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omments15.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comments16.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comments17.xml" ContentType="application/vnd.openxmlformats-officedocument.spreadsheetml.comments+xml"/>
  <Override PartName="/xl/drawings/drawing21.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F:\"/>
    </mc:Choice>
  </mc:AlternateContent>
  <bookViews>
    <workbookView xWindow="0" yWindow="0" windowWidth="20490" windowHeight="7020" tabRatio="782" firstSheet="1" activeTab="1"/>
  </bookViews>
  <sheets>
    <sheet name="JAZIDA-BF" sheetId="53" state="hidden" r:id="rId1"/>
    <sheet name="ORÇAMENTO" sheetId="9" r:id="rId2"/>
    <sheet name="RESUMO" sheetId="18" r:id="rId3"/>
    <sheet name="COTAÇÃO" sheetId="14" r:id="rId4"/>
    <sheet name="SINAPI-OUT.2016" sheetId="52" state="hidden" r:id="rId5"/>
    <sheet name="COMPOSIÇÃO" sheetId="11" r:id="rId6"/>
    <sheet name="SANEAGO-FEV.2016" sheetId="13" state="hidden" r:id="rId7"/>
    <sheet name="SINAPI-FEV.2017" sheetId="12" state="hidden" r:id="rId8"/>
    <sheet name="QCI" sheetId="47" state="hidden" r:id="rId9"/>
    <sheet name="CURVA ABC" sheetId="58" state="hidden" r:id="rId10"/>
    <sheet name="ORC.AUXILIAR" sheetId="56" state="hidden" r:id="rId11"/>
    <sheet name="MC_TRAVESSIA_COLETOR" sheetId="50" r:id="rId12"/>
    <sheet name="MC_INTERCEPTORES" sheetId="44" r:id="rId13"/>
    <sheet name="MC_TRAVESSIA.AEREA" sheetId="43" r:id="rId14"/>
    <sheet name="MC_COLETOR CB" sheetId="49" state="hidden" r:id="rId15"/>
    <sheet name="TRAT.PRELIMINAR" sheetId="7" r:id="rId16"/>
    <sheet name="REATOR (x2)" sheetId="36" r:id="rId17"/>
    <sheet name="REATOR (X1)" sheetId="61" state="hidden" r:id="rId18"/>
    <sheet name="Quant.AÇO-Concreto_REator" sheetId="60" r:id="rId19"/>
    <sheet name="LEITOS_SECAGEM" sheetId="39" r:id="rId20"/>
    <sheet name="TUBULAÇÕES" sheetId="8" r:id="rId21"/>
    <sheet name="SERVIÇOS_TUBULAÇÕES" sheetId="32" r:id="rId22"/>
    <sheet name="CAIXAS" sheetId="26" r:id="rId23"/>
    <sheet name="BIOGAS" sheetId="37" r:id="rId24"/>
    <sheet name="HIPOCLORITO" sheetId="34" r:id="rId25"/>
    <sheet name="SALA ELÉTRICA" sheetId="38" r:id="rId26"/>
    <sheet name="CASA DE CONTROLE" sheetId="31" r:id="rId27"/>
    <sheet name="LÇTO FINAL" sheetId="40" r:id="rId28"/>
    <sheet name="URBANIZAÇÃO" sheetId="33" r:id="rId29"/>
    <sheet name="REATOR (x3)" sheetId="46" state="hidden" r:id="rId30"/>
    <sheet name="PARAMETROS MC" sheetId="22" r:id="rId31"/>
  </sheets>
  <externalReferences>
    <externalReference r:id="rId32"/>
    <externalReference r:id="rId33"/>
    <externalReference r:id="rId34"/>
    <externalReference r:id="rId35"/>
    <externalReference r:id="rId36"/>
    <externalReference r:id="rId37"/>
    <externalReference r:id="rId38"/>
    <externalReference r:id="rId39"/>
  </externalReferences>
  <definedNames>
    <definedName name="\P" localSheetId="15">#REF!</definedName>
    <definedName name="\P" localSheetId="20">#REF!</definedName>
    <definedName name="\P">#REF!</definedName>
    <definedName name="__BDI1" localSheetId="1">[1]Dados!#REF!</definedName>
    <definedName name="__BDI1" localSheetId="15">[1]Dados!#REF!</definedName>
    <definedName name="__BDI1" localSheetId="20">[1]Dados!#REF!</definedName>
    <definedName name="__BDI1">[1]Dados!#REF!</definedName>
    <definedName name="_10Excel_BuiltIn_Print_Area_2_1" localSheetId="1">'[2]resumo transporte'!#REF!</definedName>
    <definedName name="_10Excel_BuiltIn_Print_Area_2_1" localSheetId="15">'[2]resumo transporte'!#REF!</definedName>
    <definedName name="_10Excel_BuiltIn_Print_Area_2_1" localSheetId="20">'[2]resumo transporte'!#REF!</definedName>
    <definedName name="_10Excel_BuiltIn_Print_Area_2_1">'[2]resumo transporte'!#REF!</definedName>
    <definedName name="_1Excel_BuiltIn_Print_Area_1_1_1" localSheetId="1">#REF!</definedName>
    <definedName name="_1Excel_BuiltIn_Print_Area_1_1_1" localSheetId="15">#REF!</definedName>
    <definedName name="_1Excel_BuiltIn_Print_Area_1_1_1" localSheetId="20">#REF!</definedName>
    <definedName name="_1Excel_BuiltIn_Print_Area_1_1_1">#REF!</definedName>
    <definedName name="_5Excel_BuiltIn_Print_Area_1_1_1" localSheetId="15">#REF!</definedName>
    <definedName name="_5Excel_BuiltIn_Print_Area_1_1_1" localSheetId="20">#REF!</definedName>
    <definedName name="_5Excel_BuiltIn_Print_Area_1_1_1">#REF!</definedName>
    <definedName name="_COL36" localSheetId="15">#REF!</definedName>
    <definedName name="_COL36" localSheetId="20">#REF!</definedName>
    <definedName name="_COL36">#REF!</definedName>
    <definedName name="_COL37" localSheetId="15">#REF!</definedName>
    <definedName name="_COL37" localSheetId="20">#REF!</definedName>
    <definedName name="_COL37">#REF!</definedName>
    <definedName name="_COL38" localSheetId="15">#REF!</definedName>
    <definedName name="_COL38" localSheetId="20">#REF!</definedName>
    <definedName name="_COL38">#REF!</definedName>
    <definedName name="_xlnm._FilterDatabase" localSheetId="15" hidden="1">TRAT.PRELIMINAR!$D$1:$M$13</definedName>
    <definedName name="_xlnm._FilterDatabase" localSheetId="20" hidden="1">TUBULAÇÕES!$D$1:$N$13</definedName>
    <definedName name="_Key1" localSheetId="1" hidden="1">#REF!</definedName>
    <definedName name="_Key1" localSheetId="15" hidden="1">#REF!</definedName>
    <definedName name="_Key1" localSheetId="20" hidden="1">#REF!</definedName>
    <definedName name="_Key1" hidden="1">#REF!</definedName>
    <definedName name="_Key2" localSheetId="15" hidden="1">#REF!</definedName>
    <definedName name="_Key2" localSheetId="20" hidden="1">#REF!</definedName>
    <definedName name="_Key2" hidden="1">#REF!</definedName>
    <definedName name="_Order1" hidden="1">255</definedName>
    <definedName name="_Order2" hidden="1">255</definedName>
    <definedName name="_Sort" localSheetId="1" hidden="1">#REF!</definedName>
    <definedName name="_Sort" localSheetId="15" hidden="1">#REF!</definedName>
    <definedName name="_Sort" localSheetId="20" hidden="1">#REF!</definedName>
    <definedName name="_Sort" hidden="1">#REF!</definedName>
    <definedName name="A" localSheetId="15">#REF!</definedName>
    <definedName name="A" localSheetId="20">#REF!</definedName>
    <definedName name="A">#REF!</definedName>
    <definedName name="ACRES">NA()</definedName>
    <definedName name="_xlnm.Print_Area" localSheetId="23">BIOGAS!$D$1:$M$224</definedName>
    <definedName name="_xlnm.Print_Area" localSheetId="22">CAIXAS!$D$1:$M$461</definedName>
    <definedName name="_xlnm.Print_Area" localSheetId="26">'CASA DE CONTROLE'!$D$1:$M$293</definedName>
    <definedName name="_xlnm.Print_Area" localSheetId="5">COMPOSIÇÃO!$A$1:$D$37</definedName>
    <definedName name="_xlnm.Print_Area" localSheetId="3">COTAÇÃO!$A$1:$D$675</definedName>
    <definedName name="_xlnm.Print_Area" localSheetId="9">'CURVA ABC'!$G$1:$P$1024</definedName>
    <definedName name="_xlnm.Print_Area" localSheetId="24">HIPOCLORITO!$D$1:$M$267</definedName>
    <definedName name="_xlnm.Print_Area" localSheetId="27">'LÇTO FINAL'!$D$1:$M$164</definedName>
    <definedName name="_xlnm.Print_Area" localSheetId="19">LEITOS_SECAGEM!$D$1:$M$187</definedName>
    <definedName name="_xlnm.Print_Area" localSheetId="14">'MC_COLETOR CB'!$F$1:$P$161</definedName>
    <definedName name="_xlnm.Print_Area" localSheetId="12">MC_INTERCEPTORES!$F$1:$P$167</definedName>
    <definedName name="_xlnm.Print_Area" localSheetId="13">MC_TRAVESSIA.AEREA!$D$1:$M$208</definedName>
    <definedName name="_xlnm.Print_Area" localSheetId="11">MC_TRAVESSIA_COLETOR!$D$1:$M$199</definedName>
    <definedName name="_xlnm.Print_Area" localSheetId="1">ORÇAMENTO!$H$1:$P$2433</definedName>
    <definedName name="_xlnm.Print_Area" localSheetId="8">QCI!$B$1:$J$52</definedName>
    <definedName name="_xlnm.Print_Area" localSheetId="18">'Quant.AÇO-Concreto_REator'!$A$1:$T$91</definedName>
    <definedName name="_xlnm.Print_Area" localSheetId="17">'REATOR (X1)'!$D$1:$M$434</definedName>
    <definedName name="_xlnm.Print_Area" localSheetId="16">'REATOR (x2)'!$D$1:$M$436</definedName>
    <definedName name="_xlnm.Print_Area" localSheetId="29">'REATOR (x3)'!$D$1:$M$373</definedName>
    <definedName name="_xlnm.Print_Area" localSheetId="2">RESUMO!$A$1:$J$36</definedName>
    <definedName name="_xlnm.Print_Area" localSheetId="25">'SALA ELÉTRICA'!$D$1:$M$212</definedName>
    <definedName name="_xlnm.Print_Area" localSheetId="6">'SANEAGO-FEV.2016'!$A$1:$D$1047</definedName>
    <definedName name="_xlnm.Print_Area" localSheetId="21">SERVIÇOS_TUBULAÇÕES!$A$1:$BS$56</definedName>
    <definedName name="_xlnm.Print_Area" localSheetId="7">'SINAPI-FEV.2017'!$A$1:$D$10925</definedName>
    <definedName name="_xlnm.Print_Area" localSheetId="15">TRAT.PRELIMINAR!$D$1:$M$410</definedName>
    <definedName name="_xlnm.Print_Area" localSheetId="20">TUBULAÇÕES!$D$1:$M$147</definedName>
    <definedName name="_xlnm.Print_Area" localSheetId="28">URBANIZAÇÃO!$D$1:$M$82</definedName>
    <definedName name="B" localSheetId="1">#REF!</definedName>
    <definedName name="B" localSheetId="15">#REF!</definedName>
    <definedName name="B" localSheetId="20">#REF!</definedName>
    <definedName name="B">#REF!</definedName>
    <definedName name="_xlnm.Database" localSheetId="15">#REF!</definedName>
    <definedName name="_xlnm.Database" localSheetId="20">#REF!</definedName>
    <definedName name="_xlnm.Database">#REF!</definedName>
    <definedName name="bancodedados" localSheetId="15">#REF!</definedName>
    <definedName name="bancodedados" localSheetId="20">#REF!</definedName>
    <definedName name="bancodedados">#REF!</definedName>
    <definedName name="bdi" localSheetId="15">[1]Dados!#REF!</definedName>
    <definedName name="bdi" localSheetId="20">[1]Dados!#REF!</definedName>
    <definedName name="bdi">[1]Dados!#REF!</definedName>
    <definedName name="C_" localSheetId="1">#REF!</definedName>
    <definedName name="C_" localSheetId="15">#REF!</definedName>
    <definedName name="C_" localSheetId="20">#REF!</definedName>
    <definedName name="C_">#REF!</definedName>
    <definedName name="CDG">[3]CIDADE!$A$1:$E$65536</definedName>
    <definedName name="D" localSheetId="1">#REF!</definedName>
    <definedName name="D" localSheetId="15">#REF!</definedName>
    <definedName name="D" localSheetId="20">#REF!</definedName>
    <definedName name="D">#REF!</definedName>
    <definedName name="DATA" localSheetId="1">[1]Dados!#REF!</definedName>
    <definedName name="DATA" localSheetId="15">[1]Dados!#REF!</definedName>
    <definedName name="DATA" localSheetId="20">[1]Dados!#REF!</definedName>
    <definedName name="DATA">[1]Dados!#REF!</definedName>
    <definedName name="data16" localSheetId="1">#REF!</definedName>
    <definedName name="data16" localSheetId="15">#REF!</definedName>
    <definedName name="data16" localSheetId="20">#REF!</definedName>
    <definedName name="data16">#REF!</definedName>
    <definedName name="data25" localSheetId="15">#REF!</definedName>
    <definedName name="data25" localSheetId="20">#REF!</definedName>
    <definedName name="data25">#REF!</definedName>
    <definedName name="data28" localSheetId="15">#REF!</definedName>
    <definedName name="data28" localSheetId="20">#REF!</definedName>
    <definedName name="data28">#REF!</definedName>
    <definedName name="data31" localSheetId="15">#REF!</definedName>
    <definedName name="data31" localSheetId="20">#REF!</definedName>
    <definedName name="data31">#REF!</definedName>
    <definedName name="data34" localSheetId="15">#REF!</definedName>
    <definedName name="data34" localSheetId="20">#REF!</definedName>
    <definedName name="data34">#REF!</definedName>
    <definedName name="DFASD" localSheetId="15">#REF!</definedName>
    <definedName name="DFASD" localSheetId="20">#REF!</definedName>
    <definedName name="DFASD">#REF!</definedName>
    <definedName name="direcionador_2">#N/A</definedName>
    <definedName name="EQ" localSheetId="1">#REF!</definedName>
    <definedName name="EQ" localSheetId="15">#REF!</definedName>
    <definedName name="EQ" localSheetId="20">#REF!</definedName>
    <definedName name="EQ">#REF!</definedName>
    <definedName name="Excel_BuiltIn__FilterDatabase_2" localSheetId="15">#REF!</definedName>
    <definedName name="Excel_BuiltIn__FilterDatabase_2" localSheetId="20">#REF!</definedName>
    <definedName name="Excel_BuiltIn__FilterDatabase_2">#REF!</definedName>
    <definedName name="Excel_BuiltIn__FilterDatabase_2_1" localSheetId="15">#REF!</definedName>
    <definedName name="Excel_BuiltIn__FilterDatabase_2_1" localSheetId="20">#REF!</definedName>
    <definedName name="Excel_BuiltIn__FilterDatabase_2_1">#REF!</definedName>
    <definedName name="Excel_BuiltIn__FilterDatabase_4" localSheetId="15">#REF!</definedName>
    <definedName name="Excel_BuiltIn__FilterDatabase_4" localSheetId="20">#REF!</definedName>
    <definedName name="Excel_BuiltIn__FilterDatabase_4">#REF!</definedName>
    <definedName name="Excel_BuiltIn_Database" localSheetId="15">#REF!</definedName>
    <definedName name="Excel_BuiltIn_Database" localSheetId="20">#REF!</definedName>
    <definedName name="Excel_BuiltIn_Database">#REF!</definedName>
    <definedName name="Excel_BuiltIn_Database_0">"$#REF!.$A$8:$K$922"</definedName>
    <definedName name="Excel_BuiltIn_Database_2" localSheetId="1">#REF!</definedName>
    <definedName name="Excel_BuiltIn_Database_2" localSheetId="15">#REF!</definedName>
    <definedName name="Excel_BuiltIn_Database_2" localSheetId="20">#REF!</definedName>
    <definedName name="Excel_BuiltIn_Database_2">#REF!</definedName>
    <definedName name="Excel_BuiltIn_Database_2_1" localSheetId="15">#REF!</definedName>
    <definedName name="Excel_BuiltIn_Database_2_1" localSheetId="20">#REF!</definedName>
    <definedName name="Excel_BuiltIn_Database_2_1">#REF!</definedName>
    <definedName name="Excel_BuiltIn_Database_3" localSheetId="15">#REF!</definedName>
    <definedName name="Excel_BuiltIn_Database_3" localSheetId="20">#REF!</definedName>
    <definedName name="Excel_BuiltIn_Database_3">#REF!</definedName>
    <definedName name="Excel_BuiltIn_Database_6" localSheetId="15">#REF!</definedName>
    <definedName name="Excel_BuiltIn_Database_6" localSheetId="20">#REF!</definedName>
    <definedName name="Excel_BuiltIn_Database_6">#REF!</definedName>
    <definedName name="Excel_BuiltIn_Database_7" localSheetId="15">#REF!</definedName>
    <definedName name="Excel_BuiltIn_Database_7" localSheetId="20">#REF!</definedName>
    <definedName name="Excel_BuiltIn_Database_7">#REF!</definedName>
    <definedName name="Excel_BuiltIn_Print_Area_1" localSheetId="15">#REF!</definedName>
    <definedName name="Excel_BuiltIn_Print_Area_1" localSheetId="20">#REF!</definedName>
    <definedName name="Excel_BuiltIn_Print_Area_1">#REF!</definedName>
    <definedName name="Excel_BuiltIn_Print_Area_1_1" localSheetId="15">#REF!</definedName>
    <definedName name="Excel_BuiltIn_Print_Area_1_1" localSheetId="20">#REF!</definedName>
    <definedName name="Excel_BuiltIn_Print_Area_1_1">#REF!</definedName>
    <definedName name="Excel_BuiltIn_Print_Area_1_1_1" localSheetId="15">#REF!</definedName>
    <definedName name="Excel_BuiltIn_Print_Area_1_1_1" localSheetId="20">#REF!</definedName>
    <definedName name="Excel_BuiltIn_Print_Area_1_1_1">#REF!</definedName>
    <definedName name="Excel_BuiltIn_Print_Area_10">"$#REF!.$A$1:$D$46"</definedName>
    <definedName name="Excel_BuiltIn_Print_Area_11">#N/A</definedName>
    <definedName name="Excel_BuiltIn_Print_Area_11_1" localSheetId="1">#REF!</definedName>
    <definedName name="Excel_BuiltIn_Print_Area_11_1" localSheetId="15">#REF!</definedName>
    <definedName name="Excel_BuiltIn_Print_Area_11_1" localSheetId="20">#REF!</definedName>
    <definedName name="Excel_BuiltIn_Print_Area_11_1">#REF!</definedName>
    <definedName name="Excel_BuiltIn_Print_Area_12">"$#REF!.$A$1:$G$13"</definedName>
    <definedName name="Excel_BuiltIn_Print_Area_14">"$#REF!.$A$1:$H$84"</definedName>
    <definedName name="Excel_BuiltIn_Print_Area_15">"$#REF!.$A$1:$D$47"</definedName>
    <definedName name="Excel_BuiltIn_Print_Area_16">#N/A</definedName>
    <definedName name="Excel_BuiltIn_Print_Area_17">#N/A</definedName>
    <definedName name="Excel_BuiltIn_Print_Area_19">"$#REF!.$A$1:$G$44"</definedName>
    <definedName name="Excel_BuiltIn_Print_Area_2">"$#REF!.$A$1:$H$82"</definedName>
    <definedName name="Excel_BuiltIn_Print_Area_2_1" localSheetId="1">#REF!</definedName>
    <definedName name="Excel_BuiltIn_Print_Area_2_1" localSheetId="15">#REF!</definedName>
    <definedName name="Excel_BuiltIn_Print_Area_2_1" localSheetId="20">#REF!</definedName>
    <definedName name="Excel_BuiltIn_Print_Area_2_1">#REF!</definedName>
    <definedName name="Excel_BuiltIn_Print_Area_2_1_1" localSheetId="15">#REF!</definedName>
    <definedName name="Excel_BuiltIn_Print_Area_2_1_1" localSheetId="20">#REF!</definedName>
    <definedName name="Excel_BuiltIn_Print_Area_2_1_1">#REF!</definedName>
    <definedName name="Excel_BuiltIn_Print_Area_20">"$#REF!.$A$1:$G$33"</definedName>
    <definedName name="Excel_BuiltIn_Print_Area_21">"$#REF!.$A$1:$G$65"</definedName>
    <definedName name="Excel_BuiltIn_Print_Area_23">"$#REF!.$A$1:$H$85"</definedName>
    <definedName name="Excel_BuiltIn_Print_Area_24">"$#REF!.$A$1:$D$48"</definedName>
    <definedName name="Excel_BuiltIn_Print_Area_25">#N/A</definedName>
    <definedName name="Excel_BuiltIn_Print_Area_26">#N/A</definedName>
    <definedName name="Excel_BuiltIn_Print_Area_28">"$#REF!.$A$1:$G$44"</definedName>
    <definedName name="Excel_BuiltIn_Print_Area_29">"$#REF!.$A$1:$G$33"</definedName>
    <definedName name="Excel_BuiltIn_Print_Area_3">"$#REF!.$A$1:$K$71"</definedName>
    <definedName name="Excel_BuiltIn_Print_Area_3_1" localSheetId="1">#REF!</definedName>
    <definedName name="Excel_BuiltIn_Print_Area_3_1" localSheetId="15">#REF!</definedName>
    <definedName name="Excel_BuiltIn_Print_Area_3_1" localSheetId="20">#REF!</definedName>
    <definedName name="Excel_BuiltIn_Print_Area_3_1">#REF!</definedName>
    <definedName name="Excel_BuiltIn_Print_Area_30">"$#REF!.$A$1:$G$65"</definedName>
    <definedName name="Excel_BuiltIn_Print_Area_30_1" localSheetId="1">#REF!</definedName>
    <definedName name="Excel_BuiltIn_Print_Area_30_1" localSheetId="15">#REF!</definedName>
    <definedName name="Excel_BuiltIn_Print_Area_30_1" localSheetId="20">#REF!</definedName>
    <definedName name="Excel_BuiltIn_Print_Area_30_1">#REF!</definedName>
    <definedName name="Excel_BuiltIn_Print_Area_33_1">('[4]TAB_  POÇOS DEFINITIVO _2007  c'!$A$1:$E$115,'[4]TAB_  POÇOS DEFINITIVO _2007  c'!$A$1:$F$65)</definedName>
    <definedName name="Excel_BuiltIn_Print_Area_4_1" localSheetId="1">#REF!</definedName>
    <definedName name="Excel_BuiltIn_Print_Area_4_1" localSheetId="15">#REF!</definedName>
    <definedName name="Excel_BuiltIn_Print_Area_4_1" localSheetId="20">#REF!</definedName>
    <definedName name="Excel_BuiltIn_Print_Area_4_1">#REF!</definedName>
    <definedName name="Excel_BuiltIn_Print_Area_5">"$#REF!.$A$1:$IV$32000"</definedName>
    <definedName name="Excel_BuiltIn_Print_Area_5_1" localSheetId="1">#REF!</definedName>
    <definedName name="Excel_BuiltIn_Print_Area_5_1" localSheetId="15">#REF!</definedName>
    <definedName name="Excel_BuiltIn_Print_Area_5_1" localSheetId="20">#REF!</definedName>
    <definedName name="Excel_BuiltIn_Print_Area_5_1">#REF!</definedName>
    <definedName name="Excel_BuiltIn_Print_Area_6">"$#REF!.$A$1:$D$33"</definedName>
    <definedName name="Excel_BuiltIn_Print_Area_7">"$#REF!.$A$1:$G$14"</definedName>
    <definedName name="Excel_BuiltIn_Print_Area_8">"$#REF!.$A$1:$G$10"</definedName>
    <definedName name="Excel_BuiltIn_Print_Area_9">"$#REF!.$A$1:$I$102"</definedName>
    <definedName name="Excel_BuiltIn_Print_Titles_1_1" localSheetId="1">#REF!</definedName>
    <definedName name="Excel_BuiltIn_Print_Titles_1_1" localSheetId="15">#REF!</definedName>
    <definedName name="Excel_BuiltIn_Print_Titles_1_1" localSheetId="20">#REF!</definedName>
    <definedName name="Excel_BuiltIn_Print_Titles_1_1">#REF!</definedName>
    <definedName name="Excel_BuiltIn_Print_Titles_10">"$#REF!.$A$1:$IV$8"</definedName>
    <definedName name="Excel_BuiltIn_Print_Titles_11_1" localSheetId="1">#REF!</definedName>
    <definedName name="Excel_BuiltIn_Print_Titles_11_1" localSheetId="15">#REF!</definedName>
    <definedName name="Excel_BuiltIn_Print_Titles_11_1" localSheetId="20">#REF!</definedName>
    <definedName name="Excel_BuiltIn_Print_Titles_11_1">#REF!</definedName>
    <definedName name="Excel_BuiltIn_Print_Titles_15">"$#REF!.$A$1:$IV$7"</definedName>
    <definedName name="Excel_BuiltIn_Print_Titles_2" localSheetId="1">#REF!</definedName>
    <definedName name="Excel_BuiltIn_Print_Titles_2" localSheetId="15">#REF!</definedName>
    <definedName name="Excel_BuiltIn_Print_Titles_2" localSheetId="20">#REF!</definedName>
    <definedName name="Excel_BuiltIn_Print_Titles_2">#REF!</definedName>
    <definedName name="Excel_BuiltIn_Print_Titles_24">"$#REF!.$A$1:$IV$8"</definedName>
    <definedName name="Excel_BuiltIn_Print_Titles_4" localSheetId="1">'[5]tabela orçamento'!#REF!</definedName>
    <definedName name="Excel_BuiltIn_Print_Titles_4" localSheetId="15">'[5]tabela orçamento'!#REF!</definedName>
    <definedName name="Excel_BuiltIn_Print_Titles_4" localSheetId="20">'[5]tabela orçamento'!#REF!</definedName>
    <definedName name="Excel_BuiltIn_Print_Titles_4">'[5]tabela orçamento'!#REF!</definedName>
    <definedName name="Excel_BuiltIn_Print_Titles_5" localSheetId="1">#REF!</definedName>
    <definedName name="Excel_BuiltIn_Print_Titles_5" localSheetId="15">#REF!</definedName>
    <definedName name="Excel_BuiltIn_Print_Titles_5" localSheetId="20">#REF!</definedName>
    <definedName name="Excel_BuiltIn_Print_Titles_5">#REF!</definedName>
    <definedName name="Excel_BuiltIn_Print_Titles_6">"$#REF!.$A$1:$IV$8"</definedName>
    <definedName name="F" localSheetId="1">#REF!</definedName>
    <definedName name="F" localSheetId="15">#REF!</definedName>
    <definedName name="F" localSheetId="20">#REF!</definedName>
    <definedName name="F">#REF!</definedName>
    <definedName name="HP">NA()</definedName>
    <definedName name="INSUMO">[6]insumos!$A:$IV</definedName>
    <definedName name="k">NA()</definedName>
    <definedName name="kk">NA()</definedName>
    <definedName name="kkk">NA()</definedName>
    <definedName name="MA" localSheetId="1">#REF!</definedName>
    <definedName name="MA" localSheetId="15">#REF!</definedName>
    <definedName name="MA" localSheetId="20">#REF!</definedName>
    <definedName name="MA">#REF!</definedName>
    <definedName name="MO" localSheetId="15">#REF!</definedName>
    <definedName name="MO" localSheetId="20">#REF!</definedName>
    <definedName name="MO">#REF!</definedName>
    <definedName name="n">NA()</definedName>
    <definedName name="OLI" localSheetId="1">#REF!</definedName>
    <definedName name="OLI" localSheetId="15">#REF!</definedName>
    <definedName name="OLI" localSheetId="20">#REF!</definedName>
    <definedName name="OLI">#REF!</definedName>
    <definedName name="OLO" localSheetId="15">#REF!</definedName>
    <definedName name="OLO" localSheetId="20">#REF!</definedName>
    <definedName name="OLO">#REF!</definedName>
    <definedName name="ORÇ">[7]PORIGINAL!$B$1:$G$174</definedName>
    <definedName name="q">NA()</definedName>
    <definedName name="Q913m123" localSheetId="1">#REF!</definedName>
    <definedName name="Q913m123" localSheetId="15">#REF!</definedName>
    <definedName name="Q913m123" localSheetId="20">#REF!</definedName>
    <definedName name="Q913m123">#REF!</definedName>
    <definedName name="qd">NA()</definedName>
    <definedName name="qh">NA()</definedName>
    <definedName name="qm">NA()</definedName>
    <definedName name="QUANT" localSheetId="1">[8]COMPOSIÇOES!#REF!</definedName>
    <definedName name="QUANT" localSheetId="15">[8]COMPOSIÇOES!#REF!</definedName>
    <definedName name="QUANT" localSheetId="20">[8]COMPOSIÇOES!#REF!</definedName>
    <definedName name="QUANT">[8]COMPOSIÇOES!#REF!</definedName>
    <definedName name="QUANT___0" localSheetId="15">[8]COMPOSIÇOES!#REF!</definedName>
    <definedName name="QUANT___0" localSheetId="20">[8]COMPOSIÇOES!#REF!</definedName>
    <definedName name="QUANT___0">[8]COMPOSIÇOES!#REF!</definedName>
    <definedName name="s" localSheetId="1">#REF!</definedName>
    <definedName name="s" localSheetId="15">#REF!</definedName>
    <definedName name="s" localSheetId="20">#REF!</definedName>
    <definedName name="s">#REF!</definedName>
    <definedName name="t">NA()</definedName>
    <definedName name="TAB" localSheetId="1">#REF!</definedName>
    <definedName name="TAB" localSheetId="15">#REF!</definedName>
    <definedName name="TAB" localSheetId="20">#REF!</definedName>
    <definedName name="TAB">#REF!</definedName>
    <definedName name="TAC" localSheetId="1">[1]Dados!#REF!</definedName>
    <definedName name="TAC" localSheetId="15">[1]Dados!#REF!</definedName>
    <definedName name="TAC" localSheetId="20">[1]Dados!#REF!</definedName>
    <definedName name="TAC">[1]Dados!#REF!</definedName>
    <definedName name="_xlnm.Print_Titles" localSheetId="23">BIOGAS!$1:$25</definedName>
    <definedName name="_xlnm.Print_Titles" localSheetId="22">CAIXAS!$1:$25</definedName>
    <definedName name="_xlnm.Print_Titles" localSheetId="26">'CASA DE CONTROLE'!$1:$25</definedName>
    <definedName name="_xlnm.Print_Titles" localSheetId="3">COTAÇÃO!$3:$3</definedName>
    <definedName name="_xlnm.Print_Titles" localSheetId="9">'CURVA ABC'!$1:$4</definedName>
    <definedName name="_xlnm.Print_Titles" localSheetId="24">HIPOCLORITO!$1:$25</definedName>
    <definedName name="_xlnm.Print_Titles" localSheetId="27">'LÇTO FINAL'!$1:$25</definedName>
    <definedName name="_xlnm.Print_Titles" localSheetId="19">LEITOS_SECAGEM!$1:$25</definedName>
    <definedName name="_xlnm.Print_Titles" localSheetId="14">'MC_COLETOR CB'!$1:$5</definedName>
    <definedName name="_xlnm.Print_Titles" localSheetId="12">MC_INTERCEPTORES!$1:$5</definedName>
    <definedName name="_xlnm.Print_Titles" localSheetId="13">MC_TRAVESSIA.AEREA!$1:$25</definedName>
    <definedName name="_xlnm.Print_Titles" localSheetId="11">MC_TRAVESSIA_COLETOR!$1:$25</definedName>
    <definedName name="_xlnm.Print_Titles" localSheetId="1">ORÇAMENTO!$1:$10</definedName>
    <definedName name="_xlnm.Print_Titles" localSheetId="16">'REATOR (x2)'!$1:$25</definedName>
    <definedName name="_xlnm.Print_Titles" localSheetId="25">'SALA ELÉTRICA'!$1:$25</definedName>
    <definedName name="_xlnm.Print_Titles" localSheetId="15">TRAT.PRELIMINAR!$1:$25</definedName>
    <definedName name="_xlnm.Print_Titles" localSheetId="20">TUBULAÇÕES!$1:$25</definedName>
    <definedName name="vert" localSheetId="1">#REF!</definedName>
    <definedName name="vert" localSheetId="15">#REF!</definedName>
    <definedName name="vert" localSheetId="20">#REF!</definedName>
    <definedName name="vert">#REF!</definedName>
  </definedNames>
  <calcPr calcId="162913"/>
</workbook>
</file>

<file path=xl/calcChain.xml><?xml version="1.0" encoding="utf-8"?>
<calcChain xmlns="http://schemas.openxmlformats.org/spreadsheetml/2006/main">
  <c r="I34" i="18" l="1"/>
  <c r="H34" i="18"/>
  <c r="G34" i="18"/>
  <c r="G128" i="39"/>
  <c r="I6" i="18"/>
  <c r="H561" i="9"/>
  <c r="I561" i="9"/>
  <c r="E274" i="36"/>
  <c r="J274" i="36" s="1"/>
  <c r="M271" i="36"/>
  <c r="O271" i="36"/>
  <c r="O244" i="36"/>
  <c r="O245" i="36"/>
  <c r="H122" i="36"/>
  <c r="H143" i="36"/>
  <c r="F128" i="36"/>
  <c r="M125" i="36"/>
  <c r="E122" i="36"/>
  <c r="D434" i="61"/>
  <c r="D432" i="61"/>
  <c r="D430" i="61"/>
  <c r="M428" i="61"/>
  <c r="D428" i="61"/>
  <c r="M426" i="61"/>
  <c r="D426" i="61"/>
  <c r="D422" i="61"/>
  <c r="D420" i="61"/>
  <c r="D418" i="61"/>
  <c r="M416" i="61"/>
  <c r="D416" i="61"/>
  <c r="M412" i="61"/>
  <c r="D412" i="61"/>
  <c r="D410" i="61"/>
  <c r="G409" i="61"/>
  <c r="M409" i="61"/>
  <c r="H408" i="61"/>
  <c r="G408" i="61"/>
  <c r="J407" i="61"/>
  <c r="M407" i="61"/>
  <c r="G407" i="61"/>
  <c r="G406" i="61"/>
  <c r="M406" i="61"/>
  <c r="M405" i="61"/>
  <c r="D401" i="61"/>
  <c r="F399" i="61"/>
  <c r="E399" i="61"/>
  <c r="I398" i="61"/>
  <c r="M398" i="61" s="1"/>
  <c r="F398" i="61"/>
  <c r="E398" i="61"/>
  <c r="E397" i="61"/>
  <c r="M397" i="61" s="1"/>
  <c r="E396" i="61"/>
  <c r="M396" i="61"/>
  <c r="E395" i="61"/>
  <c r="M395" i="61" s="1"/>
  <c r="E394" i="61"/>
  <c r="M394" i="61"/>
  <c r="E393" i="61"/>
  <c r="M393" i="61" s="1"/>
  <c r="E392" i="61"/>
  <c r="M392" i="61"/>
  <c r="E391" i="61"/>
  <c r="M391" i="61" s="1"/>
  <c r="E390" i="61"/>
  <c r="M390" i="61"/>
  <c r="E389" i="61"/>
  <c r="M389" i="61" s="1"/>
  <c r="E388" i="61"/>
  <c r="M388" i="61"/>
  <c r="H387" i="61"/>
  <c r="G387" i="61"/>
  <c r="F387" i="61"/>
  <c r="M430" i="61"/>
  <c r="D384" i="61"/>
  <c r="G381" i="61"/>
  <c r="M381" i="61" s="1"/>
  <c r="I377" i="61"/>
  <c r="M377" i="61"/>
  <c r="F377" i="61"/>
  <c r="E377" i="61"/>
  <c r="E376" i="61"/>
  <c r="M376" i="61"/>
  <c r="E375" i="61"/>
  <c r="M375" i="61" s="1"/>
  <c r="E374" i="61"/>
  <c r="M374" i="61"/>
  <c r="E373" i="61"/>
  <c r="M373" i="61" s="1"/>
  <c r="E372" i="61"/>
  <c r="M372" i="61"/>
  <c r="E371" i="61"/>
  <c r="M371" i="61" s="1"/>
  <c r="E370" i="61"/>
  <c r="M370" i="61"/>
  <c r="E369" i="61"/>
  <c r="M369" i="61" s="1"/>
  <c r="E368" i="61"/>
  <c r="M368" i="61"/>
  <c r="E367" i="61"/>
  <c r="M367" i="61" s="1"/>
  <c r="F366" i="61"/>
  <c r="E366" i="61"/>
  <c r="E365" i="61"/>
  <c r="J365" i="61" s="1"/>
  <c r="E364" i="61"/>
  <c r="J364" i="61"/>
  <c r="E363" i="61"/>
  <c r="J363" i="61" s="1"/>
  <c r="E362" i="61"/>
  <c r="J362" i="61"/>
  <c r="E361" i="61"/>
  <c r="J361" i="61" s="1"/>
  <c r="G360" i="61"/>
  <c r="F360" i="61"/>
  <c r="M360" i="61" s="1"/>
  <c r="E360" i="61"/>
  <c r="E359" i="61"/>
  <c r="M359" i="61"/>
  <c r="E358" i="61"/>
  <c r="M358" i="61" s="1"/>
  <c r="F357" i="61"/>
  <c r="E357" i="61"/>
  <c r="M357" i="61" s="1"/>
  <c r="F356" i="61"/>
  <c r="E356" i="61"/>
  <c r="M356" i="61" s="1"/>
  <c r="F355" i="61"/>
  <c r="E355" i="61"/>
  <c r="M355" i="61"/>
  <c r="F354" i="61"/>
  <c r="E354" i="61"/>
  <c r="E353" i="61"/>
  <c r="M353" i="61"/>
  <c r="E352" i="61"/>
  <c r="M352" i="61" s="1"/>
  <c r="E351" i="61"/>
  <c r="M351" i="61"/>
  <c r="E350" i="61"/>
  <c r="M350" i="61" s="1"/>
  <c r="E349" i="61"/>
  <c r="M349" i="61"/>
  <c r="E348" i="61"/>
  <c r="M348" i="61" s="1"/>
  <c r="G347" i="61"/>
  <c r="M347" i="61"/>
  <c r="F347" i="61"/>
  <c r="H346" i="61"/>
  <c r="E346" i="61"/>
  <c r="M346" i="61" s="1"/>
  <c r="E345" i="61"/>
  <c r="M345" i="61" s="1"/>
  <c r="G344" i="61"/>
  <c r="F344" i="61"/>
  <c r="E344" i="61"/>
  <c r="M344" i="61" s="1"/>
  <c r="D340" i="61"/>
  <c r="D338" i="61"/>
  <c r="D336" i="61"/>
  <c r="D332" i="61"/>
  <c r="D330" i="61"/>
  <c r="D328" i="61"/>
  <c r="D326" i="61"/>
  <c r="D324" i="61"/>
  <c r="D322" i="61"/>
  <c r="D320" i="61"/>
  <c r="D318" i="61"/>
  <c r="D291" i="61"/>
  <c r="G289" i="61"/>
  <c r="F289" i="61"/>
  <c r="E289" i="61"/>
  <c r="M286" i="61"/>
  <c r="G285" i="61"/>
  <c r="F285" i="61"/>
  <c r="M285" i="61" s="1"/>
  <c r="M287" i="61" s="1"/>
  <c r="G282" i="61"/>
  <c r="F282" i="61"/>
  <c r="M282" i="61" s="1"/>
  <c r="M283" i="61" s="1"/>
  <c r="E279" i="61"/>
  <c r="J279" i="61"/>
  <c r="E278" i="61"/>
  <c r="J278" i="61" s="1"/>
  <c r="E277" i="61"/>
  <c r="J277" i="61" s="1"/>
  <c r="E276" i="61"/>
  <c r="J276" i="61" s="1"/>
  <c r="E275" i="61"/>
  <c r="J275" i="61"/>
  <c r="E274" i="61"/>
  <c r="J274" i="61" s="1"/>
  <c r="E272" i="61"/>
  <c r="M272" i="61"/>
  <c r="M271" i="61"/>
  <c r="E270" i="61"/>
  <c r="M270" i="61"/>
  <c r="E269" i="61"/>
  <c r="M269" i="61" s="1"/>
  <c r="E268" i="61"/>
  <c r="M268" i="61"/>
  <c r="E267" i="61"/>
  <c r="M267" i="61" s="1"/>
  <c r="H266" i="61"/>
  <c r="F266" i="61"/>
  <c r="E266" i="61"/>
  <c r="H263" i="61"/>
  <c r="F263" i="61"/>
  <c r="M263" i="61"/>
  <c r="H262" i="61"/>
  <c r="M262" i="61" s="1"/>
  <c r="M261" i="61"/>
  <c r="H260" i="61"/>
  <c r="M260" i="61"/>
  <c r="H259" i="61"/>
  <c r="F259" i="61"/>
  <c r="M259" i="61"/>
  <c r="H258" i="61"/>
  <c r="M258" i="61" s="1"/>
  <c r="H257" i="61"/>
  <c r="F257" i="61"/>
  <c r="M257" i="61"/>
  <c r="H256" i="61"/>
  <c r="F256" i="61"/>
  <c r="M256" i="61"/>
  <c r="H254" i="61"/>
  <c r="F254" i="61"/>
  <c r="M254" i="61" s="1"/>
  <c r="H253" i="61"/>
  <c r="M253" i="61"/>
  <c r="H252" i="61"/>
  <c r="F252" i="61"/>
  <c r="M252" i="61"/>
  <c r="H251" i="61"/>
  <c r="M251" i="61" s="1"/>
  <c r="F249" i="61"/>
  <c r="E249" i="61"/>
  <c r="M249" i="61"/>
  <c r="I248" i="61"/>
  <c r="E248" i="61"/>
  <c r="M248" i="61"/>
  <c r="I247" i="61"/>
  <c r="M247" i="61" s="1"/>
  <c r="F247" i="61"/>
  <c r="E247" i="61"/>
  <c r="J246" i="61"/>
  <c r="F246" i="61"/>
  <c r="E246" i="61"/>
  <c r="G245" i="61"/>
  <c r="F245" i="61"/>
  <c r="M245" i="61" s="1"/>
  <c r="J244" i="61"/>
  <c r="E244" i="61"/>
  <c r="M244" i="61"/>
  <c r="J243" i="61"/>
  <c r="E243" i="61"/>
  <c r="M243" i="61"/>
  <c r="G242" i="61"/>
  <c r="F242" i="61"/>
  <c r="M242" i="61" s="1"/>
  <c r="H240" i="61"/>
  <c r="G240" i="61"/>
  <c r="F240" i="61"/>
  <c r="M239" i="61"/>
  <c r="M238" i="61"/>
  <c r="M237" i="61"/>
  <c r="E236" i="61"/>
  <c r="M236" i="61" s="1"/>
  <c r="G235" i="61"/>
  <c r="F235" i="61"/>
  <c r="M235" i="61" s="1"/>
  <c r="D231" i="61"/>
  <c r="M230" i="61"/>
  <c r="M231" i="61"/>
  <c r="K230" i="61"/>
  <c r="I230" i="61"/>
  <c r="D228" i="61"/>
  <c r="D226" i="61"/>
  <c r="D225" i="61"/>
  <c r="I220" i="61"/>
  <c r="F220" i="61"/>
  <c r="E220" i="61"/>
  <c r="E219" i="61"/>
  <c r="M219" i="61" s="1"/>
  <c r="E218" i="61"/>
  <c r="M218" i="61"/>
  <c r="E217" i="61"/>
  <c r="M217" i="61" s="1"/>
  <c r="E216" i="61"/>
  <c r="M216" i="61"/>
  <c r="E215" i="61"/>
  <c r="M215" i="61" s="1"/>
  <c r="E214" i="61"/>
  <c r="M214" i="61"/>
  <c r="E213" i="61"/>
  <c r="M213" i="61" s="1"/>
  <c r="E212" i="61"/>
  <c r="M212" i="61"/>
  <c r="E211" i="61"/>
  <c r="M211" i="61" s="1"/>
  <c r="E210" i="61"/>
  <c r="M210" i="61"/>
  <c r="F209" i="61"/>
  <c r="E209" i="61"/>
  <c r="E204" i="61"/>
  <c r="J204" i="61" s="1"/>
  <c r="J209" i="61" s="1"/>
  <c r="M204" i="61"/>
  <c r="G203" i="61"/>
  <c r="F203" i="61"/>
  <c r="M201" i="61"/>
  <c r="F200" i="61"/>
  <c r="E200" i="61"/>
  <c r="M200" i="61"/>
  <c r="F199" i="61"/>
  <c r="M199" i="61" s="1"/>
  <c r="F198" i="61"/>
  <c r="M198" i="61"/>
  <c r="F197" i="61"/>
  <c r="E197" i="61"/>
  <c r="M197" i="61"/>
  <c r="M195" i="61"/>
  <c r="E195" i="61"/>
  <c r="E193" i="61"/>
  <c r="M193" i="61" s="1"/>
  <c r="G190" i="61"/>
  <c r="F190" i="61"/>
  <c r="M190" i="61"/>
  <c r="E190" i="61"/>
  <c r="M189" i="61"/>
  <c r="E188" i="61"/>
  <c r="M188" i="61"/>
  <c r="E187" i="61"/>
  <c r="M187" i="61"/>
  <c r="H186" i="61"/>
  <c r="M185" i="61"/>
  <c r="G185" i="61"/>
  <c r="F185" i="61"/>
  <c r="G182" i="61"/>
  <c r="F182" i="61"/>
  <c r="E182" i="61"/>
  <c r="M182" i="61" s="1"/>
  <c r="M179" i="61"/>
  <c r="G178" i="61"/>
  <c r="M178" i="61" s="1"/>
  <c r="M180" i="61" s="1"/>
  <c r="F178" i="61"/>
  <c r="G175" i="61"/>
  <c r="F175" i="61"/>
  <c r="M175" i="61" s="1"/>
  <c r="E172" i="61"/>
  <c r="M171" i="61"/>
  <c r="E171" i="61"/>
  <c r="E207" i="61"/>
  <c r="E170" i="61"/>
  <c r="M170" i="61"/>
  <c r="E169" i="61"/>
  <c r="M169" i="61"/>
  <c r="E168" i="61"/>
  <c r="J168" i="61"/>
  <c r="M168" i="61"/>
  <c r="E167" i="61"/>
  <c r="M167" i="61" s="1"/>
  <c r="J167" i="61"/>
  <c r="E165" i="61"/>
  <c r="E196" i="61" s="1"/>
  <c r="M196" i="61" s="1"/>
  <c r="M164" i="61"/>
  <c r="E163" i="61"/>
  <c r="E194" i="61" s="1"/>
  <c r="M194" i="61" s="1"/>
  <c r="E162" i="61"/>
  <c r="M162" i="61" s="1"/>
  <c r="E161" i="61"/>
  <c r="M161" i="61" s="1"/>
  <c r="E160" i="61"/>
  <c r="E191" i="61"/>
  <c r="M191" i="61" s="1"/>
  <c r="H159" i="61"/>
  <c r="F159" i="61"/>
  <c r="E159" i="61"/>
  <c r="M159" i="61" s="1"/>
  <c r="M156" i="61"/>
  <c r="F156" i="61"/>
  <c r="H155" i="61"/>
  <c r="F155" i="61"/>
  <c r="M155" i="61" s="1"/>
  <c r="H154" i="61"/>
  <c r="M154" i="61"/>
  <c r="M153" i="61"/>
  <c r="M152" i="61"/>
  <c r="H152" i="61"/>
  <c r="H151" i="61"/>
  <c r="F151" i="61"/>
  <c r="M151" i="61" s="1"/>
  <c r="H150" i="61"/>
  <c r="M150" i="61"/>
  <c r="H149" i="61"/>
  <c r="H148" i="61"/>
  <c r="F148" i="61"/>
  <c r="M148" i="61"/>
  <c r="F149" i="61"/>
  <c r="M149" i="61"/>
  <c r="H146" i="61"/>
  <c r="F146" i="61"/>
  <c r="M146" i="61" s="1"/>
  <c r="M145" i="61"/>
  <c r="H145" i="61"/>
  <c r="H144" i="61"/>
  <c r="F144" i="61"/>
  <c r="M144" i="61" s="1"/>
  <c r="H143" i="61"/>
  <c r="M143" i="61"/>
  <c r="F141" i="61"/>
  <c r="E141" i="61"/>
  <c r="F140" i="61"/>
  <c r="E140" i="61"/>
  <c r="M140" i="61" s="1"/>
  <c r="H139" i="61"/>
  <c r="F139" i="61"/>
  <c r="E139" i="61"/>
  <c r="M139" i="61" s="1"/>
  <c r="H138" i="61"/>
  <c r="F138" i="61"/>
  <c r="E138" i="61"/>
  <c r="M138" i="61" s="1"/>
  <c r="H137" i="61"/>
  <c r="F137" i="61"/>
  <c r="E137" i="61"/>
  <c r="M137" i="61" s="1"/>
  <c r="H136" i="61"/>
  <c r="F136" i="61"/>
  <c r="E136" i="61"/>
  <c r="M136" i="61" s="1"/>
  <c r="F135" i="61"/>
  <c r="E135" i="61"/>
  <c r="M135" i="61"/>
  <c r="K134" i="61"/>
  <c r="F134" i="61"/>
  <c r="E134" i="61"/>
  <c r="M134" i="61"/>
  <c r="G133" i="61"/>
  <c r="M133" i="61"/>
  <c r="F133" i="61"/>
  <c r="G132" i="61"/>
  <c r="M132" i="61" s="1"/>
  <c r="F132" i="61"/>
  <c r="F131" i="61"/>
  <c r="E131" i="61"/>
  <c r="M131" i="61" s="1"/>
  <c r="F130" i="61"/>
  <c r="E130" i="61"/>
  <c r="M130" i="61"/>
  <c r="G129" i="61"/>
  <c r="M129" i="61"/>
  <c r="F129" i="61"/>
  <c r="G128" i="61"/>
  <c r="M128" i="61" s="1"/>
  <c r="F128" i="61"/>
  <c r="H126" i="61"/>
  <c r="G126" i="61"/>
  <c r="F126" i="61"/>
  <c r="M125" i="61"/>
  <c r="M124" i="61"/>
  <c r="M123" i="61"/>
  <c r="E122" i="61"/>
  <c r="E186" i="61" s="1"/>
  <c r="M186" i="61"/>
  <c r="F121" i="61"/>
  <c r="M121" i="61"/>
  <c r="D118" i="61"/>
  <c r="M117" i="61"/>
  <c r="M118" i="61"/>
  <c r="D113" i="61"/>
  <c r="D111" i="61"/>
  <c r="D109" i="61"/>
  <c r="D105" i="61"/>
  <c r="D103" i="61"/>
  <c r="D101" i="61"/>
  <c r="D99" i="61"/>
  <c r="K95" i="61"/>
  <c r="D95" i="61"/>
  <c r="K93" i="61"/>
  <c r="D93" i="61"/>
  <c r="D87" i="61"/>
  <c r="M85" i="61"/>
  <c r="M87" i="61" s="1"/>
  <c r="M83" i="61"/>
  <c r="D83" i="61"/>
  <c r="D81" i="61"/>
  <c r="D79" i="61"/>
  <c r="D77" i="61"/>
  <c r="D75" i="61"/>
  <c r="D73" i="61"/>
  <c r="J71" i="61"/>
  <c r="J73" i="61"/>
  <c r="J75" i="61"/>
  <c r="J77" i="61" s="1"/>
  <c r="J79" i="61" s="1"/>
  <c r="J81" i="61" s="1"/>
  <c r="D71" i="61"/>
  <c r="D69" i="61"/>
  <c r="D67" i="61"/>
  <c r="K65" i="61"/>
  <c r="K67" i="61" s="1"/>
  <c r="D65" i="61"/>
  <c r="D63" i="61"/>
  <c r="D61" i="61"/>
  <c r="K59" i="61"/>
  <c r="K61" i="61"/>
  <c r="D59" i="61"/>
  <c r="D57" i="61"/>
  <c r="D55" i="61"/>
  <c r="K53" i="61"/>
  <c r="K71" i="61" s="1"/>
  <c r="J53" i="61"/>
  <c r="J55" i="61"/>
  <c r="J59" i="61" s="1"/>
  <c r="J61" i="61" s="1"/>
  <c r="J65" i="61"/>
  <c r="J67" i="61" s="1"/>
  <c r="D53" i="61"/>
  <c r="M50" i="61"/>
  <c r="M51" i="61"/>
  <c r="M47" i="61"/>
  <c r="M48" i="61"/>
  <c r="M44" i="61"/>
  <c r="M45" i="61"/>
  <c r="M41" i="61"/>
  <c r="M42" i="61"/>
  <c r="D33" i="61"/>
  <c r="M31" i="61"/>
  <c r="M33" i="61" s="1"/>
  <c r="D29" i="61"/>
  <c r="M28" i="61"/>
  <c r="M29" i="61"/>
  <c r="M14" i="61"/>
  <c r="K103" i="61"/>
  <c r="M13" i="61"/>
  <c r="K111" i="61"/>
  <c r="G295" i="7"/>
  <c r="H295" i="7"/>
  <c r="I295" i="7"/>
  <c r="J295" i="7"/>
  <c r="K295" i="7"/>
  <c r="F295" i="7"/>
  <c r="M297" i="7" s="1"/>
  <c r="M495" i="9" s="1"/>
  <c r="K134" i="36"/>
  <c r="J246" i="36"/>
  <c r="F246" i="36"/>
  <c r="H155" i="36"/>
  <c r="M155" i="36"/>
  <c r="F155" i="36"/>
  <c r="H151" i="36"/>
  <c r="H145" i="36"/>
  <c r="F136" i="36"/>
  <c r="F137" i="36"/>
  <c r="F135" i="36"/>
  <c r="F134" i="36"/>
  <c r="N89" i="60"/>
  <c r="M89" i="60"/>
  <c r="T89" i="60" s="1"/>
  <c r="L89" i="60"/>
  <c r="T86" i="60"/>
  <c r="N85" i="60"/>
  <c r="T85" i="60" s="1"/>
  <c r="T87" i="60" s="1"/>
  <c r="M85" i="60"/>
  <c r="N82" i="60"/>
  <c r="M82" i="60"/>
  <c r="L79" i="60"/>
  <c r="Q79" i="60"/>
  <c r="L78" i="60"/>
  <c r="Q78" i="60" s="1"/>
  <c r="Q77" i="60"/>
  <c r="L77" i="60"/>
  <c r="L76" i="60"/>
  <c r="Q76" i="60" s="1"/>
  <c r="L75" i="60"/>
  <c r="Q75" i="60" s="1"/>
  <c r="L74" i="60"/>
  <c r="Q74" i="60" s="1"/>
  <c r="T72" i="60"/>
  <c r="L72" i="60"/>
  <c r="T71" i="60"/>
  <c r="L70" i="60"/>
  <c r="T70" i="60"/>
  <c r="L69" i="60"/>
  <c r="T69" i="60"/>
  <c r="L68" i="60"/>
  <c r="T68" i="60"/>
  <c r="L67" i="60"/>
  <c r="T67" i="60"/>
  <c r="O66" i="60"/>
  <c r="M66" i="60"/>
  <c r="L66" i="60"/>
  <c r="O63" i="60"/>
  <c r="M63" i="60"/>
  <c r="O62" i="60"/>
  <c r="T62" i="60" s="1"/>
  <c r="T61" i="60"/>
  <c r="O60" i="60"/>
  <c r="O59" i="60"/>
  <c r="M59" i="60"/>
  <c r="M60" i="60" s="1"/>
  <c r="T60" i="60"/>
  <c r="O58" i="60"/>
  <c r="T58" i="60"/>
  <c r="O57" i="60"/>
  <c r="O56" i="60"/>
  <c r="M56" i="60"/>
  <c r="O54" i="60"/>
  <c r="T54" i="60" s="1"/>
  <c r="M54" i="60"/>
  <c r="O53" i="60"/>
  <c r="T53" i="60" s="1"/>
  <c r="O52" i="60"/>
  <c r="M52" i="60"/>
  <c r="T52" i="60" s="1"/>
  <c r="O51" i="60"/>
  <c r="T51" i="60" s="1"/>
  <c r="M49" i="60"/>
  <c r="L49" i="60"/>
  <c r="P48" i="60"/>
  <c r="L48" i="60"/>
  <c r="T48" i="60" s="1"/>
  <c r="P47" i="60"/>
  <c r="M47" i="60"/>
  <c r="L47" i="60"/>
  <c r="M46" i="60"/>
  <c r="L46" i="60"/>
  <c r="T46" i="60" s="1"/>
  <c r="N45" i="60"/>
  <c r="M45" i="60"/>
  <c r="Q44" i="60"/>
  <c r="L44" i="60"/>
  <c r="Q43" i="60"/>
  <c r="L43" i="60"/>
  <c r="T43" i="60"/>
  <c r="N42" i="60"/>
  <c r="M42" i="60"/>
  <c r="O40" i="60"/>
  <c r="T40" i="60" s="1"/>
  <c r="N40" i="60"/>
  <c r="M40" i="60"/>
  <c r="T39" i="60"/>
  <c r="T38" i="60"/>
  <c r="T37" i="60"/>
  <c r="L36" i="60"/>
  <c r="T36" i="60"/>
  <c r="N35" i="60"/>
  <c r="T35" i="60" s="1"/>
  <c r="M35" i="60"/>
  <c r="D89" i="60"/>
  <c r="C89" i="60"/>
  <c r="J89" i="60" s="1"/>
  <c r="B89" i="60"/>
  <c r="J86" i="60"/>
  <c r="D85" i="60"/>
  <c r="C85" i="60"/>
  <c r="D82" i="60"/>
  <c r="C82" i="60"/>
  <c r="J82" i="60"/>
  <c r="B79" i="60"/>
  <c r="G79" i="60" s="1"/>
  <c r="B78" i="60"/>
  <c r="G78" i="60" s="1"/>
  <c r="B77" i="60"/>
  <c r="G77" i="60" s="1"/>
  <c r="B76" i="60"/>
  <c r="G76" i="60"/>
  <c r="B75" i="60"/>
  <c r="G75" i="60" s="1"/>
  <c r="B74" i="60"/>
  <c r="G74" i="60" s="1"/>
  <c r="J72" i="60"/>
  <c r="B72" i="60"/>
  <c r="J71" i="60"/>
  <c r="B70" i="60"/>
  <c r="J70" i="60"/>
  <c r="B69" i="60"/>
  <c r="J69" i="60"/>
  <c r="B68" i="60"/>
  <c r="J68" i="60"/>
  <c r="B67" i="60"/>
  <c r="J67" i="60"/>
  <c r="E66" i="60"/>
  <c r="C66" i="60"/>
  <c r="B66" i="60"/>
  <c r="E63" i="60"/>
  <c r="C63" i="60"/>
  <c r="E62" i="60"/>
  <c r="J62" i="60" s="1"/>
  <c r="J61" i="60"/>
  <c r="E60" i="60"/>
  <c r="E59" i="60"/>
  <c r="C59" i="60"/>
  <c r="J59" i="60"/>
  <c r="E58" i="60"/>
  <c r="J58" i="60" s="1"/>
  <c r="E57" i="60"/>
  <c r="E56" i="60"/>
  <c r="C56" i="60"/>
  <c r="C57" i="60" s="1"/>
  <c r="E54" i="60"/>
  <c r="C54" i="60"/>
  <c r="E53" i="60"/>
  <c r="J53" i="60" s="1"/>
  <c r="E52" i="60"/>
  <c r="C52" i="60"/>
  <c r="E51" i="60"/>
  <c r="J51" i="60" s="1"/>
  <c r="C49" i="60"/>
  <c r="B49" i="60"/>
  <c r="F48" i="60"/>
  <c r="B48" i="60"/>
  <c r="F47" i="60"/>
  <c r="C47" i="60"/>
  <c r="B47" i="60"/>
  <c r="C46" i="60"/>
  <c r="B46" i="60"/>
  <c r="J46" i="60"/>
  <c r="D45" i="60"/>
  <c r="C45" i="60"/>
  <c r="G44" i="60"/>
  <c r="B44" i="60"/>
  <c r="J44" i="60"/>
  <c r="G43" i="60"/>
  <c r="B43" i="60"/>
  <c r="D42" i="60"/>
  <c r="C42" i="60"/>
  <c r="J42" i="60" s="1"/>
  <c r="E40" i="60"/>
  <c r="D40" i="60"/>
  <c r="C40" i="60"/>
  <c r="J39" i="60"/>
  <c r="J38" i="60"/>
  <c r="J37" i="60"/>
  <c r="B36" i="60"/>
  <c r="J36" i="60" s="1"/>
  <c r="D35" i="60"/>
  <c r="C35" i="60"/>
  <c r="N11" i="60"/>
  <c r="N26" i="60" s="1"/>
  <c r="G315" i="36" s="1"/>
  <c r="P11" i="60"/>
  <c r="P26" i="60" s="1"/>
  <c r="I315" i="36"/>
  <c r="R11" i="60"/>
  <c r="M11" i="60"/>
  <c r="N10" i="60"/>
  <c r="N25" i="60"/>
  <c r="G314" i="36" s="1"/>
  <c r="O10" i="60"/>
  <c r="P10" i="60"/>
  <c r="P25" i="60" s="1"/>
  <c r="I314" i="36" s="1"/>
  <c r="R10" i="60"/>
  <c r="R25" i="60" s="1"/>
  <c r="K314" i="36"/>
  <c r="S10" i="60"/>
  <c r="S25" i="60"/>
  <c r="L314" i="36" s="1"/>
  <c r="M10" i="60"/>
  <c r="M25" i="60" s="1"/>
  <c r="F314" i="36" s="1"/>
  <c r="S14" i="60"/>
  <c r="S29" i="60" s="1"/>
  <c r="L318" i="36" s="1"/>
  <c r="S13" i="60"/>
  <c r="S28" i="60" s="1"/>
  <c r="L317" i="36"/>
  <c r="R13" i="60"/>
  <c r="R28" i="60"/>
  <c r="K317" i="36" s="1"/>
  <c r="N13" i="60"/>
  <c r="N28" i="60" s="1"/>
  <c r="G317" i="36" s="1"/>
  <c r="M13" i="60"/>
  <c r="M28" i="60" s="1"/>
  <c r="F317" i="36" s="1"/>
  <c r="S12" i="60"/>
  <c r="S27" i="60" s="1"/>
  <c r="L316" i="36"/>
  <c r="R12" i="60"/>
  <c r="R27" i="60"/>
  <c r="K316" i="36" s="1"/>
  <c r="N12" i="60"/>
  <c r="N27" i="60" s="1"/>
  <c r="M12" i="60"/>
  <c r="N5" i="60"/>
  <c r="N20" i="60" s="1"/>
  <c r="G309" i="36" s="1"/>
  <c r="O5" i="60"/>
  <c r="O20" i="60" s="1"/>
  <c r="H309" i="36" s="1"/>
  <c r="P5" i="60"/>
  <c r="Q5" i="60"/>
  <c r="R5" i="60"/>
  <c r="R20" i="60"/>
  <c r="K309" i="36" s="1"/>
  <c r="S5" i="60"/>
  <c r="S20" i="60"/>
  <c r="L309" i="36" s="1"/>
  <c r="P20" i="60"/>
  <c r="I309" i="36"/>
  <c r="G316" i="36"/>
  <c r="R26" i="60"/>
  <c r="K315" i="36" s="1"/>
  <c r="M26" i="60"/>
  <c r="F315" i="36" s="1"/>
  <c r="O25" i="60"/>
  <c r="H314" i="36" s="1"/>
  <c r="S24" i="60"/>
  <c r="L313" i="36"/>
  <c r="R24" i="60"/>
  <c r="K313" i="36" s="1"/>
  <c r="Q24" i="60"/>
  <c r="J313" i="36" s="1"/>
  <c r="O24" i="60"/>
  <c r="H313" i="36" s="1"/>
  <c r="M24" i="60"/>
  <c r="F313" i="36"/>
  <c r="S23" i="60"/>
  <c r="L312" i="36" s="1"/>
  <c r="R23" i="60"/>
  <c r="K312" i="36" s="1"/>
  <c r="P23" i="60"/>
  <c r="I312" i="36" s="1"/>
  <c r="N23" i="60"/>
  <c r="G312" i="36"/>
  <c r="M23" i="60"/>
  <c r="F312" i="36" s="1"/>
  <c r="S22" i="60"/>
  <c r="L311" i="36" s="1"/>
  <c r="Q22" i="60"/>
  <c r="J311" i="36" s="1"/>
  <c r="O22" i="60"/>
  <c r="H311" i="36"/>
  <c r="N22" i="60"/>
  <c r="G311" i="36" s="1"/>
  <c r="M22" i="60"/>
  <c r="F311" i="36" s="1"/>
  <c r="S21" i="60"/>
  <c r="L310" i="36" s="1"/>
  <c r="R21" i="60"/>
  <c r="K310" i="36"/>
  <c r="Q21" i="60"/>
  <c r="J310" i="36" s="1"/>
  <c r="P21" i="60"/>
  <c r="I310" i="36" s="1"/>
  <c r="O21" i="60"/>
  <c r="H310" i="36" s="1"/>
  <c r="N21" i="60"/>
  <c r="G310" i="36"/>
  <c r="M21" i="60"/>
  <c r="F310" i="36" s="1"/>
  <c r="Q20" i="60"/>
  <c r="J309" i="36" s="1"/>
  <c r="P24" i="60"/>
  <c r="I313" i="36" s="1"/>
  <c r="Q23" i="60"/>
  <c r="J312" i="36"/>
  <c r="O23" i="60"/>
  <c r="H312" i="36" s="1"/>
  <c r="R22" i="60"/>
  <c r="K311" i="36" s="1"/>
  <c r="P22" i="60"/>
  <c r="I311" i="36" s="1"/>
  <c r="G14" i="60"/>
  <c r="G29" i="60"/>
  <c r="K305" i="36" s="1"/>
  <c r="R14" i="60"/>
  <c r="R29" i="60" s="1"/>
  <c r="K318" i="36"/>
  <c r="F14" i="60"/>
  <c r="Q14" i="60"/>
  <c r="Q29" i="60" s="1"/>
  <c r="J318" i="36" s="1"/>
  <c r="E14" i="60"/>
  <c r="E29" i="60" s="1"/>
  <c r="I305" i="36" s="1"/>
  <c r="D14" i="60"/>
  <c r="O14" i="60" s="1"/>
  <c r="O29" i="60" s="1"/>
  <c r="H318" i="36" s="1"/>
  <c r="C14" i="60"/>
  <c r="C29" i="60"/>
  <c r="N14" i="60"/>
  <c r="N29" i="60" s="1"/>
  <c r="G318" i="36"/>
  <c r="B14" i="60"/>
  <c r="M14" i="60"/>
  <c r="M29" i="60" s="1"/>
  <c r="F318" i="36" s="1"/>
  <c r="F13" i="60"/>
  <c r="F28" i="60" s="1"/>
  <c r="E13" i="60"/>
  <c r="E28" i="60"/>
  <c r="D13" i="60"/>
  <c r="D28" i="60" s="1"/>
  <c r="H304" i="36" s="1"/>
  <c r="D12" i="60"/>
  <c r="D27" i="60" s="1"/>
  <c r="H303" i="36" s="1"/>
  <c r="D11" i="60"/>
  <c r="D26" i="60"/>
  <c r="F12" i="60"/>
  <c r="F27" i="60"/>
  <c r="F11" i="60"/>
  <c r="Q11" i="60"/>
  <c r="Q26" i="60" s="1"/>
  <c r="J315" i="36"/>
  <c r="H27" i="60"/>
  <c r="L303" i="36"/>
  <c r="E12" i="60"/>
  <c r="E27" i="60" s="1"/>
  <c r="P12" i="60"/>
  <c r="P27" i="60" s="1"/>
  <c r="I316" i="36" s="1"/>
  <c r="H29" i="60"/>
  <c r="L305" i="36" s="1"/>
  <c r="F29" i="60"/>
  <c r="B29" i="60"/>
  <c r="F305" i="36"/>
  <c r="H28" i="60"/>
  <c r="L304" i="36"/>
  <c r="G28" i="60"/>
  <c r="K304" i="36"/>
  <c r="C28" i="60"/>
  <c r="G304" i="36"/>
  <c r="B28" i="60"/>
  <c r="F304" i="36"/>
  <c r="G27" i="60"/>
  <c r="K303" i="36"/>
  <c r="I303" i="36"/>
  <c r="C27" i="60"/>
  <c r="G303" i="36"/>
  <c r="B27" i="60"/>
  <c r="F303" i="36"/>
  <c r="G26" i="60"/>
  <c r="K313" i="61"/>
  <c r="K302" i="36"/>
  <c r="F26" i="60"/>
  <c r="J302" i="36" s="1"/>
  <c r="E26" i="60"/>
  <c r="I302" i="36"/>
  <c r="C26" i="60"/>
  <c r="G302" i="36" s="1"/>
  <c r="B26" i="60"/>
  <c r="F302" i="36" s="1"/>
  <c r="D25" i="60"/>
  <c r="H301" i="36" s="1"/>
  <c r="H11" i="60"/>
  <c r="H26" i="60"/>
  <c r="L302" i="36" s="1"/>
  <c r="B25" i="60"/>
  <c r="F10" i="60"/>
  <c r="F25" i="60"/>
  <c r="D9" i="60"/>
  <c r="C9" i="60"/>
  <c r="C24" i="60"/>
  <c r="E9" i="60"/>
  <c r="E24" i="60" s="1"/>
  <c r="F8" i="60"/>
  <c r="D8" i="60"/>
  <c r="D23" i="60"/>
  <c r="B21" i="60"/>
  <c r="C21" i="60"/>
  <c r="G297" i="36"/>
  <c r="D21" i="60"/>
  <c r="E21" i="60"/>
  <c r="I297" i="36" s="1"/>
  <c r="F21" i="60"/>
  <c r="G21" i="60"/>
  <c r="K297" i="36"/>
  <c r="H21" i="60"/>
  <c r="B22" i="60"/>
  <c r="C22" i="60"/>
  <c r="D22" i="60"/>
  <c r="H298" i="36" s="1"/>
  <c r="F22" i="60"/>
  <c r="H22" i="60"/>
  <c r="L298" i="36" s="1"/>
  <c r="B23" i="60"/>
  <c r="C23" i="60"/>
  <c r="G299" i="36"/>
  <c r="E23" i="60"/>
  <c r="F23" i="60"/>
  <c r="G23" i="60"/>
  <c r="H23" i="60"/>
  <c r="L299" i="36" s="1"/>
  <c r="B24" i="60"/>
  <c r="D24" i="60"/>
  <c r="H300" i="36"/>
  <c r="F24" i="60"/>
  <c r="G24" i="60"/>
  <c r="K300" i="36"/>
  <c r="H24" i="60"/>
  <c r="C25" i="60"/>
  <c r="G25" i="60"/>
  <c r="H25" i="60"/>
  <c r="L301" i="36"/>
  <c r="H20" i="60"/>
  <c r="G20" i="60"/>
  <c r="K296" i="36"/>
  <c r="F20" i="60"/>
  <c r="E20" i="60"/>
  <c r="I296" i="36" s="1"/>
  <c r="D20" i="60"/>
  <c r="C20" i="60"/>
  <c r="G7" i="60"/>
  <c r="G22" i="60" s="1"/>
  <c r="K298" i="36" s="1"/>
  <c r="E7" i="60"/>
  <c r="E22" i="60" s="1"/>
  <c r="B5" i="60"/>
  <c r="B20" i="60"/>
  <c r="M179" i="36"/>
  <c r="F282" i="36"/>
  <c r="M261" i="36"/>
  <c r="O261" i="36" s="1"/>
  <c r="G289" i="36"/>
  <c r="F289" i="36"/>
  <c r="E289" i="36"/>
  <c r="M289" i="36" s="1"/>
  <c r="H266" i="36"/>
  <c r="F266" i="36"/>
  <c r="E266" i="36"/>
  <c r="E182" i="36"/>
  <c r="E159" i="36"/>
  <c r="G182" i="36"/>
  <c r="F182" i="36"/>
  <c r="H159" i="36"/>
  <c r="F159" i="36"/>
  <c r="F247" i="36"/>
  <c r="J244" i="36"/>
  <c r="J243" i="36"/>
  <c r="F245" i="36"/>
  <c r="F242" i="36"/>
  <c r="G240" i="36"/>
  <c r="F240" i="36"/>
  <c r="M240" i="36"/>
  <c r="O240" i="36" s="1"/>
  <c r="M238" i="36"/>
  <c r="O238" i="36"/>
  <c r="M237" i="36"/>
  <c r="O237" i="36" s="1"/>
  <c r="M239" i="36"/>
  <c r="O239" i="36" s="1"/>
  <c r="G235" i="36"/>
  <c r="M286" i="36"/>
  <c r="G285" i="36"/>
  <c r="F285" i="36"/>
  <c r="G282" i="36"/>
  <c r="E279" i="36"/>
  <c r="J279" i="36"/>
  <c r="E278" i="36"/>
  <c r="J278" i="36"/>
  <c r="E277" i="36"/>
  <c r="J277" i="36"/>
  <c r="E276" i="36"/>
  <c r="J276" i="36"/>
  <c r="E275" i="36"/>
  <c r="J275" i="36"/>
  <c r="E272" i="36"/>
  <c r="M272" i="36"/>
  <c r="O272" i="36" s="1"/>
  <c r="E270" i="36"/>
  <c r="M270" i="36" s="1"/>
  <c r="O270" i="36" s="1"/>
  <c r="E269" i="36"/>
  <c r="M269" i="36"/>
  <c r="O269" i="36" s="1"/>
  <c r="E268" i="36"/>
  <c r="M268" i="36" s="1"/>
  <c r="O268" i="36" s="1"/>
  <c r="E267" i="36"/>
  <c r="M267" i="36"/>
  <c r="O267" i="36" s="1"/>
  <c r="H263" i="36"/>
  <c r="F263" i="36"/>
  <c r="H262" i="36"/>
  <c r="M262" i="36" s="1"/>
  <c r="O262" i="36" s="1"/>
  <c r="H260" i="36"/>
  <c r="H259" i="36"/>
  <c r="F259" i="36"/>
  <c r="H258" i="36"/>
  <c r="M258" i="36" s="1"/>
  <c r="O258" i="36"/>
  <c r="H257" i="36"/>
  <c r="H256" i="36"/>
  <c r="F256" i="36"/>
  <c r="H254" i="36"/>
  <c r="F254" i="36"/>
  <c r="H253" i="36"/>
  <c r="M253" i="36" s="1"/>
  <c r="O253" i="36" s="1"/>
  <c r="H252" i="36"/>
  <c r="F252" i="36"/>
  <c r="H251" i="36"/>
  <c r="M251" i="36"/>
  <c r="O251" i="36" s="1"/>
  <c r="F249" i="36"/>
  <c r="E249" i="36"/>
  <c r="I248" i="36"/>
  <c r="E248" i="36"/>
  <c r="I247" i="36"/>
  <c r="E247" i="36"/>
  <c r="E246" i="36"/>
  <c r="M246" i="36" s="1"/>
  <c r="O246" i="36" s="1"/>
  <c r="G245" i="36"/>
  <c r="E244" i="36"/>
  <c r="E243" i="36"/>
  <c r="M243" i="36"/>
  <c r="O243" i="36" s="1"/>
  <c r="G242" i="36"/>
  <c r="E236" i="36"/>
  <c r="M236" i="36"/>
  <c r="O236" i="36" s="1"/>
  <c r="F235" i="36"/>
  <c r="M235" i="36" s="1"/>
  <c r="M164" i="36"/>
  <c r="M28" i="36"/>
  <c r="M153" i="36"/>
  <c r="F156" i="36"/>
  <c r="H154" i="36"/>
  <c r="M154" i="36" s="1"/>
  <c r="H152" i="36"/>
  <c r="F151" i="36"/>
  <c r="H146" i="36"/>
  <c r="M145" i="36"/>
  <c r="F146" i="36"/>
  <c r="H150" i="36"/>
  <c r="M150" i="36"/>
  <c r="H149" i="36"/>
  <c r="H148" i="36"/>
  <c r="F148" i="36"/>
  <c r="F149" i="36"/>
  <c r="F144" i="36"/>
  <c r="H144" i="36"/>
  <c r="M143" i="36"/>
  <c r="G178" i="36"/>
  <c r="F178" i="36"/>
  <c r="F175" i="36"/>
  <c r="G175" i="36"/>
  <c r="E172" i="36"/>
  <c r="M172" i="36" s="1"/>
  <c r="E171" i="36"/>
  <c r="J171" i="36" s="1"/>
  <c r="E170" i="36"/>
  <c r="M170" i="36" s="1"/>
  <c r="E169" i="36"/>
  <c r="M169" i="36" s="1"/>
  <c r="E168" i="36"/>
  <c r="J168" i="36" s="1"/>
  <c r="E167" i="36"/>
  <c r="M167" i="36" s="1"/>
  <c r="E141" i="36"/>
  <c r="E203" i="36" s="1"/>
  <c r="E140" i="36"/>
  <c r="E139" i="36"/>
  <c r="E138" i="36"/>
  <c r="H139" i="36"/>
  <c r="F139" i="36"/>
  <c r="H138" i="36"/>
  <c r="F138" i="36"/>
  <c r="F141" i="36"/>
  <c r="F140" i="36"/>
  <c r="H137" i="36"/>
  <c r="E137" i="36"/>
  <c r="H136" i="36"/>
  <c r="E136" i="36"/>
  <c r="G133" i="36"/>
  <c r="G132" i="36"/>
  <c r="G129" i="36"/>
  <c r="G128" i="36"/>
  <c r="E135" i="36"/>
  <c r="E134" i="36"/>
  <c r="M134" i="36"/>
  <c r="F133" i="36"/>
  <c r="F132" i="36"/>
  <c r="E131" i="36"/>
  <c r="E130" i="36"/>
  <c r="F129" i="36"/>
  <c r="E165" i="36"/>
  <c r="E196" i="36" s="1"/>
  <c r="M196" i="36"/>
  <c r="E163" i="36"/>
  <c r="M163" i="36"/>
  <c r="E162" i="36"/>
  <c r="M162" i="36"/>
  <c r="E161" i="36"/>
  <c r="M161" i="36"/>
  <c r="E160" i="36"/>
  <c r="M160" i="36"/>
  <c r="G126" i="36"/>
  <c r="F126" i="36"/>
  <c r="M124" i="36"/>
  <c r="M123" i="36"/>
  <c r="F121" i="36"/>
  <c r="M121" i="36"/>
  <c r="E190" i="36"/>
  <c r="H186" i="36"/>
  <c r="I191" i="31"/>
  <c r="N176" i="31"/>
  <c r="N175" i="31"/>
  <c r="N173" i="31"/>
  <c r="N166" i="31"/>
  <c r="N165" i="31"/>
  <c r="N164" i="31"/>
  <c r="N163" i="31"/>
  <c r="N159" i="31"/>
  <c r="N156" i="31"/>
  <c r="N155" i="31"/>
  <c r="K204" i="31"/>
  <c r="K205" i="31" s="1"/>
  <c r="K206" i="31" s="1"/>
  <c r="K207" i="31" s="1"/>
  <c r="K208" i="31" s="1"/>
  <c r="K209" i="31" s="1"/>
  <c r="K210" i="31" s="1"/>
  <c r="K211" i="31" s="1"/>
  <c r="M191" i="31"/>
  <c r="F359" i="26"/>
  <c r="K261" i="7"/>
  <c r="L201" i="7"/>
  <c r="K41" i="7"/>
  <c r="J41" i="7"/>
  <c r="K40" i="7"/>
  <c r="J40" i="7"/>
  <c r="K39" i="7"/>
  <c r="J39" i="7"/>
  <c r="K38" i="7"/>
  <c r="J38" i="7"/>
  <c r="K37" i="7"/>
  <c r="J37" i="7"/>
  <c r="K36" i="7"/>
  <c r="J36" i="7"/>
  <c r="K35" i="7"/>
  <c r="J35" i="7"/>
  <c r="K34" i="7"/>
  <c r="J34" i="7"/>
  <c r="M34" i="7" s="1"/>
  <c r="K33" i="7"/>
  <c r="J33" i="7"/>
  <c r="K32" i="7"/>
  <c r="J32" i="7"/>
  <c r="K212" i="7"/>
  <c r="L54" i="7"/>
  <c r="F346" i="36"/>
  <c r="B35" i="18"/>
  <c r="K147" i="39"/>
  <c r="G147" i="39"/>
  <c r="J147" i="39" s="1"/>
  <c r="H135" i="39"/>
  <c r="M135" i="39"/>
  <c r="M136" i="39"/>
  <c r="M128" i="39"/>
  <c r="M132" i="39" s="1"/>
  <c r="M663" i="9"/>
  <c r="H126" i="39"/>
  <c r="M126" i="39"/>
  <c r="G47" i="39"/>
  <c r="H140" i="39"/>
  <c r="G150" i="39" s="1"/>
  <c r="H129" i="39"/>
  <c r="F22" i="47"/>
  <c r="F26" i="47"/>
  <c r="M579" i="9"/>
  <c r="I579" i="9"/>
  <c r="H579" i="9"/>
  <c r="M578" i="9"/>
  <c r="I578" i="9"/>
  <c r="H578" i="9"/>
  <c r="M577" i="9"/>
  <c r="I577" i="9"/>
  <c r="H577" i="9"/>
  <c r="O1785" i="9"/>
  <c r="P1785" i="9" s="1"/>
  <c r="O1784" i="9"/>
  <c r="P1784" i="9" s="1"/>
  <c r="O1783" i="9"/>
  <c r="P1783" i="9" s="1"/>
  <c r="O1782" i="9"/>
  <c r="P1782" i="9" s="1"/>
  <c r="O1781" i="9"/>
  <c r="P1781" i="9" s="1"/>
  <c r="O1780" i="9"/>
  <c r="P1780" i="9" s="1"/>
  <c r="O1779" i="9"/>
  <c r="P1779" i="9" s="1"/>
  <c r="O1778" i="9"/>
  <c r="P1778" i="9" s="1"/>
  <c r="O1777" i="9"/>
  <c r="P1777" i="9" s="1"/>
  <c r="O1776" i="9"/>
  <c r="P1776" i="9" s="1"/>
  <c r="O1775" i="9"/>
  <c r="P1775" i="9" s="1"/>
  <c r="O1774" i="9"/>
  <c r="P1774" i="9" s="1"/>
  <c r="O1773" i="9"/>
  <c r="P1773" i="9" s="1"/>
  <c r="O1772" i="9"/>
  <c r="P1772" i="9" s="1"/>
  <c r="O1771" i="9"/>
  <c r="P1771" i="9" s="1"/>
  <c r="O1770" i="9"/>
  <c r="P1770" i="9" s="1"/>
  <c r="O1769" i="9"/>
  <c r="P1769" i="9" s="1"/>
  <c r="O1768" i="9"/>
  <c r="P1768" i="9" s="1"/>
  <c r="O1767" i="9"/>
  <c r="P1767" i="9" s="1"/>
  <c r="O1766" i="9"/>
  <c r="P1766" i="9"/>
  <c r="K1785" i="9"/>
  <c r="K1784" i="9"/>
  <c r="K1783" i="9"/>
  <c r="K1782" i="9"/>
  <c r="K1781" i="9"/>
  <c r="K1780" i="9"/>
  <c r="K1779" i="9"/>
  <c r="K1778" i="9"/>
  <c r="K1777" i="9"/>
  <c r="K1776" i="9"/>
  <c r="K1775" i="9"/>
  <c r="K1774" i="9"/>
  <c r="K1773" i="9"/>
  <c r="K1772" i="9"/>
  <c r="K1771" i="9"/>
  <c r="K1770" i="9"/>
  <c r="K1769" i="9"/>
  <c r="K1768" i="9"/>
  <c r="K1767" i="9"/>
  <c r="K1766" i="9"/>
  <c r="J24" i="47"/>
  <c r="J23" i="47"/>
  <c r="H6" i="58"/>
  <c r="I6" i="58"/>
  <c r="K6" i="58"/>
  <c r="H7" i="58"/>
  <c r="K7" i="58"/>
  <c r="H8" i="58"/>
  <c r="J8" i="58" s="1"/>
  <c r="I8" i="58"/>
  <c r="K8" i="58"/>
  <c r="H9" i="58"/>
  <c r="K9" i="58"/>
  <c r="H10" i="58"/>
  <c r="I10" i="58" s="1"/>
  <c r="K10" i="58"/>
  <c r="H11" i="58"/>
  <c r="K11" i="58"/>
  <c r="H12" i="58"/>
  <c r="K12" i="58"/>
  <c r="H13" i="58"/>
  <c r="J13" i="58"/>
  <c r="K13" i="58"/>
  <c r="H14" i="58"/>
  <c r="K14" i="58"/>
  <c r="H15" i="58"/>
  <c r="I15" i="58" s="1"/>
  <c r="J15" i="58"/>
  <c r="K15" i="58"/>
  <c r="H16" i="58"/>
  <c r="I16" i="58" s="1"/>
  <c r="J16" i="58"/>
  <c r="K16" i="58"/>
  <c r="H17" i="58"/>
  <c r="J17" i="58" s="1"/>
  <c r="K17" i="58"/>
  <c r="H18" i="58"/>
  <c r="K18" i="58"/>
  <c r="H19" i="58"/>
  <c r="J19" i="58" s="1"/>
  <c r="I19" i="58"/>
  <c r="K19" i="58"/>
  <c r="H20" i="58"/>
  <c r="K20" i="58"/>
  <c r="H21" i="58"/>
  <c r="J21" i="58"/>
  <c r="K21" i="58"/>
  <c r="H22" i="58"/>
  <c r="K22" i="58"/>
  <c r="H23" i="58"/>
  <c r="K23" i="58"/>
  <c r="H24" i="58"/>
  <c r="J24" i="58" s="1"/>
  <c r="K24" i="58"/>
  <c r="H25" i="58"/>
  <c r="J25" i="58" s="1"/>
  <c r="K25" i="58"/>
  <c r="H26" i="58"/>
  <c r="K26" i="58"/>
  <c r="H27" i="58"/>
  <c r="K27" i="58"/>
  <c r="H28" i="58"/>
  <c r="K28" i="58"/>
  <c r="H29" i="58"/>
  <c r="J29" i="58" s="1"/>
  <c r="K29" i="58"/>
  <c r="H30" i="58"/>
  <c r="K30" i="58"/>
  <c r="H31" i="58"/>
  <c r="J31" i="58" s="1"/>
  <c r="K31" i="58"/>
  <c r="H32" i="58"/>
  <c r="J32" i="58" s="1"/>
  <c r="K32" i="58"/>
  <c r="H33" i="58"/>
  <c r="J33" i="58"/>
  <c r="K33" i="58"/>
  <c r="H34" i="58"/>
  <c r="K34" i="58"/>
  <c r="H35" i="58"/>
  <c r="I35" i="58" s="1"/>
  <c r="K35" i="58"/>
  <c r="H36" i="58"/>
  <c r="I36" i="58" s="1"/>
  <c r="J36" i="58"/>
  <c r="K36" i="58"/>
  <c r="H37" i="58"/>
  <c r="K37" i="58"/>
  <c r="H38" i="58"/>
  <c r="K38" i="58"/>
  <c r="H39" i="58"/>
  <c r="I39" i="58" s="1"/>
  <c r="J39" i="58"/>
  <c r="K39" i="58"/>
  <c r="H40" i="58"/>
  <c r="I40" i="58" s="1"/>
  <c r="K40" i="58"/>
  <c r="H41" i="58"/>
  <c r="K41" i="58"/>
  <c r="H42" i="58"/>
  <c r="K42" i="58"/>
  <c r="H43" i="58"/>
  <c r="I43" i="58" s="1"/>
  <c r="K43" i="58"/>
  <c r="H44" i="58"/>
  <c r="I44" i="58" s="1"/>
  <c r="J44" i="58"/>
  <c r="K44" i="58"/>
  <c r="H45" i="58"/>
  <c r="K45" i="58"/>
  <c r="H46" i="58"/>
  <c r="K46" i="58"/>
  <c r="H47" i="58"/>
  <c r="I47" i="58" s="1"/>
  <c r="J47" i="58"/>
  <c r="K47" i="58"/>
  <c r="H48" i="58"/>
  <c r="I48" i="58" s="1"/>
  <c r="K48" i="58"/>
  <c r="H49" i="58"/>
  <c r="K49" i="58"/>
  <c r="H50" i="58"/>
  <c r="K50" i="58"/>
  <c r="H51" i="58"/>
  <c r="I51" i="58" s="1"/>
  <c r="K51" i="58"/>
  <c r="H52" i="58"/>
  <c r="I52" i="58" s="1"/>
  <c r="J52" i="58"/>
  <c r="K52" i="58"/>
  <c r="H53" i="58"/>
  <c r="K53" i="58"/>
  <c r="H54" i="58"/>
  <c r="K54" i="58"/>
  <c r="H55" i="58"/>
  <c r="I55" i="58" s="1"/>
  <c r="J55" i="58"/>
  <c r="K55" i="58"/>
  <c r="H56" i="58"/>
  <c r="I56" i="58" s="1"/>
  <c r="K56" i="58"/>
  <c r="H57" i="58"/>
  <c r="K57" i="58"/>
  <c r="H58" i="58"/>
  <c r="K58" i="58"/>
  <c r="H59" i="58"/>
  <c r="I59" i="58" s="1"/>
  <c r="K59" i="58"/>
  <c r="H60" i="58"/>
  <c r="I60" i="58" s="1"/>
  <c r="J60" i="58"/>
  <c r="K60" i="58"/>
  <c r="H61" i="58"/>
  <c r="K61" i="58"/>
  <c r="H62" i="58"/>
  <c r="K62" i="58"/>
  <c r="H63" i="58"/>
  <c r="I63" i="58" s="1"/>
  <c r="J63" i="58"/>
  <c r="K63" i="58"/>
  <c r="H64" i="58"/>
  <c r="I64" i="58" s="1"/>
  <c r="K64" i="58"/>
  <c r="H65" i="58"/>
  <c r="K65" i="58"/>
  <c r="H66" i="58"/>
  <c r="K66" i="58"/>
  <c r="H67" i="58"/>
  <c r="I67" i="58" s="1"/>
  <c r="K67" i="58"/>
  <c r="H68" i="58"/>
  <c r="K68" i="58"/>
  <c r="H69" i="58"/>
  <c r="J69" i="58" s="1"/>
  <c r="K69" i="58"/>
  <c r="H70" i="58"/>
  <c r="I70" i="58"/>
  <c r="K70" i="58"/>
  <c r="H71" i="58"/>
  <c r="I71" i="58" s="1"/>
  <c r="J71" i="58"/>
  <c r="K71" i="58"/>
  <c r="H72" i="58"/>
  <c r="I72" i="58" s="1"/>
  <c r="J72" i="58"/>
  <c r="K72" i="58"/>
  <c r="H73" i="58"/>
  <c r="J73" i="58" s="1"/>
  <c r="K73" i="58"/>
  <c r="H74" i="58"/>
  <c r="I74" i="58" s="1"/>
  <c r="K74" i="58"/>
  <c r="H75" i="58"/>
  <c r="I75" i="58" s="1"/>
  <c r="J75" i="58"/>
  <c r="K75" i="58"/>
  <c r="H76" i="58"/>
  <c r="K76" i="58"/>
  <c r="H77" i="58"/>
  <c r="J77" i="58" s="1"/>
  <c r="K77" i="58"/>
  <c r="H78" i="58"/>
  <c r="K78" i="58"/>
  <c r="H79" i="58"/>
  <c r="J79" i="58" s="1"/>
  <c r="K79" i="58"/>
  <c r="H80" i="58"/>
  <c r="J80" i="58" s="1"/>
  <c r="K80" i="58"/>
  <c r="H81" i="58"/>
  <c r="I81" i="58" s="1"/>
  <c r="J81" i="58"/>
  <c r="K81" i="58"/>
  <c r="H82" i="58"/>
  <c r="J82" i="58" s="1"/>
  <c r="I82" i="58"/>
  <c r="K82" i="58"/>
  <c r="H83" i="58"/>
  <c r="J83" i="58" s="1"/>
  <c r="K83" i="58"/>
  <c r="H84" i="58"/>
  <c r="J84" i="58" s="1"/>
  <c r="K84" i="58"/>
  <c r="H85" i="58"/>
  <c r="K85" i="58"/>
  <c r="H86" i="58"/>
  <c r="K86" i="58"/>
  <c r="H87" i="58"/>
  <c r="J87" i="58" s="1"/>
  <c r="I87" i="58"/>
  <c r="K87" i="58"/>
  <c r="H88" i="58"/>
  <c r="J88" i="58" s="1"/>
  <c r="I88" i="58"/>
  <c r="K88" i="58"/>
  <c r="H89" i="58"/>
  <c r="J89" i="58"/>
  <c r="K89" i="58"/>
  <c r="H90" i="58"/>
  <c r="I90" i="58"/>
  <c r="K90" i="58"/>
  <c r="H91" i="58"/>
  <c r="I91" i="58" s="1"/>
  <c r="K91" i="58"/>
  <c r="H92" i="58"/>
  <c r="J92" i="58" s="1"/>
  <c r="K92" i="58"/>
  <c r="H93" i="58"/>
  <c r="K93" i="58"/>
  <c r="H94" i="58"/>
  <c r="K94" i="58"/>
  <c r="H95" i="58"/>
  <c r="J95" i="58" s="1"/>
  <c r="I95" i="58"/>
  <c r="K95" i="58"/>
  <c r="H96" i="58"/>
  <c r="J96" i="58" s="1"/>
  <c r="K96" i="58"/>
  <c r="H97" i="58"/>
  <c r="J97" i="58" s="1"/>
  <c r="K97" i="58"/>
  <c r="H98" i="58"/>
  <c r="I98" i="58"/>
  <c r="K98" i="58"/>
  <c r="H99" i="58"/>
  <c r="J99" i="58"/>
  <c r="I99" i="58"/>
  <c r="K99" i="58"/>
  <c r="H100" i="58"/>
  <c r="I100" i="58"/>
  <c r="K100" i="58"/>
  <c r="H101" i="58"/>
  <c r="K101" i="58"/>
  <c r="H102" i="58"/>
  <c r="K102" i="58"/>
  <c r="H103" i="58"/>
  <c r="J103" i="58" s="1"/>
  <c r="K103" i="58"/>
  <c r="H104" i="58"/>
  <c r="I104" i="58" s="1"/>
  <c r="J104" i="58"/>
  <c r="K104" i="58"/>
  <c r="H105" i="58"/>
  <c r="J105" i="58" s="1"/>
  <c r="I105" i="58"/>
  <c r="K105" i="58"/>
  <c r="H106" i="58"/>
  <c r="J106" i="58" s="1"/>
  <c r="K106" i="58"/>
  <c r="H107" i="58"/>
  <c r="J107" i="58" s="1"/>
  <c r="K107" i="58"/>
  <c r="H108" i="58"/>
  <c r="I108" i="58"/>
  <c r="J108" i="58"/>
  <c r="K108" i="58"/>
  <c r="H109" i="58"/>
  <c r="K109" i="58"/>
  <c r="H110" i="58"/>
  <c r="K110" i="58"/>
  <c r="H111" i="58"/>
  <c r="J111" i="58"/>
  <c r="I111" i="58"/>
  <c r="K111" i="58"/>
  <c r="H112" i="58"/>
  <c r="J112" i="58"/>
  <c r="K112" i="58"/>
  <c r="H113" i="58"/>
  <c r="I113" i="58" s="1"/>
  <c r="K113" i="58"/>
  <c r="H114" i="58"/>
  <c r="K114" i="58"/>
  <c r="H115" i="58"/>
  <c r="I115" i="58" s="1"/>
  <c r="J115" i="58"/>
  <c r="K115" i="58"/>
  <c r="H116" i="58"/>
  <c r="J116" i="58"/>
  <c r="K116" i="58"/>
  <c r="H117" i="58"/>
  <c r="K117" i="58"/>
  <c r="H118" i="58"/>
  <c r="K118" i="58"/>
  <c r="H119" i="58"/>
  <c r="I119" i="58" s="1"/>
  <c r="K119" i="58"/>
  <c r="H120" i="58"/>
  <c r="I120" i="58"/>
  <c r="K120" i="58"/>
  <c r="H121" i="58"/>
  <c r="J121" i="58" s="1"/>
  <c r="K121" i="58"/>
  <c r="H122" i="58"/>
  <c r="I122" i="58" s="1"/>
  <c r="K122" i="58"/>
  <c r="H123" i="58"/>
  <c r="K123" i="58"/>
  <c r="H124" i="58"/>
  <c r="J124" i="58" s="1"/>
  <c r="K124" i="58"/>
  <c r="H125" i="58"/>
  <c r="K125" i="58"/>
  <c r="H126" i="58"/>
  <c r="K126" i="58"/>
  <c r="H127" i="58"/>
  <c r="I127" i="58"/>
  <c r="K127" i="58"/>
  <c r="H128" i="58"/>
  <c r="I128" i="58" s="1"/>
  <c r="J128" i="58"/>
  <c r="K128" i="58"/>
  <c r="H129" i="58"/>
  <c r="J129" i="58" s="1"/>
  <c r="K129" i="58"/>
  <c r="H130" i="58"/>
  <c r="I130" i="58" s="1"/>
  <c r="K130" i="58"/>
  <c r="H131" i="58"/>
  <c r="I131" i="58"/>
  <c r="J131" i="58"/>
  <c r="K131" i="58"/>
  <c r="H132" i="58"/>
  <c r="J132" i="58"/>
  <c r="I132" i="58"/>
  <c r="K132" i="58"/>
  <c r="H133" i="58"/>
  <c r="K133" i="58"/>
  <c r="H134" i="58"/>
  <c r="K134" i="58"/>
  <c r="H135" i="58"/>
  <c r="I135" i="58"/>
  <c r="J135" i="58"/>
  <c r="K135" i="58"/>
  <c r="H136" i="58"/>
  <c r="I136" i="58"/>
  <c r="J136" i="58"/>
  <c r="K136" i="58"/>
  <c r="H137" i="58"/>
  <c r="J137" i="58"/>
  <c r="I137" i="58"/>
  <c r="K137" i="58"/>
  <c r="H138" i="58"/>
  <c r="I138" i="58"/>
  <c r="J138" i="58"/>
  <c r="K138" i="58"/>
  <c r="H139" i="58"/>
  <c r="I139" i="58"/>
  <c r="J139" i="58"/>
  <c r="K139" i="58"/>
  <c r="H140" i="58"/>
  <c r="J140" i="58"/>
  <c r="K140" i="58"/>
  <c r="H141" i="58"/>
  <c r="K141" i="58"/>
  <c r="H142" i="58"/>
  <c r="K142" i="58"/>
  <c r="H143" i="58"/>
  <c r="I143" i="58"/>
  <c r="J143" i="58"/>
  <c r="K143" i="58"/>
  <c r="H144" i="58"/>
  <c r="I144" i="58"/>
  <c r="J144" i="58"/>
  <c r="K144" i="58"/>
  <c r="H145" i="58"/>
  <c r="J145" i="58"/>
  <c r="K145" i="58"/>
  <c r="H146" i="58"/>
  <c r="I146" i="58" s="1"/>
  <c r="K146" i="58"/>
  <c r="H147" i="58"/>
  <c r="I147" i="58" s="1"/>
  <c r="J147" i="58"/>
  <c r="K147" i="58"/>
  <c r="H148" i="58"/>
  <c r="J148" i="58" s="1"/>
  <c r="K148" i="58"/>
  <c r="H149" i="58"/>
  <c r="K149" i="58"/>
  <c r="H150" i="58"/>
  <c r="K150" i="58"/>
  <c r="H151" i="58"/>
  <c r="I151" i="58" s="1"/>
  <c r="K151" i="58"/>
  <c r="H152" i="58"/>
  <c r="I152" i="58"/>
  <c r="K152" i="58"/>
  <c r="H153" i="58"/>
  <c r="J153" i="58" s="1"/>
  <c r="K153" i="58"/>
  <c r="H154" i="58"/>
  <c r="I154" i="58" s="1"/>
  <c r="K154" i="58"/>
  <c r="H155" i="58"/>
  <c r="J155" i="58" s="1"/>
  <c r="K155" i="58"/>
  <c r="H156" i="58"/>
  <c r="I156" i="58" s="1"/>
  <c r="K156" i="58"/>
  <c r="H157" i="58"/>
  <c r="K157" i="58"/>
  <c r="H158" i="58"/>
  <c r="K158" i="58"/>
  <c r="H159" i="58"/>
  <c r="I159" i="58"/>
  <c r="K159" i="58"/>
  <c r="H160" i="58"/>
  <c r="I160" i="58"/>
  <c r="K160" i="58"/>
  <c r="H161" i="58"/>
  <c r="J161" i="58" s="1"/>
  <c r="K161" i="58"/>
  <c r="H162" i="58"/>
  <c r="K162" i="58"/>
  <c r="H163" i="58"/>
  <c r="I163" i="58" s="1"/>
  <c r="K163" i="58"/>
  <c r="H164" i="58"/>
  <c r="J164" i="58" s="1"/>
  <c r="K164" i="58"/>
  <c r="H165" i="58"/>
  <c r="K165" i="58"/>
  <c r="H166" i="58"/>
  <c r="K166" i="58"/>
  <c r="H167" i="58"/>
  <c r="K167" i="58"/>
  <c r="H168" i="58"/>
  <c r="K168" i="58"/>
  <c r="H169" i="58"/>
  <c r="J169" i="58" s="1"/>
  <c r="K169" i="58"/>
  <c r="H170" i="58"/>
  <c r="I170" i="58"/>
  <c r="K170" i="58"/>
  <c r="H171" i="58"/>
  <c r="I171" i="58" s="1"/>
  <c r="J171" i="58"/>
  <c r="K171" i="58"/>
  <c r="H172" i="58"/>
  <c r="J172" i="58" s="1"/>
  <c r="K172" i="58"/>
  <c r="H173" i="58"/>
  <c r="K173" i="58"/>
  <c r="H174" i="58"/>
  <c r="K174" i="58"/>
  <c r="H175" i="58"/>
  <c r="J175" i="58"/>
  <c r="K175" i="58"/>
  <c r="H176" i="58"/>
  <c r="J176" i="58"/>
  <c r="I176" i="58"/>
  <c r="K176" i="58"/>
  <c r="H177" i="58"/>
  <c r="I177" i="58"/>
  <c r="J177" i="58"/>
  <c r="K177" i="58"/>
  <c r="H178" i="58"/>
  <c r="J178" i="58"/>
  <c r="K178" i="58"/>
  <c r="H179" i="58"/>
  <c r="I179" i="58"/>
  <c r="K179" i="58"/>
  <c r="H180" i="58"/>
  <c r="K180" i="58"/>
  <c r="H181" i="58"/>
  <c r="I181" i="58" s="1"/>
  <c r="J181" i="58"/>
  <c r="K181" i="58"/>
  <c r="H182" i="58"/>
  <c r="J182" i="58" s="1"/>
  <c r="I182" i="58"/>
  <c r="K182" i="58"/>
  <c r="H183" i="58"/>
  <c r="I183" i="58" s="1"/>
  <c r="K183" i="58"/>
  <c r="H184" i="58"/>
  <c r="K184" i="58"/>
  <c r="H185" i="58"/>
  <c r="J185" i="58" s="1"/>
  <c r="K185" i="58"/>
  <c r="H186" i="58"/>
  <c r="J186" i="58" s="1"/>
  <c r="K186" i="58"/>
  <c r="H187" i="58"/>
  <c r="I187" i="58" s="1"/>
  <c r="K187" i="58"/>
  <c r="H188" i="58"/>
  <c r="K188" i="58"/>
  <c r="H189" i="58"/>
  <c r="J189" i="58" s="1"/>
  <c r="K189" i="58"/>
  <c r="H190" i="58"/>
  <c r="K190" i="58"/>
  <c r="H191" i="58"/>
  <c r="J191" i="58" s="1"/>
  <c r="K191" i="58"/>
  <c r="H192" i="58"/>
  <c r="K192" i="58"/>
  <c r="H193" i="58"/>
  <c r="I193" i="58"/>
  <c r="J193" i="58"/>
  <c r="K193" i="58"/>
  <c r="H194" i="58"/>
  <c r="J194" i="58"/>
  <c r="K194" i="58"/>
  <c r="H195" i="58"/>
  <c r="I195" i="58" s="1"/>
  <c r="K195" i="58"/>
  <c r="H196" i="58"/>
  <c r="K196" i="58"/>
  <c r="H197" i="58"/>
  <c r="J197" i="58" s="1"/>
  <c r="K197" i="58"/>
  <c r="H198" i="58"/>
  <c r="I198" i="58" s="1"/>
  <c r="J198" i="58"/>
  <c r="K198" i="58"/>
  <c r="H199" i="58"/>
  <c r="J199" i="58" s="1"/>
  <c r="K199" i="58"/>
  <c r="H200" i="58"/>
  <c r="K200" i="58"/>
  <c r="H201" i="58"/>
  <c r="I201" i="58" s="1"/>
  <c r="K201" i="58"/>
  <c r="H202" i="58"/>
  <c r="J202" i="58"/>
  <c r="K202" i="58"/>
  <c r="H203" i="58"/>
  <c r="I203" i="58" s="1"/>
  <c r="K203" i="58"/>
  <c r="H204" i="58"/>
  <c r="K204" i="58"/>
  <c r="H205" i="58"/>
  <c r="J205" i="58"/>
  <c r="K205" i="58"/>
  <c r="H206" i="58"/>
  <c r="I206" i="58" s="1"/>
  <c r="J206" i="58"/>
  <c r="K206" i="58"/>
  <c r="H207" i="58"/>
  <c r="J207" i="58" s="1"/>
  <c r="I207" i="58"/>
  <c r="K207" i="58"/>
  <c r="H208" i="58"/>
  <c r="K208" i="58"/>
  <c r="H209" i="58"/>
  <c r="I209" i="58" s="1"/>
  <c r="J209" i="58"/>
  <c r="K209" i="58"/>
  <c r="H210" i="58"/>
  <c r="J210" i="58" s="1"/>
  <c r="K210" i="58"/>
  <c r="H211" i="58"/>
  <c r="I211" i="58" s="1"/>
  <c r="K211" i="58"/>
  <c r="H212" i="58"/>
  <c r="J212" i="58" s="1"/>
  <c r="I212" i="58"/>
  <c r="K212" i="58"/>
  <c r="H213" i="58"/>
  <c r="J213" i="58" s="1"/>
  <c r="I213" i="58"/>
  <c r="K213" i="58"/>
  <c r="H214" i="58"/>
  <c r="I214" i="58" s="1"/>
  <c r="K214" i="58"/>
  <c r="H215" i="58"/>
  <c r="J215" i="58" s="1"/>
  <c r="I215" i="58"/>
  <c r="K215" i="58"/>
  <c r="H216" i="58"/>
  <c r="J216" i="58" s="1"/>
  <c r="I216" i="58"/>
  <c r="K216" i="58"/>
  <c r="H217" i="58"/>
  <c r="I217" i="58" s="1"/>
  <c r="J217" i="58"/>
  <c r="K217" i="58"/>
  <c r="H218" i="58"/>
  <c r="J218" i="58" s="1"/>
  <c r="K218" i="58"/>
  <c r="H219" i="58"/>
  <c r="I219" i="58"/>
  <c r="K219" i="58"/>
  <c r="H220" i="58"/>
  <c r="J220" i="58" s="1"/>
  <c r="K220" i="58"/>
  <c r="H221" i="58"/>
  <c r="K221" i="58"/>
  <c r="H222" i="58"/>
  <c r="I222" i="58"/>
  <c r="J222" i="58"/>
  <c r="K222" i="58"/>
  <c r="H223" i="58"/>
  <c r="J223" i="58"/>
  <c r="I223" i="58"/>
  <c r="K223" i="58"/>
  <c r="H224" i="58"/>
  <c r="J224" i="58"/>
  <c r="I224" i="58"/>
  <c r="K224" i="58"/>
  <c r="H225" i="58"/>
  <c r="K225" i="58"/>
  <c r="H226" i="58"/>
  <c r="J226" i="58" s="1"/>
  <c r="K226" i="58"/>
  <c r="H227" i="58"/>
  <c r="I227" i="58"/>
  <c r="K227" i="58"/>
  <c r="H228" i="58"/>
  <c r="I228" i="58" s="1"/>
  <c r="J228" i="58"/>
  <c r="K228" i="58"/>
  <c r="H229" i="58"/>
  <c r="I229" i="58" s="1"/>
  <c r="J229" i="58"/>
  <c r="K229" i="58"/>
  <c r="H230" i="58"/>
  <c r="J230" i="58" s="1"/>
  <c r="I230" i="58"/>
  <c r="K230" i="58"/>
  <c r="H231" i="58"/>
  <c r="I231" i="58" s="1"/>
  <c r="J231" i="58"/>
  <c r="K231" i="58"/>
  <c r="H232" i="58"/>
  <c r="I232" i="58" s="1"/>
  <c r="J232" i="58"/>
  <c r="K232" i="58"/>
  <c r="H233" i="58"/>
  <c r="J233" i="58" s="1"/>
  <c r="I233" i="58"/>
  <c r="K233" i="58"/>
  <c r="H234" i="58"/>
  <c r="J234" i="58" s="1"/>
  <c r="K234" i="58"/>
  <c r="H235" i="58"/>
  <c r="I235" i="58"/>
  <c r="K235" i="58"/>
  <c r="H236" i="58"/>
  <c r="J236" i="58" s="1"/>
  <c r="K236" i="58"/>
  <c r="H237" i="58"/>
  <c r="J237" i="58" s="1"/>
  <c r="I237" i="58"/>
  <c r="K237" i="58"/>
  <c r="H238" i="58"/>
  <c r="K238" i="58"/>
  <c r="H239" i="58"/>
  <c r="I239" i="58" s="1"/>
  <c r="K239" i="58"/>
  <c r="H240" i="58"/>
  <c r="I240" i="58" s="1"/>
  <c r="J240" i="58"/>
  <c r="K240" i="58"/>
  <c r="H241" i="58"/>
  <c r="J241" i="58" s="1"/>
  <c r="I241" i="58"/>
  <c r="K241" i="58"/>
  <c r="H242" i="58"/>
  <c r="K242" i="58"/>
  <c r="H243" i="58"/>
  <c r="K243" i="58"/>
  <c r="H244" i="58"/>
  <c r="K244" i="58"/>
  <c r="H245" i="58"/>
  <c r="J245" i="58" s="1"/>
  <c r="K245" i="58"/>
  <c r="H246" i="58"/>
  <c r="I246" i="58" s="1"/>
  <c r="J246" i="58"/>
  <c r="K246" i="58"/>
  <c r="H247" i="58"/>
  <c r="J247" i="58" s="1"/>
  <c r="K247" i="58"/>
  <c r="H248" i="58"/>
  <c r="K248" i="58"/>
  <c r="H249" i="58"/>
  <c r="J249" i="58"/>
  <c r="K249" i="58"/>
  <c r="H250" i="58"/>
  <c r="K250" i="58"/>
  <c r="H251" i="58"/>
  <c r="K251" i="58"/>
  <c r="H252" i="58"/>
  <c r="J252" i="58"/>
  <c r="K252" i="58"/>
  <c r="H253" i="58"/>
  <c r="J253" i="58" s="1"/>
  <c r="K253" i="58"/>
  <c r="H254" i="58"/>
  <c r="I254" i="58"/>
  <c r="K254" i="58"/>
  <c r="H255" i="58"/>
  <c r="J255" i="58" s="1"/>
  <c r="K255" i="58"/>
  <c r="H256" i="58"/>
  <c r="J256" i="58"/>
  <c r="K256" i="58"/>
  <c r="H257" i="58"/>
  <c r="J257" i="58" s="1"/>
  <c r="K257" i="58"/>
  <c r="H258" i="58"/>
  <c r="K258" i="58"/>
  <c r="H259" i="58"/>
  <c r="K259" i="58"/>
  <c r="H260" i="58"/>
  <c r="I260" i="58" s="1"/>
  <c r="K260" i="58"/>
  <c r="H261" i="58"/>
  <c r="I261" i="58" s="1"/>
  <c r="K261" i="58"/>
  <c r="H262" i="58"/>
  <c r="J262" i="58" s="1"/>
  <c r="K262" i="58"/>
  <c r="H263" i="58"/>
  <c r="I263" i="58" s="1"/>
  <c r="K263" i="58"/>
  <c r="H264" i="58"/>
  <c r="I264" i="58" s="1"/>
  <c r="K264" i="58"/>
  <c r="H265" i="58"/>
  <c r="J265" i="58" s="1"/>
  <c r="K265" i="58"/>
  <c r="H266" i="58"/>
  <c r="K266" i="58"/>
  <c r="H267" i="58"/>
  <c r="K267" i="58"/>
  <c r="H268" i="58"/>
  <c r="I268" i="58" s="1"/>
  <c r="K268" i="58"/>
  <c r="H269" i="58"/>
  <c r="I269" i="58" s="1"/>
  <c r="K269" i="58"/>
  <c r="H270" i="58"/>
  <c r="J270" i="58" s="1"/>
  <c r="K270" i="58"/>
  <c r="H271" i="58"/>
  <c r="I271" i="58" s="1"/>
  <c r="K271" i="58"/>
  <c r="H272" i="58"/>
  <c r="I272" i="58" s="1"/>
  <c r="K272" i="58"/>
  <c r="H273" i="58"/>
  <c r="J273" i="58" s="1"/>
  <c r="K273" i="58"/>
  <c r="H274" i="58"/>
  <c r="K274" i="58"/>
  <c r="H275" i="58"/>
  <c r="K275" i="58"/>
  <c r="H276" i="58"/>
  <c r="K276" i="58"/>
  <c r="H277" i="58"/>
  <c r="I277" i="58"/>
  <c r="K277" i="58"/>
  <c r="H278" i="58"/>
  <c r="J278" i="58" s="1"/>
  <c r="K278" i="58"/>
  <c r="H279" i="58"/>
  <c r="I279" i="58" s="1"/>
  <c r="K279" i="58"/>
  <c r="H280" i="58"/>
  <c r="K280" i="58"/>
  <c r="H281" i="58"/>
  <c r="J281" i="58" s="1"/>
  <c r="K281" i="58"/>
  <c r="H282" i="58"/>
  <c r="K282" i="58"/>
  <c r="H283" i="58"/>
  <c r="K283" i="58"/>
  <c r="H284" i="58"/>
  <c r="I284" i="58" s="1"/>
  <c r="K284" i="58"/>
  <c r="H285" i="58"/>
  <c r="K285" i="58"/>
  <c r="H286" i="58"/>
  <c r="I286" i="58"/>
  <c r="J286" i="58"/>
  <c r="K286" i="58"/>
  <c r="H287" i="58"/>
  <c r="J287" i="58"/>
  <c r="K287" i="58"/>
  <c r="H288" i="58"/>
  <c r="J288" i="58" s="1"/>
  <c r="K288" i="58"/>
  <c r="H289" i="58"/>
  <c r="J289" i="58" s="1"/>
  <c r="K289" i="58"/>
  <c r="H290" i="58"/>
  <c r="K290" i="58"/>
  <c r="H291" i="58"/>
  <c r="K291" i="58"/>
  <c r="H292" i="58"/>
  <c r="J292" i="58"/>
  <c r="K292" i="58"/>
  <c r="H293" i="58"/>
  <c r="J293" i="58" s="1"/>
  <c r="K293" i="58"/>
  <c r="H294" i="58"/>
  <c r="J294" i="58"/>
  <c r="K294" i="58"/>
  <c r="H295" i="58"/>
  <c r="I295" i="58" s="1"/>
  <c r="K295" i="58"/>
  <c r="H296" i="58"/>
  <c r="J296" i="58" s="1"/>
  <c r="K296" i="58"/>
  <c r="H297" i="58"/>
  <c r="K297" i="58"/>
  <c r="H298" i="58"/>
  <c r="K298" i="58"/>
  <c r="H299" i="58"/>
  <c r="K299" i="58"/>
  <c r="H300" i="58"/>
  <c r="I300" i="58"/>
  <c r="J300" i="58"/>
  <c r="K300" i="58"/>
  <c r="H301" i="58"/>
  <c r="I301" i="58"/>
  <c r="K301" i="58"/>
  <c r="H302" i="58"/>
  <c r="J302" i="58" s="1"/>
  <c r="K302" i="58"/>
  <c r="H303" i="58"/>
  <c r="K303" i="58"/>
  <c r="H304" i="58"/>
  <c r="I304" i="58"/>
  <c r="K304" i="58"/>
  <c r="H305" i="58"/>
  <c r="J305" i="58"/>
  <c r="K305" i="58"/>
  <c r="H306" i="58"/>
  <c r="K306" i="58"/>
  <c r="H307" i="58"/>
  <c r="K307" i="58"/>
  <c r="H308" i="58"/>
  <c r="K308" i="58"/>
  <c r="H309" i="58"/>
  <c r="J309" i="58"/>
  <c r="K309" i="58"/>
  <c r="H310" i="58"/>
  <c r="J310" i="58"/>
  <c r="K310" i="58"/>
  <c r="H311" i="58"/>
  <c r="I311" i="58" s="1"/>
  <c r="K311" i="58"/>
  <c r="H312" i="58"/>
  <c r="J312" i="58" s="1"/>
  <c r="I312" i="58"/>
  <c r="K312" i="58"/>
  <c r="H313" i="58"/>
  <c r="I313" i="58" s="1"/>
  <c r="K313" i="58"/>
  <c r="H314" i="58"/>
  <c r="K314" i="58"/>
  <c r="H315" i="58"/>
  <c r="K315" i="58"/>
  <c r="H316" i="58"/>
  <c r="J316" i="58" s="1"/>
  <c r="I316" i="58"/>
  <c r="K316" i="58"/>
  <c r="H317" i="58"/>
  <c r="J317" i="58" s="1"/>
  <c r="K317" i="58"/>
  <c r="H318" i="58"/>
  <c r="I318" i="58" s="1"/>
  <c r="J318" i="58"/>
  <c r="K318" i="58"/>
  <c r="H319" i="58"/>
  <c r="J319" i="58" s="1"/>
  <c r="K319" i="58"/>
  <c r="H320" i="58"/>
  <c r="J320" i="58" s="1"/>
  <c r="I320" i="58"/>
  <c r="K320" i="58"/>
  <c r="H321" i="58"/>
  <c r="J321" i="58" s="1"/>
  <c r="K321" i="58"/>
  <c r="H322" i="58"/>
  <c r="K322" i="58"/>
  <c r="H323" i="58"/>
  <c r="K323" i="58"/>
  <c r="H324" i="58"/>
  <c r="I324" i="58"/>
  <c r="K324" i="58"/>
  <c r="H325" i="58"/>
  <c r="I325" i="58"/>
  <c r="K325" i="58"/>
  <c r="H326" i="58"/>
  <c r="J326" i="58" s="1"/>
  <c r="K326" i="58"/>
  <c r="H327" i="58"/>
  <c r="I327" i="58"/>
  <c r="K327" i="58"/>
  <c r="H328" i="58"/>
  <c r="I328" i="58" s="1"/>
  <c r="K328" i="58"/>
  <c r="H329" i="58"/>
  <c r="J329" i="58"/>
  <c r="K329" i="58"/>
  <c r="H330" i="58"/>
  <c r="K330" i="58"/>
  <c r="H331" i="58"/>
  <c r="K331" i="58"/>
  <c r="H332" i="58"/>
  <c r="I332" i="58" s="1"/>
  <c r="K332" i="58"/>
  <c r="H333" i="58"/>
  <c r="I333" i="58" s="1"/>
  <c r="J333" i="58"/>
  <c r="K333" i="58"/>
  <c r="H334" i="58"/>
  <c r="J334" i="58" s="1"/>
  <c r="K334" i="58"/>
  <c r="H335" i="58"/>
  <c r="I335" i="58" s="1"/>
  <c r="K335" i="58"/>
  <c r="H336" i="58"/>
  <c r="I336" i="58"/>
  <c r="J336" i="58"/>
  <c r="K336" i="58"/>
  <c r="H337" i="58"/>
  <c r="J337" i="58"/>
  <c r="K337" i="58"/>
  <c r="H338" i="58"/>
  <c r="K338" i="58"/>
  <c r="H339" i="58"/>
  <c r="K339" i="58"/>
  <c r="H340" i="58"/>
  <c r="J340" i="58"/>
  <c r="K340" i="58"/>
  <c r="H341" i="58"/>
  <c r="J341" i="58" s="1"/>
  <c r="I341" i="58"/>
  <c r="K341" i="58"/>
  <c r="H342" i="58"/>
  <c r="J342" i="58" s="1"/>
  <c r="K342" i="58"/>
  <c r="H343" i="58"/>
  <c r="I343" i="58" s="1"/>
  <c r="K343" i="58"/>
  <c r="H344" i="58"/>
  <c r="J344" i="58" s="1"/>
  <c r="I344" i="58"/>
  <c r="K344" i="58"/>
  <c r="H345" i="58"/>
  <c r="I345" i="58" s="1"/>
  <c r="J345" i="58"/>
  <c r="K345" i="58"/>
  <c r="H346" i="58"/>
  <c r="K346" i="58"/>
  <c r="H347" i="58"/>
  <c r="K347" i="58"/>
  <c r="H348" i="58"/>
  <c r="J348" i="58" s="1"/>
  <c r="I348" i="58"/>
  <c r="K348" i="58"/>
  <c r="H349" i="58"/>
  <c r="J349" i="58" s="1"/>
  <c r="I349" i="58"/>
  <c r="K349" i="58"/>
  <c r="H350" i="58"/>
  <c r="I350" i="58" s="1"/>
  <c r="J350" i="58"/>
  <c r="K350" i="58"/>
  <c r="H351" i="58"/>
  <c r="J351" i="58" s="1"/>
  <c r="I351" i="58"/>
  <c r="K351" i="58"/>
  <c r="H352" i="58"/>
  <c r="J352" i="58" s="1"/>
  <c r="I352" i="58"/>
  <c r="K352" i="58"/>
  <c r="H353" i="58"/>
  <c r="J353" i="58"/>
  <c r="K353" i="58"/>
  <c r="H354" i="58"/>
  <c r="K354" i="58"/>
  <c r="H355" i="58"/>
  <c r="K355" i="58"/>
  <c r="H356" i="58"/>
  <c r="I356" i="58"/>
  <c r="K356" i="58"/>
  <c r="H357" i="58"/>
  <c r="I357" i="58" s="1"/>
  <c r="J357" i="58"/>
  <c r="K357" i="58"/>
  <c r="H358" i="58"/>
  <c r="J358" i="58" s="1"/>
  <c r="K358" i="58"/>
  <c r="H359" i="58"/>
  <c r="I359" i="58" s="1"/>
  <c r="K359" i="58"/>
  <c r="H360" i="58"/>
  <c r="I360" i="58"/>
  <c r="J360" i="58"/>
  <c r="K360" i="58"/>
  <c r="H361" i="58"/>
  <c r="J361" i="58"/>
  <c r="I361" i="58"/>
  <c r="K361" i="58"/>
  <c r="H362" i="58"/>
  <c r="K362" i="58"/>
  <c r="H363" i="58"/>
  <c r="K363" i="58"/>
  <c r="H364" i="58"/>
  <c r="I364" i="58"/>
  <c r="J364" i="58"/>
  <c r="K364" i="58"/>
  <c r="H365" i="58"/>
  <c r="I365" i="58"/>
  <c r="J365" i="58"/>
  <c r="K365" i="58"/>
  <c r="H366" i="58"/>
  <c r="J366" i="58"/>
  <c r="I366" i="58"/>
  <c r="K366" i="58"/>
  <c r="H367" i="58"/>
  <c r="I367" i="58"/>
  <c r="J367" i="58"/>
  <c r="K367" i="58"/>
  <c r="H368" i="58"/>
  <c r="I368" i="58"/>
  <c r="J368" i="58"/>
  <c r="K368" i="58"/>
  <c r="H369" i="58"/>
  <c r="J369" i="58"/>
  <c r="K369" i="58"/>
  <c r="H370" i="58"/>
  <c r="K370" i="58"/>
  <c r="H371" i="58"/>
  <c r="K371" i="58"/>
  <c r="H372" i="58"/>
  <c r="I372" i="58"/>
  <c r="J372" i="58"/>
  <c r="K372" i="58"/>
  <c r="H373" i="58"/>
  <c r="I373" i="58"/>
  <c r="J373" i="58"/>
  <c r="K373" i="58"/>
  <c r="H374" i="58"/>
  <c r="J374" i="58"/>
  <c r="K374" i="58"/>
  <c r="H375" i="58"/>
  <c r="I375" i="58" s="1"/>
  <c r="K375" i="58"/>
  <c r="H376" i="58"/>
  <c r="I376" i="58" s="1"/>
  <c r="J376" i="58"/>
  <c r="K376" i="58"/>
  <c r="H377" i="58"/>
  <c r="I377" i="58" s="1"/>
  <c r="K377" i="58"/>
  <c r="H378" i="58"/>
  <c r="K378" i="58"/>
  <c r="H379" i="58"/>
  <c r="K379" i="58"/>
  <c r="H380" i="58"/>
  <c r="J380" i="58"/>
  <c r="K380" i="58"/>
  <c r="H381" i="58"/>
  <c r="J381" i="58"/>
  <c r="K381" i="58"/>
  <c r="H382" i="58"/>
  <c r="I382" i="58" s="1"/>
  <c r="J382" i="58"/>
  <c r="K382" i="58"/>
  <c r="H383" i="58"/>
  <c r="J383" i="58" s="1"/>
  <c r="K383" i="58"/>
  <c r="H384" i="58"/>
  <c r="J384" i="58" s="1"/>
  <c r="K384" i="58"/>
  <c r="H385" i="58"/>
  <c r="J385" i="58"/>
  <c r="K385" i="58"/>
  <c r="H386" i="58"/>
  <c r="K386" i="58"/>
  <c r="H387" i="58"/>
  <c r="K387" i="58"/>
  <c r="H388" i="58"/>
  <c r="I388" i="58"/>
  <c r="J388" i="58"/>
  <c r="K388" i="58"/>
  <c r="H389" i="58"/>
  <c r="I389" i="58"/>
  <c r="J389" i="58"/>
  <c r="K389" i="58"/>
  <c r="H390" i="58"/>
  <c r="J390" i="58"/>
  <c r="K390" i="58"/>
  <c r="H391" i="58"/>
  <c r="I391" i="58" s="1"/>
  <c r="K391" i="58"/>
  <c r="H392" i="58"/>
  <c r="I392" i="58"/>
  <c r="K392" i="58"/>
  <c r="H393" i="58"/>
  <c r="J393" i="58" s="1"/>
  <c r="K393" i="58"/>
  <c r="H394" i="58"/>
  <c r="K394" i="58"/>
  <c r="H395" i="58"/>
  <c r="K395" i="58"/>
  <c r="H396" i="58"/>
  <c r="I396" i="58"/>
  <c r="J396" i="58"/>
  <c r="K396" i="58"/>
  <c r="H397" i="58"/>
  <c r="I397" i="58"/>
  <c r="K397" i="58"/>
  <c r="H398" i="58"/>
  <c r="J398" i="58" s="1"/>
  <c r="K398" i="58"/>
  <c r="H399" i="58"/>
  <c r="I399" i="58" s="1"/>
  <c r="K399" i="58"/>
  <c r="H400" i="58"/>
  <c r="J400" i="58" s="1"/>
  <c r="I400" i="58"/>
  <c r="K400" i="58"/>
  <c r="H401" i="58"/>
  <c r="J401" i="58"/>
  <c r="K401" i="58"/>
  <c r="H402" i="58"/>
  <c r="K402" i="58"/>
  <c r="H403" i="58"/>
  <c r="K403" i="58"/>
  <c r="H404" i="58"/>
  <c r="J404" i="58"/>
  <c r="K404" i="58"/>
  <c r="H405" i="58"/>
  <c r="J405" i="58" s="1"/>
  <c r="I405" i="58"/>
  <c r="K405" i="58"/>
  <c r="H406" i="58"/>
  <c r="J406" i="58" s="1"/>
  <c r="K406" i="58"/>
  <c r="H407" i="58"/>
  <c r="I407" i="58" s="1"/>
  <c r="K407" i="58"/>
  <c r="H408" i="58"/>
  <c r="I408" i="58"/>
  <c r="J408" i="58"/>
  <c r="K408" i="58"/>
  <c r="H409" i="58"/>
  <c r="J409" i="58"/>
  <c r="I409" i="58"/>
  <c r="K409" i="58"/>
  <c r="H410" i="58"/>
  <c r="K410" i="58"/>
  <c r="H411" i="58"/>
  <c r="K411" i="58"/>
  <c r="H412" i="58"/>
  <c r="I412" i="58"/>
  <c r="J412" i="58"/>
  <c r="K412" i="58"/>
  <c r="H413" i="58"/>
  <c r="I413" i="58"/>
  <c r="J413" i="58"/>
  <c r="K413" i="58"/>
  <c r="H414" i="58"/>
  <c r="J414" i="58"/>
  <c r="I414" i="58"/>
  <c r="K414" i="58"/>
  <c r="H415" i="58"/>
  <c r="I415" i="58"/>
  <c r="J415" i="58"/>
  <c r="K415" i="58"/>
  <c r="H416" i="58"/>
  <c r="I416" i="58"/>
  <c r="J416" i="58"/>
  <c r="K416" i="58"/>
  <c r="H417" i="58"/>
  <c r="J417" i="58"/>
  <c r="K417" i="58"/>
  <c r="H418" i="58"/>
  <c r="K418" i="58"/>
  <c r="H419" i="58"/>
  <c r="K419" i="58"/>
  <c r="H420" i="58"/>
  <c r="I420" i="58"/>
  <c r="J420" i="58"/>
  <c r="K420" i="58"/>
  <c r="H421" i="58"/>
  <c r="I421" i="58"/>
  <c r="K421" i="58"/>
  <c r="H422" i="58"/>
  <c r="J422" i="58" s="1"/>
  <c r="K422" i="58"/>
  <c r="H423" i="58"/>
  <c r="I423" i="58"/>
  <c r="K423" i="58"/>
  <c r="H424" i="58"/>
  <c r="K424" i="58"/>
  <c r="H425" i="58"/>
  <c r="K425" i="58"/>
  <c r="H426" i="58"/>
  <c r="K426" i="58"/>
  <c r="H427" i="58"/>
  <c r="K427" i="58"/>
  <c r="H428" i="58"/>
  <c r="K428" i="58"/>
  <c r="H429" i="58"/>
  <c r="K429" i="58"/>
  <c r="H430" i="58"/>
  <c r="K430" i="58"/>
  <c r="H431" i="58"/>
  <c r="K431" i="58"/>
  <c r="H432" i="58"/>
  <c r="J432" i="58" s="1"/>
  <c r="K432" i="58"/>
  <c r="H433" i="58"/>
  <c r="I433" i="58"/>
  <c r="K433" i="58"/>
  <c r="H434" i="58"/>
  <c r="I434" i="58" s="1"/>
  <c r="K434" i="58"/>
  <c r="H435" i="58"/>
  <c r="K435" i="58"/>
  <c r="H436" i="58"/>
  <c r="J436" i="58"/>
  <c r="K436" i="58"/>
  <c r="H437" i="58"/>
  <c r="I437" i="58" s="1"/>
  <c r="K437" i="58"/>
  <c r="H438" i="58"/>
  <c r="I438" i="58"/>
  <c r="J438" i="58"/>
  <c r="K438" i="58"/>
  <c r="H439" i="58"/>
  <c r="J439" i="58"/>
  <c r="I439" i="58"/>
  <c r="K439" i="58"/>
  <c r="H440" i="58"/>
  <c r="J440" i="58"/>
  <c r="K440" i="58"/>
  <c r="H441" i="58"/>
  <c r="I441" i="58" s="1"/>
  <c r="K441" i="58"/>
  <c r="H442" i="58"/>
  <c r="I442" i="58" s="1"/>
  <c r="K442" i="58"/>
  <c r="H443" i="58"/>
  <c r="I443" i="58"/>
  <c r="K443" i="58"/>
  <c r="H444" i="58"/>
  <c r="J444" i="58"/>
  <c r="K444" i="58"/>
  <c r="H445" i="58"/>
  <c r="I445" i="58" s="1"/>
  <c r="K445" i="58"/>
  <c r="H446" i="58"/>
  <c r="I446" i="58"/>
  <c r="K446" i="58"/>
  <c r="H447" i="58"/>
  <c r="J447" i="58" s="1"/>
  <c r="K447" i="58"/>
  <c r="H448" i="58"/>
  <c r="J448" i="58"/>
  <c r="K448" i="58"/>
  <c r="H449" i="58"/>
  <c r="I449" i="58" s="1"/>
  <c r="K449" i="58"/>
  <c r="H450" i="58"/>
  <c r="I450" i="58" s="1"/>
  <c r="K450" i="58"/>
  <c r="H451" i="58"/>
  <c r="I451" i="58"/>
  <c r="K451" i="58"/>
  <c r="H452" i="58"/>
  <c r="J452" i="58"/>
  <c r="K452" i="58"/>
  <c r="H453" i="58"/>
  <c r="I453" i="58" s="1"/>
  <c r="K453" i="58"/>
  <c r="H454" i="58"/>
  <c r="J454" i="58"/>
  <c r="K454" i="58"/>
  <c r="H455" i="58"/>
  <c r="I455" i="58" s="1"/>
  <c r="K455" i="58"/>
  <c r="H456" i="58"/>
  <c r="J456" i="58"/>
  <c r="K456" i="58"/>
  <c r="H457" i="58"/>
  <c r="I457" i="58" s="1"/>
  <c r="K457" i="58"/>
  <c r="H458" i="58"/>
  <c r="J458" i="58" s="1"/>
  <c r="K458" i="58"/>
  <c r="H459" i="58"/>
  <c r="I459" i="58"/>
  <c r="K459" i="58"/>
  <c r="H460" i="58"/>
  <c r="J460" i="58" s="1"/>
  <c r="K460" i="58"/>
  <c r="H461" i="58"/>
  <c r="I461" i="58"/>
  <c r="K461" i="58"/>
  <c r="H462" i="58"/>
  <c r="I462" i="58" s="1"/>
  <c r="K462" i="58"/>
  <c r="H463" i="58"/>
  <c r="J463" i="58" s="1"/>
  <c r="I463" i="58"/>
  <c r="K463" i="58"/>
  <c r="H464" i="58"/>
  <c r="J464" i="58" s="1"/>
  <c r="K464" i="58"/>
  <c r="H465" i="58"/>
  <c r="I465" i="58" s="1"/>
  <c r="K465" i="58"/>
  <c r="H466" i="58"/>
  <c r="I466" i="58"/>
  <c r="K466" i="58"/>
  <c r="H467" i="58"/>
  <c r="I467" i="58"/>
  <c r="J467" i="58"/>
  <c r="K467" i="58"/>
  <c r="H468" i="58"/>
  <c r="J468" i="58"/>
  <c r="K468" i="58"/>
  <c r="H469" i="58"/>
  <c r="I469" i="58" s="1"/>
  <c r="K469" i="58"/>
  <c r="H470" i="58"/>
  <c r="J470" i="58" s="1"/>
  <c r="I470" i="58"/>
  <c r="K470" i="58"/>
  <c r="H471" i="58"/>
  <c r="K471" i="58"/>
  <c r="H472" i="58"/>
  <c r="J472" i="58"/>
  <c r="K472" i="58"/>
  <c r="H473" i="58"/>
  <c r="I473" i="58" s="1"/>
  <c r="K473" i="58"/>
  <c r="H474" i="58"/>
  <c r="I474" i="58"/>
  <c r="K474" i="58"/>
  <c r="H475" i="58"/>
  <c r="I475" i="58" s="1"/>
  <c r="K475" i="58"/>
  <c r="H476" i="58"/>
  <c r="J476" i="58" s="1"/>
  <c r="K476" i="58"/>
  <c r="H477" i="58"/>
  <c r="I477" i="58"/>
  <c r="K477" i="58"/>
  <c r="H478" i="58"/>
  <c r="I478" i="58"/>
  <c r="K478" i="58"/>
  <c r="H479" i="58"/>
  <c r="J479" i="58" s="1"/>
  <c r="K479" i="58"/>
  <c r="H480" i="58"/>
  <c r="J480" i="58"/>
  <c r="K480" i="58"/>
  <c r="H481" i="58"/>
  <c r="I481" i="58" s="1"/>
  <c r="K481" i="58"/>
  <c r="H482" i="58"/>
  <c r="I482" i="58"/>
  <c r="K482" i="58"/>
  <c r="H483" i="58"/>
  <c r="I483" i="58" s="1"/>
  <c r="K483" i="58"/>
  <c r="H484" i="58"/>
  <c r="J484" i="58" s="1"/>
  <c r="K484" i="58"/>
  <c r="H485" i="58"/>
  <c r="I485" i="58"/>
  <c r="K485" i="58"/>
  <c r="H486" i="58"/>
  <c r="J486" i="58"/>
  <c r="K486" i="58"/>
  <c r="H487" i="58"/>
  <c r="I487" i="58" s="1"/>
  <c r="K487" i="58"/>
  <c r="H488" i="58"/>
  <c r="J488" i="58"/>
  <c r="K488" i="58"/>
  <c r="H489" i="58"/>
  <c r="I489" i="58" s="1"/>
  <c r="K489" i="58"/>
  <c r="H490" i="58"/>
  <c r="I490" i="58"/>
  <c r="J490" i="58"/>
  <c r="K490" i="58"/>
  <c r="H491" i="58"/>
  <c r="I491" i="58"/>
  <c r="K491" i="58"/>
  <c r="H492" i="58"/>
  <c r="J492" i="58" s="1"/>
  <c r="K492" i="58"/>
  <c r="H493" i="58"/>
  <c r="I493" i="58" s="1"/>
  <c r="K493" i="58"/>
  <c r="H494" i="58"/>
  <c r="I494" i="58"/>
  <c r="J494" i="58"/>
  <c r="K494" i="58"/>
  <c r="H495" i="58"/>
  <c r="J495" i="58"/>
  <c r="I495" i="58"/>
  <c r="K495" i="58"/>
  <c r="H496" i="58"/>
  <c r="J496" i="58"/>
  <c r="K496" i="58"/>
  <c r="H497" i="58"/>
  <c r="I497" i="58"/>
  <c r="K497" i="58"/>
  <c r="H498" i="58"/>
  <c r="I498" i="58" s="1"/>
  <c r="K498" i="58"/>
  <c r="H499" i="58"/>
  <c r="J499" i="58" s="1"/>
  <c r="I499" i="58"/>
  <c r="K499" i="58"/>
  <c r="H500" i="58"/>
  <c r="J500" i="58" s="1"/>
  <c r="K500" i="58"/>
  <c r="H501" i="58"/>
  <c r="I501" i="58"/>
  <c r="K501" i="58"/>
  <c r="H502" i="58"/>
  <c r="I502" i="58"/>
  <c r="J502" i="58"/>
  <c r="K502" i="58"/>
  <c r="H503" i="58"/>
  <c r="J503" i="58"/>
  <c r="I503" i="58"/>
  <c r="K503" i="58"/>
  <c r="H504" i="58"/>
  <c r="J504" i="58"/>
  <c r="K504" i="58"/>
  <c r="H505" i="58"/>
  <c r="I505" i="58" s="1"/>
  <c r="K505" i="58"/>
  <c r="H506" i="58"/>
  <c r="I506" i="58"/>
  <c r="K506" i="58"/>
  <c r="H507" i="58"/>
  <c r="I507" i="58" s="1"/>
  <c r="K507" i="58"/>
  <c r="H508" i="58"/>
  <c r="J508" i="58"/>
  <c r="K508" i="58"/>
  <c r="H509" i="58"/>
  <c r="I509" i="58" s="1"/>
  <c r="K509" i="58"/>
  <c r="H510" i="58"/>
  <c r="I510" i="58" s="1"/>
  <c r="K510" i="58"/>
  <c r="H511" i="58"/>
  <c r="J511" i="58"/>
  <c r="K511" i="58"/>
  <c r="H512" i="58"/>
  <c r="J512" i="58"/>
  <c r="K512" i="58"/>
  <c r="H513" i="58"/>
  <c r="I513" i="58" s="1"/>
  <c r="K513" i="58"/>
  <c r="H514" i="58"/>
  <c r="I514" i="58"/>
  <c r="K514" i="58"/>
  <c r="H515" i="58"/>
  <c r="I515" i="58" s="1"/>
  <c r="K515" i="58"/>
  <c r="H516" i="58"/>
  <c r="J516" i="58"/>
  <c r="K516" i="58"/>
  <c r="H517" i="58"/>
  <c r="I517" i="58" s="1"/>
  <c r="K517" i="58"/>
  <c r="H518" i="58"/>
  <c r="J518" i="58" s="1"/>
  <c r="K518" i="58"/>
  <c r="H519" i="58"/>
  <c r="I519" i="58"/>
  <c r="K519" i="58"/>
  <c r="H520" i="58"/>
  <c r="J520" i="58"/>
  <c r="K520" i="58"/>
  <c r="H521" i="58"/>
  <c r="I521" i="58" s="1"/>
  <c r="K521" i="58"/>
  <c r="H522" i="58"/>
  <c r="J522" i="58" s="1"/>
  <c r="I522" i="58"/>
  <c r="K522" i="58"/>
  <c r="H523" i="58"/>
  <c r="I523" i="58" s="1"/>
  <c r="K523" i="58"/>
  <c r="H524" i="58"/>
  <c r="J524" i="58"/>
  <c r="K524" i="58"/>
  <c r="H525" i="58"/>
  <c r="I525" i="58"/>
  <c r="K525" i="58"/>
  <c r="H526" i="58"/>
  <c r="I526" i="58" s="1"/>
  <c r="J526" i="58"/>
  <c r="K526" i="58"/>
  <c r="H527" i="58"/>
  <c r="K527" i="58"/>
  <c r="H528" i="58"/>
  <c r="J528" i="58" s="1"/>
  <c r="K528" i="58"/>
  <c r="H529" i="58"/>
  <c r="I529" i="58"/>
  <c r="K529" i="58"/>
  <c r="H530" i="58"/>
  <c r="I530" i="58" s="1"/>
  <c r="K530" i="58"/>
  <c r="H531" i="58"/>
  <c r="I531" i="58"/>
  <c r="J531" i="58"/>
  <c r="K531" i="58"/>
  <c r="H532" i="58"/>
  <c r="J532" i="58"/>
  <c r="K532" i="58"/>
  <c r="H533" i="58"/>
  <c r="I533" i="58" s="1"/>
  <c r="K533" i="58"/>
  <c r="H534" i="58"/>
  <c r="K534" i="58"/>
  <c r="H535" i="58"/>
  <c r="I535" i="58" s="1"/>
  <c r="J535" i="58"/>
  <c r="K535" i="58"/>
  <c r="H536" i="58"/>
  <c r="J536" i="58" s="1"/>
  <c r="K536" i="58"/>
  <c r="H537" i="58"/>
  <c r="I537" i="58"/>
  <c r="K537" i="58"/>
  <c r="H538" i="58"/>
  <c r="I538" i="58"/>
  <c r="K538" i="58"/>
  <c r="H539" i="58"/>
  <c r="I539" i="58" s="1"/>
  <c r="K539" i="58"/>
  <c r="H540" i="58"/>
  <c r="K540" i="58"/>
  <c r="H541" i="58"/>
  <c r="K541" i="58"/>
  <c r="H542" i="58"/>
  <c r="J542" i="58" s="1"/>
  <c r="I542" i="58"/>
  <c r="K542" i="58"/>
  <c r="H543" i="58"/>
  <c r="J543" i="58" s="1"/>
  <c r="K543" i="58"/>
  <c r="H544" i="58"/>
  <c r="J544" i="58"/>
  <c r="K544" i="58"/>
  <c r="H545" i="58"/>
  <c r="K545" i="58"/>
  <c r="H546" i="58"/>
  <c r="K546" i="58"/>
  <c r="H547" i="58"/>
  <c r="J547" i="58" s="1"/>
  <c r="I547" i="58"/>
  <c r="K547" i="58"/>
  <c r="H548" i="58"/>
  <c r="K548" i="58"/>
  <c r="H549" i="58"/>
  <c r="K549" i="58"/>
  <c r="H550" i="58"/>
  <c r="K550" i="58"/>
  <c r="H551" i="58"/>
  <c r="I551" i="58" s="1"/>
  <c r="J551" i="58"/>
  <c r="K551" i="58"/>
  <c r="H552" i="58"/>
  <c r="K552" i="58"/>
  <c r="H553" i="58"/>
  <c r="K553" i="58"/>
  <c r="H554" i="58"/>
  <c r="K554" i="58"/>
  <c r="H555" i="58"/>
  <c r="J555" i="58" s="1"/>
  <c r="I555" i="58"/>
  <c r="K555" i="58"/>
  <c r="H556" i="58"/>
  <c r="K556" i="58"/>
  <c r="H557" i="58"/>
  <c r="K557" i="58"/>
  <c r="H558" i="58"/>
  <c r="K558" i="58"/>
  <c r="H559" i="58"/>
  <c r="I559" i="58" s="1"/>
  <c r="J559" i="58"/>
  <c r="K559" i="58"/>
  <c r="H560" i="58"/>
  <c r="K560" i="58"/>
  <c r="H561" i="58"/>
  <c r="K561" i="58"/>
  <c r="H562" i="58"/>
  <c r="K562" i="58"/>
  <c r="H563" i="58"/>
  <c r="J563" i="58" s="1"/>
  <c r="I563" i="58"/>
  <c r="K563" i="58"/>
  <c r="H564" i="58"/>
  <c r="K564" i="58"/>
  <c r="H565" i="58"/>
  <c r="K565" i="58"/>
  <c r="H566" i="58"/>
  <c r="K566" i="58"/>
  <c r="H567" i="58"/>
  <c r="I567" i="58" s="1"/>
  <c r="J567" i="58"/>
  <c r="K567" i="58"/>
  <c r="H568" i="58"/>
  <c r="K568" i="58"/>
  <c r="H569" i="58"/>
  <c r="K569" i="58"/>
  <c r="H570" i="58"/>
  <c r="K570" i="58"/>
  <c r="H571" i="58"/>
  <c r="J571" i="58" s="1"/>
  <c r="I571" i="58"/>
  <c r="K571" i="58"/>
  <c r="H572" i="58"/>
  <c r="K572" i="58"/>
  <c r="H573" i="58"/>
  <c r="K573" i="58"/>
  <c r="H574" i="58"/>
  <c r="K574" i="58"/>
  <c r="H575" i="58"/>
  <c r="I575" i="58" s="1"/>
  <c r="J575" i="58"/>
  <c r="K575" i="58"/>
  <c r="H576" i="58"/>
  <c r="K576" i="58"/>
  <c r="H577" i="58"/>
  <c r="K577" i="58"/>
  <c r="H578" i="58"/>
  <c r="K578" i="58"/>
  <c r="H579" i="58"/>
  <c r="J579" i="58" s="1"/>
  <c r="I579" i="58"/>
  <c r="K579" i="58"/>
  <c r="H580" i="58"/>
  <c r="K580" i="58"/>
  <c r="H581" i="58"/>
  <c r="K581" i="58"/>
  <c r="H582" i="58"/>
  <c r="K582" i="58"/>
  <c r="H583" i="58"/>
  <c r="I583" i="58" s="1"/>
  <c r="J583" i="58"/>
  <c r="K583" i="58"/>
  <c r="H584" i="58"/>
  <c r="K584" i="58"/>
  <c r="H585" i="58"/>
  <c r="K585" i="58"/>
  <c r="H586" i="58"/>
  <c r="K586" i="58"/>
  <c r="H587" i="58"/>
  <c r="J587" i="58" s="1"/>
  <c r="I587" i="58"/>
  <c r="K587" i="58"/>
  <c r="H588" i="58"/>
  <c r="K588" i="58"/>
  <c r="H589" i="58"/>
  <c r="K589" i="58"/>
  <c r="H590" i="58"/>
  <c r="K590" i="58"/>
  <c r="H591" i="58"/>
  <c r="I591" i="58" s="1"/>
  <c r="J591" i="58"/>
  <c r="K591" i="58"/>
  <c r="H592" i="58"/>
  <c r="K592" i="58"/>
  <c r="H593" i="58"/>
  <c r="K593" i="58"/>
  <c r="H594" i="58"/>
  <c r="K594" i="58"/>
  <c r="H595" i="58"/>
  <c r="J595" i="58" s="1"/>
  <c r="I595" i="58"/>
  <c r="K595" i="58"/>
  <c r="H596" i="58"/>
  <c r="K596" i="58"/>
  <c r="H597" i="58"/>
  <c r="K597" i="58"/>
  <c r="H598" i="58"/>
  <c r="K598" i="58"/>
  <c r="H599" i="58"/>
  <c r="I599" i="58" s="1"/>
  <c r="J599" i="58"/>
  <c r="K599" i="58"/>
  <c r="H600" i="58"/>
  <c r="K600" i="58"/>
  <c r="H601" i="58"/>
  <c r="K601" i="58"/>
  <c r="H602" i="58"/>
  <c r="K602" i="58"/>
  <c r="H603" i="58"/>
  <c r="J603" i="58" s="1"/>
  <c r="I603" i="58"/>
  <c r="K603" i="58"/>
  <c r="H604" i="58"/>
  <c r="K604" i="58"/>
  <c r="H605" i="58"/>
  <c r="K605" i="58"/>
  <c r="H606" i="58"/>
  <c r="K606" i="58"/>
  <c r="H607" i="58"/>
  <c r="I607" i="58" s="1"/>
  <c r="J607" i="58"/>
  <c r="K607" i="58"/>
  <c r="H608" i="58"/>
  <c r="K608" i="58"/>
  <c r="H609" i="58"/>
  <c r="K609" i="58"/>
  <c r="H610" i="58"/>
  <c r="K610" i="58"/>
  <c r="H611" i="58"/>
  <c r="J611" i="58" s="1"/>
  <c r="I611" i="58"/>
  <c r="K611" i="58"/>
  <c r="H612" i="58"/>
  <c r="K612" i="58"/>
  <c r="H613" i="58"/>
  <c r="K613" i="58"/>
  <c r="H614" i="58"/>
  <c r="K614" i="58"/>
  <c r="H615" i="58"/>
  <c r="I615" i="58" s="1"/>
  <c r="J615" i="58"/>
  <c r="K615" i="58"/>
  <c r="H616" i="58"/>
  <c r="K616" i="58"/>
  <c r="H617" i="58"/>
  <c r="K617" i="58"/>
  <c r="H618" i="58"/>
  <c r="K618" i="58"/>
  <c r="H619" i="58"/>
  <c r="J619" i="58" s="1"/>
  <c r="I619" i="58"/>
  <c r="K619" i="58"/>
  <c r="H620" i="58"/>
  <c r="K620" i="58"/>
  <c r="H621" i="58"/>
  <c r="K621" i="58"/>
  <c r="H622" i="58"/>
  <c r="K622" i="58"/>
  <c r="H623" i="58"/>
  <c r="I623" i="58" s="1"/>
  <c r="J623" i="58"/>
  <c r="K623" i="58"/>
  <c r="H624" i="58"/>
  <c r="K624" i="58"/>
  <c r="H625" i="58"/>
  <c r="K625" i="58"/>
  <c r="H626" i="58"/>
  <c r="K626" i="58"/>
  <c r="H627" i="58"/>
  <c r="J627" i="58" s="1"/>
  <c r="I627" i="58"/>
  <c r="K627" i="58"/>
  <c r="H628" i="58"/>
  <c r="K628" i="58"/>
  <c r="H629" i="58"/>
  <c r="K629" i="58"/>
  <c r="H630" i="58"/>
  <c r="K630" i="58"/>
  <c r="H631" i="58"/>
  <c r="I631" i="58" s="1"/>
  <c r="J631" i="58"/>
  <c r="K631" i="58"/>
  <c r="H632" i="58"/>
  <c r="K632" i="58"/>
  <c r="H633" i="58"/>
  <c r="K633" i="58"/>
  <c r="H634" i="58"/>
  <c r="K634" i="58"/>
  <c r="H635" i="58"/>
  <c r="J635" i="58" s="1"/>
  <c r="I635" i="58"/>
  <c r="K635" i="58"/>
  <c r="H636" i="58"/>
  <c r="K636" i="58"/>
  <c r="H637" i="58"/>
  <c r="K637" i="58"/>
  <c r="H638" i="58"/>
  <c r="K638" i="58"/>
  <c r="H639" i="58"/>
  <c r="I639" i="58" s="1"/>
  <c r="J639" i="58"/>
  <c r="K639" i="58"/>
  <c r="H640" i="58"/>
  <c r="K640" i="58"/>
  <c r="H641" i="58"/>
  <c r="K641" i="58"/>
  <c r="H642" i="58"/>
  <c r="K642" i="58"/>
  <c r="H643" i="58"/>
  <c r="J643" i="58" s="1"/>
  <c r="I643" i="58"/>
  <c r="K643" i="58"/>
  <c r="H644" i="58"/>
  <c r="K644" i="58"/>
  <c r="H645" i="58"/>
  <c r="K645" i="58"/>
  <c r="H646" i="58"/>
  <c r="K646" i="58"/>
  <c r="H647" i="58"/>
  <c r="I647" i="58" s="1"/>
  <c r="J647" i="58"/>
  <c r="K647" i="58"/>
  <c r="H648" i="58"/>
  <c r="K648" i="58"/>
  <c r="H649" i="58"/>
  <c r="K649" i="58"/>
  <c r="H650" i="58"/>
  <c r="K650" i="58"/>
  <c r="H651" i="58"/>
  <c r="J651" i="58" s="1"/>
  <c r="I651" i="58"/>
  <c r="K651" i="58"/>
  <c r="H652" i="58"/>
  <c r="K652" i="58"/>
  <c r="H653" i="58"/>
  <c r="K653" i="58"/>
  <c r="H654" i="58"/>
  <c r="K654" i="58"/>
  <c r="H655" i="58"/>
  <c r="I655" i="58" s="1"/>
  <c r="J655" i="58"/>
  <c r="K655" i="58"/>
  <c r="H656" i="58"/>
  <c r="K656" i="58"/>
  <c r="H657" i="58"/>
  <c r="K657" i="58"/>
  <c r="H658" i="58"/>
  <c r="K658" i="58"/>
  <c r="H659" i="58"/>
  <c r="J659" i="58" s="1"/>
  <c r="I659" i="58"/>
  <c r="K659" i="58"/>
  <c r="H660" i="58"/>
  <c r="K660" i="58"/>
  <c r="H661" i="58"/>
  <c r="K661" i="58"/>
  <c r="H662" i="58"/>
  <c r="K662" i="58"/>
  <c r="H663" i="58"/>
  <c r="I663" i="58" s="1"/>
  <c r="J663" i="58"/>
  <c r="K663" i="58"/>
  <c r="H664" i="58"/>
  <c r="K664" i="58"/>
  <c r="H665" i="58"/>
  <c r="K665" i="58"/>
  <c r="H666" i="58"/>
  <c r="K666" i="58"/>
  <c r="H667" i="58"/>
  <c r="J667" i="58" s="1"/>
  <c r="I667" i="58"/>
  <c r="K667" i="58"/>
  <c r="H668" i="58"/>
  <c r="K668" i="58"/>
  <c r="H669" i="58"/>
  <c r="K669" i="58"/>
  <c r="H670" i="58"/>
  <c r="K670" i="58"/>
  <c r="H671" i="58"/>
  <c r="I671" i="58" s="1"/>
  <c r="J671" i="58"/>
  <c r="K671" i="58"/>
  <c r="H672" i="58"/>
  <c r="K672" i="58"/>
  <c r="H673" i="58"/>
  <c r="K673" i="58"/>
  <c r="H674" i="58"/>
  <c r="K674" i="58"/>
  <c r="H675" i="58"/>
  <c r="J675" i="58" s="1"/>
  <c r="I675" i="58"/>
  <c r="K675" i="58"/>
  <c r="H676" i="58"/>
  <c r="K676" i="58"/>
  <c r="H677" i="58"/>
  <c r="K677" i="58"/>
  <c r="H678" i="58"/>
  <c r="I678" i="58" s="1"/>
  <c r="K678" i="58"/>
  <c r="H679" i="58"/>
  <c r="J679" i="58" s="1"/>
  <c r="I679" i="58"/>
  <c r="K679" i="58"/>
  <c r="H680" i="58"/>
  <c r="K680" i="58"/>
  <c r="H681" i="58"/>
  <c r="K681" i="58"/>
  <c r="H682" i="58"/>
  <c r="I682" i="58" s="1"/>
  <c r="K682" i="58"/>
  <c r="H683" i="58"/>
  <c r="I683" i="58" s="1"/>
  <c r="J683" i="58"/>
  <c r="K683" i="58"/>
  <c r="H684" i="58"/>
  <c r="K684" i="58"/>
  <c r="H685" i="58"/>
  <c r="K685" i="58"/>
  <c r="H686" i="58"/>
  <c r="I686" i="58" s="1"/>
  <c r="K686" i="58"/>
  <c r="H687" i="58"/>
  <c r="J687" i="58" s="1"/>
  <c r="I687" i="58"/>
  <c r="K687" i="58"/>
  <c r="H688" i="58"/>
  <c r="K688" i="58"/>
  <c r="H689" i="58"/>
  <c r="K689" i="58"/>
  <c r="H690" i="58"/>
  <c r="I690" i="58" s="1"/>
  <c r="K690" i="58"/>
  <c r="H691" i="58"/>
  <c r="I691" i="58" s="1"/>
  <c r="J691" i="58"/>
  <c r="K691" i="58"/>
  <c r="H692" i="58"/>
  <c r="K692" i="58"/>
  <c r="H693" i="58"/>
  <c r="K693" i="58"/>
  <c r="H694" i="58"/>
  <c r="J694" i="58" s="1"/>
  <c r="K694" i="58"/>
  <c r="H695" i="58"/>
  <c r="J695" i="58" s="1"/>
  <c r="K695" i="58"/>
  <c r="H696" i="58"/>
  <c r="K696" i="58"/>
  <c r="H697" i="58"/>
  <c r="K697" i="58"/>
  <c r="H698" i="58"/>
  <c r="J698" i="58" s="1"/>
  <c r="I698" i="58"/>
  <c r="K698" i="58"/>
  <c r="H699" i="58"/>
  <c r="J699" i="58" s="1"/>
  <c r="I699" i="58"/>
  <c r="K699" i="58"/>
  <c r="H700" i="58"/>
  <c r="J700" i="58"/>
  <c r="K700" i="58"/>
  <c r="H701" i="58"/>
  <c r="I701" i="58" s="1"/>
  <c r="K701" i="58"/>
  <c r="H702" i="58"/>
  <c r="I702" i="58"/>
  <c r="K702" i="58"/>
  <c r="H703" i="58"/>
  <c r="J703" i="58" s="1"/>
  <c r="K703" i="58"/>
  <c r="H704" i="58"/>
  <c r="K704" i="58"/>
  <c r="H705" i="58"/>
  <c r="K705" i="58"/>
  <c r="H706" i="58"/>
  <c r="K706" i="58"/>
  <c r="H707" i="58"/>
  <c r="J707" i="58"/>
  <c r="I707" i="58"/>
  <c r="K707" i="58"/>
  <c r="H708" i="58"/>
  <c r="J708" i="58"/>
  <c r="K708" i="58"/>
  <c r="H709" i="58"/>
  <c r="I709" i="58" s="1"/>
  <c r="K709" i="58"/>
  <c r="H710" i="58"/>
  <c r="J710" i="58" s="1"/>
  <c r="I710" i="58"/>
  <c r="K710" i="58"/>
  <c r="H711" i="58"/>
  <c r="J711" i="58"/>
  <c r="K711" i="58"/>
  <c r="H712" i="58"/>
  <c r="K712" i="58"/>
  <c r="H713" i="58"/>
  <c r="K713" i="58"/>
  <c r="H714" i="58"/>
  <c r="I714" i="58" s="1"/>
  <c r="K714" i="58"/>
  <c r="H715" i="58"/>
  <c r="I715" i="58"/>
  <c r="J715" i="58"/>
  <c r="K715" i="58"/>
  <c r="H716" i="58"/>
  <c r="J716" i="58"/>
  <c r="K716" i="58"/>
  <c r="H717" i="58"/>
  <c r="I717" i="58" s="1"/>
  <c r="K717" i="58"/>
  <c r="H718" i="58"/>
  <c r="J718" i="58" s="1"/>
  <c r="I718" i="58"/>
  <c r="K718" i="58"/>
  <c r="H719" i="58"/>
  <c r="I719" i="58" s="1"/>
  <c r="J719" i="58"/>
  <c r="K719" i="58"/>
  <c r="H720" i="58"/>
  <c r="K720" i="58"/>
  <c r="H721" i="58"/>
  <c r="K721" i="58"/>
  <c r="H722" i="58"/>
  <c r="J722" i="58" s="1"/>
  <c r="I722" i="58"/>
  <c r="K722" i="58"/>
  <c r="H723" i="58"/>
  <c r="J723" i="58" s="1"/>
  <c r="K723" i="58"/>
  <c r="H724" i="58"/>
  <c r="I724" i="58" s="1"/>
  <c r="J724" i="58"/>
  <c r="K724" i="58"/>
  <c r="H725" i="58"/>
  <c r="J725" i="58" s="1"/>
  <c r="K725" i="58"/>
  <c r="H726" i="58"/>
  <c r="J726" i="58" s="1"/>
  <c r="I726" i="58"/>
  <c r="K726" i="58"/>
  <c r="H727" i="58"/>
  <c r="J727" i="58" s="1"/>
  <c r="K727" i="58"/>
  <c r="H728" i="58"/>
  <c r="K728" i="58"/>
  <c r="H729" i="58"/>
  <c r="K729" i="58"/>
  <c r="H730" i="58"/>
  <c r="J730" i="58" s="1"/>
  <c r="I730" i="58"/>
  <c r="K730" i="58"/>
  <c r="H731" i="58"/>
  <c r="J731" i="58" s="1"/>
  <c r="I731" i="58"/>
  <c r="K731" i="58"/>
  <c r="H732" i="58"/>
  <c r="J732" i="58"/>
  <c r="K732" i="58"/>
  <c r="H733" i="58"/>
  <c r="I733" i="58"/>
  <c r="K733" i="58"/>
  <c r="H734" i="58"/>
  <c r="J734" i="58" s="1"/>
  <c r="I734" i="58"/>
  <c r="K734" i="58"/>
  <c r="H735" i="58"/>
  <c r="J735" i="58" s="1"/>
  <c r="K735" i="58"/>
  <c r="H736" i="58"/>
  <c r="K736" i="58"/>
  <c r="H737" i="58"/>
  <c r="K737" i="58"/>
  <c r="H738" i="58"/>
  <c r="K738" i="58"/>
  <c r="H739" i="58"/>
  <c r="K739" i="58"/>
  <c r="H740" i="58"/>
  <c r="J740" i="58" s="1"/>
  <c r="K740" i="58"/>
  <c r="H741" i="58"/>
  <c r="I741" i="58"/>
  <c r="K741" i="58"/>
  <c r="H742" i="58"/>
  <c r="I742" i="58"/>
  <c r="J742" i="58"/>
  <c r="K742" i="58"/>
  <c r="H743" i="58"/>
  <c r="J743" i="58"/>
  <c r="K743" i="58"/>
  <c r="H744" i="58"/>
  <c r="K744" i="58"/>
  <c r="H745" i="58"/>
  <c r="K745" i="58"/>
  <c r="H746" i="58"/>
  <c r="J746" i="58" s="1"/>
  <c r="K746" i="58"/>
  <c r="H747" i="58"/>
  <c r="I747" i="58" s="1"/>
  <c r="J747" i="58"/>
  <c r="K747" i="58"/>
  <c r="H748" i="58"/>
  <c r="J748" i="58" s="1"/>
  <c r="K748" i="58"/>
  <c r="H749" i="58"/>
  <c r="I749" i="58"/>
  <c r="K749" i="58"/>
  <c r="H750" i="58"/>
  <c r="I750" i="58"/>
  <c r="J750" i="58"/>
  <c r="K750" i="58"/>
  <c r="H751" i="58"/>
  <c r="J751" i="58"/>
  <c r="I751" i="58"/>
  <c r="K751" i="58"/>
  <c r="H752" i="58"/>
  <c r="K752" i="58"/>
  <c r="H753" i="58"/>
  <c r="K753" i="58"/>
  <c r="H754" i="58"/>
  <c r="I754" i="58"/>
  <c r="J754" i="58"/>
  <c r="K754" i="58"/>
  <c r="H755" i="58"/>
  <c r="I755" i="58"/>
  <c r="J755" i="58"/>
  <c r="K755" i="58"/>
  <c r="H756" i="58"/>
  <c r="J756" i="58"/>
  <c r="I756" i="58"/>
  <c r="K756" i="58"/>
  <c r="H757" i="58"/>
  <c r="I757" i="58"/>
  <c r="J757" i="58"/>
  <c r="K757" i="58"/>
  <c r="H758" i="58"/>
  <c r="I758" i="58"/>
  <c r="J758" i="58"/>
  <c r="K758" i="58"/>
  <c r="H759" i="58"/>
  <c r="J759" i="58"/>
  <c r="K759" i="58"/>
  <c r="H760" i="58"/>
  <c r="K760" i="58"/>
  <c r="H761" i="58"/>
  <c r="K761" i="58"/>
  <c r="H762" i="58"/>
  <c r="I762" i="58" s="1"/>
  <c r="J762" i="58"/>
  <c r="K762" i="58"/>
  <c r="H763" i="58"/>
  <c r="K763" i="58"/>
  <c r="H764" i="58"/>
  <c r="J764" i="58" s="1"/>
  <c r="K764" i="58"/>
  <c r="H765" i="58"/>
  <c r="I765" i="58"/>
  <c r="K765" i="58"/>
  <c r="H766" i="58"/>
  <c r="I766" i="58" s="1"/>
  <c r="K766" i="58"/>
  <c r="H767" i="58"/>
  <c r="J767" i="58" s="1"/>
  <c r="K767" i="58"/>
  <c r="H768" i="58"/>
  <c r="K768" i="58"/>
  <c r="H769" i="58"/>
  <c r="K769" i="58"/>
  <c r="H770" i="58"/>
  <c r="J770" i="58" s="1"/>
  <c r="I770" i="58"/>
  <c r="K770" i="58"/>
  <c r="H771" i="58"/>
  <c r="J771" i="58" s="1"/>
  <c r="K771" i="58"/>
  <c r="H772" i="58"/>
  <c r="J772" i="58"/>
  <c r="K772" i="58"/>
  <c r="H773" i="58"/>
  <c r="I773" i="58" s="1"/>
  <c r="K773" i="58"/>
  <c r="H774" i="58"/>
  <c r="K774" i="58"/>
  <c r="H775" i="58"/>
  <c r="J775" i="58"/>
  <c r="K775" i="58"/>
  <c r="H776" i="58"/>
  <c r="K776" i="58"/>
  <c r="H777" i="58"/>
  <c r="K777" i="58"/>
  <c r="H778" i="58"/>
  <c r="I778" i="58" s="1"/>
  <c r="K778" i="58"/>
  <c r="H779" i="58"/>
  <c r="I779" i="58"/>
  <c r="K779" i="58"/>
  <c r="H780" i="58"/>
  <c r="J780" i="58" s="1"/>
  <c r="K780" i="58"/>
  <c r="H781" i="58"/>
  <c r="I781" i="58" s="1"/>
  <c r="K781" i="58"/>
  <c r="H782" i="58"/>
  <c r="K782" i="58"/>
  <c r="H783" i="58"/>
  <c r="J783" i="58" s="1"/>
  <c r="K783" i="58"/>
  <c r="H784" i="58"/>
  <c r="K784" i="58"/>
  <c r="H785" i="58"/>
  <c r="K785" i="58"/>
  <c r="H786" i="58"/>
  <c r="J786" i="58" s="1"/>
  <c r="I786" i="58"/>
  <c r="K786" i="58"/>
  <c r="H787" i="58"/>
  <c r="J787" i="58" s="1"/>
  <c r="K787" i="58"/>
  <c r="H788" i="58"/>
  <c r="K788" i="58"/>
  <c r="H789" i="58"/>
  <c r="I789" i="58"/>
  <c r="J789" i="58"/>
  <c r="K789" i="58"/>
  <c r="H790" i="58"/>
  <c r="I790" i="58"/>
  <c r="K790" i="58"/>
  <c r="H791" i="58"/>
  <c r="J791" i="58" s="1"/>
  <c r="K791" i="58"/>
  <c r="H792" i="58"/>
  <c r="K792" i="58"/>
  <c r="H793" i="58"/>
  <c r="K793" i="58"/>
  <c r="H794" i="58"/>
  <c r="K794" i="58"/>
  <c r="H795" i="58"/>
  <c r="I795" i="58"/>
  <c r="K795" i="58"/>
  <c r="H796" i="58"/>
  <c r="J796" i="58"/>
  <c r="I796" i="58"/>
  <c r="K796" i="58"/>
  <c r="H797" i="58"/>
  <c r="I797" i="58"/>
  <c r="J797" i="58"/>
  <c r="K797" i="58"/>
  <c r="H798" i="58"/>
  <c r="K798" i="58"/>
  <c r="H799" i="58"/>
  <c r="J799" i="58" s="1"/>
  <c r="K799" i="58"/>
  <c r="H800" i="58"/>
  <c r="K800" i="58"/>
  <c r="H801" i="58"/>
  <c r="K801" i="58"/>
  <c r="H802" i="58"/>
  <c r="J802" i="58"/>
  <c r="I802" i="58"/>
  <c r="K802" i="58"/>
  <c r="H803" i="58"/>
  <c r="K803" i="58"/>
  <c r="H804" i="58"/>
  <c r="J804" i="58" s="1"/>
  <c r="K804" i="58"/>
  <c r="H805" i="58"/>
  <c r="I805" i="58"/>
  <c r="K805" i="58"/>
  <c r="H806" i="58"/>
  <c r="I806" i="58" s="1"/>
  <c r="J806" i="58"/>
  <c r="K806" i="58"/>
  <c r="H807" i="58"/>
  <c r="J807" i="58" s="1"/>
  <c r="K807" i="58"/>
  <c r="H808" i="58"/>
  <c r="K808" i="58"/>
  <c r="H809" i="58"/>
  <c r="K809" i="58"/>
  <c r="H810" i="58"/>
  <c r="K810" i="58"/>
  <c r="H811" i="58"/>
  <c r="J811" i="58" s="1"/>
  <c r="I811" i="58"/>
  <c r="K811" i="58"/>
  <c r="H812" i="58"/>
  <c r="J812" i="58" s="1"/>
  <c r="K812" i="58"/>
  <c r="H813" i="58"/>
  <c r="I813" i="58"/>
  <c r="K813" i="58"/>
  <c r="H814" i="58"/>
  <c r="J814" i="58"/>
  <c r="K814" i="58"/>
  <c r="H815" i="58"/>
  <c r="I815" i="58" s="1"/>
  <c r="J815" i="58"/>
  <c r="K815" i="58"/>
  <c r="H816" i="58"/>
  <c r="K816" i="58"/>
  <c r="H817" i="58"/>
  <c r="K817" i="58"/>
  <c r="H818" i="58"/>
  <c r="J818" i="58" s="1"/>
  <c r="K818" i="58"/>
  <c r="H819" i="58"/>
  <c r="I819" i="58" s="1"/>
  <c r="K819" i="58"/>
  <c r="H820" i="58"/>
  <c r="I820" i="58"/>
  <c r="K820" i="58"/>
  <c r="H821" i="58"/>
  <c r="J821" i="58" s="1"/>
  <c r="I821" i="58"/>
  <c r="K821" i="58"/>
  <c r="H822" i="58"/>
  <c r="J822" i="58" s="1"/>
  <c r="K822" i="58"/>
  <c r="H823" i="58"/>
  <c r="I823" i="58"/>
  <c r="J823" i="58"/>
  <c r="K823" i="58"/>
  <c r="H824" i="58"/>
  <c r="K824" i="58"/>
  <c r="H825" i="58"/>
  <c r="K825" i="58"/>
  <c r="H826" i="58"/>
  <c r="J826" i="58"/>
  <c r="K826" i="58"/>
  <c r="H827" i="58"/>
  <c r="J827" i="58" s="1"/>
  <c r="K827" i="58"/>
  <c r="H828" i="58"/>
  <c r="I828" i="58" s="1"/>
  <c r="K828" i="58"/>
  <c r="H829" i="58"/>
  <c r="I829" i="58" s="1"/>
  <c r="J829" i="58"/>
  <c r="K829" i="58"/>
  <c r="H830" i="58"/>
  <c r="J830" i="58" s="1"/>
  <c r="K830" i="58"/>
  <c r="H831" i="58"/>
  <c r="K831" i="58"/>
  <c r="H832" i="58"/>
  <c r="K832" i="58"/>
  <c r="H833" i="58"/>
  <c r="K833" i="58"/>
  <c r="H834" i="58"/>
  <c r="I834" i="58" s="1"/>
  <c r="J834" i="58"/>
  <c r="K834" i="58"/>
  <c r="H835" i="58"/>
  <c r="K835" i="58"/>
  <c r="H836" i="58"/>
  <c r="K836" i="58"/>
  <c r="H837" i="58"/>
  <c r="K837" i="58"/>
  <c r="H838" i="58"/>
  <c r="I838" i="58" s="1"/>
  <c r="K838" i="58"/>
  <c r="H839" i="58"/>
  <c r="J839" i="58"/>
  <c r="K839" i="58"/>
  <c r="H840" i="58"/>
  <c r="K840" i="58"/>
  <c r="H841" i="58"/>
  <c r="K841" i="58"/>
  <c r="H842" i="58"/>
  <c r="K842" i="58"/>
  <c r="H843" i="58"/>
  <c r="J843" i="58" s="1"/>
  <c r="I843" i="58"/>
  <c r="K843" i="58"/>
  <c r="H844" i="58"/>
  <c r="J844" i="58" s="1"/>
  <c r="K844" i="58"/>
  <c r="H845" i="58"/>
  <c r="I845" i="58"/>
  <c r="K845" i="58"/>
  <c r="H846" i="58"/>
  <c r="I846" i="58" s="1"/>
  <c r="K846" i="58"/>
  <c r="H847" i="58"/>
  <c r="J847" i="58" s="1"/>
  <c r="I847" i="58"/>
  <c r="K847" i="58"/>
  <c r="H848" i="58"/>
  <c r="K848" i="58"/>
  <c r="H849" i="58"/>
  <c r="K849" i="58"/>
  <c r="H850" i="58"/>
  <c r="I850" i="58" s="1"/>
  <c r="K850" i="58"/>
  <c r="H851" i="58"/>
  <c r="I851" i="58" s="1"/>
  <c r="J851" i="58"/>
  <c r="K851" i="58"/>
  <c r="H852" i="58"/>
  <c r="J852" i="58" s="1"/>
  <c r="K852" i="58"/>
  <c r="H853" i="58"/>
  <c r="I853" i="58" s="1"/>
  <c r="J853" i="58"/>
  <c r="K853" i="58"/>
  <c r="H854" i="58"/>
  <c r="I854" i="58" s="1"/>
  <c r="K854" i="58"/>
  <c r="H855" i="58"/>
  <c r="J855" i="58" s="1"/>
  <c r="K855" i="58"/>
  <c r="H856" i="58"/>
  <c r="K856" i="58"/>
  <c r="H857" i="58"/>
  <c r="K857" i="58"/>
  <c r="H858" i="58"/>
  <c r="J858" i="58" s="1"/>
  <c r="I858" i="58"/>
  <c r="K858" i="58"/>
  <c r="H859" i="58"/>
  <c r="I859" i="58" s="1"/>
  <c r="K859" i="58"/>
  <c r="H860" i="58"/>
  <c r="J860" i="58"/>
  <c r="K860" i="58"/>
  <c r="H861" i="58"/>
  <c r="I861" i="58"/>
  <c r="K861" i="58"/>
  <c r="H862" i="58"/>
  <c r="I862" i="58" s="1"/>
  <c r="J862" i="58"/>
  <c r="K862" i="58"/>
  <c r="H863" i="58"/>
  <c r="K863" i="58"/>
  <c r="H864" i="58"/>
  <c r="K864" i="58"/>
  <c r="H865" i="58"/>
  <c r="K865" i="58"/>
  <c r="H866" i="58"/>
  <c r="K866" i="58"/>
  <c r="H867" i="58"/>
  <c r="I867" i="58" s="1"/>
  <c r="K867" i="58"/>
  <c r="H868" i="58"/>
  <c r="K868" i="58"/>
  <c r="H869" i="58"/>
  <c r="K869" i="58"/>
  <c r="H870" i="58"/>
  <c r="J870" i="58" s="1"/>
  <c r="K870" i="58"/>
  <c r="H871" i="58"/>
  <c r="J871" i="58"/>
  <c r="K871" i="58"/>
  <c r="H872" i="58"/>
  <c r="K872" i="58"/>
  <c r="H873" i="58"/>
  <c r="K873" i="58"/>
  <c r="H874" i="58"/>
  <c r="J874" i="58" s="1"/>
  <c r="K874" i="58"/>
  <c r="H875" i="58"/>
  <c r="J875" i="58"/>
  <c r="I875" i="58"/>
  <c r="K875" i="58"/>
  <c r="H876" i="58"/>
  <c r="J876" i="58"/>
  <c r="K876" i="58"/>
  <c r="H877" i="58"/>
  <c r="I877" i="58" s="1"/>
  <c r="K877" i="58"/>
  <c r="H878" i="58"/>
  <c r="J878" i="58" s="1"/>
  <c r="K878" i="58"/>
  <c r="H879" i="58"/>
  <c r="I879" i="58" s="1"/>
  <c r="J879" i="58"/>
  <c r="K879" i="58"/>
  <c r="H880" i="58"/>
  <c r="K880" i="58"/>
  <c r="H881" i="58"/>
  <c r="K881" i="58"/>
  <c r="H882" i="58"/>
  <c r="J882" i="58" s="1"/>
  <c r="K882" i="58"/>
  <c r="H883" i="58"/>
  <c r="J883" i="58" s="1"/>
  <c r="I883" i="58"/>
  <c r="K883" i="58"/>
  <c r="H884" i="58"/>
  <c r="I884" i="58" s="1"/>
  <c r="K884" i="58"/>
  <c r="H885" i="58"/>
  <c r="J885" i="58" s="1"/>
  <c r="I885" i="58"/>
  <c r="K885" i="58"/>
  <c r="H886" i="58"/>
  <c r="J886" i="58" s="1"/>
  <c r="K886" i="58"/>
  <c r="H887" i="58"/>
  <c r="J887" i="58"/>
  <c r="K887" i="58"/>
  <c r="H888" i="58"/>
  <c r="K888" i="58"/>
  <c r="H889" i="58"/>
  <c r="K889" i="58"/>
  <c r="H890" i="58"/>
  <c r="I890" i="58" s="1"/>
  <c r="K890" i="58"/>
  <c r="H891" i="58"/>
  <c r="I891" i="58"/>
  <c r="J891" i="58"/>
  <c r="K891" i="58"/>
  <c r="H892" i="58"/>
  <c r="J892" i="58"/>
  <c r="K892" i="58"/>
  <c r="H893" i="58"/>
  <c r="I893" i="58" s="1"/>
  <c r="K893" i="58"/>
  <c r="H894" i="58"/>
  <c r="J894" i="58" s="1"/>
  <c r="K894" i="58"/>
  <c r="H895" i="58"/>
  <c r="K895" i="58"/>
  <c r="H896" i="58"/>
  <c r="K896" i="58"/>
  <c r="H897" i="58"/>
  <c r="K897" i="58"/>
  <c r="H898" i="58"/>
  <c r="I898" i="58"/>
  <c r="J898" i="58"/>
  <c r="K898" i="58"/>
  <c r="H899" i="58"/>
  <c r="J899" i="58"/>
  <c r="K899" i="58"/>
  <c r="H900" i="58"/>
  <c r="K900" i="58"/>
  <c r="H901" i="58"/>
  <c r="K901" i="58"/>
  <c r="H902" i="58"/>
  <c r="I902" i="58" s="1"/>
  <c r="K902" i="58"/>
  <c r="H903" i="58"/>
  <c r="I903" i="58" s="1"/>
  <c r="K903" i="58"/>
  <c r="H904" i="58"/>
  <c r="J904" i="58"/>
  <c r="K904" i="58"/>
  <c r="H905" i="58"/>
  <c r="I905" i="58"/>
  <c r="K905" i="58"/>
  <c r="H906" i="58"/>
  <c r="J906" i="58" s="1"/>
  <c r="K906" i="58"/>
  <c r="H907" i="58"/>
  <c r="K907" i="58"/>
  <c r="H908" i="58"/>
  <c r="I908" i="58"/>
  <c r="K908" i="58"/>
  <c r="H909" i="58"/>
  <c r="I909" i="58" s="1"/>
  <c r="K909" i="58"/>
  <c r="H910" i="58"/>
  <c r="J910" i="58" s="1"/>
  <c r="K910" i="58"/>
  <c r="H911" i="58"/>
  <c r="K911" i="58"/>
  <c r="H912" i="58"/>
  <c r="J912" i="58"/>
  <c r="I912" i="58"/>
  <c r="K912" i="58"/>
  <c r="H913" i="58"/>
  <c r="J913" i="58"/>
  <c r="I913" i="58"/>
  <c r="K913" i="58"/>
  <c r="H914" i="58"/>
  <c r="I914" i="58"/>
  <c r="J914" i="58"/>
  <c r="K914" i="58"/>
  <c r="H915" i="58"/>
  <c r="K915" i="58"/>
  <c r="H916" i="58"/>
  <c r="J916" i="58" s="1"/>
  <c r="I916" i="58"/>
  <c r="K916" i="58"/>
  <c r="H917" i="58"/>
  <c r="I917" i="58" s="1"/>
  <c r="K917" i="58"/>
  <c r="H918" i="58"/>
  <c r="J918" i="58"/>
  <c r="I918" i="58"/>
  <c r="K918" i="58"/>
  <c r="H919" i="58"/>
  <c r="K919" i="58"/>
  <c r="H920" i="58"/>
  <c r="I920" i="58" s="1"/>
  <c r="J920" i="58"/>
  <c r="K920" i="58"/>
  <c r="H921" i="58"/>
  <c r="I921" i="58" s="1"/>
  <c r="K921" i="58"/>
  <c r="H922" i="58"/>
  <c r="J922" i="58" s="1"/>
  <c r="I922" i="58"/>
  <c r="K922" i="58"/>
  <c r="H923" i="58"/>
  <c r="K923" i="58"/>
  <c r="H924" i="58"/>
  <c r="I924" i="58" s="1"/>
  <c r="K924" i="58"/>
  <c r="H925" i="58"/>
  <c r="I925" i="58"/>
  <c r="J925" i="58"/>
  <c r="K925" i="58"/>
  <c r="H926" i="58"/>
  <c r="J926" i="58"/>
  <c r="K926" i="58"/>
  <c r="H927" i="58"/>
  <c r="K927" i="58"/>
  <c r="H928" i="58"/>
  <c r="J928" i="58" s="1"/>
  <c r="K928" i="58"/>
  <c r="H929" i="58"/>
  <c r="J929" i="58" s="1"/>
  <c r="K929" i="58"/>
  <c r="H930" i="58"/>
  <c r="I930" i="58" s="1"/>
  <c r="K930" i="58"/>
  <c r="H931" i="58"/>
  <c r="K931" i="58"/>
  <c r="H932" i="58"/>
  <c r="I932" i="58" s="1"/>
  <c r="K932" i="58"/>
  <c r="H933" i="58"/>
  <c r="I933" i="58" s="1"/>
  <c r="K933" i="58"/>
  <c r="H934" i="58"/>
  <c r="I934" i="58" s="1"/>
  <c r="J934" i="58"/>
  <c r="K934" i="58"/>
  <c r="H935" i="58"/>
  <c r="K935" i="58"/>
  <c r="H936" i="58"/>
  <c r="I936" i="58"/>
  <c r="K936" i="58"/>
  <c r="H937" i="58"/>
  <c r="I937" i="58" s="1"/>
  <c r="K937" i="58"/>
  <c r="H938" i="58"/>
  <c r="J938" i="58"/>
  <c r="K938" i="58"/>
  <c r="H939" i="58"/>
  <c r="K939" i="58"/>
  <c r="H940" i="58"/>
  <c r="I940" i="58" s="1"/>
  <c r="K940" i="58"/>
  <c r="H941" i="58"/>
  <c r="J941" i="58" s="1"/>
  <c r="K941" i="58"/>
  <c r="H942" i="58"/>
  <c r="J942" i="58"/>
  <c r="K942" i="58"/>
  <c r="H943" i="58"/>
  <c r="K943" i="58"/>
  <c r="H944" i="58"/>
  <c r="J944" i="58" s="1"/>
  <c r="K944" i="58"/>
  <c r="H945" i="58"/>
  <c r="J945" i="58" s="1"/>
  <c r="I945" i="58"/>
  <c r="K945" i="58"/>
  <c r="H946" i="58"/>
  <c r="J946" i="58" s="1"/>
  <c r="K946" i="58"/>
  <c r="H947" i="58"/>
  <c r="K947" i="58"/>
  <c r="H948" i="58"/>
  <c r="J948" i="58"/>
  <c r="K948" i="58"/>
  <c r="H949" i="58"/>
  <c r="J949" i="58" s="1"/>
  <c r="I949" i="58"/>
  <c r="K949" i="58"/>
  <c r="H950" i="58"/>
  <c r="J950" i="58" s="1"/>
  <c r="K950" i="58"/>
  <c r="H951" i="58"/>
  <c r="K951" i="58"/>
  <c r="H952" i="58"/>
  <c r="I952" i="58"/>
  <c r="J952" i="58"/>
  <c r="K952" i="58"/>
  <c r="H953" i="58"/>
  <c r="I953" i="58"/>
  <c r="J953" i="58"/>
  <c r="K953" i="58"/>
  <c r="H954" i="58"/>
  <c r="J954" i="58"/>
  <c r="K954" i="58"/>
  <c r="H955" i="58"/>
  <c r="K955" i="58"/>
  <c r="H956" i="58"/>
  <c r="J956" i="58" s="1"/>
  <c r="I956" i="58"/>
  <c r="K956" i="58"/>
  <c r="H957" i="58"/>
  <c r="J957" i="58" s="1"/>
  <c r="I957" i="58"/>
  <c r="K957" i="58"/>
  <c r="H958" i="58"/>
  <c r="J958" i="58"/>
  <c r="K958" i="58"/>
  <c r="H959" i="58"/>
  <c r="K959" i="58"/>
  <c r="H960" i="58"/>
  <c r="I960" i="58" s="1"/>
  <c r="K960" i="58"/>
  <c r="H961" i="58"/>
  <c r="I961" i="58"/>
  <c r="K961" i="58"/>
  <c r="H962" i="58"/>
  <c r="J962" i="58"/>
  <c r="K962" i="58"/>
  <c r="H963" i="58"/>
  <c r="K963" i="58"/>
  <c r="H964" i="58"/>
  <c r="I964" i="58" s="1"/>
  <c r="J964" i="58"/>
  <c r="K964" i="58"/>
  <c r="H965" i="58"/>
  <c r="I965" i="58" s="1"/>
  <c r="J965" i="58"/>
  <c r="K965" i="58"/>
  <c r="H966" i="58"/>
  <c r="J966" i="58"/>
  <c r="K966" i="58"/>
  <c r="H967" i="58"/>
  <c r="K967" i="58"/>
  <c r="H968" i="58"/>
  <c r="J968" i="58" s="1"/>
  <c r="K968" i="58"/>
  <c r="H969" i="58"/>
  <c r="J969" i="58" s="1"/>
  <c r="I969" i="58"/>
  <c r="K969" i="58"/>
  <c r="H970" i="58"/>
  <c r="J970" i="58" s="1"/>
  <c r="K970" i="58"/>
  <c r="H971" i="58"/>
  <c r="K971" i="58"/>
  <c r="H972" i="58"/>
  <c r="I972" i="58" s="1"/>
  <c r="J972" i="58"/>
  <c r="K972" i="58"/>
  <c r="H973" i="58"/>
  <c r="I973" i="58" s="1"/>
  <c r="K973" i="58"/>
  <c r="H974" i="58"/>
  <c r="J974" i="58" s="1"/>
  <c r="K974" i="58"/>
  <c r="H975" i="58"/>
  <c r="K975" i="58"/>
  <c r="H976" i="58"/>
  <c r="I976" i="58"/>
  <c r="K976" i="58"/>
  <c r="H977" i="58"/>
  <c r="I977" i="58" s="1"/>
  <c r="K977" i="58"/>
  <c r="H978" i="58"/>
  <c r="J978" i="58"/>
  <c r="K978" i="58"/>
  <c r="H979" i="58"/>
  <c r="K979" i="58"/>
  <c r="H980" i="58"/>
  <c r="J980" i="58" s="1"/>
  <c r="I980" i="58"/>
  <c r="K980" i="58"/>
  <c r="H981" i="58"/>
  <c r="J981" i="58" s="1"/>
  <c r="I981" i="58"/>
  <c r="K981" i="58"/>
  <c r="H982" i="58"/>
  <c r="J982" i="58" s="1"/>
  <c r="K982" i="58"/>
  <c r="H983" i="58"/>
  <c r="K983" i="58"/>
  <c r="H984" i="58"/>
  <c r="I984" i="58"/>
  <c r="J984" i="58"/>
  <c r="K984" i="58"/>
  <c r="H985" i="58"/>
  <c r="I985" i="58"/>
  <c r="J985" i="58"/>
  <c r="K985" i="58"/>
  <c r="H986" i="58"/>
  <c r="J986" i="58"/>
  <c r="K986" i="58"/>
  <c r="H987" i="58"/>
  <c r="K987" i="58"/>
  <c r="H988" i="58"/>
  <c r="I988" i="58" s="1"/>
  <c r="K988" i="58"/>
  <c r="H989" i="58"/>
  <c r="I989" i="58" s="1"/>
  <c r="K989" i="58"/>
  <c r="H990" i="58"/>
  <c r="J990" i="58" s="1"/>
  <c r="K990" i="58"/>
  <c r="H991" i="58"/>
  <c r="K991" i="58"/>
  <c r="H992" i="58"/>
  <c r="I992" i="58"/>
  <c r="K992" i="58"/>
  <c r="H993" i="58"/>
  <c r="I993" i="58" s="1"/>
  <c r="K993" i="58"/>
  <c r="H994" i="58"/>
  <c r="J994" i="58"/>
  <c r="K994" i="58"/>
  <c r="H995" i="58"/>
  <c r="K995" i="58"/>
  <c r="H996" i="58"/>
  <c r="J996" i="58" s="1"/>
  <c r="K996" i="58"/>
  <c r="H997" i="58"/>
  <c r="J997" i="58" s="1"/>
  <c r="K997" i="58"/>
  <c r="H998" i="58"/>
  <c r="J998" i="58" s="1"/>
  <c r="K998" i="58"/>
  <c r="H999" i="58"/>
  <c r="K999" i="58"/>
  <c r="H1000" i="58"/>
  <c r="J1000" i="58" s="1"/>
  <c r="I1000" i="58"/>
  <c r="K1000" i="58"/>
  <c r="H1001" i="58"/>
  <c r="J1001" i="58" s="1"/>
  <c r="I1001" i="58"/>
  <c r="K1001" i="58"/>
  <c r="H1002" i="58"/>
  <c r="J1002" i="58"/>
  <c r="K1002" i="58"/>
  <c r="H1003" i="58"/>
  <c r="K1003" i="58"/>
  <c r="H1004" i="58"/>
  <c r="I1004" i="58" s="1"/>
  <c r="J1004" i="58"/>
  <c r="K1004" i="58"/>
  <c r="H1005" i="58"/>
  <c r="I1005" i="58" s="1"/>
  <c r="J1005" i="58"/>
  <c r="K1005" i="58"/>
  <c r="H1006" i="58"/>
  <c r="J1006" i="58" s="1"/>
  <c r="K1006" i="58"/>
  <c r="H1007" i="58"/>
  <c r="K1007" i="58"/>
  <c r="H1008" i="58"/>
  <c r="I1008" i="58"/>
  <c r="K1008" i="58"/>
  <c r="H1009" i="58"/>
  <c r="I1009" i="58" s="1"/>
  <c r="K1009" i="58"/>
  <c r="H1010" i="58"/>
  <c r="J1010" i="58"/>
  <c r="K1010" i="58"/>
  <c r="H1011" i="58"/>
  <c r="J1011" i="58" s="1"/>
  <c r="K1011" i="58"/>
  <c r="H1012" i="58"/>
  <c r="I1012" i="58"/>
  <c r="K1012" i="58"/>
  <c r="H1013" i="58"/>
  <c r="J1013" i="58" s="1"/>
  <c r="I1013" i="58"/>
  <c r="K1013" i="58"/>
  <c r="H1014" i="58"/>
  <c r="I1014" i="58" s="1"/>
  <c r="K1014" i="58"/>
  <c r="H1015" i="58"/>
  <c r="J1015" i="58"/>
  <c r="K1015" i="58"/>
  <c r="H1016" i="58"/>
  <c r="I1016" i="58" s="1"/>
  <c r="K1016" i="58"/>
  <c r="H1017" i="58"/>
  <c r="I1017" i="58"/>
  <c r="K1017" i="58"/>
  <c r="H1018" i="58"/>
  <c r="I1018" i="58" s="1"/>
  <c r="K1018" i="58"/>
  <c r="H1019" i="58"/>
  <c r="J1019" i="58"/>
  <c r="K1019" i="58"/>
  <c r="H1020" i="58"/>
  <c r="I1020" i="58" s="1"/>
  <c r="K1020" i="58"/>
  <c r="H1021" i="58"/>
  <c r="I1021" i="58"/>
  <c r="J1021" i="58"/>
  <c r="K1021" i="58"/>
  <c r="H1022" i="58"/>
  <c r="I1022" i="58"/>
  <c r="K1022" i="58"/>
  <c r="H1023" i="58"/>
  <c r="I1023" i="58" s="1"/>
  <c r="J1023" i="58"/>
  <c r="K1023" i="58"/>
  <c r="H1024" i="58"/>
  <c r="J1024" i="58" s="1"/>
  <c r="I1024" i="58"/>
  <c r="K1024" i="58"/>
  <c r="K5" i="58"/>
  <c r="H5" i="58"/>
  <c r="M989" i="58"/>
  <c r="N989" i="58" s="1"/>
  <c r="M24" i="58"/>
  <c r="M26" i="58"/>
  <c r="L28" i="58"/>
  <c r="M28" i="58"/>
  <c r="L29" i="58"/>
  <c r="M29" i="58"/>
  <c r="L33" i="58"/>
  <c r="M33" i="58"/>
  <c r="L36" i="58"/>
  <c r="L37" i="58"/>
  <c r="L38" i="58"/>
  <c r="L41" i="58"/>
  <c r="M41" i="58"/>
  <c r="M42" i="58"/>
  <c r="L43" i="58"/>
  <c r="L44" i="58"/>
  <c r="M45" i="58"/>
  <c r="L47" i="58"/>
  <c r="L48" i="58"/>
  <c r="L49" i="58"/>
  <c r="L53" i="58"/>
  <c r="M54" i="58"/>
  <c r="L55" i="58"/>
  <c r="L56" i="58"/>
  <c r="M56" i="58"/>
  <c r="M58" i="58"/>
  <c r="L64" i="58"/>
  <c r="L65" i="58"/>
  <c r="L68" i="58"/>
  <c r="L71" i="58"/>
  <c r="L72" i="58"/>
  <c r="M74" i="58"/>
  <c r="L75" i="58"/>
  <c r="L76" i="58"/>
  <c r="L79" i="58"/>
  <c r="M79" i="58"/>
  <c r="L80" i="58"/>
  <c r="L81" i="58"/>
  <c r="M83" i="58"/>
  <c r="L84" i="58"/>
  <c r="L86" i="58"/>
  <c r="M87" i="58"/>
  <c r="L89" i="58"/>
  <c r="M91" i="58"/>
  <c r="L93" i="58"/>
  <c r="M98" i="58"/>
  <c r="L98" i="58"/>
  <c r="L104" i="58"/>
  <c r="L109" i="58"/>
  <c r="L110" i="58"/>
  <c r="M111" i="58"/>
  <c r="M112" i="58"/>
  <c r="L113" i="58"/>
  <c r="L114" i="58"/>
  <c r="L121" i="58"/>
  <c r="M123" i="58"/>
  <c r="M124" i="58"/>
  <c r="M126" i="58"/>
  <c r="L131" i="58"/>
  <c r="L137" i="58"/>
  <c r="M142" i="58"/>
  <c r="M147" i="58"/>
  <c r="M148" i="58"/>
  <c r="M149" i="58"/>
  <c r="L150" i="58"/>
  <c r="L152" i="58"/>
  <c r="M153" i="58"/>
  <c r="L154" i="58"/>
  <c r="M155" i="58"/>
  <c r="L156" i="58"/>
  <c r="L158" i="58"/>
  <c r="M159" i="58"/>
  <c r="L163" i="58"/>
  <c r="L164" i="58"/>
  <c r="M167" i="58"/>
  <c r="L171" i="58"/>
  <c r="L179" i="58"/>
  <c r="L180" i="58"/>
  <c r="L185" i="58"/>
  <c r="L189" i="58"/>
  <c r="L191" i="58"/>
  <c r="M193" i="58"/>
  <c r="L194" i="58"/>
  <c r="M196" i="58"/>
  <c r="L202" i="58"/>
  <c r="L203" i="58"/>
  <c r="M207" i="58"/>
  <c r="L208" i="58"/>
  <c r="M209" i="58"/>
  <c r="L210" i="58"/>
  <c r="L214" i="58"/>
  <c r="L219" i="58"/>
  <c r="M219" i="58"/>
  <c r="L221" i="58"/>
  <c r="L223" i="58"/>
  <c r="L225" i="58"/>
  <c r="L230" i="58"/>
  <c r="L231" i="58"/>
  <c r="L237" i="58"/>
  <c r="L244" i="58"/>
  <c r="L247" i="58"/>
  <c r="L250" i="58"/>
  <c r="M255" i="58"/>
  <c r="L255" i="58"/>
  <c r="L256" i="58"/>
  <c r="L257" i="58"/>
  <c r="L259" i="58"/>
  <c r="M260" i="58"/>
  <c r="L267" i="58"/>
  <c r="L273" i="58"/>
  <c r="M276" i="58"/>
  <c r="N276" i="58" s="1"/>
  <c r="L277" i="58"/>
  <c r="M280" i="58"/>
  <c r="L281" i="58"/>
  <c r="L283" i="58"/>
  <c r="M284" i="58"/>
  <c r="L285" i="58"/>
  <c r="M286" i="58"/>
  <c r="L287" i="58"/>
  <c r="M288" i="58"/>
  <c r="L290" i="58"/>
  <c r="L293" i="58"/>
  <c r="M296" i="58"/>
  <c r="L298" i="58"/>
  <c r="M298" i="58"/>
  <c r="M302" i="58"/>
  <c r="L303" i="58"/>
  <c r="M303" i="58"/>
  <c r="L304" i="58"/>
  <c r="L306" i="58"/>
  <c r="M306" i="58"/>
  <c r="L311" i="58"/>
  <c r="L315" i="58"/>
  <c r="L317" i="58"/>
  <c r="M319" i="58"/>
  <c r="M322" i="58"/>
  <c r="L325" i="58"/>
  <c r="M332" i="58"/>
  <c r="M334" i="58"/>
  <c r="L339" i="58"/>
  <c r="L341" i="58"/>
  <c r="M344" i="58"/>
  <c r="L346" i="58"/>
  <c r="M346" i="58"/>
  <c r="L347" i="58"/>
  <c r="M348" i="58"/>
  <c r="L352" i="58"/>
  <c r="L355" i="58"/>
  <c r="M356" i="58"/>
  <c r="L358" i="58"/>
  <c r="L359" i="58"/>
  <c r="L362" i="58"/>
  <c r="M364" i="58"/>
  <c r="L365" i="58"/>
  <c r="M366" i="58"/>
  <c r="N366" i="58"/>
  <c r="L372" i="58"/>
  <c r="M373" i="58"/>
  <c r="L375" i="58"/>
  <c r="L377" i="58"/>
  <c r="M377" i="58"/>
  <c r="L382" i="58"/>
  <c r="L391" i="58"/>
  <c r="L396" i="58"/>
  <c r="M399" i="58"/>
  <c r="M401" i="58"/>
  <c r="L404" i="58"/>
  <c r="L405" i="58"/>
  <c r="L406" i="58"/>
  <c r="M407" i="58"/>
  <c r="M409" i="58"/>
  <c r="L412" i="58"/>
  <c r="L415" i="58"/>
  <c r="L417" i="58"/>
  <c r="L418" i="58"/>
  <c r="L420" i="58"/>
  <c r="L421" i="58"/>
  <c r="L422" i="58"/>
  <c r="L426" i="58"/>
  <c r="L428" i="58"/>
  <c r="L429" i="58"/>
  <c r="M430" i="58"/>
  <c r="L431" i="58"/>
  <c r="L436" i="58"/>
  <c r="L437" i="58"/>
  <c r="M437" i="58"/>
  <c r="N437" i="58" s="1"/>
  <c r="L438" i="58"/>
  <c r="M439" i="58"/>
  <c r="M441" i="58"/>
  <c r="N441" i="58" s="1"/>
  <c r="L442" i="58"/>
  <c r="L447" i="58"/>
  <c r="L449" i="58"/>
  <c r="L454" i="58"/>
  <c r="M459" i="58"/>
  <c r="L461" i="58"/>
  <c r="L465" i="58"/>
  <c r="L467" i="58"/>
  <c r="M467" i="58"/>
  <c r="L471" i="58"/>
  <c r="M473" i="58"/>
  <c r="L477" i="58"/>
  <c r="M477" i="58"/>
  <c r="L481" i="58"/>
  <c r="M481" i="58"/>
  <c r="L483" i="58"/>
  <c r="M483" i="58"/>
  <c r="L484" i="58"/>
  <c r="L486" i="58"/>
  <c r="M488" i="58"/>
  <c r="M493" i="58"/>
  <c r="L494" i="58"/>
  <c r="L495" i="58"/>
  <c r="M496" i="58"/>
  <c r="L497" i="58"/>
  <c r="L500" i="58"/>
  <c r="L502" i="58"/>
  <c r="L511" i="58"/>
  <c r="M512" i="58"/>
  <c r="L513" i="58"/>
  <c r="M515" i="58"/>
  <c r="L521" i="58"/>
  <c r="M521" i="58"/>
  <c r="L523" i="58"/>
  <c r="M523" i="58"/>
  <c r="N523" i="58" s="1"/>
  <c r="M525" i="58"/>
  <c r="L528" i="58"/>
  <c r="L530" i="58"/>
  <c r="L535" i="58"/>
  <c r="M537" i="58"/>
  <c r="L543" i="58"/>
  <c r="L544" i="58"/>
  <c r="M545" i="58"/>
  <c r="L546" i="58"/>
  <c r="L548" i="58"/>
  <c r="L550" i="58"/>
  <c r="L551" i="58"/>
  <c r="M553" i="58"/>
  <c r="L554" i="58"/>
  <c r="M557" i="58"/>
  <c r="L558" i="58"/>
  <c r="M561" i="58"/>
  <c r="L562" i="58"/>
  <c r="L564" i="58"/>
  <c r="M565" i="58"/>
  <c r="L566" i="58"/>
  <c r="L567" i="58"/>
  <c r="M569" i="58"/>
  <c r="M577" i="58"/>
  <c r="M581" i="58"/>
  <c r="N581" i="58" s="1"/>
  <c r="L585" i="58"/>
  <c r="L586" i="58"/>
  <c r="M587" i="58"/>
  <c r="N587" i="58" s="1"/>
  <c r="L588" i="58"/>
  <c r="L595" i="58"/>
  <c r="L602" i="58"/>
  <c r="L604" i="58"/>
  <c r="M605" i="58"/>
  <c r="L611" i="58"/>
  <c r="L614" i="58"/>
  <c r="L624" i="58"/>
  <c r="M624" i="58"/>
  <c r="L625" i="58"/>
  <c r="M627" i="58"/>
  <c r="M648" i="58"/>
  <c r="L660" i="58"/>
  <c r="M661" i="58"/>
  <c r="M665" i="58"/>
  <c r="L676" i="58"/>
  <c r="M677" i="58"/>
  <c r="M679" i="58"/>
  <c r="M681" i="58"/>
  <c r="M685" i="58"/>
  <c r="L686" i="58"/>
  <c r="L689" i="58"/>
  <c r="M693" i="58"/>
  <c r="M695" i="58"/>
  <c r="N695" i="58"/>
  <c r="L696" i="58"/>
  <c r="M701" i="58"/>
  <c r="M705" i="58"/>
  <c r="N705" i="58"/>
  <c r="L707" i="58"/>
  <c r="L708" i="58"/>
  <c r="L710" i="58"/>
  <c r="M713" i="58"/>
  <c r="M715" i="58"/>
  <c r="M717" i="58"/>
  <c r="L721" i="58"/>
  <c r="L724" i="58"/>
  <c r="M725" i="58"/>
  <c r="L728" i="58"/>
  <c r="L734" i="58"/>
  <c r="L735" i="58"/>
  <c r="L736" i="58"/>
  <c r="L739" i="58"/>
  <c r="L740" i="58"/>
  <c r="M741" i="58"/>
  <c r="L746" i="58"/>
  <c r="L747" i="58"/>
  <c r="L748" i="58"/>
  <c r="M751" i="58"/>
  <c r="L754" i="58"/>
  <c r="L756" i="58"/>
  <c r="M757" i="58"/>
  <c r="L759" i="58"/>
  <c r="L762" i="58"/>
  <c r="L763" i="58"/>
  <c r="L764" i="58"/>
  <c r="L765" i="58"/>
  <c r="M767" i="58"/>
  <c r="M775" i="58"/>
  <c r="L779" i="58"/>
  <c r="L780" i="58"/>
  <c r="M781" i="58"/>
  <c r="N781" i="58"/>
  <c r="L781" i="58"/>
  <c r="L786" i="58"/>
  <c r="M789" i="58"/>
  <c r="L796" i="58"/>
  <c r="L797" i="58"/>
  <c r="L799" i="58"/>
  <c r="L807" i="58"/>
  <c r="M807" i="58"/>
  <c r="L811" i="58"/>
  <c r="M811" i="58"/>
  <c r="M812" i="58"/>
  <c r="M813" i="58"/>
  <c r="L815" i="58"/>
  <c r="L818" i="58"/>
  <c r="L823" i="58"/>
  <c r="L828" i="58"/>
  <c r="L829" i="58"/>
  <c r="L831" i="58"/>
  <c r="L835" i="58"/>
  <c r="L845" i="58"/>
  <c r="M845" i="58"/>
  <c r="N845" i="58"/>
  <c r="M851" i="58"/>
  <c r="M861" i="58"/>
  <c r="L863" i="58"/>
  <c r="L866" i="58"/>
  <c r="L878" i="58"/>
  <c r="L884" i="58"/>
  <c r="L887" i="58"/>
  <c r="L889" i="58"/>
  <c r="L895" i="58"/>
  <c r="M897" i="58"/>
  <c r="N897" i="58" s="1"/>
  <c r="L897" i="58"/>
  <c r="L902" i="58"/>
  <c r="M905" i="58"/>
  <c r="L913" i="58"/>
  <c r="L914" i="58"/>
  <c r="L921" i="58"/>
  <c r="L927" i="58"/>
  <c r="L929" i="58"/>
  <c r="M929" i="58"/>
  <c r="N929" i="58"/>
  <c r="L931" i="58"/>
  <c r="L937" i="58"/>
  <c r="L943" i="58"/>
  <c r="M945" i="58"/>
  <c r="L955" i="58"/>
  <c r="M957" i="58"/>
  <c r="N957" i="58"/>
  <c r="L958" i="58"/>
  <c r="M961" i="58"/>
  <c r="N961" i="58" s="1"/>
  <c r="L963" i="58"/>
  <c r="M965" i="58"/>
  <c r="N965" i="58"/>
  <c r="L966" i="58"/>
  <c r="L967" i="58"/>
  <c r="L971" i="58"/>
  <c r="M973" i="58"/>
  <c r="N973" i="58" s="1"/>
  <c r="L979" i="58"/>
  <c r="M981" i="58"/>
  <c r="N981" i="58" s="1"/>
  <c r="L983" i="58"/>
  <c r="L987" i="58"/>
  <c r="L992" i="58"/>
  <c r="L995" i="58"/>
  <c r="M997" i="58"/>
  <c r="L1000" i="58"/>
  <c r="M1005" i="58"/>
  <c r="N1005" i="58" s="1"/>
  <c r="L1011" i="58"/>
  <c r="M1013" i="58"/>
  <c r="N1013" i="58"/>
  <c r="M1017" i="58"/>
  <c r="M1021" i="58"/>
  <c r="N1021" i="58"/>
  <c r="I5" i="58"/>
  <c r="D394" i="58"/>
  <c r="G394" i="58" s="1"/>
  <c r="D942" i="58"/>
  <c r="G942" i="58"/>
  <c r="D448" i="58"/>
  <c r="G448" i="58" s="1"/>
  <c r="D377" i="58"/>
  <c r="G377" i="58"/>
  <c r="D398" i="58"/>
  <c r="G398" i="58" s="1"/>
  <c r="D457" i="58"/>
  <c r="G457" i="58" s="1"/>
  <c r="D589" i="58"/>
  <c r="G589" i="58" s="1"/>
  <c r="D217" i="58"/>
  <c r="G217" i="58"/>
  <c r="D277" i="58"/>
  <c r="G277" i="58" s="1"/>
  <c r="D522" i="58"/>
  <c r="G522" i="58"/>
  <c r="D689" i="58"/>
  <c r="G689" i="58" s="1"/>
  <c r="D483" i="58"/>
  <c r="G483" i="58"/>
  <c r="D732" i="58"/>
  <c r="G732" i="58" s="1"/>
  <c r="D485" i="58"/>
  <c r="G485" i="58" s="1"/>
  <c r="D735" i="58"/>
  <c r="G735" i="58" s="1"/>
  <c r="D424" i="58"/>
  <c r="G424" i="58"/>
  <c r="D603" i="58"/>
  <c r="G603" i="58" s="1"/>
  <c r="D426" i="58"/>
  <c r="G426" i="58"/>
  <c r="D607" i="58"/>
  <c r="G607" i="58" s="1"/>
  <c r="D667" i="58"/>
  <c r="G667" i="58"/>
  <c r="D60" i="58"/>
  <c r="G60" i="58" s="1"/>
  <c r="D157" i="58"/>
  <c r="G157" i="58" s="1"/>
  <c r="D255" i="58"/>
  <c r="G255" i="58" s="1"/>
  <c r="D142" i="58"/>
  <c r="G142" i="58"/>
  <c r="D267" i="58"/>
  <c r="G267" i="58" s="1"/>
  <c r="D422" i="58"/>
  <c r="G422" i="58"/>
  <c r="D11" i="58"/>
  <c r="G11" i="58" s="1"/>
  <c r="D989" i="58"/>
  <c r="G989" i="58"/>
  <c r="D994" i="58"/>
  <c r="G994" i="58" s="1"/>
  <c r="D298" i="58"/>
  <c r="G298" i="58" s="1"/>
  <c r="D425" i="58"/>
  <c r="G425" i="58" s="1"/>
  <c r="D523" i="58"/>
  <c r="G523" i="58"/>
  <c r="D57" i="58"/>
  <c r="G57" i="58" s="1"/>
  <c r="D508" i="58"/>
  <c r="G508" i="58"/>
  <c r="D247" i="58"/>
  <c r="G247" i="58" s="1"/>
  <c r="D218" i="58"/>
  <c r="G218" i="58"/>
  <c r="D531" i="58"/>
  <c r="G531" i="58" s="1"/>
  <c r="D953" i="58"/>
  <c r="G953" i="58" s="1"/>
  <c r="D663" i="58"/>
  <c r="G663" i="58" s="1"/>
  <c r="D844" i="58"/>
  <c r="G844" i="58"/>
  <c r="D612" i="58"/>
  <c r="G612" i="58" s="1"/>
  <c r="D615" i="58"/>
  <c r="G615" i="58"/>
  <c r="D1017" i="58"/>
  <c r="G1017" i="58" s="1"/>
  <c r="D1015" i="58"/>
  <c r="G1015" i="58"/>
  <c r="D520" i="58"/>
  <c r="G520" i="58" s="1"/>
  <c r="D910" i="58"/>
  <c r="G910" i="58" s="1"/>
  <c r="D799" i="58"/>
  <c r="G799" i="58" s="1"/>
  <c r="D160" i="58"/>
  <c r="G160" i="58"/>
  <c r="D621" i="58"/>
  <c r="G621" i="58" s="1"/>
  <c r="D399" i="58"/>
  <c r="G399" i="58"/>
  <c r="D316" i="58"/>
  <c r="G316" i="58" s="1"/>
  <c r="D360" i="58"/>
  <c r="G360" i="58"/>
  <c r="D359" i="58"/>
  <c r="G359" i="58" s="1"/>
  <c r="D96" i="58"/>
  <c r="G96" i="58" s="1"/>
  <c r="D179" i="58"/>
  <c r="G179" i="58" s="1"/>
  <c r="D171" i="58"/>
  <c r="G171" i="58" s="1"/>
  <c r="D356" i="58"/>
  <c r="G356" i="58" s="1"/>
  <c r="D432" i="58"/>
  <c r="G432" i="58"/>
  <c r="D909" i="58"/>
  <c r="G909" i="58" s="1"/>
  <c r="D600" i="58"/>
  <c r="G600" i="58"/>
  <c r="D64" i="58"/>
  <c r="G64" i="58" s="1"/>
  <c r="D980" i="58"/>
  <c r="G980" i="58" s="1"/>
  <c r="D1005" i="58"/>
  <c r="G1005" i="58" s="1"/>
  <c r="D804" i="58"/>
  <c r="G804" i="58" s="1"/>
  <c r="D340" i="58"/>
  <c r="G340" i="58" s="1"/>
  <c r="D974" i="58"/>
  <c r="G974" i="58"/>
  <c r="D897" i="58"/>
  <c r="G897" i="58" s="1"/>
  <c r="D951" i="58"/>
  <c r="G951" i="58"/>
  <c r="D478" i="58"/>
  <c r="G478" i="58" s="1"/>
  <c r="D437" i="58"/>
  <c r="G437" i="58" s="1"/>
  <c r="D714" i="58"/>
  <c r="G714" i="58" s="1"/>
  <c r="D250" i="58"/>
  <c r="G250" i="58" s="1"/>
  <c r="D292" i="58"/>
  <c r="G292" i="58" s="1"/>
  <c r="D436" i="58"/>
  <c r="G436" i="58"/>
  <c r="D871" i="58"/>
  <c r="G871" i="58" s="1"/>
  <c r="D794" i="58"/>
  <c r="G794" i="58"/>
  <c r="D594" i="58"/>
  <c r="G594" i="58" s="1"/>
  <c r="D859" i="58"/>
  <c r="G859" i="58" s="1"/>
  <c r="D976" i="58"/>
  <c r="G976" i="58" s="1"/>
  <c r="D1013" i="58"/>
  <c r="G1013" i="58"/>
  <c r="D954" i="58"/>
  <c r="G954" i="58" s="1"/>
  <c r="D1011" i="58"/>
  <c r="G1011" i="58"/>
  <c r="D1020" i="58"/>
  <c r="G1020" i="58" s="1"/>
  <c r="D939" i="58"/>
  <c r="G939" i="58"/>
  <c r="D1021" i="58"/>
  <c r="G1021" i="58" s="1"/>
  <c r="D438" i="58"/>
  <c r="G438" i="58" s="1"/>
  <c r="D857" i="58"/>
  <c r="G857" i="58" s="1"/>
  <c r="D820" i="58"/>
  <c r="G820" i="58" s="1"/>
  <c r="D549" i="58"/>
  <c r="G549" i="58" s="1"/>
  <c r="D61" i="58"/>
  <c r="G61" i="58"/>
  <c r="D631" i="58"/>
  <c r="G631" i="58" s="1"/>
  <c r="D823" i="58"/>
  <c r="G823" i="58"/>
  <c r="D734" i="58"/>
  <c r="G734" i="58" s="1"/>
  <c r="D516" i="58"/>
  <c r="G516" i="58" s="1"/>
  <c r="D166" i="58"/>
  <c r="G166" i="58" s="1"/>
  <c r="D140" i="58"/>
  <c r="G140" i="58"/>
  <c r="D328" i="58"/>
  <c r="G328" i="58" s="1"/>
  <c r="D1009" i="58"/>
  <c r="G1009" i="58"/>
  <c r="D604" i="58"/>
  <c r="G604" i="58" s="1"/>
  <c r="D639" i="58"/>
  <c r="G639" i="58"/>
  <c r="D806" i="58"/>
  <c r="G806" i="58" s="1"/>
  <c r="D878" i="58"/>
  <c r="G878" i="58" s="1"/>
  <c r="D699" i="58"/>
  <c r="G699" i="58" s="1"/>
  <c r="D1024" i="58"/>
  <c r="G1024" i="58" s="1"/>
  <c r="D623" i="58"/>
  <c r="G623" i="58" s="1"/>
  <c r="D839" i="58"/>
  <c r="G839" i="58"/>
  <c r="D409" i="58"/>
  <c r="G409" i="58" s="1"/>
  <c r="D521" i="58"/>
  <c r="G521" i="58"/>
  <c r="D81" i="58"/>
  <c r="G81" i="58" s="1"/>
  <c r="D54" i="58"/>
  <c r="G54" i="58" s="1"/>
  <c r="D195" i="58"/>
  <c r="G195" i="58" s="1"/>
  <c r="D988" i="58"/>
  <c r="G988" i="58"/>
  <c r="D766" i="58"/>
  <c r="G766" i="58" s="1"/>
  <c r="D801" i="58"/>
  <c r="G801" i="58"/>
  <c r="D916" i="58"/>
  <c r="G916" i="58" s="1"/>
  <c r="D690" i="58"/>
  <c r="G690" i="58"/>
  <c r="D346" i="58"/>
  <c r="G346" i="58" s="1"/>
  <c r="D170" i="58"/>
  <c r="G170" i="58" s="1"/>
  <c r="D970" i="58"/>
  <c r="G970" i="58" s="1"/>
  <c r="D991" i="58"/>
  <c r="G991" i="58" s="1"/>
  <c r="D908" i="58"/>
  <c r="G908" i="58" s="1"/>
  <c r="D798" i="58"/>
  <c r="G798" i="58"/>
  <c r="D640" i="58"/>
  <c r="G640" i="58" s="1"/>
  <c r="D265" i="58"/>
  <c r="G265" i="58"/>
  <c r="D886" i="58"/>
  <c r="G886" i="58" s="1"/>
  <c r="D758" i="58"/>
  <c r="G758" i="58" s="1"/>
  <c r="D961" i="58"/>
  <c r="G961" i="58" s="1"/>
  <c r="D926" i="58"/>
  <c r="G926" i="58"/>
  <c r="D450" i="58"/>
  <c r="G450" i="58" s="1"/>
  <c r="D642" i="58"/>
  <c r="G642" i="58"/>
  <c r="D1018" i="58"/>
  <c r="G1018" i="58" s="1"/>
  <c r="D877" i="58"/>
  <c r="G877" i="58"/>
  <c r="D975" i="58"/>
  <c r="G975" i="58" s="1"/>
  <c r="D825" i="58"/>
  <c r="G825" i="58" s="1"/>
  <c r="D178" i="58"/>
  <c r="G178" i="58" s="1"/>
  <c r="D737" i="58"/>
  <c r="G737" i="58" s="1"/>
  <c r="D712" i="58"/>
  <c r="G712" i="58" s="1"/>
  <c r="D795" i="58"/>
  <c r="G795" i="58"/>
  <c r="D677" i="58"/>
  <c r="G677" i="58" s="1"/>
  <c r="D553" i="58"/>
  <c r="G553" i="58"/>
  <c r="D984" i="58"/>
  <c r="G984" i="58" s="1"/>
  <c r="D147" i="58"/>
  <c r="G147" i="58" s="1"/>
  <c r="D884" i="58"/>
  <c r="G884" i="58" s="1"/>
  <c r="D830" i="58"/>
  <c r="G830" i="58"/>
  <c r="D1016" i="58"/>
  <c r="G1016" i="58" s="1"/>
  <c r="D592" i="58"/>
  <c r="G592" i="58"/>
  <c r="D715" i="58"/>
  <c r="G715" i="58" s="1"/>
  <c r="D296" i="58"/>
  <c r="G296" i="58"/>
  <c r="D105" i="58"/>
  <c r="G105" i="58" s="1"/>
  <c r="D74" i="58"/>
  <c r="G74" i="58" s="1"/>
  <c r="D141" i="58"/>
  <c r="G141" i="58" s="1"/>
  <c r="D268" i="58"/>
  <c r="G268" i="58" s="1"/>
  <c r="D967" i="58"/>
  <c r="G967" i="58" s="1"/>
  <c r="D882" i="58"/>
  <c r="G882" i="58"/>
  <c r="D199" i="58"/>
  <c r="G199" i="58" s="1"/>
  <c r="D572" i="58"/>
  <c r="G572" i="58"/>
  <c r="D175" i="58"/>
  <c r="G175" i="58" s="1"/>
  <c r="D775" i="58"/>
  <c r="G775" i="58" s="1"/>
  <c r="D938" i="58"/>
  <c r="G938" i="58" s="1"/>
  <c r="D960" i="58"/>
  <c r="G960" i="58"/>
  <c r="D1003" i="58"/>
  <c r="G1003" i="58" s="1"/>
  <c r="D829" i="58"/>
  <c r="G829" i="58" s="1"/>
  <c r="D911" i="58"/>
  <c r="G911" i="58" s="1"/>
  <c r="D922" i="58"/>
  <c r="G922" i="58"/>
  <c r="D110" i="58"/>
  <c r="G110" i="58" s="1"/>
  <c r="D1014" i="58"/>
  <c r="G1014" i="58" s="1"/>
  <c r="D864" i="58"/>
  <c r="G864" i="58" s="1"/>
  <c r="D880" i="58"/>
  <c r="G880" i="58" s="1"/>
  <c r="D1008" i="58"/>
  <c r="G1008" i="58" s="1"/>
  <c r="D824" i="58"/>
  <c r="G824" i="58"/>
  <c r="D595" i="58"/>
  <c r="G595" i="58" s="1"/>
  <c r="D333" i="58"/>
  <c r="G333" i="58"/>
  <c r="D500" i="58"/>
  <c r="G500" i="58" s="1"/>
  <c r="D236" i="58"/>
  <c r="G236" i="58" s="1"/>
  <c r="D13" i="58"/>
  <c r="G13" i="58" s="1"/>
  <c r="D570" i="58"/>
  <c r="G570" i="58"/>
  <c r="D134" i="58"/>
  <c r="G134" i="58" s="1"/>
  <c r="D135" i="58"/>
  <c r="G135" i="58"/>
  <c r="D915" i="58"/>
  <c r="G915" i="58" s="1"/>
  <c r="D464" i="58"/>
  <c r="G464" i="58"/>
  <c r="D668" i="58"/>
  <c r="G668" i="58" s="1"/>
  <c r="D462" i="58"/>
  <c r="G462" i="58" s="1"/>
  <c r="D519" i="58"/>
  <c r="G519" i="58" s="1"/>
  <c r="D408" i="58"/>
  <c r="G408" i="58"/>
  <c r="D378" i="58"/>
  <c r="G378" i="58" s="1"/>
  <c r="D351" i="58"/>
  <c r="G351" i="58"/>
  <c r="D692" i="58"/>
  <c r="G692" i="58" s="1"/>
  <c r="D855" i="58"/>
  <c r="G855" i="58"/>
  <c r="D841" i="58"/>
  <c r="G841" i="58" s="1"/>
  <c r="D278" i="58"/>
  <c r="G278" i="58" s="1"/>
  <c r="D540" i="58"/>
  <c r="G540" i="58" s="1"/>
  <c r="D535" i="58"/>
  <c r="G535" i="58"/>
  <c r="D459" i="58"/>
  <c r="G459" i="58" s="1"/>
  <c r="D473" i="58"/>
  <c r="G473" i="58" s="1"/>
  <c r="D350" i="58"/>
  <c r="G350" i="58" s="1"/>
  <c r="D210" i="58"/>
  <c r="G210" i="58"/>
  <c r="D310" i="58"/>
  <c r="G310" i="58" s="1"/>
  <c r="D187" i="58"/>
  <c r="G187" i="58" s="1"/>
  <c r="D995" i="58"/>
  <c r="G995" i="58" s="1"/>
  <c r="D814" i="58"/>
  <c r="G814" i="58" s="1"/>
  <c r="D710" i="58"/>
  <c r="G710" i="58" s="1"/>
  <c r="D768" i="58"/>
  <c r="G768" i="58"/>
  <c r="D326" i="58"/>
  <c r="G326" i="58" s="1"/>
  <c r="D854" i="58"/>
  <c r="G854" i="58"/>
  <c r="D26" i="58"/>
  <c r="G26" i="58" s="1"/>
  <c r="D641" i="58"/>
  <c r="G641" i="58" s="1"/>
  <c r="D776" i="58"/>
  <c r="G776" i="58" s="1"/>
  <c r="D933" i="58"/>
  <c r="G933" i="58"/>
  <c r="D460" i="58"/>
  <c r="G460" i="58" s="1"/>
  <c r="D405" i="58"/>
  <c r="G405" i="58"/>
  <c r="D334" i="58"/>
  <c r="G334" i="58" s="1"/>
  <c r="D191" i="58"/>
  <c r="G191" i="58"/>
  <c r="D321" i="58"/>
  <c r="G321" i="58" s="1"/>
  <c r="D69" i="58"/>
  <c r="G69" i="58" s="1"/>
  <c r="D447" i="58"/>
  <c r="G447" i="58" s="1"/>
  <c r="D222" i="58"/>
  <c r="G222" i="58"/>
  <c r="D211" i="58"/>
  <c r="G211" i="58" s="1"/>
  <c r="D262" i="58"/>
  <c r="G262" i="58"/>
  <c r="D700" i="58"/>
  <c r="G700" i="58" s="1"/>
  <c r="D251" i="58"/>
  <c r="G251" i="58"/>
  <c r="D822" i="58"/>
  <c r="G822" i="58" s="1"/>
  <c r="D588" i="58"/>
  <c r="G588" i="58" s="1"/>
  <c r="D583" i="58"/>
  <c r="G583" i="58" s="1"/>
  <c r="D129" i="58"/>
  <c r="G129" i="58"/>
  <c r="D965" i="58"/>
  <c r="G965" i="58" s="1"/>
  <c r="D813" i="58"/>
  <c r="G813" i="58" s="1"/>
  <c r="D1007" i="58"/>
  <c r="G1007" i="58" s="1"/>
  <c r="D707" i="58"/>
  <c r="G707" i="58"/>
  <c r="D990" i="58"/>
  <c r="G990" i="58" s="1"/>
  <c r="D708" i="58"/>
  <c r="G708" i="58"/>
  <c r="D955" i="58"/>
  <c r="G955" i="58" s="1"/>
  <c r="D996" i="58"/>
  <c r="G996" i="58"/>
  <c r="D501" i="58"/>
  <c r="G501" i="58" s="1"/>
  <c r="D747" i="58"/>
  <c r="G747" i="58" s="1"/>
  <c r="D579" i="58"/>
  <c r="G579" i="58" s="1"/>
  <c r="D596" i="58"/>
  <c r="G596" i="58"/>
  <c r="D949" i="58"/>
  <c r="G949" i="58" s="1"/>
  <c r="D890" i="58"/>
  <c r="G890" i="58"/>
  <c r="D973" i="58"/>
  <c r="G973" i="58" s="1"/>
  <c r="D971" i="58"/>
  <c r="G971" i="58"/>
  <c r="D968" i="58"/>
  <c r="G968" i="58" s="1"/>
  <c r="D617" i="58"/>
  <c r="G617" i="58" s="1"/>
  <c r="D24" i="58"/>
  <c r="G24" i="58" s="1"/>
  <c r="D89" i="58"/>
  <c r="G89" i="58"/>
  <c r="D856" i="58"/>
  <c r="G856" i="58" s="1"/>
  <c r="D848" i="58"/>
  <c r="G848" i="58"/>
  <c r="D376" i="58"/>
  <c r="G376" i="58" s="1"/>
  <c r="D816" i="58"/>
  <c r="G816" i="58"/>
  <c r="D573" i="58"/>
  <c r="G573" i="58" s="1"/>
  <c r="D161" i="58"/>
  <c r="G161" i="58" s="1"/>
  <c r="D730" i="58"/>
  <c r="G730" i="58" s="1"/>
  <c r="D534" i="58"/>
  <c r="G534" i="58"/>
  <c r="D793" i="58"/>
  <c r="G793" i="58" s="1"/>
  <c r="D215" i="58"/>
  <c r="G215" i="58"/>
  <c r="D568" i="58"/>
  <c r="G568" i="58" s="1"/>
  <c r="D418" i="58"/>
  <c r="G418" i="58"/>
  <c r="D803" i="58"/>
  <c r="G803" i="58" s="1"/>
  <c r="D860" i="58"/>
  <c r="G860" i="58" s="1"/>
  <c r="D797" i="58"/>
  <c r="G797" i="58" s="1"/>
  <c r="D566" i="58"/>
  <c r="G566" i="58"/>
  <c r="D441" i="58"/>
  <c r="G441" i="58" s="1"/>
  <c r="D482" i="58"/>
  <c r="G482" i="58"/>
  <c r="D569" i="58"/>
  <c r="G569" i="58" s="1"/>
  <c r="D679" i="58"/>
  <c r="G679" i="58" s="1"/>
  <c r="D969" i="58"/>
  <c r="G969" i="58" s="1"/>
  <c r="D629" i="58"/>
  <c r="G629" i="58" s="1"/>
  <c r="D344" i="58"/>
  <c r="G344" i="58" s="1"/>
  <c r="D536" i="58"/>
  <c r="G536" i="58"/>
  <c r="D946" i="58"/>
  <c r="G946" i="58" s="1"/>
  <c r="D17" i="58"/>
  <c r="G17" i="58"/>
  <c r="D20" i="58"/>
  <c r="G20" i="58" s="1"/>
  <c r="D70" i="58"/>
  <c r="G70" i="58" s="1"/>
  <c r="D23" i="58"/>
  <c r="G23" i="58" s="1"/>
  <c r="D55" i="58"/>
  <c r="G55" i="58" s="1"/>
  <c r="D79" i="58"/>
  <c r="G79" i="58" s="1"/>
  <c r="D435" i="58"/>
  <c r="G435" i="58"/>
  <c r="D590" i="58"/>
  <c r="G590" i="58" s="1"/>
  <c r="D311" i="58"/>
  <c r="G311" i="58"/>
  <c r="D835" i="58"/>
  <c r="G835" i="58" s="1"/>
  <c r="D306" i="58"/>
  <c r="G306" i="58" s="1"/>
  <c r="D271" i="58"/>
  <c r="G271" i="58" s="1"/>
  <c r="D920" i="58"/>
  <c r="G920" i="58" s="1"/>
  <c r="D636" i="58"/>
  <c r="G636" i="58" s="1"/>
  <c r="D246" i="58"/>
  <c r="G246" i="58"/>
  <c r="D744" i="58"/>
  <c r="G744" i="58" s="1"/>
  <c r="D78" i="58"/>
  <c r="G78" i="58"/>
  <c r="D19" i="58"/>
  <c r="G19" i="58" s="1"/>
  <c r="D21" i="58"/>
  <c r="G21" i="58" s="1"/>
  <c r="D43" i="58"/>
  <c r="G43" i="58" s="1"/>
  <c r="D45" i="58"/>
  <c r="G45" i="58" s="1"/>
  <c r="D101" i="58"/>
  <c r="G101" i="58" s="1"/>
  <c r="D406" i="58"/>
  <c r="G406" i="58"/>
  <c r="D84" i="58"/>
  <c r="G84" i="58" s="1"/>
  <c r="D46" i="58"/>
  <c r="G46" i="58"/>
  <c r="D117" i="58"/>
  <c r="G117" i="58" s="1"/>
  <c r="D286" i="58"/>
  <c r="G286" i="58" s="1"/>
  <c r="D912" i="58"/>
  <c r="G912" i="58" s="1"/>
  <c r="D834" i="58"/>
  <c r="G834" i="58" s="1"/>
  <c r="D454" i="58"/>
  <c r="G454" i="58" s="1"/>
  <c r="D943" i="58"/>
  <c r="G943" i="58"/>
  <c r="D650" i="58"/>
  <c r="G650" i="58" s="1"/>
  <c r="D983" i="58"/>
  <c r="G983" i="58"/>
  <c r="D781" i="58"/>
  <c r="G781" i="58" s="1"/>
  <c r="D944" i="58"/>
  <c r="G944" i="58" s="1"/>
  <c r="D927" i="58"/>
  <c r="G927" i="58" s="1"/>
  <c r="D945" i="58"/>
  <c r="G945" i="58" s="1"/>
  <c r="D731" i="58"/>
  <c r="G731" i="58" s="1"/>
  <c r="D686" i="58"/>
  <c r="G686" i="58" s="1"/>
  <c r="D610" i="58"/>
  <c r="G610" i="58" s="1"/>
  <c r="D546" i="58"/>
  <c r="G546" i="58"/>
  <c r="D693" i="58"/>
  <c r="G693" i="58" s="1"/>
  <c r="D91" i="58"/>
  <c r="G91" i="58" s="1"/>
  <c r="D36" i="58"/>
  <c r="G36" i="58" s="1"/>
  <c r="D336" i="58"/>
  <c r="G336" i="58" s="1"/>
  <c r="D672" i="58"/>
  <c r="G672" i="58" s="1"/>
  <c r="D128" i="58"/>
  <c r="G128" i="58"/>
  <c r="D347" i="58"/>
  <c r="G347" i="58" s="1"/>
  <c r="D63" i="58"/>
  <c r="G63" i="58"/>
  <c r="D952" i="58"/>
  <c r="G952" i="58" s="1"/>
  <c r="D847" i="58"/>
  <c r="G847" i="58" s="1"/>
  <c r="D1006" i="58"/>
  <c r="G1006" i="58" s="1"/>
  <c r="D914" i="58"/>
  <c r="G914" i="58" s="1"/>
  <c r="D887" i="58"/>
  <c r="G887" i="58" s="1"/>
  <c r="D749" i="58"/>
  <c r="G749" i="58" s="1"/>
  <c r="D683" i="58"/>
  <c r="G683" i="58" s="1"/>
  <c r="D728" i="58"/>
  <c r="G728" i="58"/>
  <c r="D868" i="58"/>
  <c r="G868" i="58" s="1"/>
  <c r="D123" i="58"/>
  <c r="G123" i="58" s="1"/>
  <c r="D41" i="58"/>
  <c r="G41" i="58" s="1"/>
  <c r="D119" i="58"/>
  <c r="G119" i="58" s="1"/>
  <c r="D198" i="58"/>
  <c r="G198" i="58" s="1"/>
  <c r="D72" i="58"/>
  <c r="G72" i="58"/>
  <c r="D114" i="58"/>
  <c r="G114" i="58" s="1"/>
  <c r="D39" i="58"/>
  <c r="G39" i="58"/>
  <c r="D65" i="58"/>
  <c r="G65" i="58" s="1"/>
  <c r="D108" i="58"/>
  <c r="G108" i="58" s="1"/>
  <c r="D253" i="58"/>
  <c r="G253" i="58" s="1"/>
  <c r="D299" i="58"/>
  <c r="G299" i="58" s="1"/>
  <c r="D423" i="58"/>
  <c r="G423" i="58"/>
  <c r="D876" i="58"/>
  <c r="G876" i="58" s="1"/>
  <c r="D511" i="58"/>
  <c r="G511" i="58" s="1"/>
  <c r="D528" i="58"/>
  <c r="G528" i="58" s="1"/>
  <c r="D80" i="58"/>
  <c r="G80" i="58"/>
  <c r="D86" i="58"/>
  <c r="G86" i="58" s="1"/>
  <c r="D102" i="58"/>
  <c r="G102" i="58" s="1"/>
  <c r="D978" i="58"/>
  <c r="G978" i="58" s="1"/>
  <c r="D506" i="58"/>
  <c r="G506" i="58" s="1"/>
  <c r="D739" i="58"/>
  <c r="G739" i="58" s="1"/>
  <c r="D626" i="58"/>
  <c r="G626" i="58" s="1"/>
  <c r="D547" i="58"/>
  <c r="G547" i="58" s="1"/>
  <c r="D936" i="58"/>
  <c r="G936" i="58"/>
  <c r="D223" i="58"/>
  <c r="G223" i="58" s="1"/>
  <c r="D497" i="58"/>
  <c r="G497" i="58" s="1"/>
  <c r="D8" i="58"/>
  <c r="G8" i="58" s="1"/>
  <c r="D192" i="58"/>
  <c r="G192" i="58"/>
  <c r="D633" i="58"/>
  <c r="G633" i="58" s="1"/>
  <c r="D486" i="58"/>
  <c r="G486" i="58" s="1"/>
  <c r="D503" i="58"/>
  <c r="G503" i="58" s="1"/>
  <c r="D273" i="58"/>
  <c r="G273" i="58"/>
  <c r="D396" i="58"/>
  <c r="G396" i="58" s="1"/>
  <c r="D373" i="58"/>
  <c r="G373" i="58" s="1"/>
  <c r="D380" i="58"/>
  <c r="G380" i="58" s="1"/>
  <c r="D354" i="58"/>
  <c r="G354" i="58"/>
  <c r="D456" i="58"/>
  <c r="G456" i="58" s="1"/>
  <c r="D87" i="58"/>
  <c r="G87" i="58" s="1"/>
  <c r="D325" i="58"/>
  <c r="G325" i="58" s="1"/>
  <c r="D428" i="58"/>
  <c r="G428" i="58"/>
  <c r="D309" i="58"/>
  <c r="G309" i="58" s="1"/>
  <c r="D826" i="58"/>
  <c r="G826" i="58" s="1"/>
  <c r="D792" i="58"/>
  <c r="G792" i="58" s="1"/>
  <c r="D25" i="58"/>
  <c r="G25" i="58"/>
  <c r="D411" i="58"/>
  <c r="G411" i="58" s="1"/>
  <c r="D401" i="58"/>
  <c r="G401" i="58" s="1"/>
  <c r="D127" i="58"/>
  <c r="G127" i="58" s="1"/>
  <c r="D144" i="58"/>
  <c r="G144" i="58"/>
  <c r="D863" i="58"/>
  <c r="G863" i="58" s="1"/>
  <c r="D276" i="58"/>
  <c r="G276" i="58" s="1"/>
  <c r="D349" i="58"/>
  <c r="G349" i="58" s="1"/>
  <c r="D694" i="58"/>
  <c r="G694" i="58"/>
  <c r="D293" i="58"/>
  <c r="G293" i="58" s="1"/>
  <c r="D602" i="58"/>
  <c r="G602" i="58" s="1"/>
  <c r="D709" i="58"/>
  <c r="G709" i="58" s="1"/>
  <c r="D659" i="58"/>
  <c r="G659" i="58"/>
  <c r="D929" i="58"/>
  <c r="G929" i="58" s="1"/>
  <c r="D207" i="58"/>
  <c r="G207" i="58" s="1"/>
  <c r="D225" i="58"/>
  <c r="G225" i="58" s="1"/>
  <c r="D921" i="58"/>
  <c r="G921" i="58"/>
  <c r="D821" i="58"/>
  <c r="G821" i="58" s="1"/>
  <c r="D979" i="58"/>
  <c r="G979" i="58" s="1"/>
  <c r="D1010" i="58"/>
  <c r="G1010" i="58" s="1"/>
  <c r="D987" i="58"/>
  <c r="G987" i="58"/>
  <c r="D337" i="58"/>
  <c r="G337" i="58" s="1"/>
  <c r="D314" i="58"/>
  <c r="G314" i="58" s="1"/>
  <c r="D745" i="58"/>
  <c r="G745" i="58" s="1"/>
  <c r="D560" i="58"/>
  <c r="G560" i="58"/>
  <c r="D545" i="58"/>
  <c r="G545" i="58" s="1"/>
  <c r="D867" i="58"/>
  <c r="G867" i="58" s="1"/>
  <c r="D716" i="58"/>
  <c r="G716" i="58" s="1"/>
  <c r="D52" i="58"/>
  <c r="G52" i="58"/>
  <c r="D212" i="58"/>
  <c r="G212" i="58" s="1"/>
  <c r="D213" i="58"/>
  <c r="G213" i="58" s="1"/>
  <c r="D237" i="58"/>
  <c r="G237" i="58" s="1"/>
  <c r="D173" i="58"/>
  <c r="G173" i="58"/>
  <c r="D385" i="58"/>
  <c r="G385" i="58" s="1"/>
  <c r="D455" i="58"/>
  <c r="G455" i="58" s="1"/>
  <c r="D453" i="58"/>
  <c r="G453" i="58" s="1"/>
  <c r="D552" i="58"/>
  <c r="G552" i="58"/>
  <c r="D561" i="58"/>
  <c r="G561" i="58" s="1"/>
  <c r="D152" i="58"/>
  <c r="G152" i="58" s="1"/>
  <c r="D372" i="58"/>
  <c r="G372" i="58" s="1"/>
  <c r="D200" i="58"/>
  <c r="G200" i="58"/>
  <c r="D384" i="58"/>
  <c r="G384" i="58" s="1"/>
  <c r="D232" i="58"/>
  <c r="G232" i="58" s="1"/>
  <c r="D227" i="58"/>
  <c r="G227" i="58" s="1"/>
  <c r="D28" i="58"/>
  <c r="G28" i="58"/>
  <c r="D386" i="58"/>
  <c r="G386" i="58" s="1"/>
  <c r="D554" i="58"/>
  <c r="G554" i="58" s="1"/>
  <c r="D555" i="58"/>
  <c r="G555" i="58" s="1"/>
  <c r="D239" i="58"/>
  <c r="G239" i="58"/>
  <c r="D327" i="58"/>
  <c r="G327" i="58" s="1"/>
  <c r="D53" i="58"/>
  <c r="G53" i="58" s="1"/>
  <c r="D188" i="58"/>
  <c r="G188" i="58" s="1"/>
  <c r="D97" i="58"/>
  <c r="G97" i="58"/>
  <c r="D6" i="58"/>
  <c r="G6" i="58" s="1"/>
  <c r="D120" i="58"/>
  <c r="G120" i="58" s="1"/>
  <c r="D10" i="58"/>
  <c r="G10" i="58" s="1"/>
  <c r="D413" i="58"/>
  <c r="G413" i="58"/>
  <c r="D304" i="58"/>
  <c r="G304" i="58" s="1"/>
  <c r="D270" i="58"/>
  <c r="G270" i="58" s="1"/>
  <c r="D148" i="58"/>
  <c r="G148" i="58" s="1"/>
  <c r="D319" i="58"/>
  <c r="G319" i="58"/>
  <c r="D577" i="58"/>
  <c r="G577" i="58" s="1"/>
  <c r="D465" i="58"/>
  <c r="G465" i="58" s="1"/>
  <c r="D379" i="58"/>
  <c r="G379" i="58" s="1"/>
  <c r="D93" i="58"/>
  <c r="G93" i="58"/>
  <c r="D330" i="58"/>
  <c r="G330" i="58" s="1"/>
  <c r="D15" i="58"/>
  <c r="G15" i="58" s="1"/>
  <c r="D167" i="58"/>
  <c r="G167" i="58" s="1"/>
  <c r="D285" i="58"/>
  <c r="G285" i="58"/>
  <c r="D343" i="58"/>
  <c r="G343" i="58" s="1"/>
  <c r="D331" i="58"/>
  <c r="G331" i="58" s="1"/>
  <c r="D315" i="58"/>
  <c r="G315" i="58" s="1"/>
  <c r="D235" i="58"/>
  <c r="G235" i="58"/>
  <c r="D365" i="58"/>
  <c r="G365" i="58" s="1"/>
  <c r="D416" i="58"/>
  <c r="G416" i="58" s="1"/>
  <c r="D563" i="58"/>
  <c r="G563" i="58" s="1"/>
  <c r="D475" i="58"/>
  <c r="G475" i="58"/>
  <c r="D201" i="58"/>
  <c r="G201" i="58" s="1"/>
  <c r="D492" i="58"/>
  <c r="G492" i="58" s="1"/>
  <c r="D33" i="58"/>
  <c r="G33" i="58" s="1"/>
  <c r="D452" i="58"/>
  <c r="G452" i="58"/>
  <c r="D431" i="58"/>
  <c r="G431" i="58" s="1"/>
  <c r="D150" i="58"/>
  <c r="G150" i="58" s="1"/>
  <c r="D50" i="58"/>
  <c r="G50" i="58" s="1"/>
  <c r="D16" i="58"/>
  <c r="G16" i="58"/>
  <c r="D755" i="58"/>
  <c r="G755" i="58" s="1"/>
  <c r="D32" i="58"/>
  <c r="G32" i="58" s="1"/>
  <c r="D92" i="58"/>
  <c r="G92" i="58" s="1"/>
  <c r="D638" i="58"/>
  <c r="G638" i="58"/>
  <c r="D551" i="58"/>
  <c r="G551" i="58" s="1"/>
  <c r="D264" i="58"/>
  <c r="G264" i="58" s="1"/>
  <c r="D685" i="58"/>
  <c r="G685" i="58" s="1"/>
  <c r="D676" i="58"/>
  <c r="G676" i="58"/>
  <c r="D760" i="58"/>
  <c r="G760" i="58" s="1"/>
  <c r="D591" i="58"/>
  <c r="G591" i="58" s="1"/>
  <c r="D727" i="58"/>
  <c r="G727" i="58" s="1"/>
  <c r="D767" i="58"/>
  <c r="G767" i="58"/>
  <c r="D842" i="58"/>
  <c r="G842" i="58" s="1"/>
  <c r="D682" i="58"/>
  <c r="G682" i="58" s="1"/>
  <c r="D654" i="58"/>
  <c r="G654" i="58" s="1"/>
  <c r="D466" i="58"/>
  <c r="G466" i="58"/>
  <c r="D662" i="58"/>
  <c r="G662" i="58" s="1"/>
  <c r="D866" i="58"/>
  <c r="G866" i="58" s="1"/>
  <c r="D779" i="58"/>
  <c r="G779" i="58" s="1"/>
  <c r="D780" i="58"/>
  <c r="G780" i="58"/>
  <c r="D245" i="58"/>
  <c r="G245" i="58" s="1"/>
  <c r="D300" i="58"/>
  <c r="G300" i="58" s="1"/>
  <c r="D982" i="58"/>
  <c r="G982" i="58" s="1"/>
  <c r="D858" i="58"/>
  <c r="G858" i="58"/>
  <c r="D885" i="58"/>
  <c r="G885" i="58" s="1"/>
  <c r="D783" i="58"/>
  <c r="G783" i="58" s="1"/>
  <c r="D643" i="58"/>
  <c r="G643" i="58" s="1"/>
  <c r="D738" i="58"/>
  <c r="G738" i="58"/>
  <c r="D870" i="58"/>
  <c r="G870" i="58" s="1"/>
  <c r="D874" i="58"/>
  <c r="G874" i="58" s="1"/>
  <c r="D843" i="58"/>
  <c r="G843" i="58" s="1"/>
  <c r="D891" i="58"/>
  <c r="G891" i="58"/>
  <c r="D892" i="58"/>
  <c r="G892" i="58" s="1"/>
  <c r="D893" i="58"/>
  <c r="G893" i="58" s="1"/>
  <c r="D913" i="58"/>
  <c r="G913" i="58" s="1"/>
  <c r="D861" i="58"/>
  <c r="G861" i="58"/>
  <c r="D903" i="58"/>
  <c r="G903" i="58" s="1"/>
  <c r="D244" i="58"/>
  <c r="G244" i="58" s="1"/>
  <c r="D937" i="58"/>
  <c r="G937" i="58" s="1"/>
  <c r="D836" i="58"/>
  <c r="G836" i="58"/>
  <c r="D361" i="58"/>
  <c r="G361" i="58" s="1"/>
  <c r="D510" i="58"/>
  <c r="G510" i="58" s="1"/>
  <c r="D957" i="58"/>
  <c r="G957" i="58" s="1"/>
  <c r="D932" i="58"/>
  <c r="G932" i="58"/>
  <c r="D1012" i="58"/>
  <c r="G1012" i="58" s="1"/>
  <c r="D1019" i="58"/>
  <c r="G1019" i="58" s="1"/>
  <c r="D963" i="58"/>
  <c r="G963" i="58" s="1"/>
  <c r="D181" i="58"/>
  <c r="G181" i="58"/>
  <c r="D341" i="58"/>
  <c r="G341" i="58" s="1"/>
  <c r="D746" i="58"/>
  <c r="G746" i="58" s="1"/>
  <c r="D722" i="58"/>
  <c r="G722" i="58" s="1"/>
  <c r="D917" i="58"/>
  <c r="G917" i="58"/>
  <c r="D622" i="58"/>
  <c r="G622" i="58" s="1"/>
  <c r="D635" i="58"/>
  <c r="G635" i="58" s="1"/>
  <c r="D186" i="58"/>
  <c r="G186" i="58" s="1"/>
  <c r="D158" i="58"/>
  <c r="G158" i="58"/>
  <c r="D754" i="58"/>
  <c r="G754" i="58" s="1"/>
  <c r="D652" i="58"/>
  <c r="G652" i="58" s="1"/>
  <c r="D759" i="58"/>
  <c r="G759" i="58" s="1"/>
  <c r="D879" i="58"/>
  <c r="G879" i="58"/>
  <c r="D966" i="58"/>
  <c r="G966" i="58" s="1"/>
  <c r="D918" i="58"/>
  <c r="G918" i="58" s="1"/>
  <c r="D925" i="58"/>
  <c r="G925" i="58" s="1"/>
  <c r="D940" i="58"/>
  <c r="G940" i="58"/>
  <c r="D941" i="58"/>
  <c r="G941" i="58" s="1"/>
  <c r="D919" i="58"/>
  <c r="G919" i="58" s="1"/>
  <c r="D791" i="58"/>
  <c r="G791" i="58" s="1"/>
  <c r="D894" i="58"/>
  <c r="G894" i="58"/>
  <c r="D895" i="58"/>
  <c r="G895" i="58" s="1"/>
  <c r="D896" i="58"/>
  <c r="G896" i="58" s="1"/>
  <c r="D713" i="58"/>
  <c r="G713" i="58" s="1"/>
  <c r="D862" i="58"/>
  <c r="G862" i="58"/>
  <c r="D838" i="58"/>
  <c r="G838" i="58" s="1"/>
  <c r="D282" i="58"/>
  <c r="G282" i="58" s="1"/>
  <c r="D537" i="58"/>
  <c r="G537" i="58" s="1"/>
  <c r="D656" i="58"/>
  <c r="G656" i="58"/>
  <c r="D657" i="58"/>
  <c r="G657" i="58" s="1"/>
  <c r="D701" i="58"/>
  <c r="G701" i="58" s="1"/>
  <c r="D947" i="58"/>
  <c r="G947" i="58" s="1"/>
  <c r="D669" i="58"/>
  <c r="G669" i="58"/>
  <c r="D691" i="58"/>
  <c r="G691" i="58" s="1"/>
  <c r="D132" i="58"/>
  <c r="G132" i="58" s="1"/>
  <c r="D266" i="58"/>
  <c r="G266" i="58" s="1"/>
  <c r="D124" i="58"/>
  <c r="G124" i="58"/>
  <c r="D368" i="58"/>
  <c r="G368" i="58" s="1"/>
  <c r="D632" i="58"/>
  <c r="G632" i="58" s="1"/>
  <c r="D433" i="58"/>
  <c r="G433" i="58" s="1"/>
  <c r="D578" i="58"/>
  <c r="G578" i="58"/>
  <c r="D58" i="58"/>
  <c r="G58" i="58" s="1"/>
  <c r="D666" i="58"/>
  <c r="G666" i="58" s="1"/>
  <c r="D574" i="58"/>
  <c r="G574" i="58" s="1"/>
  <c r="D564" i="58"/>
  <c r="G564" i="58"/>
  <c r="D688" i="58"/>
  <c r="G688" i="58" s="1"/>
  <c r="D898" i="58"/>
  <c r="G898" i="58" s="1"/>
  <c r="D930" i="58"/>
  <c r="G930" i="58" s="1"/>
  <c r="D784" i="58"/>
  <c r="G784" i="58"/>
  <c r="D817" i="58"/>
  <c r="G817" i="58" s="1"/>
  <c r="D818" i="58"/>
  <c r="G818" i="58" s="1"/>
  <c r="D845" i="58"/>
  <c r="G845" i="58" s="1"/>
  <c r="D846" i="58"/>
  <c r="G846" i="58"/>
  <c r="D729" i="58"/>
  <c r="G729" i="58" s="1"/>
  <c r="D849" i="58"/>
  <c r="G849" i="58" s="1"/>
  <c r="D702" i="58"/>
  <c r="G702" i="58" s="1"/>
  <c r="D695" i="58"/>
  <c r="G695" i="58"/>
  <c r="D136" i="58"/>
  <c r="G136" i="58" s="1"/>
  <c r="D872" i="58"/>
  <c r="G872" i="58" s="1"/>
  <c r="D538" i="58"/>
  <c r="G538" i="58" s="1"/>
  <c r="D934" i="58"/>
  <c r="G934" i="58"/>
  <c r="D999" i="58"/>
  <c r="G999" i="58" s="1"/>
  <c r="D1000" i="58"/>
  <c r="G1000" i="58" s="1"/>
  <c r="D740" i="58"/>
  <c r="G740" i="58" s="1"/>
  <c r="D785" i="58"/>
  <c r="G785" i="58"/>
  <c r="D559" i="58"/>
  <c r="G559" i="58" s="1"/>
  <c r="D419" i="58"/>
  <c r="G419" i="58" s="1"/>
  <c r="D489" i="58"/>
  <c r="G489" i="58" s="1"/>
  <c r="D786" i="58"/>
  <c r="G786" i="58"/>
  <c r="D673" i="58"/>
  <c r="G673" i="58" s="1"/>
  <c r="D674" i="58"/>
  <c r="G674" i="58" s="1"/>
  <c r="D718" i="58"/>
  <c r="G718" i="58" s="1"/>
  <c r="D719" i="58"/>
  <c r="G719" i="58"/>
  <c r="D539" i="58"/>
  <c r="G539" i="58" s="1"/>
  <c r="D777" i="58"/>
  <c r="G777" i="58" s="1"/>
  <c r="D809" i="58"/>
  <c r="G809" i="58" s="1"/>
  <c r="D703" i="58"/>
  <c r="G703" i="58"/>
  <c r="D741" i="58"/>
  <c r="G741" i="58" s="1"/>
  <c r="D787" i="58"/>
  <c r="G787" i="58" s="1"/>
  <c r="D696" i="58"/>
  <c r="G696" i="58" s="1"/>
  <c r="D137" i="58"/>
  <c r="G137" i="58"/>
  <c r="D905" i="58"/>
  <c r="G905" i="58" s="1"/>
  <c r="D900" i="58"/>
  <c r="G900" i="58" s="1"/>
  <c r="D598" i="58"/>
  <c r="G598" i="58" s="1"/>
  <c r="D389" i="58"/>
  <c r="G389" i="58"/>
  <c r="D430" i="58"/>
  <c r="G430" i="58" s="1"/>
  <c r="D587" i="58"/>
  <c r="G587" i="58" s="1"/>
  <c r="D463" i="58"/>
  <c r="G463" i="58" s="1"/>
  <c r="D420" i="58"/>
  <c r="G420" i="58"/>
  <c r="D490" i="58"/>
  <c r="G490" i="58" s="1"/>
  <c r="D697" i="58"/>
  <c r="G697" i="58" s="1"/>
  <c r="D586" i="58"/>
  <c r="G586" i="58" s="1"/>
  <c r="D488" i="58"/>
  <c r="G488" i="58"/>
  <c r="D502" i="58"/>
  <c r="G502" i="58" s="1"/>
  <c r="D648" i="58"/>
  <c r="G648" i="58" s="1"/>
  <c r="D678" i="58"/>
  <c r="G678" i="58" s="1"/>
  <c r="D788" i="58"/>
  <c r="G788" i="58"/>
  <c r="D645" i="58"/>
  <c r="G645" i="58" s="1"/>
  <c r="D646" i="58"/>
  <c r="G646" i="58" s="1"/>
  <c r="D720" i="58"/>
  <c r="G720" i="58" s="1"/>
  <c r="D721" i="58"/>
  <c r="G721" i="58"/>
  <c r="D495" i="58"/>
  <c r="G495" i="58" s="1"/>
  <c r="D850" i="58"/>
  <c r="G850" i="58" s="1"/>
  <c r="D810" i="58"/>
  <c r="G810" i="58" s="1"/>
  <c r="D704" i="58"/>
  <c r="G704" i="58"/>
  <c r="D742" i="58"/>
  <c r="G742" i="58" s="1"/>
  <c r="D789" i="58"/>
  <c r="G789" i="58" s="1"/>
  <c r="D476" i="58"/>
  <c r="G476" i="58" s="1"/>
  <c r="D47" i="58"/>
  <c r="G47" i="58"/>
  <c r="D906" i="58"/>
  <c r="G906" i="58" s="1"/>
  <c r="D807" i="58"/>
  <c r="G807" i="58" s="1"/>
  <c r="D287" i="58"/>
  <c r="G287" i="58" s="1"/>
  <c r="D762" i="58"/>
  <c r="G762" i="58"/>
  <c r="D415" i="58"/>
  <c r="G415" i="58" s="1"/>
  <c r="D190" i="58"/>
  <c r="G190" i="58" s="1"/>
  <c r="D514" i="58"/>
  <c r="G514" i="58" s="1"/>
  <c r="D837" i="58"/>
  <c r="G837" i="58"/>
  <c r="D681" i="58"/>
  <c r="G681" i="58" s="1"/>
  <c r="D532" i="58"/>
  <c r="G532" i="58" s="1"/>
  <c r="D875" i="58"/>
  <c r="G875" i="58" s="1"/>
  <c r="D390" i="58"/>
  <c r="G390" i="58"/>
  <c r="D608" i="58"/>
  <c r="G608" i="58" s="1"/>
  <c r="D1004" i="58"/>
  <c r="G1004" i="58" s="1"/>
  <c r="D248" i="58"/>
  <c r="G248" i="58" s="1"/>
  <c r="D303" i="58"/>
  <c r="G303" i="58"/>
  <c r="D477" i="58"/>
  <c r="G477" i="58" s="1"/>
  <c r="D840" i="58"/>
  <c r="G840" i="58" s="1"/>
  <c r="D778" i="58"/>
  <c r="G778" i="58" s="1"/>
  <c r="D736" i="58"/>
  <c r="G736" i="58"/>
  <c r="D865" i="58"/>
  <c r="G865" i="58" s="1"/>
  <c r="D899" i="58"/>
  <c r="G899" i="58" s="1"/>
  <c r="D931" i="58"/>
  <c r="G931" i="58" s="1"/>
  <c r="D634" i="58"/>
  <c r="G634" i="58"/>
  <c r="D725" i="58"/>
  <c r="G725" i="58" s="1"/>
  <c r="D726" i="58"/>
  <c r="G726" i="58" s="1"/>
  <c r="D771" i="58"/>
  <c r="G771" i="58" s="1"/>
  <c r="D772" i="58"/>
  <c r="G772" i="58"/>
  <c r="D627" i="58"/>
  <c r="G627" i="58" s="1"/>
  <c r="D851" i="58"/>
  <c r="G851" i="58" s="1"/>
  <c r="D705" i="58"/>
  <c r="G705" i="58" s="1"/>
  <c r="D698" i="58"/>
  <c r="G698" i="58"/>
  <c r="D138" i="58"/>
  <c r="G138" i="58" s="1"/>
  <c r="D907" i="58"/>
  <c r="G907" i="58" s="1"/>
  <c r="D873" i="58"/>
  <c r="G873" i="58" s="1"/>
  <c r="D472" i="58"/>
  <c r="G472" i="58" s="1"/>
  <c r="D658" i="58"/>
  <c r="G658" i="58" s="1"/>
  <c r="D935" i="58"/>
  <c r="G935" i="58"/>
  <c r="D1001" i="58"/>
  <c r="G1001" i="58" s="1"/>
  <c r="D1002" i="58"/>
  <c r="G1002" i="58"/>
  <c r="D743" i="58"/>
  <c r="G743" i="58" s="1"/>
  <c r="D790" i="58"/>
  <c r="G790" i="58" s="1"/>
  <c r="D439" i="58"/>
  <c r="G439" i="58" s="1"/>
  <c r="D421" i="58"/>
  <c r="G421" i="58" s="1"/>
  <c r="D491" i="58"/>
  <c r="G491" i="58" s="1"/>
  <c r="D122" i="58"/>
  <c r="G122" i="58"/>
  <c r="D533" i="58"/>
  <c r="G533" i="58" s="1"/>
  <c r="D614" i="58"/>
  <c r="G614" i="58"/>
  <c r="D414" i="58"/>
  <c r="G414" i="58" s="1"/>
  <c r="D111" i="58"/>
  <c r="G111" i="58" s="1"/>
  <c r="D294" i="58"/>
  <c r="G294" i="58" s="1"/>
  <c r="D664" i="58"/>
  <c r="G664" i="58" s="1"/>
  <c r="D923" i="58"/>
  <c r="G923" i="58" s="1"/>
  <c r="D805" i="58"/>
  <c r="G805" i="58"/>
  <c r="D881" i="58"/>
  <c r="G881" i="58" s="1"/>
  <c r="D29" i="58"/>
  <c r="G29" i="58"/>
  <c r="D348" i="58"/>
  <c r="G348" i="58" s="1"/>
  <c r="D671" i="58"/>
  <c r="G671" i="58" s="1"/>
  <c r="D800" i="58"/>
  <c r="G800" i="58" s="1"/>
  <c r="D653" i="58"/>
  <c r="G653" i="58" s="1"/>
  <c r="D723" i="58"/>
  <c r="G723" i="58" s="1"/>
  <c r="D499" i="58"/>
  <c r="G499" i="58"/>
  <c r="D230" i="58"/>
  <c r="G230" i="58" s="1"/>
  <c r="D827" i="58"/>
  <c r="G827" i="58"/>
  <c r="D649" i="58"/>
  <c r="G649" i="58" s="1"/>
  <c r="D515" i="58"/>
  <c r="G515" i="58" s="1"/>
  <c r="D985" i="58"/>
  <c r="G985" i="58" s="1"/>
  <c r="D680" i="58"/>
  <c r="G680" i="58" s="1"/>
  <c r="D470" i="58"/>
  <c r="G470" i="58" s="1"/>
  <c r="D576" i="58"/>
  <c r="G576" i="58"/>
  <c r="D469" i="58"/>
  <c r="G469" i="58" s="1"/>
  <c r="D159" i="58"/>
  <c r="G159" i="58"/>
  <c r="D958" i="58"/>
  <c r="G958" i="58" s="1"/>
  <c r="D323" i="58"/>
  <c r="G323" i="58" s="1"/>
  <c r="D902" i="58"/>
  <c r="G902" i="58" s="1"/>
  <c r="D312" i="58"/>
  <c r="G312" i="58" s="1"/>
  <c r="D445" i="58"/>
  <c r="G445" i="58" s="1"/>
  <c r="D400" i="58"/>
  <c r="G400" i="58"/>
  <c r="D593" i="58"/>
  <c r="G593" i="58" s="1"/>
  <c r="D221" i="58"/>
  <c r="G221" i="58"/>
  <c r="D494" i="58"/>
  <c r="G494" i="58" s="1"/>
  <c r="D241" i="58"/>
  <c r="G241" i="58" s="1"/>
  <c r="D449" i="58"/>
  <c r="G449" i="58" s="1"/>
  <c r="D616" i="58"/>
  <c r="G616" i="58" s="1"/>
  <c r="D802" i="58"/>
  <c r="G802" i="58" s="1"/>
  <c r="D580" i="58"/>
  <c r="G580" i="58"/>
  <c r="D417" i="58"/>
  <c r="G417" i="58" s="1"/>
  <c r="D209" i="58"/>
  <c r="G209" i="58"/>
  <c r="D324" i="58"/>
  <c r="G324" i="58" s="1"/>
  <c r="D605" i="58"/>
  <c r="G605" i="58" s="1"/>
  <c r="D571" i="58"/>
  <c r="G571" i="58" s="1"/>
  <c r="D168" i="58"/>
  <c r="G168" i="58" s="1"/>
  <c r="D370" i="58"/>
  <c r="G370" i="58" s="1"/>
  <c r="D756" i="58"/>
  <c r="G756" i="58"/>
  <c r="D451" i="58"/>
  <c r="G451" i="58" s="1"/>
  <c r="D993" i="58"/>
  <c r="G993" i="58"/>
  <c r="D660" i="58"/>
  <c r="G660" i="58" s="1"/>
  <c r="D769" i="58"/>
  <c r="G769" i="58" s="1"/>
  <c r="D375" i="58"/>
  <c r="G375" i="58" s="1"/>
  <c r="D153" i="58"/>
  <c r="G153" i="58" s="1"/>
  <c r="D56" i="58"/>
  <c r="G56" i="58" s="1"/>
  <c r="D670" i="58"/>
  <c r="G670" i="58"/>
  <c r="D297" i="58"/>
  <c r="G297" i="58" s="1"/>
  <c r="D371" i="58"/>
  <c r="G371" i="58"/>
  <c r="D274" i="58"/>
  <c r="G274" i="58" s="1"/>
  <c r="D243" i="58"/>
  <c r="G243" i="58" s="1"/>
  <c r="D290" i="58"/>
  <c r="G290" i="58" s="1"/>
  <c r="D397" i="58"/>
  <c r="G397" i="58"/>
  <c r="D90" i="58"/>
  <c r="G90" i="58" s="1"/>
  <c r="D116" i="58"/>
  <c r="G116" i="58"/>
  <c r="D288" i="58"/>
  <c r="G288" i="58" s="1"/>
  <c r="D103" i="58"/>
  <c r="G103" i="58"/>
  <c r="D214" i="58"/>
  <c r="G214" i="58" s="1"/>
  <c r="D182" i="58"/>
  <c r="G182" i="58" s="1"/>
  <c r="D177" i="58"/>
  <c r="G177" i="58" s="1"/>
  <c r="D95" i="58"/>
  <c r="G95" i="58"/>
  <c r="D94" i="58"/>
  <c r="G94" i="58" s="1"/>
  <c r="D332" i="58"/>
  <c r="G332" i="58"/>
  <c r="D313" i="58"/>
  <c r="G313" i="58" s="1"/>
  <c r="D146" i="58"/>
  <c r="G146" i="58"/>
  <c r="D249" i="58"/>
  <c r="G249" i="58" s="1"/>
  <c r="D782" i="58"/>
  <c r="G782" i="58" s="1"/>
  <c r="D162" i="58"/>
  <c r="G162" i="58" s="1"/>
  <c r="D831" i="58"/>
  <c r="G831" i="58"/>
  <c r="D440" i="58"/>
  <c r="G440" i="58" s="1"/>
  <c r="D329" i="58"/>
  <c r="G329" i="58"/>
  <c r="D513" i="58"/>
  <c r="G513" i="58" s="1"/>
  <c r="D567" i="58"/>
  <c r="G567" i="58"/>
  <c r="D280" i="58"/>
  <c r="G280" i="58" s="1"/>
  <c r="D364" i="58"/>
  <c r="G364" i="58" s="1"/>
  <c r="D242" i="58"/>
  <c r="G242" i="58" s="1"/>
  <c r="D113" i="58"/>
  <c r="G113" i="58"/>
  <c r="D82" i="58"/>
  <c r="G82" i="58" s="1"/>
  <c r="D71" i="58"/>
  <c r="G71" i="58"/>
  <c r="D73" i="58"/>
  <c r="G73" i="58" s="1"/>
  <c r="D176" i="58"/>
  <c r="G176" i="58"/>
  <c r="D352" i="58"/>
  <c r="G352" i="58" s="1"/>
  <c r="D353" i="58"/>
  <c r="G353" i="58" s="1"/>
  <c r="D231" i="58"/>
  <c r="G231" i="58" s="1"/>
  <c r="D163" i="58"/>
  <c r="G163" i="58"/>
  <c r="D220" i="58"/>
  <c r="G220" i="58" s="1"/>
  <c r="D284" i="58"/>
  <c r="G284" i="58"/>
  <c r="D183" i="58"/>
  <c r="G183" i="58" s="1"/>
  <c r="D402" i="58"/>
  <c r="G402" i="58"/>
  <c r="D229" i="58"/>
  <c r="G229" i="58" s="1"/>
  <c r="D226" i="58"/>
  <c r="G226" i="58" s="1"/>
  <c r="D155" i="58"/>
  <c r="G155" i="58" s="1"/>
  <c r="D107" i="58"/>
  <c r="G107" i="58"/>
  <c r="D22" i="58"/>
  <c r="G22" i="58" s="1"/>
  <c r="D216" i="58"/>
  <c r="G216" i="58"/>
  <c r="D366" i="58"/>
  <c r="G366" i="58" s="1"/>
  <c r="D367" i="58"/>
  <c r="G367" i="58"/>
  <c r="D202" i="58"/>
  <c r="G202" i="58" s="1"/>
  <c r="D203" i="58"/>
  <c r="G203" i="58" s="1"/>
  <c r="D31" i="58"/>
  <c r="G31" i="58" s="1"/>
  <c r="D263" i="58"/>
  <c r="G263" i="58"/>
  <c r="D611" i="58"/>
  <c r="G611" i="58" s="1"/>
  <c r="D442" i="58"/>
  <c r="G442" i="58"/>
  <c r="D272" i="58"/>
  <c r="G272" i="58" s="1"/>
  <c r="D257" i="58"/>
  <c r="G257" i="58"/>
  <c r="D369" i="58"/>
  <c r="G369" i="58" s="1"/>
  <c r="D99" i="58"/>
  <c r="G99" i="58" s="1"/>
  <c r="D338" i="58"/>
  <c r="G338" i="58" s="1"/>
  <c r="D131" i="58"/>
  <c r="G131" i="58"/>
  <c r="D85" i="58"/>
  <c r="G85" i="58" s="1"/>
  <c r="D481" i="58"/>
  <c r="G481" i="58"/>
  <c r="D471" i="58"/>
  <c r="G471" i="58" s="1"/>
  <c r="D581" i="58"/>
  <c r="G581" i="58"/>
  <c r="D557" i="58"/>
  <c r="G557" i="58" s="1"/>
  <c r="D75" i="58"/>
  <c r="G75" i="58" s="1"/>
  <c r="D62" i="58"/>
  <c r="G62" i="58" s="1"/>
  <c r="D98" i="58"/>
  <c r="G98" i="58"/>
  <c r="D42" i="58"/>
  <c r="G42" i="58" s="1"/>
  <c r="D624" i="58"/>
  <c r="G624" i="58"/>
  <c r="D601" i="58"/>
  <c r="G601" i="58" s="1"/>
  <c r="D757" i="58"/>
  <c r="G757" i="58"/>
  <c r="D819" i="58"/>
  <c r="G819" i="58" s="1"/>
  <c r="D655" i="58"/>
  <c r="G655" i="58" s="1"/>
  <c r="D675" i="58"/>
  <c r="G675" i="58" s="1"/>
  <c r="D493" i="58"/>
  <c r="G493" i="58"/>
  <c r="D487" i="58"/>
  <c r="G487" i="58" s="1"/>
  <c r="D68" i="58"/>
  <c r="G68" i="58"/>
  <c r="D40" i="58"/>
  <c r="G40" i="58" s="1"/>
  <c r="D322" i="58"/>
  <c r="G322" i="58"/>
  <c r="D318" i="58"/>
  <c r="G318" i="58" s="1"/>
  <c r="D149" i="58"/>
  <c r="G149" i="58" s="1"/>
  <c r="D38" i="58"/>
  <c r="G38" i="58" s="1"/>
  <c r="D374" i="58"/>
  <c r="G374" i="58"/>
  <c r="D748" i="58"/>
  <c r="G748" i="58" s="1"/>
  <c r="D335" i="58"/>
  <c r="G335" i="58"/>
  <c r="D106" i="58"/>
  <c r="G106" i="58" s="1"/>
  <c r="D320" i="58"/>
  <c r="G320" i="58"/>
  <c r="D234" i="58"/>
  <c r="G234" i="58" s="1"/>
  <c r="D962" i="58"/>
  <c r="G962" i="58" s="1"/>
  <c r="D118" i="58"/>
  <c r="G118" i="58" s="1"/>
  <c r="D307" i="58"/>
  <c r="G307" i="58"/>
  <c r="D185" i="58"/>
  <c r="G185" i="58" s="1"/>
  <c r="D258" i="58"/>
  <c r="G258" i="58"/>
  <c r="D37" i="58"/>
  <c r="G37" i="58" s="1"/>
  <c r="D504" i="58"/>
  <c r="G504" i="58"/>
  <c r="D233" i="58"/>
  <c r="G233" i="58" s="1"/>
  <c r="D542" i="58"/>
  <c r="G542" i="58" s="1"/>
  <c r="D446" i="58"/>
  <c r="G446" i="58" s="1"/>
  <c r="D317" i="58"/>
  <c r="G317" i="58"/>
  <c r="D18" i="58"/>
  <c r="G18" i="58" s="1"/>
  <c r="D49" i="58"/>
  <c r="G49" i="58"/>
  <c r="D254" i="58"/>
  <c r="G254" i="58" s="1"/>
  <c r="D387" i="58"/>
  <c r="G387" i="58"/>
  <c r="D543" i="58"/>
  <c r="G543" i="58" s="1"/>
  <c r="D733" i="58"/>
  <c r="G733" i="58" s="1"/>
  <c r="D496" i="58"/>
  <c r="G496" i="58" s="1"/>
  <c r="D156" i="58"/>
  <c r="G156" i="58"/>
  <c r="D125" i="58"/>
  <c r="G125" i="58" s="1"/>
  <c r="D763" i="58"/>
  <c r="G763" i="58"/>
  <c r="D764" i="58"/>
  <c r="G764" i="58" s="1"/>
  <c r="D308" i="58"/>
  <c r="G308" i="58"/>
  <c r="D204" i="58"/>
  <c r="G204" i="58" s="1"/>
  <c r="D126" i="58"/>
  <c r="G126" i="58" s="1"/>
  <c r="D14" i="58"/>
  <c r="G14" i="58" s="1"/>
  <c r="D281" i="58"/>
  <c r="G281" i="58"/>
  <c r="D295" i="58"/>
  <c r="G295" i="58" s="1"/>
  <c r="D467" i="58"/>
  <c r="G467" i="58"/>
  <c r="D283" i="58"/>
  <c r="G283" i="58" s="1"/>
  <c r="D558" i="58"/>
  <c r="G558" i="58"/>
  <c r="D765" i="58"/>
  <c r="G765" i="58" s="1"/>
  <c r="D51" i="58"/>
  <c r="G51" i="58" s="1"/>
  <c r="D808" i="58"/>
  <c r="G808" i="58" s="1"/>
  <c r="D950" i="58"/>
  <c r="G950" i="58"/>
  <c r="D498" i="58"/>
  <c r="G498" i="58" s="1"/>
  <c r="D752" i="58"/>
  <c r="G752" i="58"/>
  <c r="D706" i="58"/>
  <c r="G706" i="58" s="1"/>
  <c r="D443" i="58"/>
  <c r="G443" i="58"/>
  <c r="D260" i="58"/>
  <c r="G260" i="58" s="1"/>
  <c r="D382" i="58"/>
  <c r="G382" i="58" s="1"/>
  <c r="D582" i="58"/>
  <c r="G582" i="58" s="1"/>
  <c r="D468" i="58"/>
  <c r="G468" i="58"/>
  <c r="D174" i="58"/>
  <c r="G174" i="58" s="1"/>
  <c r="D109" i="58"/>
  <c r="G109" i="58"/>
  <c r="D112" i="58"/>
  <c r="G112" i="58" s="1"/>
  <c r="D444" i="58"/>
  <c r="G444" i="58"/>
  <c r="D133" i="58"/>
  <c r="G133" i="58" s="1"/>
  <c r="D753" i="58"/>
  <c r="G753" i="58" s="1"/>
  <c r="D461" i="58"/>
  <c r="G461" i="58" s="1"/>
  <c r="D301" i="58"/>
  <c r="G301" i="58"/>
  <c r="D609" i="58"/>
  <c r="G609" i="58" s="1"/>
  <c r="D357" i="58"/>
  <c r="G357" i="58"/>
  <c r="D184" i="58"/>
  <c r="G184" i="58" s="1"/>
  <c r="D66" i="58"/>
  <c r="G66" i="58"/>
  <c r="D358" i="58"/>
  <c r="G358" i="58" s="1"/>
  <c r="D362" i="58"/>
  <c r="G362" i="58" s="1"/>
  <c r="D505" i="58"/>
  <c r="G505" i="58" s="1"/>
  <c r="D773" i="58"/>
  <c r="G773" i="58"/>
  <c r="D525" i="58"/>
  <c r="G525" i="58" s="1"/>
  <c r="D526" i="58"/>
  <c r="G526" i="58"/>
  <c r="D544" i="58"/>
  <c r="G544" i="58" s="1"/>
  <c r="D904" i="58"/>
  <c r="G904" i="58"/>
  <c r="D665" i="58"/>
  <c r="G665" i="58" s="1"/>
  <c r="D992" i="58"/>
  <c r="G992" i="58" s="1"/>
  <c r="D972" i="58"/>
  <c r="G972" i="58" s="1"/>
  <c r="D901" i="58"/>
  <c r="G901" i="58"/>
  <c r="D888" i="58"/>
  <c r="G888" i="58" s="1"/>
  <c r="D964" i="58"/>
  <c r="G964" i="58"/>
  <c r="D811" i="58"/>
  <c r="G811" i="58" s="1"/>
  <c r="D948" i="58"/>
  <c r="G948" i="58"/>
  <c r="D828" i="58"/>
  <c r="G828" i="58" s="1"/>
  <c r="D597" i="58"/>
  <c r="G597" i="58" s="1"/>
  <c r="D77" i="58"/>
  <c r="G77" i="58" s="1"/>
  <c r="D342" i="58"/>
  <c r="G342" i="58"/>
  <c r="D524" i="58"/>
  <c r="G524" i="58" s="1"/>
  <c r="D651" i="58"/>
  <c r="G651" i="58"/>
  <c r="D480" i="58"/>
  <c r="G480" i="58" s="1"/>
  <c r="D434" i="58"/>
  <c r="G434" i="58"/>
  <c r="D924" i="58"/>
  <c r="G924" i="58" s="1"/>
  <c r="D252" i="58"/>
  <c r="G252" i="58" s="1"/>
  <c r="D832" i="58"/>
  <c r="G832" i="58" s="1"/>
  <c r="D796" i="58"/>
  <c r="G796" i="58"/>
  <c r="D833" i="58"/>
  <c r="G833" i="58" s="1"/>
  <c r="D363" i="58"/>
  <c r="G363" i="58"/>
  <c r="D684" i="58"/>
  <c r="G684" i="58" s="1"/>
  <c r="D550" i="58"/>
  <c r="G550" i="58"/>
  <c r="D139" i="58"/>
  <c r="G139" i="58" s="1"/>
  <c r="D83" i="58"/>
  <c r="G83" i="58" s="1"/>
  <c r="D164" i="58"/>
  <c r="G164" i="58" s="1"/>
  <c r="D269" i="58"/>
  <c r="G269" i="58"/>
  <c r="D67" i="58"/>
  <c r="G67" i="58" s="1"/>
  <c r="D509" i="58"/>
  <c r="G509" i="58"/>
  <c r="D48" i="58"/>
  <c r="G48" i="58" s="1"/>
  <c r="D34" i="58"/>
  <c r="G34" i="58"/>
  <c r="D189" i="58"/>
  <c r="G189" i="58" s="1"/>
  <c r="D115" i="58"/>
  <c r="G115" i="58" s="1"/>
  <c r="D986" i="58"/>
  <c r="G986" i="58" s="1"/>
  <c r="D661" i="58"/>
  <c r="G661" i="58"/>
  <c r="D853" i="58"/>
  <c r="G853" i="58" s="1"/>
  <c r="D812" i="58"/>
  <c r="G812" i="58"/>
  <c r="D770" i="58"/>
  <c r="G770" i="58" s="1"/>
  <c r="D1022" i="58"/>
  <c r="G1022" i="58"/>
  <c r="D1023" i="58"/>
  <c r="G1023" i="58" s="1"/>
  <c r="D193" i="58"/>
  <c r="G193" i="58" s="1"/>
  <c r="D883" i="58"/>
  <c r="G883" i="58" s="1"/>
  <c r="D852" i="58"/>
  <c r="G852" i="58"/>
  <c r="D997" i="58"/>
  <c r="G997" i="58" s="1"/>
  <c r="D998" i="58"/>
  <c r="G998" i="58"/>
  <c r="D100" i="58"/>
  <c r="G100" i="58" s="1"/>
  <c r="D928" i="58"/>
  <c r="G928" i="58"/>
  <c r="D750" i="58"/>
  <c r="G750" i="58" s="1"/>
  <c r="D751" i="58"/>
  <c r="G751" i="58" s="1"/>
  <c r="D76" i="58"/>
  <c r="G76" i="58" s="1"/>
  <c r="D956" i="58"/>
  <c r="G956" i="58"/>
  <c r="D410" i="58"/>
  <c r="G410" i="58" s="1"/>
  <c r="D517" i="58"/>
  <c r="G517" i="58"/>
  <c r="D518" i="58"/>
  <c r="G518" i="58" s="1"/>
  <c r="D412" i="58"/>
  <c r="G412" i="58"/>
  <c r="D388" i="58"/>
  <c r="G388" i="58" s="1"/>
  <c r="D981" i="58"/>
  <c r="G981" i="58" s="1"/>
  <c r="D959" i="58"/>
  <c r="G959" i="58" s="1"/>
  <c r="D512" i="58"/>
  <c r="G512" i="58"/>
  <c r="D977" i="58"/>
  <c r="G977" i="58" s="1"/>
  <c r="D711" i="58"/>
  <c r="G711" i="58"/>
  <c r="D548" i="58"/>
  <c r="G548" i="58" s="1"/>
  <c r="D529" i="58"/>
  <c r="G529" i="58"/>
  <c r="D644" i="58"/>
  <c r="G644" i="58" s="1"/>
  <c r="D717" i="58"/>
  <c r="G717" i="58" s="1"/>
  <c r="D889" i="58"/>
  <c r="G889" i="58" s="1"/>
  <c r="D130" i="58"/>
  <c r="G130" i="58"/>
  <c r="D5" i="58"/>
  <c r="G5" i="58" s="1"/>
  <c r="D59" i="58"/>
  <c r="G59" i="58"/>
  <c r="D44" i="58"/>
  <c r="G44" i="58" s="1"/>
  <c r="D151" i="58"/>
  <c r="G151" i="58"/>
  <c r="D259" i="58"/>
  <c r="G259" i="58" s="1"/>
  <c r="D30" i="58"/>
  <c r="G30" i="58" s="1"/>
  <c r="D228" i="58"/>
  <c r="G228" i="58" s="1"/>
  <c r="D180" i="58"/>
  <c r="G180" i="58"/>
  <c r="D238" i="58"/>
  <c r="G238" i="58" s="1"/>
  <c r="D165" i="58"/>
  <c r="G165" i="58"/>
  <c r="D261" i="58"/>
  <c r="G261" i="58" s="1"/>
  <c r="D194" i="58"/>
  <c r="G194" i="58"/>
  <c r="D7" i="58"/>
  <c r="G7" i="58" s="1"/>
  <c r="D35" i="58"/>
  <c r="G35" i="58" s="1"/>
  <c r="D169" i="58"/>
  <c r="G169" i="58" s="1"/>
  <c r="D9" i="58"/>
  <c r="G9" i="58"/>
  <c r="D27" i="58"/>
  <c r="G27" i="58" s="1"/>
  <c r="D305" i="58"/>
  <c r="G305" i="58"/>
  <c r="D484" i="58"/>
  <c r="G484" i="58" s="1"/>
  <c r="D224" i="58"/>
  <c r="G224" i="58"/>
  <c r="D815" i="58"/>
  <c r="G815" i="58" s="1"/>
  <c r="D196" i="58"/>
  <c r="G196" i="58" s="1"/>
  <c r="D381" i="58"/>
  <c r="G381" i="58" s="1"/>
  <c r="D275" i="58"/>
  <c r="G275" i="58"/>
  <c r="D628" i="58"/>
  <c r="G628" i="58" s="1"/>
  <c r="D599" i="58"/>
  <c r="G599" i="58"/>
  <c r="D145" i="58"/>
  <c r="G145" i="58" s="1"/>
  <c r="D724" i="58"/>
  <c r="G724" i="58"/>
  <c r="D355" i="58"/>
  <c r="G355" i="58" s="1"/>
  <c r="D256" i="58"/>
  <c r="G256" i="58" s="1"/>
  <c r="D869" i="58"/>
  <c r="G869" i="58" s="1"/>
  <c r="D345" i="58"/>
  <c r="G345" i="58"/>
  <c r="D339" i="58"/>
  <c r="G339" i="58" s="1"/>
  <c r="D565" i="58"/>
  <c r="G565" i="58"/>
  <c r="D613" i="58"/>
  <c r="G613" i="58" s="1"/>
  <c r="D761" i="58"/>
  <c r="G761" i="58"/>
  <c r="D154" i="58"/>
  <c r="G154" i="58" s="1"/>
  <c r="D302" i="58"/>
  <c r="G302" i="58" s="1"/>
  <c r="D208" i="58"/>
  <c r="G208" i="58" s="1"/>
  <c r="D774" i="58"/>
  <c r="G774" i="58"/>
  <c r="D289" i="58"/>
  <c r="G289" i="58" s="1"/>
  <c r="D687" i="58"/>
  <c r="G687" i="58"/>
  <c r="D541" i="58"/>
  <c r="G541" i="58" s="1"/>
  <c r="D575" i="58"/>
  <c r="G575" i="58"/>
  <c r="D530" i="58"/>
  <c r="G530" i="58" s="1"/>
  <c r="D618" i="58"/>
  <c r="G618" i="58" s="1"/>
  <c r="D619" i="58"/>
  <c r="G619" i="58" s="1"/>
  <c r="D291" i="58"/>
  <c r="G291" i="58"/>
  <c r="D205" i="58"/>
  <c r="G205" i="58" s="1"/>
  <c r="D219" i="58"/>
  <c r="G219" i="58"/>
  <c r="D279" i="58"/>
  <c r="G279" i="58" s="1"/>
  <c r="D429" i="58"/>
  <c r="G429" i="58"/>
  <c r="D206" i="58"/>
  <c r="G206" i="58" s="1"/>
  <c r="D507" i="58"/>
  <c r="G507" i="58" s="1"/>
  <c r="D647" i="58"/>
  <c r="G647" i="58" s="1"/>
  <c r="D620" i="58"/>
  <c r="G620" i="58"/>
  <c r="D479" i="58"/>
  <c r="G479" i="58" s="1"/>
  <c r="D395" i="58"/>
  <c r="G395" i="58"/>
  <c r="D407" i="58"/>
  <c r="G407" i="58" s="1"/>
  <c r="D427" i="58"/>
  <c r="G427" i="58"/>
  <c r="D474" i="58"/>
  <c r="G474" i="58" s="1"/>
  <c r="D172" i="58"/>
  <c r="G172" i="58" s="1"/>
  <c r="D197" i="58"/>
  <c r="G197" i="58"/>
  <c r="D403" i="58"/>
  <c r="G403" i="58" s="1"/>
  <c r="D383" i="58"/>
  <c r="G383" i="58"/>
  <c r="D458" i="58"/>
  <c r="G458" i="58" s="1"/>
  <c r="D625" i="58"/>
  <c r="G625" i="58"/>
  <c r="D584" i="58"/>
  <c r="G584" i="58" s="1"/>
  <c r="D556" i="58"/>
  <c r="G556" i="58"/>
  <c r="D562" i="58"/>
  <c r="G562" i="58" s="1"/>
  <c r="D404" i="58"/>
  <c r="G404" i="58"/>
  <c r="D630" i="58"/>
  <c r="G630" i="58" s="1"/>
  <c r="D637" i="58"/>
  <c r="G637" i="58"/>
  <c r="D585" i="58"/>
  <c r="G585" i="58" s="1"/>
  <c r="D121" i="58"/>
  <c r="G121" i="58"/>
  <c r="D240" i="58"/>
  <c r="G240" i="58" s="1"/>
  <c r="D12" i="58"/>
  <c r="G12" i="58"/>
  <c r="D88" i="58"/>
  <c r="G88" i="58" s="1"/>
  <c r="D606" i="58"/>
  <c r="G606" i="58"/>
  <c r="D143" i="58"/>
  <c r="G143" i="58" s="1"/>
  <c r="D527" i="58"/>
  <c r="G527" i="58"/>
  <c r="D393" i="58"/>
  <c r="G393" i="58" s="1"/>
  <c r="D392" i="58"/>
  <c r="G392" i="58"/>
  <c r="D104" i="58"/>
  <c r="G104" i="58" s="1"/>
  <c r="D391" i="58"/>
  <c r="G391" i="58"/>
  <c r="N112" i="58"/>
  <c r="N142" i="58"/>
  <c r="N148" i="58"/>
  <c r="N153" i="58"/>
  <c r="N219" i="58"/>
  <c r="N284" i="58"/>
  <c r="N288" i="58"/>
  <c r="N298" i="58"/>
  <c r="N322" i="58"/>
  <c r="N407" i="58"/>
  <c r="N409" i="58"/>
  <c r="N439" i="58"/>
  <c r="N521" i="58"/>
  <c r="N525" i="58"/>
  <c r="N537" i="58"/>
  <c r="N679" i="58"/>
  <c r="N701" i="58"/>
  <c r="N741" i="58"/>
  <c r="N905" i="58"/>
  <c r="N945" i="58"/>
  <c r="N1017" i="58"/>
  <c r="C1419" i="9"/>
  <c r="C1420" i="9"/>
  <c r="C1421" i="9"/>
  <c r="C1422" i="9"/>
  <c r="C1423" i="9" s="1"/>
  <c r="C1424" i="9" s="1"/>
  <c r="C1425" i="9" s="1"/>
  <c r="C1426" i="9" s="1"/>
  <c r="C1427" i="9" s="1"/>
  <c r="C1428" i="9" s="1"/>
  <c r="C1429" i="9" s="1"/>
  <c r="C1430" i="9" s="1"/>
  <c r="C1431" i="9" s="1"/>
  <c r="C1432" i="9" s="1"/>
  <c r="C1433" i="9" s="1"/>
  <c r="C1434" i="9" s="1"/>
  <c r="C1443" i="9"/>
  <c r="C1444" i="9" s="1"/>
  <c r="C1394" i="9"/>
  <c r="C1395" i="9"/>
  <c r="D4134" i="12"/>
  <c r="D4130" i="12"/>
  <c r="D4132" i="12"/>
  <c r="D4128" i="12"/>
  <c r="M440" i="9"/>
  <c r="M427" i="9"/>
  <c r="M394" i="9"/>
  <c r="M178" i="9"/>
  <c r="O21" i="9"/>
  <c r="P21" i="9" s="1"/>
  <c r="G6" i="11"/>
  <c r="M1361" i="9"/>
  <c r="I1361" i="9"/>
  <c r="H1361" i="9"/>
  <c r="M61" i="33"/>
  <c r="D49" i="33"/>
  <c r="H1305" i="9"/>
  <c r="I1305" i="9"/>
  <c r="H1306" i="9"/>
  <c r="I1306" i="9"/>
  <c r="H1307" i="9"/>
  <c r="I1307" i="9"/>
  <c r="H1308" i="9"/>
  <c r="I1308" i="9"/>
  <c r="H1309" i="9"/>
  <c r="I1309" i="9"/>
  <c r="H1310" i="9"/>
  <c r="I1310" i="9"/>
  <c r="I1304" i="9"/>
  <c r="H1304" i="9"/>
  <c r="D164" i="40"/>
  <c r="D162" i="40"/>
  <c r="D158" i="40"/>
  <c r="D154" i="40"/>
  <c r="D149" i="40"/>
  <c r="D143" i="40"/>
  <c r="D139" i="40"/>
  <c r="D132" i="40"/>
  <c r="D130" i="40"/>
  <c r="D128" i="40"/>
  <c r="D126" i="40"/>
  <c r="D124" i="40"/>
  <c r="D120" i="40"/>
  <c r="D113" i="40"/>
  <c r="D111" i="40"/>
  <c r="D104" i="40"/>
  <c r="D101" i="40"/>
  <c r="D96" i="40"/>
  <c r="D94" i="40"/>
  <c r="D92" i="40"/>
  <c r="D88" i="40"/>
  <c r="D86" i="40"/>
  <c r="D80" i="40"/>
  <c r="D76" i="40"/>
  <c r="D74" i="40"/>
  <c r="D72" i="40"/>
  <c r="D70" i="40"/>
  <c r="D68" i="40"/>
  <c r="D66" i="40"/>
  <c r="D64" i="40"/>
  <c r="D62" i="40"/>
  <c r="D60" i="40"/>
  <c r="D58" i="40"/>
  <c r="D56" i="40"/>
  <c r="D54" i="40"/>
  <c r="D52" i="40"/>
  <c r="D33" i="40"/>
  <c r="D30" i="40"/>
  <c r="M207" i="37"/>
  <c r="M158" i="40"/>
  <c r="D293" i="31"/>
  <c r="D291" i="31"/>
  <c r="D289" i="31"/>
  <c r="D285" i="31"/>
  <c r="D283" i="31"/>
  <c r="D281" i="31"/>
  <c r="D279" i="31"/>
  <c r="D277" i="31"/>
  <c r="D275" i="31"/>
  <c r="D271" i="31"/>
  <c r="D269" i="31"/>
  <c r="D267" i="31"/>
  <c r="D265" i="31"/>
  <c r="D263" i="31"/>
  <c r="D255" i="31"/>
  <c r="D253" i="31"/>
  <c r="D251" i="31"/>
  <c r="D249" i="31"/>
  <c r="D247" i="31"/>
  <c r="D245" i="31"/>
  <c r="D241" i="31"/>
  <c r="D239" i="31"/>
  <c r="D237" i="31"/>
  <c r="D235" i="31"/>
  <c r="D198" i="31"/>
  <c r="D187" i="31"/>
  <c r="D185" i="31"/>
  <c r="D183" i="31"/>
  <c r="D181" i="31"/>
  <c r="D179" i="31"/>
  <c r="D177" i="31"/>
  <c r="D173" i="31"/>
  <c r="D171" i="31"/>
  <c r="D169" i="31"/>
  <c r="D167" i="31"/>
  <c r="D161" i="31"/>
  <c r="D159" i="31"/>
  <c r="D157" i="31"/>
  <c r="D149" i="31"/>
  <c r="D147" i="31"/>
  <c r="D145" i="31"/>
  <c r="D143" i="31"/>
  <c r="D141" i="31"/>
  <c r="D139" i="31"/>
  <c r="D133" i="31"/>
  <c r="D131" i="31"/>
  <c r="D116" i="31"/>
  <c r="D113" i="31"/>
  <c r="D96" i="31"/>
  <c r="D94" i="31"/>
  <c r="D92" i="31"/>
  <c r="D88" i="31"/>
  <c r="D86" i="31"/>
  <c r="D80" i="31"/>
  <c r="D78" i="31"/>
  <c r="D76" i="31"/>
  <c r="D68" i="31"/>
  <c r="D66" i="31"/>
  <c r="D64" i="31"/>
  <c r="D62" i="31"/>
  <c r="D60" i="31"/>
  <c r="D58" i="31"/>
  <c r="D56" i="31"/>
  <c r="D54" i="31"/>
  <c r="D52" i="31"/>
  <c r="D50" i="31"/>
  <c r="D48" i="31"/>
  <c r="D46" i="31"/>
  <c r="D32" i="31"/>
  <c r="D30" i="31"/>
  <c r="H1192" i="9"/>
  <c r="I1192" i="9"/>
  <c r="H1193" i="9"/>
  <c r="I1193" i="9"/>
  <c r="H1194" i="9"/>
  <c r="I1194" i="9"/>
  <c r="H1195" i="9"/>
  <c r="I1195" i="9"/>
  <c r="H1196" i="9"/>
  <c r="I1196" i="9"/>
  <c r="I1191" i="9"/>
  <c r="H1191" i="9"/>
  <c r="I1189" i="9"/>
  <c r="H1189" i="9"/>
  <c r="D81" i="33"/>
  <c r="D79" i="33"/>
  <c r="D77" i="33"/>
  <c r="D73" i="33"/>
  <c r="D69" i="33"/>
  <c r="D67" i="33"/>
  <c r="D65" i="33"/>
  <c r="D61" i="33"/>
  <c r="D55" i="33"/>
  <c r="D53" i="33"/>
  <c r="D51" i="33"/>
  <c r="D47" i="33"/>
  <c r="D45" i="33"/>
  <c r="D43" i="33"/>
  <c r="D41" i="33"/>
  <c r="D37" i="33"/>
  <c r="D33" i="33"/>
  <c r="G137" i="31"/>
  <c r="M141" i="31"/>
  <c r="M1193" i="9" s="1"/>
  <c r="H137" i="31"/>
  <c r="M143" i="31"/>
  <c r="M1194" i="9"/>
  <c r="I137" i="31"/>
  <c r="M145" i="31"/>
  <c r="M1195" i="9"/>
  <c r="J137" i="31"/>
  <c r="M147" i="31" s="1"/>
  <c r="M1196" i="9" s="1"/>
  <c r="F137" i="31"/>
  <c r="M139" i="31"/>
  <c r="M1192" i="9"/>
  <c r="I1121" i="9"/>
  <c r="H1121" i="9"/>
  <c r="M1120" i="9"/>
  <c r="I1120" i="9"/>
  <c r="H1120" i="9"/>
  <c r="I1119" i="9"/>
  <c r="H1119" i="9"/>
  <c r="M1118" i="9"/>
  <c r="I1118" i="9"/>
  <c r="H1118" i="9"/>
  <c r="I1114" i="9"/>
  <c r="H1114" i="9"/>
  <c r="I1113" i="9"/>
  <c r="H1113" i="9"/>
  <c r="D212" i="38"/>
  <c r="D210" i="38"/>
  <c r="D208" i="38"/>
  <c r="D204" i="38"/>
  <c r="D202" i="38"/>
  <c r="D200" i="38"/>
  <c r="D198" i="38"/>
  <c r="D196" i="38"/>
  <c r="D194" i="38"/>
  <c r="D190" i="38"/>
  <c r="D188" i="38"/>
  <c r="D186" i="38"/>
  <c r="D184" i="38"/>
  <c r="D182" i="38"/>
  <c r="D174" i="38"/>
  <c r="D172" i="38"/>
  <c r="D170" i="38"/>
  <c r="D166" i="38"/>
  <c r="D164" i="38"/>
  <c r="D162" i="38"/>
  <c r="D147" i="38"/>
  <c r="D141" i="38"/>
  <c r="D139" i="38"/>
  <c r="D137" i="38"/>
  <c r="D135" i="38"/>
  <c r="D133" i="38"/>
  <c r="D129" i="38"/>
  <c r="D127" i="38"/>
  <c r="D125" i="38"/>
  <c r="D119" i="38"/>
  <c r="D117" i="38"/>
  <c r="D115" i="38"/>
  <c r="D113" i="38"/>
  <c r="D111" i="38"/>
  <c r="D109" i="38"/>
  <c r="D107" i="38"/>
  <c r="D105" i="38"/>
  <c r="D103" i="38"/>
  <c r="D101" i="38"/>
  <c r="D99" i="38"/>
  <c r="D95" i="38"/>
  <c r="D93" i="38"/>
  <c r="D91" i="38"/>
  <c r="D87" i="38"/>
  <c r="D85" i="38"/>
  <c r="D79" i="38"/>
  <c r="D77" i="38"/>
  <c r="D75" i="38"/>
  <c r="D73" i="38"/>
  <c r="D71" i="38"/>
  <c r="D69" i="38"/>
  <c r="D67" i="38"/>
  <c r="D65" i="38"/>
  <c r="D63" i="38"/>
  <c r="D61" i="38"/>
  <c r="D59" i="38"/>
  <c r="D57" i="38"/>
  <c r="D55" i="38"/>
  <c r="D53" i="38"/>
  <c r="D31" i="38"/>
  <c r="D29" i="38"/>
  <c r="M186" i="38"/>
  <c r="M115" i="38"/>
  <c r="M1119" i="9" s="1"/>
  <c r="M111" i="38"/>
  <c r="M101" i="38"/>
  <c r="M105" i="38"/>
  <c r="M1114" i="9"/>
  <c r="M103" i="38"/>
  <c r="M1113" i="9" s="1"/>
  <c r="I1024" i="9"/>
  <c r="H1024" i="9"/>
  <c r="I1023" i="9"/>
  <c r="H1023" i="9"/>
  <c r="I1022" i="9"/>
  <c r="H1022" i="9"/>
  <c r="I1021" i="9"/>
  <c r="H1021" i="9"/>
  <c r="I1019" i="9"/>
  <c r="H1019" i="9"/>
  <c r="I1016" i="9"/>
  <c r="H1016" i="9"/>
  <c r="I1015" i="9"/>
  <c r="H1015" i="9"/>
  <c r="I1014" i="9"/>
  <c r="H1014" i="9"/>
  <c r="D267" i="34"/>
  <c r="D265" i="34"/>
  <c r="D263" i="34"/>
  <c r="D261" i="34"/>
  <c r="D257" i="34"/>
  <c r="D255" i="34"/>
  <c r="D247" i="34"/>
  <c r="D242" i="34"/>
  <c r="D240" i="34"/>
  <c r="D238" i="34"/>
  <c r="D236" i="34"/>
  <c r="D234" i="34"/>
  <c r="D232" i="34"/>
  <c r="D230" i="34"/>
  <c r="D226" i="34"/>
  <c r="D220" i="34"/>
  <c r="D216" i="34"/>
  <c r="D214" i="34"/>
  <c r="D212" i="34"/>
  <c r="D210" i="34"/>
  <c r="D208" i="34"/>
  <c r="D203" i="34"/>
  <c r="D201" i="34"/>
  <c r="D199" i="34"/>
  <c r="D195" i="34"/>
  <c r="D193" i="34"/>
  <c r="D191" i="34"/>
  <c r="D189" i="34"/>
  <c r="D187" i="34"/>
  <c r="D184" i="34"/>
  <c r="D182" i="34"/>
  <c r="D177" i="34"/>
  <c r="D164" i="34"/>
  <c r="D162" i="34"/>
  <c r="D160" i="34"/>
  <c r="D158" i="34"/>
  <c r="D141" i="34"/>
  <c r="D134" i="34"/>
  <c r="D125" i="34"/>
  <c r="D123" i="34"/>
  <c r="D121" i="34"/>
  <c r="D117" i="34"/>
  <c r="D115" i="34"/>
  <c r="D105" i="34"/>
  <c r="D97" i="34"/>
  <c r="D95" i="34"/>
  <c r="D93" i="34"/>
  <c r="D91" i="34"/>
  <c r="D89" i="34"/>
  <c r="D87" i="34"/>
  <c r="D85" i="34"/>
  <c r="D83" i="34"/>
  <c r="D81" i="34"/>
  <c r="D79" i="34"/>
  <c r="D77" i="34"/>
  <c r="D75" i="34"/>
  <c r="D73" i="34"/>
  <c r="D43" i="34"/>
  <c r="D35" i="34"/>
  <c r="D147" i="37"/>
  <c r="D145" i="37"/>
  <c r="I927" i="9"/>
  <c r="H927" i="9"/>
  <c r="I926" i="9"/>
  <c r="H926" i="9"/>
  <c r="I925" i="9"/>
  <c r="H925" i="9"/>
  <c r="I924" i="9"/>
  <c r="H924" i="9"/>
  <c r="I923" i="9"/>
  <c r="H923" i="9"/>
  <c r="I920" i="9"/>
  <c r="H920" i="9"/>
  <c r="D173" i="37"/>
  <c r="D171" i="37"/>
  <c r="D169" i="37"/>
  <c r="I165" i="37"/>
  <c r="M173" i="37"/>
  <c r="M927" i="9" s="1"/>
  <c r="H165" i="37"/>
  <c r="M171" i="37" s="1"/>
  <c r="M926" i="9" s="1"/>
  <c r="F165" i="37"/>
  <c r="M167" i="37"/>
  <c r="M924" i="9" s="1"/>
  <c r="D167" i="37"/>
  <c r="D159" i="37"/>
  <c r="D149" i="37"/>
  <c r="D461" i="26"/>
  <c r="D459" i="26"/>
  <c r="D456" i="26"/>
  <c r="D453" i="26"/>
  <c r="D448" i="26"/>
  <c r="D438" i="26"/>
  <c r="D430" i="26"/>
  <c r="D427" i="26"/>
  <c r="D424" i="26"/>
  <c r="D419" i="26"/>
  <c r="D417" i="26"/>
  <c r="D410" i="26"/>
  <c r="D406" i="26"/>
  <c r="D400" i="26"/>
  <c r="D386" i="26"/>
  <c r="D383" i="26"/>
  <c r="D377" i="26"/>
  <c r="D372" i="26"/>
  <c r="D370" i="26"/>
  <c r="D368" i="26"/>
  <c r="D366" i="26"/>
  <c r="D364" i="26"/>
  <c r="D362" i="26"/>
  <c r="D351" i="26"/>
  <c r="D349" i="26"/>
  <c r="D330" i="26"/>
  <c r="D308" i="26"/>
  <c r="D305" i="26"/>
  <c r="D278" i="26"/>
  <c r="D276" i="26"/>
  <c r="D274" i="26"/>
  <c r="D270" i="26"/>
  <c r="D268" i="26"/>
  <c r="D266" i="26"/>
  <c r="D264" i="26"/>
  <c r="D237" i="26"/>
  <c r="D235" i="26"/>
  <c r="D233" i="26"/>
  <c r="D231" i="26"/>
  <c r="D229" i="26"/>
  <c r="D227" i="26"/>
  <c r="D225" i="26"/>
  <c r="D223" i="26"/>
  <c r="D221" i="26"/>
  <c r="D219" i="26"/>
  <c r="D217" i="26"/>
  <c r="D215" i="26"/>
  <c r="D213" i="26"/>
  <c r="D104" i="26"/>
  <c r="D91" i="26"/>
  <c r="D78" i="26"/>
  <c r="D65" i="26"/>
  <c r="D50" i="26"/>
  <c r="D39" i="26"/>
  <c r="H832" i="9"/>
  <c r="I832" i="9"/>
  <c r="H833" i="9"/>
  <c r="I833" i="9"/>
  <c r="H834" i="9"/>
  <c r="I834" i="9"/>
  <c r="H835" i="9"/>
  <c r="I835" i="9"/>
  <c r="H836" i="9"/>
  <c r="I836" i="9"/>
  <c r="H837" i="9"/>
  <c r="I837" i="9"/>
  <c r="H838" i="9"/>
  <c r="I838" i="9"/>
  <c r="H839" i="9"/>
  <c r="I839" i="9"/>
  <c r="H840" i="9"/>
  <c r="I840" i="9"/>
  <c r="M840" i="9"/>
  <c r="I831" i="9"/>
  <c r="H831" i="9"/>
  <c r="I815" i="9"/>
  <c r="H815" i="9"/>
  <c r="I814" i="9"/>
  <c r="H814" i="9"/>
  <c r="I806" i="9"/>
  <c r="H806" i="9"/>
  <c r="M455" i="26"/>
  <c r="M362" i="26"/>
  <c r="M835" i="9"/>
  <c r="G359" i="26"/>
  <c r="M364" i="26"/>
  <c r="M836" i="9"/>
  <c r="H359" i="26"/>
  <c r="M366" i="26" s="1"/>
  <c r="M837" i="9" s="1"/>
  <c r="I359" i="26"/>
  <c r="M368" i="26" s="1"/>
  <c r="M838" i="9" s="1"/>
  <c r="J359" i="26"/>
  <c r="M370" i="26" s="1"/>
  <c r="M839" i="9" s="1"/>
  <c r="L248" i="26"/>
  <c r="J248" i="26"/>
  <c r="H248" i="26"/>
  <c r="J250" i="26"/>
  <c r="H250" i="26" s="1"/>
  <c r="L250" i="26"/>
  <c r="J251" i="26"/>
  <c r="L251" i="26"/>
  <c r="M251" i="26" s="1"/>
  <c r="J252" i="26"/>
  <c r="L252" i="26"/>
  <c r="H252" i="26"/>
  <c r="L253" i="26"/>
  <c r="J253" i="26"/>
  <c r="H253" i="26"/>
  <c r="J255" i="26"/>
  <c r="L255" i="26"/>
  <c r="J256" i="26"/>
  <c r="L256" i="26"/>
  <c r="H758" i="9"/>
  <c r="I758" i="9"/>
  <c r="H759" i="9"/>
  <c r="I759" i="9"/>
  <c r="H760" i="9"/>
  <c r="I760" i="9"/>
  <c r="H761" i="9"/>
  <c r="I761" i="9"/>
  <c r="H762" i="9"/>
  <c r="I762" i="9"/>
  <c r="H763" i="9"/>
  <c r="I763" i="9"/>
  <c r="H764" i="9"/>
  <c r="I764" i="9"/>
  <c r="H765" i="9"/>
  <c r="I765" i="9"/>
  <c r="I725" i="9"/>
  <c r="H725" i="9"/>
  <c r="I724" i="9"/>
  <c r="H724" i="9"/>
  <c r="D132" i="8"/>
  <c r="D120" i="8"/>
  <c r="D128" i="8"/>
  <c r="D124" i="8"/>
  <c r="D116" i="8"/>
  <c r="D112" i="8"/>
  <c r="D114" i="8"/>
  <c r="D104" i="8"/>
  <c r="D108" i="8"/>
  <c r="D98" i="8"/>
  <c r="D92" i="8"/>
  <c r="K80" i="8"/>
  <c r="D74" i="8"/>
  <c r="D72" i="8"/>
  <c r="D66" i="8"/>
  <c r="BD12" i="32"/>
  <c r="BD13" i="32"/>
  <c r="BD14" i="32"/>
  <c r="BD15" i="32"/>
  <c r="BD16" i="32"/>
  <c r="BD17" i="32"/>
  <c r="BD18" i="32"/>
  <c r="BD19" i="32"/>
  <c r="BD20" i="32"/>
  <c r="BD21" i="32"/>
  <c r="BD22" i="32"/>
  <c r="BD23" i="32"/>
  <c r="BD25" i="32"/>
  <c r="BD26" i="32"/>
  <c r="BD27" i="32"/>
  <c r="BD28" i="32"/>
  <c r="BD29" i="32"/>
  <c r="BD33" i="32"/>
  <c r="BD35" i="32"/>
  <c r="BD40" i="32"/>
  <c r="BD41" i="32"/>
  <c r="BD42" i="32"/>
  <c r="BD43" i="32"/>
  <c r="BD44" i="32"/>
  <c r="BD45" i="32"/>
  <c r="BD46" i="32"/>
  <c r="BD47" i="32"/>
  <c r="BD48" i="32"/>
  <c r="BD49" i="32"/>
  <c r="BD50" i="32"/>
  <c r="BD51" i="32"/>
  <c r="BD52" i="32"/>
  <c r="BD53" i="32"/>
  <c r="BD54" i="32"/>
  <c r="BD55" i="32"/>
  <c r="I669" i="9"/>
  <c r="H669" i="9"/>
  <c r="I668" i="9"/>
  <c r="H668" i="9"/>
  <c r="I667" i="9"/>
  <c r="H667" i="9"/>
  <c r="I666" i="9"/>
  <c r="H666" i="9"/>
  <c r="I665" i="9"/>
  <c r="H665" i="9"/>
  <c r="I637" i="9"/>
  <c r="H637" i="9"/>
  <c r="I636" i="9"/>
  <c r="H636" i="9"/>
  <c r="D153" i="39"/>
  <c r="D145" i="39"/>
  <c r="D133" i="39"/>
  <c r="D132" i="39"/>
  <c r="J96" i="39"/>
  <c r="K93" i="39"/>
  <c r="D89" i="39"/>
  <c r="D87" i="39"/>
  <c r="K83" i="39"/>
  <c r="M83" i="39" s="1"/>
  <c r="M85" i="39" s="1"/>
  <c r="I570" i="9"/>
  <c r="H570" i="9"/>
  <c r="I569" i="9"/>
  <c r="H569" i="9"/>
  <c r="I568" i="9"/>
  <c r="H568" i="9"/>
  <c r="I567" i="9"/>
  <c r="H567" i="9"/>
  <c r="I566" i="9"/>
  <c r="H566" i="9"/>
  <c r="I565" i="9"/>
  <c r="H565" i="9"/>
  <c r="I560" i="9"/>
  <c r="H560" i="9"/>
  <c r="M414" i="36"/>
  <c r="D332" i="36"/>
  <c r="D330" i="36"/>
  <c r="D328" i="36"/>
  <c r="D326" i="36"/>
  <c r="D324" i="36"/>
  <c r="D322" i="36"/>
  <c r="D320" i="36"/>
  <c r="D225" i="36"/>
  <c r="D226" i="36"/>
  <c r="I501" i="9"/>
  <c r="H501" i="9"/>
  <c r="I500" i="9"/>
  <c r="H500" i="9"/>
  <c r="I499" i="9"/>
  <c r="H499" i="9"/>
  <c r="I498" i="9"/>
  <c r="H498" i="9"/>
  <c r="I497" i="9"/>
  <c r="H497" i="9"/>
  <c r="I496" i="9"/>
  <c r="H496" i="9"/>
  <c r="I474" i="9"/>
  <c r="H474" i="9"/>
  <c r="D320" i="7"/>
  <c r="D307" i="7"/>
  <c r="D301" i="7"/>
  <c r="D303" i="7"/>
  <c r="D305" i="7"/>
  <c r="D299" i="7"/>
  <c r="M307" i="7"/>
  <c r="M500" i="9"/>
  <c r="M305" i="7"/>
  <c r="M499" i="9"/>
  <c r="M303" i="7"/>
  <c r="M498" i="9"/>
  <c r="M301" i="7"/>
  <c r="M497" i="9"/>
  <c r="I206" i="9"/>
  <c r="H206" i="9"/>
  <c r="D151" i="50"/>
  <c r="I143" i="50"/>
  <c r="I142" i="50"/>
  <c r="D143" i="50"/>
  <c r="D146" i="50" s="1"/>
  <c r="D142" i="50"/>
  <c r="D145" i="50"/>
  <c r="D206" i="7"/>
  <c r="D204" i="7"/>
  <c r="H462" i="9"/>
  <c r="I462" i="9"/>
  <c r="H463" i="9"/>
  <c r="I463" i="9"/>
  <c r="H464" i="9"/>
  <c r="I464" i="9"/>
  <c r="H465" i="9"/>
  <c r="I465" i="9"/>
  <c r="H466" i="9"/>
  <c r="I466" i="9"/>
  <c r="H467" i="9"/>
  <c r="I467" i="9"/>
  <c r="H468" i="9"/>
  <c r="I468" i="9"/>
  <c r="H469" i="9"/>
  <c r="I469" i="9"/>
  <c r="H470" i="9"/>
  <c r="I470" i="9"/>
  <c r="M470" i="9"/>
  <c r="H471" i="9"/>
  <c r="I471" i="9"/>
  <c r="D133" i="7"/>
  <c r="H421" i="9"/>
  <c r="I421" i="9"/>
  <c r="H422" i="9"/>
  <c r="I422" i="9"/>
  <c r="H423" i="9"/>
  <c r="I423" i="9"/>
  <c r="H424" i="9"/>
  <c r="I424" i="9"/>
  <c r="H425" i="9"/>
  <c r="I425" i="9"/>
  <c r="I419" i="9"/>
  <c r="H419" i="9"/>
  <c r="H218" i="43"/>
  <c r="I224" i="43" s="1"/>
  <c r="D171" i="43"/>
  <c r="I208" i="9"/>
  <c r="H208" i="9"/>
  <c r="D157" i="50"/>
  <c r="D182" i="43"/>
  <c r="D180" i="43"/>
  <c r="D178" i="43"/>
  <c r="G175" i="43"/>
  <c r="M178" i="43" s="1"/>
  <c r="M421" i="9" s="1"/>
  <c r="H175" i="43"/>
  <c r="M180" i="43"/>
  <c r="M422" i="9" s="1"/>
  <c r="I175" i="43"/>
  <c r="M182" i="43"/>
  <c r="M423" i="9"/>
  <c r="F175" i="43"/>
  <c r="M176" i="43"/>
  <c r="M420" i="9"/>
  <c r="M30" i="43"/>
  <c r="M31" i="43"/>
  <c r="M14" i="43"/>
  <c r="M13" i="43"/>
  <c r="M14" i="50"/>
  <c r="M13" i="50"/>
  <c r="I125" i="44"/>
  <c r="I126" i="44"/>
  <c r="C61" i="44"/>
  <c r="C67" i="44"/>
  <c r="C95" i="44"/>
  <c r="C100" i="44"/>
  <c r="I213" i="9"/>
  <c r="H213" i="9"/>
  <c r="I212" i="9"/>
  <c r="H212" i="9"/>
  <c r="I211" i="9"/>
  <c r="H211" i="9"/>
  <c r="I210" i="9"/>
  <c r="H210" i="9"/>
  <c r="I181" i="9"/>
  <c r="H181" i="9"/>
  <c r="I180" i="9"/>
  <c r="H180" i="9"/>
  <c r="D170" i="50"/>
  <c r="D168" i="50"/>
  <c r="D166" i="50"/>
  <c r="D164" i="50"/>
  <c r="I161" i="50"/>
  <c r="M168" i="50"/>
  <c r="M212" i="9" s="1"/>
  <c r="H161" i="50"/>
  <c r="M166" i="50"/>
  <c r="M211" i="9"/>
  <c r="G161" i="50"/>
  <c r="M164" i="50"/>
  <c r="M210" i="9"/>
  <c r="F161" i="50"/>
  <c r="M162" i="50" s="1"/>
  <c r="M209" i="9" s="1"/>
  <c r="K111" i="50"/>
  <c r="K105" i="50"/>
  <c r="K107" i="50" s="1"/>
  <c r="K109" i="50" s="1"/>
  <c r="D109" i="50"/>
  <c r="D107" i="50"/>
  <c r="A166" i="44"/>
  <c r="A165" i="44"/>
  <c r="A164" i="44"/>
  <c r="A163" i="44"/>
  <c r="A162" i="44"/>
  <c r="A161" i="44"/>
  <c r="A160" i="44"/>
  <c r="A159" i="44"/>
  <c r="A158" i="44"/>
  <c r="A157" i="44"/>
  <c r="A156" i="44"/>
  <c r="C156" i="44" s="1"/>
  <c r="A155" i="44"/>
  <c r="A154" i="44"/>
  <c r="A153" i="44"/>
  <c r="A152" i="44"/>
  <c r="C152" i="44"/>
  <c r="A151" i="44"/>
  <c r="A150" i="44"/>
  <c r="A149" i="44"/>
  <c r="A148" i="44"/>
  <c r="C148" i="44" s="1"/>
  <c r="A147" i="44"/>
  <c r="A146" i="44"/>
  <c r="A145" i="44"/>
  <c r="A144" i="44"/>
  <c r="A143" i="44"/>
  <c r="A142" i="44"/>
  <c r="A141" i="44"/>
  <c r="C141" i="44" s="1"/>
  <c r="A140" i="44"/>
  <c r="C140" i="44" s="1"/>
  <c r="A139" i="44"/>
  <c r="C139" i="44"/>
  <c r="A138" i="44"/>
  <c r="A137" i="44"/>
  <c r="A136" i="44"/>
  <c r="A135" i="44"/>
  <c r="A134" i="44"/>
  <c r="A133" i="44"/>
  <c r="A132" i="44"/>
  <c r="A131" i="44"/>
  <c r="A130" i="44"/>
  <c r="A129" i="44"/>
  <c r="A128" i="44"/>
  <c r="A127" i="44"/>
  <c r="A126" i="44"/>
  <c r="A125" i="44"/>
  <c r="A124" i="44"/>
  <c r="A123" i="44"/>
  <c r="A122" i="44"/>
  <c r="A121" i="44"/>
  <c r="A120" i="44"/>
  <c r="A119" i="44"/>
  <c r="A118" i="44"/>
  <c r="A117" i="44"/>
  <c r="A116" i="44"/>
  <c r="A115" i="44"/>
  <c r="C115" i="44" s="1"/>
  <c r="A114" i="44"/>
  <c r="A113" i="44"/>
  <c r="A112" i="44"/>
  <c r="C112" i="44" s="1"/>
  <c r="A111" i="44"/>
  <c r="A110" i="44"/>
  <c r="C110" i="44"/>
  <c r="A109" i="44"/>
  <c r="A108" i="44"/>
  <c r="A107" i="44"/>
  <c r="A106" i="44"/>
  <c r="A105" i="44"/>
  <c r="A104" i="44"/>
  <c r="C104" i="44" s="1"/>
  <c r="A103" i="44"/>
  <c r="A102" i="44"/>
  <c r="A101" i="44"/>
  <c r="A99" i="44"/>
  <c r="C99" i="44" s="1"/>
  <c r="A98" i="44"/>
  <c r="A97" i="44"/>
  <c r="A96" i="44"/>
  <c r="A95" i="44"/>
  <c r="A94" i="44"/>
  <c r="A93" i="44"/>
  <c r="A92" i="44"/>
  <c r="A91" i="44"/>
  <c r="A90" i="44"/>
  <c r="A89" i="44"/>
  <c r="A88" i="44"/>
  <c r="A87" i="44"/>
  <c r="A86" i="44"/>
  <c r="A85" i="44"/>
  <c r="A84" i="44"/>
  <c r="A83" i="44"/>
  <c r="A82" i="44"/>
  <c r="A81" i="44"/>
  <c r="A80" i="44"/>
  <c r="A79" i="44"/>
  <c r="A78" i="44"/>
  <c r="A77" i="44"/>
  <c r="A76" i="44"/>
  <c r="A75" i="44"/>
  <c r="A74" i="44"/>
  <c r="A73" i="44"/>
  <c r="A72" i="44"/>
  <c r="A71" i="44"/>
  <c r="A70" i="44"/>
  <c r="A69" i="44"/>
  <c r="A68" i="44"/>
  <c r="C68" i="44" s="1"/>
  <c r="A66" i="44"/>
  <c r="C66" i="44" s="1"/>
  <c r="A65" i="44"/>
  <c r="C65" i="44" s="1"/>
  <c r="Q68" i="44"/>
  <c r="A64" i="44"/>
  <c r="C64" i="44"/>
  <c r="A63" i="44"/>
  <c r="C63" i="44"/>
  <c r="A62" i="44"/>
  <c r="A61" i="44"/>
  <c r="A60" i="44"/>
  <c r="A59" i="44"/>
  <c r="A58" i="44"/>
  <c r="A57" i="44"/>
  <c r="A56" i="44"/>
  <c r="A55" i="44"/>
  <c r="C55" i="44" s="1"/>
  <c r="A54" i="44"/>
  <c r="A53" i="44"/>
  <c r="C53" i="44" s="1"/>
  <c r="B53" i="44"/>
  <c r="F36" i="44"/>
  <c r="F37" i="44"/>
  <c r="F38" i="44"/>
  <c r="F39" i="44" s="1"/>
  <c r="F40" i="44" s="1"/>
  <c r="F41" i="44" s="1"/>
  <c r="F42" i="44" s="1"/>
  <c r="F43" i="44" s="1"/>
  <c r="F44" i="44" s="1"/>
  <c r="F45" i="44" s="1"/>
  <c r="F46" i="44" s="1"/>
  <c r="F47" i="44" s="1"/>
  <c r="F48" i="44" s="1"/>
  <c r="F49" i="44" s="1"/>
  <c r="F50" i="44" s="1"/>
  <c r="A161" i="49"/>
  <c r="A160" i="49"/>
  <c r="A159" i="49"/>
  <c r="A158" i="49"/>
  <c r="A157" i="49"/>
  <c r="A156" i="49"/>
  <c r="A155" i="49"/>
  <c r="A154" i="49"/>
  <c r="A153" i="49"/>
  <c r="A152" i="49"/>
  <c r="A151" i="49"/>
  <c r="C151" i="49"/>
  <c r="A150" i="49"/>
  <c r="A149" i="49"/>
  <c r="A148" i="49"/>
  <c r="C147" i="49"/>
  <c r="A147" i="49"/>
  <c r="A146" i="49"/>
  <c r="A145" i="49"/>
  <c r="A144" i="49"/>
  <c r="A143" i="49"/>
  <c r="C143" i="49" s="1"/>
  <c r="A142" i="49"/>
  <c r="A141" i="49"/>
  <c r="A140" i="49"/>
  <c r="A139" i="49"/>
  <c r="A138" i="49"/>
  <c r="A137" i="49"/>
  <c r="A136" i="49"/>
  <c r="C136" i="49"/>
  <c r="A135" i="49"/>
  <c r="C135" i="49"/>
  <c r="A134" i="49"/>
  <c r="C134" i="49"/>
  <c r="A133" i="49"/>
  <c r="A132" i="49"/>
  <c r="A131" i="49"/>
  <c r="A130" i="49"/>
  <c r="A129" i="49"/>
  <c r="A128" i="49"/>
  <c r="A127" i="49"/>
  <c r="A126" i="49"/>
  <c r="A125" i="49"/>
  <c r="A124" i="49"/>
  <c r="A123" i="49"/>
  <c r="A122" i="49"/>
  <c r="A121" i="49"/>
  <c r="A120" i="49"/>
  <c r="A119" i="49"/>
  <c r="A118" i="49"/>
  <c r="A117" i="49"/>
  <c r="A116" i="49"/>
  <c r="A115" i="49"/>
  <c r="A114" i="49"/>
  <c r="A113" i="49"/>
  <c r="C113" i="49"/>
  <c r="A112" i="49"/>
  <c r="A111" i="49"/>
  <c r="A110" i="49"/>
  <c r="C110" i="49"/>
  <c r="A109" i="49"/>
  <c r="A108" i="49"/>
  <c r="C108" i="49"/>
  <c r="A107" i="49"/>
  <c r="A106" i="49"/>
  <c r="A105" i="49"/>
  <c r="A104" i="49"/>
  <c r="A103" i="49"/>
  <c r="A102" i="49"/>
  <c r="C102" i="49" s="1"/>
  <c r="A101" i="49"/>
  <c r="A100" i="49"/>
  <c r="A99" i="49"/>
  <c r="C98" i="49"/>
  <c r="A97" i="49"/>
  <c r="C97" i="49"/>
  <c r="A96" i="49"/>
  <c r="A95" i="49"/>
  <c r="A94" i="49"/>
  <c r="A93" i="49"/>
  <c r="C93" i="49" s="1"/>
  <c r="A92" i="49"/>
  <c r="A91" i="49"/>
  <c r="A90" i="49"/>
  <c r="A89" i="49"/>
  <c r="A88" i="49"/>
  <c r="A87" i="49"/>
  <c r="A86" i="49"/>
  <c r="A85" i="49"/>
  <c r="A84" i="49"/>
  <c r="A83" i="49"/>
  <c r="A82" i="49"/>
  <c r="A81" i="49"/>
  <c r="A80" i="49"/>
  <c r="A79" i="49"/>
  <c r="A78" i="49"/>
  <c r="A77" i="49"/>
  <c r="A76" i="49"/>
  <c r="A75" i="49"/>
  <c r="A74" i="49"/>
  <c r="A73" i="49"/>
  <c r="A72" i="49"/>
  <c r="A71" i="49"/>
  <c r="A70" i="49"/>
  <c r="A69" i="49"/>
  <c r="A68" i="49"/>
  <c r="A67" i="49"/>
  <c r="A66" i="49"/>
  <c r="C66" i="49" s="1"/>
  <c r="C65" i="49"/>
  <c r="A64" i="49"/>
  <c r="C64" i="49"/>
  <c r="A63" i="49"/>
  <c r="C63" i="49"/>
  <c r="A62" i="49"/>
  <c r="C62" i="49"/>
  <c r="A61" i="49"/>
  <c r="C61" i="49"/>
  <c r="A60" i="49"/>
  <c r="A59" i="49"/>
  <c r="C59" i="49" s="1"/>
  <c r="A58" i="49"/>
  <c r="A57" i="49"/>
  <c r="A56" i="49"/>
  <c r="A55" i="49"/>
  <c r="A54" i="49"/>
  <c r="A53" i="49"/>
  <c r="C53" i="49"/>
  <c r="A52" i="49"/>
  <c r="A51" i="49"/>
  <c r="B51" i="49"/>
  <c r="F36" i="49"/>
  <c r="F37" i="49" s="1"/>
  <c r="F38" i="49" s="1"/>
  <c r="F39" i="49" s="1"/>
  <c r="F40" i="49" s="1"/>
  <c r="F41" i="49" s="1"/>
  <c r="F42" i="49" s="1"/>
  <c r="F43" i="49" s="1"/>
  <c r="F44" i="49" s="1"/>
  <c r="F45" i="49" s="1"/>
  <c r="F46" i="49" s="1"/>
  <c r="F47" i="49" s="1"/>
  <c r="F48" i="49" s="1"/>
  <c r="Q66" i="49"/>
  <c r="Q67" i="49"/>
  <c r="O1963" i="9"/>
  <c r="P1963" i="9" s="1"/>
  <c r="O1964" i="9"/>
  <c r="P1964" i="9" s="1"/>
  <c r="H14" i="47"/>
  <c r="H13" i="47"/>
  <c r="J15" i="47"/>
  <c r="F13" i="47"/>
  <c r="J47" i="47"/>
  <c r="I45" i="47"/>
  <c r="I19" i="47"/>
  <c r="I38" i="47"/>
  <c r="M602" i="9"/>
  <c r="I602" i="9"/>
  <c r="H602" i="9"/>
  <c r="M601" i="9"/>
  <c r="I601" i="9"/>
  <c r="H601" i="9"/>
  <c r="D422" i="36"/>
  <c r="O2272" i="9"/>
  <c r="P2272" i="9" s="1"/>
  <c r="O2273" i="9"/>
  <c r="P2273" i="9" s="1"/>
  <c r="O2274" i="9"/>
  <c r="P2274" i="9" s="1"/>
  <c r="O2275" i="9"/>
  <c r="P2275" i="9" s="1"/>
  <c r="O2276" i="9"/>
  <c r="P2276" i="9" s="1"/>
  <c r="O2277" i="9"/>
  <c r="P2277" i="9" s="1"/>
  <c r="O2278" i="9"/>
  <c r="P2278" i="9" s="1"/>
  <c r="O2279" i="9"/>
  <c r="P2279" i="9" s="1"/>
  <c r="O2280" i="9"/>
  <c r="P2280" i="9" s="1"/>
  <c r="O2281" i="9"/>
  <c r="P2281" i="9" s="1"/>
  <c r="O2282" i="9"/>
  <c r="P2282" i="9" s="1"/>
  <c r="O2283" i="9"/>
  <c r="P2283" i="9" s="1"/>
  <c r="I238" i="9"/>
  <c r="H238" i="9"/>
  <c r="I232" i="9"/>
  <c r="H232" i="9"/>
  <c r="I226" i="9"/>
  <c r="H226" i="9"/>
  <c r="I220" i="9"/>
  <c r="H220" i="9"/>
  <c r="I214" i="9"/>
  <c r="H214" i="9"/>
  <c r="I209" i="9"/>
  <c r="H209" i="9"/>
  <c r="I207" i="9"/>
  <c r="H207" i="9"/>
  <c r="I205" i="9"/>
  <c r="H205" i="9"/>
  <c r="I198" i="9"/>
  <c r="H198" i="9"/>
  <c r="I197" i="9"/>
  <c r="H197" i="9"/>
  <c r="I196" i="9"/>
  <c r="H196" i="9"/>
  <c r="I190" i="9"/>
  <c r="H190" i="9"/>
  <c r="I189" i="9"/>
  <c r="H189" i="9"/>
  <c r="I188" i="9"/>
  <c r="H188" i="9"/>
  <c r="I182" i="9"/>
  <c r="H182" i="9"/>
  <c r="I179" i="9"/>
  <c r="H179" i="9"/>
  <c r="I178" i="9"/>
  <c r="H178" i="9"/>
  <c r="I177" i="9"/>
  <c r="H177" i="9"/>
  <c r="I176" i="9"/>
  <c r="H176" i="9"/>
  <c r="I175" i="9"/>
  <c r="H175" i="9"/>
  <c r="I174" i="9"/>
  <c r="H174" i="9"/>
  <c r="I173" i="9"/>
  <c r="H173" i="9"/>
  <c r="I172" i="9"/>
  <c r="H172" i="9"/>
  <c r="I171" i="9"/>
  <c r="H171" i="9"/>
  <c r="I170" i="9"/>
  <c r="H170" i="9"/>
  <c r="I169" i="9"/>
  <c r="H169" i="9"/>
  <c r="I168" i="9"/>
  <c r="H168" i="9"/>
  <c r="I167" i="9"/>
  <c r="H167" i="9"/>
  <c r="I166" i="9"/>
  <c r="H166" i="9"/>
  <c r="I160" i="9"/>
  <c r="H160" i="9"/>
  <c r="I159" i="9"/>
  <c r="H159" i="9"/>
  <c r="E158" i="9"/>
  <c r="E159" i="9"/>
  <c r="E160" i="9"/>
  <c r="E161" i="9"/>
  <c r="E162" i="9" s="1"/>
  <c r="E164" i="9" s="1"/>
  <c r="E156" i="9"/>
  <c r="E27" i="9"/>
  <c r="E28" i="9" s="1"/>
  <c r="E29" i="9" s="1"/>
  <c r="E30" i="9" s="1"/>
  <c r="E31" i="9" s="1"/>
  <c r="E32" i="9" s="1"/>
  <c r="E33" i="9" s="1"/>
  <c r="E34" i="9" s="1"/>
  <c r="E35" i="9" s="1"/>
  <c r="E36" i="9" s="1"/>
  <c r="E37" i="9" s="1"/>
  <c r="E38" i="9" s="1"/>
  <c r="E39" i="9" s="1"/>
  <c r="E40" i="9" s="1"/>
  <c r="E41" i="9" s="1"/>
  <c r="E42" i="9" s="1"/>
  <c r="E43" i="9" s="1"/>
  <c r="E44" i="9" s="1"/>
  <c r="E45" i="9" s="1"/>
  <c r="E46" i="9" s="1"/>
  <c r="E47" i="9" s="1"/>
  <c r="E48" i="9" s="1"/>
  <c r="E49" i="9" s="1"/>
  <c r="E50" i="9" s="1"/>
  <c r="E51" i="9" s="1"/>
  <c r="E52" i="9" s="1"/>
  <c r="E53" i="9" s="1"/>
  <c r="E54" i="9" s="1"/>
  <c r="E55" i="9" s="1"/>
  <c r="E56" i="9" s="1"/>
  <c r="E57" i="9" s="1"/>
  <c r="E58" i="9" s="1"/>
  <c r="E59" i="9" s="1"/>
  <c r="E60" i="9" s="1"/>
  <c r="E61" i="9" s="1"/>
  <c r="E62" i="9" s="1"/>
  <c r="E63" i="9" s="1"/>
  <c r="E64" i="9" s="1"/>
  <c r="E65" i="9" s="1"/>
  <c r="E66" i="9" s="1"/>
  <c r="E67" i="9" s="1"/>
  <c r="E68" i="9" s="1"/>
  <c r="E69" i="9" s="1"/>
  <c r="E70" i="9" s="1"/>
  <c r="E71" i="9" s="1"/>
  <c r="E72" i="9" s="1"/>
  <c r="E73" i="9" s="1"/>
  <c r="E74" i="9" s="1"/>
  <c r="E75" i="9" s="1"/>
  <c r="E76" i="9" s="1"/>
  <c r="E77" i="9" s="1"/>
  <c r="E78" i="9" s="1"/>
  <c r="E79" i="9" s="1"/>
  <c r="E80" i="9" s="1"/>
  <c r="E81" i="9" s="1"/>
  <c r="E82" i="9" s="1"/>
  <c r="E83" i="9" s="1"/>
  <c r="E84" i="9" s="1"/>
  <c r="E85" i="9" s="1"/>
  <c r="E86" i="9" s="1"/>
  <c r="E87" i="9" s="1"/>
  <c r="E88" i="9" s="1"/>
  <c r="E89" i="9" s="1"/>
  <c r="E90" i="9" s="1"/>
  <c r="E91" i="9" s="1"/>
  <c r="E92" i="9" s="1"/>
  <c r="E93" i="9" s="1"/>
  <c r="E94" i="9" s="1"/>
  <c r="E95" i="9" s="1"/>
  <c r="E96" i="9" s="1"/>
  <c r="E97" i="9" s="1"/>
  <c r="E98" i="9" s="1"/>
  <c r="E99" i="9" s="1"/>
  <c r="E100" i="9" s="1"/>
  <c r="E101" i="9" s="1"/>
  <c r="E102" i="9" s="1"/>
  <c r="E103" i="9" s="1"/>
  <c r="E104" i="9" s="1"/>
  <c r="E105" i="9" s="1"/>
  <c r="E106" i="9" s="1"/>
  <c r="E107" i="9" s="1"/>
  <c r="E108" i="9" s="1"/>
  <c r="E109" i="9" s="1"/>
  <c r="E110" i="9" s="1"/>
  <c r="E111" i="9" s="1"/>
  <c r="E112" i="9" s="1"/>
  <c r="E113" i="9" s="1"/>
  <c r="E114" i="9" s="1"/>
  <c r="E115" i="9" s="1"/>
  <c r="E116" i="9" s="1"/>
  <c r="E117" i="9" s="1"/>
  <c r="E118" i="9" s="1"/>
  <c r="E119" i="9" s="1"/>
  <c r="E120" i="9" s="1"/>
  <c r="E121" i="9" s="1"/>
  <c r="E122" i="9" s="1"/>
  <c r="E123" i="9" s="1"/>
  <c r="E124" i="9" s="1"/>
  <c r="E125" i="9" s="1"/>
  <c r="E126" i="9" s="1"/>
  <c r="E127" i="9" s="1"/>
  <c r="E128" i="9" s="1"/>
  <c r="E129" i="9" s="1"/>
  <c r="E130" i="9" s="1"/>
  <c r="E131" i="9" s="1"/>
  <c r="E132" i="9" s="1"/>
  <c r="E133" i="9" s="1"/>
  <c r="E134" i="9" s="1"/>
  <c r="E135" i="9" s="1"/>
  <c r="E136" i="9" s="1"/>
  <c r="E137" i="9" s="1"/>
  <c r="E138" i="9" s="1"/>
  <c r="E139" i="9" s="1"/>
  <c r="E140" i="9" s="1"/>
  <c r="E141" i="9" s="1"/>
  <c r="E142" i="9" s="1"/>
  <c r="E143" i="9" s="1"/>
  <c r="E144" i="9" s="1"/>
  <c r="E145" i="9" s="1"/>
  <c r="E146" i="9" s="1"/>
  <c r="E147" i="9" s="1"/>
  <c r="E148" i="9" s="1"/>
  <c r="E149" i="9" s="1"/>
  <c r="E150" i="9" s="1"/>
  <c r="E151" i="9" s="1"/>
  <c r="E152" i="9" s="1"/>
  <c r="E153" i="9" s="1"/>
  <c r="E154" i="9" s="1"/>
  <c r="D27" i="9"/>
  <c r="D29" i="9"/>
  <c r="D30" i="9"/>
  <c r="C27" i="9"/>
  <c r="C28" i="9"/>
  <c r="H143" i="43"/>
  <c r="G143" i="43"/>
  <c r="H111" i="43"/>
  <c r="I111" i="43"/>
  <c r="G111" i="43"/>
  <c r="D198" i="50"/>
  <c r="D192" i="50"/>
  <c r="K191" i="50"/>
  <c r="J191" i="50"/>
  <c r="K197" i="50"/>
  <c r="I191" i="50"/>
  <c r="J197" i="50"/>
  <c r="H191" i="50"/>
  <c r="K190" i="50"/>
  <c r="J190" i="50"/>
  <c r="K196" i="50"/>
  <c r="I190" i="50"/>
  <c r="J196" i="50"/>
  <c r="H190" i="50"/>
  <c r="I196" i="50"/>
  <c r="D186" i="50"/>
  <c r="M185" i="50"/>
  <c r="M184" i="50"/>
  <c r="D180" i="50"/>
  <c r="M179" i="50"/>
  <c r="M178" i="50"/>
  <c r="M174" i="50"/>
  <c r="M214" i="9"/>
  <c r="D174" i="50"/>
  <c r="D162" i="50"/>
  <c r="M155" i="50"/>
  <c r="D155" i="50"/>
  <c r="D149" i="50"/>
  <c r="D138" i="50"/>
  <c r="K136" i="50"/>
  <c r="D136" i="50"/>
  <c r="D134" i="50"/>
  <c r="D129" i="50"/>
  <c r="D124" i="50"/>
  <c r="D119" i="50"/>
  <c r="J116" i="50"/>
  <c r="J122" i="50"/>
  <c r="J127" i="50"/>
  <c r="H53" i="50"/>
  <c r="I116" i="50"/>
  <c r="I122" i="50"/>
  <c r="I127" i="50"/>
  <c r="G143" i="50"/>
  <c r="G146" i="50" s="1"/>
  <c r="H116" i="50"/>
  <c r="H122" i="50"/>
  <c r="J115" i="50"/>
  <c r="J121" i="50" s="1"/>
  <c r="J126" i="50" s="1"/>
  <c r="H52" i="50" s="1"/>
  <c r="I115" i="50"/>
  <c r="I121" i="50" s="1"/>
  <c r="I126" i="50" s="1"/>
  <c r="G142" i="50" s="1"/>
  <c r="G145" i="50" s="1"/>
  <c r="H115" i="50"/>
  <c r="H121" i="50"/>
  <c r="D111" i="50"/>
  <c r="D105" i="50"/>
  <c r="D99" i="50"/>
  <c r="D97" i="50"/>
  <c r="D95" i="50"/>
  <c r="D93" i="50"/>
  <c r="D91" i="50"/>
  <c r="J89" i="50"/>
  <c r="J91" i="50"/>
  <c r="D89" i="50"/>
  <c r="D87" i="50"/>
  <c r="D85" i="50"/>
  <c r="D83" i="50"/>
  <c r="K81" i="50"/>
  <c r="D81" i="50"/>
  <c r="D79" i="50"/>
  <c r="D77" i="50"/>
  <c r="K75" i="50"/>
  <c r="J75" i="50"/>
  <c r="D75" i="50"/>
  <c r="L50" i="50"/>
  <c r="M50" i="50"/>
  <c r="K53" i="50" s="1"/>
  <c r="J50" i="50"/>
  <c r="I50" i="50"/>
  <c r="H50" i="50"/>
  <c r="L49" i="50"/>
  <c r="M49" i="50"/>
  <c r="K52" i="50"/>
  <c r="J49" i="50"/>
  <c r="I49" i="50"/>
  <c r="H49" i="50"/>
  <c r="M47" i="50"/>
  <c r="D38" i="50"/>
  <c r="M36" i="50"/>
  <c r="M35" i="50"/>
  <c r="D33" i="50"/>
  <c r="M31" i="50"/>
  <c r="M30" i="50"/>
  <c r="K2017" i="9"/>
  <c r="K2016" i="9"/>
  <c r="K2012" i="9"/>
  <c r="K2011" i="9"/>
  <c r="K2010" i="9"/>
  <c r="K2009" i="9"/>
  <c r="K2008" i="9"/>
  <c r="K2004" i="9"/>
  <c r="K2003" i="9"/>
  <c r="K2002" i="9"/>
  <c r="K1998" i="9"/>
  <c r="K1997" i="9"/>
  <c r="K1996" i="9"/>
  <c r="K1992" i="9"/>
  <c r="K1991" i="9"/>
  <c r="K1990" i="9"/>
  <c r="K1989" i="9"/>
  <c r="K1988" i="9"/>
  <c r="K1987" i="9"/>
  <c r="K1983" i="9"/>
  <c r="K1982" i="9"/>
  <c r="K1981" i="9"/>
  <c r="K1980" i="9"/>
  <c r="K1979" i="9"/>
  <c r="K1978" i="9"/>
  <c r="K1977" i="9"/>
  <c r="K1976" i="9"/>
  <c r="K1975" i="9"/>
  <c r="K1974" i="9"/>
  <c r="K1973" i="9"/>
  <c r="K1972" i="9"/>
  <c r="K1971" i="9"/>
  <c r="K1970" i="9"/>
  <c r="K1969" i="9"/>
  <c r="K1968" i="9"/>
  <c r="K1967" i="9"/>
  <c r="K1966" i="9"/>
  <c r="K1965" i="9"/>
  <c r="K1964" i="9"/>
  <c r="K1963" i="9"/>
  <c r="K1962" i="9"/>
  <c r="K1956" i="9"/>
  <c r="K1952" i="9"/>
  <c r="K1951" i="9"/>
  <c r="K1950" i="9"/>
  <c r="K1949" i="9"/>
  <c r="K1948" i="9"/>
  <c r="K1947" i="9"/>
  <c r="K1946" i="9"/>
  <c r="K1945" i="9"/>
  <c r="K1944" i="9"/>
  <c r="K1943" i="9"/>
  <c r="K1942" i="9"/>
  <c r="K1941" i="9"/>
  <c r="K1940" i="9"/>
  <c r="K1939" i="9"/>
  <c r="K1938" i="9"/>
  <c r="K1937" i="9"/>
  <c r="K1936" i="9"/>
  <c r="K1935" i="9"/>
  <c r="K1934" i="9"/>
  <c r="K1930" i="9"/>
  <c r="K1929" i="9"/>
  <c r="K1928" i="9"/>
  <c r="K1927" i="9"/>
  <c r="K1926" i="9"/>
  <c r="K1925" i="9"/>
  <c r="K1924" i="9"/>
  <c r="K1923" i="9"/>
  <c r="K1922" i="9"/>
  <c r="K1921" i="9"/>
  <c r="K1920" i="9"/>
  <c r="K1919" i="9"/>
  <c r="K1918" i="9"/>
  <c r="K1917" i="9"/>
  <c r="K1916" i="9"/>
  <c r="K1915" i="9"/>
  <c r="K1914" i="9"/>
  <c r="K1913" i="9"/>
  <c r="K1912" i="9"/>
  <c r="K1911" i="9"/>
  <c r="K1910" i="9"/>
  <c r="K1909" i="9"/>
  <c r="K1908" i="9"/>
  <c r="K1907" i="9"/>
  <c r="K1906" i="9"/>
  <c r="K1905" i="9"/>
  <c r="K1904" i="9"/>
  <c r="K1903" i="9"/>
  <c r="K1902" i="9"/>
  <c r="K1901" i="9"/>
  <c r="K1900" i="9"/>
  <c r="K1899" i="9"/>
  <c r="K1895" i="9"/>
  <c r="K1894" i="9"/>
  <c r="K1893" i="9"/>
  <c r="K1892" i="9"/>
  <c r="K1891" i="9"/>
  <c r="K1890" i="9"/>
  <c r="K1889" i="9"/>
  <c r="K1888" i="9"/>
  <c r="K1887" i="9"/>
  <c r="K1886" i="9"/>
  <c r="K1885" i="9"/>
  <c r="K1884" i="9"/>
  <c r="K1883" i="9"/>
  <c r="K1882" i="9"/>
  <c r="K1881" i="9"/>
  <c r="K1880" i="9"/>
  <c r="K1879" i="9"/>
  <c r="K1878" i="9"/>
  <c r="K1877" i="9"/>
  <c r="K1876" i="9"/>
  <c r="K1875" i="9"/>
  <c r="K1874" i="9"/>
  <c r="K1873" i="9"/>
  <c r="K1872" i="9"/>
  <c r="K1871" i="9"/>
  <c r="K1870" i="9"/>
  <c r="K1869" i="9"/>
  <c r="K1868" i="9"/>
  <c r="K1867" i="9"/>
  <c r="K1866" i="9"/>
  <c r="K1865" i="9"/>
  <c r="K1864" i="9"/>
  <c r="K1863" i="9"/>
  <c r="K1862" i="9"/>
  <c r="K1861" i="9"/>
  <c r="K1860" i="9"/>
  <c r="K1859" i="9"/>
  <c r="K1858" i="9"/>
  <c r="K1857" i="9"/>
  <c r="K1856" i="9"/>
  <c r="K1855" i="9"/>
  <c r="K1854" i="9"/>
  <c r="K1853" i="9"/>
  <c r="K1849" i="9"/>
  <c r="K1848" i="9"/>
  <c r="K1847" i="9"/>
  <c r="K1846" i="9"/>
  <c r="K1845" i="9"/>
  <c r="K1844" i="9"/>
  <c r="K1843" i="9"/>
  <c r="K1842" i="9"/>
  <c r="K1841" i="9"/>
  <c r="K1840" i="9"/>
  <c r="K1839" i="9"/>
  <c r="K1838" i="9"/>
  <c r="K1837" i="9"/>
  <c r="K1836" i="9"/>
  <c r="K1835" i="9"/>
  <c r="K1834" i="9"/>
  <c r="K1830" i="9"/>
  <c r="K1829" i="9"/>
  <c r="K1828" i="9"/>
  <c r="K1827" i="9"/>
  <c r="K1826" i="9"/>
  <c r="K1825" i="9"/>
  <c r="K1821" i="9"/>
  <c r="K1820" i="9"/>
  <c r="K1819" i="9"/>
  <c r="K1818" i="9"/>
  <c r="K1817" i="9"/>
  <c r="K1816" i="9"/>
  <c r="K1815" i="9"/>
  <c r="K1814" i="9"/>
  <c r="K1813" i="9"/>
  <c r="K1809" i="9"/>
  <c r="K1808" i="9"/>
  <c r="K1807" i="9"/>
  <c r="K1806" i="9"/>
  <c r="K1805" i="9"/>
  <c r="K1804" i="9"/>
  <c r="K1803" i="9"/>
  <c r="K1802" i="9"/>
  <c r="K1801" i="9"/>
  <c r="K1800" i="9"/>
  <c r="K1799" i="9"/>
  <c r="K1798" i="9"/>
  <c r="K1797" i="9"/>
  <c r="K1796" i="9"/>
  <c r="K1795" i="9"/>
  <c r="K1794" i="9"/>
  <c r="K1793" i="9"/>
  <c r="K1792" i="9"/>
  <c r="K1791" i="9"/>
  <c r="K1790" i="9"/>
  <c r="K1789" i="9"/>
  <c r="K1764" i="9"/>
  <c r="K1763" i="9"/>
  <c r="K1762" i="9"/>
  <c r="K1761" i="9"/>
  <c r="K1760" i="9"/>
  <c r="K1759" i="9"/>
  <c r="K1758" i="9"/>
  <c r="K1757" i="9"/>
  <c r="K1756" i="9"/>
  <c r="K1754" i="9"/>
  <c r="K1753" i="9"/>
  <c r="K1752" i="9"/>
  <c r="K1751" i="9"/>
  <c r="K1750" i="9"/>
  <c r="K1749" i="9"/>
  <c r="K1748" i="9"/>
  <c r="K1747" i="9"/>
  <c r="K1746" i="9"/>
  <c r="K1745" i="9"/>
  <c r="K1744" i="9"/>
  <c r="K1743" i="9"/>
  <c r="K1742" i="9"/>
  <c r="K1741" i="9"/>
  <c r="K1740" i="9"/>
  <c r="K1739" i="9"/>
  <c r="K1738" i="9"/>
  <c r="K1737" i="9"/>
  <c r="K1736" i="9"/>
  <c r="K1734" i="9"/>
  <c r="K1733" i="9"/>
  <c r="K1732" i="9"/>
  <c r="K1731" i="9"/>
  <c r="K1730" i="9"/>
  <c r="K1729" i="9"/>
  <c r="K1728" i="9"/>
  <c r="K1727" i="9"/>
  <c r="K1726" i="9"/>
  <c r="K1725" i="9"/>
  <c r="K1724" i="9"/>
  <c r="K1723" i="9"/>
  <c r="K1722" i="9"/>
  <c r="K1721" i="9"/>
  <c r="K1720" i="9"/>
  <c r="K1719" i="9"/>
  <c r="K1718" i="9"/>
  <c r="K1717" i="9"/>
  <c r="K1715" i="9"/>
  <c r="K1713" i="9"/>
  <c r="K1712" i="9"/>
  <c r="K1711" i="9"/>
  <c r="K1710" i="9"/>
  <c r="K1709" i="9"/>
  <c r="K1708" i="9"/>
  <c r="K1707" i="9"/>
  <c r="K1705" i="9"/>
  <c r="K1704" i="9"/>
  <c r="K1703" i="9"/>
  <c r="K1702" i="9"/>
  <c r="K1701" i="9"/>
  <c r="K1700" i="9"/>
  <c r="K1699" i="9"/>
  <c r="K1698" i="9"/>
  <c r="K1697" i="9"/>
  <c r="K1696" i="9"/>
  <c r="K1695" i="9"/>
  <c r="K1694" i="9"/>
  <c r="K1693" i="9"/>
  <c r="K1692" i="9"/>
  <c r="K1691" i="9"/>
  <c r="K1690" i="9"/>
  <c r="K1689" i="9"/>
  <c r="K1688" i="9"/>
  <c r="K1687" i="9"/>
  <c r="K1686" i="9"/>
  <c r="K1685" i="9"/>
  <c r="K1684" i="9"/>
  <c r="K1683" i="9"/>
  <c r="K1682" i="9"/>
  <c r="K1681" i="9"/>
  <c r="K1680" i="9"/>
  <c r="K1679" i="9"/>
  <c r="K1678" i="9"/>
  <c r="K1677" i="9"/>
  <c r="K1676" i="9"/>
  <c r="K1675" i="9"/>
  <c r="K1674" i="9"/>
  <c r="K1673" i="9"/>
  <c r="K1672" i="9"/>
  <c r="K1671" i="9"/>
  <c r="K1670" i="9"/>
  <c r="K1669" i="9"/>
  <c r="K1668" i="9"/>
  <c r="K1667" i="9"/>
  <c r="K1666" i="9"/>
  <c r="K1665" i="9"/>
  <c r="K1664" i="9"/>
  <c r="K1663" i="9"/>
  <c r="K1662" i="9"/>
  <c r="K1661" i="9"/>
  <c r="K1660" i="9"/>
  <c r="K1659" i="9"/>
  <c r="K1658" i="9"/>
  <c r="K1657" i="9"/>
  <c r="K1656" i="9"/>
  <c r="K1655" i="9"/>
  <c r="K1654" i="9"/>
  <c r="K1653" i="9"/>
  <c r="K1652" i="9"/>
  <c r="K1651" i="9"/>
  <c r="K1650" i="9"/>
  <c r="K1649" i="9"/>
  <c r="K1648" i="9"/>
  <c r="K1647" i="9"/>
  <c r="K1646" i="9"/>
  <c r="K1645" i="9"/>
  <c r="K1644" i="9"/>
  <c r="K1643" i="9"/>
  <c r="K1642" i="9"/>
  <c r="K1641" i="9"/>
  <c r="K1640" i="9"/>
  <c r="K1639" i="9"/>
  <c r="K1638" i="9"/>
  <c r="K1637" i="9"/>
  <c r="K1636" i="9"/>
  <c r="K1635" i="9"/>
  <c r="K1634" i="9"/>
  <c r="K1633" i="9"/>
  <c r="K1632" i="9"/>
  <c r="K1631" i="9"/>
  <c r="K1630" i="9"/>
  <c r="K1629" i="9"/>
  <c r="K1628" i="9"/>
  <c r="K1627" i="9"/>
  <c r="K1626" i="9"/>
  <c r="K1625" i="9"/>
  <c r="K1624" i="9"/>
  <c r="K1623" i="9"/>
  <c r="K1622" i="9"/>
  <c r="K1621" i="9"/>
  <c r="K1620" i="9"/>
  <c r="K1619" i="9"/>
  <c r="K1618" i="9"/>
  <c r="K1617" i="9"/>
  <c r="K1616" i="9"/>
  <c r="K1615" i="9"/>
  <c r="K1614" i="9"/>
  <c r="K1613" i="9"/>
  <c r="K1612" i="9"/>
  <c r="K1611" i="9"/>
  <c r="K1610" i="9"/>
  <c r="K1609" i="9"/>
  <c r="K1608" i="9"/>
  <c r="K1607" i="9"/>
  <c r="K1606" i="9"/>
  <c r="K1605" i="9"/>
  <c r="K1604" i="9"/>
  <c r="K1603" i="9"/>
  <c r="K1602" i="9"/>
  <c r="K1601" i="9"/>
  <c r="K1600" i="9"/>
  <c r="K1599" i="9"/>
  <c r="K1598" i="9"/>
  <c r="K1597" i="9"/>
  <c r="K1596" i="9"/>
  <c r="K1595" i="9"/>
  <c r="K1594" i="9"/>
  <c r="K1593" i="9"/>
  <c r="K1592" i="9"/>
  <c r="K1591" i="9"/>
  <c r="K1590" i="9"/>
  <c r="K1589" i="9"/>
  <c r="K1588" i="9"/>
  <c r="K1587" i="9"/>
  <c r="K1586" i="9"/>
  <c r="K1585" i="9"/>
  <c r="K1584" i="9"/>
  <c r="K1583" i="9"/>
  <c r="K1582" i="9"/>
  <c r="K1581" i="9"/>
  <c r="K1580" i="9"/>
  <c r="K1579" i="9"/>
  <c r="K1578" i="9"/>
  <c r="K1577" i="9"/>
  <c r="K1576" i="9"/>
  <c r="K1575" i="9"/>
  <c r="K1574" i="9"/>
  <c r="K1573" i="9"/>
  <c r="K1572" i="9"/>
  <c r="K1571" i="9"/>
  <c r="K1570" i="9"/>
  <c r="K1569" i="9"/>
  <c r="K1568" i="9"/>
  <c r="K1567" i="9"/>
  <c r="K1566" i="9"/>
  <c r="K1565" i="9"/>
  <c r="K1564" i="9"/>
  <c r="K1563" i="9"/>
  <c r="K1562" i="9"/>
  <c r="K1561" i="9"/>
  <c r="K1560" i="9"/>
  <c r="K1559" i="9"/>
  <c r="K1558" i="9"/>
  <c r="K1557" i="9"/>
  <c r="K1556" i="9"/>
  <c r="K1555" i="9"/>
  <c r="K1554" i="9"/>
  <c r="K1553" i="9"/>
  <c r="K1552" i="9"/>
  <c r="K1551" i="9"/>
  <c r="K1550" i="9"/>
  <c r="K1549" i="9"/>
  <c r="K1548" i="9"/>
  <c r="K1547" i="9"/>
  <c r="K1546" i="9"/>
  <c r="K1545" i="9"/>
  <c r="K1544" i="9"/>
  <c r="K1543" i="9"/>
  <c r="K1542" i="9"/>
  <c r="K1541" i="9"/>
  <c r="K1540" i="9"/>
  <c r="K1539" i="9"/>
  <c r="K1538" i="9"/>
  <c r="K1537" i="9"/>
  <c r="K1536" i="9"/>
  <c r="K1535" i="9"/>
  <c r="K1534" i="9"/>
  <c r="K1533" i="9"/>
  <c r="K1532" i="9"/>
  <c r="K1528" i="9"/>
  <c r="K1527" i="9"/>
  <c r="K1526" i="9"/>
  <c r="K1525" i="9"/>
  <c r="K1524" i="9"/>
  <c r="K1523" i="9"/>
  <c r="K1522" i="9"/>
  <c r="K1521" i="9"/>
  <c r="K1520" i="9"/>
  <c r="K1519" i="9"/>
  <c r="K1518" i="9"/>
  <c r="K1517" i="9"/>
  <c r="K1516" i="9"/>
  <c r="K1515" i="9"/>
  <c r="K1514" i="9"/>
  <c r="K1513" i="9"/>
  <c r="K1512" i="9"/>
  <c r="K1511" i="9"/>
  <c r="K1510" i="9"/>
  <c r="K1509" i="9"/>
  <c r="K1508" i="9"/>
  <c r="K1507" i="9"/>
  <c r="K1506" i="9"/>
  <c r="K1505" i="9"/>
  <c r="K1504" i="9"/>
  <c r="K1503" i="9"/>
  <c r="K1502" i="9"/>
  <c r="K1501" i="9"/>
  <c r="K1500" i="9"/>
  <c r="K1499" i="9"/>
  <c r="K1498" i="9"/>
  <c r="K1497" i="9"/>
  <c r="K1496" i="9"/>
  <c r="K1495" i="9"/>
  <c r="K1494" i="9"/>
  <c r="K1493" i="9"/>
  <c r="K1492" i="9"/>
  <c r="K1491" i="9"/>
  <c r="K1490" i="9"/>
  <c r="K1489" i="9"/>
  <c r="K1488" i="9"/>
  <c r="K1487" i="9"/>
  <c r="K1486" i="9"/>
  <c r="K1485" i="9"/>
  <c r="K1484" i="9"/>
  <c r="K1483" i="9"/>
  <c r="K1482" i="9"/>
  <c r="K1481" i="9"/>
  <c r="K1480" i="9"/>
  <c r="K1479" i="9"/>
  <c r="K1478" i="9"/>
  <c r="K1477" i="9"/>
  <c r="K1476" i="9"/>
  <c r="K1475" i="9"/>
  <c r="K1474" i="9"/>
  <c r="K1473" i="9"/>
  <c r="K1472" i="9"/>
  <c r="K1471" i="9"/>
  <c r="K1470" i="9"/>
  <c r="K1469" i="9"/>
  <c r="K1468" i="9"/>
  <c r="K1467" i="9"/>
  <c r="K1466" i="9"/>
  <c r="K1465" i="9"/>
  <c r="K1464" i="9"/>
  <c r="K1463" i="9"/>
  <c r="K1462" i="9"/>
  <c r="K1461" i="9"/>
  <c r="K1460" i="9"/>
  <c r="K1459" i="9"/>
  <c r="K1458" i="9"/>
  <c r="K1457" i="9"/>
  <c r="K1456" i="9"/>
  <c r="K1455" i="9"/>
  <c r="K1454" i="9"/>
  <c r="K1453" i="9"/>
  <c r="K1452" i="9"/>
  <c r="K1451" i="9"/>
  <c r="K1450" i="9"/>
  <c r="K1449" i="9"/>
  <c r="K1448" i="9"/>
  <c r="K1447" i="9"/>
  <c r="K1446" i="9"/>
  <c r="L1415" i="9"/>
  <c r="K1415" i="9"/>
  <c r="L1414" i="9"/>
  <c r="K1414" i="9"/>
  <c r="L1413" i="9"/>
  <c r="K1413" i="9"/>
  <c r="L1412" i="9"/>
  <c r="K1412" i="9"/>
  <c r="L1411" i="9"/>
  <c r="K1411" i="9"/>
  <c r="L1410" i="9"/>
  <c r="K1410" i="9"/>
  <c r="L1408" i="9"/>
  <c r="K1408" i="9"/>
  <c r="L1407" i="9"/>
  <c r="K1407" i="9"/>
  <c r="L1406" i="9"/>
  <c r="K1406" i="9"/>
  <c r="L1405" i="9"/>
  <c r="K1405" i="9"/>
  <c r="L1404" i="9"/>
  <c r="K1404" i="9"/>
  <c r="L1403" i="9"/>
  <c r="K1403" i="9"/>
  <c r="L1402" i="9"/>
  <c r="K1402" i="9"/>
  <c r="L1401" i="9"/>
  <c r="K1401" i="9"/>
  <c r="L1400" i="9"/>
  <c r="K1400" i="9"/>
  <c r="L1398" i="9"/>
  <c r="K1398" i="9"/>
  <c r="L1440" i="9"/>
  <c r="K1440" i="9"/>
  <c r="L1439" i="9"/>
  <c r="K1439" i="9"/>
  <c r="L1437" i="9"/>
  <c r="K1437" i="9"/>
  <c r="L1432" i="9"/>
  <c r="K1432" i="9"/>
  <c r="L1431" i="9"/>
  <c r="K1431" i="9"/>
  <c r="L1430" i="9"/>
  <c r="K1430" i="9"/>
  <c r="L1429" i="9"/>
  <c r="K1429" i="9"/>
  <c r="L1428" i="9"/>
  <c r="K1428" i="9"/>
  <c r="L1427" i="9"/>
  <c r="K1427" i="9"/>
  <c r="L1426" i="9"/>
  <c r="K1426" i="9"/>
  <c r="L1424" i="9"/>
  <c r="K1424" i="9"/>
  <c r="L1423" i="9"/>
  <c r="K1423" i="9"/>
  <c r="O2431" i="9"/>
  <c r="P2431" i="9" s="1"/>
  <c r="O2430" i="9"/>
  <c r="P2430" i="9" s="1"/>
  <c r="O2429" i="9"/>
  <c r="P2429" i="9" s="1"/>
  <c r="O2428" i="9"/>
  <c r="P2428" i="9"/>
  <c r="O2427" i="9"/>
  <c r="P2427" i="9" s="1"/>
  <c r="O2426" i="9"/>
  <c r="P2426" i="9" s="1"/>
  <c r="O2425" i="9"/>
  <c r="P2425" i="9" s="1"/>
  <c r="O2424" i="9"/>
  <c r="P2424" i="9"/>
  <c r="O2423" i="9"/>
  <c r="P2423" i="9" s="1"/>
  <c r="O2422" i="9"/>
  <c r="P2422" i="9"/>
  <c r="O2421" i="9"/>
  <c r="P2421" i="9" s="1"/>
  <c r="O2420" i="9"/>
  <c r="P2420" i="9"/>
  <c r="O2419" i="9"/>
  <c r="P2419" i="9" s="1"/>
  <c r="O2418" i="9"/>
  <c r="P2418" i="9" s="1"/>
  <c r="O2417" i="9"/>
  <c r="P2417" i="9" s="1"/>
  <c r="O2416" i="9"/>
  <c r="P2416" i="9" s="1"/>
  <c r="O2415" i="9"/>
  <c r="P2415" i="9" s="1"/>
  <c r="O2414" i="9"/>
  <c r="P2414" i="9"/>
  <c r="O2413" i="9"/>
  <c r="P2413" i="9" s="1"/>
  <c r="O2412" i="9"/>
  <c r="P2412" i="9"/>
  <c r="O2411" i="9"/>
  <c r="P2411" i="9" s="1"/>
  <c r="O2410" i="9"/>
  <c r="P2410" i="9" s="1"/>
  <c r="O2409" i="9"/>
  <c r="P2409" i="9" s="1"/>
  <c r="O2408" i="9"/>
  <c r="P2408" i="9" s="1"/>
  <c r="O2407" i="9"/>
  <c r="P2407" i="9" s="1"/>
  <c r="O2406" i="9"/>
  <c r="P2406" i="9"/>
  <c r="O2405" i="9"/>
  <c r="P2405" i="9" s="1"/>
  <c r="O2404" i="9"/>
  <c r="P2404" i="9"/>
  <c r="O2403" i="9"/>
  <c r="P2403" i="9" s="1"/>
  <c r="O2402" i="9"/>
  <c r="P2402" i="9" s="1"/>
  <c r="O2401" i="9"/>
  <c r="P2401" i="9" s="1"/>
  <c r="O2400" i="9"/>
  <c r="P2400" i="9"/>
  <c r="O2399" i="9"/>
  <c r="P2399" i="9" s="1"/>
  <c r="O2398" i="9"/>
  <c r="P2398" i="9"/>
  <c r="O2397" i="9"/>
  <c r="P2397" i="9" s="1"/>
  <c r="O2396" i="9"/>
  <c r="P2396" i="9" s="1"/>
  <c r="O2392" i="9"/>
  <c r="P2392" i="9"/>
  <c r="O2391" i="9"/>
  <c r="P2391" i="9" s="1"/>
  <c r="O2390" i="9"/>
  <c r="P2390" i="9"/>
  <c r="O2389" i="9"/>
  <c r="P2389" i="9" s="1"/>
  <c r="O2388" i="9"/>
  <c r="P2388" i="9" s="1"/>
  <c r="O2387" i="9"/>
  <c r="P2387" i="9" s="1"/>
  <c r="O2386" i="9"/>
  <c r="P2386" i="9"/>
  <c r="O2385" i="9"/>
  <c r="P2385" i="9" s="1"/>
  <c r="O2384" i="9"/>
  <c r="P2384" i="9"/>
  <c r="O2383" i="9"/>
  <c r="P2383" i="9" s="1"/>
  <c r="O2382" i="9"/>
  <c r="P2382" i="9"/>
  <c r="O2381" i="9"/>
  <c r="P2381" i="9" s="1"/>
  <c r="O2380" i="9"/>
  <c r="P2380" i="9" s="1"/>
  <c r="O2379" i="9"/>
  <c r="P2379" i="9" s="1"/>
  <c r="O2378" i="9"/>
  <c r="P2378" i="9" s="1"/>
  <c r="O2377" i="9"/>
  <c r="P2377" i="9" s="1"/>
  <c r="O2376" i="9"/>
  <c r="P2376" i="9"/>
  <c r="O2375" i="9"/>
  <c r="P2375" i="9" s="1"/>
  <c r="O2374" i="9"/>
  <c r="P2374" i="9"/>
  <c r="O2373" i="9"/>
  <c r="P2373" i="9" s="1"/>
  <c r="O2372" i="9"/>
  <c r="P2372" i="9" s="1"/>
  <c r="O2371" i="9"/>
  <c r="P2371" i="9" s="1"/>
  <c r="O2367" i="9"/>
  <c r="P2367" i="9" s="1"/>
  <c r="O2366" i="9"/>
  <c r="P2366" i="9" s="1"/>
  <c r="O2365" i="9"/>
  <c r="P2365" i="9" s="1"/>
  <c r="O2364" i="9"/>
  <c r="P2364" i="9"/>
  <c r="O2363" i="9"/>
  <c r="P2363" i="9" s="1"/>
  <c r="O2362" i="9"/>
  <c r="P2362" i="9"/>
  <c r="O2361" i="9"/>
  <c r="P2361" i="9" s="1"/>
  <c r="O2360" i="9"/>
  <c r="P2360" i="9"/>
  <c r="O2359" i="9"/>
  <c r="P2359" i="9" s="1"/>
  <c r="O2358" i="9"/>
  <c r="P2358" i="9" s="1"/>
  <c r="O2357" i="9"/>
  <c r="P2357" i="9" s="1"/>
  <c r="O2356" i="9"/>
  <c r="P2356" i="9"/>
  <c r="O2355" i="9"/>
  <c r="P2355" i="9" s="1"/>
  <c r="O2354" i="9"/>
  <c r="P2354" i="9"/>
  <c r="O2353" i="9"/>
  <c r="P2353" i="9" s="1"/>
  <c r="O2352" i="9"/>
  <c r="P2352" i="9"/>
  <c r="O2351" i="9"/>
  <c r="P2351" i="9" s="1"/>
  <c r="O2350" i="9"/>
  <c r="P2350" i="9" s="1"/>
  <c r="O2349" i="9"/>
  <c r="P2349" i="9" s="1"/>
  <c r="O2348" i="9"/>
  <c r="P2348" i="9" s="1"/>
  <c r="O2347" i="9"/>
  <c r="P2347" i="9" s="1"/>
  <c r="O2346" i="9"/>
  <c r="P2346" i="9"/>
  <c r="O2345" i="9"/>
  <c r="P2345" i="9" s="1"/>
  <c r="O2344" i="9"/>
  <c r="P2344" i="9"/>
  <c r="O2343" i="9"/>
  <c r="P2343" i="9" s="1"/>
  <c r="O2342" i="9"/>
  <c r="P2342" i="9" s="1"/>
  <c r="O2341" i="9"/>
  <c r="P2341" i="9" s="1"/>
  <c r="O2340" i="9"/>
  <c r="P2340" i="9" s="1"/>
  <c r="O2339" i="9"/>
  <c r="P2339" i="9" s="1"/>
  <c r="O2338" i="9"/>
  <c r="P2338" i="9"/>
  <c r="O2337" i="9"/>
  <c r="P2337" i="9" s="1"/>
  <c r="O2336" i="9"/>
  <c r="P2336" i="9" s="1"/>
  <c r="O2332" i="9"/>
  <c r="P2332" i="9" s="1"/>
  <c r="O2331" i="9"/>
  <c r="P2331" i="9" s="1"/>
  <c r="O2330" i="9"/>
  <c r="P2330" i="9" s="1"/>
  <c r="O2329" i="9"/>
  <c r="P2329" i="9" s="1"/>
  <c r="O2328" i="9"/>
  <c r="P2328" i="9" s="1"/>
  <c r="O2327" i="9"/>
  <c r="P2327" i="9" s="1"/>
  <c r="O2326" i="9"/>
  <c r="P2326" i="9" s="1"/>
  <c r="O2325" i="9"/>
  <c r="P2325" i="9" s="1"/>
  <c r="O2324" i="9"/>
  <c r="P2324" i="9" s="1"/>
  <c r="O2323" i="9"/>
  <c r="P2323" i="9" s="1"/>
  <c r="O2322" i="9"/>
  <c r="P2322" i="9" s="1"/>
  <c r="O2321" i="9"/>
  <c r="P2321" i="9" s="1"/>
  <c r="O2320" i="9"/>
  <c r="P2320" i="9" s="1"/>
  <c r="O2319" i="9"/>
  <c r="P2319" i="9" s="1"/>
  <c r="O2318" i="9"/>
  <c r="P2318" i="9" s="1"/>
  <c r="O2317" i="9"/>
  <c r="P2317" i="9" s="1"/>
  <c r="O2316" i="9"/>
  <c r="P2316" i="9" s="1"/>
  <c r="O2315" i="9"/>
  <c r="P2315" i="9" s="1"/>
  <c r="O2314" i="9"/>
  <c r="P2314" i="9" s="1"/>
  <c r="O2313" i="9"/>
  <c r="P2313" i="9" s="1"/>
  <c r="O2312" i="9"/>
  <c r="P2312" i="9" s="1"/>
  <c r="O2311" i="9"/>
  <c r="P2311" i="9" s="1"/>
  <c r="O2310" i="9"/>
  <c r="P2310" i="9" s="1"/>
  <c r="O2309" i="9"/>
  <c r="P2309" i="9" s="1"/>
  <c r="O2308" i="9"/>
  <c r="P2308" i="9" s="1"/>
  <c r="O2307" i="9"/>
  <c r="P2307" i="9" s="1"/>
  <c r="O2306" i="9"/>
  <c r="P2306" i="9" s="1"/>
  <c r="O2305" i="9"/>
  <c r="P2305" i="9" s="1"/>
  <c r="O2304" i="9"/>
  <c r="P2304" i="9" s="1"/>
  <c r="O2303" i="9"/>
  <c r="P2303" i="9" s="1"/>
  <c r="O2302" i="9"/>
  <c r="P2302" i="9" s="1"/>
  <c r="O2301" i="9"/>
  <c r="P2301" i="9" s="1"/>
  <c r="O2300" i="9"/>
  <c r="P2300" i="9" s="1"/>
  <c r="O2299" i="9"/>
  <c r="P2299" i="9" s="1"/>
  <c r="O2298" i="9"/>
  <c r="P2298" i="9" s="1"/>
  <c r="O2297" i="9"/>
  <c r="P2297" i="9" s="1"/>
  <c r="O2296" i="9"/>
  <c r="P2296" i="9" s="1"/>
  <c r="O2295" i="9"/>
  <c r="P2295" i="9" s="1"/>
  <c r="O2294" i="9"/>
  <c r="P2294" i="9" s="1"/>
  <c r="O2293" i="9"/>
  <c r="P2293" i="9" s="1"/>
  <c r="O2292" i="9"/>
  <c r="P2292" i="9" s="1"/>
  <c r="O2291" i="9"/>
  <c r="P2291" i="9" s="1"/>
  <c r="O2290" i="9"/>
  <c r="P2290" i="9" s="1"/>
  <c r="O2289" i="9"/>
  <c r="P2289" i="9" s="1"/>
  <c r="O2288" i="9"/>
  <c r="P2288" i="9" s="1"/>
  <c r="O2271" i="9"/>
  <c r="P2271" i="9" s="1"/>
  <c r="O2270" i="9"/>
  <c r="P2270" i="9" s="1"/>
  <c r="O2269" i="9"/>
  <c r="P2269" i="9" s="1"/>
  <c r="O2268" i="9"/>
  <c r="P2268" i="9" s="1"/>
  <c r="O2267" i="9"/>
  <c r="P2267" i="9" s="1"/>
  <c r="O2266" i="9"/>
  <c r="P2266" i="9" s="1"/>
  <c r="O2265" i="9"/>
  <c r="P2265" i="9" s="1"/>
  <c r="O2264" i="9"/>
  <c r="P2264" i="9" s="1"/>
  <c r="O2263" i="9"/>
  <c r="P2263" i="9" s="1"/>
  <c r="O2262" i="9"/>
  <c r="P2262" i="9" s="1"/>
  <c r="O2261" i="9"/>
  <c r="P2261" i="9" s="1"/>
  <c r="O2260" i="9"/>
  <c r="P2260" i="9" s="1"/>
  <c r="O2259" i="9"/>
  <c r="P2259" i="9" s="1"/>
  <c r="O2258" i="9"/>
  <c r="P2258" i="9" s="1"/>
  <c r="O2257" i="9"/>
  <c r="P2257" i="9" s="1"/>
  <c r="O2256" i="9"/>
  <c r="P2256" i="9" s="1"/>
  <c r="O2255" i="9"/>
  <c r="P2255" i="9" s="1"/>
  <c r="O2254" i="9"/>
  <c r="P2254" i="9" s="1"/>
  <c r="O2253" i="9"/>
  <c r="P2253" i="9" s="1"/>
  <c r="O2252" i="9"/>
  <c r="P2252" i="9" s="1"/>
  <c r="O2251" i="9"/>
  <c r="P2251" i="9" s="1"/>
  <c r="O2250" i="9"/>
  <c r="P2250" i="9" s="1"/>
  <c r="O2249" i="9"/>
  <c r="P2249" i="9" s="1"/>
  <c r="O2248" i="9"/>
  <c r="P2248" i="9" s="1"/>
  <c r="O2247" i="9"/>
  <c r="P2247" i="9" s="1"/>
  <c r="O2243" i="9"/>
  <c r="P2243" i="9" s="1"/>
  <c r="O2242" i="9"/>
  <c r="P2242" i="9" s="1"/>
  <c r="O2241" i="9"/>
  <c r="P2241" i="9"/>
  <c r="O2240" i="9"/>
  <c r="P2240" i="9" s="1"/>
  <c r="O2239" i="9"/>
  <c r="P2239" i="9"/>
  <c r="O2238" i="9"/>
  <c r="P2238" i="9" s="1"/>
  <c r="O2237" i="9"/>
  <c r="P2237" i="9"/>
  <c r="O2236" i="9"/>
  <c r="P2236" i="9" s="1"/>
  <c r="O2235" i="9"/>
  <c r="P2235" i="9" s="1"/>
  <c r="O2234" i="9"/>
  <c r="P2234" i="9" s="1"/>
  <c r="O2233" i="9"/>
  <c r="P2233" i="9"/>
  <c r="O2232" i="9"/>
  <c r="P2232" i="9" s="1"/>
  <c r="O2231" i="9"/>
  <c r="P2231" i="9"/>
  <c r="O2230" i="9"/>
  <c r="P2230" i="9" s="1"/>
  <c r="O2229" i="9"/>
  <c r="P2229" i="9"/>
  <c r="O2228" i="9"/>
  <c r="P2228" i="9" s="1"/>
  <c r="O2227" i="9"/>
  <c r="P2227" i="9" s="1"/>
  <c r="O2226" i="9"/>
  <c r="P2226" i="9" s="1"/>
  <c r="O2225" i="9"/>
  <c r="P2225" i="9" s="1"/>
  <c r="O2224" i="9"/>
  <c r="P2224" i="9" s="1"/>
  <c r="O2223" i="9"/>
  <c r="P2223" i="9"/>
  <c r="O2222" i="9"/>
  <c r="P2222" i="9" s="1"/>
  <c r="O2221" i="9"/>
  <c r="P2221" i="9"/>
  <c r="O2220" i="9"/>
  <c r="P2220" i="9" s="1"/>
  <c r="O2219" i="9"/>
  <c r="P2219" i="9" s="1"/>
  <c r="O2218" i="9"/>
  <c r="P2218" i="9" s="1"/>
  <c r="O2217" i="9"/>
  <c r="P2217" i="9" s="1"/>
  <c r="O2216" i="9"/>
  <c r="P2216" i="9" s="1"/>
  <c r="O2215" i="9"/>
  <c r="P2215" i="9"/>
  <c r="O2211" i="9"/>
  <c r="P2211" i="9" s="1"/>
  <c r="O2210" i="9"/>
  <c r="P2210" i="9" s="1"/>
  <c r="O2209" i="9"/>
  <c r="P2209" i="9" s="1"/>
  <c r="O2208" i="9"/>
  <c r="P2208" i="9" s="1"/>
  <c r="O2207" i="9"/>
  <c r="P2207" i="9" s="1"/>
  <c r="O2206" i="9"/>
  <c r="P2206" i="9" s="1"/>
  <c r="O2205" i="9"/>
  <c r="P2205" i="9" s="1"/>
  <c r="O2204" i="9"/>
  <c r="P2204" i="9" s="1"/>
  <c r="O2203" i="9"/>
  <c r="P2203" i="9" s="1"/>
  <c r="O2202" i="9"/>
  <c r="P2202" i="9" s="1"/>
  <c r="O2201" i="9"/>
  <c r="P2201" i="9" s="1"/>
  <c r="O2200" i="9"/>
  <c r="P2200" i="9" s="1"/>
  <c r="O2199" i="9"/>
  <c r="P2199" i="9" s="1"/>
  <c r="O2198" i="9"/>
  <c r="P2198" i="9" s="1"/>
  <c r="O2197" i="9"/>
  <c r="P2197" i="9" s="1"/>
  <c r="O2196" i="9"/>
  <c r="P2196" i="9" s="1"/>
  <c r="O2195" i="9"/>
  <c r="P2195" i="9" s="1"/>
  <c r="O2194" i="9"/>
  <c r="P2194" i="9" s="1"/>
  <c r="O2193" i="9"/>
  <c r="P2193" i="9" s="1"/>
  <c r="O2192" i="9"/>
  <c r="P2192" i="9" s="1"/>
  <c r="O2191" i="9"/>
  <c r="P2191" i="9" s="1"/>
  <c r="O2190" i="9"/>
  <c r="P2190" i="9" s="1"/>
  <c r="O2189" i="9"/>
  <c r="P2189" i="9" s="1"/>
  <c r="O2188" i="9"/>
  <c r="P2188" i="9" s="1"/>
  <c r="O2187" i="9"/>
  <c r="P2187" i="9" s="1"/>
  <c r="O2186" i="9"/>
  <c r="P2186" i="9" s="1"/>
  <c r="O2185" i="9"/>
  <c r="P2185" i="9" s="1"/>
  <c r="O2184" i="9"/>
  <c r="P2184" i="9" s="1"/>
  <c r="O2183" i="9"/>
  <c r="P2183" i="9" s="1"/>
  <c r="O2182" i="9"/>
  <c r="P2182" i="9" s="1"/>
  <c r="O2181" i="9"/>
  <c r="P2181" i="9" s="1"/>
  <c r="O2180" i="9"/>
  <c r="P2180" i="9" s="1"/>
  <c r="O2176" i="9"/>
  <c r="P2176" i="9" s="1"/>
  <c r="O2175" i="9"/>
  <c r="P2175" i="9" s="1"/>
  <c r="O2174" i="9"/>
  <c r="P2174" i="9" s="1"/>
  <c r="O2173" i="9"/>
  <c r="P2173" i="9" s="1"/>
  <c r="O2172" i="9"/>
  <c r="P2172" i="9" s="1"/>
  <c r="O2171" i="9"/>
  <c r="P2171" i="9" s="1"/>
  <c r="O2170" i="9"/>
  <c r="P2170" i="9" s="1"/>
  <c r="O2169" i="9"/>
  <c r="P2169" i="9" s="1"/>
  <c r="O2168" i="9"/>
  <c r="P2168" i="9" s="1"/>
  <c r="O2167" i="9"/>
  <c r="P2167" i="9" s="1"/>
  <c r="O2166" i="9"/>
  <c r="P2166" i="9" s="1"/>
  <c r="O2165" i="9"/>
  <c r="P2165" i="9" s="1"/>
  <c r="O2164" i="9"/>
  <c r="P2164" i="9" s="1"/>
  <c r="O2163" i="9"/>
  <c r="P2163" i="9" s="1"/>
  <c r="O2162" i="9"/>
  <c r="P2162" i="9" s="1"/>
  <c r="O2161" i="9"/>
  <c r="P2161" i="9" s="1"/>
  <c r="O2160" i="9"/>
  <c r="P2160" i="9" s="1"/>
  <c r="O2159" i="9"/>
  <c r="P2159" i="9" s="1"/>
  <c r="O2158" i="9"/>
  <c r="P2158" i="9" s="1"/>
  <c r="O2157" i="9"/>
  <c r="P2157" i="9" s="1"/>
  <c r="O2156" i="9"/>
  <c r="P2156" i="9" s="1"/>
  <c r="O2155" i="9"/>
  <c r="P2155" i="9" s="1"/>
  <c r="O2154" i="9"/>
  <c r="P2154" i="9" s="1"/>
  <c r="O2153" i="9"/>
  <c r="P2153" i="9" s="1"/>
  <c r="O2152" i="9"/>
  <c r="P2152" i="9" s="1"/>
  <c r="O2151" i="9"/>
  <c r="P2151" i="9" s="1"/>
  <c r="O2150" i="9"/>
  <c r="P2150" i="9" s="1"/>
  <c r="O2149" i="9"/>
  <c r="P2149" i="9" s="1"/>
  <c r="O2148" i="9"/>
  <c r="P2148" i="9" s="1"/>
  <c r="O2147" i="9"/>
  <c r="P2147" i="9" s="1"/>
  <c r="O2146" i="9"/>
  <c r="P2146" i="9" s="1"/>
  <c r="P2143" i="9" s="1"/>
  <c r="O2145" i="9"/>
  <c r="P2145" i="9" s="1"/>
  <c r="O2140" i="9"/>
  <c r="P2140" i="9" s="1"/>
  <c r="O2139" i="9"/>
  <c r="P2139" i="9" s="1"/>
  <c r="O2138" i="9"/>
  <c r="P2138" i="9" s="1"/>
  <c r="O2137" i="9"/>
  <c r="P2137" i="9" s="1"/>
  <c r="O2136" i="9"/>
  <c r="P2136" i="9" s="1"/>
  <c r="O2135" i="9"/>
  <c r="P2135" i="9" s="1"/>
  <c r="O2134" i="9"/>
  <c r="P2134" i="9" s="1"/>
  <c r="O2133" i="9"/>
  <c r="P2133" i="9" s="1"/>
  <c r="O2132" i="9"/>
  <c r="P2132" i="9" s="1"/>
  <c r="O2131" i="9"/>
  <c r="P2131" i="9" s="1"/>
  <c r="O2130" i="9"/>
  <c r="P2130" i="9" s="1"/>
  <c r="O2129" i="9"/>
  <c r="P2129" i="9" s="1"/>
  <c r="O2128" i="9"/>
  <c r="P2128" i="9" s="1"/>
  <c r="O2127" i="9"/>
  <c r="P2127" i="9" s="1"/>
  <c r="O2126" i="9"/>
  <c r="P2126" i="9" s="1"/>
  <c r="O2125" i="9"/>
  <c r="P2125" i="9" s="1"/>
  <c r="O2124" i="9"/>
  <c r="P2124" i="9" s="1"/>
  <c r="O2123" i="9"/>
  <c r="P2123" i="9" s="1"/>
  <c r="O2122" i="9"/>
  <c r="P2122" i="9" s="1"/>
  <c r="O2121" i="9"/>
  <c r="P2121" i="9" s="1"/>
  <c r="O2120" i="9"/>
  <c r="P2120" i="9" s="1"/>
  <c r="O2119" i="9"/>
  <c r="P2119" i="9" s="1"/>
  <c r="O2118" i="9"/>
  <c r="P2118" i="9" s="1"/>
  <c r="O2117" i="9"/>
  <c r="P2117" i="9" s="1"/>
  <c r="O2116" i="9"/>
  <c r="P2116" i="9" s="1"/>
  <c r="O2115" i="9"/>
  <c r="P2115" i="9" s="1"/>
  <c r="O2114" i="9"/>
  <c r="P2114" i="9" s="1"/>
  <c r="O2113" i="9"/>
  <c r="P2113" i="9" s="1"/>
  <c r="O2112" i="9"/>
  <c r="P2112" i="9" s="1"/>
  <c r="O2111" i="9"/>
  <c r="P2111" i="9" s="1"/>
  <c r="O2110" i="9"/>
  <c r="P2110" i="9" s="1"/>
  <c r="O2109" i="9"/>
  <c r="P2109" i="9"/>
  <c r="O2105" i="9"/>
  <c r="P2105" i="9"/>
  <c r="O2104" i="9"/>
  <c r="P2104" i="9" s="1"/>
  <c r="O2103" i="9"/>
  <c r="P2103" i="9"/>
  <c r="O2102" i="9"/>
  <c r="P2102" i="9" s="1"/>
  <c r="O2101" i="9"/>
  <c r="P2101" i="9"/>
  <c r="O2100" i="9"/>
  <c r="P2100" i="9" s="1"/>
  <c r="O2099" i="9"/>
  <c r="P2099" i="9" s="1"/>
  <c r="O2098" i="9"/>
  <c r="P2098" i="9" s="1"/>
  <c r="O2097" i="9"/>
  <c r="P2097" i="9"/>
  <c r="O2096" i="9"/>
  <c r="P2096" i="9" s="1"/>
  <c r="O2095" i="9"/>
  <c r="P2095" i="9"/>
  <c r="O2094" i="9"/>
  <c r="P2094" i="9" s="1"/>
  <c r="O2093" i="9"/>
  <c r="P2093" i="9"/>
  <c r="O2092" i="9"/>
  <c r="P2092" i="9" s="1"/>
  <c r="O2091" i="9"/>
  <c r="P2091" i="9" s="1"/>
  <c r="O2090" i="9"/>
  <c r="P2090" i="9" s="1"/>
  <c r="O2089" i="9"/>
  <c r="P2089" i="9" s="1"/>
  <c r="O2088" i="9"/>
  <c r="P2088" i="9" s="1"/>
  <c r="O2087" i="9"/>
  <c r="P2087" i="9"/>
  <c r="O2086" i="9"/>
  <c r="P2086" i="9" s="1"/>
  <c r="O2085" i="9"/>
  <c r="P2085" i="9"/>
  <c r="O2084" i="9"/>
  <c r="P2084" i="9" s="1"/>
  <c r="O2083" i="9"/>
  <c r="P2083" i="9" s="1"/>
  <c r="O2082" i="9"/>
  <c r="P2082" i="9" s="1"/>
  <c r="O2081" i="9"/>
  <c r="P2081" i="9" s="1"/>
  <c r="O2080" i="9"/>
  <c r="P2080" i="9" s="1"/>
  <c r="O2079" i="9"/>
  <c r="P2079" i="9"/>
  <c r="O2078" i="9"/>
  <c r="P2078" i="9" s="1"/>
  <c r="O2077" i="9"/>
  <c r="P2077" i="9"/>
  <c r="O2076" i="9"/>
  <c r="P2076" i="9" s="1"/>
  <c r="O2075" i="9"/>
  <c r="P2075" i="9" s="1"/>
  <c r="O2074" i="9"/>
  <c r="P2074" i="9" s="1"/>
  <c r="O2073" i="9"/>
  <c r="P2073" i="9"/>
  <c r="O2072" i="9"/>
  <c r="P2072" i="9" s="1"/>
  <c r="O2071" i="9"/>
  <c r="P2071" i="9"/>
  <c r="O2070" i="9"/>
  <c r="P2070" i="9" s="1"/>
  <c r="O2066" i="9"/>
  <c r="P2066" i="9"/>
  <c r="O2065" i="9"/>
  <c r="P2065" i="9" s="1"/>
  <c r="O2064" i="9"/>
  <c r="P2064" i="9"/>
  <c r="O2063" i="9"/>
  <c r="P2063" i="9" s="1"/>
  <c r="O2062" i="9"/>
  <c r="P2062" i="9" s="1"/>
  <c r="O2061" i="9"/>
  <c r="P2061" i="9" s="1"/>
  <c r="O2060" i="9"/>
  <c r="P2060" i="9" s="1"/>
  <c r="O2059" i="9"/>
  <c r="P2059" i="9" s="1"/>
  <c r="O2058" i="9"/>
  <c r="P2058" i="9"/>
  <c r="O2057" i="9"/>
  <c r="P2057" i="9" s="1"/>
  <c r="O2056" i="9"/>
  <c r="P2056" i="9"/>
  <c r="O2055" i="9"/>
  <c r="P2055" i="9" s="1"/>
  <c r="O2054" i="9"/>
  <c r="P2054" i="9" s="1"/>
  <c r="O2053" i="9"/>
  <c r="P2053" i="9" s="1"/>
  <c r="O2052" i="9"/>
  <c r="P2052" i="9" s="1"/>
  <c r="O2051" i="9"/>
  <c r="P2051" i="9" s="1"/>
  <c r="O2050" i="9"/>
  <c r="P2050" i="9"/>
  <c r="O2049" i="9"/>
  <c r="P2049" i="9" s="1"/>
  <c r="O2048" i="9"/>
  <c r="P2048" i="9"/>
  <c r="O2047" i="9"/>
  <c r="P2047" i="9" s="1"/>
  <c r="O2046" i="9"/>
  <c r="P2046" i="9" s="1"/>
  <c r="O2045" i="9"/>
  <c r="P2045" i="9" s="1"/>
  <c r="O2044" i="9"/>
  <c r="P2044" i="9"/>
  <c r="O2043" i="9"/>
  <c r="P2043" i="9" s="1"/>
  <c r="O2042" i="9"/>
  <c r="P2042" i="9"/>
  <c r="O2041" i="9"/>
  <c r="P2041" i="9" s="1"/>
  <c r="O2040" i="9"/>
  <c r="P2040" i="9"/>
  <c r="O2039" i="9"/>
  <c r="P2039" i="9" s="1"/>
  <c r="O2038" i="9"/>
  <c r="P2038" i="9" s="1"/>
  <c r="O2037" i="9"/>
  <c r="P2037" i="9" s="1"/>
  <c r="O2036" i="9"/>
  <c r="P2036" i="9"/>
  <c r="O2035" i="9"/>
  <c r="P2035" i="9" s="1"/>
  <c r="O2034" i="9"/>
  <c r="P2034" i="9"/>
  <c r="O2033" i="9"/>
  <c r="P2033" i="9" s="1"/>
  <c r="O2032" i="9"/>
  <c r="P2032" i="9"/>
  <c r="O2031" i="9"/>
  <c r="P2031" i="9" s="1"/>
  <c r="O2030" i="9"/>
  <c r="P2030" i="9" s="1"/>
  <c r="O2029" i="9"/>
  <c r="P2029" i="9" s="1"/>
  <c r="O2028" i="9"/>
  <c r="P2028" i="9" s="1"/>
  <c r="O2027" i="9"/>
  <c r="P2027" i="9" s="1"/>
  <c r="O2026" i="9"/>
  <c r="P2026" i="9"/>
  <c r="O2025" i="9"/>
  <c r="P2025" i="9" s="1"/>
  <c r="O2024" i="9"/>
  <c r="P2024" i="9"/>
  <c r="O2023" i="9"/>
  <c r="P2023" i="9" s="1"/>
  <c r="O2017" i="9"/>
  <c r="P2017" i="9" s="1"/>
  <c r="O2016" i="9"/>
  <c r="P2016" i="9" s="1"/>
  <c r="O2012" i="9"/>
  <c r="P2012" i="9" s="1"/>
  <c r="O2011" i="9"/>
  <c r="P2011" i="9" s="1"/>
  <c r="O2010" i="9"/>
  <c r="P2010" i="9"/>
  <c r="O2009" i="9"/>
  <c r="P2009" i="9" s="1"/>
  <c r="O2008" i="9"/>
  <c r="P2008" i="9" s="1"/>
  <c r="O2004" i="9"/>
  <c r="P2004" i="9" s="1"/>
  <c r="O2003" i="9"/>
  <c r="P2003" i="9" s="1"/>
  <c r="O2002" i="9"/>
  <c r="P2002" i="9" s="1"/>
  <c r="O1998" i="9"/>
  <c r="P1998" i="9" s="1"/>
  <c r="O1997" i="9"/>
  <c r="P1997" i="9"/>
  <c r="O1996" i="9"/>
  <c r="P1996" i="9" s="1"/>
  <c r="O1992" i="9"/>
  <c r="P1992" i="9" s="1"/>
  <c r="O1991" i="9"/>
  <c r="P1991" i="9"/>
  <c r="O1990" i="9"/>
  <c r="P1990" i="9" s="1"/>
  <c r="O1989" i="9"/>
  <c r="P1989" i="9"/>
  <c r="O1988" i="9"/>
  <c r="P1988" i="9" s="1"/>
  <c r="O1987" i="9"/>
  <c r="P1987" i="9" s="1"/>
  <c r="O1983" i="9"/>
  <c r="P1983" i="9" s="1"/>
  <c r="O1982" i="9"/>
  <c r="P1982" i="9"/>
  <c r="O1981" i="9"/>
  <c r="P1981" i="9" s="1"/>
  <c r="O1980" i="9"/>
  <c r="P1980" i="9"/>
  <c r="O1979" i="9"/>
  <c r="P1979" i="9" s="1"/>
  <c r="O1978" i="9"/>
  <c r="P1978" i="9" s="1"/>
  <c r="O1977" i="9"/>
  <c r="P1977" i="9" s="1"/>
  <c r="O1976" i="9"/>
  <c r="P1976" i="9"/>
  <c r="O1975" i="9"/>
  <c r="P1975" i="9" s="1"/>
  <c r="O1974" i="9"/>
  <c r="P1974" i="9"/>
  <c r="O1973" i="9"/>
  <c r="P1973" i="9" s="1"/>
  <c r="O1972" i="9"/>
  <c r="P1972" i="9"/>
  <c r="O1971" i="9"/>
  <c r="P1971" i="9" s="1"/>
  <c r="O1970" i="9"/>
  <c r="P1970" i="9" s="1"/>
  <c r="O1969" i="9"/>
  <c r="P1969" i="9" s="1"/>
  <c r="O1968" i="9"/>
  <c r="P1968" i="9"/>
  <c r="O1967" i="9"/>
  <c r="P1967" i="9" s="1"/>
  <c r="O1966" i="9"/>
  <c r="P1966" i="9"/>
  <c r="O1965" i="9"/>
  <c r="P1965" i="9" s="1"/>
  <c r="O1962" i="9"/>
  <c r="P1962" i="9" s="1"/>
  <c r="O1956" i="9"/>
  <c r="O1952" i="9"/>
  <c r="P1952" i="9" s="1"/>
  <c r="O1951" i="9"/>
  <c r="P1951" i="9" s="1"/>
  <c r="O1950" i="9"/>
  <c r="P1950" i="9" s="1"/>
  <c r="O1949" i="9"/>
  <c r="P1949" i="9" s="1"/>
  <c r="O1948" i="9"/>
  <c r="P1948" i="9" s="1"/>
  <c r="O1947" i="9"/>
  <c r="P1947" i="9"/>
  <c r="O1946" i="9"/>
  <c r="P1946" i="9" s="1"/>
  <c r="O1945" i="9"/>
  <c r="P1945" i="9"/>
  <c r="O1944" i="9"/>
  <c r="P1944" i="9" s="1"/>
  <c r="O1943" i="9"/>
  <c r="P1943" i="9" s="1"/>
  <c r="O1942" i="9"/>
  <c r="P1942" i="9" s="1"/>
  <c r="O1941" i="9"/>
  <c r="P1941" i="9" s="1"/>
  <c r="O1940" i="9"/>
  <c r="P1940" i="9" s="1"/>
  <c r="O1939" i="9"/>
  <c r="P1939" i="9"/>
  <c r="O1938" i="9"/>
  <c r="P1938" i="9" s="1"/>
  <c r="O1937" i="9"/>
  <c r="P1937" i="9"/>
  <c r="O1936" i="9"/>
  <c r="P1936" i="9" s="1"/>
  <c r="O1935" i="9"/>
  <c r="P1935" i="9" s="1"/>
  <c r="O1934" i="9"/>
  <c r="P1934" i="9"/>
  <c r="O1930" i="9"/>
  <c r="P1930" i="9" s="1"/>
  <c r="O1929" i="9"/>
  <c r="P1929" i="9" s="1"/>
  <c r="O1928" i="9"/>
  <c r="P1928" i="9" s="1"/>
  <c r="O1927" i="9"/>
  <c r="P1927" i="9" s="1"/>
  <c r="O1926" i="9"/>
  <c r="P1926" i="9" s="1"/>
  <c r="O1925" i="9"/>
  <c r="P1925" i="9" s="1"/>
  <c r="O1924" i="9"/>
  <c r="P1924" i="9" s="1"/>
  <c r="O1923" i="9"/>
  <c r="P1923" i="9" s="1"/>
  <c r="O1922" i="9"/>
  <c r="P1922" i="9" s="1"/>
  <c r="O1921" i="9"/>
  <c r="P1921" i="9" s="1"/>
  <c r="O1920" i="9"/>
  <c r="P1920" i="9" s="1"/>
  <c r="O1919" i="9"/>
  <c r="P1919" i="9" s="1"/>
  <c r="O1918" i="9"/>
  <c r="P1918" i="9" s="1"/>
  <c r="O1917" i="9"/>
  <c r="P1917" i="9" s="1"/>
  <c r="O1916" i="9"/>
  <c r="P1916" i="9" s="1"/>
  <c r="O1915" i="9"/>
  <c r="P1915" i="9" s="1"/>
  <c r="O1914" i="9"/>
  <c r="P1914" i="9" s="1"/>
  <c r="O1913" i="9"/>
  <c r="P1913" i="9" s="1"/>
  <c r="O1912" i="9"/>
  <c r="P1912" i="9" s="1"/>
  <c r="O1911" i="9"/>
  <c r="P1911" i="9" s="1"/>
  <c r="O1910" i="9"/>
  <c r="P1910" i="9" s="1"/>
  <c r="O1909" i="9"/>
  <c r="P1909" i="9" s="1"/>
  <c r="O1908" i="9"/>
  <c r="P1908" i="9" s="1"/>
  <c r="O1907" i="9"/>
  <c r="P1907" i="9" s="1"/>
  <c r="O1906" i="9"/>
  <c r="P1906" i="9" s="1"/>
  <c r="O1905" i="9"/>
  <c r="P1905" i="9" s="1"/>
  <c r="O1904" i="9"/>
  <c r="P1904" i="9" s="1"/>
  <c r="O1903" i="9"/>
  <c r="P1903" i="9" s="1"/>
  <c r="O1902" i="9"/>
  <c r="P1902" i="9" s="1"/>
  <c r="O1901" i="9"/>
  <c r="P1901" i="9" s="1"/>
  <c r="O1900" i="9"/>
  <c r="P1900" i="9" s="1"/>
  <c r="O1899" i="9"/>
  <c r="P1899" i="9"/>
  <c r="O1895" i="9"/>
  <c r="P1895" i="9" s="1"/>
  <c r="O1894" i="9"/>
  <c r="P1894" i="9" s="1"/>
  <c r="O1893" i="9"/>
  <c r="P1893" i="9" s="1"/>
  <c r="O1892" i="9"/>
  <c r="P1892" i="9" s="1"/>
  <c r="O1891" i="9"/>
  <c r="P1891" i="9" s="1"/>
  <c r="O1890" i="9"/>
  <c r="P1890" i="9" s="1"/>
  <c r="O1889" i="9"/>
  <c r="P1889" i="9" s="1"/>
  <c r="O1888" i="9"/>
  <c r="P1888" i="9" s="1"/>
  <c r="O1887" i="9"/>
  <c r="P1887" i="9" s="1"/>
  <c r="O1886" i="9"/>
  <c r="P1886" i="9" s="1"/>
  <c r="O1885" i="9"/>
  <c r="P1885" i="9" s="1"/>
  <c r="O1884" i="9"/>
  <c r="P1884" i="9" s="1"/>
  <c r="O1883" i="9"/>
  <c r="P1883" i="9" s="1"/>
  <c r="O1882" i="9"/>
  <c r="P1882" i="9" s="1"/>
  <c r="O1881" i="9"/>
  <c r="P1881" i="9" s="1"/>
  <c r="O1880" i="9"/>
  <c r="P1880" i="9" s="1"/>
  <c r="O1879" i="9"/>
  <c r="P1879" i="9" s="1"/>
  <c r="O1878" i="9"/>
  <c r="P1878" i="9" s="1"/>
  <c r="O1877" i="9"/>
  <c r="P1877" i="9" s="1"/>
  <c r="O1876" i="9"/>
  <c r="P1876" i="9" s="1"/>
  <c r="O1875" i="9"/>
  <c r="P1875" i="9" s="1"/>
  <c r="O1874" i="9"/>
  <c r="P1874" i="9" s="1"/>
  <c r="O1873" i="9"/>
  <c r="P1873" i="9" s="1"/>
  <c r="O1872" i="9"/>
  <c r="P1872" i="9" s="1"/>
  <c r="O1871" i="9"/>
  <c r="P1871" i="9" s="1"/>
  <c r="O1870" i="9"/>
  <c r="P1870" i="9" s="1"/>
  <c r="O1869" i="9"/>
  <c r="P1869" i="9" s="1"/>
  <c r="O1868" i="9"/>
  <c r="P1868" i="9" s="1"/>
  <c r="O1867" i="9"/>
  <c r="P1867" i="9" s="1"/>
  <c r="O1866" i="9"/>
  <c r="P1866" i="9" s="1"/>
  <c r="O1865" i="9"/>
  <c r="P1865" i="9" s="1"/>
  <c r="O1864" i="9"/>
  <c r="P1864" i="9" s="1"/>
  <c r="O1863" i="9"/>
  <c r="P1863" i="9" s="1"/>
  <c r="O1862" i="9"/>
  <c r="P1862" i="9" s="1"/>
  <c r="O1861" i="9"/>
  <c r="P1861" i="9" s="1"/>
  <c r="O1860" i="9"/>
  <c r="P1860" i="9" s="1"/>
  <c r="O1859" i="9"/>
  <c r="P1859" i="9" s="1"/>
  <c r="O1858" i="9"/>
  <c r="P1858" i="9" s="1"/>
  <c r="O1857" i="9"/>
  <c r="P1857" i="9" s="1"/>
  <c r="O1856" i="9"/>
  <c r="P1856" i="9" s="1"/>
  <c r="O1855" i="9"/>
  <c r="P1855" i="9" s="1"/>
  <c r="O1854" i="9"/>
  <c r="P1854" i="9" s="1"/>
  <c r="O1853" i="9"/>
  <c r="P1853" i="9" s="1"/>
  <c r="O1849" i="9"/>
  <c r="P1849" i="9" s="1"/>
  <c r="O1848" i="9"/>
  <c r="P1848" i="9" s="1"/>
  <c r="O1847" i="9"/>
  <c r="P1847" i="9"/>
  <c r="O1846" i="9"/>
  <c r="P1846" i="9" s="1"/>
  <c r="O1845" i="9"/>
  <c r="P1845" i="9"/>
  <c r="O1844" i="9"/>
  <c r="P1844" i="9" s="1"/>
  <c r="O1843" i="9"/>
  <c r="P1843" i="9"/>
  <c r="O1842" i="9"/>
  <c r="P1842" i="9" s="1"/>
  <c r="O1841" i="9"/>
  <c r="P1841" i="9" s="1"/>
  <c r="O1840" i="9"/>
  <c r="P1840" i="9" s="1"/>
  <c r="O1839" i="9"/>
  <c r="P1839" i="9" s="1"/>
  <c r="O1838" i="9"/>
  <c r="P1838" i="9" s="1"/>
  <c r="O1837" i="9"/>
  <c r="P1837" i="9"/>
  <c r="O1836" i="9"/>
  <c r="P1836" i="9" s="1"/>
  <c r="O1835" i="9"/>
  <c r="P1835" i="9"/>
  <c r="O1834" i="9"/>
  <c r="P1834" i="9" s="1"/>
  <c r="O1830" i="9"/>
  <c r="P1830" i="9" s="1"/>
  <c r="O1829" i="9"/>
  <c r="P1829" i="9" s="1"/>
  <c r="O1828" i="9"/>
  <c r="P1828" i="9" s="1"/>
  <c r="O1827" i="9"/>
  <c r="P1827" i="9" s="1"/>
  <c r="O1826" i="9"/>
  <c r="P1826" i="9"/>
  <c r="O1825" i="9"/>
  <c r="P1825" i="9" s="1"/>
  <c r="O1821" i="9"/>
  <c r="P1821" i="9" s="1"/>
  <c r="O1820" i="9"/>
  <c r="P1820" i="9" s="1"/>
  <c r="O1819" i="9"/>
  <c r="P1819" i="9" s="1"/>
  <c r="O1818" i="9"/>
  <c r="P1818" i="9" s="1"/>
  <c r="O1817" i="9"/>
  <c r="P1817" i="9" s="1"/>
  <c r="O1816" i="9"/>
  <c r="P1816" i="9" s="1"/>
  <c r="O1815" i="9"/>
  <c r="P1815" i="9" s="1"/>
  <c r="O1814" i="9"/>
  <c r="P1814" i="9" s="1"/>
  <c r="O1813" i="9"/>
  <c r="P1813" i="9" s="1"/>
  <c r="O1809" i="9"/>
  <c r="P1809" i="9" s="1"/>
  <c r="O1808" i="9"/>
  <c r="P1808" i="9" s="1"/>
  <c r="O1807" i="9"/>
  <c r="P1807" i="9" s="1"/>
  <c r="O1806" i="9"/>
  <c r="P1806" i="9" s="1"/>
  <c r="O1805" i="9"/>
  <c r="P1805" i="9" s="1"/>
  <c r="O1804" i="9"/>
  <c r="P1804" i="9" s="1"/>
  <c r="O1803" i="9"/>
  <c r="P1803" i="9" s="1"/>
  <c r="O1802" i="9"/>
  <c r="P1802" i="9" s="1"/>
  <c r="O1801" i="9"/>
  <c r="P1801" i="9" s="1"/>
  <c r="O1800" i="9"/>
  <c r="P1800" i="9" s="1"/>
  <c r="O1799" i="9"/>
  <c r="P1799" i="9" s="1"/>
  <c r="O1798" i="9"/>
  <c r="P1798" i="9" s="1"/>
  <c r="O1797" i="9"/>
  <c r="P1797" i="9" s="1"/>
  <c r="O1796" i="9"/>
  <c r="P1796" i="9" s="1"/>
  <c r="O1795" i="9"/>
  <c r="P1795" i="9" s="1"/>
  <c r="O1794" i="9"/>
  <c r="P1794" i="9" s="1"/>
  <c r="O1793" i="9"/>
  <c r="P1793" i="9" s="1"/>
  <c r="O1792" i="9"/>
  <c r="P1792" i="9" s="1"/>
  <c r="O1791" i="9"/>
  <c r="P1791" i="9" s="1"/>
  <c r="O1790" i="9"/>
  <c r="P1790" i="9" s="1"/>
  <c r="O1789" i="9"/>
  <c r="P1789" i="9" s="1"/>
  <c r="O1764" i="9"/>
  <c r="P1764" i="9" s="1"/>
  <c r="O1763" i="9"/>
  <c r="P1763" i="9" s="1"/>
  <c r="O1762" i="9"/>
  <c r="P1762" i="9"/>
  <c r="O1761" i="9"/>
  <c r="P1761" i="9" s="1"/>
  <c r="O1760" i="9"/>
  <c r="P1760" i="9"/>
  <c r="O1759" i="9"/>
  <c r="P1759" i="9" s="1"/>
  <c r="O1758" i="9"/>
  <c r="P1758" i="9" s="1"/>
  <c r="O1757" i="9"/>
  <c r="P1757" i="9" s="1"/>
  <c r="O1756" i="9"/>
  <c r="P1756" i="9" s="1"/>
  <c r="O1754" i="9"/>
  <c r="P1754" i="9" s="1"/>
  <c r="O1753" i="9"/>
  <c r="P1753" i="9"/>
  <c r="O1752" i="9"/>
  <c r="P1752" i="9" s="1"/>
  <c r="O1751" i="9"/>
  <c r="P1751" i="9" s="1"/>
  <c r="O1750" i="9"/>
  <c r="P1750" i="9" s="1"/>
  <c r="O1749" i="9"/>
  <c r="P1749" i="9"/>
  <c r="O1748" i="9"/>
  <c r="P1748" i="9" s="1"/>
  <c r="O1747" i="9"/>
  <c r="P1747" i="9"/>
  <c r="O1746" i="9"/>
  <c r="P1746" i="9" s="1"/>
  <c r="O1745" i="9"/>
  <c r="P1745" i="9"/>
  <c r="O1744" i="9"/>
  <c r="P1744" i="9" s="1"/>
  <c r="O1743" i="9"/>
  <c r="P1743" i="9" s="1"/>
  <c r="O1742" i="9"/>
  <c r="P1742" i="9" s="1"/>
  <c r="O1741" i="9"/>
  <c r="P1741" i="9" s="1"/>
  <c r="O1740" i="9"/>
  <c r="P1740" i="9" s="1"/>
  <c r="O1739" i="9"/>
  <c r="P1739" i="9"/>
  <c r="O1738" i="9"/>
  <c r="P1738" i="9" s="1"/>
  <c r="O1737" i="9"/>
  <c r="P1737" i="9"/>
  <c r="O1736" i="9"/>
  <c r="P1736" i="9" s="1"/>
  <c r="O1734" i="9"/>
  <c r="P1734" i="9" s="1"/>
  <c r="O1733" i="9"/>
  <c r="P1733" i="9" s="1"/>
  <c r="O1732" i="9"/>
  <c r="P1732" i="9" s="1"/>
  <c r="O1731" i="9"/>
  <c r="P1731" i="9" s="1"/>
  <c r="O1730" i="9"/>
  <c r="P1730" i="9" s="1"/>
  <c r="O1729" i="9"/>
  <c r="P1729" i="9" s="1"/>
  <c r="O1728" i="9"/>
  <c r="P1728" i="9" s="1"/>
  <c r="O1727" i="9"/>
  <c r="P1727" i="9" s="1"/>
  <c r="O1726" i="9"/>
  <c r="P1726" i="9" s="1"/>
  <c r="O1725" i="9"/>
  <c r="P1725" i="9" s="1"/>
  <c r="O1724" i="9"/>
  <c r="P1724" i="9" s="1"/>
  <c r="O1723" i="9"/>
  <c r="P1723" i="9" s="1"/>
  <c r="O1722" i="9"/>
  <c r="P1722" i="9" s="1"/>
  <c r="O1721" i="9"/>
  <c r="P1721" i="9" s="1"/>
  <c r="O1720" i="9"/>
  <c r="P1720" i="9" s="1"/>
  <c r="O1719" i="9"/>
  <c r="P1719" i="9" s="1"/>
  <c r="O1718" i="9"/>
  <c r="P1718" i="9" s="1"/>
  <c r="O1717" i="9"/>
  <c r="P1717" i="9" s="1"/>
  <c r="O1715" i="9"/>
  <c r="P1715" i="9" s="1"/>
  <c r="O1713" i="9"/>
  <c r="P1713" i="9" s="1"/>
  <c r="O1712" i="9"/>
  <c r="P1712" i="9" s="1"/>
  <c r="O1711" i="9"/>
  <c r="P1711" i="9" s="1"/>
  <c r="O1710" i="9"/>
  <c r="P1710" i="9" s="1"/>
  <c r="O1709" i="9"/>
  <c r="P1709" i="9"/>
  <c r="O1708" i="9"/>
  <c r="P1708" i="9" s="1"/>
  <c r="O1707" i="9"/>
  <c r="P1707" i="9" s="1"/>
  <c r="O1705" i="9"/>
  <c r="P1705" i="9" s="1"/>
  <c r="O1704" i="9"/>
  <c r="P1704" i="9" s="1"/>
  <c r="O1703" i="9"/>
  <c r="P1703" i="9" s="1"/>
  <c r="O1702" i="9"/>
  <c r="P1702" i="9" s="1"/>
  <c r="O1701" i="9"/>
  <c r="P1701" i="9" s="1"/>
  <c r="O1700" i="9"/>
  <c r="P1700" i="9" s="1"/>
  <c r="O1699" i="9"/>
  <c r="P1699" i="9" s="1"/>
  <c r="O1698" i="9"/>
  <c r="P1698" i="9" s="1"/>
  <c r="O1697" i="9"/>
  <c r="P1697" i="9" s="1"/>
  <c r="O1696" i="9"/>
  <c r="P1696" i="9" s="1"/>
  <c r="O1695" i="9"/>
  <c r="P1695" i="9" s="1"/>
  <c r="O1694" i="9"/>
  <c r="P1694" i="9" s="1"/>
  <c r="O1693" i="9"/>
  <c r="P1693" i="9" s="1"/>
  <c r="O1692" i="9"/>
  <c r="P1692" i="9" s="1"/>
  <c r="O1691" i="9"/>
  <c r="P1691" i="9" s="1"/>
  <c r="O1690" i="9"/>
  <c r="P1690" i="9" s="1"/>
  <c r="O1689" i="9"/>
  <c r="P1689" i="9" s="1"/>
  <c r="O1688" i="9"/>
  <c r="P1688" i="9" s="1"/>
  <c r="O1687" i="9"/>
  <c r="P1687" i="9" s="1"/>
  <c r="O1686" i="9"/>
  <c r="P1686" i="9" s="1"/>
  <c r="O1685" i="9"/>
  <c r="P1685" i="9" s="1"/>
  <c r="O1684" i="9"/>
  <c r="P1684" i="9" s="1"/>
  <c r="O1683" i="9"/>
  <c r="P1683" i="9" s="1"/>
  <c r="O1682" i="9"/>
  <c r="P1682" i="9" s="1"/>
  <c r="O1681" i="9"/>
  <c r="P1681" i="9" s="1"/>
  <c r="O1680" i="9"/>
  <c r="P1680" i="9" s="1"/>
  <c r="O1679" i="9"/>
  <c r="P1679" i="9" s="1"/>
  <c r="O1678" i="9"/>
  <c r="P1678" i="9" s="1"/>
  <c r="O1677" i="9"/>
  <c r="P1677" i="9" s="1"/>
  <c r="O1676" i="9"/>
  <c r="P1676" i="9" s="1"/>
  <c r="O1675" i="9"/>
  <c r="P1675" i="9" s="1"/>
  <c r="O1674" i="9"/>
  <c r="P1674" i="9" s="1"/>
  <c r="O1673" i="9"/>
  <c r="P1673" i="9" s="1"/>
  <c r="O1672" i="9"/>
  <c r="P1672" i="9" s="1"/>
  <c r="O1671" i="9"/>
  <c r="P1671" i="9" s="1"/>
  <c r="O1670" i="9"/>
  <c r="P1670" i="9" s="1"/>
  <c r="O1669" i="9"/>
  <c r="P1669" i="9" s="1"/>
  <c r="O1668" i="9"/>
  <c r="P1668" i="9" s="1"/>
  <c r="O1667" i="9"/>
  <c r="P1667" i="9" s="1"/>
  <c r="O1666" i="9"/>
  <c r="P1666" i="9" s="1"/>
  <c r="O1665" i="9"/>
  <c r="P1665" i="9" s="1"/>
  <c r="O1664" i="9"/>
  <c r="P1664" i="9" s="1"/>
  <c r="O1663" i="9"/>
  <c r="P1663" i="9" s="1"/>
  <c r="O1662" i="9"/>
  <c r="P1662" i="9" s="1"/>
  <c r="O1661" i="9"/>
  <c r="P1661" i="9" s="1"/>
  <c r="O1660" i="9"/>
  <c r="P1660" i="9" s="1"/>
  <c r="O1659" i="9"/>
  <c r="P1659" i="9" s="1"/>
  <c r="O1658" i="9"/>
  <c r="P1658" i="9" s="1"/>
  <c r="O1657" i="9"/>
  <c r="P1657" i="9" s="1"/>
  <c r="O1656" i="9"/>
  <c r="P1656" i="9" s="1"/>
  <c r="O1655" i="9"/>
  <c r="P1655" i="9" s="1"/>
  <c r="O1654" i="9"/>
  <c r="P1654" i="9" s="1"/>
  <c r="O1653" i="9"/>
  <c r="P1653" i="9" s="1"/>
  <c r="O1652" i="9"/>
  <c r="P1652" i="9" s="1"/>
  <c r="O1651" i="9"/>
  <c r="P1651" i="9" s="1"/>
  <c r="O1650" i="9"/>
  <c r="P1650" i="9" s="1"/>
  <c r="O1649" i="9"/>
  <c r="P1649" i="9" s="1"/>
  <c r="O1648" i="9"/>
  <c r="P1648" i="9" s="1"/>
  <c r="O1647" i="9"/>
  <c r="P1647" i="9" s="1"/>
  <c r="O1646" i="9"/>
  <c r="P1646" i="9" s="1"/>
  <c r="O1645" i="9"/>
  <c r="P1645" i="9" s="1"/>
  <c r="O1644" i="9"/>
  <c r="P1644" i="9" s="1"/>
  <c r="O1643" i="9"/>
  <c r="P1643" i="9" s="1"/>
  <c r="O1642" i="9"/>
  <c r="P1642" i="9" s="1"/>
  <c r="O1641" i="9"/>
  <c r="P1641" i="9" s="1"/>
  <c r="O1640" i="9"/>
  <c r="P1640" i="9" s="1"/>
  <c r="O1639" i="9"/>
  <c r="P1639" i="9" s="1"/>
  <c r="O1638" i="9"/>
  <c r="P1638" i="9" s="1"/>
  <c r="O1637" i="9"/>
  <c r="P1637" i="9" s="1"/>
  <c r="O1636" i="9"/>
  <c r="P1636" i="9" s="1"/>
  <c r="O1635" i="9"/>
  <c r="P1635" i="9" s="1"/>
  <c r="O1634" i="9"/>
  <c r="P1634" i="9" s="1"/>
  <c r="O1633" i="9"/>
  <c r="P1633" i="9" s="1"/>
  <c r="O1632" i="9"/>
  <c r="P1632" i="9" s="1"/>
  <c r="O1631" i="9"/>
  <c r="P1631" i="9" s="1"/>
  <c r="O1630" i="9"/>
  <c r="P1630" i="9" s="1"/>
  <c r="O1629" i="9"/>
  <c r="P1629" i="9" s="1"/>
  <c r="O1628" i="9"/>
  <c r="P1628" i="9" s="1"/>
  <c r="O1627" i="9"/>
  <c r="P1627" i="9" s="1"/>
  <c r="O1626" i="9"/>
  <c r="P1626" i="9" s="1"/>
  <c r="O1625" i="9"/>
  <c r="P1625" i="9" s="1"/>
  <c r="O1624" i="9"/>
  <c r="P1624" i="9" s="1"/>
  <c r="O1623" i="9"/>
  <c r="P1623" i="9" s="1"/>
  <c r="O1622" i="9"/>
  <c r="P1622" i="9" s="1"/>
  <c r="O1621" i="9"/>
  <c r="P1621" i="9" s="1"/>
  <c r="O1620" i="9"/>
  <c r="P1620" i="9" s="1"/>
  <c r="O1619" i="9"/>
  <c r="P1619" i="9" s="1"/>
  <c r="O1618" i="9"/>
  <c r="P1618" i="9" s="1"/>
  <c r="O1617" i="9"/>
  <c r="P1617" i="9" s="1"/>
  <c r="O1616" i="9"/>
  <c r="P1616" i="9" s="1"/>
  <c r="O1615" i="9"/>
  <c r="P1615" i="9" s="1"/>
  <c r="O1614" i="9"/>
  <c r="P1614" i="9" s="1"/>
  <c r="O1613" i="9"/>
  <c r="P1613" i="9" s="1"/>
  <c r="O1612" i="9"/>
  <c r="P1612" i="9" s="1"/>
  <c r="O1611" i="9"/>
  <c r="P1611" i="9" s="1"/>
  <c r="O1610" i="9"/>
  <c r="P1610" i="9" s="1"/>
  <c r="O1609" i="9"/>
  <c r="P1609" i="9" s="1"/>
  <c r="O1608" i="9"/>
  <c r="P1608" i="9" s="1"/>
  <c r="O1607" i="9"/>
  <c r="P1607" i="9" s="1"/>
  <c r="O1606" i="9"/>
  <c r="P1606" i="9" s="1"/>
  <c r="O1605" i="9"/>
  <c r="P1605" i="9" s="1"/>
  <c r="O1604" i="9"/>
  <c r="P1604" i="9" s="1"/>
  <c r="O1603" i="9"/>
  <c r="P1603" i="9" s="1"/>
  <c r="O1602" i="9"/>
  <c r="P1602" i="9" s="1"/>
  <c r="O1601" i="9"/>
  <c r="P1601" i="9" s="1"/>
  <c r="O1600" i="9"/>
  <c r="P1600" i="9" s="1"/>
  <c r="O1599" i="9"/>
  <c r="P1599" i="9" s="1"/>
  <c r="O1598" i="9"/>
  <c r="P1598" i="9" s="1"/>
  <c r="O1597" i="9"/>
  <c r="P1597" i="9" s="1"/>
  <c r="O1596" i="9"/>
  <c r="P1596" i="9" s="1"/>
  <c r="O1595" i="9"/>
  <c r="P1595" i="9" s="1"/>
  <c r="O1594" i="9"/>
  <c r="P1594" i="9" s="1"/>
  <c r="O1593" i="9"/>
  <c r="P1593" i="9" s="1"/>
  <c r="O1592" i="9"/>
  <c r="P1592" i="9" s="1"/>
  <c r="O1591" i="9"/>
  <c r="P1591" i="9" s="1"/>
  <c r="O1590" i="9"/>
  <c r="P1590" i="9" s="1"/>
  <c r="O1589" i="9"/>
  <c r="P1589" i="9" s="1"/>
  <c r="O1588" i="9"/>
  <c r="P1588" i="9" s="1"/>
  <c r="O1587" i="9"/>
  <c r="P1587" i="9" s="1"/>
  <c r="O1586" i="9"/>
  <c r="P1586" i="9" s="1"/>
  <c r="O1585" i="9"/>
  <c r="P1585" i="9" s="1"/>
  <c r="O1584" i="9"/>
  <c r="P1584" i="9" s="1"/>
  <c r="O1583" i="9"/>
  <c r="P1583" i="9" s="1"/>
  <c r="O1582" i="9"/>
  <c r="P1582" i="9" s="1"/>
  <c r="O1581" i="9"/>
  <c r="P1581" i="9" s="1"/>
  <c r="O1580" i="9"/>
  <c r="P1580" i="9" s="1"/>
  <c r="O1579" i="9"/>
  <c r="P1579" i="9" s="1"/>
  <c r="O1578" i="9"/>
  <c r="P1578" i="9" s="1"/>
  <c r="O1577" i="9"/>
  <c r="P1577" i="9" s="1"/>
  <c r="O1576" i="9"/>
  <c r="P1576" i="9" s="1"/>
  <c r="O1575" i="9"/>
  <c r="P1575" i="9" s="1"/>
  <c r="O1574" i="9"/>
  <c r="P1574" i="9" s="1"/>
  <c r="O1573" i="9"/>
  <c r="P1573" i="9" s="1"/>
  <c r="O1572" i="9"/>
  <c r="P1572" i="9" s="1"/>
  <c r="O1571" i="9"/>
  <c r="P1571" i="9" s="1"/>
  <c r="O1570" i="9"/>
  <c r="P1570" i="9" s="1"/>
  <c r="O1569" i="9"/>
  <c r="P1569" i="9" s="1"/>
  <c r="O1568" i="9"/>
  <c r="P1568" i="9" s="1"/>
  <c r="O1567" i="9"/>
  <c r="P1567" i="9" s="1"/>
  <c r="O1566" i="9"/>
  <c r="P1566" i="9" s="1"/>
  <c r="O1565" i="9"/>
  <c r="P1565" i="9" s="1"/>
  <c r="O1564" i="9"/>
  <c r="P1564" i="9" s="1"/>
  <c r="O1563" i="9"/>
  <c r="P1563" i="9" s="1"/>
  <c r="O1562" i="9"/>
  <c r="P1562" i="9" s="1"/>
  <c r="O1561" i="9"/>
  <c r="P1561" i="9" s="1"/>
  <c r="O1560" i="9"/>
  <c r="P1560" i="9" s="1"/>
  <c r="O1559" i="9"/>
  <c r="P1559" i="9" s="1"/>
  <c r="O1558" i="9"/>
  <c r="P1558" i="9" s="1"/>
  <c r="O1557" i="9"/>
  <c r="P1557" i="9" s="1"/>
  <c r="O1556" i="9"/>
  <c r="P1556" i="9" s="1"/>
  <c r="O1555" i="9"/>
  <c r="P1555" i="9" s="1"/>
  <c r="O1554" i="9"/>
  <c r="P1554" i="9" s="1"/>
  <c r="O1553" i="9"/>
  <c r="P1553" i="9" s="1"/>
  <c r="O1552" i="9"/>
  <c r="P1552" i="9" s="1"/>
  <c r="O1551" i="9"/>
  <c r="P1551" i="9" s="1"/>
  <c r="O1550" i="9"/>
  <c r="P1550" i="9" s="1"/>
  <c r="O1549" i="9"/>
  <c r="P1549" i="9" s="1"/>
  <c r="O1548" i="9"/>
  <c r="P1548" i="9" s="1"/>
  <c r="O1547" i="9"/>
  <c r="P1547" i="9" s="1"/>
  <c r="O1546" i="9"/>
  <c r="P1546" i="9" s="1"/>
  <c r="O1545" i="9"/>
  <c r="P1545" i="9" s="1"/>
  <c r="O1544" i="9"/>
  <c r="P1544" i="9" s="1"/>
  <c r="O1543" i="9"/>
  <c r="P1543" i="9" s="1"/>
  <c r="O1542" i="9"/>
  <c r="P1542" i="9" s="1"/>
  <c r="O1541" i="9"/>
  <c r="P1541" i="9" s="1"/>
  <c r="O1540" i="9"/>
  <c r="P1540" i="9" s="1"/>
  <c r="O1539" i="9"/>
  <c r="P1539" i="9" s="1"/>
  <c r="O1538" i="9"/>
  <c r="P1538" i="9" s="1"/>
  <c r="O1537" i="9"/>
  <c r="P1537" i="9" s="1"/>
  <c r="O1536" i="9"/>
  <c r="P1536" i="9" s="1"/>
  <c r="O1535" i="9"/>
  <c r="P1535" i="9" s="1"/>
  <c r="O1534" i="9"/>
  <c r="P1534" i="9" s="1"/>
  <c r="O1533" i="9"/>
  <c r="P1533" i="9" s="1"/>
  <c r="O1532" i="9"/>
  <c r="P1532" i="9" s="1"/>
  <c r="O1528" i="9"/>
  <c r="P1528" i="9" s="1"/>
  <c r="O1527" i="9"/>
  <c r="P1527" i="9" s="1"/>
  <c r="O1526" i="9"/>
  <c r="P1526" i="9" s="1"/>
  <c r="O1525" i="9"/>
  <c r="P1525" i="9" s="1"/>
  <c r="O1524" i="9"/>
  <c r="P1524" i="9" s="1"/>
  <c r="O1523" i="9"/>
  <c r="P1523" i="9" s="1"/>
  <c r="O1522" i="9"/>
  <c r="P1522" i="9" s="1"/>
  <c r="O1521" i="9"/>
  <c r="P1521" i="9" s="1"/>
  <c r="O1520" i="9"/>
  <c r="P1520" i="9" s="1"/>
  <c r="O1519" i="9"/>
  <c r="P1519" i="9" s="1"/>
  <c r="O1518" i="9"/>
  <c r="P1518" i="9" s="1"/>
  <c r="O1517" i="9"/>
  <c r="P1517" i="9" s="1"/>
  <c r="O1516" i="9"/>
  <c r="P1516" i="9" s="1"/>
  <c r="O1515" i="9"/>
  <c r="P1515" i="9" s="1"/>
  <c r="O1514" i="9"/>
  <c r="P1514" i="9" s="1"/>
  <c r="O1513" i="9"/>
  <c r="P1513" i="9" s="1"/>
  <c r="O1512" i="9"/>
  <c r="P1512" i="9" s="1"/>
  <c r="O1511" i="9"/>
  <c r="P1511" i="9" s="1"/>
  <c r="O1510" i="9"/>
  <c r="P1510" i="9" s="1"/>
  <c r="O1509" i="9"/>
  <c r="P1509" i="9" s="1"/>
  <c r="O1508" i="9"/>
  <c r="P1508" i="9" s="1"/>
  <c r="O1507" i="9"/>
  <c r="P1507" i="9" s="1"/>
  <c r="O1506" i="9"/>
  <c r="P1506" i="9" s="1"/>
  <c r="O1505" i="9"/>
  <c r="P1505" i="9" s="1"/>
  <c r="O1504" i="9"/>
  <c r="P1504" i="9" s="1"/>
  <c r="O1503" i="9"/>
  <c r="P1503" i="9" s="1"/>
  <c r="O1502" i="9"/>
  <c r="P1502" i="9" s="1"/>
  <c r="O1501" i="9"/>
  <c r="P1501" i="9" s="1"/>
  <c r="O1500" i="9"/>
  <c r="P1500" i="9" s="1"/>
  <c r="O1499" i="9"/>
  <c r="P1499" i="9" s="1"/>
  <c r="O1498" i="9"/>
  <c r="P1498" i="9" s="1"/>
  <c r="O1497" i="9"/>
  <c r="P1497" i="9" s="1"/>
  <c r="O1496" i="9"/>
  <c r="P1496" i="9" s="1"/>
  <c r="O1495" i="9"/>
  <c r="P1495" i="9" s="1"/>
  <c r="O1494" i="9"/>
  <c r="P1494" i="9" s="1"/>
  <c r="O1493" i="9"/>
  <c r="P1493" i="9" s="1"/>
  <c r="O1492" i="9"/>
  <c r="P1492" i="9" s="1"/>
  <c r="O1491" i="9"/>
  <c r="P1491" i="9" s="1"/>
  <c r="O1490" i="9"/>
  <c r="P1490" i="9" s="1"/>
  <c r="O1489" i="9"/>
  <c r="P1489" i="9" s="1"/>
  <c r="O1488" i="9"/>
  <c r="P1488" i="9" s="1"/>
  <c r="O1487" i="9"/>
  <c r="P1487" i="9" s="1"/>
  <c r="O1486" i="9"/>
  <c r="P1486" i="9" s="1"/>
  <c r="O1485" i="9"/>
  <c r="P1485" i="9" s="1"/>
  <c r="O1484" i="9"/>
  <c r="P1484" i="9" s="1"/>
  <c r="O1483" i="9"/>
  <c r="P1483" i="9" s="1"/>
  <c r="O1482" i="9"/>
  <c r="P1482" i="9" s="1"/>
  <c r="O1481" i="9"/>
  <c r="P1481" i="9" s="1"/>
  <c r="O1480" i="9"/>
  <c r="P1480" i="9" s="1"/>
  <c r="O1479" i="9"/>
  <c r="P1479" i="9" s="1"/>
  <c r="O1478" i="9"/>
  <c r="P1478" i="9" s="1"/>
  <c r="O1477" i="9"/>
  <c r="P1477" i="9" s="1"/>
  <c r="O1476" i="9"/>
  <c r="P1476" i="9" s="1"/>
  <c r="O1475" i="9"/>
  <c r="P1475" i="9" s="1"/>
  <c r="O1474" i="9"/>
  <c r="P1474" i="9" s="1"/>
  <c r="O1473" i="9"/>
  <c r="P1473" i="9" s="1"/>
  <c r="O1472" i="9"/>
  <c r="P1472" i="9" s="1"/>
  <c r="O1471" i="9"/>
  <c r="P1471" i="9" s="1"/>
  <c r="O1470" i="9"/>
  <c r="P1470" i="9" s="1"/>
  <c r="O1469" i="9"/>
  <c r="P1469" i="9" s="1"/>
  <c r="O1468" i="9"/>
  <c r="P1468" i="9" s="1"/>
  <c r="O1467" i="9"/>
  <c r="P1467" i="9" s="1"/>
  <c r="O1466" i="9"/>
  <c r="P1466" i="9" s="1"/>
  <c r="O1465" i="9"/>
  <c r="P1465" i="9" s="1"/>
  <c r="O1464" i="9"/>
  <c r="P1464" i="9" s="1"/>
  <c r="O1463" i="9"/>
  <c r="P1463" i="9" s="1"/>
  <c r="O1462" i="9"/>
  <c r="P1462" i="9" s="1"/>
  <c r="O1461" i="9"/>
  <c r="P1461" i="9" s="1"/>
  <c r="O1460" i="9"/>
  <c r="P1460" i="9" s="1"/>
  <c r="O1459" i="9"/>
  <c r="P1459" i="9" s="1"/>
  <c r="O1458" i="9"/>
  <c r="P1458" i="9" s="1"/>
  <c r="O1457" i="9"/>
  <c r="P1457" i="9" s="1"/>
  <c r="O1456" i="9"/>
  <c r="P1456" i="9" s="1"/>
  <c r="O1455" i="9"/>
  <c r="P1455" i="9" s="1"/>
  <c r="O1454" i="9"/>
  <c r="P1454" i="9" s="1"/>
  <c r="O1453" i="9"/>
  <c r="P1453" i="9" s="1"/>
  <c r="O1452" i="9"/>
  <c r="P1452" i="9" s="1"/>
  <c r="O1451" i="9"/>
  <c r="P1451" i="9" s="1"/>
  <c r="O1450" i="9"/>
  <c r="P1450" i="9" s="1"/>
  <c r="O1449" i="9"/>
  <c r="P1449" i="9" s="1"/>
  <c r="O1448" i="9"/>
  <c r="P1448" i="9" s="1"/>
  <c r="O1447" i="9"/>
  <c r="P1447" i="9" s="1"/>
  <c r="O1446" i="9"/>
  <c r="P1446" i="9" s="1"/>
  <c r="O1415" i="9"/>
  <c r="P1415" i="9" s="1"/>
  <c r="O1414" i="9"/>
  <c r="P1414" i="9"/>
  <c r="O1413" i="9"/>
  <c r="P1413" i="9" s="1"/>
  <c r="O1412" i="9"/>
  <c r="P1412" i="9"/>
  <c r="O1411" i="9"/>
  <c r="P1411" i="9" s="1"/>
  <c r="O1410" i="9"/>
  <c r="P1410" i="9" s="1"/>
  <c r="O1408" i="9"/>
  <c r="P1408" i="9" s="1"/>
  <c r="O1407" i="9"/>
  <c r="P1407" i="9" s="1"/>
  <c r="O1406" i="9"/>
  <c r="P1406" i="9" s="1"/>
  <c r="O1405" i="9"/>
  <c r="P1405" i="9" s="1"/>
  <c r="O1404" i="9"/>
  <c r="P1404" i="9" s="1"/>
  <c r="O1403" i="9"/>
  <c r="P1403" i="9" s="1"/>
  <c r="O1402" i="9"/>
  <c r="P1402" i="9" s="1"/>
  <c r="O1401" i="9"/>
  <c r="P1401" i="9" s="1"/>
  <c r="O1400" i="9"/>
  <c r="P1400" i="9" s="1"/>
  <c r="N1398" i="9"/>
  <c r="O1398" i="9" s="1"/>
  <c r="P1398" i="9" s="1"/>
  <c r="O1440" i="9"/>
  <c r="P1440" i="9" s="1"/>
  <c r="O1439" i="9"/>
  <c r="P1439" i="9" s="1"/>
  <c r="O1437" i="9"/>
  <c r="P1437" i="9" s="1"/>
  <c r="O1432" i="9"/>
  <c r="P1432" i="9"/>
  <c r="O1431" i="9"/>
  <c r="P1431" i="9" s="1"/>
  <c r="O1430" i="9"/>
  <c r="P1430" i="9"/>
  <c r="O1429" i="9"/>
  <c r="P1429" i="9" s="1"/>
  <c r="O1428" i="9"/>
  <c r="P1428" i="9" s="1"/>
  <c r="O1427" i="9"/>
  <c r="P1427" i="9" s="1"/>
  <c r="O1426" i="9"/>
  <c r="P1426" i="9" s="1"/>
  <c r="O1424" i="9"/>
  <c r="P1424" i="9" s="1"/>
  <c r="O1423" i="9"/>
  <c r="P1423" i="9"/>
  <c r="I382" i="9"/>
  <c r="H382" i="9"/>
  <c r="M37" i="43"/>
  <c r="M382" i="9" s="1"/>
  <c r="D37" i="43"/>
  <c r="F190" i="36"/>
  <c r="I440" i="9"/>
  <c r="H440" i="9"/>
  <c r="D208" i="43"/>
  <c r="I381" i="9"/>
  <c r="H381" i="9"/>
  <c r="M34" i="43"/>
  <c r="M35" i="43"/>
  <c r="M381" i="9"/>
  <c r="D35" i="43"/>
  <c r="I670" i="9"/>
  <c r="H670" i="9"/>
  <c r="I159" i="39"/>
  <c r="M159" i="39"/>
  <c r="M670" i="9" s="1"/>
  <c r="D159" i="39"/>
  <c r="I610" i="9"/>
  <c r="H610" i="9"/>
  <c r="I609" i="9"/>
  <c r="H609" i="9"/>
  <c r="M430" i="36"/>
  <c r="M610" i="9" s="1"/>
  <c r="M428" i="36"/>
  <c r="M609" i="9"/>
  <c r="D430" i="36"/>
  <c r="D428" i="36"/>
  <c r="M418" i="36"/>
  <c r="M194" i="38"/>
  <c r="M458" i="26"/>
  <c r="M459" i="26" s="1"/>
  <c r="M876" i="9" s="1"/>
  <c r="I657" i="9"/>
  <c r="H657" i="9"/>
  <c r="D420" i="36"/>
  <c r="I600" i="9"/>
  <c r="I1329" i="9"/>
  <c r="H1329" i="9"/>
  <c r="I1328" i="9"/>
  <c r="H1328" i="9"/>
  <c r="C1326" i="9"/>
  <c r="C1327" i="9" s="1"/>
  <c r="C1328" i="9" s="1"/>
  <c r="C1330" i="9" s="1"/>
  <c r="C1331" i="9" s="1"/>
  <c r="I1342" i="9"/>
  <c r="H1342" i="9"/>
  <c r="M109" i="40"/>
  <c r="M111" i="40" s="1"/>
  <c r="M1284" i="9"/>
  <c r="I1284" i="9"/>
  <c r="H1284" i="9"/>
  <c r="K1284" i="9" s="1"/>
  <c r="B31" i="18"/>
  <c r="M1263" i="9"/>
  <c r="I1263" i="9"/>
  <c r="H1263" i="9"/>
  <c r="I1180" i="9"/>
  <c r="H1180" i="9"/>
  <c r="I1073" i="9"/>
  <c r="H1073" i="9"/>
  <c r="I973" i="9"/>
  <c r="H973" i="9"/>
  <c r="D224" i="37"/>
  <c r="I693" i="9"/>
  <c r="H693" i="9"/>
  <c r="D186" i="39"/>
  <c r="M160" i="38"/>
  <c r="M146" i="38"/>
  <c r="M145" i="38"/>
  <c r="B29" i="18"/>
  <c r="B28" i="18"/>
  <c r="B27" i="18"/>
  <c r="M206" i="34"/>
  <c r="M207" i="34"/>
  <c r="M205" i="34"/>
  <c r="M208" i="34" s="1"/>
  <c r="M1033" i="9" s="1"/>
  <c r="M201" i="34"/>
  <c r="I168" i="34"/>
  <c r="M199" i="34"/>
  <c r="M1030" i="9" s="1"/>
  <c r="M143" i="34"/>
  <c r="M179" i="37"/>
  <c r="B26" i="18"/>
  <c r="B25" i="18"/>
  <c r="B24" i="18"/>
  <c r="B23" i="18"/>
  <c r="B22" i="18"/>
  <c r="I784" i="9"/>
  <c r="H784" i="9"/>
  <c r="J31" i="26"/>
  <c r="K31" i="26"/>
  <c r="J32" i="26"/>
  <c r="K32" i="26"/>
  <c r="J33" i="26"/>
  <c r="K33" i="26"/>
  <c r="J34" i="26"/>
  <c r="K34" i="26"/>
  <c r="J35" i="26"/>
  <c r="K35" i="26"/>
  <c r="J36" i="26"/>
  <c r="M36" i="26" s="1"/>
  <c r="K36" i="26"/>
  <c r="J37" i="26"/>
  <c r="M37" i="26" s="1"/>
  <c r="K37" i="26"/>
  <c r="K30" i="26"/>
  <c r="J30" i="26"/>
  <c r="I877" i="9"/>
  <c r="H877" i="9"/>
  <c r="M41" i="26"/>
  <c r="D184" i="39"/>
  <c r="M47" i="39"/>
  <c r="M49" i="39" s="1"/>
  <c r="J79" i="39"/>
  <c r="H101" i="39"/>
  <c r="I127" i="39"/>
  <c r="I622" i="9"/>
  <c r="H622" i="9"/>
  <c r="D33" i="39"/>
  <c r="M31" i="39"/>
  <c r="M33" i="39" s="1"/>
  <c r="M600" i="9"/>
  <c r="H600" i="9"/>
  <c r="M599" i="9"/>
  <c r="I599" i="9"/>
  <c r="H599" i="9"/>
  <c r="D424" i="36"/>
  <c r="D418" i="36"/>
  <c r="G383" i="36"/>
  <c r="M383" i="36"/>
  <c r="M407" i="36"/>
  <c r="G389" i="36"/>
  <c r="F389" i="36"/>
  <c r="F368" i="36"/>
  <c r="F359" i="36"/>
  <c r="F356" i="36"/>
  <c r="E353" i="36"/>
  <c r="M353" i="36"/>
  <c r="E352" i="36"/>
  <c r="M352" i="36"/>
  <c r="E351" i="36"/>
  <c r="M351" i="36"/>
  <c r="E350" i="36"/>
  <c r="M350" i="36"/>
  <c r="H348" i="36"/>
  <c r="G346" i="36"/>
  <c r="E346" i="36"/>
  <c r="I593" i="9"/>
  <c r="H593" i="9"/>
  <c r="I592" i="9"/>
  <c r="H592" i="9"/>
  <c r="M593" i="9"/>
  <c r="D414" i="36"/>
  <c r="I586" i="9"/>
  <c r="H586" i="9"/>
  <c r="D342" i="36"/>
  <c r="D340" i="36"/>
  <c r="D338" i="36"/>
  <c r="D228" i="36"/>
  <c r="G190" i="36"/>
  <c r="I541" i="9"/>
  <c r="H541" i="9"/>
  <c r="I520" i="9"/>
  <c r="H520" i="9"/>
  <c r="D404" i="7"/>
  <c r="I398" i="7"/>
  <c r="M398" i="7"/>
  <c r="I397" i="7"/>
  <c r="M397" i="7" s="1"/>
  <c r="I396" i="7"/>
  <c r="M396" i="7"/>
  <c r="F395" i="7"/>
  <c r="I395" i="7" s="1"/>
  <c r="M395" i="7" s="1"/>
  <c r="F394" i="7"/>
  <c r="I394" i="7"/>
  <c r="M394" i="7" s="1"/>
  <c r="F393" i="7"/>
  <c r="I393" i="7"/>
  <c r="M393" i="7"/>
  <c r="M354" i="7"/>
  <c r="M355" i="7"/>
  <c r="M356" i="7"/>
  <c r="M357" i="7"/>
  <c r="M359" i="7"/>
  <c r="J360" i="7"/>
  <c r="I360" i="7"/>
  <c r="J358" i="7"/>
  <c r="I358" i="7"/>
  <c r="I353" i="7"/>
  <c r="J353" i="7"/>
  <c r="J352" i="7"/>
  <c r="I352" i="7"/>
  <c r="I351" i="7"/>
  <c r="J351" i="7"/>
  <c r="M351" i="7"/>
  <c r="D362" i="7"/>
  <c r="K241" i="7"/>
  <c r="J254" i="7"/>
  <c r="K242" i="7"/>
  <c r="J255" i="7" s="1"/>
  <c r="J242" i="7"/>
  <c r="J241" i="7"/>
  <c r="J160" i="7"/>
  <c r="K160" i="7"/>
  <c r="J161" i="7"/>
  <c r="K161" i="7"/>
  <c r="M161" i="7" s="1"/>
  <c r="J162" i="7"/>
  <c r="K162" i="7"/>
  <c r="J163" i="7"/>
  <c r="K163" i="7"/>
  <c r="J164" i="7"/>
  <c r="K164" i="7"/>
  <c r="J165" i="7"/>
  <c r="K165" i="7"/>
  <c r="J166" i="7"/>
  <c r="K166" i="7"/>
  <c r="J157" i="7"/>
  <c r="M157" i="7"/>
  <c r="K157" i="7"/>
  <c r="J158" i="7"/>
  <c r="K158" i="7"/>
  <c r="J159" i="7"/>
  <c r="M159" i="7" s="1"/>
  <c r="K159" i="7"/>
  <c r="J156" i="7"/>
  <c r="K156" i="7"/>
  <c r="K155" i="7"/>
  <c r="J155" i="7"/>
  <c r="M51" i="7"/>
  <c r="I170" i="7" s="1"/>
  <c r="K170" i="7" s="1"/>
  <c r="K240" i="7"/>
  <c r="J253" i="7"/>
  <c r="K239" i="7"/>
  <c r="J252" i="7" s="1"/>
  <c r="K238" i="7"/>
  <c r="J251" i="7"/>
  <c r="K237" i="7"/>
  <c r="J250" i="7" s="1"/>
  <c r="K236" i="7"/>
  <c r="J249" i="7"/>
  <c r="K235" i="7"/>
  <c r="J248" i="7" s="1"/>
  <c r="K233" i="7"/>
  <c r="J246" i="7"/>
  <c r="J240" i="7"/>
  <c r="I253" i="7" s="1"/>
  <c r="J239" i="7"/>
  <c r="J238" i="7"/>
  <c r="J237" i="7"/>
  <c r="I250" i="7" s="1"/>
  <c r="J236" i="7"/>
  <c r="J234" i="7"/>
  <c r="I247" i="7"/>
  <c r="J233" i="7"/>
  <c r="I246" i="7"/>
  <c r="M30" i="7"/>
  <c r="M451" i="9"/>
  <c r="M613" i="9"/>
  <c r="I613" i="9"/>
  <c r="H613" i="9"/>
  <c r="D436" i="36"/>
  <c r="D400" i="7"/>
  <c r="M320" i="7"/>
  <c r="M509" i="9"/>
  <c r="E401" i="36"/>
  <c r="E400" i="36"/>
  <c r="E399" i="36"/>
  <c r="M399" i="36"/>
  <c r="E398" i="36"/>
  <c r="M398" i="36" s="1"/>
  <c r="E397" i="36"/>
  <c r="M397" i="36"/>
  <c r="E396" i="36"/>
  <c r="M396" i="36" s="1"/>
  <c r="E395" i="36"/>
  <c r="M395" i="36"/>
  <c r="E394" i="36"/>
  <c r="M394" i="36" s="1"/>
  <c r="E393" i="36"/>
  <c r="M393" i="36"/>
  <c r="E392" i="36"/>
  <c r="M392" i="36" s="1"/>
  <c r="E391" i="36"/>
  <c r="M391" i="36"/>
  <c r="E390" i="36"/>
  <c r="M390" i="36" s="1"/>
  <c r="G411" i="36"/>
  <c r="M411" i="36"/>
  <c r="G410" i="36"/>
  <c r="G409" i="36"/>
  <c r="G408" i="36"/>
  <c r="M408" i="36"/>
  <c r="E379" i="36"/>
  <c r="E378" i="36"/>
  <c r="M378" i="36"/>
  <c r="E377" i="36"/>
  <c r="M377" i="36"/>
  <c r="E376" i="36"/>
  <c r="M376" i="36"/>
  <c r="E375" i="36"/>
  <c r="M375" i="36"/>
  <c r="E374" i="36"/>
  <c r="M374" i="36"/>
  <c r="E373" i="36"/>
  <c r="M373" i="36"/>
  <c r="E372" i="36"/>
  <c r="M372" i="36"/>
  <c r="E371" i="36"/>
  <c r="M371" i="36"/>
  <c r="E370" i="36"/>
  <c r="M370" i="36"/>
  <c r="E369" i="36"/>
  <c r="M369" i="36"/>
  <c r="E368" i="36"/>
  <c r="E367" i="36"/>
  <c r="J367" i="36"/>
  <c r="E366" i="36"/>
  <c r="J366" i="36" s="1"/>
  <c r="E365" i="36"/>
  <c r="J365" i="36"/>
  <c r="E364" i="36"/>
  <c r="J364" i="36" s="1"/>
  <c r="E363" i="36"/>
  <c r="J363" i="36"/>
  <c r="E362" i="36"/>
  <c r="E361" i="36"/>
  <c r="M361" i="36"/>
  <c r="E360" i="36"/>
  <c r="M360" i="36"/>
  <c r="E359" i="36"/>
  <c r="E358" i="36"/>
  <c r="E357" i="36"/>
  <c r="E356" i="36"/>
  <c r="E355" i="36"/>
  <c r="M355" i="36"/>
  <c r="E354" i="36"/>
  <c r="M354" i="36"/>
  <c r="E348" i="36"/>
  <c r="E347" i="36"/>
  <c r="M347" i="36"/>
  <c r="I230" i="36"/>
  <c r="M122" i="36"/>
  <c r="F130" i="36"/>
  <c r="F131" i="36"/>
  <c r="J170" i="36"/>
  <c r="D373" i="46"/>
  <c r="D371" i="46"/>
  <c r="D369" i="46"/>
  <c r="D365" i="46"/>
  <c r="D363" i="46"/>
  <c r="J361" i="46"/>
  <c r="F361" i="46"/>
  <c r="E361" i="46"/>
  <c r="M361" i="46" s="1"/>
  <c r="I360" i="46"/>
  <c r="F360" i="46"/>
  <c r="E360" i="46"/>
  <c r="M360" i="46" s="1"/>
  <c r="E359" i="46"/>
  <c r="M359" i="46"/>
  <c r="E358" i="46"/>
  <c r="M358" i="46" s="1"/>
  <c r="E357" i="46"/>
  <c r="M357" i="46"/>
  <c r="E356" i="46"/>
  <c r="M356" i="46" s="1"/>
  <c r="E355" i="46"/>
  <c r="M355" i="46"/>
  <c r="E354" i="46"/>
  <c r="M354" i="46" s="1"/>
  <c r="E353" i="46"/>
  <c r="M353" i="46"/>
  <c r="E352" i="46"/>
  <c r="M352" i="46" s="1"/>
  <c r="E351" i="46"/>
  <c r="M351" i="46"/>
  <c r="E350" i="46"/>
  <c r="M350" i="46" s="1"/>
  <c r="H349" i="46"/>
  <c r="G349" i="46"/>
  <c r="F349" i="46"/>
  <c r="E349" i="46"/>
  <c r="D346" i="46"/>
  <c r="G345" i="46"/>
  <c r="M345" i="46" s="1"/>
  <c r="H344" i="46"/>
  <c r="G344" i="46"/>
  <c r="J343" i="46"/>
  <c r="G343" i="46"/>
  <c r="G342" i="46"/>
  <c r="M342" i="46"/>
  <c r="M341" i="46"/>
  <c r="D339" i="46"/>
  <c r="I336" i="46"/>
  <c r="F336" i="46"/>
  <c r="E336" i="46"/>
  <c r="M336" i="46" s="1"/>
  <c r="E335" i="46"/>
  <c r="M335" i="46"/>
  <c r="E334" i="46"/>
  <c r="M334" i="46" s="1"/>
  <c r="E333" i="46"/>
  <c r="M333" i="46"/>
  <c r="E332" i="46"/>
  <c r="M332" i="46" s="1"/>
  <c r="E331" i="46"/>
  <c r="M331" i="46"/>
  <c r="E330" i="46"/>
  <c r="M330" i="46" s="1"/>
  <c r="E329" i="46"/>
  <c r="M329" i="46"/>
  <c r="E328" i="46"/>
  <c r="M328" i="46" s="1"/>
  <c r="E327" i="46"/>
  <c r="M327" i="46"/>
  <c r="E326" i="46"/>
  <c r="M326" i="46" s="1"/>
  <c r="F325" i="46"/>
  <c r="E325" i="46"/>
  <c r="E324" i="46"/>
  <c r="J324" i="46" s="1"/>
  <c r="E323" i="46"/>
  <c r="J323" i="46"/>
  <c r="E322" i="46"/>
  <c r="J322" i="46" s="1"/>
  <c r="E321" i="46"/>
  <c r="J321" i="46"/>
  <c r="E320" i="46"/>
  <c r="J320" i="46" s="1"/>
  <c r="J325" i="46" s="1"/>
  <c r="G319" i="46"/>
  <c r="F319" i="46"/>
  <c r="M319" i="46" s="1"/>
  <c r="E319" i="46"/>
  <c r="E318" i="46"/>
  <c r="M318" i="46" s="1"/>
  <c r="E317" i="46"/>
  <c r="M317" i="46"/>
  <c r="F316" i="46"/>
  <c r="E316" i="46"/>
  <c r="F315" i="46"/>
  <c r="E315" i="46"/>
  <c r="M315" i="46"/>
  <c r="F314" i="46"/>
  <c r="E314" i="46"/>
  <c r="M314" i="46"/>
  <c r="M313" i="46"/>
  <c r="F313" i="46"/>
  <c r="E313" i="46"/>
  <c r="E312" i="46"/>
  <c r="M312" i="46"/>
  <c r="E311" i="46"/>
  <c r="M311" i="46"/>
  <c r="E310" i="46"/>
  <c r="M310" i="46"/>
  <c r="E309" i="46"/>
  <c r="M309" i="46"/>
  <c r="E308" i="46"/>
  <c r="M308" i="46"/>
  <c r="E307" i="46"/>
  <c r="M307" i="46"/>
  <c r="G306" i="46"/>
  <c r="M306" i="46"/>
  <c r="F306" i="46"/>
  <c r="E305" i="46"/>
  <c r="M305" i="46"/>
  <c r="E304" i="46"/>
  <c r="M304" i="46" s="1"/>
  <c r="G303" i="46"/>
  <c r="F303" i="46"/>
  <c r="M303" i="46"/>
  <c r="D299" i="46"/>
  <c r="X297" i="46"/>
  <c r="AA297" i="46"/>
  <c r="D297" i="46"/>
  <c r="X296" i="46"/>
  <c r="AA296" i="46"/>
  <c r="AD295" i="46"/>
  <c r="X295" i="46"/>
  <c r="AA295" i="46" s="1"/>
  <c r="AE293" i="46"/>
  <c r="AE295" i="46" s="1"/>
  <c r="AD293" i="46"/>
  <c r="V293" i="46"/>
  <c r="V295" i="46"/>
  <c r="T293" i="46"/>
  <c r="T295" i="46" s="1"/>
  <c r="Q293" i="46"/>
  <c r="Q295" i="46"/>
  <c r="R292" i="46"/>
  <c r="R293" i="46" s="1"/>
  <c r="R295" i="46" s="1"/>
  <c r="P292" i="46"/>
  <c r="AC291" i="46"/>
  <c r="U291" i="46"/>
  <c r="P291" i="46"/>
  <c r="P293" i="46"/>
  <c r="P295" i="46"/>
  <c r="M290" i="46"/>
  <c r="AC290" i="46"/>
  <c r="X290" i="46"/>
  <c r="AA290" i="46" s="1"/>
  <c r="U290" i="46"/>
  <c r="AC289" i="46"/>
  <c r="AC293" i="46" s="1"/>
  <c r="AC295" i="46" s="1"/>
  <c r="X289" i="46"/>
  <c r="AA289" i="46"/>
  <c r="U289" i="46"/>
  <c r="X288" i="46"/>
  <c r="AA288" i="46"/>
  <c r="AA291" i="46"/>
  <c r="M286" i="46"/>
  <c r="M294" i="46" s="1"/>
  <c r="M285" i="46"/>
  <c r="M293" i="46"/>
  <c r="M283" i="46"/>
  <c r="M282" i="46"/>
  <c r="D280" i="46"/>
  <c r="I278" i="46"/>
  <c r="F278" i="46"/>
  <c r="E278" i="46"/>
  <c r="E277" i="46"/>
  <c r="M277" i="46"/>
  <c r="E276" i="46"/>
  <c r="M276" i="46" s="1"/>
  <c r="E275" i="46"/>
  <c r="M275" i="46"/>
  <c r="E274" i="46"/>
  <c r="M274" i="46" s="1"/>
  <c r="E273" i="46"/>
  <c r="M273" i="46"/>
  <c r="E272" i="46"/>
  <c r="M272" i="46" s="1"/>
  <c r="E271" i="46"/>
  <c r="M271" i="46"/>
  <c r="E270" i="46"/>
  <c r="M270" i="46" s="1"/>
  <c r="E269" i="46"/>
  <c r="M269" i="46"/>
  <c r="E268" i="46"/>
  <c r="M268" i="46" s="1"/>
  <c r="F267" i="46"/>
  <c r="E267" i="46"/>
  <c r="E266" i="46"/>
  <c r="J266" i="46" s="1"/>
  <c r="G261" i="46"/>
  <c r="F261" i="46"/>
  <c r="E261" i="46"/>
  <c r="F260" i="46"/>
  <c r="E260" i="46"/>
  <c r="M259" i="46"/>
  <c r="F259" i="46"/>
  <c r="F258" i="46"/>
  <c r="E258" i="46"/>
  <c r="M258" i="46" s="1"/>
  <c r="F257" i="46"/>
  <c r="M257" i="46" s="1"/>
  <c r="F256" i="46"/>
  <c r="M256" i="46"/>
  <c r="F255" i="46"/>
  <c r="M255" i="46" s="1"/>
  <c r="E255" i="46"/>
  <c r="E253" i="46"/>
  <c r="M253" i="46"/>
  <c r="E252" i="46"/>
  <c r="M252" i="46"/>
  <c r="E251" i="46"/>
  <c r="M251" i="46"/>
  <c r="E250" i="46"/>
  <c r="M250" i="46"/>
  <c r="E249" i="46"/>
  <c r="M249" i="46"/>
  <c r="E248" i="46"/>
  <c r="M248" i="46"/>
  <c r="G247" i="46"/>
  <c r="F247" i="46"/>
  <c r="E247" i="46"/>
  <c r="M246" i="46"/>
  <c r="E245" i="46"/>
  <c r="M245" i="46"/>
  <c r="E244" i="46"/>
  <c r="M244" i="46"/>
  <c r="H243" i="46"/>
  <c r="G242" i="46"/>
  <c r="M242" i="46" s="1"/>
  <c r="F242" i="46"/>
  <c r="I239" i="46"/>
  <c r="F239" i="46"/>
  <c r="M238" i="46"/>
  <c r="M237" i="46"/>
  <c r="M236" i="46"/>
  <c r="M235" i="46"/>
  <c r="M234" i="46"/>
  <c r="M233" i="46"/>
  <c r="M232" i="46"/>
  <c r="M231" i="46"/>
  <c r="M230" i="46"/>
  <c r="M229" i="46"/>
  <c r="F228" i="46"/>
  <c r="E227" i="46"/>
  <c r="J227" i="46" s="1"/>
  <c r="E226" i="46"/>
  <c r="J226" i="46" s="1"/>
  <c r="E265" i="46"/>
  <c r="J265" i="46" s="1"/>
  <c r="E225" i="46"/>
  <c r="E224" i="46"/>
  <c r="E263" i="46"/>
  <c r="J263" i="46" s="1"/>
  <c r="E223" i="46"/>
  <c r="G222" i="46"/>
  <c r="F222" i="46"/>
  <c r="F221" i="46"/>
  <c r="M221" i="46"/>
  <c r="F220" i="46"/>
  <c r="M220" i="46" s="1"/>
  <c r="F219" i="46"/>
  <c r="M219" i="46"/>
  <c r="F218" i="46"/>
  <c r="M218" i="46" s="1"/>
  <c r="F217" i="46"/>
  <c r="M217" i="46"/>
  <c r="F216" i="46"/>
  <c r="M216" i="46" s="1"/>
  <c r="M214" i="46"/>
  <c r="M213" i="46"/>
  <c r="M212" i="46"/>
  <c r="M211" i="46"/>
  <c r="M210" i="46"/>
  <c r="M209" i="46"/>
  <c r="G208" i="46"/>
  <c r="M208" i="46" s="1"/>
  <c r="F208" i="46"/>
  <c r="M207" i="46"/>
  <c r="M206" i="46"/>
  <c r="M205" i="46"/>
  <c r="E204" i="46"/>
  <c r="G203" i="46"/>
  <c r="F203" i="46"/>
  <c r="D201" i="46"/>
  <c r="K200" i="46"/>
  <c r="I200" i="46"/>
  <c r="M200" i="46"/>
  <c r="M201" i="46" s="1"/>
  <c r="D198" i="46"/>
  <c r="I196" i="46"/>
  <c r="M196" i="46"/>
  <c r="F196" i="46"/>
  <c r="E196" i="46"/>
  <c r="E195" i="46"/>
  <c r="M195" i="46" s="1"/>
  <c r="E194" i="46"/>
  <c r="M194" i="46" s="1"/>
  <c r="E193" i="46"/>
  <c r="M193" i="46" s="1"/>
  <c r="E192" i="46"/>
  <c r="M192" i="46" s="1"/>
  <c r="M191" i="46"/>
  <c r="E191" i="46"/>
  <c r="E190" i="46"/>
  <c r="M190" i="46" s="1"/>
  <c r="E189" i="46"/>
  <c r="M189" i="46" s="1"/>
  <c r="E188" i="46"/>
  <c r="M188" i="46" s="1"/>
  <c r="E187" i="46"/>
  <c r="M187" i="46" s="1"/>
  <c r="E186" i="46"/>
  <c r="M186" i="46" s="1"/>
  <c r="F185" i="46"/>
  <c r="E185" i="46"/>
  <c r="G179" i="46"/>
  <c r="F179" i="46"/>
  <c r="E179" i="46"/>
  <c r="M179" i="46"/>
  <c r="E178" i="46"/>
  <c r="M178" i="46"/>
  <c r="M177" i="46"/>
  <c r="F176" i="46"/>
  <c r="E176" i="46"/>
  <c r="M176" i="46" s="1"/>
  <c r="M175" i="46"/>
  <c r="F175" i="46"/>
  <c r="F174" i="46"/>
  <c r="M174" i="46"/>
  <c r="F173" i="46"/>
  <c r="M173" i="46" s="1"/>
  <c r="E173" i="46"/>
  <c r="E172" i="46"/>
  <c r="M172" i="46"/>
  <c r="E171" i="46"/>
  <c r="M171" i="46" s="1"/>
  <c r="E170" i="46"/>
  <c r="M170" i="46"/>
  <c r="M169" i="46"/>
  <c r="E169" i="46"/>
  <c r="E168" i="46"/>
  <c r="M168" i="46"/>
  <c r="E167" i="46"/>
  <c r="M167" i="46" s="1"/>
  <c r="G166" i="46"/>
  <c r="F166" i="46"/>
  <c r="E166" i="46"/>
  <c r="M165" i="46"/>
  <c r="E164" i="46"/>
  <c r="M164" i="46"/>
  <c r="E163" i="46"/>
  <c r="M163" i="46" s="1"/>
  <c r="H162" i="46"/>
  <c r="G161" i="46"/>
  <c r="F161" i="46"/>
  <c r="M161" i="46" s="1"/>
  <c r="I158" i="46"/>
  <c r="F158" i="46"/>
  <c r="M158" i="46" s="1"/>
  <c r="M157" i="46"/>
  <c r="M156" i="46"/>
  <c r="M155" i="46"/>
  <c r="M154" i="46"/>
  <c r="M153" i="46"/>
  <c r="M152" i="46"/>
  <c r="M151" i="46"/>
  <c r="M150" i="46"/>
  <c r="M149" i="46"/>
  <c r="M148" i="46"/>
  <c r="F147" i="46"/>
  <c r="E146" i="46"/>
  <c r="E145" i="46"/>
  <c r="J145" i="46" s="1"/>
  <c r="M145" i="46"/>
  <c r="E144" i="46"/>
  <c r="E143" i="46"/>
  <c r="J143" i="46" s="1"/>
  <c r="E181" i="46"/>
  <c r="J181" i="46" s="1"/>
  <c r="M181" i="46"/>
  <c r="E142" i="46"/>
  <c r="G141" i="46"/>
  <c r="F141" i="46"/>
  <c r="M140" i="46"/>
  <c r="M139" i="46"/>
  <c r="F138" i="46"/>
  <c r="M138" i="46"/>
  <c r="F137" i="46"/>
  <c r="M137" i="46" s="1"/>
  <c r="F136" i="46"/>
  <c r="M136" i="46"/>
  <c r="M135" i="46"/>
  <c r="F135" i="46"/>
  <c r="M134" i="46"/>
  <c r="M133" i="46"/>
  <c r="M132" i="46"/>
  <c r="M131" i="46"/>
  <c r="M130" i="46"/>
  <c r="M129" i="46"/>
  <c r="M128" i="46"/>
  <c r="G128" i="46"/>
  <c r="F128" i="46"/>
  <c r="M127" i="46"/>
  <c r="M126" i="46"/>
  <c r="M125" i="46"/>
  <c r="E124" i="46"/>
  <c r="G123" i="46"/>
  <c r="F123" i="46"/>
  <c r="M123" i="46" s="1"/>
  <c r="D121" i="46"/>
  <c r="K120" i="46"/>
  <c r="J120" i="46"/>
  <c r="I120" i="46"/>
  <c r="D116" i="46"/>
  <c r="D114" i="46"/>
  <c r="D112" i="46"/>
  <c r="D108" i="46"/>
  <c r="D106" i="46"/>
  <c r="D104" i="46"/>
  <c r="D102" i="46"/>
  <c r="K98" i="46"/>
  <c r="D98" i="46"/>
  <c r="K96" i="46"/>
  <c r="D96" i="46"/>
  <c r="D90" i="46"/>
  <c r="K88" i="46"/>
  <c r="M88" i="46" s="1"/>
  <c r="M90" i="46" s="1"/>
  <c r="J88" i="46"/>
  <c r="I88" i="46"/>
  <c r="M86" i="46"/>
  <c r="D86" i="46"/>
  <c r="D84" i="46"/>
  <c r="D82" i="46"/>
  <c r="D80" i="46"/>
  <c r="D78" i="46"/>
  <c r="D76" i="46"/>
  <c r="J74" i="46"/>
  <c r="J76" i="46" s="1"/>
  <c r="J78" i="46" s="1"/>
  <c r="J80" i="46"/>
  <c r="J82" i="46"/>
  <c r="J84" i="46" s="1"/>
  <c r="D74" i="46"/>
  <c r="D72" i="46"/>
  <c r="D70" i="46"/>
  <c r="K68" i="46"/>
  <c r="D68" i="46"/>
  <c r="D66" i="46"/>
  <c r="K64" i="46"/>
  <c r="D64" i="46"/>
  <c r="K62" i="46"/>
  <c r="K78" i="46" s="1"/>
  <c r="D62" i="46"/>
  <c r="D60" i="46"/>
  <c r="D58" i="46"/>
  <c r="K56" i="46"/>
  <c r="K58" i="46" s="1"/>
  <c r="J56" i="46"/>
  <c r="J58" i="46"/>
  <c r="J62" i="46" s="1"/>
  <c r="J64" i="46" s="1"/>
  <c r="J68" i="46"/>
  <c r="J70" i="46" s="1"/>
  <c r="D56" i="46"/>
  <c r="J53" i="46"/>
  <c r="D36" i="46"/>
  <c r="M34" i="46"/>
  <c r="M33" i="46"/>
  <c r="D31" i="46"/>
  <c r="K29" i="46"/>
  <c r="J29" i="46"/>
  <c r="M28" i="46"/>
  <c r="M14" i="46"/>
  <c r="K106" i="46"/>
  <c r="M13" i="46"/>
  <c r="K114" i="46"/>
  <c r="M141" i="46"/>
  <c r="J224" i="46"/>
  <c r="E183" i="46"/>
  <c r="H1420" i="9"/>
  <c r="I427" i="9"/>
  <c r="H427" i="9"/>
  <c r="I426" i="9"/>
  <c r="H426" i="9"/>
  <c r="I410" i="9"/>
  <c r="H410" i="9"/>
  <c r="I396" i="9"/>
  <c r="H396" i="9"/>
  <c r="I395" i="9"/>
  <c r="H395" i="9"/>
  <c r="I394" i="9"/>
  <c r="H394" i="9"/>
  <c r="I393" i="9"/>
  <c r="H393" i="9"/>
  <c r="E380" i="9"/>
  <c r="E381" i="9"/>
  <c r="E382" i="9" s="1"/>
  <c r="E383" i="9" s="1"/>
  <c r="E384" i="9" s="1"/>
  <c r="E378" i="9"/>
  <c r="D226" i="43"/>
  <c r="D220" i="43"/>
  <c r="D214" i="43"/>
  <c r="D204" i="43"/>
  <c r="D200" i="43"/>
  <c r="D194" i="43"/>
  <c r="D192" i="43"/>
  <c r="D188" i="43"/>
  <c r="D184" i="43"/>
  <c r="D176" i="43"/>
  <c r="D169" i="43"/>
  <c r="D137" i="43"/>
  <c r="D101" i="43"/>
  <c r="D99" i="43"/>
  <c r="D97" i="43"/>
  <c r="D92" i="43"/>
  <c r="D86" i="43"/>
  <c r="D84" i="43"/>
  <c r="D78" i="43"/>
  <c r="D76" i="43"/>
  <c r="D74" i="43"/>
  <c r="D72" i="43"/>
  <c r="D70" i="43"/>
  <c r="D68" i="43"/>
  <c r="D66" i="43"/>
  <c r="D64" i="43"/>
  <c r="D62" i="43"/>
  <c r="D60" i="43"/>
  <c r="D58" i="43"/>
  <c r="D56" i="43"/>
  <c r="D54" i="43"/>
  <c r="J219" i="43"/>
  <c r="K225" i="43"/>
  <c r="I219" i="43"/>
  <c r="J225" i="43"/>
  <c r="H219" i="43"/>
  <c r="I225" i="43" s="1"/>
  <c r="J218" i="43"/>
  <c r="K224" i="43"/>
  <c r="I218" i="43"/>
  <c r="J224" i="43" s="1"/>
  <c r="M213" i="43"/>
  <c r="M212" i="43"/>
  <c r="M214" i="43" s="1"/>
  <c r="G203" i="43"/>
  <c r="H203" i="43"/>
  <c r="M203" i="43"/>
  <c r="G202" i="43"/>
  <c r="H202" i="43" s="1"/>
  <c r="M202" i="43" s="1"/>
  <c r="G199" i="43"/>
  <c r="H199" i="43" s="1"/>
  <c r="M199" i="43" s="1"/>
  <c r="G198" i="43"/>
  <c r="H198" i="43"/>
  <c r="M198" i="43"/>
  <c r="M191" i="43"/>
  <c r="M190" i="43"/>
  <c r="M187" i="43"/>
  <c r="M186" i="43"/>
  <c r="M168" i="43"/>
  <c r="M166" i="43"/>
  <c r="M164" i="43"/>
  <c r="M163" i="43"/>
  <c r="M162" i="43"/>
  <c r="M161" i="43"/>
  <c r="M160" i="43"/>
  <c r="M159" i="43"/>
  <c r="M158" i="43"/>
  <c r="M157" i="43"/>
  <c r="M156" i="43"/>
  <c r="M155" i="43"/>
  <c r="M154" i="43"/>
  <c r="M153" i="43"/>
  <c r="M152" i="43"/>
  <c r="M151" i="43"/>
  <c r="M150" i="43"/>
  <c r="M149" i="43"/>
  <c r="M148" i="43"/>
  <c r="M147" i="43"/>
  <c r="M146" i="43"/>
  <c r="M145" i="43"/>
  <c r="M142" i="43"/>
  <c r="M140" i="43"/>
  <c r="M169" i="43" s="1"/>
  <c r="M139" i="43"/>
  <c r="M136" i="43"/>
  <c r="M134" i="43"/>
  <c r="M132" i="43"/>
  <c r="M131" i="43"/>
  <c r="M130" i="43"/>
  <c r="M129" i="43"/>
  <c r="M128" i="43"/>
  <c r="M127" i="43"/>
  <c r="M126" i="43"/>
  <c r="M125" i="43"/>
  <c r="M124" i="43"/>
  <c r="M123" i="43"/>
  <c r="M122" i="43"/>
  <c r="M121" i="43"/>
  <c r="M120" i="43"/>
  <c r="M119" i="43"/>
  <c r="M118" i="43"/>
  <c r="M117" i="43"/>
  <c r="M116" i="43"/>
  <c r="M115" i="43"/>
  <c r="M114" i="43"/>
  <c r="M113" i="43"/>
  <c r="M110" i="43"/>
  <c r="M106" i="43"/>
  <c r="M105" i="43"/>
  <c r="K99" i="43"/>
  <c r="M90" i="43"/>
  <c r="M92" i="43" s="1"/>
  <c r="M410" i="9" s="1"/>
  <c r="K86" i="43"/>
  <c r="K84" i="43"/>
  <c r="J81" i="43"/>
  <c r="I81" i="43"/>
  <c r="H81" i="43"/>
  <c r="G81" i="43"/>
  <c r="F81" i="43"/>
  <c r="E81" i="43"/>
  <c r="H79" i="43"/>
  <c r="G79" i="43"/>
  <c r="F79" i="43"/>
  <c r="J68" i="43"/>
  <c r="J72" i="43"/>
  <c r="J76" i="43"/>
  <c r="J66" i="43"/>
  <c r="K62" i="43"/>
  <c r="K74" i="43"/>
  <c r="K60" i="43"/>
  <c r="K72" i="43" s="1"/>
  <c r="K58" i="43"/>
  <c r="K70" i="43"/>
  <c r="K54" i="43"/>
  <c r="K66" i="43" s="1"/>
  <c r="J54" i="43"/>
  <c r="J56" i="43"/>
  <c r="J60" i="43"/>
  <c r="J64" i="43" s="1"/>
  <c r="I47" i="43"/>
  <c r="M47" i="43"/>
  <c r="J80" i="43"/>
  <c r="I46" i="43"/>
  <c r="M46" i="43" s="1"/>
  <c r="M45" i="43"/>
  <c r="H80" i="43"/>
  <c r="M44" i="43"/>
  <c r="G80" i="43"/>
  <c r="M43" i="43"/>
  <c r="F80" i="43"/>
  <c r="M42" i="43"/>
  <c r="D32" i="43"/>
  <c r="M32" i="43"/>
  <c r="D1443" i="9"/>
  <c r="D1444" i="9" s="1"/>
  <c r="D1445" i="9" s="1"/>
  <c r="D1446" i="9"/>
  <c r="D1447" i="9"/>
  <c r="D1448" i="9" s="1"/>
  <c r="D1449" i="9" s="1"/>
  <c r="D1450" i="9" s="1"/>
  <c r="D1451" i="9" s="1"/>
  <c r="I434" i="9"/>
  <c r="H434" i="9"/>
  <c r="I433" i="9"/>
  <c r="H433" i="9"/>
  <c r="I420" i="9"/>
  <c r="H420" i="9"/>
  <c r="I418" i="9"/>
  <c r="H418" i="9"/>
  <c r="I417" i="9"/>
  <c r="H417" i="9"/>
  <c r="I404" i="9"/>
  <c r="H404" i="9"/>
  <c r="I403" i="9"/>
  <c r="H403" i="9"/>
  <c r="I402" i="9"/>
  <c r="H402" i="9"/>
  <c r="I392" i="9"/>
  <c r="H392" i="9"/>
  <c r="I391" i="9"/>
  <c r="H391" i="9"/>
  <c r="I390" i="9"/>
  <c r="H390" i="9"/>
  <c r="I389" i="9"/>
  <c r="H389" i="9"/>
  <c r="I388" i="9"/>
  <c r="H388" i="9"/>
  <c r="E243" i="9"/>
  <c r="E244" i="9"/>
  <c r="E245" i="9" s="1"/>
  <c r="E246" i="9" s="1"/>
  <c r="E247" i="9"/>
  <c r="E248" i="9"/>
  <c r="E249" i="9" s="1"/>
  <c r="E250" i="9" s="1"/>
  <c r="E251" i="9" s="1"/>
  <c r="E252" i="9" s="1"/>
  <c r="E253" i="9" s="1"/>
  <c r="E254" i="9" s="1"/>
  <c r="E255" i="9" s="1"/>
  <c r="E256" i="9" s="1"/>
  <c r="E257" i="9" s="1"/>
  <c r="E258" i="9" s="1"/>
  <c r="E259" i="9" s="1"/>
  <c r="E260" i="9" s="1"/>
  <c r="E261" i="9" s="1"/>
  <c r="E262" i="9" s="1"/>
  <c r="E263" i="9" s="1"/>
  <c r="E264" i="9" s="1"/>
  <c r="E265" i="9" s="1"/>
  <c r="E266" i="9" s="1"/>
  <c r="E267" i="9" s="1"/>
  <c r="E268" i="9" s="1"/>
  <c r="E269" i="9" s="1"/>
  <c r="E270" i="9" s="1"/>
  <c r="E271" i="9" s="1"/>
  <c r="E272" i="9" s="1"/>
  <c r="E273" i="9" s="1"/>
  <c r="E274" i="9" s="1"/>
  <c r="E275" i="9" s="1"/>
  <c r="E276" i="9" s="1"/>
  <c r="E277" i="9" s="1"/>
  <c r="E278" i="9" s="1"/>
  <c r="E279" i="9" s="1"/>
  <c r="E280" i="9" s="1"/>
  <c r="E281" i="9" s="1"/>
  <c r="E282" i="9" s="1"/>
  <c r="E283" i="9" s="1"/>
  <c r="E284" i="9" s="1"/>
  <c r="E285" i="9" s="1"/>
  <c r="E286" i="9" s="1"/>
  <c r="E287" i="9" s="1"/>
  <c r="E288" i="9" s="1"/>
  <c r="E289" i="9" s="1"/>
  <c r="E290" i="9" s="1"/>
  <c r="E291" i="9" s="1"/>
  <c r="E292" i="9" s="1"/>
  <c r="E293" i="9" s="1"/>
  <c r="E294" i="9" s="1"/>
  <c r="E295" i="9" s="1"/>
  <c r="E296" i="9" s="1"/>
  <c r="E297" i="9" s="1"/>
  <c r="E298" i="9" s="1"/>
  <c r="E299" i="9" s="1"/>
  <c r="E300" i="9" s="1"/>
  <c r="E301" i="9" s="1"/>
  <c r="E302" i="9" s="1"/>
  <c r="E303" i="9" s="1"/>
  <c r="E304" i="9" s="1"/>
  <c r="E305" i="9" s="1"/>
  <c r="E306" i="9" s="1"/>
  <c r="E307" i="9" s="1"/>
  <c r="E308" i="9" s="1"/>
  <c r="E309" i="9" s="1"/>
  <c r="E310" i="9" s="1"/>
  <c r="E311" i="9" s="1"/>
  <c r="E312" i="9" s="1"/>
  <c r="E313" i="9" s="1"/>
  <c r="E314" i="9" s="1"/>
  <c r="E315" i="9" s="1"/>
  <c r="E316" i="9" s="1"/>
  <c r="E317" i="9" s="1"/>
  <c r="E318" i="9" s="1"/>
  <c r="E319" i="9" s="1"/>
  <c r="E320" i="9" s="1"/>
  <c r="E321" i="9" s="1"/>
  <c r="E322" i="9" s="1"/>
  <c r="E323" i="9" s="1"/>
  <c r="E324" i="9" s="1"/>
  <c r="E325" i="9" s="1"/>
  <c r="E326" i="9" s="1"/>
  <c r="E327" i="9" s="1"/>
  <c r="E328" i="9" s="1"/>
  <c r="E329" i="9" s="1"/>
  <c r="E330" i="9" s="1"/>
  <c r="E331" i="9" s="1"/>
  <c r="E332" i="9" s="1"/>
  <c r="E333" i="9" s="1"/>
  <c r="E334" i="9" s="1"/>
  <c r="E335" i="9" s="1"/>
  <c r="E336" i="9" s="1"/>
  <c r="E337" i="9" s="1"/>
  <c r="E338" i="9" s="1"/>
  <c r="E339" i="9" s="1"/>
  <c r="E340" i="9" s="1"/>
  <c r="E341" i="9" s="1"/>
  <c r="E342" i="9" s="1"/>
  <c r="E343" i="9" s="1"/>
  <c r="E344" i="9" s="1"/>
  <c r="E345" i="9" s="1"/>
  <c r="E346" i="9" s="1"/>
  <c r="E347" i="9" s="1"/>
  <c r="E348" i="9" s="1"/>
  <c r="E349" i="9" s="1"/>
  <c r="E350" i="9" s="1"/>
  <c r="E351" i="9" s="1"/>
  <c r="E352" i="9" s="1"/>
  <c r="E353" i="9" s="1"/>
  <c r="E354" i="9" s="1"/>
  <c r="E355" i="9" s="1"/>
  <c r="E356" i="9" s="1"/>
  <c r="E357" i="9" s="1"/>
  <c r="E358" i="9" s="1"/>
  <c r="E359" i="9" s="1"/>
  <c r="E360" i="9" s="1"/>
  <c r="E361" i="9" s="1"/>
  <c r="E362" i="9" s="1"/>
  <c r="E363" i="9" s="1"/>
  <c r="E364" i="9" s="1"/>
  <c r="E365" i="9" s="1"/>
  <c r="E366" i="9" s="1"/>
  <c r="E367" i="9" s="1"/>
  <c r="E368" i="9" s="1"/>
  <c r="E369" i="9" s="1"/>
  <c r="E370" i="9" s="1"/>
  <c r="E371" i="9" s="1"/>
  <c r="E372" i="9" s="1"/>
  <c r="E373" i="9" s="1"/>
  <c r="E374" i="9" s="1"/>
  <c r="E375" i="9" s="1"/>
  <c r="E376" i="9" s="1"/>
  <c r="C19" i="9"/>
  <c r="C20" i="9"/>
  <c r="C21" i="9"/>
  <c r="C22" i="9"/>
  <c r="C23" i="9" s="1"/>
  <c r="C24" i="9" s="1"/>
  <c r="C25" i="9" s="1"/>
  <c r="E16" i="9"/>
  <c r="E17" i="9" s="1"/>
  <c r="E18" i="9" s="1"/>
  <c r="E19" i="9"/>
  <c r="D16" i="9"/>
  <c r="D17" i="9" s="1"/>
  <c r="H15" i="9"/>
  <c r="C447" i="9"/>
  <c r="C448" i="9"/>
  <c r="C449" i="9" s="1"/>
  <c r="C450" i="9" s="1"/>
  <c r="E446" i="9"/>
  <c r="E447" i="9" s="1"/>
  <c r="E448" i="9" s="1"/>
  <c r="E449" i="9" s="1"/>
  <c r="E450" i="9" s="1"/>
  <c r="E451" i="9" s="1"/>
  <c r="E452" i="9" s="1"/>
  <c r="E453" i="9" s="1"/>
  <c r="E454" i="9"/>
  <c r="E455" i="9" s="1"/>
  <c r="E456" i="9" s="1"/>
  <c r="E457" i="9" s="1"/>
  <c r="E458" i="9" s="1"/>
  <c r="E459" i="9" s="1"/>
  <c r="E460" i="9" s="1"/>
  <c r="E461" i="9" s="1"/>
  <c r="E462" i="9" s="1"/>
  <c r="E463" i="9" s="1"/>
  <c r="E464" i="9" s="1"/>
  <c r="E465" i="9" s="1"/>
  <c r="E466" i="9" s="1"/>
  <c r="E467" i="9" s="1"/>
  <c r="E468" i="9" s="1"/>
  <c r="E469" i="9" s="1"/>
  <c r="E470" i="9" s="1"/>
  <c r="E471" i="9" s="1"/>
  <c r="E472" i="9" s="1"/>
  <c r="E473" i="9" s="1"/>
  <c r="E474" i="9" s="1"/>
  <c r="E475" i="9" s="1"/>
  <c r="E476" i="9" s="1"/>
  <c r="E477" i="9" s="1"/>
  <c r="E478" i="9" s="1"/>
  <c r="E479" i="9" s="1"/>
  <c r="E480" i="9" s="1"/>
  <c r="E481" i="9" s="1"/>
  <c r="E482" i="9" s="1"/>
  <c r="E483" i="9" s="1"/>
  <c r="E484" i="9" s="1"/>
  <c r="E485" i="9" s="1"/>
  <c r="E486" i="9" s="1"/>
  <c r="E487" i="9" s="1"/>
  <c r="E488" i="9" s="1"/>
  <c r="E489" i="9" s="1"/>
  <c r="E490" i="9" s="1"/>
  <c r="E491" i="9" s="1"/>
  <c r="E492" i="9" s="1"/>
  <c r="E493" i="9" s="1"/>
  <c r="E494" i="9" s="1"/>
  <c r="E495" i="9" s="1"/>
  <c r="E496" i="9" s="1"/>
  <c r="E497" i="9" s="1"/>
  <c r="E498" i="9" s="1"/>
  <c r="E499" i="9" s="1"/>
  <c r="E500" i="9" s="1"/>
  <c r="E501" i="9" s="1"/>
  <c r="E502" i="9" s="1"/>
  <c r="E503" i="9" s="1"/>
  <c r="E504" i="9" s="1"/>
  <c r="E505" i="9" s="1"/>
  <c r="E506" i="9" s="1"/>
  <c r="E507" i="9" s="1"/>
  <c r="E508" i="9" s="1"/>
  <c r="E509" i="9" s="1"/>
  <c r="E510" i="9" s="1"/>
  <c r="E511" i="9" s="1"/>
  <c r="E512" i="9" s="1"/>
  <c r="E513" i="9" s="1"/>
  <c r="E514" i="9" s="1"/>
  <c r="E515" i="9" s="1"/>
  <c r="E516" i="9" s="1"/>
  <c r="E517" i="9" s="1"/>
  <c r="E518" i="9" s="1"/>
  <c r="E519" i="9" s="1"/>
  <c r="E520" i="9" s="1"/>
  <c r="E521" i="9" s="1"/>
  <c r="E522" i="9" s="1"/>
  <c r="E523" i="9" s="1"/>
  <c r="E524" i="9" s="1"/>
  <c r="E525" i="9" s="1"/>
  <c r="E526" i="9" s="1"/>
  <c r="E527" i="9" s="1"/>
  <c r="E528" i="9" s="1"/>
  <c r="E529" i="9" s="1"/>
  <c r="E530" i="9" s="1"/>
  <c r="E531" i="9" s="1"/>
  <c r="E532" i="9" s="1"/>
  <c r="E533" i="9" s="1"/>
  <c r="E534" i="9" s="1"/>
  <c r="E535" i="9" s="1"/>
  <c r="E536" i="9" s="1"/>
  <c r="E537" i="9" s="1"/>
  <c r="E538" i="9" s="1"/>
  <c r="E539" i="9" s="1"/>
  <c r="E540" i="9" s="1"/>
  <c r="E541" i="9" s="1"/>
  <c r="E542" i="9" s="1"/>
  <c r="E543" i="9" s="1"/>
  <c r="E544" i="9" s="1"/>
  <c r="E545" i="9" s="1"/>
  <c r="E546" i="9" s="1"/>
  <c r="E547" i="9" s="1"/>
  <c r="E549" i="9"/>
  <c r="E550" i="9"/>
  <c r="E551" i="9"/>
  <c r="E552" i="9"/>
  <c r="E553" i="9" s="1"/>
  <c r="E554" i="9" s="1"/>
  <c r="E555" i="9"/>
  <c r="E556" i="9" s="1"/>
  <c r="E558" i="9"/>
  <c r="E559" i="9"/>
  <c r="E560" i="9"/>
  <c r="E561" i="9" s="1"/>
  <c r="E562" i="9" s="1"/>
  <c r="E618" i="9"/>
  <c r="E619" i="9"/>
  <c r="E620" i="9"/>
  <c r="E621" i="9" s="1"/>
  <c r="E622" i="9" s="1"/>
  <c r="E623" i="9" s="1"/>
  <c r="E624" i="9" s="1"/>
  <c r="E625" i="9" s="1"/>
  <c r="E626" i="9" s="1"/>
  <c r="E627" i="9" s="1"/>
  <c r="E628" i="9" s="1"/>
  <c r="E629" i="9" s="1"/>
  <c r="E630" i="9" s="1"/>
  <c r="E631" i="9" s="1"/>
  <c r="E632" i="9" s="1"/>
  <c r="E633" i="9" s="1"/>
  <c r="E634" i="9" s="1"/>
  <c r="E635" i="9" s="1"/>
  <c r="E636" i="9" s="1"/>
  <c r="E637" i="9" s="1"/>
  <c r="E638" i="9" s="1"/>
  <c r="E639" i="9" s="1"/>
  <c r="E640" i="9" s="1"/>
  <c r="E641" i="9" s="1"/>
  <c r="E642" i="9" s="1"/>
  <c r="E643" i="9" s="1"/>
  <c r="E644" i="9" s="1"/>
  <c r="E645" i="9" s="1"/>
  <c r="E646" i="9" s="1"/>
  <c r="E647" i="9" s="1"/>
  <c r="E648" i="9" s="1"/>
  <c r="E649" i="9" s="1"/>
  <c r="E650" i="9" s="1"/>
  <c r="E651" i="9" s="1"/>
  <c r="E652" i="9"/>
  <c r="E653" i="9" s="1"/>
  <c r="E654" i="9" s="1"/>
  <c r="E655" i="9" s="1"/>
  <c r="E656" i="9" s="1"/>
  <c r="E657" i="9" s="1"/>
  <c r="E659" i="9" s="1"/>
  <c r="E660" i="9" s="1"/>
  <c r="E661" i="9" s="1"/>
  <c r="E662" i="9" s="1"/>
  <c r="E663" i="9" s="1"/>
  <c r="E664" i="9" s="1"/>
  <c r="E665" i="9" s="1"/>
  <c r="E666" i="9" s="1"/>
  <c r="E667" i="9" s="1"/>
  <c r="E668" i="9" s="1"/>
  <c r="E669" i="9" s="1"/>
  <c r="E670" i="9" s="1"/>
  <c r="E781" i="9"/>
  <c r="E782" i="9"/>
  <c r="E784" i="9"/>
  <c r="E785" i="9" s="1"/>
  <c r="E786" i="9" s="1"/>
  <c r="E787" i="9"/>
  <c r="E788" i="9" s="1"/>
  <c r="E789" i="9" s="1"/>
  <c r="E790" i="9" s="1"/>
  <c r="E791" i="9" s="1"/>
  <c r="E792" i="9" s="1"/>
  <c r="E793" i="9" s="1"/>
  <c r="E794" i="9" s="1"/>
  <c r="E795" i="9" s="1"/>
  <c r="E796" i="9" s="1"/>
  <c r="E797" i="9" s="1"/>
  <c r="E798" i="9" s="1"/>
  <c r="E799" i="9" s="1"/>
  <c r="E800" i="9" s="1"/>
  <c r="E801" i="9" s="1"/>
  <c r="E802" i="9" s="1"/>
  <c r="E803" i="9" s="1"/>
  <c r="E804" i="9" s="1"/>
  <c r="E805" i="9" s="1"/>
  <c r="E882" i="9"/>
  <c r="E883" i="9"/>
  <c r="E884" i="9"/>
  <c r="E885" i="9" s="1"/>
  <c r="E886" i="9" s="1"/>
  <c r="E887" i="9" s="1"/>
  <c r="E888" i="9" s="1"/>
  <c r="E889" i="9" s="1"/>
  <c r="E890" i="9" s="1"/>
  <c r="E891" i="9" s="1"/>
  <c r="E892" i="9"/>
  <c r="E893" i="9" s="1"/>
  <c r="E894" i="9" s="1"/>
  <c r="E895" i="9" s="1"/>
  <c r="E896" i="9" s="1"/>
  <c r="E897" i="9" s="1"/>
  <c r="E898" i="9" s="1"/>
  <c r="E899" i="9" s="1"/>
  <c r="E900" i="9" s="1"/>
  <c r="E901" i="9" s="1"/>
  <c r="E902" i="9" s="1"/>
  <c r="E903" i="9" s="1"/>
  <c r="E904" i="9" s="1"/>
  <c r="E905" i="9" s="1"/>
  <c r="E906" i="9" s="1"/>
  <c r="E907" i="9" s="1"/>
  <c r="E908" i="9" s="1"/>
  <c r="E909" i="9" s="1"/>
  <c r="E910" i="9" s="1"/>
  <c r="E911" i="9" s="1"/>
  <c r="E912" i="9" s="1"/>
  <c r="E913" i="9" s="1"/>
  <c r="E914" i="9" s="1"/>
  <c r="E915" i="9" s="1"/>
  <c r="E916" i="9" s="1"/>
  <c r="E917" i="9" s="1"/>
  <c r="E918" i="9" s="1"/>
  <c r="E919" i="9" s="1"/>
  <c r="E920" i="9" s="1"/>
  <c r="E921" i="9" s="1"/>
  <c r="E922" i="9" s="1"/>
  <c r="E923" i="9" s="1"/>
  <c r="E924" i="9" s="1"/>
  <c r="E925" i="9" s="1"/>
  <c r="E926" i="9" s="1"/>
  <c r="E927" i="9" s="1"/>
  <c r="E928" i="9" s="1"/>
  <c r="E929" i="9" s="1"/>
  <c r="E930" i="9" s="1"/>
  <c r="E931" i="9" s="1"/>
  <c r="E932" i="9" s="1"/>
  <c r="E933" i="9" s="1"/>
  <c r="E934" i="9" s="1"/>
  <c r="E935" i="9" s="1"/>
  <c r="E936" i="9" s="1"/>
  <c r="E937" i="9" s="1"/>
  <c r="E938" i="9" s="1"/>
  <c r="E939" i="9" s="1"/>
  <c r="E940" i="9" s="1"/>
  <c r="E941" i="9" s="1"/>
  <c r="E942" i="9" s="1"/>
  <c r="E943" i="9" s="1"/>
  <c r="E944" i="9" s="1"/>
  <c r="E945" i="9" s="1"/>
  <c r="E946" i="9" s="1"/>
  <c r="E947" i="9" s="1"/>
  <c r="E948" i="9" s="1"/>
  <c r="E949" i="9" s="1"/>
  <c r="E950" i="9" s="1"/>
  <c r="E951" i="9" s="1"/>
  <c r="E952" i="9" s="1"/>
  <c r="E953" i="9" s="1"/>
  <c r="E954" i="9" s="1"/>
  <c r="E955" i="9" s="1"/>
  <c r="E956" i="9" s="1"/>
  <c r="E957" i="9" s="1"/>
  <c r="E958" i="9" s="1"/>
  <c r="E959" i="9" s="1"/>
  <c r="E960" i="9" s="1"/>
  <c r="E961" i="9" s="1"/>
  <c r="E962" i="9" s="1"/>
  <c r="E963" i="9" s="1"/>
  <c r="E964" i="9" s="1"/>
  <c r="E965" i="9" s="1"/>
  <c r="E966" i="9" s="1"/>
  <c r="E967" i="9" s="1"/>
  <c r="E968" i="9" s="1"/>
  <c r="E969" i="9" s="1"/>
  <c r="E970" i="9" s="1"/>
  <c r="E971" i="9" s="1"/>
  <c r="E972" i="9" s="1"/>
  <c r="E973" i="9" s="1"/>
  <c r="E974" i="9" s="1"/>
  <c r="E975" i="9" s="1"/>
  <c r="E976" i="9" s="1"/>
  <c r="D446" i="9"/>
  <c r="D447" i="9"/>
  <c r="H445" i="9"/>
  <c r="B7" i="18"/>
  <c r="M1956" i="9"/>
  <c r="P1956" i="9"/>
  <c r="P1954" i="9"/>
  <c r="G31" i="18" s="1"/>
  <c r="M1387" i="9"/>
  <c r="I1387" i="9"/>
  <c r="H1387" i="9"/>
  <c r="M1386" i="9"/>
  <c r="I1386" i="9"/>
  <c r="H1386" i="9"/>
  <c r="M1385" i="9"/>
  <c r="I1385" i="9"/>
  <c r="H1385" i="9"/>
  <c r="I1379" i="9"/>
  <c r="H1379" i="9"/>
  <c r="M1373" i="9"/>
  <c r="I1373" i="9"/>
  <c r="H1373" i="9"/>
  <c r="I1372" i="9"/>
  <c r="H1372" i="9"/>
  <c r="M1371" i="9"/>
  <c r="I1371" i="9"/>
  <c r="H1371" i="9"/>
  <c r="I1365" i="9"/>
  <c r="H1365" i="9"/>
  <c r="I1364" i="9"/>
  <c r="H1364" i="9"/>
  <c r="I1363" i="9"/>
  <c r="H1363" i="9"/>
  <c r="I1362" i="9"/>
  <c r="H1362" i="9"/>
  <c r="M1360" i="9"/>
  <c r="I1360" i="9"/>
  <c r="H1360" i="9"/>
  <c r="M1359" i="9"/>
  <c r="I1359" i="9"/>
  <c r="H1359" i="9"/>
  <c r="M1358" i="9"/>
  <c r="I1358" i="9"/>
  <c r="H1358" i="9"/>
  <c r="I1357" i="9"/>
  <c r="H1357" i="9"/>
  <c r="I1351" i="9"/>
  <c r="H1351" i="9"/>
  <c r="I1350" i="9"/>
  <c r="H1350" i="9"/>
  <c r="M1341" i="9"/>
  <c r="I1341" i="9"/>
  <c r="H1341" i="9"/>
  <c r="I1335" i="9"/>
  <c r="H1335" i="9"/>
  <c r="I1322" i="9"/>
  <c r="H1322" i="9"/>
  <c r="I1316" i="9"/>
  <c r="H1316" i="9"/>
  <c r="I1303" i="9"/>
  <c r="H1303" i="9"/>
  <c r="I1302" i="9"/>
  <c r="H1302" i="9"/>
  <c r="I1301" i="9"/>
  <c r="H1301" i="9"/>
  <c r="I1295" i="9"/>
  <c r="H1295" i="9"/>
  <c r="I1294" i="9"/>
  <c r="H1294" i="9"/>
  <c r="I1293" i="9"/>
  <c r="H1293" i="9"/>
  <c r="I1287" i="9"/>
  <c r="H1287" i="9"/>
  <c r="I1286" i="9"/>
  <c r="H1286" i="9"/>
  <c r="I1285" i="9"/>
  <c r="H1285" i="9"/>
  <c r="I1283" i="9"/>
  <c r="H1283" i="9"/>
  <c r="I1282" i="9"/>
  <c r="H1282" i="9"/>
  <c r="I1281" i="9"/>
  <c r="H1281" i="9"/>
  <c r="I1280" i="9"/>
  <c r="H1280" i="9"/>
  <c r="I1279" i="9"/>
  <c r="H1279" i="9"/>
  <c r="I1278" i="9"/>
  <c r="H1278" i="9"/>
  <c r="I1272" i="9"/>
  <c r="H1272" i="9"/>
  <c r="I1271" i="9"/>
  <c r="H1271" i="9"/>
  <c r="I1233" i="9"/>
  <c r="H1233" i="9"/>
  <c r="I1232" i="9"/>
  <c r="H1232" i="9"/>
  <c r="I1231" i="9"/>
  <c r="H1231" i="9"/>
  <c r="I1214" i="9"/>
  <c r="H1214" i="9"/>
  <c r="I1213" i="9"/>
  <c r="H1213" i="9"/>
  <c r="I1212" i="9"/>
  <c r="H1212" i="9"/>
  <c r="I1211" i="9"/>
  <c r="H1211" i="9"/>
  <c r="M1262" i="9"/>
  <c r="I1262" i="9"/>
  <c r="H1262" i="9"/>
  <c r="I1261" i="9"/>
  <c r="H1261" i="9"/>
  <c r="I1255" i="9"/>
  <c r="H1255" i="9"/>
  <c r="I1254" i="9"/>
  <c r="H1254" i="9"/>
  <c r="I1253" i="9"/>
  <c r="H1253" i="9"/>
  <c r="I1252" i="9"/>
  <c r="H1252" i="9"/>
  <c r="I1251" i="9"/>
  <c r="H1251" i="9"/>
  <c r="I1250" i="9"/>
  <c r="H1250" i="9"/>
  <c r="I1244" i="9"/>
  <c r="H1244" i="9"/>
  <c r="I1243" i="9"/>
  <c r="H1243" i="9"/>
  <c r="I1242" i="9"/>
  <c r="H1242" i="9"/>
  <c r="I1241" i="9"/>
  <c r="H1241" i="9"/>
  <c r="I1240" i="9"/>
  <c r="H1240" i="9"/>
  <c r="I1234" i="9"/>
  <c r="H1234" i="9"/>
  <c r="I1230" i="9"/>
  <c r="H1230" i="9"/>
  <c r="I1229" i="9"/>
  <c r="H1229" i="9"/>
  <c r="I1228" i="9"/>
  <c r="H1228" i="9"/>
  <c r="I1227" i="9"/>
  <c r="H1227" i="9"/>
  <c r="I1226" i="9"/>
  <c r="H1226" i="9"/>
  <c r="I1220" i="9"/>
  <c r="H1220" i="9"/>
  <c r="I1210" i="9"/>
  <c r="H1210" i="9"/>
  <c r="I1209" i="9"/>
  <c r="H1209" i="9"/>
  <c r="I1208" i="9"/>
  <c r="H1208" i="9"/>
  <c r="I1207" i="9"/>
  <c r="H1207" i="9"/>
  <c r="I1206" i="9"/>
  <c r="H1206" i="9"/>
  <c r="M1205" i="9"/>
  <c r="I1205" i="9"/>
  <c r="H1205" i="9"/>
  <c r="M1204" i="9"/>
  <c r="I1204" i="9"/>
  <c r="H1204" i="9"/>
  <c r="I1203" i="9"/>
  <c r="H1203" i="9"/>
  <c r="I1197" i="9"/>
  <c r="H1197" i="9"/>
  <c r="I1190" i="9"/>
  <c r="H1190" i="9"/>
  <c r="I1188" i="9"/>
  <c r="H1188" i="9"/>
  <c r="M1179" i="9"/>
  <c r="I1179" i="9"/>
  <c r="H1179" i="9"/>
  <c r="M1178" i="9"/>
  <c r="I1178" i="9"/>
  <c r="H1178" i="9"/>
  <c r="I1172" i="9"/>
  <c r="H1172" i="9"/>
  <c r="M1171" i="9"/>
  <c r="I1171" i="9"/>
  <c r="H1171" i="9"/>
  <c r="M1170" i="9"/>
  <c r="I1170" i="9"/>
  <c r="H1170" i="9"/>
  <c r="M1169" i="9"/>
  <c r="I1169" i="9"/>
  <c r="H1169" i="9"/>
  <c r="I1168" i="9"/>
  <c r="H1168" i="9"/>
  <c r="M1167" i="9"/>
  <c r="I1167" i="9"/>
  <c r="H1167" i="9"/>
  <c r="M1161" i="9"/>
  <c r="I1161" i="9"/>
  <c r="H1161" i="9"/>
  <c r="I1160" i="9"/>
  <c r="H1160" i="9"/>
  <c r="M1159" i="9"/>
  <c r="I1159" i="9"/>
  <c r="H1159" i="9"/>
  <c r="I1158" i="9"/>
  <c r="H1158" i="9"/>
  <c r="I1157" i="9"/>
  <c r="H1157" i="9"/>
  <c r="I1151" i="9"/>
  <c r="H1151" i="9"/>
  <c r="I1150" i="9"/>
  <c r="O1150" i="9"/>
  <c r="H1150" i="9"/>
  <c r="I1149" i="9"/>
  <c r="H1149" i="9"/>
  <c r="I1148" i="9"/>
  <c r="H1148" i="9"/>
  <c r="I1147" i="9"/>
  <c r="H1147" i="9"/>
  <c r="I1146" i="9"/>
  <c r="H1146" i="9"/>
  <c r="I1140" i="9"/>
  <c r="H1140" i="9"/>
  <c r="I1134" i="9"/>
  <c r="H1134" i="9"/>
  <c r="I1133" i="9"/>
  <c r="H1133" i="9"/>
  <c r="I1132" i="9"/>
  <c r="H1132" i="9"/>
  <c r="I1131" i="9"/>
  <c r="H1131" i="9"/>
  <c r="I1130" i="9"/>
  <c r="H1130" i="9"/>
  <c r="I1129" i="9"/>
  <c r="H1129" i="9"/>
  <c r="I1128" i="9"/>
  <c r="H1128" i="9"/>
  <c r="M1127" i="9"/>
  <c r="I1127" i="9"/>
  <c r="H1127" i="9"/>
  <c r="M1117" i="9"/>
  <c r="I1117" i="9"/>
  <c r="H1117" i="9"/>
  <c r="M1115" i="9"/>
  <c r="I1115" i="9"/>
  <c r="H1115" i="9"/>
  <c r="M1112" i="9"/>
  <c r="I1112" i="9"/>
  <c r="H1112" i="9"/>
  <c r="I1111" i="9"/>
  <c r="H1111" i="9"/>
  <c r="I1105" i="9"/>
  <c r="H1105" i="9"/>
  <c r="I1104" i="9"/>
  <c r="H1104" i="9"/>
  <c r="I1103" i="9"/>
  <c r="H1103" i="9"/>
  <c r="I1097" i="9"/>
  <c r="H1097" i="9"/>
  <c r="I1096" i="9"/>
  <c r="H1096" i="9"/>
  <c r="I1095" i="9"/>
  <c r="H1095" i="9"/>
  <c r="M1094" i="9"/>
  <c r="I1094" i="9"/>
  <c r="H1094" i="9"/>
  <c r="I1093" i="9"/>
  <c r="H1093" i="9"/>
  <c r="I1092" i="9"/>
  <c r="H1092" i="9"/>
  <c r="I1091" i="9"/>
  <c r="L1091" i="9" s="1"/>
  <c r="H1091" i="9"/>
  <c r="I1090" i="9"/>
  <c r="H1090" i="9"/>
  <c r="I1089" i="9"/>
  <c r="H1089" i="9"/>
  <c r="I1088" i="9"/>
  <c r="H1088" i="9"/>
  <c r="I1082" i="9"/>
  <c r="H1082" i="9"/>
  <c r="I1081" i="9"/>
  <c r="H1081" i="9"/>
  <c r="M1072" i="9"/>
  <c r="I1072" i="9"/>
  <c r="H1072" i="9"/>
  <c r="M1071" i="9"/>
  <c r="I1071" i="9"/>
  <c r="H1071" i="9"/>
  <c r="M1070" i="9"/>
  <c r="I1070" i="9"/>
  <c r="H1070" i="9"/>
  <c r="M1064" i="9"/>
  <c r="I1064" i="9"/>
  <c r="H1064" i="9"/>
  <c r="I1063" i="9"/>
  <c r="H1063" i="9"/>
  <c r="I1062" i="9"/>
  <c r="H1062" i="9"/>
  <c r="I1056" i="9"/>
  <c r="H1056" i="9"/>
  <c r="I1055" i="9"/>
  <c r="H1055" i="9"/>
  <c r="I1054" i="9"/>
  <c r="H1054" i="9"/>
  <c r="I1053" i="9"/>
  <c r="H1053" i="9"/>
  <c r="I1052" i="9"/>
  <c r="H1052" i="9"/>
  <c r="I1051" i="9"/>
  <c r="H1051" i="9"/>
  <c r="I1050" i="9"/>
  <c r="H1050" i="9"/>
  <c r="I1044" i="9"/>
  <c r="H1044" i="9"/>
  <c r="I1043" i="9"/>
  <c r="H1043" i="9"/>
  <c r="M1037" i="9"/>
  <c r="I1037" i="9"/>
  <c r="H1037" i="9"/>
  <c r="I1036" i="9"/>
  <c r="H1036" i="9"/>
  <c r="I1035" i="9"/>
  <c r="H1035" i="9"/>
  <c r="I1034" i="9"/>
  <c r="H1034" i="9"/>
  <c r="I1033" i="9"/>
  <c r="H1033" i="9"/>
  <c r="I1032" i="9"/>
  <c r="L1032" i="9"/>
  <c r="H1032" i="9"/>
  <c r="M1031" i="9"/>
  <c r="I1031" i="9"/>
  <c r="H1031" i="9"/>
  <c r="I1030" i="9"/>
  <c r="H1030" i="9"/>
  <c r="I1020" i="9"/>
  <c r="H1020" i="9"/>
  <c r="I1018" i="9"/>
  <c r="H1018" i="9"/>
  <c r="I1017" i="9"/>
  <c r="H1017" i="9"/>
  <c r="I1013" i="9"/>
  <c r="H1013" i="9"/>
  <c r="I1012" i="9"/>
  <c r="H1012" i="9"/>
  <c r="I1011" i="9"/>
  <c r="H1011" i="9"/>
  <c r="I1005" i="9"/>
  <c r="H1005" i="9"/>
  <c r="I1004" i="9"/>
  <c r="H1004" i="9"/>
  <c r="I1003" i="9"/>
  <c r="H1003" i="9"/>
  <c r="I997" i="9"/>
  <c r="H997" i="9"/>
  <c r="I996" i="9"/>
  <c r="H996" i="9"/>
  <c r="I995" i="9"/>
  <c r="H995" i="9"/>
  <c r="M994" i="9"/>
  <c r="I994" i="9"/>
  <c r="H994" i="9"/>
  <c r="I993" i="9"/>
  <c r="H993" i="9"/>
  <c r="I992" i="9"/>
  <c r="H992" i="9"/>
  <c r="I991" i="9"/>
  <c r="H991" i="9"/>
  <c r="I990" i="9"/>
  <c r="H990" i="9"/>
  <c r="I989" i="9"/>
  <c r="H989" i="9"/>
  <c r="I988" i="9"/>
  <c r="H988" i="9"/>
  <c r="I982" i="9"/>
  <c r="H982" i="9"/>
  <c r="I981" i="9"/>
  <c r="H981" i="9"/>
  <c r="M972" i="9"/>
  <c r="I972" i="9"/>
  <c r="H972" i="9"/>
  <c r="M971" i="9"/>
  <c r="I971" i="9"/>
  <c r="H971" i="9"/>
  <c r="M970" i="9"/>
  <c r="I970" i="9"/>
  <c r="H970" i="9"/>
  <c r="I964" i="9"/>
  <c r="H964" i="9"/>
  <c r="I958" i="9"/>
  <c r="H958" i="9"/>
  <c r="I957" i="9"/>
  <c r="H957" i="9"/>
  <c r="I951" i="9"/>
  <c r="H951" i="9"/>
  <c r="I945" i="9"/>
  <c r="H945" i="9"/>
  <c r="H939" i="9"/>
  <c r="M939" i="9"/>
  <c r="I939" i="9"/>
  <c r="M938" i="9"/>
  <c r="I938" i="9"/>
  <c r="H938" i="9"/>
  <c r="I937" i="9"/>
  <c r="H937" i="9"/>
  <c r="I936" i="9"/>
  <c r="H936" i="9"/>
  <c r="M935" i="9"/>
  <c r="I935" i="9"/>
  <c r="H935" i="9"/>
  <c r="I934" i="9"/>
  <c r="H934" i="9"/>
  <c r="I928" i="9"/>
  <c r="H928" i="9"/>
  <c r="I922" i="9"/>
  <c r="H922" i="9"/>
  <c r="I921" i="9"/>
  <c r="H921" i="9"/>
  <c r="I919" i="9"/>
  <c r="H919" i="9"/>
  <c r="I918" i="9"/>
  <c r="H918" i="9"/>
  <c r="I917" i="9"/>
  <c r="H917" i="9"/>
  <c r="I916" i="9"/>
  <c r="H916" i="9"/>
  <c r="I910" i="9"/>
  <c r="H910" i="9"/>
  <c r="I909" i="9"/>
  <c r="H909" i="9"/>
  <c r="I908" i="9"/>
  <c r="H908" i="9"/>
  <c r="I902" i="9"/>
  <c r="H902" i="9"/>
  <c r="I901" i="9"/>
  <c r="H901" i="9"/>
  <c r="I900" i="9"/>
  <c r="H900" i="9"/>
  <c r="I899" i="9"/>
  <c r="H899" i="9"/>
  <c r="I898" i="9"/>
  <c r="H898" i="9"/>
  <c r="I897" i="9"/>
  <c r="H897" i="9"/>
  <c r="I896" i="9"/>
  <c r="H896" i="9"/>
  <c r="I895" i="9"/>
  <c r="H895" i="9"/>
  <c r="I894" i="9"/>
  <c r="H894" i="9"/>
  <c r="I893" i="9"/>
  <c r="H893" i="9"/>
  <c r="I892" i="9"/>
  <c r="H892" i="9"/>
  <c r="I886" i="9"/>
  <c r="H886" i="9"/>
  <c r="I885" i="9"/>
  <c r="H885" i="9"/>
  <c r="I876" i="9"/>
  <c r="H876" i="9"/>
  <c r="I875" i="9"/>
  <c r="H875" i="9"/>
  <c r="I874" i="9"/>
  <c r="H874" i="9"/>
  <c r="I868" i="9"/>
  <c r="H868" i="9"/>
  <c r="I867" i="9"/>
  <c r="H867" i="9"/>
  <c r="I866" i="9"/>
  <c r="H866" i="9"/>
  <c r="I865" i="9"/>
  <c r="H865" i="9"/>
  <c r="I864" i="9"/>
  <c r="H864" i="9"/>
  <c r="I863" i="9"/>
  <c r="H863" i="9"/>
  <c r="I862" i="9"/>
  <c r="H862" i="9"/>
  <c r="I856" i="9"/>
  <c r="H856" i="9"/>
  <c r="I855" i="9"/>
  <c r="H855" i="9"/>
  <c r="I854" i="9"/>
  <c r="H854" i="9"/>
  <c r="I848" i="9"/>
  <c r="H848" i="9"/>
  <c r="I847" i="9"/>
  <c r="H847" i="9"/>
  <c r="I846" i="9"/>
  <c r="H846" i="9"/>
  <c r="I830" i="9"/>
  <c r="H830" i="9"/>
  <c r="I824" i="9"/>
  <c r="H824" i="9"/>
  <c r="I823" i="9"/>
  <c r="H823" i="9"/>
  <c r="I822" i="9"/>
  <c r="H822" i="9"/>
  <c r="I816" i="9"/>
  <c r="H816" i="9"/>
  <c r="I813" i="9"/>
  <c r="H813" i="9"/>
  <c r="M812" i="9"/>
  <c r="I812" i="9"/>
  <c r="H812" i="9"/>
  <c r="I811" i="9"/>
  <c r="H811" i="9"/>
  <c r="I810" i="9"/>
  <c r="H810" i="9"/>
  <c r="I809" i="9"/>
  <c r="H809" i="9"/>
  <c r="I808" i="9"/>
  <c r="H808" i="9"/>
  <c r="I807" i="9"/>
  <c r="H807" i="9"/>
  <c r="I805" i="9"/>
  <c r="H805" i="9"/>
  <c r="I804" i="9"/>
  <c r="H804" i="9"/>
  <c r="I803" i="9"/>
  <c r="H803" i="9"/>
  <c r="I802" i="9"/>
  <c r="H802" i="9"/>
  <c r="I801" i="9"/>
  <c r="H801" i="9"/>
  <c r="I800" i="9"/>
  <c r="H800" i="9"/>
  <c r="I794" i="9"/>
  <c r="H794" i="9"/>
  <c r="I793" i="9"/>
  <c r="H793" i="9"/>
  <c r="I792" i="9"/>
  <c r="H792" i="9"/>
  <c r="I791" i="9"/>
  <c r="H791" i="9"/>
  <c r="I785" i="9"/>
  <c r="H785" i="9"/>
  <c r="M776" i="9"/>
  <c r="I776" i="9"/>
  <c r="H776" i="9"/>
  <c r="M775" i="9"/>
  <c r="I775" i="9"/>
  <c r="H775" i="9"/>
  <c r="M774" i="9"/>
  <c r="I774" i="9"/>
  <c r="H774" i="9"/>
  <c r="M773" i="9"/>
  <c r="I773" i="9"/>
  <c r="H773" i="9"/>
  <c r="I757" i="9"/>
  <c r="H757" i="9"/>
  <c r="I756" i="9"/>
  <c r="H756" i="9"/>
  <c r="I755" i="9"/>
  <c r="H755" i="9"/>
  <c r="I754" i="9"/>
  <c r="H754" i="9"/>
  <c r="I753" i="9"/>
  <c r="H753" i="9"/>
  <c r="I752" i="9"/>
  <c r="H752" i="9"/>
  <c r="I751" i="9"/>
  <c r="H751" i="9"/>
  <c r="I750" i="9"/>
  <c r="H750" i="9"/>
  <c r="I749" i="9"/>
  <c r="H749" i="9"/>
  <c r="I748" i="9"/>
  <c r="H748" i="9"/>
  <c r="I741" i="9"/>
  <c r="H741" i="9"/>
  <c r="M772" i="9"/>
  <c r="I772" i="9"/>
  <c r="H772" i="9"/>
  <c r="M771" i="9"/>
  <c r="I771" i="9"/>
  <c r="H771" i="9"/>
  <c r="I747" i="9"/>
  <c r="H747" i="9"/>
  <c r="I740" i="9"/>
  <c r="H740" i="9"/>
  <c r="I739" i="9"/>
  <c r="H739" i="9"/>
  <c r="I733" i="9"/>
  <c r="H733" i="9"/>
  <c r="I732" i="9"/>
  <c r="H732" i="9"/>
  <c r="I731" i="9"/>
  <c r="H731" i="9"/>
  <c r="I723" i="9"/>
  <c r="H723" i="9"/>
  <c r="I722" i="9"/>
  <c r="H722" i="9"/>
  <c r="I721" i="9"/>
  <c r="H721" i="9"/>
  <c r="I720" i="9"/>
  <c r="K720" i="9" s="1"/>
  <c r="H720" i="9"/>
  <c r="I719" i="9"/>
  <c r="H719" i="9"/>
  <c r="I718" i="9"/>
  <c r="H718" i="9"/>
  <c r="I717" i="9"/>
  <c r="H717" i="9"/>
  <c r="I716" i="9"/>
  <c r="H716" i="9"/>
  <c r="I715" i="9"/>
  <c r="H715" i="9"/>
  <c r="I714" i="9"/>
  <c r="H714" i="9"/>
  <c r="I713" i="9"/>
  <c r="H713" i="9"/>
  <c r="I712" i="9"/>
  <c r="H712" i="9"/>
  <c r="I711" i="9"/>
  <c r="H711" i="9"/>
  <c r="I710" i="9"/>
  <c r="H710" i="9"/>
  <c r="I709" i="9"/>
  <c r="H709" i="9"/>
  <c r="I703" i="9"/>
  <c r="H703" i="9"/>
  <c r="I702" i="9"/>
  <c r="H702" i="9"/>
  <c r="I701" i="9"/>
  <c r="H701" i="9"/>
  <c r="D34" i="8"/>
  <c r="M692" i="9"/>
  <c r="I692" i="9"/>
  <c r="H692" i="9"/>
  <c r="M691" i="9"/>
  <c r="I691" i="9"/>
  <c r="H691" i="9"/>
  <c r="M690" i="9"/>
  <c r="I690" i="9"/>
  <c r="H690" i="9"/>
  <c r="M689" i="9"/>
  <c r="I689" i="9"/>
  <c r="H689" i="9"/>
  <c r="I683" i="9"/>
  <c r="H683" i="9"/>
  <c r="I682" i="9"/>
  <c r="H682" i="9"/>
  <c r="I676" i="9"/>
  <c r="H676" i="9"/>
  <c r="I656" i="9"/>
  <c r="H656" i="9"/>
  <c r="I655" i="9"/>
  <c r="H655" i="9"/>
  <c r="I654" i="9"/>
  <c r="H654" i="9"/>
  <c r="I653" i="9"/>
  <c r="H653" i="9"/>
  <c r="I652" i="9"/>
  <c r="H652" i="9"/>
  <c r="I651" i="9"/>
  <c r="H651" i="9"/>
  <c r="I645" i="9"/>
  <c r="H645" i="9"/>
  <c r="I664" i="9"/>
  <c r="H664" i="9"/>
  <c r="I663" i="9"/>
  <c r="H663" i="9"/>
  <c r="I644" i="9"/>
  <c r="H644" i="9"/>
  <c r="I643" i="9"/>
  <c r="H643" i="9"/>
  <c r="I635" i="9"/>
  <c r="H635" i="9"/>
  <c r="I634" i="9"/>
  <c r="H634" i="9"/>
  <c r="I633" i="9"/>
  <c r="H633" i="9"/>
  <c r="I632" i="9"/>
  <c r="H632" i="9"/>
  <c r="I631" i="9"/>
  <c r="H631" i="9"/>
  <c r="I630" i="9"/>
  <c r="H630" i="9"/>
  <c r="I629" i="9"/>
  <c r="H629" i="9"/>
  <c r="I623" i="9"/>
  <c r="H623" i="9"/>
  <c r="I621" i="9"/>
  <c r="H621" i="9"/>
  <c r="M612" i="9"/>
  <c r="I612" i="9"/>
  <c r="H612" i="9"/>
  <c r="I611" i="9"/>
  <c r="H611" i="9"/>
  <c r="I585" i="9"/>
  <c r="H585" i="9"/>
  <c r="I571" i="9"/>
  <c r="H571" i="9"/>
  <c r="I564" i="9"/>
  <c r="H564" i="9"/>
  <c r="I563" i="9"/>
  <c r="H563" i="9"/>
  <c r="I562" i="9"/>
  <c r="H562" i="9"/>
  <c r="I559" i="9"/>
  <c r="H559" i="9"/>
  <c r="I552" i="9"/>
  <c r="H552" i="9"/>
  <c r="M544" i="9"/>
  <c r="I544" i="9"/>
  <c r="H544" i="9"/>
  <c r="M543" i="9"/>
  <c r="I543" i="9"/>
  <c r="H543" i="9"/>
  <c r="M542" i="9"/>
  <c r="I542" i="9"/>
  <c r="H542" i="9"/>
  <c r="I535" i="9"/>
  <c r="H535" i="9"/>
  <c r="I534" i="9"/>
  <c r="H534" i="9"/>
  <c r="I528" i="9"/>
  <c r="H528" i="9"/>
  <c r="I527" i="9"/>
  <c r="H527" i="9"/>
  <c r="F335" i="7"/>
  <c r="M335" i="7"/>
  <c r="F336" i="7"/>
  <c r="M336" i="7" s="1"/>
  <c r="I521" i="9"/>
  <c r="H521" i="9"/>
  <c r="I519" i="9"/>
  <c r="H519" i="9"/>
  <c r="M513" i="9"/>
  <c r="I513" i="9"/>
  <c r="H513" i="9"/>
  <c r="M512" i="9"/>
  <c r="I512" i="9"/>
  <c r="H512" i="9"/>
  <c r="M511" i="9"/>
  <c r="I511" i="9"/>
  <c r="H511" i="9"/>
  <c r="M510" i="9"/>
  <c r="I510" i="9"/>
  <c r="H510" i="9"/>
  <c r="I509" i="9"/>
  <c r="H509" i="9"/>
  <c r="M508" i="9"/>
  <c r="I508" i="9"/>
  <c r="H508" i="9"/>
  <c r="I502" i="9"/>
  <c r="H502" i="9"/>
  <c r="I495" i="9"/>
  <c r="H495" i="9"/>
  <c r="I494" i="9"/>
  <c r="H494" i="9"/>
  <c r="I493" i="9"/>
  <c r="H493" i="9"/>
  <c r="I492" i="9"/>
  <c r="H492" i="9"/>
  <c r="I491" i="9"/>
  <c r="H491" i="9"/>
  <c r="I485" i="9"/>
  <c r="H485" i="9"/>
  <c r="I484" i="9"/>
  <c r="H484" i="9"/>
  <c r="I483" i="9"/>
  <c r="H483" i="9"/>
  <c r="I482" i="9"/>
  <c r="H482" i="9"/>
  <c r="I481" i="9"/>
  <c r="H481" i="9"/>
  <c r="I480" i="9"/>
  <c r="H480" i="9"/>
  <c r="I473" i="9"/>
  <c r="H473" i="9"/>
  <c r="I472" i="9"/>
  <c r="H472" i="9"/>
  <c r="I461" i="9"/>
  <c r="H461" i="9"/>
  <c r="I460" i="9"/>
  <c r="H460" i="9"/>
  <c r="I459" i="9"/>
  <c r="H459" i="9"/>
  <c r="I458" i="9"/>
  <c r="H458" i="9"/>
  <c r="I452" i="9"/>
  <c r="H452" i="9"/>
  <c r="I451" i="9"/>
  <c r="H451" i="9"/>
  <c r="F401" i="36"/>
  <c r="I400" i="36"/>
  <c r="F400" i="36"/>
  <c r="H389" i="36"/>
  <c r="H410" i="36"/>
  <c r="J409" i="36"/>
  <c r="I379" i="36"/>
  <c r="G349" i="36"/>
  <c r="F349" i="36"/>
  <c r="F379" i="36"/>
  <c r="G362" i="36"/>
  <c r="F362" i="36"/>
  <c r="F358" i="36"/>
  <c r="F357" i="36"/>
  <c r="D403" i="36"/>
  <c r="D293" i="36"/>
  <c r="K230" i="36"/>
  <c r="M189" i="36"/>
  <c r="D231" i="36"/>
  <c r="G185" i="36"/>
  <c r="F185" i="36"/>
  <c r="E187" i="36"/>
  <c r="M187" i="36" s="1"/>
  <c r="E220" i="36"/>
  <c r="E219" i="36"/>
  <c r="M219" i="36"/>
  <c r="E218" i="36"/>
  <c r="M218" i="36" s="1"/>
  <c r="E217" i="36"/>
  <c r="M217" i="36"/>
  <c r="E216" i="36"/>
  <c r="M216" i="36" s="1"/>
  <c r="E215" i="36"/>
  <c r="M215" i="36"/>
  <c r="E214" i="36"/>
  <c r="M214" i="36" s="1"/>
  <c r="E213" i="36"/>
  <c r="M213" i="36"/>
  <c r="E212" i="36"/>
  <c r="M212" i="36" s="1"/>
  <c r="E211" i="36"/>
  <c r="M211" i="36"/>
  <c r="E210" i="36"/>
  <c r="M210" i="36" s="1"/>
  <c r="E209" i="36"/>
  <c r="E202" i="36"/>
  <c r="M202" i="36"/>
  <c r="E200" i="36"/>
  <c r="E197" i="36"/>
  <c r="E195" i="36"/>
  <c r="M195" i="36"/>
  <c r="E193" i="36"/>
  <c r="M193" i="36"/>
  <c r="E192" i="36"/>
  <c r="M192" i="36"/>
  <c r="E191" i="36"/>
  <c r="M191" i="36"/>
  <c r="E188" i="36"/>
  <c r="M188" i="36"/>
  <c r="I220" i="36"/>
  <c r="F220" i="36"/>
  <c r="F209" i="36"/>
  <c r="G203" i="36"/>
  <c r="F203" i="36"/>
  <c r="M201" i="36"/>
  <c r="F200" i="36"/>
  <c r="F199" i="36"/>
  <c r="M199" i="36" s="1"/>
  <c r="F198" i="36"/>
  <c r="M198" i="36"/>
  <c r="F197" i="36"/>
  <c r="D118" i="36"/>
  <c r="D105" i="36"/>
  <c r="D103" i="36"/>
  <c r="D101" i="36"/>
  <c r="D99" i="36"/>
  <c r="M83" i="36"/>
  <c r="D69" i="36"/>
  <c r="D63" i="36"/>
  <c r="D57" i="36"/>
  <c r="M29" i="36"/>
  <c r="M552" i="9"/>
  <c r="D434" i="36"/>
  <c r="D432" i="36"/>
  <c r="D412" i="36"/>
  <c r="D386" i="36"/>
  <c r="D334" i="36"/>
  <c r="D113" i="36"/>
  <c r="D111" i="36"/>
  <c r="D109" i="36"/>
  <c r="K95" i="36"/>
  <c r="D95" i="36"/>
  <c r="K93" i="36"/>
  <c r="D93" i="36"/>
  <c r="D87" i="36"/>
  <c r="D83" i="36"/>
  <c r="D81" i="36"/>
  <c r="D79" i="36"/>
  <c r="D77" i="36"/>
  <c r="D75" i="36"/>
  <c r="D73" i="36"/>
  <c r="J71" i="36"/>
  <c r="J73" i="36"/>
  <c r="J75" i="36" s="1"/>
  <c r="J77" i="36" s="1"/>
  <c r="J79" i="36"/>
  <c r="J81" i="36" s="1"/>
  <c r="D71" i="36"/>
  <c r="D67" i="36"/>
  <c r="K65" i="36"/>
  <c r="K67" i="36" s="1"/>
  <c r="D65" i="36"/>
  <c r="D61" i="36"/>
  <c r="K59" i="36"/>
  <c r="K61" i="36" s="1"/>
  <c r="D59" i="36"/>
  <c r="D55" i="36"/>
  <c r="K53" i="36"/>
  <c r="K71" i="36" s="1"/>
  <c r="J53" i="36"/>
  <c r="J55" i="36"/>
  <c r="J59" i="36"/>
  <c r="J61" i="36" s="1"/>
  <c r="J65" i="36" s="1"/>
  <c r="J67" i="36" s="1"/>
  <c r="D53" i="36"/>
  <c r="D33" i="36"/>
  <c r="M31" i="36"/>
  <c r="M33" i="36"/>
  <c r="D29" i="36"/>
  <c r="M14" i="36"/>
  <c r="K103" i="36" s="1"/>
  <c r="M13" i="36"/>
  <c r="K111" i="36"/>
  <c r="I170" i="39"/>
  <c r="I169" i="39"/>
  <c r="I37" i="32"/>
  <c r="BD37" i="32"/>
  <c r="I36" i="32"/>
  <c r="BD36" i="32" s="1"/>
  <c r="D182" i="39"/>
  <c r="F169" i="39"/>
  <c r="D121" i="39"/>
  <c r="H164" i="39"/>
  <c r="M164" i="39"/>
  <c r="J141" i="39"/>
  <c r="I151" i="39" s="1"/>
  <c r="M149" i="39"/>
  <c r="I139" i="39"/>
  <c r="J139" i="39"/>
  <c r="J140" i="39"/>
  <c r="G137" i="39"/>
  <c r="D118" i="39"/>
  <c r="D115" i="39"/>
  <c r="D111" i="39"/>
  <c r="D108" i="39"/>
  <c r="M45" i="39"/>
  <c r="M35" i="39"/>
  <c r="M37" i="39" s="1"/>
  <c r="M623" i="9" s="1"/>
  <c r="D180" i="39"/>
  <c r="D178" i="39"/>
  <c r="D174" i="39"/>
  <c r="D172" i="39"/>
  <c r="D165" i="39"/>
  <c r="D157" i="39"/>
  <c r="D155" i="39"/>
  <c r="D143" i="39"/>
  <c r="D105" i="39"/>
  <c r="D102" i="39"/>
  <c r="D97" i="39"/>
  <c r="D95" i="39"/>
  <c r="D93" i="39"/>
  <c r="K89" i="39"/>
  <c r="K87" i="39"/>
  <c r="D81" i="39"/>
  <c r="K79" i="39"/>
  <c r="I101" i="39"/>
  <c r="G101" i="39"/>
  <c r="G104" i="39" s="1"/>
  <c r="M77" i="39"/>
  <c r="D77" i="39"/>
  <c r="D75" i="39"/>
  <c r="D73" i="39"/>
  <c r="D71" i="39"/>
  <c r="D69" i="39"/>
  <c r="D67" i="39"/>
  <c r="J65" i="39"/>
  <c r="J67" i="39"/>
  <c r="J69" i="39"/>
  <c r="J71" i="39"/>
  <c r="J73" i="39" s="1"/>
  <c r="J75" i="39" s="1"/>
  <c r="D65" i="39"/>
  <c r="D63" i="39"/>
  <c r="K61" i="39"/>
  <c r="D61" i="39"/>
  <c r="D59" i="39"/>
  <c r="K57" i="39"/>
  <c r="K69" i="39" s="1"/>
  <c r="D57" i="39"/>
  <c r="D55" i="39"/>
  <c r="K53" i="39"/>
  <c r="K55" i="39" s="1"/>
  <c r="J53" i="39"/>
  <c r="J55" i="39" s="1"/>
  <c r="J57" i="39" s="1"/>
  <c r="J59" i="39" s="1"/>
  <c r="J61" i="39" s="1"/>
  <c r="J63" i="39"/>
  <c r="D53" i="39"/>
  <c r="M51" i="39"/>
  <c r="D37" i="39"/>
  <c r="D29" i="39"/>
  <c r="M14" i="39"/>
  <c r="K97" i="39"/>
  <c r="M13" i="39"/>
  <c r="G44" i="40"/>
  <c r="M44" i="40" s="1"/>
  <c r="I83" i="40" s="1"/>
  <c r="M83" i="40" s="1"/>
  <c r="F44" i="40"/>
  <c r="K44" i="40"/>
  <c r="J83" i="40"/>
  <c r="M1335" i="9"/>
  <c r="M143" i="40"/>
  <c r="M1322" i="9"/>
  <c r="M137" i="40"/>
  <c r="M138" i="40"/>
  <c r="M139" i="40" s="1"/>
  <c r="M1316" i="9" s="1"/>
  <c r="M136" i="40"/>
  <c r="H115" i="40"/>
  <c r="I115" i="40"/>
  <c r="J115" i="40"/>
  <c r="H116" i="40"/>
  <c r="I116" i="40"/>
  <c r="J116" i="40"/>
  <c r="M116" i="40" s="1"/>
  <c r="H117" i="40"/>
  <c r="H147" i="40" s="1"/>
  <c r="H151" i="40" s="1"/>
  <c r="I117" i="40"/>
  <c r="I147" i="40" s="1"/>
  <c r="I151" i="40" s="1"/>
  <c r="J117" i="40"/>
  <c r="J147" i="40"/>
  <c r="J151" i="40" s="1"/>
  <c r="H118" i="40"/>
  <c r="H152" i="40"/>
  <c r="I118" i="40"/>
  <c r="J118" i="40"/>
  <c r="J152" i="40" s="1"/>
  <c r="G116" i="40"/>
  <c r="G117" i="40"/>
  <c r="G118" i="40"/>
  <c r="G152" i="40"/>
  <c r="G115" i="40"/>
  <c r="M108" i="40"/>
  <c r="K32" i="40"/>
  <c r="G43" i="40" s="1"/>
  <c r="J32" i="40"/>
  <c r="M107" i="40"/>
  <c r="M113" i="40"/>
  <c r="M1304" i="9" s="1"/>
  <c r="M106" i="40"/>
  <c r="K92" i="40"/>
  <c r="K88" i="40"/>
  <c r="K86" i="40"/>
  <c r="I78" i="40"/>
  <c r="G100" i="40"/>
  <c r="I103" i="40" s="1"/>
  <c r="J64" i="40"/>
  <c r="J66" i="40"/>
  <c r="J68" i="40"/>
  <c r="J70" i="40" s="1"/>
  <c r="J72" i="40" s="1"/>
  <c r="J74" i="40" s="1"/>
  <c r="K60" i="40"/>
  <c r="K72" i="40"/>
  <c r="K56" i="40"/>
  <c r="K68" i="40"/>
  <c r="K52" i="40"/>
  <c r="K64" i="40"/>
  <c r="J52" i="40"/>
  <c r="J54" i="40"/>
  <c r="M50" i="40"/>
  <c r="F43" i="40"/>
  <c r="E43" i="40"/>
  <c r="M41" i="40"/>
  <c r="M14" i="40"/>
  <c r="M13" i="40"/>
  <c r="K94" i="40" s="1"/>
  <c r="BS33" i="32"/>
  <c r="M33" i="32"/>
  <c r="L33" i="32"/>
  <c r="F33" i="32"/>
  <c r="N33" i="32"/>
  <c r="J253" i="34"/>
  <c r="J254" i="34"/>
  <c r="I253" i="34"/>
  <c r="I254" i="34"/>
  <c r="J249" i="34"/>
  <c r="J250" i="34"/>
  <c r="I250" i="34"/>
  <c r="I249" i="34"/>
  <c r="J251" i="34"/>
  <c r="I251" i="34"/>
  <c r="H251" i="34"/>
  <c r="K242" i="34"/>
  <c r="H254" i="34"/>
  <c r="H253" i="34"/>
  <c r="H252" i="34"/>
  <c r="H250" i="34"/>
  <c r="H249" i="34"/>
  <c r="H246" i="34"/>
  <c r="K232" i="34"/>
  <c r="J232" i="34"/>
  <c r="M232" i="34" s="1"/>
  <c r="M1051" i="9" s="1"/>
  <c r="I224" i="34"/>
  <c r="M224" i="34"/>
  <c r="H179" i="34"/>
  <c r="I179" i="34"/>
  <c r="G179" i="34"/>
  <c r="G180" i="34"/>
  <c r="M180" i="34"/>
  <c r="M210" i="34"/>
  <c r="M1034" i="9" s="1"/>
  <c r="M223" i="34"/>
  <c r="M170" i="34"/>
  <c r="M147" i="34"/>
  <c r="M154" i="34" s="1"/>
  <c r="M160" i="34" s="1"/>
  <c r="M1014" i="9" s="1"/>
  <c r="J222" i="34"/>
  <c r="M220" i="34"/>
  <c r="K222" i="34"/>
  <c r="M222" i="34"/>
  <c r="M203" i="34"/>
  <c r="M1032" i="9" s="1"/>
  <c r="M214" i="34"/>
  <c r="M1036" i="9"/>
  <c r="M175" i="34"/>
  <c r="H152" i="34"/>
  <c r="M152" i="34" s="1"/>
  <c r="M156" i="34" s="1"/>
  <c r="M164" i="34" s="1"/>
  <c r="M1016" i="9" s="1"/>
  <c r="J150" i="34"/>
  <c r="J173" i="34" s="1"/>
  <c r="M172" i="34"/>
  <c r="M171" i="34"/>
  <c r="M169" i="34"/>
  <c r="M167" i="34"/>
  <c r="M166" i="34"/>
  <c r="J242" i="34"/>
  <c r="M242" i="34" s="1"/>
  <c r="M1056" i="9" s="1"/>
  <c r="H168" i="34"/>
  <c r="I242" i="34" s="1"/>
  <c r="M148" i="34"/>
  <c r="M146" i="34"/>
  <c r="M149" i="34"/>
  <c r="I145" i="34"/>
  <c r="H145" i="34"/>
  <c r="M145" i="34"/>
  <c r="M144" i="34"/>
  <c r="M155" i="34" s="1"/>
  <c r="M162" i="34" s="1"/>
  <c r="M1015" i="9" s="1"/>
  <c r="J108" i="34"/>
  <c r="J110" i="34"/>
  <c r="J107" i="34"/>
  <c r="J99" i="34"/>
  <c r="K99" i="34"/>
  <c r="I129" i="34" s="1"/>
  <c r="J100" i="34"/>
  <c r="H130" i="34"/>
  <c r="J137" i="34"/>
  <c r="K100" i="34"/>
  <c r="I130" i="34" s="1"/>
  <c r="K137" i="34" s="1"/>
  <c r="J102" i="34"/>
  <c r="H132" i="34" s="1"/>
  <c r="J139" i="34" s="1"/>
  <c r="K102" i="34"/>
  <c r="I132" i="34"/>
  <c r="K139" i="34"/>
  <c r="I100" i="34"/>
  <c r="I101" i="34"/>
  <c r="G131" i="34"/>
  <c r="I102" i="34"/>
  <c r="G132" i="34" s="1"/>
  <c r="I103" i="34"/>
  <c r="G133" i="34" s="1"/>
  <c r="I140" i="34" s="1"/>
  <c r="I99" i="34"/>
  <c r="G129" i="34"/>
  <c r="F54" i="34"/>
  <c r="G54" i="34"/>
  <c r="F56" i="34"/>
  <c r="G56" i="34"/>
  <c r="E54" i="34"/>
  <c r="E55" i="34"/>
  <c r="E56" i="34"/>
  <c r="E57" i="34"/>
  <c r="E53" i="34"/>
  <c r="K33" i="34"/>
  <c r="F57" i="34"/>
  <c r="K32" i="34"/>
  <c r="J32" i="34"/>
  <c r="M32" i="34" s="1"/>
  <c r="M40" i="34"/>
  <c r="G53" i="34"/>
  <c r="K39" i="34"/>
  <c r="M39" i="34" s="1"/>
  <c r="J252" i="34"/>
  <c r="J39" i="34"/>
  <c r="J31" i="34"/>
  <c r="K121" i="34"/>
  <c r="K117" i="34"/>
  <c r="K115" i="34"/>
  <c r="J85" i="34"/>
  <c r="J87" i="34"/>
  <c r="J89" i="34"/>
  <c r="J91" i="34" s="1"/>
  <c r="J93" i="34" s="1"/>
  <c r="J95" i="34" s="1"/>
  <c r="K81" i="34"/>
  <c r="K77" i="34"/>
  <c r="K79" i="34" s="1"/>
  <c r="K91" i="34" s="1"/>
  <c r="K73" i="34"/>
  <c r="K85" i="34"/>
  <c r="J73" i="34"/>
  <c r="J75" i="34" s="1"/>
  <c r="M71" i="34"/>
  <c r="M63" i="34"/>
  <c r="M61" i="34"/>
  <c r="M51" i="34"/>
  <c r="K56" i="34"/>
  <c r="K55" i="34"/>
  <c r="M38" i="34"/>
  <c r="K29" i="34"/>
  <c r="K30" i="34"/>
  <c r="J246" i="34"/>
  <c r="J30" i="34"/>
  <c r="J29" i="34"/>
  <c r="M14" i="34"/>
  <c r="M13" i="34"/>
  <c r="K123" i="34" s="1"/>
  <c r="I142" i="37"/>
  <c r="K57" i="37"/>
  <c r="K41" i="37"/>
  <c r="K33" i="37" s="1"/>
  <c r="J41" i="37"/>
  <c r="F57" i="37"/>
  <c r="D130" i="8"/>
  <c r="I32" i="32"/>
  <c r="I30" i="32"/>
  <c r="M130" i="8" s="1"/>
  <c r="BS32" i="32"/>
  <c r="M32" i="32"/>
  <c r="L32" i="32"/>
  <c r="H32" i="32"/>
  <c r="BD32" i="32"/>
  <c r="F32" i="32"/>
  <c r="N32" i="32" s="1"/>
  <c r="H31" i="32"/>
  <c r="BD31" i="32"/>
  <c r="BS31" i="32"/>
  <c r="M31" i="32"/>
  <c r="L31" i="32"/>
  <c r="F31" i="32"/>
  <c r="N31" i="32" s="1"/>
  <c r="H30" i="32"/>
  <c r="BS30" i="32"/>
  <c r="M30" i="32"/>
  <c r="L30" i="32"/>
  <c r="F30" i="32"/>
  <c r="N30" i="32" s="1"/>
  <c r="AM30" i="32" s="1"/>
  <c r="AH30" i="32" s="1"/>
  <c r="M154" i="37"/>
  <c r="D222" i="37"/>
  <c r="D220" i="37"/>
  <c r="D218" i="37"/>
  <c r="K212" i="37"/>
  <c r="M212" i="37"/>
  <c r="M213" i="37"/>
  <c r="M964" i="9" s="1"/>
  <c r="J212" i="37"/>
  <c r="D213" i="37"/>
  <c r="M208" i="37"/>
  <c r="M958" i="9" s="1"/>
  <c r="D189" i="37"/>
  <c r="K153" i="37"/>
  <c r="D157" i="37"/>
  <c r="D196" i="37"/>
  <c r="I135" i="37"/>
  <c r="G135" i="37"/>
  <c r="J193" i="37"/>
  <c r="M193" i="37" s="1"/>
  <c r="J194" i="37"/>
  <c r="J153" i="37"/>
  <c r="I194" i="37"/>
  <c r="M194" i="37" s="1"/>
  <c r="D187" i="37"/>
  <c r="J185" i="37"/>
  <c r="D185" i="37"/>
  <c r="M183" i="37"/>
  <c r="M936" i="9" s="1"/>
  <c r="D183" i="37"/>
  <c r="D181" i="37"/>
  <c r="M934" i="9"/>
  <c r="M204" i="37"/>
  <c r="M205" i="37"/>
  <c r="M957" i="9"/>
  <c r="D205" i="37"/>
  <c r="D136" i="37"/>
  <c r="M151" i="37"/>
  <c r="M921" i="9"/>
  <c r="D151" i="37"/>
  <c r="K139" i="37"/>
  <c r="I134" i="37"/>
  <c r="J139" i="37"/>
  <c r="I139" i="37"/>
  <c r="I140" i="37"/>
  <c r="I141" i="37"/>
  <c r="I138" i="37"/>
  <c r="G133" i="37" s="1"/>
  <c r="D143" i="37"/>
  <c r="J109" i="37"/>
  <c r="H64" i="37"/>
  <c r="M64" i="37" s="1"/>
  <c r="I114" i="37" s="1"/>
  <c r="K99" i="37"/>
  <c r="K100" i="37"/>
  <c r="J99" i="37"/>
  <c r="M99" i="37" s="1"/>
  <c r="M101" i="37"/>
  <c r="K103" i="37"/>
  <c r="K141" i="37"/>
  <c r="J103" i="37"/>
  <c r="K102" i="37"/>
  <c r="K140" i="37" s="1"/>
  <c r="J102" i="37"/>
  <c r="J140" i="37"/>
  <c r="M140" i="37"/>
  <c r="M56" i="37"/>
  <c r="I111" i="37" s="1"/>
  <c r="K55" i="37"/>
  <c r="J53" i="37"/>
  <c r="F54" i="37"/>
  <c r="G54" i="37"/>
  <c r="G55" i="37"/>
  <c r="I55" i="37" s="1"/>
  <c r="K40" i="37"/>
  <c r="J39" i="37"/>
  <c r="F55" i="37"/>
  <c r="H55" i="37" s="1"/>
  <c r="J30" i="37"/>
  <c r="K30" i="37"/>
  <c r="K31" i="37"/>
  <c r="J32" i="37"/>
  <c r="J37" i="37"/>
  <c r="J138" i="37"/>
  <c r="K37" i="37"/>
  <c r="K98" i="37" s="1"/>
  <c r="M38" i="37"/>
  <c r="D208" i="37"/>
  <c r="D200" i="37"/>
  <c r="D179" i="37"/>
  <c r="D175" i="37"/>
  <c r="D129" i="37"/>
  <c r="D127" i="37"/>
  <c r="K125" i="37"/>
  <c r="D125" i="37"/>
  <c r="K121" i="37"/>
  <c r="D121" i="37"/>
  <c r="K119" i="37"/>
  <c r="D119" i="37"/>
  <c r="D106" i="37"/>
  <c r="M898" i="9"/>
  <c r="D96" i="37"/>
  <c r="M62" i="37"/>
  <c r="I113" i="37"/>
  <c r="M60" i="37"/>
  <c r="I112" i="37" s="1"/>
  <c r="D94" i="37"/>
  <c r="D92" i="37"/>
  <c r="D90" i="37"/>
  <c r="D88" i="37"/>
  <c r="D86" i="37"/>
  <c r="J84" i="37"/>
  <c r="J86" i="37"/>
  <c r="J88" i="37" s="1"/>
  <c r="J90" i="37" s="1"/>
  <c r="J92" i="37" s="1"/>
  <c r="J94" i="37" s="1"/>
  <c r="D84" i="37"/>
  <c r="D82" i="37"/>
  <c r="K80" i="37"/>
  <c r="K82" i="37"/>
  <c r="K94" i="37" s="1"/>
  <c r="D80" i="37"/>
  <c r="D78" i="37"/>
  <c r="K76" i="37"/>
  <c r="K78" i="37"/>
  <c r="D76" i="37"/>
  <c r="D74" i="37"/>
  <c r="K72" i="37"/>
  <c r="K74" i="37"/>
  <c r="J72" i="37"/>
  <c r="J74" i="37" s="1"/>
  <c r="D72" i="37"/>
  <c r="M70" i="37"/>
  <c r="M51" i="37"/>
  <c r="K54" i="37" s="1"/>
  <c r="I54" i="37" s="1"/>
  <c r="D43" i="37"/>
  <c r="D35" i="37"/>
  <c r="M14" i="37"/>
  <c r="M13" i="37"/>
  <c r="K127" i="37"/>
  <c r="M37" i="37"/>
  <c r="J31" i="37"/>
  <c r="M31" i="37"/>
  <c r="D330" i="7"/>
  <c r="D328" i="7"/>
  <c r="D326" i="7"/>
  <c r="D324" i="7"/>
  <c r="M364" i="7"/>
  <c r="M196" i="38"/>
  <c r="M1168" i="9"/>
  <c r="M188" i="38"/>
  <c r="M1160" i="9" s="1"/>
  <c r="M154" i="38"/>
  <c r="J153" i="38"/>
  <c r="J152" i="38"/>
  <c r="M152" i="38" s="1"/>
  <c r="H152" i="38"/>
  <c r="F152" i="38"/>
  <c r="M137" i="38"/>
  <c r="M135" i="38"/>
  <c r="M1131" i="9"/>
  <c r="M139" i="38"/>
  <c r="M1133" i="9" s="1"/>
  <c r="M132" i="38"/>
  <c r="M131" i="38"/>
  <c r="M133" i="38"/>
  <c r="M127" i="38"/>
  <c r="M1128" i="9"/>
  <c r="M129" i="38"/>
  <c r="M1129" i="9"/>
  <c r="M99" i="38"/>
  <c r="M1111" i="9"/>
  <c r="M45" i="38"/>
  <c r="K81" i="38"/>
  <c r="J82" i="38"/>
  <c r="K82" i="38"/>
  <c r="K79" i="38"/>
  <c r="J79" i="38"/>
  <c r="M79" i="38" s="1"/>
  <c r="M1095" i="9" s="1"/>
  <c r="M51" i="38"/>
  <c r="K29" i="38"/>
  <c r="J29" i="38"/>
  <c r="M29" i="38" s="1"/>
  <c r="I204" i="38"/>
  <c r="M204" i="38" s="1"/>
  <c r="M1172" i="9" s="1"/>
  <c r="G204" i="38"/>
  <c r="K91" i="38"/>
  <c r="K87" i="38"/>
  <c r="K85" i="38"/>
  <c r="M43" i="38"/>
  <c r="M41" i="38"/>
  <c r="J65" i="38"/>
  <c r="K61" i="38"/>
  <c r="K73" i="38"/>
  <c r="K57" i="38"/>
  <c r="K69" i="38" s="1"/>
  <c r="K53" i="38"/>
  <c r="K65" i="38"/>
  <c r="J53" i="38"/>
  <c r="J55" i="38" s="1"/>
  <c r="M39" i="38"/>
  <c r="M31" i="38"/>
  <c r="M1082" i="9" s="1"/>
  <c r="M14" i="38"/>
  <c r="M13" i="38"/>
  <c r="K93" i="38"/>
  <c r="M289" i="31"/>
  <c r="M1261" i="9" s="1"/>
  <c r="M283" i="31"/>
  <c r="I285" i="31"/>
  <c r="M281" i="31"/>
  <c r="M1253" i="9" s="1"/>
  <c r="M279" i="31"/>
  <c r="M1252" i="9"/>
  <c r="M269" i="31"/>
  <c r="M1243" i="9" s="1"/>
  <c r="M271" i="31"/>
  <c r="M1244" i="9"/>
  <c r="M261" i="31"/>
  <c r="M267" i="31" s="1"/>
  <c r="M1242" i="9" s="1"/>
  <c r="J255" i="31"/>
  <c r="I255" i="31"/>
  <c r="M255" i="31" s="1"/>
  <c r="H255" i="31"/>
  <c r="G255" i="31"/>
  <c r="M205" i="31"/>
  <c r="M218" i="31" s="1"/>
  <c r="J204" i="31"/>
  <c r="M204" i="31"/>
  <c r="L205" i="31"/>
  <c r="F210" i="31"/>
  <c r="M210" i="31"/>
  <c r="M209" i="31"/>
  <c r="M208" i="31"/>
  <c r="M207" i="31"/>
  <c r="M206" i="31"/>
  <c r="M203" i="31"/>
  <c r="M230" i="31"/>
  <c r="M224" i="31"/>
  <c r="M225" i="31"/>
  <c r="M226" i="31"/>
  <c r="M227" i="31"/>
  <c r="M228" i="31"/>
  <c r="M229" i="31"/>
  <c r="M231" i="31"/>
  <c r="M223" i="31"/>
  <c r="J211" i="31"/>
  <c r="M211" i="31"/>
  <c r="F211" i="31"/>
  <c r="L211" i="31" s="1"/>
  <c r="F209" i="31"/>
  <c r="F208" i="31"/>
  <c r="L208" i="31"/>
  <c r="F207" i="31"/>
  <c r="F206" i="31"/>
  <c r="F204" i="31"/>
  <c r="L204" i="31"/>
  <c r="F203" i="31"/>
  <c r="L203" i="31" s="1"/>
  <c r="L214" i="31"/>
  <c r="M213" i="31"/>
  <c r="L213" i="31"/>
  <c r="L212" i="31"/>
  <c r="M195" i="31"/>
  <c r="M193" i="31"/>
  <c r="I194" i="31"/>
  <c r="M194" i="31"/>
  <c r="M181" i="31"/>
  <c r="M1212" i="9"/>
  <c r="M179" i="31"/>
  <c r="M1211" i="9"/>
  <c r="M175" i="31"/>
  <c r="M169" i="31"/>
  <c r="M1207" i="9"/>
  <c r="M171" i="31"/>
  <c r="M1208" i="9" s="1"/>
  <c r="M176" i="31"/>
  <c r="M173" i="31"/>
  <c r="M1209" i="9" s="1"/>
  <c r="M166" i="31"/>
  <c r="M165" i="31"/>
  <c r="M164" i="31"/>
  <c r="M163" i="31"/>
  <c r="M156" i="31"/>
  <c r="M155" i="31"/>
  <c r="M129" i="31"/>
  <c r="M128" i="31"/>
  <c r="M127" i="31"/>
  <c r="M111" i="31"/>
  <c r="M110" i="31"/>
  <c r="M109" i="31"/>
  <c r="M107" i="31"/>
  <c r="M126" i="31"/>
  <c r="M119" i="31"/>
  <c r="M120" i="31"/>
  <c r="M121" i="31"/>
  <c r="M122" i="31"/>
  <c r="M123" i="31"/>
  <c r="M124" i="31"/>
  <c r="M125" i="31"/>
  <c r="M118" i="31"/>
  <c r="M108" i="31"/>
  <c r="M106" i="31"/>
  <c r="M105" i="31"/>
  <c r="M104" i="31"/>
  <c r="M103" i="31"/>
  <c r="M102" i="31"/>
  <c r="M101" i="31"/>
  <c r="M100" i="31"/>
  <c r="M41" i="33"/>
  <c r="M1357" i="9" s="1"/>
  <c r="M32" i="31"/>
  <c r="M30" i="31"/>
  <c r="M73" i="33"/>
  <c r="M1379" i="9" s="1"/>
  <c r="H36" i="33"/>
  <c r="H35" i="33"/>
  <c r="H32" i="33"/>
  <c r="H31" i="33"/>
  <c r="M31" i="33" s="1"/>
  <c r="M1365" i="9"/>
  <c r="M55" i="33"/>
  <c r="M1364" i="9"/>
  <c r="M53" i="33"/>
  <c r="M1363" i="9" s="1"/>
  <c r="M51" i="33"/>
  <c r="M1362" i="9"/>
  <c r="M67" i="33"/>
  <c r="M1372" i="9" s="1"/>
  <c r="M14" i="33"/>
  <c r="M13" i="33"/>
  <c r="M36" i="33"/>
  <c r="M35" i="33"/>
  <c r="M32" i="33"/>
  <c r="D146" i="8"/>
  <c r="D144" i="8"/>
  <c r="D142" i="8"/>
  <c r="E37" i="32"/>
  <c r="D37" i="32"/>
  <c r="BS37" i="32"/>
  <c r="M37" i="32"/>
  <c r="L37" i="32"/>
  <c r="BS36" i="32"/>
  <c r="M36" i="32"/>
  <c r="L36" i="32"/>
  <c r="F36" i="32"/>
  <c r="N36" i="32" s="1"/>
  <c r="U36" i="32"/>
  <c r="D118" i="8"/>
  <c r="D126" i="8"/>
  <c r="D122" i="8"/>
  <c r="D110" i="8"/>
  <c r="D106" i="8"/>
  <c r="D90" i="8"/>
  <c r="D55" i="32"/>
  <c r="F55" i="32"/>
  <c r="N55" i="32" s="1"/>
  <c r="D54" i="32"/>
  <c r="F54" i="32"/>
  <c r="N54" i="32"/>
  <c r="D52" i="32"/>
  <c r="F52" i="32"/>
  <c r="N52" i="32"/>
  <c r="AL52" i="32"/>
  <c r="D51" i="32"/>
  <c r="D44" i="32"/>
  <c r="F44" i="32"/>
  <c r="N44" i="32"/>
  <c r="D45" i="32"/>
  <c r="F45" i="32" s="1"/>
  <c r="N45" i="32" s="1"/>
  <c r="D46" i="32"/>
  <c r="D47" i="32"/>
  <c r="F47" i="32" s="1"/>
  <c r="N47" i="32" s="1"/>
  <c r="D48" i="32"/>
  <c r="F48" i="32" s="1"/>
  <c r="N48" i="32" s="1"/>
  <c r="J48" i="32"/>
  <c r="P48" i="32" s="1"/>
  <c r="D49" i="32"/>
  <c r="F49" i="32" s="1"/>
  <c r="N49" i="32" s="1"/>
  <c r="AT49" i="32" s="1"/>
  <c r="AO49" i="32" s="1"/>
  <c r="B55" i="32"/>
  <c r="B54" i="32"/>
  <c r="BS55" i="32"/>
  <c r="M55" i="32"/>
  <c r="L55" i="32"/>
  <c r="BS54" i="32"/>
  <c r="M54" i="32"/>
  <c r="L54" i="32"/>
  <c r="B51" i="32"/>
  <c r="B52" i="32"/>
  <c r="B50" i="32"/>
  <c r="B48" i="32"/>
  <c r="B49" i="32"/>
  <c r="BS40" i="32"/>
  <c r="M40" i="32"/>
  <c r="L40" i="32"/>
  <c r="F40" i="32"/>
  <c r="N40" i="32" s="1"/>
  <c r="D43" i="32"/>
  <c r="F43" i="32"/>
  <c r="N43" i="32"/>
  <c r="D42" i="32"/>
  <c r="F42" i="32" s="1"/>
  <c r="N42" i="32" s="1"/>
  <c r="B43" i="32"/>
  <c r="B44" i="32"/>
  <c r="B45" i="32"/>
  <c r="B46" i="32"/>
  <c r="B47" i="32"/>
  <c r="B42" i="32"/>
  <c r="BS35" i="32"/>
  <c r="M35" i="32"/>
  <c r="L35" i="32"/>
  <c r="F35" i="32"/>
  <c r="N35" i="32" s="1"/>
  <c r="BS53" i="32"/>
  <c r="M53" i="32"/>
  <c r="L53" i="32"/>
  <c r="F53" i="32"/>
  <c r="N53" i="32"/>
  <c r="S53" i="32"/>
  <c r="BS52" i="32"/>
  <c r="M52" i="32"/>
  <c r="L52" i="32"/>
  <c r="BS51" i="32"/>
  <c r="M51" i="32"/>
  <c r="L51" i="32"/>
  <c r="F51" i="32"/>
  <c r="N51" i="32"/>
  <c r="BS50" i="32"/>
  <c r="M50" i="32"/>
  <c r="L50" i="32"/>
  <c r="F50" i="32"/>
  <c r="N50" i="32"/>
  <c r="AV50" i="32" s="1"/>
  <c r="BS49" i="32"/>
  <c r="M49" i="32"/>
  <c r="L49" i="32"/>
  <c r="BS48" i="32"/>
  <c r="M48" i="32"/>
  <c r="L48" i="32"/>
  <c r="BS47" i="32"/>
  <c r="M47" i="32"/>
  <c r="L47" i="32"/>
  <c r="BS46" i="32"/>
  <c r="M46" i="32"/>
  <c r="L46" i="32"/>
  <c r="F46" i="32"/>
  <c r="N46" i="32"/>
  <c r="BS45" i="32"/>
  <c r="M45" i="32"/>
  <c r="L45" i="32"/>
  <c r="BS44" i="32"/>
  <c r="M44" i="32"/>
  <c r="L44" i="32"/>
  <c r="I39" i="32"/>
  <c r="BD39" i="32"/>
  <c r="I38" i="32"/>
  <c r="BD38" i="32" s="1"/>
  <c r="BS43" i="32"/>
  <c r="M43" i="32"/>
  <c r="L43" i="32"/>
  <c r="BS42" i="32"/>
  <c r="M42" i="32"/>
  <c r="L42" i="32"/>
  <c r="BS41" i="32"/>
  <c r="M41" i="32"/>
  <c r="L41" i="32"/>
  <c r="F41" i="32"/>
  <c r="N41" i="32" s="1"/>
  <c r="BS39" i="32"/>
  <c r="M39" i="32"/>
  <c r="L39" i="32"/>
  <c r="F39" i="32"/>
  <c r="N39" i="32"/>
  <c r="BP39" i="32" s="1"/>
  <c r="AU39" i="32"/>
  <c r="AP39" i="32"/>
  <c r="I34" i="32"/>
  <c r="BD34" i="32"/>
  <c r="D27" i="32"/>
  <c r="F27" i="32" s="1"/>
  <c r="N27" i="32" s="1"/>
  <c r="D28" i="32"/>
  <c r="F28" i="32" s="1"/>
  <c r="N28" i="32" s="1"/>
  <c r="D29" i="32"/>
  <c r="F29" i="32"/>
  <c r="N29" i="32" s="1"/>
  <c r="AV29" i="32" s="1"/>
  <c r="D26" i="32"/>
  <c r="F26" i="32"/>
  <c r="N26" i="32" s="1"/>
  <c r="I24" i="32"/>
  <c r="BD24" i="32"/>
  <c r="M100" i="8"/>
  <c r="BS25" i="32"/>
  <c r="M25" i="32"/>
  <c r="L25" i="32"/>
  <c r="F25" i="32"/>
  <c r="N25" i="32" s="1"/>
  <c r="B28" i="32"/>
  <c r="B29" i="32"/>
  <c r="B27" i="32"/>
  <c r="BS38" i="32"/>
  <c r="M38" i="32"/>
  <c r="L38" i="32"/>
  <c r="F38" i="32"/>
  <c r="N38" i="32" s="1"/>
  <c r="AW38" i="32" s="1"/>
  <c r="AN38" i="32" s="1"/>
  <c r="AI38" i="32" s="1"/>
  <c r="BS34" i="32"/>
  <c r="M34" i="32"/>
  <c r="L34" i="32"/>
  <c r="F34" i="32"/>
  <c r="N34" i="32" s="1"/>
  <c r="AY34" i="32" s="1"/>
  <c r="BS29" i="32"/>
  <c r="M29" i="32"/>
  <c r="L29" i="32"/>
  <c r="BS28" i="32"/>
  <c r="M28" i="32"/>
  <c r="L28" i="32"/>
  <c r="BS27" i="32"/>
  <c r="M27" i="32"/>
  <c r="L27" i="32"/>
  <c r="BS26" i="32"/>
  <c r="M26" i="32"/>
  <c r="L26" i="32"/>
  <c r="D22" i="32"/>
  <c r="F22" i="32"/>
  <c r="N22" i="32" s="1"/>
  <c r="D21" i="32"/>
  <c r="F21" i="32"/>
  <c r="N21" i="32"/>
  <c r="B21" i="32"/>
  <c r="B22" i="32"/>
  <c r="D20" i="32"/>
  <c r="F20" i="32" s="1"/>
  <c r="N20" i="32" s="1"/>
  <c r="AU20" i="32" s="1"/>
  <c r="AP20" i="32" s="1"/>
  <c r="B20" i="32"/>
  <c r="D19" i="32"/>
  <c r="F19" i="32" s="1"/>
  <c r="N19" i="32" s="1"/>
  <c r="B19" i="32"/>
  <c r="D15" i="32"/>
  <c r="F15" i="32" s="1"/>
  <c r="N15" i="32" s="1"/>
  <c r="D16" i="32"/>
  <c r="F16" i="32"/>
  <c r="N16" i="32" s="1"/>
  <c r="B16" i="32"/>
  <c r="B14" i="32"/>
  <c r="B15" i="32"/>
  <c r="B13" i="32"/>
  <c r="D13" i="32"/>
  <c r="F13" i="32"/>
  <c r="N13" i="32" s="1"/>
  <c r="Z13" i="32" s="1"/>
  <c r="D14" i="32"/>
  <c r="F14" i="32"/>
  <c r="N14" i="32" s="1"/>
  <c r="D12" i="32"/>
  <c r="F12" i="32"/>
  <c r="N12" i="32" s="1"/>
  <c r="AT12" i="32" s="1"/>
  <c r="AO12" i="32" s="1"/>
  <c r="B12" i="32"/>
  <c r="L12" i="32"/>
  <c r="M12" i="32"/>
  <c r="L13" i="32"/>
  <c r="M13" i="32"/>
  <c r="L14" i="32"/>
  <c r="M14" i="32"/>
  <c r="L15" i="32"/>
  <c r="M15" i="32"/>
  <c r="L16" i="32"/>
  <c r="M16" i="32"/>
  <c r="L17" i="32"/>
  <c r="M17" i="32"/>
  <c r="L18" i="32"/>
  <c r="M18" i="32"/>
  <c r="L19" i="32"/>
  <c r="M19" i="32"/>
  <c r="L20" i="32"/>
  <c r="M20" i="32"/>
  <c r="L21" i="32"/>
  <c r="M21" i="32"/>
  <c r="L22" i="32"/>
  <c r="M22" i="32"/>
  <c r="L23" i="32"/>
  <c r="M23" i="32"/>
  <c r="L24" i="32"/>
  <c r="M24" i="32"/>
  <c r="M11" i="32"/>
  <c r="L11" i="32"/>
  <c r="BS24" i="32"/>
  <c r="F24" i="32"/>
  <c r="N24" i="32" s="1"/>
  <c r="BS23" i="32"/>
  <c r="F23" i="32"/>
  <c r="N23" i="32"/>
  <c r="BS22" i="32"/>
  <c r="BS21" i="32"/>
  <c r="BS20" i="32"/>
  <c r="BS19" i="32"/>
  <c r="BS18" i="32"/>
  <c r="F18" i="32"/>
  <c r="N18" i="32"/>
  <c r="BS17" i="32"/>
  <c r="F17" i="32"/>
  <c r="N17" i="32"/>
  <c r="BS16" i="32"/>
  <c r="BS15" i="32"/>
  <c r="BS14" i="32"/>
  <c r="BS13" i="32"/>
  <c r="BS12" i="32"/>
  <c r="BS11" i="32"/>
  <c r="BS56" i="32" s="1"/>
  <c r="BD11" i="32"/>
  <c r="F11" i="32"/>
  <c r="N11" i="32"/>
  <c r="Z11" i="32"/>
  <c r="B31" i="22"/>
  <c r="B32" i="22"/>
  <c r="AU11" i="32"/>
  <c r="AP11" i="32" s="1"/>
  <c r="AW53" i="32"/>
  <c r="BK16" i="32"/>
  <c r="BB34" i="32"/>
  <c r="BC44" i="32"/>
  <c r="AS48" i="32"/>
  <c r="S34" i="32"/>
  <c r="BO34" i="32"/>
  <c r="AS14" i="32"/>
  <c r="Y48" i="32"/>
  <c r="BA34" i="32"/>
  <c r="H445" i="26"/>
  <c r="H444" i="26"/>
  <c r="H443" i="26"/>
  <c r="M446" i="26"/>
  <c r="M445" i="26"/>
  <c r="M444" i="26"/>
  <c r="M443" i="26"/>
  <c r="M448" i="26" s="1"/>
  <c r="M442" i="26"/>
  <c r="M440" i="26"/>
  <c r="K435" i="26"/>
  <c r="K433" i="26"/>
  <c r="J433" i="26"/>
  <c r="J434" i="26"/>
  <c r="J435" i="26"/>
  <c r="I435" i="26"/>
  <c r="M435" i="26" s="1"/>
  <c r="I434" i="26"/>
  <c r="I433" i="26"/>
  <c r="M432" i="26"/>
  <c r="M456" i="26"/>
  <c r="M875" i="9"/>
  <c r="M419" i="26"/>
  <c r="M863" i="9" s="1"/>
  <c r="M385" i="26"/>
  <c r="M386" i="26"/>
  <c r="M848" i="9" s="1"/>
  <c r="K408" i="26"/>
  <c r="I408" i="26"/>
  <c r="M403" i="26"/>
  <c r="M404" i="26"/>
  <c r="M402" i="26"/>
  <c r="H391" i="26"/>
  <c r="H392" i="26"/>
  <c r="H393" i="26" s="1"/>
  <c r="H394" i="26" s="1"/>
  <c r="H395" i="26" s="1"/>
  <c r="H396" i="26"/>
  <c r="H397" i="26" s="1"/>
  <c r="H398" i="26" s="1"/>
  <c r="H399" i="26" s="1"/>
  <c r="K379" i="26"/>
  <c r="M379" i="26" s="1"/>
  <c r="M383" i="26" s="1"/>
  <c r="M380" i="26"/>
  <c r="M381" i="26"/>
  <c r="H320" i="26"/>
  <c r="I320" i="26"/>
  <c r="J320" i="26"/>
  <c r="K122" i="26"/>
  <c r="H247" i="26" s="1"/>
  <c r="L247" i="26"/>
  <c r="J247" i="26" s="1"/>
  <c r="K398" i="26"/>
  <c r="L122" i="26"/>
  <c r="K376" i="26"/>
  <c r="M376" i="26" s="1"/>
  <c r="M377" i="26" s="1"/>
  <c r="M846" i="9" s="1"/>
  <c r="I324" i="26"/>
  <c r="J324" i="26"/>
  <c r="H324" i="26"/>
  <c r="K295" i="26"/>
  <c r="K323" i="26"/>
  <c r="K294" i="26"/>
  <c r="K322" i="26"/>
  <c r="H338" i="26"/>
  <c r="H332" i="26"/>
  <c r="H319" i="26"/>
  <c r="H318" i="26"/>
  <c r="H317" i="26"/>
  <c r="H316" i="26"/>
  <c r="H310" i="26"/>
  <c r="K311" i="26"/>
  <c r="I312" i="26"/>
  <c r="J312" i="26"/>
  <c r="I313" i="26"/>
  <c r="J313" i="26"/>
  <c r="I314" i="26"/>
  <c r="J314" i="26"/>
  <c r="I315" i="26"/>
  <c r="J315" i="26"/>
  <c r="I316" i="26"/>
  <c r="J316" i="26"/>
  <c r="I317" i="26"/>
  <c r="J317" i="26"/>
  <c r="I318" i="26"/>
  <c r="J318" i="26"/>
  <c r="I319" i="26"/>
  <c r="J319" i="26"/>
  <c r="K310" i="26"/>
  <c r="E239" i="26"/>
  <c r="E245" i="26"/>
  <c r="F139" i="26"/>
  <c r="F159" i="26"/>
  <c r="F199" i="26"/>
  <c r="F133" i="26"/>
  <c r="K129" i="26"/>
  <c r="K434" i="26"/>
  <c r="K124" i="26"/>
  <c r="K121" i="26"/>
  <c r="K120" i="26"/>
  <c r="K290" i="26" s="1"/>
  <c r="M290" i="26" s="1"/>
  <c r="K119" i="26"/>
  <c r="K118" i="26"/>
  <c r="K117" i="26"/>
  <c r="K335" i="26" s="1"/>
  <c r="K116" i="26"/>
  <c r="K115" i="26"/>
  <c r="K114" i="26"/>
  <c r="K390" i="26" s="1"/>
  <c r="L121" i="26"/>
  <c r="H115" i="26"/>
  <c r="H314" i="26"/>
  <c r="L120" i="26"/>
  <c r="L123" i="26"/>
  <c r="M123" i="26"/>
  <c r="K142" i="26"/>
  <c r="K202" i="26" s="1"/>
  <c r="L124" i="26"/>
  <c r="L125" i="26"/>
  <c r="M125" i="26"/>
  <c r="K144" i="26" s="1"/>
  <c r="L126" i="26"/>
  <c r="M126" i="26"/>
  <c r="K145" i="26"/>
  <c r="K205" i="26" s="1"/>
  <c r="L127" i="26"/>
  <c r="M127" i="26"/>
  <c r="K146" i="26"/>
  <c r="L128" i="26"/>
  <c r="M128" i="26" s="1"/>
  <c r="K147" i="26" s="1"/>
  <c r="L129" i="26"/>
  <c r="M129" i="26"/>
  <c r="K148" i="26" s="1"/>
  <c r="L130" i="26"/>
  <c r="M130" i="26"/>
  <c r="K149" i="26"/>
  <c r="L114" i="26"/>
  <c r="L115" i="26"/>
  <c r="M58" i="26"/>
  <c r="M59" i="26"/>
  <c r="M60" i="26"/>
  <c r="H71" i="26"/>
  <c r="M71" i="26"/>
  <c r="I125" i="26"/>
  <c r="F250" i="26" s="1"/>
  <c r="J125" i="26"/>
  <c r="G250" i="26"/>
  <c r="H72" i="26"/>
  <c r="I126" i="26"/>
  <c r="G145" i="26"/>
  <c r="G205" i="26"/>
  <c r="J126" i="26"/>
  <c r="H73" i="26"/>
  <c r="I127" i="26"/>
  <c r="G146" i="26"/>
  <c r="J127" i="26"/>
  <c r="H146" i="26" s="1"/>
  <c r="H206" i="26" s="1"/>
  <c r="J114" i="26"/>
  <c r="J332" i="26" s="1"/>
  <c r="J120" i="26"/>
  <c r="I123" i="26"/>
  <c r="F248" i="26"/>
  <c r="G142" i="26"/>
  <c r="G202" i="26" s="1"/>
  <c r="J124" i="26"/>
  <c r="H143" i="26"/>
  <c r="I128" i="26"/>
  <c r="G147" i="26" s="1"/>
  <c r="G207" i="26" s="1"/>
  <c r="F254" i="26"/>
  <c r="J128" i="26"/>
  <c r="G254" i="26" s="1"/>
  <c r="I129" i="26"/>
  <c r="F255" i="26"/>
  <c r="I130" i="26"/>
  <c r="F256" i="26" s="1"/>
  <c r="H55" i="26"/>
  <c r="H68" i="26"/>
  <c r="H56" i="26"/>
  <c r="H69" i="26" s="1"/>
  <c r="H82" i="26" s="1"/>
  <c r="M82" i="26"/>
  <c r="H57" i="26"/>
  <c r="H61" i="26"/>
  <c r="H74" i="26" s="1"/>
  <c r="H62" i="26"/>
  <c r="H75" i="26"/>
  <c r="H63" i="26"/>
  <c r="M63" i="26" s="1"/>
  <c r="H54" i="26"/>
  <c r="H67" i="26"/>
  <c r="H80" i="26" s="1"/>
  <c r="M42" i="26"/>
  <c r="M43" i="26"/>
  <c r="M44" i="26"/>
  <c r="M45" i="26"/>
  <c r="M46" i="26"/>
  <c r="M47" i="26"/>
  <c r="M48" i="26"/>
  <c r="K65" i="7"/>
  <c r="I182" i="7" s="1"/>
  <c r="K182" i="7" s="1"/>
  <c r="H174" i="7"/>
  <c r="H173" i="7"/>
  <c r="H171" i="7"/>
  <c r="H172" i="7"/>
  <c r="G78" i="7"/>
  <c r="G123" i="7" s="1"/>
  <c r="H78" i="7"/>
  <c r="H123" i="7"/>
  <c r="G72" i="7"/>
  <c r="G117" i="7" s="1"/>
  <c r="G70" i="7"/>
  <c r="G115" i="7"/>
  <c r="K64" i="7"/>
  <c r="K63" i="7"/>
  <c r="K62" i="7"/>
  <c r="L62" i="7" s="1"/>
  <c r="M62" i="7" s="1"/>
  <c r="K76" i="7" s="1"/>
  <c r="K61" i="7"/>
  <c r="L61" i="7" s="1"/>
  <c r="L60" i="7"/>
  <c r="L58" i="7"/>
  <c r="L59" i="7"/>
  <c r="L57" i="7"/>
  <c r="L56" i="7"/>
  <c r="L55" i="7"/>
  <c r="D410" i="7"/>
  <c r="D408" i="7"/>
  <c r="D406" i="7"/>
  <c r="D391" i="7"/>
  <c r="M380" i="7"/>
  <c r="M379" i="7"/>
  <c r="D383" i="7"/>
  <c r="M347" i="7"/>
  <c r="M373" i="7"/>
  <c r="M344" i="7"/>
  <c r="M372" i="7"/>
  <c r="M371" i="7"/>
  <c r="M337" i="7"/>
  <c r="M343" i="7"/>
  <c r="M342" i="7"/>
  <c r="M341" i="7"/>
  <c r="M340" i="7"/>
  <c r="F339" i="7"/>
  <c r="M339" i="7"/>
  <c r="H370" i="7"/>
  <c r="M370" i="7"/>
  <c r="H369" i="7"/>
  <c r="M369" i="7"/>
  <c r="F368" i="7"/>
  <c r="M368" i="7"/>
  <c r="M367" i="7"/>
  <c r="F365" i="7"/>
  <c r="M365" i="7" s="1"/>
  <c r="F366" i="7"/>
  <c r="M366" i="7"/>
  <c r="M338" i="7"/>
  <c r="D375" i="7"/>
  <c r="E345" i="7"/>
  <c r="M345" i="7"/>
  <c r="E346" i="7"/>
  <c r="M346" i="7" s="1"/>
  <c r="K278" i="7"/>
  <c r="M278" i="7"/>
  <c r="J310" i="7"/>
  <c r="M310" i="7" s="1"/>
  <c r="J309" i="7"/>
  <c r="M309" i="7"/>
  <c r="M281" i="7"/>
  <c r="M280" i="7"/>
  <c r="M279" i="7"/>
  <c r="M277" i="7"/>
  <c r="M276" i="7"/>
  <c r="M275" i="7"/>
  <c r="M274" i="7"/>
  <c r="M273" i="7"/>
  <c r="M272" i="7"/>
  <c r="M260" i="7"/>
  <c r="M261" i="7"/>
  <c r="M262" i="7"/>
  <c r="M263" i="7"/>
  <c r="M264" i="7"/>
  <c r="M265" i="7"/>
  <c r="M266" i="7"/>
  <c r="M267" i="7"/>
  <c r="M268" i="7"/>
  <c r="M259" i="7"/>
  <c r="H254" i="7"/>
  <c r="H255" i="7"/>
  <c r="I255" i="7"/>
  <c r="I240" i="7"/>
  <c r="H253" i="7"/>
  <c r="I239" i="7"/>
  <c r="H252" i="7" s="1"/>
  <c r="I238" i="7"/>
  <c r="H251" i="7"/>
  <c r="I237" i="7"/>
  <c r="H250" i="7" s="1"/>
  <c r="I236" i="7"/>
  <c r="H249" i="7"/>
  <c r="I235" i="7"/>
  <c r="H248" i="7" s="1"/>
  <c r="I234" i="7"/>
  <c r="H247" i="7"/>
  <c r="I233" i="7"/>
  <c r="H246" i="7"/>
  <c r="D257" i="7"/>
  <c r="D167" i="7"/>
  <c r="H79" i="7"/>
  <c r="H124" i="7"/>
  <c r="G79" i="7"/>
  <c r="G124" i="7"/>
  <c r="G285" i="31"/>
  <c r="K92" i="31"/>
  <c r="K88" i="31"/>
  <c r="M88" i="31"/>
  <c r="K86" i="31"/>
  <c r="M86" i="31"/>
  <c r="M83" i="31"/>
  <c r="M80" i="31"/>
  <c r="M78" i="31"/>
  <c r="M74" i="31"/>
  <c r="M72" i="31"/>
  <c r="M70" i="31"/>
  <c r="J58" i="31"/>
  <c r="J60" i="31" s="1"/>
  <c r="J62" i="31" s="1"/>
  <c r="K54" i="31"/>
  <c r="K66" i="31"/>
  <c r="K50" i="31"/>
  <c r="K62" i="31"/>
  <c r="K46" i="31"/>
  <c r="K48" i="31" s="1"/>
  <c r="K58" i="31"/>
  <c r="J46" i="31"/>
  <c r="J48" i="31"/>
  <c r="M40" i="31"/>
  <c r="M14" i="31"/>
  <c r="M13" i="31"/>
  <c r="K94" i="31"/>
  <c r="H77" i="7"/>
  <c r="H122" i="7"/>
  <c r="G77" i="7"/>
  <c r="G122" i="7"/>
  <c r="H76" i="7"/>
  <c r="H121" i="7"/>
  <c r="G76" i="7"/>
  <c r="G121" i="7"/>
  <c r="H75" i="7"/>
  <c r="H120" i="7"/>
  <c r="G75" i="7"/>
  <c r="G120" i="7"/>
  <c r="H74" i="7"/>
  <c r="H119" i="7"/>
  <c r="G74" i="7"/>
  <c r="G119" i="7"/>
  <c r="H73" i="7"/>
  <c r="H118" i="7"/>
  <c r="G73" i="7"/>
  <c r="G118" i="7"/>
  <c r="H72" i="7"/>
  <c r="H117" i="7"/>
  <c r="G71" i="7"/>
  <c r="G116" i="7"/>
  <c r="H71" i="7"/>
  <c r="H70" i="7"/>
  <c r="H115" i="7" s="1"/>
  <c r="H69" i="7"/>
  <c r="H114" i="7"/>
  <c r="G69" i="7"/>
  <c r="G114" i="7" s="1"/>
  <c r="H68" i="7"/>
  <c r="H113" i="7"/>
  <c r="G68" i="7"/>
  <c r="G113" i="7" s="1"/>
  <c r="D224" i="7"/>
  <c r="D229" i="7"/>
  <c r="D226" i="7"/>
  <c r="D140" i="8"/>
  <c r="J227" i="26"/>
  <c r="J229" i="26"/>
  <c r="J231" i="26" s="1"/>
  <c r="J233" i="26" s="1"/>
  <c r="J235" i="26" s="1"/>
  <c r="J213" i="26"/>
  <c r="J215" i="26"/>
  <c r="J219" i="26" s="1"/>
  <c r="J143" i="7"/>
  <c r="J145" i="7"/>
  <c r="J147" i="7"/>
  <c r="J149" i="7"/>
  <c r="J151" i="7" s="1"/>
  <c r="D151" i="7"/>
  <c r="D149" i="7"/>
  <c r="D147" i="7"/>
  <c r="D145" i="7"/>
  <c r="D143" i="7"/>
  <c r="J129" i="7"/>
  <c r="J131" i="7" s="1"/>
  <c r="K139" i="7"/>
  <c r="K149" i="7"/>
  <c r="D297" i="7"/>
  <c r="D312" i="7"/>
  <c r="D314" i="7"/>
  <c r="M390" i="7"/>
  <c r="M389" i="7"/>
  <c r="D385" i="7"/>
  <c r="D349" i="7"/>
  <c r="D322" i="7"/>
  <c r="D318" i="7"/>
  <c r="D283" i="7"/>
  <c r="D270" i="7"/>
  <c r="D244" i="7"/>
  <c r="D218" i="7"/>
  <c r="D216" i="7"/>
  <c r="D213" i="7"/>
  <c r="D208" i="7"/>
  <c r="D153" i="7"/>
  <c r="D141" i="7"/>
  <c r="D139" i="7"/>
  <c r="D137" i="7"/>
  <c r="D135" i="7"/>
  <c r="D131" i="7"/>
  <c r="D129" i="7"/>
  <c r="D43" i="7"/>
  <c r="D30" i="7"/>
  <c r="I5" i="18"/>
  <c r="D32" i="8"/>
  <c r="D30" i="8"/>
  <c r="D138" i="8"/>
  <c r="M720" i="9"/>
  <c r="D64" i="8"/>
  <c r="J54" i="8"/>
  <c r="J56" i="8"/>
  <c r="J58" i="8" s="1"/>
  <c r="J60" i="8" s="1"/>
  <c r="J62" i="8" s="1"/>
  <c r="D54" i="8"/>
  <c r="D62" i="8"/>
  <c r="D60" i="8"/>
  <c r="D58" i="8"/>
  <c r="D56" i="8"/>
  <c r="K50" i="8"/>
  <c r="K46" i="8"/>
  <c r="K48" i="8" s="1"/>
  <c r="K56" i="8"/>
  <c r="J42" i="8"/>
  <c r="J44" i="8" s="1"/>
  <c r="J46" i="8" s="1"/>
  <c r="J48" i="8" s="1"/>
  <c r="J50" i="8" s="1"/>
  <c r="J52" i="8" s="1"/>
  <c r="K42" i="8"/>
  <c r="K54" i="8"/>
  <c r="D52" i="8"/>
  <c r="D50" i="8"/>
  <c r="D48" i="8"/>
  <c r="D46" i="8"/>
  <c r="D44" i="8"/>
  <c r="D42" i="8"/>
  <c r="M14" i="8"/>
  <c r="M13" i="8"/>
  <c r="K82" i="8"/>
  <c r="K274" i="26"/>
  <c r="K270" i="26"/>
  <c r="K268" i="26"/>
  <c r="K223" i="26"/>
  <c r="K219" i="26"/>
  <c r="K221" i="26" s="1"/>
  <c r="K231" i="26" s="1"/>
  <c r="K213" i="26"/>
  <c r="K227" i="26"/>
  <c r="M112" i="26"/>
  <c r="M14" i="26"/>
  <c r="M13" i="26"/>
  <c r="K276" i="26"/>
  <c r="M14" i="7"/>
  <c r="K228" i="7" s="1"/>
  <c r="M13" i="7"/>
  <c r="K215" i="7"/>
  <c r="K208" i="7"/>
  <c r="K206" i="7" s="1"/>
  <c r="K204" i="7" s="1"/>
  <c r="K135" i="7"/>
  <c r="K145" i="7" s="1"/>
  <c r="K129" i="7"/>
  <c r="B9" i="18"/>
  <c r="D136" i="8"/>
  <c r="D96" i="8"/>
  <c r="D102" i="8"/>
  <c r="D100" i="8"/>
  <c r="D88" i="8"/>
  <c r="D84" i="8"/>
  <c r="D82" i="8"/>
  <c r="D80" i="8"/>
  <c r="D76" i="8"/>
  <c r="D70" i="8"/>
  <c r="I8" i="18"/>
  <c r="I9" i="18"/>
  <c r="I7" i="18"/>
  <c r="B8" i="18"/>
  <c r="D1959" i="9"/>
  <c r="D1960" i="9" s="1"/>
  <c r="D1961" i="9"/>
  <c r="D1962" i="9" s="1"/>
  <c r="D1963" i="9" s="1"/>
  <c r="D1964" i="9" s="1"/>
  <c r="D1965" i="9" s="1"/>
  <c r="D1966" i="9" s="1"/>
  <c r="D1967" i="9" s="1"/>
  <c r="D1968" i="9" s="1"/>
  <c r="D1969" i="9" s="1"/>
  <c r="D1970" i="9" s="1"/>
  <c r="D1971" i="9" s="1"/>
  <c r="D1972" i="9" s="1"/>
  <c r="D1973" i="9" s="1"/>
  <c r="D1974" i="9" s="1"/>
  <c r="D1975" i="9" s="1"/>
  <c r="K339" i="26"/>
  <c r="K296" i="26"/>
  <c r="K342" i="26"/>
  <c r="H311" i="26"/>
  <c r="K338" i="26"/>
  <c r="H312" i="26"/>
  <c r="K286" i="26"/>
  <c r="K289" i="26"/>
  <c r="M289" i="26"/>
  <c r="K317" i="26"/>
  <c r="M317" i="26" s="1"/>
  <c r="J130" i="26"/>
  <c r="M55" i="26"/>
  <c r="I120" i="26"/>
  <c r="I121" i="26" s="1"/>
  <c r="M452" i="26"/>
  <c r="M453" i="26" s="1"/>
  <c r="M874" i="9"/>
  <c r="H313" i="26"/>
  <c r="H315" i="26"/>
  <c r="M44" i="31"/>
  <c r="M42" i="31"/>
  <c r="K58" i="8"/>
  <c r="F179" i="26"/>
  <c r="K340" i="26"/>
  <c r="K287" i="26"/>
  <c r="M287" i="26" s="1"/>
  <c r="K291" i="26"/>
  <c r="M291" i="26"/>
  <c r="K284" i="26"/>
  <c r="M284" i="26" s="1"/>
  <c r="K292" i="26"/>
  <c r="M292" i="26"/>
  <c r="J123" i="26"/>
  <c r="H142" i="26" s="1"/>
  <c r="I124" i="26"/>
  <c r="G143" i="26"/>
  <c r="M82" i="31"/>
  <c r="M84" i="31"/>
  <c r="J92" i="31" s="1"/>
  <c r="J96" i="31" s="1"/>
  <c r="J390" i="26"/>
  <c r="L152" i="38"/>
  <c r="M158" i="38" s="1"/>
  <c r="K172" i="38" s="1"/>
  <c r="M172" i="38" s="1"/>
  <c r="M1150" i="9" s="1"/>
  <c r="M82" i="38"/>
  <c r="M83" i="38" s="1"/>
  <c r="J81" i="38"/>
  <c r="M81" i="38"/>
  <c r="I91" i="38" s="1"/>
  <c r="M47" i="38"/>
  <c r="M53" i="38" s="1"/>
  <c r="M1088" i="9" s="1"/>
  <c r="K59" i="38"/>
  <c r="K71" i="38"/>
  <c r="K55" i="38"/>
  <c r="J57" i="38"/>
  <c r="J59" i="38" s="1"/>
  <c r="J61" i="38"/>
  <c r="M1081" i="9"/>
  <c r="J67" i="38"/>
  <c r="K63" i="38"/>
  <c r="K75" i="38" s="1"/>
  <c r="M119" i="38"/>
  <c r="M1121" i="9" s="1"/>
  <c r="M182" i="38"/>
  <c r="M1157" i="9" s="1"/>
  <c r="M177" i="31"/>
  <c r="M1210" i="9"/>
  <c r="M233" i="31"/>
  <c r="M237" i="31" s="1"/>
  <c r="M1227" i="9" s="1"/>
  <c r="M157" i="31"/>
  <c r="M1203" i="9"/>
  <c r="M167" i="31"/>
  <c r="M1206" i="9" s="1"/>
  <c r="K52" i="31"/>
  <c r="K64" i="31" s="1"/>
  <c r="M64" i="31" s="1"/>
  <c r="L206" i="31"/>
  <c r="L209" i="31"/>
  <c r="M219" i="31" s="1"/>
  <c r="I241" i="31" s="1"/>
  <c r="M212" i="31"/>
  <c r="M214" i="31"/>
  <c r="L207" i="31"/>
  <c r="L210" i="31"/>
  <c r="M164" i="38"/>
  <c r="M1147" i="9"/>
  <c r="J69" i="38"/>
  <c r="M259" i="31"/>
  <c r="M263" i="31" s="1"/>
  <c r="J71" i="38"/>
  <c r="J29" i="37"/>
  <c r="H135" i="37"/>
  <c r="M135" i="37" s="1"/>
  <c r="M196" i="37"/>
  <c r="M200" i="37"/>
  <c r="M951" i="9" s="1"/>
  <c r="G134" i="37"/>
  <c r="K138" i="37"/>
  <c r="K88" i="37"/>
  <c r="J108" i="37"/>
  <c r="K84" i="37"/>
  <c r="F53" i="37"/>
  <c r="K32" i="37"/>
  <c r="M32" i="37"/>
  <c r="J98" i="37"/>
  <c r="J110" i="37"/>
  <c r="J114" i="37"/>
  <c r="K29" i="37"/>
  <c r="I133" i="37"/>
  <c r="M28" i="39"/>
  <c r="M29" i="39" s="1"/>
  <c r="M621" i="9" s="1"/>
  <c r="M118" i="40"/>
  <c r="J29" i="40"/>
  <c r="J78" i="40"/>
  <c r="H100" i="40"/>
  <c r="J103" i="40" s="1"/>
  <c r="M32" i="40"/>
  <c r="M33" i="40" s="1"/>
  <c r="M1272" i="9" s="1"/>
  <c r="K43" i="40"/>
  <c r="K54" i="40"/>
  <c r="M54" i="40" s="1"/>
  <c r="K58" i="40"/>
  <c r="K70" i="40" s="1"/>
  <c r="M70" i="40"/>
  <c r="K62" i="40"/>
  <c r="K74" i="40" s="1"/>
  <c r="M74" i="40" s="1"/>
  <c r="AK33" i="32"/>
  <c r="AQ33" i="32" s="1"/>
  <c r="BO33" i="32"/>
  <c r="BK33" i="32"/>
  <c r="BQ33" i="32"/>
  <c r="J33" i="32"/>
  <c r="AR33" i="32"/>
  <c r="AX33" i="32" s="1"/>
  <c r="AK17" i="32"/>
  <c r="AQ17" i="32"/>
  <c r="J17" i="32"/>
  <c r="S17" i="32"/>
  <c r="T17" i="32"/>
  <c r="BB17" i="32"/>
  <c r="Q17" i="32"/>
  <c r="BC17" i="32"/>
  <c r="AR17" i="32"/>
  <c r="AX17" i="32"/>
  <c r="BA17" i="32"/>
  <c r="AY17" i="32"/>
  <c r="AU17" i="32"/>
  <c r="AP17" i="32"/>
  <c r="AE17" i="32"/>
  <c r="BC24" i="32"/>
  <c r="AU24" i="32"/>
  <c r="AP24" i="32" s="1"/>
  <c r="BB24" i="32"/>
  <c r="X44" i="32"/>
  <c r="BK14" i="32"/>
  <c r="AT39" i="32"/>
  <c r="AO39" i="32" s="1"/>
  <c r="AZ14" i="32"/>
  <c r="AF44" i="32"/>
  <c r="AL44" i="32"/>
  <c r="AK34" i="32"/>
  <c r="AQ34" i="32" s="1"/>
  <c r="I252" i="34"/>
  <c r="M168" i="34"/>
  <c r="K101" i="34"/>
  <c r="J111" i="34"/>
  <c r="G57" i="34"/>
  <c r="K103" i="34"/>
  <c r="I133" i="34" s="1"/>
  <c r="K140" i="34"/>
  <c r="J103" i="34"/>
  <c r="H133" i="34" s="1"/>
  <c r="J101" i="34"/>
  <c r="H131" i="34"/>
  <c r="H150" i="34"/>
  <c r="H173" i="34" s="1"/>
  <c r="F55" i="34"/>
  <c r="K54" i="34"/>
  <c r="I54" i="34"/>
  <c r="M41" i="34"/>
  <c r="J33" i="34"/>
  <c r="F53" i="34"/>
  <c r="M37" i="34"/>
  <c r="M65" i="34"/>
  <c r="M67" i="34" s="1"/>
  <c r="J33" i="37"/>
  <c r="M41" i="37"/>
  <c r="M30" i="37"/>
  <c r="J42" i="32"/>
  <c r="AW42" i="32"/>
  <c r="BL42" i="32"/>
  <c r="AK42" i="32"/>
  <c r="AQ42" i="32" s="1"/>
  <c r="Q42" i="32"/>
  <c r="AU42" i="32"/>
  <c r="AP42" i="32"/>
  <c r="Z42" i="32"/>
  <c r="AR42" i="32"/>
  <c r="AX42" i="32"/>
  <c r="U42" i="32"/>
  <c r="BC42" i="32"/>
  <c r="BO42" i="32"/>
  <c r="AL42" i="32"/>
  <c r="AY42" i="32"/>
  <c r="BP42" i="32"/>
  <c r="AK35" i="32"/>
  <c r="AQ35" i="32" s="1"/>
  <c r="AV35" i="32"/>
  <c r="J35" i="32"/>
  <c r="S35" i="32"/>
  <c r="T35" i="32"/>
  <c r="BB35" i="32"/>
  <c r="U35" i="32"/>
  <c r="AK38" i="32"/>
  <c r="AQ38" i="32" s="1"/>
  <c r="Y38" i="32"/>
  <c r="AF40" i="32"/>
  <c r="AU36" i="32"/>
  <c r="AP36" i="32" s="1"/>
  <c r="AR36" i="32"/>
  <c r="Z36" i="32"/>
  <c r="BK32" i="32"/>
  <c r="BL32" i="32"/>
  <c r="Q41" i="32"/>
  <c r="R41" i="32"/>
  <c r="BP36" i="32"/>
  <c r="BP32" i="32"/>
  <c r="AK32" i="32"/>
  <c r="AQ32" i="32" s="1"/>
  <c r="T41" i="32"/>
  <c r="BB41" i="32"/>
  <c r="AZ41" i="32"/>
  <c r="X51" i="32"/>
  <c r="J31" i="32"/>
  <c r="BH31" i="32" s="1"/>
  <c r="AR34" i="32"/>
  <c r="AX34" i="32" s="1"/>
  <c r="R34" i="32"/>
  <c r="AU30" i="32"/>
  <c r="AP30" i="32" s="1"/>
  <c r="BK30" i="32"/>
  <c r="Y39" i="32"/>
  <c r="AE22" i="32"/>
  <c r="AL38" i="32"/>
  <c r="AS34" i="32"/>
  <c r="AT34" i="32"/>
  <c r="AO34" i="32"/>
  <c r="AL34" i="32"/>
  <c r="AM34" i="32"/>
  <c r="AH34" i="32"/>
  <c r="Y53" i="32"/>
  <c r="AL14" i="32"/>
  <c r="Z18" i="32"/>
  <c r="BA18" i="32"/>
  <c r="BA44" i="32"/>
  <c r="AS35" i="32"/>
  <c r="AT35" i="32"/>
  <c r="AO35" i="32" s="1"/>
  <c r="AL35" i="32"/>
  <c r="AM35" i="32"/>
  <c r="AH35" i="32"/>
  <c r="AV42" i="32"/>
  <c r="T42" i="32"/>
  <c r="BB42" i="32"/>
  <c r="AM40" i="32"/>
  <c r="AH40" i="32" s="1"/>
  <c r="AS41" i="32"/>
  <c r="AE41" i="32"/>
  <c r="AF41" i="32"/>
  <c r="AA41" i="32" s="1"/>
  <c r="AL41" i="32"/>
  <c r="AM41" i="32"/>
  <c r="AH41" i="32"/>
  <c r="AZ52" i="32"/>
  <c r="T52" i="32"/>
  <c r="BB52" i="32"/>
  <c r="AV52" i="32"/>
  <c r="AV17" i="32"/>
  <c r="AZ17" i="32"/>
  <c r="AL50" i="32"/>
  <c r="AF50" i="32"/>
  <c r="AA50" i="32" s="1"/>
  <c r="BA24" i="32"/>
  <c r="X39" i="32"/>
  <c r="AE39" i="32"/>
  <c r="AL39" i="32"/>
  <c r="AM39" i="32"/>
  <c r="AH39" i="32" s="1"/>
  <c r="AL53" i="32"/>
  <c r="AE53" i="32"/>
  <c r="Y52" i="32"/>
  <c r="U19" i="32"/>
  <c r="BC19" i="32"/>
  <c r="AK19" i="32"/>
  <c r="AY19" i="32"/>
  <c r="AU19" i="32"/>
  <c r="AP19" i="32"/>
  <c r="Q19" i="32"/>
  <c r="AW19" i="32"/>
  <c r="AN19" i="32" s="1"/>
  <c r="AI19" i="32" s="1"/>
  <c r="BK19" i="32"/>
  <c r="BP19" i="32"/>
  <c r="AR19" i="32"/>
  <c r="AX19" i="32"/>
  <c r="J19" i="32"/>
  <c r="BE19" i="32"/>
  <c r="BF19" i="32" s="1"/>
  <c r="S19" i="32"/>
  <c r="Z19" i="32"/>
  <c r="AV53" i="32"/>
  <c r="AT53" i="32"/>
  <c r="AO53" i="32" s="1"/>
  <c r="T53" i="32"/>
  <c r="R42" i="32"/>
  <c r="AZ18" i="32"/>
  <c r="R35" i="32"/>
  <c r="AF39" i="32"/>
  <c r="AA39" i="32" s="1"/>
  <c r="S21" i="32"/>
  <c r="AV21" i="32"/>
  <c r="Z21" i="32"/>
  <c r="Y21" i="32"/>
  <c r="AZ21" i="32"/>
  <c r="BC21" i="32"/>
  <c r="T21" i="32"/>
  <c r="AF21" i="32"/>
  <c r="AA21" i="32" s="1"/>
  <c r="AY21" i="32"/>
  <c r="R21" i="32"/>
  <c r="AW21" i="32"/>
  <c r="AN21" i="32" s="1"/>
  <c r="AI21" i="32"/>
  <c r="AE21" i="32"/>
  <c r="BA21" i="32"/>
  <c r="Q21" i="32"/>
  <c r="J21" i="32"/>
  <c r="BI21" i="32" s="1"/>
  <c r="AT21" i="32"/>
  <c r="AO21" i="32"/>
  <c r="X21" i="32"/>
  <c r="U21" i="32"/>
  <c r="U22" i="32"/>
  <c r="AW22" i="32"/>
  <c r="BC22" i="32"/>
  <c r="AV28" i="32"/>
  <c r="AY28" i="32"/>
  <c r="Z28" i="32"/>
  <c r="U29" i="32"/>
  <c r="J25" i="32"/>
  <c r="BH25" i="32" s="1"/>
  <c r="AY25" i="32"/>
  <c r="BA25" i="32"/>
  <c r="Q25" i="32"/>
  <c r="U25" i="32"/>
  <c r="AU25" i="32"/>
  <c r="AP25" i="32" s="1"/>
  <c r="BK25" i="32"/>
  <c r="BP25" i="32" s="1"/>
  <c r="AW25" i="32"/>
  <c r="AN25" i="32" s="1"/>
  <c r="AI25" i="32" s="1"/>
  <c r="AL36" i="32"/>
  <c r="K66" i="40"/>
  <c r="M66" i="40"/>
  <c r="AV19" i="32"/>
  <c r="AZ19" i="32"/>
  <c r="AZ42" i="32"/>
  <c r="AE24" i="32"/>
  <c r="AT17" i="32"/>
  <c r="AO17" i="32" s="1"/>
  <c r="X17" i="32"/>
  <c r="AE35" i="32"/>
  <c r="AS42" i="32"/>
  <c r="T22" i="32"/>
  <c r="AE34" i="32"/>
  <c r="AF34" i="32"/>
  <c r="AA34" i="32"/>
  <c r="BA42" i="32"/>
  <c r="AT14" i="32"/>
  <c r="AO14" i="32" s="1"/>
  <c r="BB14" i="32"/>
  <c r="AL13" i="32"/>
  <c r="R24" i="32"/>
  <c r="AV24" i="32"/>
  <c r="AM24" i="32"/>
  <c r="AH24" i="32" s="1"/>
  <c r="AS24" i="32"/>
  <c r="AL17" i="32"/>
  <c r="AM17" i="32"/>
  <c r="AH17" i="32" s="1"/>
  <c r="R17" i="32"/>
  <c r="X35" i="32"/>
  <c r="X34" i="32"/>
  <c r="BA35" i="32"/>
  <c r="AE42" i="32"/>
  <c r="AF42" i="32"/>
  <c r="AA42" i="32" s="1"/>
  <c r="T36" i="32"/>
  <c r="AM36" i="32"/>
  <c r="AH36" i="32" s="1"/>
  <c r="AE38" i="32"/>
  <c r="Z38" i="32"/>
  <c r="AG42" i="32"/>
  <c r="AB42" i="32" s="1"/>
  <c r="AN42" i="32"/>
  <c r="AI42" i="32" s="1"/>
  <c r="AX36" i="32"/>
  <c r="R28" i="32"/>
  <c r="X19" i="32"/>
  <c r="AF53" i="32"/>
  <c r="AT41" i="32"/>
  <c r="AO41" i="32"/>
  <c r="Y41" i="32"/>
  <c r="T19" i="32"/>
  <c r="BB19" i="32"/>
  <c r="R19" i="32"/>
  <c r="O19" i="32"/>
  <c r="AZ30" i="32"/>
  <c r="AS30" i="32"/>
  <c r="Y34" i="32"/>
  <c r="V19" i="32"/>
  <c r="Y19" i="32"/>
  <c r="AL19" i="32"/>
  <c r="AM19" i="32"/>
  <c r="AH19" i="32"/>
  <c r="AM42" i="32"/>
  <c r="AH42" i="32" s="1"/>
  <c r="AT42" i="32"/>
  <c r="AO42" i="32"/>
  <c r="BA19" i="32"/>
  <c r="Y42" i="32"/>
  <c r="AS19" i="32"/>
  <c r="AT19" i="32"/>
  <c r="AO19" i="32"/>
  <c r="AQ19" i="32"/>
  <c r="AE19" i="32"/>
  <c r="AF19" i="32"/>
  <c r="AV25" i="32"/>
  <c r="AV22" i="32"/>
  <c r="Y35" i="32"/>
  <c r="BB53" i="32"/>
  <c r="AM53" i="32"/>
  <c r="AH53" i="32"/>
  <c r="AT52" i="32"/>
  <c r="AO52" i="32" s="1"/>
  <c r="AM52" i="32"/>
  <c r="AH52" i="32" s="1"/>
  <c r="AF52" i="32"/>
  <c r="AA52" i="32" s="1"/>
  <c r="AL29" i="32"/>
  <c r="X25" i="32"/>
  <c r="AE25" i="32"/>
  <c r="AL25" i="32"/>
  <c r="AZ29" i="32"/>
  <c r="AF28" i="32"/>
  <c r="BA22" i="32"/>
  <c r="AS25" i="32"/>
  <c r="AM28" i="32"/>
  <c r="AH28" i="32" s="1"/>
  <c r="T25" i="32"/>
  <c r="BB25" i="32"/>
  <c r="BB28" i="32"/>
  <c r="Y17" i="32"/>
  <c r="AF14" i="32"/>
  <c r="AM25" i="32"/>
  <c r="AH25" i="32" s="1"/>
  <c r="AT24" i="32"/>
  <c r="AO24" i="32" s="1"/>
  <c r="AM14" i="32"/>
  <c r="AH14" i="32" s="1"/>
  <c r="Y24" i="32"/>
  <c r="AF24" i="32"/>
  <c r="AA24" i="32" s="1"/>
  <c r="AT22" i="32"/>
  <c r="AO22" i="32" s="1"/>
  <c r="AT25" i="32"/>
  <c r="AO25" i="32" s="1"/>
  <c r="AF25" i="32"/>
  <c r="AM22" i="32"/>
  <c r="AH22" i="32" s="1"/>
  <c r="AM29" i="32"/>
  <c r="AH29" i="32" s="1"/>
  <c r="V25" i="32"/>
  <c r="O25" i="32"/>
  <c r="Y25" i="32"/>
  <c r="Y29" i="32"/>
  <c r="M1303" i="9"/>
  <c r="G140" i="39"/>
  <c r="M359" i="36"/>
  <c r="M41" i="36"/>
  <c r="M42" i="36" s="1"/>
  <c r="D2020" i="9"/>
  <c r="D2021" i="9" s="1"/>
  <c r="D2022" i="9" s="1"/>
  <c r="D2023" i="9" s="1"/>
  <c r="D2024" i="9" s="1"/>
  <c r="D2025" i="9" s="1"/>
  <c r="D2026" i="9" s="1"/>
  <c r="D2027" i="9" s="1"/>
  <c r="D2028" i="9" s="1"/>
  <c r="D2029" i="9" s="1"/>
  <c r="D2030" i="9" s="1"/>
  <c r="D2031" i="9" s="1"/>
  <c r="D2032" i="9" s="1"/>
  <c r="D2033" i="9" s="1"/>
  <c r="D2034" i="9" s="1"/>
  <c r="D2035" i="9" s="1"/>
  <c r="D2036" i="9" s="1"/>
  <c r="D2037" i="9" s="1"/>
  <c r="D2038" i="9" s="1"/>
  <c r="D2039" i="9" s="1"/>
  <c r="D2040" i="9" s="1"/>
  <c r="D2041" i="9" s="1"/>
  <c r="D2042" i="9" s="1"/>
  <c r="D2043" i="9" s="1"/>
  <c r="D2044" i="9" s="1"/>
  <c r="D2045" i="9" s="1"/>
  <c r="D2046" i="9" s="1"/>
  <c r="D2047" i="9" s="1"/>
  <c r="D2048" i="9" s="1"/>
  <c r="D2049" i="9" s="1"/>
  <c r="D2050" i="9" s="1"/>
  <c r="D2051" i="9" s="1"/>
  <c r="D2052" i="9" s="1"/>
  <c r="D2053" i="9" s="1"/>
  <c r="D2054" i="9" s="1"/>
  <c r="D2055" i="9" s="1"/>
  <c r="D2056" i="9" s="1"/>
  <c r="D2057" i="9" s="1"/>
  <c r="D2058" i="9" s="1"/>
  <c r="D2059" i="9" s="1"/>
  <c r="D2060" i="9" s="1"/>
  <c r="D2061" i="9" s="1"/>
  <c r="D2062" i="9" s="1"/>
  <c r="D2063" i="9" s="1"/>
  <c r="D2064" i="9" s="1"/>
  <c r="D2065" i="9" s="1"/>
  <c r="D2066" i="9" s="1"/>
  <c r="D2067" i="9" s="1"/>
  <c r="D2068" i="9" s="1"/>
  <c r="D2069" i="9" s="1"/>
  <c r="D2070" i="9" s="1"/>
  <c r="D2071" i="9" s="1"/>
  <c r="D2072" i="9" s="1"/>
  <c r="D2073" i="9" s="1"/>
  <c r="D2074" i="9" s="1"/>
  <c r="D2075" i="9" s="1"/>
  <c r="D2076" i="9" s="1"/>
  <c r="D2077" i="9" s="1"/>
  <c r="D2078" i="9" s="1"/>
  <c r="D2079" i="9" s="1"/>
  <c r="D2080" i="9" s="1"/>
  <c r="D2081" i="9" s="1"/>
  <c r="D2082" i="9" s="1"/>
  <c r="D2083" i="9" s="1"/>
  <c r="D2084" i="9" s="1"/>
  <c r="D2085" i="9" s="1"/>
  <c r="D2086" i="9" s="1"/>
  <c r="D2087" i="9" s="1"/>
  <c r="D2088" i="9" s="1"/>
  <c r="D2089" i="9" s="1"/>
  <c r="D2090" i="9" s="1"/>
  <c r="D2091" i="9" s="1"/>
  <c r="D2092" i="9" s="1"/>
  <c r="D2093" i="9" s="1"/>
  <c r="D2094" i="9" s="1"/>
  <c r="D2095" i="9" s="1"/>
  <c r="D2096" i="9" s="1"/>
  <c r="D2097" i="9" s="1"/>
  <c r="D2098" i="9" s="1"/>
  <c r="D2099" i="9" s="1"/>
  <c r="D2100" i="9" s="1"/>
  <c r="D2101" i="9" s="1"/>
  <c r="D2102" i="9" s="1"/>
  <c r="D2103" i="9" s="1"/>
  <c r="D2104" i="9" s="1"/>
  <c r="D2105" i="9" s="1"/>
  <c r="D2106" i="9" s="1"/>
  <c r="D2107" i="9" s="1"/>
  <c r="D2108" i="9" s="1"/>
  <c r="D2109" i="9" s="1"/>
  <c r="D2110" i="9" s="1"/>
  <c r="D2111" i="9" s="1"/>
  <c r="D2112" i="9" s="1"/>
  <c r="D2113" i="9" s="1"/>
  <c r="D2114" i="9" s="1"/>
  <c r="D2115" i="9" s="1"/>
  <c r="D2116" i="9" s="1"/>
  <c r="D2117" i="9" s="1"/>
  <c r="D2118" i="9" s="1"/>
  <c r="D2119" i="9" s="1"/>
  <c r="D2120" i="9" s="1"/>
  <c r="D2121" i="9" s="1"/>
  <c r="D2122" i="9" s="1"/>
  <c r="D2123" i="9" s="1"/>
  <c r="D2124" i="9" s="1"/>
  <c r="D2125" i="9" s="1"/>
  <c r="D2126" i="9" s="1"/>
  <c r="D2127" i="9" s="1"/>
  <c r="D2128" i="9" s="1"/>
  <c r="D2129" i="9" s="1"/>
  <c r="D2130" i="9" s="1"/>
  <c r="D2131" i="9" s="1"/>
  <c r="D2132" i="9" s="1"/>
  <c r="D2133" i="9" s="1"/>
  <c r="D2134" i="9" s="1"/>
  <c r="D2135" i="9" s="1"/>
  <c r="D2136" i="9" s="1"/>
  <c r="D2137" i="9" s="1"/>
  <c r="D2138" i="9" s="1"/>
  <c r="D2139" i="9" s="1"/>
  <c r="D2140" i="9" s="1"/>
  <c r="D2141" i="9" s="1"/>
  <c r="D2142" i="9" s="1"/>
  <c r="D2143" i="9" s="1"/>
  <c r="D2144" i="9" s="1"/>
  <c r="D2145" i="9" s="1"/>
  <c r="D2146" i="9" s="1"/>
  <c r="D2147" i="9" s="1"/>
  <c r="D2148" i="9" s="1"/>
  <c r="D2149" i="9" s="1"/>
  <c r="D2150" i="9" s="1"/>
  <c r="D2151" i="9" s="1"/>
  <c r="D2152" i="9" s="1"/>
  <c r="D2153" i="9" s="1"/>
  <c r="D2154" i="9" s="1"/>
  <c r="D2155" i="9" s="1"/>
  <c r="D2156" i="9" s="1"/>
  <c r="D2157" i="9" s="1"/>
  <c r="D2158" i="9" s="1"/>
  <c r="D2159" i="9" s="1"/>
  <c r="D2160" i="9" s="1"/>
  <c r="D2161" i="9" s="1"/>
  <c r="D2162" i="9" s="1"/>
  <c r="D2163" i="9" s="1"/>
  <c r="D2164" i="9" s="1"/>
  <c r="D2165" i="9" s="1"/>
  <c r="D2166" i="9" s="1"/>
  <c r="D2167" i="9" s="1"/>
  <c r="D2168" i="9" s="1"/>
  <c r="D2169" i="9" s="1"/>
  <c r="D2170" i="9" s="1"/>
  <c r="D2171" i="9" s="1"/>
  <c r="D2172" i="9" s="1"/>
  <c r="D2173" i="9" s="1"/>
  <c r="D2174" i="9" s="1"/>
  <c r="D2175" i="9" s="1"/>
  <c r="D2176" i="9" s="1"/>
  <c r="D2177" i="9" s="1"/>
  <c r="D2178" i="9" s="1"/>
  <c r="D2179" i="9" s="1"/>
  <c r="D2180" i="9" s="1"/>
  <c r="D2181" i="9" s="1"/>
  <c r="D2182" i="9" s="1"/>
  <c r="D2183" i="9" s="1"/>
  <c r="D2184" i="9" s="1"/>
  <c r="D2185" i="9" s="1"/>
  <c r="D2186" i="9" s="1"/>
  <c r="D2187" i="9" s="1"/>
  <c r="D2188" i="9" s="1"/>
  <c r="D2189" i="9" s="1"/>
  <c r="D2190" i="9" s="1"/>
  <c r="D2191" i="9" s="1"/>
  <c r="D2192" i="9" s="1"/>
  <c r="D2193" i="9" s="1"/>
  <c r="D2194" i="9" s="1"/>
  <c r="D2195" i="9" s="1"/>
  <c r="D2196" i="9" s="1"/>
  <c r="D2197" i="9" s="1"/>
  <c r="D2198" i="9" s="1"/>
  <c r="D2199" i="9" s="1"/>
  <c r="D2200" i="9" s="1"/>
  <c r="D2201" i="9" s="1"/>
  <c r="D2202" i="9" s="1"/>
  <c r="D2203" i="9" s="1"/>
  <c r="D2204" i="9" s="1"/>
  <c r="D2205" i="9" s="1"/>
  <c r="D2206" i="9" s="1"/>
  <c r="D2207" i="9" s="1"/>
  <c r="D2208" i="9" s="1"/>
  <c r="D2209" i="9" s="1"/>
  <c r="D2210" i="9" s="1"/>
  <c r="D2211" i="9" s="1"/>
  <c r="D2212" i="9" s="1"/>
  <c r="D2213" i="9" s="1"/>
  <c r="D2214" i="9" s="1"/>
  <c r="D2215" i="9" s="1"/>
  <c r="D2216" i="9" s="1"/>
  <c r="D2217" i="9" s="1"/>
  <c r="D2218" i="9" s="1"/>
  <c r="D2219" i="9" s="1"/>
  <c r="D2220" i="9" s="1"/>
  <c r="D2221" i="9" s="1"/>
  <c r="D2222" i="9" s="1"/>
  <c r="D2223" i="9" s="1"/>
  <c r="D2224" i="9" s="1"/>
  <c r="D2225" i="9" s="1"/>
  <c r="D2226" i="9" s="1"/>
  <c r="D2227" i="9" s="1"/>
  <c r="D2228" i="9" s="1"/>
  <c r="D2229" i="9" s="1"/>
  <c r="D2230" i="9" s="1"/>
  <c r="D2231" i="9" s="1"/>
  <c r="D2232" i="9" s="1"/>
  <c r="D2233" i="9" s="1"/>
  <c r="D2234" i="9" s="1"/>
  <c r="D2235" i="9" s="1"/>
  <c r="D2236" i="9" s="1"/>
  <c r="D2237" i="9" s="1"/>
  <c r="D2238" i="9" s="1"/>
  <c r="D2239" i="9" s="1"/>
  <c r="D2240" i="9" s="1"/>
  <c r="D2241" i="9" s="1"/>
  <c r="D2242" i="9" s="1"/>
  <c r="D2243" i="9" s="1"/>
  <c r="D2244" i="9" s="1"/>
  <c r="D2245" i="9" s="1"/>
  <c r="D2246" i="9" s="1"/>
  <c r="D2247" i="9" s="1"/>
  <c r="D2248" i="9" s="1"/>
  <c r="D2249" i="9" s="1"/>
  <c r="D2250" i="9" s="1"/>
  <c r="D2251" i="9" s="1"/>
  <c r="D2252" i="9" s="1"/>
  <c r="D2253" i="9" s="1"/>
  <c r="D2254" i="9" s="1"/>
  <c r="D2255" i="9" s="1"/>
  <c r="D2256" i="9" s="1"/>
  <c r="D2257" i="9" s="1"/>
  <c r="D2258" i="9" s="1"/>
  <c r="D2259" i="9" s="1"/>
  <c r="D2260" i="9" s="1"/>
  <c r="D2261" i="9" s="1"/>
  <c r="D2262" i="9" s="1"/>
  <c r="D2263" i="9" s="1"/>
  <c r="D2264" i="9" s="1"/>
  <c r="D2265" i="9" s="1"/>
  <c r="D2266" i="9" s="1"/>
  <c r="D2267" i="9" s="1"/>
  <c r="D2268" i="9" s="1"/>
  <c r="D2269" i="9" s="1"/>
  <c r="D2270" i="9" s="1"/>
  <c r="D2271" i="9" s="1"/>
  <c r="D2272" i="9" s="1"/>
  <c r="D2273" i="9" s="1"/>
  <c r="D2274" i="9" s="1"/>
  <c r="D2275" i="9" s="1"/>
  <c r="D2276" i="9" s="1"/>
  <c r="D2277" i="9" s="1"/>
  <c r="D2278" i="9" s="1"/>
  <c r="D2279" i="9" s="1"/>
  <c r="D2280" i="9" s="1"/>
  <c r="D2281" i="9" s="1"/>
  <c r="D2282" i="9" s="1"/>
  <c r="D2283" i="9" s="1"/>
  <c r="D2284" i="9" s="1"/>
  <c r="D2285" i="9" s="1"/>
  <c r="D2286" i="9" s="1"/>
  <c r="D2287" i="9" s="1"/>
  <c r="D2288" i="9" s="1"/>
  <c r="D2289" i="9" s="1"/>
  <c r="D2290" i="9" s="1"/>
  <c r="D2291" i="9" s="1"/>
  <c r="D2292" i="9" s="1"/>
  <c r="D2293" i="9" s="1"/>
  <c r="D2294" i="9" s="1"/>
  <c r="D2295" i="9" s="1"/>
  <c r="D2296" i="9" s="1"/>
  <c r="D2297" i="9" s="1"/>
  <c r="D2298" i="9" s="1"/>
  <c r="D2299" i="9" s="1"/>
  <c r="D2300" i="9" s="1"/>
  <c r="D2301" i="9" s="1"/>
  <c r="D2302" i="9" s="1"/>
  <c r="D2303" i="9" s="1"/>
  <c r="D2304" i="9" s="1"/>
  <c r="D2305" i="9" s="1"/>
  <c r="D2306" i="9" s="1"/>
  <c r="D2307" i="9" s="1"/>
  <c r="D2308" i="9" s="1"/>
  <c r="D2309" i="9" s="1"/>
  <c r="D2310" i="9" s="1"/>
  <c r="D2311" i="9" s="1"/>
  <c r="D2312" i="9" s="1"/>
  <c r="D2313" i="9" s="1"/>
  <c r="D2314" i="9" s="1"/>
  <c r="D2315" i="9" s="1"/>
  <c r="D2316" i="9" s="1"/>
  <c r="D2317" i="9" s="1"/>
  <c r="D2318" i="9" s="1"/>
  <c r="D2319" i="9" s="1"/>
  <c r="D2320" i="9" s="1"/>
  <c r="D2321" i="9" s="1"/>
  <c r="D2322" i="9" s="1"/>
  <c r="D2323" i="9" s="1"/>
  <c r="D2324" i="9" s="1"/>
  <c r="D2325" i="9" s="1"/>
  <c r="D2326" i="9" s="1"/>
  <c r="D2327" i="9" s="1"/>
  <c r="D2328" i="9" s="1"/>
  <c r="D2329" i="9" s="1"/>
  <c r="D2330" i="9" s="1"/>
  <c r="D2331" i="9" s="1"/>
  <c r="D2332" i="9" s="1"/>
  <c r="D2333" i="9" s="1"/>
  <c r="D2334" i="9" s="1"/>
  <c r="D2335" i="9" s="1"/>
  <c r="D2336" i="9" s="1"/>
  <c r="D2337" i="9" s="1"/>
  <c r="D2338" i="9" s="1"/>
  <c r="D2339" i="9" s="1"/>
  <c r="D2340" i="9" s="1"/>
  <c r="D2341" i="9" s="1"/>
  <c r="D2342" i="9" s="1"/>
  <c r="D2343" i="9" s="1"/>
  <c r="D2344" i="9" s="1"/>
  <c r="D2345" i="9" s="1"/>
  <c r="D2346" i="9" s="1"/>
  <c r="D2347" i="9" s="1"/>
  <c r="D2348" i="9" s="1"/>
  <c r="D2349" i="9" s="1"/>
  <c r="D2350" i="9" s="1"/>
  <c r="D2351" i="9" s="1"/>
  <c r="D2352" i="9" s="1"/>
  <c r="D2353" i="9" s="1"/>
  <c r="D2354" i="9" s="1"/>
  <c r="D2355" i="9" s="1"/>
  <c r="D2356" i="9" s="1"/>
  <c r="D2357" i="9" s="1"/>
  <c r="D2358" i="9" s="1"/>
  <c r="D2359" i="9" s="1"/>
  <c r="D2360" i="9" s="1"/>
  <c r="D2361" i="9" s="1"/>
  <c r="D2362" i="9" s="1"/>
  <c r="D2363" i="9" s="1"/>
  <c r="D2364" i="9" s="1"/>
  <c r="D2365" i="9" s="1"/>
  <c r="D2366" i="9" s="1"/>
  <c r="D2367" i="9" s="1"/>
  <c r="D2368" i="9" s="1"/>
  <c r="D2369" i="9" s="1"/>
  <c r="D2370" i="9" s="1"/>
  <c r="D2371" i="9" s="1"/>
  <c r="D2372" i="9" s="1"/>
  <c r="D2373" i="9" s="1"/>
  <c r="D2374" i="9" s="1"/>
  <c r="D2375" i="9" s="1"/>
  <c r="D2376" i="9" s="1"/>
  <c r="D2377" i="9" s="1"/>
  <c r="D2378" i="9" s="1"/>
  <c r="D2379" i="9" s="1"/>
  <c r="D2380" i="9" s="1"/>
  <c r="D2381" i="9" s="1"/>
  <c r="D2382" i="9" s="1"/>
  <c r="D2383" i="9" s="1"/>
  <c r="D2384" i="9" s="1"/>
  <c r="D2385" i="9" s="1"/>
  <c r="D2386" i="9" s="1"/>
  <c r="D2387" i="9" s="1"/>
  <c r="D2388" i="9" s="1"/>
  <c r="D2389" i="9" s="1"/>
  <c r="D2390" i="9" s="1"/>
  <c r="D2391" i="9" s="1"/>
  <c r="D2392" i="9" s="1"/>
  <c r="D2393" i="9" s="1"/>
  <c r="D2394" i="9" s="1"/>
  <c r="D2395" i="9" s="1"/>
  <c r="D2396" i="9" s="1"/>
  <c r="D2397" i="9" s="1"/>
  <c r="D2398" i="9" s="1"/>
  <c r="D2399" i="9" s="1"/>
  <c r="D2400" i="9" s="1"/>
  <c r="D2401" i="9" s="1"/>
  <c r="D2402" i="9" s="1"/>
  <c r="D2403" i="9" s="1"/>
  <c r="D2404" i="9" s="1"/>
  <c r="D2405" i="9" s="1"/>
  <c r="D2406" i="9" s="1"/>
  <c r="D2407" i="9" s="1"/>
  <c r="D2408" i="9" s="1"/>
  <c r="D2409" i="9" s="1"/>
  <c r="D2410" i="9" s="1"/>
  <c r="D2411" i="9" s="1"/>
  <c r="D2412" i="9" s="1"/>
  <c r="D2413" i="9" s="1"/>
  <c r="D2414" i="9" s="1"/>
  <c r="D2415" i="9" s="1"/>
  <c r="D2416" i="9" s="1"/>
  <c r="D2417" i="9" s="1"/>
  <c r="D2418" i="9" s="1"/>
  <c r="D2419" i="9" s="1"/>
  <c r="D2420" i="9" s="1"/>
  <c r="D2421" i="9" s="1"/>
  <c r="D2422" i="9" s="1"/>
  <c r="D2423" i="9" s="1"/>
  <c r="D2424" i="9" s="1"/>
  <c r="D2425" i="9" s="1"/>
  <c r="D2426" i="9" s="1"/>
  <c r="D2427" i="9" s="1"/>
  <c r="D2428" i="9" s="1"/>
  <c r="D2429" i="9" s="1"/>
  <c r="D2430" i="9" s="1"/>
  <c r="D2431" i="9" s="1"/>
  <c r="D2432" i="9" s="1"/>
  <c r="J58" i="43"/>
  <c r="J70" i="43"/>
  <c r="J74" i="43"/>
  <c r="K56" i="43"/>
  <c r="M85" i="36"/>
  <c r="M87" i="36"/>
  <c r="M117" i="36"/>
  <c r="M118" i="36"/>
  <c r="M50" i="36"/>
  <c r="M51" i="36"/>
  <c r="M44" i="36"/>
  <c r="M45" i="36"/>
  <c r="M47" i="36"/>
  <c r="M48" i="36"/>
  <c r="E978" i="9"/>
  <c r="E979" i="9"/>
  <c r="E980" i="9" s="1"/>
  <c r="E981" i="9"/>
  <c r="E982" i="9" s="1"/>
  <c r="E983" i="9" s="1"/>
  <c r="E984" i="9" s="1"/>
  <c r="E985" i="9" s="1"/>
  <c r="E986" i="9" s="1"/>
  <c r="E987" i="9" s="1"/>
  <c r="E988" i="9" s="1"/>
  <c r="E989" i="9" s="1"/>
  <c r="E990" i="9" s="1"/>
  <c r="E991" i="9" s="1"/>
  <c r="E992" i="9"/>
  <c r="E993" i="9" s="1"/>
  <c r="E994" i="9" s="1"/>
  <c r="E995" i="9" s="1"/>
  <c r="E996" i="9" s="1"/>
  <c r="E997" i="9" s="1"/>
  <c r="E998" i="9" s="1"/>
  <c r="E999" i="9" s="1"/>
  <c r="E1000" i="9" s="1"/>
  <c r="E1001" i="9" s="1"/>
  <c r="E1002" i="9" s="1"/>
  <c r="E1003" i="9" s="1"/>
  <c r="E1004" i="9" s="1"/>
  <c r="E1005" i="9" s="1"/>
  <c r="E1006" i="9" s="1"/>
  <c r="E1007" i="9" s="1"/>
  <c r="E1008" i="9" s="1"/>
  <c r="E1009" i="9" s="1"/>
  <c r="E1010" i="9" s="1"/>
  <c r="E1011" i="9" s="1"/>
  <c r="E1012" i="9" s="1"/>
  <c r="E1013" i="9" s="1"/>
  <c r="E1014" i="9" s="1"/>
  <c r="E1015" i="9" s="1"/>
  <c r="E1017" i="9" s="1"/>
  <c r="E1078" i="9"/>
  <c r="E1079" i="9" s="1"/>
  <c r="E1080" i="9" s="1"/>
  <c r="E1081" i="9" s="1"/>
  <c r="E1082" i="9" s="1"/>
  <c r="E1083" i="9" s="1"/>
  <c r="E1084" i="9" s="1"/>
  <c r="E1085" i="9" s="1"/>
  <c r="E1086" i="9"/>
  <c r="E1087" i="9" s="1"/>
  <c r="E1088" i="9" s="1"/>
  <c r="E1089" i="9" s="1"/>
  <c r="E1090" i="9" s="1"/>
  <c r="E1091" i="9" s="1"/>
  <c r="E1092" i="9" s="1"/>
  <c r="E1093" i="9" s="1"/>
  <c r="E1094" i="9" s="1"/>
  <c r="E1095" i="9" s="1"/>
  <c r="E1096" i="9" s="1"/>
  <c r="E1097" i="9" s="1"/>
  <c r="E1098" i="9" s="1"/>
  <c r="E1099" i="9" s="1"/>
  <c r="E1100" i="9" s="1"/>
  <c r="E1101" i="9" s="1"/>
  <c r="E1102" i="9" s="1"/>
  <c r="E1103" i="9" s="1"/>
  <c r="E1104" i="9" s="1"/>
  <c r="E1105" i="9" s="1"/>
  <c r="E1106" i="9" s="1"/>
  <c r="E1107" i="9" s="1"/>
  <c r="E1108" i="9" s="1"/>
  <c r="E1109" i="9" s="1"/>
  <c r="E1110" i="9" s="1"/>
  <c r="E1111" i="9" s="1"/>
  <c r="E1112" i="9" s="1"/>
  <c r="E1113" i="9" s="1"/>
  <c r="E1114" i="9" s="1"/>
  <c r="E1115" i="9" s="1"/>
  <c r="E1116" i="9" s="1"/>
  <c r="E1117" i="9" s="1"/>
  <c r="E1118" i="9" s="1"/>
  <c r="E1119" i="9" s="1"/>
  <c r="E1120" i="9" s="1"/>
  <c r="E1121" i="9" s="1"/>
  <c r="E1122" i="9" s="1"/>
  <c r="E1123" i="9" s="1"/>
  <c r="E1124" i="9" s="1"/>
  <c r="E1125" i="9" s="1"/>
  <c r="E1126" i="9" s="1"/>
  <c r="E1127" i="9" s="1"/>
  <c r="E1128" i="9" s="1"/>
  <c r="E1129" i="9" s="1"/>
  <c r="E1130" i="9" s="1"/>
  <c r="E1131" i="9" s="1"/>
  <c r="E1132" i="9" s="1"/>
  <c r="E1133" i="9" s="1"/>
  <c r="E1134" i="9" s="1"/>
  <c r="E1135" i="9" s="1"/>
  <c r="E1136" i="9" s="1"/>
  <c r="E1137" i="9" s="1"/>
  <c r="E1138" i="9" s="1"/>
  <c r="E1139" i="9" s="1"/>
  <c r="E1140" i="9" s="1"/>
  <c r="E1141" i="9" s="1"/>
  <c r="E1142" i="9" s="1"/>
  <c r="E1143" i="9" s="1"/>
  <c r="E1144" i="9" s="1"/>
  <c r="E1145" i="9" s="1"/>
  <c r="E1146" i="9" s="1"/>
  <c r="E1147" i="9" s="1"/>
  <c r="E1148" i="9" s="1"/>
  <c r="E1149" i="9" s="1"/>
  <c r="E1150" i="9" s="1"/>
  <c r="E1151" i="9" s="1"/>
  <c r="E1152" i="9" s="1"/>
  <c r="E1153" i="9" s="1"/>
  <c r="E1154" i="9" s="1"/>
  <c r="E1155" i="9" s="1"/>
  <c r="E1156" i="9" s="1"/>
  <c r="E1157" i="9" s="1"/>
  <c r="E1158" i="9" s="1"/>
  <c r="E1159" i="9" s="1"/>
  <c r="E1160" i="9" s="1"/>
  <c r="E1161" i="9" s="1"/>
  <c r="E1162" i="9" s="1"/>
  <c r="E1163" i="9" s="1"/>
  <c r="E1164" i="9" s="1"/>
  <c r="E1165" i="9" s="1"/>
  <c r="E1166" i="9" s="1"/>
  <c r="E1167" i="9" s="1"/>
  <c r="E1168" i="9" s="1"/>
  <c r="E1169" i="9" s="1"/>
  <c r="E1170" i="9" s="1"/>
  <c r="E1171" i="9" s="1"/>
  <c r="E1172" i="9" s="1"/>
  <c r="E1173" i="9" s="1"/>
  <c r="E1174" i="9" s="1"/>
  <c r="E1175" i="9" s="1"/>
  <c r="E1176" i="9" s="1"/>
  <c r="E1177" i="9" s="1"/>
  <c r="E1178" i="9" s="1"/>
  <c r="E1179" i="9" s="1"/>
  <c r="E1180" i="9" s="1"/>
  <c r="E1181" i="9" s="1"/>
  <c r="E1182" i="9" s="1"/>
  <c r="E1183" i="9" s="1"/>
  <c r="E1185" i="9"/>
  <c r="E1186" i="9"/>
  <c r="E1187" i="9"/>
  <c r="E1188" i="9" s="1"/>
  <c r="E1268" i="9"/>
  <c r="E1269" i="9"/>
  <c r="E1270" i="9"/>
  <c r="E1271" i="9" s="1"/>
  <c r="E1272" i="9" s="1"/>
  <c r="E1273" i="9"/>
  <c r="E1274" i="9" s="1"/>
  <c r="E1275" i="9"/>
  <c r="E1276" i="9" s="1"/>
  <c r="E1277" i="9" s="1"/>
  <c r="E1278" i="9" s="1"/>
  <c r="E1279" i="9" s="1"/>
  <c r="E1280" i="9" s="1"/>
  <c r="E1281" i="9" s="1"/>
  <c r="E1282" i="9" s="1"/>
  <c r="E1283" i="9" s="1"/>
  <c r="E1284" i="9" s="1"/>
  <c r="E1285" i="9" s="1"/>
  <c r="E1286" i="9"/>
  <c r="E1287" i="9" s="1"/>
  <c r="E1288" i="9" s="1"/>
  <c r="E1289" i="9" s="1"/>
  <c r="E1290" i="9" s="1"/>
  <c r="E1291" i="9" s="1"/>
  <c r="E1292" i="9" s="1"/>
  <c r="E1293" i="9" s="1"/>
  <c r="E1294" i="9" s="1"/>
  <c r="E1295" i="9" s="1"/>
  <c r="E1296" i="9" s="1"/>
  <c r="E1297" i="9" s="1"/>
  <c r="E1298" i="9" s="1"/>
  <c r="E1299" i="9" s="1"/>
  <c r="E1300" i="9" s="1"/>
  <c r="E1301" i="9" s="1"/>
  <c r="E1302" i="9" s="1"/>
  <c r="E1303" i="9" s="1"/>
  <c r="E1304" i="9" s="1"/>
  <c r="E1305" i="9" s="1"/>
  <c r="E1306" i="9" s="1"/>
  <c r="E1307" i="9" s="1"/>
  <c r="E1308" i="9" s="1"/>
  <c r="E1309" i="9" s="1"/>
  <c r="E1310" i="9" s="1"/>
  <c r="E1311" i="9" s="1"/>
  <c r="E1312" i="9" s="1"/>
  <c r="E1313" i="9" s="1"/>
  <c r="E1314" i="9" s="1"/>
  <c r="E1315" i="9" s="1"/>
  <c r="E1316" i="9" s="1"/>
  <c r="E1317" i="9" s="1"/>
  <c r="E1318" i="9" s="1"/>
  <c r="E1319" i="9" s="1"/>
  <c r="E1320" i="9" s="1"/>
  <c r="E1321" i="9" s="1"/>
  <c r="E1322" i="9" s="1"/>
  <c r="E1323" i="9" s="1"/>
  <c r="E1324" i="9" s="1"/>
  <c r="E1325" i="9" s="1"/>
  <c r="E1326" i="9" s="1"/>
  <c r="E1327" i="9" s="1"/>
  <c r="E1328" i="9" s="1"/>
  <c r="E1329" i="9" s="1"/>
  <c r="E1330" i="9" s="1"/>
  <c r="E1331" i="9" s="1"/>
  <c r="E1332" i="9" s="1"/>
  <c r="E1333" i="9" s="1"/>
  <c r="E1334" i="9" s="1"/>
  <c r="E1335" i="9" s="1"/>
  <c r="E1336" i="9" s="1"/>
  <c r="E1337" i="9" s="1"/>
  <c r="E1338" i="9" s="1"/>
  <c r="E1339" i="9" s="1"/>
  <c r="E1340" i="9" s="1"/>
  <c r="E1341" i="9" s="1"/>
  <c r="E1342" i="9" s="1"/>
  <c r="E1343" i="9" s="1"/>
  <c r="E1344" i="9" s="1"/>
  <c r="E1345" i="9" s="1"/>
  <c r="E1347" i="9"/>
  <c r="E1348" i="9"/>
  <c r="E1349" i="9" s="1"/>
  <c r="E1350" i="9" s="1"/>
  <c r="E1351" i="9" s="1"/>
  <c r="E1352" i="9" s="1"/>
  <c r="E1353" i="9" s="1"/>
  <c r="E1354" i="9" s="1"/>
  <c r="E1355" i="9" s="1"/>
  <c r="E1356" i="9" s="1"/>
  <c r="E1357" i="9" s="1"/>
  <c r="E1358" i="9" s="1"/>
  <c r="E1359" i="9"/>
  <c r="E1360" i="9" s="1"/>
  <c r="E1361" i="9" s="1"/>
  <c r="E1362" i="9" s="1"/>
  <c r="E1363" i="9" s="1"/>
  <c r="E1364" i="9" s="1"/>
  <c r="E1365" i="9" s="1"/>
  <c r="E1366" i="9" s="1"/>
  <c r="E1367" i="9" s="1"/>
  <c r="E1368" i="9" s="1"/>
  <c r="E1369" i="9" s="1"/>
  <c r="E1370" i="9" s="1"/>
  <c r="E1371" i="9" s="1"/>
  <c r="E1372" i="9" s="1"/>
  <c r="E1373" i="9" s="1"/>
  <c r="E1374" i="9" s="1"/>
  <c r="E1375" i="9" s="1"/>
  <c r="E1376" i="9" s="1"/>
  <c r="E1377" i="9" s="1"/>
  <c r="E1378" i="9" s="1"/>
  <c r="E1379" i="9" s="1"/>
  <c r="E1380" i="9" s="1"/>
  <c r="E1381" i="9" s="1"/>
  <c r="E1382" i="9" s="1"/>
  <c r="E1383" i="9" s="1"/>
  <c r="E1384" i="9" s="1"/>
  <c r="E1385" i="9" s="1"/>
  <c r="E1386" i="9" s="1"/>
  <c r="E1387" i="9" s="1"/>
  <c r="E1388" i="9" s="1"/>
  <c r="E1389" i="9" s="1"/>
  <c r="J56" i="40"/>
  <c r="J58" i="40"/>
  <c r="J60" i="40" s="1"/>
  <c r="J62" i="40" s="1"/>
  <c r="M62" i="40" s="1"/>
  <c r="M184" i="38"/>
  <c r="M1158" i="9" s="1"/>
  <c r="M59" i="38"/>
  <c r="J73" i="38"/>
  <c r="J75" i="38" s="1"/>
  <c r="M33" i="34"/>
  <c r="M43" i="34"/>
  <c r="M982" i="9" s="1"/>
  <c r="K57" i="34"/>
  <c r="K75" i="34"/>
  <c r="K89" i="34"/>
  <c r="M1043" i="9"/>
  <c r="G55" i="34"/>
  <c r="I55" i="34" s="1"/>
  <c r="J109" i="34"/>
  <c r="M212" i="34"/>
  <c r="M1035" i="9" s="1"/>
  <c r="I136" i="34"/>
  <c r="M114" i="37"/>
  <c r="M66" i="37"/>
  <c r="M138" i="37"/>
  <c r="H133" i="37"/>
  <c r="M945" i="9"/>
  <c r="M102" i="37"/>
  <c r="K92" i="37"/>
  <c r="G57" i="37"/>
  <c r="M57" i="37" s="1"/>
  <c r="I115" i="37" s="1"/>
  <c r="M33" i="37"/>
  <c r="K104" i="37"/>
  <c r="K142" i="37" s="1"/>
  <c r="K90" i="37"/>
  <c r="K86" i="37"/>
  <c r="M86" i="37" s="1"/>
  <c r="M94" i="37"/>
  <c r="J112" i="37"/>
  <c r="J100" i="37"/>
  <c r="M100" i="37" s="1"/>
  <c r="J104" i="37"/>
  <c r="M39" i="37"/>
  <c r="M61" i="26"/>
  <c r="J115" i="26"/>
  <c r="H133" i="26"/>
  <c r="G239" i="26"/>
  <c r="J282" i="26" s="1"/>
  <c r="K391" i="26"/>
  <c r="K333" i="26"/>
  <c r="K285" i="26"/>
  <c r="M285" i="26" s="1"/>
  <c r="K313" i="26"/>
  <c r="M313" i="26" s="1"/>
  <c r="K393" i="26"/>
  <c r="K397" i="26"/>
  <c r="M121" i="26"/>
  <c r="K140" i="26" s="1"/>
  <c r="H86" i="26"/>
  <c r="H99" i="26" s="1"/>
  <c r="H127" i="26" s="1"/>
  <c r="F146" i="26"/>
  <c r="F186" i="26" s="1"/>
  <c r="M73" i="26"/>
  <c r="K395" i="26"/>
  <c r="K337" i="26"/>
  <c r="M114" i="26"/>
  <c r="K133" i="26" s="1"/>
  <c r="M79" i="39"/>
  <c r="M81" i="39" s="1"/>
  <c r="M635" i="9" s="1"/>
  <c r="G139" i="39"/>
  <c r="M139" i="39"/>
  <c r="M358" i="36"/>
  <c r="E207" i="36"/>
  <c r="M207" i="36" s="1"/>
  <c r="E204" i="36"/>
  <c r="M204" i="36"/>
  <c r="M349" i="36"/>
  <c r="J129" i="26"/>
  <c r="H148" i="26"/>
  <c r="I114" i="26"/>
  <c r="K56" i="31"/>
  <c r="K68" i="31" s="1"/>
  <c r="M1254" i="9"/>
  <c r="K60" i="31"/>
  <c r="M60" i="31"/>
  <c r="M185" i="31"/>
  <c r="M1214" i="9"/>
  <c r="K253" i="31"/>
  <c r="M253" i="31" s="1"/>
  <c r="M1234" i="9" s="1"/>
  <c r="O22" i="9"/>
  <c r="P22" i="9" s="1"/>
  <c r="M191" i="50"/>
  <c r="M116" i="50"/>
  <c r="M186" i="50"/>
  <c r="M226" i="9"/>
  <c r="I197" i="50"/>
  <c r="M197" i="50"/>
  <c r="M198" i="50" s="1"/>
  <c r="M38" i="50"/>
  <c r="M160" i="9"/>
  <c r="J95" i="50"/>
  <c r="J77" i="50"/>
  <c r="J79" i="50" s="1"/>
  <c r="K77" i="50"/>
  <c r="K79" i="50"/>
  <c r="D243" i="9"/>
  <c r="D244" i="9" s="1"/>
  <c r="C243" i="9"/>
  <c r="C244" i="9" s="1"/>
  <c r="J14" i="47"/>
  <c r="J13" i="47"/>
  <c r="M352" i="7"/>
  <c r="L65" i="7"/>
  <c r="M65" i="7"/>
  <c r="K79" i="7" s="1"/>
  <c r="K64" i="43"/>
  <c r="M121" i="50"/>
  <c r="M111" i="43"/>
  <c r="M137" i="43" s="1"/>
  <c r="M417" i="9" s="1"/>
  <c r="M218" i="43"/>
  <c r="M81" i="43"/>
  <c r="M204" i="43"/>
  <c r="M434" i="9"/>
  <c r="M219" i="43"/>
  <c r="M220" i="43"/>
  <c r="M192" i="43"/>
  <c r="M426" i="9" s="1"/>
  <c r="M143" i="43"/>
  <c r="M188" i="43"/>
  <c r="M425" i="9" s="1"/>
  <c r="M200" i="43"/>
  <c r="M433" i="9" s="1"/>
  <c r="E80" i="43"/>
  <c r="M33" i="50"/>
  <c r="M159" i="9"/>
  <c r="M180" i="50"/>
  <c r="M220" i="9"/>
  <c r="J93" i="50"/>
  <c r="J97" i="50"/>
  <c r="H127" i="50"/>
  <c r="F143" i="50"/>
  <c r="F146" i="50" s="1"/>
  <c r="J81" i="50"/>
  <c r="J85" i="50" s="1"/>
  <c r="J87" i="50" s="1"/>
  <c r="K89" i="50"/>
  <c r="K66" i="50"/>
  <c r="K62" i="50" s="1"/>
  <c r="K58" i="50"/>
  <c r="K83" i="50"/>
  <c r="K85" i="50"/>
  <c r="K87" i="50" s="1"/>
  <c r="K91" i="50"/>
  <c r="K93" i="50"/>
  <c r="K65" i="50"/>
  <c r="G102" i="50"/>
  <c r="I102" i="50"/>
  <c r="J102" i="50" s="1"/>
  <c r="H102" i="50"/>
  <c r="M196" i="50"/>
  <c r="M238" i="9"/>
  <c r="M190" i="50"/>
  <c r="H126" i="50"/>
  <c r="F142" i="50"/>
  <c r="E163" i="9"/>
  <c r="E165" i="9"/>
  <c r="E166" i="9" s="1"/>
  <c r="E167" i="9"/>
  <c r="E168" i="9" s="1"/>
  <c r="E169" i="9" s="1"/>
  <c r="E170" i="9"/>
  <c r="E171" i="9" s="1"/>
  <c r="E172" i="9" s="1"/>
  <c r="E173" i="9" s="1"/>
  <c r="E174" i="9" s="1"/>
  <c r="E175" i="9" s="1"/>
  <c r="E176" i="9" s="1"/>
  <c r="E177" i="9" s="1"/>
  <c r="E178" i="9" s="1"/>
  <c r="E179" i="9" s="1"/>
  <c r="E180" i="9" s="1"/>
  <c r="E181" i="9"/>
  <c r="E182" i="9" s="1"/>
  <c r="E183" i="9" s="1"/>
  <c r="E184" i="9" s="1"/>
  <c r="E185" i="9" s="1"/>
  <c r="E186" i="9" s="1"/>
  <c r="E187" i="9" s="1"/>
  <c r="E188" i="9" s="1"/>
  <c r="E189" i="9" s="1"/>
  <c r="E190" i="9" s="1"/>
  <c r="E191" i="9" s="1"/>
  <c r="E192" i="9" s="1"/>
  <c r="E193" i="9" s="1"/>
  <c r="E194" i="9" s="1"/>
  <c r="E195" i="9" s="1"/>
  <c r="E196" i="9" s="1"/>
  <c r="E197" i="9" s="1"/>
  <c r="E198" i="9" s="1"/>
  <c r="E199" i="9" s="1"/>
  <c r="E200" i="9" s="1"/>
  <c r="E201" i="9" s="1"/>
  <c r="E202" i="9" s="1"/>
  <c r="E203" i="9" s="1"/>
  <c r="E204" i="9" s="1"/>
  <c r="E205" i="9" s="1"/>
  <c r="E206" i="9" s="1"/>
  <c r="E207" i="9" s="1"/>
  <c r="E208" i="9" s="1"/>
  <c r="E209" i="9" s="1"/>
  <c r="E210" i="9" s="1"/>
  <c r="E211" i="9" s="1"/>
  <c r="E212" i="9" s="1"/>
  <c r="E213" i="9" s="1"/>
  <c r="E214" i="9" s="1"/>
  <c r="E215" i="9" s="1"/>
  <c r="E216" i="9" s="1"/>
  <c r="E217" i="9" s="1"/>
  <c r="E218" i="9" s="1"/>
  <c r="E219" i="9" s="1"/>
  <c r="E220" i="9" s="1"/>
  <c r="E221" i="9" s="1"/>
  <c r="E222" i="9" s="1"/>
  <c r="E223" i="9" s="1"/>
  <c r="E224" i="9" s="1"/>
  <c r="E225" i="9" s="1"/>
  <c r="E226" i="9" s="1"/>
  <c r="E227" i="9" s="1"/>
  <c r="E228" i="9" s="1"/>
  <c r="E229" i="9" s="1"/>
  <c r="E230" i="9" s="1"/>
  <c r="E231" i="9" s="1"/>
  <c r="E232" i="9" s="1"/>
  <c r="E233" i="9" s="1"/>
  <c r="E234" i="9" s="1"/>
  <c r="E235" i="9" s="1"/>
  <c r="E236" i="9" s="1"/>
  <c r="E237" i="9" s="1"/>
  <c r="E238" i="9" s="1"/>
  <c r="E239" i="9" s="1"/>
  <c r="E240" i="9" s="1"/>
  <c r="E241" i="9" s="1"/>
  <c r="B54" i="44"/>
  <c r="F53" i="50"/>
  <c r="F66" i="50"/>
  <c r="M184" i="43"/>
  <c r="M424" i="9" s="1"/>
  <c r="J83" i="50"/>
  <c r="F52" i="50"/>
  <c r="F61" i="50" s="1"/>
  <c r="F65" i="50"/>
  <c r="F62" i="50"/>
  <c r="F57" i="50"/>
  <c r="M72" i="43"/>
  <c r="M60" i="43"/>
  <c r="Q69" i="44"/>
  <c r="H248" i="9"/>
  <c r="I248" i="9"/>
  <c r="M152" i="40"/>
  <c r="K78" i="40"/>
  <c r="J82" i="40"/>
  <c r="K29" i="40"/>
  <c r="M29" i="40" s="1"/>
  <c r="M30" i="40" s="1"/>
  <c r="J50" i="31"/>
  <c r="M48" i="31"/>
  <c r="M265" i="31"/>
  <c r="M1241" i="9" s="1"/>
  <c r="J64" i="31"/>
  <c r="J66" i="31" s="1"/>
  <c r="J68" i="31"/>
  <c r="M157" i="38"/>
  <c r="K170" i="38" s="1"/>
  <c r="M1130" i="9"/>
  <c r="F153" i="38"/>
  <c r="M153" i="38" s="1"/>
  <c r="M156" i="38" s="1"/>
  <c r="J170" i="38" s="1"/>
  <c r="M212" i="38"/>
  <c r="M1180" i="9"/>
  <c r="M30" i="34"/>
  <c r="M226" i="34"/>
  <c r="J236" i="34"/>
  <c r="M236" i="34" s="1"/>
  <c r="M1053" i="9"/>
  <c r="J238" i="34"/>
  <c r="M238" i="34"/>
  <c r="M1054" i="9" s="1"/>
  <c r="M240" i="34"/>
  <c r="M1055" i="9" s="1"/>
  <c r="J77" i="34"/>
  <c r="J79" i="34" s="1"/>
  <c r="K136" i="34"/>
  <c r="I56" i="34"/>
  <c r="H56" i="34"/>
  <c r="M56" i="34"/>
  <c r="I110" i="34" s="1"/>
  <c r="M110" i="34" s="1"/>
  <c r="M179" i="34"/>
  <c r="M182" i="34"/>
  <c r="H55" i="34"/>
  <c r="K53" i="34"/>
  <c r="I53" i="34" s="1"/>
  <c r="M29" i="34"/>
  <c r="I246" i="34"/>
  <c r="M246" i="34" s="1"/>
  <c r="M247" i="34"/>
  <c r="M1062" i="9" s="1"/>
  <c r="M133" i="34"/>
  <c r="J140" i="34"/>
  <c r="M140" i="34"/>
  <c r="I138" i="34"/>
  <c r="M103" i="34"/>
  <c r="J138" i="34"/>
  <c r="H54" i="37"/>
  <c r="M54" i="37"/>
  <c r="I109" i="37" s="1"/>
  <c r="M109" i="37"/>
  <c r="M98" i="37"/>
  <c r="K53" i="37"/>
  <c r="H53" i="37" s="1"/>
  <c r="M55" i="37"/>
  <c r="I110" i="37" s="1"/>
  <c r="M110" i="37" s="1"/>
  <c r="M90" i="37"/>
  <c r="G53" i="37"/>
  <c r="H88" i="26"/>
  <c r="M88" i="26" s="1"/>
  <c r="M75" i="26"/>
  <c r="M54" i="26"/>
  <c r="M56" i="26"/>
  <c r="M62" i="26"/>
  <c r="M122" i="26"/>
  <c r="K141" i="26"/>
  <c r="K201" i="26" s="1"/>
  <c r="J342" i="26"/>
  <c r="H84" i="26"/>
  <c r="H97" i="26"/>
  <c r="G253" i="26"/>
  <c r="G249" i="26"/>
  <c r="J294" i="26"/>
  <c r="L116" i="26"/>
  <c r="M115" i="26"/>
  <c r="K134" i="26" s="1"/>
  <c r="K194" i="26"/>
  <c r="H87" i="26"/>
  <c r="H100" i="26"/>
  <c r="M74" i="26"/>
  <c r="M434" i="26"/>
  <c r="K215" i="26"/>
  <c r="K217" i="26"/>
  <c r="K266" i="26"/>
  <c r="K264" i="26"/>
  <c r="L239" i="26"/>
  <c r="L242" i="26"/>
  <c r="J242" i="26" s="1"/>
  <c r="H242" i="26"/>
  <c r="M120" i="26"/>
  <c r="K139" i="26"/>
  <c r="K199" i="26" s="1"/>
  <c r="L245" i="26"/>
  <c r="J245" i="26"/>
  <c r="H245" i="26" s="1"/>
  <c r="J240" i="26"/>
  <c r="L240" i="26"/>
  <c r="K394" i="26"/>
  <c r="L246" i="26"/>
  <c r="J246" i="26"/>
  <c r="H246" i="26" s="1"/>
  <c r="M406" i="26"/>
  <c r="M855" i="9" s="1"/>
  <c r="J408" i="26"/>
  <c r="M408" i="26" s="1"/>
  <c r="M410" i="26" s="1"/>
  <c r="M33" i="26"/>
  <c r="L254" i="26"/>
  <c r="J254" i="26"/>
  <c r="H254" i="26" s="1"/>
  <c r="L241" i="26"/>
  <c r="J241" i="26"/>
  <c r="H241" i="26" s="1"/>
  <c r="L244" i="26"/>
  <c r="J244" i="26"/>
  <c r="H244" i="26"/>
  <c r="L249" i="26"/>
  <c r="M847" i="9"/>
  <c r="M868" i="9"/>
  <c r="M32" i="26"/>
  <c r="G255" i="26"/>
  <c r="J217" i="26"/>
  <c r="J221" i="26"/>
  <c r="J223" i="26" s="1"/>
  <c r="J225" i="26" s="1"/>
  <c r="M86" i="26"/>
  <c r="H76" i="26"/>
  <c r="K396" i="26"/>
  <c r="M31" i="26"/>
  <c r="K229" i="26"/>
  <c r="I142" i="26"/>
  <c r="G149" i="26"/>
  <c r="I149" i="26" s="1"/>
  <c r="F253" i="26"/>
  <c r="I399" i="26"/>
  <c r="G140" i="26"/>
  <c r="G200" i="26" s="1"/>
  <c r="F245" i="26"/>
  <c r="H203" i="26"/>
  <c r="I342" i="26"/>
  <c r="F249" i="26"/>
  <c r="I294" i="26" s="1"/>
  <c r="K44" i="8"/>
  <c r="AU26" i="32"/>
  <c r="AP26" i="32" s="1"/>
  <c r="BA26" i="32"/>
  <c r="T26" i="32"/>
  <c r="Z26" i="32"/>
  <c r="AM26" i="32"/>
  <c r="AH26" i="32" s="1"/>
  <c r="R26" i="32"/>
  <c r="AS26" i="32"/>
  <c r="AZ26" i="32"/>
  <c r="Q26" i="32"/>
  <c r="AV26" i="32"/>
  <c r="J27" i="32"/>
  <c r="BA27" i="32"/>
  <c r="Q27" i="32"/>
  <c r="U27" i="32"/>
  <c r="R27" i="32"/>
  <c r="T27" i="32"/>
  <c r="AL27" i="32"/>
  <c r="AM27" i="32"/>
  <c r="AH27" i="32"/>
  <c r="AR27" i="32"/>
  <c r="AX27" i="32"/>
  <c r="AU27" i="32"/>
  <c r="AP27" i="32" s="1"/>
  <c r="Y27" i="32"/>
  <c r="BB27" i="32"/>
  <c r="AE27" i="32"/>
  <c r="AZ27" i="32"/>
  <c r="Z27" i="32"/>
  <c r="AW27" i="32"/>
  <c r="AN27" i="32" s="1"/>
  <c r="AI27" i="32"/>
  <c r="AV27" i="32"/>
  <c r="X27" i="32"/>
  <c r="J49" i="32"/>
  <c r="BI49" i="32" s="1"/>
  <c r="T49" i="32"/>
  <c r="AZ49" i="32"/>
  <c r="AL49" i="32"/>
  <c r="AM49" i="32"/>
  <c r="AH49" i="32" s="1"/>
  <c r="AU12" i="32"/>
  <c r="AP12" i="32" s="1"/>
  <c r="AE12" i="32"/>
  <c r="R12" i="32"/>
  <c r="S20" i="32"/>
  <c r="U20" i="32"/>
  <c r="BO20" i="32"/>
  <c r="Q20" i="32"/>
  <c r="J43" i="32"/>
  <c r="BA43" i="32"/>
  <c r="U43" i="32"/>
  <c r="Z43" i="32"/>
  <c r="AT43" i="32"/>
  <c r="AO43" i="32"/>
  <c r="BB43" i="32"/>
  <c r="Q43" i="32"/>
  <c r="AR43" i="32"/>
  <c r="AX43" i="32"/>
  <c r="AY43" i="32"/>
  <c r="BC43" i="32"/>
  <c r="AE43" i="32"/>
  <c r="AF43" i="32"/>
  <c r="AA43" i="32" s="1"/>
  <c r="AL43" i="32"/>
  <c r="R43" i="32"/>
  <c r="Y43" i="32"/>
  <c r="AK43" i="32"/>
  <c r="AQ43" i="32" s="1"/>
  <c r="AU43" i="32"/>
  <c r="AP43" i="32" s="1"/>
  <c r="AV43" i="32"/>
  <c r="X43" i="32"/>
  <c r="AM43" i="32"/>
  <c r="AH43" i="32" s="1"/>
  <c r="S43" i="32"/>
  <c r="AW43" i="32"/>
  <c r="AZ43" i="32"/>
  <c r="AS43" i="32"/>
  <c r="T43" i="32"/>
  <c r="BK43" i="32"/>
  <c r="BQ43" i="32"/>
  <c r="S24" i="32"/>
  <c r="AR24" i="32"/>
  <c r="AX24" i="32" s="1"/>
  <c r="AW24" i="32"/>
  <c r="Y51" i="32"/>
  <c r="AM18" i="32"/>
  <c r="AH18" i="32" s="1"/>
  <c r="AM51" i="32"/>
  <c r="AH51" i="32"/>
  <c r="BB51" i="32"/>
  <c r="AT51" i="32"/>
  <c r="AO51" i="32" s="1"/>
  <c r="AE51" i="32"/>
  <c r="BC15" i="32"/>
  <c r="BC18" i="32"/>
  <c r="AY18" i="32"/>
  <c r="U51" i="32"/>
  <c r="AZ51" i="32"/>
  <c r="AK51" i="32"/>
  <c r="AQ51" i="32" s="1"/>
  <c r="J51" i="32"/>
  <c r="BE51" i="32"/>
  <c r="Q18" i="32"/>
  <c r="X11" i="32"/>
  <c r="BP18" i="32"/>
  <c r="BK51" i="32"/>
  <c r="L56" i="32"/>
  <c r="BA36" i="32"/>
  <c r="Y32" i="32"/>
  <c r="AY32" i="32"/>
  <c r="J24" i="32"/>
  <c r="AL24" i="32"/>
  <c r="AK24" i="32"/>
  <c r="AQ24" i="32" s="1"/>
  <c r="AL51" i="32"/>
  <c r="T51" i="32"/>
  <c r="AV51" i="32"/>
  <c r="U15" i="32"/>
  <c r="BO51" i="32"/>
  <c r="AW51" i="32"/>
  <c r="AY51" i="32"/>
  <c r="BQ51" i="32"/>
  <c r="AK15" i="32"/>
  <c r="AQ15" i="32" s="1"/>
  <c r="BP51" i="32"/>
  <c r="Q51" i="32"/>
  <c r="AW11" i="32"/>
  <c r="AN11" i="32" s="1"/>
  <c r="AI11" i="32"/>
  <c r="BO32" i="32"/>
  <c r="AE32" i="32"/>
  <c r="AZ32" i="32"/>
  <c r="R32" i="32"/>
  <c r="AS32" i="32"/>
  <c r="T24" i="32"/>
  <c r="BK24" i="32"/>
  <c r="U24" i="32"/>
  <c r="BA51" i="32"/>
  <c r="R18" i="32"/>
  <c r="AM15" i="32"/>
  <c r="AH15" i="32" s="1"/>
  <c r="S18" i="32"/>
  <c r="BC51" i="32"/>
  <c r="S51" i="32"/>
  <c r="AR51" i="32"/>
  <c r="AX51" i="32" s="1"/>
  <c r="J18" i="32"/>
  <c r="BL18" i="32"/>
  <c r="AR11" i="32"/>
  <c r="AX11" i="32" s="1"/>
  <c r="F37" i="32"/>
  <c r="N37" i="32"/>
  <c r="S32" i="32"/>
  <c r="AT32" i="32"/>
  <c r="AO32" i="32" s="1"/>
  <c r="BK20" i="32"/>
  <c r="BA23" i="32"/>
  <c r="Z23" i="32"/>
  <c r="BC13" i="32"/>
  <c r="AY13" i="32"/>
  <c r="AG43" i="32"/>
  <c r="AB43" i="32"/>
  <c r="AN43" i="32"/>
  <c r="AI43" i="32"/>
  <c r="BB12" i="32"/>
  <c r="AK12" i="32"/>
  <c r="AQ12" i="32" s="1"/>
  <c r="X12" i="32"/>
  <c r="AW12" i="32"/>
  <c r="AY16" i="32"/>
  <c r="BP16" i="32"/>
  <c r="BQ16" i="32"/>
  <c r="AU16" i="32"/>
  <c r="AP16" i="32" s="1"/>
  <c r="T34" i="32"/>
  <c r="AW34" i="32"/>
  <c r="BK34" i="32"/>
  <c r="U34" i="32"/>
  <c r="AU34" i="32"/>
  <c r="AP34" i="32" s="1"/>
  <c r="Z34" i="32"/>
  <c r="AV34" i="32"/>
  <c r="BP34" i="32"/>
  <c r="BQ34" i="32"/>
  <c r="Q34" i="32"/>
  <c r="BL34" i="32"/>
  <c r="J34" i="32"/>
  <c r="BH34" i="32" s="1"/>
  <c r="BC34" i="32"/>
  <c r="AZ34" i="32"/>
  <c r="AR28" i="32"/>
  <c r="AX28" i="32" s="1"/>
  <c r="BK44" i="32"/>
  <c r="BP44" i="32"/>
  <c r="U44" i="32"/>
  <c r="AV44" i="32"/>
  <c r="AR44" i="32"/>
  <c r="AX44" i="32" s="1"/>
  <c r="J44" i="32"/>
  <c r="AW44" i="32"/>
  <c r="S44" i="32"/>
  <c r="AZ44" i="32"/>
  <c r="R44" i="32"/>
  <c r="AS44" i="32"/>
  <c r="BB44" i="32"/>
  <c r="AK55" i="32"/>
  <c r="AQ55" i="32" s="1"/>
  <c r="BA55" i="32"/>
  <c r="AE55" i="32"/>
  <c r="AM55" i="32"/>
  <c r="AH55" i="32" s="1"/>
  <c r="AF23" i="32"/>
  <c r="AA23" i="32" s="1"/>
  <c r="J11" i="32"/>
  <c r="BH11" i="32" s="1"/>
  <c r="BC11" i="32"/>
  <c r="BB11" i="32"/>
  <c r="U11" i="32"/>
  <c r="AV11" i="32"/>
  <c r="Y11" i="32"/>
  <c r="Q11" i="32"/>
  <c r="BA11" i="32"/>
  <c r="AZ11" i="32"/>
  <c r="BE11" i="32"/>
  <c r="BQ22" i="32"/>
  <c r="S12" i="32"/>
  <c r="BK52" i="32"/>
  <c r="BC52" i="32"/>
  <c r="BP52" i="32"/>
  <c r="AE52" i="32"/>
  <c r="Q52" i="32"/>
  <c r="S52" i="32"/>
  <c r="AW52" i="32"/>
  <c r="BO52" i="32"/>
  <c r="BQ52" i="32"/>
  <c r="J52" i="32"/>
  <c r="BG52" i="32" s="1"/>
  <c r="R52" i="32"/>
  <c r="Z52" i="32"/>
  <c r="U52" i="32"/>
  <c r="AR52" i="32"/>
  <c r="AX52" i="32" s="1"/>
  <c r="Z39" i="32"/>
  <c r="AV39" i="32"/>
  <c r="AL40" i="32"/>
  <c r="R40" i="32"/>
  <c r="BQ41" i="32"/>
  <c r="AY39" i="32"/>
  <c r="S39" i="32"/>
  <c r="U39" i="32"/>
  <c r="AY40" i="32"/>
  <c r="R39" i="32"/>
  <c r="AR39" i="32"/>
  <c r="AX39" i="32" s="1"/>
  <c r="AK39" i="32"/>
  <c r="AQ39" i="32"/>
  <c r="BQ39" i="32"/>
  <c r="AY41" i="32"/>
  <c r="M104" i="8"/>
  <c r="U32" i="32"/>
  <c r="AF32" i="32"/>
  <c r="AA32" i="32" s="1"/>
  <c r="AU32" i="32"/>
  <c r="AP32" i="32"/>
  <c r="BB32" i="32"/>
  <c r="I56" i="32"/>
  <c r="AT40" i="32"/>
  <c r="AO40" i="32"/>
  <c r="T40" i="32"/>
  <c r="AS39" i="32"/>
  <c r="BB39" i="32"/>
  <c r="AW39" i="32"/>
  <c r="J39" i="32"/>
  <c r="BE39" i="32" s="1"/>
  <c r="BI39" i="32" s="1"/>
  <c r="BL39" i="32"/>
  <c r="BC41" i="32"/>
  <c r="Z41" i="32"/>
  <c r="Q39" i="32"/>
  <c r="M118" i="8"/>
  <c r="M758" i="9" s="1"/>
  <c r="Q32" i="32"/>
  <c r="X32" i="32"/>
  <c r="AL32" i="32"/>
  <c r="AW32" i="32"/>
  <c r="AE40" i="32"/>
  <c r="AV40" i="32"/>
  <c r="AZ39" i="32"/>
  <c r="X41" i="32"/>
  <c r="BO39" i="32"/>
  <c r="BA39" i="32"/>
  <c r="BC39" i="32"/>
  <c r="BK49" i="32"/>
  <c r="BP49" i="32"/>
  <c r="AZ53" i="32"/>
  <c r="BK39" i="32"/>
  <c r="AK41" i="32"/>
  <c r="AQ41" i="32"/>
  <c r="AR41" i="32"/>
  <c r="AX41" i="32" s="1"/>
  <c r="AW41" i="32"/>
  <c r="AG41" i="32"/>
  <c r="AB41" i="32"/>
  <c r="BO25" i="32"/>
  <c r="BG31" i="32"/>
  <c r="BG34" i="32"/>
  <c r="P52" i="32"/>
  <c r="BH52" i="32"/>
  <c r="BJ52" i="32"/>
  <c r="P25" i="32"/>
  <c r="BI25" i="32"/>
  <c r="BG25" i="32"/>
  <c r="P19" i="32"/>
  <c r="BG19" i="32"/>
  <c r="BJ19" i="32"/>
  <c r="BI19" i="32"/>
  <c r="BH19" i="32"/>
  <c r="BH24" i="32"/>
  <c r="BG24" i="32"/>
  <c r="BJ24" i="32"/>
  <c r="V43" i="32"/>
  <c r="BG43" i="32"/>
  <c r="BG27" i="32"/>
  <c r="BI27" i="32"/>
  <c r="BH27" i="32"/>
  <c r="O42" i="32"/>
  <c r="BJ42" i="32"/>
  <c r="BG42" i="32"/>
  <c r="BH42" i="32"/>
  <c r="BJ33" i="32"/>
  <c r="BG33" i="32"/>
  <c r="O51" i="32"/>
  <c r="BG51" i="32"/>
  <c r="BJ51" i="32"/>
  <c r="BH51" i="32"/>
  <c r="M56" i="32"/>
  <c r="V27" i="32"/>
  <c r="O21" i="32"/>
  <c r="BH21" i="32"/>
  <c r="P42" i="32"/>
  <c r="P35" i="32"/>
  <c r="BG35" i="32"/>
  <c r="BI35" i="32"/>
  <c r="BH35" i="32"/>
  <c r="BG17" i="32"/>
  <c r="BJ17" i="32"/>
  <c r="BH48" i="32"/>
  <c r="BG48" i="32"/>
  <c r="BI48" i="32"/>
  <c r="BH49" i="32"/>
  <c r="BG49" i="32"/>
  <c r="P18" i="32"/>
  <c r="BG18" i="32"/>
  <c r="O11" i="32"/>
  <c r="BI11" i="32"/>
  <c r="BG11" i="32"/>
  <c r="V33" i="32"/>
  <c r="P31" i="32"/>
  <c r="P33" i="32"/>
  <c r="BO24" i="32"/>
  <c r="W21" i="32"/>
  <c r="AR21" i="32"/>
  <c r="AX21" i="32" s="1"/>
  <c r="W27" i="32"/>
  <c r="AC27" i="32"/>
  <c r="BK27" i="32"/>
  <c r="AD29" i="32"/>
  <c r="W29" i="32"/>
  <c r="W48" i="32"/>
  <c r="AC48" i="32"/>
  <c r="AD48" i="32"/>
  <c r="AJ48" i="32"/>
  <c r="BK48" i="32"/>
  <c r="AK48" i="32"/>
  <c r="AQ48" i="32" s="1"/>
  <c r="U48" i="32"/>
  <c r="AZ48" i="32"/>
  <c r="AT48" i="32"/>
  <c r="AO48" i="32" s="1"/>
  <c r="AF48" i="32"/>
  <c r="AA48" i="32" s="1"/>
  <c r="S48" i="32"/>
  <c r="R48" i="32"/>
  <c r="O48" i="32"/>
  <c r="BC48" i="32"/>
  <c r="T48" i="32"/>
  <c r="Z48" i="32"/>
  <c r="Q48" i="32"/>
  <c r="AY48" i="32"/>
  <c r="AW48" i="32"/>
  <c r="BB48" i="32"/>
  <c r="J45" i="32"/>
  <c r="Z45" i="32"/>
  <c r="Q45" i="32"/>
  <c r="AY45" i="32"/>
  <c r="T45" i="32"/>
  <c r="AE45" i="32"/>
  <c r="BQ25" i="32"/>
  <c r="Z20" i="32"/>
  <c r="AG53" i="32"/>
  <c r="AB53" i="32"/>
  <c r="AN53" i="32"/>
  <c r="AI53" i="32"/>
  <c r="W14" i="32"/>
  <c r="AD14" i="32"/>
  <c r="AW14" i="32"/>
  <c r="AG14" i="32" s="1"/>
  <c r="AB14" i="32"/>
  <c r="Z14" i="32"/>
  <c r="AY14" i="32"/>
  <c r="AD15" i="32"/>
  <c r="AR15" i="32"/>
  <c r="AX15" i="32"/>
  <c r="T15" i="32"/>
  <c r="AS15" i="32"/>
  <c r="AW15" i="32"/>
  <c r="Q15" i="32"/>
  <c r="J15" i="32"/>
  <c r="W47" i="32"/>
  <c r="AD47" i="32"/>
  <c r="AR47" i="32"/>
  <c r="AX47" i="32" s="1"/>
  <c r="U47" i="32"/>
  <c r="BC47" i="32" s="1"/>
  <c r="BK47" i="32"/>
  <c r="J47" i="32"/>
  <c r="BQ47" i="32"/>
  <c r="AU47" i="32"/>
  <c r="AP47" i="32" s="1"/>
  <c r="AY47" i="32"/>
  <c r="AK47" i="32"/>
  <c r="AL47" i="32"/>
  <c r="Q47" i="32"/>
  <c r="AW47" i="32"/>
  <c r="AD23" i="32"/>
  <c r="W23" i="32"/>
  <c r="AR23" i="32"/>
  <c r="AX23" i="32"/>
  <c r="Q23" i="32"/>
  <c r="J23" i="32"/>
  <c r="BE23" i="32" s="1"/>
  <c r="AW23" i="32"/>
  <c r="AN23" i="32"/>
  <c r="AI23" i="32" s="1"/>
  <c r="X23" i="32"/>
  <c r="AE23" i="32"/>
  <c r="AU23" i="32"/>
  <c r="AP23" i="32" s="1"/>
  <c r="T23" i="32"/>
  <c r="AK23" i="32"/>
  <c r="AQ23" i="32"/>
  <c r="R23" i="32"/>
  <c r="AM23" i="32"/>
  <c r="AH23" i="32"/>
  <c r="BB23" i="32"/>
  <c r="Y23" i="32"/>
  <c r="AZ23" i="32"/>
  <c r="U23" i="32"/>
  <c r="AS23" i="32"/>
  <c r="AV23" i="32"/>
  <c r="S23" i="32"/>
  <c r="AL23" i="32"/>
  <c r="AT23" i="32"/>
  <c r="AO23" i="32" s="1"/>
  <c r="W53" i="32"/>
  <c r="AD53" i="32"/>
  <c r="J53" i="32"/>
  <c r="BE53" i="32" s="1"/>
  <c r="BJ53" i="32" s="1"/>
  <c r="BA53" i="32"/>
  <c r="AR53" i="32"/>
  <c r="AX53" i="32"/>
  <c r="AK53" i="32"/>
  <c r="AQ53" i="32" s="1"/>
  <c r="Q53" i="32"/>
  <c r="U53" i="32"/>
  <c r="AY53" i="32"/>
  <c r="BK53" i="32"/>
  <c r="BP53" i="32"/>
  <c r="Z53" i="32"/>
  <c r="AS53" i="32"/>
  <c r="R53" i="32"/>
  <c r="AU53" i="32"/>
  <c r="AP53" i="32"/>
  <c r="BC53" i="32"/>
  <c r="X53" i="32"/>
  <c r="W42" i="32"/>
  <c r="AC42" i="32"/>
  <c r="AD42" i="32"/>
  <c r="AJ42" i="32" s="1"/>
  <c r="W40" i="32"/>
  <c r="AD40" i="32"/>
  <c r="Q40" i="32"/>
  <c r="AU40" i="32"/>
  <c r="AP40" i="32"/>
  <c r="AW40" i="32"/>
  <c r="AR40" i="32"/>
  <c r="AX40" i="32"/>
  <c r="S40" i="32"/>
  <c r="AK40" i="32"/>
  <c r="AQ40" i="32" s="1"/>
  <c r="BK40" i="32"/>
  <c r="Z40" i="32"/>
  <c r="U40" i="32"/>
  <c r="AD49" i="32"/>
  <c r="AJ49" i="32"/>
  <c r="W49" i="32"/>
  <c r="AC49" i="32"/>
  <c r="Q49" i="32"/>
  <c r="AK49" i="32"/>
  <c r="AQ49" i="32"/>
  <c r="U49" i="32"/>
  <c r="AY49" i="32"/>
  <c r="BO49" i="32"/>
  <c r="BC49" i="32"/>
  <c r="AW49" i="32"/>
  <c r="BL49" i="32"/>
  <c r="AR49" i="32"/>
  <c r="AX49" i="32"/>
  <c r="S49" i="32"/>
  <c r="W19" i="32"/>
  <c r="AD19" i="32"/>
  <c r="AJ19" i="32"/>
  <c r="W46" i="32"/>
  <c r="AD46" i="32"/>
  <c r="J46" i="32"/>
  <c r="BE46" i="32"/>
  <c r="BA46" i="32"/>
  <c r="U46" i="32"/>
  <c r="AU46" i="32"/>
  <c r="AP46" i="32"/>
  <c r="AK46" i="32"/>
  <c r="AQ46" i="32"/>
  <c r="R46" i="32"/>
  <c r="AY46" i="32"/>
  <c r="BC46" i="32"/>
  <c r="BK46" i="32"/>
  <c r="AD54" i="32"/>
  <c r="W54" i="32"/>
  <c r="AZ54" i="32"/>
  <c r="BA54" i="32"/>
  <c r="BC54" i="32"/>
  <c r="J54" i="32"/>
  <c r="BE54" i="32" s="1"/>
  <c r="AR54" i="32"/>
  <c r="AX54" i="32"/>
  <c r="AU54" i="32"/>
  <c r="AP54" i="32" s="1"/>
  <c r="AW54" i="32"/>
  <c r="T54" i="32"/>
  <c r="Q54" i="32"/>
  <c r="BK54" i="32"/>
  <c r="BQ54" i="32"/>
  <c r="S54" i="32"/>
  <c r="AK54" i="32"/>
  <c r="AQ54" i="32" s="1"/>
  <c r="BB54" i="32"/>
  <c r="AD33" i="32"/>
  <c r="AJ33" i="32" s="1"/>
  <c r="W33" i="32"/>
  <c r="AC33" i="32"/>
  <c r="Q33" i="32"/>
  <c r="U33" i="32"/>
  <c r="AE33" i="32"/>
  <c r="AS33" i="32"/>
  <c r="AV33" i="32"/>
  <c r="BA33" i="32"/>
  <c r="W11" i="32"/>
  <c r="AD11" i="32"/>
  <c r="AD12" i="32"/>
  <c r="W12" i="32"/>
  <c r="AD17" i="32"/>
  <c r="AJ17" i="32"/>
  <c r="W17" i="32"/>
  <c r="AC17" i="32" s="1"/>
  <c r="AD22" i="32"/>
  <c r="AJ22" i="32"/>
  <c r="W22" i="32"/>
  <c r="AD28" i="32"/>
  <c r="W28" i="32"/>
  <c r="W25" i="32"/>
  <c r="AD25" i="32"/>
  <c r="AJ25" i="32" s="1"/>
  <c r="AD50" i="32"/>
  <c r="AJ50" i="32"/>
  <c r="W50" i="32"/>
  <c r="W35" i="32"/>
  <c r="AD35" i="32"/>
  <c r="AJ35" i="32"/>
  <c r="AD44" i="32"/>
  <c r="W44" i="32"/>
  <c r="W52" i="32"/>
  <c r="AC52" i="32"/>
  <c r="AD52" i="32"/>
  <c r="AJ52" i="32" s="1"/>
  <c r="W55" i="32"/>
  <c r="M106" i="8"/>
  <c r="M122" i="8"/>
  <c r="M760" i="9"/>
  <c r="BL31" i="32"/>
  <c r="AE31" i="32"/>
  <c r="AS31" i="32"/>
  <c r="R33" i="32"/>
  <c r="X33" i="32"/>
  <c r="AF33" i="32"/>
  <c r="AA33" i="32" s="1"/>
  <c r="AT33" i="32"/>
  <c r="AO33" i="32"/>
  <c r="AW33" i="32"/>
  <c r="BB33" i="32"/>
  <c r="W24" i="32"/>
  <c r="AC24" i="32"/>
  <c r="AD24" i="32"/>
  <c r="AJ24" i="32" s="1"/>
  <c r="W16" i="32"/>
  <c r="AD16" i="32"/>
  <c r="AD34" i="32"/>
  <c r="AJ34" i="32"/>
  <c r="W34" i="32"/>
  <c r="AC34" i="32" s="1"/>
  <c r="AD38" i="32"/>
  <c r="AJ38" i="32"/>
  <c r="W38" i="32"/>
  <c r="AD39" i="32"/>
  <c r="AJ39" i="32"/>
  <c r="W39" i="32"/>
  <c r="AC39" i="32"/>
  <c r="W51" i="32"/>
  <c r="AC51" i="32"/>
  <c r="AD51" i="32"/>
  <c r="AJ51" i="32"/>
  <c r="AD43" i="32"/>
  <c r="AJ43" i="32"/>
  <c r="W43" i="32"/>
  <c r="AC43" i="32"/>
  <c r="M752" i="9"/>
  <c r="AD31" i="32"/>
  <c r="AJ31" i="32" s="1"/>
  <c r="X31" i="32"/>
  <c r="AF31" i="32"/>
  <c r="AA31" i="32" s="1"/>
  <c r="AY31" i="32"/>
  <c r="M126" i="8"/>
  <c r="M762" i="9"/>
  <c r="S33" i="32"/>
  <c r="Y33" i="32"/>
  <c r="AL33" i="32"/>
  <c r="AY33" i="32"/>
  <c r="BC33" i="32"/>
  <c r="AD13" i="32"/>
  <c r="W13" i="32"/>
  <c r="AD18" i="32"/>
  <c r="AJ18" i="32"/>
  <c r="W18" i="32"/>
  <c r="W20" i="32"/>
  <c r="AD20" i="32"/>
  <c r="W26" i="32"/>
  <c r="AD26" i="32"/>
  <c r="W41" i="32"/>
  <c r="AD41" i="32"/>
  <c r="AJ41" i="32"/>
  <c r="M102" i="8"/>
  <c r="M750" i="9"/>
  <c r="M749" i="9"/>
  <c r="W36" i="32"/>
  <c r="AD36" i="32"/>
  <c r="AJ36" i="32" s="1"/>
  <c r="W30" i="32"/>
  <c r="AD30" i="32"/>
  <c r="AJ30" i="32" s="1"/>
  <c r="S31" i="32"/>
  <c r="Y31" i="32"/>
  <c r="AL31" i="32"/>
  <c r="AU31" i="32"/>
  <c r="AP31" i="32"/>
  <c r="AZ31" i="32"/>
  <c r="W32" i="32"/>
  <c r="AD32" i="32"/>
  <c r="AJ32" i="32"/>
  <c r="T32" i="32"/>
  <c r="Z32" i="32"/>
  <c r="AM32" i="32"/>
  <c r="AH32" i="32"/>
  <c r="AV32" i="32"/>
  <c r="BA32" i="32"/>
  <c r="BL33" i="32"/>
  <c r="T33" i="32"/>
  <c r="Z33" i="32"/>
  <c r="AM33" i="32"/>
  <c r="AH33" i="32" s="1"/>
  <c r="AU33" i="32"/>
  <c r="AP33" i="32" s="1"/>
  <c r="AZ33" i="32"/>
  <c r="BP48" i="32"/>
  <c r="V18" i="32"/>
  <c r="O44" i="32"/>
  <c r="AJ54" i="32"/>
  <c r="O18" i="32"/>
  <c r="BL48" i="32"/>
  <c r="V44" i="32"/>
  <c r="P44" i="32"/>
  <c r="V45" i="32"/>
  <c r="BL40" i="32"/>
  <c r="V17" i="32"/>
  <c r="AG21" i="32"/>
  <c r="AB21" i="32" s="1"/>
  <c r="AG27" i="32"/>
  <c r="AB27" i="32" s="1"/>
  <c r="V42" i="32"/>
  <c r="AG19" i="32"/>
  <c r="AB19" i="32"/>
  <c r="P17" i="32"/>
  <c r="P43" i="32"/>
  <c r="AN14" i="32"/>
  <c r="AI14" i="32"/>
  <c r="O52" i="32"/>
  <c r="BP54" i="32"/>
  <c r="AG23" i="32"/>
  <c r="AB23" i="32"/>
  <c r="BL27" i="32"/>
  <c r="BP40" i="32"/>
  <c r="BP46" i="32"/>
  <c r="BL44" i="32"/>
  <c r="AS47" i="32"/>
  <c r="O17" i="32"/>
  <c r="AG25" i="32"/>
  <c r="AB25" i="32" s="1"/>
  <c r="O43" i="32"/>
  <c r="BQ24" i="32"/>
  <c r="V51" i="32"/>
  <c r="BF51" i="32"/>
  <c r="P51" i="32"/>
  <c r="BQ27" i="32"/>
  <c r="BO44" i="32"/>
  <c r="BQ44" i="32"/>
  <c r="AA53" i="32"/>
  <c r="BP24" i="32"/>
  <c r="AN41" i="32"/>
  <c r="AI41" i="32" s="1"/>
  <c r="X47" i="32"/>
  <c r="AG11" i="32"/>
  <c r="AB11" i="32"/>
  <c r="P11" i="32"/>
  <c r="BL14" i="32"/>
  <c r="BL19" i="32"/>
  <c r="BO54" i="32"/>
  <c r="BP14" i="32"/>
  <c r="BP43" i="32"/>
  <c r="BO19" i="32"/>
  <c r="BO53" i="32"/>
  <c r="BQ19" i="32"/>
  <c r="BO43" i="32"/>
  <c r="BL43" i="32"/>
  <c r="BQ53" i="32"/>
  <c r="AA40" i="32"/>
  <c r="BO14" i="32"/>
  <c r="BL54" i="32"/>
  <c r="AL11" i="32"/>
  <c r="AM11" i="32"/>
  <c r="AH11" i="32"/>
  <c r="AE11" i="32"/>
  <c r="AF11" i="32"/>
  <c r="AS11" i="32"/>
  <c r="AT11" i="32"/>
  <c r="AO11" i="32" s="1"/>
  <c r="V11" i="32"/>
  <c r="BJ11" i="32" s="1"/>
  <c r="AA28" i="32"/>
  <c r="AA44" i="32"/>
  <c r="AC44" i="32"/>
  <c r="AJ44" i="32"/>
  <c r="AA25" i="32"/>
  <c r="AC25" i="32"/>
  <c r="AA19" i="32"/>
  <c r="AC19" i="32"/>
  <c r="AC35" i="32"/>
  <c r="AA14" i="32"/>
  <c r="J87" i="39"/>
  <c r="J89" i="39"/>
  <c r="M89" i="39" s="1"/>
  <c r="M637" i="9" s="1"/>
  <c r="J93" i="39"/>
  <c r="M93" i="39"/>
  <c r="M163" i="39"/>
  <c r="K65" i="39"/>
  <c r="C451" i="9"/>
  <c r="C452" i="9"/>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K143" i="7"/>
  <c r="F145" i="50"/>
  <c r="H143" i="50"/>
  <c r="H146" i="50"/>
  <c r="M122" i="50"/>
  <c r="M124" i="50"/>
  <c r="M197" i="9" s="1"/>
  <c r="H142" i="50"/>
  <c r="H145" i="50" s="1"/>
  <c r="G52" i="50"/>
  <c r="M126" i="50"/>
  <c r="J53" i="50"/>
  <c r="H66" i="50"/>
  <c r="J66" i="50"/>
  <c r="H62" i="50" s="1"/>
  <c r="J62" i="50" s="1"/>
  <c r="H65" i="50"/>
  <c r="J65" i="50"/>
  <c r="J52" i="50"/>
  <c r="G53" i="50"/>
  <c r="M127" i="50"/>
  <c r="M129" i="50"/>
  <c r="M198" i="9" s="1"/>
  <c r="I100" i="40"/>
  <c r="M78" i="40"/>
  <c r="M80" i="40"/>
  <c r="M1285" i="9" s="1"/>
  <c r="M164" i="40"/>
  <c r="M1342" i="9" s="1"/>
  <c r="M1271" i="9"/>
  <c r="M66" i="31"/>
  <c r="J52" i="31"/>
  <c r="M50" i="31"/>
  <c r="I95" i="38"/>
  <c r="J85" i="38"/>
  <c r="J91" i="38"/>
  <c r="J95" i="38" s="1"/>
  <c r="M95" i="38" s="1"/>
  <c r="M1105" i="9" s="1"/>
  <c r="M162" i="38"/>
  <c r="M166" i="38" s="1"/>
  <c r="M1148" i="9" s="1"/>
  <c r="H53" i="34"/>
  <c r="M53" i="34" s="1"/>
  <c r="I107" i="34" s="1"/>
  <c r="M107" i="34" s="1"/>
  <c r="M79" i="34"/>
  <c r="J81" i="34"/>
  <c r="J83" i="34"/>
  <c r="M1044" i="9"/>
  <c r="M230" i="34"/>
  <c r="M234" i="34"/>
  <c r="J239" i="26"/>
  <c r="H239" i="26" s="1"/>
  <c r="L117" i="26"/>
  <c r="M116" i="26"/>
  <c r="K135" i="26"/>
  <c r="K195" i="26" s="1"/>
  <c r="M76" i="26"/>
  <c r="H89" i="26"/>
  <c r="M120" i="8"/>
  <c r="M759" i="9" s="1"/>
  <c r="M128" i="8"/>
  <c r="M763" i="9" s="1"/>
  <c r="M124" i="8"/>
  <c r="M761" i="9" s="1"/>
  <c r="M751" i="9"/>
  <c r="M108" i="8"/>
  <c r="M753" i="9"/>
  <c r="BE52" i="32"/>
  <c r="V52" i="32"/>
  <c r="P49" i="32"/>
  <c r="BE49" i="32"/>
  <c r="BF49" i="32" s="1"/>
  <c r="O49" i="32"/>
  <c r="P27" i="32"/>
  <c r="BE27" i="32"/>
  <c r="BJ27" i="32" s="1"/>
  <c r="AJ46" i="32"/>
  <c r="O24" i="32"/>
  <c r="P24" i="32"/>
  <c r="V24" i="32"/>
  <c r="AG51" i="32"/>
  <c r="AB51" i="32"/>
  <c r="AN51" i="32"/>
  <c r="AI51" i="32"/>
  <c r="AG24" i="32"/>
  <c r="AB24" i="32"/>
  <c r="AN24" i="32"/>
  <c r="AI24" i="32"/>
  <c r="V49" i="32"/>
  <c r="P39" i="32"/>
  <c r="V39" i="32"/>
  <c r="BF39" i="32" s="1"/>
  <c r="O39" i="32"/>
  <c r="BQ49" i="32"/>
  <c r="AG34" i="32"/>
  <c r="AB34" i="32" s="1"/>
  <c r="AN34" i="32"/>
  <c r="AI34" i="32" s="1"/>
  <c r="AN32" i="32"/>
  <c r="AI32" i="32" s="1"/>
  <c r="AG32" i="32"/>
  <c r="AB32" i="32" s="1"/>
  <c r="P56" i="32"/>
  <c r="M66" i="8" s="1"/>
  <c r="M721" i="9" s="1"/>
  <c r="M30" i="8"/>
  <c r="AG52" i="32"/>
  <c r="AB52" i="32" s="1"/>
  <c r="AN52" i="32"/>
  <c r="AI52" i="32" s="1"/>
  <c r="AG39" i="32"/>
  <c r="AB39" i="32" s="1"/>
  <c r="AN39" i="32"/>
  <c r="AI39" i="32" s="1"/>
  <c r="AN44" i="32"/>
  <c r="AI44" i="32"/>
  <c r="AG44" i="32"/>
  <c r="AB44" i="32"/>
  <c r="V34" i="32"/>
  <c r="O34" i="32"/>
  <c r="P34" i="32"/>
  <c r="AN12" i="32"/>
  <c r="AI12" i="32" s="1"/>
  <c r="AG12" i="32"/>
  <c r="AB12" i="32" s="1"/>
  <c r="BG15" i="32"/>
  <c r="BH15" i="32"/>
  <c r="BI15" i="32"/>
  <c r="BI51" i="32"/>
  <c r="BI54" i="32"/>
  <c r="BH54" i="32"/>
  <c r="BG54" i="32"/>
  <c r="AJ53" i="32"/>
  <c r="BI53" i="32"/>
  <c r="BH53" i="32"/>
  <c r="BG53" i="32"/>
  <c r="BG23" i="32"/>
  <c r="BH23" i="32"/>
  <c r="BI23" i="32"/>
  <c r="BG47" i="32"/>
  <c r="BH47" i="32"/>
  <c r="BI47" i="32"/>
  <c r="P45" i="32"/>
  <c r="BI45" i="32"/>
  <c r="BH45" i="32"/>
  <c r="BG45" i="32"/>
  <c r="BI46" i="32"/>
  <c r="BH46" i="32"/>
  <c r="BG46" i="32"/>
  <c r="BL53" i="32"/>
  <c r="BO48" i="32"/>
  <c r="BQ48" i="32"/>
  <c r="V54" i="32"/>
  <c r="BQ40" i="32"/>
  <c r="BO40" i="32"/>
  <c r="AN40" i="32"/>
  <c r="AI40" i="32" s="1"/>
  <c r="AG40" i="32"/>
  <c r="AB40" i="32" s="1"/>
  <c r="V15" i="32"/>
  <c r="P15" i="32"/>
  <c r="O15" i="32"/>
  <c r="AG15" i="32"/>
  <c r="AB15" i="32"/>
  <c r="AN15" i="32"/>
  <c r="AI15" i="32"/>
  <c r="AG33" i="32"/>
  <c r="AB33" i="32"/>
  <c r="AN33" i="32"/>
  <c r="AI33" i="32"/>
  <c r="AN54" i="32"/>
  <c r="AI54" i="32"/>
  <c r="AG54" i="32"/>
  <c r="AB54" i="32"/>
  <c r="AN49" i="32"/>
  <c r="AI49" i="32"/>
  <c r="AG49" i="32"/>
  <c r="AB49" i="32"/>
  <c r="O53" i="32"/>
  <c r="P53" i="32"/>
  <c r="AC53" i="32"/>
  <c r="V53" i="32"/>
  <c r="V23" i="32"/>
  <c r="BJ23" i="32" s="1"/>
  <c r="P23" i="32"/>
  <c r="O23" i="32"/>
  <c r="AC23" i="32"/>
  <c r="AJ23" i="32"/>
  <c r="AQ47" i="32"/>
  <c r="AE47" i="32"/>
  <c r="AF47" i="32" s="1"/>
  <c r="AA47" i="32" s="1"/>
  <c r="R47" i="32"/>
  <c r="AV47" i="32"/>
  <c r="T47" i="32"/>
  <c r="BB47" i="32"/>
  <c r="P47" i="32"/>
  <c r="AJ15" i="32"/>
  <c r="AN48" i="32"/>
  <c r="AI48" i="32"/>
  <c r="AG48" i="32"/>
  <c r="AB48" i="32"/>
  <c r="BP27" i="32"/>
  <c r="BO27" i="32"/>
  <c r="BL46" i="32"/>
  <c r="BQ46" i="32"/>
  <c r="BO46" i="32"/>
  <c r="O46" i="32"/>
  <c r="V46" i="32"/>
  <c r="BJ46" i="32" s="1"/>
  <c r="BF46" i="32"/>
  <c r="AC46" i="32"/>
  <c r="P46" i="32"/>
  <c r="AN47" i="32"/>
  <c r="AI47" i="32"/>
  <c r="AG47" i="32"/>
  <c r="AB47" i="32"/>
  <c r="AZ47" i="32"/>
  <c r="AA11" i="32"/>
  <c r="AC11" i="32"/>
  <c r="AJ11" i="32"/>
  <c r="BF11" i="32"/>
  <c r="G170" i="39"/>
  <c r="K170" i="39" s="1"/>
  <c r="H169" i="39"/>
  <c r="H170" i="39"/>
  <c r="J97" i="39"/>
  <c r="G66" i="50"/>
  <c r="I66" i="50"/>
  <c r="G62" i="50" s="1"/>
  <c r="I62" i="50" s="1"/>
  <c r="G58" i="50" s="1"/>
  <c r="I58" i="50" s="1"/>
  <c r="I53" i="50"/>
  <c r="M53" i="50"/>
  <c r="G65" i="50"/>
  <c r="I65" i="50"/>
  <c r="I52" i="50"/>
  <c r="M52" i="50"/>
  <c r="K103" i="40"/>
  <c r="M103" i="40"/>
  <c r="M104" i="40" s="1"/>
  <c r="M1302" i="9" s="1"/>
  <c r="M100" i="40"/>
  <c r="M101" i="40"/>
  <c r="M1301" i="9" s="1"/>
  <c r="J54" i="31"/>
  <c r="M52" i="31"/>
  <c r="M1146" i="9"/>
  <c r="M91" i="38"/>
  <c r="M85" i="38"/>
  <c r="M1096" i="9" s="1"/>
  <c r="J87" i="38"/>
  <c r="M87" i="38" s="1"/>
  <c r="M1097" i="9" s="1"/>
  <c r="M1052" i="9"/>
  <c r="M1050" i="9"/>
  <c r="M117" i="26"/>
  <c r="K136" i="26" s="1"/>
  <c r="L118" i="26"/>
  <c r="H102" i="26"/>
  <c r="H130" i="26" s="1"/>
  <c r="M89" i="26"/>
  <c r="BF23" i="32"/>
  <c r="BJ54" i="32"/>
  <c r="BF54" i="32"/>
  <c r="BF27" i="32"/>
  <c r="BJ49" i="32"/>
  <c r="M34" i="8"/>
  <c r="M703" i="9"/>
  <c r="M701" i="9"/>
  <c r="Y47" i="32"/>
  <c r="O47" i="32"/>
  <c r="AT47" i="32"/>
  <c r="AO47" i="32" s="1"/>
  <c r="G61" i="50"/>
  <c r="M54" i="31"/>
  <c r="J56" i="31"/>
  <c r="M56" i="31" s="1"/>
  <c r="M1103" i="9"/>
  <c r="J93" i="38"/>
  <c r="M93" i="38"/>
  <c r="M1104" i="9" s="1"/>
  <c r="M118" i="26"/>
  <c r="K137" i="26"/>
  <c r="L119" i="26"/>
  <c r="M119" i="26"/>
  <c r="K138" i="26" s="1"/>
  <c r="M102" i="26"/>
  <c r="E783" i="9"/>
  <c r="E386" i="9"/>
  <c r="E387" i="9" s="1"/>
  <c r="E388" i="9" s="1"/>
  <c r="E389" i="9" s="1"/>
  <c r="E390" i="9" s="1"/>
  <c r="E391" i="9" s="1"/>
  <c r="E392" i="9" s="1"/>
  <c r="E393" i="9" s="1"/>
  <c r="E394" i="9" s="1"/>
  <c r="E395" i="9" s="1"/>
  <c r="E396" i="9" s="1"/>
  <c r="E397" i="9" s="1"/>
  <c r="E398" i="9" s="1"/>
  <c r="E399" i="9" s="1"/>
  <c r="E400" i="9" s="1"/>
  <c r="E401" i="9" s="1"/>
  <c r="E402" i="9" s="1"/>
  <c r="E403" i="9" s="1"/>
  <c r="E404" i="9" s="1"/>
  <c r="E405" i="9" s="1"/>
  <c r="E406" i="9" s="1"/>
  <c r="E407" i="9" s="1"/>
  <c r="E408" i="9" s="1"/>
  <c r="E409" i="9" s="1"/>
  <c r="E410" i="9" s="1"/>
  <c r="E411" i="9" s="1"/>
  <c r="E412" i="9" s="1"/>
  <c r="E413" i="9" s="1"/>
  <c r="E414" i="9" s="1"/>
  <c r="E415" i="9" s="1"/>
  <c r="E416" i="9" s="1"/>
  <c r="E417" i="9" s="1"/>
  <c r="E418" i="9" s="1"/>
  <c r="E419" i="9" s="1"/>
  <c r="E420" i="9" s="1"/>
  <c r="E421" i="9" s="1"/>
  <c r="E422" i="9" s="1"/>
  <c r="E423" i="9" s="1"/>
  <c r="E424" i="9" s="1"/>
  <c r="E425" i="9" s="1"/>
  <c r="E426" i="9" s="1"/>
  <c r="E427" i="9" s="1"/>
  <c r="E428" i="9" s="1"/>
  <c r="E429" i="9" s="1"/>
  <c r="E430" i="9" s="1"/>
  <c r="E431" i="9" s="1"/>
  <c r="E432" i="9" s="1"/>
  <c r="E433" i="9" s="1"/>
  <c r="E434" i="9" s="1"/>
  <c r="E435" i="9" s="1"/>
  <c r="E436" i="9" s="1"/>
  <c r="E437" i="9" s="1"/>
  <c r="E438" i="9" s="1"/>
  <c r="E439" i="9" s="1"/>
  <c r="E440" i="9" s="1"/>
  <c r="E441" i="9" s="1"/>
  <c r="E442" i="9" s="1"/>
  <c r="E443" i="9" s="1"/>
  <c r="E444" i="9" s="1"/>
  <c r="E385" i="9"/>
  <c r="D245" i="9"/>
  <c r="D246" i="9" s="1"/>
  <c r="D247" i="9" s="1"/>
  <c r="D248" i="9" s="1"/>
  <c r="D249" i="9" s="1"/>
  <c r="D250" i="9" s="1"/>
  <c r="D251" i="9" s="1"/>
  <c r="D252" i="9" s="1"/>
  <c r="D253" i="9" s="1"/>
  <c r="D254" i="9" s="1"/>
  <c r="D255" i="9" s="1"/>
  <c r="D256" i="9" s="1"/>
  <c r="D257" i="9" s="1"/>
  <c r="D258" i="9" s="1"/>
  <c r="D259" i="9" s="1"/>
  <c r="D260" i="9" s="1"/>
  <c r="D261" i="9" s="1"/>
  <c r="D262" i="9" s="1"/>
  <c r="D263" i="9" s="1"/>
  <c r="D264" i="9" s="1"/>
  <c r="D265" i="9" s="1"/>
  <c r="D266" i="9" s="1"/>
  <c r="D267" i="9" s="1"/>
  <c r="D268" i="9" s="1"/>
  <c r="D269" i="9" s="1"/>
  <c r="D270" i="9" s="1"/>
  <c r="D271" i="9" s="1"/>
  <c r="D272" i="9" s="1"/>
  <c r="D273" i="9" s="1"/>
  <c r="D274" i="9" s="1"/>
  <c r="D275" i="9" s="1"/>
  <c r="D276" i="9" s="1"/>
  <c r="D277" i="9" s="1"/>
  <c r="D278" i="9" s="1"/>
  <c r="D279" i="9" s="1"/>
  <c r="D280" i="9" s="1"/>
  <c r="D281" i="9" s="1"/>
  <c r="D282" i="9" s="1"/>
  <c r="D283" i="9" s="1"/>
  <c r="D284" i="9" s="1"/>
  <c r="D285" i="9" s="1"/>
  <c r="D286" i="9" s="1"/>
  <c r="D287" i="9" s="1"/>
  <c r="D288" i="9" s="1"/>
  <c r="D289" i="9" s="1"/>
  <c r="D290" i="9" s="1"/>
  <c r="D291" i="9" s="1"/>
  <c r="D292" i="9" s="1"/>
  <c r="D293" i="9" s="1"/>
  <c r="D294" i="9" s="1"/>
  <c r="D295" i="9" s="1"/>
  <c r="D296" i="9" s="1"/>
  <c r="D297" i="9" s="1"/>
  <c r="D298" i="9" s="1"/>
  <c r="D299" i="9" s="1"/>
  <c r="D300" i="9" s="1"/>
  <c r="D301" i="9" s="1"/>
  <c r="D302" i="9" s="1"/>
  <c r="D303" i="9" s="1"/>
  <c r="D304" i="9" s="1"/>
  <c r="D305" i="9" s="1"/>
  <c r="D306" i="9" s="1"/>
  <c r="D307" i="9" s="1"/>
  <c r="D308" i="9" s="1"/>
  <c r="D309" i="9" s="1"/>
  <c r="D310" i="9" s="1"/>
  <c r="D311" i="9" s="1"/>
  <c r="D312" i="9" s="1"/>
  <c r="D313" i="9" s="1"/>
  <c r="D314" i="9" s="1"/>
  <c r="D315" i="9" s="1"/>
  <c r="D316" i="9" s="1"/>
  <c r="D317" i="9" s="1"/>
  <c r="D318" i="9" s="1"/>
  <c r="D319" i="9" s="1"/>
  <c r="D320" i="9" s="1"/>
  <c r="D321" i="9" s="1"/>
  <c r="D322" i="9" s="1"/>
  <c r="D323" i="9" s="1"/>
  <c r="D324" i="9" s="1"/>
  <c r="D325" i="9" s="1"/>
  <c r="D326" i="9" s="1"/>
  <c r="D327" i="9" s="1"/>
  <c r="D328" i="9" s="1"/>
  <c r="D329" i="9" s="1"/>
  <c r="D330" i="9" s="1"/>
  <c r="D331" i="9" s="1"/>
  <c r="D332" i="9" s="1"/>
  <c r="D333" i="9" s="1"/>
  <c r="D334" i="9" s="1"/>
  <c r="D335" i="9" s="1"/>
  <c r="D336" i="9" s="1"/>
  <c r="D337" i="9" s="1"/>
  <c r="D338" i="9" s="1"/>
  <c r="D339" i="9" s="1"/>
  <c r="D340" i="9" s="1"/>
  <c r="D341" i="9" s="1"/>
  <c r="D342" i="9" s="1"/>
  <c r="D343" i="9" s="1"/>
  <c r="D344" i="9" s="1"/>
  <c r="D345" i="9" s="1"/>
  <c r="D346" i="9" s="1"/>
  <c r="D347" i="9" s="1"/>
  <c r="D348" i="9" s="1"/>
  <c r="D349" i="9" s="1"/>
  <c r="D350" i="9" s="1"/>
  <c r="D351" i="9" s="1"/>
  <c r="D352" i="9" s="1"/>
  <c r="D353" i="9" s="1"/>
  <c r="D354" i="9" s="1"/>
  <c r="D355" i="9" s="1"/>
  <c r="D356" i="9" s="1"/>
  <c r="D357" i="9" s="1"/>
  <c r="D358" i="9" s="1"/>
  <c r="D359" i="9" s="1"/>
  <c r="D360" i="9" s="1"/>
  <c r="D361" i="9" s="1"/>
  <c r="D362" i="9" s="1"/>
  <c r="D363" i="9" s="1"/>
  <c r="D364" i="9" s="1"/>
  <c r="D365" i="9" s="1"/>
  <c r="D366" i="9" s="1"/>
  <c r="D367" i="9" s="1"/>
  <c r="D368" i="9" s="1"/>
  <c r="D369" i="9" s="1"/>
  <c r="D370" i="9" s="1"/>
  <c r="D371" i="9" s="1"/>
  <c r="D372" i="9" s="1"/>
  <c r="D373" i="9" s="1"/>
  <c r="D374" i="9" s="1"/>
  <c r="D375" i="9" s="1"/>
  <c r="D376" i="9" s="1"/>
  <c r="D377" i="9" s="1"/>
  <c r="D378" i="9" s="1"/>
  <c r="D379" i="9" s="1"/>
  <c r="D380" i="9" s="1"/>
  <c r="D381" i="9" s="1"/>
  <c r="D382" i="9" s="1"/>
  <c r="D383" i="9" s="1"/>
  <c r="D384" i="9" s="1"/>
  <c r="O424" i="9"/>
  <c r="P424" i="9"/>
  <c r="K924" i="9"/>
  <c r="K1015" i="9"/>
  <c r="L1022" i="9"/>
  <c r="K1307" i="9"/>
  <c r="O188" i="9"/>
  <c r="O190" i="9"/>
  <c r="K168" i="9"/>
  <c r="K172" i="9"/>
  <c r="L174" i="9"/>
  <c r="O176" i="9"/>
  <c r="L178" i="9"/>
  <c r="L182" i="9"/>
  <c r="K198" i="9"/>
  <c r="O207" i="9"/>
  <c r="K925" i="9"/>
  <c r="K1016" i="9"/>
  <c r="O1114" i="9"/>
  <c r="P1114" i="9" s="1"/>
  <c r="L1306" i="9"/>
  <c r="L1361" i="9"/>
  <c r="O179" i="9"/>
  <c r="L232" i="9"/>
  <c r="O212" i="9"/>
  <c r="P212" i="9" s="1"/>
  <c r="O927" i="9"/>
  <c r="P927" i="9" s="1"/>
  <c r="O1014" i="9"/>
  <c r="P1014" i="9" s="1"/>
  <c r="O1021" i="9"/>
  <c r="O1308" i="9"/>
  <c r="L925" i="9"/>
  <c r="O238" i="9"/>
  <c r="L238" i="9"/>
  <c r="K1304" i="9"/>
  <c r="O1304" i="9"/>
  <c r="P1304" i="9"/>
  <c r="L1310" i="9"/>
  <c r="O1310" i="9"/>
  <c r="K1361" i="9"/>
  <c r="O924" i="9"/>
  <c r="P924" i="9"/>
  <c r="O208" i="9"/>
  <c r="L419" i="9"/>
  <c r="K419" i="9"/>
  <c r="O419" i="9"/>
  <c r="O422" i="9"/>
  <c r="P422" i="9"/>
  <c r="K422" i="9"/>
  <c r="L422" i="9"/>
  <c r="K724" i="9"/>
  <c r="K762" i="9"/>
  <c r="O1015" i="9"/>
  <c r="L1015" i="9"/>
  <c r="L1113" i="9"/>
  <c r="K1113" i="9"/>
  <c r="L1307" i="9"/>
  <c r="O1307" i="9"/>
  <c r="O1113" i="9"/>
  <c r="P1113" i="9" s="1"/>
  <c r="L924" i="9"/>
  <c r="L1118" i="9"/>
  <c r="K159" i="9"/>
  <c r="O159" i="9"/>
  <c r="L198" i="9"/>
  <c r="O198" i="9"/>
  <c r="K765" i="9"/>
  <c r="O765" i="9"/>
  <c r="O1023" i="9"/>
  <c r="L1023" i="9"/>
  <c r="L1073" i="9"/>
  <c r="O1284" i="9"/>
  <c r="K181" i="9"/>
  <c r="O425" i="9"/>
  <c r="K764" i="9"/>
  <c r="L920" i="9"/>
  <c r="L926" i="9"/>
  <c r="O1118" i="9"/>
  <c r="P1118" i="9" s="1"/>
  <c r="O1361" i="9"/>
  <c r="P1361" i="9" s="1"/>
  <c r="L171" i="9"/>
  <c r="L197" i="9"/>
  <c r="L668" i="9"/>
  <c r="O1303" i="9"/>
  <c r="L160" i="9"/>
  <c r="K160" i="9"/>
  <c r="O160" i="9"/>
  <c r="K167" i="9"/>
  <c r="O167" i="9"/>
  <c r="K169" i="9"/>
  <c r="L169" i="9"/>
  <c r="L173" i="9"/>
  <c r="O173" i="9"/>
  <c r="K173" i="9"/>
  <c r="L175" i="9"/>
  <c r="K175" i="9"/>
  <c r="O175" i="9"/>
  <c r="L177" i="9"/>
  <c r="K177" i="9"/>
  <c r="L179" i="9"/>
  <c r="K179" i="9"/>
  <c r="L188" i="9"/>
  <c r="K188" i="9"/>
  <c r="L190" i="9"/>
  <c r="K190" i="9"/>
  <c r="K205" i="9"/>
  <c r="L205" i="9"/>
  <c r="O205" i="9"/>
  <c r="K209" i="9"/>
  <c r="O209" i="9"/>
  <c r="P209" i="9" s="1"/>
  <c r="O220" i="9"/>
  <c r="P220" i="9" s="1"/>
  <c r="P222" i="9" s="1"/>
  <c r="L220" i="9"/>
  <c r="K220" i="9"/>
  <c r="O232" i="9"/>
  <c r="K232" i="9"/>
  <c r="O210" i="9"/>
  <c r="P210" i="9" s="1"/>
  <c r="L210" i="9"/>
  <c r="K210" i="9"/>
  <c r="O421" i="9"/>
  <c r="P421" i="9" s="1"/>
  <c r="K421" i="9"/>
  <c r="K763" i="9"/>
  <c r="O763" i="9"/>
  <c r="L763" i="9"/>
  <c r="K759" i="9"/>
  <c r="L759" i="9"/>
  <c r="L927" i="9"/>
  <c r="K927" i="9"/>
  <c r="L1021" i="9"/>
  <c r="K1021" i="9"/>
  <c r="L1119" i="9"/>
  <c r="K1119" i="9"/>
  <c r="O1119" i="9"/>
  <c r="P1119" i="9" s="1"/>
  <c r="O1309" i="9"/>
  <c r="L1309" i="9"/>
  <c r="L1308" i="9"/>
  <c r="K1308" i="9"/>
  <c r="L1305" i="9"/>
  <c r="O1305" i="9"/>
  <c r="L1387" i="9"/>
  <c r="L209" i="9"/>
  <c r="O197" i="9"/>
  <c r="K171" i="9"/>
  <c r="O171" i="9"/>
  <c r="O177" i="9"/>
  <c r="L421" i="9"/>
  <c r="O181" i="9"/>
  <c r="L1357" i="9"/>
  <c r="K997" i="9"/>
  <c r="O668" i="9"/>
  <c r="K197" i="9"/>
  <c r="O169" i="9"/>
  <c r="K1014" i="9"/>
  <c r="L167" i="9"/>
  <c r="K170" i="9"/>
  <c r="K207" i="9"/>
  <c r="K238" i="9"/>
  <c r="L181" i="9"/>
  <c r="L211" i="9"/>
  <c r="K666" i="9"/>
  <c r="L765" i="9"/>
  <c r="L764" i="9"/>
  <c r="L760" i="9"/>
  <c r="O920" i="9"/>
  <c r="O925" i="9"/>
  <c r="L1019" i="9"/>
  <c r="K1023" i="9"/>
  <c r="L1024" i="9"/>
  <c r="K1118" i="9"/>
  <c r="O1121" i="9"/>
  <c r="L1304" i="9"/>
  <c r="K1310" i="9"/>
  <c r="K1309" i="9"/>
  <c r="K1305" i="9"/>
  <c r="K1003" i="9"/>
  <c r="L1105" i="9"/>
  <c r="O1148" i="9"/>
  <c r="L1178" i="9"/>
  <c r="L1284" i="9"/>
  <c r="L1303" i="9"/>
  <c r="K1341" i="9"/>
  <c r="L897" i="9"/>
  <c r="O1280" i="9"/>
  <c r="O1322" i="9"/>
  <c r="P1322" i="9" s="1"/>
  <c r="P1324" i="9" s="1"/>
  <c r="L394" i="9"/>
  <c r="O1329" i="9"/>
  <c r="K396" i="9"/>
  <c r="K920" i="9"/>
  <c r="O764" i="9"/>
  <c r="K211" i="9"/>
  <c r="O211" i="9"/>
  <c r="P211" i="9" s="1"/>
  <c r="L166" i="9"/>
  <c r="O166" i="9"/>
  <c r="K166" i="9"/>
  <c r="O168" i="9"/>
  <c r="L168" i="9"/>
  <c r="L170" i="9"/>
  <c r="O170" i="9"/>
  <c r="O172" i="9"/>
  <c r="L172" i="9"/>
  <c r="O174" i="9"/>
  <c r="K174" i="9"/>
  <c r="L176" i="9"/>
  <c r="K176" i="9"/>
  <c r="K178" i="9"/>
  <c r="O178" i="9"/>
  <c r="P178" i="9" s="1"/>
  <c r="K182" i="9"/>
  <c r="O189" i="9"/>
  <c r="K189" i="9"/>
  <c r="O196" i="9"/>
  <c r="K196" i="9"/>
  <c r="K214" i="9"/>
  <c r="L214" i="9"/>
  <c r="O214" i="9"/>
  <c r="P214" i="9" s="1"/>
  <c r="K226" i="9"/>
  <c r="L226" i="9"/>
  <c r="K425" i="9"/>
  <c r="L425" i="9"/>
  <c r="K206" i="9"/>
  <c r="K760" i="9"/>
  <c r="K926" i="9"/>
  <c r="O926" i="9"/>
  <c r="P926" i="9"/>
  <c r="O1016" i="9"/>
  <c r="L1016" i="9"/>
  <c r="O1019" i="9"/>
  <c r="K1019" i="9"/>
  <c r="K1024" i="9"/>
  <c r="O1024" i="9"/>
  <c r="L1114" i="9"/>
  <c r="K1114" i="9"/>
  <c r="L1121" i="9"/>
  <c r="K1121" i="9"/>
  <c r="K1306" i="9"/>
  <c r="O1306" i="9"/>
  <c r="K996" i="9"/>
  <c r="L1150" i="9"/>
  <c r="K1283" i="9"/>
  <c r="O392" i="9"/>
  <c r="O434" i="9"/>
  <c r="P434" i="9" s="1"/>
  <c r="K417" i="9"/>
  <c r="L390" i="9"/>
  <c r="L1359" i="9"/>
  <c r="L921" i="9"/>
  <c r="K388" i="9"/>
  <c r="L1295" i="9"/>
  <c r="O981" i="9"/>
  <c r="K1350" i="9"/>
  <c r="L206" i="9"/>
  <c r="L189" i="9"/>
  <c r="L207" i="9"/>
  <c r="O226" i="9"/>
  <c r="J61" i="47"/>
  <c r="I61" i="47" s="1"/>
  <c r="J63" i="47"/>
  <c r="I63" i="47" s="1"/>
  <c r="I62" i="47" s="1"/>
  <c r="J60" i="47"/>
  <c r="I60" i="47"/>
  <c r="I59" i="47" s="1"/>
  <c r="O249" i="9"/>
  <c r="H22" i="47"/>
  <c r="H26" i="47"/>
  <c r="J64" i="47"/>
  <c r="I64" i="47" s="1"/>
  <c r="J1007" i="58"/>
  <c r="I1007" i="58"/>
  <c r="J1003" i="58"/>
  <c r="I1003" i="58"/>
  <c r="J999" i="58"/>
  <c r="I999" i="58"/>
  <c r="J995" i="58"/>
  <c r="I995" i="58"/>
  <c r="J991" i="58"/>
  <c r="I991" i="58"/>
  <c r="J987" i="58"/>
  <c r="I987" i="58"/>
  <c r="J983" i="58"/>
  <c r="I983" i="58"/>
  <c r="J979" i="58"/>
  <c r="I979" i="58"/>
  <c r="J975" i="58"/>
  <c r="I975" i="58"/>
  <c r="J971" i="58"/>
  <c r="I971" i="58"/>
  <c r="J967" i="58"/>
  <c r="I967" i="58"/>
  <c r="J963" i="58"/>
  <c r="I963" i="58"/>
  <c r="J959" i="58"/>
  <c r="I959" i="58"/>
  <c r="J955" i="58"/>
  <c r="I955" i="58"/>
  <c r="J951" i="58"/>
  <c r="I951" i="58"/>
  <c r="J947" i="58"/>
  <c r="I947" i="58"/>
  <c r="J943" i="58"/>
  <c r="I943" i="58"/>
  <c r="J939" i="58"/>
  <c r="I939" i="58"/>
  <c r="J935" i="58"/>
  <c r="I935" i="58"/>
  <c r="J931" i="58"/>
  <c r="I931" i="58"/>
  <c r="J927" i="58"/>
  <c r="I927" i="58"/>
  <c r="J923" i="58"/>
  <c r="I923" i="58"/>
  <c r="J919" i="58"/>
  <c r="I919" i="58"/>
  <c r="J915" i="58"/>
  <c r="I915" i="58"/>
  <c r="J911" i="58"/>
  <c r="I911" i="58"/>
  <c r="J907" i="58"/>
  <c r="I907" i="58"/>
  <c r="J900" i="58"/>
  <c r="I900" i="58"/>
  <c r="I897" i="58"/>
  <c r="J897" i="58"/>
  <c r="I873" i="58"/>
  <c r="J873" i="58"/>
  <c r="J863" i="58"/>
  <c r="I863" i="58"/>
  <c r="J861" i="58"/>
  <c r="I860" i="58"/>
  <c r="I855" i="58"/>
  <c r="I837" i="58"/>
  <c r="J837" i="58"/>
  <c r="J1022" i="58"/>
  <c r="J1014" i="58"/>
  <c r="I901" i="58"/>
  <c r="J901" i="58"/>
  <c r="J868" i="58"/>
  <c r="I868" i="58"/>
  <c r="J864" i="58"/>
  <c r="I864" i="58"/>
  <c r="J856" i="58"/>
  <c r="I856" i="58"/>
  <c r="J895" i="58"/>
  <c r="I895" i="58"/>
  <c r="J893" i="58"/>
  <c r="I892" i="58"/>
  <c r="I887" i="58"/>
  <c r="I869" i="58"/>
  <c r="J869" i="58"/>
  <c r="I865" i="58"/>
  <c r="J865" i="58"/>
  <c r="I841" i="58"/>
  <c r="J841" i="58"/>
  <c r="J831" i="58"/>
  <c r="I831" i="58"/>
  <c r="L1003" i="58"/>
  <c r="J1020" i="58"/>
  <c r="I1019" i="58"/>
  <c r="J1012" i="58"/>
  <c r="I1011" i="58"/>
  <c r="I1010" i="58"/>
  <c r="I1006" i="58"/>
  <c r="I1002" i="58"/>
  <c r="I998" i="58"/>
  <c r="I994" i="58"/>
  <c r="I990" i="58"/>
  <c r="I986" i="58"/>
  <c r="I982" i="58"/>
  <c r="I978" i="58"/>
  <c r="I974" i="58"/>
  <c r="I970" i="58"/>
  <c r="I966" i="58"/>
  <c r="I962" i="58"/>
  <c r="I958" i="58"/>
  <c r="I954" i="58"/>
  <c r="I950" i="58"/>
  <c r="I946" i="58"/>
  <c r="J896" i="58"/>
  <c r="I896" i="58"/>
  <c r="J888" i="58"/>
  <c r="I888" i="58"/>
  <c r="J836" i="58"/>
  <c r="I836" i="58"/>
  <c r="J832" i="58"/>
  <c r="I832" i="58"/>
  <c r="I881" i="58"/>
  <c r="J881" i="58"/>
  <c r="J872" i="58"/>
  <c r="I872" i="58"/>
  <c r="I849" i="58"/>
  <c r="J849" i="58"/>
  <c r="J840" i="58"/>
  <c r="I840" i="58"/>
  <c r="I817" i="58"/>
  <c r="J817" i="58"/>
  <c r="J808" i="58"/>
  <c r="I808" i="58"/>
  <c r="J805" i="58"/>
  <c r="I804" i="58"/>
  <c r="I799" i="58"/>
  <c r="I785" i="58"/>
  <c r="J785" i="58"/>
  <c r="J776" i="58"/>
  <c r="I776" i="58"/>
  <c r="J773" i="58"/>
  <c r="I772" i="58"/>
  <c r="I767" i="58"/>
  <c r="I753" i="58"/>
  <c r="J753" i="58"/>
  <c r="J744" i="58"/>
  <c r="I744" i="58"/>
  <c r="J741" i="58"/>
  <c r="I740" i="58"/>
  <c r="I735" i="58"/>
  <c r="I721" i="58"/>
  <c r="J721" i="58"/>
  <c r="J712" i="58"/>
  <c r="I712" i="58"/>
  <c r="J709" i="58"/>
  <c r="I708" i="58"/>
  <c r="I703" i="58"/>
  <c r="J676" i="58"/>
  <c r="I676" i="58"/>
  <c r="J672" i="58"/>
  <c r="I672" i="58"/>
  <c r="I669" i="58"/>
  <c r="J669" i="58"/>
  <c r="I665" i="58"/>
  <c r="J665" i="58"/>
  <c r="J644" i="58"/>
  <c r="I644" i="58"/>
  <c r="J640" i="58"/>
  <c r="I640" i="58"/>
  <c r="I637" i="58"/>
  <c r="J637" i="58"/>
  <c r="I633" i="58"/>
  <c r="J633" i="58"/>
  <c r="J612" i="58"/>
  <c r="I612" i="58"/>
  <c r="J608" i="58"/>
  <c r="I608" i="58"/>
  <c r="I605" i="58"/>
  <c r="J605" i="58"/>
  <c r="I601" i="58"/>
  <c r="J601" i="58"/>
  <c r="J580" i="58"/>
  <c r="I580" i="58"/>
  <c r="J576" i="58"/>
  <c r="I576" i="58"/>
  <c r="I573" i="58"/>
  <c r="J573" i="58"/>
  <c r="I569" i="58"/>
  <c r="J569" i="58"/>
  <c r="J548" i="58"/>
  <c r="I548" i="58"/>
  <c r="I541" i="58"/>
  <c r="J541" i="58"/>
  <c r="I809" i="58"/>
  <c r="J809" i="58"/>
  <c r="J800" i="58"/>
  <c r="I800" i="58"/>
  <c r="I777" i="58"/>
  <c r="J777" i="58"/>
  <c r="J768" i="58"/>
  <c r="I768" i="58"/>
  <c r="J765" i="58"/>
  <c r="I764" i="58"/>
  <c r="I759" i="58"/>
  <c r="I745" i="58"/>
  <c r="J745" i="58"/>
  <c r="J736" i="58"/>
  <c r="I736" i="58"/>
  <c r="J733" i="58"/>
  <c r="I732" i="58"/>
  <c r="I727" i="58"/>
  <c r="I713" i="58"/>
  <c r="J713" i="58"/>
  <c r="J704" i="58"/>
  <c r="I704" i="58"/>
  <c r="J701" i="58"/>
  <c r="I700" i="58"/>
  <c r="I695" i="58"/>
  <c r="J684" i="58"/>
  <c r="I684" i="58"/>
  <c r="J680" i="58"/>
  <c r="I680" i="58"/>
  <c r="I677" i="58"/>
  <c r="J677" i="58"/>
  <c r="I673" i="58"/>
  <c r="J673" i="58"/>
  <c r="J652" i="58"/>
  <c r="I652" i="58"/>
  <c r="J648" i="58"/>
  <c r="I648" i="58"/>
  <c r="I645" i="58"/>
  <c r="J645" i="58"/>
  <c r="I641" i="58"/>
  <c r="J641" i="58"/>
  <c r="J620" i="58"/>
  <c r="I620" i="58"/>
  <c r="J616" i="58"/>
  <c r="I616" i="58"/>
  <c r="I613" i="58"/>
  <c r="J613" i="58"/>
  <c r="I609" i="58"/>
  <c r="J609" i="58"/>
  <c r="J588" i="58"/>
  <c r="I588" i="58"/>
  <c r="J584" i="58"/>
  <c r="I584" i="58"/>
  <c r="I581" i="58"/>
  <c r="J581" i="58"/>
  <c r="I577" i="58"/>
  <c r="J577" i="58"/>
  <c r="J556" i="58"/>
  <c r="I556" i="58"/>
  <c r="J552" i="58"/>
  <c r="I552" i="58"/>
  <c r="I549" i="58"/>
  <c r="J549" i="58"/>
  <c r="I545" i="58"/>
  <c r="J545" i="58"/>
  <c r="I833" i="58"/>
  <c r="J833" i="58"/>
  <c r="J824" i="58"/>
  <c r="I824" i="58"/>
  <c r="I801" i="58"/>
  <c r="J801" i="58"/>
  <c r="J792" i="58"/>
  <c r="I792" i="58"/>
  <c r="I769" i="58"/>
  <c r="J769" i="58"/>
  <c r="J760" i="58"/>
  <c r="I760" i="58"/>
  <c r="I737" i="58"/>
  <c r="J737" i="58"/>
  <c r="J728" i="58"/>
  <c r="I728" i="58"/>
  <c r="I705" i="58"/>
  <c r="J705" i="58"/>
  <c r="J696" i="58"/>
  <c r="I696" i="58"/>
  <c r="J692" i="58"/>
  <c r="I692" i="58"/>
  <c r="J688" i="58"/>
  <c r="I688" i="58"/>
  <c r="I685" i="58"/>
  <c r="J685" i="58"/>
  <c r="I681" i="58"/>
  <c r="J681" i="58"/>
  <c r="J660" i="58"/>
  <c r="I660" i="58"/>
  <c r="J656" i="58"/>
  <c r="I656" i="58"/>
  <c r="I653" i="58"/>
  <c r="J653" i="58"/>
  <c r="I649" i="58"/>
  <c r="J649" i="58"/>
  <c r="J628" i="58"/>
  <c r="I628" i="58"/>
  <c r="J624" i="58"/>
  <c r="I624" i="58"/>
  <c r="I621" i="58"/>
  <c r="J621" i="58"/>
  <c r="I617" i="58"/>
  <c r="J617" i="58"/>
  <c r="J596" i="58"/>
  <c r="I596" i="58"/>
  <c r="J592" i="58"/>
  <c r="I592" i="58"/>
  <c r="I589" i="58"/>
  <c r="J589" i="58"/>
  <c r="I585" i="58"/>
  <c r="J585" i="58"/>
  <c r="J564" i="58"/>
  <c r="I564" i="58"/>
  <c r="J560" i="58"/>
  <c r="I560" i="58"/>
  <c r="I557" i="58"/>
  <c r="J557" i="58"/>
  <c r="I553" i="58"/>
  <c r="J553" i="58"/>
  <c r="I889" i="58"/>
  <c r="J889" i="58"/>
  <c r="J880" i="58"/>
  <c r="I880" i="58"/>
  <c r="J877" i="58"/>
  <c r="I876" i="58"/>
  <c r="I871" i="58"/>
  <c r="I857" i="58"/>
  <c r="J857" i="58"/>
  <c r="J848" i="58"/>
  <c r="I848" i="58"/>
  <c r="J845" i="58"/>
  <c r="I844" i="58"/>
  <c r="I839" i="58"/>
  <c r="I825" i="58"/>
  <c r="J825" i="58"/>
  <c r="J816" i="58"/>
  <c r="I816" i="58"/>
  <c r="J813" i="58"/>
  <c r="I812" i="58"/>
  <c r="I807" i="58"/>
  <c r="I793" i="58"/>
  <c r="J793" i="58"/>
  <c r="J784" i="58"/>
  <c r="I784" i="58"/>
  <c r="J781" i="58"/>
  <c r="I780" i="58"/>
  <c r="I775" i="58"/>
  <c r="I761" i="58"/>
  <c r="J761" i="58"/>
  <c r="J752" i="58"/>
  <c r="I752" i="58"/>
  <c r="J749" i="58"/>
  <c r="I748" i="58"/>
  <c r="I743" i="58"/>
  <c r="I729" i="58"/>
  <c r="J729" i="58"/>
  <c r="J720" i="58"/>
  <c r="I720" i="58"/>
  <c r="J717" i="58"/>
  <c r="I716" i="58"/>
  <c r="I711" i="58"/>
  <c r="I697" i="58"/>
  <c r="J697" i="58"/>
  <c r="I689" i="58"/>
  <c r="J689" i="58"/>
  <c r="J668" i="58"/>
  <c r="I668" i="58"/>
  <c r="J664" i="58"/>
  <c r="I664" i="58"/>
  <c r="I661" i="58"/>
  <c r="J661" i="58"/>
  <c r="I657" i="58"/>
  <c r="J657" i="58"/>
  <c r="J636" i="58"/>
  <c r="I636" i="58"/>
  <c r="J632" i="58"/>
  <c r="I632" i="58"/>
  <c r="I629" i="58"/>
  <c r="J629" i="58"/>
  <c r="I625" i="58"/>
  <c r="J625" i="58"/>
  <c r="J604" i="58"/>
  <c r="I604" i="58"/>
  <c r="J600" i="58"/>
  <c r="I600" i="58"/>
  <c r="I597" i="58"/>
  <c r="J597" i="58"/>
  <c r="I593" i="58"/>
  <c r="J593" i="58"/>
  <c r="J572" i="58"/>
  <c r="I572" i="58"/>
  <c r="J568" i="58"/>
  <c r="I568" i="58"/>
  <c r="I565" i="58"/>
  <c r="J565" i="58"/>
  <c r="I561" i="58"/>
  <c r="J561" i="58"/>
  <c r="J540" i="58"/>
  <c r="I540" i="58"/>
  <c r="I427" i="58"/>
  <c r="J427" i="58"/>
  <c r="J418" i="58"/>
  <c r="I418" i="58"/>
  <c r="I395" i="58"/>
  <c r="J395" i="58"/>
  <c r="J386" i="58"/>
  <c r="I386" i="58"/>
  <c r="I363" i="58"/>
  <c r="J363" i="58"/>
  <c r="J354" i="58"/>
  <c r="I354" i="58"/>
  <c r="I331" i="58"/>
  <c r="J331" i="58"/>
  <c r="J322" i="58"/>
  <c r="I322" i="58"/>
  <c r="I299" i="58"/>
  <c r="J299" i="58"/>
  <c r="J290" i="58"/>
  <c r="I290" i="58"/>
  <c r="I281" i="58"/>
  <c r="I267" i="58"/>
  <c r="J267" i="58"/>
  <c r="J258" i="58"/>
  <c r="I258" i="58"/>
  <c r="I249" i="58"/>
  <c r="I544" i="58"/>
  <c r="J537" i="58"/>
  <c r="I536" i="58"/>
  <c r="J529" i="58"/>
  <c r="I528" i="58"/>
  <c r="J521" i="58"/>
  <c r="I520" i="58"/>
  <c r="J513" i="58"/>
  <c r="I512" i="58"/>
  <c r="J505" i="58"/>
  <c r="I504" i="58"/>
  <c r="J497" i="58"/>
  <c r="I496" i="58"/>
  <c r="J489" i="58"/>
  <c r="I488" i="58"/>
  <c r="J481" i="58"/>
  <c r="I480" i="58"/>
  <c r="J473" i="58"/>
  <c r="I472" i="58"/>
  <c r="J465" i="58"/>
  <c r="I464" i="58"/>
  <c r="J457" i="58"/>
  <c r="I456" i="58"/>
  <c r="J449" i="58"/>
  <c r="I448" i="58"/>
  <c r="J441" i="58"/>
  <c r="I440" i="58"/>
  <c r="J433" i="58"/>
  <c r="I432" i="58"/>
  <c r="I419" i="58"/>
  <c r="J419" i="58"/>
  <c r="J410" i="58"/>
  <c r="I410" i="58"/>
  <c r="J407" i="58"/>
  <c r="I406" i="58"/>
  <c r="I401" i="58"/>
  <c r="I387" i="58"/>
  <c r="J387" i="58"/>
  <c r="J378" i="58"/>
  <c r="I378" i="58"/>
  <c r="J375" i="58"/>
  <c r="I374" i="58"/>
  <c r="I369" i="58"/>
  <c r="I355" i="58"/>
  <c r="J355" i="58"/>
  <c r="J346" i="58"/>
  <c r="I346" i="58"/>
  <c r="J343" i="58"/>
  <c r="I342" i="58"/>
  <c r="I337" i="58"/>
  <c r="I323" i="58"/>
  <c r="J323" i="58"/>
  <c r="J314" i="58"/>
  <c r="I314" i="58"/>
  <c r="J311" i="58"/>
  <c r="I310" i="58"/>
  <c r="I305" i="58"/>
  <c r="I291" i="58"/>
  <c r="J291" i="58"/>
  <c r="J282" i="58"/>
  <c r="I282" i="58"/>
  <c r="I273" i="58"/>
  <c r="I259" i="58"/>
  <c r="J259" i="58"/>
  <c r="J250" i="58"/>
  <c r="I250" i="58"/>
  <c r="I411" i="58"/>
  <c r="J411" i="58"/>
  <c r="J402" i="58"/>
  <c r="I402" i="58"/>
  <c r="I379" i="58"/>
  <c r="J379" i="58"/>
  <c r="J370" i="58"/>
  <c r="I370" i="58"/>
  <c r="I347" i="58"/>
  <c r="J347" i="58"/>
  <c r="J338" i="58"/>
  <c r="I338" i="58"/>
  <c r="I315" i="58"/>
  <c r="J315" i="58"/>
  <c r="J306" i="58"/>
  <c r="I306" i="58"/>
  <c r="I283" i="58"/>
  <c r="J283" i="58"/>
  <c r="J274" i="58"/>
  <c r="I274" i="58"/>
  <c r="I251" i="58"/>
  <c r="J251" i="58"/>
  <c r="J242" i="58"/>
  <c r="I242" i="58"/>
  <c r="J533" i="58"/>
  <c r="I532" i="58"/>
  <c r="J525" i="58"/>
  <c r="I524" i="58"/>
  <c r="J517" i="58"/>
  <c r="I516" i="58"/>
  <c r="J509" i="58"/>
  <c r="I508" i="58"/>
  <c r="J501" i="58"/>
  <c r="I500" i="58"/>
  <c r="J493" i="58"/>
  <c r="I492" i="58"/>
  <c r="J485" i="58"/>
  <c r="I484" i="58"/>
  <c r="J477" i="58"/>
  <c r="I476" i="58"/>
  <c r="J469" i="58"/>
  <c r="I468" i="58"/>
  <c r="J461" i="58"/>
  <c r="I460" i="58"/>
  <c r="J453" i="58"/>
  <c r="I452" i="58"/>
  <c r="J445" i="58"/>
  <c r="I444" i="58"/>
  <c r="J437" i="58"/>
  <c r="I436" i="58"/>
  <c r="J426" i="58"/>
  <c r="I426" i="58"/>
  <c r="J423" i="58"/>
  <c r="I422" i="58"/>
  <c r="I417" i="58"/>
  <c r="I403" i="58"/>
  <c r="J403" i="58"/>
  <c r="J394" i="58"/>
  <c r="I394" i="58"/>
  <c r="J391" i="58"/>
  <c r="I390" i="58"/>
  <c r="I385" i="58"/>
  <c r="I371" i="58"/>
  <c r="J371" i="58"/>
  <c r="J362" i="58"/>
  <c r="I362" i="58"/>
  <c r="J359" i="58"/>
  <c r="I358" i="58"/>
  <c r="I353" i="58"/>
  <c r="I339" i="58"/>
  <c r="J339" i="58"/>
  <c r="J330" i="58"/>
  <c r="I330" i="58"/>
  <c r="J327" i="58"/>
  <c r="I326" i="58"/>
  <c r="I321" i="58"/>
  <c r="I307" i="58"/>
  <c r="J307" i="58"/>
  <c r="J298" i="58"/>
  <c r="I298" i="58"/>
  <c r="J295" i="58"/>
  <c r="I294" i="58"/>
  <c r="I289" i="58"/>
  <c r="I275" i="58"/>
  <c r="J275" i="58"/>
  <c r="J266" i="58"/>
  <c r="I266" i="58"/>
  <c r="I257" i="58"/>
  <c r="I243" i="58"/>
  <c r="J243" i="58"/>
  <c r="I166" i="58"/>
  <c r="J166" i="58"/>
  <c r="J157" i="58"/>
  <c r="I157" i="58"/>
  <c r="J154" i="58"/>
  <c r="I153" i="58"/>
  <c r="I148" i="58"/>
  <c r="I134" i="58"/>
  <c r="J134" i="58"/>
  <c r="J125" i="58"/>
  <c r="I125" i="58"/>
  <c r="J122" i="58"/>
  <c r="I121" i="58"/>
  <c r="I116" i="58"/>
  <c r="I102" i="58"/>
  <c r="J102" i="58"/>
  <c r="J93" i="58"/>
  <c r="I93" i="58"/>
  <c r="J90" i="58"/>
  <c r="I89" i="58"/>
  <c r="I84" i="58"/>
  <c r="J65" i="58"/>
  <c r="I65" i="58"/>
  <c r="I62" i="58"/>
  <c r="J62" i="58"/>
  <c r="J49" i="58"/>
  <c r="I49" i="58"/>
  <c r="I46" i="58"/>
  <c r="J46" i="58"/>
  <c r="J235" i="58"/>
  <c r="I234" i="58"/>
  <c r="J227" i="58"/>
  <c r="I226" i="58"/>
  <c r="J219" i="58"/>
  <c r="I218" i="58"/>
  <c r="J211" i="58"/>
  <c r="I210" i="58"/>
  <c r="J203" i="58"/>
  <c r="I202" i="58"/>
  <c r="J195" i="58"/>
  <c r="I194" i="58"/>
  <c r="J187" i="58"/>
  <c r="I186" i="58"/>
  <c r="J179" i="58"/>
  <c r="I178" i="58"/>
  <c r="I172" i="58"/>
  <c r="I158" i="58"/>
  <c r="J158" i="58"/>
  <c r="J149" i="58"/>
  <c r="I149" i="58"/>
  <c r="J146" i="58"/>
  <c r="I145" i="58"/>
  <c r="I140" i="58"/>
  <c r="I126" i="58"/>
  <c r="J126" i="58"/>
  <c r="J117" i="58"/>
  <c r="I117" i="58"/>
  <c r="I94" i="58"/>
  <c r="J94" i="58"/>
  <c r="J85" i="58"/>
  <c r="I85" i="58"/>
  <c r="I76" i="58"/>
  <c r="J76" i="58"/>
  <c r="I68" i="58"/>
  <c r="J68" i="58"/>
  <c r="I66" i="58"/>
  <c r="J66" i="58"/>
  <c r="J53" i="58"/>
  <c r="I53" i="58"/>
  <c r="I50" i="58"/>
  <c r="J50" i="58"/>
  <c r="J37" i="58"/>
  <c r="I37" i="58"/>
  <c r="J173" i="58"/>
  <c r="I173" i="58"/>
  <c r="I150" i="58"/>
  <c r="J150" i="58"/>
  <c r="J141" i="58"/>
  <c r="I141" i="58"/>
  <c r="I118" i="58"/>
  <c r="J118" i="58"/>
  <c r="J109" i="58"/>
  <c r="I109" i="58"/>
  <c r="I86" i="58"/>
  <c r="J86" i="58"/>
  <c r="J57" i="58"/>
  <c r="I57" i="58"/>
  <c r="I54" i="58"/>
  <c r="J54" i="58"/>
  <c r="J41" i="58"/>
  <c r="I41" i="58"/>
  <c r="I38" i="58"/>
  <c r="J38" i="58"/>
  <c r="I174" i="58"/>
  <c r="J174" i="58"/>
  <c r="J165" i="58"/>
  <c r="I165" i="58"/>
  <c r="I142" i="58"/>
  <c r="J142" i="58"/>
  <c r="J133" i="58"/>
  <c r="I133" i="58"/>
  <c r="J130" i="58"/>
  <c r="I129" i="58"/>
  <c r="I110" i="58"/>
  <c r="J110" i="58"/>
  <c r="J101" i="58"/>
  <c r="I101" i="58"/>
  <c r="J98" i="58"/>
  <c r="I97" i="58"/>
  <c r="I92" i="58"/>
  <c r="I78" i="58"/>
  <c r="J78" i="58"/>
  <c r="J61" i="58"/>
  <c r="I61" i="58"/>
  <c r="I58" i="58"/>
  <c r="J58" i="58"/>
  <c r="J45" i="58"/>
  <c r="I45" i="58"/>
  <c r="I42" i="58"/>
  <c r="J42" i="58"/>
  <c r="I77" i="58"/>
  <c r="J70" i="58"/>
  <c r="I69" i="58"/>
  <c r="I33" i="58"/>
  <c r="I29" i="58"/>
  <c r="I25" i="58"/>
  <c r="I21" i="58"/>
  <c r="I17" i="58"/>
  <c r="I13" i="58"/>
  <c r="I9" i="58"/>
  <c r="J9" i="58"/>
  <c r="I34" i="58"/>
  <c r="J34" i="58"/>
  <c r="I30" i="58"/>
  <c r="J30" i="58"/>
  <c r="I26" i="58"/>
  <c r="J26" i="58"/>
  <c r="I22" i="58"/>
  <c r="J22" i="58"/>
  <c r="I18" i="58"/>
  <c r="J18" i="58"/>
  <c r="I14" i="58"/>
  <c r="J14" i="58"/>
  <c r="J10" i="58"/>
  <c r="J6" i="58"/>
  <c r="L998" i="58"/>
  <c r="M969" i="58"/>
  <c r="N969" i="58" s="1"/>
  <c r="L939" i="58"/>
  <c r="L935" i="58"/>
  <c r="L827" i="58"/>
  <c r="M823" i="58"/>
  <c r="N823" i="58"/>
  <c r="L787" i="58"/>
  <c r="L783" i="58"/>
  <c r="M657" i="58"/>
  <c r="N657" i="58"/>
  <c r="N997" i="58"/>
  <c r="L785" i="58"/>
  <c r="M664" i="58"/>
  <c r="M803" i="58"/>
  <c r="N803" i="58" s="1"/>
  <c r="M783" i="58"/>
  <c r="L675" i="58"/>
  <c r="M1001" i="58"/>
  <c r="N1001" i="58" s="1"/>
  <c r="L972" i="58"/>
  <c r="L942" i="58"/>
  <c r="L936" i="58"/>
  <c r="L924" i="58"/>
  <c r="M917" i="58"/>
  <c r="N917" i="58" s="1"/>
  <c r="M915" i="58"/>
  <c r="N915" i="58" s="1"/>
  <c r="M913" i="58"/>
  <c r="N913" i="58" s="1"/>
  <c r="M903" i="58"/>
  <c r="N903" i="58" s="1"/>
  <c r="L847" i="58"/>
  <c r="M831" i="58"/>
  <c r="N831" i="58"/>
  <c r="L812" i="58"/>
  <c r="M787" i="58"/>
  <c r="M761" i="58"/>
  <c r="L727" i="58"/>
  <c r="M727" i="58"/>
  <c r="N727" i="58"/>
  <c r="L688" i="58"/>
  <c r="M688" i="58"/>
  <c r="L678" i="58"/>
  <c r="M290" i="58"/>
  <c r="N290" i="58" s="1"/>
  <c r="M283" i="58"/>
  <c r="M272" i="58"/>
  <c r="M271" i="58"/>
  <c r="N271" i="58" s="1"/>
  <c r="L24" i="58"/>
  <c r="L13" i="58"/>
  <c r="L627" i="58"/>
  <c r="L531" i="58"/>
  <c r="L524" i="58"/>
  <c r="M438" i="58"/>
  <c r="L401" i="58"/>
  <c r="L373" i="58"/>
  <c r="L272" i="58"/>
  <c r="L271" i="58"/>
  <c r="L246" i="58"/>
  <c r="M231" i="58"/>
  <c r="N231" i="58"/>
  <c r="M157" i="58"/>
  <c r="N157" i="58"/>
  <c r="M93" i="58"/>
  <c r="N93" i="58"/>
  <c r="M46" i="58"/>
  <c r="L42" i="58"/>
  <c r="L34" i="58"/>
  <c r="M22" i="58"/>
  <c r="N22" i="58" s="1"/>
  <c r="L19" i="58"/>
  <c r="L684" i="58"/>
  <c r="L655" i="58"/>
  <c r="L643" i="58"/>
  <c r="L632" i="58"/>
  <c r="L560" i="58"/>
  <c r="M533" i="58"/>
  <c r="N533" i="58" s="1"/>
  <c r="M529" i="58"/>
  <c r="N529" i="58" s="1"/>
  <c r="L522" i="58"/>
  <c r="L516" i="58"/>
  <c r="M503" i="58"/>
  <c r="N503" i="58" s="1"/>
  <c r="L492" i="58"/>
  <c r="M489" i="58"/>
  <c r="M433" i="58"/>
  <c r="N433" i="58" s="1"/>
  <c r="M431" i="58"/>
  <c r="M421" i="58"/>
  <c r="N421" i="58"/>
  <c r="M417" i="58"/>
  <c r="N417" i="58"/>
  <c r="L410" i="58"/>
  <c r="L342" i="58"/>
  <c r="M318" i="58"/>
  <c r="N318" i="58"/>
  <c r="M316" i="58"/>
  <c r="M287" i="58"/>
  <c r="M240" i="58"/>
  <c r="M237" i="58"/>
  <c r="M228" i="58"/>
  <c r="M225" i="58"/>
  <c r="L218" i="58"/>
  <c r="L215" i="58"/>
  <c r="M212" i="58"/>
  <c r="M72" i="58"/>
  <c r="L52" i="58"/>
  <c r="M40" i="58"/>
  <c r="L615" i="58"/>
  <c r="L552" i="58"/>
  <c r="M549" i="58"/>
  <c r="M501" i="58"/>
  <c r="N501" i="58" s="1"/>
  <c r="M499" i="58"/>
  <c r="N499" i="58" s="1"/>
  <c r="M485" i="58"/>
  <c r="N485" i="58" s="1"/>
  <c r="L480" i="58"/>
  <c r="L451" i="58"/>
  <c r="L445" i="58"/>
  <c r="M405" i="58"/>
  <c r="N405" i="58"/>
  <c r="L386" i="58"/>
  <c r="L376" i="58"/>
  <c r="N334" i="58"/>
  <c r="N306" i="58"/>
  <c r="N813" i="58"/>
  <c r="N685" i="58"/>
  <c r="N577" i="58"/>
  <c r="N401" i="58"/>
  <c r="N373" i="58"/>
  <c r="N811" i="58"/>
  <c r="N807" i="58"/>
  <c r="N775" i="58"/>
  <c r="N627" i="58"/>
  <c r="N515" i="58"/>
  <c r="N483" i="58"/>
  <c r="N302" i="58"/>
  <c r="N286" i="58"/>
  <c r="N126" i="58"/>
  <c r="N54" i="58"/>
  <c r="N26" i="58"/>
  <c r="N29" i="58"/>
  <c r="N280" i="58"/>
  <c r="N260" i="58"/>
  <c r="N56" i="58"/>
  <c r="N28" i="58"/>
  <c r="N24" i="58"/>
  <c r="N255" i="58"/>
  <c r="N167" i="58"/>
  <c r="N159" i="58"/>
  <c r="N155" i="58"/>
  <c r="N91" i="58"/>
  <c r="N87" i="58"/>
  <c r="L991" i="58"/>
  <c r="L980" i="58"/>
  <c r="L920" i="58"/>
  <c r="J5" i="58"/>
  <c r="L947" i="58"/>
  <c r="M985" i="58"/>
  <c r="N985" i="58" s="1"/>
  <c r="L982" i="58"/>
  <c r="L1023" i="58"/>
  <c r="L1016" i="58"/>
  <c r="L1012" i="58"/>
  <c r="M820" i="58"/>
  <c r="M793" i="58"/>
  <c r="L771" i="58"/>
  <c r="M755" i="58"/>
  <c r="L719" i="58"/>
  <c r="L691" i="58"/>
  <c r="M683" i="58"/>
  <c r="L616" i="58"/>
  <c r="M611" i="58"/>
  <c r="M579" i="58"/>
  <c r="L541" i="58"/>
  <c r="L515" i="58"/>
  <c r="M505" i="58"/>
  <c r="L1004" i="58"/>
  <c r="L964" i="58"/>
  <c r="L952" i="58"/>
  <c r="L940" i="58"/>
  <c r="L910" i="58"/>
  <c r="L908" i="58"/>
  <c r="L903" i="58"/>
  <c r="L861" i="58"/>
  <c r="M847" i="58"/>
  <c r="N847" i="58"/>
  <c r="M839" i="58"/>
  <c r="N839" i="58"/>
  <c r="L813" i="58"/>
  <c r="L802" i="58"/>
  <c r="L795" i="58"/>
  <c r="L772" i="58"/>
  <c r="L761" i="58"/>
  <c r="M721" i="58"/>
  <c r="N721" i="58" s="1"/>
  <c r="L699" i="58"/>
  <c r="M696" i="58"/>
  <c r="M680" i="58"/>
  <c r="L663" i="58"/>
  <c r="L656" i="58"/>
  <c r="L651" i="58"/>
  <c r="M649" i="58"/>
  <c r="M615" i="58"/>
  <c r="L540" i="58"/>
  <c r="L510" i="58"/>
  <c r="L504" i="58"/>
  <c r="M504" i="58"/>
  <c r="L631" i="58"/>
  <c r="L571" i="58"/>
  <c r="L539" i="58"/>
  <c r="M509" i="58"/>
  <c r="L919" i="58"/>
  <c r="L911" i="58"/>
  <c r="M909" i="58"/>
  <c r="N909" i="58" s="1"/>
  <c r="L819" i="58"/>
  <c r="M817" i="58"/>
  <c r="L803" i="58"/>
  <c r="M771" i="58"/>
  <c r="L770" i="58"/>
  <c r="M719" i="58"/>
  <c r="N719" i="58"/>
  <c r="L718" i="58"/>
  <c r="M691" i="58"/>
  <c r="L664" i="58"/>
  <c r="M633" i="58"/>
  <c r="M613" i="58"/>
  <c r="L599" i="58"/>
  <c r="M599" i="58"/>
  <c r="M595" i="58"/>
  <c r="M583" i="58"/>
  <c r="L580" i="58"/>
  <c r="L508" i="58"/>
  <c r="L505" i="58"/>
  <c r="L470" i="58"/>
  <c r="L456" i="58"/>
  <c r="L394" i="58"/>
  <c r="M381" i="58"/>
  <c r="L368" i="58"/>
  <c r="L354" i="58"/>
  <c r="L349" i="58"/>
  <c r="L335" i="58"/>
  <c r="L328" i="58"/>
  <c r="L327" i="58"/>
  <c r="L326" i="58"/>
  <c r="M311" i="58"/>
  <c r="L309" i="58"/>
  <c r="M292" i="58"/>
  <c r="N292" i="58" s="1"/>
  <c r="M282" i="58"/>
  <c r="L278" i="58"/>
  <c r="L274" i="58"/>
  <c r="L266" i="58"/>
  <c r="L264" i="58"/>
  <c r="L263" i="58"/>
  <c r="M256" i="58"/>
  <c r="L211" i="58"/>
  <c r="L205" i="58"/>
  <c r="L201" i="58"/>
  <c r="L200" i="58"/>
  <c r="L195" i="58"/>
  <c r="L192" i="58"/>
  <c r="L186" i="58"/>
  <c r="L123" i="58"/>
  <c r="L94" i="58"/>
  <c r="L90" i="58"/>
  <c r="M86" i="58"/>
  <c r="M85" i="58"/>
  <c r="M78" i="58"/>
  <c r="L39" i="58"/>
  <c r="L26" i="58"/>
  <c r="L15" i="58"/>
  <c r="L9" i="58"/>
  <c r="L472" i="58"/>
  <c r="M461" i="58"/>
  <c r="M447" i="58"/>
  <c r="N447" i="58" s="1"/>
  <c r="L433" i="58"/>
  <c r="L399" i="58"/>
  <c r="M379" i="58"/>
  <c r="L369" i="58"/>
  <c r="M300" i="58"/>
  <c r="M279" i="58"/>
  <c r="M275" i="58"/>
  <c r="L270" i="58"/>
  <c r="L20" i="58"/>
  <c r="L207" i="58"/>
  <c r="L147" i="58"/>
  <c r="M77" i="58"/>
  <c r="N77" i="58"/>
  <c r="M36" i="58"/>
  <c r="M573" i="58"/>
  <c r="M507" i="58"/>
  <c r="N507" i="58"/>
  <c r="M455" i="58"/>
  <c r="M406" i="58"/>
  <c r="M398" i="58"/>
  <c r="L393" i="58"/>
  <c r="L390" i="58"/>
  <c r="L380" i="58"/>
  <c r="M368" i="58"/>
  <c r="M367" i="58"/>
  <c r="M335" i="58"/>
  <c r="M328" i="58"/>
  <c r="M327" i="58"/>
  <c r="M326" i="58"/>
  <c r="M320" i="58"/>
  <c r="M308" i="58"/>
  <c r="L299" i="58"/>
  <c r="M278" i="58"/>
  <c r="M274" i="58"/>
  <c r="N274" i="58"/>
  <c r="M264" i="58"/>
  <c r="M263" i="58"/>
  <c r="L262" i="58"/>
  <c r="M244" i="58"/>
  <c r="N244" i="58" s="1"/>
  <c r="M205" i="58"/>
  <c r="M201" i="58"/>
  <c r="M200" i="58"/>
  <c r="L188" i="58"/>
  <c r="M173" i="58"/>
  <c r="N173" i="58" s="1"/>
  <c r="M89" i="58"/>
  <c r="L77" i="58"/>
  <c r="M37" i="58"/>
  <c r="L860" i="58"/>
  <c r="L855" i="58"/>
  <c r="N861" i="58"/>
  <c r="M863" i="58"/>
  <c r="N863" i="58" s="1"/>
  <c r="M860" i="58"/>
  <c r="M855" i="58"/>
  <c r="N855" i="58"/>
  <c r="N851" i="58"/>
  <c r="M891" i="58"/>
  <c r="N891" i="58" s="1"/>
  <c r="M868" i="58"/>
  <c r="M866" i="58"/>
  <c r="N866" i="58"/>
  <c r="L850" i="58"/>
  <c r="L839" i="58"/>
  <c r="M893" i="58"/>
  <c r="N893" i="58"/>
  <c r="L891" i="58"/>
  <c r="M889" i="58"/>
  <c r="N889" i="58" s="1"/>
  <c r="M876" i="58"/>
  <c r="N876" i="58" s="1"/>
  <c r="L873" i="58"/>
  <c r="L934" i="58"/>
  <c r="L932" i="58"/>
  <c r="M797" i="58"/>
  <c r="N797" i="58"/>
  <c r="M777" i="58"/>
  <c r="M769" i="58"/>
  <c r="N769" i="58" s="1"/>
  <c r="L767" i="58"/>
  <c r="L751" i="58"/>
  <c r="M745" i="58"/>
  <c r="M729" i="58"/>
  <c r="L704" i="58"/>
  <c r="L694" i="58"/>
  <c r="L679" i="58"/>
  <c r="L639" i="58"/>
  <c r="L623" i="58"/>
  <c r="M5" i="58"/>
  <c r="N5" i="58"/>
  <c r="O5" i="58" s="1"/>
  <c r="M1009" i="58"/>
  <c r="N1009" i="58" s="1"/>
  <c r="L1006" i="58"/>
  <c r="M977" i="58"/>
  <c r="N977" i="58"/>
  <c r="L974" i="58"/>
  <c r="L968" i="58"/>
  <c r="L944" i="58"/>
  <c r="M933" i="58"/>
  <c r="N933" i="58" s="1"/>
  <c r="M925" i="58"/>
  <c r="N925" i="58" s="1"/>
  <c r="L923" i="58"/>
  <c r="M921" i="58"/>
  <c r="N921" i="58"/>
  <c r="L912" i="58"/>
  <c r="M899" i="58"/>
  <c r="N899" i="58" s="1"/>
  <c r="L896" i="58"/>
  <c r="M887" i="58"/>
  <c r="N887" i="58"/>
  <c r="M882" i="58"/>
  <c r="N882" i="58"/>
  <c r="L870" i="58"/>
  <c r="L867" i="58"/>
  <c r="M859" i="58"/>
  <c r="N859" i="58"/>
  <c r="L851" i="58"/>
  <c r="M849" i="58"/>
  <c r="N849" i="58" s="1"/>
  <c r="M844" i="58"/>
  <c r="M843" i="58"/>
  <c r="N843" i="58"/>
  <c r="M833" i="58"/>
  <c r="N833" i="58"/>
  <c r="M829" i="58"/>
  <c r="N829" i="58"/>
  <c r="M804" i="58"/>
  <c r="M801" i="58"/>
  <c r="N801" i="58" s="1"/>
  <c r="M791" i="58"/>
  <c r="N791" i="58" s="1"/>
  <c r="L788" i="58"/>
  <c r="L732" i="58"/>
  <c r="L723" i="58"/>
  <c r="L720" i="58"/>
  <c r="L703" i="58"/>
  <c r="M689" i="58"/>
  <c r="N689" i="58"/>
  <c r="L687" i="58"/>
  <c r="M673" i="58"/>
  <c r="N673" i="58" s="1"/>
  <c r="L1024" i="58"/>
  <c r="L1019" i="58"/>
  <c r="L1007" i="58"/>
  <c r="L996" i="58"/>
  <c r="L984" i="58"/>
  <c r="L975" i="58"/>
  <c r="L960" i="58"/>
  <c r="L959" i="58"/>
  <c r="L950" i="58"/>
  <c r="L948" i="58"/>
  <c r="M941" i="58"/>
  <c r="N941" i="58" s="1"/>
  <c r="M937" i="58"/>
  <c r="N937" i="58" s="1"/>
  <c r="L915" i="58"/>
  <c r="M883" i="58"/>
  <c r="N883" i="58"/>
  <c r="L882" i="58"/>
  <c r="L868" i="58"/>
  <c r="M865" i="58"/>
  <c r="N865" i="58"/>
  <c r="L859" i="58"/>
  <c r="L844" i="58"/>
  <c r="L843" i="58"/>
  <c r="M836" i="58"/>
  <c r="N836" i="58" s="1"/>
  <c r="M835" i="58"/>
  <c r="N835" i="58" s="1"/>
  <c r="M759" i="58"/>
  <c r="N759" i="58" s="1"/>
  <c r="M728" i="58"/>
  <c r="L681" i="58"/>
  <c r="L672" i="58"/>
  <c r="M641" i="58"/>
  <c r="N641" i="58"/>
  <c r="L1020" i="58"/>
  <c r="L1008" i="58"/>
  <c r="L999" i="58"/>
  <c r="M993" i="58"/>
  <c r="N993" i="58" s="1"/>
  <c r="L990" i="58"/>
  <c r="L988" i="58"/>
  <c r="L976" i="58"/>
  <c r="L956" i="58"/>
  <c r="M953" i="58"/>
  <c r="N953" i="58" s="1"/>
  <c r="L951" i="58"/>
  <c r="M949" i="58"/>
  <c r="N949" i="58"/>
  <c r="L928" i="58"/>
  <c r="L926" i="58"/>
  <c r="L918" i="58"/>
  <c r="L916" i="58"/>
  <c r="M907" i="58"/>
  <c r="N907" i="58"/>
  <c r="L900" i="58"/>
  <c r="M895" i="58"/>
  <c r="N895" i="58" s="1"/>
  <c r="M884" i="58"/>
  <c r="N884" i="58" s="1"/>
  <c r="L883" i="58"/>
  <c r="L879" i="58"/>
  <c r="L874" i="58"/>
  <c r="M867" i="58"/>
  <c r="N867" i="58"/>
  <c r="L856" i="58"/>
  <c r="L834" i="58"/>
  <c r="M828" i="58"/>
  <c r="N828" i="58"/>
  <c r="M827" i="58"/>
  <c r="N827" i="58"/>
  <c r="M819" i="58"/>
  <c r="N819" i="58"/>
  <c r="M815" i="58"/>
  <c r="N815" i="58"/>
  <c r="M799" i="58"/>
  <c r="N799" i="58"/>
  <c r="L794" i="58"/>
  <c r="L777" i="58"/>
  <c r="L755" i="58"/>
  <c r="M753" i="58"/>
  <c r="N753" i="58" s="1"/>
  <c r="L745" i="58"/>
  <c r="M723" i="58"/>
  <c r="N723" i="58"/>
  <c r="M720" i="58"/>
  <c r="N720" i="58"/>
  <c r="L715" i="58"/>
  <c r="L695" i="58"/>
  <c r="M687" i="58"/>
  <c r="N687" i="58"/>
  <c r="L683" i="58"/>
  <c r="L671" i="58"/>
  <c r="L667" i="58"/>
  <c r="L659" i="58"/>
  <c r="L647" i="58"/>
  <c r="M623" i="58"/>
  <c r="N623" i="58" s="1"/>
  <c r="L793" i="58"/>
  <c r="M785" i="58"/>
  <c r="N785" i="58"/>
  <c r="L775" i="58"/>
  <c r="M773" i="58"/>
  <c r="M632" i="58"/>
  <c r="M616" i="58"/>
  <c r="M603" i="58"/>
  <c r="N603" i="58"/>
  <c r="L581" i="58"/>
  <c r="L573" i="58"/>
  <c r="M571" i="58"/>
  <c r="N571" i="58"/>
  <c r="L556" i="58"/>
  <c r="L547" i="58"/>
  <c r="M541" i="58"/>
  <c r="N541" i="58"/>
  <c r="L538" i="58"/>
  <c r="L532" i="58"/>
  <c r="L527" i="58"/>
  <c r="L520" i="58"/>
  <c r="L507" i="58"/>
  <c r="L503" i="58"/>
  <c r="L499" i="58"/>
  <c r="M495" i="58"/>
  <c r="N495" i="58" s="1"/>
  <c r="L489" i="58"/>
  <c r="L488" i="58"/>
  <c r="M465" i="58"/>
  <c r="M457" i="58"/>
  <c r="M451" i="58"/>
  <c r="N451" i="58" s="1"/>
  <c r="M445" i="58"/>
  <c r="N445" i="58" s="1"/>
  <c r="L439" i="58"/>
  <c r="L413" i="58"/>
  <c r="L409" i="58"/>
  <c r="L402" i="58"/>
  <c r="M395" i="58"/>
  <c r="N395" i="58" s="1"/>
  <c r="M393" i="58"/>
  <c r="N393" i="58" s="1"/>
  <c r="L392" i="58"/>
  <c r="L385" i="58"/>
  <c r="M383" i="58"/>
  <c r="L381" i="58"/>
  <c r="M375" i="58"/>
  <c r="N375" i="58" s="1"/>
  <c r="L334" i="58"/>
  <c r="M435" i="58"/>
  <c r="L423" i="58"/>
  <c r="L397" i="58"/>
  <c r="M387" i="58"/>
  <c r="M362" i="58"/>
  <c r="M338" i="58"/>
  <c r="N338" i="58"/>
  <c r="L330" i="58"/>
  <c r="M330" i="58"/>
  <c r="N330" i="58"/>
  <c r="L648" i="58"/>
  <c r="L640" i="58"/>
  <c r="L635" i="58"/>
  <c r="L607" i="58"/>
  <c r="M597" i="58"/>
  <c r="N597" i="58"/>
  <c r="L596" i="58"/>
  <c r="L583" i="58"/>
  <c r="L579" i="58"/>
  <c r="L578" i="58"/>
  <c r="L533" i="58"/>
  <c r="M511" i="58"/>
  <c r="N511" i="58"/>
  <c r="M475" i="58"/>
  <c r="L459" i="58"/>
  <c r="L455" i="58"/>
  <c r="M443" i="58"/>
  <c r="N443" i="58"/>
  <c r="L434" i="58"/>
  <c r="M427" i="58"/>
  <c r="N427" i="58"/>
  <c r="M425" i="58"/>
  <c r="N425" i="58" s="1"/>
  <c r="M422" i="58"/>
  <c r="M419" i="58"/>
  <c r="M414" i="58"/>
  <c r="N414" i="58" s="1"/>
  <c r="L407" i="58"/>
  <c r="M389" i="58"/>
  <c r="N389" i="58"/>
  <c r="L388" i="58"/>
  <c r="L379" i="58"/>
  <c r="M371" i="58"/>
  <c r="L366" i="58"/>
  <c r="M352" i="58"/>
  <c r="N352" i="58"/>
  <c r="L597" i="58"/>
  <c r="L555" i="58"/>
  <c r="L536" i="58"/>
  <c r="M491" i="58"/>
  <c r="N491" i="58"/>
  <c r="M487" i="58"/>
  <c r="N487" i="58" s="1"/>
  <c r="L475" i="58"/>
  <c r="M471" i="58"/>
  <c r="L446" i="58"/>
  <c r="L443" i="58"/>
  <c r="L425" i="58"/>
  <c r="M423" i="58"/>
  <c r="N423" i="58"/>
  <c r="M415" i="58"/>
  <c r="M411" i="58"/>
  <c r="N411" i="58"/>
  <c r="M403" i="58"/>
  <c r="M391" i="58"/>
  <c r="N391" i="58"/>
  <c r="L389" i="58"/>
  <c r="L351" i="58"/>
  <c r="M340" i="58"/>
  <c r="N340" i="58"/>
  <c r="L338" i="58"/>
  <c r="L331" i="58"/>
  <c r="L312" i="58"/>
  <c r="M312" i="58"/>
  <c r="L302" i="58"/>
  <c r="L286" i="58"/>
  <c r="L282" i="58"/>
  <c r="L279" i="58"/>
  <c r="L275" i="58"/>
  <c r="L243" i="58"/>
  <c r="L232" i="58"/>
  <c r="M223" i="58"/>
  <c r="L216" i="58"/>
  <c r="M203" i="58"/>
  <c r="N203" i="58" s="1"/>
  <c r="L198" i="58"/>
  <c r="L187" i="58"/>
  <c r="L166" i="58"/>
  <c r="M163" i="58"/>
  <c r="M266" i="58"/>
  <c r="N266" i="58"/>
  <c r="M253" i="58"/>
  <c r="L253" i="58"/>
  <c r="L251" i="58"/>
  <c r="M249" i="58"/>
  <c r="N249" i="58"/>
  <c r="L239" i="58"/>
  <c r="L217" i="58"/>
  <c r="L183" i="58"/>
  <c r="L176" i="58"/>
  <c r="M171" i="58"/>
  <c r="N171" i="58"/>
  <c r="L148" i="58"/>
  <c r="L146" i="58"/>
  <c r="L323" i="58"/>
  <c r="L320" i="58"/>
  <c r="M268" i="58"/>
  <c r="N268" i="58"/>
  <c r="L261" i="58"/>
  <c r="M258" i="58"/>
  <c r="N258" i="58"/>
  <c r="M257" i="58"/>
  <c r="N257" i="58" s="1"/>
  <c r="M241" i="58"/>
  <c r="M235" i="58"/>
  <c r="M221" i="58"/>
  <c r="N221" i="58" s="1"/>
  <c r="M216" i="58"/>
  <c r="N216" i="58"/>
  <c r="L199" i="58"/>
  <c r="L182" i="58"/>
  <c r="M179" i="58"/>
  <c r="M175" i="58"/>
  <c r="L170" i="58"/>
  <c r="L153" i="58"/>
  <c r="L145" i="58"/>
  <c r="L138" i="58"/>
  <c r="L258" i="58"/>
  <c r="M251" i="58"/>
  <c r="L249" i="58"/>
  <c r="L248" i="58"/>
  <c r="L235" i="58"/>
  <c r="M233" i="58"/>
  <c r="N233" i="58"/>
  <c r="L227" i="58"/>
  <c r="M217" i="58"/>
  <c r="N217" i="58" s="1"/>
  <c r="M185" i="58"/>
  <c r="M183" i="58"/>
  <c r="N183" i="58"/>
  <c r="L169" i="58"/>
  <c r="M169" i="58"/>
  <c r="L167" i="58"/>
  <c r="L155" i="58"/>
  <c r="M146" i="58"/>
  <c r="N146" i="58"/>
  <c r="M144" i="58"/>
  <c r="N144" i="58"/>
  <c r="L173" i="58"/>
  <c r="L160" i="58"/>
  <c r="L157" i="58"/>
  <c r="L151" i="58"/>
  <c r="L112" i="58"/>
  <c r="M107" i="58"/>
  <c r="M106" i="58"/>
  <c r="N106" i="58"/>
  <c r="M102" i="58"/>
  <c r="N102" i="58"/>
  <c r="M101" i="58"/>
  <c r="N101" i="58"/>
  <c r="L91" i="58"/>
  <c r="L85" i="58"/>
  <c r="M81" i="58"/>
  <c r="N81" i="58"/>
  <c r="L60" i="58"/>
  <c r="L35" i="58"/>
  <c r="L32" i="58"/>
  <c r="L30" i="58"/>
  <c r="L25" i="58"/>
  <c r="L23" i="58"/>
  <c r="L21" i="58"/>
  <c r="L107" i="58"/>
  <c r="L102" i="58"/>
  <c r="L88" i="58"/>
  <c r="M82" i="58"/>
  <c r="N82" i="58"/>
  <c r="L78" i="58"/>
  <c r="L40" i="58"/>
  <c r="M17" i="58"/>
  <c r="N17" i="58"/>
  <c r="L16" i="58"/>
  <c r="M10" i="58"/>
  <c r="M30" i="58"/>
  <c r="N30" i="58"/>
  <c r="M18" i="58"/>
  <c r="N18" i="58"/>
  <c r="L17" i="58"/>
  <c r="M14" i="58"/>
  <c r="L10" i="58"/>
  <c r="L1010" i="58"/>
  <c r="L1002" i="58"/>
  <c r="L994" i="58"/>
  <c r="L986" i="58"/>
  <c r="L978" i="58"/>
  <c r="L970" i="58"/>
  <c r="L962" i="58"/>
  <c r="L954" i="58"/>
  <c r="M6" i="58"/>
  <c r="N6" i="58"/>
  <c r="L6" i="58"/>
  <c r="M1023" i="58"/>
  <c r="N1023" i="58"/>
  <c r="M1019" i="58"/>
  <c r="N1019" i="58"/>
  <c r="M1015" i="58"/>
  <c r="N1015" i="58"/>
  <c r="L1022" i="58"/>
  <c r="L1021" i="58"/>
  <c r="L1018" i="58"/>
  <c r="L1017" i="58"/>
  <c r="L1014" i="58"/>
  <c r="L1013" i="58"/>
  <c r="L1005" i="58"/>
  <c r="L997" i="58"/>
  <c r="L989" i="58"/>
  <c r="L981" i="58"/>
  <c r="L973" i="58"/>
  <c r="L965" i="58"/>
  <c r="L957" i="58"/>
  <c r="L1015" i="58"/>
  <c r="M1011" i="58"/>
  <c r="N1011" i="58"/>
  <c r="M1003" i="58"/>
  <c r="N1003" i="58"/>
  <c r="M995" i="58"/>
  <c r="N995" i="58"/>
  <c r="M987" i="58"/>
  <c r="N987" i="58"/>
  <c r="M979" i="58"/>
  <c r="N979" i="58"/>
  <c r="M971" i="58"/>
  <c r="N971" i="58"/>
  <c r="M963" i="58"/>
  <c r="N963" i="58"/>
  <c r="M955" i="58"/>
  <c r="N955" i="58"/>
  <c r="L5" i="58"/>
  <c r="L1009" i="58"/>
  <c r="L1001" i="58"/>
  <c r="L993" i="58"/>
  <c r="L985" i="58"/>
  <c r="L977" i="58"/>
  <c r="L969" i="58"/>
  <c r="L961" i="58"/>
  <c r="L953" i="58"/>
  <c r="M947" i="58"/>
  <c r="N947" i="58"/>
  <c r="L945" i="58"/>
  <c r="M939" i="58"/>
  <c r="N939" i="58"/>
  <c r="M931" i="58"/>
  <c r="N931" i="58" s="1"/>
  <c r="M923" i="58"/>
  <c r="N923" i="58"/>
  <c r="M901" i="58"/>
  <c r="N901" i="58" s="1"/>
  <c r="L899" i="58"/>
  <c r="L888" i="58"/>
  <c r="M878" i="58"/>
  <c r="N878" i="58" s="1"/>
  <c r="N860" i="58"/>
  <c r="N844" i="58"/>
  <c r="N812" i="58"/>
  <c r="L789" i="58"/>
  <c r="M779" i="58"/>
  <c r="N779" i="58"/>
  <c r="L737" i="58"/>
  <c r="M711" i="58"/>
  <c r="N711" i="58" s="1"/>
  <c r="L697" i="58"/>
  <c r="L885" i="58"/>
  <c r="M875" i="58"/>
  <c r="N875" i="58" s="1"/>
  <c r="L871" i="58"/>
  <c r="M731" i="58"/>
  <c r="N731" i="58" s="1"/>
  <c r="L700" i="58"/>
  <c r="N688" i="58"/>
  <c r="M1007" i="58"/>
  <c r="N1007" i="58" s="1"/>
  <c r="M999" i="58"/>
  <c r="N999" i="58"/>
  <c r="M991" i="58"/>
  <c r="N991" i="58" s="1"/>
  <c r="M983" i="58"/>
  <c r="N983" i="58"/>
  <c r="M975" i="58"/>
  <c r="N975" i="58" s="1"/>
  <c r="M967" i="58"/>
  <c r="N967" i="58"/>
  <c r="M959" i="58"/>
  <c r="N959" i="58" s="1"/>
  <c r="M951" i="58"/>
  <c r="N951" i="58"/>
  <c r="L949" i="58"/>
  <c r="M943" i="58"/>
  <c r="N943" i="58" s="1"/>
  <c r="L941" i="58"/>
  <c r="M935" i="58"/>
  <c r="N935" i="58" s="1"/>
  <c r="L933" i="58"/>
  <c r="M927" i="58"/>
  <c r="N927" i="58"/>
  <c r="L925" i="58"/>
  <c r="M919" i="58"/>
  <c r="N919" i="58"/>
  <c r="L917" i="58"/>
  <c r="L907" i="58"/>
  <c r="L906" i="58"/>
  <c r="L905" i="58"/>
  <c r="L904" i="58"/>
  <c r="L893" i="58"/>
  <c r="L890" i="58"/>
  <c r="L886" i="58"/>
  <c r="M885" i="58"/>
  <c r="N885" i="58" s="1"/>
  <c r="L881" i="58"/>
  <c r="M880" i="58"/>
  <c r="N880" i="58"/>
  <c r="L876" i="58"/>
  <c r="L875" i="58"/>
  <c r="M872" i="58"/>
  <c r="N872" i="58"/>
  <c r="M870" i="58"/>
  <c r="N870" i="58" s="1"/>
  <c r="L864" i="58"/>
  <c r="M853" i="58"/>
  <c r="L852" i="58"/>
  <c r="L848" i="58"/>
  <c r="L840" i="58"/>
  <c r="M837" i="58"/>
  <c r="L836" i="58"/>
  <c r="L832" i="58"/>
  <c r="L824" i="58"/>
  <c r="M821" i="58"/>
  <c r="L820" i="58"/>
  <c r="L816" i="58"/>
  <c r="L808" i="58"/>
  <c r="M805" i="58"/>
  <c r="L804" i="58"/>
  <c r="L800" i="58"/>
  <c r="L791" i="58"/>
  <c r="L778" i="58"/>
  <c r="L753" i="58"/>
  <c r="M749" i="58"/>
  <c r="N749" i="58"/>
  <c r="M747" i="58"/>
  <c r="N747" i="58" s="1"/>
  <c r="M743" i="58"/>
  <c r="N743" i="58"/>
  <c r="M739" i="58"/>
  <c r="N739" i="58" s="1"/>
  <c r="M737" i="58"/>
  <c r="N737" i="58"/>
  <c r="L726" i="58"/>
  <c r="M712" i="58"/>
  <c r="N712" i="58" s="1"/>
  <c r="L711" i="58"/>
  <c r="M707" i="58"/>
  <c r="L705" i="58"/>
  <c r="L946" i="58"/>
  <c r="L938" i="58"/>
  <c r="L930" i="58"/>
  <c r="L922" i="58"/>
  <c r="M911" i="58"/>
  <c r="N911" i="58"/>
  <c r="L909" i="58"/>
  <c r="L901" i="58"/>
  <c r="L898" i="58"/>
  <c r="L894" i="58"/>
  <c r="L892" i="58"/>
  <c r="M874" i="58"/>
  <c r="N874" i="58" s="1"/>
  <c r="L858" i="58"/>
  <c r="M857" i="58"/>
  <c r="L853" i="58"/>
  <c r="M852" i="58"/>
  <c r="N852" i="58"/>
  <c r="L842" i="58"/>
  <c r="M841" i="58"/>
  <c r="N841" i="58" s="1"/>
  <c r="L837" i="58"/>
  <c r="L826" i="58"/>
  <c r="M825" i="58"/>
  <c r="L821" i="58"/>
  <c r="N820" i="58"/>
  <c r="L810" i="58"/>
  <c r="M809" i="58"/>
  <c r="L805" i="58"/>
  <c r="N804" i="58"/>
  <c r="M795" i="58"/>
  <c r="N795" i="58" s="1"/>
  <c r="L769" i="58"/>
  <c r="M765" i="58"/>
  <c r="N765" i="58"/>
  <c r="M763" i="58"/>
  <c r="N763" i="58" s="1"/>
  <c r="L749" i="58"/>
  <c r="L743" i="58"/>
  <c r="M736" i="58"/>
  <c r="N736" i="58" s="1"/>
  <c r="M735" i="58"/>
  <c r="N735" i="58"/>
  <c r="L731" i="58"/>
  <c r="L729" i="58"/>
  <c r="L712" i="58"/>
  <c r="L702" i="58"/>
  <c r="M697" i="58"/>
  <c r="M619" i="58"/>
  <c r="N619" i="58"/>
  <c r="L609" i="58"/>
  <c r="M591" i="58"/>
  <c r="N591" i="58" s="1"/>
  <c r="L572" i="58"/>
  <c r="L570" i="58"/>
  <c r="N680" i="58"/>
  <c r="L673" i="58"/>
  <c r="L670" i="58"/>
  <c r="L662" i="58"/>
  <c r="L657" i="58"/>
  <c r="L654" i="58"/>
  <c r="L646" i="58"/>
  <c r="L641" i="58"/>
  <c r="L638" i="58"/>
  <c r="L630" i="58"/>
  <c r="L620" i="58"/>
  <c r="L619" i="58"/>
  <c r="M617" i="58"/>
  <c r="L610" i="58"/>
  <c r="M609" i="58"/>
  <c r="N609" i="58"/>
  <c r="L605" i="58"/>
  <c r="L603" i="58"/>
  <c r="M601" i="58"/>
  <c r="L593" i="58"/>
  <c r="L591" i="58"/>
  <c r="M589" i="58"/>
  <c r="N589" i="58"/>
  <c r="M575" i="58"/>
  <c r="N575" i="58" s="1"/>
  <c r="M567" i="58"/>
  <c r="N567" i="58"/>
  <c r="M563" i="58"/>
  <c r="N563" i="58" s="1"/>
  <c r="M559" i="58"/>
  <c r="N559" i="58"/>
  <c r="L553" i="58"/>
  <c r="L545" i="58"/>
  <c r="L537" i="58"/>
  <c r="L773" i="58"/>
  <c r="L757" i="58"/>
  <c r="N728" i="58"/>
  <c r="L713" i="58"/>
  <c r="M704" i="58"/>
  <c r="N704" i="58"/>
  <c r="M703" i="58"/>
  <c r="N703" i="58" s="1"/>
  <c r="M699" i="58"/>
  <c r="N699" i="58"/>
  <c r="N696" i="58"/>
  <c r="L680" i="58"/>
  <c r="M675" i="58"/>
  <c r="N675" i="58"/>
  <c r="M672" i="58"/>
  <c r="N672" i="58" s="1"/>
  <c r="M671" i="58"/>
  <c r="N671" i="58"/>
  <c r="M669" i="58"/>
  <c r="N669" i="58" s="1"/>
  <c r="L668" i="58"/>
  <c r="L665" i="58"/>
  <c r="M663" i="58"/>
  <c r="N663" i="58" s="1"/>
  <c r="M659" i="58"/>
  <c r="M656" i="58"/>
  <c r="N656" i="58" s="1"/>
  <c r="M655" i="58"/>
  <c r="N655" i="58"/>
  <c r="M653" i="58"/>
  <c r="N653" i="58" s="1"/>
  <c r="L652" i="58"/>
  <c r="L649" i="58"/>
  <c r="M647" i="58"/>
  <c r="N647" i="58" s="1"/>
  <c r="M645" i="58"/>
  <c r="N645" i="58"/>
  <c r="L644" i="58"/>
  <c r="M643" i="58"/>
  <c r="N643" i="58" s="1"/>
  <c r="M640" i="58"/>
  <c r="N640" i="58"/>
  <c r="M639" i="58"/>
  <c r="N639" i="58" s="1"/>
  <c r="M637" i="58"/>
  <c r="N637" i="58"/>
  <c r="L636" i="58"/>
  <c r="L633" i="58"/>
  <c r="M631" i="58"/>
  <c r="N631" i="58"/>
  <c r="M629" i="58"/>
  <c r="L628" i="58"/>
  <c r="M625" i="58"/>
  <c r="N625" i="58"/>
  <c r="L622" i="58"/>
  <c r="M621" i="58"/>
  <c r="N621" i="58"/>
  <c r="L617" i="58"/>
  <c r="L601" i="58"/>
  <c r="L594" i="58"/>
  <c r="M593" i="58"/>
  <c r="N593" i="58"/>
  <c r="L589" i="58"/>
  <c r="L587" i="58"/>
  <c r="M585" i="58"/>
  <c r="N585" i="58"/>
  <c r="L577" i="58"/>
  <c r="L575" i="58"/>
  <c r="L565" i="58"/>
  <c r="L561" i="58"/>
  <c r="L557" i="58"/>
  <c r="M551" i="58"/>
  <c r="N551" i="58"/>
  <c r="M543" i="58"/>
  <c r="N543" i="58" s="1"/>
  <c r="M535" i="58"/>
  <c r="N535" i="58"/>
  <c r="N496" i="58"/>
  <c r="M667" i="58"/>
  <c r="N667" i="58" s="1"/>
  <c r="N664" i="58"/>
  <c r="M651" i="58"/>
  <c r="N651" i="58" s="1"/>
  <c r="N648" i="58"/>
  <c r="M635" i="58"/>
  <c r="N635" i="58"/>
  <c r="N632" i="58"/>
  <c r="N624" i="58"/>
  <c r="L612" i="58"/>
  <c r="M607" i="58"/>
  <c r="N607" i="58" s="1"/>
  <c r="L569" i="58"/>
  <c r="L563" i="58"/>
  <c r="L559" i="58"/>
  <c r="L542" i="58"/>
  <c r="N616" i="58"/>
  <c r="M555" i="58"/>
  <c r="N555" i="58"/>
  <c r="M547" i="58"/>
  <c r="N547" i="58" s="1"/>
  <c r="M539" i="58"/>
  <c r="N539" i="58"/>
  <c r="M531" i="58"/>
  <c r="N531" i="58" s="1"/>
  <c r="L529" i="58"/>
  <c r="L525" i="58"/>
  <c r="L518" i="58"/>
  <c r="M513" i="58"/>
  <c r="N513" i="58"/>
  <c r="L512" i="58"/>
  <c r="L491" i="58"/>
  <c r="L487" i="58"/>
  <c r="L478" i="58"/>
  <c r="L469" i="58"/>
  <c r="L464" i="58"/>
  <c r="L463" i="58"/>
  <c r="L457" i="58"/>
  <c r="M453" i="58"/>
  <c r="N453" i="58" s="1"/>
  <c r="M449" i="58"/>
  <c r="N449" i="58"/>
  <c r="N438" i="58"/>
  <c r="L534" i="58"/>
  <c r="L526" i="58"/>
  <c r="L514" i="58"/>
  <c r="N512" i="58"/>
  <c r="N488" i="58"/>
  <c r="L462" i="58"/>
  <c r="L453" i="58"/>
  <c r="M429" i="58"/>
  <c r="N429" i="58" s="1"/>
  <c r="L549" i="58"/>
  <c r="M527" i="58"/>
  <c r="N527" i="58"/>
  <c r="M519" i="58"/>
  <c r="N519" i="58" s="1"/>
  <c r="L517" i="58"/>
  <c r="N504" i="58"/>
  <c r="M479" i="58"/>
  <c r="N479" i="58" s="1"/>
  <c r="N430" i="58"/>
  <c r="N422" i="58"/>
  <c r="L519" i="58"/>
  <c r="M517" i="58"/>
  <c r="N517" i="58"/>
  <c r="M497" i="58"/>
  <c r="N497" i="58" s="1"/>
  <c r="L496" i="58"/>
  <c r="L479" i="58"/>
  <c r="L473" i="58"/>
  <c r="M469" i="58"/>
  <c r="N469" i="58" s="1"/>
  <c r="M463" i="58"/>
  <c r="N463" i="58"/>
  <c r="L430" i="58"/>
  <c r="N406" i="58"/>
  <c r="N398" i="58"/>
  <c r="N367" i="58"/>
  <c r="M336" i="58"/>
  <c r="N336" i="58" s="1"/>
  <c r="L333" i="58"/>
  <c r="N311" i="58"/>
  <c r="L310" i="58"/>
  <c r="L414" i="58"/>
  <c r="L398" i="58"/>
  <c r="L374" i="58"/>
  <c r="L371" i="58"/>
  <c r="L367" i="58"/>
  <c r="L360" i="58"/>
  <c r="L357" i="58"/>
  <c r="M350" i="58"/>
  <c r="N350" i="58" s="1"/>
  <c r="L344" i="58"/>
  <c r="L343" i="58"/>
  <c r="M343" i="58"/>
  <c r="N343" i="58" s="1"/>
  <c r="N335" i="58"/>
  <c r="N319" i="58"/>
  <c r="L314" i="58"/>
  <c r="N303" i="58"/>
  <c r="L441" i="58"/>
  <c r="L387" i="58"/>
  <c r="L383" i="58"/>
  <c r="L370" i="58"/>
  <c r="M360" i="58"/>
  <c r="M359" i="58"/>
  <c r="N359" i="58" s="1"/>
  <c r="M354" i="58"/>
  <c r="L350" i="58"/>
  <c r="M342" i="58"/>
  <c r="N342" i="58" s="1"/>
  <c r="L336" i="58"/>
  <c r="N327" i="58"/>
  <c r="M324" i="58"/>
  <c r="N324" i="58" s="1"/>
  <c r="L322" i="58"/>
  <c r="L318" i="58"/>
  <c r="L307" i="58"/>
  <c r="M413" i="58"/>
  <c r="N413" i="58" s="1"/>
  <c r="M397" i="58"/>
  <c r="N397" i="58"/>
  <c r="M385" i="58"/>
  <c r="N385" i="58" s="1"/>
  <c r="M369" i="58"/>
  <c r="N369" i="58"/>
  <c r="M358" i="58"/>
  <c r="N358" i="58" s="1"/>
  <c r="M351" i="58"/>
  <c r="N351" i="58"/>
  <c r="L319" i="58"/>
  <c r="M314" i="58"/>
  <c r="N314" i="58"/>
  <c r="M310" i="58"/>
  <c r="N310" i="58" s="1"/>
  <c r="L295" i="58"/>
  <c r="M294" i="58"/>
  <c r="N294" i="58"/>
  <c r="N283" i="58"/>
  <c r="N275" i="58"/>
  <c r="L269" i="58"/>
  <c r="L296" i="58"/>
  <c r="L288" i="58"/>
  <c r="L280" i="58"/>
  <c r="L260" i="58"/>
  <c r="M304" i="58"/>
  <c r="L301" i="58"/>
  <c r="M295" i="58"/>
  <c r="N295" i="58"/>
  <c r="L294" i="58"/>
  <c r="L291" i="58"/>
  <c r="N287" i="58"/>
  <c r="N279" i="58"/>
  <c r="L284" i="58"/>
  <c r="L276" i="58"/>
  <c r="M270" i="58"/>
  <c r="N270" i="58"/>
  <c r="M259" i="58"/>
  <c r="N259" i="58" s="1"/>
  <c r="N228" i="58"/>
  <c r="N223" i="58"/>
  <c r="N207" i="58"/>
  <c r="L181" i="58"/>
  <c r="L165" i="58"/>
  <c r="L135" i="58"/>
  <c r="L129" i="58"/>
  <c r="M118" i="58"/>
  <c r="N118" i="58" s="1"/>
  <c r="L118" i="58"/>
  <c r="L268" i="58"/>
  <c r="L265" i="58"/>
  <c r="M239" i="58"/>
  <c r="N239" i="58"/>
  <c r="M232" i="58"/>
  <c r="N232" i="58" s="1"/>
  <c r="L228" i="58"/>
  <c r="M215" i="58"/>
  <c r="N215" i="58"/>
  <c r="M213" i="58"/>
  <c r="M211" i="58"/>
  <c r="N211" i="58"/>
  <c r="M199" i="58"/>
  <c r="N199" i="58" s="1"/>
  <c r="M197" i="58"/>
  <c r="M195" i="58"/>
  <c r="N195" i="58"/>
  <c r="M189" i="58"/>
  <c r="N189" i="58" s="1"/>
  <c r="L184" i="58"/>
  <c r="L174" i="58"/>
  <c r="L168" i="58"/>
  <c r="L159" i="58"/>
  <c r="N147" i="58"/>
  <c r="L140" i="58"/>
  <c r="M140" i="58"/>
  <c r="L126" i="58"/>
  <c r="N123" i="58"/>
  <c r="M120" i="58"/>
  <c r="N240" i="58"/>
  <c r="N212" i="58"/>
  <c r="N196" i="58"/>
  <c r="L177" i="58"/>
  <c r="L161" i="58"/>
  <c r="L139" i="58"/>
  <c r="M139" i="58"/>
  <c r="N139" i="58"/>
  <c r="M267" i="58"/>
  <c r="N267" i="58" s="1"/>
  <c r="M262" i="58"/>
  <c r="N262" i="58"/>
  <c r="M248" i="58"/>
  <c r="N248" i="58" s="1"/>
  <c r="M247" i="58"/>
  <c r="N247" i="58"/>
  <c r="M243" i="58"/>
  <c r="N243" i="58" s="1"/>
  <c r="L240" i="58"/>
  <c r="L233" i="58"/>
  <c r="M227" i="58"/>
  <c r="N227" i="58" s="1"/>
  <c r="M224" i="58"/>
  <c r="N224" i="58"/>
  <c r="L220" i="58"/>
  <c r="L212" i="58"/>
  <c r="L204" i="58"/>
  <c r="L196" i="58"/>
  <c r="M191" i="58"/>
  <c r="N191" i="58" s="1"/>
  <c r="M187" i="58"/>
  <c r="N187" i="58"/>
  <c r="M181" i="58"/>
  <c r="M177" i="58"/>
  <c r="N177" i="58"/>
  <c r="L175" i="58"/>
  <c r="M165" i="58"/>
  <c r="M161" i="58"/>
  <c r="N161" i="58"/>
  <c r="L143" i="58"/>
  <c r="M130" i="58"/>
  <c r="N130" i="58" s="1"/>
  <c r="L130" i="58"/>
  <c r="L116" i="58"/>
  <c r="M116" i="58"/>
  <c r="L132" i="58"/>
  <c r="M128" i="58"/>
  <c r="N128" i="58"/>
  <c r="L127" i="58"/>
  <c r="L124" i="58"/>
  <c r="L119" i="58"/>
  <c r="M114" i="58"/>
  <c r="N114" i="58" s="1"/>
  <c r="M99" i="58"/>
  <c r="N98" i="58"/>
  <c r="M136" i="58"/>
  <c r="N136" i="58" s="1"/>
  <c r="M134" i="58"/>
  <c r="N134" i="58"/>
  <c r="M122" i="58"/>
  <c r="N122" i="58" s="1"/>
  <c r="M115" i="58"/>
  <c r="N115" i="58"/>
  <c r="L106" i="58"/>
  <c r="M105" i="58"/>
  <c r="N105" i="58" s="1"/>
  <c r="M103" i="58"/>
  <c r="N103" i="58"/>
  <c r="L101" i="58"/>
  <c r="M97" i="58"/>
  <c r="N97" i="58"/>
  <c r="N45" i="58"/>
  <c r="M151" i="58"/>
  <c r="N151" i="58" s="1"/>
  <c r="L142" i="58"/>
  <c r="M138" i="58"/>
  <c r="N138" i="58" s="1"/>
  <c r="L134" i="58"/>
  <c r="M132" i="58"/>
  <c r="N132" i="58"/>
  <c r="M131" i="58"/>
  <c r="N131" i="58" s="1"/>
  <c r="L122" i="58"/>
  <c r="L115" i="58"/>
  <c r="M109" i="58"/>
  <c r="L105" i="58"/>
  <c r="L97" i="58"/>
  <c r="M95" i="58"/>
  <c r="M90" i="58"/>
  <c r="N90" i="58" s="1"/>
  <c r="L82" i="58"/>
  <c r="L74" i="58"/>
  <c r="L70" i="58"/>
  <c r="L51" i="58"/>
  <c r="M49" i="58"/>
  <c r="N49" i="58"/>
  <c r="M44" i="58"/>
  <c r="N44" i="58" s="1"/>
  <c r="M69" i="58"/>
  <c r="N69" i="58"/>
  <c r="L67" i="58"/>
  <c r="M65" i="58"/>
  <c r="N65" i="58"/>
  <c r="M62" i="58"/>
  <c r="L54" i="58"/>
  <c r="N78" i="58"/>
  <c r="L73" i="58"/>
  <c r="M70" i="58"/>
  <c r="N70" i="58" s="1"/>
  <c r="L69" i="58"/>
  <c r="L61" i="58"/>
  <c r="M48" i="58"/>
  <c r="N48" i="58" s="1"/>
  <c r="L45" i="58"/>
  <c r="M64" i="58"/>
  <c r="N64" i="58"/>
  <c r="M53" i="58"/>
  <c r="N53" i="58" s="1"/>
  <c r="L58" i="58"/>
  <c r="L57" i="58"/>
  <c r="N41" i="58"/>
  <c r="L31" i="58"/>
  <c r="M25" i="58"/>
  <c r="N25" i="58"/>
  <c r="M20" i="58"/>
  <c r="N20" i="58" s="1"/>
  <c r="L18" i="58"/>
  <c r="L12" i="58"/>
  <c r="M9" i="58"/>
  <c r="N9" i="58" s="1"/>
  <c r="L7" i="58"/>
  <c r="M68" i="58"/>
  <c r="N68" i="58" s="1"/>
  <c r="M66" i="58"/>
  <c r="N66" i="58"/>
  <c r="M60" i="58"/>
  <c r="N60" i="58" s="1"/>
  <c r="M52" i="58"/>
  <c r="N52" i="58"/>
  <c r="M50" i="58"/>
  <c r="N50" i="58" s="1"/>
  <c r="M32" i="58"/>
  <c r="N32" i="58"/>
  <c r="L27" i="58"/>
  <c r="M21" i="58"/>
  <c r="N21" i="58" s="1"/>
  <c r="M13" i="58"/>
  <c r="N13" i="58"/>
  <c r="L11" i="58"/>
  <c r="N10" i="58"/>
  <c r="N33" i="58"/>
  <c r="N14" i="58"/>
  <c r="N37" i="58"/>
  <c r="L22" i="58"/>
  <c r="L14" i="58"/>
  <c r="L8" i="58"/>
  <c r="M877" i="58"/>
  <c r="N877" i="58" s="1"/>
  <c r="M862" i="58"/>
  <c r="N862" i="58"/>
  <c r="N857" i="58"/>
  <c r="M846" i="58"/>
  <c r="N846" i="58"/>
  <c r="M830" i="58"/>
  <c r="N830" i="58" s="1"/>
  <c r="N825" i="58"/>
  <c r="M814" i="58"/>
  <c r="N814" i="58"/>
  <c r="N809" i="58"/>
  <c r="M798" i="58"/>
  <c r="N798" i="58"/>
  <c r="N793" i="58"/>
  <c r="M792" i="58"/>
  <c r="N792" i="58" s="1"/>
  <c r="N787" i="58"/>
  <c r="M782" i="58"/>
  <c r="N782" i="58" s="1"/>
  <c r="N777" i="58"/>
  <c r="M776" i="58"/>
  <c r="N776" i="58"/>
  <c r="N771" i="58"/>
  <c r="M766" i="58"/>
  <c r="N766" i="58"/>
  <c r="N761" i="58"/>
  <c r="M760" i="58"/>
  <c r="N760" i="58" s="1"/>
  <c r="N755" i="58"/>
  <c r="M750" i="58"/>
  <c r="N750" i="58" s="1"/>
  <c r="N745" i="58"/>
  <c r="M744" i="58"/>
  <c r="N744" i="58"/>
  <c r="M724" i="58"/>
  <c r="N724" i="58" s="1"/>
  <c r="M722" i="58"/>
  <c r="N722" i="58"/>
  <c r="L722" i="58"/>
  <c r="L717" i="58"/>
  <c r="N707" i="58"/>
  <c r="L693" i="58"/>
  <c r="M1024" i="58"/>
  <c r="N1024" i="58" s="1"/>
  <c r="M1020" i="58"/>
  <c r="N1020" i="58"/>
  <c r="M1016" i="58"/>
  <c r="N1016" i="58" s="1"/>
  <c r="M1012" i="58"/>
  <c r="N1012" i="58"/>
  <c r="M1008" i="58"/>
  <c r="N1008" i="58" s="1"/>
  <c r="M1004" i="58"/>
  <c r="N1004" i="58"/>
  <c r="M1000" i="58"/>
  <c r="N1000" i="58" s="1"/>
  <c r="M996" i="58"/>
  <c r="N996" i="58"/>
  <c r="M992" i="58"/>
  <c r="N992" i="58" s="1"/>
  <c r="M988" i="58"/>
  <c r="N988" i="58"/>
  <c r="M984" i="58"/>
  <c r="N984" i="58" s="1"/>
  <c r="M980" i="58"/>
  <c r="N980" i="58"/>
  <c r="M976" i="58"/>
  <c r="N976" i="58" s="1"/>
  <c r="M972" i="58"/>
  <c r="N972" i="58"/>
  <c r="M968" i="58"/>
  <c r="N968" i="58" s="1"/>
  <c r="M964" i="58"/>
  <c r="N964" i="58"/>
  <c r="M960" i="58"/>
  <c r="N960" i="58" s="1"/>
  <c r="M956" i="58"/>
  <c r="N956" i="58"/>
  <c r="M952" i="58"/>
  <c r="N952" i="58" s="1"/>
  <c r="M948" i="58"/>
  <c r="N948" i="58"/>
  <c r="M944" i="58"/>
  <c r="N944" i="58" s="1"/>
  <c r="M940" i="58"/>
  <c r="N940" i="58"/>
  <c r="M936" i="58"/>
  <c r="N936" i="58" s="1"/>
  <c r="M932" i="58"/>
  <c r="N932" i="58"/>
  <c r="M928" i="58"/>
  <c r="N928" i="58" s="1"/>
  <c r="M924" i="58"/>
  <c r="N924" i="58"/>
  <c r="M920" i="58"/>
  <c r="N920" i="58" s="1"/>
  <c r="M916" i="58"/>
  <c r="N916" i="58"/>
  <c r="M912" i="58"/>
  <c r="N912" i="58" s="1"/>
  <c r="M908" i="58"/>
  <c r="N908" i="58"/>
  <c r="M904" i="58"/>
  <c r="N904" i="58" s="1"/>
  <c r="M900" i="58"/>
  <c r="N900" i="58"/>
  <c r="M896" i="58"/>
  <c r="N896" i="58" s="1"/>
  <c r="M892" i="58"/>
  <c r="N892" i="58"/>
  <c r="M888" i="58"/>
  <c r="N888" i="58" s="1"/>
  <c r="M881" i="58"/>
  <c r="N881" i="58"/>
  <c r="L880" i="58"/>
  <c r="L877" i="58"/>
  <c r="M871" i="58"/>
  <c r="N871" i="58"/>
  <c r="L865" i="58"/>
  <c r="L862" i="58"/>
  <c r="M856" i="58"/>
  <c r="N856" i="58"/>
  <c r="M850" i="58"/>
  <c r="N850" i="58" s="1"/>
  <c r="L849" i="58"/>
  <c r="L846" i="58"/>
  <c r="M840" i="58"/>
  <c r="N840" i="58" s="1"/>
  <c r="M834" i="58"/>
  <c r="N834" i="58"/>
  <c r="L833" i="58"/>
  <c r="L830" i="58"/>
  <c r="M824" i="58"/>
  <c r="N824" i="58"/>
  <c r="M818" i="58"/>
  <c r="N818" i="58" s="1"/>
  <c r="L817" i="58"/>
  <c r="L814" i="58"/>
  <c r="M808" i="58"/>
  <c r="N808" i="58" s="1"/>
  <c r="M802" i="58"/>
  <c r="N802" i="58"/>
  <c r="L801" i="58"/>
  <c r="L798" i="58"/>
  <c r="M796" i="58"/>
  <c r="N796" i="58"/>
  <c r="L792" i="58"/>
  <c r="M786" i="58"/>
  <c r="N786" i="58"/>
  <c r="L782" i="58"/>
  <c r="M780" i="58"/>
  <c r="N780" i="58" s="1"/>
  <c r="L776" i="58"/>
  <c r="M770" i="58"/>
  <c r="N770" i="58"/>
  <c r="L766" i="58"/>
  <c r="M764" i="58"/>
  <c r="N764" i="58"/>
  <c r="L760" i="58"/>
  <c r="M754" i="58"/>
  <c r="N754" i="58"/>
  <c r="L750" i="58"/>
  <c r="M748" i="58"/>
  <c r="N748" i="58" s="1"/>
  <c r="L744" i="58"/>
  <c r="M740" i="58"/>
  <c r="N740" i="58"/>
  <c r="M738" i="58"/>
  <c r="N738" i="58"/>
  <c r="L738" i="58"/>
  <c r="L733" i="58"/>
  <c r="N725" i="58"/>
  <c r="L709" i="58"/>
  <c r="M700" i="58"/>
  <c r="N700" i="58"/>
  <c r="M698" i="58"/>
  <c r="N698" i="58"/>
  <c r="L698" i="58"/>
  <c r="M674" i="58"/>
  <c r="N674" i="58" s="1"/>
  <c r="L674" i="58"/>
  <c r="M869" i="58"/>
  <c r="N869" i="58"/>
  <c r="M854" i="58"/>
  <c r="N854" i="58"/>
  <c r="M838" i="58"/>
  <c r="N838" i="58"/>
  <c r="M822" i="58"/>
  <c r="N822" i="58"/>
  <c r="M806" i="58"/>
  <c r="N806" i="58"/>
  <c r="M790" i="58"/>
  <c r="N790" i="58"/>
  <c r="M784" i="58"/>
  <c r="N784" i="58"/>
  <c r="M774" i="58"/>
  <c r="N774" i="58"/>
  <c r="M768" i="58"/>
  <c r="N768" i="58"/>
  <c r="M758" i="58"/>
  <c r="N758" i="58"/>
  <c r="M752" i="58"/>
  <c r="N752" i="58"/>
  <c r="M742" i="58"/>
  <c r="N742" i="58"/>
  <c r="L725" i="58"/>
  <c r="M716" i="58"/>
  <c r="N716" i="58" s="1"/>
  <c r="M714" i="58"/>
  <c r="N714" i="58"/>
  <c r="L714" i="58"/>
  <c r="M692" i="58"/>
  <c r="N692" i="58"/>
  <c r="M690" i="58"/>
  <c r="N690" i="58"/>
  <c r="L690" i="58"/>
  <c r="L677" i="58"/>
  <c r="M676" i="58"/>
  <c r="N676" i="58"/>
  <c r="M658" i="58"/>
  <c r="N658" i="58"/>
  <c r="L658" i="58"/>
  <c r="M1022" i="58"/>
  <c r="N1022" i="58" s="1"/>
  <c r="M1018" i="58"/>
  <c r="N1018" i="58"/>
  <c r="M1014" i="58"/>
  <c r="N1014" i="58" s="1"/>
  <c r="M1010" i="58"/>
  <c r="N1010" i="58"/>
  <c r="M1006" i="58"/>
  <c r="N1006" i="58" s="1"/>
  <c r="M1002" i="58"/>
  <c r="N1002" i="58"/>
  <c r="M998" i="58"/>
  <c r="N998" i="58" s="1"/>
  <c r="M994" i="58"/>
  <c r="N994" i="58"/>
  <c r="M990" i="58"/>
  <c r="N990" i="58" s="1"/>
  <c r="M986" i="58"/>
  <c r="N986" i="58"/>
  <c r="M982" i="58"/>
  <c r="N982" i="58" s="1"/>
  <c r="M978" i="58"/>
  <c r="N978" i="58"/>
  <c r="M974" i="58"/>
  <c r="N974" i="58" s="1"/>
  <c r="M970" i="58"/>
  <c r="N970" i="58"/>
  <c r="M966" i="58"/>
  <c r="N966" i="58" s="1"/>
  <c r="M962" i="58"/>
  <c r="N962" i="58"/>
  <c r="M958" i="58"/>
  <c r="N958" i="58" s="1"/>
  <c r="M954" i="58"/>
  <c r="N954" i="58"/>
  <c r="M950" i="58"/>
  <c r="N950" i="58" s="1"/>
  <c r="M946" i="58"/>
  <c r="N946" i="58"/>
  <c r="M942" i="58"/>
  <c r="N942" i="58" s="1"/>
  <c r="M938" i="58"/>
  <c r="N938" i="58"/>
  <c r="M934" i="58"/>
  <c r="N934" i="58" s="1"/>
  <c r="M930" i="58"/>
  <c r="N930" i="58"/>
  <c r="M926" i="58"/>
  <c r="N926" i="58" s="1"/>
  <c r="M922" i="58"/>
  <c r="N922" i="58"/>
  <c r="M918" i="58"/>
  <c r="N918" i="58" s="1"/>
  <c r="M914" i="58"/>
  <c r="N914" i="58"/>
  <c r="M910" i="58"/>
  <c r="N910" i="58" s="1"/>
  <c r="M906" i="58"/>
  <c r="N906" i="58"/>
  <c r="M902" i="58"/>
  <c r="N902" i="58" s="1"/>
  <c r="M898" i="58"/>
  <c r="N898" i="58"/>
  <c r="M894" i="58"/>
  <c r="N894" i="58" s="1"/>
  <c r="M890" i="58"/>
  <c r="N890" i="58"/>
  <c r="M886" i="58"/>
  <c r="N886" i="58" s="1"/>
  <c r="M879" i="58"/>
  <c r="N879" i="58" s="1"/>
  <c r="M873" i="58"/>
  <c r="N873" i="58" s="1"/>
  <c r="L872" i="58"/>
  <c r="L869" i="58"/>
  <c r="N868" i="58"/>
  <c r="M864" i="58"/>
  <c r="N864" i="58"/>
  <c r="M858" i="58"/>
  <c r="N858" i="58"/>
  <c r="L857" i="58"/>
  <c r="L854" i="58"/>
  <c r="N853" i="58"/>
  <c r="M848" i="58"/>
  <c r="N848" i="58" s="1"/>
  <c r="M842" i="58"/>
  <c r="N842" i="58" s="1"/>
  <c r="L841" i="58"/>
  <c r="L838" i="58"/>
  <c r="N837" i="58"/>
  <c r="M832" i="58"/>
  <c r="N832" i="58"/>
  <c r="M826" i="58"/>
  <c r="N826" i="58"/>
  <c r="L825" i="58"/>
  <c r="L822" i="58"/>
  <c r="N821" i="58"/>
  <c r="M816" i="58"/>
  <c r="N816" i="58"/>
  <c r="M810" i="58"/>
  <c r="N810" i="58" s="1"/>
  <c r="L809" i="58"/>
  <c r="L806" i="58"/>
  <c r="N805" i="58"/>
  <c r="M800" i="58"/>
  <c r="N800" i="58"/>
  <c r="M794" i="58"/>
  <c r="N794" i="58"/>
  <c r="L790" i="58"/>
  <c r="N789" i="58"/>
  <c r="M788" i="58"/>
  <c r="N788" i="58"/>
  <c r="L784" i="58"/>
  <c r="N783" i="58"/>
  <c r="M778" i="58"/>
  <c r="N778" i="58"/>
  <c r="L774" i="58"/>
  <c r="N773" i="58"/>
  <c r="M772" i="58"/>
  <c r="N772" i="58"/>
  <c r="L768" i="58"/>
  <c r="N767" i="58"/>
  <c r="M762" i="58"/>
  <c r="N762" i="58"/>
  <c r="L758" i="58"/>
  <c r="N757" i="58"/>
  <c r="M756" i="58"/>
  <c r="N756" i="58"/>
  <c r="L752" i="58"/>
  <c r="N751" i="58"/>
  <c r="M746" i="58"/>
  <c r="N746" i="58"/>
  <c r="L742" i="58"/>
  <c r="L741" i="58"/>
  <c r="M733" i="58"/>
  <c r="N733" i="58"/>
  <c r="M732" i="58"/>
  <c r="N732" i="58"/>
  <c r="M730" i="58"/>
  <c r="N730" i="58"/>
  <c r="L730" i="58"/>
  <c r="N717" i="58"/>
  <c r="L716" i="58"/>
  <c r="N715" i="58"/>
  <c r="M709" i="58"/>
  <c r="N709" i="58"/>
  <c r="M708" i="58"/>
  <c r="N708" i="58"/>
  <c r="M706" i="58"/>
  <c r="N706" i="58"/>
  <c r="L706" i="58"/>
  <c r="L701" i="58"/>
  <c r="N693" i="58"/>
  <c r="L692" i="58"/>
  <c r="N691" i="58"/>
  <c r="L661" i="58"/>
  <c r="M660" i="58"/>
  <c r="N660" i="58"/>
  <c r="N659" i="58"/>
  <c r="M726" i="58"/>
  <c r="N726" i="58" s="1"/>
  <c r="M710" i="58"/>
  <c r="N710" i="58"/>
  <c r="M694" i="58"/>
  <c r="N694" i="58" s="1"/>
  <c r="M684" i="58"/>
  <c r="N684" i="58"/>
  <c r="M678" i="58"/>
  <c r="N678" i="58" s="1"/>
  <c r="M668" i="58"/>
  <c r="N668" i="58"/>
  <c r="M662" i="58"/>
  <c r="N662" i="58" s="1"/>
  <c r="M652" i="58"/>
  <c r="N652" i="58"/>
  <c r="M646" i="58"/>
  <c r="N646" i="58" s="1"/>
  <c r="L645" i="58"/>
  <c r="L642" i="58"/>
  <c r="M636" i="58"/>
  <c r="N636" i="58" s="1"/>
  <c r="M630" i="58"/>
  <c r="N630" i="58"/>
  <c r="L629" i="58"/>
  <c r="L626" i="58"/>
  <c r="M620" i="58"/>
  <c r="N620" i="58"/>
  <c r="M614" i="58"/>
  <c r="N614" i="58" s="1"/>
  <c r="L613" i="58"/>
  <c r="L608" i="58"/>
  <c r="M602" i="58"/>
  <c r="N602" i="58" s="1"/>
  <c r="L598" i="58"/>
  <c r="M596" i="58"/>
  <c r="N596" i="58"/>
  <c r="L592" i="58"/>
  <c r="M586" i="58"/>
  <c r="N586" i="58"/>
  <c r="L582" i="58"/>
  <c r="M580" i="58"/>
  <c r="N580" i="58"/>
  <c r="L576" i="58"/>
  <c r="M570" i="58"/>
  <c r="N570" i="58" s="1"/>
  <c r="M682" i="58"/>
  <c r="N682" i="58"/>
  <c r="N677" i="58"/>
  <c r="M666" i="58"/>
  <c r="N666" i="58"/>
  <c r="N661" i="58"/>
  <c r="M650" i="58"/>
  <c r="N650" i="58" s="1"/>
  <c r="M634" i="58"/>
  <c r="N634" i="58"/>
  <c r="N629" i="58"/>
  <c r="M618" i="58"/>
  <c r="N618" i="58"/>
  <c r="N613" i="58"/>
  <c r="M606" i="58"/>
  <c r="N606" i="58" s="1"/>
  <c r="N601" i="58"/>
  <c r="M600" i="58"/>
  <c r="N600" i="58"/>
  <c r="N595" i="58"/>
  <c r="M590" i="58"/>
  <c r="N590" i="58"/>
  <c r="M584" i="58"/>
  <c r="N584" i="58" s="1"/>
  <c r="N579" i="58"/>
  <c r="M574" i="58"/>
  <c r="N574" i="58"/>
  <c r="N569" i="58"/>
  <c r="M568" i="58"/>
  <c r="N568" i="58"/>
  <c r="M566" i="58"/>
  <c r="N566" i="58" s="1"/>
  <c r="N565" i="58"/>
  <c r="M562" i="58"/>
  <c r="N562" i="58"/>
  <c r="N561" i="58"/>
  <c r="M558" i="58"/>
  <c r="N558" i="58"/>
  <c r="N557" i="58"/>
  <c r="M554" i="58"/>
  <c r="N554" i="58"/>
  <c r="N553" i="58"/>
  <c r="M550" i="58"/>
  <c r="N550" i="58" s="1"/>
  <c r="N549" i="58"/>
  <c r="M546" i="58"/>
  <c r="N546" i="58"/>
  <c r="N545" i="58"/>
  <c r="M734" i="58"/>
  <c r="N734" i="58"/>
  <c r="N729" i="58"/>
  <c r="M718" i="58"/>
  <c r="N718" i="58"/>
  <c r="N713" i="58"/>
  <c r="M702" i="58"/>
  <c r="N702" i="58" s="1"/>
  <c r="N697" i="58"/>
  <c r="M686" i="58"/>
  <c r="N686" i="58"/>
  <c r="L685" i="58"/>
  <c r="L682" i="58"/>
  <c r="N681" i="58"/>
  <c r="M670" i="58"/>
  <c r="N670" i="58" s="1"/>
  <c r="L669" i="58"/>
  <c r="L666" i="58"/>
  <c r="N665" i="58"/>
  <c r="M654" i="58"/>
  <c r="N654" i="58"/>
  <c r="L653" i="58"/>
  <c r="L650" i="58"/>
  <c r="N649" i="58"/>
  <c r="M644" i="58"/>
  <c r="N644" i="58"/>
  <c r="M638" i="58"/>
  <c r="N638" i="58" s="1"/>
  <c r="L637" i="58"/>
  <c r="L634" i="58"/>
  <c r="N633" i="58"/>
  <c r="M628" i="58"/>
  <c r="N628" i="58"/>
  <c r="M622" i="58"/>
  <c r="N622" i="58"/>
  <c r="L621" i="58"/>
  <c r="L618" i="58"/>
  <c r="N617" i="58"/>
  <c r="M612" i="58"/>
  <c r="N612" i="58" s="1"/>
  <c r="M610" i="58"/>
  <c r="N610" i="58"/>
  <c r="L606" i="58"/>
  <c r="N605" i="58"/>
  <c r="M604" i="58"/>
  <c r="N604" i="58"/>
  <c r="L600" i="58"/>
  <c r="N599" i="58"/>
  <c r="M594" i="58"/>
  <c r="N594" i="58"/>
  <c r="L590" i="58"/>
  <c r="M588" i="58"/>
  <c r="N588" i="58"/>
  <c r="L584" i="58"/>
  <c r="N583" i="58"/>
  <c r="M578" i="58"/>
  <c r="N578" i="58"/>
  <c r="L574" i="58"/>
  <c r="N573" i="58"/>
  <c r="M572" i="58"/>
  <c r="N572" i="58"/>
  <c r="L568" i="58"/>
  <c r="M642" i="58"/>
  <c r="N642" i="58" s="1"/>
  <c r="M626" i="58"/>
  <c r="N626" i="58"/>
  <c r="M608" i="58"/>
  <c r="N608" i="58" s="1"/>
  <c r="M598" i="58"/>
  <c r="N598" i="58"/>
  <c r="M592" i="58"/>
  <c r="N592" i="58" s="1"/>
  <c r="M582" i="58"/>
  <c r="N582" i="58" s="1"/>
  <c r="M576" i="58"/>
  <c r="N576" i="58" s="1"/>
  <c r="M506" i="58"/>
  <c r="N506" i="58" s="1"/>
  <c r="M490" i="58"/>
  <c r="N490" i="58" s="1"/>
  <c r="M474" i="58"/>
  <c r="N474" i="58" s="1"/>
  <c r="M468" i="58"/>
  <c r="N468" i="58" s="1"/>
  <c r="M458" i="58"/>
  <c r="N458" i="58" s="1"/>
  <c r="M452" i="58"/>
  <c r="N452" i="58" s="1"/>
  <c r="M564" i="58"/>
  <c r="N564" i="58" s="1"/>
  <c r="M560" i="58"/>
  <c r="N560" i="58" s="1"/>
  <c r="M556" i="58"/>
  <c r="N556" i="58" s="1"/>
  <c r="M552" i="58"/>
  <c r="N552" i="58" s="1"/>
  <c r="M548" i="58"/>
  <c r="N548" i="58" s="1"/>
  <c r="M544" i="58"/>
  <c r="N544" i="58" s="1"/>
  <c r="M540" i="58"/>
  <c r="N540" i="58" s="1"/>
  <c r="M536" i="58"/>
  <c r="N536" i="58" s="1"/>
  <c r="M532" i="58"/>
  <c r="N532" i="58" s="1"/>
  <c r="M528" i="58"/>
  <c r="N528" i="58" s="1"/>
  <c r="M524" i="58"/>
  <c r="N524" i="58" s="1"/>
  <c r="M520" i="58"/>
  <c r="N520" i="58" s="1"/>
  <c r="M516" i="58"/>
  <c r="N516" i="58" s="1"/>
  <c r="M510" i="58"/>
  <c r="N510" i="58" s="1"/>
  <c r="L509" i="58"/>
  <c r="L506" i="58"/>
  <c r="M500" i="58"/>
  <c r="N500" i="58" s="1"/>
  <c r="M494" i="58"/>
  <c r="N494" i="58" s="1"/>
  <c r="L493" i="58"/>
  <c r="L490" i="58"/>
  <c r="N489" i="58"/>
  <c r="M484" i="58"/>
  <c r="N484" i="58"/>
  <c r="M478" i="58"/>
  <c r="N478" i="58"/>
  <c r="L474" i="58"/>
  <c r="N473" i="58"/>
  <c r="M472" i="58"/>
  <c r="N472" i="58"/>
  <c r="L468" i="58"/>
  <c r="N467" i="58"/>
  <c r="M462" i="58"/>
  <c r="N462" i="58"/>
  <c r="L458" i="58"/>
  <c r="N457" i="58"/>
  <c r="M456" i="58"/>
  <c r="N456" i="58"/>
  <c r="L452" i="58"/>
  <c r="M448" i="58"/>
  <c r="N448" i="58" s="1"/>
  <c r="M444" i="58"/>
  <c r="N444" i="58" s="1"/>
  <c r="N509" i="58"/>
  <c r="M498" i="58"/>
  <c r="N498" i="58"/>
  <c r="N493" i="58"/>
  <c r="M482" i="58"/>
  <c r="N482" i="58" s="1"/>
  <c r="N477" i="58"/>
  <c r="M476" i="58"/>
  <c r="N476" i="58"/>
  <c r="N471" i="58"/>
  <c r="M466" i="58"/>
  <c r="N466" i="58" s="1"/>
  <c r="N461" i="58"/>
  <c r="M460" i="58"/>
  <c r="N460" i="58"/>
  <c r="N455" i="58"/>
  <c r="M450" i="58"/>
  <c r="N450" i="58" s="1"/>
  <c r="M542" i="58"/>
  <c r="N542" i="58" s="1"/>
  <c r="M538" i="58"/>
  <c r="N538" i="58" s="1"/>
  <c r="M534" i="58"/>
  <c r="N534" i="58" s="1"/>
  <c r="M530" i="58"/>
  <c r="N530" i="58" s="1"/>
  <c r="M526" i="58"/>
  <c r="N526" i="58" s="1"/>
  <c r="M522" i="58"/>
  <c r="N522" i="58" s="1"/>
  <c r="M518" i="58"/>
  <c r="N518" i="58" s="1"/>
  <c r="M514" i="58"/>
  <c r="N514" i="58" s="1"/>
  <c r="M508" i="58"/>
  <c r="N508" i="58" s="1"/>
  <c r="M502" i="58"/>
  <c r="N502" i="58" s="1"/>
  <c r="L501" i="58"/>
  <c r="L498" i="58"/>
  <c r="M492" i="58"/>
  <c r="N492" i="58" s="1"/>
  <c r="M486" i="58"/>
  <c r="N486" i="58" s="1"/>
  <c r="L485" i="58"/>
  <c r="L482" i="58"/>
  <c r="N481" i="58"/>
  <c r="M480" i="58"/>
  <c r="N480" i="58"/>
  <c r="L476" i="58"/>
  <c r="N475" i="58"/>
  <c r="M470" i="58"/>
  <c r="N470" i="58"/>
  <c r="L466" i="58"/>
  <c r="N465" i="58"/>
  <c r="M464" i="58"/>
  <c r="N464" i="58"/>
  <c r="L460" i="58"/>
  <c r="N459" i="58"/>
  <c r="M454" i="58"/>
  <c r="N454" i="58"/>
  <c r="L450" i="58"/>
  <c r="L448" i="58"/>
  <c r="L444" i="58"/>
  <c r="M432" i="58"/>
  <c r="N432" i="58" s="1"/>
  <c r="M416" i="58"/>
  <c r="N416" i="58" s="1"/>
  <c r="M400" i="58"/>
  <c r="N400" i="58" s="1"/>
  <c r="M384" i="58"/>
  <c r="N384" i="58" s="1"/>
  <c r="M378" i="58"/>
  <c r="N378" i="58" s="1"/>
  <c r="M363" i="58"/>
  <c r="N363" i="58" s="1"/>
  <c r="M361" i="58"/>
  <c r="N361" i="58" s="1"/>
  <c r="L361" i="58"/>
  <c r="M345" i="58"/>
  <c r="N345" i="58"/>
  <c r="L345" i="58"/>
  <c r="M446" i="58"/>
  <c r="N446" i="58" s="1"/>
  <c r="M442" i="58"/>
  <c r="N442" i="58" s="1"/>
  <c r="M436" i="58"/>
  <c r="N436" i="58" s="1"/>
  <c r="L435" i="58"/>
  <c r="L432" i="58"/>
  <c r="N431" i="58"/>
  <c r="M426" i="58"/>
  <c r="N426" i="58"/>
  <c r="M420" i="58"/>
  <c r="N420" i="58"/>
  <c r="L419" i="58"/>
  <c r="L416" i="58"/>
  <c r="N415" i="58"/>
  <c r="M410" i="58"/>
  <c r="N410" i="58" s="1"/>
  <c r="M404" i="58"/>
  <c r="N404" i="58" s="1"/>
  <c r="L403" i="58"/>
  <c r="L400" i="58"/>
  <c r="N399" i="58"/>
  <c r="M394" i="58"/>
  <c r="N394" i="58"/>
  <c r="M388" i="58"/>
  <c r="N388" i="58"/>
  <c r="L384" i="58"/>
  <c r="N383" i="58"/>
  <c r="M382" i="58"/>
  <c r="N382" i="58"/>
  <c r="L378" i="58"/>
  <c r="N377" i="58"/>
  <c r="M372" i="58"/>
  <c r="N372" i="58"/>
  <c r="N364" i="58"/>
  <c r="L363" i="58"/>
  <c r="N362" i="58"/>
  <c r="M355" i="58"/>
  <c r="N355" i="58" s="1"/>
  <c r="M353" i="58"/>
  <c r="N353" i="58" s="1"/>
  <c r="L353" i="58"/>
  <c r="L348" i="58"/>
  <c r="M347" i="58"/>
  <c r="N347" i="58" s="1"/>
  <c r="N346" i="58"/>
  <c r="M440" i="58"/>
  <c r="N440" i="58"/>
  <c r="N435" i="58"/>
  <c r="M424" i="58"/>
  <c r="N424" i="58" s="1"/>
  <c r="N419" i="58"/>
  <c r="M408" i="58"/>
  <c r="N408" i="58"/>
  <c r="N403" i="58"/>
  <c r="M392" i="58"/>
  <c r="N392" i="58" s="1"/>
  <c r="N387" i="58"/>
  <c r="M386" i="58"/>
  <c r="N386" i="58"/>
  <c r="N381" i="58"/>
  <c r="M376" i="58"/>
  <c r="N376" i="58" s="1"/>
  <c r="N371" i="58"/>
  <c r="M370" i="58"/>
  <c r="N370" i="58"/>
  <c r="L364" i="58"/>
  <c r="N356" i="58"/>
  <c r="N354" i="58"/>
  <c r="L332" i="58"/>
  <c r="L440" i="58"/>
  <c r="M434" i="58"/>
  <c r="N434" i="58" s="1"/>
  <c r="M428" i="58"/>
  <c r="N428" i="58" s="1"/>
  <c r="L427" i="58"/>
  <c r="L424" i="58"/>
  <c r="M418" i="58"/>
  <c r="N418" i="58" s="1"/>
  <c r="M412" i="58"/>
  <c r="N412" i="58" s="1"/>
  <c r="L411" i="58"/>
  <c r="L408" i="58"/>
  <c r="M402" i="58"/>
  <c r="N402" i="58" s="1"/>
  <c r="M396" i="58"/>
  <c r="N396" i="58" s="1"/>
  <c r="L395" i="58"/>
  <c r="M390" i="58"/>
  <c r="N390" i="58"/>
  <c r="M380" i="58"/>
  <c r="N380" i="58"/>
  <c r="M374" i="58"/>
  <c r="N374" i="58"/>
  <c r="L356" i="58"/>
  <c r="M365" i="58"/>
  <c r="N365" i="58" s="1"/>
  <c r="N360" i="58"/>
  <c r="M349" i="58"/>
  <c r="N349" i="58"/>
  <c r="N344" i="58"/>
  <c r="M339" i="58"/>
  <c r="N339" i="58" s="1"/>
  <c r="M333" i="58"/>
  <c r="N333" i="58" s="1"/>
  <c r="L329" i="58"/>
  <c r="N328" i="58"/>
  <c r="M323" i="58"/>
  <c r="N323" i="58" s="1"/>
  <c r="M317" i="58"/>
  <c r="N317" i="58" s="1"/>
  <c r="L316" i="58"/>
  <c r="L313" i="58"/>
  <c r="N312" i="58"/>
  <c r="M307" i="58"/>
  <c r="N307" i="58"/>
  <c r="M301" i="58"/>
  <c r="N301" i="58"/>
  <c r="L300" i="58"/>
  <c r="L297" i="58"/>
  <c r="N296" i="58"/>
  <c r="M291" i="58"/>
  <c r="N291" i="58" s="1"/>
  <c r="N348" i="58"/>
  <c r="M337" i="58"/>
  <c r="N337" i="58"/>
  <c r="N332" i="58"/>
  <c r="M321" i="58"/>
  <c r="N321" i="58" s="1"/>
  <c r="N316" i="58"/>
  <c r="M305" i="58"/>
  <c r="N305" i="58"/>
  <c r="N300" i="58"/>
  <c r="M289" i="58"/>
  <c r="N289" i="58" s="1"/>
  <c r="M273" i="58"/>
  <c r="N273" i="58" s="1"/>
  <c r="N272" i="58"/>
  <c r="M357" i="58"/>
  <c r="N357" i="58"/>
  <c r="M341" i="58"/>
  <c r="N341" i="58"/>
  <c r="L340" i="58"/>
  <c r="L337" i="58"/>
  <c r="M331" i="58"/>
  <c r="N331" i="58"/>
  <c r="M325" i="58"/>
  <c r="N325" i="58"/>
  <c r="L324" i="58"/>
  <c r="L321" i="58"/>
  <c r="M315" i="58"/>
  <c r="N315" i="58"/>
  <c r="M309" i="58"/>
  <c r="N309" i="58"/>
  <c r="L308" i="58"/>
  <c r="L305" i="58"/>
  <c r="N304" i="58"/>
  <c r="M299" i="58"/>
  <c r="N299" i="58" s="1"/>
  <c r="M293" i="58"/>
  <c r="N293" i="58" s="1"/>
  <c r="L292" i="58"/>
  <c r="L289" i="58"/>
  <c r="M285" i="58"/>
  <c r="N285" i="58" s="1"/>
  <c r="M281" i="58"/>
  <c r="N281" i="58" s="1"/>
  <c r="M277" i="58"/>
  <c r="N277" i="58" s="1"/>
  <c r="M329" i="58"/>
  <c r="N329" i="58" s="1"/>
  <c r="M313" i="58"/>
  <c r="N313" i="58" s="1"/>
  <c r="M297" i="58"/>
  <c r="N297" i="58" s="1"/>
  <c r="M236" i="58"/>
  <c r="N236" i="58" s="1"/>
  <c r="M226" i="58"/>
  <c r="N226" i="58" s="1"/>
  <c r="L226" i="58"/>
  <c r="M222" i="58"/>
  <c r="N222" i="58"/>
  <c r="M252" i="58"/>
  <c r="N252" i="58"/>
  <c r="M242" i="58"/>
  <c r="N242" i="58"/>
  <c r="L242" i="58"/>
  <c r="L241" i="58"/>
  <c r="M238" i="58"/>
  <c r="N238" i="58"/>
  <c r="N237" i="58"/>
  <c r="L236" i="58"/>
  <c r="M234" i="58"/>
  <c r="N234" i="58"/>
  <c r="L229" i="58"/>
  <c r="L222" i="58"/>
  <c r="M206" i="58"/>
  <c r="N206" i="58"/>
  <c r="L206" i="58"/>
  <c r="M254" i="58"/>
  <c r="N254" i="58" s="1"/>
  <c r="N253" i="58"/>
  <c r="L252" i="58"/>
  <c r="N251" i="58"/>
  <c r="M250" i="58"/>
  <c r="N250" i="58"/>
  <c r="L245" i="58"/>
  <c r="L238" i="58"/>
  <c r="M229" i="58"/>
  <c r="N229" i="58"/>
  <c r="L224" i="58"/>
  <c r="L209" i="58"/>
  <c r="M208" i="58"/>
  <c r="N208" i="58"/>
  <c r="L193" i="58"/>
  <c r="M269" i="58"/>
  <c r="N269" i="58" s="1"/>
  <c r="M265" i="58"/>
  <c r="N265" i="58" s="1"/>
  <c r="M261" i="58"/>
  <c r="N261" i="58" s="1"/>
  <c r="L254" i="58"/>
  <c r="M245" i="58"/>
  <c r="N245" i="58"/>
  <c r="L234" i="58"/>
  <c r="L213" i="58"/>
  <c r="M246" i="58"/>
  <c r="N246" i="58"/>
  <c r="N241" i="58"/>
  <c r="M230" i="58"/>
  <c r="N230" i="58" s="1"/>
  <c r="N225" i="58"/>
  <c r="M220" i="58"/>
  <c r="N220" i="58"/>
  <c r="M214" i="58"/>
  <c r="N214" i="58"/>
  <c r="N209" i="58"/>
  <c r="M204" i="58"/>
  <c r="N204" i="58" s="1"/>
  <c r="M198" i="58"/>
  <c r="N198" i="58" s="1"/>
  <c r="L197" i="58"/>
  <c r="N193" i="58"/>
  <c r="M188" i="58"/>
  <c r="N188" i="58" s="1"/>
  <c r="M186" i="58"/>
  <c r="N186" i="58" s="1"/>
  <c r="N181" i="58"/>
  <c r="M180" i="58"/>
  <c r="N180" i="58"/>
  <c r="N175" i="58"/>
  <c r="M170" i="58"/>
  <c r="N170" i="58" s="1"/>
  <c r="N165" i="58"/>
  <c r="M164" i="58"/>
  <c r="N164" i="58"/>
  <c r="M218" i="58"/>
  <c r="N218" i="58"/>
  <c r="N213" i="58"/>
  <c r="M202" i="58"/>
  <c r="N202" i="58" s="1"/>
  <c r="N197" i="58"/>
  <c r="M192" i="58"/>
  <c r="N192" i="58"/>
  <c r="N185" i="58"/>
  <c r="M184" i="58"/>
  <c r="N184" i="58" s="1"/>
  <c r="N179" i="58"/>
  <c r="M174" i="58"/>
  <c r="N174" i="58"/>
  <c r="N169" i="58"/>
  <c r="M168" i="58"/>
  <c r="N168" i="58" s="1"/>
  <c r="N163" i="58"/>
  <c r="M190" i="58"/>
  <c r="N190" i="58"/>
  <c r="M178" i="58"/>
  <c r="N178" i="58"/>
  <c r="M172" i="58"/>
  <c r="N172" i="58"/>
  <c r="M162" i="58"/>
  <c r="N162" i="58"/>
  <c r="N149" i="58"/>
  <c r="M210" i="58"/>
  <c r="N210" i="58" s="1"/>
  <c r="M194" i="58"/>
  <c r="N194" i="58" s="1"/>
  <c r="L190" i="58"/>
  <c r="M182" i="58"/>
  <c r="N182" i="58"/>
  <c r="L178" i="58"/>
  <c r="M176" i="58"/>
  <c r="N176" i="58" s="1"/>
  <c r="L172" i="58"/>
  <c r="M166" i="58"/>
  <c r="N166" i="58"/>
  <c r="L162" i="58"/>
  <c r="M158" i="58"/>
  <c r="N158" i="58" s="1"/>
  <c r="M154" i="58"/>
  <c r="N154" i="58" s="1"/>
  <c r="M150" i="58"/>
  <c r="N150" i="58" s="1"/>
  <c r="L149" i="58"/>
  <c r="M160" i="58"/>
  <c r="N160" i="58"/>
  <c r="M156" i="58"/>
  <c r="N156" i="58"/>
  <c r="M152" i="58"/>
  <c r="N152" i="58"/>
  <c r="M143" i="58"/>
  <c r="N143" i="58"/>
  <c r="M137" i="58"/>
  <c r="N137" i="58"/>
  <c r="L136" i="58"/>
  <c r="L133" i="58"/>
  <c r="M127" i="58"/>
  <c r="N127" i="58"/>
  <c r="M121" i="58"/>
  <c r="N121" i="58"/>
  <c r="L120" i="58"/>
  <c r="L117" i="58"/>
  <c r="N116" i="58"/>
  <c r="M108" i="58"/>
  <c r="N108" i="58" s="1"/>
  <c r="L108" i="58"/>
  <c r="M141" i="58"/>
  <c r="N141" i="58"/>
  <c r="M125" i="58"/>
  <c r="N125" i="58"/>
  <c r="N120" i="58"/>
  <c r="L111" i="58"/>
  <c r="M110" i="58"/>
  <c r="N110" i="58"/>
  <c r="N109" i="58"/>
  <c r="M145" i="58"/>
  <c r="N145" i="58" s="1"/>
  <c r="L144" i="58"/>
  <c r="L141" i="58"/>
  <c r="N140" i="58"/>
  <c r="M135" i="58"/>
  <c r="N135" i="58"/>
  <c r="M129" i="58"/>
  <c r="N129" i="58"/>
  <c r="L128" i="58"/>
  <c r="L125" i="58"/>
  <c r="N124" i="58"/>
  <c r="M119" i="58"/>
  <c r="N119" i="58" s="1"/>
  <c r="M133" i="58"/>
  <c r="N133" i="58" s="1"/>
  <c r="M117" i="58"/>
  <c r="N117" i="58" s="1"/>
  <c r="M113" i="58"/>
  <c r="N113" i="58" s="1"/>
  <c r="M96" i="58"/>
  <c r="N96" i="58" s="1"/>
  <c r="L95" i="58"/>
  <c r="L92" i="58"/>
  <c r="N111" i="58"/>
  <c r="M100" i="58"/>
  <c r="N100" i="58"/>
  <c r="L99" i="58"/>
  <c r="L96" i="58"/>
  <c r="N95" i="58"/>
  <c r="M84" i="58"/>
  <c r="N84" i="58" s="1"/>
  <c r="L83" i="58"/>
  <c r="M75" i="58"/>
  <c r="N75" i="58"/>
  <c r="M104" i="58"/>
  <c r="N104" i="58"/>
  <c r="L103" i="58"/>
  <c r="L100" i="58"/>
  <c r="N99" i="58"/>
  <c r="M94" i="58"/>
  <c r="N94" i="58" s="1"/>
  <c r="M88" i="58"/>
  <c r="N88" i="58" s="1"/>
  <c r="L87" i="58"/>
  <c r="N83" i="58"/>
  <c r="M80" i="58"/>
  <c r="N80" i="58" s="1"/>
  <c r="N79" i="58"/>
  <c r="M92" i="58"/>
  <c r="N92" i="58"/>
  <c r="M71" i="58"/>
  <c r="N71" i="58"/>
  <c r="M61" i="58"/>
  <c r="N61" i="58"/>
  <c r="M55" i="58"/>
  <c r="N55" i="58"/>
  <c r="M59" i="58"/>
  <c r="N59" i="58"/>
  <c r="M43" i="58"/>
  <c r="N43" i="58"/>
  <c r="M38" i="58"/>
  <c r="N38" i="58"/>
  <c r="N74" i="58"/>
  <c r="M63" i="58"/>
  <c r="N63" i="58" s="1"/>
  <c r="L62" i="58"/>
  <c r="L59" i="58"/>
  <c r="N58" i="58"/>
  <c r="M47" i="58"/>
  <c r="N47" i="58"/>
  <c r="L46" i="58"/>
  <c r="N42" i="58"/>
  <c r="M76" i="58"/>
  <c r="N76" i="58"/>
  <c r="M73" i="58"/>
  <c r="N73" i="58"/>
  <c r="M67" i="58"/>
  <c r="N67" i="58"/>
  <c r="L66" i="58"/>
  <c r="L63" i="58"/>
  <c r="N62" i="58"/>
  <c r="M57" i="58"/>
  <c r="N57" i="58" s="1"/>
  <c r="M51" i="58"/>
  <c r="N51" i="58" s="1"/>
  <c r="L50" i="58"/>
  <c r="N46" i="58"/>
  <c r="M16" i="58"/>
  <c r="N16" i="58" s="1"/>
  <c r="M12" i="58"/>
  <c r="N12" i="58" s="1"/>
  <c r="M8" i="58"/>
  <c r="N8" i="58" s="1"/>
  <c r="M39" i="58"/>
  <c r="N39" i="58" s="1"/>
  <c r="M35" i="58"/>
  <c r="N35" i="58" s="1"/>
  <c r="M31" i="58"/>
  <c r="N31" i="58" s="1"/>
  <c r="M27" i="58"/>
  <c r="N27" i="58" s="1"/>
  <c r="M23" i="58"/>
  <c r="N23" i="58" s="1"/>
  <c r="M19" i="58"/>
  <c r="N19" i="58" s="1"/>
  <c r="M15" i="58"/>
  <c r="N15" i="58" s="1"/>
  <c r="M11" i="58"/>
  <c r="N11" i="58" s="1"/>
  <c r="M7" i="58"/>
  <c r="N7" i="58" s="1"/>
  <c r="M34" i="58"/>
  <c r="N34" i="58" s="1"/>
  <c r="J26" i="47"/>
  <c r="N40" i="58"/>
  <c r="N72" i="58"/>
  <c r="N235" i="58"/>
  <c r="N107" i="58"/>
  <c r="N263" i="58"/>
  <c r="N256" i="58"/>
  <c r="N308" i="58"/>
  <c r="N379" i="58"/>
  <c r="N611" i="58"/>
  <c r="N326" i="58"/>
  <c r="N264" i="58"/>
  <c r="N320" i="58"/>
  <c r="N85" i="58"/>
  <c r="N201" i="58"/>
  <c r="N278" i="58"/>
  <c r="N615" i="58"/>
  <c r="N683" i="58"/>
  <c r="N505" i="58"/>
  <c r="N36" i="58"/>
  <c r="N200" i="58"/>
  <c r="N89" i="58"/>
  <c r="N205" i="58"/>
  <c r="N86" i="58"/>
  <c r="N282" i="58"/>
  <c r="N368" i="58"/>
  <c r="N817" i="58"/>
  <c r="O910" i="9"/>
  <c r="K989" i="9"/>
  <c r="K1050" i="9"/>
  <c r="O1054" i="9"/>
  <c r="L1071" i="9"/>
  <c r="O1379" i="9"/>
  <c r="O1011" i="9"/>
  <c r="O1070" i="9"/>
  <c r="K1329" i="9"/>
  <c r="O6" i="58"/>
  <c r="K1082" i="9"/>
  <c r="K1117" i="9"/>
  <c r="L991" i="9"/>
  <c r="O1004" i="9"/>
  <c r="K392" i="9"/>
  <c r="L1365" i="9"/>
  <c r="K1373" i="9"/>
  <c r="K676" i="9"/>
  <c r="O732" i="9"/>
  <c r="K739" i="9"/>
  <c r="L886" i="9"/>
  <c r="K899" i="9"/>
  <c r="K901" i="9"/>
  <c r="O908" i="9"/>
  <c r="K922" i="9"/>
  <c r="L951" i="9"/>
  <c r="O958" i="9"/>
  <c r="P958" i="9" s="1"/>
  <c r="O982" i="9"/>
  <c r="O995" i="9"/>
  <c r="K1031" i="9"/>
  <c r="L1031" i="9"/>
  <c r="O1043" i="9"/>
  <c r="K1294" i="9"/>
  <c r="L1285" i="9"/>
  <c r="D31" i="9"/>
  <c r="D32" i="9"/>
  <c r="D33" i="9" s="1"/>
  <c r="D34" i="9"/>
  <c r="D35" i="9" s="1"/>
  <c r="D36" i="9"/>
  <c r="D37" i="9" s="1"/>
  <c r="D38" i="9" s="1"/>
  <c r="D39" i="9" s="1"/>
  <c r="D40" i="9" s="1"/>
  <c r="D41" i="9" s="1"/>
  <c r="D42" i="9" s="1"/>
  <c r="D43" i="9" s="1"/>
  <c r="D44" i="9" s="1"/>
  <c r="D45" i="9" s="1"/>
  <c r="D46" i="9" s="1"/>
  <c r="D47" i="9" s="1"/>
  <c r="D48" i="9" s="1"/>
  <c r="D49" i="9" s="1"/>
  <c r="D50" i="9" s="1"/>
  <c r="D51" i="9" s="1"/>
  <c r="D52" i="9" s="1"/>
  <c r="D53" i="9" s="1"/>
  <c r="D54" i="9" s="1"/>
  <c r="D55" i="9" s="1"/>
  <c r="D56" i="9" s="1"/>
  <c r="D57" i="9" s="1"/>
  <c r="D58" i="9" s="1"/>
  <c r="D59" i="9" s="1"/>
  <c r="D60" i="9" s="1"/>
  <c r="D61" i="9" s="1"/>
  <c r="D62" i="9" s="1"/>
  <c r="D63" i="9" s="1"/>
  <c r="D64" i="9" s="1"/>
  <c r="D65" i="9" s="1"/>
  <c r="D66" i="9" s="1"/>
  <c r="D67" i="9" s="1"/>
  <c r="D68" i="9" s="1"/>
  <c r="D69" i="9" s="1"/>
  <c r="D70" i="9" s="1"/>
  <c r="D71" i="9" s="1"/>
  <c r="D72" i="9" s="1"/>
  <c r="D73" i="9" s="1"/>
  <c r="D74" i="9" s="1"/>
  <c r="D75" i="9" s="1"/>
  <c r="D76" i="9" s="1"/>
  <c r="D77" i="9" s="1"/>
  <c r="D78" i="9" s="1"/>
  <c r="D79" i="9" s="1"/>
  <c r="D80" i="9" s="1"/>
  <c r="D81" i="9" s="1"/>
  <c r="D82" i="9" s="1"/>
  <c r="D83" i="9" s="1"/>
  <c r="D84" i="9" s="1"/>
  <c r="D85" i="9" s="1"/>
  <c r="D86" i="9" s="1"/>
  <c r="D87" i="9" s="1"/>
  <c r="D88" i="9" s="1"/>
  <c r="D89" i="9" s="1"/>
  <c r="D90" i="9" s="1"/>
  <c r="D91" i="9" s="1"/>
  <c r="D92" i="9" s="1"/>
  <c r="D93" i="9" s="1"/>
  <c r="D94" i="9" s="1"/>
  <c r="D95" i="9" s="1"/>
  <c r="D96" i="9" s="1"/>
  <c r="D97" i="9" s="1"/>
  <c r="D98" i="9" s="1"/>
  <c r="D99" i="9" s="1"/>
  <c r="D100" i="9" s="1"/>
  <c r="D101" i="9" s="1"/>
  <c r="D102" i="9" s="1"/>
  <c r="D103" i="9" s="1"/>
  <c r="D104" i="9" s="1"/>
  <c r="D105" i="9" s="1"/>
  <c r="D106" i="9" s="1"/>
  <c r="D107" i="9" s="1"/>
  <c r="D108" i="9" s="1"/>
  <c r="D109" i="9" s="1"/>
  <c r="D110" i="9" s="1"/>
  <c r="D111" i="9" s="1"/>
  <c r="D112" i="9" s="1"/>
  <c r="D113" i="9" s="1"/>
  <c r="D114" i="9" s="1"/>
  <c r="D115" i="9" s="1"/>
  <c r="D116" i="9" s="1"/>
  <c r="D117" i="9" s="1"/>
  <c r="D118" i="9" s="1"/>
  <c r="D119" i="9" s="1"/>
  <c r="D120" i="9" s="1"/>
  <c r="D121" i="9" s="1"/>
  <c r="D122" i="9" s="1"/>
  <c r="D123" i="9" s="1"/>
  <c r="D124" i="9" s="1"/>
  <c r="D125" i="9" s="1"/>
  <c r="D126" i="9" s="1"/>
  <c r="D127" i="9" s="1"/>
  <c r="D128" i="9" s="1"/>
  <c r="D129" i="9" s="1"/>
  <c r="D130" i="9" s="1"/>
  <c r="D131" i="9" s="1"/>
  <c r="D132" i="9" s="1"/>
  <c r="D133" i="9" s="1"/>
  <c r="D134" i="9" s="1"/>
  <c r="D135" i="9" s="1"/>
  <c r="D136" i="9" s="1"/>
  <c r="D137" i="9" s="1"/>
  <c r="D138" i="9" s="1"/>
  <c r="D139" i="9" s="1"/>
  <c r="D140" i="9" s="1"/>
  <c r="D141" i="9" s="1"/>
  <c r="D142" i="9" s="1"/>
  <c r="D143" i="9" s="1"/>
  <c r="D144" i="9" s="1"/>
  <c r="D145" i="9" s="1"/>
  <c r="D146" i="9" s="1"/>
  <c r="D147" i="9" s="1"/>
  <c r="D148" i="9" s="1"/>
  <c r="D149" i="9" s="1"/>
  <c r="D150" i="9" s="1"/>
  <c r="D151" i="9" s="1"/>
  <c r="D152" i="9" s="1"/>
  <c r="D153" i="9" s="1"/>
  <c r="D154" i="9" s="1"/>
  <c r="D155" i="9" s="1"/>
  <c r="D156" i="9" s="1"/>
  <c r="D157" i="9" s="1"/>
  <c r="D158" i="9" s="1"/>
  <c r="D159" i="9" s="1"/>
  <c r="D160" i="9" s="1"/>
  <c r="D161" i="9" s="1"/>
  <c r="D162" i="9" s="1"/>
  <c r="J22" i="47"/>
  <c r="J62" i="47"/>
  <c r="L248" i="9"/>
  <c r="J59" i="47"/>
  <c r="D448" i="9"/>
  <c r="D449" i="9"/>
  <c r="H447" i="9"/>
  <c r="E1016" i="9"/>
  <c r="E1018" i="9"/>
  <c r="E1019" i="9" s="1"/>
  <c r="E1020" i="9" s="1"/>
  <c r="E1021" i="9" s="1"/>
  <c r="E1022" i="9" s="1"/>
  <c r="E1023" i="9" s="1"/>
  <c r="E1024" i="9" s="1"/>
  <c r="E1025" i="9" s="1"/>
  <c r="E1026" i="9" s="1"/>
  <c r="E1027" i="9" s="1"/>
  <c r="E1028" i="9" s="1"/>
  <c r="E1029" i="9" s="1"/>
  <c r="E1030" i="9" s="1"/>
  <c r="E1031" i="9" s="1"/>
  <c r="E1032" i="9" s="1"/>
  <c r="E1033" i="9" s="1"/>
  <c r="E1034" i="9" s="1"/>
  <c r="E1035" i="9" s="1"/>
  <c r="E1036" i="9" s="1"/>
  <c r="E1037" i="9" s="1"/>
  <c r="E1038" i="9" s="1"/>
  <c r="E1039" i="9" s="1"/>
  <c r="E1040" i="9" s="1"/>
  <c r="E1041" i="9" s="1"/>
  <c r="E1042" i="9" s="1"/>
  <c r="E1043" i="9" s="1"/>
  <c r="E1044" i="9" s="1"/>
  <c r="E1045" i="9" s="1"/>
  <c r="E1046" i="9" s="1"/>
  <c r="E1047" i="9" s="1"/>
  <c r="E1048" i="9" s="1"/>
  <c r="E1049" i="9" s="1"/>
  <c r="E1050" i="9" s="1"/>
  <c r="E1051" i="9" s="1"/>
  <c r="E1052" i="9" s="1"/>
  <c r="E1053" i="9" s="1"/>
  <c r="E1054" i="9" s="1"/>
  <c r="E1055" i="9" s="1"/>
  <c r="E1056" i="9" s="1"/>
  <c r="E1057" i="9" s="1"/>
  <c r="E1058" i="9" s="1"/>
  <c r="E1059" i="9" s="1"/>
  <c r="E1060" i="9" s="1"/>
  <c r="E1061" i="9" s="1"/>
  <c r="E1062" i="9" s="1"/>
  <c r="E1063" i="9" s="1"/>
  <c r="E1064" i="9" s="1"/>
  <c r="E1065" i="9" s="1"/>
  <c r="E1066" i="9" s="1"/>
  <c r="E1067" i="9" s="1"/>
  <c r="E1068" i="9" s="1"/>
  <c r="E1069" i="9" s="1"/>
  <c r="E1070" i="9" s="1"/>
  <c r="E1071" i="9" s="1"/>
  <c r="E1072" i="9" s="1"/>
  <c r="E1073" i="9" s="1"/>
  <c r="E1074" i="9" s="1"/>
  <c r="E1075" i="9" s="1"/>
  <c r="E1076" i="9" s="1"/>
  <c r="K248" i="9"/>
  <c r="E20" i="9"/>
  <c r="E21" i="9" s="1"/>
  <c r="E22" i="9"/>
  <c r="E23" i="9" s="1"/>
  <c r="E24" i="9" s="1"/>
  <c r="E25" i="9" s="1"/>
  <c r="C29" i="9"/>
  <c r="C30" i="9" s="1"/>
  <c r="H28" i="9"/>
  <c r="C245" i="9"/>
  <c r="C246" i="9"/>
  <c r="H244" i="9"/>
  <c r="C1396" i="9"/>
  <c r="C1397" i="9" s="1"/>
  <c r="C1398" i="9"/>
  <c r="C1399" i="9" s="1"/>
  <c r="C1400" i="9" s="1"/>
  <c r="C1401" i="9" s="1"/>
  <c r="C1402" i="9" s="1"/>
  <c r="C1403" i="9" s="1"/>
  <c r="C1404" i="9" s="1"/>
  <c r="C1405" i="9" s="1"/>
  <c r="C1406" i="9" s="1"/>
  <c r="C1407" i="9" s="1"/>
  <c r="C1408" i="9" s="1"/>
  <c r="C1409" i="9" s="1"/>
  <c r="C1410" i="9" s="1"/>
  <c r="C1411" i="9" s="1"/>
  <c r="C1412" i="9" s="1"/>
  <c r="C1413" i="9" s="1"/>
  <c r="C1414" i="9" s="1"/>
  <c r="C1415" i="9" s="1"/>
  <c r="C1416" i="9" s="1"/>
  <c r="C1417" i="9" s="1"/>
  <c r="H1395" i="9"/>
  <c r="E671" i="9"/>
  <c r="E672" i="9"/>
  <c r="E673" i="9" s="1"/>
  <c r="E674" i="9" s="1"/>
  <c r="E675" i="9" s="1"/>
  <c r="E676" i="9" s="1"/>
  <c r="E677" i="9" s="1"/>
  <c r="E678" i="9" s="1"/>
  <c r="E679" i="9" s="1"/>
  <c r="E680" i="9" s="1"/>
  <c r="E681" i="9" s="1"/>
  <c r="E682" i="9" s="1"/>
  <c r="E683" i="9" s="1"/>
  <c r="E684" i="9" s="1"/>
  <c r="E685" i="9" s="1"/>
  <c r="E686" i="9" s="1"/>
  <c r="E687" i="9" s="1"/>
  <c r="E688" i="9" s="1"/>
  <c r="E689" i="9" s="1"/>
  <c r="E690" i="9" s="1"/>
  <c r="E691" i="9" s="1"/>
  <c r="E692" i="9" s="1"/>
  <c r="E693" i="9" s="1"/>
  <c r="E694" i="9" s="1"/>
  <c r="E695" i="9" s="1"/>
  <c r="E696" i="9" s="1"/>
  <c r="E697" i="9" s="1"/>
  <c r="E698" i="9" s="1"/>
  <c r="E699" i="9" s="1"/>
  <c r="E700" i="9" s="1"/>
  <c r="E701" i="9" s="1"/>
  <c r="E702" i="9" s="1"/>
  <c r="E703" i="9" s="1"/>
  <c r="E704" i="9" s="1"/>
  <c r="E705" i="9" s="1"/>
  <c r="E706" i="9" s="1"/>
  <c r="E707" i="9" s="1"/>
  <c r="E708" i="9" s="1"/>
  <c r="E709" i="9" s="1"/>
  <c r="E710" i="9" s="1"/>
  <c r="E711" i="9" s="1"/>
  <c r="E712" i="9" s="1"/>
  <c r="E713" i="9" s="1"/>
  <c r="E714" i="9" s="1"/>
  <c r="E715" i="9" s="1"/>
  <c r="E716" i="9" s="1"/>
  <c r="E717" i="9" s="1"/>
  <c r="E718" i="9" s="1"/>
  <c r="E719" i="9" s="1"/>
  <c r="E720" i="9" s="1"/>
  <c r="E721" i="9" s="1"/>
  <c r="E722" i="9" s="1"/>
  <c r="E723" i="9" s="1"/>
  <c r="E724" i="9" s="1"/>
  <c r="E725" i="9" s="1"/>
  <c r="E726" i="9" s="1"/>
  <c r="E727" i="9" s="1"/>
  <c r="E728" i="9" s="1"/>
  <c r="E729" i="9" s="1"/>
  <c r="E730" i="9" s="1"/>
  <c r="E731" i="9" s="1"/>
  <c r="E732" i="9" s="1"/>
  <c r="E733" i="9" s="1"/>
  <c r="E734" i="9" s="1"/>
  <c r="E735" i="9" s="1"/>
  <c r="E736" i="9" s="1"/>
  <c r="E737" i="9" s="1"/>
  <c r="E738" i="9" s="1"/>
  <c r="E739" i="9" s="1"/>
  <c r="E740" i="9" s="1"/>
  <c r="E741" i="9" s="1"/>
  <c r="E742" i="9" s="1"/>
  <c r="E743" i="9" s="1"/>
  <c r="E744" i="9" s="1"/>
  <c r="E745" i="9" s="1"/>
  <c r="E746" i="9" s="1"/>
  <c r="E747" i="9" s="1"/>
  <c r="E748" i="9" s="1"/>
  <c r="E749" i="9" s="1"/>
  <c r="E750" i="9" s="1"/>
  <c r="E751" i="9" s="1"/>
  <c r="E752" i="9" s="1"/>
  <c r="E753" i="9" s="1"/>
  <c r="E754" i="9" s="1"/>
  <c r="E755" i="9" s="1"/>
  <c r="E756" i="9" s="1"/>
  <c r="E757" i="9" s="1"/>
  <c r="E758" i="9" s="1"/>
  <c r="E759" i="9" s="1"/>
  <c r="E760" i="9" s="1"/>
  <c r="E761" i="9" s="1"/>
  <c r="E762" i="9" s="1"/>
  <c r="E763" i="9" s="1"/>
  <c r="E764" i="9" s="1"/>
  <c r="E765" i="9" s="1"/>
  <c r="E766" i="9" s="1"/>
  <c r="E767" i="9" s="1"/>
  <c r="E768" i="9" s="1"/>
  <c r="E769" i="9" s="1"/>
  <c r="E770" i="9" s="1"/>
  <c r="E771" i="9" s="1"/>
  <c r="E772" i="9" s="1"/>
  <c r="E773" i="9" s="1"/>
  <c r="E774" i="9" s="1"/>
  <c r="E775" i="9" s="1"/>
  <c r="E776" i="9" s="1"/>
  <c r="E777" i="9" s="1"/>
  <c r="E778" i="9" s="1"/>
  <c r="E779" i="9" s="1"/>
  <c r="C1445" i="9"/>
  <c r="C1446" i="9" s="1"/>
  <c r="C1447" i="9"/>
  <c r="C1448" i="9" s="1"/>
  <c r="C1449" i="9"/>
  <c r="C1450" i="9" s="1"/>
  <c r="C1451" i="9" s="1"/>
  <c r="C1452" i="9" s="1"/>
  <c r="C1453" i="9" s="1"/>
  <c r="C1454" i="9" s="1"/>
  <c r="C1455" i="9" s="1"/>
  <c r="C1456" i="9" s="1"/>
  <c r="C1457" i="9" s="1"/>
  <c r="C1458" i="9" s="1"/>
  <c r="C1459" i="9" s="1"/>
  <c r="C1460" i="9" s="1"/>
  <c r="C1461" i="9" s="1"/>
  <c r="C1462" i="9" s="1"/>
  <c r="C1463" i="9" s="1"/>
  <c r="C1464" i="9" s="1"/>
  <c r="C1465" i="9" s="1"/>
  <c r="C1466" i="9" s="1"/>
  <c r="C1467" i="9" s="1"/>
  <c r="C1468" i="9" s="1"/>
  <c r="C1469" i="9" s="1"/>
  <c r="C1470" i="9" s="1"/>
  <c r="C1471" i="9" s="1"/>
  <c r="C1472" i="9" s="1"/>
  <c r="C1473" i="9" s="1"/>
  <c r="C1474" i="9" s="1"/>
  <c r="C1475" i="9" s="1"/>
  <c r="C1476" i="9" s="1"/>
  <c r="C1477" i="9" s="1"/>
  <c r="C1478" i="9" s="1"/>
  <c r="C1479" i="9" s="1"/>
  <c r="C1480" i="9" s="1"/>
  <c r="C1481" i="9" s="1"/>
  <c r="C1482" i="9" s="1"/>
  <c r="C1483" i="9" s="1"/>
  <c r="C1484" i="9" s="1"/>
  <c r="C1485" i="9" s="1"/>
  <c r="C1486" i="9" s="1"/>
  <c r="C1487" i="9" s="1"/>
  <c r="C1488" i="9" s="1"/>
  <c r="C1489" i="9" s="1"/>
  <c r="C1490" i="9" s="1"/>
  <c r="C1491" i="9" s="1"/>
  <c r="C1492" i="9" s="1"/>
  <c r="C1493" i="9" s="1"/>
  <c r="C1494" i="9" s="1"/>
  <c r="C1495" i="9" s="1"/>
  <c r="C1496" i="9" s="1"/>
  <c r="C1497" i="9" s="1"/>
  <c r="C1498" i="9" s="1"/>
  <c r="C1499" i="9" s="1"/>
  <c r="C1500" i="9" s="1"/>
  <c r="C1501" i="9" s="1"/>
  <c r="C1502" i="9" s="1"/>
  <c r="C1503" i="9" s="1"/>
  <c r="C1504" i="9" s="1"/>
  <c r="C1505" i="9" s="1"/>
  <c r="C1506" i="9" s="1"/>
  <c r="C1507" i="9" s="1"/>
  <c r="C1508" i="9" s="1"/>
  <c r="C1509" i="9" s="1"/>
  <c r="C1510" i="9" s="1"/>
  <c r="C1511" i="9" s="1"/>
  <c r="C1512" i="9" s="1"/>
  <c r="C1513" i="9" s="1"/>
  <c r="C1514" i="9" s="1"/>
  <c r="C1515" i="9" s="1"/>
  <c r="C1516" i="9" s="1"/>
  <c r="C1517" i="9" s="1"/>
  <c r="C1518" i="9" s="1"/>
  <c r="C1519" i="9" s="1"/>
  <c r="C1520" i="9" s="1"/>
  <c r="C1521" i="9" s="1"/>
  <c r="C1522" i="9" s="1"/>
  <c r="C1523" i="9" s="1"/>
  <c r="C1524" i="9" s="1"/>
  <c r="C1525" i="9" s="1"/>
  <c r="C1526" i="9" s="1"/>
  <c r="C1527" i="9" s="1"/>
  <c r="C1528" i="9" s="1"/>
  <c r="C1529" i="9" s="1"/>
  <c r="C1530" i="9" s="1"/>
  <c r="H1444" i="9"/>
  <c r="L715" i="9"/>
  <c r="L970" i="9"/>
  <c r="H19" i="47"/>
  <c r="M61" i="39"/>
  <c r="M631" i="9" s="1"/>
  <c r="I104" i="39"/>
  <c r="M104" i="39" s="1"/>
  <c r="M105" i="39" s="1"/>
  <c r="M652" i="9" s="1"/>
  <c r="P652" i="9" s="1"/>
  <c r="J127" i="39"/>
  <c r="M622" i="9"/>
  <c r="M186" i="39"/>
  <c r="M693" i="9"/>
  <c r="H104" i="39"/>
  <c r="H107" i="39"/>
  <c r="H110" i="39" s="1"/>
  <c r="H113" i="39" s="1"/>
  <c r="H117" i="39" s="1"/>
  <c r="M643" i="9"/>
  <c r="M95" i="39"/>
  <c r="M644" i="9" s="1"/>
  <c r="M69" i="39"/>
  <c r="M633" i="9"/>
  <c r="M53" i="39"/>
  <c r="M629" i="9" s="1"/>
  <c r="M65" i="39"/>
  <c r="M632" i="9" s="1"/>
  <c r="M101" i="39"/>
  <c r="M102" i="39" s="1"/>
  <c r="M651" i="9" s="1"/>
  <c r="K63" i="39"/>
  <c r="M57" i="39"/>
  <c r="M630" i="9" s="1"/>
  <c r="K59" i="39"/>
  <c r="M59" i="39" s="1"/>
  <c r="K73" i="39"/>
  <c r="M73" i="39"/>
  <c r="M634" i="9" s="1"/>
  <c r="O637" i="9"/>
  <c r="M165" i="39"/>
  <c r="M676" i="9" s="1"/>
  <c r="P676" i="9" s="1"/>
  <c r="P678" i="9" s="1"/>
  <c r="M97" i="39"/>
  <c r="M645" i="9"/>
  <c r="K67" i="39"/>
  <c r="M67" i="39" s="1"/>
  <c r="K631" i="9"/>
  <c r="K644" i="9"/>
  <c r="K651" i="9"/>
  <c r="O676" i="9"/>
  <c r="F148" i="39"/>
  <c r="F150" i="39"/>
  <c r="K670" i="9"/>
  <c r="L666" i="9"/>
  <c r="K668" i="9"/>
  <c r="K621" i="9"/>
  <c r="O691" i="9"/>
  <c r="P691" i="9" s="1"/>
  <c r="O644" i="9"/>
  <c r="K637" i="9"/>
  <c r="L665" i="9"/>
  <c r="O630" i="9"/>
  <c r="O652" i="9"/>
  <c r="O683" i="9"/>
  <c r="L664" i="9"/>
  <c r="O635" i="9"/>
  <c r="L651" i="9"/>
  <c r="L637" i="9"/>
  <c r="L692" i="9"/>
  <c r="L622" i="9"/>
  <c r="O665" i="9"/>
  <c r="O669" i="9"/>
  <c r="O655" i="9"/>
  <c r="L629" i="9"/>
  <c r="L682" i="9"/>
  <c r="O657" i="9"/>
  <c r="K669" i="9"/>
  <c r="K622" i="9"/>
  <c r="K654" i="9"/>
  <c r="O643" i="9"/>
  <c r="K692" i="9"/>
  <c r="K665" i="9"/>
  <c r="O645" i="9"/>
  <c r="P645" i="9" s="1"/>
  <c r="K657" i="9"/>
  <c r="K645" i="9"/>
  <c r="L669" i="9"/>
  <c r="L630" i="9"/>
  <c r="G169" i="39"/>
  <c r="J169" i="39"/>
  <c r="J170" i="39"/>
  <c r="M170" i="39" s="1"/>
  <c r="K75" i="39"/>
  <c r="M75" i="39" s="1"/>
  <c r="M63" i="39"/>
  <c r="I130" i="39"/>
  <c r="M130" i="39"/>
  <c r="H120" i="39"/>
  <c r="I129" i="39"/>
  <c r="I140" i="39" s="1"/>
  <c r="H150" i="39" s="1"/>
  <c r="I120" i="39"/>
  <c r="J137" i="39"/>
  <c r="I148" i="39" s="1"/>
  <c r="M120" i="39"/>
  <c r="M121" i="39"/>
  <c r="M657" i="9"/>
  <c r="O248" i="9"/>
  <c r="M235" i="31"/>
  <c r="M1226" i="9" s="1"/>
  <c r="P1226" i="9" s="1"/>
  <c r="M221" i="31"/>
  <c r="J241" i="31"/>
  <c r="M220" i="31"/>
  <c r="K239" i="31" s="1"/>
  <c r="J239" i="31"/>
  <c r="K249" i="31"/>
  <c r="K245" i="31"/>
  <c r="M245" i="31" s="1"/>
  <c r="M1230" i="9" s="1"/>
  <c r="P1230" i="9" s="1"/>
  <c r="O1209" i="9"/>
  <c r="P1209" i="9"/>
  <c r="O1252" i="9"/>
  <c r="L1190" i="9"/>
  <c r="K1205" i="9"/>
  <c r="L1232" i="9"/>
  <c r="K1189" i="9"/>
  <c r="O1189" i="9"/>
  <c r="L1209" i="9"/>
  <c r="O1234" i="9"/>
  <c r="L833" i="9"/>
  <c r="O833" i="9"/>
  <c r="K833" i="9"/>
  <c r="L837" i="9"/>
  <c r="L212" i="9"/>
  <c r="K212" i="9"/>
  <c r="K208" i="9"/>
  <c r="L208" i="9"/>
  <c r="O724" i="9"/>
  <c r="L724" i="9"/>
  <c r="O762" i="9"/>
  <c r="L762" i="9"/>
  <c r="K923" i="9"/>
  <c r="L923" i="9"/>
  <c r="O1022" i="9"/>
  <c r="K1022" i="9"/>
  <c r="K1120" i="9"/>
  <c r="O1120" i="9"/>
  <c r="P1120" i="9" s="1"/>
  <c r="L1120" i="9"/>
  <c r="L643" i="9"/>
  <c r="K643" i="9"/>
  <c r="K701" i="9"/>
  <c r="O714" i="9"/>
  <c r="K714" i="9"/>
  <c r="O718" i="9"/>
  <c r="O722" i="9"/>
  <c r="K722" i="9"/>
  <c r="L722" i="9"/>
  <c r="O733" i="9"/>
  <c r="O748" i="9"/>
  <c r="L748" i="9"/>
  <c r="O898" i="9"/>
  <c r="P898" i="9" s="1"/>
  <c r="L957" i="9"/>
  <c r="K957" i="9"/>
  <c r="O1157" i="9"/>
  <c r="P1157" i="9" s="1"/>
  <c r="K1171" i="9"/>
  <c r="L1283" i="9"/>
  <c r="K1363" i="9"/>
  <c r="O1363" i="9"/>
  <c r="P1363" i="9" s="1"/>
  <c r="O1371" i="9"/>
  <c r="P1371" i="9" s="1"/>
  <c r="K1371" i="9"/>
  <c r="O403" i="9"/>
  <c r="K403" i="9"/>
  <c r="L935" i="9"/>
  <c r="K1036" i="9"/>
  <c r="K1032" i="9"/>
  <c r="O923" i="9"/>
  <c r="K981" i="9"/>
  <c r="K748" i="9"/>
  <c r="L1112" i="9"/>
  <c r="O180" i="9"/>
  <c r="L1036" i="9"/>
  <c r="K1130" i="9"/>
  <c r="O1062" i="9"/>
  <c r="P1062" i="9" s="1"/>
  <c r="L1363" i="9"/>
  <c r="O1094" i="9"/>
  <c r="P1094" i="9" s="1"/>
  <c r="L1103" i="9"/>
  <c r="L180" i="9"/>
  <c r="K1012" i="9"/>
  <c r="K1279" i="9"/>
  <c r="K424" i="9"/>
  <c r="K1209" i="9"/>
  <c r="O1063" i="9"/>
  <c r="O1097" i="9"/>
  <c r="K902" i="9"/>
  <c r="O990" i="9"/>
  <c r="O1279" i="9"/>
  <c r="O1359" i="9"/>
  <c r="P1359" i="9" s="1"/>
  <c r="K732" i="9"/>
  <c r="K970" i="9"/>
  <c r="L1035" i="9"/>
  <c r="L1243" i="9"/>
  <c r="K1252" i="9"/>
  <c r="K1261" i="9"/>
  <c r="L1373" i="9"/>
  <c r="K391" i="9"/>
  <c r="L404" i="9"/>
  <c r="O394" i="9"/>
  <c r="P394" i="9" s="1"/>
  <c r="K426" i="9"/>
  <c r="O622" i="9"/>
  <c r="L693" i="9"/>
  <c r="O670" i="9"/>
  <c r="P670" i="9" s="1"/>
  <c r="L382" i="9"/>
  <c r="K630" i="9"/>
  <c r="L663" i="9"/>
  <c r="L656" i="9"/>
  <c r="L689" i="9"/>
  <c r="K918" i="9"/>
  <c r="K939" i="9"/>
  <c r="O988" i="9"/>
  <c r="L1064" i="9"/>
  <c r="K1092" i="9"/>
  <c r="K1281" i="9"/>
  <c r="K1316" i="9"/>
  <c r="L395" i="9"/>
  <c r="L1263" i="9"/>
  <c r="L1342" i="9"/>
  <c r="K919" i="9"/>
  <c r="K1195" i="9"/>
  <c r="L213" i="9"/>
  <c r="O213" i="9"/>
  <c r="K213" i="9"/>
  <c r="L423" i="9"/>
  <c r="O423" i="9"/>
  <c r="P423" i="9"/>
  <c r="K423" i="9"/>
  <c r="K636" i="9"/>
  <c r="L636" i="9"/>
  <c r="O636" i="9"/>
  <c r="O667" i="9"/>
  <c r="K667" i="9"/>
  <c r="K725" i="9"/>
  <c r="O725" i="9"/>
  <c r="L725" i="9"/>
  <c r="L761" i="9"/>
  <c r="K761" i="9"/>
  <c r="O761" i="9"/>
  <c r="P761" i="9" s="1"/>
  <c r="L758" i="9"/>
  <c r="K758" i="9"/>
  <c r="O758" i="9"/>
  <c r="P758" i="9"/>
  <c r="L667" i="9"/>
  <c r="K394" i="9"/>
  <c r="O382" i="9"/>
  <c r="P382" i="9" s="1"/>
  <c r="O715" i="9"/>
  <c r="K757" i="9"/>
  <c r="K909" i="9"/>
  <c r="O909" i="9"/>
  <c r="O1295" i="9"/>
  <c r="L1372" i="9"/>
  <c r="K1372" i="9"/>
  <c r="L427" i="9"/>
  <c r="K427" i="9"/>
  <c r="K1064" i="9"/>
  <c r="O391" i="9"/>
  <c r="L391" i="9"/>
  <c r="K404" i="9"/>
  <c r="K703" i="9"/>
  <c r="L703" i="9"/>
  <c r="K712" i="9"/>
  <c r="L712" i="9"/>
  <c r="O716" i="9"/>
  <c r="L720" i="9"/>
  <c r="O720" i="9"/>
  <c r="P720" i="9"/>
  <c r="L731" i="9"/>
  <c r="O731" i="9"/>
  <c r="K740" i="9"/>
  <c r="L750" i="9"/>
  <c r="O750" i="9"/>
  <c r="P750" i="9" s="1"/>
  <c r="K750" i="9"/>
  <c r="O754" i="9"/>
  <c r="O937" i="9"/>
  <c r="L937" i="9"/>
  <c r="L972" i="9"/>
  <c r="K972" i="9"/>
  <c r="L996" i="9"/>
  <c r="O1005" i="9"/>
  <c r="L1005" i="9"/>
  <c r="L1017" i="9"/>
  <c r="L1034" i="9"/>
  <c r="K1034" i="9"/>
  <c r="O1072" i="9"/>
  <c r="P1072" i="9" s="1"/>
  <c r="L1096" i="9"/>
  <c r="O1096" i="9"/>
  <c r="L1132" i="9"/>
  <c r="L1159" i="9"/>
  <c r="K1159" i="9"/>
  <c r="L1167" i="9"/>
  <c r="K1178" i="9"/>
  <c r="O1178" i="9"/>
  <c r="P1178" i="9" s="1"/>
  <c r="L433" i="9"/>
  <c r="O433" i="9"/>
  <c r="P433" i="9" s="1"/>
  <c r="K1180" i="9"/>
  <c r="L1180" i="9"/>
  <c r="O1328" i="9"/>
  <c r="L1328" i="9"/>
  <c r="K1328" i="9"/>
  <c r="L440" i="9"/>
  <c r="K440" i="9"/>
  <c r="O719" i="9"/>
  <c r="K719" i="9"/>
  <c r="O892" i="9"/>
  <c r="L892" i="9"/>
  <c r="K900" i="9"/>
  <c r="K992" i="9"/>
  <c r="O992" i="9"/>
  <c r="O1013" i="9"/>
  <c r="L1013" i="9"/>
  <c r="K1013" i="9"/>
  <c r="K1357" i="9"/>
  <c r="O634" i="9"/>
  <c r="O656" i="9"/>
  <c r="K656" i="9"/>
  <c r="L719" i="9"/>
  <c r="K1030" i="9"/>
  <c r="L1172" i="9"/>
  <c r="L1030" i="9"/>
  <c r="L936" i="9"/>
  <c r="K702" i="9"/>
  <c r="O1180" i="9"/>
  <c r="P1180" i="9" s="1"/>
  <c r="O427" i="9"/>
  <c r="P427" i="9"/>
  <c r="K896" i="9"/>
  <c r="K395" i="9"/>
  <c r="O1372" i="9"/>
  <c r="P1372" i="9" s="1"/>
  <c r="O918" i="9"/>
  <c r="K1051" i="9"/>
  <c r="O426" i="9"/>
  <c r="P426" i="9"/>
  <c r="O404" i="9"/>
  <c r="K775" i="9"/>
  <c r="L757" i="9"/>
  <c r="K1037" i="9"/>
  <c r="O712" i="9"/>
  <c r="K1088" i="9"/>
  <c r="O1095" i="9"/>
  <c r="P1095" i="9" s="1"/>
  <c r="K1095" i="9"/>
  <c r="K1104" i="9"/>
  <c r="L1104" i="9"/>
  <c r="L1115" i="9"/>
  <c r="O1115" i="9"/>
  <c r="P1115" i="9" s="1"/>
  <c r="L1140" i="9"/>
  <c r="O1140" i="9"/>
  <c r="O936" i="9"/>
  <c r="P936" i="9"/>
  <c r="L775" i="9"/>
  <c r="K958" i="9"/>
  <c r="L753" i="9"/>
  <c r="L1149" i="9"/>
  <c r="L900" i="9"/>
  <c r="O1364" i="9"/>
  <c r="P1364" i="9" s="1"/>
  <c r="L939" i="9"/>
  <c r="O440" i="9"/>
  <c r="P440" i="9" s="1"/>
  <c r="P442" i="9" s="1"/>
  <c r="K1115" i="9"/>
  <c r="K1342" i="9"/>
  <c r="O1037" i="9"/>
  <c r="P1037" i="9" s="1"/>
  <c r="K1360" i="9"/>
  <c r="L896" i="9"/>
  <c r="K945" i="9"/>
  <c r="K749" i="9"/>
  <c r="L749" i="9"/>
  <c r="O928" i="9"/>
  <c r="L928" i="9"/>
  <c r="K1055" i="9"/>
  <c r="L1055" i="9"/>
  <c r="L1158" i="9"/>
  <c r="K1158" i="9"/>
  <c r="K1172" i="9"/>
  <c r="O1149" i="9"/>
  <c r="K995" i="9"/>
  <c r="O723" i="9"/>
  <c r="O1104" i="9"/>
  <c r="P1104" i="9" s="1"/>
  <c r="K382" i="9"/>
  <c r="K988" i="9"/>
  <c r="L670" i="9"/>
  <c r="L1281" i="9"/>
  <c r="L1316" i="9"/>
  <c r="K433" i="9"/>
  <c r="O773" i="9"/>
  <c r="P773" i="9"/>
  <c r="K1140" i="9"/>
  <c r="O776" i="9"/>
  <c r="P776" i="9"/>
  <c r="K934" i="9"/>
  <c r="O934" i="9"/>
  <c r="P934" i="9" s="1"/>
  <c r="L1056" i="9"/>
  <c r="L1089" i="9"/>
  <c r="O1205" i="9"/>
  <c r="P1205" i="9" s="1"/>
  <c r="K1212" i="9"/>
  <c r="O1232" i="9"/>
  <c r="K1278" i="9"/>
  <c r="O1301" i="9"/>
  <c r="P1301" i="9" s="1"/>
  <c r="L1322" i="9"/>
  <c r="L388" i="9"/>
  <c r="L1111" i="9"/>
  <c r="O1111" i="9"/>
  <c r="P1111" i="9" s="1"/>
  <c r="L1151" i="9"/>
  <c r="K1151" i="9"/>
  <c r="O1151" i="9"/>
  <c r="O1365" i="9"/>
  <c r="P1365" i="9" s="1"/>
  <c r="K1365" i="9"/>
  <c r="O837" i="9"/>
  <c r="P837" i="9"/>
  <c r="L831" i="9"/>
  <c r="O1230" i="9"/>
  <c r="K1242" i="9"/>
  <c r="L1188" i="9"/>
  <c r="K1204" i="9"/>
  <c r="O1207" i="9"/>
  <c r="L1220" i="9"/>
  <c r="L1229" i="9"/>
  <c r="L1241" i="9"/>
  <c r="K1250" i="9"/>
  <c r="K1254" i="9"/>
  <c r="O1226" i="9"/>
  <c r="O1242" i="9"/>
  <c r="P1242" i="9" s="1"/>
  <c r="L1255" i="9"/>
  <c r="O1196" i="9"/>
  <c r="P1196" i="9" s="1"/>
  <c r="O1211" i="9"/>
  <c r="P1211" i="9" s="1"/>
  <c r="L1231" i="9"/>
  <c r="L1208" i="9"/>
  <c r="K1230" i="9"/>
  <c r="L1242" i="9"/>
  <c r="K1196" i="9"/>
  <c r="K1193" i="9"/>
  <c r="K1255" i="9"/>
  <c r="K1232" i="9"/>
  <c r="O1193" i="9"/>
  <c r="P1193" i="9"/>
  <c r="L1205" i="9"/>
  <c r="L1213" i="9"/>
  <c r="K1233" i="9"/>
  <c r="O1231" i="9"/>
  <c r="O1190" i="9"/>
  <c r="K1208" i="9"/>
  <c r="L1226" i="9"/>
  <c r="L1230" i="9"/>
  <c r="O1251" i="9"/>
  <c r="O1255" i="9"/>
  <c r="K1207" i="9"/>
  <c r="L1233" i="9"/>
  <c r="K1192" i="9"/>
  <c r="O1220" i="9"/>
  <c r="K1263" i="9"/>
  <c r="L1196" i="9"/>
  <c r="K1190" i="9"/>
  <c r="L1228" i="9"/>
  <c r="O1214" i="9"/>
  <c r="P1214" i="9" s="1"/>
  <c r="K1251" i="9"/>
  <c r="K1241" i="9"/>
  <c r="O1263" i="9"/>
  <c r="P1263" i="9" s="1"/>
  <c r="K1226" i="9"/>
  <c r="L1251" i="9"/>
  <c r="K1203" i="9"/>
  <c r="K1206" i="9"/>
  <c r="L1210" i="9"/>
  <c r="K1228" i="9"/>
  <c r="O1240" i="9"/>
  <c r="O1244" i="9"/>
  <c r="P1244" i="9" s="1"/>
  <c r="K1253" i="9"/>
  <c r="O1262" i="9"/>
  <c r="P1262" i="9"/>
  <c r="O1213" i="9"/>
  <c r="O1233" i="9"/>
  <c r="K1191" i="9"/>
  <c r="L1192" i="9"/>
  <c r="O1188" i="9"/>
  <c r="K1220" i="9"/>
  <c r="L1194" i="9"/>
  <c r="L1204" i="9"/>
  <c r="O1208" i="9"/>
  <c r="K1188" i="9"/>
  <c r="O1241" i="9"/>
  <c r="P1241" i="9" s="1"/>
  <c r="L1203" i="9"/>
  <c r="L1240" i="9"/>
  <c r="L1262" i="9"/>
  <c r="L1191" i="9"/>
  <c r="O1203" i="9"/>
  <c r="O1192" i="9"/>
  <c r="P1192" i="9" s="1"/>
  <c r="L1244" i="9"/>
  <c r="K1244" i="9"/>
  <c r="O1210" i="9"/>
  <c r="P1210" i="9" s="1"/>
  <c r="L1195" i="9"/>
  <c r="O1253" i="9"/>
  <c r="P1253" i="9" s="1"/>
  <c r="L1206" i="9"/>
  <c r="K1229" i="9"/>
  <c r="O1204" i="9"/>
  <c r="P1204" i="9" s="1"/>
  <c r="K1211" i="9"/>
  <c r="K1240" i="9"/>
  <c r="O1250" i="9"/>
  <c r="L1207" i="9"/>
  <c r="K1213" i="9"/>
  <c r="L1254" i="9"/>
  <c r="O1194" i="9"/>
  <c r="P1194" i="9" s="1"/>
  <c r="K1210" i="9"/>
  <c r="O1254" i="9"/>
  <c r="P1254" i="9" s="1"/>
  <c r="L1250" i="9"/>
  <c r="O1191" i="9"/>
  <c r="L1214" i="9"/>
  <c r="O1206" i="9"/>
  <c r="P1206" i="9" s="1"/>
  <c r="K1262" i="9"/>
  <c r="L1211" i="9"/>
  <c r="K1194" i="9"/>
  <c r="O1229" i="9"/>
  <c r="O1195" i="9"/>
  <c r="P1195" i="9" s="1"/>
  <c r="L1253" i="9"/>
  <c r="K1231" i="9"/>
  <c r="O1228" i="9"/>
  <c r="O806" i="9"/>
  <c r="K785" i="9"/>
  <c r="O794" i="9"/>
  <c r="K808" i="9"/>
  <c r="O812" i="9"/>
  <c r="P812" i="9" s="1"/>
  <c r="L866" i="9"/>
  <c r="L794" i="9"/>
  <c r="K831" i="9"/>
  <c r="K794" i="9"/>
  <c r="K846" i="9"/>
  <c r="O855" i="9"/>
  <c r="O864" i="9"/>
  <c r="O868" i="9"/>
  <c r="P868" i="9" s="1"/>
  <c r="E256" i="26"/>
  <c r="F149" i="26"/>
  <c r="H208" i="26"/>
  <c r="J148" i="26"/>
  <c r="H95" i="26"/>
  <c r="H123" i="26" s="1"/>
  <c r="H139" i="26"/>
  <c r="H199" i="26"/>
  <c r="J199" i="26" s="1"/>
  <c r="H179" i="26" s="1"/>
  <c r="J179" i="26" s="1"/>
  <c r="H159" i="26" s="1"/>
  <c r="J159" i="26" s="1"/>
  <c r="L803" i="9"/>
  <c r="K251" i="26"/>
  <c r="H101" i="26"/>
  <c r="M101" i="26" s="1"/>
  <c r="K193" i="26"/>
  <c r="K173" i="26" s="1"/>
  <c r="K153" i="26" s="1"/>
  <c r="G139" i="26"/>
  <c r="G199" i="26" s="1"/>
  <c r="I199" i="26" s="1"/>
  <c r="M69" i="26"/>
  <c r="K318" i="26"/>
  <c r="M318" i="26" s="1"/>
  <c r="H144" i="26"/>
  <c r="H204" i="26"/>
  <c r="J204" i="26" s="1"/>
  <c r="H184" i="26" s="1"/>
  <c r="J184" i="26" s="1"/>
  <c r="H164" i="26" s="1"/>
  <c r="J164" i="26" s="1"/>
  <c r="I205" i="26"/>
  <c r="G185" i="26" s="1"/>
  <c r="I185" i="26" s="1"/>
  <c r="G165" i="26" s="1"/>
  <c r="J121" i="26"/>
  <c r="J339" i="26"/>
  <c r="M87" i="26"/>
  <c r="K185" i="26"/>
  <c r="K165" i="26" s="1"/>
  <c r="I145" i="26"/>
  <c r="K319" i="26"/>
  <c r="M319" i="26" s="1"/>
  <c r="E253" i="26"/>
  <c r="I253" i="26" s="1"/>
  <c r="H147" i="26"/>
  <c r="H207" i="26"/>
  <c r="M50" i="26"/>
  <c r="M785" i="9" s="1"/>
  <c r="M35" i="26"/>
  <c r="H255" i="26"/>
  <c r="G148" i="26"/>
  <c r="G208" i="26"/>
  <c r="J338" i="26"/>
  <c r="M67" i="26"/>
  <c r="M84" i="26"/>
  <c r="J399" i="26"/>
  <c r="F252" i="26"/>
  <c r="M30" i="26"/>
  <c r="L808" i="9"/>
  <c r="L823" i="9"/>
  <c r="O847" i="9"/>
  <c r="P847" i="9"/>
  <c r="L856" i="9"/>
  <c r="L846" i="9"/>
  <c r="L865" i="9"/>
  <c r="O834" i="9"/>
  <c r="L839" i="9"/>
  <c r="L836" i="9"/>
  <c r="K874" i="9"/>
  <c r="K813" i="9"/>
  <c r="O824" i="9"/>
  <c r="O811" i="9"/>
  <c r="L838" i="9"/>
  <c r="K803" i="9"/>
  <c r="L855" i="9"/>
  <c r="L785" i="9"/>
  <c r="O803" i="9"/>
  <c r="O808" i="9"/>
  <c r="K812" i="9"/>
  <c r="L835" i="9"/>
  <c r="K864" i="9"/>
  <c r="L814" i="9"/>
  <c r="O809" i="9"/>
  <c r="I322" i="26"/>
  <c r="I295" i="26"/>
  <c r="I323" i="26"/>
  <c r="I147" i="26"/>
  <c r="K207" i="26"/>
  <c r="J207" i="26"/>
  <c r="H187" i="26" s="1"/>
  <c r="J187" i="26" s="1"/>
  <c r="H167" i="26" s="1"/>
  <c r="K204" i="26"/>
  <c r="K184" i="26"/>
  <c r="K164" i="26"/>
  <c r="F173" i="26"/>
  <c r="F153" i="26"/>
  <c r="M100" i="26"/>
  <c r="H128" i="26"/>
  <c r="F147" i="26" s="1"/>
  <c r="M68" i="26"/>
  <c r="H81" i="26"/>
  <c r="H94" i="26"/>
  <c r="M94" i="26"/>
  <c r="I202" i="26"/>
  <c r="G182" i="26" s="1"/>
  <c r="I182" i="26" s="1"/>
  <c r="G162" i="26" s="1"/>
  <c r="I162" i="26" s="1"/>
  <c r="K320" i="26"/>
  <c r="M320" i="26"/>
  <c r="L822" i="9"/>
  <c r="K822" i="9"/>
  <c r="H149" i="26"/>
  <c r="G256" i="26"/>
  <c r="M256" i="26" s="1"/>
  <c r="J295" i="26"/>
  <c r="J323" i="26" s="1"/>
  <c r="J322" i="26"/>
  <c r="F166" i="26"/>
  <c r="F206" i="26" s="1"/>
  <c r="M97" i="26"/>
  <c r="H125" i="26"/>
  <c r="J333" i="26"/>
  <c r="H134" i="26"/>
  <c r="H194" i="26" s="1"/>
  <c r="J194" i="26" s="1"/>
  <c r="H174" i="26" s="1"/>
  <c r="G240" i="26"/>
  <c r="J391" i="26"/>
  <c r="H93" i="26"/>
  <c r="M93" i="26"/>
  <c r="M80" i="26"/>
  <c r="K200" i="26"/>
  <c r="I200" i="26"/>
  <c r="G180" i="26"/>
  <c r="J147" i="26"/>
  <c r="K179" i="26"/>
  <c r="K159" i="26"/>
  <c r="M72" i="26"/>
  <c r="H85" i="26"/>
  <c r="H98" i="26"/>
  <c r="F134" i="26"/>
  <c r="F154" i="26" s="1"/>
  <c r="H116" i="26"/>
  <c r="E240" i="26"/>
  <c r="H129" i="26"/>
  <c r="F148" i="26"/>
  <c r="K198" i="26"/>
  <c r="K178" i="26"/>
  <c r="K158" i="26"/>
  <c r="K312" i="26"/>
  <c r="M312" i="26" s="1"/>
  <c r="G252" i="26"/>
  <c r="H145" i="26"/>
  <c r="H205" i="26" s="1"/>
  <c r="J205" i="26" s="1"/>
  <c r="H185" i="26" s="1"/>
  <c r="J185" i="26" s="1"/>
  <c r="H165" i="26" s="1"/>
  <c r="J165" i="26" s="1"/>
  <c r="K182" i="26"/>
  <c r="K162" i="26" s="1"/>
  <c r="H193" i="26"/>
  <c r="J193" i="26"/>
  <c r="H173" i="26" s="1"/>
  <c r="J133" i="26"/>
  <c r="K186" i="26"/>
  <c r="K809" i="9"/>
  <c r="I140" i="26"/>
  <c r="J116" i="26"/>
  <c r="K206" i="26"/>
  <c r="J206" i="26" s="1"/>
  <c r="H186" i="26" s="1"/>
  <c r="J186" i="26" s="1"/>
  <c r="H166" i="26" s="1"/>
  <c r="J166" i="26" s="1"/>
  <c r="K209" i="26"/>
  <c r="K189" i="26"/>
  <c r="G209" i="26"/>
  <c r="H333" i="26"/>
  <c r="I146" i="26"/>
  <c r="M146" i="26" s="1"/>
  <c r="G206" i="26"/>
  <c r="G248" i="26"/>
  <c r="J146" i="26"/>
  <c r="K175" i="26"/>
  <c r="K155" i="26"/>
  <c r="M99" i="26"/>
  <c r="G246" i="26"/>
  <c r="I397" i="26"/>
  <c r="F246" i="26"/>
  <c r="G144" i="26"/>
  <c r="I144" i="26" s="1"/>
  <c r="M144" i="26" s="1"/>
  <c r="O791" i="9"/>
  <c r="O800" i="9"/>
  <c r="K804" i="9"/>
  <c r="L809" i="9"/>
  <c r="O877" i="9"/>
  <c r="H256" i="26"/>
  <c r="K816" i="9"/>
  <c r="L830" i="9"/>
  <c r="L854" i="9"/>
  <c r="L863" i="9"/>
  <c r="K867" i="9"/>
  <c r="K876" i="9"/>
  <c r="K815" i="9"/>
  <c r="I396" i="26"/>
  <c r="I338" i="26"/>
  <c r="M338" i="26" s="1"/>
  <c r="O831" i="9"/>
  <c r="L791" i="9"/>
  <c r="L813" i="9"/>
  <c r="O862" i="9"/>
  <c r="L875" i="9"/>
  <c r="L834" i="9"/>
  <c r="L804" i="9"/>
  <c r="K823" i="9"/>
  <c r="L877" i="9"/>
  <c r="O814" i="9"/>
  <c r="L847" i="9"/>
  <c r="O856" i="9"/>
  <c r="O804" i="9"/>
  <c r="L793" i="9"/>
  <c r="K802" i="9"/>
  <c r="K807" i="9"/>
  <c r="L811" i="9"/>
  <c r="L832" i="9"/>
  <c r="K814" i="9"/>
  <c r="K848" i="9"/>
  <c r="K791" i="9"/>
  <c r="O838" i="9"/>
  <c r="P838" i="9"/>
  <c r="K847" i="9"/>
  <c r="L800" i="9"/>
  <c r="K800" i="9"/>
  <c r="L806" i="9"/>
  <c r="O836" i="9"/>
  <c r="P836" i="9" s="1"/>
  <c r="K824" i="9"/>
  <c r="K866" i="9"/>
  <c r="O835" i="9"/>
  <c r="P835" i="9" s="1"/>
  <c r="K838" i="9"/>
  <c r="K877" i="9"/>
  <c r="O823" i="9"/>
  <c r="K856" i="9"/>
  <c r="K865" i="9"/>
  <c r="O874" i="9"/>
  <c r="P874" i="9" s="1"/>
  <c r="O866" i="9"/>
  <c r="K862" i="9"/>
  <c r="L801" i="9"/>
  <c r="K840" i="9"/>
  <c r="O813" i="9"/>
  <c r="L848" i="9"/>
  <c r="K875" i="9"/>
  <c r="O822" i="9"/>
  <c r="L792" i="9"/>
  <c r="K805" i="9"/>
  <c r="O810" i="9"/>
  <c r="K784" i="9"/>
  <c r="L862" i="9"/>
  <c r="O848" i="9"/>
  <c r="P848" i="9" s="1"/>
  <c r="O832" i="9"/>
  <c r="L868" i="9"/>
  <c r="O875" i="9"/>
  <c r="P875" i="9" s="1"/>
  <c r="L864" i="9"/>
  <c r="K806" i="9"/>
  <c r="K839" i="9"/>
  <c r="K837" i="9"/>
  <c r="O807" i="9"/>
  <c r="L824" i="9"/>
  <c r="O815" i="9"/>
  <c r="L812" i="9"/>
  <c r="O816" i="9"/>
  <c r="L876" i="9"/>
  <c r="O830" i="9"/>
  <c r="O840" i="9"/>
  <c r="P840" i="9" s="1"/>
  <c r="K792" i="9"/>
  <c r="K801" i="9"/>
  <c r="K811" i="9"/>
  <c r="K854" i="9"/>
  <c r="L867" i="9"/>
  <c r="K830" i="9"/>
  <c r="K868" i="9"/>
  <c r="O865" i="9"/>
  <c r="L815" i="9"/>
  <c r="L816" i="9"/>
  <c r="L874" i="9"/>
  <c r="K836" i="9"/>
  <c r="L840" i="9"/>
  <c r="K810" i="9"/>
  <c r="L810" i="9"/>
  <c r="O839" i="9"/>
  <c r="P839" i="9" s="1"/>
  <c r="K834" i="9"/>
  <c r="O805" i="9"/>
  <c r="O867" i="9"/>
  <c r="O863" i="9"/>
  <c r="P863" i="9" s="1"/>
  <c r="K793" i="9"/>
  <c r="K863" i="9"/>
  <c r="O801" i="9"/>
  <c r="L807" i="9"/>
  <c r="L802" i="9"/>
  <c r="O876" i="9"/>
  <c r="P876" i="9" s="1"/>
  <c r="K855" i="9"/>
  <c r="O846" i="9"/>
  <c r="P846" i="9" s="1"/>
  <c r="O785" i="9"/>
  <c r="K832" i="9"/>
  <c r="L805" i="9"/>
  <c r="O792" i="9"/>
  <c r="O784" i="9"/>
  <c r="K835" i="9"/>
  <c r="O854" i="9"/>
  <c r="O793" i="9"/>
  <c r="L784" i="9"/>
  <c r="O802" i="9"/>
  <c r="M160" i="7"/>
  <c r="M239" i="7"/>
  <c r="M360" i="7"/>
  <c r="M156" i="7"/>
  <c r="M166" i="7"/>
  <c r="M162" i="7"/>
  <c r="K141" i="7"/>
  <c r="K151" i="7"/>
  <c r="M165" i="7"/>
  <c r="M391" i="7"/>
  <c r="M534" i="9"/>
  <c r="I252" i="7"/>
  <c r="M237" i="7"/>
  <c r="M381" i="7"/>
  <c r="M383" i="7"/>
  <c r="M353" i="7"/>
  <c r="O474" i="9"/>
  <c r="K452" i="9"/>
  <c r="L501" i="9"/>
  <c r="K469" i="9"/>
  <c r="O465" i="9"/>
  <c r="M59" i="7"/>
  <c r="K73" i="7"/>
  <c r="M238" i="7"/>
  <c r="I251" i="7"/>
  <c r="H116" i="7"/>
  <c r="I169" i="7"/>
  <c r="K169" i="7"/>
  <c r="I179" i="7"/>
  <c r="K179" i="7" s="1"/>
  <c r="M54" i="7"/>
  <c r="K68" i="7"/>
  <c r="K113" i="7" s="1"/>
  <c r="I171" i="7"/>
  <c r="I176" i="7"/>
  <c r="K176" i="7"/>
  <c r="I175" i="7"/>
  <c r="K175" i="7" s="1"/>
  <c r="I173" i="7"/>
  <c r="I174" i="7"/>
  <c r="K174" i="7"/>
  <c r="I191" i="7" s="1"/>
  <c r="I178" i="7"/>
  <c r="K178" i="7"/>
  <c r="M55" i="7"/>
  <c r="K69" i="7" s="1"/>
  <c r="I177" i="7"/>
  <c r="K177" i="7"/>
  <c r="M57" i="7"/>
  <c r="K71" i="7" s="1"/>
  <c r="M60" i="7"/>
  <c r="K74" i="7"/>
  <c r="M299" i="7"/>
  <c r="M496" i="9" s="1"/>
  <c r="I254" i="7"/>
  <c r="M241" i="7"/>
  <c r="M58" i="7"/>
  <c r="K72" i="7" s="1"/>
  <c r="M56" i="7"/>
  <c r="K70" i="7"/>
  <c r="I181" i="7"/>
  <c r="K181" i="7" s="1"/>
  <c r="L64" i="7"/>
  <c r="M64" i="7"/>
  <c r="K78" i="7"/>
  <c r="J78" i="7" s="1"/>
  <c r="M242" i="7"/>
  <c r="O510" i="9"/>
  <c r="P510" i="9" s="1"/>
  <c r="M240" i="7"/>
  <c r="K131" i="7"/>
  <c r="L500" i="9"/>
  <c r="K519" i="9"/>
  <c r="O466" i="9"/>
  <c r="K462" i="9"/>
  <c r="O513" i="9"/>
  <c r="P513" i="9" s="1"/>
  <c r="K535" i="9"/>
  <c r="O544" i="9"/>
  <c r="P544" i="9"/>
  <c r="O541" i="9"/>
  <c r="O470" i="9"/>
  <c r="P470" i="9" s="1"/>
  <c r="L497" i="9"/>
  <c r="L467" i="9"/>
  <c r="L463" i="9"/>
  <c r="K459" i="9"/>
  <c r="O473" i="9"/>
  <c r="O483" i="9"/>
  <c r="O492" i="9"/>
  <c r="L461" i="9"/>
  <c r="L481" i="9"/>
  <c r="K494" i="9"/>
  <c r="O521" i="9"/>
  <c r="L528" i="9"/>
  <c r="L458" i="9"/>
  <c r="L495" i="9"/>
  <c r="O543" i="9"/>
  <c r="P543" i="9" s="1"/>
  <c r="K481" i="9"/>
  <c r="K466" i="9"/>
  <c r="K470" i="9"/>
  <c r="K234" i="7"/>
  <c r="J247" i="7" s="1"/>
  <c r="M247" i="7" s="1"/>
  <c r="O469" i="9"/>
  <c r="K465" i="9"/>
  <c r="K495" i="9"/>
  <c r="K510" i="9"/>
  <c r="O534" i="9"/>
  <c r="M236" i="7"/>
  <c r="L466" i="9"/>
  <c r="K500" i="9"/>
  <c r="O500" i="9"/>
  <c r="P500" i="9" s="1"/>
  <c r="L521" i="9"/>
  <c r="J235" i="7"/>
  <c r="I248" i="7" s="1"/>
  <c r="L469" i="9"/>
  <c r="M233" i="7"/>
  <c r="O451" i="9"/>
  <c r="P451" i="9" s="1"/>
  <c r="L535" i="9"/>
  <c r="L544" i="9"/>
  <c r="O471" i="9"/>
  <c r="O496" i="9"/>
  <c r="K520" i="9"/>
  <c r="L462" i="9"/>
  <c r="K460" i="9"/>
  <c r="K493" i="9"/>
  <c r="O508" i="9"/>
  <c r="P508" i="9" s="1"/>
  <c r="O511" i="9"/>
  <c r="P511" i="9" s="1"/>
  <c r="K467" i="9"/>
  <c r="K463" i="9"/>
  <c r="K499" i="9"/>
  <c r="O459" i="9"/>
  <c r="O520" i="9"/>
  <c r="O535" i="9"/>
  <c r="L465" i="9"/>
  <c r="K474" i="9"/>
  <c r="O468" i="9"/>
  <c r="K464" i="9"/>
  <c r="K534" i="9"/>
  <c r="L451" i="9"/>
  <c r="K508" i="9"/>
  <c r="L493" i="9"/>
  <c r="O493" i="9"/>
  <c r="K511" i="9"/>
  <c r="L508" i="9"/>
  <c r="L468" i="9"/>
  <c r="I249" i="7"/>
  <c r="O481" i="9"/>
  <c r="K471" i="9"/>
  <c r="K483" i="9"/>
  <c r="K502" i="9"/>
  <c r="L511" i="9"/>
  <c r="L459" i="9"/>
  <c r="L474" i="9"/>
  <c r="O480" i="9"/>
  <c r="L509" i="9"/>
  <c r="L512" i="9"/>
  <c r="K521" i="9"/>
  <c r="K528" i="9"/>
  <c r="K473" i="9"/>
  <c r="L492" i="9"/>
  <c r="K513" i="9"/>
  <c r="L534" i="9"/>
  <c r="L510" i="9"/>
  <c r="L471" i="9"/>
  <c r="K451" i="9"/>
  <c r="L520" i="9"/>
  <c r="O497" i="9"/>
  <c r="P497" i="9" s="1"/>
  <c r="L452" i="9"/>
  <c r="O452" i="9"/>
  <c r="O461" i="9"/>
  <c r="K461" i="9"/>
  <c r="L485" i="9"/>
  <c r="K485" i="9"/>
  <c r="O485" i="9"/>
  <c r="L494" i="9"/>
  <c r="O494" i="9"/>
  <c r="L519" i="9"/>
  <c r="O519" i="9"/>
  <c r="L527" i="9"/>
  <c r="K527" i="9"/>
  <c r="O527" i="9"/>
  <c r="L542" i="9"/>
  <c r="O542" i="9"/>
  <c r="P542" i="9" s="1"/>
  <c r="K542" i="9"/>
  <c r="L541" i="9"/>
  <c r="K541" i="9"/>
  <c r="O498" i="9"/>
  <c r="P498" i="9" s="1"/>
  <c r="K498" i="9"/>
  <c r="L498" i="9"/>
  <c r="K512" i="9"/>
  <c r="O499" i="9"/>
  <c r="P499" i="9"/>
  <c r="L464" i="9"/>
  <c r="L496" i="9"/>
  <c r="O502" i="9"/>
  <c r="L502" i="9"/>
  <c r="K491" i="9"/>
  <c r="K543" i="9"/>
  <c r="L513" i="9"/>
  <c r="K492" i="9"/>
  <c r="L543" i="9"/>
  <c r="O482" i="9"/>
  <c r="K496" i="9"/>
  <c r="L470" i="9"/>
  <c r="O462" i="9"/>
  <c r="K501" i="9"/>
  <c r="K544" i="9"/>
  <c r="L483" i="9"/>
  <c r="O463" i="9"/>
  <c r="O495" i="9"/>
  <c r="P495" i="9" s="1"/>
  <c r="O467" i="9"/>
  <c r="O501" i="9"/>
  <c r="O512" i="9"/>
  <c r="P512" i="9" s="1"/>
  <c r="O528" i="9"/>
  <c r="L473" i="9"/>
  <c r="K509" i="9"/>
  <c r="K497" i="9"/>
  <c r="L499" i="9"/>
  <c r="O458" i="9"/>
  <c r="O509" i="9"/>
  <c r="P509" i="9" s="1"/>
  <c r="K251" i="31"/>
  <c r="M251" i="31"/>
  <c r="M1233" i="9"/>
  <c r="K247" i="31"/>
  <c r="M247" i="31" s="1"/>
  <c r="M1231" i="9" s="1"/>
  <c r="P1231" i="9" s="1"/>
  <c r="M95" i="26"/>
  <c r="I206" i="26"/>
  <c r="G186" i="26" s="1"/>
  <c r="I186" i="26" s="1"/>
  <c r="I207" i="26"/>
  <c r="G187" i="26"/>
  <c r="I187" i="26" s="1"/>
  <c r="G167" i="26" s="1"/>
  <c r="J144" i="26"/>
  <c r="J397" i="26"/>
  <c r="M397" i="26"/>
  <c r="H140" i="26"/>
  <c r="H200" i="26" s="1"/>
  <c r="J200" i="26" s="1"/>
  <c r="H180" i="26" s="1"/>
  <c r="J180" i="26" s="1"/>
  <c r="H160" i="26" s="1"/>
  <c r="J160" i="26" s="1"/>
  <c r="J122" i="26"/>
  <c r="G247" i="26" s="1"/>
  <c r="K166" i="26"/>
  <c r="F189" i="26"/>
  <c r="F169" i="26"/>
  <c r="F209" i="26" s="1"/>
  <c r="M209" i="26" s="1"/>
  <c r="J139" i="26"/>
  <c r="I148" i="26"/>
  <c r="G204" i="26"/>
  <c r="I204" i="26"/>
  <c r="G184" i="26" s="1"/>
  <c r="I184" i="26" s="1"/>
  <c r="G164" i="26" s="1"/>
  <c r="I164" i="26" s="1"/>
  <c r="F144" i="26"/>
  <c r="E250" i="26"/>
  <c r="M250" i="26" s="1"/>
  <c r="F193" i="26"/>
  <c r="K187" i="26"/>
  <c r="K167" i="26" s="1"/>
  <c r="J145" i="26"/>
  <c r="H334" i="26"/>
  <c r="E241" i="26"/>
  <c r="F135" i="26"/>
  <c r="F175" i="26"/>
  <c r="H117" i="26"/>
  <c r="E242" i="26" s="1"/>
  <c r="K180" i="26"/>
  <c r="K160" i="26"/>
  <c r="H209" i="26"/>
  <c r="J209" i="26"/>
  <c r="H189" i="26" s="1"/>
  <c r="J189" i="26" s="1"/>
  <c r="J149" i="26"/>
  <c r="M149" i="26" s="1"/>
  <c r="I209" i="26"/>
  <c r="G189" i="26"/>
  <c r="I189" i="26"/>
  <c r="J392" i="26"/>
  <c r="J334" i="26"/>
  <c r="J117" i="26"/>
  <c r="G241" i="26"/>
  <c r="H135" i="26"/>
  <c r="J135" i="26" s="1"/>
  <c r="E254" i="26"/>
  <c r="K169" i="26"/>
  <c r="J134" i="26"/>
  <c r="K173" i="7"/>
  <c r="J190" i="7" s="1"/>
  <c r="I172" i="7"/>
  <c r="K172" i="7"/>
  <c r="M172" i="7" s="1"/>
  <c r="K171" i="7"/>
  <c r="J188" i="7" s="1"/>
  <c r="J70" i="7"/>
  <c r="K133" i="7"/>
  <c r="H141" i="26"/>
  <c r="H201" i="26" s="1"/>
  <c r="J201" i="26" s="1"/>
  <c r="H181" i="26" s="1"/>
  <c r="J181" i="26" s="1"/>
  <c r="H161" i="26" s="1"/>
  <c r="J340" i="26"/>
  <c r="J140" i="26"/>
  <c r="J393" i="26"/>
  <c r="H136" i="26"/>
  <c r="G242" i="26"/>
  <c r="J118" i="26"/>
  <c r="H137" i="26" s="1"/>
  <c r="J335" i="26"/>
  <c r="H195" i="26"/>
  <c r="J195" i="26" s="1"/>
  <c r="H175" i="26" s="1"/>
  <c r="J175" i="26" s="1"/>
  <c r="H155" i="26" s="1"/>
  <c r="J155" i="26" s="1"/>
  <c r="I250" i="26"/>
  <c r="F164" i="26"/>
  <c r="M164" i="26" s="1"/>
  <c r="M254" i="26"/>
  <c r="H118" i="26"/>
  <c r="H119" i="26" s="1"/>
  <c r="F136" i="26"/>
  <c r="F156" i="26"/>
  <c r="H335" i="26"/>
  <c r="H336" i="26"/>
  <c r="F137" i="26"/>
  <c r="F157" i="26" s="1"/>
  <c r="F197" i="26" s="1"/>
  <c r="F176" i="26"/>
  <c r="J119" i="26"/>
  <c r="H138" i="26" s="1"/>
  <c r="J337" i="26"/>
  <c r="F177" i="26"/>
  <c r="N201" i="7"/>
  <c r="K224" i="7"/>
  <c r="J43" i="60"/>
  <c r="J47" i="60"/>
  <c r="J49" i="60"/>
  <c r="J57" i="60"/>
  <c r="T45" i="60"/>
  <c r="T47" i="60"/>
  <c r="T82" i="60"/>
  <c r="T83" i="60" s="1"/>
  <c r="M5" i="60"/>
  <c r="J40" i="60"/>
  <c r="T42" i="60"/>
  <c r="T44" i="60"/>
  <c r="T49" i="60"/>
  <c r="T66" i="60"/>
  <c r="T59" i="60"/>
  <c r="M310" i="36"/>
  <c r="M312" i="36"/>
  <c r="M311" i="36"/>
  <c r="O12" i="60"/>
  <c r="O27" i="60" s="1"/>
  <c r="H316" i="36" s="1"/>
  <c r="P13" i="60"/>
  <c r="P28" i="60" s="1"/>
  <c r="J35" i="60"/>
  <c r="J56" i="60"/>
  <c r="J63" i="60"/>
  <c r="Q13" i="60"/>
  <c r="Q28" i="60"/>
  <c r="J317" i="36" s="1"/>
  <c r="J45" i="60"/>
  <c r="J54" i="60"/>
  <c r="J85" i="60"/>
  <c r="J87" i="60" s="1"/>
  <c r="M15" i="60"/>
  <c r="Q12" i="60"/>
  <c r="Q10" i="60"/>
  <c r="Q25" i="60" s="1"/>
  <c r="O13" i="60"/>
  <c r="O28" i="60"/>
  <c r="H317" i="36"/>
  <c r="S11" i="60"/>
  <c r="S26" i="60" s="1"/>
  <c r="O11" i="60"/>
  <c r="O26" i="60"/>
  <c r="H315" i="36" s="1"/>
  <c r="J52" i="60"/>
  <c r="J66" i="60"/>
  <c r="J83" i="60"/>
  <c r="K319" i="36"/>
  <c r="M330" i="36" s="1"/>
  <c r="M569" i="9" s="1"/>
  <c r="M27" i="60"/>
  <c r="F316" i="36" s="1"/>
  <c r="R15" i="60"/>
  <c r="N15" i="60"/>
  <c r="R30" i="60"/>
  <c r="S15" i="60"/>
  <c r="M20" i="60"/>
  <c r="F309" i="36"/>
  <c r="N24" i="60"/>
  <c r="G313" i="36" s="1"/>
  <c r="M266" i="36"/>
  <c r="J207" i="36"/>
  <c r="M247" i="36"/>
  <c r="O247" i="36" s="1"/>
  <c r="M249" i="36"/>
  <c r="O249" i="36"/>
  <c r="M256" i="36"/>
  <c r="O256" i="36" s="1"/>
  <c r="M259" i="36"/>
  <c r="O259" i="36"/>
  <c r="M263" i="36"/>
  <c r="O263" i="36" s="1"/>
  <c r="G15" i="60"/>
  <c r="E15" i="60"/>
  <c r="H15" i="60"/>
  <c r="C15" i="60"/>
  <c r="E25" i="60"/>
  <c r="I301" i="36"/>
  <c r="D15" i="60"/>
  <c r="B30" i="60"/>
  <c r="F30" i="60"/>
  <c r="H30" i="60"/>
  <c r="M178" i="36"/>
  <c r="M180" i="36" s="1"/>
  <c r="M248" i="36"/>
  <c r="O248" i="36"/>
  <c r="M254" i="36"/>
  <c r="O254" i="36" s="1"/>
  <c r="M285" i="36"/>
  <c r="M287" i="36"/>
  <c r="M252" i="36"/>
  <c r="O252" i="36" s="1"/>
  <c r="M348" i="36"/>
  <c r="M182" i="36"/>
  <c r="M159" i="36"/>
  <c r="M223" i="36" s="1"/>
  <c r="M226" i="36" s="1"/>
  <c r="M242" i="36"/>
  <c r="O242" i="36" s="1"/>
  <c r="M362" i="36"/>
  <c r="E205" i="36"/>
  <c r="M205" i="36" s="1"/>
  <c r="M357" i="36"/>
  <c r="M409" i="36"/>
  <c r="M171" i="36"/>
  <c r="K55" i="36"/>
  <c r="K73" i="36"/>
  <c r="M73" i="36"/>
  <c r="M165" i="36"/>
  <c r="M168" i="36"/>
  <c r="M173" i="36"/>
  <c r="F257" i="36"/>
  <c r="M257" i="36" s="1"/>
  <c r="O257" i="36" s="1"/>
  <c r="M260" i="36"/>
  <c r="O260" i="36"/>
  <c r="M152" i="36"/>
  <c r="M175" i="36"/>
  <c r="M156" i="36"/>
  <c r="M144" i="36"/>
  <c r="M149" i="36"/>
  <c r="M146" i="36"/>
  <c r="M151" i="36"/>
  <c r="J169" i="36"/>
  <c r="J172" i="36"/>
  <c r="J167" i="36"/>
  <c r="M176" i="36" s="1"/>
  <c r="M379" i="36"/>
  <c r="M185" i="36"/>
  <c r="E186" i="36"/>
  <c r="M186" i="36"/>
  <c r="M230" i="36"/>
  <c r="M231" i="36" s="1"/>
  <c r="M562" i="9" s="1"/>
  <c r="M410" i="36"/>
  <c r="M412" i="36" s="1"/>
  <c r="M592" i="9" s="1"/>
  <c r="E208" i="36"/>
  <c r="J208" i="36" s="1"/>
  <c r="E194" i="36"/>
  <c r="M194" i="36"/>
  <c r="M221" i="36" s="1"/>
  <c r="M128" i="36"/>
  <c r="M135" i="36"/>
  <c r="M137" i="36"/>
  <c r="M141" i="36"/>
  <c r="M132" i="36"/>
  <c r="M136" i="36"/>
  <c r="J204" i="36"/>
  <c r="M133" i="36"/>
  <c r="M139" i="36"/>
  <c r="M138" i="36"/>
  <c r="M129" i="36"/>
  <c r="M400" i="36"/>
  <c r="M190" i="36"/>
  <c r="M356" i="36"/>
  <c r="M389" i="36"/>
  <c r="K63" i="36"/>
  <c r="M63" i="36" s="1"/>
  <c r="K77" i="36"/>
  <c r="M77" i="36"/>
  <c r="M432" i="36"/>
  <c r="M611" i="9" s="1"/>
  <c r="K75" i="36"/>
  <c r="M75" i="36"/>
  <c r="E206" i="36"/>
  <c r="K79" i="36"/>
  <c r="K566" i="9"/>
  <c r="M197" i="36"/>
  <c r="K57" i="36"/>
  <c r="M57" i="36" s="1"/>
  <c r="M200" i="36"/>
  <c r="M220" i="36"/>
  <c r="E30" i="60"/>
  <c r="C30" i="60"/>
  <c r="G30" i="60"/>
  <c r="J209" i="36"/>
  <c r="M209" i="36"/>
  <c r="L552" i="9"/>
  <c r="O570" i="9"/>
  <c r="K579" i="9"/>
  <c r="K585" i="9"/>
  <c r="K600" i="9"/>
  <c r="K79" i="61"/>
  <c r="M79" i="61"/>
  <c r="L593" i="9"/>
  <c r="O566" i="9"/>
  <c r="K568" i="9"/>
  <c r="K570" i="9"/>
  <c r="L568" i="9"/>
  <c r="K593" i="9"/>
  <c r="O593" i="9"/>
  <c r="P593" i="9" s="1"/>
  <c r="O601" i="9"/>
  <c r="P601" i="9"/>
  <c r="L579" i="9"/>
  <c r="K552" i="9"/>
  <c r="O562" i="9"/>
  <c r="L564" i="9"/>
  <c r="O585" i="9"/>
  <c r="L612" i="9"/>
  <c r="K602" i="9"/>
  <c r="K578" i="9"/>
  <c r="O564" i="9"/>
  <c r="L602" i="9"/>
  <c r="K562" i="9"/>
  <c r="K612" i="9"/>
  <c r="K571" i="9"/>
  <c r="L599" i="9"/>
  <c r="O609" i="9"/>
  <c r="P609" i="9"/>
  <c r="L567" i="9"/>
  <c r="L578" i="9"/>
  <c r="O579" i="9"/>
  <c r="P579" i="9" s="1"/>
  <c r="K609" i="9"/>
  <c r="O578" i="9"/>
  <c r="P578" i="9" s="1"/>
  <c r="K567" i="9"/>
  <c r="K563" i="9"/>
  <c r="L609" i="9"/>
  <c r="L600" i="9"/>
  <c r="N45" i="61"/>
  <c r="K89" i="61"/>
  <c r="M99" i="61" s="1"/>
  <c r="J89" i="61"/>
  <c r="K63" i="61"/>
  <c r="M63" i="61" s="1"/>
  <c r="N52" i="61" s="1"/>
  <c r="K77" i="61"/>
  <c r="M77" i="61"/>
  <c r="M61" i="61"/>
  <c r="M67" i="61"/>
  <c r="K81" i="61"/>
  <c r="M81" i="61"/>
  <c r="K69" i="61"/>
  <c r="M69" i="61" s="1"/>
  <c r="J207" i="61"/>
  <c r="M207" i="61"/>
  <c r="M65" i="61"/>
  <c r="J366" i="61"/>
  <c r="M53" i="61"/>
  <c r="M59" i="61"/>
  <c r="M122" i="61"/>
  <c r="M165" i="61"/>
  <c r="J169" i="61"/>
  <c r="E205" i="61"/>
  <c r="J205" i="61" s="1"/>
  <c r="M205" i="61"/>
  <c r="K55" i="61"/>
  <c r="K75" i="61"/>
  <c r="M75" i="61"/>
  <c r="J171" i="61"/>
  <c r="O563" i="9"/>
  <c r="L566" i="9"/>
  <c r="L570" i="9"/>
  <c r="O612" i="9"/>
  <c r="P612" i="9" s="1"/>
  <c r="K564" i="9"/>
  <c r="J368" i="36"/>
  <c r="J401" i="36"/>
  <c r="M401" i="36" s="1"/>
  <c r="M403" i="36" s="1"/>
  <c r="M586" i="9" s="1"/>
  <c r="M79" i="36"/>
  <c r="M55" i="36"/>
  <c r="M61" i="36"/>
  <c r="M71" i="36"/>
  <c r="N53" i="36" s="1"/>
  <c r="O53" i="36" s="1"/>
  <c r="M53" i="36"/>
  <c r="N52" i="36" s="1"/>
  <c r="M59" i="36"/>
  <c r="M65" i="36"/>
  <c r="J89" i="36"/>
  <c r="K89" i="36"/>
  <c r="M99" i="36"/>
  <c r="M109" i="36" s="1"/>
  <c r="K81" i="36"/>
  <c r="M81" i="36" s="1"/>
  <c r="N55" i="36" s="1"/>
  <c r="O55" i="36" s="1"/>
  <c r="K69" i="36"/>
  <c r="M69" i="36"/>
  <c r="M67" i="36"/>
  <c r="N45" i="36"/>
  <c r="L562" i="9"/>
  <c r="L585" i="9"/>
  <c r="O568" i="9"/>
  <c r="E563" i="9"/>
  <c r="E564" i="9"/>
  <c r="E565" i="9" s="1"/>
  <c r="E566" i="9" s="1"/>
  <c r="E567" i="9" s="1"/>
  <c r="E568" i="9" s="1"/>
  <c r="E569" i="9" s="1"/>
  <c r="E570" i="9" s="1"/>
  <c r="E571" i="9" s="1"/>
  <c r="E572" i="9" s="1"/>
  <c r="E573" i="9" s="1"/>
  <c r="E574" i="9" s="1"/>
  <c r="E575" i="9" s="1"/>
  <c r="E576" i="9" s="1"/>
  <c r="E577" i="9" s="1"/>
  <c r="E578" i="9" s="1"/>
  <c r="E579" i="9" s="1"/>
  <c r="E580" i="9" s="1"/>
  <c r="E581" i="9" s="1"/>
  <c r="E582" i="9" s="1"/>
  <c r="E583" i="9" s="1"/>
  <c r="E584" i="9" s="1"/>
  <c r="E585" i="9" s="1"/>
  <c r="E586" i="9" s="1"/>
  <c r="E587" i="9" s="1"/>
  <c r="E588" i="9" s="1"/>
  <c r="E589" i="9" s="1"/>
  <c r="E590" i="9" s="1"/>
  <c r="E591" i="9" s="1"/>
  <c r="E592" i="9" s="1"/>
  <c r="E593" i="9" s="1"/>
  <c r="E594" i="9" s="1"/>
  <c r="E595" i="9" s="1"/>
  <c r="E596" i="9" s="1"/>
  <c r="E597" i="9" s="1"/>
  <c r="E598" i="9" s="1"/>
  <c r="E599" i="9" s="1"/>
  <c r="E600" i="9" s="1"/>
  <c r="E601" i="9" s="1"/>
  <c r="E602" i="9" s="1"/>
  <c r="E603" i="9" s="1"/>
  <c r="E604" i="9" s="1"/>
  <c r="E605" i="9" s="1"/>
  <c r="E606" i="9" s="1"/>
  <c r="E607" i="9" s="1"/>
  <c r="E608" i="9" s="1"/>
  <c r="E609" i="9" s="1"/>
  <c r="E610" i="9" s="1"/>
  <c r="E611" i="9" s="1"/>
  <c r="E612" i="9" s="1"/>
  <c r="E613" i="9" s="1"/>
  <c r="E614" i="9" s="1"/>
  <c r="E615" i="9" s="1"/>
  <c r="E616" i="9" s="1"/>
  <c r="D1452" i="9"/>
  <c r="D1453" i="9" s="1"/>
  <c r="D1454" i="9" s="1"/>
  <c r="D1455" i="9" s="1"/>
  <c r="D1456" i="9" s="1"/>
  <c r="D1457" i="9" s="1"/>
  <c r="D1458" i="9" s="1"/>
  <c r="D1459" i="9" s="1"/>
  <c r="D1460" i="9" s="1"/>
  <c r="D1461" i="9" s="1"/>
  <c r="D1462" i="9" s="1"/>
  <c r="D1463" i="9" s="1"/>
  <c r="D1464" i="9" s="1"/>
  <c r="D1465" i="9" s="1"/>
  <c r="D1466" i="9" s="1"/>
  <c r="D1467" i="9" s="1"/>
  <c r="D1468" i="9" s="1"/>
  <c r="D1469" i="9" s="1"/>
  <c r="D1470" i="9" s="1"/>
  <c r="D1471" i="9" s="1"/>
  <c r="D1472" i="9" s="1"/>
  <c r="D1473" i="9" s="1"/>
  <c r="D1474" i="9" s="1"/>
  <c r="D1475" i="9" s="1"/>
  <c r="D1476" i="9" s="1"/>
  <c r="D1477" i="9" s="1"/>
  <c r="D1478" i="9" s="1"/>
  <c r="D1479" i="9" s="1"/>
  <c r="D1480" i="9" s="1"/>
  <c r="D1481" i="9" s="1"/>
  <c r="D1482" i="9" s="1"/>
  <c r="D1483" i="9" s="1"/>
  <c r="D1484" i="9" s="1"/>
  <c r="D1485" i="9" s="1"/>
  <c r="D1486" i="9" s="1"/>
  <c r="D1487" i="9" s="1"/>
  <c r="D1488" i="9" s="1"/>
  <c r="D1489" i="9" s="1"/>
  <c r="D1490" i="9" s="1"/>
  <c r="D1491" i="9" s="1"/>
  <c r="D1492" i="9" s="1"/>
  <c r="D1493" i="9" s="1"/>
  <c r="D1494" i="9" s="1"/>
  <c r="D1495" i="9" s="1"/>
  <c r="D1496" i="9" s="1"/>
  <c r="D1497" i="9" s="1"/>
  <c r="D1498" i="9" s="1"/>
  <c r="D1499" i="9" s="1"/>
  <c r="D1500" i="9" s="1"/>
  <c r="D1501" i="9" s="1"/>
  <c r="D1502" i="9" s="1"/>
  <c r="D1503" i="9" s="1"/>
  <c r="D1504" i="9" s="1"/>
  <c r="D1505" i="9" s="1"/>
  <c r="D1506" i="9" s="1"/>
  <c r="D1507" i="9" s="1"/>
  <c r="D1508" i="9" s="1"/>
  <c r="D1509" i="9" s="1"/>
  <c r="D1510" i="9" s="1"/>
  <c r="D1511" i="9" s="1"/>
  <c r="D1512" i="9" s="1"/>
  <c r="D1513" i="9" s="1"/>
  <c r="D1514" i="9" s="1"/>
  <c r="D1515" i="9" s="1"/>
  <c r="D1516" i="9" s="1"/>
  <c r="D1517" i="9" s="1"/>
  <c r="D1518" i="9" s="1"/>
  <c r="D1519" i="9" s="1"/>
  <c r="D1520" i="9" s="1"/>
  <c r="D1521" i="9" s="1"/>
  <c r="D1522" i="9" s="1"/>
  <c r="D1523" i="9" s="1"/>
  <c r="D1524" i="9" s="1"/>
  <c r="D1525" i="9" s="1"/>
  <c r="D1526" i="9" s="1"/>
  <c r="D1527" i="9" s="1"/>
  <c r="D1528" i="9" s="1"/>
  <c r="D1529" i="9" s="1"/>
  <c r="D1530" i="9" s="1"/>
  <c r="D1531" i="9" s="1"/>
  <c r="D1532" i="9" s="1"/>
  <c r="D1533" i="9" s="1"/>
  <c r="D1534" i="9" s="1"/>
  <c r="D1535" i="9" s="1"/>
  <c r="D1536" i="9" s="1"/>
  <c r="D1537" i="9" s="1"/>
  <c r="D1538" i="9" s="1"/>
  <c r="D1539" i="9" s="1"/>
  <c r="D1540" i="9" s="1"/>
  <c r="D1541" i="9" s="1"/>
  <c r="D1542" i="9" s="1"/>
  <c r="D1543" i="9" s="1"/>
  <c r="D1544" i="9" s="1"/>
  <c r="D1545" i="9" s="1"/>
  <c r="D1546" i="9" s="1"/>
  <c r="D1547" i="9" s="1"/>
  <c r="D1548" i="9" s="1"/>
  <c r="D1549" i="9" s="1"/>
  <c r="D1550" i="9" s="1"/>
  <c r="D1551" i="9" s="1"/>
  <c r="D1552" i="9" s="1"/>
  <c r="D1553" i="9" s="1"/>
  <c r="D1554" i="9" s="1"/>
  <c r="D1555" i="9" s="1"/>
  <c r="D1556" i="9" s="1"/>
  <c r="D1557" i="9" s="1"/>
  <c r="D1558" i="9" s="1"/>
  <c r="D1559" i="9" s="1"/>
  <c r="D1560" i="9" s="1"/>
  <c r="D1561" i="9" s="1"/>
  <c r="D1562" i="9" s="1"/>
  <c r="D1563" i="9" s="1"/>
  <c r="D1564" i="9" s="1"/>
  <c r="D1565" i="9" s="1"/>
  <c r="D1566" i="9" s="1"/>
  <c r="D1567" i="9" s="1"/>
  <c r="D1568" i="9" s="1"/>
  <c r="D1569" i="9" s="1"/>
  <c r="D1570" i="9" s="1"/>
  <c r="D1571" i="9" s="1"/>
  <c r="D1572" i="9" s="1"/>
  <c r="D1573" i="9" s="1"/>
  <c r="D1574" i="9" s="1"/>
  <c r="D1575" i="9" s="1"/>
  <c r="D1576" i="9" s="1"/>
  <c r="D1577" i="9" s="1"/>
  <c r="D1578" i="9" s="1"/>
  <c r="D1579" i="9" s="1"/>
  <c r="D1580" i="9" s="1"/>
  <c r="D1581" i="9" s="1"/>
  <c r="D1582" i="9" s="1"/>
  <c r="D1583" i="9" s="1"/>
  <c r="D1584" i="9" s="1"/>
  <c r="D1585" i="9" s="1"/>
  <c r="D1586" i="9" s="1"/>
  <c r="D1587" i="9" s="1"/>
  <c r="D1588" i="9" s="1"/>
  <c r="D1589" i="9" s="1"/>
  <c r="D1590" i="9" s="1"/>
  <c r="D1591" i="9" s="1"/>
  <c r="D1592" i="9" s="1"/>
  <c r="D1593" i="9" s="1"/>
  <c r="D1594" i="9" s="1"/>
  <c r="D1595" i="9" s="1"/>
  <c r="D1596" i="9" s="1"/>
  <c r="D1597" i="9" s="1"/>
  <c r="D1598" i="9" s="1"/>
  <c r="D1599" i="9" s="1"/>
  <c r="D1600" i="9" s="1"/>
  <c r="D1601" i="9" s="1"/>
  <c r="D1602" i="9" s="1"/>
  <c r="D1603" i="9" s="1"/>
  <c r="D1604" i="9" s="1"/>
  <c r="D1605" i="9" s="1"/>
  <c r="D1606" i="9" s="1"/>
  <c r="D1607" i="9" s="1"/>
  <c r="D1608" i="9" s="1"/>
  <c r="D1609" i="9" s="1"/>
  <c r="D1610" i="9" s="1"/>
  <c r="D1611" i="9" s="1"/>
  <c r="D1612" i="9" s="1"/>
  <c r="D1613" i="9" s="1"/>
  <c r="D1614" i="9" s="1"/>
  <c r="D1615" i="9" s="1"/>
  <c r="D1616" i="9" s="1"/>
  <c r="D1617" i="9" s="1"/>
  <c r="D1618" i="9" s="1"/>
  <c r="D1619" i="9" s="1"/>
  <c r="D1620" i="9" s="1"/>
  <c r="D1621" i="9" s="1"/>
  <c r="D1622" i="9" s="1"/>
  <c r="D1623" i="9" s="1"/>
  <c r="D1624" i="9" s="1"/>
  <c r="D1625" i="9" s="1"/>
  <c r="D1626" i="9" s="1"/>
  <c r="D1627" i="9" s="1"/>
  <c r="D1628" i="9" s="1"/>
  <c r="D1629" i="9" s="1"/>
  <c r="D1630" i="9" s="1"/>
  <c r="D1631" i="9" s="1"/>
  <c r="D1632" i="9" s="1"/>
  <c r="D1633" i="9" s="1"/>
  <c r="D1634" i="9" s="1"/>
  <c r="D1635" i="9" s="1"/>
  <c r="D1636" i="9" s="1"/>
  <c r="D1637" i="9" s="1"/>
  <c r="D1638" i="9" s="1"/>
  <c r="D1639" i="9" s="1"/>
  <c r="D1640" i="9" s="1"/>
  <c r="D1641" i="9" s="1"/>
  <c r="D1642" i="9" s="1"/>
  <c r="D1643" i="9" s="1"/>
  <c r="D1644" i="9" s="1"/>
  <c r="D1645" i="9" s="1"/>
  <c r="D1646" i="9" s="1"/>
  <c r="D1647" i="9" s="1"/>
  <c r="D1648" i="9" s="1"/>
  <c r="D1649" i="9" s="1"/>
  <c r="D1650" i="9" s="1"/>
  <c r="D1651" i="9" s="1"/>
  <c r="D1652" i="9" s="1"/>
  <c r="D1653" i="9" s="1"/>
  <c r="D1654" i="9" s="1"/>
  <c r="D1655" i="9" s="1"/>
  <c r="D1656" i="9" s="1"/>
  <c r="D1657" i="9" s="1"/>
  <c r="D1658" i="9" s="1"/>
  <c r="D1659" i="9" s="1"/>
  <c r="D1660" i="9" s="1"/>
  <c r="D1661" i="9" s="1"/>
  <c r="D1662" i="9" s="1"/>
  <c r="D1663" i="9" s="1"/>
  <c r="D1664" i="9" s="1"/>
  <c r="D1665" i="9" s="1"/>
  <c r="D1666" i="9" s="1"/>
  <c r="D1667" i="9" s="1"/>
  <c r="D1668" i="9" s="1"/>
  <c r="D1669" i="9" s="1"/>
  <c r="D1670" i="9" s="1"/>
  <c r="D1671" i="9" s="1"/>
  <c r="D1672" i="9" s="1"/>
  <c r="D1673" i="9" s="1"/>
  <c r="D1674" i="9" s="1"/>
  <c r="D1675" i="9" s="1"/>
  <c r="D1676" i="9" s="1"/>
  <c r="D1677" i="9" s="1"/>
  <c r="D1678" i="9" s="1"/>
  <c r="D1679" i="9" s="1"/>
  <c r="D1680" i="9" s="1"/>
  <c r="D1681" i="9" s="1"/>
  <c r="D1682" i="9" s="1"/>
  <c r="D1683" i="9" s="1"/>
  <c r="D1684" i="9" s="1"/>
  <c r="D1685" i="9" s="1"/>
  <c r="D1686" i="9" s="1"/>
  <c r="D1687" i="9" s="1"/>
  <c r="D1688" i="9" s="1"/>
  <c r="D1689" i="9" s="1"/>
  <c r="D1690" i="9" s="1"/>
  <c r="D1691" i="9" s="1"/>
  <c r="D1692" i="9" s="1"/>
  <c r="D1693" i="9" s="1"/>
  <c r="D1694" i="9" s="1"/>
  <c r="D1695" i="9" s="1"/>
  <c r="D1696" i="9" s="1"/>
  <c r="D1697" i="9" s="1"/>
  <c r="D1698" i="9" s="1"/>
  <c r="D1699" i="9" s="1"/>
  <c r="D1700" i="9" s="1"/>
  <c r="D1701" i="9" s="1"/>
  <c r="D1702" i="9" s="1"/>
  <c r="D1703" i="9" s="1"/>
  <c r="D1704" i="9" s="1"/>
  <c r="D1705" i="9" s="1"/>
  <c r="D1706" i="9" s="1"/>
  <c r="D1707" i="9" s="1"/>
  <c r="D1708" i="9" s="1"/>
  <c r="D1709" i="9" s="1"/>
  <c r="D1710" i="9" s="1"/>
  <c r="D1711" i="9" s="1"/>
  <c r="D1712" i="9" s="1"/>
  <c r="D1713" i="9" s="1"/>
  <c r="D1714" i="9" s="1"/>
  <c r="D1715" i="9" s="1"/>
  <c r="D1716" i="9" s="1"/>
  <c r="D1717" i="9" s="1"/>
  <c r="D1718" i="9" s="1"/>
  <c r="D1719" i="9" s="1"/>
  <c r="D1720" i="9" s="1"/>
  <c r="D1721" i="9" s="1"/>
  <c r="D1722" i="9" s="1"/>
  <c r="D1723" i="9" s="1"/>
  <c r="D1724" i="9" s="1"/>
  <c r="D1725" i="9" s="1"/>
  <c r="D1726" i="9" s="1"/>
  <c r="D1727" i="9" s="1"/>
  <c r="D1728" i="9" s="1"/>
  <c r="D1729" i="9" s="1"/>
  <c r="D1730" i="9" s="1"/>
  <c r="D1731" i="9" s="1"/>
  <c r="D1732" i="9" s="1"/>
  <c r="D1733" i="9" s="1"/>
  <c r="D1734" i="9" s="1"/>
  <c r="D1735" i="9" s="1"/>
  <c r="D1736" i="9" s="1"/>
  <c r="D1737" i="9" s="1"/>
  <c r="D1738" i="9" s="1"/>
  <c r="D1739" i="9" s="1"/>
  <c r="D1740" i="9" s="1"/>
  <c r="D1741" i="9" s="1"/>
  <c r="D1742" i="9" s="1"/>
  <c r="D1743" i="9" s="1"/>
  <c r="D1744" i="9" s="1"/>
  <c r="D1745" i="9" s="1"/>
  <c r="D1746" i="9" s="1"/>
  <c r="D1747" i="9" s="1"/>
  <c r="D1748" i="9" s="1"/>
  <c r="D1749" i="9" s="1"/>
  <c r="D1750" i="9" s="1"/>
  <c r="D1751" i="9" s="1"/>
  <c r="D1752" i="9" s="1"/>
  <c r="D1753" i="9" s="1"/>
  <c r="D1754" i="9" s="1"/>
  <c r="D1755" i="9" s="1"/>
  <c r="D1756" i="9" s="1"/>
  <c r="D1757" i="9" s="1"/>
  <c r="D1758" i="9" s="1"/>
  <c r="D1759" i="9" s="1"/>
  <c r="D1760" i="9" s="1"/>
  <c r="D1761" i="9" s="1"/>
  <c r="D1762" i="9" s="1"/>
  <c r="D1763" i="9" s="1"/>
  <c r="D1764" i="9" s="1"/>
  <c r="D1765" i="9" s="1"/>
  <c r="D1766" i="9" s="1"/>
  <c r="D1767" i="9" s="1"/>
  <c r="D1768" i="9" s="1"/>
  <c r="D1769" i="9" s="1"/>
  <c r="D1770" i="9" s="1"/>
  <c r="D1771" i="9" s="1"/>
  <c r="D1772" i="9" s="1"/>
  <c r="D1773" i="9" s="1"/>
  <c r="D1774" i="9" s="1"/>
  <c r="D1775" i="9" s="1"/>
  <c r="D1776" i="9" s="1"/>
  <c r="D1777" i="9" s="1"/>
  <c r="D1778" i="9" s="1"/>
  <c r="D1779" i="9" s="1"/>
  <c r="D1780" i="9" s="1"/>
  <c r="D1781" i="9" s="1"/>
  <c r="D1782" i="9" s="1"/>
  <c r="D1783" i="9" s="1"/>
  <c r="D1784" i="9" s="1"/>
  <c r="D1785" i="9" s="1"/>
  <c r="D1786" i="9" s="1"/>
  <c r="D1787" i="9" s="1"/>
  <c r="D1788" i="9" s="1"/>
  <c r="D1789" i="9" s="1"/>
  <c r="D1790" i="9" s="1"/>
  <c r="D1791" i="9" s="1"/>
  <c r="D1792" i="9" s="1"/>
  <c r="D1793" i="9" s="1"/>
  <c r="D1794" i="9" s="1"/>
  <c r="D1795" i="9" s="1"/>
  <c r="D1796" i="9" s="1"/>
  <c r="D1797" i="9" s="1"/>
  <c r="D1798" i="9" s="1"/>
  <c r="D1799" i="9" s="1"/>
  <c r="D1800" i="9" s="1"/>
  <c r="D1801" i="9" s="1"/>
  <c r="D1802" i="9" s="1"/>
  <c r="D1803" i="9" s="1"/>
  <c r="D1804" i="9" s="1"/>
  <c r="D1805" i="9" s="1"/>
  <c r="D1806" i="9" s="1"/>
  <c r="D1807" i="9" s="1"/>
  <c r="D1808" i="9" s="1"/>
  <c r="D1809" i="9" s="1"/>
  <c r="D1810" i="9" s="1"/>
  <c r="D1811" i="9" s="1"/>
  <c r="D1812" i="9" s="1"/>
  <c r="D1813" i="9" s="1"/>
  <c r="D1814" i="9" s="1"/>
  <c r="D1815" i="9" s="1"/>
  <c r="D1816" i="9" s="1"/>
  <c r="D1817" i="9" s="1"/>
  <c r="D1818" i="9" s="1"/>
  <c r="D1819" i="9" s="1"/>
  <c r="D1820" i="9" s="1"/>
  <c r="D1821" i="9" s="1"/>
  <c r="D1822" i="9" s="1"/>
  <c r="D1823" i="9" s="1"/>
  <c r="D1824" i="9" s="1"/>
  <c r="D1825" i="9" s="1"/>
  <c r="D1826" i="9" s="1"/>
  <c r="D1827" i="9" s="1"/>
  <c r="D1828" i="9" s="1"/>
  <c r="D1829" i="9" s="1"/>
  <c r="D1830" i="9" s="1"/>
  <c r="D1831" i="9" s="1"/>
  <c r="D1832" i="9" s="1"/>
  <c r="D1833" i="9" s="1"/>
  <c r="D1834" i="9" s="1"/>
  <c r="D1835" i="9" s="1"/>
  <c r="D1836" i="9" s="1"/>
  <c r="D1837" i="9" s="1"/>
  <c r="D1838" i="9" s="1"/>
  <c r="D1839" i="9" s="1"/>
  <c r="D1840" i="9" s="1"/>
  <c r="D1841" i="9" s="1"/>
  <c r="D1842" i="9" s="1"/>
  <c r="D1843" i="9" s="1"/>
  <c r="D1844" i="9" s="1"/>
  <c r="D1845" i="9" s="1"/>
  <c r="D1846" i="9" s="1"/>
  <c r="D1847" i="9" s="1"/>
  <c r="D1848" i="9" s="1"/>
  <c r="D1849" i="9" s="1"/>
  <c r="D1850" i="9" s="1"/>
  <c r="D1851" i="9" s="1"/>
  <c r="D1852" i="9" s="1"/>
  <c r="D1853" i="9" s="1"/>
  <c r="D1854" i="9" s="1"/>
  <c r="D1855" i="9" s="1"/>
  <c r="D1856" i="9" s="1"/>
  <c r="D1857" i="9" s="1"/>
  <c r="D1858" i="9" s="1"/>
  <c r="D1859" i="9" s="1"/>
  <c r="D1860" i="9" s="1"/>
  <c r="D1861" i="9" s="1"/>
  <c r="D1862" i="9" s="1"/>
  <c r="D1863" i="9" s="1"/>
  <c r="D1864" i="9" s="1"/>
  <c r="D1865" i="9" s="1"/>
  <c r="D1866" i="9" s="1"/>
  <c r="D1867" i="9" s="1"/>
  <c r="D1868" i="9" s="1"/>
  <c r="D1869" i="9" s="1"/>
  <c r="D1870" i="9" s="1"/>
  <c r="D1871" i="9" s="1"/>
  <c r="D1872" i="9" s="1"/>
  <c r="D1873" i="9" s="1"/>
  <c r="D1874" i="9" s="1"/>
  <c r="D1875" i="9" s="1"/>
  <c r="D1876" i="9" s="1"/>
  <c r="D1877" i="9" s="1"/>
  <c r="D1878" i="9" s="1"/>
  <c r="D1879" i="9" s="1"/>
  <c r="D1880" i="9" s="1"/>
  <c r="D1881" i="9" s="1"/>
  <c r="D1882" i="9" s="1"/>
  <c r="D1883" i="9" s="1"/>
  <c r="D1884" i="9" s="1"/>
  <c r="D1885" i="9" s="1"/>
  <c r="D1886" i="9" s="1"/>
  <c r="D1887" i="9" s="1"/>
  <c r="D1888" i="9" s="1"/>
  <c r="D1889" i="9" s="1"/>
  <c r="D1890" i="9" s="1"/>
  <c r="D1891" i="9" s="1"/>
  <c r="D1892" i="9" s="1"/>
  <c r="D1893" i="9" s="1"/>
  <c r="D1894" i="9" s="1"/>
  <c r="D1895" i="9" s="1"/>
  <c r="D1896" i="9" s="1"/>
  <c r="D1897" i="9" s="1"/>
  <c r="D1898" i="9" s="1"/>
  <c r="D1899" i="9" s="1"/>
  <c r="D1900" i="9" s="1"/>
  <c r="D1901" i="9" s="1"/>
  <c r="D1902" i="9" s="1"/>
  <c r="D1903" i="9" s="1"/>
  <c r="D1904" i="9" s="1"/>
  <c r="D1905" i="9" s="1"/>
  <c r="D1906" i="9" s="1"/>
  <c r="D1907" i="9" s="1"/>
  <c r="D1908" i="9" s="1"/>
  <c r="D1909" i="9" s="1"/>
  <c r="D1910" i="9" s="1"/>
  <c r="D1911" i="9" s="1"/>
  <c r="D1912" i="9" s="1"/>
  <c r="D1913" i="9" s="1"/>
  <c r="D1914" i="9" s="1"/>
  <c r="D1915" i="9" s="1"/>
  <c r="D1916" i="9" s="1"/>
  <c r="D1917" i="9" s="1"/>
  <c r="D1918" i="9" s="1"/>
  <c r="D1919" i="9" s="1"/>
  <c r="D1920" i="9" s="1"/>
  <c r="D1921" i="9" s="1"/>
  <c r="D1922" i="9" s="1"/>
  <c r="D1923" i="9" s="1"/>
  <c r="D1924" i="9" s="1"/>
  <c r="D1925" i="9" s="1"/>
  <c r="D1926" i="9" s="1"/>
  <c r="D1927" i="9" s="1"/>
  <c r="D1928" i="9" s="1"/>
  <c r="D1929" i="9" s="1"/>
  <c r="D1930" i="9" s="1"/>
  <c r="D1931" i="9" s="1"/>
  <c r="D1932" i="9" s="1"/>
  <c r="D1933" i="9" s="1"/>
  <c r="D1934" i="9" s="1"/>
  <c r="D1935" i="9" s="1"/>
  <c r="D1936" i="9" s="1"/>
  <c r="D1937" i="9" s="1"/>
  <c r="D1938" i="9" s="1"/>
  <c r="D1939" i="9" s="1"/>
  <c r="D1940" i="9" s="1"/>
  <c r="D1941" i="9" s="1"/>
  <c r="D1942" i="9" s="1"/>
  <c r="D1943" i="9" s="1"/>
  <c r="D1944" i="9" s="1"/>
  <c r="D1945" i="9" s="1"/>
  <c r="D1946" i="9" s="1"/>
  <c r="D1947" i="9" s="1"/>
  <c r="D1948" i="9" s="1"/>
  <c r="D1949" i="9" s="1"/>
  <c r="D1950" i="9" s="1"/>
  <c r="D1951" i="9" s="1"/>
  <c r="D1952" i="9" s="1"/>
  <c r="D1953" i="9" s="1"/>
  <c r="D1954" i="9" s="1"/>
  <c r="D1955" i="9" s="1"/>
  <c r="D1956" i="9" s="1"/>
  <c r="D1957" i="9" s="1"/>
  <c r="D1976" i="9"/>
  <c r="D1977" i="9"/>
  <c r="D1978" i="9"/>
  <c r="D1979" i="9" s="1"/>
  <c r="D1980" i="9" s="1"/>
  <c r="D1981" i="9" s="1"/>
  <c r="D1982" i="9" s="1"/>
  <c r="D1983" i="9" s="1"/>
  <c r="D1984" i="9" s="1"/>
  <c r="D1985" i="9" s="1"/>
  <c r="D1986" i="9" s="1"/>
  <c r="D1987" i="9" s="1"/>
  <c r="D1988" i="9" s="1"/>
  <c r="D1989" i="9" s="1"/>
  <c r="D1990" i="9" s="1"/>
  <c r="D1991" i="9" s="1"/>
  <c r="D1992" i="9" s="1"/>
  <c r="D1993" i="9" s="1"/>
  <c r="D1994" i="9" s="1"/>
  <c r="D1995" i="9" s="1"/>
  <c r="D1996" i="9" s="1"/>
  <c r="D1997" i="9" s="1"/>
  <c r="D1998" i="9" s="1"/>
  <c r="D1999" i="9" s="1"/>
  <c r="D2000" i="9" s="1"/>
  <c r="D2001" i="9" s="1"/>
  <c r="D2002" i="9" s="1"/>
  <c r="D2003" i="9" s="1"/>
  <c r="D2004" i="9" s="1"/>
  <c r="D2005" i="9" s="1"/>
  <c r="D2006" i="9" s="1"/>
  <c r="D2007" i="9" s="1"/>
  <c r="D2008" i="9" s="1"/>
  <c r="D2009" i="9" s="1"/>
  <c r="D2010" i="9" s="1"/>
  <c r="D2011" i="9" s="1"/>
  <c r="D2012" i="9" s="1"/>
  <c r="D2013" i="9" s="1"/>
  <c r="D2014" i="9" s="1"/>
  <c r="D2015" i="9" s="1"/>
  <c r="D2016" i="9" s="1"/>
  <c r="D2017" i="9" s="1"/>
  <c r="D2018" i="9" s="1"/>
  <c r="L1282" i="9"/>
  <c r="O1282" i="9"/>
  <c r="K1282" i="9"/>
  <c r="K1285" i="9"/>
  <c r="O1285" i="9"/>
  <c r="P1285" i="9" s="1"/>
  <c r="L1287" i="9"/>
  <c r="K1287" i="9"/>
  <c r="O1287" i="9"/>
  <c r="E1189" i="9"/>
  <c r="E1191" i="9" s="1"/>
  <c r="E1193" i="9" s="1"/>
  <c r="E1195" i="9" s="1"/>
  <c r="E1197" i="9" s="1"/>
  <c r="E1190" i="9"/>
  <c r="E1192" i="9"/>
  <c r="E1194" i="9"/>
  <c r="E1196" i="9" s="1"/>
  <c r="E1198" i="9" s="1"/>
  <c r="E1199" i="9" s="1"/>
  <c r="E1200" i="9" s="1"/>
  <c r="E1201" i="9" s="1"/>
  <c r="E1202" i="9" s="1"/>
  <c r="E1203" i="9" s="1"/>
  <c r="E1204" i="9" s="1"/>
  <c r="E1205" i="9" s="1"/>
  <c r="E1206" i="9" s="1"/>
  <c r="E1207" i="9" s="1"/>
  <c r="E1208" i="9" s="1"/>
  <c r="E1209" i="9" s="1"/>
  <c r="E1210" i="9" s="1"/>
  <c r="E1211" i="9" s="1"/>
  <c r="E1212" i="9" s="1"/>
  <c r="E1213" i="9" s="1"/>
  <c r="E1214" i="9" s="1"/>
  <c r="E1215" i="9" s="1"/>
  <c r="E1216" i="9" s="1"/>
  <c r="E1217" i="9" s="1"/>
  <c r="E1218" i="9" s="1"/>
  <c r="E1219" i="9" s="1"/>
  <c r="E1220" i="9" s="1"/>
  <c r="E1221" i="9" s="1"/>
  <c r="E1222" i="9" s="1"/>
  <c r="E1223" i="9" s="1"/>
  <c r="E1224" i="9" s="1"/>
  <c r="E1225" i="9" s="1"/>
  <c r="E1226" i="9" s="1"/>
  <c r="E1227" i="9" s="1"/>
  <c r="E1228" i="9" s="1"/>
  <c r="E1229" i="9" s="1"/>
  <c r="E1230" i="9" s="1"/>
  <c r="E1231" i="9" s="1"/>
  <c r="E1232" i="9" s="1"/>
  <c r="E1233" i="9" s="1"/>
  <c r="E1234" i="9" s="1"/>
  <c r="E1235" i="9" s="1"/>
  <c r="E1236" i="9" s="1"/>
  <c r="E1237" i="9" s="1"/>
  <c r="E1238" i="9" s="1"/>
  <c r="E1239" i="9" s="1"/>
  <c r="E1240" i="9" s="1"/>
  <c r="E1241" i="9" s="1"/>
  <c r="E1242" i="9" s="1"/>
  <c r="E1243" i="9" s="1"/>
  <c r="E1244" i="9" s="1"/>
  <c r="E1245" i="9" s="1"/>
  <c r="E1246" i="9" s="1"/>
  <c r="E1247" i="9" s="1"/>
  <c r="E1248" i="9" s="1"/>
  <c r="E1249" i="9" s="1"/>
  <c r="E1250" i="9" s="1"/>
  <c r="E1251" i="9" s="1"/>
  <c r="E1252" i="9" s="1"/>
  <c r="E1253" i="9" s="1"/>
  <c r="E1254" i="9" s="1"/>
  <c r="E1255" i="9" s="1"/>
  <c r="E1256" i="9" s="1"/>
  <c r="E1257" i="9" s="1"/>
  <c r="E1258" i="9" s="1"/>
  <c r="E1259" i="9" s="1"/>
  <c r="E1260" i="9" s="1"/>
  <c r="E1261" i="9" s="1"/>
  <c r="E1262" i="9" s="1"/>
  <c r="E1263" i="9" s="1"/>
  <c r="E1264" i="9" s="1"/>
  <c r="E1265" i="9" s="1"/>
  <c r="E1266" i="9" s="1"/>
  <c r="E806" i="9"/>
  <c r="E808" i="9"/>
  <c r="E809" i="9" s="1"/>
  <c r="E810" i="9" s="1"/>
  <c r="E811" i="9" s="1"/>
  <c r="E812" i="9" s="1"/>
  <c r="E813" i="9" s="1"/>
  <c r="E807" i="9"/>
  <c r="L893" i="9"/>
  <c r="O893" i="9"/>
  <c r="O1020" i="9"/>
  <c r="N552" i="9"/>
  <c r="O552" i="9"/>
  <c r="P552" i="9" s="1"/>
  <c r="O1358" i="9"/>
  <c r="P1358" i="9" s="1"/>
  <c r="O756" i="9"/>
  <c r="K773" i="9"/>
  <c r="D18" i="9"/>
  <c r="D19" i="9" s="1"/>
  <c r="H17" i="9"/>
  <c r="K420" i="9"/>
  <c r="L410" i="9"/>
  <c r="L1014" i="9"/>
  <c r="C479" i="9"/>
  <c r="C480" i="9"/>
  <c r="C481" i="9" s="1"/>
  <c r="C482" i="9" s="1"/>
  <c r="C483" i="9" s="1"/>
  <c r="C484" i="9" s="1"/>
  <c r="C485" i="9" s="1"/>
  <c r="C486" i="9" s="1"/>
  <c r="C487" i="9" s="1"/>
  <c r="C488" i="9" s="1"/>
  <c r="C489" i="9" s="1"/>
  <c r="L460" i="9"/>
  <c r="K480" i="9"/>
  <c r="L482" i="9"/>
  <c r="L491" i="9"/>
  <c r="O491" i="9"/>
  <c r="K482" i="9"/>
  <c r="K458" i="9"/>
  <c r="O460" i="9"/>
  <c r="K472" i="9"/>
  <c r="L480" i="9"/>
  <c r="K468" i="9"/>
  <c r="O464" i="9"/>
  <c r="K137" i="7"/>
  <c r="L484" i="9"/>
  <c r="O484" i="9"/>
  <c r="L472" i="9"/>
  <c r="K484" i="9"/>
  <c r="O472" i="9"/>
  <c r="M224" i="43"/>
  <c r="M366" i="61"/>
  <c r="J399" i="61"/>
  <c r="M399" i="61" s="1"/>
  <c r="M368" i="36"/>
  <c r="K147" i="7"/>
  <c r="L592" i="9"/>
  <c r="O586" i="9"/>
  <c r="K565" i="9"/>
  <c r="O599" i="9"/>
  <c r="P599" i="9" s="1"/>
  <c r="K559" i="9"/>
  <c r="O565" i="9"/>
  <c r="K592" i="9"/>
  <c r="L559" i="9"/>
  <c r="L577" i="9"/>
  <c r="L613" i="9"/>
  <c r="O610" i="9"/>
  <c r="P610" i="9" s="1"/>
  <c r="L601" i="9"/>
  <c r="K610" i="9"/>
  <c r="L611" i="9"/>
  <c r="O611" i="9"/>
  <c r="O560" i="9"/>
  <c r="L586" i="9"/>
  <c r="K613" i="9"/>
  <c r="O571" i="9"/>
  <c r="K560" i="9"/>
  <c r="K569" i="9"/>
  <c r="O569" i="9"/>
  <c r="O577" i="9"/>
  <c r="P577" i="9" s="1"/>
  <c r="O561" i="9"/>
  <c r="L561" i="9"/>
  <c r="C247" i="9"/>
  <c r="C248" i="9"/>
  <c r="C249" i="9"/>
  <c r="C250" i="9" s="1"/>
  <c r="C251" i="9" s="1"/>
  <c r="C252" i="9" s="1"/>
  <c r="C253" i="9" s="1"/>
  <c r="J246" i="9"/>
  <c r="H251" i="9" s="1"/>
  <c r="L710" i="9"/>
  <c r="L922" i="9"/>
  <c r="K990" i="9"/>
  <c r="L1063" i="9"/>
  <c r="K1097" i="9"/>
  <c r="O1146" i="9"/>
  <c r="P1146" i="9" s="1"/>
  <c r="K1214" i="9"/>
  <c r="L1293" i="9"/>
  <c r="O1335" i="9"/>
  <c r="P1335" i="9"/>
  <c r="P1337" i="9" s="1"/>
  <c r="L702" i="9"/>
  <c r="K753" i="9"/>
  <c r="O775" i="9"/>
  <c r="P775" i="9" s="1"/>
  <c r="K895" i="9"/>
  <c r="L945" i="9"/>
  <c r="K1053" i="9"/>
  <c r="O1112" i="9"/>
  <c r="P1112" i="9"/>
  <c r="K1149" i="9"/>
  <c r="O1386" i="9"/>
  <c r="P1386" i="9" s="1"/>
  <c r="O182" i="9"/>
  <c r="L196" i="9"/>
  <c r="L424" i="9"/>
  <c r="O567" i="9"/>
  <c r="L569" i="9"/>
  <c r="L1193" i="9"/>
  <c r="D450" i="9"/>
  <c r="D451" i="9"/>
  <c r="D452" i="9"/>
  <c r="D453" i="9" s="1"/>
  <c r="D454" i="9" s="1"/>
  <c r="D455" i="9" s="1"/>
  <c r="D456" i="9" s="1"/>
  <c r="J449" i="9"/>
  <c r="H454" i="9" s="1"/>
  <c r="C31" i="9"/>
  <c r="C32" i="9"/>
  <c r="C33" i="9" s="1"/>
  <c r="C34" i="9" s="1"/>
  <c r="C35" i="9" s="1"/>
  <c r="C36" i="9" s="1"/>
  <c r="C37" i="9" s="1"/>
  <c r="J30" i="9"/>
  <c r="H35" i="9"/>
  <c r="O1130" i="9"/>
  <c r="P1130" i="9" s="1"/>
  <c r="L994" i="9"/>
  <c r="K994" i="9"/>
  <c r="O623" i="9"/>
  <c r="P623" i="9" s="1"/>
  <c r="L723" i="9"/>
  <c r="K916" i="9"/>
  <c r="K1091" i="9"/>
  <c r="L1386" i="9"/>
  <c r="K599" i="9"/>
  <c r="O613" i="9"/>
  <c r="P613" i="9"/>
  <c r="K586" i="9"/>
  <c r="O592" i="9"/>
  <c r="O600" i="9"/>
  <c r="P600" i="9" s="1"/>
  <c r="L610" i="9"/>
  <c r="O602" i="9"/>
  <c r="P602" i="9" s="1"/>
  <c r="K601" i="9"/>
  <c r="L560" i="9"/>
  <c r="L565" i="9"/>
  <c r="O559" i="9"/>
  <c r="L563" i="9"/>
  <c r="L571" i="9"/>
  <c r="K611" i="9"/>
  <c r="K632" i="9"/>
  <c r="M169" i="7"/>
  <c r="I186" i="7"/>
  <c r="J186" i="7"/>
  <c r="J133" i="7"/>
  <c r="J135" i="7"/>
  <c r="J137" i="7"/>
  <c r="J139" i="7" s="1"/>
  <c r="J141" i="7" s="1"/>
  <c r="M35" i="7"/>
  <c r="M37" i="7"/>
  <c r="M41" i="7"/>
  <c r="M270" i="7"/>
  <c r="M493" i="9"/>
  <c r="M38" i="7"/>
  <c r="M158" i="7"/>
  <c r="M255" i="7"/>
  <c r="M155" i="7"/>
  <c r="M167" i="7" s="1"/>
  <c r="M471" i="9" s="1"/>
  <c r="M234" i="7"/>
  <c r="M244" i="7"/>
  <c r="M491" i="9"/>
  <c r="J74" i="7"/>
  <c r="K119" i="7"/>
  <c r="I119" i="7"/>
  <c r="G104" i="7"/>
  <c r="I104" i="7" s="1"/>
  <c r="G88" i="7" s="1"/>
  <c r="I88" i="7" s="1"/>
  <c r="I74" i="7"/>
  <c r="M176" i="7"/>
  <c r="I193" i="7"/>
  <c r="J193" i="7"/>
  <c r="M249" i="7"/>
  <c r="M358" i="7"/>
  <c r="M362" i="7" s="1"/>
  <c r="M520" i="9" s="1"/>
  <c r="M39" i="7"/>
  <c r="M312" i="7"/>
  <c r="M501" i="9" s="1"/>
  <c r="M283" i="7"/>
  <c r="M494" i="9"/>
  <c r="M314" i="7"/>
  <c r="M502" i="9" s="1"/>
  <c r="P502" i="9" s="1"/>
  <c r="M246" i="7"/>
  <c r="M32" i="7"/>
  <c r="M40" i="7"/>
  <c r="M375" i="7"/>
  <c r="M521" i="9"/>
  <c r="I199" i="7"/>
  <c r="M182" i="7"/>
  <c r="M349" i="7"/>
  <c r="M519" i="9"/>
  <c r="M400" i="7"/>
  <c r="M535" i="9" s="1"/>
  <c r="I195" i="7"/>
  <c r="J195" i="7"/>
  <c r="M178" i="7"/>
  <c r="M170" i="7"/>
  <c r="J187" i="7"/>
  <c r="I187" i="7"/>
  <c r="J385" i="7"/>
  <c r="M385" i="7" s="1"/>
  <c r="M528" i="9" s="1"/>
  <c r="P528" i="9" s="1"/>
  <c r="M527" i="9"/>
  <c r="I189" i="7"/>
  <c r="K98" i="7"/>
  <c r="K82" i="7" s="1"/>
  <c r="I68" i="7"/>
  <c r="M68" i="7" s="1"/>
  <c r="J68" i="7"/>
  <c r="J191" i="7"/>
  <c r="M254" i="7"/>
  <c r="M295" i="7"/>
  <c r="M251" i="7"/>
  <c r="M174" i="7"/>
  <c r="I188" i="7"/>
  <c r="M164" i="7"/>
  <c r="M163" i="7"/>
  <c r="M171" i="7"/>
  <c r="M252" i="7"/>
  <c r="M253" i="7"/>
  <c r="M250" i="7"/>
  <c r="K123" i="7"/>
  <c r="I78" i="7"/>
  <c r="M78" i="7" s="1"/>
  <c r="K108" i="7"/>
  <c r="K92" i="7" s="1"/>
  <c r="K106" i="7"/>
  <c r="K90" i="7" s="1"/>
  <c r="I76" i="7"/>
  <c r="M76" i="7" s="1"/>
  <c r="K121" i="7"/>
  <c r="J121" i="7" s="1"/>
  <c r="H106" i="7" s="1"/>
  <c r="J106" i="7" s="1"/>
  <c r="H90" i="7" s="1"/>
  <c r="I121" i="7"/>
  <c r="G106" i="7"/>
  <c r="I106" i="7" s="1"/>
  <c r="J76" i="7"/>
  <c r="K118" i="7"/>
  <c r="K103" i="7" s="1"/>
  <c r="J118" i="7"/>
  <c r="J73" i="7"/>
  <c r="I73" i="7"/>
  <c r="M73" i="7" s="1"/>
  <c r="K109" i="7"/>
  <c r="K93" i="7" s="1"/>
  <c r="K124" i="7"/>
  <c r="M124" i="7" s="1"/>
  <c r="I79" i="7"/>
  <c r="M79" i="7" s="1"/>
  <c r="J79" i="7"/>
  <c r="I190" i="7"/>
  <c r="M173" i="7"/>
  <c r="O692" i="9"/>
  <c r="P692" i="9"/>
  <c r="O894" i="9"/>
  <c r="K921" i="9"/>
  <c r="K1170" i="9"/>
  <c r="K752" i="9"/>
  <c r="L1360" i="9"/>
  <c r="L713" i="9"/>
  <c r="O717" i="9"/>
  <c r="K936" i="9"/>
  <c r="L958" i="9"/>
  <c r="L1168" i="9"/>
  <c r="O390" i="9"/>
  <c r="K774" i="9"/>
  <c r="L902" i="9"/>
  <c r="O935" i="9"/>
  <c r="P935" i="9"/>
  <c r="L995" i="9"/>
  <c r="O1030" i="9"/>
  <c r="P1030" i="9" s="1"/>
  <c r="O1033" i="9"/>
  <c r="P1033" i="9"/>
  <c r="L1037" i="9"/>
  <c r="O1089" i="9"/>
  <c r="L1131" i="9"/>
  <c r="O1158" i="9"/>
  <c r="P1158" i="9" s="1"/>
  <c r="O1172" i="9"/>
  <c r="P1172" i="9" s="1"/>
  <c r="L1341" i="9"/>
  <c r="O755" i="9"/>
  <c r="O964" i="9"/>
  <c r="P964" i="9" s="1"/>
  <c r="P966" i="9" s="1"/>
  <c r="O1012" i="9"/>
  <c r="O1032" i="9"/>
  <c r="P1032" i="9" s="1"/>
  <c r="O1036" i="9"/>
  <c r="P1036" i="9" s="1"/>
  <c r="K1044" i="9"/>
  <c r="K1150" i="9"/>
  <c r="L396" i="9"/>
  <c r="O759" i="9"/>
  <c r="P759" i="9" s="1"/>
  <c r="O666" i="9"/>
  <c r="K104" i="7"/>
  <c r="K88" i="7"/>
  <c r="J119" i="7"/>
  <c r="H104" i="7" s="1"/>
  <c r="J104" i="7" s="1"/>
  <c r="H88" i="7" s="1"/>
  <c r="J88" i="7" s="1"/>
  <c r="J124" i="7"/>
  <c r="H109" i="7"/>
  <c r="J109" i="7" s="1"/>
  <c r="H93" i="7" s="1"/>
  <c r="I124" i="7"/>
  <c r="G109" i="7" s="1"/>
  <c r="I109" i="7" s="1"/>
  <c r="G93" i="7" s="1"/>
  <c r="I93" i="7" s="1"/>
  <c r="L981" i="9"/>
  <c r="K1387" i="9"/>
  <c r="K389" i="9"/>
  <c r="K1103" i="9"/>
  <c r="L1128" i="9"/>
  <c r="L1279" i="9"/>
  <c r="L1351" i="9"/>
  <c r="L159" i="9"/>
  <c r="P657" i="9"/>
  <c r="K1385" i="9"/>
  <c r="L1271" i="9"/>
  <c r="L426" i="9"/>
  <c r="K663" i="9"/>
  <c r="O1105" i="9"/>
  <c r="P1105" i="9" s="1"/>
  <c r="K180" i="9"/>
  <c r="P630" i="9"/>
  <c r="H103" i="7"/>
  <c r="M101" i="36"/>
  <c r="M55" i="61"/>
  <c r="K57" i="61"/>
  <c r="M57" i="61"/>
  <c r="N57" i="61" s="1"/>
  <c r="K73" i="61"/>
  <c r="M73" i="61"/>
  <c r="M309" i="36"/>
  <c r="I70" i="7"/>
  <c r="M70" i="7"/>
  <c r="K115" i="7"/>
  <c r="K100" i="7"/>
  <c r="M89" i="36"/>
  <c r="M91" i="36" s="1"/>
  <c r="J93" i="36" s="1"/>
  <c r="J95" i="36" s="1"/>
  <c r="M30" i="60"/>
  <c r="Q27" i="60"/>
  <c r="J316" i="36"/>
  <c r="J136" i="26"/>
  <c r="H196" i="26"/>
  <c r="K254" i="26"/>
  <c r="I254" i="26"/>
  <c r="J205" i="36"/>
  <c r="J395" i="26"/>
  <c r="G244" i="26"/>
  <c r="F168" i="26"/>
  <c r="F188" i="26"/>
  <c r="M148" i="26"/>
  <c r="H126" i="26"/>
  <c r="M98" i="26"/>
  <c r="I180" i="26"/>
  <c r="G160" i="26" s="1"/>
  <c r="I160" i="26" s="1"/>
  <c r="M206" i="36"/>
  <c r="J206" i="36"/>
  <c r="O15" i="60"/>
  <c r="F196" i="26"/>
  <c r="G169" i="26"/>
  <c r="I169" i="26" s="1"/>
  <c r="J194" i="7"/>
  <c r="I194" i="7"/>
  <c r="M177" i="7"/>
  <c r="K194" i="7"/>
  <c r="J336" i="26"/>
  <c r="E243" i="26"/>
  <c r="F184" i="26"/>
  <c r="M184" i="26" s="1"/>
  <c r="F155" i="26"/>
  <c r="J398" i="26"/>
  <c r="I256" i="26"/>
  <c r="M81" i="26"/>
  <c r="K253" i="26"/>
  <c r="K256" i="26"/>
  <c r="I141" i="39"/>
  <c r="N4" i="58"/>
  <c r="E255" i="26"/>
  <c r="M85" i="26"/>
  <c r="H121" i="26"/>
  <c r="M253" i="26"/>
  <c r="K169" i="39"/>
  <c r="M169" i="39" s="1"/>
  <c r="M172" i="39" s="1"/>
  <c r="I312" i="61"/>
  <c r="I299" i="61"/>
  <c r="K197" i="26"/>
  <c r="K177" i="26" s="1"/>
  <c r="M55" i="50"/>
  <c r="P198" i="9"/>
  <c r="H58" i="50"/>
  <c r="J58" i="50" s="1"/>
  <c r="M58" i="50" s="1"/>
  <c r="M62" i="50"/>
  <c r="BC37" i="32"/>
  <c r="AK37" i="32"/>
  <c r="AQ37" i="32" s="1"/>
  <c r="AF37" i="32"/>
  <c r="AA37" i="32"/>
  <c r="BL37" i="32"/>
  <c r="AM37" i="32"/>
  <c r="AH37" i="32"/>
  <c r="AV37" i="32"/>
  <c r="R37" i="32"/>
  <c r="J37" i="32"/>
  <c r="Q37" i="32"/>
  <c r="AW37" i="32"/>
  <c r="T37" i="32"/>
  <c r="U37" i="32"/>
  <c r="BQ37" i="32"/>
  <c r="BA37" i="32"/>
  <c r="W37" i="32"/>
  <c r="AU37" i="32"/>
  <c r="AP37" i="32"/>
  <c r="AL37" i="32"/>
  <c r="Y37" i="32"/>
  <c r="BP37" i="32"/>
  <c r="BO37" i="32"/>
  <c r="AT37" i="32"/>
  <c r="AO37" i="32" s="1"/>
  <c r="V37" i="32"/>
  <c r="AZ37" i="32"/>
  <c r="BB37" i="32"/>
  <c r="AC37" i="32"/>
  <c r="AD37" i="32"/>
  <c r="AJ37" i="32"/>
  <c r="S37" i="32"/>
  <c r="X37" i="32"/>
  <c r="Z37" i="32"/>
  <c r="AS37" i="32"/>
  <c r="AY37" i="32"/>
  <c r="BK37" i="32"/>
  <c r="AR37" i="32"/>
  <c r="AX37" i="32"/>
  <c r="AE37" i="32"/>
  <c r="O7" i="58"/>
  <c r="H61" i="50"/>
  <c r="M65" i="50"/>
  <c r="M856" i="9"/>
  <c r="M414" i="26"/>
  <c r="M87" i="39"/>
  <c r="M636" i="9"/>
  <c r="P636" i="9"/>
  <c r="BM54" i="32"/>
  <c r="BN54" i="32"/>
  <c r="BN53" i="32"/>
  <c r="BM53" i="32"/>
  <c r="BM39" i="32"/>
  <c r="BN39" i="32"/>
  <c r="BN52" i="32"/>
  <c r="BM44" i="32"/>
  <c r="BN44" i="32"/>
  <c r="BN24" i="32"/>
  <c r="M146" i="50"/>
  <c r="M140" i="39"/>
  <c r="BM46" i="32"/>
  <c r="BN46" i="32"/>
  <c r="BM15" i="32"/>
  <c r="BM11" i="32"/>
  <c r="BM34" i="32"/>
  <c r="BN34" i="32"/>
  <c r="BN51" i="32"/>
  <c r="K97" i="50"/>
  <c r="K95" i="50"/>
  <c r="M143" i="50"/>
  <c r="I390" i="26"/>
  <c r="M390" i="26"/>
  <c r="G133" i="26"/>
  <c r="I332" i="26"/>
  <c r="F239" i="26"/>
  <c r="I115" i="26"/>
  <c r="J310" i="26"/>
  <c r="J283" i="26"/>
  <c r="J311" i="26"/>
  <c r="J62" i="43"/>
  <c r="M61" i="38"/>
  <c r="M1090" i="9"/>
  <c r="J63" i="38"/>
  <c r="M63" i="38" s="1"/>
  <c r="M145" i="50"/>
  <c r="BM45" i="32"/>
  <c r="BM43" i="32"/>
  <c r="BN43" i="32"/>
  <c r="BM49" i="32"/>
  <c r="BN49" i="32"/>
  <c r="BM27" i="32"/>
  <c r="BN27" i="32"/>
  <c r="K181" i="26"/>
  <c r="M170" i="38"/>
  <c r="M1149" i="9" s="1"/>
  <c r="M142" i="50"/>
  <c r="M144" i="50" s="1"/>
  <c r="M149" i="50" s="1"/>
  <c r="M205" i="9" s="1"/>
  <c r="K76" i="43"/>
  <c r="M76" i="43" s="1"/>
  <c r="M64" i="43"/>
  <c r="M75" i="38"/>
  <c r="BM23" i="32"/>
  <c r="BM47" i="32"/>
  <c r="BM18" i="32"/>
  <c r="BN18" i="32"/>
  <c r="BE24" i="32"/>
  <c r="O27" i="32"/>
  <c r="H240" i="26"/>
  <c r="M418" i="9"/>
  <c r="M171" i="43"/>
  <c r="M419" i="9" s="1"/>
  <c r="P419" i="9" s="1"/>
  <c r="K68" i="43"/>
  <c r="M68" i="43"/>
  <c r="M56" i="43"/>
  <c r="M241" i="31"/>
  <c r="M1229" i="9"/>
  <c r="G203" i="26"/>
  <c r="F58" i="50"/>
  <c r="K174" i="38"/>
  <c r="M174" i="38" s="1"/>
  <c r="M1151" i="9" s="1"/>
  <c r="V21" i="32"/>
  <c r="AG38" i="32"/>
  <c r="AB38" i="32" s="1"/>
  <c r="BM31" i="32"/>
  <c r="BN31" i="32"/>
  <c r="BM35" i="32"/>
  <c r="BN17" i="32"/>
  <c r="BM33" i="32"/>
  <c r="BN33" i="32"/>
  <c r="I92" i="31"/>
  <c r="M55" i="38"/>
  <c r="K67" i="38"/>
  <c r="M67" i="38"/>
  <c r="AW46" i="32"/>
  <c r="AV46" i="32"/>
  <c r="AF46" i="32"/>
  <c r="AA46" i="32"/>
  <c r="T46" i="32"/>
  <c r="AL46" i="32"/>
  <c r="S46" i="32"/>
  <c r="Y46" i="32"/>
  <c r="AS46" i="32"/>
  <c r="BB46" i="32"/>
  <c r="AM46" i="32"/>
  <c r="AH46" i="32"/>
  <c r="AZ46" i="32"/>
  <c r="Z46" i="32"/>
  <c r="AT46" i="32"/>
  <c r="AO46" i="32"/>
  <c r="X46" i="32"/>
  <c r="Q46" i="32"/>
  <c r="AR46" i="32"/>
  <c r="AX46" i="32"/>
  <c r="AE46" i="32"/>
  <c r="Z54" i="32"/>
  <c r="AS54" i="32"/>
  <c r="AE54" i="32"/>
  <c r="AF54" i="32"/>
  <c r="AA54" i="32" s="1"/>
  <c r="U54" i="32"/>
  <c r="Y54" i="32"/>
  <c r="AT54" i="32"/>
  <c r="AO54" i="32" s="1"/>
  <c r="R54" i="32"/>
  <c r="AL54" i="32"/>
  <c r="AM54" i="32"/>
  <c r="AH54" i="32" s="1"/>
  <c r="AY54" i="32"/>
  <c r="AV54" i="32"/>
  <c r="X54" i="32"/>
  <c r="BM25" i="32"/>
  <c r="K52" i="8"/>
  <c r="K62" i="8"/>
  <c r="K60" i="8"/>
  <c r="BQ18" i="32"/>
  <c r="T18" i="32"/>
  <c r="BK18" i="32"/>
  <c r="AS18" i="32"/>
  <c r="Y18" i="32"/>
  <c r="AR18" i="32"/>
  <c r="AX18" i="32"/>
  <c r="BB18" i="32"/>
  <c r="AU18" i="32"/>
  <c r="AP18" i="32"/>
  <c r="X18" i="32"/>
  <c r="AF18" i="32"/>
  <c r="AA18" i="32" s="1"/>
  <c r="BO18" i="32"/>
  <c r="AW18" i="32"/>
  <c r="AE18" i="32"/>
  <c r="AV18" i="32"/>
  <c r="AT18" i="32"/>
  <c r="AO18" i="32"/>
  <c r="AK18" i="32"/>
  <c r="AQ18" i="32" s="1"/>
  <c r="U18" i="32"/>
  <c r="BA13" i="32"/>
  <c r="AU13" i="32"/>
  <c r="AP13" i="32"/>
  <c r="AE13" i="32"/>
  <c r="Y13" i="32"/>
  <c r="BE25" i="32"/>
  <c r="BJ25" i="32"/>
  <c r="AK25" i="32"/>
  <c r="AQ25" i="32" s="1"/>
  <c r="Z25" i="32"/>
  <c r="BL25" i="32"/>
  <c r="BN25" i="32"/>
  <c r="BK29" i="32"/>
  <c r="AR29" i="32"/>
  <c r="AX29" i="32"/>
  <c r="J29" i="32"/>
  <c r="S29" i="32"/>
  <c r="M217" i="31"/>
  <c r="M73" i="38"/>
  <c r="M1093" i="9" s="1"/>
  <c r="M764" i="9"/>
  <c r="P764" i="9"/>
  <c r="M132" i="8"/>
  <c r="M765" i="9" s="1"/>
  <c r="P765" i="9" s="1"/>
  <c r="M91" i="34"/>
  <c r="BP33" i="32"/>
  <c r="BE33" i="32"/>
  <c r="P21" i="32"/>
  <c r="BM42" i="32"/>
  <c r="BN42" i="32"/>
  <c r="M57" i="38"/>
  <c r="M1089" i="9" s="1"/>
  <c r="K315" i="26"/>
  <c r="M315" i="26"/>
  <c r="M286" i="26"/>
  <c r="K314" i="26"/>
  <c r="M314" i="26" s="1"/>
  <c r="BQ38" i="32"/>
  <c r="AY38" i="32"/>
  <c r="T38" i="32"/>
  <c r="U38" i="32"/>
  <c r="AR38" i="32"/>
  <c r="AX38" i="32"/>
  <c r="AM38" i="32"/>
  <c r="AH38" i="32" s="1"/>
  <c r="R51" i="32"/>
  <c r="BL51" i="32"/>
  <c r="BM51" i="32" s="1"/>
  <c r="Z51" i="32"/>
  <c r="AU51" i="32"/>
  <c r="AP51" i="32"/>
  <c r="AS51" i="32"/>
  <c r="AF51" i="32"/>
  <c r="AA51" i="32"/>
  <c r="BA40" i="32"/>
  <c r="Y40" i="32"/>
  <c r="BC40" i="32"/>
  <c r="AS40" i="32"/>
  <c r="BB40" i="32"/>
  <c r="AZ40" i="32"/>
  <c r="BM48" i="32"/>
  <c r="BN48" i="32"/>
  <c r="V48" i="32"/>
  <c r="AS55" i="32"/>
  <c r="Y55" i="32"/>
  <c r="X55" i="32"/>
  <c r="S55" i="32"/>
  <c r="U55" i="32"/>
  <c r="M65" i="38"/>
  <c r="M1091" i="9"/>
  <c r="BM21" i="32"/>
  <c r="M58" i="31"/>
  <c r="Z17" i="32"/>
  <c r="U17" i="32"/>
  <c r="AW17" i="32"/>
  <c r="BK17" i="32"/>
  <c r="AF17" i="32"/>
  <c r="AA17" i="32"/>
  <c r="AS17" i="32"/>
  <c r="J22" i="32"/>
  <c r="AU22" i="32"/>
  <c r="AP22" i="32"/>
  <c r="BK22" i="32"/>
  <c r="M133" i="37"/>
  <c r="BO30" i="32"/>
  <c r="BC30" i="32"/>
  <c r="AY30" i="32"/>
  <c r="Z30" i="32"/>
  <c r="BL30" i="32"/>
  <c r="BQ32" i="32"/>
  <c r="AR32" i="32"/>
  <c r="AX32" i="32"/>
  <c r="J32" i="32"/>
  <c r="BC32" i="32"/>
  <c r="H54" i="34"/>
  <c r="M54" i="34"/>
  <c r="M204" i="46"/>
  <c r="E243" i="46"/>
  <c r="M243" i="46"/>
  <c r="E262" i="46"/>
  <c r="J262" i="46" s="1"/>
  <c r="J267" i="46" s="1"/>
  <c r="J223" i="46"/>
  <c r="AL48" i="32"/>
  <c r="U16" i="32"/>
  <c r="AU14" i="32"/>
  <c r="AP14" i="32" s="1"/>
  <c r="Q44" i="32"/>
  <c r="AY52" i="32"/>
  <c r="T31" i="32"/>
  <c r="K31" i="34"/>
  <c r="M31" i="34"/>
  <c r="M35" i="34"/>
  <c r="M142" i="46"/>
  <c r="E180" i="46"/>
  <c r="M292" i="46"/>
  <c r="AA298" i="46"/>
  <c r="M349" i="46"/>
  <c r="M363" i="46"/>
  <c r="M369" i="46"/>
  <c r="BM19" i="32"/>
  <c r="BN19" i="32"/>
  <c r="M252" i="34"/>
  <c r="M285" i="31"/>
  <c r="M1255" i="9" s="1"/>
  <c r="P1255" i="9" s="1"/>
  <c r="BA48" i="32"/>
  <c r="AR14" i="32"/>
  <c r="AX14" i="32" s="1"/>
  <c r="X15" i="32"/>
  <c r="BC14" i="32"/>
  <c r="AU48" i="32"/>
  <c r="AP48" i="32"/>
  <c r="AR50" i="32"/>
  <c r="AX50" i="32" s="1"/>
  <c r="Z50" i="32"/>
  <c r="AS52" i="32"/>
  <c r="X52" i="32"/>
  <c r="J50" i="32"/>
  <c r="BE48" i="32"/>
  <c r="BK11" i="32"/>
  <c r="BK41" i="32"/>
  <c r="U41" i="32"/>
  <c r="Q50" i="32"/>
  <c r="BL52" i="32"/>
  <c r="BM52" i="32"/>
  <c r="BK36" i="32"/>
  <c r="M115" i="31"/>
  <c r="M116" i="31"/>
  <c r="M1189" i="9" s="1"/>
  <c r="P1189" i="9" s="1"/>
  <c r="M183" i="31"/>
  <c r="M1213" i="9"/>
  <c r="P1213" i="9" s="1"/>
  <c r="M249" i="34"/>
  <c r="M254" i="34"/>
  <c r="L1094" i="9"/>
  <c r="G44" i="46"/>
  <c r="K82" i="46"/>
  <c r="K70" i="46"/>
  <c r="J142" i="46"/>
  <c r="J144" i="46"/>
  <c r="E182" i="46"/>
  <c r="M144" i="46"/>
  <c r="J146" i="46"/>
  <c r="M146" i="46"/>
  <c r="E184" i="46"/>
  <c r="M261" i="46"/>
  <c r="M289" i="46"/>
  <c r="M287" i="46"/>
  <c r="M325" i="46"/>
  <c r="X48" i="32"/>
  <c r="BO16" i="32"/>
  <c r="S14" i="32"/>
  <c r="BA41" i="32"/>
  <c r="AE48" i="32"/>
  <c r="AR48" i="32"/>
  <c r="AX48" i="32"/>
  <c r="AY50" i="32"/>
  <c r="BK50" i="32"/>
  <c r="S41" i="32"/>
  <c r="M113" i="31"/>
  <c r="M1188" i="9" s="1"/>
  <c r="M112" i="31"/>
  <c r="BD30" i="32"/>
  <c r="BD56" i="32" s="1"/>
  <c r="K68" i="8" s="1"/>
  <c r="M110" i="8"/>
  <c r="M96" i="8"/>
  <c r="M114" i="8"/>
  <c r="M250" i="34"/>
  <c r="M253" i="34"/>
  <c r="K74" i="46"/>
  <c r="K66" i="46"/>
  <c r="K80" i="46"/>
  <c r="M124" i="46"/>
  <c r="E162" i="46"/>
  <c r="M162" i="46" s="1"/>
  <c r="E264" i="46"/>
  <c r="J264" i="46"/>
  <c r="J225" i="46"/>
  <c r="M36" i="46"/>
  <c r="M143" i="46"/>
  <c r="M203" i="46"/>
  <c r="M247" i="46"/>
  <c r="M346" i="36"/>
  <c r="M386" i="36" s="1"/>
  <c r="M585" i="9" s="1"/>
  <c r="B52" i="49"/>
  <c r="B53" i="49" s="1"/>
  <c r="B54" i="49" s="1"/>
  <c r="C51" i="49"/>
  <c r="M166" i="46"/>
  <c r="M260" i="46"/>
  <c r="M278" i="46"/>
  <c r="M344" i="46"/>
  <c r="I137" i="39"/>
  <c r="H148" i="39"/>
  <c r="J148" i="39"/>
  <c r="M127" i="39"/>
  <c r="M248" i="9"/>
  <c r="D19" i="18" s="1"/>
  <c r="G34" i="47" s="1"/>
  <c r="I34" i="47" s="1"/>
  <c r="N50" i="50"/>
  <c r="M207" i="9"/>
  <c r="P207" i="9" s="1"/>
  <c r="M170" i="50"/>
  <c r="M213" i="9"/>
  <c r="P213" i="9" s="1"/>
  <c r="M115" i="50"/>
  <c r="M119" i="50"/>
  <c r="M196" i="9"/>
  <c r="P196" i="9" s="1"/>
  <c r="M157" i="50"/>
  <c r="M208" i="9"/>
  <c r="P208" i="9"/>
  <c r="H251" i="26"/>
  <c r="I251" i="26"/>
  <c r="I948" i="58"/>
  <c r="J940" i="58"/>
  <c r="I926" i="58"/>
  <c r="J917" i="58"/>
  <c r="J908" i="58"/>
  <c r="I874" i="58"/>
  <c r="J867" i="58"/>
  <c r="J859" i="58"/>
  <c r="I830" i="58"/>
  <c r="I826" i="58"/>
  <c r="J820" i="58"/>
  <c r="I814" i="58"/>
  <c r="I798" i="58"/>
  <c r="J798" i="58"/>
  <c r="J795" i="58"/>
  <c r="J790" i="58"/>
  <c r="J774" i="58"/>
  <c r="I774" i="58"/>
  <c r="I746" i="58"/>
  <c r="J706" i="58"/>
  <c r="I706" i="58"/>
  <c r="J702" i="58"/>
  <c r="J693" i="58"/>
  <c r="I693" i="58"/>
  <c r="J1018" i="58"/>
  <c r="J1017" i="58"/>
  <c r="J1016" i="58"/>
  <c r="I1015" i="58"/>
  <c r="J1009" i="58"/>
  <c r="J1008" i="58"/>
  <c r="J993" i="58"/>
  <c r="J992" i="58"/>
  <c r="J977" i="58"/>
  <c r="J976" i="58"/>
  <c r="J961" i="58"/>
  <c r="J960" i="58"/>
  <c r="I938" i="58"/>
  <c r="J937" i="58"/>
  <c r="J936" i="58"/>
  <c r="I906" i="58"/>
  <c r="J905" i="58"/>
  <c r="I904" i="58"/>
  <c r="J903" i="58"/>
  <c r="J902" i="58"/>
  <c r="I899" i="58"/>
  <c r="I835" i="58"/>
  <c r="J835" i="58"/>
  <c r="J803" i="58"/>
  <c r="I803" i="58"/>
  <c r="I782" i="58"/>
  <c r="J782" i="58"/>
  <c r="J779" i="58"/>
  <c r="J778" i="58"/>
  <c r="I763" i="58"/>
  <c r="J763" i="58"/>
  <c r="I739" i="58"/>
  <c r="J739" i="58"/>
  <c r="I942" i="58"/>
  <c r="J933" i="58"/>
  <c r="J924" i="58"/>
  <c r="I910" i="58"/>
  <c r="J890" i="58"/>
  <c r="J842" i="58"/>
  <c r="I842" i="58"/>
  <c r="J838" i="58"/>
  <c r="J828" i="58"/>
  <c r="I822" i="58"/>
  <c r="I818" i="58"/>
  <c r="I810" i="58"/>
  <c r="J810" i="58"/>
  <c r="J788" i="58"/>
  <c r="I788" i="58"/>
  <c r="I783" i="58"/>
  <c r="J714" i="58"/>
  <c r="I866" i="58"/>
  <c r="J866" i="58"/>
  <c r="I794" i="58"/>
  <c r="J794" i="58"/>
  <c r="I738" i="58"/>
  <c r="J738" i="58"/>
  <c r="J538" i="58"/>
  <c r="J519" i="58"/>
  <c r="I518" i="58"/>
  <c r="J515" i="58"/>
  <c r="I511" i="58"/>
  <c r="J510" i="58"/>
  <c r="J506" i="58"/>
  <c r="J487" i="58"/>
  <c r="I486" i="58"/>
  <c r="J483" i="58"/>
  <c r="I479" i="58"/>
  <c r="J478" i="58"/>
  <c r="J474" i="58"/>
  <c r="J455" i="58"/>
  <c r="I454" i="58"/>
  <c r="J451" i="58"/>
  <c r="I447" i="58"/>
  <c r="J446" i="58"/>
  <c r="J442" i="58"/>
  <c r="I398" i="58"/>
  <c r="J392" i="58"/>
  <c r="I384" i="58"/>
  <c r="I380" i="58"/>
  <c r="I340" i="58"/>
  <c r="J335" i="58"/>
  <c r="I329" i="58"/>
  <c r="J325" i="58"/>
  <c r="J324" i="58"/>
  <c r="I309" i="58"/>
  <c r="I293" i="58"/>
  <c r="I280" i="58"/>
  <c r="J280" i="58"/>
  <c r="J277" i="58"/>
  <c r="I256" i="58"/>
  <c r="I255" i="58"/>
  <c r="J254" i="58"/>
  <c r="I253" i="58"/>
  <c r="I252" i="58"/>
  <c r="I238" i="58"/>
  <c r="J238" i="58"/>
  <c r="J204" i="58"/>
  <c r="I204" i="58"/>
  <c r="J539" i="58"/>
  <c r="J530" i="58"/>
  <c r="J507" i="58"/>
  <c r="J498" i="58"/>
  <c r="J475" i="58"/>
  <c r="J466" i="58"/>
  <c r="J443" i="58"/>
  <c r="J434" i="58"/>
  <c r="I404" i="58"/>
  <c r="J399" i="58"/>
  <c r="I393" i="58"/>
  <c r="I381" i="58"/>
  <c r="J356" i="58"/>
  <c r="J297" i="58"/>
  <c r="I297" i="58"/>
  <c r="J285" i="58"/>
  <c r="I285" i="58"/>
  <c r="J244" i="58"/>
  <c r="I244" i="58"/>
  <c r="J208" i="58"/>
  <c r="I208" i="58"/>
  <c r="I205" i="58"/>
  <c r="J188" i="58"/>
  <c r="I188" i="58"/>
  <c r="I303" i="58"/>
  <c r="J303" i="58"/>
  <c r="J248" i="58"/>
  <c r="I248" i="58"/>
  <c r="J221" i="58"/>
  <c r="I221" i="58"/>
  <c r="I543" i="58"/>
  <c r="J523" i="58"/>
  <c r="J514" i="58"/>
  <c r="J491" i="58"/>
  <c r="J482" i="58"/>
  <c r="J459" i="58"/>
  <c r="J450" i="58"/>
  <c r="J421" i="58"/>
  <c r="J397" i="58"/>
  <c r="I383" i="58"/>
  <c r="J377" i="58"/>
  <c r="I334" i="58"/>
  <c r="J328" i="58"/>
  <c r="J308" i="58"/>
  <c r="I308" i="58"/>
  <c r="J304" i="58"/>
  <c r="J301" i="58"/>
  <c r="I292" i="58"/>
  <c r="I287" i="58"/>
  <c r="I276" i="58"/>
  <c r="J276" i="58"/>
  <c r="I225" i="58"/>
  <c r="J225" i="58"/>
  <c r="J192" i="58"/>
  <c r="I192" i="58"/>
  <c r="I309" i="61"/>
  <c r="I296" i="61"/>
  <c r="I298" i="36"/>
  <c r="I306" i="36" s="1"/>
  <c r="G311" i="61"/>
  <c r="G298" i="61"/>
  <c r="G300" i="36"/>
  <c r="J152" i="58"/>
  <c r="J151" i="58"/>
  <c r="I28" i="58"/>
  <c r="J28" i="58"/>
  <c r="I11" i="58"/>
  <c r="J11" i="58"/>
  <c r="I191" i="58"/>
  <c r="I169" i="58"/>
  <c r="J163" i="58"/>
  <c r="J159" i="58"/>
  <c r="I124" i="58"/>
  <c r="J120" i="58"/>
  <c r="J119" i="58"/>
  <c r="I112" i="58"/>
  <c r="I106" i="58"/>
  <c r="J100" i="58"/>
  <c r="M129" i="39"/>
  <c r="M133" i="39" s="1"/>
  <c r="M664" i="9" s="1"/>
  <c r="J299" i="61"/>
  <c r="J312" i="61"/>
  <c r="J301" i="36"/>
  <c r="J301" i="61"/>
  <c r="J314" i="61"/>
  <c r="J303" i="36"/>
  <c r="M303" i="36" s="1"/>
  <c r="I175" i="58"/>
  <c r="J170" i="58"/>
  <c r="I164" i="58"/>
  <c r="J160" i="58"/>
  <c r="J127" i="58"/>
  <c r="J113" i="58"/>
  <c r="I107" i="58"/>
  <c r="I103" i="58"/>
  <c r="I27" i="58"/>
  <c r="J27" i="58"/>
  <c r="I12" i="58"/>
  <c r="J12" i="58"/>
  <c r="M203" i="36"/>
  <c r="J315" i="61"/>
  <c r="J302" i="61"/>
  <c r="J304" i="61" s="1"/>
  <c r="J304" i="36"/>
  <c r="M304" i="36" s="1"/>
  <c r="F307" i="61"/>
  <c r="F294" i="61"/>
  <c r="G294" i="61"/>
  <c r="G307" i="61"/>
  <c r="J307" i="61"/>
  <c r="J294" i="61"/>
  <c r="J296" i="36"/>
  <c r="G312" i="61"/>
  <c r="G299" i="61"/>
  <c r="J311" i="61"/>
  <c r="J298" i="61"/>
  <c r="J300" i="36"/>
  <c r="J297" i="61"/>
  <c r="J310" i="61"/>
  <c r="J317" i="61" s="1"/>
  <c r="M326" i="61" s="1"/>
  <c r="F310" i="61"/>
  <c r="F297" i="61"/>
  <c r="M297" i="61" s="1"/>
  <c r="F299" i="36"/>
  <c r="F296" i="61"/>
  <c r="F309" i="61"/>
  <c r="M309" i="61" s="1"/>
  <c r="J308" i="61"/>
  <c r="J295" i="61"/>
  <c r="J297" i="36"/>
  <c r="H310" i="61"/>
  <c r="H297" i="61"/>
  <c r="I311" i="61"/>
  <c r="I298" i="61"/>
  <c r="M298" i="61" s="1"/>
  <c r="J303" i="61"/>
  <c r="J316" i="61"/>
  <c r="H313" i="61"/>
  <c r="H300" i="61"/>
  <c r="M300" i="61" s="1"/>
  <c r="H302" i="36"/>
  <c r="M302" i="36" s="1"/>
  <c r="I315" i="61"/>
  <c r="I302" i="61"/>
  <c r="M147" i="39"/>
  <c r="B15" i="60"/>
  <c r="H307" i="61"/>
  <c r="H294" i="61"/>
  <c r="H296" i="36"/>
  <c r="L312" i="61"/>
  <c r="L299" i="61"/>
  <c r="L311" i="61"/>
  <c r="L298" i="61"/>
  <c r="L300" i="36"/>
  <c r="L310" i="61"/>
  <c r="L297" i="61"/>
  <c r="I310" i="61"/>
  <c r="I297" i="61"/>
  <c r="I299" i="36"/>
  <c r="H309" i="61"/>
  <c r="H296" i="61"/>
  <c r="L308" i="61"/>
  <c r="L295" i="61"/>
  <c r="L297" i="36"/>
  <c r="L306" i="36" s="1"/>
  <c r="G308" i="61"/>
  <c r="G295" i="61"/>
  <c r="F299" i="61"/>
  <c r="F312" i="61"/>
  <c r="F301" i="36"/>
  <c r="D29" i="60"/>
  <c r="H303" i="61" s="1"/>
  <c r="H315" i="61"/>
  <c r="H302" i="61"/>
  <c r="G316" i="61"/>
  <c r="G303" i="61"/>
  <c r="K316" i="61"/>
  <c r="K303" i="61"/>
  <c r="M71" i="61"/>
  <c r="N53" i="61"/>
  <c r="O53" i="61"/>
  <c r="M126" i="36"/>
  <c r="F15" i="60"/>
  <c r="K309" i="61"/>
  <c r="K296" i="61"/>
  <c r="K294" i="61"/>
  <c r="K307" i="61"/>
  <c r="K312" i="61"/>
  <c r="K299" i="61"/>
  <c r="K301" i="36"/>
  <c r="K306" i="36" s="1"/>
  <c r="H311" i="61"/>
  <c r="H298" i="61"/>
  <c r="K310" i="61"/>
  <c r="K297" i="61"/>
  <c r="K299" i="36"/>
  <c r="L309" i="61"/>
  <c r="L296" i="61"/>
  <c r="G309" i="61"/>
  <c r="G296" i="61"/>
  <c r="G298" i="36"/>
  <c r="I308" i="61"/>
  <c r="I295" i="61"/>
  <c r="F295" i="61"/>
  <c r="F308" i="61"/>
  <c r="F297" i="36"/>
  <c r="H312" i="61"/>
  <c r="H299" i="61"/>
  <c r="G313" i="61"/>
  <c r="G300" i="61"/>
  <c r="J313" i="61"/>
  <c r="J300" i="61"/>
  <c r="F314" i="61"/>
  <c r="M314" i="61"/>
  <c r="F301" i="61"/>
  <c r="I314" i="61"/>
  <c r="I301" i="61"/>
  <c r="F315" i="61"/>
  <c r="M315" i="61" s="1"/>
  <c r="F302" i="61"/>
  <c r="K315" i="61"/>
  <c r="K302" i="61"/>
  <c r="F303" i="61"/>
  <c r="F316" i="61"/>
  <c r="P14" i="60"/>
  <c r="P29" i="60" s="1"/>
  <c r="M33" i="7"/>
  <c r="F296" i="36"/>
  <c r="G296" i="36"/>
  <c r="I307" i="61"/>
  <c r="I294" i="61"/>
  <c r="L307" i="61"/>
  <c r="L294" i="61"/>
  <c r="L296" i="36"/>
  <c r="G301" i="36"/>
  <c r="M301" i="36" s="1"/>
  <c r="K311" i="61"/>
  <c r="K298" i="61"/>
  <c r="F311" i="61"/>
  <c r="F298" i="61"/>
  <c r="F300" i="36"/>
  <c r="J299" i="36"/>
  <c r="G310" i="61"/>
  <c r="G317" i="61" s="1"/>
  <c r="M320" i="61" s="1"/>
  <c r="G297" i="61"/>
  <c r="J309" i="61"/>
  <c r="J296" i="61"/>
  <c r="J298" i="36"/>
  <c r="F298" i="36"/>
  <c r="K308" i="61"/>
  <c r="K295" i="61"/>
  <c r="H308" i="61"/>
  <c r="M308" i="61" s="1"/>
  <c r="H295" i="61"/>
  <c r="H297" i="36"/>
  <c r="H299" i="36"/>
  <c r="I300" i="36"/>
  <c r="M300" i="36" s="1"/>
  <c r="L313" i="61"/>
  <c r="L300" i="61"/>
  <c r="G305" i="36"/>
  <c r="J305" i="36"/>
  <c r="L316" i="61"/>
  <c r="L303" i="61"/>
  <c r="H314" i="61"/>
  <c r="H301" i="61"/>
  <c r="I304" i="36"/>
  <c r="I316" i="61"/>
  <c r="I303" i="61"/>
  <c r="M303" i="61" s="1"/>
  <c r="J48" i="60"/>
  <c r="C60" i="60"/>
  <c r="J60" i="60" s="1"/>
  <c r="J91" i="60" s="1"/>
  <c r="T56" i="60"/>
  <c r="M57" i="60"/>
  <c r="T57" i="60"/>
  <c r="M148" i="36"/>
  <c r="F300" i="61"/>
  <c r="F313" i="61"/>
  <c r="M313" i="61"/>
  <c r="I313" i="61"/>
  <c r="I300" i="61"/>
  <c r="G314" i="61"/>
  <c r="G301" i="61"/>
  <c r="K314" i="61"/>
  <c r="K301" i="61"/>
  <c r="G315" i="61"/>
  <c r="G302" i="61"/>
  <c r="L315" i="61"/>
  <c r="L302" i="61"/>
  <c r="L314" i="61"/>
  <c r="L301" i="61"/>
  <c r="M160" i="61"/>
  <c r="J170" i="61"/>
  <c r="M176" i="61" s="1"/>
  <c r="M172" i="61"/>
  <c r="M173" i="61"/>
  <c r="E208" i="61"/>
  <c r="J208" i="61" s="1"/>
  <c r="E202" i="61"/>
  <c r="M202" i="61"/>
  <c r="J172" i="61"/>
  <c r="E206" i="61"/>
  <c r="M206" i="61" s="1"/>
  <c r="E203" i="61"/>
  <c r="M203" i="61"/>
  <c r="M141" i="61"/>
  <c r="M209" i="61"/>
  <c r="M220" i="61"/>
  <c r="K300" i="61"/>
  <c r="M240" i="61"/>
  <c r="M246" i="61"/>
  <c r="M266" i="61"/>
  <c r="M289" i="61"/>
  <c r="M387" i="61"/>
  <c r="M401" i="61" s="1"/>
  <c r="M174" i="39"/>
  <c r="M683" i="9" s="1"/>
  <c r="P683" i="9" s="1"/>
  <c r="M682" i="9"/>
  <c r="M112" i="8"/>
  <c r="M755" i="9"/>
  <c r="M754" i="9"/>
  <c r="P754" i="9"/>
  <c r="J147" i="46"/>
  <c r="M147" i="46"/>
  <c r="M159" i="46" s="1"/>
  <c r="G53" i="46"/>
  <c r="I53" i="46" s="1"/>
  <c r="G50" i="46" s="1"/>
  <c r="I50" i="46" s="1"/>
  <c r="G47" i="46" s="1"/>
  <c r="I47" i="46"/>
  <c r="I44" i="46"/>
  <c r="BO17" i="32"/>
  <c r="BQ17" i="32"/>
  <c r="BL17" i="32"/>
  <c r="BM17" i="32" s="1"/>
  <c r="BP17" i="32"/>
  <c r="I96" i="31"/>
  <c r="M96" i="31"/>
  <c r="M92" i="31"/>
  <c r="J94" i="31"/>
  <c r="M94" i="31" s="1"/>
  <c r="I133" i="26"/>
  <c r="M133" i="26"/>
  <c r="G193" i="26"/>
  <c r="I193" i="26" s="1"/>
  <c r="M193" i="26" s="1"/>
  <c r="AG37" i="32"/>
  <c r="AB37" i="32" s="1"/>
  <c r="AN37" i="32"/>
  <c r="AI37" i="32" s="1"/>
  <c r="K148" i="39"/>
  <c r="F140" i="26"/>
  <c r="H339" i="26"/>
  <c r="E246" i="26"/>
  <c r="M246" i="26" s="1"/>
  <c r="M141" i="39"/>
  <c r="H151" i="39"/>
  <c r="M93" i="36"/>
  <c r="M95" i="36"/>
  <c r="N55" i="61"/>
  <c r="O55" i="61"/>
  <c r="H319" i="36"/>
  <c r="M324" i="36"/>
  <c r="M566" i="9" s="1"/>
  <c r="M32" i="9"/>
  <c r="D17" i="18" s="1"/>
  <c r="G30" i="47" s="1"/>
  <c r="I30" i="47" s="1"/>
  <c r="H32" i="9"/>
  <c r="I32" i="9"/>
  <c r="K32" i="9" s="1"/>
  <c r="BQ11" i="32"/>
  <c r="BL11" i="32"/>
  <c r="BP11" i="32"/>
  <c r="BO11" i="32"/>
  <c r="M981" i="9"/>
  <c r="P981" i="9" s="1"/>
  <c r="M267" i="34"/>
  <c r="M1073" i="9" s="1"/>
  <c r="BM32" i="32"/>
  <c r="BN32" i="32"/>
  <c r="BE32" i="32"/>
  <c r="BG32" i="32"/>
  <c r="AC32" i="32"/>
  <c r="P32" i="32"/>
  <c r="V32" i="32"/>
  <c r="BH32" i="32"/>
  <c r="BJ32" i="32"/>
  <c r="O32" i="32"/>
  <c r="BN22" i="32"/>
  <c r="BE22" i="32"/>
  <c r="BJ22" i="32"/>
  <c r="BH22" i="32"/>
  <c r="V22" i="32"/>
  <c r="BF22" i="32" s="1"/>
  <c r="BG22" i="32"/>
  <c r="AC22" i="32"/>
  <c r="O22" i="32"/>
  <c r="P22" i="32"/>
  <c r="BI22" i="32"/>
  <c r="AN17" i="32"/>
  <c r="AI17" i="32"/>
  <c r="AG17" i="32"/>
  <c r="AB17" i="32"/>
  <c r="BF48" i="32"/>
  <c r="BJ48" i="32"/>
  <c r="BF33" i="32"/>
  <c r="BI33" i="32"/>
  <c r="BL29" i="32"/>
  <c r="BN29" i="32" s="1"/>
  <c r="BP29" i="32"/>
  <c r="BQ29" i="32"/>
  <c r="BO29" i="32"/>
  <c r="AN46" i="32"/>
  <c r="AI46" i="32"/>
  <c r="AG46" i="32"/>
  <c r="AB46" i="32"/>
  <c r="BF24" i="32"/>
  <c r="BI24" i="32"/>
  <c r="BF25" i="32"/>
  <c r="G134" i="26"/>
  <c r="G194" i="26" s="1"/>
  <c r="I194" i="26" s="1"/>
  <c r="G174" i="26" s="1"/>
  <c r="I333" i="26"/>
  <c r="M333" i="26"/>
  <c r="I391" i="26"/>
  <c r="M391" i="26"/>
  <c r="I116" i="26"/>
  <c r="F240" i="26"/>
  <c r="K161" i="26"/>
  <c r="J161" i="26"/>
  <c r="M421" i="26"/>
  <c r="M415" i="26"/>
  <c r="M422" i="26"/>
  <c r="M429" i="26"/>
  <c r="M430" i="26" s="1"/>
  <c r="M866" i="9" s="1"/>
  <c r="M417" i="26"/>
  <c r="M862" i="9" s="1"/>
  <c r="F195" i="26"/>
  <c r="O30" i="60"/>
  <c r="F208" i="26"/>
  <c r="J111" i="36"/>
  <c r="M111" i="36"/>
  <c r="M113" i="36"/>
  <c r="J206" i="61"/>
  <c r="B55" i="49"/>
  <c r="C55" i="49" s="1"/>
  <c r="C54" i="49"/>
  <c r="M116" i="8"/>
  <c r="M757" i="9" s="1"/>
  <c r="M756" i="9"/>
  <c r="BQ50" i="32"/>
  <c r="BP50" i="32"/>
  <c r="BO50" i="32"/>
  <c r="M184" i="46"/>
  <c r="J184" i="46"/>
  <c r="M182" i="46"/>
  <c r="J182" i="46"/>
  <c r="K84" i="46"/>
  <c r="K72" i="46"/>
  <c r="BC16" i="32"/>
  <c r="J228" i="46"/>
  <c r="M228" i="46"/>
  <c r="M239" i="26"/>
  <c r="I282" i="26"/>
  <c r="M282" i="26" s="1"/>
  <c r="I239" i="26"/>
  <c r="K239" i="26"/>
  <c r="O8" i="58"/>
  <c r="P8" i="58" s="1"/>
  <c r="P7" i="58"/>
  <c r="BN37" i="32"/>
  <c r="BM37" i="32"/>
  <c r="P37" i="32"/>
  <c r="BH37" i="32"/>
  <c r="BJ37" i="32"/>
  <c r="BG37" i="32"/>
  <c r="I255" i="26"/>
  <c r="M255" i="26"/>
  <c r="K255" i="26"/>
  <c r="P5" i="58"/>
  <c r="P6" i="58"/>
  <c r="E252" i="26"/>
  <c r="I252" i="26" s="1"/>
  <c r="F145" i="26"/>
  <c r="J115" i="7"/>
  <c r="H100" i="7"/>
  <c r="J100" i="7"/>
  <c r="H84" i="7" s="1"/>
  <c r="J84" i="7" s="1"/>
  <c r="I115" i="7"/>
  <c r="G100" i="7" s="1"/>
  <c r="I100" i="7" s="1"/>
  <c r="G84" i="7" s="1"/>
  <c r="I84" i="7" s="1"/>
  <c r="M84" i="7" s="1"/>
  <c r="J103" i="36"/>
  <c r="M103" i="36" s="1"/>
  <c r="M105" i="36"/>
  <c r="M208" i="61"/>
  <c r="I317" i="61"/>
  <c r="M324" i="61" s="1"/>
  <c r="P15" i="60"/>
  <c r="H316" i="61"/>
  <c r="H305" i="36"/>
  <c r="D30" i="60"/>
  <c r="M307" i="61"/>
  <c r="M316" i="61"/>
  <c r="M98" i="8"/>
  <c r="M748" i="9" s="1"/>
  <c r="P748" i="9" s="1"/>
  <c r="M747" i="9"/>
  <c r="BM50" i="32"/>
  <c r="BN50" i="32"/>
  <c r="V50" i="32"/>
  <c r="P50" i="32"/>
  <c r="BI50" i="32"/>
  <c r="BJ50" i="32"/>
  <c r="BE50" i="32"/>
  <c r="BH50" i="32"/>
  <c r="O50" i="32"/>
  <c r="BG50" i="32"/>
  <c r="AC50" i="32"/>
  <c r="BL50" i="32"/>
  <c r="J180" i="46"/>
  <c r="M180" i="46"/>
  <c r="M267" i="46"/>
  <c r="M279" i="46" s="1"/>
  <c r="I108" i="34"/>
  <c r="M108" i="34"/>
  <c r="M137" i="39"/>
  <c r="M143" i="39" s="1"/>
  <c r="I239" i="31"/>
  <c r="M239" i="31"/>
  <c r="M1228" i="9"/>
  <c r="J249" i="31"/>
  <c r="M249" i="31" s="1"/>
  <c r="M1232" i="9"/>
  <c r="BM29" i="32"/>
  <c r="P29" i="32"/>
  <c r="O29" i="32"/>
  <c r="V29" i="32"/>
  <c r="BH29" i="32"/>
  <c r="AC29" i="32"/>
  <c r="BE29" i="32"/>
  <c r="BJ29" i="32" s="1"/>
  <c r="AJ29" i="32"/>
  <c r="BG29" i="32"/>
  <c r="BI29" i="32"/>
  <c r="AN18" i="32"/>
  <c r="AI18" i="32" s="1"/>
  <c r="AG18" i="32"/>
  <c r="AB18" i="32" s="1"/>
  <c r="M147" i="50"/>
  <c r="M151" i="50" s="1"/>
  <c r="M206" i="9" s="1"/>
  <c r="BE37" i="32"/>
  <c r="BF37" i="32" s="1"/>
  <c r="O37" i="32"/>
  <c r="K84" i="7"/>
  <c r="BI37" i="32"/>
  <c r="O9" i="58"/>
  <c r="P9" i="58" s="1"/>
  <c r="BN11" i="32"/>
  <c r="M148" i="39"/>
  <c r="BF50" i="32"/>
  <c r="M424" i="26"/>
  <c r="M864" i="9" s="1"/>
  <c r="M426" i="26"/>
  <c r="M427" i="26" s="1"/>
  <c r="M865" i="9" s="1"/>
  <c r="I134" i="26"/>
  <c r="M134" i="26" s="1"/>
  <c r="K246" i="26"/>
  <c r="BF29" i="32"/>
  <c r="I318" i="36"/>
  <c r="M318" i="36" s="1"/>
  <c r="M252" i="26"/>
  <c r="K252" i="26"/>
  <c r="I310" i="26"/>
  <c r="M310" i="26" s="1"/>
  <c r="I283" i="26"/>
  <c r="O256" i="9"/>
  <c r="O255" i="9"/>
  <c r="B56" i="49"/>
  <c r="M100" i="7"/>
  <c r="G135" i="26"/>
  <c r="F241" i="26"/>
  <c r="I117" i="26"/>
  <c r="I334" i="26"/>
  <c r="I392" i="26"/>
  <c r="F242" i="26"/>
  <c r="K242" i="26" s="1"/>
  <c r="I118" i="26"/>
  <c r="I335" i="26"/>
  <c r="M335" i="26"/>
  <c r="I241" i="26"/>
  <c r="M241" i="26"/>
  <c r="K241" i="26"/>
  <c r="G195" i="26"/>
  <c r="I195" i="26"/>
  <c r="G175" i="26" s="1"/>
  <c r="I175" i="26" s="1"/>
  <c r="I135" i="26"/>
  <c r="M135" i="26" s="1"/>
  <c r="O258" i="9"/>
  <c r="G137" i="26"/>
  <c r="I137" i="26" s="1"/>
  <c r="I394" i="26"/>
  <c r="O257" i="9"/>
  <c r="M242" i="26"/>
  <c r="O265" i="9"/>
  <c r="O259" i="9"/>
  <c r="O271" i="9"/>
  <c r="O275" i="9"/>
  <c r="O343" i="9"/>
  <c r="O354" i="9"/>
  <c r="O362" i="9"/>
  <c r="O276" i="9"/>
  <c r="O371" i="9"/>
  <c r="O344" i="9"/>
  <c r="O274" i="9"/>
  <c r="O369" i="9"/>
  <c r="O298" i="9"/>
  <c r="O332" i="9"/>
  <c r="O277" i="9"/>
  <c r="O342" i="9"/>
  <c r="O353" i="9"/>
  <c r="O316" i="9"/>
  <c r="O299" i="9"/>
  <c r="O331" i="9"/>
  <c r="O273" i="9"/>
  <c r="O322" i="9"/>
  <c r="O285" i="9"/>
  <c r="O291" i="9"/>
  <c r="O334" i="9"/>
  <c r="O370" i="9"/>
  <c r="O336" i="9"/>
  <c r="O315" i="9"/>
  <c r="O279" i="9"/>
  <c r="O363" i="9"/>
  <c r="O355" i="9"/>
  <c r="O335" i="9"/>
  <c r="O280" i="9"/>
  <c r="O328" i="9"/>
  <c r="O300" i="9"/>
  <c r="O346" i="9"/>
  <c r="O292" i="9"/>
  <c r="O284" i="9"/>
  <c r="O333" i="9"/>
  <c r="O283" i="9"/>
  <c r="O272" i="9"/>
  <c r="O372" i="9"/>
  <c r="O306" i="9"/>
  <c r="O307" i="9"/>
  <c r="O314" i="9"/>
  <c r="O308" i="9"/>
  <c r="O329" i="9"/>
  <c r="O281" i="9"/>
  <c r="O347" i="9"/>
  <c r="O278" i="9"/>
  <c r="P1379" i="9"/>
  <c r="P1381" i="9" s="1"/>
  <c r="L711" i="9"/>
  <c r="K747" i="9"/>
  <c r="K741" i="9"/>
  <c r="L1147" i="9"/>
  <c r="K393" i="9"/>
  <c r="O973" i="9"/>
  <c r="L632" i="9"/>
  <c r="L634" i="9"/>
  <c r="L645" i="9"/>
  <c r="K682" i="9"/>
  <c r="O701" i="9"/>
  <c r="P701" i="9"/>
  <c r="O703" i="9"/>
  <c r="P703" i="9" s="1"/>
  <c r="K710" i="9"/>
  <c r="K716" i="9"/>
  <c r="K718" i="9"/>
  <c r="K731" i="9"/>
  <c r="K733" i="9"/>
  <c r="L740" i="9"/>
  <c r="L771" i="9"/>
  <c r="O772" i="9"/>
  <c r="P772" i="9" s="1"/>
  <c r="O752" i="9"/>
  <c r="P752" i="9" s="1"/>
  <c r="L754" i="9"/>
  <c r="K756" i="9"/>
  <c r="K885" i="9"/>
  <c r="K892" i="9"/>
  <c r="L898" i="9"/>
  <c r="O900" i="9"/>
  <c r="O916" i="9"/>
  <c r="L918" i="9"/>
  <c r="K928" i="9"/>
  <c r="K937" i="9"/>
  <c r="L988" i="9"/>
  <c r="O996" i="9"/>
  <c r="K1005" i="9"/>
  <c r="L1012" i="9"/>
  <c r="K1017" i="9"/>
  <c r="L1020" i="9"/>
  <c r="O1034" i="9"/>
  <c r="P1034" i="9" s="1"/>
  <c r="O1044" i="9"/>
  <c r="P1044" i="9" s="1"/>
  <c r="O1051" i="9"/>
  <c r="P1051" i="9" s="1"/>
  <c r="L1053" i="9"/>
  <c r="O1064" i="9"/>
  <c r="P1064" i="9"/>
  <c r="K1072" i="9"/>
  <c r="K1081" i="9"/>
  <c r="O1088" i="9"/>
  <c r="P1088" i="9" s="1"/>
  <c r="L1090" i="9"/>
  <c r="K1096" i="9"/>
  <c r="O1103" i="9"/>
  <c r="O1128" i="9"/>
  <c r="L1130" i="9"/>
  <c r="K1132" i="9"/>
  <c r="O1134" i="9"/>
  <c r="L1146" i="9"/>
  <c r="L1157" i="9"/>
  <c r="O1159" i="9"/>
  <c r="L1160" i="9"/>
  <c r="K1167" i="9"/>
  <c r="L1170" i="9"/>
  <c r="L1171" i="9"/>
  <c r="O1179" i="9"/>
  <c r="P1179" i="9" s="1"/>
  <c r="O1281" i="9"/>
  <c r="O1283" i="9"/>
  <c r="K1286" i="9"/>
  <c r="K1293" i="9"/>
  <c r="K1295" i="9"/>
  <c r="K1302" i="9"/>
  <c r="K1335" i="9"/>
  <c r="O1350" i="9"/>
  <c r="O1357" i="9"/>
  <c r="P1357" i="9"/>
  <c r="O1360" i="9"/>
  <c r="L1364" i="9"/>
  <c r="L1371" i="9"/>
  <c r="O1373" i="9"/>
  <c r="P1373" i="9" s="1"/>
  <c r="K1386" i="9"/>
  <c r="O396" i="9"/>
  <c r="O1073" i="9"/>
  <c r="P1073" i="9"/>
  <c r="P644" i="9"/>
  <c r="L1350" i="9"/>
  <c r="O1302" i="9"/>
  <c r="P1302" i="9" s="1"/>
  <c r="K1157" i="9"/>
  <c r="O1167" i="9"/>
  <c r="O1132" i="9"/>
  <c r="L1072" i="9"/>
  <c r="P425" i="9"/>
  <c r="P1043" i="9"/>
  <c r="P982" i="9"/>
  <c r="L1286" i="9"/>
  <c r="O1170" i="9"/>
  <c r="O663" i="9"/>
  <c r="P663" i="9" s="1"/>
  <c r="K652" i="9"/>
  <c r="K935" i="9"/>
  <c r="O1081" i="9"/>
  <c r="K1094" i="9"/>
  <c r="O1160" i="9"/>
  <c r="P1160" i="9" s="1"/>
  <c r="L1302" i="9"/>
  <c r="O693" i="9"/>
  <c r="P855" i="9"/>
  <c r="P1208" i="9"/>
  <c r="L716" i="9"/>
  <c r="L772" i="9"/>
  <c r="O740" i="9"/>
  <c r="O1286" i="9"/>
  <c r="K634" i="9"/>
  <c r="K1020" i="9"/>
  <c r="L718" i="9"/>
  <c r="P1070" i="9"/>
  <c r="P1054" i="9"/>
  <c r="K1146" i="9"/>
  <c r="L714" i="9"/>
  <c r="L733" i="9"/>
  <c r="K964" i="9"/>
  <c r="L1003" i="9"/>
  <c r="L1134" i="9"/>
  <c r="P586" i="9"/>
  <c r="P637" i="9"/>
  <c r="P865" i="9"/>
  <c r="P1103" i="9"/>
  <c r="P643" i="9"/>
  <c r="P238" i="9"/>
  <c r="P240" i="9" s="1"/>
  <c r="P566" i="9"/>
  <c r="L621" i="9"/>
  <c r="O629" i="9"/>
  <c r="L631" i="9"/>
  <c r="K633" i="9"/>
  <c r="L635" i="9"/>
  <c r="L644" i="9"/>
  <c r="O664" i="9"/>
  <c r="P664" i="9" s="1"/>
  <c r="O651" i="9"/>
  <c r="P651" i="9" s="1"/>
  <c r="K653" i="9"/>
  <c r="K655" i="9"/>
  <c r="P1121" i="9"/>
  <c r="K623" i="9"/>
  <c r="O632" i="9"/>
  <c r="P632" i="9" s="1"/>
  <c r="L652" i="9"/>
  <c r="L654" i="9"/>
  <c r="O682" i="9"/>
  <c r="K689" i="9"/>
  <c r="L690" i="9"/>
  <c r="O713" i="9"/>
  <c r="K721" i="9"/>
  <c r="K772" i="9"/>
  <c r="K751" i="9"/>
  <c r="L755" i="9"/>
  <c r="O774" i="9"/>
  <c r="P774" i="9" s="1"/>
  <c r="O885" i="9"/>
  <c r="L894" i="9"/>
  <c r="O896" i="9"/>
  <c r="K898" i="9"/>
  <c r="O902" i="9"/>
  <c r="L909" i="9"/>
  <c r="L916" i="9"/>
  <c r="O921" i="9"/>
  <c r="O939" i="9"/>
  <c r="L992" i="9"/>
  <c r="O994" i="9"/>
  <c r="P994" i="9"/>
  <c r="L997" i="9"/>
  <c r="L1011" i="9"/>
  <c r="L1033" i="9"/>
  <c r="L1044" i="9"/>
  <c r="L1051" i="9"/>
  <c r="O1053" i="9"/>
  <c r="P1053" i="9" s="1"/>
  <c r="O1055" i="9"/>
  <c r="P1055" i="9"/>
  <c r="K1062" i="9"/>
  <c r="L1088" i="9"/>
  <c r="K1090" i="9"/>
  <c r="O1092" i="9"/>
  <c r="O1117" i="9"/>
  <c r="P1117" i="9" s="1"/>
  <c r="K1160" i="9"/>
  <c r="K1168" i="9"/>
  <c r="O1171" i="9"/>
  <c r="P1171" i="9" s="1"/>
  <c r="L1179" i="9"/>
  <c r="K1227" i="9"/>
  <c r="L1234" i="9"/>
  <c r="O1272" i="9"/>
  <c r="O1293" i="9"/>
  <c r="O1316" i="9"/>
  <c r="P1316" i="9" s="1"/>
  <c r="P1318" i="9" s="1"/>
  <c r="L1335" i="9"/>
  <c r="L1362" i="9"/>
  <c r="K1364" i="9"/>
  <c r="K1379" i="9"/>
  <c r="L389" i="9"/>
  <c r="K402" i="9"/>
  <c r="O418" i="9"/>
  <c r="K410" i="9"/>
  <c r="K693" i="9"/>
  <c r="L973" i="9"/>
  <c r="L701" i="9"/>
  <c r="O710" i="9"/>
  <c r="O771" i="9"/>
  <c r="L752" i="9"/>
  <c r="K754" i="9"/>
  <c r="L756" i="9"/>
  <c r="L773" i="9"/>
  <c r="O945" i="9"/>
  <c r="P945" i="9" s="1"/>
  <c r="P947" i="9" s="1"/>
  <c r="O957" i="9"/>
  <c r="L964" i="9"/>
  <c r="O972" i="9"/>
  <c r="P972" i="9" s="1"/>
  <c r="O1003" i="9"/>
  <c r="O1017" i="9"/>
  <c r="K1105" i="9"/>
  <c r="K1112" i="9"/>
  <c r="K1128" i="9"/>
  <c r="K1148" i="9"/>
  <c r="K1073" i="9"/>
  <c r="O1342" i="9"/>
  <c r="P1342" i="9" s="1"/>
  <c r="P418" i="9"/>
  <c r="P635" i="9"/>
  <c r="O1090" i="9"/>
  <c r="P1090" i="9"/>
  <c r="K418" i="9"/>
  <c r="O389" i="9"/>
  <c r="L774" i="9"/>
  <c r="L1092" i="9"/>
  <c r="L418" i="9"/>
  <c r="P682" i="9"/>
  <c r="K1272" i="9"/>
  <c r="O1168" i="9"/>
  <c r="P1168" i="9" s="1"/>
  <c r="K1234" i="9"/>
  <c r="L885" i="9"/>
  <c r="L1272" i="9"/>
  <c r="L1379" i="9"/>
  <c r="L676" i="9"/>
  <c r="L683" i="9"/>
  <c r="O690" i="9"/>
  <c r="P690" i="9" s="1"/>
  <c r="O702" i="9"/>
  <c r="O711" i="9"/>
  <c r="K713" i="9"/>
  <c r="K715" i="9"/>
  <c r="L717" i="9"/>
  <c r="O721" i="9"/>
  <c r="P721" i="9" s="1"/>
  <c r="K723" i="9"/>
  <c r="L732" i="9"/>
  <c r="O739" i="9"/>
  <c r="L747" i="9"/>
  <c r="O741" i="9"/>
  <c r="O749" i="9"/>
  <c r="P749" i="9" s="1"/>
  <c r="O751" i="9"/>
  <c r="P751" i="9" s="1"/>
  <c r="O753" i="9"/>
  <c r="P753" i="9" s="1"/>
  <c r="K755" i="9"/>
  <c r="O757" i="9"/>
  <c r="P757" i="9" s="1"/>
  <c r="L776" i="9"/>
  <c r="O886" i="9"/>
  <c r="K893" i="9"/>
  <c r="L895" i="9"/>
  <c r="O897" i="9"/>
  <c r="O899" i="9"/>
  <c r="L908" i="9"/>
  <c r="K910" i="9"/>
  <c r="O919" i="9"/>
  <c r="O922" i="9"/>
  <c r="L934" i="9"/>
  <c r="K951" i="9"/>
  <c r="L982" i="9"/>
  <c r="O989" i="9"/>
  <c r="O991" i="9"/>
  <c r="O997" i="9"/>
  <c r="L1004" i="9"/>
  <c r="K1011" i="9"/>
  <c r="O1031" i="9"/>
  <c r="P1031" i="9" s="1"/>
  <c r="K1033" i="9"/>
  <c r="O1035" i="9"/>
  <c r="P1035" i="9" s="1"/>
  <c r="K1043" i="9"/>
  <c r="O1052" i="9"/>
  <c r="K1063" i="9"/>
  <c r="L1070" i="9"/>
  <c r="O1071" i="9"/>
  <c r="P1071" i="9"/>
  <c r="P1075" i="9" s="1"/>
  <c r="L1082" i="9"/>
  <c r="K1089" i="9"/>
  <c r="O1091" i="9"/>
  <c r="P1091" i="9" s="1"/>
  <c r="K1093" i="9"/>
  <c r="L1095" i="9"/>
  <c r="L1097" i="9"/>
  <c r="K1111" i="9"/>
  <c r="L1117" i="9"/>
  <c r="L1129" i="9"/>
  <c r="O1131" i="9"/>
  <c r="O1147" i="9"/>
  <c r="P1147" i="9" s="1"/>
  <c r="L1197" i="9"/>
  <c r="O1227" i="9"/>
  <c r="P1227" i="9" s="1"/>
  <c r="O1243" i="9"/>
  <c r="P1243" i="9"/>
  <c r="L1252" i="9"/>
  <c r="O1261" i="9"/>
  <c r="P1261" i="9" s="1"/>
  <c r="O1212" i="9"/>
  <c r="P1212" i="9"/>
  <c r="K1271" i="9"/>
  <c r="L1280" i="9"/>
  <c r="L1294" i="9"/>
  <c r="K1301" i="9"/>
  <c r="K1303" i="9"/>
  <c r="K1322" i="9"/>
  <c r="O1341" i="9"/>
  <c r="O1351" i="9"/>
  <c r="K1359" i="9"/>
  <c r="O388" i="9"/>
  <c r="K390" i="9"/>
  <c r="L392" i="9"/>
  <c r="L403" i="9"/>
  <c r="L417" i="9"/>
  <c r="O420" i="9"/>
  <c r="P420" i="9"/>
  <c r="O393" i="9"/>
  <c r="O395" i="9"/>
  <c r="O410" i="9"/>
  <c r="P410" i="9" s="1"/>
  <c r="P412" i="9" s="1"/>
  <c r="K973" i="9"/>
  <c r="L1329" i="9"/>
  <c r="L657" i="9"/>
  <c r="K381" i="9"/>
  <c r="P519" i="9"/>
  <c r="P592" i="9"/>
  <c r="K691" i="9"/>
  <c r="L691" i="9"/>
  <c r="O709" i="9"/>
  <c r="K709" i="9"/>
  <c r="O901" i="9"/>
  <c r="L901" i="9"/>
  <c r="O917" i="9"/>
  <c r="K917" i="9"/>
  <c r="O938" i="9"/>
  <c r="P938" i="9" s="1"/>
  <c r="K938" i="9"/>
  <c r="O971" i="9"/>
  <c r="P971" i="9"/>
  <c r="L971" i="9"/>
  <c r="K993" i="9"/>
  <c r="L993" i="9"/>
  <c r="L1018" i="9"/>
  <c r="K1018" i="9"/>
  <c r="O1050" i="9"/>
  <c r="P1050" i="9" s="1"/>
  <c r="L1050" i="9"/>
  <c r="L1054" i="9"/>
  <c r="K1054" i="9"/>
  <c r="K1056" i="9"/>
  <c r="O1056" i="9"/>
  <c r="P1056" i="9"/>
  <c r="K1127" i="9"/>
  <c r="L1127" i="9"/>
  <c r="P1131" i="9"/>
  <c r="O1133" i="9"/>
  <c r="P1133" i="9" s="1"/>
  <c r="L1133" i="9"/>
  <c r="O1161" i="9"/>
  <c r="P1161" i="9" s="1"/>
  <c r="L1161" i="9"/>
  <c r="K1161" i="9"/>
  <c r="L1169" i="9"/>
  <c r="O1169" i="9"/>
  <c r="P1169" i="9" s="1"/>
  <c r="O1278" i="9"/>
  <c r="L1278" i="9"/>
  <c r="L1358" i="9"/>
  <c r="K1358" i="9"/>
  <c r="L1385" i="9"/>
  <c r="O1385" i="9"/>
  <c r="P1385" i="9" s="1"/>
  <c r="K434" i="9"/>
  <c r="L434" i="9"/>
  <c r="P1232" i="9"/>
  <c r="P862" i="9"/>
  <c r="P501" i="9"/>
  <c r="P1203" i="9"/>
  <c r="P1207" i="9"/>
  <c r="O1129" i="9"/>
  <c r="P1129" i="9" s="1"/>
  <c r="L751" i="9"/>
  <c r="L709" i="9"/>
  <c r="K1197" i="9"/>
  <c r="L1227" i="9"/>
  <c r="L1212" i="9"/>
  <c r="L1261" i="9"/>
  <c r="O621" i="9"/>
  <c r="P621" i="9" s="1"/>
  <c r="O633" i="9"/>
  <c r="P633" i="9" s="1"/>
  <c r="O631" i="9"/>
  <c r="P631" i="9" s="1"/>
  <c r="O653" i="9"/>
  <c r="K683" i="9"/>
  <c r="K664" i="9"/>
  <c r="K629" i="9"/>
  <c r="L741" i="9"/>
  <c r="O1294" i="9"/>
  <c r="L1043" i="9"/>
  <c r="O1018" i="9"/>
  <c r="K982" i="9"/>
  <c r="O951" i="9"/>
  <c r="P951" i="9"/>
  <c r="P953" i="9" s="1"/>
  <c r="K908" i="9"/>
  <c r="O895" i="9"/>
  <c r="O747" i="9"/>
  <c r="P747" i="9" s="1"/>
  <c r="K717" i="9"/>
  <c r="K776" i="9"/>
  <c r="K1169" i="9"/>
  <c r="O1093" i="9"/>
  <c r="P1093" i="9" s="1"/>
  <c r="K1004" i="9"/>
  <c r="K991" i="9"/>
  <c r="L393" i="9"/>
  <c r="O417" i="9"/>
  <c r="P417" i="9" s="1"/>
  <c r="P429" i="9" s="1"/>
  <c r="K1351" i="9"/>
  <c r="K1147" i="9"/>
  <c r="P1081" i="9"/>
  <c r="K1280" i="9"/>
  <c r="L1093" i="9"/>
  <c r="K897" i="9"/>
  <c r="L919" i="9"/>
  <c r="P1159" i="9"/>
  <c r="L1301" i="9"/>
  <c r="O1127" i="9"/>
  <c r="P1127" i="9" s="1"/>
  <c r="P762" i="9"/>
  <c r="P1234" i="9"/>
  <c r="P1252" i="9"/>
  <c r="P1272" i="9"/>
  <c r="L989" i="9"/>
  <c r="O993" i="9"/>
  <c r="P496" i="9"/>
  <c r="P622" i="9"/>
  <c r="L721" i="9"/>
  <c r="O1197" i="9"/>
  <c r="K1243" i="9"/>
  <c r="L653" i="9"/>
  <c r="K635" i="9"/>
  <c r="L655" i="9"/>
  <c r="L633" i="9"/>
  <c r="K1131" i="9"/>
  <c r="K971" i="9"/>
  <c r="L938" i="9"/>
  <c r="L917" i="9"/>
  <c r="L899" i="9"/>
  <c r="K886" i="9"/>
  <c r="P1360" i="9"/>
  <c r="K1129" i="9"/>
  <c r="O1271" i="9"/>
  <c r="P1271" i="9" s="1"/>
  <c r="K1035" i="9"/>
  <c r="K1052" i="9"/>
  <c r="L420" i="9"/>
  <c r="P921" i="9"/>
  <c r="O1082" i="9"/>
  <c r="P1082" i="9" s="1"/>
  <c r="L910" i="9"/>
  <c r="L1052" i="9"/>
  <c r="K1071" i="9"/>
  <c r="P1150" i="9"/>
  <c r="P1284" i="9"/>
  <c r="L739" i="9"/>
  <c r="P939" i="9"/>
  <c r="O970" i="9"/>
  <c r="P970" i="9" s="1"/>
  <c r="K1133" i="9"/>
  <c r="P771" i="9"/>
  <c r="P957" i="9"/>
  <c r="P226" i="9"/>
  <c r="P228" i="9"/>
  <c r="P1016" i="9"/>
  <c r="P760" i="9"/>
  <c r="P1170" i="9"/>
  <c r="P1167" i="9"/>
  <c r="P756" i="9"/>
  <c r="P693" i="9"/>
  <c r="P1233" i="9"/>
  <c r="P629" i="9"/>
  <c r="P160" i="9"/>
  <c r="O206" i="9"/>
  <c r="P206" i="9" s="1"/>
  <c r="P1303" i="9"/>
  <c r="P1015" i="9"/>
  <c r="P159" i="9"/>
  <c r="O689" i="9"/>
  <c r="P689" i="9" s="1"/>
  <c r="K894" i="9"/>
  <c r="L990" i="9"/>
  <c r="L1062" i="9"/>
  <c r="L1081" i="9"/>
  <c r="K1179" i="9"/>
  <c r="O1362" i="9"/>
  <c r="P1362" i="9" s="1"/>
  <c r="O1387" i="9"/>
  <c r="P1387" i="9"/>
  <c r="L402" i="9"/>
  <c r="P685" i="9"/>
  <c r="P1229" i="9"/>
  <c r="P520" i="9"/>
  <c r="L381" i="9"/>
  <c r="O381" i="9"/>
  <c r="P381" i="9" s="1"/>
  <c r="L623" i="9"/>
  <c r="O654" i="9"/>
  <c r="P611" i="9"/>
  <c r="P534" i="9"/>
  <c r="P864" i="9"/>
  <c r="P1128" i="9"/>
  <c r="K1362" i="9"/>
  <c r="O402" i="9"/>
  <c r="L1148" i="9"/>
  <c r="P856" i="9"/>
  <c r="P1148" i="9"/>
  <c r="P763" i="9"/>
  <c r="K771" i="9"/>
  <c r="L1189" i="9"/>
  <c r="P1052" i="9"/>
  <c r="P1341" i="9"/>
  <c r="K1134" i="9"/>
  <c r="K690" i="9"/>
  <c r="K711" i="9"/>
  <c r="K1070" i="9"/>
  <c r="K577" i="9"/>
  <c r="P1089" i="9"/>
  <c r="P527" i="9"/>
  <c r="P530" i="9" s="1"/>
  <c r="P866" i="9"/>
  <c r="P1188" i="9"/>
  <c r="P535" i="9"/>
  <c r="P494" i="9"/>
  <c r="P521" i="9"/>
  <c r="K561" i="9"/>
  <c r="P554" i="9"/>
  <c r="P562" i="9"/>
  <c r="P785" i="9"/>
  <c r="P634" i="9"/>
  <c r="O282" i="9"/>
  <c r="O330" i="9"/>
  <c r="O361" i="9"/>
  <c r="O345" i="9"/>
  <c r="O373" i="9"/>
  <c r="P162" i="9"/>
  <c r="P1084" i="9" l="1"/>
  <c r="P1174" i="9"/>
  <c r="P1046" i="9"/>
  <c r="P537" i="9"/>
  <c r="G155" i="26"/>
  <c r="I155" i="26" s="1"/>
  <c r="M155" i="26" s="1"/>
  <c r="M175" i="26"/>
  <c r="P639" i="9"/>
  <c r="G197" i="26"/>
  <c r="I197" i="26" s="1"/>
  <c r="M195" i="26"/>
  <c r="M283" i="26"/>
  <c r="I311" i="26"/>
  <c r="M311" i="26" s="1"/>
  <c r="F185" i="26"/>
  <c r="M185" i="26" s="1"/>
  <c r="M145" i="26"/>
  <c r="F165" i="26"/>
  <c r="M301" i="61"/>
  <c r="I304" i="61"/>
  <c r="F306" i="36"/>
  <c r="M296" i="36"/>
  <c r="M297" i="36"/>
  <c r="M299" i="61"/>
  <c r="H317" i="61"/>
  <c r="M322" i="61" s="1"/>
  <c r="L32" i="9"/>
  <c r="N32" i="9"/>
  <c r="O32" i="9" s="1"/>
  <c r="P32" i="9" s="1"/>
  <c r="M310" i="61"/>
  <c r="M317" i="61" s="1"/>
  <c r="N317" i="61" s="1"/>
  <c r="J306" i="36"/>
  <c r="G304" i="61"/>
  <c r="M294" i="61"/>
  <c r="M157" i="39"/>
  <c r="M669" i="9" s="1"/>
  <c r="P669" i="9" s="1"/>
  <c r="M145" i="39"/>
  <c r="M666" i="9" s="1"/>
  <c r="P666" i="9" s="1"/>
  <c r="M665" i="9"/>
  <c r="P665" i="9" s="1"/>
  <c r="J151" i="39"/>
  <c r="K151" i="39"/>
  <c r="M140" i="26"/>
  <c r="F160" i="26"/>
  <c r="F180" i="26"/>
  <c r="M180" i="26" s="1"/>
  <c r="M296" i="61"/>
  <c r="F304" i="61"/>
  <c r="K317" i="61"/>
  <c r="M328" i="61" s="1"/>
  <c r="G306" i="36"/>
  <c r="K304" i="61"/>
  <c r="H304" i="61"/>
  <c r="M240" i="26"/>
  <c r="K240" i="26"/>
  <c r="M291" i="61"/>
  <c r="M332" i="61" s="1"/>
  <c r="M224" i="61"/>
  <c r="H306" i="36"/>
  <c r="L304" i="61"/>
  <c r="F317" i="61"/>
  <c r="M318" i="61" s="1"/>
  <c r="M169" i="26"/>
  <c r="M106" i="7"/>
  <c r="G90" i="7"/>
  <c r="I90" i="7" s="1"/>
  <c r="M90" i="7"/>
  <c r="D457" i="9"/>
  <c r="D458" i="9" s="1"/>
  <c r="D459" i="9" s="1"/>
  <c r="D460" i="9" s="1"/>
  <c r="D461" i="9" s="1"/>
  <c r="D462" i="9" s="1"/>
  <c r="D463" i="9" s="1"/>
  <c r="D464" i="9" s="1"/>
  <c r="D465" i="9" s="1"/>
  <c r="D466" i="9" s="1"/>
  <c r="D467" i="9" s="1"/>
  <c r="D468" i="9" s="1"/>
  <c r="D469" i="9" s="1"/>
  <c r="D470" i="9" s="1"/>
  <c r="D471" i="9" s="1"/>
  <c r="D472" i="9" s="1"/>
  <c r="D473" i="9" s="1"/>
  <c r="D474" i="9" s="1"/>
  <c r="D475" i="9" s="1"/>
  <c r="D476" i="9" s="1"/>
  <c r="D477" i="9" s="1"/>
  <c r="D478" i="9" s="1"/>
  <c r="J456" i="9"/>
  <c r="H476" i="9" s="1"/>
  <c r="M101" i="61"/>
  <c r="M109" i="61"/>
  <c r="I317" i="36"/>
  <c r="I319" i="36" s="1"/>
  <c r="M326" i="36" s="1"/>
  <c r="M567" i="9" s="1"/>
  <c r="P567" i="9" s="1"/>
  <c r="P30" i="60"/>
  <c r="H197" i="26"/>
  <c r="J197" i="26" s="1"/>
  <c r="H177" i="26" s="1"/>
  <c r="J177" i="26" s="1"/>
  <c r="H157" i="26" s="1"/>
  <c r="J137" i="26"/>
  <c r="M137" i="26" s="1"/>
  <c r="M181" i="7"/>
  <c r="I198" i="7"/>
  <c r="I69" i="7"/>
  <c r="K114" i="7"/>
  <c r="J69" i="7"/>
  <c r="K99" i="7"/>
  <c r="M69" i="7"/>
  <c r="M179" i="7"/>
  <c r="I196" i="7"/>
  <c r="D164" i="9"/>
  <c r="D165" i="9" s="1"/>
  <c r="D166" i="9" s="1"/>
  <c r="D167" i="9" s="1"/>
  <c r="D168" i="9" s="1"/>
  <c r="D169" i="9" s="1"/>
  <c r="D170" i="9" s="1"/>
  <c r="D171" i="9" s="1"/>
  <c r="D172" i="9" s="1"/>
  <c r="D173" i="9" s="1"/>
  <c r="D174" i="9" s="1"/>
  <c r="D175" i="9" s="1"/>
  <c r="D176" i="9" s="1"/>
  <c r="D177" i="9" s="1"/>
  <c r="D178" i="9" s="1"/>
  <c r="D179" i="9" s="1"/>
  <c r="D180" i="9" s="1"/>
  <c r="D181" i="9" s="1"/>
  <c r="D182" i="9" s="1"/>
  <c r="D183" i="9" s="1"/>
  <c r="D184" i="9" s="1"/>
  <c r="D185" i="9" s="1"/>
  <c r="D186" i="9" s="1"/>
  <c r="D187" i="9" s="1"/>
  <c r="D188" i="9" s="1"/>
  <c r="D189" i="9" s="1"/>
  <c r="D190" i="9" s="1"/>
  <c r="D191" i="9" s="1"/>
  <c r="D192" i="9" s="1"/>
  <c r="D193" i="9" s="1"/>
  <c r="D194" i="9" s="1"/>
  <c r="D195" i="9" s="1"/>
  <c r="D196" i="9" s="1"/>
  <c r="D197" i="9" s="1"/>
  <c r="D198" i="9" s="1"/>
  <c r="D199" i="9" s="1"/>
  <c r="D200" i="9" s="1"/>
  <c r="D201" i="9" s="1"/>
  <c r="D202" i="9" s="1"/>
  <c r="D203" i="9" s="1"/>
  <c r="D204" i="9" s="1"/>
  <c r="D205" i="9" s="1"/>
  <c r="D206" i="9" s="1"/>
  <c r="D207" i="9" s="1"/>
  <c r="D208" i="9" s="1"/>
  <c r="D209" i="9" s="1"/>
  <c r="D210" i="9" s="1"/>
  <c r="D211" i="9" s="1"/>
  <c r="D212" i="9" s="1"/>
  <c r="D213" i="9" s="1"/>
  <c r="D214" i="9" s="1"/>
  <c r="D215" i="9" s="1"/>
  <c r="D216" i="9" s="1"/>
  <c r="D217" i="9" s="1"/>
  <c r="D218" i="9" s="1"/>
  <c r="D219" i="9" s="1"/>
  <c r="D220" i="9" s="1"/>
  <c r="D221" i="9" s="1"/>
  <c r="D222" i="9" s="1"/>
  <c r="D223" i="9" s="1"/>
  <c r="D224" i="9" s="1"/>
  <c r="D225" i="9" s="1"/>
  <c r="D226" i="9" s="1"/>
  <c r="D227" i="9" s="1"/>
  <c r="D228" i="9" s="1"/>
  <c r="D229" i="9" s="1"/>
  <c r="D230" i="9" s="1"/>
  <c r="D231" i="9" s="1"/>
  <c r="D232" i="9" s="1"/>
  <c r="D233" i="9" s="1"/>
  <c r="D234" i="9" s="1"/>
  <c r="D235" i="9" s="1"/>
  <c r="D236" i="9" s="1"/>
  <c r="D237" i="9" s="1"/>
  <c r="D238" i="9" s="1"/>
  <c r="D239" i="9" s="1"/>
  <c r="D240" i="9" s="1"/>
  <c r="D241" i="9" s="1"/>
  <c r="D163" i="9"/>
  <c r="D385" i="9"/>
  <c r="D386" i="9"/>
  <c r="D387" i="9" s="1"/>
  <c r="D388" i="9" s="1"/>
  <c r="D389" i="9" s="1"/>
  <c r="D390" i="9" s="1"/>
  <c r="D391" i="9" s="1"/>
  <c r="D392" i="9" s="1"/>
  <c r="D393" i="9" s="1"/>
  <c r="D394" i="9" s="1"/>
  <c r="D395" i="9" s="1"/>
  <c r="D396" i="9" s="1"/>
  <c r="D397" i="9" s="1"/>
  <c r="D398" i="9" s="1"/>
  <c r="D399" i="9" s="1"/>
  <c r="D400" i="9" s="1"/>
  <c r="D401" i="9" s="1"/>
  <c r="D402" i="9" s="1"/>
  <c r="D403" i="9" s="1"/>
  <c r="D404" i="9" s="1"/>
  <c r="D405" i="9" s="1"/>
  <c r="D406" i="9" s="1"/>
  <c r="D407" i="9" s="1"/>
  <c r="D408" i="9" s="1"/>
  <c r="D409" i="9" s="1"/>
  <c r="D410" i="9" s="1"/>
  <c r="D411" i="9" s="1"/>
  <c r="D412" i="9" s="1"/>
  <c r="D413" i="9" s="1"/>
  <c r="D414" i="9" s="1"/>
  <c r="D415" i="9" s="1"/>
  <c r="D416" i="9" s="1"/>
  <c r="D417" i="9" s="1"/>
  <c r="D418" i="9" s="1"/>
  <c r="D419" i="9" s="1"/>
  <c r="D420" i="9" s="1"/>
  <c r="D421" i="9" s="1"/>
  <c r="D422" i="9" s="1"/>
  <c r="D423" i="9" s="1"/>
  <c r="D424" i="9" s="1"/>
  <c r="D425" i="9" s="1"/>
  <c r="D426" i="9" s="1"/>
  <c r="D427" i="9" s="1"/>
  <c r="D428" i="9" s="1"/>
  <c r="D429" i="9" s="1"/>
  <c r="D430" i="9" s="1"/>
  <c r="D431" i="9" s="1"/>
  <c r="D432" i="9" s="1"/>
  <c r="D433" i="9" s="1"/>
  <c r="D434" i="9" s="1"/>
  <c r="D435" i="9" s="1"/>
  <c r="D436" i="9" s="1"/>
  <c r="D437" i="9" s="1"/>
  <c r="D438" i="9" s="1"/>
  <c r="D439" i="9" s="1"/>
  <c r="D440" i="9" s="1"/>
  <c r="D441" i="9" s="1"/>
  <c r="D442" i="9" s="1"/>
  <c r="D443" i="9" s="1"/>
  <c r="D444" i="9" s="1"/>
  <c r="I336" i="26"/>
  <c r="I119" i="26"/>
  <c r="F243" i="26"/>
  <c r="B57" i="49"/>
  <c r="C56" i="49"/>
  <c r="L317" i="61"/>
  <c r="M330" i="61" s="1"/>
  <c r="M302" i="61"/>
  <c r="M312" i="61"/>
  <c r="K87" i="7"/>
  <c r="J90" i="7"/>
  <c r="C254" i="9"/>
  <c r="C255" i="9" s="1"/>
  <c r="C256" i="9" s="1"/>
  <c r="C257" i="9" s="1"/>
  <c r="C258" i="9" s="1"/>
  <c r="C259" i="9" s="1"/>
  <c r="C260" i="9" s="1"/>
  <c r="C261" i="9" s="1"/>
  <c r="C262" i="9" s="1"/>
  <c r="C263" i="9" s="1"/>
  <c r="J253" i="9"/>
  <c r="H261" i="9" s="1"/>
  <c r="N310" i="26"/>
  <c r="O10" i="58"/>
  <c r="I393" i="26"/>
  <c r="M393" i="26" s="1"/>
  <c r="G136" i="26"/>
  <c r="I246" i="26"/>
  <c r="I240" i="26"/>
  <c r="G173" i="26"/>
  <c r="I173" i="26" s="1"/>
  <c r="M115" i="7"/>
  <c r="BF32" i="32"/>
  <c r="BI32" i="32"/>
  <c r="M305" i="36"/>
  <c r="M299" i="36"/>
  <c r="M295" i="61"/>
  <c r="M311" i="61"/>
  <c r="M298" i="36"/>
  <c r="K157" i="26"/>
  <c r="J103" i="7"/>
  <c r="H87" i="7" s="1"/>
  <c r="M121" i="7"/>
  <c r="M257" i="7"/>
  <c r="M492" i="9" s="1"/>
  <c r="P492" i="9" s="1"/>
  <c r="J37" i="9"/>
  <c r="H45" i="9" s="1"/>
  <c r="C38" i="9"/>
  <c r="C39" i="9" s="1"/>
  <c r="C40" i="9" s="1"/>
  <c r="C41" i="9" s="1"/>
  <c r="C42" i="9" s="1"/>
  <c r="C43" i="9" s="1"/>
  <c r="C44" i="9" s="1"/>
  <c r="C45" i="9" s="1"/>
  <c r="C46" i="9" s="1"/>
  <c r="C47" i="9" s="1"/>
  <c r="C490" i="9"/>
  <c r="C491" i="9" s="1"/>
  <c r="C492" i="9" s="1"/>
  <c r="C493" i="9" s="1"/>
  <c r="C494" i="9" s="1"/>
  <c r="C495" i="9" s="1"/>
  <c r="C496" i="9" s="1"/>
  <c r="C497" i="9" s="1"/>
  <c r="C498" i="9" s="1"/>
  <c r="C499" i="9" s="1"/>
  <c r="C500" i="9" s="1"/>
  <c r="C501" i="9" s="1"/>
  <c r="C502" i="9" s="1"/>
  <c r="C503" i="9" s="1"/>
  <c r="C504" i="9" s="1"/>
  <c r="C505" i="9" s="1"/>
  <c r="C506" i="9" s="1"/>
  <c r="E816" i="9"/>
  <c r="E817" i="9" s="1"/>
  <c r="E818" i="9" s="1"/>
  <c r="E819" i="9" s="1"/>
  <c r="E820" i="9" s="1"/>
  <c r="E821" i="9" s="1"/>
  <c r="E822" i="9" s="1"/>
  <c r="E823" i="9" s="1"/>
  <c r="E824" i="9" s="1"/>
  <c r="E825" i="9" s="1"/>
  <c r="E826" i="9" s="1"/>
  <c r="E827" i="9" s="1"/>
  <c r="E828" i="9" s="1"/>
  <c r="E829" i="9" s="1"/>
  <c r="E830" i="9" s="1"/>
  <c r="E831" i="9" s="1"/>
  <c r="E832" i="9" s="1"/>
  <c r="E833" i="9" s="1"/>
  <c r="E834" i="9" s="1"/>
  <c r="E835" i="9" s="1"/>
  <c r="E836" i="9" s="1"/>
  <c r="E837" i="9" s="1"/>
  <c r="E838" i="9" s="1"/>
  <c r="E839" i="9" s="1"/>
  <c r="E840" i="9" s="1"/>
  <c r="E841" i="9" s="1"/>
  <c r="E842" i="9" s="1"/>
  <c r="E843" i="9" s="1"/>
  <c r="E844" i="9" s="1"/>
  <c r="E845" i="9" s="1"/>
  <c r="E846" i="9" s="1"/>
  <c r="E847" i="9" s="1"/>
  <c r="E848" i="9" s="1"/>
  <c r="E849" i="9" s="1"/>
  <c r="E850" i="9" s="1"/>
  <c r="E851" i="9" s="1"/>
  <c r="E852" i="9" s="1"/>
  <c r="E853" i="9" s="1"/>
  <c r="E854" i="9" s="1"/>
  <c r="E855" i="9" s="1"/>
  <c r="E856" i="9" s="1"/>
  <c r="E857" i="9" s="1"/>
  <c r="E858" i="9" s="1"/>
  <c r="E859" i="9" s="1"/>
  <c r="E860" i="9" s="1"/>
  <c r="E861" i="9" s="1"/>
  <c r="E862" i="9" s="1"/>
  <c r="E863" i="9" s="1"/>
  <c r="E864" i="9" s="1"/>
  <c r="E865" i="9" s="1"/>
  <c r="E866" i="9" s="1"/>
  <c r="E867" i="9" s="1"/>
  <c r="E868" i="9" s="1"/>
  <c r="E869" i="9" s="1"/>
  <c r="E870" i="9" s="1"/>
  <c r="E871" i="9" s="1"/>
  <c r="E872" i="9" s="1"/>
  <c r="E873" i="9" s="1"/>
  <c r="E874" i="9" s="1"/>
  <c r="E875" i="9" s="1"/>
  <c r="E876" i="9" s="1"/>
  <c r="E877" i="9" s="1"/>
  <c r="E878" i="9" s="1"/>
  <c r="E879" i="9" s="1"/>
  <c r="E880" i="9" s="1"/>
  <c r="E814" i="9"/>
  <c r="E815" i="9" s="1"/>
  <c r="M224" i="36"/>
  <c r="M228" i="36" s="1"/>
  <c r="L315" i="36"/>
  <c r="S30" i="60"/>
  <c r="Q30" i="60"/>
  <c r="J314" i="36"/>
  <c r="H169" i="26"/>
  <c r="J169" i="26" s="1"/>
  <c r="M189" i="26"/>
  <c r="I242" i="26"/>
  <c r="M166" i="26"/>
  <c r="M186" i="26"/>
  <c r="G166" i="26"/>
  <c r="I166" i="26" s="1"/>
  <c r="I71" i="7"/>
  <c r="J71" i="7"/>
  <c r="K116" i="7"/>
  <c r="K101" i="7"/>
  <c r="K85" i="7"/>
  <c r="J173" i="26"/>
  <c r="H153" i="26" s="1"/>
  <c r="J153" i="26" s="1"/>
  <c r="M206" i="26"/>
  <c r="I165" i="26"/>
  <c r="F142" i="26"/>
  <c r="E248" i="26"/>
  <c r="N57" i="36"/>
  <c r="O226" i="36"/>
  <c r="M560" i="9"/>
  <c r="P560" i="9" s="1"/>
  <c r="F319" i="36"/>
  <c r="M320" i="36" s="1"/>
  <c r="M564" i="9" s="1"/>
  <c r="P564" i="9" s="1"/>
  <c r="M316" i="36"/>
  <c r="M317" i="36"/>
  <c r="E244" i="26"/>
  <c r="H337" i="26"/>
  <c r="F138" i="26"/>
  <c r="I192" i="7"/>
  <c r="J192" i="7"/>
  <c r="M175" i="7"/>
  <c r="J113" i="7"/>
  <c r="H98" i="7" s="1"/>
  <c r="J98" i="7" s="1"/>
  <c r="H82" i="7" s="1"/>
  <c r="J82" i="7" s="1"/>
  <c r="I113" i="7"/>
  <c r="G98" i="7" s="1"/>
  <c r="I98" i="7" s="1"/>
  <c r="F194" i="26"/>
  <c r="M194" i="26" s="1"/>
  <c r="J167" i="26"/>
  <c r="G179" i="26"/>
  <c r="I179" i="26" s="1"/>
  <c r="M199" i="26"/>
  <c r="M155" i="39"/>
  <c r="M668" i="9" s="1"/>
  <c r="P668" i="9" s="1"/>
  <c r="J93" i="7"/>
  <c r="M93" i="7" s="1"/>
  <c r="D20" i="9"/>
  <c r="D21" i="9" s="1"/>
  <c r="D22" i="9" s="1"/>
  <c r="D23" i="9" s="1"/>
  <c r="D24" i="9" s="1"/>
  <c r="D25" i="9" s="1"/>
  <c r="J19" i="9"/>
  <c r="H24" i="9" s="1"/>
  <c r="M313" i="36"/>
  <c r="G319" i="36"/>
  <c r="M322" i="36" s="1"/>
  <c r="M565" i="9" s="1"/>
  <c r="P565" i="9" s="1"/>
  <c r="H198" i="26"/>
  <c r="J198" i="26" s="1"/>
  <c r="H178" i="26" s="1"/>
  <c r="J178" i="26" s="1"/>
  <c r="H158" i="26" s="1"/>
  <c r="J158" i="26" s="1"/>
  <c r="J138" i="26"/>
  <c r="I167" i="26"/>
  <c r="J72" i="7"/>
  <c r="M72" i="7"/>
  <c r="K117" i="7"/>
  <c r="K102" i="7"/>
  <c r="K86" i="7" s="1"/>
  <c r="I72" i="7"/>
  <c r="M147" i="26"/>
  <c r="F187" i="26"/>
  <c r="M187" i="26" s="1"/>
  <c r="F167" i="26"/>
  <c r="J150" i="39"/>
  <c r="K150" i="39"/>
  <c r="C1531" i="9"/>
  <c r="C1532" i="9" s="1"/>
  <c r="C1533" i="9" s="1"/>
  <c r="C1534" i="9" s="1"/>
  <c r="C1535" i="9" s="1"/>
  <c r="C1536" i="9" s="1"/>
  <c r="C1537" i="9" s="1"/>
  <c r="C1538" i="9" s="1"/>
  <c r="C1539" i="9" s="1"/>
  <c r="C1540" i="9" s="1"/>
  <c r="C1541" i="9" s="1"/>
  <c r="C1542" i="9" s="1"/>
  <c r="C1543" i="9" s="1"/>
  <c r="C1544" i="9" s="1"/>
  <c r="C1545" i="9" s="1"/>
  <c r="C1546" i="9" s="1"/>
  <c r="C1547" i="9" s="1"/>
  <c r="C1548" i="9" s="1"/>
  <c r="C1549" i="9" s="1"/>
  <c r="C1550" i="9" s="1"/>
  <c r="C1551" i="9" s="1"/>
  <c r="C1552" i="9" s="1"/>
  <c r="C1553" i="9" s="1"/>
  <c r="C1554" i="9" s="1"/>
  <c r="C1555" i="9" s="1"/>
  <c r="C1556" i="9" s="1"/>
  <c r="C1557" i="9" s="1"/>
  <c r="C1558" i="9" s="1"/>
  <c r="C1559" i="9" s="1"/>
  <c r="C1560" i="9" s="1"/>
  <c r="C1561" i="9" s="1"/>
  <c r="C1562" i="9" s="1"/>
  <c r="C1563" i="9" s="1"/>
  <c r="C1564" i="9" s="1"/>
  <c r="C1565" i="9" s="1"/>
  <c r="C1566" i="9" s="1"/>
  <c r="C1567" i="9" s="1"/>
  <c r="C1568" i="9" s="1"/>
  <c r="C1569" i="9" s="1"/>
  <c r="C1570" i="9" s="1"/>
  <c r="C1571" i="9" s="1"/>
  <c r="C1572" i="9" s="1"/>
  <c r="C1573" i="9" s="1"/>
  <c r="C1574" i="9" s="1"/>
  <c r="C1575" i="9" s="1"/>
  <c r="C1576" i="9" s="1"/>
  <c r="C1577" i="9" s="1"/>
  <c r="C1578" i="9" s="1"/>
  <c r="C1579" i="9" s="1"/>
  <c r="C1580" i="9" s="1"/>
  <c r="C1581" i="9" s="1"/>
  <c r="C1582" i="9" s="1"/>
  <c r="C1583" i="9" s="1"/>
  <c r="C1584" i="9" s="1"/>
  <c r="C1585" i="9" s="1"/>
  <c r="C1586" i="9" s="1"/>
  <c r="C1587" i="9" s="1"/>
  <c r="C1588" i="9" s="1"/>
  <c r="C1589" i="9" s="1"/>
  <c r="C1590" i="9" s="1"/>
  <c r="C1591" i="9" s="1"/>
  <c r="C1592" i="9" s="1"/>
  <c r="C1593" i="9" s="1"/>
  <c r="C1594" i="9" s="1"/>
  <c r="C1595" i="9" s="1"/>
  <c r="C1596" i="9" s="1"/>
  <c r="C1597" i="9" s="1"/>
  <c r="C1598" i="9" s="1"/>
  <c r="C1599" i="9" s="1"/>
  <c r="C1600" i="9" s="1"/>
  <c r="C1601" i="9" s="1"/>
  <c r="C1602" i="9" s="1"/>
  <c r="C1603" i="9" s="1"/>
  <c r="C1604" i="9" s="1"/>
  <c r="C1605" i="9" s="1"/>
  <c r="C1606" i="9" s="1"/>
  <c r="C1607" i="9" s="1"/>
  <c r="C1608" i="9" s="1"/>
  <c r="C1609" i="9" s="1"/>
  <c r="C1610" i="9" s="1"/>
  <c r="C1611" i="9" s="1"/>
  <c r="C1612" i="9" s="1"/>
  <c r="C1613" i="9" s="1"/>
  <c r="C1614" i="9" s="1"/>
  <c r="C1615" i="9" s="1"/>
  <c r="C1616" i="9" s="1"/>
  <c r="C1617" i="9" s="1"/>
  <c r="C1618" i="9" s="1"/>
  <c r="C1619" i="9" s="1"/>
  <c r="C1620" i="9" s="1"/>
  <c r="C1621" i="9" s="1"/>
  <c r="C1622" i="9" s="1"/>
  <c r="C1623" i="9" s="1"/>
  <c r="C1624" i="9" s="1"/>
  <c r="C1625" i="9" s="1"/>
  <c r="C1626" i="9" s="1"/>
  <c r="C1627" i="9" s="1"/>
  <c r="C1628" i="9" s="1"/>
  <c r="C1629" i="9" s="1"/>
  <c r="C1630" i="9" s="1"/>
  <c r="C1631" i="9" s="1"/>
  <c r="C1632" i="9" s="1"/>
  <c r="C1633" i="9" s="1"/>
  <c r="C1634" i="9" s="1"/>
  <c r="C1635" i="9" s="1"/>
  <c r="C1636" i="9" s="1"/>
  <c r="C1637" i="9" s="1"/>
  <c r="C1638" i="9" s="1"/>
  <c r="C1639" i="9" s="1"/>
  <c r="C1640" i="9" s="1"/>
  <c r="C1641" i="9" s="1"/>
  <c r="C1642" i="9" s="1"/>
  <c r="C1643" i="9" s="1"/>
  <c r="C1644" i="9" s="1"/>
  <c r="C1645" i="9" s="1"/>
  <c r="C1646" i="9" s="1"/>
  <c r="C1647" i="9" s="1"/>
  <c r="C1648" i="9" s="1"/>
  <c r="C1649" i="9" s="1"/>
  <c r="C1650" i="9" s="1"/>
  <c r="C1651" i="9" s="1"/>
  <c r="C1652" i="9" s="1"/>
  <c r="C1653" i="9" s="1"/>
  <c r="C1654" i="9" s="1"/>
  <c r="C1655" i="9" s="1"/>
  <c r="C1656" i="9" s="1"/>
  <c r="C1657" i="9" s="1"/>
  <c r="C1658" i="9" s="1"/>
  <c r="C1659" i="9" s="1"/>
  <c r="C1660" i="9" s="1"/>
  <c r="C1661" i="9" s="1"/>
  <c r="C1662" i="9" s="1"/>
  <c r="C1663" i="9" s="1"/>
  <c r="C1664" i="9" s="1"/>
  <c r="C1665" i="9" s="1"/>
  <c r="C1666" i="9" s="1"/>
  <c r="C1667" i="9" s="1"/>
  <c r="C1668" i="9" s="1"/>
  <c r="C1669" i="9" s="1"/>
  <c r="C1670" i="9" s="1"/>
  <c r="C1671" i="9" s="1"/>
  <c r="C1672" i="9" s="1"/>
  <c r="C1673" i="9" s="1"/>
  <c r="C1674" i="9" s="1"/>
  <c r="C1675" i="9" s="1"/>
  <c r="C1676" i="9" s="1"/>
  <c r="C1677" i="9" s="1"/>
  <c r="C1678" i="9" s="1"/>
  <c r="C1679" i="9" s="1"/>
  <c r="C1680" i="9" s="1"/>
  <c r="C1681" i="9" s="1"/>
  <c r="C1682" i="9" s="1"/>
  <c r="C1683" i="9" s="1"/>
  <c r="C1684" i="9" s="1"/>
  <c r="C1685" i="9" s="1"/>
  <c r="C1686" i="9" s="1"/>
  <c r="C1687" i="9" s="1"/>
  <c r="C1688" i="9" s="1"/>
  <c r="C1689" i="9" s="1"/>
  <c r="C1690" i="9" s="1"/>
  <c r="C1691" i="9" s="1"/>
  <c r="C1692" i="9" s="1"/>
  <c r="C1693" i="9" s="1"/>
  <c r="C1694" i="9" s="1"/>
  <c r="C1695" i="9" s="1"/>
  <c r="C1696" i="9" s="1"/>
  <c r="C1697" i="9" s="1"/>
  <c r="C1698" i="9" s="1"/>
  <c r="C1699" i="9" s="1"/>
  <c r="C1700" i="9" s="1"/>
  <c r="C1701" i="9" s="1"/>
  <c r="C1702" i="9" s="1"/>
  <c r="C1703" i="9" s="1"/>
  <c r="C1704" i="9" s="1"/>
  <c r="C1705" i="9" s="1"/>
  <c r="C1706" i="9" s="1"/>
  <c r="C1707" i="9" s="1"/>
  <c r="C1708" i="9" s="1"/>
  <c r="C1709" i="9" s="1"/>
  <c r="C1710" i="9" s="1"/>
  <c r="C1711" i="9" s="1"/>
  <c r="C1712" i="9" s="1"/>
  <c r="C1713" i="9" s="1"/>
  <c r="C1714" i="9" s="1"/>
  <c r="C1715" i="9" s="1"/>
  <c r="C1716" i="9" s="1"/>
  <c r="C1717" i="9" s="1"/>
  <c r="C1718" i="9" s="1"/>
  <c r="C1719" i="9" s="1"/>
  <c r="C1720" i="9" s="1"/>
  <c r="C1721" i="9" s="1"/>
  <c r="C1722" i="9" s="1"/>
  <c r="C1723" i="9" s="1"/>
  <c r="C1724" i="9" s="1"/>
  <c r="C1725" i="9" s="1"/>
  <c r="C1726" i="9" s="1"/>
  <c r="C1727" i="9" s="1"/>
  <c r="C1728" i="9" s="1"/>
  <c r="C1729" i="9" s="1"/>
  <c r="C1730" i="9" s="1"/>
  <c r="C1731" i="9" s="1"/>
  <c r="C1732" i="9" s="1"/>
  <c r="C1733" i="9" s="1"/>
  <c r="C1734" i="9" s="1"/>
  <c r="C1735" i="9" s="1"/>
  <c r="C1736" i="9" s="1"/>
  <c r="C1737" i="9" s="1"/>
  <c r="C1738" i="9" s="1"/>
  <c r="C1739" i="9" s="1"/>
  <c r="C1740" i="9" s="1"/>
  <c r="C1741" i="9" s="1"/>
  <c r="C1742" i="9" s="1"/>
  <c r="C1743" i="9" s="1"/>
  <c r="C1744" i="9" s="1"/>
  <c r="C1745" i="9" s="1"/>
  <c r="C1746" i="9" s="1"/>
  <c r="C1747" i="9" s="1"/>
  <c r="C1748" i="9" s="1"/>
  <c r="C1749" i="9" s="1"/>
  <c r="C1750" i="9" s="1"/>
  <c r="C1751" i="9" s="1"/>
  <c r="C1752" i="9" s="1"/>
  <c r="C1753" i="9" s="1"/>
  <c r="C1754" i="9" s="1"/>
  <c r="C1755" i="9" s="1"/>
  <c r="C1756" i="9" s="1"/>
  <c r="C1757" i="9" s="1"/>
  <c r="C1758" i="9" s="1"/>
  <c r="C1759" i="9" s="1"/>
  <c r="C1760" i="9" s="1"/>
  <c r="C1761" i="9" s="1"/>
  <c r="C1762" i="9" s="1"/>
  <c r="C1763" i="9" s="1"/>
  <c r="C1764" i="9" s="1"/>
  <c r="C1765" i="9" s="1"/>
  <c r="C1766" i="9" s="1"/>
  <c r="C1767" i="9" s="1"/>
  <c r="C1768" i="9" s="1"/>
  <c r="C1769" i="9" s="1"/>
  <c r="C1770" i="9" s="1"/>
  <c r="C1771" i="9" s="1"/>
  <c r="C1772" i="9" s="1"/>
  <c r="C1773" i="9" s="1"/>
  <c r="C1774" i="9" s="1"/>
  <c r="C1775" i="9" s="1"/>
  <c r="C1776" i="9" s="1"/>
  <c r="C1777" i="9" s="1"/>
  <c r="C1778" i="9" s="1"/>
  <c r="C1779" i="9" s="1"/>
  <c r="C1780" i="9" s="1"/>
  <c r="C1781" i="9" s="1"/>
  <c r="C1782" i="9" s="1"/>
  <c r="C1783" i="9" s="1"/>
  <c r="C1784" i="9" s="1"/>
  <c r="C1785" i="9" s="1"/>
  <c r="C1786" i="9" s="1"/>
  <c r="C1787" i="9" s="1"/>
  <c r="H1530" i="9"/>
  <c r="P248" i="9"/>
  <c r="BF15" i="32"/>
  <c r="M109" i="7"/>
  <c r="J123" i="7"/>
  <c r="H108" i="7" s="1"/>
  <c r="J108" i="7" s="1"/>
  <c r="H92" i="7" s="1"/>
  <c r="J92" i="7" s="1"/>
  <c r="P755" i="9"/>
  <c r="M89" i="61"/>
  <c r="M91" i="61" s="1"/>
  <c r="J93" i="61" s="1"/>
  <c r="K250" i="26"/>
  <c r="P493" i="9"/>
  <c r="P1228" i="9"/>
  <c r="P1151" i="9"/>
  <c r="K71" i="39"/>
  <c r="M71" i="39" s="1"/>
  <c r="K196" i="26"/>
  <c r="K176" i="26" s="1"/>
  <c r="P1096" i="9"/>
  <c r="J394" i="26"/>
  <c r="M394" i="26" s="1"/>
  <c r="Q15" i="60"/>
  <c r="I123" i="7"/>
  <c r="G108" i="7" s="1"/>
  <c r="I108" i="7" s="1"/>
  <c r="K191" i="7"/>
  <c r="K200" i="7" s="1"/>
  <c r="K202" i="7" s="1"/>
  <c r="J208" i="7" s="1"/>
  <c r="M208" i="7" s="1"/>
  <c r="M474" i="9" s="1"/>
  <c r="P474" i="9" s="1"/>
  <c r="J189" i="7"/>
  <c r="J200" i="7" s="1"/>
  <c r="J202" i="7" s="1"/>
  <c r="J206" i="7" s="1"/>
  <c r="M206" i="7" s="1"/>
  <c r="M473" i="9" s="1"/>
  <c r="P473" i="9" s="1"/>
  <c r="P569" i="9"/>
  <c r="P491" i="9"/>
  <c r="M208" i="36"/>
  <c r="N30" i="60"/>
  <c r="F204" i="26"/>
  <c r="M204" i="26" s="1"/>
  <c r="J141" i="26"/>
  <c r="F174" i="26"/>
  <c r="P850" i="9"/>
  <c r="I139" i="26"/>
  <c r="M139" i="26" s="1"/>
  <c r="M461" i="26"/>
  <c r="M877" i="9" s="1"/>
  <c r="P877" i="9" s="1"/>
  <c r="BF53" i="32"/>
  <c r="C52" i="49"/>
  <c r="I118" i="7"/>
  <c r="P585" i="9"/>
  <c r="G243" i="26"/>
  <c r="P471" i="9"/>
  <c r="P1149" i="9"/>
  <c r="H114" i="39"/>
  <c r="I107" i="39"/>
  <c r="AM47" i="32"/>
  <c r="AH47" i="32" s="1"/>
  <c r="AJ47" i="32" s="1"/>
  <c r="AN22" i="32"/>
  <c r="AI22" i="32" s="1"/>
  <c r="AG22" i="32"/>
  <c r="AB22" i="32" s="1"/>
  <c r="J76" i="37"/>
  <c r="J78" i="37" s="1"/>
  <c r="M74" i="37"/>
  <c r="BA31" i="32"/>
  <c r="BB31" i="32"/>
  <c r="AK31" i="32"/>
  <c r="AQ31" i="32" s="1"/>
  <c r="BK31" i="32"/>
  <c r="AR31" i="32"/>
  <c r="AX31" i="32" s="1"/>
  <c r="BP31" i="32"/>
  <c r="AV31" i="32"/>
  <c r="BE31" i="32"/>
  <c r="BQ31" i="32"/>
  <c r="BO31" i="32"/>
  <c r="Z31" i="32"/>
  <c r="AM31" i="32"/>
  <c r="AH31" i="32" s="1"/>
  <c r="V31" i="32"/>
  <c r="O31" i="32"/>
  <c r="U31" i="32"/>
  <c r="W31" i="32"/>
  <c r="AC31" i="32" s="1"/>
  <c r="R31" i="32"/>
  <c r="AT31" i="32"/>
  <c r="AO31" i="32" s="1"/>
  <c r="Q31" i="32"/>
  <c r="AW31" i="32"/>
  <c r="BC31" i="32"/>
  <c r="H129" i="34"/>
  <c r="M99" i="34"/>
  <c r="P205" i="9"/>
  <c r="M66" i="50"/>
  <c r="M67" i="50" s="1"/>
  <c r="M73" i="50" s="1"/>
  <c r="AC54" i="32"/>
  <c r="BH44" i="32"/>
  <c r="BG44" i="32"/>
  <c r="BI44" i="32"/>
  <c r="M1018" i="9"/>
  <c r="P1018" i="9" s="1"/>
  <c r="M184" i="34"/>
  <c r="M1019" i="9" s="1"/>
  <c r="P1019" i="9" s="1"/>
  <c r="S45" i="32"/>
  <c r="AZ45" i="32"/>
  <c r="U45" i="32"/>
  <c r="R45" i="32"/>
  <c r="X45" i="32"/>
  <c r="Y45" i="32"/>
  <c r="AM45" i="32"/>
  <c r="AH45" i="32" s="1"/>
  <c r="W45" i="32"/>
  <c r="AC45" i="32" s="1"/>
  <c r="BC45" i="32"/>
  <c r="AL45" i="32"/>
  <c r="AT45" i="32"/>
  <c r="AO45" i="32" s="1"/>
  <c r="AV45" i="32"/>
  <c r="BA45" i="32"/>
  <c r="AW45" i="32"/>
  <c r="BO45" i="32"/>
  <c r="AK45" i="32"/>
  <c r="AQ45" i="32" s="1"/>
  <c r="AS45" i="32"/>
  <c r="AF45" i="32"/>
  <c r="AA45" i="32" s="1"/>
  <c r="AD45" i="32"/>
  <c r="AJ45" i="32" s="1"/>
  <c r="AU45" i="32"/>
  <c r="AP45" i="32" s="1"/>
  <c r="BK45" i="32"/>
  <c r="AR45" i="32"/>
  <c r="AX45" i="32" s="1"/>
  <c r="BB45" i="32"/>
  <c r="R55" i="32"/>
  <c r="AZ55" i="32"/>
  <c r="AT55" i="32"/>
  <c r="AO55" i="32" s="1"/>
  <c r="Q55" i="32"/>
  <c r="BB55" i="32"/>
  <c r="AY55" i="32"/>
  <c r="Z55" i="32"/>
  <c r="AR55" i="32"/>
  <c r="AX55" i="32" s="1"/>
  <c r="J55" i="32"/>
  <c r="BC55" i="32"/>
  <c r="AF55" i="32"/>
  <c r="AA55" i="32" s="1"/>
  <c r="AU55" i="32"/>
  <c r="AP55" i="32" s="1"/>
  <c r="BK55" i="32"/>
  <c r="AW55" i="32"/>
  <c r="AV55" i="32"/>
  <c r="BE55" i="32"/>
  <c r="T55" i="32"/>
  <c r="AL55" i="32"/>
  <c r="AD55" i="32"/>
  <c r="AJ55" i="32" s="1"/>
  <c r="P1097" i="9"/>
  <c r="P197" i="9"/>
  <c r="BJ39" i="32"/>
  <c r="BH39" i="32"/>
  <c r="BG39" i="32"/>
  <c r="J142" i="37"/>
  <c r="M104" i="37"/>
  <c r="J115" i="37"/>
  <c r="M115" i="37"/>
  <c r="I57" i="34"/>
  <c r="H57" i="34"/>
  <c r="O45" i="32"/>
  <c r="P54" i="32"/>
  <c r="O54" i="32"/>
  <c r="BE45" i="32"/>
  <c r="BF45" i="32" s="1"/>
  <c r="BJ31" i="32"/>
  <c r="BJ18" i="32"/>
  <c r="BH18" i="32"/>
  <c r="AC18" i="32"/>
  <c r="BE43" i="32"/>
  <c r="BF43" i="32" s="1"/>
  <c r="BH43" i="32"/>
  <c r="BJ43" i="32"/>
  <c r="K245" i="26"/>
  <c r="AC21" i="32"/>
  <c r="Q12" i="32"/>
  <c r="U13" i="32"/>
  <c r="AK20" i="32"/>
  <c r="M102" i="34"/>
  <c r="BA29" i="32"/>
  <c r="BB38" i="32"/>
  <c r="I131" i="34"/>
  <c r="M101" i="34"/>
  <c r="M275" i="31"/>
  <c r="M1240" i="9"/>
  <c r="P1240" i="9" s="1"/>
  <c r="P1246" i="9" s="1"/>
  <c r="M296" i="26"/>
  <c r="K324" i="26"/>
  <c r="H70" i="26"/>
  <c r="M57" i="26"/>
  <c r="M65" i="26" s="1"/>
  <c r="M791" i="9" s="1"/>
  <c r="P791" i="9" s="1"/>
  <c r="J396" i="26"/>
  <c r="M396" i="26" s="1"/>
  <c r="G245" i="26"/>
  <c r="K208" i="26"/>
  <c r="K188" i="26" s="1"/>
  <c r="S47" i="32"/>
  <c r="BA47" i="32" s="1"/>
  <c r="BE47" i="32" s="1"/>
  <c r="BP47" i="32"/>
  <c r="BL47" i="32"/>
  <c r="BN47" i="32" s="1"/>
  <c r="BO47" i="32"/>
  <c r="M80" i="43"/>
  <c r="M68" i="31"/>
  <c r="M75" i="34"/>
  <c r="K87" i="34"/>
  <c r="M87" i="34" s="1"/>
  <c r="BG21" i="32"/>
  <c r="BE21" i="32"/>
  <c r="V35" i="32"/>
  <c r="O35" i="32"/>
  <c r="I43" i="40"/>
  <c r="H202" i="26"/>
  <c r="J202" i="26" s="1"/>
  <c r="H182" i="26" s="1"/>
  <c r="J182" i="26" s="1"/>
  <c r="H162" i="26" s="1"/>
  <c r="J162" i="26" s="1"/>
  <c r="J142" i="26"/>
  <c r="I122" i="26"/>
  <c r="I339" i="26"/>
  <c r="M339" i="26" s="1"/>
  <c r="Y12" i="32"/>
  <c r="AF12" i="32"/>
  <c r="AA12" i="32" s="1"/>
  <c r="AL12" i="32"/>
  <c r="AY12" i="32"/>
  <c r="Z12" i="32"/>
  <c r="AZ12" i="32"/>
  <c r="T12" i="32"/>
  <c r="J12" i="32"/>
  <c r="AM12" i="32"/>
  <c r="AH12" i="32" s="1"/>
  <c r="BC12" i="32"/>
  <c r="AS12" i="32"/>
  <c r="AR12" i="32"/>
  <c r="AX12" i="32" s="1"/>
  <c r="AV12" i="32"/>
  <c r="BK12" i="32"/>
  <c r="BQ12" i="32" s="1"/>
  <c r="BA12" i="32"/>
  <c r="U12" i="32"/>
  <c r="AR13" i="32"/>
  <c r="AX13" i="32" s="1"/>
  <c r="AT13" i="32"/>
  <c r="AO13" i="32" s="1"/>
  <c r="BB13" i="32"/>
  <c r="AZ13" i="32"/>
  <c r="Q13" i="32"/>
  <c r="AW13" i="32"/>
  <c r="AS13" i="32"/>
  <c r="T13" i="32"/>
  <c r="AV13" i="32"/>
  <c r="BK13" i="32"/>
  <c r="R13" i="32"/>
  <c r="AF13" i="32"/>
  <c r="AA13" i="32" s="1"/>
  <c r="AM13" i="32"/>
  <c r="AH13" i="32" s="1"/>
  <c r="S13" i="32"/>
  <c r="AK13" i="32"/>
  <c r="AQ13" i="32" s="1"/>
  <c r="J13" i="32"/>
  <c r="AJ13" i="32" s="1"/>
  <c r="AY15" i="32"/>
  <c r="Z15" i="32"/>
  <c r="AL15" i="32"/>
  <c r="AZ15" i="32"/>
  <c r="S15" i="32"/>
  <c r="AT15" i="32"/>
  <c r="AO15" i="32" s="1"/>
  <c r="W15" i="32"/>
  <c r="AC15" i="32" s="1"/>
  <c r="Y15" i="32"/>
  <c r="BK15" i="32"/>
  <c r="BE15" i="32"/>
  <c r="BJ15" i="32" s="1"/>
  <c r="AU15" i="32"/>
  <c r="AP15" i="32" s="1"/>
  <c r="BA15" i="32"/>
  <c r="AE15" i="32"/>
  <c r="AV15" i="32"/>
  <c r="BB15" i="32"/>
  <c r="R15" i="32"/>
  <c r="AF15" i="32"/>
  <c r="AA15" i="32" s="1"/>
  <c r="J20" i="32"/>
  <c r="BQ20" i="32"/>
  <c r="T20" i="32"/>
  <c r="BB20" i="32" s="1"/>
  <c r="BP20" i="32"/>
  <c r="BA20" i="32"/>
  <c r="AY20" i="32"/>
  <c r="AZ20" i="32" s="1"/>
  <c r="BE20" i="32" s="1"/>
  <c r="AW20" i="32"/>
  <c r="BL20" i="32"/>
  <c r="BC20" i="32"/>
  <c r="AR20" i="32"/>
  <c r="AU38" i="32"/>
  <c r="AP38" i="32" s="1"/>
  <c r="Q38" i="32"/>
  <c r="S38" i="32"/>
  <c r="BE38" i="32"/>
  <c r="BK38" i="32"/>
  <c r="BO38" i="32"/>
  <c r="BA38" i="32"/>
  <c r="AV38" i="32"/>
  <c r="X38" i="32"/>
  <c r="AF38" i="32"/>
  <c r="AA38" i="32" s="1"/>
  <c r="AZ38" i="32"/>
  <c r="BL38" i="32"/>
  <c r="R38" i="32"/>
  <c r="J38" i="32"/>
  <c r="AS38" i="32"/>
  <c r="AT38" i="32"/>
  <c r="AO38" i="32" s="1"/>
  <c r="Q29" i="32"/>
  <c r="BC29" i="32"/>
  <c r="Z29" i="32"/>
  <c r="AS29" i="32"/>
  <c r="AF29" i="32"/>
  <c r="AA29" i="32" s="1"/>
  <c r="AU29" i="32"/>
  <c r="AP29" i="32" s="1"/>
  <c r="AE29" i="32"/>
  <c r="T29" i="32"/>
  <c r="AY29" i="32"/>
  <c r="AW29" i="32"/>
  <c r="X29" i="32"/>
  <c r="R29" i="32"/>
  <c r="Y49" i="32"/>
  <c r="AF49" i="32"/>
  <c r="AA49" i="32" s="1"/>
  <c r="AV49" i="32"/>
  <c r="BA49" i="32"/>
  <c r="AU49" i="32"/>
  <c r="AP49" i="32" s="1"/>
  <c r="AE49" i="32"/>
  <c r="X49" i="32"/>
  <c r="BB49" i="32"/>
  <c r="Z49" i="32"/>
  <c r="AS49" i="32"/>
  <c r="R49" i="32"/>
  <c r="J141" i="37"/>
  <c r="M141" i="37" s="1"/>
  <c r="M103" i="37"/>
  <c r="M106" i="37" s="1"/>
  <c r="M899" i="9" s="1"/>
  <c r="P899" i="9" s="1"/>
  <c r="J113" i="37"/>
  <c r="M113" i="37" s="1"/>
  <c r="J30" i="32"/>
  <c r="BP30" i="32"/>
  <c r="BQ30" i="32"/>
  <c r="AW30" i="32"/>
  <c r="U30" i="32"/>
  <c r="S30" i="32"/>
  <c r="AV30" i="32"/>
  <c r="T30" i="32"/>
  <c r="AF30" i="32"/>
  <c r="AA30" i="32" s="1"/>
  <c r="X30" i="32"/>
  <c r="AR30" i="32"/>
  <c r="AX30" i="32" s="1"/>
  <c r="AT30" i="32"/>
  <c r="AO30" i="32" s="1"/>
  <c r="AE30" i="32"/>
  <c r="AL30" i="32"/>
  <c r="Q30" i="32"/>
  <c r="AK30" i="32"/>
  <c r="AQ30" i="32" s="1"/>
  <c r="R30" i="32"/>
  <c r="BB30" i="32"/>
  <c r="BA30" i="32"/>
  <c r="I139" i="34"/>
  <c r="M139" i="34" s="1"/>
  <c r="M132" i="34"/>
  <c r="G147" i="40"/>
  <c r="M117" i="40"/>
  <c r="BJ34" i="32"/>
  <c r="BE34" i="32"/>
  <c r="BE35" i="32"/>
  <c r="M55" i="34"/>
  <c r="M58" i="40"/>
  <c r="C54" i="44"/>
  <c r="B55" i="44"/>
  <c r="B56" i="44" s="1"/>
  <c r="AT29" i="32"/>
  <c r="AO29" i="32" s="1"/>
  <c r="BB29" i="32"/>
  <c r="Y30" i="32"/>
  <c r="X13" i="32"/>
  <c r="AK29" i="32"/>
  <c r="AQ29" i="32" s="1"/>
  <c r="BC38" i="32"/>
  <c r="BP38" i="32"/>
  <c r="M62" i="31"/>
  <c r="M46" i="31"/>
  <c r="K225" i="26"/>
  <c r="K233" i="26"/>
  <c r="BK23" i="32"/>
  <c r="BQ23" i="32" s="1"/>
  <c r="BC23" i="32"/>
  <c r="AY23" i="32"/>
  <c r="U14" i="32"/>
  <c r="BA14" i="32"/>
  <c r="BQ14" i="32"/>
  <c r="R14" i="32"/>
  <c r="J14" i="32"/>
  <c r="AE14" i="32"/>
  <c r="Q14" i="32"/>
  <c r="V14" i="32"/>
  <c r="Y14" i="32"/>
  <c r="AV14" i="32"/>
  <c r="O14" i="32"/>
  <c r="AK14" i="32"/>
  <c r="AQ14" i="32" s="1"/>
  <c r="X14" i="32"/>
  <c r="T14" i="32"/>
  <c r="AR16" i="32"/>
  <c r="AX16" i="32" s="1"/>
  <c r="J16" i="32"/>
  <c r="S16" i="32"/>
  <c r="BL16" i="32"/>
  <c r="Q16" i="32"/>
  <c r="AW16" i="32"/>
  <c r="AK16" i="32"/>
  <c r="AY22" i="32"/>
  <c r="R22" i="32"/>
  <c r="Z22" i="32"/>
  <c r="AZ22" i="32"/>
  <c r="AS22" i="32"/>
  <c r="BO22" i="32"/>
  <c r="BP22" i="32"/>
  <c r="Q22" i="32"/>
  <c r="AF22" i="32"/>
  <c r="AA22" i="32" s="1"/>
  <c r="AR22" i="32"/>
  <c r="AX22" i="32" s="1"/>
  <c r="AL22" i="32"/>
  <c r="X22" i="32"/>
  <c r="S22" i="32"/>
  <c r="BB22" i="32"/>
  <c r="Y22" i="32"/>
  <c r="BL22" i="32"/>
  <c r="BM22" i="32" s="1"/>
  <c r="AK22" i="32"/>
  <c r="AQ22" i="32" s="1"/>
  <c r="Y26" i="32"/>
  <c r="BK26" i="32"/>
  <c r="AT26" i="32"/>
  <c r="AO26" i="32" s="1"/>
  <c r="BB26" i="32"/>
  <c r="X26" i="32"/>
  <c r="AY26" i="32"/>
  <c r="AF26" i="32"/>
  <c r="AA26" i="32" s="1"/>
  <c r="AW26" i="32"/>
  <c r="BL26" i="32"/>
  <c r="S26" i="32"/>
  <c r="AR26" i="32"/>
  <c r="AX26" i="32" s="1"/>
  <c r="U26" i="32"/>
  <c r="AK26" i="32"/>
  <c r="AQ26" i="32" s="1"/>
  <c r="AE26" i="32"/>
  <c r="AL26" i="32"/>
  <c r="BC26" i="32"/>
  <c r="J26" i="32"/>
  <c r="S28" i="32"/>
  <c r="AS28" i="32"/>
  <c r="AU28" i="32"/>
  <c r="AP28" i="32" s="1"/>
  <c r="AT28" i="32"/>
  <c r="AO28" i="32" s="1"/>
  <c r="BC28" i="32"/>
  <c r="AZ28" i="32"/>
  <c r="AE28" i="32"/>
  <c r="AK28" i="32"/>
  <c r="AQ28" i="32" s="1"/>
  <c r="AL28" i="32"/>
  <c r="J28" i="32"/>
  <c r="O28" i="32" s="1"/>
  <c r="U28" i="32"/>
  <c r="BK28" i="32"/>
  <c r="Y28" i="32"/>
  <c r="Q28" i="32"/>
  <c r="AW28" i="32"/>
  <c r="BA28" i="32"/>
  <c r="X28" i="32"/>
  <c r="T28" i="32"/>
  <c r="S50" i="32"/>
  <c r="BC50" i="32"/>
  <c r="BB50" i="32"/>
  <c r="AW50" i="32"/>
  <c r="AU50" i="32"/>
  <c r="AP50" i="32" s="1"/>
  <c r="AS50" i="32"/>
  <c r="U50" i="32"/>
  <c r="AT50" i="32"/>
  <c r="AO50" i="32" s="1"/>
  <c r="X50" i="32"/>
  <c r="BA50" i="32"/>
  <c r="Y50" i="32"/>
  <c r="AZ50" i="32"/>
  <c r="AK50" i="32"/>
  <c r="AQ50" i="32" s="1"/>
  <c r="T50" i="32"/>
  <c r="AE50" i="32"/>
  <c r="R50" i="32"/>
  <c r="AM50" i="32"/>
  <c r="AH50" i="32" s="1"/>
  <c r="BC36" i="32"/>
  <c r="BQ36" i="32"/>
  <c r="J36" i="32"/>
  <c r="V36" i="32" s="1"/>
  <c r="Q36" i="32"/>
  <c r="AY36" i="32"/>
  <c r="AW36" i="32"/>
  <c r="R36" i="32"/>
  <c r="AK36" i="32"/>
  <c r="AQ36" i="32" s="1"/>
  <c r="AZ36" i="32"/>
  <c r="AV36" i="32"/>
  <c r="AF36" i="32"/>
  <c r="AA36" i="32" s="1"/>
  <c r="AS36" i="32"/>
  <c r="BL36" i="32"/>
  <c r="Y36" i="32"/>
  <c r="AE36" i="32"/>
  <c r="S36" i="32"/>
  <c r="BO36" i="32"/>
  <c r="BB36" i="32"/>
  <c r="X36" i="32"/>
  <c r="AT36" i="32"/>
  <c r="AO36" i="32" s="1"/>
  <c r="M139" i="37"/>
  <c r="H134" i="37"/>
  <c r="M134" i="37" s="1"/>
  <c r="M136" i="37" s="1"/>
  <c r="M916" i="9" s="1"/>
  <c r="P916" i="9" s="1"/>
  <c r="I80" i="43"/>
  <c r="M48" i="43"/>
  <c r="M50" i="43" s="1"/>
  <c r="K174" i="26"/>
  <c r="K154" i="26" s="1"/>
  <c r="M192" i="50"/>
  <c r="M232" i="9" s="1"/>
  <c r="P232" i="9" s="1"/>
  <c r="P234" i="9" s="1"/>
  <c r="K61" i="50"/>
  <c r="K57" i="50"/>
  <c r="BE17" i="32"/>
  <c r="BI17" i="32" s="1"/>
  <c r="BH17" i="32"/>
  <c r="BH33" i="32"/>
  <c r="O33" i="32"/>
  <c r="M71" i="38"/>
  <c r="K392" i="26"/>
  <c r="M392" i="26" s="1"/>
  <c r="K334" i="26"/>
  <c r="M334" i="26" s="1"/>
  <c r="S11" i="32"/>
  <c r="AK11" i="32"/>
  <c r="AQ11" i="32" s="1"/>
  <c r="T11" i="32"/>
  <c r="R11" i="32"/>
  <c r="AY11" i="32"/>
  <c r="AL18" i="32"/>
  <c r="BE18" i="32"/>
  <c r="AK21" i="32"/>
  <c r="AQ21" i="32" s="1"/>
  <c r="AU21" i="32"/>
  <c r="AP21" i="32" s="1"/>
  <c r="BB21" i="32"/>
  <c r="AS21" i="32"/>
  <c r="AM21" i="32"/>
  <c r="AH21" i="32" s="1"/>
  <c r="AL21" i="32"/>
  <c r="AD21" i="32"/>
  <c r="AJ21" i="32" s="1"/>
  <c r="BK21" i="32"/>
  <c r="S25" i="32"/>
  <c r="BC25" i="32"/>
  <c r="AR25" i="32"/>
  <c r="AX25" i="32" s="1"/>
  <c r="AZ25" i="32"/>
  <c r="R25" i="32"/>
  <c r="AY27" i="32"/>
  <c r="BC27" i="32"/>
  <c r="AT27" i="32"/>
  <c r="AO27" i="32" s="1"/>
  <c r="S27" i="32"/>
  <c r="AS27" i="32"/>
  <c r="AF27" i="32"/>
  <c r="AA27" i="32" s="1"/>
  <c r="AD27" i="32"/>
  <c r="AJ27" i="32" s="1"/>
  <c r="AK27" i="32"/>
  <c r="AQ27" i="32" s="1"/>
  <c r="X40" i="32"/>
  <c r="J40" i="32"/>
  <c r="AJ40" i="32" s="1"/>
  <c r="AK44" i="32"/>
  <c r="AQ44" i="32" s="1"/>
  <c r="AT44" i="32"/>
  <c r="AO44" i="32" s="1"/>
  <c r="AE44" i="32"/>
  <c r="AM44" i="32"/>
  <c r="AH44" i="32" s="1"/>
  <c r="Z44" i="32"/>
  <c r="AU44" i="32"/>
  <c r="AP44" i="32" s="1"/>
  <c r="Y44" i="32"/>
  <c r="BE44" i="32"/>
  <c r="BJ44" i="32" s="1"/>
  <c r="T44" i="32"/>
  <c r="AY44" i="32"/>
  <c r="M112" i="37"/>
  <c r="J111" i="37"/>
  <c r="M40" i="37"/>
  <c r="M43" i="37" s="1"/>
  <c r="M886" i="9" s="1"/>
  <c r="P886" i="9" s="1"/>
  <c r="K185" i="37"/>
  <c r="M185" i="37" s="1"/>
  <c r="M937" i="9" s="1"/>
  <c r="P937" i="9" s="1"/>
  <c r="G130" i="34"/>
  <c r="M100" i="34"/>
  <c r="H43" i="40"/>
  <c r="M43" i="40" s="1"/>
  <c r="M115" i="40"/>
  <c r="M55" i="39"/>
  <c r="J183" i="46"/>
  <c r="J185" i="46" s="1"/>
  <c r="M185" i="46" s="1"/>
  <c r="M183" i="46"/>
  <c r="M197" i="46" s="1"/>
  <c r="M198" i="46" s="1"/>
  <c r="F44" i="46"/>
  <c r="M29" i="46"/>
  <c r="M31" i="46" s="1"/>
  <c r="I53" i="37"/>
  <c r="M53" i="37" s="1"/>
  <c r="M29" i="37"/>
  <c r="M35" i="37" s="1"/>
  <c r="L243" i="26"/>
  <c r="J243" i="26" s="1"/>
  <c r="H243" i="26" s="1"/>
  <c r="K336" i="26"/>
  <c r="K288" i="26"/>
  <c r="K399" i="26"/>
  <c r="M399" i="26" s="1"/>
  <c r="M124" i="26"/>
  <c r="K143" i="26" s="1"/>
  <c r="J249" i="26"/>
  <c r="H249" i="26" s="1"/>
  <c r="M324" i="26"/>
  <c r="AY24" i="32"/>
  <c r="AZ24" i="32"/>
  <c r="Z24" i="32"/>
  <c r="X24" i="32"/>
  <c r="Q24" i="32"/>
  <c r="BL24" i="32"/>
  <c r="BM24" i="32" s="1"/>
  <c r="J41" i="32"/>
  <c r="BL41" i="32"/>
  <c r="AV41" i="32"/>
  <c r="BO41" i="32"/>
  <c r="BP41" i="32"/>
  <c r="AU41" i="32"/>
  <c r="AP41" i="32" s="1"/>
  <c r="Q35" i="32"/>
  <c r="BK35" i="32"/>
  <c r="AZ35" i="32"/>
  <c r="AR35" i="32"/>
  <c r="AX35" i="32" s="1"/>
  <c r="BC35" i="32"/>
  <c r="AW35" i="32"/>
  <c r="AY35" i="32"/>
  <c r="Z35" i="32"/>
  <c r="AU35" i="32"/>
  <c r="AP35" i="32" s="1"/>
  <c r="AF35" i="32"/>
  <c r="AA35" i="32" s="1"/>
  <c r="M37" i="33"/>
  <c r="M1351" i="9" s="1"/>
  <c r="P1351" i="9" s="1"/>
  <c r="M196" i="31"/>
  <c r="M198" i="31" s="1"/>
  <c r="M1220" i="9" s="1"/>
  <c r="P1220" i="9" s="1"/>
  <c r="P1222" i="9" s="1"/>
  <c r="M141" i="38"/>
  <c r="M1134" i="9" s="1"/>
  <c r="P1134" i="9" s="1"/>
  <c r="M1132" i="9"/>
  <c r="P1132" i="9" s="1"/>
  <c r="P1136" i="9" s="1"/>
  <c r="M57" i="34"/>
  <c r="I111" i="34" s="1"/>
  <c r="M111" i="34" s="1"/>
  <c r="U293" i="46"/>
  <c r="U295" i="46" s="1"/>
  <c r="AA292" i="46" s="1"/>
  <c r="AA299" i="46" s="1"/>
  <c r="M291" i="46" s="1"/>
  <c r="M295" i="46" s="1"/>
  <c r="M297" i="46" s="1"/>
  <c r="M34" i="26"/>
  <c r="M39" i="26" s="1"/>
  <c r="M784" i="9" s="1"/>
  <c r="P784" i="9" s="1"/>
  <c r="N49" i="50"/>
  <c r="K332" i="26"/>
  <c r="M332" i="26" s="1"/>
  <c r="M61" i="7"/>
  <c r="K75" i="7" s="1"/>
  <c r="L63" i="7"/>
  <c r="M63" i="7" s="1"/>
  <c r="K77" i="7" s="1"/>
  <c r="I180" i="7"/>
  <c r="K180" i="7" s="1"/>
  <c r="BE42" i="32"/>
  <c r="S42" i="32"/>
  <c r="BQ42" i="32"/>
  <c r="BK42" i="32"/>
  <c r="X42" i="32"/>
  <c r="AV48" i="32"/>
  <c r="AM48" i="32"/>
  <c r="AH48" i="32" s="1"/>
  <c r="AK52" i="32"/>
  <c r="AQ52" i="32" s="1"/>
  <c r="BA52" i="32"/>
  <c r="AU52" i="32"/>
  <c r="AP52" i="32" s="1"/>
  <c r="M33" i="33"/>
  <c r="M1350" i="9" s="1"/>
  <c r="P1350" i="9" s="1"/>
  <c r="P1353" i="9" s="1"/>
  <c r="M69" i="38"/>
  <c r="M1092" i="9" s="1"/>
  <c r="P1092" i="9" s="1"/>
  <c r="I153" i="37"/>
  <c r="M153" i="37" s="1"/>
  <c r="M157" i="37" s="1"/>
  <c r="K93" i="34"/>
  <c r="K83" i="34"/>
  <c r="M251" i="34"/>
  <c r="M255" i="34" s="1"/>
  <c r="M1063" i="9" s="1"/>
  <c r="P1063" i="9" s="1"/>
  <c r="M147" i="38"/>
  <c r="M1140" i="9" s="1"/>
  <c r="P1140" i="9" s="1"/>
  <c r="P1142" i="9" s="1"/>
  <c r="C1435" i="9"/>
  <c r="C1436" i="9" s="1"/>
  <c r="C1437" i="9" s="1"/>
  <c r="C1438" i="9" s="1"/>
  <c r="C1439" i="9" s="1"/>
  <c r="C1440" i="9" s="1"/>
  <c r="C1441" i="9" s="1"/>
  <c r="H1434" i="9"/>
  <c r="M76" i="31"/>
  <c r="M433" i="26"/>
  <c r="M438" i="26" s="1"/>
  <c r="M867" i="9" s="1"/>
  <c r="P867" i="9" s="1"/>
  <c r="P870" i="9" s="1"/>
  <c r="M131" i="31"/>
  <c r="M111" i="37"/>
  <c r="M225" i="43"/>
  <c r="M226" i="43" s="1"/>
  <c r="K60" i="46"/>
  <c r="K76" i="46"/>
  <c r="M120" i="46"/>
  <c r="M121" i="46" s="1"/>
  <c r="M222" i="46"/>
  <c r="M240" i="46" s="1"/>
  <c r="M280" i="46" s="1"/>
  <c r="M299" i="46" s="1"/>
  <c r="M239" i="46"/>
  <c r="M316" i="46"/>
  <c r="M339" i="46" s="1"/>
  <c r="M343" i="46"/>
  <c r="M346" i="46" s="1"/>
  <c r="M365" i="46" s="1"/>
  <c r="T39" i="32"/>
  <c r="P2068" i="9"/>
  <c r="J662" i="58"/>
  <c r="I662" i="58"/>
  <c r="J646" i="58"/>
  <c r="I646" i="58"/>
  <c r="J630" i="58"/>
  <c r="I630" i="58"/>
  <c r="J614" i="58"/>
  <c r="I614" i="58"/>
  <c r="J598" i="58"/>
  <c r="I598" i="58"/>
  <c r="J582" i="58"/>
  <c r="I582" i="58"/>
  <c r="J566" i="58"/>
  <c r="I566" i="58"/>
  <c r="J550" i="58"/>
  <c r="I550" i="58"/>
  <c r="J527" i="58"/>
  <c r="I527" i="58"/>
  <c r="J431" i="58"/>
  <c r="I431" i="58"/>
  <c r="I429" i="58"/>
  <c r="J429" i="58"/>
  <c r="J425" i="58"/>
  <c r="I425" i="58"/>
  <c r="I968" i="58"/>
  <c r="J932" i="58"/>
  <c r="I894" i="58"/>
  <c r="J884" i="58"/>
  <c r="I878" i="58"/>
  <c r="J854" i="58"/>
  <c r="J850" i="58"/>
  <c r="I791" i="58"/>
  <c r="I787" i="58"/>
  <c r="I771" i="58"/>
  <c r="J766" i="58"/>
  <c r="I723" i="58"/>
  <c r="J690" i="58"/>
  <c r="J682" i="58"/>
  <c r="J674" i="58"/>
  <c r="I674" i="58"/>
  <c r="J658" i="58"/>
  <c r="I658" i="58"/>
  <c r="J642" i="58"/>
  <c r="I642" i="58"/>
  <c r="J626" i="58"/>
  <c r="I626" i="58"/>
  <c r="J610" i="58"/>
  <c r="I610" i="58"/>
  <c r="J594" i="58"/>
  <c r="I594" i="58"/>
  <c r="J578" i="58"/>
  <c r="I578" i="58"/>
  <c r="J562" i="58"/>
  <c r="I562" i="58"/>
  <c r="J546" i="58"/>
  <c r="I546" i="58"/>
  <c r="I471" i="58"/>
  <c r="J471" i="58"/>
  <c r="I997" i="58"/>
  <c r="I996" i="58"/>
  <c r="J989" i="58"/>
  <c r="J988" i="58"/>
  <c r="J930" i="58"/>
  <c r="I929" i="58"/>
  <c r="I928" i="58"/>
  <c r="J670" i="58"/>
  <c r="I670" i="58"/>
  <c r="J654" i="58"/>
  <c r="I654" i="58"/>
  <c r="J638" i="58"/>
  <c r="I638" i="58"/>
  <c r="J622" i="58"/>
  <c r="I622" i="58"/>
  <c r="J606" i="58"/>
  <c r="I606" i="58"/>
  <c r="J590" i="58"/>
  <c r="I590" i="58"/>
  <c r="J574" i="58"/>
  <c r="I574" i="58"/>
  <c r="J558" i="58"/>
  <c r="I558" i="58"/>
  <c r="J534" i="58"/>
  <c r="I534" i="58"/>
  <c r="J430" i="58"/>
  <c r="I430" i="58"/>
  <c r="I428" i="58"/>
  <c r="J428" i="58"/>
  <c r="I424" i="58"/>
  <c r="J424" i="58"/>
  <c r="J973" i="58"/>
  <c r="I944" i="58"/>
  <c r="I941" i="58"/>
  <c r="J921" i="58"/>
  <c r="J909" i="58"/>
  <c r="I886" i="58"/>
  <c r="I882" i="58"/>
  <c r="I870" i="58"/>
  <c r="I852" i="58"/>
  <c r="J846" i="58"/>
  <c r="I827" i="58"/>
  <c r="J819" i="58"/>
  <c r="I725" i="58"/>
  <c r="I694" i="58"/>
  <c r="J686" i="58"/>
  <c r="J678" i="58"/>
  <c r="J666" i="58"/>
  <c r="I666" i="58"/>
  <c r="J650" i="58"/>
  <c r="I650" i="58"/>
  <c r="J634" i="58"/>
  <c r="I634" i="58"/>
  <c r="J618" i="58"/>
  <c r="I618" i="58"/>
  <c r="J602" i="58"/>
  <c r="I602" i="58"/>
  <c r="J586" i="58"/>
  <c r="I586" i="58"/>
  <c r="J570" i="58"/>
  <c r="I570" i="58"/>
  <c r="J554" i="58"/>
  <c r="I554" i="58"/>
  <c r="J435" i="58"/>
  <c r="I435" i="58"/>
  <c r="J200" i="58"/>
  <c r="I200" i="58"/>
  <c r="I180" i="58"/>
  <c r="J180" i="58"/>
  <c r="I123" i="58"/>
  <c r="J123" i="58"/>
  <c r="J462" i="58"/>
  <c r="I458" i="58"/>
  <c r="J332" i="58"/>
  <c r="I317" i="58"/>
  <c r="J201" i="58"/>
  <c r="I190" i="58"/>
  <c r="J190" i="58"/>
  <c r="I168" i="58"/>
  <c r="J168" i="58"/>
  <c r="I162" i="58"/>
  <c r="J162" i="58"/>
  <c r="I114" i="58"/>
  <c r="J114" i="58"/>
  <c r="J279" i="58"/>
  <c r="I278" i="58"/>
  <c r="J272" i="58"/>
  <c r="J271" i="58"/>
  <c r="I270" i="58"/>
  <c r="J269" i="58"/>
  <c r="J268" i="58"/>
  <c r="I265" i="58"/>
  <c r="J264" i="58"/>
  <c r="J263" i="58"/>
  <c r="I262" i="58"/>
  <c r="J261" i="58"/>
  <c r="J260" i="58"/>
  <c r="J196" i="58"/>
  <c r="I196" i="58"/>
  <c r="I184" i="58"/>
  <c r="J184" i="58"/>
  <c r="I155" i="58"/>
  <c r="I319" i="58"/>
  <c r="J313" i="58"/>
  <c r="I302" i="58"/>
  <c r="I296" i="58"/>
  <c r="I288" i="58"/>
  <c r="J284" i="58"/>
  <c r="I247" i="58"/>
  <c r="J239" i="58"/>
  <c r="I236" i="58"/>
  <c r="J214" i="58"/>
  <c r="I197" i="58"/>
  <c r="I185" i="58"/>
  <c r="I167" i="58"/>
  <c r="J167" i="58"/>
  <c r="J156" i="58"/>
  <c r="J20" i="58"/>
  <c r="I20" i="58"/>
  <c r="J23" i="58"/>
  <c r="I23" i="58"/>
  <c r="I245" i="58"/>
  <c r="I220" i="58"/>
  <c r="I199" i="58"/>
  <c r="I189" i="58"/>
  <c r="J183" i="58"/>
  <c r="I161" i="58"/>
  <c r="I96" i="58"/>
  <c r="J91" i="58"/>
  <c r="I83" i="58"/>
  <c r="I79" i="58"/>
  <c r="I73" i="58"/>
  <c r="J64" i="58"/>
  <c r="J56" i="58"/>
  <c r="J48" i="58"/>
  <c r="J40" i="58"/>
  <c r="I31" i="58"/>
  <c r="I24" i="58"/>
  <c r="M140" i="36"/>
  <c r="M222" i="36" s="1"/>
  <c r="M225" i="36" s="1"/>
  <c r="I80" i="58"/>
  <c r="J74" i="58"/>
  <c r="J67" i="58"/>
  <c r="J59" i="58"/>
  <c r="J51" i="58"/>
  <c r="J43" i="58"/>
  <c r="J35" i="58"/>
  <c r="I32" i="58"/>
  <c r="J7" i="58"/>
  <c r="I7" i="58"/>
  <c r="M36" i="7"/>
  <c r="M43" i="7" s="1"/>
  <c r="T63" i="60"/>
  <c r="T91" i="60" s="1"/>
  <c r="M126" i="61"/>
  <c r="M222" i="61" s="1"/>
  <c r="M225" i="61" s="1"/>
  <c r="E192" i="61"/>
  <c r="M192" i="61" s="1"/>
  <c r="M221" i="61" s="1"/>
  <c r="M354" i="61"/>
  <c r="M384" i="61" s="1"/>
  <c r="M408" i="61"/>
  <c r="M410" i="61" s="1"/>
  <c r="M282" i="36"/>
  <c r="M283" i="36" s="1"/>
  <c r="M291" i="36" s="1"/>
  <c r="M163" i="61"/>
  <c r="M223" i="61" s="1"/>
  <c r="M226" i="61" s="1"/>
  <c r="P2394" i="9"/>
  <c r="P2369" i="9"/>
  <c r="P2334" i="9"/>
  <c r="P2286" i="9"/>
  <c r="P2245" i="9"/>
  <c r="P2213" i="9"/>
  <c r="P2178" i="9"/>
  <c r="I30" i="18"/>
  <c r="P2107" i="9"/>
  <c r="P2021" i="9"/>
  <c r="I29" i="18" s="1"/>
  <c r="P2014" i="9"/>
  <c r="H28" i="18" s="1"/>
  <c r="P2006" i="9"/>
  <c r="H27" i="18" s="1"/>
  <c r="F15" i="11" s="1"/>
  <c r="G15" i="11" s="1"/>
  <c r="I15" i="11" s="1"/>
  <c r="P2000" i="9"/>
  <c r="P1994" i="9"/>
  <c r="P1985" i="9"/>
  <c r="P1960" i="9"/>
  <c r="H22" i="18" s="1"/>
  <c r="P1932" i="9"/>
  <c r="P1897" i="9"/>
  <c r="P1851" i="9"/>
  <c r="G28" i="18" s="1"/>
  <c r="P1832" i="9"/>
  <c r="P1823" i="9"/>
  <c r="P1811" i="9"/>
  <c r="P1787" i="9"/>
  <c r="F13" i="11" s="1"/>
  <c r="G13" i="11" s="1"/>
  <c r="I13" i="11" s="1"/>
  <c r="P1530" i="9"/>
  <c r="P1444" i="9"/>
  <c r="F7" i="11"/>
  <c r="G7" i="11" s="1"/>
  <c r="I7" i="11" s="1"/>
  <c r="G22" i="18"/>
  <c r="P1434" i="9"/>
  <c r="P1420" i="9"/>
  <c r="P1418" i="9" s="1"/>
  <c r="G19" i="18" s="1"/>
  <c r="H36" i="47" s="1"/>
  <c r="J36" i="47" s="1"/>
  <c r="P1395" i="9"/>
  <c r="P1393" i="9" s="1"/>
  <c r="G17" i="18" s="1"/>
  <c r="P1389" i="9"/>
  <c r="P1375" i="9"/>
  <c r="P1367" i="9"/>
  <c r="P1344" i="9"/>
  <c r="P1274" i="9"/>
  <c r="P1265" i="9"/>
  <c r="P1236" i="9"/>
  <c r="P1216" i="9"/>
  <c r="P1182" i="9"/>
  <c r="P1163" i="9"/>
  <c r="P1153" i="9"/>
  <c r="P1123" i="9"/>
  <c r="P1107" i="9"/>
  <c r="P1099" i="9"/>
  <c r="P1066" i="9"/>
  <c r="P1058" i="9"/>
  <c r="P1039" i="9"/>
  <c r="P984" i="9"/>
  <c r="P960" i="9"/>
  <c r="P941" i="9"/>
  <c r="P879" i="9"/>
  <c r="P787" i="9"/>
  <c r="P778" i="9"/>
  <c r="P695" i="9"/>
  <c r="P647" i="9"/>
  <c r="P625" i="9"/>
  <c r="P615" i="9"/>
  <c r="P604" i="9"/>
  <c r="P595" i="9"/>
  <c r="P588" i="9"/>
  <c r="P581" i="9"/>
  <c r="F35" i="18" s="1"/>
  <c r="J35" i="18" s="1"/>
  <c r="P523" i="9"/>
  <c r="P515" i="9"/>
  <c r="P504" i="9"/>
  <c r="P436" i="9"/>
  <c r="P384" i="9"/>
  <c r="P216" i="9"/>
  <c r="P200" i="9"/>
  <c r="P24" i="9"/>
  <c r="P17" i="9"/>
  <c r="P15" i="9" s="1"/>
  <c r="F15" i="18"/>
  <c r="J15" i="18" s="1"/>
  <c r="P767" i="9"/>
  <c r="M559" i="9" l="1"/>
  <c r="P559" i="9" s="1"/>
  <c r="O225" i="36"/>
  <c r="M452" i="9"/>
  <c r="P452" i="9" s="1"/>
  <c r="P454" i="9" s="1"/>
  <c r="M404" i="7"/>
  <c r="M541" i="9" s="1"/>
  <c r="P541" i="9" s="1"/>
  <c r="P546" i="9" s="1"/>
  <c r="I82" i="40"/>
  <c r="M82" i="40" s="1"/>
  <c r="M84" i="40" s="1"/>
  <c r="M46" i="40"/>
  <c r="M48" i="40" s="1"/>
  <c r="K168" i="26"/>
  <c r="K156" i="26"/>
  <c r="M922" i="9"/>
  <c r="P922" i="9" s="1"/>
  <c r="M159" i="37"/>
  <c r="M923" i="9" s="1"/>
  <c r="P923" i="9" s="1"/>
  <c r="BI42" i="32"/>
  <c r="BF42" i="32"/>
  <c r="I137" i="34"/>
  <c r="M137" i="34" s="1"/>
  <c r="M130" i="34"/>
  <c r="M66" i="43"/>
  <c r="M391" i="9" s="1"/>
  <c r="P391" i="9" s="1"/>
  <c r="M54" i="43"/>
  <c r="M388" i="9" s="1"/>
  <c r="P388" i="9" s="1"/>
  <c r="M58" i="43"/>
  <c r="M389" i="9" s="1"/>
  <c r="P389" i="9" s="1"/>
  <c r="M62" i="43"/>
  <c r="M390" i="9" s="1"/>
  <c r="P390" i="9" s="1"/>
  <c r="M70" i="43"/>
  <c r="M392" i="9" s="1"/>
  <c r="P392" i="9" s="1"/>
  <c r="O36" i="32"/>
  <c r="AG36" i="32"/>
  <c r="AB36" i="32" s="1"/>
  <c r="AN36" i="32"/>
  <c r="AI36" i="32" s="1"/>
  <c r="AN26" i="32"/>
  <c r="AI26" i="32" s="1"/>
  <c r="AG26" i="32"/>
  <c r="AB26" i="32" s="1"/>
  <c r="BQ26" i="32"/>
  <c r="BO26" i="32"/>
  <c r="AS16" i="32"/>
  <c r="K235" i="26"/>
  <c r="I249" i="9"/>
  <c r="H249" i="9"/>
  <c r="M249" i="9"/>
  <c r="P249" i="9" s="1"/>
  <c r="P251" i="9" s="1"/>
  <c r="BF34" i="32"/>
  <c r="BI34" i="32"/>
  <c r="BG30" i="32"/>
  <c r="BH30" i="32"/>
  <c r="P30" i="32"/>
  <c r="BJ30" i="32"/>
  <c r="AC30" i="32"/>
  <c r="O30" i="32"/>
  <c r="BM30" i="32"/>
  <c r="BN30" i="32"/>
  <c r="BE30" i="32"/>
  <c r="BI30" i="32" s="1"/>
  <c r="V30" i="32"/>
  <c r="BJ20" i="32"/>
  <c r="BG20" i="32"/>
  <c r="AV20" i="32"/>
  <c r="BI20" i="32"/>
  <c r="R20" i="32"/>
  <c r="P20" i="32"/>
  <c r="BM20" i="32"/>
  <c r="BN20" i="32"/>
  <c r="BH12" i="32"/>
  <c r="P12" i="32"/>
  <c r="BE12" i="32"/>
  <c r="BG12" i="32"/>
  <c r="BI12" i="32"/>
  <c r="AC12" i="32"/>
  <c r="V12" i="32"/>
  <c r="AJ12" i="32"/>
  <c r="O12" i="32"/>
  <c r="BM12" i="32"/>
  <c r="BF35" i="32"/>
  <c r="I245" i="26"/>
  <c r="M245" i="26"/>
  <c r="M74" i="43"/>
  <c r="M393" i="9" s="1"/>
  <c r="P393" i="9" s="1"/>
  <c r="AN55" i="32"/>
  <c r="AI55" i="32" s="1"/>
  <c r="AG55" i="32"/>
  <c r="AB55" i="32" s="1"/>
  <c r="AG45" i="32"/>
  <c r="AB45" i="32" s="1"/>
  <c r="AN45" i="32"/>
  <c r="AI45" i="32" s="1"/>
  <c r="AN31" i="32"/>
  <c r="AI31" i="32" s="1"/>
  <c r="AG31" i="32"/>
  <c r="AB31" i="32" s="1"/>
  <c r="BJ45" i="32"/>
  <c r="I39" i="9"/>
  <c r="M41" i="9"/>
  <c r="M33" i="9"/>
  <c r="I33" i="9"/>
  <c r="H41" i="9"/>
  <c r="I41" i="9"/>
  <c r="H33" i="9"/>
  <c r="H40" i="9"/>
  <c r="M39" i="9"/>
  <c r="H39" i="9"/>
  <c r="M40" i="9"/>
  <c r="I40" i="9"/>
  <c r="M108" i="7"/>
  <c r="G92" i="7"/>
  <c r="I92" i="7" s="1"/>
  <c r="M92" i="7" s="1"/>
  <c r="M93" i="61"/>
  <c r="J95" i="61"/>
  <c r="M95" i="61" s="1"/>
  <c r="BF44" i="32"/>
  <c r="M113" i="7"/>
  <c r="F158" i="26"/>
  <c r="F178" i="26"/>
  <c r="J87" i="7"/>
  <c r="P10" i="58"/>
  <c r="O11" i="58"/>
  <c r="C57" i="49"/>
  <c r="B58" i="49"/>
  <c r="M336" i="26"/>
  <c r="J157" i="26"/>
  <c r="M105" i="61"/>
  <c r="J103" i="61"/>
  <c r="M103" i="61" s="1"/>
  <c r="M151" i="39"/>
  <c r="I197" i="7"/>
  <c r="I200" i="7" s="1"/>
  <c r="M180" i="7"/>
  <c r="M183" i="7" s="1"/>
  <c r="M288" i="26"/>
  <c r="M301" i="26" s="1"/>
  <c r="M305" i="26" s="1"/>
  <c r="M830" i="9" s="1"/>
  <c r="P830" i="9" s="1"/>
  <c r="K316" i="26"/>
  <c r="M316" i="26" s="1"/>
  <c r="F53" i="46"/>
  <c r="H53" i="46" s="1"/>
  <c r="H44" i="46"/>
  <c r="M44" i="46" s="1"/>
  <c r="M45" i="46" s="1"/>
  <c r="M120" i="40"/>
  <c r="BL28" i="32"/>
  <c r="BO28" i="32"/>
  <c r="BQ28" i="32"/>
  <c r="BP28" i="32"/>
  <c r="BP26" i="32"/>
  <c r="AQ16" i="32"/>
  <c r="AE16" i="32"/>
  <c r="X16" i="32"/>
  <c r="AL16" i="32"/>
  <c r="Z16" i="32"/>
  <c r="BA16" i="32"/>
  <c r="P14" i="32"/>
  <c r="BG14" i="32"/>
  <c r="BH14" i="32"/>
  <c r="AJ14" i="32"/>
  <c r="BJ14" i="32"/>
  <c r="BI14" i="32"/>
  <c r="BE14" i="32"/>
  <c r="AC14" i="32"/>
  <c r="BM14" i="32"/>
  <c r="BN14" i="32"/>
  <c r="AN30" i="32"/>
  <c r="AI30" i="32" s="1"/>
  <c r="AG30" i="32"/>
  <c r="AB30" i="32" s="1"/>
  <c r="AN29" i="32"/>
  <c r="AI29" i="32" s="1"/>
  <c r="AG29" i="32"/>
  <c r="AB29" i="32" s="1"/>
  <c r="BH38" i="32"/>
  <c r="BG38" i="32"/>
  <c r="BJ38" i="32"/>
  <c r="P38" i="32"/>
  <c r="O38" i="32"/>
  <c r="AC38" i="32"/>
  <c r="V38" i="32"/>
  <c r="BF38" i="32" s="1"/>
  <c r="BN38" i="32"/>
  <c r="BM38" i="32"/>
  <c r="BL13" i="32"/>
  <c r="BQ13" i="32"/>
  <c r="BQ56" i="32" s="1"/>
  <c r="M92" i="8" s="1"/>
  <c r="M741" i="9" s="1"/>
  <c r="P741" i="9" s="1"/>
  <c r="BP13" i="32"/>
  <c r="BO13" i="32"/>
  <c r="BJ35" i="32"/>
  <c r="I150" i="34"/>
  <c r="M131" i="34"/>
  <c r="K138" i="34"/>
  <c r="M138" i="34" s="1"/>
  <c r="BI43" i="32"/>
  <c r="BL55" i="32"/>
  <c r="BQ55" i="32"/>
  <c r="BP55" i="32"/>
  <c r="BH55" i="32"/>
  <c r="O55" i="32"/>
  <c r="BG55" i="32"/>
  <c r="V55" i="32"/>
  <c r="BF55" i="32" s="1"/>
  <c r="BJ55" i="32"/>
  <c r="AC55" i="32"/>
  <c r="P55" i="32"/>
  <c r="BI55" i="32"/>
  <c r="BM55" i="32"/>
  <c r="BN55" i="32"/>
  <c r="BO55" i="32"/>
  <c r="BP45" i="32"/>
  <c r="BQ45" i="32"/>
  <c r="BL45" i="32"/>
  <c r="BN45" i="32" s="1"/>
  <c r="M79" i="50"/>
  <c r="M168" i="9" s="1"/>
  <c r="P168" i="9" s="1"/>
  <c r="I101" i="50"/>
  <c r="I103" i="50" s="1"/>
  <c r="J109" i="50" s="1"/>
  <c r="M109" i="50" s="1"/>
  <c r="M181" i="9" s="1"/>
  <c r="P181" i="9" s="1"/>
  <c r="M105" i="34"/>
  <c r="M995" i="9" s="1"/>
  <c r="P995" i="9" s="1"/>
  <c r="M78" i="37"/>
  <c r="J80" i="37"/>
  <c r="J82" i="37" s="1"/>
  <c r="M82" i="37" s="1"/>
  <c r="I110" i="39"/>
  <c r="M107" i="39"/>
  <c r="M108" i="39" s="1"/>
  <c r="M653" i="9" s="1"/>
  <c r="P653" i="9" s="1"/>
  <c r="BF17" i="32"/>
  <c r="M150" i="39"/>
  <c r="M153" i="39"/>
  <c r="M667" i="9" s="1"/>
  <c r="P667" i="9" s="1"/>
  <c r="P672" i="9" s="1"/>
  <c r="M179" i="26"/>
  <c r="G159" i="26"/>
  <c r="I159" i="26" s="1"/>
  <c r="M159" i="26" s="1"/>
  <c r="I248" i="26"/>
  <c r="M248" i="26"/>
  <c r="H293" i="26"/>
  <c r="K248" i="26"/>
  <c r="J174" i="26"/>
  <c r="H154" i="26" s="1"/>
  <c r="J154" i="26" s="1"/>
  <c r="I116" i="7"/>
  <c r="G101" i="7" s="1"/>
  <c r="I101" i="7" s="1"/>
  <c r="G85" i="7" s="1"/>
  <c r="I85" i="7" s="1"/>
  <c r="J116" i="7"/>
  <c r="H101" i="7" s="1"/>
  <c r="J101" i="7" s="1"/>
  <c r="H85" i="7" s="1"/>
  <c r="J85" i="7" s="1"/>
  <c r="L319" i="36"/>
  <c r="M332" i="36" s="1"/>
  <c r="M570" i="9" s="1"/>
  <c r="P570" i="9" s="1"/>
  <c r="M315" i="36"/>
  <c r="F200" i="26"/>
  <c r="M200" i="26" s="1"/>
  <c r="M160" i="26"/>
  <c r="M304" i="61"/>
  <c r="N304" i="61" s="1"/>
  <c r="I174" i="26"/>
  <c r="G154" i="26" s="1"/>
  <c r="I154" i="26" s="1"/>
  <c r="M154" i="26" s="1"/>
  <c r="M334" i="36"/>
  <c r="M571" i="9" s="1"/>
  <c r="P571" i="9" s="1"/>
  <c r="M293" i="36"/>
  <c r="M563" i="9" s="1"/>
  <c r="P563" i="9" s="1"/>
  <c r="K95" i="34"/>
  <c r="M95" i="34" s="1"/>
  <c r="M83" i="34"/>
  <c r="K107" i="7"/>
  <c r="K122" i="7"/>
  <c r="I77" i="7"/>
  <c r="M77" i="7" s="1"/>
  <c r="J77" i="7"/>
  <c r="K91" i="7"/>
  <c r="AG35" i="32"/>
  <c r="AB35" i="32" s="1"/>
  <c r="AN35" i="32"/>
  <c r="AI35" i="32" s="1"/>
  <c r="BQ35" i="32"/>
  <c r="BL35" i="32"/>
  <c r="BN35" i="32" s="1"/>
  <c r="BP35" i="32"/>
  <c r="BO35" i="32"/>
  <c r="BH41" i="32"/>
  <c r="BG41" i="32"/>
  <c r="V41" i="32"/>
  <c r="P41" i="32"/>
  <c r="BJ41" i="32"/>
  <c r="AC41" i="32"/>
  <c r="BE41" i="32"/>
  <c r="BM41" i="32"/>
  <c r="BN41" i="32"/>
  <c r="M224" i="37"/>
  <c r="M973" i="9" s="1"/>
  <c r="P973" i="9" s="1"/>
  <c r="P975" i="9" s="1"/>
  <c r="M885" i="9"/>
  <c r="P885" i="9" s="1"/>
  <c r="P888" i="9" s="1"/>
  <c r="BQ21" i="32"/>
  <c r="BO21" i="32"/>
  <c r="BP21" i="32"/>
  <c r="BL21" i="32"/>
  <c r="BN21" i="32" s="1"/>
  <c r="BI18" i="32"/>
  <c r="BF18" i="32"/>
  <c r="AG28" i="32"/>
  <c r="AB28" i="32" s="1"/>
  <c r="AN28" i="32"/>
  <c r="AI28" i="32" s="1"/>
  <c r="AG16" i="32"/>
  <c r="AB16" i="32" s="1"/>
  <c r="AN16" i="32"/>
  <c r="AI16" i="32" s="1"/>
  <c r="BH16" i="32"/>
  <c r="BI16" i="32"/>
  <c r="P16" i="32"/>
  <c r="T16" i="32"/>
  <c r="BB16" i="32" s="1"/>
  <c r="AZ16" i="32"/>
  <c r="BE16" i="32" s="1"/>
  <c r="BG16" i="32"/>
  <c r="AV16" i="32"/>
  <c r="BN16" i="32"/>
  <c r="BM16" i="32"/>
  <c r="BF14" i="32"/>
  <c r="BP23" i="32"/>
  <c r="BL23" i="32"/>
  <c r="BN23" i="32" s="1"/>
  <c r="I109" i="34"/>
  <c r="M109" i="34" s="1"/>
  <c r="M113" i="34" s="1"/>
  <c r="M59" i="34"/>
  <c r="M69" i="34" s="1"/>
  <c r="AG20" i="32"/>
  <c r="AB20" i="32" s="1"/>
  <c r="AN20" i="32"/>
  <c r="AI20" i="32" s="1"/>
  <c r="BL15" i="32"/>
  <c r="BN15" i="32" s="1"/>
  <c r="BO15" i="32"/>
  <c r="BQ15" i="32"/>
  <c r="BP15" i="32"/>
  <c r="AG13" i="32"/>
  <c r="AB13" i="32" s="1"/>
  <c r="AN13" i="32"/>
  <c r="AI13" i="32" s="1"/>
  <c r="BO12" i="32"/>
  <c r="BP12" i="32"/>
  <c r="BP56" i="32" s="1"/>
  <c r="BL12" i="32"/>
  <c r="BK56" i="32"/>
  <c r="I340" i="26"/>
  <c r="I398" i="26"/>
  <c r="M398" i="26" s="1"/>
  <c r="G141" i="26"/>
  <c r="F247" i="26"/>
  <c r="BF21" i="32"/>
  <c r="BJ21" i="32"/>
  <c r="AQ20" i="32"/>
  <c r="AE20" i="32"/>
  <c r="AF20" i="32" s="1"/>
  <c r="AL20" i="32"/>
  <c r="AM20" i="32" s="1"/>
  <c r="AH20" i="32" s="1"/>
  <c r="X20" i="32"/>
  <c r="G164" i="37"/>
  <c r="G165" i="37" s="1"/>
  <c r="M169" i="37" s="1"/>
  <c r="M925" i="9" s="1"/>
  <c r="P925" i="9" s="1"/>
  <c r="M147" i="37"/>
  <c r="M142" i="37"/>
  <c r="M145" i="37"/>
  <c r="M918" i="9" s="1"/>
  <c r="P918" i="9" s="1"/>
  <c r="J136" i="34"/>
  <c r="M136" i="34" s="1"/>
  <c r="M141" i="34" s="1"/>
  <c r="M1012" i="9" s="1"/>
  <c r="P1012" i="9" s="1"/>
  <c r="M129" i="34"/>
  <c r="M134" i="34" s="1"/>
  <c r="M1011" i="9" s="1"/>
  <c r="P1011" i="9" s="1"/>
  <c r="M174" i="26"/>
  <c r="J196" i="26"/>
  <c r="H176" i="26" s="1"/>
  <c r="J176" i="26" s="1"/>
  <c r="H156" i="26" s="1"/>
  <c r="J156" i="26" s="1"/>
  <c r="M319" i="36"/>
  <c r="N319" i="36" s="1"/>
  <c r="M123" i="7"/>
  <c r="M98" i="7"/>
  <c r="G82" i="7"/>
  <c r="I82" i="7" s="1"/>
  <c r="M82" i="7" s="1"/>
  <c r="F182" i="26"/>
  <c r="M182" i="26" s="1"/>
  <c r="M142" i="26"/>
  <c r="F162" i="26"/>
  <c r="M314" i="36"/>
  <c r="J319" i="36"/>
  <c r="M328" i="36" s="1"/>
  <c r="M568" i="9" s="1"/>
  <c r="P568" i="9" s="1"/>
  <c r="M561" i="9"/>
  <c r="P561" i="9" s="1"/>
  <c r="O228" i="36"/>
  <c r="C507" i="9"/>
  <c r="C508" i="9" s="1"/>
  <c r="C509" i="9" s="1"/>
  <c r="C510" i="9" s="1"/>
  <c r="C511" i="9" s="1"/>
  <c r="C512" i="9" s="1"/>
  <c r="C513" i="9" s="1"/>
  <c r="C514" i="9" s="1"/>
  <c r="C515" i="9" s="1"/>
  <c r="C516" i="9" s="1"/>
  <c r="C517" i="9" s="1"/>
  <c r="G196" i="26"/>
  <c r="I196" i="26" s="1"/>
  <c r="G176" i="26" s="1"/>
  <c r="I176" i="26" s="1"/>
  <c r="G156" i="26" s="1"/>
  <c r="I156" i="26" s="1"/>
  <c r="I136" i="26"/>
  <c r="M136" i="26" s="1"/>
  <c r="M243" i="26"/>
  <c r="I243" i="26"/>
  <c r="K243" i="26"/>
  <c r="J114" i="7"/>
  <c r="H99" i="7" s="1"/>
  <c r="J99" i="7" s="1"/>
  <c r="H83" i="7" s="1"/>
  <c r="I114" i="7"/>
  <c r="G99" i="7" s="1"/>
  <c r="I99" i="7" s="1"/>
  <c r="G83" i="7" s="1"/>
  <c r="J478" i="9"/>
  <c r="H487" i="9" s="1"/>
  <c r="D479" i="9"/>
  <c r="D480" i="9" s="1"/>
  <c r="D481" i="9" s="1"/>
  <c r="D482" i="9" s="1"/>
  <c r="D483" i="9" s="1"/>
  <c r="D484" i="9" s="1"/>
  <c r="D485" i="9" s="1"/>
  <c r="D486" i="9" s="1"/>
  <c r="D487" i="9" s="1"/>
  <c r="D488" i="9" s="1"/>
  <c r="D489" i="9" s="1"/>
  <c r="F205" i="26"/>
  <c r="M205" i="26" s="1"/>
  <c r="M165" i="26"/>
  <c r="G177" i="26"/>
  <c r="I177" i="26" s="1"/>
  <c r="M197" i="26"/>
  <c r="F36" i="18"/>
  <c r="J36" i="18" s="1"/>
  <c r="M133" i="31"/>
  <c r="M1191" i="9" s="1"/>
  <c r="P1191" i="9" s="1"/>
  <c r="M1190" i="9"/>
  <c r="P1190" i="9" s="1"/>
  <c r="P1199" i="9" s="1"/>
  <c r="M149" i="31"/>
  <c r="M1197" i="9" s="1"/>
  <c r="P1197" i="9" s="1"/>
  <c r="M93" i="34"/>
  <c r="M993" i="9" s="1"/>
  <c r="P993" i="9" s="1"/>
  <c r="I75" i="7"/>
  <c r="M75" i="7" s="1"/>
  <c r="M80" i="7" s="1"/>
  <c r="J212" i="7" s="1"/>
  <c r="M212" i="7" s="1"/>
  <c r="M213" i="7" s="1"/>
  <c r="J75" i="7"/>
  <c r="K120" i="7"/>
  <c r="K105" i="7"/>
  <c r="K89" i="7" s="1"/>
  <c r="O41" i="32"/>
  <c r="K203" i="26"/>
  <c r="K183" i="26"/>
  <c r="K163" i="26"/>
  <c r="J143" i="26"/>
  <c r="I143" i="26"/>
  <c r="M58" i="37"/>
  <c r="M68" i="37" s="1"/>
  <c r="I108" i="37"/>
  <c r="M108" i="37" s="1"/>
  <c r="M117" i="37" s="1"/>
  <c r="BI40" i="32"/>
  <c r="BE40" i="32"/>
  <c r="BH40" i="32"/>
  <c r="V40" i="32"/>
  <c r="BF40" i="32" s="1"/>
  <c r="BG40" i="32"/>
  <c r="P40" i="32"/>
  <c r="AC40" i="32"/>
  <c r="O40" i="32"/>
  <c r="BM40" i="32"/>
  <c r="BN40" i="32"/>
  <c r="AQ56" i="32"/>
  <c r="M143" i="37"/>
  <c r="M917" i="9" s="1"/>
  <c r="P917" i="9" s="1"/>
  <c r="P36" i="32"/>
  <c r="BH36" i="32"/>
  <c r="BG36" i="32"/>
  <c r="BJ36" i="32"/>
  <c r="AC36" i="32"/>
  <c r="BE36" i="32"/>
  <c r="BF36" i="32" s="1"/>
  <c r="BI36" i="32"/>
  <c r="BM36" i="32"/>
  <c r="BN36" i="32"/>
  <c r="AG50" i="32"/>
  <c r="AB50" i="32" s="1"/>
  <c r="AN50" i="32"/>
  <c r="AI50" i="32" s="1"/>
  <c r="P28" i="32"/>
  <c r="BG28" i="32"/>
  <c r="BI28" i="32"/>
  <c r="BE28" i="32"/>
  <c r="BH28" i="32"/>
  <c r="AC28" i="32"/>
  <c r="AJ28" i="32"/>
  <c r="BM28" i="32"/>
  <c r="BN28" i="32"/>
  <c r="V28" i="32"/>
  <c r="BH26" i="32"/>
  <c r="BI26" i="32"/>
  <c r="O26" i="32"/>
  <c r="BG26" i="32"/>
  <c r="AJ26" i="32"/>
  <c r="AC26" i="32"/>
  <c r="P26" i="32"/>
  <c r="V26" i="32"/>
  <c r="BN26" i="32"/>
  <c r="BM26" i="32"/>
  <c r="BE26" i="32"/>
  <c r="R16" i="32"/>
  <c r="BO23" i="32"/>
  <c r="C56" i="44"/>
  <c r="B57" i="44"/>
  <c r="G151" i="40"/>
  <c r="M151" i="40" s="1"/>
  <c r="M154" i="40" s="1"/>
  <c r="M1329" i="9" s="1"/>
  <c r="P1329" i="9" s="1"/>
  <c r="M147" i="40"/>
  <c r="M149" i="40" s="1"/>
  <c r="M1328" i="9" s="1"/>
  <c r="P1328" i="9" s="1"/>
  <c r="AX20" i="32"/>
  <c r="AX56" i="32" s="1"/>
  <c r="AS20" i="32"/>
  <c r="AT20" i="32" s="1"/>
  <c r="AO20" i="32" s="1"/>
  <c r="BE13" i="32"/>
  <c r="BG13" i="32"/>
  <c r="BH13" i="32"/>
  <c r="P13" i="32"/>
  <c r="AC13" i="32"/>
  <c r="O13" i="32"/>
  <c r="V13" i="32"/>
  <c r="BF13" i="32" s="1"/>
  <c r="BI13" i="32"/>
  <c r="BN13" i="32"/>
  <c r="BM13" i="32"/>
  <c r="M82" i="43"/>
  <c r="J97" i="43"/>
  <c r="Z47" i="32"/>
  <c r="AC47" i="32" s="1"/>
  <c r="V47" i="32"/>
  <c r="J208" i="26"/>
  <c r="H188" i="26" s="1"/>
  <c r="J188" i="26" s="1"/>
  <c r="H168" i="26" s="1"/>
  <c r="J168" i="26" s="1"/>
  <c r="I208" i="26"/>
  <c r="G188" i="26" s="1"/>
  <c r="I188" i="26" s="1"/>
  <c r="G168" i="26" s="1"/>
  <c r="I168" i="26" s="1"/>
  <c r="H83" i="26"/>
  <c r="M70" i="26"/>
  <c r="M78" i="26" s="1"/>
  <c r="M792" i="9" s="1"/>
  <c r="P792" i="9" s="1"/>
  <c r="M1250" i="9"/>
  <c r="P1250" i="9" s="1"/>
  <c r="P1257" i="9" s="1"/>
  <c r="M277" i="31"/>
  <c r="M1251" i="9" s="1"/>
  <c r="P1251" i="9" s="1"/>
  <c r="BF31" i="32"/>
  <c r="BI31" i="32"/>
  <c r="G103" i="7"/>
  <c r="I103" i="7" s="1"/>
  <c r="M118" i="7"/>
  <c r="I61" i="50"/>
  <c r="G57" i="50" s="1"/>
  <c r="I57" i="50" s="1"/>
  <c r="M57" i="50" s="1"/>
  <c r="M59" i="50" s="1"/>
  <c r="M69" i="50" s="1"/>
  <c r="C1788" i="9"/>
  <c r="C1789" i="9" s="1"/>
  <c r="C1790" i="9" s="1"/>
  <c r="C1791" i="9" s="1"/>
  <c r="C1792" i="9" s="1"/>
  <c r="C1793" i="9" s="1"/>
  <c r="C1794" i="9" s="1"/>
  <c r="C1795" i="9" s="1"/>
  <c r="C1796" i="9" s="1"/>
  <c r="C1797" i="9" s="1"/>
  <c r="C1798" i="9" s="1"/>
  <c r="C1799" i="9" s="1"/>
  <c r="C1800" i="9" s="1"/>
  <c r="C1801" i="9" s="1"/>
  <c r="C1802" i="9" s="1"/>
  <c r="C1803" i="9" s="1"/>
  <c r="C1804" i="9" s="1"/>
  <c r="C1805" i="9" s="1"/>
  <c r="C1806" i="9" s="1"/>
  <c r="C1807" i="9" s="1"/>
  <c r="C1808" i="9" s="1"/>
  <c r="C1809" i="9" s="1"/>
  <c r="C1810" i="9" s="1"/>
  <c r="C1811" i="9" s="1"/>
  <c r="H1787" i="9"/>
  <c r="F207" i="26"/>
  <c r="M207" i="26" s="1"/>
  <c r="M167" i="26"/>
  <c r="I117" i="7"/>
  <c r="G102" i="7" s="1"/>
  <c r="I102" i="7" s="1"/>
  <c r="G86" i="7" s="1"/>
  <c r="I86" i="7" s="1"/>
  <c r="M86" i="7" s="1"/>
  <c r="M117" i="7"/>
  <c r="J117" i="7"/>
  <c r="H102" i="7" s="1"/>
  <c r="J102" i="7" s="1"/>
  <c r="H86" i="7" s="1"/>
  <c r="J86" i="7" s="1"/>
  <c r="C48" i="9"/>
  <c r="C49" i="9" s="1"/>
  <c r="C50" i="9" s="1"/>
  <c r="C51" i="9" s="1"/>
  <c r="C52" i="9" s="1"/>
  <c r="C53" i="9" s="1"/>
  <c r="J47" i="9"/>
  <c r="H51" i="9" s="1"/>
  <c r="G153" i="26"/>
  <c r="I153" i="26" s="1"/>
  <c r="M153" i="26" s="1"/>
  <c r="M173" i="26"/>
  <c r="J263" i="9"/>
  <c r="H267" i="9" s="1"/>
  <c r="C264" i="9"/>
  <c r="C265" i="9" s="1"/>
  <c r="C266" i="9" s="1"/>
  <c r="C267" i="9" s="1"/>
  <c r="C268" i="9" s="1"/>
  <c r="C269" i="9" s="1"/>
  <c r="I337" i="26"/>
  <c r="M337" i="26" s="1"/>
  <c r="G138" i="26"/>
  <c r="F244" i="26"/>
  <c r="I244" i="26" s="1"/>
  <c r="I395" i="26"/>
  <c r="M395" i="26" s="1"/>
  <c r="M400" i="26" s="1"/>
  <c r="M854" i="9" s="1"/>
  <c r="P854" i="9" s="1"/>
  <c r="P858" i="9" s="1"/>
  <c r="K83" i="7"/>
  <c r="M113" i="61"/>
  <c r="J111" i="61"/>
  <c r="M111" i="61" s="1"/>
  <c r="J61" i="50"/>
  <c r="H57" i="50" s="1"/>
  <c r="J57" i="50" s="1"/>
  <c r="M306" i="36"/>
  <c r="N306" i="36" s="1"/>
  <c r="I28" i="18"/>
  <c r="F9" i="11"/>
  <c r="G9" i="11" s="1"/>
  <c r="I9" i="11" s="1"/>
  <c r="I22" i="18"/>
  <c r="I27" i="18"/>
  <c r="F16" i="11" s="1"/>
  <c r="G16" i="11" s="1"/>
  <c r="I16" i="11" s="1"/>
  <c r="P2019" i="9"/>
  <c r="H26" i="18"/>
  <c r="H21" i="18" s="1"/>
  <c r="H23" i="18"/>
  <c r="F18" i="11" s="1"/>
  <c r="G18" i="11" s="1"/>
  <c r="I18" i="11" s="1"/>
  <c r="P1958" i="9"/>
  <c r="F8" i="11"/>
  <c r="G8" i="11" s="1"/>
  <c r="I8" i="11" s="1"/>
  <c r="G32" i="18"/>
  <c r="G30" i="18"/>
  <c r="G27" i="18"/>
  <c r="F14" i="11" s="1"/>
  <c r="G14" i="11" s="1"/>
  <c r="I14" i="11" s="1"/>
  <c r="G26" i="18"/>
  <c r="G24" i="18"/>
  <c r="F17" i="11"/>
  <c r="G17" i="11" s="1"/>
  <c r="I17" i="11" s="1"/>
  <c r="G23" i="18"/>
  <c r="P1442" i="9"/>
  <c r="P1391" i="9" s="1"/>
  <c r="H32" i="47"/>
  <c r="J32" i="47" s="1"/>
  <c r="P1346" i="9"/>
  <c r="F32" i="18" s="1"/>
  <c r="P1077" i="9"/>
  <c r="F29" i="18" s="1"/>
  <c r="J29" i="18" s="1"/>
  <c r="F45" i="47"/>
  <c r="J45" i="47" s="1"/>
  <c r="J34" i="18"/>
  <c r="F34" i="18"/>
  <c r="F20" i="47"/>
  <c r="I21" i="18"/>
  <c r="J215" i="7" l="1"/>
  <c r="M480" i="9"/>
  <c r="P480" i="9" s="1"/>
  <c r="M75" i="50"/>
  <c r="G101" i="50"/>
  <c r="M85" i="50"/>
  <c r="M171" i="9" s="1"/>
  <c r="P171" i="9" s="1"/>
  <c r="M95" i="50"/>
  <c r="M176" i="9" s="1"/>
  <c r="P176" i="9" s="1"/>
  <c r="M81" i="50"/>
  <c r="M169" i="9" s="1"/>
  <c r="P169" i="9" s="1"/>
  <c r="M91" i="50"/>
  <c r="M174" i="9" s="1"/>
  <c r="P174" i="9" s="1"/>
  <c r="C270" i="9"/>
  <c r="C271" i="9" s="1"/>
  <c r="C272" i="9" s="1"/>
  <c r="C273" i="9" s="1"/>
  <c r="C274" i="9" s="1"/>
  <c r="C275" i="9" s="1"/>
  <c r="C276" i="9" s="1"/>
  <c r="C277" i="9" s="1"/>
  <c r="C278" i="9" s="1"/>
  <c r="C279" i="9" s="1"/>
  <c r="C280" i="9" s="1"/>
  <c r="C281" i="9" s="1"/>
  <c r="C282" i="9" s="1"/>
  <c r="C283" i="9" s="1"/>
  <c r="C284" i="9" s="1"/>
  <c r="C285" i="9" s="1"/>
  <c r="C286" i="9" s="1"/>
  <c r="C287" i="9" s="1"/>
  <c r="C288" i="9" s="1"/>
  <c r="C289" i="9" s="1"/>
  <c r="J269" i="9"/>
  <c r="H287" i="9" s="1"/>
  <c r="H1811" i="9"/>
  <c r="C1812" i="9"/>
  <c r="C1813" i="9" s="1"/>
  <c r="C1814" i="9" s="1"/>
  <c r="C1815" i="9" s="1"/>
  <c r="C1816" i="9" s="1"/>
  <c r="C1817" i="9" s="1"/>
  <c r="C1818" i="9" s="1"/>
  <c r="C1819" i="9" s="1"/>
  <c r="C1820" i="9" s="1"/>
  <c r="C1821" i="9" s="1"/>
  <c r="C1822" i="9" s="1"/>
  <c r="C1823" i="9" s="1"/>
  <c r="BJ47" i="32"/>
  <c r="BF47" i="32"/>
  <c r="BF26" i="32"/>
  <c r="BF28" i="32"/>
  <c r="BJ40" i="32"/>
  <c r="M84" i="37"/>
  <c r="M895" i="9" s="1"/>
  <c r="P895" i="9" s="1"/>
  <c r="M76" i="37"/>
  <c r="M893" i="9" s="1"/>
  <c r="P893" i="9" s="1"/>
  <c r="I125" i="37"/>
  <c r="M88" i="37"/>
  <c r="M896" i="9" s="1"/>
  <c r="P896" i="9" s="1"/>
  <c r="M92" i="37"/>
  <c r="M897" i="9" s="1"/>
  <c r="P897" i="9" s="1"/>
  <c r="M72" i="37"/>
  <c r="M892" i="9" s="1"/>
  <c r="P892" i="9" s="1"/>
  <c r="M80" i="37"/>
  <c r="M894" i="9" s="1"/>
  <c r="P894" i="9" s="1"/>
  <c r="G157" i="26"/>
  <c r="I157" i="26" s="1"/>
  <c r="M157" i="26" s="1"/>
  <c r="M177" i="26"/>
  <c r="I83" i="7"/>
  <c r="M244" i="26"/>
  <c r="BF41" i="32"/>
  <c r="I114" i="39"/>
  <c r="M114" i="39" s="1"/>
  <c r="M110" i="39"/>
  <c r="M111" i="39" s="1"/>
  <c r="M654" i="9" s="1"/>
  <c r="P654" i="9" s="1"/>
  <c r="I113" i="39"/>
  <c r="M61" i="50"/>
  <c r="M63" i="50" s="1"/>
  <c r="M71" i="50" s="1"/>
  <c r="N312" i="26"/>
  <c r="N314" i="26" s="1"/>
  <c r="M208" i="26"/>
  <c r="N39" i="9"/>
  <c r="O39" i="9" s="1"/>
  <c r="L39" i="9"/>
  <c r="K39" i="9"/>
  <c r="BM56" i="32"/>
  <c r="BF12" i="32"/>
  <c r="BE56" i="32"/>
  <c r="M76" i="8" s="1"/>
  <c r="M725" i="9" s="1"/>
  <c r="P725" i="9" s="1"/>
  <c r="O20" i="32"/>
  <c r="V20" i="32"/>
  <c r="Y20" i="32"/>
  <c r="H255" i="9"/>
  <c r="L249" i="9"/>
  <c r="K249" i="9"/>
  <c r="AT16" i="32"/>
  <c r="AO16" i="32" s="1"/>
  <c r="M156" i="26"/>
  <c r="M72" i="40"/>
  <c r="M1283" i="9" s="1"/>
  <c r="P1283" i="9" s="1"/>
  <c r="M56" i="40"/>
  <c r="M1279" i="9" s="1"/>
  <c r="P1279" i="9" s="1"/>
  <c r="M64" i="40"/>
  <c r="M1281" i="9" s="1"/>
  <c r="P1281" i="9" s="1"/>
  <c r="M60" i="40"/>
  <c r="M1280" i="9" s="1"/>
  <c r="P1280" i="9" s="1"/>
  <c r="I92" i="40"/>
  <c r="M52" i="40"/>
  <c r="M1278" i="9" s="1"/>
  <c r="P1278" i="9" s="1"/>
  <c r="M68" i="40"/>
  <c r="M1282" i="9" s="1"/>
  <c r="P1282" i="9" s="1"/>
  <c r="G198" i="26"/>
  <c r="I198" i="26" s="1"/>
  <c r="G178" i="26" s="1"/>
  <c r="I178" i="26" s="1"/>
  <c r="G158" i="26" s="1"/>
  <c r="I158" i="26" s="1"/>
  <c r="I138" i="26"/>
  <c r="M138" i="26" s="1"/>
  <c r="C54" i="9"/>
  <c r="C55" i="9" s="1"/>
  <c r="C56" i="9" s="1"/>
  <c r="C57" i="9" s="1"/>
  <c r="C58" i="9" s="1"/>
  <c r="C59" i="9" s="1"/>
  <c r="C60" i="9" s="1"/>
  <c r="C61" i="9" s="1"/>
  <c r="C62" i="9" s="1"/>
  <c r="C63" i="9" s="1"/>
  <c r="C64" i="9" s="1"/>
  <c r="C65" i="9" s="1"/>
  <c r="C66" i="9" s="1"/>
  <c r="C67" i="9" s="1"/>
  <c r="C68" i="9" s="1"/>
  <c r="C69" i="9" s="1"/>
  <c r="C70" i="9" s="1"/>
  <c r="C71" i="9" s="1"/>
  <c r="C72" i="9" s="1"/>
  <c r="C73" i="9" s="1"/>
  <c r="C74" i="9" s="1"/>
  <c r="C75" i="9" s="1"/>
  <c r="J53" i="9"/>
  <c r="H73" i="9" s="1"/>
  <c r="M83" i="26"/>
  <c r="M91" i="26" s="1"/>
  <c r="M793" i="9" s="1"/>
  <c r="P793" i="9" s="1"/>
  <c r="H96" i="26"/>
  <c r="BJ13" i="32"/>
  <c r="P1331" i="9"/>
  <c r="BJ28" i="32"/>
  <c r="J203" i="26"/>
  <c r="H183" i="26" s="1"/>
  <c r="J183" i="26" s="1"/>
  <c r="H163" i="26" s="1"/>
  <c r="J163" i="26" s="1"/>
  <c r="I203" i="26"/>
  <c r="G183" i="26" s="1"/>
  <c r="I183" i="26" s="1"/>
  <c r="G163" i="26" s="1"/>
  <c r="I163" i="26" s="1"/>
  <c r="M114" i="7"/>
  <c r="M102" i="7"/>
  <c r="BO56" i="32"/>
  <c r="BI41" i="32"/>
  <c r="J122" i="7"/>
  <c r="H107" i="7" s="1"/>
  <c r="J107" i="7" s="1"/>
  <c r="H91" i="7" s="1"/>
  <c r="J91" i="7" s="1"/>
  <c r="I122" i="7"/>
  <c r="G107" i="7" s="1"/>
  <c r="I107" i="7" s="1"/>
  <c r="G91" i="7" s="1"/>
  <c r="I91" i="7" s="1"/>
  <c r="M91" i="7" s="1"/>
  <c r="AF16" i="32"/>
  <c r="M1305" i="9"/>
  <c r="P1305" i="9" s="1"/>
  <c r="F122" i="40"/>
  <c r="M124" i="40" s="1"/>
  <c r="M1306" i="9" s="1"/>
  <c r="P1306" i="9" s="1"/>
  <c r="G122" i="40"/>
  <c r="M126" i="40" s="1"/>
  <c r="M1307" i="9" s="1"/>
  <c r="P1307" i="9" s="1"/>
  <c r="H122" i="40"/>
  <c r="M128" i="40" s="1"/>
  <c r="M1308" i="9" s="1"/>
  <c r="P1308" i="9" s="1"/>
  <c r="M132" i="40"/>
  <c r="M1310" i="9" s="1"/>
  <c r="P1310" i="9" s="1"/>
  <c r="I122" i="40"/>
  <c r="M130" i="40" s="1"/>
  <c r="M1309" i="9" s="1"/>
  <c r="P1309" i="9" s="1"/>
  <c r="M99" i="7"/>
  <c r="O12" i="58"/>
  <c r="P11" i="58"/>
  <c r="P39" i="9"/>
  <c r="M42" i="9"/>
  <c r="BJ12" i="32"/>
  <c r="BF30" i="32"/>
  <c r="I255" i="9"/>
  <c r="M255" i="9"/>
  <c r="P255" i="9" s="1"/>
  <c r="M176" i="26"/>
  <c r="J86" i="40"/>
  <c r="J92" i="40"/>
  <c r="J96" i="40" s="1"/>
  <c r="M83" i="7"/>
  <c r="J101" i="43"/>
  <c r="BJ26" i="32"/>
  <c r="J120" i="7"/>
  <c r="H105" i="7" s="1"/>
  <c r="J105" i="7" s="1"/>
  <c r="H89" i="7" s="1"/>
  <c r="J89" i="7" s="1"/>
  <c r="I120" i="7"/>
  <c r="G105" i="7" s="1"/>
  <c r="I105" i="7" s="1"/>
  <c r="G89" i="7" s="1"/>
  <c r="I89" i="7" s="1"/>
  <c r="M89" i="7" s="1"/>
  <c r="D490" i="9"/>
  <c r="D491" i="9" s="1"/>
  <c r="D492" i="9" s="1"/>
  <c r="D493" i="9" s="1"/>
  <c r="D494" i="9" s="1"/>
  <c r="D495" i="9" s="1"/>
  <c r="D496" i="9" s="1"/>
  <c r="D497" i="9" s="1"/>
  <c r="D498" i="9" s="1"/>
  <c r="D499" i="9" s="1"/>
  <c r="D500" i="9" s="1"/>
  <c r="D501" i="9" s="1"/>
  <c r="D502" i="9" s="1"/>
  <c r="D503" i="9" s="1"/>
  <c r="D504" i="9" s="1"/>
  <c r="D505" i="9" s="1"/>
  <c r="D506" i="9" s="1"/>
  <c r="J489" i="9"/>
  <c r="H504" i="9" s="1"/>
  <c r="J83" i="7"/>
  <c r="C518" i="9"/>
  <c r="C519" i="9" s="1"/>
  <c r="C520" i="9" s="1"/>
  <c r="C521" i="9" s="1"/>
  <c r="C522" i="9" s="1"/>
  <c r="C523" i="9" s="1"/>
  <c r="C524" i="9" s="1"/>
  <c r="C525" i="9" s="1"/>
  <c r="K244" i="26"/>
  <c r="M149" i="37"/>
  <c r="M920" i="9" s="1"/>
  <c r="P920" i="9" s="1"/>
  <c r="M919" i="9"/>
  <c r="P919" i="9" s="1"/>
  <c r="P930" i="9" s="1"/>
  <c r="M175" i="37"/>
  <c r="M928" i="9" s="1"/>
  <c r="P928" i="9" s="1"/>
  <c r="AJ20" i="32"/>
  <c r="AA20" i="32"/>
  <c r="M77" i="34"/>
  <c r="M989" i="9" s="1"/>
  <c r="P989" i="9" s="1"/>
  <c r="M89" i="34"/>
  <c r="M992" i="9" s="1"/>
  <c r="P992" i="9" s="1"/>
  <c r="M81" i="34"/>
  <c r="M990" i="9" s="1"/>
  <c r="P990" i="9" s="1"/>
  <c r="M73" i="34"/>
  <c r="M988" i="9" s="1"/>
  <c r="P988" i="9" s="1"/>
  <c r="I121" i="34"/>
  <c r="M85" i="34"/>
  <c r="M991" i="9" s="1"/>
  <c r="P991" i="9" s="1"/>
  <c r="M107" i="7"/>
  <c r="K92" i="46"/>
  <c r="M102" i="46" s="1"/>
  <c r="J92" i="46"/>
  <c r="M92" i="46" s="1"/>
  <c r="M94" i="46" s="1"/>
  <c r="J96" i="46" s="1"/>
  <c r="M178" i="26"/>
  <c r="I42" i="9"/>
  <c r="H42" i="9"/>
  <c r="N40" i="9"/>
  <c r="O40" i="9" s="1"/>
  <c r="P40" i="9" s="1"/>
  <c r="L40" i="9"/>
  <c r="K40" i="9"/>
  <c r="L41" i="9"/>
  <c r="K41" i="9"/>
  <c r="N41" i="9"/>
  <c r="O41" i="9" s="1"/>
  <c r="P41" i="9" s="1"/>
  <c r="M188" i="26"/>
  <c r="G87" i="7"/>
  <c r="I87" i="7" s="1"/>
  <c r="M87" i="7" s="1"/>
  <c r="M103" i="7"/>
  <c r="M110" i="7" s="1"/>
  <c r="M111" i="7" s="1"/>
  <c r="M131" i="7" s="1"/>
  <c r="M459" i="9" s="1"/>
  <c r="P459" i="9" s="1"/>
  <c r="K97" i="43"/>
  <c r="K101" i="43" s="1"/>
  <c r="J84" i="43"/>
  <c r="B58" i="44"/>
  <c r="C57" i="44"/>
  <c r="O16" i="32"/>
  <c r="O56" i="32" s="1"/>
  <c r="M32" i="8" s="1"/>
  <c r="M702" i="9" s="1"/>
  <c r="P702" i="9" s="1"/>
  <c r="Y16" i="32"/>
  <c r="V16" i="32"/>
  <c r="J125" i="37"/>
  <c r="J129" i="37" s="1"/>
  <c r="J119" i="37"/>
  <c r="M105" i="7"/>
  <c r="P1184" i="9"/>
  <c r="F202" i="26"/>
  <c r="M202" i="26" s="1"/>
  <c r="M162" i="26"/>
  <c r="M196" i="26"/>
  <c r="I141" i="26"/>
  <c r="G201" i="26"/>
  <c r="I201" i="26" s="1"/>
  <c r="G181" i="26" s="1"/>
  <c r="I181" i="26" s="1"/>
  <c r="G161" i="26" s="1"/>
  <c r="I161" i="26" s="1"/>
  <c r="BL56" i="32"/>
  <c r="J115" i="34"/>
  <c r="J121" i="34"/>
  <c r="J125" i="34" s="1"/>
  <c r="I173" i="34"/>
  <c r="M173" i="34" s="1"/>
  <c r="M177" i="34" s="1"/>
  <c r="M150" i="34"/>
  <c r="M153" i="34" s="1"/>
  <c r="M158" i="34" s="1"/>
  <c r="M1013" i="9" s="1"/>
  <c r="P1013" i="9" s="1"/>
  <c r="BI38" i="32"/>
  <c r="BI56" i="32" s="1"/>
  <c r="M72" i="8" s="1"/>
  <c r="M723" i="9" s="1"/>
  <c r="P723" i="9" s="1"/>
  <c r="AM16" i="32"/>
  <c r="AH16" i="32" s="1"/>
  <c r="F50" i="46"/>
  <c r="H50" i="46" s="1"/>
  <c r="M53" i="46"/>
  <c r="M54" i="46" s="1"/>
  <c r="L200" i="7"/>
  <c r="I202" i="7"/>
  <c r="N200" i="7"/>
  <c r="B59" i="49"/>
  <c r="B60" i="49" s="1"/>
  <c r="C58" i="49"/>
  <c r="F198" i="26"/>
  <c r="M198" i="26" s="1"/>
  <c r="M158" i="26"/>
  <c r="N33" i="9"/>
  <c r="O33" i="9" s="1"/>
  <c r="P33" i="9" s="1"/>
  <c r="K33" i="9"/>
  <c r="L33" i="9"/>
  <c r="BN12" i="32"/>
  <c r="BN56" i="32" s="1"/>
  <c r="M90" i="8" s="1"/>
  <c r="M740" i="9" s="1"/>
  <c r="P740" i="9" s="1"/>
  <c r="BG56" i="32"/>
  <c r="M168" i="26"/>
  <c r="P573" i="9"/>
  <c r="P548" i="9" s="1"/>
  <c r="H13" i="18"/>
  <c r="H42" i="47"/>
  <c r="J42" i="47" s="1"/>
  <c r="J32" i="18"/>
  <c r="G21" i="18"/>
  <c r="H41" i="47" s="1"/>
  <c r="J41" i="47" s="1"/>
  <c r="J20" i="47"/>
  <c r="F19" i="47"/>
  <c r="I13" i="18"/>
  <c r="H43" i="47"/>
  <c r="J43" i="47" s="1"/>
  <c r="P705" i="9" l="1"/>
  <c r="M94" i="7"/>
  <c r="P35" i="9"/>
  <c r="F30" i="18"/>
  <c r="J30" i="18" s="1"/>
  <c r="BF16" i="32"/>
  <c r="BJ16" i="32"/>
  <c r="B59" i="44"/>
  <c r="C58" i="44"/>
  <c r="H49" i="9"/>
  <c r="H43" i="9"/>
  <c r="J75" i="9"/>
  <c r="H80" i="9" s="1"/>
  <c r="C76" i="9"/>
  <c r="C77" i="9" s="1"/>
  <c r="C78" i="9" s="1"/>
  <c r="C79" i="9" s="1"/>
  <c r="C80" i="9" s="1"/>
  <c r="C81" i="9" s="1"/>
  <c r="C82" i="9" s="1"/>
  <c r="L255" i="9"/>
  <c r="K255" i="9"/>
  <c r="I257" i="9"/>
  <c r="BK58" i="32"/>
  <c r="M88" i="8"/>
  <c r="M739" i="9" s="1"/>
  <c r="P739" i="9" s="1"/>
  <c r="P743" i="9" s="1"/>
  <c r="M43" i="9"/>
  <c r="C60" i="49"/>
  <c r="B61" i="49"/>
  <c r="B62" i="49" s="1"/>
  <c r="B63" i="49" s="1"/>
  <c r="B64" i="49" s="1"/>
  <c r="B66" i="49" s="1"/>
  <c r="B67" i="49" s="1"/>
  <c r="J117" i="34"/>
  <c r="M117" i="34" s="1"/>
  <c r="M997" i="9" s="1"/>
  <c r="P997" i="9" s="1"/>
  <c r="M115" i="34"/>
  <c r="M996" i="9" s="1"/>
  <c r="P996" i="9" s="1"/>
  <c r="P999" i="9" s="1"/>
  <c r="M96" i="46"/>
  <c r="J98" i="46"/>
  <c r="M98" i="46" s="1"/>
  <c r="I125" i="34"/>
  <c r="M125" i="34" s="1"/>
  <c r="M1005" i="9" s="1"/>
  <c r="P1005" i="9" s="1"/>
  <c r="M121" i="34"/>
  <c r="M120" i="7"/>
  <c r="M126" i="7" s="1"/>
  <c r="M127" i="7" s="1"/>
  <c r="M101" i="43"/>
  <c r="M404" i="9" s="1"/>
  <c r="P404" i="9" s="1"/>
  <c r="M257" i="9"/>
  <c r="P257" i="9" s="1"/>
  <c r="I43" i="9"/>
  <c r="O13" i="58"/>
  <c r="P12" i="58"/>
  <c r="P1312" i="9"/>
  <c r="M96" i="26"/>
  <c r="M104" i="26" s="1"/>
  <c r="M794" i="9" s="1"/>
  <c r="P794" i="9" s="1"/>
  <c r="H122" i="26"/>
  <c r="H124" i="26"/>
  <c r="M92" i="40"/>
  <c r="I96" i="40"/>
  <c r="M96" i="40" s="1"/>
  <c r="M1295" i="9" s="1"/>
  <c r="P1295" i="9" s="1"/>
  <c r="M112" i="46"/>
  <c r="M104" i="46"/>
  <c r="M97" i="43"/>
  <c r="AA16" i="32"/>
  <c r="AC16" i="32" s="1"/>
  <c r="AC56" i="32" s="1"/>
  <c r="M38" i="8" s="1"/>
  <c r="AJ16" i="32"/>
  <c r="AJ56" i="32" s="1"/>
  <c r="M40" i="8" s="1"/>
  <c r="AC20" i="32"/>
  <c r="V56" i="32"/>
  <c r="I49" i="9"/>
  <c r="M77" i="50"/>
  <c r="M167" i="9" s="1"/>
  <c r="P167" i="9" s="1"/>
  <c r="H101" i="50"/>
  <c r="H103" i="50" s="1"/>
  <c r="J107" i="50" s="1"/>
  <c r="M107" i="50" s="1"/>
  <c r="M180" i="9" s="1"/>
  <c r="P180" i="9" s="1"/>
  <c r="N73" i="50"/>
  <c r="M97" i="50"/>
  <c r="M177" i="9" s="1"/>
  <c r="P177" i="9" s="1"/>
  <c r="M93" i="50"/>
  <c r="M175" i="9" s="1"/>
  <c r="P175" i="9" s="1"/>
  <c r="M87" i="50"/>
  <c r="M172" i="9" s="1"/>
  <c r="P172" i="9" s="1"/>
  <c r="M83" i="50"/>
  <c r="M170" i="9" s="1"/>
  <c r="P170" i="9" s="1"/>
  <c r="C290" i="9"/>
  <c r="C291" i="9" s="1"/>
  <c r="C292" i="9" s="1"/>
  <c r="C293" i="9" s="1"/>
  <c r="C294" i="9" s="1"/>
  <c r="C295" i="9" s="1"/>
  <c r="C296" i="9" s="1"/>
  <c r="J289" i="9"/>
  <c r="H294" i="9" s="1"/>
  <c r="P796" i="9"/>
  <c r="M89" i="50"/>
  <c r="M173" i="9" s="1"/>
  <c r="P173" i="9" s="1"/>
  <c r="G103" i="50"/>
  <c r="J101" i="50"/>
  <c r="J134" i="50" s="1"/>
  <c r="F23" i="18"/>
  <c r="J23" i="18" s="1"/>
  <c r="M78" i="46"/>
  <c r="M66" i="46"/>
  <c r="M84" i="46"/>
  <c r="M72" i="46"/>
  <c r="M60" i="46"/>
  <c r="M84" i="43"/>
  <c r="M395" i="9" s="1"/>
  <c r="P395" i="9" s="1"/>
  <c r="J86" i="43"/>
  <c r="M86" i="43" s="1"/>
  <c r="M396" i="9" s="1"/>
  <c r="P396" i="9" s="1"/>
  <c r="F47" i="46"/>
  <c r="H47" i="46" s="1"/>
  <c r="M47" i="46" s="1"/>
  <c r="M48" i="46" s="1"/>
  <c r="M50" i="46"/>
  <c r="I186" i="34"/>
  <c r="M193" i="34" s="1"/>
  <c r="M1023" i="9" s="1"/>
  <c r="P1023" i="9" s="1"/>
  <c r="F186" i="34"/>
  <c r="M187" i="34" s="1"/>
  <c r="M1020" i="9" s="1"/>
  <c r="P1020" i="9" s="1"/>
  <c r="G186" i="34"/>
  <c r="M189" i="34" s="1"/>
  <c r="M1021" i="9" s="1"/>
  <c r="P1021" i="9" s="1"/>
  <c r="M1017" i="9"/>
  <c r="P1017" i="9" s="1"/>
  <c r="P1026" i="9" s="1"/>
  <c r="H186" i="34"/>
  <c r="M191" i="34" s="1"/>
  <c r="M1022" i="9" s="1"/>
  <c r="P1022" i="9" s="1"/>
  <c r="M195" i="34"/>
  <c r="M1024" i="9" s="1"/>
  <c r="P1024" i="9" s="1"/>
  <c r="J121" i="37"/>
  <c r="M121" i="37" s="1"/>
  <c r="M119" i="37"/>
  <c r="M900" i="9" s="1"/>
  <c r="P900" i="9" s="1"/>
  <c r="L202" i="7"/>
  <c r="N202" i="7"/>
  <c r="J204" i="7"/>
  <c r="M204" i="7" s="1"/>
  <c r="M472" i="9" s="1"/>
  <c r="P472" i="9" s="1"/>
  <c r="J222" i="7"/>
  <c r="I256" i="9"/>
  <c r="N42" i="9"/>
  <c r="O42" i="9" s="1"/>
  <c r="P42" i="9" s="1"/>
  <c r="L42" i="9"/>
  <c r="K42" i="9"/>
  <c r="C526" i="9"/>
  <c r="C527" i="9" s="1"/>
  <c r="C528" i="9" s="1"/>
  <c r="C529" i="9" s="1"/>
  <c r="C530" i="9" s="1"/>
  <c r="C531" i="9" s="1"/>
  <c r="C532" i="9" s="1"/>
  <c r="D507" i="9"/>
  <c r="D508" i="9" s="1"/>
  <c r="D509" i="9" s="1"/>
  <c r="D510" i="9" s="1"/>
  <c r="D511" i="9" s="1"/>
  <c r="D512" i="9" s="1"/>
  <c r="D513" i="9" s="1"/>
  <c r="D514" i="9" s="1"/>
  <c r="D515" i="9" s="1"/>
  <c r="D516" i="9" s="1"/>
  <c r="D517" i="9" s="1"/>
  <c r="J506" i="9"/>
  <c r="H515" i="9" s="1"/>
  <c r="M86" i="40"/>
  <c r="M1286" i="9" s="1"/>
  <c r="P1286" i="9" s="1"/>
  <c r="P1289" i="9" s="1"/>
  <c r="J88" i="40"/>
  <c r="M88" i="40" s="1"/>
  <c r="M1287" i="9" s="1"/>
  <c r="P1287" i="9" s="1"/>
  <c r="M256" i="9"/>
  <c r="P256" i="9" s="1"/>
  <c r="BJ56" i="32"/>
  <c r="M74" i="8" s="1"/>
  <c r="M724" i="9" s="1"/>
  <c r="P724" i="9" s="1"/>
  <c r="M122" i="7"/>
  <c r="H256" i="9"/>
  <c r="BF20" i="32"/>
  <c r="BH20" i="32"/>
  <c r="BH56" i="32" s="1"/>
  <c r="M70" i="8" s="1"/>
  <c r="M722" i="9" s="1"/>
  <c r="P722" i="9" s="1"/>
  <c r="BF56" i="32"/>
  <c r="I117" i="39"/>
  <c r="M117" i="39" s="1"/>
  <c r="M118" i="39" s="1"/>
  <c r="M656" i="9" s="1"/>
  <c r="P656" i="9" s="1"/>
  <c r="M113" i="39"/>
  <c r="M115" i="39" s="1"/>
  <c r="M655" i="9" s="1"/>
  <c r="P655" i="9" s="1"/>
  <c r="P659" i="9" s="1"/>
  <c r="I129" i="37"/>
  <c r="M129" i="37" s="1"/>
  <c r="M910" i="9" s="1"/>
  <c r="P910" i="9" s="1"/>
  <c r="M125" i="37"/>
  <c r="C1824" i="9"/>
  <c r="C1825" i="9" s="1"/>
  <c r="C1826" i="9" s="1"/>
  <c r="C1827" i="9" s="1"/>
  <c r="C1828" i="9" s="1"/>
  <c r="C1829" i="9" s="1"/>
  <c r="C1830" i="9" s="1"/>
  <c r="C1831" i="9" s="1"/>
  <c r="C1832" i="9" s="1"/>
  <c r="H1823" i="9"/>
  <c r="N75" i="50"/>
  <c r="M166" i="9"/>
  <c r="P166" i="9" s="1"/>
  <c r="M215" i="7"/>
  <c r="M216" i="7" s="1"/>
  <c r="M481" i="9" s="1"/>
  <c r="P481" i="9" s="1"/>
  <c r="K218" i="7"/>
  <c r="M218" i="7" s="1"/>
  <c r="M482" i="9" s="1"/>
  <c r="P482" i="9" s="1"/>
  <c r="G13" i="18"/>
  <c r="J19" i="47"/>
  <c r="F17" i="47"/>
  <c r="F49" i="47" s="1"/>
  <c r="F51" i="47" s="1"/>
  <c r="M133" i="7" l="1"/>
  <c r="M460" i="9" s="1"/>
  <c r="P460" i="9" s="1"/>
  <c r="M137" i="7"/>
  <c r="M462" i="9" s="1"/>
  <c r="P462" i="9" s="1"/>
  <c r="M147" i="7"/>
  <c r="M467" i="9" s="1"/>
  <c r="P467" i="9" s="1"/>
  <c r="M141" i="7"/>
  <c r="M464" i="9" s="1"/>
  <c r="P464" i="9" s="1"/>
  <c r="M151" i="7"/>
  <c r="M469" i="9" s="1"/>
  <c r="P469" i="9" s="1"/>
  <c r="M42" i="8"/>
  <c r="M50" i="8"/>
  <c r="M713" i="9" s="1"/>
  <c r="P713" i="9" s="1"/>
  <c r="M60" i="8"/>
  <c r="M718" i="9" s="1"/>
  <c r="P718" i="9" s="1"/>
  <c r="J68" i="8"/>
  <c r="M56" i="8"/>
  <c r="M716" i="9" s="1"/>
  <c r="P716" i="9" s="1"/>
  <c r="M46" i="8"/>
  <c r="M711" i="9" s="1"/>
  <c r="P711" i="9" s="1"/>
  <c r="N40" i="8"/>
  <c r="L49" i="9"/>
  <c r="K49" i="9"/>
  <c r="N49" i="9"/>
  <c r="O49" i="9" s="1"/>
  <c r="C59" i="44"/>
  <c r="B60" i="44"/>
  <c r="J296" i="9"/>
  <c r="H302" i="9" s="1"/>
  <c r="C297" i="9"/>
  <c r="C298" i="9" s="1"/>
  <c r="C299" i="9" s="1"/>
  <c r="C300" i="9" s="1"/>
  <c r="C301" i="9" s="1"/>
  <c r="C302" i="9" s="1"/>
  <c r="C303" i="9" s="1"/>
  <c r="C304" i="9" s="1"/>
  <c r="M51" i="46"/>
  <c r="H342" i="26"/>
  <c r="M342" i="26" s="1"/>
  <c r="F143" i="26"/>
  <c r="E249" i="26"/>
  <c r="BF58" i="32"/>
  <c r="P617" i="9"/>
  <c r="M49" i="9"/>
  <c r="P49" i="9" s="1"/>
  <c r="P51" i="9" s="1"/>
  <c r="M48" i="8"/>
  <c r="M712" i="9" s="1"/>
  <c r="P712" i="9" s="1"/>
  <c r="M52" i="8"/>
  <c r="M714" i="9" s="1"/>
  <c r="P714" i="9" s="1"/>
  <c r="M54" i="8"/>
  <c r="M715" i="9" s="1"/>
  <c r="P715" i="9" s="1"/>
  <c r="M58" i="8"/>
  <c r="M717" i="9" s="1"/>
  <c r="P717" i="9" s="1"/>
  <c r="M44" i="8"/>
  <c r="M710" i="9" s="1"/>
  <c r="P710" i="9" s="1"/>
  <c r="M62" i="8"/>
  <c r="M719" i="9" s="1"/>
  <c r="P719" i="9" s="1"/>
  <c r="M1293" i="9"/>
  <c r="P1293" i="9" s="1"/>
  <c r="J94" i="40"/>
  <c r="M94" i="40" s="1"/>
  <c r="M1294" i="9" s="1"/>
  <c r="P1294" i="9" s="1"/>
  <c r="C1833" i="9"/>
  <c r="C1834" i="9" s="1"/>
  <c r="C1835" i="9" s="1"/>
  <c r="C1836" i="9" s="1"/>
  <c r="C1837" i="9" s="1"/>
  <c r="C1838" i="9" s="1"/>
  <c r="C1839" i="9" s="1"/>
  <c r="C1840" i="9" s="1"/>
  <c r="C1841" i="9" s="1"/>
  <c r="C1842" i="9" s="1"/>
  <c r="C1843" i="9" s="1"/>
  <c r="C1844" i="9" s="1"/>
  <c r="C1845" i="9" s="1"/>
  <c r="C1846" i="9" s="1"/>
  <c r="C1847" i="9" s="1"/>
  <c r="C1848" i="9" s="1"/>
  <c r="C1849" i="9" s="1"/>
  <c r="C1850" i="9" s="1"/>
  <c r="C1851" i="9" s="1"/>
  <c r="H1832" i="9"/>
  <c r="M222" i="7"/>
  <c r="J224" i="7"/>
  <c r="M224" i="7" s="1"/>
  <c r="M902" i="9"/>
  <c r="P902" i="9" s="1"/>
  <c r="M901" i="9"/>
  <c r="P901" i="9" s="1"/>
  <c r="M62" i="46"/>
  <c r="M56" i="46"/>
  <c r="M74" i="46"/>
  <c r="M68" i="46"/>
  <c r="M80" i="46"/>
  <c r="N60" i="46"/>
  <c r="M108" i="46"/>
  <c r="J106" i="46"/>
  <c r="M106" i="46" s="1"/>
  <c r="H340" i="26"/>
  <c r="M340" i="26" s="1"/>
  <c r="M349" i="26" s="1"/>
  <c r="F141" i="26"/>
  <c r="E247" i="26"/>
  <c r="O14" i="58"/>
  <c r="P13" i="58"/>
  <c r="J123" i="34"/>
  <c r="M123" i="34" s="1"/>
  <c r="M1004" i="9" s="1"/>
  <c r="P1004" i="9" s="1"/>
  <c r="M1003" i="9"/>
  <c r="P1003" i="9" s="1"/>
  <c r="C67" i="49"/>
  <c r="B68" i="49"/>
  <c r="P43" i="9"/>
  <c r="M55" i="9"/>
  <c r="K256" i="9"/>
  <c r="L256" i="9"/>
  <c r="C533" i="9"/>
  <c r="C534" i="9" s="1"/>
  <c r="C535" i="9" s="1"/>
  <c r="C536" i="9" s="1"/>
  <c r="C537" i="9" s="1"/>
  <c r="C538" i="9" s="1"/>
  <c r="C539" i="9" s="1"/>
  <c r="P398" i="9"/>
  <c r="J111" i="50"/>
  <c r="M111" i="50" s="1"/>
  <c r="M182" i="9" s="1"/>
  <c r="P182" i="9" s="1"/>
  <c r="J105" i="50"/>
  <c r="M105" i="50" s="1"/>
  <c r="M179" i="9" s="1"/>
  <c r="P179" i="9" s="1"/>
  <c r="P184" i="9" s="1"/>
  <c r="J103" i="50"/>
  <c r="K134" i="50" s="1"/>
  <c r="K138" i="50" s="1"/>
  <c r="M908" i="9"/>
  <c r="P908" i="9" s="1"/>
  <c r="J127" i="37"/>
  <c r="M127" i="37" s="1"/>
  <c r="M909" i="9" s="1"/>
  <c r="P909" i="9" s="1"/>
  <c r="D518" i="9"/>
  <c r="D519" i="9" s="1"/>
  <c r="D520" i="9" s="1"/>
  <c r="D521" i="9" s="1"/>
  <c r="D522" i="9" s="1"/>
  <c r="D523" i="9" s="1"/>
  <c r="D524" i="9" s="1"/>
  <c r="D525" i="9" s="1"/>
  <c r="J517" i="9"/>
  <c r="H523" i="9" s="1"/>
  <c r="J138" i="50"/>
  <c r="M402" i="9"/>
  <c r="P402" i="9" s="1"/>
  <c r="P406" i="9" s="1"/>
  <c r="J99" i="43"/>
  <c r="M99" i="43" s="1"/>
  <c r="M403" i="9" s="1"/>
  <c r="P403" i="9" s="1"/>
  <c r="M116" i="46"/>
  <c r="J114" i="46"/>
  <c r="M114" i="46" s="1"/>
  <c r="J82" i="9"/>
  <c r="H88" i="9" s="1"/>
  <c r="C83" i="9"/>
  <c r="C84" i="9" s="1"/>
  <c r="C85" i="9" s="1"/>
  <c r="C86" i="9" s="1"/>
  <c r="C87" i="9" s="1"/>
  <c r="C88" i="9" s="1"/>
  <c r="C89" i="9" s="1"/>
  <c r="C90" i="9" s="1"/>
  <c r="L43" i="9"/>
  <c r="K43" i="9"/>
  <c r="N43" i="9"/>
  <c r="O43" i="9" s="1"/>
  <c r="I258" i="9"/>
  <c r="H257" i="9"/>
  <c r="N80" i="7"/>
  <c r="N94" i="7" s="1"/>
  <c r="M96" i="7"/>
  <c r="D526" i="9" l="1"/>
  <c r="D527" i="9" s="1"/>
  <c r="D528" i="9" s="1"/>
  <c r="D529" i="9" s="1"/>
  <c r="D530" i="9" s="1"/>
  <c r="D531" i="9" s="1"/>
  <c r="D532" i="9" s="1"/>
  <c r="J525" i="9"/>
  <c r="H530" i="9" s="1"/>
  <c r="P377" i="9"/>
  <c r="F181" i="26"/>
  <c r="M181" i="26" s="1"/>
  <c r="F161" i="26"/>
  <c r="M141" i="26"/>
  <c r="M151" i="26" s="1"/>
  <c r="L257" i="9"/>
  <c r="K257" i="9"/>
  <c r="M138" i="50"/>
  <c r="M190" i="9" s="1"/>
  <c r="P190" i="9" s="1"/>
  <c r="C540" i="9"/>
  <c r="C541" i="9" s="1"/>
  <c r="C542" i="9" s="1"/>
  <c r="C543" i="9" s="1"/>
  <c r="C544" i="9" s="1"/>
  <c r="C545" i="9" s="1"/>
  <c r="C546" i="9" s="1"/>
  <c r="C547" i="9" s="1"/>
  <c r="C548" i="9" s="1"/>
  <c r="C68" i="49"/>
  <c r="B69" i="49"/>
  <c r="M833" i="9"/>
  <c r="P833" i="9" s="1"/>
  <c r="M351" i="26"/>
  <c r="M834" i="9" s="1"/>
  <c r="P834" i="9" s="1"/>
  <c r="M483" i="9"/>
  <c r="P483" i="9" s="1"/>
  <c r="P487" i="9" s="1"/>
  <c r="J228" i="7"/>
  <c r="M228" i="7" s="1"/>
  <c r="M229" i="7" s="1"/>
  <c r="M485" i="9" s="1"/>
  <c r="P485" i="9" s="1"/>
  <c r="M226" i="7"/>
  <c r="M484" i="9" s="1"/>
  <c r="P484" i="9" s="1"/>
  <c r="F24" i="18"/>
  <c r="J24" i="18" s="1"/>
  <c r="F183" i="26"/>
  <c r="M183" i="26" s="1"/>
  <c r="F163" i="26"/>
  <c r="M143" i="26"/>
  <c r="M258" i="9"/>
  <c r="P258" i="9" s="1"/>
  <c r="M709" i="9"/>
  <c r="P709" i="9" s="1"/>
  <c r="N42" i="8"/>
  <c r="H258" i="9"/>
  <c r="M134" i="50"/>
  <c r="P912" i="9"/>
  <c r="H55" i="9"/>
  <c r="M56" i="9"/>
  <c r="I55" i="9"/>
  <c r="H56" i="9"/>
  <c r="O15" i="58"/>
  <c r="P14" i="58"/>
  <c r="P1297" i="9"/>
  <c r="P1267" i="9" s="1"/>
  <c r="C305" i="9"/>
  <c r="C306" i="9" s="1"/>
  <c r="C307" i="9" s="1"/>
  <c r="C308" i="9" s="1"/>
  <c r="C309" i="9" s="1"/>
  <c r="C310" i="9" s="1"/>
  <c r="C311" i="9" s="1"/>
  <c r="C312" i="9" s="1"/>
  <c r="J304" i="9"/>
  <c r="H310" i="9" s="1"/>
  <c r="M68" i="8"/>
  <c r="J80" i="8" s="1"/>
  <c r="I80" i="8"/>
  <c r="M143" i="7"/>
  <c r="M465" i="9" s="1"/>
  <c r="P465" i="9" s="1"/>
  <c r="M145" i="7"/>
  <c r="M466" i="9" s="1"/>
  <c r="P466" i="9" s="1"/>
  <c r="M139" i="7"/>
  <c r="M463" i="9" s="1"/>
  <c r="P463" i="9" s="1"/>
  <c r="M129" i="7"/>
  <c r="M149" i="7"/>
  <c r="M468" i="9" s="1"/>
  <c r="P468" i="9" s="1"/>
  <c r="M135" i="7"/>
  <c r="M461" i="9" s="1"/>
  <c r="P461" i="9" s="1"/>
  <c r="J90" i="9"/>
  <c r="H96" i="9" s="1"/>
  <c r="C91" i="9"/>
  <c r="C92" i="9" s="1"/>
  <c r="C93" i="9" s="1"/>
  <c r="C94" i="9" s="1"/>
  <c r="C95" i="9" s="1"/>
  <c r="C96" i="9" s="1"/>
  <c r="C97" i="9" s="1"/>
  <c r="C98" i="9" s="1"/>
  <c r="P1007" i="9"/>
  <c r="M247" i="26"/>
  <c r="K247" i="26"/>
  <c r="I247" i="26"/>
  <c r="P904" i="9"/>
  <c r="P881" i="9" s="1"/>
  <c r="P45" i="9"/>
  <c r="P977" i="9"/>
  <c r="H1851" i="9"/>
  <c r="C1852" i="9"/>
  <c r="C1853" i="9" s="1"/>
  <c r="C1854" i="9" s="1"/>
  <c r="C1855" i="9" s="1"/>
  <c r="C1856" i="9" s="1"/>
  <c r="C1857" i="9" s="1"/>
  <c r="C1858" i="9" s="1"/>
  <c r="C1859" i="9" s="1"/>
  <c r="C1860" i="9" s="1"/>
  <c r="C1861" i="9" s="1"/>
  <c r="C1862" i="9" s="1"/>
  <c r="C1863" i="9" s="1"/>
  <c r="C1864" i="9" s="1"/>
  <c r="C1865" i="9" s="1"/>
  <c r="C1866" i="9" s="1"/>
  <c r="C1867" i="9" s="1"/>
  <c r="C1868" i="9" s="1"/>
  <c r="C1869" i="9" s="1"/>
  <c r="C1870" i="9" s="1"/>
  <c r="C1871" i="9" s="1"/>
  <c r="C1872" i="9" s="1"/>
  <c r="C1873" i="9" s="1"/>
  <c r="C1874" i="9" s="1"/>
  <c r="C1875" i="9" s="1"/>
  <c r="C1876" i="9" s="1"/>
  <c r="C1877" i="9" s="1"/>
  <c r="C1878" i="9" s="1"/>
  <c r="C1879" i="9" s="1"/>
  <c r="C1880" i="9" s="1"/>
  <c r="C1881" i="9" s="1"/>
  <c r="C1882" i="9" s="1"/>
  <c r="C1883" i="9" s="1"/>
  <c r="C1884" i="9" s="1"/>
  <c r="C1885" i="9" s="1"/>
  <c r="C1886" i="9" s="1"/>
  <c r="C1887" i="9" s="1"/>
  <c r="C1888" i="9" s="1"/>
  <c r="C1889" i="9" s="1"/>
  <c r="C1890" i="9" s="1"/>
  <c r="C1891" i="9" s="1"/>
  <c r="C1892" i="9" s="1"/>
  <c r="C1893" i="9" s="1"/>
  <c r="C1894" i="9" s="1"/>
  <c r="C1895" i="9" s="1"/>
  <c r="C1896" i="9" s="1"/>
  <c r="C1897" i="9" s="1"/>
  <c r="H294" i="26"/>
  <c r="M249" i="26"/>
  <c r="K249" i="26"/>
  <c r="K257" i="26" s="1"/>
  <c r="K261" i="26" s="1"/>
  <c r="I249" i="26"/>
  <c r="M64" i="46"/>
  <c r="M82" i="46"/>
  <c r="N56" i="46" s="1"/>
  <c r="O56" i="46" s="1"/>
  <c r="M70" i="46"/>
  <c r="M58" i="46"/>
  <c r="M76" i="46"/>
  <c r="N48" i="46"/>
  <c r="B61" i="44"/>
  <c r="B62" i="44" s="1"/>
  <c r="C60" i="44"/>
  <c r="F31" i="18" l="1"/>
  <c r="J31" i="18" s="1"/>
  <c r="M294" i="26"/>
  <c r="H295" i="26"/>
  <c r="H322" i="26"/>
  <c r="M322" i="26" s="1"/>
  <c r="F27" i="18"/>
  <c r="J27" i="18" s="1"/>
  <c r="C313" i="9"/>
  <c r="C314" i="9" s="1"/>
  <c r="C315" i="9" s="1"/>
  <c r="C316" i="9" s="1"/>
  <c r="C317" i="9" s="1"/>
  <c r="C318" i="9" s="1"/>
  <c r="C319" i="9" s="1"/>
  <c r="C320" i="9" s="1"/>
  <c r="J312" i="9"/>
  <c r="H318" i="9" s="1"/>
  <c r="H259" i="9"/>
  <c r="C549" i="9"/>
  <c r="C550" i="9" s="1"/>
  <c r="C62" i="44"/>
  <c r="B63" i="44"/>
  <c r="B64" i="44" s="1"/>
  <c r="B65" i="44" s="1"/>
  <c r="B66" i="44" s="1"/>
  <c r="B68" i="44" s="1"/>
  <c r="B69" i="44" s="1"/>
  <c r="F28" i="18"/>
  <c r="J28" i="18" s="1"/>
  <c r="M259" i="9"/>
  <c r="P259" i="9" s="1"/>
  <c r="I259" i="9"/>
  <c r="H265" i="9"/>
  <c r="N58" i="46"/>
  <c r="O58" i="46" s="1"/>
  <c r="C1898" i="9"/>
  <c r="C1899" i="9" s="1"/>
  <c r="C1900" i="9" s="1"/>
  <c r="C1901" i="9" s="1"/>
  <c r="C1902" i="9" s="1"/>
  <c r="C1903" i="9" s="1"/>
  <c r="C1904" i="9" s="1"/>
  <c r="C1905" i="9" s="1"/>
  <c r="C1906" i="9" s="1"/>
  <c r="C1907" i="9" s="1"/>
  <c r="C1908" i="9" s="1"/>
  <c r="C1909" i="9" s="1"/>
  <c r="C1910" i="9" s="1"/>
  <c r="C1911" i="9" s="1"/>
  <c r="C1912" i="9" s="1"/>
  <c r="C1913" i="9" s="1"/>
  <c r="C1914" i="9" s="1"/>
  <c r="C1915" i="9" s="1"/>
  <c r="C1916" i="9" s="1"/>
  <c r="C1917" i="9" s="1"/>
  <c r="C1918" i="9" s="1"/>
  <c r="C1919" i="9" s="1"/>
  <c r="C1920" i="9" s="1"/>
  <c r="C1921" i="9" s="1"/>
  <c r="C1922" i="9" s="1"/>
  <c r="C1923" i="9" s="1"/>
  <c r="C1924" i="9" s="1"/>
  <c r="C1925" i="9" s="1"/>
  <c r="C1926" i="9" s="1"/>
  <c r="C1927" i="9" s="1"/>
  <c r="C1928" i="9" s="1"/>
  <c r="C1929" i="9" s="1"/>
  <c r="C1930" i="9" s="1"/>
  <c r="C1931" i="9" s="1"/>
  <c r="C1932" i="9" s="1"/>
  <c r="H1897" i="9"/>
  <c r="I257" i="26"/>
  <c r="K260" i="26" s="1"/>
  <c r="J98" i="9"/>
  <c r="H104" i="9" s="1"/>
  <c r="C99" i="9"/>
  <c r="C100" i="9" s="1"/>
  <c r="C101" i="9" s="1"/>
  <c r="C102" i="9" s="1"/>
  <c r="C103" i="9" s="1"/>
  <c r="C104" i="9" s="1"/>
  <c r="C105" i="9" s="1"/>
  <c r="C106" i="9" s="1"/>
  <c r="M458" i="9"/>
  <c r="P458" i="9" s="1"/>
  <c r="P476" i="9" s="1"/>
  <c r="P447" i="9" s="1"/>
  <c r="N129" i="7"/>
  <c r="M80" i="8"/>
  <c r="O16" i="58"/>
  <c r="P15" i="58"/>
  <c r="K55" i="9"/>
  <c r="N55" i="9"/>
  <c r="O55" i="9" s="1"/>
  <c r="P55" i="9" s="1"/>
  <c r="L55" i="9"/>
  <c r="K258" i="9"/>
  <c r="L258" i="9"/>
  <c r="N55" i="46"/>
  <c r="B70" i="49"/>
  <c r="C69" i="49"/>
  <c r="M161" i="26"/>
  <c r="F201" i="26"/>
  <c r="M201" i="26" s="1"/>
  <c r="D533" i="9"/>
  <c r="D534" i="9" s="1"/>
  <c r="D535" i="9" s="1"/>
  <c r="D536" i="9" s="1"/>
  <c r="D537" i="9" s="1"/>
  <c r="D538" i="9" s="1"/>
  <c r="D539" i="9" s="1"/>
  <c r="J532" i="9"/>
  <c r="H537" i="9" s="1"/>
  <c r="M188" i="9"/>
  <c r="P188" i="9" s="1"/>
  <c r="J136" i="50"/>
  <c r="M136" i="50" s="1"/>
  <c r="M189" i="9" s="1"/>
  <c r="P189" i="9" s="1"/>
  <c r="M163" i="26"/>
  <c r="F203" i="26"/>
  <c r="M203" i="26" s="1"/>
  <c r="M211" i="26" s="1"/>
  <c r="I56" i="9"/>
  <c r="N56" i="9" s="1"/>
  <c r="O56" i="9" s="1"/>
  <c r="P56" i="9" s="1"/>
  <c r="M191" i="26"/>
  <c r="M257" i="26"/>
  <c r="K262" i="26" s="1"/>
  <c r="P727" i="9"/>
  <c r="L56" i="9" l="1"/>
  <c r="D540" i="9"/>
  <c r="D541" i="9" s="1"/>
  <c r="D542" i="9" s="1"/>
  <c r="D543" i="9" s="1"/>
  <c r="D544" i="9" s="1"/>
  <c r="D545" i="9" s="1"/>
  <c r="D546" i="9" s="1"/>
  <c r="D547" i="9" s="1"/>
  <c r="D548" i="9" s="1"/>
  <c r="J539" i="9"/>
  <c r="H546" i="9" s="1"/>
  <c r="C70" i="49"/>
  <c r="B71" i="49"/>
  <c r="O17" i="58"/>
  <c r="P16" i="58"/>
  <c r="C107" i="9"/>
  <c r="C108" i="9" s="1"/>
  <c r="C109" i="9" s="1"/>
  <c r="C110" i="9" s="1"/>
  <c r="C111" i="9" s="1"/>
  <c r="C112" i="9" s="1"/>
  <c r="J106" i="9"/>
  <c r="H110" i="9" s="1"/>
  <c r="C1933" i="9"/>
  <c r="C1934" i="9" s="1"/>
  <c r="C1935" i="9" s="1"/>
  <c r="C1936" i="9" s="1"/>
  <c r="C1937" i="9" s="1"/>
  <c r="C1938" i="9" s="1"/>
  <c r="C1939" i="9" s="1"/>
  <c r="C1940" i="9" s="1"/>
  <c r="C1941" i="9" s="1"/>
  <c r="C1942" i="9" s="1"/>
  <c r="C1943" i="9" s="1"/>
  <c r="C1944" i="9" s="1"/>
  <c r="C1945" i="9" s="1"/>
  <c r="C1946" i="9" s="1"/>
  <c r="C1947" i="9" s="1"/>
  <c r="C1948" i="9" s="1"/>
  <c r="C1949" i="9" s="1"/>
  <c r="C1950" i="9" s="1"/>
  <c r="C1951" i="9" s="1"/>
  <c r="C1952" i="9" s="1"/>
  <c r="C1953" i="9" s="1"/>
  <c r="C1954" i="9" s="1"/>
  <c r="H1932" i="9"/>
  <c r="K265" i="9"/>
  <c r="P261" i="9"/>
  <c r="M215" i="26"/>
  <c r="M801" i="9" s="1"/>
  <c r="P801" i="9" s="1"/>
  <c r="J261" i="26"/>
  <c r="M261" i="26" s="1"/>
  <c r="M221" i="26"/>
  <c r="M804" i="9" s="1"/>
  <c r="P804" i="9" s="1"/>
  <c r="M225" i="26"/>
  <c r="M806" i="9" s="1"/>
  <c r="P806" i="9" s="1"/>
  <c r="K56" i="9"/>
  <c r="J82" i="8"/>
  <c r="M82" i="8" s="1"/>
  <c r="M732" i="9" s="1"/>
  <c r="P732" i="9" s="1"/>
  <c r="M84" i="8"/>
  <c r="M733" i="9" s="1"/>
  <c r="P733" i="9" s="1"/>
  <c r="M731" i="9"/>
  <c r="P731" i="9" s="1"/>
  <c r="M231" i="26"/>
  <c r="M809" i="9" s="1"/>
  <c r="P809" i="9" s="1"/>
  <c r="M217" i="26"/>
  <c r="M802" i="9" s="1"/>
  <c r="P802" i="9" s="1"/>
  <c r="J262" i="26"/>
  <c r="M262" i="26" s="1"/>
  <c r="M235" i="26"/>
  <c r="M811" i="9" s="1"/>
  <c r="P811" i="9" s="1"/>
  <c r="M171" i="26"/>
  <c r="I265" i="9"/>
  <c r="L265" i="9" s="1"/>
  <c r="C551" i="9"/>
  <c r="C552" i="9" s="1"/>
  <c r="C553" i="9" s="1"/>
  <c r="C554" i="9" s="1"/>
  <c r="C555" i="9" s="1"/>
  <c r="C556" i="9" s="1"/>
  <c r="C557" i="9" s="1"/>
  <c r="L259" i="9"/>
  <c r="K259" i="9"/>
  <c r="P192" i="9"/>
  <c r="P155" i="9" s="1"/>
  <c r="F22" i="18"/>
  <c r="B70" i="44"/>
  <c r="C69" i="44"/>
  <c r="C321" i="9"/>
  <c r="C322" i="9" s="1"/>
  <c r="C323" i="9" s="1"/>
  <c r="C324" i="9" s="1"/>
  <c r="C325" i="9" s="1"/>
  <c r="C326" i="9" s="1"/>
  <c r="J320" i="9"/>
  <c r="H324" i="9" s="1"/>
  <c r="H323" i="26"/>
  <c r="M323" i="26" s="1"/>
  <c r="M330" i="26" s="1"/>
  <c r="M832" i="9" s="1"/>
  <c r="P832" i="9" s="1"/>
  <c r="M295" i="26"/>
  <c r="M302" i="26" s="1"/>
  <c r="M308" i="26" s="1"/>
  <c r="M831" i="9" s="1"/>
  <c r="P831" i="9" s="1"/>
  <c r="P842" i="9" s="1"/>
  <c r="C70" i="44" l="1"/>
  <c r="B71" i="44"/>
  <c r="J326" i="9"/>
  <c r="H338" i="9" s="1"/>
  <c r="C327" i="9"/>
  <c r="C328" i="9" s="1"/>
  <c r="C329" i="9" s="1"/>
  <c r="C330" i="9" s="1"/>
  <c r="C331" i="9" s="1"/>
  <c r="C332" i="9" s="1"/>
  <c r="C333" i="9" s="1"/>
  <c r="C334" i="9" s="1"/>
  <c r="C335" i="9" s="1"/>
  <c r="C336" i="9" s="1"/>
  <c r="C337" i="9" s="1"/>
  <c r="C338" i="9" s="1"/>
  <c r="C339" i="9" s="1"/>
  <c r="C340" i="9" s="1"/>
  <c r="I272" i="9"/>
  <c r="M272" i="9"/>
  <c r="P272" i="9" s="1"/>
  <c r="M223" i="26"/>
  <c r="M805" i="9" s="1"/>
  <c r="P805" i="9" s="1"/>
  <c r="M213" i="26"/>
  <c r="M219" i="26"/>
  <c r="M803" i="9" s="1"/>
  <c r="P803" i="9" s="1"/>
  <c r="J260" i="26"/>
  <c r="M260" i="26" s="1"/>
  <c r="N151" i="26"/>
  <c r="M227" i="26"/>
  <c r="M807" i="9" s="1"/>
  <c r="P807" i="9" s="1"/>
  <c r="M229" i="26"/>
  <c r="M808" i="9" s="1"/>
  <c r="P808" i="9" s="1"/>
  <c r="M233" i="26"/>
  <c r="M810" i="9" s="1"/>
  <c r="P810" i="9" s="1"/>
  <c r="J266" i="26"/>
  <c r="M266" i="26" s="1"/>
  <c r="M814" i="9" s="1"/>
  <c r="P814" i="9" s="1"/>
  <c r="I274" i="26"/>
  <c r="D549" i="9"/>
  <c r="D550" i="9" s="1"/>
  <c r="H548" i="9"/>
  <c r="C113" i="9"/>
  <c r="C114" i="9" s="1"/>
  <c r="C115" i="9" s="1"/>
  <c r="C116" i="9" s="1"/>
  <c r="C117" i="9" s="1"/>
  <c r="C118" i="9" s="1"/>
  <c r="C119" i="9" s="1"/>
  <c r="C120" i="9" s="1"/>
  <c r="J112" i="9"/>
  <c r="H118" i="9" s="1"/>
  <c r="C71" i="49"/>
  <c r="B72" i="49"/>
  <c r="J22" i="18"/>
  <c r="C558" i="9"/>
  <c r="C559" i="9" s="1"/>
  <c r="C560" i="9" s="1"/>
  <c r="C561" i="9" s="1"/>
  <c r="C562" i="9" s="1"/>
  <c r="C563" i="9" s="1"/>
  <c r="C564" i="9" s="1"/>
  <c r="C565" i="9" s="1"/>
  <c r="C566" i="9" s="1"/>
  <c r="C567" i="9" s="1"/>
  <c r="C568" i="9" s="1"/>
  <c r="C569" i="9" s="1"/>
  <c r="C570" i="9" s="1"/>
  <c r="C571" i="9" s="1"/>
  <c r="C572" i="9" s="1"/>
  <c r="C573" i="9" s="1"/>
  <c r="C574" i="9" s="1"/>
  <c r="C575" i="9" s="1"/>
  <c r="J274" i="26"/>
  <c r="J278" i="26" s="1"/>
  <c r="J268" i="26"/>
  <c r="M268" i="26" s="1"/>
  <c r="M815" i="9" s="1"/>
  <c r="P815" i="9" s="1"/>
  <c r="P735" i="9"/>
  <c r="P697" i="9"/>
  <c r="C1955" i="9"/>
  <c r="C1956" i="9" s="1"/>
  <c r="C1957" i="9" s="1"/>
  <c r="C1958" i="9" s="1"/>
  <c r="C1959" i="9" s="1"/>
  <c r="C1960" i="9" s="1"/>
  <c r="H1954" i="9"/>
  <c r="O18" i="58"/>
  <c r="P17" i="58"/>
  <c r="C121" i="9" l="1"/>
  <c r="C122" i="9" s="1"/>
  <c r="C123" i="9" s="1"/>
  <c r="C124" i="9" s="1"/>
  <c r="C125" i="9" s="1"/>
  <c r="C126" i="9" s="1"/>
  <c r="C127" i="9" s="1"/>
  <c r="C128" i="9" s="1"/>
  <c r="C129" i="9" s="1"/>
  <c r="J120" i="9"/>
  <c r="H127" i="9" s="1"/>
  <c r="H1960" i="9"/>
  <c r="C1961" i="9"/>
  <c r="C1962" i="9" s="1"/>
  <c r="C1963" i="9" s="1"/>
  <c r="C1964" i="9" s="1"/>
  <c r="C1965" i="9" s="1"/>
  <c r="C1966" i="9" s="1"/>
  <c r="C1967" i="9" s="1"/>
  <c r="C1968" i="9" s="1"/>
  <c r="C1969" i="9" s="1"/>
  <c r="C1970" i="9" s="1"/>
  <c r="C1971" i="9" s="1"/>
  <c r="C1972" i="9" s="1"/>
  <c r="C1973" i="9" s="1"/>
  <c r="C1974" i="9" s="1"/>
  <c r="C1975" i="9" s="1"/>
  <c r="C1976" i="9" s="1"/>
  <c r="C1977" i="9" s="1"/>
  <c r="C1978" i="9" s="1"/>
  <c r="C1979" i="9" s="1"/>
  <c r="C1980" i="9" s="1"/>
  <c r="C1981" i="9" s="1"/>
  <c r="C1982" i="9" s="1"/>
  <c r="C1983" i="9" s="1"/>
  <c r="C1984" i="9" s="1"/>
  <c r="C1985" i="9" s="1"/>
  <c r="F25" i="18"/>
  <c r="C576" i="9"/>
  <c r="C577" i="9" s="1"/>
  <c r="C578" i="9" s="1"/>
  <c r="C579" i="9" s="1"/>
  <c r="C580" i="9" s="1"/>
  <c r="C581" i="9" s="1"/>
  <c r="C582" i="9" s="1"/>
  <c r="C583" i="9" s="1"/>
  <c r="C72" i="49"/>
  <c r="B73" i="49"/>
  <c r="J270" i="26"/>
  <c r="M270" i="26" s="1"/>
  <c r="M816" i="9" s="1"/>
  <c r="P816" i="9" s="1"/>
  <c r="J264" i="26"/>
  <c r="M264" i="26" s="1"/>
  <c r="M813" i="9" s="1"/>
  <c r="P813" i="9" s="1"/>
  <c r="C71" i="44"/>
  <c r="B72" i="44"/>
  <c r="P18" i="58"/>
  <c r="O19" i="58"/>
  <c r="D551" i="9"/>
  <c r="D552" i="9" s="1"/>
  <c r="D553" i="9" s="1"/>
  <c r="D554" i="9" s="1"/>
  <c r="D555" i="9" s="1"/>
  <c r="D556" i="9" s="1"/>
  <c r="D557" i="9" s="1"/>
  <c r="J550" i="9"/>
  <c r="H554" i="9" s="1"/>
  <c r="M274" i="26"/>
  <c r="I278" i="26"/>
  <c r="M278" i="26" s="1"/>
  <c r="M824" i="9" s="1"/>
  <c r="P824" i="9" s="1"/>
  <c r="M800" i="9"/>
  <c r="P800" i="9" s="1"/>
  <c r="N213" i="26"/>
  <c r="C341" i="9"/>
  <c r="C342" i="9" s="1"/>
  <c r="C343" i="9" s="1"/>
  <c r="C344" i="9" s="1"/>
  <c r="C345" i="9" s="1"/>
  <c r="C346" i="9" s="1"/>
  <c r="C347" i="9" s="1"/>
  <c r="C348" i="9" s="1"/>
  <c r="C349" i="9" s="1"/>
  <c r="C350" i="9" s="1"/>
  <c r="C351" i="9" s="1"/>
  <c r="J340" i="9"/>
  <c r="H349" i="9" s="1"/>
  <c r="C72" i="44" l="1"/>
  <c r="B73" i="44"/>
  <c r="B74" i="49"/>
  <c r="C73" i="49"/>
  <c r="P818" i="9"/>
  <c r="D558" i="9"/>
  <c r="D559" i="9" s="1"/>
  <c r="D560" i="9" s="1"/>
  <c r="D561" i="9" s="1"/>
  <c r="D562" i="9" s="1"/>
  <c r="D563" i="9" s="1"/>
  <c r="D564" i="9" s="1"/>
  <c r="D565" i="9" s="1"/>
  <c r="D566" i="9" s="1"/>
  <c r="D567" i="9" s="1"/>
  <c r="D568" i="9" s="1"/>
  <c r="D569" i="9" s="1"/>
  <c r="D570" i="9" s="1"/>
  <c r="D571" i="9" s="1"/>
  <c r="D572" i="9" s="1"/>
  <c r="D573" i="9" s="1"/>
  <c r="D574" i="9" s="1"/>
  <c r="D575" i="9" s="1"/>
  <c r="J557" i="9"/>
  <c r="H573" i="9" s="1"/>
  <c r="P19" i="58"/>
  <c r="O20" i="58"/>
  <c r="J25" i="18"/>
  <c r="J129" i="9"/>
  <c r="H135" i="9" s="1"/>
  <c r="C130" i="9"/>
  <c r="C131" i="9" s="1"/>
  <c r="C132" i="9" s="1"/>
  <c r="C133" i="9" s="1"/>
  <c r="C134" i="9" s="1"/>
  <c r="C135" i="9" s="1"/>
  <c r="C136" i="9" s="1"/>
  <c r="C137" i="9" s="1"/>
  <c r="C352" i="9"/>
  <c r="C353" i="9" s="1"/>
  <c r="C354" i="9" s="1"/>
  <c r="C355" i="9" s="1"/>
  <c r="C356" i="9" s="1"/>
  <c r="C357" i="9" s="1"/>
  <c r="C358" i="9" s="1"/>
  <c r="C359" i="9" s="1"/>
  <c r="J351" i="9"/>
  <c r="H357" i="9" s="1"/>
  <c r="M822" i="9"/>
  <c r="P822" i="9" s="1"/>
  <c r="P826" i="9" s="1"/>
  <c r="P780" i="9" s="1"/>
  <c r="J276" i="26"/>
  <c r="M276" i="26" s="1"/>
  <c r="M823" i="9" s="1"/>
  <c r="P823" i="9" s="1"/>
  <c r="C584" i="9"/>
  <c r="C585" i="9" s="1"/>
  <c r="C586" i="9" s="1"/>
  <c r="C587" i="9" s="1"/>
  <c r="C588" i="9" s="1"/>
  <c r="C589" i="9" s="1"/>
  <c r="C590" i="9" s="1"/>
  <c r="C1986" i="9"/>
  <c r="C1987" i="9" s="1"/>
  <c r="C1988" i="9" s="1"/>
  <c r="C1989" i="9" s="1"/>
  <c r="C1990" i="9" s="1"/>
  <c r="C1991" i="9" s="1"/>
  <c r="C1992" i="9" s="1"/>
  <c r="C1993" i="9" s="1"/>
  <c r="C1994" i="9" s="1"/>
  <c r="H1985" i="9"/>
  <c r="F26" i="18" l="1"/>
  <c r="P445" i="9"/>
  <c r="J137" i="9"/>
  <c r="H143" i="9" s="1"/>
  <c r="C138" i="9"/>
  <c r="C139" i="9" s="1"/>
  <c r="C140" i="9" s="1"/>
  <c r="C141" i="9" s="1"/>
  <c r="C142" i="9" s="1"/>
  <c r="C143" i="9" s="1"/>
  <c r="C144" i="9" s="1"/>
  <c r="C145" i="9" s="1"/>
  <c r="P20" i="58"/>
  <c r="O21" i="58"/>
  <c r="D576" i="9"/>
  <c r="D577" i="9" s="1"/>
  <c r="D578" i="9" s="1"/>
  <c r="D579" i="9" s="1"/>
  <c r="D580" i="9" s="1"/>
  <c r="D581" i="9" s="1"/>
  <c r="D582" i="9" s="1"/>
  <c r="D583" i="9" s="1"/>
  <c r="J575" i="9"/>
  <c r="H581" i="9" s="1"/>
  <c r="B75" i="49"/>
  <c r="C74" i="49"/>
  <c r="C1995" i="9"/>
  <c r="C1996" i="9" s="1"/>
  <c r="C1997" i="9" s="1"/>
  <c r="C1998" i="9" s="1"/>
  <c r="C1999" i="9" s="1"/>
  <c r="C2000" i="9" s="1"/>
  <c r="H1994" i="9"/>
  <c r="C73" i="44"/>
  <c r="B74" i="44"/>
  <c r="C591" i="9"/>
  <c r="C592" i="9" s="1"/>
  <c r="C593" i="9" s="1"/>
  <c r="C594" i="9" s="1"/>
  <c r="C595" i="9" s="1"/>
  <c r="C596" i="9" s="1"/>
  <c r="C597" i="9" s="1"/>
  <c r="J359" i="9"/>
  <c r="H365" i="9" s="1"/>
  <c r="C360" i="9"/>
  <c r="C361" i="9" s="1"/>
  <c r="C362" i="9" s="1"/>
  <c r="C363" i="9" s="1"/>
  <c r="C364" i="9" s="1"/>
  <c r="C365" i="9" s="1"/>
  <c r="C366" i="9" s="1"/>
  <c r="C367" i="9" s="1"/>
  <c r="C598" i="9" l="1"/>
  <c r="C599" i="9" s="1"/>
  <c r="C600" i="9" s="1"/>
  <c r="C601" i="9" s="1"/>
  <c r="C602" i="9" s="1"/>
  <c r="C603" i="9" s="1"/>
  <c r="C604" i="9" s="1"/>
  <c r="C605" i="9" s="1"/>
  <c r="C606" i="9" s="1"/>
  <c r="C607" i="9" s="1"/>
  <c r="H2000" i="9"/>
  <c r="C2001" i="9"/>
  <c r="C2002" i="9" s="1"/>
  <c r="C2003" i="9" s="1"/>
  <c r="C2004" i="9" s="1"/>
  <c r="C2005" i="9" s="1"/>
  <c r="C2006" i="9" s="1"/>
  <c r="D584" i="9"/>
  <c r="D585" i="9" s="1"/>
  <c r="D586" i="9" s="1"/>
  <c r="D587" i="9" s="1"/>
  <c r="D588" i="9" s="1"/>
  <c r="D589" i="9" s="1"/>
  <c r="D590" i="9" s="1"/>
  <c r="J583" i="9"/>
  <c r="H588" i="9" s="1"/>
  <c r="B75" i="44"/>
  <c r="C74" i="44"/>
  <c r="B76" i="49"/>
  <c r="C75" i="49"/>
  <c r="C368" i="9"/>
  <c r="C369" i="9" s="1"/>
  <c r="C370" i="9" s="1"/>
  <c r="C371" i="9" s="1"/>
  <c r="C372" i="9" s="1"/>
  <c r="C373" i="9" s="1"/>
  <c r="C374" i="9" s="1"/>
  <c r="C375" i="9" s="1"/>
  <c r="C376" i="9" s="1"/>
  <c r="C377" i="9" s="1"/>
  <c r="J367" i="9"/>
  <c r="H375" i="9" s="1"/>
  <c r="P21" i="58"/>
  <c r="O22" i="58"/>
  <c r="C146" i="9"/>
  <c r="C147" i="9" s="1"/>
  <c r="C148" i="9" s="1"/>
  <c r="C149" i="9" s="1"/>
  <c r="C150" i="9" s="1"/>
  <c r="C151" i="9" s="1"/>
  <c r="C152" i="9" s="1"/>
  <c r="C153" i="9" s="1"/>
  <c r="C154" i="9" s="1"/>
  <c r="C155" i="9" s="1"/>
  <c r="J145" i="9"/>
  <c r="H153" i="9" s="1"/>
  <c r="J26" i="18"/>
  <c r="J21" i="18" s="1"/>
  <c r="F21" i="18"/>
  <c r="H377" i="9" l="1"/>
  <c r="C378" i="9"/>
  <c r="C379" i="9" s="1"/>
  <c r="P22" i="58"/>
  <c r="O23" i="58"/>
  <c r="C75" i="44"/>
  <c r="B76" i="44"/>
  <c r="C2007" i="9"/>
  <c r="C2008" i="9" s="1"/>
  <c r="C2009" i="9" s="1"/>
  <c r="C2010" i="9" s="1"/>
  <c r="C2011" i="9" s="1"/>
  <c r="C2012" i="9" s="1"/>
  <c r="C2013" i="9" s="1"/>
  <c r="C2014" i="9" s="1"/>
  <c r="H2006" i="9"/>
  <c r="H155" i="9"/>
  <c r="C156" i="9"/>
  <c r="C157" i="9" s="1"/>
  <c r="C76" i="49"/>
  <c r="B77" i="49"/>
  <c r="H39" i="47"/>
  <c r="D591" i="9"/>
  <c r="D592" i="9" s="1"/>
  <c r="D593" i="9" s="1"/>
  <c r="D594" i="9" s="1"/>
  <c r="D595" i="9" s="1"/>
  <c r="D596" i="9" s="1"/>
  <c r="D597" i="9" s="1"/>
  <c r="J590" i="9"/>
  <c r="H595" i="9" s="1"/>
  <c r="C608" i="9"/>
  <c r="C609" i="9" s="1"/>
  <c r="C610" i="9" s="1"/>
  <c r="C611" i="9" s="1"/>
  <c r="C612" i="9" s="1"/>
  <c r="C613" i="9" s="1"/>
  <c r="C614" i="9" s="1"/>
  <c r="C615" i="9" s="1"/>
  <c r="C616" i="9" s="1"/>
  <c r="C617" i="9" s="1"/>
  <c r="H2014" i="9" l="1"/>
  <c r="C2015" i="9"/>
  <c r="C2016" i="9" s="1"/>
  <c r="C2017" i="9" s="1"/>
  <c r="C2018" i="9" s="1"/>
  <c r="C2019" i="9" s="1"/>
  <c r="C2020" i="9" s="1"/>
  <c r="C2021" i="9" s="1"/>
  <c r="O24" i="58"/>
  <c r="P23" i="58"/>
  <c r="D598" i="9"/>
  <c r="D599" i="9" s="1"/>
  <c r="D600" i="9" s="1"/>
  <c r="D601" i="9" s="1"/>
  <c r="D602" i="9" s="1"/>
  <c r="D603" i="9" s="1"/>
  <c r="D604" i="9" s="1"/>
  <c r="D605" i="9" s="1"/>
  <c r="D606" i="9" s="1"/>
  <c r="D607" i="9" s="1"/>
  <c r="J597" i="9"/>
  <c r="H604" i="9" s="1"/>
  <c r="C618" i="9"/>
  <c r="C619" i="9" s="1"/>
  <c r="H38" i="47"/>
  <c r="J39" i="47"/>
  <c r="J157" i="9"/>
  <c r="H162" i="9" s="1"/>
  <c r="C158" i="9"/>
  <c r="C159" i="9" s="1"/>
  <c r="C160" i="9" s="1"/>
  <c r="C161" i="9" s="1"/>
  <c r="C162" i="9" s="1"/>
  <c r="B77" i="44"/>
  <c r="C76" i="44"/>
  <c r="J379" i="9"/>
  <c r="H384" i="9" s="1"/>
  <c r="C380" i="9"/>
  <c r="C381" i="9" s="1"/>
  <c r="C382" i="9" s="1"/>
  <c r="C383" i="9" s="1"/>
  <c r="C384" i="9" s="1"/>
  <c r="B78" i="49"/>
  <c r="C77" i="49"/>
  <c r="B79" i="49" l="1"/>
  <c r="C78" i="49"/>
  <c r="C164" i="9"/>
  <c r="C163" i="9"/>
  <c r="C385" i="9"/>
  <c r="C386" i="9"/>
  <c r="C620" i="9"/>
  <c r="C621" i="9" s="1"/>
  <c r="C622" i="9" s="1"/>
  <c r="C623" i="9" s="1"/>
  <c r="C624" i="9" s="1"/>
  <c r="C625" i="9" s="1"/>
  <c r="C626" i="9" s="1"/>
  <c r="C627" i="9" s="1"/>
  <c r="P24" i="58"/>
  <c r="O25" i="58"/>
  <c r="H2021" i="9"/>
  <c r="C2022" i="9"/>
  <c r="C2023" i="9" s="1"/>
  <c r="C2024" i="9" s="1"/>
  <c r="C2025" i="9" s="1"/>
  <c r="C2026" i="9" s="1"/>
  <c r="C2027" i="9" s="1"/>
  <c r="C2028" i="9" s="1"/>
  <c r="C2029" i="9" s="1"/>
  <c r="C2030" i="9" s="1"/>
  <c r="C2031" i="9" s="1"/>
  <c r="C2032" i="9" s="1"/>
  <c r="C2033" i="9" s="1"/>
  <c r="C2034" i="9" s="1"/>
  <c r="C2035" i="9" s="1"/>
  <c r="C2036" i="9" s="1"/>
  <c r="C2037" i="9" s="1"/>
  <c r="C2038" i="9" s="1"/>
  <c r="C2039" i="9" s="1"/>
  <c r="C2040" i="9" s="1"/>
  <c r="C2041" i="9" s="1"/>
  <c r="C2042" i="9" s="1"/>
  <c r="C2043" i="9" s="1"/>
  <c r="C2044" i="9" s="1"/>
  <c r="C2045" i="9" s="1"/>
  <c r="C2046" i="9" s="1"/>
  <c r="C2047" i="9" s="1"/>
  <c r="C2048" i="9" s="1"/>
  <c r="C2049" i="9" s="1"/>
  <c r="C2050" i="9" s="1"/>
  <c r="C2051" i="9" s="1"/>
  <c r="C2052" i="9" s="1"/>
  <c r="C2053" i="9" s="1"/>
  <c r="C2054" i="9" s="1"/>
  <c r="C2055" i="9" s="1"/>
  <c r="C2056" i="9" s="1"/>
  <c r="C2057" i="9" s="1"/>
  <c r="C2058" i="9" s="1"/>
  <c r="C2059" i="9" s="1"/>
  <c r="C2060" i="9" s="1"/>
  <c r="C2061" i="9" s="1"/>
  <c r="C2062" i="9" s="1"/>
  <c r="C2063" i="9" s="1"/>
  <c r="C2064" i="9" s="1"/>
  <c r="C2065" i="9" s="1"/>
  <c r="C2066" i="9" s="1"/>
  <c r="C2067" i="9" s="1"/>
  <c r="C2068" i="9" s="1"/>
  <c r="C77" i="44"/>
  <c r="B78" i="44"/>
  <c r="J38" i="47"/>
  <c r="D608" i="9"/>
  <c r="D609" i="9" s="1"/>
  <c r="D610" i="9" s="1"/>
  <c r="D611" i="9" s="1"/>
  <c r="D612" i="9" s="1"/>
  <c r="D613" i="9" s="1"/>
  <c r="D614" i="9" s="1"/>
  <c r="D615" i="9" s="1"/>
  <c r="D616" i="9" s="1"/>
  <c r="D617" i="9" s="1"/>
  <c r="J607" i="9"/>
  <c r="H615" i="9" s="1"/>
  <c r="C78" i="44" l="1"/>
  <c r="B79" i="44"/>
  <c r="C628" i="9"/>
  <c r="C629" i="9" s="1"/>
  <c r="C630" i="9" s="1"/>
  <c r="C631" i="9" s="1"/>
  <c r="C632" i="9" s="1"/>
  <c r="C633" i="9" s="1"/>
  <c r="C634" i="9" s="1"/>
  <c r="C635" i="9" s="1"/>
  <c r="C636" i="9" s="1"/>
  <c r="C637" i="9" s="1"/>
  <c r="C638" i="9" s="1"/>
  <c r="C639" i="9" s="1"/>
  <c r="C640" i="9" s="1"/>
  <c r="C641" i="9" s="1"/>
  <c r="D618" i="9"/>
  <c r="D619" i="9" s="1"/>
  <c r="H617" i="9"/>
  <c r="P25" i="58"/>
  <c r="O26" i="58"/>
  <c r="J386" i="9"/>
  <c r="H398" i="9" s="1"/>
  <c r="C387" i="9"/>
  <c r="C388" i="9" s="1"/>
  <c r="C389" i="9" s="1"/>
  <c r="C390" i="9" s="1"/>
  <c r="C391" i="9" s="1"/>
  <c r="C392" i="9" s="1"/>
  <c r="C393" i="9" s="1"/>
  <c r="C394" i="9" s="1"/>
  <c r="C395" i="9" s="1"/>
  <c r="C396" i="9" s="1"/>
  <c r="C397" i="9" s="1"/>
  <c r="C398" i="9" s="1"/>
  <c r="C399" i="9" s="1"/>
  <c r="C400" i="9" s="1"/>
  <c r="J164" i="9"/>
  <c r="H184" i="9" s="1"/>
  <c r="C165" i="9"/>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B80" i="49"/>
  <c r="C79" i="49"/>
  <c r="C2069" i="9"/>
  <c r="C2070" i="9" s="1"/>
  <c r="C2071" i="9" s="1"/>
  <c r="C2072" i="9" s="1"/>
  <c r="C2073" i="9" s="1"/>
  <c r="C2074" i="9" s="1"/>
  <c r="C2075" i="9" s="1"/>
  <c r="C2076" i="9" s="1"/>
  <c r="C2077" i="9" s="1"/>
  <c r="C2078" i="9" s="1"/>
  <c r="C2079" i="9" s="1"/>
  <c r="C2080" i="9" s="1"/>
  <c r="C2081" i="9" s="1"/>
  <c r="C2082" i="9" s="1"/>
  <c r="C2083" i="9" s="1"/>
  <c r="C2084" i="9" s="1"/>
  <c r="C2085" i="9" s="1"/>
  <c r="C2086" i="9" s="1"/>
  <c r="C2087" i="9" s="1"/>
  <c r="C2088" i="9" s="1"/>
  <c r="C2089" i="9" s="1"/>
  <c r="C2090" i="9" s="1"/>
  <c r="C2091" i="9" s="1"/>
  <c r="C2092" i="9" s="1"/>
  <c r="C2093" i="9" s="1"/>
  <c r="C2094" i="9" s="1"/>
  <c r="C2095" i="9" s="1"/>
  <c r="C2096" i="9" s="1"/>
  <c r="C2097" i="9" s="1"/>
  <c r="C2098" i="9" s="1"/>
  <c r="C2099" i="9" s="1"/>
  <c r="C2100" i="9" s="1"/>
  <c r="C2101" i="9" s="1"/>
  <c r="C2102" i="9" s="1"/>
  <c r="C2103" i="9" s="1"/>
  <c r="C2104" i="9" s="1"/>
  <c r="C2105" i="9" s="1"/>
  <c r="C2106" i="9" s="1"/>
  <c r="C2107" i="9" s="1"/>
  <c r="H2068" i="9"/>
  <c r="C2108" i="9" l="1"/>
  <c r="C2109" i="9" s="1"/>
  <c r="C2110" i="9" s="1"/>
  <c r="C2111" i="9" s="1"/>
  <c r="C2112" i="9" s="1"/>
  <c r="C2113" i="9" s="1"/>
  <c r="C2114" i="9" s="1"/>
  <c r="C2115" i="9" s="1"/>
  <c r="C2116" i="9" s="1"/>
  <c r="C2117" i="9" s="1"/>
  <c r="C2118" i="9" s="1"/>
  <c r="C2119" i="9" s="1"/>
  <c r="C2120" i="9" s="1"/>
  <c r="C2121" i="9" s="1"/>
  <c r="C2122" i="9" s="1"/>
  <c r="C2123" i="9" s="1"/>
  <c r="C2124" i="9" s="1"/>
  <c r="C2125" i="9" s="1"/>
  <c r="C2126" i="9" s="1"/>
  <c r="C2127" i="9" s="1"/>
  <c r="C2128" i="9" s="1"/>
  <c r="C2129" i="9" s="1"/>
  <c r="C2130" i="9" s="1"/>
  <c r="C2131" i="9" s="1"/>
  <c r="C2132" i="9" s="1"/>
  <c r="C2133" i="9" s="1"/>
  <c r="C2134" i="9" s="1"/>
  <c r="C2135" i="9" s="1"/>
  <c r="C2136" i="9" s="1"/>
  <c r="C2137" i="9" s="1"/>
  <c r="C2138" i="9" s="1"/>
  <c r="C2139" i="9" s="1"/>
  <c r="C2140" i="9" s="1"/>
  <c r="C2141" i="9" s="1"/>
  <c r="C2142" i="9" s="1"/>
  <c r="C2143" i="9" s="1"/>
  <c r="H2107" i="9"/>
  <c r="C401" i="9"/>
  <c r="C402" i="9" s="1"/>
  <c r="C403" i="9" s="1"/>
  <c r="C404" i="9" s="1"/>
  <c r="C405" i="9" s="1"/>
  <c r="C406" i="9" s="1"/>
  <c r="C407" i="9" s="1"/>
  <c r="C408" i="9" s="1"/>
  <c r="J400" i="9"/>
  <c r="H406" i="9" s="1"/>
  <c r="C642" i="9"/>
  <c r="C643" i="9" s="1"/>
  <c r="C644" i="9" s="1"/>
  <c r="C645" i="9" s="1"/>
  <c r="C646" i="9" s="1"/>
  <c r="C647" i="9" s="1"/>
  <c r="C648" i="9" s="1"/>
  <c r="C649" i="9" s="1"/>
  <c r="C80" i="49"/>
  <c r="B81" i="49"/>
  <c r="B80" i="44"/>
  <c r="C79" i="44"/>
  <c r="C187" i="9"/>
  <c r="C188" i="9" s="1"/>
  <c r="C189" i="9" s="1"/>
  <c r="C190" i="9" s="1"/>
  <c r="C191" i="9" s="1"/>
  <c r="C192" i="9" s="1"/>
  <c r="C193" i="9" s="1"/>
  <c r="C194" i="9" s="1"/>
  <c r="J186" i="9"/>
  <c r="H192" i="9" s="1"/>
  <c r="P26" i="58"/>
  <c r="O27" i="58"/>
  <c r="D620" i="9"/>
  <c r="D621" i="9" s="1"/>
  <c r="D622" i="9" s="1"/>
  <c r="D623" i="9" s="1"/>
  <c r="D624" i="9" s="1"/>
  <c r="D625" i="9" s="1"/>
  <c r="D626" i="9" s="1"/>
  <c r="D627" i="9" s="1"/>
  <c r="J619" i="9"/>
  <c r="H625" i="9" s="1"/>
  <c r="C81" i="49" l="1"/>
  <c r="B82" i="49"/>
  <c r="J194" i="9"/>
  <c r="H200" i="9" s="1"/>
  <c r="C195" i="9"/>
  <c r="C196" i="9" s="1"/>
  <c r="C197" i="9" s="1"/>
  <c r="C198" i="9" s="1"/>
  <c r="C199" i="9" s="1"/>
  <c r="C200" i="9" s="1"/>
  <c r="C201" i="9" s="1"/>
  <c r="C202" i="9" s="1"/>
  <c r="C203" i="9" s="1"/>
  <c r="J408" i="9"/>
  <c r="H412" i="9" s="1"/>
  <c r="C409" i="9"/>
  <c r="C410" i="9" s="1"/>
  <c r="C411" i="9" s="1"/>
  <c r="C412" i="9" s="1"/>
  <c r="C413" i="9" s="1"/>
  <c r="C414" i="9" s="1"/>
  <c r="C415" i="9" s="1"/>
  <c r="D628" i="9"/>
  <c r="D629" i="9" s="1"/>
  <c r="D630" i="9" s="1"/>
  <c r="D631" i="9" s="1"/>
  <c r="D632" i="9" s="1"/>
  <c r="D633" i="9" s="1"/>
  <c r="D634" i="9" s="1"/>
  <c r="D635" i="9" s="1"/>
  <c r="D636" i="9" s="1"/>
  <c r="D637" i="9" s="1"/>
  <c r="D638" i="9" s="1"/>
  <c r="D639" i="9" s="1"/>
  <c r="D640" i="9" s="1"/>
  <c r="D641" i="9" s="1"/>
  <c r="J627" i="9"/>
  <c r="H639" i="9" s="1"/>
  <c r="P27" i="58"/>
  <c r="O28" i="58"/>
  <c r="C80" i="44"/>
  <c r="B81" i="44"/>
  <c r="C650" i="9"/>
  <c r="C651" i="9" s="1"/>
  <c r="C652" i="9" s="1"/>
  <c r="C653" i="9" s="1"/>
  <c r="C654" i="9" s="1"/>
  <c r="C655" i="9" s="1"/>
  <c r="C656" i="9" s="1"/>
  <c r="C657" i="9" s="1"/>
  <c r="C659" i="9" s="1"/>
  <c r="C660" i="9" s="1"/>
  <c r="C661" i="9" s="1"/>
  <c r="C2144" i="9"/>
  <c r="C2145" i="9" s="1"/>
  <c r="C2146" i="9" s="1"/>
  <c r="C2147" i="9" s="1"/>
  <c r="C2148" i="9" s="1"/>
  <c r="C2149" i="9" s="1"/>
  <c r="C2150" i="9" s="1"/>
  <c r="C2151" i="9" s="1"/>
  <c r="C2152" i="9" s="1"/>
  <c r="C2153" i="9" s="1"/>
  <c r="C2154" i="9" s="1"/>
  <c r="C2155" i="9" s="1"/>
  <c r="C2156" i="9" s="1"/>
  <c r="C2157" i="9" s="1"/>
  <c r="C2158" i="9" s="1"/>
  <c r="C2159" i="9" s="1"/>
  <c r="C2160" i="9" s="1"/>
  <c r="C2161" i="9" s="1"/>
  <c r="C2162" i="9" s="1"/>
  <c r="C2163" i="9" s="1"/>
  <c r="C2164" i="9" s="1"/>
  <c r="C2165" i="9" s="1"/>
  <c r="C2166" i="9" s="1"/>
  <c r="C2167" i="9" s="1"/>
  <c r="C2168" i="9" s="1"/>
  <c r="C2169" i="9" s="1"/>
  <c r="C2170" i="9" s="1"/>
  <c r="C2171" i="9" s="1"/>
  <c r="C2172" i="9" s="1"/>
  <c r="C2173" i="9" s="1"/>
  <c r="C2174" i="9" s="1"/>
  <c r="C2175" i="9" s="1"/>
  <c r="C2176" i="9" s="1"/>
  <c r="C2177" i="9" s="1"/>
  <c r="C2178" i="9" s="1"/>
  <c r="H2143" i="9"/>
  <c r="B82" i="44" l="1"/>
  <c r="C81" i="44"/>
  <c r="J203" i="9"/>
  <c r="H216" i="9" s="1"/>
  <c r="C204" i="9"/>
  <c r="C205" i="9" s="1"/>
  <c r="C206" i="9" s="1"/>
  <c r="C207" i="9" s="1"/>
  <c r="C208" i="9" s="1"/>
  <c r="C209" i="9" s="1"/>
  <c r="C210" i="9" s="1"/>
  <c r="C211" i="9" s="1"/>
  <c r="C212" i="9" s="1"/>
  <c r="C213" i="9" s="1"/>
  <c r="C214" i="9" s="1"/>
  <c r="C215" i="9" s="1"/>
  <c r="C216" i="9" s="1"/>
  <c r="C217" i="9" s="1"/>
  <c r="C218" i="9" s="1"/>
  <c r="C2179" i="9"/>
  <c r="C2180" i="9" s="1"/>
  <c r="C2181" i="9" s="1"/>
  <c r="C2182" i="9" s="1"/>
  <c r="C2183" i="9" s="1"/>
  <c r="C2184" i="9" s="1"/>
  <c r="C2185" i="9" s="1"/>
  <c r="C2186" i="9" s="1"/>
  <c r="C2187" i="9" s="1"/>
  <c r="C2188" i="9" s="1"/>
  <c r="C2189" i="9" s="1"/>
  <c r="C2190" i="9" s="1"/>
  <c r="C2191" i="9" s="1"/>
  <c r="C2192" i="9" s="1"/>
  <c r="C2193" i="9" s="1"/>
  <c r="C2194" i="9" s="1"/>
  <c r="C2195" i="9" s="1"/>
  <c r="C2196" i="9" s="1"/>
  <c r="C2197" i="9" s="1"/>
  <c r="C2198" i="9" s="1"/>
  <c r="C2199" i="9" s="1"/>
  <c r="C2200" i="9" s="1"/>
  <c r="C2201" i="9" s="1"/>
  <c r="C2202" i="9" s="1"/>
  <c r="C2203" i="9" s="1"/>
  <c r="C2204" i="9" s="1"/>
  <c r="C2205" i="9" s="1"/>
  <c r="C2206" i="9" s="1"/>
  <c r="C2207" i="9" s="1"/>
  <c r="C2208" i="9" s="1"/>
  <c r="C2209" i="9" s="1"/>
  <c r="C2210" i="9" s="1"/>
  <c r="C2211" i="9" s="1"/>
  <c r="C2212" i="9" s="1"/>
  <c r="C2213" i="9" s="1"/>
  <c r="H2178" i="9"/>
  <c r="D642" i="9"/>
  <c r="D643" i="9" s="1"/>
  <c r="D644" i="9" s="1"/>
  <c r="D645" i="9" s="1"/>
  <c r="D646" i="9" s="1"/>
  <c r="D647" i="9" s="1"/>
  <c r="D648" i="9" s="1"/>
  <c r="D649" i="9" s="1"/>
  <c r="J641" i="9"/>
  <c r="H647" i="9" s="1"/>
  <c r="O29" i="58"/>
  <c r="P28" i="58"/>
  <c r="C416" i="9"/>
  <c r="C417" i="9" s="1"/>
  <c r="C418" i="9" s="1"/>
  <c r="C419" i="9" s="1"/>
  <c r="C420" i="9" s="1"/>
  <c r="C421" i="9" s="1"/>
  <c r="C422" i="9" s="1"/>
  <c r="C423" i="9" s="1"/>
  <c r="C424" i="9" s="1"/>
  <c r="C425" i="9" s="1"/>
  <c r="C426" i="9" s="1"/>
  <c r="C427" i="9" s="1"/>
  <c r="C428" i="9" s="1"/>
  <c r="C429" i="9" s="1"/>
  <c r="C430" i="9" s="1"/>
  <c r="C431" i="9" s="1"/>
  <c r="J415" i="9"/>
  <c r="H429" i="9" s="1"/>
  <c r="B83" i="49"/>
  <c r="C82" i="49"/>
  <c r="C662" i="9"/>
  <c r="C663" i="9" s="1"/>
  <c r="C664" i="9" s="1"/>
  <c r="C665" i="9" s="1"/>
  <c r="C666" i="9" s="1"/>
  <c r="C667" i="9" s="1"/>
  <c r="C668" i="9" s="1"/>
  <c r="C669" i="9" s="1"/>
  <c r="C670" i="9" s="1"/>
  <c r="C219" i="9" l="1"/>
  <c r="C220" i="9" s="1"/>
  <c r="C221" i="9" s="1"/>
  <c r="C222" i="9" s="1"/>
  <c r="C223" i="9" s="1"/>
  <c r="C224" i="9" s="1"/>
  <c r="J218" i="9"/>
  <c r="H222" i="9" s="1"/>
  <c r="C432" i="9"/>
  <c r="C433" i="9" s="1"/>
  <c r="C434" i="9" s="1"/>
  <c r="C435" i="9" s="1"/>
  <c r="C436" i="9" s="1"/>
  <c r="C437" i="9" s="1"/>
  <c r="C438" i="9" s="1"/>
  <c r="J431" i="9"/>
  <c r="H436" i="9" s="1"/>
  <c r="D650" i="9"/>
  <c r="D651" i="9" s="1"/>
  <c r="D652" i="9" s="1"/>
  <c r="D653" i="9" s="1"/>
  <c r="D654" i="9" s="1"/>
  <c r="D655" i="9" s="1"/>
  <c r="D656" i="9" s="1"/>
  <c r="D657" i="9" s="1"/>
  <c r="D659" i="9" s="1"/>
  <c r="D660" i="9" s="1"/>
  <c r="D661" i="9" s="1"/>
  <c r="J649" i="9"/>
  <c r="H659" i="9" s="1"/>
  <c r="C671" i="9"/>
  <c r="C672" i="9"/>
  <c r="C673" i="9" s="1"/>
  <c r="C674" i="9" s="1"/>
  <c r="C83" i="49"/>
  <c r="B84" i="49"/>
  <c r="P29" i="58"/>
  <c r="O30" i="58"/>
  <c r="H2213" i="9"/>
  <c r="C2214" i="9"/>
  <c r="C2215" i="9" s="1"/>
  <c r="C2216" i="9" s="1"/>
  <c r="C2217" i="9" s="1"/>
  <c r="C2218" i="9" s="1"/>
  <c r="C2219" i="9" s="1"/>
  <c r="C2220" i="9" s="1"/>
  <c r="C2221" i="9" s="1"/>
  <c r="C2222" i="9" s="1"/>
  <c r="C2223" i="9" s="1"/>
  <c r="C2224" i="9" s="1"/>
  <c r="C2225" i="9" s="1"/>
  <c r="C2226" i="9" s="1"/>
  <c r="C2227" i="9" s="1"/>
  <c r="C2228" i="9" s="1"/>
  <c r="C2229" i="9" s="1"/>
  <c r="C2230" i="9" s="1"/>
  <c r="C2231" i="9" s="1"/>
  <c r="C2232" i="9" s="1"/>
  <c r="C2233" i="9" s="1"/>
  <c r="C2234" i="9" s="1"/>
  <c r="C2235" i="9" s="1"/>
  <c r="C2236" i="9" s="1"/>
  <c r="C2237" i="9" s="1"/>
  <c r="C2238" i="9" s="1"/>
  <c r="C2239" i="9" s="1"/>
  <c r="C2240" i="9" s="1"/>
  <c r="C2241" i="9" s="1"/>
  <c r="C2242" i="9" s="1"/>
  <c r="C2243" i="9" s="1"/>
  <c r="C2244" i="9" s="1"/>
  <c r="C2245" i="9" s="1"/>
  <c r="B83" i="44"/>
  <c r="C82" i="44"/>
  <c r="C2246" i="9" l="1"/>
  <c r="C2247" i="9" s="1"/>
  <c r="C2248" i="9" s="1"/>
  <c r="C2249" i="9" s="1"/>
  <c r="C2250" i="9" s="1"/>
  <c r="C2251" i="9" s="1"/>
  <c r="C2252" i="9" s="1"/>
  <c r="C2253" i="9" s="1"/>
  <c r="C2254" i="9" s="1"/>
  <c r="C2255" i="9" s="1"/>
  <c r="C2256" i="9" s="1"/>
  <c r="C2257" i="9" s="1"/>
  <c r="C2258" i="9" s="1"/>
  <c r="C2259" i="9" s="1"/>
  <c r="C2260" i="9" s="1"/>
  <c r="C2261" i="9" s="1"/>
  <c r="C2262" i="9" s="1"/>
  <c r="C2263" i="9" s="1"/>
  <c r="C2264" i="9" s="1"/>
  <c r="C2265" i="9" s="1"/>
  <c r="C2266" i="9" s="1"/>
  <c r="C2267" i="9" s="1"/>
  <c r="C2268" i="9" s="1"/>
  <c r="C2269" i="9" s="1"/>
  <c r="C2270" i="9" s="1"/>
  <c r="C2271" i="9" s="1"/>
  <c r="C2272" i="9" s="1"/>
  <c r="C2273" i="9" s="1"/>
  <c r="C2274" i="9" s="1"/>
  <c r="C2275" i="9" s="1"/>
  <c r="C2276" i="9" s="1"/>
  <c r="C2277" i="9" s="1"/>
  <c r="C2278" i="9" s="1"/>
  <c r="C2279" i="9" s="1"/>
  <c r="C2280" i="9" s="1"/>
  <c r="C2281" i="9" s="1"/>
  <c r="C2282" i="9" s="1"/>
  <c r="C2283" i="9" s="1"/>
  <c r="C2284" i="9" s="1"/>
  <c r="C2285" i="9" s="1"/>
  <c r="C2286" i="9" s="1"/>
  <c r="H2245" i="9"/>
  <c r="C84" i="49"/>
  <c r="B85" i="49"/>
  <c r="P30" i="58"/>
  <c r="O31" i="58"/>
  <c r="C675" i="9"/>
  <c r="C676" i="9" s="1"/>
  <c r="C677" i="9" s="1"/>
  <c r="C678" i="9" s="1"/>
  <c r="C679" i="9" s="1"/>
  <c r="C680" i="9" s="1"/>
  <c r="B84" i="44"/>
  <c r="C83" i="44"/>
  <c r="J438" i="9"/>
  <c r="H442" i="9" s="1"/>
  <c r="C439" i="9"/>
  <c r="C440" i="9" s="1"/>
  <c r="C441" i="9" s="1"/>
  <c r="C442" i="9" s="1"/>
  <c r="C443" i="9" s="1"/>
  <c r="C444" i="9" s="1"/>
  <c r="D662" i="9"/>
  <c r="D663" i="9" s="1"/>
  <c r="D664" i="9" s="1"/>
  <c r="D665" i="9" s="1"/>
  <c r="D666" i="9" s="1"/>
  <c r="D667" i="9" s="1"/>
  <c r="D668" i="9" s="1"/>
  <c r="D669" i="9" s="1"/>
  <c r="D670" i="9" s="1"/>
  <c r="J661" i="9"/>
  <c r="H672" i="9" s="1"/>
  <c r="J224" i="9"/>
  <c r="H228" i="9" s="1"/>
  <c r="C225" i="9"/>
  <c r="C226" i="9" s="1"/>
  <c r="C227" i="9" s="1"/>
  <c r="C228" i="9" s="1"/>
  <c r="C229" i="9" s="1"/>
  <c r="C230" i="9" s="1"/>
  <c r="D672" i="9" l="1"/>
  <c r="D673" i="9" s="1"/>
  <c r="D674" i="9" s="1"/>
  <c r="D671" i="9"/>
  <c r="C231" i="9"/>
  <c r="C232" i="9" s="1"/>
  <c r="C233" i="9" s="1"/>
  <c r="C234" i="9" s="1"/>
  <c r="C235" i="9" s="1"/>
  <c r="C236" i="9" s="1"/>
  <c r="J230" i="9"/>
  <c r="H234" i="9" s="1"/>
  <c r="C681" i="9"/>
  <c r="C682" i="9" s="1"/>
  <c r="C683" i="9" s="1"/>
  <c r="C684" i="9" s="1"/>
  <c r="C685" i="9" s="1"/>
  <c r="C686" i="9" s="1"/>
  <c r="C687" i="9" s="1"/>
  <c r="C85" i="49"/>
  <c r="B86" i="49"/>
  <c r="P31" i="58"/>
  <c r="O32" i="58"/>
  <c r="C84" i="44"/>
  <c r="B85" i="44"/>
  <c r="C2287" i="9"/>
  <c r="C2288" i="9" s="1"/>
  <c r="C2289" i="9" s="1"/>
  <c r="C2290" i="9" s="1"/>
  <c r="C2291" i="9" s="1"/>
  <c r="C2292" i="9" s="1"/>
  <c r="C2293" i="9" s="1"/>
  <c r="C2294" i="9" s="1"/>
  <c r="C2295" i="9" s="1"/>
  <c r="C2296" i="9" s="1"/>
  <c r="C2297" i="9" s="1"/>
  <c r="C2298" i="9" s="1"/>
  <c r="C2299" i="9" s="1"/>
  <c r="C2300" i="9" s="1"/>
  <c r="C2301" i="9" s="1"/>
  <c r="C2302" i="9" s="1"/>
  <c r="C2303" i="9" s="1"/>
  <c r="C2304" i="9" s="1"/>
  <c r="C2305" i="9" s="1"/>
  <c r="C2306" i="9" s="1"/>
  <c r="C2307" i="9" s="1"/>
  <c r="C2308" i="9" s="1"/>
  <c r="C2309" i="9" s="1"/>
  <c r="C2310" i="9" s="1"/>
  <c r="C2311" i="9" s="1"/>
  <c r="C2312" i="9" s="1"/>
  <c r="C2313" i="9" s="1"/>
  <c r="C2314" i="9" s="1"/>
  <c r="C2315" i="9" s="1"/>
  <c r="C2316" i="9" s="1"/>
  <c r="C2317" i="9" s="1"/>
  <c r="C2318" i="9" s="1"/>
  <c r="C2319" i="9" s="1"/>
  <c r="C2320" i="9" s="1"/>
  <c r="C2321" i="9" s="1"/>
  <c r="C2322" i="9" s="1"/>
  <c r="C2323" i="9" s="1"/>
  <c r="C2324" i="9" s="1"/>
  <c r="C2325" i="9" s="1"/>
  <c r="C2326" i="9" s="1"/>
  <c r="C2327" i="9" s="1"/>
  <c r="C2328" i="9" s="1"/>
  <c r="C2329" i="9" s="1"/>
  <c r="C2330" i="9" s="1"/>
  <c r="C2331" i="9" s="1"/>
  <c r="C2332" i="9" s="1"/>
  <c r="C2333" i="9" s="1"/>
  <c r="C2334" i="9" s="1"/>
  <c r="H2286" i="9"/>
  <c r="B87" i="49" l="1"/>
  <c r="C86" i="49"/>
  <c r="C85" i="44"/>
  <c r="B86" i="44"/>
  <c r="C237" i="9"/>
  <c r="C238" i="9" s="1"/>
  <c r="C239" i="9" s="1"/>
  <c r="C240" i="9" s="1"/>
  <c r="C241" i="9" s="1"/>
  <c r="J236" i="9"/>
  <c r="H240" i="9" s="1"/>
  <c r="O33" i="58"/>
  <c r="P32" i="58"/>
  <c r="H2334" i="9"/>
  <c r="C2335" i="9"/>
  <c r="C2336" i="9" s="1"/>
  <c r="C2337" i="9" s="1"/>
  <c r="C2338" i="9" s="1"/>
  <c r="C2339" i="9" s="1"/>
  <c r="C2340" i="9" s="1"/>
  <c r="C2341" i="9" s="1"/>
  <c r="C2342" i="9" s="1"/>
  <c r="C2343" i="9" s="1"/>
  <c r="C2344" i="9" s="1"/>
  <c r="C2345" i="9" s="1"/>
  <c r="C2346" i="9" s="1"/>
  <c r="C2347" i="9" s="1"/>
  <c r="C2348" i="9" s="1"/>
  <c r="C2349" i="9" s="1"/>
  <c r="C2350" i="9" s="1"/>
  <c r="C2351" i="9" s="1"/>
  <c r="C2352" i="9" s="1"/>
  <c r="C2353" i="9" s="1"/>
  <c r="C2354" i="9" s="1"/>
  <c r="C2355" i="9" s="1"/>
  <c r="C2356" i="9" s="1"/>
  <c r="C2357" i="9" s="1"/>
  <c r="C2358" i="9" s="1"/>
  <c r="C2359" i="9" s="1"/>
  <c r="C2360" i="9" s="1"/>
  <c r="C2361" i="9" s="1"/>
  <c r="C2362" i="9" s="1"/>
  <c r="C2363" i="9" s="1"/>
  <c r="C2364" i="9" s="1"/>
  <c r="C2365" i="9" s="1"/>
  <c r="C2366" i="9" s="1"/>
  <c r="C2367" i="9" s="1"/>
  <c r="C2368" i="9" s="1"/>
  <c r="C2369" i="9" s="1"/>
  <c r="C688" i="9"/>
  <c r="C689" i="9" s="1"/>
  <c r="C690" i="9" s="1"/>
  <c r="C691" i="9" s="1"/>
  <c r="C692" i="9" s="1"/>
  <c r="C693" i="9" s="1"/>
  <c r="C694" i="9" s="1"/>
  <c r="C695" i="9" s="1"/>
  <c r="C696" i="9" s="1"/>
  <c r="C697" i="9" s="1"/>
  <c r="D675" i="9"/>
  <c r="D676" i="9" s="1"/>
  <c r="D677" i="9" s="1"/>
  <c r="D678" i="9" s="1"/>
  <c r="D679" i="9" s="1"/>
  <c r="D680" i="9" s="1"/>
  <c r="J674" i="9"/>
  <c r="H678" i="9" s="1"/>
  <c r="C2370" i="9" l="1"/>
  <c r="C2371" i="9" s="1"/>
  <c r="C2372" i="9" s="1"/>
  <c r="C2373" i="9" s="1"/>
  <c r="C2374" i="9" s="1"/>
  <c r="C2375" i="9" s="1"/>
  <c r="C2376" i="9" s="1"/>
  <c r="C2377" i="9" s="1"/>
  <c r="C2378" i="9" s="1"/>
  <c r="C2379" i="9" s="1"/>
  <c r="C2380" i="9" s="1"/>
  <c r="C2381" i="9" s="1"/>
  <c r="C2382" i="9" s="1"/>
  <c r="C2383" i="9" s="1"/>
  <c r="C2384" i="9" s="1"/>
  <c r="C2385" i="9" s="1"/>
  <c r="C2386" i="9" s="1"/>
  <c r="C2387" i="9" s="1"/>
  <c r="C2388" i="9" s="1"/>
  <c r="C2389" i="9" s="1"/>
  <c r="C2390" i="9" s="1"/>
  <c r="C2391" i="9" s="1"/>
  <c r="C2392" i="9" s="1"/>
  <c r="C2393" i="9" s="1"/>
  <c r="C2394" i="9" s="1"/>
  <c r="H2369" i="9"/>
  <c r="C698" i="9"/>
  <c r="C699" i="9" s="1"/>
  <c r="B87" i="44"/>
  <c r="C86" i="44"/>
  <c r="P33" i="58"/>
  <c r="O34" i="58"/>
  <c r="D681" i="9"/>
  <c r="D682" i="9" s="1"/>
  <c r="D683" i="9" s="1"/>
  <c r="D684" i="9" s="1"/>
  <c r="D685" i="9" s="1"/>
  <c r="D686" i="9" s="1"/>
  <c r="D687" i="9" s="1"/>
  <c r="J680" i="9"/>
  <c r="H685" i="9" s="1"/>
  <c r="B88" i="49"/>
  <c r="C87" i="49"/>
  <c r="O35" i="58" l="1"/>
  <c r="P34" i="58"/>
  <c r="D688" i="9"/>
  <c r="D689" i="9" s="1"/>
  <c r="D690" i="9" s="1"/>
  <c r="D691" i="9" s="1"/>
  <c r="D692" i="9" s="1"/>
  <c r="D693" i="9" s="1"/>
  <c r="D694" i="9" s="1"/>
  <c r="D695" i="9" s="1"/>
  <c r="D696" i="9" s="1"/>
  <c r="D697" i="9" s="1"/>
  <c r="J687" i="9"/>
  <c r="H695" i="9" s="1"/>
  <c r="C87" i="44"/>
  <c r="B88" i="44"/>
  <c r="B89" i="49"/>
  <c r="C88" i="49"/>
  <c r="C700" i="9"/>
  <c r="C701" i="9" s="1"/>
  <c r="C702" i="9" s="1"/>
  <c r="C703" i="9" s="1"/>
  <c r="C704" i="9" s="1"/>
  <c r="C705" i="9" s="1"/>
  <c r="C706" i="9" s="1"/>
  <c r="C707" i="9" s="1"/>
  <c r="H2394" i="9"/>
  <c r="C2395" i="9"/>
  <c r="C2396" i="9" s="1"/>
  <c r="C2397" i="9" s="1"/>
  <c r="C2398" i="9" s="1"/>
  <c r="C2399" i="9" s="1"/>
  <c r="C2400" i="9" s="1"/>
  <c r="C2401" i="9" s="1"/>
  <c r="C2402" i="9" s="1"/>
  <c r="C2403" i="9" s="1"/>
  <c r="C2404" i="9" s="1"/>
  <c r="C2405" i="9" s="1"/>
  <c r="C2406" i="9" s="1"/>
  <c r="C2407" i="9" s="1"/>
  <c r="C2408" i="9" s="1"/>
  <c r="C2409" i="9" s="1"/>
  <c r="C2410" i="9" s="1"/>
  <c r="C2411" i="9" s="1"/>
  <c r="C2412" i="9" s="1"/>
  <c r="C2413" i="9" s="1"/>
  <c r="C2414" i="9" s="1"/>
  <c r="C2415" i="9" s="1"/>
  <c r="C2416" i="9" s="1"/>
  <c r="C2417" i="9" s="1"/>
  <c r="C2418" i="9" s="1"/>
  <c r="C2419" i="9" s="1"/>
  <c r="C2420" i="9" s="1"/>
  <c r="C2421" i="9" s="1"/>
  <c r="C2422" i="9" s="1"/>
  <c r="C2423" i="9" s="1"/>
  <c r="C2424" i="9" s="1"/>
  <c r="C2425" i="9" s="1"/>
  <c r="C2426" i="9" s="1"/>
  <c r="C2427" i="9" s="1"/>
  <c r="C2428" i="9" s="1"/>
  <c r="C2429" i="9" s="1"/>
  <c r="C2430" i="9" s="1"/>
  <c r="C2431" i="9" s="1"/>
  <c r="C2432" i="9" s="1"/>
  <c r="D698" i="9" l="1"/>
  <c r="D699" i="9" s="1"/>
  <c r="H697" i="9"/>
  <c r="C89" i="49"/>
  <c r="B90" i="49"/>
  <c r="B89" i="44"/>
  <c r="C88" i="44"/>
  <c r="C708" i="9"/>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P35" i="58"/>
  <c r="O36" i="58"/>
  <c r="C730" i="9" l="1"/>
  <c r="C731" i="9" s="1"/>
  <c r="C732" i="9" s="1"/>
  <c r="C733" i="9" s="1"/>
  <c r="C734" i="9" s="1"/>
  <c r="C735" i="9" s="1"/>
  <c r="C736" i="9" s="1"/>
  <c r="C737" i="9" s="1"/>
  <c r="P36" i="58"/>
  <c r="O37" i="58"/>
  <c r="B91" i="49"/>
  <c r="C90" i="49"/>
  <c r="C89" i="44"/>
  <c r="B90" i="44"/>
  <c r="D700" i="9"/>
  <c r="D701" i="9" s="1"/>
  <c r="D702" i="9" s="1"/>
  <c r="D703" i="9" s="1"/>
  <c r="D704" i="9" s="1"/>
  <c r="D705" i="9" s="1"/>
  <c r="D706" i="9" s="1"/>
  <c r="D707" i="9" s="1"/>
  <c r="J699" i="9"/>
  <c r="H705" i="9" s="1"/>
  <c r="C90" i="44" l="1"/>
  <c r="B91" i="44"/>
  <c r="P37" i="58"/>
  <c r="O38" i="58"/>
  <c r="C738" i="9"/>
  <c r="C739" i="9" s="1"/>
  <c r="C740" i="9" s="1"/>
  <c r="C741" i="9" s="1"/>
  <c r="C742" i="9" s="1"/>
  <c r="C743" i="9" s="1"/>
  <c r="C744" i="9" s="1"/>
  <c r="C745" i="9" s="1"/>
  <c r="D708" i="9"/>
  <c r="D709" i="9" s="1"/>
  <c r="D710" i="9" s="1"/>
  <c r="D711" i="9" s="1"/>
  <c r="D712" i="9" s="1"/>
  <c r="D713" i="9" s="1"/>
  <c r="D714" i="9" s="1"/>
  <c r="D715" i="9" s="1"/>
  <c r="D716" i="9" s="1"/>
  <c r="D717" i="9" s="1"/>
  <c r="D718" i="9" s="1"/>
  <c r="D719" i="9" s="1"/>
  <c r="D720" i="9" s="1"/>
  <c r="D721" i="9" s="1"/>
  <c r="D722" i="9" s="1"/>
  <c r="D723" i="9" s="1"/>
  <c r="D724" i="9" s="1"/>
  <c r="D725" i="9" s="1"/>
  <c r="D726" i="9" s="1"/>
  <c r="D727" i="9" s="1"/>
  <c r="D728" i="9" s="1"/>
  <c r="D729" i="9" s="1"/>
  <c r="J707" i="9"/>
  <c r="H727" i="9" s="1"/>
  <c r="B92" i="49"/>
  <c r="C91" i="49"/>
  <c r="O39" i="58" l="1"/>
  <c r="P38" i="58"/>
  <c r="D730" i="9"/>
  <c r="D731" i="9" s="1"/>
  <c r="D732" i="9" s="1"/>
  <c r="D733" i="9" s="1"/>
  <c r="D734" i="9" s="1"/>
  <c r="D735" i="9" s="1"/>
  <c r="D736" i="9" s="1"/>
  <c r="D737" i="9" s="1"/>
  <c r="J729" i="9"/>
  <c r="H735" i="9" s="1"/>
  <c r="C746" i="9"/>
  <c r="C747" i="9" s="1"/>
  <c r="C748" i="9" s="1"/>
  <c r="C749" i="9" s="1"/>
  <c r="C750" i="9" s="1"/>
  <c r="C751" i="9" s="1"/>
  <c r="C752" i="9" s="1"/>
  <c r="C753" i="9" s="1"/>
  <c r="C754" i="9" s="1"/>
  <c r="C755" i="9" s="1"/>
  <c r="C756" i="9" s="1"/>
  <c r="C757" i="9" s="1"/>
  <c r="C758" i="9" s="1"/>
  <c r="C759" i="9" s="1"/>
  <c r="C760" i="9" s="1"/>
  <c r="C761" i="9" s="1"/>
  <c r="C762" i="9" s="1"/>
  <c r="C763" i="9" s="1"/>
  <c r="C764" i="9" s="1"/>
  <c r="C765" i="9" s="1"/>
  <c r="C766" i="9" s="1"/>
  <c r="C767" i="9" s="1"/>
  <c r="C768" i="9" s="1"/>
  <c r="C769" i="9" s="1"/>
  <c r="C91" i="44"/>
  <c r="B92" i="44"/>
  <c r="B93" i="49"/>
  <c r="B94" i="49" s="1"/>
  <c r="C92" i="49"/>
  <c r="D738" i="9" l="1"/>
  <c r="D739" i="9" s="1"/>
  <c r="D740" i="9" s="1"/>
  <c r="D741" i="9" s="1"/>
  <c r="D742" i="9" s="1"/>
  <c r="D743" i="9" s="1"/>
  <c r="D744" i="9" s="1"/>
  <c r="D745" i="9" s="1"/>
  <c r="J737" i="9"/>
  <c r="H743" i="9" s="1"/>
  <c r="C92" i="44"/>
  <c r="B93" i="44"/>
  <c r="C770" i="9"/>
  <c r="C771" i="9" s="1"/>
  <c r="C772" i="9" s="1"/>
  <c r="C773" i="9" s="1"/>
  <c r="C774" i="9" s="1"/>
  <c r="C775" i="9" s="1"/>
  <c r="C776" i="9" s="1"/>
  <c r="C777" i="9" s="1"/>
  <c r="C778" i="9" s="1"/>
  <c r="C779" i="9" s="1"/>
  <c r="C780" i="9" s="1"/>
  <c r="C94" i="49"/>
  <c r="B95" i="49"/>
  <c r="O40" i="58"/>
  <c r="P39" i="58"/>
  <c r="C781" i="9" l="1"/>
  <c r="C782" i="9" s="1"/>
  <c r="B96" i="49"/>
  <c r="C95" i="49"/>
  <c r="B94" i="44"/>
  <c r="C93" i="44"/>
  <c r="O41" i="58"/>
  <c r="P40" i="58"/>
  <c r="D746" i="9"/>
  <c r="D747" i="9" s="1"/>
  <c r="D748" i="9" s="1"/>
  <c r="D749" i="9" s="1"/>
  <c r="D750" i="9" s="1"/>
  <c r="D751" i="9" s="1"/>
  <c r="D752" i="9" s="1"/>
  <c r="D753" i="9" s="1"/>
  <c r="D754" i="9" s="1"/>
  <c r="D755" i="9" s="1"/>
  <c r="D756" i="9" s="1"/>
  <c r="D757" i="9" s="1"/>
  <c r="D758" i="9" s="1"/>
  <c r="D759" i="9" s="1"/>
  <c r="D760" i="9" s="1"/>
  <c r="D761" i="9" s="1"/>
  <c r="D762" i="9" s="1"/>
  <c r="D763" i="9" s="1"/>
  <c r="D764" i="9" s="1"/>
  <c r="D765" i="9" s="1"/>
  <c r="D766" i="9" s="1"/>
  <c r="D767" i="9" s="1"/>
  <c r="D768" i="9" s="1"/>
  <c r="D769" i="9" s="1"/>
  <c r="J745" i="9"/>
  <c r="H767" i="9" s="1"/>
  <c r="P41" i="58" l="1"/>
  <c r="O42" i="58"/>
  <c r="B97" i="49"/>
  <c r="B99" i="49" s="1"/>
  <c r="C96" i="49"/>
  <c r="D770" i="9"/>
  <c r="D771" i="9" s="1"/>
  <c r="D772" i="9" s="1"/>
  <c r="D773" i="9" s="1"/>
  <c r="D774" i="9" s="1"/>
  <c r="D775" i="9" s="1"/>
  <c r="D776" i="9" s="1"/>
  <c r="D777" i="9" s="1"/>
  <c r="D778" i="9" s="1"/>
  <c r="D779" i="9" s="1"/>
  <c r="D780" i="9" s="1"/>
  <c r="J769" i="9"/>
  <c r="H778" i="9" s="1"/>
  <c r="C94" i="44"/>
  <c r="B95" i="44"/>
  <c r="B96" i="44" s="1"/>
  <c r="C784" i="9"/>
  <c r="C785" i="9" s="1"/>
  <c r="C786" i="9" s="1"/>
  <c r="C787" i="9" s="1"/>
  <c r="C788" i="9" s="1"/>
  <c r="C789" i="9" s="1"/>
  <c r="C783" i="9"/>
  <c r="C96" i="44" l="1"/>
  <c r="B97" i="44"/>
  <c r="B100" i="49"/>
  <c r="C99" i="49"/>
  <c r="O43" i="58"/>
  <c r="P42" i="58"/>
  <c r="C790" i="9"/>
  <c r="C791" i="9" s="1"/>
  <c r="C792" i="9" s="1"/>
  <c r="C793" i="9" s="1"/>
  <c r="C794" i="9" s="1"/>
  <c r="C795" i="9" s="1"/>
  <c r="C796" i="9" s="1"/>
  <c r="C797" i="9" s="1"/>
  <c r="C798" i="9" s="1"/>
  <c r="D781" i="9"/>
  <c r="D782" i="9" s="1"/>
  <c r="H780" i="9"/>
  <c r="C799" i="9" l="1"/>
  <c r="C800" i="9" s="1"/>
  <c r="C801" i="9" s="1"/>
  <c r="C802" i="9" s="1"/>
  <c r="C803" i="9" s="1"/>
  <c r="C804" i="9" s="1"/>
  <c r="C805" i="9" s="1"/>
  <c r="B101" i="49"/>
  <c r="C100" i="49"/>
  <c r="C97" i="44"/>
  <c r="B98" i="44"/>
  <c r="D784" i="9"/>
  <c r="D785" i="9" s="1"/>
  <c r="D786" i="9" s="1"/>
  <c r="D787" i="9" s="1"/>
  <c r="D788" i="9" s="1"/>
  <c r="D789" i="9" s="1"/>
  <c r="D783" i="9"/>
  <c r="J782" i="9"/>
  <c r="H787" i="9" s="1"/>
  <c r="P43" i="58"/>
  <c r="O44" i="58"/>
  <c r="D790" i="9" l="1"/>
  <c r="D791" i="9" s="1"/>
  <c r="D792" i="9" s="1"/>
  <c r="D793" i="9" s="1"/>
  <c r="D794" i="9" s="1"/>
  <c r="D795" i="9" s="1"/>
  <c r="D796" i="9" s="1"/>
  <c r="D797" i="9" s="1"/>
  <c r="D798" i="9" s="1"/>
  <c r="J789" i="9"/>
  <c r="H796" i="9" s="1"/>
  <c r="C101" i="49"/>
  <c r="B102" i="49"/>
  <c r="B103" i="49" s="1"/>
  <c r="P44" i="58"/>
  <c r="O45" i="58"/>
  <c r="C98" i="44"/>
  <c r="B99" i="44"/>
  <c r="B101" i="44" s="1"/>
  <c r="C806" i="9"/>
  <c r="C808" i="9" s="1"/>
  <c r="C809" i="9" s="1"/>
  <c r="C810" i="9" s="1"/>
  <c r="C811" i="9" s="1"/>
  <c r="C812" i="9" s="1"/>
  <c r="C813" i="9" s="1"/>
  <c r="C807" i="9"/>
  <c r="P45" i="58" l="1"/>
  <c r="O46" i="58"/>
  <c r="B102" i="44"/>
  <c r="C101" i="44"/>
  <c r="B104" i="49"/>
  <c r="C103" i="49"/>
  <c r="C816" i="9"/>
  <c r="C817" i="9" s="1"/>
  <c r="C818" i="9" s="1"/>
  <c r="C819" i="9" s="1"/>
  <c r="C820" i="9" s="1"/>
  <c r="C814" i="9"/>
  <c r="C815" i="9" s="1"/>
  <c r="D799" i="9"/>
  <c r="D800" i="9" s="1"/>
  <c r="D801" i="9" s="1"/>
  <c r="D802" i="9" s="1"/>
  <c r="D803" i="9" s="1"/>
  <c r="D804" i="9" s="1"/>
  <c r="D805" i="9" s="1"/>
  <c r="J798" i="9"/>
  <c r="H818" i="9" s="1"/>
  <c r="C821" i="9" l="1"/>
  <c r="C822" i="9" s="1"/>
  <c r="C823" i="9" s="1"/>
  <c r="C824" i="9" s="1"/>
  <c r="C825" i="9" s="1"/>
  <c r="C826" i="9" s="1"/>
  <c r="C827" i="9" s="1"/>
  <c r="C828" i="9" s="1"/>
  <c r="C102" i="44"/>
  <c r="B103" i="44"/>
  <c r="O47" i="58"/>
  <c r="P46" i="58"/>
  <c r="D806" i="9"/>
  <c r="D808" i="9" s="1"/>
  <c r="D809" i="9" s="1"/>
  <c r="D810" i="9" s="1"/>
  <c r="D811" i="9" s="1"/>
  <c r="D812" i="9" s="1"/>
  <c r="D813" i="9" s="1"/>
  <c r="D807" i="9"/>
  <c r="B105" i="49"/>
  <c r="C104" i="49"/>
  <c r="C103" i="44" l="1"/>
  <c r="B104" i="44"/>
  <c r="B105" i="44" s="1"/>
  <c r="D816" i="9"/>
  <c r="D817" i="9" s="1"/>
  <c r="D818" i="9" s="1"/>
  <c r="D819" i="9" s="1"/>
  <c r="D820" i="9" s="1"/>
  <c r="D814" i="9"/>
  <c r="D815" i="9" s="1"/>
  <c r="C105" i="49"/>
  <c r="B106" i="49"/>
  <c r="P47" i="58"/>
  <c r="O48" i="58"/>
  <c r="C829" i="9"/>
  <c r="C830" i="9" s="1"/>
  <c r="C831" i="9" s="1"/>
  <c r="C832" i="9" s="1"/>
  <c r="C833" i="9" s="1"/>
  <c r="C834" i="9" s="1"/>
  <c r="C835" i="9" s="1"/>
  <c r="C836" i="9" s="1"/>
  <c r="C837" i="9" s="1"/>
  <c r="C838" i="9" s="1"/>
  <c r="C839" i="9" s="1"/>
  <c r="C840" i="9" s="1"/>
  <c r="C841" i="9" s="1"/>
  <c r="C842" i="9" s="1"/>
  <c r="C843" i="9" s="1"/>
  <c r="C844" i="9" s="1"/>
  <c r="P48" i="58" l="1"/>
  <c r="O49" i="58"/>
  <c r="D821" i="9"/>
  <c r="D822" i="9" s="1"/>
  <c r="D823" i="9" s="1"/>
  <c r="D824" i="9" s="1"/>
  <c r="D825" i="9" s="1"/>
  <c r="D826" i="9" s="1"/>
  <c r="D827" i="9" s="1"/>
  <c r="D828" i="9" s="1"/>
  <c r="J820" i="9"/>
  <c r="H826" i="9" s="1"/>
  <c r="C845" i="9"/>
  <c r="C846" i="9" s="1"/>
  <c r="C847" i="9" s="1"/>
  <c r="C848" i="9" s="1"/>
  <c r="C849" i="9" s="1"/>
  <c r="C850" i="9" s="1"/>
  <c r="C851" i="9" s="1"/>
  <c r="C852" i="9" s="1"/>
  <c r="B107" i="49"/>
  <c r="C106" i="49"/>
  <c r="C105" i="44"/>
  <c r="B106" i="44"/>
  <c r="D829" i="9" l="1"/>
  <c r="D830" i="9" s="1"/>
  <c r="D831" i="9" s="1"/>
  <c r="D832" i="9" s="1"/>
  <c r="D833" i="9" s="1"/>
  <c r="D834" i="9" s="1"/>
  <c r="D835" i="9" s="1"/>
  <c r="D836" i="9" s="1"/>
  <c r="D837" i="9" s="1"/>
  <c r="D838" i="9" s="1"/>
  <c r="D839" i="9" s="1"/>
  <c r="D840" i="9" s="1"/>
  <c r="D841" i="9" s="1"/>
  <c r="D842" i="9" s="1"/>
  <c r="D843" i="9" s="1"/>
  <c r="D844" i="9" s="1"/>
  <c r="J828" i="9"/>
  <c r="H842" i="9" s="1"/>
  <c r="C107" i="49"/>
  <c r="B108" i="49"/>
  <c r="B109" i="49" s="1"/>
  <c r="C106" i="44"/>
  <c r="B107" i="44"/>
  <c r="O50" i="58"/>
  <c r="P49" i="58"/>
  <c r="C853" i="9"/>
  <c r="C854" i="9" s="1"/>
  <c r="C855" i="9" s="1"/>
  <c r="C856" i="9" s="1"/>
  <c r="C857" i="9" s="1"/>
  <c r="C858" i="9" s="1"/>
  <c r="C859" i="9" s="1"/>
  <c r="C860" i="9" s="1"/>
  <c r="C109" i="49" l="1"/>
  <c r="B110" i="49"/>
  <c r="B111" i="49" s="1"/>
  <c r="P50" i="58"/>
  <c r="O51" i="58"/>
  <c r="C861" i="9"/>
  <c r="C862" i="9" s="1"/>
  <c r="C863" i="9" s="1"/>
  <c r="C864" i="9" s="1"/>
  <c r="C865" i="9" s="1"/>
  <c r="C866" i="9" s="1"/>
  <c r="C867" i="9" s="1"/>
  <c r="C868" i="9" s="1"/>
  <c r="C869" i="9" s="1"/>
  <c r="C870" i="9" s="1"/>
  <c r="C871" i="9" s="1"/>
  <c r="C872" i="9" s="1"/>
  <c r="C107" i="44"/>
  <c r="B108" i="44"/>
  <c r="D845" i="9"/>
  <c r="D846" i="9" s="1"/>
  <c r="D847" i="9" s="1"/>
  <c r="D848" i="9" s="1"/>
  <c r="D849" i="9" s="1"/>
  <c r="D850" i="9" s="1"/>
  <c r="D851" i="9" s="1"/>
  <c r="D852" i="9" s="1"/>
  <c r="J844" i="9"/>
  <c r="H850" i="9" s="1"/>
  <c r="D853" i="9" l="1"/>
  <c r="D854" i="9" s="1"/>
  <c r="D855" i="9" s="1"/>
  <c r="D856" i="9" s="1"/>
  <c r="D857" i="9" s="1"/>
  <c r="D858" i="9" s="1"/>
  <c r="D859" i="9" s="1"/>
  <c r="D860" i="9" s="1"/>
  <c r="J852" i="9"/>
  <c r="H858" i="9" s="1"/>
  <c r="C108" i="44"/>
  <c r="B109" i="44"/>
  <c r="O52" i="58"/>
  <c r="P51" i="58"/>
  <c r="C111" i="49"/>
  <c r="B112" i="49"/>
  <c r="C873" i="9"/>
  <c r="C874" i="9" s="1"/>
  <c r="C875" i="9" s="1"/>
  <c r="C876" i="9" s="1"/>
  <c r="C877" i="9" s="1"/>
  <c r="C878" i="9" s="1"/>
  <c r="C879" i="9" s="1"/>
  <c r="C880" i="9" s="1"/>
  <c r="C881" i="9" s="1"/>
  <c r="B113" i="49" l="1"/>
  <c r="B114" i="49" s="1"/>
  <c r="C112" i="49"/>
  <c r="B110" i="44"/>
  <c r="B111" i="44" s="1"/>
  <c r="C109" i="44"/>
  <c r="C882" i="9"/>
  <c r="C883" i="9" s="1"/>
  <c r="P52" i="58"/>
  <c r="O53" i="58"/>
  <c r="D861" i="9"/>
  <c r="D862" i="9" s="1"/>
  <c r="D863" i="9" s="1"/>
  <c r="D864" i="9" s="1"/>
  <c r="D865" i="9" s="1"/>
  <c r="D866" i="9" s="1"/>
  <c r="D867" i="9" s="1"/>
  <c r="D868" i="9" s="1"/>
  <c r="D869" i="9" s="1"/>
  <c r="D870" i="9" s="1"/>
  <c r="D871" i="9" s="1"/>
  <c r="D872" i="9" s="1"/>
  <c r="J860" i="9"/>
  <c r="H870" i="9" s="1"/>
  <c r="P53" i="58" l="1"/>
  <c r="O54" i="58"/>
  <c r="B112" i="44"/>
  <c r="B113" i="44" s="1"/>
  <c r="C111" i="44"/>
  <c r="D873" i="9"/>
  <c r="D874" i="9" s="1"/>
  <c r="D875" i="9" s="1"/>
  <c r="D876" i="9" s="1"/>
  <c r="D877" i="9" s="1"/>
  <c r="D878" i="9" s="1"/>
  <c r="D879" i="9" s="1"/>
  <c r="D880" i="9" s="1"/>
  <c r="D881" i="9" s="1"/>
  <c r="J872" i="9"/>
  <c r="H879" i="9" s="1"/>
  <c r="C884" i="9"/>
  <c r="C885" i="9" s="1"/>
  <c r="C886" i="9" s="1"/>
  <c r="C887" i="9" s="1"/>
  <c r="C888" i="9" s="1"/>
  <c r="C889" i="9" s="1"/>
  <c r="C890" i="9" s="1"/>
  <c r="B115" i="49"/>
  <c r="C114" i="49"/>
  <c r="C891" i="9" l="1"/>
  <c r="C892" i="9" s="1"/>
  <c r="C893" i="9" s="1"/>
  <c r="C894" i="9" s="1"/>
  <c r="C895" i="9" s="1"/>
  <c r="C896" i="9" s="1"/>
  <c r="C897" i="9" s="1"/>
  <c r="C898" i="9" s="1"/>
  <c r="C899" i="9" s="1"/>
  <c r="C900" i="9" s="1"/>
  <c r="C901" i="9" s="1"/>
  <c r="C902" i="9" s="1"/>
  <c r="C903" i="9" s="1"/>
  <c r="C904" i="9" s="1"/>
  <c r="C905" i="9" s="1"/>
  <c r="C906" i="9" s="1"/>
  <c r="B114" i="44"/>
  <c r="C113" i="44"/>
  <c r="P54" i="58"/>
  <c r="O55" i="58"/>
  <c r="C115" i="49"/>
  <c r="B116" i="49"/>
  <c r="D882" i="9"/>
  <c r="D883" i="9" s="1"/>
  <c r="H881" i="9"/>
  <c r="B117" i="49" l="1"/>
  <c r="C116" i="49"/>
  <c r="P55" i="58"/>
  <c r="O56" i="58"/>
  <c r="B115" i="44"/>
  <c r="B116" i="44" s="1"/>
  <c r="C114" i="44"/>
  <c r="D884" i="9"/>
  <c r="D885" i="9" s="1"/>
  <c r="D886" i="9" s="1"/>
  <c r="D887" i="9" s="1"/>
  <c r="D888" i="9" s="1"/>
  <c r="D889" i="9" s="1"/>
  <c r="D890" i="9" s="1"/>
  <c r="J883" i="9"/>
  <c r="H888" i="9" s="1"/>
  <c r="C907" i="9"/>
  <c r="C908" i="9" s="1"/>
  <c r="C909" i="9" s="1"/>
  <c r="C910" i="9" s="1"/>
  <c r="C911" i="9" s="1"/>
  <c r="C912" i="9" s="1"/>
  <c r="C913" i="9" s="1"/>
  <c r="C914" i="9" s="1"/>
  <c r="O57" i="58" l="1"/>
  <c r="P56" i="58"/>
  <c r="D891" i="9"/>
  <c r="D892" i="9" s="1"/>
  <c r="D893" i="9" s="1"/>
  <c r="D894" i="9" s="1"/>
  <c r="D895" i="9" s="1"/>
  <c r="D896" i="9" s="1"/>
  <c r="D897" i="9" s="1"/>
  <c r="D898" i="9" s="1"/>
  <c r="D899" i="9" s="1"/>
  <c r="D900" i="9" s="1"/>
  <c r="D901" i="9" s="1"/>
  <c r="D902" i="9" s="1"/>
  <c r="D903" i="9" s="1"/>
  <c r="D904" i="9" s="1"/>
  <c r="D905" i="9" s="1"/>
  <c r="D906" i="9" s="1"/>
  <c r="J890" i="9"/>
  <c r="H904" i="9" s="1"/>
  <c r="C915" i="9"/>
  <c r="C916" i="9" s="1"/>
  <c r="C917" i="9" s="1"/>
  <c r="C918" i="9" s="1"/>
  <c r="C919" i="9" s="1"/>
  <c r="C920" i="9" s="1"/>
  <c r="C921" i="9" s="1"/>
  <c r="C922" i="9" s="1"/>
  <c r="C923" i="9" s="1"/>
  <c r="C924" i="9" s="1"/>
  <c r="C925" i="9" s="1"/>
  <c r="C926" i="9" s="1"/>
  <c r="C927" i="9" s="1"/>
  <c r="C928" i="9" s="1"/>
  <c r="C929" i="9" s="1"/>
  <c r="C930" i="9" s="1"/>
  <c r="C931" i="9" s="1"/>
  <c r="C932" i="9" s="1"/>
  <c r="C116" i="44"/>
  <c r="B117" i="44"/>
  <c r="B118" i="49"/>
  <c r="C117" i="49"/>
  <c r="B118" i="44" l="1"/>
  <c r="C117" i="44"/>
  <c r="D907" i="9"/>
  <c r="D908" i="9" s="1"/>
  <c r="D909" i="9" s="1"/>
  <c r="D910" i="9" s="1"/>
  <c r="D911" i="9" s="1"/>
  <c r="D912" i="9" s="1"/>
  <c r="D913" i="9" s="1"/>
  <c r="D914" i="9" s="1"/>
  <c r="J906" i="9"/>
  <c r="H912" i="9" s="1"/>
  <c r="B119" i="49"/>
  <c r="C118" i="49"/>
  <c r="C933" i="9"/>
  <c r="C934" i="9" s="1"/>
  <c r="C935" i="9" s="1"/>
  <c r="C936" i="9" s="1"/>
  <c r="C937" i="9" s="1"/>
  <c r="C938" i="9" s="1"/>
  <c r="C939" i="9" s="1"/>
  <c r="C940" i="9" s="1"/>
  <c r="C941" i="9" s="1"/>
  <c r="C942" i="9" s="1"/>
  <c r="C943" i="9" s="1"/>
  <c r="O58" i="58"/>
  <c r="P57" i="58"/>
  <c r="C944" i="9" l="1"/>
  <c r="C945" i="9" s="1"/>
  <c r="C946" i="9" s="1"/>
  <c r="C947" i="9" s="1"/>
  <c r="C948" i="9" s="1"/>
  <c r="C949" i="9" s="1"/>
  <c r="D915" i="9"/>
  <c r="D916" i="9" s="1"/>
  <c r="D917" i="9" s="1"/>
  <c r="D918" i="9" s="1"/>
  <c r="D919" i="9" s="1"/>
  <c r="D920" i="9" s="1"/>
  <c r="D921" i="9" s="1"/>
  <c r="D922" i="9" s="1"/>
  <c r="D923" i="9" s="1"/>
  <c r="D924" i="9" s="1"/>
  <c r="D925" i="9" s="1"/>
  <c r="D926" i="9" s="1"/>
  <c r="D927" i="9" s="1"/>
  <c r="D928" i="9" s="1"/>
  <c r="D929" i="9" s="1"/>
  <c r="D930" i="9" s="1"/>
  <c r="D931" i="9" s="1"/>
  <c r="D932" i="9" s="1"/>
  <c r="J914" i="9"/>
  <c r="H930" i="9" s="1"/>
  <c r="O59" i="58"/>
  <c r="P58" i="58"/>
  <c r="B120" i="49"/>
  <c r="C119" i="49"/>
  <c r="C118" i="44"/>
  <c r="B119" i="44"/>
  <c r="D933" i="9" l="1"/>
  <c r="D934" i="9" s="1"/>
  <c r="D935" i="9" s="1"/>
  <c r="D936" i="9" s="1"/>
  <c r="D937" i="9" s="1"/>
  <c r="D938" i="9" s="1"/>
  <c r="D939" i="9" s="1"/>
  <c r="D940" i="9" s="1"/>
  <c r="D941" i="9" s="1"/>
  <c r="D942" i="9" s="1"/>
  <c r="D943" i="9" s="1"/>
  <c r="J932" i="9"/>
  <c r="H941" i="9" s="1"/>
  <c r="B121" i="49"/>
  <c r="C120" i="49"/>
  <c r="C119" i="44"/>
  <c r="B120" i="44"/>
  <c r="C950" i="9"/>
  <c r="C951" i="9" s="1"/>
  <c r="C952" i="9" s="1"/>
  <c r="C953" i="9" s="1"/>
  <c r="C954" i="9" s="1"/>
  <c r="C955" i="9" s="1"/>
  <c r="O60" i="58"/>
  <c r="P59" i="58"/>
  <c r="C120" i="44" l="1"/>
  <c r="B121" i="44"/>
  <c r="P60" i="58"/>
  <c r="O61" i="58"/>
  <c r="C956" i="9"/>
  <c r="C957" i="9" s="1"/>
  <c r="C958" i="9" s="1"/>
  <c r="C959" i="9" s="1"/>
  <c r="C960" i="9" s="1"/>
  <c r="C961" i="9" s="1"/>
  <c r="C962" i="9" s="1"/>
  <c r="C121" i="49"/>
  <c r="B122" i="49"/>
  <c r="D944" i="9"/>
  <c r="D945" i="9" s="1"/>
  <c r="D946" i="9" s="1"/>
  <c r="D947" i="9" s="1"/>
  <c r="D948" i="9" s="1"/>
  <c r="D949" i="9" s="1"/>
  <c r="J943" i="9"/>
  <c r="H947" i="9" s="1"/>
  <c r="C963" i="9" l="1"/>
  <c r="C964" i="9" s="1"/>
  <c r="C965" i="9" s="1"/>
  <c r="C966" i="9" s="1"/>
  <c r="C967" i="9" s="1"/>
  <c r="C968" i="9" s="1"/>
  <c r="C122" i="49"/>
  <c r="B123" i="49"/>
  <c r="P61" i="58"/>
  <c r="O62" i="58"/>
  <c r="C121" i="44"/>
  <c r="B122" i="44"/>
  <c r="D950" i="9"/>
  <c r="D951" i="9" s="1"/>
  <c r="D952" i="9" s="1"/>
  <c r="D953" i="9" s="1"/>
  <c r="D954" i="9" s="1"/>
  <c r="D955" i="9" s="1"/>
  <c r="J949" i="9"/>
  <c r="H953" i="9" s="1"/>
  <c r="C122" i="44" l="1"/>
  <c r="B123" i="44"/>
  <c r="B124" i="49"/>
  <c r="C123" i="49"/>
  <c r="P62" i="58"/>
  <c r="O63" i="58"/>
  <c r="D956" i="9"/>
  <c r="D957" i="9" s="1"/>
  <c r="D958" i="9" s="1"/>
  <c r="D959" i="9" s="1"/>
  <c r="D960" i="9" s="1"/>
  <c r="D961" i="9" s="1"/>
  <c r="D962" i="9" s="1"/>
  <c r="J955" i="9"/>
  <c r="H960" i="9" s="1"/>
  <c r="C969" i="9"/>
  <c r="C970" i="9" s="1"/>
  <c r="C971" i="9" s="1"/>
  <c r="C972" i="9" s="1"/>
  <c r="C973" i="9" s="1"/>
  <c r="C974" i="9" s="1"/>
  <c r="C975" i="9" s="1"/>
  <c r="C976" i="9" s="1"/>
  <c r="C977" i="9" s="1"/>
  <c r="D963" i="9" l="1"/>
  <c r="D964" i="9" s="1"/>
  <c r="D965" i="9" s="1"/>
  <c r="D966" i="9" s="1"/>
  <c r="D967" i="9" s="1"/>
  <c r="D968" i="9" s="1"/>
  <c r="J962" i="9"/>
  <c r="H966" i="9" s="1"/>
  <c r="B125" i="49"/>
  <c r="C124" i="49"/>
  <c r="C978" i="9"/>
  <c r="C979" i="9" s="1"/>
  <c r="O64" i="58"/>
  <c r="P63" i="58"/>
  <c r="B124" i="44"/>
  <c r="C123" i="44"/>
  <c r="P64" i="58" l="1"/>
  <c r="O65" i="58"/>
  <c r="B126" i="49"/>
  <c r="C125" i="49"/>
  <c r="B125" i="44"/>
  <c r="C124" i="44"/>
  <c r="C980" i="9"/>
  <c r="C981" i="9" s="1"/>
  <c r="C982" i="9" s="1"/>
  <c r="C983" i="9" s="1"/>
  <c r="C984" i="9" s="1"/>
  <c r="C985" i="9" s="1"/>
  <c r="C986" i="9" s="1"/>
  <c r="D969" i="9"/>
  <c r="D970" i="9" s="1"/>
  <c r="D971" i="9" s="1"/>
  <c r="D972" i="9" s="1"/>
  <c r="D973" i="9" s="1"/>
  <c r="D974" i="9" s="1"/>
  <c r="D975" i="9" s="1"/>
  <c r="D976" i="9" s="1"/>
  <c r="D977" i="9" s="1"/>
  <c r="J968" i="9"/>
  <c r="H975" i="9" s="1"/>
  <c r="C987" i="9" l="1"/>
  <c r="C988" i="9" s="1"/>
  <c r="C989" i="9" s="1"/>
  <c r="C990" i="9" s="1"/>
  <c r="C991" i="9" s="1"/>
  <c r="C992" i="9" s="1"/>
  <c r="C993" i="9" s="1"/>
  <c r="C994" i="9" s="1"/>
  <c r="C995" i="9" s="1"/>
  <c r="C996" i="9" s="1"/>
  <c r="C997" i="9" s="1"/>
  <c r="C998" i="9" s="1"/>
  <c r="C999" i="9" s="1"/>
  <c r="C1000" i="9" s="1"/>
  <c r="C1001" i="9" s="1"/>
  <c r="B127" i="49"/>
  <c r="C126" i="49"/>
  <c r="O66" i="58"/>
  <c r="P65" i="58"/>
  <c r="D978" i="9"/>
  <c r="D979" i="9" s="1"/>
  <c r="H977" i="9"/>
  <c r="C125" i="44"/>
  <c r="B126" i="44"/>
  <c r="B127" i="44" l="1"/>
  <c r="C126" i="44"/>
  <c r="D980" i="9"/>
  <c r="D981" i="9" s="1"/>
  <c r="D982" i="9" s="1"/>
  <c r="D983" i="9" s="1"/>
  <c r="D984" i="9" s="1"/>
  <c r="D985" i="9" s="1"/>
  <c r="D986" i="9" s="1"/>
  <c r="J979" i="9"/>
  <c r="H984" i="9" s="1"/>
  <c r="C127" i="49"/>
  <c r="B128" i="49"/>
  <c r="C1002" i="9"/>
  <c r="C1003" i="9" s="1"/>
  <c r="C1004" i="9" s="1"/>
  <c r="C1005" i="9" s="1"/>
  <c r="C1006" i="9" s="1"/>
  <c r="C1007" i="9" s="1"/>
  <c r="C1008" i="9" s="1"/>
  <c r="C1009" i="9" s="1"/>
  <c r="O67" i="58"/>
  <c r="P66" i="58"/>
  <c r="C1010" i="9" l="1"/>
  <c r="C1011" i="9" s="1"/>
  <c r="C1012" i="9" s="1"/>
  <c r="C1013" i="9" s="1"/>
  <c r="C1014" i="9" s="1"/>
  <c r="C1015" i="9" s="1"/>
  <c r="D987" i="9"/>
  <c r="D988" i="9" s="1"/>
  <c r="D989" i="9" s="1"/>
  <c r="D990" i="9" s="1"/>
  <c r="D991" i="9" s="1"/>
  <c r="D992" i="9" s="1"/>
  <c r="D993" i="9" s="1"/>
  <c r="D994" i="9" s="1"/>
  <c r="D995" i="9" s="1"/>
  <c r="D996" i="9" s="1"/>
  <c r="D997" i="9" s="1"/>
  <c r="D998" i="9" s="1"/>
  <c r="D999" i="9" s="1"/>
  <c r="D1000" i="9" s="1"/>
  <c r="D1001" i="9" s="1"/>
  <c r="J986" i="9"/>
  <c r="H999" i="9" s="1"/>
  <c r="C128" i="49"/>
  <c r="B129" i="49"/>
  <c r="O68" i="58"/>
  <c r="P67" i="58"/>
  <c r="B128" i="44"/>
  <c r="C127" i="44"/>
  <c r="D1002" i="9" l="1"/>
  <c r="D1003" i="9" s="1"/>
  <c r="D1004" i="9" s="1"/>
  <c r="D1005" i="9" s="1"/>
  <c r="D1006" i="9" s="1"/>
  <c r="D1007" i="9" s="1"/>
  <c r="D1008" i="9" s="1"/>
  <c r="D1009" i="9" s="1"/>
  <c r="J1001" i="9"/>
  <c r="H1007" i="9" s="1"/>
  <c r="C129" i="49"/>
  <c r="B130" i="49"/>
  <c r="P68" i="58"/>
  <c r="O69" i="58"/>
  <c r="B129" i="44"/>
  <c r="C128" i="44"/>
  <c r="C1016" i="9"/>
  <c r="C1017" i="9"/>
  <c r="C1018" i="9" s="1"/>
  <c r="C1019" i="9" s="1"/>
  <c r="C1020" i="9" s="1"/>
  <c r="C1021" i="9" s="1"/>
  <c r="C1022" i="9" s="1"/>
  <c r="C1023" i="9" s="1"/>
  <c r="C1024" i="9" s="1"/>
  <c r="C1025" i="9" s="1"/>
  <c r="C1026" i="9" s="1"/>
  <c r="C1027" i="9" s="1"/>
  <c r="C1028" i="9" s="1"/>
  <c r="B131" i="49" l="1"/>
  <c r="C130" i="49"/>
  <c r="C129" i="44"/>
  <c r="B130" i="44"/>
  <c r="C1029" i="9"/>
  <c r="C1030" i="9" s="1"/>
  <c r="C1031" i="9" s="1"/>
  <c r="C1032" i="9" s="1"/>
  <c r="C1033" i="9" s="1"/>
  <c r="C1034" i="9" s="1"/>
  <c r="C1035" i="9" s="1"/>
  <c r="C1036" i="9" s="1"/>
  <c r="C1037" i="9" s="1"/>
  <c r="C1038" i="9" s="1"/>
  <c r="C1039" i="9" s="1"/>
  <c r="C1040" i="9" s="1"/>
  <c r="C1041" i="9" s="1"/>
  <c r="O70" i="58"/>
  <c r="P69" i="58"/>
  <c r="D1010" i="9"/>
  <c r="D1011" i="9" s="1"/>
  <c r="D1012" i="9" s="1"/>
  <c r="D1013" i="9" s="1"/>
  <c r="D1014" i="9" s="1"/>
  <c r="D1015" i="9" s="1"/>
  <c r="J1009" i="9"/>
  <c r="H1026" i="9" s="1"/>
  <c r="C130" i="44" l="1"/>
  <c r="B131" i="44"/>
  <c r="O71" i="58"/>
  <c r="P70" i="58"/>
  <c r="D1017" i="9"/>
  <c r="D1018" i="9" s="1"/>
  <c r="D1019" i="9" s="1"/>
  <c r="D1020" i="9" s="1"/>
  <c r="D1021" i="9" s="1"/>
  <c r="D1022" i="9" s="1"/>
  <c r="D1023" i="9" s="1"/>
  <c r="D1024" i="9" s="1"/>
  <c r="D1025" i="9" s="1"/>
  <c r="D1026" i="9" s="1"/>
  <c r="D1027" i="9" s="1"/>
  <c r="D1028" i="9" s="1"/>
  <c r="D1016" i="9"/>
  <c r="C1042" i="9"/>
  <c r="C1043" i="9" s="1"/>
  <c r="C1044" i="9" s="1"/>
  <c r="C1045" i="9" s="1"/>
  <c r="C1046" i="9" s="1"/>
  <c r="C1047" i="9" s="1"/>
  <c r="C1048" i="9" s="1"/>
  <c r="C131" i="49"/>
  <c r="B132" i="49"/>
  <c r="C1049" i="9" l="1"/>
  <c r="C1050" i="9" s="1"/>
  <c r="C1051" i="9" s="1"/>
  <c r="C1052" i="9" s="1"/>
  <c r="C1053" i="9" s="1"/>
  <c r="C1054" i="9" s="1"/>
  <c r="C1055" i="9" s="1"/>
  <c r="C1056" i="9" s="1"/>
  <c r="C1057" i="9" s="1"/>
  <c r="C1058" i="9" s="1"/>
  <c r="C1059" i="9" s="1"/>
  <c r="C1060" i="9" s="1"/>
  <c r="O72" i="58"/>
  <c r="P71" i="58"/>
  <c r="C132" i="49"/>
  <c r="B133" i="49"/>
  <c r="C131" i="44"/>
  <c r="B132" i="44"/>
  <c r="D1029" i="9"/>
  <c r="D1030" i="9" s="1"/>
  <c r="D1031" i="9" s="1"/>
  <c r="D1032" i="9" s="1"/>
  <c r="D1033" i="9" s="1"/>
  <c r="D1034" i="9" s="1"/>
  <c r="D1035" i="9" s="1"/>
  <c r="D1036" i="9" s="1"/>
  <c r="D1037" i="9" s="1"/>
  <c r="D1038" i="9" s="1"/>
  <c r="D1039" i="9" s="1"/>
  <c r="D1040" i="9" s="1"/>
  <c r="D1041" i="9" s="1"/>
  <c r="J1028" i="9"/>
  <c r="H1039" i="9" s="1"/>
  <c r="D1042" i="9" l="1"/>
  <c r="D1043" i="9" s="1"/>
  <c r="D1044" i="9" s="1"/>
  <c r="D1045" i="9" s="1"/>
  <c r="D1046" i="9" s="1"/>
  <c r="D1047" i="9" s="1"/>
  <c r="D1048" i="9" s="1"/>
  <c r="J1041" i="9"/>
  <c r="H1046" i="9" s="1"/>
  <c r="B133" i="44"/>
  <c r="C132" i="44"/>
  <c r="O73" i="58"/>
  <c r="P72" i="58"/>
  <c r="B134" i="49"/>
  <c r="B135" i="49" s="1"/>
  <c r="B136" i="49" s="1"/>
  <c r="B137" i="49" s="1"/>
  <c r="C133" i="49"/>
  <c r="C1061" i="9"/>
  <c r="C1062" i="9" s="1"/>
  <c r="C1063" i="9" s="1"/>
  <c r="C1064" i="9" s="1"/>
  <c r="C1065" i="9" s="1"/>
  <c r="C1066" i="9" s="1"/>
  <c r="C1067" i="9" s="1"/>
  <c r="C1068" i="9" s="1"/>
  <c r="B138" i="49" l="1"/>
  <c r="C137" i="49"/>
  <c r="C133" i="44"/>
  <c r="B134" i="44"/>
  <c r="C1069" i="9"/>
  <c r="C1070" i="9" s="1"/>
  <c r="C1071" i="9" s="1"/>
  <c r="C1072" i="9" s="1"/>
  <c r="C1073" i="9" s="1"/>
  <c r="C1074" i="9" s="1"/>
  <c r="C1075" i="9" s="1"/>
  <c r="C1076" i="9" s="1"/>
  <c r="C1077" i="9" s="1"/>
  <c r="O74" i="58"/>
  <c r="P73" i="58"/>
  <c r="D1049" i="9"/>
  <c r="D1050" i="9" s="1"/>
  <c r="D1051" i="9" s="1"/>
  <c r="D1052" i="9" s="1"/>
  <c r="D1053" i="9" s="1"/>
  <c r="D1054" i="9" s="1"/>
  <c r="D1055" i="9" s="1"/>
  <c r="D1056" i="9" s="1"/>
  <c r="D1057" i="9" s="1"/>
  <c r="D1058" i="9" s="1"/>
  <c r="D1059" i="9" s="1"/>
  <c r="D1060" i="9" s="1"/>
  <c r="J1048" i="9"/>
  <c r="H1058" i="9" s="1"/>
  <c r="B135" i="44" l="1"/>
  <c r="C134" i="44"/>
  <c r="O75" i="58"/>
  <c r="P74" i="58"/>
  <c r="D1061" i="9"/>
  <c r="D1062" i="9" s="1"/>
  <c r="D1063" i="9" s="1"/>
  <c r="D1064" i="9" s="1"/>
  <c r="D1065" i="9" s="1"/>
  <c r="D1066" i="9" s="1"/>
  <c r="D1067" i="9" s="1"/>
  <c r="D1068" i="9" s="1"/>
  <c r="J1060" i="9"/>
  <c r="H1066" i="9" s="1"/>
  <c r="C1078" i="9"/>
  <c r="C1079" i="9" s="1"/>
  <c r="C138" i="49"/>
  <c r="B139" i="49"/>
  <c r="C139" i="49" l="1"/>
  <c r="B140" i="49"/>
  <c r="C1080" i="9"/>
  <c r="C1081" i="9" s="1"/>
  <c r="C1082" i="9" s="1"/>
  <c r="C1083" i="9" s="1"/>
  <c r="C1084" i="9" s="1"/>
  <c r="C1085" i="9" s="1"/>
  <c r="C1086" i="9" s="1"/>
  <c r="O76" i="58"/>
  <c r="P75" i="58"/>
  <c r="D1069" i="9"/>
  <c r="D1070" i="9" s="1"/>
  <c r="D1071" i="9" s="1"/>
  <c r="D1072" i="9" s="1"/>
  <c r="D1073" i="9" s="1"/>
  <c r="D1074" i="9" s="1"/>
  <c r="D1075" i="9" s="1"/>
  <c r="D1076" i="9" s="1"/>
  <c r="D1077" i="9" s="1"/>
  <c r="J1068" i="9"/>
  <c r="H1075" i="9" s="1"/>
  <c r="B136" i="44"/>
  <c r="C135" i="44"/>
  <c r="D1078" i="9" l="1"/>
  <c r="D1079" i="9" s="1"/>
  <c r="H1077" i="9"/>
  <c r="C1087" i="9"/>
  <c r="C1088" i="9" s="1"/>
  <c r="C1089" i="9" s="1"/>
  <c r="C1090" i="9" s="1"/>
  <c r="C1091" i="9" s="1"/>
  <c r="C1092" i="9" s="1"/>
  <c r="C1093" i="9" s="1"/>
  <c r="C1094" i="9" s="1"/>
  <c r="C1095" i="9" s="1"/>
  <c r="C1096" i="9" s="1"/>
  <c r="C1097" i="9" s="1"/>
  <c r="C1098" i="9" s="1"/>
  <c r="C1099" i="9" s="1"/>
  <c r="C1100" i="9" s="1"/>
  <c r="C1101" i="9" s="1"/>
  <c r="B141" i="49"/>
  <c r="C140" i="49"/>
  <c r="C136" i="44"/>
  <c r="B137" i="44"/>
  <c r="P76" i="58"/>
  <c r="O77" i="58"/>
  <c r="O78" i="58" l="1"/>
  <c r="P77" i="58"/>
  <c r="B138" i="44"/>
  <c r="C137" i="44"/>
  <c r="C1102" i="9"/>
  <c r="C1103" i="9" s="1"/>
  <c r="C1104" i="9" s="1"/>
  <c r="C1105" i="9" s="1"/>
  <c r="C1106" i="9" s="1"/>
  <c r="C1107" i="9" s="1"/>
  <c r="C1108" i="9" s="1"/>
  <c r="C1109" i="9" s="1"/>
  <c r="B142" i="49"/>
  <c r="C141" i="49"/>
  <c r="D1080" i="9"/>
  <c r="D1081" i="9" s="1"/>
  <c r="D1082" i="9" s="1"/>
  <c r="D1083" i="9" s="1"/>
  <c r="D1084" i="9" s="1"/>
  <c r="D1085" i="9" s="1"/>
  <c r="D1086" i="9" s="1"/>
  <c r="J1079" i="9"/>
  <c r="H1084" i="9" s="1"/>
  <c r="B143" i="49" l="1"/>
  <c r="B144" i="49" s="1"/>
  <c r="C142" i="49"/>
  <c r="B139" i="44"/>
  <c r="B140" i="44" s="1"/>
  <c r="B141" i="44" s="1"/>
  <c r="B142" i="44" s="1"/>
  <c r="C138" i="44"/>
  <c r="C1110" i="9"/>
  <c r="C1111" i="9" s="1"/>
  <c r="C1112" i="9" s="1"/>
  <c r="C1113" i="9" s="1"/>
  <c r="C1114" i="9" s="1"/>
  <c r="C1115" i="9" s="1"/>
  <c r="C1117" i="9" s="1"/>
  <c r="C1121" i="9" s="1"/>
  <c r="C1122" i="9" s="1"/>
  <c r="C1123" i="9" s="1"/>
  <c r="C1124" i="9" s="1"/>
  <c r="C1125" i="9" s="1"/>
  <c r="D1087" i="9"/>
  <c r="D1088" i="9" s="1"/>
  <c r="D1089" i="9" s="1"/>
  <c r="D1090" i="9" s="1"/>
  <c r="D1091" i="9" s="1"/>
  <c r="D1092" i="9" s="1"/>
  <c r="D1093" i="9" s="1"/>
  <c r="D1094" i="9" s="1"/>
  <c r="D1095" i="9" s="1"/>
  <c r="D1096" i="9" s="1"/>
  <c r="D1097" i="9" s="1"/>
  <c r="D1098" i="9" s="1"/>
  <c r="D1099" i="9" s="1"/>
  <c r="D1100" i="9" s="1"/>
  <c r="D1101" i="9" s="1"/>
  <c r="J1086" i="9"/>
  <c r="H1099" i="9" s="1"/>
  <c r="O79" i="58"/>
  <c r="P78" i="58"/>
  <c r="D1102" i="9" l="1"/>
  <c r="D1103" i="9" s="1"/>
  <c r="D1104" i="9" s="1"/>
  <c r="D1105" i="9" s="1"/>
  <c r="D1106" i="9" s="1"/>
  <c r="D1107" i="9" s="1"/>
  <c r="D1108" i="9" s="1"/>
  <c r="D1109" i="9" s="1"/>
  <c r="J1101" i="9"/>
  <c r="H1107" i="9" s="1"/>
  <c r="B143" i="44"/>
  <c r="C142" i="44"/>
  <c r="O80" i="58"/>
  <c r="P79" i="58"/>
  <c r="C1126" i="9"/>
  <c r="C1127" i="9" s="1"/>
  <c r="C1128" i="9" s="1"/>
  <c r="C1129" i="9" s="1"/>
  <c r="C1130" i="9" s="1"/>
  <c r="C1131" i="9" s="1"/>
  <c r="C1132" i="9" s="1"/>
  <c r="C1133" i="9" s="1"/>
  <c r="C1134" i="9" s="1"/>
  <c r="C1135" i="9" s="1"/>
  <c r="C1136" i="9" s="1"/>
  <c r="C1137" i="9" s="1"/>
  <c r="C1138" i="9" s="1"/>
  <c r="B145" i="49"/>
  <c r="C144" i="49"/>
  <c r="C1139" i="9" l="1"/>
  <c r="C1140" i="9" s="1"/>
  <c r="C1141" i="9" s="1"/>
  <c r="C1142" i="9" s="1"/>
  <c r="C1143" i="9" s="1"/>
  <c r="C1144" i="9" s="1"/>
  <c r="C143" i="44"/>
  <c r="B144" i="44"/>
  <c r="B146" i="49"/>
  <c r="C145" i="49"/>
  <c r="O81" i="58"/>
  <c r="P80" i="58"/>
  <c r="D1110" i="9"/>
  <c r="D1111" i="9" s="1"/>
  <c r="D1112" i="9" s="1"/>
  <c r="D1113" i="9" s="1"/>
  <c r="D1114" i="9" s="1"/>
  <c r="D1115" i="9" s="1"/>
  <c r="D1116" i="9" s="1"/>
  <c r="D1117" i="9" s="1"/>
  <c r="D1118" i="9" s="1"/>
  <c r="D1119" i="9" s="1"/>
  <c r="D1120" i="9" s="1"/>
  <c r="D1121" i="9" s="1"/>
  <c r="D1122" i="9" s="1"/>
  <c r="D1123" i="9" s="1"/>
  <c r="D1124" i="9" s="1"/>
  <c r="D1125" i="9" s="1"/>
  <c r="J1109" i="9"/>
  <c r="H1123" i="9" s="1"/>
  <c r="B145" i="44" l="1"/>
  <c r="C144" i="44"/>
  <c r="P81" i="58"/>
  <c r="O82" i="58"/>
  <c r="C1145" i="9"/>
  <c r="C1146" i="9" s="1"/>
  <c r="C1147" i="9" s="1"/>
  <c r="C1148" i="9" s="1"/>
  <c r="C1149" i="9" s="1"/>
  <c r="C1150" i="9" s="1"/>
  <c r="C1151" i="9" s="1"/>
  <c r="C1152" i="9" s="1"/>
  <c r="C1153" i="9" s="1"/>
  <c r="C1154" i="9" s="1"/>
  <c r="C1155" i="9" s="1"/>
  <c r="D1126" i="9"/>
  <c r="D1127" i="9" s="1"/>
  <c r="D1128" i="9" s="1"/>
  <c r="D1129" i="9" s="1"/>
  <c r="D1130" i="9" s="1"/>
  <c r="D1131" i="9" s="1"/>
  <c r="D1132" i="9" s="1"/>
  <c r="D1133" i="9" s="1"/>
  <c r="D1134" i="9" s="1"/>
  <c r="D1135" i="9" s="1"/>
  <c r="D1136" i="9" s="1"/>
  <c r="D1137" i="9" s="1"/>
  <c r="D1138" i="9" s="1"/>
  <c r="J1125" i="9"/>
  <c r="H1136" i="9" s="1"/>
  <c r="C146" i="49"/>
  <c r="B147" i="49"/>
  <c r="B148" i="49" s="1"/>
  <c r="P82" i="58" l="1"/>
  <c r="O83" i="58"/>
  <c r="D1139" i="9"/>
  <c r="D1140" i="9" s="1"/>
  <c r="D1141" i="9" s="1"/>
  <c r="D1142" i="9" s="1"/>
  <c r="D1143" i="9" s="1"/>
  <c r="D1144" i="9" s="1"/>
  <c r="J1138" i="9"/>
  <c r="H1142" i="9" s="1"/>
  <c r="C148" i="49"/>
  <c r="B149" i="49"/>
  <c r="C1156" i="9"/>
  <c r="C1157" i="9" s="1"/>
  <c r="C1158" i="9" s="1"/>
  <c r="C1159" i="9" s="1"/>
  <c r="C1160" i="9" s="1"/>
  <c r="C1161" i="9" s="1"/>
  <c r="C1162" i="9" s="1"/>
  <c r="C1163" i="9" s="1"/>
  <c r="C1164" i="9" s="1"/>
  <c r="C1165" i="9" s="1"/>
  <c r="B146" i="44"/>
  <c r="C145" i="44"/>
  <c r="D1145" i="9" l="1"/>
  <c r="D1146" i="9" s="1"/>
  <c r="D1147" i="9" s="1"/>
  <c r="D1148" i="9" s="1"/>
  <c r="D1149" i="9" s="1"/>
  <c r="D1150" i="9" s="1"/>
  <c r="D1151" i="9" s="1"/>
  <c r="D1152" i="9" s="1"/>
  <c r="D1153" i="9" s="1"/>
  <c r="D1154" i="9" s="1"/>
  <c r="D1155" i="9" s="1"/>
  <c r="J1144" i="9"/>
  <c r="H1153" i="9" s="1"/>
  <c r="C1166" i="9"/>
  <c r="C1167" i="9" s="1"/>
  <c r="C1168" i="9" s="1"/>
  <c r="C1169" i="9" s="1"/>
  <c r="C1170" i="9" s="1"/>
  <c r="C1171" i="9" s="1"/>
  <c r="C1172" i="9" s="1"/>
  <c r="C1173" i="9" s="1"/>
  <c r="C1174" i="9" s="1"/>
  <c r="C1175" i="9" s="1"/>
  <c r="C1176" i="9" s="1"/>
  <c r="B150" i="49"/>
  <c r="C149" i="49"/>
  <c r="P83" i="58"/>
  <c r="O84" i="58"/>
  <c r="B147" i="44"/>
  <c r="C146" i="44"/>
  <c r="O85" i="58" l="1"/>
  <c r="P84" i="58"/>
  <c r="C1177" i="9"/>
  <c r="C1178" i="9" s="1"/>
  <c r="C1179" i="9" s="1"/>
  <c r="C1180" i="9" s="1"/>
  <c r="C1181" i="9" s="1"/>
  <c r="C1182" i="9" s="1"/>
  <c r="C1183" i="9" s="1"/>
  <c r="C1184" i="9" s="1"/>
  <c r="B148" i="44"/>
  <c r="B149" i="44" s="1"/>
  <c r="C147" i="44"/>
  <c r="C150" i="49"/>
  <c r="B151" i="49"/>
  <c r="B152" i="49" s="1"/>
  <c r="D1156" i="9"/>
  <c r="D1157" i="9" s="1"/>
  <c r="D1158" i="9" s="1"/>
  <c r="D1159" i="9" s="1"/>
  <c r="D1160" i="9" s="1"/>
  <c r="D1161" i="9" s="1"/>
  <c r="D1162" i="9" s="1"/>
  <c r="D1163" i="9" s="1"/>
  <c r="D1164" i="9" s="1"/>
  <c r="D1165" i="9" s="1"/>
  <c r="J1155" i="9"/>
  <c r="H1163" i="9" s="1"/>
  <c r="B153" i="49" l="1"/>
  <c r="C152" i="49"/>
  <c r="C1185" i="9"/>
  <c r="C1186" i="9" s="1"/>
  <c r="D1166" i="9"/>
  <c r="D1167" i="9" s="1"/>
  <c r="D1168" i="9" s="1"/>
  <c r="D1169" i="9" s="1"/>
  <c r="D1170" i="9" s="1"/>
  <c r="D1171" i="9" s="1"/>
  <c r="D1172" i="9" s="1"/>
  <c r="D1173" i="9" s="1"/>
  <c r="D1174" i="9" s="1"/>
  <c r="D1175" i="9" s="1"/>
  <c r="D1176" i="9" s="1"/>
  <c r="J1165" i="9"/>
  <c r="H1174" i="9" s="1"/>
  <c r="C149" i="44"/>
  <c r="B150" i="44"/>
  <c r="P85" i="58"/>
  <c r="O86" i="58"/>
  <c r="O87" i="58" l="1"/>
  <c r="P86" i="58"/>
  <c r="C150" i="44"/>
  <c r="B151" i="44"/>
  <c r="C1187" i="9"/>
  <c r="C1188" i="9" s="1"/>
  <c r="D1177" i="9"/>
  <c r="D1178" i="9" s="1"/>
  <c r="D1179" i="9" s="1"/>
  <c r="D1180" i="9" s="1"/>
  <c r="D1181" i="9" s="1"/>
  <c r="D1182" i="9" s="1"/>
  <c r="D1183" i="9" s="1"/>
  <c r="D1184" i="9" s="1"/>
  <c r="J1176" i="9"/>
  <c r="H1182" i="9" s="1"/>
  <c r="C153" i="49"/>
  <c r="B154" i="49"/>
  <c r="B152" i="44" l="1"/>
  <c r="B153" i="44" s="1"/>
  <c r="C151" i="44"/>
  <c r="D1185" i="9"/>
  <c r="D1186" i="9" s="1"/>
  <c r="H1184" i="9"/>
  <c r="B155" i="49"/>
  <c r="C154" i="49"/>
  <c r="C1190" i="9"/>
  <c r="C1192" i="9" s="1"/>
  <c r="C1194" i="9" s="1"/>
  <c r="C1196" i="9" s="1"/>
  <c r="C1198" i="9" s="1"/>
  <c r="C1199" i="9" s="1"/>
  <c r="C1200" i="9" s="1"/>
  <c r="C1201" i="9" s="1"/>
  <c r="C1189" i="9"/>
  <c r="C1191" i="9" s="1"/>
  <c r="C1193" i="9" s="1"/>
  <c r="C1195" i="9" s="1"/>
  <c r="C1197" i="9" s="1"/>
  <c r="O88" i="58"/>
  <c r="P87" i="58"/>
  <c r="C1202" i="9" l="1"/>
  <c r="C1203" i="9" s="1"/>
  <c r="C1204" i="9" s="1"/>
  <c r="C1205" i="9" s="1"/>
  <c r="C1206" i="9" s="1"/>
  <c r="C1207" i="9" s="1"/>
  <c r="C1208" i="9" s="1"/>
  <c r="C1209" i="9" s="1"/>
  <c r="C1210" i="9" s="1"/>
  <c r="C1211" i="9" s="1"/>
  <c r="C1212" i="9" s="1"/>
  <c r="C1213" i="9" s="1"/>
  <c r="C1214" i="9" s="1"/>
  <c r="C1215" i="9" s="1"/>
  <c r="C1216" i="9" s="1"/>
  <c r="C1217" i="9" s="1"/>
  <c r="C1218" i="9" s="1"/>
  <c r="D1187" i="9"/>
  <c r="D1188" i="9" s="1"/>
  <c r="J1186" i="9"/>
  <c r="H1199" i="9" s="1"/>
  <c r="P88" i="58"/>
  <c r="O89" i="58"/>
  <c r="C155" i="49"/>
  <c r="B156" i="49"/>
  <c r="B154" i="44"/>
  <c r="C153" i="44"/>
  <c r="D1189" i="9" l="1"/>
  <c r="D1191" i="9" s="1"/>
  <c r="D1193" i="9" s="1"/>
  <c r="D1195" i="9" s="1"/>
  <c r="D1197" i="9" s="1"/>
  <c r="D1190" i="9"/>
  <c r="D1192" i="9" s="1"/>
  <c r="D1194" i="9" s="1"/>
  <c r="D1196" i="9" s="1"/>
  <c r="D1198" i="9" s="1"/>
  <c r="D1199" i="9" s="1"/>
  <c r="D1200" i="9" s="1"/>
  <c r="D1201" i="9" s="1"/>
  <c r="O90" i="58"/>
  <c r="P89" i="58"/>
  <c r="B157" i="49"/>
  <c r="C156" i="49"/>
  <c r="C1219" i="9"/>
  <c r="C1220" i="9" s="1"/>
  <c r="C1221" i="9" s="1"/>
  <c r="C1222" i="9" s="1"/>
  <c r="C1223" i="9" s="1"/>
  <c r="C1224" i="9" s="1"/>
  <c r="B155" i="44"/>
  <c r="C154" i="44"/>
  <c r="C1225" i="9" l="1"/>
  <c r="C1226" i="9" s="1"/>
  <c r="C1227" i="9" s="1"/>
  <c r="C1228" i="9" s="1"/>
  <c r="C1229" i="9" s="1"/>
  <c r="C1230" i="9" s="1"/>
  <c r="C1231" i="9" s="1"/>
  <c r="C1232" i="9" s="1"/>
  <c r="C1233" i="9" s="1"/>
  <c r="C1234" i="9" s="1"/>
  <c r="C1235" i="9" s="1"/>
  <c r="C1236" i="9" s="1"/>
  <c r="C1237" i="9" s="1"/>
  <c r="C1238" i="9" s="1"/>
  <c r="P90" i="58"/>
  <c r="O91" i="58"/>
  <c r="D1202" i="9"/>
  <c r="D1203" i="9" s="1"/>
  <c r="D1204" i="9" s="1"/>
  <c r="D1205" i="9" s="1"/>
  <c r="D1206" i="9" s="1"/>
  <c r="D1207" i="9" s="1"/>
  <c r="D1208" i="9" s="1"/>
  <c r="D1209" i="9" s="1"/>
  <c r="D1210" i="9" s="1"/>
  <c r="D1211" i="9" s="1"/>
  <c r="D1212" i="9" s="1"/>
  <c r="D1213" i="9" s="1"/>
  <c r="D1214" i="9" s="1"/>
  <c r="D1215" i="9" s="1"/>
  <c r="D1216" i="9" s="1"/>
  <c r="D1217" i="9" s="1"/>
  <c r="D1218" i="9" s="1"/>
  <c r="J1201" i="9"/>
  <c r="H1216" i="9" s="1"/>
  <c r="C155" i="44"/>
  <c r="B156" i="44"/>
  <c r="B157" i="44" s="1"/>
  <c r="B158" i="49"/>
  <c r="C157" i="49"/>
  <c r="C158" i="49" l="1"/>
  <c r="B159" i="49"/>
  <c r="C157" i="44"/>
  <c r="B158" i="44"/>
  <c r="P91" i="58"/>
  <c r="O92" i="58"/>
  <c r="C1239" i="9"/>
  <c r="C1240" i="9" s="1"/>
  <c r="C1241" i="9" s="1"/>
  <c r="C1242" i="9" s="1"/>
  <c r="C1243" i="9" s="1"/>
  <c r="C1244" i="9" s="1"/>
  <c r="C1245" i="9" s="1"/>
  <c r="C1246" i="9" s="1"/>
  <c r="C1247" i="9" s="1"/>
  <c r="C1248" i="9" s="1"/>
  <c r="D1219" i="9"/>
  <c r="D1220" i="9" s="1"/>
  <c r="D1221" i="9" s="1"/>
  <c r="D1222" i="9" s="1"/>
  <c r="D1223" i="9" s="1"/>
  <c r="D1224" i="9" s="1"/>
  <c r="J1218" i="9"/>
  <c r="H1222" i="9" s="1"/>
  <c r="D1225" i="9" l="1"/>
  <c r="D1226" i="9" s="1"/>
  <c r="D1227" i="9" s="1"/>
  <c r="D1228" i="9" s="1"/>
  <c r="D1229" i="9" s="1"/>
  <c r="D1230" i="9" s="1"/>
  <c r="D1231" i="9" s="1"/>
  <c r="D1232" i="9" s="1"/>
  <c r="D1233" i="9" s="1"/>
  <c r="D1234" i="9" s="1"/>
  <c r="D1235" i="9" s="1"/>
  <c r="D1236" i="9" s="1"/>
  <c r="D1237" i="9" s="1"/>
  <c r="D1238" i="9" s="1"/>
  <c r="J1224" i="9"/>
  <c r="H1236" i="9" s="1"/>
  <c r="B159" i="44"/>
  <c r="C158" i="44"/>
  <c r="O93" i="58"/>
  <c r="P92" i="58"/>
  <c r="C159" i="49"/>
  <c r="B160" i="49"/>
  <c r="C1249" i="9"/>
  <c r="C1250" i="9" s="1"/>
  <c r="C1251" i="9" s="1"/>
  <c r="C1252" i="9" s="1"/>
  <c r="C1253" i="9" s="1"/>
  <c r="C1254" i="9" s="1"/>
  <c r="C1255" i="9" s="1"/>
  <c r="C1256" i="9" s="1"/>
  <c r="C1257" i="9" s="1"/>
  <c r="C1258" i="9" s="1"/>
  <c r="C1259" i="9" s="1"/>
  <c r="C160" i="49" l="1"/>
  <c r="B161" i="49"/>
  <c r="C161" i="49" s="1"/>
  <c r="C159" i="44"/>
  <c r="B160" i="44"/>
  <c r="C1260" i="9"/>
  <c r="C1261" i="9" s="1"/>
  <c r="C1262" i="9" s="1"/>
  <c r="C1263" i="9" s="1"/>
  <c r="C1264" i="9" s="1"/>
  <c r="C1265" i="9" s="1"/>
  <c r="C1266" i="9" s="1"/>
  <c r="C1267" i="9" s="1"/>
  <c r="O94" i="58"/>
  <c r="P93" i="58"/>
  <c r="D1239" i="9"/>
  <c r="D1240" i="9" s="1"/>
  <c r="D1241" i="9" s="1"/>
  <c r="D1242" i="9" s="1"/>
  <c r="D1243" i="9" s="1"/>
  <c r="D1244" i="9" s="1"/>
  <c r="D1245" i="9" s="1"/>
  <c r="D1246" i="9" s="1"/>
  <c r="D1247" i="9" s="1"/>
  <c r="D1248" i="9" s="1"/>
  <c r="J1238" i="9"/>
  <c r="H1246" i="9" s="1"/>
  <c r="D1249" i="9" l="1"/>
  <c r="D1250" i="9" s="1"/>
  <c r="D1251" i="9" s="1"/>
  <c r="D1252" i="9" s="1"/>
  <c r="D1253" i="9" s="1"/>
  <c r="D1254" i="9" s="1"/>
  <c r="D1255" i="9" s="1"/>
  <c r="D1256" i="9" s="1"/>
  <c r="D1257" i="9" s="1"/>
  <c r="D1258" i="9" s="1"/>
  <c r="D1259" i="9" s="1"/>
  <c r="J1248" i="9"/>
  <c r="H1257" i="9" s="1"/>
  <c r="C160" i="44"/>
  <c r="B161" i="44"/>
  <c r="O95" i="58"/>
  <c r="P94" i="58"/>
  <c r="C1268" i="9"/>
  <c r="C1269" i="9" s="1"/>
  <c r="H85" i="9"/>
  <c r="I84" i="9"/>
  <c r="M59" i="9"/>
  <c r="H132" i="9"/>
  <c r="I78" i="9"/>
  <c r="H77" i="9"/>
  <c r="M151" i="9"/>
  <c r="H86" i="9"/>
  <c r="H131" i="9"/>
  <c r="I60" i="9"/>
  <c r="I102" i="9"/>
  <c r="H133" i="9"/>
  <c r="M57" i="9"/>
  <c r="I64" i="9"/>
  <c r="M65" i="9"/>
  <c r="M92" i="9"/>
  <c r="M64" i="9"/>
  <c r="H59" i="9"/>
  <c r="H141" i="9"/>
  <c r="M116" i="9"/>
  <c r="H94" i="9"/>
  <c r="M86" i="9"/>
  <c r="I139" i="9"/>
  <c r="I69" i="9"/>
  <c r="H102" i="9"/>
  <c r="H69" i="9"/>
  <c r="M150" i="9"/>
  <c r="H150" i="9"/>
  <c r="M61" i="9"/>
  <c r="M141" i="9"/>
  <c r="H67" i="9"/>
  <c r="H63" i="9"/>
  <c r="I67" i="9"/>
  <c r="H125" i="9"/>
  <c r="H123" i="9"/>
  <c r="I150" i="9"/>
  <c r="M62" i="9"/>
  <c r="H92" i="9"/>
  <c r="M132" i="9"/>
  <c r="H58" i="9"/>
  <c r="M149" i="9"/>
  <c r="M101" i="9"/>
  <c r="I61" i="9"/>
  <c r="M63" i="9"/>
  <c r="I93" i="9"/>
  <c r="H57" i="9"/>
  <c r="H116" i="9"/>
  <c r="M78" i="9"/>
  <c r="H78" i="9"/>
  <c r="M139" i="9"/>
  <c r="I151" i="9"/>
  <c r="I115" i="9"/>
  <c r="H60" i="9"/>
  <c r="I94" i="9"/>
  <c r="H139" i="9"/>
  <c r="M60" i="9"/>
  <c r="I131" i="9"/>
  <c r="H151" i="9"/>
  <c r="I108" i="9"/>
  <c r="I133" i="9"/>
  <c r="I59" i="9"/>
  <c r="M115" i="9"/>
  <c r="I68" i="9"/>
  <c r="I114" i="9"/>
  <c r="H70" i="9"/>
  <c r="M71" i="9"/>
  <c r="H62" i="9"/>
  <c r="H122" i="9"/>
  <c r="M133" i="9"/>
  <c r="H147" i="9"/>
  <c r="M108" i="9"/>
  <c r="H124" i="9"/>
  <c r="M102" i="9"/>
  <c r="I149" i="9"/>
  <c r="M100" i="9"/>
  <c r="M125" i="9"/>
  <c r="I71" i="9"/>
  <c r="H68" i="9"/>
  <c r="H148" i="9"/>
  <c r="M69" i="9"/>
  <c r="M123" i="9"/>
  <c r="H140" i="9"/>
  <c r="H65" i="9"/>
  <c r="I70" i="9"/>
  <c r="M68" i="9"/>
  <c r="I86" i="9"/>
  <c r="I124" i="9"/>
  <c r="I123" i="9"/>
  <c r="M94" i="9"/>
  <c r="H93" i="9"/>
  <c r="I116" i="9"/>
  <c r="I92" i="9"/>
  <c r="I132" i="9"/>
  <c r="I63" i="9"/>
  <c r="H100" i="9"/>
  <c r="I122" i="9"/>
  <c r="I100" i="9"/>
  <c r="M85" i="9"/>
  <c r="M148" i="9"/>
  <c r="I57" i="9"/>
  <c r="I101" i="9"/>
  <c r="H64" i="9"/>
  <c r="M131" i="9"/>
  <c r="M122" i="9"/>
  <c r="I141" i="9"/>
  <c r="I66" i="9"/>
  <c r="M77" i="9"/>
  <c r="H66" i="9"/>
  <c r="M147" i="9"/>
  <c r="I65" i="9"/>
  <c r="M140" i="9"/>
  <c r="M66" i="9"/>
  <c r="M67" i="9"/>
  <c r="I85" i="9"/>
  <c r="H108" i="9"/>
  <c r="I147" i="9"/>
  <c r="H114" i="9"/>
  <c r="M93" i="9"/>
  <c r="I62" i="9"/>
  <c r="H84" i="9"/>
  <c r="I77" i="9"/>
  <c r="M124" i="9"/>
  <c r="H71" i="9"/>
  <c r="H101" i="9"/>
  <c r="M58" i="9"/>
  <c r="M114" i="9"/>
  <c r="I125" i="9"/>
  <c r="M84" i="9"/>
  <c r="I140" i="9"/>
  <c r="M70" i="9"/>
  <c r="I148" i="9"/>
  <c r="H149" i="9"/>
  <c r="H61" i="9"/>
  <c r="I58" i="9"/>
  <c r="H115" i="9"/>
  <c r="K149" i="9" l="1"/>
  <c r="L149" i="9"/>
  <c r="N149" i="9"/>
  <c r="O149" i="9" s="1"/>
  <c r="L101" i="9"/>
  <c r="N101" i="9"/>
  <c r="O101" i="9" s="1"/>
  <c r="K101" i="9"/>
  <c r="N84" i="9"/>
  <c r="O84" i="9" s="1"/>
  <c r="P84" i="9" s="1"/>
  <c r="K84" i="9"/>
  <c r="L84" i="9"/>
  <c r="N66" i="9"/>
  <c r="O66" i="9" s="1"/>
  <c r="P66" i="9" s="1"/>
  <c r="L66" i="9"/>
  <c r="K66" i="9"/>
  <c r="K124" i="9"/>
  <c r="L124" i="9"/>
  <c r="N124" i="9"/>
  <c r="O124" i="9" s="1"/>
  <c r="L122" i="9"/>
  <c r="N122" i="9"/>
  <c r="O122" i="9" s="1"/>
  <c r="P122" i="9" s="1"/>
  <c r="K122" i="9"/>
  <c r="P63" i="9"/>
  <c r="N58" i="9"/>
  <c r="O58" i="9" s="1"/>
  <c r="K58" i="9"/>
  <c r="L58" i="9"/>
  <c r="K63" i="9"/>
  <c r="L63" i="9"/>
  <c r="N63" i="9"/>
  <c r="O63" i="9" s="1"/>
  <c r="L150" i="9"/>
  <c r="N150" i="9"/>
  <c r="O150" i="9" s="1"/>
  <c r="K150" i="9"/>
  <c r="L133" i="9"/>
  <c r="K133" i="9"/>
  <c r="N133" i="9"/>
  <c r="O133" i="9" s="1"/>
  <c r="N86" i="9"/>
  <c r="O86" i="9" s="1"/>
  <c r="K86" i="9"/>
  <c r="L86" i="9"/>
  <c r="K132" i="9"/>
  <c r="N132" i="9"/>
  <c r="O132" i="9" s="1"/>
  <c r="L132" i="9"/>
  <c r="C1270" i="9"/>
  <c r="C1271" i="9" s="1"/>
  <c r="C1272" i="9" s="1"/>
  <c r="C1273" i="9" s="1"/>
  <c r="C1274" i="9" s="1"/>
  <c r="C1275" i="9" s="1"/>
  <c r="C1276" i="9" s="1"/>
  <c r="B162" i="44"/>
  <c r="C161" i="44"/>
  <c r="K115" i="9"/>
  <c r="L115" i="9"/>
  <c r="N115" i="9"/>
  <c r="O115" i="9" s="1"/>
  <c r="L71" i="9"/>
  <c r="K71" i="9"/>
  <c r="N71" i="9"/>
  <c r="O71" i="9" s="1"/>
  <c r="L100" i="9"/>
  <c r="K100" i="9"/>
  <c r="N100" i="9"/>
  <c r="O100" i="9" s="1"/>
  <c r="K65" i="9"/>
  <c r="L65" i="9"/>
  <c r="N65" i="9"/>
  <c r="O65" i="9" s="1"/>
  <c r="K148" i="9"/>
  <c r="L148" i="9"/>
  <c r="N148" i="9"/>
  <c r="O148" i="9" s="1"/>
  <c r="P148" i="9" s="1"/>
  <c r="P100" i="9"/>
  <c r="L62" i="9"/>
  <c r="K62" i="9"/>
  <c r="N62" i="9"/>
  <c r="O62" i="9" s="1"/>
  <c r="K139" i="9"/>
  <c r="N139" i="9"/>
  <c r="O139" i="9" s="1"/>
  <c r="L139" i="9"/>
  <c r="K116" i="9"/>
  <c r="N116" i="9"/>
  <c r="O116" i="9" s="1"/>
  <c r="P116" i="9" s="1"/>
  <c r="L116" i="9"/>
  <c r="P132" i="9"/>
  <c r="K123" i="9"/>
  <c r="N123" i="9"/>
  <c r="O123" i="9" s="1"/>
  <c r="L123" i="9"/>
  <c r="N67" i="9"/>
  <c r="O67" i="9" s="1"/>
  <c r="L67" i="9"/>
  <c r="K67" i="9"/>
  <c r="P150" i="9"/>
  <c r="K141" i="9"/>
  <c r="L141" i="9"/>
  <c r="N141" i="9"/>
  <c r="O141" i="9" s="1"/>
  <c r="P65" i="9"/>
  <c r="N108" i="9"/>
  <c r="O108" i="9" s="1"/>
  <c r="P108" i="9" s="1"/>
  <c r="P110" i="9" s="1"/>
  <c r="L108" i="9"/>
  <c r="K108" i="9"/>
  <c r="P124" i="9"/>
  <c r="L64" i="9"/>
  <c r="K64" i="9"/>
  <c r="N64" i="9"/>
  <c r="O64" i="9" s="1"/>
  <c r="K93" i="9"/>
  <c r="N93" i="9"/>
  <c r="O93" i="9" s="1"/>
  <c r="P93" i="9" s="1"/>
  <c r="L93" i="9"/>
  <c r="N140" i="9"/>
  <c r="O140" i="9" s="1"/>
  <c r="P140" i="9" s="1"/>
  <c r="K140" i="9"/>
  <c r="L140" i="9"/>
  <c r="K68" i="9"/>
  <c r="N68" i="9"/>
  <c r="O68" i="9" s="1"/>
  <c r="L68" i="9"/>
  <c r="K147" i="9"/>
  <c r="L147" i="9"/>
  <c r="N147" i="9"/>
  <c r="O147" i="9" s="1"/>
  <c r="P71" i="9"/>
  <c r="P115" i="9"/>
  <c r="K151" i="9"/>
  <c r="N151" i="9"/>
  <c r="O151" i="9" s="1"/>
  <c r="P151" i="9" s="1"/>
  <c r="L151" i="9"/>
  <c r="P139" i="9"/>
  <c r="K57" i="9"/>
  <c r="N57" i="9"/>
  <c r="O57" i="9" s="1"/>
  <c r="L57" i="9"/>
  <c r="P101" i="9"/>
  <c r="K92" i="9"/>
  <c r="N92" i="9"/>
  <c r="O92" i="9" s="1"/>
  <c r="P92" i="9" s="1"/>
  <c r="L92" i="9"/>
  <c r="N125" i="9"/>
  <c r="O125" i="9" s="1"/>
  <c r="P125" i="9" s="1"/>
  <c r="L125" i="9"/>
  <c r="K125" i="9"/>
  <c r="P141" i="9"/>
  <c r="K69" i="9"/>
  <c r="L69" i="9"/>
  <c r="N69" i="9"/>
  <c r="O69" i="9" s="1"/>
  <c r="P69" i="9" s="1"/>
  <c r="P86" i="9"/>
  <c r="N59" i="9"/>
  <c r="O59" i="9" s="1"/>
  <c r="P59" i="9" s="1"/>
  <c r="L59" i="9"/>
  <c r="K59" i="9"/>
  <c r="L77" i="9"/>
  <c r="N77" i="9"/>
  <c r="O77" i="9" s="1"/>
  <c r="P77" i="9" s="1"/>
  <c r="P80" i="9" s="1"/>
  <c r="K77" i="9"/>
  <c r="K61" i="9"/>
  <c r="L61" i="9"/>
  <c r="N61" i="9"/>
  <c r="O61" i="9" s="1"/>
  <c r="P61" i="9" s="1"/>
  <c r="P58" i="9"/>
  <c r="K114" i="9"/>
  <c r="N114" i="9"/>
  <c r="O114" i="9" s="1"/>
  <c r="P114" i="9" s="1"/>
  <c r="P118" i="9" s="1"/>
  <c r="L114" i="9"/>
  <c r="P67" i="9"/>
  <c r="P147" i="9"/>
  <c r="P68" i="9"/>
  <c r="P123" i="9"/>
  <c r="P133" i="9"/>
  <c r="K70" i="9"/>
  <c r="L70" i="9"/>
  <c r="N70" i="9"/>
  <c r="O70" i="9" s="1"/>
  <c r="P70" i="9" s="1"/>
  <c r="K60" i="9"/>
  <c r="N60" i="9"/>
  <c r="O60" i="9" s="1"/>
  <c r="P60" i="9" s="1"/>
  <c r="L60" i="9"/>
  <c r="L78" i="9"/>
  <c r="K78" i="9"/>
  <c r="N78" i="9"/>
  <c r="O78" i="9" s="1"/>
  <c r="P78" i="9" s="1"/>
  <c r="P149" i="9"/>
  <c r="P62" i="9"/>
  <c r="N102" i="9"/>
  <c r="O102" i="9" s="1"/>
  <c r="P102" i="9" s="1"/>
  <c r="K102" i="9"/>
  <c r="L102" i="9"/>
  <c r="N94" i="9"/>
  <c r="O94" i="9" s="1"/>
  <c r="P94" i="9" s="1"/>
  <c r="L94" i="9"/>
  <c r="K94" i="9"/>
  <c r="P64" i="9"/>
  <c r="P57" i="9"/>
  <c r="K131" i="9"/>
  <c r="L131" i="9"/>
  <c r="N131" i="9"/>
  <c r="O131" i="9" s="1"/>
  <c r="P131" i="9" s="1"/>
  <c r="P135" i="9" s="1"/>
  <c r="L85" i="9"/>
  <c r="K85" i="9"/>
  <c r="N85" i="9"/>
  <c r="O85" i="9" s="1"/>
  <c r="P85" i="9" s="1"/>
  <c r="O96" i="58"/>
  <c r="P95" i="58"/>
  <c r="D1260" i="9"/>
  <c r="D1261" i="9" s="1"/>
  <c r="D1262" i="9" s="1"/>
  <c r="D1263" i="9" s="1"/>
  <c r="D1264" i="9" s="1"/>
  <c r="D1265" i="9" s="1"/>
  <c r="D1266" i="9" s="1"/>
  <c r="D1267" i="9" s="1"/>
  <c r="J1259" i="9"/>
  <c r="H1265" i="9" s="1"/>
  <c r="P96" i="9" l="1"/>
  <c r="P88" i="9"/>
  <c r="P127" i="9"/>
  <c r="P153" i="9"/>
  <c r="C1277" i="9"/>
  <c r="C1278" i="9" s="1"/>
  <c r="C1279" i="9" s="1"/>
  <c r="C1280" i="9" s="1"/>
  <c r="C1281" i="9" s="1"/>
  <c r="C1282" i="9" s="1"/>
  <c r="C1283" i="9" s="1"/>
  <c r="C1284" i="9" s="1"/>
  <c r="C1285" i="9" s="1"/>
  <c r="C1286" i="9" s="1"/>
  <c r="C1287" i="9" s="1"/>
  <c r="C1288" i="9" s="1"/>
  <c r="C1289" i="9" s="1"/>
  <c r="C1290" i="9" s="1"/>
  <c r="C1291" i="9" s="1"/>
  <c r="O97" i="58"/>
  <c r="P96" i="58"/>
  <c r="D1268" i="9"/>
  <c r="D1269" i="9" s="1"/>
  <c r="H1267" i="9"/>
  <c r="P143" i="9"/>
  <c r="P73" i="9"/>
  <c r="P104" i="9"/>
  <c r="C162" i="44"/>
  <c r="B163" i="44"/>
  <c r="P28" i="9" l="1"/>
  <c r="P26" i="9" s="1"/>
  <c r="B164" i="44"/>
  <c r="C163" i="44"/>
  <c r="P97" i="58"/>
  <c r="O98" i="58"/>
  <c r="D1270" i="9"/>
  <c r="D1271" i="9" s="1"/>
  <c r="D1272" i="9" s="1"/>
  <c r="D1273" i="9" s="1"/>
  <c r="D1274" i="9" s="1"/>
  <c r="D1275" i="9" s="1"/>
  <c r="D1276" i="9" s="1"/>
  <c r="J1269" i="9"/>
  <c r="H1274" i="9" s="1"/>
  <c r="C1292" i="9"/>
  <c r="C1293" i="9" s="1"/>
  <c r="C1294" i="9" s="1"/>
  <c r="C1295" i="9" s="1"/>
  <c r="C1296" i="9" s="1"/>
  <c r="C1297" i="9" s="1"/>
  <c r="C1298" i="9" s="1"/>
  <c r="C1299" i="9" s="1"/>
  <c r="O99" i="58" l="1"/>
  <c r="P98" i="58"/>
  <c r="C1300" i="9"/>
  <c r="C1301" i="9" s="1"/>
  <c r="C1302" i="9" s="1"/>
  <c r="C1303" i="9" s="1"/>
  <c r="C1304" i="9" s="1"/>
  <c r="C1305" i="9" s="1"/>
  <c r="C1306" i="9" s="1"/>
  <c r="C1307" i="9" s="1"/>
  <c r="C1308" i="9" s="1"/>
  <c r="C1309" i="9" s="1"/>
  <c r="C1310" i="9" s="1"/>
  <c r="C1311" i="9" s="1"/>
  <c r="C1312" i="9" s="1"/>
  <c r="C1313" i="9" s="1"/>
  <c r="C1314" i="9" s="1"/>
  <c r="D1277" i="9"/>
  <c r="D1278" i="9" s="1"/>
  <c r="D1279" i="9" s="1"/>
  <c r="D1280" i="9" s="1"/>
  <c r="D1281" i="9" s="1"/>
  <c r="D1282" i="9" s="1"/>
  <c r="D1283" i="9" s="1"/>
  <c r="D1284" i="9" s="1"/>
  <c r="D1285" i="9" s="1"/>
  <c r="D1286" i="9" s="1"/>
  <c r="D1287" i="9" s="1"/>
  <c r="D1288" i="9" s="1"/>
  <c r="D1289" i="9" s="1"/>
  <c r="D1290" i="9" s="1"/>
  <c r="D1291" i="9" s="1"/>
  <c r="J1276" i="9"/>
  <c r="H1289" i="9" s="1"/>
  <c r="B165" i="44"/>
  <c r="C164" i="44"/>
  <c r="F17" i="18"/>
  <c r="C1315" i="9" l="1"/>
  <c r="C1316" i="9" s="1"/>
  <c r="C1317" i="9" s="1"/>
  <c r="C1318" i="9" s="1"/>
  <c r="C1319" i="9" s="1"/>
  <c r="C1320" i="9" s="1"/>
  <c r="C165" i="44"/>
  <c r="B166" i="44"/>
  <c r="C166" i="44" s="1"/>
  <c r="H31" i="47"/>
  <c r="J17" i="18"/>
  <c r="D1292" i="9"/>
  <c r="D1293" i="9" s="1"/>
  <c r="D1294" i="9" s="1"/>
  <c r="D1295" i="9" s="1"/>
  <c r="D1296" i="9" s="1"/>
  <c r="D1297" i="9" s="1"/>
  <c r="D1298" i="9" s="1"/>
  <c r="D1299" i="9" s="1"/>
  <c r="J1291" i="9"/>
  <c r="H1297" i="9" s="1"/>
  <c r="O100" i="58"/>
  <c r="P99" i="58"/>
  <c r="E17" i="18" l="1"/>
  <c r="M265" i="9"/>
  <c r="P265" i="9" s="1"/>
  <c r="P267" i="9" s="1"/>
  <c r="H308" i="9"/>
  <c r="H369" i="9"/>
  <c r="I298" i="9"/>
  <c r="M291" i="9"/>
  <c r="P291" i="9" s="1"/>
  <c r="H347" i="9"/>
  <c r="H284" i="9"/>
  <c r="M331" i="9"/>
  <c r="P331" i="9" s="1"/>
  <c r="H334" i="9"/>
  <c r="M328" i="9"/>
  <c r="P328" i="9" s="1"/>
  <c r="H274" i="9"/>
  <c r="H328" i="9"/>
  <c r="I278" i="9"/>
  <c r="M279" i="9"/>
  <c r="P279" i="9" s="1"/>
  <c r="M335" i="9"/>
  <c r="P335" i="9" s="1"/>
  <c r="I332" i="9"/>
  <c r="M346" i="9"/>
  <c r="P346" i="9" s="1"/>
  <c r="H372" i="9"/>
  <c r="M292" i="9"/>
  <c r="P292" i="9" s="1"/>
  <c r="M308" i="9"/>
  <c r="P308" i="9" s="1"/>
  <c r="I330" i="9"/>
  <c r="I345" i="9"/>
  <c r="H353" i="9"/>
  <c r="I307" i="9"/>
  <c r="H330" i="9"/>
  <c r="H354" i="9"/>
  <c r="M329" i="9"/>
  <c r="P329" i="9" s="1"/>
  <c r="M298" i="9"/>
  <c r="P298" i="9" s="1"/>
  <c r="H335" i="9"/>
  <c r="H333" i="9"/>
  <c r="I285" i="9"/>
  <c r="M284" i="9"/>
  <c r="P284" i="9" s="1"/>
  <c r="M281" i="9"/>
  <c r="P281" i="9" s="1"/>
  <c r="I284" i="9"/>
  <c r="H315" i="9"/>
  <c r="H361" i="9"/>
  <c r="I373" i="9"/>
  <c r="M285" i="9"/>
  <c r="P285" i="9" s="1"/>
  <c r="I334" i="9"/>
  <c r="H314" i="9"/>
  <c r="H371" i="9"/>
  <c r="I282" i="9"/>
  <c r="H271" i="9"/>
  <c r="H292" i="9"/>
  <c r="H363" i="9"/>
  <c r="M277" i="9"/>
  <c r="P277" i="9" s="1"/>
  <c r="M282" i="9"/>
  <c r="P282" i="9" s="1"/>
  <c r="I280" i="9"/>
  <c r="I343" i="9"/>
  <c r="I346" i="9"/>
  <c r="H275" i="9"/>
  <c r="I271" i="9"/>
  <c r="I314" i="9"/>
  <c r="I329" i="9"/>
  <c r="H322" i="9"/>
  <c r="I276" i="9"/>
  <c r="M315" i="9"/>
  <c r="P315" i="9" s="1"/>
  <c r="I283" i="9"/>
  <c r="H370" i="9"/>
  <c r="H331" i="9"/>
  <c r="H346" i="9"/>
  <c r="H344" i="9"/>
  <c r="I281" i="9"/>
  <c r="H273" i="9"/>
  <c r="H307" i="9"/>
  <c r="H300" i="9"/>
  <c r="M363" i="9"/>
  <c r="P363" i="9" s="1"/>
  <c r="I273" i="9"/>
  <c r="I306" i="9"/>
  <c r="M283" i="9"/>
  <c r="P283" i="9" s="1"/>
  <c r="M300" i="9"/>
  <c r="P300" i="9" s="1"/>
  <c r="M306" i="9"/>
  <c r="P306" i="9" s="1"/>
  <c r="H298" i="9"/>
  <c r="I331" i="9"/>
  <c r="I292" i="9"/>
  <c r="H272" i="9"/>
  <c r="I328" i="9"/>
  <c r="I316" i="9"/>
  <c r="M347" i="9"/>
  <c r="P347" i="9" s="1"/>
  <c r="H282" i="9"/>
  <c r="H362" i="9"/>
  <c r="I362" i="9"/>
  <c r="M353" i="9"/>
  <c r="P353" i="9" s="1"/>
  <c r="M334" i="9"/>
  <c r="P334" i="9" s="1"/>
  <c r="H291" i="9"/>
  <c r="M276" i="9"/>
  <c r="P276" i="9" s="1"/>
  <c r="H279" i="9"/>
  <c r="M362" i="9"/>
  <c r="P362" i="9" s="1"/>
  <c r="M273" i="9"/>
  <c r="P273" i="9" s="1"/>
  <c r="H276" i="9"/>
  <c r="I336" i="9"/>
  <c r="M278" i="9"/>
  <c r="P278" i="9" s="1"/>
  <c r="H345" i="9"/>
  <c r="H285" i="9"/>
  <c r="I369" i="9"/>
  <c r="I308" i="9"/>
  <c r="M336" i="9"/>
  <c r="P336" i="9" s="1"/>
  <c r="M333" i="9"/>
  <c r="P333" i="9" s="1"/>
  <c r="M271" i="9"/>
  <c r="P271" i="9" s="1"/>
  <c r="H355" i="9"/>
  <c r="M370" i="9"/>
  <c r="P370" i="9" s="1"/>
  <c r="I363" i="9"/>
  <c r="H277" i="9"/>
  <c r="I371" i="9"/>
  <c r="H316" i="9"/>
  <c r="I344" i="9"/>
  <c r="H342" i="9"/>
  <c r="H343" i="9"/>
  <c r="M332" i="9"/>
  <c r="P332" i="9" s="1"/>
  <c r="M299" i="9"/>
  <c r="P299" i="9" s="1"/>
  <c r="M342" i="9"/>
  <c r="P342" i="9" s="1"/>
  <c r="M369" i="9"/>
  <c r="P369" i="9" s="1"/>
  <c r="H373" i="9"/>
  <c r="M361" i="9"/>
  <c r="P361" i="9" s="1"/>
  <c r="P365" i="9" s="1"/>
  <c r="I299" i="9"/>
  <c r="H280" i="9"/>
  <c r="M322" i="9"/>
  <c r="P322" i="9" s="1"/>
  <c r="P324" i="9" s="1"/>
  <c r="I335" i="9"/>
  <c r="M355" i="9"/>
  <c r="P355" i="9" s="1"/>
  <c r="H336" i="9"/>
  <c r="I277" i="9"/>
  <c r="I275" i="9"/>
  <c r="M275" i="9"/>
  <c r="P275" i="9" s="1"/>
  <c r="M372" i="9"/>
  <c r="P372" i="9" s="1"/>
  <c r="M274" i="9"/>
  <c r="P274" i="9" s="1"/>
  <c r="I353" i="9"/>
  <c r="H299" i="9"/>
  <c r="I355" i="9"/>
  <c r="M371" i="9"/>
  <c r="P371" i="9" s="1"/>
  <c r="M343" i="9"/>
  <c r="P343" i="9" s="1"/>
  <c r="H281" i="9"/>
  <c r="H306" i="9"/>
  <c r="M280" i="9"/>
  <c r="P280" i="9" s="1"/>
  <c r="I370" i="9"/>
  <c r="M344" i="9"/>
  <c r="P344" i="9" s="1"/>
  <c r="M314" i="9"/>
  <c r="P314" i="9" s="1"/>
  <c r="I315" i="9"/>
  <c r="M307" i="9"/>
  <c r="P307" i="9" s="1"/>
  <c r="I291" i="9"/>
  <c r="I354" i="9"/>
  <c r="I347" i="9"/>
  <c r="M354" i="9"/>
  <c r="P354" i="9" s="1"/>
  <c r="M330" i="9"/>
  <c r="P330" i="9" s="1"/>
  <c r="H332" i="9"/>
  <c r="M316" i="9"/>
  <c r="P316" i="9" s="1"/>
  <c r="I372" i="9"/>
  <c r="M373" i="9"/>
  <c r="P373" i="9" s="1"/>
  <c r="H283" i="9"/>
  <c r="I333" i="9"/>
  <c r="I274" i="9"/>
  <c r="I279" i="9"/>
  <c r="I300" i="9"/>
  <c r="I322" i="9"/>
  <c r="I342" i="9"/>
  <c r="I361" i="9"/>
  <c r="H329" i="9"/>
  <c r="H278" i="9"/>
  <c r="M345" i="9"/>
  <c r="P345" i="9" s="1"/>
  <c r="O101" i="58"/>
  <c r="P100" i="58"/>
  <c r="H30" i="47"/>
  <c r="J30" i="47" s="1"/>
  <c r="J31" i="47"/>
  <c r="D1300" i="9"/>
  <c r="D1301" i="9" s="1"/>
  <c r="D1302" i="9" s="1"/>
  <c r="D1303" i="9" s="1"/>
  <c r="D1304" i="9" s="1"/>
  <c r="D1305" i="9" s="1"/>
  <c r="D1306" i="9" s="1"/>
  <c r="D1307" i="9" s="1"/>
  <c r="D1308" i="9" s="1"/>
  <c r="D1309" i="9" s="1"/>
  <c r="D1310" i="9" s="1"/>
  <c r="D1311" i="9" s="1"/>
  <c r="D1312" i="9" s="1"/>
  <c r="D1313" i="9" s="1"/>
  <c r="D1314" i="9" s="1"/>
  <c r="J1299" i="9"/>
  <c r="H1312" i="9" s="1"/>
  <c r="C1321" i="9"/>
  <c r="C1322" i="9" s="1"/>
  <c r="C1323" i="9" s="1"/>
  <c r="C1324" i="9" s="1"/>
  <c r="C1332" i="9" s="1"/>
  <c r="C1333" i="9" s="1"/>
  <c r="P375" i="9" l="1"/>
  <c r="L373" i="9"/>
  <c r="K373" i="9"/>
  <c r="L316" i="9"/>
  <c r="K316" i="9"/>
  <c r="K345" i="9"/>
  <c r="L345" i="9"/>
  <c r="L291" i="9"/>
  <c r="K291" i="9"/>
  <c r="L362" i="9"/>
  <c r="K362" i="9"/>
  <c r="L298" i="9"/>
  <c r="K298" i="9"/>
  <c r="L307" i="9"/>
  <c r="K307" i="9"/>
  <c r="L346" i="9"/>
  <c r="K346" i="9"/>
  <c r="L363" i="9"/>
  <c r="K363" i="9"/>
  <c r="L371" i="9"/>
  <c r="K371" i="9"/>
  <c r="L335" i="9"/>
  <c r="K335" i="9"/>
  <c r="L330" i="9"/>
  <c r="K330" i="9"/>
  <c r="K334" i="9"/>
  <c r="L334" i="9"/>
  <c r="P294" i="9"/>
  <c r="D1315" i="9"/>
  <c r="D1316" i="9" s="1"/>
  <c r="D1317" i="9" s="1"/>
  <c r="D1318" i="9" s="1"/>
  <c r="D1319" i="9" s="1"/>
  <c r="D1320" i="9" s="1"/>
  <c r="J1314" i="9"/>
  <c r="H1318" i="9" s="1"/>
  <c r="C1334" i="9"/>
  <c r="C1335" i="9" s="1"/>
  <c r="C1336" i="9" s="1"/>
  <c r="C1337" i="9" s="1"/>
  <c r="C1338" i="9" s="1"/>
  <c r="C1339" i="9" s="1"/>
  <c r="L278" i="9"/>
  <c r="K278" i="9"/>
  <c r="K329" i="9"/>
  <c r="L329" i="9"/>
  <c r="K283" i="9"/>
  <c r="L283" i="9"/>
  <c r="L332" i="9"/>
  <c r="K332" i="9"/>
  <c r="P318" i="9"/>
  <c r="K306" i="9"/>
  <c r="L306" i="9"/>
  <c r="L336" i="9"/>
  <c r="K336" i="9"/>
  <c r="L280" i="9"/>
  <c r="K280" i="9"/>
  <c r="K343" i="9"/>
  <c r="L343" i="9"/>
  <c r="K355" i="9"/>
  <c r="L355" i="9"/>
  <c r="L282" i="9"/>
  <c r="K282" i="9"/>
  <c r="L272" i="9"/>
  <c r="K272" i="9"/>
  <c r="K273" i="9"/>
  <c r="L273" i="9"/>
  <c r="L331" i="9"/>
  <c r="K331" i="9"/>
  <c r="K292" i="9"/>
  <c r="L292" i="9"/>
  <c r="L314" i="9"/>
  <c r="K314" i="9"/>
  <c r="L361" i="9"/>
  <c r="K361" i="9"/>
  <c r="P302" i="9"/>
  <c r="P310" i="9"/>
  <c r="L328" i="9"/>
  <c r="K328" i="9"/>
  <c r="P101" i="58"/>
  <c r="O102" i="58"/>
  <c r="K281" i="9"/>
  <c r="L281" i="9"/>
  <c r="K299" i="9"/>
  <c r="L299" i="9"/>
  <c r="P349" i="9"/>
  <c r="L342" i="9"/>
  <c r="K342" i="9"/>
  <c r="K277" i="9"/>
  <c r="L277" i="9"/>
  <c r="P287" i="9"/>
  <c r="K279" i="9"/>
  <c r="L279" i="9"/>
  <c r="P357" i="9"/>
  <c r="K370" i="9"/>
  <c r="L370" i="9"/>
  <c r="L322" i="9"/>
  <c r="K322" i="9"/>
  <c r="K275" i="9"/>
  <c r="L275" i="9"/>
  <c r="K271" i="9"/>
  <c r="L271" i="9"/>
  <c r="L315" i="9"/>
  <c r="K315" i="9"/>
  <c r="K353" i="9"/>
  <c r="L353" i="9"/>
  <c r="K274" i="9"/>
  <c r="L274" i="9"/>
  <c r="K284" i="9"/>
  <c r="L284" i="9"/>
  <c r="K369" i="9"/>
  <c r="L369" i="9"/>
  <c r="K285" i="9"/>
  <c r="L285" i="9"/>
  <c r="L276" i="9"/>
  <c r="K276" i="9"/>
  <c r="L300" i="9"/>
  <c r="K300" i="9"/>
  <c r="L344" i="9"/>
  <c r="K344" i="9"/>
  <c r="L333" i="9"/>
  <c r="K333" i="9"/>
  <c r="K354" i="9"/>
  <c r="L354" i="9"/>
  <c r="L372" i="9"/>
  <c r="K372" i="9"/>
  <c r="P338" i="9"/>
  <c r="L347" i="9"/>
  <c r="K347" i="9"/>
  <c r="L308" i="9"/>
  <c r="K308" i="9"/>
  <c r="C1340" i="9" l="1"/>
  <c r="C1341" i="9" s="1"/>
  <c r="C1342" i="9" s="1"/>
  <c r="C1343" i="9" s="1"/>
  <c r="C1344" i="9" s="1"/>
  <c r="C1345" i="9" s="1"/>
  <c r="C1346" i="9" s="1"/>
  <c r="P102" i="58"/>
  <c r="O103" i="58"/>
  <c r="D1321" i="9"/>
  <c r="D1322" i="9" s="1"/>
  <c r="D1323" i="9" s="1"/>
  <c r="D1324" i="9" s="1"/>
  <c r="D1325" i="9" s="1"/>
  <c r="D1326" i="9" s="1"/>
  <c r="J1320" i="9"/>
  <c r="H1324" i="9" s="1"/>
  <c r="P244" i="9"/>
  <c r="P242" i="9" s="1"/>
  <c r="F19" i="18" l="1"/>
  <c r="P13" i="9"/>
  <c r="P11" i="9" s="1"/>
  <c r="P103" i="58"/>
  <c r="O104" i="58"/>
  <c r="C1347" i="9"/>
  <c r="C1348" i="9" s="1"/>
  <c r="J1326" i="9"/>
  <c r="H1331" i="9" s="1"/>
  <c r="D1327" i="9"/>
  <c r="D1328" i="9" s="1"/>
  <c r="D1329" i="9" s="1"/>
  <c r="D1330" i="9" s="1"/>
  <c r="D1331" i="9" s="1"/>
  <c r="D1332" i="9" s="1"/>
  <c r="D1333" i="9" s="1"/>
  <c r="K13" i="18" l="1"/>
  <c r="C1349" i="9"/>
  <c r="C1350" i="9" s="1"/>
  <c r="C1351" i="9" s="1"/>
  <c r="C1352" i="9" s="1"/>
  <c r="C1353" i="9" s="1"/>
  <c r="C1354" i="9" s="1"/>
  <c r="C1355" i="9" s="1"/>
  <c r="D1334" i="9"/>
  <c r="D1335" i="9" s="1"/>
  <c r="D1336" i="9" s="1"/>
  <c r="D1337" i="9" s="1"/>
  <c r="D1338" i="9" s="1"/>
  <c r="D1339" i="9" s="1"/>
  <c r="J1333" i="9"/>
  <c r="H1337" i="9" s="1"/>
  <c r="P104" i="58"/>
  <c r="O105" i="58"/>
  <c r="J19" i="18"/>
  <c r="H35" i="47"/>
  <c r="F13" i="18"/>
  <c r="E19" i="18" l="1"/>
  <c r="J13" i="18"/>
  <c r="K17" i="47" s="1"/>
  <c r="D1340" i="9"/>
  <c r="D1341" i="9" s="1"/>
  <c r="D1342" i="9" s="1"/>
  <c r="D1343" i="9" s="1"/>
  <c r="D1344" i="9" s="1"/>
  <c r="D1345" i="9" s="1"/>
  <c r="D1346" i="9" s="1"/>
  <c r="J1339" i="9"/>
  <c r="H1344" i="9" s="1"/>
  <c r="C1356" i="9"/>
  <c r="C1357" i="9" s="1"/>
  <c r="C1358" i="9" s="1"/>
  <c r="C1359" i="9" s="1"/>
  <c r="C1360" i="9" s="1"/>
  <c r="C1361" i="9" s="1"/>
  <c r="C1362" i="9" s="1"/>
  <c r="C1363" i="9" s="1"/>
  <c r="C1364" i="9" s="1"/>
  <c r="C1365" i="9" s="1"/>
  <c r="C1366" i="9" s="1"/>
  <c r="C1367" i="9" s="1"/>
  <c r="C1368" i="9" s="1"/>
  <c r="C1369" i="9" s="1"/>
  <c r="H34" i="47"/>
  <c r="J35" i="47"/>
  <c r="P105" i="58"/>
  <c r="O106" i="58"/>
  <c r="P106" i="58" l="1"/>
  <c r="O107" i="58"/>
  <c r="C1370" i="9"/>
  <c r="C1371" i="9" s="1"/>
  <c r="C1372" i="9" s="1"/>
  <c r="C1373" i="9" s="1"/>
  <c r="C1374" i="9" s="1"/>
  <c r="C1375" i="9" s="1"/>
  <c r="C1376" i="9" s="1"/>
  <c r="C1377" i="9" s="1"/>
  <c r="J34" i="47"/>
  <c r="J17" i="47" s="1"/>
  <c r="H17" i="47"/>
  <c r="H49" i="47" s="1"/>
  <c r="D1347" i="9"/>
  <c r="D1348" i="9" s="1"/>
  <c r="H1346" i="9"/>
  <c r="D1349" i="9" l="1"/>
  <c r="D1350" i="9" s="1"/>
  <c r="D1351" i="9" s="1"/>
  <c r="D1352" i="9" s="1"/>
  <c r="D1353" i="9" s="1"/>
  <c r="D1354" i="9" s="1"/>
  <c r="D1355" i="9" s="1"/>
  <c r="J1348" i="9"/>
  <c r="H1353" i="9" s="1"/>
  <c r="C1378" i="9"/>
  <c r="C1379" i="9" s="1"/>
  <c r="C1380" i="9" s="1"/>
  <c r="C1381" i="9" s="1"/>
  <c r="C1382" i="9" s="1"/>
  <c r="C1383" i="9" s="1"/>
  <c r="H51" i="47"/>
  <c r="J49" i="47"/>
  <c r="O108" i="58"/>
  <c r="P107" i="58"/>
  <c r="J51" i="47" l="1"/>
  <c r="H65" i="47"/>
  <c r="H55" i="47"/>
  <c r="D1356" i="9"/>
  <c r="D1357" i="9" s="1"/>
  <c r="D1358" i="9" s="1"/>
  <c r="D1359" i="9" s="1"/>
  <c r="D1360" i="9" s="1"/>
  <c r="D1361" i="9" s="1"/>
  <c r="D1362" i="9" s="1"/>
  <c r="D1363" i="9" s="1"/>
  <c r="D1364" i="9" s="1"/>
  <c r="D1365" i="9" s="1"/>
  <c r="D1366" i="9" s="1"/>
  <c r="D1367" i="9" s="1"/>
  <c r="D1368" i="9" s="1"/>
  <c r="D1369" i="9" s="1"/>
  <c r="J1355" i="9"/>
  <c r="H1367" i="9" s="1"/>
  <c r="P108" i="58"/>
  <c r="O109" i="58"/>
  <c r="C1384" i="9"/>
  <c r="C1385" i="9" s="1"/>
  <c r="C1386" i="9" s="1"/>
  <c r="C1387" i="9" s="1"/>
  <c r="C1388" i="9" s="1"/>
  <c r="C1389" i="9" s="1"/>
  <c r="P109" i="58" l="1"/>
  <c r="O110" i="58"/>
  <c r="D1370" i="9"/>
  <c r="D1371" i="9" s="1"/>
  <c r="D1372" i="9" s="1"/>
  <c r="D1373" i="9" s="1"/>
  <c r="D1374" i="9" s="1"/>
  <c r="D1375" i="9" s="1"/>
  <c r="D1376" i="9" s="1"/>
  <c r="D1377" i="9" s="1"/>
  <c r="J1369" i="9"/>
  <c r="H1375" i="9" s="1"/>
  <c r="O111" i="58" l="1"/>
  <c r="P110" i="58"/>
  <c r="D1378" i="9"/>
  <c r="D1379" i="9" s="1"/>
  <c r="D1380" i="9" s="1"/>
  <c r="D1381" i="9" s="1"/>
  <c r="D1382" i="9" s="1"/>
  <c r="D1383" i="9" s="1"/>
  <c r="J1377" i="9"/>
  <c r="H1381" i="9" s="1"/>
  <c r="P111" i="58" l="1"/>
  <c r="O112" i="58"/>
  <c r="D1384" i="9"/>
  <c r="D1385" i="9" s="1"/>
  <c r="D1386" i="9" s="1"/>
  <c r="D1387" i="9" s="1"/>
  <c r="D1388" i="9" s="1"/>
  <c r="D1389" i="9" s="1"/>
  <c r="J1383" i="9"/>
  <c r="H1389" i="9" s="1"/>
  <c r="O113" i="58" l="1"/>
  <c r="P112" i="58"/>
  <c r="O114" i="58" l="1"/>
  <c r="P113" i="58"/>
  <c r="P114" i="58" l="1"/>
  <c r="O115" i="58"/>
  <c r="O116" i="58" l="1"/>
  <c r="P115" i="58"/>
  <c r="O117" i="58" l="1"/>
  <c r="P116" i="58"/>
  <c r="P117" i="58" l="1"/>
  <c r="O118" i="58"/>
  <c r="P118" i="58" l="1"/>
  <c r="O119" i="58"/>
  <c r="P119" i="58" l="1"/>
  <c r="O120" i="58"/>
  <c r="O121" i="58" l="1"/>
  <c r="P120" i="58"/>
  <c r="O122" i="58" l="1"/>
  <c r="P121" i="58"/>
  <c r="O123" i="58" l="1"/>
  <c r="P122" i="58"/>
  <c r="P123" i="58" l="1"/>
  <c r="O124" i="58"/>
  <c r="P124" i="58" l="1"/>
  <c r="O125" i="58"/>
  <c r="P125" i="58" l="1"/>
  <c r="O126" i="58"/>
  <c r="P126" i="58" l="1"/>
  <c r="O127" i="58"/>
  <c r="P127" i="58" l="1"/>
  <c r="O128" i="58"/>
  <c r="P128" i="58" l="1"/>
  <c r="O129" i="58"/>
  <c r="O130" i="58" l="1"/>
  <c r="P129" i="58"/>
  <c r="O131" i="58" l="1"/>
  <c r="P130" i="58"/>
  <c r="P131" i="58" l="1"/>
  <c r="O132" i="58"/>
  <c r="O133" i="58" l="1"/>
  <c r="P132" i="58"/>
  <c r="P133" i="58" l="1"/>
  <c r="O134" i="58"/>
  <c r="P134" i="58" l="1"/>
  <c r="O135" i="58"/>
  <c r="P135" i="58" l="1"/>
  <c r="O136" i="58"/>
  <c r="P136" i="58" l="1"/>
  <c r="O137" i="58"/>
  <c r="P137" i="58" l="1"/>
  <c r="O138" i="58"/>
  <c r="O139" i="58" l="1"/>
  <c r="P138" i="58"/>
  <c r="O140" i="58" l="1"/>
  <c r="P139" i="58"/>
  <c r="O141" i="58" l="1"/>
  <c r="P140" i="58"/>
  <c r="P141" i="58" l="1"/>
  <c r="O142" i="58"/>
  <c r="O143" i="58" l="1"/>
  <c r="P142" i="58"/>
  <c r="P143" i="58" l="1"/>
  <c r="O144" i="58"/>
  <c r="P144" i="58" l="1"/>
  <c r="O145" i="58"/>
  <c r="O146" i="58" l="1"/>
  <c r="P145" i="58"/>
  <c r="O147" i="58" l="1"/>
  <c r="P146" i="58"/>
  <c r="P147" i="58" l="1"/>
  <c r="O148" i="58"/>
  <c r="O149" i="58" l="1"/>
  <c r="P148" i="58"/>
  <c r="P149" i="58" l="1"/>
  <c r="O150" i="58"/>
  <c r="O151" i="58" l="1"/>
  <c r="P150" i="58"/>
  <c r="P151" i="58" l="1"/>
  <c r="O152" i="58"/>
  <c r="O153" i="58" l="1"/>
  <c r="P152" i="58"/>
  <c r="O154" i="58" l="1"/>
  <c r="P153" i="58"/>
  <c r="O155" i="58" l="1"/>
  <c r="P154" i="58"/>
  <c r="O156" i="58" l="1"/>
  <c r="P155" i="58"/>
  <c r="O157" i="58" l="1"/>
  <c r="P156" i="58"/>
  <c r="P157" i="58" l="1"/>
  <c r="O158" i="58"/>
  <c r="O159" i="58" l="1"/>
  <c r="P158" i="58"/>
  <c r="P159" i="58" l="1"/>
  <c r="O160" i="58"/>
  <c r="P160" i="58" l="1"/>
  <c r="O161" i="58"/>
  <c r="O162" i="58" l="1"/>
  <c r="P161" i="58"/>
  <c r="O163" i="58" l="1"/>
  <c r="P162" i="58"/>
  <c r="P163" i="58" l="1"/>
  <c r="O164" i="58"/>
  <c r="O165" i="58" l="1"/>
  <c r="P164" i="58"/>
  <c r="P165" i="58" l="1"/>
  <c r="O166" i="58"/>
  <c r="O167" i="58" l="1"/>
  <c r="P166" i="58"/>
  <c r="P167" i="58" l="1"/>
  <c r="O168" i="58"/>
  <c r="O169" i="58" l="1"/>
  <c r="P168" i="58"/>
  <c r="P169" i="58" l="1"/>
  <c r="O170" i="58"/>
  <c r="O171" i="58" l="1"/>
  <c r="P170" i="58"/>
  <c r="O172" i="58" l="1"/>
  <c r="P171" i="58"/>
  <c r="O173" i="58" l="1"/>
  <c r="P172" i="58"/>
  <c r="P173" i="58" l="1"/>
  <c r="O174" i="58"/>
  <c r="O175" i="58" l="1"/>
  <c r="P174" i="58"/>
  <c r="P175" i="58" l="1"/>
  <c r="O176" i="58"/>
  <c r="O177" i="58" l="1"/>
  <c r="P176" i="58"/>
  <c r="O178" i="58" l="1"/>
  <c r="P177" i="58"/>
  <c r="O179" i="58" l="1"/>
  <c r="P178" i="58"/>
  <c r="P179" i="58" l="1"/>
  <c r="O180" i="58"/>
  <c r="O181" i="58" l="1"/>
  <c r="P180" i="58"/>
  <c r="P181" i="58" l="1"/>
  <c r="O182" i="58"/>
  <c r="O183" i="58" l="1"/>
  <c r="P182" i="58"/>
  <c r="O184" i="58" l="1"/>
  <c r="P183" i="58"/>
  <c r="O185" i="58" l="1"/>
  <c r="P184" i="58"/>
  <c r="O186" i="58" l="1"/>
  <c r="P185" i="58"/>
  <c r="O187" i="58" l="1"/>
  <c r="P186" i="58"/>
  <c r="P187" i="58" l="1"/>
  <c r="O188" i="58"/>
  <c r="O189" i="58" l="1"/>
  <c r="P188" i="58"/>
  <c r="P189" i="58" l="1"/>
  <c r="O190" i="58"/>
  <c r="O191" i="58" l="1"/>
  <c r="P190" i="58"/>
  <c r="O192" i="58" l="1"/>
  <c r="P191" i="58"/>
  <c r="O193" i="58" l="1"/>
  <c r="P192" i="58"/>
  <c r="O194" i="58" l="1"/>
  <c r="P193" i="58"/>
  <c r="O195" i="58" l="1"/>
  <c r="P194" i="58"/>
  <c r="P195" i="58" l="1"/>
  <c r="O196" i="58"/>
  <c r="O197" i="58" l="1"/>
  <c r="P196" i="58"/>
  <c r="P197" i="58" l="1"/>
  <c r="O198" i="58"/>
  <c r="O199" i="58" l="1"/>
  <c r="P198" i="58"/>
  <c r="O200" i="58" l="1"/>
  <c r="P199" i="58"/>
  <c r="P200" i="58" l="1"/>
  <c r="O201" i="58"/>
  <c r="P201" i="58" l="1"/>
  <c r="O202" i="58"/>
  <c r="O203" i="58" l="1"/>
  <c r="P202" i="58"/>
  <c r="O204" i="58" l="1"/>
  <c r="P203" i="58"/>
  <c r="O205" i="58" l="1"/>
  <c r="P204" i="58"/>
  <c r="P205" i="58" l="1"/>
  <c r="O206" i="58"/>
  <c r="O207" i="58" l="1"/>
  <c r="P206" i="58"/>
  <c r="P207" i="58" l="1"/>
  <c r="O208" i="58"/>
  <c r="O209" i="58" l="1"/>
  <c r="P208" i="58"/>
  <c r="O210" i="58" l="1"/>
  <c r="P209" i="58"/>
  <c r="O211" i="58" l="1"/>
  <c r="P210" i="58"/>
  <c r="P211" i="58" l="1"/>
  <c r="O212" i="58"/>
  <c r="O213" i="58" l="1"/>
  <c r="P212" i="58"/>
  <c r="P213" i="58" l="1"/>
  <c r="O214" i="58"/>
  <c r="O215" i="58" l="1"/>
  <c r="P214" i="58"/>
  <c r="P215" i="58" l="1"/>
  <c r="O216" i="58"/>
  <c r="O217" i="58" l="1"/>
  <c r="P216" i="58"/>
  <c r="O218" i="58" l="1"/>
  <c r="P217" i="58"/>
  <c r="O219" i="58" l="1"/>
  <c r="P218" i="58"/>
  <c r="P219" i="58" l="1"/>
  <c r="O220" i="58"/>
  <c r="O221" i="58" l="1"/>
  <c r="P220" i="58"/>
  <c r="P221" i="58" l="1"/>
  <c r="O222" i="58"/>
  <c r="O223" i="58" l="1"/>
  <c r="P222" i="58"/>
  <c r="P223" i="58" l="1"/>
  <c r="O224" i="58"/>
  <c r="O225" i="58" l="1"/>
  <c r="P224" i="58"/>
  <c r="P225" i="58" l="1"/>
  <c r="O226" i="58"/>
  <c r="O227" i="58" l="1"/>
  <c r="P226" i="58"/>
  <c r="P227" i="58" l="1"/>
  <c r="O228" i="58"/>
  <c r="O229" i="58" l="1"/>
  <c r="P228" i="58"/>
  <c r="P229" i="58" l="1"/>
  <c r="O230" i="58"/>
  <c r="O231" i="58" l="1"/>
  <c r="P230" i="58"/>
  <c r="P231" i="58" l="1"/>
  <c r="O232" i="58"/>
  <c r="O233" i="58" l="1"/>
  <c r="P232" i="58"/>
  <c r="P233" i="58" l="1"/>
  <c r="O234" i="58"/>
  <c r="P234" i="58" l="1"/>
  <c r="O235" i="58"/>
  <c r="P235" i="58" l="1"/>
  <c r="O236" i="58"/>
  <c r="O237" i="58" l="1"/>
  <c r="P236" i="58"/>
  <c r="P237" i="58" l="1"/>
  <c r="O238" i="58"/>
  <c r="O239" i="58" l="1"/>
  <c r="P238" i="58"/>
  <c r="P239" i="58" l="1"/>
  <c r="O240" i="58"/>
  <c r="O241" i="58" l="1"/>
  <c r="P240" i="58"/>
  <c r="O242" i="58" l="1"/>
  <c r="P241" i="58"/>
  <c r="O243" i="58" l="1"/>
  <c r="P242" i="58"/>
  <c r="P243" i="58" l="1"/>
  <c r="O244" i="58"/>
  <c r="O245" i="58" l="1"/>
  <c r="P244" i="58"/>
  <c r="P245" i="58" l="1"/>
  <c r="O246" i="58"/>
  <c r="O247" i="58" l="1"/>
  <c r="P246" i="58"/>
  <c r="P247" i="58" l="1"/>
  <c r="O248" i="58"/>
  <c r="O249" i="58" l="1"/>
  <c r="P248" i="58"/>
  <c r="O250" i="58" l="1"/>
  <c r="P249" i="58"/>
  <c r="O251" i="58" l="1"/>
  <c r="P250" i="58"/>
  <c r="P251" i="58" l="1"/>
  <c r="O252" i="58"/>
  <c r="O253" i="58" l="1"/>
  <c r="P252" i="58"/>
  <c r="P253" i="58" l="1"/>
  <c r="O254" i="58"/>
  <c r="O255" i="58" l="1"/>
  <c r="P254" i="58"/>
  <c r="O256" i="58" l="1"/>
  <c r="P255" i="58"/>
  <c r="O257" i="58" l="1"/>
  <c r="P256" i="58"/>
  <c r="O258" i="58" l="1"/>
  <c r="P257" i="58"/>
  <c r="O259" i="58" l="1"/>
  <c r="P258" i="58"/>
  <c r="P259" i="58" l="1"/>
  <c r="O260" i="58"/>
  <c r="O261" i="58" l="1"/>
  <c r="P260" i="58"/>
  <c r="P261" i="58" l="1"/>
  <c r="O262" i="58"/>
  <c r="P262" i="58" l="1"/>
  <c r="O263" i="58"/>
  <c r="P263" i="58" l="1"/>
  <c r="O264" i="58"/>
  <c r="O265" i="58" l="1"/>
  <c r="P264" i="58"/>
  <c r="P265" i="58" l="1"/>
  <c r="O266" i="58"/>
  <c r="O267" i="58" l="1"/>
  <c r="P266" i="58"/>
  <c r="O268" i="58" l="1"/>
  <c r="P267" i="58"/>
  <c r="P268" i="58" l="1"/>
  <c r="O269" i="58"/>
  <c r="P269" i="58" l="1"/>
  <c r="O270" i="58"/>
  <c r="O271" i="58" l="1"/>
  <c r="P270" i="58"/>
  <c r="P271" i="58" l="1"/>
  <c r="O272" i="58"/>
  <c r="O273" i="58" l="1"/>
  <c r="P272" i="58"/>
  <c r="O274" i="58" l="1"/>
  <c r="P273" i="58"/>
  <c r="O275" i="58" l="1"/>
  <c r="P274" i="58"/>
  <c r="P275" i="58" l="1"/>
  <c r="O276" i="58"/>
  <c r="O277" i="58" l="1"/>
  <c r="P276" i="58"/>
  <c r="P277" i="58" l="1"/>
  <c r="O278" i="58"/>
  <c r="O279" i="58" l="1"/>
  <c r="P278" i="58"/>
  <c r="P279" i="58" l="1"/>
  <c r="O280" i="58"/>
  <c r="O281" i="58" l="1"/>
  <c r="P280" i="58"/>
  <c r="P281" i="58" l="1"/>
  <c r="O282" i="58"/>
  <c r="O283" i="58" l="1"/>
  <c r="P282" i="58"/>
  <c r="P283" i="58" l="1"/>
  <c r="O284" i="58"/>
  <c r="P284" i="58" l="1"/>
  <c r="O285" i="58"/>
  <c r="P285" i="58" l="1"/>
  <c r="O286" i="58"/>
  <c r="O287" i="58" l="1"/>
  <c r="P286" i="58"/>
  <c r="P287" i="58" l="1"/>
  <c r="O288" i="58"/>
  <c r="P288" i="58" l="1"/>
  <c r="O289" i="58"/>
  <c r="O290" i="58" l="1"/>
  <c r="P289" i="58"/>
  <c r="O291" i="58" l="1"/>
  <c r="P290" i="58"/>
  <c r="P291" i="58" l="1"/>
  <c r="O292" i="58"/>
  <c r="P292" i="58" l="1"/>
  <c r="O293" i="58"/>
  <c r="P293" i="58" l="1"/>
  <c r="O294" i="58"/>
  <c r="O295" i="58" l="1"/>
  <c r="P294" i="58"/>
  <c r="P295" i="58" l="1"/>
  <c r="O296" i="58"/>
  <c r="O297" i="58" l="1"/>
  <c r="P296" i="58"/>
  <c r="P297" i="58" l="1"/>
  <c r="O298" i="58"/>
  <c r="O299" i="58" l="1"/>
  <c r="P298" i="58"/>
  <c r="P299" i="58" l="1"/>
  <c r="O300" i="58"/>
  <c r="P300" i="58" l="1"/>
  <c r="O301" i="58"/>
  <c r="P301" i="58" l="1"/>
  <c r="O302" i="58"/>
  <c r="O303" i="58" l="1"/>
  <c r="P302" i="58"/>
  <c r="P303" i="58" l="1"/>
  <c r="O304" i="58"/>
  <c r="O305" i="58" l="1"/>
  <c r="P304" i="58"/>
  <c r="O306" i="58" l="1"/>
  <c r="P305" i="58"/>
  <c r="O307" i="58" l="1"/>
  <c r="P306" i="58"/>
  <c r="O308" i="58" l="1"/>
  <c r="P307" i="58"/>
  <c r="P308" i="58" l="1"/>
  <c r="O309" i="58"/>
  <c r="P309" i="58" l="1"/>
  <c r="O310" i="58"/>
  <c r="O311" i="58" l="1"/>
  <c r="P310" i="58"/>
  <c r="P311" i="58" l="1"/>
  <c r="O312" i="58"/>
  <c r="P312" i="58" l="1"/>
  <c r="O313" i="58"/>
  <c r="O314" i="58" l="1"/>
  <c r="P313" i="58"/>
  <c r="O315" i="58" l="1"/>
  <c r="P314" i="58"/>
  <c r="P315" i="58" l="1"/>
  <c r="O316" i="58"/>
  <c r="O317" i="58" l="1"/>
  <c r="P316" i="58"/>
  <c r="P317" i="58" l="1"/>
  <c r="O318" i="58"/>
  <c r="O319" i="58" l="1"/>
  <c r="P318" i="58"/>
  <c r="O320" i="58" l="1"/>
  <c r="P319" i="58"/>
  <c r="P320" i="58" l="1"/>
  <c r="O321" i="58"/>
  <c r="O322" i="58" l="1"/>
  <c r="P321" i="58"/>
  <c r="O323" i="58" l="1"/>
  <c r="P322" i="58"/>
  <c r="P323" i="58" l="1"/>
  <c r="O324" i="58"/>
  <c r="O325" i="58" l="1"/>
  <c r="P324" i="58"/>
  <c r="O326" i="58" l="1"/>
  <c r="P325" i="58"/>
  <c r="O327" i="58" l="1"/>
  <c r="P326" i="58"/>
  <c r="P327" i="58" l="1"/>
  <c r="O328" i="58"/>
  <c r="O329" i="58" l="1"/>
  <c r="P328" i="58"/>
  <c r="P329" i="58" l="1"/>
  <c r="O330" i="58"/>
  <c r="P330" i="58" l="1"/>
  <c r="O331" i="58"/>
  <c r="O332" i="58" l="1"/>
  <c r="P331" i="58"/>
  <c r="O333" i="58" l="1"/>
  <c r="P332" i="58"/>
  <c r="P333" i="58" l="1"/>
  <c r="O334" i="58"/>
  <c r="O335" i="58" l="1"/>
  <c r="P334" i="58"/>
  <c r="P335" i="58" l="1"/>
  <c r="O336" i="58"/>
  <c r="O337" i="58" l="1"/>
  <c r="P336" i="58"/>
  <c r="O338" i="58" l="1"/>
  <c r="P337" i="58"/>
  <c r="O339" i="58" l="1"/>
  <c r="P338" i="58"/>
  <c r="P339" i="58" l="1"/>
  <c r="O340" i="58"/>
  <c r="P340" i="58" l="1"/>
  <c r="O341" i="58"/>
  <c r="P341" i="58" l="1"/>
  <c r="O342" i="58"/>
  <c r="O343" i="58" l="1"/>
  <c r="P342" i="58"/>
  <c r="O344" i="58" l="1"/>
  <c r="P343" i="58"/>
  <c r="O345" i="58" l="1"/>
  <c r="P344" i="58"/>
  <c r="O346" i="58" l="1"/>
  <c r="P345" i="58"/>
  <c r="O347" i="58" l="1"/>
  <c r="P346" i="58"/>
  <c r="P347" i="58" l="1"/>
  <c r="O348" i="58"/>
  <c r="O349" i="58" l="1"/>
  <c r="P348" i="58"/>
  <c r="P349" i="58" l="1"/>
  <c r="O350" i="58"/>
  <c r="O351" i="58" l="1"/>
  <c r="P350" i="58"/>
  <c r="P351" i="58" l="1"/>
  <c r="O352" i="58"/>
  <c r="P352" i="58" l="1"/>
  <c r="O353" i="58"/>
  <c r="O354" i="58" l="1"/>
  <c r="P353" i="58"/>
  <c r="O355" i="58" l="1"/>
  <c r="P354" i="58"/>
  <c r="P355" i="58" l="1"/>
  <c r="O356" i="58"/>
  <c r="O357" i="58" l="1"/>
  <c r="P356" i="58"/>
  <c r="P357" i="58" l="1"/>
  <c r="O358" i="58"/>
  <c r="O359" i="58" l="1"/>
  <c r="P358" i="58"/>
  <c r="P359" i="58" l="1"/>
  <c r="O360" i="58"/>
  <c r="O361" i="58" l="1"/>
  <c r="P360" i="58"/>
  <c r="P361" i="58" l="1"/>
  <c r="O362" i="58"/>
  <c r="O363" i="58" l="1"/>
  <c r="P362" i="58"/>
  <c r="P363" i="58" l="1"/>
  <c r="O364" i="58"/>
  <c r="P364" i="58" l="1"/>
  <c r="O365" i="58"/>
  <c r="P365" i="58" l="1"/>
  <c r="O366" i="58"/>
  <c r="O367" i="58" l="1"/>
  <c r="P366" i="58"/>
  <c r="O368" i="58" l="1"/>
  <c r="P367" i="58"/>
  <c r="O369" i="58" l="1"/>
  <c r="P368" i="58"/>
  <c r="O370" i="58" l="1"/>
  <c r="P369" i="58"/>
  <c r="O371" i="58" l="1"/>
  <c r="P370" i="58"/>
  <c r="P371" i="58" l="1"/>
  <c r="O372" i="58"/>
  <c r="O373" i="58" l="1"/>
  <c r="P372" i="58"/>
  <c r="O374" i="58" l="1"/>
  <c r="P373" i="58"/>
  <c r="O375" i="58" l="1"/>
  <c r="P374" i="58"/>
  <c r="O376" i="58" l="1"/>
  <c r="P375" i="58"/>
  <c r="O377" i="58" l="1"/>
  <c r="P376" i="58"/>
  <c r="O378" i="58" l="1"/>
  <c r="P377" i="58"/>
  <c r="P378" i="58" l="1"/>
  <c r="O379" i="58"/>
  <c r="O380" i="58" l="1"/>
  <c r="P379" i="58"/>
  <c r="O381" i="58" l="1"/>
  <c r="P380" i="58"/>
  <c r="P381" i="58" l="1"/>
  <c r="O382" i="58"/>
  <c r="O383" i="58" l="1"/>
  <c r="P382" i="58"/>
  <c r="P383" i="58" l="1"/>
  <c r="O384" i="58"/>
  <c r="O385" i="58" l="1"/>
  <c r="P384" i="58"/>
  <c r="P385" i="58" l="1"/>
  <c r="O386" i="58"/>
  <c r="O387" i="58" l="1"/>
  <c r="P386" i="58"/>
  <c r="P387" i="58" l="1"/>
  <c r="O388" i="58"/>
  <c r="O389" i="58" l="1"/>
  <c r="P388" i="58"/>
  <c r="O390" i="58" l="1"/>
  <c r="P389" i="58"/>
  <c r="O391" i="58" l="1"/>
  <c r="P390" i="58"/>
  <c r="P391" i="58" l="1"/>
  <c r="O392" i="58"/>
  <c r="O393" i="58" l="1"/>
  <c r="P392" i="58"/>
  <c r="O394" i="58" l="1"/>
  <c r="P393" i="58"/>
  <c r="O395" i="58" l="1"/>
  <c r="P394" i="58"/>
  <c r="O396" i="58" l="1"/>
  <c r="P395" i="58"/>
  <c r="P396" i="58" l="1"/>
  <c r="O397" i="58"/>
  <c r="O398" i="58" l="1"/>
  <c r="P397" i="58"/>
  <c r="O399" i="58" l="1"/>
  <c r="P398" i="58"/>
  <c r="P399" i="58" l="1"/>
  <c r="O400" i="58"/>
  <c r="O401" i="58" l="1"/>
  <c r="P400" i="58"/>
  <c r="P401" i="58" l="1"/>
  <c r="O402" i="58"/>
  <c r="O403" i="58" l="1"/>
  <c r="P402" i="58"/>
  <c r="P403" i="58" l="1"/>
  <c r="O404" i="58"/>
  <c r="O405" i="58" l="1"/>
  <c r="P404" i="58"/>
  <c r="O406" i="58" l="1"/>
  <c r="P405" i="58"/>
  <c r="O407" i="58" l="1"/>
  <c r="P406" i="58"/>
  <c r="O408" i="58" l="1"/>
  <c r="P407" i="58"/>
  <c r="O409" i="58" l="1"/>
  <c r="P408" i="58"/>
  <c r="P409" i="58" l="1"/>
  <c r="O410" i="58"/>
  <c r="O411" i="58" l="1"/>
  <c r="P410" i="58"/>
  <c r="P411" i="58" l="1"/>
  <c r="O412" i="58"/>
  <c r="O413" i="58" l="1"/>
  <c r="P412" i="58"/>
  <c r="O414" i="58" l="1"/>
  <c r="P413" i="58"/>
  <c r="O415" i="58" l="1"/>
  <c r="P414" i="58"/>
  <c r="P415" i="58" l="1"/>
  <c r="O416" i="58"/>
  <c r="P416" i="58" l="1"/>
  <c r="O417" i="58"/>
  <c r="P417" i="58" l="1"/>
  <c r="O418" i="58"/>
  <c r="O419" i="58" l="1"/>
  <c r="P418" i="58"/>
  <c r="P419" i="58" l="1"/>
  <c r="O420" i="58"/>
  <c r="O421" i="58" l="1"/>
  <c r="P420" i="58"/>
  <c r="O422" i="58" l="1"/>
  <c r="P421" i="58"/>
  <c r="O423" i="58" l="1"/>
  <c r="P422" i="58"/>
  <c r="P423" i="58" l="1"/>
  <c r="O424" i="58"/>
  <c r="O425" i="58" l="1"/>
  <c r="P424" i="58"/>
  <c r="P425" i="58" l="1"/>
  <c r="O426" i="58"/>
  <c r="O427" i="58" l="1"/>
  <c r="P426" i="58"/>
  <c r="P427" i="58" l="1"/>
  <c r="O428" i="58"/>
  <c r="P428" i="58" l="1"/>
  <c r="O429" i="58"/>
  <c r="O430" i="58" l="1"/>
  <c r="P429" i="58"/>
  <c r="O431" i="58" l="1"/>
  <c r="P430" i="58"/>
  <c r="P431" i="58" l="1"/>
  <c r="O432" i="58"/>
  <c r="O433" i="58" l="1"/>
  <c r="P432" i="58"/>
  <c r="P433" i="58" l="1"/>
  <c r="O434" i="58"/>
  <c r="O435" i="58" l="1"/>
  <c r="P434" i="58"/>
  <c r="P435" i="58" l="1"/>
  <c r="O436" i="58"/>
  <c r="O437" i="58" l="1"/>
  <c r="P436" i="58"/>
  <c r="P437" i="58" l="1"/>
  <c r="O438" i="58"/>
  <c r="O439" i="58" l="1"/>
  <c r="P438" i="58"/>
  <c r="O440" i="58" l="1"/>
  <c r="P439" i="58"/>
  <c r="O441" i="58" l="1"/>
  <c r="P440" i="58"/>
  <c r="P441" i="58" l="1"/>
  <c r="O442" i="58"/>
  <c r="O443" i="58" l="1"/>
  <c r="P442" i="58"/>
  <c r="P443" i="58" l="1"/>
  <c r="O444" i="58"/>
  <c r="O445" i="58" l="1"/>
  <c r="P444" i="58"/>
  <c r="O446" i="58" l="1"/>
  <c r="P445" i="58"/>
  <c r="O447" i="58" l="1"/>
  <c r="P446" i="58"/>
  <c r="O448" i="58" l="1"/>
  <c r="P447" i="58"/>
  <c r="O449" i="58" l="1"/>
  <c r="P448" i="58"/>
  <c r="P449" i="58" l="1"/>
  <c r="O450" i="58"/>
  <c r="O451" i="58" l="1"/>
  <c r="P450" i="58"/>
  <c r="P451" i="58" l="1"/>
  <c r="O452" i="58"/>
  <c r="O453" i="58" l="1"/>
  <c r="P452" i="58"/>
  <c r="O454" i="58" l="1"/>
  <c r="P453" i="58"/>
  <c r="O455" i="58" l="1"/>
  <c r="P454" i="58"/>
  <c r="P455" i="58" l="1"/>
  <c r="O456" i="58"/>
  <c r="O457" i="58" l="1"/>
  <c r="P456" i="58"/>
  <c r="P457" i="58" l="1"/>
  <c r="O458" i="58"/>
  <c r="O459" i="58" l="1"/>
  <c r="P458" i="58"/>
  <c r="P459" i="58" l="1"/>
  <c r="O460" i="58"/>
  <c r="O461" i="58" l="1"/>
  <c r="P460" i="58"/>
  <c r="O462" i="58" l="1"/>
  <c r="P461" i="58"/>
  <c r="O463" i="58" l="1"/>
  <c r="P462" i="58"/>
  <c r="P463" i="58" l="1"/>
  <c r="O464" i="58"/>
  <c r="O465" i="58" l="1"/>
  <c r="P464" i="58"/>
  <c r="P465" i="58" l="1"/>
  <c r="O466" i="58"/>
  <c r="O467" i="58" l="1"/>
  <c r="P466" i="58"/>
  <c r="P467" i="58" l="1"/>
  <c r="O468" i="58"/>
  <c r="O469" i="58" l="1"/>
  <c r="P468" i="58"/>
  <c r="O470" i="58" l="1"/>
  <c r="P469" i="58"/>
  <c r="O471" i="58" l="1"/>
  <c r="P470" i="58"/>
  <c r="O472" i="58" l="1"/>
  <c r="P471" i="58"/>
  <c r="O473" i="58" l="1"/>
  <c r="P472" i="58"/>
  <c r="P473" i="58" l="1"/>
  <c r="O474" i="58"/>
  <c r="O475" i="58" l="1"/>
  <c r="P474" i="58"/>
  <c r="P475" i="58" l="1"/>
  <c r="O476" i="58"/>
  <c r="O477" i="58" l="1"/>
  <c r="P476" i="58"/>
  <c r="O478" i="58" l="1"/>
  <c r="P477" i="58"/>
  <c r="O479" i="58" l="1"/>
  <c r="P478" i="58"/>
  <c r="P479" i="58" l="1"/>
  <c r="O480" i="58"/>
  <c r="O481" i="58" l="1"/>
  <c r="P480" i="58"/>
  <c r="P481" i="58" l="1"/>
  <c r="O482" i="58"/>
  <c r="O483" i="58" l="1"/>
  <c r="P482" i="58"/>
  <c r="P483" i="58" l="1"/>
  <c r="O484" i="58"/>
  <c r="P484" i="58" l="1"/>
  <c r="O485" i="58"/>
  <c r="O486" i="58" l="1"/>
  <c r="P485" i="58"/>
  <c r="O487" i="58" l="1"/>
  <c r="P486" i="58"/>
  <c r="P487" i="58" l="1"/>
  <c r="O488" i="58"/>
  <c r="O489" i="58" l="1"/>
  <c r="P488" i="58"/>
  <c r="P489" i="58" l="1"/>
  <c r="O490" i="58"/>
  <c r="O491" i="58" l="1"/>
  <c r="P490" i="58"/>
  <c r="P491" i="58" l="1"/>
  <c r="O492" i="58"/>
  <c r="P492" i="58" l="1"/>
  <c r="O493" i="58"/>
  <c r="O494" i="58" l="1"/>
  <c r="P493" i="58"/>
  <c r="O495" i="58" l="1"/>
  <c r="P494" i="58"/>
  <c r="O496" i="58" l="1"/>
  <c r="P495" i="58"/>
  <c r="O497" i="58" l="1"/>
  <c r="P496" i="58"/>
  <c r="P497" i="58" l="1"/>
  <c r="O498" i="58"/>
  <c r="O499" i="58" l="1"/>
  <c r="P498" i="58"/>
  <c r="P499" i="58" l="1"/>
  <c r="O500" i="58"/>
  <c r="O501" i="58" l="1"/>
  <c r="P500" i="58"/>
  <c r="O502" i="58" l="1"/>
  <c r="P501" i="58"/>
  <c r="O503" i="58" l="1"/>
  <c r="P502" i="58"/>
  <c r="P503" i="58" l="1"/>
  <c r="O504" i="58"/>
  <c r="P504" i="58" l="1"/>
  <c r="O505" i="58"/>
  <c r="P505" i="58" l="1"/>
  <c r="O506" i="58"/>
  <c r="O507" i="58" l="1"/>
  <c r="P506" i="58"/>
  <c r="O508" i="58" l="1"/>
  <c r="P507" i="58"/>
  <c r="P508" i="58" l="1"/>
  <c r="O509" i="58"/>
  <c r="O510" i="58" l="1"/>
  <c r="P509" i="58"/>
  <c r="O511" i="58" l="1"/>
  <c r="P510" i="58"/>
  <c r="P511" i="58" l="1"/>
  <c r="O512" i="58"/>
  <c r="O513" i="58" l="1"/>
  <c r="P512" i="58"/>
  <c r="O514" i="58" l="1"/>
  <c r="P513" i="58"/>
  <c r="O515" i="58" l="1"/>
  <c r="P514" i="58"/>
  <c r="O516" i="58" l="1"/>
  <c r="P515" i="58"/>
  <c r="O517" i="58" l="1"/>
  <c r="P516" i="58"/>
  <c r="P517" i="58" l="1"/>
  <c r="O518" i="58"/>
  <c r="O519" i="58" l="1"/>
  <c r="P518" i="58"/>
  <c r="O520" i="58" l="1"/>
  <c r="P519" i="58"/>
  <c r="O521" i="58" l="1"/>
  <c r="P520" i="58"/>
  <c r="O522" i="58" l="1"/>
  <c r="P521" i="58"/>
  <c r="O523" i="58" l="1"/>
  <c r="P522" i="58"/>
  <c r="O524" i="58" l="1"/>
  <c r="P523" i="58"/>
  <c r="P524" i="58" l="1"/>
  <c r="O525" i="58"/>
  <c r="P525" i="58" l="1"/>
  <c r="O526" i="58"/>
  <c r="O527" i="58" l="1"/>
  <c r="P526" i="58"/>
  <c r="O528" i="58" l="1"/>
  <c r="P527" i="58"/>
  <c r="P528" i="58" l="1"/>
  <c r="O529" i="58"/>
  <c r="O530" i="58" l="1"/>
  <c r="P529" i="58"/>
  <c r="O531" i="58" l="1"/>
  <c r="P530" i="58"/>
  <c r="O532" i="58" l="1"/>
  <c r="P531" i="58"/>
  <c r="O533" i="58" l="1"/>
  <c r="P532" i="58"/>
  <c r="P533" i="58" l="1"/>
  <c r="O534" i="58"/>
  <c r="O535" i="58" l="1"/>
  <c r="P534" i="58"/>
  <c r="O536" i="58" l="1"/>
  <c r="P535" i="58"/>
  <c r="O537" i="58" l="1"/>
  <c r="P536" i="58"/>
  <c r="O538" i="58" l="1"/>
  <c r="P537" i="58"/>
  <c r="O539" i="58" l="1"/>
  <c r="P538" i="58"/>
  <c r="O540" i="58" l="1"/>
  <c r="P539" i="58"/>
  <c r="O541" i="58" l="1"/>
  <c r="P540" i="58"/>
  <c r="P541" i="58" l="1"/>
  <c r="O542" i="58"/>
  <c r="O543" i="58" l="1"/>
  <c r="P542" i="58"/>
  <c r="O544" i="58" l="1"/>
  <c r="P543" i="58"/>
  <c r="O545" i="58" l="1"/>
  <c r="P544" i="58"/>
  <c r="O546" i="58" l="1"/>
  <c r="P545" i="58"/>
  <c r="O547" i="58" l="1"/>
  <c r="P546" i="58"/>
  <c r="O548" i="58" l="1"/>
  <c r="P547" i="58"/>
  <c r="O549" i="58" l="1"/>
  <c r="P548" i="58"/>
  <c r="O550" i="58" l="1"/>
  <c r="P549" i="58"/>
  <c r="O551" i="58" l="1"/>
  <c r="P550" i="58"/>
  <c r="O552" i="58" l="1"/>
  <c r="P551" i="58"/>
  <c r="O553" i="58" l="1"/>
  <c r="P552" i="58"/>
  <c r="O554" i="58" l="1"/>
  <c r="P553" i="58"/>
  <c r="O555" i="58" l="1"/>
  <c r="P554" i="58"/>
  <c r="O556" i="58" l="1"/>
  <c r="P555" i="58"/>
  <c r="O557" i="58" l="1"/>
  <c r="P556" i="58"/>
  <c r="P557" i="58" l="1"/>
  <c r="O558" i="58"/>
  <c r="O559" i="58" l="1"/>
  <c r="P558" i="58"/>
  <c r="P559" i="58" l="1"/>
  <c r="O560" i="58"/>
  <c r="O561" i="58" l="1"/>
  <c r="P560" i="58"/>
  <c r="P561" i="58" l="1"/>
  <c r="O562" i="58"/>
  <c r="O563" i="58" l="1"/>
  <c r="P562" i="58"/>
  <c r="O564" i="58" l="1"/>
  <c r="P563" i="58"/>
  <c r="O565" i="58" l="1"/>
  <c r="P564" i="58"/>
  <c r="P565" i="58" l="1"/>
  <c r="O566" i="58"/>
  <c r="O567" i="58" l="1"/>
  <c r="P566" i="58"/>
  <c r="O568" i="58" l="1"/>
  <c r="P567" i="58"/>
  <c r="O569" i="58" l="1"/>
  <c r="P568" i="58"/>
  <c r="O570" i="58" l="1"/>
  <c r="P569" i="58"/>
  <c r="O571" i="58" l="1"/>
  <c r="P570" i="58"/>
  <c r="O572" i="58" l="1"/>
  <c r="P571" i="58"/>
  <c r="O573" i="58" l="1"/>
  <c r="P572" i="58"/>
  <c r="P573" i="58" l="1"/>
  <c r="O574" i="58"/>
  <c r="O575" i="58" l="1"/>
  <c r="P574" i="58"/>
  <c r="O576" i="58" l="1"/>
  <c r="P575" i="58"/>
  <c r="O577" i="58" l="1"/>
  <c r="P576" i="58"/>
  <c r="O578" i="58" l="1"/>
  <c r="P577" i="58"/>
  <c r="O579" i="58" l="1"/>
  <c r="P578" i="58"/>
  <c r="O580" i="58" l="1"/>
  <c r="P579" i="58"/>
  <c r="O581" i="58" l="1"/>
  <c r="P580" i="58"/>
  <c r="O582" i="58" l="1"/>
  <c r="P581" i="58"/>
  <c r="O583" i="58" l="1"/>
  <c r="P582" i="58"/>
  <c r="P583" i="58" l="1"/>
  <c r="O584" i="58"/>
  <c r="O585" i="58" l="1"/>
  <c r="P584" i="58"/>
  <c r="O586" i="58" l="1"/>
  <c r="P585" i="58"/>
  <c r="O587" i="58" l="1"/>
  <c r="P586" i="58"/>
  <c r="O588" i="58" l="1"/>
  <c r="P587" i="58"/>
  <c r="O589" i="58" l="1"/>
  <c r="P588" i="58"/>
  <c r="P589" i="58" l="1"/>
  <c r="O590" i="58"/>
  <c r="O591" i="58" l="1"/>
  <c r="P590" i="58"/>
  <c r="O592" i="58" l="1"/>
  <c r="P591" i="58"/>
  <c r="O593" i="58" l="1"/>
  <c r="P592" i="58"/>
  <c r="O594" i="58" l="1"/>
  <c r="P593" i="58"/>
  <c r="O595" i="58" l="1"/>
  <c r="P594" i="58"/>
  <c r="O596" i="58" l="1"/>
  <c r="P595" i="58"/>
  <c r="O597" i="58" l="1"/>
  <c r="P596" i="58"/>
  <c r="P597" i="58" l="1"/>
  <c r="O598" i="58"/>
  <c r="O599" i="58" l="1"/>
  <c r="P598" i="58"/>
  <c r="O600" i="58" l="1"/>
  <c r="P599" i="58"/>
  <c r="O601" i="58" l="1"/>
  <c r="P600" i="58"/>
  <c r="O602" i="58" l="1"/>
  <c r="P601" i="58"/>
  <c r="O603" i="58" l="1"/>
  <c r="P602" i="58"/>
  <c r="O604" i="58" l="1"/>
  <c r="P603" i="58"/>
  <c r="O605" i="58" l="1"/>
  <c r="P604" i="58"/>
  <c r="P605" i="58" l="1"/>
  <c r="O606" i="58"/>
  <c r="O607" i="58" l="1"/>
  <c r="P606" i="58"/>
  <c r="O608" i="58" l="1"/>
  <c r="P607" i="58"/>
  <c r="O609" i="58" l="1"/>
  <c r="P608" i="58"/>
  <c r="O610" i="58" l="1"/>
  <c r="P609" i="58"/>
  <c r="P610" i="58" l="1"/>
  <c r="O611" i="58"/>
  <c r="O612" i="58" l="1"/>
  <c r="P611" i="58"/>
  <c r="O613" i="58" l="1"/>
  <c r="P612" i="58"/>
  <c r="P613" i="58" l="1"/>
  <c r="O614" i="58"/>
  <c r="P614" i="58" l="1"/>
  <c r="O615" i="58"/>
  <c r="O616" i="58" l="1"/>
  <c r="P615" i="58"/>
  <c r="O617" i="58" l="1"/>
  <c r="P616" i="58"/>
  <c r="O618" i="58" l="1"/>
  <c r="P617" i="58"/>
  <c r="O619" i="58" l="1"/>
  <c r="P618" i="58"/>
  <c r="O620" i="58" l="1"/>
  <c r="P619" i="58"/>
  <c r="O621" i="58" l="1"/>
  <c r="P620" i="58"/>
  <c r="P621" i="58" l="1"/>
  <c r="O622" i="58"/>
  <c r="O623" i="58" l="1"/>
  <c r="P622" i="58"/>
  <c r="O624" i="58" l="1"/>
  <c r="P623" i="58"/>
  <c r="O625" i="58" l="1"/>
  <c r="P624" i="58"/>
  <c r="P625" i="58" l="1"/>
  <c r="O626" i="58"/>
  <c r="O627" i="58" l="1"/>
  <c r="P626" i="58"/>
  <c r="O628" i="58" l="1"/>
  <c r="P627" i="58"/>
  <c r="O629" i="58" l="1"/>
  <c r="P628" i="58"/>
  <c r="P629" i="58" l="1"/>
  <c r="O630" i="58"/>
  <c r="O631" i="58" l="1"/>
  <c r="P630" i="58"/>
  <c r="O632" i="58" l="1"/>
  <c r="P631" i="58"/>
  <c r="O633" i="58" l="1"/>
  <c r="P632" i="58"/>
  <c r="O634" i="58" l="1"/>
  <c r="P633" i="58"/>
  <c r="O635" i="58" l="1"/>
  <c r="P634" i="58"/>
  <c r="O636" i="58" l="1"/>
  <c r="P635" i="58"/>
  <c r="O637" i="58" l="1"/>
  <c r="P636" i="58"/>
  <c r="P637" i="58" l="1"/>
  <c r="O638" i="58"/>
  <c r="O639" i="58" l="1"/>
  <c r="P638" i="58"/>
  <c r="O640" i="58" l="1"/>
  <c r="P639" i="58"/>
  <c r="O641" i="58" l="1"/>
  <c r="P640" i="58"/>
  <c r="O642" i="58" l="1"/>
  <c r="P641" i="58"/>
  <c r="O643" i="58" l="1"/>
  <c r="P642" i="58"/>
  <c r="O644" i="58" l="1"/>
  <c r="P643" i="58"/>
  <c r="O645" i="58" l="1"/>
  <c r="P644" i="58"/>
  <c r="O646" i="58" l="1"/>
  <c r="P645" i="58"/>
  <c r="O647" i="58" l="1"/>
  <c r="P646" i="58"/>
  <c r="P647" i="58" l="1"/>
  <c r="O648" i="58"/>
  <c r="O649" i="58" l="1"/>
  <c r="P648" i="58"/>
  <c r="O650" i="58" l="1"/>
  <c r="P649" i="58"/>
  <c r="O651" i="58" l="1"/>
  <c r="P650" i="58"/>
  <c r="O652" i="58" l="1"/>
  <c r="P651" i="58"/>
  <c r="O653" i="58" l="1"/>
  <c r="P652" i="58"/>
  <c r="P653" i="58" l="1"/>
  <c r="O654" i="58"/>
  <c r="O655" i="58" l="1"/>
  <c r="P654" i="58"/>
  <c r="P655" i="58" l="1"/>
  <c r="O656" i="58"/>
  <c r="O657" i="58" l="1"/>
  <c r="P656" i="58"/>
  <c r="P657" i="58" l="1"/>
  <c r="O658" i="58"/>
  <c r="O659" i="58" l="1"/>
  <c r="P658" i="58"/>
  <c r="P659" i="58" l="1"/>
  <c r="O660" i="58"/>
  <c r="O661" i="58" l="1"/>
  <c r="P660" i="58"/>
  <c r="P661" i="58" l="1"/>
  <c r="O662" i="58"/>
  <c r="O663" i="58" l="1"/>
  <c r="P662" i="58"/>
  <c r="P663" i="58" l="1"/>
  <c r="O664" i="58"/>
  <c r="O665" i="58" l="1"/>
  <c r="P664" i="58"/>
  <c r="P665" i="58" l="1"/>
  <c r="O666" i="58"/>
  <c r="O667" i="58" l="1"/>
  <c r="P666" i="58"/>
  <c r="P667" i="58" l="1"/>
  <c r="O668" i="58"/>
  <c r="O669" i="58" l="1"/>
  <c r="P668" i="58"/>
  <c r="P669" i="58" l="1"/>
  <c r="O670" i="58"/>
  <c r="O671" i="58" l="1"/>
  <c r="P670" i="58"/>
  <c r="P671" i="58" l="1"/>
  <c r="O672" i="58"/>
  <c r="O673" i="58" l="1"/>
  <c r="P672" i="58"/>
  <c r="P673" i="58" l="1"/>
  <c r="O674" i="58"/>
  <c r="O675" i="58" l="1"/>
  <c r="P674" i="58"/>
  <c r="P675" i="58" l="1"/>
  <c r="O676" i="58"/>
  <c r="O677" i="58" l="1"/>
  <c r="P676" i="58"/>
  <c r="P677" i="58" l="1"/>
  <c r="O678" i="58"/>
  <c r="O679" i="58" l="1"/>
  <c r="P678" i="58"/>
  <c r="P679" i="58" l="1"/>
  <c r="O680" i="58"/>
  <c r="O681" i="58" l="1"/>
  <c r="P680" i="58"/>
  <c r="P681" i="58" l="1"/>
  <c r="O682" i="58"/>
  <c r="P682" i="58" l="1"/>
  <c r="O683" i="58"/>
  <c r="P683" i="58" l="1"/>
  <c r="O684" i="58"/>
  <c r="O685" i="58" l="1"/>
  <c r="P684" i="58"/>
  <c r="P685" i="58" l="1"/>
  <c r="O686" i="58"/>
  <c r="O687" i="58" l="1"/>
  <c r="P686" i="58"/>
  <c r="P687" i="58" l="1"/>
  <c r="O688" i="58"/>
  <c r="O689" i="58" l="1"/>
  <c r="P688" i="58"/>
  <c r="O690" i="58" l="1"/>
  <c r="P689" i="58"/>
  <c r="O691" i="58" l="1"/>
  <c r="P690" i="58"/>
  <c r="P691" i="58" l="1"/>
  <c r="O692" i="58"/>
  <c r="O693" i="58" l="1"/>
  <c r="P692" i="58"/>
  <c r="P693" i="58" l="1"/>
  <c r="O694" i="58"/>
  <c r="O695" i="58" l="1"/>
  <c r="P694" i="58"/>
  <c r="P695" i="58" l="1"/>
  <c r="O696" i="58"/>
  <c r="O697" i="58" l="1"/>
  <c r="P696" i="58"/>
  <c r="O698" i="58" l="1"/>
  <c r="P697" i="58"/>
  <c r="O699" i="58" l="1"/>
  <c r="P698" i="58"/>
  <c r="P699" i="58" l="1"/>
  <c r="O700" i="58"/>
  <c r="O701" i="58" l="1"/>
  <c r="P700" i="58"/>
  <c r="P701" i="58" l="1"/>
  <c r="O702" i="58"/>
  <c r="O703" i="58" l="1"/>
  <c r="P702" i="58"/>
  <c r="P703" i="58" l="1"/>
  <c r="O704" i="58"/>
  <c r="O705" i="58" l="1"/>
  <c r="P704" i="58"/>
  <c r="O706" i="58" l="1"/>
  <c r="P705" i="58"/>
  <c r="O707" i="58" l="1"/>
  <c r="P706" i="58"/>
  <c r="P707" i="58" l="1"/>
  <c r="O708" i="58"/>
  <c r="O709" i="58" l="1"/>
  <c r="P708" i="58"/>
  <c r="P709" i="58" l="1"/>
  <c r="O710" i="58"/>
  <c r="O711" i="58" l="1"/>
  <c r="P710" i="58"/>
  <c r="P711" i="58" l="1"/>
  <c r="O712" i="58"/>
  <c r="O713" i="58" l="1"/>
  <c r="P712" i="58"/>
  <c r="O714" i="58" l="1"/>
  <c r="P713" i="58"/>
  <c r="O715" i="58" l="1"/>
  <c r="P714" i="58"/>
  <c r="P715" i="58" l="1"/>
  <c r="O716" i="58"/>
  <c r="O717" i="58" l="1"/>
  <c r="P716" i="58"/>
  <c r="P717" i="58" l="1"/>
  <c r="O718" i="58"/>
  <c r="O719" i="58" l="1"/>
  <c r="P718" i="58"/>
  <c r="P719" i="58" l="1"/>
  <c r="O720" i="58"/>
  <c r="O721" i="58" l="1"/>
  <c r="P720" i="58"/>
  <c r="P721" i="58" l="1"/>
  <c r="O722" i="58"/>
  <c r="P722" i="58" l="1"/>
  <c r="O723" i="58"/>
  <c r="P723" i="58" l="1"/>
  <c r="O724" i="58"/>
  <c r="O725" i="58" l="1"/>
  <c r="P724" i="58"/>
  <c r="P725" i="58" l="1"/>
  <c r="O726" i="58"/>
  <c r="O727" i="58" l="1"/>
  <c r="P726" i="58"/>
  <c r="P727" i="58" l="1"/>
  <c r="O728" i="58"/>
  <c r="O729" i="58" l="1"/>
  <c r="P728" i="58"/>
  <c r="P729" i="58" l="1"/>
  <c r="O730" i="58"/>
  <c r="O731" i="58" l="1"/>
  <c r="P730" i="58"/>
  <c r="P731" i="58" l="1"/>
  <c r="O732" i="58"/>
  <c r="P732" i="58" l="1"/>
  <c r="O733" i="58"/>
  <c r="P733" i="58" l="1"/>
  <c r="O734" i="58"/>
  <c r="P734" i="58" l="1"/>
  <c r="O735" i="58"/>
  <c r="P735" i="58" l="1"/>
  <c r="O736" i="58"/>
  <c r="O737" i="58" l="1"/>
  <c r="P736" i="58"/>
  <c r="O738" i="58" l="1"/>
  <c r="P737" i="58"/>
  <c r="O739" i="58" l="1"/>
  <c r="P738" i="58"/>
  <c r="P739" i="58" l="1"/>
  <c r="O740" i="58"/>
  <c r="O741" i="58" l="1"/>
  <c r="P740" i="58"/>
  <c r="P741" i="58" l="1"/>
  <c r="O742" i="58"/>
  <c r="O743" i="58" l="1"/>
  <c r="P742" i="58"/>
  <c r="P743" i="58" l="1"/>
  <c r="O744" i="58"/>
  <c r="O745" i="58" l="1"/>
  <c r="P744" i="58"/>
  <c r="O746" i="58" l="1"/>
  <c r="P745" i="58"/>
  <c r="O747" i="58" l="1"/>
  <c r="P746" i="58"/>
  <c r="P747" i="58" l="1"/>
  <c r="O748" i="58"/>
  <c r="O749" i="58" l="1"/>
  <c r="P748" i="58"/>
  <c r="P749" i="58" l="1"/>
  <c r="O750" i="58"/>
  <c r="O751" i="58" l="1"/>
  <c r="P750" i="58"/>
  <c r="P751" i="58" l="1"/>
  <c r="O752" i="58"/>
  <c r="O753" i="58" l="1"/>
  <c r="P752" i="58"/>
  <c r="P753" i="58" l="1"/>
  <c r="O754" i="58"/>
  <c r="P754" i="58" l="1"/>
  <c r="O755" i="58"/>
  <c r="P755" i="58" l="1"/>
  <c r="O756" i="58"/>
  <c r="O757" i="58" l="1"/>
  <c r="P756" i="58"/>
  <c r="P757" i="58" l="1"/>
  <c r="O758" i="58"/>
  <c r="O759" i="58" l="1"/>
  <c r="P758" i="58"/>
  <c r="P759" i="58" l="1"/>
  <c r="O760" i="58"/>
  <c r="O761" i="58" l="1"/>
  <c r="P760" i="58"/>
  <c r="P761" i="58" l="1"/>
  <c r="O762" i="58"/>
  <c r="O763" i="58" l="1"/>
  <c r="P762" i="58"/>
  <c r="P763" i="58" l="1"/>
  <c r="O764" i="58"/>
  <c r="O765" i="58" l="1"/>
  <c r="P764" i="58"/>
  <c r="P765" i="58" l="1"/>
  <c r="O766" i="58"/>
  <c r="O767" i="58" l="1"/>
  <c r="P766" i="58"/>
  <c r="P767" i="58" l="1"/>
  <c r="O768" i="58"/>
  <c r="O769" i="58" l="1"/>
  <c r="P768" i="58"/>
  <c r="O770" i="58" l="1"/>
  <c r="P769" i="58"/>
  <c r="O771" i="58" l="1"/>
  <c r="P770" i="58"/>
  <c r="P771" i="58" l="1"/>
  <c r="O772" i="58"/>
  <c r="O773" i="58" l="1"/>
  <c r="P772" i="58"/>
  <c r="P773" i="58" l="1"/>
  <c r="O774" i="58"/>
  <c r="O775" i="58" l="1"/>
  <c r="P774" i="58"/>
  <c r="P775" i="58" l="1"/>
  <c r="O776" i="58"/>
  <c r="O777" i="58" l="1"/>
  <c r="P776" i="58"/>
  <c r="O778" i="58" l="1"/>
  <c r="P777" i="58"/>
  <c r="O779" i="58" l="1"/>
  <c r="P778" i="58"/>
  <c r="P779" i="58" l="1"/>
  <c r="O780" i="58"/>
  <c r="P780" i="58" l="1"/>
  <c r="O781" i="58"/>
  <c r="P781" i="58" l="1"/>
  <c r="O782" i="58"/>
  <c r="P782" i="58" l="1"/>
  <c r="O783" i="58"/>
  <c r="P783" i="58" l="1"/>
  <c r="O784" i="58"/>
  <c r="O785" i="58" l="1"/>
  <c r="P784" i="58"/>
  <c r="P785" i="58" l="1"/>
  <c r="O786" i="58"/>
  <c r="P786" i="58" l="1"/>
  <c r="O787" i="58"/>
  <c r="P787" i="58" l="1"/>
  <c r="O788" i="58"/>
  <c r="O789" i="58" l="1"/>
  <c r="P788" i="58"/>
  <c r="P789" i="58" l="1"/>
  <c r="O790" i="58"/>
  <c r="P790" i="58" l="1"/>
  <c r="O791" i="58"/>
  <c r="P791" i="58" l="1"/>
  <c r="O792" i="58"/>
  <c r="O793" i="58" l="1"/>
  <c r="P792" i="58"/>
  <c r="P793" i="58" l="1"/>
  <c r="O794" i="58"/>
  <c r="O795" i="58" l="1"/>
  <c r="P794" i="58"/>
  <c r="P795" i="58" l="1"/>
  <c r="O796" i="58"/>
  <c r="O797" i="58" l="1"/>
  <c r="P796" i="58"/>
  <c r="P797" i="58" l="1"/>
  <c r="O798" i="58"/>
  <c r="O799" i="58" l="1"/>
  <c r="P798" i="58"/>
  <c r="P799" i="58" l="1"/>
  <c r="O800" i="58"/>
  <c r="O801" i="58" l="1"/>
  <c r="P800" i="58"/>
  <c r="O802" i="58" l="1"/>
  <c r="P801" i="58"/>
  <c r="O803" i="58" l="1"/>
  <c r="P802" i="58"/>
  <c r="P803" i="58" l="1"/>
  <c r="O804" i="58"/>
  <c r="O805" i="58" l="1"/>
  <c r="P804" i="58"/>
  <c r="P805" i="58" l="1"/>
  <c r="O806" i="58"/>
  <c r="O807" i="58" l="1"/>
  <c r="P806" i="58"/>
  <c r="P807" i="58" l="1"/>
  <c r="O808" i="58"/>
  <c r="O809" i="58" l="1"/>
  <c r="P808" i="58"/>
  <c r="O810" i="58" l="1"/>
  <c r="P809" i="58"/>
  <c r="O811" i="58" l="1"/>
  <c r="P810" i="58"/>
  <c r="P811" i="58" l="1"/>
  <c r="O812" i="58"/>
  <c r="O813" i="58" l="1"/>
  <c r="P812" i="58"/>
  <c r="P813" i="58" l="1"/>
  <c r="O814" i="58"/>
  <c r="O815" i="58" l="1"/>
  <c r="P814" i="58"/>
  <c r="P815" i="58" l="1"/>
  <c r="O816" i="58"/>
  <c r="P816" i="58" l="1"/>
  <c r="O817" i="58"/>
  <c r="P817" i="58" l="1"/>
  <c r="O818" i="58"/>
  <c r="P818" i="58" l="1"/>
  <c r="O819" i="58"/>
  <c r="P819" i="58" l="1"/>
  <c r="O820" i="58"/>
  <c r="P820" i="58" l="1"/>
  <c r="O821" i="58"/>
  <c r="P821" i="58" l="1"/>
  <c r="O822" i="58"/>
  <c r="O823" i="58" l="1"/>
  <c r="P822" i="58"/>
  <c r="P823" i="58" l="1"/>
  <c r="O824" i="58"/>
  <c r="O825" i="58" l="1"/>
  <c r="P824" i="58"/>
  <c r="P825" i="58" l="1"/>
  <c r="O826" i="58"/>
  <c r="O827" i="58" l="1"/>
  <c r="P826" i="58"/>
  <c r="P827" i="58" l="1"/>
  <c r="O828" i="58"/>
  <c r="P828" i="58" l="1"/>
  <c r="O829" i="58"/>
  <c r="P829" i="58" l="1"/>
  <c r="O830" i="58"/>
  <c r="O831" i="58" l="1"/>
  <c r="P830" i="58"/>
  <c r="P831" i="58" l="1"/>
  <c r="O832" i="58"/>
  <c r="O833" i="58" l="1"/>
  <c r="P832" i="58"/>
  <c r="O834" i="58" l="1"/>
  <c r="P833" i="58"/>
  <c r="O835" i="58" l="1"/>
  <c r="P834" i="58"/>
  <c r="P835" i="58" l="1"/>
  <c r="O836" i="58"/>
  <c r="P836" i="58" l="1"/>
  <c r="O837" i="58"/>
  <c r="P837" i="58" l="1"/>
  <c r="O838" i="58"/>
  <c r="O839" i="58" l="1"/>
  <c r="P838" i="58"/>
  <c r="P839" i="58" l="1"/>
  <c r="O840" i="58"/>
  <c r="O841" i="58" l="1"/>
  <c r="P840" i="58"/>
  <c r="O842" i="58" l="1"/>
  <c r="P841" i="58"/>
  <c r="O843" i="58" l="1"/>
  <c r="P842" i="58"/>
  <c r="P843" i="58" l="1"/>
  <c r="O844" i="58"/>
  <c r="P844" i="58" l="1"/>
  <c r="O845" i="58"/>
  <c r="P845" i="58" l="1"/>
  <c r="O846" i="58"/>
  <c r="O847" i="58" l="1"/>
  <c r="P846" i="58"/>
  <c r="P847" i="58" l="1"/>
  <c r="O848" i="58"/>
  <c r="O849" i="58" l="1"/>
  <c r="P848" i="58"/>
  <c r="P849" i="58" l="1"/>
  <c r="O850" i="58"/>
  <c r="P850" i="58" l="1"/>
  <c r="O851" i="58"/>
  <c r="P851" i="58" l="1"/>
  <c r="O852" i="58"/>
  <c r="P852" i="58" l="1"/>
  <c r="O853" i="58"/>
  <c r="P853" i="58" l="1"/>
  <c r="O854" i="58"/>
  <c r="O855" i="58" l="1"/>
  <c r="P854" i="58"/>
  <c r="P855" i="58" l="1"/>
  <c r="O856" i="58"/>
  <c r="O857" i="58" l="1"/>
  <c r="P856" i="58"/>
  <c r="P857" i="58" l="1"/>
  <c r="O858" i="58"/>
  <c r="O859" i="58" l="1"/>
  <c r="P858" i="58"/>
  <c r="P859" i="58" l="1"/>
  <c r="O860" i="58"/>
  <c r="P860" i="58" l="1"/>
  <c r="O861" i="58"/>
  <c r="P861" i="58" l="1"/>
  <c r="O862" i="58"/>
  <c r="O863" i="58" l="1"/>
  <c r="P862" i="58"/>
  <c r="P863" i="58" l="1"/>
  <c r="O864" i="58"/>
  <c r="O865" i="58" l="1"/>
  <c r="P864" i="58"/>
  <c r="O866" i="58" l="1"/>
  <c r="P865" i="58"/>
  <c r="O867" i="58" l="1"/>
  <c r="P866" i="58"/>
  <c r="P867" i="58" l="1"/>
  <c r="O868" i="58"/>
  <c r="P868" i="58" l="1"/>
  <c r="O869" i="58"/>
  <c r="P869" i="58" l="1"/>
  <c r="O870" i="58"/>
  <c r="O871" i="58" l="1"/>
  <c r="P870" i="58"/>
  <c r="P871" i="58" l="1"/>
  <c r="O872" i="58"/>
  <c r="O873" i="58" l="1"/>
  <c r="P872" i="58"/>
  <c r="O874" i="58" l="1"/>
  <c r="P873" i="58"/>
  <c r="O875" i="58" l="1"/>
  <c r="P874" i="58"/>
  <c r="P875" i="58" l="1"/>
  <c r="O876" i="58"/>
  <c r="P876" i="58" l="1"/>
  <c r="O877" i="58"/>
  <c r="P877" i="58" l="1"/>
  <c r="O878" i="58"/>
  <c r="O879" i="58" l="1"/>
  <c r="P878" i="58"/>
  <c r="P879" i="58" l="1"/>
  <c r="O880" i="58"/>
  <c r="O881" i="58" l="1"/>
  <c r="P880" i="58"/>
  <c r="P881" i="58" l="1"/>
  <c r="O882" i="58"/>
  <c r="P882" i="58" l="1"/>
  <c r="O883" i="58"/>
  <c r="P883" i="58" l="1"/>
  <c r="O884" i="58"/>
  <c r="P884" i="58" l="1"/>
  <c r="O885" i="58"/>
  <c r="P885" i="58" l="1"/>
  <c r="O886" i="58"/>
  <c r="O887" i="58" l="1"/>
  <c r="P886" i="58"/>
  <c r="P887" i="58" l="1"/>
  <c r="O888" i="58"/>
  <c r="O889" i="58" l="1"/>
  <c r="P888" i="58"/>
  <c r="P889" i="58" l="1"/>
  <c r="O890" i="58"/>
  <c r="O891" i="58" l="1"/>
  <c r="P890" i="58"/>
  <c r="P891" i="58" l="1"/>
  <c r="O892" i="58"/>
  <c r="P892" i="58" l="1"/>
  <c r="O893" i="58"/>
  <c r="P893" i="58" l="1"/>
  <c r="O894" i="58"/>
  <c r="O895" i="58" l="1"/>
  <c r="P894" i="58"/>
  <c r="P895" i="58" l="1"/>
  <c r="O896" i="58"/>
  <c r="O897" i="58" l="1"/>
  <c r="P896" i="58"/>
  <c r="O898" i="58" l="1"/>
  <c r="P897" i="58"/>
  <c r="O899" i="58" l="1"/>
  <c r="P898" i="58"/>
  <c r="P899" i="58" l="1"/>
  <c r="O900" i="58"/>
  <c r="P900" i="58" l="1"/>
  <c r="O901" i="58"/>
  <c r="P901" i="58" l="1"/>
  <c r="O902" i="58"/>
  <c r="O903" i="58" l="1"/>
  <c r="P902" i="58"/>
  <c r="P903" i="58" l="1"/>
  <c r="O904" i="58"/>
  <c r="O905" i="58" l="1"/>
  <c r="P904" i="58"/>
  <c r="O906" i="58" l="1"/>
  <c r="P905" i="58"/>
  <c r="O907" i="58" l="1"/>
  <c r="P906" i="58"/>
  <c r="P907" i="58" l="1"/>
  <c r="O908" i="58"/>
  <c r="P908" i="58" l="1"/>
  <c r="O909" i="58"/>
  <c r="P909" i="58" l="1"/>
  <c r="O910" i="58"/>
  <c r="O911" i="58" l="1"/>
  <c r="P910" i="58"/>
  <c r="P911" i="58" l="1"/>
  <c r="O912" i="58"/>
  <c r="O913" i="58" l="1"/>
  <c r="P912" i="58"/>
  <c r="P913" i="58" l="1"/>
  <c r="O914" i="58"/>
  <c r="P914" i="58" l="1"/>
  <c r="O915" i="58"/>
  <c r="P915" i="58" l="1"/>
  <c r="O916" i="58"/>
  <c r="P916" i="58" l="1"/>
  <c r="O917" i="58"/>
  <c r="P917" i="58" l="1"/>
  <c r="O918" i="58"/>
  <c r="O919" i="58" l="1"/>
  <c r="P918" i="58"/>
  <c r="P919" i="58" l="1"/>
  <c r="O920" i="58"/>
  <c r="O921" i="58" l="1"/>
  <c r="P920" i="58"/>
  <c r="P921" i="58" l="1"/>
  <c r="O922" i="58"/>
  <c r="P922" i="58" l="1"/>
  <c r="O923" i="58"/>
  <c r="P923" i="58" l="1"/>
  <c r="O924" i="58"/>
  <c r="P924" i="58" l="1"/>
  <c r="O925" i="58"/>
  <c r="P925" i="58" l="1"/>
  <c r="O926" i="58"/>
  <c r="O927" i="58" l="1"/>
  <c r="P926" i="58"/>
  <c r="P927" i="58" l="1"/>
  <c r="O928" i="58"/>
  <c r="O929" i="58" l="1"/>
  <c r="P928" i="58"/>
  <c r="O930" i="58" l="1"/>
  <c r="P929" i="58"/>
  <c r="P930" i="58" l="1"/>
  <c r="O931" i="58"/>
  <c r="P931" i="58" l="1"/>
  <c r="O932" i="58"/>
  <c r="O933" i="58" l="1"/>
  <c r="P932" i="58"/>
  <c r="P933" i="58" l="1"/>
  <c r="O934" i="58"/>
  <c r="O935" i="58" l="1"/>
  <c r="P934" i="58"/>
  <c r="P935" i="58" l="1"/>
  <c r="O936" i="58"/>
  <c r="O937" i="58" l="1"/>
  <c r="P936" i="58"/>
  <c r="O938" i="58" l="1"/>
  <c r="P937" i="58"/>
  <c r="P938" i="58" l="1"/>
  <c r="O939" i="58"/>
  <c r="P939" i="58" l="1"/>
  <c r="O940" i="58"/>
  <c r="P940" i="58" l="1"/>
  <c r="O941" i="58"/>
  <c r="P941" i="58" l="1"/>
  <c r="O942" i="58"/>
  <c r="O943" i="58" l="1"/>
  <c r="P942" i="58"/>
  <c r="P943" i="58" l="1"/>
  <c r="O944" i="58"/>
  <c r="O945" i="58" l="1"/>
  <c r="P944" i="58"/>
  <c r="P945" i="58" l="1"/>
  <c r="O946" i="58"/>
  <c r="O947" i="58" l="1"/>
  <c r="P946" i="58"/>
  <c r="P947" i="58" l="1"/>
  <c r="O948" i="58"/>
  <c r="O949" i="58" l="1"/>
  <c r="P948" i="58"/>
  <c r="P949" i="58" l="1"/>
  <c r="O950" i="58"/>
  <c r="O951" i="58" l="1"/>
  <c r="P950" i="58"/>
  <c r="P951" i="58" l="1"/>
  <c r="O952" i="58"/>
  <c r="O953" i="58" l="1"/>
  <c r="P952" i="58"/>
  <c r="P953" i="58" l="1"/>
  <c r="O954" i="58"/>
  <c r="P954" i="58" l="1"/>
  <c r="O955" i="58"/>
  <c r="P955" i="58" l="1"/>
  <c r="O956" i="58"/>
  <c r="P956" i="58" l="1"/>
  <c r="O957" i="58"/>
  <c r="P957" i="58" l="1"/>
  <c r="O958" i="58"/>
  <c r="O959" i="58" l="1"/>
  <c r="P958" i="58"/>
  <c r="P959" i="58" l="1"/>
  <c r="O960" i="58"/>
  <c r="O961" i="58" l="1"/>
  <c r="P960" i="58"/>
  <c r="O962" i="58" l="1"/>
  <c r="P961" i="58"/>
  <c r="P962" i="58" l="1"/>
  <c r="O963" i="58"/>
  <c r="P963" i="58" l="1"/>
  <c r="O964" i="58"/>
  <c r="O965" i="58" l="1"/>
  <c r="P964" i="58"/>
  <c r="P965" i="58" l="1"/>
  <c r="O966" i="58"/>
  <c r="O967" i="58" l="1"/>
  <c r="P966" i="58"/>
  <c r="P967" i="58" l="1"/>
  <c r="O968" i="58"/>
  <c r="O969" i="58" l="1"/>
  <c r="P968" i="58"/>
  <c r="O970" i="58" l="1"/>
  <c r="P969" i="58"/>
  <c r="P970" i="58" l="1"/>
  <c r="O971" i="58"/>
  <c r="P971" i="58" l="1"/>
  <c r="O972" i="58"/>
  <c r="P972" i="58" l="1"/>
  <c r="O973" i="58"/>
  <c r="P973" i="58" l="1"/>
  <c r="O974" i="58"/>
  <c r="O975" i="58" l="1"/>
  <c r="P974" i="58"/>
  <c r="P975" i="58" l="1"/>
  <c r="O976" i="58"/>
  <c r="O977" i="58" l="1"/>
  <c r="P976" i="58"/>
  <c r="P977" i="58" l="1"/>
  <c r="O978" i="58"/>
  <c r="O979" i="58" l="1"/>
  <c r="P978" i="58"/>
  <c r="P979" i="58" l="1"/>
  <c r="O980" i="58"/>
  <c r="O981" i="58" l="1"/>
  <c r="P980" i="58"/>
  <c r="P981" i="58" l="1"/>
  <c r="O982" i="58"/>
  <c r="O983" i="58" l="1"/>
  <c r="P982" i="58"/>
  <c r="O984" i="58" l="1"/>
  <c r="P983" i="58"/>
  <c r="O985" i="58" l="1"/>
  <c r="P984" i="58"/>
  <c r="P985" i="58" l="1"/>
  <c r="O986" i="58"/>
  <c r="P986" i="58" l="1"/>
  <c r="O987" i="58"/>
  <c r="P987" i="58" l="1"/>
  <c r="O988" i="58"/>
  <c r="O989" i="58" l="1"/>
  <c r="P988" i="58"/>
  <c r="P989" i="58" l="1"/>
  <c r="O990" i="58"/>
  <c r="O991" i="58" l="1"/>
  <c r="P990" i="58"/>
  <c r="P991" i="58" l="1"/>
  <c r="O992" i="58"/>
  <c r="O993" i="58" l="1"/>
  <c r="P992" i="58"/>
  <c r="P993" i="58" l="1"/>
  <c r="O994" i="58"/>
  <c r="P994" i="58" l="1"/>
  <c r="O995" i="58"/>
  <c r="P995" i="58" l="1"/>
  <c r="O996" i="58"/>
  <c r="O997" i="58" l="1"/>
  <c r="P996" i="58"/>
  <c r="P997" i="58" l="1"/>
  <c r="O998" i="58"/>
  <c r="O999" i="58" l="1"/>
  <c r="P998" i="58"/>
  <c r="P999" i="58" l="1"/>
  <c r="O1000" i="58"/>
  <c r="O1001" i="58" l="1"/>
  <c r="P1000" i="58"/>
  <c r="O1002" i="58" l="1"/>
  <c r="P1001" i="58"/>
  <c r="P1002" i="58" l="1"/>
  <c r="O1003" i="58"/>
  <c r="P1003" i="58" l="1"/>
  <c r="O1004" i="58"/>
  <c r="O1005" i="58" l="1"/>
  <c r="P1004" i="58"/>
  <c r="O1006" i="58" l="1"/>
  <c r="P1005" i="58"/>
  <c r="O1007" i="58" l="1"/>
  <c r="P1006" i="58"/>
  <c r="P1007" i="58" l="1"/>
  <c r="O1008" i="58"/>
  <c r="O1009" i="58" l="1"/>
  <c r="P1008" i="58"/>
  <c r="P1009" i="58" l="1"/>
  <c r="O1010" i="58"/>
  <c r="P1010" i="58" l="1"/>
  <c r="O1011" i="58"/>
  <c r="O1012" i="58" l="1"/>
  <c r="P1011" i="58"/>
  <c r="O1013" i="58" l="1"/>
  <c r="P1012" i="58"/>
  <c r="P1013" i="58" l="1"/>
  <c r="O1014" i="58"/>
  <c r="O1015" i="58" l="1"/>
  <c r="P1014" i="58"/>
  <c r="O1016" i="58" l="1"/>
  <c r="P1015" i="58"/>
  <c r="O1017" i="58" l="1"/>
  <c r="P1016" i="58"/>
  <c r="P1017" i="58" l="1"/>
  <c r="O1018" i="58"/>
  <c r="P1018" i="58" l="1"/>
  <c r="O1019" i="58"/>
  <c r="P1019" i="58" l="1"/>
  <c r="O1020" i="58"/>
  <c r="P1020" i="58" l="1"/>
  <c r="O1021" i="58"/>
  <c r="P1021" i="58" l="1"/>
  <c r="O1022" i="58"/>
  <c r="P1022" i="58" l="1"/>
  <c r="O1023" i="58"/>
  <c r="P1023" i="58" l="1"/>
  <c r="O1024" i="58"/>
  <c r="P1024" i="58" s="1"/>
</calcChain>
</file>

<file path=xl/comments1.xml><?xml version="1.0" encoding="utf-8"?>
<comments xmlns="http://schemas.openxmlformats.org/spreadsheetml/2006/main">
  <authors>
    <author>DAYANA  BEZERRA COSTA</author>
  </authors>
  <commentList>
    <comment ref="B7" authorId="0" shapeId="0">
      <text>
        <r>
          <rPr>
            <b/>
            <sz val="9"/>
            <color indexed="81"/>
            <rFont val="Tahoma"/>
            <family val="2"/>
          </rPr>
          <t>DAYANA  BEZERRA COSTA:</t>
        </r>
        <r>
          <rPr>
            <sz val="9"/>
            <color indexed="81"/>
            <rFont val="Tahoma"/>
            <family val="2"/>
          </rPr>
          <t xml:space="preserve">
Booster JL</t>
        </r>
      </text>
    </comment>
    <comment ref="B8" authorId="0" shapeId="0">
      <text>
        <r>
          <rPr>
            <b/>
            <sz val="9"/>
            <color indexed="81"/>
            <rFont val="Tahoma"/>
            <family val="2"/>
          </rPr>
          <t>DAYANA  BEZERRA COSTA:</t>
        </r>
        <r>
          <rPr>
            <sz val="9"/>
            <color indexed="81"/>
            <rFont val="Tahoma"/>
            <family val="2"/>
          </rPr>
          <t xml:space="preserve">
Booster JL</t>
        </r>
      </text>
    </comment>
    <comment ref="B9" authorId="0" shapeId="0">
      <text>
        <r>
          <rPr>
            <b/>
            <sz val="9"/>
            <color indexed="81"/>
            <rFont val="Tahoma"/>
            <family val="2"/>
          </rPr>
          <t>DAYANA  BEZERRA COSTA:</t>
        </r>
        <r>
          <rPr>
            <sz val="9"/>
            <color indexed="81"/>
            <rFont val="Tahoma"/>
            <family val="2"/>
          </rPr>
          <t xml:space="preserve">
Booster JL</t>
        </r>
      </text>
    </comment>
  </commentList>
</comments>
</file>

<file path=xl/comments10.xml><?xml version="1.0" encoding="utf-8"?>
<comments xmlns="http://schemas.openxmlformats.org/spreadsheetml/2006/main">
  <authors>
    <author>DAYANA  BEZERRA COSTA</author>
  </authors>
  <commentList>
    <comment ref="E28" authorId="0" shapeId="0">
      <text>
        <r>
          <rPr>
            <b/>
            <sz val="9"/>
            <color indexed="81"/>
            <rFont val="Tahoma"/>
            <family val="2"/>
          </rPr>
          <t>DAYANA  BEZERRA COSTA:</t>
        </r>
        <r>
          <rPr>
            <sz val="9"/>
            <color indexed="81"/>
            <rFont val="Tahoma"/>
            <family val="2"/>
          </rPr>
          <t xml:space="preserve">
LIMPEZA NO CONTORNO DOS REATORES JÁ EXECUTADOS</t>
        </r>
      </text>
    </comment>
    <comment ref="D401" authorId="0" shapeId="0">
      <text>
        <r>
          <rPr>
            <b/>
            <sz val="9"/>
            <color indexed="81"/>
            <rFont val="Tahoma"/>
            <family val="2"/>
          </rPr>
          <t>DAYANA  BEZERRA COSTA:</t>
        </r>
        <r>
          <rPr>
            <sz val="9"/>
            <color indexed="81"/>
            <rFont val="Tahoma"/>
            <family val="2"/>
          </rPr>
          <t xml:space="preserve">
Pintura externa do reator</t>
        </r>
      </text>
    </comment>
  </commentList>
</comments>
</file>

<file path=xl/comments11.xml><?xml version="1.0" encoding="utf-8"?>
<comments xmlns="http://schemas.openxmlformats.org/spreadsheetml/2006/main">
  <authors>
    <author>DAYANA  BEZERRA COSTA</author>
  </authors>
  <commentList>
    <comment ref="K83" authorId="0" shapeId="0">
      <text>
        <r>
          <rPr>
            <b/>
            <sz val="9"/>
            <color indexed="81"/>
            <rFont val="Tahoma"/>
            <family val="2"/>
          </rPr>
          <t>DAYANA  BEZERRA COSTA:</t>
        </r>
        <r>
          <rPr>
            <sz val="9"/>
            <color indexed="81"/>
            <rFont val="Tahoma"/>
            <family val="2"/>
          </rPr>
          <t xml:space="preserve">
(area do plato dos leitos - área dos 4 leitos de secagem ) x altura de 1,0 m
CT = 803
COTA FINAL = 804</t>
        </r>
      </text>
    </comment>
    <comment ref="H129" authorId="0" shapeId="0">
      <text>
        <r>
          <rPr>
            <b/>
            <sz val="9"/>
            <color indexed="81"/>
            <rFont val="Tahoma"/>
            <family val="2"/>
          </rPr>
          <t>DAYANA  BEZERRA COSTA:</t>
        </r>
        <r>
          <rPr>
            <sz val="9"/>
            <color indexed="81"/>
            <rFont val="Tahoma"/>
            <family val="2"/>
          </rPr>
          <t xml:space="preserve">
9 paredes internas
2 vigas por parede </t>
        </r>
      </text>
    </comment>
    <comment ref="I129" authorId="0" shapeId="0">
      <text>
        <r>
          <rPr>
            <b/>
            <sz val="9"/>
            <color indexed="81"/>
            <rFont val="Tahoma"/>
            <family val="2"/>
          </rPr>
          <t>DAYANA  BEZERRA COSTA:</t>
        </r>
        <r>
          <rPr>
            <sz val="9"/>
            <color indexed="81"/>
            <rFont val="Tahoma"/>
            <family val="2"/>
          </rPr>
          <t xml:space="preserve">
2 vigas longitudinal de 44m / leito
11 vigas transversais de 10 m / leito</t>
        </r>
      </text>
    </comment>
    <comment ref="G130" authorId="0" shapeId="0">
      <text>
        <r>
          <rPr>
            <b/>
            <sz val="9"/>
            <color indexed="81"/>
            <rFont val="Tahoma"/>
            <family val="2"/>
          </rPr>
          <t>DAYANA  BEZERRA COSTA:</t>
        </r>
        <r>
          <rPr>
            <sz val="9"/>
            <color indexed="81"/>
            <rFont val="Tahoma"/>
            <family val="2"/>
          </rPr>
          <t xml:space="preserve">
2 VIGAS POR LEITO
2 LEITOS DE SECAGEM</t>
        </r>
      </text>
    </comment>
    <comment ref="H140" authorId="0" shapeId="0">
      <text>
        <r>
          <rPr>
            <b/>
            <sz val="9"/>
            <color indexed="81"/>
            <rFont val="Tahoma"/>
            <family val="2"/>
          </rPr>
          <t>DAYANA  BEZERRA COSTA:</t>
        </r>
        <r>
          <rPr>
            <sz val="9"/>
            <color indexed="81"/>
            <rFont val="Tahoma"/>
            <family val="2"/>
          </rPr>
          <t xml:space="preserve">
9 paredes internas
2 vigas por parede </t>
        </r>
      </text>
    </comment>
    <comment ref="J147" authorId="0" shapeId="0">
      <text>
        <r>
          <rPr>
            <b/>
            <sz val="9"/>
            <color indexed="81"/>
            <rFont val="Tahoma"/>
            <family val="2"/>
          </rPr>
          <t>DAYANA  BEZERRA COSTA:</t>
        </r>
        <r>
          <rPr>
            <sz val="9"/>
            <color indexed="81"/>
            <rFont val="Tahoma"/>
            <family val="2"/>
          </rPr>
          <t xml:space="preserve">
estribo - 3 x 0,60 m</t>
        </r>
      </text>
    </comment>
    <comment ref="J148" authorId="0" shapeId="0">
      <text>
        <r>
          <rPr>
            <b/>
            <sz val="9"/>
            <color indexed="81"/>
            <rFont val="Tahoma"/>
            <family val="2"/>
          </rPr>
          <t>DAYANA  BEZERRA COSTA:</t>
        </r>
        <r>
          <rPr>
            <sz val="9"/>
            <color indexed="81"/>
            <rFont val="Tahoma"/>
            <family val="2"/>
          </rPr>
          <t xml:space="preserve">
- 1 estribo a cada 0,15 m
- extensão do estribo (4x0,15)
- peso do aço 5.0 = 0,140 kg/m</t>
        </r>
      </text>
    </comment>
    <comment ref="K148" authorId="0" shapeId="0">
      <text>
        <r>
          <rPr>
            <b/>
            <sz val="9"/>
            <color indexed="81"/>
            <rFont val="Tahoma"/>
            <family val="2"/>
          </rPr>
          <t>DAYANA  BEZERRA COSTA:</t>
        </r>
        <r>
          <rPr>
            <sz val="9"/>
            <color indexed="81"/>
            <rFont val="Tahoma"/>
            <family val="2"/>
          </rPr>
          <t xml:space="preserve">
- peso do aço 8.0 - 0,39 kg/m</t>
        </r>
      </text>
    </comment>
    <comment ref="J150" authorId="0" shapeId="0">
      <text>
        <r>
          <rPr>
            <b/>
            <sz val="9"/>
            <color indexed="81"/>
            <rFont val="Tahoma"/>
            <family val="2"/>
          </rPr>
          <t>DAYANA  BEZERRA COSTA:</t>
        </r>
        <r>
          <rPr>
            <sz val="9"/>
            <color indexed="81"/>
            <rFont val="Tahoma"/>
            <family val="2"/>
          </rPr>
          <t xml:space="preserve">
- 1 estribo a cada 0,15 m
- extensão do estribo (4x0,15)
- peso do aço 5.0 = 0,140 kg/m</t>
        </r>
      </text>
    </comment>
    <comment ref="K150" authorId="0" shapeId="0">
      <text>
        <r>
          <rPr>
            <b/>
            <sz val="9"/>
            <color indexed="81"/>
            <rFont val="Tahoma"/>
            <family val="2"/>
          </rPr>
          <t>DAYANA  BEZERRA COSTA:</t>
        </r>
        <r>
          <rPr>
            <sz val="9"/>
            <color indexed="81"/>
            <rFont val="Tahoma"/>
            <family val="2"/>
          </rPr>
          <t xml:space="preserve">
- peso do aço 8.0 - 0,39 kg/m</t>
        </r>
      </text>
    </comment>
    <comment ref="J151" authorId="0" shapeId="0">
      <text>
        <r>
          <rPr>
            <b/>
            <sz val="9"/>
            <color indexed="81"/>
            <rFont val="Tahoma"/>
            <family val="2"/>
          </rPr>
          <t>DAYANA  BEZERRA COSTA:</t>
        </r>
        <r>
          <rPr>
            <sz val="9"/>
            <color indexed="81"/>
            <rFont val="Tahoma"/>
            <family val="2"/>
          </rPr>
          <t xml:space="preserve">
- 1 estribo a cada 0,15 m
- extensão do estribo (4x0,15)
- peso do aço 5.0 = 0,140 kg/m</t>
        </r>
      </text>
    </comment>
    <comment ref="K151" authorId="0" shapeId="0">
      <text>
        <r>
          <rPr>
            <b/>
            <sz val="9"/>
            <color indexed="81"/>
            <rFont val="Tahoma"/>
            <family val="2"/>
          </rPr>
          <t>DAYANA  BEZERRA COSTA:</t>
        </r>
        <r>
          <rPr>
            <sz val="9"/>
            <color indexed="81"/>
            <rFont val="Tahoma"/>
            <family val="2"/>
          </rPr>
          <t xml:space="preserve">
- peso do aço 8.0 - 0,39 kg/m</t>
        </r>
      </text>
    </comment>
    <comment ref="H164" authorId="0" shapeId="0">
      <text>
        <r>
          <rPr>
            <b/>
            <sz val="9"/>
            <color indexed="81"/>
            <rFont val="Tahoma"/>
            <family val="2"/>
          </rPr>
          <t>DAYANA  BEZERRA COSTA:</t>
        </r>
        <r>
          <rPr>
            <sz val="9"/>
            <color indexed="81"/>
            <rFont val="Tahoma"/>
            <family val="2"/>
          </rPr>
          <t xml:space="preserve">
10 aberturas de 1,0 m</t>
        </r>
      </text>
    </comment>
  </commentList>
</comments>
</file>

<file path=xl/comments12.xml><?xml version="1.0" encoding="utf-8"?>
<comments xmlns="http://schemas.openxmlformats.org/spreadsheetml/2006/main">
  <authors>
    <author>DAYANA  BEZERRA COSTA</author>
  </authors>
  <commentList>
    <comment ref="M102" authorId="0" shapeId="0">
      <text>
        <r>
          <rPr>
            <b/>
            <sz val="9"/>
            <color indexed="81"/>
            <rFont val="Tahoma"/>
            <family val="2"/>
          </rPr>
          <t>DAYANA  BEZERRA COSTA:</t>
        </r>
        <r>
          <rPr>
            <sz val="9"/>
            <color indexed="81"/>
            <rFont val="Tahoma"/>
            <family val="2"/>
          </rPr>
          <t xml:space="preserve">
LR TRECHO INICIAL</t>
        </r>
      </text>
    </comment>
    <comment ref="M114" authorId="0" shapeId="0">
      <text>
        <r>
          <rPr>
            <b/>
            <sz val="9"/>
            <color indexed="81"/>
            <rFont val="Tahoma"/>
            <family val="2"/>
          </rPr>
          <t>DAYANA  BEZERRA COSTA:</t>
        </r>
        <r>
          <rPr>
            <sz val="9"/>
            <color indexed="81"/>
            <rFont val="Tahoma"/>
            <family val="2"/>
          </rPr>
          <t xml:space="preserve">
LR</t>
        </r>
      </text>
    </comment>
    <comment ref="M116" authorId="0" shapeId="0">
      <text>
        <r>
          <rPr>
            <b/>
            <sz val="9"/>
            <color indexed="81"/>
            <rFont val="Tahoma"/>
            <family val="2"/>
          </rPr>
          <t>DAYANA  BEZERRA COSTA:</t>
        </r>
        <r>
          <rPr>
            <sz val="9"/>
            <color indexed="81"/>
            <rFont val="Tahoma"/>
            <family val="2"/>
          </rPr>
          <t xml:space="preserve">
LR</t>
        </r>
      </text>
    </comment>
    <comment ref="M122" authorId="0" shapeId="0">
      <text>
        <r>
          <rPr>
            <b/>
            <sz val="9"/>
            <color indexed="81"/>
            <rFont val="Tahoma"/>
            <family val="2"/>
          </rPr>
          <t>DAYANA  BEZERRA COSTA:</t>
        </r>
        <r>
          <rPr>
            <sz val="9"/>
            <color indexed="81"/>
            <rFont val="Tahoma"/>
            <family val="2"/>
          </rPr>
          <t xml:space="preserve">
da saída dos reatores até a CDG-1</t>
        </r>
      </text>
    </comment>
    <comment ref="M124" authorId="0" shapeId="0">
      <text>
        <r>
          <rPr>
            <b/>
            <sz val="9"/>
            <color indexed="81"/>
            <rFont val="Tahoma"/>
            <family val="2"/>
          </rPr>
          <t>DAYANA  BEZERRA COSTA:</t>
        </r>
        <r>
          <rPr>
            <sz val="9"/>
            <color indexed="81"/>
            <rFont val="Tahoma"/>
            <family val="2"/>
          </rPr>
          <t xml:space="preserve">
da saída dos reatores até a CDG-1</t>
        </r>
      </text>
    </comment>
    <comment ref="M126" authorId="0" shapeId="0">
      <text>
        <r>
          <rPr>
            <b/>
            <sz val="9"/>
            <color indexed="81"/>
            <rFont val="Tahoma"/>
            <family val="2"/>
          </rPr>
          <t>DAYANA  BEZERRA COSTA:</t>
        </r>
        <r>
          <rPr>
            <sz val="9"/>
            <color indexed="81"/>
            <rFont val="Tahoma"/>
            <family val="2"/>
          </rPr>
          <t xml:space="preserve">
DA CDG-1 AS LAGOAS</t>
        </r>
      </text>
    </comment>
    <comment ref="M128" authorId="0" shapeId="0">
      <text>
        <r>
          <rPr>
            <b/>
            <sz val="9"/>
            <color indexed="81"/>
            <rFont val="Tahoma"/>
            <family val="2"/>
          </rPr>
          <t>DAYANA  BEZERRA COSTA:</t>
        </r>
        <r>
          <rPr>
            <sz val="9"/>
            <color indexed="81"/>
            <rFont val="Tahoma"/>
            <family val="2"/>
          </rPr>
          <t xml:space="preserve">
DA CDG-1 AS LAGOAS</t>
        </r>
      </text>
    </comment>
  </commentList>
</comments>
</file>

<file path=xl/comments13.xml><?xml version="1.0" encoding="utf-8"?>
<comments xmlns="http://schemas.openxmlformats.org/spreadsheetml/2006/main">
  <authors>
    <author>DAYANA  BEZERRA COSTA</author>
  </authors>
  <commentList>
    <comment ref="K8" authorId="0" shapeId="0">
      <text>
        <r>
          <rPr>
            <b/>
            <sz val="9"/>
            <color indexed="81"/>
            <rFont val="Tahoma"/>
            <family val="2"/>
          </rPr>
          <t>DAYANA  BEZERRA COSTA:</t>
        </r>
        <r>
          <rPr>
            <sz val="9"/>
            <color indexed="81"/>
            <rFont val="Tahoma"/>
            <family val="2"/>
          </rPr>
          <t xml:space="preserve">
-SEM REVESTIMENTO
-CALÇADA
-ASFALTO
</t>
        </r>
      </text>
    </comment>
    <comment ref="I36" authorId="0" shapeId="0">
      <text>
        <r>
          <rPr>
            <b/>
            <sz val="9"/>
            <color indexed="81"/>
            <rFont val="Tahoma"/>
            <family val="2"/>
          </rPr>
          <t>DAYANA  BEZERRA COSTA:</t>
        </r>
        <r>
          <rPr>
            <sz val="9"/>
            <color indexed="81"/>
            <rFont val="Tahoma"/>
            <family val="2"/>
          </rPr>
          <t xml:space="preserve">
10 extravasor
2 leitos</t>
        </r>
      </text>
    </comment>
    <comment ref="I37" authorId="0" shapeId="0">
      <text>
        <r>
          <rPr>
            <b/>
            <sz val="9"/>
            <color indexed="81"/>
            <rFont val="Tahoma"/>
            <family val="2"/>
          </rPr>
          <t>DAYANA  BEZERRA COSTA:</t>
        </r>
        <r>
          <rPr>
            <sz val="9"/>
            <color indexed="81"/>
            <rFont val="Tahoma"/>
            <family val="2"/>
          </rPr>
          <t xml:space="preserve">
10 extravasor
2 leitos</t>
        </r>
      </text>
    </comment>
  </commentList>
</comments>
</file>

<file path=xl/comments14.xml><?xml version="1.0" encoding="utf-8"?>
<comments xmlns="http://schemas.openxmlformats.org/spreadsheetml/2006/main">
  <authors>
    <author>DAYANA  BEZERRA COSTA</author>
  </authors>
  <commentList>
    <comment ref="J29" authorId="0" shapeId="0">
      <text>
        <r>
          <rPr>
            <b/>
            <sz val="9"/>
            <color indexed="81"/>
            <rFont val="Tahoma"/>
            <family val="2"/>
          </rPr>
          <t>DAYANA  BEZERRA COSTA:</t>
        </r>
        <r>
          <rPr>
            <sz val="9"/>
            <color indexed="81"/>
            <rFont val="Tahoma"/>
            <family val="2"/>
          </rPr>
          <t xml:space="preserve">
conforme proj. estrutural</t>
        </r>
      </text>
    </comment>
    <comment ref="K29" authorId="0" shapeId="0">
      <text>
        <r>
          <rPr>
            <b/>
            <sz val="9"/>
            <color indexed="81"/>
            <rFont val="Tahoma"/>
            <family val="2"/>
          </rPr>
          <t>DAYANA  BEZERRA COSTA:</t>
        </r>
        <r>
          <rPr>
            <sz val="9"/>
            <color indexed="81"/>
            <rFont val="Tahoma"/>
            <family val="2"/>
          </rPr>
          <t xml:space="preserve">
conforme proj. estrutural</t>
        </r>
      </text>
    </comment>
    <comment ref="J40" authorId="0" shapeId="0">
      <text>
        <r>
          <rPr>
            <b/>
            <sz val="9"/>
            <color indexed="81"/>
            <rFont val="Tahoma"/>
            <family val="2"/>
          </rPr>
          <t>DAYANA  BEZERRA COSTA:</t>
        </r>
        <r>
          <rPr>
            <sz val="9"/>
            <color indexed="81"/>
            <rFont val="Tahoma"/>
            <family val="2"/>
          </rPr>
          <t xml:space="preserve">
conforme proj. estrutural</t>
        </r>
      </text>
    </comment>
    <comment ref="K40" authorId="0" shapeId="0">
      <text>
        <r>
          <rPr>
            <b/>
            <sz val="9"/>
            <color indexed="81"/>
            <rFont val="Tahoma"/>
            <family val="2"/>
          </rPr>
          <t>DAYANA  BEZERRA COSTA:</t>
        </r>
        <r>
          <rPr>
            <sz val="9"/>
            <color indexed="81"/>
            <rFont val="Tahoma"/>
            <family val="2"/>
          </rPr>
          <t xml:space="preserve">
conforme proj. estrutural</t>
        </r>
      </text>
    </comment>
    <comment ref="M352" authorId="0" shapeId="0">
      <text>
        <r>
          <rPr>
            <b/>
            <sz val="9"/>
            <color indexed="81"/>
            <rFont val="Tahoma"/>
            <family val="2"/>
          </rPr>
          <t>DAYANA  BEZERRA COSTA:</t>
        </r>
        <r>
          <rPr>
            <sz val="9"/>
            <color indexed="81"/>
            <rFont val="Tahoma"/>
            <family val="2"/>
          </rPr>
          <t xml:space="preserve">
</t>
        </r>
      </text>
    </comment>
  </commentList>
</comments>
</file>

<file path=xl/comments15.xml><?xml version="1.0" encoding="utf-8"?>
<comments xmlns="http://schemas.openxmlformats.org/spreadsheetml/2006/main">
  <authors>
    <author>DAYANA  BEZERRA COSTA</author>
  </authors>
  <commentList>
    <comment ref="M201" authorId="0" shapeId="0">
      <text>
        <r>
          <rPr>
            <b/>
            <sz val="9"/>
            <color indexed="81"/>
            <rFont val="Tahoma"/>
            <family val="2"/>
          </rPr>
          <t>DAYANA  BEZERRA COSTA:</t>
        </r>
        <r>
          <rPr>
            <sz val="9"/>
            <color indexed="81"/>
            <rFont val="Tahoma"/>
            <family val="2"/>
          </rPr>
          <t xml:space="preserve">
JÁ INCLUIDO NA LISTA DE MATERIAIS</t>
        </r>
      </text>
    </comment>
  </commentList>
</comments>
</file>

<file path=xl/comments16.xml><?xml version="1.0" encoding="utf-8"?>
<comments xmlns="http://schemas.openxmlformats.org/spreadsheetml/2006/main">
  <authors>
    <author>DAYANA  BEZERRA COSTA</author>
  </authors>
  <commentList>
    <comment ref="J191" authorId="0" shapeId="0">
      <text>
        <r>
          <rPr>
            <b/>
            <sz val="9"/>
            <color indexed="81"/>
            <rFont val="Tahoma"/>
            <family val="2"/>
          </rPr>
          <t>DAYANA  BEZERRA COSTA:</t>
        </r>
        <r>
          <rPr>
            <sz val="9"/>
            <color indexed="81"/>
            <rFont val="Tahoma"/>
            <family val="2"/>
          </rPr>
          <t xml:space="preserve">
ESTIMADO</t>
        </r>
      </text>
    </comment>
  </commentList>
</comments>
</file>

<file path=xl/comments17.xml><?xml version="1.0" encoding="utf-8"?>
<comments xmlns="http://schemas.openxmlformats.org/spreadsheetml/2006/main">
  <authors>
    <author>DAYANA  BEZERRA COSTA</author>
  </authors>
  <commentList>
    <comment ref="M55" authorId="0" shapeId="0">
      <text>
        <r>
          <rPr>
            <b/>
            <sz val="9"/>
            <color indexed="81"/>
            <rFont val="Tahoma"/>
            <family val="2"/>
          </rPr>
          <t>DAYANA  BEZERRA COSTA:</t>
        </r>
        <r>
          <rPr>
            <sz val="9"/>
            <color indexed="81"/>
            <rFont val="Tahoma"/>
            <family val="2"/>
          </rPr>
          <t xml:space="preserve">
15 SARJETÕES
5 M/SARJETÃO</t>
        </r>
      </text>
    </comment>
  </commentList>
</comments>
</file>

<file path=xl/comments18.xml><?xml version="1.0" encoding="utf-8"?>
<comments xmlns="http://schemas.openxmlformats.org/spreadsheetml/2006/main">
  <authors>
    <author>DAYANA  BEZERRA COSTA</author>
  </authors>
  <commentList>
    <comment ref="E28" authorId="0" shapeId="0">
      <text>
        <r>
          <rPr>
            <b/>
            <sz val="9"/>
            <color indexed="81"/>
            <rFont val="Tahoma"/>
            <family val="2"/>
          </rPr>
          <t>DAYANA  BEZERRA COSTA:</t>
        </r>
        <r>
          <rPr>
            <sz val="9"/>
            <color indexed="81"/>
            <rFont val="Tahoma"/>
            <family val="2"/>
          </rPr>
          <t xml:space="preserve">
LIMPEZA NO CONTORNO DOS REATORES JÁ EXECUTADOS</t>
        </r>
      </text>
    </comment>
    <comment ref="D363" authorId="0" shapeId="0">
      <text>
        <r>
          <rPr>
            <b/>
            <sz val="9"/>
            <color indexed="81"/>
            <rFont val="Tahoma"/>
            <family val="2"/>
          </rPr>
          <t>DAYANA  BEZERRA COSTA:</t>
        </r>
        <r>
          <rPr>
            <sz val="9"/>
            <color indexed="81"/>
            <rFont val="Tahoma"/>
            <family val="2"/>
          </rPr>
          <t xml:space="preserve">
Pintura externa do reator</t>
        </r>
      </text>
    </comment>
    <comment ref="D365" authorId="0" shapeId="0">
      <text>
        <r>
          <rPr>
            <b/>
            <sz val="9"/>
            <color indexed="81"/>
            <rFont val="Tahoma"/>
            <family val="2"/>
          </rPr>
          <t>DAYANA  BEZERRA COSTA:</t>
        </r>
        <r>
          <rPr>
            <sz val="9"/>
            <color indexed="81"/>
            <rFont val="Tahoma"/>
            <family val="2"/>
          </rPr>
          <t xml:space="preserve">
Teto e canaletas de saída do efluente</t>
        </r>
      </text>
    </comment>
  </commentList>
</comments>
</file>

<file path=xl/comments19.xml><?xml version="1.0" encoding="utf-8"?>
<comments xmlns="http://schemas.openxmlformats.org/spreadsheetml/2006/main">
  <authors>
    <author>DAYANA  BEZERRA COSTA</author>
  </authors>
  <commentList>
    <comment ref="D11" authorId="0" shapeId="0">
      <text>
        <r>
          <rPr>
            <b/>
            <sz val="9"/>
            <color indexed="81"/>
            <rFont val="Tahoma"/>
            <family val="2"/>
          </rPr>
          <t>DAYANA  BEZERRA COSTA:</t>
        </r>
        <r>
          <rPr>
            <sz val="9"/>
            <color indexed="81"/>
            <rFont val="Tahoma"/>
            <family val="2"/>
          </rPr>
          <t xml:space="preserve">
CONFORME MANUAL DE OBRAS DA SANEAGO P/ DN450, PROF.2 A 4 M E ESCORAMENTO CONTINUO</t>
        </r>
      </text>
    </comment>
  </commentList>
</comments>
</file>

<file path=xl/comments2.xml><?xml version="1.0" encoding="utf-8"?>
<comments xmlns="http://schemas.openxmlformats.org/spreadsheetml/2006/main">
  <authors>
    <author>DAYANA  BEZERRA COSTA</author>
  </authors>
  <commentList>
    <comment ref="B1" authorId="0" shapeId="0">
      <text>
        <r>
          <rPr>
            <b/>
            <sz val="9"/>
            <color indexed="81"/>
            <rFont val="Tahoma"/>
            <family val="2"/>
          </rPr>
          <t>DAYANA  BEZERRA COSTA:</t>
        </r>
        <r>
          <rPr>
            <sz val="9"/>
            <color indexed="81"/>
            <rFont val="Tahoma"/>
            <family val="2"/>
          </rPr>
          <t xml:space="preserve">
ENCARGOS SOCIAIS SOBRE PREÇOS DA MÃO-DE-OBRA: 118,42%(HORA)   74,91%(MÊS)</t>
        </r>
      </text>
    </comment>
  </commentList>
</comments>
</file>

<file path=xl/comments3.xml><?xml version="1.0" encoding="utf-8"?>
<comments xmlns="http://schemas.openxmlformats.org/spreadsheetml/2006/main">
  <authors>
    <author>DAYANA  BEZERRA COSTA</author>
  </authors>
  <commentList>
    <comment ref="B1" authorId="0" shapeId="0">
      <text>
        <r>
          <rPr>
            <b/>
            <sz val="9"/>
            <color indexed="81"/>
            <rFont val="Tahoma"/>
            <family val="2"/>
          </rPr>
          <t>DAYANA  BEZERRA COSTA:</t>
        </r>
        <r>
          <rPr>
            <sz val="9"/>
            <color indexed="81"/>
            <rFont val="Tahoma"/>
            <family val="2"/>
          </rPr>
          <t xml:space="preserve">
ENCARGOS SOCIAIS SOBRE PREÇOS DA MÃO-DE-OBRA: 118,42%(HORA)   74,91%(MÊS)</t>
        </r>
      </text>
    </comment>
  </commentList>
</comments>
</file>

<file path=xl/comments4.xml><?xml version="1.0" encoding="utf-8"?>
<comments xmlns="http://schemas.openxmlformats.org/spreadsheetml/2006/main">
  <authors>
    <author>DAYANA  BEZERRA COSTA</author>
  </authors>
  <commentList>
    <comment ref="J29" authorId="0" shapeId="0">
      <text>
        <r>
          <rPr>
            <b/>
            <sz val="9"/>
            <color indexed="81"/>
            <rFont val="Tahoma"/>
            <family val="2"/>
          </rPr>
          <t>DAYANA  BEZERRA COSTA:</t>
        </r>
        <r>
          <rPr>
            <sz val="9"/>
            <color indexed="81"/>
            <rFont val="Tahoma"/>
            <family val="2"/>
          </rPr>
          <t xml:space="preserve">
conforme proj. estrutural</t>
        </r>
      </text>
    </comment>
    <comment ref="K29" authorId="0" shapeId="0">
      <text>
        <r>
          <rPr>
            <b/>
            <sz val="9"/>
            <color indexed="81"/>
            <rFont val="Tahoma"/>
            <family val="2"/>
          </rPr>
          <t>DAYANA  BEZERRA COSTA:</t>
        </r>
        <r>
          <rPr>
            <sz val="9"/>
            <color indexed="81"/>
            <rFont val="Tahoma"/>
            <family val="2"/>
          </rPr>
          <t xml:space="preserve">
conforme proj. estrutural</t>
        </r>
      </text>
    </comment>
    <comment ref="K117" authorId="0" shapeId="0">
      <text>
        <r>
          <rPr>
            <b/>
            <sz val="9"/>
            <color indexed="81"/>
            <rFont val="Tahoma"/>
            <family val="2"/>
          </rPr>
          <t>DAYANA  BEZERRA COSTA:</t>
        </r>
        <r>
          <rPr>
            <sz val="9"/>
            <color indexed="81"/>
            <rFont val="Tahoma"/>
            <family val="2"/>
          </rPr>
          <t xml:space="preserve">
Profund. Média
</t>
        </r>
      </text>
    </comment>
  </commentList>
</comments>
</file>

<file path=xl/comments5.xml><?xml version="1.0" encoding="utf-8"?>
<comments xmlns="http://schemas.openxmlformats.org/spreadsheetml/2006/main">
  <authors>
    <author>DAYANA  BEZERRA COSTA</author>
  </authors>
  <commentList>
    <comment ref="I82" authorId="0" shapeId="0">
      <text>
        <r>
          <rPr>
            <b/>
            <sz val="9"/>
            <color indexed="81"/>
            <rFont val="Tahoma"/>
            <family val="2"/>
          </rPr>
          <t>DAYANA  BEZERRA COSTA:</t>
        </r>
        <r>
          <rPr>
            <sz val="9"/>
            <color indexed="81"/>
            <rFont val="Tahoma"/>
            <family val="2"/>
          </rPr>
          <t xml:space="preserve">
todo material de 1ª categoria</t>
        </r>
      </text>
    </comment>
  </commentList>
</comments>
</file>

<file path=xl/comments6.xml><?xml version="1.0" encoding="utf-8"?>
<comments xmlns="http://schemas.openxmlformats.org/spreadsheetml/2006/main">
  <authors>
    <author>DAYANA  BEZERRA COSTA</author>
  </authors>
  <commentList>
    <comment ref="J29" authorId="0" shapeId="0">
      <text>
        <r>
          <rPr>
            <b/>
            <sz val="9"/>
            <color indexed="81"/>
            <rFont val="Tahoma"/>
            <family val="2"/>
          </rPr>
          <t>DAYANA  BEZERRA COSTA:</t>
        </r>
        <r>
          <rPr>
            <sz val="9"/>
            <color indexed="81"/>
            <rFont val="Tahoma"/>
            <family val="2"/>
          </rPr>
          <t xml:space="preserve">
conforme proj. estrutural</t>
        </r>
      </text>
    </comment>
    <comment ref="K29" authorId="0" shapeId="0">
      <text>
        <r>
          <rPr>
            <b/>
            <sz val="9"/>
            <color indexed="81"/>
            <rFont val="Tahoma"/>
            <family val="2"/>
          </rPr>
          <t>DAYANA  BEZERRA COSTA:</t>
        </r>
        <r>
          <rPr>
            <sz val="9"/>
            <color indexed="81"/>
            <rFont val="Tahoma"/>
            <family val="2"/>
          </rPr>
          <t xml:space="preserve">
conforme proj. estrutural</t>
        </r>
      </text>
    </comment>
    <comment ref="J42" authorId="0" shapeId="0">
      <text>
        <r>
          <rPr>
            <b/>
            <sz val="9"/>
            <color indexed="81"/>
            <rFont val="Tahoma"/>
            <family val="2"/>
          </rPr>
          <t>DAYANA  BEZERRA COSTA:</t>
        </r>
        <r>
          <rPr>
            <sz val="9"/>
            <color indexed="81"/>
            <rFont val="Tahoma"/>
            <family val="2"/>
          </rPr>
          <t xml:space="preserve">
Profund. Média
</t>
        </r>
      </text>
    </comment>
    <comment ref="J43" authorId="0" shapeId="0">
      <text>
        <r>
          <rPr>
            <b/>
            <sz val="9"/>
            <color indexed="81"/>
            <rFont val="Tahoma"/>
            <family val="2"/>
          </rPr>
          <t>DAYANA  BEZERRA COSTA:</t>
        </r>
        <r>
          <rPr>
            <sz val="9"/>
            <color indexed="81"/>
            <rFont val="Tahoma"/>
            <family val="2"/>
          </rPr>
          <t xml:space="preserve">
Profund. Média
</t>
        </r>
      </text>
    </comment>
    <comment ref="J44" authorId="0" shapeId="0">
      <text>
        <r>
          <rPr>
            <b/>
            <sz val="9"/>
            <color indexed="81"/>
            <rFont val="Tahoma"/>
            <family val="2"/>
          </rPr>
          <t>DAYANA  BEZERRA COSTA:</t>
        </r>
        <r>
          <rPr>
            <sz val="9"/>
            <color indexed="81"/>
            <rFont val="Tahoma"/>
            <family val="2"/>
          </rPr>
          <t xml:space="preserve">
Profund. Média
</t>
        </r>
      </text>
    </comment>
    <comment ref="J45" authorId="0" shapeId="0">
      <text>
        <r>
          <rPr>
            <b/>
            <sz val="9"/>
            <color indexed="81"/>
            <rFont val="Tahoma"/>
            <family val="2"/>
          </rPr>
          <t>DAYANA  BEZERRA COSTA:</t>
        </r>
        <r>
          <rPr>
            <sz val="9"/>
            <color indexed="81"/>
            <rFont val="Tahoma"/>
            <family val="2"/>
          </rPr>
          <t xml:space="preserve">
Profund. Média
</t>
        </r>
      </text>
    </comment>
    <comment ref="K90" authorId="0" shapeId="0">
      <text>
        <r>
          <rPr>
            <b/>
            <sz val="9"/>
            <color indexed="81"/>
            <rFont val="Tahoma"/>
            <family val="2"/>
          </rPr>
          <t>DAYANA  BEZERRA COSTA:</t>
        </r>
        <r>
          <rPr>
            <sz val="9"/>
            <color indexed="81"/>
            <rFont val="Tahoma"/>
            <family val="2"/>
          </rPr>
          <t xml:space="preserve">
Profund. Média
</t>
        </r>
      </text>
    </comment>
  </commentList>
</comments>
</file>

<file path=xl/comments7.xml><?xml version="1.0" encoding="utf-8"?>
<comments xmlns="http://schemas.openxmlformats.org/spreadsheetml/2006/main">
  <authors>
    <author>DAYANA  BEZERRA COSTA</author>
  </authors>
  <commentList>
    <comment ref="I80" authorId="0" shapeId="0">
      <text>
        <r>
          <rPr>
            <b/>
            <sz val="9"/>
            <color indexed="81"/>
            <rFont val="Tahoma"/>
            <family val="2"/>
          </rPr>
          <t>DAYANA  BEZERRA COSTA:</t>
        </r>
        <r>
          <rPr>
            <sz val="9"/>
            <color indexed="81"/>
            <rFont val="Tahoma"/>
            <family val="2"/>
          </rPr>
          <t xml:space="preserve">
todo material de 1ª categoria</t>
        </r>
      </text>
    </comment>
  </commentList>
</comments>
</file>

<file path=xl/comments8.xml><?xml version="1.0" encoding="utf-8"?>
<comments xmlns="http://schemas.openxmlformats.org/spreadsheetml/2006/main">
  <authors>
    <author>DAYANA  BEZERRA COSTA</author>
  </authors>
  <commentList>
    <comment ref="M63" authorId="0" shapeId="0">
      <text>
        <r>
          <rPr>
            <b/>
            <sz val="9"/>
            <color indexed="81"/>
            <rFont val="Tahoma"/>
            <family val="2"/>
          </rPr>
          <t>DAYANA  BEZERRA COSTA:</t>
        </r>
        <r>
          <rPr>
            <sz val="9"/>
            <color indexed="81"/>
            <rFont val="Tahoma"/>
            <family val="2"/>
          </rPr>
          <t xml:space="preserve">
considerou apenas o lastro de concreto</t>
        </r>
      </text>
    </comment>
    <comment ref="M64" authorId="0" shapeId="0">
      <text>
        <r>
          <rPr>
            <b/>
            <sz val="9"/>
            <color indexed="81"/>
            <rFont val="Tahoma"/>
            <family val="2"/>
          </rPr>
          <t>DAYANA  BEZERRA COSTA:</t>
        </r>
        <r>
          <rPr>
            <sz val="9"/>
            <color indexed="81"/>
            <rFont val="Tahoma"/>
            <family val="2"/>
          </rPr>
          <t xml:space="preserve">
considerou apenas o lastro de concreto</t>
        </r>
      </text>
    </comment>
    <comment ref="M65" authorId="0" shapeId="0">
      <text>
        <r>
          <rPr>
            <b/>
            <sz val="9"/>
            <color indexed="81"/>
            <rFont val="Tahoma"/>
            <family val="2"/>
          </rPr>
          <t>DAYANA  BEZERRA COSTA:</t>
        </r>
        <r>
          <rPr>
            <sz val="9"/>
            <color indexed="81"/>
            <rFont val="Tahoma"/>
            <family val="2"/>
          </rPr>
          <t xml:space="preserve">
considerou apenas o lastro de concreto</t>
        </r>
      </text>
    </comment>
    <comment ref="J215" authorId="0" shapeId="0">
      <text>
        <r>
          <rPr>
            <b/>
            <sz val="9"/>
            <color indexed="81"/>
            <rFont val="Tahoma"/>
            <family val="2"/>
          </rPr>
          <t>DAYANA  BEZERRA COSTA:</t>
        </r>
        <r>
          <rPr>
            <sz val="9"/>
            <color indexed="81"/>
            <rFont val="Tahoma"/>
            <family val="2"/>
          </rPr>
          <t xml:space="preserve">
MATERIAL DE 2º/3º/SOLO MOLE SERÁ DISPOSTO NO BOTA-FORA</t>
        </r>
      </text>
    </comment>
    <comment ref="K218" authorId="0" shapeId="0">
      <text>
        <r>
          <rPr>
            <b/>
            <sz val="9"/>
            <color indexed="81"/>
            <rFont val="Tahoma"/>
            <family val="2"/>
          </rPr>
          <t>DAYANA  BEZERRA COSTA:</t>
        </r>
        <r>
          <rPr>
            <sz val="9"/>
            <color indexed="81"/>
            <rFont val="Tahoma"/>
            <family val="2"/>
          </rPr>
          <t xml:space="preserve">
MATERIAL DE 2º/3º/SOLO MOLE SERÁ DISPOSTO NO BOTA-FORA</t>
        </r>
      </text>
    </comment>
    <comment ref="G287" authorId="0" shapeId="0">
      <text>
        <r>
          <rPr>
            <b/>
            <sz val="9"/>
            <color indexed="81"/>
            <rFont val="Tahoma"/>
            <family val="2"/>
          </rPr>
          <t>DAYANA  BEZERRA COSTA:</t>
        </r>
        <r>
          <rPr>
            <sz val="9"/>
            <color indexed="81"/>
            <rFont val="Tahoma"/>
            <family val="2"/>
          </rPr>
          <t xml:space="preserve">
2,13</t>
        </r>
      </text>
    </comment>
    <comment ref="H287" authorId="0" shapeId="0">
      <text>
        <r>
          <rPr>
            <b/>
            <sz val="9"/>
            <color indexed="81"/>
            <rFont val="Tahoma"/>
            <family val="2"/>
          </rPr>
          <t>DAYANA  BEZERRA COSTA:</t>
        </r>
        <r>
          <rPr>
            <sz val="9"/>
            <color indexed="81"/>
            <rFont val="Tahoma"/>
            <family val="2"/>
          </rPr>
          <t xml:space="preserve">
2630,12</t>
        </r>
      </text>
    </comment>
    <comment ref="I287" authorId="0" shapeId="0">
      <text>
        <r>
          <rPr>
            <b/>
            <sz val="9"/>
            <color indexed="81"/>
            <rFont val="Tahoma"/>
            <family val="2"/>
          </rPr>
          <t>DAYANA  BEZERRA COSTA:</t>
        </r>
        <r>
          <rPr>
            <sz val="9"/>
            <color indexed="81"/>
            <rFont val="Tahoma"/>
            <family val="2"/>
          </rPr>
          <t xml:space="preserve">
1197,91</t>
        </r>
      </text>
    </comment>
    <comment ref="J287" authorId="0" shapeId="0">
      <text>
        <r>
          <rPr>
            <b/>
            <sz val="9"/>
            <color indexed="81"/>
            <rFont val="Tahoma"/>
            <family val="2"/>
          </rPr>
          <t>DAYANA  BEZERRA COSTA:</t>
        </r>
        <r>
          <rPr>
            <sz val="9"/>
            <color indexed="81"/>
            <rFont val="Tahoma"/>
            <family val="2"/>
          </rPr>
          <t xml:space="preserve">
252,39</t>
        </r>
      </text>
    </comment>
    <comment ref="K287" authorId="0" shapeId="0">
      <text>
        <r>
          <rPr>
            <b/>
            <sz val="9"/>
            <color indexed="81"/>
            <rFont val="Tahoma"/>
            <family val="2"/>
          </rPr>
          <t>DAYANA  BEZERRA COSTA:</t>
        </r>
        <r>
          <rPr>
            <sz val="9"/>
            <color indexed="81"/>
            <rFont val="Tahoma"/>
            <family val="2"/>
          </rPr>
          <t xml:space="preserve">
475,12</t>
        </r>
      </text>
    </comment>
    <comment ref="M320" authorId="0" shapeId="0">
      <text>
        <r>
          <rPr>
            <b/>
            <sz val="9"/>
            <color indexed="81"/>
            <rFont val="Tahoma"/>
            <family val="2"/>
          </rPr>
          <t>DAYANA  BEZERRA COSTA:</t>
        </r>
        <r>
          <rPr>
            <sz val="9"/>
            <color indexed="81"/>
            <rFont val="Tahoma"/>
            <family val="2"/>
          </rPr>
          <t xml:space="preserve">
ITEM E35 - CAIXA DE DESCARGA</t>
        </r>
      </text>
    </comment>
    <comment ref="F363" authorId="0" shapeId="0">
      <text>
        <r>
          <rPr>
            <b/>
            <sz val="9"/>
            <color indexed="81"/>
            <rFont val="Tahoma"/>
            <family val="2"/>
          </rPr>
          <t>DAYANA  BEZERRA COSTA:</t>
        </r>
        <r>
          <rPr>
            <sz val="9"/>
            <color indexed="81"/>
            <rFont val="Tahoma"/>
            <family val="2"/>
          </rPr>
          <t xml:space="preserve">
(Obtida do proj. estrutural)</t>
        </r>
      </text>
    </comment>
    <comment ref="H371" authorId="0" shapeId="0">
      <text>
        <r>
          <rPr>
            <b/>
            <sz val="9"/>
            <color indexed="81"/>
            <rFont val="Tahoma"/>
            <family val="2"/>
          </rPr>
          <t>DAYANA  BEZERRA COSTA:</t>
        </r>
        <r>
          <rPr>
            <sz val="9"/>
            <color indexed="81"/>
            <rFont val="Tahoma"/>
            <family val="2"/>
          </rPr>
          <t xml:space="preserve">
area em planta</t>
        </r>
      </text>
    </comment>
    <comment ref="H372" authorId="0" shapeId="0">
      <text>
        <r>
          <rPr>
            <b/>
            <sz val="9"/>
            <color indexed="81"/>
            <rFont val="Tahoma"/>
            <family val="2"/>
          </rPr>
          <t>DAYANA  BEZERRA COSTA:</t>
        </r>
        <r>
          <rPr>
            <sz val="9"/>
            <color indexed="81"/>
            <rFont val="Tahoma"/>
            <family val="2"/>
          </rPr>
          <t xml:space="preserve">
area em planta</t>
        </r>
      </text>
    </comment>
  </commentList>
</comments>
</file>

<file path=xl/comments9.xml><?xml version="1.0" encoding="utf-8"?>
<comments xmlns="http://schemas.openxmlformats.org/spreadsheetml/2006/main">
  <authors>
    <author>DAYANA  BEZERRA COSTA</author>
  </authors>
  <commentList>
    <comment ref="E28" authorId="0" shapeId="0">
      <text>
        <r>
          <rPr>
            <b/>
            <sz val="9"/>
            <color indexed="81"/>
            <rFont val="Tahoma"/>
            <family val="2"/>
          </rPr>
          <t>DAYANA  BEZERRA COSTA:</t>
        </r>
        <r>
          <rPr>
            <sz val="9"/>
            <color indexed="81"/>
            <rFont val="Tahoma"/>
            <family val="2"/>
          </rPr>
          <t xml:space="preserve">
LIMPEZA NO CONTORNO DOS REATORES JÁ EXECUTADOS</t>
        </r>
      </text>
    </comment>
    <comment ref="D403" authorId="0" shapeId="0">
      <text>
        <r>
          <rPr>
            <b/>
            <sz val="9"/>
            <color indexed="81"/>
            <rFont val="Tahoma"/>
            <family val="2"/>
          </rPr>
          <t>DAYANA  BEZERRA COSTA:</t>
        </r>
        <r>
          <rPr>
            <sz val="9"/>
            <color indexed="81"/>
            <rFont val="Tahoma"/>
            <family val="2"/>
          </rPr>
          <t xml:space="preserve">
Pintura externa do reator</t>
        </r>
      </text>
    </comment>
  </commentList>
</comments>
</file>

<file path=xl/sharedStrings.xml><?xml version="1.0" encoding="utf-8"?>
<sst xmlns="http://schemas.openxmlformats.org/spreadsheetml/2006/main" count="79729" uniqueCount="21123">
  <si>
    <t>CLIENTE:</t>
  </si>
  <si>
    <t>SANEAGO</t>
  </si>
  <si>
    <t>LOCAL:</t>
  </si>
  <si>
    <t>DADOS GERAIS A SEREM UTILIZADOS NOS CÁLCULOS</t>
  </si>
  <si>
    <t>Distância para Bota Fora</t>
  </si>
  <si>
    <t>km</t>
  </si>
  <si>
    <t>Escavação Mecanizada</t>
  </si>
  <si>
    <t>Escavação Manual</t>
  </si>
  <si>
    <t>%</t>
  </si>
  <si>
    <t>Material 1º Categoria</t>
  </si>
  <si>
    <t>Material 2º Categoria</t>
  </si>
  <si>
    <t>Material 3º Categoria</t>
  </si>
  <si>
    <t>Barro/Lama</t>
  </si>
  <si>
    <t>Empolamento Solos</t>
  </si>
  <si>
    <t>Empolamento Entulho</t>
  </si>
  <si>
    <t>Reaterro Manual</t>
  </si>
  <si>
    <t>Reaterro Mecanizado</t>
  </si>
  <si>
    <t>Comprimento</t>
  </si>
  <si>
    <t>m</t>
  </si>
  <si>
    <t>Largura</t>
  </si>
  <si>
    <t>Área</t>
  </si>
  <si>
    <t>m²</t>
  </si>
  <si>
    <t>m³</t>
  </si>
  <si>
    <t>m³ x km</t>
  </si>
  <si>
    <t>DIVERSOS</t>
  </si>
  <si>
    <t>Unidade</t>
  </si>
  <si>
    <t xml:space="preserve">un </t>
  </si>
  <si>
    <t>Total</t>
  </si>
  <si>
    <t>Profundidade</t>
  </si>
  <si>
    <t>º</t>
  </si>
  <si>
    <t>-</t>
  </si>
  <si>
    <t>Diâmetro</t>
  </si>
  <si>
    <t>Altura</t>
  </si>
  <si>
    <t>kg</t>
  </si>
  <si>
    <t>Distância para Jazida de Empréstimo</t>
  </si>
  <si>
    <t>Empolamento</t>
  </si>
  <si>
    <t>Espessura</t>
  </si>
  <si>
    <t>Largura Extra</t>
  </si>
  <si>
    <t>Vol. Escav.</t>
  </si>
  <si>
    <t>Vol. Reaterro</t>
  </si>
  <si>
    <t>Vol. Sobra</t>
  </si>
  <si>
    <t>MOVIMENTO DE TERRA</t>
  </si>
  <si>
    <t>Reaterro Total</t>
  </si>
  <si>
    <t>Extensão</t>
  </si>
  <si>
    <t>Esc. Total</t>
  </si>
  <si>
    <t>Reat. Total</t>
  </si>
  <si>
    <t>ASSENTAMENTO DAS TUBULAÇÕES</t>
  </si>
  <si>
    <t>TRANSPORTE, CARGA E DESCARGA DE MATERIAL (BOTA FORA)</t>
  </si>
  <si>
    <t>Dist. Bot. Fora</t>
  </si>
  <si>
    <t>FUNDAÇÃO (TÍPICO PARA CAIXAS)</t>
  </si>
  <si>
    <t>Mecanico</t>
  </si>
  <si>
    <t>Qtd</t>
  </si>
  <si>
    <t xml:space="preserve">Pé direito </t>
  </si>
  <si>
    <t>ALVENARIA</t>
  </si>
  <si>
    <t>CHAPISCO - EMBOÇO - REBOCO</t>
  </si>
  <si>
    <t>REVESTIMENTOS E PINTURAS</t>
  </si>
  <si>
    <t xml:space="preserve">Área de platibanda em alvenaria </t>
  </si>
  <si>
    <t>H</t>
  </si>
  <si>
    <t>Vol. Escav. Total</t>
  </si>
  <si>
    <t>COBERTURA</t>
  </si>
  <si>
    <t xml:space="preserve">Comprimento </t>
  </si>
  <si>
    <t>Comp. Calha</t>
  </si>
  <si>
    <t>Altura Rufo</t>
  </si>
  <si>
    <t>PISOS E CERAMICAS</t>
  </si>
  <si>
    <t>CÓDIGO</t>
  </si>
  <si>
    <t>UN</t>
  </si>
  <si>
    <t>73994/001</t>
  </si>
  <si>
    <t>74022/030</t>
  </si>
  <si>
    <t xml:space="preserve">Largura </t>
  </si>
  <si>
    <t>M²</t>
  </si>
  <si>
    <t>SINAPI</t>
  </si>
  <si>
    <t>M</t>
  </si>
  <si>
    <t>74190/001</t>
  </si>
  <si>
    <t/>
  </si>
  <si>
    <t>DATA ELABORAÇÃO:</t>
  </si>
  <si>
    <t>BDI (Serviços)</t>
  </si>
  <si>
    <t>BDI (Materiais)</t>
  </si>
  <si>
    <t>TABELA BASE:</t>
  </si>
  <si>
    <t>TOTAL:</t>
  </si>
  <si>
    <t>Manual</t>
  </si>
  <si>
    <t>DN</t>
  </si>
  <si>
    <t>Material</t>
  </si>
  <si>
    <t>Reaterro total</t>
  </si>
  <si>
    <t>Vol. Tubos</t>
  </si>
  <si>
    <t>Dis. Bot. Fora</t>
  </si>
  <si>
    <t>Sobra</t>
  </si>
  <si>
    <t>Código</t>
  </si>
  <si>
    <t>Descrição</t>
  </si>
  <si>
    <t>Preço (R$)</t>
  </si>
  <si>
    <t>ACETILENO (RECARGA PARA CILINDRO DE CONJUNTO OXICORTE GRANDE)</t>
  </si>
  <si>
    <t>KG</t>
  </si>
  <si>
    <t>L</t>
  </si>
  <si>
    <t>ADESIVO ESTRUTURAL A BASE DE RESINA EPOXI, BICOMPONENTE, FLUIDO</t>
  </si>
  <si>
    <t>ADITIVO ACELERADOR DE PEGA E ENDURECIMENTO PARA ARGAMASSAS E CONCRETOS</t>
  </si>
  <si>
    <t>ADITIVO LIQUIDO INCORPORADOR DE AR PARA CONCRETO E ARGAMASSA</t>
  </si>
  <si>
    <t>ADITIVO PLASTIFICANTE E ESTABILIZADOR PARA ARGAMASSAS DE ASSENTAMENTO E REBOCO</t>
  </si>
  <si>
    <t>18L</t>
  </si>
  <si>
    <t>200KG</t>
  </si>
  <si>
    <t>AJUDANTE DE ARMADOR</t>
  </si>
  <si>
    <t>AJUDANTE DE PEDREIRO</t>
  </si>
  <si>
    <t>AJUDANTE DE PINTOR</t>
  </si>
  <si>
    <t>AJUDANTE ESPECIALIZADO</t>
  </si>
  <si>
    <t>ALMOXARIFE</t>
  </si>
  <si>
    <t>ALMOXARIFE (MENSALISTA)</t>
  </si>
  <si>
    <t>M³</t>
  </si>
  <si>
    <t>CJ</t>
  </si>
  <si>
    <t>APONTADOR OU APROPRIADOR</t>
  </si>
  <si>
    <t>APONTADOR OU APROPRIADOR (MENSALISTA)</t>
  </si>
  <si>
    <t>ARAME FARPADO GALVANIZADO 14 BWG, CLASSE 250</t>
  </si>
  <si>
    <t>ARAME FARPADO GALVANIZADO 16 BWG, CLASSE 250</t>
  </si>
  <si>
    <t>ARAME GALVANIZADO 16 BWG, 1,65MM (0,0166 KG/M)</t>
  </si>
  <si>
    <t>ARAME GALVANIZADO 18 BWG, 1,24MM (0,009 KG/M)</t>
  </si>
  <si>
    <t>AREIA AMARELA, AREIA BARRADA OU ARENOSO (RETIRADA NO AREAL, SEM TRANSPORTE)</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</si>
  <si>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</si>
  <si>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</si>
  <si>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</si>
  <si>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</si>
  <si>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</si>
  <si>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</si>
  <si>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</si>
  <si>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PRONTA PARA CONTRAPISO</t>
  </si>
  <si>
    <t>ARGAMASSA PRONTA PARA REVESTIMENTO INTERNO EM PAREDES</t>
  </si>
  <si>
    <t>ARGILA EXPANDIDA, GRANULOMETRIA 2215</t>
  </si>
  <si>
    <t>ARGILA, ARGILA VERMELHA OU ARGILA ARENOSA (RETIRADA NA JAZIDA, SEM TRANSPORTE)</t>
  </si>
  <si>
    <t>ARMADOR</t>
  </si>
  <si>
    <t>ARQUITETO PAISAGISTA</t>
  </si>
  <si>
    <t>ARQUITETO PLENO</t>
  </si>
  <si>
    <t>ARQUITETO PLENO (MENSALISTA)</t>
  </si>
  <si>
    <t>AUXILIAR DE AZULEJISTA</t>
  </si>
  <si>
    <t>AUXILIAR DE DESENHISTA</t>
  </si>
  <si>
    <t>AZULEJISTA OU LADRILHISTA</t>
  </si>
  <si>
    <t>PAR</t>
  </si>
  <si>
    <t>BASE DE MISTURADOR MONOCOMANDO PARA CHUVEIRO</t>
  </si>
  <si>
    <t>JG</t>
  </si>
  <si>
    <t>BLASTER, DINAMITADOR OU CABO DE FOGO</t>
  </si>
  <si>
    <t>MIL</t>
  </si>
  <si>
    <t>CABIDE/GANCHO DE BANHEIRO SIMPLES EM METAL CROMADO</t>
  </si>
  <si>
    <t>CADEIRA SUSPENSA MANUAL / BALANCIM INDIVIDUAL (NBR 14751)</t>
  </si>
  <si>
    <t>CAIXA D'AGUA DE FIBRA DE VIDRO, PARA 500 LITROS, COM TAMPA</t>
  </si>
  <si>
    <t>CAIXA D'AGUA EM POLIETILENO 500 LITROS, COM TAMPA</t>
  </si>
  <si>
    <t>CAIXA D'AGUA EM POLIETILENO 750 LITROS, COM TAMPA</t>
  </si>
  <si>
    <t>CAL HIDRATADA CH-I PARA ARGAMASSAS</t>
  </si>
  <si>
    <t>CAL HIDRATADA PARA PINTURA</t>
  </si>
  <si>
    <t>CAL VIRGEM COMUM PARA ARGAMASSAS (NBR 6453)</t>
  </si>
  <si>
    <t>CALAFETADOR / CALAFATE</t>
  </si>
  <si>
    <t>CALCETEIRO</t>
  </si>
  <si>
    <t>CARPINTEIRO DE FORMAS</t>
  </si>
  <si>
    <t>CASCALHO DE CAVA</t>
  </si>
  <si>
    <t>CASCALHO DE RIO</t>
  </si>
  <si>
    <t>CASCALHO LAVADO</t>
  </si>
  <si>
    <t>CHAVE SECCIONADORA TRIPOLAR, ABERTURA EM CARGA 15KV, 400A , C/ PUNHO</t>
  </si>
  <si>
    <t>CHAVE SECCIONADORA UNIPOLAR, ABERTURA EM CARGA C/ VARA, 15KV, 400A USO INTERNO</t>
  </si>
  <si>
    <t>T</t>
  </si>
  <si>
    <t>CIMENTO BRANCO</t>
  </si>
  <si>
    <t>50KG</t>
  </si>
  <si>
    <t>100M</t>
  </si>
  <si>
    <t>DENTE PARA FRESADORA</t>
  </si>
  <si>
    <t>DESENHISTA COPISTA</t>
  </si>
  <si>
    <t>DESENHISTA COPISTA (MENSALISTA)</t>
  </si>
  <si>
    <t>DESENHISTA DETALHISTA</t>
  </si>
  <si>
    <t>DESENHISTA DETALHISTA (MENSALISTA)</t>
  </si>
  <si>
    <t>DESENHISTA PROJETISTA</t>
  </si>
  <si>
    <t>DESENHISTA PROJETISTA (MENSALISTA)</t>
  </si>
  <si>
    <t>ELETRICISTA</t>
  </si>
  <si>
    <t>ELETRICISTA INDUSTRIAL</t>
  </si>
  <si>
    <t>ELETRODUTO 2" TIPO KANALEX OU EQUIV</t>
  </si>
  <si>
    <t>ELETRODUTO 3" TIPO KANALEX OU EQUIV</t>
  </si>
  <si>
    <t>ENCARREGADO GERAL DE OBRAS</t>
  </si>
  <si>
    <t>ENCARREGADO GERAL DE OBRAS (MENSALISTA)</t>
  </si>
  <si>
    <t>KW/H</t>
  </si>
  <si>
    <t>ENGENHEIRO CIVIL DE OBRA PLENO</t>
  </si>
  <si>
    <t>ENGENHEIRO CIVIL DE OBRA PLENO (MENSALISTA)</t>
  </si>
  <si>
    <t>ENGENHEIRO CIVIL PLENO</t>
  </si>
  <si>
    <t>ENGENHEIRO ELETRICISTA</t>
  </si>
  <si>
    <t>ENGENHEIRO SANITARISTA</t>
  </si>
  <si>
    <t>ESTOPA</t>
  </si>
  <si>
    <t>ESTOPIM SIMPLES</t>
  </si>
  <si>
    <t>ESTUCADOR</t>
  </si>
  <si>
    <t>ETANOL</t>
  </si>
  <si>
    <t>FERTILIZANTE NPK - 10:10:10</t>
  </si>
  <si>
    <t>CENTO</t>
  </si>
  <si>
    <t>FIXADOR DE ABA SIMPLES PARA TELHA DE FIBROCIMENTO, TIPO CANALETA 49 OU KALHETA</t>
  </si>
  <si>
    <t>GL</t>
  </si>
  <si>
    <t>GASOLINA COMUM</t>
  </si>
  <si>
    <t>GESSEIRO</t>
  </si>
  <si>
    <t>GESSO PROJETADO</t>
  </si>
  <si>
    <t>GRAMA BATATAIS EM PLACAS, SEM PLANTIO</t>
  </si>
  <si>
    <t>SC25KG</t>
  </si>
  <si>
    <t>GRANITO CINZA POLIDO P/BANCADA E=2,5 CM</t>
  </si>
  <si>
    <t>GRAXA LUBRIFICANTE</t>
  </si>
  <si>
    <t>IMPERMEABILIZADOR</t>
  </si>
  <si>
    <t>IMPERMEABILIZANTE INCOLOR PARA TRATAMENTO DE FACHADAS E TELHAS, BASE SILICONE</t>
  </si>
  <si>
    <t>JARDINEIRO</t>
  </si>
  <si>
    <t>KIT CAVALETE PVC COM REGISTRO 3/4", COMPLETO</t>
  </si>
  <si>
    <t>MARCENEIRO</t>
  </si>
  <si>
    <t>MASSA CORRIDA PVA PARA PAREDES INTERNAS</t>
  </si>
  <si>
    <t>MASSA PARA VIDRO</t>
  </si>
  <si>
    <t>MESTRE DE OBRAS</t>
  </si>
  <si>
    <t>MESTRE DE OBRAS (MENSALISTA)</t>
  </si>
  <si>
    <t>METACAULIM DE ALTA REATIVIDADE/CAULIM CALCINADO</t>
  </si>
  <si>
    <t>MISTURADOR MONOCOMANDO PARA CHUVEIRO, BASE BRUTA E ACABAMENTO CROMADO</t>
  </si>
  <si>
    <t>MONTADOR ELETROELETRONICO</t>
  </si>
  <si>
    <t>MOTORISTA DE VEICULO LEVE</t>
  </si>
  <si>
    <t>MOTORISTA DE VEICULO PESADO</t>
  </si>
  <si>
    <t>NIVELADOR</t>
  </si>
  <si>
    <t>OPERADOR DE ACABADORA</t>
  </si>
  <si>
    <t>OPERADOR DE ESCAVADEIRA</t>
  </si>
  <si>
    <t>OPERADOR DE GUINCHO</t>
  </si>
  <si>
    <t>OPERADOR DE GUINDASTE</t>
  </si>
  <si>
    <t>OPERADOR DE MARTELETE OU MARTELETEIRO</t>
  </si>
  <si>
    <t>OPERADOR DE MOTONIVELADORA</t>
  </si>
  <si>
    <t>OPERADOR DE PAVIMENTADORA</t>
  </si>
  <si>
    <t>OPERADOR DE ROLO COMPACTADOR</t>
  </si>
  <si>
    <t>OPERADOR DE USINA DE ASFALTO, DE SOLOS OU DE CONCRETO</t>
  </si>
  <si>
    <t>OPERADOR PARA BATE ESTACAS</t>
  </si>
  <si>
    <t>FL</t>
  </si>
  <si>
    <t>PAPELEIRA DE PAREDE EM METAL CROMADO SEM TAMPA</t>
  </si>
  <si>
    <t>250G</t>
  </si>
  <si>
    <t>PASTILHEIRO</t>
  </si>
  <si>
    <t>PEDREIRO</t>
  </si>
  <si>
    <t>PINTOR</t>
  </si>
  <si>
    <t>PINTOR DE LETREIROS</t>
  </si>
  <si>
    <t>PISO EM GRANITO BRANCO QUARTZ 30X30CM E=2CM LEVIGADO</t>
  </si>
  <si>
    <t>PLUG PVC P/ ESG PREDIAL 100MM</t>
  </si>
  <si>
    <t>PLUG PVC P/ ESG PREDIAL 50MM</t>
  </si>
  <si>
    <t>POLIESTIRENO EXPANDIDO/EPS (ISOPOR), TIPO 2F, BLOCO</t>
  </si>
  <si>
    <t>PORTA DENTE PARA FRESADORA</t>
  </si>
  <si>
    <t>PORTA TOALHA BANHO EM METAL CROMADO, TIPO BARRA</t>
  </si>
  <si>
    <t>PORTA TOALHA ROSTO EM METAL CROMADO, TIPO ARGOLA</t>
  </si>
  <si>
    <t>POZOLANA DE CLASSE C</t>
  </si>
  <si>
    <t>PROTETOR SOLAR FPS 30, EMBALAGEM 2 LITROS</t>
  </si>
  <si>
    <t>QUEROSENE</t>
  </si>
  <si>
    <t>RASTELEIRO</t>
  </si>
  <si>
    <t>REDUTOR TIPO THINNER PARA ACABAMENTO</t>
  </si>
  <si>
    <t>RETARDO PARA CORDEL DETONANTE</t>
  </si>
  <si>
    <t>SABONETEIRA DE PAREDE EM METAL CROMADO</t>
  </si>
  <si>
    <t>SAIBRO PARA ARGAMASSA (COLETADO NO COMERCIO)</t>
  </si>
  <si>
    <t>310ML</t>
  </si>
  <si>
    <t>SELANTE TIPO VEDA CALHA PARA METAL E FIBROCIMENTO</t>
  </si>
  <si>
    <t>SERRALHEIRO</t>
  </si>
  <si>
    <t>SERVENTE</t>
  </si>
  <si>
    <t>SISAL EM FIBRA</t>
  </si>
  <si>
    <t>SOLDADOR</t>
  </si>
  <si>
    <t>SOLDADOR A (PARA SOLDA A SER TESTADA COM RAIOS "X")</t>
  </si>
  <si>
    <t>SUPORTE "Y" PARA FITA PERFURADA</t>
  </si>
  <si>
    <t>TAQUEADOR OU TAQUEIRO</t>
  </si>
  <si>
    <t>TELA DE ANIAGEM (JUTA)</t>
  </si>
  <si>
    <t>TELHADISTA</t>
  </si>
  <si>
    <t>TERRA VEGETAL (ENSACADA)</t>
  </si>
  <si>
    <t>TINTA BORRACHA CLORADA, ACABAMENTO SEMIBRILHO, BRANCA</t>
  </si>
  <si>
    <t>TINTA BORRACHA, CLORADA, ACABAMENTO SEMIBRILHO, PRETA</t>
  </si>
  <si>
    <t>TOPOGRAFO (MENSALISTA)</t>
  </si>
  <si>
    <t>VERNIZ POLIURETANO BRILHANTE PARA MADEIRA, SEM FILTRO SOLAR, USO INTERNO E EXTERNO</t>
  </si>
  <si>
    <t>VIDRACEIRO</t>
  </si>
  <si>
    <t>WASH PRIMER PARA TINTA AUTOMOTIVA</t>
  </si>
  <si>
    <t>M3</t>
  </si>
  <si>
    <t>M2</t>
  </si>
  <si>
    <t>73887/001</t>
  </si>
  <si>
    <t>73887/002</t>
  </si>
  <si>
    <t>73887/003</t>
  </si>
  <si>
    <t>73887/004</t>
  </si>
  <si>
    <t>73887/005</t>
  </si>
  <si>
    <t>73887/006</t>
  </si>
  <si>
    <t>73887/007</t>
  </si>
  <si>
    <t>73887/008</t>
  </si>
  <si>
    <t>73887/009</t>
  </si>
  <si>
    <t>73887/010</t>
  </si>
  <si>
    <t>73887/011</t>
  </si>
  <si>
    <t>73887/012</t>
  </si>
  <si>
    <t>73887/013</t>
  </si>
  <si>
    <t>73887/014</t>
  </si>
  <si>
    <t>73887/015</t>
  </si>
  <si>
    <t>73887/016</t>
  </si>
  <si>
    <t>73887/017</t>
  </si>
  <si>
    <t>73888/001</t>
  </si>
  <si>
    <t>73888/002</t>
  </si>
  <si>
    <t>73888/003</t>
  </si>
  <si>
    <t>73888/009</t>
  </si>
  <si>
    <t>73888/010</t>
  </si>
  <si>
    <t>73888/011</t>
  </si>
  <si>
    <t>73888/012</t>
  </si>
  <si>
    <t>73888/013</t>
  </si>
  <si>
    <t>73888/014</t>
  </si>
  <si>
    <t>73888/015</t>
  </si>
  <si>
    <t>73884/001</t>
  </si>
  <si>
    <t>73884/002</t>
  </si>
  <si>
    <t>73884/003</t>
  </si>
  <si>
    <t>73884/004</t>
  </si>
  <si>
    <t>73884/005</t>
  </si>
  <si>
    <t>73884/006</t>
  </si>
  <si>
    <t>73884/007</t>
  </si>
  <si>
    <t>73884/008</t>
  </si>
  <si>
    <t>73884/009</t>
  </si>
  <si>
    <t>73884/010</t>
  </si>
  <si>
    <t>73884/011</t>
  </si>
  <si>
    <t>73884/012</t>
  </si>
  <si>
    <t>73884/013</t>
  </si>
  <si>
    <t>73884/014</t>
  </si>
  <si>
    <t>73884/015</t>
  </si>
  <si>
    <t>73884/016</t>
  </si>
  <si>
    <t>73885/001</t>
  </si>
  <si>
    <t>73885/002</t>
  </si>
  <si>
    <t>73885/003</t>
  </si>
  <si>
    <t>73885/004</t>
  </si>
  <si>
    <t>73885/005</t>
  </si>
  <si>
    <t>73885/006</t>
  </si>
  <si>
    <t>73885/007</t>
  </si>
  <si>
    <t>73885/008</t>
  </si>
  <si>
    <t>73885/009</t>
  </si>
  <si>
    <t>73885/010</t>
  </si>
  <si>
    <t>73885/011</t>
  </si>
  <si>
    <t>73885/012</t>
  </si>
  <si>
    <t>73839/001</t>
  </si>
  <si>
    <t>73839/002</t>
  </si>
  <si>
    <t>73839/003</t>
  </si>
  <si>
    <t>73839/004</t>
  </si>
  <si>
    <t>73839/005</t>
  </si>
  <si>
    <t>73839/006</t>
  </si>
  <si>
    <t>73839/007</t>
  </si>
  <si>
    <t>73839/008</t>
  </si>
  <si>
    <t>73839/009</t>
  </si>
  <si>
    <t>73839/010</t>
  </si>
  <si>
    <t>73839/011</t>
  </si>
  <si>
    <t>73839/013</t>
  </si>
  <si>
    <t>73839/014</t>
  </si>
  <si>
    <t>73839/015</t>
  </si>
  <si>
    <t>74209/001</t>
  </si>
  <si>
    <t>73847/001</t>
  </si>
  <si>
    <t>CHP</t>
  </si>
  <si>
    <t>DOSADOR DE AREIA, CAPACIDADE DE 26 LITROS - CHP DIURNO. AF_11/2015</t>
  </si>
  <si>
    <t>CHI</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</si>
  <si>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</si>
  <si>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</si>
  <si>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</si>
  <si>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</si>
  <si>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73866/004</t>
  </si>
  <si>
    <t>73866/005</t>
  </si>
  <si>
    <t>73866/006</t>
  </si>
  <si>
    <t>73866/007</t>
  </si>
  <si>
    <t>73866/008</t>
  </si>
  <si>
    <t>73866/009</t>
  </si>
  <si>
    <t>73867/001</t>
  </si>
  <si>
    <t>73867/002</t>
  </si>
  <si>
    <t>73867/003</t>
  </si>
  <si>
    <t>73867/004</t>
  </si>
  <si>
    <t>CUMEEIRA EM PERFIL ONDULADO DE ALUMÍNIO</t>
  </si>
  <si>
    <t>74045/002</t>
  </si>
  <si>
    <t>73970/001</t>
  </si>
  <si>
    <t>73970/002</t>
  </si>
  <si>
    <t>73891/001</t>
  </si>
  <si>
    <t>ESGOTAMENTO COM MOTO-BOMBA AUTOESCOVANTE</t>
  </si>
  <si>
    <t>73882/001</t>
  </si>
  <si>
    <t>73882/005</t>
  </si>
  <si>
    <t>73816/001</t>
  </si>
  <si>
    <t>73816/002</t>
  </si>
  <si>
    <t>73881/001</t>
  </si>
  <si>
    <t>73881/003</t>
  </si>
  <si>
    <t>73883/001</t>
  </si>
  <si>
    <t>73883/002</t>
  </si>
  <si>
    <t>73883/003</t>
  </si>
  <si>
    <t>73902/001</t>
  </si>
  <si>
    <t>73968/001</t>
  </si>
  <si>
    <t>73969/001</t>
  </si>
  <si>
    <t>74017/001</t>
  </si>
  <si>
    <t>74017/002</t>
  </si>
  <si>
    <t>75029/001</t>
  </si>
  <si>
    <t>CAMADA DRENANTE COM AREIA MEDIA</t>
  </si>
  <si>
    <t>CAMADA HORIZONTAL DRENANTE C/ PEDRA BRITADA 1 E 2</t>
  </si>
  <si>
    <t>ENROCAMENTO COM PEDRA ARGAMASSADA TRAÇO 1:4 COM PEDRA DE MÃO</t>
  </si>
  <si>
    <t>73890/001</t>
  </si>
  <si>
    <t>ENSECADEIRA DE MADEIRA COM PAREDE SIMPLES</t>
  </si>
  <si>
    <t>73890/002</t>
  </si>
  <si>
    <t>ENSECADEIRA DE MADEIRA COM PAREDE DUPLA</t>
  </si>
  <si>
    <t>MURO DE GABIÃO, ENCHIMENTO COM PEDRA DE MÃO TIPO RACHÃO, DE GRAVIDADE, COM GAIOLAS DE COMPRIMENTO IGUAL A 2 METROS, ALTURA DO MURO DE ATÉ 4 METROS - FORNECIMENTO E EXECUÇÃO. AF_12/2015</t>
  </si>
  <si>
    <t>MURO DE GABIÃO, ENCHIMENTO COM PEDRA DE MÃO TIPO RACHÃO, DE GRAVIDADE, COM GAIOLAS DE COMPRIMENTO IGUAL A 5 METROS, ALTURA DO MURO DE ATÉ 4 METROS - FORNECIMENTO E EXECUÇÃO. AF_12/2015</t>
  </si>
  <si>
    <t>MURO DE GABIÃO, ENCHIMENTO COM PEDRA DE MÃO TIPO RACHÃO, DE GRAVIDADE, COM GAIOLAS DE COMPRIMENTO IGUAL A 2 METROS, ALTURA DO MURO ACIMA DE 4 E ATÉ 6 METROS - FORNECIMENTO E EXECUÇÃO. AF_12/2015</t>
  </si>
  <si>
    <t>MURO DE GABIÃO, ENCHIMENTO COM PEDRA DE MÃO TIPO RACHÃO, DE GRAVIDADE, COM GAIOLAS DE COMPRIMENTO IGUAL A 5 METROS, ALTURA DO MURO ACIMA DE 4 E ATÉ 6 METROS - FORNECIMENTO E EXECUÇÃO. AF_12/2015</t>
  </si>
  <si>
    <t>MURO DE GABIÃO, ENCHIMENTO COM PEDRA DE MÃO TIPO RACHÃO, DE GRAVIDADE, COM GAIOLAS DE COMPRIMENTO IGUAL A 2 METROS, ALTURA DO MURO ACIMA DE 6 E ATÉ 10 METROS - FORNECIMENTO E EXECUÇÃO. AF_12/2015</t>
  </si>
  <si>
    <t>MURO DE GABIÃO, ENCHIMENTO COM PEDRA DE MÃO TIPO RACHÃO, DE GRAVIDADE, COM GAIOLAS DE COMPRIMENTO IGUAL A 5 METROS, ALTURA DO MURO MAIOR QUE 6 ATÉ 10 METROS - FORNECIMENTO E EXECUÇÃO. AF_12/2015</t>
  </si>
  <si>
    <t>73843/001</t>
  </si>
  <si>
    <t>73844/001</t>
  </si>
  <si>
    <t>MURO DE ARRIMO DE ALVENARIA DE PEDRA ARGAMASSADA</t>
  </si>
  <si>
    <t>73844/002</t>
  </si>
  <si>
    <t>MURO DE ARRIMO DE ALVENARIA DE TIJOLOS</t>
  </si>
  <si>
    <t>73846/001</t>
  </si>
  <si>
    <t>73846/002</t>
  </si>
  <si>
    <t>73799/001</t>
  </si>
  <si>
    <t>73856/001</t>
  </si>
  <si>
    <t>73856/002</t>
  </si>
  <si>
    <t>73856/003</t>
  </si>
  <si>
    <t>73856/004</t>
  </si>
  <si>
    <t>73856/005</t>
  </si>
  <si>
    <t>73856/006</t>
  </si>
  <si>
    <t>73856/007</t>
  </si>
  <si>
    <t>73856/008</t>
  </si>
  <si>
    <t>73856/009</t>
  </si>
  <si>
    <t>73856/010</t>
  </si>
  <si>
    <t>73856/011</t>
  </si>
  <si>
    <t>73856/012</t>
  </si>
  <si>
    <t>73856/013</t>
  </si>
  <si>
    <t>73856/014</t>
  </si>
  <si>
    <t>73856/015</t>
  </si>
  <si>
    <t>73963/001</t>
  </si>
  <si>
    <t>73963/002</t>
  </si>
  <si>
    <t>73963/003</t>
  </si>
  <si>
    <t>73963/005</t>
  </si>
  <si>
    <t>73963/006</t>
  </si>
  <si>
    <t>73963/007</t>
  </si>
  <si>
    <t>73963/008</t>
  </si>
  <si>
    <t>73963/009</t>
  </si>
  <si>
    <t>73963/010</t>
  </si>
  <si>
    <t>73963/011</t>
  </si>
  <si>
    <t>73963/012</t>
  </si>
  <si>
    <t>73963/013</t>
  </si>
  <si>
    <t>73963/014</t>
  </si>
  <si>
    <t>73963/015</t>
  </si>
  <si>
    <t>73963/016</t>
  </si>
  <si>
    <t>73963/017</t>
  </si>
  <si>
    <t>73963/018</t>
  </si>
  <si>
    <t>73963/019</t>
  </si>
  <si>
    <t>73963/020</t>
  </si>
  <si>
    <t>73963/021</t>
  </si>
  <si>
    <t>73963/022</t>
  </si>
  <si>
    <t>73963/023</t>
  </si>
  <si>
    <t>73963/024</t>
  </si>
  <si>
    <t>73963/025</t>
  </si>
  <si>
    <t>73963/026</t>
  </si>
  <si>
    <t>73963/027</t>
  </si>
  <si>
    <t>73963/028</t>
  </si>
  <si>
    <t>73963/029</t>
  </si>
  <si>
    <t>73963/030</t>
  </si>
  <si>
    <t>73963/031</t>
  </si>
  <si>
    <t>73963/032</t>
  </si>
  <si>
    <t>73963/033</t>
  </si>
  <si>
    <t>73963/034</t>
  </si>
  <si>
    <t>73963/035</t>
  </si>
  <si>
    <t>73963/036</t>
  </si>
  <si>
    <t>73963/037</t>
  </si>
  <si>
    <t>73963/038</t>
  </si>
  <si>
    <t>73963/039</t>
  </si>
  <si>
    <t>73963/040</t>
  </si>
  <si>
    <t>73963/041</t>
  </si>
  <si>
    <t>73963/042</t>
  </si>
  <si>
    <t>73963/043</t>
  </si>
  <si>
    <t>73963/044</t>
  </si>
  <si>
    <t>73963/045</t>
  </si>
  <si>
    <t>73963/046</t>
  </si>
  <si>
    <t>73963/047</t>
  </si>
  <si>
    <t>73963/048</t>
  </si>
  <si>
    <t>74124/001</t>
  </si>
  <si>
    <t>74124/002</t>
  </si>
  <si>
    <t>74124/003</t>
  </si>
  <si>
    <t>74124/004</t>
  </si>
  <si>
    <t>74124/005</t>
  </si>
  <si>
    <t>74124/006</t>
  </si>
  <si>
    <t>74124/007</t>
  </si>
  <si>
    <t>74124/008</t>
  </si>
  <si>
    <t>74162/001</t>
  </si>
  <si>
    <t>74206/001</t>
  </si>
  <si>
    <t>74206/002</t>
  </si>
  <si>
    <t>74212/001</t>
  </si>
  <si>
    <t>74214/001</t>
  </si>
  <si>
    <t>74214/002</t>
  </si>
  <si>
    <t>74224/001</t>
  </si>
  <si>
    <t>73877/001</t>
  </si>
  <si>
    <t>73877/002</t>
  </si>
  <si>
    <t>ESCORAMENTO CONTINUO DE VALAS, MISTO, COM PERFIL I DE 8"</t>
  </si>
  <si>
    <t>73910/008</t>
  </si>
  <si>
    <t>73910/009</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</si>
  <si>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</si>
  <si>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</si>
  <si>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73813/001</t>
  </si>
  <si>
    <t>73933/001</t>
  </si>
  <si>
    <t>73933/002</t>
  </si>
  <si>
    <t>73933/003</t>
  </si>
  <si>
    <t>PORTA DE FERRO TIPO VENEZIANA, DE ABRIR, SEM BANDEIRA SEM FERRAGENS</t>
  </si>
  <si>
    <t>73933/004</t>
  </si>
  <si>
    <t>74073/001</t>
  </si>
  <si>
    <t>74073/002</t>
  </si>
  <si>
    <t>74136/001</t>
  </si>
  <si>
    <t>74136/002</t>
  </si>
  <si>
    <t>74136/003</t>
  </si>
  <si>
    <t>73932/001</t>
  </si>
  <si>
    <t>GRADE DE FERRO EM BARRA CHATA 3/16"</t>
  </si>
  <si>
    <t>74195/001</t>
  </si>
  <si>
    <t>74072/001</t>
  </si>
  <si>
    <t>74072/002</t>
  </si>
  <si>
    <t>74072/003</t>
  </si>
  <si>
    <t>74194/001</t>
  </si>
  <si>
    <t>PORTA CORTA-FOGO 90X210X4CM - FORNECIMENTO E INSTALAÇÃO. AF_08/2015</t>
  </si>
  <si>
    <t>73737/001</t>
  </si>
  <si>
    <t>73737/002</t>
  </si>
  <si>
    <t>73737/003</t>
  </si>
  <si>
    <t>73736/001</t>
  </si>
  <si>
    <t>74046/002</t>
  </si>
  <si>
    <t>TARJETA TIPO LIVRE/OCUPADO PARA PORTA DE BANHEIRO</t>
  </si>
  <si>
    <t>74047/002</t>
  </si>
  <si>
    <t>74084/001</t>
  </si>
  <si>
    <t>VIDRO LISO COMUM TRANSPARENTE, ESPESSURA 3MM</t>
  </si>
  <si>
    <t>VIDRO LISO COMUM TRANSPARENTE, ESPESSURA 4MM</t>
  </si>
  <si>
    <t>VIDRO FANTASIA TIPO CANELADO, ESPESSURA 4MM</t>
  </si>
  <si>
    <t>VIDRO ARAMADO, ESPESSURA 7MM</t>
  </si>
  <si>
    <t>73838/001</t>
  </si>
  <si>
    <t>74125/001</t>
  </si>
  <si>
    <t>ESPELHO CRISTAL ESPESSURA 4MM, COM MOLDURA DE MADEIRA</t>
  </si>
  <si>
    <t>74125/002</t>
  </si>
  <si>
    <t>VIDRO LISO COMUM TRANSPARENTE, ESPESSURA 5MM</t>
  </si>
  <si>
    <t>VIDRO LISO COMUM TRANSPARENTE, ESPESSURA 6MM</t>
  </si>
  <si>
    <t>VIDRO LISO FUME, ESPESSURA 4MM</t>
  </si>
  <si>
    <t>VIDRO LISO FUME, ESPESSURA 6MM</t>
  </si>
  <si>
    <t>VIDRO FANTASIA MARTELADO 4MM</t>
  </si>
  <si>
    <t>74100/001</t>
  </si>
  <si>
    <t>74238/002</t>
  </si>
  <si>
    <t>73908/001</t>
  </si>
  <si>
    <t>73908/002</t>
  </si>
  <si>
    <t>CANTONEIRA DE MADEIRA 3,0X3,0X1,0CM</t>
  </si>
  <si>
    <t>CANTONEIRA DE MADEIRA COM LAMINADO MELAMINICO FOSCO 3,0X3,0X1,0CM</t>
  </si>
  <si>
    <t>74156/003</t>
  </si>
  <si>
    <t>LASTRO DE BRITA</t>
  </si>
  <si>
    <t>74007/001</t>
  </si>
  <si>
    <t>74074/004</t>
  </si>
  <si>
    <t>74076/001</t>
  </si>
  <si>
    <t>74076/002</t>
  </si>
  <si>
    <t>74076/003</t>
  </si>
  <si>
    <t>FABRICAÇÃO DE ESCORAS DE VIGA DO TIPO GARFO, EM MADEIRA. AF_12/2015</t>
  </si>
  <si>
    <t>FABRICAÇÃO DE ESCORAS DO TIPO PONTALETE, EM MADEIRA. AF_12/2015</t>
  </si>
  <si>
    <t>73771/001</t>
  </si>
  <si>
    <t>73990/001</t>
  </si>
  <si>
    <t>79504/001</t>
  </si>
  <si>
    <t>79504/002</t>
  </si>
  <si>
    <t>79504/003</t>
  </si>
  <si>
    <t>79504/004</t>
  </si>
  <si>
    <t>79504/005</t>
  </si>
  <si>
    <t>79504/006</t>
  </si>
  <si>
    <t>79504/007</t>
  </si>
  <si>
    <t>79504/008</t>
  </si>
  <si>
    <t>79504/009</t>
  </si>
  <si>
    <t>79504/010</t>
  </si>
  <si>
    <t>79504/011</t>
  </si>
  <si>
    <t>79504/012</t>
  </si>
  <si>
    <t>74157/004</t>
  </si>
  <si>
    <t>GRAUTEAMENTO VERTICAL EM ALVENARIA ESTRUTURAL. AF_01/2015</t>
  </si>
  <si>
    <t>LANÇAMENTO COM USO DE BALDES, ADENSAMENTO E ACABAMENTO DE CONCRETO EM ESTRUTURAS. AF_12/2015</t>
  </si>
  <si>
    <t>74141/001</t>
  </si>
  <si>
    <t>74141/002</t>
  </si>
  <si>
    <t>74141/003</t>
  </si>
  <si>
    <t>74141/004</t>
  </si>
  <si>
    <t>74202/001</t>
  </si>
  <si>
    <t>74202/002</t>
  </si>
  <si>
    <t>73817/001</t>
  </si>
  <si>
    <t>73817/002</t>
  </si>
  <si>
    <t>74078/001</t>
  </si>
  <si>
    <t>73898/001</t>
  </si>
  <si>
    <t>74121/001</t>
  </si>
  <si>
    <t>FIXAÇÃO (ENCUNHAMENTO) DE ALVENARIA DE VEDAÇÃO COM ARGAMASSA APLICADA COM BISNAGA. AF_03/2016</t>
  </si>
  <si>
    <t>FIXAÇÃO (ENCUNHAMENTO) DE ALVENARIA DE VEDAÇÃO COM ARGAMASSA APLICADA COM COLHER. AF_03/2016</t>
  </si>
  <si>
    <t>74144/002</t>
  </si>
  <si>
    <t>APARELHO APOIO NEOPRENE FRETADO</t>
  </si>
  <si>
    <t>73753/001</t>
  </si>
  <si>
    <t>74033/001</t>
  </si>
  <si>
    <t>73929/001</t>
  </si>
  <si>
    <t>73929/004</t>
  </si>
  <si>
    <t>73762/002</t>
  </si>
  <si>
    <t>73762/004</t>
  </si>
  <si>
    <t>74066/002</t>
  </si>
  <si>
    <t>74106/001</t>
  </si>
  <si>
    <t>73872/001</t>
  </si>
  <si>
    <t>73872/002</t>
  </si>
  <si>
    <t>74025/001</t>
  </si>
  <si>
    <t>73798/001</t>
  </si>
  <si>
    <t>73798/003</t>
  </si>
  <si>
    <t>73782/002</t>
  </si>
  <si>
    <t>73782/003</t>
  </si>
  <si>
    <t>73782/004</t>
  </si>
  <si>
    <t>73782/005</t>
  </si>
  <si>
    <t>CAIXAS</t>
  </si>
  <si>
    <t>CAIXA OCTOGONAL 4" X 4", METÁLICA, INSTALADA EM LAJE - FORNECIMENTO E INSTALAÇÃO. AF_12/2015</t>
  </si>
  <si>
    <t>CAIXA SEXTAVADA 3" X 3", METÁLICA, INSTALADA EM LAJE - FORNECIMENTO E INSTALAÇÃO. AF_12/2015</t>
  </si>
  <si>
    <t>74052/005</t>
  </si>
  <si>
    <t>74130/001</t>
  </si>
  <si>
    <t>74130/002</t>
  </si>
  <si>
    <t>74130/003</t>
  </si>
  <si>
    <t>74130/004</t>
  </si>
  <si>
    <t>74130/005</t>
  </si>
  <si>
    <t>74130/006</t>
  </si>
  <si>
    <t>74130/007</t>
  </si>
  <si>
    <t>74130/008</t>
  </si>
  <si>
    <t>74130/009</t>
  </si>
  <si>
    <t>74130/010</t>
  </si>
  <si>
    <t>74131/001</t>
  </si>
  <si>
    <t>74131/004</t>
  </si>
  <si>
    <t>74131/005</t>
  </si>
  <si>
    <t>74131/006</t>
  </si>
  <si>
    <t>74131/007</t>
  </si>
  <si>
    <t>74131/008</t>
  </si>
  <si>
    <t>INTERRUPTOR PARALELO (2 MÓDULOS), 10A/250V, INCLUINDO SUPORTE E PLACA - FORNECIMENTO E INSTALAÇÃO. AF_12/2015</t>
  </si>
  <si>
    <t>INTERRUPTOR PARALELO (3 MÓDULOS), 10A/250V, INCLUINDO SUPORTE E PLACA - FORNECIMENTO E INSTALAÇÃO. AF_12/2015</t>
  </si>
  <si>
    <t>IGNITOR PARA PARTIDA LÂMPADA VAPOR SÓDIO ALTA PRESSÃO ATÉ 400W</t>
  </si>
  <si>
    <t>73953/001</t>
  </si>
  <si>
    <t>73953/002</t>
  </si>
  <si>
    <t>73953/004</t>
  </si>
  <si>
    <t>73953/005</t>
  </si>
  <si>
    <t>73953/006</t>
  </si>
  <si>
    <t>73953/008</t>
  </si>
  <si>
    <t>73953/009</t>
  </si>
  <si>
    <t>74041/001</t>
  </si>
  <si>
    <t>74041/002</t>
  </si>
  <si>
    <t>74082/001</t>
  </si>
  <si>
    <t>74094/001</t>
  </si>
  <si>
    <t>SUPORTE PARA TRANSFORMADOR EM POSTE DE CONCRETO CIRCULAR</t>
  </si>
  <si>
    <t>73767/001</t>
  </si>
  <si>
    <t>73767/002</t>
  </si>
  <si>
    <t>73767/003</t>
  </si>
  <si>
    <t>73767/004</t>
  </si>
  <si>
    <t>73767/005</t>
  </si>
  <si>
    <t>73781/001</t>
  </si>
  <si>
    <t>73781/002</t>
  </si>
  <si>
    <t>73781/003</t>
  </si>
  <si>
    <t>73783/001</t>
  </si>
  <si>
    <t>73783/003</t>
  </si>
  <si>
    <t>73783/005</t>
  </si>
  <si>
    <t>73783/006</t>
  </si>
  <si>
    <t>73783/008</t>
  </si>
  <si>
    <t>73783/009</t>
  </si>
  <si>
    <t>73783/010</t>
  </si>
  <si>
    <t>73783/011</t>
  </si>
  <si>
    <t>73783/012</t>
  </si>
  <si>
    <t>73783/014</t>
  </si>
  <si>
    <t>73783/015</t>
  </si>
  <si>
    <t>73783/016</t>
  </si>
  <si>
    <t>73783/017</t>
  </si>
  <si>
    <t>73769/001</t>
  </si>
  <si>
    <t>73769/002</t>
  </si>
  <si>
    <t>73769/003</t>
  </si>
  <si>
    <t>73769/004</t>
  </si>
  <si>
    <t>73855/001</t>
  </si>
  <si>
    <t>73831/001</t>
  </si>
  <si>
    <t>73831/002</t>
  </si>
  <si>
    <t>73831/003</t>
  </si>
  <si>
    <t>73831/004</t>
  </si>
  <si>
    <t>73831/005</t>
  </si>
  <si>
    <t>73831/006</t>
  </si>
  <si>
    <t>73831/007</t>
  </si>
  <si>
    <t>73831/008</t>
  </si>
  <si>
    <t>73831/009</t>
  </si>
  <si>
    <t>74231/001</t>
  </si>
  <si>
    <t>74246/001</t>
  </si>
  <si>
    <t>73857/001</t>
  </si>
  <si>
    <t>73857/002</t>
  </si>
  <si>
    <t>73857/003</t>
  </si>
  <si>
    <t>73857/004</t>
  </si>
  <si>
    <t>73857/005</t>
  </si>
  <si>
    <t>73857/006</t>
  </si>
  <si>
    <t>73857/007</t>
  </si>
  <si>
    <t>73857/008</t>
  </si>
  <si>
    <t>73857/009</t>
  </si>
  <si>
    <t>73857/010</t>
  </si>
  <si>
    <t>PONTO DE TOMADA RESIDENCIAL INCLUINDO TOMADA 10A/250V, CAIXA ELÉTRICA, ELETRODUTO, CABO, RASGO, QUEBRA E CHUMBAMENTO. AF_01/2016</t>
  </si>
  <si>
    <t>PONTO DE TOMADA RESIDENCIAL INCLUINDO TOMADA 20A/250V, CAIXA ELÉTRICA, ELETRODUTO, CABO, RASGO, QUEBRA E CHUMBAMENTO. AF_01/2016</t>
  </si>
  <si>
    <t>PARA-RAIOS TIPO FRANKLIN - CABO E SUPORTE ISOLADOR</t>
  </si>
  <si>
    <t>HASTE COPERWELD 3/4" X 3,00M COM CONECTOR</t>
  </si>
  <si>
    <t>73780/001</t>
  </si>
  <si>
    <t>73780/002</t>
  </si>
  <si>
    <t>73780/003</t>
  </si>
  <si>
    <t>73780/004</t>
  </si>
  <si>
    <t>CHAVE DE BOIA AUTOMÁTICA</t>
  </si>
  <si>
    <t>CAIXA DE INCÊNDIO 45X75X17CM - FORNECIMENTO E INSTALAÇÃO</t>
  </si>
  <si>
    <t>CAIXA DE INCÊNDIO 60X75X17CM - FORNECIMENTO E INSTALAÇÃO</t>
  </si>
  <si>
    <t>73775/001</t>
  </si>
  <si>
    <t>73775/002</t>
  </si>
  <si>
    <t>73749/001</t>
  </si>
  <si>
    <t>73749/002</t>
  </si>
  <si>
    <t>73749/003</t>
  </si>
  <si>
    <t>73768/001</t>
  </si>
  <si>
    <t>73768/002</t>
  </si>
  <si>
    <t>73768/003</t>
  </si>
  <si>
    <t>73768/004</t>
  </si>
  <si>
    <t>73768/005</t>
  </si>
  <si>
    <t>73768/006</t>
  </si>
  <si>
    <t>73768/007</t>
  </si>
  <si>
    <t>73768/008</t>
  </si>
  <si>
    <t>73768/009</t>
  </si>
  <si>
    <t>73768/010</t>
  </si>
  <si>
    <t>73768/011</t>
  </si>
  <si>
    <t>73768/012</t>
  </si>
  <si>
    <t>73768/013</t>
  </si>
  <si>
    <t>73768/014</t>
  </si>
  <si>
    <t>74003/001</t>
  </si>
  <si>
    <t>73976/004</t>
  </si>
  <si>
    <t>73976/010</t>
  </si>
  <si>
    <t>73976/011</t>
  </si>
  <si>
    <t>75027/004</t>
  </si>
  <si>
    <t>75027/005</t>
  </si>
  <si>
    <t>TUBO DE AÇO PRETO SEM COSTURA, CONEXÃO SOLDADA, DN 50 (2"), INSTALADO EM PRUMADAS - FORNECIMENTO E INSTALAÇÃO. AF_12/2015</t>
  </si>
  <si>
    <t>TUBO DE AÇO PRETO SEM COSTURA, CONEXÃO SOLDADA, DN 80 (3"), INSTALADO EM PRUMADAS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</si>
  <si>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</si>
  <si>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</si>
  <si>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</si>
  <si>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</si>
  <si>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</si>
  <si>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</si>
  <si>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</si>
  <si>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</si>
  <si>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</si>
  <si>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</si>
  <si>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</si>
  <si>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</si>
  <si>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</si>
  <si>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</si>
  <si>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</si>
  <si>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</si>
  <si>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</si>
  <si>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</si>
  <si>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</si>
  <si>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</si>
  <si>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</si>
  <si>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</si>
  <si>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</si>
  <si>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</si>
  <si>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2" X 1.1/2", CONEXÃO ROSQUEADA, INSTALADO EM PRUMADAS - FORNECIMENTO E INSTALAÇÃO. AF_12/2015</t>
  </si>
  <si>
    <t>LUVA DE REDUÇÃO, EM FERRO GALVANIZADO, 2" X 1.1/4", CONEXÃO ROSQUEADA, INSTALADO EM PRUMADAS - FORNECIMENTO E INSTALAÇÃO. AF_12/2015</t>
  </si>
  <si>
    <t>LUVA DE REDUÇÃO, EM FERRO GALVANIZADO, 2.1/2" X 2", CONEXÃO ROSQUEADA, INSTALADO EM PRUMADAS - FORNECIMENTO E INSTALAÇÃO. AF_12/2015</t>
  </si>
  <si>
    <t>LUVA DE REDUÇÃO, EM FERRO GALVANIZADO, 3" X 1.1/2", CONEXÃO ROSQUEADA, INSTALADO EM PRUMADAS - FORNECIMENTO E INSTALAÇÃO. AF_12/2015</t>
  </si>
  <si>
    <t>LUVA DE REDUÇÃO, EM FERRO GALVANIZADO, 3" X 2.1/2", CONEXÃO ROSQUEADA, INSTALADO EM PRUMADAS - FORNECIMENTO E INSTALAÇÃO. AF_12/2015</t>
  </si>
  <si>
    <t>LUVA DE REDUÇÃO, EM FERRO GALVANIZADO, 3/4" X 1/2", CONEXÃO ROSQUEADA, INSTALADO EM RAMAIS E SUB-RAMAIS DE GÁS - FORNECIMENTO E INSTALAÇÃO. AF_12/2015</t>
  </si>
  <si>
    <t>TAMPA DE CONCRETO ARMADO 60X60X5CM PARA CAIXA</t>
  </si>
  <si>
    <t>CAIXA DE INSPEÇÃO 80X80X80CM EM ALVENARIA - EXECUÇÃO</t>
  </si>
  <si>
    <t>CAIXA DE INSPEÇÃO 90X90X80CM EM ALVENARIA - EXECUÇÃO</t>
  </si>
  <si>
    <t>74051/001</t>
  </si>
  <si>
    <t>74051/002</t>
  </si>
  <si>
    <t>74104/001</t>
  </si>
  <si>
    <t>74166/001</t>
  </si>
  <si>
    <t>74166/002</t>
  </si>
  <si>
    <t>74234/001</t>
  </si>
  <si>
    <t>TORNEIRA CROMADA LONGA, DE PAREDE, 1/2" OU 3/4", PARA PIA DE COZINHA, PADRÃO POPULAR - FORNECIMENTO E INSTALAÇÃO. AF_12/2013</t>
  </si>
  <si>
    <t>TORNEIRA CROMADA 1/2" OU 3/4" PARA TANQUE, PADRÃO MÉDIO - FORNECIMENTO E INSTALAÇÃO. AF_12/2013</t>
  </si>
  <si>
    <t>74198/001</t>
  </si>
  <si>
    <t>74198/002</t>
  </si>
  <si>
    <t>73795/001</t>
  </si>
  <si>
    <t>VÁLVULA DE RETENÇÃO VERTICAL Ø 20MM (3/4") - FORNECIMENTO E INSTALAÇÃO</t>
  </si>
  <si>
    <t>73795/002</t>
  </si>
  <si>
    <t>VÁLVULA DE RETENÇÃO VERTICAL Ø 25MM (1") - FORNECIMENTO E INSTALAÇÃO</t>
  </si>
  <si>
    <t>73795/003</t>
  </si>
  <si>
    <t>73795/004</t>
  </si>
  <si>
    <t>73795/005</t>
  </si>
  <si>
    <t>VÁLVULA DE RETENÇÃO VERTICAL Ø 50MM (2") - FORNECIMENTO E INSTALAÇÃO</t>
  </si>
  <si>
    <t>73795/006</t>
  </si>
  <si>
    <t>VÁLVULA DE RETENÇÃO VERTICAL Ø 80MM (3") - FORNECIMENTO E INSTALAÇÃO</t>
  </si>
  <si>
    <t>73795/007</t>
  </si>
  <si>
    <t>VÁLVULA DE RETENÇÃO VERTICAL Ø 100MM (4") - FORNECIMENTO E INSTALAÇÃO</t>
  </si>
  <si>
    <t>73795/008</t>
  </si>
  <si>
    <t>73795/009</t>
  </si>
  <si>
    <t>73795/010</t>
  </si>
  <si>
    <t>73795/011</t>
  </si>
  <si>
    <t>73795/012</t>
  </si>
  <si>
    <t>VÁLVULA DE RETENÇÃO HORIZONTAL Ø 50MM (2") - FORNECIMENTO E INSTALAÇÃO</t>
  </si>
  <si>
    <t>73795/013</t>
  </si>
  <si>
    <t>73795/014</t>
  </si>
  <si>
    <t>VÁLVULA DE RETENÇÃO HORIZONTAL Ø 80MM (3") - FORNECIMENTO E INSTALAÇÃO</t>
  </si>
  <si>
    <t>73795/015</t>
  </si>
  <si>
    <t>73796/001</t>
  </si>
  <si>
    <t>VÁLVULA DE PÉ COM CRIVO Ø 20MM (3/4") - FORNECIMENTO E INSTALAÇÃO</t>
  </si>
  <si>
    <t>73796/002</t>
  </si>
  <si>
    <t>VÁLVULA DE PÉ COM CRIVO Ø 25MM (1") - FORNECIMENTO E INSTALAÇÃO</t>
  </si>
  <si>
    <t>73796/003</t>
  </si>
  <si>
    <t>VÁLVULA DE PÉ COM CRIVO Ø 40MM (1.1/2") - FORNECIMENTO E INSTALAÇÃO</t>
  </si>
  <si>
    <t>73796/004</t>
  </si>
  <si>
    <t>VÁLVULA DE PÉ COM CRIVO Ø 50MM (2") - FORNECIMENTO E INSTALAÇÃO</t>
  </si>
  <si>
    <t>73796/005</t>
  </si>
  <si>
    <t>VÁLVULA DE PÉ COM CRIVO Ø 65MM (2.1/2") - FORNECIMENTO E INSTALAÇÃO</t>
  </si>
  <si>
    <t>73796/006</t>
  </si>
  <si>
    <t>VÁLVULA DE PÉ COM CRIVO Ø 80MM (3") - FORNECIMENTO E INSTALAÇÃO</t>
  </si>
  <si>
    <t>73796/007</t>
  </si>
  <si>
    <t>VÁLVULA DE PÉ COM CRIVO Ø 100MM (4") - FORNECIMENTO E INSTALAÇÃO</t>
  </si>
  <si>
    <t>73870/004</t>
  </si>
  <si>
    <t>74091/001</t>
  </si>
  <si>
    <t>74093/001</t>
  </si>
  <si>
    <t>74169/001</t>
  </si>
  <si>
    <t>REGISTRO DE GAVETA BRUTO, LATÃO, ROSCÁVEL, 1/2", FORNECIDO E INSTALADO EM RAMAL DE ÁGUA. AF_12/2014</t>
  </si>
  <si>
    <t>REGISTRO DE GAVETA BRUTO, LATÃO, ROSCÁVEL, 3/4", FORNECIDO E INSTALADO EM RAMAL DE ÁGUA. AF_12/2014</t>
  </si>
  <si>
    <t>CAIXA DE AREIA 40X40X40CM EM ALVENARIA - EXECUÇÃO</t>
  </si>
  <si>
    <t>CAIXA DE AREIA 60X60X60CM EM ALVENARIA - EXECUÇÃO</t>
  </si>
  <si>
    <t>73826/001</t>
  </si>
  <si>
    <t>73826/002</t>
  </si>
  <si>
    <t>73834/001</t>
  </si>
  <si>
    <t>73834/002</t>
  </si>
  <si>
    <t>73834/003</t>
  </si>
  <si>
    <t>73834/004</t>
  </si>
  <si>
    <t>73835/001</t>
  </si>
  <si>
    <t>73835/002</t>
  </si>
  <si>
    <t>73835/003</t>
  </si>
  <si>
    <t>73836/001</t>
  </si>
  <si>
    <t>73836/002</t>
  </si>
  <si>
    <t>73836/003</t>
  </si>
  <si>
    <t>73836/004</t>
  </si>
  <si>
    <t>73837/001</t>
  </si>
  <si>
    <t>73837/002</t>
  </si>
  <si>
    <t>73837/003</t>
  </si>
  <si>
    <t>LEITO FILTRANTE - ASSENTAMENTO DE BLOCOS LEOPOLD</t>
  </si>
  <si>
    <t>73824/001</t>
  </si>
  <si>
    <t>73825/002</t>
  </si>
  <si>
    <t>73873/001</t>
  </si>
  <si>
    <t>73873/002</t>
  </si>
  <si>
    <t>73873/003</t>
  </si>
  <si>
    <t>73873/004</t>
  </si>
  <si>
    <t>73873/005</t>
  </si>
  <si>
    <t>73827/001</t>
  </si>
  <si>
    <t>KIT CAVALETE PVC COM REGISTRO 1/2" - FORNECIMENTO E INSTALAÇÃO</t>
  </si>
  <si>
    <t>74218/001</t>
  </si>
  <si>
    <t>74253/001</t>
  </si>
  <si>
    <t>RAMAL PREDIAL EM TUBO PEAD 20MM - FORNECIMENTO, INSTALAÇÃO, ESCAVAÇÃO E REATERRO</t>
  </si>
  <si>
    <t>76451/001</t>
  </si>
  <si>
    <t>73903/001</t>
  </si>
  <si>
    <t>LIMPEZA SUPERFICIAL DA CAMADA VEGETAL EM JAZIDA</t>
  </si>
  <si>
    <t>73903/002</t>
  </si>
  <si>
    <t>EXPURGO DE JAZIDA (MATERIAL VEGETAL, OU INSERVÍVEL, EXCETO LAMA)</t>
  </si>
  <si>
    <t>74151/001</t>
  </si>
  <si>
    <t>74154/001</t>
  </si>
  <si>
    <t>74155/001</t>
  </si>
  <si>
    <t>74155/002</t>
  </si>
  <si>
    <t>74205/001</t>
  </si>
  <si>
    <t>CORTE E ATERRO COMPENSADO</t>
  </si>
  <si>
    <t>73965/009</t>
  </si>
  <si>
    <t>79506/002</t>
  </si>
  <si>
    <t>79518/001</t>
  </si>
  <si>
    <t>79518/002</t>
  </si>
  <si>
    <t>ESCAVAÇÃO MANUAL DE VALAS. AF_03/2016</t>
  </si>
  <si>
    <t>74153/001</t>
  </si>
  <si>
    <t>73964/006</t>
  </si>
  <si>
    <t>REATERRO DE VALA COM COMPACTAÇÃO MANUAL</t>
  </si>
  <si>
    <t>UMEDECIMENTO DE MATERIAL PARA FECHAMENTO DE VALAS.</t>
  </si>
  <si>
    <t>74010/001</t>
  </si>
  <si>
    <t>74241/001</t>
  </si>
  <si>
    <t>TRANSPORTE COMERCIAL DE BRITA</t>
  </si>
  <si>
    <t>74005/001</t>
  </si>
  <si>
    <t>74005/002</t>
  </si>
  <si>
    <t>74034/001</t>
  </si>
  <si>
    <t>73937/001</t>
  </si>
  <si>
    <t>73937/003</t>
  </si>
  <si>
    <t>73937/005</t>
  </si>
  <si>
    <t>73774/001</t>
  </si>
  <si>
    <t>73909/001</t>
  </si>
  <si>
    <t>74229/001</t>
  </si>
  <si>
    <t>73863/001</t>
  </si>
  <si>
    <t>73863/002</t>
  </si>
  <si>
    <t>73790/002</t>
  </si>
  <si>
    <t>73790/004</t>
  </si>
  <si>
    <t>83695/001</t>
  </si>
  <si>
    <t>73766/001</t>
  </si>
  <si>
    <t>73760/001</t>
  </si>
  <si>
    <t>73849/001</t>
  </si>
  <si>
    <t>73849/002</t>
  </si>
  <si>
    <t>73770/001</t>
  </si>
  <si>
    <t>73770/002</t>
  </si>
  <si>
    <t>83696/001</t>
  </si>
  <si>
    <t>USINAGEM DE CBUQ COM CAP 50/70, PARA CAPA DE ROLAMENTO</t>
  </si>
  <si>
    <t>USINAGEM DE CBUQ COM CAP 50/70, PARA BINDER</t>
  </si>
  <si>
    <t>73759/002</t>
  </si>
  <si>
    <t>74133/001</t>
  </si>
  <si>
    <t>74133/002</t>
  </si>
  <si>
    <t>79494/001</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</si>
  <si>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</si>
  <si>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</si>
  <si>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PINTURA COM TINTA TEXTURIZADA ACRÍLICA EM PAREDES EXTERNAS DE CASAS, UMA COR. AF_06/2014</t>
  </si>
  <si>
    <t>APLICAÇÃO MANUAL DE PINTURA COM TINTA TEXTURIZADA ACRÍLICA EM PAREDES EXTERNAS DE CASAS, DUAS CORES.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</si>
  <si>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</si>
  <si>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</si>
  <si>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</si>
  <si>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</si>
  <si>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</si>
  <si>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</si>
  <si>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</si>
  <si>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</si>
  <si>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</si>
  <si>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79514/001</t>
  </si>
  <si>
    <t>73739/001</t>
  </si>
  <si>
    <t>74065/001</t>
  </si>
  <si>
    <t>74065/002</t>
  </si>
  <si>
    <t>74065/003</t>
  </si>
  <si>
    <t>79497/001</t>
  </si>
  <si>
    <t>73794/001</t>
  </si>
  <si>
    <t>73865/001</t>
  </si>
  <si>
    <t>73924/001</t>
  </si>
  <si>
    <t>73924/002</t>
  </si>
  <si>
    <t>73924/003</t>
  </si>
  <si>
    <t>74064/001</t>
  </si>
  <si>
    <t>74064/002</t>
  </si>
  <si>
    <t>74145/001</t>
  </si>
  <si>
    <t>79498/001</t>
  </si>
  <si>
    <t>79499/001</t>
  </si>
  <si>
    <t>79515/001</t>
  </si>
  <si>
    <t>73978/001</t>
  </si>
  <si>
    <t>74245/001</t>
  </si>
  <si>
    <t>ML</t>
  </si>
  <si>
    <t>79500/002</t>
  </si>
  <si>
    <t>POLIMENTO E ENCERAMENTO DE PISO EM MADEIRA</t>
  </si>
  <si>
    <t>73922/001</t>
  </si>
  <si>
    <t>73922/002</t>
  </si>
  <si>
    <t>73922/003</t>
  </si>
  <si>
    <t>73922/004</t>
  </si>
  <si>
    <t>73922/005</t>
  </si>
  <si>
    <t>73923/001</t>
  </si>
  <si>
    <t>73923/002</t>
  </si>
  <si>
    <t>73923/003</t>
  </si>
  <si>
    <t>73974/001</t>
  </si>
  <si>
    <t>73991/001</t>
  </si>
  <si>
    <t>73991/002</t>
  </si>
  <si>
    <t>73991/003</t>
  </si>
  <si>
    <t>73991/004</t>
  </si>
  <si>
    <t>74079/001</t>
  </si>
  <si>
    <t>76447/001</t>
  </si>
  <si>
    <t>76448/001</t>
  </si>
  <si>
    <t>76448/002</t>
  </si>
  <si>
    <t>76448/003</t>
  </si>
  <si>
    <t>73734/001</t>
  </si>
  <si>
    <t>PISO EM TACO DE MADEIRA 7X21CM, FIXADO COM COLA BASE DE PVA</t>
  </si>
  <si>
    <t>73743/001</t>
  </si>
  <si>
    <t>PISO EM PEDRA SÃO TOME ASSENTADO SOBRE ARGAMASSA 1:3 (CIMENTO E AREIA) REJUNTADO COM CIMENTO BRANCO</t>
  </si>
  <si>
    <t>73921/002</t>
  </si>
  <si>
    <t>PISO EM PEDRA PORTUGUESA ASSENTADO SOBRE BASE DE AREIA, REJUNTADO COM CIMENTO COMUM</t>
  </si>
  <si>
    <t>PISO DE BORRACHA FRISADO, ESPESSURA 7MM, ASSENTADO COM ARGAMASSA TRACO 1:3 (CIMENTO E AREIA)</t>
  </si>
  <si>
    <t>73876/001</t>
  </si>
  <si>
    <t>PISO DE BORRACHA PASTILHADO, ESPESSURA 7MM, FIXADO COM COLA</t>
  </si>
  <si>
    <t>PISO DE BORRACHA CANELADA, ESPESSURA 3,5MM, FIXADO COM COLA</t>
  </si>
  <si>
    <t>ASSENTAMENTO DE PISO DE BORRACHA PASTILHADA FIXADO COM COLA</t>
  </si>
  <si>
    <t>74111/001</t>
  </si>
  <si>
    <t>73886/001</t>
  </si>
  <si>
    <t>73850/001</t>
  </si>
  <si>
    <t>JUNTA 2,5X2,5CM COM ARGAMASSA 1:1:3 IMPERMEABILIZANTE DE HIDRO-ASFALTO CIMENTO E AREIA PARA PISO EM PLACAS</t>
  </si>
  <si>
    <t>JUNTA GRAMADA 5CM DE LARGURA</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</si>
  <si>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</si>
  <si>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</si>
  <si>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PASTA DE CIMENTO PORTLAND, ESPESSURA 1MM</t>
  </si>
  <si>
    <t>73747/001</t>
  </si>
  <si>
    <t>ASSENTAMENTO DE PEITORIL COM ARGAMASSA DE CIMENTO COLANTE</t>
  </si>
  <si>
    <t>74250/001</t>
  </si>
  <si>
    <t>MEIA CANA 2,5X2,5CM COM ACABAMENTO PARA FORRO DE MADEIRA</t>
  </si>
  <si>
    <t>RODATETO EM MADEIRA DE LEI 7,0X2,5CM</t>
  </si>
  <si>
    <t>SANCA DE GESSO, ALTURA 15CM, MOLDADA NA OBRA</t>
  </si>
  <si>
    <t>73792/001</t>
  </si>
  <si>
    <t>73986/001</t>
  </si>
  <si>
    <t>73807/001</t>
  </si>
  <si>
    <t>73833/001</t>
  </si>
  <si>
    <t>ESTUCAMENTO, PARA QUALQUER REVESTIMENTO, EM TETO DO SISTEMA DE PAREDES DE CONCRETO. AF_06/2015</t>
  </si>
  <si>
    <t>73804/001</t>
  </si>
  <si>
    <t>PLATAFORMA MADEIRA P/ ANDAIME TUBULAR APROVEITAMENTO 20 VEZES</t>
  </si>
  <si>
    <t>ARGAMASSA TRAÇO 1:3:12 (CIMENTO, CAL E AREIA MÉDIA) PARA EMBOÇO/MASSA ÚNICA/ASSENTAMENTO DE ALVENARIA DE VEDAÇÃO, PREPARO MANUAL. AF_06/2014</t>
  </si>
  <si>
    <t>ARGAMASSA PRONTA PARA CONTRAPISO, PREPARO MANUAL.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</si>
  <si>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</si>
  <si>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</si>
  <si>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</si>
  <si>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</si>
  <si>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</si>
  <si>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</si>
  <si>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</si>
  <si>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</si>
  <si>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VERTICAL, PLACAS CERÂMICAS, MANUAL, 1 PAVIMENTO. AF_06/2014</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</si>
  <si>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</si>
  <si>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</si>
  <si>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</si>
  <si>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</si>
  <si>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</si>
  <si>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</si>
  <si>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PENEIRAMENTO DE AREIA COM PENEIRA ELÉTRICA. AF_11/2015</t>
  </si>
  <si>
    <t>PENEIRAMENTO DE AREIA COM PENEIRA MANUAL. AF_11/2015</t>
  </si>
  <si>
    <t>ENSACAMENTO DE AREIA. AF_11/2015</t>
  </si>
  <si>
    <t>LIMPEZA FINAL DA OBRA</t>
  </si>
  <si>
    <t>73806/001</t>
  </si>
  <si>
    <t>73948/002</t>
  </si>
  <si>
    <t>73948/003</t>
  </si>
  <si>
    <t>LIMPEZA AZULEJO</t>
  </si>
  <si>
    <t>73948/008</t>
  </si>
  <si>
    <t>LIMPEZA VIDRO COMUM</t>
  </si>
  <si>
    <t>73948/009</t>
  </si>
  <si>
    <t>LIMPEZA FORRO</t>
  </si>
  <si>
    <t>73948/011</t>
  </si>
  <si>
    <t>73948/015</t>
  </si>
  <si>
    <t>73948/016</t>
  </si>
  <si>
    <t>LIMPEZA MANUAL DO TERRENO (C/ RASPAGEM SUPERFICIAL)</t>
  </si>
  <si>
    <t>74086/001</t>
  </si>
  <si>
    <t>LIMPEZA LOUCAS E METAIS</t>
  </si>
  <si>
    <t>74163/001</t>
  </si>
  <si>
    <t>74163/002</t>
  </si>
  <si>
    <t>73916/002</t>
  </si>
  <si>
    <t>73822/002</t>
  </si>
  <si>
    <t>73859/001</t>
  </si>
  <si>
    <t>73859/002</t>
  </si>
  <si>
    <t>CAPINA E LIMPEZA MANUAL DE TERRENO</t>
  </si>
  <si>
    <t>CORTE DE CAPOEIRA FINA A FOICE</t>
  </si>
  <si>
    <t>PREPARO MANUAL DE TERRENO S/ RASPAGEM SUPERFICIAL</t>
  </si>
  <si>
    <t>74220/001</t>
  </si>
  <si>
    <t>74221/001</t>
  </si>
  <si>
    <t>74219/001</t>
  </si>
  <si>
    <t>74219/002</t>
  </si>
  <si>
    <t>RETIRADA DE ALVENARIA DE TIJOLOS DE VIDRO</t>
  </si>
  <si>
    <t>RETIRADA DE ENTARUGAMENTO DE FORRO</t>
  </si>
  <si>
    <t>73801/001</t>
  </si>
  <si>
    <t>73802/001</t>
  </si>
  <si>
    <t>73874/001</t>
  </si>
  <si>
    <t>73899/001</t>
  </si>
  <si>
    <t>73899/002</t>
  </si>
  <si>
    <t>73900/001</t>
  </si>
  <si>
    <t>73900/002</t>
  </si>
  <si>
    <t>73900/003</t>
  </si>
  <si>
    <t>73900/004</t>
  </si>
  <si>
    <t>73900/005</t>
  </si>
  <si>
    <t>73900/006</t>
  </si>
  <si>
    <t>73900/007</t>
  </si>
  <si>
    <t>73900/008</t>
  </si>
  <si>
    <t>73900/009</t>
  </si>
  <si>
    <t>73900/010</t>
  </si>
  <si>
    <t>73900/011</t>
  </si>
  <si>
    <t>ENSAIOS DE AREIA ASFALTO A QUENTE</t>
  </si>
  <si>
    <t>73900/012</t>
  </si>
  <si>
    <t>74020/001</t>
  </si>
  <si>
    <t>ENSAIO DE PAVIMENTO DE CONCRETO</t>
  </si>
  <si>
    <t>74020/002</t>
  </si>
  <si>
    <t>ENSAIOS DE PAVIMENTO DE CONCRETO COMPACTADO COM ROLO</t>
  </si>
  <si>
    <t>74021/001</t>
  </si>
  <si>
    <t>ENSAIOS DE TERRAPLENAGEM - CORPO DO ATERRO</t>
  </si>
  <si>
    <t>74021/002</t>
  </si>
  <si>
    <t>ENSAIO DE TERRAPLENAGEM - CAMADA FINAL DO ATERRO</t>
  </si>
  <si>
    <t>74021/003</t>
  </si>
  <si>
    <t>74021/004</t>
  </si>
  <si>
    <t>74021/005</t>
  </si>
  <si>
    <t>74021/006</t>
  </si>
  <si>
    <t>ENSAIOS DE BASE ESTABILIZADA GRANULOMETRICAMENTE</t>
  </si>
  <si>
    <t>74021/007</t>
  </si>
  <si>
    <t>ENSAIO DE BASE DE SOLO MELHORADO COM CIMENTO</t>
  </si>
  <si>
    <t>74021/008</t>
  </si>
  <si>
    <t>ENSAIOS DE BASE DE SOLO CIMENTO</t>
  </si>
  <si>
    <t>74022/001</t>
  </si>
  <si>
    <t>74022/002</t>
  </si>
  <si>
    <t>74022/003</t>
  </si>
  <si>
    <t>74022/004</t>
  </si>
  <si>
    <t>74022/005</t>
  </si>
  <si>
    <t>74022/006</t>
  </si>
  <si>
    <t>ENSAIO DE GRANULOMETRIA POR PENEIRAMENTO - SOLOS</t>
  </si>
  <si>
    <t>74022/007</t>
  </si>
  <si>
    <t>74022/008</t>
  </si>
  <si>
    <t>ENSAIO DE LIMITE DE LIQUIDEZ - SOLOS</t>
  </si>
  <si>
    <t>74022/009</t>
  </si>
  <si>
    <t>ENSAIO DE LIMITE DE PLASTICIDADE - SOLOS</t>
  </si>
  <si>
    <t>74022/010</t>
  </si>
  <si>
    <t>74022/011</t>
  </si>
  <si>
    <t>74022/012</t>
  </si>
  <si>
    <t>74022/013</t>
  </si>
  <si>
    <t>74022/014</t>
  </si>
  <si>
    <t>74022/015</t>
  </si>
  <si>
    <t>74022/016</t>
  </si>
  <si>
    <t>ENSAIO DE DENSIDADE REAL - SOLOS</t>
  </si>
  <si>
    <t>74022/017</t>
  </si>
  <si>
    <t>74022/018</t>
  </si>
  <si>
    <t>74022/019</t>
  </si>
  <si>
    <t>74022/020</t>
  </si>
  <si>
    <t>74022/021</t>
  </si>
  <si>
    <t>74022/022</t>
  </si>
  <si>
    <t>74022/023</t>
  </si>
  <si>
    <t>74022/024</t>
  </si>
  <si>
    <t>74022/025</t>
  </si>
  <si>
    <t>ENSAIO DE PONTO DE FULGOR - MATERIAL BETUMINOSO</t>
  </si>
  <si>
    <t>74022/026</t>
  </si>
  <si>
    <t>74022/027</t>
  </si>
  <si>
    <t>74022/028</t>
  </si>
  <si>
    <t>74022/029</t>
  </si>
  <si>
    <t>74022/031</t>
  </si>
  <si>
    <t>74022/032</t>
  </si>
  <si>
    <t>74022/033</t>
  </si>
  <si>
    <t>74022/034</t>
  </si>
  <si>
    <t>74022/035</t>
  </si>
  <si>
    <t>ENSAIO DE PERCENTAGEM DE BETUME - MISTURAS BETUMINOSAS</t>
  </si>
  <si>
    <t>74022/036</t>
  </si>
  <si>
    <t>74022/037</t>
  </si>
  <si>
    <t>74022/038</t>
  </si>
  <si>
    <t>ENSAIO DE EXPANSIBILIDADE - SOLOS</t>
  </si>
  <si>
    <t>74022/039</t>
  </si>
  <si>
    <t>74022/040</t>
  </si>
  <si>
    <t>ENSAIO MARSHALL - MISTURA BETUMINOSA A QUENTE</t>
  </si>
  <si>
    <t>74022/041</t>
  </si>
  <si>
    <t>74022/042</t>
  </si>
  <si>
    <t>ENSAIO DE EQUIVALENTE EM AREIA - SOLOS</t>
  </si>
  <si>
    <t>74022/043</t>
  </si>
  <si>
    <t>ENSAIO DE MOLDAGEM E CURA DE SOLO CIMENTO</t>
  </si>
  <si>
    <t>74022/044</t>
  </si>
  <si>
    <t>74022/045</t>
  </si>
  <si>
    <t>74022/047</t>
  </si>
  <si>
    <t>74022/048</t>
  </si>
  <si>
    <t>74022/049</t>
  </si>
  <si>
    <t>74022/050</t>
  </si>
  <si>
    <t>74022/051</t>
  </si>
  <si>
    <t>ENSAIO DE ADESIVIDADE A LIGANTE BETUMINOSO - AGREGADO</t>
  </si>
  <si>
    <t>74022/052</t>
  </si>
  <si>
    <t>ENSAIO DE GRANULOMETRIA DO AGREGADO</t>
  </si>
  <si>
    <t>74022/053</t>
  </si>
  <si>
    <t>74022/054</t>
  </si>
  <si>
    <t>ENSAIO DE GRANULOMETRIA DO FILLER</t>
  </si>
  <si>
    <t>74022/055</t>
  </si>
  <si>
    <t>74022/056</t>
  </si>
  <si>
    <t>ENSAIO DE DENSIDADE DO MATERIAL BETUMINOSO</t>
  </si>
  <si>
    <t>74022/057</t>
  </si>
  <si>
    <t>74022/058</t>
  </si>
  <si>
    <t>ENSAIO DE ABATIMENTO DO TRONCO DE CONE</t>
  </si>
  <si>
    <t>LOCAÇÃO DE REDES DE ÁGUA OU DE ESGOTO</t>
  </si>
  <si>
    <t>73992/001</t>
  </si>
  <si>
    <t>74077/002</t>
  </si>
  <si>
    <t>74077/003</t>
  </si>
  <si>
    <t>CADASTRO DE LIGAÇÕES PREDIAIS, INCLUSIVE DESENHISTA</t>
  </si>
  <si>
    <t>CADASTRO DE REDES, INCLUSIVE DESENHISTA</t>
  </si>
  <si>
    <t>73758/001</t>
  </si>
  <si>
    <t>74038/001</t>
  </si>
  <si>
    <t>74039/001</t>
  </si>
  <si>
    <t>74118/001</t>
  </si>
  <si>
    <t>PLANTIO DE CERCA VIVA COM ARBUSTOS DE ALTURA 50 A 100CM, COM 4UN/M</t>
  </si>
  <si>
    <t>74142/001</t>
  </si>
  <si>
    <t>74142/002</t>
  </si>
  <si>
    <t>74142/003</t>
  </si>
  <si>
    <t>74142/004</t>
  </si>
  <si>
    <t>74143/001</t>
  </si>
  <si>
    <t>74143/002</t>
  </si>
  <si>
    <t>73787/001</t>
  </si>
  <si>
    <t>74244/001</t>
  </si>
  <si>
    <t>73788/002</t>
  </si>
  <si>
    <t>73967/001</t>
  </si>
  <si>
    <t>73967/002</t>
  </si>
  <si>
    <t>73967/004</t>
  </si>
  <si>
    <t>IRRIGAÇÃO DE ÁRVORE COM CARRO PIPA</t>
  </si>
  <si>
    <t>PLANTIO DE ARBUSTO COM ALTURA 50 A 100CM, EM CAVA DE 60X60X60CM</t>
  </si>
  <si>
    <t>74236/001</t>
  </si>
  <si>
    <t>PLANTIO DE GRAMA BATATAIS EM PLACAS</t>
  </si>
  <si>
    <t>PLANTIO DE GRAMA ESMERALDA EM ROLO</t>
  </si>
  <si>
    <t>REVOLVIMENTO MANUAL DE SOLO, PROFUNDIDADE ATÉ 20CM</t>
  </si>
  <si>
    <t>RETIRADA DE GRAMA EM PLACAS</t>
  </si>
  <si>
    <t>PODA E LIMPEZA DE ARBUSTO TIPO CERCA VIVA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</si>
  <si>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</si>
  <si>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</si>
  <si>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</si>
  <si>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</si>
  <si>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</si>
  <si>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</si>
  <si>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</si>
  <si>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</si>
  <si>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</si>
  <si>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</si>
  <si>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</si>
  <si>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</si>
  <si>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</si>
  <si>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</si>
  <si>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</si>
  <si>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</si>
  <si>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</si>
  <si>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USUÁRIOS COM ENCARGOS COMPLEMENTARES</t>
  </si>
  <si>
    <t>CALCETEIRO COM ENCARGOS COMPLEMENTARES</t>
  </si>
  <si>
    <t>CARPINTEIRO DE ESQUADRIA COM ENCARGOS COMPLEMENTARES</t>
  </si>
  <si>
    <t>CARPINTEIRO DE FORMAS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</si>
  <si>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</si>
  <si>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</si>
  <si>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</si>
  <si>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</si>
  <si>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</si>
  <si>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</si>
  <si>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</si>
  <si>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</si>
  <si>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</si>
  <si>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</si>
  <si>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MONTADOR DE ESTRUTURA METÁLICA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</si>
  <si>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</si>
  <si>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</si>
  <si>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</si>
  <si>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</si>
  <si>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</si>
  <si>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NIVELADOR COM ENCARGOS COMPLEMENTARES</t>
  </si>
  <si>
    <t>OPERADOR DE ACABADORA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</si>
  <si>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</si>
  <si>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</si>
  <si>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</si>
  <si>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</si>
  <si>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</si>
  <si>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</si>
  <si>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</si>
  <si>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</si>
  <si>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</si>
  <si>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</si>
  <si>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</si>
  <si>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</si>
  <si>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</si>
  <si>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</si>
  <si>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</si>
  <si>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</si>
  <si>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</si>
  <si>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</si>
  <si>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</si>
  <si>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</si>
  <si>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</si>
  <si>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</si>
  <si>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</si>
  <si>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</si>
  <si>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</si>
  <si>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</si>
  <si>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</si>
  <si>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</si>
  <si>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</si>
  <si>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</si>
  <si>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</si>
  <si>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JARDINEIRO COM ENCARGOS COMPLEMENTARES</t>
  </si>
  <si>
    <t>DESENHISTA DETALHISTA COM ENCARGOS COMPLEMENTARES</t>
  </si>
  <si>
    <t>ALMOXARIFE COM ENCARGOS COMPLEMENTARES</t>
  </si>
  <si>
    <t>APONTADOR OU APROPRIADOR COM ENCARGOS COMPLEMENTARES</t>
  </si>
  <si>
    <t>ARQUITETO DE OBRA PLENO COM ENCARGOS COMPLEMENTARES</t>
  </si>
  <si>
    <t>AUXILIAR DE DESENHISTA COM ENCARGOS COMPLEMENTARES</t>
  </si>
  <si>
    <t>DESENHISTA COPISTA COM ENCARGOS COMPLEMENTARES</t>
  </si>
  <si>
    <t>DESENHISTA PROJETISTA COM ENCARGOS COMPLEMENTARES</t>
  </si>
  <si>
    <t>ENCARREGADO GERAL COM ENCARGOS COMPLEMENTARES</t>
  </si>
  <si>
    <t>ENGENHEIRO CIVIL DE OBRA PLENO COM ENCARGOS COMPLEMENTARES</t>
  </si>
  <si>
    <t>MESTRE DE OBRAS COM ENCARGOS COMPLEMENTARES</t>
  </si>
  <si>
    <t>ENGENHEIRO ELETRICISTA COM ENCARGOS COMPLEMENTARES</t>
  </si>
  <si>
    <t>OBRAS LOCALIZADAS</t>
  </si>
  <si>
    <t>SERVICOS PRELIMINARES</t>
  </si>
  <si>
    <t>PAINEL DE TAPUME MÓVEL</t>
  </si>
  <si>
    <t>FOSSA SÉPTICA E SUMIDOURO</t>
  </si>
  <si>
    <t>LIMPEZA DE FAIXA</t>
  </si>
  <si>
    <t>LOCAÇÃO E DEMARCAÇÃO DA OBRA</t>
  </si>
  <si>
    <t>TAPUME EM CHAPA DE MADEIRA COMPENSADA</t>
  </si>
  <si>
    <t>CADEADO PADO OU PAPAIZ Nº. 35</t>
  </si>
  <si>
    <t>APILOAMENTO DE PISOS, VALAS OU CAVAS C/ COMPACTADOR</t>
  </si>
  <si>
    <t>APILOAMENTO DE VALAS OU CAVAS</t>
  </si>
  <si>
    <t>ESTRUTURAS DE CONCRETO ARMADO</t>
  </si>
  <si>
    <t>GABIÃO TIPO CX. #8X10 DUPLA TORÇÃO C/ARAME 2.7MM H=1,0 M</t>
  </si>
  <si>
    <t>GABIÃO TIPO CX. #8X10 DUPLA TORÇÃO C/ARAME 2.7MM-H=0,5M (2X)</t>
  </si>
  <si>
    <t>CIMENTO LISO - CIMENTO E AREIA 1:4</t>
  </si>
  <si>
    <t>REBOCO PAULISTA COM CIMENTO, CAL E AREIA 1:3:6</t>
  </si>
  <si>
    <t>REBOCO PAULISTA COM CIMENTO, CAL E PASTA E AREIA - 1:2:8</t>
  </si>
  <si>
    <t>ESQUADRIAS</t>
  </si>
  <si>
    <t>PAVIMENTAÇÕES</t>
  </si>
  <si>
    <t>PEDRA PORTUGUESA</t>
  </si>
  <si>
    <t>PISO EM LAJE DE PIRENÓPOLIS</t>
  </si>
  <si>
    <t>PISO LISO CIMENTO E AREIA 1:3, ESP=3 CM</t>
  </si>
  <si>
    <t>PINTURA EXTERNA IMPERMEABILIZANTE</t>
  </si>
  <si>
    <t>PINTURA A ÓLEO COM EMASSAMENTO</t>
  </si>
  <si>
    <t>CAIAÇÃO EXTERNA, 3 DEMÃOS</t>
  </si>
  <si>
    <t>CAIAÇÃO INTERNA, 3 DEMÃOS</t>
  </si>
  <si>
    <t>EMASSAMENTO PAREDES MASSA CORRIDA. A BASE PVA PARA PINT. LATEX</t>
  </si>
  <si>
    <t>PINTURA A ÓLEO SOBRE TUBULAÇÃO</t>
  </si>
  <si>
    <t>PINTURA COM EMASSAMENTO PAREDES INTERN. A BASE EPOXI - MANUAL</t>
  </si>
  <si>
    <t>PINTURA COM TINTA EPOXI</t>
  </si>
  <si>
    <t>AREIA COMPACTADA A 65 % C.R.</t>
  </si>
  <si>
    <t>CERCA PADRÃO SANEAGO (TIPO A) 12 FIOS COM MURETA</t>
  </si>
  <si>
    <t>CERCA PADRÃO SANEAGO (TIPO B) 07 FIOS SEM MURETA</t>
  </si>
  <si>
    <t>FORNECIMENTO E ASSENTAMENTO DE MEIO FIO DE CONCRETO</t>
  </si>
  <si>
    <t>PLANTIO DE GRAMA PLACAS SEM MANUTENÇÃO</t>
  </si>
  <si>
    <t>PORTÃO PADRÃO SANEAGO</t>
  </si>
  <si>
    <t>PONTA SECA PARA ESGOTOS - CALCADA</t>
  </si>
  <si>
    <t>PONTA SECA PARA ESGOTOS - RUA</t>
  </si>
  <si>
    <t>VIDRO LISO E=3 MM (FORNECIMENTO E INSTALAÇÃO)</t>
  </si>
  <si>
    <t>LIMPEZA FINAL DE OBRAS LOCALIZADAS</t>
  </si>
  <si>
    <t>CADASTRO DE REDES E ADUTORAS</t>
  </si>
  <si>
    <t>ACERTO DE FUNDO DE VALA SEM COMPACTAÇÃO</t>
  </si>
  <si>
    <t>COMPACTAÇÃO MANUAL FUNDO DE VALAS COM MAÇO=10 KG PARA REDE DE ESGOTO</t>
  </si>
  <si>
    <t>REGULARIZAÇÃO FUNDO DE VALAS PARA REDE DE ESGOTOS</t>
  </si>
  <si>
    <t>FORNECIMENTO E LANCAMENTO DE PEDRA DE MAO</t>
  </si>
  <si>
    <t>AQUISIÇÃO DE MATERIAL DE JAZIDA</t>
  </si>
  <si>
    <t>ESPALHAMENTO DE MATERIAL EM BOTA FORA PROVENIENTE DE ESCAVAÇÃO</t>
  </si>
  <si>
    <t>ESCORAMENTO DE VALAS (PONTALETEAMENTO)</t>
  </si>
  <si>
    <t>ASSENTAMENTO DE HIDRÔMETRO DE 1,5 M3/H (SÓ SERVIÇO)</t>
  </si>
  <si>
    <t>RAMAL PREDIAL EM PEAD PARA REDE DE ÁGUA (SÓ SERVIÇOS)</t>
  </si>
  <si>
    <t>REMOÇÃO DE MEIO FIO EM CONCRETO</t>
  </si>
  <si>
    <t>REMOÇÃO DE PARALELEPÍPEDO SOBRE COXIM DE AREIA</t>
  </si>
  <si>
    <t>ASSENTAMENTO TAMPÃO DE FERRO FUNDIDO DÚCTIL TD-600</t>
  </si>
  <si>
    <t>ASSENTAMENTO TAMPÃO DE FERRO FUNDIDO DÚCTIL TD-900</t>
  </si>
  <si>
    <t>DESCRIÇÃO</t>
  </si>
  <si>
    <t>TOTAL</t>
  </si>
  <si>
    <t>pç</t>
  </si>
  <si>
    <t xml:space="preserve">RESUMO </t>
  </si>
  <si>
    <t>UNID.</t>
  </si>
  <si>
    <t>PREÇO (R$)</t>
  </si>
  <si>
    <t>um.</t>
  </si>
  <si>
    <t>Quant.</t>
  </si>
  <si>
    <t xml:space="preserve">ORÇAMENTO </t>
  </si>
  <si>
    <t xml:space="preserve">ORÇAMENTO GERAL </t>
  </si>
  <si>
    <t>!EM PROCESSO DE DESATIVACAO! ADUBO BOVINO</t>
  </si>
  <si>
    <t>!EM PROCESSO DE DESATIVACAO! APARELHO DE OXI-ACETILENO PARA SOLDA E CORTE, SEM O GAS (PPU) (LOCACAO)</t>
  </si>
  <si>
    <t>!EM PROCESSO DE DESATIVACAO! ASFALTADOR</t>
  </si>
  <si>
    <t>!EM PROCESSO DE DESATIVACAO! BATE ESTACA-MARTELO ATE 3,0T DIESEL 160 HP TORRE 15 M MAGAN IM 1520 BS</t>
  </si>
  <si>
    <t>!EM PROCESSO DE DESATIVACAO! BETONEIRA 320 L COM MOTOR ELETRICO TRIFASICO, POTENCIA DE 3 HP, COM CARREGADOR MECANICO (LOCACAO)</t>
  </si>
  <si>
    <t>!EM PROCESSO DE DESATIVACAO! BETONEIRA DE 320 A 600 LITROS COM CARREGADOR E MOTOR ELETRICO TRIFASICO (LOCACAO)</t>
  </si>
  <si>
    <t>!EM PROCESSO DE DESATIVACAO! CABO DE COBRE ISOLAMENTO ANTI-CHAMA 450/750V 16MM2, FLEXIVEL, TP FORESPLAST ALCOA OU EQUIV</t>
  </si>
  <si>
    <t>!EM PROCESSO DE DESATIVACAO! CAIXA DE PASSAGEM N 1 PADRAO TELEBRAS DIM 10 X10 X 5CM EM CHAPA DE ACO GALV</t>
  </si>
  <si>
    <t>!EM PROCESSO DE DESATIVACAO! CAIXA DE PROTECAO P/ MEDIDOR MONOFASICO E DISJUNTOR EM CHAPA DE FERRO GALV</t>
  </si>
  <si>
    <t>!EM PROCESSO DE DESATIVACAO! CAIXA P/ MEDICAO DE DEMANDA E ENERGIA REATIVA EM CHAPA 18 ESTAMPADA , PADRAO DE CONCESSIONARIA LOCAL</t>
  </si>
  <si>
    <t>!EM PROCESSO DE DESATIVACAO! CAMINHONETE CABINE SIMPLES, MOTOR FLEX, 4 X 2, APENAS COM OS EQUIPAMENTOS DE SERIE</t>
  </si>
  <si>
    <t>!EM PROCESSO DE DESATIVACAO! CERA</t>
  </si>
  <si>
    <t>!EM PROCESSO DE DESATIVACAO! CHAVE FACA MONOPOLAR BLINDADA 30A/250V</t>
  </si>
  <si>
    <t>!EM PROCESSO DE DESATIVACAO! CHAVE SECCIONADORA TRIPOLAR P/ MEDIA TENSAO 400A/15KV, C/ COMANDO MANUAL SIMULTANEO NAS 3 FASES ATRAVES DE PUNHO</t>
  </si>
  <si>
    <t>!EM PROCESSO DE DESATIVACAO! CHAVE SECCIONADORA TRIPOLAR P/ MEDIA TENSAO 400A/15KV, C/ COMANDO MANUAL SIMULTANEO NAS 3 FASES ATRAVES DE VARA DE MANOBRA, TIPO 3 DC 0015-2W SIEMENS OU EQUIV</t>
  </si>
  <si>
    <t>!EM PROCESSO DE DESATIVACAO! CONDULETE EM PVC, TIPO "B", SEM TAMPA, DE 3/4"</t>
  </si>
  <si>
    <t>!EM PROCESSO DE DESATIVACAO! CONDULETE EM PVC, TIPO "LB", SEM TAMPA, DE 3/4"</t>
  </si>
  <si>
    <t>!EM PROCESSO DE DESATIVACAO! CONDULETE EM PVC, TIPO "LL", SEM TAMPA, DE 3/4"</t>
  </si>
  <si>
    <t>!EM PROCESSO DE DESATIVACAO! CONDULETE EM PVC, TIPO "TB", SEM TAMPA, DE 3/4"</t>
  </si>
  <si>
    <t>!EM PROCESSO DE DESATIVACAO! CONDULETE PVC TIPO "TA" D = 3/4" S/TAMPA"</t>
  </si>
  <si>
    <t>!EM PROCESSO DE DESATIVACAO! CONDULETE PVC TIPO "XA" D = 3/4" S/TAMPA"</t>
  </si>
  <si>
    <t>!EM PROCESSO DE DESATIVACAO! COPIA HELIOGRAFICA</t>
  </si>
  <si>
    <t>!EM PROCESSO DE DESATIVACAO! CURVA PVC 135G 1 1/2" P/ ELETRODUTO ROSCAVEL</t>
  </si>
  <si>
    <t>!EM PROCESSO DE DESATIVACAO! CURVA PVC 135G 1 1/4" P/ ELETRODUTO ROSCAVEL</t>
  </si>
  <si>
    <t>!EM PROCESSO DE DESATIVACAO! CURVA PVC 135G 1/2" P/ ELETRODUTO ROSCAVEL</t>
  </si>
  <si>
    <t>!EM PROCESSO DE DESATIVACAO! CURVA PVC 135G 2 1/2" P/ ELETRODUTO ROSCAVEL</t>
  </si>
  <si>
    <t>!EM PROCESSO DE DESATIVACAO! CURVA PVC 135G 2" P/ ELETRODUTO ROSCAVEL</t>
  </si>
  <si>
    <t>!EM PROCESSO DE DESATIVACAO! CURVA PVC 135G 3" P/ ELETRODUTO ROSCAVEL</t>
  </si>
  <si>
    <t>!EM PROCESSO DE DESATIVACAO! CURVA PVC 135G 4" P/ ELETRODUTO ROSCAVEL</t>
  </si>
  <si>
    <t>!EM PROCESSO DE DESATIVACAO! DIVISORIA COLMEIA CEGA COM MONTANTE E RODAPE DE ALUMINIO ANODIZADO SIMPLES (SEM COLOCACAO)</t>
  </si>
  <si>
    <t>!EM PROCESSO DE DESATIVACAO! EMULSAO ASFALTICA COM ELASTOMERO</t>
  </si>
  <si>
    <t>!EM PROCESSO DE DESATIVACAO! ESCAVADEIRA DRAGA DE ARRASTE, CAP. 3/4 JC 140HP (INCL MANUTENCAO/OPERACAO)</t>
  </si>
  <si>
    <t>!EM PROCESSO DE DESATIVACAO! ESCAVADEIRA HIDRAULICA SOBRE ESTEIRA, COM GARRA GIRATORIA DE MANDIBULAS, PESO OPERACIONAL ENTRE 22,00 E 25,50 TON, POTENCIA LIQUIDA ENTRE 150 E 160 HP</t>
  </si>
  <si>
    <t>!EM PROCESSO DE DESATIVACAO! ESCAVADEIRA HIDRAULICA SOBRE ESTEIRAS DE 99 HP, PESO OPERACIONAL DE *16* T E CAPACIDADE DE 0,85 A 1,00 M3 (LOCACAO COM OPERADOR, COMBUSTIVEL E MANUTENCAO)</t>
  </si>
  <si>
    <t>!EM PROCESSO DE DESATIVACAO! ESPUMA DE POLIURETANO E=20 A 25MM TEMP DE TRABALHO -50 A +100 GC DENS 29 A 35KG/M3</t>
  </si>
  <si>
    <t>!EM PROCESSO DE DESATIVACAO! FELTRO ONDALIT LARGURA = 1,00 M</t>
  </si>
  <si>
    <t>!EM PROCESSO DE DESATIVACAO! FERROLHO/FECHO/TARJETA OU TRINCO PINO REDONDO 2" SOBREPOR FERRO CROMADO</t>
  </si>
  <si>
    <t>!EM PROCESSO DE DESATIVACAO! FURADEIRA DE IMPACTO, PORTATIL, ELETRICA, TIPO INDUSTRIAL, COM MADRIL DE 5/8" (LOCACAO)</t>
  </si>
  <si>
    <t>!EM PROCESSO DE DESATIVACAO! GUINDASTE ALTOPROPELIDO SOBRE PNEUS, COM LANCA TELESCOPICA, CAPACIDADE DE *10* T (LOCACAO COM OPERADOR, COMBUSTIVEL E MANUTENCAO)</t>
  </si>
  <si>
    <t>!EM PROCESSO DE DESATIVACAO! HIDROMETRO 2,0 M3/H</t>
  </si>
  <si>
    <t>!EM PROCESSO DE DESATIVACAO! IMUNIZANTE PARA MADEIRAS BRUTAS TIPO CARBOLINEUM OU EQUIVALENTE</t>
  </si>
  <si>
    <t>!EM PROCESSO DE DESATIVACAO! INTERRUPTOR INTERMEDIARIO (TECLA DUPLA) EMBUTIR 10A/250V C/ PLACA, TIPO SILENTOQUE PIAL OU EQUIV</t>
  </si>
  <si>
    <t>!EM PROCESSO DE DESATIVACAO! INTERRUPTOR PULSADOR P/ CAMPAINHA EMBUTIR 2A/250V C/ PLACA, TIPO SILENTOQUE PIAL OU EQUIV</t>
  </si>
  <si>
    <t>!EM PROCESSO DE DESATIVACAO! JANELA ALUMINIO CORRER SERIE 25 FOLHAS  PARA VIDRO COM  BANDEIRA ,160 X 110CM (INCLUSO GUARNICAO E VIDRO LISO INCOLOR)</t>
  </si>
  <si>
    <t>!EM PROCESSO DE DESATIVACAO! JANELA MADEIRA REGIONAL 1A ABRIR TP ALMOFADA C/ GUARNICAO</t>
  </si>
  <si>
    <t>!EM PROCESSO DE DESATIVACAO! JANELA MADEIRA REGIONAL 1A ABRIR TP ALMOFADA C/ GUARNICAO 150 X 150CM</t>
  </si>
  <si>
    <t>!EM PROCESSO DE DESATIVACAO! JANELA MADEIRA REGIONAL 1A ABRIR TP VENEZIANA / VIDRO</t>
  </si>
  <si>
    <t>!EM PROCESSO DE DESATIVACAO! JANELA MADEIRA REGIONAL 2A TP GUILHOTINA C/ GUARNICAO</t>
  </si>
  <si>
    <t>!EM PROCESSO DE DESATIVACAO! LUMINARIA AQUATIC PIAL REF. 60456 BRANCA</t>
  </si>
  <si>
    <t>!EM PROCESSO DE DESATIVACAO! LUMINARIA CALHA SOBREPOR EM CHAPA ACO C/ 4 LAMPADAS FLUORESCENTES 40W (COMPLETA, INCL. REATOR PART RAPIDA E LAMPADAS)</t>
  </si>
  <si>
    <t>!EM PROCESSO DE DESATIVACAO! LUMINARIA DE SOBREPOR EM CHAPA DE ACO PARA LAMPADA FLUORESCENTE, COM 4 LAMPADAS DE 14 W E REATOR INCLUSOS</t>
  </si>
  <si>
    <t>!EM PROCESSO DE DESATIVACAO! LUMINARIA FECHADA P/ ILUMINACAO PUBLICA, TIPO ABL 50/F OU EQUIV, P/ LAMPADA A VAPOR DE MERCURIO 400W</t>
  </si>
  <si>
    <t>!EM PROCESSO DE DESATIVACAO! MADEIRA DE 1A. QUALIDADE (MADEIRA BRANCA), SERRADA E NAO APARELHADA, PARA FORMAS DE CONCRETO ARMADO</t>
  </si>
  <si>
    <t>!EM PROCESSO DE DESATIVACAO! MASTIQUE ELASTICO BASE SILICONE</t>
  </si>
  <si>
    <t>!EM PROCESSO DE DESATIVACAO! PAPEL VEGETAL 90G/M2 - 0,8M DE LARGURA</t>
  </si>
  <si>
    <t>!EM PROCESSO DE DESATIVACAO! PECA DE MADEIRA DE LEI NATIVA/REGIONAL *5 X 15* CM NAO APARELHADA</t>
  </si>
  <si>
    <t>!EM PROCESSO DE DESATIVACAO! PECA DE MADEIRA NAO APARELHADA *10 X 10 X 3* CM, MACARANDUBA, ANGELIM OU EQUIVALENTE DA REGIAO</t>
  </si>
  <si>
    <t>!EM PROCESSO DE DESATIVACAO! PO P/ TRATAM ESPECIAL (SIST IMPERM) CIMENTO ESPECIAL PEGA RAPIDA</t>
  </si>
  <si>
    <t>!EM PROCESSO DE DESATIVACAO! PORTA DE ABRIR EM ACO COM TRAVESSAS PARA VIDROS, COM PINTURA PRIMER DE PROTECAO, COM GUARNICAO, VIDROS NAO INCLUSOS</t>
  </si>
  <si>
    <t>!EM PROCESSO DE DESATIVACAO! PORTA DE ABRIR EM ACO TIPO MISTA, VENEZIANA COM POSTIGO E GRADE QUADRICULADA, COM PINTURA PRIMER DE PROTECAO, COM GUARNICAO, VIDROS NAO INCLUSOS</t>
  </si>
  <si>
    <t>!EM PROCESSO DE DESATIVACAO! PORTA DE ABRIR EM FERRO (TIPO CHAPA NUMERO 18), COM ALMOFADA E GUARNICAO, SEM BASCULA, DE *0,87 X 2,10* M.</t>
  </si>
  <si>
    <t>!EM PROCESSO DE DESATIVACAO! PORTA FERRO ABRIR TP CHAPA C/ GUARNICAO 70 X 210CM</t>
  </si>
  <si>
    <t>!EM PROCESSO DE DESATIVACAO! PORTA FERRO ABRIR TP QUADRICULADA C/ GUARNICAO 87 X 210CM</t>
  </si>
  <si>
    <t>!EM PROCESSO DE DESATIVACAO! QUADRO DE DISTRIBUICAO DE EMBUTIR C/ BARRAMENTO TRIFASICO P/ 40 DISJUNTORES UNIPOLARES EM CHAPA DE FERRO GALV</t>
  </si>
  <si>
    <t>!EM PROCESSO DE DESATIVACAO! QUADRO DE DISTRIBUICAO DE EMBUTIR SEM BARRAMENTO P/ 6 DISJUNTORES UNIPOLARES, S/ PORTA, EM CHAPA DE ACO GALV,</t>
  </si>
  <si>
    <t>!EM PROCESSO DE DESATIVACAO! QUADRO EM CHAPA DE ACO 18, PARA 3 DISJUNTORES MONOPOLARES, SEM BARRAMENTO, DE EMBUTIR, COM PORTA (PARA DISTRIBUICAO DE CIRCUITOS)</t>
  </si>
  <si>
    <t>!EM PROCESSO DE DESATIVACAO! REVESTIMENTO IMPERMEABILIZANTE SEMI-FLEXIVEL BI- COMPONENTE</t>
  </si>
  <si>
    <t>!EM PROCESSO DE DESATIVACAO! SOLDA ESTANHO/COBRE PARA CONEXOES DE COBRE, FIO 2,5 MM, CARRETEL 500 GR (SEM CHUMBO)</t>
  </si>
  <si>
    <t>!EM PROCESSO DE DESATIVACAO! SOLUCAO DE SILICONE HIDRORREPELENE PARA APLICACAO EM TIJOLOS E CONCRETOS APARENTES.</t>
  </si>
  <si>
    <t>!EM PROCESSO DE DESATIVACAO! TERMINAL DE PORCELANA (MUFLA) UNIPOLAR, USO EXTERNO, TENSAO 3,6/6 KV, PARA CABO DE 10/16 MM2, COM ISOLAMENTO EPR</t>
  </si>
  <si>
    <t>!EM PROCESSO DE DESATIVACAO! TINTA ALUMINIO ESMALTE PROTETORA SUPERFICIE METALICA</t>
  </si>
  <si>
    <t>!EM PROCESSO DE DESATIVACAO! TINTA BASE RESINA EPOXI</t>
  </si>
  <si>
    <t>!EM PROCESSO DE DESATIVACAO! TINTA PRIMARIA BETUMINOSA EM SUSPENSAO AQUOSA</t>
  </si>
  <si>
    <t>!EM PROCESSO DE DESATIVACAO! TOMADA TELEFONE 4P TELEBRAS S/PLACA PIAL OU SIMILAR</t>
  </si>
  <si>
    <t>!EM PROCESSO DE DESATIVACAO! TUBO ACO PRETO SEM COSTURA SCHEDULE 40/NBR 5590 DN INT 3" E = 5,49MM - 11,28KG/M</t>
  </si>
  <si>
    <t>!EM PROCESSO DE DESATIVACAO! VEICULO COMERCIAL LEVE (PICK-UP) COM CAPACIDADE DE CARGA DE 700 KG, MOTOR FLEX (LOCACAO)</t>
  </si>
  <si>
    <t>!EM PROCESSO DE DESATIVACAO! VERNIZ POLIURETANO FOSCO</t>
  </si>
  <si>
    <t>!EM PROCESSO DE DESATIVACAO! VERNIZ SINTETICO BRILHANTE</t>
  </si>
  <si>
    <t>!EM PROCESSO DE DESATIVACAO! VIGIA NOTURNO (SEM ADICIONAIS)</t>
  </si>
  <si>
    <t>(COMPOSIÇÃO REPRESENTATIVA) DE ALVENARIA DE BLOCOS DE CONCRETO ESTRUTU RAL 14X19X39 CM, (ESPESSURA 14 CM), FBK = 4,5 MPA, UTILIZANDO PALHETA, PARA EDIFICAÇÃO HABITACIONAL. AF_10/2015</t>
  </si>
  <si>
    <t>(COMPOSIÇÃO REPRESENTATIVA) DO SERVIÇO DE ALVENARIA DE VEDAÇÃO DE BLOC OS VAZADOS DE CERÂMICA DE 9X19X19CM (ESPESSURA 9CM), PARA EDIFICAÇÃO H ABITACIONAL MULTIFAMILIAR (PRÉDIO). AF_11/2014</t>
  </si>
  <si>
    <t>(COMPOSIÇÃO REPRESENTATIVA) DO SERVIÇO DE ALVENARIA DE VEDAÇÃO DE BLOC OS VAZADOS DE CERÂMICA DE 9X19X19CM (ESPESSURA 9CM), PARA EDIFICAÇÃO H ABITACIONAL UNIFAMILIAR (CASA) E EDIFICAÇÃO PÚBLICA PADRÃO. AF_11/2014</t>
  </si>
  <si>
    <t>(COMPOSIÇÃO REPRESENTATIVA) DO SERVIÇO DE ALVENARIA DE VEDAÇÃO DE BLOC OS VAZADOS DE CONCRETO DE 14X19X39CM (ESPESSURA 14CM), PARA EDIFICAÇÃO HABITACIONAL UNIFAMILIAR (CASA) E EDIFICAÇÃO PÚBLICA PADRÃO. AF_12/20 14</t>
  </si>
  <si>
    <t>(COMPOSIÇÃO REPRESENTATIVA) DO SERVIÇO DE ALVENARIA DE VEDAÇÃO DE BLOC OS VAZADOS DE CONCRETO DE 9X19X39CM (ESPESSURA 9CM), PARA EDIFICAÇÃO H ABITACIONAL MULTIFAMILIAR (PRÉDIO). AF_11/2014</t>
  </si>
  <si>
    <t>(COMPOSIÇÃO REPRESENTATIVA) DO SERVIÇO DE ALVENARIA DE VEDAÇÃO DE BLOC OS VAZADOS DE CONCRETO DE 9X19X39CM (ESPESSURA 9CM), PARA EDIFICAÇÃO H ABITACIONAL UNIFAMILIAR (CASA) E EDIFICAÇÃO PÚBLICA PADRÃO. AF_11/2014</t>
  </si>
  <si>
    <t>(COMPOSIÇÃO REPRESENTATIVA) DO SERVIÇO DE APLICAÇÃO MANUAL DE GESSO DE SEMPENADO (SEM TALISCAS) EM TETO, ESPESSURA 0,5 CM, PARA EDIFICAÇÃO HA BITACIONAL MULTIFAMILIAR (PRÉDIO). AF_11/2014</t>
  </si>
  <si>
    <t>(COMPOSIÇÃO REPRESENTATIVA) DO SERVIÇO DE CONTRAPISO EM ARGAMASSA TRAÇ O 1:4 (CIM E AREIA), EM BETONEIRA 400 L, ESPESSURA 3 CM ÁREAS SECAS E 3 CM ÁREAS MOLHADAS, PARA EDIFICAÇÃO HABITACIONAL MULTIFAMILIAR (PRÉDI O). AF_11/2014</t>
  </si>
  <si>
    <t>(COMPOSIÇÃO REPRESENTATIVA) DO SERVIÇO DE CONTRAPISO EM ARGAMASSA TRAÇ O 1:4 (CIM E AREIA), EM BETONEIRA 400 L, ESPESSURA 3 CM ÁREAS SECAS E 3 CM ÁREAS MOLHADAS, PARA EDIFICAÇÃO HABITACIONAL UNIFAMILIAR (CASA) E EDIFICAÇÃO PÚBLICA PADRÃO. AF_11/2014</t>
  </si>
  <si>
    <t>(COMPOSIÇÃO REPRESENTATIVA) DO SERVIÇO DE CONTRAPISO EM ARGAMASSA TRAÇ O 1:4 (CIM E AREIA), EM BETONEIRA 400 L, ESPESSURA 4 CM ÁREAS SECAS E AREAS MOLHADAS SOBRE LAJE E 3 CM ÁREAS MOLHADAS SOBRE IMPERMEABILIZAÇÃ O, PARA EDIFICAÇÃO HABITACIONAL MULTIFAMILIAR (PRÉDIO). AF_11/2014</t>
  </si>
  <si>
    <t>(COMPOSIÇÃO REPRESENTATIVA) DO SERVIÇO DE CONTRAPISO EM ARGAMASSA TRAÇ O 1:4 (CIM E AREIA), EM BETONEIRA 400 L, ESPESSURA 4 CM ÁREAS SECAS E AREAS MOLHADAS SOBRE LAJE E 3 CM ÁREAS MOLHADAS SOBRE IMPERMEABILIZAÇÃ O, PARA EDIFICAÇÃO HABITACIONAL UNIFAMILIAR(CASA) E EDIFICAÇÃO PÚBLICA PADRÃO. AF_11/2014</t>
  </si>
  <si>
    <t>(COMPOSIÇÃO REPRESENTATIVA) DO SERVIÇO DE CONTRAPISO EM ARGAMASSA TRAÇ O 1:4 (CIMENTO E AREIA), PREPARO COM BETONEIRA 400 L, ESPESSURA 4 CM P ARA ÁREAS SECAS E 3 CM PARA ÁREAS MOLHADAS, PARA EDIFICAÇÃO HABITACION AL MULTIFAMILIAR (PRÉDIO). AF_11/2014</t>
  </si>
  <si>
    <t>(COMPOSIÇÃO REPRESENTATIVA) DO SERVIÇO DE EMBOÇO/MASSA ÚNICA, APLICADO MANUALMENTE, TRAÇO 1:2:8, EM BETONEIRA DE 400L, PAREDES INTERNAS, COM EXECUÇÃO DE TALISCAS, EDIFICAÇÃO HABITACIONAL UNIFAMILIAR (CASAS) E E DIFICAÇÃO PÚBLICA PADRÃO. AF_12/2014</t>
  </si>
  <si>
    <t>(COMPOSIÇÃO REPRESENTATIVA) DO SERVIÇO DE EMBOÇO/MASSA ÚNICA, TRAÇO 1: 2:8, PREPARO MECÂNICO, COM BETONEIRA DE 400L, EM PAREDES DE AMBIENTES INTERNOS, COM EXECUÇÃO DE TALISCAS, PARA EDIFICAÇÃO HABITACIONAL MULTI FAMILIAR (PRÉDIO). AF_11/2014</t>
  </si>
  <si>
    <t>(COMPOSIÇÃO REPRESENTATIVA) DO SERVIÇO DE REVESTIMENTO CERÂMICO PARA A MBIENTES DE ÁREAS MOLHADAS, MEIA PAREDE OU PAREDE INTEIRA, COM PLACAS TIPO GRÊS OU SEMI-GRÊS, DIMENSÕES 20X20 CM, PARA EDIFICAÇÃO HABITACION AL MULTIFAMILIAR (PRÉDIO). AF_11/2014</t>
  </si>
  <si>
    <t>(COMPOSIÇÃO REPRESENTATIVA) DO SERVIÇO DE REVESTIMENTO CERÂMICO PARA P AREDES INTERNAS, MEIA PAREDE, OU PAREDE INTEIRA, PLACAS GRÊS OU SEMI-G RÊS DE 20X20 CM, PARA EDIFICAÇÕES HABITACIONAIS UNIFAMILIAR (CASAS) E EDIFICAÇÕES PÚBLICAS PADRÃO. AF_11/2014</t>
  </si>
  <si>
    <t>(COMPOSIÇÃO REPRESENTATIVA) DO SERVIÇO DE REVESTIMENTO CERÂMICO PARA P ISO COM PLACAS TIPO GRÉS DE DIMENSÕES 35X35 CM, PARA EDIFICAÇÃO HABITA CIONAL MULTIFAMILIAR (PRÉDIO). AF_11/2014</t>
  </si>
  <si>
    <t>(COMPOSIÇÃO REPRESENTATIVA) DO SERVIÇO DE REVESTIMENTO CERÂMICO PARA P ISO COM PLACAS TIPO GRÉS DE DIMENSÕES 35X35 CM, PARA EDIFICAÇÃO HABITA CIONAL UNIFAMILIAR (CASA) E EDIFICAÇÃO PÚBLICA PADRÃO. AF_11/2014</t>
  </si>
  <si>
    <t>(COMPOSIÇÃO REPRESENTATIVA) FABRICAÇÃO E INSTALAÇÃO DE TESOURA INTEIRA EM AÇO, PARA VÃOS DE 3 A 12 M E PARA QUALQUER TIPO DE TELHA, INCLUSO IÇAMENTO. AF_12/2015</t>
  </si>
  <si>
    <t>.!EM PROCESSO DE DESATIVACAO! TINTA RETRORREFLETIVAS A BASE DE RESINA ACRILICA COM MICROESFERA DE VIDRO, DB-800 COR BRANCA N 9,5.</t>
  </si>
  <si>
    <t>2 INTERRUPTORES PARALELOS + TOMADA 2P+T 10A, 250V, CONJUNTO MONTADO PARA EMBUTIR 4" X 2" (PLACA + SUPORTE + MODULOS)</t>
  </si>
  <si>
    <t>ABERTURA PARA ENCAIXE DE CUBA OU LAVATORIO EM BANCADA DE MARMORE/ GRANITO OU OUTRO TIPO DE PEDRA NATURAL</t>
  </si>
  <si>
    <t>ABRACADEIRA DE FIXACAO DE BRACOS DE LUMINARIAS DE 4" - FORNECIMENTO E INSTALACAO</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</si>
  <si>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</si>
  <si>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</si>
  <si>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</si>
  <si>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</si>
  <si>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</si>
  <si>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</si>
  <si>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</si>
  <si>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</si>
  <si>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</si>
  <si>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</si>
  <si>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 E CUNHA DE FIXACAO</t>
  </si>
  <si>
    <t>ABRACADEIRA EM ACO PARA AMARRACAO DE ELETRODUTOS, TIPO D, COM 1" E PARAFUSO DE FIXACAO</t>
  </si>
  <si>
    <t>ABRACADEIRA EM ACO PARA AMARRACAO DE ELETRODUTOS, TIPO D, COM 1/2" E CUNHA DE FIXACAO</t>
  </si>
  <si>
    <t>ABRACADEIRA EM ACO PARA AMARRACAO DE ELETRODUTOS, TIPO D, COM 1/2"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</si>
  <si>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</si>
  <si>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</si>
  <si>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</si>
  <si>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</si>
  <si>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</si>
  <si>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 E CUNHA DE FIXACAO</t>
  </si>
  <si>
    <t>ABRACADEIRA EM ACO PARA AMARRACAO DE ELETRODUTOS, TIPO D, COM 3" E PARAFUSO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</si>
  <si>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</si>
  <si>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</si>
  <si>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</si>
  <si>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4" E CUNHA DE FIXACAO</t>
  </si>
  <si>
    <t>ABRACADEIRA EM ACO PARA AMARRACAO DE ELETRODUTOS, TIPO D, COM 4" E PARAFUSO DE FIXACAO</t>
  </si>
  <si>
    <t>ABRACADEIRA EM ACO PARA AMARRACAO DE ELETRODUTOS, TIPO ECONOMICA, COM 1 1/2"</t>
  </si>
  <si>
    <t>ABRACADEIRA EM ACO PARA AMARRACAO DE ELETRODUTOS, TIPO ECONOMICA, COM 1 1/4"</t>
  </si>
  <si>
    <t>ABRACADEIRA EM ACO PARA AMARRACAO DE ELETRODUTOS, TIPO ECONOMICA, COM 1"</t>
  </si>
  <si>
    <t>ABRACADEIRA EM ACO PARA AMARRACAO DE ELETRODUTOS, TIPO ECONOMICA, COM 1/2"</t>
  </si>
  <si>
    <t>ABRACADEIRA EM ACO PARA AMARRACAO DE ELETRODUTOS, TIPO ECONOMICA, COM 2 1/2"</t>
  </si>
  <si>
    <t>ABRACADEIRA EM ACO PARA AMARRACAO DE ELETRODUTOS, TIPO ECONOMICA, COM 2"</t>
  </si>
  <si>
    <t>ABRACADEIRA EM ACO PARA AMARRACAO DE ELETRODUTOS, TIPO ECONOMICA, COM 3 1/2"</t>
  </si>
  <si>
    <t>ABRACADEIRA EM ACO PARA AMARRACAO DE ELETRODUTOS, TIPO ECONOMICA, COM 3"</t>
  </si>
  <si>
    <t>ABRACADEIRA EM ACO PARA AMARRACAO DE ELETRODUTOS, TIPO ECONOMICA, COM 3/4"</t>
  </si>
  <si>
    <t>ABRACADEIRA EM ACO PARA AMARRACAO DE ELETRODUTOS, TIPO ECONOMICA, COM 4"</t>
  </si>
  <si>
    <t>ABRACADEIRA EM ACO PARA AMARRACAO DE ELETRODUTOS, TIPO ECONOMICA, COM 5"</t>
  </si>
  <si>
    <t>ABRACADEIRA EM ACO PARA AMARRACAO DE ELETRODUTOS, TIPO ECONOMICA, COM 6"</t>
  </si>
  <si>
    <t>ABRACADEIRA EM ACO PARA AMARRACAO DE ELETRODUTOS, TIPO ECONOMICA, COM 8"</t>
  </si>
  <si>
    <t>ABRACADEIRA EM ACO PARA AMARRACAO DE ELETRODUTOS, TIPO U SIMPLES, COM 1 1/2"</t>
  </si>
  <si>
    <t>ABRACADEIRA EM ACO PARA AMARRACAO DE ELETRODUTOS, TIPO U SIMPLES, COM 1 1/4"</t>
  </si>
  <si>
    <t>ABRACADEIRA EM ACO PARA AMARRACAO DE ELETRODUTOS, TIPO U SIMPLES, COM 1"</t>
  </si>
  <si>
    <t>ABRACADEIRA EM ACO PARA AMARRACAO DE ELETRODUTOS, TIPO U SIMPLES, COM 1/2"</t>
  </si>
  <si>
    <t>ABRACADEIRA EM ACO PARA AMARRACAO DE ELETRODUTOS, TIPO U SIMPLES, COM 2 1/2"</t>
  </si>
  <si>
    <t>ABRACADEIRA EM ACO PARA AMARRACAO DE ELETRODUTOS, TIPO U SIMPLES, COM 2"</t>
  </si>
  <si>
    <t>ABRACADEIRA EM ACO PARA AMARRACAO DE ELETRODUTOS, TIPO U SIMPLES, COM 3"</t>
  </si>
  <si>
    <t>ABRACADEIRA EM ACO PARA AMARRACAO DE ELETRODUTOS, TIPO U SIMPLES, COM 3/4"</t>
  </si>
  <si>
    <t>ABRACADEIRA EM ACO PARA AMARRACAO DE ELETRODUTOS, TIPO U SIMPLES, COM 3/8"</t>
  </si>
  <si>
    <t>ABRACADEIRA EM ACO PARA AMARRACAO DE ELETRODUTOS, TIPO U SIMPLES, COM 4"</t>
  </si>
  <si>
    <t>ABRACADEIRA EM ACO PARA AMARRACAO DE ELETRODUTOS, TIPO UNIAO HORIZONTAL, COM 1 1/2"</t>
  </si>
  <si>
    <t>ABRACADEIRA EM ACO PARA AMARRACAO DE ELETRODUTOS, TIPO UNIAO HORIZONTAL, COM 1 1/4"</t>
  </si>
  <si>
    <t>ABRACADEIRA EM ACO PARA AMARRACAO DE ELETRODUTOS, TIPO UNIAO HORIZONTAL, COM 1"</t>
  </si>
  <si>
    <t>ABRACADEIRA EM ACO PARA AMARRACAO DE ELETRODUTOS, TIPO UNIAO HORIZONTAL, COM 1/2"</t>
  </si>
  <si>
    <t>ABRACADEIRA EM ACO PARA AMARRACAO DE ELETRODUTOS, TIPO UNIAO HORIZONTAL, COM 10"</t>
  </si>
  <si>
    <t>ABRACADEIRA EM ACO PARA AMARRACAO DE ELETRODUTOS, TIPO UNIAO HORIZONTAL, COM 12"</t>
  </si>
  <si>
    <t>ABRACADEIRA EM ACO PARA AMARRACAO DE ELETRODUTOS, TIPO UNIAO HORIZONTAL, COM 2 1/2"</t>
  </si>
  <si>
    <t>ABRACADEIRA EM ACO PARA AMARRACAO DE ELETRODUTOS, TIPO UNIAO HORIZONTAL, COM 2"</t>
  </si>
  <si>
    <t>ABRACADEIRA EM ACO PARA AMARRACAO DE ELETRODUTOS, TIPO UNIAO HORIZONTAL, COM 3 1/2"</t>
  </si>
  <si>
    <t>ABRACADEIRA EM ACO PARA AMARRACAO DE ELETRODUTOS, TIPO UNIAO HORIZONTAL, COM 3"</t>
  </si>
  <si>
    <t>ABRACADEIRA EM ACO PARA AMARRACAO DE ELETRODUTOS, TIPO UNIAO HORIZONTAL, COM 3/4"</t>
  </si>
  <si>
    <t>ABRACADEIRA EM ACO PARA AMARRACAO DE ELETRODUTOS, TIPO UNIAO HORIZONTAL, COM 4"</t>
  </si>
  <si>
    <t>ABRACADEIRA EM ACO PARA AMARRACAO DE ELETRODUTOS, TIPO UNIAO HORIZONTAL, COM 5"</t>
  </si>
  <si>
    <t>ABRACADEIRA EM ACO PARA AMARRACAO DE ELETRODUTOS, TIPO UNIAO HORIZONTAL, COM 6"</t>
  </si>
  <si>
    <t>ABRACADEIRA EM ACO PARA AMARRACAO DE ELETRODUTOS, TIPO UNIAO HORIZONTAL, COM 8"</t>
  </si>
  <si>
    <t>ABRACADEIRA P/POCOS PROFUNDOS</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</si>
  <si>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</si>
  <si>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</si>
  <si>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</si>
  <si>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</si>
  <si>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ABRIGO PARA HIDRANTE, 75X45X17CM, COM REGISTRO GLOBO ANGULAR 45º 2.1/2 ", ADAPTADOR STORZ 2.1/2", MANGUEIRA DE INCÊNDIO 15M, REDUÇÃO 2.1/2X1. 1/2" E ESGUICHO EM LATÃO 1.1/2" - FORNECIMENTO E INSTALAÇÃO</t>
  </si>
  <si>
    <t>ABRIGO PARA HIDRANTE, 90X60X17CM, COM REGISTRO GLOBO ANGULAR 45º 2.1/2 ", ADAPTADOR STORZ 2.1/2", MANGUEIRA DE INCÊNDIO 20M, REDUÇÃO 2.1/2X1. 1/2" E ESGUICHO EM LATÃO 1.1/2" - FORNECIMENTO E INSTALAÇÃO</t>
  </si>
  <si>
    <t>ACABAMENTO CROMADO PARA REGISTRO PEQUENO, 1/2 " OU 3/4 "</t>
  </si>
  <si>
    <t>ACABAMENTO SIMPLES TIPO "U" PARA FORRO EM PVC, COR BRANCA, COMPRIMENTO 6 M</t>
  </si>
  <si>
    <t>ACESSORIO DE LIGACAO NAO ELETRICO, TUBO DE 6 M</t>
  </si>
  <si>
    <t>ACESSORIO INICIADOR NAO ELETRICO, TUBO DE 6 M, TEMPO DE RETARDO DE *160* MS</t>
  </si>
  <si>
    <t>ACIDO MURIATICO, DILUICAO 10% A 12% PARA USO EM LIMPEZA</t>
  </si>
  <si>
    <t>ACO CA 60, 6,0 MM, DOBRADO E CORTADO</t>
  </si>
  <si>
    <t>ACO CA-25, 10,0 MM, VERGALHAO</t>
  </si>
  <si>
    <t>ACO CA-25, 12,5 MM, VERGALHAO</t>
  </si>
  <si>
    <t>ACO CA-25, 16,0 MM, VERGALHAO</t>
  </si>
  <si>
    <t>ACO CA-25, 20,0 MM, VERGALHAO</t>
  </si>
  <si>
    <t>ACO CA-25, 25,0 MM, VERGALHAO</t>
  </si>
  <si>
    <t>ACO CA-25, 6,3 MM, VERGALHAO</t>
  </si>
  <si>
    <t>ACO CA-25, 8,0 MM, VERGALHAO</t>
  </si>
  <si>
    <t>ACO CA-25, VERGALHAO, 32,0 MM</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</si>
  <si>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</si>
  <si>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</si>
  <si>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</si>
  <si>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</si>
  <si>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</si>
  <si>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</si>
  <si>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</si>
  <si>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</si>
  <si>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</si>
  <si>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</si>
  <si>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</si>
  <si>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</si>
  <si>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4,2 MM, DOBRADO E CORTADO</t>
  </si>
  <si>
    <t>ACO CA-60, 4,2 MM, VERGALHAO</t>
  </si>
  <si>
    <t>ACO CA-60, 5,0 MM, DOBRADO E CORTADO</t>
  </si>
  <si>
    <t>ACO CA-60, 5,0 MM, VERGALHAO</t>
  </si>
  <si>
    <t>ACO CA-60, 6,0 MM, VERGALHAO</t>
  </si>
  <si>
    <t>ACO CA-60, 7,0 MM, DOBRADO E CORTADO</t>
  </si>
  <si>
    <t>ACO CA-60, 7,0 MM, VERGALHAO</t>
  </si>
  <si>
    <t>ACO CA-60, 8,0 MM, VERGALHAO</t>
  </si>
  <si>
    <t>ACO CA-60, VERGALHAO, 9,5 MM</t>
  </si>
  <si>
    <t>ACO-FIO PARA PROTENSAO, CP-150 RB L, 8 MM</t>
  </si>
  <si>
    <t>ACOPLAMENTO DE CONDUTOR PLUVIAL, EM PVC, DIAMETRO ENTRE 80 E 100 MM, PARA DRENAGEM PREDIAL</t>
  </si>
  <si>
    <t>ACRESCIMO NA ALTURA DO POCO DE VISITA EM ALVENARIA PARA REDE D=0,40 M</t>
  </si>
  <si>
    <t>ADAPTADOR COM FLANGE E ANEL DE VEDAÇÃO, PVC, SOLDÁVEL, DN  20 MM X 1/2 , INSTALADO EM RESERVAÇÃO DE ÁGUA DE EDIFICAÇÃO QUE POSSUA RESERVATÓR IO DE FIBRA/FIBROCIMENTO   FORNECIMENTO E INSTALAÇÃO. AF_06/2016</t>
  </si>
  <si>
    <t>ADAPTADOR COM FLANGE E ANEL DE VEDAÇÃO, PVC, SOLDÁVEL, DN  25 MM X 3/4 , INSTALADO EM RESERVAÇÃO DE ÁGUA DE EDIFICAÇÃO QUE POSSUA RESERVATÓR 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</si>
  <si>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</si>
  <si>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 4 , INSTALADO EM RESERVAÇÃO DE ÁGUA DE EDIFICAÇÃO QUE POSSUA RESERVATÓ RIO DE FIBRA/FIBROCIMENTO   FORNECIMENTO E INSTALAÇÃO. AF_06/2016</t>
  </si>
  <si>
    <t>ADAPTADOR COM FLANGE E ANEL DE VEDAÇÃO, PVC, SOLDÁVEL, DN 50 MM X 1 1/ 2 , INSTALADO EM RESERVAÇÃO DE ÁGUA DE EDIFICAÇÃO QUE POSSUA RESERVATÓ 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</si>
  <si>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</si>
  <si>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25 MM X 3/4 , I NSTALADO EM RESERVAÇÃO DE ÁGUA DE EDIFICAÇÃO QUE POSSUA RESERVATÓRIO D E FIBRA/FIBROCIMENTO    FORNECIMENTO E INSTALAÇÃO. AF_06/2016</t>
  </si>
  <si>
    <t>ADAPTADOR COM FLANGES LIVRES, PVC, SOLDÁVEL LONGO, DN 110 MM X 4 , INS TALADO EM RESERVAÇÃO DE ÁGUA DE EDIFICAÇÃO QUE POSSUA RESERVATÓRIO DE FIBRA/FIBROCIMENTO   FORNECIMENTO E INSTALAÇÃO. AF_06/2016</t>
  </si>
  <si>
    <t>ADAPTADOR COM FLANGES LIVRES, PVC, SOLDÁVEL LONGO, DN 32 MM X 1 , INST ALADO EM RESERVAÇÃO DE ÁGUA DE EDIFICAÇÃO QUE POSSUA RESERVATÓRIO DE F 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</si>
  <si>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</si>
  <si>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</si>
  <si>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 ALADO EM RESERVAÇÃO DE ÁGUA DE EDIFICAÇÃO QUE POSSUA RESERVATÓRIO DE F 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</si>
  <si>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</si>
  <si>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 ALADO EM RESERVAÇÃO DE ÁGUA DE EDIFICAÇÃO QUE POSSUA RESERVATÓRIO DE F IBRA/FIBROCIMENTO   FORNECIMENTO E INSTALAÇÃO. AF_06/2016</t>
  </si>
  <si>
    <t>ADAPTADOR COM FLANGES LIVRES, PVC, SOLDÁVEL, DN  25 MM X 3/4 , INSTALA DO EM RESERVAÇÃO DE ÁGUA DE EDIFICAÇÃO QUE POSSUA RESERVATÓRIO DE FIBR A/FIBROCIMENTO   FORNECIMENTO E INSTALAÇÃO. AF_06/2016</t>
  </si>
  <si>
    <t>ADAPTADOR COM FLANGES LIVRES, PVC, SOLDÁVEL, DN 110 MM X 4 , INSTALADO EM RESERVAÇÃO DE ÁGUA DE EDIFICAÇÃO QUE POSSUA RESERVATÓRIO DE FIBRA/ FIBROCIMENTO   FORNECIMENTO E INSTALAÇÃO. AF_06/2016</t>
  </si>
  <si>
    <t>ADAPTADOR COM FLANGES LIVRES, PVC, SOLDÁVEL, DN 32 MM X 1 , INSTALADO EM RESERVAÇÃO DE ÁGUA DE EDIFICAÇÃO QUE POSSUA RESERVATÓRIO DE FIBRA/F IBROCIMENTO   FORNECIMENTO E INSTALAÇÃO. AF_06/2016</t>
  </si>
  <si>
    <t>ADAPTADOR COM FLANGES LIVRES, PVC, SOLDÁVEL, DN 40 MM X 1 1/4 , INSTAL ADO EM RESERVAÇÃO DE ÁGUA DE EDIFICAÇÃO QUE POSSUA RESERVATÓRIO DE FIB RA/FIBROCIMENTO   FORNECIMENTO E INSTALAÇÃO. AF_06/2016</t>
  </si>
  <si>
    <t>ADAPTADOR COM FLANGES LIVRES, PVC, SOLDÁVEL, DN 50 MM X 1 1/2 , INSTAL ADO EM RESERVAÇÃO DE ÁGUA DE EDIFICAÇÃO QUE POSSUA RESERVATÓRIO DE FIB RA/FIBROCIMENTO   FORNECIMENTO E INSTALAÇÃO. AF_06/2016</t>
  </si>
  <si>
    <t>ADAPTADOR COM FLANGES LIVRES, PVC, SOLDÁVEL, DN 60 MM X 2 , INSTALADO EM RESERVAÇÃO DE ÁGUA DE EDIFICAÇÃO QUE POSSUA RESERVATÓRIO DE FIBRA/F IBROCIMENTO   FORNECIMENTO E INSTALAÇÃO. AF_06/2016</t>
  </si>
  <si>
    <t>ADAPTADOR COM FLANGES LIVRES, PVC, SOLDÁVEL, DN 75 MM X 2 1/2 , INSTAL ADO EM RESERVAÇÃO DE ÁGUA DE EDIFICAÇÃO QUE POSSUA RESERVATÓRIO DE FIB RA/FIBROCIMENTO   FORNECIMENTO E INSTALAÇÃO. AF_06/2016</t>
  </si>
  <si>
    <t>ADAPTADOR COM FLANGES LIVRES, PVC, SOLDÁVEL, DN 85 MM X 3 , INSTALADO EM RESERVAÇÃO DE ÁGUA DE EDIFICAÇÃO QUE POSSUA RESERVATÓRIO DE FIBRA/F IBROCIMENTO   FORNECIMENTO E INSTALAÇÃO. AF_06/2016</t>
  </si>
  <si>
    <t>ADAPTADOR CURTO COM BOLSA E ROSCA PARA REGISTRO, PVC, SOLDÁVEL, DN  25 MM X 3/4 , INSTALADO EM RESERVAÇÃO DE ÁGUA DE EDIFICAÇÃO QUE POSSUA R ESERVATÓRIO DE FIBRA/FIBROCIMENTO   FORNECIMENTO E INSTALAÇÃO. AF_06/2 016</t>
  </si>
  <si>
    <t>ADAPTADOR CURTO COM BOLSA E ROSCA PARA REGISTRO, PVC, SOLDÁVEL, DN 110 MM X 4 , INSTALADO EM RESERVAÇÃO DE ÁGUA DE EDIFICAÇÃO QUE POSSUA RES ERVATÓRIO DE FIBRA/FIBROCIMENTO   FORNECIMENTO E INSTALAÇÃO. AF_06/201 6</t>
  </si>
  <si>
    <t>ADAPTADOR CURTO COM BOLSA E ROSCA PARA REGISTRO, PVC, SOLDÁVEL, DN 20M M X 1/2, INSTALADO EM RAMAL DE DISTRIBUIÇÃO DE ÁGUA - FORNECIMENTO E INSTALAÇÃO. AF_12/2014</t>
  </si>
  <si>
    <t>ADAPTADOR CURTO COM BOLSA E ROSCA PARA REGISTRO, PVC, SOLDÁVEL, DN 20M M X 1/2, INSTALADO EM RAMAL OU SUB-RAMAL DE ÁGUA - FORNECIMENTO E INS TALAÇÃO. AF_12/2014</t>
  </si>
  <si>
    <t>ADAPTADOR CURTO COM BOLSA E ROSCA PARA REGISTRO, PVC, SOLDÁVEL, DN 25M M X 3/4, INSTALADO EM PRUMADA DE ÁGUA - FORNECIMENTO E INSTALAÇÃO. AF _12/2014</t>
  </si>
  <si>
    <t>ADAPTADOR CURTO COM BOLSA E ROSCA PARA REGISTRO, PVC, SOLDÁVEL, DN 25M M X 3/4, INSTALADO EM RAMAL DE DISTRIBUIÇÃO DE ÁGUA - FORNECIMENTO E INSTALAÇÃO. AF_12/2014</t>
  </si>
  <si>
    <t>ADAPTADOR CURTO COM BOLSA E ROSCA PARA REGISTRO, PVC, SOLDÁVEL, DN 25M M X 3/4, INSTALADO EM RAMAL OU SUB-RAMAL DE ÁGUA - FORNECIMENTO E INS TALAÇÃO. AF_12/2014</t>
  </si>
  <si>
    <t>ADAPTADOR CURTO COM BOLSA E ROSCA PARA REGISTRO, PVC, SOLDÁVEL, DN 32 MM X 1 , INSTALADO EM RESERVAÇÃO DE ÁGUA DE EDIFICAÇÃO QUE POSSUA RESE RVATÓRIO DE FIBRA/FIBROCIMENTO   FORNECIMENTO E INSTALAÇÃO. AF_06/2016</t>
  </si>
  <si>
    <t>ADAPTADOR CURTO COM BOLSA E ROSCA PARA REGISTRO, PVC, SOLDÁVEL, DN 32M M X 1, INSTALADO EM PRUMADA DE ÁGUA - FORNECIMENTO E INSTALAÇÃO. AF_1 2/2014</t>
  </si>
  <si>
    <t>ADAPTADOR CURTO COM BOLSA E ROSCA PARA REGISTRO, PVC, SOLDÁVEL, DN 32M M X 1, INSTALADO EM RAMAL DE DISTRIBUIÇÃO DE ÁGUA - FORNECIMENTO E IN STALAÇÃO. AF_12/2014</t>
  </si>
  <si>
    <t>ADAPTADOR CURTO COM BOLSA E ROSCA PARA REGISTRO, PVC, SOLDÁVEL, DN 32M M X 1, INSTALADO EM RAMAL OU SUB-RAMAL DE ÁGUA - FORNECIMENTO E INSTA LAÇÃO. AF_12/2014</t>
  </si>
  <si>
    <t>ADAPTADOR CURTO COM BOLSA E ROSCA PARA REGISTRO, PVC, SOLDÁVEL, DN 40 MM X 1 1/4 , INSTALADO EM RESERVAÇÃO DE ÁGUA DE EDIFICAÇÃO QUE POSSUA RESERVATÓRIO DE FIBRA/FIBROCIMENTO   FORNECIMENTO E INSTALAÇÃO. AF_06/ 2016</t>
  </si>
  <si>
    <t>ADAPTADOR CURTO COM BOLSA E ROSCA PARA REGISTRO, PVC, SOLDÁVEL, DN 40M M X 1.1/2, INSTALADO EM PRUMADA DE ÁGUA - FORNECIMENTO E INSTALAÇÃO. AF_12/2014</t>
  </si>
  <si>
    <t>ADAPTADOR CURTO COM BOLSA E ROSCA PARA REGISTRO, PVC, SOLDÁVEL, DN 40M M X 1.1/4, INSTALADO EM PRUMADA DE ÁGUA - FORNECIMENTO E INSTALAÇÃO. AF_12/2014</t>
  </si>
  <si>
    <t>ADAPTADOR CURTO COM BOLSA E ROSCA PARA REGISTRO, PVC, SOLDÁVEL, DN 50 MM X 1 1/2 , INSTALADO EM RESERVAÇÃO DE ÁGUA DE EDIFICAÇÃO QUE POSSUA RESERVATÓRIO DE FIBRA/FIBROCIMENTO   FORNECIMENTO E INSTALAÇÃO. AF_06/ 2016</t>
  </si>
  <si>
    <t>ADAPTADOR CURTO COM BOLSA E ROSCA PARA REGISTRO, PVC, SOLDÁVEL, DN 50M M X 1.1/2, INSTALADO EM PRUMADA DE ÁGUA - FORNECIMENTO E INSTALAÇÃO. AF_12/2014</t>
  </si>
  <si>
    <t>ADAPTADOR CURTO COM BOLSA E ROSCA PARA REGISTRO, PVC, SOLDÁVEL, DN 50M M X 1.1/4, INSTALADO EM PRUMADA DE ÁGUA - FORNECIMENTO E INSTALAÇÃO. AF_12/2014</t>
  </si>
  <si>
    <t>ADAPTADOR CURTO COM BOLSA E ROSCA PARA REGISTRO, PVC, SOLDÁVEL, DN 60 MM X 2 , INSTALADO EM RESERVAÇÃO DE ÁGUA DE EDIFICAÇÃO QUE POSSUA RESE RVATÓRIO DE FIBRA/FIBROCIMENTO   FORNECIMENTO E INSTALAÇÃO. AF_06/2016</t>
  </si>
  <si>
    <t>ADAPTADOR CURTO COM BOLSA E ROSCA PARA REGISTRO, PVC, SOLDÁVEL, DN 60M M X 2, INSTALADO EM PRUMADA DE ÁGUA - FORNECIMENTO E INSTALAÇÃO. AF_1 2/2014</t>
  </si>
  <si>
    <t>ADAPTADOR CURTO COM BOLSA E ROSCA PARA REGISTRO, PVC, SOLDÁVEL, DN 75 MM X 2 1/2 , INSTALADO EM RESERVAÇÃO DE ÁGUA DE EDIFICAÇÃO QUE POSSUA RESERVATÓRIO DE FIBRA/FIBROCIMENTO   FORNECIMENTO E INSTALAÇÃO. AF_06/ 2016</t>
  </si>
  <si>
    <t>ADAPTADOR CURTO COM BOLSA E ROSCA PARA REGISTRO, PVC, SOLDÁVEL, DN 75M M X 2.1/2, INSTALADO EM PRUMADA DE ÁGUA - FORNECIMENTO E INSTALAÇÃO. AF_12/2014</t>
  </si>
  <si>
    <t>ADAPTADOR CURTO COM BOLSA E ROSCA PARA REGISTRO, PVC, SOLDÁVEL, DN 85 MM X 3 , INSTALADO EM RESERVAÇÃO DE ÁGUA DE EDIFICAÇÃO QUE POSSUA RESE RVATÓRIO DE FIBRA/FIBROCIMENTO   FORNECIMENTO E INSTALAÇÃO. AF_06/2016</t>
  </si>
  <si>
    <t>ADAPTADOR CURTO COM BOLSA E ROSCA PARA REGISTRO, PVC, SOLDÁVEL, DN 85M M X 3, INSTALADO EM PRUMADA DE ÁGUA - FORNECIMENTO E INSTALAÇÃO. AF_1 2/2014</t>
  </si>
  <si>
    <t>ADAPTADOR DE COMPRESSAO EM POLIPROPILENO (PP), PARA TUBO EM PEAD, 20 MM X 1/2" - LIGACAO PREDIAL DE AGUA (NTS 179)</t>
  </si>
  <si>
    <t>ADAPTADOR DE COMPRESSAO EM POLIPROPILENO (PP), PARA TUBO EM PEAD, 20 MM X 3/4" - LIGACAO PREDIAL DE AGUA (NTS 179)</t>
  </si>
  <si>
    <t>ADAPTADOR DE COMPRESSAO EM POLIPROPILENO (PP), PARA TUBO EM PEAD, 32 MM X 1" - LIGACAO PREDIAL DE AGUA (NTS 179)</t>
  </si>
  <si>
    <t>ADAPTADOR PVC PARA SIFAO METALICO, SOLDAVEL, COM ANEL BORRACHA (JE), 40 MM X 1 1/2"</t>
  </si>
  <si>
    <t>ADAPTADOR PVC PARA SIFAO, ROSCAVEL, 40 MM X 1 1/4"</t>
  </si>
  <si>
    <t>ADAPTADOR PVC ROSCAVEL, COM FLANGES E ANEL DE VEDACAO, 1", PARA CAIXA D' AGUA</t>
  </si>
  <si>
    <t>ADAPTADOR PVC ROSCAVEL, COM FLANGES E ANEL DE VEDACAO, 1/2",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</si>
  <si>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</si>
  <si>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</si>
  <si>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</si>
  <si>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</si>
  <si>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</si>
  <si>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</si>
  <si>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</si>
  <si>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</si>
  <si>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</si>
  <si>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</si>
  <si>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</si>
  <si>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</si>
  <si>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</si>
  <si>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</si>
  <si>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</si>
  <si>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</si>
  <si>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</si>
  <si>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</si>
  <si>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</si>
  <si>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</si>
  <si>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</si>
  <si>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</si>
  <si>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</si>
  <si>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</si>
  <si>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</si>
  <si>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</si>
  <si>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</si>
  <si>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</si>
  <si>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</si>
  <si>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</si>
  <si>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</si>
  <si>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</si>
  <si>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</si>
  <si>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</si>
  <si>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</si>
  <si>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</si>
  <si>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</si>
  <si>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</si>
  <si>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</si>
  <si>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</si>
  <si>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</si>
  <si>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CPVC, SOLDÁVEL, DN 22MM, INSTALADO EM RAMAL DE DISTRIBUIÇÃO DE ÁGUA   FORNECIMENTO E INSTALAÇÃO. AF_12/2014</t>
  </si>
  <si>
    <t>ADAPTADOR, CPVC, SOLDÁVEL, DN15MM, INSTALADO EM RAMAL OU SUB-RAMAL DE ÁGUA  FORNECIMENTO E INSTALAÇÃO. AF_12/2014</t>
  </si>
  <si>
    <t>ADAPTADOR, CPVC, SOLDÁVEL, DN22MM, INSTALADO EM RAMAL OU SUB-RAMAL DE ÁGUA  FORNECIMENTO E INSTALAÇÃO. AF_12/2014</t>
  </si>
  <si>
    <t>ADAPTADOR, EM LATAO, ENGATE RAPIDO 2 1/2" X ROSCA INTERNA 5 FIOS 2 1/2",  PARA INSTALACAO PREDIAL DE COMBATE A INCENDIO</t>
  </si>
  <si>
    <t>ADAPTADOR, EM LATAO, ENGATE RAPIDO1 1/2" X ROSCA INTERNA 5 FIOS 2 1/2",  PARA INSTALACAO PREDIAL DE COMBATE A INCENDIO</t>
  </si>
  <si>
    <t>ADAPTADOR, PVC PB,A A LUVA DE FIBROCIMENTO, DN 75 / DE 85 MM</t>
  </si>
  <si>
    <t>ADAPTADOR, PVC PBA,  BOLSA/ROSCA, JE, DN 75 / DE  85 MM</t>
  </si>
  <si>
    <t>ADAPTADOR, PVC PBA, A BOLSA DEFOFO, JE, DN 100 / DE 110 MM</t>
  </si>
  <si>
    <t>ADAPTADOR, PVC PBA, A BOLSA DEFOFO, JE, DN 50 / DE 60 MM</t>
  </si>
  <si>
    <t>ADAPTADOR, PVC PBA, A BOLSA DEFOFO, JE, DN 75 / DE  85 MM</t>
  </si>
  <si>
    <t>ADAPTADOR, PVC PBA, A LUVA DE FIBROCIMENTO, DN 100 / DE 110 MM</t>
  </si>
  <si>
    <t>ADAPTADOR, PVC PBA, A LUVA DE FIBROCIMENTO, DN 50 / DE 60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</si>
  <si>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</si>
  <si>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</si>
  <si>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</si>
  <si>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</si>
  <si>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</si>
  <si>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</si>
  <si>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PASTOSO (TIXOTROPICO)</t>
  </si>
  <si>
    <t>ADESIVO LIQUIDO A BASE DE RESINAS PARA COLAGEM DE ESPUMA DE ISOLAMENTO TERMICO FLEXIVEL</t>
  </si>
  <si>
    <t>ADESIVO PARA TUBOS CPVC, *75* G</t>
  </si>
  <si>
    <t>ADESIVO PLASTICO PARA PVC, BISNAGA COM 17 GR</t>
  </si>
  <si>
    <t>ADESIVO PLASTICO PARA PVC, BISNAGA COM 75 GR</t>
  </si>
  <si>
    <t>ADESIVO PLASTICO PARA PVC, FRASCO COM 175 GR</t>
  </si>
  <si>
    <t>ADESIVO PLASTICO PARA PVC, FRASCO COM 850 GR</t>
  </si>
  <si>
    <t>ADESIVO/COLA PARA EPS (ISOPOR) E OUTROS MATERIAIS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</si>
  <si>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</si>
  <si>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</si>
  <si>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</si>
  <si>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</si>
  <si>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PLASTIFICANTE RETARDADOR DE PEGA E REDUTOR DE AGUA PARA CONCRETO</t>
  </si>
  <si>
    <t>ADITIVO SUPERPLASTIFICANTE DE PEGA NORMAL PARA CONCRETO (TAMBOR 200 KG)</t>
  </si>
  <si>
    <t>ADUELA / MARCO / BATENTE PARA PORTA DE 60X210CM, FIXAÇÃO COM ARGAMASSA - SOMENTE INSTALAÇÃO. AF_08/2015_P</t>
  </si>
  <si>
    <t>ADUELA / MARCO / BATENTE PARA PORTA DE 60X210CM, FIXAÇÃO COM ARGAMASSA , PADRÃO MÉDIO - FORNECIMENTO E INSTALAÇÃO. AF_08/2015_P</t>
  </si>
  <si>
    <t>ADUELA / MARCO / BATENTE PARA PORTA DE 60X210CM, FIXAÇÃO COM ARGAMASSA , PADRÃO POPULAR - FORNECIMENTO E INSTALAÇÃO. AF_08/2015_P</t>
  </si>
  <si>
    <t>ADUELA / MARCO / BATENTE PARA PORTA DE 60X210CM, PADRÃO MÉDIO - FORNEC IMENTO E MONTAGEM. AF_08/2015</t>
  </si>
  <si>
    <t>ADUELA / MARCO / BATENTE PARA PORTA DE 60X210CM, PADRÃO POPULAR - FORN ECIMENTO E MONTAGEM. AF_08/2015</t>
  </si>
  <si>
    <t>ADUELA / MARCO / BATENTE PARA PORTA DE 70X210CM, FIXAÇÃO COM ARGAMASSA - SOMENTE INSTALAÇÃO. AF_08/2015_P</t>
  </si>
  <si>
    <t>ADUELA / MARCO / BATENTE PARA PORTA DE 70X210CM, FIXAÇÃO COM ARGAMASSA , PADRÃO MÉDIO - FORNECIMENTO E INSTALAÇÃO. AF_08/2015_P</t>
  </si>
  <si>
    <t>ADUELA / MARCO / BATENTE PARA PORTA DE 70X210CM, FIXAÇÃO COM ARGAMASSA , PADRÃO POPULAR - FORNECIMENTO E INSTALAÇÃO. AF_08/2015_P</t>
  </si>
  <si>
    <t>ADUELA / MARCO / BATENTE PARA PORTA DE 70X210CM, PADRÃO MÉDIO - FORNEC IMENTO E MONTAGEM. AF_08/2015</t>
  </si>
  <si>
    <t>ADUELA / MARCO / BATENTE PARA PORTA DE 70X210CM, PADRÃO POPULAR - FORN ECIMENTO E MONTAGEM. AF_08/2015</t>
  </si>
  <si>
    <t>ADUELA / MARCO / BATENTE PARA PORTA DE 80X210CM, FIXAÇÃO COM ARGAMASSA - SOMENTE INSTALAÇÃO. AF_08/2015_P</t>
  </si>
  <si>
    <t>ADUELA / MARCO / BATENTE PARA PORTA DE 80X210CM, FIXAÇÃO COM ARGAMASSA , PADRÃO MÉDIO - FORNECIMENTO E INSTALAÇÃO. AF_08/2015_P</t>
  </si>
  <si>
    <t>ADUELA / MARCO / BATENTE PARA PORTA DE 80X210CM, FIXAÇÃO COM ARGAMASSA , PADRÃO POPULAR - FORNECIMENTO E INSTALAÇÃO. AF_08/2015_P</t>
  </si>
  <si>
    <t>ADUELA / MARCO / BATENTE PARA PORTA DE 80X210CM, PADRÃO MÉDIO - FORNEC IMENTO E MONTAGEM. AF_08/2015</t>
  </si>
  <si>
    <t>ADUELA / MARCO / BATENTE PARA PORTA DE 80X210CM, PADRÃO POPULAR - FORN ECIMENTO E MONTAGEM. AF_08/2015</t>
  </si>
  <si>
    <t>ADUELA / MARCO / BATENTE PARA PORTA DE 90X210CM, FIXAÇÃO COM ARGAMASSA - SOMENTE INSTALAÇÃO. AF_08/2015_P</t>
  </si>
  <si>
    <t>ADUELA / MARCO / BATENTE PARA PORTA DE 90X210CM, FIXAÇÃO COM ARGAMASSA , PADRÃO MÉDIO - FORNECIMENTO E INSTALAÇÃO. AF_08/2015_P</t>
  </si>
  <si>
    <t>ADUELA / MARCO / BATENTE PARA PORTA DE 90X210CM, FIXAÇÃO COM ARGAMASSA , PADRÃO POPULAR - FORNECIMENTO E INSTALAÇÃO. AF_08/2015_P</t>
  </si>
  <si>
    <t>ADUELA / MARCO / BATENTE PARA PORTA DE 90X210CM, PADRÃO MÉDIO - FORNEC IMENTO E MONTAGEM. AF_08/2015</t>
  </si>
  <si>
    <t>ADUELA / MARCO / BATENTE PARA PORTA DE 90X210CM, PADRÃO POPULAR - FORN ECIMENTO E MONTAGEM. AF_08/2015</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</si>
  <si>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</si>
  <si>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</si>
  <si>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</si>
  <si>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</si>
  <si>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</si>
  <si>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AGREGADO RECICLADO (RCD), CLASSE A CINZA, TIPO RACHAO RECICLADO (COLETADO CAIXA)</t>
  </si>
  <si>
    <t>AGUA SANITARIA</t>
  </si>
  <si>
    <t>AGULHAMENTO FUNDO DE VALAS C/MACO 30KG PEDRA-DE-MAO H=10CM</t>
  </si>
  <si>
    <t>AJUDANTE DE ARMADOR (MENSALISTA)</t>
  </si>
  <si>
    <t>MES</t>
  </si>
  <si>
    <t>AJUDANTE DE ELETRICISTA</t>
  </si>
  <si>
    <t>AJUDANTE DE ELETRICISTA (MENSALISTA)</t>
  </si>
  <si>
    <t>AJUDANTE DE ESTRUTURAS METALICAS (MENSALISTA)</t>
  </si>
  <si>
    <t>AJUDANTE DE OPERACAO EM GERAL</t>
  </si>
  <si>
    <t>AJUDANTE DE OPERACAO EM GERAL (MENSALISTA)</t>
  </si>
  <si>
    <t>AJUDANTE DE PINTOR (MENSALISTA)</t>
  </si>
  <si>
    <t>AJUDANTE DE SERRALHEIRO</t>
  </si>
  <si>
    <t>AJUDANTE DE SERRALHEIRO (MENSALISTA)</t>
  </si>
  <si>
    <t>AJUDANTE ESPECIALIZADO (MENSALISTA)</t>
  </si>
  <si>
    <t>ALAMBRADO EM MOUROES DE CONCRETO "T", ALTURA LIVRE 2M, ESPACADOS A CAD A 2M, COM TELA DE ARAME GALVANIZADO, FIO 14 BWG E MALHA QUADRADA 5X5CM</t>
  </si>
  <si>
    <t>ALAMBRADO EM TUBOS DE ACO GALVANIZADO, COM COSTURA, DIN 2440, DIAMETRO 2", ALTURA 3M, FIXADOS A CADA 2M EM BLOCOS DE CONCRETO, COM TELA DE A RAME GALVANIZADO REVESTIDO COM PVC, FIO 12 BWG E MALHA 7,5X7,5CM</t>
  </si>
  <si>
    <t>ALAMBRADO PARA QUADRA POLIESPORTIVA, ESTRUTURADO POR TUBOS DE ACO GALV ANIZADO, COM COSTURA, DIN 2440, DIAMETRO 2", COM TELA DE ARAME GALVANI ZADO, FIO 14 BWG E MALHA QUADRADA 5X5CM</t>
  </si>
  <si>
    <t>ALCA PREFORMADA DE CONTRA POSTE, EM ACO GALVANIZADO, PARA CABO 3/16", COMPRIMENTO *860* MM</t>
  </si>
  <si>
    <t>ALCA PREFORMADA DE DISTRIBUICAO, EM ACO GALVANIZADO, PARA CABO DE ALUMINIO DIAMETRO 25 MM2</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</si>
  <si>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</si>
  <si>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</si>
  <si>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</si>
  <si>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</si>
  <si>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ALCA PRE-FORMADA DISTRIBUIÇÃO EM  ACO RECOBERTO COM ALUMINIO PARA CABO 25MM2, ENCAPADO. FORNECIMENTO E INSTALAÇÃO.</t>
  </si>
  <si>
    <t>ALCA PRE-FORMADA DISTRIBUICAO EM ACO RECOBERTO COM ALUMINIO NU PARA CA BO 25MM2, ENCAPADO. FORNECIMENTO E INSTALACAO.</t>
  </si>
  <si>
    <t>ALCA PRE-FORMADA SERV DE ACO RECOB C/ALUM NU ENCAPADO 25MM2 (BITOLA) CONF PROJ A4-148-CP RIOLUZ FORNECIMENTO E COLOCACAO</t>
  </si>
  <si>
    <t>ALCAPAO EM COMPENSADO DE MADEIRA CEDRO/VIROLA, 60X60X2CM, COM MARCO 7X 3CM, ALIZAR DE 2A, DOBRADICAS EM LATAO CROMADO E TARJETA CROMADA</t>
  </si>
  <si>
    <t>ALCAPAO EM FERRO 60X60CM, INCLUSO FERRAGENS</t>
  </si>
  <si>
    <t>ALCAPAO EM FERRO 70X70CM, INCLUSO FERRAGENS</t>
  </si>
  <si>
    <t>ALICATE ALARGADOR DE TUBO PEX</t>
  </si>
  <si>
    <t>ALICATE CRIMPADOR DE TUBO PEX</t>
  </si>
  <si>
    <t>ALICATE DE CORTE DIAGONAL 6 " COM ISOLAMENTO</t>
  </si>
  <si>
    <t>ALICATE DE CRIMPAR RJ11, RJ12 E RJ45</t>
  </si>
  <si>
    <t>ALICATE DE PRESSAO 11 " PARA SOLDA, TIPO C</t>
  </si>
  <si>
    <t>ALICATE DE PRESSAO 11 " PARA SOLDA, TIPO U</t>
  </si>
  <si>
    <t>ALICATE DE PRESSAO PARA SOLDA DE CHAPA 18 "</t>
  </si>
  <si>
    <t>ALICATE PARA ANEIS DE PISTAO, CAPACIDADE 50 A 100 MM</t>
  </si>
  <si>
    <t>ALIMENTACAO - HORISTA (ENCARGOS COMPLEMENTARES) (COLETADO CAIXA)</t>
  </si>
  <si>
    <t>ALIMENTACAO - MENSALISTA (ENCARGOS COMPLEMENTARES) (COLETADO CAIXA)</t>
  </si>
  <si>
    <t>ALISADORA DE CONCRETO COM MOTOR A GASOLINA DE 5,5 HP, PESO COM MOTOR DE 78 KG, 4 PAS</t>
  </si>
  <si>
    <t>ALUGUEL CONTAINER/ESCRIT INCL INST ELET LARG=2,20 COMP=6,20M ALT=2,50M CHAPA ACO C/NERV TRAPEZ FORRO C/ISOL TERMO/ACUSTICO CHASSIS REFORC PISO COMPENS NAVAL EXC TRANSP/CARGA/DESCARGA</t>
  </si>
  <si>
    <t>ALUMINIO ANODIZADO</t>
  </si>
  <si>
    <t>ALVENARIA COM BLOCOS DE CONCRETO CELULAR 10X30X60CM, ESPESSURA 10CM, A SSENTADOS COM ARGAMASSA TRACO 1:2:9 (CIMENTO, CAL E AREIA) PREPARO MAN UAL</t>
  </si>
  <si>
    <t>ALVENARIA COM BLOCOS DE CONCRETO CELULAR 20X30X60CM, ESPESSURA 20CM, A SSENTADOS COM ARGAMASSA TRACO 1:2:9 (CIMENTO, CAL E AREIA) PREPARO MAN UAL</t>
  </si>
  <si>
    <t>ALVENARIA DE BLOCOS DE CONCRETO ESTRUTURAL 14X19X29 CM, (ESPESSURA 14 CM) FBK = 14,0 MPA, PARA PAREDES COM ÁREA LÍQUIDA MAIOR OU IGUAL A 6M² , COM VÃOS, UTILIZANDO COLHER DE PEDREIRO. AF_12/2014</t>
  </si>
  <si>
    <t>ALVENARIA DE BLOCOS DE CONCRETO ESTRUTURAL 14X19X29 CM, (ESPESSURA 14 CM) FBK = 14,0 MPA, PARA PAREDES COM ÁREA LÍQUIDA MAIOR OU IGUAL A 6M² , COM VÃOS, UTILIZANDO PALHETA. AF_12/2014</t>
  </si>
  <si>
    <t>ALVENARIA DE BLOCOS DE CONCRETO ESTRUTURAL 14X19X29 CM, (ESPESSURA 14 CM) FBK = 14,0 MPA, PARA PAREDES COM ÁREA LÍQUIDA MAIOR OU IGUAL A 6M² , SEM VÃOS, UTILIZANDO COLHER DE PEDREIRO. AF_12/2014</t>
  </si>
  <si>
    <t>ALVENARIA DE BLOCOS DE CONCRETO ESTRUTURAL 14X19X29 CM, (ESPESSURA 14 CM) FBK = 14,0 MPA, PARA PAREDES COM ÁREA LÍQUIDA MAIOR OU IGUAL A 6M² , SEM VÃOS, UTILIZANDO PALHETA. AF_12/2014</t>
  </si>
  <si>
    <t>ALVENARIA DE BLOCOS DE CONCRETO ESTRUTURAL 14X19X29 CM, (ESPESSURA 14 CM) FBK = 14,0 MPA, PARA PAREDES COM ÁREA LÍQUIDA MENOR QUE 6M², COM V ÃOS, UTILIZANDO COLHER DE PEDREIRO. AF_12/2014</t>
  </si>
  <si>
    <t>ALVENARIA DE BLOCOS DE CONCRETO ESTRUTURAL 14X19X29 CM, (ESPESSURA 14 CM) FBK = 14,0 MPA, PARA PAREDES COM ÁREA LÍQUIDA MENOR QUE 6M², COM V ÃOS, UTILIZANDO PALHETA. AF_12/2014</t>
  </si>
  <si>
    <t>ALVENARIA DE BLOCOS DE CONCRETO ESTRUTURAL 14X19X29 CM, (ESPESSURA 14 CM) FBK = 14,0 MPA, PARA PAREDES COM ÁREA LÍQUIDA MENOR QUE 6M², SEM V ÃOS, UTILIZANDO COLHER DE PEDREIRO. AF_12/2014</t>
  </si>
  <si>
    <t>ALVENARIA DE BLOCOS DE CONCRETO ESTRUTURAL 14X19X29 CM, (ESPESSURA 14 CM) FBK = 14,0 MPA, PARA PAREDES COM ÁREA LÍQUIDA MENOR QUE 6M², SEM V ÃOS, UTILIZANDO PALHETA. AF_12/2014</t>
  </si>
  <si>
    <t>ALVENARIA DE BLOCOS DE CONCRETO ESTRUTURAL 14X19X29 CM, (ESPESSURA 14 CM), FBK = 4,5 MPA, PARA PAREDES COM ÁREA LÍQUIDA MAIOR OU IGUAL A 6M² , COM VÃOS, UTILIZANDO COLHER DE PEDREIRO. AF_12/2014</t>
  </si>
  <si>
    <t>ALVENARIA DE BLOCOS DE CONCRETO ESTRUTURAL 14X19X29 CM, (ESPESSURA 14 CM), FBK = 4,5 MPA, PARA PAREDES COM ÁREA LÍQUIDA MAIOR OU IGUAL A 6M² , COM VÃOS, UTILIZANDO PALHETA. AF_12/2014</t>
  </si>
  <si>
    <t>ALVENARIA DE BLOCOS DE CONCRETO ESTRUTURAL 14X19X29 CM, (ESPESSURA 14 CM), FBK = 4,5 MPA, PARA PAREDES COM ÁREA LÍQUIDA MAIOR OU IGUAL A 6M² , SEM VÃOS, UTILIZANDO COLHER DE PEDREIRO. AF_12/2014</t>
  </si>
  <si>
    <t>ALVENARIA DE BLOCOS DE CONCRETO ESTRUTURAL 14X19X29 CM, (ESPESSURA 14 CM), FBK = 4,5 MPA, PARA PAREDES COM ÁREA LÍQUIDA MAIOR OU IGUAL A 6M² , SEM VÃOS, UTILIZANDO PALHETA. AF_12/2014</t>
  </si>
  <si>
    <t>ALVENARIA DE BLOCOS DE CONCRETO ESTRUTURAL 14X19X29 CM, (ESPESSURA 14 CM), FBK = 4,5 MPA, PARA PAREDES COM ÁREA LÍQUIDA MENOR QUE 6M², COM V ÃOS, UTILIZANDO COLHER DE PEDREIRO. AF_12/2014</t>
  </si>
  <si>
    <t>ALVENARIA DE BLOCOS DE CONCRETO ESTRUTURAL 14X19X29 CM, (ESPESSURA 14 CM), FBK = 4,5 MPA, PARA PAREDES COM ÁREA LÍQUIDA MENOR QUE 6M², COM V ÃOS, UTILIZANDO PALHETA. AF_12/2014</t>
  </si>
  <si>
    <t>ALVENARIA DE BLOCOS DE CONCRETO ESTRUTURAL 14X19X29 CM, (ESPESSURA 14 CM), FBK = 4,5 MPA, PARA PAREDES COM ÁREA LÍQUIDA MENOR QUE 6M², SEM V ÃOS, UTILIZANDO COLHER DE PEDREIRO. AF_12/2014</t>
  </si>
  <si>
    <t>ALVENARIA DE BLOCOS DE CONCRETO ESTRUTURAL 14X19X29 CM, (ESPESSURA 14 CM), FBK = 4,5 MPA, PARA PAREDES COM ÁREA LÍQUIDA MENOR QUE 6M², SEM V ÃOS, UTILIZANDO PALHETA. AF_12/2014</t>
  </si>
  <si>
    <t>ALVENARIA DE BLOCOS DE CONCRETO ESTRUTURAL 14X19X39 CM, (ESPESSURA 14 CM) FBK = 14,0 MPA, PARA PAREDES COM ÁREA LÍQUIDA MAIOR OU IGUAL A 6M² , COM VÃOS, UTILIZANDO COLHER DE PEDREIRO. AF_12/2014</t>
  </si>
  <si>
    <t>ALVENARIA DE BLOCOS DE CONCRETO ESTRUTURAL 14X19X39 CM, (ESPESSURA 14 CM) FBK = 14,0 MPA, PARA PAREDES COM ÁREA LÍQUIDA MAIOR OU IGUAL A 6M² , COM VÃOS, UTILIZANDO PALHETA. AF_12/2014</t>
  </si>
  <si>
    <t>ALVENARIA DE BLOCOS DE CONCRETO ESTRUTURAL 14X19X39 CM, (ESPESSURA 14 CM) FBK = 14,0 MPA, PARA PAREDES COM ÁREA LÍQUIDA MAIOR OU IGUAL A 6M² , SEM VÃOS, UTILIZANDO COLHER DE PEDREIRO. AF_12/2014</t>
  </si>
  <si>
    <t>ALVENARIA DE BLOCOS DE CONCRETO ESTRUTURAL 14X19X39 CM, (ESPESSURA 14 CM) FBK = 14,0 MPA, PARA PAREDES COM ÁREA LÍQUIDA MAIOR OU IGUAL A 6M² , SEM VÃOS, UTILIZANDO PALHETA. AF_12/2014</t>
  </si>
  <si>
    <t>ALVENARIA DE BLOCOS DE CONCRETO ESTRUTURAL 14X19X39 CM, (ESPESSURA 14 CM) FBK = 14,0 MPA, PARA PAREDES COM ÁREA LÍQUIDA MENOR QUE 6M², COM V ÃOS, UTILIZANDO COLHER DE PEDREIRO. AF_12/2014</t>
  </si>
  <si>
    <t>ALVENARIA DE BLOCOS DE CONCRETO ESTRUTURAL 14X19X39 CM, (ESPESSURA 14 CM) FBK = 14,0 MPA, PARA PAREDES COM ÁREA LÍQUIDA MENOR QUE 6M², COM V ÃOS, UTILIZANDO PALHETA. AF_12/2014</t>
  </si>
  <si>
    <t>ALVENARIA DE BLOCOS DE CONCRETO ESTRUTURAL 14X19X39 CM, (ESPESSURA 14 CM) FBK = 14,0 MPA, PARA PAREDES COM ÁREA LÍQUIDA MENOR QUE 6M², SEM V ÃOS, UTILIZANDO COLHER DE PEDREIRO. AF_12/2014</t>
  </si>
  <si>
    <t>ALVENARIA DE BLOCOS DE CONCRETO ESTRUTURAL 14X19X39 CM, (ESPESSURA 14 CM) FBK = 14,0 MPA, PARA PAREDES COM ÁREA LÍQUIDA MENOR QUE 6M², SEM V ÃOS, UTILIZANDO PALHETA. AF_12/2014</t>
  </si>
  <si>
    <t>ALVENARIA DE BLOCOS DE CONCRETO ESTRUTURAL 14X19X39 CM, (ESPESSURA 14 CM), FBK = 4,5 MPA, PARA PAREDES COM ÁREA LÍQUIDA MAIOR OU IGUAL A 6M² , COM VÃOS, UTILIZANDO COLHER DE PEDREIRO. AF_12/2014</t>
  </si>
  <si>
    <t>ALVENARIA DE BLOCOS DE CONCRETO ESTRUTURAL 14X19X39 CM, (ESPESSURA 14 CM), FBK = 4,5 MPA, PARA PAREDES COM ÁREA LÍQUIDA MAIOR OU IGUAL A 6M² , COM VÃOS, UTILIZANDO PALHETA. AF_12/2014</t>
  </si>
  <si>
    <t>ALVENARIA DE BLOCOS DE CONCRETO ESTRUTURAL 14X19X39 CM, (ESPESSURA 14 CM), FBK = 4,5 MPA, PARA PAREDES COM ÁREA LÍQUIDA MAIOR OU IGUAL A 6M² , SEM VÃOS, UTILIZANDO COLHER DE PEDREIRO. AF_12/2014</t>
  </si>
  <si>
    <t>ALVENARIA DE BLOCOS DE CONCRETO ESTRUTURAL 14X19X39 CM, (ESPESSURA 14 CM), FBK = 4,5 MPA, PARA PAREDES COM ÁREA LÍQUIDA MAIOR OU IGUAL A 6M² , SEM VÃOS, UTILIZANDO PALHETA. AF_12/2014</t>
  </si>
  <si>
    <t>ALVENARIA DE BLOCOS DE CONCRETO ESTRUTURAL 14X19X39 CM, (ESPESSURA 14 CM), FBK = 4,5 MPA, PARA PAREDES COM ÁREA LÍQUIDA MENOR QUE 6M², COM V ÃOS, UTILIZANDO COLHER DE PEDREIRO. AF_12/2014</t>
  </si>
  <si>
    <t>ALVENARIA DE BLOCOS DE CONCRETO ESTRUTURAL 14X19X39 CM, (ESPESSURA 14 CM), FBK = 4,5 MPA, PARA PAREDES COM ÁREA LÍQUIDA MENOR QUE 6M², COM V ÃOS, UTILIZANDO PALHETA. AF_12/2014</t>
  </si>
  <si>
    <t>ALVENARIA DE BLOCOS DE CONCRETO ESTRUTURAL 14X19X39 CM, (ESPESSURA 14 CM), FBK = 4,5 MPA, PARA PAREDES COM ÁREA LÍQUIDA MENOR QUE 6M², SEM V ÃOS, UTILIZANDO COLHER DE PEDREIRO. AF_12/2014</t>
  </si>
  <si>
    <t>ALVENARIA DE BLOCOS DE CONCRETO ESTRUTURAL 14X19X39 CM, (ESPESSURA 14 CM), FBK = 4,5 MPA, PARA PAREDES COM ÁREA LÍQUIDA MENOR QUE 6M², SEM V ÃOS, UTILIZANDO PALHETA. AF_12/2014</t>
  </si>
  <si>
    <t>ALVENARIA DE EMBASAMENTO EM TIJOLOS CERAMICOS MACICOS 5X10X20CM, ASSEN TADO  COM ARGAMASSA TRACO 1:2:8 (CIMENTO, CAL E AREIA)</t>
  </si>
  <si>
    <t>ALVENARIA DE VEDAÇÃO DE BLOCOS CERÂMICOS FURADOS NA HORIZONTAL DE 9X14 X19CM (ESPESSURA 9CM) DE PAREDES COM ÁREA LÍQUIDA MAIOR OU IGUAL A 6M² COM VÃOS E ARGAMASSA DE ASSENTAMENTO COM PREPARO EM BETONEIRA. AF_06/ 2014</t>
  </si>
  <si>
    <t>ALVENARIA DE VEDAÇÃO DE BLOCOS CERÂMICOS FURADOS NA HORIZONTAL DE 9X14 X19CM (ESPESSURA 9CM) DE PAREDES COM ÁREA LÍQUIDA MAIOR OU IGUAL A 6M² COM VÃOS E ARGAMASSA DE ASSENTAMENTO COM PREPARO MANUAL. AF_06/2014</t>
  </si>
  <si>
    <t>ALVENARIA DE VEDAÇÃO DE BLOCOS CERÂMICOS FURADOS NA HORIZONTAL DE 9X14 X19CM (ESPESSURA 9CM) DE PAREDES COM ÁREA LÍQUIDA MAIOR OU IGUAL A 6M² SEM VÃOS E ARGAMASSA DE ASSENTAMENTO COM PREPARO EM BETONEIRA. AF_06/ 2014</t>
  </si>
  <si>
    <t>ALVENARIA DE VEDAÇÃO DE BLOCOS CERÂMICOS FURADOS NA HORIZONTAL DE 9X14 X19CM (ESPESSURA 9CM) DE PAREDES COM ÁREA LÍQUIDA MAIOR OU IGUAL A 6M² SEM VÃOS E ARGAMASSA DE ASSENTAMENTO COM PREPARO MANUAL. AF_06/2014</t>
  </si>
  <si>
    <t>ALVENARIA DE VEDAÇÃO DE BLOCOS CERÂMICOS FURADOS NA HORIZONTAL DE 9X14 X19CM (ESPESSURA 9CM) DE PAREDES COM ÁREA LÍQUIDA MENOR QUE 6M² COM VÃ OS E ARGAMASSA DE ASSENTAMENTO COM PREPARO EM BETONEIRA. AF_06/2014</t>
  </si>
  <si>
    <t>ALVENARIA DE VEDAÇÃO DE BLOCOS CERÂMICOS FURADOS NA HORIZONTAL DE 9X14 X19CM (ESPESSURA 9CM) DE PAREDES COM ÁREA LÍQUIDA MENOR QUE 6M² COM VÃ OS E ARGAMASSA DE ASSENTAMENTO COM PREPARO MANUAL. AF_06/2014</t>
  </si>
  <si>
    <t>ALVENARIA DE VEDAÇÃO DE BLOCOS CERÂMICOS FURADOS NA HORIZONTAL DE 9X14 X19CM (ESPESSURA 9CM) DE PAREDES COM ÁREA LÍQUIDA MENOR QUE 6M² SEM VÃ OS E ARGAMASSA DE ASSENTAMENTO COM PREPARO EM BETONEIRA. AF_06/2014</t>
  </si>
  <si>
    <t>ALVENARIA DE VEDAÇÃO DE BLOCOS CERÂMICOS FURADOS NA HORIZONTAL DE 9X14 X19CM (ESPESSURA 9CM) DE PAREDES COM ÁREA LÍQUIDA MENOR QUE 6M² SEM VÃ OS E ARGAMASSA DE ASSENTAMENTO COM PREPARO MANUAL. AF_06/2014</t>
  </si>
  <si>
    <t>ALVENARIA DE VEDAÇÃO DE BLOCOS CERÂMICOS FURADOS NA HORIZONTAL DE 9X19 X19CM (ESPESSURA 9CM) DE PAREDES COM ÁREA LÍQUIDA MAIOR OU IGUAL A 6M² COM VÃOS E ARGAMASSA DE ASSENTAMENTO COM PREPARO EM BETONEIRA. AF_06/ 2014</t>
  </si>
  <si>
    <t>ALVENARIA DE VEDAÇÃO DE BLOCOS CERÂMICOS FURADOS NA HORIZONTAL DE 9X19 X19CM (ESPESSURA 9CM) DE PAREDES COM ÁREA LÍQUIDA MAIOR OU IGUAL A 6M² COM VÃOS E ARGAMASSA DE ASSENTAMENTO COM PREPARO MANUAL. AF_06/2014</t>
  </si>
  <si>
    <t>ALVENARIA DE VEDAÇÃO DE BLOCOS CERÂMICOS FURADOS NA HORIZONTAL DE 9X19 X19CM (ESPESSURA 9CM) DE PAREDES COM ÁREA LÍQUIDA MAIOR OU IGUAL A 6M² SEM VÃOS E ARGAMASSA DE ASSENTAMENTO COM PREPARO EM BETONEIRA. AF_06/ 2014</t>
  </si>
  <si>
    <t>ALVENARIA DE VEDAÇÃO DE BLOCOS CERÂMICOS FURADOS NA HORIZONTAL DE 9X19 X19CM (ESPESSURA 9CM) DE PAREDES COM ÁREA LÍQUIDA MAIOR OU IGUAL A 6M² SEM VÃOS E ARGAMASSA DE ASSENTAMENTO COM PREPARO MANUAL. AF_06/2014</t>
  </si>
  <si>
    <t>ALVENARIA DE VEDAÇÃO DE BLOCOS CERÂMICOS FURADOS NA HORIZONTAL DE 9X19 X19CM (ESPESSURA 9CM) DE PAREDES COM ÁREA LÍQUIDA MENOR QUE 6M² COM VÃ OS E ARGAMASSA DE ASSENTAMENTO COM PREPARO EM BETONEIRA. AF_06/2014</t>
  </si>
  <si>
    <t>ALVENARIA DE VEDAÇÃO DE BLOCOS CERÂMICOS FURADOS NA HORIZONTAL DE 9X19 X19CM (ESPESSURA 9CM) DE PAREDES COM ÁREA LÍQUIDA MENOR QUE 6M² COM VÃ OS E ARGAMASSA DE ASSENTAMENTO COM PREPARO MANUAL. AF_06/2014</t>
  </si>
  <si>
    <t>ALVENARIA DE VEDAÇÃO DE BLOCOS CERÂMICOS FURADOS NA HORIZONTAL DE 9X19 X19CM (ESPESSURA 9CM) DE PAREDES COM ÁREA LÍQUIDA MENOR QUE 6M² SEM VÃ OS E ARGAMASSA DE ASSENTAMENTO COM PREPARO EM BETONEIRA. AF_06/2014</t>
  </si>
  <si>
    <t>ALVENARIA DE VEDAÇÃO DE BLOCOS CERÂMICOS FURADOS NA HORIZONTAL DE 9X19 X19CM (ESPESSURA 9CM) DE PAREDES COM ÁREA LÍQUIDA MENOR QUE 6M² SEM VÃ OS E ARGAMASSA DE ASSENTAMENTO COM PREPARO MANUAL. AF_06/2014</t>
  </si>
  <si>
    <t>ALVENARIA DE VEDAÇÃO DE BLOCOS CERÂMICOS FURADOS NA VERTICAL DE 14X19X 39CM (ESPESSURA 14CM) DE PAREDES COM ÁREA LÍQUIDA MAIOR OU IGUAL A 6M² COM VÃOS E ARGAMASSA DE ASSENTAMENTO COM PREPARO EM BETONEIRA. AF_06/ 2014</t>
  </si>
  <si>
    <t>ALVENARIA DE VEDAÇÃO DE BLOCOS CERÂMICOS FURADOS NA VERTICAL DE 14X19X 39CM (ESPESSURA 14CM) DE PAREDES COM ÁREA LÍQUIDA MAIOR OU IGUAL A 6M² COM VÃOS E ARGAMASSA DE ASSENTAMENTO COM PREPARO MANUAL. AF_06/2014</t>
  </si>
  <si>
    <t>ALVENARIA DE VEDAÇÃO DE BLOCOS CERÂMICOS FURADOS NA VERTICAL DE 14X19X 39CM (ESPESSURA 14CM) DE PAREDES COM ÁREA LÍQUIDA MAIOR OU IGUAL A 6M² SEM VÃOS E ARGAMASSA DE ASSENTAMENTO COM PREPARO EM BETONEIRA. AF_06/ 2014</t>
  </si>
  <si>
    <t>ALVENARIA DE VEDAÇÃO DE BLOCOS CERÂMICOS FURADOS NA VERTICAL DE 14X19X 39CM (ESPESSURA 14CM) DE PAREDES COM ÁREA LÍQUIDA MAIOR OU IGUAL A 6M² SEM VÃOS E ARGAMASSA DE ASSENTAMENTO COM PREPARO MANUAL. AF_06/2014</t>
  </si>
  <si>
    <t>ALVENARIA DE VEDAÇÃO DE BLOCOS CERÂMICOS FURADOS NA VERTICAL DE 14X19X 39CM (ESPESSURA 14CM) DE PAREDES COM ÁREA LÍQUIDA MENOR QUE 6M² COM VÃ OS E ARGAMASSA DE ASSENTAMENTO COM PREPARO EM BETONEIRA. AF_06/2014</t>
  </si>
  <si>
    <t>ALVENARIA DE VEDAÇÃO DE BLOCOS CERÂMICOS FURADOS NA VERTICAL DE 14X19X 39CM (ESPESSURA 14CM) DE PAREDES COM ÁREA LÍQUIDA MENOR QUE 6M2 COM VÃ OS E ARGAMASSA DE ASSENTAMENTO COM PREPARO MANUAL. AF_06/2014</t>
  </si>
  <si>
    <t>ALVENARIA DE VEDAÇÃO DE BLOCOS CERÂMICOS FURADOS NA VERTICAL DE 14X19X 39CM (ESPESSURA 14CM) DE PAREDES COM ÁREA LÍQUIDA MENOR QUE 6M² SEM VÃ OS E ARGAMASSA DE ASSENTAMENTO COM PREPARO EM BETONEIRA. AF_06/2014</t>
  </si>
  <si>
    <t>ALVENARIA DE VEDAÇÃO DE BLOCOS CERÂMICOS FURADOS NA VERTICAL DE 14X19X 39CM (ESPESSURA 14CM) DE PAREDES COM ÁREA LÍQUIDA MENOR QUE 6M² SEM VÃ OS E ARGAMASSA DE ASSENTAMENTO COM PREPARO MANUAL. AF_06/2014</t>
  </si>
  <si>
    <t>ALVENARIA DE VEDAÇÃO DE BLOCOS CERÂMICOS FURADOS NA VERTICAL DE 19X19X 39CM (ESPESSURA 19CM) DE PAREDES COM ÁREA LÍQUIDA MAIOR OU IGUAL A 6M² COM VÃOS E ARGAMASSA DE ASSENTAMENTO COM PREPARO EM BETONEIRA. AF_06/ 2014</t>
  </si>
  <si>
    <t>ALVENARIA DE VEDAÇÃO DE BLOCOS CERÂMICOS FURADOS NA VERTICAL DE 19X19X 39CM (ESPESSURA 19CM) DE PAREDES COM ÁREA LÍQUIDA MAIOR OU IGUAL A 6M² COM VÃOS E ARGAMASSA DE ASSENTAMENTO COM PREPARO MANUAL. AF_06/2014</t>
  </si>
  <si>
    <t>ALVENARIA DE VEDAÇÃO DE BLOCOS CERÂMICOS FURADOS NA VERTICAL DE 19X19X 39CM (ESPESSURA 19CM) DE PAREDES COM ÁREA LÍQUIDA MAIOR OU IGUAL A 6M² SEM VÃOS E ARGAMASSA DE ASSENTAMENTO COM PREPARO EM BETONEIRA. AF_06/ 2014</t>
  </si>
  <si>
    <t>ALVENARIA DE VEDAÇÃO DE BLOCOS CERÂMICOS FURADOS NA VERTICAL DE 19X19X 39CM (ESPESSURA 19CM) DE PAREDES COM ÁREA LÍQUIDA MAIOR OU IGUAL A 6M² SEM VÃOS E ARGAMASSA DE ASSENTAMENTO COM PREPARO MANUAL. AF_06/2014</t>
  </si>
  <si>
    <t>ALVENARIA DE VEDAÇÃO DE BLOCOS CERÂMICOS FURADOS NA VERTICAL DE 19X19X 39CM (ESPESSURA 19CM) DE PAREDES COM ÁREA LÍQUIDA MENOR QUE 6M² COM VÃ OS E ARGAMASSA DE ASSENTAMENTO COM PREPARO EM BETONEIRA. AF_06/2014</t>
  </si>
  <si>
    <t>ALVENARIA DE VEDAÇÃO DE BLOCOS CERÂMICOS FURADOS NA VERTICAL DE 19X19X 39CM (ESPESSURA 19CM) DE PAREDES COM ÁREA LÍQUIDA MENOR QUE 6M² COM VÃ OS E ARGAMASSA DE ASSENTAMENTO COM PREPARO MANUAL. AF_06/2014</t>
  </si>
  <si>
    <t>ALVENARIA DE VEDAÇÃO DE BLOCOS CERÂMICOS FURADOS NA VERTICAL DE 19X19X 39CM (ESPESSURA 19CM) DE PAREDES COM ÁREA LÍQUIDA MENOR QUE 6M² SEM VÃ OS E ARGAMASSA DE ASSENTAMENTO COM PREPARO EM BETONEIRA. AF_06/2014</t>
  </si>
  <si>
    <t>ALVENARIA DE VEDAÇÃO DE BLOCOS CERÂMICOS FURADOS NA VERTICAL DE 19X19X 39CM (ESPESSURA 19CM) DE PAREDES COM ÁREA LÍQUIDA MENOR QUE 6M² SEM VÃ OS E ARGAMASSA DE ASSENTAMENTO COM PREPARO MANUAL. AF_06/2014</t>
  </si>
  <si>
    <t>ALVENARIA DE VEDAÇÃO DE BLOCOS CERÂMICOS FURADOS NA VERTICAL DE 9X19X3 9CM (ESPESSURA 9CM) DE PAREDES COM ÁREA LÍQUIDA MAIOR OU IGUAL A 6M² C OM VÃOS E ARGAMASSA DE ASSENTAMENTO COM PREPARO EM BETONEIRA. AF_06/20 14</t>
  </si>
  <si>
    <t>ALVENARIA DE VEDAÇÃO DE BLOCOS CERÂMICOS FURADOS NA VERTICAL DE 9X19X3 9CM (ESPESSURA 9CM) DE PAREDES COM ÁREA LÍQUIDA MAIOR OU IGUAL A 6M² C OM VÃOS E ARGAMASSA DE ASSENTAMENTO COM PREPARO MANUAL. AF_06/2014</t>
  </si>
  <si>
    <t>ALVENARIA DE VEDAÇÃO DE BLOCOS CERÂMICOS FURADOS NA VERTICAL DE 9X19X3 9CM (ESPESSURA 9CM) DE PAREDES COM ÁREA LÍQUIDA MAIOR OU IGUAL A 6M² S EM VÃOS E ARGAMASSA DE ASSENTAMENTO COM PREPARO EM BETONEIRA. AF_06/20 14</t>
  </si>
  <si>
    <t>ALVENARIA DE VEDAÇÃO DE BLOCOS CERÂMICOS FURADOS NA VERTICAL DE 9X19X3 9CM (ESPESSURA 9CM) DE PAREDES COM ÁREA LÍQUIDA MAIOR OU IGUAL A 6M² S EM VÃOS E ARGAMASSA DE ASSENTAMENTO COM PREPARO MANUAL. AF_06/2014</t>
  </si>
  <si>
    <t>ALVENARIA DE VEDAÇÃO DE BLOCOS CERÂMICOS FURADOS NA VERTICAL DE 9X19X3 9CM (ESPESSURA 9CM) DE PAREDES COM ÁREA LÍQUIDA MENOR QUE 6M² COM VÃOS E ARGAMASSA DE ASSENTAMENTO COM PREPARO EM BETONEIRA. AF_06/2014</t>
  </si>
  <si>
    <t>ALVENARIA DE VEDAÇÃO DE BLOCOS CERÂMICOS FURADOS NA VERTICAL DE 9X19X3 9CM (ESPESSURA 9CM) DE PAREDES COM ÁREA LÍQUIDA MENOR QUE 6M² COM VÃOS E ARGAMASSA DE ASSENTAMENTO COM PREPARO MANUAL. AF_06/2014</t>
  </si>
  <si>
    <t>ALVENARIA DE VEDAÇÃO DE BLOCOS CERÂMICOS FURADOS NA VERTICAL DE 9X19X3 9CM (ESPESSURA 9CM) DE PAREDES COM ÁREA LÍQUIDA MENOR QUE 6M² SEM VÃOS E ARGAMASSA DE ASSENTAMENTO COM PREPARO EM BETONEIRA. AF_06/2014</t>
  </si>
  <si>
    <t>ALVENARIA DE VEDAÇÃO DE BLOCOS CERÂMICOS FURADOS NA VERTICAL DE 9X19X3 9CM (ESPESSURA 9CM) DE PAREDES COM ÁREA LÍQUIDA MENOR QUE 6M² SEM VÃOS E ARGAMASSA DE ASSENTAMENTO COM PREPARO MANUAL. AF_06/2014</t>
  </si>
  <si>
    <t>ALVENARIA DE VEDAÇÃO DE BLOCOS VAZADOS DE CONCRETO DE 14X19X39CM (ESPE SSURA 14CM) DE PAREDES COM ÁREA LÍQUIDA MAIOR OU IGUAL A 6M² COM VÃOS E ARGAMASSA DE ASSENTAMENTO COM PREPARO EM BETONEIRA. AF_06/2014</t>
  </si>
  <si>
    <t>ALVENARIA DE VEDAÇÃO DE BLOCOS VAZADOS DE CONCRETO DE 14X19X39CM (ESPE SSURA 14CM) DE PAREDES COM ÁREA LÍQUIDA MAIOR OU IGUAL A 6M² COM VÃOS E ARGAMASSA DE ASSENTAMENTO COM PREPARO MANUAL. AF_06/2014</t>
  </si>
  <si>
    <t>ALVENARIA DE VEDAÇÃO DE BLOCOS VAZADOS DE CONCRETO DE 14X19X39CM (ESPE SSURA 14CM) DE PAREDES COM ÁREA LÍQUIDA MAIOR OU IGUAL A 6M² SEM VÃOS E ARGAMASSA DE ASSENTAMENTO COM PREPARO EM BETONEIRA. AF_06/2014</t>
  </si>
  <si>
    <t>ALVENARIA DE VEDAÇÃO DE BLOCOS VAZADOS DE CONCRETO DE 14X19X39CM (ESPE SSURA 14CM) DE PAREDES COM ÁREA LÍQUIDA MAIOR OU IGUAL A 6M² SEM VÃOS E ARGAMASSA DE ASSENTAMENTO COM PREPARO MANUAL. AF_06/2014</t>
  </si>
  <si>
    <t>ALVENARIA DE VEDAÇÃO DE BLOCOS VAZADOS DE CONCRETO DE 14X19X39CM (ESPE SSURA 14CM) DE PAREDES COM ÁREA LÍQUIDA MENOR QUE 6M² COM VÃOS E ARGAM ASSA DE ASSENTAMENTO COM PREPARO EM BETONEIRA. AF_06/2014</t>
  </si>
  <si>
    <t>ALVENARIA DE VEDAÇÃO DE BLOCOS VAZADOS DE CONCRETO DE 14X19X39CM (ESPE SSURA 14CM) DE PAREDES COM ÁREA LÍQUIDA MENOR QUE 6M² COM VÃOS E ARGAM ASSA DE ASSENTAMENTO COM PREPARO MANUAL. AF_06/2014</t>
  </si>
  <si>
    <t>ALVENARIA DE VEDAÇÃO DE BLOCOS VAZADOS DE CONCRETO DE 14X19X39CM (ESPE SSURA 14CM) DE PAREDES COM ÁREA LÍQUIDA MENOR QUE 6M² SEM VÃOS E ARGAM ASSA DE ASSENTAMENTO COM PREPARO EM BETONEIRA. AF_06/2014</t>
  </si>
  <si>
    <t>ALVENARIA DE VEDAÇÃO DE BLOCOS VAZADOS DE CONCRETO DE 14X19X39CM (ESPE SSURA 14CM) DE PAREDES COM ÁREA LÍQUIDA MENOR QUE 6M² SEM VÃOS E ARGAM ASSA DE ASSENTAMENTO COM PREPARO MANUAL. AF_06/2014</t>
  </si>
  <si>
    <t>ALVENARIA DE VEDAÇÃO DE BLOCOS VAZADOS DE CONCRETO DE 19X19X39CM (ESPE SSURA 19CM) DE PAREDES COM ÁREA LÍQUIDA MAIOR OU IGUAL A 6M² COM VÃOS E ARGAMASSA DE ASSENTAMENTO COM PREPARO EM BETONEIRA. AF_06/2014</t>
  </si>
  <si>
    <t>ALVENARIA DE VEDAÇÃO DE BLOCOS VAZADOS DE CONCRETO DE 19X19X39CM (ESPE SSURA 19CM) DE PAREDES COM ÁREA LÍQUIDA MAIOR OU IGUAL A 6M² COM VÃOS E ARGAMASSA DE ASSENTAMENTO COM PREPARO MANUAL. AF_06/2014</t>
  </si>
  <si>
    <t>ALVENARIA DE VEDAÇÃO DE BLOCOS VAZADOS DE CONCRETO DE 19X19X39CM (ESPE SSURA 19CM) DE PAREDES COM ÁREA LÍQUIDA MAIOR OU IGUAL A 6M² SEM VÃOS E ARGAMASSA DE ASSENTAMENTO COM PREPARO EM BETONEIRA. AF_06/2014</t>
  </si>
  <si>
    <t>ALVENARIA DE VEDAÇÃO DE BLOCOS VAZADOS DE CONCRETO DE 19X19X39CM (ESPE SSURA 19CM) DE PAREDES COM ÁREA LÍQUIDA MAIOR OU IGUAL A 6M² SEM VÃOS E ARGAMASSA DE ASSENTAMENTO COM PREPARO MANUAL. AF_06/2014</t>
  </si>
  <si>
    <t>ALVENARIA DE VEDAÇÃO DE BLOCOS VAZADOS DE CONCRETO DE 19X19X39CM (ESPE SSURA 19CM) DE PAREDES COM ÁREA LÍQUIDA MENOR QUE 6M² COM VÃOS E ARGAM ASSA DE ASSENTAMENTO COM PREPARO EM BETONEIRA. AF_06/2014</t>
  </si>
  <si>
    <t>ALVENARIA DE VEDAÇÃO DE BLOCOS VAZADOS DE CONCRETO DE 19X19X39CM (ESPE SSURA 19CM) DE PAREDES COM ÁREA LÍQUIDA MENOR QUE 6M² COM VÃOS E ARGAM ASSA DE ASSENTAMENTO COM PREPARO MANUAL. AF_06/2014</t>
  </si>
  <si>
    <t>ALVENARIA DE VEDAÇÃO DE BLOCOS VAZADOS DE CONCRETO DE 19X19X39CM (ESPE SSURA 19CM) DE PAREDES COM ÁREA LÍQUIDA MENOR QUE 6M² SEM VÃOS E ARGAM ASSA DE ASSENTAMENTO COM PREPARO EM BETONEIRA. AF_06/2014</t>
  </si>
  <si>
    <t>ALVENARIA DE VEDAÇÃO DE BLOCOS VAZADOS DE CONCRETO DE 19X19X39CM (ESPE SSURA 19CM) DE PAREDES COM ÁREA LÍQUIDA MENOR QUE 6M² SEM VÃOS E ARGAM ASSA DE ASSENTAMENTO COM PREPARO MANUAL. AF_06/2014</t>
  </si>
  <si>
    <t>ALVENARIA DE VEDAÇÃO DE BLOCOS VAZADOS DE CONCRETO DE 9X19X39CM (ESPES SURA 9CM) DE PAREDES COM ÁREA LÍQUIDA MAIOR OU IGUAL A 6M² COM VÃOS E ARGAMASSA DE ASSENTAMENTO COM PREPARO EM BETONEIRA. AF_06/2014</t>
  </si>
  <si>
    <t>ALVENARIA DE VEDAÇÃO DE BLOCOS VAZADOS DE CONCRETO DE 9X19X39CM (ESPES SURA 9CM) DE PAREDES COM ÁREA LÍQUIDA MAIOR OU IGUAL A 6M² COM VÃOS E ARGAMASSA DE ASSENTAMENTO COM PREPARO MANUAL. AF_06/2014</t>
  </si>
  <si>
    <t>ALVENARIA DE VEDAÇÃO DE BLOCOS VAZADOS DE CONCRETO DE 9X19X39CM (ESPES SURA 9CM) DE PAREDES COM ÁREA LÍQUIDA MAIOR OU IGUAL A 6M² SEM VÃOS E ARGAMASSA DE ASSENTAMENTO COM PREPARO EM BETONEIRA. AF_06/2014</t>
  </si>
  <si>
    <t>ALVENARIA DE VEDAÇÃO DE BLOCOS VAZADOS DE CONCRETO DE 9X19X39CM (ESPES SURA 9CM) DE PAREDES COM ÁREA LÍQUIDA MAIOR OU IGUAL A 6M² SEM VÃOS E ARGAMASSA DE ASSENTAMENTO COM PREPARO MANUAL. AF_06/2014</t>
  </si>
  <si>
    <t>ALVENARIA DE VEDAÇÃO DE BLOCOS VAZADOS DE CONCRETO DE 9X19X39CM (ESPES SURA 9CM) DE PAREDES COM ÁREA LÍQUIDA MENOR QUE 6M² COM VÃOS E ARGAMAS SA DE ASSENTAMENTO COM PREPARO EM BETONEIRA. AF_06/2014</t>
  </si>
  <si>
    <t>ALVENARIA DE VEDAÇÃO DE BLOCOS VAZADOS DE CONCRETO DE 9X19X39CM (ESPES SURA 9CM) DE PAREDES COM ÁREA LÍQUIDA MENOR QUE 6M² COM VÃOS E ARGAMAS SA DE ASSENTAMENTO COM PREPARO MANUAL. AF_06/2014</t>
  </si>
  <si>
    <t>ALVENARIA DE VEDAÇÃO DE BLOCOS VAZADOS DE CONCRETO DE 9X19X39CM (ESPES SURA 9CM) DE PAREDES COM ÁREA LÍQUIDA MENOR QUE 6M² SEM VÃOS E ARGAMAS SA DE ASSENTAMENTO COM PREPARO EM BETONEIRA. AF_06/2014</t>
  </si>
  <si>
    <t>ALVENARIA DE VEDAÇÃO DE BLOCOS VAZADOS DE CONCRETO DE 9X19X39CM (ESPES SURA 9CM) DE PAREDES COM ÁREA LÍQUIDA MENOR QUE 6M² SEM VÃOS E ARGAMAS SA DE ASSENTAMENTO COM PREPARO MANUAL. AF_06/2014</t>
  </si>
  <si>
    <t>ALVENARIA EM TIJOLO CERAMICO MACICO 5X10X20CM 1 1/2 VEZ (ESPESSURA 30C M), ASSENTADO COM ARGAMASSA TRACO 1:2:8 (CIMENTO, CAL E AREIA)</t>
  </si>
  <si>
    <t>ALVENARIA EM TIJOLO CERAMICO MACICO 5X10X20CM 1 VEZ (ESPESSURA 20CM), ASSENTADO COM ARGAMASSA TRACO 1:2:8 (CIMENTO, CAL E AREIA)</t>
  </si>
  <si>
    <t>ALVENARIA EM TIJOLO CERAMICO MACICO 5X10X20CM 1/2 VEZ (ESPESSURA 10CM) , ASSENTADO COM ARGAMASSA TRACO 1:2:8 (CIMENTO, CAL E AREIA)</t>
  </si>
  <si>
    <t>ALVENARIA EMBASAMENTO E=20 CM BLOCO CONCRETO</t>
  </si>
  <si>
    <t>ALVENARIA ESTRUTURAL DE BLOCOS CERÂMICOS 14X19X29, (ESPESSURA DE 14 CM ), PARA PAREDES COM ÁREA LÍQUIDA MAIOR OU IGUAL A 6M², COM VÃOS, UTILI ZANDO COLHER DE PEDREIRO E ARGAMASSA DE ASSENTAMENTO COM PREPARO EM BE TONEIRA. AF_12/2014</t>
  </si>
  <si>
    <t>ALVENARIA ESTRUTURAL DE BLOCOS CERÂMICOS 14X19X29, (ESPESSURA DE 14 CM ), PARA PAREDES COM ÁREA LÍQUIDA MAIOR OU IGUAL A 6M², COM VÃOS, UTILI ZANDO COLHER DE PEDREIRO E ARGAMASSA DE ASSENTAMENTO COM PREPARO MANUA L. AF_12/2014</t>
  </si>
  <si>
    <t>ALVENARIA ESTRUTURAL DE BLOCOS CERÂMICOS 14X19X29, (ESPESSURA DE 14 CM ), PARA PAREDES COM ÁREA LÍQUIDA MAIOR OU IGUAL A 6M², COM VÃOS, UTILI ZANDO PALHETA E ARGAMASSA DE ASSENTAMENTO COM PREPARO EM BETONEIRA. AF _12/2014</t>
  </si>
  <si>
    <t>ALVENARIA ESTRUTURAL DE BLOCOS CERÂMICOS 14X19X29, (ESPESSURA DE 14 CM ), PARA PAREDES COM ÁREA LÍQUIDA MAIOR OU IGUAL A 6M², COM VÃOS, UTILI ZANDO PALHETA E ARGAMASSA DE ASSENTAMENTO COM PREPARO MANUAL. AF_12/20 14</t>
  </si>
  <si>
    <t>ALVENARIA ESTRUTURAL DE BLOCOS CERÂMICOS 14X19X29, (ESPESSURA DE 14 CM ), PARA PAREDES COM ÁREA LÍQUIDA MAIOR OU IGUAL A 6M², SEM VÃOS, UTILI ZANDO COLHER DE PEDREIRO E ARGAMASSA DE ASSENTAMENTO COM PREPARO EM BE TONEIRA. AF_12/2014</t>
  </si>
  <si>
    <t>ALVENARIA ESTRUTURAL DE BLOCOS CERÂMICOS 14X19X29, (ESPESSURA DE 14 CM ), PARA PAREDES COM ÁREA LÍQUIDA MAIOR OU IGUAL A 6M², SEM VÃOS, UTILI ZANDO COLHER DE PEDREIRO E ARGAMASSA DE ASSENTAMENTO COM PREPARO MANUA L. AF_12/2014</t>
  </si>
  <si>
    <t>ALVENARIA ESTRUTURAL DE BLOCOS CERÂMICOS 14X19X29, (ESPESSURA DE 14 CM ), PARA PAREDES COM ÁREA LÍQUIDA MAIOR OU IGUAL A 6M², SEM VÃOS, UTILI ZANDO PALHETA E ARGAMASSA DE ASSENTAMENTO COM PREPARO EM BETONEIRA. AF _12/2014</t>
  </si>
  <si>
    <t>ALVENARIA ESTRUTURAL DE BLOCOS CERÂMICOS 14X19X29, (ESPESSURA DE 14 CM ), PARA PAREDES COM ÁREA LÍQUIDA MAIOR OU IGUAL A 6M2, SEM VÃOS, UTILI ZANDO PALHETA E ARGAMASSA DE ASSENTAMENTO COM PREPARO MANUAL. AF_12/20 14</t>
  </si>
  <si>
    <t>ALVENARIA ESTRUTURAL DE BLOCOS CERÂMICOS 14X19X29, (ESPESSURA DE 14 CM ), PARA PAREDES COM ÁREA LÍQUIDA MENOR QUE 6M², COM VÃOS, UTILIZANDO C OLHER DE PEDREIRO E ARGAMASSA DE ASSENTAMENTO COM PREPARO EM BETONEIRA . AF_12/2014</t>
  </si>
  <si>
    <t>ALVENARIA ESTRUTURAL DE BLOCOS CERÂMICOS 14X19X29, (ESPESSURA DE 14 CM ), PARA PAREDES COM ÁREA LÍQUIDA MENOR QUE 6M², COM VÃOS, UTILIZANDO C OLHER DE PEDREIRO E ARGAMASSA DE ASSENTAMENTO COM PREPARO MANUAL. AF_1 2/2014</t>
  </si>
  <si>
    <t>ALVENARIA ESTRUTURAL DE BLOCOS CERÂMICOS 14X19X29, (ESPESSURA DE 14 CM ), PARA PAREDES COM ÁREA LÍQUIDA MENOR QUE 6M², COM VÃOS, UTILIZANDO P ALHETA E ARGAMASSA DE ASSENTAMENTO COM PREPARO EM BETONEIRA. AF_12/201 4</t>
  </si>
  <si>
    <t>ALVENARIA ESTRUTURAL DE BLOCOS CERÂMICOS 14X19X29, (ESPESSURA DE 14 CM ), PARA PAREDES COM ÁREA LÍQUIDA MENOR QUE 6M², COM VÃOS, UTILIZANDO P ALHETA E ARGAMASSA DE ASSENTAMENTO COM PREPARO MANUAL. AF_12/2014</t>
  </si>
  <si>
    <t>ALVENARIA ESTRUTURAL DE BLOCOS CERÂMICOS 14X19X29, (ESPESSURA DE 14 CM ), PARA PAREDES COM ÁREA LÍQUIDA MENOR QUE 6M², SEM VÃOS, UTILIZANDO C OLHER DE PEDREIRO E ARGAMASSA DE ASSENTAMENTO COM PREPARO EM BETONEIRA . AF_12/2014</t>
  </si>
  <si>
    <t>ALVENARIA ESTRUTURAL DE BLOCOS CERÂMICOS 14X19X29, (ESPESSURA DE 14 CM ), PARA PAREDES COM ÁREA LÍQUIDA MENOR QUE 6M², SEM VÃOS, UTILIZANDO C OLHER DE PEDREIRO E ARGAMASSA DE ASSENTAMENTO COM PREPARO MANUAL. AF_1 2/2014</t>
  </si>
  <si>
    <t>ALVENARIA ESTRUTURAL DE BLOCOS CERÂMICOS 14X19X29, (ESPESSURA DE 14 CM ), PARA PAREDES COM ÁREA LÍQUIDA MENOR QUE 6M², SEM VÃOS, UTILIZANDO P ALHETA E ARGAMASSA DE ASSENTAMENTO COM PREPARO EM BETONEIRA. AF_12/201 4</t>
  </si>
  <si>
    <t>ALVENARIA ESTRUTURAL DE BLOCOS CERÂMICOS 14X19X29, (ESPESSURA DE 14 CM ), PARA PAREDES COM ÁREA LÍQUIDA MENOR QUE 6M², SEM VÃOS, UTILIZANDO P ALHETA E ARGAMASSA DE ASSENTAMENTO COM PREPARO MANUAL. AF_12/2014</t>
  </si>
  <si>
    <t>ALVENARIA ESTRUTURAL DE BLOCOS CERÂMICOS 14X19X39, (ESPESSURA DE 14 CM ), PARA PAREDES COM ÁREA LÍQUIDA MAIOR OU IGUAL A 6M², COM VÃOS, UTILI ZANDO COLHER DE PEDREIRO E ARGAMASSA DE ASSENTAMENTO COM PREPARO EM BE TONEIRA. AF_12/2014</t>
  </si>
  <si>
    <t>ALVENARIA ESTRUTURAL DE BLOCOS CERÂMICOS 14X19X39, (ESPESSURA DE 14 CM ), PARA PAREDES COM ÁREA LÍQUIDA MAIOR OU IGUAL A 6M², COM VÃOS, UTILI ZANDO COLHER DE PEDREIRO E ARGAMASSA DE ASSENTAMENTO COM PREPARO MANUA L. AF_12/2014</t>
  </si>
  <si>
    <t>ALVENARIA ESTRUTURAL DE BLOCOS CERÂMICOS 14X19X39, (ESPESSURA DE 14 CM ), PARA PAREDES COM ÁREA LÍQUIDA MAIOR OU IGUAL A 6M², COM VÃOS, UTILI ZANDO PALHETA E ARGAMASSA DE ASSENTAMENTO COM PREPARO EM BETONEIRA. AF _12/2014</t>
  </si>
  <si>
    <t>ALVENARIA ESTRUTURAL DE BLOCOS CERÂMICOS 14X19X39, (ESPESSURA DE 14 CM ), PARA PAREDES COM ÁREA LÍQUIDA MAIOR OU IGUAL A 6M², COM VÃOS, UTILI ZANDO PALHETA E ARGAMASSA DE ASSENTAMENTO COM PREPARO MANUAL. AF_12/20 14</t>
  </si>
  <si>
    <t>ALVENARIA ESTRUTURAL DE BLOCOS CERÂMICOS 14X19X39, (ESPESSURA DE 14 CM ), PARA PAREDES COM ÁREA LÍQUIDA MAIOR OU IGUAL A 6M², SEM VÃOS, UTILI ZANDO COLHER DE PEDREIRO E ARGAMASSA DE ASSENTAMENTO COM PREPARO EM BE TONEIRA. AF_12/2014</t>
  </si>
  <si>
    <t>ALVENARIA ESTRUTURAL DE BLOCOS CERÂMICOS 14X19X39, (ESPESSURA DE 14 CM ), PARA PAREDES COM ÁREA LÍQUIDA MAIOR OU IGUAL A 6M², SEM VÃOS, UTILI ZANDO COLHER DE PEDREIRO E ARGAMASSA DE ASSENTAMENTO COM PREPARO MANUA L. AF_12/2014</t>
  </si>
  <si>
    <t>ALVENARIA ESTRUTURAL DE BLOCOS CERÂMICOS 14X19X39, (ESPESSURA DE 14 CM ), PARA PAREDES COM ÁREA LÍQUIDA MAIOR OU IGUAL QUE 6M², SEM VÃOS, UTI LIZANDO PALHETA E ARGAMASSA DE ASSENTAMENTO COM PREPARO EM BETONEIRA. AF_12/2014</t>
  </si>
  <si>
    <t>ALVENARIA ESTRUTURAL DE BLOCOS CERÂMICOS 14X19X39, (ESPESSURA DE 14 CM ), PARA PAREDES COM ÁREA LÍQUIDA MAIOR OU IGUAL QUE 6M², SEM VÃOS, UTI LIZANDO PALHETA E ARGAMASSA DE ASSENTAMENTO COM PREPARO MANUAL. AF_12/ 2014</t>
  </si>
  <si>
    <t>ALVENARIA ESTRUTURAL DE BLOCOS CERÂMICOS 14X19X39, (ESPESSURA DE 14 CM ), PARA PAREDES COM ÁREA LÍQUIDA MENOR QUE 6M², COM VÃOS, UTILIZANDO C OLHER DE PEDREIRO E ARGAMASSA DE ASSENTAMENTO COM PREPARO EM BETONEIRA . AF_12/2014</t>
  </si>
  <si>
    <t>ALVENARIA ESTRUTURAL DE BLOCOS CERÂMICOS 14X19X39, (ESPESSURA DE 14 CM ), PARA PAREDES COM ÁREA LÍQUIDA MENOR QUE 6M², COM VÃOS, UTILIZANDO C OLHER DE PEDREIRO E ARGAMASSA DE ASSENTAMENTO COM PREPARO MANUAL. AF_1 2/2014</t>
  </si>
  <si>
    <t>ALVENARIA ESTRUTURAL DE BLOCOS CERÂMICOS 14X19X39, (ESPESSURA DE 14 CM ), PARA PAREDES COM ÁREA LÍQUIDA MENOR QUE 6M², COM VÃOS, UTILIZANDO P ALHETA E ARGAMASSA DE ASSENTAMENTO COM PREPARO EM BETONEIRA. AF_12/201 4</t>
  </si>
  <si>
    <t>ALVENARIA ESTRUTURAL DE BLOCOS CERÂMICOS 14X19X39, (ESPESSURA DE 14 CM ), PARA PAREDES COM ÁREA LÍQUIDA MENOR QUE 6M², COM VÃOS, UTILIZANDO P ALHETA E ARGAMASSA DE ASSENTAMENTO COM PREPARO MANUAL. AF_12/2014</t>
  </si>
  <si>
    <t>ALVENARIA ESTRUTURAL DE BLOCOS CERÂMICOS 14X19X39, (ESPESSURA DE 14 CM ), PARA PAREDES COM ÁREA LÍQUIDA MENOR QUE 6M², SEM VÃOS, UTILIZANDO C OLHER DE PEDREIRO E ARGAMASSA DE ASSENTAMENTO COM PREPARO EM BETONEIRA . AF_12/2014</t>
  </si>
  <si>
    <t>ALVENARIA ESTRUTURAL DE BLOCOS CERÂMICOS 14X19X39, (ESPESSURA DE 14 CM ), PARA PAREDES COM ÁREA LÍQUIDA MENOR QUE 6M², SEM VÃOS, UTILIZANDO C OLHER DE PEDREIRO E ARGAMASSA DE ASSENTAMENTO COM PREPARO MANUAL. AF_1 2/2014</t>
  </si>
  <si>
    <t>ALVENARIA ESTRUTURAL DE BLOCOS CERÂMICOS 14X19X39, (ESPESSURA DE 14 CM ), PARA PAREDES COM ÁREA LÍQUIDA MENOR QUE 6M², SEM VÃOS, UTILIZANDO P ALHETA E ARGAMASSA DE ASSENTAMENTO COM PREPARO EM BETONEIRA. AF_12/201 4</t>
  </si>
  <si>
    <t>ALVENARIA ESTRUTURAL DE BLOCOS CERÂMICOS 14X19X39, (ESPESSURA DE 14 CM ), PARA PAREDES COM ÁREA LÍQUIDA MENOR QUE 6M², SEM VÃOS, UTILIZANDO P ALHETA E ARGAMASSA DE ASSENTAMENTO COM PREPARO MANUAL. AF_12/2014</t>
  </si>
  <si>
    <t>AMARRAÇÃO DE TELHAS CERÂMICAS OU DE CONCRETO. AF_06/2016</t>
  </si>
  <si>
    <t>ANDAIME METALICO TIPO FACHADEIRO, LARGURA DE 1,20M, ALTURA POR PECA DE 2,0M (LOCACAO)</t>
  </si>
  <si>
    <t>M2/MES</t>
  </si>
  <si>
    <t>ANDAIME METALICO TUBULAR DE ENCAIXE, TIPO DE TORRE, COM LARGURA DE 1 ATE 1,5 M E ALTURA DE *1,00 M* (LOCACAO)</t>
  </si>
  <si>
    <t>M/MES</t>
  </si>
  <si>
    <t>ANDAIME PARA ALVENARIA EM MADEIRA DE 2A</t>
  </si>
  <si>
    <t>ANDAIME SUSPENSO OU BALANCIM MANUAL, CAPACIDADE DE CARGA TOTAL DE APROXIMADAMENTE 250 KG/M2, PLATAFORMA DE 1,50 M X 0,80 M (C X L), CABO DE 45 M (LOCACAO)</t>
  </si>
  <si>
    <t>ANDAIME TABUADO SOBRE CAVALETES (INCLUSO CAVALETE) EM MADEIRA DE 1ª UT IL 20X INCL MOVIMENTACAO P/ PE-DIREITO 4,00M</t>
  </si>
  <si>
    <t>ANEIS DE CRIMPAGEM PARA ALICATE CRIMPADOR DE TUBO PEX, BITOLAS DE 16 A 32 MM</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</si>
  <si>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</si>
  <si>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</si>
  <si>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</si>
  <si>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</si>
  <si>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</si>
  <si>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</si>
  <si>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</si>
  <si>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</si>
  <si>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</si>
  <si>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</si>
  <si>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</si>
  <si>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</si>
  <si>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</si>
  <si>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</si>
  <si>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</si>
  <si>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</si>
  <si>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</si>
  <si>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</si>
  <si>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</si>
  <si>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</si>
  <si>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</si>
  <si>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</si>
  <si>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</si>
  <si>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</si>
  <si>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</si>
  <si>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</si>
  <si>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</si>
  <si>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</si>
  <si>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</si>
  <si>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</si>
  <si>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</si>
  <si>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</si>
  <si>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</si>
  <si>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</si>
  <si>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</si>
  <si>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</si>
  <si>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</si>
  <si>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</si>
  <si>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</si>
  <si>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</si>
  <si>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</si>
  <si>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</si>
  <si>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</si>
  <si>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</si>
  <si>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</si>
  <si>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</si>
  <si>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</si>
  <si>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</si>
  <si>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</si>
  <si>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</si>
  <si>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</si>
  <si>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</si>
  <si>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</si>
  <si>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</si>
  <si>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*21* MM, PARA TUBO DE CONCRETO DN 1000 MM</t>
  </si>
  <si>
    <t>DM3</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</si>
  <si>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</si>
  <si>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</si>
  <si>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</si>
  <si>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DE APOIO NEOPRENE NAO FRETADO (1,4KG/DM3)</t>
  </si>
  <si>
    <t>APARELHO MISTURADOR DE MESA PARA LAVATÓRIO, PADRÃO MÉDIO - FORNECIMENT O E INSTALAÇÃO. AF_12/2013</t>
  </si>
  <si>
    <t>APARELHO MISTURADOR DE MESA PARA PIA DE COZINHA, PADRÃO MÉDIO - FORNEC IMENTO E INSTALAÇÃO. AF_12/2013</t>
  </si>
  <si>
    <t>APARELHO PARA CORTE E SOLDA OXI-ACETILENO SOBRE RODAS, INCLUSIVE CILIN DROS E MAÇARICOS - CHI DIURNO. AF_12/2015</t>
  </si>
  <si>
    <t>APARELHO PARA CORTE E SOLDA OXI-ACETILENO SOBRE RODAS, INCLUSIVE CILIN DROS E MAÇARICOS - CHP DIURNO. AF_12/2015</t>
  </si>
  <si>
    <t>APARELHO PARA CORTE E SOLDA OXI-ACETILENO SOBRE RODAS, INCLUSIVE CILIN DROS E MAÇARICOS - DEPRECIAÇÃO. AF_12/2015</t>
  </si>
  <si>
    <t>APARELHO PARA CORTE E SOLDA OXI-ACETILENO SOBRE RODAS, INCLUSIVE CILIN DROS E MAÇARICOS - JUROS. AF_12/2015</t>
  </si>
  <si>
    <t>APARELHO PARA CORTE E SOLDA OXI-ACETILENO SOBRE RODAS, INCLUSIVE CILIN DROS E MAÇARICOS - MANUTENÇÃO. AF_12/2015</t>
  </si>
  <si>
    <t>APARELHO PARA CORTE E SOLDA OXI-ACETILENO SOBRE RODAS, INCLUSIVE CILIN DROS E MAÇARICOS - MATERIAIS NA OPERAÇÃO. AF_12/2015</t>
  </si>
  <si>
    <t>APARELHO SINALIZADOR DE SAIDA DE GARAGEM COMPLETO C/ CELULA FOTOELETRICA E BRACADEIRA</t>
  </si>
  <si>
    <t>APARELHO SINALIZADOR DE SAIDA DE GARAGEM, COM CELULA FOTOELETRICA - FO RNECIMENTO E INSTALACAO</t>
  </si>
  <si>
    <t>APICOAMENTO MANUAL DE SUPERFICIE DE CONCRETO</t>
  </si>
  <si>
    <t>APLICAÇÃO DE GESSO PROJETADO COM EQUIPAMENTO DE PROJEÇÃO EM PAREDES DE AMBIENTES DE ÁREA ENTRE 5M² E 10M², DESEMPENADO (SEM TALISCAS), ESPES SURA DE 0,5CM. AF_06/2014</t>
  </si>
  <si>
    <t>APLICAÇÃO DE GESSO PROJETADO COM EQUIPAMENTO DE PROJEÇÃO EM PAREDES DE AMBIENTES DE ÁREA ENTRE 5M² E 10M², DESEMPENADO (SEM TALISCAS), ESPES SURA DE 1,0CM. AF_06/2014</t>
  </si>
  <si>
    <t>APLICAÇÃO DE GESSO PROJETADO COM EQUIPAMENTO DE PROJEÇÃO EM PAREDES DE AMBIENTES DE ÁREA ENTRE 5M² E 10M², SARRAFEADO (COM TALISCAS), ESPESS URA DE 1,0CM. AF_06/2014</t>
  </si>
  <si>
    <t>APLICAÇÃO DE GESSO PROJETADO COM EQUIPAMENTO DE PROJEÇÃO EM PAREDES DE AMBIENTES DE ÁREA ENTRE 5M² E 10M², SARRAFEADO (COM TALISCAS), ESPESS URA DE 1,5CM. AF_06/2014</t>
  </si>
  <si>
    <t>APLICAÇÃO DE GESSO PROJETADO COM EQUIPAMENTO DE PROJEÇÃO EM PAREDES DE AMBIENTES DE ÁREA MAIOR QUE 10M², DESEMPENADO (SEM TALISCAS), ESPESSU RA DE 0,5CM. AF_06/2014</t>
  </si>
  <si>
    <t>APLICAÇÃO DE GESSO PROJETADO COM EQUIPAMENTO DE PROJEÇÃO EM PAREDES DE AMBIENTES DE ÁREA MAIOR QUE 10M², DESEMPENADO (SEM TALISCAS), ESPESSU RA DE 1,0CM. AF_06/2014</t>
  </si>
  <si>
    <t>APLICAÇÃO DE GESSO PROJETADO COM EQUIPAMENTO DE PROJEÇÃO EM PAREDES DE AMBIENTES DE ÁREA MAIOR QUE 10M², SARRAFEADO (COM TALISCAS), ESPESSUR A DE 1,0CM. AF_06/2014</t>
  </si>
  <si>
    <t>APLICAÇÃO DE GESSO PROJETADO COM EQUIPAMENTO DE PROJEÇÃO EM PAREDES DE AMBIENTES DE ÁREA MAIOR QUE 10M², SARRAFEADO (COM TALISCAS), ESPESSUR A DE 1,5CM. AF_06/2014</t>
  </si>
  <si>
    <t>APLICAÇÃO DE GESSO PROJETADO COM EQUIPAMENTO DE PROJEÇÃO EM PAREDES DE AMBIENTES DE ÁREA MENOR QUE 5M², DESEMPENADO (SEM TALISCAS), ESPESSUR A DE 0,5CM. AF_06/2014</t>
  </si>
  <si>
    <t>APLICAÇÃO DE GESSO PROJETADO COM EQUIPAMENTO DE PROJEÇÃO EM PAREDES DE AMBIENTES DE ÁREA MENOR QUE 5M², DESEMPENADO (SEM TALISCAS), ESPESSUR A DE 1,0CM. AF_06/2014</t>
  </si>
  <si>
    <t>APLICACAO DE TINTA A BASE DE EPOXI SOBRE PISO</t>
  </si>
  <si>
    <t>APLICACAO DE VERNIZ POLIURETANO FOSCO SOBRE PISO DE PEDRAS DECORATIVAS , 3 DEMAOS</t>
  </si>
  <si>
    <t>APLICAÇÃO E LIXAMENTO DE MASSA LÁTEX EM PAREDES, DUAS DEMÃOS. AF_06/20 14</t>
  </si>
  <si>
    <t>APLICAÇÃO MANUAL DE FUNDO SELADOR ACRÍLICO EM PANOS CEGOS DE FACHADA ( SEM PRESENÇA DE VÃOS) DE EDIFÍCIOS DE MÚLTIPLOS PAVIMENTOS. AF_06/2014</t>
  </si>
  <si>
    <t>APLICAÇÃO MANUAL DE FUNDO SELADOR ACRÍLICO EM PANOS COM PRESENÇA DE VÃ OS DE EDIFÍCIOS DE MÚLTIPLOS PAVIMENTOS. AF_06/2014</t>
  </si>
  <si>
    <t>APLICAÇÃO MANUAL DE FUNDO SELADOR ACRÍLICO EM PAREDES EXTERNAS DE CASA S. AF_06/2014</t>
  </si>
  <si>
    <t>APLICAÇÃO MANUAL DE GESSO DESEMPENADO (SEM TALISCAS) EM PAREDES DE AMB IENTES DE ÁREA ENTRE 5M² E 10M², ESPESSURA DE 0,5CM. AF_06/2014</t>
  </si>
  <si>
    <t>APLICAÇÃO MANUAL DE GESSO DESEMPENADO (SEM TALISCAS) EM PAREDES DE AMB IENTES DE ÁREA ENTRE 5M² E 10M², ESPESSURA DE 1,0CM. AF_06/2014</t>
  </si>
  <si>
    <t>APLICAÇÃO MANUAL DE GESSO DESEMPENADO (SEM TALISCAS) EM PAREDES DE AMB IENTES DE ÁREA MAIOR QUE 10M², ESPESSURA DE 0,5CM. AF_06/2014</t>
  </si>
  <si>
    <t>APLICAÇÃO MANUAL DE GESSO DESEMPENADO (SEM TALISCAS) EM PAREDES DE AMB IENTES DE ÁREA MAIOR QUE 10M², ESPESSURA DE 1,0CM. AF_06/2014</t>
  </si>
  <si>
    <t>APLICAÇÃO MANUAL DE GESSO DESEMPENADO (SEM TALISCAS) EM PAREDES DE AMB IENTES DE ÁREA MENOR QUE 5M², ESPESSURA DE 0,5CM. AF_06/2014</t>
  </si>
  <si>
    <t>APLICAÇÃO MANUAL DE GESSO DESEMPENADO (SEM TALISCAS) EM PAREDES DE AMB IENTES DE ÁREA MENOR QUE 5M², ESPESSURA DE 1,0CM. AF_06/2014</t>
  </si>
  <si>
    <t>APLICAÇÃO MANUAL DE GESSO DESEMPENADO (SEM TALISCAS) EM TETO DE AMBIEN TES DE ÁREA ENTRE 5M² E 10M², ESPESSURA DE 0,5CM. AF_06/2014</t>
  </si>
  <si>
    <t>APLICAÇÃO MANUAL DE GESSO DESEMPENADO (SEM TALISCAS) EM TETO DE AMBIEN TES DE ÁREA ENTRE 5M² E 10M², ESPESSURA DE 1,0CM. AF_06/2014</t>
  </si>
  <si>
    <t>APLICAÇÃO MANUAL DE GESSO DESEMPENADO (SEM TALISCAS) EM TETO DE AMBIEN TES DE ÁREA MAIOR QUE 10M², ESPESSURA DE 0,5CM. AF_06/2014</t>
  </si>
  <si>
    <t>APLICAÇÃO MANUAL DE GESSO DESEMPENADO (SEM TALISCAS) EM TETO DE AMBIEN TES DE ÁREA MAIOR QUE 10M², ESPESSURA DE 1,0CM. AF_06/2014</t>
  </si>
  <si>
    <t>APLICAÇÃO MANUAL DE GESSO DESEMPENADO (SEM TALISCAS) EM TETO DE AMBIEN TES DE ÁREA MENOR QUE 5M², ESPESSURA DE 0,5CM. AF_06/2014</t>
  </si>
  <si>
    <t>APLICAÇÃO MANUAL DE GESSO DESEMPENADO (SEM TALISCAS) EM TETO DE AMBIEN TES DE ÁREA MENOR QUE 5M², ESPESSURA DE 1,0CM. AF_06/2014</t>
  </si>
  <si>
    <t>APLICAÇÃO MANUAL DE GESSO SARRAFEADO (COM TALISCAS) EM PAREDES DE AMBI ENTES DE ÁREA ENTRE 5M² E 10M², ESPESSURA DE 1,0CM. AF_06/2014</t>
  </si>
  <si>
    <t>APLICAÇÃO MANUAL DE GESSO SARRAFEADO (COM TALISCAS) EM PAREDES DE AMBI ENTES DE ÁREA ENTRE 5M² E 10M², ESPESSURA DE 1,5CM. AF_06/2014</t>
  </si>
  <si>
    <t>APLICAÇÃO MANUAL DE GESSO SARRAFEADO (COM TALISCAS) EM PAREDES DE AMBI ENTES DE ÁREA MAIOR QUE 10M², ESPESSURA DE 1,0CM. AF_06/2014</t>
  </si>
  <si>
    <t>APLICAÇÃO MANUAL DE GESSO SARRAFEADO (COM TALISCAS) EM PAREDES DE AMBI ENTES DE ÁREA MAIOR QUE 10M², ESPESSURA DE 1,5CM. AF_06/2014</t>
  </si>
  <si>
    <t>APLICAÇÃO MANUAL DE GESSO SARRAFEADO (COM TALISCAS) EM PAREDES DE AMBI ENTES DE ÁREA MENOR QUE 5M², ESPESSURA DE 1,0CM. AF_06/2014</t>
  </si>
  <si>
    <t>APLICAÇÃO MANUAL DE GESSO SARRAFEADO (COM TALISCAS) EM PAREDES DE AMBI ENTES DE ÁREA MENOR QUE 5M², ESPESSURA DE 1,5CM. AF_06/2014</t>
  </si>
  <si>
    <t>APLICAÇÃO MANUAL DE PINTURA COM TINTA LÁTEX ACRÍLICA EM TETO, DUAS DEM ÃOS. AF_06/2014</t>
  </si>
  <si>
    <t>APLICAÇÃO MANUAL DE PINTURA COM TINTA LÁTEX PVA EM PAREDES, DUAS DEMÃO S. AF_06/2014</t>
  </si>
  <si>
    <t>APLICAÇÃO MANUAL DE PINTURA COM TINTA TEXTURIZADA ACRÍLICA EM MOLDURAS DE EPS, PRÉ-FABRICADOS, OU OUTROS. AF_06/2014</t>
  </si>
  <si>
    <t>APLICAÇÃO MANUAL DE PINTURA COM TINTA TEXTURIZADA ACRÍLICA EM PANOS CE GOS DE FACHADA (SEM PRESENÇA DE VÃOS) DE EDIFÍCIOS DE MÚLTIPLOS PAVIME NTOS, DUAS CORES. AF_06/2014</t>
  </si>
  <si>
    <t>APLICAÇÃO MANUAL DE PINTURA COM TINTA TEXTURIZADA ACRÍLICA EM PANOS CE GOS DE FACHADA (SEM PRESENÇA DE VÃOS) DE EDIFÍCIOS DE MÚLTIPLOS PAVIME NTOS, UMA COR. AF_06/2014</t>
  </si>
  <si>
    <t>APLICAÇÃO MANUAL DE PINTURA COM TINTA TEXTURIZADA ACRÍLICA EM PANOS CO M PRESENÇA DE VÃOS DE EDIFÍCIOS DE MÚLTIPLOS PAVIMENTOS, DUAS CORES. A F_06/2014</t>
  </si>
  <si>
    <t>APLICAÇÃO MANUAL DE PINTURA COM TINTA TEXTURIZADA ACRÍLICA EM PANOS CO M PRESENÇA DE VÃOS DE EDIFÍCIOS DE MÚLTIPLOS PAVIMENTOS, UMA COR. AF_0 6/2014</t>
  </si>
  <si>
    <t>APLICAÇÃO MANUAL DE PINTURA COM TINTA TEXTURIZADA ACRÍLICA EM SUPERFÍC IES EXTERNAS DE SACADA DE EDIFÍCIOS DE MÚLTIPLOS PAVIMENTOS, DUAS CORE S. AF_06/2014</t>
  </si>
  <si>
    <t>APLICAÇÃO MANUAL DE PINTURA COM TINTA TEXTURIZADA ACRÍLICA EM SUPERFÍC IES EXTERNAS DE SACADA DE EDIFÍCIOS DE MÚLTIPLOS PAVIMENTOS, UMA COR. AF_06/2014</t>
  </si>
  <si>
    <t>APLICAÇÃO MANUAL DE PINTURA COM TINTA TEXTURIZADA ACRÍLICA EM SUPERFÍC IES INTERNAS DA SACADA DE EDIFÍCIOS DE MÚLTIPLOS PAVIMENTOS, DUAS CORE S. AF_06/2014</t>
  </si>
  <si>
    <t>APLICAÇÃO MANUAL DE PINTURA COM TINTA TEXTURIZADA ACRÍLICA EM SUPERFÍC IES INTERNAS DA SACADA DE EDIFÍCIOS DE MÚLTIPLOS PAVIMENTOS, UMA COR. AF_06/2014</t>
  </si>
  <si>
    <t>APLICAÇÃO MECÂNICA DE PINTURA COM TINTA LÁTEX ACRÍLICA EM PAREDES, DUA S DEMÃOS. AF_06/2014</t>
  </si>
  <si>
    <t>APLICAÇÃO MECÂNICA DE PINTURA COM TINTA LÁTEX ACRÍLICA EM TETO, DUAS D EMÃOS. AF_06/2014</t>
  </si>
  <si>
    <t>APLICAÇÃO MECÂNICA DE PINTURA COM TINTA LÁTEX PVA EM PAREDES, DUAS DEM ÃOS. AF_06/2014</t>
  </si>
  <si>
    <t>APLICAÇÃO MECÂNICA DE PINTURA COM TINTA LÁTEX PVA EM TETO, DUAS DEMÃOS . AF_06/2014</t>
  </si>
  <si>
    <t>APOIO DO PORTA DENTE FRESADORA</t>
  </si>
  <si>
    <t>APRUMADOR METALICO DE PILAR, COM ALTURA E ANGULO REGULAVEIS, EXTENSAO DE *1,50* A *2,80* M (LOCACAO)</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</si>
  <si>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</si>
  <si>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</si>
  <si>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</si>
  <si>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</si>
  <si>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</si>
  <si>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</si>
  <si>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</si>
  <si>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</si>
  <si>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</si>
  <si>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</si>
  <si>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</si>
  <si>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</si>
  <si>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ARADO REVERSIVEL COM 3 DISCOS DE 26" X 6MM REBOCAVEL</t>
  </si>
  <si>
    <t>ARAME DE ACO OVALADO 15 X 17 ( 45,7 KG, 700 KGF), ROLO 1000 M</t>
  </si>
  <si>
    <t>ARAME DE AMARRACAO PARA GABIAO GALVANIZADO, DIAMETRO 2,2 MM</t>
  </si>
  <si>
    <t>ARAME FARPADO 16 BWG (0,047 KG/M)</t>
  </si>
  <si>
    <t>ARAME FARPADO 16 BWG 4 X 4", 23,50 KG/ROLO 500 M</t>
  </si>
  <si>
    <t>ARAME GALVANIZADO  8 BWG, D = 4,19MM (0,101 KG/M)</t>
  </si>
  <si>
    <t>ARAME GALVANIZADO 10 BWG, 3,40 MM (0,0713 KG/M)</t>
  </si>
  <si>
    <t>ARAME GALVANIZADO 12 BWG, 2,76 MM (0,048 KG/M)</t>
  </si>
  <si>
    <t>ARAME GALVANIZADO 14 BWG, 2,10MM (0,0272 KG/M)</t>
  </si>
  <si>
    <t>ARAME GALVANIZADO 14 BWG, D = 2,11 MM (0,026 KG/M)</t>
  </si>
  <si>
    <t>ARAME GALVANIZADO 6 BWG, 5,16 MM (0,157 KG/M)</t>
  </si>
  <si>
    <t>ARAME PROTEGIDO COM PVC PARA GABIAO, DIAMETRO 2,2 MM</t>
  </si>
  <si>
    <t>ARAME RECOZIDO 16 BWG, 1,60 MM (0,016 KG/M)</t>
  </si>
  <si>
    <t>ARAME RECOZIDO 18 BWG, 1,25 MM (0,01 KG/M)</t>
  </si>
  <si>
    <t>AREIA ASFALTO A FRIO (AAUF), COM EMULSAO RR-2C INCLUSO USINAGEM E APLI CACAO, EXCLUSIVE TRANSPORTE</t>
  </si>
  <si>
    <t>AREIA ASFALTO A QUENTE (AAUQ) COM CAP 50/70, INCLUSO USINAGEM E APLICA CAO, EXCLUSIVE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</si>
  <si>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</si>
  <si>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</si>
  <si>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</si>
  <si>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</si>
  <si>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</si>
  <si>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</si>
  <si>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À BASE DE GESSO, MISTURA E PROJEÇÃO DE 1,5 M³/H DE ARGAMASSA . AF_06/2014</t>
  </si>
  <si>
    <t>ARGAMASSA COLANTE AC I PARA CERAMICAS</t>
  </si>
  <si>
    <t>ARGAMASSA COLANTE AC-II</t>
  </si>
  <si>
    <t>ARGAMASSA INDUSTRIALIZADA MULTIUSO PARA REVESTIMENTOS E ASSENTAMENTO D A ALVENARIA, PREPARO COM MISTURADOR DE EIXO HORIZONTAL DE 160 KG. AF_0 6/2014</t>
  </si>
  <si>
    <t>ARGAMASSA INDUSTRIALIZADA MULTIUSO PARA REVESTIMENTOS E ASSENTAMENTO D A ALVENARIA, PREPARO COM MISTURADOR DE EIXO HORIZONTAL DE 300 KG. AF_0 6/2014</t>
  </si>
  <si>
    <t>ARGAMASSA INDUSTRIALIZADA MULTIUSO PARA REVESTIMENTOS E ASSENTAMENTO D A ALVENARIA, PREPARO COM MISTURADOR DE EIXO HORIZONTAL DE 600 KG. AF_0 6/2014</t>
  </si>
  <si>
    <t>ARGAMASSA INDUSTRIALIZADA MULTIUSO PARA REVESTIMENTOS E ASSENTAMENTO D A ALVENARIA, PREPARO MANUAL. AF_06/2014</t>
  </si>
  <si>
    <t>ARGAMASSA INDUSTRIALIZADA PARA CHAPISCO COLANTE, PREPARO COM MISTURADO R DE EIXO HORIZONTAL DE 160 KG. AF_06/2014</t>
  </si>
  <si>
    <t>ARGAMASSA INDUSTRIALIZADA PARA CHAPISCO COLANTE, PREPARO COM MISTURADO R DE EIXO HORIZONTAL DE 300 KG. AF_06/2014</t>
  </si>
  <si>
    <t>ARGAMASSA INDUSTRIALIZADA PARA CHAPISCO COLANTE, PREPARO COM MISTURADO R DE EIXO HORIZONTAL DE 600 KG. AF_06/2014</t>
  </si>
  <si>
    <t>ARGAMASSA INDUSTRIALIZADA PARA CHAPISCO COLANTE, PREPARO MANUAL. AF_06 /2014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</si>
  <si>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</si>
  <si>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</si>
  <si>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</si>
  <si>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ROLADO, PREPARO MANUAL. AF_06/ 2014</t>
  </si>
  <si>
    <t>ARGAMASSA INDUSTRIALIZADA PARA REVESTIMENTOS, MISTURA E PROJEÇÃO DE 1, 5 M³/H DE ARGAMASSA. AF_06/2014</t>
  </si>
  <si>
    <t>ARGAMASSA INDUSTRIALIZADA PARA REVESTIMENTOS, MISTURA E PROJEÇÃO DE 2 M³/H DE ARGAMASSA. AF_06/2014</t>
  </si>
  <si>
    <t>ARGAMASSA PARA REVESTIMENTO DECORATIVO MONOCAMADA (MONOCAPA), MISTURA E PROJEÇÃO DE 1,5 M3/H DE ARGAMASSA. AF_06/2014</t>
  </si>
  <si>
    <t>ARGAMASSA PARA REVESTIMENTO DECORATIVO MONOCAMADA (MONOCAPA), MISTURA E PROJEÇÃO DE 2 M3/H DE ARGAMASSA.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</si>
  <si>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</si>
  <si>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</si>
  <si>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</si>
  <si>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POLIMERICA DE REPARO ESTRUTURAL, BICOMPONENTE</t>
  </si>
  <si>
    <t>ARGAMASSA POLIMERICA IMPERMEABILIZANTE SEMIFLEXIVEL, BICOMPONENTE (MEMBRANA IMPERMEABILIZANTE ACRILICA)</t>
  </si>
  <si>
    <t>ARGAMASSA PRONTA PARA CONTRAPISO, PREPARO COM MISTURADOR DE EIXO HORIZ ONTAL DE 160 KG. AF_06/2014</t>
  </si>
  <si>
    <t>ARGAMASSA PRONTA PARA CONTRAPISO, PREPARO COM MISTURADOR DE EIXO HORIZ ONTAL DE 300 KG. AF_06/2014</t>
  </si>
  <si>
    <t>ARGAMASSA PRONTA PARA CONTRAPISO, PREPARO COM MISTURADOR DE EIXO HORIZ ONTAL DE 600 KG. AF_06/2014</t>
  </si>
  <si>
    <t>ARGAMASSA TRAÇO 1:0,5:4,5 (CIMENTO, CAL E AREIA MÉDIA) PARA ASSENTAMEN TO DE ALVENARIA, PREPARO MANUAL. AF_08/2014</t>
  </si>
  <si>
    <t>ARGAMASSA TRAÇO 1:0,5:4,5 (CIMENTO, CAL E AREIA MÉDIA), PREPARO MECÂNI CO COM BETONEIRA 400 L. AF_08/2014</t>
  </si>
  <si>
    <t>ARGAMASSA TRAÇO 1:1,5:7,5 (CIMENTO, CAL E AREIA MÉDIA) PARA EMBOÇO/MAS SA ÚNICA/ASSENTAMENTO DE ALVENARIA DE VEDAÇÃO, PREPARO MANUAL. AF_06/2 014</t>
  </si>
  <si>
    <t>ARGAMASSA TRAÇO 1:1,5:7,5 (CIMENTO, CAL E AREIA MÉDIA) PARA EMBOÇO/MAS SA ÚNICA/ASSENTAMENTO DE ALVENARIA DE VEDAÇÃO, PREPARO MECÂNICO COM BE TONEIRA 400 L. AF_06/2014</t>
  </si>
  <si>
    <t>ARGAMASSA TRAÇO 1:1,5:7,5 (CIMENTO, CAL E AREIA MÉDIA) PARA EMBOÇO/MAS SA ÚNICA/ASSENTAMENTO DE ALVENARIA DE VEDAÇÃO, PREPARO MECÂNICO COM BE TONEIRA 600 L. AF_06/2014</t>
  </si>
  <si>
    <t>ARGAMASSA TRAÇO 1:1,5:7,5 (CIMENTO, CAL E AREIA MÉDIA) PARA EMBOÇO/MAS SA ÚNICA/ASSENTAMENTO DE ALVENARIA DE VEDAÇÃO, PREPARO MECÂNICO COM MI STURADOR DE EIXO HORIZONTAL DE 300 KG. AF_06/2014</t>
  </si>
  <si>
    <t>ARGAMASSA TRAÇO 1:1,5:7,5 (CIMENTO, CAL E AREIA MÉDIA) PARA EMBOÇO/MAS SA ÚNICA/ASSENTAMENTO DE ALVENARIA DE VEDAÇÃO, PREPARO MECÂNICO COM MI STURADOR DE EIXO HORIZONTAL DE 600 KG. AF_06/2014</t>
  </si>
  <si>
    <t>ARGAMASSA TRAÇO 1:1:6 (CIMENTO, CAL E AREIA MÉDIA) PARA EMBOÇO/MASSA Ú NICA/ASSENTAMENTO DE ALVENARIA DE VEDAÇÃO, PREPARO MANUAL. AF_06/2014</t>
  </si>
  <si>
    <t>ARGAMASSA TRAÇO 1:1:6 (CIMENTO, CAL E AREIA MÉDIA) PARA EMBOÇO/MASSA Ú NICA/ASSENTAMENTO DE ALVENARIA DE VEDAÇÃO, PREPARO MECÂNICO COM BETONE IRA 400 L. AF_06/2014</t>
  </si>
  <si>
    <t>ARGAMASSA TRAÇO 1:1:6 (CIMENTO, CAL E AREIA MÉDIA) PARA EMBOÇO/MASSA Ú NICA/ASSENTAMENTO DE ALVENARIA DE VEDAÇÃO, PREPARO MECÂNICO COM BETONE IRA 600 L. AF_06/2014</t>
  </si>
  <si>
    <t>ARGAMASSA TRAÇO 1:1:6 (CIMENTO, CAL E AREIA MÉDIA) PARA EMBOÇO/MASSA Ú NICA/ASSENTAMENTO DE ALVENARIA DE VEDAÇÃO, PREPARO MECÂNICO COM MISTUR ADOR DE EIXO HORIZONTAL DE 300 KG. AF_06/2014</t>
  </si>
  <si>
    <t>ARGAMASSA TRAÇO 1:1:6 (CIMENTO, CAL E AREIA MÉDIA) PARA EMBOÇO/MASSA Ú NICA/ASSENTAMENTO DE ALVENARIA DE VEDAÇÃO, PREPARO MECÂNICO COM MISTUR ADOR DE EIXO HORIZONTAL DE 600 KG. AF_06/2014</t>
  </si>
  <si>
    <t>ARGAMASSA TRAÇO 1:2:8 (CIMENTO, CAL E AREIA MÉDIA) PARA EMBOÇO/MASSA Ú NICA/ASSENTAMENTO DE ALVENARIA DE VEDAÇÃO, PREPARO MANUAL. AF_06/2014</t>
  </si>
  <si>
    <t>ARGAMASSA TRAÇO 1:2:8 (CIMENTO, CAL E AREIA MÉDIA) PARA EMBOÇO/MASSA Ú NICA/ASSENTAMENTO DE ALVENARIA DE VEDAÇÃO, PREPARO MECÂNICO COM BETONE IRA 400 L. AF_06/2014</t>
  </si>
  <si>
    <t>ARGAMASSA TRAÇO 1:2:8 (CIMENTO, CAL E AREIA MÉDIA) PARA EMBOÇO/MASSA Ú NICA/ASSENTAMENTO DE ALVENARIA DE VEDAÇÃO, PREPARO MECÂNICO COM MISTUR ADOR DE EIXO HORIZONTAL DE 300 KG. AF_06/2014</t>
  </si>
  <si>
    <t>ARGAMASSA TRAÇO 1:2:8 (CIMENTO, CAL E AREIA MÉDIA) PARA EMBOÇO/MASSA Ú NICA/ASSENTAMENTO DE ALVENARIA DE VEDAÇÃO, PREPARO MECÂNICO COM MISTUR ADOR DE EIXO HORIZONTAL DE 600 KG. AF_06/2014</t>
  </si>
  <si>
    <t>ARGAMASSA TRAÇO 1:2:9 (CIMENTO, CAL E AREIA MÉDIA) PARA EMBOÇO/MASSA Ú NICA/ASSENTAMENTO DE ALVENARIA DE VEDAÇÃO, PREPARO MANUAL. AF_06/2014</t>
  </si>
  <si>
    <t>ARGAMASSA TRAÇO 1:2:9 (CIMENTO, CAL E AREIA MÉDIA) PARA EMBOÇO/MASSA Ú NICA/ASSENTAMENTO DE ALVENARIA DE VEDAÇÃO, PREPARO MECÂNICO COM BETONE IRA 400 L. AF_09/2014</t>
  </si>
  <si>
    <t>ARGAMASSA TRAÇO 1:2:9 (CIMENTO, CAL E AREIA MÉDIA) PARA EMBOÇO/MASSA Ú NICA/ASSENTAMENTO DE ALVENARIA DE VEDAÇÃO, PREPARO MECÂNICO COM BETONE IRA 600 L. AF_06/2014</t>
  </si>
  <si>
    <t>ARGAMASSA TRAÇO 1:2:9 (CIMENTO, CAL E AREIA MÉDIA) PARA EMBOÇO/MASSA Ú NICA/ASSENTAMENTO DE ALVENARIA DE VEDAÇÃO, PREPARO MECÂNICO COM MISTUR ADOR DE EIXO HORIZONTAL DE 300 KG. AF_06/2014</t>
  </si>
  <si>
    <t>ARGAMASSA TRAÇO 1:3 (CIMENTO E AREIA GROSSA) COM ADIÇÃO DE EMULSÃO POL IMÉRICA PARA CHAPISCO ROLADO, PREPARO MANUAL. AF_06/2014</t>
  </si>
  <si>
    <t>ARGAMASSA TRAÇO 1:3 (CIMENTO E AREIA GROSSA) COM ADIÇÃO DE EMULSÃO POL IMÉRICA PARA CHAPISCO ROLADO, PREPARO MECÂNICO COM BETONEIRA 400 L. AF _06/2014</t>
  </si>
  <si>
    <t>ARGAMASSA TRAÇO 1:3 (CIMENTO E AREIA GROSSA) COM ADIÇÃO DE EMULSÃO POL IMÉRICA PARA CHAPISCO ROLADO, PREPARO MECÂNICO COM BETONEIRA 600 L. AF _06/2014</t>
  </si>
  <si>
    <t>ARGAMASSA TRAÇO 1:3 (CIMENTO E AREIA GROSSA) COM ADIÇÃO DE EMULSÃO POL IMÉRICA PARA CHAPISCO ROLADO, PREPARO MECÂNICO COM MISTURADOR DE EIXO HORIZONTAL DE 160 KG. AF_06/2014</t>
  </si>
  <si>
    <t>ARGAMASSA TRAÇO 1:3 (CIMENTO E AREIA GROSSA) COM ADIÇÃO DE EMULSÃO POL IMÉRICA PARA CHAPISCO ROLADO, PREPARO MECÂNICO COM MISTURADOR DE EIXO HORIZONTAL DE 300 KG. AF_06/2014</t>
  </si>
  <si>
    <t>ARGAMASSA TRAÇO 1:3 (CIMENTO E AREIA GROSSA) COM ADIÇÃO DE EMULSÃO POL IMÉRICA PARA CHAPISCO ROLADO, PREPARO MECÂNICO COM MISTURADOR DE EIXO HORIZONTAL DE 600 KG. AF_06/2014</t>
  </si>
  <si>
    <t>ARGAMASSA TRAÇO 1:3 (CIMENTO E AREIA GROSSA) PARA CHAPISCO CONVENCIONA L, PREPARO MANUAL. AF_06/2014</t>
  </si>
  <si>
    <t>ARGAMASSA TRAÇO 1:3 (CIMENTO E AREIA GROSSA) PARA CHAPISCO CONVENCIONA L, PREPARO MECÂNICO COM BETONEIRA 400 L. AF_06/2014</t>
  </si>
  <si>
    <t>ARGAMASSA TRAÇO 1:3 (CIMENTO E AREIA GROSSA) PARA CHAPISCO CONVENCIONA L, PREPARO MECÂNICO COM BETONEIRA 600 L. AF_06/2014</t>
  </si>
  <si>
    <t>ARGAMASSA TRAÇO 1:3 (CIMENTO E AREIA GROSSA) PARA CHAPISCO CONVENCIONA L, PREPARO MECÂNICO COM MISTURADOR DE EIXO HORIZONTAL DE 160 KG. AF_06 /2014</t>
  </si>
  <si>
    <t>ARGAMASSA TRAÇO 1:3 (CIMENTO E AREIA GROSSA) PARA CHAPISCO CONVENCIONA L, PREPARO MECÂNICO COM MISTURADOR DE EIXO HORIZONTAL DE 300 KG. AF_06 /2014</t>
  </si>
  <si>
    <t>ARGAMASSA TRAÇO 1:3 (CIMENTO E AREIA GROSSA) PARA CHAPISCO CONVENCIONA L, PREPARO MECÂNICO COM MISTURADOR DE EIXO HORIZONTAL DE 600 KG. AF_06 /2014</t>
  </si>
  <si>
    <t>ARGAMASSA TRAÇO 1:3 (CIMENTO E AREIA MÉDIA) PARA CONTRAPISO, PREPARO M ANUAL. AF_06/2014</t>
  </si>
  <si>
    <t>ARGAMASSA TRAÇO 1:3 (CIMENTO E AREIA MÉDIA) PARA CONTRAPISO, PREPARO M ECÂNICO COM BETONEIRA 400 L. AF_06/2014</t>
  </si>
  <si>
    <t>ARGAMASSA TRAÇO 1:3 (CIMENTO E AREIA MÉDIA) PARA CONTRAPISO, PREPARO M ECÂNICO COM BETONEIRA 600 L. AF_06/2014</t>
  </si>
  <si>
    <t>ARGAMASSA TRAÇO 1:3 (CIMENTO E AREIA MÉDIA) PARA CONTRAPISO, PREPARO M ECÂNICO COM MISTURADOR DE EIXO HORIZONTAL DE 160 KG. AF_06/2014</t>
  </si>
  <si>
    <t>ARGAMASSA TRAÇO 1:3 (CIMENTO E AREIA MÉDIA) PARA CONTRAPISO, PREPARO M ECÂNICO COM MISTURADOR DE EIXO HORIZONTAL DE 300 KG. AF_06/2014</t>
  </si>
  <si>
    <t>ARGAMASSA TRAÇO 1:3 (CIMENTO E AREIA MÉDIA) PARA CONTRAPISO, PREPARO M ECÂNICO COM MISTURADOR DE EIXO HORIZONTAL DE 600 KG. AF_06/2014</t>
  </si>
  <si>
    <t>ARGAMASSA TRAÇO 1:3 (CIMENTO E AREIA MÉDIA), PREPARO MANUAL. AF_08/201 4</t>
  </si>
  <si>
    <t>ARGAMASSA TRAÇO 1:3 (CIMENTO E AREIA MÉDIA), PREPARO MECÂNICO COM BETO NEIRA 400 L. AF_08/2014</t>
  </si>
  <si>
    <t>ARGAMASSA TRACO 1:3 (CIMENTO E AREIA), PREPARO MANUAL, INCLUSO ADITIVO IMPERMEABILIZANTE</t>
  </si>
  <si>
    <t>ARGAMASSA TRAÇO 1:3:12 (CIMENTO, CAL E AREIA MÉDIA) PARA EMBOÇO/MASSA ÚNICA/ASSENTAMENTO DE ALVENARIA DE VEDAÇÃO, PREPARO MECÂNICO COM BETON EIRA 400 L. AF_06/2014</t>
  </si>
  <si>
    <t>ARGAMASSA TRAÇO 1:3:12 (CIMENTO, CAL E AREIA MÉDIA) PARA EMBOÇO/MASSA ÚNICA/ASSENTAMENTO DE ALVENARIA DE VEDAÇÃO, PREPARO MECÂNICO COM BETON EIRA 600 L. AF_06/2014</t>
  </si>
  <si>
    <t>ARGAMASSA TRAÇO 1:3:12 (CIMENTO, CAL E AREIA MÉDIA) PARA EMBOÇO/MASSA ÚNICA/ASSENTAMENTO DE ALVENARIA DE VEDAÇÃO, PREPARO MECÂNICO COM MISTU RADOR DE EIXO HORIZONTAL DE 600 KG. AF_06/2014</t>
  </si>
  <si>
    <t>ARGAMASSA TRAÇO 1:4 (CIMENTO E AREIA GROSSA) COM ADIÇÃO DE EMULSÃO POL IMÉRICA PARA CHAPISCO ROLADO, PREPARO MANUAL. AF_06/2014</t>
  </si>
  <si>
    <t>ARGAMASSA TRAÇO 1:4 (CIMENTO E AREIA GROSSA) COM ADIÇÃO DE EMULSÃO POL IMÉRICA PARA CHAPISCO ROLADO, PREPARO MECÂNICO COM BETONEIRA 400 L. AF _06/2014</t>
  </si>
  <si>
    <t>ARGAMASSA TRAÇO 1:4 (CIMENTO E AREIA GROSSA) COM ADIÇÃO DE EMULSÃO POL IMÉRICA PARA CHAPISCO ROLADO, PREPARO MECÂNICO COM BETONEIRA 600 L. AF _06/2014</t>
  </si>
  <si>
    <t>ARGAMASSA TRAÇO 1:4 (CIMENTO E AREIA GROSSA) COM ADIÇÃO DE EMULSÃO POL IMÉRICA PARA CHAPISCO ROLADO, PREPARO MECÂNICO COM MISTURADOR DE EIXO HORIZONTAL DE 300 KG. AF_06/2014</t>
  </si>
  <si>
    <t>ARGAMASSA TRAÇO 1:4 (CIMENTO E AREIA GROSSA) COM ADIÇÃO DE EMULSÃO POL IMÉRICA PARA CHAPISCO ROLADO, PREPARO MECÂNICO COM MISTURADOR DE EIXO HORIZONTAL DE 600 KG. AF_06/2014</t>
  </si>
  <si>
    <t>ARGAMASSA TRAÇO 1:4 (CIMENTO E AREIA GROSSA) PARA CHAPISCO CONVENCIONA L, PREPARO MANUAL. AF_06/2014</t>
  </si>
  <si>
    <t>ARGAMASSA TRAÇO 1:4 (CIMENTO E AREIA GROSSA) PARA CHAPISCO CONVENCIONA L, PREPARO MECÂNICO COM BETONEIRA 400 L. AF_06/2014</t>
  </si>
  <si>
    <t>ARGAMASSA TRAÇO 1:4 (CIMENTO E AREIA GROSSA) PARA CHAPISCO CONVENCIONA L, PREPARO MECÂNICO COM BETONEIRA 600 L. AF_06/2014</t>
  </si>
  <si>
    <t>ARGAMASSA TRAÇO 1:4 (CIMENTO E AREIA GROSSA) PARA CHAPISCO CONVENCIONA L, PREPARO MECÂNICO COM MISTURADOR DE EIXO HORIZONTAL DE 160 KG. AF_06 /2014</t>
  </si>
  <si>
    <t>ARGAMASSA TRAÇO 1:4 (CIMENTO E AREIA GROSSA) PARA CHAPISCO CONVENCIONA L, PREPARO MECÂNICO COM MISTURADOR DE EIXO HORIZONTAL DE 300 KG. AF_06 /2014</t>
  </si>
  <si>
    <t>ARGAMASSA TRAÇO 1:4 (CIMENTO E AREIA GROSSA) PARA CHAPISCO CONVENCIONA L, PREPARO MECÂNICO COM MISTURADOR DE EIXO HORIZONTAL DE 600 KG. AF_06 /2014</t>
  </si>
  <si>
    <t>ARGAMASSA TRAÇO 1:4 (CIMENTO E AREIA MÉDIA) PARA CONTRAPISO, PREPARO M ANUAL. AF_06/2014</t>
  </si>
  <si>
    <t>ARGAMASSA TRAÇO 1:4 (CIMENTO E AREIA MÉDIA) PARA CONTRAPISO, PREPARO M ECÂNICO COM BETONEIRA 400 L. AF_06/2014</t>
  </si>
  <si>
    <t>ARGAMASSA TRAÇO 1:4 (CIMENTO E AREIA MÉDIA) PARA CONTRAPISO, PREPARO M ECÂNICO COM BETONEIRA 600 L. AF_06/2014</t>
  </si>
  <si>
    <t>ARGAMASSA TRAÇO 1:4 (CIMENTO E AREIA MÉDIA) PARA CONTRAPISO, PREPARO M ECÂNICO COM MISTURADOR DE EIXO HORIZONTAL DE 160 KG. AF_06/2014</t>
  </si>
  <si>
    <t>ARGAMASSA TRAÇO 1:4 (CIMENTO E AREIA MÉDIA) PARA CONTRAPISO, PREPARO M ECÂNICO COM MISTURADOR DE EIXO HORIZONTAL DE 300 KG. AF_06/2014</t>
  </si>
  <si>
    <t>ARGAMASSA TRAÇO 1:4 (CIMENTO E AREIA MÉDIA) PARA CONTRAPISO, PREPARO M ECÂNICO COM MISTURADOR DE EIXO HORIZONTAL DE 600 KG. AF_06/2014</t>
  </si>
  <si>
    <t>ARGAMASSA TRAÇO 1:4 (CIMENTO E AREIA MÉDIA), PREPARO MANUAL. AF_08/201 4</t>
  </si>
  <si>
    <t>ARGAMASSA TRAÇO 1:4 (CIMENTO E AREIA MÉDIA), PREPARO MECÂNICO COM BETO NEIRA 400 L. AF_08/2014</t>
  </si>
  <si>
    <t>ARGAMASSA TRACO 1:4 (CIMENTO E AREIA), PREPARO MANUAL, INCLUSO ADITIVO IMPERMEABILIZANTE</t>
  </si>
  <si>
    <t>ARGAMASSA TRAÇO 1:5 (CIMENTO E AREIA GROSSA) COM ADIÇÃO DE EMULSÃO POL IMÉRICA PARA CHAPISCO ROLADO, PREPARO MANUAL. AF_06/2014</t>
  </si>
  <si>
    <t>ARGAMASSA TRAÇO 1:5 (CIMENTO E AREIA GROSSA) COM ADIÇÃO DE EMULSÃO POL IMÉRICA PARA CHAPISCO ROLADO, PREPARO MECÂNICO COM BETONEIRA 400 L. AF _06/2014</t>
  </si>
  <si>
    <t>ARGAMASSA TRAÇO 1:5 (CIMENTO E AREIA GROSSA) COM ADIÇÃO DE EMULSÃO POL IMÉRICA PARA CHAPISCO ROLADO, PREPARO MECÂNICO COM BETONEIRA 600 L. AF _06/2014</t>
  </si>
  <si>
    <t>ARGAMASSA TRAÇO 1:5 (CIMENTO E AREIA GROSSA) COM ADIÇÃO DE EMULSÃO POL IMÉRICA PARA CHAPISCO ROLADO, PREPARO MECÂNICO COM MISTURADOR DE EIXO HORIZONTAL DE 300 KG. AF_06/2014</t>
  </si>
  <si>
    <t>ARGAMASSA TRAÇO 1:5 (CIMENTO E AREIA GROSSA) COM ADIÇÃO DE EMULSÃO POL IMÉRICA PARA CHAPISCO ROLADO, PREPARO MECÂNICO COM MISTURADOR DE EIXO HORIZONTAL DE 600 KG. AF_06/2014</t>
  </si>
  <si>
    <t>ARGAMASSA TRAÇO 1:5 (CIMENTO E AREIA GROSSA) PARA CHAPISCO CONVENCIONA L, PREPARO MANUAL. AF_06/2014</t>
  </si>
  <si>
    <t>ARGAMASSA TRAÇO 1:5 (CIMENTO E AREIA GROSSA) PARA CHAPISCO CONVENCIONA L, PREPARO MECÂNICO COM BETONEIRA 400 L. AF_06/2014</t>
  </si>
  <si>
    <t>ARGAMASSA TRAÇO 1:5 (CIMENTO E AREIA GROSSA) PARA CHAPISCO CONVENCIONA L, PREPARO MECÂNICO COM BETONEIRA 600 L. AF_06/2014</t>
  </si>
  <si>
    <t>ARGAMASSA TRAÇO 1:5 (CIMENTO E AREIA GROSSA) PARA CHAPISCO CONVENCIONA L, PREPARO MECÂNICO COM MISTURADOR DE EIXO HORIZONTAL DE 300 KG. AF_06 /2014</t>
  </si>
  <si>
    <t>ARGAMASSA TRAÇO 1:5 (CIMENTO E AREIA GROSSA) PARA CHAPISCO CONVENCIONA L, PREPARO MECÂNICO COM MISTURADOR DE EIXO HORIZONTAL DE 600 KG. AF_06 /2014</t>
  </si>
  <si>
    <t>ARGAMASSA TRAÇO 1:5 (CIMENTO E AREIA MÉDIA) PARA CONTRAPISO, PREPARO M ANUAL. AF_06/2014</t>
  </si>
  <si>
    <t>ARGAMASSA TRAÇO 1:5 (CIMENTO E AREIA MÉDIA) PARA CONTRAPISO, PREPARO M ECÂNICO COM BETONEIRA 400 L. AF_06/2014</t>
  </si>
  <si>
    <t>ARGAMASSA TRAÇO 1:5 (CIMENTO E AREIA MÉDIA) PARA CONTRAPISO, PREPARO M ECÂNICO COM BETONEIRA 600 L. AF_06/2014</t>
  </si>
  <si>
    <t>ARGAMASSA TRAÇO 1:5 (CIMENTO E AREIA MÉDIA) PARA CONTRAPISO, PREPARO M ECÂNICO COM MISTURADOR DE EIXO HORIZONTAL DE 160 KG. AF_06/2014</t>
  </si>
  <si>
    <t>ARGAMASSA TRAÇO 1:5 (CIMENTO E AREIA MÉDIA) PARA CONTRAPISO, PREPARO M ECÂNICO COM MISTURADOR DE EIXO HORIZONTAL DE 300 KG. AF_06/2014</t>
  </si>
  <si>
    <t>ARGAMASSA TRAÇO 1:5 (CIMENTO E AREIA MÉDIA) PARA CONTRAPISO, PREPARO M ECÂNICO COM MISTURADOR DE EIXO HORIZONTAL DE 600 KG. AF_06/2014</t>
  </si>
  <si>
    <t>ARGAMASSA TRAÇO 1:6 (CIMENTO E AREIA MÉDIA) COM ADIÇÃO DE PLASTIFICANT E PARA EMBOÇO/MASSA ÚNICA/ASSENTAMENTO DE ALVENARIA DE VEDAÇÃO, PREPAR O MANUAL. AF_06/2014</t>
  </si>
  <si>
    <t>ARGAMASSA TRAÇO 1:6 (CIMENTO E AREIA MÉDIA) COM ADIÇÃO DE PLASTIFICANT E PARA EMBOÇO/MASSA ÚNICA/ASSENTAMENTO DE ALVENARIA DE VEDAÇÃO, PREPAR O MECÂNICO COM BETONEIRA 400 L. AF_06/2014</t>
  </si>
  <si>
    <t>ARGAMASSA TRAÇO 1:6 (CIMENTO E AREIA MÉDIA) COM ADIÇÃO DE PLASTIFICANT E PARA EMBOÇO/MASSA ÚNICA/ASSENTAMENTO DE ALVENARIA DE VEDAÇÃO, PREPAR O MECÂNICO COM BETONEIRA 600 L. AF_06/2014</t>
  </si>
  <si>
    <t>ARGAMASSA TRAÇO 1:6 (CIMENTO E AREIA MÉDIA) COM ADIÇÃO DE PLASTIFICANT E PARA EMBOÇO/MASSA ÚNICA/ASSENTAMENTO DE ALVENARIA DE VEDAÇÃO, PREPAR O MECÂNICO COM MISTURADOR DE EIXO HORIZONTAL DE 300 KG. AF_06/2014</t>
  </si>
  <si>
    <t>ARGAMASSA TRAÇO 1:6 (CIMENTO E AREIA MÉDIA) COM ADIÇÃO DE PLASTIFICANT E PARA EMBOÇO/MASSA ÚNICA/ASSENTAMENTO DE ALVENARIA DE VEDAÇÃO, PREPAR O MECÂNICO COM MISTURADOR DE EIXO HORIZONTAL DE 600 KG. AF_06/2014</t>
  </si>
  <si>
    <t>ARGAMASSA TRAÇO 1:6 (CIMENTO E AREIA MÉDIA) PARA CONTRAPISO, PREPARO M ANUAL. AF_06/2014</t>
  </si>
  <si>
    <t>ARGAMASSA TRAÇO 1:6 (CIMENTO E AREIA MÉDIA) PARA CONTRAPISO, PREPARO M ECÂNICO COM BETONEIRA 400 L. AF_06/2014</t>
  </si>
  <si>
    <t>ARGAMASSA TRAÇO 1:6 (CIMENTO E AREIA MÉDIA) PARA CONTRAPISO, PREPARO M ECÂNICO COM BETONEIRA 600 L. AF_06/2014</t>
  </si>
  <si>
    <t>ARGAMASSA TRAÇO 1:6 (CIMENTO E AREIA MÉDIA) PARA CONTRAPISO, PREPARO M ECÂNICO COM MISTURADOR DE EIXO HORIZONTAL DE 160 KG. AF_06/2014</t>
  </si>
  <si>
    <t>ARGAMASSA TRAÇO 1:6 (CIMENTO E AREIA MÉDIA) PARA CONTRAPISO, PREPARO M ECÂNICO COM MISTURADOR DE EIXO HORIZONTAL DE 600 KG. AF_06/2014</t>
  </si>
  <si>
    <t>ARGAMASSA TRAÇO 1:7 (CIMENTO E AREIA MÉDIA) COM ADIÇÃO DE PLASTIFICANT E PARA EMBOÇO/MASSA ÚNICA/ASSENTAMENTO DE ALVENARIA DE VEDAÇÃO, PREPAR O MANUAL. AF_06/2014</t>
  </si>
  <si>
    <t>ARGAMASSA TRAÇO 1:7 (CIMENTO E AREIA MÉDIA) COM ADIÇÃO DE PLASTIFICANT E PARA EMBOÇO/MASSA ÚNICA/ASSENTAMENTO DE ALVENARIA DE VEDAÇÃO, PREPAR O MECÂNICO COM BETONEIRA 400 L. AF_06/2014</t>
  </si>
  <si>
    <t>ARGAMASSA TRAÇO 1:7 (CIMENTO E AREIA MÉDIA) COM ADIÇÃO DE PLASTIFICANT E PARA EMBOÇO/MASSA ÚNICA/ASSENTAMENTO DE ALVENARIA DE VEDAÇÃO, PREPAR O MECÂNICO COM BETONEIRA 600 L. AF_06/2014</t>
  </si>
  <si>
    <t>ARGAMASSA TRAÇO 1:7 (CIMENTO E AREIA MÉDIA) COM ADIÇÃO DE PLASTIFICANT E PARA EMBOÇO/MASSA ÚNICA/ASSENTAMENTO DE ALVENARIA DE VEDAÇÃO, PREPAR O MECÂNICO COM MISTURADOR DE EIXO HORIZONTAL DE 300 KG. AF_06/2014</t>
  </si>
  <si>
    <t>ARGAMASSA TRAÇO 1:7 (CIMENTO E AREIA MÉDIA) COM ADIÇÃO DE PLASTIFICANT E PARA EMBOÇO/MASSA ÚNICA/ASSENTAMENTO DE ALVENARIA DE VEDAÇÃO, PREPAR O MECÂNICO COM MISTURADOR DE EIXO HORIZONTAL DE 600 KG. AF_06/2014</t>
  </si>
  <si>
    <t>ARGAMASSA USINADA AUTOADENSAVEL E AUTONIVELANTE PARA CONTRAPISO, INCLUI BOMBEAMENTO</t>
  </si>
  <si>
    <t>ARGILA OU BARRO PARA ATERRO/REATERRO (COM TRANSPORTE ATE 10 KM)</t>
  </si>
  <si>
    <t>ARGILA OU BARRO PARA ATERRO/REATERRO (RETIRADO NA JAZIDA, SEM TRANSPORTE)</t>
  </si>
  <si>
    <t>ARMACAO ACO CA-50 P/1,0M3 DE CONCRETO</t>
  </si>
  <si>
    <t>ARMAÇÃO DE CINTA DE ALVENARIA ESTRUTURAL; DIÂMETRO DE 10,0 MM. AF_01/2 015</t>
  </si>
  <si>
    <t>ARMAÇÃO DE LAJE DE UMA ESTRUTURA CONVENCIONAL DE CONCRETO ARMADO EM UM A EDIFÍCAÇÃO TÉRREA OU SOBRADO UTILIZANDO AÇO CA-50 DE 10.0 MM - MONTA GEM. AF_12/2015_P</t>
  </si>
  <si>
    <t>ARMAÇÃO DE LAJE DE UMA ESTRUTURA CONVENCIONAL DE CONCRETO ARMADO EM UM A EDIFÍCAÇÃO TÉRREA OU SOBRADO UTILIZANDO AÇO CA-50 DE 12.5 MM - MONTA GEM. AF_12/2015_P</t>
  </si>
  <si>
    <t>ARMAÇÃO DE LAJE DE UMA ESTRUTURA CONVENCIONAL DE CONCRETO ARMADO EM UM A EDIFÍCAÇÃO TÉRREA OU SOBRADO UTILIZANDO AÇO CA-50 DE 16.0 MM - MONTA GEM. AF_12/2015_P</t>
  </si>
  <si>
    <t>ARMAÇÃO DE LAJE DE UMA ESTRUTURA CONVENCIONAL DE CONCRETO ARMADO EM UM A EDIFÍCAÇÃO TÉRREA OU SOBRADO UTILIZANDO AÇO CA-50 DE 20.0 MM - MONTA GEM. AF_12/2015_P</t>
  </si>
  <si>
    <t>ARMAÇÃO DE LAJE DE UMA ESTRUTURA CONVENCIONAL DE CONCRETO ARMADO EM UM A EDIFÍCAÇÃO TÉRREA OU SOBRADO UTILIZANDO AÇO CA-50 DE 6.3 MM - MONTAG EM. AF_12/2015_P</t>
  </si>
  <si>
    <t>ARMAÇÃO DE LAJE DE UMA ESTRUTURA CONVENCIONAL DE CONCRETO ARMADO EM UM A EDIFÍCAÇÃO TÉRREA OU SOBRADO UTILIZANDO AÇO CA-50 DE 8.0 MM - MONTAG EM. AF_12/2015_P</t>
  </si>
  <si>
    <t>ARMAÇÃO DE LAJE DE UMA ESTRUTURA CONVENCIONAL DE CONCRETO ARMADO EM UM A EDIFÍCAÇÃO TÉRREA OU SOBRADO UTILIZANDO AÇO CA-60 DE 4.2 MM - MONTAG EM. AF_12/2015_P</t>
  </si>
  <si>
    <t>ARMAÇÃO DE LAJE DE UMA ESTRUTURA CONVENCIONAL DE CONCRETO ARMADO EM UM A EDIFÍCAÇÃO TÉRREA OU SOBRADO UTILIZANDO AÇO CA-60 DE 5.0 MM - MONTAG EM. AF_12/2015_P</t>
  </si>
  <si>
    <t>ARMAÇÃO DE LAJE DE UMA ESTRUTURA CONVENCIONAL DE CONCRETO ARMADO EM UM EDIFÍCIO DE MÚLTIPLOS PAVIMENTOS UTILIZANDO AÇO CA-50 DE 10.0 MM - MO NTAGEM. AF_12/2015_P</t>
  </si>
  <si>
    <t>ARMAÇÃO DE LAJE DE UMA ESTRUTURA CONVENCIONAL DE CONCRETO ARMADO EM UM EDIFÍCIO DE MÚLTIPLOS PAVIMENTOS UTILIZANDO AÇO CA-50 DE 12.5 MM - MO NTAGEM. AF_12/2015_P</t>
  </si>
  <si>
    <t>ARMAÇÃO DE LAJE DE UMA ESTRUTURA CONVENCIONAL DE CONCRETO ARMADO EM UM EDIFÍCIO DE MÚLTIPLOS PAVIMENTOS UTILIZANDO AÇO CA-50 DE 16.0 MM - MO NTAGEM. AF_12/2015_P</t>
  </si>
  <si>
    <t>ARMAÇÃO DE LAJE DE UMA ESTRUTURA CONVENCIONAL DE CONCRETO ARMADO EM UM EDIFÍCIO DE MÚLTIPLOS PAVIMENTOS UTILIZANDO AÇO CA-50 DE 20.0 MM - MO NTAGEM. AF_12/2015_P</t>
  </si>
  <si>
    <t>ARMAÇÃO DE LAJE DE UMA ESTRUTURA CONVENCIONAL DE CONCRETO ARMADO EM UM EDIFÍCIO DE MÚLTIPLOS PAVIMENTOS UTILIZANDO AÇO CA-50 DE 6.3 MM - MON TAGEM. AF_12/2015_P</t>
  </si>
  <si>
    <t>ARMAÇÃO DE LAJE DE UMA ESTRUTURA CONVENCIONAL DE CONCRETO ARMADO EM UM EDIFÍCIO DE MÚLTIPLOS PAVIMENTOS UTILIZANDO AÇO CA-50 DE 8.0 MM - MON TAGEM. AF_12/2015_P</t>
  </si>
  <si>
    <t>ARMAÇÃO DE LAJE DE UMA ESTRUTURA CONVENCIONAL DE CONCRETO ARMADO EM UM EDIFÍCIO DE MÚLTIPLOS PAVIMENTOS UTILIZANDO AÇO CA-60 DE 4.2 MM - MON TAGEM. AF_12/2015_P</t>
  </si>
  <si>
    <t>ARMAÇÃO DE LAJE DE UMA ESTRUTURA CONVENCIONAL DE CONCRETO ARMADO EM UM EDIFÍCIO DE MÚLTIPLOS PAVIMENTOS UTILIZANDO AÇO CA-60 DE 5.0 MM - MON TAGEM. AF_12/2015_P</t>
  </si>
  <si>
    <t>ARMAÇÃO DE PILAR OU VIGA DE UMA ESTRUTURA CONVENCIONAL DE CONCRETO ARM ADO EM UM EDIFÍCIO DE MÚLTIPLOS PAVIMENTOS UTILIZANDO AÇO CA-50 DE 10. 0 MM - MONTAGEM. AF_12/2015</t>
  </si>
  <si>
    <t>ARMAÇÃO DE PILAR OU VIGA DE UMA ESTRUTURA CONVENCIONAL DE CONCRETO ARM ADO EM UM EDIFÍCIO DE MÚLTIPLOS PAVIMENTOS UTILIZANDO AÇO CA-50 DE 12. 5 MM - MONTAGEM. AF_12/2015</t>
  </si>
  <si>
    <t>ARMAÇÃO DE PILAR OU VIGA DE UMA ESTRUTURA CONVENCIONAL DE CONCRETO ARM ADO EM UM EDIFÍCIO DE MÚLTIPLOS PAVIMENTOS UTILIZANDO AÇO CA-50 DE 16. 0 MM - MONTAGEM. AF_12/2015</t>
  </si>
  <si>
    <t>ARMAÇÃO DE PILAR OU VIGA DE UMA ESTRUTURA CONVENCIONAL DE CONCRETO ARM ADO EM UM EDIFÍCIO DE MÚLTIPLOS PAVIMENTOS UTILIZANDO AÇO CA-50 DE 20. 0 MM - MONTAGEM. AF_12/2015</t>
  </si>
  <si>
    <t>ARMAÇÃO DE PILAR OU VIGA DE UMA ESTRUTURA CONVENCIONAL DE CONCRETO ARM ADO EM UM EDIFÍCIO DE MÚLTIPLOS PAVIMENTOS UTILIZANDO AÇO CA-50 DE 25. 0 MM - MONTAGEM. AF_12/2015</t>
  </si>
  <si>
    <t>ARMAÇÃO DE PILAR OU VIGA DE UMA ESTRUTURA CONVENCIONAL DE CONCRETO ARM ADO EM UM EDIFÍCIO DE MÚLTIPLOS PAVIMENTOS UTILIZANDO AÇO CA-50 DE 6.3 MM - MONTAGEM. AF_12/2015</t>
  </si>
  <si>
    <t>ARMAÇÃO DE PILAR OU VIGA DE UMA ESTRUTURA CONVENCIONAL DE CONCRETO ARM ADO EM UM EDIFÍCIO DE MÚLTIPLOS PAVIMENTOS UTILIZANDO AÇO CA-50 DE 8.0 MM - MONTAGEM. AF_12/2015</t>
  </si>
  <si>
    <t>ARMAÇÃO DE PILAR OU VIGA DE UMA ESTRUTURA CONVENCIONAL DE CONCRETO ARM ADO EM UM EDIFÍCIO DE MÚLTIPLOS PAVIMENTOS UTILIZANDO AÇO CA-60 DE 5.0 MM - MONTAGEM. AF_12/2015</t>
  </si>
  <si>
    <t>ARMAÇÃO DE PILAR OU VIGA DE UMA ESTRUTURA CONVENCIONAL DE CONCRETO ARM ADO EM UMA EDIFÍCAÇÃO TÉRREA OU SOBRADO UTILIZANDO AÇO CA-50 DE 10.0 M M - MONTAGEM. AF_12/2015</t>
  </si>
  <si>
    <t>ARMAÇÃO DE PILAR OU VIGA DE UMA ESTRUTURA CONVENCIONAL DE CONCRETO ARM ADO EM UMA EDIFÍCAÇÃO TÉRREA OU SOBRADO UTILIZANDO AÇO CA-50 DE 12.5 M M - MONTAGEM. AF_12/2015</t>
  </si>
  <si>
    <t>ARMAÇÃO DE PILAR OU VIGA DE UMA ESTRUTURA CONVENCIONAL DE CONCRETO ARM ADO EM UMA EDIFÍCAÇÃO TÉRREA OU SOBRADO UTILIZANDO AÇO CA-50 DE 16.0 M M - MONTAGEM. AF_12/2015</t>
  </si>
  <si>
    <t>ARMAÇÃO DE PILAR OU VIGA DE UMA ESTRUTURA CONVENCIONAL DE CONCRETO ARM ADO EM UMA EDIFÍCAÇÃO TÉRREA OU SOBRADO UTILIZANDO AÇO CA-50 DE 20.0 M M - MONTAGEM. AF_12/2015</t>
  </si>
  <si>
    <t>ARMAÇÃO DE PILAR OU VIGA DE UMA ESTRUTURA CONVENCIONAL DE CONCRETO ARM ADO EM UMA EDIFÍCAÇÃO TÉRREA OU SOBRADO UTILIZANDO AÇO CA-50 DE 25.0 M M - MONTAGEM. AF_12/2015</t>
  </si>
  <si>
    <t>ARMAÇÃO DE PILAR OU VIGA DE UMA ESTRUTURA CONVENCIONAL DE CONCRETO ARM ADO EM UMA EDIFÍCAÇÃO TÉRREA OU SOBRADO UTILIZANDO AÇO CA-50 DE 6.3 MM - MONTAGEM. AF_12/2015</t>
  </si>
  <si>
    <t>ARMAÇÃO DE PILAR OU VIGA DE UMA ESTRUTURA CONVENCIONAL DE CONCRETO ARM ADO EM UMA EDIFÍCAÇÃO TÉRREA OU SOBRADO UTILIZANDO AÇO CA-50 DE 8.0 MM - MONTAGEM. AF_12/2015</t>
  </si>
  <si>
    <t>ARMAÇÃO DE PILAR OU VIGA DE UMA ESTRUTURA CONVENCIONAL DE CONCRETO ARM ADO EM UMA EDIFÍCAÇÃO TÉRREA OU SOBRADO UTILIZANDO AÇO CA-60 DE 5.0 MM - MONTAGEM. AF_12/2015</t>
  </si>
  <si>
    <t>ARMAÇÃO DE VERGA E CONTRAVERGA DE ALVENARIA ESTRUTURAL; DIÂMETRO DE 10 ,0 MM. AF_01/2015</t>
  </si>
  <si>
    <t>ARMAÇÃO DE VERGA E CONTRAVERGA DE ALVENARIA ESTRUTURAL; DIÂMETRO DE 8, 0 MM. AF_01/2015</t>
  </si>
  <si>
    <t>ARMAÇÃO DO SISTEMA DE PAREDES DE CONCRETO, EXECUTADA COMO ARMADURA NEG ATIVA DE LAJES, TELA L-159. AF_06/2015</t>
  </si>
  <si>
    <t>ARMAÇÃO DO SISTEMA DE PAREDES DE CONCRETO, EXECUTADA COMO ARMADURA NEG ATIVA DE LAJES, TELA T-196. AF_06/2015</t>
  </si>
  <si>
    <t>ARMAÇÃO DO SISTEMA DE PAREDES DE CONCRETO, EXECUTADA COMO ARMADURA POS ITIVA DE LAJES, TELA Q-113. AF_06/2015</t>
  </si>
  <si>
    <t>ARMAÇÃO DO SISTEMA DE PAREDES DE CONCRETO, EXECUTADA COMO ARMADURA POS ITIVA DE LAJES, TELA Q-138. AF_06/2015</t>
  </si>
  <si>
    <t>ARMAÇÃO DO SISTEMA DE PAREDES DE CONCRETO, EXECUTADA COMO REFORÇO, VER GALHÃO DE 10,0 MM DE DIÂMETRO. AF_06/2015</t>
  </si>
  <si>
    <t>ARMAÇÃO DO SISTEMA DE PAREDES DE CONCRETO, EXECUTADA COMO REFORÇO, VER GALHÃO DE 6,3 MM DE DIÂMETRO. AF_06/2015</t>
  </si>
  <si>
    <t>ARMAÇÃO DO SISTEMA DE PAREDES DE CONCRETO, EXECUTADA COMO REFORÇO, VER GALHÃO DE 8,0 MM DE DIÂMETRO. AF_06/2015</t>
  </si>
  <si>
    <t>ARMAÇÃO DO SISTEMA DE PAREDES DE CONCRETO, EXECUTADA EM PAREDES DE EDI FICAÇÕES DE MÚLTIPLOS PAVIMENTOS, TELA Q-138. AF_06/2015</t>
  </si>
  <si>
    <t>ARMAÇÃO DO SISTEMA DE PAREDES DE CONCRETO, EXECUTADA EM PAREDES DE EDI FICAÇÕES TÉRREAS OU DE MÚLTIPLOS PAVIMENTOS, TELA Q-92. AF_06/2015</t>
  </si>
  <si>
    <t>ARMAÇÃO DO SISTEMA DE PAREDES DE CONCRETO, EXECUTADA EM PAREDES DE EDI FICAÇÕES TÉRREAS, TELA Q-61. AF_06/2015</t>
  </si>
  <si>
    <t>ARMAÇÃO DO SISTEMA DE PAREDES DE CONCRETO, EXECUTADA EM PLATIBANDAS, T ELA Q-92. AF_06/2015</t>
  </si>
  <si>
    <t>ARMACAO EM TELA DE ACO SOLDADA NERVURADA Q-138, ACO CA-60, 4,2MM, MALH A 10X10CM</t>
  </si>
  <si>
    <t>ARMACAO EM TELA DE ACO SOLDADA NERVURADA Q-92, ACO CA-60, 4,2MM, MALHA 15X15CM</t>
  </si>
  <si>
    <t>ARMACAO SECUNDARIA OU REX COMPLETA PARA DUAS LINHAS-FORNECIMENTO E INS TALACAO.</t>
  </si>
  <si>
    <t>ARMACAO SECUNDARIA OU REX COMPLETA PARA QUATRO LINHAS-FORNECIMENTO E I NSTALACAO.</t>
  </si>
  <si>
    <t>ARMACAO SECUNDARIA OU REX COMPLETA PARA TRESLINHAS-FORNECIMENTO E INST ALACAO.</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</si>
  <si>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</si>
  <si>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</si>
  <si>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</si>
  <si>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</si>
  <si>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</si>
  <si>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UTILIZANDO AÇO CA-25 DE 6.3 MM - MONTAGEM. AF_12/2015</t>
  </si>
  <si>
    <t>ARMAÇÃO UTILIZANDO AÇO CA-25 DE 8.0 MM - MONTAGEM. AF_12/2015</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</si>
  <si>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</si>
  <si>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</si>
  <si>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</si>
  <si>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</si>
  <si>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</si>
  <si>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</si>
  <si>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</si>
  <si>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</si>
  <si>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ARMAÇÃO VERTICAL DE ALVENARIA ESTRUTURAL; DIÂMETRO DE 10,0 MM. AF_01/2 015</t>
  </si>
  <si>
    <t>ARMAÇÃO VERTICAL DE ALVENARIA ESTRUTURAL; DIÂMETRO DE 12,5 MM. AF_01/2 015</t>
  </si>
  <si>
    <t>ARMADOR (MENSALISTA)</t>
  </si>
  <si>
    <t>ARQUITETO DE OBRA JUNIOR COM ENCARGOS COMPLEMENTARES</t>
  </si>
  <si>
    <t>ARQUITETO DE OBRA SENIOR COM ENCARGOS COMPLEMENTARES</t>
  </si>
  <si>
    <t>ARQUITETO JUNIOR</t>
  </si>
  <si>
    <t>ARQUITETO JUNIOR (MENSALISTA)</t>
  </si>
  <si>
    <t>ARQUITETO JUNIOR COM ENCARGOS COMPLEMENTARES</t>
  </si>
  <si>
    <t>ARQUITETO PAISAGISTA (MENSALISTA)</t>
  </si>
  <si>
    <t>ARQUITETO PLENO COM ENCARGOS COMPLEMENTARES</t>
  </si>
  <si>
    <t>ARQUITETO SENIOR</t>
  </si>
  <si>
    <t>ARQUITETO SENIOR (MENSALISTA)</t>
  </si>
  <si>
    <t>ARQUITETO SENIOR COM ENCARGOS COMPLEMENTARES</t>
  </si>
  <si>
    <t>ARRUELA  EM ACO GALVANIZADO, DIAMETRO EXTERNO = 35MM, ESPESSURA = 3MM, DIAMETRO DO FURO= 18MM</t>
  </si>
  <si>
    <t>ARRUELA EM ALUMINIO, COM ROSCA, DE  1 1/4", PARA ELETRODUTO</t>
  </si>
  <si>
    <t>ARRUELA EM ALUMINIO, COM ROSCA, DE 1 1/2", PARA ELETRODUTO</t>
  </si>
  <si>
    <t>ARRUELA EM ALUMINIO, COM ROSCA, DE 1", PARA ELETRODUTO</t>
  </si>
  <si>
    <t>ARRUELA EM ALUMINIO, COM ROSCA, DE 1/2", PARA ELETRODUTO</t>
  </si>
  <si>
    <t>ARRUELA EM ALUMINIO, COM ROSCA, DE 2 1/2", PARA ELETRODUTO</t>
  </si>
  <si>
    <t>ARRUELA EM ALUMINIO, COM ROSCA, DE 2", PARA ELETRODUTO</t>
  </si>
  <si>
    <t>ARRUELA EM ALUMINIO, COM ROSCA, DE 3", PARA ELETRODUTO</t>
  </si>
  <si>
    <t>ARRUELA EM ALUMINIO, COM ROSCA, DE 3/4", PARA ELETRODUTO</t>
  </si>
  <si>
    <t>ARRUELA EM ALUMINIO, COM ROSCA, DE 3/8",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</si>
  <si>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</si>
  <si>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</si>
  <si>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</si>
  <si>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</si>
  <si>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</si>
  <si>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</si>
  <si>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</si>
  <si>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</si>
  <si>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</si>
  <si>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ASSENTAMENTO DE GUIA (MEIO-FIO) EM TRECHO CURVO, CONFECCIONADA EM CONC RETO PRÉ-FABRICADO, DIMENSÕES 100X15X13X20 CM (COMPRIMENTO X BASE INFE RIOR X BASE SUPERIOR X ALTURA), PARA URBANIZAÇÃO INTERNA DE EMPREENDIM ENTOS. AF_06/2016_P</t>
  </si>
  <si>
    <t>ASSENTAMENTO DE GUIA (MEIO-FIO) EM TRECHO CURVO, CONFECCIONADA EM CONC RETO PRÉ-FABRICADO, DIMENSÕES 100X15X13X30 CM (COMPRIMENTO X BASE INFE RIOR X BASE SUPERIOR X ALTURA), PARA VIAS URBANAS (USO VIÁRIO). AF_06/ 2016</t>
  </si>
  <si>
    <t>ASSENTAMENTO DE GUIA (MEIO-FIO) EM TRECHO RETO, CONFECCIONADA EM CONCR ETO PRÉ-FABRICADO, DIMENSÕES 100X15X13X20 CM (COMPRIMENTO X BASE INFER IOR X BASE SUPERIOR X ALTURA), PARA URBANIZAÇÃO INTERNA DE EMPREENDIME NTOS. AF_06/2016_P</t>
  </si>
  <si>
    <t>ASSENTAMENTO DE GUIA (MEIO-FIO) EM TRECHO RETO, CONFECCIONADA EM CONCR ETO PRÉ-FABRICADO, DIMENSÕES 100X15X13X30 CM (COMPRIMENTO X BASE INFER IOR X BASE SUPERIOR X ALTURA), PARA VIAS URBANAS (USO VIÁRIO). AF_06/2 016</t>
  </si>
  <si>
    <t>ASSENTAMENTO DE PECAS, CONEXOES, APARELHOS E ACESSORIOS DE FERRO FUNDI DO DUCTIL, JUNTA ELASTICA, MECANICA OU FLANGEADA, COM DIAMETROS DE 350 A 600 MM.</t>
  </si>
  <si>
    <t>ASSENTAMENTO DE PECAS, CONEXOES, APARELHOS E ACESSORIOS DE FERRO FUNDI DO DUCTIL, JUNTA ELASTICA, MECANICA OU FLANGEADA, COM DIAMETROS DE 50 A 300 MM.</t>
  </si>
  <si>
    <t>ASSENTAMENTO DE PECAS, CONEXOES, APARELHOS E ACESSORIOS DE FERRO FUNDI DO DUCTIL, JUNTA ELASTICA, MECANICA OU FLANGEADA, COM DIAMETROS DE 700 A 1200 MM.</t>
  </si>
  <si>
    <t>ASSENTAMENTO DE TAMPAO DE FERRO FUNDIDO 600 MM</t>
  </si>
  <si>
    <t>ASSENTAMENTO DE TAMPAO DE FERRO FUNDIDO 900 MM</t>
  </si>
  <si>
    <t>ASSENTAMENTO DE TUBO DE CONCRETO PARA REDES COLETORAS DE ÁGUAS PLUVIAI S, DIÂMETRO DE 1000 MM, JUNTA RÍGIDA, INSTALADO EM LOCAL COM ALTO NÍVE L DE INTERFERÊNCIAS (NÃO INCLUI FORNECIMENTO). AF_12/2015</t>
  </si>
  <si>
    <t>ASSENTAMENTO DE TUBO DE CONCRETO PARA REDES COLETORAS DE ÁGUAS PLUVIAI S, DIÂMETRO DE 1000 MM, JUNTA RÍGIDA, INSTALADO EM LOCAL COM BAIXO NÍV EL DE INTERFERÊNCIAS (NÃO INCLUI FORNECIMENTO). AF_12/2015</t>
  </si>
  <si>
    <t>ASSENTAMENTO DE TUBO DE CONCRETO PARA REDES COLETORAS DE ÁGUAS PLUVIAI S, DIÂMETRO DE 1200 MM, JUNTA RÍGIDA, INSTALADO EM LOCAL COM ALTO NÍVE L DE INTERFERÊNCIAS (NÃO INCLUI FORNECIMENTO). AF_12/2015</t>
  </si>
  <si>
    <t>ASSENTAMENTO DE TUBO DE CONCRETO PARA REDES COLETORAS DE ÁGUAS PLUVIAI S, DIÂMETRO DE 1200 MM, JUNTA RÍGIDA, INSTALADO EM LOCAL COM BAIXO NÍV EL DE INTERFERÊNCIAS (NÃO INCLUI FORNECIMENTO). AF_12/2015</t>
  </si>
  <si>
    <t>ASSENTAMENTO DE TUBO DE CONCRETO PARA REDES COLETORAS DE ÁGUAS PLUVIAI S, DIÂMETRO DE 1500 MM, JUNTA RÍGIDA, INSTALADO EM LOCAL COM ALTO NÍVE L DE INTERFERÊNCIAS (NÃO INCLUI FORNECIMENTO). AF_12/2015</t>
  </si>
  <si>
    <t>ASSENTAMENTO DE TUBO DE CONCRETO PARA REDES COLETORAS DE ÁGUAS PLUVIAI S, DIÂMETRO DE 1500 MM, JUNTA RÍGIDA, INSTALADO EM LOCAL COM BAIXO NÍV EL DE INTERFERÊNCIAS (NÃO INCLUI FORNECIMENTO). AF_12/2015</t>
  </si>
  <si>
    <t>ASSENTAMENTO DE TUBO DE CONCRETO PARA REDES COLETORAS DE ÁGUAS PLUVIAI S, DIÂMETRO DE 300 MM, JUNTA RÍGIDA, INSTALADO EM LOCAL COM ALTO NÍVEL DE INTERFERÊNCIAS (NÃO INCLUI FORNECIMENTO). AF_12/2015</t>
  </si>
  <si>
    <t>ASSENTAMENTO DE TUBO DE CONCRETO PARA REDES COLETORAS DE ÁGUAS PLUVIAI S, DIÂMETRO DE 300 MM, JUNTA RÍGIDA, INSTALADO EM LOCAL COM BAIXO NÍVE L DE INTERFERÊNCIAS (NÃO INCLUI FORNECIMENTO). AF_12/2015</t>
  </si>
  <si>
    <t>ASSENTAMENTO DE TUBO DE CONCRETO PARA REDES COLETORAS DE ÁGUAS PLUVIAI S, DIÂMETRO DE 400 MM, JUNTA RÍGIDA, INSTALADO EM LOCAL COM ALTO NÍVEL DE INTERFERÊNCIAS (NÃO INCLUI FORNECIMENTO). AF_12/2015</t>
  </si>
  <si>
    <t>ASSENTAMENTO DE TUBO DE CONCRETO PARA REDES COLETORAS DE ÁGUAS PLUVIAI S, DIÂMETRO DE 400 MM, JUNTA RÍGIDA, INSTALADO EM LOCAL COM BAIXO NÍVE L DE INTERFERÊNCIAS (NÃO INCLUI FORNECIMENTO). AF_12/2015</t>
  </si>
  <si>
    <t>ASSENTAMENTO DE TUBO DE CONCRETO PARA REDES COLETORAS DE ÁGUAS PLUVIAI S, DIÂMETRO DE 500 MM, JUNTA RÍGIDA, INSTALADO EM LOCAL COM ALTO NÍVEL DE INTERFERÊNCIAS (NÃO INCLUI FORNECIMENTO). AF_12/2015</t>
  </si>
  <si>
    <t>ASSENTAMENTO DE TUBO DE CONCRETO PARA REDES COLETORAS DE ÁGUAS PLUVIAI S, DIÂMETRO DE 500 MM, JUNTA RÍGIDA, INSTALADO EM LOCAL COM BAIXO NÍVE L DE INTERFERÊNCIAS (NÃO INCLUI FORNECIMENTO). AF_12/2015</t>
  </si>
  <si>
    <t>ASSENTAMENTO DE TUBO DE CONCRETO PARA REDES COLETORAS DE ÁGUAS PLUVIAI S, DIÂMETRO DE 600 MM, JUNTA RÍGIDA, INSTALADO EM LOCAL COM ALTO NÍVEL DE INTERFERÊNCIAS (NÃO INCLUI FORNECIMENTO). AF_12/2015</t>
  </si>
  <si>
    <t>ASSENTAMENTO DE TUBO DE CONCRETO PARA REDES COLETORAS DE ÁGUAS PLUVIAI S, DIÂMETRO DE 600 MM, JUNTA RÍGIDA, INSTALADO EM LOCAL COM BAIXO NÍVE L DE INTERFERÊNCIAS (NÃO INCLUI FORNECIMENTO). AF_12/2015</t>
  </si>
  <si>
    <t>ASSENTAMENTO DE TUBO DE CONCRETO PARA REDES COLETORAS DE ÁGUAS PLUVIAI S, DIÂMETRO DE 700 MM, JUNTA RÍGIDA, INSTALADO EM LOCAL COM ALTO NÍVEL DE INTERFERÊNCIAS (NÃO INCLUI FORNECIMENTO). AF_12/2015</t>
  </si>
  <si>
    <t>ASSENTAMENTO DE TUBO DE CONCRETO PARA REDES COLETORAS DE ÁGUAS PLUVIAI S, DIÂMETRO DE 700 MM, JUNTA RÍGIDA, INSTALADO EM LOCAL COM BAIXO NÍVE L DE INTERFERÊNCIAS (NÃO INCLUI FORNECIMENTO). AF_12/2015</t>
  </si>
  <si>
    <t>ASSENTAMENTO DE TUBO DE CONCRETO PARA REDES COLETORAS DE ÁGUAS PLUVIAI S, DIÂMETRO DE 800 MM, JUNTA RÍGIDA, INSTALADO EM LOCAL COM ALTO NÍVEL DE INTERFERÊNCIAS (NÃO INCLUI FORNECIMENTO). AF_12/2015</t>
  </si>
  <si>
    <t>ASSENTAMENTO DE TUBO DE CONCRETO PARA REDES COLETORAS DE ÁGUAS PLUVIAI S, DIÂMETRO DE 800 MM, JUNTA RÍGIDA, INSTALADO EM LOCAL COM BAIXO NÍVE L DE INTERFERÊNCIAS (NÃO INCLUI FORNECIMENTO). AF_12/2015</t>
  </si>
  <si>
    <t>ASSENTAMENTO DE TUBO DE CONCRETO PARA REDES COLETORAS DE ÁGUAS PLUVIAI S, DIÂMETRO DE 900 MM, JUNTA RÍGIDA, INSTALADO EM LOCAL COM ALTO NÍVEL DE INTERFERÊNCIAS (NÃO INCLUI FORNECIMENTO). AF_12/2015</t>
  </si>
  <si>
    <t>ASSENTAMENTO DE TUBO DE CONCRETO PARA REDES COLETORAS DE ÁGUAS PLUVIAI S, DIÂMETRO DE 900 MM, JUNTA RÍGIDA, INSTALADO EM LOCAL COM BAIXO NÍVE L DE INTERFERÊNCIAS (NÃO INCLUI FORNECIMENTO). AF_12/2015</t>
  </si>
  <si>
    <t>ASSENTAMENTO DE TUBO DE CONCRETO PARA REDES COLETORAS DE ESGOTO SANITÁ RIO, DIÂMETRO DE 1000 MM, JUNTA ELÁSTICA, INSTALADO EM LOCAL COM ALTO NÍVEL DE INTERFERÊNCIAS (NÃO INCLUI FORNECIMENTO). AF_12/2015</t>
  </si>
  <si>
    <t>ASSENTAMENTO DE TUBO DE CONCRETO PARA REDES COLETORAS DE ESGOTO SANITÁ RIO, DIÂMETRO DE 1000 MM, JUNTA ELÁSTICA, INSTALADO EM LOCAL COM BAIXO NÍVEL DE INTERFERÊNCIAS (NÃO INCLUI FORNECIMENTO). AF_12/2015</t>
  </si>
  <si>
    <t>ASSENTAMENTO DE TUBO DE CONCRETO PARA REDES COLETORAS DE ESGOTO SANITÁ RIO, DIÂMETRO DE 300 MM, JUNTA ELÁSTICA, INSTALADO EM LOCAL COM ALTO N ÍVEL DE INTERFERÊNCIAS (NÃO INCLUI FORNECIMENTO). AF_12/2015</t>
  </si>
  <si>
    <t>ASSENTAMENTO DE TUBO DE CONCRETO PARA REDES COLETORAS DE ESGOTO SANITÁ RIO, DIÂMETRO DE 300 MM, JUNTA ELÁSTICA, INSTALADO EM LOCAL COM BAIXO NÍVEL DE INTERFERÊNCIAS (NÃO INCLUI FORNECIMENTO). AF_12/2015</t>
  </si>
  <si>
    <t>ASSENTAMENTO DE TUBO DE CONCRETO PARA REDES COLETORAS DE ESGOTO SANITÁ RIO, DIÂMETRO DE 400 MM, JUNTA ELÁSTICA, INSTALADO EM LOCAL COM ALTO N ÍVEL DE INTERFERÊNCIAS (NÃO INCLUI FORNECIMENTO). AF_12/2015</t>
  </si>
  <si>
    <t>ASSENTAMENTO DE TUBO DE CONCRETO PARA REDES COLETORAS DE ESGOTO SANITÁ RIO, DIÂMETRO DE 400 MM, JUNTA ELÁSTICA, INSTALADO EM LOCAL COM BAIXO NÍVEL DE INTERFERÊNCIAS (NÃO INCLUI FORNECIMENTO). AF_12/2015</t>
  </si>
  <si>
    <t>ASSENTAMENTO DE TUBO DE CONCRETO PARA REDES COLETORAS DE ESGOTO SANITÁ RIO, DIÂMETRO DE 500 MM, JUNTA ELÁSTICA, INSTALADO EM LOCAL COM ALTO N ÍVEL DE INTERFERÊNCIAS (NÃO INCLUI FORNECIMENTO). AF_12/2015</t>
  </si>
  <si>
    <t>ASSENTAMENTO DE TUBO DE CONCRETO PARA REDES COLETORAS DE ESGOTO SANITÁ RIO, DIÂMETRO DE 500 MM, JUNTA ELÁSTICA, INSTALADO EM LOCAL COM BAIXO NÍVEL DE INTERFERÊNCIAS (NÃO INCLUI FORNECIMENTO). AF_12/2015</t>
  </si>
  <si>
    <t>ASSENTAMENTO DE TUBO DE CONCRETO PARA REDES COLETORAS DE ESGOTO SANITÁ RIO, DIÂMETRO DE 600 MM, JUNTA ELÁSTICA, INSTALADO EM LOCAL COM ALTO N ÍVEL DE INTERFERÊNCIAS (NÃO INCLUI FORNECIMENTO). AF_12/2015</t>
  </si>
  <si>
    <t>ASSENTAMENTO DE TUBO DE CONCRETO PARA REDES COLETORAS DE ESGOTO SANITÁ RIO, DIÂMETRO DE 600 MM, JUNTA ELÁSTICA, INSTALADO EM LOCAL COM BAIXO NÍVEL DE INTERFERÊNCIAS (NÃO INCLUI FORNECIMENTO). AF_12/2015</t>
  </si>
  <si>
    <t>ASSENTAMENTO DE TUBO DE CONCRETO PARA REDES COLETORAS DE ESGOTO SANITÁ RIO, DIÂMETRO DE 700 MM, JUNTA ELÁSTICA, INSTALADO EM LOCAL COM ALTO N ÍVEL DE INTERFERÊNCIAS (NÃO INCLUI FORNECIMENTO). AF_12/2015</t>
  </si>
  <si>
    <t>ASSENTAMENTO DE TUBO DE CONCRETO PARA REDES COLETORAS DE ESGOTO SANITÁ RIO, DIÂMETRO DE 700 MM, JUNTA ELÁSTICA, INSTALADO EM LOCAL COM BAIXO NÍVEL DE INTERFERÊNCIAS (NÃO INCLUI FORNECIMENTO). AF_12/2015</t>
  </si>
  <si>
    <t>ASSENTAMENTO DE TUBO DE CONCRETO PARA REDES COLETORAS DE ESGOTO SANITÁ RIO, DIÂMETRO DE 800 MM, JUNTA ELÁSTICA, INSTALADO EM LOCAL COM ALTO N ÍVEL DE INTERFERÊNCIAS (NÃO INCLUI FORNECIMENTO). AF_12/2015</t>
  </si>
  <si>
    <t>ASSENTAMENTO DE TUBO DE CONCRETO PARA REDES COLETORAS DE ESGOTO SANITÁ RIO, DIÂMETRO DE 800 MM, JUNTA ELÁSTICA, INSTALADO EM LOCAL COM BAIXO NÍVEL DE INTERFERÊNCIAS (NÃO INCLUI FORNECIMENTO). AF_12/2015</t>
  </si>
  <si>
    <t>ASSENTAMENTO DE TUBO DE CONCRETO PARA REDES COLETORAS DE ESGOTO SANITÁ RIO, DIÂMETRO DE 900 MM, JUNTA ELÁSTICA, INSTALADO EM LOCAL COM ALTO N ÍVEL DE INTERFERÊNCIAS (NÃO INCLUI FORNECIMENTO). AF_12/2015</t>
  </si>
  <si>
    <t>ASSENTAMENTO DE TUBO DE CONCRETO PARA REDES COLETORAS DE ESGOTO SANITÁ RIO, DIÂMETRO DE 900 MM, JUNTA ELÁSTICA, INSTALADO EM LOCAL COM BAIXO NÍVEL DE INTERFERÊNCIAS (NÃO INCLUI FORNECIMENTO). AF_12/2015</t>
  </si>
  <si>
    <t>ASSENTAMENTO DE TUBO DE PEAD CORRUGADO DE DUPLA PAREDE PARA REDE COLET ORA DE ESGOTO, DN 1000 MM, JUNTA ELÁSTICA INTEGRADA, INSTALADO EM LOCA L COM NÍVEL ALTO DE INTERFERÊNCIAS (NÃO INCLUI FORNECIMENTO). AF_06/20 16</t>
  </si>
  <si>
    <t>ASSENTAMENTO DE TUBO DE PEAD CORRUGADO DE DUPLA PAREDE PARA REDE COLET ORA DE ESGOTO, DN 1000 MM, JUNTA ELÁSTICA INTEGRADA, INSTALADO EM LOCA L COM NÍVEL BAIXO DE INTERFERÊNCIAS (NÃO INCLUI FORNECIMENTO). AF_06/2 016</t>
  </si>
  <si>
    <t>ASSENTAMENTO DE TUBO DE PEAD CORRUGADO DE DUPLA PAREDE PARA REDE COLET ORA DE ESGOTO, DN 1200 MM, JUNTA ELÁSTICA INTEGRADA, INSTALADO EM LOCA L COM NÍVEL ALTO DE INTERFERÊNCIAS (NÃO INCLUI FORNECIMENTO). AF_06/20 16</t>
  </si>
  <si>
    <t>ASSENTAMENTO DE TUBO DE PEAD CORRUGADO DE DUPLA PAREDE PARA REDE COLET ORA DE ESGOTO, DN 1200 MM, JUNTA ELÁSTICA INTEGRADA, INSTALADO EM LOCA L COM NÍVEL BAIXO DE INTERFERÊNCIAS (NÃO INCLUI FORNECIMENTO). AF_06/2 016</t>
  </si>
  <si>
    <t>ASSENTAMENTO DE TUBO DE PEAD CORRUGADO DE DUPLA PAREDE PARA REDE COLET ORA DE ESGOTO, DN 1500 MM, JUNTA ELÁSTICA INTEGRADA, INSTALADO EM LOCA L COM NÍVEL ALTO DE INTERFERÊNCIAS (NÃO INCLUI FORNECIMENTO). AF_06/20 16</t>
  </si>
  <si>
    <t>ASSENTAMENTO DE TUBO DE PEAD CORRUGADO DE DUPLA PAREDE PARA REDE COLET ORA DE ESGOTO, DN 1500 MM, JUNTA ELÁSTICA INTEGRADA, INSTALADO EM LOCA L COM NÍVEL BAIXO DE INTERFERÊNCIAS (NÃO INCLUI FORNECIMENTO). AF_06/2 016</t>
  </si>
  <si>
    <t>ASSENTAMENTO DE TUBO DE PEAD CORRUGADO DE DUPLA PAREDE PARA REDE COLET ORA DE ESGOTO, DN 250 MM, JUNTA ELÁSTICA INTEGRADA, INSTALADO EM LOCAL COM NÍVEL ALTO DE INTERFERÊNCIAS (NÃO INCLUI FORNECIMENTO). AF_06/201 6</t>
  </si>
  <si>
    <t>ASSENTAMENTO DE TUBO DE PEAD CORRUGADO DE DUPLA PAREDE PARA REDE COLET ORA DE ESGOTO, DN 250 MM, JUNTA ELÁSTICA INTEGRADA, INSTALADO EM LOCAL COM NÍVEL BAIXO DE INTERFERÊNCIAS (NÃO INCLUI FORNECIMENTO). AF_06/20 16</t>
  </si>
  <si>
    <t>ASSENTAMENTO DE TUBO DE PEAD CORRUGADO DE DUPLA PAREDE PARA REDE COLET ORA DE ESGOTO, DN 300 MM, JUNTA ELÁSTICA INTEGRADA, INSTALADO EM LOCAL COM NÍVEL ALTO DE INTERFERÊNCIAS (NÃO INCLUI FORNECIMENTO). AF_06/201 6</t>
  </si>
  <si>
    <t>ASSENTAMENTO DE TUBO DE PEAD CORRUGADO DE DUPLA PAREDE PARA REDE COLET ORA DE ESGOTO, DN 300 MM, JUNTA ELÁSTICA INTEGRADA, INSTALADO EM LOCAL COM NÍVEL BAIXO DE INTERFERÊNCIAS (NÃO INCLUI FORNECIMENTO). AF_06/20 16</t>
  </si>
  <si>
    <t>ASSENTAMENTO DE TUBO DE PEAD CORRUGADO DE DUPLA PAREDE PARA REDE COLET ORA DE ESGOTO, DN 450 MM, JUNTA ELÁSTICA INTEGRADA, INSTALADO EM LOCAL COM NÍVEL ALTO DE INTERFERÊNCIAS (NÃO INCLUI FORNECIMENTO). AF_06/201 5</t>
  </si>
  <si>
    <t>ASSENTAMENTO DE TUBO DE PEAD CORRUGADO DE DUPLA PAREDE PARA REDE COLET ORA DE ESGOTO, DN 450 MM, JUNTA ELÁSTICA INTEGRADA, INSTALADO EM LOCAL COM NÍVEL BAIXO DE INTERFERÊNCIAS (NÃO INCLUI FORNECIMENTO). AF_06/20 15</t>
  </si>
  <si>
    <t>ASSENTAMENTO DE TUBO DE PEAD CORRUGADO DE DUPLA PAREDE PARA REDE COLET ORA DE ESGOTO, DN 600 MM, JUNTA ELÁSTICA INTEGRADA, INSTALADO EM LOCAL COM NÍVEL ALTO DE INTERFERÊNCIAS (NÃO INCLUI FORNECIMENTO). AF_06/201 5</t>
  </si>
  <si>
    <t>ASSENTAMENTO DE TUBO DE PEAD CORRUGADO DE DUPLA PAREDE PARA REDE COLET ORA DE ESGOTO, DN 600 MM, JUNTA ELÁSTICA INTEGRADA, INSTALADO EM LOCAL COM NÍVEL BAIXO DE INTERFERÊNCIAS (NÃO INCLUI FORNECIMENTO). AF_06/20 15</t>
  </si>
  <si>
    <t>ASSENTAMENTO DE TUBO DE PEAD CORRUGADO DE DUPLA PAREDE PARA REDE COLET ORA DE ESGOTO, DN 750 MM, JUNTA ELÁSTICA INTEGRADA, INSTALADO EM LOCAL COM NÍVEL ALTO DE INTERFERÊNCIAS (NÃO INCLUI FORNECIMENTO). AF_06/201 6</t>
  </si>
  <si>
    <t>ASSENTAMENTO DE TUBO DE PEAD CORRUGADO DE DUPLA PAREDE PARA REDE COLET ORA DE ESGOTO, DN 750 MM, JUNTA ELÁSTICA INTEGRADA, INSTALADO EM LOCAL COM NÍVEL BAIXO DE INTERFERÊNCIAS (NÃO INCLUI FORNECIMENTO). AF_06/20 16</t>
  </si>
  <si>
    <t>ASSENTAMENTO DE TUBO DE PEAD CORRUGADO DE DUPLA PAREDE PARA REDE COLET ORA DE ESGOTO, DN 900 MM, JUNTA ELÁSTICA INTEGRADA, INSTALADO EM LOCAL COM NÍVEL ALTO DE INTERFERÊNCIAS (NÃO INCLUI FORNECIMENTO). AF_06/201 6</t>
  </si>
  <si>
    <t>ASSENTAMENTO DE TUBO DE PEAD CORRUGADO DE DUPLA PAREDE PARA REDE COLET ORA DE ESGOTO, DN 900 MM, JUNTA ELÁSTICA INTEGRADA, INSTALADO EM LOCAL COM NÍVEL BAIXO DE INTERFERÊNCIAS (NÃO INCLUI FORNECIMENTO). AF_06/20 16</t>
  </si>
  <si>
    <t>ASSENTAMENTO DE TUBO DE PVC CORRUGADO DE DUPLA PAREDE PARA REDE COLETO RA DE ESGOTO, DN 150 MM, JUNTA ELÁSTICA, INSTALADO EM LOCAL COM NÍVEL ALTO DE INTERFERÊNCIAS (NÃO INCLUI FORNECIMENTO). AF_06/2015</t>
  </si>
  <si>
    <t>ASSENTAMENTO DE TUBO DE PVC CORRUGADO DE DUPLA PAREDE PARA REDE COLETO RA DE ESGOTO, DN 150 MM, JUNTA ELÁSTICA, INSTALADO EM LOCAL COM NÍVEL BAIXO DE INTERFERÊNCIAS (NÃO INCLUI FORNECIMENTO). AF_06/2015</t>
  </si>
  <si>
    <t>ASSENTAMENTO DE TUBO DE PVC CORRUGADO DE DUPLA PAREDE PARA REDE COLETO RA DE ESGOTO, DN 200 MM, JUNTA ELÁSTICA, INSTALADO EM LOCAL COM NÍVEL ALTO DE INTERFERÊNCIAS (NÃO INCLUI FORNECIMENTO). AF_06/2015</t>
  </si>
  <si>
    <t>ASSENTAMENTO DE TUBO DE PVC CORRUGADO DE DUPLA PAREDE PARA REDE COLETO RA DE ESGOTO, DN 200 MM, JUNTA ELÁSTICA, INSTALADO EM LOCAL COM NÍVEL BAIXO DE INTERFERÊNCIAS (NÃO INCLUI FORNECIMENTO). AF_06/2015</t>
  </si>
  <si>
    <t>ASSENTAMENTO DE TUBO DE PVC CORRUGADO DE DUPLA PAREDE PARA REDE COLETO RA DE ESGOTO, DN 250 MM, JUNTA ELÁSTICA, INSTALADO EM LOCAL COM NÍVEL ALTO DE INTERFERÊNCIAS (NÃO INCLUI FORNECIMENTO). AF_06/2015</t>
  </si>
  <si>
    <t>ASSENTAMENTO DE TUBO DE PVC CORRUGADO DE DUPLA PAREDE PARA REDE COLETO RA DE ESGOTO, DN 250 MM, JUNTA ELÁSTICA, INSTALADO EM LOCAL COM NÍVEL BAIXO DE INTERFERÊNCIAS (NÃO INCLUI FORNECIMENTO). AF_06/2015</t>
  </si>
  <si>
    <t>ASSENTAMENTO DE TUBO DE PVC CORRUGADO DE DUPLA PAREDE PARA REDE COLETO RA DE ESGOTO, DN 300 MM, JUNTA ELÁSTICA, INSTALADO EM LOCAL COM NÍVEL ALTO DE INTERFERÊNCIAS (NÃO INCLUI FORNECIMENTO). AF_06/2015</t>
  </si>
  <si>
    <t>ASSENTAMENTO DE TUBO DE PVC CORRUGADO DE DUPLA PAREDE PARA REDE COLETO RA DE ESGOTO, DN 300 MM, JUNTA ELÁSTICA, INSTALADO EM LOCAL COM NÍVEL BAIXO DE INTERFERÊNCIAS (NÃO INCLUI FORNECIMENTO). AF_06/2015</t>
  </si>
  <si>
    <t>ASSENTAMENTO DE TUBO DE PVC CORRUGADO DE DUPLA PAREDE PARA REDE COLETO RA DE ESGOTO, DN 350 MM, JUNTA ELÁSTICA, INSTALADO EM LOCAL COM NÍVEL ALTO DE INTERFERÊNCIAS (NÃO INCLUI FORNECIMENTO). AF_06/2015</t>
  </si>
  <si>
    <t>ASSENTAMENTO DE TUBO DE PVC CORRUGADO DE DUPLA PAREDE PARA REDE COLETO RA DE ESGOTO, DN 350 MM, JUNTA ELÁSTICA, INSTALADO EM LOCAL COM NÍVEL BAIXO DE INTERFERÊNCIAS (NÃO INCLUI FORNECIMENTO). AF_06/2015</t>
  </si>
  <si>
    <t>ASSENTAMENTO DE TUBO DE PVC CORRUGADO DE DUPLA PAREDE PARA REDE COLETO RA DE ESGOTO, DN 400 MM, EM JUNTA ELÁSTICA, INSTALADO EM LOCAL COM NÍV EL ALTO DE INTERFERÊNCIAS (NÃO INCLUI FORNECIMENTO). AF_06/2015</t>
  </si>
  <si>
    <t>ASSENTAMENTO DE TUBO DE PVC CORRUGADO DE DUPLA PAREDE PARA REDE COLETO RA DE ESGOTO, DN 400 MM, JUNTA ELÁSTICA, INSTALADO EM LOCAL COM NÍVEL BAIXO DE INTERFERÊNCIAS (NÃO INCLUI FORNECIMENTO). AF_06/2015</t>
  </si>
  <si>
    <t>ASSENTAMENTO DE TUBO DE PVC PARA REDE COLETORA DE ESGOTO DE PAREDE MAC IÇA, DN 100 MM, JUNTA ELÁSTICA, INSTALADO EM LOCAL COM NÍVEL ALTO DE I NTERFERÊNCIAS (NÃO INCLUI FORNECIMENTO). AF_06/2015</t>
  </si>
  <si>
    <t>ASSENTAMENTO DE TUBO DE PVC PARA REDE COLETORA DE ESGOTO DE PAREDE MAC IÇA, DN 100 MM, JUNTA ELÁSTICA, INSTALADO EM LOCAL COM NÍVEL BAIXO DE INTERFERÊNCIAS (NÃO INCLUI FORNECIMENTO). AF_06/2015</t>
  </si>
  <si>
    <t>ASSENTAMENTO DE TUBO DE PVC PARA REDE COLETORA DE ESGOTO DE PAREDE MAC IÇA, DN 150 MM, JUNTA ELÁSTICA, INSTALADO EM LOCAL COM NÍVEL ALTO DE I NTERFERÊNCIAS (NÃO INCLUI FORNECIMENTO). AF_06/2015</t>
  </si>
  <si>
    <t>ASSENTAMENTO DE TUBO DE PVC PARA REDE COLETORA DE ESGOTO DE PAREDE MAC IÇA, DN 150 MM, JUNTA ELÁSTICA, INSTALADO EM LOCAL COM NÍVEL BAIXO DE INTERFERÊNCIAS (NÃO INCLUI FORNECIMENTO). AF_06/2015</t>
  </si>
  <si>
    <t>ASSENTAMENTO DE TUBO DE PVC PARA REDE COLETORA DE ESGOTO DE PAREDE MAC IÇA, DN 200 MM, JUNTA ELÁSTICA, INSTALADO EM LOCAL COM NÍVEL ALTO DE I NTERFERÊNCIAS (NÃO INCLUI FORNECIMENTO). AF_06/2015</t>
  </si>
  <si>
    <t>ASSENTAMENTO DE TUBO DE PVC PARA REDE COLETORA DE ESGOTO DE PAREDE MAC IÇA, DN 200 MM, JUNTA ELÁSTICA, INSTALADO EM LOCAL COM NÍVEL BAIXO DE INTERFERÊNCIAS (NÃO INCLUI FORNECIMENTO). AF_06/2015</t>
  </si>
  <si>
    <t>ASSENTAMENTO DE TUBO DE PVC PARA REDE COLETORA DE ESGOTO DE PAREDE MAC IÇA, DN 250 MM, JUNTA ELÁSTICA, INSTALADO EM LOCAL COM NÍVEL ALTO DE I NTERFERÊNCIAS (NÃO INCLUI FORNECIMENTO). AF_06/2015</t>
  </si>
  <si>
    <t>ASSENTAMENTO DE TUBO DE PVC PARA REDE COLETORA DE ESGOTO DE PAREDE MAC IÇA, DN 250 MM, JUNTA ELÁSTICA, INSTALADO EM LOCAL COM NÍVEL BAIXO DE INTERFERÊNCIAS (NÃO INCLUI FORNECIMENTO). AF_06/2015</t>
  </si>
  <si>
    <t>ASSENTAMENTO DE TUBO DE PVC PARA REDE COLETORA DE ESGOTO DE PAREDE MAC IÇA, DN 300 MM, JUNTA ELÁSTICA, INSTALADO EM LOCAL COM NÍVEL ALTO DE I NTERFERÊNCIAS (NÃO INCLUI FORNECIMENTO). AF_06/2015</t>
  </si>
  <si>
    <t>ASSENTAMENTO DE TUBO DE PVC PARA REDE COLETORA DE ESGOTO DE PAREDE MAC IÇA, DN 300 MM, JUNTA ELÁSTICA, INSTALADO EM LOCAL COM NÍVEL BAIXO DE INTERFERÊNCIAS (NÃO INCLUI FORNECIMENTO). AF_06/2015</t>
  </si>
  <si>
    <t>ASSENTAMENTO DE TUBO DE PVC PARA REDE COLETORA DE ESGOTO DE PAREDE MAC IÇA, DN 350 MM, JUNTA ELÁSTICA, INSTALADO EM LOCAL COM NÍVEL ALTO DE I NTERFERÊNCIAS (NÃO INCLUI FORNECIMENTO). AF_06/2015</t>
  </si>
  <si>
    <t>ASSENTAMENTO DE TUBO DE PVC PARA REDE COLETORA DE ESGOTO DE PAREDE MAC IÇA, DN 350 MM, JUNTA ELÁSTICA, INSTALADO EM LOCAL COM NÍVEL BAIXO DE INTERFERÊNCIAS (NÃO INCLUI FORNECIMENTO). AF_06/2015</t>
  </si>
  <si>
    <t>ASSENTAMENTO DE TUBO DE PVC PARA REDE COLETORA DE ESGOTO DE PAREDE MAC IÇA, DN 400 MM, JUNTA ELÁSTICA, INSTALADO EM LOCAL COM NÍVEL ALTO DE I NTERFERÊNCIAS (NÃO INCLUI FORNECIMENTO). AF_06/2015</t>
  </si>
  <si>
    <t>ASSENTAMENTO DE TUBO DE PVC PARA REDE COLETORA DE ESGOTO DE PAREDE MAC IÇA, DN 400 MM, JUNTA ELÁSTICA, INSTALADO EM LOCAL COM NÍVEL BAIXO DE INTERFERÊNCIAS (NÃO INCLUI FORNECIMENTO). AF_06/2015</t>
  </si>
  <si>
    <t>ASSENTAMENTO DE TUBOS DE AÇO, COM JUNTA ELÁSTICA (COMPRIMENTO DE 6,00 M) - DN 1000 MM</t>
  </si>
  <si>
    <t>ASSENTAMENTO DE TUBOS DE AÇO, COM JUNTA ELÁSTICA (COMPRIMENTO DE 6,00 M) - DN 1100 MM</t>
  </si>
  <si>
    <t>ASSENTAMENTO DE TUBOS DE AÇO, COM JUNTA ELÁSTICA (COMPRIMENTO DE 6,00 M) - DN 1200 MM</t>
  </si>
  <si>
    <t>ASSENTAMENTO DE TUBOS DE AÇO, COM JUNTA ELÁSTICA (COMPRIMENTO DE 6,00 M) - DN 150 MM</t>
  </si>
  <si>
    <t>ASSENTAMENTO DE TUBOS DE AÇO, COM JUNTA ELÁSTICA (COMPRIMENTO DE 6,00 M) - DN 200 MM</t>
  </si>
  <si>
    <t>ASSENTAMENTO DE TUBOS DE AÇO, COM JUNTA ELÁSTICA (COMPRIMENTO DE 6,00 M) - DN 250 MM</t>
  </si>
  <si>
    <t>ASSENTAMENTO DE TUBOS DE AÇO, COM JUNTA ELÁSTICA (COMPRIMENTO DE 6,00 M) - DN 300 MM</t>
  </si>
  <si>
    <t>ASSENTAMENTO DE TUBOS DE AÇO, COM JUNTA ELÁSTICA (COMPRIMENTO DE 6,00 M) - DN 350 MM</t>
  </si>
  <si>
    <t>ASSENTAMENTO DE TUBOS DE AÇO, COM JUNTA ELÁSTICA (COMPRIMENTO DE 6,00 M) - DN 400 MM</t>
  </si>
  <si>
    <t>ASSENTAMENTO DE TUBOS DE AÇO, COM JUNTA ELÁSTICA (COMPRIMENTO DE 6,00 M) - DN 450 MM</t>
  </si>
  <si>
    <t>ASSENTAMENTO DE TUBOS DE AÇO, COM JUNTA ELÁSTICA (COMPRIMENTO DE 6,00 M) - DN 500 MM</t>
  </si>
  <si>
    <t>ASSENTAMENTO DE TUBOS DE AÇO, COM JUNTA ELÁSTICA (COMPRIMENTO DE 6,00 M) - DN 600 MM</t>
  </si>
  <si>
    <t>ASSENTAMENTO DE TUBOS DE AÇO, COM JUNTA ELÁSTICA (COMPRIMENTO DE 6,00 M) - DN 700 MM</t>
  </si>
  <si>
    <t>ASSENTAMENTO DE TUBOS DE AÇO, COM JUNTA ELÁSTICA (COMPRIMENTO DE 6,00 M) - DN 800 MM</t>
  </si>
  <si>
    <t>73839/016</t>
  </si>
  <si>
    <t>ASSENTAMENTO DE TUBOS DE AÇO, COMJUNTA ELÁSTICA (COMPRIMENTO DE 6 M) - DN 900 MM</t>
  </si>
  <si>
    <t>ASSENTAMENTO SIMPLES DE TUBOS DE FERRO FUNDIDO (FOFO) C/ JUNTA ELASTIC A -  DN 75 MM - INCLUSIVE TRANSPORTE</t>
  </si>
  <si>
    <t>ASSENTAMENTO SIMPLES DE TUBOS DE FERRO FUNDIDO (FOFO) C/ JUNTA ELASTIC A - DN 100 - INCLUSIVE TRANSPORTE</t>
  </si>
  <si>
    <t>ASSENTAMENTO SIMPLES DE TUBOS DE FERRO FUNDIDO (FOFO) C/ JUNTA ELASTIC A - DN 1000 MM - INCLUSIVE TRANSPORTE</t>
  </si>
  <si>
    <t>ASSENTAMENTO SIMPLES DE TUBOS DE FERRO FUNDIDO (FOFO) C/ JUNTA ELASTIC A - DN 1100 MM - INCLUSIVE TRANSPORTE</t>
  </si>
  <si>
    <t>ASSENTAMENTO SIMPLES DE TUBOS DE FERRO FUNDIDO (FOFO) C/ JUNTA ELASTIC A - DN 1200 MM - INCLUSIVE TRANSPORTE</t>
  </si>
  <si>
    <t>ASSENTAMENTO SIMPLES DE TUBOS DE FERRO FUNDIDO (FOFO) C/ JUNTA ELASTIC A - DN 150 - INCLUSIVE TRANSPORTE</t>
  </si>
  <si>
    <t>ASSENTAMENTO SIMPLES DE TUBOS DE FERRO FUNDIDO (FOFO) C/ JUNTA ELASTIC A - DN 200 - INCLUSIVE TRANSPORTE</t>
  </si>
  <si>
    <t>ASSENTAMENTO SIMPLES DE TUBOS DE FERRO FUNDIDO (FOFO) C/ JUNTA ELASTIC A - DN 250 MM - INCLUSIVE TRANSPORTE</t>
  </si>
  <si>
    <t>ASSENTAMENTO SIMPLES DE TUBOS DE FERRO FUNDIDO (FOFO) C/ JUNTA ELASTIC A - DN 300 - INCLUSIVE TRANSPORTE</t>
  </si>
  <si>
    <t>ASSENTAMENTO SIMPLES DE TUBOS DE FERRO FUNDIDO (FOFO) C/ JUNTA ELASTIC A - DN 350 MM - INCLUSIVE TRANSPORTE</t>
  </si>
  <si>
    <t>ASSENTAMENTO SIMPLES DE TUBOS DE FERRO FUNDIDO (FOFO) C/ JUNTA ELASTIC A - DN 400 MM - INCLUSIVE TRANSPORTE</t>
  </si>
  <si>
    <t>ASSENTAMENTO SIMPLES DE TUBOS DE FERRO FUNDIDO (FOFO) C/ JUNTA ELASTIC A - DN 450 MM - INCLUSIVE TRANSPORTE</t>
  </si>
  <si>
    <t>ASSENTAMENTO SIMPLES DE TUBOS DE FERRO FUNDIDO (FOFO) C/ JUNTA ELASTIC A - DN 500 MM - INCLUSIVE TRANSPORTE</t>
  </si>
  <si>
    <t>ASSENTAMENTO SIMPLES DE TUBOS DE FERRO FUNDIDO (FOFO) C/ JUNTA ELASTIC A - DN 600 MM - INCLUSIVE TRANSPORTE</t>
  </si>
  <si>
    <t>ASSENTAMENTO SIMPLES DE TUBOS DE FERRO FUNDIDO (FOFO) C/ JUNTA ELASTIC A - DN 700 MM - INCLUSIVE TRANSPORTE</t>
  </si>
  <si>
    <t>ASSENTAMENTO SIMPLES DE TUBOS DE FERRO FUNDIDO (FOFO) C/ JUNTA ELASTIC A - DN 800 MM - INCLUSIVE TRANSPORTES</t>
  </si>
  <si>
    <t>ASSENTAMENTO SIMPLES DE TUBOS DE FERRO FUNDIDO (FOFO) C/ JUNTA ELASTIC A - DN 900 MM - INCLUSIVE TRANSPORTE</t>
  </si>
  <si>
    <t>ASSENTAMENTO SIMPLES DE TUBOS DE FERRO FUNDIDO (FOFO), COM JUNTA ELAST ICA, DN 50 MM.</t>
  </si>
  <si>
    <t>ASSENTAMENTO TAMPAO FERRO FUNDIDO (FOFO), 30 X 90 CM PARA CAIXA DE RAL O, C/ ARG CIM/AREIA 1:4 EM VOLUME, EXCLUSIVE TAMPAO.</t>
  </si>
  <si>
    <t>ASSENTAMENTO TUBO PVC COM JUNTA ELASTICA, DN 100 MM - (OU RPVC, OU PVC DEFOFO, OU PRFV) - PARA AGUA.</t>
  </si>
  <si>
    <t>ASSENTAMENTO TUBO PVC COM JUNTA ELASTICA, DN 1000 MM - (OU RPVC, OU PV C DEFOFO, OU PRFV) - PARA AGUA.</t>
  </si>
  <si>
    <t>ASSENTAMENTO TUBO PVC COM JUNTA ELASTICA, DN 400 MM - (OU RPVC, OU PVC DEFOFO, OU PRFV) - PARA AGUA.</t>
  </si>
  <si>
    <t>ASSENTAMENTO TUBO PVC COM JUNTA ELASTICA, DN 50 MM - (OU RPVC, OU PVC DEFOFO, OU PRFV) - PARA AGUA.</t>
  </si>
  <si>
    <t>ASSENTAMENTO TUBO PVC COM JUNTA ELASTICA, DN 500 MM - (OU RPVC, OU PVC DEFOFO, OU PRFV) - PARA AGUA.</t>
  </si>
  <si>
    <t>ASSENTAMENTO TUBO PVC COM JUNTA ELASTICA, DN 600 MM - (OU RPVC, OU PVC DEFOFO, OU PRFV) - PARA AGUA.</t>
  </si>
  <si>
    <t>ASSENTAMENTO TUBO PVC COM JUNTA ELASTICA, DN 700 MM - (OU RPVC, OU PVC DEFOFO, OU PRFV) - PARA AGUA.</t>
  </si>
  <si>
    <t>ASSENTAMENTO TUBO PVC COM JUNTA ELASTICA, DN 75 MM - (OU RPVC, OU PVC DEFOFO, OU PRFV) - PARA AGUA.</t>
  </si>
  <si>
    <t>ASSENTAMENTO TUBO PVC COM JUNTA ELASTICA, DN 800 MM - (OU RPVC, OU PVC DEFOFO, OU PRFV) - PARA AGUA.</t>
  </si>
  <si>
    <t>ASSENTAMENTO TUBO PVC COM JUNTA ELASTICA, DN 900 MM - (OU RPVC, OU PVC DEFOFO, OU PRFV) - PARA AGUA.</t>
  </si>
  <si>
    <t>ASSENTO  VASO SANITARIO INFANTIL EM PLASTICO BRANCO</t>
  </si>
  <si>
    <t>ASSENTO SANITARIO DE PLASTICO, TIPO CONVENCIONAL</t>
  </si>
  <si>
    <t>ATERRO COM AREIA COM ADENSAMENTO HIDRAULICO</t>
  </si>
  <si>
    <t>ATERRO MANUAL DE VALAS COM AREIA PARA ATERRO E COMPACTAÇÃO MECANIZADA. AF_05/2016</t>
  </si>
  <si>
    <t>ATERRO MANUAL DE VALAS COM SOLO ARGILO-ARENOSO E COMPACTAÇÃO MECANIZAD A. AF_05/2016</t>
  </si>
  <si>
    <t>ATERRO MECANIZADO DE VALA COM ESCAVADEIRA HIDRÁULICA (CAPACIDADE DA CA ÇAMBA: 0,8 M³ / POTÊNCIA: 111 HP), LARGURA ATÉ 1,5 M, PROFUNDIDADE DE 1,5 A 3,0 M, COM AREIA PARA ATERRO. AF_05/2016</t>
  </si>
  <si>
    <t>ATERRO MECANIZADO DE VALA COM ESCAVADEIRA HIDRÁULICA (CAPACIDADE DA CA ÇAMBA: 0,8 M³ / POTÊNCIA: 111 HP), LARGURA ATÉ 1,5 M, PROFUNDIDADE DE 1,5 A 3,0 M, COM SOLO ARGILO-ARENOSO. AF_05/2016</t>
  </si>
  <si>
    <t>ATERRO MECANIZADO DE VALA COM ESCAVADEIRA HIDRÁULICA (CAPACIDADE DA CA ÇAMBA: 0,8 M³ / POTÊNCIA: 111 HP), LARGURA ATÉ 1,5 M, PROFUNDIDADE DE 3,0 A 4,5 M, COM AREIA PARA ATERRO. AF_05/2016</t>
  </si>
  <si>
    <t>ATERRO MECANIZADO DE VALA COM ESCAVADEIRA HIDRÁULICA (CAPACIDADE DA CA ÇAMBA: 0,8 M³ / POTÊNCIA: 111 HP), LARGURA ATÉ 1,5 M, PROFUNDIDADE DE 3,0 A 4,5 M, COM SOLO ARGILO-ARENOSO. AF_05/2016</t>
  </si>
  <si>
    <t>ATERRO MECANIZADO DE VALA COM ESCAVADEIRA HIDRÁULICA (CAPACIDADE DA CA ÇAMBA: 0,8 M³ / POTÊNCIA: 111 HP), LARGURA ATÉ 1,5 M, PROFUNDIDADE DE 4,5 A 6,0 M, COM AREIA PARA ATERRO. AF_05/2016</t>
  </si>
  <si>
    <t>ATERRO MECANIZADO DE VALA COM ESCAVADEIRA HIDRÁULICA (CAPACIDADE DA CA ÇAMBA: 0,8 M³ / POTÊNCIA: 111 HP), LARGURA ATÉ 1,5 M, PROFUNDIDADE DE 4,5 A 6,0 M, COM SOLO ARGILO-ARENOSO. AF_05/2016</t>
  </si>
  <si>
    <t>ATERRO MECANIZADO DE VALA COM ESCAVADEIRA HIDRÁULICA (CAPACIDADE DA CA ÇAMBA: 0,8 M³ / POTÊNCIA: 111 HP), LARGURA DE 1,5 A 2,5 M, PROFUNDIDAD E ATÉ 1,5 M, COM AREIA PARA ATERRO. AF_05/2016</t>
  </si>
  <si>
    <t>ATERRO MECANIZADO DE VALA COM ESCAVADEIRA HIDRÁULICA (CAPACIDADE DA CA ÇAMBA: 0,8 M³ / POTÊNCIA: 111 HP), LARGURA DE 1,5 A 2,5 M, PROFUNDIDAD E ATÉ 1,5 M, COM SOLO ARGILO-ARENOSO. AF_05/2016</t>
  </si>
  <si>
    <t>ATERRO MECANIZADO DE VALA COM ESCAVADEIRA HIDRÁULICA (CAPACIDADE DA CA ÇAMBA: 0,8 M³ / POTÊNCIA: 111 HP), LARGURA DE 1,5 A 2,5 M, PROFUNDIDAD E DE 1,5 A 3,0 M, COM AREIA PARA ATERRO. AF_05/2016</t>
  </si>
  <si>
    <t>ATERRO MECANIZADO DE VALA COM ESCAVADEIRA HIDRÁULICA (CAPACIDADE DA CA ÇAMBA: 0,8 M³ / POTÊNCIA: 111 HP), LARGURA DE 1,5 A 2,5 M, PROFUNDIDAD E DE 1,5 A 3,0 M, COM SOLO ARGILO-ARENOSO. AF_05/2016</t>
  </si>
  <si>
    <t>ATERRO MECANIZADO DE VALA COM ESCAVADEIRA HIDRÁULICA (CAPACIDADE DA CA ÇAMBA: 0,8 M³ / POTÊNCIA: 111 HP), LARGURA DE 1,5 A 2,5 M, PROFUNDIDAD E DE 3,0 A 4,5 M, COM AREIA PARA ATERRO. AF_05/2016</t>
  </si>
  <si>
    <t>ATERRO MECANIZADO DE VALA COM ESCAVADEIRA HIDRÁULICA (CAPACIDADE DA CA ÇAMBA: 0,8 M³ / POTÊNCIA: 111 HP), LARGURA DE 1,5 A 2,5 M, PROFUNDIDAD E DE 3,0 A 4,5 M, COM SOLO ARGILO-ARENOSO. AF_05/2016</t>
  </si>
  <si>
    <t>ATERRO MECANIZADO DE VALA COM ESCAVADEIRA HIDRÁULICA (CAPACIDADE DA CA ÇAMBA: 0,8 M³ / POTÊNCIA: 111 HP), LARGURA DE 1,5 A 2,5 M, PROFUNDIDAD E DE 4,5 A 6,0 M, COM AREIA PARA ATERRO. AF_05/2016</t>
  </si>
  <si>
    <t>ATERRO MECANIZADO DE VALA COM ESCAVADEIRA HIDRÁULICA (CAPACIDADE DA CA ÇAMBA: 0,8 M³ / POTÊNCIA: 111 HP), LARGURA DE 1,5 A 2,5 M, PROFUNDIDAD E DE 4,5 A 6,0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</si>
  <si>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</si>
  <si>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</si>
  <si>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</si>
  <si>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</si>
  <si>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 DADE ATÉ 1,5 M, COM AREIA PARA ATERRO. AF_05/2016</t>
  </si>
  <si>
    <t>ATERRO MECANIZADO DE VALA COM RETROESCAVADEIRA (CAPACIDADE DA CAÇAMBA DA RETRO: 0,26 M³ / POTÊNCIA: 88 HP), LARGURA DE 0,8 A 1,5 M, PROFUNDI DADE ATÉ 1,5 M, COM SOLO ARGILO-ARENOSO. AF_05/2016</t>
  </si>
  <si>
    <t>ATERRO MECANIZADO DE VALA COM RETROESCAVADEIRA (CAPACIDADE DA CAÇAMBA DA RETRO: 0,26 M³ / POTÊNCIA: 88 HP), LARGURA DE 0,8 A 1,5 M, PROFUNDI DADE DE 1,5 A 3,0 M, COM AREIA PARA ATERRO. AF_05/2016</t>
  </si>
  <si>
    <t>ATERRO MECANIZADO DE VALA COM RETROESCAVADEIRA (CAPACIDADE DA CAÇAMBA DA RETRO: 0,26 M³ / POTÊNCIA: 88 HP), LARGURA DE 0,8 A 1,5 M, PROFUNDI DADE DE 1,5 A 3,0 M, COM SOLO ARGILO-ARENOSO. AF_05/2016</t>
  </si>
  <si>
    <t>AUTOMATICO DE BOIA SUPERIOR / INFERIOR, *15* A / 250 V</t>
  </si>
  <si>
    <t>AUXILIAR  DE ALMOXARIFE</t>
  </si>
  <si>
    <t>AUXILIAR DE ALMOXARIFE (MENSALISTA)</t>
  </si>
  <si>
    <t>AUXILIAR DE AZULEJISTA (MENSALISTA)</t>
  </si>
  <si>
    <t>AUXILIAR DE ENCANADOR OU BOMBEIRO HIDRAULICO</t>
  </si>
  <si>
    <t>AUXILIAR DE ENCANADOR OU BOMBEIRO HIDRAULICO (MENSALISTA)</t>
  </si>
  <si>
    <t>AUXILIAR DE ENCANADOR OU BOMBEIRO HIDRÁULICO COM ENCARGOS COMPLEMENTAR</t>
  </si>
  <si>
    <t>AUXILIAR DE ESCRITORIO</t>
  </si>
  <si>
    <t>AUXILIAR DE ESCRITORIO (MENSALISTA)</t>
  </si>
  <si>
    <t>AUXILIAR DE ESCRITORIO COM ENCARGOS COMPLEMENTARES</t>
  </si>
  <si>
    <t>AUXILIAR DE LABORATORISTA DE SOLOS E CONCRETO</t>
  </si>
  <si>
    <t>AUXILIAR DE LABORATORISTA DE SOLOS E DE CONCRETO (MENSALISTA)</t>
  </si>
  <si>
    <t>AUXILIAR DE MECANICO</t>
  </si>
  <si>
    <t>AUXILIAR DE MECANICO (MENSALISTA)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</si>
  <si>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</si>
  <si>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</si>
  <si>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</si>
  <si>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</si>
  <si>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</si>
  <si>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</si>
  <si>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</si>
  <si>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</si>
  <si>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</si>
  <si>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DE LOUCA BRANCA</t>
  </si>
  <si>
    <t>BACIA SANITARIA (VASO) CONVENCIONAL DE LOUCA BRANCA</t>
  </si>
  <si>
    <t>BACIA SANITARIA (VASO) CONVENCIONAL DE LOUCA COR</t>
  </si>
  <si>
    <t>BACIA SANITARIA (VASO) CONVENCIONAL PARA PCD COM FURO FRONTAL, DE LOUCA BRANCA, COM ASSENTO</t>
  </si>
  <si>
    <t>BACIA SANITARIA (VASO) CONVENCIONAL PARA PCD SEM FURO FRONTAL, DE LOUCA BRANCA, SEM ASSENTO</t>
  </si>
  <si>
    <t>BACIA SANITARIA TURCA DE LOUCA BRANCA</t>
  </si>
  <si>
    <t>BALDE PLASTICO CAPACIDADE *10* L</t>
  </si>
  <si>
    <t>BALDE VERMELHO PARA SINALIZACAO DE VIAS</t>
  </si>
  <si>
    <t>BANCA/PIA DE ACO INOXIDAVEL (AISI 430) COM 1 CUBA CENTRAL, COM VALVULA, ESCORREDOR DUPLO, DE *0,55 X 1,20* M</t>
  </si>
  <si>
    <t>BANCA/PIA DE ACO INOXIDAVEL (AISI 430) COM 1 CUBA CENTRAL, COM VALVULA, ESCORREDOR DUPLO, DE *0,55 X 1,40* M</t>
  </si>
  <si>
    <t>BANCA/PIA DE ACO INOXIDAVEL (AISI 430) COM 1 CUBA CENTRAL, COM VALVULA, ESCORREDOR DUPLO, DE *0,55 X 1,80* M</t>
  </si>
  <si>
    <t>BANCA/PIA DE ACO INOXIDAVEL (AISI 430) COM 1 CUBA CENTRAL, COM VALVULA, LISA (SEM ESCORREDOR), DE *0,55 X 1,20* M</t>
  </si>
  <si>
    <t>BANCA/PIA DE ACO INOXIDAVEL (AISI 430) COM 1 CUBA CENTRAL, SEM VALVULA, ESCORREDOR DUPLO, DE *0,55 X 1,60* M</t>
  </si>
  <si>
    <t>BANCA/PIA DE ACO INOXIDAVEL (AISI 430) COM 2 CUBAS, COM VALVULAS, ESCORREDOR DUPLO, DE *0,55 X 2,00* M</t>
  </si>
  <si>
    <t>BANCADA DE GRANITO CINZA POLIDO 150 X 60 CM, COM CUBA DE EMBUTIR DE AÇ O INOXIDÁVEL MÉDIA, VÁLVULA AMERICANA EM METAL CROMADO, SIFÃO FLEXÍVEL EM PVC, ENGATE FLEXÍVEL 30 CM, TORNEIRA CROMADA LONGA DE PAREDE, 1/2 OU 3/4, PARA PIA DE COZINHA, PADRÃO POPULAR- FORNEC. E INSTAL. AF_12/2 013</t>
  </si>
  <si>
    <t>BANCADA DE GRANITO CINZA POLIDO PARA LAVATÓRIO 0,50 X 0,60 M - FORNECI MENTO E INSTALAÇÃO. AF_12/2013</t>
  </si>
  <si>
    <t>BANCADA DE GRANITO CINZA POLIDO PARA PIA DE COZINHA 1,50 X 0,60 M - FO RNECIMENTO E INSTALAÇÃO. AF_12/2013</t>
  </si>
  <si>
    <t>BANCADA DE MÁRMORE BRANCO POLIDO PARA LAVATÓRIO 0,50 X 0,60 M - FORNEC IMENTO E INSTALAÇÃO. AF_12/2013</t>
  </si>
  <si>
    <t>BANCADA DE MÁRMORE BRANCO POLIDO PARA PIA DE COZINHA 1,50 X 0,60 M - F ORNECIMENTO E INSTALAÇÃO. AF_12/2013</t>
  </si>
  <si>
    <t>BANCADA DE MÁRMORE SINTÉTICO 120 X 60CM, COM CUBA INTEGRADA - FORNECIM ENTO E INSTALAÇÃO. AF_12/2013</t>
  </si>
  <si>
    <t>BANCADA DE MÁRMORE SINTÉTICO 120 X 60CM, COM CUBA INTEGRADA, INCLUSO S IFÃO TIPO FLEXÍVEL EM PVC, VÁLVULA EM PLÁSTICO CROMADO TIPO AMERICANA E TORNEIRA CROMADA LONGA, DE PAREDE, PADRÃO POPULAR - FORNECIMENTO E I NSTALAÇÃO. AF_12/2013</t>
  </si>
  <si>
    <t>BANCADA DE MÁRMORE SINTÉTICO 120 X 60CM, COM CUBA INTEGRADA, INCLUSO S IFÃO TIPO GARRAFA EM PVC, VÁLVULA EM PLÁSTICO CROMADO TIPO AMERICANA E TORNEIRA CROMADA LONGA, DE PAREDE, PADRÃO POPULAR - FORNECIMENTO E IN STALAÇÃO. AF_12/2013</t>
  </si>
  <si>
    <t>BANCADA DE MARMORE SINTETICO COM UMA CUBA, 120 X *60* CM</t>
  </si>
  <si>
    <t>BANCADA DE MARMORE SINTETICO COM UMA CUBA, 150 X *60* CM</t>
  </si>
  <si>
    <t>BANCADA DE MARMORE SINTETICO COM UMA CUBA, 200 X *60* CM</t>
  </si>
  <si>
    <t>BANCADA GRANITO CINZA POLIDO 0,50 X 0,60M, INCL. CUBA DE EMBUTIR OVAL LOUÇA BRANCA 35 X 50CM, VÁLVULA METAL CROMADO, SIFÃO FLEXÍVEL PVC, ENG ATE 30CM FLEXÍVEL PLÁSTICO E TORNEIRA CROMADA DE MESA, PADRÃO POPULAR - FORNEC. E INSTALAÇÃO. AF_12/2013</t>
  </si>
  <si>
    <t>BANCADA MÁRMORE BRANCO POLIDO 0,50 X 0,60M, INCLUSO CUBA DE EMBUTIR OV AL EM LOUÇA BRANCA 35 X 50CM, VÁLVULA, SIFÃO TIPO GARRAFA E ENGATE FLE XÍVEL 40CM EM METAL CROMADO E APARELHO MISTURADOR DE MESA, PADRÃO MÉDI O - FORNECIMENTO E INSTALAÇÃO. AF_12/2013</t>
  </si>
  <si>
    <t>BANCADA MÁRMORE BRANCO POLIDO 150 X 60 CM, COM CUBA DE EMBUTIR DE AÇO INOXIDÁVEL MÉDIA, VÁLVULA AMERICANA EM METAL CROMADO, SIFÃO  TIPO GARR AFA EM METAL CROMADO, ENGATE FLEXÍVEL 30 CM, TORNEIRA  CROMADA TUBO MÓ VEL, DE MESA, 1/2 OU 3/4, PARA PIA DE COZINHA, PADRÃO ALTO - FORNEC. E INSTAL. AF_12/2013</t>
  </si>
  <si>
    <t>BANCADA/ BANCA EM MARMORE, POLIDO, BRANCO COMUM, E=  *3* CM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</si>
  <si>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</si>
  <si>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</si>
  <si>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</si>
  <si>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</si>
  <si>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</si>
  <si>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BANDEJA SALVA-VIDAS/COLETA DE ENTULHOS, COM TABUA</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</si>
  <si>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</si>
  <si>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</si>
  <si>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</si>
  <si>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</si>
  <si>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</si>
  <si>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ANCORAGEM DE 0,60 M DE EXTENSAO, COM ROSCA DE 5/8", INCLUINDO PORCA E FLANGE (LOCACAO)</t>
  </si>
  <si>
    <t>BARRA DE ANCORAGEM DE 1,00 M DE EXTENSAO, COM ROSCA DE 5/8", INCLUINDO PORCA E FLANGE (LOCACAO)</t>
  </si>
  <si>
    <t>BARRA DE ANCORAGEM DE 1,20 M DE EXTENSAO, COM ROSCA DE 5/8", INCLUINDO PORCA E FLANGE (LOCACAO)</t>
  </si>
  <si>
    <t>BARRA DE APOIO ANGULAR, 60 CM, EM ACO INOX POLIDO, DIAMETRO MINIMO 3 CM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</si>
  <si>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</si>
  <si>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</si>
  <si>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</si>
  <si>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LAVATORIO DE CANTO, EM ACO INOX POLIDO,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</si>
  <si>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</si>
  <si>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</si>
  <si>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</si>
  <si>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</si>
  <si>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</si>
  <si>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</si>
  <si>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</si>
  <si>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</si>
  <si>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1 1/2"  X 1/2" (L X E), 3,79 KG/M</t>
  </si>
  <si>
    <t>BARRA DE FERRO RETANGULAR, BARRA CHATA, 1 1/2" X 1/4" (L X E), 1,89 KG/M</t>
  </si>
  <si>
    <t>BARRA DE FERRO RETANGULAR, BARRA CHATA, 1 1/4" X 3/8" (L X E)</t>
  </si>
  <si>
    <t>BARRA DE FERRO RETANGULAR, BARRA CHATA, 1" X 1/4" (L X E), 1,2265 KG/M</t>
  </si>
  <si>
    <t>BARRA DE FERRO RETANGULAR, BARRA CHATA, 1" X 3/16" (L X E), 1,73 KG/M</t>
  </si>
  <si>
    <t>BARRA DE FERRO RETANGULAR, BARRA CHATA, 2" X 1" (L X E), 10,12 KG/M</t>
  </si>
  <si>
    <t>BARRA DE FERRO RETANGULAR, BARRA CHATA, 2" X 1/2" (L X E),</t>
  </si>
  <si>
    <t>BARRA DE FERRO RETANGULAR, BARRA CHATA, 2" X 1/2" (L X E), 5,06 KG/M</t>
  </si>
  <si>
    <t>BARRA DE FERRO RETANGULAR, BARRA CHATA, 2" X 1/4" (L X E), 2,53 KG/M</t>
  </si>
  <si>
    <t>BARRA DE FERRO RETANGULAR, BARRA CHATA, 2" X 3/8" (L X E), 3,79KG/M</t>
  </si>
  <si>
    <t>BARRA DE FERRO RETANGULAR, BARRA CHATA, 2" X 5/16" (L X E), 3,162 KG/M</t>
  </si>
  <si>
    <t>BARRA DE FERRO RETANGULAR, BARRA CHATA, 3/4" X 1/8" (L X E), 0,47 KG/M</t>
  </si>
  <si>
    <t>BARRA DE FERRO RETANGULAR, BARRA CHATA, 3/4" X 3/16" (L X E)</t>
  </si>
  <si>
    <t>BARRA DE FERRO RETANGULAR, BARRA CHATA, 3/8" X 1 1/2" (L X E), 2,84 KG/M</t>
  </si>
  <si>
    <t>BARRA LISA COM ARGAMASSA TRACO 1:4 (CIMENTO E AREIA GROSSA), ESPESSURA 2,0CM, INCLUSO ADITIVO IMPERMEABILIZANTE, PREPARO MECANICO DA ARGAMAS SA</t>
  </si>
  <si>
    <t>BARRA LISA TRACO 1:3 (CIMENTO E AREIA MEDIA NAO PENEIRADA), INCLUSO AD ITIVO IMPERMEABILIZANTE, ESPESSURA 0,5CM, PREPARO MANUAL DA ARGAMASSA</t>
  </si>
  <si>
    <t>BARRA LISA TRACO 1:3 (CIMENTO E AREIA MEDIA), ESPESSURA 0,5CM, PREPARO MANUAL DA ARGAMASSA</t>
  </si>
  <si>
    <t>BARRA LISA TRACO 1:3 (CIMENTO E AREIA MEDIA), ESPESSURA 1,0CM, PREPARO MANUAL DA ARGAMASSA</t>
  </si>
  <si>
    <t>BARRA LISA TRACO 1:3 (CIMENTO E AREIA MEDIA), ESPESSURA 1,5CM, PREPARO MANUAL DA ARGAMASSA</t>
  </si>
  <si>
    <t>BARRA LISA TRACO 1:4 (CIMENTO E AREIA MEDIA), COM CORANTE AMARELO, ESP ESSURA 2,0CM, PREPARO MANUAL DA ARGAMASSA</t>
  </si>
  <si>
    <t>BARRA LISA TRACO 1:4 (CIMENTO E AREIA MEDIA), ESPESSURA 2,0CM, PREPARO MANUAL DA ARGAMASSA</t>
  </si>
  <si>
    <t>BARREIRA DUPLA PRE-MOL INTER CONCRETO ARMADO 0,15X0,65X0,77M FCK=25MPA ACO CA-50 INCL FERROS DE LIGACAO E MATERIAIS.</t>
  </si>
  <si>
    <t>BARREIRA PRE-MOLDADA EXTERNA CONCRETO ARMADO 0,25X0,40X1,14M FCK=25MPA ACO CA-50 INCL VIGOTA HORIZONTAL MONTANTE A CADA 1,00M  FERROS DE LIG ACAO E MATERIAIS.</t>
  </si>
  <si>
    <t>BARROTEAMENTO PARA FORRO, COM PECAS DE MADEIRA 2,5X10CM, ESPACADAS DE 50CM</t>
  </si>
  <si>
    <t>BASCULANTE ALUMINIO 80 X 60CM - SERIE 25</t>
  </si>
  <si>
    <t>BASE DE SOLO - BRITA (40/60), MISTURA EM USINA, COMPACTACAO 100% PROCT OR MODIFICADO, EXCLUSIVE ESCAVACAO, CARGA E TRANSPORTE</t>
  </si>
  <si>
    <t>BASE DE SOLO - BRITA (50/50), MISTURA EM USINA, COMPACTACAO 100% PROCT OR MODIFICADO, EXCLUSIVE ESCAVACAO, CARGA E TRANSPORTE</t>
  </si>
  <si>
    <t>BASE DE SOLO ARENOSO FINO, COMPACTACAO 100% PROCTOR MODIFICADO</t>
  </si>
  <si>
    <t>BASE DE SOLO CIMENTO 2% MISTURA EM PISTA, COMPACTACAO 100% PROCTOR INT ERMEDIARIO, EXCLUSIVE ESCAVACAO, CARGA E TRANSPORTE DO SOLO</t>
  </si>
  <si>
    <t>BASE DE SOLO CIMENTO 2% MISTURA EM USINA, COMPACTACAO 100% PROCTOR INT ERMEDIARIO, EXCLUSIVE ESCAVACAO, CARGA E TRANSPORTE DO SOLO</t>
  </si>
  <si>
    <t>BASE DE SOLO CIMENTO 4% MISTURA EM PISTA, COMPACTACAO 100% PROCTOR NOR MAL, EXCLUSIVE TRANSPORTE DO SOLO</t>
  </si>
  <si>
    <t>BASE DE SOLO CIMENTO 4% MISTURA EM USINA, COMPACTACAO 100% PROCTOR NOR MAL, EXCLUSIVE ESCAVACAO, CARGA E TRANSPORTE DO SOLO</t>
  </si>
  <si>
    <t>BASE DE SOLO CIMENTO 6% COM MISTURA EM USINA, COMPACTACAO 100% PROCTOR NORMAL, EXCLUSIVE ESCAVACAO, CARGA E TRANSPORTE DO SOLO</t>
  </si>
  <si>
    <t>BASE DE SOLO CIMENTO 6% MISTURA EM PISTA, COMPACTACAO 100% PROCTOR NOR MAL, EXCLUSIVE ESCAVACAO, CARGA E TRANSPORTE DO SOLO</t>
  </si>
  <si>
    <t>BASE DE SOLO ESTABILIZADO SEM MISTURA, COMPACTACAO 100% PROCTOR NORMAL , EXCLUSIVE ESCAVACAO, CARGA E TRANSPORTE DO SOLO</t>
  </si>
  <si>
    <t>BASE P/ FUSIVEIS NH TAMANHO 00, DE 6 A 160A, TIPO 3 NH 3 030-Z DA SIEMENS OU EQUIV</t>
  </si>
  <si>
    <t>BASE P/ FUSIVEIS NH TAMANHO 01, DE 40 A 250A, TIPO 3 NH 3 230-Z DA SIEMENS OU EQUIV</t>
  </si>
  <si>
    <t>BASE PARA FUSIVEL (PORTA-FUSIVEL) NH 01 250A</t>
  </si>
  <si>
    <t>BASE PARA MASTRO DE PARA-RAIOS DIAMETRO NOMINAL 1 1/2"</t>
  </si>
  <si>
    <t>BASE PARA MASTRO DE PARA-RAIOS DIAMETRO NOMINAL 2"</t>
  </si>
  <si>
    <t>BASE PARA PAVIMENTACAO COM BRITA CORRIDA, INCLUSIVE COMPACTACAO</t>
  </si>
  <si>
    <t>BASE PARA PAVIMENTACAO COM BRITA GRADUADA, INCLUSIVE COMPACTACAO</t>
  </si>
  <si>
    <t>BASE PARA PAVIMENTACAO COM MACADAME HIDRAULICO, INCLUSIVE COMPACTACAO</t>
  </si>
  <si>
    <t>BASE SOLO ESTABIL C/ MATERIAIS MISTURADOS NA USINA / TRANSP AGUA EXCL. ESCAV., CARGA E TRANSPORTE DOS SOLOS UTILIZADOS E BRITA</t>
  </si>
  <si>
    <t>BATE-ESTACAS POR GRAVIDADE, POTÊNCIA DE 160 HP, PESO DO MARTELO ATÉ 3 TONELADAS - CHI DIURNO. AF_11/2014</t>
  </si>
  <si>
    <t>BATE-ESTACAS POR GRAVIDADE, POTÊNCIA DE 160 HP, PESO DO MARTELO ATÉ 3 TONELADAS - CHP DIURNO. AF_11/2014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</si>
  <si>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</si>
  <si>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</si>
  <si>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</si>
  <si>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</si>
  <si>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POTENCIA160 HP, PESO DO MARTELO ATE 3 TONELADAS</t>
  </si>
  <si>
    <t>BATENTE FERRO 1X1/8"</t>
  </si>
  <si>
    <t>BATENTE/ PORTAL/ ADUELA/ MARCO MACICO, E= *3* CM, L= *13* CM, EM CEDRINHO/ ANGELIM COMERCIAL/ EUCALIPTO/ CURUPIXA/ PEROBA/ CUMARU OU EQUIVALENTE DA REGIAO</t>
  </si>
  <si>
    <t>BATENTE/ PORTAL/ ADUELA/MARCO MACICO, E= *3* CM, L= *15* CM, *60 CM A 120* CM  X *210* CM, EM PINUS/ TAUARI/ VIROLA OU EQUIVALENTE DA REGIAO</t>
  </si>
  <si>
    <t>BETONEIRA CAPACIDADE NOMINAL 250 L, CAPACIDADE DE MISTURA  200 L, MOTOR ELETRICO TRIFASICO 220/380 V POTENCIA 1 CV, SEM CARREGADOR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</si>
  <si>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</si>
  <si>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</si>
  <si>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DIESEL POTÊNCIA 5,0 HP, SEM CARREGADOR - CHI DIURNO. AF_06/2014</t>
  </si>
  <si>
    <t>BETONEIRA CAPACIDADE NOMINAL 400 L, CAPACIDADE DE MISTURA 310 L, MOTOR A DIESEL POTÊNCIA 5,0 HP, SEM CARREGADOR - CHP DIURNO.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</si>
  <si>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</si>
  <si>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</si>
  <si>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</si>
  <si>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 06/2014</t>
  </si>
  <si>
    <t>BETONEIRA CAPACIDADE NOMINAL 400 L, CAPACIDADE DE MISTURA 310 L, MOTOR A GASOLINA POTENCIA 5,5 CV, SEM CARREGADOR</t>
  </si>
  <si>
    <t>BETONEIRA CAPACIDADE NOMINAL 400 L, CAPACIDADE DE MISTURA 310 L, MOTOR A GASOLINA POTÊNCIA 5,5 HP, SEM CARREGADOR - CHI DIURNO. AF_02/2016</t>
  </si>
  <si>
    <t>BETONEIRA CAPACIDADE NOMINAL 400 L, CAPACIDADE DE MISTURA 310 L, MOTOR A GASOLINA POTÊNCIA 5,5 HP, SEM CARREGADOR - CHP DIURNO. AF_02/2016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</si>
  <si>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</si>
  <si>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</si>
  <si>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</si>
  <si>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 F_02/2016</t>
  </si>
  <si>
    <t>BETONEIRA CAPACIDADE NOMINAL 600 L, CAPACIDADE DE MISTURA 440 L, MOTOR A GASOLINA POTENCIA 10 HP, COM CARREGADOR</t>
  </si>
  <si>
    <t>BETONEIRA CAPACIDADE NOMINAL DE 400 L, CAPACIDADE DE MISTURA 310 L, MO TOR ELÉTRICO TRIFÁSICO POTÊNCIA DE 2 HP, SEM CARREGADOR - CHI DIURNO. AF_10/2014</t>
  </si>
  <si>
    <t>BETONEIRA CAPACIDADE NOMINAL DE 400 L, CAPACIDADE DE MISTURA 310 L, MO TOR ELÉTRICO TRIFÁSICO POTÊNCIA DE 2 HP, SEM CARREGADOR - CHP DIURNO. AF_10/2014</t>
  </si>
  <si>
    <t>BETONEIRA CAPACIDADE NOMINAL DE 400 L, CAPACIDADE DE MISTURA 310 L, MO TOR ELÉTRICO TRIFÁSICO POTÊNCIA DE 2 HP, SEM CARREGADOR - DEPRECIAÇÃO. AF_10/2014</t>
  </si>
  <si>
    <t>BETONEIRA CAPACIDADE NOMINAL DE 400 L, CAPACIDADE DE MISTURA 310 L, MO TOR ELÉTRICO TRIFÁSICO POTÊNCIA DE 2 HP, SEM CARREGADOR - JUROS. AF_10 /2014</t>
  </si>
  <si>
    <t>BETONEIRA CAPACIDADE NOMINAL DE 400 L, CAPACIDADE DE MISTURA 310 L, MO TOR ELÉTRICO TRIFÁSICO POTÊNCIA DE 2 HP, SEM CARREGADOR - MANUTENÇÃO. AF_10/2014</t>
  </si>
  <si>
    <t>BETONEIRA CAPACIDADE NOMINAL DE 400 L, CAPACIDADE DE MISTURA 310 L, MO TOR ELÉTRICO TRIFÁSICO POTÊNCIA DE 2 HP, SEM CARREGADOR - MATERIAIS NA OPERAÇÃO. AF_10/2014</t>
  </si>
  <si>
    <t>BETONEIRA CAPACIDADE NOMINAL DE 600 L, CAPACIDADE DE MISTURA 360 L, MO TOR ELÉTRICO TRIFÁSICO POTÊNCIA DE 4 CV, SEM CARREGADOR - CHI DIURNO. AF_11/2014</t>
  </si>
  <si>
    <t>BETONEIRA CAPACIDADE NOMINAL DE 600 L, CAPACIDADE DE MISTURA 360 L, MO TOR ELÉTRICO TRIFÁSICO POTÊNCIA DE 4 CV, SEM CARREGADOR - CHP DIURNO. AF_11/2014</t>
  </si>
  <si>
    <t>BETONEIRA CAPACIDADE NOMINAL DE 600 L, CAPACIDADE DE MISTURA 360 L, MO TOR ELÉTRICO TRIFÁSICO POTÊNCIA DE 4 CV, SEM CARREGADOR - DEPRECIAÇÃO. AF_11/2014</t>
  </si>
  <si>
    <t>BETONEIRA CAPACIDADE NOMINAL DE 600 L, CAPACIDADE DE MISTURA 360 L, MO TOR ELÉTRICO TRIFÁSICO POTÊNCIA DE 4 CV, SEM CARREGADOR - JUROS. AF_11 /2014</t>
  </si>
  <si>
    <t>BETONEIRA CAPACIDADE NOMINAL DE 600 L, CAPACIDADE DE MISTURA 360 L, MO TOR ELÉTRICO TRIFÁSICO POTÊNCIA DE 4 CV, SEM CARREGADOR - MANUTENÇÃO. AF_11/2014</t>
  </si>
  <si>
    <t>BETONEIRA CAPACIDADE NOMINAL DE 600 L, CAPACIDADE DE MISTURA 360 L, MO TOR ELÉTRICO TRIFÁSICO POTÊNCIA DE 4 CV, SEM CARREGADOR - MATERIAIS NA OPERAÇÃO. AF_11/2014</t>
  </si>
  <si>
    <t>BETONEIRA CAPACIDADE NOMINAL DE 600 L, CAPACIDADE DE MISTURA 440 L, MO TOR A DIESEL POTÊNCIA 10 HP, COM CARREGADOR - CHI DIURNO. AF_11/2014</t>
  </si>
  <si>
    <t>BETONEIRA CAPACIDADE NOMINAL DE 600 L, CAPACIDADE DE MISTURA 440 L, MO TOR A DIESEL POTÊNCIA 10 HP, COM CARREGADOR - CHP DIURNO. AF_11/2014</t>
  </si>
  <si>
    <t>BETONEIRA CAPACIDADE NOMINAL DE 600 L, CAPACIDADE DE MISTURA 440 L, MO TOR A DIESEL POTÊNCIA 10 HP, COM CARREGADOR - DEPRECIAÇÃO. AF_11/2014</t>
  </si>
  <si>
    <t>BETONEIRA CAPACIDADE NOMINAL DE 600 L, CAPACIDADE DE MISTURA 440 L, MO TOR A DIESEL POTÊNCIA 10 HP, COM CARREGADOR - JUROS. AF_11/2014</t>
  </si>
  <si>
    <t>BETONEIRA CAPACIDADE NOMINAL DE 600 L, CAPACIDADE DE MISTURA 440 L, MO TOR A DIESEL POTÊNCIA 10 HP, COM CARREGADOR - MANUTENÇÃO. AF_11/2014</t>
  </si>
  <si>
    <t>BETONEIRA CAPACIDADE NOMINAL DE 600 L, CAPACIDADE DE MISTURA 440 L, MO TOR A DIESEL POTÊNCIA 10 HP, COM CARREGADOR - MATERIAIS NA OPERAÇÃO. A F_11/2014</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</si>
  <si>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</si>
  <si>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</si>
  <si>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</si>
  <si>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 (MENSALISTA)</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</si>
  <si>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</si>
  <si>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</si>
  <si>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</si>
  <si>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</si>
  <si>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DE VEDACAO), DE 9 X 19 X 19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</si>
  <si>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</si>
  <si>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</si>
  <si>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</si>
  <si>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</si>
  <si>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</si>
  <si>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</si>
  <si>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</si>
  <si>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</si>
  <si>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</si>
  <si>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</si>
  <si>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</si>
  <si>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</si>
  <si>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</si>
  <si>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</si>
  <si>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</si>
  <si>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</si>
  <si>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</si>
  <si>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</si>
  <si>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</si>
  <si>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</si>
  <si>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</si>
  <si>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</si>
  <si>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</si>
  <si>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</si>
  <si>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</si>
  <si>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</si>
  <si>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</si>
  <si>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</si>
  <si>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</si>
  <si>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</si>
  <si>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CANELADO, DE *19 X 19 X 8* CM</t>
  </si>
  <si>
    <t>BLOCO DE VIDRO/ELEMENTO VAZADO INCOLOR, VENEZIANA, DE *20 X 20 X 6*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</si>
  <si>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</si>
  <si>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</si>
  <si>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</si>
  <si>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</si>
  <si>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3,0 MPA (NBR 15270)</t>
  </si>
  <si>
    <t>BLOCO ESTRUTURAL CERAMICO 14 X 19 X 39 CM, 6,0 MPA (NBR 15270)</t>
  </si>
  <si>
    <t>BLOCO ESTRUTURAL CERAMICO 19 X 19 X 29 CM, 6,0 MPA (NBR 15270)</t>
  </si>
  <si>
    <t>BLOCO ESTRUTURAL CERAMICO 19 X 19 X 39 CM, 6,0 MPA (NBR 15270)</t>
  </si>
  <si>
    <t>BLOCO VEDACAO CONCRETO 14 X 19 X 29 CM (CLASSE D - NBR 6136)</t>
  </si>
  <si>
    <t>BLOCO VEDACAO CONCRETO 14 X 19 X 39 CM (CLASSE D - NBR 6136)</t>
  </si>
  <si>
    <t>BLOCO VEDACAO CONCRETO 19 X 19 X 39 CM (CLASSE D - NBR 6136)</t>
  </si>
  <si>
    <t>BLOCO VEDACAO CONCRETO 9 X 19 X 39 CM (CLASSE D - NBR 6136)</t>
  </si>
  <si>
    <t>BLOCO VEDACAO CONCRETO CELULAR AUTOCLAVADO 10 X 30 X 60 CM (E X A X C)</t>
  </si>
  <si>
    <t>BLOCO VEDACAO CONCRETO CELULAR AUTOCLAVADO 15 X 30 X 60 CM (E X A X C)</t>
  </si>
  <si>
    <t>BLOCO VEDACAO CONCRETO CELULAR AUTOCLAVADO 20 X 30 X 60 CM</t>
  </si>
  <si>
    <t>BLOCO VIDRO INCOLOR XADREZ, DE *20 X 20 X 10* CM</t>
  </si>
  <si>
    <t>BLOCO VIDRO/ELEMENTO VAZADO, INCOLOR, VENEZIANA, *20 X 10 X 8* CM</t>
  </si>
  <si>
    <t>BLOCOS DE VIDRO TIPO CANELADO 19X19X8CM, ASSENTADO COM ARGAMASSA TRACO 1:3 (CIMENTO E AREIA GROSSA) PREPARO MECANICO, COM REJUNTAMENTO EM CI MENTO BRANCO E BARRAS DE ACO</t>
  </si>
  <si>
    <t>BLOCOS DE VIDRO TIPO XADREZ 20X10X8CM, ASSENTADO COM ARGAMASSA TRACO 1 :3 (CIMENTO E AREIA GROSSA) PREPARO MECANICO, COM REJUNTAMENTO EM CIME NTO BRANCO E BARRAS DE ACO</t>
  </si>
  <si>
    <t>BLOCOS DE VIDRO TIPO XADREZ 20X20X10CM, ASSENTADO COM ARGAMASSA TRACO 1:3 (CIMENTO E AREIA GROSSA) PREPARO MECANICO, COM REJUNTAMENTO EM CIM ENTO BRANCO E BARRAS DE ACO</t>
  </si>
  <si>
    <t>BLOQUETE/PISO INTERTRAVADO DE CONCRETO - MODELO RAQUETE, *22 CM X 13,5* CM, E = 6 CM, RESISTENCIA DE 35 MPA (NBR 9781), COR NATURAL</t>
  </si>
  <si>
    <t>BLOQUETE/PISO INTERTRAVADO DE CONCRETO - MODELO RETANGULAR/TIJOLINHO/PAVER/HOLANDES/PARALELEPIPEDO, 20 CM X 10 CM, E = 6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</si>
  <si>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</si>
  <si>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</si>
  <si>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</si>
  <si>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</si>
  <si>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</si>
  <si>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</si>
  <si>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</si>
  <si>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</si>
  <si>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</si>
  <si>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</si>
  <si>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 DE LOBO EM ALVENARIA TIJOLO MACICO, REVESTIDA C/ ARGAMASSA DE CIM ENTO E AREIA 1:3, SOBRE LASTRO DE CONCRETO 10CM E TAMPA DE CONCRETO AR MADO</t>
  </si>
  <si>
    <t>BOCA P/BUEIRO SIMPLES TUBULAR D=0,40M EM CONCRETO CICLOPICO, INCLINDO FORMAS, ESCAVACAO, REATERRO E MATERIAIS, EXCLUINDO MATERIAL REATERRO J AZIDA E TRANSPORTE</t>
  </si>
  <si>
    <t>BOCA PARA BUEIRO DUPLO TUBULAR, DIAMETRO =0,40M, EM CONCRETO CICLOPICO , INCLUINDO FORMAS, ESCAVACAO, REATERRO E MATERIAIS, EXCLUINDO MATERIA L REATERRO JAZIDA E TRANSPORTE.</t>
  </si>
  <si>
    <t>BOCA PARA BUEIRO DUPLO TUBULAR, DIAMETRO =0,60M, EM CONCRETO CICLOPICO , INCLUINDO FORMAS, ESCAVACAO, REATERRO E MATERIAIS, EXCLUINDO MATERIA L REATERRO JAZIDA E TRANSPORTE.</t>
  </si>
  <si>
    <t>BOCA PARA BUEIRO DUPLO TUBULAR, DIAMETRO =0,80M, EM CONCRETO CICLOPICO , INCLUINDO FORMAS, ESCAVACAO, REATERRO E MATERIAIS, EXCLUINDO MATERIA L REATERRO JAZIDA E TRANSPORTE.</t>
  </si>
  <si>
    <t>BOCA PARA BUEIRO DUPLO TUBULAR, DIAMETRO =1,00M, EM CONCRETO CICLOPICO , INCLUINDO FORMAS, ESCAVACAO, REATERRO E MATERIAIS, EXCLUINDO MATERIA L REATERRO JAZIDA E TRANSPORTE.</t>
  </si>
  <si>
    <t>BOCA PARA BUEIRO DUPLOTUBULAR, DIAMETRO =1,20M, EM CONCRETO CICLOPICO, INCLUINDO FORMAS, ESCAVACAO, REATERRO E MATERIAIS, EXCLUINDO MATERIAL REATERRO JAZIDA E TRANSPORTE.</t>
  </si>
  <si>
    <t>BOCA PARA BUEIRO SIMPLES TUBULAR, DIAMETRO =0,60M, EM CONCRETO CICLOPI CO, INCLUINDO FORMAS, ESCAVACAO, REATERRO E MATERIAIS, EXCLUINDO MATER IAL REATERRO JAZIDA E TRANSPORTE.</t>
  </si>
  <si>
    <t>BOCA PARA BUEIRO SIMPLES TUBULAR, DIAMETRO =0,80M, EM CONCRETO CICLOPI CO, INCLUINDO FORMAS, ESCAVACAO, REATERRO E MATERIAIS, EXCLUINDO MATER IAL REATERRO JAZIDA E TRANSPORTE.</t>
  </si>
  <si>
    <t>BOCA PARA BUEIRO SIMPLES TUBULAR, DIAMETRO =1,00M, EM CONCRETO CICLOPI CO, INCLUINDO FORMAS, ESCAVACAO, REATERRO E MATERIAIS, EXCLUINDO MATER IAL REATERRO JAZIDA E TRANSPORTE.</t>
  </si>
  <si>
    <t>BOCA PARA BUEIRO SIMPLES TUBULAR, DIAMETRO =1,20M, EM CONCRETO CICLOPI CO, INCLUINDO FORMAS, ESCAVACAO, REATERRO E MATERIAIS, EXCLUINDO MATER IAL REATERRO JAZIDA E TRANSPORTE.</t>
  </si>
  <si>
    <t>BOCA PARA BUEIRO TRIPLO TUBULAR, DIAMETRO =0,40M, EM CONCRETO CICLOPIC O, INCLUINDO FORMAS, ESCAVACAO, REATERRO E MATERIAIS, EXCLUINDO MATERI AL REATERRO JAZIDA E TRANSPORTE.</t>
  </si>
  <si>
    <t>BOCA PARA BUEIRO TRIPLO TUBULAR, DIAMETRO =0,60M, EM CONCRETO CICLOPIC O, INCLUINDO FORMAS, ESCAVACAO, REATERRO E MATERIAIS, EXCLUINDO MATERI AL REATERRO JAZIDA E TRANSPORTE.</t>
  </si>
  <si>
    <t>BOCA PARA BUEIRO TRIPLO TUBULAR, DIAMETRO =0,80M, EM CONCRETO CICLOPIC O, INCLUINDO FORMAS, ESCAVACAO, REATERRO E MATERIAIS, EXCLUINDO MATERI AL REATERRO JAZIDA E TRANSPORTE.</t>
  </si>
  <si>
    <t>BOCA PARA BUEIRO TRIPLO TUBULAR, DIAMETRO =1,00M, EM CONCRETO CICLOPIC O, INCLUINDO FORMAS, ESCAVACAO, REATERRO E MATERIAIS, EXCLUINDO MATERI AL REATERRO JAZIDA E TRANSPORTE.</t>
  </si>
  <si>
    <t>BOCA PARA BUEIRO TRIPLO TUBULAR, DIAMETRO =1,20M, EM CONCRETO CICLOPIC O, INCLUINDO FORMAS, ESCAVACAO, REATERRO E MATERIAIS, EXCLUINDO MATERI AL REATERRO JAZIDA E TRANSPORTE.</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</si>
  <si>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</si>
  <si>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</si>
  <si>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</si>
  <si>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</si>
  <si>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</si>
  <si>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 MOTOR ELETRICO TRIFASICO 1CV</t>
  </si>
  <si>
    <t>BOMBA CENTRIFUGA COM MOTOR ELETRICO MONOFASICO, POTENCIA 0,33 HP,  BOCAIS 1" X 3/4", DIAMETRO DO ROTOR 99 MM, HM/Q = 4 MCA / 8,5 M3/H A 18 MCA / 0,90 M3/H</t>
  </si>
  <si>
    <t>BOMBA CENTRÍFUGA MONOESTÁGIO COM MOTOR ELÉTRICO MONOFÁSICO, POTÊNCIA 1 5 HP, DIÂMETRO DO ROTOR 173 MM, HM/Q = 30 MCA / 90 M3/H A 45 MCA / 55 M3/H - CHI DIURNO. AF_06/2015</t>
  </si>
  <si>
    <t>BOMBA CENTRÍFUGA MONOESTÁGIO COM MOTOR ELÉTRICO MONOFÁSICO, POTÊNCIA 1 5 HP, DIÂMETRO DO ROTOR 173 MM, HM/Q = 30 MCA / 90 M3/H A 45 MCA / 55 M3/H - CHP DIURNO. AF_06/2015</t>
  </si>
  <si>
    <t>BOMBA CENTRÍFUGA MONOESTÁGIO COM MOTOR ELÉTRICO MONOFÁSICO, POTÊNCIA 1 5 HP, DIÂMETRO DO ROTOR 173 MM, HM/Q = 30 MCA / 90 M3/H A 45 MCA / 55 M3/H - DEPRECIAÇÃO. AF_06/2015</t>
  </si>
  <si>
    <t>BOMBA CENTRÍFUGA MONOESTÁGIO COM MOTOR ELÉTRICO MONOFÁSICO, POTÊNCIA 1 5 HP, DIÂMETRO DO ROTOR 173 MM, HM/Q = 30 MCA / 90 M3/H A 45 MCA / 55 M3/H - JUROS. AF_06/2015</t>
  </si>
  <si>
    <t>BOMBA CENTRÍFUGA MONOESTÁGIO COM MOTOR ELÉTRICO MONOFÁSICO, POTÊNCIA 1 5 HP, DIÂMETRO DO ROTOR 173 MM, HM/Q = 30 MCA / 90 M3/H A 45 MCA / 55 M3/H - MANUTENÇÃO. AF_06/2015</t>
  </si>
  <si>
    <t>BOMBA CENTRÍFUGA MONOESTÁGIO COM MOTOR ELÉTRICO MONOFÁSICO, POTÊNCIA 1 5 HP, DIÂMETRO DO ROTOR 173 MM, HM/Q = 30 MCA / 90 M3/H A 45 MCA / 55 M3/H - MATERIAIS NA OPERAÇÃO. AF_06/2015</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</si>
  <si>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</si>
  <si>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</si>
  <si>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</si>
  <si>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</si>
  <si>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</si>
  <si>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</si>
  <si>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</si>
  <si>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</si>
  <si>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</si>
  <si>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</si>
  <si>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PROJEÇÃO DE CONCRETO SECO, POTÊNCIA 10 CV, VAZÃO 3 M3/H - CHI DIURNO. AF_06/2015</t>
  </si>
  <si>
    <t>BOMBA DE PROJEÇÃO DE CONCRETO SECO, POTÊNCIA 10 CV, VAZÃO 3 M3/H - CHP DIURNO. AF_06/2015</t>
  </si>
  <si>
    <t>BOMBA DE PROJEÇÃO DE CONCRETO SECO, POTÊNCIA 10 CV, VAZÃO 3 M3/H - DEP RECIAÇÃO. AF_06/2015</t>
  </si>
  <si>
    <t>BOMBA DE PROJEÇÃO DE CONCRETO SECO, POTÊNCIA 10 CV, VAZÃO 3 M3/H - JUR OS. AF_06/2015</t>
  </si>
  <si>
    <t>BOMBA DE PROJEÇÃO DE CONCRETO SECO, POTÊNCIA 10 CV, VAZÃO 3 M3/H - MAN UTENÇÃO. AF_06/2015</t>
  </si>
  <si>
    <t>BOMBA DE PROJEÇÃO DE CONCRETO SECO, POTÊNCIA 10 CV, VAZÃO 3 M3/H - MAT ERIAIS NA OPERAÇÃO. AF_06/2015</t>
  </si>
  <si>
    <t>BOMBA DE PROJECAO DE CONCRETO SECO, POTENCIA 10 CV, VAZAO 6 M3/H</t>
  </si>
  <si>
    <t>BOMBA DE PROJEÇÃO DE CONCRETO SECO, POTÊNCIA 10 CV, VAZÃO 6 M3/H - CHI DIURNO. AF_06/2015</t>
  </si>
  <si>
    <t>BOMBA DE PROJEÇÃO DE CONCRETO SECO, POTÊNCIA 10 CV, VAZÃO 6 M3/H - CHP DIURNO. AF_06/2015</t>
  </si>
  <si>
    <t>BOMBA DE PROJEÇÃO DE CONCRETO SECO, POTÊNCIA 10 CV, VAZÃO 6 M3/H - DEP RECIAÇÃO. AF_06/2015</t>
  </si>
  <si>
    <t>BOMBA DE PROJEÇÃO DE CONCRETO SECO, POTÊNCIA 10 CV, VAZÃO 6 M3/H - JUR OS. AF_06/2015</t>
  </si>
  <si>
    <t>BOMBA DE PROJEÇÃO DE CONCRETO SECO, POTÊNCIA 10 CV, VAZÃO 6 M3/H - MAN UTENÇÃO. AF_06/2015</t>
  </si>
  <si>
    <t>BOMBA DE PROJEÇÃO DE CONCRETO SECO, POTÊNCIA 10 CV, VAZÃO 6 M3/H - MAT ERIAIS NA OPERAÇÃO. AF_06/2015</t>
  </si>
  <si>
    <t>BOMBA INJETORA DE NATA DE CIMENTO COM MISTURADOR INTEGRADO, VAZAO 60 L/ MIN, PRESSAO MAXIMA DE 100 BAR</t>
  </si>
  <si>
    <t>BOMBA MANUAL PARA TESTE HIDROSTATICO ATE 30 BAR (LOCACAO)</t>
  </si>
  <si>
    <t>BOMBA MANUAL PARA TESTE HIDROSTATICO ATE 60 BAR (LOCACAO)</t>
  </si>
  <si>
    <t>BOMBA RECALQUE D'AGUA DE ESTAGIOS TRIFASICA 2,0 HP</t>
  </si>
  <si>
    <t>BOMBA RECALQUE D'AGUA PREDIO 3 A 5 PAVTOS - 2UD</t>
  </si>
  <si>
    <t>BOMBA RECALQUE D'AGUA PREDIO 6 A 10 PAVTOS - 2UD</t>
  </si>
  <si>
    <t>BOMBA RECALQUE D'AGUA TRIFASICA 0,5 HP</t>
  </si>
  <si>
    <t>BOMBA RECALQUE D'AGUA TRIFASICA 1,5HP</t>
  </si>
  <si>
    <t>BOMBA RECALQUE D'AGUA TRIFASICA 10,0 HP</t>
  </si>
  <si>
    <t>BOMBA RECALQUE D'AGUA TRIFASICA 3,0 HP</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</si>
  <si>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</si>
  <si>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</si>
  <si>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</si>
  <si>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</si>
  <si>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</si>
  <si>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</si>
  <si>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</si>
  <si>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SUBMERSÍVEL ELÉTRICA TRIFÁSICA, POTÊNCIA 2,96 HP, Ø ROTOR 144 MM SEMI-ABERTO, BOCAL DE SAÍDA Ø 2, HM/Q = 2 MCA / 38,8 M3/H A 28 MCA / 5 M3/H - CHI DIURNO.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</si>
  <si>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</si>
  <si>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</si>
  <si>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</si>
  <si>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</si>
  <si>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</si>
  <si>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SUBMERSIVEL ELETRICA, TRIFASICA, POTÊNCIA 3,75 HP, DIAMETRO DO R OTOR 90 MM SEMIABERTO, BOCAL DE SAIDA DIAMETRO DE 2 POLEGADAS, HM/Q = 5 M / 61,2 M3/H A 25,5 M / 3,6 M3/H</t>
  </si>
  <si>
    <t>BOMBA SUBMERSIVEL PARA DRENAGEM E ESGOTAMENTO COM MOTOR ELETRICO TRIFASICO DE ATE 2 CV, DESCARGA = 2", ALTURA MANOMETRICA = 10 M, VAZAO = 25 M3/H (417 LITROS/MINUTO) (LOCACAO)</t>
  </si>
  <si>
    <t>BOMBA SUBMERSIVEL PARA DRENAGEM E ESGOTAMENTO, MOTOR ELETRICO TRIFASICO, POTENCIA DE 2 CV, DIAMETRO DE RECALQUE DE 2". FAIXA DE OPERACAO: Q=35 M3/H (+ OU - 3 M3/H) E AMT=2 M; Q=13 M3/H (+ OU - 3 M3/H) E AMT = 17 M (+ OU - 3 M) (LOCACAO)</t>
  </si>
  <si>
    <t>BOMBA SUBMERSIVEL PARA DRENAGEM E ESGOTAMENTO, MOTOR ELETRICO TRIFASICO, POTENCIA DE 2 CV, DIAMETRO DE RECALQUE DE 3". FAIXA DE OPERACAO: Q=70 M3/H (+ OU - 2 M3/H) E AMT=2 M; Q=9,5 M3/H (+ OU - 3,5 M3/H) E AMT = 10 M (+ OU - 2 M) (LOCACAO)</t>
  </si>
  <si>
    <t>BOMBA SUBMERSIVEL PARA DRENAGEM E ESGOTAMENTO, MOTOR ELETRICO TRIFASICO, POTENCIA DE 3 CV, DIAMETRO DE RECALQUE DE 2". FAIXA DE OPERACAO: Q=84 M3/H (+ OU - 2,5 M3/H) E AMT=2 M; Q=9,1 M3/H (+ OU - 2 M3/H) E AMT = 12 M (+ OU - 2 M) (LOCACAO)</t>
  </si>
  <si>
    <t>BOMBA SUBMERSIVEL PARA DRENAGEM E ESGOTAMENTO, MOTOR ELETRICO TRIFASICO, POTENCIA DE 4 CV, DIAMETRO DE RECALQUE DE 3". FAIXA DE OPERACAO: Q=60 M3/H (+ OU - 1 M3/H) E AMT=2 M; Q=11 M3/H (+ OU - 1 M3/H) E AMT = 23 M (+ OU - 1 M) (LOCACAO)</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</si>
  <si>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</si>
  <si>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</si>
  <si>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</si>
  <si>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</si>
  <si>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</si>
  <si>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</si>
  <si>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</si>
  <si>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</si>
  <si>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BOMBA TRIPLEX, PARA INJEÇÃO DE NATA DE CIMENTO, VAZÃO MÁXIMA DE 100 LI TROS/MINUTO, PRESSÃO MÁXIMA DE 70 BAR - CHI DIURNO. AF_06/2015</t>
  </si>
  <si>
    <t>BOMBA TRIPLEX, PARA INJEÇÃO DE NATA DE CIMENTO, VAZÃO MÁXIMA DE 100 LI TROS/MINUTO, PRESSÃO MÁXIMA DE 70 BAR - CHP DIURNO. AF_06/2015</t>
  </si>
  <si>
    <t>BOMBA TRIPLEX, PARA INJEÇÃO DE NATA DE CIMENTO, VAZÃO MÁXIMA DE 100 LI TROS/MINUTO, PRESSÃO MÁXIMA DE 70 BAR - DEPRECIAÇÃO. AF_06/2015</t>
  </si>
  <si>
    <t>BOMBA TRIPLEX, PARA INJEÇÃO DE NATA DE CIMENTO, VAZÃO MÁXIMA DE 100 LI TROS/MINUTO, PRESSÃO MÁXIMA DE 70 BAR - JUROS. AF_06/2015</t>
  </si>
  <si>
    <t>BOMBA TRIPLEX, PARA INJEÇÃO DE NATA DE CIMENTO, VAZÃO MÁXIMA DE 100 LI TROS/MINUTO, PRESSÃO MÁXIMA DE 70 BAR - MANUTENÇÃO. AF_06/2015</t>
  </si>
  <si>
    <t>BOMBA TRIPLEX, PARA INJEÇÃO DE NATA DE CIMENTO, VAZÃO MÁXIMA DE 100 LI TROS/MINUTO, PRESSÃO MÁXIMA DE 70 BAR - MATERIAIS NA OPERAÇÃO. AF_06/2 015</t>
  </si>
  <si>
    <t>BORBOLETA EM LATAO FUNDIDO CROMADO, PARA TRAVAR JANELA TIPO GUILHOTINA</t>
  </si>
  <si>
    <t>BORBOLETA EM ZAMAC CROMADO, PARA TRAVAR JANELA TIPO GUILHOTINA</t>
  </si>
  <si>
    <t>BOTA DE PVC PRETA, CANO MEDIO, SEM FORRO</t>
  </si>
  <si>
    <t>BOTA DE SEGURANCA COM BIQUEIRA DE ACO E COLARINHO ACOLCHOADO</t>
  </si>
  <si>
    <t>BRACO OU HASTE C/CANOPLA METAL CROMADO 1/2" P/ CHUVEIRO SIMPLES</t>
  </si>
  <si>
    <t>BRACO OU HASTE COM CANOPLA PLASTICA, 1/2 ", PARA CHUVEIRO ELETRICO</t>
  </si>
  <si>
    <t>BRACO OU HASTE COM CANOPLA PLASTICA, 1/2 ", PARA CHUVEIRO SIMPLES</t>
  </si>
  <si>
    <t>BRACO P/ ILUMINACAO DE RUAS EM TUBO ACO GALV 1" COMP = 1,20M E INCLINA CAO 25GRAUS EM RELACAO AO PLANO VERTICAL P/ FIXACAO EM POSTE OU PAREDE - FORNECIMENTO E INSTALACAO</t>
  </si>
  <si>
    <t>BRACO P/ LUMINARIA PUBLICA 1 X 1,50 M, EM TUBO ACO GALV 3/4, P/ FIXAC AO EM POSTE OU PAREDE - FORNECIMENTO E INSTALACAO</t>
  </si>
  <si>
    <t>BRACO P/ LUMINARIA PUBLICA 1 X 1,50M ROMAGNOLE OU EQUIV</t>
  </si>
  <si>
    <t>BROXA RETANGULAR *6 X 16* CM</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</si>
  <si>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</si>
  <si>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</si>
  <si>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</si>
  <si>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</si>
  <si>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</si>
  <si>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</si>
  <si>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</si>
  <si>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</si>
  <si>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</si>
  <si>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</si>
  <si>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</si>
  <si>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</si>
  <si>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</si>
  <si>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</si>
  <si>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</si>
  <si>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</si>
  <si>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</si>
  <si>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t>
  </si>
  <si>
    <t>BUCHA DE REDUCAO DE FERRO GALVANIZADO, COM ROSCA BSP, DE 1 1/2" X 1/2"</t>
  </si>
  <si>
    <t>BUCHA DE REDUCAO DE FERRO GALVANIZADO, COM ROSCA BSP, DE 1 1/2" X 3/4"</t>
  </si>
  <si>
    <t>BUCHA DE REDUCAO DE FERRO GALVANIZADO, COM ROSCA BSP, DE 1 1/4" X 1"</t>
  </si>
  <si>
    <t>BUCHA DE REDUCAO DE FERRO GALVANIZADO, COM ROSCA BSP, DE 1 1/4" X 1/2"</t>
  </si>
  <si>
    <t>BUCHA DE REDUCAO DE FERRO GALVANIZADO, COM ROSCA BSP, DE 1 1/4" X 3/4"</t>
  </si>
  <si>
    <t>BUCHA DE REDUCAO DE FERRO GALVANIZADO, COM ROSCA BSP, DE 1" X 1/2"</t>
  </si>
  <si>
    <t>BUCHA DE REDUCAO DE FERRO GALVANIZADO, COM ROSCA BSP, DE 1" X 3/4"</t>
  </si>
  <si>
    <t>BUCHA DE REDUCAO DE FERRO GALVANIZADO, COM ROSCA BSP, DE 1/2" X 1/4"</t>
  </si>
  <si>
    <t>BUCHA DE REDUCAO DE FERRO GALVANIZADO, COM ROSCA BSP, DE 1/2" X 3/8"</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</si>
  <si>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</si>
  <si>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</si>
  <si>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</si>
  <si>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</si>
  <si>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</si>
  <si>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</si>
  <si>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</si>
  <si>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</si>
  <si>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</si>
  <si>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</si>
  <si>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</si>
  <si>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3/4" X 1/2"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</si>
  <si>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</si>
  <si>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</si>
  <si>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</si>
  <si>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</si>
  <si>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</si>
  <si>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</si>
  <si>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</si>
  <si>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</si>
  <si>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</si>
  <si>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</si>
  <si>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</si>
  <si>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</si>
  <si>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</si>
  <si>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</si>
  <si>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50 X 40 MM, PARA ESGOTO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</si>
  <si>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</si>
  <si>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</si>
  <si>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</si>
  <si>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</si>
  <si>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</si>
  <si>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</si>
  <si>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</si>
  <si>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</si>
  <si>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</si>
  <si>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</si>
  <si>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</si>
  <si>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</si>
  <si>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</si>
  <si>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</si>
  <si>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</si>
  <si>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</si>
  <si>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</si>
  <si>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 PARA ELETRODUTO</t>
  </si>
  <si>
    <t>BUCHA DE REDUCAO EM ALUMINIO, COM ROSCA, DE 1 1/4" X 1/2",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</si>
  <si>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</si>
  <si>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</si>
  <si>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</si>
  <si>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</si>
  <si>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</si>
  <si>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</si>
  <si>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</si>
  <si>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</si>
  <si>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</si>
  <si>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</si>
  <si>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</si>
  <si>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</si>
  <si>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</si>
  <si>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</si>
  <si>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</si>
  <si>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3/4" X 1/2",  PARA ELETRODUTO</t>
  </si>
  <si>
    <t>BUCHA DE REDUCAO EM ALUMINIO, COM ROSCA, DE 4" X 2 1/2", PARA ELETRODUTO</t>
  </si>
  <si>
    <t>BUCHA DE REDUCAO EM ALUMINIO, COM ROSCA, DE 4" X 2", PARA ELETRODUTO</t>
  </si>
  <si>
    <t>BUCHA DE REDUCAO EM ALUMINIO, COM ROSCA, DE 4" X 3", PARA ELETRODUTO</t>
  </si>
  <si>
    <t>BUCHA DE REDUÇÃO EM COBRE, SEM ANEL DE SOLDA, PONTA X BOLSA, 22 X 15 M M, INSTALADO EM PRUMADA   FORNECIMENTO E INSTALAÇÃO. AF_01/2016_P</t>
  </si>
  <si>
    <t>BUCHA DE REDUÇÃO EM COBRE, SEM ANEL DE SOLDA, PONTA X BOLSA, 22 X 15 M M, INSTALADO EM RAMAL DE DISTRIBUIÇÃO   FORNECIMENTO E INSTALAÇÃO. AF_ 01/2016_P</t>
  </si>
  <si>
    <t>BUCHA DE REDUÇÃO EM COBRE, SEM ANEL DE SOLDA, PONTA X BOLSA, 22 X 15 M M, INSTALADO EM RAMAL E SUB-RAMAL   FORNECIMENTO E INSTALAÇÃO. AF_01/2 016_P</t>
  </si>
  <si>
    <t>BUCHA DE REDUÇÃO EM COBRE, SEM ANEL DE SOLDA, PONTA X BOLSA, 28 X 22 M M, INSTALADO EM PRUMADA   FORNECIMENTO E INSTALAÇÃO. AF_01/2016_P</t>
  </si>
  <si>
    <t>BUCHA DE REDUÇÃO EM COBRE, SEM ANEL DE SOLDA, PONTA X BOLSA, 28 X 22 M M, INSTALADO EM RAMAL DE DISTRIBUIÇÃO   FORNECIMENTO E INSTALAÇÃO. AF_ 01/2016_P</t>
  </si>
  <si>
    <t>BUCHA DE REDUÇÃO EM COBRE, SEM ANEL DE SOLDA, PONTA X BOLSA, 28 X 22 M M, INSTALADO EM RAMAL E SUB-RAMAL   FORNECIMENTO E INSTALAÇÃO. AF_01/2 016_P</t>
  </si>
  <si>
    <t>BUCHA DE REDUÇÃO EM COBRE, SEM ANEL DE SOLDA, PONTA X BOLSA, 35 X 28 M M, INSTALADO EM PRUMADA   FORNECIMENTO E INSTALAÇÃO. AF_01/2016_P</t>
  </si>
  <si>
    <t>BUCHA DE REDUÇÃO EM COBRE, SEM ANEL DE SOLDA, PONTA X BOLSA, 42 X 35 M M, INSTALADO EM PRUMADA   FORNECIMENTO E INSTALAÇÃO. AF_01/2016_P</t>
  </si>
  <si>
    <t>BUCHA DE REDUÇÃO EM COBRE, SEM ANEL DE SOLDA, PONTA X BOLSA, 54 X 42 M M, INSTALADO EM PRUMADA   FORNECIMENTO E INSTALAÇÃO. AF_01/2016_P</t>
  </si>
  <si>
    <t>BUCHA DE REDUÇÃO EM COBRE, SEM ANEL DE SOLDA, PONTA X BOLSA, 66 X 54 M M, INSTALADO EM PRUMADA   FORNECIMENTO E INSTALAÇÃO. AF_01/2016_P</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</si>
  <si>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</si>
  <si>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</si>
  <si>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</si>
  <si>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</si>
  <si>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</si>
  <si>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REDUÇÃO, CPVC, SOLDÁVEL, DN 22MM X 15MM, INSTALADO EM RAMAL D E DISTRIBUIÇÃO DE ÁGUA   FORNECIMENTO E INSTALAÇÃO. AF_12/2014</t>
  </si>
  <si>
    <t>BUCHA DE REDUÇÃO, CPVC, SOLDÁVEL, DN 28MM X 22MM, INSTALADO EM RAMAL D E DISTRIBUIÇÃO DE ÁGUA - FORNECIMENTO E INSTALAÇÃO. AF_12/2014</t>
  </si>
  <si>
    <t>BUCHA DE REDUÇÃO, CPVC, SOLDÁVEL, DN 42MM X 22MM, INSTALADO EM RAMAL D E DISTRIBUIÇÃO DE ÁGUA - FORNECIMENTO E INSTALAÇÃO. AF_12/2014</t>
  </si>
  <si>
    <t>BUCHA DE REDUÇÃO, CPVC, SOLDÁVEL, DN22MM X 15MM, INSTALADO EM RAMAL OU SUB-RAMAL DE ÁGUA  FORNECIMENTO E INSTALAÇÃO. AF_12/2014</t>
  </si>
  <si>
    <t>BUCHA DE REDUÇÃO, CPVC, SOLDÁVEL, DN28MM X 22MM, INSTALADO EM RAMAL OU SUB-RAMAL DE ÁGUA  FORNECIMENTO E INSTALAÇÃO. AF_12/2014</t>
  </si>
  <si>
    <t>BUCHA DE REDUÇÃO, CPVC, SOLDÁVEL, DN35MM X 28MM, INSTALADO EM PRUMADA DE ÁGUA  FORNECIMENTO E INSTALAÇÃO. AF_12/2014</t>
  </si>
  <si>
    <t>BUCHA DE REDUÇÃO, CPVC, SOLDÁVEL, DN35MM X 28MM, INSTALADO EM RAMAL DE DISTRIBUIÇÃO DE ÁGUA - FORNECIMENTO E INSTALAÇÃO. AF_12/2014</t>
  </si>
  <si>
    <t>BUCHA DE REDUÇÃO, CPVC, SOLDÁVEL, DN35MM X 28MM, INSTALADO EM RAMAL OU SUB-RAMAL DE ÁGUA  FORNECIMENTO E INSTALAÇÃO. AF_12/2014</t>
  </si>
  <si>
    <t>BUCHA DE REDUCAO, PVC, LONGA, SERIE R, DN 50 X 40 MM, PARA ESGOTO PREDIAL</t>
  </si>
  <si>
    <t>BUCHA DE REDUÇÃO, PVC, SOLDÁVEL, DN 40MM X 32MM, INSTALADO EM RAMAL OU SUB-RAMAL DE ÁGUA - FORNECIMENTO E INSTALAÇÃO. AF_03/2015</t>
  </si>
  <si>
    <t>BUCHA EM ALUMINIO, COM ROSCA, DE  1 1/2", PARA ELETRODUTO</t>
  </si>
  <si>
    <t>BUCHA EM ALUMINIO, COM ROSCA, DE 1 1/4", PARA ELETRODUTO</t>
  </si>
  <si>
    <t>BUCHA EM ALUMINIO, COM ROSCA, DE 1", PARA ELETRODUTO</t>
  </si>
  <si>
    <t>BUCHA EM ALUMINIO, COM ROSCA, DE 1/2", PARA ELETRODUTO</t>
  </si>
  <si>
    <t>BUCHA EM ALUMINIO, COM ROSCA, DE 2 1/2", PARA ELETRODUTO</t>
  </si>
  <si>
    <t>BUCHA EM ALUMINIO, COM ROSCA, DE 2", PARA ELETRODUTO</t>
  </si>
  <si>
    <t>BUCHA EM ALUMINIO, COM ROSCA, DE 3", PARA ELETRODUTO</t>
  </si>
  <si>
    <t>BUCHA EM ALUMINIO, COM ROSCA, DE 3/4", PARA ELETRODUTO</t>
  </si>
  <si>
    <t>BUCHA EM ALUMINIO, COM ROSCA, DE 3/8", PARA ELETRODUTO</t>
  </si>
  <si>
    <t>BUCHA EM ALUMINIO, COM ROSCA, DE 4", PARA ELETRODUTO</t>
  </si>
  <si>
    <t>BUCHA REDUCAO PVC ROSCAVEL 1 1/2" X 1"</t>
  </si>
  <si>
    <t>BUCHA REDUCAO PVC ROSCAVEL 3/4" X 1/2"</t>
  </si>
  <si>
    <t>BUCHA REDUCAO PVC ROSCAVEL, 1 1/2" X 3/4"</t>
  </si>
  <si>
    <t>BUCHA REDUCAO PVC ROSCAVEL, 1" X 1/2"</t>
  </si>
  <si>
    <t>BUCHA REDUCAO PVC, ROSCAVEL,  2"  X 1 1/2 "</t>
  </si>
  <si>
    <t>BUCHA REDUCAO PVC, ROSCAVEL, 1 1/2"  X1 1/4 "</t>
  </si>
  <si>
    <t>BUCHA REDUCAO PVC, ROSCAVEL, 1 1/4"  X 3/4 "</t>
  </si>
  <si>
    <t>BUCHA REDUCAO PVC, ROSCAVEL, 1 1/4" X 1 "</t>
  </si>
  <si>
    <t>BUCHA REDUCAO PVC, ROSCAVEL, 2"  X 1 "</t>
  </si>
  <si>
    <t>BUCHA REDUCAO PVC, ROSCAVEL, 2"  X 1 1/4 "</t>
  </si>
  <si>
    <t>CABECEIRA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</si>
  <si>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</si>
  <si>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</si>
  <si>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</si>
  <si>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</si>
  <si>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</si>
  <si>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</si>
  <si>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</si>
  <si>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</si>
  <si>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</si>
  <si>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4"</t>
  </si>
  <si>
    <t>CABO ARAMADO PARA ROLO DE PINTURA 23 CM (GARFO GAIOLA)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</si>
  <si>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</si>
  <si>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</si>
  <si>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</si>
  <si>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</si>
  <si>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</si>
  <si>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</si>
  <si>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</si>
  <si>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</si>
  <si>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FLEXÍVEL ISOLADO, 1,5 MM², ANTI-CHAMA 0,6/1,0 KV, PARA C IRCUITOS TERMINAIS - FORNECIMENTO E INSTALAÇÃO. AF_12/2015</t>
  </si>
  <si>
    <t>CABO DE COBRE FLEXÍVEL ISOLADO, 1,5 MM², ANTI-CHAMA 450/750 V, PARA CI RCUITOS TERMINAIS - FORNECIMENTO E INSTALAÇÃO. AF_12/2015</t>
  </si>
  <si>
    <t>CABO DE COBRE FLEXÍVEL ISOLADO, 10 MM², ANTI-CHAMA 0,6/1,0 KV, PARA CI RCUITOS TERMINAIS - FORNECIMENTO E INSTALAÇÃO. AF_12/2015</t>
  </si>
  <si>
    <t>CABO DE COBRE FLEXÍVEL ISOLADO, 10 MM², ANTI-CHAMA 0,6/1,0 KV, PARA DI STRIBUIÇÃO - FORNECIMENTO E INSTALAÇÃO. AF_12/2015</t>
  </si>
  <si>
    <t>CABO DE COBRE FLEXÍVEL ISOLADO, 10 MM², ANTI-CHAMA 450/750 V, PARA CIR CUITOS TERMINAIS - FORNECIMENTO E INSTALAÇÃO. AF_12/2015</t>
  </si>
  <si>
    <t>CABO DE COBRE FLEXÍVEL ISOLADO, 10 MM², ANTI-CHAMA 450/750 V, PARA DIS TRIBUIÇÃO - FORNECIMENTO E INSTALAÇÃO. AF_12/2015</t>
  </si>
  <si>
    <t>CABO DE COBRE FLEXÍVEL ISOLADO, 120 MM², ANTI-CHAMA 0,6/1,0 KV, PARA D ISTRIBUIÇÃO - FORNECIMENTO E INSTALAÇÃO. AF_12/2015</t>
  </si>
  <si>
    <t>CABO DE COBRE FLEXÍVEL ISOLADO, 120 MM², ANTI-CHAMA 450/750 V, PARA DI STRIBUIÇÃO - FORNECIMENTO E INSTALAÇÃO. AF_12/2015</t>
  </si>
  <si>
    <t>CABO DE COBRE FLEXÍVEL ISOLADO, 150 MM², ANTI-CHAMA 0,6/1,0 KV, PARA D ISTRIBUIÇÃO - FORNECIMENTO E INSTALAÇÃO. AF_12/2015</t>
  </si>
  <si>
    <t>CABO DE COBRE FLEXÍVEL ISOLADO, 150 MM², ANTI-CHAMA 450/750 V, PARA DI STRIBUIÇÃO - FORNECIMENTO E INSTALAÇÃO. AF_12/2015</t>
  </si>
  <si>
    <t>CABO DE COBRE FLEXÍVEL ISOLADO, 16 MM², ANTI-CHAMA 0,6/1,0 KV, PARA CI RCUITOS TERMINAIS - FORNECIMENTO E INSTALAÇÃO. AF_12/2015</t>
  </si>
  <si>
    <t>CABO DE COBRE FLEXÍVEL ISOLADO, 16 MM², ANTI-CHAMA 0,6/1,0 KV, PARA DI STRIBUIÇÃO - FORNECIMENTO E INSTALAÇÃO. AF_12/2015</t>
  </si>
  <si>
    <t>CABO DE COBRE FLEXÍVEL ISOLADO, 16 MM², ANTI-CHAMA 450/750 V, PARA CIR CUITOS TERMINAIS - FORNECIMENTO E INSTALAÇÃO. AF_12/2015</t>
  </si>
  <si>
    <t>CABO DE COBRE FLEXÍVEL ISOLADO, 16 MM², ANTI-CHAMA 450/750 V, PARA DIS TRIBUIÇÃO - FORNECIMENTO E INSTALAÇÃO. AF_12/2015</t>
  </si>
  <si>
    <t>CABO DE COBRE FLEXÍVEL ISOLADO, 185 MM², ANTI-CHAMA 0,6/1,0 KV, PARA D ISTRIBUIÇÃO - FORNECIMENTO E INSTALAÇÃO. AF_12/2015</t>
  </si>
  <si>
    <t>CABO DE COBRE FLEXÍVEL ISOLADO, 185 MM², ANTI-CHAMA 450/750 V, PARA DI STRIBUIÇÃO - FORNECIMENTO E INSTALAÇÃO. AF_12/2015</t>
  </si>
  <si>
    <t>CABO DE COBRE FLEXÍVEL ISOLADO, 2,5 MM², ANTI-CHAMA 0,6/1,0 KV, PARA C IRCUITOS TERMINAIS - FORNECIMENTO E INSTALAÇÃO. AF_12/2015</t>
  </si>
  <si>
    <t>CABO DE COBRE FLEXÍVEL ISOLADO, 2,5 MM², ANTI-CHAMA 450/750 V, PARA CI RCUITOS TERMINAIS - FORNECIMENTO E INSTALAÇÃO. AF_12/2015</t>
  </si>
  <si>
    <t>CABO DE COBRE FLEXÍVEL ISOLADO, 240 MM², ANTI-CHAMA 0,6/1,0 KV, PARA D ISTRIBUIÇÃO - FORNECIMENTO E INSTALAÇÃO. AF_12/2015</t>
  </si>
  <si>
    <t>CABO DE COBRE FLEXÍVEL ISOLADO, 240 MM², ANTI-CHAMA 450/750 V, PARA DI STRIBUIÇÃO - FORNECIMENTO E INSTALAÇÃO. AF_12/2015</t>
  </si>
  <si>
    <t>CABO DE COBRE FLEXÍVEL ISOLADO, 25 MM², ANTI-CHAMA 0,6/1,0 KV, PARA DI STRIBUIÇÃO - FORNECIMENTO E INSTALAÇÃO. AF_12/2015</t>
  </si>
  <si>
    <t>CABO DE COBRE FLEXÍVEL ISOLADO, 25 MM², ANTI-CHAMA 450/750 V, PARA DIS TRIBUIÇÃO - FORNECIMENTO E INSTALAÇÃO. AF_12/2015</t>
  </si>
  <si>
    <t>CABO DE COBRE FLEXÍVEL ISOLADO, 300 MM², ANTI-CHAMA 0,6/1,0 KV, PARA D ISTRIBUIÇÃO - FORNECIMENTO E INSTALAÇÃO. AF_12/2015</t>
  </si>
  <si>
    <t>CABO DE COBRE FLEXÍVEL ISOLADO, 300 MM², ANTI-CHAMA 450/750 V, PARA DI STRIBUIÇÃO - FORNECIMENTO E INSTALAÇÃO. AF_12/2015</t>
  </si>
  <si>
    <t>CABO DE COBRE FLEXÍVEL ISOLADO, 35 MM², ANTI-CHAMA 0,6/1,0 KV, PARA DI STRIBUIÇÃO - FORNECIMENTO E INSTALAÇÃO. AF_12/2015</t>
  </si>
  <si>
    <t>CABO DE COBRE FLEXÍVEL ISOLADO, 35 MM², ANTI-CHAMA 450/750 V, PARA DIS TRIBUIÇÃO - FORNECIMENTO E INSTALAÇÃO. AF_12/2015</t>
  </si>
  <si>
    <t>CABO DE COBRE FLEXÍVEL ISOLADO, 4 MM², ANTI-CHAMA 0,6/1,0 KV, PARA CIR CUITOS TERMINAIS - FORNECIMENTO E INSTALAÇÃO. AF_12/2015</t>
  </si>
  <si>
    <t>CABO DE COBRE FLEXÍVEL ISOLADO, 4 MM², ANTI-CHAMA 450/750 V, PARA CIRC UITOS TERMINAIS - FORNECIMENTO E INSTALAÇÃO. AF_12/2015</t>
  </si>
  <si>
    <t>CABO DE COBRE FLEXÍVEL ISOLADO, 50 MM², ANTI-CHAMA 0,6/1,0 KV, PARA DI STRIBUIÇÃO - FORNECIMENTO E INSTALAÇÃO. AF_12/2015</t>
  </si>
  <si>
    <t>CABO DE COBRE FLEXÍVEL ISOLADO, 50 MM², ANTI-CHAMA 450/750 V, PARA DIS TRIBUIÇÃO - FORNECIMENTO E INSTALAÇÃO. AF_12/2015</t>
  </si>
  <si>
    <t>CABO DE COBRE FLEXÍVEL ISOLADO, 6 MM², ANTI-CHAMA 0,6/1,0 KV, PARA CIR CUITOS TERMINAIS - FORNECIMENTO E INSTALAÇÃO. AF_12/2015</t>
  </si>
  <si>
    <t>CABO DE COBRE FLEXÍVEL ISOLADO, 6 MM², ANTI-CHAMA 450/750 V, PARA CIRC UITOS TERMINAIS - FORNECIMENTO E INSTALAÇÃO. AF_12/2015</t>
  </si>
  <si>
    <t>CABO DE COBRE FLEXÍVEL ISOLADO, 70 MM², ANTI-CHAMA 0,6/1,0 KV, PARA DI STRIBUIÇÃO - FORNECIMENTO E INSTALAÇÃO. AF_12/2015</t>
  </si>
  <si>
    <t>CABO DE COBRE FLEXÍVEL ISOLADO, 70 MM², ANTI-CHAMA 450/750 V, PARA DIS TRIBUIÇÃO - FORNECIMENTO E INSTALAÇÃO. AF_12/2015</t>
  </si>
  <si>
    <t>CABO DE COBRE FLEXÍVEL ISOLADO, 95 MM², ANTI-CHAMA 0,6/1,0 KV, PARA DI STRIBUIÇÃO - FORNECIMENTO E INSTALAÇÃO. AF_12/2015</t>
  </si>
  <si>
    <t>CABO DE COBRE FLEXÍVEL ISOLADO, 95 MM², ANTI-CHAMA 450/750 V, PARA DIS TRIBUIÇÃO - FORNECIMENTO E INSTALAÇÃO. AF_12/2015</t>
  </si>
  <si>
    <t>CABO DE COBRE NU 10 MM2 MEIO-DURO</t>
  </si>
  <si>
    <t>CABO DE COBRE NU 10MM2 - FORNECIMENTO E INSTALACAO</t>
  </si>
  <si>
    <t>CABO DE COBRE NU 120 MM2 MEIO-DURO</t>
  </si>
  <si>
    <t>CABO DE COBRE NU 120MM2 - FORNECIMENTO E INSTALACAO</t>
  </si>
  <si>
    <t>CABO DE COBRE NU 150 MM2 MEIO-DURO</t>
  </si>
  <si>
    <t>CABO DE COBRE NU 16 MM2 MEIO-DURO</t>
  </si>
  <si>
    <t>CABO DE COBRE NU 16MM2 - FORNECIMENTO E INSTALACAO</t>
  </si>
  <si>
    <t>CABO DE COBRE NU 185 MM2 MEIO-DURO</t>
  </si>
  <si>
    <t>CABO DE COBRE NU 25 MM2 MEIO-DURO</t>
  </si>
  <si>
    <t>CABO DE COBRE NU 25MM2 - FORNECIMENTO E INSTALACAO</t>
  </si>
  <si>
    <t>CABO DE COBRE NU 300 MM2 MEIO-DURO</t>
  </si>
  <si>
    <t>CABO DE COBRE NU 35 MM2 MEIO-DURO</t>
  </si>
  <si>
    <t>CABO DE COBRE NU 35MM2 - FORNECIMENTO E INSTALACAO</t>
  </si>
  <si>
    <t>CABO DE COBRE NU 50 MM2 MEIO-DURO</t>
  </si>
  <si>
    <t>CABO DE COBRE NU 500 MM2 MEIO-DURO</t>
  </si>
  <si>
    <t>CABO DE COBRE NU 50MM2 - FORNECIMENTO E INSTALACAO</t>
  </si>
  <si>
    <t>CABO DE COBRE NU 70 MM2 MEIO-DURO</t>
  </si>
  <si>
    <t>CABO DE COBRE NU 70MM2 - FORNECIMENTO E INSTALACAO</t>
  </si>
  <si>
    <t>CABO DE COBRE NU 95 MM2 MEIO-DURO</t>
  </si>
  <si>
    <t>CABO DE COBRE NU 95MM2 - FORNECIMENTO E INSTALACAO</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</si>
  <si>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</si>
  <si>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</si>
  <si>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</si>
  <si>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</si>
  <si>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</si>
  <si>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</si>
  <si>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</si>
  <si>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</si>
  <si>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</si>
  <si>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</si>
  <si>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</si>
  <si>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</si>
  <si>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</si>
  <si>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</si>
  <si>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</si>
  <si>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</si>
  <si>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</si>
  <si>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</si>
  <si>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</si>
  <si>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</si>
  <si>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</si>
  <si>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</si>
  <si>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</si>
  <si>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16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</si>
  <si>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</si>
  <si>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</si>
  <si>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</si>
  <si>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</si>
  <si>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</si>
  <si>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</si>
  <si>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</si>
  <si>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</si>
  <si>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</si>
  <si>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</si>
  <si>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</si>
  <si>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</si>
  <si>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</si>
  <si>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</si>
  <si>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</si>
  <si>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6 MM2</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</si>
  <si>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</si>
  <si>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</si>
  <si>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</si>
  <si>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</si>
  <si>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</si>
  <si>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</si>
  <si>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</si>
  <si>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</si>
  <si>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</si>
  <si>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</si>
  <si>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</si>
  <si>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</si>
  <si>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</si>
  <si>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</si>
  <si>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</si>
  <si>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</si>
  <si>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</si>
  <si>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</si>
  <si>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CCI-50 1 PAR (USO INTERNO) - FORNECIMENTO E INSTALACAO</t>
  </si>
  <si>
    <t>CABO TELEFONICO CCI-50 2 PARES (USO INTERNO) - FORNECIMENTO E INSTALAC AO</t>
  </si>
  <si>
    <t>CABO TELEFONICO CCI-50 3 PARES (USO INTERNO) - FORNECIMENTO E INSTALAC AO</t>
  </si>
  <si>
    <t>CABO TELEFONICO CCI-50 4 PARES (USO INTERNO) - FORNECIMENTO E INSTALAC AO</t>
  </si>
  <si>
    <t>CABO TELEFONICO CCI-50 5 PARES (USO INTERNO) - FORNECIMENTO E INSTALAC AO</t>
  </si>
  <si>
    <t>CABO TELEFONICO CCI-50 6 PARES  (USO INTERNO) - FORNECIMENTO E INSTALA CAO</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</si>
  <si>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</si>
  <si>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</si>
  <si>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</si>
  <si>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</si>
  <si>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</si>
  <si>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</si>
  <si>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CI-50 10 PARES (USO INTERNO) - FORNECIMENTO E INSTALAC AO</t>
  </si>
  <si>
    <t>CABO TELEFONICO CI-50 200 PARES (USO INTERNO) - FORNECIMENTO E INSTALA CAO</t>
  </si>
  <si>
    <t>CABO TELEFONICO CI-50 20PARES (USO INTERNO) - FORNECIMENTO E INSTALACA O</t>
  </si>
  <si>
    <t>CABO TELEFONICO CI-50 30PARES (USO INTERNO) - FORNECIMENTO E INSTALACA O</t>
  </si>
  <si>
    <t>CABO TELEFONICO CI-50 50PARES (USO INTERNO) - FORNECIMENTO E INSTALACA O</t>
  </si>
  <si>
    <t>CABO TELEFONICO CI-50 75 PARES (USO INTERNO) - FORNECIMENTO E INSTALAC AO</t>
  </si>
  <si>
    <t>CABO TELEFONICO CT-APL-50, 100 PARES (USO EXTERNO) - FORNECIMENTO E IN STALACAO</t>
  </si>
  <si>
    <t>CABO TELEFONICO CTP - APL - 50, 10 PARES, USO EXTERNO</t>
  </si>
  <si>
    <t>CABO TELEFONICO CTP - APL - 50, 100 PARES, USO EXTERNO</t>
  </si>
  <si>
    <t>CABO TELEFONICO CTP - APL - 50, 20 PARES, USO EXTERNO</t>
  </si>
  <si>
    <t>CABO TELEFONICO CTP - APL - 50, 30 PARES, USO EXTERNO</t>
  </si>
  <si>
    <t>CABO TELEFONICO CTP-APL-50, 10 PARES (USO EXTERNO) - FORNECIMENTO E IN STALACAO</t>
  </si>
  <si>
    <t>CABO TELEFONICO CTP-APL-50, 20 PARES (USO EXTERNO) - FORNECIMENTO E IN STALACAO</t>
  </si>
  <si>
    <t>CABO TELEFONICO CTP-APL-50, 30 PARES (USO EXTERNO) - FORNECIMENTO E IN STALACAO</t>
  </si>
  <si>
    <t>CABO TELEFONICO FE 1,0MM, 2 CONDUTORES (USO EXTERNO) - FORNECIMENTO E INSTALACAO</t>
  </si>
  <si>
    <t>CACAMBA METALICA BASCULANTE COM CAPACIDADE DE 10 M3 (INCLUI MONTAGEM, NAO INCLUI CAMINHAO)</t>
  </si>
  <si>
    <t>CACAMBA METALICA BASCULANTE COM CAPACIDADE DE 6 M3 (INCLUI MONTAGEM, NAO INCLUI CAMINHAO)</t>
  </si>
  <si>
    <t>CACAMBA METALICA BASCULANTE COM CAPACIDADE DE 8 M3 (INCLUI MONTAGEM, NAO INCLUI CAMINHAO)</t>
  </si>
  <si>
    <t>CADASTRISTA DE USUARIOS</t>
  </si>
  <si>
    <t>CADASTRO DE ADUTORAS. COLETORES E INTERCEPTORES - ATÉ DN 500 MM, INCLU SIVE DESENHISTA</t>
  </si>
  <si>
    <t>CADEADO EM ACO INOX, LARGURA DE *50* MM, COM HASTE EM ACO TEMPERADO, SEM MOLA - CHAVES INCLUIDAS</t>
  </si>
  <si>
    <t>CADEADO SIMPLES, EM LATAO MACICO CROMADO, LARGURA DE 35 MM,  HASTE DE ACO TEMPERADO, CEMENTADO (NAO LONGA), INCLUI 2 CHAVES</t>
  </si>
  <si>
    <t>CADEADO SIMPLES/COMUM, EM LATAO MACICO CROMADO, LARGURA DE 25 MM,  HASTE DE ACO TEMPERADO, CEMENTADO (NAO LONGA), INCLUI 2 CHAVES</t>
  </si>
  <si>
    <t>CAIACAO EM MEIO FIO</t>
  </si>
  <si>
    <t>CAIACAO INT OU EXT SOBRE REVESTIMENTO LISO C/ADOCAO DE FIXADOR COM COM DUAS DEMAOS</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</si>
  <si>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</si>
  <si>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</si>
  <si>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</si>
  <si>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NATIVA/REGIONAL 5 X 5 CM NAO APARELHADA (P/FORMA)</t>
  </si>
  <si>
    <t>CAIXA COLETORA, 0,25 X 0,85 X 1,00 M, COM FUNDO E PAREDES EM ALVENARIA</t>
  </si>
  <si>
    <t>CAIXA COLETORA, 1,20X1,20X1,50M, COM FUNDO E TAMPA DE CONCRETO E PARED ES EM ALVENARIA</t>
  </si>
  <si>
    <t>CAIXA D´ÁGUA EM POLIETILENO, 1000 LITROS, COM ACESSÓRIOS</t>
  </si>
  <si>
    <t>CAIXA D´AGUA EM POLIETILENO, 500 LITROS, COM ACESSÓRIOS</t>
  </si>
  <si>
    <t>CAIXA D'AGUA EM POLIETILENO 1000 LITROS, COM TAMPA</t>
  </si>
  <si>
    <t>CAIXA D'AGUA EM POLIETILENO 1500 LITROS, COM TAMPA</t>
  </si>
  <si>
    <t>CAIXA D'AGUA EM POLIETILENO 2000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</si>
  <si>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</si>
  <si>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</si>
  <si>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</si>
  <si>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</si>
  <si>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</si>
  <si>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</si>
  <si>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CONCRETO, ALTURA = 1,00 METRO, DIAMETRO REGISTRO &lt; 150 MM</t>
  </si>
  <si>
    <t>CAIXA DE DESCARGA DE PLASTICO EXTERNA, DE *9* L, PUXADOR FIO DE NYLON, NAO INCLUSO CANO, BOLSA, ENGATE</t>
  </si>
  <si>
    <t>CAIXA DE DESCARGA PLASTICA DE EMBUTIR COMPLETA, COM ESPELHO PLASTICO, CAPACIDADE 6 A 10 L, ACESSORIOS INCLUSOS</t>
  </si>
  <si>
    <t>CAIXA DE GORDURA DUPLA EM CONCRETO PRE-MOLDADO DN 60MM COM TAMPA - FOR NECIMENTO E INSTALACAO</t>
  </si>
  <si>
    <t>CAIXA DE GORDURA EM PVC, DIAMETRO MINIMO 300 MM, DIAMETRO DE SAIDA 100 MM, CAPACIDADE  APROXIMADA 18 LITROS, COM TAMPA</t>
  </si>
  <si>
    <t>CAIXA DE GORDURA SIMPLES EM CONCRETO PRE-MOLDADO DN 40MM COM TAMPA - F ORNECIMENTO E INSTALACAO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</si>
  <si>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</si>
  <si>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</si>
  <si>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</si>
  <si>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</si>
  <si>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INSPEÇÃO EM ALVENARIA DE TIJOLO MACIÇO 60X60X60CM, REVESTIDA INTERNAMENTO COM BARRA LISA (CIMENTO E AREIA, TRAÇO 1:4) E=2,0CM, COM TAMPA PRÉ-MOLDADA DE CONCRETO E FUNDO DE CONCRETO 15MPA TIPO C - ESCAV AÇÃO E CONFECÇÃO</t>
  </si>
  <si>
    <t>CAIXA DE INSPECAO EM ANEL DE CONCRETO PRE MOLDADO, COM 950MM DE ALTURA TOTAL. ANEIS COM ESP=50MM, DIAM.=600MM. EXCLUSIVE TAMPAO E ESCAVACAO - FORNECIMENTO E INSTALACAO</t>
  </si>
  <si>
    <t>CAIXA DE INSPEÇÃO EM CONCRETO PRÉ-MOLDADO DN 60CM COM TAMPA H= 60CM - FORNECIMENTO E INSTALACAO</t>
  </si>
  <si>
    <t>CAIXA DE LUZ "3 X 3" EM ACO ESMALTADA</t>
  </si>
  <si>
    <t>CAIXA DE LUZ "4 X 2" EM ACO ESMALTADA</t>
  </si>
  <si>
    <t>CAIXA DE LUZ "4 X 4" EM ACO ESMALTADA</t>
  </si>
  <si>
    <t>CAIXA DE MEDICAO EM ALTA TENSAO - FORNECIMENTO E INSTALACAO</t>
  </si>
  <si>
    <t>CAIXA DE PASSAGEM 20X20X25 FUNDO BRITA COM TAMPA</t>
  </si>
  <si>
    <t>CAIXA DE PASSAGEM 30X30X40 COM TAMPA E DRENO BRITA</t>
  </si>
  <si>
    <t>CAIXA DE PASSAGEM 40X40X50 FUNDO BRITA COM TAMPA</t>
  </si>
  <si>
    <t>CAIXA DE PASSAGEM 60X60X70 FUNDO BRITA COM TAMPA</t>
  </si>
  <si>
    <t>CAIXA DE PASSAGEM 80X80X62 FUNDO BRITA COM TAMPA</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</si>
  <si>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</si>
  <si>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</si>
  <si>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</si>
  <si>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</si>
  <si>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</si>
  <si>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</si>
  <si>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</si>
  <si>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</si>
  <si>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</si>
  <si>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</si>
  <si>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</si>
  <si>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</si>
  <si>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</si>
  <si>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</si>
  <si>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</si>
  <si>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</si>
  <si>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</si>
  <si>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</si>
  <si>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</si>
  <si>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</si>
  <si>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</si>
  <si>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</si>
  <si>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</si>
  <si>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</si>
  <si>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</si>
  <si>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PARA TELEFONE 10X10X5CM (SOBREPOR) FORNECIMENTO E IN STALACAO</t>
  </si>
  <si>
    <t>CAIXA DE PASSAGEM PARA TELEFONE 150X150X15CM (SOBREPOR) FORNECIMENTO E INSTALACAO</t>
  </si>
  <si>
    <t>CAIXA DE PASSAGEM PARA TELEFONE 80X80X15CM (SOBREPOR) FORNECIMENTO E I NSTALACAO</t>
  </si>
  <si>
    <t>CAIXA DE PASSAGEM, EM PVC, DE 4" X 2", PARA ELETRODUTO FLEXIVEL CORRUGADO</t>
  </si>
  <si>
    <t>CAIXA DE PASSAGEM, EM PVC, DE 4" X 4", PARA ELETRODUTO FLEXIVEL CORRUGADO</t>
  </si>
  <si>
    <t>CAIXA DE PASSGEM 50X50X60 FUNDO BRITA C/ TAMPA</t>
  </si>
  <si>
    <t>CAIXA DE PROTECAO EXTERNA PARA MEDIDOR HOROSAZONAL, DE BAIXA TENSAO, COM MODULO, EM CHAPA DE ACO (PADRAO DA CONCESSIONARIA LOCAL)</t>
  </si>
  <si>
    <t>CAIXA DE PROTECAO PARA MEDIDOR MONOFASICO, FORNECIMENTO E INSTALACAO</t>
  </si>
  <si>
    <t>CAIXA DE PROTECAO PARA TRANSFORMADOR CORRENTE, EM CHAPA DE ACO 18 USG (PADRAO DA CONCESSIONARIA LOCAL)</t>
  </si>
  <si>
    <t>CAIXA ENTERRADA PARA INSTALACOES TELEFONICAS TIPO R1 0,60X0,35X0,50M E M BLOCOS DE CONCRETO ESTRUTURAL</t>
  </si>
  <si>
    <t>CAIXA ENTERRADA PARA INSTALACOES TELEFONICAS TIPO R2 1,07X0,52X0,50M E M BLOCOS DE CONCRETO ESTRUTURAL</t>
  </si>
  <si>
    <t>CAIXA ENTERRADA PARA INSTALACOES TELEFONICAS TIPO R3 1,30X1,20X1,20M E M BLOCOS DE CONCRETO ESTRUTURAL</t>
  </si>
  <si>
    <t>CAIXA EXTERNA DE MEDICAO PARA 1 MEDIDOR MONOFASICO, COM VISOR, EM CHAPA DE ACO 18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</si>
  <si>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</si>
  <si>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</si>
  <si>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</si>
  <si>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</si>
  <si>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</si>
  <si>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</si>
  <si>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</si>
  <si>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</si>
  <si>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</si>
  <si>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</si>
  <si>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MADEIRA 57X43CM COM GUARNICAO 13CM P/ FECHAMENTO DE AR CONDICION AL</t>
  </si>
  <si>
    <t>CAIXA OCTOGONAL 3" X 3", PVC, INSTALADA EM LAJE - FORNECIMENTO E INSTA LAÇÃO. AF_12/2015</t>
  </si>
  <si>
    <t>CAIXA OCTOGONAL 4" X 4", PVC, INSTALADA EM LAJE - FORNECIMENTO E INSTA LAÇÃO. AF_12/2015</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</si>
  <si>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</si>
  <si>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</si>
  <si>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</si>
  <si>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</si>
  <si>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</si>
  <si>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</si>
  <si>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</si>
  <si>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RALO C OM GRELHA FOFO 135 KG DE ALV TIJOLO MACICO (7X10X20) PAREDES DE UMA VEZ (0.20 M) DE 0.90X1.20X1.50 M (EXTERNA) COM ARGAMAS SA 1:4 CIMENTO:AREIA, BASE CONC FCK=10 MPA, EXCLUSIVE ESCAVACAO E REAT ERRO.</t>
  </si>
  <si>
    <t>CAIXA RETANGULAR 4" X 2" ALTA (2,00 M DO PISO), METÁLICA, INSTALADA EM PAREDE - FORNECIMENTO E INSTALAÇÃO. AF_12/2015</t>
  </si>
  <si>
    <t>CAIXA RETANGULAR 4" X 2" ALTA (2,00 M DO PISO), PVC, INSTALADA EM PARE DE - FORNECIMENTO E INSTALAÇÃO. AF_12/2015</t>
  </si>
  <si>
    <t>CAIXA RETANGULAR 4" X 2" BAIXA (0,30 M DO PISO), METÁLICA, INSTALADA E M PAREDE - FORNECIMENTO E INSTALAÇÃO. AF_12/2015</t>
  </si>
  <si>
    <t>CAIXA RETANGULAR 4" X 2" BAIXA (0,30 M DO PISO), PVC, INSTALADA EM PAR EDE - FORNECIMENTO E INSTALAÇÃO. AF_12/2015</t>
  </si>
  <si>
    <t>CAIXA RETANGULAR 4" X 2" MÉDIA (1,30 M DO PISO), METÁLICA, INSTALADA E M PAREDE - FORNECIMENTO E INSTALAÇÃO. AF_12/2015</t>
  </si>
  <si>
    <t>CAIXA RETANGULAR 4" X 2" MÉDIA (1,30 M DO PISO), PVC, INSTALADA EM PAR EDE - FORNECIMENTO E INSTALAÇÃO. AF_12/2015</t>
  </si>
  <si>
    <t>CAIXA RETANGULAR 4" X 4" ALTA (2,00 M DO PISO), METÁLICA, INSTALADA EM PAREDE - FORNECIMENTO E INSTALAÇÃO. AF_12/2015</t>
  </si>
  <si>
    <t>CAIXA RETANGULAR 4" X 4" ALTA (2,00 M DO PISO), PVC, INSTALADA EM PARE DE - FORNECIMENTO E INSTALAÇÃO. AF_12/2015</t>
  </si>
  <si>
    <t>CAIXA RETANGULAR 4" X 4" BAIXA (0,30 M DO PISO), METÁLICA, INSTALADA E M PAREDE - FORNECIMENTO E INSTALAÇÃO. AF_12/2015</t>
  </si>
  <si>
    <t>CAIXA RETANGULAR 4" X 4" BAIXA (0,30 M DO PISO), PVC, INSTALADA EM PAR EDE - FORNECIMENTO E INSTALAÇÃO. AF_12/2015</t>
  </si>
  <si>
    <t>CAIXA RETANGULAR 4" X 4" MÉDIA (1,30 M DO PISO), METÁLICA, INSTALADA E M PAREDE - FORNECIMENTO E INSTALAÇÃO. AF_12/2015</t>
  </si>
  <si>
    <t>CAIXA RETANGULAR 4" X 4" MÉDIA (1,30 M DO PISO), PVC, INSTALADA EM PAR EDE - FORNECIMENTO E INSTALAÇÃO. AF_12/2015</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</si>
  <si>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</si>
  <si>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</si>
  <si>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</si>
  <si>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</si>
  <si>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</si>
  <si>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</si>
  <si>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</si>
  <si>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</si>
  <si>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CAIXA SIFONADA, PVC, DN 100 X 100 X 50 MM, FORNECIDA E INSTALADA EM RA MAIS DE ENCAMINHAMENTO DE ÁGUA PLUVIAL. AF_12/2014</t>
  </si>
  <si>
    <t>CAIXA SIFONADA, PVC, DN 100 X 100 X 50 MM, JUNTA ELÁSTICA, FORNECIDA E INSTALADA EM RAMAL DE DESCARGA OU EM RAMAL DE ESGOTO SANITÁRIO. AF_12 /2014</t>
  </si>
  <si>
    <t>CAIXA SIFONADA, PVC, DN 150 X 185 X 75 MM, FORNECIDA E INSTALADA EM RA MAIS DE ENCAMINHAMENTO DE ÁGUA PLUVIAL. AF_12/2014</t>
  </si>
  <si>
    <t>CAIXA SIFONADA, PVC, DN 150 X 185 X 75 MM, JUNTA ELÁSTICA, FORNECIDA E INSTALADA EM RAMAL DE DESCARGA OU EM RAMAL DE ESGOTO SANITÁRIO. AF_12 /2014</t>
  </si>
  <si>
    <t>CAIXILHO FIXO ALUMINIO 60 X 80 CM COMPLETO</t>
  </si>
  <si>
    <t>CAIXILHO FIXO ALUMINIO SERIE 25 COMPLETO 60 X 80CM</t>
  </si>
  <si>
    <t>CAIXILHO FIXO, DE ALUMINIO, COM TELA DE METAL FIO 12 MALHA 3X3CM</t>
  </si>
  <si>
    <t>CAIXILHO FIXO, DE ALUMINIO, PARA VIDRO</t>
  </si>
  <si>
    <t>CALAFETADOR / CALAFATE (MENSALISTA)</t>
  </si>
  <si>
    <t>CALAFETADOR/CALAFATE COM ENCARGOS COMPLEMENTARES</t>
  </si>
  <si>
    <t>CALCARIO DOLOMITICO A (POSTO PEDREIRA/FORNECEDOR, SEM FRETE)</t>
  </si>
  <si>
    <t>CALCETEIRO  (MENSALISTA)</t>
  </si>
  <si>
    <t>CALHA DE BEIRAL, SEMICIRCULAR DE PVC, DIAMETRO 125 MM, INCLUINDO CABEC EIRAS, EMENDAS, BOCAIS, SUPORTES E VEDAÇÕES, EXCLUINDO CONDUTORES, INC LUSO TRANSPORTE VERTICAL. AF_06/2016</t>
  </si>
  <si>
    <t>CALHA EM CHAPA DE AÇO GALVANIZADO NÚMERO 24, DESENVOLVIMENTO DE 100 CM ,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</si>
  <si>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</si>
  <si>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</si>
  <si>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CONCRETO SIMPLES, EM MEIA CANA DE CONCRETO, DIAMETRO 600 MM</t>
  </si>
  <si>
    <t>CALHA EM CONCRETO SIMPLES, EM MEIA CANA, DIAMETRO 200 MM</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</si>
  <si>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</si>
  <si>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</si>
  <si>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</si>
  <si>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</si>
  <si>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</si>
  <si>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</si>
  <si>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</si>
  <si>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</si>
  <si>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</si>
  <si>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</si>
  <si>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</si>
  <si>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</si>
  <si>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</si>
  <si>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</si>
  <si>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</si>
  <si>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</si>
  <si>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CALIBRADOR / CHANFRADOR / ESCAREADOR DE TUBO PEX</t>
  </si>
  <si>
    <t>CAMADA DRENANTE COM BRITA NUM 2</t>
  </si>
  <si>
    <t>CAMADA DRENANTE COM BRITA NUM 3</t>
  </si>
  <si>
    <t>CAMADA VERTICAL DRENANTE C/ PEDRA BRITADA NUMS 1 E 2</t>
  </si>
  <si>
    <t>CAMINHÃO BASCULANTE 10 M3, TRUCADO CABINE SIMPLES, PESO BRUTO TOTAL 23 .000 KG, CARGA ÚTIL MÁXIMA 15.935 KG, DISTÂNCIA ENTRE EIXOS 4,80 M, PO TÊNCIA 230 CV INCLUSIVE CAÇAMBA METÁLICA - CHI DIURNO. AF_06/2014</t>
  </si>
  <si>
    <t>CAMINHÃO BASCULANTE 10 M3, TRUCADO CABINE SIMPLES, PESO BRUTO TOTAL 23 .000 KG, CARGA ÚTIL MÁXIMA 15.935 KG, DISTÂNCIA ENTRE EIXOS 4,80 M, PO TÊNCIA 230 CV INCLUSIVE CAÇAMBA METÁLICA - CHP DIURNO. AF_06/2014</t>
  </si>
  <si>
    <t>CAMINHÃO BASCULANTE 10 M3, TRUCADO CABINE SIMPLES, PESO BRUTO TOTAL 23 .000 KG, CARGA ÚTIL MÁXIMA 15.935 KG, DISTÂNCIA ENTRE EIXOS 4,80 M, PO TÊNCIA 230 CV INCLUSIVE CAÇAMBA METÁLICA - DEPRECIAÇÃO. AF_06/2014</t>
  </si>
  <si>
    <t>CAMINHÃO BASCULANTE 10 M3, TRUCADO CABINE SIMPLES, PESO BRUTO TOTAL 23 .000 KG, CARGA ÚTIL MÁXIMA 15.935 KG, DISTÂNCIA ENTRE EIXOS 4,80 M, PO TÊNCIA 230 CV INCLUSIVE CAÇAMBA METÁLICA - IMPOSTOS E SEGUROS. AF_06/2 014</t>
  </si>
  <si>
    <t>CAMINHÃO BASCULANTE 10 M3, TRUCADO CABINE SIMPLES, PESO BRUTO TOTAL 23 .000 KG, CARGA ÚTIL MÁXIMA 15.935 KG, DISTÂNCIA ENTRE EIXOS 4,80 M, PO TÊNCIA 230 CV INCLUSIVE CAÇAMBA METÁLICA - JUROS. AF_06/2014</t>
  </si>
  <si>
    <t>CAMINHÃO BASCULANTE 10 M3, TRUCADO CABINE SIMPLES, PESO BRUTO TOTAL 23 .000 KG, CARGA ÚTIL MÁXIMA 15.935 KG, DISTÂNCIA ENTRE EIXOS 4,80 M, PO TÊNCIA 230 CV INCLUSIVE CAÇAMBA METÁLICA - MANUTENÇÃO. AF_06/2014</t>
  </si>
  <si>
    <t>CAMINHÃO BASCULANTE 10 M3, TRUCADO CABINE SIMPLES, PESO BRUTO TOTAL 23 .000 KG, CARGA ÚTIL MÁXIMA 15.935 KG, DISTÂNCIA ENTRE EIXOS 4,80 M, PO TÊNCIA 230 CV INCLUSIVE CAÇAMBA METÁLICA - MATERIAIS NA OPERAÇÃO. AF_0 6/2014</t>
  </si>
  <si>
    <t>CAMINHÃO BASCULANTE 14 M3, COM CAVALO MECÂNICO DE CAPACIDADE MÁXIMA DE TRAÇÃO COMBINADO DE 36000 KG, POTÊNCIA 286 CV, INCLUSIVE SEMIREBOQUE COM CAÇAMBA METÁLICA - CHI DIURNO.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</si>
  <si>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</si>
  <si>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</si>
  <si>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</si>
  <si>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</si>
  <si>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</si>
  <si>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</si>
  <si>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CHI DIURNO.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</si>
  <si>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</si>
  <si>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</si>
  <si>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</si>
  <si>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</si>
  <si>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</si>
  <si>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</si>
  <si>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6 M3 TOCO, PESO BRUTO TOTAL 16.000 KG, CARGA ÚTIL MÁXIMA 11.130 KG, DISTÂNCIA ENTRE EIXOS 5,36 M, POTÊNCIA 185 CV, INCLU SIVE CAÇAMBA METÁLICA - CHI DIURNO. AF_06/2014</t>
  </si>
  <si>
    <t>CAMINHÃO BASCULANTE 6 M3 TOCO, PESO BRUTO TOTAL 16.000 KG, CARGA ÚTIL MÁXIMA 11.130 KG, DISTÂNCIA ENTRE EIXOS 5,36 M, POTÊNCIA 185 CV, INCLU SIVE CAÇAMBA METÁLICA - CHP DIURNO. AF_06/2014</t>
  </si>
  <si>
    <t>CAMINHÃO BASCULANTE 6 M3 TOCO, PESO BRUTO TOTAL 16.000 KG, CARGA ÚTIL MÁXIMA 11.130 KG, DISTÂNCIA ENTRE EIXOS 5,36 M, POTÊNCIA 185 CV, INCLU SIVE CAÇAMBA METÁLICA - DEPRECIAÇÃO. AF_06/2014</t>
  </si>
  <si>
    <t>CAMINHÃO BASCULANTE 6 M3 TOCO, PESO BRUTO TOTAL 16.000 KG, CARGA ÚTIL MÁXIMA 11.130 KG, DISTÂNCIA ENTRE EIXOS 5,36 M, POTÊNCIA 185 CV, INCLU SIVE CAÇAMBA METÁLICA - IMPOSTOS E SEGUROS. AF_06/2014</t>
  </si>
  <si>
    <t>CAMINHÃO BASCULANTE 6 M3 TOCO, PESO BRUTO TOTAL 16.000 KG, CARGA ÚTIL MÁXIMA 11.130 KG, DISTÂNCIA ENTRE EIXOS 5,36 M, POTÊNCIA 185 CV, INCLU SIVE CAÇAMBA METÁLICA - JUROS. AF_06/2014</t>
  </si>
  <si>
    <t>CAMINHÃO BASCULANTE 6 M3 TOCO, PESO BRUTO TOTAL 16.000 KG, CARGA ÚTIL MÁXIMA 11.130 KG, DISTÂNCIA ENTRE EIXOS 5,36 M, POTÊNCIA 185 CV, INCLU SIVE CAÇAMBA METÁLICA - MANUTENÇÃO. AF_06/2014</t>
  </si>
  <si>
    <t>CAMINHÃO BASCULANTE 6 M3 TOCO, PESO BRUTO TOTAL 16.000 KG, CARGA ÚTIL MÁXIMA 11.130 KG, DISTÂNCIA ENTRE EIXOS 5,36 M, POTÊNCIA 185 CV, INCLU SIVE CAÇAMBA METÁLICA - MATERIAIS NA OPERAÇÃO. AF_06/2014</t>
  </si>
  <si>
    <t>CAMINHÃO BASCULANTE 6 M3, PESO BRUTO TOTAL 16.000 KG, CARGA ÚTIL MÁXIM A 13.071 KG, DISTÂNCIA ENTRE EIXOS 4,80 M, POTÊNCIA 230 CV INCLUSIVE C AÇAMBA METÁLICA - CHI DIURNO. AF_06/2014</t>
  </si>
  <si>
    <t>CAMINHÃO BASCULANTE 6 M3, PESO BRUTO TOTAL 16.000 KG, CARGA ÚTIL MÁXIM A 13.071 KG, DISTÂNCIA ENTRE EIXOS 4,80 M, POTÊNCIA 230 CV INCLUSIVE C AÇAMBA METÁLICA - CHP DIURNO. AF_06/2014</t>
  </si>
  <si>
    <t>CAMINHÃO BASCULANTE 6 M3, PESO BRUTO TOTAL 16.000 KG, CARGA ÚTIL MÁXIM A 13.071 KG, DISTÂNCIA ENTRE EIXOS 4,80 M, POTÊNCIA 230 CV INCLUSIVE C AÇAMBA METÁLICA - DEPRECIAÇÃO. AF_06/2014</t>
  </si>
  <si>
    <t>CAMINHÃO BASCULANTE 6 M3, PESO BRUTO TOTAL 16.000 KG, CARGA ÚTIL MÁXIM A 13.071 KG, DISTÂNCIA ENTRE EIXOS 4,80 M, POTÊNCIA 230 CV INCLUSIVE C AÇAMBA METÁLICA - IMPOSTOS E SEGUROS. AF_06/2014</t>
  </si>
  <si>
    <t>CAMINHÃO BASCULANTE 6 M3, PESO BRUTO TOTAL 16.000 KG, CARGA ÚTIL MÁXIM A 13.071 KG, DISTÂNCIA ENTRE EIXOS 4,80 M, POTÊNCIA 230 CV INCLUSIVE C AÇAMBA METÁLICA - JUROS. AF_06/2014</t>
  </si>
  <si>
    <t>CAMINHÃO BASCULANTE 6 M3, PESO BRUTO TOTAL 16.000 KG, CARGA ÚTIL MÁXIM A 13.071 KG, DISTÂNCIA ENTRE EIXOS 4,80 M, POTÊNCIA 230 CV INCLUSIVE C AÇAMBA METÁLICA - MANUTENÇÃO. AF_06/2014</t>
  </si>
  <si>
    <t>CAMINHÃO BASCULANTE 6 M3, PESO BRUTO TOTAL 16.000 KG, CARGA ÚTIL MÁXIM A 13.071 KG, DISTÂNCIA ENTRE EIXOS 4,80 M, POTÊNCIA 230 CV INCLUSIVE C AÇAMBA METÁLICA - MATERIAIS NA OPERAÇÃO. AF_06/2014</t>
  </si>
  <si>
    <t>CAMINHÃO DE TRANSPORTE DE MATERIAL ASFÁLTICO 20.000 L, COM CAVALO MECÂ NICO DE CAPACIDADE MÁXIMA DE TRAÇÃO COMBINADO DE 45.000 KG, POTÊNCIA 3 30 CV, INCLUSIVE TANQUE DE ASFALTO COM MAÇARICO - CHI DIURNO. AF_12/20 15</t>
  </si>
  <si>
    <t>CAMINHÃO DE TRANSPORTE DE MATERIAL ASFÁLTICO 20.000 L, COM CAVALO MECÂ NICO DE CAPACIDADE MÁXIMA DE TRAÇÃO COMBINADO DE 45.000 KG, POTÊNCIA 3 30 CV, INCLUSIVE TANQUE DE ASFALTO COM MAÇARICO - CHP DIURNO. AF_12/20 15</t>
  </si>
  <si>
    <t>CAMINHÃO DE TRANSPORTE DE MATERIAL ASFÁLTICO 20.000 L, COM CAVALO MECÂ NICO DE CAPACIDADE MÁXIMA DE TRAÇÃO COMBINADO DE 45.000 KG, POTÊNCIA 3 30 CV, INCLUSIVE TANQUE DE ASFALTO COM MAÇARICO - DEPRECIAÇÃO. AF_12/2 015</t>
  </si>
  <si>
    <t>CAMINHÃO DE TRANSPORTE DE MATERIAL ASFÁLTICO 20.000 L, COM CAVALO MECÂ NICO DE CAPACIDADE MÁXIMA DE TRAÇÃO COMBINADO DE 45.000 KG, POTÊNCIA 3 30 CV, INCLUSIVE TANQUE DE ASFALTO COM MAÇARICO - IMPOSTOS E SEGUROS. AF_12/2015</t>
  </si>
  <si>
    <t>CAMINHÃO DE TRANSPORTE DE MATERIAL ASFÁLTICO 20.000 L, COM CAVALO MECÂ NICO DE CAPACIDADE MÁXIMA DE TRAÇÃO COMBINADO DE 45.000 KG, POTÊNCIA 3 30 CV, INCLUSIVE TANQUE DE ASFALTO COM MAÇARICO - JUROS. AF_12/2015</t>
  </si>
  <si>
    <t>CAMINHÃO DE TRANSPORTE DE MATERIAL ASFÁLTICO 20.000 L, COM CAVALO MECÂ NICO DE CAPACIDADE MÁXIMA DE TRAÇÃO COMBINADO DE 45.000 KG, POTÊNCIA 3 30 CV, INCLUSIVE TANQUE DE ASFALTO COM MAÇARICO - MANUTENÇÃO. AF_12/20 15</t>
  </si>
  <si>
    <t>CAMINHÃO DE TRANSPORTE DE MATERIAL ASFÁLTICO 20.000 L, COM CAVALO MECÂ NICO DE CAPACIDADE MÁXIMA DE TRAÇÃO COMBINADO DE 45.000 KG, POTÊNCIA 3 30 CV, INCLUSIVE TANQUE DE ASFALTO COM MAÇARICO - MATERIAIS NA OPERAÇÃ O. AF_12/2015</t>
  </si>
  <si>
    <t>CAMINHÃO DE TRANSPORTE DE MATERIAL ASFÁLTICO 30.000 L, COM CAVALO MECÂ NICO DE CAPACIDADE MÁXIMA DE TRAÇÃO COMBINADO DE 66.000 KG, POTÊNCIA 3 60 CV, INCLUSIVE TANQUE DE ASFALTO COM SERPENTINA - CHI DIURNO. AF_08/ 2015</t>
  </si>
  <si>
    <t>CAMINHÃO DE TRANSPORTE DE MATERIAL ASFÁLTICO 30.000 L, COM CAVALO MECÂ NICO DE CAPACIDADE MÁXIMA DE TRAÇÃO COMBINADO DE 66.000 KG, POTÊNCIA 3 60 CV, INCLUSIVE TANQUE DE ASFALTO COM SERPENTINA - CHP DIURNO. AF_08/ 2015</t>
  </si>
  <si>
    <t>CAMINHÃO DE TRANSPORTE DE MATERIAL ASFÁLTICO 30.000 L, COM CAVALO MECÂ NICO DE CAPACIDADE MÁXIMA DE TRAÇÃO COMBINADO DE 66.000 KG, POTÊNCIA 3 60 CV, INCLUSIVE TANQUE DE ASFALTO COM SERPENTINA - DEPRECIAÇÃO. AF_08 /2015</t>
  </si>
  <si>
    <t>CAMINHÃO DE TRANSPORTE DE MATERIAL ASFÁLTICO 30.000 L, COM CAVALO MECÂ NICO DE CAPACIDADE MÁXIMA DE TRAÇÃO COMBINADO DE 66.000 KG, POTÊNCIA 3 60 CV, INCLUSIVE TANQUE DE ASFALTO COM SERPENTINA - IMPOSTOS E SEGUROS . AF_08/2015</t>
  </si>
  <si>
    <t>CAMINHÃO DE TRANSPORTE DE MATERIAL ASFÁLTICO 30.000 L, COM CAVALO MECÂ NICO DE CAPACIDADE MÁXIMA DE TRAÇÃO COMBINADO DE 66.000 KG, POTÊNCIA 3 60 CV, INCLUSIVE TANQUE DE ASFALTO COM SERPENTINA - JUROS. AF_08/2015</t>
  </si>
  <si>
    <t>CAMINHÃO DE TRANSPORTE DE MATERIAL ASFÁLTICO 30.000 L, COM CAVALO MECÂ NICO DE CAPACIDADE MÁXIMA DE TRAÇÃO COMBINADO DE 66.000 KG, POTÊNCIA 3 60 CV, INCLUSIVE TANQUE DE ASFALTO COM SERPENTINA - MANUTENÇÃO. AF_08/ 2015</t>
  </si>
  <si>
    <t>CAMINHÃO DE TRANSPORTE DE MATERIAL ASFÁLTICO 30.000 L, COM CAVALO MECÂ NICO DE CAPACIDADE MÁXIMA DE TRAÇÃO COMBINADO DE 66.000 KG, POTÊNCIA 3 60 CV, INCLUSIVE TANQUE DE ASFALTO COM SERPENTINA - MATERIAIS NA OPERA ÇÃO. AF_08/2015</t>
  </si>
  <si>
    <t>CAMINHAO FORA DE ESTRADA PESO BRUTO 51200 KG, CAPACIDADE DE CARGA 28000 KG, POTENCIA 357 HP, VELOCIDADE MAXIMA 52,70 KM/H</t>
  </si>
  <si>
    <t>CAMINHAO FORA DE ESTRADA PESO BRUTO 69800 KG, CAPACIDADE DE CARGA 39000 KG, CACAMBA 24 M3, POTENCIA 469 HP, VELOCIDADE MAXIMA 57 KM/H</t>
  </si>
  <si>
    <t>CAMINHÃO PARA EQUIPAMENTO DE LIMPEZA A SUCÇÃO COM CAMINHÃO TRUCADO DE PESO BRUTO TOTAL 23000 KG, CARGA ÚTIL MÁXIMA 15935 KG, DISTÂNCIA ENTRE EIXOS 4,80 M, POTÊNCIA 230 CV, INCLUSIVE LIMPADORA A SUCÇÃO, TANQUE 1</t>
  </si>
  <si>
    <t>CAMINHÃO PARA EQUIPAMENTO DE LIMPEZA A SUCÇÃO, COM CAMINHÃO TRUCADO DE PESO BRUTO TOTAL 23000 KG, CARGA ÚTIL MÁXIMA 15935 KG, DISTÂNCIA ENTR E EIXOS 4,80 M, POTÊNCIA 230 CV, INCLUSIVE LIMPADORA A SUCÇÃO, TANQUE</t>
  </si>
  <si>
    <t>CAMINHÃO PIPA 10.000 L TRUCADO, PESO BRUTO TOTAL 23.000 KG, CARGA ÚTIL MÁXIMA 15.935 KG, DISTÂNCIA ENTRE EIXOS 4,8 M, POTÊNCIA 230 CV, INCLU SIVE TANQUE DE AÇO PARA TRANSPORTE DE ÁGUA - CHI DIURNO. AF_06/2014</t>
  </si>
  <si>
    <t>CAMINHÃO PIPA 10.000 L TRUCADO, PESO BRUTO TOTAL 23.000 KG, CARGA ÚTIL MÁXIMA 15.935 KG, DISTÂNCIA ENTRE EIXOS 4,8 M, POTÊNCIA 230 CV, INCLU SIVE TANQUE DE AÇO PARA TRANSPORTE DE ÁGUA - CHP DIURNO. AF_06/2014</t>
  </si>
  <si>
    <t>CAMINHÃO PIPA 10.000 L TRUCADO, PESO BRUTO TOTAL 23.000 KG, CARGA ÚTIL MÁXIMA 15.935 KG, DISTÂNCIA ENTRE EIXOS 4,8 M, POTÊNCIA 230 CV, INCLU SIVE TANQUE DE AÇO PARA TRANSPORTE DE ÁGUA - DEPRECIAÇÃO. AF_06/2014</t>
  </si>
  <si>
    <t>CAMINHÃO PIPA 10.000 L TRUCADO, PESO BRUTO TOTAL 23.000 KG, CARGA ÚTIL MÁXIMA 15.935 KG, DISTÂNCIA ENTRE EIXOS 4,8 M, POTÊNCIA 230 CV, INCLU SIVE TANQUE DE AÇO PARA TRANSPORTE DE ÁGUA - IMPOSTOS E SEGUROS. AF_06 /2014</t>
  </si>
  <si>
    <t>CAMINHÃO PIPA 10.000 L TRUCADO, PESO BRUTO TOTAL 23.000 KG, CARGA ÚTIL MÁXIMA 15.935 KG, DISTÂNCIA ENTRE EIXOS 4,8 M, POTÊNCIA 230 CV, INCLU SIVE TANQUE DE AÇO PARA TRANSPORTE DE ÁGUA - JUROS. AF_06/2014</t>
  </si>
  <si>
    <t>CAMINHÃO PIPA 10.000 L TRUCADO, PESO BRUTO TOTAL 23.000 KG, CARGA ÚTIL MÁXIMA 15.935 KG, DISTÂNCIA ENTRE EIXOS 4,8 M, POTÊNCIA 230 CV, INCLU SIVE TANQUE DE AÇO PARA TRANSPORTE DE ÁGUA - MANUTENÇÃO. AF_06/2014</t>
  </si>
  <si>
    <t>CAMINHÃO PIPA 10.000 L TRUCADO, PESO BRUTO TOTAL 23.000 KG, CARGA ÚTIL MÁXIMA 15.935 KG, DISTÂNCIA ENTRE EIXOS 4,8 M, POTÊNCIA 230 CV, INCLU SIVE TANQUE DE AÇO PARA TRANSPORTE DE ÁGUA - MATERIAIS NA OPERAÇÃO. AF _06/2014</t>
  </si>
  <si>
    <t>CAMINHÃO PIPA 6.000 L, PESO BRUTO TOTAL 13.000 KG, DISTÂNCIA ENTRE EIX OS 4,80 M, POTÊNCIA 189 CV INCLUSIVE TANQUE DE AÇO PARA TRANSPORTE DE ÁGUA, CAPACIDADE 6 M3 - CHI DIURNO. AF_06/2014</t>
  </si>
  <si>
    <t>CAMINHÃO PIPA 6.000 L, PESO BRUTO TOTAL 13.000 KG, DISTÂNCIA ENTRE EIX OS 4,80 M, POTÊNCIA 189 CV INCLUSIVE TANQUE DE AÇO PARA TRANSPORTE DE ÁGUA, CAPACIDADE 6 M3 - CHP DIURNO. AF_06/2014</t>
  </si>
  <si>
    <t>CAMINHÃO PIPA 6.000 L, PESO BRUTO TOTAL 13.000 KG, DISTÂNCIA ENTRE EIX OS 4,80 M, POTÊNCIA 189 CV INCLUSIVE TANQUE DE AÇO PARA TRANSPORTE DE ÁGUA, CAPACIDADE 6 M3 - DEPRECIAÇÃO. AF_06/2014</t>
  </si>
  <si>
    <t>CAMINHÃO PIPA 6.000 L, PESO BRUTO TOTAL 13.000 KG, DISTÂNCIA ENTRE EIX OS 4,80 M, POTÊNCIA 189 CV INCLUSIVE TANQUE DE AÇO PARA TRANSPORTE DE ÁGUA, CAPACIDADE 6 M3 - IMPOSTOS E SEGUROS. AF_06/2014</t>
  </si>
  <si>
    <t>CAMINHÃO PIPA 6.000 L, PESO BRUTO TOTAL 13.000 KG, DISTÂNCIA ENTRE EIX OS 4,80 M, POTÊNCIA 189 CV INCLUSIVE TANQUE DE AÇO PARA TRANSPORTE DE ÁGUA, CAPACIDADE 6 M3 - JUROS. AF_06/2014</t>
  </si>
  <si>
    <t>CAMINHÃO PIPA 6.000 L, PESO BRUTO TOTAL 13.000 KG, DISTÂNCIA ENTRE EIX OS 4,80 M, POTÊNCIA 189 CV INCLUSIVE TANQUE DE AÇO PARA TRANSPORTE DE ÁGUA, CAPACIDADE 6 M3 - MANUTENÇÃO. AF_06/2014</t>
  </si>
  <si>
    <t>CAMINHÃO PIPA 6.000 L, PESO BRUTO TOTAL 13.000 KG, DISTÂNCIA ENTRE EIX OS 4,80 M, POTÊNCIA 189 CV INCLUSIVE TANQUE DE AÇO PARA TRANSPORTE DE ÁGUA, CAPACIDADE 6 M3 - MATERIAIS NA OPERAÇÃO. AF_06/2014</t>
  </si>
  <si>
    <t>CAMINHÃO TOCO, PBT 14.300 KG, CARGA ÚTIL MÁX. 9.710 KG, DIST. ENTRE EI XOS 3,56 M, POTÊNCIA 185 CV, INCLUSIVE CARROCERIA FIXA ABERTA DE MADEI RA P/ TRANSPORTE GERAL DE CARGA SECA, DIMEN. APROX. 2,50 X 6,50 X 0,50 M - CHI DIURNO. AF_06/2014</t>
  </si>
  <si>
    <t>CAMINHÃO TOCO, PBT 14.300 KG, CARGA ÚTIL MÁX. 9.710 KG, DIST. ENTRE EI XOS 3,56 M, POTÊNCIA 185 CV, INCLUSIVE CARROCERIA FIXA ABERTA DE MADEI RA P/ TRANSPORTE GERAL DE CARGA SECA, DIMEN. APROX. 2,50 X 6,50 X 0,50 M - CHP DIURNO. AF_06/2014</t>
  </si>
  <si>
    <t>CAMINHÃO TOCO, PBT 14.300 KG, CARGA ÚTIL MÁX. 9.710 KG, DIST. ENTRE EI XOS 3,56 M, POTÊNCIA 185 CV, INCLUSIVE CARROCERIA FIXA ABERTA DE MADEI RA P/ TRANSPORTE GERAL DE CARGA SECA, DIMEN. APROX. 2,50 X 6,50 X 0,50 M - DEPRECIAÇÃO. AF_06/2014</t>
  </si>
  <si>
    <t>CAMINHÃO TOCO, PBT 14.300 KG, CARGA ÚTIL MÁX. 9.710 KG, DIST. ENTRE EI XOS 3,56 M, POTÊNCIA 185 CV, INCLUSIVE CARROCERIA FIXA ABERTA DE MADEI RA P/ TRANSPORTE GERAL DE CARGA SECA, DIMEN. APROX. 2,50 X 6,50 X 0,50 M - IMPOSTOS E SEGUROS. AF_06/2014</t>
  </si>
  <si>
    <t>CAMINHÃO TOCO, PBT 14.300 KG, CARGA ÚTIL MÁX. 9.710 KG, DIST. ENTRE EI XOS 3,56 M, POTÊNCIA 185 CV, INCLUSIVE CARROCERIA FIXA ABERTA DE MADEI RA P/ TRANSPORTE GERAL DE CARGA SECA, DIMEN. APROX. 2,50 X 6,50 X 0,50 M - JUROS. AF_06/2014</t>
  </si>
  <si>
    <t>CAMINHÃO TOCO, PBT 14.300 KG, CARGA ÚTIL MÁX. 9.710 KG, DIST. ENTRE EI XOS 3,56 M, POTÊNCIA 185 CV, INCLUSIVE CARROCERIA FIXA ABERTA DE MADEI RA P/ TRANSPORTE GERAL DE CARGA SECA, DIMEN. APROX. 2,50 X 6,50 X 0,50 M - MANUTENÇÃO. AF_06/2014</t>
  </si>
  <si>
    <t>CAMINHÃO TOCO, PBT 14.300 KG, CARGA ÚTIL MÁX. 9.710 KG, DIST. ENTRE EI XOS 3,56 M, POTÊNCIA 185 CV, INCLUSIVE CARROCERIA FIXA ABERTA DE MADEI RA P/ TRANSPORTE GERAL DE CARGA SECA, DIMEN. APROX. 2,50 X 6,50 X 0,50 M - MATERIAIS NA OPERAÇÃO. AF_06/2014</t>
  </si>
  <si>
    <t>CAMINHÃO TOCO, PBT 16.000 KG, CARGA ÚTIL MÁX. 10.685 KG, DIST. ENTRE E IXOS 4,8 M, POTÊNCIA 189 CV, INCLUSIVE CARROCERIA FIXA ABERTA DE MADEI RA P/ TRANSPORTE GERAL DE CARGA SECA, DIMEN. APROX. 2,5 X 7,00 X 0,50 M - CHI DIURNO. AF_06/2014</t>
  </si>
  <si>
    <t>CAMINHÃO TOCO, PBT 16.000 KG, CARGA ÚTIL MÁX. 10.685 KG, DIST. ENTRE E IXOS 4,8 M, POTÊNCIA 189 CV, INCLUSIVE CARROCERIA FIXA ABERTA DE MADEI RA P/ TRANSPORTE GERAL DE CARGA SECA, DIMEN. APROX. 2,5 X 7,00 X 0,50 M - CHP DIURNO. AF_06/2014</t>
  </si>
  <si>
    <t>CAMINHÃO TOCO, PBT 16.000 KG, CARGA ÚTIL MÁX. 10.685 KG, DIST. ENTRE E IXOS 4,8 M, POTÊNCIA 189 CV, INCLUSIVE CARROCERIA FIXA ABERTA DE MADEI RA P/ TRANSPORTE GERAL DE CARGA SECA, DIMEN. APROX. 2,5 X 7,00 X 0,50 M - DEPRECIAÇÃO. AF_06/2014</t>
  </si>
  <si>
    <t>CAMINHÃO TOCO, PBT 16.000 KG, CARGA ÚTIL MÁX. 10.685 KG, DIST. ENTRE E IXOS 4,8 M, POTÊNCIA 189 CV, INCLUSIVE CARROCERIA FIXA ABERTA DE MADEI RA P/ TRANSPORTE GERAL DE CARGA SECA, DIMEN. APROX. 2,5 X 7,00 X 0,50 M - IMPOSTOS E SEGUROS. AF_06/2014</t>
  </si>
  <si>
    <t>CAMINHÃO TOCO, PBT 16.000 KG, CARGA ÚTIL MÁX. 10.685 KG, DIST. ENTRE E IXOS 4,8 M, POTÊNCIA 189 CV, INCLUSIVE CARROCERIA FIXA ABERTA DE MADEI RA P/ TRANSPORTE GERAL DE CARGA SECA, DIMEN. APROX. 2,5 X 7,00 X 0,50 M - JUROS. AF_06/2014</t>
  </si>
  <si>
    <t>CAMINHÃO TOCO, PBT 16.000 KG, CARGA ÚTIL MÁX. 10.685 KG, DIST. ENTRE E IXOS 4,8 M, POTÊNCIA 189 CV, INCLUSIVE CARROCERIA FIXA ABERTA DE MADEI RA P/ TRANSPORTE GERAL DE CARGA SECA, DIMEN. APROX. 2,5 X 7,00 X 0,50 M - MANUTENÇÃO. AF_06/2014</t>
  </si>
  <si>
    <t>CAMINHÃO TOCO, PBT 16.000 KG, CARGA ÚTIL MÁX. 10.685 KG, DIST. ENTRE E IXOS 4,8 M, POTÊNCIA 189 CV, INCLUSIVE CARROCERIA FIXA ABERTA DE MADEI RA P/ TRANSPORTE GERAL DE CARGA SECA, DIMEN. APROX. 2,5 X 7,00 X 0,50 M - MATERIAIS NA OPERAÇÃO. AF_06/2014</t>
  </si>
  <si>
    <t>CAMINHAO TOCO, PESO BRUTO TOTAL 13000 KG, CARGA UTIL MAXIMA 7925 KG, DISTANCIA ENTRE EIXOS 4,80 M, POTENCIA 189 CV (INCLUI CABINE E CHASSI, NAO INCLUI CARROCERIA)</t>
  </si>
  <si>
    <t>CAMINHÃO TOCO, PESO BRUTO TOTAL 14.300 KG, CARGA ÚTIL MÁXIMA 9590 KG, DISTÂNCIA ENTRE EIXOS 4,76 M, POTÊNCIA 185 CV (NÃO INCLUI CARROCERIA)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</si>
  <si>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</si>
  <si>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</si>
  <si>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IMPOSTOS E SEGUROS.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</si>
  <si>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</si>
  <si>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</si>
  <si>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MATERIAIS NA OPERAÇÃO. AF_06/2014</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</si>
  <si>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</si>
  <si>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</si>
  <si>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CAMINHÃO TOCO, PESO BRUTO TOTAL 16.000 KG, CARGA ÚTIL MÁXIMA DE 10.685 KG, DISTÂNCIA ENTRE EIXOS 4,80 M, POTÊNCIA 189 CV EXCLUSIVE CARROCERI A - CHI DIURNO. AF_06/2014</t>
  </si>
  <si>
    <t>CAMINHÃO TOCO, PESO BRUTO TOTAL 16.000 KG, CARGA ÚTIL MÁXIMA DE 10.685 KG, DISTÂNCIA ENTRE EIXOS 4,80 M, POTÊNCIA 189 CV EXCLUSIVE CARROCERI A - CHP DIURNO. AF_06/2014</t>
  </si>
  <si>
    <t>CAMINHÃO TOCO, PESO BRUTO TOTAL 16.000 KG, CARGA ÚTIL MÁXIMA DE 10.685 KG, DISTÂNCIA ENTRE EIXOS 4,80 M, POTÊNCIA 189 CV EXCLUSIVE CARROCERI A - DEPRECIAÇÃO. AF_06/2014</t>
  </si>
  <si>
    <t>CAMINHÃO TOCO, PESO BRUTO TOTAL 16.000 KG, CARGA ÚTIL MÁXIMA DE 10.685 KG, DISTÂNCIA ENTRE EIXOS 4,80 M, POTÊNCIA 189 CV EXCLUSIVE CARROCERI A - IMPOSTOS E SEGUROS. AF_06/2014</t>
  </si>
  <si>
    <t>CAMINHÃO TOCO, PESO BRUTO TOTAL 16.000 KG, CARGA ÚTIL MÁXIMA DE 10.685 KG, DISTÂNCIA ENTRE EIXOS 4,80 M, POTÊNCIA 189 CV EXCLUSIVE CARROCERI A - JUROS. AF_06/2014</t>
  </si>
  <si>
    <t>CAMINHÃO TOCO, PESO BRUTO TOTAL 16.000 KG, CARGA ÚTIL MÁXIMA DE 10.685 KG, DISTÂNCIA ENTRE EIXOS 4,80 M, POTÊNCIA 189 CV EXCLUSIVE CARROCERI A - MANUTENÇÃO. AF_06/2014</t>
  </si>
  <si>
    <t>CAMINHÃO TOCO, PESO BRUTO TOTAL 16.000 KG, CARGA ÚTIL MÁXIMA DE 10.685 KG, DISTÂNCIA ENTRE EIXOS 4,80 M, POTÊNCIA 189 CV EXCLUSIVE CARROCERI A - MATERIAIS NA OPERAÇÃO. AF_06/2014</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</si>
  <si>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</si>
  <si>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</si>
  <si>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</si>
  <si>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</si>
  <si>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</si>
  <si>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16000 KG, CARGA UTIL MAXIMA DE 10685 KG, DISTANCIA ENTRE EIXOS 4,8M, POTENCIA 189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</si>
  <si>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</si>
  <si>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</si>
  <si>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</si>
  <si>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</si>
  <si>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</si>
  <si>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</si>
  <si>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</si>
  <si>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</si>
  <si>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</si>
  <si>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</si>
  <si>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</si>
  <si>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</si>
  <si>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</si>
  <si>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</si>
  <si>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</si>
  <si>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</si>
  <si>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</si>
  <si>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</si>
  <si>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</si>
  <si>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CAMINHONETE CABINE SIMPLES COM MOTOR 1.6 FLEX, CÂMBIO MANUAL, POTÊNCIA 101/104 CV, 2 PORTAS - CHI DIURNO. AF_11/2015</t>
  </si>
  <si>
    <t>CAMINHONETE CABINE SIMPLES COM MOTOR 1.6 FLEX, CÂMBIO MANUAL, POTÊNCIA 101/104 CV, 2 PORTAS - CHP DIURNO. AF_11/2015</t>
  </si>
  <si>
    <t>CAMINHONETE CABINE SIMPLES COM MOTOR 1.6 FLEX, CÂMBIO MANUAL, POTÊNCIA 101/104 CV, 2 PORTAS - DEPRECIAÇÃO. AF_11/2015</t>
  </si>
  <si>
    <t>CAMINHONETE CABINE SIMPLES COM MOTOR 1.6 FLEX, CÂMBIO MANUAL, POTÊNCIA 101/104 CV, 2 PORTAS - IMPOSTOS E SEGUROS. AF_11/2015</t>
  </si>
  <si>
    <t>CAMINHONETE CABINE SIMPLES COM MOTOR 1.6 FLEX, CÂMBIO MANUAL, POTÊNCIA 101/104 CV, 2 PORTAS - JUROS.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</si>
  <si>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</si>
  <si>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</si>
  <si>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COM MOTOR A DIESEL, POTENCIA 180 CV, CABINE DUPLA, 4X4</t>
  </si>
  <si>
    <t>CAMINHONETE COM MOTOR A DIESEL, POTÊNCIA 180 CV, CABINE DUPLA, 4X4 - C HI DIURNO. AF_11/2015</t>
  </si>
  <si>
    <t>CAMINHONETE COM MOTOR A DIESEL, POTÊNCIA 180 CV, CABINE DUPLA, 4X4 - C HP DIURNO. AF_11/2015</t>
  </si>
  <si>
    <t>CAMINHONETE COM MOTOR A DIESEL, POTÊNCIA 180 CV, CABINE DUPLA, 4X4 - D EPRECIAÇÃO. AF_11/2015</t>
  </si>
  <si>
    <t>CAMINHONETE COM MOTOR A DIESEL, POTÊNCIA 180 CV, CABINE DUPLA, 4X4 - I MPOSTOS E SEGUROS. AF_11/2015</t>
  </si>
  <si>
    <t>CAMINHONETE COM MOTOR A DIESEL, POTÊNCIA 180 CV, CABINE DUPLA, 4X4 - J UROS. AF_11/2015</t>
  </si>
  <si>
    <t>CAMINHONETE COM MOTOR A DIESEL, POTÊNCIA 180 CV, CABINE DUPLA, 4X4 - M ANUTENÇÃO. AF_11/2015</t>
  </si>
  <si>
    <t>CAMINHONETE COM MOTOR A DIESEL, POTÊNCIA 180 CV, CABINE DUPLA, 4X4 - M ATERIAIS NA OPERAÇÃO. AF_11/2015</t>
  </si>
  <si>
    <t>CANALETA CONCRETO 14 X 19 X 19 CM (CLASSE D - NBR 6136)</t>
  </si>
  <si>
    <t>CANALETA CONCRETO 19 X 19 X 19 CM (CLASSE D - NBR 6136)</t>
  </si>
  <si>
    <t>CANALETA CONCRETO 9 X 19 X 19 CM (CLASSE D - NBR 6136)</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</si>
  <si>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</si>
  <si>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</si>
  <si>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</si>
  <si>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</si>
  <si>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</si>
  <si>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</si>
  <si>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</si>
  <si>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</si>
  <si>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</si>
  <si>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</si>
  <si>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</si>
  <si>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 = 1/8 "</t>
  </si>
  <si>
    <t>CANTONEIRA ACO ABAS IGUAIS (QUALQUER BITOLA), E = 3/16 "</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</si>
  <si>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</si>
  <si>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</si>
  <si>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</si>
  <si>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</si>
  <si>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</si>
  <si>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</si>
  <si>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</si>
  <si>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</si>
  <si>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</si>
  <si>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DE ALUMINIO 1"X1, PARA PROTECAO DE QUINA DE PAREDE</t>
  </si>
  <si>
    <t>CANTONEIRA DE ALUMINIO 2"X2", PARA PROTECAO DE QUINA DE PAREDE</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</si>
  <si>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</si>
  <si>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</si>
  <si>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</si>
  <si>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</si>
  <si>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</si>
  <si>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</si>
  <si>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t>
  </si>
  <si>
    <t>CAP OU TAMPAO DE FERRO GALVANIZADO, COM ROSCA BSP, DE 1/2"</t>
  </si>
  <si>
    <t>CAP OU TAMPAO DE FERRO GALVANIZADO, COM ROSCA BSP, DE 1/4"</t>
  </si>
  <si>
    <t>CAP OU TAMPAO DE FERRO GALVANIZADO, COM ROSCA BSP, DE 2 1/2"</t>
  </si>
  <si>
    <t>CAP OU TAMPAO DE FERRO GALVANIZADO, COM ROSCA BSP, DE 2"</t>
  </si>
  <si>
    <t>CAP OU TAMPAO DE FERRO GALVANIZADO, COM ROSCA BSP, DE 3"</t>
  </si>
  <si>
    <t>CAP OU TAMPAO DE FERRO GALVANIZADO, COM ROSCA BSP, DE 3/4"</t>
  </si>
  <si>
    <t>CAP OU TAMPAO DE FERRO GALVANIZADO, COM ROSCA BSP, DE 3/8"</t>
  </si>
  <si>
    <t>CAP OU TAMPAO DE FERRO GALVANIZADO, COM ROSCA BSP, DE 4"</t>
  </si>
  <si>
    <t>CAP PVC, ROSCAVEL, 1 1/2",  AGUA FRIA PREDIAL</t>
  </si>
  <si>
    <t>CAP PVC, ROSCAVEL, 1 1/4",  AGUA FRIA PREDIAL</t>
  </si>
  <si>
    <t>CAP PVC, ROSCAVEL, 1",  PARA AGUA FRIA PREDIAL</t>
  </si>
  <si>
    <t>CAP PVC, ROSCAVEL, 1/2", PARA AGUA FRIA PREDIAL</t>
  </si>
  <si>
    <t>CAP PVC, ROSCAVEL, 2 1/2",  AGUA FRIA PREDIAL</t>
  </si>
  <si>
    <t>CAP PVC, ROSCAVEL, 2",  AGUA FRIA PREDIAL</t>
  </si>
  <si>
    <t>CAP PVC, ROSCAVEL, 3",  AGUA FRIA PREDIAL</t>
  </si>
  <si>
    <t>CAP PVC, ROSCAVEL, 3/4",  PARA AGUA FRIA PREDIAL</t>
  </si>
  <si>
    <t>CAP PVC, ROSCAVEL, 4",  AGUA FRIA PREDIAL</t>
  </si>
  <si>
    <t>CAP PVC, SERIE R, DN 100 MM, PARA ESGOTO PREDIAL</t>
  </si>
  <si>
    <t>CAP PVC, SERIE R, DN 150 MM, PARA ESGOTO PREDIAL</t>
  </si>
  <si>
    <t>CAP PVC, SERIE R, DN 75 MM,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</si>
  <si>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</si>
  <si>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</si>
  <si>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</si>
  <si>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</si>
  <si>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</si>
  <si>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</si>
  <si>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</si>
  <si>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</si>
  <si>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</si>
  <si>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SOLDAVEL, DN 100 MM, SERIE NORMAL, PARA ESGOTO PREDIAL</t>
  </si>
  <si>
    <t>CAP PVC, SOLDAVEL, DN 50 MM, SERIE NORMAL, PARA ESGOTO PREDIAL</t>
  </si>
  <si>
    <t>CAP PVC, SOLDAVEL, DN 75 MM, SERIE NORMAL, PARA ESGOTO PREDIAL</t>
  </si>
  <si>
    <t>CAP, PVC PBA, JE, DN 100 / DE 110 MM,  PARA REDE DE AGUA (NBR 10351)</t>
  </si>
  <si>
    <t>CAP, PVC PBA, JE, DN 50 / DE 60 MM,  PARA REDE DE AGUA (NBR 10351)</t>
  </si>
  <si>
    <t>CAP, PVC PBA, JE, DN 75 / DE 85 MM,  PARA REDE DE AGUA (NBR 10351)</t>
  </si>
  <si>
    <t>CAP, PVC, JE, DN 150 MM, PARA REDE COLETORA DE ESGOTO</t>
  </si>
  <si>
    <t>CAP, PVC, JE, DN 200 MM, PARA REDE COLETORA DE ESGOTO</t>
  </si>
  <si>
    <t>CAPA PARA CHUVA EM PVC COM FORRO DE POLIESTER, COM CAPUZ (AMARELA OU AZUL)</t>
  </si>
  <si>
    <t>CAPA SELANTE COMPREENDENDO APLICAÇÃO DE ASFALTO NA PROPORÇÃO DE 0,7 A 1,5L / M2, DISTRIBUIÇÃO DE AGREGADOS DE 5 A 15KG/M2 E COMPACTAÇÃO COM ROLO - COM USO DA EMULSAO RR-2C, INCLUSO APLICACAO E COMPACTACAO</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</si>
  <si>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</si>
  <si>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</si>
  <si>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</si>
  <si>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</si>
  <si>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CARGA E DESCARGA MECANICA DE SOLO UTILIZANDO CAMINHAO BASCULANTE 6,0M3 /16T E PA CARREGADEIRA SOBRE PNEUS 128 HP, CAPACIDADE DA CAÇAMBA 1,7 A 2,8 M3, PESO OPERACIONAL 11632 KG</t>
  </si>
  <si>
    <t>CARGA E DESCARGA MECANIZADAS DE ENTULHO EM CAMINHAO BASCULANTE 6 M3</t>
  </si>
  <si>
    <t>CARGA MANUAL DE ENTULHO EM CAMINHAO BASCULANTE 6 M3</t>
  </si>
  <si>
    <t>CARGA, MANOBRAS E DESCARGA DE AREIA, BRITA, PEDRA DE MAO E SOLOS COM C AMINHAO BASCULANTE 6 M3 (DESCARGA LIVRE)</t>
  </si>
  <si>
    <t>CARGA, MANOBRAS E DESCARGA DE BRITA PARA BASE DE MACADAME, COM CAMINHA O BASCULANTE 6 M3</t>
  </si>
  <si>
    <t>CARGA, MANOBRAS E DESCARGA DE BRITA PARA BASE DE MACADAME, COM CAMINHA O BASCULANTE 6 M3, DESCARGA EM DISTRIBUIDOR</t>
  </si>
  <si>
    <t>CARGA, MANOBRAS E DESCARGA DE BRITA PARA TRATAMENTOS SUPERFICIAIS, COM CAMINHAO BASCULANTE 6 M3</t>
  </si>
  <si>
    <t>CARGA, MANOBRAS E DESCARGA DE BRITA PARA TRATAMENTOS SUPERFICIAIS, COM CAMINHAO BASCULANTE 6 M3, DESCARGA EM DISTRIBUIDOR</t>
  </si>
  <si>
    <t>CARGA, MANOBRAS E DESCARGA DE DE MISTURA BETUMINOSA A FRIO, COM CAMINH AO BASCULANTE 6 M3, DESCARGA EM VIBRO-ACABADORA</t>
  </si>
  <si>
    <t>CARGA, MANOBRAS E DESCARGA DE MATERIAIS DIVERSOS, COM CAMINHAO BASCULA NTE 6M3 (CARGA E DESCARGA MANUAIS)</t>
  </si>
  <si>
    <t>CARGA, MANOBRAS E DESCARGA DE MATERIAIS DIVERSOS, COM CAMINHAO CARROCE RIA 9T (CARGA E DESCARGA MANUAIS)</t>
  </si>
  <si>
    <t>CARGA, MANOBRAS E DESCARGA DE MISTURA BETUMINOSA A FRIO, COM CAMINHAO BASCULANTE 6 M3</t>
  </si>
  <si>
    <t>CARGA, MANOBRAS E DESCARGA DE MISTURA BETUMINOSA A QUENTE, COM CAMINHA O BASCULANTE 6 M3</t>
  </si>
  <si>
    <t>CARGA, MANOBRAS E DESCARGA DE MISTURA BETUMINOSA A QUENTE, COM CAMINHA O BASCULANTE 6 M3, DESCARGA EM VIBRO-ACABADORA</t>
  </si>
  <si>
    <t>CARGA, MANOBRAS E DESCARGA DE MISTURAS DE SOLOS E AGREGADOS (BASES EST ABILIZADAS EM USINA) COM CAMINHAO BASCULANTE 6 M3</t>
  </si>
  <si>
    <t>CARGA, MANOBRAS E DESCARGA DE MISTURAS DE SOLOS E AGREGADOS, COM CAMIN HAO BASCULANTE 6 M3, DESCARGA EM DISTRIBUIDOR</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</si>
  <si>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</si>
  <si>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</si>
  <si>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</si>
  <si>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</si>
  <si>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</si>
  <si>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(MENSALISTA)</t>
  </si>
  <si>
    <t>CARPINTEIRO DE ESQUADRIAS</t>
  </si>
  <si>
    <t>CARPINTEIRO DE ESQUADRIAS (MENSALISTA)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</si>
  <si>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</si>
  <si>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</si>
  <si>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</si>
  <si>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</si>
  <si>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</si>
  <si>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</si>
  <si>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</si>
  <si>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</si>
  <si>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</si>
  <si>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</si>
  <si>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CAVALETE DE APOIO CARGA 2 T</t>
  </si>
  <si>
    <t>CAVALETE PARA TALHA COM ESTRUTURA EM TUBO METALICO ALTURA MINIMA 3,2 M EQUIPADO COM RODAS DE BORRACHA PARA MOVIMENTACAO DE TUBOS DE CONCRETO NA CENTRAL DE PREMOLDADOS COM CAPACIDADE DE CARGA DE 3 TONELADAS</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</si>
  <si>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</si>
  <si>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</si>
  <si>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48300 KG, POTENCIA 360 CV (INCLUI CABINE E CHASSI, NAO INCLUI SEMIRREBOQUE)</t>
  </si>
  <si>
    <t>CAVALO MECANICO TRACAO 4X2, PESO BRUTO TOTAL 16000 KG, CAPACIDADE MAXIMA DE TRACAO 80000 KG, POTENCIA 260 CV (INCLUI CABINE E CHASSI, NAO INCLUI SEMIRREBOQUE)</t>
  </si>
  <si>
    <t>CAVALO MECANICO TRACAO 4X2, PESO BRUTO TOTAL COMBINADO 49000 KG, CAPACIDADE MAXIMA DE TRACAO 66000 KG, POTENCIA 310 CV (INCLUI CABINE E CHASSI, NAO INCLUI SEMIRREBOQUE)</t>
  </si>
  <si>
    <t>CAVALO MECANICO TRACAO 4X2, PESO BRUTO TOTAL COMBINADO 56000 KG, CAPACIDADE MAXIMA DE TRACAO 80000 KG, POTENCIA 400 CV (INCLUI CABINE E CHASSI, NAO INCLUI SEMIRREBOQUE)</t>
  </si>
  <si>
    <t>CAVALO MECANICO TRACAO 6X2, PESO BRUTO TOTAL COMBINADO 56000 KG, CAPACIDADE MAXIMA DE TRACAO 66000 KG, POTENCIA 360CV (INCLUI CABINE E CHASSI, NAO INCLUI SEMIRREBOQUE)</t>
  </si>
  <si>
    <t>CAVOUQUEIRO OU OPERADOR DE PERFURATRIZ / ROMPEDOR</t>
  </si>
  <si>
    <t>CAVOUQUEIRO OU OPERADOR DE PERFURATRIZ / ROMPEDOR (MENSALISTA)</t>
  </si>
  <si>
    <t>CAVOUQUEIRO OU OPERADOR PERFURATRIZ/ROMPEDOR COM ENCARGOS COMPLEMENTAR</t>
  </si>
  <si>
    <t>CENTRALIZADOR DE BARRA DE ACO (CHUMBADOR TIPO CARAMBOLA), PARA ACO ATE 20 MM (COLETADO CAIXA)</t>
  </si>
  <si>
    <t>CERA LIQUIDA</t>
  </si>
  <si>
    <t>CERCA COM MOUROES DE CONCRETO, RETO, 15X15CM, ESPACAMENTO DE 3M, CRAVA DOS 0,5M, ESCORAS DE 10X10CM NOS CANTOS, COM 12 FIOS DE ARAME DE ACO O VALADO 15X17</t>
  </si>
  <si>
    <t>CERCA COM MOUROES DE CONCRETO, RETO, 15X15CM, ESPACAMENTO DE 3M, CRAVA DOS 0,5M, ESCORAS DE 10X10CM NOS CANTOS, COM 9 FIOS DE ARAME DE ACO OV ALADO 15X17</t>
  </si>
  <si>
    <t>CERCA COM MOUROES DE CONCRETO, RETO, ESPACAMENTO DE 3M, CRAVADOS 0,5M, COM 4 FIOS DE ARAME FARPADO Nº 14 CLASSE 250</t>
  </si>
  <si>
    <t>CERCA COM MOUROES DE CONCRETO, SECAO "T" PONTA INCLINADA, 10X10CM, ESP ACAMENTO DE 3M, CRAVADOS 0,5M, COM 11 FIOS DE ARAME FARPADO Nº 16</t>
  </si>
  <si>
    <t>CERCA COM MOUROES DE MADEIRA ROLICA, DIAMETRO 11CM, ESPACAMENTO DE 2M, ALTURA LIVRE DE 1M, CRAVADOS 0,5M, COM 5 FIOS DE ARAME FARPADO Nº 14 CLASSE 250</t>
  </si>
  <si>
    <t>CERCA COM MOUROES DE MADEIRA, 7,5X7,5CM, ESPACAMENTO DE 2M, ALTURA LIV RE DE 2M, CRAVADOS 0,5M, COM 4 FIOS DE ARAME FARPADO Nº 14 CLASSE 250</t>
  </si>
  <si>
    <t>CERCA COM MOUROES DE MADEIRA, 7,5X7,5CM, ESPACAMENTO DE 2M, ALTURA LIV RE DE 2M, CRAVADOS 0,5M, COM 8 FIOS DE ARAME FARPADO Nº 14 CLASSE 250</t>
  </si>
  <si>
    <t>CHAMINE P/ POCO DE VISITA EM ALVENARIA, EXCLUSOS TAMPAO E ANEL</t>
  </si>
  <si>
    <t>CHAPA ACO GROSSA PRETA 1"(25,40MM) 199,87KG/M2</t>
  </si>
  <si>
    <t>CHAPA ACO INOX AISI 304 NUMERO 4 (E = 6 MM), ACABAMENTO NUMERO 1 (LAMINADO A QUENTE, FOSCO)</t>
  </si>
  <si>
    <t>CHAPA ACO INOX AISI 304 NUMERO 9 (E = 4 MM), ACABAMENTO NUMERO 1 (LAMINADO A QUENTE, FOSCO)</t>
  </si>
  <si>
    <t>CHAPA DE ACO CARBONO 3/8 (COLOC/ USO/ RETIR) P/ PASS VEICULO SOBRE VAL A MEDIDA P/ AREA CHAPA EM CADA APLICACAO</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</si>
  <si>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</si>
  <si>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</si>
  <si>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</si>
  <si>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</si>
  <si>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</si>
  <si>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</si>
  <si>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</si>
  <si>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</si>
  <si>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</si>
  <si>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</si>
  <si>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</si>
  <si>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22, E = 0,80 MM (6,40 KG/M2)</t>
  </si>
  <si>
    <t>CHAPA DE ACO GALVANIZADA BITOLA GSG 26, E = 0,50 MM (4,00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</si>
  <si>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</si>
  <si>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</si>
  <si>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</si>
  <si>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</si>
  <si>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</si>
  <si>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</si>
  <si>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</si>
  <si>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</si>
  <si>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</si>
  <si>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</si>
  <si>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</si>
  <si>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</si>
  <si>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</si>
  <si>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</si>
  <si>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</si>
  <si>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</si>
  <si>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</si>
  <si>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</si>
  <si>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</si>
  <si>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</si>
  <si>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</si>
  <si>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</si>
  <si>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</si>
  <si>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</si>
  <si>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</si>
  <si>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</si>
  <si>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</si>
  <si>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</si>
  <si>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</si>
  <si>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</si>
  <si>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</si>
  <si>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</si>
  <si>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</si>
  <si>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</si>
  <si>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12 MM</t>
  </si>
  <si>
    <t>CHAPA DE MADEIRA COMPENSADA PLASTIFICADA PARA FORMA DE CONCRETO, DE 2,20 X 1,10 m, E = 14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</si>
  <si>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</si>
  <si>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</si>
  <si>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</si>
  <si>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</si>
  <si>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</si>
  <si>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</si>
  <si>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</si>
  <si>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</si>
  <si>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</si>
  <si>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</si>
  <si>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</si>
  <si>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</si>
  <si>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</si>
  <si>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</si>
  <si>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</si>
  <si>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</si>
  <si>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</si>
  <si>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</si>
  <si>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</si>
  <si>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</si>
  <si>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</si>
  <si>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</si>
  <si>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</si>
  <si>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</si>
  <si>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</si>
  <si>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</si>
  <si>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GALV PLANA 19GSG 1,158MM 9,307KG/M2</t>
  </si>
  <si>
    <t>CHAPA GALV PLANA 30GSG 0,399MM 3,204KG/M2</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</si>
  <si>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</si>
  <si>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</si>
  <si>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</si>
  <si>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</si>
  <si>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CHAPIM DE CONCRETO APARENTE COM ACABAMENTO DESEMPENADO, FORMA DE COMPE NSADO PLASTIFICADO (MADEIRIT) DE 14 X 10 CM, FUNDIDO NO LOCAL.</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</si>
  <si>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</si>
  <si>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</si>
  <si>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EQUIPAMENTO DE PROJEÇÃO.  ARGAMASSA TRAÇO 1:3 COM PREPARO EM BETONEIRA 400 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</si>
  <si>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</si>
  <si>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ROLO PARA TEXTURA ACRÍLICA.  ARGAMASSA INDUST RIALIZADA COM PREPARO EM MISTURADOR 300 KG. AF_06/2014</t>
  </si>
  <si>
    <t>CHAPISCO APLICADO EM ALVENARIA (COM PRESENÇA DE VÃOS) E ESTRUTURAS DE CONCRETO DE FACHADA, COM ROLO PARA TEXTURA ACRÍLICA.  ARGAMASSA INDUST RIALIZADA COM PREPARO MANUAL. AF_06/2014</t>
  </si>
  <si>
    <t>CHAPISCO APLICADO EM ALVENARIA (COM PRESENÇA DE VÃOS) E ESTRUTURAS DE CONCRETO DE FACHADA, COM ROLO PARA TEXTURA ACRÍLICA.  ARGAMASSA TRAÇO 1:4 E EMULSÃO POLIMÉRICA (ADESIVO) COM PREPARO EM BETONEIRA 400L. AF_0 6/2014</t>
  </si>
  <si>
    <t>CHAPISCO APLICADO EM ALVENARIA (COM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</si>
  <si>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</si>
  <si>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</si>
  <si>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EQUIPAMENTO DE PROJEÇÃO.  ARGAMASSA TRAÇO 1:3 COM PREPARO EM BETONEIRA 400 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</si>
  <si>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</si>
  <si>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ROLO PARA TEXTURA ACRÍLICA.  ARGAMASSA INDUST RIALIZADA COM PREPARO EM MISTURADOR 300 KG. AF_06/2014</t>
  </si>
  <si>
    <t>CHAPISCO APLICADO EM ALVENARIA (SEM PRESENÇA DE VÃOS) E ESTRUTURAS DE CONCRETO DE FACHADA, COM ROLO PARA TEXTURA ACRÍLICA.  ARGAMASSA INDUST RIALIZADA COM PREPARO MANUAL. AF_06/2014</t>
  </si>
  <si>
    <t>CHAPISCO APLICADO EM ALVENARIA (SEM PRESENÇA DE VÃOS) E ESTRUTURAS DE CONCRETO DE FACHADA, COM ROLO PARA TEXTURA ACRÍLICA.  ARGAMASSA TRAÇO 1:4 E EMULSÃO POLIMÉRICA (ADESIVO) COM PREPARO EM BETONEIRA 400L. AF_0 6/2014</t>
  </si>
  <si>
    <t>CHAPISCO APLICADO EM ALVENARIA (SEM PRESENÇA DE VÃOS) E ESTRUTURAS DE CONCRETO DE FACHADA, COM ROLO PARA TEXTURA ACRÍLICA.  ARGAMASSA TRAÇO 1:4 E EMULSÃO POLIMÉRICA (ADESIVO) COM PREPARO MANUAL. AF_06/2014</t>
  </si>
  <si>
    <t>CHAPISCO APLICADO EM ALVENARIAS E ESTRUTURAS DE CONCRETO INTERNAS, COM COLHER DE PEDREIRO.  ARGAMASSA TRAÇO 1:3 COM PREPARO EM BETONEIRA 400 L. AF_06/2014</t>
  </si>
  <si>
    <t>CHAPISCO APLICADO EM ALVENARIAS E ESTRUTURAS DE CONCRETO INTERNAS, COM COLHER DE PEDREIRO.  ARGAMASSA TRAÇO 1:3 COM PREPARO MANUAL. AF_06/20 14</t>
  </si>
  <si>
    <t>CHAPISCO APLICADO EM ALVENARIAS E ESTRUTURAS DE CONCRETO INTERNAS, COM ROLO PARA TEXTURA ACRÍLICA.  ARGAMASSA INDUSTRIALIZADA COM PREPARO EM MISTURADOR 300 KG. AF_06/2014</t>
  </si>
  <si>
    <t>CHAPISCO APLICADO EM ALVENARIAS E ESTRUTURAS DE CONCRETO INTERNAS, COM ROLO PARA TEXTURA ACRÍLICA.  ARGAMASSA INDUSTRIALIZADA COM PREPARO MA 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</si>
  <si>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</si>
  <si>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TRAÇO 1:4 E EMULSÃO POLIMÉRICA (ADESIVO) COM PREPARO MANUAL. AF_06/2014</t>
  </si>
  <si>
    <t>CHAPISCO APLICADO NO TETO, COM DESEMPENADEIRA DENTADA. ARGAMASSA INDUS TRIALIZADA COM PREPARO EM MISTURADOR 300 KG. AF_06/2014</t>
  </si>
  <si>
    <t>CHAPISCO APLICADO NO TETO, COM DESEMPENADEIRA DENTADA. ARGAMASSA INDUS TRIALIZADA COM PREPARO MANUAL. AF_06/2014</t>
  </si>
  <si>
    <t>CHAPISCO APLICADO NO TETO, COM ROLO PARA TEXTURA ACRÍLICA. ARGAMASSA I NDUSTRIALIZADA COM PREPARO EM MISTURADOR 300 KG. AF_06/2014</t>
  </si>
  <si>
    <t>CHAPISCO APLICADO NO TETO, COM ROLO PARA TEXTURA ACRÍLICA. ARGAMASSA I NDUSTRIALIZADA COM PREPARO MANUAL. AF_06/2014</t>
  </si>
  <si>
    <t>CHAPISCO APLICADO NO TETO, COM ROLO PARA TEXTURA ACRÍLICA. ARGAMASSA T RAÇO 1:4 E EMULSÃO POLIMÉRICA (ADESIVO) COM PREPARO EM BETONEIRA 400L. AF_06/2014</t>
  </si>
  <si>
    <t>CHAPISCO APLICADO NO TETO, COM ROLO PARA TEXTURA ACRÍLICA. ARGAMASSA T RAÇO 1:4 E EMULSÃO POLIMÉRICA (ADESIVO) COM PREPARO MANUAL. AF_06/2014</t>
  </si>
  <si>
    <t>CHAPISCO APLICADO SOMENTE EM ESTRUTURAS DE CONCRETO EM ALVENARIAS INTE RNAS, COM DESEMPENADEIRA DENTADA.  ARGAMASSA INDUSTRIALIZADA COM PREPA RO EM MISTURADOR 300 KG. AF_06/2014</t>
  </si>
  <si>
    <t>CHAPISCO APLICADO SOMENTE EM ESTRUTURAS DE CONCRETO EM ALVENARIAS INTE RNAS, COM DESEMPENADEIRA DENTADA. ARGAMASSA INDUSTRIALIZADA COM PREPAR O MANUAL. AF_06/2014</t>
  </si>
  <si>
    <t>CHAPISCO APLICADO SOMENTE NA ESTRUTURA DE CONCRETO DA FACHADA, COM DES EMPENADEIRA DENTADA. ARGAMASSA INDUSTRIALIZADA COM PREPARO EM MISTURAD OR 300 KG. AF_06/2014</t>
  </si>
  <si>
    <t>CHAPISCO APLICADO SOMENTE NA ESTRUTURA DE CONCRETO DA FACHADA, COM DES EMPENADEIRA DENTADA. ARGAMASSA INDUSTRIALIZADA COM PREPARO MANUAL. AF_ 06/2014</t>
  </si>
  <si>
    <t>CHAVE BLINDADA TRIPOLAR 250V, 100A - FORNECIMENTO E INSTALACAO</t>
  </si>
  <si>
    <t>CHAVE BLINDADA TRIPOLAR 250V, 30A - FORNECIMENTO E INSTALACAO</t>
  </si>
  <si>
    <t>CHAVE BLINDADA TRIPOLAR 250V, 60A - FORNECIMENTO E INSTALACAO</t>
  </si>
  <si>
    <t>CHAVE DE BOIA AUTOMÁTICA SUPERIOR 10A/250V - FORNECIMENTO E INSTALACAO</t>
  </si>
  <si>
    <t>CHAVE DUPLA PARA CONEXOES TIPO STORZ, ENGATE RAPIDO 1 1/2" X 2 1/2", EM LATAO, PARA INSTALACAO PREDIAL COMBATE A INCENDIO</t>
  </si>
  <si>
    <t>CHAVE ELETRICA TRIPOLAR BLINDADA DE 30 A / 250 V</t>
  </si>
  <si>
    <t>CHAVE ESTRELA TRIANGULO TRIFASICA P/ MOTOR 15CV (380V) P/ FUSIVEL DIAZED 35A</t>
  </si>
  <si>
    <t>CHAVE FACA TRIPOLAR BLINDADA 100A/250V, TIPO F-323 SPF DA MAR-GIRIUS CONTINENTAL OU EQUIV</t>
  </si>
  <si>
    <t>CHAVE FACA TRIPOLAR BLINDADA 250V/30A - FORNECIMENTO E INSTALACAO</t>
  </si>
  <si>
    <t>CHAVE FACA TRIPOLAR BLINDADA 60A/250V, TIPO F-322 SPF DA MAR-GIRIUS CONTINENTAL OU EQUIV</t>
  </si>
  <si>
    <t>CHAVE FUSIVEL DE DISTRIBUICAO 15,0KV/100A</t>
  </si>
  <si>
    <t>CHAVE FUSIVEL DE DISTRIBUICAO 34,5KV/100A</t>
  </si>
  <si>
    <t>CHAVE FUSIVEL UNIPOLAR, 15KV - 100A, EQUIPADA COM COMANDO PARA HASTE D E MANOBRA .       FORNECIMENTO E INSTALAÇÃO.</t>
  </si>
  <si>
    <t>CHAVE GUARDA MOTOR TRIFASICO 5CV/220V C/ CHAVE MAGNETICA - FORNECIMENT O E INSTALACAO</t>
  </si>
  <si>
    <t>CHAVE GUARDA MOTOR TRIFISICA 10CV/220V C/ CHAVE MAGNETICA - FORNECIMEN TO E INSTALACAO</t>
  </si>
  <si>
    <t>CHAVE INGLESA/CHAVE AJUSTAVEL 15 "</t>
  </si>
  <si>
    <t>CHAVE PARTIDA DIRETA P/MOTOR TRIFASICO 7,50CV/380V, C/FUSIVEIS DIAZED E BOTAO LIGA-DESLIGA TIPO GPS SIEMENS OU EQUIV</t>
  </si>
  <si>
    <t>CHAVE PARTIDA DIRETA TRIFASICA P/ MOTOR 10CV-220V C/ FUSIVEL DIAZED 63A</t>
  </si>
  <si>
    <t>CHAVE PARTIDA DIRETA TRIFASICA P/ MOTOR 30CV-220V C/ FUSIVEL NH 160A</t>
  </si>
  <si>
    <t>CHAVE PARTIDA DIRETA TRIFASICA P/ MOTOR 5CV-220V C/ FUSIVEL DIAZED 35A</t>
  </si>
  <si>
    <t>CHAVE PARTIDA DIRETA TRIFASICA P/ MOTOR 5CV-380V C/ FUSIVEL DIAZED 20A</t>
  </si>
  <si>
    <t>CHAVE SECCIONADORA FUSIVEL TRIPOLAR, MANOBRA C/ CARGA, 160A/500V P/ FUSIVEIS NH TAMANHO 00 CORRENTE NOMINAL ATE 160A, TIPO 3 NP 4080 DA SIEMENS OU EQUIV</t>
  </si>
  <si>
    <t>CHAVE SECCIONADORA FUSIVEL TRIPOLAR, MANOBRA C/ CARGA, 250A/500V P/ FUSIVEIS NH TAMANHO 1 CORRENTE NOMINAL ATE 250A, TIPO 3 NN 2200 DA SIEMENS OU EQUIV</t>
  </si>
  <si>
    <t>CHAVE SECCIONADORA TRIPOLAR 250A, 600V C/ FUSIVEIS NH 200A EM CAIXA BLINDADA EM ACO</t>
  </si>
  <si>
    <t>CHAVE SECCIONADORA TRIPOLAR 400A, 600V C/ FUSIVEIS NH 400A EM CAIXA BLINDADA EM ACO</t>
  </si>
  <si>
    <t>CHAVE SECCIONADORA TRIPOLAR 600A, 600V C/ FUSIVEIS NH 600A EM CAIXA BLINDADO EM ACO</t>
  </si>
  <si>
    <t>CHAVE SECCIONADORA TRIPOLAR C/ PORTA FUSIVEIS NH, MANOBRA C/ CARGA, 400A/500V, TIPO S37 SIEMENS OU EQUIV</t>
  </si>
  <si>
    <t>CHAVE SECCIONADORA TRIPOLAR, ABERTURA SOB CARGA, COM FUSÍVEIS NH - 100 A/250V - FORNECIMENTO E INSTALACAO</t>
  </si>
  <si>
    <t>CHAVE SECCIONADORA TRIPOLAR, ABERTURA SOB CARGA, COM FUSÍVEIS NH - 200 A/250V</t>
  </si>
  <si>
    <t>CHUMBADOR DE ACO 5/8" X 200MM C/ ROSCA E PORCA</t>
  </si>
  <si>
    <t>CHUMBADOR DE AÇO PARA FIXAÇÃO DE POSTE DE ACO RETO OU CURVO 7 A 9M COM FLANGE - FORNECIMENTO E INSTALACAO</t>
  </si>
  <si>
    <t>CHUMBADOR DE ACO, 1" X 600 MM, PARA POSTES DE ACO COM BASE, INCLUSO PORCA E ARRUELA</t>
  </si>
  <si>
    <t>CHUMBADOR DE ACO, DIAMETRO 1/2", COMPRIMENTO 75 MM</t>
  </si>
  <si>
    <t>CHUMBADOR DE ACO, DIAMETRO 5/8", COMPRIMENTO 6", COM PORCA</t>
  </si>
  <si>
    <t>CHUMBADOR OMEGA C/PARAFUSO OM1404 1/4"</t>
  </si>
  <si>
    <t>CHUMBAMENTO LINEAR EM ALVENARIA PARA RAMAIS/DISTRIBUIÇÃO COM DIÂMETROS MAIORES QUE 40 MM E MENORES OU IGUAIS A 75 MM. AF_05/2015</t>
  </si>
  <si>
    <t>CHUMBAMENTO LINEAR EM ALVENARIA PARA RAMAIS/DISTRIBUIÇÃO COM DIÂMETROS MENORES OU IGUAIS A 40 MM. AF_05/2015</t>
  </si>
  <si>
    <t>CHUMBAMENTO LINEAR EM CONTRAPISO PARA RAMAIS/DISTRIBUIÇÃO COM DIÂMETRO S MAIORES QUE 40 MM E MENORES OU IGUAIS A 75 MM. AF_05/2015</t>
  </si>
  <si>
    <t>CHUMBAMENTO LINEAR EM CONTRAPISO PARA RAMAIS/DISTRIBUIÇÃO COM DIÂMETRO S MAIORES QUE 75 MM. AF_05/2015</t>
  </si>
  <si>
    <t>CHUMBAMENTO LINEAR EM CONTRAPISO PARA RAMAIS/DISTRIBUIÇÃO COM DIÂMETRO S MENORES OU IGUAIS A 40 MM. AF_05/2015</t>
  </si>
  <si>
    <t>CHUMBAMENTO PONTUAL DE ABERTURA EM LAJE COM PASSAGEM DE 1 TUBO DE DIAM ETRO EQUIVALENTE IGUAL À  50 MM. AF_05/2015</t>
  </si>
  <si>
    <t>CHUMBAMENTO PONTUAL DE ABERTURA EM LAJE COM PASSAGEM DE MAIS DE 1 TUBO DE  DIAMETRO EQUIVALENTE IGUAL À  50 MM. AF_05/2015</t>
  </si>
  <si>
    <t>CHUMBAMENTO PONTUAL EM PASSAGEM DE TUBO COM DIÂMETRO MAIOR QUE 75 MM. AF_05/2015</t>
  </si>
  <si>
    <t>CHUMBAMENTO PONTUAL EM PASSAGEM DE TUBO COM DIÂMETRO MENOR OU IGUAL A 40 MM. AF_05/2015</t>
  </si>
  <si>
    <t>CHUMBAMENTO PONTUAL EM PASSAGEM DE TUBO COM DIÂMETROS ENTRE 40 MM E 75 MM. AF_05/2015</t>
  </si>
  <si>
    <t>CHUVEIRO COMUM EM PLASTICO BRANCO, COM CANO, 3 TEMPERATURAS, 5500 W (110/220 V)</t>
  </si>
  <si>
    <t>CHUVEIRO COMUM EM PLASTICO CROMADO, COM CANO, 4 TEMPERATURAS (110/220 V)</t>
  </si>
  <si>
    <t>CHUVEIRO ELETRICO COMUM CORPO PLASTICO TIPO DUCHA, FORNECIMENTO E INST ALACAO</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</si>
  <si>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</si>
  <si>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</si>
  <si>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</si>
  <si>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</si>
  <si>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</si>
  <si>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</si>
  <si>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</si>
  <si>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</si>
  <si>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</si>
  <si>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</si>
  <si>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t>
  </si>
  <si>
    <t>CINTA CIRCULAR EM ACO GALVANIZADO DE 210 MM DE DIAMETRO PARA INSTALACAO DE TRANSFORMADOR EM POSTE DE CONCRETO</t>
  </si>
  <si>
    <t>CINTA DE AMARRAÇÃO DE ALVENARIA MOLDADA IN LOCO COM UTILIZAÇÃO DE BLOC OS CANALETA. AF_03/2016</t>
  </si>
  <si>
    <t>CINTA DE AMARRAÇÃO DE ALVENARIA MOLDADA IN LOCO EM CONCRETO. AF_03/201 6</t>
  </si>
  <si>
    <t>CINTURAO DE SEGURANCA TIPO PARAQUEDISTA, FIVELA EM ACO, AJUSTE NO SUSPENSARIO, CINTURA E PERNAS</t>
  </si>
  <si>
    <t>COBOGO CERAMICO (ELEMENTO VAZADO), 9X20X20CM, ASSENTADO COM ARGAMASSA TRACO 1:4 DE CIMENTO E AREIA</t>
  </si>
  <si>
    <t>COBOGO DE CONCRETO (ELEMENTO VAZADO), 10X29X39CM ABERTURA COM VIDRO, A SSENTADO COM ARGAMASSA TRACO 1:4 (CIMENTO E AREIA MEDIA NAO PENEIRADA)</t>
  </si>
  <si>
    <t>COBOGO DE CONCRETO (ELEMENTO VAZADO), 7X50X50CM, ASSENTADO COM ARGAMAS SA TRACO 1:3 (CIMENTO E AREIA)</t>
  </si>
  <si>
    <t>COBOGO DE CONCRETO (ELEMENTO VAZADO), 7X50X50CM, ASSENTADO COM ARGAMAS SA TRACO 1:4 (CIMENTO E AREIA)</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</si>
  <si>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</si>
  <si>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</si>
  <si>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</si>
  <si>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</si>
  <si>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</si>
  <si>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PARA LIGACAO PREDIAL DE AGUA</t>
  </si>
  <si>
    <t>COLAR TOMADA PVC, COM TRAVAS, SAIDA COM ROSCA, DE 32 MM X 3/4", PARA LIGACAO PREDIAL DE AGUA</t>
  </si>
  <si>
    <t>COLAR TOMADA PVC, COM TRAVAS, SAIDA COM ROSCA, DE 40 MM X 1/2", PARA LIGACAO PREDIAL DE AGUA</t>
  </si>
  <si>
    <t>COLAR TOMADA PVC, COM TRAVAS, SAIDA COM ROSCA, DE 50 MM X 3/4", PARA LIGACAO PREDIAL DE AGUA</t>
  </si>
  <si>
    <t>COLAR TOMADA PVC, COM TRAVAS, SAIDA COM ROSCA, DE 60 MM X 1/2", PARA LIGACAO PREDIAL DE AGUA</t>
  </si>
  <si>
    <t>COLAR TOMADA PVC, COM TRAVAS, SAIDA COM ROSCA, DE 75 MM X 3/4", PARA LIGACAO PREDIAL DE AGUA</t>
  </si>
  <si>
    <t>COLAR TOMADA PVC, COM TRAVAS, SAIDA COM ROSCA, DE 85 MM X 3/4", PARA LIGACAO PREDIAL DE AGUA</t>
  </si>
  <si>
    <t>COLAR TOMADA PVC, COM TRAVAS, SAIDA ROSCAVEL COM BUCHA DE LATAO, DE 110 MM X 3/4", PARA LIGACAO PREDIAL DE AGUA</t>
  </si>
  <si>
    <t>COLAR TOMADA PVC, COM TRAVAS, SAIDA ROSCAVEL COM BUCHA DE LATAO, DE 60 MM X 1/2", PARA LIGACAO PREDIAL DE AGUA</t>
  </si>
  <si>
    <t>COLAR TOMADA PVC, COM TRAVAS, SAIDA ROSCAVEL COM BUCHA DE LATAO, DE 75 MM X 3/4", PARA LIGACAO PREDIAL DE AGUA</t>
  </si>
  <si>
    <t>COLAR TOMADA PVC, COM TRAVAS, SAIDA ROSCAVEL COM BUCHA DE LATAO, DE 85 MM X 3/4", PARA LIGACAO PREDIAL DE AGUA</t>
  </si>
  <si>
    <t>COLCHAO DRENANTE C/ 30CM PEDRA BRITADA N.3/FILTRO TRANSICAO MANTA GEOT EXTIL 100% POLIPROPILENO OU POLIESTER INCL FORNEC/COLOCMAT</t>
  </si>
  <si>
    <t>COLETOR PREDIAL DE ESGOTO, DA CAIXA ATÉ A REDE (DISTÂNCIA = 10 M, LARG URA DA VALA = 0,65 M), INCLUINDO ESCAVAÇÃO MANUAL, PREPARO DE FUNDO DE VALA E REATERRO MANUAL COM COMPACTAÇÃO MECANIZADA, TUBO PVC EB-644 P/ REDE COLET ESG JE DN 100 MM E CONEXÕES - FORNECIMENTO E INSTALAÇÃO. A F_03/2016</t>
  </si>
  <si>
    <t>COLETOR PREDIAL DE ESGOTO, DA CAIXA ATÉ A REDE (DISTÂNCIA = 10 M, LARG URA DA VALA = 0,65 M), INCLUINDO ESCAVAÇÃO MECANIZADA, PREPARO DE FUND O DE VALA E REATERRO COM COMPACTAÇÃO MECANIZADA, TUBO PVC EB-644 P/ RE DE COLET ESG JE DN 100 MM E CONEXÕES - FORNECIMENTO E INSTALAÇÃO. AF_0 3/2016</t>
  </si>
  <si>
    <t>COLETOR PREDIAL DE ESGOTO, DA CAIXA ATÉ A REDE (DISTÂNCIA = 4 M, LARGU RA DA VALA = 0,65 M), INCLUINDO ESCAVAÇÃO MANUAL, PREPARO DE FUNDO DE VALA E REATERRO MANUAL COM COMPACTAÇÃO MECANIZADA, TUBO  PVC EB-644 P/ REDE COLET ESG JE DN 100 MM E CONEXÕES - FORNECIMENTO E INSTALAÇÃO. A F_03/2016</t>
  </si>
  <si>
    <t>COLETOR PREDIAL DE ESGOTO, DA CAIXA ATÉ A REDE (DISTÂNCIA = 4 M, LARGU RA DA VALA = 0,65 M), INCLUINDO ESCAVAÇÃO MECANIZADA, PREPARO DE FUNDO DE VALA E REATERRO COM COMPACTAÇÃO MECANIZADA, TUBO PVC EB-644 P/ RED E COLET ESG JE DN 100 MM E CONEXÕES - FORNECIMENTO E INSTALAÇÃO. AF_03 /2016</t>
  </si>
  <si>
    <t>COLETOR PREDIAL DE ESGOTO, DA CAIXA ATÉ A REDE (DISTÂNCIA = 6 M, LARGU RA DA VALA = 0,65 M), INCLUINDO ESCAVAÇÃO MANUAL, PREPARO DE FUNDO DE VALA E REATERRO MANUAL COM COMPACTAÇÃO MECANIZADA, TUBO PVC EB-644 P/ REDE COLET ESG JE DN 100 MM E CONEXÕES - FORNECIMENTO E INSTALAÇÃO. AF _03/2016</t>
  </si>
  <si>
    <t>COLETOR PREDIAL DE ESGOTO, DA CAIXA ATÉ A REDE (DISTÂNCIA = 6 M, LARGU RA DA VALA = 0,65 M), INCLUINDO ESCAVAÇÃO MECANIZADA, PREPARO DE FUNDO DE VALA E REATERRO COM COMPACTAÇÃO MECANIZADA, TUBO PVC EB-644 P/ RED E COLET ESG JE DN 100 MM E CONEXÕES - FORNECIMENTO E INSTALAÇÃO. AF_03 /2016</t>
  </si>
  <si>
    <t>COLETOR PREDIAL DE ESGOTO, DA CAIXA ATÉ A REDE (DISTÂNCIA = 8 M, LARGU RA DA VALA = 0,65 M), INCLUINDO ESCAVAÇÃO MANUAL, PREPARO DE FUNDO DE VALA E REATERRO MANUAL COM COMPACTAÇÃO MECANIZADA, TUBO PVC EB-644 P/ REDE COLET ESG JE DN 100 MM E CONEXÕES - FORNECIMENTO E INSTALAÇÃO. AF _03/2016</t>
  </si>
  <si>
    <t>COLETOR PREDIAL DE ESGOTO, DA CAIXA ATÉ A REDE (DISTÂNCIA = 8 M, LARGU RA DA VALA = 0,65 M), INCLUINDO ESCAVAÇÃO MECANIZADA, PREPARO DE FUNDO DE VALA E REATERRO COM COMPACTAÇÃO MECANIZADA, TUBO PVC EB-644 P/ RED E COLET ESG JE DN 100 MM E CONEXÕES - FORNECIMENTO E INSTALAÇÃO. AF_03 /2016</t>
  </si>
  <si>
    <t>COLHER DE PEDREIRO FORJADA 8 " CANTO REDONDO, CABO DE MADEIRA</t>
  </si>
  <si>
    <t>COMPACTACAO MECANICA A 100% DO PROCTOR NORMAL - PAVIMENTACAO URBANA</t>
  </si>
  <si>
    <t>COMPACTACAO MECANICA A 95% DO PROCTOR NORMAL - PAVIMENTACAO URBANA</t>
  </si>
  <si>
    <t>COMPACTACAO MECANICA C/ CONTROLE DO GC&gt;=95% DO PN (AREAS) (C/MONIVELAD ORA 140 HP E ROLO COMPRESSOR VIBRATORIO 80 HP)</t>
  </si>
  <si>
    <t>COMPACTACAO MECANICA, SEM CONTROLE DO GC (C/COMPACTADOR PLACA 400 KG)</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</si>
  <si>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</si>
  <si>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SOLOS DE PERCURSAO (SOQUETE) COM MOTOR A GASOLINA 4 TEMPOS DE 3 HP (3 CV)</t>
  </si>
  <si>
    <t>COMPACTADOR DE SOLOS DE PERCURSAO (SOQUETE) COM MOTOR A GASOLINA 4 TEMPOS DE 4 HP (4 CV)</t>
  </si>
  <si>
    <t>COMPACTADOR DE SOLOS DE PERCUSÃO (SOQUETE) COM MOTOR A GASOLINA, POTÊN CIA 3 CV - CHI DIURNO. AF_09/2016</t>
  </si>
  <si>
    <t>COMPACTADOR DE SOLOS DE PERCUSÃO (SOQUETE) COM MOTOR A GASOLINA, POTÊN CIA 3 CV - CHP DIURNO. AF_09/2016</t>
  </si>
  <si>
    <t>COMPACTADOR DE SOLOS DE PERCUSÃO (SOQUETE) COM MOTOR A GASOLINA, POTÊN CIA 3 CV - DEPRECIAÇÃO. AF_09/2016</t>
  </si>
  <si>
    <t>COMPACTADOR DE SOLOS DE PERCUSÃO (SOQUETE) COM MOTOR A GASOLINA, POTÊN CIA 3 CV - JUROS. AF_09/2016</t>
  </si>
  <si>
    <t>COMPACTADOR DE SOLOS DE PERCUSÃO (SOQUETE) COM MOTOR A GASOLINA, POTÊN CIA 3 CV - MANUTENÇÃO. AF_09/2016</t>
  </si>
  <si>
    <t>COMPACTADOR DE SOLOS DE PERCUSÃO (SOQUETE) COM MOTOR A GASOLINA, POTÊN CIA 3 CV - MATERIAIS NA OPERAÇÃO. AF_09/2016</t>
  </si>
  <si>
    <t>COMPACTADOR DE SOLOS DE PERCUSSÃO (SOQUETE) COM MOTOR A GASOLINA 4 TEM POS, POTÊNCIA 4 CV - CHI DIURNO. AF_08/2015</t>
  </si>
  <si>
    <t>COMPACTADOR DE SOLOS DE PERCUSSÃO (SOQUETE) COM MOTOR A GASOLINA 4 TEM POS, POTÊNCIA 4 CV - CHP DIURNO. AF_08/2015</t>
  </si>
  <si>
    <t>COMPACTADOR DE SOLOS DE PERCUSSÃO (SOQUETE) COM MOTOR A GASOLINA 4 TEM POS, POTÊNCIA 4 CV - DEPRECIAÇÃO. AF_08/2015</t>
  </si>
  <si>
    <t>COMPACTADOR DE SOLOS DE PERCUSSÃO (SOQUETE) COM MOTOR A GASOLINA 4 TEM POS, POTÊNCIA 4 CV - JUROS. AF_08/2015</t>
  </si>
  <si>
    <t>COMPACTADOR DE SOLOS DE PERCUSSÃO (SOQUETE) COM MOTOR A GASOLINA 4 TEM POS, POTÊNCIA 4 CV - MANUTENÇÃO. AF_08/2015</t>
  </si>
  <si>
    <t>COMPACTADOR DE SOLOS DE PERCUSSÃO (SOQUETE) COM MOTOR A GASOLINA 4 TEM POS, POTÊNCIA 4 CV - MATERIAIS NA OPERAÇÃO. AF_08/2015</t>
  </si>
  <si>
    <t>COMPOSIÇÃO REPRESENTATIVA DE SERVIÇOS DE ALVENARIA DE BLOCOS DE CONCRE TO ESTRUTURAL 14X19X29 CM, (ESPESSURA 14 CM), FBK = 4,5 MPA, UTILIZAND O PALHETA, PARA EDIFICAÇÃO HABITACIONAL. AF_10/2015</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</si>
  <si>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</si>
  <si>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</si>
  <si>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</si>
  <si>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</si>
  <si>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</si>
  <si>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</si>
  <si>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</si>
  <si>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REBOCÁVEL, VAZÃO 189 PCM, PRESSÃO EFETIVA DE TRABALHO 102 PSI, MOTOR DIESEL, POTÊNCIA 63 CV - CHI DIURNO. AF_06/2015</t>
  </si>
  <si>
    <t>COMPRESSOR DE AR REBOCÁVEL, VAZÃO 189 PCM, PRESSÃO EFETIVA DE TRABALHO 102 PSI, MOTOR DIESEL, POTÊNCIA 63 CV - CHP DIURNO.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</si>
  <si>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</si>
  <si>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</si>
  <si>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189 PCM, PRESSÃO EFETIVA DE TRABALHO 102 PSI, MOTOR DIESEL, POTÊNCIA 63 CV - MANUTENÇÃO. AF_06/2015</t>
  </si>
  <si>
    <t>COMPRESSOR DE AR REBOCÁVEL, VAZÃO 189 PCM, PRESSÃO EFETIVA DE TRABALHO 102 PSI, MOTOR DIESEL, POTÊNCIA 63 CV - MATERIAIS NA OPERAÇÃO. AF_06/ 2015</t>
  </si>
  <si>
    <t>COMPRESSOR DE AR REBOCAVEL, VAZÃO 250 PCM, PRESSAO DE TRABALHO 102 PSI , MOTOR A DIESEL POTÊNCIA 81 CV - CHI DIURNO. AF_06/2015</t>
  </si>
  <si>
    <t>COMPRESSOR DE AR REBOCAVEL, VAZÃO 250 PCM, PRESSAO DE TRABALHO 102 PSI , MOTOR A DIESEL POTÊNCIA 81 CV - CHP DIURNO. AF_06/2015</t>
  </si>
  <si>
    <t>COMPRESSOR DE AR REBOCAVEL, VAZÃO 250 PCM, PRESSAO DE TRABALHO 102 PSI , MOTOR A DIESEL POTÊNCIA 81 CV - DEPRECIAÇÃO. AF_06/2015</t>
  </si>
  <si>
    <t>COMPRESSOR DE AR REBOCAVEL, VAZÃO 250 PCM, PRESSAO DE TRABALHO 102 PSI , MOTOR A DIESEL POTÊNCIA 81 CV - JUROS. AF_06/2015</t>
  </si>
  <si>
    <t>COMPRESSOR DE AR REBOCAVEL, VAZÃO 250 PCM, PRESSAO DE TRABALHO 102 PSI , MOTOR A DIESEL POTÊNCIA 81 CV - MANUTENÇÃO. AF_06/2015</t>
  </si>
  <si>
    <t>COMPRESSOR DE AR REBOCAVEL, VAZÃO 250 PCM, PRESSAO DE TRABALHO 102 PSI , MOTOR A DIESEL POTÊNCIA 81 CV - MATERIAIS NA OPERAÇÃO. AF_06/2015</t>
  </si>
  <si>
    <t>COMPRESSOR DE AR REBOCAVEL, VAZAO 250 PCM, PRESSAO EFETIVA DE TRABALHO 102 PSI, MOTOR DIESEL, POTENCIA 81 CV</t>
  </si>
  <si>
    <t>COMPRESSOR DE AR REBOCAVEL, VAZÃO 400 PCM, PRESSAO DE TRABALHO 102 PSI , MOTOR A DIESEL POTÊNCIA 110 CV - CHI DIURNO. AF_06/2015</t>
  </si>
  <si>
    <t>COMPRESSOR DE AR REBOCAVEL, VAZÃO 400 PCM, PRESSAO DE TRABALHO 102 PSI , MOTOR A DIESEL POTÊNCIA 110 CV - CHP DIURNO. AF_06/2015</t>
  </si>
  <si>
    <t>COMPRESSOR DE AR REBOCAVEL, VAZÃO 400 PCM, PRESSAO DE TRABALHO 102 PSI , MOTOR A DIESEL POTÊNCIA 110 CV - DEPRECIAÇÃO. AF_06/2015</t>
  </si>
  <si>
    <t>COMPRESSOR DE AR REBOCAVEL, VAZÃO 400 PCM, PRESSAO DE TRABALHO 102 PSI , MOTOR A DIESEL POTÊNCIA 110 CV - JUROS. AF_06/2015</t>
  </si>
  <si>
    <t>COMPRESSOR DE AR REBOCAVEL, VAZÃO 400 PCM, PRESSAO DE TRABALHO 102 PSI , MOTOR A DIESEL POTÊNCIA 110 CV - MANUTENÇÃO. AF_06/2015</t>
  </si>
  <si>
    <t>COMPRESSOR DE AR REBOCAVEL, VAZÃO 400 PCM, PRESSAO DE TRABALHO 102 PSI , MOTOR A DIESEL POTÊNCIA 110 CV - MATERIAIS NA OPERAÇÃO. AF_06/2015</t>
  </si>
  <si>
    <t>COMPRESSOR DE AR REBOCÁVEL, VAZÃO 748 PCM, PRESSÃO EFETIVA DE TRABALHO 102 PSI, MOTOR DIESEL, POTÊNCIA 210 CV - CHI DIURNO. AF_06/2015</t>
  </si>
  <si>
    <t>COMPRESSOR DE AR REBOCÁVEL, VAZÃO 748 PCM, PRESSÃO EFETIVA DE TRABALHO 102 PSI, MOTOR DIESEL, POTÊNCIA 210 CV - CHP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</si>
  <si>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</si>
  <si>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</si>
  <si>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</si>
  <si>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 /2015</t>
  </si>
  <si>
    <t>COMPRESSOR DE AR REBOCÁVEL, VAZÃO 89 PCM, PRESSÃO EFETIVA DE TRABALHO 102 PSI, MOTOR DIESEL, POTÊNCIA 20 CV - CHI DIURNO. AF_06/2015</t>
  </si>
  <si>
    <t>COMPRESSOR DE AR REBOCÁVEL, VAZÃO 89 PCM, PRESSÃO EFETIVA DE TRABALHO 102 PSI, MOTOR DIESEL, POTÊNCIA 20 CV - CHP DIURNO.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</si>
  <si>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</si>
  <si>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</si>
  <si>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</si>
  <si>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AF_06/2 015</t>
  </si>
  <si>
    <t>CONCERTINA CLIPADA (DUPLA) EM ACO GALVANIZADO DE ALTA RESISTENCIA, COM ESPIRAL DE 300 MM, D = 2,76 MM</t>
  </si>
  <si>
    <t>CONCERTINA SIMPLES EM ACO GALVANIZADO DE ALTA RESISTENCIA, COM ESPIRAL DE 300 MM, D = 2,76 MM</t>
  </si>
  <si>
    <t>CONCRETAGEM DE EDIFICAÇÕES (PAREDES E LAJES) FEITAS COM SISTEMA DE FÔR MAS MANUSEÁVEIS COM CONCRETO USINADO AUTOADENSÁVEL, FCK 20 MPA, LANÇAD O COM BOMBA LANÇA - LANÇAMENTO E ACABAMENTO. AF_06/2015</t>
  </si>
  <si>
    <t>CONCRETAGEM DE EDIFICAÇÕES (PAREDES E LAJES) FEITAS COM SISTEMA DE FÔR MAS MANUSEÁVEIS COM CONCRETO USINADO BOMBEÁVEL, FCK 20 MPA, LANÇADO CO M BOMBA LANÇA - LANÇAMENTO, ADENSAMENTO E ACABAMENTO. AF_06/2015</t>
  </si>
  <si>
    <t>CONCRETAGEM DE LAJES EM EDIFICAÇÕES MULTIFAMILIARES FEITAS COM SISTEMA DE FÔRMAS MANUSEÁVEIS COM CONCRETO USINADO BOMBEÁVEL, FCK 20 MPA, LAN ÇADO COM BOMBA LANÇA - LANÇAMENTO, ADENSAMENTO E ACABAMENTO. AF_06/201 5</t>
  </si>
  <si>
    <t>CONCRETAGEM DE LAJES EM EDIFICAÇÕES UNIFAMILIARES FEITAS COM SISTEMA D E FÔRMAS MANUSEÁVEIS COM CONCRETO USINADO BOMBEÁVEL, FCK 20 MPA, LANÇA DO COM BOMBA LANÇA - LANÇAMENTO, ADENSAMENTO E ACABAMENTO. AF_06/2015</t>
  </si>
  <si>
    <t>CONCRETAGEM DE PAREDES EM EDIFICAÇÕES MULTIFAMILIARES FEITAS COM SISTE MA DE FÔRMAS MANUSEÁVEIS COM CONCRETO USINADO BOMBEÁVEL, FCK 20 MPA, L ANÇADO COM BOMBA LANÇA - LANÇAMENTO, ADENSAMENTO E ACABAMENTO. AF_06/2 015</t>
  </si>
  <si>
    <t>CONCRETAGEM DE PAREDES EM EDIFICAÇÕES UNIFAMILIARES FEITAS COM SISTEMA DE FÔRMAS MANUSEÁVEIS COM CONCRETO USINADO BOMBEÁVEL, FCK 20 MPA, LAN ÇADO COM BOMBA LANÇA - LANÇAMENTO, ADENSAMENTO E ACABAMENTO. AF_06/201 5</t>
  </si>
  <si>
    <t>CONCRETAGEM DE PILARES, FCK = 25 MPA,  COM USO DE BALDES EM EDIFICAÇÃO COM SEÇÃO MÉDIA DE PILARES MENOR OU IGUAL A 0,25 M² - LANÇAMENTO, ADE NSAMENTO E ACABAMENTO. AF_12/2015</t>
  </si>
  <si>
    <t>CONCRETAGEM DE PILARES, FCK = 25 MPA, COM USO DE BOMBA EM EDIFICAÇÃO C OM SEÇÃO MÉDIA DE PILARES MAIOR QUE 0,25 M² - LANÇAMENTO, ADENSAMENTO E ACABAMENTO. AF_12/2015</t>
  </si>
  <si>
    <t>CONCRETAGEM DE PILARES, FCK = 25 MPA, COM USO DE BOMBA EM EDIFICAÇÃO C OM SEÇÃO MÉDIA DE PILARES MENOR OU IGUAL A 0,25 M² - LANÇAMENTO, ADENS AMENTO E ACABAMENTO. AF_12/2015</t>
  </si>
  <si>
    <t>CONCRETAGEM DE PILARES, FCK = 25 MPA, COM USO DE GRUA EM EDIFICAÇÃO CO M SEÇÃO MÉDIA DE PILARES MAIOR QUE 0,25 M² - LANÇAMENTO, ADENSAMENTO E ACABAMENTO. AF_12/2015</t>
  </si>
  <si>
    <t>CONCRETAGEM DE PILARES, FCK = 25 MPA, COM USO DE GRUA EM EDIFICAÇÃO CO M SEÇÃO MÉDIA DE PILARES MENOR OU IGUAL A 0,25 M² - LANÇAMENTO, ADENSA MENTO E ACABAMENTO. AF_12/2015</t>
  </si>
  <si>
    <t>CONCRETAGEM DE PLATIBANDA EM EDIFICAÇÕES MULTIFAMILIARES FEITAS COM SI STEMA DE FÔRMAS MANUSEÁVEIS COM CONCRETO USINADO AUTOADENSÁVEL, FCK 20 MPA, LANÇADO COM BOMBA LANÇA - LANÇAMENTO E ACABAMENTO. AF_06/2015</t>
  </si>
  <si>
    <t>CONCRETAGEM DE PLATIBANDA EM EDIFICAÇÕES MULTIFAMILIARES FEITAS COM SI STEMA DE FÔRMAS MANUSEÁVEIS COM CONCRETO USINADO BOMBEÁVEL, FCK 20 MPA , LANÇADO COM BOMBA LANÇA - LANÇAMENTO, ADENSAMENTO E ACABAMENTO. AF_0 6/2015</t>
  </si>
  <si>
    <t>CONCRETAGEM DE PLATIBANDA EM EDIFICAÇÕES UNIFAMILIARES FEITAS COM SIST EMA DE FÔRMAS MANUSEÁVEIS COM CONCRETO USINADO AUTOADENSÁVEL, FCK 20 M PA, LANÇADO COM BOMBA LANÇA - LANÇAMENTO E ACABAMENTO. AF_06/2015</t>
  </si>
  <si>
    <t>CONCRETAGEM DE PLATIBANDA EM EDIFICAÇÕES UNIFAMILIARES FEITAS COM SIST EMA DE FÔRMAS MANUSEÁVEIS COM CONCRETO USINADO BOMBEÁVEL, FCK 20 MPA, LANÇADO COM BOMBA LANÇA - LANÇAMENTO, ADENSAMENTO E ACABAMENTO. AF_06/ 2015</t>
  </si>
  <si>
    <t>CONCRETAGEM DE VIGAS E LAJES, FCK=20 MPA, PARA LAJES MACIÇAS OU NERVUR ADAS COM GRUA DE CAÇAMBA DE 500 L EM EDIFICAÇÃO DE MULTIPAVIMENTOS ATÉ 16 ANDARES, COM ÁREA MÉDIA DE LAJES MAIOR QUE 20 M² - LANÇAMENTO, ADE NSAMENTO E ACABAMENTO. AF_12/2015</t>
  </si>
  <si>
    <t>CONCRETAGEM DE VIGAS E LAJES, FCK=20 MPA, PARA LAJES MACIÇAS OU NERVUR ADAS COM GRUA DE CAÇAMBA DE 500 L EM EDIFICAÇÃO DE MULTIPAVIMENTOS ATÉ 16 ANDARES, COM ÁREA MÉDIA DE LAJES MENOR OU IGUAL A 20 M² - LANÇAMEN TO, ADENSAMENTO E ACABAMENTO. AF_12/2015</t>
  </si>
  <si>
    <t>CONCRETAGEM DE VIGAS E LAJES, FCK=20 MPA, PARA LAJES MACIÇAS OU NERVUR ADAS COM JERICAS EM CREMALHEIRA EM EDIFICAÇÃO DE MULTIPAVIMENTOS ATÉ 1 6 ANDARES, COM ÁREA MÉDIA DE LAJES MAIOR QUE 20 M² - LANÇAMENTO, ADENS AMENTO E ACABAMENTO. AF_12/2015</t>
  </si>
  <si>
    <t>CONCRETAGEM DE VIGAS E LAJES, FCK=20 MPA, PARA LAJES MACIÇAS OU NERVUR ADAS COM JERICAS EM CREMALHEIRA EM EDIFICAÇÃO DE MULTIPAVIMENTOS ATÉ 1 6 ANDARES, COM ÁREA MÉDIA DE LAJES MENOR OU IGUAL A 20 M² - LANÇAMENTO , ADENSAMENTO E ACABAMENTO. AF_12/2015</t>
  </si>
  <si>
    <t>CONCRETAGEM DE VIGAS E LAJES, FCK=20 MPA, PARA LAJES MACIÇAS OU NERVUR ADAS COM JERICAS EM ELEVADOR DE CABO EM EDIFICAÇÃO DE MULTIPAVIMENTOS ATÉ 16 ANDARES, COM ÁREA MÉDIA DE LAJES MAIOR QUE 20 M² - LANÇAMENTO, ADENSAMENTO E ACABAMENTO. AF_12/2015</t>
  </si>
  <si>
    <t>CONCRETAGEM DE VIGAS E LAJES, FCK=20 MPA, PARA LAJES MACIÇAS OU NERVUR ADAS COM JERICAS EM ELEVADOR DE CABO EM EDIFICAÇÃO DE MULTIPAVIMENTOS ATÉ 16 ANDARES, COM ÁREA MÉDIA DE LAJES MENOR OU IGUAL A 20 M² - LANÇA MENTO, ADENSAMENTO E ACABAMENTO. AF_12/2015</t>
  </si>
  <si>
    <t>CONCRETAGEM DE VIGAS E LAJES, FCK=20 MPA, PARA LAJES MACIÇAS OU NERVUR ADAS COM USO DE BOMBA EM EDIFICAÇÃO COM ÁREA MÉDIA DE LAJES MAIOR QUE 20 M² - LANÇAMENTO, ADENSAMENTO E ACABAMENTO. AF_12/2015</t>
  </si>
  <si>
    <t>CONCRETAGEM DE VIGAS E LAJES, FCK=20 MPA, PARA LAJES MACIÇAS OU NERVUR ADAS COM USO DE BOMBA EM EDIFICAÇÃO COM ÁREA MÉDIA DE LAJES MENOR OU I GUAL A 20 M² - LANÇAMENTO, ADENSAMENTO E ACABAMENTO. AF_12/2015</t>
  </si>
  <si>
    <t>CONCRETAGEM DE VIGAS E LAJES, FCK=20 MPA, PARA LAJES PREMOLDADAS COM G RUA DE CAÇAMBA DE 350 L EM EDIFICAÇÃO DE MULTIPAVIMENTOS ATÉ 16 ANDARE S, COM ÁREA MÉDIA DE LAJES MAIOR QUE 20 M² - LANÇAMENTO, ADENSAMENTO E ACABAMENTO. AF_12/2015</t>
  </si>
  <si>
    <t>CONCRETAGEM DE VIGAS E LAJES, FCK=20 MPA, PARA LAJES PREMOLDADAS COM G RUA DE CAÇAMBA DE 350 L EM EDIFICAÇÃO DE MULTIPAVIMENTOS ATÉ 16 ANDARE S, COM ÁREA MÉDIA DE LAJES MENOR OU IGUAL A 20 M² - LANÇAMENTO, ADENSA MENTO E ACABAMENTO. AF_12/2015</t>
  </si>
  <si>
    <t>CONCRETAGEM DE VIGAS E LAJES, FCK=20 MPA, PARA LAJES PREMOLDADAS COM J ERICAS EM CREMALHEIRA EM EDIFICAÇÃO DE MULTIPAVIMENTOS ATÉ 16 ANDARES, COM ÁREA MÉDIA DE LAJES MAIOR QUE 20 M² - LANÇAMENTO, ADENSAMENTO E A CABAMENTO. AF_12/2015</t>
  </si>
  <si>
    <t>CONCRETAGEM DE VIGAS E LAJES, FCK=20 MPA, PARA LAJES PREMOLDADAS COM J ERICAS EM CREMALHEIRA EM EDIFICAÇÃO DE MULTIPAVIMENTOS ATÉ 16 ANDARES, COM ÁREA MÉDIA DE LAJES MENOR OU IGUAL A 20 M² - LANÇAMENTO, ADENSAME NTO E ACABAMENTO. AF_12/2015</t>
  </si>
  <si>
    <t>CONCRETAGEM DE VIGAS E LAJES, FCK=20 MPA, PARA LAJES PREMOLDADAS COM J ERICAS EM ELEVADOR DE CABO EM EDIFICAÇÃO DE MULTIPAVIMENTOS ATÉ 16 AND ARES, COM ÁREA MÉDIA DE LAJES MAIOR QUE 20 M² - LANÇAMENTO, ADENSAMENT O E ACABAMENTO. AF_12/2015</t>
  </si>
  <si>
    <t>CONCRETAGEM DE VIGAS E LAJES, FCK=20 MPA, PARA LAJES PREMOLDADAS COM J ERICAS EM ELEVADOR DE CABO EM EDIFICAÇÃO DE MULTIPAVIMENTOS ATÉ 16 AND ARES, COM ÁREA MÉDIA DE LAJES MENOR OU IGUAL A 20 M² - LANÇAMENTO, ADE NSAMENTO E ACABAMENTO. AF_12/2015</t>
  </si>
  <si>
    <t>CONCRETAGEM DE VIGAS E LAJES, FCK=20 MPA, PARA LAJES PREMOLDADAS COM U SO DE BOMBA EM EDIFICAÇÃO COM ÁREA MÉDIA DE LAJES MAIOR QUE 20 M² - LA NÇAMENTO, ADENSAMENTO E ACABAMENTO. AF_12/2015</t>
  </si>
  <si>
    <t>CONCRETAGEM DE VIGAS E LAJES, FCK=20 MPA, PARA LAJES PREMOLDADAS COM U SO DE BOMBA EM EDIFICAÇÃO COM ÁREA MÉDIA DE LAJES MENOR OU IGUAL A 20 M² - LANÇAMENTO, ADENSAMENTO E ACABAMENTO. AF_12/2015</t>
  </si>
  <si>
    <t>CONCRETAGEM DE VIGAS E LAJES, FCK=20 MPA, PARA QUALQUER TIPO DE LAJE C OM BALDES EM EDIFICAÇÃO DE MULTIPAVIMENTOS ATÉ 04 ANDARES, COM ÁREA MÉ DIA DE LAJES MENOR OU IGUAL A 20 M² - LANÇAMENTO, ADENSAMENTO E ACABAM ENTO. AF_12/2015</t>
  </si>
  <si>
    <t>CONCRETAGEM DE VIGAS E LAJES, FCK=20 MPA, PARA QUALQUER TIPO DE LAJE C OM BALDES EM EDIFICAÇÃO TÉRREA, COM ÁREA MÉDIA DE LAJES MENOR OU IGUAL A 20 M² - LANÇAMENTO, ADENSAMENTO E ACABAMENTO. AF_12/2015</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</si>
  <si>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</si>
  <si>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</si>
  <si>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</si>
  <si>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</si>
  <si>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</si>
  <si>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30/45 - DMT = 10 KM</t>
  </si>
  <si>
    <t>CONCRETO BETUMINOSO USINADO A QUENTE (CBUQ) PARA PAVIMENTACAO ASFALTICA, PADRAO DNIT, FAIXA C, COM CAP 50/70 - AQUISICAO POSTO USINA</t>
  </si>
  <si>
    <t>CONCRETO BETUMINOSO USINADO A QUENTE (CBUQ) PARA PAVIMENTACAO ASFALTICA, PADRAO DNIT, FAIXA C, COM CAP 50/70 - DMT = 10 KM</t>
  </si>
  <si>
    <t>CONCRETO BETUMINOSO USINADO A QUENTE COM CAP 50/70, BINDER, INCLUSO US INAGEM E APLICACAO, EXCLUSIVE TRANSPORTE</t>
  </si>
  <si>
    <t>CONCRETO CICLOPICO FCK=10MPA 30% PEDRA DE MAO INCLUSIVE LANCAMENTO</t>
  </si>
  <si>
    <t>CONCRETO FCK = 15MPA, TRAÇO 1:3,4:3,5 (CIMENTO/ AREIA MÉDIA/ BRITA 1) - PREPARO MANUAL. AF_07/2016</t>
  </si>
  <si>
    <t>CONCRETO FCK = 15MPA, TRAÇO 1:3,4:3,5 (CIMENTO/ AREIA MÉDIA/ BRITA 1) - PREPARO MECÂNICO COM BETONEIRA 400 L. AF_07/2016</t>
  </si>
  <si>
    <t>CONCRETO FCK = 15MPA, TRAÇO 1:3,4:3,5 (CIMENTO/ AREIA MÉDIA/ BRITA 1) - PREPARO MECÂNICO COM BETONEIRA 600 L. AF_07/2016</t>
  </si>
  <si>
    <t>CONCRETO FCK = 20MPA, TRAÇO 1:2,7:3 (CIMENTO/ AREIA MÉDIA/ BRITA 1)  - PREPARO MECÂNICO COM BETONEIRA 400 L. AF_07/2016</t>
  </si>
  <si>
    <t>CONCRETO FCK = 20MPA, TRAÇO 1:2,7:3 (CIMENTO/ AREIA MÉDIA/ BRITA 1)  - PREPARO MECÂNICO COM BETONEIRA 600 L. AF_07/2016</t>
  </si>
  <si>
    <t>CONCRETO FCK = 25MPA, TRAÇO 1:2,3:2,7 (CIMENTO/ AREIA MÉDIA/ BRITA 1) - PREPARO MECÂNICO COM BETONEIRA 400 L. AF_07/2016</t>
  </si>
  <si>
    <t>CONCRETO FCK = 25MPA, TRAÇO 1:2,3:2,7 (CIMENTO/ AREIA MÉDIA/ BRITA 1) - PREPARO MECÂNICO COM BETONEIRA 600 L. AF_07/2016</t>
  </si>
  <si>
    <t>CONCRETO FCK = 30MPA, TRAÇO 1:2,1:2,5 (CIMENTO/ AREIA MÉDIA/ BRITA 1) - PREPARO MECÂNICO COM BETONEIRA 400 L. AF_07/2016</t>
  </si>
  <si>
    <t>CONCRETO FCK = 30MPA, TRAÇO 1:2,1:2,5 (CIMENTO/ AREIA MÉDIA/ BRITA 1) - PREPARO MECÂNICO COM BETONEIRA 600 L. AF_07/2016</t>
  </si>
  <si>
    <t>CONCRETO FCK = 40MPA, TRAÇO 1:1,6:1,9 (CIMENTO/ AREIA MÉDIA/ BRITA 1) - PREPARO MECÂNICO COM BETONEIRA 400 L. AF_07/2016</t>
  </si>
  <si>
    <t>CONCRETO FCK = 40MPA, TRAÇO 1:1,6:1,9 (CIMENTO/ AREIA MÉDIA/ BRITA 1) - PREPARO MECÂNICO COM BETONEIRA 600 L. AF_07/2016</t>
  </si>
  <si>
    <t>CONCRETO MAGRO PARA LASTRO, TRAÇO 1:4,5:4,5 (CIMENTO/ AREIA MÉDIA/ BRI TA 1)  - PREPARO MANUAL. AF_07/2016</t>
  </si>
  <si>
    <t>CONCRETO MAGRO PARA LASTRO, TRAÇO 1:4,5:4,5 (CIMENTO/ AREIA MÉDIA/ BRI TA 1)  - PREPARO MECÂNICO COM BETONEIRA 400 L. AF_07/2016</t>
  </si>
  <si>
    <t>CONCRETO MAGRO PARA LASTRO, TRAÇO 1:4,5:4,5 (CIMENTO/ AREIA MÉDIA/ BRI TA 1)  - PREPARO MECÂNICO COM BETONEIRA 600 L. AF_07/2016</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</si>
  <si>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</si>
  <si>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</si>
  <si>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</si>
  <si>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</si>
  <si>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</si>
  <si>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</si>
  <si>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</si>
  <si>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</si>
  <si>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</si>
  <si>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</si>
  <si>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</si>
  <si>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</si>
  <si>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</si>
  <si>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</si>
  <si>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</si>
  <si>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</si>
  <si>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</si>
  <si>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</si>
  <si>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</si>
  <si>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</si>
  <si>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</si>
  <si>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</si>
  <si>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</si>
  <si>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 COM TAMPA CEGA</t>
  </si>
  <si>
    <t>CONDULETE DE ALUMINIO TIPO B, PARA ELETRODUTO ROSCAVEL DE 1/2", COM TAMPA CEGA</t>
  </si>
  <si>
    <t>CONDULETE DE ALUMINIO TIPO B, PARA ELETRODUTO ROSCAVEL DE 3/4", COM TAMPA CEGA</t>
  </si>
  <si>
    <t>CONDULETE DE ALUMINIO TIPO C, PARA ELETRODUTO ROSCAVEL DE 1",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</si>
  <si>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</si>
  <si>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</si>
  <si>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</si>
  <si>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</si>
  <si>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</si>
  <si>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</si>
  <si>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</si>
  <si>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</si>
  <si>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</si>
  <si>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3/4",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</si>
  <si>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</si>
  <si>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</si>
  <si>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</si>
  <si>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</si>
  <si>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</si>
  <si>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</si>
  <si>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</si>
  <si>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3/4",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</si>
  <si>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</si>
  <si>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</si>
  <si>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</si>
  <si>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</si>
  <si>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</si>
  <si>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</si>
  <si>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</si>
  <si>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3/4",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</si>
  <si>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</si>
  <si>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</si>
  <si>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</si>
  <si>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</si>
  <si>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 COM TAMPA CEGA</t>
  </si>
  <si>
    <t>CONDULETE DE ALUMINIO TIPO X, PARA ELETRODUTO ROSCAVEL DE 1/2", COM TAMPA CEGA</t>
  </si>
  <si>
    <t>CONDULETE DE ALUMINIO TIPO X, PARA ELETRODUTO ROSCAVEL DE 2", COM TAMPA CEGA</t>
  </si>
  <si>
    <t>CONDULETE DE ALUMINIO TIPO X, PARA ELETRODUTO ROSCAVEL DE 3", COM TAMPA CEGA</t>
  </si>
  <si>
    <t>CONDULETE DE ALUMINIO TIPO X, PARA ELETRODUTO ROSCAVEL DE 3/4", COM TAMPA CEGA</t>
  </si>
  <si>
    <t>CONDULETE DE ALUMINIO TIPO X, PARA ELETRODUTO ROSCAVEL DE 4", COM TAMPA CEGA</t>
  </si>
  <si>
    <t>CONDULETE EM PVC, TIPO "B", SEM TAMPA, DE 1"</t>
  </si>
  <si>
    <t>CONDULETE EM PVC, TIPO "B", SEM TAMPA, DE 1/2" OU 3/4"</t>
  </si>
  <si>
    <t>CONDULETE EM PVC, TIPO "C", SEM TAMPA, DE 1"</t>
  </si>
  <si>
    <t>CONDULETE EM PVC, TIPO "C", SEM TAMPA, DE 1/2"</t>
  </si>
  <si>
    <t>CONDULETE EM PVC, TIPO "C", SEM TAMPA, DE 3/4"</t>
  </si>
  <si>
    <t>CONDULETE EM PVC, TIPO "E", SEM TAMPA, DE 1"</t>
  </si>
  <si>
    <t>CONDULETE EM PVC, TIPO "E", SEM TAMPA, DE 1/2"</t>
  </si>
  <si>
    <t>CONDULETE EM PVC, TIPO "E", SEM TAMPA, DE 3/4"</t>
  </si>
  <si>
    <t>CONDULETE EM PVC, TIPO "LB", SEM TAMPA, DE 1"</t>
  </si>
  <si>
    <t>CONDULETE EM PVC, TIPO "LB", SEM TAMPA, DE 1/2" OU 3/4"</t>
  </si>
  <si>
    <t>CONDULETE EM PVC, TIPO "LL", SEM TAMPA, DE 1"</t>
  </si>
  <si>
    <t>CONDULETE EM PVC, TIPO "LL", SEM TAMPA, DE 1/2" OU 3/4"</t>
  </si>
  <si>
    <t>CONDULETE EM PVC, TIPO "LR", SEM TAMPA, DE 1"</t>
  </si>
  <si>
    <t>CONDULETE EM PVC, TIPO "LR", SEM TAMPA, DE 1/2"</t>
  </si>
  <si>
    <t>CONDULETE EM PVC, TIPO "LR", SEM TAMPA, DE 3/4"</t>
  </si>
  <si>
    <t>CONDULETE EM PVC, TIPO "T", SEM TAMPA, DE 1"</t>
  </si>
  <si>
    <t>CONDULETE EM PVC, TIPO "T", SEM TAMPA, DE 3/4"</t>
  </si>
  <si>
    <t>CONDULETE EM PVC, TIPO "TB", SEM TAMPA, DE 1"</t>
  </si>
  <si>
    <t>CONDULETE EM PVC, TIPO "TB", SEM TAMPA, DE 1/2" OU 3/4"</t>
  </si>
  <si>
    <t>CONDULETE EM PVC, TIPO "X", SEM TAMPA, DE 1"</t>
  </si>
  <si>
    <t>CONDULETE EM PVC, TIPO "X", SEM TAMPA, DE 1/2"</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</si>
  <si>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</si>
  <si>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</si>
  <si>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</si>
  <si>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</si>
  <si>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</si>
  <si>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</si>
  <si>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</si>
  <si>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</si>
  <si>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</si>
  <si>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</si>
  <si>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</si>
  <si>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</si>
  <si>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</si>
  <si>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</si>
  <si>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</si>
  <si>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</si>
  <si>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</si>
  <si>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</si>
  <si>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</si>
  <si>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</si>
  <si>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</si>
  <si>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</si>
  <si>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</si>
  <si>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DE PARAFUSO FENDIDO EM LIGA DE COBRE COM SEPARADOR DE CABOS P ARA CABO 50 MM2 - FORNECIMENTO E INSTALACAO</t>
  </si>
  <si>
    <t>CONECTOR EM BRONZE/LATÃO, SEM ANEL DE SOLDA, BOLSA X ROSCA F, 15 MM X 1/2,  INSTALADO EM RAMAL E SUB-RAMAL   FORNECIMENTO E INSTALAÇÃO. AF_ 01/2016_P</t>
  </si>
  <si>
    <t>CONECTOR EM BRONZE/LATÃO, SEM ANEL DE SOLDA, BOLSA X ROSCA F, 22 MM X 1/2, INSTALADO EM RAMAL E SUB-RAMAL   FORNECIMENTO E INSTALAÇÃO. AF_0 1/2016_P</t>
  </si>
  <si>
    <t>CONECTOR EM BRONZE/LATÃO, SEM ANEL DE SOLDA, BOLSA X ROSCA F, 22 MM X 3/4, INSTALADO EM PRUMADA   FORNECIMENTO E INSTALAÇÃO. AF_01/2016_P</t>
  </si>
  <si>
    <t>CONECTOR EM BRONZE/LATÃO, SEM ANEL DE SOLDA, BOLSA X ROSCA F, 22 MM X 3/4, INSTALADO EM RAMAL E SUB-RAMAL   FORNECIMENTO E INSTALAÇÃO. AF_0 1/2016_P</t>
  </si>
  <si>
    <t>CONECTOR EM BRONZE/LATÃO, SEM ANEL DE SOLDA, BOLSA X ROSCA F, 28 MM X 1/2, INSTALADO EM PRUMADA   FORNECIMENTO E INSTALAÇÃO. AF_01/2016_P</t>
  </si>
  <si>
    <t>CONECTOR EM BRONZE/LATÃO, SEM ANEL DE SOLDA, BOLSA X ROSCA F, 28 MM X 1/2, INSTALADO EM RAMAL E SUB-RAMAL   FORNECIMENTO E INSTALAÇÃO. AF_0 1/2016_P</t>
  </si>
  <si>
    <t>CONECTOR EM BRONZE/LATÃO, SEM ANEL DE SOLDA, BOLSA X ROSCA F, DN 15 MM X 1/2, INSTALADO EM RAMAL DE DISTRIBUIÇÃO   FORNECIMENTO E INSTALAÇÃ O. AF_01/2016_P</t>
  </si>
  <si>
    <t>CONECTOR EM BRONZE/LATÃO, SEM ANEL DE SOLDA, BOLSA X ROSCA F, DN 22 MM X 1/2, INSTALADO EM RAMAL DE DISTRIBUIÇÃO   FORNECIMENTO E INSTALAÇÃ O. AF_01/2016_P</t>
  </si>
  <si>
    <t>CONECTOR EM BRONZE/LATÃO, SEM ANEL DE SOLDA, BOLSA X ROSCA F, DN 22 MM X 3/4, INSTALADO EM RAMAL DE DISTRIBUIÇÃO   FORNECIMENTO E INSTALAÇÃ O. AF_01/2016_P</t>
  </si>
  <si>
    <t>CONECTOR EM BRONZE/LATÃO, SEM ANEL DE SOLDA, BOLSA X ROSCA F, DN 28 MM X 1/2, INSTALADO EM RAMAL DE DISTRIBUIÇÃO   FORNECIMENTO E INSTALAÇÃ O. AF_01/2016_P</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</si>
  <si>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</si>
  <si>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</si>
  <si>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</si>
  <si>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</si>
  <si>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</si>
  <si>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</si>
  <si>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</si>
  <si>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</si>
  <si>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</si>
  <si>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</si>
  <si>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</si>
  <si>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</si>
  <si>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</si>
  <si>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</si>
  <si>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PARAFUSO FENDIDO SPLIT-BOLT - PARA CABO DE 16MM2 - FORNECIM ENTO E INSTALACAO</t>
  </si>
  <si>
    <t>CONECTOR PARAFUSO FENDIDO SPLIT-BOLT - PARA CABO DE 35MM2 - FORNECIM ENTO E INSTALACAO</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</si>
  <si>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</si>
  <si>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</si>
  <si>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</si>
  <si>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1/2",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</si>
  <si>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</si>
  <si>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</si>
  <si>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 PARA ADAPTAR ENTRADA DE ELETRODUTO METALICO FLEXIVEL EM QUADROS</t>
  </si>
  <si>
    <t>CONECTOR RETO DE ALUMINIO PARA ELETRODUTO DE 3/4",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</si>
  <si>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</si>
  <si>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</si>
  <si>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</si>
  <si>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</si>
  <si>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</si>
  <si>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</si>
  <si>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</si>
  <si>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SOLDÁVEL, DN 15MM X 1/2, INSTALADO EM RAMAL OU SUB-RA MAL DE ÁGUA  FORNECIMENTO E INSTALAÇÃO. AF_12/2014</t>
  </si>
  <si>
    <t>CONECTOR, CPVC, SOLDÁVEL, DN 22 MM X 3/4, INSTALADO EM RESERVAÇÃO DE ÁGUA DE EDIFICAÇÃO QUE POSSUA RESERVATÓRIO DE FIBRA/FIBROCIMENTO  FOR NECIMENTO E INSTALAÇÃO. AF_06/2016</t>
  </si>
  <si>
    <t>CONECTOR, CPVC, SOLDÁVEL, DN 22MM X 1/2 , INSTALADO EM RAMAL DE DISTRI BUIÇÃO DE ÁGUA   FORNECIMENTO E INSTALAÇÃO. AF_12/2014</t>
  </si>
  <si>
    <t>CONECTOR, CPVC, SOLDÁVEL, DN 22MM X 1/2, INSTALADO EM RAMAL OU SUB-RA MAL DE ÁGUA  FORNECIMENTO E INSTALAÇÃO. AF_12/2014</t>
  </si>
  <si>
    <t>CONECTOR, CPVC, SOLDÁVEL, DN 28 MM X 1, INSTALADO EM RESERVAÇÃO DE ÁG UA DE EDIFICAÇÃO QUE POSSUA RESERVATÓRIO DE FIBRA/FIBROCIMENTO  FORNE CIMENTO E INSTALAÇÃO. AF_06/2016</t>
  </si>
  <si>
    <t>CONECTOR, CPVC, SOLDÁVEL, DN 28MM X 1 , INSTALADO EM RAMAL DE DISTRIBU IÇÃO DE ÁGUA   FORNECIMENTO E INSTALAÇÃO. AF_12/2014</t>
  </si>
  <si>
    <t>CONECTOR, CPVC, SOLDÁVEL, DN 28MM X 1, INSTALADO EM RAMAL OU SUB-RAMA L DE ÁGUA  FORNECIMENTO E INSTALAÇÃO. AF_12/2014</t>
  </si>
  <si>
    <t>CONECTOR, CPVC, SOLDÁVEL, DN 35 MM X 1 1/4, INSTALADO EM RESERVAÇÃO D E ÁGUA DE EDIFICAÇÃO QUE POSSUA RESERVATÓRIO DE FIBRA/FIBROCIMENTO  F ORNECIMENTO E INSTALAÇÃO. AF_06/2016</t>
  </si>
  <si>
    <t>CONECTOR, CPVC, SOLDÁVEL, DN 35MM X 1 1/4 , INSTALADO EM RAMAL DE DIST RIBUIÇÃO DE ÁGUA - FORNECIMENTO E INSTALAÇÃO. AF_12/2014</t>
  </si>
  <si>
    <t>CONECTOR, CPVC, SOLDÁVEL, DN 35MM X 1 1/4, INSTALADO EM PRUMADA DE ÁG UA  FORNECIMENTO E INSTALAÇÃO. AF_12/2014</t>
  </si>
  <si>
    <t>CONECTOR, CPVC, SOLDÁVEL, DN 35MM X 1 1/4, INSTALADO EM RAMAL OU SUB- RAMAL DE ÁGUA  FORNECIMENTO E INSTALAÇÃO. AF_12/2014</t>
  </si>
  <si>
    <t>CONECTOR, CPVC, SOLDÁVEL, DN 42 MM X 1 1/2, INSTALADO EM RESERVAÇÃO D E ÁGUA DE EDIFICAÇÃO QUE POSSUA RESERVATÓRIO DE FIBRA/FIBROCIMENTO  F ORNECIMENTO E INSTALAÇÃO. AF_06/2016</t>
  </si>
  <si>
    <t>CONECTOR, CPVC, SOLDÁVEL, DN 42MM X 1.1/2, INSTALADO EM PRUMADA DE ÁG UA  FORNECIMENTO E INSTALAÇÃO. AF_12/2014</t>
  </si>
  <si>
    <t>CONECTOR, CPVC, SOLDÁVEL, DN22MM X 3/4", INSTALADO EM RAMAL OU SUB-RAM AL DE ÁGUA - FORNECIMENTO E INSTALAÇÃO. AF_12/2014</t>
  </si>
  <si>
    <t>CONFORMACAO GEOMETRICA DE PLATAFORMA PARA EXECUCAO DE REVESTIMENTO PRI MARIO EM RODOVIAS VICINAIS</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</si>
  <si>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</si>
  <si>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</si>
  <si>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</si>
  <si>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(TUBO + CANOPLA) PVC RIGIDO C/ TUBO 1.1/2" X 20CM P/ BACIA SANITARIA"</t>
  </si>
  <si>
    <t>CONJUNTO DE LIGACAO PARA BACIA SANITARIA AJUSTAVEL, EM PLASTICO BRANCO, COM TUBO, CANOPLA E ESPUDE</t>
  </si>
  <si>
    <t>CONJUNTO DE LIGACAO PARA BACIA SANITARIA EM PLASTICO BRANCO COM TUBO, CANOPLA E ANEL DE EXPANSAO (TUBO 1.1/2 '' X 20 CM)</t>
  </si>
  <si>
    <t>CONJUNTO DE MANGUEIRA PARA COMBATE A INCENDIO EM FIBRA DE POLIESTER PU RA, COM 1.1/2", REVESTIDA INTERNAMENTE, COM 2 LANCES DE 15M CADA</t>
  </si>
  <si>
    <t>CONJUNTO HIDRÁULICO PARA INSTALAÇÃO DE BOMBA EM AÇO ROSCÁVEL, DN SUCÇÃ O 32 (1 1/4) E DN RECALQUE 25 (1), PARA EDIFICAÇÃO ATÉ 4 PAVIMENTOS FORNECIMENTO E INSTALAÇÃO. AF_06/2016</t>
  </si>
  <si>
    <t>CONJUNTO HIDRÁULICO PARA INSTALAÇÃO DE BOMBA EM AÇO ROSCÁVEL, DN SUCÇÃ O 40 (1 1/2) E DN RECALQUE 32 (1 1/4), PARA EDIFICAÇÃO ENTRE 4 E 8 P AVIMENTOS  FORNECIMENTO E INSTALAÇÃO. AF_06/2016</t>
  </si>
  <si>
    <t>CONJUNTO HIDRÁULICO PARA INSTALAÇÃO DE BOMBA EM AÇO ROSCÁVEL, DN SUCÇÃ O 50 (2) E DN RECALQUE 40 (1 1/2), PARA EDIFICAÇÃO ENTRE 8 E 12 PAVI MENTOS  FORNECIMENTO E INSTALAÇÃO. AF_06/2016</t>
  </si>
  <si>
    <t>CONJUNTO HIDRÁULICO PARA INSTALAÇÃO DE BOMBA EM AÇO ROSCÁVEL, DN SUCÇÃ O 65 (2½) E DN RECALQUE 50 (2), PARA EDIFICAÇÃO ENTRE 12 E 18 PAVIME NTOS  FORNECIMENTO E INSTALAÇÃO. AF_06/2016</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</si>
  <si>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</si>
  <si>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</si>
  <si>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</si>
  <si>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PARA REBAIXAMENTO DE LENCOL FREATICO, INCLUINDO BOMBA DE AGUA E DE VACUO, ACIONADAS POR MOTOR DE 15 A 20 HP, MONTADOS EM CHASSI SOBRE RODAS; 60 PONTEIRAS DE PVC DE 3,8 A 5,8 CM DE DIAMETRO E 1,0 M DE COMPRIMENTO; COLETORES DE PVC DE 4" A 6" DE DIAMETRO E EXTENSAO ENTRE 60 E 90 M (LOCACAO)</t>
  </si>
  <si>
    <t>CONTAINER 2,30  X  6,00 M, ALT. 2,50 M, COM 1 SANITARIO, PARA ESCRITORIO, COMPLETO, SEM DIVISORIAS INTERNAS (LOCACAO)</t>
  </si>
  <si>
    <t>CONTAINER 2,30  X  6,00 M, ALT. 2,50 M, PARA ESCRITORIO, SEM DIVISORIAS INTERNAS E SEM SANITARIO (LOCACAO)</t>
  </si>
  <si>
    <t>CONTAINER 2,30 X 4,30 M, ALT. 2,50 M, P/ SANITARIO, C/ 5 BACIAS, 1 LAVATORIO E 4 MICTORIOS (LOCACAO)</t>
  </si>
  <si>
    <t>CONTAINER 2,30 X 4,30 M, ALT. 2,50 M, PARA SANITARIO, COM 3 BACIAS, 4 CHUVEIROS, 1 LAVATORIO E 1 MICTORIO (LOCACAO)</t>
  </si>
  <si>
    <t>CONTAINER 2,30 X 6,00 M, ALT. 2,50 M,  PARA SANITARIO,  COM 4 BACIAS, 8 CHUVEIROS,1 LAVATORIO E 1 MICTORIO (LOCACAO)</t>
  </si>
  <si>
    <t>CONTATOR TRIPOLAR I NOMIMAL 94A - FORNECIMENTO E INSTALACAO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</si>
  <si>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</si>
  <si>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</si>
  <si>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</si>
  <si>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CORRENTE DE *110* A, TENSAO NOMINAL DE *500* V, CATEGORIA AC- 2 E AC-3</t>
  </si>
  <si>
    <t>CONTATOR TRIPOLAR, CORRENTE DE *185* A, TENSAO NOMINAL DE *500* V, CATEGORIA AC- 2 E AC-3</t>
  </si>
  <si>
    <t>CONTATOR TRIPOLAR, CORRENTE DE *22* A, TENSAO NOMINAL DE *500* V, CATEGORIA AC-2 E AC-3</t>
  </si>
  <si>
    <t>CONTATOR TRIPOLAR, CORRENTE DE *265* A, TENSAO NOMINAL DE *500* V, CATEGORIA AC- 2 E AC-3</t>
  </si>
  <si>
    <t>CONTATOR TRIPOLAR, CORRENTE DE *38* A, TENSAO NOMINAL DE *500* V, CATEGORIA AC-2 E AC-3</t>
  </si>
  <si>
    <t>CONTATOR TRIPOLAR, CORRENTE DE *500* A, TENSAO NOMINAL DE *500* V, CATEGORIA AC- 2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</si>
  <si>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</si>
  <si>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</si>
  <si>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</si>
  <si>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</si>
  <si>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</si>
  <si>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</si>
  <si>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</si>
  <si>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</si>
  <si>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</si>
  <si>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</si>
  <si>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</si>
  <si>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</si>
  <si>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CONTENCAO LATERAL COM SOLO LOCAL PARA PAVIMENTO POLIEDRICO</t>
  </si>
  <si>
    <t>CONTRA PORCA SEXTAVADA H = 35MM</t>
  </si>
  <si>
    <t>CONTRAPISO ACÚSTICO EM ARGAMASSA PRONTA, PREPARO MANUAL, APLICADO EM Á REAS SECAS MAIORES QUE 15M2, ESPESSURA 5CM. AF_10/2014</t>
  </si>
  <si>
    <t>CONTRAPISO ACÚSTICO EM ARGAMASSA PRONTA, PREPARO MANUAL, APLICADO EM Á REAS SECAS MAIORES QUE 15M2, ESPESSURA 6CM. AF_10/2014</t>
  </si>
  <si>
    <t>CONTRAPISO ACÚSTICO EM ARGAMASSA PRONTA, PREPARO MANUAL, APLICADO EM Á REAS SECAS MAIORES QUE 15M2, ESPESSURA 7CM. AF_10/2014</t>
  </si>
  <si>
    <t>CONTRAPISO ACÚSTICO EM ARGAMASSA PRONTA, PREPARO MANUAL, APLICADO EM Á REAS SECAS MENORES QUE 15M2, ESPESSURA 5CM. AF_10/2014</t>
  </si>
  <si>
    <t>CONTRAPISO ACÚSTICO EM ARGAMASSA PRONTA, PREPARO MANUAL, APLICADO EM Á REAS SECAS MENORES QUE 15M2, ESPESSURA 6CM. AF_10/2014</t>
  </si>
  <si>
    <t>CONTRAPISO ACÚSTICO EM ARGAMASSA PRONTA, PREPARO MANUAL, APLICADO EM Á REAS SECAS MENORES QUE 15M2, ESPESSURA 7CM. AF_10/2014</t>
  </si>
  <si>
    <t>CONTRAPISO ACÚSTICO EM ARGAMASSA PRONTA, PREPARO MECÂNICO COM MISTURAD OR 300 KG, APLICADO EM ÁREAS SECAS MAIORES QUE 15M2, ESPESSURA 5CM. AF _10/2014</t>
  </si>
  <si>
    <t>CONTRAPISO ACÚSTICO EM ARGAMASSA PRONTA, PREPARO MECÂNICO COM MISTURAD OR 300 KG, APLICADO EM ÁREAS SECAS MAIORES QUE 15M2, ESPESSURA 6CM. AF _10/2014</t>
  </si>
  <si>
    <t>CONTRAPISO ACÚSTICO EM ARGAMASSA PRONTA, PREPARO MECÂNICO COM MISTURAD OR 300 KG, APLICADO EM ÁREAS SECAS MAIORES QUE 15M2, ESPESSURA 7CM. AF _10/2014</t>
  </si>
  <si>
    <t>CONTRAPISO ACÚSTICO EM ARGAMASSA PRONTA, PREPARO MECÂNICO COM MISTURAD OR 300 KG, APLICADO EM ÁREAS SECAS MENORES QUE 15M2, ESPESSURA 5CM. AF _10/2014</t>
  </si>
  <si>
    <t>CONTRAPISO ACÚSTICO EM ARGAMASSA PRONTA, PREPARO MECÂNICO COM MISTURAD OR 300 KG, APLICADO EM ÁREAS SECAS MENORES QUE 15M2, ESPESSURA 6CM. AF _10/2014</t>
  </si>
  <si>
    <t>CONTRAPISO ACÚSTICO EM ARGAMASSA PRONTA, PREPARO MECÂNICO COM MISTURAD OR 300 KG, APLICADO EM ÁREAS SECAS MENORES QUE 15M2, ESPESSURA 7CM. AF _10/2014</t>
  </si>
  <si>
    <t>CONTRAPISO ACÚSTICO EM ARGAMASSA TRAÇO 1:4 (CIMENTO E AREIA), PREPARO MANUAL, APLICADO EM ÁREAS SECAS MAIORES QUE 15M2, ESPESSURA 5CM. AF_10 /2014</t>
  </si>
  <si>
    <t>CONTRAPISO ACÚSTICO EM ARGAMASSA TRAÇO 1:4 (CIMENTO E AREIA), PREPARO MANUAL, APLICADO EM ÁREAS SECAS MAIORES QUE 15M2, ESPESSURA 6CM. AF_10 /2014</t>
  </si>
  <si>
    <t>CONTRAPISO ACÚSTICO EM ARGAMASSA TRAÇO 1:4 (CIMENTO E AREIA), PREPARO MANUAL, APLICADO EM ÁREAS SECAS MAIORES QUE 15M2, ESPESSURA 7CM. AF_10 /2014</t>
  </si>
  <si>
    <t>CONTRAPISO ACÚSTICO EM ARGAMASSA TRAÇO 1:4 (CIMENTO E AREIA), PREPARO MANUAL, APLICADO EM ÁREAS SECAS MENORES QUE 15M2, ESPESSURA 5CM. AF_10 /2014</t>
  </si>
  <si>
    <t>CONTRAPISO ACÚSTICO EM ARGAMASSA TRAÇO 1:4 (CIMENTO E AREIA), PREPARO MANUAL, APLICADO EM ÁREAS SECAS MENORES QUE 15M2, ESPESSURA 6CM. AF_10 /2014</t>
  </si>
  <si>
    <t>CONTRAPISO ACÚSTICO EM ARGAMASSA TRAÇO 1:4 (CIMENTO E AREIA), PREPARO MANUAL, APLICADO EM ÁREAS SECAS MENORES QUE 15M2, ESPESSURA 7CM. AF_10 /2014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</si>
  <si>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</si>
  <si>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</si>
  <si>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</si>
  <si>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</si>
  <si>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</si>
  <si>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</si>
  <si>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</si>
  <si>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</si>
  <si>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</si>
  <si>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</si>
  <si>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</si>
  <si>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</si>
  <si>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EM ARGAMASSA PRONTA, PREPARO MANUAL, APLICADO EM ÁREAS MOLH ADAS SOBRE IMPERMEABILIZAÇÃO, ESPESSURA 3CM. AF_06/2014</t>
  </si>
  <si>
    <t>CONTRAPISO EM ARGAMASSA PRONTA, PREPARO MANUAL, APLICADO EM ÁREAS MOLH ADAS SOBRE IMPERMEABILIZAÇÃO, ESPESSURA 4CM. AF_06/2014</t>
  </si>
  <si>
    <t>CONTRAPISO EM ARGAMASSA PRONTA, PREPARO MANUAL, APLICADO EM ÁREAS MOLH ADAS SOBRE LAJE, ADERIDO, ESPESSURA 2CM. AF_06/2014</t>
  </si>
  <si>
    <t>CONTRAPISO EM ARGAMASSA PRONTA, PREPARO MANUAL, APLICADO EM ÁREAS MOLH ADAS SOBRE LAJE, ADERIDO, ESPESSURA 3CM. AF_06/2014</t>
  </si>
  <si>
    <t>CONTRAPISO EM ARGAMASSA PRONTA, PREPARO MANUAL, APLICADO EM ÁREAS SECA S SOBRE LAJE, ADERIDO, ESPESSURA 2CM. AF_06/2014</t>
  </si>
  <si>
    <t>CONTRAPISO EM ARGAMASSA PRONTA, PREPARO MANUAL, APLICADO EM ÁREAS SECA S SOBRE LAJE, ADERIDO, ESPESSURA 3CM. AF_06/2014</t>
  </si>
  <si>
    <t>CONTRAPISO EM ARGAMASSA PRONTA, PREPARO MANUAL, APLICADO EM ÁREAS SECA S SOBRE LAJE, ADERIDO, ESPESSURA 4CM. AF_06/2014</t>
  </si>
  <si>
    <t>CONTRAPISO EM ARGAMASSA PRONTA, PREPARO MANUAL, APLICADO EM ÁREAS SECA S SOBRE LAJE, NÃO ADERIDO, ESPESSURA 4CM. AF_06/2014</t>
  </si>
  <si>
    <t>CONTRAPISO EM ARGAMASSA PRONTA, PREPARO MANUAL, APLICADO EM ÁREAS SECA S SOBRE LAJE, NÃO ADERIDO, ESPESSURA 5CM. AF_06/2014</t>
  </si>
  <si>
    <t>CONTRAPISO EM ARGAMASSA PRONTA, PREPARO MANUAL, APLICADO EM ÁREAS SECA S SOBRE LAJE, NÃO ADERIDO, ESPESSURA 6CM. AF_06/2014</t>
  </si>
  <si>
    <t>CONTRAPISO EM ARGAMASSA PRONTA, PREPARO MECÂNICO COM MISTURADOR 300 KG , APLICADO EM ÁREAS MOLHADAS SOBRE IMPERMEABILIZAÇÃO, ESPESSURA 3CM. A F_06/2014</t>
  </si>
  <si>
    <t>CONTRAPISO EM ARGAMASSA PRONTA, PREPARO MECÂNICO COM MISTURADOR 300 KG , APLICADO EM ÁREAS MOLHADAS SOBRE IMPERMEABILIZAÇÃO, ESPESSURA 4CM. A F_06/2014</t>
  </si>
  <si>
    <t>CONTRAPISO EM ARGAMASSA PRONTA, PREPARO MECÂNICO COM MISTURADOR 300 KG , APLICADO EM ÁREAS MOLHADAS SOBRE LAJE, ADERIDO, ESPESSURA 2CM. AF_06 /2014</t>
  </si>
  <si>
    <t>CONTRAPISO EM ARGAMASSA PRONTA, PREPARO MECÂNICO COM MISTURADOR 300 KG , APLICADO EM ÁREAS MOLHADAS SOBRE LAJE, ADERIDO, ESPESSURA 3CM. AF_06 /2014</t>
  </si>
  <si>
    <t>CONTRAPISO EM ARGAMASSA PRONTA, PREPARO MECÂNICO COM MISTURADOR 300 KG , APLICADO EM ÁREAS SECAS SOBRE LAJE, ADERIDO, ESPESSURA 2CM. AF_06/20 14</t>
  </si>
  <si>
    <t>CONTRAPISO EM ARGAMASSA PRONTA, PREPARO MECÂNICO COM MISTURADOR 300 KG , APLICADO EM ÁREAS SECAS SOBRE LAJE, ADERIDO, ESPESSURA 3CM. AF_06/20 14</t>
  </si>
  <si>
    <t>CONTRAPISO EM ARGAMASSA PRONTA, PREPARO MECÂNICO COM MISTURADOR 300 KG , APLICADO EM ÁREAS SECAS SOBRE LAJE, ADERIDO, ESPESSURA 4CM. AF_06/20 14</t>
  </si>
  <si>
    <t>CONTRAPISO EM ARGAMASSA PRONTA, PREPARO MECÂNICO COM MISTURADOR 300 KG , APLICADO EM ÁREAS SECAS SOBRE LAJE, NÃO ADERIDO, ESPESSURA 4CM. AF_0 6/2014</t>
  </si>
  <si>
    <t>CONTRAPISO EM ARGAMASSA PRONTA, PREPARO MECÂNICO COM MISTURADOR 300 KG , APLICADO EM ÁREAS SECAS SOBRE LAJE, NÃO ADERIDO, ESPESSURA 5CM. AF_0 6/2014</t>
  </si>
  <si>
    <t>CONTRAPISO EM ARGAMASSA PRONTA, PREPARO MECÂNICO COM MISTURADOR 300 KG , APLICADO EM ÁREAS SECAS SOBRE LAJE, NÃO ADERIDO, ESPESSURA 6CM. AF_0 6/2014</t>
  </si>
  <si>
    <t>CONTRAPISO EM ARGAMASSA TRAÇO 1:4 (CIMENTO E AREIA), PREPARO MANUAL, A PLICADO EM ÁREAS MOLHADAS SOBRE IMPERMEABILIZAÇÃO, ESPESSURA 3CM. AF_0 6/2014</t>
  </si>
  <si>
    <t>CONTRAPISO EM ARGAMASSA TRAÇO 1:4 (CIMENTO E AREIA), PREPARO MANUAL, A PLICADO EM ÁREAS MOLHADAS SOBRE IMPERMEABILIZAÇÃO, ESPESSURA 4CM. AF_0 6/2014</t>
  </si>
  <si>
    <t>CONTRAPISO EM ARGAMASSA TRAÇO 1:4 (CIMENTO E AREIA), PREPARO MANUAL, A PLICADO EM ÁREAS MOLHADAS SOBRE LAJE, ADERIDO, ESPESSURA 2CM. AF_06/20 14</t>
  </si>
  <si>
    <t>CONTRAPISO EM ARGAMASSA TRAÇO 1:4 (CIMENTO E AREIA), PREPARO MANUAL, A PLICADO EM ÁREAS MOLHADAS SOBRE LAJE, ADERIDO, ESPESSURA 3CM. AF_06/20 14</t>
  </si>
  <si>
    <t>CONTRAPISO EM ARGAMASSA TRAÇO 1:4 (CIMENTO E AREIA), PREPARO MANUAL, A PLICADO EM ÁREAS SECAS SOBRE LAJE, ADERIDO, ESPESSURA 2CM. AF_06/2014</t>
  </si>
  <si>
    <t>CONTRAPISO EM ARGAMASSA TRAÇO 1:4 (CIMENTO E AREIA), PREPARO MANUAL, A PLICADO EM ÁREAS SECAS SOBRE LAJE, ADERIDO, ESPESSURA 3CM. AF_06/2014</t>
  </si>
  <si>
    <t>CONTRAPISO EM ARGAMASSA TRAÇO 1:4 (CIMENTO E AREIA), PREPARO MANUAL, A PLICADO EM ÁREAS SECAS SOBRE LAJE, ADERIDO, ESPESSURA 4CM. AF_06/2014</t>
  </si>
  <si>
    <t>CONTRAPISO EM ARGAMASSA TRAÇO 1:4 (CIMENTO E AREIA), PREPARO MANUAL, A PLICADO EM ÁREAS SECAS SOBRE LAJE, NÃO ADERIDO, ESPESSURA 4CM. AF_06/2 014</t>
  </si>
  <si>
    <t>CONTRAPISO EM ARGAMASSA TRAÇO 1:4 (CIMENTO E AREIA), PREPARO MANUAL, A PLICADO EM ÁREAS SECAS SOBRE LAJE, NÃO ADERIDO, ESPESSURA 5CM. AF_06/2 014</t>
  </si>
  <si>
    <t>CONTRAPISO EM ARGAMASSA TRAÇO 1:4 (CIMENTO E AREIA), PREPARO MANUAL, A PLICADO EM ÁREAS SECAS SOBRE LAJE, NÃO ADERIDO, ESPESSURA 6CM. AF_06/2 014</t>
  </si>
  <si>
    <t>CONTRAPISO EM ARGAMASSA TRAÇO 1:4 (CIMENTO E AREIA), PREPARO MECÂNICO COM BETONEIRA 400 L, APLICADO EM ÁREAS MOLHADAS SOBRE IMPERMEABILIZAÇÃ O, ESPESSURA 3CM. AF_06/2014</t>
  </si>
  <si>
    <t>CONTRAPISO EM ARGAMASSA TRAÇO 1:4 (CIMENTO E AREIA), PREPARO MECÂNICO COM BETONEIRA 400 L, APLICADO EM ÁREAS MOLHADAS SOBRE IMPERMEABILIZAÇÃ O, ESPESSURA 4CM. AF_06/2014</t>
  </si>
  <si>
    <t>CONTRAPISO EM ARGAMASSA TRAÇO 1:4 (CIMENTO E AREIA), PREPARO MECÂNICO COM BETONEIRA 400 L, APLICADO EM ÁREAS MOLHADAS SOBRE LAJE, ADERIDO, E SPESSURA 2CM. AF_06/2014</t>
  </si>
  <si>
    <t>CONTRAPISO EM ARGAMASSA TRAÇO 1:4 (CIMENTO E AREIA), PREPARO MECÂNICO COM BETONEIRA 400 L, APLICADO EM ÁREAS MOLHADAS SOBRE LAJE, ADERIDO, E SPESSURA 3CM. AF_06/2014</t>
  </si>
  <si>
    <t>CONTRAPISO EM ARGAMASSA TRAÇO 1:4 (CIMENTO E AREIA), PREPARO MECÂNICO COM BETONEIRA 400 L, APLICADO EM ÁREAS SECAS SOBRE LAJE, ADERIDO, ESPE SSURA 2CM. AF_06/2014</t>
  </si>
  <si>
    <t>CONTRAPISO EM ARGAMASSA TRAÇO 1:4 (CIMENTO E AREIA), PREPARO MECÂNICO COM BETONEIRA 400 L, APLICADO EM ÁREAS SECAS SOBRE LAJE, ADERIDO, ESPE SSURA 3CM. AF_06/2014</t>
  </si>
  <si>
    <t>CONTRAPISO EM ARGAMASSA TRAÇO 1:4 (CIMENTO E AREIA), PREPARO MECÂNICO COM BETONEIRA 400 L, APLICADO EM ÁREAS SECAS SOBRE LAJE, ADERIDO, ESPE SSURA 4CM.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</si>
  <si>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</si>
  <si>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</si>
  <si>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</si>
  <si>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CONTRAVERGA MOLDADA IN LOCO COM UTILIZAÇÃO DE BLOCOS CANALETA PARA VÃO S DE ATÉ 1,5 M DE COMPRIMENTO. AF_03/2016</t>
  </si>
  <si>
    <t>CONTRAVERGA MOLDADA IN LOCO COM UTILIZAÇÃO DE BLOCOS CANALETA PARA VÃO S DE MAIS DE 1,5 M DE COMPRIMENTO. AF_03/2016</t>
  </si>
  <si>
    <t>CONTRAVERGA MOLDADA IN LOCO EM CONCRETO PARA VÃOS DE ATÉ 1,5 M DE COMP RIMENTO. AF_03/2016</t>
  </si>
  <si>
    <t>CONTRAVERGA MOLDADA IN LOCO EM CONCRETO PARA VÃOS DE MAIS DE 1,5 M DE COMPRIMENTO. AF_03/2016</t>
  </si>
  <si>
    <t>CONTRAVERGA PRÉ-MOLDADA PARA VÃOS DE ATÉ 1,5 M DE COMPRIMENTO. AF_03/2 016</t>
  </si>
  <si>
    <t>CONTRAVERGA PRÉ-MOLDADA PARA VÃOS DE MAIS DE 1,5 M DE COMPRIMENTO. AF_ 03/2016</t>
  </si>
  <si>
    <t>COORDENADOR / GERENTE DE OBRA (MENSALISTA)</t>
  </si>
  <si>
    <t>COORDENADOR/GERENTE DE OBRA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</si>
  <si>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</si>
  <si>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</si>
  <si>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</si>
  <si>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</si>
  <si>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</si>
  <si>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</si>
  <si>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</si>
  <si>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</si>
  <si>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</si>
  <si>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</si>
  <si>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CORDOALHA DE COBRE NU, INCLUSIVE ISOLADORES - 16,00 MM2 - FORNECIMENTO E INSTALACAO</t>
  </si>
  <si>
    <t>CORDOALHA DE COBRE NU, INCLUSIVE ISOLADORES - 25,00 MM2 - FORNECIMENTO E INSTALACAO</t>
  </si>
  <si>
    <t>CORDOALHA DE COBRE NU, INCLUSIVE ISOLADORES - 35,00 MM2 - FORNECIMENTO E INSTALACAO</t>
  </si>
  <si>
    <t>CORDOALHA DE COBRE NU, INCLUSIVE ISOLADORES - 50,00 MM2 - FORNECIMENTO E INSTALACAO</t>
  </si>
  <si>
    <t>CORDOALHA DE COBRE NU, INCLUSIVE ISOLADORES - 70,00 MM2 - FORNECIMENTO E INSTALACAO</t>
  </si>
  <si>
    <t>CORDOALHA DE COBRE NU, INCLUSIVE ISOLADORES - 95,00 MM2 - FORNECIMENTO E INSTALACAO</t>
  </si>
  <si>
    <t>CORRENTE DE ELO CURTO COMUM, SOLDADA, GALVANIZADA, ESPESSURA DO ELO = 1/2" (12,5 MM)</t>
  </si>
  <si>
    <t>CORRIMAO EM MADEIRA 1A 2,5X30CM</t>
  </si>
  <si>
    <t>CORRIMAO EM MARMORITE, LARGURA 15CM</t>
  </si>
  <si>
    <t>CORRIMAO EM TUBO ACO GALVANIZADO 1 1/4" COM BRACADEIRA</t>
  </si>
  <si>
    <t>CORRIMAO EM TUBO ACO GALVANIZADO 2 1/2" COM BRACADEIRA</t>
  </si>
  <si>
    <t>CORRIMAO EM TUBO ACO GALVANIZADO 3/4" COM BRACADEIRA</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</si>
  <si>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</si>
  <si>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</si>
  <si>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CORTADORA DE PISO COM MOTOR 4 TEMPOS A GASOLINA, POTÊNCIA DE 13 HP, CO M DISCO DE CORTE DIAMANTADO SEGMENTADO PARA CONCRETO, DIÂMETRO DE 350 MM, FURO DE 1" (14 X 1") - CHI DIURNO. AF_08/2015</t>
  </si>
  <si>
    <t>CORTADORA DE PISO COM MOTOR 4 TEMPOS A GASOLINA, POTÊNCIA DE 13 HP, CO M DISCO DE CORTE DIAMANTADO SEGMENTADO PARA CONCRETO, DIÂMETRO DE 350 MM, FURO DE 1" (14 X 1") - CHP DIURNO. AF_08/2015</t>
  </si>
  <si>
    <t>CORTADORA DE PISO COM MOTOR 4 TEMPOS A GASOLINA, POTÊNCIA DE 13 HP, CO M DISCO DE CORTE DIAMANTADO SEGMENTADO PARA CONCRETO, DIÂMETRO DE 350 MM, FURO DE 1" (14 X 1") - DEPRECIAÇÃO. AF_08/2015</t>
  </si>
  <si>
    <t>CORTADORA DE PISO COM MOTOR 4 TEMPOS A GASOLINA, POTÊNCIA DE 13 HP, CO M DISCO DE CORTE DIAMANTADO SEGMENTADO PARA CONCRETO, DIÂMETRO DE 350 MM, FURO DE 1" (14 X 1") - JUROS. AF_08/2015</t>
  </si>
  <si>
    <t>CORTADORA DE PISO COM MOTOR 4 TEMPOS A GASOLINA, POTÊNCIA DE 13 HP, CO M DISCO DE CORTE DIAMANTADO SEGMENTADO PARA CONCRETO, DIÂMETRO DE 350 MM, FURO DE 1" (14 X 1") - MANUTENÇÃO. AF_08/2015</t>
  </si>
  <si>
    <t>CORTADORA DE PISO COM MOTOR 4 TEMPOS A GASOLINA, POTÊNCIA DE 13 HP, CO M DISCO DE CORTE DIAMANTADO SEGMENTADO PARA CONCRETO, DIÂMETRO DE 350 MM, FURO DE 1" (14 X 1") - MATERIAIS NA OPERAÇÃO. AF_08/2015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</si>
  <si>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</si>
  <si>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</si>
  <si>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</si>
  <si>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</si>
  <si>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</si>
  <si>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CORTE E DOBRA DE AÇO CA-25, DIÂMETRO DE 6.3 MM. AF_12/2015</t>
  </si>
  <si>
    <t>CORTE E DOBRA DE AÇO CA-25, DIÂMETRO DE 8.0 MM. AF_12/2015</t>
  </si>
  <si>
    <t>CORTE E DOBRA DE AÇO CA-50, DIÂMETRO DE 10.0 MM, UTILIZADO EM ESTRUTUR AS DIVERSAS, EXCETO LAJES. AF_12/2015</t>
  </si>
  <si>
    <t>CORTE E DOBRA DE AÇO CA-50, DIÂMETRO DE 10.0 MM, UTILIZADO EM LAJE. AF _12/2015</t>
  </si>
  <si>
    <t>CORTE E DOBRA DE AÇO CA-50, DIÂMETRO DE 12.5 MM, UTILIZADO EM ESTRUTUR AS DIVERSAS, EXCETO LAJES. AF_12/2015</t>
  </si>
  <si>
    <t>CORTE E DOBRA DE AÇO CA-50, DIÂMETRO DE 12.5 MM, UTILIZADO EM LAJE. AF _12/2015</t>
  </si>
  <si>
    <t>CORTE E DOBRA DE AÇO CA-50, DIÂMETRO DE 16.0 MM, UTILIZADO EM ESTRUTUR AS DIVERSAS, EXCETO LAJES. AF_12/2015</t>
  </si>
  <si>
    <t>CORTE E DOBRA DE AÇO CA-50, DIÂMETRO DE 16.0 MM, UTILIZADO EM LAJE. AF _12/2015</t>
  </si>
  <si>
    <t>CORTE E DOBRA DE AÇO CA-50, DIÂMETRO DE 20.0 MM, UTILIZADO EM ESTRUTUR AS DIVERSAS, EXCETO LAJES. AF_12/2015</t>
  </si>
  <si>
    <t>CORTE E DOBRA DE AÇO CA-50, DIÂMETRO DE 20.0 MM, UTILIZADO EM LAJE. AF _12/2015</t>
  </si>
  <si>
    <t>CORTE E DOBRA DE AÇO CA-50, DIÂMETRO DE 25.0 MM, UTILIZADO EM ESTRUTUR AS DIVERSAS, EXCETO LAJES. AF_12/2015</t>
  </si>
  <si>
    <t>CORTE E DOBRA DE AÇO CA-50, DIÂMETRO DE 6.3 MM, UTILIZADO EM ESTRUTURA S DIVERSAS, EXCETO LAJES. AF_12/2015</t>
  </si>
  <si>
    <t>CORTE E DOBRA DE AÇO CA-50, DIÂMETRO DE 6.3 MM, UTILIZADO EM LAJE. AF_ 12/2015</t>
  </si>
  <si>
    <t>CORTE E DOBRA DE AÇO CA-50, DIÂMETRO DE 8.0 MM, UTILIZADO EM ESTRUTURA S DIVERSAS, EXCETO LAJES. AF_12/2015</t>
  </si>
  <si>
    <t>CORTE E DOBRA DE AÇO CA-50, DIÂMETRO DE 8.0 MM, UTILIZADO EM LAJE. AF_ 12/2015</t>
  </si>
  <si>
    <t>CORTE E DOBRA DE AÇO CA-60, DIÂMETRO DE 4.2 MM, UTILIZADO EM LAJE. AF_ 12/2015</t>
  </si>
  <si>
    <t>CORTE E DOBRA DE AÇO CA-60, DIÂMETRO DE 5.0 MM, UTILIZADO EM ESTRUTURA S DIVERSAS, EXCETO LAJES. AF_12/2015</t>
  </si>
  <si>
    <t>CORTE E DOBRA DE AÇO CA-60, DIÂMETRO DE 5.0 MM, UTILIZADO EM LAJE. AF_ 12/2015</t>
  </si>
  <si>
    <t>CORTE E PREPARO DE CORDAO DE PEDRA PARA PAVIMENTO POLIEDRICO</t>
  </si>
  <si>
    <t>CORTE E PREPARO DE PEDRA PARA PAVIMENTO POLIEDRICO</t>
  </si>
  <si>
    <t>COTOVELO 45 GRAUS DE FERRO GALVANIZADO, COM ROSCA BSP, DE 1 1/2"</t>
  </si>
  <si>
    <t>COTOVELO 45 GRAUS DE FERRO GALVANIZADO, COM ROSCA BSP, DE 1 1/4"</t>
  </si>
  <si>
    <t>COTOVELO 45 GRAUS DE FERRO GALVANIZADO, COM ROSCA BSP, DE 1"</t>
  </si>
  <si>
    <t>COTOVELO 45 GRAUS DE FERRO GALVANIZADO, COM ROSCA BSP, DE 1/2"</t>
  </si>
  <si>
    <t>COTOVELO 45 GRAUS DE FERRO GALVANIZADO, COM ROSCA BSP, DE 2 1/2"</t>
  </si>
  <si>
    <t>COTOVELO 45 GRAUS DE FERRO GALVANIZADO, COM ROSCA BSP, DE 2"</t>
  </si>
  <si>
    <t>COTOVELO 45 GRAUS DE FERRO GALVANIZADO, COM ROSCA BSP, DE 3"</t>
  </si>
  <si>
    <t>COTOVELO 45 GRAUS DE FERRO GALVANIZADO, COM ROSCA BSP, DE 3/4"</t>
  </si>
  <si>
    <t>COTOVELO 45 GRAUS DE FERRO GALVANIZADO, COM ROSCA BSP, DE 4"</t>
  </si>
  <si>
    <t>COTOVELO 45 GRAUS, EM FERRO GALVANIZADO, CONEXÃO ROSQUEADA, DN 50 (2) , INSTALADO EM RESERVAÇÃO DE ÁGUA DE EDIFICAÇÃO QUE POSSUA RESERVATÓRI O DE FIBRA/FIBROCIMENTO  FORNECIMENTO E INSTALAÇÃO. AF_06/2016</t>
  </si>
  <si>
    <t>COTOVELO 45 GRAUS, EM FERRO GALVANIZADO, CONEXÃO ROSQUEADA, DN 65 (2 1 /2), INSTALADO EM RESERVAÇÃO DE ÁGUA DE EDIFICAÇÃO QUE POSSUA RESERVA TÓRIO DE FIBRA/FIBROCIMENTO  FORNECIMENTO E INSTALAÇÃO. AF_06/2016</t>
  </si>
  <si>
    <t>COTOVELO 45 GRAUS, EM FERRO GALVANIZADO, CONEXÃO ROSQUEADA, DN 80 (3) , INSTALADO EM RESERVAÇÃO DE ÁGUA DE EDIFICAÇÃO QUE POSSUA RESERVATÓRI O DE FIBRA/FIBROCIMENTO  FORNECIMENTO E INSTALAÇÃO. AF_06/2016</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</si>
  <si>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</si>
  <si>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</si>
  <si>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</si>
  <si>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</si>
  <si>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</si>
  <si>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</si>
  <si>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</si>
  <si>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t>
  </si>
  <si>
    <t>COTOVELO 90 GRAUS DE FERRO GALVANIZADO, COM ROSCA BSP MACHO/FEMEA, DE 1/2"</t>
  </si>
  <si>
    <t>COTOVELO 90 GRAUS DE FERRO GALVANIZADO, COM ROSCA BSP MACHO/FEMEA, DE 2 1/2"</t>
  </si>
  <si>
    <t>COTOVELO 90 GRAUS DE FERRO GALVANIZADO, COM ROSCA BSP MACHO/FEMEA, DE 2"</t>
  </si>
  <si>
    <t>COTOVELO 90 GRAUS DE FERRO GALVANIZADO, COM ROSCA BSP MACHO/FEMEA, DE 3"</t>
  </si>
  <si>
    <t>COTOVELO 90 GRAUS DE FERRO GALVANIZADO, COM ROSCA BSP MACHO/FEMEA, DE 3/4"</t>
  </si>
  <si>
    <t>COTOVELO 90 GRAUS DE FERRO GALVANIZADO, COM ROSCA BSP, DE 1 1/2"</t>
  </si>
  <si>
    <t>COTOVELO 90 GRAUS DE FERRO GALVANIZADO, COM ROSCA BSP, DE 1 1/4"</t>
  </si>
  <si>
    <t>COTOVELO 90 GRAUS DE FERRO GALVANIZADO, COM ROSCA BSP, DE 1"</t>
  </si>
  <si>
    <t>COTOVELO 90 GRAUS DE FERRO GALVANIZADO, COM ROSCA BSP, DE 1/2"</t>
  </si>
  <si>
    <t>COTOVELO 90 GRAUS DE FERRO GALVANIZADO, COM ROSCA BSP, DE 2 1/2"</t>
  </si>
  <si>
    <t>COTOVELO 90 GRAUS DE FERRO GALVANIZADO, COM ROSCA BSP, DE 2"</t>
  </si>
  <si>
    <t>COTOVELO 90 GRAUS DE FERRO GALVANIZADO, COM ROSCA BSP, DE 3"</t>
  </si>
  <si>
    <t>COTOVELO 90 GRAUS DE FERRO GALVANIZADO, COM ROSCA BSP, DE 3/4"</t>
  </si>
  <si>
    <t>COTOVELO 90 GRAUS DE FERRO GALVANIZADO, COM ROSCA BSP, DE 4"</t>
  </si>
  <si>
    <t>COTOVELO 90 GRAUS DE FERRO GALVANIZADO, COM ROSCA BSP, DE 5"</t>
  </si>
  <si>
    <t>COTOVELO 90 GRAUS DE FERRO GALVANIZADO, COM ROSCA BSP, DE 6"</t>
  </si>
  <si>
    <t>COTOVELO 90 GRAUS, EM FERRO GALVANIZADO, CONEXÃO ROSQUEADA, DN 50 (2) , INSTALADO EM RESERVAÇÃO DE ÁGUA DE EDIFICAÇÃO QUE POSSUA RESERVATÓRI O DE FIBRA/FIBROCIMENTO  FORNECIMENTO E INSTALAÇÃO. AF_06/2016</t>
  </si>
  <si>
    <t>COTOVELO 90 GRAUS, EM FERRO GALVANIZADO, CONEXÃO ROSQUEADA, DN 65 (2 1 /2), INSTALADO EM RESERVAÇÃO DE ÁGUA DE EDIFICAÇÃO QUE POSSUA RESERVA TÓRIO DE FIBRA/FIBROCIMENTO  FORNECIMENTO E INSTALAÇÃO. AF_06/2016</t>
  </si>
  <si>
    <t>COTOVELO 90 GRAUS, EM FERRO GALVANIZADO, CONEXÃO ROSQUEADA, DN 80 (3) , INSTALADO EM RESERVAÇÃO DE ÁGUA DE EDIFICAÇÃO QUE POSSUA RESERVATÓRI O DE FIBRA/FIBROCIMENTO  FORNECIMENTO E INSTALAÇÃO. AF_06/2016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</si>
  <si>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</si>
  <si>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</si>
  <si>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</si>
  <si>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</si>
  <si>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</si>
  <si>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</si>
  <si>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</si>
  <si>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</si>
  <si>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</si>
  <si>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</si>
  <si>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</si>
  <si>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</si>
  <si>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</si>
  <si>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</si>
  <si>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</si>
  <si>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</si>
  <si>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</si>
  <si>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COBRE, 90 GRAUS, SEM ANEL DE SOLDA, DN 15 MM, INSTALADO EM RAMAL DE DISTRIBUIÇÃO - FORNECIMENTO E INSTALAÇÃO. AF_12/2015_P</t>
  </si>
  <si>
    <t>COTOVELO DE COBRE, 90 GRAUS, SEM ANEL DE SOLDA, DN 15 MM, INSTALADO EM RAMAL E SUB-RAMAL - FORNECIMENTO E INSTALAÇÃO. AF_12/2015_P</t>
  </si>
  <si>
    <t>COTOVELO DE COBRE, 90 GRAUS, SEM ANEL DE SOLDA, DN 22 MM, INSTALADO EM PRUMADA - FORNECIMENTO E INSTALAÇÃO. AF_12/2015_P</t>
  </si>
  <si>
    <t>COTOVELO DE COBRE, 90 GRAUS, SEM ANEL DE SOLDA, DN 22 MM, INSTALADO EM RAMAL DE DISTRIBUIÇÃO - FORNECIMENTO E INSTALAÇÃO. AF_12/2015_P</t>
  </si>
  <si>
    <t>COTOVELO DE COBRE, 90 GRAUS, SEM ANEL DE SOLDA, DN 22 MM, INSTALADO EM RAMAL E SUB-RAMAL - FORNECIMENTO E INSTALAÇÃO. AF_12/2015_P</t>
  </si>
  <si>
    <t>COTOVELO DE COBRE, 90 GRAUS, SEM ANEL DE SOLDA, DN 28 MM, INSTALADO EM PRUMADA - FORNECIMENTO E INSTALAÇÃO. AF_12/2015_P</t>
  </si>
  <si>
    <t>COTOVELO DE COBRE, 90 GRAUS, SEM ANEL DE SOLDA, DN 28 MM, INSTALADO EM RAMAL DE DISTRIBUIÇÃO - FORNECIMENTO E INSTALAÇÃO. AF_12/2015_P</t>
  </si>
  <si>
    <t>COTOVELO DE COBRE, 90 GRAUS, SEM ANEL DE SOLDA, DN 28 MM, INSTALADO EM RAMAL E SUB-RAMAL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</si>
  <si>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</si>
  <si>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</si>
  <si>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</si>
  <si>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</si>
  <si>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COTOVELO EM BRONZE/LATÃO, 90 GRAUS, SEM ANEL DE SOLDA, BOLSA X ROSCA F , DN 15 MM X 1/2, INSTALADO EM RAMAL DE DISTRIBUIÇÃO   FORNECIMENTO E INSTALAÇÃO. AF_01/2016_P</t>
  </si>
  <si>
    <t>COTOVELO EM BRONZE/LATÃO, 90 GRAUS, SEM ANEL DE SOLDA, BOLSA X ROSCA F , DN 15 MM X 1/2, INSTALADO EM RAMAL E SUB-RAMAL   FORNECIMENTO E INS TALAÇÃO. AF_01/2016_P</t>
  </si>
  <si>
    <t>COTOVELO EM BRONZE/LATÃO, 90 GRAUS, SEM ANEL DE SOLDA, BOLSA X ROSCA F , DN 22 MM X 1/2, INSTALADO EM PRUMADA   FORNECIMENTO E INSTALAÇÃO. A F_01/2016_P</t>
  </si>
  <si>
    <t>COTOVELO EM BRONZE/LATÃO, 90 GRAUS, SEM ANEL DE SOLDA, BOLSA X ROSCA F , DN 22 MM X 1/2, INSTALADO EM RAMAL DE DISTRIBUIÇÃO   FORNECIMENTO E INSTALAÇÃO. AF_01/2016_P</t>
  </si>
  <si>
    <t>COTOVELO EM BRONZE/LATÃO, 90 GRAUS, SEM ANEL DE SOLDA, BOLSA X ROSCA F , DN 22 MM X 1/2, INSTALADO EM RAMAL E SUB-RAMAL   FORNECIMENTO E INS TALAÇÃO. AF_01/2016_P</t>
  </si>
  <si>
    <t>COTOVELO EM BRONZE/LATÃO, 90 GRAUS, SEM ANEL DE SOLDA, BOLSA X ROSCA F , DN 22 MM X 3/4, INSTALADO EM PRUMADA   FORNECIMENTO E INSTALAÇÃO. A F_01/2016_P</t>
  </si>
  <si>
    <t>COTOVELO EM BRONZE/LATÃO, 90 GRAUS, SEM ANEL DE SOLDA, BOLSA X ROSCA F , DN 22 MM X 3/4, INSTALADO EM RAMAL DE DISTRIBUIÇÃO   FORNECIMENTO E INSTALAÇÃO. AF_01/2016_P</t>
  </si>
  <si>
    <t>COTOVELO EM BRONZE/LATÃO, 90 GRAUS, SEM ANEL DE SOLDA, BOLSA X ROSCA F , DN 22 MM X 3/4, INSTALADO EM RAMAL E SUB-RAMAL   FORNECIMENTO E INS TALAÇÃO. AF_01/2016_P</t>
  </si>
  <si>
    <t>COTOVELO EM COBRE, 90 GRAUS, SEM ANEL DE SOLDA, DN 104 MM, INSTALADO E M RESERVAÇÃO DE ÁGUA DE EDIFICAÇÃO QUE POSSUA RESERVATÓRIO DE FIBRA/FI BROCIMENTO  FORNECIMENTO E INSTALAÇÃO. AF_06/2016_P</t>
  </si>
  <si>
    <t>COTOVELO EM COBRE, 90 GRAUS, SEM ANEL DE SOLDA, DN 54 MM, INSTALADO EM RESERVAÇÃO DE ÁGUA DE EDIFICAÇÃO QUE POSSUA RESERVATÓRIO DE FIBRA/FIB ROCIMENTO  FORNECIMENTO E INSTALAÇÃO. AF_06/2016_P</t>
  </si>
  <si>
    <t>COTOVELO EM COBRE, 90 GRAUS, SEM ANEL DE SOLDA, DN 66 MM, INSTALADO EM RESERVAÇÃO DE ÁGUA DE EDIFICAÇÃO QUE POSSUA RESERVATÓRIO DE FIBRA/FIB ROCIMENTO  FORNECIMENTO E INSTALAÇÃO. AF_06/2016[_P</t>
  </si>
  <si>
    <t>COTOVELO EM COBRE, 90 GRAUS, SEM ANEL DE SOLDA, DN 79 MM, INSTALADO EM RESERVAÇÃO DE ÁGUA DE EDIFICAÇÃO QUE POSSUA RESERVATÓRIO DE FIBRA/FIB ROCIMENTO  FORNECIMENTO E INSTALAÇÃO. AF_06/2016_P</t>
  </si>
  <si>
    <t>COTOVELO/JOELHO 90 GRAUS, EM POLIPROPILENO, PN 16, PARA TUBOS PEAD, 20 X 20 MM - LIGACAO PREDIAL DE AGUA</t>
  </si>
  <si>
    <t>COTOVELO/JOELHO 90 GRAUS, EM POLIPROPILENO, PN 16, PARA TUBOS PEAD, 32 X 32 MM - LIGACAO PREDIAL DE AGUA</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</si>
  <si>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</si>
  <si>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</si>
  <si>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</si>
  <si>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CREMONA COM CASTANHA BIPARTIDA, COM VARA DE 1.20 M, EM LATAO CROMADO, PARA PORTAS E JANELAS - COMPLETA</t>
  </si>
  <si>
    <t>CREMONA COM CASTANHA BIPARTIDA, COM VARA DE 1.50 M, EM LATAO CROMADO, PARA PORTAS E JANELAS - COMPLETA</t>
  </si>
  <si>
    <t>CREMONA EM LATAO CROMADO OU POLIDO, COMPLETA, COM VARA H=1,50M</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</si>
  <si>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</si>
  <si>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</si>
  <si>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</si>
  <si>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</si>
  <si>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</si>
  <si>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t>
  </si>
  <si>
    <t>CRUZETA DE FERRO GALVANIZADO, COM ROSCA BSP, DE 1/2"</t>
  </si>
  <si>
    <t>CRUZETA DE FERRO GALVANIZADO, COM ROSCA BSP, DE 2 1/2"</t>
  </si>
  <si>
    <t>CRUZETA DE FERRO GALVANIZADO, COM ROSCA BSP, DE 2"</t>
  </si>
  <si>
    <t>CRUZETA DE FERRO GALVANIZADO, COM ROSCA BSP, DE 3"</t>
  </si>
  <si>
    <t>CRUZETA DE FERRO GALVANIZADO, COM ROSCA BSP, DE 3/4"</t>
  </si>
  <si>
    <t>CRUZETA DE REDUCAO PVC PBA, JE, BBBB, DN 75 X 50 / DE 85 X 60 MM (NBR 5647)</t>
  </si>
  <si>
    <t>CRUZETA PARA ESCORA METALICA (LOCACAO)</t>
  </si>
  <si>
    <t>CRUZETA PVC PBA, JE, BBBB, DN 100 / DE 110 MM (NBR 5647)</t>
  </si>
  <si>
    <t>CRUZETA PVC PBA, JE, BBBB, DN 50 / DE 60 MM (NBR 5647)</t>
  </si>
  <si>
    <t>CRUZETA PVC PBA, JE, BBBB, DN 75 / DE 85 MM (NBR 5647)</t>
  </si>
  <si>
    <t>CUBA ACO INOX (AISI 304) DE EMBUTIR COM VALVULA 3 1/2 ", DE *40 X 34 X 12* CM</t>
  </si>
  <si>
    <t>CUBA ACO INOX (AISI 304) DE EMBUTIR COM VALVULA 3 1/2 ", DE *46 X 30 X 12* CM</t>
  </si>
  <si>
    <t>CUBA ACO INOX (AISI 304) DE EMBUTIR COM VALVULA DE 3 1/2 ", DE *56 X 33 X 12* CM</t>
  </si>
  <si>
    <t>CUBA DE EMBUTIR DE AÇO INOXIDÁVEL MÉDIA - FORNECIMENTO E INSTALAÇÃO. A F_12/2013</t>
  </si>
  <si>
    <t>CUBA DE EMBUTIR DE AÇO INOXIDÁVEL MÉDIA, INCLUSO VÁLVULA TIPO AMERICAN A E SIFÃO TIPO GARRAFA EM METAL CROMADO - FORNECIMENTO E INSTALAÇÃO. A F_12/2013</t>
  </si>
  <si>
    <t>CUBA DE EMBUTIR DE AÇO INOXIDÁVEL MÉDIA, INCLUSO VÁLVULA TIPO AMERICAN A EM METAL CROMADO E SIFÃO FLEXÍVEL EM PVC - FORNECIMENTO E INSTALAÇÃO . AF_12/2013</t>
  </si>
  <si>
    <t>CUBA DE EMBUTIR OVAL EM LOUÇA BRANCA, 35 X 50CM OU EQUIVALENTE - FORNE CIMENTO E INSTALAÇÃO. AF_12/2013</t>
  </si>
  <si>
    <t>CUBA DE EMBUTIR OVAL EM LOUÇA BRANCA, 35 X 50CM OU EQUIVALENTE, INCLUS O VÁLVULA E SIFÃO TIPO GARRAFA EM METAL CROMADO - FORNECIMENTO E INSTA LAÇÃO. AF_12/2013</t>
  </si>
  <si>
    <t>CUBA DE EMBUTIR OVAL EM LOUÇA BRANCA, 35 X 50CM OU EQUIVALENTE, INCLUS O VÁLVULA EM METAL CROMADO E SIFÃO FLEXÍVEL EM PVC - FORNECIMENTO E IN STALAÇÃO. AF_12/2013</t>
  </si>
  <si>
    <t>CUMEEIRA ALUMINIO ONDULADA, COMPRIMENTO = *1,12* M, E = 0,8 MM</t>
  </si>
  <si>
    <t>CUMEEIRA ARTICULADA (ABA INFERIOR) PARA TELHA ESTRUTURAL DE FIBROCIMENTO 1 ABA, E = 6 MM (SEM AMIANTO)</t>
  </si>
  <si>
    <t>CUMEEIRA ARTICULADA (ABA INFERIOR) PARA TELHA ONDULADA DE FIBROCIMENTO E = 4 MM, ABA *330* MM, COMPRIMENTO 500 MM (SEM AMIANTO)</t>
  </si>
  <si>
    <t>CUMEEIRA ARTICULADA (ABA SUPERIOR) PARA TELHA ONDULADA DE FIBROCIMENTO E = 4 MM, ABA *330* MM, COMPRIMENTO 500 MM (SEM AMIANTO)</t>
  </si>
  <si>
    <t>CUMEEIRA ARTICULADA (PAR) PARA TELHA ONDULADA DE FIBROCIMENTO, E = 6 MM, ABA 350 MM, COMPRIMENTO 1100 MM (SEM AMIANTO)</t>
  </si>
  <si>
    <t>CUMEEIRA E ESPIGÃO PARA TELHA CERÂMICA EMBOÇADA COM ARGAMASSA TRAÇO 1: 2:9 (CIMENTO, CAL E AREIA), PARA TELHADOS COM MAIS DE 2 ÁGUAS, INCLUSO TRANSPORTE VERTICAL. AF_06/2016</t>
  </si>
  <si>
    <t>CUMEEIRA E ESPIGÃO PARA TELHA DE CONCRETO EMBOÇADA COM ARGAMASSA TRAÇO 1:2:9 (CIMENTO, CAL E AREIA), PARA TELHADOS COM MAIS DE 2 ÁGUAS, INCL USO TRANSPORTE VERTICAL. AF_06/2016</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</si>
  <si>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</si>
  <si>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</si>
  <si>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</si>
  <si>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CERÂMICA EMBOÇADA COM ARGAMASSA TRAÇO 1:2:9 (CIMEN TO, CAL E AREIA) PARA TELHADOS COM ATÉ 2 ÁGUAS, INCLUSO TRANSPORTE VER TICAL. AF_06/2016</t>
  </si>
  <si>
    <t>CUMEEIRA PARA TELHA CERAMICA, COMPRIMENTO DE *41* CM, RENDIMENTO DE *3* TELHAS/M</t>
  </si>
  <si>
    <t>CUMEEIRA PARA TELHA DE CONCRETO EMBOÇADA COM ARGAMASSA TRAÇO 1:2:9 (CI MENTO, CAL E AREIA) PARA TELHADOS COM ATÉ 2 ÁGUAS, INCLUSO TRANSPORTE VERTICAL. AF_06/2016</t>
  </si>
  <si>
    <t>CUMEEIRA PARA TELHA DE CONCRETO, PARA 2 AGUAS DE TELHADO, COR CINZA, RENDIMENTO DE *3* TELHAS/M (COLETADO CAIXA)</t>
  </si>
  <si>
    <t>CUMEEIRA PARA TELHA DE FIBROCIMENTO ESTRUTURAL E = 6 MM, INCLUSO ACESS ÓRIOS DE FIXAÇÃO E IÇAMENTO. AF_06/2016</t>
  </si>
  <si>
    <t>CUMEEIRA PARA TELHA DE FIBROCIMENTO ONDULADA E = 6 MM, INCLUSO ACESSÓR IOS DE FIXAÇÃO E IÇAMENTO. AF_06/2016</t>
  </si>
  <si>
    <t>CUMEEIRA SHED PARA TELHA ONDULADA DE FIBROCIMENTO, E = 6 MM, ABA 280 MM, COMPRIMENTO 1100 MM (SEM AMIANTO)</t>
  </si>
  <si>
    <t>CUMEEIRA TIPO SHED PARA TELHA DE FIBROCIMENTO ONDULADA, INCLUSO JUNTAS DE VEDACAO E ACESSORIOS DE FIXACAO</t>
  </si>
  <si>
    <t>CUMEEIRA UNIVERSAL PARA TELHA ONDULADA DE FIBROCIMENTO, E = 6 MM, ABA 210 MM, COMPRIMENTO 1100 MM (SEM AMIANTO)</t>
  </si>
  <si>
    <t>CURSO DE CAPACITAÇÃO (AJUDANTE DE ARMADOR) - HORISTA</t>
  </si>
  <si>
    <t>CURSO DE CAPACITAÇÃO (AJUDANTE DE CARPINTEIRO) - HORISTA</t>
  </si>
  <si>
    <t>CURSO DE CAPACITAÇÃO (AJUDANTE DE ESTRUTURA METÁLICA) - HORISTA</t>
  </si>
  <si>
    <t>CURSO DE CAPACITAÇÃO (AJUDANTE DE OPERAÇÃO EM GERAL) - HORISTA</t>
  </si>
  <si>
    <t>CURSO DE CAPACITAÇÃO (AJUDANTE DE PEDREIRO) - HORISTA</t>
  </si>
  <si>
    <t>CURSO DE CAPACITAÇÃO (AJUDANTE ESPECIALIZADO) - HORISTA</t>
  </si>
  <si>
    <t>CURSO DE CAPACITAÇÃO (ALMOXARIFE) - HORISTA</t>
  </si>
  <si>
    <t>CURSO DE CAPACITAÇÃO (ALMOXARIFE) - MENSALISTA</t>
  </si>
  <si>
    <t>CURSO DE CAPACITAÇÃO (APONTADOR OU APROPRIADOR) - HORISTA</t>
  </si>
  <si>
    <t>CURSO DE CAPACITAÇÃO (APONTADOR OU APROPRIADOR) - MENSALISTA</t>
  </si>
  <si>
    <t>CURSO DE CAPACITAÇÃO (ARMADOR) - HORISTA</t>
  </si>
  <si>
    <t>CURSO DE CAPACITAÇÃO (ARQUITETO DE OBRA JÚNIOR) - HORISTA</t>
  </si>
  <si>
    <t>CURSO DE CAPACITAÇÃO (ARQUITETO DE OBRA PLENO) - HORISTA</t>
  </si>
  <si>
    <t>CURSO DE CAPACITAÇÃO (ARQUITETO DE OBRA SÊNIOR) - HORISTA</t>
  </si>
  <si>
    <t>CURSO DE CAPACITAÇÃO (ARQUITETO JÚNIOR) - MENSALISTA</t>
  </si>
  <si>
    <t>CURSO DE CAPACITAÇÃO (ARQUITETO PLENO) - MENSALISTA</t>
  </si>
  <si>
    <t>CURSO DE CAPACITAÇÃO (ARQUITETO SÊNIOR) - MENSALISTA</t>
  </si>
  <si>
    <t>CURSO DE CAPACITAÇÃO (ASSENTADOR DE TUBOS) - HORISTA</t>
  </si>
  <si>
    <t>CURSO DE CAPACITAÇÃO (AUXILIAR DE DESENHISTA) - HORISTA</t>
  </si>
  <si>
    <t>CURSO DE CAPACITAÇÃO (AUXILIAR DE DESENHISTA) - MENSALISTA</t>
  </si>
  <si>
    <t>CURSO DE CAPACITAÇÃO (AUXILIAR DE ELETRICISTA) - HORISTA</t>
  </si>
  <si>
    <t>CURSO DE CAPACITAÇÃO (AUXILIAR DE ENCANADOR OU BOMBEIRO HIDRÁULICO) -</t>
  </si>
  <si>
    <t>CURSO DE CAPACITAÇÃO (AUXILIAR DE ESCRITÓRIO) - HORISTA</t>
  </si>
  <si>
    <t>CURSO DE CAPACITAÇÃO (AUXILIAR DE ESCRITÓRIO) - MENSALISTA</t>
  </si>
  <si>
    <t>CURSO DE CAPACITAÇÃO (AUXILIAR DE LABORATÓRIO) - HORISTA</t>
  </si>
  <si>
    <t>CURSO DE CAPACITAÇÃO (AUXILIAR DE MECÂNICO) - HORISTA</t>
  </si>
  <si>
    <t>CURSO DE CAPACITAÇÃO (AUXILIAR DE SERRALHEIRO) - HORISTA</t>
  </si>
  <si>
    <t>CURSO DE CAPACITAÇÃO (AUXILIAR DE SERVIÇOS GERAIS) - HORISTA</t>
  </si>
  <si>
    <t>CURSO DE CAPACITAÇÃO (AUXILIAR DE TOPÓGRAFO) - HORISTA</t>
  </si>
  <si>
    <t>CURSO DE CAPACITAÇÃO (AUXILIAR TÉCNICO DE ENGENHARIA) - HORISTA</t>
  </si>
  <si>
    <t>CURSO DE CAPACITAÇÃO (AZULEJISTA OU LADRILHISTA) - HORISTA</t>
  </si>
  <si>
    <t>CURSO DE CAPACITAÇÃO (BLASTER, DINAMITADOR OU CABO DE FOGO) - HORISTA</t>
  </si>
  <si>
    <t>CURSO DE CAPACITAÇÃO (CADASTRISTA DE USUÁRIOS) - HORISTA</t>
  </si>
  <si>
    <t>CURSO DE CAPACITAÇÃO (CALAFETADOR/CALAFATE) - HORISTA</t>
  </si>
  <si>
    <t>CURSO DE CAPACITAÇÃO (CALCETEIRO) - HORISTA</t>
  </si>
  <si>
    <t>CURSO DE CAPACITAÇÃO (CARPINTEIRO DE ESQUADRIA) - HORISTA</t>
  </si>
  <si>
    <t>CURSO DE CAPACITAÇÃO (CARPINTEIRO DE FÔRMAS) - HORISTA</t>
  </si>
  <si>
    <t>CURSO DE CAPACITAÇÃO (CAVOUQUEIRO OU OPERADOR PERFURATRIZ/ROMPEDOR) -</t>
  </si>
  <si>
    <t>CURSO DE CAPACITAÇÃO (DESENHISTA COPISTA) - HORISTA</t>
  </si>
  <si>
    <t>CURSO DE CAPACITAÇÃO (DESENHISTA COPISTA) - MENSALISTA</t>
  </si>
  <si>
    <t>CURSO DE CAPACITAÇÃO (DESENHISTA DETALHISTA) - HORISTA</t>
  </si>
  <si>
    <t>CURSO DE CAPACITAÇÃO (DESENHISTA DETALHISTA) - MENSALISTA</t>
  </si>
  <si>
    <t>CURSO DE CAPACITAÇÃO (DESENHISTA PROJETISTA) - HORISTA</t>
  </si>
  <si>
    <t>CURSO DE CAPACITAÇÃO (DESENHISTA PROJETISTA) - MENSALISTA</t>
  </si>
  <si>
    <t>CURSO DE CAPACITAÇÃO (ELETRICISTA INDUSTRIAL) - HORISTA</t>
  </si>
  <si>
    <t>CURSO DE CAPACITAÇÃO (ELETRICISTA) - HORISTA</t>
  </si>
  <si>
    <t>CURSO DE CAPACITAÇÃO (ELETROTÉCNICO) - HORISTA</t>
  </si>
  <si>
    <t>CURSO DE CAPACITAÇÃO (ENCANADOR OU BOMBEIRO HIDRÁULICO) - HORISTA</t>
  </si>
  <si>
    <t>CURSO DE CAPACITAÇÃO (ENCARREGADO GERAL DE OBRAS) - MENSALISTA</t>
  </si>
  <si>
    <t>CURSO DE CAPACITAÇÃO (ENCARREGADO GERAL) - HORISTA</t>
  </si>
  <si>
    <t>CURSO DE CAPACITAÇÃO (ENGENHEIRO CIVIL DE OBRA JÚNIOR) - HORISTA</t>
  </si>
  <si>
    <t>CURSO DE CAPACITAÇÃO (ENGENHEIRO CIVIL DE OBRA JÚNIOR) - MENSALISTA</t>
  </si>
  <si>
    <t>CURSO DE CAPACITAÇÃO (ENGENHEIRO CIVIL DE OBRA PLENO) - HORISTA</t>
  </si>
  <si>
    <t>CURSO DE CAPACITAÇÃO (ENGENHEIRO CIVIL DE OBRA PLENO) - MENSALISTA</t>
  </si>
  <si>
    <t>CURSO DE CAPACITAÇÃO (ENGENHEIRO CIVIL DE OBRA SÊNIOR) - HORISTA</t>
  </si>
  <si>
    <t>CURSO DE CAPACITAÇÃO (ENGENHEIRO CIVIL DE OBRA SÊNIOR) - MENSALISTA</t>
  </si>
  <si>
    <t>CURSO DE CAPACITAÇÃO (ENGENHEIRO ELETRICISTA) - HORISTA</t>
  </si>
  <si>
    <t>CURSO DE CAPACITAÇÃO (ESTUCADOR) - HORISTA</t>
  </si>
  <si>
    <t>CURSO DE CAPACITAÇÃO (GESSEIRO) - HORISTA</t>
  </si>
  <si>
    <t>CURSO DE CAPACITAÇÃO (IMPERMEABILIZADOR) - HORISTA</t>
  </si>
  <si>
    <t>CURSO DE CAPACITAÇÃO (JARDINEIRO) - HORISTA</t>
  </si>
  <si>
    <t>CURSO DE CAPACITAÇÃO (MAÇARIQUEIRO) - HORISTA</t>
  </si>
  <si>
    <t>CURSO DE CAPACITAÇÃO (MARCENEIRO) - HORISTA</t>
  </si>
  <si>
    <t>CURSO DE CAPACITAÇÃO (MARMORISTA/GRANITEIRO) - HORISTA</t>
  </si>
  <si>
    <t>CURSO DE CAPACITAÇÃO (MECÂNICO DE EQUIPAMENTOS PESADOS) - HORISTA</t>
  </si>
  <si>
    <t>CURSO DE CAPACITAÇÃO (MESTRE DE OBRAS) - HORISTA</t>
  </si>
  <si>
    <t>CURSO DE CAPACITAÇÃO (MESTRE DE OBRAS) - MENSALISTA</t>
  </si>
  <si>
    <t>CURSO DE CAPACITAÇÃO (MONTADOR (TUBO AÇO/EQUIPAMENTOS)) - HORISTA</t>
  </si>
  <si>
    <t>CURSO DE CAPACITAÇÃO (MONTADOR DE ESTRUTURA METÁLICA) - HORISTA</t>
  </si>
  <si>
    <t>CURSO DE CAPACITAÇÃO (MONTADOR ELETROMECÂNICO) - HORISTA</t>
  </si>
  <si>
    <t>CURSO DE CAPACITAÇÃO (MOTORISTA DE BASCULANTE) - HORISTA</t>
  </si>
  <si>
    <t>CURSO DE CAPACITAÇÃO (MOTORISTA DE CAMINHÃO E CARRETA) - HORISTA</t>
  </si>
  <si>
    <t>CURSO DE CAPACITAÇÃO (MOTORISTA DE CAMINHÃO) - HORISTA</t>
  </si>
  <si>
    <t>CURSO DE CAPACITAÇÃO (MOTORISTA DE CAMINHÃO) - MENSALISTA</t>
  </si>
  <si>
    <t>CURSO DE CAPACITAÇÃO (MOTORISTA DE VEÍCULO PESADO) - HORISTA</t>
  </si>
  <si>
    <t>CURSO DE CAPACITAÇÃO (MOTORISTA DE VEIÍCULO LEVE) - HORISTA</t>
  </si>
  <si>
    <t>CURSO DE CAPACITAÇÃO (MOTORISTA OPERADOR DE MUNCK) - HORISTA</t>
  </si>
  <si>
    <t>CURSO DE CAPACITAÇÃO (NIVELADOR) - HORISTA</t>
  </si>
  <si>
    <t>CURSO DE CAPACITAÇÃO (OPERADOR DE ACABADORA) - HORISTA</t>
  </si>
  <si>
    <t>CURSO DE CAPACITAÇÃO (OPERADOR DE BETONEIRA (CAMINHÃO)) - HORISTA</t>
  </si>
  <si>
    <t>CURSO DE CAPACITAÇÃO (OPERADOR DE BETONEIRA ESTACIONÁRIA/MISTURADOR) -</t>
  </si>
  <si>
    <t>CURSO DE CAPACITAÇÃO (OPERADOR DE COMPRESSOR OU COMPRESSORISTA) - HORI</t>
  </si>
  <si>
    <t>CURSO DE CAPACITAÇÃO (OPERADOR DE DEMARCADORA DE FAIXAS) - HORISTA</t>
  </si>
  <si>
    <t>CURSO DE CAPACITAÇÃO (OPERADOR DE ESCAVADEIRA) - HORISTA</t>
  </si>
  <si>
    <t>CURSO DE CAPACITAÇÃO (OPERADOR DE GUINCHO) - HORISTA</t>
  </si>
  <si>
    <t>CURSO DE CAPACITAÇÃO (OPERADOR DE GUINDASTE) - HORISTA</t>
  </si>
  <si>
    <t>CURSO DE CAPACITAÇÃO (OPERADOR DE MÁQUINAS E EQUIPAMENTOS) - HORISTA</t>
  </si>
  <si>
    <t>CURSO DE CAPACITAÇÃO (OPERADOR DE MARTELETE OU MARTELETEIRO) - HORISTA</t>
  </si>
  <si>
    <t>CURSO DE CAPACITAÇÃO (OPERADOR DE MOTO-ESCREIPER) - HORISTA</t>
  </si>
  <si>
    <t>CURSO DE CAPACITAÇÃO (OPERADOR DE MOTONIVELADORA) - HORISTA</t>
  </si>
  <si>
    <t>CURSO DE CAPACITAÇÃO (OPERADOR DE PÁ CARREGADEIRA) - HORISTA</t>
  </si>
  <si>
    <t>CURSO DE CAPACITAÇÃO (OPERADOR DE PAVIMENTADORA) - HORISTA</t>
  </si>
  <si>
    <t>CURSO DE CAPACITAÇÃO (OPERADOR DE ROLO COMPACTADOR) - HORISTA</t>
  </si>
  <si>
    <t>CURSO DE CAPACITAÇÃO (OPERADOR DE USINA DE ASFALTO, DE SOLOS OU DE CON</t>
  </si>
  <si>
    <t>CURSO DE CAPACITAÇÃO (OPERADOR JATO DE AREIA OU JATISTA) - HORISTA</t>
  </si>
  <si>
    <t>CURSO DE CAPACITAÇÃO (OPERADOR PARA BATE ESTACAS) - HORISTA</t>
  </si>
  <si>
    <t>CURSO DE CAPACITAÇÃO (PASTILHEIRO) - HORISTA</t>
  </si>
  <si>
    <t>CURSO DE CAPACITAÇÃO (PEDREIRO) - HORISTA</t>
  </si>
  <si>
    <t>CURSO DE CAPACITAÇÃO (PINTOR DE LETREIROS) - HORISTA</t>
  </si>
  <si>
    <t>CURSO DE CAPACITAÇÃO (PINTOR PARA TINTA EPÓXI) - HORISTA</t>
  </si>
  <si>
    <t>CURSO DE CAPACITAÇÃO (PINTOR) - HORISTA</t>
  </si>
  <si>
    <t>CURSO DE CAPACITAÇÃO (POCEIRO) - HORISTA</t>
  </si>
  <si>
    <t>CURSO DE CAPACITAÇÃO (RASTELEIRO) - HORISTA</t>
  </si>
  <si>
    <t>CURSO DE CAPACITAÇÃO (SERRALHEIRO) - HORISTA</t>
  </si>
  <si>
    <t>CURSO DE CAPACITAÇÃO (SERVENTE) - HORISTA</t>
  </si>
  <si>
    <t>CURSO DE CAPACITAÇÃO (SOLDADOR A (PARA SOLDA A SER TESTADA COM RAIOS</t>
  </si>
  <si>
    <t>CURSO DE CAPACITAÇÃO (SOLDADOR) - HORISTA</t>
  </si>
  <si>
    <t>CURSO DE CAPACITAÇÃO (SONDADOR) - HORISTA</t>
  </si>
  <si>
    <t>CURSO DE CAPACITAÇÃO (TAQUEADOR OU TAQUEIRO) - HORISTA</t>
  </si>
  <si>
    <t>CURSO DE CAPACITAÇÃO (TÉCNICO DE LABORATÓRIO) - HORISTA</t>
  </si>
  <si>
    <t>CURSO DE CAPACITAÇÃO (TÉCNICO DE SONDAGEM) - HORISTA</t>
  </si>
  <si>
    <t>CURSO DE CAPACITAÇÃO (TELHADISTA) - HORISTA</t>
  </si>
  <si>
    <t>CURSO DE CAPACITAÇÃO (TOPÓGRAFO) - HORISTA</t>
  </si>
  <si>
    <t>CURSO DE CAPACITAÇÃO (TOPÓGRAFO) - MENSALISTA</t>
  </si>
  <si>
    <t>CURSO DE CAPACITAÇÃO (TRATORISTA) - HORISTA</t>
  </si>
  <si>
    <t>CURSO DE CAPACITAÇÃO (VIDRACEIRO) - HORISTA</t>
  </si>
  <si>
    <t>CURSO DE CAPACITAÇÃO (VIGIA NOTURNO) - HORISTA</t>
  </si>
  <si>
    <t>CURVA 135 GRAUS PARA ELETRODUTO, PVC, ROSCÁVEL, DN 110 MM (4") - FORNE CIMENTO E INSTALAÇÃO. AF_12/2015</t>
  </si>
  <si>
    <t>CURVA 135 GRAUS PARA ELETRODUTO, PVC, ROSCÁVEL, DN 20 MM (1/2"), PARA CIRCUITOS TERMINAIS, INSTALADA EM FORRO - FORNECIMENTO E INSTALAÇÃO. A F_12/2015</t>
  </si>
  <si>
    <t>CURVA 135 GRAUS PARA ELETRODUTO, PVC, ROSCÁVEL, DN 20 MM (1/2"), PARA CIRCUITOS TERMINAIS, INSTALADA EM LAJE - FORNECIMENTO E INSTALAÇÃO. AF _12/2015</t>
  </si>
  <si>
    <t>CURVA 135 GRAUS PARA ELETRODUTO, PVC, ROSCÁVEL, DN 20 MM (1/2"), PARA CIRCUITOS TERMINAIS, INSTALADA EM PAREDE - FORNECIMENTO E INSTALAÇÃO. AF_12/2015</t>
  </si>
  <si>
    <t>CURVA 135 GRAUS PARA ELETRODUTO, PVC, ROSCÁVEL, DN 32 MM (1"), PARA CI RCUITOS TERMINAIS, INSTALADA EM FORRO - FORNECIMENTO E INSTALAÇÃO. AF_ 12/2015</t>
  </si>
  <si>
    <t>CURVA 135 GRAUS PARA ELETRODUTO, PVC, ROSCÁVEL, DN 32 MM (1"), PARA CI RCUITOS TERMINAIS, INSTALADA EM LAJE - FORNECIMENTO E INSTALAÇÃO. AF_1 2/2015</t>
  </si>
  <si>
    <t>CURVA 135 GRAUS PARA ELETRODUTO, PVC, ROSCÁVEL, DN 32 MM (1"), PARA CI RCUITOS TERMINAIS, INSTALADA EM PAREDE - FORNECIMENTO E INSTALAÇÃO. AF _12/2015</t>
  </si>
  <si>
    <t>CURVA 135 GRAUS PARA ELETRODUTO, PVC, ROSCÁVEL, DN 40 MM (1 1/4"), PAR A CIRCUITOS TERMINAIS, INSTALADA EM FORRO - FORNECIMENTO E INSTALAÇÃO. AF_12/2015</t>
  </si>
  <si>
    <t>CURVA 135 GRAUS PARA ELETRODUTO, PVC, ROSCÁVEL, DN 40 MM (1 1/4"), PAR A CIRCUITOS TERMINAIS, INSTALADA EM LAJE - FORNECIMENTO E INSTALAÇÃO. AF_12/2015</t>
  </si>
  <si>
    <t>CURVA 135 GRAUS PARA ELETRODUTO, PVC, ROSCÁVEL, DN 40 MM (1 1/4"), PAR A CIRCUITOS TERMINAIS, INSTALADA EM PAREDE - FORNECIMENTO E INSTALAÇÃO . AF_12/2015</t>
  </si>
  <si>
    <t>CURVA 135 GRAUS PARA ELETRODUTO, PVC, ROSCÁVEL, DN 50 MM (1 1/2") - FO RNECIMENTO E INSTALAÇÃO. AF_12/2015</t>
  </si>
  <si>
    <t>CURVA 135 GRAUS PARA ELETRODUTO, PVC, ROSCÁVEL, DN 60 MM (2") - FORNEC IMENTO E INSTALAÇÃO. AF_12/2015</t>
  </si>
  <si>
    <t>CURVA 135 GRAUS PARA ELETRODUTO, PVC, ROSCÁVEL, DN 75 MM (2 1/2") - FO RNECIMENTO E INSTALAÇÃO. AF_12/2015</t>
  </si>
  <si>
    <t>CURVA 135 GRAUS PARA ELETRODUTO, PVC, ROSCÁVEL, DN 85 MM (3") - FORNEC IMENTO E INSTALAÇÃO. AF_12/2015</t>
  </si>
  <si>
    <t>CURVA 135 GRAUS, DE PVC RIGIDO ROSCAVEL, DE 3/4, PARA ELETRODUTO</t>
  </si>
  <si>
    <t>CURVA 180 GRAUS PARA ELETRODUTO, PVC, ROSCÁVEL, DN 25 MM (3/4"), PARA CIRCUITOS TERMINAIS, INSTALADA EM FORRO - FORNECIMENTO E INSTALAÇÃO. A F_12/2015</t>
  </si>
  <si>
    <t>CURVA 180 GRAUS PARA ELETRODUTO, PVC, ROSCÁVEL, DN 25 MM (3/4"), PARA CIRCUITOS TERMINAIS, INSTALADA EM LAJE - FORNECIMENTO E INSTALAÇÃO. AF _12/2015</t>
  </si>
  <si>
    <t>CURVA 180 GRAUS PARA ELETRODUTO, PVC, ROSCÁVEL, DN 25 MM (3/4"), PARA CIRCUITOS TERMINAIS, INSTALADA EM PAREDE - FORNECIMENTO E INSTALAÇÃO. AF_12/2015</t>
  </si>
  <si>
    <t>CURVA 180 GRAUS, DE PVC RIGIDO ROSCAVEL, DE 1 1/2", PARA ELETRODUTO</t>
  </si>
  <si>
    <t>CURVA 180 GRAUS, DE PVC RIGIDO ROSCAVEL, DE 1 1/4", PARA ELETRODUTO</t>
  </si>
  <si>
    <t>CURVA 180 GRAUS, DE PVC RIGIDO ROSCAVEL, DE 1", PARA ELETRODUTO</t>
  </si>
  <si>
    <t>CURVA 180 GRAUS, DE PVC RIGIDO ROSCAVEL, DE 1/2",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</si>
  <si>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</si>
  <si>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</si>
  <si>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</si>
  <si>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</si>
  <si>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</si>
  <si>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</si>
  <si>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</si>
  <si>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</si>
  <si>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</si>
  <si>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</si>
  <si>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</si>
  <si>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t>
  </si>
  <si>
    <t>CURVA 45 GRAUS DE FERRO GALVANIZADO, COM ROSCA BSP FEMEA, DE 1/2"</t>
  </si>
  <si>
    <t>CURVA 45 GRAUS DE FERRO GALVANIZADO, COM ROSCA BSP FEMEA, DE 2 1/2"</t>
  </si>
  <si>
    <t>CURVA 45 GRAUS DE FERRO GALVANIZADO, COM ROSCA BSP FEMEA, DE 2"</t>
  </si>
  <si>
    <t>CURVA 45 GRAUS DE FERRO GALVANIZADO, COM ROSCA BSP FEMEA, DE 3"</t>
  </si>
  <si>
    <t>CURVA 45 GRAUS DE FERRO GALVANIZADO, COM ROSCA BSP FEMEA, DE 3/4"</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</si>
  <si>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</si>
  <si>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</si>
  <si>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</si>
  <si>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t>
  </si>
  <si>
    <t>CURVA 45 GRAUS DE FERRO GALVANIZADO, COM ROSCA BSP MACHO/FEMEA, DE 1/2"</t>
  </si>
  <si>
    <t>CURVA 45 GRAUS DE FERRO GALVANIZADO, COM ROSCA BSP MACHO/FEMEA, DE 2 1/2"</t>
  </si>
  <si>
    <t>CURVA 45 GRAUS DE FERRO GALVANIZADO, COM ROSCA BSP MACHO/FEMEA, DE 2"</t>
  </si>
  <si>
    <t>CURVA 45 GRAUS DE FERRO GALVANIZADO, COM ROSCA BSP MACHO/FEMEA, DE 3"</t>
  </si>
  <si>
    <t>CURVA 45 GRAUS DE FERRO GALVANIZADO, COM ROSCA BSP MACHO/FEMEA, DE 3/4"</t>
  </si>
  <si>
    <t>CURVA 45 GRAUS, PVC, SOLDÁVEL, DN 20MM, INSTALADO EM RAMAL DE DISTRIBU IÇÃO DE ÁGUA - FORNECIMENTO E INSTALAÇÃO. AF_12/2014</t>
  </si>
  <si>
    <t>CURVA 45 GRAUS, PVC, SOLDÁVEL, DN 20MM, INSTALADO EM RAMAL OU SUB-RAMA L DE ÁGUA - FORNECIMENTO E INSTALAÇÃO. AF_12/2014</t>
  </si>
  <si>
    <t>CURVA 45 GRAUS, PVC, SOLDÁVEL, DN 25MM, INSTALADO EM PRUMADA DE ÁGUA - FORNECIMENTO E INSTALAÇÃO. AF_12/2014</t>
  </si>
  <si>
    <t>CURVA 45 GRAUS, PVC, SOLDÁVEL, DN 25MM, INSTALADO EM RAMAL DE DISTRIBU IÇÃO DE ÁGUA - FORNECIMENTO E INSTALAÇÃO. AF_12/2014</t>
  </si>
  <si>
    <t>CURVA 45 GRAUS, PVC, SOLDÁVEL, DN 25MM, INSTALADO EM RAMAL OU SUB-RAMA L DE ÁGUA - FORNECIMENTO E INSTALAÇÃO. AF_12/2014</t>
  </si>
  <si>
    <t>CURVA 45 GRAUS, PVC, SOLDÁVEL, DN 32MM, INSTALADO EM PRUMADA DE ÁGUA - FORNECIMENTO E INSTALAÇÃO. AF_12/2014</t>
  </si>
  <si>
    <t>CURVA 45 GRAUS, PVC, SOLDÁVEL, DN 32MM, INSTALADO EM RAMAL DE DISTRIBU IÇÃO DE ÁGUA - FORNECIMENTO E INSTALAÇÃO. AF_12/2014</t>
  </si>
  <si>
    <t>CURVA 45 GRAUS, PVC, SOLDÁVEL, DN 32MM, INSTALADO EM RAMAL OU SUB-RAMA L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</si>
  <si>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</si>
  <si>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</si>
  <si>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</si>
  <si>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</si>
  <si>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</si>
  <si>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CURVA 90 GRAUS DE BARRA CHATA EM ALUMINIO 3/4 " X 1/4 " X 300 MM</t>
  </si>
  <si>
    <t>CURVA 90 GRAUS DE FERRO GALVANIZADO, COM ROSCA BSP FEMEA, DE 1 1/4"</t>
  </si>
  <si>
    <t>CURVA 90 GRAUS DE FERRO GALVANIZADO, COM ROSCA BSP FEMEA, DE 1"</t>
  </si>
  <si>
    <t>CURVA 90 GRAUS DE FERRO GALVANIZADO, COM ROSCA BSP FEMEA, DE 1/2"</t>
  </si>
  <si>
    <t>CURVA 90 GRAUS DE FERRO GALVANIZADO, COM ROSCA BSP FEMEA, DE 2 1/2"</t>
  </si>
  <si>
    <t>CURVA 90 GRAUS DE FERRO GALVANIZADO, COM ROSCA BSP FEMEA, DE 2"</t>
  </si>
  <si>
    <t>CURVA 90 GRAUS DE FERRO GALVANIZADO, COM ROSCA BSP FEMEA, DE 3"</t>
  </si>
  <si>
    <t>CURVA 90 GRAUS DE FERRO GALVANIZADO, COM ROSCA BSP FEMEA, DE 3/4"</t>
  </si>
  <si>
    <t>CURVA 90 GRAUS DE FERRO GALVANIZADO, COM ROSCA BSP FEMEA, DE 4"</t>
  </si>
  <si>
    <t>CURVA 90 GRAUS DE FERRO GALVANIZADO, COM ROSCA BSP MACHO, DE 1 1/2"</t>
  </si>
  <si>
    <t>CURVA 90 GRAUS DE FERRO GALVANIZADO, COM ROSCA BSP MACHO, DE 1 1/4"</t>
  </si>
  <si>
    <t>CURVA 90 GRAUS DE FERRO GALVANIZADO, COM ROSCA BSP MACHO, DE 1"</t>
  </si>
  <si>
    <t>CURVA 90 GRAUS DE FERRO GALVANIZADO, COM ROSCA BSP MACHO, DE 1/2"</t>
  </si>
  <si>
    <t>CURVA 90 GRAUS DE FERRO GALVANIZADO, COM ROSCA BSP MACHO, DE 2 1/2"</t>
  </si>
  <si>
    <t>CURVA 90 GRAUS DE FERRO GALVANIZADO, COM ROSCA BSP MACHO, DE 2"</t>
  </si>
  <si>
    <t>CURVA 90 GRAUS DE FERRO GALVANIZADO, COM ROSCA BSP MACHO, DE 3"</t>
  </si>
  <si>
    <t>CURVA 90 GRAUS DE FERRO GALVANIZADO, COM ROSCA BSP MACHO, DE 3/4"</t>
  </si>
  <si>
    <t>CURVA 90 GRAUS DE FERRO GALVANIZADO, COM ROSCA BSP MACHO, DE 4"</t>
  </si>
  <si>
    <t>CURVA 90 GRAUS DE FERRO GALVANIZADO, COM ROSCA BSP MACHO, DE 6"</t>
  </si>
  <si>
    <t>CURVA 90 GRAUS DE FERRO GALVANIZADO, COM ROSCA BSP MACHO/FEMEA, DE 1 1/2"</t>
  </si>
  <si>
    <t>CURVA 90 GRAUS DE FERRO GALVANIZADO, COM ROSCA BSP MACHO/FEMEA, DE 1 1/4"</t>
  </si>
  <si>
    <t>CURVA 90 GRAUS DE FERRO GALVANIZADO, COM ROSCA BSP MACHO/FEMEA, DE 1"</t>
  </si>
  <si>
    <t>CURVA 90 GRAUS DE FERRO GALVANIZADO, COM ROSCA BSP MACHO/FEMEA, DE 1/2"</t>
  </si>
  <si>
    <t>CURVA 90 GRAUS DE FERRO GALVANIZADO, COM ROSCA BSP MACHO/FEMEA, DE 2 1/2"</t>
  </si>
  <si>
    <t>CURVA 90 GRAUS DE FERRO GALVANIZADO, COM ROSCA BSP MACHO/FEMEA, DE 2"</t>
  </si>
  <si>
    <t>CURVA 90 GRAUS DE FERRO GALVANIZADO, COM ROSCA BSP MACHO/FEMEA, DE 3"</t>
  </si>
  <si>
    <t>CURVA 90 GRAUS DE FERRO GALVANIZADO, COM ROSCA BSP MACHO/FEMEA, DE 3/4"</t>
  </si>
  <si>
    <t>CURVA 90 GRAUS DE FERRO GALVANIZADO, COM ROSCA BSP MACHO/FEMEA, DE 4"</t>
  </si>
  <si>
    <t>CURVA 90 GRAUS PARA ELETRODUTO, PVC, ROSCÁVEL, DN 110 MM (4") - FORNEC IMENTO E INSTALAÇÃO. AF_12/2015</t>
  </si>
  <si>
    <t>CURVA 90 GRAUS PARA ELETRODUTO, PVC, ROSCÁVEL, DN 20 MM (1/2"), PARA C IRCUITOS TERMINAIS, INSTALADA EM FORRO - FORNECIMENTO E INSTALAÇÃO. AF _12/2015</t>
  </si>
  <si>
    <t>CURVA 90 GRAUS PARA ELETRODUTO, PVC, ROSCÁVEL, DN 20 MM (1/2"), PARA C IRCUITOS TERMINAIS, INSTALADA EM LAJE - FORNECIMENTO E INSTALAÇÃO. AF_ 12/2015</t>
  </si>
  <si>
    <t>CURVA 90 GRAUS PARA ELETRODUTO, PVC, ROSCÁVEL, DN 20 MM (1/2"), PARA C IRCUITOS TERMINAIS, INSTALADA EM PAREDE - FORNECIMENTO E INSTALAÇÃO. A F_12/2015</t>
  </si>
  <si>
    <t>CURVA 90 GRAUS PARA ELETRODUTO, PVC, ROSCÁVEL, DN 25 MM (3/4"), PARA C IRCUITOS TERMINAIS, INSTALADA EM FORRO - FORNECIMENTO E INSTALAÇÃO. AF _12/2015</t>
  </si>
  <si>
    <t>CURVA 90 GRAUS PARA ELETRODUTO, PVC, ROSCÁVEL, DN 25 MM (3/4"), PARA C IRCUITOS TERMINAIS, INSTALADA EM LAJE - FORNECIMENTO E INSTALAÇÃO. AF_ 12/2015</t>
  </si>
  <si>
    <t>CURVA 90 GRAUS PARA ELETRODUTO, PVC, ROSCÁVEL, DN 25 MM (3/4"), PARA C IRCUITOS TERMINAIS, INSTALADA EM PAREDE - FORNECIMENTO E INSTALAÇÃO. A F_12/2015</t>
  </si>
  <si>
    <t>CURVA 90 GRAUS PARA ELETRODUTO, PVC, ROSCÁVEL, DN 32 MM (1"), PARA CIR CUITOS TERMINAIS, INSTALADA EM FORRO - FORNECIMENTO E INSTALAÇÃO. AF_1 2/2015</t>
  </si>
  <si>
    <t>CURVA 90 GRAUS PARA ELETRODUTO, PVC, ROSCÁVEL, DN 32 MM (1"), PARA CIR CUITOS TERMINAIS, INSTALADA EM LAJE - FORNECIMENTO E INSTALAÇÃO. AF_12 /2015</t>
  </si>
  <si>
    <t>CURVA 90 GRAUS PARA ELETRODUTO, PVC, ROSCÁVEL, DN 32 MM (1"), PARA CIR CUITOS TERMINAIS, INSTALADA EM PAREDE - FORNECIMENTO E INSTALAÇÃO. AF_ 12/2015</t>
  </si>
  <si>
    <t>CURVA 90 GRAUS PARA ELETRODUTO, PVC, ROSCÁVEL, DN 40 MM (1 1/4"), PARA CIRCUITOS TERMINAIS, INSTALADA EM FORRO - FORNECIMENTO E INSTALAÇÃO. AF_12/2015</t>
  </si>
  <si>
    <t>CURVA 90 GRAUS PARA ELETRODUTO, PVC, ROSCÁVEL, DN 40 MM (1 1/4"), PARA CIRCUITOS TERMINAIS, INSTALADA EM LAJE - FORNECIMENTO E INSTALAÇÃO. A F_12/2015</t>
  </si>
  <si>
    <t>CURVA 90 GRAUS PARA ELETRODUTO, PVC, ROSCÁVEL, DN 40 MM (1 1/4"), PARA CIRCUITOS TERMINAIS, INSTALADA EM PAREDE - FORNECIMENTO E INSTALAÇÃO. AF_12/2015</t>
  </si>
  <si>
    <t>CURVA 90 GRAUS PARA ELETRODUTO, PVC, ROSCÁVEL, DN 50 MM (1 1/2") - FOR NECIMENTO E INSTALAÇÃO. AF_12/2015</t>
  </si>
  <si>
    <t>CURVA 90 GRAUS PARA ELETRODUTO, PVC, ROSCÁVEL, DN 60 MM (2") - FORNECI MENTO E INSTALAÇÃO. AF_12/2015</t>
  </si>
  <si>
    <t>CURVA 90 GRAUS PARA ELETRODUTO, PVC, ROSCÁVEL, DN 75 MM (2 1/2") - FOR NECIMENTO E INSTALAÇÃO. AF_12/2015</t>
  </si>
  <si>
    <t>CURVA 90 GRAUS PARA ELETRODUTO, PVC, ROSCÁVEL, DN 85 MM (3") - FORNECI MENTO E INSTALAÇÃO. AF_12/2015</t>
  </si>
  <si>
    <t>CURVA 90 GRAUS, CPVC, SOLDÁVEL, DN 15MM, INSTALADO EM RAMAL OU SUB-RAM AL DE ÁGUA - FORNECIMENTO E INSTALAÇÃO. AF_12/2014</t>
  </si>
  <si>
    <t>CURVA 90 GRAUS, CPVC, SOLDÁVEL, DN 22 MM, INSTALADO EM RESERVAÇÃO DE Á GUA DE EDIFICAÇÃO QUE POSSUA RESERVATÓRIO DE FIBRA/FIBROCIMENTO  FORN ECIMENTO E INSTALAÇÃO. AF_06/2016</t>
  </si>
  <si>
    <t>CURVA 90 GRAUS, CPVC, SOLDÁVEL, DN 22MM, INSTALADO EM RAMAL DE DISTRIB UIÇÃO DE ÁGUA - FORNECIMENTO E INSTALAÇÃO. AF_12/2014</t>
  </si>
  <si>
    <t>CURVA 90 GRAUS, CPVC, SOLDÁVEL, DN 22MM, INSTALADO EM RAMAL OU SUB-RAM AL DE ÁGUA - FORNECIMENTO E INSTALAÇÃO. AF_12/2014</t>
  </si>
  <si>
    <t>CURVA 90 GRAUS, CPVC, SOLDÁVEL, DN 28 MM, INSTALADO EM RESERVAÇÃO DE Á GUA DE EDIFICAÇÃO QUE POSSUA RESERVATÓRIO DE FIBRA/FIBROCIMENTO  FORN ECIMENTO E INSTALAÇÃO. AF_06/2016</t>
  </si>
  <si>
    <t>CURVA 90 GRAUS, CPVC, SOLDÁVEL, DN 28MM, INSTALADO EM RAMAL DE DISTRIB UIÇÃO DE ÁGUA   FORNECIMENTO E INSTALAÇÃO. AF_12/2014</t>
  </si>
  <si>
    <t>CURVA 90 GRAUS, CPVC, SOLDÁVEL, DN 28MM, INSTALADO EM RAMAL OU SUB-RAM AL DE ÁGUA  FORNECIMENTO E INSTALAÇÃO. AF_12/2014</t>
  </si>
  <si>
    <t>CURVA 90 GRAUS, CURTA, DE PVC RIGIDO ROSCAVEL, DE 1", PARA ELETRODUTO</t>
  </si>
  <si>
    <t>CURVA 90 GRAUS, CURTA, DE PVC RIGIDO ROSCAVEL, DE 1/2",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</si>
  <si>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</si>
  <si>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</si>
  <si>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</si>
  <si>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</si>
  <si>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</si>
  <si>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</si>
  <si>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</si>
  <si>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</si>
  <si>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3/4", PARA ELETRODUTO</t>
  </si>
  <si>
    <t>CURVA 90 GRAUS, LONGA, DE PVC RIGIDO ROSCAVEL, DE 4", PARA ELETRODUTO</t>
  </si>
  <si>
    <t>CURVA 90 GRAUS, PVC, SOLDÁVEL, DN  25 MM, INSTALADO EM RESERVAÇÃO DE Á GUA DE EDIFICAÇÃO QUE POSSUA RESERVATÓRIO DE FIBRA/FIBROCIMENTO   FORN ECIMENTO E INSTALAÇÃO. AF_06/2016</t>
  </si>
  <si>
    <t>CURVA 90 GRAUS, PVC, SOLDÁVEL, DN 110 MM, INSTALADO EM RESERVAÇÃO DE Á GUA DE EDIFICAÇÃO QUE POSSUA RESERVATÓRIO DE FIBRA/FIBROCIMENTO   FORN ECIMENTO E INSTALAÇÃO. AF_06/2016</t>
  </si>
  <si>
    <t>CURVA 90 GRAUS, PVC, SOLDÁVEL, DN 20MM, INSTALADO EM RAMAL DE DISTRIBU IÇÃO DE ÁGUA - FORNECIMENTO E INSTALAÇÃO. AF_12/2014</t>
  </si>
  <si>
    <t>CURVA 90 GRAUS, PVC, SOLDÁVEL, DN 20MM, INSTALADO EM RAMAL OU SUB-RAMA L DE ÁGUA - FORNECIMENTO E INSTALAÇÃO. AF_12/2014</t>
  </si>
  <si>
    <t>CURVA 90 GRAUS, PVC, SOLDÁVEL, DN 25MM, INSTALADO EM PRUMADA DE ÁGUA - FORNECIMENTO E INSTALAÇÃO. AF_12/2014</t>
  </si>
  <si>
    <t>CURVA 90 GRAUS, PVC, SOLDÁVEL, DN 25MM, INSTALADO EM RAMAL DE DISTRIBU IÇÃO DE ÁGUA - FORNECIMENTO E INSTALAÇÃO. AF_12/2014</t>
  </si>
  <si>
    <t>CURVA 90 GRAUS, PVC, SOLDÁVEL, DN 25MM, INSTALADO EM RAMAL OU SUB-RAMA L DE ÁGUA - FORNECIMENTO E INSTALAÇÃO. AF_12/2014</t>
  </si>
  <si>
    <t>CURVA 90 GRAUS, PVC, SOLDÁVEL, DN 32 MM, INSTALADO EM RESERVAÇÃO DE ÁG UA DE EDIFICAÇÃO QUE POSSUA RESERVATÓRIO DE FIBRA/FIBROCIMENTO   FORNE CIMENTO E INSTALAÇÃO. AF_06/2016</t>
  </si>
  <si>
    <t>CURVA 90 GRAUS, PVC, SOLDÁVEL, DN 32MM, INSTALADO EM PRUMADA DE ÁGUA - FORNECIMENTO E INSTALAÇÃO. AF_12/2014</t>
  </si>
  <si>
    <t>CURVA 90 GRAUS, PVC, SOLDÁVEL, DN 32MM, INSTALADO EM RAMAL DE DISTRIBU IÇÃO DE ÁGUA - FORNECIMENTO E INSTALAÇÃO. AF_12/2014</t>
  </si>
  <si>
    <t>CURVA 90 GRAUS, PVC, SOLDÁVEL, DN 32MM, INSTALADO EM RAMAL OU SUB-RAMA L DE ÁGUA - FORNECIMENTO E INSTALAÇÃO. AF_12/2014</t>
  </si>
  <si>
    <t>CURVA 90 GRAUS, PVC, SOLDÁVEL, DN 40 MM, INSTALADO EM RESERVAÇÃO DE ÁG UA DE EDIFICAÇÃO QUE POSSUA RESERVATÓRIO DE FIBRA/FIBROCIMENTO   FORNE CIMENTO E INSTALAÇÃO. AF_06/2016</t>
  </si>
  <si>
    <t>CURVA 90 GRAUS, PVC, SOLDÁVEL, DN 40MM, INSTALADO EM PRUMADA DE ÁGUA - FORNECIMENTO E INSTALAÇÃO. AF_12/2014</t>
  </si>
  <si>
    <t>CURVA 90 GRAUS, PVC, SOLDÁVEL, DN 50 MM, INSTALADO EM RESERVAÇÃO DE ÁG UA DE EDIFICAÇÃO QUE POSSUA RESERVATÓRIO DE FIBRA/FIBROCIMENTO   FORNE CIMENTO E INSTALAÇÃO. AF_06/2016</t>
  </si>
  <si>
    <t>CURVA 90 GRAUS, PVC, SOLDÁVEL, DN 50MM, INSTALADO EM PRUMADA DE ÁGUA - FORNECIMENTO E INSTALAÇÃO. AF_12/2014</t>
  </si>
  <si>
    <t>CURVA 90 GRAUS, PVC, SOLDÁVEL, DN 60 MM, INSTALADO EM RESERVAÇÃO DE ÁG UA DE EDIFICAÇÃO QUE POSSUA RESERVATÓRIO DE FIBRA/FIBROCIMENTO   FORNE CIMENTO E INSTALAÇÃO. AF_06/2016</t>
  </si>
  <si>
    <t>CURVA 90 GRAUS, PVC, SOLDÁVEL, DN 60MM, INSTALADO EM PRUMADA DE ÁGUA - FORNECIMENTO E INSTALAÇÃO. AF_12/2014</t>
  </si>
  <si>
    <t>CURVA 90 GRAUS, PVC, SOLDÁVEL, DN 75 MM, INSTALADO EM RESERVAÇÃO DE ÁG UA DE EDIFICAÇÃO QUE POSSUA RESERVATÓRIO DE FIBRA/FIBROCIMENTO   FORNE CIMENTO E INSTALAÇÃO. AF_06/2016</t>
  </si>
  <si>
    <t>CURVA 90 GRAUS, PVC, SOLDÁVEL, DN 75MM, INSTALADO EM PRUMADA DE ÁGUA - FORNECIMENTO E INSTALAÇÃO. AF_12/2014</t>
  </si>
  <si>
    <t>CURVA 90 GRAUS, PVC, SOLDÁVEL, DN 85 MM, INSTALADO EM RESERVAÇÃO DE ÁG UA DE EDIFICAÇÃO QUE POSSUA RESERVATÓRIO DE FIBRA/FIBROCIMENTO   FORNE CIMENTO E INSTALAÇÃO. AF_06/2016</t>
  </si>
  <si>
    <t>CURVA 90 GRAUS, PVC, SOLDÁVEL, DN 85MM, INSTALADO EM PRUMADA DE ÁGUA - FORNECIMENTO E INSTALAÇÃO. AF_12/2014</t>
  </si>
  <si>
    <t>CURVA CPVC, 90 GRAUS, SOLDAVEL, 22 MM, PARA AGUA QUENTE</t>
  </si>
  <si>
    <t>CURVA CPVC, 90 GRAUS, SOLDAVEL, 28 MM, PARA AGUA QUENTE</t>
  </si>
  <si>
    <t>CURVA CPVC, 90 GRAUS, SOLDAVEL,15 MM, PARA AGUA QUENTE</t>
  </si>
  <si>
    <t>CURVA CURTA 90 GRAUS, PVC, SERIE NORMAL, ESGOTO PREDIAL, DN 100 MM, JU NTA ELÁSTICA, FORNECIDO E INSTALADO EM PRUMADA DE ESGOTO SANITÁRIO OU VENTILAÇÃO. AF_12/2014</t>
  </si>
  <si>
    <t>CURVA CURTA 90 GRAUS, PVC, SERIE NORMAL, ESGOTO PREDIAL, DN 100 MM, JU NTA ELÁSTICA, FORNECIDO E INSTALADO EM RAMAL DE DESCARGA OU RAMAL DE E SGOTO SANITÁRIO. AF_12/2014</t>
  </si>
  <si>
    <t>CURVA CURTA 90 GRAUS, PVC, SERIE NORMAL, ESGOTO PREDIAL, DN 100 MM, JU NTA ELÁSTICA, FORNECIDO E INSTALADO EM SUBCOLETOR AÉREO DE ESGOTO SANI TÁRIO. AF_12/2014</t>
  </si>
  <si>
    <t>CURVA CURTA 90 GRAUS, PVC, SERIE NORMAL, ESGOTO PREDIAL, DN 40 MM, JUN TA SOLDÁVEL, FORNECIDO E INSTALADO EM RAMAL DE DESCARGA OU RAMAL DE ES GOTO SANITÁRIO. AF_12/2014</t>
  </si>
  <si>
    <t>CURVA CURTA 90 GRAUS, PVC, SERIE NORMAL, ESGOTO PREDIAL, DN 50 MM, JUN TA ELÁSTICA, FORNECIDO E INSTALADO EM PRUMADA DE ESGOTO SANITÁRIO OU V ENTILAÇÃO. AF_12/2014</t>
  </si>
  <si>
    <t>CURVA CURTA 90 GRAUS, PVC, SERIE NORMAL, ESGOTO PREDIAL, DN 50 MM, JUN TA ELÁSTICA, FORNECIDO E INSTALADO EM RAMAL DE DESCARGA OU RAMAL DE ES GOTO SANITÁRIO. AF_12/2014</t>
  </si>
  <si>
    <t>CURVA CURTA 90 GRAUS, PVC, SERIE NORMAL, ESGOTO PREDIAL, DN 75 MM, JUN TA ELÁSTICA, FORNECIDO E INSTALADO EM PRUMADA DE ESGOTO SANITÁRIO OU V ENTILAÇÃO. AF_12/2014</t>
  </si>
  <si>
    <t>CURVA CURTA 90 GRAUS, PVC, SERIE NORMAL, ESGOTO PREDIAL, DN 75 MM, JUN TA ELÁSTICA, FORNECIDO E INSTALADO EM RAMAL DE DESCARGA OU RAMAL DE ES GOTO SANITÁRIO. AF_12/2014</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</si>
  <si>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</si>
  <si>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</si>
  <si>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</si>
  <si>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</si>
  <si>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</si>
  <si>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</si>
  <si>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</si>
  <si>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</si>
  <si>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</si>
  <si>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</si>
  <si>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</si>
  <si>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</si>
  <si>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</si>
  <si>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</si>
  <si>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</si>
  <si>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</si>
  <si>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</si>
  <si>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</si>
  <si>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</si>
  <si>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</si>
  <si>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</si>
  <si>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45 GRAUS, SERIE R, DN 150 MM, PARA ESGOTO PREDIAL</t>
  </si>
  <si>
    <t>CURVA DE PVC, 45 GRAUS, SERIE R, DN 75 MM, PARA ESGOTO PREDIAL</t>
  </si>
  <si>
    <t>CURVA DE PVC, 90 GRAUS, SERIE R, DN 100 MM, PARA ESGOTO PREDIAL</t>
  </si>
  <si>
    <t>CURVA DE PVC, 90 GRAUS, SERIE R, DN 150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</si>
  <si>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</si>
  <si>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</si>
  <si>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</si>
  <si>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</si>
  <si>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</si>
  <si>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TRANSPOSIÇÃO EM BRONZE/LATÃO, SEM ANEL DE SOLDA, BOLSA X BOLS A, 22 MM, INSTALADO EM RAMAL E SUB-RAMAL   FORNECIMENTO E INSTALAÇÃO. AF_01/2016_P</t>
  </si>
  <si>
    <t>CURVA DE TRANSPOSIÇÃO EM BRONZE/LATÃO, SEM ANEL DE SOLDA, BOLSA X BOLS A, 28 MM, INSTALADO EM PRUMADA   FORNECIMENTO E INSTALAÇÃO. AF_01/2016 _P</t>
  </si>
  <si>
    <t>CURVA DE TRANSPOSIÇÃO EM BRONZE/LATÃO, SEM ANEL DE SOLDA, BOLSA X BOLS A, 28 MM, INSTALADO EM RAMAL E SUB-RAMAL   FORNECIMENTO E INSTALAÇÃO. AF_01/2016_P</t>
  </si>
  <si>
    <t>CURVA DE TRANSPOSIÇÃO EM BRONZE/LATÃO, SEM ANEL DE SOLDA, BOLSA X BOLS A, DN 15 MM, INSTALADO EM RAMAL E SUB-RAMAL   FORNECIMENTO E INSTALAÇÃ O. AF_01/2016_P</t>
  </si>
  <si>
    <t>CURVA DE TRANSPOSIÇÃO EM BRONZE/LATÃO, SEM ANEL DE SOLDA, BOLSA X BOLS A, DN 22 MM, INSTALADO EM PRUMADA   FORNECIMENTO E INSTALAÇÃO. AF_01/2 016_P</t>
  </si>
  <si>
    <t>CURVA DE TRANSPOSIÇÃO EM BRONZE/LATÃO, SEM ANEL DE SOLDA, BOLSA X BOLS A, DN 22 MM, INSTALADO EM RAMAL DE DISTRIBUIÇÃO   FORNECIMENTO E INSTA LAÇÃO. AF_01/2016_P</t>
  </si>
  <si>
    <t>CURVA DE TRANSPOSIÇÃO EM BRONZE/LATÃO, SEM ANEL DE SOLDA, BOLSA X BOLS A, DN 28 MM, INSTALADO EM RAMAL DE DISTRIBUIÇÃO   FORNECIMENTO E INSTA LAÇÃO. AF_01/2016_P</t>
  </si>
  <si>
    <t>CURVA DE TRANSPOSIÇÃO EM BRONZE/LATÃO, SEM ANEL DE SOLDA, DN 15 MM, IN STALADO EM RAMAL DE DISTRIBUIÇÃO   FORNECIMENTO E INSTALAÇÃO. AF_01/20 16_P</t>
  </si>
  <si>
    <t>CURVA DE TRANSPOSICAO, CPVC, SOLDAVEL, 15 MM</t>
  </si>
  <si>
    <t>CURVA DE TRANSPOSICAO, CPVC, SOLDAVEL, 22 MM</t>
  </si>
  <si>
    <t>CURVA DE TRANSPOSIÇÃO, CPVC, SOLDÁVEL, DN 22MM, INSTALADO EM RAMAL DE DISTRIBUIÇÃO DE ÁGUA   FORNECIMENTO E INSTALAÇÃO. AF_12/2014</t>
  </si>
  <si>
    <t>CURVA DE TRANSPOSIÇÃO, CPVC, SOLDÁVEL, DN15MM, INSTALADO EM RAMAL OU S UB-RAMAL DE ÁGUA  FORNECIMENTO E INSTALAÇÃO. AF_12/2014</t>
  </si>
  <si>
    <t>CURVA DE TRANSPOSIÇÃO, CPVC, SOLDÁVEL, DN22MM, INSTALADO EM RAMAL OU S UB-RAMAL DE ÁGUA  FORNECIMENTO E INSTALAÇÃO. AF_12/2014</t>
  </si>
  <si>
    <t>CURVA DE TRANSPOSICAO, PVC SOLDAVEL, 20 MM, PARA AGUA FRIA PREDIAL</t>
  </si>
  <si>
    <t>CURVA DE TRANSPOSICAO, PVC, SOLDAVEL, 25 MM, PARA AGUA FRIA PREDIAL</t>
  </si>
  <si>
    <t>CURVA DE TRANSPOSICAO, PVC, SOLDAVEL, 32 MM, PARA AGUA FRIA PREDIAL</t>
  </si>
  <si>
    <t>CURVA DE TRANSPOSIÇÃO, PVC, SOLDÁVEL, DN 20MM, INSTALADO EM RAMAL DE D ISTRIBUIÇÃO DE ÁGUA   FORNECIMENTO E INSTALAÇÃO. AF_12/2014</t>
  </si>
  <si>
    <t>CURVA DE TRANSPOSIÇÃO, PVC, SOLDÁVEL, DN 20MM, INSTALADO EM RAMAL OU S UB-RAMAL DE ÁGUA - FORNECIMENTO E INSTALAÇÃO. AF_12/2014</t>
  </si>
  <si>
    <t>CURVA DE TRANSPOSIÇÃO, PVC, SOLDÁVEL, DN 25MM, INSTALADO EM PRUMADA DE ÁGUA  - FORNECIMENTO E INSTALAÇÃO. AF_12/2014</t>
  </si>
  <si>
    <t>CURVA DE TRANSPOSIÇÃO, PVC, SOLDÁVEL, DN 25MM, INSTALADO EM RAMAL DE D ISTRIBUIÇÃO DE ÁGUA   FORNECIMENTO E INSTALAÇÃO. AF_12/2014</t>
  </si>
  <si>
    <t>CURVA DE TRANSPOSIÇÃO, PVC, SOLDÁVEL, DN 25MM, INSTALADO EM RAMAL OU S UB-RAMAL DE ÁGUA   FORNECIMENTO E INSTALAÇÃO. AF_12/2014</t>
  </si>
  <si>
    <t>CURVA DE TRANSPOSIÇÃO, PVC, SOLDÁVEL, DN 32MM, INSTALADO EM PRUMADA DE ÁGUA   FORNECIMENTO E INSTALAÇÃO. AF_12/2014</t>
  </si>
  <si>
    <t>CURVA DE TRANSPOSIÇÃO, PVC, SOLDÁVEL, DN 32MM, INSTALADO EM RAMAL DE D ISTRIBUIÇÃO DE ÁGUA   FORNECIMENTO E INSTALAÇÃO. AF_12/2014</t>
  </si>
  <si>
    <t>CURVA DE TRANSPOSIÇÃO, PVC, SOLDÁVEL, DN 32MM, INSTALADO EM RAMAL OU S UB-RAMAL DE ÁGUA   FORNECIMENTO E INSTALAÇÃO. AF_12/2014</t>
  </si>
  <si>
    <t>CURVA EM COBRE, 45 GRAUS, SEM ANEL DE SOLDA, BOLSA X BOLSA, DN 15 MM, INSTALADO EM RAMAL DE DISTRIBUIÇÃO   FORNECIMENTO E INSTALAÇÃO. AF_01/ 2016_P</t>
  </si>
  <si>
    <t>CURVA EM COBRE, 45 GRAUS, SEM ANEL DE SOLDA, BOLSA X BOLSA, DN 15 MM, INSTALADO EM RAMAL E SUB-RAMAL   FORNECIMENTO E INSTALAÇÃO. AF_01/2016 _P</t>
  </si>
  <si>
    <t>CURVA EM COBRE, 45 GRAUS, SEM ANEL DE SOLDA, BOLSA X BOLSA, DN 22 MM, INSTALADO EM PRUMADA   FORNECIMENTO E INSTALAÇÃO. AF_01/2016_P</t>
  </si>
  <si>
    <t>CURVA EM COBRE, 45 GRAUS, SEM ANEL DE SOLDA, BOLSA X BOLSA, DN 22 MM, INSTALADO EM RAMAL DE DISTRIBUIÇÃO   FORNECIMENTO E INSTALAÇÃO. AF_01/ 2016_P</t>
  </si>
  <si>
    <t>CURVA EM COBRE, 45 GRAUS, SEM ANEL DE SOLDA, BOLSA X BOLSA, DN 22 MM, INSTALADO EM RAMAL E SUB-RAMAL   FORNECIMENTO E INSTALAÇÃO. AF_01/2016 _P</t>
  </si>
  <si>
    <t>CURVA EM COBRE, 45 GRAUS, SEM ANEL DE SOLDA, BOLSA X BOLSA, DN 28 MM, INSTALADO EM PRUMADA   FORNECIMENTO E INSTALAÇÃO. AF_01/2016_P</t>
  </si>
  <si>
    <t>CURVA EM COBRE, 45 GRAUS, SEM ANEL DE SOLDA, BOLSA X BOLSA, DN 28 MM, INSTALADO EM RAMAL DE DISTRIBUIÇÃO   FORNECIMENTO E INSTALAÇÃO. AF_01/ 2016_P</t>
  </si>
  <si>
    <t>CURVA EM COBRE, 45 GRAUS, SEM ANEL DE SOLDA, BOLSA X BOLSA, DN 28 MM, INSTALADO EM RAMAL E SUB-RAMAL   FORNECIMENTO E INSTALAÇÃO. AF_01/2016 _P</t>
  </si>
  <si>
    <t>CURVA EM COBRE, 45 GRAUS, SEM ANEL DE SOLDA, BOLSA X BOLSA, DN 35 MM, INSTALADO EM PRUMADA   FORNECIMENTO E INSTALAÇÃO. AF_01/2016_P</t>
  </si>
  <si>
    <t>CURVA EM COBRE, 45 GRAUS, SEM ANEL DE SOLDA, BOLSA X BOLSA, DN 54 MM, INSTALADO EM PRUMADA   FORNECIMENTO E INSTALAÇÃO. AF_01/2016_P</t>
  </si>
  <si>
    <t>CURVA EM COBRE, 45 GRAUS, SEM ANEL DE SOLDA, BOLSA X BOLSA, DN 54 MM, INSTALADO EM RESERVAÇÃO DE ÁGUA DE EDIFICAÇÃO QUE POSSUA RESERVATÓRIO DE FIBRA/FIBROCIMENTO  FORNECIMENTO E INSTALAÇÃO. AF_06/2016_P</t>
  </si>
  <si>
    <t>CURVA EM COBRE, 45 GRAUS, SEM ANEL DE SOLDA, BOLSA X BOLSA, DN 66 MM, INSTALADO EM RESERVAÇÃO DE ÁGUA DE EDIFICAÇÃO QUE POSSUA RESERVATÓRIO DE FIBRA/FIBROCIMENTO  FORNECIMENTO E INSTALAÇÃO. AF_06/2016_P</t>
  </si>
  <si>
    <t>CURVA EM COBRE, 45 GRAUS, SEM ANEL DE SOLDA, DN 42 MM, INSTALADO EM PR UMADA   FORNECIMENTO E INSTALAÇÃO. AF_01/2016_P</t>
  </si>
  <si>
    <t>CURVA EM COBRE, 90 GRAUS, SEM ANEL DE SOLDA, BOLSA X BOLSA, DN 66 MM, INSTALADO EM PRUMADA   FORNECIMENTO E INSTALAÇÃO. AF_01/2016_P</t>
  </si>
  <si>
    <t>CURVA LONGA 90 GRAUS, PVC, SERIE NORMAL, ESGOTO PREDIAL, DN 100 MM, JU NTA ELÁSTICA, FORNECIDO E INSTALADO EM PRUMADA DE ESGOTO SANITÁRIO OU VENTILAÇÃO. AF_12/2014</t>
  </si>
  <si>
    <t>CURVA LONGA 90 GRAUS, PVC, SERIE NORMAL, ESGOTO PREDIAL, DN 100 MM, JU NTA ELÁSTICA, FORNECIDO E INSTALADO EM RAMAL DE DESCARGA OU RAMAL DE E SGOTO SANITÁRIO. AF_12/2014</t>
  </si>
  <si>
    <t>CURVA LONGA 90 GRAUS, PVC, SERIE NORMAL, ESGOTO PREDIAL, DN 100 MM, JU NTA ELÁSTICA, FORNECIDO E INSTALADO EM SUBCOLETOR AÉREO DE ESGOTO SANI TÁRIO. AF_12/2014</t>
  </si>
  <si>
    <t>CURVA LONGA 90 GRAUS, PVC, SERIE NORMAL, ESGOTO PREDIAL, DN 40 MM, JUN TA SOLDÁVEL, FORNECIDO E INSTALADO EM RAMAL DE DESCARGA OU RAMAL DE ES GOTO SANITÁRIO. AF_12/2014</t>
  </si>
  <si>
    <t>CURVA LONGA 90 GRAUS, PVC, SERIE NORMAL, ESGOTO PREDIAL, DN 50 MM, JUN TA ELÁSTICA, FORNECIDO E INSTALADO EM PRUMADA DE ESGOTO SANITÁRIO OU V ENTILAÇÃO. AF_12/2014</t>
  </si>
  <si>
    <t>CURVA LONGA 90 GRAUS, PVC, SERIE NORMAL, ESGOTO PREDIAL, DN 50 MM, JUN TA ELÁSTICA, FORNECIDO E INSTALADO EM RAMAL DE DESCARGA OU RAMAL DE ES GOTO SANITÁRIO. AF_12/2014</t>
  </si>
  <si>
    <t>CURVA LONGA 90 GRAUS, PVC, SERIE NORMAL, ESGOTO PREDIAL, DN 75 MM, JUN TA ELÁSTICA, FORNECIDO E INSTALADO EM PRUMADA DE ESGOTO SANITÁRIO OU V ENTILAÇÃO. AF_12/2014</t>
  </si>
  <si>
    <t>CURVA LONGA 90 GRAUS, PVC, SERIE NORMAL, ESGOTO PREDIAL, DN 75 MM, JUN TA ELÁSTICA, FORNECIDO E INSTALADO EM RAMAL DE DESCARGA OU RAMAL DE ES GOTO SANITÁRIO. AF_12/2014</t>
  </si>
  <si>
    <t>CURVA PARA REDE COLETOR ESGOTO, EB 644, 90GR, DN=200MM, COM JUNTA ELAS TICA</t>
  </si>
  <si>
    <t>CURVA PVC 90 GRAUS, ROSCAVEL, 1 1/2",  AGUA FRIA PREDIAL</t>
  </si>
  <si>
    <t>CURVA PVC 90 GRAUS, ROSCAVEL, 1 1/4",  AGUA FRIA PREDIAL</t>
  </si>
  <si>
    <t>CURVA PVC 90 GRAUS, ROSCAVEL, 1",  AGUA FRIA PREDIAL</t>
  </si>
  <si>
    <t>CURVA PVC 90 GRAUS, ROSCAVEL, 1/2",  AGUA FRIA PREDIAL</t>
  </si>
  <si>
    <t>CURVA PVC 90 GRAUS, ROSCAVEL, 2",  AGUA FRIA PREDIAL</t>
  </si>
  <si>
    <t>CURVA PVC 90 GRAUS, ROSCAVEL, 3/4",  AGUA FRIA PREDIAL</t>
  </si>
  <si>
    <t>CURVA PVC CURTA 90 G, DN 50 MM, PARA ESGOTO PREDIAL</t>
  </si>
  <si>
    <t>CURVA PVC CURTA 90 GRAUS, 100 MM, PARA ESGOTO PREDIAL</t>
  </si>
  <si>
    <t>CURVA PVC CURTA 90 GRAUS, DN 40 MM, PARA ESGOTO PREDIAL</t>
  </si>
  <si>
    <t>CURVA PVC CURTA 90 GRAUS, DN 75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</si>
  <si>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</si>
  <si>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</si>
  <si>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</si>
  <si>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</si>
  <si>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</si>
  <si>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</si>
  <si>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</si>
  <si>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</si>
  <si>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</si>
  <si>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</si>
  <si>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PARA REDE COLETOR ESGOTO, EB-644, 45 GR, 200 MM, COM JUNTA E LASTICA.</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</si>
  <si>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</si>
  <si>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</si>
  <si>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</si>
  <si>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</si>
  <si>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</si>
  <si>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</si>
  <si>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</si>
  <si>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</si>
  <si>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</si>
  <si>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45 GRAUS, CURTA, PB, DN 100 MM, PARA ESGOTO PREDIAL</t>
  </si>
  <si>
    <t>CURVA PVC, PB, JE, 45 GRAUS, DN 100 MM, PARA REDE COLETORA ESGOTO (NBR 10569)</t>
  </si>
  <si>
    <t>CURVA PVC, PB, JE, 45 GRAUS, DN 125 MM, PARA REDE COLETORA ESGOTO (NBR 10569)</t>
  </si>
  <si>
    <t>CURVA PVC, PB, JE, 45 GRAUS, DN 150 MM, PARA REDE COLETORA ESGOTO (NBR 10569)</t>
  </si>
  <si>
    <t>CURVA PVC, PB, JE, 45 GRAUS, DN 200 MM, PARA REDE COLETORA ESGOTO (NBR 10569)</t>
  </si>
  <si>
    <t>CURVA PVC, PB, JE, 45 GRAUS, DN 250 MM, PARA REDE COLETORA ESGOTO (NBR 10569)</t>
  </si>
  <si>
    <t>CURVA PVC, PB, JE, 45 GRAUS, DN 300 MM, PARA REDE COLETORA ESGOTO (NBR 10569)</t>
  </si>
  <si>
    <t>CURVA PVC, PB, JE, 45 GRAUS, DN 400 MM, PARA REDE COLETORA ESGOTO (NBR 10569)</t>
  </si>
  <si>
    <t>CURVA PVC, PB, JE, 90 GRAUS, DN 100 MM, PARA REDE COLETORA ESGOTO (NBR 10569)</t>
  </si>
  <si>
    <t>CURVA PVC, PB, JE, 90 GRAUS, DN 125 MM, PARA REDE COLETORA ESGOTO (NBR 10569)</t>
  </si>
  <si>
    <t>CURVA PVC, PB, JE, 90 GRAUS, DN 150 MM, PARA REDE COLETORA ESGOTO (NBR 10569)</t>
  </si>
  <si>
    <t>CURVA PVC, PB, JE, 90 GRAUS, DN 200 MM, PARA REDE COLETORA ESGOTO (NBR 10569)</t>
  </si>
  <si>
    <t>CURVA PVC, PB, JE, 90 GRAUS, DN 250 MM, PARA REDE COLETORA ESGOTO (NBR 10569)</t>
  </si>
  <si>
    <t>CURVA PVC, PB, JE, 90 GRAUS, DN 300 MM, PARA REDE COLETORA ESGOTO (NBR 10569)</t>
  </si>
  <si>
    <t>CURVA PVC, PB, JE, 90 GRAUS, DN 350 MM, PARA REDE COLETORA ESGOTO (NBR 10569)</t>
  </si>
  <si>
    <t>CURVA PVC, PB, JE, 90 GRAUS, DN 400 MM, PARA REDE COLETORA ESGOTO (NBR 10569)</t>
  </si>
  <si>
    <t>CURVA PVC, SERIE R, 87.30 GRAUS, CURTA, 100 MM, PARA ESGOTO PREDIAL (PARA PE-DE- COLUNA)</t>
  </si>
  <si>
    <t>CURVA PVC, SERIE R, 87.30 GRAUS, CURTA, 150 MM, PARA ESGOTO PREDIAL (PARA PE-DE- COLUNA)</t>
  </si>
  <si>
    <t>CURVA PVC, SERIE R, 87.30 GRAUS, CURTA, 75 MM, PARA ESGOTO PREDIAL (PARA PE-DE- COLUNA)</t>
  </si>
  <si>
    <t>DEMOLICAO DE ALVENARIA DE ELEMENTOS CERAMICOS VAZADOS</t>
  </si>
  <si>
    <t>DEMOLICAO DE ALVENARIA DE TIJOLOS FURADOS S/REAPROVEITAMENTO</t>
  </si>
  <si>
    <t>DEMOLICAO DE ALVENARIA DE TIJOLOS MACICOS S/REAPROVEITAMENTO</t>
  </si>
  <si>
    <t>DEMOLICAO DE ALVENARIA ESTRUTURAL DE BLOCOS VAZADOS DE CONCRETO</t>
  </si>
  <si>
    <t>DEMOLICAO DE CONCRETO SIMPLES</t>
  </si>
  <si>
    <t>DEMOLICAO DE DIVISORIAS EM PLACAS DE MARMORITE OU DE CONCRETO</t>
  </si>
  <si>
    <t>DEMOLICAO DE ESTRUTURA METALICA SEM REMOCAO</t>
  </si>
  <si>
    <t>DEMOLICAO DE FORRO DE GESSO</t>
  </si>
  <si>
    <t>DEMOLIÇÃO DE PAVIMENTAÇÃO ASFÁLTICA COM UTILIZAÇÃO DE MARTELO PERFURAD OR, ESPESSURA ATÉ 15 CM, EXCLUSIVE CARGA E TRANSPORTE</t>
  </si>
  <si>
    <t>DEMOLICAO DE PISO DE ALTA RESISTENCIA</t>
  </si>
  <si>
    <t>DEMOLICAO DE PISO VINILICO</t>
  </si>
  <si>
    <t>DEMOLICAO DE REVESTIMENTO DE ARGAMASSA DE CAL E AREIA</t>
  </si>
  <si>
    <t>DEMOLICAO DE TELHAS CERAMICAS OU DE VIDRO</t>
  </si>
  <si>
    <t>DEMOLICAO DE VERGAS, CINTAS E PILARETES DE CONCRETO</t>
  </si>
  <si>
    <t>DEMOLICAO MANUAL CONCRETO ARMADO (PILAR / VIGA / LAJE) - INCL EMPILHAC AO LATERAL NO CANTEIRO</t>
  </si>
  <si>
    <t>DEMOLICAO MANUAL DE ESTRUTURA DE CONCRETO ARMADO</t>
  </si>
  <si>
    <t>DEMOLICAO MANUAL DE LAJE PREMOLDADA COM TRANSPORTE E CARGA EM CAMINHAO BASCULANTE</t>
  </si>
  <si>
    <t>DEMOLICAO MANUAL DE PAVIMENTACAO EM CONCRETO ASFALTICO, ESPESSURA 5CM</t>
  </si>
  <si>
    <t>DESEMPENADEIRA DE ACO DENTADA 12 X *25* CM, DENTES 8 X 8 MM, CABO FECHADO DE MADEIRA</t>
  </si>
  <si>
    <t>DESEMPENADEIRA DE ACO LISA 12 X *25* CM COM CABO FECHADO DE MADEIRA</t>
  </si>
  <si>
    <t>DESEMPENADEIRA DE CONCRETO, PESO DE 75KG, 4 PÁS, MOTOR A GASOLINA, POT ÊNCIA 5,5 HP - CHI DIURNO. AF_09/2016</t>
  </si>
  <si>
    <t>DESEMPENADEIRA DE CONCRETO, PESO DE 75KG, 4 PÁS, MOTOR A GASOLINA, POT ÊNCIA 5,5 HP - CHP DIURNO. AF_09/2016</t>
  </si>
  <si>
    <t>DESEMPENADEIRA DE CONCRETO, PESO DE 75KG, 4 PÁS, MOTOR A GASOLINA, POT ÊNCIA 5,5 HP - DEPRECIAÇÃO. AF_09/2016</t>
  </si>
  <si>
    <t>DESEMPENADEIRA DE CONCRETO, PESO DE 75KG, 4 PÁS, MOTOR A GASOLINA, POT ÊNCIA 5,5 HP - JUROS. AF_09/2016</t>
  </si>
  <si>
    <t>DESEMPENADEIRA DE CONCRETO, PESO DE 75KG, 4 PÁS, MOTOR A GASOLINA, POT ÊNCIA 5,5 HP - MANUTENÇÃO. AF_09/2016</t>
  </si>
  <si>
    <t>DESEMPENADEIRA DE CONCRETO, PESO DE 75KG, 4 PÁS, MOTOR A GASOLINA, POT ÊNCIA 5,5 HP  MATERIAIS NA OPERAÇÃO. AF_09/2016</t>
  </si>
  <si>
    <t>DESEMPENADEIRA PLASTICA LISA *14 X 27* CM</t>
  </si>
  <si>
    <t>DESENHISTA TECNICO AUXILIAR (MENSALISTA)</t>
  </si>
  <si>
    <t>DESMATAMENTO E LIMPEZA MECANIZADA DE TERRENO COM ARVORES ATE Ø 15CM, U TILIZANDO TRATOR DE ESTEIRAS</t>
  </si>
  <si>
    <t>DESMATAMENTO E LIMPEZA MECANIZADA DE TERRENO COM REMOCAO DE CAMADA VEG ETAL, UTILIZANDO TRATOR DE ESTEIRAS</t>
  </si>
  <si>
    <t>DESMOLDANTE PARA FORMAS METALICAS A BASE DE OLEO VEGETAL</t>
  </si>
  <si>
    <t>DESMOLDANTE PROTETOR PARA FORMAS DE MADEIRA, DE BASE OLEOSA EMULSIONADA EM AGUA</t>
  </si>
  <si>
    <t>DESMONTE MANUAL DE PEDRA PARA PAVIMENTO POLIEDRICO</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</si>
  <si>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</si>
  <si>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</si>
  <si>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</si>
  <si>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</si>
  <si>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</si>
  <si>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</si>
  <si>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</si>
  <si>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</si>
  <si>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</si>
  <si>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</si>
  <si>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BAIXA TENSAO TRIPOLAR A SECO  800A/600V, INCLUSIVE ELETROTÉC NICO</t>
  </si>
  <si>
    <t>DISJUNTOR BIPOLAR TIPO DIN, CORRENTE NOMINAL DE 10A - FORNECIMENTO E I NSTALAÇÃO. AF_04/2016</t>
  </si>
  <si>
    <t>DISJUNTOR BIPOLAR TIPO DIN, CORRENTE NOMINAL DE 16A - FORNECIMENTO E I NSTALAÇÃO. AF_04/2016</t>
  </si>
  <si>
    <t>DISJUNTOR BIPOLAR TIPO DIN, CORRENTE NOMINAL DE 20A - FORNECIMENTO E I NSTALAÇÃO. AF_04/2016</t>
  </si>
  <si>
    <t>DISJUNTOR BIPOLAR TIPO DIN, CORRENTE NOMINAL DE 25A - FORNECIMENTO E I NSTALAÇÃO. AF_04/2016</t>
  </si>
  <si>
    <t>DISJUNTOR BIPOLAR TIPO DIN, CORRENTE NOMINAL DE 32A - FORNECIMENTO E I NSTALAÇÃO. AF_04/2016</t>
  </si>
  <si>
    <t>DISJUNTOR BIPOLAR TIPO DIN, CORRENTE NOMINAL DE 40A - FORNECIMENTO E I NSTALAÇÃO. AF_04/2016</t>
  </si>
  <si>
    <t>DISJUNTOR BIPOLAR TIPO DIN, CORRENTE NOMINAL DE 50A - FORNECIMENTO E I NSTALAÇÃO. AF_04/2016</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</si>
  <si>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</si>
  <si>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</si>
  <si>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</si>
  <si>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</si>
  <si>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</si>
  <si>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</si>
  <si>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</si>
  <si>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</si>
  <si>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</si>
  <si>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</si>
  <si>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BIPOLAR PADRAO NEMA (AMERICANO) 10 A 50A 240V , FORNECIMENTO E INSTALACAO</t>
  </si>
  <si>
    <t>DISJUNTOR TERMOMAGNETICO MONOPOLAR PADRAO NEMA (AMERICANO) 10 A 30A 24 0V, FORNECIMENTO E INSTALACAO</t>
  </si>
  <si>
    <t>DISJUNTOR TERMOMAGNETICO MONOPOLAR PADRAO NEMA (AMERICANO) 35 A 50A 24 0V, FORNECIMENTO E INSTALACAO</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</si>
  <si>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</si>
  <si>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</si>
  <si>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</si>
  <si>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</si>
  <si>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</si>
  <si>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</si>
  <si>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</si>
  <si>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</si>
  <si>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</si>
  <si>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</si>
  <si>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TERMOMAGNETICO TRIPOLAR EM CAIXA MOLDADA 175 A 225A 240V, FO RNECIMENTO E INSTALACAO</t>
  </si>
  <si>
    <t>DISJUNTOR TERMOMAGNETICO TRIPOLAR EM CAIXA MOLDADA 250A 600V, FORNECIM ENTO E INSTALACAO</t>
  </si>
  <si>
    <t>DISJUNTOR TERMOMAGNETICO TRIPOLAR EM CAIXA MOLDADA 300 A 400A 600V, FO RNECIMENTO E INSTALACAO</t>
  </si>
  <si>
    <t>DISJUNTOR TERMOMAGNETICO TRIPOLAR EM CAIXA MOLDADA 500 A 600A 600V, FO RNECIMENTO E INSTALACAO</t>
  </si>
  <si>
    <t>DISJUNTOR TERMOMAGNETICO TRIPOLAR PADRAO NEMA (AMERICANO) 10 A 50A 240 V, FORNECIMENTO E INSTALACAO</t>
  </si>
  <si>
    <t>DISJUNTOR TERMOMAGNETICO TRIPOLAR PADRAO NEMA (AMERICANO) 125 A 150A 2 40V, FORNECIMENTO E INSTALACAO</t>
  </si>
  <si>
    <t>DISJUNTOR TERMOMAGNETICO TRIPOLAR PADRAO NEMA (AMERICANO) 60 A 100A 24 0V, FORNECIMENTO E INSTALACAO</t>
  </si>
  <si>
    <t>DISJUNTOR TETRAPOLAR TIPO DR, CORRENTE NOMINAL DE 40A - FORNECIMENTO E INSTALAÇÃO. AF_04/2016</t>
  </si>
  <si>
    <t>DISJUNTOR TIPO DIN / IEC, MONOPOLAR DE 40  ATE 50A</t>
  </si>
  <si>
    <t>DISJUNTOR TIPO DIN/IEC, BIPOLAR 40 ATE 50A</t>
  </si>
  <si>
    <t>DISJUNTOR TIPO DIN/IEC, BIPOLAR 63 A</t>
  </si>
  <si>
    <t>DISJUNTOR TIPO DIN/IEC, BIPOLAR DE 6 ATE 32A</t>
  </si>
  <si>
    <t>DISJUNTOR TIPO DIN/IEC, MONOPOLAR DE 6  ATE  32A</t>
  </si>
  <si>
    <t>DISJUNTOR TIPO DIN/IEC, MONOPOLAR DE 63 A</t>
  </si>
  <si>
    <t>DISJUNTOR TIPO DIN/IEC, TRIPOLAR 63 A</t>
  </si>
  <si>
    <t>DISJUNTOR TIPO DIN/IEC, TRIPOLAR DE 10 ATE 50A</t>
  </si>
  <si>
    <t>DISJUNTOR TIPO NEMA, BIPOLAR 10  ATE  50 A, TENSAO MAXIMA 415 V</t>
  </si>
  <si>
    <t>DISJUNTOR TIPO NEMA, BIPOLAR 60 ATE 100A</t>
  </si>
  <si>
    <t>DISJUNTOR TIPO NEMA, MONOPOLAR 10 ATE 30A, TENSAO MAXIMA DE 240 V</t>
  </si>
  <si>
    <t>DISJUNTOR TIPO NEMA, MONOPOLAR 35  ATE  50 A, TENSAO MAXIMA DE 240 V</t>
  </si>
  <si>
    <t>DISJUNTOR TIPO NEMA, MONOPOLAR DE 60 ATE 70A</t>
  </si>
  <si>
    <t>DISJUNTOR TIPO NEMA, TRIPOLAR 10  ATE  50A, TENSAO MAXIMA DE 415 V</t>
  </si>
  <si>
    <t>DISJUNTOR TIPO NEMA, TRIPOLAR 60 ATE 100 A, TENSAO MAXIMA DE 415 V</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</si>
  <si>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</si>
  <si>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</si>
  <si>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</si>
  <si>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</si>
  <si>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</si>
  <si>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</si>
  <si>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</si>
  <si>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</si>
  <si>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</si>
  <si>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</si>
  <si>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</si>
  <si>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</si>
  <si>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</si>
  <si>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</si>
  <si>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</si>
  <si>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</si>
  <si>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</si>
  <si>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</si>
  <si>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</si>
  <si>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</si>
  <si>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</si>
  <si>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</si>
  <si>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</si>
  <si>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</si>
  <si>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</si>
  <si>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</si>
  <si>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</si>
  <si>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</si>
  <si>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</si>
  <si>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</si>
  <si>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</si>
  <si>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</si>
  <si>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</si>
  <si>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</si>
  <si>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</si>
  <si>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</si>
  <si>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</si>
  <si>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</si>
  <si>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</si>
  <si>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</si>
  <si>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</si>
  <si>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DISSIPADOR DE ENERGIA EM PEDRA ARGAMASSADA ESPESSURA 6CM INCL MATERIAI S E COLOCACAO MEDIDO P/ VOLUME DE PEDRA ARGAMASSADA</t>
  </si>
  <si>
    <t>DISTRIBUIDOR DE AGREGADOS AUTOPROPELIDO, C/AP 3 M3, A DIESEL, POTÊNCIA 176CV - JUROS. AF_07/2016</t>
  </si>
  <si>
    <t>DISTRIBUIDOR DE AGREGADOS AUTOPROPELIDO, CAP 3 M3, A DIESEL, 6 CC, 176 CV</t>
  </si>
  <si>
    <t>DISTRIBUIDOR DE AGREGADOS AUTOPROPELIDO, CAP 3 M3, A DIESEL, POTÊNCIA 176CV - CHI DIURNO. AF_07/2016</t>
  </si>
  <si>
    <t>DISTRIBUIDOR DE AGREGADOS AUTOPROPELIDO, CAP 3 M3, A DIESEL, POTÊNCIA 176CV - CHP DIURNO. AF_07/2016</t>
  </si>
  <si>
    <t>DISTRIBUIDOR DE AGREGADOS AUTOPROPELIDO, CAP 3 M3, A DIESEL, POTÊNCIA 176CV - DEPRECIAÇÃO. AF_07/2016</t>
  </si>
  <si>
    <t>DISTRIBUIDOR DE AGREGADOS AUTOPROPELIDO, CAP 3 M3, A DIESEL, POTÊNCIA 176CV - MANUTENÇÃO. AF_07/2016</t>
  </si>
  <si>
    <t>DISTRIBUIDOR DE AGREGADOS AUTOPROPELIDO, CAP 3 M3, A DIESEL, POTÊNCIA 176CV  MATERIAIS NA OPERAÇÃO. AF_07/2016</t>
  </si>
  <si>
    <t>DISTRIBUIDOR DE AGREGADOS REBOCAVEL, CAPACIDADE 1,9 M³, LARGURA DE TRA BALHO 3,66 M - CHI DIURNO. AF_11/2015</t>
  </si>
  <si>
    <t>DISTRIBUIDOR DE AGREGADOS REBOCAVEL, CAPACIDADE 1,9 M³, LARGURA DE TRA BALHO 3,66 M - CHP DIURNO. AF_11/2015</t>
  </si>
  <si>
    <t>DISTRIBUIDOR DE AGREGADOS REBOCAVEL, CAPACIDADE 1,9 M³, LARGURA DE TRA BALHO 3,66 M - DEPRECIAÇÃO. AF_11/2015</t>
  </si>
  <si>
    <t>DISTRIBUIDOR DE AGREGADOS REBOCAVEL, CAPACIDADE 1,9 M³, LARGURA DE TRA BALHO 3,66 M - JUROS. AF_11/2015</t>
  </si>
  <si>
    <t>DISTRIBUIDOR DE AGREGADOS REBOCAVEL, CAPACIDADE 1,9 M³, LARGURA DE TRA BALHO 3,66 M - MANUTENÇÃO. AF_11/2015</t>
  </si>
  <si>
    <t>DISTRIBUIDOR DE AGREGADOS REBOCAVEL, CAPACIDADE 1,9 M3, LARGURA DE TRABALHO 3,66 M</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</si>
  <si>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</si>
  <si>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</si>
  <si>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</si>
  <si>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</si>
  <si>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</si>
  <si>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</si>
  <si>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</si>
  <si>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</si>
  <si>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</si>
  <si>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</si>
  <si>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</si>
  <si>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</si>
  <si>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</si>
  <si>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</si>
  <si>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</si>
  <si>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</si>
  <si>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</si>
  <si>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BRANCO ESP=3CM COM DUAS FACES POLIDAS LEVIGADO</t>
  </si>
  <si>
    <t>DIVISORIA EM GRANITO BRANCO POLIDO, ESP = 3CM, ASSENTADO COM ARGAMASSA TRACO 1:4, ARREMATE EM CIMENTO BRANCO, EXCLUSIVE FERRAGENS</t>
  </si>
  <si>
    <t>DIVISORIA EM MADEIRA COMPENSADA RESINADA ESPESSURA 6MM, ESTRUTURADA EM MADEIRA DE LEI 3"X3"</t>
  </si>
  <si>
    <t>DIVISORIA EM MARMORE BRANCO POLIDO, ESPESSURA 3 CM, ASSENTADO COM ARGA MASSA TRACO 1:4 (CIMENTO E AREIA), ARREMATE COM CIMENTO BRANCO, EXCLUS IVE FERRAGENS</t>
  </si>
  <si>
    <t>DIVISORIA EM MARMORE, COM DUAS FACES POLIDAS, BRANCO COMUM, E=  *3,0* CM</t>
  </si>
  <si>
    <t>DIVISORIA EM MARMORITE ESPESSURA 35MM, CHUMBAMENTO NO PISO E PAREDE CO M ARGAMASSA DE CIMENTO E AREIA, POLIMENTO MANUAL, EXCLUSIVE FERRAGENS</t>
  </si>
  <si>
    <t>DIVISORIA, PLACA  PRE-MOLDADA EM GRANILITE, MARMORITE OU GRANITINA,  E = *3 CM</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</si>
  <si>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</si>
  <si>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</si>
  <si>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</si>
  <si>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</si>
  <si>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3" X 21/2", E=1,9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</si>
  <si>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</si>
  <si>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</si>
  <si>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</si>
  <si>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</si>
  <si>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 E VEM EM LATAO POLIDO 3"</t>
  </si>
  <si>
    <t>DOBRADICA TIPO VAI-E-VEM EM ACO/FERRO, TAMANHO 3'', GALVANIZADO, COM PARAFUSOS</t>
  </si>
  <si>
    <t>DOMOS INDIVIDUAL EM ACRILICO BRANCO *95 X 95* CM, SEM INSTALACAO</t>
  </si>
  <si>
    <t>DOSADOR DE AREIA, CAPACIDADE DE *26* LITROS</t>
  </si>
  <si>
    <t>DRAGAGEM (C/ ESCAVADEIRA DRAG LINE DE ARRASTE 140HP)</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</si>
  <si>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</si>
  <si>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</si>
  <si>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</si>
  <si>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</si>
  <si>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DUTO CHAPA GALVANIZADA NUM 22 P/ AR CONDICIONADO</t>
  </si>
  <si>
    <t>DUTO CHAPA GALVANIZADA NUM 26 P/ AR CONDICIONADO</t>
  </si>
  <si>
    <t>DUTO ESPIRAL FLEXIVEL SINGELO PEAD D=50MM(2") REVESTIDO COM PVC COM FI O GUIA DE ACO GALVANIZADO, LANCADO DIRETO NO SOLO, INCL CONEXOES</t>
  </si>
  <si>
    <t>DUTO ESPIRAL FLEXIVEL SINGELO PEAD D=75MM(3") REVESTIDO COM PVC COM FI O GUIA DE ACO GALVANIZADO, LANCADO DIRETO NO SOLO, INCL CONEXOES</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</si>
  <si>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</si>
  <si>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</si>
  <si>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</si>
  <si>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</si>
  <si>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</si>
  <si>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</si>
  <si>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</si>
  <si>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</si>
  <si>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</si>
  <si>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</si>
  <si>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</si>
  <si>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</si>
  <si>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</si>
  <si>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</si>
  <si>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</si>
  <si>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 (MENSALISTA)</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</si>
  <si>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</si>
  <si>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</si>
  <si>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</si>
  <si>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</si>
  <si>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</si>
  <si>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</si>
  <si>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</si>
  <si>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</si>
  <si>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</si>
  <si>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</si>
  <si>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</si>
  <si>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</si>
  <si>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</si>
  <si>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</si>
  <si>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</si>
  <si>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FLEXÍVEL CORRUGADO, PVC, DN 20 MM (1/2"), PARA CIRCUITOS TE RMINAIS, INSTALADO EM FORRO - FORNECIMENTO E INSTALAÇÃO. AF_12/2015</t>
  </si>
  <si>
    <t>ELETRODUTO FLEXÍVEL CORRUGADO, PVC, DN 20 MM (1/2"), PARA CIRCUITOS TE RMINAIS, INSTALADO EM LAJE - FORNECIMENTO E INSTALAÇÃO. AF_12/2015</t>
  </si>
  <si>
    <t>ELETRODUTO FLEXÍVEL CORRUGADO, PVC, DN 20 MM (1/2"), PARA CIRCUITOS TE RMINAIS, INSTALADO EM PAREDE - FORNECIMENTO E INSTALAÇÃO. AF_12/2015</t>
  </si>
  <si>
    <t>ELETRODUTO FLEXÍVEL CORRUGADO, PVC, DN 25 MM (3/4"), PARA CIRCUITOS TE RMINAIS, INSTALADO EM FORRO - FORNECIMENTO E INSTALAÇÃO. AF_12/2015</t>
  </si>
  <si>
    <t>ELETRODUTO FLEXÍVEL CORRUGADO, PVC, DN 25 MM (3/4"), PARA CIRCUITOS TE RMINAIS, INSTALADO EM LAJE - FORNECIMENTO E INSTALAÇÃO. AF_12/2015</t>
  </si>
  <si>
    <t>ELETRODUTO FLEXÍVEL CORRUGADO, PVC, DN 25 MM (3/4"), PARA CIRCUITOS TE RMINAIS, INSTALADO EM PAREDE - FORNECIMENTO E INSTALAÇÃO. AF_12/2015</t>
  </si>
  <si>
    <t>ELETRODUTO FLEXÍVEL CORRUGADO, PVC, DN 32 MM (1"), PARA CIRCUITOS TERM INAIS, INSTALADO EM FORRO - FORNECIMENTO E INSTALAÇÃO. AF_12/2015</t>
  </si>
  <si>
    <t>ELETRODUTO FLEXÍVEL CORRUGADO, PVC, DN 32 MM (1"), PARA CIRCUITOS TERM INAIS, INSTALADO EM LAJE - FORNECIMENTO E INSTALAÇÃO. AF_12/2015</t>
  </si>
  <si>
    <t>ELETRODUTO FLEXÍVEL CORRUGADO, PVC, DN 32 MM (1"), PARA CIRCUITOS TERM INAIS, INSTALADO EM PAREDE - FORNECIMENTO E INSTALAÇÃO. AF_12/2015</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</si>
  <si>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</si>
  <si>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</si>
  <si>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</si>
  <si>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</si>
  <si>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</si>
  <si>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</si>
  <si>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</si>
  <si>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 RÍGIDO ROSCÁVEL, PVC, DN 110 MM (4") - FORNECIMENTO E INSTA LAÇÃO. AF_12/2015</t>
  </si>
  <si>
    <t>ELETRODUTO RÍGIDO ROSCÁVEL, PVC, DN 20 MM (1/2"), PARA CIRCUITOS TERMI NAIS, INSTALADO EM FORRO - FORNECIMENTO E INSTALAÇÃO. AF_12/2015</t>
  </si>
  <si>
    <t>ELETRODUTO RÍGIDO ROSCÁVEL, PVC, DN 20 MM (1/2"), PARA CIRCUITOS TERMI NAIS, INSTALADO EM LAJE - FORNECIMENTO E INSTALAÇÃO. AF_12/2015</t>
  </si>
  <si>
    <t>ELETRODUTO RÍGIDO ROSCÁVEL, PVC, DN 20 MM (1/2"), PARA CIRCUITOS TERMI NAIS, INSTALADO EM PAREDE - FORNECIMENTO E INSTALAÇÃO. AF_12/2015</t>
  </si>
  <si>
    <t>ELETRODUTO RÍGIDO ROSCÁVEL, PVC, DN 25 MM (3/4"), PARA CIRCUITOS TERMI NAIS, INSTALADO EM FORRO - FORNECIMENTO E INSTALAÇÃO. AF_12/2015</t>
  </si>
  <si>
    <t>ELETRODUTO RÍGIDO ROSCÁVEL, PVC, DN 25 MM (3/4"), PARA CIRCUITOS TERMI NAIS, INSTALADO EM LAJE - FORNECIMENTO E INSTALAÇÃO. AF_12/2015</t>
  </si>
  <si>
    <t>ELETRODUTO RÍGIDO ROSCÁVEL, PVC, DN 25 MM (3/4"), PARA CIRCUITOS TERMI NAIS, INSTALADO EM PAREDE - FORNECIMENTO E INSTALAÇÃO. AF_12/2015</t>
  </si>
  <si>
    <t>ELETRODUTO RÍGIDO ROSCÁVEL, PVC, DN 32 MM (1"), PARA CIRCUITOS TERMINA IS, INSTALADO EM FORRO - FORNECIMENTO E INSTALAÇÃO. AF_12/2015</t>
  </si>
  <si>
    <t>ELETRODUTO RÍGIDO ROSCÁVEL, PVC, DN 32 MM (1"), PARA CIRCUITOS TERMINA IS, INSTALADO EM LAJE - FORNECIMENTO E INSTALAÇÃO. AF_12/2015</t>
  </si>
  <si>
    <t>ELETRODUTO RÍGIDO ROSCÁVEL, PVC, DN 32 MM (1"), PARA CIRCUITOS TERMINA IS, INSTALADO EM PAREDE - FORNECIMENTO E INSTALAÇÃO. AF_12/2015</t>
  </si>
  <si>
    <t>ELETRODUTO RÍGIDO ROSCÁVEL, PVC, DN 40 MM (1 1/4"), PARA CIRCUITOS TER MINAIS, INSTALADO EM FORRO - FORNECIMENTO E INSTALAÇÃO. AF_12/2015</t>
  </si>
  <si>
    <t>ELETRODUTO RÍGIDO ROSCÁVEL, PVC, DN 40 MM (1 1/4"), PARA CIRCUITOS TER MINAIS, INSTALADO EM LAJE - FORNECIMENTO E INSTALAÇÃO. AF_12/2015</t>
  </si>
  <si>
    <t>ELETRODUTO RÍGIDO ROSCÁVEL, PVC, DN 40 MM (1 1/4"), PARA CIRCUITOS TER MINAIS, INSTALADO EM PAREDE - FORNECIMENTO E INSTALAÇÃO. AF_12/2015</t>
  </si>
  <si>
    <t>ELETRODUTO RÍGIDO ROSCÁVEL, PVC, DN 50 MM (1 1/2") - FORNECIMENTO E IN STALAÇÃO. AF_12/2015</t>
  </si>
  <si>
    <t>ELETRODUTO RÍGIDO ROSCÁVEL, PVC, DN 60 MM (2") - FORNECIMENTO E INSTAL AÇÃO. AF_12/2015</t>
  </si>
  <si>
    <t>ELETRODUTO RÍGIDO ROSCÁVEL, PVC, DN 75 MM (2 1/2") - FORNECIMENTO E IN STALAÇÃO. AF_12/2015</t>
  </si>
  <si>
    <t>ELETRODUTO RÍGIDO ROSCÁVEL, PVC, DN 85 MM (3") - FORNECIMENTO E INSTAL AÇÃO. AF_12/2015</t>
  </si>
  <si>
    <t>ELETRODUTO/CONDULETE DE PVC RIGIDO, LISO, COR CINZA, DE 1", PARA INSTALACOES APARENTES (NBR 5410)</t>
  </si>
  <si>
    <t>ELETRODUTO/CONDULETE DE PVC RIGIDO, LISO, COR CINZA, DE 1/2", PARA INSTALACOES APARENTES (NBR 5410)</t>
  </si>
  <si>
    <t>ELETRODUTO/CONDULETE DE PVC RIGIDO, LISO, COR CINZA, DE 3/4", PARA INSTALACOES APARENTES (NBR 5410)</t>
  </si>
  <si>
    <t>ELETROTECNICO</t>
  </si>
  <si>
    <t>ELETROTECNICO (MENSALISTA)</t>
  </si>
  <si>
    <t>ELEVADOR DE CARGA A CABO, CABINE SEMI FECHADA *2,0* X *1,5* X *2,0* M, CAPACIDADE DE CARGA 1000 KG, TORRE  *2,38* X *2,21* X 15 M, GUINCHO DE EMBREAGEM, FREIO DE SEGURANCA, LIMITADOR DE VELOCIDADE E CANCELA (LOCACAO)</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</si>
  <si>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</si>
  <si>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</si>
  <si>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ELEVADOR DE CREMALHEIRA CABINE SIMPLES FECHADA 1,5 X 2,5 X 2,35 M (UMA POR TORRE), CAPACIDADE DE CARGA *1200* KG (15 PESSOAS), TORRE DE 24 M (16 MODULOS), 16 PARADAS, FREIO DE SEGURANCA, LIMITADOR DE CARGA (LOCACAO)</t>
  </si>
  <si>
    <t>EMASSAMENTO COM MASSA A OLEO, DUAS DEMAOS</t>
  </si>
  <si>
    <t>EMASSAMENTO COM MASSA A OLEO, UMA DEMAO</t>
  </si>
  <si>
    <t>EMASSAMENTO COM MASSA EPOXI, 2 DEMAOS</t>
  </si>
  <si>
    <t>EMBASAMENTO C/PEDRA ARGAMASSADA UTILIZANDO ARG.CIM/AREIA 1:4</t>
  </si>
  <si>
    <t>EMBASAMENTO DE MATERIAL GRANULAR - PO DE PEDRA</t>
  </si>
  <si>
    <t>EMBASAMENTO DE MATERIAL GRANULAR - RACHAO</t>
  </si>
  <si>
    <t>EMBOÇAMENTO COM ARGAMASSA TRAÇO 1:2:9 (CIMENTO, CAL E AREIA). AF_06/20 16</t>
  </si>
  <si>
    <t>EMBOÇO OU MASSA ÚNICA EM ARGAMASSA INDUSTRIALIZADA, PREPARO MECÂNICO E APLICAÇÃO COM EQUIPAMENTO DE MISTURA E PROJEÇÃO DE 1,5 M3/H DE ARGAMA SSA EM PANOS CEGOS DE FACHADA (SEM PRESENÇA DE VÃOS), ESPESSURA DE 25 MM. AF_06/2014</t>
  </si>
  <si>
    <t>EMBOÇO OU MASSA ÚNICA EM ARGAMASSA INDUSTRIALIZADA, PREPARO MECÂNICO E APLICAÇÃO COM EQUIPAMENTO DE MISTURA E PROJEÇÃO DE 1,5 M3/H DE ARGAMA SSA EM PANOS CEGOS DE FACHADA (SEM PRESENÇA DE VÃOS), ESPESSURA DE 35 MM. AF_06/2014</t>
  </si>
  <si>
    <t>EMBOÇO OU MASSA ÚNICA EM ARGAMASSA INDUSTRIALIZADA, PREPARO MECÂNICO E APLICAÇÃO COM EQUIPAMENTO DE MISTURA E PROJEÇÃO DE 1,5 M3/H DE ARGAMA SSA EM PANOS CEGOS DE FACHADA (SEM PRESENÇA DE VÃOS), ESPESSURA DE 45 MM. AF_06/2014</t>
  </si>
  <si>
    <t>EMBOÇO OU MASSA ÚNICA EM ARGAMASSA INDUSTRIALIZADA, PREPARO MECÂNICO E APLICAÇÃO COM EQUIPAMENTO DE MISTURA E PROJEÇÃO DE 1,5 M3/H DE ARGAMA SSA EM PANOS CEGOS DE FACHADA (SEM PRESENÇA DE VÃOS), ESPESSURA MAIOR OU IGUAL A 50 MM. AF_06/2014</t>
  </si>
  <si>
    <t>EMBOÇO OU MASSA ÚNICA EM ARGAMASSA INDUSTRIALIZADA, PREPARO MECÂNICO E APLICAÇÃO COM EQUIPAMENTO DE MISTURA E PROJEÇÃO DE 1,5 M3/H DE ARGAMA SSA EM PANOS DE FACHADA COM PRESENÇA DE VÃOS, ESPESSURA DE 25 MM. AF_0 6/2014</t>
  </si>
  <si>
    <t>EMBOÇO OU MASSA ÚNICA EM ARGAMASSA INDUSTRIALIZADA, PREPARO MECÂNICO E APLICAÇÃO COM EQUIPAMENTO DE MISTURA E PROJEÇÃO DE 1,5 M3/H DE ARGAMA SSA EM PANOS DE FACHADA COM PRESENÇA DE VÃOS, ESPESSURA DE 35 MM. AF_0 6/2014</t>
  </si>
  <si>
    <t>EMBOÇO OU MASSA ÚNICA EM ARGAMASSA INDUSTRIALIZADA, PREPARO MECÂNICO E APLICAÇÃO COM EQUIPAMENTO DE MISTURA E PROJEÇÃO DE 1,5 M3/H DE ARGAMA SSA EM PANOS DE FACHADA COM PRESENÇA DE VÃOS, ESPESSURA DE 45 MM. AF_0 6/2014</t>
  </si>
  <si>
    <t>EMBOÇO OU MASSA ÚNICA EM ARGAMASSA INDUSTRIALIZADA, PREPARO MECÂNICO E APLICAÇÃO COM EQUIPAMENTO DE MISTURA E PROJEÇÃO DE 1,5 M3/H DE ARGAMA SSA EM PANOS DE FACHADA COM PRESENÇA DE VÃOS, ESPESSURA MAIOR OU IGUAL A 50 MM. AF_06/2014</t>
  </si>
  <si>
    <t>EMBOÇO OU MASSA ÚNICA EM ARGAMASSA INDUSTRIALIZADA, PREPARO MECÂNICO E APLICAÇÃO COM EQUIPAMENTO DE MISTURA E PROJEÇÃO DE 1,5 M3/H DE ARGAMA SSA NAS PAREDES INTERNAS DA SACADA, ESPESSURA 35 MM, SEM USO DE TELA M ETÁLICA. AF_06/2014</t>
  </si>
  <si>
    <t>EMBOÇO OU MASSA ÚNICA EM ARGAMASSA INDUSTRIALIZADA, PREPARO MECÂNICO E APLICAÇÃO COM EQUIPAMENTO DE MISTURA E PROJEÇÃO DE 1,5 M3/H EM SUPERF ÍCIES EXTERNAS DA SACADA, ESPESSURA 25 MM, SEM USO DE TELA METÁLICA. A F_06/2014</t>
  </si>
  <si>
    <t>EMBOÇO OU MASSA ÚNICA EM ARGAMASSA INDUSTRIALIZADA, PREPARO MECÂNICO E APLICAÇÃO COM EQUIPAMENTO DE MISTURA E PROJEÇÃO DE 1,5 M3/H EM SUPERF ÍCIES EXTERNAS DA SACADA, ESPESSURA 35 MM, SEM USO DE TELA METÁLICA. A F_06/2014</t>
  </si>
  <si>
    <t>EMBOÇO OU MASSA ÚNICA EM ARGAMASSA INDUSTRIALIZADA, PREPARO MECÂNICO E APLICAÇÃO COM EQUIPAMENTO DE MISTURA E PROJEÇÃO DE 1,5 M3/H EM SUPERF ÍCIES EXTERNAS DA SACADA, ESPESSURA 45 MM, SEM USO DE TELA METÁLICA. A F_06/2014</t>
  </si>
  <si>
    <t>EMBOÇO OU MASSA ÚNICA EM ARGAMASSA INDUSTRIALIZADA, PREPARO MECÂNICO E APLICAÇÃO COM EQUIPAMENTO DE MISTURA E PROJEÇÃO DE 1,5 M3/H EM SUPERF ÍCIES EXTERNAS DA SACADA, ESPESSURA MAIOR OU IGUAL A 50 MM, SEM USO DE TELA METÁLICA. AF_06/2014</t>
  </si>
  <si>
    <t>EMBOÇO OU MASSA ÚNICA EM ARGAMASSA INDUSTRIALIZADA, PREPARO MECÂNICO E APLICAÇÃO COM EQUIPAMENTO DE MISTURA E PROJEÇÃO DE 1,5 M3/H NAS PARED ES INTERNAS DA SACADA, ESPESSURA 25 MM, SEM USO DE TELA METÁLICA. AF_0 6/2014</t>
  </si>
  <si>
    <t>EMBOÇO OU MASSA ÚNICA EM ARGAMASSA TRAÇO 1:2:8, PREPARO MANUAL, APLICA DA MANUALMENTE EM PANOS CEGOS DE FACHADA (SEM PRESENÇA DE VÃOS), ESPES SURA DE 25 MM. AF_06/2014</t>
  </si>
  <si>
    <t>EMBOÇO OU MASSA ÚNICA EM ARGAMASSA TRAÇO 1:2:8, PREPARO MANUAL, APLICA DA MANUALMENTE EM PANOS CEGOS DE FACHADA (SEM PRESENÇA DE VÃOS), ESPES SURA DE 35 MM. AF_06/2014</t>
  </si>
  <si>
    <t>EMBOÇO OU MASSA ÚNICA EM ARGAMASSA TRAÇO 1:2:8, PREPARO MANUAL, APLICA DA MANUALMENTE EM PANOS CEGOS DE FACHADA (SEM PRESENÇA DE VÃOS), ESPES SURA DE 45 MM. AF_06/2014</t>
  </si>
  <si>
    <t>EMBOÇO OU MASSA ÚNICA EM ARGAMASSA TRAÇO 1:2:8, PREPARO MANUAL, APLICA DA MANUALMENTE EM PANOS CEGOS DE FACHADA (SEM PRESENÇA DE VÃOS), ESPES SURA MAIOR OU IGUAL A 50 MM. AF_06/2014</t>
  </si>
  <si>
    <t>EMBOÇO OU MASSA ÚNICA EM ARGAMASSA TRAÇO 1:2:8, PREPARO MANUAL, APLICA DA MANUALMENTE EM PANOS DE FACHADA COM PRESENÇA DE VÃOS, ESPESSURA DE 25 MM. AF_06/2014</t>
  </si>
  <si>
    <t>EMBOÇO OU MASSA ÚNICA EM ARGAMASSA TRAÇO 1:2:8, PREPARO MANUAL, APLICA DA MANUALMENTE EM PANOS DE FACHADA COM PRESENÇA DE VÃOS, ESPESSURA DE 35 MM. AF_06/2014</t>
  </si>
  <si>
    <t>EMBOÇO OU MASSA ÚNICA EM ARGAMASSA TRAÇO 1:2:8, PREPARO MANUAL, APLICA DA MANUALMENTE EM PANOS DE FACHADA COM PRESENÇA DE VÃOS, ESPESSURA DE 45 MM. AF_06/2014</t>
  </si>
  <si>
    <t>EMBOÇO OU MASSA ÚNICA EM ARGAMASSA TRAÇO 1:2:8, PREPARO MANUAL, APLICA DA MANUALMENTE EM PANOS DE FACHADA COM PRESENÇA DE VÃOS, ESPESSURA MAI OR OU IGUAL A 50 MM. AF_06/2014</t>
  </si>
  <si>
    <t>EMBOÇO OU MASSA ÚNICA EM ARGAMASSA TRAÇO 1:2:8, PREPARO MANUAL, APLICA DA MANUALMENTE EM SUPERFÍCIES EXTERNAS DA SACADA, ESPESSURA DE 25 MM, SEM USO DE TELA METÁLICA DE REFORÇO CONTRA FISSURAÇÃO. AF_06/2014</t>
  </si>
  <si>
    <t>EMBOÇO OU MASSA ÚNICA EM ARGAMASSA TRAÇO 1:2:8, PREPARO MANUAL, APLICA DA MANUALMENTE EM SUPERFÍCIES EXTERNAS DA SACADA, ESPESSURA DE 35 MM, SEM USO DE TELA METÁLICA DE REFORÇO CONTRA FISSURAÇÃO. AF_06/2014</t>
  </si>
  <si>
    <t>EMBOÇO OU MASSA ÚNICA EM ARGAMASSA TRAÇO 1:2:8, PREPARO MANUAL, APLICA DA MANUALMENTE EM SUPERFÍCIES EXTERNAS DA SACADA, ESPESSURA DE 45 MM, SEM USO DE TELA METÁLICA DE REFORÇO CONTRA FISSURAÇÃO. AF_06/2014</t>
  </si>
  <si>
    <t>EMBOÇO OU MASSA ÚNICA EM ARGAMASSA TRAÇO 1:2:8, PREPARO MANUAL, APLICA DA MANUALMENTE EM SUPERFÍCIES EXTERNAS DA SACADA, ESPESSURA MAIOR OU I GUAL A 50 MM, SEM USO DE TELA METÁLICA DE REFORÇO CONTRA FISSURAÇÃO. A F_06/2014</t>
  </si>
  <si>
    <t>EMBOÇO OU MASSA ÚNICA EM ARGAMASSA TRAÇO 1:2:8, PREPARO MANUAL, APLICA DA MANUALMENTE NAS PAREDES INTERNAS DA SACADA, ESPESSURA DE 25 MM, SEM USO DE TELA METÁLICA DE REFORÇO CONTRA FISSURAÇÃO. AF_06/2014</t>
  </si>
  <si>
    <t>EMBOÇO OU MASSA ÚNICA EM ARGAMASSA TRAÇO 1:2:8, PREPARO MANUAL, APLICA DA MANUALMENTE NAS PAREDES INTERNAS DA SACADA, ESPESSURA DE 35 MM, SEM USO DE TELA METÁLICA DE REFORÇO CONTRA FISSURAÇÃO. AF_06/2014</t>
  </si>
  <si>
    <t>EMBOÇO OU MASSA ÚNICA EM ARGAMASSA TRAÇO 1:2:8, PREPARO MECÂNICO COM B ETONEIRA 400 L, APLICADA MANUALMENTE EM PANOS CEGOS DE FACHADA (SEM PR ESENÇA DE VÃOS), ESPESSURA DE 25 MM. AF_06/2014</t>
  </si>
  <si>
    <t>EMBOÇO OU MASSA ÚNICA EM ARGAMASSA TRAÇO 1:2:8, PREPARO MECÂNICO COM B ETONEIRA 400 L, APLICADA MANUALMENTE EM PANOS CEGOS DE FACHADA (SEM PR ESENÇA DE VÃOS), ESPESSURA DE 35 MM. AF_06/2014</t>
  </si>
  <si>
    <t>EMBOÇO OU MASSA ÚNICA EM ARGAMASSA TRAÇO 1:2:8, PREPARO MECÂNICO COM B ETONEIRA 400 L, APLICADA MANUALMENTE EM PANOS CEGOS DE FACHADA (SEM PR ESENÇA DE VÃOS), ESPESSURA DE 45 MM. AF_06/2014</t>
  </si>
  <si>
    <t>EMBOÇO OU MASSA ÚNICA EM ARGAMASSA TRAÇO 1:2:8, PREPARO MECÂNICO COM B ETONEIRA 400 L, APLICADA MANUALMENTE EM PANOS CEGOS DE FACHADA (SEM PR ESENÇA DE VÃOS), ESPESSURA MAIOR OU IGUAL A 50 MM. AF_06/2014</t>
  </si>
  <si>
    <t>EMBOÇO OU MASSA ÚNICA EM ARGAMASSA TRAÇO 1:2:8, PREPARO MECÂNICO COM B ETONEIRA 400 L, APLICADA MANUALMENTE EM PANOS DE FACHADA COM PRESENÇA DE VÃOS, ESPESSURA DE 25 MM. AF_06/2014</t>
  </si>
  <si>
    <t>EMBOÇO OU MASSA ÚNICA EM ARGAMASSA TRAÇO 1:2:8, PREPARO MECÂNICO COM B ETONEIRA 400 L, APLICADA MANUALMENTE EM PANOS DE FACHADA COM PRESENÇA DE VÃOS, ESPESSURA DE 35 MM. AF_06/2014</t>
  </si>
  <si>
    <t>EMBOÇO OU MASSA ÚNICA EM ARGAMASSA TRAÇO 1:2:8, PREPARO MECÂNICO COM B ETONEIRA 400 L, APLICADA MANUALMENTE EM PANOS DE FACHADA COM PRESENÇA DE VÃOS, ESPESSURA DE 45 MM. AF_06/2014</t>
  </si>
  <si>
    <t>EMBOÇO OU MASSA ÚNICA EM ARGAMASSA TRAÇO 1:2:8, PREPARO MECÂNICO COM B ETONEIRA 400 L, APLICADA MANUALMENTE EM PANOS DE FACHADA COM PRESENÇA DE VÃOS, ESPESSURA MAIOR OU IGUAL A 50 MM. AF_06/2014</t>
  </si>
  <si>
    <t>EMBOÇO OU MASSA ÚNICA EM ARGAMASSA TRAÇO 1:2:8, PREPARO MECÂNICO COM B ETONEIRA 400 L, APLICADA MANUALMENTE EM SUPERFÍCIES EXTERNAS DA SACADA , ESPESSURA DE 25 MM, SEM USO DE TELA METÁLICA DE REFORÇO CONTRA FISSU RAÇÃO. AF_06/2014</t>
  </si>
  <si>
    <t>EMBOÇO OU MASSA ÚNICA EM ARGAMASSA TRAÇO 1:2:8, PREPARO MECÂNICO COM B ETONEIRA 400 L, APLICADA MANUALMENTE EM SUPERFÍCIES EXTERNAS DA SACADA , ESPESSURA DE 35 MM, SEM USO DE TELA METÁLICA DE REFORÇO CONTRA FISSU RAÇÃO. AF_06/2014</t>
  </si>
  <si>
    <t>EMBOÇO OU MASSA ÚNICA EM ARGAMASSA TRAÇO 1:2:8, PREPARO MECÂNICO COM B ETONEIRA 400 L, APLICADA MANUALMENTE EM SUPERFÍCIES EXTERNAS DA SACADA , ESPESSURA DE 45 MM, SEM USO DE TELA METÁLICA DE REFORÇO CONTRA FISSU RAÇÃO. AF_06/2014</t>
  </si>
  <si>
    <t>EMBOÇO OU MASSA ÚNICA EM ARGAMASSA TRAÇO 1:2:8, PREPARO MECÂNICO COM B ETONEIRA 400 L, APLICADA MANUALMENTE EM SUPERFÍCIES EXTERNAS DA SACADA , ESPESSURA MAIOR OU IGUAL A 50 MM, SEM USO DE TELA METÁLICA DE REFORÇ O CONTRA FISSURAÇÃO. AF_06/2014</t>
  </si>
  <si>
    <t>EMBOÇO OU MASSA ÚNICA EM ARGAMASSA TRAÇO 1:2:8, PREPARO MECÂNICO COM B ETONEIRA 400 L, APLICADA MANUALMENTE NAS PAREDES INTERNAS DA SACADA, E SPESSURA DE 25 MM, SEM USO DE TELA METÁLICA DE REFORÇO CONTRA FISSURAÇ ÃO. AF_06/2014</t>
  </si>
  <si>
    <t>EMBOÇO OU MASSA ÚNICA EM ARGAMASSA TRAÇO 1:2:8, PREPARO MECÂNICO COM B ETONEIRA 400 L, APLICADA MANUALMENTE NAS PAREDES INTERNAS DA SACADA, E SPESSURA DE 35 MM, SEM USO DE TELA METÁLICA DE REFORÇO CONTRA FISSURAÇ ÃO. AF_06/2014</t>
  </si>
  <si>
    <t>EMBOÇO, PARA RECEBIMENTO DE CERÂMICA, EM ARGAMASSA INDUSTRIALIZADA, PR EPARO MECÂNICO, APLICADO COM EQUIPAMENTO DE MISTURA E PROJEÇÃO DE 1,5 M3/H DE ARGAMASSA EM FACES INTERNAS DE PAREDES, PARA AMBIENTE COM ÁREA ENTRE 5M2 E 10M2, ESPESSURA DE 10MM, COM EXECUÇÃO DE TALISCAS. AF_06/ 2014</t>
  </si>
  <si>
    <t>EMBOÇO, PARA RECEBIMENTO DE CERÂMICA, EM ARGAMASSA INDUSTRIALIZADA, PR EPARO MECÂNICO, APLICADO COM EQUIPAMENTO DE MISTURA E PROJEÇÃO DE 1,5 M3/H DE ARGAMASSA EM FACES INTERNAS DE PAREDES, PARA AMBIENTE COM ÁREA ENTRE 5M2 E 10M2, ESPESSURA DE 20MM, COM EXECUÇÃO DE TALISCAS. AF_06/ 2014</t>
  </si>
  <si>
    <t>EMBOÇO, PARA RECEBIMENTO DE CERÂMICA, EM ARGAMASSA INDUSTRIALIZADA, PR EPARO MECÂNICO, APLICADO COM EQUIPAMENTO DE MISTURA E PROJEÇÃO DE 1,5 M3/H DE ARGAMASSA EM FACES INTERNAS DE PAREDES, PARA AMBIENTE COM ÁREA MAIOR QUE 10M2, ESPESSURA DE 10MM, COM EXECUÇÃO DE TALISCAS. AF_06/20 14</t>
  </si>
  <si>
    <t>EMBOÇO, PARA RECEBIMENTO DE CERÂMICA, EM ARGAMASSA INDUSTRIALIZADA, PR EPARO MECÂNICO, APLICADO COM EQUIPAMENTO DE MISTURA E PROJEÇÃO DE 1,5 M3/H DE ARGAMASSA EM FACES INTERNAS DE PAREDES, PARA AMBIENTE COM ÁREA MAIOR QUE 10M2, ESPESSURA DE 20MM, COM EXECUÇÃO DE TALISCAS. AF_06/20 14</t>
  </si>
  <si>
    <t>EMBOÇO, PARA RECEBIMENTO DE CERÂMICA, EM ARGAMASSA INDUSTRIALIZADA, PR EPARO MECÂNICO, APLICADO COM EQUIPAMENTO DE MISTURA E PROJEÇÃO DE 1,5 M3/H DE ARGAMASSA EM FACES INTERNAS DE PAREDES, PARA AMBIENTE COM ÁREA MENOR QUE 5M2, ESPESSURA DE 10MM, COM EXECUÇÃO DE TALISCAS. AF_06/201 4</t>
  </si>
  <si>
    <t>EMBOÇO, PARA RECEBIMENTO DE CERÂMICA, EM ARGAMASSA INDUSTRIALIZADA, PR EPARO MECÂNICO, APLICADO COM EQUIPAMENTO DE MISTURA E PROJEÇÃO DE 1,5 M3/H DE ARGAMASSA EM FACES INTERNAS DE PAREDES, PARA AMBIENTE COM ÁREA MENOR QUE 5M2, ESPESSURA DE 20MM, COM EXECUÇÃO DE TALISCAS. AF_06/20 14</t>
  </si>
  <si>
    <t>EMBOÇO, PARA RECEBIMENTO DE CERÂMICA, EM ARGAMASSA TRAÇO 1:2:8, PREPAR O MANUAL, APLICADO MANUALMENTE EM FACES INTERNAS DE PAREDES, PARA AMBI ENTE COM ÁREA  ENTRE 5M2 E 10M2, ESPESSURA DE 20MM, COM EXECUÇÃO DE TA LISCAS. AF_06/2014</t>
  </si>
  <si>
    <t>EMBOÇO, PARA RECEBIMENTO DE CERÂMICA, EM ARGAMASSA TRAÇO 1:2:8, PREPAR O MANUAL, APLICADO MANUALMENTE EM FACES INTERNAS DE PAREDES, PARA AMBI ENTE COM ÁREA  MAIOR QUE 10M2, ESPESSURA DE 20MM, COM EXECUÇÃO DE TALI SCAS. AF_06/2014</t>
  </si>
  <si>
    <t>EMBOÇO, PARA RECEBIMENTO DE CERÂMICA, EM ARGAMASSA TRAÇO 1:2:8, PREPAR O MANUAL, APLICADO MANUALMENTE EM FACES INTERNAS DE PAREDES, PARA AMBI ENTE COM ÁREA ENTRE 5M2 E 10M2, ESPESSURA DE 10MM, COM EXECUÇÃO DE TAL ISCAS. AF_06/2014</t>
  </si>
  <si>
    <t>EMBOÇO, PARA RECEBIMENTO DE CERÂMICA, EM ARGAMASSA TRAÇO 1:2:8, PREPAR O MANUAL, APLICADO MANUALMENTE EM FACES INTERNAS DE PAREDES, PARA AMBI ENTE COM ÁREA MAIOR QUE 10M2, ESPESSURA DE 10MM, COM EXECUÇÃO DE TALIS CAS. AF_06/2014</t>
  </si>
  <si>
    <t>EMBOÇO, PARA RECEBIMENTO DE CERÂMICA, EM ARGAMASSA TRAÇO 1:2:8, PREPAR O MANUAL, APLICADO MANUALMENTE EM FACES INTERNAS DE PAREDES, PARA AMBI ENTE COM ÁREA MENOR QUE 5M2, ESPESSURA DE 10MM, COM EXECUÇÃO DE TALISC AS. AF_06/2014</t>
  </si>
  <si>
    <t>EMBOÇO, PARA RECEBIMENTO DE CERÂMICA, EM ARGAMASSA TRAÇO 1:2:8, PREPAR O MANUAL, APLICADO MANUALMENTE EM FACES INTERNAS DE PAREDES, PARA AMBI ENTE COM ÁREA MENOR QUE 5M2, ESPESSURA DE 20MM, COM EXECUÇÃO DE TALISC AS. AF_06/2014</t>
  </si>
  <si>
    <t>EMBOÇO, PARA RECEBIMENTO DE CERÂMICA, EM ARGAMASSA TRAÇO 1:2:8, PREPAR O MECÂNICO COM BETONEIRA 400L, APLICADO MANUALMENTE EM FACES INTERNAS DE PAREDES, PARA AMBIENTE COM ÁREA  MAIOR QUE 10M2, ESPESSURA DE 20MM, COM EXECUÇÃO DE TALISCAS. AF_06/2014</t>
  </si>
  <si>
    <t>EMBOÇO, PARA RECEBIMENTO DE CERÂMICA, EM ARGAMASSA TRAÇO 1:2:8, PREPAR O MECÂNICO COM BETONEIRA 400L, APLICADO MANUALMENTE EM FACES INTERNAS DE PAREDES, PARA AMBIENTE COM ÁREA ENTRE 5M2 E 10M2, ESPESSURA DE 10MM , COM EXECUÇÃO DE TALISCAS. AF_06/2014</t>
  </si>
  <si>
    <t>EMBOÇO, PARA RECEBIMENTO DE CERÂMICA, EM ARGAMASSA TRAÇO 1:2:8, PREPAR O MECÂNICO COM BETONEIRA 400L, APLICADO MANUALMENTE EM FACES INTERNAS DE PAREDES, PARA AMBIENTE COM ÁREA ENTRE 5M2 E 10M2, ESPESSURA DE 20MM , COM EXECUÇÃO DE TALISCAS. AF_06/2014</t>
  </si>
  <si>
    <t>EMBOÇO, PARA RECEBIMENTO DE CERÂMICA, EM ARGAMASSA TRAÇO 1:2:8, PREPAR O MECÂNICO COM BETONEIRA 400L, APLICADO MANUALMENTE EM FACES INTERNAS DE PAREDES, PARA AMBIENTE COM ÁREA MAIOR QUE 10M2, ESPESSURA DE 10MM, COM EXECUÇÃO DE TALISCAS. AF_06/2014</t>
  </si>
  <si>
    <t>EMBOÇO, PARA RECEBIMENTO DE CERÂMICA, EM ARGAMASSA TRAÇO 1:2:8, PREPAR O MECÂNICO COM BETONEIRA 400L, APLICADO MANUALMENTE EM FACES INTERNAS DE PAREDES, PARA AMBIENTE COM ÁREA MENOR QUE 5M2, ESPESSURA DE 10MM, C OM EXECUÇÃO DE TALISCAS. AF_06/2014</t>
  </si>
  <si>
    <t>EMBOÇO, PARA RECEBIMENTO DE CERÂMICA, EM ARGAMASSA TRAÇO 1:2:8, PREPAR O MECÂNICO COM BETONEIRA 400L, APLICADO MANUALMENTE EM FACES INTERNAS DE PAREDES, PARA AMBIENTE COM ÁREA MENOR QUE 5M2, ESPESSURA DE 20MM, C OM EXECUÇÃO DE TALISCAS. AF_06/2014</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</si>
  <si>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</si>
  <si>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</si>
  <si>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</si>
  <si>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</si>
  <si>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</si>
  <si>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EMPILHAMENTO DE SOLO ORGANICO RETIRADO NA AREA DO ATERRO COM TRATOR SO BRE ESTEIRAS D6</t>
  </si>
  <si>
    <t>EMULSAO ASFALTICA ANIONICA</t>
  </si>
  <si>
    <t>EMULSAO ASFALTICA CATIONICA RL-1C PARA USO EM PAVIMENTACAO ASFALTICA (COLETADO CAIXA NA ANP ACRESCIDO DE ICMS)</t>
  </si>
  <si>
    <t>EMULSAO ASFALTICA CATIONICA RM-1C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</si>
  <si>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</si>
  <si>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</si>
  <si>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</si>
  <si>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</si>
  <si>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</si>
  <si>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</si>
  <si>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</si>
  <si>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</si>
  <si>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</si>
  <si>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</si>
  <si>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 COM ENCARGOS COMPLEMENTARES</t>
  </si>
  <si>
    <t>ENCERAMENTO MANUAL EM MADEIRA - 3 DEMAOS</t>
  </si>
  <si>
    <t>ENERGIA ELETRICA ATE 2000 KWH INDUSTRIAL, SEM DEMANDA</t>
  </si>
  <si>
    <t>ENGATE / RABICHO FLEXIVEL INOX 1/2 " X 30 CM</t>
  </si>
  <si>
    <t>ENGATE / RABICHO FLEXIVEL INOX 1/2 " X 40 CM</t>
  </si>
  <si>
    <t>ENGATE FLEXÍVEL EM INOX, 1/2 X 30CM - FORNECIMENTO E INSTALAÇÃO. AF_1 2/2013</t>
  </si>
  <si>
    <t>ENGATE FLEXÍVEL EM INOX, 1/2 X 40CM - FORNECIMENTO E INSTALAÇÃO. AF_1 2/2013</t>
  </si>
  <si>
    <t>ENGATE FLEXÍVEL EM PLÁSTICO BRANCO, 1/2" X 30CM - FORNECIMENTO E INSTA LAÇÃO. AF_12/2013</t>
  </si>
  <si>
    <t>ENGATE FLEXÍVEL EM PLÁSTICO BRANCO, 1/2" X 40CM - FORNECIMENTO E INSTA LAÇÃO. AF_12/2013</t>
  </si>
  <si>
    <t>ENGATE/RABICHO FLEXIVEL PLASTICO (PVC OU ABS) BRANCO 1/2 " X 30 CM</t>
  </si>
  <si>
    <t>ENGATE/RABICHO FLEXIVEL PLASTICO (PVC OU ABS) BRANCO 1/2 " X 40 CM</t>
  </si>
  <si>
    <t>ENGENHEIRO CIVIL DE OBRA JUNIOR</t>
  </si>
  <si>
    <t>ENGENHEIRO CIVIL DE OBRA JUNIOR (MENSALISTA)</t>
  </si>
  <si>
    <t>ENGENHEIRO CIVIL DE OBRA JUNIOR COM ENCARGOS COMPLEMENTARES</t>
  </si>
  <si>
    <t>ENGENHEIRO CIVIL DE OBRA SENIOR</t>
  </si>
  <si>
    <t>ENGENHEIRO CIVIL DE OBRA SENIOR (MENSALISTA)</t>
  </si>
  <si>
    <t>ENGENHEIRO CIVIL DE OBRA SENIOR COM ENCARGOS COMPLEMENTARES</t>
  </si>
  <si>
    <t>ENGENHEIRO CIVIL JUNIOR</t>
  </si>
  <si>
    <t>ENGENHEIRO CIVIL JUNIOR (MENSALISTA)</t>
  </si>
  <si>
    <t>ENGENHEIRO CIVIL PLENO (MENSALISTA)</t>
  </si>
  <si>
    <t>ENGENHEIRO CIVIL SENIOR</t>
  </si>
  <si>
    <t>ENGENHEIRO CIVIL SENIOR (MENSALISTA)</t>
  </si>
  <si>
    <t>ENGENHEIRO ELETRICISTA (MENSALISTA)</t>
  </si>
  <si>
    <t>ENGENHEIRO SANITARISTA (MENSALISTA)</t>
  </si>
  <si>
    <t>ENGENHEIRO SANITARISTA COM ENCARGOS COMPLEMENTARES</t>
  </si>
  <si>
    <t>ENROCAMENTO MANUAL, COM ARRUMACAO DO MATERIAL</t>
  </si>
  <si>
    <t>ENROCAMENTO MANUAL, SEM ARRUMACAO DO MATERIAL</t>
  </si>
  <si>
    <t>ENSAIO DE ABRASAO LOS ANGELES - AGREGADOS</t>
  </si>
  <si>
    <t>ENSAIO DE ADESIVIDADE - RESISTENCIA A AGUA - EMULSAO ASFALTICA</t>
  </si>
  <si>
    <t>ENSAIO DE ADESIVIDADE A LIGANTE BETUMINOSO - AGREGADO GRAUDO</t>
  </si>
  <si>
    <t>ENSAIO DE CARGA DA PARTICULA - EMULSAO ASFALTICA</t>
  </si>
  <si>
    <t>ENSAIO DE COMPACTACAO - AMOSTRAS NAO TRABALHADAS - ENERGIA INTERMEDIAR IA - SOLOS</t>
  </si>
  <si>
    <t>ENSAIO DE COMPACTACAO - AMOSTRAS NAO TRABALHADAS - ENERGIA MODIFICADA - SOLOS</t>
  </si>
  <si>
    <t>ENSAIO DE COMPACTACAO - AMOSTRAS NAO TRABALHADAS - ENERGIA NORMAL - SO LOS</t>
  </si>
  <si>
    <t>ENSAIO DE COMPACTACAO - AMOSTRAS TRABALHADAS - SOLOS</t>
  </si>
  <si>
    <t>ENSAIO DE COMPRESSAO AXIAL DE SOLO CIMENTO</t>
  </si>
  <si>
    <t>ENSAIO DE CONSISTENCIA DO CONCRETO CCR - INDICE VEBE</t>
  </si>
  <si>
    <t>ENSAIO DE CONTROLE DE TAXA DE APLICACAO DE LIGANTE BETUMINOSO</t>
  </si>
  <si>
    <t>ENSAIO DE CONTROLE DO GRAU DE COMPACTACAO DA MISTURA ASFALTICA</t>
  </si>
  <si>
    <t>ENSAIO DE DESEMULSIBILIDADE - EMULSAO ASFALTICA</t>
  </si>
  <si>
    <t>ENSAIO DE DESTILACAO - ASFALTO DILUIDO</t>
  </si>
  <si>
    <t>ENSAIO DE DETERMINACAO DA PENEIRACAO - EMULSAO ASFALTICA</t>
  </si>
  <si>
    <t>ENSAIO DE DETERMINACAO DA SEDIMENTACAO - EMULSAO ASFALTICA</t>
  </si>
  <si>
    <t>ENSAIO DE DETERMINACAO DA TAXA DE ESPALHAMENTO DO AGREGADO</t>
  </si>
  <si>
    <t>ENSAIO DE DETERMINACAO DO INDICE DE FORMA - AGREGADOS</t>
  </si>
  <si>
    <t>ENSAIO DE DETERMINACAO DO TEOR DE BETUME - CIMENTO ASFALTICO DE PETROL EO</t>
  </si>
  <si>
    <t>ENSAIO DE ESPUMA - MATERIAL ASFALTICO</t>
  </si>
  <si>
    <t>ENSAIO DE GRANULOMETRIA POR PENEIRAMENTO E SEDIMENTACAO - SOLOS</t>
  </si>
  <si>
    <t>ENSAIO DE INDICE DE SUPORTE CALIFORNIA - AMOSTRAS NAO TRABALHADAS - EN ERGIA INTERMEDIARIA - SOLOS</t>
  </si>
  <si>
    <t>ENSAIO DE INDICE DE SUPORTE CALIFORNIA - AMOSTRAS NAO TRABALHADAS - EN ERGIA NORMAL - SOLOS</t>
  </si>
  <si>
    <t>ENSAIO DE INDICE DE SUPORTE CALIFORNIA- AMOSTRAS NAO TRABALHADAS - ENE RGIA MODIFICADA- SOLOS</t>
  </si>
  <si>
    <t>ENSAIO DE MASSA ESPECIFICA - IN SITU - EMPREGO DO OLEO - SOLOS</t>
  </si>
  <si>
    <t>ENSAIO DE MASSA ESPECIFICA - IN SITU - METODO BALAO DE BORRACHA - SOLO S</t>
  </si>
  <si>
    <t>ENSAIO DE MASSA ESPECIFICA - IN SITU - METODO FRASCO DE AREIA - SOLOS</t>
  </si>
  <si>
    <t>ENSAIO DE PENETRACAO - MATERIAL BETUMINOSO</t>
  </si>
  <si>
    <t>ENSAIO DE RECEBIMENTO E ACEITACAO DE AGREGADO GRAUDO</t>
  </si>
  <si>
    <t>ENSAIO DE RECEBIMENTO E ACEITACAO DE CIMENTO PORTLAND</t>
  </si>
  <si>
    <t>ENSAIO DE RESIDUO POR EVAPORACAO - EMULSAO ASFALTICA</t>
  </si>
  <si>
    <t>ENSAIO DE RESILIENCIA - MISTURAS BETUMINOSAS</t>
  </si>
  <si>
    <t>ENSAIO DE RESILIENCIA - SOLOS</t>
  </si>
  <si>
    <t>ENSAIO DE RESISTENCIA A COMPRESSAO SIMPLES - CONCRETO</t>
  </si>
  <si>
    <t>ENSAIO DE RESISTENCIA A TRACAO NA FLEXAO DE CONCRETO</t>
  </si>
  <si>
    <t>ENSAIO DE RESISTENCIA A TRACAO POR COMPRESSAO DIAMETRAL - CONCRETO</t>
  </si>
  <si>
    <t>ENSAIO DE SUSCEPTIBILIDADE TERMICA - INDICE PFEIFFER - MATERIAL ASFALT ICO</t>
  </si>
  <si>
    <t>ENSAIO DE TEOR DE UMIDADE - EM LABORATORIO - SOLOS</t>
  </si>
  <si>
    <t>ENSAIO DE TEOR DE UMIDADE - METODO EXPEDITO DO ALCOOL - SOLOS</t>
  </si>
  <si>
    <t>ENSAIO DE TEOR DE UMIDADE - PROCESSO SPEEDY - SOLOS E AGREGADOS MIUDOS</t>
  </si>
  <si>
    <t>ENSAIO DE TRACAO POR COMPRESSAO DIAMETRAL - MISTURAS BETUMINOSAS</t>
  </si>
  <si>
    <t>ENSAIO DE VISCOSIDADE CINEMATICA - ASFALTO</t>
  </si>
  <si>
    <t>ENSAIO DE VISCOSIDADE SAYBOLT - FUROL - MATERIAL BETUMINOSO</t>
  </si>
  <si>
    <t>ENSAIOS DE CONCRETO ASFALTICO</t>
  </si>
  <si>
    <t>ENSAIOS DE IMPRIMACAO - ASFALTO DILUIDO</t>
  </si>
  <si>
    <t>ENSAIOS DE MACADAME BETUMINOSO POR PENETRACAO - COM CAP</t>
  </si>
  <si>
    <t>ENSAIOS DE MACADAME BETUMINOSO POR PENETRACAO - COM EMULSAO ASFALTICA</t>
  </si>
  <si>
    <t>ENSAIOS DE PINTURA DE LIGACAO</t>
  </si>
  <si>
    <t>ENSAIOS DE PRE MISTURADO A FRIO</t>
  </si>
  <si>
    <t>ENSAIOS DE REFORCO DO SUBLEITO</t>
  </si>
  <si>
    <t>ENSAIOS DE REGULARIZACAO DO SUBLEITO</t>
  </si>
  <si>
    <t>ENSAIOS DE SUB BASE DE SOLO MELHORADO COM CIMENTO</t>
  </si>
  <si>
    <t>ENSAIOS DE TRATAMENTO SUPERFICIAL DUPLO - COM CAP</t>
  </si>
  <si>
    <t>ENSAIOS DE TRATAMENTO SUPERFICIAL DUPLO - COM EMULSAO ASFALTICA</t>
  </si>
  <si>
    <t>ENSAIOS DE TRATAMENTO SUPERFICIAL SIMPLES - COM CAP</t>
  </si>
  <si>
    <t>ENSAIOS DE TRATAMENTO SUPERFICIAL SIMPLES - COM EMULSAO ASFALTICA</t>
  </si>
  <si>
    <t>ENSAIOS DE TRATAMENTO SUPERFICIAL TRIPLO - COM CAP</t>
  </si>
  <si>
    <t>ENSAIOS DE TRATAMENTO SUPERFICIAL TRIPLO - COM EMULSAO ASFALTICA</t>
  </si>
  <si>
    <t>ENTRADA DE ENERGIA ELÉTRICA AÉREA MONOFÁSICA 50A COM POSTE DE CONCRETO , INCLUSIVE CABEAMENTO, CAIXA DE PROTEÇÃO PARA MEDIDOR E ATERRAMENTO.</t>
  </si>
  <si>
    <t>ENTRADA PROVISORIA DE ENERGIA ELETRICA AEREA TRIFASICA 40A EM POSTE MA DEIRA</t>
  </si>
  <si>
    <t>ENXADA ESTREITA *25 X 23* CM COM CABO</t>
  </si>
  <si>
    <t>EPI (ENCARGOS COMPLEMENTARES) - HORISTA</t>
  </si>
  <si>
    <t>EPI (ENCARGOS COMPLEMENTARES) - MENSALISTA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</si>
  <si>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</si>
  <si>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</si>
  <si>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</si>
  <si>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</si>
  <si>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EM CONCRETO ARMADO, FCK = 15 MPA, MOLDADA IN LOCO</t>
  </si>
  <si>
    <t>ESCADA EXTENSIVEL EM ALUMINIO COM 6,00 M ESTENDIDA</t>
  </si>
  <si>
    <t>ESCADA TIPO MARINHEIRO EM ACO CA-50 9,52MM INCLUSO PINTURA COM FUNDO A NTICORROSIVO TIPO ZARCAO</t>
  </si>
  <si>
    <t>ESCADA TIPO MARINHEIRO EM TUBO ACO GALVANIZADO 1 1/2" 5 DEGRAUS</t>
  </si>
  <si>
    <t>ESCAVACAO E CARGA MATERIAL 1A CATEGORIA, UTILIZANDO TRATOR DE ESTEIRAS DE 110 A 160HP COM LAMINA, PESO OPERACIONAL * 13T  E PA CARREGADEIRA COM 170 HP.</t>
  </si>
  <si>
    <t>ESCAVACAO E TRANSPORTE DE MATERIAL DE  1A CAT DMT 50M COM TRATOR SOBRE ESTEIRAS 347 HP COM LAMINA E ESCARIFICADOR</t>
  </si>
  <si>
    <t>ESCAVACAO E TRANSPORTE DE MATERIAL DE  2A CAT DMT 50M COM TRATOR SOBRE ESTEIRAS 347 HP COM LAMINA E ESCARIFICADOR</t>
  </si>
  <si>
    <t>ESCAVACAO MANUAL CAMPO ABERTO P/TUBULAO - FUSTE E/OU BASE (PARA TODAS AS PROFUNDIDADES)</t>
  </si>
  <si>
    <t>ESCAVACAO MANUAL DE VALA EM LODO, DE 1,5 ATE 3M, EXCLUINDO ESGOTAMENTO /ESCORAMENTO.</t>
  </si>
  <si>
    <t>ESCAVAÇÃO MANUAL DE VALA/CAVA EM LODO, ENTRE 3 E 4,5M DE PROFUNDIDADE</t>
  </si>
  <si>
    <t>ESCAVACAO MECANICA CAMPO ABERTO EM SOLO EXCETO ROCHA ATE 2,00M PROFUND IDADE</t>
  </si>
  <si>
    <t>ESCAVACAO MECANICA DE MATERIAL 1A. CATEGORIA, PROVENIENTE DE CORTE DE SUBLEITO (C/TRATOR ESTEIRAS  160HP)</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</si>
  <si>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</si>
  <si>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</si>
  <si>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MECANICA DE VALA EM MATERIAL DE 2A. CATEGORIA ATE 2 M DE PRO FUNDIDADE COM UTILIZACAO DE ESCAVADEIRA HIDRAULICA</t>
  </si>
  <si>
    <t>ESCAVACAO MECANICA DE VALAS (SOLO COM AGUA), PROFUNDIDADE MAIOR QUE 4, 00 M ATE 6,00 M.</t>
  </si>
  <si>
    <t>ESCAVACAO MECANICA PARA ACERTO DE TALUDES, EM MATERIAL DE 1A CATEGORIA , COM ESCAVADEIRA HIDRAULICA</t>
  </si>
  <si>
    <t>ESCAVACAO MECANICA, A CEU ABERTO, EM MATERIAL DE 1A CATEGORIA, COM ESC AVADEIRA HIDRAULICA, CAPACIDADE DE 0,78 M3</t>
  </si>
  <si>
    <t>ESCAVAÇÃO MECANIZADA DE VALA COM PROF. ATÉ 1,5 M (MÉDIA ENTRE MONTANTE E JUSANTE/UMA COMPOSIÇÃO POR TRECHO), COM ESCAVADEIRA HIDRÁULICA (0,8 M3/111 HP), LARG. DE 1,5 M A 2,5 M, EM SOLO DE 1A CATEGORIA, EM LOCAI S COM ALTO NÍVEL DE INTERFERÊNCIA. AF_01/2015</t>
  </si>
  <si>
    <t>ESCAVAÇÃO MECANIZADA DE VALA COM PROF. ATÉ 1,5 M (MÉDIA ENTRE MONTANTE E JUSANTE/UMA COMPOSIÇÃO POR TRECHO), COM RETROESCAVADEIRA (0,26 M3/8 8 HP), LARG. DE 0,8 M A 1,5 M, EM SOLO DE 1A CATEGORIA, EM LOCAIS COM ALTO NÍVEL DE INTERFERÊNCIA. AF_01/2015</t>
  </si>
  <si>
    <t>ESCAVAÇÃO MECANIZADA DE VALA COM PROF. ATÉ 1,5 M (MÉDIA ENTRE MONTANTE E JUSANTE/UMA COMPOSIÇÃO POR TRECHO), COM RETROESCAVADEIRA (0,26 M3/8 8 HP), LARG. MENOR QUE 0,8 M, EM SOLO DE 1A CATEGORIA, EM LOCAIS COM A LTO NÍVEL DE INTERFERÊNCIA. AF_01/2015</t>
  </si>
  <si>
    <t>ESCAVAÇÃO MECANIZADA DE VALA COM PROF. ATÉ 1,5 M(MÉDIA ENTRE MONTANTE E JUSANTE/UMA COMPOSIÇÃO POR TRECHO), COM ESCAVADEIRA HIDRÁULICA (0,8 M3/111 HP), LARG. DE 1,5M A 2,5 M, EM SOLO DE 1A CATEGORIA, LOCAIS COM BAIXO NÍVEL DE INTERFERÊNCIA. AF_01/2015</t>
  </si>
  <si>
    <t>ESCAVAÇÃO MECANIZADA DE VALA COM PROF. DE 3,0 M ATÉ 4,5 M(MÉDIA ENTRE MONTANTE E JUSANTE/UMA COMPOSIÇÃO POR TRECHO), COM ESCAVADEIRA HIDRÁUL ICA (1,2 M3/155 HP), LARG. DE 1,5 M A 2,5 M, EM SOLO DE 1A CATEGORIA, EM LOCAIS COM ALTO NÍVEL DE INTERFERÊNCIA. AF_01/2015</t>
  </si>
  <si>
    <t>ESCAVAÇÃO MECANIZADA DE VALA COM PROF. MAIOR QUE 1,5 M ATÉ 3,0 M (MÉDI A ENTRE MONTANTE E JUSANTE/UMA COMPOSIÇÃO POR TRECHO), COM ESCAVADEIRA HIDRÁULICA (0,8 M3/111 HP), LARG. DE 1,5 M A 2,5 M, EM SOLO DE 1A CAT EGORIA, EM LOCAIS COM ALTO NÍVEL DE INTERFERÊNCIA. AF_01/2015</t>
  </si>
  <si>
    <t>ESCAVAÇÃO MECANIZADA DE VALA COM PROF. MAIOR QUE 1,5 M ATÉ 3,0 M (MÉDI A ENTRE MONTANTE E JUSANTE/UMA COMPOSIÇÃO POR TRECHO), COM ESCAVADEIRA HIDRÁULICA (0,8 M3/111 HP), LARG. DE 1,5 M A 2,5 M, EM SOLO DE 1A CAT EGORIA, LOCAIS COM BAIXO NÍVEL DE INTERFERÊNCIA. AF_01/2015</t>
  </si>
  <si>
    <t>ESCAVAÇÃO MECANIZADA DE VALA COM PROF. MAIOR QUE 1,5 M ATÉ 3,0 M (MÉDI A ENTRE MONTANTE E JUSANTE/UMA COMPOSIÇÃO POR TRECHO), COM ESCAVADEIRA HIDRÁULICA (0,8 M3/111 HP), LARGURA ATÉ 1,5 M, EM SOLO DE 1A CATEGORI A, EM LOCAIS COM ALTO NÍVEL DE INTERFERÊNCIA. AF_01/2015</t>
  </si>
  <si>
    <t>ESCAVAÇÃO MECANIZADA DE VALA COM PROF. MAIOR QUE 1,5 M ATÉ 3,0 M (MÉDI A ENTRE MONTANTE E JUSANTE/UMA COMPOSIÇÃO POR TRECHO), COM RETROESCAVA DEIRA (0,26 M3/ POTÊNCIA:88 HP), LARGURA DE 0,8 M A 1,5 M, EM SOLO DE 1A CATEGORIA, EM LOCAIS COM ALTO NÍVEL DE INTERFERÊNCIA. AF_01/2015</t>
  </si>
  <si>
    <t>ESCAVAÇÃO MECANIZADA DE VALA COM PROF. MAIOR QUE 1,5 M ATÉ 3,0 M (MÉDI A ENTRE MONTANTE E JUSANTE/UMA COMPOSIÇÃO POR TRECHO), COM RETROESCAVA DEIRA (0,26 M3/88 HP), LARG. MENOR QUE 0,8 M, EM SOLO DE 1A CATEGORIA, EM LOCAIS COM ALTO NÍVEL DE INTERFERÊNCIA.AF_01/2015</t>
  </si>
  <si>
    <t>ESCAVAÇÃO MECANIZADA DE VALA COM PROF. MAIOR QUE 1,5 M E ATÉ 3,0 M(MÉD IA ENTRE MONTANTE E JUSANTE/UMA COMPOSIÇÃO POR TRECHO), COM ESCAVADEIR A HIDRÁULICA (0,8 M3/111 HP), LARG. MENOR QUE 1,5 M, EM SOLO DE 1A CAT EGORIA, LOCAIS COM BAIXO NÍVEL DE INTERFERÊNCIA. AF_01/2015</t>
  </si>
  <si>
    <t>ESCAVAÇÃO MECANIZADA DE VALA COM PROF. MAIOR QUE 3,0 M ATÉ 4,5 M (MÉDI A ENTRE MONTANTE E JUSANTE/UMA COMPOSIÇÃO POR TRECHO), COM ESCAVADEIRA HIDRÁULICA (0,8 M3/111 HP), LARG. MENOR QUE 1,5 M, EM SOLO DE 1A CATE GORIA, LOCAIS COM BAIXO NÍVEL DE INTERFERÊNCIA. AF_01/2015</t>
  </si>
  <si>
    <t>ESCAVAÇÃO MECANIZADA DE VALA COM PROF. MAIOR QUE 3,0 M ATÉ 4,5 M (MÉDI A ENTRE MONTANTE E JUSANTE/UMA COMPOSIÇÃO POR TRECHO), COM ESCAVADEIRA HIDRÁULICA (1,2 M3/155 HP), LARG. DE 1,5 M A 2,5 M, EM SOLO DE 1A CAT EGORIA, LOCAIS COM BAIXO NÍVEL DE INTERFERÊNCIA. AF_01/2015</t>
  </si>
  <si>
    <t>ESCAVAÇÃO MECANIZADA DE VALA COM PROF. MAIOR QUE 3,0 M ATÉ 4,5 M(MÉDIA ENTRE MONTANTE E JUSANTE/UMA COMPOSIÇÃO POR TRECHO), COM ESCAVADEIRA HIDRÁULICA (0,8 M3/111 HP), LARG. MENOR QUE 1,5 M, EM SOLO DE 1A CATEG ORIA, EM LOCAIS COM ALTO NÍVEL DE INTERFERÊNCIA. AF_01/2015</t>
  </si>
  <si>
    <t>ESCAVAÇÃO MECANIZADA DE VALA COM PROF. MAIOR QUE 4,5 M ATÉ 6,0 M (MÉDI A ENTRE MONTANTE E JUSANTE/UMA COMPOSIÇÃO POR TRECHO), COM ESCAVADEIRA HIDRÁULICA (1,2 M3/155 HP), LARG. DE 1,5 M A 2,5 M, EM SOLO DE 1A CAT EGORIA, LOCAIS COM BAIXO NÍVEL DE INTERFERÊNCIA. AF_01/2015</t>
  </si>
  <si>
    <t>ESCAVAÇÃO MECANIZADA DE VALA COM PROF. MAIOR QUE 4,5 M ATÉ 6,0 M (MÉDI A ENTRE MONTANTE E JUSANTE/UMA COMPOSIÇÃO POR TRECHO), COM ESCAVADEIRA HIDRÁULICA (1,2 M3/155 HP), LARG. MENOR QUE 1,5 M, EM SOLO DE 1A CATE GORIA, LOCAIS COM BAIXO NÍVEL DE INTERFERÊNCIA. AF_01/2015</t>
  </si>
  <si>
    <t>ESCAVAÇÃO MECANIZADA DE VALA COM PROF. MAIOR QUE 4,5 M ATÉ 6,0 M(MÉDIA ENTRE MONTANTE E JUSANTE/UMA COMPOSIÇÃO POR TRECHO), COM ESCAVADEIRA HIDRÁULICA (1,2 M3/155 HP), LARG. DE 1,5 M A 2,5 M, EM SOLO DE 1A CATE GORIA, EM LOCAIS COM ALTO NÍVEL DE INTERFERÊNCIA. AF_01/2015</t>
  </si>
  <si>
    <t>ESCAVAÇÃO MECANIZADA DE VALA COM PROF. MAIOR QUE 4,5 M ATÉ 6,0 M(MÉDIA ENTRE MONTANTE E JUSANTE/UMA COMPOSIÇÃO POR TRECHO), COM ESCAVADEIRA HIDRÁULICA (1,2 M3/155 HP), LARG. MENOR QUE 1,5 M, EM SOLO DE 1A CATEG ORIA, EM LOCAIS COM ALTO NÍVEL DE INTERFERÊNCIA. AF_01/2015</t>
  </si>
  <si>
    <t>ESCAVAÇÃO MECANIZADA DE VALA COM PROFUNDIDADE ATÉ 1,5 M (MÉDIA ENTRE M ONTANTE E JUSANTE/UMA COMPOSIÇÃO POR TRECHO) COM RETROESCAVADEIRA (CAP ACIDADE DA CAÇAMBA DA RETRO: 0,26 M3 / POTÊNCIA: 88 HP), LARGURA DE 0, 8 M A 1,5 M, EM SOLO DE 1A CATEGORIA, LOCAISCOM BAIXO NÍVEL DE INTERFE RÊNCIA. AF_01/2015</t>
  </si>
  <si>
    <t>ESCAVAÇÃO MECANIZADA DE VALA COM PROFUNDIDADE ATÉ 1,5 M (MÉDIA ENTRE M ONTANTE E JUSANTE/UMA COMPOSIÇÃO POR TRECHO) COM RETROESCAVADEIRA (CAP ACIDADE DA CAÇAMBA DA RETRO: 0,26 M3 / POTÊNCIA: 88 HP), LARGURA MENOR QUE 0,8 M, EM SOLO DE 1A CATEGORIA, LOCAISCOM BAIXO NÍVEL DE INTERFER ÊNCIA. AF_01/2015</t>
  </si>
  <si>
    <t>ESCAVAÇÃO MECANIZADA DE VALA COM PROFUNDIDADE MAIOR QUE 1,5 M ATÉ 3,0 M (MÉDIA ENTRE MONTANTE E JUSANTE/UMA COMPOSIÇÃO POR TRECHO) COM RETRO ESCAVADEIRA (CAPACIDADE DA CAÇAMBA DA RETRO: 0,26 M3 / POTÊNCIA: 88 HP ), LARGURA DE 0,8 M A 1,5 M, EM SOLO DE 1A CATEGORIA, LOCAIS COM BAIXO NÍVEL DE INTERFERÊNCIA. AF_01/2015</t>
  </si>
  <si>
    <t>ESCAVAÇÃO MECANIZADA DE VALA COM PROFUNDIDADE MAIOR QUE 1,5 M ATÉ 3,0 M, COM (MÉDIA ENTRE MONTANTE E JUSANTE/UMA COMPOSIÇÃO POR TRECHO) COM RETROESCAVADEIRA (CAPACIDADE DA CAÇAMBA DA RETRO: 0,26 M3 / POTÊNCIA: 88 HP), LARGURA MENOR QUE 0,8 M, EM SOLO DE1A CATEGORIA, LOCAIS COM BA IXO NÍVEL DE INTERFERÊNCIA. AF_01/2015</t>
  </si>
  <si>
    <t>ESCAVACAO MECANIZADA SUBMERSA (DRAGAGEM E CARGA), UTILIZANDO CAMINHÃO BASCULANTE, ESCAVADEIRA TIPO DRAGA DE ARRASTE E RETROESCAVADEIRA COM C ARREGADEIRA</t>
  </si>
  <si>
    <t>ESCAVACAO SUBMERSA COM DRAGA DE MANDIBULA</t>
  </si>
  <si>
    <t>ESCAVAÇÃO VERTICAL A CÉU ABERTO, INCLUINDO CARGA, DESCARGA E TRANSPORT E, EM SOLO DE 1ª CATEGORIA COM ESCAVADEIRA HIDRÁULICA (CAÇAMBA: 0,8 M³ / 111 HP), FROTA DE 2 CAMINHÕES BASCULANTES DE 18 M³, DMT DE 0,2 KM E VELOCIDADE MÉDIA 4 KM/H. AF_12/2013</t>
  </si>
  <si>
    <t>ESCAVAÇÃO VERTICAL A CÉU ABERTO, INCLUINDO CARGA, DESCARGA E TRANSPORT E, EM SOLO DE 1ª CATEGORIA COM ESCAVADEIRA HIDRÁULICA (CAÇAMBA: 0,8 M³ / 111 HP), FROTA DE 2 CAMINHÕES BASCULANTES DE 18 M³, DMT DE 0,3 KM E VELOCIDADE MÉDIA 5,9KM/H. AF_12/2013</t>
  </si>
  <si>
    <t>ESCAVAÇÃO VERTICAL A CÉU ABERTO, INCLUINDO CARGA, DESCARGA E TRANSPORT E, EM SOLO DE 1ª CATEGORIA COM ESCAVADEIRA HIDRÁULICA (CAÇAMBA: 0,8 M³ / 111 HP), FROTA DE 2 CAMINHÕES BASCULANTES DE 18 M³, DMT DE 0,6 KM E VELOCIDADE MÉDIA 10 KM/H. AF_12/2013</t>
  </si>
  <si>
    <t>ESCAVAÇÃO VERTICAL A CÉU ABERTO, INCLUINDO CARGA, DESCARGA E TRANSPORT E, EM SOLO DE 1ª CATEGORIA COM ESCAVADEIRA HIDRÁULICA (CAÇAMBA: 0,8 M³ / 111 HP), FROTA DE 2 CAMINHÕES BASCULANTES DE 18 M³, DMT DE 0,8 KM E VELOCIDADE MÉDIA 14 KM/H. AF_12/2013</t>
  </si>
  <si>
    <t>ESCAVAÇÃO VERTICAL A CÉU ABERTO, INCLUINDO CARGA, DESCARGA E TRANSPORT E, EM SOLO DE 1ª CATEGORIA COM ESCAVADEIRA HIDRÁULICA (CAÇAMBA: 0,8 M³ / 111 HP), FROTA DE 3 CAMINHÕES BASCULANTES DE 14 M³, DMT DE 0,2 KM E VELOCIDADE MÉDIA 4 KM/H. AF_12/2013</t>
  </si>
  <si>
    <t>ESCAVAÇÃO VERTICAL A CÉU ABERTO, INCLUINDO CARGA, DESCARGA E TRANSPORT E, EM SOLO DE 1ª CATEGORIA COM ESCAVADEIRA HIDRÁULICA (CAÇAMBA: 0,8 M³ / 111 HP), FROTA DE 3 CAMINHÕES BASCULANTES DE 14 M³, DMT DE 0,3 KM E VELOCIDADE MÉDIA 5,9 KM/H. AF_12/2013</t>
  </si>
  <si>
    <t>ESCAVAÇÃO VERTICAL A CÉU ABERTO, INCLUINDO CARGA, DESCARGA E TRANSPORT E, EM SOLO DE 1ª CATEGORIA COM ESCAVADEIRA HIDRÁULICA (CAÇAMBA: 0,8 M³ / 111 HP), FROTA DE 3 CAMINHÕES BASCULANTES DE 14 M³, DMT DE 0,6 KM E VELOCIDADE MÉDIA 10 KM/H. AF_12/2013</t>
  </si>
  <si>
    <t>ESCAVAÇÃO VERTICAL A CÉU ABERTO, INCLUINDO CARGA, DESCARGA E TRANSPORT E, EM SOLO DE 1ª CATEGORIA COM ESCAVADEIRA HIDRÁULICA (CAÇAMBA: 0,8 M³ / 111 HP), FROTA DE 3 CAMINHÕES BASCULANTES DE 14 M³, DMT DE 0,8 KM E VELOCIDADE MÉDIA 14 KM/H. AF_12/2013</t>
  </si>
  <si>
    <t>ESCAVAÇÃO VERTICAL A CÉU ABERTO, INCLUINDO CARGA, DESCARGA E TRANSPORT E, EM SOLO DE 1ª CATEGORIA COM ESCAVADEIRA HIDRÁULICA (CAÇAMBA: 0,8 M³ / 111 HP), FROTA DE 3 CAMINHÕES BASCULANTES DE 14 M³, DMT DE 1 KM E V ELOCIDADE MÉDIA 15 KM/H. AF_12/2013</t>
  </si>
  <si>
    <t>ESCAVAÇÃO VERTICAL A CÉU ABERTO, INCLUINDO CARGA, DESCARGA E TRANSPORT E, EM SOLO DE 1ª CATEGORIA COM ESCAVADEIRA HIDRÁULICA (CAÇAMBA: 0,8 M³ / 111 HP), FROTA DE 3 CAMINHÕES BASCULANTES DE 18 M³, DMT DE 1 KM E V ELOCIDADE MÉDIA 15 KM/H. AF_12/2013</t>
  </si>
  <si>
    <t>ESCAVAÇÃO VERTICAL A CÉU ABERTO, INCLUINDO CARGA, DESCARGA E TRANSPORT E, EM SOLO DE 1ª CATEGORIA COM ESCAVADEIRA HIDRÁULICA (CAÇAMBA: 0,8 M³ / 111 HP), FROTA DE 3 CAMINHÕES BASCULANTES DE 18 M³, DMT DE 2 KM E V ELOCIDADE MÉDIA 35 KM/H. AF_12/2013</t>
  </si>
  <si>
    <t>ESCAVAÇÃO VERTICAL A CÉU ABERTO, INCLUINDO CARGA, DESCARGA E TRANSPORT E, EM SOLO DE 1ª CATEGORIA COM ESCAVADEIRA HIDRÁULICA (CAÇAMBA: 0,8 M³ / 111 HP), FROTA DE 4 CAMINHÕES BASCULANTES DE 14 M³, DMT DE 1,5 KM E VELOCIDADE MÉDIA 18 KM/H. AF_12/2013</t>
  </si>
  <si>
    <t>ESCAVAÇÃO VERTICAL A CÉU ABERTO, INCLUINDO CARGA, DESCARGA E TRANSPORT E, EM SOLO DE 1ª CATEGORIA COM ESCAVADEIRA HIDRÁULICA (CAÇAMBA: 0,8 M³ / 111 HP), FROTA DE 4 CAMINHÕES BASCULANTES DE 14 M³, DMT DE 2 KM E V ELOCIDADE MÉDIA 22 KM/H. AF_12/2013</t>
  </si>
  <si>
    <t>ESCAVAÇÃO VERTICAL A CÉU ABERTO, INCLUINDO CARGA, DESCARGA E TRANSPORT E, EM SOLO DE 1ª CATEGORIA COM ESCAVADEIRA HIDRÁULICA (CAÇAMBA: 0,8 M³ / 111 HP), FROTA DE 4 CAMINHÕES BASCULANTES DE 14 M³, DMT DE 2 KM E V ELOCIDADE MÉDIA 35 KM/H. AF_12/2013</t>
  </si>
  <si>
    <t>ESCAVAÇÃO VERTICAL A CÉU ABERTO, INCLUINDO CARGA, DESCARGA E TRANSPORT E, EM SOLO DE 1ª CATEGORIA COM ESCAVADEIRA HIDRÁULICA (CAÇAMBA: 0,8 M³ / 111 HP), FROTA DE 4 CAMINHÕES BASCULANTES DE 18 M³, DMT DE 1,5 KM E VELOCIDADE MÉDIA 18 KM/H. AF_12/2013</t>
  </si>
  <si>
    <t>ESCAVAÇÃO VERTICAL A CÉU ABERTO, INCLUINDO CARGA, DESCARGA E TRANSPORT E, EM SOLO DE 1ª CATEGORIA COM ESCAVADEIRA HIDRÁULICA (CAÇAMBA: 0,8 M³ / 111 HP), FROTA DE 4 CAMINHÕES BASCULANTES DE 18 M³, DMT DE 2 KM E V ELOCIDADE MÉDIA 22 KM/H. AF_12/2013</t>
  </si>
  <si>
    <t>ESCAVAÇÃO VERTICAL A CÉU ABERTO, INCLUINDO CARGA, DESCARGA E TRANSPORT E, EM SOLO DE 1ª CATEGORIA COM ESCAVADEIRA HIDRÁULICA (CAÇAMBA: 0,8 M³ / 111 HP), FROTA DE 5 CAMINHÕES BASCULANTES DE 14 M³, DMT DE 3 KM E V ELOCIDADE MÉDIA 20 KM/H. AF_12/2013</t>
  </si>
  <si>
    <t>ESCAVAÇÃO VERTICAL A CÉU ABERTO, INCLUINDO CARGA, DESCARGA E TRANSPORT E, EM SOLO DE 1ª CATEGORIA COM ESCAVADEIRA HIDRÁULICA (CAÇAMBA: 0,8 M³ / 111 HP), FROTA DE 5 CAMINHÕES BASCULANTES DE 18 M³, DMT DE 3 KM E V ELOCIDADE MÉDIA 20 KM/H. AF_12/2013</t>
  </si>
  <si>
    <t>ESCAVAÇÃO VERTICAL A CÉU ABERTO, INCLUINDO CARGA, DESCARGA E TRANSPORT E, EM SOLO DE 1ª CATEGORIA COM ESCAVADEIRA HIDRÁULICA (CAÇAMBA: 0,8 M³ / 111 HP), FROTA DE 5 CAMINHÕES BASCULANTES DE 18 M³, DMT DE 4 KM E V ELOCIDADE MÉDIA 22 KM/H. AF_12/2013</t>
  </si>
  <si>
    <t>ESCAVAÇÃO VERTICAL A CÉU ABERTO, INCLUINDO CARGA, DESCARGA E TRANSPORT E, EM SOLO DE 1ª CATEGORIA COM ESCAVADEIRA HIDRÁULICA (CAÇAMBA: 0,8 M³ / 111 HP), FROTA DE 6 CAMINHÕES BASCULANTES DE 14 M³, DMT DE 4 KM E V ELOCIDADE MÉDIA 22 KM/H. AF_12/2013</t>
  </si>
  <si>
    <t>ESCAVAÇÃO VERTICAL A CÉU ABERTO, INCLUINDO CARGA, DESCARGA E TRANSPORT E, EM SOLO DE 1ª CATEGORIA COM ESCAVADEIRA HIDRÁULICA (CAÇAMBA: 0,8 M³ / 111 HP), FROTA DE 6 CAMINHÕES BASCULANTES DE 18 M³, DMT DE 6 KM E V ELOCIDADE MÉDIA 22 KM/H. AF_12/2013</t>
  </si>
  <si>
    <t>ESCAVAÇÃO VERTICAL A CÉU ABERTO, INCLUINDO CARGA, DESCARGA E TRANSPORT E, EM SOLO DE 1ª CATEGORIA COM ESCAVADEIRA HIDRÁULICA (CAÇAMBA: 0,8 M³ / 111 HP), FROTA DE 7 CAMINHÕES BASCULANTES DE 14 M³, DMT DE 6 KM E V ELOCIDADE MÉDIA 22 KM/H. AF_12/2013</t>
  </si>
  <si>
    <t>ESCAVAÇÃO VERTICAL A CÉU ABERTO, INCLUINDO CARGA, DESCARGA E TRANSPORT E, EM SOLO DE 1ª CATEGORIA COM ESCAVADEIRA HIDRÁULICA (CAÇAMBA: 1,2 M³ / 155 HP), FROTA DE 3 CAMINHÕES BASCULANTES DE 14 M³, DMT DE 0,2 KM E VELOCIDADE MÉDIA 4 KM/H. AF_12/2013</t>
  </si>
  <si>
    <t>ESCAVAÇÃO VERTICAL A CÉU ABERTO, INCLUINDO CARGA, DESCARGA E TRANSPORT E, EM SOLO DE 1ª CATEGORIA COM ESCAVADEIRA HIDRÁULICA (CAÇAMBA: 1,2 M³ / 155 HP), FROTA DE 3 CAMINHÕES BASCULANTES DE 14 M³, DMT DE 0,3 KM E VELOCIDADE MÉDIA 5,9 KM/H. AF_12/2013</t>
  </si>
  <si>
    <t>ESCAVAÇÃO VERTICAL A CÉU ABERTO, INCLUINDO CARGA, DESCARGA E TRANSPORT E, EM SOLO DE 1ª CATEGORIA COM ESCAVADEIRA HIDRÁULICA (CAÇAMBA: 1,2 M³ / 155 HP), FROTA DE 3 CAMINHÕES BASCULANTES DE 14 M³, DMT DE 0,6 KM E VELOCIDADE MÉDIA 10 KM/H. AF_12/2013</t>
  </si>
  <si>
    <t>ESCAVAÇÃO VERTICAL A CÉU ABERTO, INCLUINDO CARGA, DESCARGA E TRANSPORT E, EM SOLO DE 1ª CATEGORIA COM ESCAVADEIRA HIDRÁULICA (CAÇAMBA: 1,2 M³ / 155 HP), FROTA DE 3 CAMINHÕES BASCULANTES DE 14 M³, DMT DE 0,8 KM E VELOCIDADE MÉDIA 14 KM/H. AF_12/2013</t>
  </si>
  <si>
    <t>ESCAVAÇÃO VERTICAL A CÉU ABERTO, INCLUINDO CARGA, DESCARGA E TRANSPORT E, EM SOLO DE 1ª CATEGORIA COM ESCAVADEIRA HIDRÁULICA (CAÇAMBA: 1,2 M³ / 155 HP), FROTA DE 3 CAMINHÕES BASCULANTES DE 14 M³, DMT DE 1 KM E V ELOCIDADE MÉDIA 15 KM/H. AF_12/2013</t>
  </si>
  <si>
    <t>ESCAVAÇÃO VERTICAL A CÉU ABERTO, INCLUINDO CARGA, DESCARGA E TRANSPORT E, EM SOLO DE 1ª CATEGORIA COM ESCAVADEIRA HIDRÁULICA (CAÇAMBA: 1,2 M³ / 155 HP), FROTA DE 3 CAMINHÕES BASCULANTES DE 18 M³, DMT DE 0,2 KM E VELOCIDADE MÉDIA 4 KM/H. AF_12/2013</t>
  </si>
  <si>
    <t>ESCAVAÇÃO VERTICAL A CÉU ABERTO, INCLUINDO CARGA, DESCARGA E TRANSPORT E, EM SOLO DE 1ª CATEGORIA COM ESCAVADEIRA HIDRÁULICA (CAÇAMBA: 1,2 M³ / 155 HP), FROTA DE 3 CAMINHÕES BASCULANTES DE 18 M³, DMT DE 0,3 KM E VELOCIDADE MÉDIA 5,9 KM/H. AF_12/2013</t>
  </si>
  <si>
    <t>ESCAVAÇÃO VERTICAL A CÉU ABERTO, INCLUINDO CARGA, DESCARGA E TRANSPORT E, EM SOLO DE 1ª CATEGORIA COM ESCAVADEIRA HIDRÁULICA (CAÇAMBA: 1,2 M³ / 155 HP), FROTA DE 3 CAMINHÕES BASCULANTES DE 18 M³, DMT DE 0,6 KM E VELOCIDADE MÉDIA 10 KM/H. AF_12/2013</t>
  </si>
  <si>
    <t>ESCAVAÇÃO VERTICAL A CÉU ABERTO, INCLUINDO CARGA, DESCARGA E TRANSPORT E, EM SOLO DE 1ª CATEGORIA COM ESCAVADEIRA HIDRÁULICA (CAÇAMBA: 1,2 M³ / 155 HP), FROTA DE 3 CAMINHÕES BASCULANTES DE 18 M³, DMT DE 0,8 KM E VELOCIDADE MÉDIA 14 KM/H. AF_12/2013</t>
  </si>
  <si>
    <t>ESCAVAÇÃO VERTICAL A CÉU ABERTO, INCLUINDO CARGA, DESCARGA E TRANSPORT E, EM SOLO DE 1ª CATEGORIA COM ESCAVADEIRA HIDRÁULICA (CAÇAMBA: 1,2 M³ / 155 HP), FROTA DE 3 CAMINHÕES BASCULANTES DE 18 M³, DMT DE 1 KM E V ELOCIDADE MÉDIA 15 KM/H. AF_12/2013</t>
  </si>
  <si>
    <t>ESCAVAÇÃO VERTICAL A CÉU ABERTO, INCLUINDO CARGA, DESCARGA E TRANSPORT E, EM SOLO DE 1ª CATEGORIA COM ESCAVADEIRA HIDRÁULICA (CAÇAMBA: 1,2 M³ / 155 HP), FROTA DE 4 CAMINHÕES BASCULANTES DE 18 M³, DMT DE 2 KM E V ELOCIDADE MÉDIA 35 KM/H. AF_12/2013</t>
  </si>
  <si>
    <t>ESCAVAÇÃO VERTICAL A CÉU ABERTO, INCLUINDO CARGA, DESCARGA E TRANSPORT E, EM SOLO DE 1ª CATEGORIA COM ESCAVADEIRA HIDRÁULICA (CAÇAMBA: 1,2 M³ / 155 HP), FROTA DE 5 CAMINHÕES BASCULANTES DE 14 M³, DMT DE 1,5 KM E VELOCIDADE MÉDIA 18 KM/H. AF_12/2013</t>
  </si>
  <si>
    <t>ESCAVAÇÃO VERTICAL A CÉU ABERTO, INCLUINDO CARGA, DESCARGA E TRANSPORT E, EM SOLO DE 1ª CATEGORIA COM ESCAVADEIRA HIDRÁULICA (CAÇAMBA: 1,2 M³ / 155 HP), FROTA DE 5 CAMINHÕES BASCULANTES DE 14 M³, DMT DE 2 KM E V ELOCIDADE MÉDIA 22 KM/H. AF_12/2013</t>
  </si>
  <si>
    <t>ESCAVAÇÃO VERTICAL A CÉU ABERTO, INCLUINDO CARGA, DESCARGA E TRANSPORT E, EM SOLO DE 1ª CATEGORIA COM ESCAVADEIRA HIDRÁULICA (CAÇAMBA: 1,2 M³ / 155 HP), FROTA DE 5 CAMINHÕES BASCULANTES DE 14 M³, DMT DE 2 KM E V ELOCIDADE MÉDIA 35 KM/H. AF_12/2013</t>
  </si>
  <si>
    <t>ESCAVAÇÃO VERTICAL A CÉU ABERTO, INCLUINDO CARGA, DESCARGA E TRANSPORT E, EM SOLO DE 1ª CATEGORIA COM ESCAVADEIRA HIDRÁULICA (CAÇAMBA: 1,2 M³ / 155 HP), FROTA DE 5 CAMINHÕES BASCULANTES DE 18 M³, DMT DE 1,5 KM E VELOCIDADE MÉDIA 18 KM/H. AF_12/2013</t>
  </si>
  <si>
    <t>ESCAVAÇÃO VERTICAL A CÉU ABERTO, INCLUINDO CARGA, DESCARGA E TRANSPORT E, EM SOLO DE 1ª CATEGORIA COM ESCAVADEIRA HIDRÁULICA (CAÇAMBA: 1,2 M³ / 155 HP), FROTA DE 5 CAMINHÕES BASCULANTES DE 18 M³, DMT DE 2 KM E V ELOCIDADE MÉDIA 22 KM/H. AF_12/2013</t>
  </si>
  <si>
    <t>ESCAVAÇÃO VERTICAL A CÉU ABERTO, INCLUINDO CARGA, DESCARGA E TRANSPORT E, EM SOLO DE 1ª CATEGORIA COM ESCAVADEIRA HIDRÁULICA (CAÇAMBA: 1,2 M³ / 155 HP), FROTA DE 6 CAMINHÕES BASCULANTES DE 18 M³, DMT DE 3 KM E V ELOCIDADE MÉDIA 20 KM/H. AF_12/2013</t>
  </si>
  <si>
    <t>ESCAVAÇÃO VERTICAL A CÉU ABERTO, INCLUINDO CARGA, DESCARGA E TRANSPORT E, EM SOLO DE 1ª CATEGORIA COM ESCAVADEIRA HIDRÁULICA (CAÇAMBA: 1,2 M³ / 155 HP), FROTA DE 7 CAMINHÕES BASCULANTES DE 14 M³, DMT DE 3 KM E V ELOCIDADE MÉDIA 20 KM/H. AF_12/2013</t>
  </si>
  <si>
    <t>ESCAVAÇÃO VERTICAL A CÉU ABERTO, INCLUINDO CARGA, DESCARGA E TRANSPORT E, EM SOLO DE 1ª CATEGORIA COM ESCAVADEIRA HIDRÁULICA (CAÇAMBA: 1,2 M³ / 155 HP), FROTA DE 7 CAMINHÕES BASCULANTES DE 14 M³, DMT DE 4 KM E V ELOCIDADE MÉDIA 22 KM/H. AF_12/2013</t>
  </si>
  <si>
    <t>ESCAVAÇÃO VERTICAL A CÉU ABERTO, INCLUINDO CARGA, DESCARGA E TRANSPORT E, EM SOLO DE 1ª CATEGORIA COM ESCAVADEIRA HIDRÁULICA (CAÇAMBA: 1,2 M³ / 155 HP), FROTA DE 7 CAMINHÕES BASCULANTES DE 18 M³, DMT DE 4 KM E V ELOCIDADE MÉDIA 22 KM/H. AF_12/2013</t>
  </si>
  <si>
    <t>ESCAVAÇÃO VERTICAL A CÉU ABERTO, INCLUINDO CARGA, DESCARGA E TRANSPORT E, EM SOLO DE 1ª CATEGORIA COM ESCAVADEIRA HIDRÁULICA (CAÇAMBA: 1,2 M³ / 155 HP), FROTA DE 8 CAMINHÕES BASCULANTES DE 18 M³, DMT DE 6 KM E V ELOCIDADE MÉDIA 22 KM/H. AF_12/2013</t>
  </si>
  <si>
    <t>ESCAVAÇÃO VERTICAL A CÉU ABERTO, INCLUINDO CARGA, DESCARGA E TRANSPORT E, EM SOLO DE 1ª CATEGORIA COM ESCAVADEIRA HIDRÁULICA (CAÇAMBA: 1,2 M³ / 155 HP), FROTA DE 9 CAMINHÕES BASCULANTES DE 14 M³, DMT DE 6 KM E V ELOCIDADE MÉDIA 22 KM/H. AF_12/2013</t>
  </si>
  <si>
    <t>ESCAVACAO, CARGA E TRANSPORTE DE  MATERIAL DE 1A CATEGORIA COM TRATOR SOBRE ESTEIRAS 347 HP E CACAMBA 6M3,  DMT 50 A 200M</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</si>
  <si>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</si>
  <si>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</si>
  <si>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</si>
  <si>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</si>
  <si>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</si>
  <si>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</si>
  <si>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</si>
  <si>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HIDRÁULICA SOBRE ESTEIRAS, CAÇAMBA 0,80 M3, PESO OPERACION AL 17 T, POTENCIA BRUTA 111 HP - CHI DIURNO. AF_06/2014</t>
  </si>
  <si>
    <t>ESCAVADEIRA HIDRÁULICA SOBRE ESTEIRAS, CAÇAMBA 0,80 M3, PESO OPERACION AL 17 T, POTENCIA BRUTA 111 HP - CHP DIURNO. AF_06/2014</t>
  </si>
  <si>
    <t>ESCAVADEIRA HIDRÁULICA SOBRE ESTEIRAS, CAÇAMBA 0,80 M3, PESO OPERACION AL 17 T, POTENCIA BRUTA 111 HP - DEPRECIAÇÃO. AF_06/2014</t>
  </si>
  <si>
    <t>ESCAVADEIRA HIDRÁULICA SOBRE ESTEIRAS, CAÇAMBA 0,80 M3, PESO OPERACION AL 17 T, POTENCIA BRUTA 111 HP - JUROS. AF_06/2014</t>
  </si>
  <si>
    <t>ESCAVADEIRA HIDRÁULICA SOBRE ESTEIRAS, CAÇAMBA 0,80 M3, PESO OPERACION AL 17 T, POTENCIA BRUTA 111 HP - MANUTENÇÃO. AF_06/2014</t>
  </si>
  <si>
    <t>ESCAVADEIRA HIDRÁULICA SOBRE ESTEIRAS, CAÇAMBA 0,80 M3, PESO OPERACION AL 17 T, POTENCIA BRUTA 111 HP - MATERIAIS NA OPERAÇÃO. AF_06/2014</t>
  </si>
  <si>
    <t>ESCAVADEIRA HIDRÁULICA SOBRE ESTEIRAS, CAÇAMBA 0,80 M3, PESO OPERACION AL 17,8 T, POTÊNCIA LÍQUIDA 110 HP - CHI DIURNO. AF_10/2014</t>
  </si>
  <si>
    <t>ESCAVADEIRA HIDRÁULICA SOBRE ESTEIRAS, CAÇAMBA 0,80 M3, PESO OPERACION AL 17,8 T, POTÊNCIA LÍQUIDA 110 HP - CHP DIURNO. AF_10/2014</t>
  </si>
  <si>
    <t>ESCAVADEIRA HIDRÁULICA SOBRE ESTEIRAS, CAÇAMBA 0,80 M3, PESO OPERACION AL 17,8 T, POTÊNCIA LÍQUIDA 110 HP - DEPRECIAÇÃO. AF_10/2014</t>
  </si>
  <si>
    <t>ESCAVADEIRA HIDRÁULICA SOBRE ESTEIRAS, CAÇAMBA 0,80 M3, PESO OPERACION AL 17,8 T, POTÊNCIA LÍQUIDA 110 HP - JUROS. AF_10/2014</t>
  </si>
  <si>
    <t>ESCAVADEIRA HIDRÁULICA SOBRE ESTEIRAS, CAÇAMBA 0,80 M3, PESO OPERACION AL 17,8 T, POTÊNCIA LÍQUIDA 110 HP - MANUTENÇÃO. AF_10/2014</t>
  </si>
  <si>
    <t>ESCAVADEIRA HIDRÁULICA SOBRE ESTEIRAS, CAÇAMBA 0,80 M3, PESO OPERACION AL 17,8 T, POTÊNCIA LÍQUIDA 110 HP - MATERIAIS NA OPERAÇÃO. AF_10/2014</t>
  </si>
  <si>
    <t>ESCAVADEIRA HIDRAULICA SOBRE ESTEIRAS, CACAMBA 0,80M3, PESO OPERACIONAL 17T, POTENCIA BRUTA 111HP</t>
  </si>
  <si>
    <t>ESCAVADEIRA HIDRÁULICA SOBRE ESTEIRAS, CAÇAMBA 1,20 M3, PESO OPERACION AL 21 T, POTÊNCIA BRUTA 155 HP - CHI DIURNO. AF_06/2014</t>
  </si>
  <si>
    <t>ESCAVADEIRA HIDRÁULICA SOBRE ESTEIRAS, CAÇAMBA 1,20 M3, PESO OPERACION AL 21 T, POTÊNCIA BRUTA 155 HP - CHP DIURNO. AF_06/2014</t>
  </si>
  <si>
    <t>ESCAVADEIRA HIDRÁULICA SOBRE ESTEIRAS, CAÇAMBA 1,20 M3, PESO OPERACION AL 21 T, POTÊNCIA BRUTA 155 HP - DEPRECIAÇÃO. AF_06/2014</t>
  </si>
  <si>
    <t>ESCAVADEIRA HIDRÁULICA SOBRE ESTEIRAS, CAÇAMBA 1,20 M3, PESO OPERACION AL 21 T, POTÊNCIA BRUTA 155 HP - JUROS. AF_06/2014</t>
  </si>
  <si>
    <t>ESCAVADEIRA HIDRÁULICA SOBRE ESTEIRAS, CAÇAMBA 1,20 M3, PESO OPERACION AL 21 T, POTÊNCIA BRUTA 155 HP - MANUTENÇÃO. AF_06/2014</t>
  </si>
  <si>
    <t>ESCAVADEIRA HIDRÁULICA SOBRE ESTEIRAS, CAÇAMBA 1,20 M3, PESO OPERACION AL 21 T, POTÊNCIA BRUTA 155 HP - MATERIAIS NA OPERAÇÃO. AF_06/2014</t>
  </si>
  <si>
    <t>ESCORA METALICA TELESCOPICA, COM ALTURA REGULAVEL DE *1,80* a *3,20* M, COM CAPACIDADE DE CARGA DE NO MINIMO 1000 KGF (10 KN), INCLUSO TRIPE E FORCADO (LOCACAO)</t>
  </si>
  <si>
    <t>ESCORA PRE-MOLDADA EM CONCRETO, *10 X 10* CM, H = 2,30M</t>
  </si>
  <si>
    <t>ESCORAMENTO DE VALA, TIPO DESCONTÍNUO, COM PROFUNDIDADE DE 0 A 1,5 M, LARGURA MAIOR OU IGUAL A 1,5 M E MENOR QUE 2,5 M, EM LOCAL COM NÍVEL A LTO DE INTERFERÊNCIA. AF_06/2016</t>
  </si>
  <si>
    <t>ESCORAMENTO DE VALA, TIPO DESCONTÍNUO, COM PROFUNDIDADE DE 0 A 1,5 M, LARGURA MAIOR OU IGUAL A 1,5 M E MENOR QUE 2,5 M, EM LOCAL COM NÍVEL B AIXO DE INTERFERÊNCIA. AF_06/2016</t>
  </si>
  <si>
    <t>ESCORAMENTO DE VALA, TIPO DESCONTÍNUO, COM PROFUNDIDADE DE 0 A 1,5 M, LARGURA MENOR QUE 1,5 M, EM LOCAL COM NÍVEL ALTO DE INTERFERÊNCIA. AF_ 06/2016</t>
  </si>
  <si>
    <t>ESCORAMENTO DE VALA, TIPO DESCONTÍNUO, COM PROFUNDIDADE DE 0 A 1,5 M, LARGURA MENOR QUE 1,5 M, EM LOCAL COM NÍVEL BAIXO DE INTERFERÊNCIA. AF _06/2016</t>
  </si>
  <si>
    <t>ESCORAMENTO DE VALA, TIPO DESCONTÍNUO, COM PROFUNDIDADE DE 1,5 A 3,0 M , LARGURA MAIOR OU IGUAL A 1,5 M E MENOR QUE 2,5 M, EM LOCAL COM NÍVEL ALTO DE INTERFERÊNCIA. AF_06/2016</t>
  </si>
  <si>
    <t>ESCORAMENTO DE VALA, TIPO DESCONTÍNUO, COM PROFUNDIDADE DE 1,5 A 3,0 M , LARGURA MAIOR OU IGUAL A 1,5 M E MENOR QUE 2,5 M, EM LOCAL COM NÍVEL BAIXO DE INTERFERÊNCIA. AF_06/2016</t>
  </si>
  <si>
    <t>ESCORAMENTO DE VALA, TIPO DESCONTÍNUO, COM PROFUNDIDADE DE 1,5 M A 3,0 M, LARGURA MENOR QUE 1,5 M, EM LOCAL COM NÍVEL ALTO DE INTERFERÊNCIA. AF_06/2016</t>
  </si>
  <si>
    <t>ESCORAMENTO DE VALA, TIPO DESCONTÍNUO, COM PROFUNDIDADE DE 1,5 M A 3,0 M, LARGURA MENOR QUE 1,5 M, EM LOCAL COM NÍVEL BAIXO DE INTERFERÊNCIA . AF_06/2016</t>
  </si>
  <si>
    <t>ESCORAMENTO DE VALA, TIPO DESCONTÍNUO, COM PROFUNDIDADE DE 3,0 A 4,5 M , LARGURA MAIOR OU IGUAL A 1,5 E MENOR QUE 2,5 M, EM LOCAL COM NÍVEL A LTO DE INTERFERÊNCIA. AF_06/2016</t>
  </si>
  <si>
    <t>ESCORAMENTO DE VALA, TIPO DESCONTÍNUO, COM PROFUNDIDADE DE 3,0 A 4,5 M , LARGURA MAIOR OU IGUAL A 1,5 E MENOR QUE 2,5 M, EM LOCAL COM NÍVEL B AIXO DE INTERFERÊNCIA. AF_06/2016</t>
  </si>
  <si>
    <t>ESCORAMENTO DE VALA, TIPO DESCONTÍNUO, COM PROFUNDIDADE DE 3,0 A 4,5 M , LARGURA MENOR QUE 1,5 M, EM LOCAL COM NÍVEL ALTO DE INTERFERÊNCIA. A F_06/2016</t>
  </si>
  <si>
    <t>ESCORAMENTO DE VALA, TIPO DESCONTÍNUO, COM PROFUNDIDADE DE 3,0 A 4,5 M , LARGURA MENOR QUE 1,5 M, EM LOCAL COM NÍVEL BAIXO DE INTERFERÊNCIA. AF_06/2016</t>
  </si>
  <si>
    <t>ESCORAMENTO DE VALA, TIPO PONTALETEAMENTO, COM PROFUNDIDADE DE 0 A 1,5 M, LARGURA MAIOR OU IGUAL A 1,5 M E MENOR QUE 2,5 M, EM LOCAL COM NÍV EL ALTO DE INTERFERÊNCIA. AF_06/2016</t>
  </si>
  <si>
    <t>ESCORAMENTO DE VALA, TIPO PONTALETEAMENTO, COM PROFUNDIDADE DE 0 A 1,5 M, LARGURA MAIOR OU IGUAL A 1,5 M E MENOR QUE 2,5 M, EM LOCAL COM NÍV EL BAIXO DE INTERFERÊNCIA. AF_06/2016</t>
  </si>
  <si>
    <t>ESCORAMENTO DE VALA, TIPO PONTALETEAMENTO, COM PROFUNDIDADE DE 0 A 1,5 M, LARGURA MENOR QUE 1,5 M, EM LOCAL COM NÍVEL ALTO DE INTERFERÊNCIA. AF_06/2016</t>
  </si>
  <si>
    <t>ESCORAMENTO DE VALA, TIPO PONTALETEAMENTO, COM PROFUNDIDADE DE 0 A 1,5 M, LARGURA MENOR QUE 1,5 M, EM LOCAL COM NÍVEL BAIXO DE INTERFERÊNCIA . AF_06/2016</t>
  </si>
  <si>
    <t>ESCORAMENTO DE VALA, TIPO PONTALETEAMENTO, COM PROFUNDIDADE DE 1,5 A 3 ,0 M, LARGURA MAIOR OU IGUAL A 1,5 M E MENOR QUE 2,5 M, EM LOCAL COM N ÍVEL ALTO DE INTERFERÊNCIA. AF_06/2016</t>
  </si>
  <si>
    <t>ESCORAMENTO DE VALA, TIPO PONTALETEAMENTO, COM PROFUNDIDADE DE 1,5 A 3 ,0 M, LARGURA MAIOR OU IGUAL A 1,5 M E MENOR QUE 2,5 M, EM LOCAL COM N ÍVEL BAIXO DE INTERFERÊNCIA. AF_06/2016</t>
  </si>
  <si>
    <t>ESCORAMENTO DE VALA, TIPO PONTALETEAMENTO, COM PROFUNDIDADE DE 1,5 A 3 ,0 M, LARGURA MENOR QUE 1,5 M, EM LOCAL COM NÍVEL ALTO DE INTERFERÊNCI A. AF_06/2016</t>
  </si>
  <si>
    <t>ESCORAMENTO DE VALA, TIPO PONTALETEAMENTO, COM PROFUNDIDADE DE 1,5 A 3 ,0 M, LARGURA MENOR QUE 1,5 M, EM LOCAL COM NÍVEL BAIXO DE INTERFERÊNC IA. AF_06/2016</t>
  </si>
  <si>
    <t>ESCORAMENTO DE VALA, TIPO PONTALETEAMENTO, COM PROFUNDIDADE DE 3,0 A 4 ,5 M, LARGURA MAIOR OU IGUAL A 1,5 M E MENOR QUE 2,5 M, EM LOCAL COM N ÍVEL ALTO DE INTERFERÊNCIA. AF_06/2016</t>
  </si>
  <si>
    <t>ESCORAMENTO DE VALA, TIPO PONTALETEAMENTO, COM PROFUNDIDADE DE 3,0 A 4 ,5 M, LARGURA MAIOR OU IGUAL A 1,5 M E MENOR QUE 2,5 M, EM LOCAL COM N ÍVEL BAIXO DE INTERFERÊNCIA. AF_06/2016</t>
  </si>
  <si>
    <t>ESCORAMENTO DE VALA, TIPO PONTALETEAMENTO, COM PROFUNDIDADE DE 3,0 A 4 ,5 M, LARGURA MENOR QUE 1,5 M EM LOCAL COM NÍVEL ALTO DE INTERFERÊNCIA . AF_06/2016</t>
  </si>
  <si>
    <t>ESCORAMENTO DE VALA, TIPO PONTALETEAMENTO, COM PROFUNDIDADE DE 3,0 A 4 ,5 M, LARGURA MENOR QUE 1,5 M EM LOCAL COM NÍVEL BAIXO DE INTERFERÊNCI A. AF_06/2016</t>
  </si>
  <si>
    <t>ESCORAMENTO DE VALAS COM PRANCHOES METALICOS - AREA CRAVADA</t>
  </si>
  <si>
    <t>ESCORAMENTO DE VALAS COM PRANCHOES METALICOS - AREA NAO CRAVADA</t>
  </si>
  <si>
    <t>ESCORAMENTO FORMAS ATE H = 3,30M, COM MADEIRA DE 3A QUALIDADE, NAO APA RELHADA, APROVEITAMENTO TABUAS 3X E PRUMOS 4X.</t>
  </si>
  <si>
    <t>ESCORAMENTO FORMAS DE H=3,30 A 3,50 M, COM MADEIRA 3A QUALIDADE, NAO A PARELHADA, APROVEITAMENTO TABUAS 3X E PRUMOS 4X</t>
  </si>
  <si>
    <t>ESCORAMENTO FORMAS H=3,50 A 4,00 M, COM MADEIRA DE 3A QUALIDADE, NAO A PARELHADA, APROVEITAMENTO TABUAS 3X E PRUMOS 4X.</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</si>
  <si>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</si>
  <si>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</si>
  <si>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</si>
  <si>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</si>
  <si>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</si>
  <si>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</si>
  <si>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</si>
  <si>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</si>
  <si>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</si>
  <si>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</si>
  <si>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ESPACADOR / DISTANCIADOR EM PLASTICO (COLETADO CAIXA)</t>
  </si>
  <si>
    <t>ESPALHAMENTO DE MATERIAL DE 1A CATEGORIA COM TRATOR DE ESTEIRA COM 153 HP</t>
  </si>
  <si>
    <t>ESPALHAMENTO DE MATERIAL EM BOTA FORA, COM UTILIZACAO DE TRATOR DE EST EIRAS DE 165 HP</t>
  </si>
  <si>
    <t>ESPALHAMENTO MECANIZADO (COM MOTONIVELADORA 140 HP) MATERIAL 1A. CATEG ORIA</t>
  </si>
  <si>
    <t>ESPARGIDOR DE ASFALTO PRESSURIZADO COM TANQUE DE 2500 L, REBOCÁVEL COM MOTOR A GASOLINA POTÊNCIA 3,4 HP - CHI DIURNO. AF_07/2014</t>
  </si>
  <si>
    <t>ESPARGIDOR DE ASFALTO PRESSURIZADO COM TANQUE DE 2500 L, REBOCÁVEL COM MOTOR A GASOLINA POTÊNCIA 3,4 HP - CHP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</si>
  <si>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</si>
  <si>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</si>
  <si>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</si>
  <si>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</si>
  <si>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REBOCAVEL, TANQUE DE 2500 L, PNEUMATICO, COM MOTOR A GASOLINA 3,4HP</t>
  </si>
  <si>
    <t>ESPARGIDOR DE ASFALTO PRESSURIZADO, TANQUE 6 M3 COM ISOLACAO TERMICA, AQUECIDO COM 2 MACARICOS, COM BARRA ESPARGIDORA 3,60 M, A SER MONTADO SOBRE CAMINHAO</t>
  </si>
  <si>
    <t>ESPARGIDOR DE ASFALTO PRESSURIZADO, TANQUE 6 M3 COM ISOLAÇÃO TÉRMICA, AQUECIDO COM 2 MAÇARICOS, COM BARRA ESPARGIDORA 3,60 M, MONTADO SOBRE CAMINHÃO  TOCO, PBT 14.300 KG, POTÊNCIA 185 CV - CHI DIURNO. AF_08/201 5</t>
  </si>
  <si>
    <t>ESPARGIDOR DE ASFALTO PRESSURIZADO, TANQUE 6 M3 COM ISOLAÇÃO TÉRMICA, AQUECIDO COM 2 MAÇARICOS, COM BARRA ESPARGIDORA 3,60 M, MONTADO SOBRE CAMINHÃO  TOCO, PBT 14.300 KG, POTÊNCIA 185 CV - CHP DIURNO. AF_08/201 5</t>
  </si>
  <si>
    <t>ESPARGIDOR DE ASFALTO PRESSURIZADO, TANQUE 6 M3 COM ISOLAÇÃO TÉRMICA, AQUECIDO COM 2 MAÇARICOS, COM BARRA ESPARGIDORA 3,60 M, MONTADO SOBRE CAMINHÃO  TOCO, PBT 14.300 KG, POTÊNCIA 185 CV - DEPRECIAÇÃO. AF_08/20 15</t>
  </si>
  <si>
    <t>ESPARGIDOR DE ASFALTO PRESSURIZADO, TANQUE 6 M3 COM ISOLAÇÃO TÉRMICA, AQUECIDO COM 2 MAÇARICOS, COM BARRA ESPARGIDORA 3,60 M, MONTADO SOBRE CAMINHÃO  TOCO, PBT 14.300 KG, POTÊNCIA 185 CV - IMPOSTOS E SEGUROS. A 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</si>
  <si>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</si>
  <si>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MANUTENÇÃO. AF_08/201 5</t>
  </si>
  <si>
    <t>ESPARGIDOR DE ASFALTO PRESSURIZADO, TANQUE 6 M3 COM ISOLAÇÃO TÉRMICA, AQUECIDO COM 2 MAÇARICOS, COM BARRA ESPARGIDORA 3,60 M, MONTADO SOBRE CAMINHÃO  TOCO, PBT 14.300 KG, POTÊNCIA 185 CV - MATERIAIS NA OPERAÇÃO . AF_08/2015</t>
  </si>
  <si>
    <t>ESPATULA DE ACO INOX COM CABO DE MADEIRA, LARGURA 8 CM</t>
  </si>
  <si>
    <t>ESPATULA DE PLASTICO LISA, LARGURA 10 CM</t>
  </si>
  <si>
    <t>ESPELHO CRISTAL E = 4 MM</t>
  </si>
  <si>
    <t>ESPELHO CRISTAL ESPESSURA 4MM, COM MOLDURA EM ALUMINIO E COMPENSADO 6M M PLASTIFICADO COLADO</t>
  </si>
  <si>
    <t>ESPELHO CRISTAL, ESPESSURA 4MM, COM PARAFUSOS DE FIXACAO, SEM MOLDURA</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</si>
  <si>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</si>
  <si>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</si>
  <si>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</si>
  <si>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</si>
  <si>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</si>
  <si>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PARA CALHA PLUVIAL, PVC DIAMETRO ENTRE 119 E 170 MM, PARA DRENAGEM PREDIAL</t>
  </si>
  <si>
    <t>ESTACA A TRADO (BROCA) DIAMETRO = 20 CM, EM CONCRETO MOLDADO IN LOCO, 15 MPA, SEM ARMACAO.</t>
  </si>
  <si>
    <t>ESTACA PRE-MOLDADA MACICA DE CONCRETO VIBRADO ARMADO, PARA CARGA DE 20 T, SECAO HEXAGONAL, COM ANEL METALICO INCORPORADO A PECA (SOMENTE FORNECIMENTO)</t>
  </si>
  <si>
    <t>ESTACA PRE-MOLDADA MACICA DE CONCRETO VIBRADO ARMADO, PARA CARGA DE 40 T, SECAO HEXAGONAL, COM ANEL METALICO INCORPORADO A PECA (SOMENTE FORNECIMENTO)</t>
  </si>
  <si>
    <t>ESTACA PRE-MOLDADA MACICA DE CONCRETO VIBRADO ARMADO, PARA CARGA DE 50 T, SECAO QUADRADA, COM ANEL METALICO INCORPORADO A PECA (SOMENTE FORNECIMENTO)</t>
  </si>
  <si>
    <t>ESTACA PRE-MOLDADA MACICA DE CONCRETO VIBRADO ARMADO, PARA CARGA DE 70 T, SECAO HEXAGONAL, COM ANEL METALICO INCORPORADO A PECA (SOMENTE FORNECIMENTO)</t>
  </si>
  <si>
    <t>ESTACA PRE-MOLDADA VAZADA DE CONCRETO CENTRIFUGADO, PARA CARGA DE 100 T, SECAO CIRCULAR, COM ANEL METALICO INCORPORADO A PECA (SOMENTE FORNECIMENTO)</t>
  </si>
  <si>
    <t>ESTILETE DE METAL, LAMINA 18 MM</t>
  </si>
  <si>
    <t>ESTRIBO COM PARAFUSO EM CHAPA DE FERRO FUNDIDO DE 2" X 3/16" X 35 CM, SECAO "U", PARA MADEIRAMENTO DE TELHADO</t>
  </si>
  <si>
    <t>ESTRUTURA METALICA EM ACO ESTRUTURAL PERFIL I 12 X 5 1/4</t>
  </si>
  <si>
    <t>ESTRUTURA METALICA EM ACO ESTRUTURAL PERFIL I 6 X 3 3/8</t>
  </si>
  <si>
    <t>ESTRUTURA METALICA EM TESOURAS OU TRELICAS, VAO LIVRE DE 12M, FORNECIM ENTO E MONTAGEM, NAO SENDO CONSIDERADOS OS FECHAMENTOS METALICOS, AS C OLUNAS, OS SERVICOS GERAIS EM ALVENARIA E CONCRETO, AS TELHAS DE COBER TURA E A PINTURA DE ACABAMENTO</t>
  </si>
  <si>
    <t>ESTRUTURA METALICA EM TESOURAS OU TRELICAS, VAO LIVRE DE 15M, FORNECIM ENTO E MONTAGEM, NAO SENDO CONSIDERADOS OS FECHAMENTOS METALICOS, AS C OLUNAS, OS SERVICOS GERAIS EM ALVENARIA E CONCRETO, AS TELHAS DE COBER TURA E A PINTURA DE ACABAMENTO</t>
  </si>
  <si>
    <t>ESTRUTURA METALICA EM TESOURAS OU TRELICAS, VAO LIVRE DE 20M, FORNECIM ENTO E MONTAGEM, NAO SENDO CONSIDERADOS OS FECHAMENTOS METALICOS, AS C OLUNAS, OS SERVICOS GERAIS EM ALVENARIA E CONCRETO, AS TELHAS DE COBER TURA E A PINTURA DE ACABAMENTO</t>
  </si>
  <si>
    <t>ESTRUTURA METALICA EM TESOURAS OU TRELICAS, VAO LIVRE DE 25M, FORNECIM ENTO E MONTAGEM, NAO SENDO CONSIDERADOS OS FECHAMENTOS METALICOS, AS C OLUNAS, OS SERVICOS GERAIS EM ALVENARIA E CONCRETO, AS TELHAS DE COBER TURA E A PINTURA DE ACABAMENTO</t>
  </si>
  <si>
    <t>ESTRUTURA METALICA EM TESOURAS OU TRELICAS, VAO LIVRE DE 30M, FORNECIM ENTO E MONTAGEM, NAO SENDO CONSIDERADOS OS FECHAMENTOS METALICOS, AS C OLUNAS, OS SERVICOS GERAIS EM ALVENARIA E CONCRETO, AS TELHAS DE COBER TURA E A PINTURA DE ACABAMENTO</t>
  </si>
  <si>
    <t>ESTRUTURA PARA COBERTURA EM ARCO, EM ALUMINIO ANODIZADO, VAO DE 20M, E SPACAMENTO DE 5M ATE 6,5M</t>
  </si>
  <si>
    <t>ESTRUTURA PARA COBERTURA EM ARCO, EM ALUMINIO ANODIZADO, VAO DE 30M, E SPACAMENTO DE 5M ATE 6,5M</t>
  </si>
  <si>
    <t>ESTRUTURA PARA COBERTURA EM ARCO, EM ALUMINIO ANODIZADO, VAO DE 40M, E SPACAMENTO DE 5M ATE 6,5M</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</si>
  <si>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</si>
  <si>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</si>
  <si>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</si>
  <si>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</si>
  <si>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</si>
  <si>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</si>
  <si>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</si>
  <si>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ESTUCADOR (MENSALISTA)</t>
  </si>
  <si>
    <t>ESTUCAMENTO DE DENSIDADE ALTA, NAS FACES INTERNAS DE PAREDES DO SISTEM A DE PAREDES DE CONCRETO. AF_06/2015</t>
  </si>
  <si>
    <t>ESTUCAMENTO DE DENSIDADE BAIXA NAS FACES INTERNAS DE PAREDES DO SISTEM A DE PAREDES DE CONCRETO. AF_06/2015</t>
  </si>
  <si>
    <t>ESTUCAMENTO DE PANOS DE FACHADA COM VÃOS DO SISTEMA DE PAREDES DE CONC RETO EM EDIFICAÇÕES DE MÚLTIPLOS PAVIMENTOS. AF_06/2015</t>
  </si>
  <si>
    <t>ESTUCAMENTO DE PANOS DE FACHADA COM VÃOS DO SISTEMA DE PAREDES DE CONC RETO EM EDIFICAÇÕES DE PAVIMENTO ÚNICO. AF_06/2015</t>
  </si>
  <si>
    <t>ESTUCAMENTO DE PANOS DE FACHADA SEM VÃOS DO SISTEMA DE PAREDES DE CONC RETO EM EDIFICAÇÕES DE MÚLTIPLOS PAVIMENTOS. AF_06/2015</t>
  </si>
  <si>
    <t>ESTUCAMENTO DE PANOS DE FACHADA SEM VÃOS DO SISTEMA DE PAREDES DE CONC RETO EM EDIFICAÇÕES DE PAVIMENTO ÚNICO. AF_06/2015</t>
  </si>
  <si>
    <t>ESTUCAMENTO DE SUPERFÍCIE EXTERNA DA SACADA DO SISTEMA DE PAREDES DE C ONCRETO EM EDIFICAÇÕES DE MÚLTIPLOS PAVIMENTOS. AF_06/2015</t>
  </si>
  <si>
    <t>EXAMES - HORISTA (ENCARGOS COMPLEMENTARES) (COLETADO CAIXA)</t>
  </si>
  <si>
    <t>EXAMES - MENSALISTA (ENCARGOS COMPLEMENTARES (COLETADO CAIXA)</t>
  </si>
  <si>
    <t>EXECUÇÃO DE ALMOXARIFADO EM CANTEIRO DE OBRA EM ALVENARIA, INCLUSO PRA TELEIRAS. AF_02/2016</t>
  </si>
  <si>
    <t>EXECUÇÃO DE ALMOXARIFADO EM CANTEIRO DE OBRA EM CHAPA DE MADEIRA COMPE NSADA, INCLUSO PRATELEIRAS. AF_02/2016</t>
  </si>
  <si>
    <t>EXECUÇÃO DE CENTRAL DE ARMADURA EM CANTEIRO DE OBRA, NÃO INCLUSO MOBIL IÁRIO E EQUIPAMENTOS. AF_04/2016</t>
  </si>
  <si>
    <t>EXECUÇÃO DE CENTRAL DE FÔRMAS, PRODUÇÃO DE ARGAMASSA OU CONCRETO EM CA NTEIRO DE OBRA, NÃO INCLUSO MOBILIÁRIO E EQUIPAMENTOS. AF_04/2016</t>
  </si>
  <si>
    <t>EXECUÇÃO DE DEPÓSITO EM CANTEIRO DE OBRA EM CHAPA DE MADEIRA COMPENSAD A, NÃO INCLUSO MOBILIÁRIO. AF_04/2016</t>
  </si>
  <si>
    <t>EXECUCAO DE DRENO CEGO</t>
  </si>
  <si>
    <t>EXECUCAO DE DRENO COM MANTA GEOTEXTIL 200 G/M2</t>
  </si>
  <si>
    <t>EXECUCAO DE DRENO COM MANTA GEOTEXTIL 400 G/M2</t>
  </si>
  <si>
    <t>EXECUCAO DE DRENO COM TUBOS DE PVC CORRUGADO FLEXIVEL PERFURADO - DN 1 00</t>
  </si>
  <si>
    <t>EXECUCAO DE DRENO DE TUBO DE CONRETO SIMPLES POROSO D=0,20 M (0,5MX0,5 M) PARA GALERIAS DE AGUAS PLUVIAIS</t>
  </si>
  <si>
    <t>EXECUCAO DE DRENO FRANCES COM AREIA MEDIA</t>
  </si>
  <si>
    <t>EXECUCAO DE DRENO FRANCES COM BRITA NUM 2</t>
  </si>
  <si>
    <t>EXECUCAO DE DRENO FRANCES COM CASCALHO</t>
  </si>
  <si>
    <t>EXECUCAO DE DRENO PROFUNDO, CORTE EM SOLO, COM TUBO POROSO D=0,20M</t>
  </si>
  <si>
    <t>EXECUCAO DE DRENO VERTICAL COM PEDRISCO, DIAMETRO 200MM</t>
  </si>
  <si>
    <t>EXECUCAO DE DRENOS DE CHORUME EM TUBOS DRENANTES DE CONCRETO, DIAM=200 MM, ENVOLTOS EM BRITA E GEOTEXTIL</t>
  </si>
  <si>
    <t>EXECUCAO DE DRENOS DE CHORUME EM TUBOS DRENANTES, PVC, DIAM=100 MM, EN VOLTOS EM BRITA E GEOTEXTIL</t>
  </si>
  <si>
    <t>EXECUCAO DE DRENOS DE CHORUME EM TUBOS DRENANTES, PVC, DIAM=150 MM, EN VOLTOS EM BRITA E GEOTEXTIL</t>
  </si>
  <si>
    <t>EXECUÇÃO DE ESCORAS DE CONCRETO PARA CONTENÇÃO DE GUIAS PRÉ-FABRICADAS . AF_06/2016</t>
  </si>
  <si>
    <t>EXECUÇÃO DE ESCRITÓRIO EM CANTEIRO DE OBRA EM ALVENARIA, NÃO INCLUSO M OBILIÁRIO E EQUIPAMENTOS. AF_02/2016</t>
  </si>
  <si>
    <t>EXECUÇÃO DE ESCRITÓRIO EM CANTEIRO DE OBRA EM CHAPA DE MADEIRA COMPENS ADA, NÃO INCLUSO MOBILIÁRIO E EQUIPAMENTOS. AF_02/2016</t>
  </si>
  <si>
    <t>EXECUÇÃO DE GRAMPO PARA SOLO GRAMPEADO COM COMPRIMENTO MAIOR QUE 10 M, DIÂMETRO DE 10 CM, PERFURAÇÃO COM EQUIPAMENTO MANUAL E ARMADURA COM D IÂMETRO DE 16 MM. AF_05/2016</t>
  </si>
  <si>
    <t>EXECUÇÃO DE GRAMPO PARA SOLO GRAMPEADO COM COMPRIMENTO MAIOR QUE 10 M, DIÂMETRO DE 10 CM, PERFURAÇÃO COM EQUIPAMENTO MANUAL E ARMADURA COM D IÂMETRO DE 20 MM. AF_05/2016</t>
  </si>
  <si>
    <t>EXECUÇÃO DE GRAMPO PARA SOLO GRAMPEADO COM COMPRIMENTO MAIOR QUE 10 M, DIÂMETRO DE 7 CM, PERFURAÇÃO COM EQUIPAMENTO MANUAL E ARMADURA COM DI ÂMETRO DE 16 MM. AF_05/2016</t>
  </si>
  <si>
    <t>EXECUÇÃO DE GRAMPO PARA SOLO GRAMPEADO COM COMPRIMENTO MAIOR QUE 10 M, DIÂMETRO DE 7 CM, PERFURAÇÃO COM EQUIPAMENTO MANUAL E ARMADURA COM DI ÂMETRO DE 20 MM. AF_05/2016</t>
  </si>
  <si>
    <t>EXECUÇÃO DE GRAMPO PARA SOLO GRAMPEADO COM COMPRIMENTO MAIOR QUE 4 E M ENOR OU IGUAL A 6 M, DIÂMETRO DE 7 CM, PERFURAÇÃO COM EQUIPAMENTO MANU AL E ARMADURA COM DIÂMETRO DE 16 MM. AF_05/2016</t>
  </si>
  <si>
    <t>EXECUÇÃO DE GRAMPO PARA SOLO GRAMPEADO COM COMPRIMENTO MAIOR QUE 4 E M ENOR OU IGUAL A 6 M, DIÂMETRO DE 7 CM, PERFURAÇÃO COM EQUIPAMENTO MANU AL E ARMADURA COM DIÂMETRO DE 20 MM. AF_05/2016</t>
  </si>
  <si>
    <t>EXECUÇÃO DE GRAMPO PARA SOLO GRAMPEADO COM COMPRIMENTO MAIOR QUE 4 M E MENOR OU IGUAL A 6 M, DIÂMETRO DE 10 CM, PERFURAÇÃO COM EQUIPAMENTO M ANUAL E ARMADURA COM DIÂMETRO DE 16 MM. AF_05/2016</t>
  </si>
  <si>
    <t>EXECUÇÃO DE GRAMPO PARA SOLO GRAMPEADO COM COMPRIMENTO MAIOR QUE 4 M E MENOR OU IGUAL A 6 M, DIÂMETRO DE 10 CM, PERFURAÇÃO COM EQUIPAMENTO M ANUAL E ARMADURA COM DIÂMETRO DE 20 MM. AF_05/2016</t>
  </si>
  <si>
    <t>EXECUÇÃO DE GRAMPO PARA SOLO GRAMPEADO COM COMPRIMENTO MAIOR QUE 6 M E MENOR OU IGUAL A 8 M, DIÂMETRO DE 10 CM, PERFURAÇÃO COM EQUIPAMENTO M ANUAL E ARMADURA COM DIÂMETRO DE 16 MM. AF_05/2016</t>
  </si>
  <si>
    <t>EXECUÇÃO DE GRAMPO PARA SOLO GRAMPEADO COM COMPRIMENTO MAIOR QUE 6 M E MENOR OU IGUAL A 8 M, DIÂMETRO DE 10 CM, PERFURAÇÃO COM EQUIPAMENTO M ANUAL E ARMADURA COM DIÂMETRO DE 20 MM. AF_05/2016</t>
  </si>
  <si>
    <t>EXECUÇÃO DE GRAMPO PARA SOLO GRAMPEADO COM COMPRIMENTO MAIOR QUE 6 M E MENOR OU IGUAL A 8 M, DIÂMETRO DE 7 CM, PERFURAÇÃO COM EQUIPAMENTO MA NUAL E ARMADURA COM DIÂMETRO DE 16 MM. AF_05/2016</t>
  </si>
  <si>
    <t>EXECUÇÃO DE GRAMPO PARA SOLO GRAMPEADO COM COMPRIMENTO MAIOR QUE 6 M E MENOR OU IGUAL A 8 M, DIÂMETRO DE 7 CM, PERFURAÇÃO COM EQUIPAMENTO MA NUAL E ARMADURA COM DIÂMETRO DE 20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</si>
  <si>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</si>
  <si>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</si>
  <si>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8 M E MENOR OU IGUAL A 10 M, DIÂMETRO DE 7 CM, PERFURAÇÃO COM EQUIPAMENTO M ANUAL E ARMADURA COM DIÂMETRO DE 16 MM. AF_05/2016</t>
  </si>
  <si>
    <t>EXECUÇÃO DE GRAMPO PARA SOLO GRAMPEADO COM COMPRIMENTO MAIOR QUE 8 MEN OR OU IGUAL A 10 M, DIÂMETRO DE 7 CM, PERFURAÇÃO COM EQUIPAMENTO MANUA L E ARMADURA COM DIÂMETRO DE 20 MM. AF_05/2016</t>
  </si>
  <si>
    <t>EXECUÇÃO DE GRAMPO PARA SOLO GRAMPEADO COM COMPRIMENTO MENOR OU IGUAL A 4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</si>
  <si>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</si>
  <si>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</si>
  <si>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</si>
  <si>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GUARITA EM CANTEIRO DE OBRA EM CHAPA DE MADEIRA COMPENSADA , NÃO INCLUSO MOBILIÁRIO. AF_04/2016</t>
  </si>
  <si>
    <t>EXECUÇÃO DE PASSEIO EM PISO INTERTRAVADO, COM BLOCO 16 FACES DE 22 X 1 1 CM, ESPESSURA 6 CM. AF_12/2015</t>
  </si>
  <si>
    <t>EXECUÇÃO DE PASSEIO EM PISO INTERTRAVADO, COM BLOCO RETANGULAR COLORID O DE 20 X 10 CM, ESPESSURA 6 CM. AF_12/2015</t>
  </si>
  <si>
    <t>EXECUÇÃO DE PASSEIO EM PISO INTERTRAVADO, COM BLOCO RETANGULAR COR NAT URAL DE 20 X 10 CM, ESPESSURA 6 CM. AF_12/2015</t>
  </si>
  <si>
    <t>EXECUÇÃO DE PÁTIO/ESTACIONAMENTO EM PISO INTERTRAVADO, COM BLOCO 16 FA CES DE 22 X 11 CM, ESPESSURA 10 CM. AF_12/2015</t>
  </si>
  <si>
    <t>EXECUÇÃO DE PÁTIO/ESTACIONAMENTO EM PISO INTERTRAVADO, COM BLOCO 16 FA CES DE 22 X 11 CM, ESPESSURA 6 CM. AF_12/2015</t>
  </si>
  <si>
    <t>EXECUÇÃO DE PÁTIO/ESTACIONAMENTO EM PISO INTERTRAVADO, COM BLOCO 16 FA CES DE 22 X 11 CM, ESPESSURA 8 CM. AF_12/2015</t>
  </si>
  <si>
    <t>EXECUÇÃO DE PÁTIO/ESTACIONAMENTO EM PISO INTERTRAVADO, COM BLOCO RETAN GULAR COLORIDO DE 20 X 10 CM, ESPESSURA 6 CM. AF_12/2015</t>
  </si>
  <si>
    <t>EXECUÇÃO DE PÁTIO/ESTACIONAMENTO EM PISO INTERTRAVADO, COM BLOCO RETAN GULAR COLORIDO DE 20 X 10 CM, ESPESSURA 8 CM. AF_12/2015</t>
  </si>
  <si>
    <t>EXECUÇÃO DE PÁTIO/ESTACIONAMENTO EM PISO INTERTRAVADO, COM BLOCO RETAN GULAR COR NATURAL DE 20 X 10 CM, ESPESSURA 6 CM. AF_12/2015</t>
  </si>
  <si>
    <t>EXECUÇÃO DE PÁTIO/ESTACIONAMENTO EM PISO INTERTRAVADO, COM BLOCO RETAN GULAR COR NATURAL DE 20 X 10 CM, ESPESSURA 8 CM. AF_12/2015</t>
  </si>
  <si>
    <t>EXECUÇÃO DE PÁTIO/ESTACIONAMENTO EM PISO INTERTRAVADO, COM BLOCO RETAN GULAR DE 20 X 10 CM, ESPESSURA 10 CM.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</si>
  <si>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</si>
  <si>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</si>
  <si>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10 CM. AF_12/2015</t>
  </si>
  <si>
    <t>EXECUÇÃO DE PAVIMENTO EM PISO INTERTRAVADO, COM BLOCO SEXTAVADO DE 25 X 25 CM, ESPESSURA 6 CM. AF_12/2015</t>
  </si>
  <si>
    <t>EXECUÇÃO DE PAVIMENTO EM PISO INTERTRAVADO, COM BLOCO SEXTAVADO DE 25 X 25 CM, ESPESSURA 8 CM. AF_12/2015</t>
  </si>
  <si>
    <t>EXECUÇÃO DE PROTEÇÃO DA CABEÇA DO TIRANTE COM USO DE FÔRMAS EM CHAPA C OMPENSADA PLASTIFICADA DE MADEIRA E CONCRETO FCK =15 MPA. AF_07/2016</t>
  </si>
  <si>
    <t>EXECUÇÃO DE REFEITÓRIO EM CANTEIRO DE OBRA EM ALVENARIA, NÃO INCLUSO M OBILIÁRIO E EQUIPAMENTOS. AF_02/2016</t>
  </si>
  <si>
    <t>EXECUÇÃO DE REFEITÓRIO EM CANTEIRO DE OBRA EM CHAPA DE MADEIRA COMPENS ADA, NÃO INCLUSO MOBILIÁRIO E EQUIPAMENTOS. AF_02/2016</t>
  </si>
  <si>
    <t>EXECUÇÃO DE RESERVATÓRIO ELEVADO DE ÁGUA (1000 LITROS) EM CANTEIRO DE OBRA, APOIADO EM ESTRUTURA DE MADEIRA. AF_02/2016</t>
  </si>
  <si>
    <t>EXECUÇÃO DE RESERVATÓRIO ELEVADO DE ÁGUA (3000 LITROS) EM CANTEIRO DE OBRA, APOIADO EM ESTRUTURA DE MADEIRA. AF_02/2016</t>
  </si>
  <si>
    <t>EXECUÇÃO DE REVESTIMENTO DE CONCRETO PROJETADO COM ESPESSURA DE 10 CM, ARMADO COM FIBRAS DE AÇO, INCLINAÇÃO DE 90°, APLICAÇÃO CONTÍNUA, UTIL IZANDO EQUIPAMENTO DE PROJEÇÃO COM 3 M³/H DE CAPACIDADE. AF_01/2016</t>
  </si>
  <si>
    <t>EXECUÇÃO DE REVESTIMENTO DE CONCRETO PROJETADO COM ESPESSURA DE 10 CM, ARMADO COM FIBRAS DE AÇO, INCLINAÇÃO DE 90°, APLICAÇÃO CONTÍNUA, UTIL IZANDO EQUIPAMENTO DE PROJEÇÃO COM 6 M³/H DE CAPACIDADE. AF_01/2016</t>
  </si>
  <si>
    <t>EXECUÇÃO DE REVESTIMENTO DE CONCRETO PROJETADO COM ESPESSURA DE 10 CM, ARMADO COM FIBRAS DE AÇO, INCLINAÇÃO DE 90°, APLICAÇÃO DESCONTÍNUA, U TILIZANDO EQUIPAMENTO DE PROJEÇÃO COM 3 M³/H DE CAPACIDADE. AF_01/2016</t>
  </si>
  <si>
    <t>EXECUÇÃO DE REVESTIMENTO DE CONCRETO PROJETADO COM ESPESSURA DE 10 CM, ARMADO COM FIBRAS DE AÇO, INCLINAÇÃO DE 90°, APLICAÇÃO DESCONTÍNUA, U TILIZANDO EQUIPAMENTO DE PROJEÇÃO COM 6 M³/H DE CAPACIDADE. AF_01/2016</t>
  </si>
  <si>
    <t>EXECUÇÃO DE REVESTIMENTO DE CONCRETO PROJETADO COM ESPESSURA DE 10 CM, ARMADO COM FIBRAS DE AÇO, INCLINAÇÃO MENOR QUE 90°, APLICAÇÃO CONTÍNU A, UTILIZANDO EQUIPAMENTO DE PROJEÇÃO COM 3 M³/H DE CAPACIDADE. AF_01/ 2016</t>
  </si>
  <si>
    <t>EXECUÇÃO DE REVESTIMENTO DE CONCRETO PROJETADO COM ESPESSURA DE 10 CM, ARMADO COM FIBRAS DE AÇO, INCLINAÇÃO MENOR QUE 90°, APLICAÇÃO CONTÍNU A, UTILIZANDO EQUIPAMENTO DE PROJEÇÃO COM 6 M³/H DE CAPACIDADE. AF_01/ 2016</t>
  </si>
  <si>
    <t>EXECUÇÃO DE REVESTIMENTO DE CONCRETO PROJETADO COM ESPESSURA DE 10 CM, ARMADO COM FIBRAS DE AÇO, INCLINAÇÃO MENOR QUE 90°, APLICAÇÃO DESCONT ÍNUA, UTILIZANDO EQUIPAMENTO DE PROJEÇÃO COM 3 M³/H DE CAPACIDADE. AF_ 01/2016</t>
  </si>
  <si>
    <t>EXECUÇÃO DE REVESTIMENTO DE CONCRETO PROJETADO COM ESPESSURA DE 10 CM, ARMADO COM FIBRAS DE AÇO, INCLINAÇÃO MENOR QUE 90°, APLICAÇÃO DESCONT ÍNUA, UTILIZANDO EQUIPAMENTO DE PROJEÇÃO COM 6 M³/H DE CAPACIDADE. AF_ 01/2016</t>
  </si>
  <si>
    <t>EXECUÇÃO DE REVESTIMENTO DE CONCRETO PROJETADO COM ESPESSURA DE 10 CM, ARMADO COM TELA, INCLINAÇÃO DE 90°, APLICAÇÃO CONTÍNUA, UTILIZANDO EQ UIPAMENTO DE PROJEÇÃO COM 3 M³/H DE CAPACIDADE. AF_01/2016</t>
  </si>
  <si>
    <t>EXECUÇÃO DE REVESTIMENTO DE CONCRETO PROJETADO COM ESPESSURA DE 10 CM, ARMADO COM TELA, INCLINAÇÃO DE 90°, APLICAÇÃO CONTÍNUA, UTILIZANDO EQ UIPAMENTO DE PROJEÇÃO COM 6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</si>
  <si>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</si>
  <si>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</si>
  <si>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10 CM, ARMADO COM TELA, INCLINAÇÃO MENOR QUE 90°, APLICAÇÃO CONTÍNUA, UTILIZ ANDO EQUIPAMENTO DE PROJEÇÃO COM 3 M³/H DE CAPACIDADE. AF_01/2016</t>
  </si>
  <si>
    <t>EXECUÇÃO DE REVESTIMENTO DE CONCRETO PROJETADO COM ESPESSURA DE 10 CM, ARMADO COM TELA, INCLINAÇÃO MENOR QUE 90°, APLICAÇÃO CONTÍNUA, UTILIZ ANDO EQUIPAMENTO DE PROJEÇÃO COM 6 M³/H DE CAPACIDADE. AF_01/2016</t>
  </si>
  <si>
    <t>EXECUÇÃO DE REVESTIMENTO DE CONCRETO PROJETADO COM ESPESSURA DE 10 CM, ARMADO COM TELA, INCLINAÇÃO MENOR QUE 90°, APLICAÇÃO DESCONTÍNUA, UTI LIZANDO EQUIPAMENTO DE PROJEÇÃO COM 3 M³/H DE CAPACIDADE. AF_01/2016</t>
  </si>
  <si>
    <t>EXECUÇÃO DE REVESTIMENTO DE CONCRETO PROJETADO COM ESPESSURA DE 10 CM, ARMADO COM TELA, INCLINAÇÃO MENOR QUE 90°, APLICAÇÃO DESCONTÍNUA, UTI LIZANDO EQUIPAMENTO DE PROJEÇÃO COM 6 M³/H DE CAPACIDADE. AF_01/2016</t>
  </si>
  <si>
    <t>EXECUÇÃO DE REVESTIMENTO DE CONCRETO PROJETADO COM ESPESSURA DE 7 CM, ARMADO COM FIBRAS DE AÇO, INCLINAÇÃO DE 90°, APLICAÇÃO CONTÍNUA, UTILI ZANDO EQUIPAMENTO DE PROJEÇÃO COM 3 M³/H DE CAPACIDADE. AF_01/2016</t>
  </si>
  <si>
    <t>EXECUÇÃO DE REVESTIMENTO DE CONCRETO PROJETADO COM ESPESSURA DE 7 CM, ARMADO COM FIBRAS DE AÇO, INCLINAÇÃO DE 90°, APLICAÇÃO CONTÍNUA, UTILI ZANDO EQUIPAMENTO DE PROJEÇÃO COM 6 M³/H DE CAPACIDADE. AF_01/2016</t>
  </si>
  <si>
    <t>EXECUÇÃO DE REVESTIMENTO DE CONCRETO PROJETADO COM ESPESSURA DE 7 CM, ARMADO COM FIBRAS DE AÇO, INCLINAÇÃO DE 90°, APLICAÇÃO DESCONTÍNUA, UT ILIZANDO EQUIPAMENTO DE PROJEÇÃO COM 3 M³/H DE CAPACIDADE. AF_01/2016</t>
  </si>
  <si>
    <t>EXECUÇÃO DE REVESTIMENTO DE CONCRETO PROJETADO COM ESPESSURA DE 7 CM, ARMADO COM FIBRAS DE AÇO, INCLINAÇÃO DE 90°, APLICAÇÃO DESCONTÍNUA, UT ILIZANDO EQUIPAMENTO DE PROJEÇÃO COM 6 M³/H DE CAPACIDADE. AF_01/2016</t>
  </si>
  <si>
    <t>EXECUÇÃO DE REVESTIMENTO DE CONCRETO PROJETADO COM ESPESSURA DE 7 CM, ARMADO COM FIBRAS DE AÇO, INCLINAÇÃO MENOR QUE 90°, APLICAÇÃO CONTÍNUA , UTILIZANDO EQUIPAMENTO DE PROJEÇÃO COM 3 M³/H DE CAPACIDADE. AF_01/2 016</t>
  </si>
  <si>
    <t>EXECUÇÃO DE REVESTIMENTO DE CONCRETO PROJETADO COM ESPESSURA DE 7 CM, ARMADO COM FIBRAS DE AÇO, INCLINAÇÃO MENOR QUE 90°, APLICAÇÃO CONTÍNUA , UTILIZANDO EQUIPAMENTO DE PROJEÇÃO COM 6 M³/H DE CAPACIDADE. AF_01/2 016</t>
  </si>
  <si>
    <t>EXECUÇÃO DE REVESTIMENTO DE CONCRETO PROJETADO COM ESPESSURA DE 7 CM, ARMADO COM FIBRAS DE AÇO, INCLINAÇÃO MENOR QUE 90°, APLICAÇÃO DESCONTÍ NUA, UTILIZANDO EQUIPAMENTO DE PROJEÇÃO COM 3 M³/H DE CAPACIDADE. AF_0 1/2016</t>
  </si>
  <si>
    <t>EXECUÇÃO DE REVESTIMENTO DE CONCRETO PROJETADO COM ESPESSURA DE 7 CM, ARMADO COM FIBRAS DE AÇO, INCLINAÇÃO MENOR QUE 90°, APLICAÇÃO DESCONTÍ NUA, UTILIZANDO EQUIPAMENTO DE PROJEÇÃO COM 6 M³/H DE CAPACIDADE. AF_0 1/2016</t>
  </si>
  <si>
    <t>EXECUÇÃO DE REVESTIMENTO DE CONCRETO PROJETADO COM ESPESSURA DE 7 CM, ARMADO COM TELA, INCLINAÇÃO DE 90°, APLICAÇÃO CONTÍNUA, UTILIZANDO EQU IPAMENTO DE PROJEÇÃO COM 3 M³/H DE CAPACIDADE. AF_01/2016</t>
  </si>
  <si>
    <t>EXECUÇÃO DE REVESTIMENTO DE CONCRETO PROJETADO COM ESPESSURA DE 7 CM, ARMADO COM TELA, INCLINAÇÃO DE 90°, APLICAÇÃO CONTÍNUA, UTILIZANDO EQU 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</si>
  <si>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</si>
  <si>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</si>
  <si>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7 CM, ARMADO COM TELA, INCLINAÇÃO MENOR QUE 90°, APLICAÇÃO CONTÍNUA, UTILIZA NDO EQUIPAMENTO DE PROJEÇÃO COM 3 M³/H DE CAPACIDADE. AF_01/2016</t>
  </si>
  <si>
    <t>EXECUÇÃO DE REVESTIMENTO DE CONCRETO PROJETADO COM ESPESSURA DE 7 CM, ARMADO COM TELA, INCLINAÇÃO MENOR QUE 90°, APLICAÇÃO CONTÍNUA, UTILIZA NDO EQUIPAMENTO DE PROJEÇÃO COM 6 M³/H DE CAPACIDADE. AF_01/2016</t>
  </si>
  <si>
    <t>EXECUÇÃO DE REVESTIMENTO DE CONCRETO PROJETADO COM ESPESSURA DE 7 CM, ARMADO COM TELA, INCLINAÇÃO MENOR QUE 90°, APLICAÇÃO DESCONTÍNUA, UTIL IZANDO EQUIPAMENTO DE PROJEÇÃO COM 3 M³/H DE CAPACIDADE. AF_01/2016</t>
  </si>
  <si>
    <t>EXECUÇÃO DE REVESTIMENTO DE CONCRETO PROJETADO COM ESPESSURA DE 7 CM, ARMADO COM TELA, INCLINAÇÃO MENOR QUE 90°, APLICAÇÃO DESCONTÍNUA, UTIL IZANDO EQUIPAMENTO DE PROJEÇÃO COM 6 M³/H DE CAPACIDADE. AF_01/2016</t>
  </si>
  <si>
    <t>EXECUÇÃO DE SANITÁRIO E VESTIÁRIO EM CANTEIRO DE OBRA EM ALVENARIA, NÃ O INCLUSO MOBILIÁRIO. AF_02/2016</t>
  </si>
  <si>
    <t>EXECUÇÃO DE SANITÁRIO E VESTIÁRIO EM CANTEIRO DE OBRA EM CHAPA DE MADE IRA COMPENSADA, NÃO INCLUSO MOBILIÁRIO. AF_02/2016</t>
  </si>
  <si>
    <t>EXECUÇÃO DE SARJETA DE CONCRETO USINADO, MOLDADA  IN LOCO  EM TRECHO C URVO, 30 CM BASE X 10 CM ALTURA. AF_06/2016</t>
  </si>
  <si>
    <t>EXECUÇÃO DE SARJETA DE CONCRETO USINADO, MOLDADA  IN LOCO  EM TRECHO C URVO, 30 CM BASE X 15 CM ALTURA. AF_06/2016</t>
  </si>
  <si>
    <t>EXECUÇÃO DE SARJETA DE CONCRETO USINADO, MOLDADA  IN LOCO  EM TRECHO C URVO, 45 CM BASE X 10 CM ALTURA. AF_06/2016</t>
  </si>
  <si>
    <t>EXECUÇÃO DE SARJETA DE CONCRETO USINADO, MOLDADA  IN LOCO  EM TRECHO C URVO, 45 CM BASE X 15 CM ALTURA. AF_06/2016</t>
  </si>
  <si>
    <t>EXECUÇÃO DE SARJETA DE CONCRETO USINADO, MOLDADA  IN LOCO  EM TRECHO C URVO, 60 CM BASE X 10 CM ALTURA. AF_06/2016</t>
  </si>
  <si>
    <t>EXECUÇÃO DE SARJETA DE CONCRETO USINADO, MOLDADA  IN LOCO  EM TRECHO C URVO, 60 CM BASE X 15 CM ALTURA. AF_06/2016</t>
  </si>
  <si>
    <t>EXECUÇÃO DE SARJETA DE CONCRETO USINADO, MOLDADA  IN LOCO  EM TRECHO R ETO, 30 CM BASE X 10 CM ALTURA. AF_06/2016</t>
  </si>
  <si>
    <t>EXECUÇÃO DE SARJETA DE CONCRETO USINADO, MOLDADA  IN LOCO  EM TRECHO R ETO, 30 CM BASE X 15 CM ALTURA. AF_06/2016</t>
  </si>
  <si>
    <t>EXECUÇÃO DE SARJETA DE CONCRETO USINADO, MOLDADA  IN LOCO  EM TRECHO R ETO, 45 CM BASE X 10 CM ALTURA. AF_06/2016</t>
  </si>
  <si>
    <t>EXECUÇÃO DE SARJETA DE CONCRETO USINADO, MOLDADA  IN LOCO  EM TRECHO R ETO, 45 CM BASE X 15 CM ALTURA. AF_06/2016</t>
  </si>
  <si>
    <t>EXECUÇÃO DE SARJETA DE CONCRETO USINADO, MOLDADA  IN LOCO  EM TRECHO R ETO, 60 CM BASE X 10 CM ALTURA. AF_06/2016</t>
  </si>
  <si>
    <t>EXECUÇÃO DE SARJETA DE CONCRETO USINADO, MOLDADA  IN LOCO  EM TRECHO R ETO, 60 CM BASE X 15 CM ALTURA. AF_06/2016</t>
  </si>
  <si>
    <t>EXECUÇÃO DE SARJETÃO DE CONCRETO USINADO, MOLDADA  IN LOCO  EM TRECHO RETO, 100 CM BASE X 20 CM ALTURA. AF_06/2016</t>
  </si>
  <si>
    <t>EXECUÇÃO DE VIA EM PISO INTERTRAVADO, COM BLOCO 16 FACES DE 22 X 11 CM , ESPESSURA 10 CM. AF_12/2015</t>
  </si>
  <si>
    <t>EXECUÇÃO DE VIA EM PISO INTERTRAVADO, COM BLOCO 16 FACES DE 22 X 11 CM , ESPESSURA 8 CM. AF_12/2015</t>
  </si>
  <si>
    <t>EXECUÇÃO DE VIA EM PISO INTERTRAVADO, COM BLOCO RETANGULAR COLORIDO DE 20 X 10 CM, ESPESSURA 8 CM. AF_12/2015</t>
  </si>
  <si>
    <t>EXECUÇÃO DE VIA EM PISO INTERTRAVADO, COM BLOCO RETANGULAR COR NATURAL DE 20 X 10 CM, ESPESSURA 8 CM. AF_12/2015</t>
  </si>
  <si>
    <t>EXECUÇÃO DE VIA EM PISO INTERTRAVADO, COM BLOCO RETANGULAR DE 20 X 10 CM, ESPESSURA 10 CM. AF_12/2015</t>
  </si>
  <si>
    <t>EXECUCAO DRENO PROFUNDO, COM CORTE TRAPEZOIDAL EM SOLO, DE 70X80X150CM EXCL TUBO INCL MATERIAL EXECUCAO, COM SELO ENCHIMENTO MATERIAL DRENAN TE E ESCAVACAO</t>
  </si>
  <si>
    <t>EXTENSAO DE SOLDA 201 ACETILENO, E = *1,5 A 2,5* MM</t>
  </si>
  <si>
    <t>EXTENSAO DE SOLDA 201 GLP, E = *2,5 A 4,0* MM</t>
  </si>
  <si>
    <t>EXTINTOR DE CO2 6KG - FORNECIMENTO E INSTALACAO</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</si>
  <si>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</si>
  <si>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</si>
  <si>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</si>
  <si>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</si>
  <si>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</si>
  <si>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</si>
  <si>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</si>
  <si>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EXTINTOR DE PQS 4KG - FORNECIMENTO E INSTALACAO</t>
  </si>
  <si>
    <t>EXTINTOR INCENDIO AGUA-PRESSURIZADA 10L INCL SUPORTE PAREDE CARGA COMPLETA FORNECIMENTO E COLOCACAO</t>
  </si>
  <si>
    <t>EXTINTOR INCENDIO TP GAS CARBONICO 4KG COMPLETO - FORNECIMENTO E INSTA LACAO</t>
  </si>
  <si>
    <t>EXTINTOR INCENDIO TP PO QUIMICO 4KG FORNECIMENTO E COLOCACAO</t>
  </si>
  <si>
    <t>EXTINTOR INCENDIO TP PO QUIMICO 6KG - FORNECIMENTO E INSTALACAO</t>
  </si>
  <si>
    <t>EXTRACAO, CARGA E ASSENTAMENTO DE CORDAO DE PEDRA PARA PAVIMENTO POLIE DRICO, EXCLUSIVE TRANSPORTE DE PEDRA E INDENIZACAO PEDREIRA</t>
  </si>
  <si>
    <t>EXTRACAO, CARGA, PREPARO E ASSENTAMENTO DE PEDRAS POLIEDRICAS, EXCLUSI VE TRANSPORTE DE PEDRA E INDENIZACAO PEDREIRA</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</si>
  <si>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</si>
  <si>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</si>
  <si>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</si>
  <si>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</si>
  <si>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</si>
  <si>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</si>
  <si>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</si>
  <si>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</si>
  <si>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</si>
  <si>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</si>
  <si>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</si>
  <si>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</si>
  <si>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FABRICAÇÃO DE FÔRMA PARA LAJES, EM CHAPA DE MADEIRA COMPENSADA PLASTIF ICADA, E = 18 MM. AF_12/2015</t>
  </si>
  <si>
    <t>FABRICAÇÃO DE FÔRMA PARA LAJES, EM CHAPA DE MADEIRA COMPENSADA RESINAD A, E = 17 MM. AF_12/2015</t>
  </si>
  <si>
    <t>FABRICAÇÃO DE FÔRMA PARA LAJES, EM MADEIRA SERRADA, E=25 MM. AF_12/201 5</t>
  </si>
  <si>
    <t>FABRICAÇÃO DE FÔRMA PARA PILARES E ESTRUTURAS SIMILARES, EM CHAPA DE M ADEIRA COMPENSADA PLASTIFICADA, E = 18 MM. AF_12/2015</t>
  </si>
  <si>
    <t>FABRICAÇÃO DE FÔRMA PARA PILARES E ESTRUTURAS SIMILARES, EM CHAPA DE M ADEIRA COMPENSADA RESINADA, E = 17 MM. AF_12/2015</t>
  </si>
  <si>
    <t>FABRICAÇÃO DE FÔRMA PARA PILARES E ESTRUTURAS SIMILARES, EM MADEIRA SE RRADA, E=25 MM. AF_12/2015</t>
  </si>
  <si>
    <t>FABRICAÇÃO DE FÔRMA PARA VIGAS, COM MADEIRA SERRADA, E = 25 MM. AF_12/ 2015</t>
  </si>
  <si>
    <t>FABRICAÇÃO DE FÔRMA PARA VIGAS, EM CHAPA DE MADEIRA COMPENSADA PLASTIF ICADA, E = 18 MM. AF_12/2015</t>
  </si>
  <si>
    <t>FABRICAÇÃO DE FÔRMA PARA VIGAS, EM CHAPA DE MADEIRA COMPENSADA RESINAD A, E = 17 MM. AF_12/2015</t>
  </si>
  <si>
    <t>FABRICAÇÃO E APLICAÇÃO DE CONCRETO BETUMINOSO USINADO A QUENTE(CBUQ),C AP 50/70,  EXCLUSIVE TRANSPORTE</t>
  </si>
  <si>
    <t>FABRICAÇÃO E INSTALAÇÃO DE ESTRUTURA PONTALETADA DE MADEIRA NÃO APAREL HADA PARA TELHADOS COM ATÉ 2 ÁGUAS E PARA TELHA CERÂMICA OU DE CONCRET O, INCLUSO TRANSPORTE VERTICAL. AF_12/2015</t>
  </si>
  <si>
    <t>FABRICAÇÃO E INSTALAÇÃO DE ESTRUTURA PONTALETADA DE MADEIRA NÃO APAREL HADA PARA TELHADOS COM ATÉ 2 ÁGUAS E PARA TELHA ONDULADA DE FIBROCIMEN TO, METÁLICA, PLÁSTICA OU TERMOACÚSTICA, INCLUSO TRANSPORTE VERTICAL. AF_12/2015</t>
  </si>
  <si>
    <t>FABRICAÇÃO E INSTALAÇÃO DE ESTRUTURA PONTALETADA DE MADEIRA NÃO APAREL HADA PARA TELHADOS COM MAIS QUE 2 ÁGUAS E PARA TELHA CERÂMICA OU DE CO NCRETO, INCLUSO TRANSPORTE VERTICAL. AF_12/2015</t>
  </si>
  <si>
    <t>FABRICAÇÃO E INSTALAÇÃO DE TESOURA INTEIRA EM AÇO, VÃO DE 10 M, PARA T ELHA CERÂMICA OU DE CONCRETO, INCLUSO IÇAMENTO. AF_12/2015</t>
  </si>
  <si>
    <t>FABRICAÇÃO E INSTALAÇÃO DE TESOURA INTEIRA EM AÇO, VÃO DE 10 M, PARA T ELHA ONDULADA DE FIBROCIMENTO, METÁLICA, PLÁSTICA OU TERMOACÚSTICA, IN CLUSO IÇAMENTO. AF_12/2015</t>
  </si>
  <si>
    <t>FABRICAÇÃO E INSTALAÇÃO DE TESOURA INTEIRA EM AÇO, VÃO DE 11 M, PARA T ELHA CERÂMICA OU DE CONCRETO, INCLUSO IÇAMENTO. AF_12/2015</t>
  </si>
  <si>
    <t>FABRICAÇÃO E INSTALAÇÃO DE TESOURA INTEIRA EM AÇO, VÃO DE 11 M, PARA T ELHA ONDULADA DE FIBROCIMENTO, METÁLICA, PLÁSTICA OU TERMOACÚSTICA, IN CLUSO IÇAMENTO. AF_12/2015</t>
  </si>
  <si>
    <t>FABRICAÇÃO E INSTALAÇÃO DE TESOURA INTEIRA EM AÇO, VÃO DE 12 M, PARA T ELHA CERÂMICA OU DE CONCRETO, INCLUSO IÇAMENTO. AF_12/2015</t>
  </si>
  <si>
    <t>FABRICAÇÃO E INSTALAÇÃO DE TESOURA INTEIRA EM AÇO, VÃO DE 12 M, PARA T ELHA ONDULADA DE FIBROCIMENTO, METÁLICA, PLÁSTICA OU TERMOACÚSTICA, IN CLUSO IÇAMENTO. AF_12/2015</t>
  </si>
  <si>
    <t>FABRICAÇÃO E INSTALAÇÃO DE TESOURA INTEIRA EM AÇO, VÃO DE 3 M, PARA TE LHA CERÂMICA OU DE CONCRETO, INCLUSO IÇAMENTO. AF_12/2015</t>
  </si>
  <si>
    <t>FABRICAÇÃO E INSTALAÇÃO DE TESOURA INTEIRA EM AÇO, VÃO DE 3 M, PARA TE LHA ONDULADA DE FIBROCIMENTO, METÁLICA, PLÁSTICA OU TERMOACÚSTICA, INC LUSO IÇAMENTO.. AF_12/2015</t>
  </si>
  <si>
    <t>FABRICAÇÃO E INSTALAÇÃO DE TESOURA INTEIRA EM AÇO, VÃO DE 4 M, PARA TE LHA CERÂMICA OU DE CONCRETO, INCLUSO IÇAMENTO. AF_12/2015</t>
  </si>
  <si>
    <t>FABRICAÇÃO E INSTALAÇÃO DE TESOURA INTEIRA EM AÇO, VÃO DE 4 M, PARA TE LHA ONDULADA DE FIBROCIMENTO, METÁLICA, PLÁSTICA OU TERMOACÚSTICA, INC LUSO IÇAMENTO. AF_12/2015</t>
  </si>
  <si>
    <t>FABRICAÇÃO E INSTALAÇÃO DE TESOURA INTEIRA EM AÇO, VÃO DE 5 M, PARA TE LHA CERÂMICA OU DE CONCRETO, INCLUSO IÇAMENTO. AF_12/2015</t>
  </si>
  <si>
    <t>FABRICAÇÃO E INSTALAÇÃO DE TESOURA INTEIRA EM AÇO, VÃO DE 5 M, PARA TE LHA ONDULADA DE FIBROCIMENTO, METÁLICA, PLÁSTICA OU TERMOACÚSTICA, INC LUSO IÇAMENTO. AF_12/2015</t>
  </si>
  <si>
    <t>FABRICAÇÃO E INSTALAÇÃO DE TESOURA INTEIRA EM AÇO, VÃO DE 6 M, PARA TE LHA CERÂMICA OU DE CONCRETO, INCLUSO IÇAMENTO. AF_12/2015</t>
  </si>
  <si>
    <t>FABRICAÇÃO E INSTALAÇÃO DE TESOURA INTEIRA EM AÇO, VÃO DE 6 M, PARA TE LHA ONDULADA DE FIBROCIMENTO, METÁLICA, PLÁSTICA OU TERMOACÚSTICA, INC LUSO IÇAMENTO. AF_12/2015</t>
  </si>
  <si>
    <t>FABRICAÇÃO E INSTALAÇÃO DE TESOURA INTEIRA EM AÇO, VÃO DE 7 M, PARA TE LHA CERÂMICA OU DE CONCRETO, INCLUSO IÇAMENTO. AF_12/2015</t>
  </si>
  <si>
    <t>FABRICAÇÃO E INSTALAÇÃO DE TESOURA INTEIRA EM AÇO, VÃO DE 7 M, PARA TE LHA ONDULADA DE FIBROCIMENTO, METÁLICA, PLÁSTICA OU TERMOACÚSTICA, INC LUSO IÇAMENTO. AF_12/2015</t>
  </si>
  <si>
    <t>FABRICAÇÃO E INSTALAÇÃO DE TESOURA INTEIRA EM AÇO, VÃO DE 8 M, PARA TE LHA CERÂMICA OU DE CONCRETO, INCLUSO IÇAMENTO. AF_12/2015</t>
  </si>
  <si>
    <t>FABRICAÇÃO E INSTALAÇÃO DE TESOURA INTEIRA EM AÇO, VÃO DE 8 M, PARA TE LHA ONDULADA DE FIBROCIMENTO, METÁLICA, PLÁSTICA OU TERMOACÚSTICA, INC LUSO IÇAMENTO, INCLUSO IÇAMENTO. AF_12/2015</t>
  </si>
  <si>
    <t>FABRICAÇÃO E INSTALAÇÃO DE TESOURA INTEIRA EM AÇO, VÃO DE 9 M, PARA TE LHA CERÂMICA OU DE CONCRETO, INCLUSO IÇAMENTO. AF_12/2015</t>
  </si>
  <si>
    <t>FABRICAÇÃO E INSTALAÇÃO DE TESOURA INTEIRA EM AÇO, VÃO DE 9 M, PARA TE LHA ONDULADA DE FIBROCIMENTO, METÁLICA, PLÁSTICA OU TERMOACÚSTICA, INC LUSO IÇAMENTO. AF_12/2015</t>
  </si>
  <si>
    <t>FABRICAÇÃO E INSTALAÇÃO DE TESOURA INTEIRA EM MADEIRA NÃO APARELHADA, VÃO DE 10 M, PARA TELHA CERÂMICA OU DE CONCRETO, INCLUSO IÇAMENTO. AF_ 12/2015</t>
  </si>
  <si>
    <t>FABRICAÇÃO E INSTALAÇÃO DE TESOURA INTEIRA EM MADEIRA NÃO APARELHADA, VÃO DE 10 M, PARA TELHA ONDULADA DE FIBROCIMENTO, METÁLICA, PLÁSTICA O U TERMOACÚSTICA, INCLUSO IÇAMENTO. AF_12/2015</t>
  </si>
  <si>
    <t>FABRICAÇÃO E INSTALAÇÃO DE TESOURA INTEIRA EM MADEIRA NÃO APARELHADA, VÃO DE 11 M, PARA TELHA CERÂMICA OU DE CONCRETO, INCLUSO IÇAMENTO. AF_ 12/2015</t>
  </si>
  <si>
    <t>FABRICAÇÃO E INSTALAÇÃO DE TESOURA INTEIRA EM MADEIRA NÃO APARELHADA, VÃO DE 11 M, PARA TELHA ONDULADA DE FIBROCIMENTO, METÁLICA, PLÁSTICA O U TERMOACÚSTICA, INCLUSO IÇAMENTO. AF_12/2015</t>
  </si>
  <si>
    <t>FABRICAÇÃO E INSTALAÇÃO DE TESOURA INTEIRA EM MADEIRA NÃO APARELHADA, VÃO DE 12 M, PARA TELHA CERÂMICA OU DE CONCRETO, INCLUSO IÇAMENTO. AF_ 12/2015</t>
  </si>
  <si>
    <t>FABRICAÇÃO E INSTALAÇÃO DE TESOURA INTEIRA EM MADEIRA NÃO APARELHADA, VÃO DE 12 M, PARA TELHA ONDULADA DE FIBROCIMENTO, METÁLICA, PLÁSTICA O U TERMOACÚSTICA, INCLUSO IÇAMENTO. AF_12/2015</t>
  </si>
  <si>
    <t>FABRICAÇÃO E INSTALAÇÃO DE TESOURA INTEIRA EM MADEIRA NÃO APARELHADA, VÃO DE 3 M, PARA TELHA CERÂMICA OU DE CONCRETO, INCLUSO IÇAMENTO. AF_1 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</si>
  <si>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</si>
  <si>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CERÂMICA OU DE CONCRETO, INCLUSO IÇAMENTO. AF_1 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</si>
  <si>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</si>
  <si>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CERÂMICA OU DE CONCRETO, INCLUSO IÇAMENTO. AF_1 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</si>
  <si>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</si>
  <si>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CERÂMICA OU DE CONCRETO, INCLUSO IÇAMENTO. AF_1 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</si>
  <si>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</si>
  <si>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CERÂMICA OU DE CONCRETO, INCLUSO IÇAMENTO. AF_1 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</si>
  <si>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</si>
  <si>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CERÂMICA OU DE CONCRETO, INCLUSO IÇAMENTO. AF_1 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</si>
  <si>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</si>
  <si>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CERÂMICA OU DE CONCRETO, INCLUSO IÇAMENTO. AF_1 2/2015</t>
  </si>
  <si>
    <t>FABRICAÇÃO E INSTALAÇÃO DE TESOURA INTEIRA EM MADEIRA NÃO APARELHADA, VÃO DE 9 M, PARA TELHA ONDULADA DE FIBROCIMENTO, METÁLICA, PLÁSTICA OU TERMOACÚSTICA, INCLUSO IÇAMENTO. AF_12/2015</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</si>
  <si>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</si>
  <si>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</si>
  <si>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</si>
  <si>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</si>
  <si>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</si>
  <si>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</si>
  <si>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</si>
  <si>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</si>
  <si>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</si>
  <si>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COM CILINDRO, EXTERNA, COMPLETA, ACABAMENTO PADRÃ O MÉDIO, INCLUSO EXECUÇÃO DE FURO - FORNECIMENTO E INSTALAÇÃO. AF_08/2 015</t>
  </si>
  <si>
    <t>FECHADURA DE EMBUTIR COM CILINDRO, EXTERNA, COMPLETA, ACABAMENTO PADRÃ O POPULAR, INCLUSO EXECUÇÃO DE FURO - FORNECIMENTO E INSTALAÇÃO. AF_08 /2015</t>
  </si>
  <si>
    <t>FECHADURA DE EMBUTIR PARA PORTA DE BANHEIRO, CHAVE TIPO TRANQUETA, MAQUINA 40 MM, SEM MACANETA, SEM ESPELHO (SOMENTE MAQUINA) - NIVEL SEGURANCA MEDIO</t>
  </si>
  <si>
    <t>FECHADURA DE EMBUTIR PARA PORTA DE BANHEIRO, COMPLETA, ACABAMENTO PADR ÃO MÉDIO, INCLUSO EXECUÇÃO DE FURO - FORNECIMENTO E INSTALAÇÃO. AF_08/ 2015</t>
  </si>
  <si>
    <t>FECHADURA DE EMBUTIR PARA PORTA DE BANHEIRO, COMPLETA, ACABAMENTO PADR ÃO POPULAR, INCLUSO EXECUÇÃO DE FURO - FORNECIMENTO E INSTALAÇÃO. AF_0 8/2015</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</si>
  <si>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</si>
  <si>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</si>
  <si>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</si>
  <si>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</si>
  <si>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</si>
  <si>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</si>
  <si>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</si>
  <si>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</si>
  <si>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</si>
  <si>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</si>
  <si>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</si>
  <si>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</si>
  <si>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</si>
  <si>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</si>
  <si>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</si>
  <si>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</si>
  <si>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</si>
  <si>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</si>
  <si>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</si>
  <si>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FECHAMENTO DE CONSTRUÇÃO TEMPORÁRIA EM CHAPA DE MADEIRA COMPENSADA E=1 0MM, COM REAPROVEITAMENTO DE 2X.</t>
  </si>
  <si>
    <t>FECHAMENTO TEMPORÁRIO EM CHAPA DE MADEIRA COMPENSADA E=12MM, COM REAPR OVEITAMENTO 1,5X</t>
  </si>
  <si>
    <t>FECHO / FECHADURA COM PUXADOR CONCHA, COM TRANCA TIPO TRAVA, PARA JANELA / PORTA DE CORRER (INCLUI TESTA, FECHADURA, PUXADOR) - COMPLETA</t>
  </si>
  <si>
    <t>FECHO / FECHADURA CONCHA COM ALAVANCA / TRAVA, DE EMBUTIR, PARA PORTA OU JANELA DE CORRER EM LATAO OU ACO INOX - COMPLETO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</si>
  <si>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</si>
  <si>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</si>
  <si>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DESLIZANTE, COM TRAVA, 120 MM, EM LATAO CROMADO</t>
  </si>
  <si>
    <t>FECHO DE SEGURANCA, TIPO BATOM, EM LATAO / ZAMAC, CROMADO, PARA PORTAS E JANELAS - INCLUI PARAFUSOS</t>
  </si>
  <si>
    <t>FECHO EMBUTIR TIPO UNHA 22CM C/COLOCACAO</t>
  </si>
  <si>
    <t>FECHO EMBUTIR TIPO UNHA 40CM C/COLOCACAO</t>
  </si>
  <si>
    <t>FELTRO EM LA DE ROCHA, 1 FACE REVESTIDA COM FILME DE POLIPROPILENO, EM ROLO, DENSIDADE = 32 KG/M3, E=*50* MM (COLETADO CAIXA)</t>
  </si>
  <si>
    <t>FERRAMENTAS (ENCARGOS COMPLEMENTARES) - HORISTA</t>
  </si>
  <si>
    <t>FERRAMENTAS (ENCARGOS COMPLEMENTARES) - MENSALISTA</t>
  </si>
  <si>
    <t>FERROLHO / FECHO CHATO, EM FERRO ZINCADO, LEVE, 3", COM PORTA CADEADO, PARA PORTAO, PORTA E JANELA - INCLUI PARAFUSOS</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</si>
  <si>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</si>
  <si>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</si>
  <si>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</si>
  <si>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</si>
  <si>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</si>
  <si>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</si>
  <si>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</si>
  <si>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</si>
  <si>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</si>
  <si>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</si>
  <si>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</si>
  <si>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</si>
  <si>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</si>
  <si>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</si>
  <si>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</si>
  <si>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FI 0,6MM, 2 CONDUTORES (USO INTERNO)-  FORNECIMENTO E I NSTALACAO</t>
  </si>
  <si>
    <t>FITA ACO INOX PARA CINTAR POSTE, L = 19 MM, E = 0,5 MM (ROLO DE 30M)</t>
  </si>
  <si>
    <t>FITA ADESIVA ALUMINIZADA PARA INSTALACAO DE MANTAS DE SUBCOBERTURA, L = *5* CM (COLETADO CAIXA)</t>
  </si>
  <si>
    <t>FITA ADESIVA ANTICORROSIVA DE PVC FLEXIVEL, COR PRETA, PARA PROTECAO TUBULACAO, 50 MM X 30 M (L X C), E= *0,25* MM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</si>
  <si>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</si>
  <si>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</si>
  <si>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</si>
  <si>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</si>
  <si>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</si>
  <si>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</si>
  <si>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</si>
  <si>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</si>
  <si>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</si>
  <si>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</si>
  <si>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</si>
  <si>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</si>
  <si>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</si>
  <si>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</si>
  <si>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FIXAÇÃO (ENCUNHAMENTO) DE ALVENARIA DE VEDAÇÃO COM TIJOLO MACIÇO. AF_0 3/2016</t>
  </si>
  <si>
    <t>FIXAÇÃO DE TUBOS HORIZONTAIS DE PEX DIAMETROS IGUAIS OU INFERIORES A 4 0 MM COM ABRAÇADEIRA PLÁSTICA 390 MM, FIXADA EM LAJE. AF_05/2015</t>
  </si>
  <si>
    <t>FIXAÇÃO DE TUBOS HORIZONTAIS DE PPR DIÂMETROS MAIORES QUE 40 MM E MENO RES OU IGUAIS A 75 MM COM ABRAÇADEIRA METÁLICA FLEXÍVEL 18 MM, FIXADA DIRETAMENTE NA LAJE. AF_05/2015</t>
  </si>
  <si>
    <t>FIXAÇÃO DE TUBOS HORIZONTAIS DE PPR DIÂMETROS MAIORES QUE 40 MM E MENO RES OU IGUAIS A 75 MM COM ABRAÇADEIRA METÁLICA RÍGIDA TIPO D 1 1/2", F IXADA EM PERFILADO EM LAJE. AF_05/2015</t>
  </si>
  <si>
    <t>FIXAÇÃO DE TUBOS HORIZONTAIS DE PPR DIÂMETROS MAIORES QUE 75 MM COM AB RAÇADEIRA METÁLICA FLEXÍVEL 18 MM, FIXADA DIRETAMENTE NA LAJE. AF_05/2 015</t>
  </si>
  <si>
    <t>FIXAÇÃO DE TUBOS HORIZONTAIS DE PPR DIÂMETROS MAIORES QUE 75 MM COM AB RAÇADEIRA METÁLICA RÍGIDA TIPO D 3", FIXADA EM PERFILADO EM LAJE. AF_0 5/2015</t>
  </si>
  <si>
    <t>FIXAÇÃO DE TUBOS HORIZONTAIS DE PPR DIÂMETROS MENORES OU IGUAIS A 40 M M COM ABRAÇADEIRA METÁLICA FLEXÍVEL 18 MM, FIXADA DIRETAMENTE NA LAJE. AF_05/2015</t>
  </si>
  <si>
    <t>FIXAÇÃO DE TUBOS HORIZONTAIS DE PPR DIÂMETROS MENORES OU IGUAIS A 40 M M COM ABRAÇADEIRA METÁLICA RÍGIDA TIPO D 1/2", FIXADA EM PERFILADO EM LAJE. AF_05/2015</t>
  </si>
  <si>
    <t>FIXAÇÃO DE TUBOS HORIZONTAIS DE PVC, CPVC OU COBRE DIÂMETROS MAIORES Q UE 40 MM E MENORES OU IGUAIS A 75 MM COM ABRAÇADEIRA METÁLICA FLEXÍVEL 18 MM, FIXADA DIRETAMENTE NA LAJE. AF_05/2015</t>
  </si>
  <si>
    <t>FIXAÇÃO DE TUBOS HORIZONTAIS DE PVC, CPVC OU COBRE DIÂMETROS MAIORES Q UE 40 MM E MENORES OU IGUAIS A 75 MM COM ABRAÇADEIRA METÁLICA RÍGIDA T IPO D 1 1/2", FIXADA EM PERFILADO EM LAJE. AF_05/2015</t>
  </si>
  <si>
    <t>FIXAÇÃO DE TUBOS HORIZONTAIS DE PVC, CPVC OU COBRE DIÂMETROS MAIORES Q UE 75 MM COM ABRAÇADEIRA METÁLICA FLEXÍVEL 18 MM, FIXADA DIRETAMENTE N A LAJE. AF_05/2015</t>
  </si>
  <si>
    <t>FIXAÇÃO DE TUBOS HORIZONTAIS DE PVC, CPVC OU COBRE DIÂMETROS MAIORES Q UE 75 MM COM ABRAÇADEIRA METÁLICA RÍGIDA TIPO D 3", FIXADA EM PERFILAD O EM LAJE. AF_05/2015</t>
  </si>
  <si>
    <t>FIXAÇÃO DE TUBOS HORIZONTAIS DE PVC, CPVC OU COBRE DIÂMETROS MENORES O U IGUAIS A 40 MM COM ABRAÇADEIRA METÁLICA FLEXÍVEL 18 MM, FIXADA DIRET AMENTE NA LAJE. AF_05/2015</t>
  </si>
  <si>
    <t>FIXAÇÃO DE TUBOS HORIZONTAIS DE PVC, CPVC OU COBRE DIÂMETROS MENORES O U IGUAIS A 40 MM OU ELETROCALHAS ATÉ 150MM DE LARGURA, COM ABRAÇADEIRA METÁLICA RÍGIDA TIPO D 1/2, FIXADA EM PERFILADO EM LAJE. AF_05/2015</t>
  </si>
  <si>
    <t>FIXAÇÃO DE TUBOS VERTICAIS DE PPR DIÂMETROS MAIORES QUE 40 MM E MENORE S OU IGUAIS A 75 MM COM ABRAÇADEIRA METÁLICA RÍGIDA TIPO D 1 1/2", FIX ADA EM PERFILADO EM ALVENARIA. AF_05/2015</t>
  </si>
  <si>
    <t>FIXAÇÃO DE TUBOS VERTICAIS DE PPR DIÂMETROS MAIORES QUE 75 MM COM ABRA ÇADEIRA METÁLICA RÍGIDA TIPO D 3", FIXADA EM PERFILADO EM ALVENARIA. A F_05/2015</t>
  </si>
  <si>
    <t>FIXAÇÃO DE TUBOS VERTICAIS DE PPR DIÂMETROS MENORES OU IGUAIS A 40 MM COM ABRAÇADEIRA METÁLICA RÍGIDA TIPO D 1/2", FIXADA EM PERFILADO EM AL VENARIA. AF_05/2015</t>
  </si>
  <si>
    <t>FIXADOR DE ABA AUTOTRAVANTE PARA TELHA DE FIBROCIMENTO, TIPO CANALETE 90 OU KALHETAO</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</si>
  <si>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</si>
  <si>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</si>
  <si>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</si>
  <si>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</si>
  <si>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</si>
  <si>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4"</t>
  </si>
  <si>
    <t>FLANGE PVC, ROSCAVEL, SEXTAVADO, SEM FUROS, 1 1/2"</t>
  </si>
  <si>
    <t>FLANGE PVC, ROSCAVEL, SEXTAVADO, SEM FUROS, 1 1/4"</t>
  </si>
  <si>
    <t>FLANGE PVC, ROSCAVEL, SEXTAVADO, SEM FUROS, 1"</t>
  </si>
  <si>
    <t>FLANGE PVC, ROSCAVEL, SEXTAVADO, SEM FUROS, 1/2"</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</si>
  <si>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</si>
  <si>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</si>
  <si>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</si>
  <si>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</si>
  <si>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t>
  </si>
  <si>
    <t>FLANGE SEXTAVADO DE FERRO GALVANIZADO, COM ROSCA BSP, DE 1/2"</t>
  </si>
  <si>
    <t>FLANGE SEXTAVADO DE FERRO GALVANIZADO, COM ROSCA BSP, DE 2 1/2"</t>
  </si>
  <si>
    <t>FLANGE SEXTAVADO DE FERRO GALVANIZADO, COM ROSCA BSP, DE 2"</t>
  </si>
  <si>
    <t>FLANGE SEXTAVADO DE FERRO GALVANIZADO, COM ROSCA BSP, DE 3"</t>
  </si>
  <si>
    <t>FLANGE SEXTAVADO DE FERRO GALVANIZADO, COM ROSCA BSP, DE 3/4"</t>
  </si>
  <si>
    <t>FLANGE SEXTAVADO DE FERRO GALVANIZADO, COM ROSCA BSP, DE 4"</t>
  </si>
  <si>
    <t>FLANGE SEXTAVADO DE FERRO GALVANIZADO, COM ROSCA BSP, DE 6"</t>
  </si>
  <si>
    <t>FORMA PLASTICA PARA LAJE NERVURADA, DIMENSOES *60* X *60* X *16* CM (LOCACAO)</t>
  </si>
  <si>
    <t>FORMA TABUA P/ CONCRETO EM FUNDACAO C/ REAPROVEITAMENTO 10 X.</t>
  </si>
  <si>
    <t>FORMA TABUA P/ CONCRETO EM FUNDACAO RADIER C/ REAPROVEITAMENTO 10X.</t>
  </si>
  <si>
    <t>FORMA TABUA P/ CONCRETO EM FUNDACAO RADIER C/ REAPROVEITAMENTO 3X.</t>
  </si>
  <si>
    <t>FORMA TABUA P/ CONCRETO EM FUNDACAO RADIER C/ REAPROVEITAMENTO 5X.</t>
  </si>
  <si>
    <t>FORMA TABUA P/CONCRETO EM FUNDACAO S/REAPROVEITAMENTO</t>
  </si>
  <si>
    <t>FORMA TABUA PARA CONCRETO EM FUNDACAO C/ REAPROVEITAMENTO 5X</t>
  </si>
  <si>
    <t>FORMA TABUA PARA CONCRETO EM FUNDACAO, C/ REAPROVEITAMENTO 2X.</t>
  </si>
  <si>
    <t>FORMAS MANUSEÁVEIS PARA PAREDES DE CONCRETO MOLDADAS IN LOCO, DE EDIFI CAÇÕES DE MULTIPLOS PAVIMENTO, EM PLATIBANDA. AF_06/2015</t>
  </si>
  <si>
    <t>FORMAS MANUSEÁVEIS PARA PAREDES DE CONCRETO MOLDADAS IN LOCO, DE EDIFI CAÇÕES DE MULTIPLOS PAVIMENTOS, EM FACES INTERNAS DE PAREDES. AF_06/20 15</t>
  </si>
  <si>
    <t>FORMAS MANUSEÁVEIS PARA PAREDES DE CONCRETO MOLDADAS IN LOCO, DE EDIFI CAÇÕES DE MULTIPLOS PAVIMENTOS, EM LAJES. AF_06/2015</t>
  </si>
  <si>
    <t>FORMAS MANUSEÁVEIS PARA PAREDES DE CONCRETO MOLDADAS IN LOCO, DE EDIFI CAÇÕES DE MULTIPLOS PAVIMENTOS, EM PANOS DE FACHADA COM VÃOS. AF_06/20 15</t>
  </si>
  <si>
    <t>FORMAS MANUSEÁVEIS PARA PAREDES DE CONCRETO MOLDADAS IN LOCO, DE EDIFI CAÇÕES DE MULTIPLOS PAVIMENTOS, EM PANOS DE FACHADA COM VARANDAS. AF_0 6/2015</t>
  </si>
  <si>
    <t>FORMAS MANUSEÁVEIS PARA PAREDES DE CONCRETO MOLDADAS IN LOCO, DE EDIFI CAÇÕES DE MULTIPLOS PAVIMENTOS, EM PANOS DE FACHADA SEM VÃOS. AF_06/20 15</t>
  </si>
  <si>
    <t>FORMAS MANUSEÁVEIS PARA PAREDES DE CONCRETO MOLDADAS IN LOCO, DE EDIFI CAÇÕES DE PAVIMENTO ÚNICO, EM FACES INTERNAS DE PAREDES. AF_06/2015</t>
  </si>
  <si>
    <t>FORMAS MANUSEÁVEIS PARA PAREDES DE CONCRETO MOLDADAS IN LOCO, DE EDIFI CAÇÕES DE PAVIMENTO ÚNICO, EM LAJES. AF_06/2015</t>
  </si>
  <si>
    <t>FORMAS MANUSEÁVEIS PARA PAREDES DE CONCRETO MOLDADAS IN LOCO, DE EDIFI CAÇÕES DE PAVIMENTO ÚNICO, EM PANOS DE FACHADA COM VÃOS. AF_06/2015</t>
  </si>
  <si>
    <t>FORMAS MANUSEÁVEIS PARA PAREDES DE CONCRETO MOLDADAS IN LOCO, DE EDIFI CAÇÕES DE PAVIMENTO ÚNICO, EM PANOS DE FACHADA COM VARANDA. AF_06/2015</t>
  </si>
  <si>
    <t>FORMAS MANUSEÁVEIS PARA PAREDES DE CONCRETO MOLDADAS IN LOCO, DE EDIFI CAÇÕES DE PAVIMENTO ÚNICO, EM PANOS DE FACHADA SEM VÃOS. AF_06/2015</t>
  </si>
  <si>
    <t>FORNECIMENTO DE PERFIL SIMPLES "I" OU "H" 8 A 12" INCLUSIVE PERDAS</t>
  </si>
  <si>
    <t>FORNECIMENTO DE PERFIL SIMPLES "I" OU "H" ATE 8" INCLUSIVE PERDAS</t>
  </si>
  <si>
    <t>FORNECIMENTO E ASSENTAMENTO DE BRITA 2-DRENOS E FILTROS   MM</t>
  </si>
  <si>
    <t>FORNECIMENTO E INSTALACAO DE MANTA BIDIM RT - 14</t>
  </si>
  <si>
    <t>FORNECIMENTO E INSTALACAO DE TALHA E TROLEY MANUAL DE 1 TONELADA</t>
  </si>
  <si>
    <t>FORNECIMENTO E LANCAMENTO DE BRITA N. 4</t>
  </si>
  <si>
    <t>FORNECIMENTO/INSTALACAO DE MANTA BIDIM RT-10</t>
  </si>
  <si>
    <t>FORNECIMENTO/INSTALACAO DE MANTA BIDIM RT-31</t>
  </si>
  <si>
    <t>FORNECIMENTO/INSTALACAO LONA PLASTICA PRETA, PARA IMPERMEABILIZACAO, E SPESSURA 150 MICRAS.</t>
  </si>
  <si>
    <t>FORNECIMENTO/INSTALACAO MANTA BIDIM RT-16</t>
  </si>
  <si>
    <t>FORRO COMPOSTO POR PAINEIS DE LA DE VIDRO, REVESTIDOS EM PVC MICROPERFURADO, DE *1250 X 625* MM, ESPESSURA 15 MM (COM COLOCACAO)</t>
  </si>
  <si>
    <t>FORRO DE GESSO EM PLACAS 60X60CM, ESPESSURA 1,2CM, INCLUSIVE FIXACAO C OM ARAME</t>
  </si>
  <si>
    <t>FORRO DE MADEIRA CEDRINHO OU EQUIVALENTE DA REGIAO, ENCAIXE MACHO/FEMEA COM FRISO, *10 X 1* CM (SEM COLOCACAO)</t>
  </si>
  <si>
    <t>FORRO DE MADEIRA COM TABUAS 10X1CM FIXADAS EM SARRAFOS DE 2X10CM COM E SPACAMENTO DE 50CM</t>
  </si>
  <si>
    <t>FORRO DE MADEIRA CUMARU/IPE CHAMPANHE OU EQUIVALENTE DA REGIAO, ENCAIXE MACHO/FEMEA COM FRISO, *10 X 1* CM (SEM COLOCACAO)</t>
  </si>
  <si>
    <t>FORRO DE MADEIRA PARA BEIRAL, TABUAS DE 10X1CM COM FRISO MACHO/FEMEA, INCLUSA MEIA-CANA E TESTEIRA COM ALTURA DE 15CM</t>
  </si>
  <si>
    <t>FORRO DE MADEIRA PINUS OU EQUIVALENTE DA REGIAO, ENCAIXE MACHO/FEMEA COM FRISO, *10 X 1* CM (SEM COLOCACAO)</t>
  </si>
  <si>
    <t>FORRO DE MADEIRA, TABUAS 10X1CM COM FRISO MACHO/FEMEA, EXCLUSIVE ENTAR UGAMENTO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</si>
  <si>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</si>
  <si>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</si>
  <si>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</si>
  <si>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</si>
  <si>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FORRO EM PLACAS PRE-MOLDADAS DE GESSO LISO, BISOTADO, 60X60CM COM ESPE SSURA CENTRAL 1,2CM E NAS BORDAS 3,0CM, INCLUSO FIXACAO COM ARAME E ES TRUTURA DE MADEIRA</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</si>
  <si>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</si>
  <si>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</si>
  <si>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</si>
  <si>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</si>
  <si>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</si>
  <si>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</si>
  <si>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</si>
  <si>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</si>
  <si>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</si>
  <si>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</si>
  <si>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</si>
  <si>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</si>
  <si>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</si>
  <si>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</si>
  <si>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FRESADORA DE ASFALTO A FRIO SOBRE RODAS, LARGURA FRESAGEM DE 1,0 M, PO TÊNCIA 208 HP - CHI DIURNO. AF_11/2014</t>
  </si>
  <si>
    <t>FRESADORA DE ASFALTO A FRIO SOBRE RODAS, LARGURA FRESAGEM DE 1,0 M, PO TÊNCIA 208 HP - CHP DIURNO. AF_11/2014</t>
  </si>
  <si>
    <t>FRESADORA DE ASFALTO A FRIO SOBRE RODAS, LARGURA FRESAGEM DE 1,0 M, PO TÊNCIA 208 HP - DEPRECIAÇÃO. AF_11/2014</t>
  </si>
  <si>
    <t>FRESADORA DE ASFALTO A FRIO SOBRE RODAS, LARGURA FRESAGEM DE 1,0 M, PO TÊNCIA 208 HP - JUROS. AF_11/2014</t>
  </si>
  <si>
    <t>FRESADORA DE ASFALTO A FRIO SOBRE RODAS, LARGURA FRESAGEM DE 1,0 M, PO TÊNCIA 208 HP - MANUTENÇÃO. AF_11/2014</t>
  </si>
  <si>
    <t>FRESADORA DE ASFALTO A FRIO SOBRE RODAS, LARGURA FRESAGEM DE 1,0 M, PO TÊNCIA 208 HP - MATERIAIS NA OPERAÇÃO. AF_11/2014</t>
  </si>
  <si>
    <t>FRESADORA DE ASFALTO A FRIO SOBRE RODAS, LARGURA FRESAGEM DE 2,0 M, PO TÊNCIA 550 HP - CHI DIURNO. AF_11/2014</t>
  </si>
  <si>
    <t>FRESADORA DE ASFALTO A FRIO SOBRE RODAS, LARGURA FRESAGEM DE 2,0 M, PO TÊNCIA 550 HP - CHP DIURNO. AF_11/2014</t>
  </si>
  <si>
    <t>FRESADORA DE ASFALTO A FRIO SOBRE RODAS, LARGURA FRESAGEM DE 2,0 M, PO TÊNCIA 550 HP - DEPRECIAÇÃO. AF_11/2014</t>
  </si>
  <si>
    <t>FRESADORA DE ASFALTO A FRIO SOBRE RODAS, LARGURA FRESAGEM DE 2,0 M, PO TÊNCIA 550 HP - JUROS. AF_11/2014</t>
  </si>
  <si>
    <t>FRESADORA DE ASFALTO A FRIO SOBRE RODAS, LARGURA FRESAGEM DE 2,0 M, PO TÊNCIA 550 HP - MANUTENÇÃO. AF_11/2014</t>
  </si>
  <si>
    <t>FRESADORA DE ASFALTO A FRIO SOBRE RODAS, LARGURA FRESAGEM DE 2,0 M, PO TÊNCIA 550 HP - MATERIAIS NA OPERAÇÃO. AF_11/2014</t>
  </si>
  <si>
    <t>FUNDO ANTICORROSIVO A BASE DE OXIDO DE FERRO (ZARCAO), DUAS DEMAOS</t>
  </si>
  <si>
    <t>FUNDO ANTICORROSIVO A BASE DE OXIDO DE FERRO (ZARCAO), UMA DEMAO</t>
  </si>
  <si>
    <t>FUNDO ANTICORROSIVO PARA METAIS FERROSOS (ZARCAO)</t>
  </si>
  <si>
    <t>FUNDO PREPARADOR ACRILICO BASE AGUA</t>
  </si>
  <si>
    <t>FUNDO PREPARADOR PRIMER A BASE DE EPOXI, PARA ESTRUTURA METALICA, UMA DEMAO, ESPESSURA DE 25 MICRA.</t>
  </si>
  <si>
    <t>FUNDO PREPARADOR PRIMER SINTETICO, PARA ESTRUTURA METALICA, UMA DEMÃO, ESPESSURA DE 25 MICRA</t>
  </si>
  <si>
    <t>FUNDO SINTETICO NIVELADOR BRANCO</t>
  </si>
  <si>
    <t>FUNDO SINTETICO NIVELADOR BRANCO FOSCO PARA MADEIRA</t>
  </si>
  <si>
    <t>FURO EM ALVENARIA PARA DIÂMETROS MAIORES QUE 40 MM E MENORES OU IGUAIS A 75 MM. AF_05/2015</t>
  </si>
  <si>
    <t>FURO EM ALVENARIA PARA DIÂMETROS MAIORES QUE 75 MM. AF_05/2015</t>
  </si>
  <si>
    <t>FURO EM ALVENARIA PARA DIÂMETROS MENORES OU IGUAIS A 40 MM. AF_05/2015</t>
  </si>
  <si>
    <t>FURO EM CONCRETO PARA DIÂMETROS MAIORES QUE 40 MM E MENORES OU IGUAIS A 75 MM. AF_05/2015</t>
  </si>
  <si>
    <t>FURO EM CONCRETO PARA DIÂMETROS MAIORES QUE 75 MM. AF_05/2015</t>
  </si>
  <si>
    <t>FURO EM CONCRETO PARA DIÂMETROS MENORES OU IGUAIS A 40 MM. AF_05/2015</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</si>
  <si>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</si>
  <si>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</si>
  <si>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</si>
  <si>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</si>
  <si>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</si>
  <si>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</si>
  <si>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</si>
  <si>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</si>
  <si>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250 A TAMANHO 1, CAPACIDADE DE INTERRUPCAO DE 120 KA, TENSAO NOMIMNAL DE 500 V</t>
  </si>
  <si>
    <t>FUSIVEL NH 63 A TAMANHO 00, CAPACIDADE DE INTERRUPCAO DE 120 KA, TENSAO NOMIMNAL DE 500 V</t>
  </si>
  <si>
    <t>FUSIVEL NH 80 A TAMANHO 00, CAPACIDADE DE INTERRUPCAO DE 120 KA, TENSAO NOMIMNAL DE 500 V</t>
  </si>
  <si>
    <t>FUSÍVEL TIPO "DIAZED", TIPO RÁPIDO OU RETARDADO - 2/25A - FORNECIMENTO E INSTALACAO</t>
  </si>
  <si>
    <t>FUSÍVEL TIPO "DIAZED", TIPO RÁPIDO OU RETARDADO - 35/63A - FORNECIMENT O E INSTALACAO</t>
  </si>
  <si>
    <t>FUSÍVEL TIPO NH 200A - TAMANHO 01 - FORNECIMENTO E INSTALACAO</t>
  </si>
  <si>
    <t>FUSIVEL TIPO NH 250 A, TAMANHO 1 - FORNECIMENTO E INSTALACAO</t>
  </si>
  <si>
    <t>FUSIVEL TIPO NH 250A - TAMANHO 01 - FORNECIMENTO E INSTALACAO</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</si>
  <si>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</si>
  <si>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</si>
  <si>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</si>
  <si>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</si>
  <si>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FIO  2,0 MM, DIMENSOES 4,0 X 2,0 X 0,23 M (C X L X A)</t>
  </si>
  <si>
    <t>GABIAO MANTA (COLCHAO) MALHA HEXAGONAL 8 X 10 CM (ZN/AL), FIO 2,0 MM, DIMENSOES 4,0 X 2,0 X 0,3 M (C X L X A)</t>
  </si>
  <si>
    <t>GABIAO MANTA (COLCHAO) MALHA HEXAGONAL 8 X 10 CM (ZN/AL), FIO 2,2 A 2,4 MM, DIMENSOES 4,0 X 2,0 X 0,3 M (C X L X A)</t>
  </si>
  <si>
    <t>GABIAO SACO MALHA HEXAGONAL 8 X 10 CM (ZN/AL + PVC),  FIO 2,4 MM, DIMENSOES 3,0 X 0,65 M</t>
  </si>
  <si>
    <t>GABIAO SACO MALHA HEXAGONAL 8 X 10 CM (ZN/AL + PVC), FIO 2,4 MM, H = 0,65 M</t>
  </si>
  <si>
    <t>GABIAO SACO MALHA HEXAGONAL 8 X 10 CM (ZN/AL), FIO 2,7 MM, DIMENSOES 4,0 X 0,65 M</t>
  </si>
  <si>
    <t>GABIAO TIPO CAIXA MALHA HEXAGONAL 8 X 10 CM (ZN/AL + PVC),  FIO 2,4 MM, DIMENSOES 2,0 X 1,0 X 1,0 M (C X L X A)</t>
  </si>
  <si>
    <t>GABIAO TIPO CAIXA MALHA HEXAGONAL 8 X 10 CM (ZN/AL + PVC),  FIO 2,4 MM, H = 0,50 M</t>
  </si>
  <si>
    <t>GABIAO TIPO CAIXA MALHA HEXAGONAL 8 X 10 CM (ZN/AL), FIO 2,7 MM, DIMENSOES 2,0 X 1,0 X 1,0 M (C X L X A)</t>
  </si>
  <si>
    <t>GABIAO TIPO CAIXA MALHA HEXAGONAL 8 X 10 CM (ZN/AL), FIO 2,7 MM, H = 0,50 M</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</si>
  <si>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</si>
  <si>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</si>
  <si>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</si>
  <si>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</si>
  <si>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</si>
  <si>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TRAPEZOIDAL PARA SOLO REFORCADO, MALHA HEXAGONAL DE DUPLA TORCAO 8 X 10 CM (ZN/ AL + PVC), FIO 2,7 MM, DIMENSOES 4,0 X 2,0 X 0,6 M, COM INCLINACAO DE 70 GRAUS</t>
  </si>
  <si>
    <t>GABIAO TIPO CAIXA, MALHA HEXAGONAL 8 X 10 CM (ZN/AL + PVC), FIO 2,4 MM, DIMENSOES 2,0 X 1,0 X 0,5 M (C X L X A)</t>
  </si>
  <si>
    <t>GANCHO CHATO EM FERRO GALVANIZADO,  L = 110 MM, RECOBRIMENTO = 100MM, SECAO 1/8 X 1/2" (3 MM X 12 MM), PARA FIXAR TELHA DE FIBROCIMENTO ONDULADA</t>
  </si>
  <si>
    <t>GANCHO L COM ROSCA PARA FIXAR TELHA EM MADEIRA 5/16" X 350 MM (COLETADO CAIXA)</t>
  </si>
  <si>
    <t>GANCHO OLHAL EM ACO GALVANIZADO, ESPESSURA 16MM, ABERTURA 21MM</t>
  </si>
  <si>
    <t>GAS DE COZINHA - GLP</t>
  </si>
  <si>
    <t>GEOGRELHA TECIDA COM FILAMENTOS DE POLIESTER + PVC, RESISTENCIA LONGITUDINAL: 90 KN/M, RESISTENCIA TRANSVERSAL: 30 KN/M, ALONGAMENTO = 12 POR CENTO, DIMENSOES 5,15 X 100,0 M</t>
  </si>
  <si>
    <t>GEOTEXTIL NAO TECIDO AGULHADO DE FILAMENTOS CONTINUOS 100% POLIESTER  RT 09 P/ DRENAGEM TIPO BIDIM OU EQUIV</t>
  </si>
  <si>
    <t>GEOTEXTIL NAO TECIDO AGULHADO DE FILAMENTOS CONTINUOS 100% POLIESTER  RT 10 TIPO BIDIM OU EQUIV</t>
  </si>
  <si>
    <t>GEOTEXTIL NAO TECIDO AGULHADO DE FILAMENTOS CONTINUOS 100% POLIESTER  RT 14 P/ DRENAGEM TIPO BIDIM OU EQUIV</t>
  </si>
  <si>
    <t>GEOTEXTIL NAO TECIDO AGULHADO DE FILAMENTOS CONTINUOS 100% POLIESTER  RT 16 TIPO BIDIM OU EQUIV</t>
  </si>
  <si>
    <t>GEOTEXTIL NAO TECIDO AGULHADO DE FILAMENTOS CONTINUOS 100% POLIESTER  RT 21 TIPO BIDIM OU EQUIV</t>
  </si>
  <si>
    <t>GEOTEXTIL NAO TECIDO AGULHADO DE FILAMENTOS CONTINUOS 100% POLIESTER  RT 26 TIPO BIDIM OU EQUIV</t>
  </si>
  <si>
    <t>GEOTEXTIL NAO TECIDO AGULHADO DE FILAMENTOS CONTINUOS 100% POLIESTER  RT 31 TIPO BIDIM OU EQUIV</t>
  </si>
  <si>
    <t>GERADOR PORTÁTIL MONOFÁSICO, POTÊNCIA 5500 VA, MOTOR A GASOLINA, POTÊN CIA DO MOTOR 13 CV - CHI DIURNO. AF_03/2016</t>
  </si>
  <si>
    <t>GERADOR PORTÁTIL MONOFÁSICO, POTÊNCIA 5500 VA, MOTOR A GASOLINA, POTÊN CIA DO MOTOR 13 CV - CHP DIURNO. AF_03/2016</t>
  </si>
  <si>
    <t>GERADOR PORTÁTIL MONOFÁSICO, POTÊNCIA 5500 VA, MOTOR A GASOLINA, POTÊN CIA DO MOTOR 13 CV - DEPRECIAÇÃO. AF_03/2016</t>
  </si>
  <si>
    <t>GERADOR PORTÁTIL MONOFÁSICO, POTÊNCIA 5500 VA, MOTOR A GASOLINA, POTÊN CIA DO MOTOR 13 CV - JUROS. AF_03/2016</t>
  </si>
  <si>
    <t>GERADOR PORTÁTIL MONOFÁSICO, POTÊNCIA 5500 VA, MOTOR A GASOLINA, POTÊN CIA DO MOTOR 13 CV - MANUTENÇÃO. AF_03/2016</t>
  </si>
  <si>
    <t>GERADOR PORTÁTIL MONOFÁSICO, POTÊNCIA 5500 VA, MOTOR A GASOLINA, POTÊN CIA DO MOTOR 13 CV - MATERIAIS NA OPERAÇÃO. AF_03/2016</t>
  </si>
  <si>
    <t>GERADOR PORTATIL MONOFASICO, POTENCIA 5500 VA, MOTOR A GASOLINA, POTENCIA DO MOTOR 13 CV</t>
  </si>
  <si>
    <t>GESSEIRO (MENSALISTA)</t>
  </si>
  <si>
    <t>GONZO DE EMBUTIR, EM LATAO / ZAMAC, *20 X 48* MM, PARA JANELA BASCULANTE / PIVOTANTE -  INCLUI PARAFUSOS</t>
  </si>
  <si>
    <t>GONZO DE SOBREPOR, EM LATAO / ZAMAC, PARA JANELA PIVOTANTE - INCLUI PARAFUSOS</t>
  </si>
  <si>
    <t>GRADE DE DISCO CONTROLE REMOTO REBOCÁVEL, COM 24 DISCOS 24 X 6 MM COM PNEUS PARA TRANSPORTE - CHI DIURNO. AF_06/2014</t>
  </si>
  <si>
    <t>GRADE DE DISCO CONTROLE REMOTO REBOCÁVEL, COM 24 DISCOS 24 X 6 MM COM PNEUS PARA TRANSPORTE - CHP DIURNO. AF_06/2014</t>
  </si>
  <si>
    <t>GRADE DE DISCO CONTROLE REMOTO REBOCÁVEL, COM 24 DISCOS 24 X 6 MM COM PNEUS PARA TRANSPORTE - DEPRECIAÇÃO. AF_06/2014</t>
  </si>
  <si>
    <t>GRADE DE DISCO CONTROLE REMOTO REBOCÁVEL, COM 24 DISCOS 24 X 6 MM COM PNEUS PARA TRANSPORTE - JUROS. AF_06/2014</t>
  </si>
  <si>
    <t>GRADE DE DISCO CONTROLE REMOTO REBOCÁVEL, COM 24 DISCOS 24 X 6 MM COM PNEUS PARA TRANSPORTE - MANUTENÇÃO. AF_06/2014</t>
  </si>
  <si>
    <t>GRADE DE DISCO REBOCÁVEL COM 20 DISCOS 24" X 6 MM COM PNEUS PARA TRANS PORTE - CHI DIURNO. AF_06/2014</t>
  </si>
  <si>
    <t>GRADE DE DISCO REBOCÁVEL COM 20 DISCOS 24" X 6 MM COM PNEUS PARA TRANS PORTE - CHP DIURNO. AF_06/2014</t>
  </si>
  <si>
    <t>GRADE DE DISCO REBOCÁVEL COM 20 DISCOS 24" X 6 MM COM PNEUS PARA TRANS PORTE - DEPRECIAÇÃO. AF_06/2014</t>
  </si>
  <si>
    <t>GRADE DE DISCO REBOCÁVEL COM 20 DISCOS 24" X 6 MM COM PNEUS PARA TRANS PORTE - JUROS. AF_06/2014</t>
  </si>
  <si>
    <t>GRADE DE DISCO REBOCÁVEL COM 20 DISCOS 24" X 6 MM COM PNEUS PARA TRANS PORTE - MANUTENÇÃO. AF_06/2014</t>
  </si>
  <si>
    <t>GRADE DE DISCOS COM CONTROLE REMOTO, REBOCAVEL, COM 24 DISCOS 24" X 6 MM, COM PNEUS PARA TRANSPORTE</t>
  </si>
  <si>
    <t>GRADE DE DISCOS HIDRAULICA COM 20 DISCOS DE 24" X 6 MM</t>
  </si>
  <si>
    <t>GRADE DE DISCOS MECANICA 20X24" COM 20 DISCOS 24" X 6MM  COM PNEUS PARA TRANSPORTE</t>
  </si>
  <si>
    <t>GRADE EM MADEIRA PARA PROTECAO DE MUDAS DE ARVORES</t>
  </si>
  <si>
    <t>GRADIL *1320 X 2170* MM (A X L) EM BARRA DE ACO CHATA *25 MM X 2* MM, ENTRELACADA COM BARRA ACO REDONDA *5* MM, MALHA *65 X 132* MM, GALVANIZADO E PINTURA ELETROSTATICA, COR PRETO</t>
  </si>
  <si>
    <t>GRADIL DE ALUMINIO ANODIZADO TIPO BARRA CHATA</t>
  </si>
  <si>
    <t>GRADIL DE ALUMINIO ANODIZADO TIPO BARRA CHATA PARA VARANDAS, ALTURA 0, 4M</t>
  </si>
  <si>
    <t>GRADIL DE ALUMINIO ANODIZADO TIPO BARRA CHATA PARA VARANDAS, ALTURA 1, 0M</t>
  </si>
  <si>
    <t>GRADIL DE ALUMINIO ANODIZADO TIPO BARRA CHATA PARA VARANDAS, ALTURA 1, 2M</t>
  </si>
  <si>
    <t>GRAMA SAO CARLOS OU CURITIBANA EM PLACAS, SEM PLANTIO</t>
  </si>
  <si>
    <t>GRAMPO 80,  EM ACO GALVANIZADO, 12,9 X 14 MM (L X A) (COLETADO CAIXA)</t>
  </si>
  <si>
    <t>GRAMPO DE ACO POLIDO 1 " X 9</t>
  </si>
  <si>
    <t>GRAMPO DE ACO POLIDO 7/8 " X 9</t>
  </si>
  <si>
    <t>GRAMPO DE APERTO RAPIDO 18 "</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</si>
  <si>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</si>
  <si>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</si>
  <si>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1/2'',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</si>
  <si>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</si>
  <si>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</si>
  <si>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</si>
  <si>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</si>
  <si>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EM ALUMINIO FUNDIDO OU ESTRUDADO DE 2 PARAFUSOS, PARA CABO DE 6 A 50 MM2, PASTA ANTIOXIDANTE. FORNEC E INSTALAÇÃO.</t>
  </si>
  <si>
    <t>GRAMPO PARALELO METALICO PARA CABO DE 6 A 50 MM2, COM 2 PARAFUSOS</t>
  </si>
  <si>
    <t>GRAMPO U DE 5/8 " N8 EM FERRO GALVANIZADO</t>
  </si>
  <si>
    <t>GRANALHA DE ACO, ANGULAR (GRIT), PARA JATEAMENTO, PENEIRA 0,35 A 0,117 MM (SAE G80)</t>
  </si>
  <si>
    <t>GRANALHA DE ACO, ANGULAR (GRIT), PARA JATEAMENTO, PENEIRA 1,41 A 1,19 MM (SAE G16)</t>
  </si>
  <si>
    <t>GRANALHA DE ACO, ESFERICA (SHOT), PARA JATEAMENTO, PENEIRA 0,84 A 0,71 MM (SAE S280)</t>
  </si>
  <si>
    <t>GRANALHA DE ACO, ESFERICA (SHOT), PARA JATEAMENTO, PENEIRA 1,19 A 1,00 MM (SAE S390)</t>
  </si>
  <si>
    <t>GRANILHA/ GRANA/ PEDRISCO OU AGREGADO EM MARMORE/ GRANITO/ QUARTZO E CALCARIO, PRETO, CINZA, PALHA OU BRANCO</t>
  </si>
  <si>
    <t>GRANITO AMENDOA  E = 2 CM ,POLIDO E LUSTRADO, PARA PISO</t>
  </si>
  <si>
    <t>GRANITO CINZA POLIDO PARA PISO E = 2 CM</t>
  </si>
  <si>
    <t>GRANITO PRETO TIJUCA E = 2 CM PARA PISO</t>
  </si>
  <si>
    <t>GRAUTE CIMENTICIO PARA USO GERAL</t>
  </si>
  <si>
    <t>GRAUTE FGK=15 MPA; TRAÇO 1:0,04:2,0:2,4 (CIMENTO/ CAL/ AREIA GROSSA/ B RITA 0) - PREPARO MECÂNICO COM BETONEIRA 400 L. AF_02/2015</t>
  </si>
  <si>
    <t>GRAUTE FGK=15 MPA; TRAÇO 1:2,0:2,4 (CIMENTO/ AREIA GROSSA/ BRITA 0/ AD ITIVO) - PREPARO MECÂNICO COM BETONEIRA 400 L. AF_02/2015</t>
  </si>
  <si>
    <t>GRAUTE FGK=20 MPA; TRAÇO 1:0,04:1,6:1,9 (CIMENTO/ CAL/ AREIA GROSSA/ B RITA 0) - PREPARO MECÂNICO COM BETONEIRA 400 L. AF_02/2015</t>
  </si>
  <si>
    <t>GRAUTE FGK=20 MPA; TRAÇO 1:1,6:1,9 (CIMENTO/ AREIA GROSSA/ BRITA 0/ AD ITIVO) - PREPARO MECÂNICO COM BETONEIRA 400 L. AF_02/2015</t>
  </si>
  <si>
    <t>GRAUTE FGK=25 MPA; TRAÇO 1:0,02:1,2:1,5 (CIMENTO/ CAL/ AREIA GROSSA/ B RITA 0) - PREPARO MECÂNICO COM BETONEIRA 400 L. AF_02/2015</t>
  </si>
  <si>
    <t>GRAUTE FGK=25 MPA; TRAÇO 1:1,2:1,5 (CIMENTO/ AREIA GROSSA/ BRITA 0/ AD ITIVO) - PREPARO MECÂNICO COM BETONEIRA 400 L. AF_02/2015</t>
  </si>
  <si>
    <t>GRAUTE FGK=30 MPA; TRAÇO 1:0,02:0,8:1,1 (CIMENTO/ CAL/ AREIA GROSSA/ B RITA 0) - PREPARO MECÂNICO COM BETONEIRA 400 L. AF_02/2015</t>
  </si>
  <si>
    <t>GRAUTE FGK=30 MPA; TRAÇO 1:0,8:1,1 (CIMENTO/ AREIA GROSSA/ BRITA 0/ AD ITIVO) - PREPARO MECÂNICO COM BETONEIRA 400 L. AF_02/2015</t>
  </si>
  <si>
    <t>GRAUTEAMENTO DE CINTA INTERMEDIÁRIA OU DE CONTRAVERGA EM ALVENARIA EST RUTURAL. AF_01/2015</t>
  </si>
  <si>
    <t>GRAUTEAMENTO DE CINTA SUPERIOR OU DE VERGA EM ALVENARIA ESTRUTURAL. AF _01/2015</t>
  </si>
  <si>
    <t>GRELHA DE CONCRETO DE PRE-MOLDADA *15 X 75 X 52* CM (A X C X L)</t>
  </si>
  <si>
    <t>GRELHA DE FERRO FUNDIDO PARA CANALETA LARG = 15CM, FORNECIMENTO E ASSE NTAMENTO</t>
  </si>
  <si>
    <t>GRELHA DE FERRO FUNDIDO PARA CANALETA LARG = 20CM, FORNECIMENTO E ASSE NTAMENTO</t>
  </si>
  <si>
    <t>GRELHA DE FERRO FUNDIDO PARA CANALETA LARG = 30CM, FORNECIMENTO E ASSE NTAMENTO</t>
  </si>
  <si>
    <t>GRELHA EM FERRO FUNDIDO SIMPLES COM REQUADRO, CARGA MÁXIMA 12,5 T,  30 0 X 1000 MM, E = 15 MM, FORNECIDA E ASSENTADA COM ARGAMASSA 1:4 CIMENT O:AREIA.</t>
  </si>
  <si>
    <t>GRELHA FF 30X90CM, 135KG, P/ CX RALO COM ASSENTAMENTO DE ARGAMASSA CIM ENTO/AREIA 1:4 - FORNECIMENTO E INSTALAÇÃO</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</si>
  <si>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</si>
  <si>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</si>
  <si>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</si>
  <si>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</si>
  <si>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</si>
  <si>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</si>
  <si>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LANÇA DE 30 M, CAPACIDADE DE 1,0 T A 30 M, ALTURA AT É 39 M   JUROS. AF_03/2016</t>
  </si>
  <si>
    <t>GRUA ASCENCIONAL, LANÇA DE 30 M, CAPACIDADE DE 1,0 T A 30 M, ALTURA AT É 39 M   MANUTENÇÃO. AF_03/2016</t>
  </si>
  <si>
    <t>GRUA ASCENCIONAL, LANÇA DE 30 M, CAPACIDADE DE 1,0 T A 30 M, ALTURA AT É 39 M   MATERIAIS NA OPERAÇÃO. AF_03/2016</t>
  </si>
  <si>
    <t>GRUA ASCENCIONAL, LANÇA DE 30 M, CAPACIDADE DE 1,0 T A 30 M, ALTURA AT É 39 M  DEPRECIAÇÃO. AF_03/2016</t>
  </si>
  <si>
    <t>GRUA ASCENCIONAL, LANCA DE 30 M, CAPACIDADE DE 1,0 T A 30 M, ALTURA ATE 39 M</t>
  </si>
  <si>
    <t>GRUA ASCENCIONAL, LANÇA DE 42 M, CAPACIDADE DE 1,5 T A 30 M, ALTURA AT É 39 M - CHI DIURNO. AF_08/2016</t>
  </si>
  <si>
    <t>GRUA ASCENCIONAL, LANCA DE 42 M, CAPACIDADE DE 1,5 T A 30 M, ALTURA AT E 39 M - CHP DIURNO. AF_08/2016</t>
  </si>
  <si>
    <t>GRUA ASCENCIONAL, LANÇA DE 42 M, CAPACIDADE DE 1,5 T A 30 M, ALTURA AT É 39 M  DEPRECIAÇÃO. AF_08/2016</t>
  </si>
  <si>
    <t>GRUA ASCENCIONAL, LANCA DE 42 M, CAPACIDADE DE 1,5 T A 30 M, ALTURA AT E 39 M  JUROS. AF_08/2016</t>
  </si>
  <si>
    <t>GRUA ASCENCIONAL, LANCA DE 42 M, CAPACIDADE DE 1,5 T A 30 M, ALTURA AT E 39 M  MANUTENÇÃO. AF_08/2016</t>
  </si>
  <si>
    <t>GRUA ASCENCIONAL, LANCA DE 42 M, CAPACIDADE DE 1,5 T A 30 M, ALTURA AT E 39 M  MATERIAIS NA OPERAÇÃO. AF_08/2016</t>
  </si>
  <si>
    <t>GRUA ASCENCIONAL, LANCA DE 42 M, CAPACIDADE DE 1,5 T A 30 M, ALTURA ATE 39 M</t>
  </si>
  <si>
    <t>GRUA ASCENCIONAL, LANCA DE 50 M, CAPACIDADE DE 2,33 T A 30 M, ALTURA ATE 48 M</t>
  </si>
  <si>
    <t>GRUA ASCENSIONAL, LANÇA DE 30 M, CAPACIDADE DE 1,0 T A 30 M, ALTURA AT É 39 M - CHI DIURNO. AF_03/2016</t>
  </si>
  <si>
    <t>GRUA ASCENSIONAL, LANCA DE 30 M, CAPACIDADE DE 1,0 T A 30 M, ALTURA AT E 39 M - CHP DIURNO. AF_03/2016</t>
  </si>
  <si>
    <t>GRUPO DE SOLDAGEM C/ GERADOR A DIESEL 60 CV PARA SOLDA ELETRICA, SOBRE 04 RODAS, COM MOTOR 4 CILINDROS</t>
  </si>
  <si>
    <t>GRUPO DE SOLDAGEM COM GERADOR A DIESEL 30 CV, PARA SOLDA ELETRICA, SOBRE DUAS RODAS</t>
  </si>
  <si>
    <t>GRUPO DE SOLDAGEM COM GERADOR A DIESEL 60 CV PARA SOLDA ELÉTRICA, SOBR E 04 RODAS, COM MOTOR 4 CILINDROS 600 A - CHI DIURNO. AF_02/2016</t>
  </si>
  <si>
    <t>GRUPO DE SOLDAGEM COM GERADOR A DIESEL 60 CV PARA SOLDA ELÉTRICA, SOBR E 04 RODAS, COM MOTOR 4 CILINDROS 600 A - CHP DIURNO. AF_02/2016</t>
  </si>
  <si>
    <t>GRUPO DE SOLDAGEM COM GERADOR A DIESEL 60 CV PARA SOLDA ELÉTRICA, SOBR E 04 RODAS, COM MOTOR 4 CILINDROS 600 A - DEPRECIAÇÃO. AF_02/2016</t>
  </si>
  <si>
    <t>GRUPO DE SOLDAGEM COM GERADOR A DIESEL 60 CV PARA SOLDA ELÉTRICA, SOBR E 04 RODAS, COM MOTOR 4 CILINDROS 600 A - JUROS. AF_02/2016</t>
  </si>
  <si>
    <t>GRUPO DE SOLDAGEM COM GERADOR A DIESEL 60 CV PARA SOLDA ELÉTRICA, SOBR E 04 RODAS, COM MOTOR 4 CILINDROS 600 A - MANUTENÇÃO. AF_02/2016</t>
  </si>
  <si>
    <t>GRUPO DE SOLDAGEM COM GERADOR A DIESEL 60 CV PARA SOLDA ELÉTRICA, SOBR E 04 RODAS, COM MOTOR 4 CILINDROS 600 A - MATERIAIS NA OPERAÇÃO. AF_02 /2016</t>
  </si>
  <si>
    <t>GRUPO GERADOR *80 A 125* KVA, MOTOR DIESEL, REBOCAVEL, ACIONAMENTO MANUAL (LOCACAO)</t>
  </si>
  <si>
    <t>GRUPO GERADOR A GASOLINA, POTENCIA NOMINAL 2,2 KW, TENSAO DE SAIDA 110/220 V, MOTOR POTENCIA 6,5 HP</t>
  </si>
  <si>
    <t>GRUPO GERADOR ACIMA DE * 125 ATE 180* KVA, MOTOR DIESEL, REBOCAVEL, ACIONAMENTO MANUAL (LOCACAO)</t>
  </si>
  <si>
    <t>GRUPO GERADOR ACIMA DE * 20 A 80* KVA, MOTOR DIESEL, REBOCAVEL, ACIONAMENTO MANUAL (LOCACAO)</t>
  </si>
  <si>
    <t>GRUPO GERADOR DE *260* KVA, DIESEL REBOCAVEL, ACIONAMENTO MANUAL (LOCACAO)</t>
  </si>
  <si>
    <t>GRUPO GERADOR DE *400* KVA, DIESEL REBOCAVEL, ACIONAMENTO MANUAL (LOCACAO)</t>
  </si>
  <si>
    <t>GRUPO GERADOR DE *550* KVA, DIESEL REBOCAVEL, ACIONAMENTO MANUAL (LOCACAO)</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</si>
  <si>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</si>
  <si>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</si>
  <si>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</si>
  <si>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</si>
  <si>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</si>
  <si>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</si>
  <si>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</si>
  <si>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</si>
  <si>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</si>
  <si>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</si>
  <si>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</si>
  <si>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ESTACIONÁRIO, MOTOR DIESEL POTÊNCIA 170 KVA - CHI DIURNO . AF_02/2016</t>
  </si>
  <si>
    <t>GRUPO GERADOR ESTACIONÁRIO, MOTOR DIESEL POTÊNCIA 170 KVA - CHP DIURNO . AF_02/2016</t>
  </si>
  <si>
    <t>GRUPO GERADOR ESTACIONÁRIO, MOTOR DIESEL POTÊNCIA 170 KVA - DEPRECIAÇÃ O. AF_02/2016</t>
  </si>
  <si>
    <t>GRUPO GERADOR ESTACIONÁRIO, MOTOR DIESEL POTÊNCIA 170 KVA - JUROS. AF_ 02/2016</t>
  </si>
  <si>
    <t>GRUPO GERADOR ESTACIONÁRIO, MOTOR DIESEL POTÊNCIA 170 KVA - MANUTENÇÃO . AF_02/2016</t>
  </si>
  <si>
    <t>GRUPO GERADOR ESTACIONÁRIO, MOTOR DIESEL POTÊNCIA 170 KVA - MATERIAIS NA OPERAÇÃO. AF_02/2016</t>
  </si>
  <si>
    <t>GRUPO GERADOR ESTACIONÁRIO, POTÊNCIA 150 KVA, MOTOR A DIESEL- CHI DIUR NO. AF_03/2016</t>
  </si>
  <si>
    <t>GRUPO GERADOR ESTACIONÁRIO, POTÊNCIA 150 KVA, MOTOR A DIESEL- CHP DIUR NO. AF_03/2016</t>
  </si>
  <si>
    <t>GRUPO GERADOR ESTACIONÁRIO, POTÊNCIA 150 KVA, MOTOR A DIESEL- DEPRECIA ÇÃO. AF_03/2016</t>
  </si>
  <si>
    <t>GRUPO GERADOR ESTACIONÁRIO, POTÊNCIA 150 KVA, MOTOR A DIESEL- JUROS. A F_03/2016</t>
  </si>
  <si>
    <t>GRUPO GERADOR ESTACIONÁRIO, POTÊNCIA 150 KVA, MOTOR A DIESEL- MANUTENÇ ÃO. AF_03/2016</t>
  </si>
  <si>
    <t>GRUPO GERADOR ESTACIONÁRIO, POTÊNCIA 150 KVA, MOTOR A DIESEL- MATERIAI S NA OPERAÇÃO. AF_03/2016</t>
  </si>
  <si>
    <t>GRUPO GERADOR ESTACIONARIO, POTENCIA 150 KVA, MOTOR DIESEL</t>
  </si>
  <si>
    <t>GRUPO GERADOR ESTACIONARIO, SILENCIADO, POTENCIA 180 KVA, MOTOR DIESEL</t>
  </si>
  <si>
    <t>GRUPO GERADOR REBOCAVEL, POTENCIA *66* KVA, MOTOR A DIESEL</t>
  </si>
  <si>
    <t>GRUPO GERADOR REBOCÁVEL, POTÊNCIA 66 KVA, MOTOR A DIESEL - CHI DIURNO. AF_03/2016</t>
  </si>
  <si>
    <t>GRUPO GERADOR REBOCÁVEL, POTÊNCIA 66 KVA, MOTOR A DIESEL - CHP DIURNO. AF_03/2016</t>
  </si>
  <si>
    <t>GRUPO GERADOR REBOCÁVEL, POTÊNCIA 66 KVA, MOTOR A DIESEL - DEPRECIAÇÃO . AF_03/2016</t>
  </si>
  <si>
    <t>GRUPO GERADOR REBOCÁVEL, POTÊNCIA 66 KVA, MOTOR A DIESEL - JUROS. AF_0 3/2016</t>
  </si>
  <si>
    <t>GRUPO GERADOR REBOCÁVEL, POTÊNCIA 66 KVA, MOTOR A DIESEL - MANUTENÇÃO. AF_03/2016</t>
  </si>
  <si>
    <t>GRUPO GERADOR REBOCÁVEL, POTÊNCIA 66 KVA, MOTOR A DIESEL - MATERIAIS N A OPERAÇÃO. AF_03/2016</t>
  </si>
  <si>
    <t>GUARDA-CORPO  COM CORRIMAO EM FERRO BARRA CHATA 3/16"</t>
  </si>
  <si>
    <t>GUARDA-CORPO COM CORRIMAO EM TUBO DE ACO GALVANIZADO 1 1/2"</t>
  </si>
  <si>
    <t>GUARDA-CORPO COM CORRIMAO EM TUBO DE ACO GALVANIZADO 3/4"</t>
  </si>
  <si>
    <t>GUARDA-CORPO EM TUBO DE ACO GALVANIZADO 1 1/2"</t>
  </si>
  <si>
    <t>GUARNICAO/ ALIZAR/ VISTA MACICA, E= *1* CM, L= *4,5* CM, EM CEDRINHO/ ANGELIM COMERCIAL/  EUCALIPTO/ CURUPIXA/ PEROBA/ CUMARU OU EQUIVALENTE DA REGIAO</t>
  </si>
  <si>
    <t>GUARNICAO/ ALIZAR/ VISTA MACICA, E= *1* CM, L= *4,5* CM, EM PINUS/ TAUARI/ VIROLA OU EQUIVALENTE DA REGIAO</t>
  </si>
  <si>
    <t>GUARNICAO/MOLDURA DE ACABAMENTO PARA ESQUADRIA DE ALUMINIO ANODIZADO NATURAL, PARA 1 FACE (COLETADO CAIXA)</t>
  </si>
  <si>
    <t>GUIA (MEIO-FIO) CONCRETO, MOLDADA  IN LOCO  EM TRECHO CURVO COM EXTRUS ORA, 11,5 CM BASE X 22 CM ALTURA. AF_06/2016</t>
  </si>
  <si>
    <t>GUIA (MEIO-FIO) CONCRETO, MOLDADA  IN LOCO  EM TRECHO CURVO COM EXTRUS ORA, 14 CM BASE X 30 CM ALTURA. AF_06/2016</t>
  </si>
  <si>
    <t>GUIA (MEIO-FIO) CONCRETO, MOLDADA  IN LOCO  EM TRECHO RETO COM EXTRUSO RA, 11,5 CM BASE X 22 CM ALTURA. AF_06/2016</t>
  </si>
  <si>
    <t>GUIA (MEIO-FIO) CONCRETO, MOLDADA  IN LOCO  EM TRECHO RETO COM EXTRUSO RA, 14 CM BASE X 30 CM ALTURA. AF_06/2016</t>
  </si>
  <si>
    <t>GUIA (MEIO-FIO) E SARJETA CONJUGADOS DE CONCRETO, MOLDADA IN LOCO EM TRECHO CURVO COM EXTRUSORA, GUIA 12,5 CM BASE X 22 CM ALTURA, SARJETA 30 CM BASE X 8,5 CM ALTURA. AF_06/2016</t>
  </si>
  <si>
    <t>GUIA (MEIO-FIO) E SARJETA CONJUGADOS DE CONCRETO, MOLDADA IN LOCO EM TRECHO CURVO COM EXTRUSORA, GUIA 13,5 CM BASE X 26 CM ALTURA, SARJETA 45 CM BASE X 11 CM ALTURA. AF_06/2016</t>
  </si>
  <si>
    <t>GUIA (MEIO-FIO) E SARJETA CONJUGADOS DE CONCRETO, MOLDADA IN LOCO EM TRECHO CURVO COM EXTRUSORA, GUIA 13,5 CM BASE X 30 CM ALTURA, SARJETA 50 CM BASE X 12,5 CM ALTURA. AF_06/2016</t>
  </si>
  <si>
    <t>GUIA (MEIO-FIO) E SARJETA CONJUGADOS DE CONCRETO, MOLDADA IN LOCO EM TRECHO RETO COM EXTRUSORA, GUIA 13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</si>
  <si>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</si>
  <si>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RETO COM EXTRUSORA, GUIA 13,5 CM BASE X 30 CM ALTURA, SARJETA 50 CM BASE X 12,5 CM ALTURA. AF_06/2016</t>
  </si>
  <si>
    <t>GUINCHO DE ALAVANCA MANUAL, CAPACIDADE 3,2 T COM 20 M DE CABO DE ACO DIAMETRO 16,3 MM</t>
  </si>
  <si>
    <t>GUINCHO DE ALAVANCA MANUAL, CAPACIDADE DE 1,6 T, COM 20 M DE CABO DE ACO (AQUISICAO)</t>
  </si>
  <si>
    <t>GUINCHO ELÉTRICO DE COLUNA, CAPACIDADE 400 KG, COM MOTO FREIO, MOTOR T RIFÁSICO DE 1,25 CV - CHI DIURNO. AF_03/2016</t>
  </si>
  <si>
    <t>GUINCHO ELÉTRICO DE COLUNA, CAPACIDADE 400 KG, COM MOTO FREIO, MOTOR T RIFÁSICO DE 1,25 CV - CHP DIURNO. AF_03/2016</t>
  </si>
  <si>
    <t>GUINCHO ELÉTRICO DE COLUNA, CAPACIDADE 400 KG, COM MOTO FREIO, MOTOR T RIFÁSICO DE 1,25 CV - DEPRECIAÇÃO. AF_03/2016</t>
  </si>
  <si>
    <t>GUINCHO ELÉTRICO DE COLUNA, CAPACIDADE 400 KG, COM MOTO FREIO, MOTOR T RIFÁSICO DE 1,25 CV - JUROS. AF_03/2016</t>
  </si>
  <si>
    <t>GUINCHO ELÉTRICO DE COLUNA, CAPACIDADE 400 KG, COM MOTO FREIO, MOTOR T RIFÁSICO DE 1,25 CV - MANUTENÇÃO. AF_03/2016</t>
  </si>
  <si>
    <t>GUINCHO ELÉTRICO DE COLUNA, CAPACIDADE 400 KG, COM MOTO FREIO, MOTOR T RIFÁSICO DE 1,25 CV - MATERIAIS NA OPERAÇÃO. AF_03/2016</t>
  </si>
  <si>
    <t>GUINCHO ELETRICO DE COLUNA, CAPACIDADE 400 KG, COM MOTO FREIO, MOTOR TRIFASICO DE 1,25 CV</t>
  </si>
  <si>
    <t>GUINDASTE HIDRÁULICO AUTOPROPELIDO, COM LANÇA TELESCÓPICA 28,80 M, CAP ACIDADE MÁXIMA 30 T, POTÊNCIA 97 KW, TRAÇÃO 4 X 4 - CHI DIURNO. AF_11/ 2014</t>
  </si>
  <si>
    <t>GUINDASTE HIDRÁULICO AUTOPROPELIDO, COM LANÇA TELESCÓPICA 28,80 M, CAP ACIDADE MÁXIMA 30 T, POTÊNCIA 97 KW, TRAÇÃO 4 X 4 - CHP DIURNO. AF_11/ 2014</t>
  </si>
  <si>
    <t>GUINDASTE HIDRÁULICO AUTOPROPELIDO, COM LANÇA TELESCÓPICA 28,80 M, CAP ACIDADE MÁXIMA 30 T, POTÊNCIA 97 KW, TRAÇÃO 4 X 4 - DEPRECIAÇÃO. AF_11 /2014</t>
  </si>
  <si>
    <t>GUINDASTE HIDRÁULICO AUTOPROPELIDO, COM LANÇA TELESCÓPICA 28,80 M, CAP ACIDADE MÁXIMA 30 T, POTÊNCIA 97 KW, TRAÇÃO 4 X 4 - IMPOSTOS E SEGUROS . AF_11/2014</t>
  </si>
  <si>
    <t>GUINDASTE HIDRÁULICO AUTOPROPELIDO, COM LANÇA TELESCÓPICA 28,80 M, CAP ACIDADE MÁXIMA 30 T, POTÊNCIA 97 KW, TRAÇÃO 4 X 4 - JUROS. AF_11/2014</t>
  </si>
  <si>
    <t>GUINDASTE HIDRÁULICO AUTOPROPELIDO, COM LANÇA TELESCÓPICA 28,80 M, CAP ACIDADE MÁXIMA 30 T, POTÊNCIA 97 KW, TRAÇÃO 4 X 4 - MANUTENÇÃO. AF_11/ 2014</t>
  </si>
  <si>
    <t>GUINDASTE HIDRÁULICO AUTOPROPELIDO, COM LANÇA TELESCÓPICA 28,80 M, CAP ACIDADE MÁXIMA 30 T, POTÊNCIA 97 KW, TRAÇÃO 4 X 4 - MATERIAIS NA OPERA ÇÃO. AF_11/2014</t>
  </si>
  <si>
    <t>GUINDASTE HIDRAULICO AUTOPROPELIDO, COM LANCA TELESCOPICA 28,80 M, CAPACIDADE MAXIMA 30 T, POTENCIA 97 KW, TRACAO 4 X 4</t>
  </si>
  <si>
    <t>GUINDASTE HIDRÁULICO AUTOPROPELIDO, COM LANÇA TELESCÓPICA 40 M, CAPACI DADE MÁXIMA 60 T, POTÊNCIA 260 KW - CHI DIURNO. AF_03/2016</t>
  </si>
  <si>
    <t>GUINDASTE HIDRÁULICO AUTOPROPELIDO, COM LANÇA TELESCÓPICA 40 M, CAPACI DADE MÁXIMA 60 T, POTÊNCIA 260 KW - CHP DIURNO. AF_03/2016</t>
  </si>
  <si>
    <t>GUINDASTE HIDRÁULICO AUTOPROPELIDO, COM LANÇA TELESCÓPICA 40 M, CAPACI DADE MÁXIMA 60 T, POTÊNCIA 260 KW - DEPRECIAÇÃO. AF_03/2016</t>
  </si>
  <si>
    <t>GUINDASTE HIDRÁULICO AUTOPROPELIDO, COM LANÇA TELESCÓPICA 40 M, CAPACI DADE MÁXIMA 60 T, POTÊNCIA 260 KW - IMPOSTOS E SEGUROS. AF_03/2016</t>
  </si>
  <si>
    <t>GUINDASTE HIDRÁULICO AUTOPROPELIDO, COM LANÇA TELESCÓPICA 40 M, CAPACI DADE MÁXIMA 60 T, POTÊNCIA 260 KW - JUROS. AF_03/2016</t>
  </si>
  <si>
    <t>GUINDASTE HIDRÁULICO AUTOPROPELIDO, COM LANÇA TELESCÓPICA 40 M, CAPACI DADE MÁXIMA 60 T, POTÊNCIA 260 KW - MANUTENÇÃO. AF_03/2016</t>
  </si>
  <si>
    <t>GUINDASTE HIDRÁULICO AUTOPROPELIDO, COM LANÇA TELESCÓPICA 40 M, CAPACI DADE MÁXIMA 60 T, POTÊNCIA 260 KW - MATERIAIS NA OPERAÇÃO. AF_03/2016</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</si>
  <si>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</si>
  <si>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</si>
  <si>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</si>
  <si>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</si>
  <si>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</si>
  <si>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HIDRÁULICO, CAPACIDADE MÁXIMA DE CARGA 3300 KG, MOMENTO MÁXI MO DE CARGA 5,8 TM, ALCANCE MÁXIMO HORIZONTAL 7,60 M, INCLUSIVE CAMINH ÃO TOCO PBT 16.000 KG, POTÊNCIA DE 189 CV - CHI DIURNO. AF_03/2016</t>
  </si>
  <si>
    <t>GUINDAUTO HIDRÁULICO, CAPACIDADE MÁXIMA DE CARGA 3300 KG, MOMENTO MÁXI MO DE CARGA 5,8 TM, ALCANCE MÁXIMO HORIZONTAL 7,60 M, INCLUSIVE CAMINH ÃO TOCO PBT 16.000 KG, POTÊNCIA DE 189 CV - CHP DIURNO. AF_03/2016</t>
  </si>
  <si>
    <t>GUINDAUTO HIDRÁULICO, CAPACIDADE MÁXIMA DE CARGA 3300 KG, MOMENTO MÁXI MO DE CARGA 5,8 TM, ALCANCE MÁXIMO HORIZONTAL 7,60 M, INCLUSIVE CAMINH ÃO TOCO PBT 16.000 KG, POTÊNCIA DE 189 CV - DEPRECIAÇÃO. AF_03/2016</t>
  </si>
  <si>
    <t>GUINDAUTO HIDRÁULICO, CAPACIDADE MÁXIMA DE CARGA 3300 KG, MOMENTO MÁXI MO DE CARGA 5,8 TM, ALCANCE MÁXIMO HORIZONTAL 7,60 M, INCLUSIVE CAMINH ÃO TOCO PBT 16.000 KG, POTÊNCIA DE 189 CV  IMPOSTOS E SEGUROS. AF_03/ 2016</t>
  </si>
  <si>
    <t>GUINDAUTO HIDRÁULICO, CAPACIDADE MÁXIMA DE CARGA 3300 KG, MOMENTO MÁXI MO DE CARGA 5,8 TM, ALCANCE MÁXIMO HORIZONTAL 7,60 M, INCLUSIVE CAMINH ÃO TOCO PBT 16.000 KG, POTÊNCIA DE 189 CV - JUROS. AF_03/2016</t>
  </si>
  <si>
    <t>GUINDAUTO HIDRÁULICO, CAPACIDADE MÁXIMA DE CARGA 3300 KG, MOMENTO MÁXI MO DE CARGA 5,8 TM, ALCANCE MÁXIMO HORIZONTAL 7,60 M, INCLUSIVE CAMINH ÃO TOCO PBT 16.000 KG, POTÊNCIA DE 189 CV - MANUTENÇÃO. AF_03/2016</t>
  </si>
  <si>
    <t>GUINDAUTO HIDRÁULICO, CAPACIDADE MÁXIMA DE CARGA 3300 KG, MOMENTO MÁXI MO DE CARGA 5,8 TM, ALCANCE MÁXIMO HORIZONTAL 7,60 M, INCLUSIVE CAMINH ÃO TOCO PBT 16.000 KG, POTÊNCIA DE 189 CV - MATERIAIS NA OPERAÇÃO. AF_ 03/2016</t>
  </si>
  <si>
    <t>GUINDAUTO HIDRAULICO, CAPACIDADE MAXIMA DE CARGA 3300 KG, MOMENTO MAXIMO DE CARGA 5,8 TM , ALCANCE MAXIMO HORIZONTAL  7,60 M, PARA MONTAGEM SOBRE CHASSI DE CAMINHAO PBT MINIMO 8000 KG (INCLUI MONTAGEM, NAO INCLUI CAMINHAO)</t>
  </si>
  <si>
    <t>GUINDAUTO HIDRÁULICO, CAPACIDADE MÁXIMA DE CARGA 6200 KG, MOMENTO MÁXI MO DE CARGA 11,7 TM, ALCANCE MÁXIMO HORIZONTAL 9,70 M, INCLUSIVE CAMIN HÃO TOCO PBT 16.000 KG, POTÊNCIA DE 189 CV - CHI DIURNO. AF_06/2014</t>
  </si>
  <si>
    <t>GUINDAUTO HIDRÁULICO, CAPACIDADE MÁXIMA DE CARGA 6200 KG, MOMENTO MÁXI MO DE CARGA 11,7 TM, ALCANCE MÁXIMO HORIZONTAL 9,70 M, INCLUSIVE CAMIN HÃO TOCO PBT 16.000 KG, POTÊNCIA DE 189 CV - CHP DIURNO. AF_06/2014</t>
  </si>
  <si>
    <t>GUINDAUTO HIDRÁULICO, CAPACIDADE MÁXIMA DE CARGA 6200 KG, MOMENTO MÁXI MO DE CARGA 11,7 TM, ALCANCE MÁXIMO HORIZONTAL 9,70 M, INCLUSIVE CAMIN HÃO TOCO PBT 16.000 KG, POTÊNCIA DE 189 CV - DEPRECIAÇÃO. AF_06/2014</t>
  </si>
  <si>
    <t>GUINDAUTO HIDRÁULICO, CAPACIDADE MÁXIMA DE CARGA 6200 KG, MOMENTO MÁXI MO DE CARGA 11,7 TM, ALCANCE MÁXIMO HORIZONTAL 9,70 M, INCLUSIVE CAMIN HÃO TOCO PBT 16.000 KG, POTÊNCIA DE 189 CV - IMPOSTOS E SEGUROS. AF_08 /2015</t>
  </si>
  <si>
    <t>GUINDAUTO HIDRÁULICO, CAPACIDADE MÁXIMA DE CARGA 6200 KG, MOMENTO MÁXI MO DE CARGA 11,7 TM, ALCANCE MÁXIMO HORIZONTAL 9,70 M, INCLUSIVE CAMIN HÃO TOCO PBT 16.000 KG, POTÊNCIA DE 189 CV - JUROS. AF_06/2014</t>
  </si>
  <si>
    <t>GUINDAUTO HIDRÁULICO, CAPACIDADE MÁXIMA DE CARGA 6200 KG, MOMENTO MÁXI MO DE CARGA 11,7 TM, ALCANCE MÁXIMO HORIZONTAL 9,70 M, INCLUSIVE CAMIN HÃO TOCO PBT 16.000 KG, POTÊNCIA DE 189 CV - MANUTENÇÃO. AF_06/2014</t>
  </si>
  <si>
    <t>GUINDAUTO HIDRÁULICO, CAPACIDADE MÁXIMA DE CARGA 6200 KG, MOMENTO MÁXI MO DE CARGA 11,7 TM, ALCANCE MÁXIMO HORIZONTAL 9,70 M, INCLUSIVE CAMIN HÃO TOCO PBT 16.000 KG, POTÊNCIA DE 189 CV - MATERIAIS NA OPERAÇÃO. AF _08/2015</t>
  </si>
  <si>
    <t>GUINDAUTO HIDRAULICO, CAPACIDADE MAXIMA DE CARGA 6200 KG, MOMENTO MAXIMO DE CARGA 11,7 TM , ALCANCE MAXIMO HORIZONTAL  9,70 M, PARA MONTAGEM SOBRE CHASSI DE CAMINHAO PBT MINIMO 13000 KG (INCLUI MONTAGEM, NAO INCLUI CAMINHAO)</t>
  </si>
  <si>
    <t>GUINDAUTO HIDRÁULICO, CAPACIDADE MÁXIMA DE CARGA 6500 KG, MOMENTO MÁXI MO DE CARGA 5,8 TM, ALCANCE MÁXIMO HORIZONTAL 7,60 M, INCLUSIVE CAMINH ÃO TOCO PBT 9.700 KG, POTÊNCIA DE 160 CV - CHI DIURNO. AF_08/2015</t>
  </si>
  <si>
    <t>GUINDAUTO HIDRÁULICO, CAPACIDADE MÁXIMA DE CARGA 6500 KG, MOMENTO MÁXI MO DE CARGA 5,8 TM, ALCANCE MÁXIMO HORIZONTAL 7,60 M, INCLUSIVE CAMINH ÃO TOCO PBT 9.700 KG, POTÊNCIA DE 160 CV - CHP DIURNO. AF_08/2015</t>
  </si>
  <si>
    <t>GUINDAUTO HIDRÁULICO, CAPACIDADE MÁXIMA DE CARGA 6500 KG, MOMENTO MÁXI MO DE CARGA 5,8 TM, ALCANCE MÁXIMO HORIZONTAL 7,60 M, INCLUSIVE CAMINH ÃO TOCO PBT 9.700 KG, POTÊNCIA DE 160 CV - DEPRECIAÇÃO. AF_08/2015</t>
  </si>
  <si>
    <t>GUINDAUTO HIDRÁULICO, CAPACIDADE MÁXIMA DE CARGA 6500 KG, MOMENTO MÁXI MO DE CARGA 5,8 TM, ALCANCE MÁXIMO HORIZONTAL 7,60 M, INCLUSIVE CAMINH ÃO TOCO PBT 9.700 KG, POTÊNCIA DE 160 CV - IMPOSTOS E SEGUROS. AF_08/2 015</t>
  </si>
  <si>
    <t>GUINDAUTO HIDRÁULICO, CAPACIDADE MÁXIMA DE CARGA 6500 KG, MOMENTO MÁXI MO DE CARGA 5,8 TM, ALCANCE MÁXIMO HORIZONTAL 7,60 M, INCLUSIVE CAMINH ÃO TOCO PBT 9.700 KG, POTÊNCIA DE 160 CV - JUROS. AF_08/2015</t>
  </si>
  <si>
    <t>GUINDAUTO HIDRÁULICO, CAPACIDADE MÁXIMA DE CARGA 6500 KG, MOMENTO MÁXI MO DE CARGA 5,8 TM, ALCANCE MÁXIMO HORIZONTAL 7,60 M, INCLUSIVE CAMINH ÃO TOCO PBT 9.700 KG, POTÊNCIA DE 160 CV - MANUTENÇÃO. AF_08/2015</t>
  </si>
  <si>
    <t>GUINDAUTO HIDRÁULICO, CAPACIDADE MÁXIMA DE CARGA 6500 KG, MOMENTO MÁXI MO DE CARGA 5,8 TM, ALCANCE MÁXIMO HORIZONTAL 7,60 M, INCLUSIVE CAMINH ÃO TOCO PBT 9.700 KG, POTÊNCIA DE 160 CV - MATERIAIS NA OPERAÇÃO. AF_0 8/2015</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</si>
  <si>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</si>
  <si>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</si>
  <si>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COPPERWELD 5/8 X 3,0M COM CONECTOR</t>
  </si>
  <si>
    <t>HASTE DE ACO GALVANIZADO PARA FIXACAO DE CONCERTINA 2 "/3 M</t>
  </si>
  <si>
    <t>HASTE DE ATERRAMENTO EM ACO COM 2,40 M DE COMPRIMENTO E DN = 5/8", REVESTIDA COM BAIXA CAMADA DE COBRE, SEM CONECTOR</t>
  </si>
  <si>
    <t>HASTE DE ATERRAMENTO EM ACO COM 3,00 M DE COMPRIMENTO E DN = 1", REVESTIDA COM BAIXA CAMADA DE COBRE, COM CONECTOR TIPO GRAMPO</t>
  </si>
  <si>
    <t>HASTE DE ATERRAMENTO EM ACO COM 3,00 M DE COMPRIMENTO E DN = 1", REVESTIDA COM BAIXA CAMADA DE COBRE, SEM CONECTOR</t>
  </si>
  <si>
    <t>HASTE DE ATERRAMENTO EM ACO COM 3,00 M DE COMPRIMENTO E DN = 1/2", REVESTIDA COM BAIXA CAMADA DE COBRE, COM CONECTOR TIPO GRAMPO</t>
  </si>
  <si>
    <t>HASTE DE ATERRAMENTO EM ACO COM 3,00 M DE COMPRIMENTO E DN = 1/2", REVESTIDA COM BAIXA CAMADA DE COBRE, SEM CONECTOR</t>
  </si>
  <si>
    <t>HASTE DE ATERRAMENTO EM ACO COM 3,00 M DE COMPRIMENTO E DN = 3/4", REVESTIDA COM BAIXA CAMADA DE COBRE, COM CONECTOR TIPO GRAMPO</t>
  </si>
  <si>
    <t>HASTE DE ATERRAMENTO EM ACO COM 3,00 M DE COMPRIMENTO E DN = 3/4", REVESTIDA COM BAIXA CAMADA DE COBRE, SEM CONECTOR</t>
  </si>
  <si>
    <t>HASTE DE ATERRAMENTO EM AÇO COM 3,00 M DE COMPRIMENTO E DN = 5/8" REVE 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</si>
  <si>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</si>
  <si>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</si>
  <si>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</si>
  <si>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DE TERRA CANTONEIRA GALVANIZADA L=2,00M COM CONEXOES</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</si>
  <si>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</si>
  <si>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</si>
  <si>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</si>
  <si>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</si>
  <si>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</si>
  <si>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</si>
  <si>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HERBICIDA DE ISOPROPILAMINA DE GLIFOSATO 480 G/L</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</si>
  <si>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</si>
  <si>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</si>
  <si>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</si>
  <si>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FERRO FUNDIDO C/ CURVA LONGA E CAIXA DN=75MM</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</si>
  <si>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</si>
  <si>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</si>
  <si>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</si>
  <si>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</si>
  <si>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</si>
  <si>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</si>
  <si>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</si>
  <si>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</si>
  <si>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</si>
  <si>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</si>
  <si>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</si>
  <si>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</si>
  <si>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</si>
  <si>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</si>
  <si>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</si>
  <si>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</si>
  <si>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IMPERMEABILIZACAO COM PINTURA A BASE DE RESINA EPOXI ALCATRAO, DUAS DE MAOS.</t>
  </si>
  <si>
    <t>IMPERMEABILIZACAO COM PINTURA A BASE DE RESINA EPOXI ALCATRAO, UMA DEM AO.</t>
  </si>
  <si>
    <t>IMPERMEABILIZACAO COM VÉU DE POLIESTER</t>
  </si>
  <si>
    <t>IMPERMEABILIZACAO DE CALHAS/LAJES DESCOBERTAS, COM EMULSAO ASFALTICA C OM ELASTOMEROS, 3 DEMAOS</t>
  </si>
  <si>
    <t>IMPERMEABILIZACAO DE ESTRUTURAS ENTERRADAS COM CIMENTO CRISTALIZANTE E ADESIVO LIQUIDO, ATE 7M DE PROFUNDIDADE.</t>
  </si>
  <si>
    <t>IMPERMEABILIZACAO DE ESTRUTURAS ENTERRADAS, COM TINTA ASFALTICA, DUAS DEMAOS.</t>
  </si>
  <si>
    <t>IMPERMEABILIZACAO DE SUPERFICIE COM ADESIVO LIQUIDO SOBRE CIMENTO CRIS TALIZANTE, INCLUSO VEU DE FIBRA DE VIDRO.</t>
  </si>
  <si>
    <t>IMPERMEABILIZACAO DE SUPERFICIE COM ARGAMASSA DE CIMENTO E AREIA (GROS SA), TRACO 1:4, COM ADITIVO IMPERMEABILIZANTE, E=2 CM</t>
  </si>
  <si>
    <t>IMPERMEABILIZACAO DE SUPERFICIE COM ARGAMASSA DE CIMENTO E AREIA (MEDI A), TRACO 1:3, COM ADITIVO IMPERMEABILIZANTE, E=2CM.</t>
  </si>
  <si>
    <t>IMPERMEABILIZACAO DE SUPERFICIE COM ARGAMASSA DE CIMENTO E AREIA, TRAC O 1:3, COM ADITIVO IMPERMEABILIZANTE, E=1,5 CM</t>
  </si>
  <si>
    <t>IMPERMEABILIZACAO DE SUPERFICIE COM ARGAMASSA DE CIMENTO E AREIA, TRAC O 1:3, COM ADITIVO IMPERMEABILIZANTE, E=3 CM</t>
  </si>
  <si>
    <t>IMPERMEABILIZACAO DE SUPERFICIE COM ASFALTO ELASTOMERICO, INCLUSOS PRI MER E VEU DE FIBRA DE VIDRO.</t>
  </si>
  <si>
    <t>IMPERMEABILIZACAO DE SUPERFICIE COM CIMENTO ESPECIAL CRISTALIZANTE COM ADESIVO LIQUIDO, UMA DEMAO.</t>
  </si>
  <si>
    <t>IMPERMEABILIZACAO DE SUPERFICIE COM CIMENTO IMPERMEABILIZANTE DE PEGA ULTRA RAPIDA, TRACO 1:1, E=0,5 CM</t>
  </si>
  <si>
    <t>IMPERMEABILIZACAO DE SUPERFICIE COM EMULSAO ASFALTICA A BASE D'AGUA</t>
  </si>
  <si>
    <t>IMPERMEABILIZACAO DE SUPERFICIE COM EMULSAO ASFALTICA COM ELASTOMERO, INCLUSOS PRIMER E VEU DE POLIESTER</t>
  </si>
  <si>
    <t>IMPERMEABILIZACAO DE SUPERFICIE COM GEOMEMBRANA (MANTA TERMOPLASTICA L ISA) TIPO PEAD, E=2MM.</t>
  </si>
  <si>
    <t>IMPERMEABILIZACAO DE SUPERFICIE COM MANTA ASFALTICA (COM POLIMEROS TIP O APP), E=3 MM</t>
  </si>
  <si>
    <t>IMPERMEABILIZACAO DE SUPERFICIE COM MANTA ASFALTICA (COM POLIMEROS TIP O APP), E=4 MM</t>
  </si>
  <si>
    <t>IMPERMEABILIZACAO DE SUPERFICIE COM MANTA ASFALTICA PROTEGIDA COM FILM E DE ALUMINIO GOFRADO (DE ESPESSURA 0,8MM), INCLUSA APLICACAO DE  EMUL SAO ASFALTICA, E=3MM.</t>
  </si>
  <si>
    <t>IMPERMEABILIZACAO DE SUPERFICIE COM MASTIQUE BETUMINOSO A FRIO, POR AR EA.</t>
  </si>
  <si>
    <t>IMPERMEABILIZACAO DE SUPERFICIE COM MASTIQUE BETUMINOSO A FRIO, POR ME TRO.</t>
  </si>
  <si>
    <t>IMPERMEABILIZACAO DE SUPERFICIE COM MASTIQUE ELASTICO A BASE DE SILICO NE, POR VOLUME.</t>
  </si>
  <si>
    <t>IMPERMEABILIZACAO DE SUPERFICIE COM REVESTIMENTO BICOMPONENTE SEMI FLE XIVEL.</t>
  </si>
  <si>
    <t>IMPERMEABILIZACAO DE SUPERFICIE, COM IMPERMEABILIZANTE FLEXIVEL A BASE ACRILICA.</t>
  </si>
  <si>
    <t>IMPERMEABILIZADOR (MENSALISTA)</t>
  </si>
  <si>
    <t>IMPERMEABILIZANTE A BASE DE CIMENTO CRISTALIZANTE EM PO, MONOCOMPONENTE</t>
  </si>
  <si>
    <t>IMPERMEABILIZANTE FLEXIVEL BRANCO DE BASE ACRILICA PARA COBERTURAS</t>
  </si>
  <si>
    <t>IMPRIMACAO DE BASE DE PAVIMENTACAO COM ADP CM-30</t>
  </si>
  <si>
    <t>IMUNIZACAO DE MADEIRAMENTO PARA COBERTURA UTILIZANDO CUPINICIDA INCOLO R</t>
  </si>
  <si>
    <t>IMUNIZANTE PARA MADEIRA, INCOLOR</t>
  </si>
  <si>
    <t>INSTALACAO DE AGITADOR</t>
  </si>
  <si>
    <t>INSTALACAO DE BOMBA DOSADORA</t>
  </si>
  <si>
    <t>INSTALACAO DE CLORADOR</t>
  </si>
  <si>
    <t>INSTALACAO DE COMPRESSOR DE AR, POTENCIA &lt;= 5 CV</t>
  </si>
  <si>
    <t>INSTALACAO DE COMPRESSOR DE AR, POTENCIA &gt; 5 E &lt;= 10 CV</t>
  </si>
  <si>
    <t>INSTALACAO DE CONJ.MOTO BOMBA HORIZONTAL ATE 10 CV</t>
  </si>
  <si>
    <t>INSTALACAO DE CONJ.MOTO BOMBA HORIZONTAL DE 100 A 150 CV</t>
  </si>
  <si>
    <t>INSTALACAO DE CONJ.MOTO BOMBA HORIZONTAL DE 12,5 A 25 CV</t>
  </si>
  <si>
    <t>INSTALACAO DE CONJ.MOTO BOMBA HORIZONTAL DE 30 A 75 CV</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</si>
  <si>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</si>
  <si>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</si>
  <si>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</si>
  <si>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</si>
  <si>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SUBMERSO ATE 5 CV</t>
  </si>
  <si>
    <t>INSTALACAO DE CONJ.MOTO BOMBA SUBMERSO DE 26 A 50 CV</t>
  </si>
  <si>
    <t>INSTALACAO DE CONJ.MOTO BOMBA SUBMERSO DE 6 A 25 CV</t>
  </si>
  <si>
    <t>INSTALACAO DE CONJ.MOTO BOMBA VERTICAL 100 &lt; POT &lt;= 200 CV</t>
  </si>
  <si>
    <t>INSTALACAO DE CONJ.MOTO BOMBA VERTICAL 200 &lt; POT &lt;= 300 CV</t>
  </si>
  <si>
    <t>INSTALACAO DE CONJ.MOTO BOMBA VERTICAL POT &lt;= 100 CV</t>
  </si>
  <si>
    <t>INSTALAÇÃO DE GAMBIARRA PARA SINALIZAÇÃO, PADRÃO 20 M, INCLUINDO LÂMPA DA, BOCAL E BALDE A CADA 2 M</t>
  </si>
  <si>
    <t>INSTALACAO DE MISTURADOR VERTICAL</t>
  </si>
  <si>
    <t>INSTALAÇÃO DE TESOURA (INTEIRA OU MEIA), BIAPOIADA, EM MADEIRA NÃO APA RELHADA, PARA VÃOS MAIORES OU IGUAIS A 10,0 M E MENORES QUE 12,0 M, IN CLUSO IÇAMENTO. AF_12/2015</t>
  </si>
  <si>
    <t>INSTALAÇÃO DE TESOURA (INTEIRA OU MEIA), BIAPOIADA, EM MADEIRA NÃO APA RELHADA, PARA VÃOS MAIORES OU IGUAIS A 3,0 M E MENORES QUE 6,0 M, INCL USO IÇAMENTO. AF_12/2015</t>
  </si>
  <si>
    <t>INSTALAÇÃO DE TESOURA (INTEIRA OU MEIA), BIAPOIADA, EM MADEIRA NÃO APA RELHADA, PARA VÃOS MAIORES OU IGUAIS A 6,0 M E MENORES QUE 8,0 M, INCL USO IÇAMENTO. AF_12/2015</t>
  </si>
  <si>
    <t>INSTALAÇÃO DE TESOURA (INTEIRA OU MEIA), BIAPOIADA, EM MADEIRA NÃO APA RELHADA, PARA VÃOS MAIORES OU IGUAIS A 8,0 M E MENORES QUE 10,0 M, INC LUSO IÇAMENTO. AF_12/2015</t>
  </si>
  <si>
    <t>INSTALAÇÃO DE TESOURA (INTEIRA OU MEIA), EM AÇO, PARA VÃOS MAIORES OU IGUAIS A 10,0 M E MENORES QUE 12,0 M, INCLUSO IÇAMENTO. AF_12/2015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</si>
  <si>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</si>
  <si>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</si>
  <si>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</si>
  <si>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VÁLVULAS OU REGISTROS COM JUNTA ELÁSTICA - DN 100</t>
  </si>
  <si>
    <t>INSTALAÇÃO DE VÁLVULAS OU REGISTROS COM JUNTA ELÁSTICA - DN 150</t>
  </si>
  <si>
    <t>INSTALAÇÃO DE VÁLVULAS OU REGISTROS COM JUNTA ELÁSTICA - DN 200</t>
  </si>
  <si>
    <t>INSTALAÇÃO DE VÁLVULAS OU REGISTROS COM JUNTA ELÁSTICA - DN 250</t>
  </si>
  <si>
    <t>INSTALAÇÃO DE VÁLVULAS OU REGISTROS COM JUNTA ELÁSTICA - DN 300</t>
  </si>
  <si>
    <t>INSTALAÇÃO DE VÁLVULAS OU REGISTROS COM JUNTA ELÁSTICA - DN 350</t>
  </si>
  <si>
    <t>INSTALAÇÃO DE VÁLVULAS OU REGISTROS COM JUNTA ELÁSTICA - DN 400</t>
  </si>
  <si>
    <t>INSTALAÇÃO DE VÁLVULAS OU REGISTROS COM JUNTA ELÁSTICA - DN 450</t>
  </si>
  <si>
    <t>INSTALAÇÃO DE VÁLVULAS OU REGISTROS COM JUNTA ELÁSTICA - DN 50</t>
  </si>
  <si>
    <t>INSTALAÇÃO DE VÁLVULAS OU REGISTROS COM JUNTA ELÁSTICA - DN 500</t>
  </si>
  <si>
    <t>INSTALAÇÃO DE VÁLVULAS OU REGISTROS COM JUNTA ELÁSTICA - DN 600</t>
  </si>
  <si>
    <t>INSTALAÇÃO DE VÁLVULAS OU REGISTROS COM JUNTA ELÁSTICA - DN 75</t>
  </si>
  <si>
    <t>INSTALAÇÃO DE VÁLVULAS OU REGISTROS COM JUNTA FLANGEADA - DN 100</t>
  </si>
  <si>
    <t>INSTALAÇÃO DE VÁLVULAS OU REGISTROS COM JUNTA FLANGEADA - DN 1000</t>
  </si>
  <si>
    <t>INSTALAÇÃO DE VÁLVULAS OU REGISTROS COM JUNTA FLANGEADA - DN 150</t>
  </si>
  <si>
    <t>INSTALAÇÃO DE VÁLVULAS OU REGISTROS COM JUNTA FLANGEADA - DN 200</t>
  </si>
  <si>
    <t>INSTALAÇÃO DE VÁLVULAS OU REGISTROS COM JUNTA FLANGEADA - DN 250</t>
  </si>
  <si>
    <t>INSTALAÇÃO DE VÁLVULAS OU REGISTROS COM JUNTA FLANGEADA - DN 300</t>
  </si>
  <si>
    <t>INSTALAÇÃO DE VÁLVULAS OU REGISTROS COM JUNTA FLANGEADA - DN 350</t>
  </si>
  <si>
    <t>INSTALAÇÃO DE VÁLVULAS OU REGISTROS COM JUNTA FLANGEADA - DN 400</t>
  </si>
  <si>
    <t>INSTALAÇÃO DE VÁLVULAS OU REGISTROS COM JUNTA FLANGEADA - DN 450</t>
  </si>
  <si>
    <t>INSTALAÇÃO DE VÁLVULAS OU REGISTROS COM JUNTA FLANGEADA - DN 50</t>
  </si>
  <si>
    <t>INSTALAÇÃO DE VÁLVULAS OU REGISTROS COM JUNTA FLANGEADA - DN 500</t>
  </si>
  <si>
    <t>INSTALAÇÃO DE VÁLVULAS OU REGISTROS COM JUNTA FLANGEADA - DN 600</t>
  </si>
  <si>
    <t>INSTALAÇÃO DE VÁLVULAS OU REGISTROS COM JUNTA FLANGEADA - DN 700</t>
  </si>
  <si>
    <t>INSTALAÇÃO DE VÁLVULAS OU REGISTROS COM JUNTA FLANGEADA - DN 75</t>
  </si>
  <si>
    <t>INSTALAÇÃO DE VÁLVULAS OU REGISTROS COM JUNTA FLANGEADA - DN 800</t>
  </si>
  <si>
    <t>INSTALAÇÃO DE VÁLVULAS OU REGISTROS COM JUNTA FLANGEADA - DN 900</t>
  </si>
  <si>
    <t>INSTALACAO PARA-RAIOS P/RESERVATORIO</t>
  </si>
  <si>
    <t>INSTALACOES GAS CENTRAL P/ EDIFICIO RESIDENCIAL C/ 4 PAVTOS 16 UNID. UMA CENTRAL POR BLOCO COM 16 PONTOS</t>
  </si>
  <si>
    <t>INSTALADOR DE TUBULACOES (TUBOS/EQUIPAMENTOS)</t>
  </si>
  <si>
    <t>INSTALADOR DE TUBULACOES (TUBOS/EQUIPAMENTOS) (MENSALISTA)</t>
  </si>
  <si>
    <t>INTERRUPTOR INTERMEDIARIO (FOUR-WAY) - FORNECIMENTO E INSTALACAO</t>
  </si>
  <si>
    <t>INTERRUPTOR PARALELO (1 MÓDULO) COM 1 TOMADA DE EMBUTIR 2P+T 10 A,  IN CLUINDO SUPORTE E PLACA - FORNECIMENTO E INSTALAÇÃO. AF_12/2015</t>
  </si>
  <si>
    <t>INTERRUPTOR PARALELO (1 MÓDULO) COM 1 TOMADA DE EMBUTIR 2P+T 10 A,  SE M SUPORTE E SEM PLACA - FORNECIMENTO E INSTALAÇÃO. AF_12/2015</t>
  </si>
  <si>
    <t>INTERRUPTOR PARALELO (1 MÓDULO) COM 2 TOMADAS DE EMBUTIR 2P+T 10 A,  I NCLUINDO SUPORTE E PLACA - FORNECIMENTO E INSTALAÇÃO. AF_12/2015</t>
  </si>
  <si>
    <t>INTERRUPTOR PARALELO (1 MÓDULO) COM 2 TOMADAS DE EMBUTIR 2P+T 10 A,  S EM SUPORTE E SEM PLACA - FORNECIMENTO E INSTALAÇÃO. AF_12/2015</t>
  </si>
  <si>
    <t>INTERRUPTOR PARALELO (1 MÓDULO), 10A/250V, INCLUINDO SUPORTE E PLACA - FORNECIMENTO E INSTALAÇÃO. AF_12/2015</t>
  </si>
  <si>
    <t>INTERRUPTOR PARALELO (1 MÓDULO), 10A/250V, SEM SUPORTE E SEM PLACA - F ORNECIMENTO E INSTALAÇÃO. AF_12/2015</t>
  </si>
  <si>
    <t>INTERRUPTOR PARALELO (2 MÓDULOS) COM 1 TOMADA DE EMBUTIR 2P+T 10 A,  I NCLUINDO SUPORTE E PLACA - FORNECIMENTO E INSTALAÇÃO. AF_12/2015</t>
  </si>
  <si>
    <t>INTERRUPTOR PARALELO (2 MÓDULOS) COM 1 TOMADA DE EMBUTIR 2P+T 10 A,  S EM SUPORTE E SEM PLACA - FORNECIMENTO E INSTALAÇÃO. AF_12/2015</t>
  </si>
  <si>
    <t>INTERRUPTOR PARALELO (2 MÓDULOS), 10A/250V, SEM SUPORTE E SEM PLACA - FORNECIMENTO E INSTALAÇÃO. AF_12/2015</t>
  </si>
  <si>
    <t>INTERRUPTOR PARALELO (3 MÓDULOS), 10A/250V, SEM SUPORTE E SEM PLACA - FORNECIMENTO E INSTALAÇÃO. AF_12/2015</t>
  </si>
  <si>
    <t>INTERRUPTOR PULSADOR DE CAMPAINHA OU MINUTERIA 2A/250V C/ CAIXA - FORN ECIMENTO E INSTALACAO</t>
  </si>
  <si>
    <t>INTERRUPTOR SIMPLES (1 MÓDULO) COM 1 TOMADA DE EMBUTIR 2P+T 10 A,  INC LUINDO SUPORTE E PLACA - FORNECIMENTO E INSTALAÇÃO. AF_12/2015</t>
  </si>
  <si>
    <t>INTERRUPTOR SIMPLES (1 MÓDULO) COM 1 TOMADA DE EMBUTIR 2P+T 10 A,  SEM SUPORTE E SEM PLACA - FORNECIMENTO E INSTALAÇÃO. AF_12/2015</t>
  </si>
  <si>
    <t>INTERRUPTOR SIMPLES (1 MÓDULO) COM 2 TOMADAS DE EMBUTIR 2P+T 10 A,  IN CLUINDO SUPORTE E PLACA - FORNECIMENTO E INSTALAÇÃO. AF_12/2015</t>
  </si>
  <si>
    <t>INTERRUPTOR SIMPLES (1 MÓDULO) COM 2 TOMADAS DE EMBUTIR 2P+T 10 A,  SE M SUPORTE E SEM PLACA - FORNECIMENTO E INSTALAÇÃO. AF_12/2015</t>
  </si>
  <si>
    <t>INTERRUPTOR SIMPLES (1 MÓDULO) COM INTERRUPTOR PARALELO (1 MÓDULO), 10 A/250V, INCLUINDO SUPORTE E PLACA - FORNECIMENTO E INSTALAÇÃO. AF_12/2 015</t>
  </si>
  <si>
    <t>INTERRUPTOR SIMPLES (1 MÓDULO) COM INTERRUPTOR PARALELO (1 MÓDULO), 10 A/250V, SEM SUPORTE E SEM PLACA - FORNECIMENTO E INSTALAÇÃO. AF_12/201 5</t>
  </si>
  <si>
    <t>INTERRUPTOR SIMPLES (1 MÓDULO) COM INTERRUPTOR PARALELO (2 MÓDULOS), 1 0A/250V, INCLUINDO SUPORTE E PLACA - FORNECIMENTO E INSTALAÇÃO. AF_12/ 2015</t>
  </si>
  <si>
    <t>INTERRUPTOR SIMPLES (1 MÓDULO) COM INTERRUPTOR PARALELO (2 MÓDULOS), 1 0A/250V, SEM SUPORTE E SEM PLACA - FORNECIMENTO E INSTALAÇÃO. AF_12/20 15</t>
  </si>
  <si>
    <t>INTERRUPTOR SIMPLES (1 MÓDULO), 10A/250V, INCLUINDO SUPORTE E PLACA - FORNECIMENTO E INSTALAÇÃO. AF_12/2015</t>
  </si>
  <si>
    <t>INTERRUPTOR SIMPLES (1 MÓDULO), 10A/250V, SEM SUPORTE E SEM PLACA - FO RNECIMENTO E INSTALAÇÃO. AF_12/2015</t>
  </si>
  <si>
    <t>INTERRUPTOR SIMPLES (1 MÓDULO), INTERRUPTOR PARALELO (1 MÓDULO) E 1 TO MADA DE EMBUTIR 2P+T 10 A,  INCLUINDO SUPORTE E PLACA - FORNECIMENTO E INSTALAÇÃO. AF_12/2015</t>
  </si>
  <si>
    <t>INTERRUPTOR SIMPLES (1 MÓDULO), INTERRUPTOR PARALELO (1 MÓDULO) E 1 TO MADA DE EMBUTIR 2P+T 10 A,  SEM SUPORTE E SEM PLACA - FORNECIMENTO E I NSTALAÇÃO. AF_12/2015</t>
  </si>
  <si>
    <t>INTERRUPTOR SIMPLES (2 MÓDULOS) COM 1 TOMADA DE EMBUTIR 2P+T 10 A,  IN CLUINDO SUPORTE E PLACA - FORNECIMENTO E INSTALAÇÃO. AF_12/2015</t>
  </si>
  <si>
    <t>INTERRUPTOR SIMPLES (2 MÓDULOS) COM 1 TOMADA DE EMBUTIR 2P+T 10 A,  SE M SUPORTE E SEM PLACA - FORNECIMENTO E INSTALAÇÃO. AF_12/2015</t>
  </si>
  <si>
    <t>INTERRUPTOR SIMPLES (2 MÓDULOS) COM INTERRUPTOR PARALELO (1 MÓDULO), 1 0A/250V, INCLUINDO SUPORTE E PLACA - FORNECIMENTO E INSTALAÇÃO. AF_12/ 2015</t>
  </si>
  <si>
    <t>INTERRUPTOR SIMPLES (2 MÓDULOS) COM INTERRUPTOR PARALELO (1 MÓDULO), 1 0A/250V, SEM SUPORTE E SEM PLACA - FORNECIMENTO E INSTALAÇÃO. AF_12/20 15</t>
  </si>
  <si>
    <t>INTERRUPTOR SIMPLES (2 MÓDULOS) COM INTERRUPTOR PARALELO (2 MÓDULOS), 10A/250V, INCLUINDO SUPORTE E PLACA - FORNECIMENTO E INSTALAÇÃO. AF_12 /2015</t>
  </si>
  <si>
    <t>INTERRUPTOR SIMPLES (2 MÓDULOS) COM INTERRUPTOR PARALELO (2 MÓDULOS), 10A/250V, SEM SUPORTE E SEM PLACA - FORNECIMENTO E INSTALAÇÃO. AF_12/2 015</t>
  </si>
  <si>
    <t>INTERRUPTOR SIMPLES (2 MÓDULOS), 10A/250V, INCLUINDO SUPORTE E PLACA - FORNECIMENTO E INSTALAÇÃO. AF_12/2015</t>
  </si>
  <si>
    <t>INTERRUPTOR SIMPLES (2 MÓDULOS), 10A/250V, SEM SUPORTE E SEM PLACA - F ORNECIMENTO E INSTALAÇÃO. AF_12/2015</t>
  </si>
  <si>
    <t>INTERRUPTOR SIMPLES (3 MÓDULOS) COM INTERRUPTOR PARALELO (1 MÓDULO), 1 0A/250V, INCLUINDO SUPORTE E PLACA - FORNECIMENTO E INSTALAÇÃO. AF_12/ 2015</t>
  </si>
  <si>
    <t>INTERRUPTOR SIMPLES (3 MÓDULOS) COM INTERRUPTOR PARALELO (1 MÓDULO), 1 0A/250V, SEM SUPORTE E SEM PLACA - FORNECIMENTO E INSTALAÇÃO. AF_12/20 15</t>
  </si>
  <si>
    <t>INTERRUPTOR SIMPLES (3 MÓDULOS), 10A/250V, INCLUINDO SUPORTE E PLACA - FORNECIMENTO E INSTALAÇÃO. AF_12/2015</t>
  </si>
  <si>
    <t>INTERRUPTOR SIMPLES (3 MÓDULOS), 10A/250V, SEM SUPORTE E SEM PLACA - F ORNECIMENTO E INSTALAÇÃO. AF_12/2015</t>
  </si>
  <si>
    <t>INTERRUPTOR SIMPLES (4 MÓDULOS), 10A/250V, INCLUINDO SUPORTE E PLACA - FORNECIMENTO E INSTALAÇÃO. AF_12/2015</t>
  </si>
  <si>
    <t>INTERRUPTOR SIMPLES (4 MÓDULOS), 10A/250V, SEM SUPORTE E SEM PLACA - F ORNECIMENTO E INSTALAÇÃO. AF_12/2015</t>
  </si>
  <si>
    <t>INTERRUPTOR SIMPLES (6 MÓDULOS), 10A/250V, INCLUINDO SUPORTE E PLACA - FORNECIMENTO E INSTALAÇÃO. AF_12/2015</t>
  </si>
  <si>
    <t>INTERRUPTOR SIMPLES (6 MÓDULOS), 10A/250V, SEM SUPORTE E SEM PLACA - F ORNECIMENTO E INSTALAÇÃO. AF_12/2015</t>
  </si>
  <si>
    <t>INTERRUPTOR SIMPLES + INTERRUPTOR PARALELO + TOMADA 2P+T 10A, 250V, CONJUNTO MONTADO PARA EMBUTIR 4" X 2" (PLACA + SUPORTE + MODULOS)</t>
  </si>
  <si>
    <t>INVERSOR DE SOLDA MONOFASICO DE 160 A, POTENCIA DE 5400 W, TENSAO DE 220 V, TURBO VENTILADO, PROTECAO POR FUSIVEL TERMICO, PARA ELETRODOS DE 2,0 A 4,0 MM</t>
  </si>
  <si>
    <t>ISCA FORMICIDA GRANULADO</t>
  </si>
  <si>
    <t>ISOLADOR DE PINO TP HI-POT CILINDRICO CLASSE 15KV. FORNECIMENTO E INST ALACAO.</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</si>
  <si>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</si>
  <si>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</si>
  <si>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</si>
  <si>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</si>
  <si>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</si>
  <si>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</si>
  <si>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ISOLADOR DE SUSPENSAO (DISCO) TP CAVILHA CLASSE 15KV - 6''. FORNECIMEN TO E INSTALACAO.</t>
  </si>
  <si>
    <t>ISOLAMENTO ACUSTICO COM ESPUMA POLIURETANO E=25MM, FLEXIVEL 100X100X2C M, DENSIDADE 29 A 35 KG/M3</t>
  </si>
  <si>
    <t>ISOLAMENTO ACUSTICO EM ESPUMA DE POLIURETANO ESPESSURA 20 MM, DENSIDAD E 29KG/M3</t>
  </si>
  <si>
    <t>ISOLAMENTO DE OBRA COM TELA PLASTICA COM MALHA DE 5MM</t>
  </si>
  <si>
    <t>ISOLAMENTO DE OBRA COM TELA PLASTICA COM MALHA DE 5MM E ESTRUTURA DE M ADEIRA PONTALETEADA</t>
  </si>
  <si>
    <t>ISOLAMENTO TERMICO COM ARGAMASSA TRACO 1:3 (CIMENTO E AREIA GROSSA NAO PENEIRADA), COM ADICAO DE PEROLAS DE ISOPOR, ESPESSURA 6CM, PREPARO M ANUAL DA ARGAMASSA</t>
  </si>
  <si>
    <t>ISOLAMENTO TERMICO COM MANTA DE LA DE VIDRO, ESPESSURA 2,5CM</t>
  </si>
  <si>
    <t>ISOLAMENTO TERMOACÚSTICO COM LÃ MINERAL NA SUBCOBERTURA, INCLUSO TRANS PORTE VERTICAL. AF_06/2016</t>
  </si>
  <si>
    <t>JANELA ALUMIINIO DE CORRER 1,20 X 1,50 M (AXL) COM 4 FOLHAS DE VIDRO INCLUSO GUARNICAO</t>
  </si>
  <si>
    <t>JANELA ALUMINIO BASCULANTE  100 X 100 CM (AXL)</t>
  </si>
  <si>
    <t>JANELA ALUMINIO BASCULANTE  100 X 80 CM (AXL)</t>
  </si>
  <si>
    <t>JANELA ALUMINIO BASCULANTE  80 X 60 CM (AXL)</t>
  </si>
  <si>
    <t>JANELA ALUMINIO DE CORRER 1,00 X 1,50 M (AXL) COM 2 FOLHAS DE VIDRO INCLUSO GUARNICAO</t>
  </si>
  <si>
    <t>JANELA ALUMINIO DE CORRER 1,00 X 2,00 M (AXL) COM 4 FOLHAS DE VIDRO INCLUSO GUARNICAO</t>
  </si>
  <si>
    <t>JANELA ALUMINIO DE CORRER 1,20 X 1,20 (AXL) M COM 3 FOLHAS (2 VENEZIANAS E 1 VIDRO) INCLUSO GUARNICAO</t>
  </si>
  <si>
    <t>JANELA ALUMINIO DE CORRER 1,20 X 1,20 M (AXL) COM 2 FOLHAS DE VIDRO INCLUSO GUARNICAO.</t>
  </si>
  <si>
    <t>JANELA ALUMINIO DE CORRER 1,20 X 1,50 (AXL) M COM 3 FOLHAS (2 VENEZIANAS E 1 VIDRO) INCLUSO GUARNICAO</t>
  </si>
  <si>
    <t>JANELA ALUMINIO DE CORRER 1,20 X 1,50 (AXL) M COM 6 FOLHAS (4 VENEZIANAS E 2 VIDROS) INCLUSO GUARNICAO</t>
  </si>
  <si>
    <t>JANELA ALUMINIO DE CORRER 1,20 X 1,50 M (AXL) COM 2 FOLHAS DE VIDRO INCLUSO GUARNICAO.</t>
  </si>
  <si>
    <t>JANELA ALUMINIO DE CORRER 1,20 X 2,00 (AXL) M COM 6 FOLHAS (4 VENEZIANAS E 2 VIDROS) INCLUSO GUARNICAO</t>
  </si>
  <si>
    <t>JANELA ALUMINIO DE CORRER 1,20 X 2,00 M (AXL) COM 4 FOLHAS DE VIDRO INCLUSO GUARNICAO</t>
  </si>
  <si>
    <t>JANELA ALUMINIO MAXIM AR 80 X 60 CM (AXL) (INCLUSO GUARNICAO E VIDRO)</t>
  </si>
  <si>
    <t>JANELA ALUMINIO MAXIM AR, SERIE 25, 90 X 110CM (INCLUSO GUARNICAO E VIDRO FANTASIA).</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</si>
  <si>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</si>
  <si>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</si>
  <si>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</si>
  <si>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</si>
  <si>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CHAPA DOBRADA ACO GALVANIZADO A FOGO, DE CORRER, 4 FLS, SEM DIVISAO HORIZONTAL P/ VIDRO, DE 150 X 120 CM (3/4" X 1/8")</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</si>
  <si>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</si>
  <si>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</si>
  <si>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</si>
  <si>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</si>
  <si>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</si>
  <si>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AÇO BASCULANTE, FIXAÇÃO COM ARGAMASSA, SEM VIDROS, PADRONIZA DA. AF_07/2016</t>
  </si>
  <si>
    <t>JANELA DE AÇO BASCULANTE, FIXAÇÃO COM PARAFUSO SOBRE CONTRAMARCO (EXCL USIVE CONTRAMARCO), SEM VIDROS, PADRONIZADA. AF_07/2016</t>
  </si>
  <si>
    <t>JANELA DE AÇO DE CORRER, 2 FOLHAS, FIXAÇÃO COM ARGAMASSA, COM VIDROS, PADRONIZADA. AF_07/2016</t>
  </si>
  <si>
    <t>JANELA DE AÇO DE CORRER, 2 FOLHAS, FIXAÇÃO COM PARAFUSO SOBRE CONTRAMA RCO (EXCLUSIVE CONTRAMARCO), COM VIDROS, PADRONIZADA. AF_07/2016</t>
  </si>
  <si>
    <t>JANELA DE AÇO DE CORRER, 4 FOLHAS, FIXAÇÃO COM ARGAMASSA, SEM VIDROS, PADRONIZADA. AF_07/2016</t>
  </si>
  <si>
    <t>JANELA DE AÇO DE CORRER, 4 FOLHAS, FIXAÇÃO COM PARAFUSO SOBRE CONTRAMA RCO (EXCLUSIVE CONTRAMARCO), SEM VIDROS, PADRONIZADA. AF_07/2016</t>
  </si>
  <si>
    <t>JANELA DE AÇO DE CORRER, 6 FOLHAS, FIXAÇÃO COM ARGAMASSA, COM VIDROS, PADRONIZADA. AF_07/2016</t>
  </si>
  <si>
    <t>JANELA DE AÇO DE CORRER, 6 FOLHAS, FIXAÇÃO COM PARAFUSO SOBRE CONTRAMA RCO (EXCLUSIVE CONTRAMARCO), COM VIDROS, PADRONIZADA. AF_07/2016</t>
  </si>
  <si>
    <t>JANELA DE ALUMÍNIO 6 FOLHAS, FIXAÇÃO COM ARGAMASSA, COM VIDROS, PADRON IZADA. AF_07/2016</t>
  </si>
  <si>
    <t>JANELA DE ALUMÍNIO DE CORRER, 2 FOLHAS, FIXAÇÃO COM ARGAMASSA, COM VID ROS, PADRONIZADA. AF_07/2016</t>
  </si>
  <si>
    <t>JANELA DE ALUMÍNIO DE CORRER, 2 FOLHAS, FIXAÇÃO COM PARAFUSO SOBRE CON TRAMARCO (EXCLUSIVE CONTRAMARCO), COM VIDROS PADRONIZADA. AF_07/2016</t>
  </si>
  <si>
    <t>JANELA DE ALUMÍNIO DE CORRER, 2 FOLHAS, FIXAÇÃO COM PARAFUSO, VEDAÇÃO COM ESPUMA EXPANSIVA PU, COM VIDROS, PADRONIZADA. AF_07/2016</t>
  </si>
  <si>
    <t>JANELA DE ALUMÍNIO DE CORRER, 3 FOLHAS, FIXAÇÃO COM ARGAMASSA, COM VID ROS, PADRONIZADA. AF_07/2016</t>
  </si>
  <si>
    <t>JANELA DE ALUMÍNIO DE CORRER, 3 FOLHAS, FIXAÇÃO COM PARAFUSO SOBRE CON TRAMARCO (EXCLUSIVE CONTRAMARCO), COM VIDROS, PADRONIZADA. AF_07/2016</t>
  </si>
  <si>
    <t>JANELA DE ALUMÍNIO DE CORRER, 3 FOLHAS, FIXAÇÃO COM PARAFUSO, VEDAÇÃO COM ESPUMA EXPANSIVA PU, COM VIDROS, PADRONIZADA. AF_07/2016</t>
  </si>
  <si>
    <t>JANELA DE ALUMÍNIO DE CORRER, 4 FOLHAS, FIXAÇÃO COM ARGAMASSA, COM VID ROS, PADRONIZADA. AF_07/2016</t>
  </si>
  <si>
    <t>JANELA DE ALUMÍNIO DE CORRER, 4 FOLHAS, FIXAÇÃO COM PARAFUSO SOBRE CON TRAMARCO (EXCLUSIVE CONTRAMARCO), COM VIDROS, PADRONIZADA. AF_07/2016</t>
  </si>
  <si>
    <t>JANELA DE ALUMÍNIO DE CORRER, 4 FOLHAS, FIXAÇÃO COM PARAFUSO, VEDAÇÃO COM ESPUMA EXPANSIVA PU, COM VIDROS, PADRONIZADA. AF_07/2016</t>
  </si>
  <si>
    <t>JANELA DE ALUMÍNIO DE CORRER, 6 FOLHAS, FIXAÇÃO COM PARAFUSO SOBRE CON TRAMARCO (EXCLUSIVE CONTRAMARCO), COM VIDROS, PADRONIZADA. AF_07/2016</t>
  </si>
  <si>
    <t>JANELA DE ALUMÍNIO DE CORRER, 6 FOLHAS, FIXAÇÃO COM PARAFUSO, VEDAÇÃO COM ESPUMA EXPANSIVA PU, COM VIDROS, PADRONIZADA. AF_07/2016</t>
  </si>
  <si>
    <t>JANELA DE ALUMÍNIO MAXIM-AR, FIXAÇÃO COM ARGAMASSA, COM VIDROS, PADRON IZADA. AF_07/2016</t>
  </si>
  <si>
    <t>JANELA DE ALUMÍNIO MAXIM-AR, FIXAÇÃO COM PARAFUSO SOBRE CONTRAMARCO (E XCLUSIVE CONTRAMARCO), COM VIDROS, PADRONIZADA. AF_07/2016</t>
  </si>
  <si>
    <t>JANELA DE ALUMÍNIO MAXIM-AR, FIXAÇÃO COM PARAFUSO, VEDAÇÃO COM ESPUMA EXPANSIVA PU, COM VIDROS, PADRONIZADA. AF_07/2016</t>
  </si>
  <si>
    <t>JANELA DE CORRER EM ALUMINIO, SERIE 25, SEM BANDEIRA, COM 4 FOLHAS PARA VIDRO, (DUAS FIXAS E DUAS MOVEIS) 1,60 X 1,10 M (INCLUSO GUARNICAO E VIDRO LISO INCOLOR).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</si>
  <si>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</si>
  <si>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</si>
  <si>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</si>
  <si>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</si>
  <si>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</si>
  <si>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</si>
  <si>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</si>
  <si>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</si>
  <si>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</si>
  <si>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</si>
  <si>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2 FLS, 120  X 150 CM (A X L)</t>
  </si>
  <si>
    <t>JANELA DE CORRER, ACO, COM BATENTE/REQUADRO DE 6 A 14 CM, SEM DIVISAO, PINT ANTICORROSIVA, PINT ACABAMENTO, COM VIDRO, SEM BANDEIRA, COM GRADE, 4 FLS, 100 X 120 CM (A X L)</t>
  </si>
  <si>
    <t>JANELA DE MADEIRA ALMOFADADA 1A, 1,5X1,5M, DE ABRIR, INCLUSO GUARNICOE S E DOBRADICAS</t>
  </si>
  <si>
    <t>JANELA DE MADEIRA ALMOFADADA, DE ABRIR, INCLUSAS GUARNICOES SEM FERRAG ENS</t>
  </si>
  <si>
    <t>JANELA DE MADEIRA TIPO GUILHOTINA, DE ABRIR , INCLUSAS GUARNICOES SEM FERRAGENS</t>
  </si>
  <si>
    <t>JANELA DE MADEIRA TIPO VENEZIANA/GUILHOTINA, DE ABRIR, INCLUSAS GUARNI COES SEM FERRAGENS</t>
  </si>
  <si>
    <t>JANELA DE MADEIRA TIPO VENEZIANA/VIDRO, DE ABRIR, INCLUSAS GUARNICOES SEM FERRAGENS</t>
  </si>
  <si>
    <t>JANELA EM MADEIRA CEDRINHO/ ANGELIM COMERCIAL/ CURUPIXA/ CUMARU OU EQUIVALENTE DA REGIAO, CAIXA DO BATENTE/MARCO *10* CM, 2 FOLHAS DE ABRIR TIPO VENEZIANA E 2 FOLHAS GUILHOTINA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</si>
  <si>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</si>
  <si>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</si>
  <si>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</si>
  <si>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 (MENSALISTA)</t>
  </si>
  <si>
    <t>JATEAMENTO COM AREIA EM ESTRUTURA METALICA</t>
  </si>
  <si>
    <t>JOELHO 45 GRAUS, CPVC, SOLDÁVEL, DN 15MM, INSTALADO EM RAMAL OU SUB-RA MAL DE ÁGUA - FORNECIMENTO E INSTALAÇÃO. AF_12/2014</t>
  </si>
  <si>
    <t>JOELHO 45 GRAUS, CPVC, SOLDÁVEL, DN 22MM, INSTALADO EM RAMAL DE DISTRI BUIÇÃO DE ÁGUA   FORNECIMENTO E INSTALAÇÃO. AF_12/2014</t>
  </si>
  <si>
    <t>JOELHO 45 GRAUS, CPVC, SOLDÁVEL, DN 22MM, INSTALADO EM RAMAL OU SUB-RA MAL DE ÁGUA - FORNECIMENTO E INSTALAÇÃO. AF_12/2014</t>
  </si>
  <si>
    <t>JOELHO 45 GRAUS, CPVC, SOLDÁVEL, DN 28MM, INSTALADO EM RAMAL DE DISTRI BUIÇÃO DE ÁGUA   FORNECIMENTO E INSTALAÇÃO. AF_12/2014</t>
  </si>
  <si>
    <t>JOELHO 45 GRAUS, CPVC, SOLDÁVEL, DN 28MM, INSTALADO EM RAMAL OU SUB-RA MAL DE ÁGUA  FORNECIMENTO E INSTALAÇÃO. AF_12/2014</t>
  </si>
  <si>
    <t>JOELHO 45 GRAUS, CPVC, SOLDÁVEL, DN 35MM, INSTALADO EM RAMAL DE DISTRI BUIÇÃO DE ÁGUA   FORNECIMENTO E INSTALAÇÃO. AF_12/2014</t>
  </si>
  <si>
    <t>JOELHO 45 GRAUS, CPVC, SOLDÁVEL, DN 35MM, INSTALADO EM RAMAL OU SUB-RA MAL DE ÁGUA  FORNECIMENTO E INSTALAÇÃO. AF_12/2014</t>
  </si>
  <si>
    <t>JOELHO 45 GRAUS, CPVC, SOLDÁVEL, DN 42MM, INSTALADO EM PRUMADA DE ÁGUA FORNECIMENTO E INSTALAÇÃO. AF_12/2014</t>
  </si>
  <si>
    <t>JOELHO 45 GRAUS, CPVC, SOLDÁVEL, DN 54MM, INSTALADO EM PRUMADA DE ÁGUA FORNECIMENTO E INSTALAÇÃO. AF_12/2014</t>
  </si>
  <si>
    <t>JOELHO 45 GRAUS, CPVC, SOLDÁVEL, DN 73MM, INSTALADO EM PRUMADA DE ÁGUA FORNECIMENTO E INSTALAÇÃO. AF_12/2014</t>
  </si>
  <si>
    <t>JOELHO 45 GRAUS, CPVC, SOLDÁVEL, DN 89MM, INSTALADO EM PRUMADA DE ÁGUA FORNECIMENTO E INSTALAÇÃO. AF_12/2014</t>
  </si>
  <si>
    <t>JOELHO 45 GRAUS, EM FERRO GALVANIZADO, CONEXÃO ROSQUEADA, DN 15 (1/2") , INSTALADO EM RAMAIS E SUB-RAMAIS DE GÁS - FORNECIMENTO E INSTALAÇÃO. AF_12/2015</t>
  </si>
  <si>
    <t>JOELHO 45 GRAUS, EM FERRO GALVANIZADO, CONEXÃO ROSQUEADA, DN 20 (3/4") , INSTALADO EM RAMAIS E SUB-RAMAIS DE GÁS - FORNECIMENTO E INSTALAÇÃO. AF_12/2015</t>
  </si>
  <si>
    <t>JOELHO 45 GRAUS, EM FERRO GALVANIZADO, CONEXÃO ROSQUEADA, DN 25 (1"), INSTALADO EM RAMAIS E SUB-RAMAIS DE GÁS - FORNECIMENTO E INSTALAÇÃO. A F_12/2015</t>
  </si>
  <si>
    <t>JOELHO 45 GRAUS, EM FERRO GALVANIZADO, CONEXÃO ROSQUEADA, DN 25 (1"), INSTALADO EM REDE DE ALIMENTAÇÃO PARA SPRINKLER - FORNECIMENTO E INSTA LAÇÃO. AF_12/2015</t>
  </si>
  <si>
    <t>JOELHO 45 GRAUS, EM FERRO GALVANIZADO, CONEXÃO ROSQUEADA, DN 32 (1 1/4 "), INSTALADO EM REDE DE ALIMENTAÇÃO PARA SPRINKLER - FORNECIMENTO E I NSTALAÇÃO. AF_12/2015</t>
  </si>
  <si>
    <t>JOELHO 45 GRAUS, EM FERRO GALVANIZADO, CONEXÃO ROSQUEADA, DN 40 (1 1/2 "), INSTALADO EM REDE DE ALIMENTAÇÃO PARA SPRINKLER - FORNECIMENTO E I NSTALAÇÃO. AF_12/2015</t>
  </si>
  <si>
    <t>JOELHO 45 GRAUS, EM FERRO GALVANIZADO, CONEXÃO ROSQUEADA, DN 50 (2"), INSTALADO EM REDE DE ALIMENTAÇÃO PARA SPRINKLER - FORNECIMENTO E INSTA LAÇÃO. AF_12/2015</t>
  </si>
  <si>
    <t>JOELHO 45 GRAUS, EM FERRO GALVANIZADO, CONEXÃO ROSQUEADA, DN 65 (2 1/2 "), INSTALADO EM REDE DE ALIMENTAÇÃO PARA SPRINKLER - FORNECIMENTO E I NSTALAÇÃO. AF_12/2015</t>
  </si>
  <si>
    <t>JOELHO 45 GRAUS, EM FERRO GALVANIZADO, CONEXÃO ROSQUEADA, DN 80 (3"), INSTALADO EM REDE DE ALIMENTAÇÃO PARA HIDRANTE - FORNECIMENTO E INSTAL AÇÃO. AF_12/2015</t>
  </si>
  <si>
    <t>JOELHO 45 GRAUS, EM FERRO GALVANIZADO, CONEXÃO ROSQUEADA, DN 80 (3"), INSTALADO EM REDE DE ALIMENTAÇÃO PARA SPRINKLER - FORNECIMENTO E INSTA LAÇÃO. AF_12/2015</t>
  </si>
  <si>
    <t>JOELHO 45 GRAUS, EM FERRO GALVANIZADO, DN 25 (1"), CONEXÃO ROSQUEADA, INSTALADO EM REDE DE ALIMENTAÇÃO PARA HIDRANTE - FORNECIMENTO E INSTAL AÇÃO. AF_12/2015</t>
  </si>
  <si>
    <t>JOELHO 45 GRAUS, EM FERRO GALVANIZADO, DN 32 (1 1/4"), CONEXÃO ROSQUEA DA, INSTALADO EM REDE DE ALIMENTAÇÃO PARA HIDRANTE - FORNECIMENTO E IN STALAÇÃO. AF_12/2015</t>
  </si>
  <si>
    <t>JOELHO 45 GRAUS, EM FERRO GALVANIZADO, DN 40 (1 1/2"), CONEXÃO ROSQUEA DA, INSTALADO EM REDE DE ALIMENTAÇÃO PARA HIDRANTE - FORNECIMENTO E IN STALAÇÃO. AF_12/2015</t>
  </si>
  <si>
    <t>JOELHO 45 GRAUS, EM FERRO GALVANIZADO, DN 50 (2"), CONEXÃO ROSQUEADA, INSTALADO EM REDE DE ALIMENTAÇÃO PARA HIDRANTE - FORNECIMENTO E INSTAL AÇÃO. AF_12/2015</t>
  </si>
  <si>
    <t>JOELHO 45 GRAUS, EM FERRO GALVANIZADO, DN 65 (2 1/2"), CONEXÃO ROSQUEA DA, INSTALADO EM PRUMADAS - FORNECIMENTO E INSTALAÇÃO. AF_12/2015</t>
  </si>
  <si>
    <t>JOELHO 45 GRAUS, EM FERRO GALVANIZADO, DN 65 (2 1/2"), CONEXÃO ROSQUEA DA, INSTALADO EM REDE DE ALIMENTAÇÃO PARA HIDRANTE - FORNECIMENTO E IN STALAÇÃO. AF_12/2015</t>
  </si>
  <si>
    <t>JOELHO 45 GRAUS, PVC, SERIE NORMAL, ESGOTO PREDIAL, DN 100 MM, JUNTA E LÁSTICA, FORNECIDO E INSTALADO EM PRUMADA DE ESGOTO SANITÁRIO OU VENTI LAÇÃO. AF_12/2014</t>
  </si>
  <si>
    <t>JOELHO 45 GRAUS, PVC, SERIE NORMAL, ESGOTO PREDIAL, DN 100 MM, JUNTA E LÁSTICA, FORNECIDO E INSTALADO EM RAMAL DE DESCARGA OU RAMAL DE ESGOTO SANITÁRIO. AF_12/2014</t>
  </si>
  <si>
    <t>JOELHO 45 GRAUS, PVC, SERIE NORMAL, ESGOTO PREDIAL, DN 100 MM, JUNTA E LÁSTICA, FORNECIDO E INSTALADO EM SUBCOLETOR AÉREO DE ESGOTO SANITÁRIO . AF_12/2014</t>
  </si>
  <si>
    <t>JOELHO 45 GRAUS, PVC, SERIE NORMAL, ESGOTO PREDIAL, DN 150 MM, JUNTA E LÁSTICA, FORNECIDO E INSTALADO EM SUBCOLETOR AÉREO DE ESGOTO SANITÁRIO . AF_12/2014</t>
  </si>
  <si>
    <t>JOELHO 45 GRAUS, PVC, SERIE NORMAL, ESGOTO PREDIAL, DN 40 MM, JUNTA SO LDÁVEL, FORNECIDO E INSTALADO EM RAMAL DE DESCARGA OU RAMAL DE ESGOTO SANITÁRIO. AF_12/2014</t>
  </si>
  <si>
    <t>JOELHO 45 GRAUS, PVC, SERIE NORMAL, ESGOTO PREDIAL, DN 50 MM, JUNTA EL ÁSTICA, FORNECIDO E INSTALADO EM PRUMADA DE ESGOTO SANITÁRIO OU VENTIL AÇÃO. AF_12/2014</t>
  </si>
  <si>
    <t>JOELHO 45 GRAUS, PVC, SERIE NORMAL, ESGOTO PREDIAL, DN 50 MM, JUNTA EL ÁSTICA, FORNECIDO E INSTALADO EM RAMAL DE DESCARGA OU RAMAL DE ESGOTO SANITÁRIO. AF_12/2014</t>
  </si>
  <si>
    <t>JOELHO 45 GRAUS, PVC, SERIE NORMAL, ESGOTO PREDIAL, DN 75 MM, JUNTA EL ÁSTICA, FORNECIDO E INSTALADO EM PRUMADA DE ESGOTO SANITÁRIO OU VENTIL AÇÃO. AF_12/2014</t>
  </si>
  <si>
    <t>JOELHO 45 GRAUS, PVC, SERIE NORMAL, ESGOTO PREDIAL, DN 75 MM, JUNTA EL ÁSTICA, FORNECIDO E INSTALADO EM RAMAL DE DESCARGA OU RAMAL DE ESGOTO SANITÁRIO. AF_12/2014</t>
  </si>
  <si>
    <t>JOELHO 45 GRAUS, PVC, SERIE R, ÁGUA PLUVIAL, DN 100 MM, JUNTA ELÁSTICA , FORNECIDO E INSTALADO EM CONDUTORES VERTICAIS DE ÁGUAS PLUVIAIS. AF_ 12/2014</t>
  </si>
  <si>
    <t>JOELHO 45 GRAUS, PVC, SERIE R, ÁGUA PLUVIAL, DN 100 MM, JUNTA ELÁSTICA , FORNECIDO E INSTALADO EM RAMAL DE ENCAMINHAMENTO. AF_12/2014</t>
  </si>
  <si>
    <t>JOELHO 45 GRAUS, PVC, SERIE R, ÁGUA PLUVIAL, DN 150 MM, JUNTA ELÁSTICA , FORNECIDO E INSTALADO EM CONDUTORES VERTICAIS DE ÁGUAS PLUVIAIS. AF_ 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</si>
  <si>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</si>
  <si>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</si>
  <si>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CONDUTORES VERTICAIS DE ÁGUAS PLUVIAIS. AF_1 2/2014</t>
  </si>
  <si>
    <t>JOELHO 45 GRAUS, PVC, SERIE R, ÁGUA PLUVIAL, DN 75 MM, JUNTA ELÁSTICA, FORNECIDO E INSTALADO EM RAMAL DE ENCAMINHAMENTO. AF_12/2014</t>
  </si>
  <si>
    <t>JOELHO 45 GRAUS, PVC, SOLDÁVEL, DN 20MM, INSTALADO EM RAMAL DE DISTRIB UIÇÃO DE ÁGUA - FORNECIMENTO E INSTALAÇÃO. AF_12/2014</t>
  </si>
  <si>
    <t>JOELHO 45 GRAUS, PVC, SOLDÁVEL, DN 20MM, INSTALADO EM RAMAL OU SUB-RAM AL DE ÁGUA - FORNECIMENTO E INSTALAÇÃO. AF_12/2014</t>
  </si>
  <si>
    <t>JOELHO 45 GRAUS, PVC, SOLDÁVEL, DN 25MM, INSTALADO EM DRENO DE AR-COND ICIONADO - FORNECIMENTO E INSTALAÇÃO. AF_12/2014</t>
  </si>
  <si>
    <t>JOELHO 45 GRAUS, PVC, SOLDÁVEL, DN 25MM, INSTALADO EM PRUMADA DE ÁGUA - FORNECIMENTO E INSTALAÇÃO. AF_12/2014</t>
  </si>
  <si>
    <t>JOELHO 45 GRAUS, PVC, SOLDÁVEL, DN 25MM, INSTALADO EM RAMAL DE DISTRIB UIÇÃO DE ÁGUA - FORNECIMENTO E INSTALAÇÃO. AF_12/2014</t>
  </si>
  <si>
    <t>JOELHO 45 GRAUS, PVC, SOLDÁVEL, DN 25MM, INSTALADO EM RAMAL OU SUB-RAM AL DE ÁGUA - FORNECIMENTO E INSTALAÇÃO. AF_12/2014</t>
  </si>
  <si>
    <t>JOELHO 45 GRAUS, PVC, SOLDÁVEL, DN 32MM, INSTALADO EM PRUMADA DE ÁGUA - FORNECIMENTO E INSTALAÇÃO. AF_12/2014</t>
  </si>
  <si>
    <t>JOELHO 45 GRAUS, PVC, SOLDÁVEL, DN 32MM, INSTALADO EM RAMAL DE DISTRIB UIÇÃO DE ÁGUA - FORNECIMENTO E INSTALAÇÃO. AF_12/2014</t>
  </si>
  <si>
    <t>JOELHO 45 GRAUS, PVC, SOLDÁVEL, DN 32MM, INSTALADO EM RAMAL OU SUB-RAM AL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</si>
  <si>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</si>
  <si>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</si>
  <si>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</si>
  <si>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</si>
  <si>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</si>
  <si>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COM BUCHA DE LATÃO, PVC, SOLDÁVEL, DN  25 MM, X 3/4 I NSTALADO EM RESERVAÇÃO DE ÁGUA DE EDIFICAÇÃO QUE POSSUA RESERVATÓRIO D E FIBRA/FIBROCIMENTO   FORNECIMENTO E INSTALAÇÃO. AF_06/2016</t>
  </si>
  <si>
    <t>JOELHO 90 GRAUS COM BUCHA DE LATÃO, PVC, SOLDÁVEL, DN 25MM, X 1/2 INS TALADO EM RAMAL OU SUB-RAMAL DE ÁGUA - FORNECIMENTO E INSTALAÇÃO. AF_1 2/2014</t>
  </si>
  <si>
    <t>JOELHO 90 GRAUS COM BUCHA DE LATÃO, PVC, SOLDÁVEL, DN 25MM, X 3/4 INS TALADO EM RAMAL OU SUB-RAMAL DE ÁGUA - FORNECIMENTO E INSTALAÇÃO. AF_1 2/2014</t>
  </si>
  <si>
    <t>JOELHO 90 GRAUS, CPVC, SOLDÁVEL, DN 15MM, INSTALADO EM RAMAL OU SUB-RA MAL DE ÁGUA - FORNECIMENTO E INSTALAÇÃO. AF_12/2014</t>
  </si>
  <si>
    <t>JOELHO 90 GRAUS, CPVC, SOLDÁVEL, DN 22 MM, INSTALADO EM RESERVAÇÃO DE ÁGUA DE EDIFICAÇÃO QUE POSSUA RESERVATÓRIO DE FIBRA/FIBROCIMENTO  FOR NECIMENTO E INSTALAÇÃO. AF_06/2016</t>
  </si>
  <si>
    <t>JOELHO 90 GRAUS, CPVC, SOLDÁVEL, DN 22MM, INSTALADO EM RAMAL DE DISTRI BUIÇÃO DE ÁGUA   FORNECIMENTO E INSTALAÇÃO. AF_12/2014</t>
  </si>
  <si>
    <t>JOELHO 90 GRAUS, CPVC, SOLDÁVEL, DN 22MM, INSTALADO EM RAMAL OU SUB-RA MAL DE ÁGUA - FORNECIMENTO E INSTALAÇÃO. AF_12/2014</t>
  </si>
  <si>
    <t>JOELHO 90 GRAUS, CPVC, SOLDÁVEL, DN 28 MM, INSTALADO EM RESERVAÇÃO DE ÁGUA DE EDIFICAÇÃO QUE POSSUA RESERVATÓRIO DE FIBRA/FIBROCIMENTO  FOR NECIMENTO E INSTALAÇÃO. AF_06/2016</t>
  </si>
  <si>
    <t>JOELHO 90 GRAUS, CPVC, SOLDÁVEL, DN 28MM, INSTALADO EM RAMAL DE DISTRI BUIÇÃO DE ÁGUA   FORNECIMENTO E INSTALAÇÃO. AF_12/2014</t>
  </si>
  <si>
    <t>JOELHO 90 GRAUS, CPVC, SOLDÁVEL, DN 28MM, INSTALADO EM RAMAL OU SUB-RA MAL DE ÁGUA - FORNECIMENTO E INSTALAÇÃO. AF_12/2014</t>
  </si>
  <si>
    <t>JOELHO 90 GRAUS, CPVC, SOLDÁVEL, DN 35 MM, INSTALADO EM RESERVAÇÃO DE ÁGUA DE EDIFICAÇÃO QUE POSSUA RESERVATÓRIO DE FIBRA/FIBROCIMENTO  FOR NECIMENTO E INSTALAÇÃO. AF_06/2016</t>
  </si>
  <si>
    <t>JOELHO 90 GRAUS, CPVC, SOLDÁVEL, DN 35MM, INSTALADO EM PRUMADA DE ÁGUA FORNECIMENTO E INSTALAÇÃO. AF_12/2014</t>
  </si>
  <si>
    <t>JOELHO 90 GRAUS, CPVC, SOLDÁVEL, DN 35MM, INSTALADO EM RAMAL DE DISTRI BUIÇÃO DE ÁGUA   FORNECIMENTO E INSTALAÇÃO. AF_12/2014</t>
  </si>
  <si>
    <t>JOELHO 90 GRAUS, CPVC, SOLDÁVEL, DN 35MM, INSTALADO EM RAMAL OU SUB-RA MAL DE ÁGUA  FORNECIMENTO E INSTALAÇÃO. AF_12/2014</t>
  </si>
  <si>
    <t>JOELHO 90 GRAUS, CPVC, SOLDÁVEL, DN 42 MM, INSTALADO EM RESERVAÇÃO DE ÁGUA DE EDIFICAÇÃO QUE POSSUA RESERVATÓRIO DE FIBRA/FIBROCIMENTO  FOR NECIMENTO E INSTALAÇÃO. AF_06/2016</t>
  </si>
  <si>
    <t>JOELHO 90 GRAUS, CPVC, SOLDÁVEL, DN 42MM, INSTALADO EM PRUMADA DE ÁGUA FORNECIMENTO E INSTALAÇÃO. AF_12/2014</t>
  </si>
  <si>
    <t>JOELHO 90 GRAUS, CPVC, SOLDÁVEL, DN 54 MM, INSTALADO EM RESERVAÇÃO DE ÁGUA DE EDIFICAÇÃO QUE POSSUA RESERVATÓRIO DE FIBRA/FIBROCIMENTO  FOR NECIMENTO E INSTALAÇÃO. AF_06/2016</t>
  </si>
  <si>
    <t>JOELHO 90 GRAUS, CPVC, SOLDÁVEL, DN 54MM, INSTALADO EM PRUMADA DE ÁGUA FORNECIMENTO E INSTALAÇÃO. AF_12/2014</t>
  </si>
  <si>
    <t>JOELHO 90 GRAUS, CPVC, SOLDÁVEL, DN 73 MM, INSTALADO EM RESERVAÇÃO DE ÁGUA DE EDIFICAÇÃO QUE POSSUA RESERVATÓRIO DE FIBRA/FIBROCIMENTO  FOR NECIMENTO E INSTALAÇÃO. AF_06/2016</t>
  </si>
  <si>
    <t>JOELHO 90 GRAUS, CPVC, SOLDÁVEL, DN 73MM, INSTALADO EM PRUMADA DE ÁGUA FORNECIMENTO E INSTALAÇÃO. AF_12/2014</t>
  </si>
  <si>
    <t>JOELHO 90 GRAUS, CPVC, SOLDÁVEL, DN 89 MM, INSTALADO EM RESERVAÇÃO DE ÁGUA DE EDIFICAÇÃO QUE POSSUA RESERVATÓRIO DE FIBRA/FIBROCIMENTO  FOR NECIMENTO E INSTALAÇÃO. AF_06/2016</t>
  </si>
  <si>
    <t>JOELHO 90 GRAUS, CPVC, SOLDÁVEL, DN 89MM, INSTALADO EM PRUMADA DE ÁGUA FORNECIMENTO E INSTALAÇÃO. AF_12/2014</t>
  </si>
  <si>
    <t>JOELHO 90 GRAUS, EM FERRO GALVANIZADO, CONEXÃO ROSQUEADA, DN 15 (1/2") , INSTALADO EM RAMAIS E SUB-RAMAIS DE GÁS - FORNECIMENTO E INSTALAÇÃO. AF_12/2015</t>
  </si>
  <si>
    <t>JOELHO 90 GRAUS, EM FERRO GALVANIZADO, CONEXÃO ROSQUEADA, DN 20 (3/4") , INSTALADO EM RAMAIS E SUB-RAMAIS DE GÁS - FORNECIMENTO E INSTALAÇÃO. AF_12/2015</t>
  </si>
  <si>
    <t>JOELHO 90 GRAUS, EM FERRO GALVANIZADO, CONEXÃO ROSQUEADA, DN 25 (1"), INSTALADO EM RAMAIS E SUB-RAMAIS DE GÁS - FORNECIMENTO E INSTALAÇÃO. A F_12/2015</t>
  </si>
  <si>
    <t>JOELHO 90 GRAUS, EM FERRO GALVANIZADO, CONEXÃO ROSQUEADA, DN 25 (1"), INSTALADO EM REDE DE ALIMENTAÇÃO PARA SPRINKLER - FORNECIMENTO E INSTA LAÇÃO. AF_12/2015</t>
  </si>
  <si>
    <t>JOELHO 90 GRAUS, EM FERRO GALVANIZADO, CONEXÃO ROSQUEADA, DN 32 (1 1/4 "), INSTALADO EM REDE DE ALIMENTAÇÃO PARA SPRINKLER - FORNECIMENTO E I NSTALAÇÃO. AF_12/2015</t>
  </si>
  <si>
    <t>JOELHO 90 GRAUS, EM FERRO GALVANIZADO, CONEXÃO ROSQUEADA, DN 40 (1 1/2 "), INSTALADO EM REDE DE ALIMENTAÇÃO PARA SPRINKLER - FORNECIMENTO E I NSTALAÇÃO. AF_12/2015</t>
  </si>
  <si>
    <t>JOELHO 90 GRAUS, EM FERRO GALVANIZADO, CONEXÃO ROSQUEADA, DN 50 (2"), INSTALADO EM REDE DE ALIMENTAÇÃO PARA SPRINKLER - FORNECIMENTO E INSTA LAÇÃO. AF_12/2015</t>
  </si>
  <si>
    <t>JOELHO 90 GRAUS, EM FERRO GALVANIZADO, CONEXÃO ROSQUEADA, DN 65 (2 1/2 "), INSTALADO EM REDE DE ALIMENTAÇÃO PARA SPRINKLER - FORNECIMENTO E I NSTALAÇÃO. AF_12/2015</t>
  </si>
  <si>
    <t>JOELHO 90 GRAUS, EM FERRO GALVANIZADO, CONEXÃO ROSQUEADA, DN 80 (3"), INSTALADO EM REDE DE ALIMENTAÇÃO PARA HIDRANTE - FORNECIMENTO E INSTAL AÇÃO. AF_12/2015</t>
  </si>
  <si>
    <t>JOELHO 90 GRAUS, EM FERRO GALVANIZADO, CONEXÃO ROSQUEADA, DN 80 (3"), INSTALADO EM REDE DE ALIMENTAÇÃO PARA SPRINKLER - FORNECIMENTO E INSTA LAÇÃO. AF_12/2015</t>
  </si>
  <si>
    <t>JOELHO 90 GRAUS, EM FERRO GALVANIZADO, DN 25 (1"), CONEXÃO ROSQUEADA, INSTALADO EM REDE DE ALIMENTAÇÃO PARA HIDRANTE - FORNECIMENTO E INSTAL AÇÃO. AF_12/2015</t>
  </si>
  <si>
    <t>JOELHO 90 GRAUS, EM FERRO GALVANIZADO, DN 32 (1 1/4"), CONEXÃO ROSQUEA DA, INSTALADO EM REDE DE ALIMENTAÇÃO PARA HIDRANTE - FORNECIMENTO E IN STALAÇÃO. AF_12/2015</t>
  </si>
  <si>
    <t>JOELHO 90 GRAUS, EM FERRO GALVANIZADO, DN 40 (1 1/2"), CONEXÃO ROSQUEA DA, INSTALADO EM REDE DE ALIMENTAÇÃO PARA HIDRANTE - FORNECIMENTO E IN STALAÇÃO. AF_12/2015</t>
  </si>
  <si>
    <t>JOELHO 90 GRAUS, EM FERRO GALVANIZADO, DN 50 (2"), CONEXÃO ROSQUEADA, INSTALADO EM REDE DE ALIMENTAÇÃO PARA HIDRANTE - FORNECIMENTO E INSTAL AÇÃO. AF_12/2015</t>
  </si>
  <si>
    <t>JOELHO 90 GRAUS, EM FERRO GALVANIZADO, DN 65 (2 1/2"), CONEXÃO ROSQUEA DA, INSTALADO EM PRUMADAS - FORNECIMENTO E INSTALAÇÃO. AF_12/2015</t>
  </si>
  <si>
    <t>JOELHO 90 GRAUS, EM FERRO GALVANIZADO, DN 65 (2 1/2"), CONEXÃO ROSQUEA DA, INSTALADO EM REDE DE ALIMENTAÇÃO PARA HIDRANTE - FORNECIMENTO E IN STALAÇÃO. AF_12/2015</t>
  </si>
  <si>
    <t>JOELHO 90 GRAUS, PVC, SERIE NORMAL, ESGOTO PREDIAL, DN 100 MM, JUNTA E LÁSTICA, FORNECIDO E INSTALADO EM PRUMADA DE ESGOTO SANITÁRIO OU VENTI LAÇÃO. AF_12/2014</t>
  </si>
  <si>
    <t>JOELHO 90 GRAUS, PVC, SERIE NORMAL, ESGOTO PREDIAL, DN 100 MM, JUNTA E LÁSTICA, FORNECIDO E INSTALADO EM RAMAL DE DESCARGA OU RAMAL DE ESGOTO SANITÁRIO. AF_12/2014</t>
  </si>
  <si>
    <t>JOELHO 90 GRAUS, PVC, SERIE NORMAL, ESGOTO PREDIAL, DN 100 MM, JUNTA E LÁSTICA, FORNECIDO E INSTALADO EM SUBCOLETOR AÉREO DE ESGOTO SANITÁRIO . AF_12/2014</t>
  </si>
  <si>
    <t>JOELHO 90 GRAUS, PVC, SERIE NORMAL, ESGOTO PREDIAL, DN 150 MM, JUNTA E LÁSTICA, FORNECIDO E INSTALADO EM SUBCOLETOR AÉREO DE ESGOTO SANITÁRIO . AF_12/2014</t>
  </si>
  <si>
    <t>JOELHO 90 GRAUS, PVC, SERIE NORMAL, ESGOTO PREDIAL, DN 40 MM, JUNTA SO LDÁVEL, FORNECIDO E INSTALADO EM RAMAL DE DESCARGA OU RAMAL DE ESGOTO SANITÁRIO. AF_12/2014</t>
  </si>
  <si>
    <t>JOELHO 90 GRAUS, PVC, SERIE NORMAL, ESGOTO PREDIAL, DN 50 MM, JUNTA EL ÁSTICA, FORNECIDO E INSTALADO EM PRUMADA DE ESGOTO SANITÁRIO OU VENTIL AÇÃO. AF_12/2014</t>
  </si>
  <si>
    <t>JOELHO 90 GRAUS, PVC, SERIE NORMAL, ESGOTO PREDIAL, DN 50 MM, JUNTA EL ÁSTICA, FORNECIDO E INSTALADO EM RAMAL DE DESCARGA OU RAMAL DE ESGOTO SANITÁRIO. AF_12/2014</t>
  </si>
  <si>
    <t>JOELHO 90 GRAUS, PVC, SERIE NORMAL, ESGOTO PREDIAL, DN 75 MM, JUNTA EL ÁSTICA, FORNECIDO E INSTALADO EM PRUMADA DE ESGOTO SANITÁRIO OU VENTIL AÇÃO. AF_12/2014</t>
  </si>
  <si>
    <t>JOELHO 90 GRAUS, PVC, SERIE NORMAL, ESGOTO PREDIAL, DN 75 MM, JUNTA EL ÁSTICA, FORNECIDO E INSTALADO EM RAMAL DE DESCARGA OU RAMAL DE ESGOTO SANITÁRIO. AF_12/2014</t>
  </si>
  <si>
    <t>JOELHO 90 GRAUS, PVC, SERIE R, ÁGUA PLUVIAL, DN 100 MM, JUNTA ELÁSTICA , FORNECIDO E INSTALADO EM CONDUTORES VERTICAIS DE ÁGUAS PLUVIAIS. AF_ 12/2014</t>
  </si>
  <si>
    <t>JOELHO 90 GRAUS, PVC, SERIE R, ÁGUA PLUVIAL, DN 100 MM, JUNTA ELÁSTICA , FORNECIDO E INSTALADO EM RAMAL DE ENCAMINHAMENTO. AF_12/2014</t>
  </si>
  <si>
    <t>JOELHO 90 GRAUS, PVC, SERIE R, ÁGUA PLUVIAL, DN 150 MM, JUNTA ELÁSTICA , FORNECIDO E INSTALADO EM CONDUTORES VERTICAIS DE ÁGUAS PLUVIAIS. AF_ 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</si>
  <si>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</si>
  <si>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</si>
  <si>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CONDUTORES VERTICAIS DE ÁGUAS PLUVIAIS. AF_1 2/2014</t>
  </si>
  <si>
    <t>JOELHO 90 GRAUS, PVC, SERIE R, ÁGUA PLUVIAL, DN 75 MM, JUNTA ELÁSTICA, FORNECIDO E INSTALADO EM RAMAL DE ENCAMINHAMENTO. AF_12/2014</t>
  </si>
  <si>
    <t>JOELHO 90 GRAUS, PVC, SOLDÁVEL, DN 110 MM INSTALADO EM RESERVAÇÃO DE Á GUA DE EDIFICAÇÃO QUE POSSUA RESERVATÓRIO DE FIBRA/FIBROCIMENTO   FORN ECIMENTO E INSTALAÇÃO. AF_06/2016</t>
  </si>
  <si>
    <t>JOELHO 90 GRAUS, PVC, SOLDÁVEL, DN 20MM, INSTALADO EM RAMAL DE DISTRIB UIÇÃO DE ÁGUA - FORNECIMENTO E INSTALAÇÃO. AF_12/2014</t>
  </si>
  <si>
    <t>JOELHO 90 GRAUS, PVC, SOLDÁVEL, DN 20MM, INSTALADO EM RAMAL OU SUB-RAM AL DE ÁGUA - FORNECIMENTO E INSTALAÇÃO. AF_12/2014</t>
  </si>
  <si>
    <t>JOELHO 90 GRAUS, PVC, SOLDÁVEL, DN 25MM, INSTALADO EM DRENO DE AR-COND ICIONADO - FORNECIMENTO E INSTALAÇÃO. AF_12/2014</t>
  </si>
  <si>
    <t>JOELHO 90 GRAUS, PVC, SOLDÁVEL, DN 25MM, INSTALADO EM PRUMADA DE ÁGUA - FORNECIMENTO E INSTALAÇÃO. AF_12/2014</t>
  </si>
  <si>
    <t>JOELHO 90 GRAUS, PVC, SOLDÁVEL, DN 25MM, INSTALADO EM RAMAL DE DISTRIB UIÇÃO DE ÁGUA - FORNECIMENTO E INSTALAÇÃO. AF_12/2014</t>
  </si>
  <si>
    <t>JOELHO 90 GRAUS, PVC, SOLDÁVEL, DN 25MM, INSTALADO EM RAMAL OU SUB-RAM AL DE ÁGUA - FORNECIMENTO E INSTALAÇÃO. AF_12/2014</t>
  </si>
  <si>
    <t>JOELHO 90 GRAUS, PVC, SOLDÁVEL, DN 25MM, X 3/4 INSTALADO EM RAMAL DE DISTRIBUIÇÃO DE ÁGUA - FORNECIMENTO E INSTALAÇÃO. AF_12/2014</t>
  </si>
  <si>
    <t>JOELHO 90 GRAUS, PVC, SOLDÁVEL, DN 32 MM INSTALADO EM RESERVAÇÃO DE ÁG UA DE EDIFICAÇÃO QUE POSSUA RESERVATÓRIO DE FIBRA/FIBROCIMENTO   FORNE CIMENTO E INSTALAÇÃO. AF_06/2016</t>
  </si>
  <si>
    <t>JOELHO 90 GRAUS, PVC, SOLDÁVEL, DN 32MM, INSTALADO EM PRUMADA DE ÁGUA - FORNECIMENTO E INSTALAÇÃO. AF_12/2014</t>
  </si>
  <si>
    <t>JOELHO 90 GRAUS, PVC, SOLDÁVEL, DN 32MM, INSTALADO EM RAMAL DE DISTRIB UIÇÃO DE ÁGUA - FORNECIMENTO E INSTALAÇÃO. AF_12/2014</t>
  </si>
  <si>
    <t>JOELHO 90 GRAUS, PVC, SOLDÁVEL, DN 32MM, INSTALADO EM RAMAL OU SUB-RAM AL DE ÁGUA - FORNECIMENTO E INSTALAÇÃO. AF_12/2014</t>
  </si>
  <si>
    <t>JOELHO 90 GRAUS, PVC, SOLDÁVEL, DN 40 MM INSTALADO EM RESERVAÇÃO DE ÁG UA DE EDIFICAÇÃO QUE POSSUA RESERVATÓRIO DE FIBRA/FIBROCIMENTO   FORNE CIMENTO E INSTALAÇÃO. AF_06/2016</t>
  </si>
  <si>
    <t>JOELHO 90 GRAUS, PVC, SOLDÁVEL, DN 40MM, INSTALADO EM PRUMADA DE ÁGUA - FORNECIMENTO E INSTALAÇÃO. AF_12/2014</t>
  </si>
  <si>
    <t>JOELHO 90 GRAUS, PVC, SOLDÁVEL, DN 50 MM INSTALADO EM RESERVAÇÃO DE ÁG UA DE EDIFICAÇÃO QUE POSSUA RESERVATÓRIO DE FIBRA/FIBROCIMENTO   FORNE CIMENTO E INSTALAÇÃO. AF_06/2016</t>
  </si>
  <si>
    <t>JOELHO 90 GRAUS, PVC, SOLDÁVEL, DN 50MM, INSTALADO EM PRUMADA DE ÁGUA - FORNECIMENTO E INSTALAÇÃO. AF_12/2014</t>
  </si>
  <si>
    <t>JOELHO 90 GRAUS, PVC, SOLDÁVEL, DN 60 MM INSTALADO EM RESERVAÇÃO DE ÁG UA DE EDIFICAÇÃO QUE POSSUA RESERVATÓRIO DE FIBRA/FIBROCIMENTO   FORNE CIMENTO E INSTALAÇÃO. AF_06/2016</t>
  </si>
  <si>
    <t>JOELHO 90 GRAUS, PVC, SOLDÁVEL, DN 60MM, INSTALADO EM PRUMADA DE ÁGUA - FORNECIMENTO E INSTALAÇÃO. AF_12/2014</t>
  </si>
  <si>
    <t>JOELHO 90 GRAUS, PVC, SOLDÁVEL, DN 75 MM INSTALADO EM RESERVAÇÃO DE ÁG UA DE EDIFICAÇÃO QUE POSSUA RESERVATÓRIO DE FIBRA/FIBROCIMENTO   FORNE CIMENTO E INSTALAÇÃO. AF_06/2016</t>
  </si>
  <si>
    <t>JOELHO 90 GRAUS, PVC, SOLDÁVEL, DN 75MM, INSTALADO EM PRUMADA DE ÁGUA - FORNECIMENTO E INSTALAÇÃO. AF_12/2014</t>
  </si>
  <si>
    <t>JOELHO 90 GRAUS, PVC, SOLDÁVEL, DN 85 MM INSTALADO EM RESERVAÇÃO DE ÁG UA DE EDIFICAÇÃO QUE POSSUA RESERVATÓRIO DE FIBRA/FIBROCIMENTO   FORNE CIMENTO E INSTALAÇÃO. AF_06/2016</t>
  </si>
  <si>
    <t>JOELHO 90 GRAUS, PVC, SOLDÁVEL, DN 85MM, INSTALADO EM PRUMADA DE ÁGUA - FORNECIMENTO E INSTALAÇÃO. AF_12/2014</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</si>
  <si>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</si>
  <si>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</si>
  <si>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</si>
  <si>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</si>
  <si>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</si>
  <si>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</si>
  <si>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</si>
  <si>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</si>
  <si>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</si>
  <si>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</si>
  <si>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</si>
  <si>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</si>
  <si>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</si>
  <si>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</si>
  <si>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</si>
  <si>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</si>
  <si>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</si>
  <si>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</si>
  <si>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</si>
  <si>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</si>
  <si>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</si>
  <si>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</si>
  <si>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TRANSIÇÃO, 90 GRAUS, CPVC, SOLDÁVEL, DN 22MM X 3/4", INSTALA DO EM RAMAL OU SUB-RAMAL DE ÁGUA - FORNECIMENTO E INSTALAÇÃO. AF_12/20 14</t>
  </si>
  <si>
    <t>JOELHO DE TRANSICAO, CPVC, SOLDAVEL, 90 GRAUS, 22 MM X 3/4", PARA AGUA QUENTE</t>
  </si>
  <si>
    <t>JOELHO PARA PE DE COLUNA, 45 GRAUS, SERIE R, DN 100 MM, PARA ESGOTO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</si>
  <si>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</si>
  <si>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</si>
  <si>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</si>
  <si>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</si>
  <si>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</si>
  <si>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</si>
  <si>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</si>
  <si>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</si>
  <si>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</si>
  <si>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</si>
  <si>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</si>
  <si>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</si>
  <si>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</si>
  <si>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</si>
  <si>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</si>
  <si>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PVC, COM BOLSA E ANEL, 90 GRAUS, DN 40 X *38* MM, SERIE NORMAL, PARA ESGOTO PREDIAL</t>
  </si>
  <si>
    <t>JOELHO PVC, ROSCAVEL, 45 GRAUS, 1", PARA AGUA FRIA PREDIAL</t>
  </si>
  <si>
    <t>JOELHO PVC, ROSCAVEL, 45 GRAUS, 1/2", PARA AGUA FRIA PREDIAL</t>
  </si>
  <si>
    <t>JOELHO PVC, ROSCAVEL, 45 GRAUS, 3/4", PARA AGUA FRIA PREDIAL</t>
  </si>
  <si>
    <t>JOELHO PVC, ROSCAVEL, 90 GRAUS, 1", PARA AGUA FRIA PREDIAL</t>
  </si>
  <si>
    <t>JOELHO PVC, ROSCAVEL, 90 GRAUS, 1/2", PARA AGUA FRIA PREDIAL</t>
  </si>
  <si>
    <t>JOELHO PVC, ROSCAVEL, 90 GRAUS, 3/4", PARA AGUA FRIA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</si>
  <si>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</si>
  <si>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</si>
  <si>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</si>
  <si>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</si>
  <si>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</si>
  <si>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</si>
  <si>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</si>
  <si>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</si>
  <si>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</si>
  <si>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</si>
  <si>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</si>
  <si>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</si>
  <si>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</si>
  <si>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</si>
  <si>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</si>
  <si>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</si>
  <si>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</si>
  <si>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</si>
  <si>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</si>
  <si>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</si>
  <si>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</si>
  <si>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</si>
  <si>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</si>
  <si>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</si>
  <si>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</si>
  <si>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</si>
  <si>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</si>
  <si>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</si>
  <si>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</si>
  <si>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</si>
  <si>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</si>
  <si>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</si>
  <si>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</si>
  <si>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</si>
  <si>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</si>
  <si>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</si>
  <si>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</si>
  <si>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</si>
  <si>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</si>
  <si>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</si>
  <si>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</si>
  <si>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</si>
  <si>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</si>
  <si>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</si>
  <si>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</si>
  <si>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JOGO DE FERRAGENS CROMADAS P/ PORTA DE VIDRO TEMPERADO, UMA FOLHA COMPOSTA: DOBRADICA SUPERIOR (101) E INFERIOR (103),TRINCO (502), FECHADURA (520),CONTRA FECHADURA (531),COM CAPUCHINHO</t>
  </si>
  <si>
    <t>JOGO DE FERRAGENS CROMADAS PARA PORTA DE VIDRO TEMPERADO, UMA FOLHA CO MPOSTO DE DOBRADICAS SUPERIOR E INFERIOR, TRINCO, FECHADURA, CONTRA FE CHADURA COM CAPUCHINHO SEM MOLA E PUXADOR</t>
  </si>
  <si>
    <t>JOGO DE TRANQUETA E ROSETA QUADRADA DE SOBREPOR SEM FUROS, EM LATAO CROMADO, *50 X 50* MM, PARA FECHADURA DE PORTA DE BANHEIRO</t>
  </si>
  <si>
    <t>JOGO DE TRANQUETA E ROSETA REDONDA DE SOBREPOR SEM FUROS, EM LATAO CROMADO, DIAMETRO *50* MM, PARA FECHADURA DE PORTA DE BANHEIRO</t>
  </si>
  <si>
    <t>JUNCAO 2 GARRAS PARA FITA PERFURADA</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</si>
  <si>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</si>
  <si>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</si>
  <si>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</si>
  <si>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</si>
  <si>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</si>
  <si>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</si>
  <si>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JUNÇÃO DUPLA, PVC, SERIE R, ÁGUA PLUVIAL, DN 100 X 100 X 100 MM, JUNTA ELÁSTICA, FORNECIDO E INSTALADO EM RAMAL DE ENCAMINHAMENTO. AF_12/201 4</t>
  </si>
  <si>
    <t>JUNCAO INVERTIDA, PVC SOLDAVEL, 75 X 75 MM, SERIE NORMAL PARA ESGOTO PREDIAL</t>
  </si>
  <si>
    <t>JUNCAO PVC  ROSCAVEL, 45 GRAUS, 1", PARA AGUA FRIA PREDIAL</t>
  </si>
  <si>
    <t>JUNCAO PVC  ROSCAVEL, 45 GRAUS, 1/2", PARA AGUA FRIA PREDIAL</t>
  </si>
  <si>
    <t>JUNCAO PVC  ROSCAVEL, 45 GRAUS, 3/4", PARA AGUA FRIA PREDIAL</t>
  </si>
  <si>
    <t>JUNCAO PVC, 45 GRAUS, ROSCAVEL, 1 1/2", PARA AGUA FRIA PREDIAL</t>
  </si>
  <si>
    <t>JUNCAO PVC, 45 GRAUS, ROSCAVEL, 1 1/4", AGUA FRIA PREDIAL</t>
  </si>
  <si>
    <t>JUNCAO PVC, 45 GRAUS, ROSCAVEL, 2",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</si>
  <si>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</si>
  <si>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</si>
  <si>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</si>
  <si>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</si>
  <si>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</si>
  <si>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</si>
  <si>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</si>
  <si>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</si>
  <si>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</si>
  <si>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</si>
  <si>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</si>
  <si>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</si>
  <si>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</si>
  <si>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</si>
  <si>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</si>
  <si>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</si>
  <si>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JUNÇÃO SIMPLES, PVC, SERIE NORMAL, ESGOTO PREDIAL, DN 100 X 100 MM, JU NTA ELÁSTICA, FORNECIDO E INSTALADO EM PRUMADA DE ESGOTO SANITÁRIO OU VENTILAÇÃO. AF_12/2014</t>
  </si>
  <si>
    <t>JUNÇÃO SIMPLES, PVC, SERIE NORMAL, ESGOTO PREDIAL, DN 100 X 100 MM, JU NTA ELÁSTICA, FORNECIDO E INSTALADO EM RAMAL DE DESCARGA OU RAMAL DE E SGOTO SANITÁRIO. AF_12/2014</t>
  </si>
  <si>
    <t>JUNÇÃO SIMPLES, PVC, SERIE NORMAL, ESGOTO PREDIAL, DN 100 X 100 MM, JU NTA ELÁSTICA, FORNECIDO E INSTALADO EM SUBCOLETOR AÉREO DE ESGOTO SANI TÁRIO. AF_12/2014</t>
  </si>
  <si>
    <t>JUNÇÃO SIMPLES, PVC, SERIE NORMAL, ESGOTO PREDIAL, DN 150 X 150 MM, JU NTA ELÁSTICA, FORNECIDO E INSTALADO EM SUBCOLETOR AÉREO DE ESGOTO SANI TÁRIO. AF_12/2014</t>
  </si>
  <si>
    <t>JUNÇÃO SIMPLES, PVC, SERIE NORMAL, ESGOTO PREDIAL, DN 40 MM, JUNTA SOL DÁVEL, FORNECIDO E INSTALADO EM RAMAL DE DESCARGA OU RAMAL DE ESGOTO S ANITÁRIO. AF_12/2014</t>
  </si>
  <si>
    <t>JUNÇÃO SIMPLES, PVC, SERIE NORMAL, ESGOTO PREDIAL, DN 50 X 50 MM, JUNT A ELÁSTICA, FORNECIDO E INSTALADO EM PRUMADA DE ESGOTO SANITÁRIO OU VE NTILAÇÃO. AF_12/2014</t>
  </si>
  <si>
    <t>JUNÇÃO SIMPLES, PVC, SERIE NORMAL, ESGOTO PREDIAL, DN 50 X 50 MM, JUNT A ELÁSTICA, FORNECIDO E INSTALADO EM RAMAL DE DESCARGA OU RAMAL DE ESG OTO SANITÁRIO. AF_12/2014</t>
  </si>
  <si>
    <t>JUNÇÃO SIMPLES, PVC, SERIE NORMAL, ESGOTO PREDIAL, DN 75 X 75 MM, JUNT A ELÁSTICA, FORNECIDO E INSTALADO EM PRUMADA DE ESGOTO SANITÁRIO OU VE NTILAÇÃO. AF_12/2014</t>
  </si>
  <si>
    <t>JUNÇÃO SIMPLES, PVC, SERIE NORMAL, ESGOTO PREDIAL, DN 75 X 75 MM, JUNT A ELÁSTICA, FORNECIDO E INSTALADO EM RAMAL DE DESCARGA OU RAMAL DE ESG OTO SANITÁRIO. AF_12/2014</t>
  </si>
  <si>
    <t>JUNÇÃO SIMPLES, PVC, SERIE R, ÁGUA PLUVIAL, DN 100 X 100 MM, JUNTA ELÁ STICA, FORNECIDO E INSTALADO EM CONDUTORES VERTICAIS DE ÁGUAS PLUVIAIS . AF_12/2014</t>
  </si>
  <si>
    <t>JUNÇÃO SIMPLES, PVC, SERIE R, ÁGUA PLUVIAL, DN 100 X 100 MM, JUNTA ELÁ STICA, FORNECIDO E INSTALADO EM RAMAL DE ENCAMINHAMENTO. AF_12/2014</t>
  </si>
  <si>
    <t>JUNÇÃO SIMPLES, PVC, SERIE R, ÁGUA PLUVIAL, DN 100 X 75 MM, JUNTA ELÁS TICA, FORNECIDO E INSTALADO EM CONDUTORES VERTICAIS DE ÁGUAS PLUVIAIS. AF_12/2014</t>
  </si>
  <si>
    <t>JUNÇÃO SIMPLES, PVC, SERIE R, ÁGUA PLUVIAL, DN 100 X 75 MM, JUNTA ELÁS TICA, FORNECIDO E INSTALADO EM RAMAL DE ENCAMINHAMENTO. AF_12/2014</t>
  </si>
  <si>
    <t>JUNÇÃO SIMPLES, PVC, SERIE R, ÁGUA PLUVIAL, DN 150 X 100 MM, JUNTA ELÁ STICA, FORNECIDO E INSTALADO EM CONDUTORES VERTICAIS DE ÁGUAS PLUVIAIS . AF_12/2014</t>
  </si>
  <si>
    <t>JUNÇÃO SIMPLES, PVC, SERIE R, ÁGUA PLUVIAL, DN 150 X 150 MM, JUNTA ELÁ STICA, FORNECIDO E INSTALADO EM CONDUTORES VERTICAIS DE ÁGUAS PLUVIAIS .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</si>
  <si>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</si>
  <si>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</si>
  <si>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 ICA, FORNECIDO E INSTALADO EM CONDUTORES VERTICAIS DE ÁGUAS PLUVIAIS. AF_12/2014</t>
  </si>
  <si>
    <t>JUNÇÃO SIMPLES, PVC, SERIE R, ÁGUA PLUVIAL, DN 75 X 75 MM, JUNTA ELÁST ICA, FORNECIDO E INSTALADO EM RAMAL DE ENCAMINHAMENTO. AF_12/2014</t>
  </si>
  <si>
    <t>JUNCAO, PVC PBA, BBB, DN 50 / DE 60 MM, PARA REDE DE AGUA (NBR 5647)</t>
  </si>
  <si>
    <t>JUNCAO, PVC, 45 GRAUS, JE, BBB, DN 100 MM, PARA REDE COLETORA DE ESGOTO (NBR 10569)</t>
  </si>
  <si>
    <t>JUNCAO, PVC, 45 GRAUS, JE, BBB, DN 150 MM, PARA REDE COLETORA DE ESGOTO (NBR 10569)</t>
  </si>
  <si>
    <t>JUNCAO, PVC, 45 GRAUS, JE, BBB, DN 200 MM, PARA REDE COLETORA DE ESGOTO (NBR 10569)</t>
  </si>
  <si>
    <t>JUNCAO, PVC, 45 GRAUS, JE, BBB, DN 250 MM, PARA REDE COLETORA DE ESGOTO (NBR 10569)</t>
  </si>
  <si>
    <t>JUNCAO, PVC, 45 GRAUS, JE, BBB, DN 350 MM, PARA REDE COLETORA DE ESGOTO (NBR 10569)</t>
  </si>
  <si>
    <t>JUNCAO, PVC, 45 GRAUS, JE, BBB, DN 400 MM, PARA REDE COLETORA DE ESGOTO (NBR 10569)</t>
  </si>
  <si>
    <t>JUNTA 5X5CM COM ARGAMASSA TRACO 1:3 (CIMENTO E AREIA) PARA PISO EM PLA CAS</t>
  </si>
  <si>
    <t>JUNTA ARGAMASSADA ENTRE TUBO DN 100 MM E O POÇO DE VISITA/ CAIXA DE CO NCRETO OU ALVENARIA EM REDES DE ESGOTO. AF_06/2015</t>
  </si>
  <si>
    <t>JUNTA ARGAMASSADA ENTRE TUBO DN 150 MM E O POÇO DE VISITA/ CAIXA DE CO NCRETO OU ALVENARIA EM REDES DE ESGOTO. AF_06/2015</t>
  </si>
  <si>
    <t>JUNTA ARGAMASSADA ENTRE TUBO DN 200 MM E O POÇO/ CAIXA DE CONCRETO OU ALVENARIA EM REDES DE ESGOTO. AF_06/2015</t>
  </si>
  <si>
    <t>JUNTA ARGAMASSADA ENTRE TUBO DN 250 MM E O POÇO DE VISITA/ CAIXA DE CO NCRETO OU ALVENARIA EM REDES DE ESGOTO. AF_06/2015</t>
  </si>
  <si>
    <t>JUNTA ARGAMASSADA ENTRE TUBO DN 300 MM E O POÇO DE VISITA/ CAIXA DE CO NCRETO OU ALVENARIA EM REDES DE ESGOTO. AF_06/2015</t>
  </si>
  <si>
    <t>JUNTA ARGAMASSADA ENTRE TUBO DN 350 MM E O POÇO DE VISITA/ CAIXA DE CO NCRETO OU ALVENARIA EM REDES DE ESGOTO. AF_06/2015</t>
  </si>
  <si>
    <t>JUNTA ARGAMASSADA ENTRE TUBO DN 400 MM E O POÇO DE VISITA/ CAIXA DE CO NCRETO OU ALVENARIA EM REDES DE ESGOTO. AF_06/2015</t>
  </si>
  <si>
    <t>JUNTA ARGAMASSADA ENTRE TUBO DN 450 MM E O POÇO DE VISITA/ CAIXA DE CO NCRETO OU ALVENARIA EM REDES DE ESGOTO. AF_06/2015</t>
  </si>
  <si>
    <t>JUNTA ARGAMASSADA ENTRE TUBO DN 600 MM E O POÇO DE VISITA/ CAIXA DE CO NCRETO OU ALVENARIA EM REDES DE ESGOTO. AF_06/2015</t>
  </si>
  <si>
    <t>JUNTA DE DILATACAO COM ISOPOR 10 MM</t>
  </si>
  <si>
    <t>JUNTA DE DILATACAO ELASTICA (PVC) O-220/6 PRESSAO ATE 30 MCA</t>
  </si>
  <si>
    <t>JUNTA DE DILATACAO PARA IMPERMEABILIZACAO, COM ASFALTO OXIDADO APLICAD O A QUENTE, DIMENSOES 2X2 CM</t>
  </si>
  <si>
    <t>JUNTA DE DILATACAO PARA IMPERMEABILIZACAO, COM SELANTE ELASTICO MONOCO MPONENTE A BASE DE POLIURETANO, DIMENSOES 1X1CM.</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</si>
  <si>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</si>
  <si>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</si>
  <si>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</si>
  <si>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</si>
  <si>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</si>
  <si>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</si>
  <si>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</si>
  <si>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DE EXPANSÃO EM BRONZE/LATÃO, PONTA X PONTA, DN 35 MM, INSTALADO EM PRUMADA   FORNECIMENTO E INSTALAÇÃO. AF_01/2016_P</t>
  </si>
  <si>
    <t>JUNTA DE EXPANSÃO EM BRONZE/LATÃO, PONTA X PONTA, DN 42 MM, INSTALADO EM PRUMADA   FORNECIMENTO E INSTALAÇÃO. AF_01/2016_P</t>
  </si>
  <si>
    <t>JUNTA DE EXPANSÃO EM BRONZE/LATÃO, PONTA X PONTA, DN 54 MM, INSTALADO EM PRUMADA   FORNECIMENTO E INSTALAÇÃO. AF_01/2016_P</t>
  </si>
  <si>
    <t>JUNTA DE EXPANSÃO EM BRONZE/LATÃO, PONTA X PONTA, DN 66 MM, INSTALADO EM PRUMADA   FORNECIMENTO E INSTALAÇÃO. AF_01/2016_P</t>
  </si>
  <si>
    <t>JUNTA DE EXPANSÃO EM COBRE, PONTA X PONTA, 22 MM, INSTALADO EM RAMAL E SUB-RAMAL   FORNECIMENTO E INSTALAÇÃO. AF_01/2016_P</t>
  </si>
  <si>
    <t>JUNTA DE EXPANSÃO EM COBRE, PONTA X PONTA, DN 15 MM, INSTALADO EM RAMA L DE DISTRIBUIÇÃO   FORNECIMENTO E INSTALAÇÃO. AF_01/2016_P</t>
  </si>
  <si>
    <t>JUNTA DE EXPANSÃO EM COBRE, PONTA X PONTA, DN 15 MM, INSTALADO EM RAMA L E SUB-RAMAL   FORNECIMENTO E INSTALAÇÃO. AF_01/2016_P</t>
  </si>
  <si>
    <t>JUNTA DE EXPANSÃO EM COBRE, PONTA X PONTA, DN 22 MM, INSTALADO EM PRUM ADA   FORNECIMENTO E INSTALAÇÃO. AF_01/2016_P</t>
  </si>
  <si>
    <t>JUNTA DE EXPANSÃO EM COBRE, PONTA X PONTA, DN 22 MM, INSTALADO EM RAMA L DE DISTRIBUIÇÃO   FORNECIMENTO E INSTALAÇÃO. AF_01/2016_P</t>
  </si>
  <si>
    <t>JUNTA DE EXPANSÃO EM COBRE, PONTA X PONTA, DN 28 MM, INSTALADO EM PRUM ADA   FORNECIMENTO E INSTALAÇÃO. AF_01/2016_P</t>
  </si>
  <si>
    <t>JUNTA DE EXPANSÃO EM COBRE, PONTA X PONTA, DN 28 MM, INSTALADO EM RAMA L DE DISTRIBUIÇÃO   FORNECIMENTO E INSTALAÇÃO. AF_01/2016_P</t>
  </si>
  <si>
    <t>JUNTA DE EXPANSÃO EM COBRE, PONTA X PONTA, DN 28 MM, INSTALADO EM RAMA L E SUB-RAMAL   FORNECIMENTO E INSTALAÇÃO. AF_01/2016_P</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</si>
  <si>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</si>
  <si>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</si>
  <si>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</si>
  <si>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</si>
  <si>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</si>
  <si>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</si>
  <si>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</si>
  <si>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</si>
  <si>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1/2", COMPLETO</t>
  </si>
  <si>
    <t>KIT CAVALETE PVC COM REGISTRO 3/4" - FORNECIMENTO E INSTALACAO</t>
  </si>
  <si>
    <t>KIT DE ACESSORIOS PARA BANHEIRO EM METAL CROMADO, 5 PECAS</t>
  </si>
  <si>
    <t>KIT DE MATERIAIS PARA BRACADEIRA PARA FIXACAO EM POSTE CIRCULAR, CONTEM TRES FIXADORES E UM ROLO DE FITA DE 3 M EM ACO CARBONO</t>
  </si>
  <si>
    <t>KIT DE MISTURADOR BASE BRUTA DE LATÃO ¾" MONOCOMANDO PARA CHUVEIRO, IN CLUSIVE CONEXÕES, INSTALADO EM RAMAL DE ÁGUA - FORNECIMENTO E INSTALAÇ ÃO. AF_12/2014</t>
  </si>
  <si>
    <t>KIT DE PORTA DE MADEIRA ALMOFADADA, SEMI-OCA (LEVE OU MÉDIA), PADRÃO M ÉDIO 60X210CM, ESPESSURA DE 3CM, ITENS INCLUSOS: DOBRADIÇAS, MONTAGEM E INSTALAÇÃO DO BATENTE, SEM FECHADURA - FORNECIMENTO E INSTALAÇÃO. AF _08/2015</t>
  </si>
  <si>
    <t>KIT DE PORTA DE MADEIRA ALMOFADADA, SEMI-OCA (LEVE OU MÉDIA), PADRÃO M ÉDIO, 70X210CM, ESPESSURA DE 3CM, ITENS INCLUSOS: DOBRADIÇAS, MONTAGEM E INSTALAÇÃO DO BATENTE, SEM FECHADURA - FORNECIMENTO E INSTALAÇÃO. A F_08/2015</t>
  </si>
  <si>
    <t>KIT DE PORTA DE MADEIRA ALMOFADADA, SEMI-OCA (LEVE OU MÉDIA), PADRÃO M ÉDIO, 80X210CM, ESPESSURA DE 3,5CM, ITENS INCLUSOS: DOBRADIÇAS, MONTAG EM E INSTALAÇÃO DO BATENTE, SEM FECHADURA - FORNECIMENTO E INSTALAÇÃO. AF_08/2015</t>
  </si>
  <si>
    <t>KIT DE PORTA DE MADEIRA ALMOFADADA, SEMI-OCA (LEVE OU MÉDIA), PADRÃO P OPULAR, 60X210CM, ESPESSURA DE 3CM, ITENS INCLUSOS: DOBRADIÇAS, MONTAG EM E INSTALAÇÃO DO BATENTE, SEM FECHADURA - FORNECIMENTO E INSTALAÇÃO. AF_08/2015</t>
  </si>
  <si>
    <t>KIT DE PORTA DE MADEIRA ALMOFADADA, SEMI-OCA (LEVE OU MÉDIA), PADRÃO P OPULAR, 70X210CM, ESPESSURA DE 3CM, ITENS INCLUSOS: DOBRADIÇAS, MONTAG EM E INSTALAÇÃO DO BATENTE, SEM FECHADURA - FORNECIMENTO E INSTALAÇÃO. AF_08/2015</t>
  </si>
  <si>
    <t>KIT DE PORTA DE MADEIRA ALMOFADADA, SEMI-OCA (LEVE OU MÉDIA), PADRÃO P OPULAR, 80X210CM, ESPESSURA DE 3,5CM, ITENS INCLUSOS: DOBRADIÇAS, MONT AGEM E INSTALAÇÃO DO BATENTE, SEM FECHADURA - FORNECIMENTO E INSTALAÇÃ O. AF_08/2015</t>
  </si>
  <si>
    <t>KIT DE PORTA DE MADEIRA PARA PINTURA, SEMI-OCA (LEVE OU MÉDIA), PADRÃO MÉDIO, 60X210CM, ESPESSURA DE 3,5CM, ITENS INCLUSOS: DOBRADIÇAS, MONT AGEM E INSTALAÇÃO DO BATENTE, FECHADURA COM EXECUÇÃO DO FURO - FORNECI MENTO E INSTALAÇÃO. AF_08/2015</t>
  </si>
  <si>
    <t>KIT DE PORTA DE MADEIRA PARA PINTURA, SEMI-OCA (LEVE OU MÉDIA), PADRÃO MÉDIO, 60X210CM, ESPESSURA DE 3,5CM, ITENS INCLUSOS: DOBRADIÇAS, MONT AGEM E INSTALAÇÃO DO BATENTE, SEM FECHADURA - FORNECIMENTO E INSTALAÇÃ O. AF_08/2015</t>
  </si>
  <si>
    <t>KIT DE PORTA DE MADEIRA PARA PINTURA, SEMI-OCA (LEVE OU MÉDIA), PADRÃO MÉDIO, 70X210CM, ESPESSURA DE 3,5CM, ITENS INCLUSOS: DOBRADIÇAS, MONT AGEM E INSTALAÇÃO DO BATENTE, FECHADURA COM EXECUÇÃO DO FURO - FORNECI MENTO E INSTALAÇÃO. AF_08/2015</t>
  </si>
  <si>
    <t>KIT DE PORTA DE MADEIRA PARA PINTURA, SEMI-OCA (LEVE OU MÉDIA), PADRÃO MÉDIO, 70X210CM, ESPESSURA DE 3,5CM, ITENS INCLUSOS: DOBRADIÇAS, MONT AGEM E INSTALAÇÃO DO BATENTE, SEM FECHADURA - FORNECIMENTO E INSTALAÇÃ O. AF_08/2015</t>
  </si>
  <si>
    <t>KIT DE PORTA DE MADEIRA PARA PINTURA, SEMI-OCA (LEVE OU MÉDIA), PADRÃO MÉDIO, 80X210CM, ESPESSURA DE 3,5CM, ITENS INCLUSOS: DOBRADIÇAS, MONT AGEM E INSTALAÇÃO DO BATENTE, FECHADURA COM EXECUÇÃO DO FURO - FORNECI MENTO E INSTALAÇÃO. AF_08/2015</t>
  </si>
  <si>
    <t>KIT DE PORTA DE MADEIRA PARA PINTURA, SEMI-OCA (LEVE OU MÉDIA), PADRÃO MÉDIO, 80X210CM, ESPESSURA DE 3,5CM, ITENS INCLUSOS: DOBRADIÇAS, MONT AGEM E INSTALAÇÃO DO BATENTE, SEM FECHADURA - FORNECIMENTO E INSTALAÇÃ O. AF_08/2015</t>
  </si>
  <si>
    <t>KIT DE PORTA DE MADEIRA PARA PINTURA, SEMI-OCA (LEVE OU MÉDIA), PADRÃO MÉDIO, 90X210CM, ESPESSURA DE 3,5CM, ITENS INCLUSOS: DOBRADIÇAS, MONT AGEM E INSTALAÇÃO DO BATENTE, FECHADURA COM EXECUÇÃO DO FURO - FORNECI MENTO E INSTALAÇÃO. AF_08/2015</t>
  </si>
  <si>
    <t>KIT DE PORTA DE MADEIRA PARA PINTURA, SEMI-OCA (LEVE OU MÉDIA), PADRÃO MÉDIO, 90X210CM, ESPESSURA DE 3,5CM, ITENS INCLUSOS: DOBRADIÇAS, MONT AGEM E INSTALAÇÃO DO BATENTE, SEM FECHADURA - FORNECIMENTO E INSTALAÇÃ O. AF_08/2015</t>
  </si>
  <si>
    <t>KIT DE PORTA DE MADEIRA PARA PINTURA, SEMI-OCA (LEVE OU MÉDIA), PADRÃO POPULAR, 60X210CM, ESPESSURA DE 3,5CM, ITENS INCLUSOS: DOBRADIÇAS, MO NTAGEM E INSTALAÇÃO DO BATENTE, FECHADURA COM EXECUÇÃO DO FURO - FORNE CIMENTO E INSTALAÇÃO. AF_08/2015</t>
  </si>
  <si>
    <t>KIT DE PORTA DE MADEIRA PARA PINTURA, SEMI-OCA (LEVE OU MÉDIA), PADRÃO POPULAR, 60X210CM, ESPESSURA DE 3,5CM, ITENS INCLUSOS: DOBRADIÇAS, MO NTAGEM E INSTALAÇÃO DO BATENTE, SEM FECHADURA - FORNECIMENTO E INSTALA ÇÃO. AF_08/2015</t>
  </si>
  <si>
    <t>KIT DE PORTA DE MADEIRA PARA PINTURA, SEMI-OCA (LEVE OU MÉDIA), PADRÃO POPULAR, 70X210CM, ESPESSURA DE 3,5CM, ITENS INCLUSOS: DOBRADIÇAS, MO NTAGEM E INSTALAÇÃO DO BATENTE, FECHADURA COM EXECUÇÃO DO FURO - FORNE CIMENTO E INSTALAÇÃO. AF_08/2015</t>
  </si>
  <si>
    <t>KIT DE PORTA DE MADEIRA PARA PINTURA, SEMI-OCA (LEVE OU MÉDIA), PADRÃO POPULAR, 70X210CM, ESPESSURA DE 3,5CM, ITENS INCLUSOS: DOBRADIÇAS, MO NTAGEM E INSTALAÇÃO DO BATENTE, SEM FECHADURA - FORNECIMENTO E INSTALA ÇÃO. AF_08/2015</t>
  </si>
  <si>
    <t>KIT DE PORTA DE MADEIRA PARA PINTURA, SEMI-OCA (LEVE OU MÉDIA), PADRÃO POPULAR, 80X210CM, ESPESSURA DE 3,5CM, ITENS INCLUSOS: DOBRADIÇAS, MO NTAGEM E INSTALAÇÃO DO BATENTE, FECHADURA COM EXECUÇÃO DO FURO - FORNE CIMENTO E INSTALAÇÃO. AF_08/2015</t>
  </si>
  <si>
    <t>KIT DE PORTA DE MADEIRA PARA PINTURA, SEMI-OCA (LEVE OU MÉDIA), PADRÃO POPULAR, 80X210CM, ESPESSURA DE 3,5CM, ITENS INCLUSOS: DOBRADIÇAS, MO NTAGEM E INSTALAÇÃO DO BATENTE, SEM FECHADURA - FORNECIMENTO E INSTALA ÇÃO. AF_08/2015</t>
  </si>
  <si>
    <t>KIT DE PORTA DE MADEIRA PARA PINTURA, SEMI-OCA (LEVE OU MÉDIA), PADRÃO POPULAR, 90X210CM, ESPESSURA DE 3,5CM, ITENS INCLUSOS: DOBRADIÇAS, MO NTAGEM E INSTALAÇÃO DO BATENTE, FECHADURA COM EXECUÇÃO DO FURO - FORNE CIMENTO E INSTALAÇÃO. AF_08/2015</t>
  </si>
  <si>
    <t>KIT DE PORTA DE MADEIRA PARA PINTURA, SEMI-OCA (LEVE OU MÉDIA), PADRÃO POPULAR, 90X210CM, ESPESSURA DE 3,5CM, ITENS INCLUSOS: DOBRADIÇAS, MO NTAGEM E INSTALAÇÃO DO BATENTE, SEM FECHADURA - FORNECIMENTO E INSTALA ÇÃO. AF_08/2015</t>
  </si>
  <si>
    <t>KIT DE PORTA DE MADEIRA PARA VERNIZ, SEMI-OCA (LEVE OU MÉDIA), PADRÃO MÉDIO, 60X210CM, ESPESSURA DE 3,5CM, ITENS INCLUSOS: DOBRADIÇAS, MONTA GEM E INSTALAÇÃO DO BATENTE, SEM FECHADURA - FORNECIMENTO E INSTALAÇÃO . AF_08/2015</t>
  </si>
  <si>
    <t>KIT DE PORTA DE MADEIRA PARA VERNIZ, SEMI-OCA (LEVE OU MÉDIA), PADRÃO MÉDIO, 70X210CM, ESPESSURA DE 3,5CM, ITENS INCLUSOS: DOBRADIÇAS, MONTA GEM E INSTALAÇÃO DO BATENTE, SEM FECHADURA - FORNECIMENTO E INSTALAÇÃO . AF_08/2015</t>
  </si>
  <si>
    <t>KIT DE PORTA DE MADEIRA PARA VERNIZ, SEMI-OCA (LEVE OU MÉDIA), PADRÃO MÉDIO, 80X210CM, ESPESSURA DE 3,5CM, ITENS INCLUSOS: DOBRADIÇAS, MONTA GEM E INSTALAÇÃO DO BATENTE, SEM FECHADURA - FORNECIMENTO E INSTALAÇÃO . AF_08/2015</t>
  </si>
  <si>
    <t>KIT DE PORTA DE MADEIRA PARA VERNIZ, SEMI-OCA (LEVE OU MÉDIA), PADRÃO MÉDIO, 90X210CM, ESPESSURA DE 3,5CM, ITENS INCLUSOS: DOBRADIÇAS, MONTA GEM E INSTALAÇÃO DO BATENTE, SEM FECHADURA - FORNECIMENTO E INSTALAÇÃO . AF_08/2015</t>
  </si>
  <si>
    <t>KIT DE PORTA DE MADEIRA PARA VERNIZ, SEMI-OCA (LEVE OU MÉDIA), PADRÃO POPULAR, 60X210CM, ESPESSURA DE 3,5CM, ITENS INCLUSOS: DOBRADIÇAS, MON TAGEM E INSTALAÇÃO DO BATENTE, SEM FECHADURA - FORNECIMENTO E INSTALAÇ ÃO. AF_08/2015</t>
  </si>
  <si>
    <t>KIT DE PORTA DE MADEIRA PARA VERNIZ, SEMI-OCA (LEVE OU MÉDIA), PADRÃO POPULAR, 70X210CM, ESPESSURA DE 3,5CM, ITENS INCLUSOS: DOBRADIÇAS, MON TAGEM E INSTALAÇÃO DO BATENTE, SEM FECHADURA - FORNECIMENTO E INSTALAÇ ÃO. AF_08/2015</t>
  </si>
  <si>
    <t>KIT DE PORTA DE MADEIRA PARA VERNIZ, SEMI-OCA (LEVE OU MÉDIA), PADRÃO POPULAR, 80X210CM, ESPESSURA DE 3,5CM, ITENS INCLUSOS: DOBRADIÇAS, MON TAGEM E INSTALAÇÃO DO BATENTE, SEM FECHADURA - FORNECIMENTO E INSTALAÇ ÃO. AF_08/2015</t>
  </si>
  <si>
    <t>KIT DE PORTA DE MADEIRA PARA VERNIZ, SEMI-OCA (LEVE OU MÉDIA), PADRÃO POPULAR, 90X210CM, ESPESSURA DE 3,5CM, ITENS INCLUSOS: DOBRADIÇAS, MON TAGEM E INSTALAÇÃO DO BATENTE, SEM FECHADURA - FORNECIMENTO E INSTALAÇ ÃO. AF_08/2015</t>
  </si>
  <si>
    <t>KIT DE PORTA DE MADEIRA TIPO MEXICANA, SEMI-OCA (PESADA OU SUPERPESADA ), PADRÃO MÉDIO, 80X210CM, ESPESSURA DE 3CM, ITENS INCLUSOS: DOBRADIÇA S, MONTAGEM E INSTALAÇÃO DO BATENTE, SEM FECHADURA - FORNECIMENTO E IN STALAÇÃO. AF_08/2015</t>
  </si>
  <si>
    <t>KIT DE PORTA DE MADEIRA TIPO MEXICANA, SEMI-OCA (PESADA OU SUPERPESADA ), PADRÃO POPULAR, 80X210CM, ESPESSURA DE 3CM, ITENS INCLUSOS: DOBRADI ÇAS, MONTAGEM E INSTALAÇÃO DO BATENTE, SEM FECHADURA - FORNECIMENTO E INSTALAÇÃO. AF_08/2015</t>
  </si>
  <si>
    <t>KIT DE PORTA DE MADEIRA TIPO VENEZIANA, SEMI-OCA (LEVE OU MÉDIA), PADR ÃO MÉDIO, 80X210CM, ESPESSURA DE 3CM, ITENS INCLUSOS: DOBRADIÇAS, MONT AGEM E INSTALAÇÃO DO BATENTE, SEM FECHADURA - FORNECIMENTO E INSTALAÇÃ O. AF_08/2015</t>
  </si>
  <si>
    <t>KIT DE PORTA DE MADEIRA TIPO VENEZIANA, SEMI-OCA (LEVE OU MÉDIA), PADR ÃO POPULAR, 80X210CM, ESPESSURA DE 3CM, ITENS INCLUSOS: DOBRADIÇAS, MO NTAGEM E INSTALAÇÃO DO BATENTE, SEM FECHADURA - FORNECIMENTO E INSTALA ÇÃO. AF_08/2015</t>
  </si>
  <si>
    <t>KIT DE REGISTRO DE GAVETA BRUTO DE LATÃO ½", INCLUSIVE CONEXÕES, ROSCÁ VEL, INSTALADO EM RAMAL DE ÁGUA FRIA - FORNECIMENTO E INSTALAÇÃO. AF_1 2/2014</t>
  </si>
  <si>
    <t>KIT DE REGISTRO DE GAVETA BRUTO DE LATÃO ¾", INCLUSIVE CONEXÕES, ROSCÁ VEL, INSTALADO EM RAMAL DE ÁGUA FRIA - FORNECIMENTO E INSTALAÇÃO. AF_1 2/2014</t>
  </si>
  <si>
    <t>KIT DE REGISTRO DE PRESSÃO BRUTO DE LATÃO ½", INCLUSIVE CONEXÕES,  ROS CÁVEL, INSTALADO EM RAMAL DE ÁGUA FRIA - FORNECIMENTO E INSTALAÇÃO. AF _12/2014</t>
  </si>
  <si>
    <t>KIT DE REGISTRO DE PRESSÃO BRUTO DE LATÃO ¾", INCLUSIVE CONEXÕES, ROSC ÁVEL, INSTALADO EM RAMAL DE ÁGUA FRIA - FORNECIMENTO E INSTALAÇÃO. AF_ 12/2014</t>
  </si>
  <si>
    <t>KIT DE TÊ MISTURADOR EM CPVC ¾" COM DUPLO COMANDO PARA CHUVEIRO, INCLU SIVE CONEXÕES, INSTALADO EM RAMAL DE ÁGUA - FORNECIMENTO E INSTALAÇÃO. AF_12/2014</t>
  </si>
  <si>
    <t>LACO DE ROLDANA PRE-FORMADO ACO RECOBERTO DE ALUMINIO PARA CABO DE ALU MINIO NU BITOLA 25MM2 - FORNECIMENTO E COLOCACAO</t>
  </si>
  <si>
    <t>LADRILHO HIDRAULICO, *20 x 20* CM, E= 2 CM, DADOS (36), COR NATURAL</t>
  </si>
  <si>
    <t>LADRILHO HIDRAULICO, *20 x 20* CM, E= 2 CM, PADRAO COPACABANA, 2 CORES (PRETO E BRANCO)</t>
  </si>
  <si>
    <t>LADRILHO HIDRAULICO, *20 X 20* CM, E= 2 CM, RAMPA, NATURAL</t>
  </si>
  <si>
    <t>LADRILHO HIDRAULICO, *20 X 20* CM, E= 2 CM, TATIL DIRECIONAL, AMARELO</t>
  </si>
  <si>
    <t>LADRILHO HIDRAULICO, *30 X 30* CM, E= 2 CM, MILANO, NATURAL</t>
  </si>
  <si>
    <t>LAJE PRE-MOLD BETA 11 P/1KN/M2 VAOS 4,40M/INCL VIGOTAS TIJOLOS ARMADUR A NEGATIVA CAPEAMENTO 3CM CONCRETO 20MPA ESCORAMENTO MATERIAL E MAO  D E OBRA.</t>
  </si>
  <si>
    <t>LAJE PRE-MOLD BETA 12 P/3,5KN/M2 VAO 4,1M INCL VIGOTAS TIJOLOS ARMADU- RA NEGATIVA CAPEAMENTO 3CM CONCRETO 15MPA ESCORAMENTO MATERIAIS E MAO DE OBRA.</t>
  </si>
  <si>
    <t>LAJE PRE-MOLD BETA 16 P/3,5KN/M2 VAO 5,2M INCL VIGOTAS TIJOLOS ARMADU- RA NEGATIVA CAPEAMENTO 3CM CONCRETO 15MPA ESCORAMENTO MATERIAL E MAO DE OBRA.</t>
  </si>
  <si>
    <t>LAJE PRE-MOLD BETA 20 P/3,5KN/M2 VAO 6,2M INCL VIGOTAS TIJOLOS ARMADU- RA NEGATIVA CAPEAMENTO 3CM CONCRETO 15MPA ESCORAMENTO MATERIAL E MAO DE OBRA.</t>
  </si>
  <si>
    <t>LAJE PRE-MOLDADA CONVENCIONAL (LAJOTAS + VIGOTAS) PARA FORRO, UNIDIRECIONAL, SOBRECARGA 100 KG/M2, VAO ATE 5,00 M (SEM COLOCACAO)</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</si>
  <si>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</si>
  <si>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</si>
  <si>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PISO, UNIDIRECIONAL, SOBRECARGA 350 KG/M2 VAO ATE 3,50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</si>
  <si>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</si>
  <si>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</si>
  <si>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</si>
  <si>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</si>
  <si>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</si>
  <si>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DE TRANSICAO EXCENTRICA EM CONCRETO ARMADO, DN 1200 MM, FURO CIRCULAR DN 600 MM, ESPESSURA 12 CM</t>
  </si>
  <si>
    <t>LAJE PRE-MOLDADA DE TRANSICAO EXCENTRICA EM CONCRETO ARMADO, DN 1500 MM, FURO CIRCULAR DN 530 MM, ESPESSURA 15 CM</t>
  </si>
  <si>
    <t>LAJE PRE-MOLDADA P/FORRO, SOBRECARGA 100KG/M2, VAOS ATE 3,50M/E=8CM, C /LAJOTAS E CAP.C/CONC FCK=20MPA, 3CM, INTER-EIXO 38CM, C/ESCORAMENTO ( REAPR.3X) E FERRAGEM NEGATIVA</t>
  </si>
  <si>
    <t>LAJE PRE-MOLDADA P/PISO, SOBRECARGA 200KG/M2, VAOS ATE 3,50M/E=8CM, C/ LAJOTAS E CAP.C/CONC FCK=20MPA, 4CM, INTER-EIXO 38CM, C/ESCORAMENTO (R EAPR.3X) E FERRAGEM NEGATIVA</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</si>
  <si>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</si>
  <si>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</si>
  <si>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</si>
  <si>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</si>
  <si>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</si>
  <si>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</si>
  <si>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</si>
  <si>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</si>
  <si>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DE VAPOR DE MERCURIO DE 125W - FORNECIMENTO E INSTALACAO</t>
  </si>
  <si>
    <t>LAMPADA DE VAPOR DE MERCURIO DE 250W - FORNECIMENTO E INSTALACAO</t>
  </si>
  <si>
    <t>LAMPADA DE VAPOR DE MERCURIO DE 400W/250V - FORNECIMENTO E INSTALACAO</t>
  </si>
  <si>
    <t>LAMPADA DE VAPOR DE SODIO DE 150WX220V - FORNECIMENTO E INSTALACAO</t>
  </si>
  <si>
    <t>LAMPADA DE VAPOR DE SODIO DE 250WX220V - FORNECIMENTO E INSTALACAO</t>
  </si>
  <si>
    <t>LAMPADA DE VAPOR DE SODIO DE 400WX220V - FORNECIMENTO E INSTALACAO</t>
  </si>
  <si>
    <t>LAMPADA FLUORESCENTE 20W - FORNECIMENTO E INSTALACAO</t>
  </si>
  <si>
    <t>LAMPADA FLUORESCENTE 40W - FORNECIMENTO E INSTALACAO</t>
  </si>
  <si>
    <t>LÂMPADA FLUORESCENTE COMPACTA 15 W 2U, BASE E27 - FORNECIMENTO E INSTA LAÇÃO</t>
  </si>
  <si>
    <t>LAMPADA FLUORESCENTE COMPACTA 2U BRANCA 15 W, BASE E27 (127/220 V)</t>
  </si>
  <si>
    <t>LAMPADA FLUORESCENTE COMPACTA 2U/3U BRANCA 9/10 W, BASE E27 (127/220 V)</t>
  </si>
  <si>
    <t>LÂMPADA FLUORESCENTE COMPACTA 3U BRANCA 20 W, BASE E27 - FORNECIMENTO E INSTALAÇÃO</t>
  </si>
  <si>
    <t>LAMPADA FLUORESCENTE COMPACTA 3U BRANCA 20 W, BASE E27 (127/220 V)</t>
  </si>
  <si>
    <t>LAMPADA FLUORESCENTE COMPACTA BRANCA 135 W, BASE E40 (127/220 V)</t>
  </si>
  <si>
    <t>LÂMPADA FLUORESCENTE ESPIRAL BRANCA 45 W, BASE E27 - FORNECIMENTO E IN STALAÇÃO</t>
  </si>
  <si>
    <t>LAMPADA FLUORESCENTE ESPIRAL BRANCA 45 W, BASE E27 (127/220 V)</t>
  </si>
  <si>
    <t>LÂMPADA FLUORESCENTE ESPIRAL BRANCA 65 W, BASE E27 - FORNECIMENTO E IN STALAÇÃO</t>
  </si>
  <si>
    <t>LAMPADA FLUORESCENTE ESPIRAL BRANCA 65 W, BASE E27 (127/220 V)</t>
  </si>
  <si>
    <t>LAMPADA FLUORESCENTE TP HO 85W - FORNECIMENTO E INSTALACAO</t>
  </si>
  <si>
    <t>LAMPADA FLUORESCENTE TUBULAR T10 DE 40 W, BIVOLT</t>
  </si>
  <si>
    <t>LAMPADA FLUORESCENTE TUBULAR T5 DE 14 W, BIVOLT</t>
  </si>
  <si>
    <t>LAMPADA FLUORESCENTE TUBULAR T8 DE 16/18 W, BIVOLT</t>
  </si>
  <si>
    <t>LAMPADA FLUORESCENTE TUBULAR T8 DE 32/36 W, BIVOLT</t>
  </si>
  <si>
    <t>LAMPADA LED 10 W BIVOLT BRANCA, FORMATO TRADICIONAL (BASE E27)</t>
  </si>
  <si>
    <t>LÂMPADA LED 10 W BIVOLT BRANCA, FORMATO TRADICIONAL (BASE E27) - FORNE CIMENTO E INSTALAÇÃO</t>
  </si>
  <si>
    <t>LAMPADA LED 6 W BIVOLT BRANCA, FORMATO TRADICIONAL (BASE E27)</t>
  </si>
  <si>
    <t>LÂMPADA LED 6 W BIVOLT BRANCA, FORMATO TRADICIONAL (BASE E27) - FORNEC IMENTO E INSTALAÇÃO</t>
  </si>
  <si>
    <t>LAMPADA LED TIPO DICROICA BIVOLT, LUZ BRANCA, 5 W (BASE GU10)</t>
  </si>
  <si>
    <t>LAMPADA LED TUBULAR BIVOLT 18/20 W, BASE G13</t>
  </si>
  <si>
    <t>LAMPADA LED TUBULAR BIVOLT 9/10 W, BASE G13</t>
  </si>
  <si>
    <t>LAMPADA MISTA DE 160W - FORNECIMENTO E INSTALACAO</t>
  </si>
  <si>
    <t>LAMPADA MISTA DE 250W - FORNECIMENTO E INSTALACAO</t>
  </si>
  <si>
    <t>LAMPADA MISTA DE 500W - FORNECIMENTO E INSTALACAO</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</si>
  <si>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</si>
  <si>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</si>
  <si>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</si>
  <si>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</si>
  <si>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</si>
  <si>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</si>
  <si>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400W - FORNECIMENTO E INSTALACAO</t>
  </si>
  <si>
    <t>LAMPADA VAPOR METALICO OVOIDE 150 W, BASE E27/E40</t>
  </si>
  <si>
    <t>LAMPADA VAPOR METALICO TUBULAR 400 W (BASE E40)</t>
  </si>
  <si>
    <t>LANÇAMENTO COM USO DE BOMBA, ADENSAMENTO E ACABAMENTO DE CONCRETO EM E STRUTURAS. AF_12/2015</t>
  </si>
  <si>
    <t>LANCAMENTO/APLICACAO MANUAL DE CONCRETO EM FUNDACOES</t>
  </si>
  <si>
    <t>LASTRO COM PREPARO DE FUNDO, LARGURA MAIOR OU IGUAL A 1,5 M, COM CAMAD A DE AREIA, LANÇAMENTO MANUAL, EM LOCAL COM NÍVEL ALTO DE INTERFERÊNCI A. AF_06/2016</t>
  </si>
  <si>
    <t>LASTRO COM PREPARO DE FUNDO, LARGURA MAIOR OU IGUAL A 1,5 M, COM CAMAD A DE AREIA, LANÇAMENTO MANUAL, EM LOCAL COM NÍVEL BAIXO DE INTERFERÊNC IA. AF_06/2016</t>
  </si>
  <si>
    <t>LASTRO COM PREPARO DE FUNDO, LARGURA MAIOR OU IGUAL A 1,5 M, COM CAMAD A DE AREIA, LANÇAMENTO MECANIZADO, EM LOCAL COM NÍVEL ALTO DE INTERFER ÊNCIA. AF_06/2016</t>
  </si>
  <si>
    <t>LASTRO COM PREPARO DE FUNDO, LARGURA MAIOR OU IGUAL A 1,5 M, COM CAMAD A DE AREIA, LANÇAMENTO MECANIZADO, EM LOCAL COM NÍVEL BAIXO DE INTERFE RÊNCIA. AF_06/2016</t>
  </si>
  <si>
    <t>LASTRO COM PREPARO DE FUNDO, LARGURA MAIOR OU IGUAL A 1,5 M, COM CAMAD A DE BRITA, LANÇAMENTO MANUAL, EM LOCAL COM NÍVEL ALTO DE INTERFERÊNCI A. AF_06/2016</t>
  </si>
  <si>
    <t>LASTRO COM PREPARO DE FUNDO, LARGURA MAIOR OU IGUAL A 1,5 M, COM CAMAD A DE BRITA, LANÇAMENTO MANUAL, EM LOCAL COM NÍVEL BAIXO DE INTERFERÊNC IA. AF_06/2016</t>
  </si>
  <si>
    <t>LASTRO COM PREPARO DE FUNDO, LARGURA MAIOR OU IGUAL A 1,5 M, COM CAMAD A DE BRITA, LANÇAMENTO MECANIZADO, EM LOCAL COM NÍVEL ALTO DE INTERFER ÊNCIA. AF_06/2016</t>
  </si>
  <si>
    <t>LASTRO COM PREPARO DE FUNDO, LARGURA MAIOR OU IGUAL A 1,5 M, COM CAMAD A DE BRITA, LANÇAMENTO MECANIZADO, EM LOCAL COM NÍVEL BAIXO DE INTERFE RÊNCIA. AF_06/2016</t>
  </si>
  <si>
    <t>LASTRO DE CONCRETO, E = 3 CM, PREPARO MECÂNICO, INCLUSOS LANÇAMENTO E ADENSAMENTO. AF_07_2016</t>
  </si>
  <si>
    <t>LASTRO DE CONCRETO, E = 5 CM, PREPARO MECÂNICO, INCLUSOS LANÇAMENTO E ADENSAMENTO. AF_07_2016</t>
  </si>
  <si>
    <t>LASTRO DE CONCRETO, PREPARO MECÂNICO, INCLUSOS ADITIVO IMPERMEABILIZAN TE, LANÇAMENTO E ADENSAMENTO</t>
  </si>
  <si>
    <t>LASTRO DE VALA COM PREPARO DE FUNDO, LARGURA MENOR QUE 1,5 M, COM CAMA DA DE AREIA, LANÇAMENTO MANUAL, EM LOCAL COM NÍVEL ALTO DE INTERFERÊNC IA. AF_06/2016</t>
  </si>
  <si>
    <t>LASTRO DE VALA COM PREPARO DE FUNDO, LARGURA MENOR QUE 1,5 M, COM CAMA DA DE AREIA, LANÇAMENTO MANUAL, EM LOCAL COM NÍVEL BAIXO DE INTERFERÊN CIA. AF_06/2016</t>
  </si>
  <si>
    <t>LASTRO DE VALA COM PREPARO DE FUNDO, LARGURA MENOR QUE 1,5 M, COM CAMA DA DE AREIA, LANÇAMENTO MECANIZADO, EM LOCAL COM NÍVEL ALTO DE INTERFE RÊNCIA. AF_06/2016</t>
  </si>
  <si>
    <t>LASTRO DE VALA COM PREPARO DE FUNDO, LARGURA MENOR QUE 1,5 M, COM CAMA DA DE AREIA, LANÇAMENTO MECANIZADO, EM LOCAL COM NÍVEL BAIXO DE INTERF ERÊNCIA. AF_06/2016</t>
  </si>
  <si>
    <t>LASTRO DE VALA COM PREPARO DE FUNDO, LARGURA MENOR QUE 1,5 M, COM CAMA DA DE BRITA, LANÇAMENTO MANUAL, EM LOCAL COM NÍVEL ALTO DE INTERFERÊNC IA. AF_06/2016</t>
  </si>
  <si>
    <t>LASTRO DE VALA COM PREPARO DE FUNDO, LARGURA MENOR QUE 1,5 M, COM CAMA DA DE BRITA, LANÇAMENTO MANUAL, EM LOCAL COM NÍVEL BAIXO DE INTERFERÊN CIA. AF_06/2016</t>
  </si>
  <si>
    <t>LASTRO DE VALA COM PREPARO DE FUNDO, LARGURA MENOR QUE 1,5 M, COM CAMA DA DE BRITA, LANÇAMENTO MECANIZADO, EM LOCAL COM NÍVEL ALTO DE INTERFE RÊNCIA. AF_06/2016</t>
  </si>
  <si>
    <t>LASTRO DE VALA COM PREPARO DE FUNDO, LARGURA MENOR QUE 1,5 M, COM CAMA DA DE BRITA, LANÇAMENTO MECANIZADO, EM LOCAL COM NÍVEL BAIXO DE INTERF ERÊNCIA. AF_06/2016</t>
  </si>
  <si>
    <t>LAVATORIO DE CANTO LOUCA BRANCA SUSPENSO *40 X 30* CM</t>
  </si>
  <si>
    <t>LAVATORIO LOUCA BRANCA COM COLUNA *44 X 35,5* CM</t>
  </si>
  <si>
    <t>LAVATORIO LOUCA BRANCA COM COLUNA *54 X 44* CM</t>
  </si>
  <si>
    <t>LAVATÓRIO LOUÇA BRANCA COM COLUNA, *44 X 35,5* CM, PADRÃO POPULAR - FO RNECIMENTO E INSTALAÇÃO. AF_12/2013</t>
  </si>
  <si>
    <t>LAVATÓRIO LOUÇA BRANCA COM COLUNA, *44 X 35,5* CM, PADRÃO POPULAR, INC LUSO SIFÃO FLEXÍVEL EM PVC, VÁLVULA E ENGATE FLEXÍVEL 30CM EM PLÁSTICO E COM TORNEIRA CROMADA PADRÃO POPULAR - FORNECIMENTO E INSTALAÇÃO. AF _12/2013</t>
  </si>
  <si>
    <t>LAVATÓRIO LOUÇA BRANCA COM COLUNA, 45 X 55CM OU EQUIVALENTE, PADRÃO MÉ DIO - FORNECIMENTO E INSTALAÇÃO. AF_12/2013</t>
  </si>
  <si>
    <t>LAVATÓRIO LOUÇA BRANCA COM COLUNA, 45 X 55CM OU EQUIVALENTE, PADRÃO MÉ DIO, INCLUSO SIFÃO TIPO GARRAFA, VÁLVULA E ENGATE FLEXÍVEL DE 40CM EM METAL CROMADO, COM APARELHO MISTURADOR PADRÃO MÉDIO - FORNECIMENTO E I NSTALAÇÃO. AF_12/2013</t>
  </si>
  <si>
    <t>LAVATÓRIO LOUÇA BRANCA COM COLUNA, 45 X 55CM OU EQUIVALENTE, PADRÃO MÉ DIO, INCLUSO SIFÃO TIPO GARRAFA, VÁLVULA E ENGATE FLEXÍVEL DE 40CM EM METAL CROMADO, COM TORNEIRA CROMADA DE MESA, PADRÃO MÉDIO - FORNECIMEN TO E INSTALAÇÃO. AF_12/2013</t>
  </si>
  <si>
    <t>LAVATORIO LOUCA BRANCA SUSPENSO *40 X 30* CM</t>
  </si>
  <si>
    <t>LAVATÓRIO LOUÇA BRANCA SUSPENSO, 29,5 X 39CM OU EQUIVALENTE, PADRÃO PO PULAR - FORNECIMENTO E INSTALAÇÃO. AF_12/2013</t>
  </si>
  <si>
    <t>LAVATÓRIO LOUÇA BRANCA SUSPENSO, 29,5 X 39CM OU EQUIVALENTE, PADRÃO PO PULAR, INCLUSO SIFÃO FLEXÍVEL EM PVC, VÁLVULA E ENGATE FLEXÍVEL 30CM E M PLÁSTICO E TORNEIRA CROMADA DE MESA, PADRÃO POPULAR - FORNECIMENTO E INSTALAÇÃO. AF_12/2013</t>
  </si>
  <si>
    <t>LAVATÓRIO LOUÇA BRANCA SUSPENSO, 29,5 X 39CM OU EQUIVALENTE, PADRÃO PO PULAR, INCLUSO SIFÃO TIPO GARRAFA EM PVC, VÁLVULA E ENGATE FLEXÍVEL 30 CM EM PLÁSTICO E TORNEIRA CROMADA DE MESA, PADRÃO POPULAR - FORNECIMEN TO E INSTALAÇÃO. AF_12/2013</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</si>
  <si>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</si>
  <si>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</si>
  <si>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</si>
  <si>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</si>
  <si>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</si>
  <si>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</si>
  <si>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</si>
  <si>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LEITO FILTRANTE - COLOCACAO DE ANTRACITO NOS FILTROS</t>
  </si>
  <si>
    <t>LEITO FILTRANTE - COLOCACAO DE AREIA NOS FILTROS</t>
  </si>
  <si>
    <t>LEITO FILTRANTE - COLOCACAO DE LONA PLASTICA</t>
  </si>
  <si>
    <t>LEITO FILTRANTE - COLOCACAO DE PEDREGULHOS NOS FILTROS</t>
  </si>
  <si>
    <t>LEITO FILTRANTE - COLOCACAO E APILOAMENTO DE TERRA NO FILTRO</t>
  </si>
  <si>
    <t>LEITO FILTRANTE - FORN.E ENCHIMENTO C/ BRITA NO. 4</t>
  </si>
  <si>
    <t>LEITURISTA OU CADASTRISTA DE REDES DE AGUA E ESGOTO (MENSALISTA)</t>
  </si>
  <si>
    <t>LETRA ACO INOX (AISI 304), CHAPA NUM. 22, RECORTADO, H= 20 CM (SEM RELEVO)</t>
  </si>
  <si>
    <t>LEVANTADOR DE JANELA GUILHOTINA, EM LATAO CROMADO</t>
  </si>
  <si>
    <t>LEVANTAMENTO SECAO TRANSVERSAL C/NIVEL TERRENO NAO ACIDENTADO VEGETAÇÃ O DENSA INCLUSIVE DESENHO ESC 1:200 EM PAPEL VEGETAL MILIMETRADO (MEDI DO P/M SECAO), INCLUSIVE NIVELADOR, AUXILIAR DE CALCULO TOPOGRAFICO E DESENHISTA.</t>
  </si>
  <si>
    <t>LIGACAO DA REDE 50MM AO RAMAL PREDIAL 1/2"</t>
  </si>
  <si>
    <t>LIGACAO DA REDE 75MM AO RAMAL PREDIAL 1/2"</t>
  </si>
  <si>
    <t>LIGAÇÃO DOMICILIAR DE ESGOTO DN 100MM, DA CASA ATÉ A CAIXA, COMPOSTO P OR 10,0M TUBO DE PVC ESGOTO PREDIAL DN 100MM E CAIXA DE ALVENARIA COM TAMPA DE CONCRETO - FORNECIMENTO E INSTALAÇÃO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</si>
  <si>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</si>
  <si>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</si>
  <si>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</si>
  <si>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</si>
  <si>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LIMPEZA DE REVESTIMENTO EM PAREDE C/ SOLUCAO DE ACIDO MURIATICO/AMONIA</t>
  </si>
  <si>
    <t>LIMPEZA DE SUPERFICIES COM JATO DE ALTA PRESSAO DE AR E AGUA</t>
  </si>
  <si>
    <t>LIMPEZA MECANIZADA DE TERRENO COM REMOCAO DE CAMADA VEGETAL, UTILIZAND O MOTONIVELADORA</t>
  </si>
  <si>
    <t>LIMPEZA PISO CERAMICO</t>
  </si>
  <si>
    <t>LIMPEZA PISO MARMORITE/GRANILITE</t>
  </si>
  <si>
    <t>LIMPEZA/PREPARO SUPERFICIE CONCRETO P/PINTURA</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</si>
  <si>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</si>
  <si>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</si>
  <si>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</si>
  <si>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</si>
  <si>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</si>
  <si>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</si>
  <si>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</si>
  <si>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LIXADEIRA MANUAL DE ACO 12 X *21* CM</t>
  </si>
  <si>
    <t>LIXADEIRA MANUAL PLASTICA 8 X *23* CM</t>
  </si>
  <si>
    <t>LIXAMENTO MAN C/ LIXA CALAFATE DE CONCR APARENTE ANTIGO</t>
  </si>
  <si>
    <t>LOCACAO CONVENCIONAL DE OBRA, ATRAVÉS DE GABARITO DE TABUAS CORRIDAS P ONTALETADAS A CADA 1,50M, SEM REAPROVEITAMENTO</t>
  </si>
  <si>
    <t>LOCACAO CONVENCIONAL DE OBRA, ATRAVÉS DE GABARITO DE TABUAS CORRIDAS P ONTALETADAS, COM REAPROVEITAMENTO DE 10 VEZES.</t>
  </si>
  <si>
    <t>LOCACAO CONVENCIONAL DE OBRA, ATRAVÉS DE GABARITO DE TABUAS CORRIDAS P ONTALETADAS, COM REAPROVEITAMENTO DE 3 VEZES.</t>
  </si>
  <si>
    <t>LOCACAO DA OBRA, COM USO DE EQUIPAMENTOS TOPOGRAFICOS, INCLUSIVE NIVEL ADOR</t>
  </si>
  <si>
    <t>LOCAÇÃO DE ADUTORAS, COLETORES TRONCO E INTERCEPTORES - ATÉ DN 500 MM</t>
  </si>
  <si>
    <t>LOCACAO DE ANDAIME METALICO TUBULAR TIPO TORRE</t>
  </si>
  <si>
    <t>LOCACAO E NIVELAMENTO DE EMISSARIO/REDE COLETORA COM AUXILIO DE EQUIPA MENTO TOPOGRAFICO</t>
  </si>
  <si>
    <t>LOCACAO MENSAL DE ANDAIME METALICO TIPO FACHADEIRO, INCLUSIVE MONTAGEM</t>
  </si>
  <si>
    <t>LONA PLASTICA PRETA, E= 150 MICRA</t>
  </si>
  <si>
    <t>LONA PLASTICA, PRETA, LARGURA  8 M, E= 150 MICRA</t>
  </si>
  <si>
    <t>LUMINARIA ABERTA P/ ILUMINACAO PUBLICA, TIPO X-57 PETERCO OU EQUIV</t>
  </si>
  <si>
    <t>LUMINARIA ABERTA PARA ILUMINACAO PUBLICA, PARA LAMPADA A VAPOR DE MERC URIO ATE 400W E MISTA ATE 500W, COM BRACO EM TUBO DE ACO GALV D=50MM P ROJ HOR=2.500MM E PROJ VERT= 2.200MM, FORNECIMENTO E INSTALACAO</t>
  </si>
  <si>
    <t>LUMINARIA CALHA SOBREPOR EM CHAPA ACO C/ 1 LAMPADA FLUORESCENTE 20W (COMPLETA, INCL. REATOR PART RAPIDA E LAMPADA)</t>
  </si>
  <si>
    <t>LUMINARIA CALHA SOBREPOR EM CHAPA ACO C/ 2 LAMPADAS FLUORESCENTES 20W TIPO TMS 500 PHILIPS OU EQUIV (COMPLETA, INCL. REAT PART RAP+LAMP+SUP)</t>
  </si>
  <si>
    <t>LUMINARIA CALHA SOBREPOR EM CHAPA ACO C/ 2 LAMPADAS FLUORESCENTES 40W (COMPLETA, INCL REATOR PART RAPIDA E LAMPADAS)</t>
  </si>
  <si>
    <t>LUMINARIA CALHA SOBREPOR EM CHAPA ACO P/ 1 LAMPADA FLUORESCENTE 20W   (NAO INCLUI REATOR E LAMPADA)</t>
  </si>
  <si>
    <t>LUMINARIA CALHA SOBREPOR EM CHAPA ACO P/ 1 LAMPADA FLUORESCENTE 40W   (NAO INCLUI REATOR E LAMP)</t>
  </si>
  <si>
    <t>LUMINARIA CALHA SOBREPOR EM CHAPA ACO P/ 2 LAMPADAS FLUORESCENTES 2OW (NAO INCLUI REATOR E LAMPADAS)</t>
  </si>
  <si>
    <t>LUMINARIA CALHA SOBREPOR EM CHAPA ACO P/ 2 LAMPADAS FLUORESCENTES 40W (NAO INCLUI REATOR E LAMP)</t>
  </si>
  <si>
    <t>LUMINARIA DUPLA P/SINALIZACAO, TIPO WETZEL AS-2/110 OU EQUIV</t>
  </si>
  <si>
    <t>LUMINARIA ESMALTADA COR ALUMINIO PETERCO Y.25/1</t>
  </si>
  <si>
    <t>LUMINARIA ESTANQUE - PROTECAO CONTRA AGUA, POEIRA OU IMPACTOS - TIPO A QUATIC PIAL OU EQUIVALENTE</t>
  </si>
  <si>
    <t>LUMINARIA FECHADA PARA ILUMINACAO PUBLICA - LAMPADAS DE 250/500W - FOR NECIMENTO E INSTALACAO (EXCLUINDO LAMPADAS)</t>
  </si>
  <si>
    <t>LUMINARIA FECHADA PARA ILUMINACAO PUBLICA COM REATOR DE PARTIDA RAPIDA COM LAMPADA A VAPOR DE MERCURIO 250W - FORNECIMENTO E INSTALACAO</t>
  </si>
  <si>
    <t>LUMINARIA GLOBO VIDRO LEITOSO/PLAFONIER/BOCAL/LAMPADA FLUORESCENTE 20W</t>
  </si>
  <si>
    <t>LUMINARIA GLOBO VIDRO LEITOSO/PLAFONIER/BOCAL/LAMPADA FLUORESCENTE 40W</t>
  </si>
  <si>
    <t>LUMINARIA PARA LAMPADA FLUORESCENTE COM CALHA DE SOBREPOR EM CHAPA DE ACO, INCLUINDO 1 LAMPADA DE 40 W E REATOR ELETRONICO DE PARTIDA RAPIDA.</t>
  </si>
  <si>
    <t>LUMINARIA PHILLIPS TIPO SPOT</t>
  </si>
  <si>
    <t>LUMINARIA PLAFONIER SOBREPOR ARO/BASE METALICA C/ GLOBO ESFERICO VIDRO LEITOSO BOCA 10CM DIAM 20CM P/ 1 LAMP INCAND, INCL SOQUETE PORCELANA</t>
  </si>
  <si>
    <t>LUMINARIA PROVA DE TEMPO PETERCO Y.31/1</t>
  </si>
  <si>
    <t>LUMINARIA SOBREPOR TP CALHA C/REATOR PART CONVENC LAMP 1X20W E STARTER FIX EM LAJE OU FORRO - FORNECIMENTO E COLOCACAO</t>
  </si>
  <si>
    <t>LUMINARIA TIPO CALHA, DE SOBREPOR, COM REATOR DE PARTIDA RAPIDA E LAMP ADA FLUORESCENTE 1X20W, COMPLETA,  FORNECIMENTO E INSTALACAO</t>
  </si>
  <si>
    <t>LUMINARIA TIPO CALHA, DE SOBREPOR, COM REATOR DE PARTIDA RAPIDA E LAMP ADA FLUORESCENTE 1X40W, COMPLETA, FORNECIMENTO E INSTALACAO</t>
  </si>
  <si>
    <t>LUMINARIA TIPO CALHA, DE SOBREPOR, COM REATOR DE PARTIDA RAPIDA E LAMP ADA FLUORESCENTE 2X20W, COMPLETA, FORNECIMENTO E INSTALACAO</t>
  </si>
  <si>
    <t>LUMINARIA TIPO CALHA, DE SOBREPOR, COM REATOR DE PARTIDA RAPIDA E LAMP ADA FLUORESCENTE 2X40W, COMPLETA, FORNECIMENTO E INSTALACAO</t>
  </si>
  <si>
    <t>LUMINARIA TIPO CALHA, DE SOBREPOR, COM REATOR DE PARTIDA RAPIDA E LAMP ADA FLUORESCENTE 4X20W, COMPLETA, FORNECIMENTO E INSTALACAO</t>
  </si>
  <si>
    <t>LUMINARIA TIPO CALHA, DE SOBREPOR, COM REATOR DE PARTIDA RAPIDA E LAMP ADA FLUORESCENTE 4X40W, COMPLETA, FORNECIMENTO E INSTALACAO</t>
  </si>
  <si>
    <t>LUMINARIA TIPO SPOT PARA 1 LAMPADA INCANDESCENTE/FLUORESCENTE COMPACTA</t>
  </si>
  <si>
    <t>LUVA COM BUCHA DE LATÃO, PVC, SOLDÁVEL, DN 20MM X 1/2, INSTALADO EM R AMAL DE DISTRIBUIÇÃO DE ÁGUA - FORNECIMENTO E INSTALAÇÃO. AF_12/2014</t>
  </si>
  <si>
    <t>LUVA COM BUCHA DE LATÃO, PVC, SOLDÁVEL, DN 20MM X 1/2, INSTALADO EM R AMAL OU SUB-RAMAL DE ÁGUA - FORNECIMENTO E INSTALAÇÃO. AF_12/2014</t>
  </si>
  <si>
    <t>LUVA COM BUCHA DE LATÃO, PVC, SOLDÁVEL, DN 25MM X 3/4, INSTALADO EM P RUMADA DE ÁGUA - FORNECIMENTO E INSTALAÇÃO. AF_12/2014</t>
  </si>
  <si>
    <t>LUVA COM BUCHA DE LATÃO, PVC, SOLDÁVEL, DN 25MM X 3/4, INSTALADO EM R AMAL DE DISTRIBUIÇÃO DE ÁGUA - FORNECIMENTO E INSTALAÇÃO. AF_12/2014</t>
  </si>
  <si>
    <t>LUVA COM BUCHA DE LATÃO, PVC, SOLDÁVEL, DN 25MM X 3/4, INSTALADO EM R AMAL OU SUB-RAMAL DE ÁGUA - FORNECIMENTO E INSTALAÇÃO. AF_12/2014</t>
  </si>
  <si>
    <t>LUVA COM BUCHA DE LATÃO, PVC, SOLDÁVEL, DN 32MM X 1 , INSTALADO EM RAM AL DE DISTRIBUIÇÃO DE ÁGUA   FORNECIMENTO E INSTALAÇÃO. AF_12/2014</t>
  </si>
  <si>
    <t>LUVA COM BUCHA DE LATÃO, PVC, SOLDÁVEL, DN 32MM X 1 , INSTALADO EM RAM AL OU SUB-RAMAL DE ÁGUA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</si>
  <si>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</si>
  <si>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</si>
  <si>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</si>
  <si>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</si>
  <si>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</si>
  <si>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</si>
  <si>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</si>
  <si>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</si>
  <si>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</si>
  <si>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</si>
  <si>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ACO GALVANIZADO 4" - FORNECIMENTO E INSTALACAO</t>
  </si>
  <si>
    <t>LUVA DE ACO GALVANIZADO 5" - FORNECIMENTO E INSTALACAO</t>
  </si>
  <si>
    <t>LUVA DE ACO GALVANIZADO 6" - FORNECIMENTO E INSTALACAO</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</si>
  <si>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</si>
  <si>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</si>
  <si>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</si>
  <si>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</si>
  <si>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</si>
  <si>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</si>
  <si>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</si>
  <si>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</si>
  <si>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</si>
  <si>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</si>
  <si>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COBRE, SEM ANEL DE SOLDA, DN 104 MM, INSTALADO EM RESERVAÇÃO D E ÁGUA DE EDIFICAÇÃO QUE POSSUA RESERVATÓRIO DE FIBRA/FIBROCIMENTO  F ORNECIMENTO E INSTALAÇÃO. AF_06/2016_P</t>
  </si>
  <si>
    <t>LUVA DE COBRE, SEM ANEL DE SOLDA, DN 15 MM, INSTALADO EM RAMAL DE DIST RIBUIÇÃO - FORNECIMENTO E INSTALAÇÃO. AF_12/2015_P</t>
  </si>
  <si>
    <t>LUVA DE COBRE, SEM ANEL DE SOLDA, DN 15 MM, INSTALADO EM RAMAL E SUB-R AMAL - FORNECIMENTO E INSTALAÇÃO. AF_12/2015_P</t>
  </si>
  <si>
    <t>LUVA DE COBRE, SEM ANEL DE SOLDA, DN 22 MM, INSTALADO EM PRUMADA - FOR NECIMENTO E INSTALAÇÃO. AF_12/2015_P</t>
  </si>
  <si>
    <t>LUVA DE COBRE, SEM ANEL DE SOLDA, DN 22 MM, INSTALADO EM RAMAL DE DIST RIBUIÇÃO - FORNECIMENTO E INSTALAÇÃO. AF_12/2015_P</t>
  </si>
  <si>
    <t>LUVA DE COBRE, SEM ANEL DE SOLDA, DN 22 MM, INSTALADO EM RAMAL E SUB-R AMAL - FORNECIMENTO E INSTALAÇÃO. AF_12/2015_P</t>
  </si>
  <si>
    <t>LUVA DE COBRE, SEM ANEL DE SOLDA, DN 28 MM, INSTALADO EM PRUMADA - FOR NECIMENTO E INSTALAÇÃO. AF_12/2015_P</t>
  </si>
  <si>
    <t>LUVA DE COBRE, SEM ANEL DE SOLDA, DN 28 MM, INSTALADO EM RAMAL DE DIST RIBUIÇÃO - FORNECIMENTO E INSTALAÇÃO. AF_12/2015_P</t>
  </si>
  <si>
    <t>LUVA DE COBRE, SEM ANEL DE SOLDA, DN 28 MM, INSTALADO EM RAMAL E SUB-R AMAL - FORNECIMENTO E INSTALAÇÃO. AF_12/2015_P</t>
  </si>
  <si>
    <t>LUVA DE COBRE, SEM ANEL DE SOLDA, DN 35 MM, INSTALADO EM PRUMADA - FOR NECIMENTO E INSTALAÇÃO. AF_12/2015_P</t>
  </si>
  <si>
    <t>LUVA DE COBRE, SEM ANEL DE SOLDA, DN 42 MM, INSTALADO EM PRUMADA - FOR NECIMENTO E INSTALAÇÃO. AF_12/2015_P</t>
  </si>
  <si>
    <t>LUVA DE COBRE, SEM ANEL DE SOLDA, DN 54 MM, INSTALADO EM PRUMADA - FOR NECIMENTO E INSTALAÇÃO. AF_12/2015_P</t>
  </si>
  <si>
    <t>LUVA DE COBRE, SEM ANEL DE SOLDA, DN 54 MM, INSTALADO EM RESERVAÇÃO DE ÁGUA DE EDIFICAÇÃO QUE POSSUA RESERVATÓRIO DE FIBRA/FIBROCIMENTO  FO RNECIMENTO E INSTALAÇÃO. AF_06/2016_P</t>
  </si>
  <si>
    <t>LUVA DE COBRE, SEM ANEL DE SOLDA, DN 66 MM, INSTALADO EM PRUMADA - FOR NECIMENTO E INSTALAÇÃO. AF_12/2015_P</t>
  </si>
  <si>
    <t>LUVA DE COBRE, SEM ANEL DE SOLDA, DN 66 MM, INSTALADO EM RESERVAÇÃO DE ÁGUA DE EDIFICAÇÃO QUE POSSUA RESERVATÓRIO DE FIBRA/FIBROCIMENTO  FO RNECIMENTO E INSTALAÇÃO. AF_06/2016_P</t>
  </si>
  <si>
    <t>LUVA DE COBRE, SEM ANEL DE SOLDA, DN 79 MM, INSTALADO EM RESERVAÇÃO DE ÁGUA DE EDIFICAÇÃO QUE POSSUA RESERVATÓRIO DE FIBRA/FIBROCIMENTO  FO RNECIMENTO E INSTALAÇÃO. AF_06/2016_P</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</si>
  <si>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</si>
  <si>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</si>
  <si>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</si>
  <si>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</si>
  <si>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</si>
  <si>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</si>
  <si>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</si>
  <si>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</si>
  <si>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</si>
  <si>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</si>
  <si>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</si>
  <si>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</si>
  <si>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</si>
  <si>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</si>
  <si>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125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</si>
  <si>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</si>
  <si>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</si>
  <si>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</si>
  <si>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</si>
  <si>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PVC, JE, DN 350 MM, PARA REDE COLETORA DE ESGOTO (NBR 10569)</t>
  </si>
  <si>
    <t>LUVA DE CORRER PVC, JE, DN 400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</si>
  <si>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</si>
  <si>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</si>
  <si>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</si>
  <si>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</si>
  <si>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</si>
  <si>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CPVC, SOLDÁVEL, DN 15MM, INSTALADO EM RAMAL OU SUB-RAM AL DE ÁGUA  FORNECIMENTO E INSTALAÇÃO. AF_12/2014</t>
  </si>
  <si>
    <t>LUVA DE CORRER, CPVC, SOLDÁVEL, DN 22MM, INSTALADO EM RAMAL DE DISTRIB UIÇÃO DE ÁGUA   FORNECIMENTO E INSTALAÇÃO. AF_12/2014</t>
  </si>
  <si>
    <t>LUVA DE CORRER, CPVC, SOLDÁVEL, DN 22MM, INSTALADO EM RAMAL OU SUB-RAM AL DE ÁGUA  FORNECIMENTO E INSTALAÇÃO. AF_12/2014</t>
  </si>
  <si>
    <t>LUVA DE CORRER, CPVC, SOLDÁVEL, DN 28MM, INSTALADO EM RAMAL DE DISTRIB UIÇÃO DE ÁGUA   FORNECIMENTO E INSTALAÇÃO. AF_12/2014</t>
  </si>
  <si>
    <t>LUVA DE CORRER, CPVC, SOLDÁVEL, DN 28MM, INSTALADO EM RAMAL OU SUB-RAM AL DE ÁGUA  FORNECIMENTO E INSTALAÇÃO. AF_12/2014</t>
  </si>
  <si>
    <t>LUVA DE CORRER, CPVC, SOLDÁVEL, DN 35MM, INSTALADO EM PRUMADA DE ÁGUA FORNECIMENTO E INSTALAÇÃO. AF_12/2014</t>
  </si>
  <si>
    <t>LUVA DE CORRER, CPVC, SOLDÁVEL, DN 35MM, INSTALADO EM RAMAL DE DISTRIB UIÇÃO DE ÁGUA - FORNECIMENTO E INSTALAÇÃO. AF_12/2014</t>
  </si>
  <si>
    <t>LUVA DE CORRER, CPVC, SOLDÁVEL, DN 35MM, INSTALADO EM RAMAL OU SUB-RAM AL DE ÁGUA  FORNECIMENTO E INSTALAÇÃO. AF_12/2014</t>
  </si>
  <si>
    <t>LUVA DE CORRER, CPVC, SOLDÁVEL, DN 42MM, INSTALADO EM PRUMADA DE ÁGUA FORNECIMENTO E INSTALAÇÃO. AF_12/2014</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</si>
  <si>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</si>
  <si>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</si>
  <si>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</si>
  <si>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</si>
  <si>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</si>
  <si>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</si>
  <si>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</si>
  <si>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</si>
  <si>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</si>
  <si>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CORRER, PVC, SERIE NORMAL, ESGOTO PREDIAL, DN 100 MM, JUNTA EL ÁSTICA, FORNECIDO E INSTALADO EM PRUMADA DE ESGOTO SANITÁRIO OU VENTIL AÇÃO. AF_12/2014</t>
  </si>
  <si>
    <t>LUVA DE CORRER, PVC, SERIE NORMAL, ESGOTO PREDIAL, DN 100 MM, JUNTA EL ÁSTICA, FORNECIDO E INSTALADO EM RAMAL DE DESCARGA OU RAMAL DE ESGOTO SANITÁRIO. AF_12/2014</t>
  </si>
  <si>
    <t>LUVA DE CORRER, PVC, SERIE NORMAL, ESGOTO PREDIAL, DN 100 MM, JUNTA EL ÁSTICA, FORNECIDO E INSTALADO EM SUBCOLETOR AÉREO DE ESGOTO SANITÁRIO. AF_12/2014</t>
  </si>
  <si>
    <t>LUVA DE CORRER, PVC, SERIE NORMAL, ESGOTO PREDIAL, DN 150 MM, JUNTA EL ÁSTICA, FORNECIDO E INSTALADO EM SUBCOLETOR AÉREO DE ESGOTO SANITÁRIO. AF_12/2014</t>
  </si>
  <si>
    <t>LUVA DE CORRER, PVC, SERIE NORMAL, ESGOTO PREDIAL, DN 50 MM, JUNTA ELÁ STICA, FORNECIDO E INSTALADO EM PRUMADA DE ESGOTO SANITÁRIO OU VENTILA ÇÃO. AF_12/2014</t>
  </si>
  <si>
    <t>LUVA DE CORRER, PVC, SERIE NORMAL, ESGOTO PREDIAL, DN 50 MM, JUNTA ELÁ STICA, FORNECIDO E INSTALADO EM RAMAL DE DESCARGA OU RAMAL DE ESGOTO S ANITÁRIO. AF_12/2014</t>
  </si>
  <si>
    <t>LUVA DE CORRER, PVC, SERIE NORMAL, ESGOTO PREDIAL, DN 75 MM, JUNTA ELÁ STICA, FORNECIDO E INSTALADO EM PRUMADA DE ESGOTO SANITÁRIO OU VENTILA ÇÃO. AF_12/2014</t>
  </si>
  <si>
    <t>LUVA DE CORRER, PVC, SERIE NORMAL, ESGOTO PREDIAL, DN 75 MM, JUNTA ELÁ STICA, FORNECIDO E INSTALADO EM RAMAL DE DESCARGA OU RAMAL DE ESGOTO S ANITÁRIO. AF_12/2014</t>
  </si>
  <si>
    <t>LUVA DE CORRER, PVC, SERIE R, ÁGUA PLUVIAL, DN 100 MM, JUNTA ELÁSTICA, FORNECIDO E INSTALADO EM CONDUTORES VERTICAIS DE ÁGUAS PLUVIAIS. AF_1 2/2014</t>
  </si>
  <si>
    <t>LUVA DE CORRER, PVC, SERIE R, ÁGUA PLUVIAL, DN 100 MM, JUNTA ELÁSTICA, FORNECIDO E INSTALADO EM RAMAL DE ENCAMINHAMENTO. AF_12/2014</t>
  </si>
  <si>
    <t>LUVA DE CORRER, PVC, SERIE R, ÁGUA PLUVIAL, DN 150 MM, JUNTA ELÁSTICA, FORNECIDO E INSTALADO EM CONDUTORES VERTICAIS DE ÁGUAS PLUVIAIS. AF_1 2/2014</t>
  </si>
  <si>
    <t>LUVA DE CORRER, PVC, SERIE R, ÁGUA PLUVIAL, DN 75 MM, JUNTA ELÁSTICA, FORNECIDO E INSTALADO EM CONDUTORES VERTICAIS DE ÁGUAS PLUVIAIS. AF_12 /2014</t>
  </si>
  <si>
    <t>LUVA DE CORRER, PVC, SERIE R, ÁGUA PLUVIAL, DN 75 MM, JUNTA ELÁSTICA, FORNECIDO E INSTALADO EM RAMAL DE ENCAMINHAMENTO. AF_12/2014</t>
  </si>
  <si>
    <t>LUVA DE CORRER, PVC, SOLDÁVEL, DN 20MM, INSTALADO EM RAMAL DE DISTRIBU IÇÃO DE ÁGUA - FORNECIMENTO E INSTALAÇÃO. AF_12/2014</t>
  </si>
  <si>
    <t>LUVA DE CORRER, PVC, SOLDÁVEL, DN 20MM, INSTALADO EM RAMAL OU SUB-RAMA L DE ÁGUA - FORNECIMENTO E INSTALAÇÃO. AF_12/2014</t>
  </si>
  <si>
    <t>LUVA DE CORRER, PVC, SOLDÁVEL, DN 25MM, INSTALADO EM PRUMADA DE ÁGUA - FORNECIMENTO E INSTALAÇÃO. AF_12/2014</t>
  </si>
  <si>
    <t>LUVA DE CORRER, PVC, SOLDÁVEL, DN 25MM, INSTALADO EM RAMAL DE DISTRIBU IÇÃO DE ÁGUA - FORNECIMENTO E INSTALAÇÃO. AF_12/2014</t>
  </si>
  <si>
    <t>LUVA DE CORRER, PVC, SOLDÁVEL, DN 25MM, INSTALADO EM RAMAL OU SUB-RAMA L DE ÁGUA - FORNECIMENTO E INSTALAÇÃO. AF_12/2014</t>
  </si>
  <si>
    <t>LUVA DE CORRER, PVC, SOLDÁVEL, DN 32MM, INSTALADO EM PRUMADA DE ÁGUA - FORNECIMENTO E INSTALAÇÃO. AF_12/2014</t>
  </si>
  <si>
    <t>LUVA DE CORRER, PVC, SOLDÁVEL, DN 32MM, INSTALADO EM RAMAL DE DISTRIBU IÇÃO DE ÁGUA   FORNECIMENTO E INSTALAÇÃO. AF_12/2014</t>
  </si>
  <si>
    <t>LUVA DE CORRER, PVC, SOLDÁVEL, DN 32MM, INSTALADO EM RAMAL OU SUB-RAMA L DE ÁGUA   FORNECIMENTO E INSTALAÇÃO. AF_12/2014</t>
  </si>
  <si>
    <t>LUVA DE CORRER, PVC, SOLDÁVEL, DN 50MM, INSTALADO EM PRUMADA DE ÁGUA - FORNECIMENTO E INSTALAÇÃO. AF_12/2014</t>
  </si>
  <si>
    <t>LUVA DE CORRER, PVC, SOLDÁVEL, DN 60MM, INSTALADO EM PRUMADA DE ÁGUA FORNECIMENTO E INSTALAÇÃO. AF_12/2014</t>
  </si>
  <si>
    <t>LUVA DE FERRO GALVANIZADO, COM ROSCA BSP MACHO/FEMEA, DE 3/4"</t>
  </si>
  <si>
    <t>LUVA DE FERRO GALVANIZADO, COM ROSCA BSP, DE 1 1/2"</t>
  </si>
  <si>
    <t>LUVA DE FERRO GALVANIZADO, COM ROSCA BSP, DE 1 1/4"</t>
  </si>
  <si>
    <t>LUVA DE FERRO GALVANIZADO, COM ROSCA BSP, DE 1"</t>
  </si>
  <si>
    <t>LUVA DE FERRO GALVANIZADO, COM ROSCA BSP, DE 1/2"</t>
  </si>
  <si>
    <t>LUVA DE FERRO GALVANIZADO, COM ROSCA BSP, DE 2 1/2"</t>
  </si>
  <si>
    <t>LUVA DE FERRO GALVANIZADO, COM ROSCA BSP, DE 2"</t>
  </si>
  <si>
    <t>LUVA DE FERRO GALVANIZADO, COM ROSCA BSP, DE 3"</t>
  </si>
  <si>
    <t>LUVA DE FERRO GALVANIZADO, COM ROSCA BSP, DE 3/4"</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</si>
  <si>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</si>
  <si>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</si>
  <si>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</si>
  <si>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</si>
  <si>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</si>
  <si>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</si>
  <si>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</si>
  <si>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</si>
  <si>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3/4" X 1/2"</t>
  </si>
  <si>
    <t>LUVA DE REDUCAO DE FERRO GALVANIZADO, COM ROSCA BSP, DE 1 1/2" X 1 1/4"</t>
  </si>
  <si>
    <t>LUVA DE REDUCAO DE FERRO GALVANIZADO, COM ROSCA BSP, DE 1 1/2" X 1"</t>
  </si>
  <si>
    <t>LUVA DE REDUCAO DE FERRO GALVANIZADO, COM ROSCA BSP, DE 1 1/2" X 1/2"</t>
  </si>
  <si>
    <t>LUVA DE REDUCAO DE FERRO GALVANIZADO, COM ROSCA BSP, DE 1 1/2" X 3/4"</t>
  </si>
  <si>
    <t>LUVA DE REDUCAO DE FERRO GALVANIZADO, COM ROSCA BSP, DE 1 1/4" X 1"</t>
  </si>
  <si>
    <t>LUVA DE REDUCAO DE FERRO GALVANIZADO, COM ROSCA BSP, DE 1 1/4" X 1/2"</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</si>
  <si>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</si>
  <si>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</si>
  <si>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</si>
  <si>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</si>
  <si>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</si>
  <si>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</si>
  <si>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</si>
  <si>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</si>
  <si>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 X 1 1/2"</t>
  </si>
  <si>
    <t>LUVA DE REDUCAO DE FERRO GALVANIZADO, COM ROSCA BSP, DE 3" X 2 1/2"</t>
  </si>
  <si>
    <t>LUVA DE REDUCAO DE FERRO GALVANIZADO, COM ROSCA BSP, DE 3" X 2"</t>
  </si>
  <si>
    <t>LUVA DE REDUCAO DE FERRO GALVANIZADO, COM ROSCA BSP, DE 3/4" X 1/2"</t>
  </si>
  <si>
    <t>LUVA DE REDUCAO DE FERRO GALVANIZADO, COM ROSCA BSP, DE 4" X 2 1/2"</t>
  </si>
  <si>
    <t>LUVA DE REDUCAO DE FERRO GALVANIZADO, COM ROSCA BSP, DE 4" X 2"</t>
  </si>
  <si>
    <t>LUVA DE REDUCAO DE FERRO GALVANIZADO, COM ROSCA BSP, DE 4" X 3"</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</si>
  <si>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</si>
  <si>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</si>
  <si>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</si>
  <si>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</si>
  <si>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</si>
  <si>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</si>
  <si>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REDUÇÃO, EM FERRO GALVANIZADO, 1 1/4" X 1", CONEXÃO ROSQUEADA, INSTALADO EM REDE DE ALIMENTAÇÃO PARA HIDRANTE - FORNECIMENTO E INSTA LAÇÃO. AF_12/2015</t>
  </si>
  <si>
    <t>LUVA DE REDUÇÃO, EM FERRO GALVANIZADO, 1 1/4" X 1/2", CONEXÃO ROSQUEAD A, INSTALADO EM REDE DE ALIMENTAÇÃO PARA HIDRANTE - FORNECIMENTO E INS TALAÇÃO. AF_12/2015</t>
  </si>
  <si>
    <t>LUVA DE REDUÇÃO, EM FERRO GALVANIZADO, 1 1/4" X 3/4", CONEXÃO ROSQUEAD A, INSTALADO EM REDE DE ALIMENTAÇÃO PARA HIDRANTE - FORNECIMENTO E INS TALAÇÃO. AF_12/2015</t>
  </si>
  <si>
    <t>LUVA DE REDUÇÃO, EM FERRO GALVANIZADO, 1" X 1/2", CONEXÃO ROSQUEADA, I NSTALADO EM REDE DE ALIMENTAÇÃO PARA HIDRANTE - FORNECIMENTO E INSTALA ÇÃO. AF_12/2015</t>
  </si>
  <si>
    <t>LUVA DE REDUÇÃO, EM FERRO GALVANIZADO, 1" X 1/2", CONEXÃO ROSQUEADA, I NSTALADO EM REDE DE ALIMENTAÇÃO PARA SPRINKLER - FORNECIMENTO E INSTAL AÇÃO. AF_12/2015</t>
  </si>
  <si>
    <t>LUVA DE REDUÇÃO, EM FERRO GALVANIZADO, 1" X 3/4", CONEXÃO ROSQUEADA, I NSTALADO EM REDE DE ALIMENTAÇÃO PARA HIDRANTE - FORNECIMENTO E INSTALA ÇÃO. AF_12/2015</t>
  </si>
  <si>
    <t>LUVA DE REDUÇÃO, EM FERRO GALVANIZADO, 1" X 3/4", CONEXÃO ROSQUEADA, I NSTALADO EM REDE DE ALIMENTAÇÃO PARA SPRINKLER - FORNECIMENTO E INSTAL AÇÃO. AF_12/2015</t>
  </si>
  <si>
    <t>LUVA DE REDUÇÃO, EM FERRO GALVANIZADO, 1.1/2" X 1", CONEXÃO ROSQUEADA, INSTALADO EM REDE DE ALIMENTAÇÃO PARA HIDRANTE - FORNECIMENTO E INSTA LAÇÃO. AF_12/2015</t>
  </si>
  <si>
    <t>LUVA DE REDUÇÃO, EM FERRO GALVANIZADO, 1.1/2" X 1", CONEXÃO ROSQUEADA, INSTALADO EM REDE DE ALIMENTAÇÃO PARA SPRINKLER - FORNECIMENTO E INST ALAÇÃO. AF_12/2015</t>
  </si>
  <si>
    <t>LUVA DE REDUÇÃO, EM FERRO GALVANIZADO, 1.1/2" X 1.1/4", CONEXÃO ROSQUE ADA, INSTALADO EM REDE DE ALIMENTAÇÃO PARA HIDRANTE - FORNECIMENTO E I NSTALAÇÃO. AF_12/2015</t>
  </si>
  <si>
    <t>LUVA DE REDUÇÃO, EM FERRO GALVANIZADO, 1.1/2" X 1.1/4", CONEXÃO ROSQUE ADA, INSTALADO EM REDE DE ALIMENTAÇÃO PARA SPRINKLER - FORNECIMENTO E INSTALAÇÃO. AF_12/2015</t>
  </si>
  <si>
    <t>LUVA DE REDUÇÃO, EM FERRO GALVANIZADO, 1.1/2" X 3/4", CONEXÃO ROSQUEAD A, INSTALADO EM REDE DE ALIMENTAÇÃO PARA HIDRANTE - FORNECIMENTO E INS TALAÇÃO. AF_12/2015</t>
  </si>
  <si>
    <t>LUVA DE REDUÇÃO, EM FERRO GALVANIZADO, 1.1/2" X 3/4", CONEXÃO ROSQUEAD A, INSTALADO EM REDE DE ALIMENTAÇÃO PARA SPRINKLER - FORNECIMENTO E IN STALAÇÃO. AF_12/2015</t>
  </si>
  <si>
    <t>LUVA DE REDUÇÃO, EM FERRO GALVANIZADO, 1.1/4" X 1", CONEXÃO ROSQUEADA, INSTALADO EM REDE DE ALIMENTAÇÃO PARA SPRINKLER - FORNECIMENTO E INST ALAÇÃO. AF_12/2015</t>
  </si>
  <si>
    <t>LUVA DE REDUÇÃO, EM FERRO GALVANIZADO, 1.1/4" X 1/2", CONEXÃO ROSQUEAD A, INSTALADO EM REDE DE ALIMENTAÇÃO PARA SPRINKLER - FORNECIMENTO E IN STALAÇÃO. AF_12/2015</t>
  </si>
  <si>
    <t>LUVA DE REDUÇÃO, EM FERRO GALVANIZADO, 1.1/4" X 3/4", CONEXÃO ROSQUEAD A, INSTALADO EM REDE DE ALIMENTAÇÃO PARA SPRINKLER - FORNECIMENTO E IN STALAÇÃO. AF_12/2015</t>
  </si>
  <si>
    <t>LUVA DE REDUÇÃO, EM FERRO GALVANIZADO, 2 1/2" X 1.1/2", CONEXÃO ROSQUE ADA, INSTALADO EM REDE DE ALIMENTAÇÃO PARA SPRINKLER - FORNECIMENTO E INSTALAÇÃO. AF_12/2015</t>
  </si>
  <si>
    <t>LUVA DE REDUÇÃO, EM FERRO GALVANIZADO, 2 1/2" X 2", CONEXÃO ROSQUEADA, INSTALADO EM REDE DE ALIMENTAÇÃO PARA SPRINKLER - FORNECIMENTO E INST ALAÇÃO. AF_12/2015</t>
  </si>
  <si>
    <t>LUVA DE REDUÇÃO, EM FERRO GALVANIZADO, 2" X 1", CONEXÃO ROSQUEADA, INS TALADO EM PRUMADAS - FORNECIMENTO E INSTALAÇÃO. AF_12/2015</t>
  </si>
  <si>
    <t>LUVA DE REDUÇÃO, EM FERRO GALVANIZADO, 2" X 1", CONEXÃO ROSQUEADA, INS TALADO EM REDE DE ALIMENTAÇÃO PARA HIDRANTE - FORNECIMENTO E INSTALAÇÃ O. AF_12/2015</t>
  </si>
  <si>
    <t>LUVA DE REDUÇÃO, EM FERRO GALVANIZADO, 2" X 1", CONEXÃO ROSQUEADA, INS TALADO EM REDE DE ALIMENTAÇÃO PARA SPRINKLER - FORNECIMENTO E INSTALAÇ ÃO. AF_12/2015</t>
  </si>
  <si>
    <t>LUVA DE REDUÇÃO, EM FERRO GALVANIZADO, 2" X 1.1/2", CONEXÃO ROSQUEADA, INSTALADO EM REDE DE ALIMENTAÇÃO PARA HIDRANTE - FORNECIMENTO E INSTA LAÇÃO. AF_12/2015</t>
  </si>
  <si>
    <t>LUVA DE REDUÇÃO, EM FERRO GALVANIZADO, 2" X 1.1/2", CONEXÃO ROSQUEADA, INSTALADO EM REDE DE ALIMENTAÇÃO PARA SPRINKLER - FORNECIMENTO E INST ALAÇÃO. AF_12/2015</t>
  </si>
  <si>
    <t>LUVA DE REDUÇÃO, EM FERRO GALVANIZADO, 2" X 1.1/4", CONEXÃO ROSQUEADA, INSTALADO EM REDE DE ALIMENTAÇÃO PARA HIDRANTE - FORNECIMENTO E INSTA LAÇÃO. AF_12/2015</t>
  </si>
  <si>
    <t>LUVA DE REDUÇÃO, EM FERRO GALVANIZADO, 2" X 1.1/4", CONEXÃO ROSQUEADA, INSTALADO EM REDE DE ALIMENTAÇÃO PARA SPRINKLER - FORNECIMENTO E INST ALAÇÃO. AF_12/2015</t>
  </si>
  <si>
    <t>LUVA DE REDUÇÃO, EM FERRO GALVANIZADO, 2.1/2" X 1.1/2", CONEXÃO ROSQUE ADA, INSTALADO EM PRUMADAS - FORNECIMENTO E INSTALAÇÃO. AF_12/2015</t>
  </si>
  <si>
    <t>LUVA DE REDUÇÃO, EM FERRO GALVANIZADO, 2.1/2" X 1.1/2", CONEXÃO ROSQUE ADA, INSTALADO EM REDE DE ALIMENTAÇÃO PARA HIDRANTE - FORNECIMENTO E I NSTALAÇÃO. AF_12/2015</t>
  </si>
  <si>
    <t>LUVA DE REDUÇÃO, EM FERRO GALVANIZADO, 2.1/2" X 2", CONEXÃO ROSQUEADA, INSTALADO EM REDE DE ALIMENTAÇÃO PARA HIDRANTE - FORNECIMENTO E INSTA LAÇÃO. AF_12/2015</t>
  </si>
  <si>
    <t>LUVA DE REDUÇÃO, EM FERRO GALVANIZADO, 3" X 2", CONEXÃO ROSQUEADA, INS TALADO EM PRUMADAS - FORNECIMENTO E INSTALAÇÃO. AF_12/2015</t>
  </si>
  <si>
    <t>LUVA DE REDUÇÃO, EM FERRO GALVANIZADO, 3" X 2", CONEXÃO ROSQUEADA, INS TALADO EM REDE DE ALIMENTAÇÃO PARA HIDRANTE - FORNECIMENTO E INSTALAÇÃ O. AF_12/2015</t>
  </si>
  <si>
    <t>LUVA DE REDUÇÃO, EM FERRO GALVANIZADO, 3" X 2", CONEXÃO ROSQUEADA, INS TALADO EM REDE DE ALIMENTAÇÃO PARA SPRINKLER - FORNECIMENTO E INSTALAÇ ÃO. AF_12/2015</t>
  </si>
  <si>
    <t>LUVA DE REDUÇÃO, EM FERRO GALVANIZADO, 3" X 2.1/2", CONEXÃO ROSQUEADA, INSTALADO EM REDE DE ALIMENTAÇÃO PARA HIDRANTE - FORNECIMENTO E INSTA LAÇÃO. AF_12/2015</t>
  </si>
  <si>
    <t>LUVA DE REDUÇÃO, EM FERRO GALVANIZADO, 3" X 2.1/2", CONEXÃO ROSQUEADA, INSTALADO EM REDE DE ALIMENTAÇÃO PARA SPRINKLER - FORNECIMENTO E INST ALAÇÃO. AF_12/2015</t>
  </si>
  <si>
    <t>LUVA DE REDUCAO, PVC, SOLDAVEL, 50 X 25 MM, PARA AGUA FRIA PREDIAL</t>
  </si>
  <si>
    <t>LUVA DE REDUÇÃO, PVC, SOLDÁVEL, DN 25MM X 20MM, INSTALADO EM RAMAL DE DISTRIBUIÇÃO DE ÁGUA - FORNECIMENTO E INSTALAÇÃO. AF_12/2014</t>
  </si>
  <si>
    <t>LUVA DE REDUÇÃO, PVC, SOLDÁVEL, DN 25MM X 20MM, INSTALADO EM RAMAL OU SUB-RAMAL DE ÁGUA - FORNECIMENTO E INSTALAÇÃO. AF_12/2014</t>
  </si>
  <si>
    <t>LUVA DE REDUÇÃO, PVC, SOLDÁVEL, DN 32MM X 25MM, INSTALADO EM PRUMADA D E ÁGUA - FORNECIMENTO E INSTALAÇÃO. AF_12/2014</t>
  </si>
  <si>
    <t>LUVA DE REDUÇÃO, PVC, SOLDÁVEL, DN 32MM X 25MM, INSTALADO EM RAMAL DE DISTRIBUIÇÃO DE ÁGUA - FORNECIMENTO E INSTALAÇÃO. AF_12/2014</t>
  </si>
  <si>
    <t>LUVA DE REDUÇÃO, PVC, SOLDÁVEL, DN 32MM X 25MM, INSTALADO EM RAMAL OU SUB-RAMAL DE ÁGUA - FORNECIMENTO E INSTALAÇÃO. AF_12/2014</t>
  </si>
  <si>
    <t>LUVA DE REDUÇÃO, PVC, SOLDÁVEL, DN 40MM X 32MM, INSTALADO EM PRUMADA D E ÁGUA - FORNECIMENTO E INSTALAÇÃO. AF_12/2014</t>
  </si>
  <si>
    <t>LUVA DE REDUÇÃO, PVC, SOLDÁVEL, DN 40MM X 32MM, INSTALADO EM RAMAL DE DISTRIBUIÇÃO DE ÁGUA - FORNECIMENTO E INSTALAÇÃO. AF_12/2014</t>
  </si>
  <si>
    <t>LUVA DE REDUÇÃO, PVC, SOLDÁVEL, DN 40MM X 32MM, INSTALADO EM RAMAL OU SUB-RAMAL DE ÁGUA - FORNECIMENTO E INSTALAÇÃO. AF_12/2014</t>
  </si>
  <si>
    <t>LUVA DE REDUÇÃO, PVC, SOLDÁVEL, DN 50MM X 25MM, INSTALADO EM PRUMADA D E ÁGUA   FORNECIMENTO E INSTALAÇÃO. AF_12/2014</t>
  </si>
  <si>
    <t>LUVA DE REDUÇÃO, PVC, SOLDÁVEL, DN 60MM X 50MM, INSTALADO EM PRUMADA D E ÁGUA - FORNECIMENTO E INSTALAÇÃO. AF_12/2014</t>
  </si>
  <si>
    <t>LUVA DE TRANSICAO DE CPVC X PVC, SOLDAVEL, 22 X 25 MM, PARA AGUA QUENTE</t>
  </si>
  <si>
    <t>LUVA DE TRANSICAO, CPVC, 15 MM X 1/2", PARA AGUA QUENTE PREDIAL</t>
  </si>
  <si>
    <t>LUVA DE TRANSICAO, CPVC, 22 MM X 1/2", PARA AGUA QUENTE</t>
  </si>
  <si>
    <t>LUVA DE TRANSICAO, CPVC, SOLDAVEL, 42 MM X 1 1/2", PARA AGUA QUENTE</t>
  </si>
  <si>
    <t>LUVA DE TRANSICAO, CPVC, SOLDAVEL, 54 MM X 2", PARA AGUA QUENTE PREDIAL</t>
  </si>
  <si>
    <t>LUVA DE TRANSIÇÃO, CPVC, SOLDÁVEL, DN 22MM X 25MM, INSTALADO EM RAMAL DE DISTRIBUIÇÃO DE ÁGUA   FORNECIMENTO E INSTALAÇÃO. AF_12/2014</t>
  </si>
  <si>
    <t>LUVA DE TRANSIÇÃO, CPVC, SOLDÁVEL, DN 54MM X 2, INSTALADO EM PRUMADA DE ÁGUA  FORNECIMENTO E INSTALAÇÃO. AF_12/2014</t>
  </si>
  <si>
    <t>LUVA DE TRANSIÇÃO, CPVC, SOLDÁVEL, DN15MM X 1/2", INSTALADO EM RAMAL O U SUB-RAMAL DE ÁGUA - FORNECIMENTO E INSTALAÇÃO. AF_12/2014</t>
  </si>
  <si>
    <t>LUVA DE TRANSIÇÃO, CPVC, SOLDÁVEL, DN22MM X 25MM, INSTALADO EM RAMAL O U SUB-RAMAL DE ÁGUA - FORNECIMENTO E INSTALAÇÃO. AF_12/2014</t>
  </si>
  <si>
    <t>LUVA DE TRANSIÇÃO, CPVC, SOLDÁVEL, DN42MM X 1.1/2, INSTALADO EM PRUMA DA DE ÁGUA  FORNECIMENTO E INSTALAÇÃO. AF_12/2014</t>
  </si>
  <si>
    <t>LUVA DUPLA, PVC LEVE, DN 150 MM</t>
  </si>
  <si>
    <t>LUVA EM PVC RIGIDO ROSCAVEL, DE 1 1/2", PARA ELETRODUTO</t>
  </si>
  <si>
    <t>LUVA EM PVC RIGIDO ROSCAVEL, DE 1 1/4", PARA ELETRODUTO</t>
  </si>
  <si>
    <t>LUVA EM PVC RIGIDO ROSCAVEL, DE 1", PARA ELETRODUTO</t>
  </si>
  <si>
    <t>LUVA EM PVC RIGIDO ROSCAVEL, DE 1/2", PARA ELETRODUTO</t>
  </si>
  <si>
    <t>LUVA EM PVC RIGIDO ROSCAVEL, DE 2 1/2", PARA ELETRODUTO</t>
  </si>
  <si>
    <t>LUVA EM PVC RIGIDO ROSCAVEL, DE 2", PARA ELETRODUTO</t>
  </si>
  <si>
    <t>LUVA EM PVC RIGIDO ROSCAVEL, DE 3", PARA ELETRODUTO</t>
  </si>
  <si>
    <t>LUVA EM PVC RIGIDO ROSCAVEL, DE 3/4", PARA ELETRODUTO</t>
  </si>
  <si>
    <t>LUVA EM PVC RIGIDO ROSCAVEL, DE 4", PARA ELETRODUTO</t>
  </si>
  <si>
    <t>LUVA PARA ELETRODUTO, PVC, ROSCÁVEL, DN 110 MM (4") - FORNECIMENTO E I NSTALAÇÃO. AF_12/2015</t>
  </si>
  <si>
    <t>LUVA PARA ELETRODUTO, PVC, ROSCÁVEL, DN 20 MM (1/2"), PARA CIRCUITOS T ERMINAIS, INSTALADA EM FORRO - FORNECIMENTO E INSTALAÇÃO. AF_12/2015</t>
  </si>
  <si>
    <t>LUVA PARA ELETRODUTO, PVC, ROSCÁVEL, DN 20 MM (1/2"), PARA CIRCUITOS T ERMINAIS, INSTALADA EM LAJE - FORNECIMENTO E INSTALAÇÃO. AF_12/2015</t>
  </si>
  <si>
    <t>LUVA PARA ELETRODUTO, PVC, ROSCÁVEL, DN 20 MM (1/2"), PARA CIRCUITOS T ERMINAIS, INSTALADA EM PAREDE - FORNECIMENTO E INSTALAÇÃO. AF_12/2015</t>
  </si>
  <si>
    <t>LUVA PARA ELETRODUTO, PVC, ROSCÁVEL, DN 25 MM (3/4"), PARA CIRCUITOS T ERMINAIS, INSTALADA EM FORRO - FORNECIMENTO E INSTALAÇÃO. AF_12/2015</t>
  </si>
  <si>
    <t>LUVA PARA ELETRODUTO, PVC, ROSCÁVEL, DN 25 MM (3/4"), PARA CIRCUITOS T ERMINAIS, INSTALADA EM LAJE - FORNECIMENTO E INSTALAÇÃO. AF_12/2015</t>
  </si>
  <si>
    <t>LUVA PARA ELETRODUTO, PVC, ROSCÁVEL, DN 25 MM (3/4"), PARA CIRCUITOS T ERMINAIS, INSTALADA EM PAREDE - FORNECIMENTO E INSTALAÇÃO. AF_12/2015</t>
  </si>
  <si>
    <t>LUVA PARA ELETRODUTO, PVC, ROSCÁVEL, DN 32 MM (1"), PARA CIRCUITOS TER MINAIS, INSTALADA EM FORRO - FORNECIMENTO E INSTALAÇÃO. AF_12/2015</t>
  </si>
  <si>
    <t>LUVA PARA ELETRODUTO, PVC, ROSCÁVEL, DN 32 MM (1"), PARA CIRCUITOS TER MINAIS, INSTALADA EM LAJE - FORNECIMENTO E INSTALAÇÃO. AF_12/2015</t>
  </si>
  <si>
    <t>LUVA PARA ELETRODUTO, PVC, ROSCÁVEL, DN 32 MM (1"), PARA CIRCUITOS TER MINAIS, INSTALADA EM PAREDE - FORNECIMENTO E INSTALAÇÃO. AF_12/2015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</si>
  <si>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</si>
  <si>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</si>
  <si>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LUVA PARA ELETRODUTO, PVC, ROSCÁVEL, DN 40 MM (1 1/4"), PARA CIRCUITOS TERMINAIS, INSTALADA EM PAREDE - FORNECIMENTO E INSTALAÇÃO. AF_12/201 5</t>
  </si>
  <si>
    <t>LUVA PARA ELETRODUTO, PVC, ROSCÁVEL, DN 50 MM (1 1/2") - FORNECIMENTO E INSTALAÇÃO. AF_12/2015</t>
  </si>
  <si>
    <t>LUVA PARA ELETRODUTO, PVC, ROSCÁVEL, DN 60 MM (2") - FORNECIMENTO E IN STALAÇÃO. AF_12/2015</t>
  </si>
  <si>
    <t>LUVA PARA ELETRODUTO, PVC, ROSCÁVEL, DN 75 MM (2 1/2") - FORNECIMENTO E INSTALAÇÃO. AF_12/2015</t>
  </si>
  <si>
    <t>LUVA PARA ELETRODUTO, PVC, ROSCÁVEL, DN 85 MM (3") - FORNECIMENTO E IN STALAÇÃO. AF_12/2015</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</si>
  <si>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</si>
  <si>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</si>
  <si>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</si>
  <si>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</si>
  <si>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</si>
  <si>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</si>
  <si>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</si>
  <si>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PASSANTE EM COBRE, SEM ANEL DE SOLDA, DN 15 MM, INSTALADO EM RAMA L DE DISTRIBUIÇÃO   FORNECIMENTO E INSTALAÇÃO. AF_01/2016_P</t>
  </si>
  <si>
    <t>LUVA PASSANTE EM COBRE, SEM ANEL DE SOLDA, DN 15 MM, INSTALADO EM RAMA L E SUB-RAMAL   FORNECIMENTO E INSTALAÇÃO. AF_01/2016_P</t>
  </si>
  <si>
    <t>LUVA PASSANTE EM COBRE, SEM ANEL DE SOLDA, DN 22 MM, INSTALADO EM PRUM ADA   FORNECIMENTO E INSTALAÇÃO. AF_01/2016_P</t>
  </si>
  <si>
    <t>LUVA PASSANTE EM COBRE, SEM ANEL DE SOLDA, DN 22 MM, INSTALADO EM RAMA L DE DISTRIBUIÇÃO   FORNECIMENTO E INSTALAÇÃO. AF_01/2016_P</t>
  </si>
  <si>
    <t>LUVA PASSANTE EM COBRE, SEM ANEL DE SOLDA, DN 22 MM, INSTALADO EM RAMA L E SUB-RAMAL   FORNECIMENTO E INSTALAÇÃO. AF_01/2016_P</t>
  </si>
  <si>
    <t>LUVA PASSANTE EM COBRE, SEM ANEL DE SOLDA, DN 28 MM, INSTALADO EM PRUM ADA   FORNECIMENTO E INSTALAÇÃO. AF_01/2016_P</t>
  </si>
  <si>
    <t>LUVA PASSANTE EM COBRE, SEM ANEL DE SOLDA, DN 28 MM, INSTALADO EM RAMA L DE DISTRIBUIÇÃO   FORNECIMENTO E INSTALAÇÃO. AF_01/2016_P</t>
  </si>
  <si>
    <t>LUVA PASSANTE EM COBRE, SEM ANEL DE SOLDA, DN 28 MM, INSTALADO EM RAMA L E SUB-RAMAL   FORNECIMENTO E INSTALAÇÃO. AF_01/2016_P</t>
  </si>
  <si>
    <t>LUVA PASSANTE EM COBRE, SEM ANEL DE SOLDA, DN 35 MM, INSTALADO EM PRUM ADA   FORNECIMENTO E INSTALAÇÃO. AF_01/2016_P</t>
  </si>
  <si>
    <t>LUVA PASSANTE EM COBRE, SEM ANEL DE SOLDA, DN 42 MM, INSTALADO EM PRUM ADA   FORNECIMENTO E INSTALAÇÃO. AF_01/2016_P</t>
  </si>
  <si>
    <t>LUVA PASSANTE EM COBRE, SEM ANEL DE SOLDA, DN 54 MM, INSTALADO EM PRUM ADA   FORNECIMENTO E INSTALAÇÃO. AF_01/2016_P</t>
  </si>
  <si>
    <t>LUVA PASSANTE EM COBRE, SEM ANEL DE SOLDA, DN 66 MM, INSTALADO EM PRUM ADA   FORNECIMENTO E INSTALAÇÃO. AF_01/2016_P</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</si>
  <si>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</si>
  <si>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</si>
  <si>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</si>
  <si>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</si>
  <si>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</si>
  <si>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</si>
  <si>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</si>
  <si>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</si>
  <si>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</si>
  <si>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</si>
  <si>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</si>
  <si>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</si>
  <si>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</si>
  <si>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</si>
  <si>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PVC, ROSCAVEL, 4",  AGUA FRIA PREDIAL</t>
  </si>
  <si>
    <t>LUVA PVC, SOLDÁVEL, DN  25 MM, INSTALADA EM RESERVAÇÃO DE ÁGUA DE EDIF ICAÇÃO QUE POSSUA RESERVATÓRIO DE FIBRA/FIBROCIMENTO   FORNECIMENTO E INSTALAÇÃO. AF_06/2016</t>
  </si>
  <si>
    <t>LUVA PVC, SOLDÁVEL, DN 32 MM, INSTALADA EM RESERVAÇÃO DE ÁGUA DE EDIFI CAÇÃO QUE POSSUA RESERVATÓRIO DE FIBRA/FIBROCIMENTO   FORNECIMENTO E I NSTALAÇÃO. AF_06/2016</t>
  </si>
  <si>
    <t>LUVA RASPA DE COURO, CANO CURTO (PUNHO *7* CM)</t>
  </si>
  <si>
    <t>LUVA REDUCAO ACO GALVANIZADO 4X2" - FORNECIMENTO E INSTALACAO</t>
  </si>
  <si>
    <t>LUVA REDUCAO ACO GALVANIZADO 4X2.1/2" - FORNECIMENTO E INSTALACAO</t>
  </si>
  <si>
    <t>LUVA REDUCAO ACO GALVANIZADO 4X3" - FORNECIMENTO E INSTALACAO</t>
  </si>
  <si>
    <t>LUVA ROSCAVEL, PVC, 1", AGUA FRIA PREDIAL</t>
  </si>
  <si>
    <t>LUVA ROSCAVEL, PVC, 1/2",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</si>
  <si>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</si>
  <si>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</si>
  <si>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</si>
  <si>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</si>
  <si>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</si>
  <si>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</si>
  <si>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</si>
  <si>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</si>
  <si>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</si>
  <si>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SERIE NORMAL, ESGOTO PREDIAL, DN 100 MM, JUNTA ELÁS TICA, FORNECIDO E INSTALADO EM PRUMADA DE ESGOTO SANITÁRIO OU VENTILAÇ ÃO. AF_12/2014</t>
  </si>
  <si>
    <t>LUVA SIMPLES, PVC, SERIE NORMAL, ESGOTO PREDIAL, DN 100 MM, JUNTA ELÁS TICA, FORNECIDO E INSTALADO EM RAMAL DE DESCARGA OU RAMAL DE ESGOTO SA NITÁRIO. AF_12/2014</t>
  </si>
  <si>
    <t>LUVA SIMPLES, PVC, SERIE NORMAL, ESGOTO PREDIAL, DN 100 MM, JUNTA ELÁS TICA, FORNECIDO E INSTALADO EM SUBCOLETOR AÉREO DE ESGOTO SANITÁRIO. A F_12/2014</t>
  </si>
  <si>
    <t>LUVA SIMPLES, PVC, SERIE NORMAL, ESGOTO PREDIAL, DN 40 MM, JUNTA SOLDÁ VEL, FORNECIDO E INSTALADO EM RAMAL DE DESCARGA OU RAMAL DE ESGOTO SAN ITÁRIO. AF_12/2014</t>
  </si>
  <si>
    <t>LUVA SIMPLES, PVC, SERIE NORMAL, ESGOTO PREDIAL, DN 50 MM, JUNTA ELÁST ICA, FORNECIDO E INSTALADO EM PRUMADA DE ESGOTO SANITÁRIO OU VENTILAÇÃ O. AF_12/2014</t>
  </si>
  <si>
    <t>LUVA SIMPLES, PVC, SERIE NORMAL, ESGOTO PREDIAL, DN 50 MM, JUNTA ELÁST ICA, FORNECIDO E INSTALADO EM RAMAL DE DESCARGA OU RAMAL DE ESGOTO SAN ITÁRIO. AF_12/2014</t>
  </si>
  <si>
    <t>LUVA SIMPLES, PVC, SERIE NORMAL, ESGOTO PREDIAL, DN 75 MM, JUNTA ELÁST ICA, FORNECIDO E INSTALADO EM PRUMADA DE ESGOTO SANITÁRIO OU VENTILAÇÃ O. AF_12/2014</t>
  </si>
  <si>
    <t>LUVA SIMPLES, PVC, SERIE NORMAL, ESGOTO PREDIAL, DN 75 MM, JUNTA ELÁST ICA, FORNECIDO E INSTALADO EM RAMAL DE DESCARGA OU RAMAL DE ESGOTO SAN ITÁRIO. AF_12/2014</t>
  </si>
  <si>
    <t>LUVA SIMPLES, PVC, SERIE R, ÁGUA PLUVIAL, DN 100 MM, JUNTA ELÁSTICA, F ORNECIDO E INSTALADO EM CONDUTORES VERTICAIS DE ÁGUAS PLUVIAIS. AF_12/ 2014</t>
  </si>
  <si>
    <t>LUVA SIMPLES, PVC, SERIE R, ÁGUA PLUVIAL, DN 100 MM, JUNTA ELÁSTICA, F ORNECIDO E INSTALADO EM RAMAL DE ENCAMINHAMENTO. AF_12/2014</t>
  </si>
  <si>
    <t>LUVA SIMPLES, PVC, SERIE R, ÁGUA PLUVIAL, DN 150 MM, JUNTA ELÁSTICA, F ORNECIDO E INSTALADO EM CONDUTORES VERTICAIS DE ÁGUAS PLUVIAIS. AF_12/ 2014</t>
  </si>
  <si>
    <t>LUVA SIMPLES, PVC, SERIE R, ÁGUA PLUVIAL, DN 40 MM, JUNTA SOLDÁVEL, FO RNECIDO E INSTALADO EM RAMAL DE ENCAMINHAMENTO. AF_12/2014</t>
  </si>
  <si>
    <t>LUVA SIMPLES, PVC, SERIE R, ÁGUA PLUVIAL, DN 50 MM, JUNTA ELÁSTICA, FO RNECIDO E INSTALADO EM RAMAL DE ENCAMINHAMENTO. AF_12/2014</t>
  </si>
  <si>
    <t>LUVA SIMPLES, PVC, SERIE R, ÁGUA PLUVIAL, DN 75 MM, JUNTA ELÁSTICA, FO RNECIDO E INSTALADO EM CONDUTORES VERTICAIS DE ÁGUAS PLUVIAIS. AF_12/2 014</t>
  </si>
  <si>
    <t>LUVA SIMPLES, PVC, SERIE R, ÁGUA PLUVIAL, DN 75 MM, JUNTA ELÁSTICA, FO RNECIDO E INSTALADO EM RAMAL DE ENCAMINHAMENTO. AF_12/2014</t>
  </si>
  <si>
    <t>LUVA SIMPLES, PVC, SOLDAVEL, DN 100 MM, SERIE NORMAL, PARA ESGOTO PREDIAL</t>
  </si>
  <si>
    <t>LUVA SIMPLES, PVC, SOLDAVEL, DN 150 MM, SERIE NORMAL, PARA ESGOTO PREDIAL</t>
  </si>
  <si>
    <t>LUVA SIMPLES, PVC, SOLDAVEL, DN 200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</si>
  <si>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</si>
  <si>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</si>
  <si>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</si>
  <si>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</si>
  <si>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</si>
  <si>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</si>
  <si>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</si>
  <si>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</si>
  <si>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</si>
  <si>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</si>
  <si>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</si>
  <si>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</si>
  <si>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</si>
  <si>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SOLDÁVEL E COM BUCHA DE LATÃO, PVC, SOLDÁVEL, DN 32MM X 1 , INSTA LADO EM PRUMADA DE ÁGUA   FORNECIMENTO E INSTALAÇÃO. AF_12/2014</t>
  </si>
  <si>
    <t>LUVA SOLDÁVEL E COM ROSCA, PVC, SOLDÁVEL, DN 25MM X 3/4, INSTALADO EM PRUMADA DE ÁGUA - FORNECIMENTO E INSTALAÇÃO. AF_12/2014</t>
  </si>
  <si>
    <t>LUVA SOLDÁVEL E COM ROSCA, PVC, SOLDÁVEL, DN 25MM X 3/4, INSTALADO EM RAMAL OU SUB-RAMAL DE ÁGUA - FORNECIMENTO E INSTALAÇÃO. AF_12/2014</t>
  </si>
  <si>
    <t>LUVA SOLDÁVEL E COM ROSCA, PVC, SOLDÁVEL, DN 32MM X 1, INSTALADO EM P RUMADA DE ÁGUA - FORNECIMENTO E INSTALAÇÃO. AF_12/2014</t>
  </si>
  <si>
    <t>LUVA SOLDÁVEL E COM ROSCA, PVC, SOLDÁVEL, DN 32MM X 1, INSTALADO EM R AMAL DE DISTRIBUIÇÃO DE ÁGUA - FORNECIMENTO E INSTALAÇÃO. AF_12/2014</t>
  </si>
  <si>
    <t>LUVA SOLDÁVEL E COM ROSCA, PVC, SOLDÁVEL, DN 32MM X 1, INSTALADO EM R AMAL OU SUB-RAMAL DE ÁGUA - FORNECIMENTO E INSTALAÇÃO. AF_12/2014</t>
  </si>
  <si>
    <t>LUVA, CPVC, SOLDÁVEL, DN 15MM, INSTALADO EM RAMAL OU SUB-RAMAL DE ÁGUA - FORNECIMENTO E INSTALAÇÃO. AF_12/2014</t>
  </si>
  <si>
    <t>LUVA, CPVC, SOLDÁVEL, DN 22 MM, INSTALADO EM RESERVAÇÃO DE ÁGUA DE EDI FICAÇÃO QUE POSSUA RESERVATÓRIO DE FIBRA/FIBROCIMENTO  FORNECIMENTO E INSTALAÇÃO. AF_06/2016</t>
  </si>
  <si>
    <t>LUVA, CPVC, SOLDÁVEL, DN 22MM, INSTALADO EM RAMAL DE DISTRIBUIÇÃO DE Á GUA   FORNECIMENTO E INSTALAÇÃO. AF_12/2014</t>
  </si>
  <si>
    <t>LUVA, CPVC, SOLDÁVEL, DN 22MM, INSTALADO EM RAMAL OU SUB-RAMAL DE ÁGUA FORNECIMENTO E INSTALAÇÃO. AF_12/2014</t>
  </si>
  <si>
    <t>LUVA, CPVC, SOLDÁVEL, DN 28 MM, INSTALADO EM RESERVAÇÃO DE ÁGUA DE EDI FICAÇÃO QUE POSSUA RESERVATÓRIO DE FIBRA/FIBROCIMENTO  FORNECIMENTO E INSTALAÇÃO. AF_06/2016</t>
  </si>
  <si>
    <t>LUVA, CPVC, SOLDÁVEL, DN 28MM, INSTALADO EM RAMAL DE DISTRIBUIÇÃO DE Á GUA   FORNECIMENTO E INSTALAÇÃO. AF_12/2014</t>
  </si>
  <si>
    <t>LUVA, CPVC, SOLDÁVEL, DN 28MM, INSTALADO EM RAMAL OU SUB-RAMAL DE ÁGUA FORNECIMENTO E INSTALAÇÃO. AF_12/2014</t>
  </si>
  <si>
    <t>LUVA, CPVC, SOLDÁVEL, DN 35 MM, INSTALADO EM RESERVAÇÃO DE ÁGUA DE EDI FICAÇÃO QUE POSSUA RESERVATÓRIO DE FIBRA/FIBROCIMENTO  FORNECIMENTO E INSTALAÇÃO. AF_06/2016</t>
  </si>
  <si>
    <t>LUVA, CPVC, SOLDÁVEL, DN 35MM, INSTALADO EM PRUMADA DE ÁGUA  FORNECIM ENTO E INSTALAÇÃO. AF_12/2014</t>
  </si>
  <si>
    <t>LUVA, CPVC, SOLDÁVEL, DN 35MM, INSTALADO EM RAMAL DE DISTRIBUIÇÃO DE Á GUA - FORNECIMENTO E INSTALAÇÃO. AF_12/2014</t>
  </si>
  <si>
    <t>LUVA, CPVC, SOLDÁVEL, DN 35MM, INSTALADO EM RAMAL OU SUB-RAMAL DE ÁGUA FORNECIMENTO E INSTALAÇÃO. AF_12/2014</t>
  </si>
  <si>
    <t>LUVA, CPVC, SOLDÁVEL, DN 42 MM, INSTALADO EM RESERVAÇÃO DE ÁGUA DE EDI FICAÇÃO QUE POSSUA RESERVATÓRIO DE FIBRA/FIBROCIMENTO  FORNECIMENTO E INSTALAÇÃO. AF_06/2016</t>
  </si>
  <si>
    <t>LUVA, CPVC, SOLDÁVEL, DN 42MM, INSTALADO EM PRUMADA DE ÁGUA  FORNECIM ENTO E INSTALAÇÃO. AF_12/2014</t>
  </si>
  <si>
    <t>LUVA, CPVC, SOLDÁVEL, DN 54 MM, INSTALADO EM RESERVAÇÃO DE ÁGUA DE EDI FICAÇÃO QUE POSSUA RESERVATÓRIO DE FIBRA/FIBROCIMENTO  FORNECIMENTO E INSTALAÇÃO. AF_06/2016</t>
  </si>
  <si>
    <t>LUVA, CPVC, SOLDÁVEL, DN 54MM, INSTALADO EM PRUMADA DE ÁGUA  FORNECIM ENTO E INSTALAÇÃO. AF_12/2014</t>
  </si>
  <si>
    <t>LUVA, CPVC, SOLDÁVEL, DN 73 MM, INSTALADO EM RESERVAÇÃO DE ÁGUA DE EDI FICAÇÃO QUE POSSUA RESERVATÓRIO DE FIBRA/FIBROCIMENTO  FORNECIMENTO E INSTALAÇÃO. AF_06/2016</t>
  </si>
  <si>
    <t>LUVA, CPVC, SOLDÁVEL, DN 73MM, INSTALADO EM PRUMADA DE ÁGUA  FORNECIM ENTO E INSTALAÇÃO. AF_12/2014</t>
  </si>
  <si>
    <t>LUVA, CPVC, SOLDÁVEL, DN 89 MM, INSTALADO EM RESERVAÇÃO DE ÁGUA DE EDI FICAÇÃO QUE POSSUA RESERVATÓRIO DE FIBRA/FIBROCIMENTO  FORNECIMENTO E INSTALAÇÃO. AF_06/2016</t>
  </si>
  <si>
    <t>LUVA, CPVC, SOLDÁVEL, DN 89MM, INSTALADO EM PRUMADA DE ÁGUA  FORNECIM ENTO E INSTALAÇÃO. AF_12/2014</t>
  </si>
  <si>
    <t>LUVA, EM FERRO GALVANIZADO, CONEXÃO ROSQUEADA, DN 25 (1"), INSTALADO E M RAMAIS E SUB-RAMAIS DE GÁS - FORNECIMENTO E INSTALAÇÃO. AF_12/2015</t>
  </si>
  <si>
    <t>LUVA, EM FERRO GALVANIZADO, CONEXÃO ROSQUEADA, DN 25 (1"), INSTALADO E M REDE DE ALIMENTAÇÃO PARA SPRINKLER - FORNECIMENTO E INSTALAÇÃO. AF_1 2/2015</t>
  </si>
  <si>
    <t>LUVA, EM FERRO GALVANIZADO, CONEXÃO ROSQUEADA, DN 32 (1 1/4"), INSTALA DO EM REDE DE ALIMENTAÇÃO PARA SPRINKLER - FORNECIMENTO E INSTALAÇÃO. AF_12/2015</t>
  </si>
  <si>
    <t>LUVA, EM FERRO GALVANIZADO, CONEXÃO ROSQUEADA, DN 40 (1 1/2"), INSTALA DO EM REDE DE ALIMENTAÇÃO PARA SPRINKLER - FORNECIMENTO E INSTALAÇÃO. AF_12/2015</t>
  </si>
  <si>
    <t>LUVA, EM FERRO GALVANIZADO, CONEXÃO ROSQUEADA, DN 50 (2"), INSTALADO E M REDE DE ALIMENTAÇÃO PARA SPRINKLER - FORNECIMENTO E INSTALAÇÃO. AF_1 2/2015</t>
  </si>
  <si>
    <t>LUVA, EM FERRO GALVANIZADO, CONEXÃO ROSQUEADA, DN 50 (2), INSTALADO E M RESERVAÇÃO DE ÁGUA DE EDIFICAÇÃO QUE POSSUA RESERVATÓRIO DE FIBRA/FI BROCIMENTO  FORNECIMENTO E INSTALAÇÃO. AF_06/2016</t>
  </si>
  <si>
    <t>LUVA, EM FERRO GALVANIZADO, CONEXÃO ROSQUEADA, DN 65 (2 1/2"), INSTALA DO EM REDE DE ALIMENTAÇÃO PARA SPRINKLER - FORNECIMENTO E INSTALAÇÃO. AF_12/2015</t>
  </si>
  <si>
    <t>LUVA, EM FERRO GALVANIZADO, CONEXÃO ROSQUEADA, DN 65 (2 1/2), INSTALA DO EM RESERVAÇÃO DE ÁGUA DE EDIFICAÇÃO QUE POSSUA RESERVATÓRIO DE FIBR A/FIBROCIMENTO  FORNECIMENTO E INSTALAÇÃO. AF_06/2016</t>
  </si>
  <si>
    <t>LUVA, EM FERRO GALVANIZADO, CONEXÃO ROSQUEADA, DN 80 (3"), INSTALADO E M REDE DE ALIMENTAÇÃO PARA SPRINKLER - FORNECIMENTO E INSTALAÇÃO. AF_1 2/2015</t>
  </si>
  <si>
    <t>LUVA, EM FERRO GALVANIZADO, CONEXÃO ROSQUEADA, DN 80 (3), INSTALADO E M RESERVAÇÃO DE ÁGUA DE EDIFICAÇÃO QUE POSSUA RESERVATÓRIO DE FIBRA/FI BROCIMENTO  FORNECIMENTO E INSTALAÇÃO. AF_06/2016</t>
  </si>
  <si>
    <t>LUVA, EM FERRO GALVANIZADO, DN 25 (1"), CONEXÃO ROSQUEADA, INSTALADO E M REDE DE ALIMENTAÇÃO PARA HIDRANTE - FORNECIMENTO E INSTALAÇÃO. AF_12 /2015</t>
  </si>
  <si>
    <t>LUVA, EM FERRO GALVANIZADO, DN 32 (1 1/4"), CONEXÃO ROSQUEADA, INSTALA DO EM REDE DE ALIMENTAÇÃO PARA HIDRANTE - FORNECIMENTO E INSTALAÇÃO. A F_12/2015</t>
  </si>
  <si>
    <t>LUVA, EM FERRO GALVANIZADO, DN 40 (1 1/2"), CONEXÃO ROSQUEADA, INSTALA DO EM REDE DE ALIMENTAÇÃO PARA HIDRANTE - FORNECIMENTO E INSTALAÇÃO. A F_12/2015</t>
  </si>
  <si>
    <t>LUVA, EM FERRO GALVANIZADO, DN 50 (2"), CONEXÃO ROSQUEADA, INSTALADO E M PRUMADAS - FORNECIMENTO E INSTALAÇÃO. AF_12/2015</t>
  </si>
  <si>
    <t>LUVA, EM FERRO GALVANIZADO, DN 50 (2"), CONEXÃO ROSQUEADA, INSTALADO E M REDE DE ALIMENTAÇÃO PARA HIDRANTE - FORNECIMENTO E INSTALAÇÃO. AF_12 /2015</t>
  </si>
  <si>
    <t>LUVA, EM FERRO GALVANIZADO, DN 65 (2 1/2"), CONEXÃO ROSQUEADA, INSTALA DO EM PRUMADAS - FORNECIMENTO E INSTALAÇÃO. AF_12/2015</t>
  </si>
  <si>
    <t>LUVA, EM FERRO GALVANIZADO, DN 65 (2 1/2"), CONEXÃO ROSQUEADA, INSTALA DO EM REDE DE ALIMENTAÇÃO PARA HIDRANTE - FORNECIMENTO E INSTALAÇÃO. A F_12/2015</t>
  </si>
  <si>
    <t>LUVA, EM FERRO GALVANIZADO, DN 80 (3"), CONEXÃO ROSQUEADA, INSTALADO E M PRUMADAS - FORNECIMENTO E INSTALAÇÃO. AF_12/2015</t>
  </si>
  <si>
    <t>LUVA, EM FERRO GALVANIZADO, DN 80 (3"), CONEXÃO ROSQUEADA, INSTALADO E M REDE DE ALIMENTAÇÃO PARA HIDRANTE - FORNECIMENTO E INSTALAÇÃO. AF_12 /2015</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</si>
  <si>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</si>
  <si>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</si>
  <si>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</si>
  <si>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</si>
  <si>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</si>
  <si>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</si>
  <si>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LUVA, PVC, SOLDÁVEL, DN 110 MM, INSTALADO EM RESERVAÇÃO DE ÁGUA DE EDI FICAÇÃO QUE POSSUA RESERVATÓRIO DE FIBRA/FIBROCIMENTO   FORNECIMENTO E INSTALAÇÃO. AF_06/2016</t>
  </si>
  <si>
    <t>LUVA, PVC, SOLDÁVEL, DN 20MM, INSTALADO EM RAMAL DE DISTRIBUIÇÃO DE ÁG UA - FORNECIMENTO E INSTALAÇÃO. AF_12/2014</t>
  </si>
  <si>
    <t>LUVA, PVC, SOLDÁVEL, DN 20MM, INSTALADO EM RAMAL OU SUB-RAMAL DE ÁGUA - FORNECIMENTO E INSTALAÇÃO. AF_12/2014</t>
  </si>
  <si>
    <t>LUVA, PVC, SOLDÁVEL, DN 25MM, INSTALADO EM DRENO DE AR-CONDICIONADO - FORNECIMENTO E INSTALAÇÃO. AF_12/2014</t>
  </si>
  <si>
    <t>LUVA, PVC, SOLDÁVEL, DN 25MM, INSTALADO EM PRUMADA DE ÁGUA - FORNECIME NTO E INSTALAÇÃO. AF_12/2014</t>
  </si>
  <si>
    <t>LUVA, PVC, SOLDÁVEL, DN 25MM, INSTALADO EM RAMAL DE DISTRIBUIÇÃO DE ÁG UA - FORNECIMENTO E INSTALAÇÃO. AF_12/2014</t>
  </si>
  <si>
    <t>LUVA, PVC, SOLDÁVEL, DN 25MM, INSTALADO EM RAMAL OU SUB-RAMAL DE ÁGUA - FORNECIMENTO E INSTALAÇÃO. AF_12/2014</t>
  </si>
  <si>
    <t>LUVA, PVC, SOLDÁVEL, DN 32MM, INSTALADO EM PRUMADA DE ÁGUA - FORNECIME NTO E INSTALAÇÃO. AF_12/2014</t>
  </si>
  <si>
    <t>LUVA, PVC, SOLDÁVEL, DN 32MM, INSTALADO EM RAMAL DE DISTRIBUIÇÃO DE ÁG UA - FORNECIMENTO E INSTALAÇÃO. AF_12/2014</t>
  </si>
  <si>
    <t>LUVA, PVC, SOLDÁVEL, DN 32MM, INSTALADO EM RAMAL OU SUB-RAMAL DE ÁGUA - FORNECIMENTO E INSTALAÇÃO. AF_12/2014</t>
  </si>
  <si>
    <t>LUVA, PVC, SOLDÁVEL, DN 40 MM, INSTALADO EM RESERVAÇÃO DE ÁGUA DE EDIF ICAÇÃO QUE POSSUA RESERVATÓRIO DE FIBRA/FIBROCIMENTO   FORNECIMENTO E INSTALAÇÃO. AF_06/2016</t>
  </si>
  <si>
    <t>LUVA, PVC, SOLDÁVEL, DN 40MM, INSTALADO EM PRUMADA DE ÁGUA - FORNECIME NTO E INSTALAÇÃO. AF_12/2014</t>
  </si>
  <si>
    <t>LUVA, PVC, SOLDÁVEL, DN 50 MM, INSTALADO EM RESERVAÇÃO DE ÁGUA DE EDIF ICAÇÃO QUE POSSUA RESERVATÓRIO DE FIBRA/FIBROCIMENTO   FORNECIMENTO E INSTALAÇÃO. AF_06/2016</t>
  </si>
  <si>
    <t>LUVA, PVC, SOLDÁVEL, DN 50MM, INSTALADO EM PRUMADA DE ÁGUA - FORNECIME NTO E INSTALAÇÃO. AF_12/2014</t>
  </si>
  <si>
    <t>LUVA, PVC, SOLDÁVEL, DN 60 MM, INSTALADO EM RESERVAÇÃO DE ÁGUA DE EDIF ICAÇÃO QUE POSSUA RESERVATÓRIO DE FIBRA/FIBROCIMENTO   FORNECIMENTO E INSTALAÇÃO. AF_06/2016</t>
  </si>
  <si>
    <t>LUVA, PVC, SOLDÁVEL, DN 60MM, INSTALADO EM PRUMADA DE ÁGUA - FORNECIME NTO E INSTALAÇÃO. AF_12/2014</t>
  </si>
  <si>
    <t>LUVA, PVC, SOLDÁVEL, DN 75 MM, INSTALADO EM RESERVAÇÃO DE ÁGUA DE EDIF ICAÇÃO QUE POSSUA RESERVATÓRIO DE FIBRA/FIBROCIMENTO   FORNECIMENTO E INSTALAÇÃO. AF_06/2016</t>
  </si>
  <si>
    <t>LUVA, PVC, SOLDÁVEL, DN 75MM, INSTALADO EM PRUMADA DE ÁGUA - FORNECIME NTO E INSTALAÇÃO. AF_12/2014</t>
  </si>
  <si>
    <t>LUVA, PVC, SOLDÁVEL, DN 85 MM, INSTALADO EM RESERVAÇÃO DE ÁGUA DE EDIF ICAÇÃO QUE POSSUA RESERVATÓRIO DE FIBRA/FIBROCIMENTO   FORNECIMENTO E INSTALAÇÃO. AF_06/2016</t>
  </si>
  <si>
    <t>LUVA, PVC, SOLDÁVEL, DN 85MM, INSTALADO EM PRUMADA DE ÁGUA - FORNECIME NTO E INSTALAÇÃO. AF_12/2014</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</si>
  <si>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</si>
  <si>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</si>
  <si>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</si>
  <si>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</si>
  <si>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</si>
  <si>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</si>
  <si>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2A QUALIDADE SERRADA NAO APARELHADA</t>
  </si>
  <si>
    <t>MADEIRA 2A QUALIDADE SERRADA NAO APARELHADA -TIPO VIROLA</t>
  </si>
  <si>
    <t>MADEIRA PINHO SERRADA 3A QUALIDADE NAO APARELHADA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</si>
  <si>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</si>
  <si>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</si>
  <si>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</si>
  <si>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</si>
  <si>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</si>
  <si>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</si>
  <si>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</si>
  <si>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</si>
  <si>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</si>
  <si>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</si>
  <si>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</si>
  <si>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</si>
  <si>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</si>
  <si>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</si>
  <si>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APARELHADA DE MACARANDUBA, ANGELIM OU EQUIVALENTE DA REGIAO</t>
  </si>
  <si>
    <t>MADEIRA SERRADA NAO APARELHADA DE MACARANDUBA, ANGELIM OU EQUIVALENTE DA REGIAO</t>
  </si>
  <si>
    <t>MANGOTE DE SEGURANCA EM RASPA DE COURO</t>
  </si>
  <si>
    <t>MANGUEIRA CRISTAL PARA NIVEL, LISA, PVC TRANSPARENTE, 3/8" X1,5 MM</t>
  </si>
  <si>
    <t>MANGUEIRA CRISTAL PARA NIVEL, LISA, PVC TRANSPARENTE, 5/16" X1 MM</t>
  </si>
  <si>
    <t>MANGUEIRA CRISTAL TRANCADA, PVC COM REFORCO, PRESSAO DE TRABALHO (PT) 250 lbs/pol2, DE 3/4" X *2,8*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</si>
  <si>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</si>
  <si>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</si>
  <si>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</si>
  <si>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</si>
  <si>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</si>
  <si>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</si>
  <si>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</si>
  <si>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</si>
  <si>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</si>
  <si>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</si>
  <si>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</si>
  <si>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</si>
  <si>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</si>
  <si>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</si>
  <si>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</si>
  <si>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</si>
  <si>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</si>
  <si>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 GAS 1/2" C/ 1M</t>
  </si>
  <si>
    <t>MANIPULADOR TELESCOPICO, POTENCIA DE 101 HP, CAPACIDADE DE CARGA DE 3.500 KG, ALTURA MAXIMA DE ELEVACAO DE 12 M</t>
  </si>
  <si>
    <t>MANIPULADOR TELESCÓPICO, POTÊNCIA DE 85 HP, CAPACIDADE DE CARGA DE 3.5 00 KG, ALTURA MÁXIMA DE ELEVAÇÃO DE 12,3 M - CHI DIURNO. AF_06/2015</t>
  </si>
  <si>
    <t>MANIPULADOR TELESCÓPICO, POTÊNCIA DE 85 HP, CAPACIDADE DE CARGA DE 3.5 00 KG, ALTURA MÁXIMA DE ELEVAÇÃO DE 12,3 M - CHP DIURNO. AF_06/2015</t>
  </si>
  <si>
    <t>MANIPULADOR TELESCÓPICO, POTÊNCIA DE 85 HP, CAPACIDADE DE CARGA DE 3.5 00 KG, ALTURA MÁXIMA DE ELEVAÇÃO DE 12,3 M - DEPRECIAÇÃO. AF_06/2015</t>
  </si>
  <si>
    <t>MANIPULADOR TELESCÓPICO, POTÊNCIA DE 85 HP, CAPACIDADE DE CARGA DE 3.5 00 KG, ALTURA MÁXIMA DE ELEVAÇÃO DE 12,3 M - JUROS. AF_06/2015</t>
  </si>
  <si>
    <t>MANIPULADOR TELESCÓPICO, POTÊNCIA DE 85 HP, CAPACIDADE DE CARGA DE 3.5 00 KG, ALTURA MÁXIMA DE ELEVAÇÃO DE 12,3 M - MANUTENÇÃO. AF_06/2015</t>
  </si>
  <si>
    <t>MANIPULADOR TELESCÓPICO, POTÊNCIA DE 85 HP, CAPACIDADE DE CARGA DE 3.5 00 KG, ALTURA MÁXIMA DE ELEVAÇÃO DE 12,3 M - MATERIAIS NA OPERAÇÃO. AF _06/2015</t>
  </si>
  <si>
    <t>MANIPULADOR TELESCOPICO, POTENCIA DE 85 HP, CAPACIDADE DE CARGA DE 3.500 KG, ALTURA MAXIMA DE ELEVACAO DE 12,3 M</t>
  </si>
  <si>
    <t>MANOMETRO 0 A 200 PSI (0 A 14 KGF/CM2), D = 50MM - FORNECIMENTO E COLO CACAO</t>
  </si>
  <si>
    <t>MANOMETRO 0 A 200PSI (0 A 14KGF/CM2) D=50MM - CONEXAO 1/4" BSP, RETO, CAIXA E ANEL EM ACO ESTAMPADO 1020, ACABAMENTO EM PINTURA ELETROSTATICA EM EPOXI PRETO</t>
  </si>
  <si>
    <t>MANÔMETRO ESCALA 10 KGF/CM2, CAIXA E ANEL EM ACO ESTAMPADO 1020, ACABAMENTO EM PINTURA ELETROSTATICA EM EPOXI PRETO, DN = 100 MM, CONEXAO DE 1,2"</t>
  </si>
  <si>
    <t>MANTA ALUMINIZADA NAS DUAS FACES, PARA SUBCOBERTURA, E = *2* MM (COLETADO CAIXA)</t>
  </si>
  <si>
    <t>MANTA DE BORRACHA ANTIRRUIDO 5 MM</t>
  </si>
  <si>
    <t>MANTA DE POLIETILENO EXPANDIDO (PEBD), E = 5 MM (COLETADO CAIXA)</t>
  </si>
  <si>
    <t>MANTA IMPERMEABILIZANTE A BASE DE ASFALTO - FORNECIMENTO E INSTALACAO</t>
  </si>
  <si>
    <t>MANTA IMPERMEABILIZANTE A BASE DE ASFALTO MODIFICADO C/ ELASTOMEROS DESBS TIPO TORODIM ALUMINIO E = 3MM VIAPOL OU EQUIV</t>
  </si>
  <si>
    <t>MANTA IMPERMEABILIZANTE A BASE DE ASFALTO MODIFICADO C/ POLIMEROS DE APP TIPO TORODIM 4MM VIAPOL OU EQUIV</t>
  </si>
  <si>
    <t>MANTA IMPERMEABILIZANTE A BASE DE ASFALTO MODIFICADO C/ POLIMEROS DE APP TIPO TORODIM 5MM VIAPOL OU EQUIV</t>
  </si>
  <si>
    <t>MANTA IMPERMEABILIZANTE A BASE DE ASFALTO MODIFICADO C/ POLIMEROS DE APP TIPO TORODIM APP 3MM VIAPOL OU EQUIV</t>
  </si>
  <si>
    <t>MANTA IMPERMEABILIZANTE TIPO GLASS, A BASE DE ASFALTO MODIFICADO COM POLIMEROS PLASTOMERICOS (PL), E = 3 MM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</si>
  <si>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</si>
  <si>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</si>
  <si>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</si>
  <si>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</si>
  <si>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</si>
  <si>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</si>
  <si>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</si>
  <si>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</si>
  <si>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</si>
  <si>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</si>
  <si>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</si>
  <si>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</si>
  <si>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</si>
  <si>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</si>
  <si>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</si>
  <si>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MÃO FRANCESA EM BARRA DE FERRO CHATO RETANGULAR 2" X 1/4", REFORÇADA, 30 X 25 CM</t>
  </si>
  <si>
    <t>MÃO FRANCESA EM BARRA DE FERRO CHATO RETANGULAR 2" X 1/4", REFORÇADA, 40 X 30 CM</t>
  </si>
  <si>
    <t>MAQUINA (PRENSA HIDRAULICA) PMT-1000 P/ FABRICACAO DE TUBOS DE CONCRETO SIMPLES   DN200 A DN600 X 1000 A 1500MM DE COMPR - MENEGOTTI</t>
  </si>
  <si>
    <t>MAQUINA DEMARCADORA DE FAIXA DE TRAFEGO A FRIO, AUTOPROPELIDA, MOTOR DIESEL 38 HP</t>
  </si>
  <si>
    <t>MÁQUINA DEMARCADORA DE FAIXA DE TRÁFEGO À FRIO, AUTOPROPELIDA, POTÊNCI A 38 HP - CHI DIURNO. AF_07/2016</t>
  </si>
  <si>
    <t>MÁQUINA DEMARCADORA DE FAIXA DE TRÁFEGO À FRIO, AUTOPROPELIDA, POTÊNCI A 38 HP - CHP DIURNO. AF_07/2016</t>
  </si>
  <si>
    <t>MÁQUINA DEMARCADORA DE FAIXA DE TRÁFEGO À FRIO, AUTOPROPELIDA, POTÊNCI A 38 HP - DEPRECIAÇÃO. AF_07/2016</t>
  </si>
  <si>
    <t>MÁQUINA DEMARCADORA DE FAIXA DE TRÁFEGO À FRIO, AUTOPROPELIDA, POTÊNCI A 38 HP - JUROS. AF_07/2016</t>
  </si>
  <si>
    <t>MÁQUINA DEMARCADORA DE FAIXA DE TRÁFEGO À FRIO, AUTOPROPELIDA, POTÊNCI A 38 HP - MANUTENÇÃO. AF_07/2016</t>
  </si>
  <si>
    <t>MÁQUINA DEMARCADORA DE FAIXA DE TRÁFEGO À FRIO, AUTOPROPELIDA, POTÊNCI A 38 HP - MATERIAIS NA OPERAÇÃO. AF_07/2016</t>
  </si>
  <si>
    <t>MAQUINA ELETRICA P/ POLIMENTO DE PISO</t>
  </si>
  <si>
    <t>MAQUINA EXTRUSORA DE CONCRETO PARA GUIAS E SARJETAS, COM MOTOR A DIESEL DE 14 CV</t>
  </si>
  <si>
    <t>MÁQUINA EXTRUSORA DE CONCRETO PARA GUIAS E SARJETAS, MOTOR A DIESEL, P OTÊNCIA 14 CV - CHI DIURNO. AF_12/2015</t>
  </si>
  <si>
    <t>MÁQUINA EXTRUSORA DE CONCRETO PARA GUIAS E SARJETAS, MOTOR A DIESEL, P OTÊNCIA 14 CV - CHP DIURNO. AF_12/2015</t>
  </si>
  <si>
    <t>MÁQUINA EXTRUSORA DE CONCRETO PARA GUIAS E SARJETAS, MOTOR A DIESEL, P OTÊNCIA 14 CV - DEPRECIAÇÃO. AF_12/2015</t>
  </si>
  <si>
    <t>MÁQUINA EXTRUSORA DE CONCRETO PARA GUIAS E SARJETAS, MOTOR A DIESEL, P OTÊNCIA 14 CV - JUROS. AF_12/2015</t>
  </si>
  <si>
    <t>MÁQUINA EXTRUSORA DE CONCRETO PARA GUIAS E SARJETAS, MOTOR A DIESEL, P OTÊNCIA 14 CV - MANUTENÇÃO. AF_12/2015</t>
  </si>
  <si>
    <t>MÁQUINA EXTRUSORA DE CONCRETO PARA GUIAS E SARJETAS, MOTOR A DIESEL, P OTÊNCIA 14 CV - MATERIAIS NA OPERAÇÃO. AF_12/2015</t>
  </si>
  <si>
    <t>MÁQUINA JATO DE PRESSAO PORTÁTIL PARA JATEAMENTO, CONTROLE AUTOMATICO REMOTO, CAMARA DE 1 SAIDA, CAPACIDADE 280 L, DIAMETRO 670 MM, BICO DE JATO CURTO VENTURI DE 5/16, MANGUEIRA DE 1 COM COMPRESSOR DE AR REBO CÁVEL VAZÃO 189 PCM E MOTOR DIESEL DE 63 CV- CHP DIURNO. AF_03/2016</t>
  </si>
  <si>
    <t>MÁQUINA JATO DE PRESSAO PORTÁTIL PARA JATEAMENTO, CONTROLE AUTOMATICO REMOTO, CAMARA DE 1 SAIDA, CAPACIDADE 280 L, DIAMETRO 670 MM, BICO DE JATO CURTO VENTURI DE 5/16, MANGUEIRA DE 1 COM COMPRESSOR DE AR REBO CÁVEL VAZÃO 189 PCM E MOTOR DIESEL DE 63 CV- CHI DIURNO. AF_03/2016</t>
  </si>
  <si>
    <t>MÁQUINA JATO DE PRESSAO PORTÁTIL PARA JATEAMENTO, CONTROLE AUTOMATICO REMOTO, CAMARA DE 1 SAIDA, CAPACIDADE 280 L, DIAMETRO 670 MM, BICO DE JATO CURTO VENTURI DE 5/16, MANGUEIRA DE 1 COM COMPRESSOR DE AR REBO 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</si>
  <si>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 CÁVEL VAZÃO 189 PCM E MOTOR DIESEL DE 63 CV- JUROS. AF_03/2016</t>
  </si>
  <si>
    <t>MÁQUINA JATO DE PRESSAO PORTÁTIL PARA JATEAMENTO, CONTROLE AUTOMATICO REMOTO, CAMARA DE 1 SAIDA, CAPACIDADE 280 L, DIAMETRO 670 MM, BICO DE JATO CURTO VENTURI DE 5/16, MANGUEIRA DE 1 COM COMPRESSOR DE AR REBO 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</si>
  <si>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 CÁVEL VAZÃO 189 PCM E MOTOR DIESEL DE 63 CV- MATERIAIS NA OPERAÇÃO. AF _03/2016</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</si>
  <si>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</si>
  <si>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</si>
  <si>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</si>
  <si>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MARCENEIRO (MENSALISTA)</t>
  </si>
  <si>
    <t>MARMORISTA / GRANITEIRO</t>
  </si>
  <si>
    <t>MARMORISTA / GRANITEIRO (MENSALISTA)</t>
  </si>
  <si>
    <t>MARROAMENTO DE MATERIAL DE 2A CATEGORIA, ROCHA DECOMPOSTA PARA REDUÇÃO A PEDRA-DE-MÃO</t>
  </si>
  <si>
    <t>MARROAMENTO EM MATERIAL DE 3A CATEGORIA, ROCHA VIVA PARA REDUÇÃO A PED RA-DE-MÃO</t>
  </si>
  <si>
    <t>MARTELETE OU ROMPEDOR PNEUMÁTICO MANUAL, 28 KG, COM SILENCIADOR - CHI DIURNO. AF_07/2016</t>
  </si>
  <si>
    <t>MARTELETE OU ROMPEDOR PNEUMÁTICO MANUAL, 28 KG, COM SILENCIADOR - CHP DIURNO. AF_07/2016</t>
  </si>
  <si>
    <t>MARTELETE OU ROMPEDOR PNEUMÁTICO MANUAL, 28 KG, COM SILENCIADOR - DEPR ECIAÇÃO. AF_07/2016</t>
  </si>
  <si>
    <t>MARTELETE OU ROMPEDOR PNEUMÁTICO MANUAL, 28 KG, COM SILENCIADOR - JURO S. AF_07/2016</t>
  </si>
  <si>
    <t>MARTELETE OU ROMPEDOR PNEUMÁTICO MANUAL, 28 KG, COM SILENCIADOR - MANU TENÇÃO. AF_07/2016</t>
  </si>
  <si>
    <t>MARTELO DE SOLDADOR/PICADOR DE SOLDA</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</si>
  <si>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</si>
  <si>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</si>
  <si>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</si>
  <si>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</si>
  <si>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</si>
  <si>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MARTELO DEMOLIDOR PNEUMATICO MANUAL, COM REDUCAO DE VIBRACAO, PESO DE 21 KG</t>
  </si>
  <si>
    <t>MARTELO DEMOLIDOR PNEUMATICO MANUAL, COM REDUCAO DE VIBRACAO, PESO DE 31,5 KG</t>
  </si>
  <si>
    <t>MARTELO DEMOLIDOR PNEUMATICO MANUAL, PADRAO, PESO DE 32 KG</t>
  </si>
  <si>
    <t>MARTELO PERFURADOR PNEUMATICO MANUAL, DE SUPERFICIE, COM AVANCO DE COLUNA, PESO DE 22 KG</t>
  </si>
  <si>
    <t>MARTELO PERFURADOR PNEUMATICO MANUAL, HASTE 25 X 75 MM, 21 KG</t>
  </si>
  <si>
    <t>MARTELO PERFURADOR PNEUMÁTICO MANUAL, HASTE 25 X 75 MM, 21 KG - CHI DI URNO. AF_12/2015</t>
  </si>
  <si>
    <t>MARTELO PERFURADOR PNEUMÁTICO MANUAL, HASTE 25 X 75 MM, 21 KG - CHP DI URNO. AF_12/2015</t>
  </si>
  <si>
    <t>MARTELO PERFURADOR PNEUMÁTICO MANUAL, HASTE 25 X 75 MM, 21 KG - DEPREC IAÇÃO. AF_12/2015</t>
  </si>
  <si>
    <t>MARTELO PERFURADOR PNEUMÁTICO MANUAL, HASTE 25 X 75 MM, 21 KG - JUROS. AF_12/2015</t>
  </si>
  <si>
    <t>MARTELO PERFURADOR PNEUMÁTICO MANUAL, HASTE 25 X 75 MM, 21 KG - MANUTE NÇÃO. AF_12/2015</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</si>
  <si>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</si>
  <si>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</si>
  <si>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</si>
  <si>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</si>
  <si>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</si>
  <si>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</si>
  <si>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</si>
  <si>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</si>
  <si>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</si>
  <si>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</si>
  <si>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PLASTICA PARA MARMORE/GRANITO</t>
  </si>
  <si>
    <t>MASSA ÚNICA, PARA RECEBIMENTO DE PINTURA OU CERÂMICA, EM ARGAMASSA IND USTRIALIZADA, PREPARO MECÂNICO, APLICADO COM EQUIPAMENTO DE MISTURA E PROJEÇÃO DE 1,5 M3/H DE ARGAMASSA EM FACES INTERNAS DE PAREDES, ESPESS URA DE 10MM, SEM EXECUÇÃO DE TALISCAS. AF_06/2014</t>
  </si>
  <si>
    <t>MASSA ÚNICA, PARA RECEBIMENTO DE PINTURA OU CERÂMICA, EM ARGAMASSA IND USTRIALIZADA, PREPARO MECÂNICO, APLICADO COM EQUIPAMENTO DE MISTURA E PROJEÇÃO DE 1,5 M3/H DE ARGAMASSA EM FACES INTERNAS DE PAREDES, ESPESS URA DE 5MM, SEM EXECUÇÃO DE TALISCAS. AF_06/2014</t>
  </si>
  <si>
    <t>MASSA ÚNICA, PARA RECEBIMENTO DE PINTURA, EM ARGAMASSA INDUSTRIALIZADA , PREPARO MECÂNICO, APLICADO COM EQUIPAMENTO DE MISTURA E PROJEÇÃO DE 1,5 M3/H DE ARGAMASSA EM FACES INTERNAS DE PAREDES, ESPESSURA DE 10MM, COM EXECUÇÃO DE TALISCAS. AF_06/2014</t>
  </si>
  <si>
    <t>MASSA ÚNICA, PARA RECEBIMENTO DE PINTURA, EM ARGAMASSA INDUSTRIALIZADA , PREPARO MECÂNICO, APLICADO COM EQUIPAMENTO DE MISTURA E PROJEÇÃO DE 1,5 M3/H DE ARGAMASSA EM FACES INTERNAS DE PAREDES, ESPESSURA DE 20MM, COM EXECUÇÃO DE TALISCAS. AF_06/2014</t>
  </si>
  <si>
    <t>MASSA ÚNICA, PARA RECEBIMENTO DE PINTURA, EM ARGAMASSA TRAÇO 1:2:8, PR EPARO MANUAL, APLICADA MANUALMENTE EM FACES INTERNAS DE PAREDES, ESPES SURA DE 10MM, COM EXECUÇÃO DE TALISCAS. AF_06/2014</t>
  </si>
  <si>
    <t>MASSA ÚNICA, PARA RECEBIMENTO DE PINTURA, EM ARGAMASSA TRAÇO 1:2:8, PR EPARO MANUAL, APLICADA MANUALMENTE EM FACES INTERNAS DE PAREDES, ESPES SURA DE 20MM, COM EXECUÇÃO DE TALISCAS. AF_06/2014</t>
  </si>
  <si>
    <t>MASSA ÚNICA, PARA RECEBIMENTO DE PINTURA, EM ARGAMASSA TRAÇO 1:2:8, PR EPARO MANUAL, APLICADA MANUALMENTE EM TETO, ESPESSURA DE 10MM, COM EXE CUÇÃO DE TALISCAS. AF_03/2015</t>
  </si>
  <si>
    <t>MASSA ÚNICA, PARA RECEBIMENTO DE PINTURA, EM ARGAMASSA TRAÇO 1:2:8, PR EPARO MANUAL, APLICADA MANUALMENTE EM TETO, ESPESSURA DE 20MM, COM EXE CUÇÃO DE TALISCAS. AF_03/2015</t>
  </si>
  <si>
    <t>MASSA ÚNICA, PARA RECEBIMENTO DE PINTURA, EM ARGAMASSA TRAÇO 1:2:8, PR EPARO MECÂNICO COM BETONEIRA 400L, APLICADA MANUALMENTE EM FACES INTER NAS DE PAREDES, ESPESSURA DE 10MM, COM EXECUÇÃO DE TALISCAS. AF_06/201 4</t>
  </si>
  <si>
    <t>MASSA ÚNICA, PARA RECEBIMENTO DE PINTURA, EM ARGAMASSA TRAÇO 1:2:8, PR EPARO MECÂNICO COM BETONEIRA 400L, APLICADA MANUALMENTE EM FACES INTER NAS DE PAREDES, ESPESSURA DE 20MM, COM EXECUÇÃO DE TALISCAS. AF_06/201 4</t>
  </si>
  <si>
    <t>MASSA ÚNICA, PARA RECEBIMENTO DE PINTURA, EM ARGAMASSA TRAÇO 1:2:8, PR EPARO MECÂNICO COM BETONEIRA 400L, APLICADA MANUALMENTE EM TETO, ESPES SURA DE 10MM, COM EXECUÇÃO DE TALISCAS. AF_03/2015</t>
  </si>
  <si>
    <t>MASSA ÚNICA, PARA RECEBIMENTO DE PINTURA, EM ARGAMASSA TRAÇO 1:2:8, PR EPARO MECÂNICO COM BETONEIRA 400L, APLICADA MANUALMENTE EM TETO, ESPES SURA DE 20MM, COM EXECUÇÃO DE TALISCAS. AF_03/2015</t>
  </si>
  <si>
    <t>MASTRO SIMPLES DE FERRO GALVANIZADO P/ PARA-RAIOS H=3,00M INCLUINDO BA SE - FORNECIMENTO E INSTALACAO</t>
  </si>
  <si>
    <t>MASTRO SIMPLES GALVANIZADO DIAMETRO NOMINAL 1 1/2", COMPRIMENTO 3 M</t>
  </si>
  <si>
    <t>MASTRO SIMPLES GALVANIZADO DIAMETRO NOMINAL 2", COMPRIMENTO 3 M</t>
  </si>
  <si>
    <t>MATERIAL FILTRANTE (PEDREGULHO) 15,4 A 9,6 MM (POSTO PEDREIRA/FORNECEDOR, SEM FRETE)</t>
  </si>
  <si>
    <t>MATERIAL FILTRANTE (PEDREGULHO) 25,4 A 15,4 MM (POSTO PEDREIRA/FORNECEDOR, SEM FRETE)</t>
  </si>
  <si>
    <t>MATERIAL FILTRANTE (PEDREGULHO) 38 A 25,4 MM (POSTO PEDREIRA/FORNECEDOR, SEM FRETE)</t>
  </si>
  <si>
    <t>MATERIAL FILTRANTE (PEDREGULHO) 4,8 A 2,4 MM (POSTO PEDREIRA/FORNECEDOR, SEM FRETE)</t>
  </si>
  <si>
    <t>MATERIAL FILTRANTE (PEDREGULHO) 9,6 A 4,8 MM (POSTO PEDREIRA/FORNECEDOR, SEM FRETE)</t>
  </si>
  <si>
    <t>MECANICO DE EQUIPAMENTOS PESADOS</t>
  </si>
  <si>
    <t>MECANICO DE EQUIPAMENTOS PESADOS (MENSALISTA)</t>
  </si>
  <si>
    <t>MECÃNICO DE EQUIPAMENTOS PESADOS COM ENCARGOS COMPLEMENTARES</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</si>
  <si>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</si>
  <si>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</si>
  <si>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</si>
  <si>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</si>
  <si>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</si>
  <si>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</si>
  <si>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</si>
  <si>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</si>
  <si>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</si>
  <si>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</si>
  <si>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</si>
  <si>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</si>
  <si>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</si>
  <si>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</si>
  <si>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</si>
  <si>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</si>
  <si>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14 X 19 X 19 CM (CLASSE D - NBR 6136)</t>
  </si>
  <si>
    <t>MEIO BLOCO VEDACAO CONCRETO 19 X 19 X 19 CM (CLASSE D - NBR 6136)</t>
  </si>
  <si>
    <t>MEIO BLOCO VEDACAO CONCRETO 9 X 19 X 19 CM (CLASSE D - NBR 6136)</t>
  </si>
  <si>
    <t>MEIO BLOCO VEDACAO CONCRETO APARENTE 14 X 19 X 19 CM  (CLASSE D - NBR 6136)</t>
  </si>
  <si>
    <t>MEIO BLOCO VEDACAO CONCRETO APARENTE 19 X 19 X 19 CM (CLASSE D - NBR 6136)</t>
  </si>
  <si>
    <t>MEIO BLOCO VEDACAO CONCRETO APARENTE 9  X 19 X 19 CM (CLASSE D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</si>
  <si>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</si>
  <si>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</si>
  <si>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</si>
  <si>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</si>
  <si>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MICROESFERAS DE VIDRO PARA SINALIZACAO HORIZONTAL VIARIA, TIPO I-B (PREMIX) - NBR 16184</t>
  </si>
  <si>
    <t>MICROESFERAS DE VIDRO PARA SINALIZACAO HORIZONTAL VIARIA, TIPO II-A (DROP-ON) - NBR 16184</t>
  </si>
  <si>
    <t>MICRO-TRATOR CORTADOR DE GRAMA COM LARGURA DO CORTE DE 107 CM, COM  2 LAMINAS E DESCARTE LATERAL</t>
  </si>
  <si>
    <t>MICTORIO COLETIVO ACO INOX (AISI 304), E = 0,8 MM, DE *100 X 40 X 30* CM (C X A X P)</t>
  </si>
  <si>
    <t>MICTORIO COLETIVO ACO INOX (AISI 304), E = 0,8 MM, DE *100 X 50 X 35* CM (C X A X P)</t>
  </si>
  <si>
    <t>MICTORIO INDIVIDUAL ACO INOX (AISI 304), E = 0,8 MM, DE *50  X 45  X 35* (C X A X P)</t>
  </si>
  <si>
    <t>MICTORIO SIFONADO DE LOUCA BRANCA COM PERTENCES, COM REGISTRO DE PRESS AO 1/2" COM CANOPLA CROMADA ACABAMENTO SIMPLES E CONJUNTO PARA FIXACAO - FORNECIMENTO E INSTALACAO</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</si>
  <si>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</si>
  <si>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</si>
  <si>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</si>
  <si>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</si>
  <si>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MINICARREGADEIRA SOBRE RODAS, POTÊNCIA LÍQUIDA DE 47 HP, CAPACIDADE NO MINAL DE OPERAÇÃO DE 646 KG - CHI DIURNO. AF_06/2015</t>
  </si>
  <si>
    <t>MINICARREGADEIRA SOBRE RODAS, POTÊNCIA LÍQUIDA DE 47 HP, CAPACIDADE NO MINAL DE OPERAÇÃO DE 646 KG - CHP DIURNO. AF_06/2015</t>
  </si>
  <si>
    <t>MINICARREGADEIRA SOBRE RODAS, POTÊNCIA LÍQUIDA DE 47 HP, CAPACIDADE NO MINAL DE OPERAÇÃO DE 646 KG - DEPRECIAÇÃO. AF_06/2015</t>
  </si>
  <si>
    <t>MINICARREGADEIRA SOBRE RODAS, POTÊNCIA LÍQUIDA DE 47 HP, CAPACIDADE NO MINAL DE OPERAÇÃO DE 646 KG - JUROS. AF_06/2015</t>
  </si>
  <si>
    <t>MINICARREGADEIRA SOBRE RODAS, POTÊNCIA LÍQUIDA DE 47 HP, CAPACIDADE NO MINAL DE OPERAÇÃO DE 646 KG - MANUTENÇÃO. AF_06/2015</t>
  </si>
  <si>
    <t>MINICARREGADEIRA SOBRE RODAS, POTÊNCIA LÍQUIDA DE 47 HP, CAPACIDADE NO MINAL DE OPERAÇÃO DE 646 KG - MATERIAIS NA OPERAÇÃO. AF_06/2015</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</si>
  <si>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</si>
  <si>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</si>
  <si>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</si>
  <si>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</si>
  <si>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</si>
  <si>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</si>
  <si>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</si>
  <si>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 MOTOR ELÉTRICO POTÊNCIA 3 CV - CHI DIURNO. AF_06/2014</t>
  </si>
  <si>
    <t>MISTURADOR DE ARGAMASSA, EIXO HORIZONTAL, CAPACIDADE DE MISTURA 160 KG , MOTOR ELÉTRICO POTÊNCIA 3 CV - CHP DIURNO. AF_06/2014</t>
  </si>
  <si>
    <t>MISTURADOR DE ARGAMASSA, EIXO HORIZONTAL, CAPACIDADE DE MISTURA 160 KG , MOTOR ELÉTRICO POTÊNCIA 3 CV - DEPRECIAÇÃO. AF_06/2014</t>
  </si>
  <si>
    <t>MISTURADOR DE ARGAMASSA, EIXO HORIZONTAL, CAPACIDADE DE MISTURA 160 KG , MOTOR ELÉTRICO POTÊNCIA 3 CV - JUROS. AF_06/2014</t>
  </si>
  <si>
    <t>MISTURADOR DE ARGAMASSA, EIXO HORIZONTAL, CAPACIDADE DE MISTURA 160 KG , MOTOR ELÉTRICO POTÊNCIA 3 CV - MANUTENÇÃO. AF_06/2014</t>
  </si>
  <si>
    <t>MISTURADOR DE ARGAMASSA, EIXO HORIZONTAL, CAPACIDADE DE MISTURA 160 KG , MOTOR ELÉTRICO POTÊNCIA 3 CV - MATERIAIS NA OPERAÇÃO. AF_06/2014</t>
  </si>
  <si>
    <t>MISTURADOR DE ARGAMASSA, EIXO HORIZONTAL, CAPACIDADE DE MISTURA 160 KG, MOTOR ELETRICO TRIFASICO 220/380 V, POTENCIA 3 CV</t>
  </si>
  <si>
    <t>MISTURADOR DE ARGAMASSA, EIXO HORIZONTAL, CAPACIDADE DE MISTURA 300 KG , MOTOR ELÉTRICO POTÊNCIA 5 CV - CHI DIURNO. AF_06/2014</t>
  </si>
  <si>
    <t>MISTURADOR DE ARGAMASSA, EIXO HORIZONTAL, CAPACIDADE DE MISTURA 300 KG , MOTOR ELÉTRICO POTÊNCIA 5 CV - CHP DIURNO. AF_06/2014</t>
  </si>
  <si>
    <t>MISTURADOR DE ARGAMASSA, EIXO HORIZONTAL, CAPACIDADE DE MISTURA 300 KG , MOTOR ELÉTRICO POTÊNCIA 5 CV - DEPRECIAÇÃO. AF_06/2014</t>
  </si>
  <si>
    <t>MISTURADOR DE ARGAMASSA, EIXO HORIZONTAL, CAPACIDADE DE MISTURA 300 KG , MOTOR ELÉTRICO POTÊNCIA 5 CV - JUROS. AF_06/2014</t>
  </si>
  <si>
    <t>MISTURADOR DE ARGAMASSA, EIXO HORIZONTAL, CAPACIDADE DE MISTURA 300 KG , MOTOR ELÉTRICO POTÊNCIA 5 CV - MANUTENÇÃO. AF_06/2014</t>
  </si>
  <si>
    <t>MISTURADOR DE ARGAMASSA, EIXO HORIZONTAL, CAPACIDADE DE MISTURA 300 KG , MOTOR ELÉTRICO POTÊNCIA 5 CV - MATERIAIS NA OPERAÇÃO. AF_06/2014</t>
  </si>
  <si>
    <t>MISTURADOR DE ARGAMASSA, EIXO HORIZONTAL, CAPACIDADE DE MISTURA 300 KG, MOTOR ELETRICO TRIFASICO 220/380 V, POTENCIA 5 CV</t>
  </si>
  <si>
    <t>MISTURADOR DE ARGAMASSA, EIXO HORIZONTAL, CAPACIDADE DE MISTURA 600 KG , MOTOR ELÉTRICO POTÊNCIA 7,5 CV - CHI DIURNO. AF_06/2014</t>
  </si>
  <si>
    <t>MISTURADOR DE ARGAMASSA, EIXO HORIZONTAL, CAPACIDADE DE MISTURA 600 KG , MOTOR ELÉTRICO POTÊNCIA 7,5 CV - CHP DIURNO. AF_06/2014</t>
  </si>
  <si>
    <t>MISTURADOR DE ARGAMASSA, EIXO HORIZONTAL, CAPACIDADE DE MISTURA 600 KG , MOTOR ELÉTRICO POTÊNCIA 7,5 CV - DEPRECIAÇÃO. AF_06/2014</t>
  </si>
  <si>
    <t>MISTURADOR DE ARGAMASSA, EIXO HORIZONTAL, CAPACIDADE DE MISTURA 600 KG , MOTOR ELÉTRICO POTÊNCIA 7,5 CV - JUROS. AF_06/2014</t>
  </si>
  <si>
    <t>MISTURADOR DE ARGAMASSA, EIXO HORIZONTAL, CAPACIDADE DE MISTURA 600 KG , MOTOR ELÉTRICO POTÊNCIA 7,5 CV - MANUTENÇÃO. AF_06/2014</t>
  </si>
  <si>
    <t>MISTURADOR DE ARGAMASSA, EIXO HORIZONTAL, CAPACIDADE DE MISTURA 600 KG , MOTOR ELÉTRICO POTÊNCIA 7,5 CV - MATERIAIS NA OPERAÇÃO. AF_06/2014</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</si>
  <si>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</si>
  <si>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</si>
  <si>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</si>
  <si>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DUPLO HORIZONTAL DE ALTA TURBULÊNCIA, CAPACIDADE / VOLUME 2 X 500 LITROS, MOTORES ELÉTRICOS MÍNIMO 5 CV CADA, PARA NATA CIMENTO, ARGAMASSA E OUTROS - CHI DIURNO.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</si>
  <si>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</si>
  <si>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</si>
  <si>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</si>
  <si>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</si>
  <si>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</si>
  <si>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MANUAL DE TINTAS PARA FURADEIRA, HASTE METALICA *60* CM, COM HELICE (MEXEDOR DE TINTA)</t>
  </si>
  <si>
    <t>MOBILIZACAO E INSTALACAO DE 01  EQUIPAMENTO DE SONDAGEM, DISTANCIA ACI MA DE 20KM</t>
  </si>
  <si>
    <t>MOBILIZACAO E INSTALACAO DE 01 EQUIPAMENTO DE SONDAGEM, DISTANCIA ATE 10KM</t>
  </si>
  <si>
    <t>MOBILIZACAO E INSTALACAO DE 01 EQUIPAMENTO DE SONDAGEM, DISTANCIA DE 1 0KM ATE 20KM</t>
  </si>
  <si>
    <t>MOLA AEREA FECHA PORTA, PARA PORTAS COM LARGURA ACIMA DE 110 CM</t>
  </si>
  <si>
    <t>MOLA AEREA FECHA PORTA, PARA PORTAS COM LARGURA ATE 110 CM</t>
  </si>
  <si>
    <t>MOLA AEREA FECHA PORTA, PARA PORTAS COM LARGURA ATE 95 CM</t>
  </si>
  <si>
    <t>MOLA HIDRAULICA DE PISO P/ VIDRO TEMPERADO 10MM</t>
  </si>
  <si>
    <t>MOLA HIDRAULICA DE PISO PARA PORTA DE VIDRO TEMPERADO</t>
  </si>
  <si>
    <t>MONTADOR (TUBO AÇO/EQUIPAMENTOS) COM ENCARGOS COMPLEMENTARES</t>
  </si>
  <si>
    <t>MONTADOR DE ELETROELETRONICOS (MENSALISTA)</t>
  </si>
  <si>
    <t>MONTADOR DE ESTRUTURA METALICA</t>
  </si>
  <si>
    <t>MONTADOR DE ESTRUTURAS METALICAS (MENSALISTA)</t>
  </si>
  <si>
    <t>MONTADOR DE MAQUINAS (MENSALISTA)</t>
  </si>
  <si>
    <t>MONTADOR ELETROMECÃNICO COM ENCARGOS COMPLEMENTARES</t>
  </si>
  <si>
    <t>MONTAGEM E DESMONTAGEM DE FÔRMA DE LAJE MACIÇA COM ÁREA MÉDIA MAIOR QU E 20 M², PÉ-DIREITO DUPLO, EM CHAPA DE MADEIRA COMPENSADA PLASTIFICADA , 10 UTILIZAÇÕES. AF_12/2015</t>
  </si>
  <si>
    <t>MONTAGEM E DESMONTAGEM DE FÔRMA DE LAJE MACIÇA COM ÁREA MÉDIA MAIOR QU E 20 M², PÉ-DIREITO DUPLO, EM CHAPA DE MADEIRA COMPENSADA PLASTIFICADA , 12 UTILIZAÇÕES. AF_12/2015</t>
  </si>
  <si>
    <t>MONTAGEM E DESMONTAGEM DE FÔRMA DE LAJE MACIÇA COM ÁREA MÉDIA MAIOR QU E 20 M², PÉ-DIREITO DUPLO, EM CHAPA DE MADEIRA COMPENSADA PLASTIFICADA , 14 UTILIZAÇÕES. AF_12/2015</t>
  </si>
  <si>
    <t>MONTAGEM E DESMONTAGEM DE FÔRMA DE LAJE MACIÇA COM ÁREA MÉDIA MAIOR QU E 20 M², PÉ-DIREITO DUPLO, EM CHAPA DE MADEIRA COMPENSADA PLASTIFICADA , 18 UTILIZAÇÕES. AF_12/2015</t>
  </si>
  <si>
    <t>MONTAGEM E DESMONTAGEM DE FÔRMA DE LAJE MACIÇA COM ÁREA MÉDIA MAIOR QU E 20 M², PÉ-DIREITO DUPLO, EM CHAPA DE MADEIRA COMPENSADA RESINADA, 2 UTILIZAÇÕES. AF_12/2015</t>
  </si>
  <si>
    <t>MONTAGEM E DESMONTAGEM DE FÔRMA DE LAJE MACIÇA COM ÁREA MÉDIA MAIOR QU E 20 M², PÉ-DIREITO DUPLO, EM CHAPA DE MADEIRA COMPENSADA RESINADA, 4 UTILIZAÇÕES. AF_12/2015</t>
  </si>
  <si>
    <t>MONTAGEM E DESMONTAGEM DE FÔRMA DE LAJE MACIÇA COM ÁREA MÉDIA MAIOR QU E 20 M², PÉ-DIREITO DUPLO, EM CHAPA DE MADEIRA COMPENSADA RESINADA, 6 UTILIZAÇÕES. AF_12/2015</t>
  </si>
  <si>
    <t>MONTAGEM E DESMONTAGEM DE FÔRMA DE LAJE MACIÇA COM ÁREA MÉDIA MAIOR QU E 20 M², PÉ-DIREITO DUPLO, EM CHAPA DE MADEIRA COMPENSADA RESINADA, 8 UTILIZAÇÕES. AF_12/2015</t>
  </si>
  <si>
    <t>MONTAGEM E DESMONTAGEM DE FÔRMA DE LAJE MACIÇA COM ÁREA MÉDIA MAIOR QU E 20 M², PÉ-DIREITO SIMPLES, EM CHAPA DE MADEIRA COMPENSADA PLASTIFICA DA, 10 UTILIZAÇÕES. AF_12/2015</t>
  </si>
  <si>
    <t>MONTAGEM E DESMONTAGEM DE FÔRMA DE LAJE MACIÇA COM ÁREA MÉDIA MAIOR QU E 20 M², PÉ-DIREITO SIMPLES, EM CHAPA DE MADEIRA COMPENSADA PLASTIFICA DA, 12 UTILIZAÇÕES. AF_12/2015</t>
  </si>
  <si>
    <t>MONTAGEM E DESMONTAGEM DE FÔRMA DE LAJE MACIÇA COM ÁREA MÉDIA MAIOR QU E 20 M², PÉ-DIREITO SIMPLES, EM CHAPA DE MADEIRA COMPENSADA PLASTIFICA DA, 14 UTILIZAÇÕES. AF_12/2015</t>
  </si>
  <si>
    <t>MONTAGEM E DESMONTAGEM DE FÔRMA DE LAJE MACIÇA COM ÁREA MÉDIA MAIOR QU E 20 M², PÉ-DIREITO SIMPLES, EM CHAPA DE MADEIRA COMPENSADA PLASTIFICA DA, 18 UTILIZAÇÕES. AF_12/2015</t>
  </si>
  <si>
    <t>MONTAGEM E DESMONTAGEM DE FÔRMA DE LAJE MACIÇA COM ÁREA MÉDIA MAIOR QU E 20 M², PÉ-DIREITO SIMPLES, EM CHAPA DE MADEIRA COMPENSADA RESINADA, 2 UTILIZAÇÕES. AF_12/2015</t>
  </si>
  <si>
    <t>MONTAGEM E DESMONTAGEM DE FÔRMA DE LAJE MACIÇA COM ÁREA MÉDIA MAIOR QU E 20 M², PÉ-DIREITO SIMPLES, EM CHAPA DE MADEIRA COMPENSADA RESINADA, 4 UTILIZAÇÕES. AF_12/2015</t>
  </si>
  <si>
    <t>MONTAGEM E DESMONTAGEM DE FÔRMA DE LAJE MACIÇA COM ÁREA MÉDIA MAIOR QU E 20 M², PÉ-DIREITO SIMPLES, EM CHAPA DE MADEIRA COMPENSADA RESINADA, 6 UTILIZAÇÕES. AF_12/2015</t>
  </si>
  <si>
    <t>MONTAGEM E DESMONTAGEM DE FÔRMA DE LAJE MACIÇA COM ÁREA MÉDIA MAIOR QU E 20 M², PÉ-DIREITO SIMPLES, EM CHAPA DE MADEIRA COMPENSADA RESINADA, 8 UTILIZAÇÕES. AF_12/2015</t>
  </si>
  <si>
    <t>MONTAGEM E DESMONTAGEM DE FÔRMA DE LAJE MACIÇA COM ÁREA MÉDIA MAIOR QU E 20 M², PÉ-DIREITO SIMPLES, EM MADEIRA SERRADA, 1 UTILIZAÇÃO. AF_12/2 015</t>
  </si>
  <si>
    <t>MONTAGEM E DESMONTAGEM DE FÔRMA DE LAJE MACIÇA COM ÁREA MÉDIA MAIOR QU E 20 M², PÉ-DIREITO SIMPLES, EM MADEIRA SERRADA, 2 UTILIZAÇÕES. AF_12/ 2015</t>
  </si>
  <si>
    <t>MONTAGEM E DESMONTAGEM DE FÔRMA DE LAJE MACIÇA COM ÁREA MÉDIA MAIOR QU E 20 M², PÉ-DIREITO SIMPLES, EM MADEIRA SERRADA, 4 UTILIZAÇÕES. AF_12/ 2015</t>
  </si>
  <si>
    <t>MONTAGEM E DESMONTAGEM DE FÔRMA DE LAJE MACIÇA COM ÁREA MÉDIA MENOR OU IGUAL A 20 M², PÉ-DIREITO DUPLO, EM CHAPA DE MADEIRA COMPENSADA PLAST IFICADA, 10 UTILIZAÇÕES. AF_12/2015</t>
  </si>
  <si>
    <t>MONTAGEM E DESMONTAGEM DE FÔRMA DE LAJE MACIÇA COM ÁREA MÉDIA MENOR OU IGUAL A 20 M², PÉ-DIREITO DUPLO, EM CHAPA DE MADEIRA COMPENSADA PLAST IFICADA, 12 UTILIZAÇÕES. AF_12/2015</t>
  </si>
  <si>
    <t>MONTAGEM E DESMONTAGEM DE FÔRMA DE LAJE MACIÇA COM ÁREA MÉDIA MENOR OU IGUAL A 20 M², PÉ-DIREITO DUPLO, EM CHAPA DE MADEIRA COMPENSADA PLAST IFICADA, 14 UTILIZAÇÕES. AF_12/2015</t>
  </si>
  <si>
    <t>MONTAGEM E DESMONTAGEM DE FÔRMA DE LAJE MACIÇA COM ÁREA MÉDIA MENOR OU IGUAL A 20 M², PÉ-DIREITO DUPLO, EM CHAPA DE MADEIRA COMPENSADA PLAST IFICADA, 18 UTILIZAÇÕES. AF_12/2015</t>
  </si>
  <si>
    <t>MONTAGEM E DESMONTAGEM DE FÔRMA DE LAJE MACIÇA COM ÁREA MÉDIA MENOR OU IGUAL A 20 M², PÉ-DIREITO DUPLO, EM CHAPA DE MADEIRA COMPENSADA RESIN ADA, 2 UTILIZAÇÕES. AF_12/2015</t>
  </si>
  <si>
    <t>MONTAGEM E DESMONTAGEM DE FÔRMA DE LAJE MACIÇA COM ÁREA MÉDIA MENOR OU IGUAL A 20 M², PÉ-DIREITO DUPLO, EM CHAPA DE MADEIRA COMPENSADA RESIN ADA, 4 UTILIZAÇÕES. AF_12/2015</t>
  </si>
  <si>
    <t>MONTAGEM E DESMONTAGEM DE FÔRMA DE LAJE MACIÇA COM ÁREA MÉDIA MENOR OU IGUAL A 20 M², PÉ-DIREITO DUPLO, EM CHAPA DE MADEIRA COMPENSADA RESIN ADA, 6 UTILIZAÇÕES. AF_12/2015</t>
  </si>
  <si>
    <t>MONTAGEM E DESMONTAGEM DE FÔRMA DE LAJE MACIÇA COM ÁREA MÉDIA MENOR OU IGUAL A 20 M², PÉ-DIREITO DUPLO, EM CHAPA DE MADEIRA COMPENSADA RESIN ADA, 8 UTILIZAÇÕES. AF_12/2015</t>
  </si>
  <si>
    <t>MONTAGEM E DESMONTAGEM DE FÔRMA DE LAJE MACIÇA COM ÁREA MÉDIA MENOR OU IGUAL A 20 M², PÉ-DIREITO SIMPLES, EM CHAPA DE MADEIRA COMPENSADA PLA STIFICADA, 10 UTILIZAÇÕES. AF_12/2015</t>
  </si>
  <si>
    <t>MONTAGEM E DESMONTAGEM DE FÔRMA DE LAJE MACIÇA COM ÁREA MÉDIA MENOR OU IGUAL A 20 M², PÉ-DIREITO SIMPLES, EM CHAPA DE MADEIRA COMPENSADA PLA STIFICADA, 12 UTILIZAÇÕES. AF_12/2015</t>
  </si>
  <si>
    <t>MONTAGEM E DESMONTAGEM DE FÔRMA DE LAJE MACIÇA COM ÁREA MÉDIA MENOR OU IGUAL A 20 M², PÉ-DIREITO SIMPLES, EM CHAPA DE MADEIRA COMPENSADA PLA STIFICADA, 14 UTILIZAÇÕES. AF_12/2015</t>
  </si>
  <si>
    <t>MONTAGEM E DESMONTAGEM DE FÔRMA DE LAJE MACIÇA COM ÁREA MÉDIA MENOR OU IGUAL A 20 M², PÉ-DIREITO SIMPLES, EM CHAPA DE MADEIRA COMPENSADA PLA STIFICADA, 18 UTILIZAÇÕES. AF_12/2015</t>
  </si>
  <si>
    <t>MONTAGEM E DESMONTAGEM DE FÔRMA DE LAJE MACIÇA COM ÁREA MÉDIA MENOR OU IGUAL A 20 M², PÉ-DIREITO SIMPLES, EM CHAPA DE MADEIRA COMPENSADA RES INADA, 2 UTILIZAÇÕES. AF_12/2015</t>
  </si>
  <si>
    <t>MONTAGEM E DESMONTAGEM DE FÔRMA DE LAJE MACIÇA COM ÁREA MÉDIA MENOR OU IGUAL A 20 M², PÉ-DIREITO SIMPLES, EM CHAPA DE MADEIRA COMPENSADA RES INADA, 4 UTILIZAÇÕES. AF_12/2015</t>
  </si>
  <si>
    <t>MONTAGEM E DESMONTAGEM DE FÔRMA DE LAJE MACIÇA COM ÁREA MÉDIA MENOR OU IGUAL A 20 M², PÉ-DIREITO SIMPLES, EM CHAPA DE MADEIRA COMPENSADA RES INADA, 6 UTILIZAÇÕES. AF_12/2015</t>
  </si>
  <si>
    <t>MONTAGEM E DESMONTAGEM DE FÔRMA DE LAJE MACIÇA COM ÁREA MÉDIA MENOR OU IGUAL A 20 M², PÉ-DIREITO SIMPLES, EM CHAPA DE MADEIRA COMPENSADA RES INADA, 8 UTILIZAÇÕES.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</si>
  <si>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</si>
  <si>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</si>
  <si>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</si>
  <si>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NERVURADA COM CUBETA E ASSOALH O COM ÁREA MÉDIA MAIOR QUE 20 M², PÉ-DIREITO DUPLO, EM CHAPA DE MADEIR A COMPENSADA RESINADA, 10 UTILIZAÇÕES. AF_12/2015</t>
  </si>
  <si>
    <t>MONTAGEM E DESMONTAGEM DE FÔRMA DE LAJE NERVURADA COM CUBETA E ASSOALH O COM ÁREA MÉDIA MAIOR QUE 20 M², PÉ-DIREITO DUPLO, EM CHAPA DE MADEIR A COMPENSADA RESINADA, 12 UTILIZAÇÕES. AF_12/2015</t>
  </si>
  <si>
    <t>MONTAGEM E DESMONTAGEM DE FÔRMA DE LAJE NERVURADA COM CUBETA E ASSOALH O COM ÁREA MÉDIA MAIOR QUE 20 M², PÉ-DIREITO DUPLO, EM CHAPA DE MADEIR A COMPENSADA RESINADA, 14 UTILIZAÇÕES. AF_12/2015</t>
  </si>
  <si>
    <t>MONTAGEM E DESMONTAGEM DE FÔRMA DE LAJE NERVURADA COM CUBETA E ASSOALH O COM ÁREA MÉDIA MAIOR QUE 20 M², PÉ-DIREITO DUPLO, EM CHAPA DE MADEIR A COMPENSADA RESINADA, 18 UTILIZAÇÕES. AF_12/2015</t>
  </si>
  <si>
    <t>MONTAGEM E DESMONTAGEM DE FÔRMA DE LAJE NERVURADA COM CUBETA E ASSOALH O COM ÁREA MÉDIA MAIOR QUE 20 M², PÉ-DIREITO DUPLO, EM CHAPA DE MADEIR A COMPENSADA RESINADA, 8 UTILIZAÇÕES. AF_12/2015</t>
  </si>
  <si>
    <t>MONTAGEM E DESMONTAGEM DE FÔRMA DE LAJE NERVURADA COM CUBETA E ASSOALH O COM ÁREA MÉDIA MAIOR QUE 20 M², PÉ-DIREITO SIMPLES, EM CHAPA DE MADE IRA COMPENSADA RESINADA, 10 UTILIZAÇÕES. AF_12/2015</t>
  </si>
  <si>
    <t>MONTAGEM E DESMONTAGEM DE FÔRMA DE LAJE NERVURADA COM CUBETA E ASSOALH O COM ÁREA MÉDIA MAIOR QUE 20 M², PÉ-DIREITO SIMPLES, EM CHAPA DE MADE IRA COMPENSADA RESINADA, 12 UTILIZAÇÕES. AF_12/2015</t>
  </si>
  <si>
    <t>MONTAGEM E DESMONTAGEM DE FÔRMA DE LAJE NERVURADA COM CUBETA E ASSOALH O COM ÁREA MÉDIA MAIOR QUE 20 M², PÉ-DIREITO SIMPLES, EM CHAPA DE MADE IRA COMPENSADA RESINADA, 14 UTILIZAÇÕES. AF_12/2015</t>
  </si>
  <si>
    <t>MONTAGEM E DESMONTAGEM DE FÔRMA DE LAJE NERVURADA COM CUBETA E ASSOALH O COM ÁREA MÉDIA MAIOR QUE 20 M², PÉ-DIREITO SIMPLES, EM CHAPA DE MADE IRA COMPENSADA RESINADA, 18 UTILIZAÇÕES. AF_12/2015</t>
  </si>
  <si>
    <t>MONTAGEM E DESMONTAGEM DE FÔRMA DE LAJE NERVURADA COM CUBETA E ASSOALH O COM ÁREA MÉDIA MAIOR QUE 20 M², PÉ-DIREITO SIMPLES, EM CHAPA DE MADE IRA COMPENSADA RESINADA, 8 UTILIZAÇÕES. AF_12/2015</t>
  </si>
  <si>
    <t>MONTAGEM E DESMONTAGEM DE FÔRMA DE LAJE NERVURADA COM CUBETA E ASSOALH O COM ÁREA MÉDIA MENOR OU IGUAL A 20 M², PÉ-DIREITO DUPLO, EM CHAPA DE MADEIRA COMPENSADA RESINADA, 10 UTILIZAÇÕES. AF_12/2015</t>
  </si>
  <si>
    <t>MONTAGEM E DESMONTAGEM DE FÔRMA DE LAJE NERVURADA COM CUBETA E ASSOALH O COM ÁREA MÉDIA MENOR OU IGUAL A 20 M², PÉ-DIREITO DUPLO, EM CHAPA DE MADEIRA COMPENSADA RESINADA, 12 UTILIZAÇÕES. AF_12/2015</t>
  </si>
  <si>
    <t>MONTAGEM E DESMONTAGEM DE FÔRMA DE LAJE NERVURADA COM CUBETA E ASSOALH O COM ÁREA MÉDIA MENOR OU IGUAL A 20 M², PÉ-DIREITO DUPLO, EM CHAPA DE MADEIRA COMPENSADA RESINADA, 14 UTILIZAÇÕES. AF_12/2015</t>
  </si>
  <si>
    <t>MONTAGEM E DESMONTAGEM DE FÔRMA DE LAJE NERVURADA COM CUBETA E ASSOALH O COM ÁREA MÉDIA MENOR OU IGUAL A 20 M², PÉ-DIREITO DUPLO, EM CHAPA DE MADEIRA COMPENSADA RESINADA, 18 UTILIZAÇÕES. AF_12/2015</t>
  </si>
  <si>
    <t>MONTAGEM E DESMONTAGEM DE FÔRMA DE LAJE NERVURADA COM CUBETA E ASSOALH O COM ÁREA MÉDIA MENOR OU IGUAL A 20 M², PÉ-DIREITO DUPLO, EM CHAPA DE MADEIRA COMPENSADA RESINADA, 8 UTILIZAÇÕES. AF_12/2015</t>
  </si>
  <si>
    <t>MONTAGEM E DESMONTAGEM DE FÔRMA DE LAJE NERVURADA COM CUBETA E ASSOALH O COM ÁREA MÉDIA MENOR OU IGUAL A 20 M², PÉ-DIREITO SIMPLES, EM CHAPA DE MADEIRA COMPENSADA RESINADA, 10 UTILIZAÇÕES. AF_12/2015</t>
  </si>
  <si>
    <t>MONTAGEM E DESMONTAGEM DE FÔRMA DE LAJE NERVURADA COM CUBETA E ASSOALH O COM ÁREA MÉDIA MENOR OU IGUAL A 20 M², PÉ-DIREITO SIMPLES, EM CHAPA DE MADEIRA COMPENSADA RESINADA, 12 UTILIZAÇÕES. AF_12/2015</t>
  </si>
  <si>
    <t>MONTAGEM E DESMONTAGEM DE FÔRMA DE LAJE NERVURADA COM CUBETA E ASSOALH O COM ÁREA MÉDIA MENOR OU IGUAL A 20 M², PÉ-DIREITO SIMPLES, EM CHAPA DE MADEIRA COMPENSADA RESINADA, 14 UTILIZAÇÕES. AF_12/2015</t>
  </si>
  <si>
    <t>MONTAGEM E DESMONTAGEM DE FÔRMA DE LAJE NERVURADA COM CUBETA E ASSOALH O COM ÁREA MÉDIA MENOR OU IGUAL A 20 M², PÉ-DIREITO SIMPLES, EM CHAPA DE MADEIRA COMPENSADA RESINADA, 18 UTILIZAÇÕES. AF_12/2015</t>
  </si>
  <si>
    <t>MONTAGEM E DESMONTAGEM DE FÔRMA DE LAJE NERVURADA COM CUBETA E ASSOALH O COM ÁREA MÉDIA MENOR OU IGUAL A 20 M², PÉ-DIREITO SIMPLES, EM CHAPA DE MADEIRA COMPENSADA RESINADA, 8 UTILIZAÇÕES. AF_12/2015</t>
  </si>
  <si>
    <t>MONTAGEM E DESMONTAGEM DE FÔRMA DE PILARES RETANGULARES E ESTRUTURAS S IMILARES COM ÁREA MÉDIA DAS SEÇÕES MAIOR QUE 0,25 M², PÉ-DIREITO DUPLO , EM CHAPA DE MADEIRA COMPENSADA PLASTIFICADA, 10 UTILIZAÇÕES. AF_12/2 015</t>
  </si>
  <si>
    <t>MONTAGEM E DESMONTAGEM DE FÔRMA DE PILARES RETANGULARES E ESTRUTURAS S IMILARES COM ÁREA MÉDIA DAS SEÇÕES MAIOR QUE 0,25 M², PÉ-DIREITO DUPLO , EM CHAPA DE MADEIRA COMPENSADA PLASTIFICADA, 12 UTILIZAÇÕES. AF_12/2 015</t>
  </si>
  <si>
    <t>MONTAGEM E DESMONTAGEM DE FÔRMA DE PILARES RETANGULARES E ESTRUTURAS S IMILARES COM ÁREA MÉDIA DAS SEÇÕES MAIOR QUE 0,25 M², PÉ-DIREITO DUPLO , EM CHAPA DE MADEIRA COMPENSADA PLASTIFICADA, 14 UTILIZAÇÕES. AF_12/2 015</t>
  </si>
  <si>
    <t>MONTAGEM E DESMONTAGEM DE FÔRMA DE PILARES RETANGULARES E ESTRUTURAS S IMILARES COM ÁREA MÉDIA DAS SEÇÕES MAIOR QUE 0,25 M², PÉ-DIREITO DUPLO , EM CHAPA DE MADEIRA COMPENSADA PLASTIFICADA, 18 UTILIZAÇÕES. AF_12/2 015</t>
  </si>
  <si>
    <t>MONTAGEM E DESMONTAGEM DE FÔRMA DE PILARES RETANGULARES E ESTRUTURAS S IMILARES COM ÁREA MÉDIA DAS SEÇÕES MAIOR QUE 0,25 M², PÉ-DIREITO DUPLO , EM CHAPA DE MADEIRA COMPENSADA RESINADA, 2 UTILIZAÇÕES. AF_12/2015</t>
  </si>
  <si>
    <t>MONTAGEM E DESMONTAGEM DE FÔRMA DE PILARES RETANGULARES E ESTRUTURAS S IMILARES COM ÁREA MÉDIA DAS SEÇÕES MAIOR QUE 0,25 M², PÉ-DIREITO DUPLO , EM CHAPA DE MADEIRA COMPENSADA RESINADA, 4 UTILIZAÇÕES. AF_12/2015</t>
  </si>
  <si>
    <t>MONTAGEM E DESMONTAGEM DE FÔRMA DE PILARES RETANGULARES E ESTRUTURAS S IMILARES COM ÁREA MÉDIA DAS SEÇÕES MAIOR QUE 0,25 M², PÉ-DIREITO DUPLO , EM CHAPA DE MADEIRA COMPENSADA RESINADA, 6 UTILIZAÇÕES. AF_12/2015</t>
  </si>
  <si>
    <t>MONTAGEM E DESMONTAGEM DE FÔRMA DE PILARES RETANGULARES E ESTRUTURAS S IMILARES COM ÁREA MÉDIA DAS SEÇÕES MAIOR QUE 0,25 M², PÉ-DIREITO DUPLO , EM CHAPA DE MADEIRA COMPENSADA RESINADA, 8 UTILIZAÇÕES. AF_12/2015</t>
  </si>
  <si>
    <t>MONTAGEM E DESMONTAGEM DE FÔRMA DE PILARES RETANGULARES E ESTRUTURAS S IMILARES COM ÁREA MÉDIA DAS SEÇÕES MAIOR QUE 0,25 M², PÉ-DIREITO SIMPL ES, EM CHAPA DE MADEIRA COMPENSADA PLASTIFICADA, 10 UTILIZAÇÕES. AF_12 /2015</t>
  </si>
  <si>
    <t>MONTAGEM E DESMONTAGEM DE FÔRMA DE PILARES RETANGULARES E ESTRUTURAS S IMILARES COM ÁREA MÉDIA DAS SEÇÕES MAIOR QUE 0,25 M², PÉ-DIREITO SIMPL ES, EM CHAPA DE MADEIRA COMPENSADA PLASTIFICADA, 12 UTILIZAÇÕES. AF_12 /2015</t>
  </si>
  <si>
    <t>MONTAGEM E DESMONTAGEM DE FÔRMA DE PILARES RETANGULARES E ESTRUTURAS S IMILARES COM ÁREA MÉDIA DAS SEÇÕES MAIOR QUE 0,25 M², PÉ-DIREITO SIMPL ES, EM CHAPA DE MADEIRA COMPENSADA PLASTIFICADA, 14 UTILIZAÇÕES. AF_12 /2015</t>
  </si>
  <si>
    <t>MONTAGEM E DESMONTAGEM DE FÔRMA DE PILARES RETANGULARES E ESTRUTURAS S IMILARES COM ÁREA MÉDIA DAS SEÇÕES MAIOR QUE 0,25 M², PÉ-DIREITO SIMPL ES, EM CHAPA DE MADEIRA COMPENSADA PLASTIFICADA, 18 UTILIZAÇÕES. AF_12 /2015</t>
  </si>
  <si>
    <t>MONTAGEM E DESMONTAGEM DE FÔRMA DE PILARES RETANGULARES E ESTRUTURAS S IMILARES COM ÁREA MÉDIA DAS SEÇÕES MAIOR QUE 0,25 M², PÉ-DIREITO SIMPL ES, EM CHAPA DE MADEIRA COMPENSADA RESINADA, 2 UTILIZAÇÕES. AF_12/2015</t>
  </si>
  <si>
    <t>MONTAGEM E DESMONTAGEM DE FÔRMA DE PILARES RETANGULARES E ESTRUTURAS S IMILARES COM ÁREA MÉDIA DAS SEÇÕES MAIOR QUE 0,25 M², PÉ-DIREITO SIMPL ES, EM CHAPA DE MADEIRA COMPENSADA RESINADA, 4 UTILIZAÇÕES. AF_12/2015</t>
  </si>
  <si>
    <t>MONTAGEM E DESMONTAGEM DE FÔRMA DE PILARES RETANGULARES E ESTRUTURAS S IMILARES COM ÁREA MÉDIA DAS SEÇÕES MAIOR QUE 0,25 M², PÉ-DIREITO SIMPL ES, EM CHAPA DE MADEIRA COMPENSADA RESINADA, 6 UTILIZAÇÕES. AF_12/2015</t>
  </si>
  <si>
    <t>MONTAGEM E DESMONTAGEM DE FÔRMA DE PILARES RETANGULARES E ESTRUTURAS S IMILARES COM ÁREA MÉDIA DAS SEÇÕES MAIOR QUE 0,25 M², PÉ-DIREITO SIMPL ES, EM CHAPA DE MADEIRA COMPENSADA RESINADA, 8 UTILIZAÇÕES. AF_12/2015</t>
  </si>
  <si>
    <t>MONTAGEM E DESMONTAGEM DE FÔRMA DE PILARES RETANGULARES E ESTRUTURAS S IMILARES COM ÁREA MÉDIA DAS SEÇÕES MAIOR QUE 0,25 M², PÉ-DIREITO SIMPL ES, EM MADEIRA SERRADA, 1 UTILIZAÇÃO. AF_12/2015</t>
  </si>
  <si>
    <t>MONTAGEM E DESMONTAGEM DE FÔRMA DE PILARES RETANGULARES E ESTRUTURAS S IMILARES COM ÁREA MÉDIA DAS SEÇÕES MAIOR QUE 0,25 M², PÉ-DIREITO SIMPL ES, EM MADEIRA SERRADA, 2 UTILIZAÇÕES. AF_12/2015</t>
  </si>
  <si>
    <t>MONTAGEM E DESMONTAGEM DE FÔRMA DE PILARES RETANGULARES E ESTRUTURAS S IMILARES COM ÁREA MÉDIA DAS SEÇÕES MAIOR QUE 0,25 M², PÉ-DIREITO SIMPL ES, EM MADEIRA SERRADA, 4 UTILIZAÇÕES. AF_12/2015</t>
  </si>
  <si>
    <t>MONTAGEM E DESMONTAGEM DE FÔRMA DE PILARES RETANGULARES E ESTRUTURAS S IMILARES COM ÁREA MÉDIA DAS SEÇÕES MENOR OU IGUAL A 0,25 M², PÉ-DIREIT O DUPLO, EM CHAPA DE MADEIRA COMPENSADA PLASTIFICADA, 10 UTILIZAÇÕES. AF_12/2015</t>
  </si>
  <si>
    <t>MONTAGEM E DESMONTAGEM DE FÔRMA DE PILARES RETANGULARES E ESTRUTURAS S IMILARES COM ÁREA MÉDIA DAS SEÇÕES MENOR OU IGUAL A 0,25 M², PÉ-DIREIT O DUPLO, EM CHAPA DE MADEIRA COMPENSADA PLASTIFICADA, 12 UTILIZAÇÕES. AF_12/2015</t>
  </si>
  <si>
    <t>MONTAGEM E DESMONTAGEM DE FÔRMA DE PILARES RETANGULARES E ESTRUTURAS S IMILARES COM ÁREA MÉDIA DAS SEÇÕES MENOR OU IGUAL A 0,25 M², PÉ-DIREIT O DUPLO, EM CHAPA DE MADEIRA COMPENSADA PLASTIFICADA, 14 UTILIZAÇÕES. AF_12/2015</t>
  </si>
  <si>
    <t>MONTAGEM E DESMONTAGEM DE FÔRMA DE PILARES RETANGULARES E ESTRUTURAS S IMILARES COM ÁREA MÉDIA DAS SEÇÕES MENOR OU IGUAL A 0,25 M², PÉ-DIREIT O DUPLO, EM CHAPA DE MADEIRA COMPENSADA PLASTIFICADA, 18 UTILIZAÇÕES. AF_12/2015</t>
  </si>
  <si>
    <t>MONTAGEM E DESMONTAGEM DE FÔRMA DE PILARES RETANGULARES E ESTRUTURAS S IMILARES COM ÁREA MÉDIA DAS SEÇÕES MENOR OU IGUAL A 0,25 M², PÉ-DIREIT O DUPLO, EM CHAPA DE MADEIRA COMPENSADA RESINADA, 2 UTILIZAÇÕES. AF_12 /2015</t>
  </si>
  <si>
    <t>MONTAGEM E DESMONTAGEM DE FÔRMA DE PILARES RETANGULARES E ESTRUTURAS S IMILARES COM ÁREA MÉDIA DAS SEÇÕES MENOR OU IGUAL A 0,25 M², PÉ-DIREIT O DUPLO, EM CHAPA DE MADEIRA COMPENSADA RESINADA, 4 UTILIZAÇÕES. AF_12 /2015</t>
  </si>
  <si>
    <t>MONTAGEM E DESMONTAGEM DE FÔRMA DE PILARES RETANGULARES E ESTRUTURAS S IMILARES COM ÁREA MÉDIA DAS SEÇÕES MENOR OU IGUAL A 0,25 M², PÉ-DIREIT O DUPLO, EM CHAPA DE MADEIRA COMPENSADA RESINADA, 6 UTILIZAÇÕES. AF_12 /2015</t>
  </si>
  <si>
    <t>MONTAGEM E DESMONTAGEM DE FÔRMA DE PILARES RETANGULARES E ESTRUTURAS S IMILARES COM ÁREA MÉDIA DAS SEÇÕES MENOR OU IGUAL A 0,25 M², PÉ-DIREIT O DUPLO, EM CHAPA DE MADEIRA COMPENSADA RESINADA, 8 UTILIZAÇÕES. AF_12 /2015</t>
  </si>
  <si>
    <t>MONTAGEM E DESMONTAGEM DE FÔRMA DE PILARES RETANGULARES E ESTRUTURAS S IMILARES COM ÁREA MÉDIA DAS SEÇÕES MENOR OU IGUAL A 0,25 M², PÉ-DIREIT O SIMPLES, EM CHAPA DE MADEIRA COMPENSADA PLASTIFICADA, 10 UTILIZAÇÕES . AF_12/2015</t>
  </si>
  <si>
    <t>MONTAGEM E DESMONTAGEM DE FÔRMA DE PILARES RETANGULARES E ESTRUTURAS S IMILARES COM ÁREA MÉDIA DAS SEÇÕES MENOR OU IGUAL A 0,25 M², PÉ-DIREIT O SIMPLES, EM CHAPA DE MADEIRA COMPENSADA PLASTIFICADA, 12 UTILIZAÇÕES . AF_12/2015</t>
  </si>
  <si>
    <t>MONTAGEM E DESMONTAGEM DE FÔRMA DE PILARES RETANGULARES E ESTRUTURAS S IMILARES COM ÁREA MÉDIA DAS SEÇÕES MENOR OU IGUAL A 0,25 M², PÉ-DIREIT O SIMPLES, EM CHAPA DE MADEIRA COMPENSADA PLASTIFICADA, 14 UTILIZAÇÕES . AF_12/2015</t>
  </si>
  <si>
    <t>MONTAGEM E DESMONTAGEM DE FÔRMA DE PILARES RETANGULARES E ESTRUTURAS S IMILARES COM ÁREA MÉDIA DAS SEÇÕES MENOR OU IGUAL A 0,25 M², PÉ-DIREIT O SIMPLES, EM CHAPA DE MADEIRA COMPENSADA PLASTIFICADA, 18 UTILIZAÇÕES . AF_12/2015</t>
  </si>
  <si>
    <t>MONTAGEM E DESMONTAGEM DE FÔRMA DE PILARES RETANGULARES E ESTRUTURAS S IMILARES COM ÁREA MÉDIA DAS SEÇÕES MENOR OU IGUAL A 0,25 M², PÉ-DIREIT O SIMPLES, EM CHAPA DE MADEIRA COMPENSADA RESINADA, 2 UTILIZAÇÕES. AF_ 12/2015</t>
  </si>
  <si>
    <t>MONTAGEM E DESMONTAGEM DE FÔRMA DE PILARES RETANGULARES E ESTRUTURAS S IMILARES COM ÁREA MÉDIA DAS SEÇÕES MENOR OU IGUAL A 0,25 M², PÉ-DIREIT O SIMPLES, EM CHAPA DE MADEIRA COMPENSADA RESINADA, 4 UTILIZAÇÕES. AF_ 12/2015</t>
  </si>
  <si>
    <t>MONTAGEM E DESMONTAGEM DE FÔRMA DE PILARES RETANGULARES E ESTRUTURAS S IMILARES COM ÁREA MÉDIA DAS SEÇÕES MENOR OU IGUAL A 0,25 M², PÉ-DIREIT O SIMPLES, EM CHAPA DE MADEIRA COMPENSADA RESINADA, 6 UTILIZAÇÕES. AF_ 12/2015</t>
  </si>
  <si>
    <t>MONTAGEM E DESMONTAGEM DE FÔRMA DE PILARES RETANGULARES E ESTRUTURAS S IMILARES COM ÁREA MÉDIA DAS SEÇÕES MENOR OU IGUAL A 0,25 M², PÉ-DIREIT O SIMPLES, EM CHAPA DE MADEIRA COMPENSADA RESINADA, 8 UTILIZAÇÕES. AF_ 12/2015</t>
  </si>
  <si>
    <t>MONTAGEM E DESMONTAGEM DE FÔRMA DE PILARES RETANGULARES E ESTRUTURAS S IMILARES COM ÁREA MÉDIA DAS SEÇÕES MENOR OU IGUAL A 0,25 M², PÉ-DIREIT O SIMPLES, EM MADEIRA SERRADA, 1 UTILIZAÇÃO. AF_12/2015</t>
  </si>
  <si>
    <t>MONTAGEM E DESMONTAGEM DE FÔRMA DE PILARES RETANGULARES E ESTRUTURAS S IMILARES COM ÁREA MÉDIA DAS SEÇÕES MENOR OU IGUAL A 0,25 M², PÉ-DIREIT O SIMPLES, EM MADEIRA SERRADA, 2 UTILIZAÇÕES. AF_12/2015</t>
  </si>
  <si>
    <t>MONTAGEM E DESMONTAGEM DE FÔRMA DE PILARES RETANGULARES E ESTRUTURAS S IMILARES COM ÁREA MÉDIA DAS SEÇÕES MENOR OU IGUAL A 0,25 M², PÉ-DIREIT O SIMPLES, EM MADEIRA SERRADA, 4 UTILIZAÇÕES. AF_12/2015</t>
  </si>
  <si>
    <t>MONTAGEM E DESMONTAGEM DE FÔRMA DE VIGA, ESCORAMENTO COM GARFO DE MADE IRA, PÉ-DIREITO DUPLO, EM CHAPA DE MADEIRA PLASTIFICADA, 10 UTILIZAÇÕE S. AF_12/2015</t>
  </si>
  <si>
    <t>MONTAGEM E DESMONTAGEM DE FÔRMA DE VIGA, ESCORAMENTO COM GARFO DE MADE IRA, PÉ-DIREITO DUPLO, EM CHAPA DE MADEIRA PLASTIFICADA, 12 UTILIZAÇÕE S. AF_12/2015</t>
  </si>
  <si>
    <t>MONTAGEM E DESMONTAGEM DE FÔRMA DE VIGA, ESCORAMENTO COM GARFO DE MADE IRA, PÉ-DIREITO DUPLO, EM CHAPA DE MADEIRA PLASTIFICADA, 14 UTILIZAÇÕE S. AF_12/2015</t>
  </si>
  <si>
    <t>MONTAGEM E DESMONTAGEM DE FÔRMA DE VIGA, ESCORAMENTO COM GARFO DE MADE IRA, PÉ-DIREITO DUPLO, EM CHAPA DE MADEIRA PLASTIFICADA, 18 UTILIZAÇÕE S. AF_12/2015</t>
  </si>
  <si>
    <t>MONTAGEM E DESMONTAGEM DE FÔRMA DE VIGA, ESCORAMENTO COM GARFO DE MADE IRA, PÉ-DIREITO DUPLO, EM CHAPA DE MADEIRA RESINADA, 2 UTILIZAÇÕES. AF _12/2015</t>
  </si>
  <si>
    <t>MONTAGEM E DESMONTAGEM DE FÔRMA DE VIGA, ESCORAMENTO COM GARFO DE MADE IRA, PÉ-DIREITO DUPLO, EM CHAPA DE MADEIRA RESINADA, 4 UTILIZAÇÕES. AF _12/2015</t>
  </si>
  <si>
    <t>MONTAGEM E DESMONTAGEM DE FÔRMA DE VIGA, ESCORAMENTO COM GARFO DE MADE IRA, PÉ-DIREITO DUPLO, EM CHAPA DE MADEIRA RESINADA, 6 UTILIZAÇÕES. AF _12/2015</t>
  </si>
  <si>
    <t>MONTAGEM E DESMONTAGEM DE FÔRMA DE VIGA, ESCORAMENTO COM GARFO DE MADE IRA, PÉ-DIREITO DUPLO, EM CHAPA DE MADEIRA RESINADA, 8 UTILIZAÇÕES. AF _12/2015</t>
  </si>
  <si>
    <t>MONTAGEM E DESMONTAGEM DE FÔRMA DE VIGA, ESCORAMENTO COM GARFO DE MADE IRA, PÉ-DIREITO SIMPLES, EM CHAPA DE MADEIRA PLASTIFICADA, 10 UTILIZAÇ ÕES. AF_12/2015</t>
  </si>
  <si>
    <t>MONTAGEM E DESMONTAGEM DE FÔRMA DE VIGA, ESCORAMENTO COM GARFO DE MADE IRA, PÉ-DIREITO SIMPLES, EM CHAPA DE MADEIRA PLASTIFICADA, 12 UTILIZAÇ ÕES. AF_12/2015</t>
  </si>
  <si>
    <t>MONTAGEM E DESMONTAGEM DE FÔRMA DE VIGA, ESCORAMENTO COM GARFO DE MADE IRA, PÉ-DIREITO SIMPLES, EM CHAPA DE MADEIRA PLASTIFICADA, 14 UTILIZAÇ ÕES. AF_12/2015</t>
  </si>
  <si>
    <t>MONTAGEM E DESMONTAGEM DE FÔRMA DE VIGA, ESCORAMENTO COM GARFO DE MADE IRA, PÉ-DIREITO SIMPLES, EM CHAPA DE MADEIRA PLASTIFICADA, 18 UTILIZAÇ ÕES. AF_12/2015</t>
  </si>
  <si>
    <t>MONTAGEM E DESMONTAGEM DE FÔRMA DE VIGA, ESCORAMENTO COM GARFO DE MADE IRA, PÉ-DIREITO SIMPLES, EM CHAPA DE MADEIRA RESINADA, 2 UTILIZAÇÕES. AF_12/2015</t>
  </si>
  <si>
    <t>MONTAGEM E DESMONTAGEM DE FÔRMA DE VIGA, ESCORAMENTO COM GARFO DE MADE IRA, PÉ-DIREITO SIMPLES, EM CHAPA DE MADEIRA RESINADA, 4 UTILIZAÇÕES. AF_12/2015</t>
  </si>
  <si>
    <t>MONTAGEM E DESMONTAGEM DE FÔRMA DE VIGA, ESCORAMENTO COM GARFO DE MADE IRA, PÉ-DIREITO SIMPLES, EM CHAPA DE MADEIRA RESINADA, 6 UTILIZAÇÕES. AF_12/2015</t>
  </si>
  <si>
    <t>MONTAGEM E DESMONTAGEM DE FÔRMA DE VIGA, ESCORAMENTO COM GARFO DE MADE IRA, PÉ-DIREITO SIMPLES, EM CHAPA DE MADEIRA RESINADA, 8 UTILIZAÇÕES. AF_12/2015</t>
  </si>
  <si>
    <t>MONTAGEM E DESMONTAGEM DE FÔRMA DE VIGA, ESCORAMENTO COM PONTALETE DE MADEIRA, PÉ-DIREITO SIMPLES, EM MADEIRA SERRADA, 1 UTILIZAÇÃO. AF_12/2 015</t>
  </si>
  <si>
    <t>MONTAGEM E DESMONTAGEM DE FÔRMA DE VIGA, ESCORAMENTO COM PONTALETE DE MADEIRA, PÉ-DIREITO SIMPLES, EM MADEIRA SERRADA, 2 UTILIZAÇÕES. AF_12/ 2015</t>
  </si>
  <si>
    <t>MONTAGEM E DESMONTAGEM DE FÔRMA DE VIGA, ESCORAMENTO COM PONTALETE DE MADEIRA, PÉ-DIREITO SIMPLES, EM MADEIRA SERRADA, 4 UTILIZAÇÕES. AF_12/ 2015</t>
  </si>
  <si>
    <t>MONTAGEM E DESMONTAGEM DE FÔRMA DE VIGA, ESCORAMENTO METÁLICO, PÉ-DIRE ITO DUPLO, EM CHAPA DE MADEIRA PLASTIFICADA, 10 UTILIZAÇÕES. AF_12/201 5</t>
  </si>
  <si>
    <t>MONTAGEM E DESMONTAGEM DE FÔRMA DE VIGA, ESCORAMENTO METÁLICO, PÉ-DIRE ITO DUPLO, EM CHAPA DE MADEIRA PLASTIFICADA, 12 UTILIZAÇÕES. AF_12/201 5</t>
  </si>
  <si>
    <t>MONTAGEM E DESMONTAGEM DE FÔRMA DE VIGA, ESCORAMENTO METÁLICO, PÉ-DIRE ITO DUPLO, EM CHAPA DE MADEIRA PLASTIFICADA, 14 UTILIZAÇÕES. AF_12/201 5</t>
  </si>
  <si>
    <t>MONTAGEM E DESMONTAGEM DE FÔRMA DE VIGA, ESCORAMENTO METÁLICO, PÉ-DIRE ITO DUPLO, EM CHAPA DE MADEIRA PLASTIFICADA, 18 UTILIZAÇÕES. AF_12/201 5</t>
  </si>
  <si>
    <t>MONTAGEM E DESMONTAGEM DE FÔRMA DE VIGA, ESCORAMENTO METÁLICO, PÉ-DIRE ITO DUPLO, EM CHAPA DE MADEIRA RESINADA, 2 UTILIZAÇÕES. AF_12/2015</t>
  </si>
  <si>
    <t>MONTAGEM E DESMONTAGEM DE FÔRMA DE VIGA, ESCORAMENTO METÁLICO, PÉ-DIRE ITO DUPLO, EM CHAPA DE MADEIRA RESINADA, 4 UTILIZAÇÕES. AF_12/2015</t>
  </si>
  <si>
    <t>MONTAGEM E DESMONTAGEM DE FÔRMA DE VIGA, ESCORAMENTO METÁLICO, PÉ-DIRE ITO DUPLO, EM CHAPA DE MADEIRA RESINADA, 6 UTILIZAÇÕES. AF_12/2015</t>
  </si>
  <si>
    <t>MONTAGEM E DESMONTAGEM DE FÔRMA DE VIGA, ESCORAMENTO METÁLICO, PÉ-DIRE ITO DUPLO, EM CHAPA DE MADEIRA RESINADA, 8 UTILIZAÇÕES. AF_12/2015</t>
  </si>
  <si>
    <t>MONTAGEM E DESMONTAGEM DE FÔRMA DE VIGA, ESCORAMENTO METÁLICO, PÉ-DIRE ITO SIMPLES, EM CHAPA DE MADEIRA PLASTIFICADA, 10 UTILIZAÇÕES. AF_12/2 015</t>
  </si>
  <si>
    <t>MONTAGEM E DESMONTAGEM DE FÔRMA DE VIGA, ESCORAMENTO METÁLICO, PÉ-DIRE ITO SIMPLES, EM CHAPA DE MADEIRA PLASTIFICADA, 12 UTILIZAÇÕES. AF_12/2 015</t>
  </si>
  <si>
    <t>MONTAGEM E DESMONTAGEM DE FÔRMA DE VIGA, ESCORAMENTO METÁLICO, PÉ-DIRE ITO SIMPLES, EM CHAPA DE MADEIRA PLASTIFICADA, 14 UTILIZAÇÕES. AF_12/2 015</t>
  </si>
  <si>
    <t>MONTAGEM E DESMONTAGEM DE FÔRMA DE VIGA, ESCORAMENTO METÁLICO, PÉ-DIRE ITO SIMPLES, EM CHAPA DE MADEIRA PLASTIFICADA, 18 UTILIZAÇÕES. AF_12/2 015</t>
  </si>
  <si>
    <t>MONTAGEM E DESMONTAGEM DE FÔRMA DE VIGA, ESCORAMENTO METÁLICO, PÉ-DIRE ITO SIMPLES, EM CHAPA DE MADEIRA RESINADA, 2 UTILIZAÇÕES. AF_12/2015</t>
  </si>
  <si>
    <t>MONTAGEM E DESMONTAGEM DE FÔRMA DE VIGA, ESCORAMENTO METÁLICO, PÉ-DIRE ITO SIMPLES, EM CHAPA DE MADEIRA RESINADA, 4 UTILIZAÇÕES. AF_12/2015</t>
  </si>
  <si>
    <t>MONTAGEM E DESMONTAGEM DE FÔRMA DE VIGA, ESCORAMENTO METÁLICO, PÉ-DIRE ITO SIMPLES, EM CHAPA DE MADEIRA RESINADA, 6 UTILIZAÇÕES. AF_12/2015</t>
  </si>
  <si>
    <t>MONTAGEM E DESMONTAGEM DE FÔRMA DE VIGA, ESCORAMENTO METÁLICO, PÉ-DIRE ITO SIMPLES, EM CHAPA DE MADEIRA RESINADA, 8 UTILIZAÇÕES. AF_12/2015</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</si>
  <si>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</si>
  <si>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</si>
  <si>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</si>
  <si>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</si>
  <si>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CENTRÍFUGA, MOTOR A GASOLINA, POTÊNCIA 5,42 HP, BOCAIS 1 1/2 " X 1", DIÂMETRO ROTOR 143 MM HM/Q = 6 MCA / 16,8 M3/H A 38 MCA / 6,6 M3/H - CHI DIURNO. AF_06/2014</t>
  </si>
  <si>
    <t>MOTOBOMBA CENTRÍFUGA, MOTOR A GASOLINA, POTÊNCIA 5,42 HP, BOCAIS 1 1/2 " X 1", DIÂMETRO ROTOR 143 MM HM/Q = 6 MCA / 16,8 M3/H A 38 MCA / 6,6 M3/H - CHP DIURNO. AF_06/2014</t>
  </si>
  <si>
    <t>MOTOBOMBA CENTRÍFUGA, MOTOR A GASOLINA, POTÊNCIA 5,42 HP, BOCAIS 1 1/2 " X 1", DIÂMETRO ROTOR 143 MM HM/Q = 6 MCA / 16,8 M3/H A 38 MCA / 6,6 M3/H - DEPRECIAÇÃO. AF_06/2014</t>
  </si>
  <si>
    <t>MOTOBOMBA CENTRÍFUGA, MOTOR A GASOLINA, POTÊNCIA 5,42 HP, BOCAIS 1 1/2 " X 1", DIÂMETRO ROTOR 143 MM HM/Q = 6 MCA / 16,8 M3/H A 38 MCA / 6,6 M3/H - JUROS. AF_06/2014</t>
  </si>
  <si>
    <t>MOTOBOMBA CENTRÍFUGA, MOTOR A GASOLINA, POTÊNCIA 5,42 HP, BOCAIS 1 1/2 " X 1", DIÂMETRO ROTOR 143 MM HM/Q = 6 MCA / 16,8 M3/H A 38 MCA / 6,6 M3/H - MANUTENÇÃO. AF_06/2014</t>
  </si>
  <si>
    <t>MOTOBOMBA CENTRÍFUGA, MOTOR A GASOLINA, POTÊNCIA 5,42 HP, BOCAIS 1 1/2 " X 1", DIÂMETRO ROTOR 143 MM HM/Q = 6 MCA / 16,8 M3/H A 38 MCA / 6,6 M3/H - MATERIAIS NA OPERAÇÃO. AF_06/2014</t>
  </si>
  <si>
    <t>MOTOBOMBA CENTRIFUGA, MOTOR A GASOLINA, POTENCIA 5,42 HP, BOCAIS 1 1/2" X 1", DIAMETRO ROTOR 143 MM HM/Q = 6 MCA / 16,8 M3/H A 38 MCA / 6,6 M3/H</t>
  </si>
  <si>
    <t>MOTOBOMBA TRASH (PARA ÁGUA SUJA) AUTO ESCORVANTE, MOTOR GASOLINA DE 6, 41 HP, DIÂMETROS DE SUCÇÃO X RECALQUE: 3" X 3", HM/Q = 10 MCA / 60 M3/ H A 23 MCA / 0 M3/H - CHI DIURNO. AF_10/2014</t>
  </si>
  <si>
    <t>MOTOBOMBA TRASH (PARA ÁGUA SUJA) AUTO ESCORVANTE, MOTOR GASOLINA DE 6, 41 HP, DIÂMETROS DE SUCÇÃO X RECALQUE: 3" X 3", HM/Q = 10 MCA / 60 M3/ H A 23 MCA / 0 M3/H - CHP DIURNO. AF_10/2014</t>
  </si>
  <si>
    <t>MOTOBOMBA TRASH (PARA ÁGUA SUJA) AUTO ESCORVANTE, MOTOR GASOLINA DE 6, 41 HP, DIÂMETROS DE SUCÇÃO X RECALQUE: 3" X 3", HM/Q = 10 MCA / 60 M3/ H A 23 MCA / 0 M3/H - DEPRECIAÇÃO. AF_10/2014</t>
  </si>
  <si>
    <t>MOTOBOMBA TRASH (PARA ÁGUA SUJA) AUTO ESCORVANTE, MOTOR GASOLINA DE 6, 41 HP, DIÂMETROS DE SUCÇÃO X RECALQUE: 3" X 3", HM/Q = 10 MCA / 60 M3/ H A 23 MCA / 0 M3/H - JUROS. AF_10/2014</t>
  </si>
  <si>
    <t>MOTOBOMBA TRASH (PARA ÁGUA SUJA) AUTO ESCORVANTE, MOTOR GASOLINA DE 6, 41 HP, DIÂMETROS DE SUCÇÃO X RECALQUE: 3" X 3", HM/Q = 10 MCA / 60 M3/ H A 23 MCA / 0 M3/H - MANUTENÇÃO. AF_10/2014</t>
  </si>
  <si>
    <t>MOTOBOMBA TRASH (PARA ÁGUA SUJA) AUTO ESCORVANTE, MOTOR GASOLINA DE 6, 41 HP, DIÂMETROS DE SUCÇÃO X RECALQUE: 3" X 3", HM/Q = 10 MCA / 60 M3/ H A 23 MCA / 0 M3/H - MATERIAIS NA OPERAÇÃO. AF_10/2014</t>
  </si>
  <si>
    <t>MOTOBOMBA TRASH (PARA AGUA SUJA) AUTO ESCORVANTE, MOTOR GASOLINA DE 6,41 HP, DIAMETROS DE SUCCAO X RECALQUE: 3" X 3", HM/Q: 10/60 A 23/0</t>
  </si>
  <si>
    <t>MOTOCICLETA COM MOTOR DE *125* CILINDRADAS, USO URBANO, COM BANCO ADAPTADO PARA FIXACAO DE BAU</t>
  </si>
  <si>
    <t>MOTONIVELADORA - POTENCIA 177 HP PESO OPERACIONAL 14,7T.</t>
  </si>
  <si>
    <t>MOTONIVELADORA - POTENCIA 185HP PESO OPERACIONAL 14,7T.</t>
  </si>
  <si>
    <t>MOTONIVELADORA POTÊNCIA BÁSICA LÍQUIDA (PRIMEIRA MARCHA) 125 HP, PESO BRUTO 13032 KG, LARGURA DA LÂMINA DE 3,7 M - CHI DIURNO. AF_06/2014</t>
  </si>
  <si>
    <t>MOTONIVELADORA POTÊNCIA BÁSICA LÍQUIDA (PRIMEIRA MARCHA) 125 HP, PESO BRUTO 13032 KG, LARGURA DA LÂMINA DE 3,7 M - CHP DIURNO.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</si>
  <si>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</si>
  <si>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</si>
  <si>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MOTONIVELADORA POTÊNCIA BÁSICA LÍQUIDA (PRIMEIRA MARCHA) 125 HP, PESO BRUTO 13032 KG, LARGURA DA LÂMINA DE 3,7 M - MANUTENÇÃO. AF_06/2014</t>
  </si>
  <si>
    <t>MOTONIVELADORA POTÊNCIA BÁSICA LÍQUIDA (PRIMEIRA MARCHA) 125 HP, PESO BRUTO 13032 KG, LARGURA DA LÂMINA DE 3,7 M - MATERIAIS NA OPERAÇÃO. AF _06/2014</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</si>
  <si>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</si>
  <si>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</si>
  <si>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</si>
  <si>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</si>
  <si>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</si>
  <si>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 PISO MENSAL (ENCARGO SOCIAL MENSALISTA)</t>
  </si>
  <si>
    <t>MOTORISTA DE CAMINHAO COM ENCARGOS COMPLEMENTARES</t>
  </si>
  <si>
    <t>MOTORISTA DE CAMINHAO-BASCULANTE (MENSALISTA)</t>
  </si>
  <si>
    <t>MOTORISTA DE CAMINHAO-CARRETA (MENSALISTA)</t>
  </si>
  <si>
    <t>MOTORISTA DE CARRO DE PASSEIO (MENSALISTA)</t>
  </si>
  <si>
    <t>MOTORISTA DE ONIBUS / MICRO-ONIBUS (MENSALISTA)</t>
  </si>
  <si>
    <t>MOTORISTA DE VEIÍCULO LEVE COM ENCARGOS COMPLEMENTARES</t>
  </si>
  <si>
    <t>MOTORISTA OPERADOR DE CAMINHAO COM MUNCK (MENSALISTA)</t>
  </si>
  <si>
    <t>MOTORISTA OPERADOR DE CAMINHAO MUNCK</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</si>
  <si>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</si>
  <si>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</si>
  <si>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</si>
  <si>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</si>
  <si>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10 X 10 CM, H= 2,00 M</t>
  </si>
  <si>
    <t>MOURAO DE CONCRETO RETO, 10 X 10 CM, H= 3,00 M</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</si>
  <si>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</si>
  <si>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</si>
  <si>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</si>
  <si>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</si>
  <si>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</si>
  <si>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</si>
  <si>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</si>
  <si>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</si>
  <si>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</si>
  <si>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</si>
  <si>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EXTERNO PARA CABO 35/70MM2 ISOL. 20/35KV EM EPR - BORRACHA DE SILICONE</t>
  </si>
  <si>
    <t>MUFLA TERMINAL PRIMARIA UNIPOLAR USO EXTERNO PARA CABO 50/185MM2 ISOL. 20/35KV EM EPR</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</si>
  <si>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</si>
  <si>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</si>
  <si>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35/120MM2, ISOL ACAO 15/25KV EM EPR - BORRACHA DE SILICONE. FORNECIMENTO E INSTALACAO.</t>
  </si>
  <si>
    <t>MUFLA TERMINAL PRIMARIA UNIPOLAR USO INTERNO PARA CABO 35/70MM2 ISOLACAO 8,7/15KV EM EPR - BORRACHA DE SILICONE</t>
  </si>
  <si>
    <t>MURO DE ARRIMO CELULAR PECAS PRE-MOLDADAS CONCRETO EXCL FORMAS INCL CONFECCAO DAS PECAS MONTAGEM E COMPACTACAO DO SOLO DE ENCHIMENTO.</t>
  </si>
  <si>
    <t>MURO DE ARRIMO CELULAR PECAS PRE-MOLDADAS CONCRETO EXCL MATERIAIS E FORMAS INCL CONFECCAO PECAS MONTAGEM E COMPACTACAO DO SOLO(ENCHIMENTO)</t>
  </si>
  <si>
    <t>MURO DE ARRIMO DE CONCRETO CICLOPICO COM 30% DE PEDRA DE MAO</t>
  </si>
  <si>
    <t>MURO DE GABIÃO, ENCHIMENTO COM PEDRA DE MÃO TIPO RACHÃO, COM SOLO REFO RÇADO, ALTURA DO MURO ACIMA DE 12 E ATÉ 20 METROS - FORNECIMENTO E EXE CUÇÃO. AF_12/2015</t>
  </si>
  <si>
    <t>MURO DE GABIÃO, ENCHIMENTO COM PEDRA DE MÃO TIPO RACHÃO, COM SOLO REFO RÇADO, ALTURA DO MURO ACIMA DE 20 E ATÉ 28 METROS - FORNECIMENTO E EXE CUÇÃO. AF_12/2015</t>
  </si>
  <si>
    <t>MURO DE GABIÃO, ENCHIMENTO COM PEDRA DE MÃO TIPO RACHÃO, COM SOLO REFO RÇADO, ALTURA DO MURO ACIMA DE 4 E ATÉ 12 METROS - FORNECIMENTO E EXEC UÇÃO. AF_12/2015</t>
  </si>
  <si>
    <t>MURO DE GABIÃO, ENCHIMENTO COM PEDRA DE MÃO TIPO RACHÃO, COM SOLO REFO RÇADO, ALTURA DO MURO DE ATÉ 4 METROS - FORNECIMENTO E EXECUÇÃO. AF_12 /2015</t>
  </si>
  <si>
    <t>MURO DE GABIÃO, ENCHIMENTO COM RESÍDUO DE CONSTRUÇÃO E DEMOLIÇÃO, DE G RAVIDADE, COM GAIOLA TRAPEZOIDAL DE COMPRIMENTO IGUAL A 2 METROS, ALTU RA DO MURO ACIMA DE 2 E ATÉ 4 METROS - FORNECIMENTO E EXECUÇÃO. AF_12/ 2015</t>
  </si>
  <si>
    <t>MURO DE GABIÃO, ENCHIMENTO COM RESÍDUO DE CONSTRUÇÃO E DEMOLIÇÃO, DE G RAVIDADE, COM GAIOLA TRAPEZOIDAL DE COMPRIMENTO IGUAL A 2 METROS, ALTU RA DO MURO DE ATÉ 2 METROS - FORNECIMENTO E EXECUÇÃO. AF_12/2015</t>
  </si>
  <si>
    <t>NIPEL PVC, ROSCAVEL, 1 1/2",  AGUA FRIA PREDIAL</t>
  </si>
  <si>
    <t>NIPEL PVC, ROSCAVEL, 1 1/4",  AGUA FRIA PREDIAL</t>
  </si>
  <si>
    <t>NIPEL PVC, ROSCAVEL, 1",  AGUA FRIA PREDIAL</t>
  </si>
  <si>
    <t>NIPEL PVC, ROSCAVEL, 1/2",  AGUA FRIA PREDIAL</t>
  </si>
  <si>
    <t>NIPEL PVC, ROSCAVEL, 2",  AGUA FRIA PREDIAL</t>
  </si>
  <si>
    <t>NIPEL PVC, ROSCAVEL, 3/4",  AGUA FRIA PREDIAL</t>
  </si>
  <si>
    <t>NIPLE DE ACO GALVANIZADO 4" - FORNECIMENTO E INSTALACAO</t>
  </si>
  <si>
    <t>NIPLE DE ACO GALVANIZADO 5" - FORNECIMENTO E INSTALACAO</t>
  </si>
  <si>
    <t>NIPLE DE ACO GALVANIZADO 6" - FORNECIMENTO E INSTALACAO</t>
  </si>
  <si>
    <t>NIPLE DE FERRO GALVANIZADO, COM ROSCA BSP, DE 1 1/2"</t>
  </si>
  <si>
    <t>NIPLE DE FERRO GALVANIZADO, COM ROSCA BSP, DE 1 1/4"</t>
  </si>
  <si>
    <t>NIPLE DE FERRO GALVANIZADO, COM ROSCA BSP, DE 1"</t>
  </si>
  <si>
    <t>NIPLE DE FERRO GALVANIZADO, COM ROSCA BSP, DE 1/2"</t>
  </si>
  <si>
    <t>NIPLE DE FERRO GALVANIZADO, COM ROSCA BSP, DE 2 1/2"</t>
  </si>
  <si>
    <t>NIPLE DE FERRO GALVANIZADO, COM ROSCA BSP, DE 2"</t>
  </si>
  <si>
    <t>NIPLE DE FERRO GALVANIZADO, COM ROSCA BSP, DE 3"</t>
  </si>
  <si>
    <t>NIPLE DE FERRO GALVANIZADO, COM ROSCA BSP, DE 3/4"</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</si>
  <si>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</si>
  <si>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</si>
  <si>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</si>
  <si>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</si>
  <si>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</si>
  <si>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</si>
  <si>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t>
  </si>
  <si>
    <t>NIPLE DE REDUCAO DE FERRO GALVANIZADO, COM ROSCA BSP, DE 1 1/4" X 1/2"</t>
  </si>
  <si>
    <t>NIPLE DE REDUCAO DE FERRO GALVANIZADO, COM ROSCA BSP, DE 1 1/4" X 3/4"</t>
  </si>
  <si>
    <t>NIPLE DE REDUCAO DE FERRO GALVANIZADO, COM ROSCA BSP, DE 1" X 1/2"</t>
  </si>
  <si>
    <t>NIPLE DE REDUCAO DE FERRO GALVANIZADO, COM ROSCA BSP, DE 1" X 3/4"</t>
  </si>
  <si>
    <t>NIPLE DE REDUCAO DE FERRO GALVANIZADO, COM ROSCA BSP, DE 1/2" X 1/4"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</si>
  <si>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</si>
  <si>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</si>
  <si>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</si>
  <si>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</si>
  <si>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 X 2 1/2"</t>
  </si>
  <si>
    <t>NIPLE DE REDUCAO DE FERRO GALVANIZADO, COM ROSCA BSP, DE 3" X 2"</t>
  </si>
  <si>
    <t>NIPLE DE REDUCAO DE FERRO GALVANIZADO, COM ROSCA BSP, DE 3/4" X 1/2"</t>
  </si>
  <si>
    <t>NIPLE, EM FERRO GALVANIZADO, CONEXÃO ROSQUEADA, DN 15 (1/2"), INSTALAD O EM RAMAIS E SUB-RAMAIS DE GÁS - FORNECIMENTO E INSTALAÇÃO. AF_12/201 5</t>
  </si>
  <si>
    <t>NIPLE, EM FERRO GALVANIZADO, CONEXÃO ROSQUEADA, DN 20 (3/4"), INSTALAD O EM RAMAIS E SUB-RAMAIS DE GÁS - FORNECIMENTO E INSTALAÇÃO. AF_12/201 5</t>
  </si>
  <si>
    <t>NIPLE, EM FERRO GALVANIZADO, CONEXÃO ROSQUEADA, DN 25 (1"), INSTALADO EM REDE DE ALIMENTAÇÃO PARA SPRINKLER - FORNECIMENTO E INSTALAÇÃO. AF_ 12/2015</t>
  </si>
  <si>
    <t>NIPLE, EM FERRO GALVANIZADO, CONEXÃO ROSQUEADA, DN 32 (1 1/4"), INSTAL ADO EM REDE DE ALIMENTAÇÃO PARA SPRINKLER - FORNECIMENTO E INSTALAÇÃO. AF_12/2015</t>
  </si>
  <si>
    <t>NIPLE, EM FERRO GALVANIZADO, CONEXÃO ROSQUEADA, DN 40 (1 1/2"), INSTAL ADO EM REDE DE ALIMENTAÇÃO PARA SPRINKLER - FORNECIMENTO E INSTALAÇÃO. AF_12/2015</t>
  </si>
  <si>
    <t>NIPLE, EM FERRO GALVANIZADO, CONEXÃO ROSQUEADA, DN 50 (2"), INSTALADO EM REDE DE ALIMENTAÇÃO PARA SPRINKLER - FORNECIMENTO E INSTALAÇÃO. AF_ 12/2015</t>
  </si>
  <si>
    <t>NIPLE, EM FERRO GALVANIZADO, CONEXÃO ROSQUEADA, DN 50 (2), INSTALADO EM RESERVAÇÃO DE ÁGUA DE EDIFICAÇÃO QUE POSSUA RESERVATÓRIO DE FIBRA/F IBROCIMENTO  FORNECIMENTO E INSTALAÇÃO. AF_06/2016</t>
  </si>
  <si>
    <t>NIPLE, EM FERRO GALVANIZADO, CONEXÃO ROSQUEADA, DN 65 (2 1/2"), INSTAL ADO EM REDE DE ALIMENTAÇÃO PARA SPRINKLER - FORNECIMENTO E INSTALAÇÃO. AF_12/2015</t>
  </si>
  <si>
    <t>NIPLE, EM FERRO GALVANIZADO, CONEXÃO ROSQUEADA, DN 65 (2 1/2), INSTAL ADO EM RESERVAÇÃO DE ÁGUA DE EDIFICAÇÃO QUE POSSUA RESERVATÓRIO DE FIB RA/FIBROCIMENTO  FORNECIMENTO E INSTALAÇÃO. AF_06/2016</t>
  </si>
  <si>
    <t>NIPLE, EM FERRO GALVANIZADO, CONEXÃO ROSQUEADA, DN 80 (3"), INSTALADO EM REDE DE ALIMENTAÇÃO PARA SPRINKLER - FORNECIMENTO E INSTALAÇÃO. AF_ 12/2015</t>
  </si>
  <si>
    <t>NIPLE, EM FERRO GALVANIZADO, CONEXÃO ROSQUEADA, DN 80 (3), INSTALADO EM RESERVAÇÃO DE ÁGUA DE EDIFICAÇÃO QUE POSSUA RESERVATÓRIO DE FIBRA/F IBROCIMENTO  FORNECIMENTO E INSTALAÇÃO. AF_06/2016</t>
  </si>
  <si>
    <t>NIPLE, EM FERRO GALVANIZADO, DN 25 (1"), CONEXÃO ROSQUEADA, INSTALADO EM REDE DE ALIMENTAÇÃO PARA HIDRANTE - FORNECIMENTO E INSTALAÇÃO. AF_1 2/2015</t>
  </si>
  <si>
    <t>NIPLE, EM FERRO GALVANIZADO, DN 32 (1 1/4"), CONEXÃO ROSQUEADA, INSTAL ADO EM REDE DE ALIMENTAÇÃO PARA HIDRANTE - FORNECIMENTO E INSTALAÇÃO. AF_12/2015</t>
  </si>
  <si>
    <t>NIPLE, EM FERRO GALVANIZADO, DN 40 (1 1/2"), CONEXÃO ROSQUEADA, INSTAL ADO EM REDE DE ALIMENTAÇÃO PARA HIDRANTE - FORNECIMENTO E INSTALAÇÃO. AF_12/2015</t>
  </si>
  <si>
    <t>NIPLE, EM FERRO GALVANIZADO, DN 50 (2"), CONEXÃO ROSQUEADA, INSTALADO EM REDE DE ALIMENTAÇÃO PARA HIDRANTE - FORNECIMENTO E INSTALAÇÃO. AF_1 2/2015</t>
  </si>
  <si>
    <t>NIPLE, EM FERRO GALVANIZADO, DN 65 (2 1/2"), CONEXÃO ROSQUEADA, INSTAL ADO EM PRUMADAS - FORNECIMENTO E INSTALAÇÃO. AF_12/2015</t>
  </si>
  <si>
    <t>NIPLE, EM FERRO GALVANIZADO, DN 65 (2 1/2"), CONEXÃO ROSQUEADA, INSTAL ADO EM REDE DE ALIMENTAÇÃO PARA HIDRANTE - FORNECIMENTO E INSTALAÇÃO. AF_12/2015</t>
  </si>
  <si>
    <t>NIPLE, EM FERRO GALVANIZADO, DN 80 (3"), CONEXÃO ROSQUEADA, INSTALADO EM REDE DE ALIMENTAÇÃO PARA HIDRANTE - FORNECIMENTO E INSTALAÇÃO. AF_1 2/2015</t>
  </si>
  <si>
    <t>NIVEL OPTICO, COM PRECISAO DE 0,7 MM, AUMENTO DE 32X (LOCACAO)</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</si>
  <si>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</si>
  <si>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</si>
  <si>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</si>
  <si>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</si>
  <si>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</si>
  <si>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</si>
  <si>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</si>
  <si>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</si>
  <si>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</si>
  <si>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 (MENSALISTA)</t>
  </si>
  <si>
    <t>OPERADOR DE BETONEIRA (CAMINHAO)</t>
  </si>
  <si>
    <t>OPERADOR DE BETONEIRA (CAMINHAO) (MENSALISTA)</t>
  </si>
  <si>
    <t>OPERADOR DE BETONEIRA ESTACIONARIA/MISTURADOR (COLETADO CAIXA)</t>
  </si>
  <si>
    <t>OPERADOR DE BETONEIRA ESTACIONÁRIA/MISTURADOR COM ENCARGOS COMPLEMENTA</t>
  </si>
  <si>
    <t>OPERADOR DE COMPRESSOR DE AR OU COMPRESSORISTA</t>
  </si>
  <si>
    <t>OPERADOR DE COMPRESSOR DE AR OU COMPRESSORISTA (MENSALISTA)</t>
  </si>
  <si>
    <t>OPERADOR DE DEMARCADORA DE FAIXAS DE TRAFEGO</t>
  </si>
  <si>
    <t>OPERADOR DE DEMARCADORA DE FAIXAS DE TRAFEGO (MENSALISTA)</t>
  </si>
  <si>
    <t>OPERADOR DE ESCAVADEIRA (MENSALISTA)</t>
  </si>
  <si>
    <t>OPERADOR DE GUINCHO OU GUINCHEIRO (MENSALISTA)</t>
  </si>
  <si>
    <t>OPERADOR DE GUINDASTE (MENSALISTA)</t>
  </si>
  <si>
    <t>OPERADOR DE JATO ABRASIVO OU JATISTA</t>
  </si>
  <si>
    <t>OPERADOR DE JATO ABRASIVO OU JATISTA (MENSALISTA)</t>
  </si>
  <si>
    <t>OPERADOR DE MAQUINAS E TRATORES DIVERSOS (TERRAPLANAGEM) (MENSALISTA)</t>
  </si>
  <si>
    <t>OPERADOR DE MARTELETE OU MARTELETEIRO (MENSALISTA)</t>
  </si>
  <si>
    <t>OPERADOR DE MESA VIBROACABADORA (MENSALISTA)</t>
  </si>
  <si>
    <t>OPERADOR DE MOTO SCRAPER (MENSALISTA)</t>
  </si>
  <si>
    <t>OPERADOR DE MOTO-ESCREIPER COM ENCARGOS COMPLEMENTARES</t>
  </si>
  <si>
    <t>OPERADOR DE MOTONIVELADORA (MENSALISTA)</t>
  </si>
  <si>
    <t>OPERADOR DE PA CARREGADEIRA</t>
  </si>
  <si>
    <t>OPERADOR DE PA CARREGADEIRA (MENSALISTA)</t>
  </si>
  <si>
    <t>OPERADOR DE PAVIMENTADORA (MENSALISTA)</t>
  </si>
  <si>
    <t>OPERADOR DE ROLO COMPACTADOR (MENSALISTA)</t>
  </si>
  <si>
    <t>OPERADOR DE TRATOR - EXCLUSIVE AGROPECUARIA (MENSALISTA)</t>
  </si>
  <si>
    <t>OPERADOR DE USINA DE ASFALTO, DE SOLOS OU DE CONCRETO (MENSALISTA)</t>
  </si>
  <si>
    <t>OPERADOR DE USINA DE ASFALTO, DE SOLOS OU DE CONCRETO COM ENCARGOS COM</t>
  </si>
  <si>
    <t>OXIGENIO, RECARGA PARA CILINDRO DE CONJUNTO OXICORTE GRANDE</t>
  </si>
  <si>
    <t>PA CARREGADEIRA SOBRE RODAS, POTENCIA 152 HP, CAPACIDADE DA CACAMBA DE 1,53 A 2,30 M3, PESO OPERACIONAL DE 10216 KG</t>
  </si>
  <si>
    <t>PÁ CARREGADEIRA SOBRE RODAS, POTÊNCIA 197 HP, CAPACIDADE DA CAÇAMBA 2, 5 A 3,5 M3, PESO OPERACIONAL 18338 KG - CHI DIURNO. AF_06/2014</t>
  </si>
  <si>
    <t>PÁ CARREGADEIRA SOBRE RODAS, POTÊNCIA 197 HP, CAPACIDADE DA CAÇAMBA 2, 5 A 3,5 M3, PESO OPERACIONAL 18338 KG - CHP DIURNO. AF_06/2014</t>
  </si>
  <si>
    <t>PÁ CARREGADEIRA SOBRE RODAS, POTÊNCIA 197 HP, CAPACIDADE DA CAÇAMBA 2, 5 A 3,5 M3, PESO OPERACIONAL 18338 KG - DEPRECIAÇÃO. AF_06/2014</t>
  </si>
  <si>
    <t>PÁ CARREGADEIRA SOBRE RODAS, POTÊNCIA 197 HP, CAPACIDADE DA CAÇAMBA 2, 5 A 3,5 M3, PESO OPERACIONAL 18338 KG - JUROS. AF_06/2014</t>
  </si>
  <si>
    <t>PÁ CARREGADEIRA SOBRE RODAS, POTÊNCIA 197 HP, CAPACIDADE DA CAÇAMBA 2, 5 A 3,5 M3, PESO OPERACIONAL 18338 KG - MANUTENÇÃO. AF_06/2014</t>
  </si>
  <si>
    <t>PÁ CARREGADEIRA SOBRE RODAS, POTÊNCIA 197 HP, CAPACIDADE DA CAÇAMBA 2, 5 A 3,5 M3, PESO OPERACIONAL 18338 KG - MATERIAIS NA OPERAÇÃO. AF_06/2 014</t>
  </si>
  <si>
    <t>PÁ CARREGADEIRA SOBRE RODAS, POTÊNCIA LÍQUIDA 128 HP, CAPACIDADE DA CA ÇAMBA 1,7 A 2,8 M3, PESO OPERACIONAL 11632 KG - CHI DIURNO. AF_06/2014</t>
  </si>
  <si>
    <t>PÁ CARREGADEIRA SOBRE RODAS, POTÊNCIA LÍQUIDA 128 HP, CAPACIDADE DA CA ÇAMBA 1,7 A 2,8 M3, PESO OPERACIONAL 11632 KG - CHP DIURNO. AF_06/2014</t>
  </si>
  <si>
    <t>PÁ CARREGADEIRA SOBRE RODAS, POTÊNCIA LÍQUIDA 128 HP, CAPACIDADE DA CA ÇAMBA 1,7 A 2,8 M3, PESO OPERACIONAL 11632 KG - DEPRECIAÇÃO. AF_06/201 4</t>
  </si>
  <si>
    <t>PÁ CARREGADEIRA SOBRE RODAS, POTÊNCIA LÍQUIDA 128 HP, CAPACIDADE DA CA ÇAMBA 1,7 A 2,8 M3, PESO OPERACIONAL 11632 KG - JUROS. AF_06/2014</t>
  </si>
  <si>
    <t>PÁ CARREGADEIRA SOBRE RODAS, POTÊNCIA LÍQUIDA 128 HP, CAPACIDADE DA CA ÇAMBA 1,7 A 2,8 M3, PESO OPERACIONAL 11632 KG - MANUTENÇÃO. AF_06/2014</t>
  </si>
  <si>
    <t>PÁ CARREGADEIRA SOBRE RODAS, POTÊNCIA LÍQUIDA 128 HP, CAPACIDADE DA CA ÇAMBA 1,7 A 2,8 M3, PESO OPERACIONAL 11632 KG - MATERIAIS NA OPERAÇÃO. AF_06/2014</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</si>
  <si>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</si>
  <si>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</si>
  <si>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</si>
  <si>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</si>
  <si>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</si>
  <si>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</si>
  <si>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</si>
  <si>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</si>
  <si>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</si>
  <si>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</si>
  <si>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</si>
  <si>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</si>
  <si>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</si>
  <si>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SULFITE, BRANCO, A 4, 75 G</t>
  </si>
  <si>
    <t>PAPEL VEGETAL, OFICIO, 90/95 G</t>
  </si>
  <si>
    <t>PAPELEIRA PLASTICA TIPO DISPENSER PARA PAPEL HIGIENICO ROLAO</t>
  </si>
  <si>
    <t>PAR DE TABELAS DE BASQUETE EM COMPENSADO NAVAL DE *1,80 X 1,20* M, COM ARO DE METAL E REDE (SEM SUPORTE DE FIXACAO)</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</si>
  <si>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</si>
  <si>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</si>
  <si>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</si>
  <si>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</si>
  <si>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</si>
  <si>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</si>
  <si>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</si>
  <si>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</si>
  <si>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</si>
  <si>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</si>
  <si>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</si>
  <si>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</si>
  <si>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</si>
  <si>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</si>
  <si>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</si>
  <si>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</si>
  <si>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</si>
  <si>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</si>
  <si>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</si>
  <si>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</si>
  <si>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</si>
  <si>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M16 EM ACO GALVANIZADO, COMPRIMENTO = 150 MM, DIAMETRO = 16 MM, CABECA ABAULADA</t>
  </si>
  <si>
    <t>PARAFUSO FRANCES M16 EM ACO GALVANIZADO, COMPRIMENTO = 45 MM, DIAMETRO = 16 MM, CABECA ABAULADA</t>
  </si>
  <si>
    <t>PARAFUSO FRANCES METRICO ZINCADO 12 X 140MM, INCL PORCA SEXT E ARRUELA DE PRESSAO/MEDIA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</si>
  <si>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</si>
  <si>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</si>
  <si>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</si>
  <si>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FRANCES ZINCADO, DIAMETRO 1/2'', COMPRIMENTO 2'',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</si>
  <si>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</si>
  <si>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</si>
  <si>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</si>
  <si>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</si>
  <si>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</si>
  <si>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</si>
  <si>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</si>
  <si>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</si>
  <si>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</si>
  <si>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</si>
  <si>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</si>
  <si>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P/ FIXAR PECA SANITARIA - INCL PORCA CEGA, ARRUELA E BUCHA DE NYLON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</si>
  <si>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</si>
  <si>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</si>
  <si>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</si>
  <si>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</si>
  <si>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</si>
  <si>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</si>
  <si>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SEXTAVADO ZINCADO GRAU 5 ROSCA INTEIRA 1.1/2" X 4" "</t>
  </si>
  <si>
    <t>PARAFUSO ZINCADO 5/16 " X 250 MM PARA FIXACAO DE TELHA DE FIBROCIMENTO CANALETE 49, INCLUI BUCHA NYLON S-10</t>
  </si>
  <si>
    <t>PARAFUSO ZINCADO 5/16 " X 85 MM PARA FIXACAO DE TELHA DE FIBROCIMENTO CANALETE 90, INCLUI BUCHA NYLON S-10</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</si>
  <si>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</si>
  <si>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</si>
  <si>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</si>
  <si>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</si>
  <si>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</si>
  <si>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</si>
  <si>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</si>
  <si>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</si>
  <si>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</si>
  <si>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</si>
  <si>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</si>
  <si>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</si>
  <si>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</si>
  <si>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</si>
  <si>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</si>
  <si>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</si>
  <si>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PARALELEPIPEDO GRANITICO OU BASALTICO, PARA PAVIMENTACAO, SEM FRETE,  *30 A 35* PECAS POR M2</t>
  </si>
  <si>
    <t>PARA-RAIO TP VALVULA 15KV/5KA - FORNECIMENTO E INSTALACAO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</si>
  <si>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</si>
  <si>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</si>
  <si>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</si>
  <si>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</si>
  <si>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PASSADICOS COM TABUAS DE MADEIRA PARA PEDESTRES</t>
  </si>
  <si>
    <t>PASSADICOS COM TABUAS DE MADEIRA PARA VEICULOS</t>
  </si>
  <si>
    <t>PASSANTE TIPO TUBO DE DIÂMETRO MAIOR QUE 75 MM, FIXADO EM LAJE. AF_05/ 2015</t>
  </si>
  <si>
    <t>PASSANTE TIPO TUBO DE DIÂMETRO MAIORES QUE 40 MM E MENORES OU IGUAIS A 75 MM, FIXADO EM LAJE. AF_05/2015</t>
  </si>
  <si>
    <t>PASSANTE TIPO TUBO DE DIÂMETRO MENOR OU IGUAL A 40 MM, FIXADO EM LAJE. AF_05/2015</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</si>
  <si>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</si>
  <si>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</si>
  <si>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</si>
  <si>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</si>
  <si>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</si>
  <si>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</si>
  <si>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</si>
  <si>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</si>
  <si>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</si>
  <si>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</si>
  <si>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</si>
  <si>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</si>
  <si>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 (MENSALISTA)</t>
  </si>
  <si>
    <t>PAVIMENTO EM PARALELEPIPEDO SOBRE COLCHAO DE AREIA REJUNTADO COM ARGAM ASSA DE CIMENTO E AREIA NO TRAÇO 1:3 (PEDRAS PEQUENAS 30 A 35 PECAS PO R M2)</t>
  </si>
  <si>
    <t>PECA DE MADEIRA 2A QUALIDADE 2,5 X 15CM (1X6") NAO APARELHADA</t>
  </si>
  <si>
    <t>PECA DE MADEIRA 3A QUALIDADE 2,5 X 10CM NAO APARELHADA</t>
  </si>
  <si>
    <t>PECA DE MADEIRA 3A/4A NATIVA/REGIONAL 5 X 5 CM</t>
  </si>
  <si>
    <t>PECA DE MADEIRA 3A/4A QUALIDADE 2,5 X 5CM NAO APARELHADA</t>
  </si>
  <si>
    <t>PECA DE MADEIRA 3A/4A QUALIDADE 7,5 X 10CM NAO APARELHADA</t>
  </si>
  <si>
    <t>PECA DE MADEIRA APARELHADA *7,5 X 7,5* CM (3 X 3 ") MACARANDUBA, ANGELIM OU EQUIVALENTE DA REGIAO</t>
  </si>
  <si>
    <t>PECA DE MADEIRA NAO APARELHADA *7,5 X 7,5* CM (3 X 3 ") MACARANDUBA, ANGELIM OU EQUIVALENTE DA REGIAO</t>
  </si>
  <si>
    <t>PECA DE MADEIRA NATIVA / REGIONAL 7,5 X 7,5CM (3X3) NAO APARELHADA (P/FORMA)</t>
  </si>
  <si>
    <t>PECA DE MADEIRA NATIVA/REGIONAL 1 X 7CM NAO APARELHADA (P/FORMA)</t>
  </si>
  <si>
    <t>PECA DE MADEIRA NATIVA/REGIONAL 2,5 X 7,0 CM (SARRAFO-P/FORMA)</t>
  </si>
  <si>
    <t>PECA DE MADEIRA NATIVA/REGIONAL 7,5 X 12,50 CM (3X5") NAO APARELHADA (P/FORMA)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</si>
  <si>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</si>
  <si>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</si>
  <si>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</si>
  <si>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</si>
  <si>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</si>
  <si>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</si>
  <si>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</si>
  <si>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</si>
  <si>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</si>
  <si>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</si>
  <si>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</si>
  <si>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</si>
  <si>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</si>
  <si>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</si>
  <si>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</si>
  <si>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</si>
  <si>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</si>
  <si>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</si>
  <si>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</si>
  <si>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</si>
  <si>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BRANCO, LARGURA DE 15CM, ASSENTADO COM ARGAMASSA T RACO 1:4 (CIMENTO E AREIA MEDIA), PREPARO MANUAL DA ARGAMASSA</t>
  </si>
  <si>
    <t>PEITORIL EM MARMORE BRANCO, LARGURA DE 25CM, ASSENTADO COM ARGAMASSA T RACO 1:3 (CIMENTO E AREIA MEDIA), PREPARO MANUAL DA ARGAMASSA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</si>
  <si>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</si>
  <si>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</si>
  <si>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</si>
  <si>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</si>
  <si>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</si>
  <si>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PENEIRA ROTATIVA COM MOTOR ELETRICO TRIFASICO DE 2 CV, CILINDRO DE 1 M X 0,60 M, COM FUROS DE 3,17 MM</t>
  </si>
  <si>
    <t>PENEIRA ROTATIVA COM MOTOR ELÉTRICO TRIFÁSICO DE 2 CV, CILINDRO DE 1 M X 0,60 M, COM FUROS DE 3,17 MM - CHI DIURNO. AF_11/2015</t>
  </si>
  <si>
    <t>PENEIRA ROTATIVA COM MOTOR ELÉTRICO TRIFÁSICO DE 2 CV, CILINDRO DE 1 M X 0,60 M, COM FUROS DE 3,17 MM - CHP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</si>
  <si>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</si>
  <si>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</si>
  <si>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</si>
  <si>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</si>
  <si>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</si>
  <si>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</si>
  <si>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</si>
  <si>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</si>
  <si>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</si>
  <si>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</si>
  <si>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</si>
  <si>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</si>
  <si>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</si>
  <si>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</si>
  <si>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</si>
  <si>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</si>
  <si>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</si>
  <si>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</si>
  <si>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</si>
  <si>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</si>
  <si>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</si>
  <si>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</si>
  <si>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</si>
  <si>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</si>
  <si>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U / CANALETA DE ALUMINIO, DE ABAS IGUAIS, 1/2" (1,27 X 1,27 CM), PARA PORTA OU JANELA DE CORRER</t>
  </si>
  <si>
    <t>PERFIL UDC ("U" DOBRADO DE CHAPA) SIMPLES DE ACO LAMINADO, GALVANIZADO, ASTM A36, 127 X 50 MM, E= 3 MM</t>
  </si>
  <si>
    <t>PERFILADO PERFURADO DUPLO 38 X 76 MM,  CHAPA 22 (COLETADO CAIXA)</t>
  </si>
  <si>
    <t>PERFILADO PERFURADO SIMPLES 38 X 38 MM,  CHAPA 22 (COLETADO CAIXA)</t>
  </si>
  <si>
    <t>PERFURACAO DE POCO COM PERFURATRIZ A PERCUSSAO</t>
  </si>
  <si>
    <t>PERFURACAO DE POCO COM PERFURATRIZ PNEUMATICA</t>
  </si>
  <si>
    <t>PERFURATRIZ COM TORRE METÁLICA PARA EXECUÇÃO DE ESTACA HÉLICE CONTÍNUA , PROFUNDIDADE MÁXIMA DE 30 M, DIÂMETRO MÁXIMO DE 800 MM, POTÊNCIA INS TALADA DE 268 HP, MESA ROTATIVA COM TORQUE MÁXIMO DE 170 KNM - CHI DIU RNO. AF_06/2015</t>
  </si>
  <si>
    <t>PERFURATRIZ COM TORRE METÁLICA PARA EXECUÇÃO DE ESTACA HÉLICE CONTÍNUA , PROFUNDIDADE MÁXIMA DE 30 M, DIÂMETRO MÁXIMO DE 800 MM, POTÊNCIA INS TALADA DE 268 HP, MESA ROTATIVA COM TORQUE MÁXIMO DE 170 KNM - CHP DIU RNO. AF_06/2015</t>
  </si>
  <si>
    <t>PERFURATRIZ COM TORRE METÁLICA PARA EXECUÇÃO DE ESTACA HÉLICE CONTÍNUA , PROFUNDIDADE MÁXIMA DE 30 M, DIÂMETRO MÁXIMO DE 800 MM, POTÊNCIA INS TALADA DE 268 HP, MESA ROTATIVA COM TORQUE MÁXIMO DE 170 KNM - DEPRECI AÇÃO. AF_06/2015</t>
  </si>
  <si>
    <t>PERFURATRIZ COM TORRE METÁLICA PARA EXECUÇÃO DE ESTACA HÉLICE CONTÍNUA , PROFUNDIDADE MÁXIMA DE 30 M, DIÂMETRO MÁXIMO DE 800 MM, POTÊNCIA INS TALADA DE 268 HP, MESA ROTATIVA COM TORQUE MÁXIMO DE 170 KNM - JUROS. AF_06/2015</t>
  </si>
  <si>
    <t>PERFURATRIZ COM TORRE METÁLICA PARA EXECUÇÃO DE ESTACA HÉLICE CONTÍNUA , PROFUNDIDADE MÁXIMA DE 30 M, DIÂMETRO MÁXIMO DE 800 MM, POTÊNCIA INS TALADA DE 268 HP, MESA ROTATIVA COM TORQUE MÁXIMO DE 170 KNM - MANUTEN ÇÃO. AF_06/2015</t>
  </si>
  <si>
    <t>PERFURATRIZ COM TORRE METÁLICA PARA EXECUÇÃO DE ESTACA HÉLICE CONTÍNUA , PROFUNDIDADE MÁXIMA DE 30 M, DIÂMETRO MÁXIMO DE 800 MM, POTÊNCIA INS TALADA DE 268 HP, MESA ROTATIVA COM TORQUE MÁXIMO DE 170 KNM - MATERIA IS NA OPERAÇÃO. AF_06/2015</t>
  </si>
  <si>
    <t>PERFURATRIZ COM TORRE METÁLICA PARA EXECUÇÃO DE ESTACA HÉLICE CONTÍNUA , PROFUNDIDADE MÁXIMA DE 32 M, DIÂMETRO MÁXIMO DE 1000 MM, POTÊNCIA IN STALADA DE 350 HP, MESA ROTATIVA COM TORQUE MÁXIMO DE 263 KNM - CHI DI URNO. AF_01/2016</t>
  </si>
  <si>
    <t>PERFURATRIZ COM TORRE METÁLICA PARA EXECUÇÃO DE ESTACA HÉLICE CONTÍNUA , PROFUNDIDADE MÁXIMA DE 32 M, DIÂMETRO MÁXIMO DE 1000 MM, POTÊNCIA IN STALADA DE 350 HP, MESA ROTATIVA COM TORQUE MÁXIMO DE 263 KNM - CHP DI URNO. AF_01/2016</t>
  </si>
  <si>
    <t>PERFURATRIZ COM TORRE METÁLICA PARA EXECUÇÃO DE ESTACA HÉLICE CONTÍNUA , PROFUNDIDADE MÁXIMA DE 32 M, DIÂMETRO MÁXIMO DE 1000 MM, POTÊNCIA IN STALADA DE 350 HP, MESA ROTATIVA COM TORQUE MÁXIMO DE 263 KNM - DEPREC IAÇÃO. AF_01/2016</t>
  </si>
  <si>
    <t>PERFURATRIZ COM TORRE METÁLICA PARA EXECUÇÃO DE ESTACA HÉLICE CONTÍNUA , PROFUNDIDADE MÁXIMA DE 32 M, DIÂMETRO MÁXIMO DE 1000 MM, POTÊNCIA IN STALADA DE 350 HP, MESA ROTATIVA COM TORQUE MÁXIMO DE 263 KNM - JUROS. AF_01/2016</t>
  </si>
  <si>
    <t>PERFURATRIZ COM TORRE METÁLICA PARA EXECUÇÃO DE ESTACA HÉLICE CONTÍNUA , PROFUNDIDADE MÁXIMA DE 32 M, DIÂMETRO MÁXIMO DE 1000 MM, POTÊNCIA IN STALADA DE 350 HP, MESA ROTATIVA COM TORQUE MÁXIMO DE 263 KNM - MANUTE NÇÃO. AF_01/2016</t>
  </si>
  <si>
    <t>PERFURATRIZ COM TORRE METÁLICA PARA EXECUÇÃO DE ESTACA HÉLICE CONTÍNUA , PROFUNDIDADE MÁXIMA DE 32 M, DIÂMETRO MÁXIMO DE 1000 MM, POTÊNCIA IN STALADA DE 350 HP, MESA ROTATIVA COM TORQUE MÁXIMO DE 263 KNM  MATERI AIS NA OPERAÇÃO. AF_01/2016</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</si>
  <si>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</si>
  <si>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</si>
  <si>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</si>
  <si>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HIDRÁULICA SOBRE CAMINHÃO COM TRADO CURTO ACOPLADO, PROFUN DIDADE MÁXIMA DE 20 M, DIÂMETRO MÁXIMO DE 1500 MM, POTÊNCIA INSTALADA DE 137 HP, MESA ROTATIVA COM TORQUE MÁXIMO DE 30 KNM - CHI DIURNO. AF_ 06/2015</t>
  </si>
  <si>
    <t>PERFURATRIZ HIDRÁULICA SOBRE CAMINHÃO COM TRADO CURTO ACOPLADO, PROFUN DIDADE MÁXIMA DE 20 M, DIÂMETRO MÁXIMO DE 1500 MM, POTÊNCIA INSTALADA DE 137 HP, MESA ROTATIVA COM TORQUE MÁXIMO DE 30 KNM - CHP DIURNO. AF_ 06/2015</t>
  </si>
  <si>
    <t>PERFURATRIZ HIDRÁULICA SOBRE CAMINHÃO COM TRADO CURTO ACOPLADO, PROFUN DIDADE MÁXIMA DE 20 M, DIÂMETRO MÁXIMO DE 1500 MM, POTÊNCIA INSTALADA DE 137 HP, MESA ROTATIVA COM TORQUE MÁXIMO DE 30 KNM - DEPRECIAÇÃO. AF _06/2015</t>
  </si>
  <si>
    <t>PERFURATRIZ HIDRÁULICA SOBRE CAMINHÃO COM TRADO CURTO ACOPLADO, PROFUN DIDADE MÁXIMA DE 20 M, DIÂMETRO MÁXIMO DE 1500 MM, POTÊNCIA INSTALADA DE 137 HP, MESA ROTATIVA COM TORQUE MÁXIMO DE 30 KNM - IMPOSTOS E SEGU ROS. AF_06/2015</t>
  </si>
  <si>
    <t>PERFURATRIZ HIDRÁULICA SOBRE CAMINHÃO COM TRADO CURTO ACOPLADO, PROFUN DIDADE MÁXIMA DE 20 M, DIÂMETRO MÁXIMO DE 1500 MM, POTÊNCIA INSTALADA DE 137 HP, MESA ROTATIVA COM TORQUE MÁXIMO DE 30 KNM - JUROS. AF_06/20 15</t>
  </si>
  <si>
    <t>PERFURATRIZ HIDRÁULICA SOBRE CAMINHÃO COM TRADO CURTO ACOPLADO, PROFUN DIDADE MÁXIMA DE 20 M, DIÂMETRO MÁXIMO DE 1500 MM, POTÊNCIA INSTALADA DE 137 HP, MESA ROTATIVA COM TORQUE MÁXIMO DE 30 KNM - MANUTENÇÃO. AF_ 06/2015</t>
  </si>
  <si>
    <t>PERFURATRIZ HIDRÁULICA SOBRE CAMINHÃO COM TRADO CURTO ACOPLADO, PROFUN DIDADE MÁXIMA DE 20 M, DIÂMETRO MÁXIMO DE 1500 MM, POTÊNCIA INSTALADA DE 137 HP, MESA ROTATIVA COM TORQUE MÁXIMO DE 30 KNM - MATERIAIS NA OP ERAÇÃO. AF_06/2015</t>
  </si>
  <si>
    <t>PERFURATRIZ MANUAL, TORQUE MAXIMO 55 KGF.M, POTENCIA 5 CV, COM DIAMETRO MAXIMO 8 1/2" (INCLUI SUPORTE/CHASSI TIPO MESA)</t>
  </si>
  <si>
    <t>PERFURATRIZ MANUAL, TORQUE MÁXIMO 83 N.M, POTÊNCIA 5 CV, COM DIÂMETRO MÁXIMO 4" - CHI DIURNO. AF_06/2015</t>
  </si>
  <si>
    <t>PERFURATRIZ MANUAL, TORQUE MÁXIMO 83 N.M, POTÊNCIA 5 CV, COM DIÂMETRO MÁXIMO 4" - CHP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</si>
  <si>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</si>
  <si>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</si>
  <si>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</si>
  <si>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</si>
  <si>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MAXIMO 83 N.M, POTENCIA 5 CV, COM DIAMETRO MAXIMO 4" (NAO INCLUI SUPORTE / CHASSI)</t>
  </si>
  <si>
    <t>PERFURATRIZ MANUAL, TORQUE MAXIMO 83 N.M, POTENCIA 5 CV, COM DIAMETRO MAXIMO 4", PARA SOLO GRAMPEADO (INCLUI SUPORTE OU CHASSI TIPO MESA) (COLETADO CAIXA)</t>
  </si>
  <si>
    <t>PERFURATRIZ PNEUMATICA DE PESO MEDIO, * 18 * KG, PARA ROCHA (LOCACAO)</t>
  </si>
  <si>
    <t>PERFURATRIZ PNEUMATICA DE PESO MEDIO, * 24 * KG, PARA ROCHA (LOCACAO)</t>
  </si>
  <si>
    <t>PERFURATRIZ PNEUMATICA MANUAL DE PESO MEDIO, 18KG, COMPRIMENTO DE CURSO DE 6 M, DIAMETRO DO PISTAO DE 5,5 CM</t>
  </si>
  <si>
    <t>PERFURATRIZ SOBRE ESTEIRA, TORQUE MAXIMO 600 KGF, PESO MEDIO 1000 KG, POTENCIA 20 HP, DIAMETRO MAXIMO 10"</t>
  </si>
  <si>
    <t>PERFURATRIZ SOBRE ESTEIRA, TORQUE MÁXIMO 600 KGF, PESO MÉDIO 1000 KG, POTÊNCIA 20 HP, DIÂMETRO MÁXIMO 10" - CHI DIURNO. AF_06/2015</t>
  </si>
  <si>
    <t>PERFURATRIZ SOBRE ESTEIRA, TORQUE MÁXIMO 600 KGF, PESO MÉDIO 1000 KG, POTÊNCIA 20 HP, DIÂMETRO MÁXIMO 10" - CHP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</si>
  <si>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</si>
  <si>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</si>
  <si>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</si>
  <si>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 5</t>
  </si>
  <si>
    <t>PERFURATRIZ SOBRE ESTEIRA, TORQUE MAXIMO DE 600 KGF, POTENCIA ENTRE 50 E 60 HP, DIAMETRO MAXIMO DE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</si>
  <si>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</si>
  <si>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</si>
  <si>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</si>
  <si>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</si>
  <si>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</si>
  <si>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PINCEL CHATO (TRINCHA) CERDAS GRIS 3 " (75 MM)</t>
  </si>
  <si>
    <t>PINCEL CHATO (TRINCHA) CERDAS GRIS 4 " (100 MM)</t>
  </si>
  <si>
    <t>PINGADEIRA PLASTICA PARA TELHA FIBROCIMENTO CANALETE 90</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</si>
  <si>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</si>
  <si>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</si>
  <si>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</si>
  <si>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</si>
  <si>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</si>
  <si>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</si>
  <si>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</si>
  <si>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</si>
  <si>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 (MENSALISTA)</t>
  </si>
  <si>
    <t>PINTOR DE LETREIROS (MENSALISTA)</t>
  </si>
  <si>
    <t>PINTOR PARA TINTA EPOXI</t>
  </si>
  <si>
    <t>PINTOR PARA TINTA EPOXI (MENSALISTA)</t>
  </si>
  <si>
    <t>PINTURA A OLEO BRILHANTE SOBRE SUPERFICIE METALICA, UMA DEMAO INCLUSO UMA DEMAO DE FUNDO ANTICORROSIVO</t>
  </si>
  <si>
    <t>PINTURA A OLEO, 1 DEMAO</t>
  </si>
  <si>
    <t>PINTURA A OLEO, 2 DEMAOS</t>
  </si>
  <si>
    <t>PINTURA A OLEO, 3 DEMAOS</t>
  </si>
  <si>
    <t>PINTURA ACRILICA DE FAIXAS DE DEMARCACAO EM QUADRA POLIESPORTIVA, 5 CM DE LARGURA</t>
  </si>
  <si>
    <t>PINTURA ACRILICA EM PISO CIMENTADO DUAS DEMAOS</t>
  </si>
  <si>
    <t>PINTURA ACRILICA EM PISO CIMENTADO, TRES DEMAOS</t>
  </si>
  <si>
    <t>PINTURA ACRILICA PARA SINALIZAÇÃO HORIZONTAL EM PISO CIMENTADO</t>
  </si>
  <si>
    <t>PINTURA ADESIVA P/ CONCRETO, A BASE DE RESINA EPOXI ( SIKADUR 32 )</t>
  </si>
  <si>
    <t>PINTURA COM TINTA A BASE DE BORRACHA CLORADA , DE FAIXAS DE DEMARCACAO , EM QUADRA POLIESPORTIVA, 5 CM DE LARGURA.</t>
  </si>
  <si>
    <t>PINTURA COM TINTA A BASE DE BORRACHA CLORADA, 2 DEMAOS</t>
  </si>
  <si>
    <t>PINTURA COM TINTA IMPERMEAVEL MINERAL EM PO, DUAS DEMAOS</t>
  </si>
  <si>
    <t>PINTURA COM TINTA PROTETORA ACABAMENTO ALUMINIO, DUAS DEMAOS SOBRE SUP ERFICIE METALICA</t>
  </si>
  <si>
    <t>PINTURA COM TINTA PROTETORA ACABAMENTO ALUMINIO, TRES DEMAOS</t>
  </si>
  <si>
    <t>PINTURA COM TINTA PROTETORA ACABAMENTO ALUMINIO, UMA DEMAO SOBRE SUPER FCIE METALICA</t>
  </si>
  <si>
    <t>PINTURA COM TINTA PROTETORA ACABAMENTO GRAFITE ESMALTE SOBRE SUPERFICI E METALICA, 2 DEMAOS</t>
  </si>
  <si>
    <t>PINTURA COM VERNIZ POLIURETANO, 2 DEMAOS</t>
  </si>
  <si>
    <t>PINTURA DE LIGACAO COM EMULSAO RR-1C</t>
  </si>
  <si>
    <t>PINTURA DE LIGACAO COM EMULSAO RR-2C</t>
  </si>
  <si>
    <t>PINTURA DE QUADRO ESCOLAR COM TINTA ESMALTE ACABAMENTO FOSCO, DUAS DEM AOS SOBRE MASSA ACRILICA</t>
  </si>
  <si>
    <t>PINTURA DE SUPERFICIE C/TINTA GRAFITE</t>
  </si>
  <si>
    <t>PINTURA EM VERNIZ SINTETICO BRILHANTE EM MADEIRA, TRES DEMAOS</t>
  </si>
  <si>
    <t>PINTURA EPOXI INCLUSO EMASSAMENTO E FUNDO PREPARADOR</t>
  </si>
  <si>
    <t>PINTURA EPOXI, DUAS DEMAOS</t>
  </si>
  <si>
    <t>PINTURA EPOXI, TRES DEMAOS</t>
  </si>
  <si>
    <t>PINTURA ESMALTE ACETINADO EM MADEIRA, DUAS DEMAOS</t>
  </si>
  <si>
    <t>PINTURA ESMALTE ACETINADO PARA MADEIRA, DUAS DEMAOS, SOBRE FUNDO NIVEL ADOR BRANCO</t>
  </si>
  <si>
    <t>PINTURA ESMALTE ACETINADO, DUAS DEMAOS, SOBRE SUPERFICIE METALICA</t>
  </si>
  <si>
    <t>PINTURA ESMALTE ALTO BRILHO, DUAS DEMAOS, SOBRE SUPERFICIE METALICA</t>
  </si>
  <si>
    <t>PINTURA ESMALTE BRILHANTE (2 DEMAOS) SOBRE SUPERFICIE METALICA, INCLUS IVE PROTECAO COM ZARCAO (1 DEMAO)</t>
  </si>
  <si>
    <t>PINTURA ESMALTE BRILHANTE PARA MADEIRA, DUAS DEMAOS, SOBRE FUNDO NIVEL ADOR BRANCO</t>
  </si>
  <si>
    <t>PINTURA ESMALTE FOSCO EM MADEIRA, DUAS DEMAOS</t>
  </si>
  <si>
    <t>PINTURA ESMALTE FOSCO PARA MADEIRA, DUAS DEMAOS, SOBRE FUNDO NIVELADOR BRANCO</t>
  </si>
  <si>
    <t>PINTURA ESMALTE FOSCO, DUAS DEMAOS, SOBRE SUPERFICIE METALICA</t>
  </si>
  <si>
    <t>PINTURA ESMALTE FOSCO, DUAS DEMAOS, SOBRE SUPERFICIE METALICA, INCLUSO UMA DEMAO DE FUNDO ANTICORROSIVO. UTILIZACAO DE REVOLVER ( AR-COMPRIM IDO).</t>
  </si>
  <si>
    <t>PINTURA GUARDA-CORPO GUARDA-RODA E MURETA PROTECAO COM CAL EM PONTES E VIADUTOS MEDIDA PELO DOBRO DA AREA TOTAL (LARGURAXALTURA).</t>
  </si>
  <si>
    <t>PINTURA HIDROFUGANTE COM SILICONE SOBRE PISO CIMENTADO, UMA DEMAO</t>
  </si>
  <si>
    <t>PINTURA IMUNIZANTE FUNGICIDA A BASE DE CARBOLINEUM, DUAS DEMAOS</t>
  </si>
  <si>
    <t>PINTURA IMUNIZANTE PARA MADEIRA, DUAS DEMAOS</t>
  </si>
  <si>
    <t>PINTURA PARA TELHAS DE ALUMINIO COM TINTA ESMALTE AUTOMOTIVA</t>
  </si>
  <si>
    <t>PINTURA POSTE RETO DE ACO 3,5 A 6M C/1 DEMAO D/TINTA GRAFITE C/PROPRIE DADES DE PRIMER E ACABAMENTO - OBS: C/ALTO TEOR DE ZARCAO</t>
  </si>
  <si>
    <t>PINTURA VERNIZ POLIURETANO BRILHANTE EM MADEIRA, TRES DEMAOS</t>
  </si>
  <si>
    <t>PISO CIMENTADO E=1,5CM C/ARGAMASSA 1:3 CIMENTO AREIA ALISADO COLHER SOBRE BASE EXISTENTE E ARGAMASSA EM PREPARO MECANIZADO</t>
  </si>
  <si>
    <t>PISO CIMENTADO TRACO 1:3 (CIMENTO E AREIA) ACABAMENTO LISO ESPESSURA 2 ,0CM, PREPARO MANUAL DA ARGAMASSA</t>
  </si>
  <si>
    <t>PISO CIMENTADO TRACO 1:3 (CIMENTO E AREIA) ACABAMENTO LISO ESPESSURA 2 ,5 CM PREPARO MECANICO DA ARGAMASSA</t>
  </si>
  <si>
    <t>PISO CIMENTADO TRACO 1:3 (CIMENTO E AREIA) ACABAMENTO LISO ESPESSURA 3 ,0CM, PREPARO MANUAL DA ARGAMASSA</t>
  </si>
  <si>
    <t>PISO CIMENTADO TRACO 1:3 (CIMENTO E AREIA) ACABAMENTO LISO ESPESSURA 3 ,5CM, PREPARO MANUAL DA ARGAMASSA</t>
  </si>
  <si>
    <t>PISO CIMENTADO TRAÇO 1:3 (CIMENTO E AREIA) ACABAMENTO LISO PIGMENTADO ESPESSURA 1,5CM COM JUNTAS PLASTICAS DE DILATACAO E ARGAMASSA EM PREPA RO MANUAL</t>
  </si>
  <si>
    <t>PISO CIMENTADO TRACO 1:3 (CIMENTO E AREIA) ACABAMENTO RUSTICO ESPESSUR A 2 CM COM JUNTAS PLASTICAS DE DILATACAO, PREPARO MANUAL DA ARGAMASSA</t>
  </si>
  <si>
    <t>PISO CIMENTADO TRACO 1:3 (CIMENTO E AREIA) ACABAMENTO RUSTICO ESPESSUR A 2CM, PREPARO MECANICO DA ARGAMASSA</t>
  </si>
  <si>
    <t>PISO CIMENTADO TRACO 1:3 (CIMENTO E AREIA) COM ACABAMENTO LISO ESPESSU RA 1,5CM PREPARO MANUAL DA ARGAMASSA</t>
  </si>
  <si>
    <t>PISO CIMENTADO TRACO 1:3 (CIMENTO E AREIA) COM ACABAMENTO LISO ESPESSU RA 1,5CM, PREPARO MANUAL DA ARGAMASSA INCLUSO ADITIVO IMPERMEABILIZANT E</t>
  </si>
  <si>
    <t>PISO CIMENTADO TRACO 1:3 (CIMENTO E AREIA) COM ACABAMENTO LISO ESPESSU RA 3CM COM JUNTAS DE MADEIRA, PREPARO MANUAL DA ARGAMASSA INCLUSO ADIT IVO IMPERMEABILIZANTE</t>
  </si>
  <si>
    <t>PISO CIMENTADO TRACO 1:3 (CIMENTO E AREIA) COM ACABAMENTO LISO ESPESSU RA 3CM PREPARO MECANICO ARGAMASSA  INCLUSO ADITIVO IMPERMEABILIZANTE</t>
  </si>
  <si>
    <t>PISO CIMENTADO TRACO 1:3 (CIMENTO E AREIA), COM ACABAMENTO RUSTICO E F RISADO ESPESSURA 2CM, PREPARO MANUAL</t>
  </si>
  <si>
    <t>PISO CIMENTADO TRACO 1:3 (CIMENTO/AREIA) ACABAMENTO LISO ESPESSURA 2,0 CM PREPARO MANUAL DA ARGAMASSA INCLUSO ADITIVO IMPERMEABILIZANTE</t>
  </si>
  <si>
    <t>PISO CIMENTADO TRACO 1:4 (CIMENTO E AREIA) ACABAMENTO LISO ESPESSURA 2 ,0CM, PREPARO MANUAL DA ARGAMASSA</t>
  </si>
  <si>
    <t>PISO CIMENTADO TRACO 1:4 (CIMENTO E AREIA) ACABAMENTO LISO ESPESSURA 2 ,5CM PREPARO MANUAL DA ARGAMASSA</t>
  </si>
  <si>
    <t>PISO CIMENTADO TRACO 1:4 (CIMENTO E AREIA) ACABAMENTO RUSTICO ESPESSUR A 1,5 CM PREPARO MANUAL DA ARGAMASSA</t>
  </si>
  <si>
    <t>PISO CIMENTADO TRAÇO 1:4 (CIMENTO E AREIA) ACABAMENTO RUSTICO ESPESSUR A 2,5 CM PREPARO MANUAL DA ARGAMASSA</t>
  </si>
  <si>
    <t>PISO CIMENTADO TRACO 1:4 (CIMENTO E AREIA) ACABAMENTO RUSTICO ESPESSUR A 2CM, ARGAMASSA COM PREPARO MANUAL</t>
  </si>
  <si>
    <t>PISO CIMENTADO TRAÇO 1:4 (CIMENTO E AREIA) ACABAMENTO RUSTICO ESPESSUR A 3,5 CM PREPARO MANUAL DA ARGAMASSA</t>
  </si>
  <si>
    <t>PISO CIMENTADO TRACO 1:4 (CIMENTO E AREIA) COM ACABAMENTO LISO  ESPESS URA 2,0CM COM JUNTAS PLASTICAS DE DILATACAO E PREPARO MANUAL DA ARGAMA SSA</t>
  </si>
  <si>
    <t>PISO CIMENTADO TRACO 1:4 (CIMENTO E AREIA) COM ACABAMENTO LISO ESPESSU RA 1,5CM, PREPARO MANUAL DA ARGAMASSA  INCLUSO ADITIVO IMPERMEABILIZAN TE</t>
  </si>
  <si>
    <t>PISO CIMENTADO TRACO 1:4 (CIMENTO E AREIA), COM ACABAMENTO RUSTICO ESP ESSURA 3CM, PREPARO MANUAL</t>
  </si>
  <si>
    <t>PISO DE BORRACHA CANELADO EM PLACAS 50 X 50 CM, E = *3,5* MM, PARA COLA</t>
  </si>
  <si>
    <t>PISO DE BORRACHA ESPORTIVO EM PLACAS 50 X 50 CM, E = 15 MM, PARA ARGAMASSA, PRETO</t>
  </si>
  <si>
    <t>PISO DE BORRACHA PASTILHADO EM PLACAS 50 X 50 CM, E = *3,5* MM, PARA COLA, PRETO</t>
  </si>
  <si>
    <t>PISO DE BORRACHA PASTILHADO EM PLACAS 50 X 50 CM, E = 15 MM, PARA ARGAMASSA, PRETO</t>
  </si>
  <si>
    <t>PISO DE BORRACHA PASTILHADO EM PLACAS 50 X 50 CM, E = 7 MM, PARA ARGAMASSA, PRETO</t>
  </si>
  <si>
    <t>PISO DE BORRACHA PASTILHADO, ESPESSURA 7MM, ASSENTADO COM ARGAMASSA TR ACO 1:3 (CIMENTO E AREIA)</t>
  </si>
  <si>
    <t>PISO DE CONCRETO - MODELO BLOCO UNIEURO 2 FUROS/PISOGRAMA/CONCREGRAMA, *35 CM X 25* CM, E =  *6* CM, COR NATURAL (COLETADO CAIXA)</t>
  </si>
  <si>
    <t>PISO DE CONCRETO - MODELO BLOCO UNIEURO 2 FUROS/PISOGRAMA/CONCREGRAMA, *35 X 25* CM, E = *8* CM, COR NATURAL (COLETADO CAIXA)</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</si>
  <si>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</si>
  <si>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</si>
  <si>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</si>
  <si>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</si>
  <si>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CONCRETO 20 MPA PREPARO MECANICO, ESPESSURA 7CM, INCLUSO JUNTA S DE DILATACAO EM MADEIRA</t>
  </si>
  <si>
    <t>PISO EM CONCRETO 20 MPA PREPARO MECANICO, ESPESSURA 7CM, INCLUSO SELAN TE ELASTICO A BASE DE POLIURETANO</t>
  </si>
  <si>
    <t>PISO EM CONCRETO 20MPA PREPARO MECANICO, ESPESSURA 7 CM, COM ARMACAO E M TELA SOLDADA</t>
  </si>
  <si>
    <t>PISO EM GRANILITE, MARMORITE OU GRANITINA ESPESSURA 8 MM, INCLUSO JUNT AS DE DILATACAO PLASTICAS</t>
  </si>
  <si>
    <t>PISO EM GRANILITE, MARMORITE OU GRANITINA, AGREGADO COR PRETO, CINZA, PALHA OU BRANCO, E=  *8* MM (INCLUSO EXECUCAO)</t>
  </si>
  <si>
    <t>PISO EM GRANITO BRANCO 50X50CM LEVIGADO ESPESSURA 2CM, ASSENTADO COM A RGAMASSA COLANTE DUPLA COLAGEM, COM REJUNTAMENTO EM CIMENTO BRANCO</t>
  </si>
  <si>
    <t>PISO EM GRANITO BRANCO QUARTZ  E=2CM LEVIGADO</t>
  </si>
  <si>
    <t>PISO EM PEDRA ARDOSIA ASSENTADO SOBRE ARGAMASSA COLANTE REJUNTADO COM CIMENTO COMUM</t>
  </si>
  <si>
    <t>PISO EM PORCELANATO RETIFICADO EXTRA, FORMATO MENOR OU IGUAL A 2025 CM2</t>
  </si>
  <si>
    <t>PISO EM REGUA VINILICA SEMIFLEXIVEL, ENCAIXE CLICADO, E = 4 MM (SEM COLOCACAO)</t>
  </si>
  <si>
    <t>PISO EM TABUA CORRIDA DE MADEIRA ESPESSURA 2,5CM FIXADO EM PECAS DE MA DEIRA E ASSENTADO EM ARGAMASSA TRACO 1:4 (CIMENTO/AREIA)</t>
  </si>
  <si>
    <t>PISO EM TACO DE MADEIRA 7X21CM, ASSENTADO COM ARGAMASSA TRACO 1:4 (CIM ENTO E AREIA MEDIA)</t>
  </si>
  <si>
    <t>PISO GRANITO ASSENTADO SOBRE ARGAMASSA CIMENTO / CAL / AREIA TRACO 1:0 ,25:3 INCLUSIVE REJUNTE EM CIMENTO</t>
  </si>
  <si>
    <t>PISO INDUSTRIAL ALTA RESISTENCIA, ESPESSURA 12MM, INCLUSO JUNTAS DE DI LATACAO PLASTICAS E POLIMENTO MECANIZADO</t>
  </si>
  <si>
    <t>PISO INDUSTRIAL DE ALTA RESISTENCIA, ESPESSURA 8MM, INCLUSO JUNTAS DE DILATACAO PLASTICAS E POLIMENTO MECANIZADO</t>
  </si>
  <si>
    <t>PISO INTERTRAVADO DE CONCRETO - MODELO ONDA/16 FACES/UNISTEIN/PAVIS, *22 CM X *11 CM, E = 10 CM, RESISTENCIA DE 35 MPA (NBR 9781), COR NATURAL (COLETADO CAIXA)</t>
  </si>
  <si>
    <t>PISO INTERTRAVADO DE CONCRETO - MODELO RETANGULAR/TIJOLINHO/PAVER/HOLANDES/PARALELEPIPEDO, 20 CM X 10 CM, E = 10 CM, RESISTENCIA DE 35 MPA (NBR 9781), COR NATURAL (COLETADO CAIXA)</t>
  </si>
  <si>
    <t>PISO MARMORE BRANCO ASSENTADO SOBRE ARGAMASSA TRACO 1:4 (CIMENTO/AREIA )</t>
  </si>
  <si>
    <t>PISO PODOTATIL DE CONCRETO - DIRECIONAL E ALERTA, *40 X 40 X 2,5*CM</t>
  </si>
  <si>
    <t>PISO PORCELANATO, BORDA RETA, EXTRA, FORMATO MAIOR QUE 2025 CM2</t>
  </si>
  <si>
    <t>PISO TATIL DE ALERTA DE BORRACHA, 25 X 25 CM, E = 12 MM, PARA ARGAMASSA, CORES</t>
  </si>
  <si>
    <t>PISO TATIL DE ALERTA DE BORRACHA, 25 X 25 CM, E = 12 MM, PARA ARGAMASSA, PRETO</t>
  </si>
  <si>
    <t>PISO TATIL DE ALERTA DE BORRACHA, 25 X 25 CM, E = 5 MM, PARA COLA, CORES</t>
  </si>
  <si>
    <t>PISO TATIL DE ALERTA DE BORRACHA, 25 X 25 CM, E = 5 MM, PARA COLA, PRETO</t>
  </si>
  <si>
    <t>PISO VINILICO SEMIFLEXIVEL PADRAO LISO, ESPESSURA 2MM, FIXADO COM COLA</t>
  </si>
  <si>
    <t>PISO VINILICO SEMIFLEXIVEL PADRAO LISO, ESPESSURA 3,2MM, FIXADO COM CO LA</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</si>
  <si>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</si>
  <si>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</si>
  <si>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</si>
  <si>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</si>
  <si>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</si>
  <si>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</si>
  <si>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</si>
  <si>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</si>
  <si>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</si>
  <si>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</si>
  <si>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</si>
  <si>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</si>
  <si>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OBRA EM CHAPA DE ACO GALVANIZADO</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</si>
  <si>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</si>
  <si>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</si>
  <si>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</si>
  <si>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</si>
  <si>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</si>
  <si>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</si>
  <si>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</si>
  <si>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</si>
  <si>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</si>
  <si>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</si>
  <si>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ESMALTADA PARA IDENTIFICAÇÃO NR DE RUA, DIMENSÕES 45X25CM</t>
  </si>
  <si>
    <t>PLACA NUMERACAO RESIDENCIAL EM CHAPA GALVANIZADA ESMALTADA 12 X 18 CM</t>
  </si>
  <si>
    <t>PLACA VIBRATÓRIA REVERSÍVEL COM MOTOR 4 TEMPOS A GASOLINA, FORÇA CENTR ÍFUGA DE 25 KN (2500 KGF), POTÊNCIA 5,5 CV - CHI DIURNO. AF_08/2015</t>
  </si>
  <si>
    <t>PLACA VIBRATÓRIA REVERSÍVEL COM MOTOR 4 TEMPOS A GASOLINA, FORÇA CENTR ÍFUGA DE 25 KN (2500 KGF), POTÊNCIA 5,5 CV - CHP DIURNO. AF_08/2015</t>
  </si>
  <si>
    <t>PLACA VIBRATÓRIA REVERSÍVEL COM MOTOR 4 TEMPOS A GASOLINA, FORÇA CENTR ÍFUGA DE 25 KN (2500 KGF), POTÊNCIA 5,5 CV - DEPRECIAÇÃO. AF_08/2015</t>
  </si>
  <si>
    <t>PLACA VIBRATÓRIA REVERSÍVEL COM MOTOR 4 TEMPOS A GASOLINA, FORÇA CENTR ÍFUGA DE 25 KN (2500 KGF), POTÊNCIA 5,5 CV - JUROS. AF_08/2015</t>
  </si>
  <si>
    <t>PLACA VIBRATÓRIA REVERSÍVEL COM MOTOR 4 TEMPOS A GASOLINA, FORÇA CENTR ÍFUGA DE 25 KN (2500 KGF), POTÊNCIA 5,5 CV - MANUTENÇÃO. AF_08/2015</t>
  </si>
  <si>
    <t>PLACA VIBRATÓRIA REVERSÍVEL COM MOTOR 4 TEMPOS A GASOLINA, FORÇA CENTR ÍFUGA DE 25 KN (2500 KGF), POTÊNCIA 5,5 CV - MATERIAIS NA OPERAÇÃO. AF _08/2015</t>
  </si>
  <si>
    <t>PLACA VIBRATORIA REVERSIVEL COM MOTOR A DIESEL DE 7 HP (7 CV), FORCA DE IMPACTO MAXIMO DE *30,5* KN (*3050* KGF)</t>
  </si>
  <si>
    <t>PLACA VINILICA SEMIFLEXIVEL PARA PISOS, E = 3,2 MM, 30 X 30 CM (SEM COLOCACAO)</t>
  </si>
  <si>
    <t>PLACA VINILICA SEMIFLEXIVEL PARA REVESTIMENTO DE PISOS E PAREDES, E = 2 MM (SEM COLOCACAO)</t>
  </si>
  <si>
    <t>PLANTIO DE ARVORE REGIONAL, ALTURA MAIOR QUE 2,00M, EM CAVAS DE 80X80X 80CM</t>
  </si>
  <si>
    <t>PLANTIO DE ARVORE, ALTURA DE 1,00M, EM CAVAS DE 80X80X80CM</t>
  </si>
  <si>
    <t>PLANTIO DE GRAMA SAO CARLOS EM LEIVAS</t>
  </si>
  <si>
    <t>PLUG PVC P/ ESG PREDIAL  75MM</t>
  </si>
  <si>
    <t>PLUG PVC ROSCAVEL,  1/2",  AGUA FRIA PREDIAL (NBR 5648)</t>
  </si>
  <si>
    <t>PLUG PVC,  JE, DN 100 MM, PARA REDE COLETORA ESGOTO (NBR 10569)</t>
  </si>
  <si>
    <t>PLUG PVC,  JE, DN 300 MM, PARA REDE COLETORA ESGOTO (NBR 10569)</t>
  </si>
  <si>
    <t>PLUG PVC,  JE, DN 400 MM, PARA REDE COLETORA ESGOTO (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</si>
  <si>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</si>
  <si>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</si>
  <si>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</si>
  <si>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</si>
  <si>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</si>
  <si>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</si>
  <si>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</si>
  <si>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</si>
  <si>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</si>
  <si>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PNEU 14.00 X 24, 12 LONAS, G2, ARO 24", SEM CAMARA, PARA MOTONIVELADORA</t>
  </si>
  <si>
    <t>PNEU 215/75R 17.5, 12 LONAS, ARO 17.5", PARA  CAMINHAO TOCO</t>
  </si>
  <si>
    <t>PNEU 275/80R 22.5, 16 LONAS, ARO 22.5", PARA  CAMINHAO TOCO</t>
  </si>
  <si>
    <t>PNEU TIPO DIAGONAL COM CAMARA,  6.0 X 16,  2, 6 LONAS, PARA TRATOR</t>
  </si>
  <si>
    <t>PNEU TIPO DIAGONAL COM CAMARA,  6.00 X 9,  10 LONAS, PARA DISTRIBUIDOR DE AGREGADOS</t>
  </si>
  <si>
    <t>PNEU TIPO DIAGONAL COM CAMARA, 12.4 X 24 R, 6 L (LONAS), PARA TRATOR</t>
  </si>
  <si>
    <t>PNEU TIPO DIAGONAL COM CAMARA, 14.9 X 24R, 8 L (LONAS), PARA TRATOR</t>
  </si>
  <si>
    <t>PNEU TIPO DIAGONAL COM CAMARA,13.6 X 38R, 6 L (LONAS), PARA TRATOR</t>
  </si>
  <si>
    <t>PO DE MARMORE (POSTO PEDREIRA/FORNECEDOR, SEM FRETE)</t>
  </si>
  <si>
    <t>PO DE PEDRA (POSTO PEDREIRA/FORNECEDOR, SEM FRETE)</t>
  </si>
  <si>
    <t>POCEIRO / ESCAVADOR DE VALAS E TUBULOES</t>
  </si>
  <si>
    <t>POCEIRO / ESCAVADOR DE VALAS E TUBULOES (MENSALISTA)</t>
  </si>
  <si>
    <t>POCO DE VISITA EM ALVENARIA, PARA REDE D=0,40 M, PARTE FIXA C/ 1,00 M DE ALTURA</t>
  </si>
  <si>
    <t>POCO DE VISITA EM ALVENARIA, PARA REDE D=0,60 M, PARTE FIXA C/ 1,00 M DE ALTURA</t>
  </si>
  <si>
    <t>POCO DE VISITA EM ALVENARIA, PARA REDE D=0,80 M, PARTE FIXA C/ 1,00 M DE ALTURA</t>
  </si>
  <si>
    <t>POÇO DE VISITA EM ALVENARIA, PARA REDE D=1,00 M, PARTE FIXA C/ 1,00 M DE ALTURA E USO DE RETROESCAVADEIRA</t>
  </si>
  <si>
    <t>POCO DE VISITA EM ALVENARIA, PARA REDE D=1,20 M, PARTE FIXA C/ 1,00 M DE ALTURA E USO DE ESCAVADEIRA HIDRAULICA</t>
  </si>
  <si>
    <t>POCO DE VISITA EM ALVENARIA, PARA REDE D=1,50 M, PARTE FIXA C/ 1,00 M DE ALTURA E USO DE ESCAVADEIRA HIDRAULICA</t>
  </si>
  <si>
    <t>POCO DE VISITA PARA DRENAGEM PLUVIAL, EM CONCRETO ESTRUTURAL, DIMENSOE S INTERNAS DE 90X150X80CM (LARGXCOMPXALT), PARA REDE DE 600 MM, EXCLUS OS TAMPAO E CHAMINE.</t>
  </si>
  <si>
    <t>POCO DE VISITA PARA REDE DE ESG. SANIT., EM ANEIS DE CONCRETO, DIÂMETR O = 110CM, PROF = 170CM, EXCLUINDO TAMPAO FERRO FUNDIDO.</t>
  </si>
  <si>
    <t>POCO DE VISITA PARA REDE DE ESG. SANIT., EM ANEIS DE CONCRETO, DIÂMETR O = 60CM E 110CM, PROF = 120CM, EXCLUINDO TAMPAO FERRO FUNDIDO.</t>
  </si>
  <si>
    <t>POCO DE VISITA PARA REDE DE ESG. SANIT., EM ANEIS DE CONCRETO, DIÂMETR O = 60CM E 110CM, PROF = 140CM, EXCLUINDO TAMPAO FERRO FUNDIDO.</t>
  </si>
  <si>
    <t>POCO DE VISITA PARA REDE DE ESG. SANIT., EM ANEIS DE CONCRETO, DIÂMETR O = 60CM E 110CM, PROF = 150CM, EXCLUINDO TAMPAO FERRO FUNDIDO.</t>
  </si>
  <si>
    <t>POCO DE VISITA PARA REDE DE ESG. SANIT., EM ANEIS DE CONCRETO, DIÂMETR O = 60CM E 110CM, PROF = 160CM, EXCLUINDO TAMPAO FERRO FUNDIDO.</t>
  </si>
  <si>
    <t>POCO DE VISITA PARA REDE DE ESG. SANIT., EM ANEIS DE CONCRETO, DIÂMETR O = 60CM E 110CM, PROF = 200CM, EXCLUINDO TAMPAO FERRO FUNDIDO.</t>
  </si>
  <si>
    <t>POCO DE VISITA PARA REDE DE ESG. SANIT., EM ANEIS DE CONCRETO, DIÂMETR O = 60CM E 110CM, PROF = 230CM, EXCLUINDO TAMPAO FERRO FUNDIDO.</t>
  </si>
  <si>
    <t>POCO DE VISITA PARA REDE DE ESG. SANIT., EM ANEIS DE CONCRETO, DIÂMETR O = 60CM E 110CM, PROF = 240CM, EXCLUINDO TAMPAO FERRO FUNDIDO.</t>
  </si>
  <si>
    <t>POCO DE VISITA PARA REDE DE ESG. SANIT., EM ANEIS DE CONCRETO, DIÂMETR O = 60CM E 110CM, PROF = 250CM, EXCLUINDO TAMPAO FERRO FUNDIDO.</t>
  </si>
  <si>
    <t>POCO DE VISITA PARA REDE DE ESG. SANIT., EM ANEIS DE CONCRETO, DIÂMETR O = 60CM E 110CM, PROF = 260CM, EXCLUINDO TAMPAO FERRO FUNDIDO.</t>
  </si>
  <si>
    <t>POCO DE VISITA PARA REDE DE ESG. SANIT., EM ANEIS DE CONCRETO, DIÂMETR O = 60CM E 110CM, PROF = 280CM, EXCLUINDO TAMPAO FERRO FUNDIDO.</t>
  </si>
  <si>
    <t>POCO DE VISITA PARA REDE DE ESG. SANIT., EM ANEIS DE CONCRETO, DIÂMETR O = 60CM E 110CM, PROF = 290CM, EXCLUINDO TAMPAO FERRO FUNDIDO.</t>
  </si>
  <si>
    <t>POCO DE VISITA PARA REDE DE ESG. SANIT., EM ANEIS DE CONCRETO, DIÂMETR O = 60CM E 110CM, PROF = 310CM, EXCLUINDO TAMPAO FERRO FUNDIDO.</t>
  </si>
  <si>
    <t>POCO DE VISITA PARA REDE DE ESG. SANIT., EM ANEIS DE CONCRETO, DIÂMETR O = 60CM E 110CM, PROF = 320CM, EXCLUINDO TAMPAO FERRO FUNDIDO.</t>
  </si>
  <si>
    <t>POCO DE VISITA PARA REDE DE ESG. SANIT., EM ANEIS DE CONCRETO, DIÂMETR O = 60CM E 110CM, PROF = 350CM, EXCLUINDO TAMPAO FERRO FUNDIDO.</t>
  </si>
  <si>
    <t>POCO DE VISITA PARA REDE DE ESG. SANIT., EM ANEIS DE CONCRETO, DIÂMETR O = 60CM E 110CM, PROF = 380CM, EXCLUINDO TAMPAO FERRO FUNDIDO.</t>
  </si>
  <si>
    <t>POCO DE VISITA PARA REDE DE ESG. SANIT., EM ANEIS DE CONCRETO, DIÂMETR O = 60CM E 110CM, PROF = 410CM, EXCLUINDO TAMPAO FERRO FUNDIDO.</t>
  </si>
  <si>
    <t>POCO DE VISITA PARA REDE DE ESG. SANIT., EM ANEIS DE CONCRETO, DIÂMETR O = 60CM E 110CM, PROF = 440CM, EXCLUINDO TAMPAO FERRO FUNDIDO.</t>
  </si>
  <si>
    <t>POCO DE VISITA PARA REDE DE ESG. SANIT., EM ANEIS DE CONCRETO, DIÂMETR O = 60CM E 110CM, PROF = 470CM, EXCLUINDO TAMPAO FERRO FUNDIDO.</t>
  </si>
  <si>
    <t>POCO DE VISITA PARA REDE DE ESG. SANIT., EM ANEIS DE CONCRETO, DIÂMETR O = 60CM E 110CM, PROF = 500CM, EXCLUINDO TAMPAO FERRO FUNDIDO.</t>
  </si>
  <si>
    <t>POCO DE VISITA PARA REDE DE ESG. SANIT., EM ANEIS DE CONCRETO, DIÂMETR O = 60CM E 110CM, PROF = 530CM, EXCLUINDO TAMPAO FERRO FUNDIDO.</t>
  </si>
  <si>
    <t>POCO DE VISITA PARA REDE DE ESG. SANIT., EM ANEIS DE CONCRETO, DIÂMETR O = 60CM E 110CM, PROF = 560CM, EXCLUINDO TAMPAO FERRO FUNDIDO.</t>
  </si>
  <si>
    <t>POCO DE VISITA PARA REDE DE ESG. SANIT., EM ANEIS DE CONCRETO, DIÂMETR O = 60CM E 110CM, PROF = 590CM, EXCLUINDO TAMPAO FERRO FUNDIDO.</t>
  </si>
  <si>
    <t>POCO DE VISITA PARA REDE DE ESG. SANIT., EM ANEIS DE CONCRETO, DIÂMETR O = 60CM E 110CM, PROF = 650CM, EXCLUINDO TAMPAO FERRO FUNDIDO.</t>
  </si>
  <si>
    <t>POCO DE VISITA PARA REDE DE ESG. SANIT., EM ANEIS DE CONCRETO, DIÂMETR O = 60CM E 110CM, PROF = 680CM, EXCLUINDO TAMPAO FERRO FUNDIDO.</t>
  </si>
  <si>
    <t>POCO DE VISITA PARA REDE DE ESG. SANIT., EM ANEIS DE CONCRETO, DIÂMETR O = 60CM E 110CM, PROF = 690CM, EXCLUINDO TAMPAO FERRO FUNDIDO.</t>
  </si>
  <si>
    <t>POCO DE VISITA PARA REDE DE ESG. SANIT., EM ANEIS DE CONCRETO, DIÂMETR O = 60CM E 110CM, PROF = 710CM, EXCLUINDO TAMPAO FERRO FUNDIDO.</t>
  </si>
  <si>
    <t>POCO DE VISITA PARA REDE DE ESG. SANIT., EM ANEIS DE CONCRETO, DIÂMETR O = 60CM, PROF = 100CM, EXCLUINDO TAMPAO FERRO FUNDIDO.</t>
  </si>
  <si>
    <t>POCO DE VISITA PARA REDE DE ESG. SANIT., EM ANEIS DE CONCRETO, DIÂMETR O = 60CM, PROF = 60CM, INCLUINDO DEGRAU, EXCLUINDO TAMPAO FERRO FUNDID O.</t>
  </si>
  <si>
    <t>POCO DE VISITA PARA REDE DE ESG. SANIT., EM ANEIS DE CONCRETO, DIÂMETR O = 60CM, PROF=80CM, INCLUINDO DEGRAU,  EXCLUINDO TAMPAO FERRO FUNDIDO .</t>
  </si>
  <si>
    <t>POCO DE VISITA PARA REDE DE ESGOTO SANITARIO, EM ALVENARIA, DIAMETRO = 60 CM, PROF 160 CM, INCLUINDO TAMPAO FERRO FUNDIDO</t>
  </si>
  <si>
    <t>POCO DE VISITA PARA REDE DE ESGOTO SANITÁRIO, EM ALVENARIA, DIAMETRO 1 20 CM, PROF ATE 200 CM, INCLUINDO TAMPAO FERRO FUNDIDO</t>
  </si>
  <si>
    <t>POCO DE VISITA PARA REDE DE ESGOTO SANITÁRIO, EM ALVENARIA, DIAMETRO 1 20 CM, PROF ATE 400 CM, INCLUINDO TAMPAO FERRO FUNDIDO</t>
  </si>
  <si>
    <t>POCO VISITA AG PLUV:CONC ARM 1,10X1,10X1,40M COLETOR D=60CM PAREDE E=1 5CM BASE CONC FCK=10MPA REVEST C/ARG CIM/AREIA 1:4 INCL FORN TODOS MAT ERIAIS</t>
  </si>
  <si>
    <t>POCO VISITA AG PLUV:CONC ARM 1,20X1,20X1,40M COLETOR D=70CM PAREDE E=1 5CM BASE CONC FCK=10MPA REVEST C/ARG CIM/AREIA 1:4 INCL FORN TODOS MAT ERIAIS</t>
  </si>
  <si>
    <t>POCO VISITA AG PLUV:CONC ARM 1,30X1,30X1,40M COLETOR D=80CM PAREDE E=1 5CM BASE CONC FCK=10MPA REVEST C/ARG CIM/AREIA 1:4 INCL FORN TODOS MAT ERIAIS</t>
  </si>
  <si>
    <t>POCO VISITA AG PLUV:CONC ARM 1,50X1,50X1,60M COLETOR D=1M PA REDE E=15 CM BASE CONC FCK=10MPA REVEST C/ARG CIM/AREIA 1:4 INCL FORN TODOS MATE RIAIS</t>
  </si>
  <si>
    <t>POCO VISITA AG PLUV:CONC ARM 1,60X1,60X1,70M COLETOR D=1,10M PAREDE E= 15CM BASE CONC FCK=10MPA REVEST C/ARG CIM/AREIA 1:4 INCL FORN TODOS MA TERIAIS</t>
  </si>
  <si>
    <t>POCO VISITA AG PLUV:CONC ARM 1,70X1,70X1,80M COLETOR D=1,20M PAREDE E=15CM BASE CONC FCK=10MPA REVEST C/ARG CIM/AREIA 1:4 DEGRAUS FF INCL FORN TODOS MATERIAIS</t>
  </si>
  <si>
    <t>POCO VISITA AG PLUV:CONC ARM 1X1X1,40M COLETOR D=40 A 50CM PAREDE E=15 CM BASE CONC FCK=10MPA REVEST C/ARG CIM/AREIA 1:4 INCL FORN TODOS MATE RIAIS</t>
  </si>
  <si>
    <t>POCO VISITA CONCRETO ARMADO P/AG PLUV 1,40X1,40X1,50M COLETOR D=90CM PAREDE E=15CM BASE CONCRETO FCK=10MPA REVESTIDO C/ARG CIM/AREIA 1:4 IN CL FORN TODOS MATERIAIS</t>
  </si>
  <si>
    <t>POCO VISITA ESG SANIT ANEL CONC PRE MOLD PROF=2,30M C/ TAMPAO FOFO ART ICULADO, CLASSE B125 CARGA MAX 12,5 T, REDONDO TAMPA 600 MM, REDE PLUV IAL/ESGOTO / REJUNTAMENTO ANEIS / REVEST LISO CALHA INTERNA C/ARG CIM/ AREIA 1:4. BASE/BANQUETA EM CONCRFCK=10MPA</t>
  </si>
  <si>
    <t>POCO VISITA ESG SANIT ANEL CONC PRE MOLD PROF=4,40M C/ TAMPAO FOFO ART ICULADO, CLASSE B125 CARGA MAX 12,5 T, REDONDO TAMPA 600 MM, REDE PLUV IAL / REJUNTAMENTO ANEIS / REVEST LISO CALHA INTERNA C/ARG CIM/AREIA 1 :4. BASE/BANQUETA EM CONCR FCK=10MPA</t>
  </si>
  <si>
    <t>POCO VISITA ESG SANIT ANEL CONC PRE-MOLD PROF=0,80M C/ TAMPAO FOFO ART ICULADO, CLASSE B125 CARGA MAX 12,5 T, REDONDO TAMPA 600 MM, REDE PLUV IAL/ESGOTO / DEGRAUS FF / REJUNTAMENTO ANEIS / REVEST LISO CALHA INTER NA C/ARG CIM/AREIA 1:4. BASE / BANQUETA EM CONCR FCK=10MPA</t>
  </si>
  <si>
    <t>POCO VISITA ESG SANIT ANEL CONC PRE-MOLD PROF=1,20M C/ TAMPAO FOFO ART ICULADO, CLASSE B125 CARGA MAX 12,5 T, REDONDO TAMPA 600 MM, REDE PLUV IAL /ESGOTO / REJUNTAMENTO ANEIS / REVEST LISO CALHA INTERNA C/ARG CIM /AREIA 1:4. BASE/BANQUETA EM CONCR FCK=10MPA</t>
  </si>
  <si>
    <t>POCO VISITA ESG SANIT ANEL CONC PRE-MOLD PROF=1,40M C/ TAMPAO FOFO ART ICULADO, CLASSE B125 CARGA MAX 12,5 T, REDONDO TAMPA 600 MM, REDE PLUV IAL/ESGOTO / REJUNTAMENTO ANEIS / REVEST LISO CALHA INTERNA C/ARG CIM/ AREIA 1:4. BASE/BANQUETA EM CONCR FCK=10MPA</t>
  </si>
  <si>
    <t>POCO VISITA ESG SANIT ANEL CONC PRE-MOLD PROF=1,50M C/ TAMPAO FOFO ART ICULADO, CLASSE B125 CARGA MAX 12,5 T, REDONDO TAMPA 600 MM, REDE PLUV IAL/ESGOTO / REJUNTAMENTO ANEIS / REVEST LISO CALHA INTERNA C/ARG CIM/ AREIA 1:4. BASE/BANQUETA EM CONCRFCK=10MPA</t>
  </si>
  <si>
    <t>POCO VISITA ESG SANIT ANEL CONC PRE-MOLD PROF=1,60M C/ TAMPAO FOFO ART ICULADO, CLASSE B125 CARGA MAX 12,5 T, REDONDO TAMPA 600 MM, REDE PLUV IAL / REJUNTAMENTO ANEIS / REVEST LISO CALHA INTERNA C/ARG CIM/AREIA 1 :4. BASE/BANQUETA EM CONCR FCK=10MPA</t>
  </si>
  <si>
    <t>POCO VISITA ESG SANIT ANEL CONC PRE-MOLD PROF=1,70M C/ TAMPAO FOFO ART ICULADO, CLASSE B125 CARGA MAX 12,5 T, REDONDO TAMPA 600 MM, REDE PLUV IAL/ESGOTO /  REJUNTAMENTO ANEIS / REVEST LISO CALHA INTERNA C/ARG CIM /AREIA 1:4. BASE/BANQUETA EM CONCR FCK=10MPA</t>
  </si>
  <si>
    <t>POCO VISITA ESG SANIT ANEL CONC PRE-MOLD PROF=2,00M C/ TAMPAO FOFO ART ICULADO, CLASSE B125 CARGA MAX 12,5 T, REDONDO TAMPA 600 MM, REDE PLUV IAL/ESGOTO / REJUNTAMENTO ANEIS / REVEST LISO CALHA INTERNA C/ARG CIM/ AREIA 1:4. BASE/BANQUETA EM CONCR FCK=10MPA</t>
  </si>
  <si>
    <t>POCO VISITA ESG SANIT ANEL CONC PRE-MOLD PROF=2,60M C/ TAMPAO FOFO SIM PLES COM BASE, CLASSE B125 CARGA MAX 12,5 T, REDONDO TAMPA 600 MM, RED E PLUVIAL/ESGOTO / REJUNTAMENTO ANEIS / REVEST LISO CALHA INTERNA C/AR G CIM/AREIA 1:4. BASE/BANQUETAEM CONCR FCK=10MPA</t>
  </si>
  <si>
    <t>POCO VISITA ESG SANIT ANEL CONC PRE-MOLD PROF=2,90M C/ TAMPAO FOFO ART ICULADO, CLASSE B125 CARGA MAX 12,5 T, REDONDO TAMPA 600 MM, REDE PLUV IAL / REJUNTAMENTO ANEIS / REVEST LISO CALHA INTERNA C/ARG CIM/AREIA 1 :4. BASE/BANQUETA EM CONCR FCK=10MPA</t>
  </si>
  <si>
    <t>POCO VISITA ESG SANIT ANEL CONC PRE-MOLD PROF=3,20M C/ TAMPAO FOFO ART ICULADO, CLASSE B125 CARGA MAX 12,5 T, REDONDO TAMPA 600 MM, REDE PLUV IAL /  REJUNTAMENTOANEIS / REVEST LISO CALHA INTERNA C/ARG CIM/AREIA 1 :4. BASE / BANQUETA EM CONCR FCK=10MPA</t>
  </si>
  <si>
    <t>POCO VISITA ESG SANIT ANEL CONC PRE-MOLD PROF=3,50M C/ TAMPAO FOFO ART ICULADO, CLASSE B125 CARGA MAX 12,5 T, REDONDO TAMPA 600 MM, REDE PLUV IAL/ESGOTO /  REJUNTAMENTO / ANEIS / REVEST LISO CALHA INTERNA C/ARG C IM/AREIA 1:4. BASE/BANQUETA EM CONCR FCK=10MPA</t>
  </si>
  <si>
    <t>POCO VISITA ESG SANIT ANEL CONC PRE-MOLD PROF=3,80M C/ TAMPAO FOFO ART ICULADO, CLASSE B125 CARGA MAX 12,5 T, REDONDO TAMPA 600 MM, REDE PLUV IAL / REJUNTAMENTO ANEIS / REVEST LISO CALHA INTERNA C/ARG CIM/AREIA 1 :4. BASE/BANQUETA EM CONCR FCK=10MPA</t>
  </si>
  <si>
    <t>POCO VISITA ESG SANIT ANEL CONC PRE-MOLD PROF=4,10M C/ TAMPAO FOFO ART ICULADO, CLASSE B125 CARGA MAX 12,5 T, REDONDO TAMPA 600 MM, REDE PLUV IAL / REJUNTAMENTO ANEIS / REVEST LISO CALHA INTERNA C/ARG CIM/AREIA 1 :4. BASE/BANQUETA EM CONCR FCK=10MPA</t>
  </si>
  <si>
    <t>POCO VISITA ESG SANIT ANEL CONC PRE-MOLD PROF=4,70M C/ TAMPAO FOFO ART ICULADO, CLASSE B125 CARGA MAX 12,5 T, REDONDO TAMPA 600 MM, REDE PLUV IAL/ESGOTO /  REJUNTAMENTO ANEIS / REVEST LISO CALHA INTERNA C/ARG CIM /AREIA 1:4. BASE/BANQUETA EM CONCRFCK=10MPA</t>
  </si>
  <si>
    <t>POCO VISITA ESG SANIT ANEL CONC PRE-MOLD PROF=5,00M C/ TAMPAO FOFO ART ICULADO, CLASSE B125 CARGA MAX 12,5 T, REDONDO TAMPA 600 MM, REDE PLUV IAL / ESGOTO / REJUNTAMENTO ANEIS/ REVEST LISO CALHA INTERNA C/ARG CIM /AREIA 1:4. BASE/BANQUETA EM CONCR FCK=10MPA</t>
  </si>
  <si>
    <t>PODA DE ARVORES, COM LIMPEZA DE GALHOS SECOS E RETIRADA DE PARASITAS, INCLUINDO REMOCAO DE ENTULHO</t>
  </si>
  <si>
    <t>POLIDORA DE PISO (POLITRIZ) ELETRICA, MOTOR MONOFASICO DE 4 HP, PESO DE 100 KG, DIAMETRO DO TRABALHO DE 450 MM</t>
  </si>
  <si>
    <t>POLIDORA DE PISO (POLITRIZ), PESO DE 100KG, DIÂMETRO 450 MM, MOTOR ELÉ TRICO, POTÊNCIA 4 HP - CHI DIURNO. AF_09/2016</t>
  </si>
  <si>
    <t>POLIDORA DE PISO (POLITRIZ), PESO DE 100KG, DIÂMETRO 450 MM, MOTOR ELÉ TRICO, POTÊNCIA 4 HP - CHP DIURNO. AF_09/2016</t>
  </si>
  <si>
    <t>POLIDORA DE PISO (POLITRIZ), PESO DE 100KG, DIÂMETRO 450 MM, MOTOR ELÉ TRICO, POTÊNCIA 4 HP - DEPRECIAÇÃO. AF_09/2016</t>
  </si>
  <si>
    <t>POLIDORA DE PISO (POLITRIZ), PESO DE 100KG, DIÂMETRO 450 MM, MOTOR ELÉ TRICO, POTÊNCIA 4 HP - JUROS. AF_09/2016</t>
  </si>
  <si>
    <t>POLIDORA DE PISO (POLITRIZ), PESO DE 100KG, DIÂMETRO 450 MM, MOTOR ELÉ TRICO, POTÊNCIA 4 HP - MANUTENÇÃO. AF_09/2016</t>
  </si>
  <si>
    <t>POLIDORA DE PISO (POLITRIZ), PESO DE 100KG, DIÂMETRO 450 MM, MOTOR ELÉ TRICO, POTÊNCIA 4 HP  MATERIAIS NA OPERAÇÃO. AF_09/2016</t>
  </si>
  <si>
    <t>POLIESTIRENO EXPANDIDO/EPS (ISOPOR), PEROLAS, PARA CONCRETO LEVE</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</si>
  <si>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</si>
  <si>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</si>
  <si>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</si>
  <si>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</si>
  <si>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</si>
  <si>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PONTO DE CONSUMO TERMINAL DE ÁGUA FRIA (SUBRAMAL) COM TUBULAÇÃO DE PVC , DN 25 MM, INSTALADO EM RAMAL DE ÁGUA, INCLUSOS RASGO E CHUMBAMENTO E M ALVENARIA. AF_12/2014</t>
  </si>
  <si>
    <t>PONTO DE CONSUMO TERMINAL DE ÁGUA QUENTE (SUBRAMAL) COM TUBULAÇÃO DE C PVC, DN 22 MM, INSTALADO EM RAMAL DE ÁGUA, INCLUSOS RASGO E CHUMBAMENT O EM ALVENARIA. AF_12/2014</t>
  </si>
  <si>
    <t>PONTO DE ILUMINAÇÃO E TOMADA, RESIDENCIAL, INCLUINDO INTERRUPTOR PARAL ELO E TOMADA 10A/250V, CAIXA ELÉTRICA, ELETRODUTO, CABO, RASGO, QUEBRA E CHUMBAMENTO (EXCLUINDO LUMINÁRIA E LÂMPADA). AF_01/2016</t>
  </si>
  <si>
    <t>PONTO DE ILUMINAÇÃO E TOMADA, RESIDENCIAL, INCLUINDO INTERRUPTOR SIMPL ES E TOMADA 10A/250V, CAIXA ELÉTRICA, ELETRODUTO, CABO, RASGO, QUEBRA E CHUMBAMENTO (EXCLUINDO LUMINÁRIA E LÂMPADA). AF_01/2016</t>
  </si>
  <si>
    <t>PONTO DE ILUMINAÇÃO E TOMADA, RESIDENCIAL, INCLUINDO INTERRUPTOR SIMPL ES, INTERRUPTOR PARALELO E TOMADA 10A/250V, CAIXA ELÉTRICA, ELETRODUTO , CABO, RASGO, QUEBRA E CHUMBAMENTO (EXCLUINDO LUMINÁRIA E LÂMPADA). A F_01/2016</t>
  </si>
  <si>
    <t>PONTO DE ILUMINAÇÃO RESIDENCIAL INCLUINDO INTERRUPTOR PARALELO (2 MÓDU LOS), CAIXA ELÉTRICA, ELETRODUTO, CABO, RASGO, QUEBRA E CHUMBAMENTO (E XCLUINDO LUMINÁRIA E LÂMPADA). AF_01/2016</t>
  </si>
  <si>
    <t>PONTO DE ILUMINAÇÃO RESIDENCIAL INCLUINDO INTERRUPTOR PARALELO, CAIXA ELÉTRICA, ELETRODUTO, CABO, RASGO, QUEBRA E CHUMBAMENTO (EXCLUINDO LUM INÁRIA E LÂMPADA). AF_01/2016</t>
  </si>
  <si>
    <t>PONTO DE ILUMINAÇÃO RESIDENCIAL INCLUINDO INTERRUPTOR SIMPLES (2 MÓDUL OS), CAIXA ELÉTRICA, ELETRODUTO, CABO, RASGO, QUEBRA E CHUMBAMENTO (EX CLUINDO LUMINÁRIA E LÂMPADA). AF_01/2016</t>
  </si>
  <si>
    <t>PONTO DE ILUMINAÇÃO RESIDENCIAL INCLUINDO INTERRUPTOR SIMPLES CONJUGAD O COM PARALELO, CAIXA ELÉTRICA, ELETRODUTO, CABO, RASGO, QUEBRA E CHUM BAMENTO (EXCLUINDO LUMINÁRIA E LÂMPADA). AF_01/2016</t>
  </si>
  <si>
    <t>PONTO DE ILUMINAÇÃO RESIDENCIAL INCLUINDO INTERRUPTOR SIMPLES, CAIXA E LÉTRICA, ELETRODUTO, CABO, RASGO, QUEBRA E CHUMBAMENTO (EXCLUINDO LUMI NÁRIA E LÂMPADA). AF_01/2016</t>
  </si>
  <si>
    <t>PONTO DE TOMADA RESIDENCIAL INCLUINDO TOMADA (2 MÓDULOS) 10A/250V, CAI XA ELÉTRICA, ELETRODUTO, CABO, RASGO, QUEBRA E CHUMBAMENTO. AF_01/2016</t>
  </si>
  <si>
    <t>PONTO DE UTILIZAÇÃO DE EQUIPAMENTOS ELÉTRICOS, RESIDENCIAL, INCLUINDO SUPORTE E PLACA, CAIXA ELÉTRICA, ELETRODUTO, CABO, RASGO, QUEBRA E CHU MBAMENTO. AF_01/2016</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</si>
  <si>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</si>
  <si>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</si>
  <si>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</si>
  <si>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</si>
  <si>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</si>
  <si>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t>
  </si>
  <si>
    <t>PORCA ZINCADA, SEXTAVADA, DIAMETRO 1/2"</t>
  </si>
  <si>
    <t>PORCA ZINCADA, SEXTAVADA, DIAMETRO 1/4"</t>
  </si>
  <si>
    <t>PORCA ZINCADA, SEXTAVADA, DIAMETRO 3/8"</t>
  </si>
  <si>
    <t>PORCA ZINCADA, SEXTAVADA, DIAMETRO 5/16"</t>
  </si>
  <si>
    <t>PORCA ZINCADA, SEXTAVADA, DIAMETRO 5/8"</t>
  </si>
  <si>
    <t>PORTA CADEADO ZINCADO OXIDADO PRETO COM CADEADO DE ACO INOX, LARGURA D E *50* MM</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</si>
  <si>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</si>
  <si>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</si>
  <si>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</si>
  <si>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</si>
  <si>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</si>
  <si>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</si>
  <si>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</si>
  <si>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</si>
  <si>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ACO CHAPA 24, DE ENROLAR, RAIADA, LARGA COM ACABAMENTO GALVAN IZADO NATURAL</t>
  </si>
  <si>
    <t>PORTA DE ACO CHAPA 24, DE ENROLAR, VAZADA TIJOLINHO OU EQUIVALENTE COM RETANGULO OU CIRCULO, ACABAMENTO GALVANIZADO NATURAL</t>
  </si>
  <si>
    <t>PORTA DE ACO DE ENROLAR TIPO GRADE, CHAPA 16</t>
  </si>
  <si>
    <t>PORTA DE ALUMÍNIO DE ABRIR PARA VIDRO SEM GUARNIÇÃO, 87X210CM, FIXAÇÃO COM PARAFUSOS, INCLUSIVE VIDROS - FORNECIMENTO E INSTALAÇÃO. AF_08/20 15</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</si>
  <si>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</si>
  <si>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</si>
  <si>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</si>
  <si>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</si>
  <si>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</si>
  <si>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FERRO DE ABRIR TIPO BARRA CHATA, COM REQUADRO E GUARNICAO COM PLETA</t>
  </si>
  <si>
    <t>PORTA DE FERRO PARA LIXEIRA, DE ABRIR, TIPO CHAPA, 70X210CM , COM GUAR NICOES</t>
  </si>
  <si>
    <t>PORTA DE FERRO, DE ABRIR, TIPO CHAPA LISA, COM GUARNICOES</t>
  </si>
  <si>
    <t>PORTA DE FERRO, DE ABRIR, TIPO GRADE COM CHAPA, 87X210CM, COM GUARNICO ES</t>
  </si>
  <si>
    <t>PORTA DE MADEIRA ALMOFADADA, SEMI-OCA (LEVE OU MÉDIA), 60X210CM, ESPES SURA DE 3CM, INCLUSO DOBRADIÇAS - FORNECIMENTO E INSTALAÇÃO. AF_08/201 5</t>
  </si>
  <si>
    <t>PORTA DE MADEIRA ALMOFADADA, SEMI-OCA (LEVE OU MÉDIA), 70X210CM, ESPES SURA DE 3CM, INCLUSO DOBRADIÇAS - FORNECIMENTO E INSTALAÇÃO. AF_08/201 5</t>
  </si>
  <si>
    <t>PORTA DE MADEIRA ALMOFADADA, SEMI-OCA (LEVE OU MÉDIA), 80X210CM, ESPES SURA DE 3,5CM, INCLUSO DOBRADIÇAS - FORNECIMENTO E INSTALAÇÃO. AF_08/2 015</t>
  </si>
  <si>
    <t>PORTA DE MADEIRA COMPENSADA LISA PARA CERA OU VERNIZ, 120X210X3,5CM, 2 FOLHAS, INCLUSO ADUELA 1A, ALIZAR 1A E DOBRADICAS COM ANEL</t>
  </si>
  <si>
    <t>PORTA DE MADEIRA COMPENSADA LISA PARA PINTURA, 120X210X3,5CM, 2 FOLHAS , INCLUSO ADUELA 2A, ALIZAR 2A E DOBRADICAS</t>
  </si>
  <si>
    <t>PORTA DE MADEIRA PARA PINTURA, SEMI-OCA (LEVE OU MÉDIA), 60X210CM, ESP ESSURA DE 3,5CM, INCLUSO DOBRADIÇAS - FORNECIMENTO E INSTALAÇÃO. AF_08 /2015</t>
  </si>
  <si>
    <t>PORTA DE MADEIRA PARA PINTURA, SEMI-OCA (LEVE OU MÉDIA), 70X210CM, ESP ESSURA DE 3,5CM, INCLUSO DOBRADIÇAS - FORNECIMENTO E INSTALAÇÃO. AF_08 /2015</t>
  </si>
  <si>
    <t>PORTA DE MADEIRA PARA PINTURA, SEMI-OCA (LEVE OU MÉDIA), 80X210CM, ESP ESSURA DE 3,5CM, INCLUSO DOBRADIÇAS - FORNECIMENTO E INSTALAÇÃO. AF_08 /2015</t>
  </si>
  <si>
    <t>PORTA DE MADEIRA PARA PINTURA, SEMI-OCA (LEVE OU MÉDIA), 90X210CM, ESP ESSURA DE 3,5CM, INCLUSO DOBRADIÇAS - FORNECIMENTO E INSTALAÇÃO. AF_08 /2015</t>
  </si>
  <si>
    <t>PORTA DE MADEIRA PARA VERNIZ, SEMI-OCA (LEVE OU MÉDIA), 60X210CM, ESPE SSURA DE 3,5CM, INCLUSO DOBRADIÇAS - FORNECIMENTO E INSTALAÇÃO. AF_08/ 2015</t>
  </si>
  <si>
    <t>PORTA DE MADEIRA PARA VERNIZ, SEMI-OCA (LEVE OU MÉDIA), 70X210CM, ESPE SSURA DE 3,5CM, INCLUSO DOBRADIÇAS - FORNECIMENTO E INSTALAÇÃO. AF_08/ 2015</t>
  </si>
  <si>
    <t>PORTA DE MADEIRA PARA VERNIZ, SEMI-OCA (LEVE OU MÉDIA), 80X210CM, ESPE SSURA DE 3,5CM, INCLUSO DOBRADIÇAS - FORNECIMENTO E INSTALAÇÃO. AF_08/ 2015</t>
  </si>
  <si>
    <t>PORTA DE MADEIRA PARA VERNIZ, SEMI-OCA (LEVE OU MÉDIA), 90X210CM, ESPE SSURA DE 3,5CM, INCLUSO DOBRADIÇAS - FORNECIMENTO E INSTALAÇÃO. AF_08/ 2015</t>
  </si>
  <si>
    <t>PORTA DE MADEIRA TIPO VENEZIANA, EUCALIPTO OU SIMILAR DA REGIAO, E = *3,5* CM</t>
  </si>
  <si>
    <t>PORTA DE MADEIRA TIPO VENEZIANA, SEMI-OCA (LEVE OU MÉDIA), 80X210CM, E SPESSURA DE 3CM, INCLUSO DOBRADIÇAS - FORNECIMENTO E INSTALAÇÃO. AF_08 /2015</t>
  </si>
  <si>
    <t>PORTA DE MADEIRA, TIPO MEXICANA, SEMI-OCA (PESADA OU SUPERPESADA), 80X 210CM, ESPESSURA DE 3,5CM, INCLUSO DOBRADIÇAS - FORNECIMENTO E INSTALA ÇÃO. AF_08/2015</t>
  </si>
  <si>
    <t>PORTA DE VIDRO TEMPERADO, 0,9X2,10M, ESPESSURA 10MM, INCLUSIVE ACESSOR IOS</t>
  </si>
  <si>
    <t>PORTA EM AÇO DE ABRIR COM POSTIGO PARA VIDRO, COM GUARNIÇÃO, FIXAÇÃO C OM PARAFUSOS, EXCLUSIVE VIDRO - FORNECIMENTO E INSTALAÇÃO. AF_08/2015</t>
  </si>
  <si>
    <t>PORTA EM AÇO DE ABRIR COM TRAVESSAS PARA VIDRO, COM GUARNIÇÃO, FIXAÇÃO COM PARAFUSOS, EXCLUSIVE VIDROS - FORNECIMENTO E INSTALAÇÃO. AF_08/20 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</si>
  <si>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</si>
  <si>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</si>
  <si>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PORTA EM ALUMÍNIO DE ABRIR TIPO VENEZIANA COM GUARNIÇÃO, FIXAÇÃO COM P ARAFUSOS - FORNECIMENTO E INSTALAÇÃO. AF_08/2015</t>
  </si>
  <si>
    <t>PORTA EM FERRO QUADRICULADO PARA ABRIGO DE MEDIDORES E BOTIJOES, DE AB RIR, COM GUARNICOES</t>
  </si>
  <si>
    <t>PORTA GRADE DE ENROLAR MANUAL COMPLETA, PERFIL TUBULAR TIJOLINHO 3/4 ", EM ACO GALVANIZADO NATURAL (SEM INSTALACAO)</t>
  </si>
  <si>
    <t>PORTA MADEIRA 1A CORRER P/VIDRO 30MM/ GUARNICAO 15CM/ALIZAR</t>
  </si>
  <si>
    <t>PORTA MADEIRA REGIONAL 1A VENEZIANA 80 X 210 X 3CM</t>
  </si>
  <si>
    <t>PORTA MADEIRA REGIONAL 3A CORRER P/ VIDRO E = 3CM</t>
  </si>
  <si>
    <t>PORTA TIPO MEXICANA DE MADEIRA MACICA DE 1A. QUALIDADE, DE *0,80 X 2,10 X 0,035* M</t>
  </si>
  <si>
    <t>PORTA VIDRO TEMPERADO INCOLOR, 2 FOLHAS DE CORRER, E = 10 MM (SEM FERRAGENS E SEM COLOCACAO)</t>
  </si>
  <si>
    <t>PORTAO BASCULANTE, MANUAL, EM CHAPA TIPO LAMBRIL QUADRADO, COM REQUADRO, ACABAMENTO NATURAL</t>
  </si>
  <si>
    <t>PORTAO COM MOUROES DE MADEIRA ROLICA, DIAMETRO 11CM, COM 5 FIOS DE ARA ME FARPADO Nº 14 CLASSE 250, SEM DOBRADICAS</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</si>
  <si>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</si>
  <si>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</si>
  <si>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</si>
  <si>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PORTAO DE FERRO COM VARA 1/2", COM REQUADRO</t>
  </si>
  <si>
    <t>PORTAO DE FERRO EM CHAPA GALVANIZADA PLANA 14 GSG</t>
  </si>
  <si>
    <t>PORTAO EM TELA ARAME GALVANIZADO N.12 MALHA 2" E MOLDURA EM TUBOS DE A CO COM DUAS FOLHAS DE ABRIR, INCLUSO FERRAGENS</t>
  </si>
  <si>
    <t>PORTAO EM TUBO DE ACO GALVANIZADO DIN 2440/NBR 5580, PAINEL UNICO, DIM ENSOES 1,0X1,6M, INCLUSIVE CADEADO</t>
  </si>
  <si>
    <t>PORTAO EM TUBO DE ACO GALVANIZADO DIN 2440/NBR 5580, PAINEL UNICO, DIM ENSOES 4,0X1,2M, INCLUSIVE CADEADO</t>
  </si>
  <si>
    <t>PORTINHOLA DE ABRIR EM ALUMINIO DE 60 X 80 CM, VENEZIANA VENTILADA 1 FOLHA, ACABAMENTO ANODIZADO NATURAL</t>
  </si>
  <si>
    <t>POSTE ACO CONICO CONTINUO CURVO SIMPLES SEM BASE C/JANELA 9M (INSPECAO ) - FORNECIMENTO E INSTALACAO</t>
  </si>
  <si>
    <t>POSTE CONCRETO SEÇÃO CIRCULAR COMPRIMENTO=10M CARGA NOMINAL NO TOPO 60 0KG INCLUSIVE ESCAVACAO EXCLUSIVE TRANSPORTE - FORNECIMENTO E COLOCAÇÃ O</t>
  </si>
  <si>
    <t>POSTE CONCRETO SEÇÃO CIRCULAR COMPRIMENTO=11M  CARGA NOMINAL NO TOPO 3 00KG INCLUSIVE ESCAVACAO EXCLUSIVE TRANSPORTE - FORNECIMENTO E COLOCAÇ ÃO</t>
  </si>
  <si>
    <t>POSTE CONCRETO SEÇÃO CIRCULAR COMPRIMENTO=11M  CARGA NOMINAL NO TOPO 4 00KG INCLUSIVE ESCAVACAO EXCLUSIVE TRANSPORTE - FORNECIMENTO E COLOCAÇ ÃO</t>
  </si>
  <si>
    <t>POSTE CONCRETO SEÇÃO CIRCULAR COMPRIMENTO=11M  E CARGA NOMINAL 200KG I NCLUSIVE ESCAVACAO EXCLUSIVE TRANSPORTE - FORNECIMENTO E COLOCAÇÃO</t>
  </si>
  <si>
    <t>POSTE CONCRETO SEÇÃO CIRCULAR COMPRIMENTO=14M  CARGA NOMINAL NO TOPO 4 00KG INCLUSIVE ESCAVACAO EXCLUSIVE TRANSPORTE - FORNECIMENTO E COLOCAÇ ÃO</t>
  </si>
  <si>
    <t>POSTE CONCRETO SECAO CIRCULAR COMPRIMENTO=5M CARGA NOMINAL TOPO 100KG INCLUSIVE ESCAVACAO EXCLUSIVE TRANSPORTE - FORNECIMENTO E COLOCACAO</t>
  </si>
  <si>
    <t>POSTE CONCRETO SEÇÃO CIRCULAR COMPRIMENTO=5M CARGA NOMINAL TOPO 300KG INCLUSIVE ESCAVACAO EXCLUSIVE TRANSPORTE - FORNECIMENTO E COLOCAÇÃO</t>
  </si>
  <si>
    <t>POSTE CONCRETO SEÇÃO CIRCULAR COMPRIMENTO=7M CARGA NOMINAL NO TOPO 300 KG INCLUSIVE ESCAVACAO EXCLUSIVE TRANSPORTE - FORNECIMENTO E COLOCAÇÃO</t>
  </si>
  <si>
    <t>POSTE CONCRETO SEÇÃO CIRCULAR COMPRIMENTO=7M CARGA NOMINAL TOPO 100KG INCLUSIVE ESCAVACAO EXCLUSIVE TRANSPORTE - FORNECIMENTO E COLOCAÇÃO</t>
  </si>
  <si>
    <t>POSTE CONCRETO SEÇÃO CIRCULAR COMPRIMENTO=7M CARGA NOMINAL TOPO 200KG INCLUSIVE ESCAVACAO EXCLUSIVE TRANSPORTE - FORNECIMENTO E COLOCAÇÃO</t>
  </si>
  <si>
    <t>POSTE CONCRETO SEÇÃO CIRCULAR COMPRIMENTO=9M CARGA NOMINAL NO TOPO 200 KG INCLUSIVE ESCAVACAO EXCLUSIVE TRANSPORTE - FORNECIMENTO E COLOCAÇÃO</t>
  </si>
  <si>
    <t>POSTE CONCRETO SEÇÃO CIRCULAR COMPRIMENTO=9M CARGA NOMINAL NO TOPO 300 KG INCLUSIVE ESCAVACAO EXCLUSIVE TRANSPORTE - FORNECIMENTO E COLOCAÇÃO</t>
  </si>
  <si>
    <t>POSTE CONCRETO SEÇÃO CIRCULAR COMPRIMENTO=9M CARGA NOMINAL NO TOPO 400 KG INCLUSIVE ESCAVACAO EXCLUSIVE TRANSPORTE - FORNECIMENTO E COLOCAÇÃO</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</si>
  <si>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</si>
  <si>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</si>
  <si>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</si>
  <si>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7 M, DIAMETRO INFERIOR = *125* MM</t>
  </si>
  <si>
    <t>POSTE CONICO CONTINUO EM ACO GALVANIZADO, CURVO, BRACO SIMPLES, FLANGEADO, H = 9 M, DIAMETRO INFERIOR = *135*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</si>
  <si>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</si>
  <si>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</si>
  <si>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</si>
  <si>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</si>
  <si>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ACO CONICO CONTINUO CURVO DUPLO, FLANGEADO, COM JANELA DE INS PECAO H=9M - FORNECIMENTO E INSTALACAO</t>
  </si>
  <si>
    <t>POSTE DE AÇO CONICO CONTÍNUO CURVO SIMPLES, FLANGEADO, COM JANELA DE I NSPEÇÃO H=9M - FORNECIMENTO E INSTALACAO</t>
  </si>
  <si>
    <t>POSTE DE ACO CONICO CONTINUO RETO, FLANGEADO, H=9M - FORNECIMENTO E IN STALACAO</t>
  </si>
  <si>
    <t>POSTE DE CONCRETO CIRCULAR, 100 KG, H = 5 M (NBR 8451)</t>
  </si>
  <si>
    <t>POSTE DE CONCRETO CIRCULAR, 100 KG, H = 7 M (NBR 8451)</t>
  </si>
  <si>
    <t>POSTE DE CONCRETO CIRCULAR, 150 KG, H = 10 M (NBR 8451)</t>
  </si>
  <si>
    <t>POSTE DE CONCRETO CIRCULAR, 200 KG, H = 11 M (NBR 8451)</t>
  </si>
  <si>
    <t>POSTE DE CONCRETO CIRCULAR, 200 KG, H = 17 M (NBR 8451)</t>
  </si>
  <si>
    <t>POSTE DE CONCRETO CIRCULAR, 200 KG, H = 22,5 M (NBR 8451)</t>
  </si>
  <si>
    <t>POSTE DE CONCRETO CIRCULAR, 200 KG, H = 7 M (NBR 8451)</t>
  </si>
  <si>
    <t>POSTE DE CONCRETO CIRCULAR, 200 KG, H = 9 M (NBR 8451)</t>
  </si>
  <si>
    <t>POSTE DE CONCRETO CIRCULAR, 300 KG, H = 11 M (NBR 8451)</t>
  </si>
  <si>
    <t>POSTE DE CONCRETO CIRCULAR, 300 KG, H = 5 M (NBR 8451)</t>
  </si>
  <si>
    <t>POSTE DE CONCRETO CIRCULAR, 300 KG, H = 7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</si>
  <si>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</si>
  <si>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</si>
  <si>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</si>
  <si>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</si>
  <si>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</si>
  <si>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</si>
  <si>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H=10M CARGA NOMINAL 300KG INCLUSIVE ESCAVACA O, EXCLUSIVE TRANSPORTE - FORNECIMENTO E INSTALACAO</t>
  </si>
  <si>
    <t>POSTE DE CONCRETO DUPLO T H=11M E CARGA NOMINAL 200KG INCLUSIVE ESCAVA CAO, EXCLUSIVE TRANSPORTE - FORNECIMENTO E INSTALACAO</t>
  </si>
  <si>
    <t>POSTE DE CONCRETO DUPLO T H=9M CARGA NOMINAL 300KG INCLUSIVE ESCAVACAO , EXCLUSIVE TRANSPORTE - FORNECIMENTO E INSTALACAO</t>
  </si>
  <si>
    <t>POSTE DE CONCRETO DUPLO T H=9M CARGA NOMINAL 500KG INCLUSIVE ESCAVACAO , EXCLUSIVE TRANSPORTE - FORNECIMENTO E INSTALACAO</t>
  </si>
  <si>
    <t>POSTE DE CONCRETO DUPLO T, 100 KG, H = 6 M, (NBR 8451)</t>
  </si>
  <si>
    <t>POSTE DE CONCRETO DUPLO T, 200 KG, H = 11 M (NBR 8451)</t>
  </si>
  <si>
    <t>POSTE DE CONCRETO DUPLO T, 200 KG, H = 8 M (NBR 8451)</t>
  </si>
  <si>
    <t>POSTE DE CONCRETO DUPLO T, 300 KG, H = 12 M (NBR 8451)</t>
  </si>
  <si>
    <t>POSTE DE CONCRETO DUPLO T, 400 KG,H = 12 M (NBR 8451)</t>
  </si>
  <si>
    <t>POSTE DE CONCRETO DUPLO T, TIPO B, 300 KG, H = 10 M (NBR 8451)</t>
  </si>
  <si>
    <t>POSTE DE CONCRETO DUPLO T, TIPO B, 300 KG, H = 9 M (NBR 8451)</t>
  </si>
  <si>
    <t>POSTE DE CONCRETO DUPLO T, TIPO D, 100 KG, H = 7 M (NBR 8451)</t>
  </si>
  <si>
    <t>POSTE DE CONCRETO DUPLO T, TIPO D, 200 KG, H = 9 M (NBR 8451)</t>
  </si>
  <si>
    <t>POSTE DE CONCRETO PADRAO, 1 CAIXA, H = 7,5 M</t>
  </si>
  <si>
    <t>POSTE DE CONCRETO PADRAO, 2 CAIXAS, H = 7,5 M</t>
  </si>
  <si>
    <t>POSTE DE CONCRETO PADRAO, 3 CAIXAS , H = 7,5 M</t>
  </si>
  <si>
    <t>POSTE DE CONCRETO PADRAO, 4 CAIXAS , H = 7,5 M</t>
  </si>
  <si>
    <t>POSTE DECORATIVO PARA JARDIM EM ACO TUBULAR, SEM LUMINARIA, H = *2,5* M</t>
  </si>
  <si>
    <t>POSTE PADRAO SUBTERRANEO 100 A, H = 2,5 M</t>
  </si>
  <si>
    <t>POSTE PADRAO SUBTERRANEO 200 A, H = 2,5 M</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</si>
  <si>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</si>
  <si>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</si>
  <si>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</si>
  <si>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</si>
  <si>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</si>
  <si>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</si>
  <si>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</si>
  <si>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</si>
  <si>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</si>
  <si>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</si>
  <si>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</si>
  <si>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</si>
  <si>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</si>
  <si>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</si>
  <si>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</si>
  <si>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</si>
  <si>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</si>
  <si>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</si>
  <si>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</si>
  <si>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</si>
  <si>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</si>
  <si>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</si>
  <si>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</si>
  <si>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</si>
  <si>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</si>
  <si>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</si>
  <si>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COM CABECA DUPLA 17 X 27 (2 1/2 X 11)</t>
  </si>
  <si>
    <t>PREGO DE ACO POLIDO SEM CABECA 15 X 15 (1 1/4 X 13)</t>
  </si>
  <si>
    <t>PRE-MISTURADO A FRIO COM EMULSAO RM-1C, INCLUSO USINAGEM E APLICACAO, EXCLUSIVE TRANSPORTE</t>
  </si>
  <si>
    <t>PRENDEDOR / TRAVA DE PORTA, MONTAGEM PISO / PORTA, EM LATAO / ZAMAC, CROMADO</t>
  </si>
  <si>
    <t>PRENSA DE MONTAGEM PARA TUBO PEX</t>
  </si>
  <si>
    <t>PREPARACAO DE AMOSTRAS PARA ENSAIO DE CARACTERIZACAO - SOLOS</t>
  </si>
  <si>
    <t>PREPARO DE FUNDO DE VALA  COM LARGURA MAIOR OU IGUAL A 1,5 M E MENOR Q UE 2,5 M, EM LOCAL COM NÍVEL ALTO DE INTERFERÊNCIA. AF_06/2016</t>
  </si>
  <si>
    <t>PREPARO DE FUNDO DE VALA  COM LARGURA MENOR QUE 1,5 M, EM LOCAL COM NÍ VEL ALTO DE INTERFERÊNCIA. AF_06/2016</t>
  </si>
  <si>
    <t>PREPARO DE FUNDO DE VALA COM LARGURA MAIOR OU IGUAL A 1,5 M E MENOR QU E 2,5 M, EM LOCAL COM NÍVEL BAIXO DE INTERFERÊNCIA. AF_06/2016</t>
  </si>
  <si>
    <t>PREPARO DE FUNDO DE VALA COM LARGURA MENOR QUE 1,5 M, EM LOCAL COM NÍV EL BAIXO DE INTERFERÊNCIA. AF_06/2016</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</si>
  <si>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</si>
  <si>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</si>
  <si>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</si>
  <si>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</si>
  <si>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PROJEÇÃO 1,5 M3/H, ALCANCE DE 30 ATÉ 60 M, MOTOR ELÉTRICO POTÊNCIA 7,5 HP - CHI DIURNO.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</si>
  <si>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</si>
  <si>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</si>
  <si>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</si>
  <si>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</si>
  <si>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 6/2014</t>
  </si>
  <si>
    <t>PROJETOR DE ARGAMASSA, CAPACIDADE DE PROJEÇÃO 2 M3/H, ALCANCE ATÉ 50 M , MOTOR ELÉTRICO POTÊNCIA 7,5 HP - CHI DIURNO. AF_06/2014</t>
  </si>
  <si>
    <t>PROJETOR DE ARGAMASSA, CAPACIDADE DE PROJEÇÃO 2 M3/H, ALCANCE ATÉ 50 M , MOTOR ELÉTRICO POTÊNCIA 7,5 HP - CHP DIURNO. AF_06/2014</t>
  </si>
  <si>
    <t>PROJETOR DE ARGAMASSA, CAPACIDADE DE PROJEÇÃO 2 M3/H, ALCANCE ATÉ 50 M , MOTOR ELÉTRICO POTÊNCIA 7,5 HP - DEPRECIAÇÃO. AF_06/2014</t>
  </si>
  <si>
    <t>PROJETOR DE ARGAMASSA, CAPACIDADE DE PROJEÇÃO 2 M3/H, ALCANCE ATÉ 50 M , MOTOR ELÉTRICO POTÊNCIA 7,5 HP - JUROS. AF_06/2014</t>
  </si>
  <si>
    <t>PROJETOR DE ARGAMASSA, CAPACIDADE DE PROJEÇÃO 2 M3/H, ALCANCE ATÉ 50 M , MOTOR ELÉTRICO POTÊNCIA 7,5 HP - MANUTENÇÃO. AF_06/2014</t>
  </si>
  <si>
    <t>PROJETOR DE ARGAMASSA, CAPACIDADE DE PROJEÇÃO 2 M3/H, ALCANCE ATÉ 50 M , MOTOR ELÉTRICO POTÊNCIA 7,5 HP - MATERIAIS NA OPERAÇÃO. AF_06/2014</t>
  </si>
  <si>
    <t>PROJETOR DE ARGAMASSA, CAPACIDADE DE PROJECAO 2,0 M3/H, ALCANCE DA PROJECAO ATE 50 M, MOTOR ELETRICO TRIFASICO</t>
  </si>
  <si>
    <t>PROJETOR PNEUMÁTICO DE ARGAMASSA PARA CHAPISCO E REBOCO COM RECIPIENTE ACOPLADO, TIPO CANEQUINHA, COM COMPRESSOR DE AR REBOCÁVEL VAZÃO 89 PC M E MOTOR DIESEL DE 20 CV - CHI DIURNO. AF_06/2015</t>
  </si>
  <si>
    <t>PROJETOR PNEUMÁTICO DE ARGAMASSA PARA CHAPISCO E REBOCO COM RECIPIENTE ACOPLADO, TIPO CANEQUINHA, COM COMPRESSOR DE AR REBOCÁVEL VAZÃO 89 PC M E MOTOR DIESEL DE 20 CV - CHP DIURNO. AF_06/2015</t>
  </si>
  <si>
    <t>PROJETOR PNEUMÁTICO DE ARGAMASSA PARA CHAPISCO E REBOCO COM RECIPIENTE ACOPLADO, TIPO CANEQUINHA, COM COMPRESSOR DE AR REBOCÁVEL VAZÃO 89 PC M E MOTOR DIESEL DE 20 CV - DEPRECIAÇÃO. AF_06/2015</t>
  </si>
  <si>
    <t>PROJETOR PNEUMÁTICO DE ARGAMASSA PARA CHAPISCO E REBOCO COM RECIPIENTE ACOPLADO, TIPO CANEQUINHA, COM COMPRESSOR DE AR REBOCÁVEL VAZÃO 89 PC M E MOTOR DIESEL DE 20 CV - JUROS. AF_06/2015</t>
  </si>
  <si>
    <t>PROJETOR PNEUMÁTICO DE ARGAMASSA PARA CHAPISCO E REBOCO COM RECIPIENTE ACOPLADO, TIPO CANEQUINHA, COM COMPRESSOR DE AR REBOCÁVEL VAZÃO 89 PC M E MOTOR DIESEL DE 20 CV - MANUTENÇÃO. AF_06/2015</t>
  </si>
  <si>
    <t>PROJETOR PNEUMÁTICO DE ARGAMASSA PARA CHAPISCO E REBOCO COM RECIPIENTE ACOPLADO, TIPO CANEQUINHA, COM COMPRESSOR DE AR REBOCÁVEL VAZÃO 89 PC M E MOTOR DIESEL DE 20 CV - MATERIAIS NA OPERAÇÃO. AF_06/2015</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</si>
  <si>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</si>
  <si>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</si>
  <si>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</si>
  <si>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</si>
  <si>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</si>
  <si>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</si>
  <si>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</si>
  <si>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</si>
  <si>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PROTECAO DE FACHADA COM TELA DE POLIPROPILENO FIXADA EM ESTRUTURA DE M ADEIRA COM ARAME GALVANIZADO</t>
  </si>
  <si>
    <t>PROTEÇÃO SUPERFICIAL DE CANAL EM GABIÃO TIPO COLCHÃO, ALTURA DE 17 CEN TÍMETROS, ENCHIMENTO COM PEDRA DE MÃO TIPO RACHÃO - FORNECIMENTO E EXE CUÇÃO. AF_12/2015</t>
  </si>
  <si>
    <t>PROTEÇÃO SUPERFICIAL DE CANAL EM GABIÃO TIPO COLCHÃO, ALTURA DE 23 CEN TÍMETROS, ENCHIMENTO COM PEDRA DE MÃO TIPO RACHÃO - FORNECIMENTO E EXE CUÇÃO. AF_12/2015</t>
  </si>
  <si>
    <t>PROTEÇÃO SUPERFICIAL DE CANAL EM GABIÃO TIPO COLCHÃO, ALTURA DE 30 CEN TÍMETROS, ENCHIMENTO COM PEDRA DE MÃO TIPO RACHÃO - FORNECIMENTO E EXE CUÇÃO. AF_12/2015</t>
  </si>
  <si>
    <t>PROTEÇÃO SUPERFICIAL DE CANAL EM GABIÃO TIPO SACO, DIÂMETRO DE 65 CENT ÍMETROS, ENCHIMENTO MANUAL COM PEDRA DE MÃO TIPO RACHÃO - FORNECIMENTO E EXECUÇÃO. AF_12/2015</t>
  </si>
  <si>
    <t>PROTENSAO DE TIRANTES DE BARRA DE ACO CA-50 EXCL MATERIAIS</t>
  </si>
  <si>
    <t>PROTETOR AUDITIVO TIPO CONCHA COM ABAFADOR DE RUIDOS, ATENUACAO ACIMA DE 22 DB</t>
  </si>
  <si>
    <t>PROTETOR AUDITIVO TIPO PLUG DE INSERCAO COM CORDAO, ATENUACAO SUPERIOR A 15 DB</t>
  </si>
  <si>
    <t>PRUMO DE CENTRO EM ACO *400* G</t>
  </si>
  <si>
    <t>PRUMO DE PAREDE EM ACO 700 A 750 G</t>
  </si>
  <si>
    <t>PULVERIZADOR DE TINTA ELETRICO / MAQUINA DE PINTURA AIRLESS, VAZAO *2* L/MIN (COLETADO CAIXA)</t>
  </si>
  <si>
    <t>PULVERIZADOR DE TINTA ELÉTRICO/MÁQUINA DE PINTURA AIRLESS, VAZÃO 2 L/M IN - CHP DIURNO. AF_08/2016</t>
  </si>
  <si>
    <t>PULVERIZADOR DE TINTA ELÉTRICO/MÁQUINA DE PINTURA AIRLESS, VAZÃO 2 L/M IN - DEPRECIAÇÃO. AF_08/2016</t>
  </si>
  <si>
    <t>PULVERIZADOR DE TINTA ELÉTRICO/MÁQUINA DE PINTURA AIRLESS, VAZÃO 2 L/M IN - JUROS. AF_08/2016</t>
  </si>
  <si>
    <t>PULVERIZADOR DE TINTA ELÉTRICO/MÁQUINA DE PINTURA AIRLESS, VAZÃO 2 L/M IN - MANUTENÇÃO. AF_08/2016</t>
  </si>
  <si>
    <t>PULVERIZADOR DE TINTA ELÉTRICO/MÁQUINA DE PINTURA AIRLESS, VAZÃO 2 L/M IN - MATERIAIS NA OPERAÇÃO. AF_08/2016</t>
  </si>
  <si>
    <t>PUXADOR CENTRAL PARA ESQUADRIA DE ALUMINIO</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</si>
  <si>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</si>
  <si>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</si>
  <si>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</si>
  <si>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</si>
  <si>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</si>
  <si>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</si>
  <si>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</si>
  <si>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</si>
  <si>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</si>
  <si>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</si>
  <si>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</si>
  <si>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</si>
  <si>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</si>
  <si>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</si>
  <si>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</si>
  <si>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</si>
  <si>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</si>
  <si>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</si>
  <si>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</si>
  <si>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</si>
  <si>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</si>
  <si>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</si>
  <si>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</si>
  <si>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</si>
  <si>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</si>
  <si>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</si>
  <si>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</si>
  <si>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</si>
  <si>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</si>
  <si>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 EUTRO - FORNECIMENTO E INSTALACAO</t>
  </si>
  <si>
    <t>QUADRO DE DISTRIBUICAO DE ENERGIA P/ 6 DISJUNTORES TERMOMAGNETICOS MON OPOLARES SEM BARRAMENTO, DE EMBUTIR, EM CHAPA METALICA - FORNECIMENTO E INSTALACAO</t>
  </si>
  <si>
    <t>QUADRO DE DISTRIBUICAO PARA TELEFONE N.2, 20X20X12CM EM CHAPA METALICA , DE EMBUTIR, SEM ACESSORIOS, PADRAO TELEBRAS, FORNECIMENTO E INSTALAC AO</t>
  </si>
  <si>
    <t>QUADRO DE DISTRIBUICAO PARA TELEFONE N.3, 40X40X12CM EM CHAPA METALICA , DE EMBUTIR, SEM ACESSORIOS, PADRAO TELEBRAS, FORNECIMENTO E INSTALAC AO</t>
  </si>
  <si>
    <t>QUADRO DE DISTRIBUICAO PARA TELEFONE N.4, 60X60X12CM EM CHAPA METALICA , DE EMBUTIR, SEM ACESSORIOS, PADRAO TELEBRAS, FORNECIMENTO E INSTALAC AO</t>
  </si>
  <si>
    <t>QUADRO DE DISTRIBUICAO PARA TELEFONE N.5, 80X80X12CM EM CHAPA METALICA , SEM ACESSORIOS, PADRAO TELEBRAS, FORNECIMENTO E INSTALACAO</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</si>
  <si>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</si>
  <si>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</si>
  <si>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</si>
  <si>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MEDICAO GERAL EM CHAPA METALICA PARA EDIFICIOS COM 16 APTOS, INCLUSIVE DISJUNTORES E ATERRAMENTO</t>
  </si>
  <si>
    <t>QUEBRA EM ALVENARIA PARA INSTALAÇÃO DE ABRIGO PARA MANGUEIRAS (90X60 C M). AF_05/2015</t>
  </si>
  <si>
    <t>QUEBRA EM ALVENARIA PARA INSTALAÇÃO DE CAIXA DE TOMADA (4X4 OU 4X2). A F_05/2015</t>
  </si>
  <si>
    <t>QUEBRA EM ALVENARIA PARA INSTALAÇÃO DE QUADRO DISTRIBUIÇÃO GRANDE (76X 40 CM). AF_05/2015</t>
  </si>
  <si>
    <t>QUEBRA EM ALVENARIA PARA INSTALAÇÃO DE QUADRO DISTRIBUIÇÃO PEQUENO (19 X25 CM). AF_05/2015</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</si>
  <si>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</si>
  <si>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</si>
  <si>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</si>
  <si>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</si>
  <si>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</si>
  <si>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</si>
  <si>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</si>
  <si>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</si>
  <si>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</si>
  <si>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</si>
  <si>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</si>
  <si>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</si>
  <si>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SECO, PVC, DN 100 X 40 MM, JUNTA SOLDÁVEL, FORNECIDO E INSTALADO EM RAMAL DE DESCARGA OU EM RAMAL DE ESGOTO SANITÁRIO. AF_12/2014</t>
  </si>
  <si>
    <t>RALO SIFONADO PVC CILINDRICO, 100 X 40 MM,  COM GRELHA REDONDA BRANCA</t>
  </si>
  <si>
    <t>RALO SIFONADO PVC REDONDO CONICO, 100 X 40 MM, COM GRELHA  BRANCA REDONDA</t>
  </si>
  <si>
    <t>RALO SIFONADO PVC, QUADRADO, 100 X 100 X 53 MM, SAIDA 40 MM, COM GRELHA BRANCA</t>
  </si>
  <si>
    <t>RALO SIFONADO, PVC, DN 100 X 40 MM, JUNTA SOLDÁVEL, FORNECIDO E INSTAL ADO EM RAMAIS DE ENCAMINHAMENTO DE ÁGUA PLUVIAL. AF_12/2014</t>
  </si>
  <si>
    <t>RALO SIFONADO, PVC, DN 100 X 40 MM, JUNTA SOLDÁVEL, FORNECIDO E INSTAL ADO EM RAMAL DE DESCARGA OU EM RAMAL DE ESGOTO SANITÁRIO. AF_12/2014</t>
  </si>
  <si>
    <t>RASGO EM ALVENARIA PARA ELETRODUTOS COM DIAMETROS MENORES OU IGUAIS A 40 MM. AF_05/2015</t>
  </si>
  <si>
    <t>RASGO EM ALVENARIA PARA RAMAIS/ DISTRIBUIÇÃO COM DIÂMETROS MAIORES QUE 40 MM E MENORES OU IGUAIS A 75 MM. AF_05/2015</t>
  </si>
  <si>
    <t>RASGO EM ALVENARIA PARA RAMAIS/ DISTRIBUIÇÃO COM DIAMETROS MENORES OU IGUAIS A 40 MM. AF_05/2015</t>
  </si>
  <si>
    <t>RASGO EM CONTRAPISO PARA RAMAIS/ DISTRIBUIÇÃO COM DIÂMETROS MAIORES QU E 40 MM E MENORES OU IGUAIS A 75 MM. AF_05/2015</t>
  </si>
  <si>
    <t>RASGO EM CONTRAPISO PARA RAMAIS/ DISTRIBUIÇÃO COM DIÂMETROS MAIORES QU E 75 MM. AF_05/2015</t>
  </si>
  <si>
    <t>RASGO EM CONTRAPISO PARA RAMAIS/ DISTRIBUIÇÃO COM DIÂMETROS MENORES OU IGUAIS A 40 MM. AF_05/2015</t>
  </si>
  <si>
    <t>RASPAGEM / CALAFETACAO TACOS MADEIRA 1 DEMAO CERA</t>
  </si>
  <si>
    <t>RASTELEIRO (MENSALISTA)</t>
  </si>
  <si>
    <t>REASSENTAMENTO DE PARALELEPIPEDO SOBRE COLCHAO DE PO DE PEDRA ESPESSUR A 10CM, REJUNTADO COM ARGAMASSA TRACO 1:3 (CIMENTO E AREIA), CONSIDERA NDO APROVEITAMENTO DO PARALELEPIPEDO</t>
  </si>
  <si>
    <t>REASSENTAMENTO DE PARALELEPIPEDO SOBRE COLCHAO DE PO DE PEDRA ESPESSUR A 10CM, REJUNTADO COM BETUME E PEDRISCO, CONSIDERANDO APROVEITAMENTO D O PARALELEPIPEDO</t>
  </si>
  <si>
    <t>REATERRO INTERNO (EDIFICACOES) COMPACTADO MANUALMENTE</t>
  </si>
  <si>
    <t>REATERRO MANUAL DE VALAS COM COMPACTAÇÃO MECANIZADA. AF_04/2016</t>
  </si>
  <si>
    <t>REATERRO MECANIZADO DE VALA COM ESCAVADEIRA HIDRÁULICA (CAPACIDADE DA CAÇAMBA: 0,8 M³ / POTÊNCIA: 111 HP), LARGURA ATÉ 1,5 M, PROFUNDIDADE D E 1,5 A 3,0 M, COM SOLO (SEM SUBSTITUIÇÃO) DE 1ª CATEGORIA EM LOCAIS C OM ALTO NÍVEL DE INTERFERÊNCIA. AF_04/2016</t>
  </si>
  <si>
    <t>REATERRO MECANIZADO DE VALA COM ESCAVADEIRA HIDRÁULICA (CAPACIDADE DA CAÇAMBA: 0,8 M³ / POTÊNCIA: 111 HP), LARGURA ATÉ 1,5 M, PROFUNDIDADE D E 1,5 A 3,0 M, COM SOLO (SEM SUBSTITUIÇÃO) DE 1ª CATEGORIA EM LOCAIS C OM BAIXO NÍVEL DE INTERFERÊNCIA. AF_04/2016</t>
  </si>
  <si>
    <t>REATERRO MECANIZADO DE VALA COM ESCAVADEIRA HIDRÁULICA (CAPACIDADE DA CAÇAMBA: 0,8 M³ / POTÊNCIA: 111 HP), LARGURA ATÉ 1,5 M, PROFUNDIDADE D E 3,0 A 4,5 M COM SOLO (SEM SUBSTITUIÇÃO) DE 1ª CATEGORIA EM LOCAIS CO M ALTO NÍVEL DE INTERFERÊNCIA. AF_04/2016</t>
  </si>
  <si>
    <t>REATERRO MECANIZADO DE VALA COM ESCAVADEIRA HIDRÁULICA (CAPACIDADE DA CAÇAMBA: 0,8 M³ / POTÊNCIA: 111 HP), LARGURA ATÉ 1,5 M, PROFUNDIDADE D E 3,0 A 4,5 M, COM SOLO (SEM SUBSTITUIÇÃO) DE 1ª CATEGORIA EM LOCAIS C OM BAIXO NÍVEL DE INTERFERÊNCIA. AF_04/2016</t>
  </si>
  <si>
    <t>REATERRO MECANIZADO DE VALA COM ESCAVADEIRA HIDRÁULICA (CAPACIDADE DA CAÇAMBA: 0,8 M³ / POTÊNCIA: 111 HP), LARGURA ATÉ 1,5 M, PROFUNDIDADE D E 4,5 A 6,0 M, COM SOLO (SEM SUBSTITUIÇÃO) DE 1ª CATEGORIA EM LOCAIS C OM ALTO NÍVEL DE INTERFERÊNCIA. AF_04/2016</t>
  </si>
  <si>
    <t>REATERRO MECANIZADO DE VALA COM ESCAVADEIRA HIDRÁULICA (CAPACIDADE DA CAÇAMBA: 0,8 M³ / POTÊNCIA: 111 HP), LARGURA ATÉ 1,5 M, PROFUNDIDADE D E 4,5 A 6,0 M, COM SOLO (SEM SUBSTITUIÇÃO) DE 1ª CATEGORIA EM LOCAIS C OM BAIXO NÍVEL DE INTERFERÊNCIA. AF_04/2016</t>
  </si>
  <si>
    <t>REATERRO MECANIZADO DE VALA COM ESCAVADEIRA HIDRÁULICA (CAPACIDADE DA CAÇAMBA: 0,8 M³ / POTÊNCIA: 111 HP), LARGURA DE 1,5 A 2,5 M, PROFUNDID ADE ATÉ 1,5 M, COM SOLO (SEM SUBSTITUIÇÃO) DE 1ª CATEGORIA EM LOCAIS C OM ALTO NÍVEL DE INTERFERÊNCIA. AF_04/2016</t>
  </si>
  <si>
    <t>REATERRO MECANIZADO DE VALA COM ESCAVADEIRA HIDRÁULICA (CAPACIDADE DA CAÇAMBA: 0,8 M³ / POTÊNCIA: 111 HP), LARGURA DE 1,5 A 2,5 M, PROFUNDID ADE ATÉ 1,5 M, COM SOLO (SEM SUBSTITUIÇÃO) DE 1ª CATEGORIA EM LOCAIS C OM BAIXO NÍVEL DE INTERFERÊNCIA. AF_04/2016</t>
  </si>
  <si>
    <t>REATERRO MECANIZADO DE VALA COM ESCAVADEIRA HIDRÁULICA (CAPACIDADE DA CAÇAMBA: 0,8 M³ / POTÊNCIA: 111 HP), LARGURA DE 1,5 A 2,5 M, PROFUNDID ADE DE 1,5 A 3,0 M, COM SOLO (SEM SUBSTITUIÇÃO) DE 1ª CATEGORIA EM LOC AIS COM ALTO NÍVEL DE INTERFERÊNCIA. AF_04/2016</t>
  </si>
  <si>
    <t>REATERRO MECANIZADO DE VALA COM ESCAVADEIRA HIDRÁULICA (CAPACIDADE DA CAÇAMBA: 0,8 M³ / POTÊNCIA: 111 HP), LARGURA DE 1,5 A 2,5 M, PROFUNDID ADE DE 1,5 A 3,0 M, COM SOLO (SEM SUBSTITUIÇÃO) DE 1ª CATEGORIA EM LOC AIS COM BAIXO NÍVEL DE INTERFERÊNCIA. AF_04/2016</t>
  </si>
  <si>
    <t>REATERRO MECANIZADO DE VALA COM ESCAVADEIRA HIDRÁULICA (CAPACIDADE DA CAÇAMBA: 0,8 M³ / POTÊNCIA: 111 HP), LARGURA DE 1,5 A 2,5 M, PROFUNDID ADE DE 3,0  A 4,5 M, COM SOLO (SEM SUBSTITUIÇÃO) DE 1ª CATEGORIA EM LO CAIS COM ALTO NÍVEL DE INTERFERÊNCIA. AF_04/2016</t>
  </si>
  <si>
    <t>REATERRO MECANIZADO DE VALA COM ESCAVADEIRA HIDRÁULICA (CAPACIDADE DA CAÇAMBA: 0,8 M³ / POTÊNCIA: 111 HP), LARGURA DE 1,5 A 2,5 M, PROFUNDID ADE DE 3,0 A 4,5 M, COM SOLO (SEM SUBSTITUIÇÃO) DE 1ª CATEGORIA EM LOC AIS COM BAIXO NÍVEL DE INTERFERÊNCIA. AF_04/2016</t>
  </si>
  <si>
    <t>REATERRO MECANIZADO DE VALA COM ESCAVADEIRA HIDRÁULICA (CAPACIDADE DA CAÇAMBA: 0,8 M³ / POTÊNCIA: 111 HP), LARGURA DE 1,5 A 2,5 M, PROFUNDID ADE DE 4,5 A 6,0 M, COM SOLO (SEM SUBSTITUIÇÃO) DE 1ª CATEGORIA EM LOC AIS COM ALTO NÍVEL DE INTERFERÊNCIA. AF_04/2016</t>
  </si>
  <si>
    <t>REATERRO MECANIZADO DE VALA COM ESCAVADEIRA HIDRÁULICA (CAPACIDADE DA CAÇAMBA: 0,8 M³ / POTÊNCIA: 111 HP), LARGURA DE 1,5 A 2,5 M, PROFUNDID ADE DE 4,5 A 6,0 M, COM SOLO (SEM SUBSTITUIÇÃO) DE 1ª CATEGORIA EM LOC AIS COM BAIXO NÍVEL DE INTERFERÊNCIA. AF_04/2016</t>
  </si>
  <si>
    <t>REATERRO MECANIZADO DE VALA COM RETROESCAVADEIRA (CAPACIDADE DA CAÇAMB A DA RETRO: 0,26 M³ / POTÊNCIA: 88 HP), LARGURA ATÉ 0,8 M, PROFUNDIDAD E ATÉ 1,5 M, COM SOLO (SEM SUBSTITUIÇÃO) DE 1ª CATEGORIA EM LOCAIS COM ALTO NÍVEL DE INTERFERÊNCIA. AF_04/2016</t>
  </si>
  <si>
    <t>REATERRO MECANIZADO DE VALA COM RETROESCAVADEIRA (CAPACIDADE DA CAÇAMB A DA RETRO: 0,26 M³ / POTÊNCIA: 88 HP), LARGURA ATÉ 0,8 M, PROFUNDIDAD E ATÉ 1,5 M, COM SOLO (SEM SUBSTITUIÇÃO) DE 1ª CATEGORIA EM LOCAIS COM BAIXO NÍVEL DE INTERFERÊNCIA. AF_04/2016</t>
  </si>
  <si>
    <t>REATERRO MECANIZADO DE VALA COM RETROESCAVADEIRA (CAPACIDADE DA CAÇAMB A DA RETRO: 0,26 M³ / POTÊNCIA: 88 HP), LARGURA ATÉ 0,8 M, PROFUNDIDAD E DE 1,5 A 3,0 M, COM SOLO (SEM SUBSTITUIÇÃO) DE 1ª CATEGORIA EM LOCAI S COM ALTO NÍVEL DE INTERFERÊNCIA. AF_04/2016</t>
  </si>
  <si>
    <t>REATERRO MECANIZADO DE VALA COM RETROESCAVADEIRA (CAPACIDADE DA CAÇAMB A DA RETRO: 0,26 M³ / POTÊNCIA: 88 HP), LARGURA ATÉ 0,8 M, PROFUNDIDAD E DE 1,5 A 3,0 M, COM SOLO (SEM SUBSTITUIÇÃO) DE 1ª CATEGORIA EM LOCAI S COM BAIXO NÍVEL DE INTERFERÊNCIA. AF_04/2016</t>
  </si>
  <si>
    <t>REATERRO MECANIZADO DE VALA COM RETROESCAVADEIRA (CAPACIDADE DA CAÇAMB A DA RETRO: 0,26 M³ / POTÊNCIA: 88 HP), LARGURA DE 0,8 A 1,5 M, PROFUN DIDADE ATÉ 1,5 M, COM SOLO (SEM SUBSTITUIÇÃO) DE 1ª CATEGORIA EM LOCAI S COM ALTO NÍVEL DE INTERFERÊNCIA. AF_04/2016</t>
  </si>
  <si>
    <t>REATERRO MECANIZADO DE VALA COM RETROESCAVADEIRA (CAPACIDADE DA CAÇAMB A DA RETRO: 0,26 M³ / POTÊNCIA: 88 HP), LARGURA DE 0,8 A 1,5 M, PROFUN DIDADE ATÉ 1,5 M, COM SOLO (SEM SUBSTITUIÇÃO) DE 1ª CATEGORIA EM LOCAI S COM BAIXO NÍVEL DE INTERFERÊNCIA. AF_04/2016</t>
  </si>
  <si>
    <t>REATERRO MECANIZADO DE VALA COM RETROESCAVADEIRA (CAPACIDADE DA CAÇAMB A DA RETRO: 0,26 M³ / POTÊNCIA: 88 HP), LARGURA DE 0,8 A 1,5 M, PROFUN DIDADE DE 1,5 A 3,0 M, COM SOLO (SEM SUBSTITUIÇÃO) DE 1ª CATEGORIA EM LOCAIS COM ALTO NÍVEL DE INTERFERÊNCIA. AF_04/2016</t>
  </si>
  <si>
    <t>REATERRO MECANIZADO DE VALA COM RETROESCAVADEIRA (CAPACIDADE DA CAÇAMB A DA RETRO: 0,26 M³ / POTÊNCIA: 88 HP), LARGURA DE 0,8 A 1,5 M, PROFUN DIDADE DE 1,5 A 3,0 M, COM SOLO (SEM SUBSTITUIÇÃO) DE 1ª CATEGORIA EM LOCAIS COM BAIXO NÍVEL DE INTERFERÊNCIA. AF_04/2016</t>
  </si>
  <si>
    <t>REATOR P/ 1 LAMPADA VAPOR DE MERCURIO 125W USO EXT</t>
  </si>
  <si>
    <t>REATOR P/ 1 LAMPADA VAPOR DE MERCURIO 250W USO EXT</t>
  </si>
  <si>
    <t>REATOR P/ 1 LAMPADA VAPOR DE MERCURIO 400W USO EXT</t>
  </si>
  <si>
    <t>REATOR P/ LAMPADA VAPOR DE SODIO 250W USO EXT</t>
  </si>
  <si>
    <t>REATOR PARA LAMPADA FLUORESCENTE 1X20W PARTIDA RAPIDA FORNECIMENTO E I NSTALACAO</t>
  </si>
  <si>
    <t>REATOR PARA LAMPADA FLUORESCENTE 1X40W PARTIDA RAPIDA FORNECIMENTO E I NSTALACAO</t>
  </si>
  <si>
    <t>REATOR PARA LAMPADA FLUORESCENTE 2X40W PARTIDA RAPIDA FORNECIMENTO E I NSTALACAO</t>
  </si>
  <si>
    <t>REATOR PARA LAMPADA VAPOR DE MERCURIO 125W  USO EXTERNO</t>
  </si>
  <si>
    <t>REATOR PARA LAMPADA VAPOR DE MERCURIO 250W USO EXTERNO</t>
  </si>
  <si>
    <t>REATOR PARA LAMPADA VAPOR DE MERCURIO USO EXTERNO 220V/400W</t>
  </si>
  <si>
    <t>REATOR PARA LAMPADA VAPOR DE SODIO ALTA PRESSAO - 220V/250W - USO EXTE RNO</t>
  </si>
  <si>
    <t>REATOR PARTIDA RAPIDA P/ 1 LAMPADA FLUORESCENTE 20W/127V</t>
  </si>
  <si>
    <t>REATOR PARTIDA RAPIDA P/ 1 LAMPADA FLUORESCENTE 40W/127V</t>
  </si>
  <si>
    <t>REATOR PARTIDA RAPIDA P/ 2 LAMPADAS FLUORESCENTES 20W/127V</t>
  </si>
  <si>
    <t>REATOR PARTIDA RAPIDA P/ 2 LAMPADAS FLUORESCENTES 40W/127V</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</si>
  <si>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</si>
  <si>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</si>
  <si>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</si>
  <si>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</si>
  <si>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RECICLADORA DE ASFALTO A FRIO SOBRE RODAS, LARGURA FRESAGEM DE 2,0 M, POTÊNCIA 422 HP - CHI DIURNO. AF_11/2014</t>
  </si>
  <si>
    <t>RECICLADORA DE ASFALTO A FRIO SOBRE RODAS, LARGURA FRESAGEM DE 2,0 M, POTÊNCIA 422 HP - CHP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</si>
  <si>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</si>
  <si>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</si>
  <si>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</si>
  <si>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</si>
  <si>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RECOLOCACAO DE DIVISORIAS TIPO CHAPAS OU TABUAS, EXCLUSIVE ENTARUGAMEN TO, CONSIDERANDO REAPROVEITAMENTO DO MATERIAL</t>
  </si>
  <si>
    <t>RECOLOCACAO DE DIVISORIAS TIPO CHAPAS OU TABUAS, INCLUSIVE ENTARUGAMEN TO, CONSIDERANDO REAPROVEITAMENTO DO MATERIAL</t>
  </si>
  <si>
    <t>RECOLOCACAO DE FOLHAS DE PORTA DE PASSAGEM OU JANELA, CONSIDERANDO REA PROVEITAMENTO DO MATERIAL</t>
  </si>
  <si>
    <t>RECOLOCACAO DE MADEIRAMENTO DO TELHADO - CAIBROS, CONSIDERANDO REAPROV EITAMENTO DE MATERIAL</t>
  </si>
  <si>
    <t>RECOLOCACAO DE PISO DE TABUAS DE MADEIRA, CONSIDERANDO REAPROVEITAMENT O DO MATERIAL, EXCLUSIVE VIGAMENTO</t>
  </si>
  <si>
    <t>RECOLOCACAO DE PISO DE TABUAS DE MADEIRA, CONSIDERANDO REAPROVEITAMENT O DO MATERIAL, INCLUSIVE VIGAMENTO</t>
  </si>
  <si>
    <t>RECOLOCACAO DE PLACAS DIVISORIAS DE GRANILITE, CONSIDERANDO REAPROVEIT AMENTO DO MATERIAL</t>
  </si>
  <si>
    <t>RECOLOCACAO DE RIPAS EM MADEIRAMENTO DE TELHADO, CONSIDERANDO REAPROVE ITAMENTO DE MATERIAL</t>
  </si>
  <si>
    <t>RECOLOCACAO DE TACOS DE MADEIRA COM REAPROVEITAMENTO DE MATERIAL E ASS ENTAMENTO COM ARGAMASSA 1:4 (CIMENTO E AREIA)</t>
  </si>
  <si>
    <t>RECOLOCACAO DE TELHAS CERAMICAS TIPO FRANCESA, CONSIDERANDO REAPROVEIT AMENTO DE MATERIAL</t>
  </si>
  <si>
    <t>RECOLOCACAO DE TELHAS CERAMICAS TIPO PLAN, CONSIDERANDO REAPROVEITAMEN TO DE MATERIAL</t>
  </si>
  <si>
    <t>RECOLOCACO DE FORROS EM REGUA DE PVC E PERFIS, CONSIDERANDO REAPROVEIT AMENTO DO MATERIAL</t>
  </si>
  <si>
    <t>RECOMPOSICAO DE PAVIMENTACAO TIPO BLOKRET SOBRE COLCHAO DE AREIA COM R EAPROVEITAMENTO DE MATERIAL</t>
  </si>
  <si>
    <t>RECOMPOSICAO DE REVESTIMENTO PRIMARIO MEDIDO P/ VOLUME COMPACTADO</t>
  </si>
  <si>
    <t>RECOMPOSICAO PARCIAL DO ARAME FARPADO Nº 14 CLASSE 250, FIXADO EM CERC A COM MOURÕES DE CONCRETO, RETO, 15X15CM</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</si>
  <si>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</si>
  <si>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</si>
  <si>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</si>
  <si>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</si>
  <si>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</si>
  <si>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</si>
  <si>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</si>
  <si>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</si>
  <si>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</si>
  <si>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</si>
  <si>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</si>
  <si>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</si>
  <si>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</si>
  <si>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</si>
  <si>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</si>
  <si>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REDUÇÃO EXCÊNTRICA, PVC, SERIE R, ÁGUA PLUVIAL, DN 100 X 75 MM, JUNTA ELÁSTICA, FORNECIDO E INSTALADO EM CONDUTORES VERTICAIS DE ÁGUAS PLUVI AIS. AF_12/2014</t>
  </si>
  <si>
    <t>REDUÇÃO EXCÊNTRICA, PVC, SERIE R, ÁGUA PLUVIAL, DN 100 X 75 MM, JUNTA ELÁSTICA, FORNECIDO E INSTALADO EM RAMAL DE ENCAMINHAMENTO. AF_12/2014</t>
  </si>
  <si>
    <t>REDUÇÃO EXCÊNTRICA, PVC, SERIE R, ÁGUA PLUVIAL, DN 150 X 100 MM, JUNTA ELÁSTICA, FORNECIDO E INSTALADO EM CONDUTORES VERTICAIS DE ÁGUAS PLUV IAIS. AF_12/2014</t>
  </si>
  <si>
    <t>REDUÇÃO EXCÊNTRICA, PVC, SERIE R, ÁGUA PLUVIAL, DN 75 X 50 MM, JUNTA E LÁSTICA, FORNECIDO E INSTALADO EM CONDUTORES VERTICAIS DE ÁGUAS PLUVIA IS. AF_12/2014</t>
  </si>
  <si>
    <t>REDUÇÃO EXCÊNTRICA, PVC, SERIE R, ÁGUA PLUVIAL, DN 75 X 50 MM, JUNTA E LÁSTICA, FORNECIDO E INSTALADO EM RAMAL DE ENCAMINHAMENTO. AF_12/2014</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</si>
  <si>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</si>
  <si>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</si>
  <si>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</si>
  <si>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</si>
  <si>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</si>
  <si>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</si>
  <si>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REFLETOR REDONDO EM ALUMINIO COM SUPORTE E ALCA REGULAVEL PARA FIXACAO , COM LAMPADA VAPOR DE MERCURIO 250W</t>
  </si>
  <si>
    <t>REFLETOR RETANGULAR FECHADO COM LAMPADA VAPOR METALICO 400 W</t>
  </si>
  <si>
    <t>REGISTRO DE ESFERA DE PASSEIO, PVC PARA POLIETILENO, 20 MM</t>
  </si>
  <si>
    <t>REGISTRO DE ESFERA EM BRONZE D= 1.1/4" FORNEC E COLOCACAO</t>
  </si>
  <si>
    <t>REGISTRO DE ESFERA PVC, COM BORBOLETA, COM ROSCA EXTERNA, DE 1/2"</t>
  </si>
  <si>
    <t>REGISTRO DE ESFERA PVC, COM BORBOLETA, COM ROSCA EXTERNA, DE 3/4"</t>
  </si>
  <si>
    <t>REGISTRO DE ESFERA, PVC, COM VOLANTE, VS, ROSCAVEL, DN 1 1/2", COM CORPO DIVIDIDO</t>
  </si>
  <si>
    <t>REGISTRO DE ESFERA, PVC, COM VOLANTE, VS, ROSCAVEL, DN 1 1/4", COM CORPO DIVIDIDO</t>
  </si>
  <si>
    <t>REGISTRO DE ESFERA, PVC, COM VOLANTE, VS, ROSCAVEL, DN 1", COM CORPO DIVIDIDO</t>
  </si>
  <si>
    <t>REGISTRO DE ESFERA, PVC, COM VOLANTE, VS, ROSCAVEL, DN 1/2",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</si>
  <si>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</si>
  <si>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</si>
  <si>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</si>
  <si>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</si>
  <si>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</si>
  <si>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</si>
  <si>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</si>
  <si>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</si>
  <si>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ESFERA, PVC, ROSCÁVEL, 3/4", FORNECIDO E INSTALADO EM RAMA 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</si>
  <si>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</si>
  <si>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</si>
  <si>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</si>
  <si>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</si>
  <si>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</si>
  <si>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1 1/2, COM ACABAMENTO E CA NOPLA CROMADOS, INSTALADO EM RESERVAÇÃO DE ÁGUA DE EDIFICAÇÃO QUE POSS UA RESERVATÓRIO DE FIBRA/FIBROCIMENTO  FORNECIMENTO E INSTALAÇÃO. AF_ 06/2016</t>
  </si>
  <si>
    <t>REGISTRO DE GAVETA BRUTO, LATÃO, ROSCÁVEL, 1 1/2, INSTALADO EM RESERV AÇÃO DE ÁGUA DE EDIFICAÇÃO QUE POSSUA RESERVATÓRIO DE FIBRA/FIBROCIMEN TO  FORNECIMENTO E INSTALAÇÃO. AF_06/2016</t>
  </si>
  <si>
    <t>REGISTRO DE GAVETA BRUTO, LATÃO, ROSCÁVEL, 1 1/4, COM ACABAMENTO E CA NOPLA CROMADOS, INSTALADO EM RESERVAÇÃO DE ÁGUA DE EDIFICAÇÃO QUE POSS UA RESERVATÓRIO DE FIBRA/FIBROCIMENTO  FORNECIMENTO E INSTALAÇÃO. AF_ 06/2016</t>
  </si>
  <si>
    <t>REGISTRO DE GAVETA BRUTO, LATÃO, ROSCÁVEL, 1 1/4, INSTALADO EM RESERV AÇÃO DE ÁGUA DE EDIFICAÇÃO QUE POSSUA RESERVATÓRIO DE FIBRA/FIBROCIMEN TO  FORNECIMENTO E INSTALAÇÃO. AF_06/2016</t>
  </si>
  <si>
    <t>REGISTRO DE GAVETA BRUTO, LATÃO, ROSCÁVEL, 1, COM ACABAMENTO E CANOPL A CROMADOS, INSTALADO EM RESERVAÇÃO DE ÁGUA DE EDIFICAÇÃO QUE POSSUA R ESERVATÓRIO DE FIBRA/FIBROCIMENTO  FORNECIMENTO E INSTALAÇÃO. AF_06/2 016</t>
  </si>
  <si>
    <t>REGISTRO DE GAVETA BRUTO, LATÃO, ROSCÁVEL, 1, INSTALADO EM RESERVAÇÃO DE ÁGUA DE EDIFICAÇÃO QUE POSSUA RESERVATÓRIO DE FIBRA/FIBROCIMENTO FORNECIMENTO E INSTALAÇÃO. AF_06/2016</t>
  </si>
  <si>
    <t>REGISTRO DE GAVETA BRUTO, LATÃO, ROSCÁVEL, 1/2", COM ACABAMENTO E CANO PLA CROMADOS. FORNECIDO E INSTALADO EM RAMAL DE ÁGUA. AF_12/2014</t>
  </si>
  <si>
    <t>REGISTRO DE GAVETA BRUTO, LATÃO, ROSCÁVEL, 2 1/2, INSTALADO EM RESERV AÇÃO DE ÁGUA DE EDIFICAÇÃO QUE POSSUA RESERVATÓRIO DE FIBRA/FIBROCIMEN TO  FORNECIMENTO E INSTALAÇÃO. AF_06/2016</t>
  </si>
  <si>
    <t>REGISTRO DE GAVETA BRUTO, LATÃO, ROSCÁVEL, 2, INSTALADO EM RESERVAÇÃO DE ÁGUA DE EDIFICAÇÃO QUE POSSUA RESERVATÓRIO DE FIBRA/FIBROCIMENTO FORNECIMENTO E INSTALAÇÃO. AF_06/2016</t>
  </si>
  <si>
    <t>REGISTRO DE GAVETA BRUTO, LATÃO, ROSCÁVEL, 3, INSTALADO EM RESERVAÇÃO DE ÁGUA DE EDIFICAÇÃO QUE POSSUA RESERVATÓRIO DE FIBRA/FIBROCIMENTO FORNECIMENTO E INSTALAÇÃO. AF_06/2016</t>
  </si>
  <si>
    <t>REGISTRO DE GAVETA BRUTO, LATÃO, ROSCÁVEL, 3/4", COM ACABAMENTO E CANO PLA CROMADOS. FORNECIDO E INSTALADO EM RAMAL DE ÁGUA. AF_12/2014</t>
  </si>
  <si>
    <t>REGISTRO DE GAVETA BRUTO, LATÃO, ROSCÁVEL, 3/4, INSTALADO EM RESERVAÇ ÃO DE ÁGUA DE EDIFICAÇÃO QUE POSSUA RESERVATÓRIO DE FIBRA/FIBROCIMENTO FORNECIMENTO E INSTALAÇÃO. AF_06/2016</t>
  </si>
  <si>
    <t>REGISTRO DE GAVETA BRUTO, LATÃO, ROSCÁVEL, 4, INSTALADO EM RESERVAÇÃO DE ÁGUA DE EDIFICAÇÃO QUE POSSUA RESERVATÓRIO DE FIBRA/FIBROCIMENTO FORNECIMENTO E INSTALAÇÃO. AF_06/2016</t>
  </si>
  <si>
    <t>REGISTRO DE PRESSÃO BRUTO, LATÃO, ROSCÁVEL, 1/2", COM ACABAMENTO E CAN OPLA CROMADOS. FORNECIDO E INSTALADO EM RAMAL DE ÁGUA. AF_12/2014</t>
  </si>
  <si>
    <t>REGISTRO DE PRESSÃO BRUTO, LATÃO, ROSCÁVEL, 1/2", FORNECIDO E INSTALAD O EM RAMAL DE ÁGUA. AF_12/2014</t>
  </si>
  <si>
    <t>REGISTRO DE PRESSÃO BRUTO, LATÃO, ROSCÁVEL, 3/4", COM ACABAMENTO E CAN OPLA CROMADOS. FORNECIDO E INSTALADO EM RAMAL DE ÁGUA. AF_12/2014</t>
  </si>
  <si>
    <t>REGISTRO DE PRESSÃO BRUTO, ROSCÁVEL, 3/4", FORNECIDO E INSTALADO EM RA MAL DE ÁGUA. AF_12/2014</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</si>
  <si>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</si>
  <si>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</si>
  <si>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</si>
  <si>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</si>
  <si>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</si>
  <si>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</si>
  <si>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</si>
  <si>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</si>
  <si>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</si>
  <si>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</si>
  <si>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</si>
  <si>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</si>
  <si>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</si>
  <si>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</si>
  <si>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</si>
  <si>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</si>
  <si>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</si>
  <si>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</si>
  <si>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</si>
  <si>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DE LATAO, 45 GRAUS, D = 2 1/2", PARA HIDRANTES EM INSTALACAO PREDIAL DE INCENDIO</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</si>
  <si>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</si>
  <si>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</si>
  <si>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</si>
  <si>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</si>
  <si>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REGISTRO/VALVULA GLOBO ANGULAR 45 GRAUS EM LATAO PARA HIDRANTES DE INC ÊNDIO PREDIAL DN 2.1/2" - FORNECIMENTO E INSTALACAO</t>
  </si>
  <si>
    <t>REGUA DE ALUMINIO PARA PEDREIRO 2 X 1 "</t>
  </si>
  <si>
    <t>REGUA VIBRADORA DUPLA PARA CONCRETO A GASOLINA 5,5 HP, PESO DE 60 KG, COMPRIMENTO 4 M</t>
  </si>
  <si>
    <t>REGUA VIBRATORIA DE CONCRETO TRELICADA, EQUIPADA COM MOTOR A GASOLINA DE 9 HP</t>
  </si>
  <si>
    <t>RÉGUA VIBRATÓRIA DUPLA PARA CONCRETO, PESO DE 60KG, COMPRIMENTO 4 M, C OM MOTOR A GASOLINA, POTÊNCIA 5,5 HP - CHI DIURNO. AF_09/2016</t>
  </si>
  <si>
    <t>RÉGUA VIBRATÓRIA DUPLA PARA CONCRETO, PESO DE 60KG, COMPRIMENTO 4 M, C OM MOTOR A GASOLINA, POTÊNCIA 5,5 HP - CHP DIURNO. AF_09/2016</t>
  </si>
  <si>
    <t>RÉGUA VIBRATÓRIA DUPLA PARA CONCRETO, PESO DE 60KG, COMPRIMENTO 4 M, C OM MOTOR A GASOLINA, POTÊNCIA 5,5 HP - DEPRECIAÇÃO. AF_09/2016</t>
  </si>
  <si>
    <t>RÉGUA VIBRATÓRIA DUPLA PARA CONCRETO, PESO DE 60KG, COMPRIMENTO 4 M, C OM MOTOR A GASOLINA, POTÊNCIA 5,5 HP - JUROS. AF_09/2016</t>
  </si>
  <si>
    <t>RÉGUA VIBRATÓRIA DUPLA PARA CONCRETO, PESO DE 60KG, COMPRIMENTO 4 M, C OM MOTOR A GASOLINA, POTÊNCIA 5,5 HP - MANUTENÇÃO. AF_09/2016</t>
  </si>
  <si>
    <t>RÉGUA VIBRATÓRIA DUPLA PARA CONCRETO, PESO DE 60KG, COMPRIMENTO 4 M, C OM MOTOR A GASOLINA, POTÊNCIA 5,5 HP  MATERIAIS NA OPERAÇÃO. AF_09/20 16</t>
  </si>
  <si>
    <t>REGULARIZAÇÃO DE SUPERFICIE DE CONCRETO APARENTE</t>
  </si>
  <si>
    <t>REGULARIZACAO DE SUPERFICIES EM TERRA COM MOTONIVELADORA</t>
  </si>
  <si>
    <t>REGULARIZACAO E COMPACTACAO DE SUBLEITO ATE 20 CM DE ESPESSURA</t>
  </si>
  <si>
    <t>REJEITO DE MINERIO DE FERRO PARA PAVIMENTACAO (POSTO PEDREIRA/FORNECEDOR, SEM FRETE)</t>
  </si>
  <si>
    <t>REJUNTAMENTO PAVIMENTACAO PARALELEPIPEDO BETUME CASCALH INCL MATERIAIS</t>
  </si>
  <si>
    <t>REJUNTE BRANCO, CIMENTICIO</t>
  </si>
  <si>
    <t>REJUNTE COLORIDO, CIMENTICIO</t>
  </si>
  <si>
    <t>REJUNTE EPOXI BRANCO</t>
  </si>
  <si>
    <t>REJUNTE EPOXI COR</t>
  </si>
  <si>
    <t>RELE FOTOELETRICO 1000W/220V</t>
  </si>
  <si>
    <t>RELE FOTOELETRICO P/ COMANDO DE ILUMINACAO EXTERNA 220V/1000W - FORNEC IMENTO E INSTALACAO</t>
  </si>
  <si>
    <t>RELE TERMICO BIMETAL PARA USO EM MOTORES TRIFASICOS, TENSAO 380 V, POTENCIA ATE 15 CV, CORRENTE NOMINAL MAXIMA 22 A</t>
  </si>
  <si>
    <t>REMOCAO DE AZULEJO E SUBSTRATO DE ADERENCIA EM ARGAMASSA</t>
  </si>
  <si>
    <t>REMOCAO DE BLOKRET COM EMPILHAMENTO</t>
  </si>
  <si>
    <t>REMOCAO DE CALHAS E CONDUTORES DE AGUAS PLUVIAIS</t>
  </si>
  <si>
    <t>REMOCAO DE DISPOSITIVOS PARA FUNCIONAMENTO DE APARELHOS SANITARIOS</t>
  </si>
  <si>
    <t>REMOCAO DE DISPOSITIVOS PARA FUNCIONAMENTO DE PIA DE COZINHA</t>
  </si>
  <si>
    <t>REMOCAO DE FIACAO ELETRICA</t>
  </si>
  <si>
    <t>REMOCAO DE FORRO DE MADEIRA (LAMBRI) C/ REAPROVEITAMENTO</t>
  </si>
  <si>
    <t>REMOCAO DE PEITORIL EM MARMORE OU GRANITO</t>
  </si>
  <si>
    <t>REMOCAO DE PINTURAS COM JATEAMENTO DE AREIA, EM SUPERFICIES METALICAS</t>
  </si>
  <si>
    <t>REMOCAO DE PISO EM CARPETE</t>
  </si>
  <si>
    <t>REMOCAO DE PISO EM PLACAS DE BORRACHA COLADA</t>
  </si>
  <si>
    <t>REMOCAO DE RODAPE CERAMICO</t>
  </si>
  <si>
    <t>REMOCAO DE TOMADAS OU INTERRUPTORES ELETRICOS</t>
  </si>
  <si>
    <t>REMOCAO DE VIDRO COMUM</t>
  </si>
  <si>
    <t>REMOCAO TUBULACAO FF C/ DN 400 A 600MM EXCLUINDO ESCAVACAO/REATERRO</t>
  </si>
  <si>
    <t>REMOCAO TUBULACAO FF C/ DN 50 A 300MM EXCLUINDO ESCAVACAO/REATERRO</t>
  </si>
  <si>
    <t>REMOCAO TUBULACAO FF C/ DN 700 A 1200MM EXCLUINDO ESCAVACAO/REATERRO</t>
  </si>
  <si>
    <t>REMOVEDOR DE TINTA OLEO/ESMALTE VERNIZ</t>
  </si>
  <si>
    <t>REPARO ESTRUTURAL DE ESTRUTURAS DE CONCRETO COM ARGAMASSA POLIMERICA D E ALTO DESEMPENHO, E=2 CM</t>
  </si>
  <si>
    <t>REPARO/COLAGEM DE ESTRUTURAS DE CONCRETO COM ADESIVO ESTRUTURAL A BASE DE EPOXI, E=2 MM</t>
  </si>
  <si>
    <t>RESINA ACRILICA BASE AGUA - COR BRANCA</t>
  </si>
  <si>
    <t>RESPIRADOR DESCARTAVEL SEM VALVULA DE EXALACAO, PFF 1</t>
  </si>
  <si>
    <t>RETIRADA DE APARELHOS DE ILUMINACAO C/ REAPROVEITAMENTO DE LAMPADAS</t>
  </si>
  <si>
    <t>RETIRADA DE APARELHOS SANITARIOS</t>
  </si>
  <si>
    <t>RETIRADA DE DIVISORIAS EM CHAPAS DE MADEIRA, COM MONTANTES METALICOS</t>
  </si>
  <si>
    <t>RETIRADA DE ESQUADRIAS METALICAS</t>
  </si>
  <si>
    <t>RETIRADA DE ESTRUTURA DE MADEIRA COM TESOURAS PARA TELHAS CERAMICAS OU DE VIDRO</t>
  </si>
  <si>
    <t>RETIRADA DE ESTRUTURA DE MADEIRA PONTALETEADA PARA TELHAS CERAMICAS OU DE VIDRO</t>
  </si>
  <si>
    <t>RETIRADA DE FORRO EM REGUAS DE PVC, INCLUSIVE RETIRADA DE PERFIS</t>
  </si>
  <si>
    <t>RETIRADA DE MEIO FIO C/ EMPILHAMENTO E S/ REMOCAO</t>
  </si>
  <si>
    <t>RETIRADA DE PLACAS DIVISORIAS DE GRANILITE</t>
  </si>
  <si>
    <t>RETIRADA DE TUBULACAO DE FERRO GALVANIZADO S/ ESCAVACAO OU RASGO EM AL VENARIA</t>
  </si>
  <si>
    <t>RETIRADA DE TUBULACAO HIDROSSANITARIA APARENTE COM CONEXOES, Ø 1/2" A 2"</t>
  </si>
  <si>
    <t>RETIRADA DE TUBULACAO HIDROSSANITARIA APARENTE COM CONEXOES, Ø 2 1/2" A 4"</t>
  </si>
  <si>
    <t>RETIRADA DE TUBULACAO HIDROSSANITARIA EMBUTIDA COM CONEXOES Ø 1/2" A 2 "</t>
  </si>
  <si>
    <t>RETIRADA DE TUBULACAO HIDROSSANITARIA EMBUTIDA COM CONEXOES, Ø 2 1/2" A 4"</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</si>
  <si>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</si>
  <si>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</si>
  <si>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</si>
  <si>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RETROESCAVADEIRA SOBRE RODAS COM CARREGADEIRA, TRAÇÃO 4X2, POTÊNCIA LÍ Q. 79 HP, CAÇAMBA CARREG. CAP. MÍN. 1 M3, CAÇAMBA RETRO CAP. 0,20 M3, PESO OPERACIONAL MÍN. 6.570 KG, PROFUNDIDADE ESCAVAÇÃO MÁX. 4,37 M - C HI DIURNO. AF_06/2014</t>
  </si>
  <si>
    <t>RETROESCAVADEIRA SOBRE RODAS COM CARREGADEIRA, TRAÇÃO 4X2, POTÊNCIA LÍ Q. 79 HP, CAÇAMBA CARREG. CAP. MÍN. 1 M3, CAÇAMBA RETRO CAP. 0,20 M3, PESO OPERACIONAL MÍN. 6.570 KG, PROFUNDIDADE ESCAVAÇÃO MÁX. 4,37 M - C HP DIURNO. AF_06/2014</t>
  </si>
  <si>
    <t>RETROESCAVADEIRA SOBRE RODAS COM CARREGADEIRA, TRAÇÃO 4X2, POTÊNCIA LÍ Q. 79 HP, CAÇAMBA CARREG. CAP. MÍN. 1 M3, CAÇAMBA RETRO CAP. 0,20 M3, PESO OPERACIONAL MÍN. 6.570 KG, PROFUNDIDADE ESCAVAÇÃO MÁX. 4,37 M - D EPRECIAÇÃO. AF_06/2014</t>
  </si>
  <si>
    <t>RETROESCAVADEIRA SOBRE RODAS COM CARREGADEIRA, TRAÇÃO 4X2, POTÊNCIA LÍ Q. 79 HP, CAÇAMBA CARREG. CAP. MÍN. 1 M3, CAÇAMBA RETRO CAP. 0,20 M3, PESO OPERACIONAL MÍN. 6.570 KG, PROFUNDIDADE ESCAVAÇÃO MÁX. 4,37 M - J UROS. AF_06/2014</t>
  </si>
  <si>
    <t>RETROESCAVADEIRA SOBRE RODAS COM CARREGADEIRA, TRAÇÃO 4X2, POTÊNCIA LÍ Q. 79 HP, CAÇAMBA CARREG. CAP. MÍN. 1 M3, CAÇAMBA RETRO CAP. 0,20 M3, PESO OPERACIONAL MÍN. 6.570 KG, PROFUNDIDADE ESCAVAÇÃO MÁX. 4,37 M - M ANUTENÇÃO. AF_06/2014</t>
  </si>
  <si>
    <t>RETROESCAVADEIRA SOBRE RODAS COM CARREGADEIRA, TRAÇÃO 4X2, POTÊNCIA LÍ Q. 79 HP, CAÇAMBA CARREG. CAP. MÍN. 1 M3, CAÇAMBA RETRO CAP. 0,20 M3, PESO OPERACIONAL MÍN. 6.570 KG, PROFUNDIDADE ESCAVAÇÃO MÁX. 4,37 M - M ATERIAIS NA OPERAÇÃO. AF_06/2014</t>
  </si>
  <si>
    <t>RETROESCAVADEIRA SOBRE RODAS COM CARREGADEIRA, TRAÇÃO 4X4, POTÊNCIA LÍ Q. 72 HP, CAÇAMBA CARREG. CAP. MÍN. 0,79 M3, CAÇAMBA RETRO CAP. 0,18 M 3, PESO OPERACIONAL MÍN. 7.140 KG, PROFUNDIDADE ESCAVAÇÃO MÁX. 4,50 M - CHI DIURNO. AF_06/2014</t>
  </si>
  <si>
    <t>RETROESCAVADEIRA SOBRE RODAS COM CARREGADEIRA, TRAÇÃO 4X4, POTÊNCIA LÍ Q. 72 HP, CAÇAMBA CARREG. CAP. MÍN. 0,79 M3, CAÇAMBA RETRO CAP. 0,18 M 3, PESO OPERACIONAL MÍN. 7.140 KG, PROFUNDIDADE ESCAVAÇÃO MÁX. 4,50 M - CHP DIURNO. AF_06/2014</t>
  </si>
  <si>
    <t>RETROESCAVADEIRA SOBRE RODAS COM CARREGADEIRA, TRAÇÃO 4X4, POTÊNCIA LÍ Q. 72 HP, CAÇAMBA CARREG. CAP. MÍN. 0,79 M3, CAÇAMBA RETRO CAP. 0,18 M 3, PESO OPERACIONAL MÍN. 7.140 KG, PROFUNDIDADE ESCAVAÇÃO MÁX. 4,50 M - DEPRECIAÇÃO. AF_06/2014</t>
  </si>
  <si>
    <t>RETROESCAVADEIRA SOBRE RODAS COM CARREGADEIRA, TRAÇÃO 4X4, POTÊNCIA LÍ Q. 72 HP, CAÇAMBA CARREG. CAP. MÍN. 0,79 M3, CAÇAMBA RETRO CAP. 0,18 M 3, PESO OPERACIONAL MÍN. 7.140 KG, PROFUNDIDADE ESCAVAÇÃO MÁX. 4,50 M - JUROS. AF_06/2014</t>
  </si>
  <si>
    <t>RETROESCAVADEIRA SOBRE RODAS COM CARREGADEIRA, TRAÇÃO 4X4, POTÊNCIA LÍ Q. 72 HP, CAÇAMBA CARREG. CAP. MÍN. 0,79 M3, CAÇAMBA RETRO CAP. 0,18 M 3, PESO OPERACIONAL MÍN. 7.140 KG, PROFUNDIDADE ESCAVAÇÃO MÁX. 4,50 M - MANUTENÇÃO. AF_06/2014</t>
  </si>
  <si>
    <t>RETROESCAVADEIRA SOBRE RODAS COM CARREGADEIRA, TRAÇÃO 4X4, POTÊNCIA LÍ Q. 72 HP, CAÇAMBA CARREG. CAP. MÍN. 0,79 M3, CAÇAMBA RETRO CAP. 0,18 M 3, PESO OPERACIONAL MÍN. 7.140 KG, PROFUNDIDADE ESCAVAÇÃO MÁX. 4,50 M - MATERIAIS NA OPERAÇÃO. AF_06/2014</t>
  </si>
  <si>
    <t>RETROESCAVADEIRA SOBRE RODAS COM CARREGADEIRA, TRAÇÃO 4X4, POTÊNCIA LÍ Q. 88 HP, CAÇAMBA CARREG. CAP. MÍN. 1 M3, CAÇAMBA RETRO CAP. 0,26 M3, PESO OPERACIONAL MÍN. 6.674 KG, PROFUNDIDADE ESCAVAÇÃO MÁX. 4,37 M - C HI DIURNO. AF_06/2014</t>
  </si>
  <si>
    <t>RETROESCAVADEIRA SOBRE RODAS COM CARREGADEIRA, TRAÇÃO 4X4, POTÊNCIA LÍ Q. 88 HP, CAÇAMBA CARREG. CAP. MÍN. 1 M3, CAÇAMBA RETRO CAP. 0,26 M3, PESO OPERACIONAL MÍN. 6.674 KG, PROFUNDIDADE ESCAVAÇÃO MÁX. 4,37 M - C HP DIURNO. AF_06/2014</t>
  </si>
  <si>
    <t>RETROESCAVADEIRA SOBRE RODAS COM CARREGADEIRA, TRAÇÃO 4X4, POTÊNCIA LÍ Q. 88 HP, CAÇAMBA CARREG. CAP. MÍN. 1 M3, CAÇAMBA RETRO CAP. 0,26 M3, PESO OPERACIONAL MÍN. 6.674 KG, PROFUNDIDADE ESCAVAÇÃO MÁX. 4,37 M - D EPRECIAÇÃO. AF_06/2014</t>
  </si>
  <si>
    <t>RETROESCAVADEIRA SOBRE RODAS COM CARREGADEIRA, TRAÇÃO 4X4, POTÊNCIA LÍ Q. 88 HP, CAÇAMBA CARREG. CAP. MÍN. 1 M3, CAÇAMBA RETRO CAP. 0,26 M3, PESO OPERACIONAL MÍN. 6.674 KG, PROFUNDIDADE ESCAVAÇÃO MÁX. 4,37 M - J UROS. AF_06/2014</t>
  </si>
  <si>
    <t>RETROESCAVADEIRA SOBRE RODAS COM CARREGADEIRA, TRAÇÃO 4X4, POTÊNCIA LÍ Q. 88 HP, CAÇAMBA CARREG. CAP. MÍN. 1 M3, CAÇAMBA RETRO CAP. 0,26 M3, PESO OPERACIONAL MÍN. 6.674 KG, PROFUNDIDADE ESCAVAÇÃO MÁX. 4,37 M - M ANUTENÇÃO. AF_06/2014</t>
  </si>
  <si>
    <t>RETROESCAVADEIRA SOBRE RODAS COM CARREGADEIRA, TRAÇÃO 4X4, POTÊNCIA LÍ Q. 88 HP, CAÇAMBA CARREG. CAP. MÍN. 1 M3, CAÇAMBA RETRO CAP. 0,26 M3, PESO OPERACIONAL MÍN. 6.674 KG, PROFUNDIDADE ESCAVAÇÃO MÁX. 4,37 M - M ATERIAIS NA OPERAÇÃO. AF_06/2014</t>
  </si>
  <si>
    <t>REVESTIMENTO CERÂMICO PARA PAREDES EXTERNAS EM PASTILHAS DE PORCELANA 2,5 X 2,5 CM (PLACAS DE 30 X 30 CM), ALINHADAS A PRUMO, APLICADO EM PA NOS COM VÃOS. AF_10/2014</t>
  </si>
  <si>
    <t>REVESTIMENTO CERÂMICO PARA PAREDES EXTERNAS EM PASTILHAS DE PORCELANA 2,5 X 2,5 CM (PLACAS DE 30 X 30 CM), ALINHADAS A PRUMO, APLICADO EM PA NOS SEM VÃOS. AF_10/2014</t>
  </si>
  <si>
    <t>REVESTIMENTO CERÂMICO PARA PAREDES EXTERNAS EM PASTILHAS DE PORCELANA 2,5 X 2,5 CM (PLACAS DE 30 X 30 CM), ALINHADAS A PRUMO, APLICADO EM SU PERFÍCIES EXTERNAS DA SACADA. AF_10/2014</t>
  </si>
  <si>
    <t>REVESTIMENTO CERÂMICO PARA PAREDES EXTERNAS EM PASTILHAS DE PORCELANA 2,5 X 2,5 CM (PLACAS DE 30 X 30 CM), ALINHADAS A PRUMO, APLICADO EM SU PERFÍCIES INTERNAS DA SACADA. AF_10/2014</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</si>
  <si>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</si>
  <si>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</si>
  <si>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 ÍCIES EXTERNAS DA SACADA. AF_06/2014</t>
  </si>
  <si>
    <t>REVESTIMENTO CERÂMICO PARA PAREDES EXTERNAS EM PASTILHAS DE PORCELANA 5 X 5 CM (PLACAS DE 30 X 30 CM), ALINHADAS A PRUMO, APLICADO EM SUPERF ÍCIES INTERNAS DA SACADA. AF_06/2014</t>
  </si>
  <si>
    <t>REVESTIMENTO CERÂMICO PARA PAREDES INTERNAS COM PLACAS TIPO GRÊS OU SE MI-GRÊS DE DIMENSÕES 20X20 CM APLICADAS EM AMBIENTES DE ÁREA MAIOR QUE 5 M² A MEIA ALTURA DAS PAREDES. AF_06/2014</t>
  </si>
  <si>
    <t>REVESTIMENTO CERÂMICO PARA PAREDES INTERNAS COM PLACAS TIPO GRÊS OU SE MI-GRÊS DE DIMENSÕES 20X20 CM APLICADAS EM AMBIENTES DE ÁREA MAIOR QUE 5 M² NA ALTURA INTEIRA DAS PAREDES. AF_06/2014</t>
  </si>
  <si>
    <t>REVESTIMENTO CERÂMICO PARA PAREDES INTERNAS COM PLACAS TIPO GRÊS OU SE MI-GRÊS DE DIMENSÕES 20X20 CM APLICADAS EM AMBIENTES DE ÁREA MENOR QUE 5 M² A MEIA ALTURA DAS PAREDES. AF_06/2014</t>
  </si>
  <si>
    <t>REVESTIMENTO CERÂMICO PARA PAREDES INTERNAS COM PLACAS TIPO GRÊS OU SE MI-GRÊS DE DIMENSÕES 20X20 CM APLICADAS EM AMBIENTES DE ÁREA MENOR QUE 5 M² NA ALTURA INTEIRA DAS PAREDES. AF_06/2014</t>
  </si>
  <si>
    <t>REVESTIMENTO CERÂMICO PARA PAREDES INTERNAS COM PLACAS TIPO GRÊS OU SE MI-GRÊS DE DIMENSÕES 25X35 CM APLICADAS EM AMBIENTES DE ÁREA MAIOR QUE 5 M² A MEIA ALTURA DAS PAREDES. AF_06/2014</t>
  </si>
  <si>
    <t>REVESTIMENTO CERÂMICO PARA PAREDES INTERNAS COM PLACAS TIPO GRÊS OU SE MI-GRÊS DE DIMENSÕES 25X35 CM APLICADAS EM AMBIENTES DE ÁREA MAIOR QUE 5 M² NA ALTURA INTEIRA DAS PAREDES. AF_06/2014</t>
  </si>
  <si>
    <t>REVESTIMENTO CERÂMICO PARA PAREDES INTERNAS COM PLACAS TIPO GRÊS OU SE MI-GRÊS DE DIMENSÕES 25X35 CM APLICADAS EM AMBIENTES DE ÁREA MENOR QUE 5 M² A MEIA ALTURA DAS PAREDES. AF_06/2014</t>
  </si>
  <si>
    <t>REVESTIMENTO CERÂMICO PARA PAREDES INTERNAS COM PLACAS TIPO GRÊS OU SE MI-GRÊS DE DIMENSÕES 25X35 CM APLICADAS EM AMBIENTES DE ÁREA MENOR QUE 5 M² NA ALTURA INTEIRA DAS PAREDES. AF_06/2014</t>
  </si>
  <si>
    <t>REVESTIMENTO CERÂMICO PARA PAREDES INTERNAS COM PLACAS TIPO GRÊS OU SE MI-GRÊS DE DIMENSÕES 33X45 CM APLICADAS EM AMBIENTES DE ÁREA MAIOR QUE 5 M² A MEIA ALTURA DAS PAREDES. AF_06/2014</t>
  </si>
  <si>
    <t>REVESTIMENTO CERÂMICO PARA PAREDES INTERNAS COM PLACAS TIPO GRÊS OU SE MI-GRÊS DE DIMENSÕES 33X45 CM APLICADAS EM AMBIENTES DE ÁREA MAIOR QUE 5 M² NA ALTURA INTEIRA DAS PAREDES. AF_06/2014</t>
  </si>
  <si>
    <t>REVESTIMENTO CERÂMICO PARA PAREDES INTERNAS COM PLACAS TIPO GRÊS OU SE MI-GRÊS DE DIMENSÕES 33X45 CM APLICADAS EM AMBIENTES DE ÁREA MENOR QUE 5 M² A MEIA ALTURA DAS PAREDES. AF_06/2014</t>
  </si>
  <si>
    <t>REVESTIMENTO CERÂMICO PARA PAREDES INTERNAS COM PLACAS TIPO GRÊS OU SE MI-GRÊS DE DIMENSÕES 33X45 CM APLICADAS EM AMBIENTES DE ÁREA MENOR QUE 5 M² NA ALTURA INTEIRA DAS PAREDES. AF_06/2014</t>
  </si>
  <si>
    <t>REVESTIMENTO CERÂMICO PARA PAREDES INTERNAS COM PLACAS TIPO GRÊS OU SE MI-GRÊS PADRÃO POPULAR DE DIMENSÕES 20X20 CM APLICADAS EM AMBIENTES DE ÁREA MAIOR QUE 5 M2 A MEIA ALTURA DAS PAREDES. AF_06/2014</t>
  </si>
  <si>
    <t>REVESTIMENTO CERÂMICO PARA PAREDES INTERNAS COM PLACAS TIPO GRÊS OU SE MI-GRÊS PADRÃO POPULAR DE DIMENSÕES 20X20 CM APLICADAS EM AMBIENTES DE ÁREA MAIOR QUE 5 M2 NA ALTURA INTEIRA DAS PAREDES. AF_06/2014</t>
  </si>
  <si>
    <t>REVESTIMENTO CERÂMICO PARA PAREDES INTERNAS COM PLACAS TIPO GRÊS OU SE MI-GRÊS PADRÃO POPULAR DE DIMENSÕES 20X20 CM APLICADAS EM AMBIENTES DE ÁREA MENOR QUE 5 M2 A MEIA ALTURA DAS PAREDES. AF_06/2014</t>
  </si>
  <si>
    <t>REVESTIMENTO CERÂMICO PARA PAREDES INTERNAS COM PLACAS TIPO GRÊS OU SE MI-GRÊS PADRÃO POPULAR DE DIMENSÕES 20X20 CM APLICADAS EM AMBIENTES DE ÁREA MENOR QUE 5 M2 NA ALTURA INTEIRA DAS PAREDES. AF_06/2014</t>
  </si>
  <si>
    <t>REVESTIMENTO CERÂMICO PARA PISO COM PLACAS TIPO GRÊS DE DIMENSÕES 35X3 5 CM APLICADA EM AMBIENTES DE ÁREA ENTRE 5 M2 E 10 M2. AF_06/2014</t>
  </si>
  <si>
    <t>REVESTIMENTO CERÂMICO PARA PISO COM PLACAS TIPO GRÊS DE DIMENSÕES 35X3 5 CM APLICADA EM AMBIENTES DE ÁREA MAIOR QUE 10 M2. AF_06/2014</t>
  </si>
  <si>
    <t>REVESTIMENTO CERÂMICO PARA PISO COM PLACAS TIPO GRÊS DE DIMENSÕES 35X3 5 CM APLICADA EM AMBIENTES DE ÁREA MENOR QUE 5 M2. AF_06/2014</t>
  </si>
  <si>
    <t>REVESTIMENTO CERÂMICO PARA PISO COM PLACAS TIPO GRÊS DE DIMENSÕES 45X4 5 CM APLICADA EM AMBIENTES DE ÁREA ENTRE 5 M2 E 10 M2. AF_06/2014</t>
  </si>
  <si>
    <t>REVESTIMENTO CERÂMICO PARA PISO COM PLACAS TIPO GRÊS DE DIMENSÕES 45X4 5 CM APLICADA EM AMBIENTES DE ÁREA MAIOR QUE 10 M2. AF_06/2014</t>
  </si>
  <si>
    <t>REVESTIMENTO CERÂMICO PARA PISO COM PLACAS TIPO GRÊS DE DIMENSÕES 45X4 5 CM APLICADA EM AMBIENTES DE ÁREA MENOR QUE 5 M2. AF_06/2014</t>
  </si>
  <si>
    <t>REVESTIMENTO CERÂMICO PARA PISO COM PLACAS TIPO GRÊS DE DIMENSÕES 60X6 0 CM APLICADA EM AMBIENTES DE ÁREA ENTRE 5 M2 E 10 M2. AF_06/2014</t>
  </si>
  <si>
    <t>REVESTIMENTO CERÂMICO PARA PISO COM PLACAS TIPO GRÊS DE DIMENSÕES 60X6 0 CM APLICADA EM AMBIENTES DE ÁREA MAIOR QUE 10 M2. AF_06/2014</t>
  </si>
  <si>
    <t>REVESTIMENTO CERÂMICO PARA PISO COM PLACAS TIPO GRÊS DE DIMENSÕES 60X6 0 CM APLICADA EM AMBIENTES DE ÁREA MENOR QUE 5 M2. AF_06/2014</t>
  </si>
  <si>
    <t>REVESTIMENTO CERÂMICO PARA PISO COM PLACAS TIPO GRÊS PADRÃO POPULAR DE DIMENSÕES 35X35 CM APLICADA EM AMBIENTES DE ÁREA ENTRE 5 M2 E 10 M2. AF_06/2014</t>
  </si>
  <si>
    <t>REVESTIMENTO CERÂMICO PARA PISO COM PLACAS TIPO GRÊS PADRÃO POPULAR DE DIMENSÕES 35X35 CM APLICADA EM AMBIENTES DE ÁREA MAIOR QUE 10 M2. AF_ 06/2014</t>
  </si>
  <si>
    <t>REVESTIMENTO CERÂMICO PARA PISO COM PLACAS TIPO GRÊS PADRÃO POPULAR DE DIMENSÕES 35X35 CM APLICADA EM AMBIENTES DE ÁREA MENOR QUE 5 M2. AF_0 6/2014</t>
  </si>
  <si>
    <t>REVESTIMENTO CERÂMICO PARA PISO COM PLACAS TIPO PORCELANATO DE DIMENSÕ ES 45X45 CM APLICADA EM AMBIENTES DE ÁREA ENTRE 5 M² E 10 M². AF_06/20 14</t>
  </si>
  <si>
    <t>REVESTIMENTO CERÂMICO PARA PISO COM PLACAS TIPO PORCELANATO DE DIMENSÕ ES 45X45 CM APLICADA EM AMBIENTES DE ÁREA MAIOR QUE 10 M². AF_06/2014</t>
  </si>
  <si>
    <t>REVESTIMENTO CERÂMICO PARA PISO COM PLACAS TIPO PORCELANATO DE DIMENSÕ ES 45X45 CM APLICADA EM AMBIENTES DE ÁREA MENOR QUE 5 M². AF_06/2014</t>
  </si>
  <si>
    <t>REVESTIMENTO CERÂMICO PARA PISO COM PLACAS TIPO PORCELANATO DE DIMENSÕ ES 60X60 CM APLICADA EM AMBIENTES DE ÁREA ENTRE 5 M² E 10 M². AF_06/20 14</t>
  </si>
  <si>
    <t>REVESTIMENTO CERÂMICO PARA PISO COM PLACAS TIPO PORCELANATO DE DIMENSÕ ES 60X60 CM APLICADA EM AMBIENTES DE ÁREA MAIOR QUE 10 M². AF_06/2014</t>
  </si>
  <si>
    <t>REVESTIMENTO CERÂMICO PARA PISO COM PLACAS TIPO PORCELANATO DE DIMENSÕ ES 60X60 CM APLICADA EM AMBIENTES DE ÁREA MENOR QUE 5 M². AF_06/2014</t>
  </si>
  <si>
    <t>REVESTIMENTO DE PAREDE EM GRANILITE, MARMORITE OU GRANITINA - ESP = 5 MM</t>
  </si>
  <si>
    <t>REVESTIMENTO DE PAREDE EM GRANILITE, MARMORITE OU GRANITINA COLORIDO - ESP = 5 MM</t>
  </si>
  <si>
    <t>REVESTIMENTO DE POCOS C/ TUBOS DE CONCRETO</t>
  </si>
  <si>
    <t>REVESTIMENTO DECORATIVO MONOCAMADA APLICADO COM EQUIPAMENTO DE PROJEÇÃ O EM PANOS CEGOS DA FACHADA DE UM EDIFÍCIO DE ALVENARIA ESTRUTURAL, CO M ACABAMENTO RASPADO. AF_06/2014</t>
  </si>
  <si>
    <t>REVESTIMENTO DECORATIVO MONOCAMADA APLICADO COM EQUIPAMENTO DE PROJEÇÃ O EM PANOS CEGOS DA FACHADA DE UM EDIFÍCIO DE ALVENARIA ESTRUTURAL, CO M ACABAMENTO TRAVERTINO. AF_06/2014</t>
  </si>
  <si>
    <t>REVESTIMENTO DECORATIVO MONOCAMADA APLICADO COM EQUIPAMENTO DE PROJEÇÃ O EM PANOS CEGOS DA FACHADA DE UM EDIFÍCIO DE ESTRUTURA CONVENCIONAL, COM ACABAMENTO RASPADO. AF_06/2014</t>
  </si>
  <si>
    <t>REVESTIMENTO DECORATIVO MONOCAMADA APLICADO COM EQUIPAMENTO DE PROJEÇÃ O EM PANOS CEGOS DA FACHADA DE UM EDIFÍCIO DE ESTRUTURA CONVENCIONAL, COM ACABAMENTO TRAVERTINO. AF_06/2014</t>
  </si>
  <si>
    <t>REVESTIMENTO DECORATIVO MONOCAMADA APLICADO COM EQUIPAMENTO DE PROJEÇÃ O EM PANOS DA FACHADA COM PRESENÇA DE VÃOS, DE UM EDIFÍCIO DE ALVENARI A ESTRUTURAL E ACABAMENTO RASPADO. AF_06/2014</t>
  </si>
  <si>
    <t>REVESTIMENTO DECORATIVO MONOCAMADA APLICADO COM EQUIPAMENTO DE PROJEÇÃ O EM PANOS DA FACHADA COM PRESENÇA DE VÃOS, DE UM EDIFÍCIO DE ALVENARI A ESTRUTURAL E ACABAMENTO TRAVERTINO. AF_06/2014</t>
  </si>
  <si>
    <t>REVESTIMENTO DECORATIVO MONOCAMADA APLICADO COM EQUIPAMENTO DE PROJEÇÃ O EM PANOS DA FACHADA COM PRESENÇA DE VÃOS, DE UM EDIFÍCIO DE ESTRUTUR A CONVENCIONAL E ACABAMENTO RASPADO. AF_06/2014</t>
  </si>
  <si>
    <t>REVESTIMENTO DECORATIVO MONOCAMADA APLICADO COM EQUIPAMENTO DE PROJEÇÃ O EM PANOS DA FACHADA COM PRESENÇA DE VÃOS, DE UM EDIFÍCIO DE ESTRUTUR A CONVENCIONAL E ACABAMENTO TRAVERTINO. AF_06/2014</t>
  </si>
  <si>
    <t>REVESTIMENTO DECORATIVO MONOCAMADA APLICADO COM EQUIPAMENTO DE PROJEÇÃ O EM SUPERFÍCIES EXTERNAS DA SACADA DE UM EDIFÍCIO DE ALVENARIA ESTRUT URAL E ACABAMENTO RASPADO. AF_06/2014</t>
  </si>
  <si>
    <t>REVESTIMENTO DECORATIVO MONOCAMADA APLICADO COM EQUIPAMENTO DE PROJEÇÃ O EM SUPERFÍCIES EXTERNAS DA SACADA DE UM EDIFÍCIO DE ALVENARIA ESTRUT URAL E ACABAMENTO TRAVERTINO. AF_06/2014</t>
  </si>
  <si>
    <t>REVESTIMENTO DECORATIVO MONOCAMADA APLICADO COM EQUIPAMENTO DE PROJEÇÃ O EM SUPERFÍCIES EXTERNAS DA SACADA DE UM EDIFÍCIO DE ESTRUTURA CONVEN CIONAL E ACABAMENTO RASPADO. AF_06/2014</t>
  </si>
  <si>
    <t>REVESTIMENTO DECORATIVO MONOCAMADA APLICADO COM EQUIPAMENTO DE PROJEÇÃ O EM SUPERFÍCIES EXTERNAS DA SACADA DE UM EDIFÍCIO DE ESTRUTURA CONVEN CIONAL E ACABAMENTO TRAVERTINO. AF_06/2014</t>
  </si>
  <si>
    <t>REVESTIMENTO DECORATIVO MONOCAMADA APLICADO MANUALMENTE EM PANOS CEGOS DA FACHADA DE UM EDIFÍCIO DE ALVENARIA ESTRUTURAL, COM ACABAMENTO RAS PADO. AF_06/2014</t>
  </si>
  <si>
    <t>REVESTIMENTO DECORATIVO MONOCAMADA APLICADO MANUALMENTE EM PANOS CEGOS DA FACHADA DE UM EDIFÍCIO DE ALVENARIA ESTRUTURAL, COM ACABAMENTO TRA VERTINO. AF_06/2014</t>
  </si>
  <si>
    <t>REVESTIMENTO DECORATIVO MONOCAMADA APLICADO MANUALMENTE EM PANOS CEGOS DA FACHADA DE UM EDIFÍCIO DE ESTRUTURA CONVENCIONAL, COM ACABAMENTO R ASPADO. AF_06/2014</t>
  </si>
  <si>
    <t>REVESTIMENTO DECORATIVO MONOCAMADA APLICADO MANUALMENTE EM PANOS CEGOS DA FACHADA DE UM EDIFÍCIO DE ESTRUTURA CONVENCIONAL, COM ACABAMENTO T RAVERTINO. AF_06/2014</t>
  </si>
  <si>
    <t>REVESTIMENTO DECORATIVO MONOCAMADA APLICADO MANUALMENTE EM PANOS DA FA CHADA COM PRESENÇA DE VÃOS, DE UM EDIFÍCIO DE ALVENARIA ESTRUTURAL E A CABAMENTO RASPADO. AF_06/2014</t>
  </si>
  <si>
    <t>REVESTIMENTO DECORATIVO MONOCAMADA APLICADO MANUALMENTE EM PANOS DA FA CHADA COM PRESENÇA DE VÃOS, DE UM EDIFÍCIO DE ALVENARIA ESTRUTURAL E A CABAMENTO TRAVERTINO. AF_06/2014</t>
  </si>
  <si>
    <t>REVESTIMENTO DECORATIVO MONOCAMADA APLICADO MANUALMENTE EM PANOS DA FA CHADA COM PRESENÇA DE VÃOS, DE UM EDIFÍCIO DE ESTRUTURA CONVENCIONAL E ACABAMENTO RASPADO. AF_06/2014</t>
  </si>
  <si>
    <t>REVESTIMENTO DECORATIVO MONOCAMADA APLICADO MANUALMENTE EM PANOS DA FA CHADA COM PRESENÇA DE VÃOS, DE UM EDIFÍCIO DE ESTRUTURA CONVENCIONAL E ACABAMENTO TRAVERTINO. AF_06/2014</t>
  </si>
  <si>
    <t>REVESTIMENTO DECORATIVO MONOCAMADA APLICADO MANUALMENTE EM SUPERFÍCIES EXTERNAS DA SACADA DE UM EDIFÍCIO DE ALVENARIA ESTRUTURAL E ACABAMENT O RASPADO. AF_06/2014</t>
  </si>
  <si>
    <t>REVESTIMENTO DECORATIVO MONOCAMADA APLICADO MANUALMENTE EM SUPERFÍCIES EXTERNAS DA SACADA DE UM EDIFÍCIO DE ALVENARIA ESTRUTURAL E ACABAMENT O TRAVERTINO. AF_06/2014</t>
  </si>
  <si>
    <t>REVESTIMENTO DECORATIVO MONOCAMADA APLICADO MANUALMENTE EM SUPERFÍCIES EXTERNAS DA SACADA DE UM EDIFÍCIO DE ESTRUTURA CONVENCIONAL E ACABAME NTO RASPADO. AF_06/2014</t>
  </si>
  <si>
    <t>REVESTIMENTO DECORATIVO MONOCAMADA APLICADO MANUALMENTE EM SUPERFÍCIES EXTERNAS DA SACADA DE UM EDIFÍCIO DE ESTRUTURA CONVENCIONAL E ACABAME NTO TRAVERTINO. AF_06/2014</t>
  </si>
  <si>
    <t>REVESTIMENTO DECORATIVO MONOCAMADA APLICADO MANUALMENTE NAS PAREDES IN TERNAS DA SACADA COM ACABAMENTO RASPADO. AF_06/2014</t>
  </si>
  <si>
    <t>REVESTIMENTO DECORATIVO MONOCAMADA APLICADO MANUALMENTE NAS PAREDES IN TERNAS DA SACADA COM ACABAMENTO TRAVERTINO. AF_06/2014</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</si>
  <si>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</si>
  <si>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</si>
  <si>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</si>
  <si>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EM LAMINADO MELAMINICO TEXTURIZADO, ESPESSURA 0,8 MM, FIX ADO COM COLA</t>
  </si>
  <si>
    <t>REVESTIMENTO EPOXI DE ALTA RESISTENCIA QUIMICA, ISENTO DE SOLVENTES, BICOMPONENTE</t>
  </si>
  <si>
    <t>REVESTIMENTO PARA ESCADA EM GRANILITE, MARMORITE OU GRANITINA ESP = 8 MM</t>
  </si>
  <si>
    <t>REVOLVIMENTO E DESTORROAMENTO MANUAL DE SUPERFÍCIE GRAMADA COM PROFUND IDADE ATÉ 20CM</t>
  </si>
  <si>
    <t>RIPA DE MADEIRA APARELHADA *1,5 X 5* CM, MACARANDUBA, ANGELIM OU EQUIVALENTE DA REGIAO</t>
  </si>
  <si>
    <t>RIPA DE MADEIRA NAO APARELHADA *1,5 X 5* CM, MACARANDUBA, ANGELIM OU EQUIVALENTE DA REGIAO</t>
  </si>
  <si>
    <t>RIPA DE MADEIRA NAO APARELHADA 1 X 3* CM, MACARANDUBA, ANGELIM OU EQUIVALENTE DA REGIAO</t>
  </si>
  <si>
    <t>ROCADEIRA COSTAL COM MOTOR A GASOLINA DE *32* CC</t>
  </si>
  <si>
    <t>ROCADEIRA DESLOCAVEL, LARGURA DE TRABALHO DE 1,3 M</t>
  </si>
  <si>
    <t>RODAFORRO EM PVC, PARA FORRO DE PVC, COMPRIMENTO 6 M</t>
  </si>
  <si>
    <t>RODAPE ARDOSIA, CINZA, 10 CM, E= *1CM</t>
  </si>
  <si>
    <t>RODAPE BORRACHA LISO, ALTURA = 7CM, ESPESSURA = 2 MM, PARA ARGAMASSA</t>
  </si>
  <si>
    <t>RODAPÉ CERÂMICO DE 7CM DE ALTURA COM PLACAS TIPO GRÊS DE DIMENSÕES 35X 35CM. AF_06/2014</t>
  </si>
  <si>
    <t>RODAPÉ CERÂMICO DE 7CM DE ALTURA COM PLACAS TIPO GRÊS DE DIMENSÕES 45X 45CM. AF_06/2014</t>
  </si>
  <si>
    <t>RODAPÉ CERÂMICO DE 7CM DE ALTURA COM PLACAS TIPO GRÊS DE DIMENSÕES 60X 60CM. AF_06/2014</t>
  </si>
  <si>
    <t>RODAPE DE BORRACHA LISO, H = 70 MM, E = *2* MM, PARA ARGAMASSA, PRETO</t>
  </si>
  <si>
    <t>RODAPE DE MADEIRA MACICA CUMARU/IPE CHAMPANHE OU EQUIVALENTE DA REGIAO, *1,5 X 7 CM</t>
  </si>
  <si>
    <t>RODAPE EM ARDOSIA ASSENTADO COM ARGAMASSA TRACO 1:4 (CIMENTO E AREIA) ALTURA 10CM</t>
  </si>
  <si>
    <t>RODAPE EM MADEIRA, ALTURA 7CM, FIXADO COM COLA</t>
  </si>
  <si>
    <t>RODAPE EM MADEIRA, ALTURA 7CM, FIXADO EM PECAS DE MADEIRA</t>
  </si>
  <si>
    <t>RODAPE EM MARMORE BRANCO ASSENTADO COM ARGAMASSA TRACO 1:4 (CIMENTO E AREIA) ALTURA 7CM</t>
  </si>
  <si>
    <t>RODAPE EM MARMORE, POLIDO, BRANCO COMUM, L= *7* CM, E=  *2* CM, CORTE RETO</t>
  </si>
  <si>
    <t>RODAPE EM MARMORITE, ALTURA 10CM</t>
  </si>
  <si>
    <t>RODAPE GRANITO 10 X 2CM</t>
  </si>
  <si>
    <t>RODAPE PLANO PARA PISO VINILICO, H = 5 CM</t>
  </si>
  <si>
    <t>RODAPE PRE-MOLDADO DE GRANILITE, MARMORITE OU GRANITINA L = 10 CM</t>
  </si>
  <si>
    <t>RODAPE VINILICO ALTURA 5CM, ESPESSURA 1MM, FIXADO COM COLA</t>
  </si>
  <si>
    <t>RODATETO EM MADEIRA DE LEI NATIVA/REGIONAL 1,5 X 5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</si>
  <si>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</si>
  <si>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</si>
  <si>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</si>
  <si>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</si>
  <si>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</si>
  <si>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(7 PNEUS), ESTATICO, PRESSAO VARIAVEL, POTENCIA 130CV, PESO OPERACIONAL SEM/COM LASTRO 8,5/25 T, LARGURA DE ROLAGEM 2,28 M</t>
  </si>
  <si>
    <t>ROLO COMPACTADOR DE PNEUS ESTÁTICO, PRESSÃO VARIÁVEL, POTÊNCIA 111 HP, PESO SEM/COM LASTRO 9,5 / 26 T, LARGURA DE TRABALHO 1,90 M - CHI DIUR NO. AF_07/2014</t>
  </si>
  <si>
    <t>ROLO COMPACTADOR DE PNEUS ESTÁTICO, PRESSÃO VARIÁVEL, POTÊNCIA 111 HP, PESO SEM/COM LASTRO 9,5 / 26 T, LARGURA DE TRABALHO 1,90 M - CHP DIUR NO. AF_07/2014</t>
  </si>
  <si>
    <t>ROLO COMPACTADOR DE PNEUS ESTÁTICO, PRESSÃO VARIÁVEL, POTÊNCIA 111 HP, PESO SEM/COM LASTRO 9,5 / 26 T, LARGURA DE TRABALHO 1,90 M - DEPRECIA ÇÃO. AF_07/2014</t>
  </si>
  <si>
    <t>ROLO COMPACTADOR DE PNEUS ESTÁTICO, PRESSÃO VARIÁVEL, POTÊNCIA 111 HP, PESO SEM/COM LASTRO 9,5 / 26 T, LARGURA DE TRABALHO 1,90 M - JUROS. A F_07/2014</t>
  </si>
  <si>
    <t>ROLO COMPACTADOR DE PNEUS ESTÁTICO, PRESSÃO VARIÁVEL, POTÊNCIA 111 HP, PESO SEM/COM LASTRO 9,5 / 26 T, LARGURA DE TRABALHO 1,90 M - MANUTENÇ ÃO. AF_07/2014</t>
  </si>
  <si>
    <t>ROLO COMPACTADOR DE PNEUS ESTÁTICO, PRESSÃO VARIÁVEL, POTÊNCIA 111 HP, PESO SEM/COM LASTRO 9,5 / 26 T, LARGURA DE TRABALHO 1,90 M - MATERIAI S NA OPERAÇÃO. AF_07/2014</t>
  </si>
  <si>
    <t>ROLO COMPACTADOR DE PNEUS ESTÁTICO, PRESSÃO VARIÁVEL, POTÊNCIA 99 HP, PESO SEM/COM LASTRO 9,45 / 21,0 T, LARGURA DE ROLAGEM 2,265 M - CHI DI URNO. AF_02/2016</t>
  </si>
  <si>
    <t>ROLO COMPACTADOR DE PNEUS ESTÁTICO, PRESSÃO VARIÁVEL, POTÊNCIA 99 HP, PESO SEM/COM LASTRO 9,45 / 21,0 T, LARGURA DE ROLAGEM 2,265 M - CHP DI URNO. AF_02/2016</t>
  </si>
  <si>
    <t>ROLO COMPACTADOR DE PNEUS ESTÁTICO, PRESSÃO VARIÁVEL, POTÊNCIA 99 HP, PESO SEM/COM LASTRO 9,45 / 21,0 T, LARGURA DE ROLAGEM 2,265 M - DEPREC IAÇÃO. AF_02/2016</t>
  </si>
  <si>
    <t>ROLO COMPACTADOR DE PNEUS ESTÁTICO, PRESSÃO VARIÁVEL, POTÊNCIA 99 HP, PESO SEM/COM LASTRO 9,45 / 21,0 T, LARGURA DE ROLAGEM 2,265 M - JUROS. AF_02/2016</t>
  </si>
  <si>
    <t>ROLO COMPACTADOR DE PNEUS ESTÁTICO, PRESSÃO VARIÁVEL, POTÊNCIA 99 HP, PESO SEM/COM LASTRO 9,45 / 21,0 T, LARGURA DE ROLAGEM 2,265 M - MANUTE NÇÃO. AF_02/2016</t>
  </si>
  <si>
    <t>ROLO COMPACTADOR DE PNEUS ESTÁTICO, PRESSÃO VARIÁVEL, POTÊNCIA 99 HP, PESO SEM/COM LASTRO 9,45 / 21,0 T, LARGURA DE ROLAGEM 2,265 M - MATERI AIS NA OPERAÇÃO. AF_02/2016</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</si>
  <si>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</si>
  <si>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</si>
  <si>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DE PNEUS, ESTATICO, PRESSAO VARIAVEL, POTENCIA 99 HP, PESO SEM/COM LASTRO 9,45/21,0 T, LARGURA DE ROLAGEM 2,265 M</t>
  </si>
  <si>
    <t>ROLO COMPACTADOR PE DE CARNEIRO VIBRATORIO PARA SOLOS, POTENCIA 110 HP, PESO OPERACIONAL MAXIMO 13,05 T, IMPACTO DINAMICO 38,4 T, LARGURA DE TRABALHO 2,13 M</t>
  </si>
  <si>
    <t>ROLO COMPACTADOR PE DE CARNEIRO VIBRATORIO, POTENCIA 125 HP, PESO OPER ACIONAL SEM/COM LASTRO 11,95 / 13,30 T, IMPACTO DINAMICO 38,5 / 22,5 T , LARGURA DE TRABALHO 2,15 M - CHI DIURNO. AF_06/2014</t>
  </si>
  <si>
    <t>ROLO COMPACTADOR PE DE CARNEIRO VIBRATORIO, POTENCIA 125 HP, PESO OPER ACIONAL SEM/COM LASTRO 11,95 / 13,30 T, IMPACTO DINAMICO 38,5 / 22,5 T , LARGURA DE TRABALHO 2,15 M - CHP DIURNO. AF_06/2014</t>
  </si>
  <si>
    <t>ROLO COMPACTADOR PE DE CARNEIRO VIBRATORIO, POTENCIA 125 HP, PESO OPER ACIONAL SEM/COM LASTRO 11,95 / 13,30 T, IMPACTO DINAMICO 38,5 / 22,5 T , LARGURA DE TRABALHO 2,15 M - DEPRECIAÇÃO. AF_06/2014</t>
  </si>
  <si>
    <t>ROLO COMPACTADOR PE DE CARNEIRO VIBRATORIO, POTENCIA 125 HP, PESO OPER ACIONAL SEM/COM LASTRO 11,95 / 13,30 T, IMPACTO DINAMICO 38,5 / 22,5 T , LARGURA DE TRABALHO 2,15 M - JUROS. AF_06/2014</t>
  </si>
  <si>
    <t>ROLO COMPACTADOR PE DE CARNEIRO VIBRATORIO, POTENCIA 125 HP, PESO OPER ACIONAL SEM/COM LASTRO 11,95 / 13,30 T, IMPACTO DINAMICO 38,5 / 22,5 T , LARGURA DE TRABALHO 2,15 M - MANUTENÇÃO. AF_06/2014</t>
  </si>
  <si>
    <t>ROLO COMPACTADOR PE DE CARNEIRO VIBRATORIO, POTENCIA 125 HP, PESO OPER ACIONAL SEM/COM LASTRO 11,95 / 13,30 T, IMPACTO DINAMICO 38,5 / 22,5 T , LARGURA DE TRABALHO 2,15 M - MATERIAIS NA OPERAÇÃO. AF_06/2014</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</si>
  <si>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</si>
  <si>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</si>
  <si>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VIBRATÓRIO DE UM CILINDRO AÇO LISO, POTÊNCIA 80 HP, P ESO OPERACIONAL MÁXIMO 8,1 T, IMPACTO DINÂMICO 16,15 / 9,5 T, LARGURA DE TRABALHO 1,68 M - CHI DIURNO. AF_06/2014</t>
  </si>
  <si>
    <t>ROLO COMPACTADOR VIBRATÓRIO DE UM CILINDRO AÇO LISO, POTÊNCIA 80 HP, P ESO OPERACIONAL MÁXIMO 8,1 T, IMPACTO DINÂMICO 16,15 / 9,5 T, LARGURA DE TRABALHO 1,68 M - CHP DIURNO. AF_06/2014</t>
  </si>
  <si>
    <t>ROLO COMPACTADOR VIBRATÓRIO DE UM CILINDRO AÇO LISO, POTÊNCIA 80 HP, P ESO OPERACIONAL MÁXIMO 8,1 T, IMPACTO DINÂMICO 16,15 / 9,5 T, LARGURA DE TRABALHO 1,68 M - DEPRECIAÇÃO. AF_06/2014</t>
  </si>
  <si>
    <t>ROLO COMPACTADOR VIBRATÓRIO DE UM CILINDRO AÇO LISO, POTÊNCIA 80 HP, P ESO OPERACIONAL MÁXIMO 8,1 T, IMPACTO DINÂMICO 16,15 / 9,5 T, LARGURA DE TRABALHO 1,68 M - JUROS. AF_06/2014</t>
  </si>
  <si>
    <t>ROLO COMPACTADOR VIBRATÓRIO DE UM CILINDRO AÇO LISO, POTÊNCIA 80 HP, P ESO OPERACIONAL MÁXIMO 8,1 T, IMPACTO DINÂMICO 16,15 / 9,5 T, LARGURA DE TRABALHO 1,68 M - MANUTENÇÃO. AF_06/2014</t>
  </si>
  <si>
    <t>ROLO COMPACTADOR VIBRATÓRIO DE UM CILINDRO AÇO LISO, POTÊNCIA 80 HP, P ESO OPERACIONAL MÁXIMO 8,1 T, IMPACTO DINÂMICO 16,15 / 9,5 T, LARGURA DE TRABALHO 1,68 M - MATERIAIS NA OPERAÇÃO. AF_06/2014</t>
  </si>
  <si>
    <t>ROLO COMPACTADOR VIBRATORIO DE UM CILINDRO DE ACO LISO, POTENCIA 80 HP, PESO SEM/COM LASTRO DE 7,4/8,1 T, LARGURA DE TRABALHO 1,676 M</t>
  </si>
  <si>
    <t>ROLO COMPACTADOR VIBRATORIO DE UM CILINDRO LISO DE ACO, POTENCIA 110 HP, PESO OPERACIONAL 13,3 T, LARGURA TRABALHO 2,13 M</t>
  </si>
  <si>
    <t>ROLO COMPACTADOR VIBRATORIO DE UM CILINDRO LISO DE ACO, POTENCIA 125 HP, PESO SEM/COM LASTRO 10,75/12,92 T, IMPACTO DINAMICO 31,5/18,5 T, LARGURA TRABALHO 2,15 M</t>
  </si>
  <si>
    <t>ROLO COMPACTADOR VIBRATORIO DE UM CILINDRO LISO DE ACO, POTENCIA 80 HP , PESO OPERACIONAL MAXIMO 8,5 T, LARGURA TRABALHO 1,676 M - CHI DIURNO . AF_06/2014</t>
  </si>
  <si>
    <t>ROLO COMPACTADOR VIBRATORIO DE UM CILINDRO LISO DE ACO, POTENCIA 80 HP , PESO OPERACIONAL MAXIMO 8,5 T, LARGURA TRABALHO 1,676 M - CHP DIURNO . AF_06/2014</t>
  </si>
  <si>
    <t>ROLO COMPACTADOR VIBRATORIO DE UM CILINDRO LISO DE ACO, POTENCIA 80 HP , PESO OPERACIONAL MAXIMO 8,5 T, LARGURA TRABALHO 1,676 M - DEPRECIAÇÃ O. AF_06/2014</t>
  </si>
  <si>
    <t>ROLO COMPACTADOR VIBRATORIO DE UM CILINDRO LISO DE ACO, POTENCIA 80 HP , PESO OPERACIONAL MAXIMO 8,5 T, LARGURA TRABALHO 1,676 M - JUROS. AF_ 06/2014</t>
  </si>
  <si>
    <t>ROLO COMPACTADOR VIBRATORIO DE UM CILINDRO LISO DE ACO, POTENCIA 80 HP , PESO OPERACIONAL MAXIMO 8,5 T, LARGURA TRABALHO 1,676 M - MANUTENÇÃO . AF_06/2014</t>
  </si>
  <si>
    <t>ROLO COMPACTADOR VIBRATORIO DE UM CILINDRO LISO DE ACO, POTENCIA 80 HP , PESO OPERACIONAL MAXIMO 8,5 T, LARGURA TRABALHO 1,676 M - MATERIAIS NA OPERAÇÃO. AF_06/2014</t>
  </si>
  <si>
    <t>ROLO COMPACTADOR VIBRATORIO DE UM CILINDRO LISO DE ACO, POTENCIA 80 HP, PESO OPERACIONAL MAXIMO 8,5 T,  LARGURA TRABALHO 1,676 M</t>
  </si>
  <si>
    <t>ROLO COMPACTADOR VIBRATORIO DE UM CILINDRO, ACO LISO, POTENCIA 80 HP, PESO OPERACIONAL MAXIMO 8,1 T, IMPACTO DINAMICO 16,15/9,5 T, LARGURA TRABALHO 1,68 M</t>
  </si>
  <si>
    <t>ROLO COMPACTADOR VIBRATÓRIO PÉ DE CARNEIRO PARA SOLOS, POTÊNCIA 80 HP, PESO OPERACIONAL SEM/COM LASTRO 7,4 / 8,8 T, LARGURA DE TRABALHO 1,68 M - CHI DIURNO.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</si>
  <si>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</si>
  <si>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</si>
  <si>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</si>
  <si>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MANUTENÇÃO. AF_02/2016</t>
  </si>
  <si>
    <t>ROLO COMPACTADOR VIBRATÓRIO PÉ DE CARNEIRO PARA SOLOS, POTÊNCIA 80 HP, PESO OPERACIONAL SEM/COM LASTRO 7,4 / 8,8 T, LARGURA DE TRABALHO 1,68 M - MATERIAIS NA OPERAÇÃO. AF_02/2016</t>
  </si>
  <si>
    <t>ROLO COMPACTADOR VIBRATORIO PE DE CARNEIRO, COM CONTROLE REMOTO POR RADIO, POTENCIA  12,5 KW, PESO OPERACIONAL DE 1,675 T, LARGURA DE TRABALHO 0,85 M</t>
  </si>
  <si>
    <t>ROLO COMPACTADOR VIBRATÓRIO PÉ DE CARNEIRO, OPERADO POR CONTROLE REMOT O, POTÊNCIA 12,5 KW, PESO OPERACIONAL 1,675 T, LARGURA DE TRABALHO 0,8 5 M - CHI DIURNO. AF_02/2016</t>
  </si>
  <si>
    <t>ROLO COMPACTADOR VIBRATÓRIO PÉ DE CARNEIRO, OPERADO POR CONTROLE REMOT O, POTÊNCIA 12,5 KW, PESO OPERACIONAL 1,675 T, LARGURA DE TRABALHO 0,8 5 M - CHP DIURNO. AF_02/2016</t>
  </si>
  <si>
    <t>ROLO COMPACTADOR VIBRATÓRIO PÉ DE CARNEIRO, OPERADO POR CONTROLE REMOT O, POTÊNCIA 12,5 KW, PESO OPERACIONAL 1,675 T, LARGURA DE TRABALHO 0,8 5 M - DEPRECIAÇÃO. AF_02/2016</t>
  </si>
  <si>
    <t>ROLO COMPACTADOR VIBRATÓRIO PÉ DE CARNEIRO, OPERADO POR CONTROLE REMOT O, POTÊNCIA 12,5 KW, PESO OPERACIONAL 1,675 T, LARGURA DE TRABALHO 0,8 5 M - JUROS. AF_02/2016</t>
  </si>
  <si>
    <t>ROLO COMPACTADOR VIBRATÓRIO PÉ DE CARNEIRO, OPERADO POR CONTROLE REMOT O, POTÊNCIA 12,5 KW, PESO OPERACIONAL 1,675 T, LARGURA DE TRABALHO 0,8 5 M - MANUTENÇÃO. AF_02/2016</t>
  </si>
  <si>
    <t>ROLO COMPACTADOR VIBRATÓRIO PÉ DE CARNEIRO, OPERADO POR CONTROLE REMOT O, POTÊNCIA 12,5 KW, PESO OPERACIONAL 1,675 T, LARGURA DE TRABALHO 0,8 5 M - MATERIAIS NA OPERAÇÃO. AF_02/2016</t>
  </si>
  <si>
    <t>ROLO COMPACTADOR VIBRATÓRIO REBOCÁVEL, CILINDRO DE AÇO LISO, POTÊNCIA DE TRAÇÃO DE 65 CV, PESO 4,7 T, IMPACTO DINÂMICO 18,3 T, LARGURA DE TR ABALHO 1,67 M - CHI DIURNO. AF_02/2016</t>
  </si>
  <si>
    <t>ROLO COMPACTADOR VIBRATÓRIO REBOCÁVEL, CILINDRO DE AÇO LISO, POTÊNCIA DE TRAÇÃO DE 65 CV, PESO 4,7 T, IMPACTO DINÂMICO 18,3 T, LARGURA DE TR ABALHO 1,67 M - CHP DIURNO. AF_02/2016</t>
  </si>
  <si>
    <t>ROLO COMPACTADOR VIBRATÓRIO REBOCÁVEL, CILINDRO DE AÇO LISO, POTÊNCIA DE TRAÇÃO DE 65 CV, PESO 4,7 T, IMPACTO DINÂMICO 18,3 T, LARGURA DE TR ABALHO 1,67 M - DEPRECIAÇÃO. AF_02/2016</t>
  </si>
  <si>
    <t>ROLO COMPACTADOR VIBRATÓRIO REBOCÁVEL, CILINDRO DE AÇO LISO, POTÊNCIA DE TRAÇÃO DE 65 CV, PESO 4,7 T, IMPACTO DINÂMICO 18,3 T, LARGURA DE TR ABALHO 1,67 M - JUROS. AF_02/2016</t>
  </si>
  <si>
    <t>ROLO COMPACTADOR VIBRATÓRIO REBOCÁVEL, CILINDRO DE AÇO LISO, POTÊNCIA DE TRAÇÃO DE 65 CV, PESO 4,7 T, IMPACTO DINÂMICO 18,3 T, LARGURA DE TR ABALHO 1,67 M - MANUTENÇÃO. AF_02/2016</t>
  </si>
  <si>
    <t>ROLO COMPACTADOR VIBRATORIO REBOCAVEL, CILINDRO DE ACO LISO, POTENCIA DE TRACAO DE 65 CV, PESO DE 4,7 T, IMPACTO DINAMICO TOTAL DE 18,3 T, LARGURA DO ROLO 1,67 M</t>
  </si>
  <si>
    <t>ROLO COMPACTADOR VIBRATÓRIO TANDEM AÇO LISO, POTÊNCIA 58 HP, PESO SEM/ COM LASTRO 6,5 / 9,4 T, LARGURA DE TRABALHO 1,2 M - CHI DIURNO. AF_06/ 2014</t>
  </si>
  <si>
    <t>ROLO COMPACTADOR VIBRATÓRIO TANDEM AÇO LISO, POTÊNCIA 58 HP, PESO SEM/ COM LASTRO 6,5 / 9,4 T, LARGURA DE TRABALHO 1,2 M - CHP DIURNO. AF_06/ 2014</t>
  </si>
  <si>
    <t>ROLO COMPACTADOR VIBRATÓRIO TANDEM AÇO LISO, POTÊNCIA 58 HP, PESO SEM/ COM LASTRO 6,5 / 9,4 T, LARGURA DE TRABALHO 1,2 M - DEPRECIAÇÃO. AF_06 /2014</t>
  </si>
  <si>
    <t>ROLO COMPACTADOR VIBRATÓRIO TANDEM AÇO LISO, POTÊNCIA 58 HP, PESO SEM/ COM LASTRO 6,5 / 9,4 T, LARGURA DE TRABALHO 1,2 M - JUROS. AF_06/2014</t>
  </si>
  <si>
    <t>ROLO COMPACTADOR VIBRATÓRIO TANDEM AÇO LISO, POTÊNCIA 58 HP, PESO SEM/ COM LASTRO 6,5 / 9,4 T, LARGURA DE TRABALHO 1,2 M - MANUTENÇÃO. AF_06/ 2014</t>
  </si>
  <si>
    <t>ROLO COMPACTADOR VIBRATÓRIO TANDEM AÇO LISO, POTÊNCIA 58 HP, PESO SEM/ COM LASTRO 6,5 / 9,4 T, LARGURA DE TRABALHO 1,2 M - MATERIAIS NA OPERA ÇÃO. AF_06/2014</t>
  </si>
  <si>
    <t>ROLO COMPACTADOR VIBRATORIO TANDEM, ACO LISO, POTENCIA 125 HP, PESO SEM/COM LASTRO 10,20/11,65 T, LARGURA DE TRABALHO 1,73 M</t>
  </si>
  <si>
    <t>ROLO COMPACTADOR VIBRATORIO TANDEM, ACO LISO, POTENCIA 15,2 HP, PESO OPERACIONAL 2,00 T, IMPACTO DINAMICO 4,24 T</t>
  </si>
  <si>
    <t>ROLO COMPACTADOR VIBRATORIO TANDEM, ACO LISO, POTENCIA 31 HP, PESO OPERACIONAL MAXIMO 2,46 T</t>
  </si>
  <si>
    <t>ROLO COMPACTADOR VIBRATORIO TANDEM, ACO LISO, POTENCIA 45 HP, PESO OPERACIONAL MAXIMO 4,0 T</t>
  </si>
  <si>
    <t>ROLO COMPACTADOR VIBRATORIO TANDEM, ACO LISO, POTENCIA 58 CV, PESO SEM/COM LASTRO 6,5/9,4 T, LARGURA DE TRABALHO 1,20 M</t>
  </si>
  <si>
    <t>ROLO COMPACTADOR VIBRATORIO TANDEM, CILINDROS EM ACO LISO, POTENCIA 23,5 HP, PESO OPERACIONAL 1,665 T, LARGURA DE TRABALHO 0,9 M</t>
  </si>
  <si>
    <t>ROLO COMPACTADOR VIBRATÓRIO TANDEM, CILINDROS LISOS DE AÇO PARA SOLO/A SFALTO, POTÊNCIA 45 HP, PESO MÁXIMO OPERACIONAL 4 T - CHI DIURNO. AF_0 2/2016</t>
  </si>
  <si>
    <t>ROLO COMPACTADOR VIBRATÓRIO TANDEM, CILINDROS LISOS DE AÇO PARA SOLO/A SFALTO, POTÊNCIA 45 HP, PESO MÁXIMO OPERACIONAL 4 T - CHP DIURNO. AF_0 2/2016</t>
  </si>
  <si>
    <t>ROLO COMPACTADOR VIBRATÓRIO TANDEM, CILINDROS LISOS DE AÇO PARA SOLO/A SFALTO, POTÊNCIA 45 HP, PESO MÁXIMO OPERACIONAL 4 T - DEPRECIAÇÃO. AF_ 02/2016</t>
  </si>
  <si>
    <t>ROLO COMPACTADOR VIBRATÓRIO TANDEM, CILINDROS LISOS DE AÇO PARA SOLO/A SFALTO, POTÊNCIA 45 HP, PESO MÁXIMO OPERACIONAL 4 T - JUROS. AF_02/201 6</t>
  </si>
  <si>
    <t>ROLO COMPACTADOR VIBRATÓRIO TANDEM, CILINDROS LISOS DE AÇO PARA SOLO/A SFALTO, POTÊNCIA 45 HP, PESO MÁXIMO OPERACIONAL 4 T - MANUTENÇÃO. AF_0 2/2016</t>
  </si>
  <si>
    <t>ROLO COMPACTADOR VIBRATÓRIO TANDEM, CILINDROS LISOS DE AÇO PARA SOLO/A SFALTO, POTÊNCIA 45 HP, PESO MÁXIMO OPERACIONAL 4 T - MATERIAIS NA OPE RAÇÃO. AF_02/2016</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</si>
  <si>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</si>
  <si>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</si>
  <si>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</si>
  <si>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</si>
  <si>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</si>
  <si>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RUFO EM CHAPA DE AÇO GALVANIZADO NÚMERO 24, CORTE DE 25 CM, INCLUSO TR ANSPORTE VERTICAL. AF_06/2016</t>
  </si>
  <si>
    <t>RUFO EM FIBROCIMENTO PARA TELHA ONDULADA E = 6 MM, ABA DE 26 CM, INCLU SO TRANSPORTE VERTICAL. AF_06/2016</t>
  </si>
  <si>
    <t>RUFO EXTERNO DE CHAPA DE ACO GALVANIZADA NUM 26, CORTE 25 CM</t>
  </si>
  <si>
    <t>RUFO EXTERNO DE CHAPA DE ACO GALVANIZADA NUM 26, CORTE 28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</si>
  <si>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</si>
  <si>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</si>
  <si>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</si>
  <si>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</si>
  <si>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</si>
  <si>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</si>
  <si>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SOBREPOR (FIXADA NA PAREDE), TIPO CONCHA, EM ACO INOXID AVEL - FORNECIMENTO E INSTALACAO</t>
  </si>
  <si>
    <t>SABONETEIRA PLASTICA TIPO DISPENSER PARA SABONETE LIQUIDO COM RESERVATORIO 800 A 1500 ML</t>
  </si>
  <si>
    <t>SACO DE RAFIA PARA ENTULHO, NOVO, LISO (SEM CLICHE), *60 x 90* CM</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</si>
  <si>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</si>
  <si>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</si>
  <si>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</si>
  <si>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</si>
  <si>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</si>
  <si>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7* CM, MACARANDUBA, ANGELIM OU EQUIVALENTE DA REGIAO</t>
  </si>
  <si>
    <t>SARRAFO DE MADEIRA NAO APARELHADA 2,5 X 5 CM, MACARANDUBA, ANGELIM OU EQUIVALENTE DA REGIAO</t>
  </si>
  <si>
    <t>SECCIONADOR TRIPOLAR 15KV/400A ACIONAM SIMULT PUNHO MANOBRA (COMANDO) - FORNECIMENTO E INSTALACAO</t>
  </si>
  <si>
    <t>SECCIONADOR TRIPOLAR 15KV/400A ACIONAM SIMULT VARA MANOBRA (MANOBRA) - FORNECIMENTO E INSTALACAO</t>
  </si>
  <si>
    <t>SEGURO - HORISTA (ENCARGOS COMPLEMENTARES) (COLETADO CAIXA)</t>
  </si>
  <si>
    <t>SEGURO - MENSALISTA (ENCARGOS COMPLEMENTARES)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</si>
  <si>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</si>
  <si>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</si>
  <si>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</si>
  <si>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</si>
  <si>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</si>
  <si>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</si>
  <si>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</si>
  <si>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</si>
  <si>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SELIM COMPACTO EM PVC, SEM TRAVAS,  DN 150 X 100 MM, PARA REDE COLETORA ESGOTO (NBR 10569)</t>
  </si>
  <si>
    <t>SELIM COMPACTO EM PVC, SEM TRAVAS,  DN 200 X 100 MM, PARA REDE COLETORA ESGOTO (NBR 10569)</t>
  </si>
  <si>
    <t>SELIM COMPACTO EM PVC, SEM TRAVAS,  DN 300 X 100 MM, PARA REDE COLETORA ESGOTO (NBR 10569)</t>
  </si>
  <si>
    <t>SELIM PVC, COM TRAVAS, JE, 90 GRAUS,  DN 125 X 100 MM, PARA REDE COLETORA ESGOTO (NBR 10569)</t>
  </si>
  <si>
    <t>SELIM PVC, COM TRAVAS, JE, 90 GRAUS,  DN 150 X 100 MM, PARA REDE COLETORA ESGOTO (NBR 10569)</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</si>
  <si>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</si>
  <si>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</si>
  <si>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</si>
  <si>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</si>
  <si>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</si>
  <si>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</si>
  <si>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SERRA CIRCULAR DE BANCADA COM MOTOR ELÉTRICO POTÊNCIA DE 5HP, COM COIF A PARA DISCO 10" - CHI DIURNO. AF_08/2015</t>
  </si>
  <si>
    <t>SERRA CIRCULAR DE BANCADA COM MOTOR ELÉTRICO POTÊNCIA DE 5HP, COM COIF A PARA DISCO 10" - CHP DIURNO. AF_08/2015</t>
  </si>
  <si>
    <t>SERRA CIRCULAR DE BANCADA COM MOTOR ELÉTRICO POTÊNCIA DE 5HP, COM COIF A PARA DISCO 10" - DEPRECIAÇÃO. AF_08/2015</t>
  </si>
  <si>
    <t>SERRA CIRCULAR DE BANCADA COM MOTOR ELÉTRICO POTÊNCIA DE 5HP, COM COIF A PARA DISCO 10" - JUROS. AF_08/2015</t>
  </si>
  <si>
    <t>SERRA CIRCULAR DE BANCADA COM MOTOR ELÉTRICO POTÊNCIA DE 5HP, COM COIF A PARA DISCO 10" - MANUTENÇÃO. AF_08/2015</t>
  </si>
  <si>
    <t>SERRA CIRCULAR DE BANCADA COM MOTOR ELÉTRICO POTÊNCIA DE 5HP, COM COIF A PARA DISCO 10" - MATERIAIS NA OPERAÇÃO. AF_08/2015</t>
  </si>
  <si>
    <t>SERRA CIRCULAR DE BANCADA COM MOTOR ELETRICO, POTENCIA DE *1600* W, PARA DISCO DE DIAMETRO DE 10" (250 MM)</t>
  </si>
  <si>
    <t>SERRA CIRCULAR DE BANCADA, MODELO PICA-PAU, DIAMETRO DE 350 MM. CARACTERISTICAS DO MOTOR: TRIFASICO, POTENCIA DE 5 HP, FREQUENCIA DE 60 HZ</t>
  </si>
  <si>
    <t>SERRALHEIRO (MENSALISTA)</t>
  </si>
  <si>
    <t>SERVENTE DE OBRAS (MENSALISTA)</t>
  </si>
  <si>
    <t>SERVICO DE BOMBEAMENTO DE CONCRETO COM CONSUMO MINIMO DE 40 M3</t>
  </si>
  <si>
    <t>SERVICOS TOPOGRAFICOS PARA PAVIMENTACAO, INCLUSIVE NOTA DE SERVICOS, A COMPANHAMENTO E GREIDE</t>
  </si>
  <si>
    <t>SIFÃO DO TIPO FLEXÍVEL EM PVC 1 X 1.1/2 - FORNECIMENTO E INSTALAÇÃO. AF_12/2013</t>
  </si>
  <si>
    <t>SIFÃO DO TIPO GARRAFA EM METAL CROMADO 1 X 1.1/2" - FORNECIMENTO E INS TALAÇÃO. AF_12/2013</t>
  </si>
  <si>
    <t>SIFÃO DO TIPO GARRAFA/COPO EM PVC 1.1/4 X 1.1/2" - FORNECIMENTO E INS TALAÇÃO. AF_12/2013</t>
  </si>
  <si>
    <t>SIFAO EM METAL CROMADO PARA PIA AMERICANA, 1.1/2 X 1.1/2 "</t>
  </si>
  <si>
    <t>SIFAO EM METAL CROMADO PARA PIA AMERICANA, 1.1/2 X 2 "</t>
  </si>
  <si>
    <t>SIFAO EM METAL CROMADO PARA PIA OU LAVATORIO, 1 X 1.1/2 "</t>
  </si>
  <si>
    <t>SIFAO EM METAL CROMADO PARA TANQUE, 1.1/4 X 1.1/2 "</t>
  </si>
  <si>
    <t>SIFAO PLASTICO EXTENSIVEL PARA LAVATORIO 1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</si>
  <si>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</si>
  <si>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</si>
  <si>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</si>
  <si>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</si>
  <si>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</si>
  <si>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</si>
  <si>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</si>
  <si>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SINALIZACAO DE TRANSITO - NOTURNA</t>
  </si>
  <si>
    <t>SINALIZACAO HORIZONTAL COM TINTA RETRORREFLETIVA A BASE DE RESINA ACRI LICA COM MICROESFERAS DE VIDRO</t>
  </si>
  <si>
    <t>SINALIZADOR NOTURNO SIMPLES PARA PARA-RAIOS, SEM RELE FOTOELETRICO</t>
  </si>
  <si>
    <t>SISTEMA DE FORMAS MANUSEAVEIS DE ALUMINIO, PARA BLOCO RESID. COM PAREDES DE CONCRETO MOLDADAS IN LOCO, EM CONFORMIDADE COM O ORCAMENTO REF. 9672: BLOCO COM 4 PAV. E 4 UNIDADES POR PAV., UNIDADE HABITACIONALCOM 48 M2 E 2 QUARTOS; TELHA DE FIBROCIMENTO (COLETADO CAIXA)</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</si>
  <si>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</si>
  <si>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SODA CAUSTICA EM ESCAMAS</t>
  </si>
  <si>
    <t>SOLDA DE TOPO DESCENDENTE, EM CHAPA ACO CHANFR 3/8" ESP (P/ ASSENT TUB ULACAO OU PECA DE ACO) UTILIZANDO CONVERSOR DIESEL</t>
  </si>
  <si>
    <t>SOLDA DE TOPO DESCENDENTE, EM CHAPA ACO CHANFR 5/16" ESP (P/ ASSENT TU BULACAO OU PECA DE ACO) UTILIZANDO CONVERSOR DIESEL.</t>
  </si>
  <si>
    <t>SOLDA EM VARETA FOSCOPER, D = *2,5* MM  X COMPRIMENTO 500 MM</t>
  </si>
  <si>
    <t>SOLDA TOPO DESCENDENTE CHANFRADA ESPESSURA=1/4" CHAPA/PERFIL/TUBO ACO COM CONVERSOR DIESEL.</t>
  </si>
  <si>
    <t>SOLDADOR (MENSALISTA)</t>
  </si>
  <si>
    <t>SOLDADOR A (PARA SOLDA A SER TESTADA COM RAIOS "X") COM ENCARGOS COMPL</t>
  </si>
  <si>
    <t>SOLDADOR ELETRICO (PARA SOLDA A SER TESTADA COM RAIOS "X") (MENSALISTA)</t>
  </si>
  <si>
    <t>SOLEIRA / TABEIRA EM MARMORE BRANCO COMUM, POLIDO, LARGURA 5 CM, ESPES SURA 2 CM, ASSENTADA COM ARGAMASSA COLANTE</t>
  </si>
  <si>
    <t>SOLEIRA DE MARMORE BRANCO, LARGURA 15CM, ESPESSURA 3CM, ASSENTADA SOBR E ARGAMASSA TRACO 1:4 (CIMENTO E AREIA)</t>
  </si>
  <si>
    <t>SOLEIRA GRANITO 15 X 3CM</t>
  </si>
  <si>
    <t>SOLEIRA PRE-MOLDADA EM GRANILITE, MARMORITE OU GRANITINA, L = *15 CM</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</si>
  <si>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</si>
  <si>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</si>
  <si>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</si>
  <si>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</si>
  <si>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</si>
  <si>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</si>
  <si>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</si>
  <si>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</si>
  <si>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</si>
  <si>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</si>
  <si>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</si>
  <si>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</si>
  <si>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</si>
  <si>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</si>
  <si>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</si>
  <si>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</si>
  <si>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</si>
  <si>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CROMADO, 1/2" - 15 MM</t>
  </si>
  <si>
    <t>SUBCOBERTURA COM MANTA PLÁSTICA REVESTIDA POR PELÍCULA DE ALUMÍNO, INC LUSO TRANSPORTE VERTICAL. AF_06/2016</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</si>
  <si>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</si>
  <si>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</si>
  <si>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</si>
  <si>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</si>
  <si>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</si>
  <si>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</si>
  <si>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</si>
  <si>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SUMIDOURO EM ALVENARIA DE TIJOLO CERAMICO MACICO DIAMETRO 1,20M E ALTU RA 5,00M, COM TAMPA EM CONCRETO ARMADO DIAMETRO 1,40M E ESPESSURA 10CM</t>
  </si>
  <si>
    <t>SUMIDOURO EM ALVENARIA DE TIJOLO CERAMICO MACIÇO DIAMETRO 1,40M E ALTU RA 5,00M, COM TAMPA EM CONCRETO ARMADO DIAMETRO 1,60M E ESPESSURA 10CM</t>
  </si>
  <si>
    <t>SUPORTE APOIO CAIXA D AGUA BARROTES MADEIRA DE 1</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</si>
  <si>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</si>
  <si>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</si>
  <si>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</si>
  <si>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</si>
  <si>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</si>
  <si>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</si>
  <si>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</si>
  <si>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</si>
  <si>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</si>
  <si>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</si>
  <si>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SUPORTE PARAFUSADO COM PLACA DE ENCAIXE 4" X 2" ALTO (2,00 M DO PISO) PARA PONTO ELÉTRICO - FORNECIMENTO E INSTALAÇÃO. AF_12/2015</t>
  </si>
  <si>
    <t>SUPORTE PARAFUSADO COM PLACA DE ENCAIXE 4" X 2" BAIXO (0,30 M DO PISO) PARA PONTO ELÉTRICO - FORNECIMENTO E INSTALAÇÃO. AF_12/2015</t>
  </si>
  <si>
    <t>SUPORTE PARAFUSADO COM PLACA DE ENCAIXE 4" X 2" MÉDIO (1,30 M DO PISO) PARA PONTO ELÉTRICO - FORNECIMENTO E INSTALAÇÃO. AF_12/2015</t>
  </si>
  <si>
    <t>SUPORTE PARAFUSADO COM PLACA DE ENCAIXE 4" X 4" ALTO (2,00 M DO PISO) PARA PONTO ELÉTRICO - FORNECIMENTO E INSTALAÇÃO. AF_12/2015</t>
  </si>
  <si>
    <t>SUPORTE PARAFUSADO COM PLACA DE ENCAIXE 4" X 4" BAIXO (0,30 M DO PISO) PARA PONTO ELÉTRICO - FORNECIMENTO E INSTALAÇÃO. AF_12/2015</t>
  </si>
  <si>
    <t>SUPORTE PARAFUSADO COM PLACA DE ENCAIXE 4" X 4" MÉDIO (1,30 M DO PISO) PARA PONTO ELÉTRICO - FORNECIMENTO E INSTALAÇÃO. AF_12/2015</t>
  </si>
  <si>
    <t>TABEIRA DE MADEIRA LEI, 1A QUALIDADE, 2,5X30,0CM PARA BEIRAL DE TELHAD 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</si>
  <si>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</si>
  <si>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</si>
  <si>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</si>
  <si>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</si>
  <si>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</si>
  <si>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</si>
  <si>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MADEIRA 2A QUALIDADE 2,5 X 20,0CM (1 X 8") NAO APARELHADA</t>
  </si>
  <si>
    <t>TABUA MADEIRA 2A QUALIDADE 2,5 X 30,0CM (1 X 12") NAO APARELHADA</t>
  </si>
  <si>
    <t>TABUA MADEIRA 3A QUALIDADE 2,5 X 23,0CM (1 X 9") NAO APARELHADA</t>
  </si>
  <si>
    <t>TABUA MADEIRA 3A QUALIDADE 2,5 X 30,0CM (1 X 12 ) NAO APARELHADA</t>
  </si>
  <si>
    <t>TABUA MADEIRA 3A QUALIDADE 2,5 X 30CM (1 X 12 ) NAO APARELHADA</t>
  </si>
  <si>
    <t>TACO DE MADEIRA PARA PISO, IPE (CERNE) OU EQUIVALENTE DA REGIAO, 7 X 42 CM, E = 2 CM</t>
  </si>
  <si>
    <t>TALABARTE DE SEGURANCA, 2 MOSQUETOES TRAVA DUPLA *53* MM DE ABERTURA, COM ABSORVEDOR DE ENERGIA</t>
  </si>
  <si>
    <t>TALHA ELETRICA 3 T, VELOCIDADE  2,1 M / MIN, POTENCIA 1,3 KW</t>
  </si>
  <si>
    <t>TALHA ELETRICA 3 T, VELOCIDADE  2,1 M / MIN, POTENCIA 1,3 KW - (LOCACAO)</t>
  </si>
  <si>
    <t>TALHA MANUAL DE CORRENTE, CAPACIDADE DE 1 T COM ELEVACAO DE 3 M</t>
  </si>
  <si>
    <t>TALHA MANUAL DE CORRENTE, CAPACIDADE DE 2 T COM ELEVACAO DE 3 M</t>
  </si>
  <si>
    <t>TALHA MANUAL DE CORRENTE, CAPACIDADE DE 2 T COM ELEVACAO DE 3 M - (LOCACAO)</t>
  </si>
  <si>
    <t>TALHA MANUAL DE CORRENTE, CAPACIDADE DE 2 TON. COM ELEVAÇÃO DE 3 M - C HI DIURNO. AF_07/2016</t>
  </si>
  <si>
    <t>TALHA MANUAL DE CORRENTE, CAPACIDADE DE 2 TON. COM ELEVAÇÃO DE 3 M - C HP DIURNO. AF_07/2016</t>
  </si>
  <si>
    <t>TALHA MANUAL DE CORRENTE, CAPACIDADE DE 2 TON. COM ELEVAÇÃO DE 3 M - D EPRECIAÇÃO. AF_07/2016</t>
  </si>
  <si>
    <t>TALHA MANUAL DE CORRENTE, CAPACIDADE DE 2 TON. COM ELEVAÇÃO DE 3 M - J UROS. AF_07/2016</t>
  </si>
  <si>
    <t>TALHA MANUAL DE CORRENTE, CAPACIDADE DE 2 TON. COM ELEVAÇÃO DE 3 M - M ANUTENÇÃO. AF_07/2016</t>
  </si>
  <si>
    <t>TALHADEIRA COM PUNHO DE PROTECAO *20 X 250* MM</t>
  </si>
  <si>
    <t>TAMPA CEGA EM PVC PARA CONDULETE 4 X 2"</t>
  </si>
  <si>
    <t>TAMPA DE CONCRETO PARA PV OU CAIXA DE INSPECAO, DIMENSOES 600 X 600 X 50 MM</t>
  </si>
  <si>
    <t>TAMPA EM CONCRETO ARMADO 60X60X5CM P/CX INSPECAO/FOSSA SEPTICA</t>
  </si>
  <si>
    <t>TAMPA PARA CONDULETE, EM PVC, COM 1 MODULO RJ</t>
  </si>
  <si>
    <t>TAMPA PARA CONDULETE, EM PVC, COM 1 OU 2 OU 3 POSTOS PARA INTERRUPTOR</t>
  </si>
  <si>
    <t>TAMPA PARA CONDULETE, EM PVC, COM 2 MODULOS RJ</t>
  </si>
  <si>
    <t>TAMPA PARA CONDULETE, EM PVC, COM TOMADA HEXAGONAL</t>
  </si>
  <si>
    <t>TAMPAO COM CORRENTE, EM LATAO, ENGATE RAPIDO 1 1/2", PARA INSTALACAO PREDIAL DE COMBATE A INCENDIO</t>
  </si>
  <si>
    <t>TAMPAO COM CORRENTE, EM LATAO, ENGATE RAPIDO 2 1/2", PARA INSTALACAO PREDIAL DE COMBATE A INCENDIO</t>
  </si>
  <si>
    <t>TAMPAO COMPLETO PARA TIL, EM PVC,  DN 100 MM, PARA REDE COLETORA DE ESGOTO</t>
  </si>
  <si>
    <t>TAMPAO COMPLETO PARA TIL, EM PVC,  DN 150 MM, PARA REDE COLETORA DE ESGOTO</t>
  </si>
  <si>
    <t>TAMPAO COMPLETO PARA TIL, EM PVC,  DN 200 MM, PARA REDE COLETORA DE ESGOTO</t>
  </si>
  <si>
    <t>TAMPAO COMPLETO PARA TIL, EM PVC,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</si>
  <si>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</si>
  <si>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</si>
  <si>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 0 MM, REDE PLUVIAL/ESGOTO, P = CHAMINE CX AREIA / POCO VISITA ASSENTAD O COM ARG CIM/AREIA 1:4, FORNECIMENTO E ASSENTAMENTO</t>
  </si>
  <si>
    <t>TAMPAO FOFO ARTICULADO, CLASSE B125 CARGA MAX 12,5 T, REDONDO TAMPA 600 MM, REDE PLUVIAL/ESGOTO</t>
  </si>
  <si>
    <t>TAMPAO FOFO ARTICULADO, CLASSE D400 CARGA MAX 40 T, REDONDO TAMPA *600 MM, REDE PLUVIAL/ESGOTO</t>
  </si>
  <si>
    <t>TAMPAO FOFO P/ CAIXA R1 PADRAO TELEBRAS COMPLETO - FORNECIMENTO E INST ALACAO</t>
  </si>
  <si>
    <t>TAMPAO FOFO P/ CAIXA R2 PADRAO TELEBRAS COMPLETO - FORNECIMENTO E INST ALACAO</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</si>
  <si>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</si>
  <si>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</si>
  <si>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</si>
  <si>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</si>
  <si>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</si>
  <si>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</si>
  <si>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</si>
  <si>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</si>
  <si>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</si>
  <si>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</si>
  <si>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</si>
  <si>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</si>
  <si>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TAMPAO/TERMINAL 1 1/4" P/ DUTOS TP KANAFLEX</t>
  </si>
  <si>
    <t>TAMPAO/TERMINAL 2" P/ DUTOS TP KANAFLEX</t>
  </si>
  <si>
    <t>TAMPAO/TERMINAL 3" P/ DUTOS TP KANAFLEX</t>
  </si>
  <si>
    <t>TAMPAO/TERMINAL 4" P/ DUTOS TP KANAFLEX</t>
  </si>
  <si>
    <t>TAMPAO/TERMINAL 5" P/ DUTOS TP KANAFLEX</t>
  </si>
  <si>
    <t>TAMPAO/TERMINAL 6" P/ DUTOS TP KANAFLEX</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</si>
  <si>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</si>
  <si>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</si>
  <si>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</si>
  <si>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</si>
  <si>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</si>
  <si>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</si>
  <si>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</si>
  <si>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ESTACIONÁRIO COM MAÇARICO, CAPACIDADE 20.000 L - CHI DIURNO. AF_06/2014</t>
  </si>
  <si>
    <t>TANQUE DE ASFALTO ESTACIONÁRIO COM MAÇARICO, CAPACIDADE 20.000 L - CHP DIURNO. AF_06/2014</t>
  </si>
  <si>
    <t>TANQUE DE ASFALTO ESTACIONÁRIO COM MAÇARICO, CAPACIDADE 20.000 L - DEP RECIAÇÃO. AF_06/2014</t>
  </si>
  <si>
    <t>TANQUE DE ASFALTO ESTACIONÁRIO COM MAÇARICO, CAPACIDADE 20.000 L - JUR OS. AF_06/2014</t>
  </si>
  <si>
    <t>TANQUE DE ASFALTO ESTACIONÁRIO COM MAÇARICO, CAPACIDADE 20.000 L - MAN UTENÇÃO. AF_06/2014</t>
  </si>
  <si>
    <t>TANQUE DE ASFALTO ESTACIONÁRIO COM MAÇARICO, CAPACIDADE 20.000 L - MAT ERIAIS NA OPERAÇÃO. AF_06/2014</t>
  </si>
  <si>
    <t>TANQUE DE ASFALTO ESTACIONARIO COM SERPENTINA, CAPACIDADE 20.000 L</t>
  </si>
  <si>
    <t>TANQUE DE ASFALTO ESTACIONARIO COM SERPENTINA, CAPACIDADE 30.000 L</t>
  </si>
  <si>
    <t>TANQUE DE ASFALTO ESTACIONÁRIO COM SERPENTINA, CAPACIDADE 30.000 L - C HI DIURNO. AF_06/2014</t>
  </si>
  <si>
    <t>TANQUE DE ASFALTO ESTACIONÁRIO COM SERPENTINA, CAPACIDADE 30.000 L - C HP DIURNO. AF_06/2014</t>
  </si>
  <si>
    <t>TANQUE DE ASFALTO ESTACIONÁRIO COM SERPENTINA, CAPACIDADE 30.000 L - D EPRECIAÇÃO. AF_06/2014</t>
  </si>
  <si>
    <t>TANQUE DE ASFALTO ESTACIONÁRIO COM SERPENTINA, CAPACIDADE 30.000 L - J UROS. AF_06/2014</t>
  </si>
  <si>
    <t>TANQUE DE ASFALTO ESTACIONÁRIO COM SERPENTINA, CAPACIDADE 30.000 L - M ANUTENÇÃO. AF_06/2014</t>
  </si>
  <si>
    <t>TANQUE DE ASFALTO ESTACIONÁRIO COM SERPENTINA, CAPACIDADE 30.000 L - M ATERIAIS NA OPERAÇÃO. AF_06/2014</t>
  </si>
  <si>
    <t>TANQUE DE LAVAR ROUPAS EM CONCRETO PRE-MOLDADO, 1 BOCA, COM APOIO/PES, DE *60 X 65 X 80* CM (L X P X A)</t>
  </si>
  <si>
    <t>TANQUE DE LOUÇA BRANCA COM COLUNA, 30L OU EQUIVALENTE - FORNECIMENTO E INSTALAÇÃO. AF_12/2013</t>
  </si>
  <si>
    <t>TANQUE DE LOUÇA BRANCA COM COLUNA, 30L OU EQUIVALENTE, INCLUSO SIFÃO F LEXÍVEL EM PVC, VÁLVULA METÁLICA E TORNEIRA DE METAL CROMADO PADRÃO MÉ DIO - FORNECIMENTO E INSTALAÇÃO. AF_12/2013</t>
  </si>
  <si>
    <t>TANQUE DE LOUÇA BRANCA COM COLUNA, 30L OU EQUIVALENTE, INCLUSO SIFÃO F LEXÍVEL EM PVC, VÁLVULA PLÁSTICA E TORNEIRA DE METAL CROMADO PADRÃO PO PULAR - FORNECIMENTO E INSTALAÇÃO. AF_12/2013_P</t>
  </si>
  <si>
    <t>TANQUE DE LOUÇA BRANCA COM COLUNA, 30L OU EQUIVALENTE, INCLUSO SIFÃO F LEXÍVEL EM PVC, VÁLVULA PLÁSTICA E TORNEIRA DE PLÁSTICO - FORNECIMENTO E INSTALAÇÃO. AF_12/2013</t>
  </si>
  <si>
    <t>TANQUE DE LOUÇA BRANCA SUSPENSO, 18L OU EQUIVALENTE - FORNECIMENTO E I NSTALAÇÃO. AF_12/2013</t>
  </si>
  <si>
    <t>TANQUE DE LOUÇA BRANCA SUSPENSO, 18L OU EQUIVALENTE, INCLUSO SIFÃO TIP O GARRAFA EM METAL CROMADO, VÁLVULA METÁLICA E TORNEIRA DE METAL CROMA DO PADRÃO MÉDIO - FORNECIMENTO E INSTALAÇÃO. AF_12/2013</t>
  </si>
  <si>
    <t>TANQUE DE LOUÇA BRANCA SUSPENSO, 18L OU EQUIVALENTE, INCLUSO SIFÃO TIP O GARRAFA EM PVC, VÁLVULA PLÁSTICA E TORNEIRA DE METAL CROMADO PADRÃO POPULAR - FORNECIMENTO E INSTALAÇÃO. AF_12/2013</t>
  </si>
  <si>
    <t>TANQUE DE LOUÇA BRANCA SUSPENSO, 18L OU EQUIVALENTE, INCLUSO SIFÃO TIP O GARRAFA EM PVC, VÁLVULA PLÁSTICA E TORNEIRA DE PLÁSTICO - FORNECIMEN TO E INSTALAÇÃO. AF_12/2013</t>
  </si>
  <si>
    <t>TANQUE DE MÁRMORE SINTÉTICO COM COLUNA, 22L OU EQUIVALENTE  FORNECIME NTO E INSTALAÇÃO. AF_12/2013</t>
  </si>
  <si>
    <t>TANQUE DE MÁRMORE SINTÉTICO COM COLUNA, 22L OU EQUIVALENTE, INCLUSO SI FÃO FLEXÍVEL EM PVC, VÁLVULA PLÁSTICA E TORNEIRA DE METAL CROMADO PADR ÃO POPULAR - FORNECIMENTO E INSTALAÇÃO. AF_12/2013</t>
  </si>
  <si>
    <t>TANQUE DE MÁRMORE SINTÉTICO COM COLUNA, 22L OU EQUIVALENTE, INCLUSO SI FÃO FLEXÍVEL EM PVC, VÁLVULA PLÁSTICA E TORNEIRA DE PLÁSTICO - FORNECI MENTO E INSTALAÇÃO. AF_12/2013</t>
  </si>
  <si>
    <t>TANQUE DE MÁRMORE SINTÉTICO SUSPENSO, 22L OU EQUIVALENTE - FORNECIMENT O E INSTALAÇÃO. AF_12/2013</t>
  </si>
  <si>
    <t>TANQUE DE MÁRMORE SINTÉTICO SUSPENSO, 22L OU EQUIVALENTE, INCLUSO SIFÃ O FLEXÍVEL EM PVC, VÁLVULA PLÁSTICA E TORNEIRA DE METAL CROMADO PADRÃO POPULAR - FORNECIMENTO E INSTALAÇÃO. AF_12/2013</t>
  </si>
  <si>
    <t>TANQUE DE MÁRMORE SINTÉTICO SUSPENSO, 22L OU EQUIVALENTE, INCLUSO SIFÃ O FLEXÍVEL EM PVC, VÁLVULA PLÁSTICA E TORNEIRA DE PLÁSTICO - FORNECIME NTO E INSTALAÇÃO. AF_12/2013</t>
  </si>
  <si>
    <t>TANQUE DE MÁRMORE SINTÉTICO SUSPENSO, 22L OU EQUIVALENTE, INCLUSO SIFÃ O TIPO GARRAFA EM PVC, VÁLVULA PLÁSTICA E TORNEIRA DE METAL CROMADO PA DRÃO POPULAR - FORNECIMENTO E INSTALAÇÃO. AF_12/2013</t>
  </si>
  <si>
    <t>TANQUE DE MÁRMORE SINTÉTICO SUSPENSO, 22L OU EQUIVALENTE, INCLUSO SIFÃ O TIPO GARRAFA EM PVC, VÁLVULA PLÁSTICA E TORNEIRA DE PLÁSTICO - FORNE CIMENTO E INSTALAÇÃO. AF_12/2013</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</si>
  <si>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</si>
  <si>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</si>
  <si>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</si>
  <si>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</si>
  <si>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</si>
  <si>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</si>
  <si>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TAPUME DE CHAPA DE MADEIRA COMPENSADA, E= 6MM, COM PINTURA A CAL E REA PROVEITAMENTO DE 2X</t>
  </si>
  <si>
    <t>TAQUEADOR OU TAQUEIRO (MENSALISTA)</t>
  </si>
  <si>
    <t>TARIFA "A" ENTRE  0 E 20M3 FORNECIMENTO D'AGUA</t>
  </si>
  <si>
    <t>TARIFA DE ENERGIA ELETRICA COMERCIAL, BAIXA TENSAO, RELATIVA AO CONSUMO DE ATE 100 KWH, INCLUINDO ICMS, PIS/PASEP E COFINS</t>
  </si>
  <si>
    <t>TARJETA TIPO LIVRE / OCUPADO, CROMADA, PARA PORTA DE BANHEIRO</t>
  </si>
  <si>
    <t>TÊ COM BUCHA DE LATÃO NA BOLSA CENTRAL, PVC, SOLDÁVEL, DN  25 MM X 3/4 , INSTALADO EM RESERVAÇÃO DE ÁGUA DE EDIFICAÇÃO QUE POSSUA RESERVATÓR IO DE FIBRA/FIBROCIMENTO   FORNECIMENTO E INSTALAÇÃO. AF_06/2016</t>
  </si>
  <si>
    <t>TÊ COM BUCHA DE LATÃO NA BOLSA CENTRAL, PVC, SOLDÁVEL, DN 20MM X 1/2, INSTALADO EM RAMAL OU SUB-RAMAL DE ÁGUA - FORNECIMENTO E INSTALAÇÃO. AF_12/2014</t>
  </si>
  <si>
    <t>TÊ COM BUCHA DE LATÃO NA BOLSA CENTRAL, PVC, SOLDÁVEL, DN 25MM X 1/2, INSTALADO EM PRUMADA DE ÁGUA - FORNECIMENTO E INSTALAÇÃO. AF_12/2014</t>
  </si>
  <si>
    <t>TÊ COM BUCHA DE LATÃO NA BOLSA CENTRAL, PVC, SOLDÁVEL, DN 25MM X 1/2, INSTALADO EM RAMAL DE DISTRIBUIÇÃO DE ÁGUA - FORNECIMENTO E INSTALAÇÃ 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</si>
  <si>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</si>
  <si>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</si>
  <si>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TÊ COM BUCHA DE LATÃO NA BOLSA CENTRAL, PVC, SOLDÁVEL, DN 32MM X 3/4, INSTALADO EM PRUMADA DE ÁGUA - FORNECIMENTO E INSTALAÇÃO. AF_12/2014</t>
  </si>
  <si>
    <t>TÊ COM BUCHA DE LATÃO NA BOLSA CENTRAL, PVC, SOLDÁVEL, DN 32MM X 3/4, INSTALADO EM RAMAL DE DISTRIBUIÇÃO DE ÁGUA - FORNECIMENTO E INSTALAÇÃ O. AF_12/2014</t>
  </si>
  <si>
    <t>TÊ COM BUCHA DE LATÃO NA BOLSA CENTRAL, PVC, SOLDÁVEL, DN 32MM X 3/4, INSTALADO EM RAMAL OU SUB-RAMAL DE ÁGUA - FORNECIMENTO E INSTALAÇÃO. AF_12/2014</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</si>
  <si>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</si>
  <si>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</si>
  <si>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</si>
  <si>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</si>
  <si>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</si>
  <si>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</si>
  <si>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</si>
  <si>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</si>
  <si>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ACO GALVANIZADO 4" - FORNECIMENTO E INSTALACAO</t>
  </si>
  <si>
    <t>TE DE ACO GALVANIZADO 5" - FORNECIMENTO E INSTALACAO</t>
  </si>
  <si>
    <t>TE DE ACO GALVANIZADO 6" - FORNECIMENTO E INSTALACAO</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</si>
  <si>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</si>
  <si>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</si>
  <si>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</si>
  <si>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</si>
  <si>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</si>
  <si>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</si>
  <si>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</si>
  <si>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</si>
  <si>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</si>
  <si>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COBRE, SEM ANEL DE SOLDA, DN 15 MM, INSTALADO EM RAMAL DE DISTRI BUIÇÃO - FORNECIMENTO E INSTALAÇÃO. AF_12/2015_P</t>
  </si>
  <si>
    <t>TE DE COBRE, SEM ANEL DE SOLDA, DN 15 MM, INSTALADO EM RAMAL E SUB-RAM AL - FORNECIMENTO E INSTALAÇÃO. AF_12/2015_P</t>
  </si>
  <si>
    <t>TE DE COBRE, SEM ANEL DE SOLDA, DN 22 MM, INSTALADO EM PRUMADA - FORNE CIMENTO E INSTALAÇÃO. AF_12/2015_P</t>
  </si>
  <si>
    <t>TE DE COBRE, SEM ANEL DE SOLDA, DN 22 MM, INSTALADO EM RAMAL DE DISTRI BUIÇÃO - FORNECIMENTO E INSTALAÇÃO. AF_12/2015_P</t>
  </si>
  <si>
    <t>TE DE COBRE, SEM ANEL DE SOLDA, DN 22 MM, INSTALADO EM RAMAL E SUB-RAM AL - FORNECIMENTO E INSTALAÇÃO. AF_12/2015_P</t>
  </si>
  <si>
    <t>TE DE COBRE, SEM ANEL DE SOLDA, DN 28 MM, INSTALADO EM PRUMADA - FORNE CIMENTO E INSTALAÇÃO. AF_12/2015_P</t>
  </si>
  <si>
    <t>TE DE COBRE, SEM ANEL DE SOLDA, DN 28 MM, INSTALADO EM RAMAL DE DISTRI BUIÇÃO - FORNECIMENTO E INSTALAÇÃO. AF_12/2015_P</t>
  </si>
  <si>
    <t>TE DE COBRE, SEM ANEL DE SOLDA, DN 28 MM, INSTALADO EM RAMAL E SUB-RAM AL - FORNECIMENTO E INSTALAÇÃO. AF_12/2015_P</t>
  </si>
  <si>
    <t>TE DE COBRE, SEM ANEL DE SOLDA, DN 35 MM, INSTALADO EM PRUMADA - FORNE CIMENTO E INSTALAÇÃO. AF_12/2015_P</t>
  </si>
  <si>
    <t>TE DE COBRE, SEM ANEL DE SOLDA, DN 42 MM, INSTALADO EM PRUMADA - FORNE CIMENTO E INSTALAÇÃO. AF_12/2015_P</t>
  </si>
  <si>
    <t>TE DE COBRE, SEM ANEL DE SOLDA, DN 54 MM, INSTALADO EM PRUMADA - FORNE CIMENTO E INSTALAÇÃO. AF_12/2015_P</t>
  </si>
  <si>
    <t>TE DE COBRE, SEM ANEL DE SOLDA, DN 66 MM, INSTALADO EM PRUMADA - FORNE CIMENTO E INSTALAÇÃO. AF_12/2015_P</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</si>
  <si>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</si>
  <si>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</si>
  <si>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</si>
  <si>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</si>
  <si>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TÊ DE INSPEÇÃO, PVC, SERIE R, ÁGUA PLUVIAL, DN 100 MM, JUNTA ELÁSTICA, FORNECIDO E INSTALADO EM CONDUTORES VERTICAIS DE ÁGUAS PLUVIAIS. AF_1 2/2014</t>
  </si>
  <si>
    <t>TÊ DE INSPEÇÃO, PVC, SERIE R, ÁGUA PLUVIAL, DN 100 MM, JUNTA ELÁSTICA, FORNECIDO E INSTALADO EM RAMAL DE ENCAMINHAMENTO. AF_12/2014</t>
  </si>
  <si>
    <t>TÊ DE INSPEÇÃO, PVC, SERIE R, ÁGUA PLUVIAL, DN 75 MM, JUNTA ELÁSTICA, FORNECIDO E INSTALADO EM CONDUTORES VERTICAIS DE ÁGUAS PLUVIAIS. AF_12 /2014</t>
  </si>
  <si>
    <t>TÊ DE INSPEÇÃO, PVC, SERIE R, ÁGUA PLUVIAL, DN 75 MM, JUNTA ELÁSTICA, FORNECIDO E INSTALADO EM RAMAL DE ENCAMINHAMENTO. AF_12/2014</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</si>
  <si>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</si>
  <si>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</si>
  <si>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</si>
  <si>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</si>
  <si>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</si>
  <si>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</si>
  <si>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</si>
  <si>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</si>
  <si>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</si>
  <si>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</si>
  <si>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</si>
  <si>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</si>
  <si>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</si>
  <si>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</si>
  <si>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</si>
  <si>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</si>
  <si>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</si>
  <si>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</si>
  <si>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</si>
  <si>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3/4" X 1/2"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</si>
  <si>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</si>
  <si>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</si>
  <si>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</si>
  <si>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</si>
  <si>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</si>
  <si>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</si>
  <si>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</si>
  <si>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</si>
  <si>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</si>
  <si>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</si>
  <si>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REDE COLETORA ESGOTO  (NBR 10569)</t>
  </si>
  <si>
    <t>TE DE REDUCAO, PVC, BBB, JE, 90 GRAUS, DN 250 X 150 MM, PARA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</si>
  <si>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</si>
  <si>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</si>
  <si>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</si>
  <si>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</si>
  <si>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</si>
  <si>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</si>
  <si>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</si>
  <si>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</si>
  <si>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</si>
  <si>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</si>
  <si>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TÊ DE REDUÇÃO, PVC, SOLDÁVEL, DN 110 MM X 60 MM, INSTALADO EM RESERVAÇ ÃO DE ÁGUA DE EDIFICAÇÃO QUE POSSUA RESERVATÓRIO DE FIBRA/FIBROCIMENTO FORNECIMENTO E INSTALAÇÃO. AF_06/2016</t>
  </si>
  <si>
    <t>TÊ DE REDUÇÃO, PVC, SOLDÁVEL, DN 25MM X 20MM, INSTALADO EM PRUMADA DE ÁGUA - FORNECIMENTO E INSTALAÇÃO. AF_12/2014</t>
  </si>
  <si>
    <t>TÊ DE REDUÇÃO, PVC, SOLDÁVEL, DN 25MM X 20MM, INSTALADO EM RAMAL DE DI STRIBUIÇÃO DE ÁGUA - FORNECIMENTO E INSTALAÇÃO. AF_12/2014</t>
  </si>
  <si>
    <t>TÊ DE REDUÇÃO, PVC, SOLDÁVEL, DN 25MM X 20MM, INSTALADO EM RAMAL OU SU B-RAMAL DE ÁGUA - FORNECIMENTO E INSTALAÇÃO. AF_12/2014</t>
  </si>
  <si>
    <t>TÊ DE REDUÇÃO, PVC, SOLDÁVEL, DN 32 MM X  25 MM, INSTALADO EM RESERVAÇ ÃO DE ÁGUA DE EDIFICAÇÃO QUE POSSUA RESERVATÓRIO DE FIBRA/FIBROCIMENTO FORNECIMENTO E INSTALAÇÃO. AF_06/2016</t>
  </si>
  <si>
    <t>TÊ DE REDUÇÃO, PVC, SOLDÁVEL, DN 32MM X 25MM, INSTALADO EM PRUMADA DE ÁGUA - FORNECIMENTO E INSTALAÇÃO. AF_12/2014</t>
  </si>
  <si>
    <t>TÊ DE REDUÇÃO, PVC, SOLDÁVEL, DN 32MM X 25MM, INSTALADO EM RAMAL DE DI STRIBUIÇÃO DE ÁGUA - FORNECIMENTO E INSTALAÇÃO. AF_12/2014</t>
  </si>
  <si>
    <t>TÊ DE REDUÇÃO, PVC, SOLDÁVEL, DN 32MM X 25MM, INSTALADO EM RAMAL OU SU B-RAMAL DE ÁGUA - FORNECIMENTO E INSTALAÇÃO. AF_12/2014</t>
  </si>
  <si>
    <t>TÊ DE REDUÇÃO, PVC, SOLDÁVEL, DN 40 MM X 32 MM, INSTALADO EM RESERVAÇÃ O DE ÁGUA DE EDIFICAÇÃO QUE POSSUA RESERVATÓRIO DE FIBRA/FIBROCIMENTO FORNECIMENTO E INSTALAÇÃO. AF_06/2016</t>
  </si>
  <si>
    <t>TÊ DE REDUÇÃO, PVC, SOLDÁVEL, DN 40MM X 32MM, INSTALADO EM PRUMADA DE ÁGUA - FORNECIMENTO E INSTALAÇÃO. AF_12/2014</t>
  </si>
  <si>
    <t>TÊ DE REDUÇÃO, PVC, SOLDÁVEL, DN 50 MM X 40 MM, INSTALADO EM RESERVAÇÃ O DE ÁGUA DE EDIFICAÇÃO QUE POSSUA RESERVATÓRIO DE FIBRA/FIBROCIMENTO FORNECIMENTO E INSTALAÇÃO. AF_06/2016</t>
  </si>
  <si>
    <t>TÊ DE REDUÇÃO, PVC, SOLDÁVEL, DN 50MM X 25MM, INSTALADO EM PRUMADA DE ÁGUA - FORNECIMENTO E INSTALAÇÃO. AF_12/2014</t>
  </si>
  <si>
    <t>TÊ DE REDUÇÃO, PVC, SOLDÁVEL, DN 50MM X 40MM, INSTALADO EM PRUMADA DE ÁGUA - FORNECIMENTO E INSTALAÇÃO. AF_12/2014</t>
  </si>
  <si>
    <t>TÊ DE REDUÇÃO, PVC, SOLDÁVEL, DN 75 MM X 50 MM, INSTALADO EM RESERVAÇÃ O DE ÁGUA DE EDIFICAÇÃO QUE POSSUA RESERVATÓRIO DE FIBRA/FIBROCIMENTO FORNECIMENTO E INSTALAÇÃO. AF_06/2016</t>
  </si>
  <si>
    <t>TE DE REDUÇÃO, PVC, SOLDÁVEL, DN 75MM X 50MM, INSTALADO EM PRUMADA DE ÁGUA - FORNECIMENTO E INSTALAÇÃO. AF_12/2014</t>
  </si>
  <si>
    <t>TÊ DE REDUÇÃO, PVC, SOLDÁVEL, DN 85 MM X 60 MM, INSTALADO EM RESERVAÇÃ O DE ÁGUA DE EDIFICAÇÃO QUE POSSUA RESERVATÓRIO DE FIBRA/FIBROCIMENTO FORNECIMENTO E INSTALAÇÃO. AF_06/2016</t>
  </si>
  <si>
    <t>TE DE REDUÇÃO, PVC, SOLDÁVEL, DN 85MM X 60MM, INSTALADO EM PRUMADA DE ÁGUA - FORNECIMENTO E INSTALAÇÃO. AF_12/2014</t>
  </si>
  <si>
    <t>TE DE SERVICO INTEGRADO, EM POLIPROPILENO (PP), PARA TUBOS EM PEAD, 63 X 20 MM - LIGACAO PREDIAL DE AGUA</t>
  </si>
  <si>
    <t>TE DE SERVICO INTEGRADO, EM POLIPROPILENO (PP), PARA TUBOS EM PEAD/PVC, 60 X 20 MM - LIGACAO PREDIAL DE AGUA</t>
  </si>
  <si>
    <t>TE DE SERVICO INTEGRADO, EM POLIPROPILENO (PP), PARA TUBOS EM PEAD/PVC, 60 X 32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</si>
  <si>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</si>
  <si>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</si>
  <si>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</si>
  <si>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</si>
  <si>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</si>
  <si>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</si>
  <si>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</si>
  <si>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</si>
  <si>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</si>
  <si>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</si>
  <si>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</si>
  <si>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DE TRANSICAO, CPVC, SOLDAVEL, 22 MM X 3/4", PARA AGUA QUENTE</t>
  </si>
  <si>
    <t>TE DE TRANSIÇÃO, CPVC, SOLDÁVEL, DN 15MM X 1/2, INSTALADO EM RAMAL OU SUB-RAMAL DE ÁGUA  FORNECIMENTO E INSTALAÇÃO. AF_12/2014</t>
  </si>
  <si>
    <t>TE DE TRANSIÇÃO, CPVC, SOLDÁVEL, DN 22MM X 1/2 , INSTALADO EM RAMAL DE DISTRIBUIÇÃO DE ÁGUA   FORNECIMENTO E INSTALAÇÃO. AF_12/2014</t>
  </si>
  <si>
    <t>TE DE TRANSIÇÃO, CPVC, SOLDÁVEL, DN 22MM X 1/2, INSTALADO EM RAMAL OU SUB-RAMAL DE ÁGUA  FORNECIMENTO E INSTALAÇÃO. AF_12/2014</t>
  </si>
  <si>
    <t>TE DUPLA CURVA BRONZE/LATAO (REF 764) SEM ANEL DE SOLDA, ROSCA F X BOLSA X ROSCA F, 1/2" X 15 X 1/2"</t>
  </si>
  <si>
    <t>TE DUPLA CURVA BRONZE/LATAO (REF 764) SEM ANEL DE SOLDA, ROSCA F X BOLSA X ROSCA F, 3/4" X 22 X 3/4"</t>
  </si>
  <si>
    <t>TE DUPLA CURVA EM BRONZE/LATÃO, SEM ANEL DE SOLDA, ROSCA F  X BOLSA X ROSCA F, 3/4 X 22 X 3/4, INSTALADO EM RAMAL DE DISTRIBUIÇÃO   FORNEC IMENTO E INSTALAÇÃO. AF_01/2016_P</t>
  </si>
  <si>
    <t>TE DUPLA CURVA EM BRONZE/LATÃO, SEM ANEL DE SOLDA, ROSCA F X BOLSA X R OSCA F, 1/2 X 15 X 1/2, INSTALADO EM RAMAL DE DISTRIBUIÇÃO   FORNECI MENTO E INSTALAÇÃO. AF_01/2016_P</t>
  </si>
  <si>
    <t>TE DUPLA CURVA EM BRONZE/LATÃO, SEM ANEL DE SOLDA, ROSCA F X BOLSA X R OSCA F, 1/2 X 15 X 1/2, INSTALADO EM RAMAL E SUB-RAMAL   FORNECIMENT O E INSTALAÇÃO. AF_01/2016_P</t>
  </si>
  <si>
    <t>TE DUPLA CURVA EM BRONZE/LATÃO, SEM ANEL DE SOLDA, ROSCA F X BOLSA X R OSCA F, 3/4 X 22 X 3/4, INSTALADO EM PRUMADA   FORNECIMENTO E INSTAL AÇÃO. AF_01/2016_P</t>
  </si>
  <si>
    <t>TE DUPLA CURVA EM BRONZE/LATÃO, SEM ANEL DE SOLDA, ROSCA F X BOLSA, RO SCA F, 3/4 X 22 X 3/4, INSTALADO EM RAMAL E SUB-RAMAL   FORNECIMENTO E INSTALAÇÃO. AF_01/2016_P</t>
  </si>
  <si>
    <t>TE EM COBRE, SEM ANEL DE SOLDA, DN 104 MM,  INSTALADO EM RESERVAÇÃO DE ÁGUA DE EDIFICAÇÃO QUE POSSUA RESERVATÓRIO DE FIBRA/FIBROCIMENTO  FO RNECIMENTO E INSTALAÇÃO. AF_06/2016_P</t>
  </si>
  <si>
    <t>TE EM COBRE, SEM ANEL DE SOLDA, DN 54 MM,  INSTALADO EM RESERVAÇÃO DE ÁGUA DE EDIFICAÇÃO QUE POSSUA RESERVATÓRIO DE FIBRA/FIBROCIMENTO  FOR NECIMENTO E INSTALAÇÃO. AF_06/2016_P</t>
  </si>
  <si>
    <t>TE EM COBRE, SEM ANEL DE SOLDA, DN 66 MM,  INSTALADO EM RESERVAÇÃO DE ÁGUA DE EDIFICAÇÃO QUE POSSUA RESERVATÓRIO DE FIBRA/FIBROCIMENTO  FOR NECIMENTO E INSTALAÇÃO. AF_06/2016_P</t>
  </si>
  <si>
    <t>TE EM COBRE, SEM ANEL DE SOLDA, DN 79 MM,  INSTALADO EM RESERVAÇÃO DE ÁGUA DE EDIFICAÇÃO QUE POSSUA RESERVATÓRIO DE FIBRA/FIBROCIMENTO  FOR NECIMENTO E INSTALAÇÃO. AF_06/2016_P</t>
  </si>
  <si>
    <t>TE MISTURADOR DE TRANSICAO, CPVC, COM ROSCA, 15 MM X 1/2", PARA AGUA QUENTE</t>
  </si>
  <si>
    <t>TE MISTURADOR DE TRANSICAO, CPVC, COM ROSCA, 22 MM X 3/4", PARA AGUA QUENTE</t>
  </si>
  <si>
    <t>TE MISTURADOR DE TRANSIÇÃO, CPVC, SOLDÁVEL, DN 22MM X 3/4", INSTALADO EM RAMAL OU SUB-RAMAL DE ÁGUA - FORNECIMENTO E INSTALAÇÃO. AF_12/2014</t>
  </si>
  <si>
    <t>TE MISTURADOR, CPVC, SOLDAVEL, 15 MM, PARA AGUA QUENTE</t>
  </si>
  <si>
    <t>TE MISTURADOR, CPVC, SOLDAVEL, 22 MM, PARA AGUA QUENTE</t>
  </si>
  <si>
    <t>TÊ MISTURADOR, CPVC, SOLDÁVEL, DN 22MM, INSTALADO EM RAMAL DE DISTRIBU IÇÃO DE ÁGUA - FORNECIMENTO E INSTALAÇÃO. AF_12/2014</t>
  </si>
  <si>
    <t>TÊ MISTURADOR, CPVC, SOLDÁVEL, DN15MM, INSTALADO EM RAMAL OU SUB-RAMAL DE ÁGUA  FORNECIMENTO E INSTALAÇÃO. AF_12/2014</t>
  </si>
  <si>
    <t>TÊ MISTURADOR, CPVC, SOLDÁVEL, DN22MM, INSTALADO EM RAMAL OU SUB-RAMAL DE ÁGUA  FORNECIMENTO E INSTALAÇÃO. AF_12/2014</t>
  </si>
  <si>
    <t>TE PVC PARA COLETOR ESGOTO, EB644, D=100MM, COM JUNTA ELASTICA.</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</si>
  <si>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</si>
  <si>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</si>
  <si>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</si>
  <si>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</si>
  <si>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</si>
  <si>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</si>
  <si>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</si>
  <si>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</si>
  <si>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</si>
  <si>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</si>
  <si>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</si>
  <si>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</si>
  <si>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</si>
  <si>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</si>
  <si>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</si>
  <si>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REDUCAO PVC, ROSCAVEL, 90 GRAUS,  1.1/2" X 3/4",  AGUA FRIA PREDIAL</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</si>
  <si>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</si>
  <si>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</si>
  <si>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</si>
  <si>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</si>
  <si>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</si>
  <si>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</si>
  <si>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</si>
  <si>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TÊ SOLDÁVEL E COM ROSCA NA BOLSA CENTRAL, PVC, SOLDÁVEL, DN 20MM X 1/2 , INSTALADO EM RAMAL DE DISTRIBUIÇÃO DE ÁGUA - FORNECIMENTO E INSTALA ÇÃO. AF_12/2014</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</si>
  <si>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</si>
  <si>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</si>
  <si>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</si>
  <si>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</si>
  <si>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</si>
  <si>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</si>
  <si>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</si>
  <si>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</si>
  <si>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</si>
  <si>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CPVC, SOLDÁVEL, DN  42MM, INSTALADO EM PRUMADA DE ÁGUA  FORNECIME NTO E INSTALAÇÃO. AF_12/2014</t>
  </si>
  <si>
    <t>TE, CPVC, SOLDÁVEL, DN 15MM, INSTALADO EM RAMAL OU SUB-RAMAL DE ÁGUA - FORNECIMENTO E INSTALAÇÃO. AF_12/2014</t>
  </si>
  <si>
    <t>TE, CPVC, SOLDÁVEL, DN 22 MM, INSTALADO EM RESERVAÇÃO DE ÁGUA DE EDIFI CAÇÃO QUE POSSUA RESERVATÓRIO DE FIBRA/FIBROCIMENTO  FORNECIMENTO E I NSTALAÇÃO. AF_06/2016</t>
  </si>
  <si>
    <t>TE, CPVC, SOLDÁVEL, DN 22MM, INSTALADO EM RAMAL DE DISTRIBUIÇÃO DE ÁGU A - FORNECIMENTO E INSTALAÇÃO. AF_12/2014</t>
  </si>
  <si>
    <t>TE, CPVC, SOLDÁVEL, DN 22MM, INSTALADO EM RAMAL OU SUB-RAMAL DE ÁGUA - FORNECIMENTO E INSTALAÇÃO. AF_12/2014</t>
  </si>
  <si>
    <t>TE, CPVC, SOLDÁVEL, DN 28 MM, INSTALADO EM RESERVAÇÃO DE ÁGUA DE EDIFI CAÇÃO QUE POSSUA RESERVATÓRIO DE FIBRA/FIBROCIMENTO  FORNECIMENTO E I NSTALAÇÃO. AF_06/2016</t>
  </si>
  <si>
    <t>TÊ, CPVC, SOLDÁVEL, DN 28MM, INSTALADO EM RAMAL DE DISTRIBUIÇÃO DE ÁGU A - FORNECIMENTO E INSTALAÇÃO. AF_12/2014</t>
  </si>
  <si>
    <t>TE, CPVC, SOLDÁVEL, DN 35 MM, INSTALADO EM RESERVAÇÃO DE ÁGUA DE EDIFI CAÇÃO QUE POSSUA RESERVATÓRIO DE FIBRA/FIBROCIMENTO  FORNECIMENTO E I NSTALAÇÃO. AF_06/2016</t>
  </si>
  <si>
    <t>TÊ, CPVC, SOLDÁVEL, DN 35MM, INSTALADO EM PRUMADA DE ÁGUA  FORNECIMEN TO E INSTALAÇÃO. AF_12/2014</t>
  </si>
  <si>
    <t>TE, CPVC, SOLDÁVEL, DN 42 MM, INSTALADO EM RESERVAÇÃO DE ÁGUA DE EDIFI CAÇÃO QUE POSSUA RESERVATÓRIO DE FIBRA/FIBROCIMENTO  FORNECIMENTO E I NSTALAÇÃO. AF_06/2016</t>
  </si>
  <si>
    <t>TÊ, CPVC, SOLDÁVEL, DN 54 MM, INSTALADO EM PRUMADA DE ÁGUA  FORNECIME NTO E INSTALAÇÃO. AF_12/2014</t>
  </si>
  <si>
    <t>TE, CPVC, SOLDÁVEL, DN 54 MM, INSTALADO EM RESERVAÇÃO DE ÁGUA DE EDIFI CAÇÃO QUE POSSUA RESERVATÓRIO DE FIBRA/FIBROCIMENTO  FORNECIMENTO E I NSTALAÇÃO. AF_06/2016</t>
  </si>
  <si>
    <t>TE, CPVC, SOLDÁVEL, DN 73 MM, INSTALADO EM RESERVAÇÃO DE ÁGUA DE EDIFI CAÇÃO QUE POSSUA RESERVATÓRIO DE FIBRA/FIBROCIMENTO  FORNECIMENTO E I NSTALAÇÃO. AF_06/2016</t>
  </si>
  <si>
    <t>TÊ, CPVC, SOLDÁVEL, DN 73MM, INSTALADO EM PRUMADA DE ÁGUA  FORNECIMEN TO E INSTALAÇÃO. AF_12/2014</t>
  </si>
  <si>
    <t>TE, CPVC, SOLDÁVEL, DN 89 MM, INSTALADO EM RESERVAÇÃO DE ÁGUA DE EDIFI CAÇÃO QUE POSSUA RESERVATÓRIO DE FIBRA/FIBROCIMENTO  FORNECIMENTO E I NSTALAÇÃO. AF_06/2016</t>
  </si>
  <si>
    <t>TÊ, CPVC, SOLDÁVEL, DN 89MM, INSTALADO EM PRUMADA DE ÁGUA  FORNECIMEN TO E INSTALAÇÃO. AF_12/2014</t>
  </si>
  <si>
    <t>TÊ, CPVC, SOLDÁVEL, DN28MM, INSTALADO EM RAMAL OU SUB-RAMAL DE ÁGUA FORNECIMENTO E INSTALAÇÃO. AF_12/2014</t>
  </si>
  <si>
    <t>TÊ, CPVC, SOLDÁVEL, DN35MM, INSTALADO EM RAMAL DE DISTRIBUIÇÃO DE ÁGUA - FORNECIMENTO E INSTALAÇÃO. AF_12/2014</t>
  </si>
  <si>
    <t>TÊ, CPVC, SOLDÁVEL, DN35MM, INSTALADO EM RAMAL OU SUB-RAMAL DE ÁGUA FORNECIMENTO E INSTALAÇÃO. AF_12/2014</t>
  </si>
  <si>
    <t>TÊ, EM FERRO GALVANIZADO, CONEXÃO ROSQUEADA, DN 15 (1/2"), INSTALADO E M RAMAIS E SUB-RAMAIS DE GÁS - FORNECIMENTO E INSTALAÇÃO. AF_12/2015</t>
  </si>
  <si>
    <t>TÊ, EM FERRO GALVANIZADO, CONEXÃO ROSQUEADA, DN 20 (3/4"), INSTALADO E M RAMAIS E SUB-RAMAIS DE GÁS - FORNECIMENTO E INSTALAÇÃO. AF_12/2015</t>
  </si>
  <si>
    <t>TÊ, EM FERRO GALVANIZADO, CONEXÃO ROSQUEADA, DN 25 (1"), INSTALADO EM REDE DE ALIMENTAÇÃO PARA HIDRANTE - FORNECIMENTO E INSTALAÇÃO. AF_12/2 015</t>
  </si>
  <si>
    <t>TÊ, EM FERRO GALVANIZADO, CONEXÃO ROSQUEADA, DN 25 (1"), INSTALADO EM REDE DE ALIMENTAÇÃO PARA SPRINKLER - FORNECIMENTO E INSTALAÇÃO. AF_12/ 2015</t>
  </si>
  <si>
    <t>TÊ, EM FERRO GALVANIZADO, CONEXÃO ROSQUEADA, DN 32 (1 1/4"), INSTALADO EM REDE DE ALIMENTAÇÃO PARA HIDRANTE - FORNECIMENTO E INSTALAÇÃO. AF_ 12/2015</t>
  </si>
  <si>
    <t>TÊ, EM FERRO GALVANIZADO, CONEXÃO ROSQUEADA, DN 32 (1 1/4"), INSTALADO EM REDE DE ALIMENTAÇÃO PARA SPRINKLER - FORNECIMENTO E INSTALAÇÃO. AF _12/2015</t>
  </si>
  <si>
    <t>TÊ, EM FERRO GALVANIZADO, CONEXÃO ROSQUEADA, DN 40 (1 1/2"), INSTALADO EM REDE DE ALIMENTAÇÃO PARA HIDRANTE - FORNECIMENTO E INSTALAÇÃO. AF_ 12/2015</t>
  </si>
  <si>
    <t>TÊ, EM FERRO GALVANIZADO, CONEXÃO ROSQUEADA, DN 40 (1 1/2"), INSTALADO EM REDE DE ALIMENTAÇÃO PARA SPRINKLER - FORNECIMENTO E INSTALAÇÃO. AF _12/2015</t>
  </si>
  <si>
    <t>TÊ, EM FERRO GALVANIZADO, CONEXÃO ROSQUEADA, DN 50 (2"), INSTALADO EM REDE DE ALIMENTAÇÃO PARA HIDRANTE - FORNECIMENTO E INSTALAÇÃO. AF_12/2 015</t>
  </si>
  <si>
    <t>TÊ, EM FERRO GALVANIZADO, CONEXÃO ROSQUEADA, DN 50 (2"), INSTALADO EM REDE DE ALIMENTAÇÃO PARA SPRINKLER - FORNECIMENTO E INSTALAÇÃO. AF_12/ 2015</t>
  </si>
  <si>
    <t>TÊ, EM FERRO GALVANIZADO, CONEXÃO ROSQUEADA, DN 50 (2), INSTALADO EM RESERVAÇÃO DE ÁGUA DE EDIFICAÇÃO QUE POSSUA RESERVATÓRIO DE FIBRA/FIBR OCIMENTO  FORNECIMENTO E INSTALAÇÃO. AF_06/2016</t>
  </si>
  <si>
    <t>TÊ, EM FERRO GALVANIZADO, CONEXÃO ROSQUEADA, DN 65 (2 1/2"), INSTALADO EM REDE DE ALIMENTAÇÃO PARA HIDRANTE - FORNECIMENTO E INSTALAÇÃO. AF_ 12/2015</t>
  </si>
  <si>
    <t>TÊ, EM FERRO GALVANIZADO, CONEXÃO ROSQUEADA, DN 65 (2 1/2"), INSTALADO EM REDE DE ALIMENTAÇÃO PARA SPRINKLER - FORNECIMENTO E INSTALAÇÃO. AF _12/2015</t>
  </si>
  <si>
    <t>TÊ, EM FERRO GALVANIZADO, CONEXÃO ROSQUEADA, DN 65 (2 1/2), INSTALADO EM RESERVAÇÃO DE ÁGUA DE EDIFICAÇÃO QUE POSSUA RESERVATÓRIO DE FIBRA/ FIBROCIMENTO  FORNECIMENTO E INSTALAÇÃO. AF_06/2016</t>
  </si>
  <si>
    <t>TÊ, EM FERRO GALVANIZADO, CONEXÃO ROSQUEADA, DN 80 (3"), INSTALADO EM REDE DE ALIMENTAÇÃO PARA HIDRANTE - FORNECIMENTO E INSTALAÇÃO. AF_12/2 015</t>
  </si>
  <si>
    <t>TÊ, EM FERRO GALVANIZADO, CONEXÃO ROSQUEADA, DN 80 (3"), INSTALADO EM REDE DE ALIMENTAÇÃO PARA SPRINKLER - FORNECIMENTO E INSTALAÇÃO. AF_12/ 2015</t>
  </si>
  <si>
    <t>TÊ, EM FERRO GALVANIZADO, CONEXÃO ROSQUEADA, DN 80 (3), INSTALADO EM RESERVAÇÃO DE ÁGUA DE EDIFICAÇÃO QUE POSSUA RESERVATÓRIO DE FIBRA/FIBR OCIMENTO  FORNECIMENTO E INSTALAÇÃO. AF_06/2016</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</si>
  <si>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</si>
  <si>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</si>
  <si>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</si>
  <si>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</si>
  <si>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</si>
  <si>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150 MM, PARA REDE COLETORA ESGOTO (NBR 10569)</t>
  </si>
  <si>
    <t>TE, PVC, 90 GRAUS, BBB, JE, DN 200 MM, PARA REDE COLETORA ESGOTO (NBR 10569)</t>
  </si>
  <si>
    <t>TE, PVC, 90 GRAUS, BBB, JE, DN 250 MM, PARA REDE COLETORA ESGOTO  (NBR 10569)</t>
  </si>
  <si>
    <t>TE, PVC, 90 GRAUS, BBB, JE, DN 300 MM, PARA REDE COLETORA ESGOTO  (NBR 10569)</t>
  </si>
  <si>
    <t>TE, PVC, 90 GRAUS, BBB, JE, DN 400 MM, PARA REDE COLETORA ESGOTO  (NBR 10569)</t>
  </si>
  <si>
    <t>TE, PVC, 90 GRAUS, BBP, JE, DN 100 MM, PARA REDE COLETORA ESGOTO (NBR 10569)</t>
  </si>
  <si>
    <t>TE, PVC, SERIE NORMAL, ESGOTO PREDIAL, DN 100 X 100 MM, JUNTA ELÁSTICA , FORNECIDO E INSTALADO EM PRUMADA DE ESGOTO SANITÁRIO OU VENTILAÇÃO. AF_12/2014</t>
  </si>
  <si>
    <t>TE, PVC, SERIE NORMAL, ESGOTO PREDIAL, DN 100 X 100 MM, JUNTA ELÁSTICA , FORNECIDO E INSTALADO EM RAMAL DE DESCARGA OU RAMAL DE ESGOTO SANITÁ RIO. AF_12/2014</t>
  </si>
  <si>
    <t>TE, PVC, SERIE NORMAL, ESGOTO PREDIAL, DN 100 X 100 MM, JUNTA ELÁSTICA , FORNECIDO E INSTALADO EM SUBCOLETOR AÉREO DE ESGOTO SANITÁRIO. AF_12 /2014</t>
  </si>
  <si>
    <t>TE, PVC, SERIE NORMAL, ESGOTO PREDIAL, DN 150 X 150 MM, JUNTA ELÁSTICA , FORNECIDO E INSTALADO EM SUBCOLETOR AÉREO DE ESGOTO SANITÁRIO. AF_12 /2014</t>
  </si>
  <si>
    <t>TE, PVC, SERIE NORMAL, ESGOTO PREDIAL, DN 40 X 40 MM, JUNTA SOLDÁVEL, FORNECIDO E INSTALADO EM RAMAL DE DESCARGA OU RAMAL DE ESGOTO SANITÁRI O. AF_12/2014</t>
  </si>
  <si>
    <t>TE, PVC, SERIE NORMAL, ESGOTO PREDIAL, DN 50 X 50 MM, JUNTA ELÁSTICA, FORNECIDO E INSTALADO EM PRUMADA DE ESGOTO SANITÁRIO OU VENTILAÇÃO. AF _12/2014</t>
  </si>
  <si>
    <t>TE, PVC, SERIE NORMAL, ESGOTO PREDIAL, DN 50 X 50 MM, JUNTA ELÁSTICA, FORNECIDO E INSTALADO EM RAMAL DE DESCARGA OU RAMAL DE ESGOTO SANITÁRI O. AF_12/2014</t>
  </si>
  <si>
    <t>TE, PVC, SERIE NORMAL, ESGOTO PREDIAL, DN 75 X 75 MM, JUNTA ELÁSTICA, FORNECIDO E INSTALADO EM PRUMADA DE ESGOTO SANITÁRIO OU VENTILAÇÃO. AF _12/2014</t>
  </si>
  <si>
    <t>TE, PVC, SERIE NORMAL, ESGOTO PREDIAL, DN 75 X 75 MM, JUNTA ELÁSTICA, FORNECIDO E INSTALADO EM RAMAL DE DESCARGA OU RAMAL DE ESGOTO SANITÁRI O. AF_12/2014</t>
  </si>
  <si>
    <t>TE, PVC, SERIE R, 100 X 100 MM, PARA ESGOTO PREDIAL</t>
  </si>
  <si>
    <t>TE, PVC, SERIE R, 100 X 75 MM, PARA ESGOTO PREDIAL</t>
  </si>
  <si>
    <t>TE, PVC, SERIE R, 150 X 100 MM, PARA ESGOTO PREDIAL</t>
  </si>
  <si>
    <t>TE, PVC, SERIE R, 150 X 150 MM, PARA ESGOTO PREDIAL</t>
  </si>
  <si>
    <t>TE, PVC, SERIE R, 40 X 40 MM, PARA ESGOTO PREDIAL</t>
  </si>
  <si>
    <t>TE, PVC, SERIE R, 50 X 50 MM, PARA ESGOTO PREDIAL</t>
  </si>
  <si>
    <t>TE, PVC, SERIE R, 75 X 75 MM, PARA ESGOTO PREDIAL</t>
  </si>
  <si>
    <t>TÊ, PVC, SERIE R, ÁGUA PLUVIAL, DN 100 X 100 MM, JUNTA ELÁSTICA, FORNE CIDO E INSTALADO EM CONDUTORES VERTICAIS DE ÁGUAS PLUVIAIS. AF_12/2014</t>
  </si>
  <si>
    <t>TÊ, PVC, SERIE R, ÁGUA PLUVIAL, DN 100 X 100 MM, JUNTA ELÁSTICA, FORNE CIDO E INSTALADO EM RAMAL DE ENCAMINHAMENTO. AF_12/2014</t>
  </si>
  <si>
    <t>TÊ, PVC, SERIE R, ÁGUA PLUVIAL, DN 100 X 75 MM, JUNTA ELÁSTICA, FORNEC IDO E INSTALADO EM CONDUTORES VERTICAIS DE ÁGUAS PLUVIAIS. AF_12/2014</t>
  </si>
  <si>
    <t>TÊ, PVC, SERIE R, ÁGUA PLUVIAL, DN 100 X 75 MM, JUNTA ELÁSTICA, FORNEC IDO E INSTALADO EM RAMAL DE ENCAMINHAMENTO. AF_12/2014</t>
  </si>
  <si>
    <t>TÊ, PVC, SERIE R, ÁGUA PLUVIAL, DN 150 X 100 MM, JUNTA ELÁSTICA, FORNE CIDO E INSTALADO EM CONDUTORES VERTICAIS DE ÁGUAS PLUVIAIS. AF_12/2014</t>
  </si>
  <si>
    <t>TÊ, PVC, SERIE R, ÁGUA PLUVIAL, DN 150 X 150 MM, JUNTA ELÁSTICA, FORNE CIDO E INSTALADO EM CONDUTORES VERTICAIS DE ÁGUAS PLUVIAIS. AF_12/2014</t>
  </si>
  <si>
    <t>TÊ, PVC, SERIE R, ÁGUA PLUVIAL, DN 75 MM, JUNTA ELÁSTICA, FORNECIDO E INSTALADO EM RAMAL DE ENCAMINHAMENTO. AF_12/2014</t>
  </si>
  <si>
    <t>TÊ, PVC, SERIE R, ÁGUA PLUVIAL, DN 75 X 75 MM, JUNTA ELÁSTICA, FORNECI DO E INSTALADO EM CONDUTORES VERTICAIS DE ÁGUAS PLUVIAIS. AF_12/2014</t>
  </si>
  <si>
    <t>TÊ, PVC, SOLDÁVEL, DN  25 MM INSTALADO EM RESERVAÇÃO DE ÁGUA DE EDIFIC AÇÃO QUE POSSUA RESERVATÓRIO DE FIBRA/FIBROCIMENTO   FORNECIMENTO E IN STALAÇÃO. AF_06/2016</t>
  </si>
  <si>
    <t>TÊ, PVC, SOLDÁVEL, DN 110 MM INSTALADO EM RESERVAÇÃO DE ÁGUA DE EDIFIC AÇÃO QUE POSSUA RESERVATÓRIO DE FIBRA/FIBROCIMENTO   FORNECIMENTO E IN STALAÇÃO. AF_06/2016</t>
  </si>
  <si>
    <t>TE, PVC, SOLDÁVEL, DN 20MM, INSTALADO EM RAMAL DE DISTRIBUIÇÃO DE ÁGUA - FORNECIMENTO E INSTALAÇÃO. AF_12/2014</t>
  </si>
  <si>
    <t>TE, PVC, SOLDÁVEL, DN 20MM, INSTALADO EM RAMAL OU SUB-RAMAL DE ÁGUA - FORNECIMENTO E INSTALAÇÃO. AF_12/2014</t>
  </si>
  <si>
    <t>TE, PVC, SOLDÁVEL, DN 25MM, INSTALADO EM DRENO DE AR-CONDICIONADO - FO RNECIMENTO E INSTALAÇÃO. AF_12/2014</t>
  </si>
  <si>
    <t>TE, PVC, SOLDÁVEL, DN 25MM, INSTALADO EM PRUMADA DE ÁGUA - FORNECIMENT O E INSTALAÇÃO. AF_12/2014</t>
  </si>
  <si>
    <t>TE, PVC, SOLDÁVEL, DN 25MM, INSTALADO EM RAMAL DE DISTRIBUIÇÃO DE ÁGUA - FORNECIMENTO E INSTALAÇÃO. AF_12/2014</t>
  </si>
  <si>
    <t>TE, PVC, SOLDÁVEL, DN 25MM, INSTALADO EM RAMAL OU SUB-RAMAL DE ÁGUA - FORNECIMENTO E INSTALAÇÃO. AF_12/2014</t>
  </si>
  <si>
    <t>TÊ, PVC, SOLDÁVEL, DN 32 MM INSTALADO EM RESERVAÇÃO DE ÁGUA DE EDIFICA ÇÃO QUE POSSUA RESERVATÓRIO DE FIBRA/FIBROCIMENTO   FORNECIMENTO E INS TALAÇÃO. AF_06/2016</t>
  </si>
  <si>
    <t>TE, PVC, SOLDÁVEL, DN 32MM, INSTALADO EM PRUMADA DE ÁGUA - FORNECIMENT O E INSTALAÇÃO. AF_12/2014</t>
  </si>
  <si>
    <t>TE, PVC, SOLDÁVEL, DN 32MM, INSTALADO EM RAMAL DE DISTRIBUIÇÃO DE ÁGUA - FORNECIMENTO E INSTALAÇÃO. AF_12/2014</t>
  </si>
  <si>
    <t>TE, PVC, SOLDÁVEL, DN 32MM, INSTALADO EM RAMAL OU SUB-RAMAL DE ÁGUA - FORNECIMENTO E INSTALAÇÃO. AF_12/2014</t>
  </si>
  <si>
    <t>TÊ, PVC, SOLDÁVEL, DN 40 MM INSTALADO EM RESERVAÇÃO DE ÁGUA DE EDIFICA ÇÃO QUE POSSUA RESERVATÓRIO DE FIBRA/FIBROCIMENTO   FORNECIMENTO E INS TALAÇÃO. AF_06/2016</t>
  </si>
  <si>
    <t>TE, PVC, SOLDÁVEL, DN 40MM, INSTALADO EM PRUMADA DE ÁGUA - FORNECIMENT O E INSTALAÇÃO. AF_12/2014</t>
  </si>
  <si>
    <t>TÊ, PVC, SOLDÁVEL, DN 50 MM INSTALADO EM RESERVAÇÃO DE ÁGUA DE EDIFICA ÇÃO QUE POSSUA RESERVATÓRIO DE FIBRA/FIBROCIMENTO   FORNECIMENTO E INS TALAÇÃO. AF_06/2016</t>
  </si>
  <si>
    <t>TE, PVC, SOLDÁVEL, DN 50MM, INSTALADO EM PRUMADA DE ÁGUA - FORNECIMENT O E INSTALAÇÃO. AF_12/2014</t>
  </si>
  <si>
    <t>TÊ, PVC, SOLDÁVEL, DN 60 MM INSTALADO EM RESERVAÇÃO DE ÁGUA DE EDIFICA ÇÃO QUE POSSUA RESERVATÓRIO DE FIBRA/FIBROCIMENTO   FORNECIMENTO E INS TALAÇÃO. AF_06/2016</t>
  </si>
  <si>
    <t>TE, PVC, SOLDÁVEL, DN 60MM, INSTALADO EM PRUMADA DE ÁGUA - FORNECIMENT O E INSTALAÇÃO. AF_12/2014</t>
  </si>
  <si>
    <t>TÊ, PVC, SOLDÁVEL, DN 75 MM INSTALADO EM RESERVAÇÃO DE ÁGUA DE EDIFICA ÇÃO QUE POSSUA RESERVATÓRIO DE FIBRA/FIBROCIMENTO   FORNECIMENTO E INS TALAÇÃO. AF_06/2016</t>
  </si>
  <si>
    <t>TE, PVC, SOLDÁVEL, DN 75MM, INSTALADO EM PRUMADA DE ÁGUA - FORNECIMENT O E INSTALAÇÃO. AF_12/2014</t>
  </si>
  <si>
    <t>TÊ, PVC, SOLDÁVEL, DN 85 MM INSTALADO EM RESERVAÇÃO DE ÁGUA DE EDIFICA ÇÃO QUE POSSUA RESERVATÓRIO DE FIBRA/FIBROCIMENTO   FORNECIMENTO E INS TALAÇÃO. AF_06/2016</t>
  </si>
  <si>
    <t>TE, PVC, SOLDÁVEL, DN 85MM, INSTALADO EM PRUMADA DE ÁGUA - FORNECIMENT O E INSTALAÇÃO. AF_12/2014</t>
  </si>
  <si>
    <t>TECNICO EM LABORATORIO E CAMPO DE CONSTRUCAO CIVIL</t>
  </si>
  <si>
    <t>TECNICO EM LABORATORIO E CAMPO DE CONSTRUCAO CIVIL (MENSALISTA)</t>
  </si>
  <si>
    <t>TECNICO EM SONDAGEM</t>
  </si>
  <si>
    <t>TECNICO EM SONDAGEM (MENSALISTA)</t>
  </si>
  <si>
    <t>TECNICO EM SONDAGEM COM ENCARGOS COMPLEMENTARES</t>
  </si>
  <si>
    <t>TELA ARAME GALVANIZADO REVESTIDO COM PVC, MALHA HEXAGONAL DUPLA TORCAO, 8 X 10 CM (ZN/AL + PVC),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</si>
  <si>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</si>
  <si>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</si>
  <si>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</si>
  <si>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</si>
  <si>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</si>
  <si>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</si>
  <si>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</si>
  <si>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</si>
  <si>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</si>
  <si>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</si>
  <si>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</si>
  <si>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</si>
  <si>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</si>
  <si>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</si>
  <si>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</si>
  <si>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</si>
  <si>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</si>
  <si>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</si>
  <si>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</si>
  <si>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</si>
  <si>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</si>
  <si>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</si>
  <si>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</si>
  <si>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</si>
  <si>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</si>
  <si>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</si>
  <si>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HEXAGONAL,  FIO 0,56 MM (24  BWG), MALHA  1/2", H = 1 M</t>
  </si>
  <si>
    <t>TELA DE ARAME ONDULADA,  FIO *2,77* MM (10  BWG), MALHA  5 X 5 CM, H = 2 M</t>
  </si>
  <si>
    <t>TELA DE FIBRA DE VIDRO, ACABAMENTO ANTI-ALCALINO, MALHA 10 X 10 MM</t>
  </si>
  <si>
    <t>TELA EM MALHA HEXAGONAL DUPLA TORCAO 8 X 10 CM (ZN/AL + PVC), FIO 2,7 MM, DIMENSOES 0,5 X 1,0 X 4,0 M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</si>
  <si>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</si>
  <si>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</si>
  <si>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</si>
  <si>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</si>
  <si>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</si>
  <si>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</si>
  <si>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</si>
  <si>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</si>
  <si>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</si>
  <si>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CERAMICA TIPO COLONIAL, COMPRIMENTO DE *44* CM, RENDIMENTO DE *26* TELHAS/M2</t>
  </si>
  <si>
    <t>TELHA CERAMICA TIPO FRANCESA, COMPRIMENTO DE *40* CM, RENDIMENTO DE *16* TELHAS/M2</t>
  </si>
  <si>
    <t>TELHA CERAMICA TIPO PAULISTA, COMPRIMENTO DE *48* CM, RENDIMENTO DE *26* TELHAS/M2</t>
  </si>
  <si>
    <t>TELHA CERAMICA TIPO PLAN, COMPRIMENTO DE *47* CM, RENDIMENTO DE *26* TELHAS/M2</t>
  </si>
  <si>
    <t>TELHA CERAMICA TIPO PORTUGUESA, COMPRIMENTO DE *40* CM, RENDIMENTO DE *16* TELHAS/M2</t>
  </si>
  <si>
    <t>TELHA CERAMICA TIPO ROMANA, COMPRIMENTO DE *41* CM,  RENDIMENTO DE *16*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</si>
  <si>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</si>
  <si>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</si>
  <si>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</si>
  <si>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</si>
  <si>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</si>
  <si>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</si>
  <si>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COM ISOLAMENTO TERMOACUSTICO EM ESPUMA RIGIDA DE POLIURETANO (PU) INJETADO, E = 30 MM, DENSIDADE 35 KG/M3, COM DUAS FACES TRAPEZOIDAIS (NAO INCLUI ACESSORIOS DE FIXACAO) (COLETADO CAIXA)</t>
  </si>
  <si>
    <t>TELHA DE ALUMINIO TRAPEZOIDAL, ALTURA = 38 MM, E = 0,5 MM (LARGURA = 1056 MM E COMPRIMENTO = 5000 MM)</t>
  </si>
  <si>
    <t>TELHA DE ALUMINIO TRAPEZOIDAL, ALTURA = 38 MM, E = 0,7 MM (LARGURA = 1056 MM E COMPRIMENTO = 5000 MM)</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</si>
  <si>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</si>
  <si>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</si>
  <si>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</si>
  <si>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</si>
  <si>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</si>
  <si>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</si>
  <si>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</si>
  <si>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</si>
  <si>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</si>
  <si>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</si>
  <si>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</si>
  <si>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</si>
  <si>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</si>
  <si>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</si>
  <si>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</si>
  <si>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</si>
  <si>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</si>
  <si>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</si>
  <si>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</si>
  <si>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</si>
  <si>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</si>
  <si>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</si>
  <si>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</si>
  <si>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</si>
  <si>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</si>
  <si>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</si>
  <si>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</si>
  <si>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</si>
  <si>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</si>
  <si>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</si>
  <si>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</si>
  <si>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</si>
  <si>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</si>
  <si>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</si>
  <si>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</si>
  <si>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</si>
  <si>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</si>
  <si>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</si>
  <si>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</si>
  <si>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</si>
  <si>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</si>
  <si>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 ( MENSALISTA )</t>
  </si>
  <si>
    <t>TELHAMENTO COM TELHA CERÂMICA CAPA-CANAL, TIPO COLONIAL, COM ATÉ 2 ÁGU AS, INCLUSO TRANSPORTE VERTICAL. AF_06/2016</t>
  </si>
  <si>
    <t>TELHAMENTO COM TELHA CERÂMICA CAPA-CANAL, TIPO COLONIAL, COM MAIS DE 2 ÁGUAS, INCLUSO TRANSPORTE VERTICAL. AF_06/2016</t>
  </si>
  <si>
    <t>TELHAMENTO COM TELHA CERÂMICA CAPA-CANAL, TIPO PAULISTA, COM ATÉ 2 ÁGU AS, INCLUSO TRANSPORTE VERTICAL. AF_06/2016</t>
  </si>
  <si>
    <t>TELHAMENTO COM TELHA CERÂMICA CAPA-CANAL, TIPO PAULISTA, COM MAIS DE 2 ÁGUAS, INCLUSO TRANSPORTE VERTICAL. AF_06/2016</t>
  </si>
  <si>
    <t>TELHAMENTO COM TELHA CERÂMICA CAPA-CANAL, TIPO PLAN, COM ATÉ 2 ÁGUAS, INCLUSO TRANSPORTE VERTICAL. AF_06/2016</t>
  </si>
  <si>
    <t>TELHAMENTO COM TELHA CERÂMICA CAPA-CANAL, TIPO PLAN, COM MAIS DE 2 ÁGU AS, INCLUSO TRANSPORTE VERTICAL. AF_06/2016</t>
  </si>
  <si>
    <t>TELHAMENTO COM TELHA CERÂMICA DE ENCAIXE, TIPO FRANCESA, COM ATÉ 2 ÁGU AS, INCLUSO TRANSPORTE VERTICAL. AF_06/2016</t>
  </si>
  <si>
    <t>TELHAMENTO COM TELHA CERÂMICA DE ENCAIXE, TIPO FRANCESA, COM MAIS DE 2 ÁGUAS, INCLUSO TRANSPORTE VERTICAL. AF_06/2016</t>
  </si>
  <si>
    <t>TELHAMENTO COM TELHA CERÂMICA DE ENCAIXE, TIPO PORTUGUESA, COM ATÉ 2 Á GUAS, INCLUSO TRANSPORTE VERTICAL. AF_06/2016</t>
  </si>
  <si>
    <t>TELHAMENTO COM TELHA CERÂMICA DE ENCAIXE, TIPO PORTUGUESA, COM MAIS DE 2 ÁGUAS, INCLUSO TRANSPORTE VERTICAL. AF_06/2016</t>
  </si>
  <si>
    <t>TELHAMENTO COM TELHA CERÂMICA DE ENCAIXE, TIPO ROMANA, COM ATÉ 2 ÁGUAS , INCLUSO TRANSPORTE VERTICAL. AF_06/2016</t>
  </si>
  <si>
    <t>TELHAMENTO COM TELHA CERÂMICA DE ENCAIXE, TIPO ROMANA, COM MAIS DE 2 Á GUAS, INCLUSO TRANSPORTE VERTICAL. AF_06/2016</t>
  </si>
  <si>
    <t>TELHAMENTO COM TELHA DE AÇO/ALUMÍNIO E = 0,5 MM, COM ATÉ 2 ÁGUAS, INCL USO IÇAMENTO. AF_06/2016</t>
  </si>
  <si>
    <t>TELHAMENTO COM TELHA DE CONCRETO DE ENCAIXE, COM ATÉ 2 ÁGUAS, INCLUSO TRANSPORTE VERTICAL. AF_06/2016</t>
  </si>
  <si>
    <t>TELHAMENTO COM TELHA DE CONCRETO DE ENCAIXE, COM MAIS DE 2 ÁGUAS, INCL USO TRANSPORTE VERTICAL. AF_06/2016</t>
  </si>
  <si>
    <t>TELHAMENTO COM TELHA DE ENCAIXE, TIPO FRANCESA DE VIDRO, COM ATÉ 2 ÁGU AS, INCLUSO TRANSPORTE VERTICAL. AF_06/2016</t>
  </si>
  <si>
    <t>TELHAMENTO COM TELHA ESTRUTURAL DE FIBROCIMENTO E= 6 MM, COM ATÉ 2 ÁGU AS, INCLUSO IÇAMENTO. AF_06/2016</t>
  </si>
  <si>
    <t>TELHAMENTO COM TELHA METÁLICA TERMOACÚSTICA E = 30 MM, COM ATÉ 2 ÁGUAS , INCLUSO IÇAMENTO. AF_06/2016</t>
  </si>
  <si>
    <t>TELHAMENTO COM TELHA ONDULADA DE FIBRA DE VIDRO E = 0,6 MM, PARA TELHA DO COM INCLINAÇÃO MAIOR QUE 10°, COM ATÉ 2 ÁGUAS, INCLUSO IÇAMENTO. AF _06/2016</t>
  </si>
  <si>
    <t>TELHAMENTO COM TELHA ONDULADA DE FIBROCIMENTO E = 6 MM, COM RECOBRIMEN TO LATERAL DE 1 1/4 DE ONDA PARA TELHADO COM INCLINAÇÃO MÁXIMA DE 10°, COM ATÉ 2 ÁGUAS, INCLUSO IÇAMENTO</t>
  </si>
  <si>
    <t>TELHAMENTO COM TELHA ONDULADA DE FIBROCIMENTO E = 6 MM, COM RECOBRIMEN TO LATERAL DE 1/4 DE ONDA PARA TELHADO COM INCLINAÇÃO MAIOR QUE 10°, C OM ATÉ 2 ÁGUAS, INCLUSO IÇAMENTO. AF_06/2016</t>
  </si>
  <si>
    <t>TEODOLITO ELETRONICO, PRECISAO ANGULAR DE 5 A 7 SEGUNDOS, INCLUINDO TRIPE (LOCACAO)</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</si>
  <si>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</si>
  <si>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</si>
  <si>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</si>
  <si>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</si>
  <si>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</si>
  <si>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</si>
  <si>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</si>
  <si>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</si>
  <si>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</si>
  <si>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</si>
  <si>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</si>
  <si>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 PRESSAO REFORCADO PARA CONEXAO DE CABO DE COBRE A BARRA, CA BO 150 E 185MM2 - FORNECIMENTO E INSTALACAO</t>
  </si>
  <si>
    <t>TERMINAL AEREO EM ACO GALVANIZADO COM BASE DE FIXACAO H = 30CM</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</si>
  <si>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</si>
  <si>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</si>
  <si>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</si>
  <si>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</si>
  <si>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1 CABO, PARA CABOS DE 4 A 10 MM2, COM 2 FUROS PARA FIXACAO</t>
  </si>
  <si>
    <t>TERMINAL METALICO A PRESSAO P/ 1 CABO DE COBRE DE 25 MM2 COM 1 FURO DE FIXAÇÃO - FORNECIMENTO E INSTALACAO</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</si>
  <si>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</si>
  <si>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</si>
  <si>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</si>
  <si>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</si>
  <si>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</si>
  <si>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</si>
  <si>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</si>
  <si>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</si>
  <si>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</si>
  <si>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</si>
  <si>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</si>
  <si>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</si>
  <si>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 FORNECIMENTO E INS TALACAO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</si>
  <si>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</si>
  <si>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</si>
  <si>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</si>
  <si>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</si>
  <si>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 FORNECIMENTO E INS TALACAO</t>
  </si>
  <si>
    <t>TERMINAL METALICO A PRESSAO PARA 1 CABO DE 95 MM2, COM 1 FURO DE FIXACAO</t>
  </si>
  <si>
    <t>TERMINAL OU CONECTOR DE PRESSAO - PARA CABO 10MM2 - FORNECIMENTO E INS TALACAO</t>
  </si>
  <si>
    <t>TERMINAL OU CONECTOR DE PRESSAO - PARA CABO 120MM2 - FORNECIMENTO E IN STALACAO</t>
  </si>
  <si>
    <t>TERMINAL OU CONECTOR DE PRESSAO - PARA CABO 150MM2 - FORNECIMENTO E IN STALACAO</t>
  </si>
  <si>
    <t>TERMINAL OU CONECTOR DE PRESSAO - PARA CABO 16MM2 - FORNECIMENTO E INS TALACAO</t>
  </si>
  <si>
    <t>TERMINAL OU CONECTOR DE PRESSAO - PARA CABO 185MM2 - FORNECIMENTO E IN STALACAO</t>
  </si>
  <si>
    <t>TERMINAL OU CONECTOR DE PRESSAO - PARA CABO 240MM2 - FORNECIMENTO E IN STALACAO</t>
  </si>
  <si>
    <t>TERMINAL OU CONECTOR DE PRESSAO - PARA CABO 25MM2 - FORNECIMENTO E INS TALACAO</t>
  </si>
  <si>
    <t>TERMINAL OU CONECTOR DE PRESSAO - PARA CABO 300MM2 - FORNECIMENTO E IN STALACAO</t>
  </si>
  <si>
    <t>TERMINAL OU CONECTOR DE PRESSAO - PARA CABO 35MM2 - FORNECIMENTO E INS TALACAO</t>
  </si>
  <si>
    <t>TERMINAL OU CONECTOR DE PRESSAO - PARA CABO 50MM2 - FORNECIMENTO E INS TALACAO</t>
  </si>
  <si>
    <t>TERMINAL OU CONECTOR DE PRESSAO - PARA CABO 70MM2 - FORNECIMENTO E INS TALACAO</t>
  </si>
  <si>
    <t>TERMINAL OU CONECTOR DE PRESSAO - PARA CABO 95MM2 - FORNECIMENTO E INS TALACAO</t>
  </si>
  <si>
    <t>TERMOFUSORA PARA TUBOS E CONEXOES EM PPR COM DIAMETROS DE 20 A 63 MM, POTENCIA DE 800 W, TENSAO 220 V</t>
  </si>
  <si>
    <t>TERMOFUSORA PARA TUBOS E CONEXOES EM PPR COM DIAMETROS DE 75 A 110 MM, POTENCIA DE *1100* W, TENSAO 220 V</t>
  </si>
  <si>
    <t>TERRA VEGETAL (GRANEL)</t>
  </si>
  <si>
    <t>TESOURA / CORTADOR DE TUBOS PEX</t>
  </si>
  <si>
    <t>TESTEIRA ANTIDERRAPANTE PARA PISO VINILICO *5 X 2,5* CM, E = 2 MM</t>
  </si>
  <si>
    <t>TESTEIRA OU RODAPE VINILICO 6CM FIXADO COM COLA</t>
  </si>
  <si>
    <t>TEXTURA ACRÍLICA, APLICAÇÃO MANUAL EM PAREDE, UMA DEMÃO. AF_09/2016</t>
  </si>
  <si>
    <t>TEXTURA ACRÍLICA, APLICAÇÃO MANUAL EM TETO, UMA DEMÃO. AF_09/2016</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</si>
  <si>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</si>
  <si>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</si>
  <si>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</si>
  <si>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</si>
  <si>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</si>
  <si>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</si>
  <si>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DE PASSAGEM, EM PVC, JE, BBB, DN 100 X 100 MM, PARA REDE COLETORA DE ESGOTO NBR 10569</t>
  </si>
  <si>
    <t>TIL DE PASSAGEM, EM PVC, JE, BBB, DN 200 X 150 MM, PARA REDE COLETORA DE ESGOTO NBR 10569</t>
  </si>
  <si>
    <t>TIL DE PASSAGEM, EM PVC, JE, BBB, DN 250 X 150 MM, PARA REDE COLETORA DE ESGOTO NBR 10569</t>
  </si>
  <si>
    <t>TIL DE PASSAGEM, EM PVC, JE, BBB, DN 300 X 150 MM, PARA REDE COLETORA DE ESGOTO NBR 10569</t>
  </si>
  <si>
    <t>TIL PARA LIGACAO PREDIAL, EM PVC, JE, BBB, DN 100 X 100 MM, PARA REDE COLETORA ESGOTO (NBR 10569)</t>
  </si>
  <si>
    <t>TIL RADIAL, PVC, JE, BBB, DN 150 X 200 MM, PARA REDE COLETORA DE ESGOTO (NBR 10569)</t>
  </si>
  <si>
    <t>TIL RADIAL, PVC, JE, BBB, DN 300 X 200 MM, PARA REDE COLETORA DE ESGOTO (NBR 10569)</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</si>
  <si>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</si>
  <si>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</si>
  <si>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</si>
  <si>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</si>
  <si>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</si>
  <si>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</si>
  <si>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</si>
  <si>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</si>
  <si>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</si>
  <si>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</si>
  <si>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</si>
  <si>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</si>
  <si>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</si>
  <si>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</si>
  <si>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CORES VIVAS</t>
  </si>
  <si>
    <t>TINTA EPOXI</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</si>
  <si>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</si>
  <si>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</si>
  <si>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</si>
  <si>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</si>
  <si>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</si>
  <si>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</si>
  <si>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</si>
  <si>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</si>
  <si>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</si>
  <si>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</si>
  <si>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</si>
  <si>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</si>
  <si>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</si>
  <si>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EM FERRO GALVANIZADO PARA CONTRAVENTAMENTO DE TELHA CANALETE 90, 1/4 " X 400 MM</t>
  </si>
  <si>
    <t>TIRANTE PROTENDIDO P/  ANCORAGEM EM SOLO  C/ 6 FIOS ACO DURO 8MM, INCL USIVE PROTEÇÃO ANTICORR0SIVA.</t>
  </si>
  <si>
    <t>TIRANTES P/PROTENSAO E ANCORAGEM EM ROCHA C/ 6 FIOS ACO DURO 8MM .</t>
  </si>
  <si>
    <t>TIRANTES P/PROTENSAO E ANCORAGEM EM ROCHA C/ 8 FIOS ACO DURO 8MM .</t>
  </si>
  <si>
    <t>TIRANTES P/PROTENSAO E ANCORAGEM EM ROCHA C/10 FIOS ACO DURO 8MM .</t>
  </si>
  <si>
    <t>TIRANTES P/PROTENSAO E ANCORAGEM EM ROCHA C/12 FIOS ACO DURO 8MM .</t>
  </si>
  <si>
    <t>TIRANTES P/PROTENSAO E ANCORAGEM EM SOLO TRECHO ANCOR C/ 6 FIOS ACO DU RO 8MM , INCLUSIVE PROTECAO ANTICORROSIVA.</t>
  </si>
  <si>
    <t>TIRANTES P/PROTENSAO E ANCORAGEM EM SOLO TRECHO ANCOR C/ 8 FIOS ACO DU RO 8MM , INCLUSIVE PROTECAO ANTICORROSIVA.</t>
  </si>
  <si>
    <t>TIRANTES P/PROTENSAO E ANCORAGEM EM SOLO TRECHO ANCOR C/10 FIOS ACO DU RO 8MM .</t>
  </si>
  <si>
    <t>TIRANTES P/PROTENSAO E ANCORAGEM EM SOLO TRECHO ANCOR C/16 FIOS ACO DU RO 8MM .</t>
  </si>
  <si>
    <t>TIRANTES P/PROTENSAO E ANCORAGEM EM SOLO TRECHO LIVRE C/ 8 FIOS ACO DU RO 8MM INCLUSIVE PROTECAO ANTICORROSIVA.</t>
  </si>
  <si>
    <t>TIRANTES P/PROTENSAO E ANCORAGEM EM SOLO TRECHO LIVRE C/10 FIOS ACO DU RO 8MM INCLUSIVE PROTECAO ANTICORROSIVA.</t>
  </si>
  <si>
    <t>TIRANTES P/PROTENSAO E ANCORAGEM EM SOLO TRECHO LIVRE C/16 FIOS ACO DU RO 8MM INCLUSIVE PROTECAO ANTICORROSIVA.</t>
  </si>
  <si>
    <t>TOALHEIRO PLASTICO TIPO DISPENSER PARA PAPEL TOALHA INTERFOLHADO</t>
  </si>
  <si>
    <t>TOMADA 2P+T 20A 250V, CONJUNTO MONTADO PARA EMBUTIR 4" X 2" (PLACA + SUPORTE + MODULO)</t>
  </si>
  <si>
    <t>TOMADA 3P+T 30A/440V SEM PLACA - FORNECIMENTO E INSTALACAO</t>
  </si>
  <si>
    <t>TOMADA ALTA DE EMBUTIR (1 MÓDULO), 2P+T 10 A, INCLUINDO SUPORTE E PLAC A - FORNECIMENTO E INSTALAÇÃO. AF_12/2015</t>
  </si>
  <si>
    <t>TOMADA ALTA DE EMBUTIR (1 MÓDULO), 2P+T 10 A, SEM SUPORTE E SEM PLACA - FORNECIMENTO E INSTALAÇÃO. AF_12/2015</t>
  </si>
  <si>
    <t>TOMADA ALTA DE EMBUTIR (1 MÓDULO), 2P+T 20 A, INCLUINDO SUPORTE E PLAC A - FORNECIMENTO E INSTALAÇÃO. AF_12/2015</t>
  </si>
  <si>
    <t>TOMADA ALTA DE EMBUTIR (1 MÓDULO), 2P+T 20 A, SEM SUPORTE E SEM PLACA - FORNECIMENTO E INSTALAÇÃO. AF_12/2015</t>
  </si>
  <si>
    <t>TOMADA BAIXA DE EMBUTIR (1 MÓDULO), 2P+T 10 A, INCLUINDO SUPORTE E PLA CA - FORNECIMENTO E INSTALAÇÃO. AF_12/2015</t>
  </si>
  <si>
    <t>TOMADA BAIXA DE EMBUTIR (1 MÓDULO), 2P+T 10 A, SEM SUPORTE E SEM PLACA - FORNECIMENTO E INSTALAÇÃO. AF_12/2015</t>
  </si>
  <si>
    <t>TOMADA BAIXA DE EMBUTIR (1 MÓDULO), 2P+T 20 A, INCLUINDO SUPORTE E PLA CA - FORNECIMENTO E INSTALAÇÃO. AF_12/2015</t>
  </si>
  <si>
    <t>TOMADA BAIXA DE EMBUTIR (1 MÓDULO), 2P+T 20 A, SEM SUPORTE E SEM PLACA - FORNECIMENTO E INSTALAÇÃO. AF_12/2015</t>
  </si>
  <si>
    <t>TOMADA BAIXA DE EMBUTIR (2 MÓDULOS), 2P+T 10 A, INCLUINDO SUPORTE E PL ACA - FORNECIMENTO E INSTALAÇÃO. AF_12/2015</t>
  </si>
  <si>
    <t>TOMADA BAIXA DE EMBUTIR (2 MÓDULOS), 2P+T 10 A, SEM SUPORTE E SEM PLAC A - FORNECIMENTO E INSTALAÇÃO. AF_12/2015</t>
  </si>
  <si>
    <t>TOMADA BAIXA DE EMBUTIR (2 MÓDULOS), 2P+T 20 A, INCLUINDO SUPORTE E PL ACA - FORNECIMENTO E INSTALAÇÃO. AF_12/2015</t>
  </si>
  <si>
    <t>TOMADA BAIXA DE EMBUTIR (2 MÓDULOS), 2P+T 20 A, SEM SUPORTE E SEM PLAC A - FORNECIMENTO E INSTALAÇÃO. AF_12/2015</t>
  </si>
  <si>
    <t>TOMADA BAIXA DE EMBUTIR (3 MÓDULOS), 2P+T 10 A, INCLUINDO SUPORTE E PL ACA - FORNECIMENTO E INSTALAÇÃO. AF_12/2015</t>
  </si>
  <si>
    <t>TOMADA BAIXA DE EMBUTIR (3 MÓDULOS), 2P+T 10 A, SEM SUPORTE E SEM PLAC A - FORNECIMENTO E INSTALAÇÃO. AF_12/2015</t>
  </si>
  <si>
    <t>TOMADA BAIXA DE EMBUTIR (3 MÓDULOS), 2P+T 20 A, INCLUINDO SUPORTE E PL ACA - FORNECIMENTO E INSTALAÇÃO. AF_12/2015</t>
  </si>
  <si>
    <t>TOMADA BAIXA DE EMBUTIR (3 MÓDULOS), 2P+T 20 A, SEM SUPORTE E SEM PLAC A - FORNECIMENTO E INSTALAÇÃO. AF_12/2015</t>
  </si>
  <si>
    <t>TOMADA BAIXA DE EMBUTIR (4 MÓDULOS), 2P+T 10 A, INCLUINDO SUPORTE E PL ACA - FORNECIMENTO E INSTALAÇÃO. AF_12/2015</t>
  </si>
  <si>
    <t>TOMADA BAIXA DE EMBUTIR (4 MÓDULOS), 2P+T 10 A, SEM SUPORTE E SEM PLAC A - FORNECIMENTO E INSTALAÇÃO. AF_12/2015</t>
  </si>
  <si>
    <t>TOMADA BAIXA DE EMBUTIR (6 MÓDULOS), 2P+T 10 A, INCLUINDO SUPORTE E PL ACA - FORNECIMENTO E INSTALAÇÃO. AF_12/2015</t>
  </si>
  <si>
    <t>TOMADA BAIXA DE EMBUTIR (6 MÓDULOS), 2P+T 10 A, SEM SUPORTE E SEM PLAC A - FORNECIMENTO E INSTALAÇÃO. AF_12/2015</t>
  </si>
  <si>
    <t>TOMADA MÉDIA DE EMBUTIR (1 MÓDULO), 2P+T 10 A, INCLUINDO SUPORTE E PLA CA - FORNECIMENTO E INSTALAÇÃO. AF_12/2015</t>
  </si>
  <si>
    <t>TOMADA MÉDIA DE EMBUTIR (1 MÓDULO), 2P+T 10 A, SEM SUPORTE E SEM PLACA - FORNECIMENTO E INSTALAÇÃO. AF_12/2015</t>
  </si>
  <si>
    <t>TOMADA MÉDIA DE EMBUTIR (1 MÓDULO), 2P+T 20 A, INCLUINDO SUPORTE E PLA CA - FORNECIMENTO E INSTALAÇÃO. AF_12/2015</t>
  </si>
  <si>
    <t>TOMADA MÉDIA DE EMBUTIR (1 MÓDULO), 2P+T 20 A, SEM SUPORTE E SEM PLACA - FORNECIMENTO E INSTALAÇÃO. AF_12/2015</t>
  </si>
  <si>
    <t>TOMADA MÉDIA DE EMBUTIR (2 MÓDULOS), 2P+T 10 A, INCLUINDO SUPORTE E PL ACA - FORNECIMENTO E INSTALAÇÃO. AF_12/2015</t>
  </si>
  <si>
    <t>TOMADA MÉDIA DE EMBUTIR (2 MÓDULOS), 2P+T 10 A, SEM SUPORTE E SEM PLAC A - FORNECIMENTO E INSTALAÇÃO. AF_12/2015</t>
  </si>
  <si>
    <t>TOMADA MÉDIA DE EMBUTIR (2 MÓDULOS), 2P+T 20 A, INCLUINDO SUPORTE E PL ACA - FORNECIMENTO E INSTALAÇÃO. AF_12/2015</t>
  </si>
  <si>
    <t>TOMADA MÉDIA DE EMBUTIR (2 MÓDULOS), 2P+T 20 A, SEM SUPORTE E SEM PLAC A - FORNECIMENTO E INSTALAÇÃO. AF_12/2015</t>
  </si>
  <si>
    <t>TOMADA MÉDIA DE EMBUTIR (3 MÓDULOS), 2P+T 10 A, INCLUINDO SUPORTE E PL ACA - FORNECIMENTO E INSTALAÇÃO. AF_12/2015</t>
  </si>
  <si>
    <t>TOMADA MÉDIA DE EMBUTIR (3 MÓDULOS), 2P+T 10 A, SEM SUPORTE E SEM PLAC A - FORNECIMENTO E INSTALAÇÃO. AF_12/2015</t>
  </si>
  <si>
    <t>TOMADA MÉDIA DE EMBUTIR (3 MÓDULOS), 2P+T 20 A, INCLUINDO SUPORTE E PL ACA - FORNECIMENTO E INSTALAÇÃO. AF_12/2015</t>
  </si>
  <si>
    <t>TOMADA MÉDIA DE EMBUTIR (3 MÓDULOS), 2P+T 20 A, SEM SUPORTE E SEM PLAC A - FORNECIMENTO E INSTALAÇÃO. AF_12/2015</t>
  </si>
  <si>
    <t>TOMADA PARA TELEFONE DE 4 POLOS PADRAO TELEBRAS - FORNECIMENTO E INSTA LACAO</t>
  </si>
  <si>
    <t>TOPOGRAFO</t>
  </si>
  <si>
    <t>TOPOGRAFO COM ENCARGOS COMPLEMENTARES</t>
  </si>
  <si>
    <t>TORNEIRA CROMADA 1/2" OU 3/4" PARA TANQUE, PADRÃO POPULAR - FORNECIMEN TO E INSTALAÇÃO. AF_12/2013</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</si>
  <si>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</si>
  <si>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</si>
  <si>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</si>
  <si>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</si>
  <si>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</si>
  <si>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</si>
  <si>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</si>
  <si>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</si>
  <si>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MESA, 1/2" OU 3/4", PARA LAVATÓRIO, PADRÃO MÉDIO - FORNECIMENTO E INSTALAÇÃO. AF_12/2013</t>
  </si>
  <si>
    <t>TORNEIRA CROMADA DE MESA, 1/2" OU 3/4", PARA LAVATÓRIO, PADRÃO POPULAR - FORNECIMENTO E INSTALAÇÃO. AF_12/2013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</si>
  <si>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</si>
  <si>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</si>
  <si>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</si>
  <si>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</si>
  <si>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</si>
  <si>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LONGA, DE PAREDE, 1/2" OU 3/4", PARA PIA DE COZINHA, PADRÃO MÉDIO - FORNECIMENTO E INSTALAÇÃO. AF_12/2013</t>
  </si>
  <si>
    <t>TORNEIRA CROMADA SEM BICO PARA TANQUE 1/2 " OU 3/4 " (REF 1143)</t>
  </si>
  <si>
    <t>TORNEIRA CROMADA SEM BICO PARA TANQUE, PADRAO POPULAR, 1/2 " OU 3/4 " (REF 1126)</t>
  </si>
  <si>
    <t>TORNEIRA CROMADA TUBO MÓVEL, DE MESA, 1/2" OU 3/4", PARA PIA DE COZINH A, PADRÃO ALTO - FORNECIMENTO E INSTALAÇÃO. AF_12/2013</t>
  </si>
  <si>
    <t>TORNEIRA CROMADA TUBO MÓVEL, DE PAREDE, 1/2" OU 3/4", PARA PIA DE COZI NHA, PADRÃO MÉDIO - FORNECIMENTO E INSTALAÇÃO. AF_12/2013</t>
  </si>
  <si>
    <t>TORNEIRA DE BOIA CONVENCIONAL PLASTICA 1/2 " COM BALAO PLASTICO</t>
  </si>
  <si>
    <t>TORNEIRA DE BOIA CONVENCIONAL PLASTICA 3/4 " COM BALAO PLASTICO</t>
  </si>
  <si>
    <t>TORNEIRA DE BOIA REAL 1" C/ BALAO PLASTICO</t>
  </si>
  <si>
    <t>TORNEIRA DE BOIA REAL 1.1/2" C/ BALAO PLASTICO</t>
  </si>
  <si>
    <t>TORNEIRA DE BOIA REAL 1/2" C/ BALAO METALICO</t>
  </si>
  <si>
    <t>TORNEIRA DE BOIA REAL 2" C/ BALAO PLASTICO</t>
  </si>
  <si>
    <t>TORNEIRA DE BOIA REAL 3/4" C/ BALAO METALICO</t>
  </si>
  <si>
    <t>TORNEIRA DE BÓIA REAL, ROSCÁVEL, 1 1/2", FORNECIDA E INSTALADA EM RESE RVAÇÃO DE ÁGUA. AF_06/2016</t>
  </si>
  <si>
    <t>TORNEIRA DE BÓIA REAL, ROSCÁVEL, 1 1/4", FORNECIDA E INSTALADA EM RESE RVAÇÃO DE ÁGUA. AF_06/2016</t>
  </si>
  <si>
    <t>TORNEIRA DE BÓIA REAL, ROSCÁVEL, 1", FORNECIDA E INSTALADA EM RESERVAÇ ÃO DE ÁGUA. AF_06/2016</t>
  </si>
  <si>
    <t>TORNEIRA DE BÓIA REAL, ROSCÁVEL, 1/2", FORNECIDA E INSTALADA EM RESERV AÇÃO DE ÁGUA. AF_06/2016</t>
  </si>
  <si>
    <t>TORNEIRA DE BÓIA REAL, ROSCÁVEL, 2", FORNECIDA E INSTALADA EM RESERVAÇ ÃO DE ÁGUA. AF_06/2016</t>
  </si>
  <si>
    <t>TORNEIRA DE BÓIA REAL, ROSCÁVEL, 3/4", FORNECIDA E INSTALADA EM RESERV AÇÃO DE ÁGUA. AF_06/2016</t>
  </si>
  <si>
    <t>TORNEIRA DE BOIA VAZAO TOTAL 1" C/ BALAO PLASTICO OU METALICO</t>
  </si>
  <si>
    <t>TORNEIRA DE BOIA VAZAO TOTAL 1/2" C/ BALAO PLASTICO OU METALICO</t>
  </si>
  <si>
    <t>TORNEIRA DE BOIA VAZAO TOTAL 3/4" C/ BALAO PLASTICO OU METALICO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</si>
  <si>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</si>
  <si>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</si>
  <si>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</si>
  <si>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1.1/4", COM HASTE METALICA E BALAO PLASTICO</t>
  </si>
  <si>
    <t>TORNEIRA PLÁSTICA 3/4" PARA TANQUE - FORNECIMENTO E INSTALAÇÃO. AF_12/ 2013</t>
  </si>
  <si>
    <t>TORNEIRA PLASTICA DE BOIA CONVENCIONAL PARA CAIXA DE AGUA, 3/4 ", COM HASTE METALICA E COM BALAO PLASTICO (PADRAO POPULAR)</t>
  </si>
  <si>
    <t>TORNEIRA PLASTICA DE BOIA PARA CAIXA DE DESCARGA,  1/2", COM HASTE  METALICA E BALAO PLASTICO</t>
  </si>
  <si>
    <t>TORNEIRA PLASTICA DE MESA PARA LAVATORIO 1/2 "</t>
  </si>
  <si>
    <t>TORNEIRA PLASTICA DE MESA, BICA MOVEL, PARA COZINHA 1/2 "</t>
  </si>
  <si>
    <t>TORNEIRA PLASTICA PARA TANQUE 1/2 " OU 3/4 " COM BICO PARA MANGUEIRA</t>
  </si>
  <si>
    <t>TORRE METALICA COMPLETA PARA UMA CARGA DE 8 TF (80 KN)  E PE DIREITO DE 6 M, INCLUINDO MODULOS , DIAGONAIS, SAPATAS E FORCADOS (LOCACAO) (COLETADO CAIXA)</t>
  </si>
  <si>
    <t>TRAMA DE AÇO COMPOSTA POR RIPAS E CAIBROS PARA TELHADOS DE ATÉ 2 ÁGUAS PARA TELHA CERÂMICA CAPA-CANAL, INCLUSO TRANSPORTE VERTICAL. AF_12/20 15</t>
  </si>
  <si>
    <t>TRAMA DE AÇO COMPOSTA POR RIPAS E CAIBROS PARA TELHADOS DE ATÉ 2 ÁGUAS PARA TELHA DE ENCAIXE DE CERÂMICA OU DE CONCRETO, INCLUSO TRANSPORTE VERTICAL. AF_12/2015</t>
  </si>
  <si>
    <t>TRAMA DE AÇO COMPOSTA POR RIPAS E CAIBROS PARA TELHADOS DE MAIS DE 2 Á GUAS PARA TELHA CERÂMICA CAPA-CANAL, INCLUSO TRANSPORTE VERTICAL. AF_1 2/2015</t>
  </si>
  <si>
    <t>TRAMA DE AÇO COMPOSTA POR RIPAS E CAIBROS PARA TELHADOS DE MAIS DE 2 Á GUAS PARA TELHA DE ENCAIXE DE CERÂMICA OU DE CONCRETO, INCLUSO TRANSPO RTE VERTICAL. AF_12/2015</t>
  </si>
  <si>
    <t>TRAMA DE AÇO COMPOSTA POR RIPAS PARA TELHADOS DE ATÉ 2 ÁGUAS PARA TELH A CERÂMICA CAPA-CANAL, INCLUSO TRANSPORTE VERTICAL. AF_12/2015</t>
  </si>
  <si>
    <t>TRAMA DE AÇO COMPOSTA POR RIPAS PARA TELHADOS DE ATÉ 2 ÁGUAS PARA TELH A DE ENCAIXE DE CERÂMICA OU DE CONCRETO, INCLUSO TRANSPORTE VERTICAL. AF_12/2015</t>
  </si>
  <si>
    <t>TRAMA DE AÇO COMPOSTA POR RIPAS PARA TELHADOS DE MAIS DE 2 ÁGUAS PARA TELHA CERÂMICA CAPA-CANAL, INCLUSO TRANSPORTE VERTICAL. AF_12/2015</t>
  </si>
  <si>
    <t>TRAMA DE AÇO COMPOSTA POR RIPAS PARA TELHADOS DE MAIS DE 2 ÁGUAS PARA TELHA DE ENCAIXE DE CERÂMICA OU DE CONCRETO, INCLUSO TRANSPORTE VERTIC AL, INCLUSO TRANSPORTE VERTICAL. AF_12/2015</t>
  </si>
  <si>
    <t>TRAMA DE AÇO COMPOSTA POR RIPAS, CAIBROS E TERÇAS PARA TELHADOS DE ATÉ 2 ÁGUAS PARA TELHA CERÂMICA CAPA-CANAL, INCLUSO TRANSPORTE VERTICAL. AF_12/2015</t>
  </si>
  <si>
    <t>TRAMA DE AÇO COMPOSTA POR RIPAS, CAIBROS E TERÇAS PARA TELHADOS DE ATÉ 2 ÁGUAS PARA TELHA DE ENCAIXE DE CERÂMICA OU DE CONCRETO, INCLUSO TRA NSPORTE VERTICAL. AF_12/2015</t>
  </si>
  <si>
    <t>TRAMA DE AÇO COMPOSTA POR RIPAS, CAIBROS E TERÇAS PARA TELHADOS DE MAI S DE 2 ÁGUAS PARA TELHA CERÂMICA CAPA-CANAL, INCLUSO TRANSPORTE VERTIC AL. AF_12/2015</t>
  </si>
  <si>
    <t>TRAMA DE AÇO COMPOSTA POR RIPAS, CAIBROS E TERÇAS PARA TELHADOS DE MAI S DE 2 ÁGUAS PARA TELHA DE ENCAIXE DE CERÂMICA OU DE CONCRETO, INCLUSO TRANSPORTE VERTICAL. AF_12/2015</t>
  </si>
  <si>
    <t>TRAMA DE AÇO COMPOSTA POR TERÇAS PARA TELHADOS DE ATÉ 2 ÁGUAS PARA TEL HA ESTRUTURAL DE FIBROCIMENTO, INCLUSO TRANSPORTE VERTICAL. AF_12/2015</t>
  </si>
  <si>
    <t>TRAMA DE AÇO COMPOSTA POR TERÇAS PARA TELHADOS DE ATÉ 2 ÁGUAS PARA TEL HA ONDULADA DE FIBROCIMENTO, METÁLICA, PLÁSTICA OU TERMOACÚSTICA, INCL USO TRANSPORTE VERTICAL. AF_12/2015</t>
  </si>
  <si>
    <t>TRAMA DE MADEIRA COMPOSTA POR RIPAS, CAIBROS E TERÇAS PARA TELHADOS DE ATÉ 2 ÁGUAS PARA TELHA CERÂMICA CAPA-CANAL, INCLUSO TRANSPORTE VERTIC AL.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</si>
  <si>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</si>
  <si>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CERÂMICA CAPA-CANAL, INCLUSO TRANSPORTE V ERTICAL. AF_12/2015</t>
  </si>
  <si>
    <t>TRAMA DE MADEIRA COMPOSTA POR RIPAS, CAIBROS E TERÇAS PARA TELHADOS DE MAIS QUE 2 ÁGUAS PARA TELHA DE ENCAIXE DE CERÂMICA OU DE CONCRETO, IN CLUSO TRANSPORTE VERTICAL. AF_12/2015</t>
  </si>
  <si>
    <t>TRAMA DE MADEIRA COMPOSTA POR TERÇAS PARA TELHADOS DE ATÉ 2 ÁGUAS PARA TELHA ESTRUTURAL DE FIBROCIMENTO, INCLUSO TRANSPORTE VERTICAL. AF_12/ 2015</t>
  </si>
  <si>
    <t>TRAMA DE MADEIRA COMPOSTA POR TERÇAS PARA TELHADOS DE ATÉ 2 ÁGUAS PARA TELHA ONDULADA DE FIBROCIMENTO, METÁLICA, PLÁSTICA OU TERMOACÚSTICA, INCLUSO TRANSPORTE VERTICAL. AF_12/2015</t>
  </si>
  <si>
    <t>TRANSFORMADOR DISTRIBUICAO  1000KVA TRIFASICO 60HZ CLASSE 15KV IMERSO EM ÓLEO MINERAL FORNECIMENTO E INSTALACAO</t>
  </si>
  <si>
    <t>TRANSFORMADOR DISTRIBUICAO  112,5KVA TRIFASICO 60HZ CLASSE 15KV IMERSO EM ÓLEO MINERAL FORNECIMENTO E INSTALACAO</t>
  </si>
  <si>
    <t>TRANSFORMADOR DISTRIBUICAO  150KVA TRIFASICO 60HZ CLASSE 15KV IMERSO E M ÓLEO MINERAL FORNECIMENTO E INSTALACAO</t>
  </si>
  <si>
    <t>TRANSFORMADOR DISTRIBUICAO  225KVA TRIFASICO 60HZ CLASSE 15KV IMERSO E M ÓLEO MINERAL FORNECIMENTO E INSTALACAO</t>
  </si>
  <si>
    <t>TRANSFORMADOR DISTRIBUICAO  300KVA TRIFASICO 60HZ CLASSE 15KV IMERSO E 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</si>
  <si>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</si>
  <si>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</si>
  <si>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500KVA TRIFASICO 60HZ CLASSE 15KV IMERSO E M ÓLEO MINERAL FORNECIMENTO E INSTALACAO</t>
  </si>
  <si>
    <t>TRANSFORMADOR DISTRIBUICAO  750KVA TRIFASICO 60HZ CLASSE 15KV IMERSO E M ÓLEO MINERAL FORNECIMENTO E INSTALACAO</t>
  </si>
  <si>
    <t>TRANSFORMADOR DISTRIBUICAO  75KVA TRIFASICO 60HZ CLASSE 15KV IMERSO EM ÓLEO MINERAL FORNECIMENTO E INSTALACAO</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</si>
  <si>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</si>
  <si>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</si>
  <si>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</si>
  <si>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</si>
  <si>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</si>
  <si>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</si>
  <si>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</si>
  <si>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</si>
  <si>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</si>
  <si>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</si>
  <si>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</si>
  <si>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</si>
  <si>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(ENCARGOS COMPLEMENTARES) (COLETADO CAIXA)</t>
  </si>
  <si>
    <t>TRANSPORTE - MENSALISTA (ENCARGOS COMPLEMENTARES) (COLETADO CAIXA)</t>
  </si>
  <si>
    <t>TRANSPORTE COM CAMINHÃO BASCULANTE 10 M3 DE MASSA ASFALTICA PARA PAVIM ENTAÇÃO URBANA</t>
  </si>
  <si>
    <t>M3XKM</t>
  </si>
  <si>
    <t>TRANSPORTE COM CAMINHÃO BASCULANTE 6 M3 EM RODOVIA COM LEITO NATURAL</t>
  </si>
  <si>
    <t>TRANSPORTE COM CAMINHÃO BASCULANTE 6 M3 EM RODOVIA COM LEITO NATURAL, DMT 200 A 400 M</t>
  </si>
  <si>
    <t>TRANSPORTE COM CAMINHÃO BASCULANTE 6 M3 EM RODOVIA COM LEITO NATURAL, DMT 400 A 60</t>
  </si>
  <si>
    <t>TRANSPORTE COM CAMINHÃO BASCULANTE 6 M3 EM RODOVIA COM LEITO NATURAL, DMT 600 A 800 M</t>
  </si>
  <si>
    <t>TRANSPORTE COM CAMINHÃO BASCULANTE 6 M3 EM RODOVIA COM LEITO NATURAL, DMT 800 A 1.000 M</t>
  </si>
  <si>
    <t>TRANSPORTE COM CAMINHÃO BASCULANTE 6 M3 EM RODOVIA COM LEITO NATURAL, DMT ATÉ 200 M</t>
  </si>
  <si>
    <t>TRANSPORTE COM CAMINHÃO BASCULANTE 6 M3 EM RODOVIA COM REVESTIMENTO PR IMÁRIO</t>
  </si>
  <si>
    <t>TRANSPORTE COM CAMINHÃO BASCULANTE 6 M3 EM RODOVIA COM REVESTIMENTO PR IMÁRIO,  DMT 600 A 800 M</t>
  </si>
  <si>
    <t>TRANSPORTE COM CAMINHÃO BASCULANTE 6 M3 EM RODOVIA COM REVESTIMENTO PR IMÁRIO,  DMT 800 A 1.000 M</t>
  </si>
  <si>
    <t>TRANSPORTE COM CAMINHÃO BASCULANTE 6 M3 EM RODOVIA COM REVESTIMENTO PR IMÁRIO, DMT 200 A 400 M</t>
  </si>
  <si>
    <t>TRANSPORTE COM CAMINHÃO BASCULANTE 6 M3 EM RODOVIA COM REVESTIMENTO PR IMÁRIO, DMT 400 A 600 M</t>
  </si>
  <si>
    <t>TRANSPORTE COM CAMINHÃO BASCULANTE 6 M3 EM RODOVIA COM REVESTIMENTO PR IMÁRIO, DMT ATÉ 200 M</t>
  </si>
  <si>
    <t>TRANSPORTE COM CAMINHÃO BASCULANTE 6 M3 EM RODOVIA PAVIMENTADA ( PARA DISTÂNCIAS SUPERIORES A 4 KM)</t>
  </si>
  <si>
    <t>TRANSPORTE COM CAMINHÃO BASCULANTE 6 M3 EM RODOVIA PAVIMENTADA,  DMT A TÉ 200 M</t>
  </si>
  <si>
    <t>TRANSPORTE COM CAMINHÃO BASCULANTE 6 M3 EM RODOVIA PAVIMENTADA, DMT 20 0 A 400 M</t>
  </si>
  <si>
    <t>TRANSPORTE COM CAMINHÃO BASCULANTE 6 M3 EM RODOVIA PAVIMENTADA, DMT 40 0 A 600 M</t>
  </si>
  <si>
    <t>TRANSPORTE COM CAMINHÃO BASCULANTE 6 M3 EM RODOVIA PAVIMENTADA, DMT 60 0 A 800 M</t>
  </si>
  <si>
    <t>TRANSPORTE COM CAMINHÃO BASCULANTE 6 M3 EM RODOVIA PAVIMENTADA, DMT 80 0 A 1.000 M</t>
  </si>
  <si>
    <t>TRANSPORTE COM CAMINHÃO BASCULANTE DE 10 M3, EM VIA URBANA EM LEITO NA TURAL (UNIDADE: M3XKM). AF_04/2016</t>
  </si>
  <si>
    <t>TRANSPORTE COM CAMINHÃO BASCULANTE DE 10 M3, EM VIA URBANA EM LEITO NA TURAL (UNIDADE: TONXKM). AF_04/2016</t>
  </si>
  <si>
    <t>TXKM</t>
  </si>
  <si>
    <t>TRANSPORTE COM CAMINHÃO BASCULANTE DE 10 M3, EM VIA URBANA EM REVESTIM ENTO PRIMÁRIO (UNIDADE: M3XKM). AF_04/2016</t>
  </si>
  <si>
    <t>TRANSPORTE COM CAMINHÃO BASCULANTE DE 10 M3, EM VIA URBANA EM REVESTIM ENTO PRIMÁRIO (UNIDADE: TONXKM). AF_04/2016</t>
  </si>
  <si>
    <t>TRANSPORTE COM CAMINHÃO BASCULANTE DE 10 M3, EM VIA URBANA PAVIMENTADA (UNIDADE: M3XKM). AF_04/2016</t>
  </si>
  <si>
    <t>TRANSPORTE COM CAMINHÃO BASCULANTE DE 10 M3, EM VIA URBANA PAVIMENTADA (UNIDADE: TONXKM). AF_04/2016</t>
  </si>
  <si>
    <t>TRANSPORTE COM CAMINHÃO BASCULANTE DE 14 M3, EM VIA URBANA EM LEITO NA TURAL (UNIDADE: M3XKM). AF_04/2016</t>
  </si>
  <si>
    <t>TRANSPORTE COM CAMINHÃO BASCULANTE DE 14 M3, EM VIA URBANA EM LEITO NA TURAL (UNIDADE: TONXKM). AF_04/2016</t>
  </si>
  <si>
    <t>TRANSPORTE COM CAMINHÃO BASCULANTE DE 14 M3, EM VIA URBANA EM REVESTIM ENTO PRIMÁRIO (UNIDADE: M3XKM). AF_04/2016</t>
  </si>
  <si>
    <t>TRANSPORTE COM CAMINHÃO BASCULANTE DE 14 M3, EM VIA URBANA EM REVESTIM ENTO PRIMÁRIO (UNIDADE: TONXKM). AF_04/2016</t>
  </si>
  <si>
    <t>TRANSPORTE COM CAMINHÃO BASCULANTE DE 14 M3, EM VIA URBANA PAVIMENTADA (UNIDADE: M3XKM). AF_04/2016</t>
  </si>
  <si>
    <t>TRANSPORTE COM CAMINHÃO BASCULANTE DE 14 M3, EM VIA URBANA PAVIMENTADA (UNIDADE: TONXKM). AF_04/2016</t>
  </si>
  <si>
    <t>TRANSPORTE COM CAMINHÃO BASCULANTE DE 18 M3, EM VIA URBANA EM LEITO NA TURAL (UNIDADE: M3XKM). AF_09/2016</t>
  </si>
  <si>
    <t>TRANSPORTE COM CAMINHÃO BASCULANTE DE 18 M3, EM VIA URBANA EM LEITO NA TURAL (UNIDADE: TONXKM). AF_09/2016</t>
  </si>
  <si>
    <t>TRANSPORTE COM CAMINHÃO BASCULANTE DE 18 M3, EM VIA URBANA EM REVESTIM ENTO PRIMÁRIO (UNIDADE: M3XKM). AF_09/2016</t>
  </si>
  <si>
    <t>TRANSPORTE COM CAMINHÃO BASCULANTE DE 18 M3, EM VIA URBANA EM REVESTIM ENTO PRIMÁRIO (UNIDADE: TONXKM). AF_09/2016</t>
  </si>
  <si>
    <t>TRANSPORTE COM CAMINHÃO BASCULANTE DE 18 M3, EM VIA URBANA PAVIMENTADA (UNIDADE: M3XKM). AF_09/2016</t>
  </si>
  <si>
    <t>TRANSPORTE COM CAMINHÃO BASCULANTE DE 18 M3, EM VIA URBANA PAVIMENTADA (UNIDADE: TONXKM). AF_09/2016</t>
  </si>
  <si>
    <t>TRANSPORTE COMERCIAL COM CAMINHAO BASCULANTE 6 M3, RODOVIA COM REVESTI MENTO PRIMARIO</t>
  </si>
  <si>
    <t>TRANSPORTE COMERCIAL COM CAMINHAO BASCULANTE 6 M3, RODOVIA EM LEITO NA TURAL</t>
  </si>
  <si>
    <t>TRANSPORTE COMERCIAL COM CAMINHAO BASCULANTE 6 M3, RODOVIA PAVIMENTADA</t>
  </si>
  <si>
    <t>TRANSPORTE COMERCIAL COM CAMINHAO CARROCERIA 9 T, RODOVIA COM REVESTIM ENTO PRIMARIO</t>
  </si>
  <si>
    <t>TRANSPORTE COMERCIAL COM CAMINHAO CARROCERIA 9 T, RODOVIA EM LEITO NAT URAL</t>
  </si>
  <si>
    <t>TRANSPORTE COMERCIAL COM CAMINHAO CARROCERIA 9 T, RODOVIA PAVIMENTADA</t>
  </si>
  <si>
    <t>TRANSPORTE DE ENTULHO COM CAMINHAO BASCULANTE 6 M3, RODOVIA PAVIMENTAD A, DMT 0,5 A 1,0 KM</t>
  </si>
  <si>
    <t>TRANSPORTE DE ENTULHO COM CAMINHÃO BASCULANTE 6 M3, RODOVIA PAVIMENTAD A, DMT ATE 0,5 KM</t>
  </si>
  <si>
    <t>TRANSPORTE DE MATERIAL ASFALTICO, COM CAMINHÃO COM CAPACIDADE DE 20000 L EM RODOVIA NÃO PAVIMENTADA PARA DISTÂNCIAS MÉDIAS DE TRANSPORTE IGU AL OU INFERIOR A 100 KM. AF_02/2016</t>
  </si>
  <si>
    <t>TRANSPORTE DE MATERIAL ASFALTICO, COM CAMINHÃO COM CAPACIDADE DE 20000 L EM RODOVIA PAVIMENTADA PARA DISTÂNCIAS MÉDIAS DE TRANSPORTE IGUAL O U INFERIOR A 100 KM. AF_02/2016</t>
  </si>
  <si>
    <t>TRANSPORTE DE MATERIAL ASFALTICO, COM CAMINHÃO COM CAPACIDADE DE 30000 L EM RODOVIA NÃO PAVIMENTADA PARA DISTÂNCIAS MÉDIAS DE TRANSPORTE SUP ERIORES A 100 KM. AF_02/2016</t>
  </si>
  <si>
    <t>TRANSPORTE DE MATERIAL ASFALTICO, COM CAMINHÃO COM CAPACIDADE DE 30000 L EM RODOVIA PAVIMENTADA PARA DISTÂNCIAS MÉDIAS DE TRANSPORTE SUPERIO RES A 100 KM. AF_02/2016</t>
  </si>
  <si>
    <t>TRANSPORTE DE PAVIMENTACAO REMOVIDA (RODOVIAS NAO URBANAS)</t>
  </si>
  <si>
    <t>TRANSPORTE DE TUBOS DE FERRO DUTIL DN 100</t>
  </si>
  <si>
    <t>TRANSPORTE DE TUBOS DE FERRO DUTIL DN 1000</t>
  </si>
  <si>
    <t>TRANSPORTE DE TUBOS DE FERRO DUTIL DN 1100</t>
  </si>
  <si>
    <t>TRANSPORTE DE TUBOS DE FERRO DUTIL DN 1200</t>
  </si>
  <si>
    <t>TRANSPORTE DE TUBOS DE FERRO DUTIL DN 150</t>
  </si>
  <si>
    <t>TRANSPORTE DE TUBOS DE FERRO DUTIL DN 200</t>
  </si>
  <si>
    <t>TRANSPORTE DE TUBOS DE FERRO DUTIL DN 250</t>
  </si>
  <si>
    <t>TRANSPORTE DE TUBOS DE FERRO DUTIL DN 300</t>
  </si>
  <si>
    <t>TRANSPORTE DE TUBOS DE FERRO DUTIL DN 350</t>
  </si>
  <si>
    <t>TRANSPORTE DE TUBOS DE FERRO DUTIL DN 400</t>
  </si>
  <si>
    <t>TRANSPORTE DE TUBOS DE FERRO DUTIL DN 450</t>
  </si>
  <si>
    <t>TRANSPORTE DE TUBOS DE FERRO DUTIL DN 500</t>
  </si>
  <si>
    <t>TRANSPORTE DE TUBOS DE FERRO DUTIL DN 600</t>
  </si>
  <si>
    <t>TRANSPORTE DE TUBOS DE FERRO DUTIL DN 700</t>
  </si>
  <si>
    <t>TRANSPORTE DE TUBOS DE FERRO DUTIL DN 75</t>
  </si>
  <si>
    <t>TRANSPORTE DE TUBOS DE FERRO DUTIL DN 800</t>
  </si>
  <si>
    <t>TRANSPORTE DE TUBOS DE FERRO DUTIL DN 900</t>
  </si>
  <si>
    <t>TRANSPORTE DE TUBOS DE PVC DN 1000</t>
  </si>
  <si>
    <t>TRANSPORTE DE TUBOS DE PVC DN 200</t>
  </si>
  <si>
    <t>TRANSPORTE DE TUBOS DE PVC DN 250</t>
  </si>
  <si>
    <t>TRANSPORTE DE TUBOS DE PVC DN 300</t>
  </si>
  <si>
    <t>TRANSPORTE DE TUBOS DE PVC DN 350</t>
  </si>
  <si>
    <t>TRANSPORTE DE TUBOS DE PVC DN 400</t>
  </si>
  <si>
    <t>TRANSPORTE DE TUBOS DE PVC DN 500</t>
  </si>
  <si>
    <t>TRANSPORTE DE TUBOS DE PVC DN 600</t>
  </si>
  <si>
    <t>TRANSPORTE DE TUBOS DE PVC DN 700</t>
  </si>
  <si>
    <t>TRANSPORTE DE TUBOS DE PVC DN 800</t>
  </si>
  <si>
    <t>TRANSPORTE DE TUBOS DE PVC DN 900</t>
  </si>
  <si>
    <t>TRANSPORTE HORIZONTAL DE 100 M COM CARRINHO PLATAFORMA COM BACIA SANIT ÁRIA, CAIXA ACOPLADA, TANQUE OU PIA. AF_07/2016</t>
  </si>
  <si>
    <t>TRANSPORTE HORIZONTAL DE 100 M COM CARRINHO PLATAFORMA COM BANCADA DE MÁRMORE OU GRANITO PARA COZINHA/LAVATÓRIO OU MÁRMORE SINTÉTICO COM CUB A INTEGRADA. AF_07/2016</t>
  </si>
  <si>
    <t>TRANSPORTE HORIZONTAL DE 100 M COM CARRINHO PLATAFORMA COM BARRAMENTO BLINDADO. AF_07/2016</t>
  </si>
  <si>
    <t>TRANSPORTE HORIZONTAL DE 100 M COM CARRINHO PLATAFORMA COM TELHA DE CO NCRETO OU CERÂMICA. AF_07/2016</t>
  </si>
  <si>
    <t>TRANSPORTE HORIZONTAL DE 100 M COM MANIPULADOR TELESCÓPICO DE BACIAS S ANITÁRIAS, CAIXA ACOPLADA, TANQUE OU PIA. AF_07/2016</t>
  </si>
  <si>
    <t>TRANSPORTE HORIZONTAL DE 100 M COM MANIPULADOR TELESCÓPICO DE TELHAS D E CONCRETO OU CERÂMICA. AF_07/2016</t>
  </si>
  <si>
    <t>TRANSPORTE HORIZONTAL DE 100 M COM MANIPULADOR TELESCÓPICO DE TELHAS T ERMOACÚSTICA, FIBROCIMENTO ONDULADA, AÇO ZINCADO, FIBROCIMENTO ESTRUTU RAL, CANALETE 90 OU KALHETÃO. AF_07/2016</t>
  </si>
  <si>
    <t>TRANSPORTE HORIZONTAL DE 30 M COM CARRINHO PLATAFORMA COM BACIA SANITÁ RIA, CAIXA ACOPLADA, TANQUE OU PIA. AF_07/2016</t>
  </si>
  <si>
    <t>TRANSPORTE HORIZONTAL DE 30 M COM CARRINHO PLATAFORMA COM BANCADA DE M ÁRMORE OU GRANITO PARA COZINHA/LAVATÓRIO OU MÁRMORE SINTÉTICO COM CUBA INTEGRADA. AF_07/2016</t>
  </si>
  <si>
    <t>TRANSPORTE HORIZONTAL DE 30 M COM CARRINHO PLATAFORMA COM TELHA DE CON CRETO OU CERÂMICA. AF_07/2016</t>
  </si>
  <si>
    <t>TRANSPORTE HORIZONTAL DE 50 M COM CARRINHO PLATAFORMA COM BACIA SANITÁ RIA, CAIXA ACOPLADA, TANQUE OU PIA. AF_07/2016</t>
  </si>
  <si>
    <t>TRANSPORTE HORIZONTAL DE 50 M COM CARRINHO PLATAFORMA COM BANCADA DE M ÁRMORE OU GRANITO PARA COZINHA/LAVATÓRIO OU MÁRMORE SINTÉTICO COM CUBA INTEGRADA. AF_07/2016</t>
  </si>
  <si>
    <t>TRANSPORTE HORIZONTAL DE 50 M COM CARRINHO PLATAFORMA COM TELHA DE CON CRETO OU CERÂMICA. AF_07/2016</t>
  </si>
  <si>
    <t>TRANSPORTE HORIZONTAL DE 75 M COM CARRINHO PLATAFORMA COM BACIA SANITÁ RIA, CAIXA ACOPLADA, TANQUE OU PIA. AF_07/2016</t>
  </si>
  <si>
    <t>TRANSPORTE HORIZONTAL DE 75 M COM CARRINHO PLATAFORMA COM BANCADA DE M ÁRMORE OU GRANITO PARA COZINHA/LAVATÓRIO OU MÁRMORE SINTÉTICO COM CUBA INTEGRADA. AF_07/2016</t>
  </si>
  <si>
    <t>TRANSPORTE HORIZONTAL DE 75 M COM CARRINHO PLATAFORMA COM TELHA DE CON CRETO OU CERÂMICA. AF_07/2016</t>
  </si>
  <si>
    <t>TRANSPORTE HORIZONTAL MANUAL, DE 30 M, DE BACIA SANITÁRIA, CAIXA ACOPL ADA, TANQUE OU PIA. AF_07/2016</t>
  </si>
  <si>
    <t>TRANSPORTE HORIZONTAL MANUAL, DE 30 M, DE BANCADA DE MÁRMORE OU GRANIT O PARA COZINHA/LAVATÓRIO OU MÁRMORE SINTÉTICO COM CUBA INTEGRADA. AF_0 7/2016</t>
  </si>
  <si>
    <t>TRANSPORTE HORIZONTAL MANUAL, DE 30 M, DE BARRAMENTO BLINDADO. AF_07/2 016</t>
  </si>
  <si>
    <t>TRANSPORTE HORIZONTAL MANUAL, DE 30 M, DE CALHA. AF_07/2016</t>
  </si>
  <si>
    <t>TRANSPORTE HORIZONTAL MANUAL, DE 30 M, DE COMPENSADO DE MADEIRA. AF_07 /2016</t>
  </si>
  <si>
    <t>TRANSPORTE HORIZONTAL MANUAL, DE 30 M, DE JANELAS. AF_07/2016</t>
  </si>
  <si>
    <t>TRANSPORTE HORIZONTAL MANUAL, DE 30 M, DE KIT PORTA-PRONTA OU PORTA DE MADEIRA FOLHA LEVE OU MÉDIA, PORTA DE AÇO E PORTA DE ALUMÍNIO. AF_07/ 2016</t>
  </si>
  <si>
    <t>TRANSPORTE HORIZONTAL MANUAL, DE 30 M, DE KIT PORTA-PRONTA OU PORTA DE MADEIRA FOLHA PESADA OU SUPERPESADA E PORTA CORTA-FOGO. AF_07/2016</t>
  </si>
  <si>
    <t>TRANSPORTE HORIZONTAL MANUAL, DE 30 M, DE TELA DE AÇO. AF_07/2016</t>
  </si>
  <si>
    <t>TRANSPORTE HORIZONTAL MANUAL, DE 30 M, DE TELHA DE CONCRETO OU CERÂMIC A. AF_07/2016</t>
  </si>
  <si>
    <t>TRANSPORTE HORIZONTAL MANUAL, DE 30 M, DE TELHA DE FIBROCIMENTO ONDULA DA OU TELHA ESTRUTURAL DE FIBROCIMENTO, CANALETE 90 OU KALHETÃO. AF_07 /2016</t>
  </si>
  <si>
    <t>TRANSPORTE HORIZONTAL MANUAL, DE 30 M, DE TELHA TERMOACÚSTICA OU TELHA DE AÇO ZINCADO. AF_07/2016</t>
  </si>
  <si>
    <t>TRANSPORTE HORIZONTAL MANUAL, DE 30 M, DE VIDRO. AF_07/2016</t>
  </si>
  <si>
    <t>TRANSPORTE HORIZONTAL, BLOCOS CERÂMICOS FURADOS NA HORIZONTAL 9X19X19 CM, CARRINHO PARA MINI PÁLETES, 100M. AF_06/2014</t>
  </si>
  <si>
    <t>TRANSPORTE HORIZONTAL, BLOCOS CERÂMICOS FURADOS NA HORIZONTAL 9X19X19 CM, CARRINHO PARA MINI PÁLETES, 30M. AF_06/2014</t>
  </si>
  <si>
    <t>TRANSPORTE HORIZONTAL, BLOCOS CERÂMICOS FURADOS NA HORIZONTAL 9X19X19 CM, CARRINHO PARA MINI PÁLETES, 50M. AF_06/2014</t>
  </si>
  <si>
    <t>TRANSPORTE HORIZONTAL, BLOCOS CERÂMICOS FURADOS NA HORIZONTAL 9X19X19 CM, CARRINHO PARA MINI PÁLETES, 75M. AF_06/2014</t>
  </si>
  <si>
    <t>TRANSPORTE HORIZONTAL, BLOCOS CERÂMICOS FURADOS NA HORIZONTAL 9X19X19 CM, CARRINHO PLATAFORMA, 100M. AF_06/2014</t>
  </si>
  <si>
    <t>TRANSPORTE HORIZONTAL, BLOCOS CERÂMICOS FURADOS NA HORIZONTAL 9X19X19 CM, CARRINHO PLATAFORMA, 30M. AF_06/2014</t>
  </si>
  <si>
    <t>TRANSPORTE HORIZONTAL, BLOCOS CERÂMICOS FURADOS NA HORIZONTAL 9X19X19 CM, CARRINHO PLATAFORMA, 50M. AF_06/2014</t>
  </si>
  <si>
    <t>TRANSPORTE HORIZONTAL, BLOCOS CERÂMICOS FURADOS NA HORIZONTAL 9X19X19 CM, CARRINHO PLATAFORMA, 75M. AF_06/2014</t>
  </si>
  <si>
    <t>TRANSPORTE HORIZONTAL, BLOCOS CERÂMICOS FURADOS NA HORIZONTAL 9X19X19 CM,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</si>
  <si>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</si>
  <si>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</si>
  <si>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</si>
  <si>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MANUAL, 30M. AF_06/2014</t>
  </si>
  <si>
    <t>TRANSPORTE HORIZONTAL, BLOCOS CERÂMICOS FURADOS NA VERTICAL 19X19X39 C M, MANIPULADOR TELESCÓPICO, 100M. AF_06/2014</t>
  </si>
  <si>
    <t>TRANSPORTE HORIZONTAL, BLOCOS CERÂMICOS FURADOS NA VERTICAL 19X19X39 C M, MANIPULADOR TELESCÓPICO, 30M. AF_06/2014</t>
  </si>
  <si>
    <t>TRANSPORTE HORIZONTAL, BLOCOS CERÂMICOS FURADOS NA VERTICAL 19X19X39 C M, MANIPULADOR TELESCÓPICO, 50M. AF_06/2014</t>
  </si>
  <si>
    <t>TRANSPORTE HORIZONTAL, BLOCOS CERÂMICOS FURADOS NA VERTICAL 19X19X39 C M, MANIPULADOR TELESCÓPICO, 75M. AF_06/2014</t>
  </si>
  <si>
    <t>TRANSPORTE HORIZONTAL, BLOCOS VAZADOS DE CONCRETO 19X19X39 CM, MANIPUL ADOR TELESCÓPICO, 100M. AF_06/2014</t>
  </si>
  <si>
    <t>TRANSPORTE HORIZONTAL, BLOCOS VAZADOS DE CONCRETO 19X19X39 CM, MANIPUL ADOR TELESCÓPICO, 30M. AF_06/2014</t>
  </si>
  <si>
    <t>TRANSPORTE HORIZONTAL, BLOCOS VAZADOS DE CONCRETO 19X19X39 CM, MANIPUL ADOR TELESCÓPICO, 50M. AF_06/2014</t>
  </si>
  <si>
    <t>TRANSPORTE HORIZONTAL, BLOCOS VAZADOS DE CONCRETO 19X19X39 CM, MANIPUL ADOR TELESCÓPICO, 75M. AF_06/2014</t>
  </si>
  <si>
    <t>TRANSPORTE HORIZONTAL, BLOCOS VAZADOS DE CONCRETO OU CERÂMICO 19X19X39 CM, CARRINHO PARA MINI PÁLETES, 100M. AF_06/2014</t>
  </si>
  <si>
    <t>TRANSPORTE HORIZONTAL, BLOCOS VAZADOS DE CONCRETO OU CERÂMICO 19X19X39 CM, CARRINHO PARA MINI PÁLETES, 30M. AF_06/2014</t>
  </si>
  <si>
    <t>TRANSPORTE HORIZONTAL, BLOCOS VAZADOS DE CONCRETO OU CERÂMICO 19X19X39 CM, CARRINHO PARA MINI PÁLETES, 50M. AF_06/2014</t>
  </si>
  <si>
    <t>TRANSPORTE HORIZONTAL, BLOCOS VAZADOS DE CONCRETO OU CERÂMICO 19X19X39 CM, CARRINHO PARA MINI PÁLETES, 75M. AF_06/2014</t>
  </si>
  <si>
    <t>TRANSPORTE HORIZONTAL, BLOCOS VAZADOS DE CONCRETO OU CERÂMICO 19X19X39 CM, CARRINHO PLATAFORMA, 100M. AF_06/2014</t>
  </si>
  <si>
    <t>TRANSPORTE HORIZONTAL, BLOCOS VAZADOS DE CONCRETO OU CERÂMICO 19X19X39 CM, CARRINHO PLATAFORMA, 30M. AF_06/2014</t>
  </si>
  <si>
    <t>TRANSPORTE HORIZONTAL, BLOCOS VAZADOS DE CONCRETO OU CERÂMICO 19X19X39 CM, CARRINHO PLATAFORMA, 50M. AF_06/2014</t>
  </si>
  <si>
    <t>TRANSPORTE HORIZONTAL, BLOCOS VAZADOS DE CONCRETO OU CERÂMICO 19X19X39 CM, CARRINHO PLATAFORMA, 75M. AF_06/2014</t>
  </si>
  <si>
    <t>TRANSPORTE HORIZONTAL, BLOCOS VAZADOS DE CONCRETO OU CERÂMICO 19X19X39 CM, MANUAL, 30M. AF_06/2014</t>
  </si>
  <si>
    <t>TRANSPORTE HORIZONTAL, LATA DE 18 L, CARRINHO PLATAFORMA, 100M. AF_06/ 2014</t>
  </si>
  <si>
    <t>TRANSPORTE HORIZONTAL, LATA DE 18 L, CARRINHO PLATAFORMA, 30M. AF_06/2 014</t>
  </si>
  <si>
    <t>TRANSPORTE HORIZONTAL, LATA DE 18 L, CARRINHO PLATAFORMA, 50M. AF_06/2 014</t>
  </si>
  <si>
    <t>TRANSPORTE HORIZONTAL, LATA DE 18 L, CARRINHO PLATAFORMA, 75M. AF_06/2 014</t>
  </si>
  <si>
    <t>TRANSPORTE HORIZONTAL, LATA DE 18 L, MANIPULADOR TELESCÓPICO, 100M. AF _06/2014</t>
  </si>
  <si>
    <t>TRANSPORTE HORIZONTAL, LATA DE 18 L, MANIPULADOR TELESCÓPICO, 30M. AF_ 06/2014</t>
  </si>
  <si>
    <t>TRANSPORTE HORIZONTAL, LATA DE 18 L, MANIPULADOR TELESCÓPICO, 50M. AF_ 06/2014</t>
  </si>
  <si>
    <t>TRANSPORTE HORIZONTAL, LATA DE 18 L, MANIPULADOR TELESCÓPICO, 75M. AF_ 06/2014</t>
  </si>
  <si>
    <t>TRANSPORTE HORIZONTAL, LATA DE 18 L, MANUAL, 30M. AF_06/2014</t>
  </si>
  <si>
    <t>TRANSPORTE HORIZONTAL, MASSA/GRANEL, MINICARREGADEIRA, 100M. AF_06/201 4</t>
  </si>
  <si>
    <t>TRANSPORTE HORIZONTAL, MASSA/GRANEL, MINICARREGADEIRA, 30M. AF_06/2014</t>
  </si>
  <si>
    <t>TRANSPORTE HORIZONTAL, MASSA/GRANEL, MINICARREGADEIRA, 50M. AF_06/2014</t>
  </si>
  <si>
    <t>TRANSPORTE HORIZONTAL, MASSA/GRANEL, MINICARREGADEIRA, 75M. AF_06/2014</t>
  </si>
  <si>
    <t>TRANSPORTE HORIZONTAL, PLACAS CERÂMICAS, CARRINHO PARA MINI PÁLETES, 1 00M. AF_06/2014</t>
  </si>
  <si>
    <t>TRANSPORTE HORIZONTAL, PLACAS CERÂMICAS, CARRINHO PARA MINI PÁLETES, 3 0M. AF_06/2014</t>
  </si>
  <si>
    <t>TRANSPORTE HORIZONTAL, PLACAS CERÂMICAS, CARRINHO PARA MINI PÁLETES, 5 0M. AF_06/2014</t>
  </si>
  <si>
    <t>TRANSPORTE HORIZONTAL, PLACAS CERÂMICAS, CARRINHO PARA MINI PÁLETES, 7 5M. AF_06/2014</t>
  </si>
  <si>
    <t>TRANSPORTE HORIZONTAL, PLACAS CERÂMICAS, CARRINHO PLATAFORMA, 100M. AF _06/2014</t>
  </si>
  <si>
    <t>TRANSPORTE HORIZONTAL, PLACAS CERÂMICAS, CARRINHO PLATAFORMA, 30M. AF_ 06/2014</t>
  </si>
  <si>
    <t>TRANSPORTE HORIZONTAL, PLACAS CERÂMICAS, CARRINHO PLATAFORMA, 50M. AF_ 06/2014</t>
  </si>
  <si>
    <t>TRANSPORTE HORIZONTAL, PLACAS CERÂMICAS, CARRINHO PLATAFORMA, 75M. AF_ 06/2014</t>
  </si>
  <si>
    <t>TRANSPORTE HORIZONTAL, PLACAS CERÂMICAS, MANIPULADOR TELESCÓPICO, 100M . AF_06/2014</t>
  </si>
  <si>
    <t>TRANSPORTE HORIZONTAL, SACOS 20 KG, CARRINHO PLATAFORMA, 100M. AF_06/2 014</t>
  </si>
  <si>
    <t>TRANSPORTE HORIZONTAL, SACOS 20 KG, CARRINHO PLATAFORMA, 30M. AF_06/20 14</t>
  </si>
  <si>
    <t>TRANSPORTE HORIZONTAL, SACOS 20 KG, CARRINHO PLATAFORMA, 50M. AF_06/20 14</t>
  </si>
  <si>
    <t>TRANSPORTE HORIZONTAL, SACOS 20 KG, CARRINHO PLATAFORMA, 75M. AF_06/20 14</t>
  </si>
  <si>
    <t>TRANSPORTE HORIZONTAL, SACOS 20 KG, MANUAL, 30M. AF_06/2014</t>
  </si>
  <si>
    <t>TRANSPORTE HORIZONTAL, SACOS 30 KG, CARRINHO PLATAFORMA, 100M. AF_06/2 014</t>
  </si>
  <si>
    <t>TRANSPORTE HORIZONTAL, SACOS 30 KG, CARRINHO PLATAFORMA, 30M. AF_06/20 14</t>
  </si>
  <si>
    <t>TRANSPORTE HORIZONTAL, SACOS 30 KG, CARRINHO PLATAFORMA, 50M. AF_06/20 14</t>
  </si>
  <si>
    <t>TRANSPORTE HORIZONTAL, SACOS 30 KG, CARRINHO PLATAFORMA, 75M. AF_06/20 14</t>
  </si>
  <si>
    <t>TRANSPORTE HORIZONTAL, SACOS 30 KG, MANUAL, 30M. AF_06/2014</t>
  </si>
  <si>
    <t>TRANSPORTE HORIZONTAL, SACOS 50 KG, CARRINHO PLATAFORMA, 100M. AF_06/2 014</t>
  </si>
  <si>
    <t>TRANSPORTE HORIZONTAL, SACOS 50 KG, CARRINHO PLATAFORMA, 30M. AF_06/20 14</t>
  </si>
  <si>
    <t>TRANSPORTE HORIZONTAL, SACOS 50 KG, CARRINHO PLATAFORMA, 50M. AF_06/20 14</t>
  </si>
  <si>
    <t>TRANSPORTE HORIZONTAL, SACOS 50 KG, CARRINHO PLATAFORMA, 75M. AF_06/20 14</t>
  </si>
  <si>
    <t>TRANSPORTE HORIZONTAL, SACOS 50 KG, MANUAL, 30M. AF_06/2014</t>
  </si>
  <si>
    <t>TRANSPORTE HORIZONTAL, TUBOS DE AÇO CARBONO LEVE OU MÉDIO, PRETO OU GA LVANIZADO, COM DIÂMETRO MAIOR QUE 125 MM E MENOR OU IGUAL A 150 MM, MA NUAL, 30M. AF_06/2015</t>
  </si>
  <si>
    <t>TRANSPORTE HORIZONTAL, TUBOS DE AÇO CARBONO LEVE OU MÉDIO, PRETO OU GA LVANIZADO, COM DIÂMETRO MAIOR QUE 25 MM E MENOR OU IGUAL A 40 MM, MANU AL, 30M. AF_06/2015</t>
  </si>
  <si>
    <t>TRANSPORTE HORIZONTAL, TUBOS DE AÇO CARBONO LEVE OU MÉDIO, PRETO OU GA LVANIZADO, COM DIÂMETRO MAIOR QUE 40 MM E MENOR OU IGUAL A 65 MM, MANU AL, 30M. AF_06/2015</t>
  </si>
  <si>
    <t>TRANSPORTE HORIZONTAL, TUBOS DE AÇO CARBONO LEVE OU MÉDIO, PRETO OU GA LVANIZADO, COM DIÂMETRO MAIOR QUE 65 MM E MENOR OU IGUAL A 90 MM, MANU AL, 30M. AF_06/2015</t>
  </si>
  <si>
    <t>TRANSPORTE HORIZONTAL, TUBOS DE AÇO CARBONO LEVE OU MÉDIO, PRETO OU GA LVANIZADO, COM DIÂMETRO MAIOR QUE 90 MM E MENOR OU IGUAL A 125 MM, MAN UAL, 30M. AF_06/2015</t>
  </si>
  <si>
    <t>TRANSPORTE HORIZONTAL, TUBOS DE AÇO CARBONO LEVE OU MÉDIO, PRETO OU GA LVANIZADO, COM DIÂMETRO MENOR OU IGUAL A 25 MM, MANUAL, 30M. AF_06/201 5</t>
  </si>
  <si>
    <t>TRANSPORTE HORIZONTAL, TUBOS DE COBRE - CLASSE E, COM DIÂMETRO MAIOR Q UE 42 MM E MENOR OU IGUAL A 66 MM, MANUAL, 30M. AF_06/2015</t>
  </si>
  <si>
    <t>TRANSPORTE HORIZONTAL, TUBOS DE COBRE - CLASSE E, COM DIÂMETRO MAIOR Q UE 66 MM E MENOR OU IGUAL A 104 MM, MANUAL, 30M. AF_06/2015</t>
  </si>
  <si>
    <t>TRANSPORTE HORIZONTAL, TUBOS DE COBRE - CLASSE E, COM DIÂMETRO MENOR O U IGUAL A 42 MM, MANUAL, 30M. AF_06/2015</t>
  </si>
  <si>
    <t>TRANSPORTE HORIZONTAL, TUBOS DE CPVC COM DIÂMETRO MAIOR QUE 54 MM E ME NOR OU IGUAL A 73 MM, MANUAL, 30M. AF_06/2015</t>
  </si>
  <si>
    <t>TRANSPORTE HORIZONTAL, TUBOS DE CPVC COM DIÂMETRO MAIOR QUE 73 MM E ME NOR OU IGUAL A 89 MM, MANUAL, 30M. AF_06/2015</t>
  </si>
  <si>
    <t>TRANSPORTE HORIZONTAL, TUBOS DE CPVC COM DIÂMETRO MENOR OU IGUAL A 54 MM, MANUAL, 30M. AF_06/2015</t>
  </si>
  <si>
    <t>TRANSPORTE HORIZONTAL, TUBOS DE PPR - PN 12 OU PN 25 COM DIÂMETRO MAIO R QUE 50 MM E MENOR OU IGUAL A 75 MM, MANUAL, 30M. AF_06/2015</t>
  </si>
  <si>
    <t>TRANSPORTE HORIZONTAL, TUBOS DE PPR - PN 12 OU PN 25 COM DIÂMETRO MAIO R QUE 75 MM E MENOR OU IGUAL A 110 MM, MANUAL, 30M. AF_06/2015</t>
  </si>
  <si>
    <t>TRANSPORTE HORIZONTAL, TUBOS DE PPR - PN 12 OU PN 25 COM DIÂMETRO MENO R OU IGUAL A 50 MM, MANUAL, 30M. AF_06/2015</t>
  </si>
  <si>
    <t>TRANSPORTE HORIZONTAL, TUBOS DE PVC SÉRIE NORMAL - ESGOTO PREDIAL, OU REFORÇADO PARA ESGOTO OU ÁGUAS PLUVIAIS PREDIAL, COM DIÂMETRO MAIOR QU E 100 MM E MENOR OU IGUAL A 150 MM, MANUAL, 30M. AF_06/2015</t>
  </si>
  <si>
    <t>TRANSPORTE HORIZONTAL, TUBOS DE PVC SÉRIE NORMAL - ESGOTO PREDIAL, OU REFORÇADO PARA ESGOTO OU ÁGUAS PLUVIAIS PREDIAL, COM DIÂMETRO MAIOR QU E 75 MM E MENOR OU IGUAL A 100 MM, MANUAL, 30M. AF_06/2015</t>
  </si>
  <si>
    <t>TRANSPORTE HORIZONTAL, TUBOS DE PVC SÉRIE NORMAL - ESGOTO PREDIAL, OU REFORÇADO PARA ESGOTO OU ÁGUAS PLUVIAIS PREDIAL, COM DIÂMETRO MENOR OU IGUAL A 75 MM, MANUAL, 30M. AF_06/2015</t>
  </si>
  <si>
    <t>TRANSPORTE HORIZONTAL, TUBOS DE PVC SOLDÁVEL COM DIÂMETRO MAIOR QUE 60 MM E MENOR OU IGUAL A 85 MM, MANUAL, 30M. AF_06/2015</t>
  </si>
  <si>
    <t>TRANSPORTE HORIZONTAL, TUBOS DE PVC SOLDÁVEL COM DIÂMETRO MENOR OU IGU AL A 60 MM, MANUAL, 30M. AF_06/2015</t>
  </si>
  <si>
    <t>TRANSPORTE VERTICAL MANUAL DE 1 PAVIMENTO DE BACIA SANITÁRIA, CAIXA AC OPLADA, TANQUE OU PIA. AF_07/2016</t>
  </si>
  <si>
    <t>TRANSPORTE VERTICAL MANUAL, DE 1 PAVIMENTO, DE BANCADA DE MÁRMORE OU G RANITO PARA COZINHA/LAVATÓRIO OU MÁRMORE SINTÉTICO COM CUBA INTEGRADA. AF_07/2016</t>
  </si>
  <si>
    <t>TRANSPORTE VERTICAL MANUAL, DE 1 PAVIMENTO, DE JANELAS. AF_07/2016</t>
  </si>
  <si>
    <t>TRANSPORTE VERTICAL MANUAL, DE 1 PAVIMENTO, DE KIT PORTA-PRONTA OU POR TA DE MADEIRA FOLHA LEVE OU MÉDIA, PORTA DE AÇO E PORTA DE ALUMÍNIO. A F_07/2016</t>
  </si>
  <si>
    <t>TRANSPORTE VERTICAL MANUAL, DE 1 PAVIMENTO, DE KIT PORTA-PRONTA OU POR TA DE MADEIRA FOLHA PESADA OU SUPERPESADA E PORTA CORTA-FOGO. AF_07/20 16</t>
  </si>
  <si>
    <t>TRANSPORTE VERTICAL MANUAL, DE 1 PAVIMENTO, DE VIDRO. AF_07/2016</t>
  </si>
  <si>
    <t>TRANSPORTE VERTICAL, BLOCOS CERÂMICOS FURADOS NA HORIZONTAL 9X19X19 CM , MANUAL, 1 PAVIMENTO. AF_06/2014</t>
  </si>
  <si>
    <t>TRANSPORTE VERTICAL, BLOCOS VAZADOS DE CONCRETO OU CERÂMICO 19X19X39 C M, MANUAL, 1 PAVIMENTO. AF_06/2014</t>
  </si>
  <si>
    <t>TRANSPORTE VERTICAL, LATA DE 18 L, MANUAL, 1 PAVIMENTO. AF_06/2014</t>
  </si>
  <si>
    <t>TRANSPORTE VERTICAL, MASSA/GRANEL LATA DE 10 L, MANUAL, 1 PAVIMENTO. A F_06/2014</t>
  </si>
  <si>
    <t>TRANSPORTE VERTICAL, SACOS 20 KG, MANUAL, 1 PAVIMENTO. AF_06/2014</t>
  </si>
  <si>
    <t>TRANSPORTE VERTICAL, SACOS 30 KG, MANUAL, 1 PAVIMENTO. AF_06/2014</t>
  </si>
  <si>
    <t>TRANSPORTE VERTICAL, SACOS 50 KG, MANUAL, 1 PAVIMENTO. AF_06/2014</t>
  </si>
  <si>
    <t>TRATAMENTO EM  CONCRETO COM ESTUQUE E LIXAMENTO</t>
  </si>
  <si>
    <t>TRATAMENTO SUPERFICIAL DUPLO - TSD, COM EMULSAO RR-2C</t>
  </si>
  <si>
    <t>TRATAMENTO SUPERFICIAL SIMPLES - TSS, COM EMULSAO RR-2C</t>
  </si>
  <si>
    <t>TRATAMENTO SUPERFICIAL TRIPLO - TST, COM EMULSAO RR-2C</t>
  </si>
  <si>
    <t>TRATOR DE ESTEIRAS, POTÊNCIA 100 HP, PESO OPERACIONAL 9,4 T, COM LÂMIN A 2,19 M3 - CHI DIURNO. AF_06/2014</t>
  </si>
  <si>
    <t>TRATOR DE ESTEIRAS, POTÊNCIA 100 HP, PESO OPERACIONAL 9,4 T, COM LÂMIN A 2,19 M3 - CHP DIURNO. AF_06/2014</t>
  </si>
  <si>
    <t>TRATOR DE ESTEIRAS, POTÊNCIA 100 HP, PESO OPERACIONAL 9,4 T, COM LÂMIN A 2,19 M3 - DEPRECIAÇÃO. AF_06/2014</t>
  </si>
  <si>
    <t>TRATOR DE ESTEIRAS, POTÊNCIA 100 HP, PESO OPERACIONAL 9,4 T, COM LÂMIN A 2,19 M3 - JUROS. AF_06/2014</t>
  </si>
  <si>
    <t>TRATOR DE ESTEIRAS, POTÊNCIA 100 HP, PESO OPERACIONAL 9,4 T, COM LÂMIN A 2,19 M3 - MANUTENÇÃO. AF_06/2014</t>
  </si>
  <si>
    <t>TRATOR DE ESTEIRAS, POTÊNCIA 100 HP, PESO OPERACIONAL 9,4 T, COM LÂMIN A 2,19 M3 - MATERIAIS NA OPERAÇÃO. AF_06/2014</t>
  </si>
  <si>
    <t>TRATOR DE ESTEIRAS, POTÊNCIA 125 HP, PESO OPERACIONAL 12,9 T, COM LÂMI NA 2,7 M3 - CHI DIURNO. AF_10/2014</t>
  </si>
  <si>
    <t>TRATOR DE ESTEIRAS, POTÊNCIA 125 HP, PESO OPERACIONAL 12,9 T, COM LÂMI NA 2,7 M3 - CHP DIURNO. AF_10/2014</t>
  </si>
  <si>
    <t>TRATOR DE ESTEIRAS, POTÊNCIA 125 HP, PESO OPERACIONAL 12,9 T, COM LÂMI NA 2,7 M3 - DEPRECIAÇÃO. AF_10/2014</t>
  </si>
  <si>
    <t>TRATOR DE ESTEIRAS, POTÊNCIA 125 HP, PESO OPERACIONAL 12,9 T, COM LÂMI NA 2,7 M3 - JUROS. AF_10/2014</t>
  </si>
  <si>
    <t>TRATOR DE ESTEIRAS, POTÊNCIA 125 HP, PESO OPERACIONAL 12,9 T, COM LÂMI NA 2,7 M3 - MANUTENÇÃO. AF_10/2014</t>
  </si>
  <si>
    <t>TRATOR DE ESTEIRAS, POTÊNCIA 125 HP, PESO OPERACIONAL 12,9 T, COM LÂMI NA 2,7 M3 - MATERIAIS NA OPERAÇÃO. AF_10/2014</t>
  </si>
  <si>
    <t>TRATOR DE ESTEIRAS, POTENCIA 125 HP, PESO OPERACIONAL DE 12,9 T, COM LAMINA COM CAPACIDADE DE 2,7 M3</t>
  </si>
  <si>
    <t>TRATOR DE ESTEIRAS, POTÊNCIA 150 HP, PESO OPERACIONAL 16,7 T, COM RODA MOTRIZ ELEVADA E LÂMINA 3,18 M3 - CHI DIURNO. AF_06/2014</t>
  </si>
  <si>
    <t>TRATOR DE ESTEIRAS, POTÊNCIA 150 HP, PESO OPERACIONAL 16,7 T, COM RODA MOTRIZ ELEVADA E LÂMINA 3,18 M3 - CHP DIURNO.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</si>
  <si>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</si>
  <si>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</si>
  <si>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MANUTENÇÃO. AF_06/2014</t>
  </si>
  <si>
    <t>TRATOR DE ESTEIRAS, POTÊNCIA 150 HP, PESO OPERACIONAL 16,7 T, COM RODA MOTRIZ ELEVADA E LÂMINA 3,18 M3 - MATERIAIS NA OPERAÇÃO. AF_06/2014</t>
  </si>
  <si>
    <t>TRATOR DE ESTEIRAS, POTÊNCIA 170 HP, PESO OPERACIONAL 19 T, CAÇAMBA 5, 2 M3 - CHI DIURNO. AF_06/2014</t>
  </si>
  <si>
    <t>TRATOR DE ESTEIRAS, POTÊNCIA 170 HP, PESO OPERACIONAL 19 T, CAÇAMBA 5, 2 M3 - CHP DIURNO. AF_06/2014</t>
  </si>
  <si>
    <t>TRATOR DE ESTEIRAS, POTÊNCIA 170 HP, PESO OPERACIONAL 19 T, CAÇAMBA 5, 2 M3 - DEPRECIAÇÃO. AF_06/2014</t>
  </si>
  <si>
    <t>TRATOR DE ESTEIRAS, POTÊNCIA 170 HP, PESO OPERACIONAL 19 T, CAÇAMBA 5, 2 M3 - JUROS. AF_06/2014</t>
  </si>
  <si>
    <t>TRATOR DE ESTEIRAS, POTÊNCIA 170 HP, PESO OPERACIONAL 19 T, CAÇAMBA 5, 2 M3 - MANUTENÇÃO. AF_06/2014</t>
  </si>
  <si>
    <t>TRATOR DE ESTEIRAS, POTÊNCIA 170 HP, PESO OPERACIONAL 19 T, CAÇAMBA 5, 2 M3 - MATERIAIS NA OPERAÇÃO. AF_06/2014</t>
  </si>
  <si>
    <t>TRATOR DE ESTEIRAS, POTÊNCIA 347 HP, PESO OPERACIONAL 38,5 T, COM LÂMI NA 8,70 M3 - CHI DIURNO. AF_06/2014</t>
  </si>
  <si>
    <t>TRATOR DE ESTEIRAS, POTÊNCIA 347 HP, PESO OPERACIONAL 38,5 T, COM LÂMI NA 8,70 M3 - CHP DIURNO. AF_06/2014</t>
  </si>
  <si>
    <t>TRATOR DE ESTEIRAS, POTÊNCIA 347 HP, PESO OPERACIONAL 38,5 T, COM LÂMI NA 8,70 M3 - DEPRECIAÇÃO. AF_06/2014</t>
  </si>
  <si>
    <t>TRATOR DE ESTEIRAS, POTÊNCIA 347 HP, PESO OPERACIONAL 38,5 T, COM LÂMI NA 8,70 M3 - JUROS. AF_06/2014</t>
  </si>
  <si>
    <t>TRATOR DE ESTEIRAS, POTÊNCIA 347 HP, PESO OPERACIONAL 38,5 T, COM LÂMI NA 8,70 M3 - MANUTENÇÃO. AF_06/2014</t>
  </si>
  <si>
    <t>TRATOR DE ESTEIRAS, POTÊNCIA 347 HP, PESO OPERACIONAL 38,5 T, COM LÂMI NA 8,70 M3 - MATERIAIS NA OPERAÇÃO. AF_06/2014</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</si>
  <si>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</si>
  <si>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</si>
  <si>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</si>
  <si>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</si>
  <si>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</si>
  <si>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</si>
  <si>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</si>
  <si>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</si>
  <si>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</si>
  <si>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</si>
  <si>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</si>
  <si>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</si>
  <si>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</si>
  <si>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</si>
  <si>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TRATOR DE PNEUS, POTÊNCIA 122 CV, TRAÇÃO 4X4, PESO COM LASTRO DE 4.510 KG - CHI DIURNO. AF_06/2014</t>
  </si>
  <si>
    <t>TRATOR DE PNEUS, POTÊNCIA 122 CV, TRAÇÃO 4X4, PESO COM LASTRO DE 4.510 KG - CHP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</si>
  <si>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</si>
  <si>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</si>
  <si>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</si>
  <si>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</si>
  <si>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CHI DIURNO. AF_06/2014</t>
  </si>
  <si>
    <t>TRATOR DE PNEUS, POTÊNCIA 85 CV, TRAÇÃO 4X4, PESO COM LASTRO DE 4.675 KG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</si>
  <si>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</si>
  <si>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</si>
  <si>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MANUTENÇÃO. AF_06/2014</t>
  </si>
  <si>
    <t>TRATOR DE PNEUS, POTÊNCIA 85 CV, TRAÇÃO 4X4, PESO COM LASTRO DE 4.675 KG - MATERIAIS NA OPERAÇÃO. AF_06/2014</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</si>
  <si>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</si>
  <si>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</si>
  <si>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</si>
  <si>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</si>
  <si>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</si>
  <si>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</si>
  <si>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</si>
  <si>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</si>
  <si>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</si>
  <si>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</si>
  <si>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</si>
  <si>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</si>
  <si>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</si>
  <si>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</si>
  <si>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</si>
  <si>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INDUSTRIAL DN 2" (50,8 MM) E=1,50MM, PESO= 1,8237 KG/M</t>
  </si>
  <si>
    <t>TUBO ACO PRETO COM COSTURA, NBR 5580, CLASSE L, DN = 15 MM, E = 2,25 MM, 1,06 KG/M</t>
  </si>
  <si>
    <t>TUBO ACO PRETO COM COSTURA, NBR 5580, CLASSE L, DN = 25 MM, E = 2,65 MM, 2,02 KG/M</t>
  </si>
  <si>
    <t>TUBO ACO PRETO COM COSTURA, NBR 5580, CLASSE L, DN = 40 MM, E = 3,0 MM, 3,34 KG/M</t>
  </si>
  <si>
    <t>TUBO ACO PRETO COM COSTURA, NBR 5580, CLASSE L, DN = 80 MM, E = 3,35 MM, 7,07 KG/M</t>
  </si>
  <si>
    <t>TUBO ACO PRETO COM COSTURA, NBR 5580, CLASSE M, DN = 25 MM, E = 3,35 MM, *2,50* KG//M</t>
  </si>
  <si>
    <t>TUBO ACO PRETO COM COSTURA, NBR 5580, CLASSE M, DN = 40 MM, E = 3,35 MM, *3,71* KG//M</t>
  </si>
  <si>
    <t>TUBO ACO PRETO COM COSTURA, NBR 5580, CLASSE M, DN = 80 MM, E = 4,05 MM, *8,47* KG/M</t>
  </si>
  <si>
    <t>TUBO ACO PRETO SEM COSTURA 1 1/2", E= *3,68 MM, SCHEDULE 40, 4,05 KG/M</t>
  </si>
  <si>
    <t>TUBO ACO PRETO SEM COSTURA 1/2", E= *2,77 MM, SCHEDULE 40, *1,27 KG/M</t>
  </si>
  <si>
    <t>TUBO ACO PRETO SEM COSTURA 1/2", E= *3,73 MM, SCHEDULE 80, *1,62 KG/M</t>
  </si>
  <si>
    <t>TUBO ACO PRETO SEM COSTURA 14", E= *11,13 MM, SCHEDULE 40, *94,55 KG/M</t>
  </si>
  <si>
    <t>TUBO ACO PRETO SEM COSTURA 2 1/2", E = 5,16 MM, SCHEDULE 40 (8,62 KG/M)</t>
  </si>
  <si>
    <t>TUBO ACO PRETO SEM COSTURA 2", E= *3,91* MM, SCHEDULE 40, *5,43* KG/M</t>
  </si>
  <si>
    <t>TUBO ACO PRETO SEM COSTURA 20", E= *12,70 MM, SCHEDULE 30, *154,97 KG/M</t>
  </si>
  <si>
    <t>TUBO ACO PRETO SEM COSTURA 20", E= *6,35 MM,  SCHEDULE 10, *78,46 KG/M</t>
  </si>
  <si>
    <t>TUBO ACO PRETO SEM COSTURA 3/4", E= *2,87 MM, SCHEDULE 40, *1,69 KG/M</t>
  </si>
  <si>
    <t>TUBO ACO PRETO SEM COSTURA 3/4", E= *3,91 MM, SCHEDULE 80, *2,19 KG/M.</t>
  </si>
  <si>
    <t>TUBO ACO PRETO SEM COSTURA 4", E= *6,02 MM, SCHEDULE 40, *16,06 KG/M</t>
  </si>
  <si>
    <t>TUBO ACO PRETO SEM COSTURA 4", E= *8,56 MM, SCHEDULE 80, *22,31 KG/M</t>
  </si>
  <si>
    <t>TUBO ACO PRETO SEM COSTURA 6", E= *10,97 MM, SCHEDULE 80, *42,56 KG/M</t>
  </si>
  <si>
    <t>TUBO ACO PRETO SEM COSTURA 6", E= 7,11 MM,  SCHEDULE 40, *28,26 KG/M</t>
  </si>
  <si>
    <t>TUBO ACO PRETO SEM COSTURA 8", E= *12,70 MM, SCHEDULE 80, *64,64 KG/M</t>
  </si>
  <si>
    <t>TUBO ACO PRETO SEM COSTURA 8", E= *6,35 MM,  SCHEDULE 20, *33,27 KG/M</t>
  </si>
  <si>
    <t>TUBO ACO PRETO SEM COSTURA 8", E= *7,04 MM, SCHEDULE 30, *36,75 KG/M</t>
  </si>
  <si>
    <t>TUBO ACO PRETO SEM COSTURA 8", E= *8,18 MM, SCHEDULE 40, *42,55 KG/M</t>
  </si>
  <si>
    <t>TUBO CHAPA PRETA E = 1/4" - 30" - 175KG</t>
  </si>
  <si>
    <t>TUBO CHAPA PRETA E = 3/16" - 26" - 147KG</t>
  </si>
  <si>
    <t>TUBO CHAPA PRETA E = 3/8" - 30" -177KG</t>
  </si>
  <si>
    <t>TUBO COLETOR DE ESGOTO PVC JEI, DN 150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</si>
  <si>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</si>
  <si>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</si>
  <si>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</si>
  <si>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</si>
  <si>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</si>
  <si>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</si>
  <si>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</si>
  <si>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</si>
  <si>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</si>
  <si>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</si>
  <si>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</si>
  <si>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</si>
  <si>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</si>
  <si>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</si>
  <si>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</si>
  <si>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</si>
  <si>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</si>
  <si>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</si>
  <si>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</si>
  <si>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</si>
  <si>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</si>
  <si>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</si>
  <si>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</si>
  <si>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</si>
  <si>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</si>
  <si>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</si>
  <si>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</si>
  <si>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</si>
  <si>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</si>
  <si>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</si>
  <si>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</si>
  <si>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</si>
  <si>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</si>
  <si>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</si>
  <si>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</si>
  <si>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</si>
  <si>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</si>
  <si>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</si>
  <si>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</si>
  <si>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</si>
  <si>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</si>
  <si>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</si>
  <si>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</si>
  <si>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</si>
  <si>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</si>
  <si>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</si>
  <si>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</si>
  <si>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</si>
  <si>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</si>
  <si>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</si>
  <si>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</si>
  <si>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</si>
  <si>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</si>
  <si>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CONCRETO SIMPLES DN 200 MM PARA DRENAGEM - FORNECIMENTO E INSTALA CAO, INCLUSIVE ESCAVACAO MANUAL 1M3/M.</t>
  </si>
  <si>
    <t>TUBO CONCRETO SIMPLES DN 300 MM PARA DRENAGEM - FORNECIMENTO E INSTALA CAO INCLUSIVE ESCAVACAO MANUAL 1M3/M</t>
  </si>
  <si>
    <t>TUBO CONCRETO SIMPLES DN 400 MM PARA DRENAGEM - FORNECIMENTO E INSTALA CAO INCLUSIVE ESCAVACAO MANUAL 1,5M3/M</t>
  </si>
  <si>
    <t>TUBO CONCRETO SIMPLES DN 500 MM PARA DRENAGEM - FORNECIMENTO E INSTALA CAO INCLUSIVE ESCAVACAO MANUAL 2M3/M</t>
  </si>
  <si>
    <t>TUBO CONCRETO SIMPLES POROSO DN 300 MM</t>
  </si>
  <si>
    <t>TUBO CORRUGADO PEAD, PAREDE DUPLA, INTERNA LISA, JEI, DN/DI *1000* MM, PARA SANEAMENTO ESGOTO</t>
  </si>
  <si>
    <t>TUBO CORRUGADO PEAD, PAREDE DUPLA, INTERNA LISA, JEI, DN/DI *450* MM, PARA SANEAMENTO ESGOTO</t>
  </si>
  <si>
    <t>TUBO CORRUGADO PEAD, PAREDE DUPLA, INTERNA LISA, JEI, DN/DI 1200 MM, PARA SANEAMENTO ESGOTO</t>
  </si>
  <si>
    <t>TUBO CORRUGADO PEAD, PAREDE DUPLA, INTERNA LISA, JEI, DN/DI 1500 MM, PARA SANEAMENTO ESGOTO</t>
  </si>
  <si>
    <t>TUBO CORRUGADO PEAD, PAREDE DUPLA, INTERNA LISA, JEI, DN/DI 250 MM, PARA SANEAMENTO</t>
  </si>
  <si>
    <t>TUBO CORRUGADO PEAD, PAREDE DUPLA, INTERNA LISA, JEI, DN/DI 300 MM, PARA SANEAMENTO ESGOTO</t>
  </si>
  <si>
    <t>TUBO CORRUGADO PEAD, PAREDE DUPLA, INTERNA LISA, JEI, DN/DI 600 MM, PARA SANEAMENTO ESGOTO</t>
  </si>
  <si>
    <t>TUBO CORRUGADO PEAD, PAREDE DUPLA, INTERNA LISA, JEI, DN/DI 900 MM, PARA SANEAMENTO ESGOTO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</si>
  <si>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</si>
  <si>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</si>
  <si>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</si>
  <si>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</si>
  <si>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</si>
  <si>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</si>
  <si>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</si>
  <si>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</si>
  <si>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AÇO GALVANIZADO COM COSTURA 1" (25MM), INCLUSIVE CONEXOES - FO RNECIMENTO E INSTALACAO</t>
  </si>
  <si>
    <t>TUBO DE AÇO GALVANIZADO COM COSTURA 4" (100MM), INCLUSIVE CONEXOES - F ORNECIMENTO E INSTALACAO</t>
  </si>
  <si>
    <t>TUBO DE AÇO GALVANIZADO COM COSTURA 6" (150MM), INCLUSIVE CONEXÕES - I NSTALAÇÃO</t>
  </si>
  <si>
    <t>TUBO DE AÇO GALVANIZADO COM COSTURA, CLASSE MÉDIA, CONEXÃO RANHURADA, DN 50 (2"), INSTALADO EM PRUMADAS - FORNECIMENTO E INSTALAÇÃO. AF_12/2 015</t>
  </si>
  <si>
    <t>TUBO DE AÇO GALVANIZADO COM COSTURA, CLASSE MÉDIA, CONEXÃO RANHURADA, DN 65 (2 1/2"), INSTALADO EM PRUMADAS - FORNECIMENTO E INSTALAÇÃO. AF_ 12/2015</t>
  </si>
  <si>
    <t>TUBO DE AÇO GALVANIZADO COM COSTURA, CLASSE MÉDIA, CONEXÃO RANHURADA, DN 80 (3"), INSTALADO EM PRUMADAS - FORNECIMENTO E INSTALAÇÃO. AF_12/2 015</t>
  </si>
  <si>
    <t>TUBO DE AÇO GALVANIZADO COM COSTURA, CLASSE MÉDIA, CONEXÃO ROSQUEADA, DN 32 (1 1/4"), INSTALADO EM REDE DE ALIMENTAÇÃO PARA SPRINKLER - FORN ECIMENTO E INSTALAÇÃO. AF_12/2015</t>
  </si>
  <si>
    <t>TUBO DE AÇO GALVANIZADO COM COSTURA, CLASSE MÉDIA, CONEXÃO ROSQUEADA, DN 40 (1 1/2"), INSTALADO EM REDE DE ALIMENTAÇÃO PARA SPRINKLER - FORN ECIMENTO E INSTALAÇÃO. AF_12/2015</t>
  </si>
  <si>
    <t>TUBO DE AÇO GALVANIZADO COM COSTURA, CLASSE MÉDIA, CONEXÃO ROSQUEADA, DN 50 (2"), INSTALADO EM REDE DE ALIMENTAÇÃO PARA SPRINKLER - FORNECIM ENTO E INSTALAÇÃO. AF_12/2015</t>
  </si>
  <si>
    <t>TUBO DE AÇO GALVANIZADO COM COSTURA, CLASSE MÉDIA, CONEXÃO ROSQUEADA, DN 65 (2 1/2"), INSTALADO EM REDE DE ALIMENTAÇÃO PARA SPRINKLER - FORN ECIMENTO E INSTALAÇÃO. AF_12/2015</t>
  </si>
  <si>
    <t>TUBO DE AÇO GALVANIZADO COM COSTURA, CLASSE MÉDIA, CONEXÃO ROSQUEADA, DN 80 (3"), INSTALADO EM REDE DE ALIMENTAÇÃO PARA SPRINKLER - FORNECIM ENTO E INSTALAÇÃO. AF_12/2015</t>
  </si>
  <si>
    <t>TUBO DE AÇO GALVANIZADO COM COSTURA, CLASSE MÉDIA, DN 32 (1 1/4"), CON EXÃO ROSQUEADA, INSTALADO EM REDE DE ALIMENTAÇÃO PARA HIDRANTE - FORNE CIMENTO E INSTALAÇÃO. AF_12/2015</t>
  </si>
  <si>
    <t>TUBO DE AÇO GALVANIZADO COM COSTURA, CLASSE MÉDIA, DN 40 (1 1/2"), CON EXÃO ROSQUEADA, INSTALADO EM REDE DE ALIMENTAÇÃO PARA HIDRANTE - FORNE CIMENTO E INSTALAÇÃO. AF_12/2015</t>
  </si>
  <si>
    <t>TUBO DE AÇO GALVANIZADO COM COSTURA, CLASSE MÉDIA, DN 50 (2"), CONEXÃO ROSQUEADA, INSTALADO EM PRUMADAS - FORNECIMENTO E INSTALAÇÃO. AF_12/2 015</t>
  </si>
  <si>
    <t>TUBO DE AÇO GALVANIZADO COM COSTURA, CLASSE MÉDIA, DN 50 (2"), CONEXÃO ROSQUEADA, INSTALADO EM REDE DE ALIMENTAÇÃO PARA HIDRANTE - FORNECIME NTO E INSTALAÇÃO. AF_12/2015</t>
  </si>
  <si>
    <t>TUBO DE AÇO GALVANIZADO COM COSTURA, CLASSE MÉDIA, DN 50 (2), CONEXÃO ROSQUEADA, INSTALADO EM RESERVAÇÃO DE ÁGUA DE EDIFICAÇÃO QUE POSSUA R ESERVATÓRIO DE FIBRA/FIBROCIMENTO  FORNECIMENTO E INSTALAÇÃO. AF_06/2 016</t>
  </si>
  <si>
    <t>TUBO DE AÇO GALVANIZADO COM COSTURA, CLASSE MÉDIA, DN 65 (2 1/2"), CON EXÃO ROSQUEADA, INSTALADO EM PRUMADAS - FORNECIMENTO E INSTALAÇÃO. AF_ 12/2015</t>
  </si>
  <si>
    <t>TUBO DE AÇO GALVANIZADO COM COSTURA, CLASSE MÉDIA, DN 65 (2 1/2"), CON EXÃO ROSQUEADA, INSTALADO EM REDE DE ALIMENTAÇÃO PARA HIDRANTE - FORNE CIMENTO E INSTALAÇÃO. AF_12/2015</t>
  </si>
  <si>
    <t>TUBO DE AÇO GALVANIZADO COM COSTURA, CLASSE MÉDIA, DN 65 (2 1/2), CON EXÃO ROSQUEADA, INSTALADO EM RESERVAÇÃO DE ÁGUA DE EDIFICAÇÃO QUE POSS UA RESERVATÓRIO DE FIBRA/FIBROCIMENTO  FORNECIMENTO E INSTALAÇÃO. AF_ 06/2016</t>
  </si>
  <si>
    <t>TUBO DE AÇO GALVANIZADO COM COSTURA, CLASSE MÉDIA, DN 80 (3"), CONEXÃO ROSQUEADA, INSTALADO EM PRUMADAS - FORNECIMENTO E INSTALAÇÃO. AF_12/2 015</t>
  </si>
  <si>
    <t>TUBO DE AÇO GALVANIZADO COM COSTURA, CLASSE MÉDIA, DN 80 (3"), CONEXÃO ROSQUEADA, INSTALADO EM REDE DE ALIMENTAÇÃO PARA HIDRANTE - FORNECIME NTO E INSTALAÇÃO. AF_12/2015</t>
  </si>
  <si>
    <t>TUBO DE AÇO GALVANIZADO COM COSTURA, CLASSE MÉDIA, DN 80 (3), CONEXÃO ROSQUEADA, INSTALADO EM RESERVAÇÃO DE ÁGUA DE EDIFICAÇÃO QUE POSSUA R ESERVATÓRIO DE FIBRA/FIBROCIMENTO  FORNECIMENTO E INSTALAÇÃO. AF_06/2 016</t>
  </si>
  <si>
    <t>TUBO DE AÇO PRETO 4" SEM COSTURA SCHEDULE 40/NBR 5590, INCLUSIVE CONEX OES - FORNECIMENTO E INSTALACAO</t>
  </si>
  <si>
    <t>TUBO DE AÇO PRETO 6" SEM COSTURA SCHEDULE 40/NBR 5590, INCLUSIVE CONEX ÕES - FORNECIMENTO E INSTALAÇÃO</t>
  </si>
  <si>
    <t>TUBO DE AÇO PRETO SEM COSTURA, CLASSE MÉDIA, CONEXÃO SOLDADA, DN 15 (1 /2"), INSTALADO EM RAMAIS E SUB-RAMAIS DE GÁS - FORNECIMENTO E INSTALA ÇÃO. AF_12/2015</t>
  </si>
  <si>
    <t>TUBO DE AÇO PRETO SEM COSTURA, CLASSE MÉDIA, CONEXÃO SOLDADA, DN 20 (3 /4"), INSTALADO EM RAMAIS E SUB-RAMAIS DE GÁS - FORNECIMENTO E INSTALA ÇÃO. AF_12/2015</t>
  </si>
  <si>
    <t>TUBO DE AÇO PRETO SEM COSTURA, CONEXÃO SOLDADA, DN 50 (2"), INSTALADO EM REDE DE ALIMENTAÇÃO PARA HIDRANTE - FORNECIMENTO E INSTALAÇÃO. AF_1 2/2015</t>
  </si>
  <si>
    <t>TUBO DE AÇO PRETO SEM COSTURA, CONEXÃO SOLDADA, DN 50 (2"), INSTALADO EM REDE DE ALIMENTAÇÃO PARA SPRINKLER - FORNECIMENTO E INSTALAÇÃO. AF_ 12/2015</t>
  </si>
  <si>
    <t>TUBO DE AÇO PRETO SEM COSTURA, CONEXÃO SOLDADA, DN 65 (2 1/2"), INSTAL ADO EM PRUMADAS - FORNECIMENTO E INSTALAÇÃO. AF_12/2015</t>
  </si>
  <si>
    <t>TUBO DE AÇO PRETO SEM COSTURA, CONEXÃO SOLDADA, DN 65 (2 1/2"), INSTAL ADO EM REDE DE ALIMENTAÇÃO PARA HIDRANTE - FORNECIMENTO E INSTALAÇÃO. AF_12/2015</t>
  </si>
  <si>
    <t>TUBO DE AÇO PRETO SEM COSTURA, CONEXÃO SOLDADA, DN 65 (2 1/2"), INSTAL ADO EM REDE DE ALIMENTAÇÃO PARA SPRINKLER - FORNECIMENTO E INSTALAÇÃO. AF_12/2015</t>
  </si>
  <si>
    <t>TUBO DE AÇO PRETO SEM COSTURA, CONEXÃO SOLDADA, DN 80 (3"), INSTALADO EM REDE DE ALIMENTAÇÃO PARA HIDRANTE - FORNECIMENTO E INSTALAÇÃO. AF_1 2/2015</t>
  </si>
  <si>
    <t>TUBO DE AÇO PRETO SEM COSTURA, CONEXÃO SOLDADA, DN 80 (3"), INSTALADO EM REDE DE ALIMENTAÇÃO PARA SPRINKLER - FORNECIMENTO E INSTALAÇÃO. AF_ 12/2015</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</si>
  <si>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</si>
  <si>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</si>
  <si>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</si>
  <si>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</si>
  <si>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</si>
  <si>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</si>
  <si>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</si>
  <si>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</si>
  <si>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</si>
  <si>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</si>
  <si>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</si>
  <si>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</si>
  <si>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</si>
  <si>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</si>
  <si>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</si>
  <si>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</si>
  <si>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</si>
  <si>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</si>
  <si>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</si>
  <si>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</si>
  <si>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</si>
  <si>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</si>
  <si>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</si>
  <si>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</si>
  <si>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</si>
  <si>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</si>
  <si>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</si>
  <si>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</si>
  <si>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</si>
  <si>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</si>
  <si>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</si>
  <si>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CLASSE "A", DN = 2" (54 MM), PARA INSTALACOES DE MEDIA PRESSAO PARA GASES COMBUSTIVEIS E MEDICINAIS</t>
  </si>
  <si>
    <t>TUBO DE CONCRETO PARA REDES COLETORAS DE ÁGUAS PLUVIAIS, DIÂMETRO DE 1 000 MM, JUNTA RÍGIDA, INSTALADO EM LOCAL COM ALTO NÍVEL DE INTERFERÊNC IAS - FORNECIMENTO E ASSENTAMENTO. AF_12/2015</t>
  </si>
  <si>
    <t>TUBO DE CONCRETO PARA REDES COLETORAS DE ÁGUAS PLUVIAIS, DIÂMETRO DE 1 000 MM, JUNTA RÍGIDA, INSTALADO EM LOCAL COM BAIXO NÍVEL DE INTERFERÊN CIAS - FORNECIMENTO E ASSENTAMENTO. AF_12/2015</t>
  </si>
  <si>
    <t>TUBO DE CONCRETO PARA REDES COLETORAS DE ÁGUAS PLUVIAIS, DIÂMETRO DE 1 200 MM, JUNTA RÍGIDA, INSTALADO EM LOCAL COM ALTO NÍVEL DE INTERFERÊNC IAS - FORNECIMENTO E ASSENTAMENTO. AF_12/2015</t>
  </si>
  <si>
    <t>TUBO DE CONCRETO PARA REDES COLETORAS DE ÁGUAS PLUVIAIS, DIÂMETRO DE 1 200 MM, JUNTA RÍGIDA, INSTALADO EM LOCAL COM BAIXO NÍVEL DE INTERFERÊN CIAS - FORNECIMENTO E ASSENTAMENTO. AF_12/2015</t>
  </si>
  <si>
    <t>TUBO DE CONCRETO PARA REDES COLETORAS DE ÁGUAS PLUVIAIS, DIÂMETRO DE 1 500 MM, JUNTA RÍGIDA, INSTALADO EM LOCAL COM ALTO NÍVEL DE INTERFERÊNC IAS - FORNECIMENTO E ASSENTAMENTO. AF_12/2015</t>
  </si>
  <si>
    <t>TUBO DE CONCRETO PARA REDES COLETORAS DE ÁGUAS PLUVIAIS, DIÂMETRO DE 1 500 MM, JUNTA RÍGIDA, INSTALADO EM LOCAL COM BAIXO NÍVEL DE INTERFERÊN CIAS - FORNECIMENTO E ASSENTAMENTO. AF_12/2015</t>
  </si>
  <si>
    <t>TUBO DE CONCRETO PARA REDES COLETORAS DE ÁGUAS PLUVIAIS, DIÂMETRO DE 4 00 MM, JUNTA RÍGIDA, INSTALADO EM LOCAL COM ALTO NÍVEL DE INTERFERÊNCI AS - FORNECIMENTO E ASSENTAMENTO. AF_12/2015</t>
  </si>
  <si>
    <t>TUBO DE CONCRETO PARA REDES COLETORAS DE ÁGUAS PLUVIAIS, DIÂMETRO DE 4 00 MM, JUNTA RÍGIDA, INSTALADO EM LOCAL COM BAIXO NÍVEL DE INTERFERÊNC IAS - FORNECIMENTO E ASSENTAMENTO. AF_12/2015</t>
  </si>
  <si>
    <t>TUBO DE CONCRETO PARA REDES COLETORAS DE ÁGUAS PLUVIAIS, DIÂMETRO DE 5 00 MM, JUNTA RÍGIDA, INSTALADO EM LOCAL COM ALTO NÍVEL DE INTERFERÊNCI AS - FORNECIMENTO E ASSENTAMENTO. AF_12/2015</t>
  </si>
  <si>
    <t>TUBO DE CONCRETO PARA REDES COLETORAS DE ÁGUAS PLUVIAIS, DIÂMETRO DE 5 00 MM, JUNTA RÍGIDA, INSTALADO EM LOCAL COM BAIXO NÍVEL DE INTERFERÊNC IAS - FORNECIMENTO E ASSENTAMENTO. AF_12/2015</t>
  </si>
  <si>
    <t>TUBO DE CONCRETO PARA REDES COLETORAS DE ÁGUAS PLUVIAIS, DIÂMETRO DE 6 00 MM, JUNTA RÍGIDA, INSTALADO EM LOCAL COM ALTO NÍVEL DE INTERFERÊNCI AS - FORNECIMENTO E ASSENTAMENTO. AF_12/2015</t>
  </si>
  <si>
    <t>TUBO DE CONCRETO PARA REDES COLETORAS DE ÁGUAS PLUVIAIS, DIÂMETRO DE 6 00 MM, JUNTA RÍGIDA, INSTALADO EM LOCAL COM BAIXO NÍVEL DE INTERFERÊNC IAS - FORNECIMENTO E ASSENTAMENTO. AF_12/2015</t>
  </si>
  <si>
    <t>TUBO DE CONCRETO PARA REDES COLETORAS DE ÁGUAS PLUVIAIS, DIÂMETRO DE 7 00 MM, JUNTA RÍGIDA, INSTALADO EM LOCAL COM ALTO NÍVEL DE INTERFERÊNCI AS - FORNECIMENTO E ASSENTAMENTO. AF_12/2015</t>
  </si>
  <si>
    <t>TUBO DE CONCRETO PARA REDES COLETORAS DE ÁGUAS PLUVIAIS, DIÂMETRO DE 7 00 MM, JUNTA RÍGIDA, INSTALADO EM LOCAL COM BAIXO NÍVEL DE INTERFERÊNC IAS - FORNECIMENTO E ASSENTAMENTO. AF_12/2015</t>
  </si>
  <si>
    <t>TUBO DE CONCRETO PARA REDES COLETORAS DE ÁGUAS PLUVIAIS, DIÂMETRO DE 8 00 MM, JUNTA RÍGIDA, INSTALADO EM LOCAL COM ALTO NÍVEL DE INTERFERÊNCI AS - FORNECIMENTO E ASSENTAMENTO. AF_12/2015</t>
  </si>
  <si>
    <t>TUBO DE CONCRETO PARA REDES COLETORAS DE ÁGUAS PLUVIAIS, DIÂMETRO DE 8 00 MM, JUNTA RÍGIDA, INSTALADO EM LOCAL COM BAIXO NÍVEL DE INTERFERÊNC IAS - FORNECIMENTO E ASSENTAMENTO. AF_12/2015</t>
  </si>
  <si>
    <t>TUBO DE CONCRETO PARA REDES COLETORAS DE ÁGUAS PLUVIAIS, DIÂMETRO DE 9 00 MM, JUNTA RÍGIDA, INSTALADO EM LOCAL COM ALTO NÍVEL DE INTERFERÊNCI AS - FORNECIMENTO E ASSENTAMENTO. AF_12/2015</t>
  </si>
  <si>
    <t>TUBO DE CONCRETO PARA REDES COLETORAS DE ÁGUAS PLUVIAIS, DIÂMETRO DE 9 00 MM, JUNTA RÍGIDA, INSTALADO EM LOCAL COM BAIXO NÍVEL DE INTERFERÊNC IAS - FORNECIMENTO E ASSENTAMENTO. AF_12/2015</t>
  </si>
  <si>
    <t>TUBO DE CONCRETO PARA REDES COLETORAS DE ESGOTO SANITÁRIO, DIÂMETRO DE 400 MM, JUNTA ELÁSTICA, INSTALADO EM LOCAL COM ALTO NÍVEL DE INTERFER ÊNCIAS - FORNECIMENTO E ASSENTAMENTO. AF_12/2015</t>
  </si>
  <si>
    <t>TUBO DE CONCRETO PARA REDES COLETORAS DE ESGOTO SANITÁRIO, DIÂMETRO DE 400 MM, JUNTA ELÁSTICA, INSTALADO EM LOCAL COM BAIXO NÍVEL DE INTERFE RÊNCIAS - FORNECIMENTO E ASSENTAMENTO. AF_12/2015</t>
  </si>
  <si>
    <t>TUBO DE CONCRETO SIMPLES POROSO, MACHO/FEMEA, DN 200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</si>
  <si>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</si>
  <si>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</si>
  <si>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</si>
  <si>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</si>
  <si>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</si>
  <si>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</si>
  <si>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</si>
  <si>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</si>
  <si>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</si>
  <si>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</si>
  <si>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</si>
  <si>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</si>
  <si>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</si>
  <si>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</si>
  <si>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</si>
  <si>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</si>
  <si>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</si>
  <si>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</si>
  <si>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</si>
  <si>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</si>
  <si>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PEAD CORRUGADO DE DUPLA PAREDE PARA REDE COLETORA DE ESGOTO, D N 1000 MM, JUNTA ELÁSTICA INTEGRADA, INSTALADO EM LOCAL COM NÍVEL ALTO DE INTERFERÊNCIAS - FORNECIMENTO E ASSENTAMENTO. AF_06/2016</t>
  </si>
  <si>
    <t>TUBO DE PEAD CORRUGADO DE DUPLA PAREDE PARA REDE COLETORA DE ESGOTO, D N 1000 MM, JUNTA ELÁSTICA INTEGRADA, INSTALADO EM LOCAL COM NÍVEL BAIX O DE INTERFERÊNCIAS - FORNECIMENTO E ASSENTAMENTO. AF_06/2016</t>
  </si>
  <si>
    <t>TUBO DE PEAD CORRUGADO DE DUPLA PAREDE PARA REDE COLETORA DE ESGOTO, D N 1200 MM, JUNTA ELÁSTICA INTEGRADA, INSTALADO EM LOCAL COM NÍVEL ALTO DE INTERFERÊNCIAS - FORNECIMENTO E ASSENTAMENTO. AF_06/2016</t>
  </si>
  <si>
    <t>TUBO DE PEAD CORRUGADO DE DUPLA PAREDE PARA REDE COLETORA DE ESGOTO, D N 1200 MM, JUNTA ELÁSTICA INTEGRADA, INSTALADO EM LOCAL COM NÍVEL BAIX O DE INTERFERÊNCIAS - FORNECIMENTO E ASSENTAMENTO. AF_06/2016</t>
  </si>
  <si>
    <t>TUBO DE PEAD CORRUGADO DE DUPLA PAREDE PARA REDE COLETORA DE ESGOTO, D N 1500 MM, JUNTA ELÁSTICA INTEGRADA, INSTALADO EM LOCAL COM NÍVEL ALTO DE INTERFERÊNCIAS - FORNECIMENTO E ASSENTAMENTO. AF_06/2016</t>
  </si>
  <si>
    <t>TUBO DE PEAD CORRUGADO DE DUPLA PAREDE PARA REDE COLETORA DE ESGOTO, D N 1500 MM, JUNTA ELÁSTICA INTEGRADA, INSTALADO EM LOCAL COM NÍVEL BAIX O DE INTERFERÊNCIAS - FORNECIMENTO E ASSENTAMENTO. AF_06/2016</t>
  </si>
  <si>
    <t>TUBO DE PEAD CORRUGADO DE DUPLA PAREDE PARA REDE COLETORA DE ESGOTO, D N 250 MM, JUNTA ELÁSTICA INTEGRADA, INSTALADO EM LOCAL COM NÍVEL ALTO DE INTERFERÊNCIAS - FORNECIMENTO E ASSENTAMENTO. AF_06/2016</t>
  </si>
  <si>
    <t>TUBO DE PEAD CORRUGADO DE DUPLA PAREDE PARA REDE COLETORA DE ESGOTO, D N 250 MM, JUNTA ELÁSTICA INTEGRADA, INSTALADO EM LOCAL COM NÍVEL BAIXO DE INTERFERÊNCIAS - FORNECIMENTO E ASSENTAMENTO. AF_06/2016</t>
  </si>
  <si>
    <t>TUBO DE PEAD CORRUGADO DE DUPLA PAREDE PARA REDE COLETORA DE ESGOTO, D N 300 MM, JUNTA ELÁSTICA INTEGRADA, INSTALADO EM LOCAL COM NÍVEL ALTO DE INTERFERÊNCIAS - FORNECIMENTO E ASSENTAMENTO. AF_06/2016</t>
  </si>
  <si>
    <t>TUBO DE PEAD CORRUGADO DE DUPLA PAREDE PARA REDE COLETORA DE ESGOTO, D N 300 MM, JUNTA ELÁSTICA INTEGRADA, INSTALADO EM LOCAL COM NÍVEL BAIXO DE INTERFERÊNCIAS - FORNECIMENTO E ASSENTAMENTO. AF_06/2016</t>
  </si>
  <si>
    <t>TUBO DE PEAD CORRUGADO DE DUPLA PAREDE PARA REDE COLETORA DE ESGOTO, D N 600 MM, JUNTA ELÁSTICA INTEGRADA, INSTALADO EM LOCAL COM NÍVEL ALTO DE INTERFERÊNCIAS - FORNECIMENTO E ASSENTAMENTO. AF_06/2015</t>
  </si>
  <si>
    <t>TUBO DE PEAD CORRUGADO DE DUPLA PAREDE PARA REDE COLETORA DE ESGOTO, D N 600 MM, JUNTA ELÁSTICA INTEGRADA, INSTALADO EM LOCAL COM NÍVEL BAIXO DE INTERFERÊNCIAS - FORNECIMENTO E ASSENTAMENTO. AF_06/2015</t>
  </si>
  <si>
    <t>TUBO DE PEAD CORRUGADO DE DUPLA PAREDE PARA REDE COLETORA DE ESGOTO, D N 750 MM, JUNTA ELÁSTICA INTEGRADA, INSTALADO EM LOCAL COM NÍVEL ALTO DE INTERFERÊNCIAS - FORNECIMENTO E ASSENTAMENTO. AF_06/2016</t>
  </si>
  <si>
    <t>TUBO DE PEAD CORRUGADO DE DUPLA PAREDE PARA REDE COLETORA DE ESGOTO, D N 750 MM, JUNTA ELÁSTICA INTEGRADA, INSTALADO EM LOCAL COM NÍVEL BAIXO DE INTERFERÊNCIAS - FORNECIMENTO E ASSENTAMENTO. AF_06/2016</t>
  </si>
  <si>
    <t>TUBO DE PEAD CORRUGADO DE DUPLA PAREDE PARA REDE COLETORA DE ESGOTO, D N 900 MM, JUNTA ELÁSTICA INTEGRADA, INSTALADO EM LOCAL COM NÍVEL ALTO DE INTERFERÊNCIAS - FORNECIMENTO E ASSENTAMENTO. AF_06/2016</t>
  </si>
  <si>
    <t>TUBO DE PEAD CORRUGADO DE DUPLA PAREDE PARA REDE COLETORA DE ESGOTO, D N 900 MM, JUNTA ELÁSTICA INTEGRADA, INSTALADO EM LOCAL COM NÍVEL BAIXO DE INTERFERÊNCIAS - FORNECIMENTO E ASSENTAMENTO. AF_06/2016</t>
  </si>
  <si>
    <t>TUBO DE PVC CORRUGADO DE DUPLA PAREDE PARA REDE COLETORA DE ESGOTO, DN 150 MM, JUNTA ELÁSTICA, INSTALADO EM LOCAL COM NÍVEL ALTO DE INTERFER ÊNCIAS - FORNECIMENTO E ASSENTAMENTO. AF_06/2015</t>
  </si>
  <si>
    <t>TUBO DE PVC CORRUGADO DE DUPLA PAREDE PARA REDE COLETORA DE ESGOTO, DN 150 MM, JUNTA ELÁSTICA, INSTALADO EM LOCAL COM NÍVEL BAIXO DE INTERFE RÊNCIAS - FORNECIMENTO E ASSENTAMENTO. AF_06/2015</t>
  </si>
  <si>
    <t>TUBO DE PVC CORRUGADO DE DUPLA PAREDE PARA REDE COLETORA DE ESGOTO, DN 200 MM, JUNTA ELÁSTICA, INSTALADO EM LOCAL COM NÍVEL ALTO DE INTERFER ÊNCIAS - FORNECIMENTO E ASSENTAMENTO. AF_06/2015</t>
  </si>
  <si>
    <t>TUBO DE PVC CORRUGADO DE DUPLA PAREDE PARA REDE COLETORA DE ESGOTO, DN 200 MM, JUNTA ELÁSTICA, INSTALADO EM LOCAL COM NÍVEL BAIXO DE INTERFE RÊNCIAS - FORNECIMENTO E ASSENTAMENTO. AF_06/2015</t>
  </si>
  <si>
    <t>TUBO DE PVC CORRUGADO DE DUPLA PAREDE PARA REDE COLETORA DE ESGOTO, DN 250 MM, JUNTA ELÁSTICA, INSTALADO EM LOCAL COM NÍVEL ALTO DE INTERFER ÊNCIAS - FORNECIMENTO E ASSENTAMENTO. AF_06/2015</t>
  </si>
  <si>
    <t>TUBO DE PVC CORRUGADO DE DUPLA PAREDE PARA REDE COLETORA DE ESGOTO, DN 250 MM, JUNTA ELÁSTICA, INSTALADO EM LOCAL COM NÍVEL BAIXO DE INTERFE RÊNCIAS - FORNECIMENTO E ASSENTAMENTO. AF_06/2015</t>
  </si>
  <si>
    <t>TUBO DE PVC CORRUGADO DE DUPLA PAREDE PARA REDE COLETORA DE ESGOTO, DN 300 MM, JUNTA ELÁSTICA, INSTALADO EM LOCAL COM NÍVEL ALTO DE INTERFER ÊNCIAS - FORNECIMENTO E ASSENTAMENTO. AF_06/2015</t>
  </si>
  <si>
    <t>TUBO DE PVC CORRUGADO DE DUPLA PAREDE PARA REDE COLETORA DE ESGOTO, DN 300 MM, JUNTA ELÁSTICA, INSTALADO EM LOCAL COM NÍVEL BAIXO DE INTERFE RÊNCIAS - FORNECIMENTO E ASSENTAMENTO. AF_06/2015</t>
  </si>
  <si>
    <t>TUBO DE PVC CORRUGADO DE DUPLA PAREDE PARA REDE COLETORA DE ESGOTO, DN 350 MM, JUNTA ELÁSTICA, INSTALADO EM LOCAL COM NÍVEL ALTO DE INTERFER ÊNCIAS - FORNECIMENTO E ASSENTAMENTO. AF_06/2015</t>
  </si>
  <si>
    <t>TUBO DE PVC CORRUGADO DE DUPLA PAREDE PARA REDE COLETORA DE ESGOTO, DN 350 MM, JUNTA ELÁSTICA, INSTALADO EM LOCAL COM NÍVEL BAIXO DE INTERFE RÊNCIAS - FORNECIMENTO E ASSENTAMENTO. AF_06/2015</t>
  </si>
  <si>
    <t>TUBO DE PVC CORRUGADO DE DUPLA PAREDE PARA REDE COLETORA DE ESGOTO, DN 400 MM, EM JUNTA ELÁSTICA, INSTALADO EM LOCAL COM NÍVEL ALTO DE INTER FERÊNCIAS - FORNECIMENTO E ASSENTAMENTO. AF_06/2015</t>
  </si>
  <si>
    <t>TUBO DE PVC CORRUGADO DE DUPLA PAREDE PARA REDE COLETORA DE ESGOTO, DN 400 MM, JUNTA ELÁSTICA, INSTALADO EM LOCAL COM NÍVEL BAIXO DE INTERFE 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</si>
  <si>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</si>
  <si>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</si>
  <si>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</si>
  <si>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</si>
  <si>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</si>
  <si>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</si>
  <si>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</si>
  <si>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</si>
  <si>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</si>
  <si>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</si>
  <si>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</si>
  <si>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</si>
  <si>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ALTO DE INTERFERÊNCIAS - FORNECIMENTO E ASSENTAMENTO. AF_06/2015</t>
  </si>
  <si>
    <t>TUBO DE PVC PARA REDE COLETORA DE ESGOTO DE PAREDE MACIÇA, DN 400 MM, JUNTA ELÁSTICA, INSTALADO EM LOCAL COM NÍVEL BAIXO DE INTERFERÊNCIAS - FORNECIMENTO E ASSENTAMENTO. AF_06/2015</t>
  </si>
  <si>
    <t>TUBO DE PVC, PBL, TIPO LEVE, DN = 125 MM,  PARA VENTILACAO</t>
  </si>
  <si>
    <t>TUBO DE PVC, PBL, TIPO LEVE, DN = 250 MM,  PARA VENTILACAO</t>
  </si>
  <si>
    <t>TUBO DE PVC, PBL, TIPO LEVE, DN = 300 MM,  PARA VENTILACAO</t>
  </si>
  <si>
    <t>TUBO DE PVC, PBL, TIPO LEVE, DN = 400 MM,  PARA VENTILACAO</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</si>
  <si>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</si>
  <si>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</si>
  <si>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</si>
  <si>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</si>
  <si>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EM COBRE RÍGIDO, DN 104 MM CLASSE E, SEM ISOLAMENTO, INSTALADO EM RESERVAÇÃO DE ÁGUA DE EDIFICAÇÃO QUE POSSUA RESERVATÓRIO DE FIBRA/FIB ROCIMENTO  FORNECIMENTO E INSTALAÇÃO. AF_06/2016</t>
  </si>
  <si>
    <t>TUBO EM COBRE RÍGIDO, DN 15 CLASSE E, SEM ISOLAMENTO, INSTALADO EM RAM AL DE DISTRIBUIÇÃO - FORNECIMENTO E INSTALAÇÃO. AF_12/2015</t>
  </si>
  <si>
    <t>TUBO EM COBRE RÍGIDO, DN 15 CLASSE E, SEM ISOLAMENTO, INSTALADO EM RAM AL E SUB-RAMAL - FORNECIMENTO E INSTALAÇÃO. AF_12/2015</t>
  </si>
  <si>
    <t>TUBO EM COBRE RÍGIDO, DN 22 CLASSE E, SEM ISOLAMENTO, INSTALADO EM PRU MADA - FORNECIMENTO E INSTALAÇÃO. AF_12/2015</t>
  </si>
  <si>
    <t>TUBO EM COBRE RÍGIDO, DN 22 CLASSE E, SEM ISOLAMENTO, INSTALADO EM RAM AL DE DISTRIBUIÇÃO - FORNECIMENTO E INSTALAÇÃO. AF_12/2015</t>
  </si>
  <si>
    <t>TUBO EM COBRE RÍGIDO, DN 22 CLASSE E, SEM ISOLAMENTO, INSTALADO EM RAM AL E SUB-RAMAL - FORNECIMENTO E INSTALAÇÃO. AF_12/2015</t>
  </si>
  <si>
    <t>TUBO EM COBRE RÍGIDO, DN 28 CLASSE E, SEM ISOLAMENTO, INSTALADO EM PRU MADA - FORNECIMENTO E INSTALAÇÃO. AF_12/2015</t>
  </si>
  <si>
    <t>TUBO EM COBRE RÍGIDO, DN 28 CLASSE E, SEM ISOLAMENTO, INSTALADO EM RAM AL DE DISTRIBUIÇÃO - FORNECIMENTO E INSTALAÇÃO. AF_12/2015</t>
  </si>
  <si>
    <t>TUBO EM COBRE RÍGIDO, DN 28 CLASSE E, SEM ISOLAMENTO, INSTALADO EM RAM AL E SUB-RAMAL - FORNECIMENTO E INSTALAÇÃO. AF_12/2015</t>
  </si>
  <si>
    <t>TUBO EM COBRE RÍGIDO, DN 35 CLASSE E, SEM ISOLAMENTO, INSTALADO EM PRU MADA - FORNECIMENTO E INSTALAÇÃO. AF_12/2015</t>
  </si>
  <si>
    <t>TUBO EM COBRE RÍGIDO, DN 42 CLASSE E, SEM ISOLAMENTO, INSTALADO EM PRU MADA - FORNECIMENTO E INSTALAÇÃO. AF_12/2015</t>
  </si>
  <si>
    <t>TUBO EM COBRE RÍGIDO, DN 54 CLASSE E, SEM ISOLAMENTO, INSTALADO EM PRU MADA - FORNECIMENTO E INSTALAÇÃO. AF_12/2015</t>
  </si>
  <si>
    <t>TUBO EM COBRE RÍGIDO, DN 54 MM CLASSE E, SEM ISOLAMENTO, INSTALADO EM RESERVAÇÃO DE ÁGUA DE EDIFICAÇÃO QUE POSSUA RESERVATÓRIO DE FIBRA/FIBR OCIMENTO  FORNECIMENTO E INSTALAÇÃO. AF_06/2016</t>
  </si>
  <si>
    <t>TUBO EM COBRE RÍGIDO, DN 66 CLASSE E, SEM ISOLAMENTO, INSTALADO EM PRU MADA - FORNECIMENTO E INSTALAÇÃO. AF_12/2015</t>
  </si>
  <si>
    <t>TUBO EM COBRE RÍGIDO, DN 66 MM CLASSE E, SEM ISOLAMENTO, INSTALADO EM RESERVAÇÃO DE ÁGUA DE EDIFICAÇÃO QUE POSSUA RESERVATÓRIO DE FIBRA/FIBR OCIMENTO  FORNECIMENTO E INSTALAÇÃO. AF_06/2016</t>
  </si>
  <si>
    <t>TUBO EM COBRE RÍGIDO, DN 79 MM CLASSE E, SEM ISOLAMENTO, INSTALADO EM RESERVAÇÃO DE ÁGUA DE EDIFICAÇÃO QUE POSSUA RESERVATÓRIO DE FIBRA/FIBR OCIMENTO  FORNECIMENTO E INSTALAÇÃO. AF_06/2016</t>
  </si>
  <si>
    <t>TUBO PVC  SERIE NORMAL, DN 100 MM, PARA ESGOTO  PREDIAL (NBR 5688)</t>
  </si>
  <si>
    <t>TUBO PVC  SERIE NORMAL, DN 150 MM, PARA ESGOTO  PREDIAL (NBR 5688)</t>
  </si>
  <si>
    <t>TUBO PVC  SERIE NORMAL, DN 40 MM, PARA ESGOTO  PREDIAL (NBR 5688)</t>
  </si>
  <si>
    <t>TUBO PVC CORRUGADO PERFURADO 100 MM C/ JUNTA ELASTICA PARA DRENAGEM.</t>
  </si>
  <si>
    <t>TUBO PVC CORRUGADO RIGIDO PERFURADO DN 150 PARA DRENAGEM - FORNECIMENT O E INSTALACAO</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</si>
  <si>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</si>
  <si>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</si>
  <si>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</si>
  <si>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</si>
  <si>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</si>
  <si>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</si>
  <si>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D=2 COM MATERIAL DRENANTE PARA DRENO/BARBACA - FORNECIMENTO E INSTALACAO</t>
  </si>
  <si>
    <t>TUBO PVC D=3" COM MATERIAL DRENANTE PARA DRENO/BARBACA - FORNECIMENTO E INSTALACAO</t>
  </si>
  <si>
    <t>TUBO PVC D=4" COM MATERIAL DRENANTE PARA DRENO/BARBACA - FORNECIMENTO E INSTALACAO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</si>
  <si>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</si>
  <si>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</si>
  <si>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</si>
  <si>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</si>
  <si>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</si>
  <si>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</si>
  <si>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REDEDE  AGUA (NBR 7665)</t>
  </si>
  <si>
    <t>TUBO PVC DEFOFO, JEI, 1 MPA, DN 200 MM, PARA REDE DE AGUA (NBR 7665)</t>
  </si>
  <si>
    <t>TUBO PVC DEFOFO, JEI, 1 MPA, DN 250 MM, PARA REDE DE AGUA (NBR 7665)</t>
  </si>
  <si>
    <t>TUBO PVC DEFOFO, JEI, 1 MPA, DN 300 MM, PARA REDE DE AGUA (NBR 7665)</t>
  </si>
  <si>
    <t>TUBO PVC DN 100 MM PARA DRENAGEM - FORNECIMENTO E INSTALACAO</t>
  </si>
  <si>
    <t>TUBO PVC DN 75 MM PARA DRENAGEM - FORNECIMENTO E INSTALACAO</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</si>
  <si>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</si>
  <si>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</si>
  <si>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</si>
  <si>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</si>
  <si>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</si>
  <si>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</si>
  <si>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</si>
  <si>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</si>
  <si>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</si>
  <si>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PBA, CLASSE 12, JE, DN 100/DE 110 MM, REDE AGUA (NBR 5647)</t>
  </si>
  <si>
    <t>TUBO PVC PBA, CLASSE 12, JE, DN 50/DE 60 MM, REDE AGUA (NBR 5647)</t>
  </si>
  <si>
    <t>TUBO PVC PBA, CLASSE 12, JE, DN 75/DE 85 MM, REDE AGUA (NBR 5647)</t>
  </si>
  <si>
    <t>TUBO PVC PBA, CLASSE 15, JE, DN 100/DE 110 MM, REDE AGUA (NBR 5647)</t>
  </si>
  <si>
    <t>TUBO PVC PBA, CLASSE 15, JE, DN 50/DE 60 MM, REDE AGUA (NBR 5647)</t>
  </si>
  <si>
    <t>TUBO PVC PBA, CLASSE 15, JE, DN 75/DE 85 MM, REDE AGUA (NBR 5647)</t>
  </si>
  <si>
    <t>TUBO PVC PBA, CLASSE 20, JE, DN 100/DE 110 MM, REDE AGUA (NBR 5647)</t>
  </si>
  <si>
    <t>TUBO PVC PBA, CLASSE 20, JE, DN 50/DE 60 MM, REDE AGUA (NBR 5647)</t>
  </si>
  <si>
    <t>TUBO PVC PBA, CLASSE 20, JE, DN 75/DE 85 MM, REDE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</si>
  <si>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</si>
  <si>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</si>
  <si>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</si>
  <si>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</si>
  <si>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</si>
  <si>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JE, DN 100 MM,  REDE COLETORA ESGOTO (NBR 7362)</t>
  </si>
  <si>
    <t>TUBO PVC, PBV, SERIE R, DN 100 MM, PARA ESGOTO OU AGUAS PLUVIAIS PREDIAL (NBR 5688)</t>
  </si>
  <si>
    <t>TUBO PVC, PBV, SERIE R, DN 150 MM, PARA ESGOTO OU AGUAS PLUVIAIS PREDIAL (NBR 5688)</t>
  </si>
  <si>
    <t>TUBO PVC, PBV, SERIE R, DN 40 MM, PARA ESGOTO OU AGUAS PLUVIAIS PREDIAL (NBR 5688)</t>
  </si>
  <si>
    <t>TUBO PVC, PBV, SERIE R, DN 50 MM, PARA ESGOTO OU AGUAS PLUVIAIS PREDIAL (NBR 5688)</t>
  </si>
  <si>
    <t>TUBO PVC, PBV, SERIE R, DN 75 MM, PARA ESGOTO OU AGUAS PLUVIAIS PREDIAL (NBR 5688)</t>
  </si>
  <si>
    <t>TUBO PVC, PL, SERIE R, DN 100 MM, PARA ESGOTO OU AGUAS PLUVIAIS PREDIAL (NBR 5688)</t>
  </si>
  <si>
    <t>TUBO PVC, PL, SERIE R, DN 150 MM, PARA ESGOTO OU AGUAS PLUVIAIS PREDIAL (NBR 5688)</t>
  </si>
  <si>
    <t>TUBO PVC, PL, SERIE R, DN 40 MM, PARA ESGOTO OU AGUAS PLUVIAIS PREDIAL (NBR 5688)</t>
  </si>
  <si>
    <t>TUBO PVC, PL, SERIE R, DN 50 MM, PARA ESGOTO OU AGUAS PLUVIAIS PREDIAL (NBR 5688)</t>
  </si>
  <si>
    <t>TUBO PVC, PL, SERIE R, DN 75 MM, PARA ESGOTO OU AGUAS PLUVIAIS PREDIAL (NBR 5688)</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</si>
  <si>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</si>
  <si>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</si>
  <si>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</si>
  <si>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</si>
  <si>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</si>
  <si>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 AGUA FRIA PREDIAL</t>
  </si>
  <si>
    <t>TUBO PVC, ROSCAVEL, 1/2", AGUA FRIA PREDIAL</t>
  </si>
  <si>
    <t>TUBO PVC, ROSCAVEL, 3", AGUA FRIA PREDIAL</t>
  </si>
  <si>
    <t>TUBO PVC, ROSCAVEL, 4",  AGUA FRIA PREDIAL</t>
  </si>
  <si>
    <t>TUBO PVC, ROSCAVEL, 5",  AGUA FRIA PREDIAL</t>
  </si>
  <si>
    <t>TUBO PVC, ROSCAVEL, 6",  AGUA FRIA PREDIAL</t>
  </si>
  <si>
    <t>TUBO PVC, SERIE NORMAL, ESGOTO PREDIAL, DN 100 MM, FORNECIDO E INSTALA DO EM PRUMADA DE ESGOTO SANITÁRIO OU VENTILAÇÃO. AF_12/2014</t>
  </si>
  <si>
    <t>TUBO PVC, SERIE NORMAL, ESGOTO PREDIAL, DN 100 MM, FORNECIDO E INSTALA DO EM RAMAL DE DESCARGA OU RAMAL DE ESGOTO SANITÁRIO. AF_12/2014</t>
  </si>
  <si>
    <t>TUBO PVC, SERIE NORMAL, ESGOTO PREDIAL, DN 100 MM, FORNECIDO E INSTALA DO EM SUBCOLETOR AÉREO DE ESGOTO SANITÁRIO. AF_12/2014</t>
  </si>
  <si>
    <t>TUBO PVC, SERIE NORMAL, ESGOTO PREDIAL, DN 150 MM, FORNECIDO E INSTALA DO EM SUBCOLETOR AÉREO DE ESGOTO SANITÁRIO. AF_12/2014</t>
  </si>
  <si>
    <t>TUBO PVC, SERIE NORMAL, ESGOTO PREDIAL, DN 40 MM, FORNECIDO E INSTALAD O EM RAMAL DE DESCARGA OU RAMAL DE ESGOTO SANITÁRIO. AF_12/2014</t>
  </si>
  <si>
    <t>TUBO PVC, SERIE NORMAL, ESGOTO PREDIAL, DN 50 MM, FORNECIDO E INSTALAD O EM PRUMADA DE ESGOTO SANITÁRIO OU VENTILAÇÃO. AF_12/2014</t>
  </si>
  <si>
    <t>TUBO PVC, SERIE NORMAL, ESGOTO PREDIAL, DN 50 MM, FORNECIDO E INSTALAD O EM RAMAL DE DESCARGA OU RAMAL DE ESGOTO SANITÁRIO. AF_12/2014</t>
  </si>
  <si>
    <t>TUBO PVC, SERIE NORMAL, ESGOTO PREDIAL, DN 75 MM, FORNECIDO E INSTALAD O EM PRUMADA DE ESGOTO SANITÁRIO OU VENTILAÇÃO. AF_12/2014</t>
  </si>
  <si>
    <t>TUBO PVC, SERIE NORMAL, ESGOTO PREDIAL, DN 75 MM, FORNECIDO E INSTALAD O EM RAMAL DE DESCARGA OU RAMAL DE ESGOTO SANITÁRIO. AF_12/2014</t>
  </si>
  <si>
    <t>TUBO PVC, SÉRIE R, ÁGUA PLUVIAL, DN 100 MM, FORNECIDO E INSTALADO EM C ONDUTORES VERTICAIS DE ÁGUAS PLUVIAIS. AF_12/2014</t>
  </si>
  <si>
    <t>TUBO PVC, SÉRIE R, ÁGUA PLUVIAL, DN 100 MM, FORNECIDO E INSTALADO EM R AMAL DE ENCAMINHAMENTO. AF_12/2014</t>
  </si>
  <si>
    <t>TUBO PVC, SÉRIE R, ÁGUA PLUVIAL, DN 150 MM, FORNECIDO E INSTALADO EM C ONDUTORES VERTICAIS DE ÁGUAS PLUVIAIS. AF_12/2014</t>
  </si>
  <si>
    <t>TUBO PVC, SÉRIE R, ÁGUA PLUVIAL, DN 40 MM, FORNECIDO E INSTALADO EM RA MAL DE ENCAMINHAMENTO. AF_12/2014</t>
  </si>
  <si>
    <t>TUBO PVC, SÉRIE R, ÁGUA PLUVIAL, DN 50 MM, FORNECIDO E INSTALADO EM RA MAL DE ENCAMINHAMENTO. AF_12/2014</t>
  </si>
  <si>
    <t>TUBO PVC, SÉRIE R, ÁGUA PLUVIAL, DN 75 MM, FORNECIDO E INSTALADO EM CO NDUTORES VERTICAIS DE ÁGUAS PLUVIAIS. AF_12/2014</t>
  </si>
  <si>
    <t>TUBO PVC, SÉRIE R, ÁGUA PLUVIAL, DN 75 MM, FORNECIDO E INSTALADO EM RA MAL DE ENCAMINHAMENTO. AF_12/2014</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</si>
  <si>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</si>
  <si>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</si>
  <si>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</si>
  <si>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</si>
  <si>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</si>
  <si>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</si>
  <si>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</si>
  <si>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</si>
  <si>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</si>
  <si>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CPVC, SOLDÁVEL, DN 15MM, INSTALADO EM RAMAL OU SUB-RAMAL DE ÁGUA - FORNECIMENTO E INSTALAÇÃO. AF_12/2014</t>
  </si>
  <si>
    <t>TUBO, CPVC, SOLDÁVEL, DN 22 MM, INSTALADO EM RESERVAÇÃO DE ÁGUA DE EDI FICAÇÃO QUE POSSUA RESERVATÓRIO DE FIBRA/FIBROCIMENTO  FORNECIMENTO E INSTALAÇÃO. AF_06/2016</t>
  </si>
  <si>
    <t>TUBO, CPVC, SOLDÁVEL, DN 22MM, INSTALADO EM RAMAL DE DISTRIBUIÇÃO DE Á GUA   FORNECIMENTO E INSTALAÇÃO. AF_12/2014</t>
  </si>
  <si>
    <t>TUBO, CPVC, SOLDÁVEL, DN 22MM, INSTALADO EM RAMAL DE DISTRIBUIÇÃO DE Á GUA - FORNECIMENTO E INSTALAÇÃO. AF_12/2014</t>
  </si>
  <si>
    <t>TUBO, CPVC, SOLDÁVEL, DN 22MM, INSTALADO EM RAMAL OU SUB-RAMAL DE ÁGUA - FORNECIMENTO E INSTALAÇÃO. AF_12/2014</t>
  </si>
  <si>
    <t>TUBO, CPVC, SOLDÁVEL, DN 28 MM, INSTALADO EM RESERVAÇÃO DE ÁGUA DE EDI FICAÇÃO QUE POSSUA RESERVATÓRIO DE FIBRA/FIBROCIMENTO  FORNECIMENTO E INSTALAÇÃO. AF_06/2016</t>
  </si>
  <si>
    <t>TUBO, CPVC, SOLDÁVEL, DN 28MM, INSTALADO EM RAMAL DE DISTRIBUIÇÃO DE Á GUA - FORNECIMENTO E INSTALAÇÃO. AF_12/2014</t>
  </si>
  <si>
    <t>TUBO, CPVC, SOLDÁVEL, DN 28MM, INSTALADO EM RAMAL OU SUB-RAMAL DE ÁGUA - FORNECIMENTO E INSTALAÇÃO. AF_12/2014</t>
  </si>
  <si>
    <t>TUBO, CPVC, SOLDÁVEL, DN 35 MM, INSTALADO EM RESERVAÇÃO DE ÁGUA DE EDI FICAÇÃO QUE POSSUA RESERVATÓRIO DE FIBRA/FIBROCIMENTO  FORNECIMENTO E INSTALAÇÃO. AF_06/2016</t>
  </si>
  <si>
    <t>TUBO, CPVC, SOLDÁVEL, DN 35MM, INSTALADO EM PRUMADA DE ÁGUA  FORNECIM ENTO E INSTALAÇÃO. AF_12/2014</t>
  </si>
  <si>
    <t>TUBO, CPVC, SOLDÁVEL, DN 35MM, INSTALADO EM RAMAL DE DISTRIBUIÇÃO DE Á GUA   FORNECIMENTO E INSTALAÇÃO. AF_12/2014</t>
  </si>
  <si>
    <t>TUBO, CPVC, SOLDÁVEL, DN 35MM, INSTALADO EM RAMAL OU SUB-RAMAL DE ÁGUA FORNECIMENTO E INSTALAÇÃO. AF_12/2014</t>
  </si>
  <si>
    <t>TUBO, CPVC, SOLDÁVEL, DN 42 MM, INSTALADO EM RESERVAÇÃO DE ÁGUA DE EDI FICAÇÃO QUE POSSUA RESERVATÓRIO DE FIBRA/FIBROCIMENTO  FORNECIMENTO E INSTALAÇÃO. AF_06/2016</t>
  </si>
  <si>
    <t>TUBO, CPVC, SOLDÁVEL, DN 42MM, INSTALADO EM PRUMADA DE ÁGUA  FORNECIM ENTO E INSTALAÇÃO. AF_12/2014</t>
  </si>
  <si>
    <t>TUBO, CPVC, SOLDÁVEL, DN 54 MM, INSTALADO EM RESERVAÇÃO DE ÁGUA DE EDI FICAÇÃO QUE POSSUA RESERVATÓRIO DE FIBRA/FIBROCIMENTO  FORNECIMENTO E INSTALAÇÃO. AF_06/2016</t>
  </si>
  <si>
    <t>TUBO, CPVC, SOLDÁVEL, DN 54MM, INSTALADO EM PRUMADA DE ÁGUA  FORNECIM ENTO E INSTALAÇÃO. AF_12/2014</t>
  </si>
  <si>
    <t>TUBO, CPVC, SOLDÁVEL, DN 73 MM, INSTALADO EM RESERVAÇÃO DE ÁGUA DE EDI FICAÇÃO QUE POSSUA RESERVATÓRIO DE FIBRA/FIBROCIMENTO  FORNECIMENTO E INSTALAÇÃO. AF_06/2016</t>
  </si>
  <si>
    <t>TUBO, CPVC, SOLDÁVEL, DN 73MM, INSTALADO EM PRUMADA DE ÁGUA  FORNECIM ENTO E INSTALAÇÃO. AF_12/2014</t>
  </si>
  <si>
    <t>TUBO, CPVC, SOLDÁVEL, DN 89 MM, INSTALADO EM RESERVAÇÃO DE ÁGUA DE EDI FICAÇÃO QUE POSSUA RESERVATÓRIO DE FIBRA/FIBROCIMENTO  FORNECIMENTO E INSTALAÇÃO. AF_06/2016</t>
  </si>
  <si>
    <t>TUBO, CPVC, SOLDÁVEL, DN 89MM, INSTALADO EM PRUMADA DE ÁGUA  FORNECIM ENTO E INSTALAÇÃO. AF_12/2014</t>
  </si>
  <si>
    <t>TUBO, PVC, SOLDÁVEL, DN  25 MM, INSTALADO EM RESERVAÇÃO DE ÁGUA DE EDI FICAÇÃO QUE POSSUA RESERVATÓRIO DE FIBRA/FIBROCIMENTO   FORNECIMENTO E INSTALAÇÃO. AF_06/2016</t>
  </si>
  <si>
    <t>TUBO, PVC, SOLDÁVEL, DN 110 MM, INSTALADO EM RESERVAÇÃO DE ÁGUA DE EDI FICAÇÃO QUE POSSUA RESERVATÓRIO DE FIBRA/FIBROCIMENTO   FORNECIMENTO E INSTALAÇÃO. AF_06/2016</t>
  </si>
  <si>
    <t>TUBO, PVC, SOLDÁVEL, DN 20MM, INSTALADO EM RAMAL DE DISTRIBUIÇÃO DE ÁG UA - FORNECIMENTO E INSTALAÇÃO. AF_12/2014</t>
  </si>
  <si>
    <t>TUBO, PVC, SOLDÁVEL, DN 20MM, INSTALADO EM RAMAL OU SUB-RAMAL DE ÁGUA - FORNECIMENTO E INSTALAÇÃO. AF_12/2014</t>
  </si>
  <si>
    <t>TUBO, PVC, SOLDÁVEL, DN 25MM, INSTALADO EM DRENO DE AR-CONDICIONADO - FORNECIMENTO E INSTALAÇÃO. AF_12/2014</t>
  </si>
  <si>
    <t>TUBO, PVC, SOLDÁVEL, DN 25MM, INSTALADO EM PRUMADA DE ÁGUA - FORNECIME NTO E INSTALAÇÃO. AF_12/2014</t>
  </si>
  <si>
    <t>TUBO, PVC, SOLDÁVEL, DN 25MM, INSTALADO EM RAMAL DE DISTRIBUIÇÃO DE ÁG UA - FORNECIMENTO E INSTALAÇÃO. AF_12/2014</t>
  </si>
  <si>
    <t>TUBO, PVC, SOLDÁVEL, DN 25MM, INSTALADO EM RAMAL OU SUB-RAMAL DE ÁGUA - FORNECIMENTO E INSTALAÇÃO. AF_12/2014</t>
  </si>
  <si>
    <t>TUBO, PVC, SOLDÁVEL, DN 32 MM, INSTALADO EM RESERVAÇÃO DE ÁGUA DE EDIF ICAÇÃO QUE POSSUA RESERVATÓRIO DE FIBRA/FIBROCIMENTO   FORNECIMENTO E INSTALAÇÃO. AF_06/2016</t>
  </si>
  <si>
    <t>TUBO, PVC, SOLDÁVEL, DN 32MM, INSTALADO EM PRUMADA DE ÁGUA - FORNECIME NTO E INSTALAÇÃO. AF_12/2014</t>
  </si>
  <si>
    <t>TUBO, PVC, SOLDÁVEL, DN 32MM, INSTALADO EM RAMAL DE DISTRIBUIÇÃO DE ÁG UA - FORNECIMENTO E INSTALAÇÃO. AF_12/2014</t>
  </si>
  <si>
    <t>TUBO, PVC, SOLDÁVEL, DN 32MM, INSTALADO EM RAMAL OU SUB-RAMAL DE ÁGUA - FORNECIMENTO E INSTALAÇÃO. AF_12/2014</t>
  </si>
  <si>
    <t>TUBO, PVC, SOLDÁVEL, DN 40 MM, INSTALADO EM RESERVAÇÃO DE ÁGUA DE EDIF ICAÇÃO QUE POSSUA RESERVATÓRIO DE FIBRA/FIBROCIMENTO   FORNECIMENTO E INSTALAÇÃO. AF_06/2016</t>
  </si>
  <si>
    <t>TUBO, PVC, SOLDÁVEL, DN 40MM, INSTALADO EM PRUMADA DE ÁGUA - FORNECIME NTO E INSTALAÇÃO. AF_12/2014</t>
  </si>
  <si>
    <t>TUBO, PVC, SOLDÁVEL, DN 50 MM, INSTALADO EM RESERVAÇÃO DE ÁGUA DE EDIF ICAÇÃO QUE POSSUA RESERVATÓRIO DE FIBRA/FIBROCIMENTO   FORNECIMENTO E INSTALAÇÃO. AF_06/2016</t>
  </si>
  <si>
    <t>TUBO, PVC, SOLDÁVEL, DN 50MM, INSTALADO EM PRUMADA DE ÁGUA - FORNECIME NTO E INSTALAÇÃO. AF_12/2014</t>
  </si>
  <si>
    <t>TUBO, PVC, SOLDÁVEL, DN 60 MM, INSTALADO EM RESERVAÇÃO DE ÁGUA DE EDIF ICAÇÃO QUE POSSUA RESERVATÓRIO DE FIBRA/FIBROCIMENTO   FORNECIMENTO E INSTALAÇÃO. AF_06/2016</t>
  </si>
  <si>
    <t>TUBO, PVC, SOLDÁVEL, DN 60MM, INSTALADO EM PRUMADA DE ÁGUA - FORNECIME NTO E INSTALAÇÃO. AF_12/2014</t>
  </si>
  <si>
    <t>TUBO, PVC, SOLDÁVEL, DN 75 MM, INSTALADO EM RESERVAÇÃO DE ÁGUA DE EDIF ICAÇÃO QUE POSSUA RESERVATÓRIO DE FIBRA/FIBROCIMENTO   FORNECIMENTO E INSTALAÇÃO. AF_06/2016</t>
  </si>
  <si>
    <t>TUBO, PVC, SOLDÁVEL, DN 75MM, INSTALADO EM PRUMADA DE ÁGUA - FORNECIME NTO E INSTALAÇÃO. AF_12/2014</t>
  </si>
  <si>
    <t>TUBO, PVC, SOLDÁVEL, DN 85 MM, INSTALADO EM RESERVAÇÃO DE ÁGUA DE EDIF ICAÇÃO QUE POSSUA RESERVATÓRIO DE FIBRA/FIBROCIMENTO   FORNECIMENTO E INSTALAÇÃO. AF_06/2016</t>
  </si>
  <si>
    <t>TUBO, PVC, SOLDÁVEL, DN 85MM, INSTALADO EM PRUMADA DE ÁGUA - FORNECIME NTO E INSTALAÇÃO. AF_12/2014</t>
  </si>
  <si>
    <t>UNIAO DE ACO GALVANIZADO 4" - FORNECIMENTO E INSTALACAO</t>
  </si>
  <si>
    <t>UNIAO DE FERRO GALVANIZADO, COM ROSCA BSP, COM ASSENTO PLANO, DE 1 1/2"</t>
  </si>
  <si>
    <t>UNIAO DE FERRO GALVANIZADO, COM ROSCA BSP, COM ASSENTO PLANO, DE 1 1/4"</t>
  </si>
  <si>
    <t>UNIAO DE FERRO GALVANIZADO, COM ROSCA BSP, COM ASSENTO PLANO, DE 1"</t>
  </si>
  <si>
    <t>UNIAO DE FERRO GALVANIZADO, COM ROSCA BSP, COM ASSENTO PLANO, DE 1/2"</t>
  </si>
  <si>
    <t>UNIAO DE FERRO GALVANIZADO, COM ROSCA BSP, COM ASSENTO PLANO, DE 2 1/2"</t>
  </si>
  <si>
    <t>UNIAO DE FERRO GALVANIZADO, COM ROSCA BSP, COM ASSENTO PLANO, DE 2"</t>
  </si>
  <si>
    <t>UNIAO DE FERRO GALVANIZADO, COM ROSCA BSP, COM ASSENTO PLANO, DE 3"</t>
  </si>
  <si>
    <t>UNIAO DE FERRO GALVANIZADO, COM ROSCA BSP, COM ASSENTO PLANO, DE 3/4"</t>
  </si>
  <si>
    <t>UNIAO DE FERRO GALVANIZADO, COM ROSCA BSP, COM ASSENTO PLANO, DE 4"</t>
  </si>
  <si>
    <t>UNIAO EM POLIPROPILENO (PP), PARA TUBO EM PEAD, 20 MM - LIGACAO PREDIAL DE AGUA</t>
  </si>
  <si>
    <t>UNIAO EM POLIPROPILENO (PP), PARA TUBO EM PEAD, 32 MM - LIGACAO PREDIAL DE AGUA</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</si>
  <si>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</si>
  <si>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</si>
  <si>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</si>
  <si>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</si>
  <si>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</si>
  <si>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</si>
  <si>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  AGUA FRIA PREDIAL</t>
  </si>
  <si>
    <t>UNIAO PVC, ROSCAVEL, 3/4",  AGUA FRIA PREDIAL</t>
  </si>
  <si>
    <t>UNIAO PVC, ROSCAVEL, 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</si>
  <si>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</si>
  <si>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</si>
  <si>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</si>
  <si>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</si>
  <si>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</si>
  <si>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</si>
  <si>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</si>
  <si>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</si>
  <si>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</si>
  <si>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</si>
  <si>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</si>
  <si>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</si>
  <si>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</si>
  <si>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</si>
  <si>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</si>
  <si>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</si>
  <si>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</si>
  <si>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</si>
  <si>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</si>
  <si>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UNIÃO, CPVC, SOLDÁVEL, DN 22MM, INSTALADO EM RAMAL DE DISTRIBUIÇÃO DE ÁGUA   FORNECIMENTO E INSTALAÇÃO. AF_12/2014</t>
  </si>
  <si>
    <t>UNIÃO, CPVC, SOLDÁVEL, DN 28MM, INSTALADO EM RAMAL DE DISTRIBUIÇÃO DE ÁGUA   FORNECIMENTO E INSTALAÇÃO. AF_12/2014</t>
  </si>
  <si>
    <t>UNIÃO, CPVC, SOLDÁVEL, DN 54MM, INSTALADO EM PRUMADA DE ÁGUA  FORNECI MENTO E INSTALAÇÃO. AF_12/2014</t>
  </si>
  <si>
    <t>UNIÃO, CPVC, SOLDÁVEL, DN 73MM, INSTALADO EM PRUMADA DE ÁGUA  FORNECI MENTO E INSTALAÇÃO. AF_12/2014</t>
  </si>
  <si>
    <t>UNIÃO, CPVC, SOLDÁVEL, DN 89MM, INSTALADO EM PRUMADA DE ÁGUA  FORNECI MENTO E INSTALAÇÃO. AF_12/2014</t>
  </si>
  <si>
    <t>UNIÃO, CPVC, SOLDÁVEL, DN15MM, INSTALADO EM RAMAL OU SUB-RAMAL DE ÁGUA FORNECIMENTO E INSTALAÇÃO. AF_12/2014</t>
  </si>
  <si>
    <t>UNIÃO, CPVC, SOLDÁVEL, DN22MM, INSTALADO EM RAMAL OU SUB-RAMAL DE ÁGUA FORNECIMENTO E INSTALAÇÃO. AF_12/2014</t>
  </si>
  <si>
    <t>UNIÃO, CPVC, SOLDÁVEL, DN28MM, INSTALADO EM RAMAL OU SUB-RAMAL DE ÁGUA FORNECIMENTO E INSTALAÇÃO. AF_12/2014</t>
  </si>
  <si>
    <t>UNIÃO, CPVC, SOLDÁVEL, DN35MM, INSTALADO EM PRUMADA DE ÁGUA  FORNECIM ENTO E INSTALAÇÃO. AF_12/2014</t>
  </si>
  <si>
    <t>UNIÃO, CPVC, SOLDÁVEL, DN35MM, INSTALADO EM RAMAL DE DISTRIBUIÇÃO DE Á GUA - FORNECIMENTO E INSTALAÇÃO. AF_12/2014</t>
  </si>
  <si>
    <t>UNIÃO, CPVC, SOLDÁVEL, DN35MM, INSTALADO EM RAMAL OU SUB-RAMAL DE ÁGUA FORNECIMENTO E INSTALAÇÃO. AF_12/2014</t>
  </si>
  <si>
    <t>UNIÃO, CPVC, SOLDÁVEL, DN42MM, INSTALADO EM PRUMADA DE ÁGUA  FORNECIM ENTO E INSTALAÇÃO. AF_12/2014</t>
  </si>
  <si>
    <t>UNIÃO, EM FERRO GALVANIZADO, CONEXÃO ROSQUEADA, DN 15 (1/2"), INSTALAD O EM RAMAIS E SUB-RAMAIS DE GÁS - FORNECIMENTO E INSTALAÇÃO. AF_12/201 5</t>
  </si>
  <si>
    <t>UNIÃO, EM FERRO GALVANIZADO, CONEXÃO ROSQUEADA, DN 20 (3/4"), INSTALAD O EM RAMAIS E SUB-RAMAIS DE GÁS - FORNECIMENTO E INSTALAÇÃO. AF_12/201 5</t>
  </si>
  <si>
    <t>UNIÃO, EM FERRO GALVANIZADO, CONEXÃO ROSQUEADA, DN 25 (1"), INSTALADO EM REDE DE ALIMENTAÇÃO PARA SPRINKLER - FORNECIMENTO E INSTALAÇÃO. AF_ 12/2015</t>
  </si>
  <si>
    <t>UNIÃO, EM FERRO GALVANIZADO, CONEXÃO ROSQUEADA, DN 32 (1 1/4"), INSTAL ADO EM REDE DE ALIMENTAÇÃO PARA SPRINKLER - FORNECIMENTO E INSTALAÇÃO. AF_12/2015</t>
  </si>
  <si>
    <t>UNIÃO, EM FERRO GALVANIZADO, CONEXÃO ROSQUEADA, DN 40 (1 1/2"), INSTAL ADO EM REDE DE ALIMENTAÇÃO PARA SPRINKLER - FORNECIMENTO E INSTALAÇÃO. AF_12/2015</t>
  </si>
  <si>
    <t>UNIÃO, EM FERRO GALVANIZADO, CONEXÃO ROSQUEADA, DN 50 (2"), INSTALADO EM REDE DE ALIMENTAÇÃO PARA SPRINKLER - FORNECIMENTO E INSTALAÇÃO. AF_ 12/2015</t>
  </si>
  <si>
    <t>UNIÃO, EM FERRO GALVANIZADO, CONEXÃO ROSQUEADA, DN 65 (2 1/2"), INSTAL ADO EM REDE DE ALIMENTAÇÃO PARA SPRINKLER - FORNECIMENTO E INSTALAÇÃO. AF_12/2015</t>
  </si>
  <si>
    <t>UNIÃO, EM FERRO GALVANIZADO, CONEXÃO ROSQUEADA, DN 80 (3"), INSTALADO EM REDE DE ALIMENTAÇÃO PARA SPRINKLER - FORNECIMENTO E INSTALAÇÃO. AF_ 12/2015</t>
  </si>
  <si>
    <t>UNIÃO, EM FERRO GALVANIZADO, DN 25 (1"), CONEXÃO ROSQUEADA, INSTALADO EM REDE DE ALIMENTAÇÃO PARA HIDRANTE - FORNECIMENTO E INSTALAÇÃO. AF_1 2/2015</t>
  </si>
  <si>
    <t>UNIÃO, EM FERRO GALVANIZADO, DN 32 (1 1/4"), CONEXÃO ROSQUEADA, INSTAL ADO EM REDE DE ALIMENTAÇÃO PARA HIDRANTE - FORNECIMENTO E INSTALAÇÃO. AF_12/2015</t>
  </si>
  <si>
    <t>UNIÃO, EM FERRO GALVANIZADO, DN 40 (1 1/2"), CONEXÃO ROSQUEADA, INSTAL ADO EM REDE DE ALIMENTAÇÃO PARA HIDRANTE - FORNECIMENTO E INSTALAÇÃO. AF_12/2015</t>
  </si>
  <si>
    <t>UNIÃO, EM FERRO GALVANIZADO, DN 50 (2"), CONEXÃO ROSQUEADA, INSTALADO EM REDE DE ALIMENTAÇÃO PARA HIDRANTE - FORNECIMENTO E INSTALAÇÃO. AF_1 2/2015</t>
  </si>
  <si>
    <t>UNIÃO, EM FERRO GALVANIZADO, DN 65 (2 1/2"), CONEXÃO ROSQUEADA, INSTAL ADO EM PRUMADAS - FORNECIMENTO E INSTALAÇÃO. AF_12/2015</t>
  </si>
  <si>
    <t>UNIÃO, EM FERRO GALVANIZADO, DN 65 (2 1/2"), CONEXÃO ROSQUEADA, INSTAL ADO EM REDE DE ALIMENTAÇÃO PARA HIDRANTE - FORNECIMENTO E INSTALAÇÃO. AF_12/2015</t>
  </si>
  <si>
    <t>UNIÃO, EM FERRO GALVANIZADO, DN 80 (3"), CONEXÃO ROSQUEADA, INSTALADO EM REDE DE ALIMENTAÇÃO PARA HIDRANTE - FORNECIMENTO E INSTALAÇÃO. AF_1 2/2015</t>
  </si>
  <si>
    <t>UNIÃO, PVC, SOLDÁVEL, DN 20MM, INSTALADO EM RAMAL DE DISTRIBUIÇÃO DE Á GUA - FORNECIMENTO E INSTALAÇÃO. AF_12/2014</t>
  </si>
  <si>
    <t>UNIÃO, PVC, SOLDÁVEL, DN 20MM, INSTALADO EM RAMAL OU SUB-RAMAL DE ÁGUA - FORNECIMENTO E INSTALAÇÃO. AF_12/2014</t>
  </si>
  <si>
    <t>UNIÃO, PVC, SOLDÁVEL, DN 25MM, INSTALADO EM PRUMADA DE ÁGUA - FORNECIM ENTO E INSTALAÇÃO. AF_12/2014</t>
  </si>
  <si>
    <t>UNIÃO, PVC, SOLDÁVEL, DN 25MM, INSTALADO EM RAMAL DE DISTRIBUIÇÃO DE Á GUA - FORNECIMENTO E INSTALAÇÃO. AF_12/2014</t>
  </si>
  <si>
    <t>UNIÃO, PVC, SOLDÁVEL, DN 25MM, INSTALADO EM RAMAL OU SUB-RAMAL DE ÁGUA - FORNECIMENTO E INSTALAÇÃO. AF_12/2014</t>
  </si>
  <si>
    <t>UNIÃO, PVC, SOLDÁVEL, DN 32MM, INSTALADO EM PRUMADA DE ÁGUA - FORNECIM ENTO E INSTALAÇÃO. AF_12/2014</t>
  </si>
  <si>
    <t>UNIÃO, PVC, SOLDÁVEL, DN 32MM, INSTALADO EM RAMAL DE DISTRIBUIÇÃO DE Á GUA - FORNECIMENTO E INSTALAÇÃO. AF_12/2014</t>
  </si>
  <si>
    <t>UNIÃO, PVC, SOLDÁVEL, DN 32MM, INSTALADO EM RAMAL OU SUB-RAMAL DE ÁGUA - FORNECIMENTO E INSTALAÇÃO. AF_12/2014</t>
  </si>
  <si>
    <t>UNIÃO, PVC, SOLDÁVEL, DN 40MM, INSTALADO EM PRUMADA DE ÁGUA - FORNECIM ENTO E INSTALAÇÃO. AF_12/2014</t>
  </si>
  <si>
    <t>UNIÃO, PVC, SOLDÁVEL, DN 50MM, INSTALADO EM PRUMADA DE ÁGUA - FORNECIM ENTO E INSTALAÇÃO. AF_12/2014</t>
  </si>
  <si>
    <t>UNIÃO, PVC, SOLDÁVEL, DN 60MM, INSTALADO EM PRUMADA DE ÁGUA - FORNECIM ENTO E INSTALAÇÃO. AF_12/2014</t>
  </si>
  <si>
    <t>UNIÃO, PVC, SOLDÁVEL, DN 75MM, INSTALADO EM PRUMADA DE ÁGUA - FORNECIM ENTO E INSTALAÇÃO. AF_12/2014</t>
  </si>
  <si>
    <t>UNIÃO, PVC, SOLDÁVEL, DN 85MM, INSTALADO EM PRUMADA DE ÁGUA - FORNECIM ENTO E INSTALAÇÃO. AF_12/2014</t>
  </si>
  <si>
    <t>USINA DE ASFALTO A FRIO, CAPACIDADE DE 30 A 40 T/H, ELETRICA, POTENCIA DE 30 CV</t>
  </si>
  <si>
    <t>USINA DE ASFALTO A FRIO, CAPACIDADE DE 40 A 60 T/H, ELETRICA, POTENCIA DE 30 CV</t>
  </si>
  <si>
    <t>USINA DE ASFALTO À FRIO, CAPACIDADE DE 40 A 60 TON/HORA, ELÉTRICA POTÊ NCIA 30 CV - CHI DIURNO. AF_03/2016</t>
  </si>
  <si>
    <t>USINA DE ASFALTO À FRIO, CAPACIDADE DE 40 A 60 TON/HORA, ELÉTRICA POTÊ NCIA 30 CV - CHP DIURNO. AF_03/2016</t>
  </si>
  <si>
    <t>USINA DE ASFALTO À FRIO, CAPACIDADE DE 40 A 60 TON/HORA, ELÉTRICA POTÊ NCIA 30 CV - DEPRECIAÇÃO. AF_03/2016</t>
  </si>
  <si>
    <t>USINA DE ASFALTO À FRIO, CAPACIDADE DE 40 A 60 TON/HORA, ELÉTRICA POTÊ NCIA 30 CV - JUROS. AF_03/2016</t>
  </si>
  <si>
    <t>USINA DE ASFALTO À FRIO, CAPACIDADE DE 40 A 60 TON/HORA, ELÉTRICA POTÊ NCIA 30 CV - MANUTENÇÃO. AF_03/2016</t>
  </si>
  <si>
    <t>USINA DE ASFALTO À FRIO, CAPACIDADE DE 40 A 60 TON/HORA, ELÉTRICA POTÊ NCIA 30 CV - MATERIAIS NA OPERAÇÃO. AF_03/2016</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</si>
  <si>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</si>
  <si>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</si>
  <si>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</si>
  <si>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</si>
  <si>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</si>
  <si>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</si>
  <si>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CONCRETO FIXA, CAPACIDADE NOMINAL DE 90 A 120 M3/H, SEM SILO - CHI DIURNO. AF_07/2016</t>
  </si>
  <si>
    <t>USINA DE CONCRETO FIXA, CAPACIDADE NOMINAL DE 90 A 120 M3/H, SEM SILO - CHP DIURNO. AF_07/2016</t>
  </si>
  <si>
    <t>USINA DE CONCRETO FIXA, CAPACIDADE NOMINAL DE 90 A 120 M3/H, SEM SILO - DEPRECIAÇÃO. AF_07/2016</t>
  </si>
  <si>
    <t>USINA DE CONCRETO FIXA, CAPACIDADE NOMINAL DE 90 A 120 M3/H, SEM SILO - JUROS. AF_07/2016</t>
  </si>
  <si>
    <t>USINA DE CONCRETO FIXA, CAPACIDADE NOMINAL DE 90 A 120 M3/H, SEM SILO - MANUTENÇÃO. AF_07/2016</t>
  </si>
  <si>
    <t>USINA DE CONCRETO FIXA, CAPACIDADE NOMINAL DE 90 A 120 M3/H, SEM SILO - MATERIAIS NA OPERAÇÃO. AF_07/2016</t>
  </si>
  <si>
    <t>USINA DE LAMA ASFÁLTICA, PROD 30 A 50 T/H, SILO DE AGREGADO 7 M3, RESE RVATÓRIOS PARA EMULSÃO E ÁGUA DE 2,3 M3 CADA, MISTURADOR TIPO PUG MILL A SER MONTADO SOBRE CAMINHÃO - CHI DIURNO. AF_10/2014</t>
  </si>
  <si>
    <t>USINA DE LAMA ASFÁLTICA, PROD 30 A 50 T/H, SILO DE AGREGADO 7 M3, RESE RVATÓRIOS PARA EMULSÃO E ÁGUA DE 2,3 M3 CADA, MISTURADOR TIPO PUG MILL A SER MONTADO SOBRE CAMINHÃO - CHP DIURNO. AF_10/2014</t>
  </si>
  <si>
    <t>USINA DE LAMA ASFÁLTICA, PROD 30 A 50 T/H, SILO DE AGREGADO 7 M3, RESE RVATÓRIOS PARA EMULSÃO E ÁGUA DE 2,3 M3 CADA, MISTURADOR TIPO PUG MILL A SER MONTADO SOBRE CAMINHÃO - DEPRECIAÇÃO. AF_10/2014</t>
  </si>
  <si>
    <t>USINA DE LAMA ASFÁLTICA, PROD 30 A 50 T/H, SILO DE AGREGADO 7 M3, RESE RVATÓRIOS PARA EMULSÃO E ÁGUA DE 2,3 M3 CADA, MISTURADOR TIPO PUG MILL A SER MONTADO SOBRE CAMINHÃO - JUROS. AF_10/2014</t>
  </si>
  <si>
    <t>USINA DE LAMA ASFÁLTICA, PROD 30 A 50 T/H, SILO DE AGREGADO 7 M3, RESE RVATÓRIOS PARA EMULSÃO E ÁGUA DE 2,3 M3 CADA, MISTURADOR TIPO PUG MILL A SER MONTADO SOBRE CAMINHÃO - MANUTENÇÃO. AF_10/2014</t>
  </si>
  <si>
    <t>USINA DE LAMA ASFÁLTICA, PROD 30 A 50 T/H, SILO DE AGREGADO 7 M3, RESE RVATÓRIOS PARA EMULSÃO E ÁGUA DE 2,3 M3 CADA, MISTURADOR TIPO PUG MILL A SER MONTADO SOBRE CAMINHÃO - MATERIAIS NA OPERAÇÃO. AF_10/2014</t>
  </si>
  <si>
    <t>USINA DE LAMA ASFALTICA, PROD 30 A 50 T/H, SILO DE AGREGADO 7 M3, RESERVATORIOS PARA EMULSAO E AGUA DE 2,3 M3 CADA, MISTURADOR TIPO PUGG-MILL A SER MONTADO SOBRE CAMINHAO</t>
  </si>
  <si>
    <t>USINA DE MISTURA ASFÁLTICA À QUENTE, TIPO CONTRA FLUXO, PROD 40 A 80 T ON/HORA - CHI DIURNO. AF_03/2016</t>
  </si>
  <si>
    <t>USINA DE MISTURA ASFÁLTICA À QUENTE, TIPO CONTRA FLUXO, PROD 40 A 80 T ON/HORA - CHP DIURNO. AF_03/2016</t>
  </si>
  <si>
    <t>USINA DE MISTURA ASFÁLTICA À QUENTE, TIPO CONTRA FLUXO, PROD 40 A 80 T ON/HORA - DEPRECIAÇÃO. AF_03/2016</t>
  </si>
  <si>
    <t>USINA DE MISTURA ASFÁLTICA À QUENTE, TIPO CONTRA FLUXO, PROD 40 A 80 T ON/HORA - JUROS. AF_03/2016</t>
  </si>
  <si>
    <t>USINA DE MISTURA ASFÁLTICA À QUENTE, TIPO CONTRA FLUXO, PROD 40 A 80 T ON/HORA - MANUTENÇÃO. AF_03/2016</t>
  </si>
  <si>
    <t>USINA DE MISTURA ASFÁLTICA À QUENTE, TIPO CONTRA FLUXO, PROD 40 A 80 T ON/HORA - MATERIAIS NA OPERAÇÃO. AF_03/2016</t>
  </si>
  <si>
    <t>USINA DE MISTURAS ASFALTICAS A QUENTE, MOVEL, TIPO CONTRA FLUXO, CAPACIDADE DE 40 A 80 T/H</t>
  </si>
  <si>
    <t>USINA MISTURADORA DE SOLOS,  DOSADORES TRIPLOS, CALHA VIBRATORIA CAPACIDADE DE 200 A 500 T/H, POTENCIA DE 75 KW</t>
  </si>
  <si>
    <t>USINA MISTURADORA DE SOLOS, CAPACIDADE DE 200 A 500 TON/H, POTENCIA 75 KW - CHI DIURNO. AF_07/2016</t>
  </si>
  <si>
    <t>USINA MISTURADORA DE SOLOS, CAPACIDADE DE 200 A 500 TON/H, POTENCIA 75 KW - CHP DIURNO. AF_07/2016</t>
  </si>
  <si>
    <t>USINA MISTURADORA DE SOLOS, CAPACIDADE DE 200 A 500 TON/H, POTENCIA 75 KW - DEPRECIAÇÃO. AF_07/2016</t>
  </si>
  <si>
    <t>USINA MISTURADORA DE SOLOS, CAPACIDADE DE 200 A 500 TON/H, POTENCIA 75 KW - JUROS. AF_07/2016</t>
  </si>
  <si>
    <t>USINA MISTURADORA DE SOLOS, CAPACIDADE DE 200 A 500 TON/H, POTENCIA 75 KW - MANUTENÇÃO. AF_07/2016</t>
  </si>
  <si>
    <t>USINA MISTURADORA DE SOLOS, CAPACIDADE DE 200 A 500 TON/H, POTENCIA 75 KW - MATERIAIS NA OPERAÇÃO. AF_07/2016</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</si>
  <si>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</si>
  <si>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</si>
  <si>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</si>
  <si>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</si>
  <si>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</si>
  <si>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</si>
  <si>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</si>
  <si>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</si>
  <si>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</si>
  <si>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VÁLVULA DE ESFERA BRUTA, BRONZE, ROSCÁVEL, 1 1/2'', INSTALADO EM RESER VAÇÃO DE ÁGUA DE EDIFICAÇÃO QUE POSSUA RESERVATÓRIO DE FIBRA/FIBROCIME NTO -   FORNECIMENTO E INSTALAÇÃO. AF_06/2016</t>
  </si>
  <si>
    <t>VÁLVULA DE ESFERA BRUTA, BRONZE, ROSCÁVEL, 1 1/4'', INSTALADO EM RESER VAÇÃO DE ÁGUA DE EDIFICAÇÃO QUE POSSUA RESERVATÓRIO DE FIBRA/FIBROCIME NTO -   FORNECIMENTO E INSTALAÇÃO. AF_06/2016</t>
  </si>
  <si>
    <t>VÁLVULA DE ESFERA BRUTA, BRONZE, ROSCÁVEL, 1'', INSTALADO EM RESERVAÇÃ O DE ÁGUA DE EDIFICAÇÃO QUE POSSUA RESERVATÓRIO DE FIBRA/FIBROCIMENTO -   FORNECIMENTO E INSTALAÇÃO. AF_06/2016</t>
  </si>
  <si>
    <t>VÁLVULA DE ESFERA BRUTA, BRONZE, ROSCÁVEL, 1/2  , INSTALADO EM RESERVA ÇÃO DE ÁGUA DE EDIFICAÇÃO QUE POSSUA RESERVATÓRIO DE FIBRA/FIBROCIMENT O - FORNECIMENTO E INSTALAÇÃO. AF_06/2016</t>
  </si>
  <si>
    <t>VÁLVULA DE ESFERA BRUTA, BRONZE, ROSCÁVEL, 2'', INSTALADO EM RESERVAÇÃ O DE ÁGUA DE EDIFICAÇÃO QUE POSSUA RESERVATÓRIO DE FIBRA/FIBROCIMENTO - FORNECIMENTO E INSTALAÇÃO. AF_06/2016</t>
  </si>
  <si>
    <t>VÁLVULA DE ESFERA BRUTA, BRONZE, ROSCÁVEL, 3/4'', INSTALADO EM RESERVA ÇÃO DE ÁGUA DE EDIFICAÇÃO QUE POSSUA RESERVATÓRIO DE FIBRA/FIBROCIMENT O - FORNECIMENTO E INSTALAÇÃO. AF_06/2016</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</si>
  <si>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</si>
  <si>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</si>
  <si>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</si>
  <si>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</si>
  <si>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</si>
  <si>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 PARA FUNDO DE POCO</t>
  </si>
  <si>
    <t>VALVULA DE RETENCAO DE BRONZE, PE COM CRIVOS, EXTREMIDADE COM ROSCA, DE 3/4", PARA FUNDO DE POCO</t>
  </si>
  <si>
    <t>VALVULA DE RETENCAO DE BRONZE, PE COM CRIVOS, EXTREMIDADE COM ROSCA, DE 4", PARA FUNDO DE POCO</t>
  </si>
  <si>
    <t>VÁLVULA DE RETENÇÃO HORIZONTAL Ø 100MM (4") - FORNECIMENTO E INSTALAÇÃ O</t>
  </si>
  <si>
    <t>VÁLVULA DE RETENÇÃO HORIZONTAL Ø 20MM (3/4") - FORNECIMENTO E INSTALAÇ ÃO</t>
  </si>
  <si>
    <t>VALVULA DE RETENCAO HORIZONTAL Ø 25MM (1) - FORNECIMENTO E INSTALACAO</t>
  </si>
  <si>
    <t>VÁLVULA DE RETENÇÃO HORIZONTAL Ø 32MM (1.1/4") - FORNECIMENTO E INSTAL AÇÃO</t>
  </si>
  <si>
    <t>VÁLVULA DE RETENÇÃO HORIZONTAL Ø 40MM (1.1/2") - FORNECIMENTO E INSTAL AÇÃO</t>
  </si>
  <si>
    <t>VÁLVULA DE RETENÇÃO HORIZONTAL Ø 65MM (2.1/2") - FORNECIMENTO E INSTAL AÇÃO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</si>
  <si>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</si>
  <si>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</si>
  <si>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 400 PSI, TAMPA DE PORCA DE UNIAO, EXTREMIDADES COM ROSCA</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</si>
  <si>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</si>
  <si>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</si>
  <si>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</si>
  <si>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 400 PSI, TAMPA DE PORCA DE UNIAO, EXTREMIDADES COM ROSCA</t>
  </si>
  <si>
    <t>VALVULA DE RETENCAO HORIZONTAL, DE BRONZE (PN-25), 3/4", 400 PSI, TAMPA DE PORCA DE UNIAO, EXTREMIDADES COM ROSCA</t>
  </si>
  <si>
    <t>VALVULA DE RETENCAO HORIZONTAL, DE BRONZE (PN-25), 4", 400 PSI, TAMPA DE PORCA DE UNIAO, EXTREMIDADES COM ROSCA</t>
  </si>
  <si>
    <t>VALVULA DE RETENCAO VERTICAL BRONZE (PN-16) 1/2" 200 PSI - EXTREMIDADE COM ROSCA - FORNECIMENTO E INSTALACAO</t>
  </si>
  <si>
    <t>VÁLVULA DE RETENÇÃO VERTICAL Ø 32MM (1.1/4") - FORNECIMENTO E INSTALAÇ ÃO</t>
  </si>
  <si>
    <t>VÁLVULA DE RETENÇÃO VERTICAL Ø 40MM (1.1/2") - FORNECIMENTO E INSTALAÇ ÃO</t>
  </si>
  <si>
    <t>VALVULA DE RETENCAO VERTICAL, DE BRONZE (PN-16), 1 1/2", 200 PSI, EXTREMIDADES COM ROSCA</t>
  </si>
  <si>
    <t>VALVULA DE RETENCAO VERTICAL, DE BRONZE (PN-16), 1 1/4", 200 PSI, EXTREMIDADES COM ROSCA</t>
  </si>
  <si>
    <t>VALVULA DE RETENCAO VERTICAL, DE BRONZE (PN-16), 1", 200 PSI, EXTREMIDADES COM ROSCA</t>
  </si>
  <si>
    <t>VALVULA DE RETENCAO VERTICAL, DE BRONZE (PN-16), 1/2", 200 PSI, EXTREMIDADES COM ROSCA</t>
  </si>
  <si>
    <t>VALVULA DE RETENCAO VERTICAL, DE BRONZE (PN-16), 2 1/2", 200 PSI, EXTREMIDADES COM ROSCA</t>
  </si>
  <si>
    <t>VALVULA DE RETENCAO VERTICAL, DE BRONZE (PN-16), 2", 200 PSI, EXTREMIDADES COM ROSCA</t>
  </si>
  <si>
    <t>VALVULA DE RETENCAO VERTICAL, DE BRONZE (PN-16), 3", 200 PSI, EXTREMIDADES COM ROSCA</t>
  </si>
  <si>
    <t>VALVULA DE RETENCAO VERTICAL, DE BRONZE (PN-16), 3/4", 200 PSI, EXTREMIDADES COM ROSCA</t>
  </si>
  <si>
    <t>VALVULA DE RETENCAO VERTICAL, DE BRONZE (PN-16), 4", 200 PSI, EXTREMIDADES COM ROSCA</t>
  </si>
  <si>
    <t>VALVULA DESCARGA 1.1/2" COM REGISTRO, ACABAMENTO EM METAL CROMADO - FO RNECIMENTO E INSTALACAO</t>
  </si>
  <si>
    <t>VÁLVULA EM METAL CROMADO 1.1/2" X 1.1/2" PARA TANQUE OU LAVATÓRIO, COM OU SEM LADRÃO - FORNECIMENTO E INSTALAÇÃO. AF_12/2013</t>
  </si>
  <si>
    <t>VALVULA EM METAL CROMADO PARA LAVATORIO, 1 " SEM LADRAO</t>
  </si>
  <si>
    <t>VALVULA EM METAL CROMADO PARA PIA AMERICANA 3.1/2 X 1.1/2 "</t>
  </si>
  <si>
    <t>VALVULA EM METAL CROMADO PARA TANQUE, 1.1/2 " SEM LADRAO</t>
  </si>
  <si>
    <t>VÁLVULA EM METAL CROMADO TIPO AMERICANA 3.1/2" X 1.1/2" PARA PIA - FOR NECIMENTO E INSTALAÇÃO. AF_12/2013</t>
  </si>
  <si>
    <t>VÁLVULA EM PLÁSTICO 1" PARA PIA, TANQUE OU LAVATÓRIO, COM OU SEM LADRÃ O - FORNECIMENTO E INSTALAÇÃO. AF_12/2013</t>
  </si>
  <si>
    <t>VALVULA EM PLASTICO BRANCO COM SAIDA LISA PARA TANQUE 1.1/4 " X 1.1/2 "</t>
  </si>
  <si>
    <t>VALVULA EM PLASTICO BRANCO PARA LAVATORIO 1 ", SEM UNHO, COM LADRAO</t>
  </si>
  <si>
    <t>VALVULA EM PLASTICO BRANCO PARA TANQUE 1.1/4 " X 1.1/2 ", SEM UNHO E SEM LADRAO</t>
  </si>
  <si>
    <t>VALVULA EM PLASTICO BRANCO PARA TANQUE OU LAVATORIO 1 ", SEM UNHO E SEM LADRAO</t>
  </si>
  <si>
    <t>VALVULA EM PLASTICO CROMADO PARA LAVATORIO 1 ", SEM UNHO, COM LADRAO</t>
  </si>
  <si>
    <t>VÁLVULA EM PLÁSTICO CROMADO TIPO AMERICANA 3.1/2" X 1.1/2" SEM ADAPTAD OR PARA PIA - FORNECIMENTO E INSTALAÇÃO. AF_12/2013</t>
  </si>
  <si>
    <t>VALVULA EM PLASTICO CROMADO TIPO AMERICANA PARA PIA DE COZINHA 3.1/2 " X 1.1/2 ", SEM ADAPTADOR</t>
  </si>
  <si>
    <t>VALVULA PE COM CRIVO BRONZE 1.1/4" - FORNECIMENTO E INSTALACAO</t>
  </si>
  <si>
    <t>VALVULA RETENCAO VERTICAL BRONZE (PN-16) 2.1/2" 200PSI - EXTREMIDADES COM ROSCA - FORNECIMENTO E INSTALACAO</t>
  </si>
  <si>
    <t>VARA / PERFIL PARA CREMONA, EM FERRO CROMADO, COMPRIMENTO DE 120 CM</t>
  </si>
  <si>
    <t>VARA / PERFIL PARA CREMONA, EM FERRO CROMADO, COMPRIMENTO DE 150 CM</t>
  </si>
  <si>
    <t>VARA/ PERFIL PARA CREMONA, EM LATAO CROMADO, COMPRIMENTO DE 120 CM</t>
  </si>
  <si>
    <t>VASO SANITARIO INFANTIL SIFONADO, PARA VALVULA DE DESCARGA, EM LOUCA B RANCA, COM ACESSORIOS, INCLUSIVE ASSENTO PLASTICO, BOLSA DE BORRACHA P ARA LIGACAO, TUBO PVC LIGACAO - FORNECIMENTO E INSTALACAO</t>
  </si>
  <si>
    <t>VASO SANITÁRIO SIFONADO COM CAIXA ACOPLADA LOUÇA BRANCA - PADRÃO MÉDIO , INCLUSO ENGATE FLEXÍVEL EM METAL CROMADO, 1/2 X 40CM - FORNECIMENTO E INSTALAÇÃO. AF_12/2013</t>
  </si>
  <si>
    <t>VASO SANITARIO SIFONADO INFANTIL LOUCA BRANCA</t>
  </si>
  <si>
    <t>VASSOURA 40 CM COM CABO</t>
  </si>
  <si>
    <t>VASSOURA MECANICA REBOCAVEL COM ESCOVA CILINDRICA LARGURA UTIL DE VARRIMENTO = 2,44M</t>
  </si>
  <si>
    <t>VASSOURA MECÂNICA REBOCÁVEL COM ESCOVA CILÍNDRICA, LARGURA ÚTIL DE VAR RIMENTO DE 2,44 M - CHI DIURNO. AF_06/2014</t>
  </si>
  <si>
    <t>VASSOURA MECÂNICA REBOCÁVEL COM ESCOVA CILÍNDRICA, LARGURA ÚTIL DE VAR RIMENTO DE 2,44 M - CHP DIURNO. AF_06/2014</t>
  </si>
  <si>
    <t>VASSOURA MECÂNICA REBOCÁVEL COM ESCOVA CILÍNDRICA, LARGURA ÚTIL DE VAR RIMENTO DE 2,44 M - DEPRECIAÇÃO. AF_06/2014</t>
  </si>
  <si>
    <t>VASSOURA MECÂNICA REBOCÁVEL COM ESCOVA CILÍNDRICA, LARGURA ÚTIL DE VAR RIMENTO DE 2,44 M - JUROS. AF_06/2014</t>
  </si>
  <si>
    <t>VASSOURA MECÂNICA REBOCÁVEL COM ESCOVA CILÍNDRICA, LARGURA ÚTIL DE VAR RIMENTO DE 2,44 M - MANUTENÇÃO. AF_06/2014</t>
  </si>
  <si>
    <t>VEDACAO DE CALHA, EM BORRACHA COR PRETA, MEDIDA ENTRE 119 E 170 MM, PARA DRENAGEM PLUVIAL PREDIAL</t>
  </si>
  <si>
    <t>VEDACAO PVC, 100 MM, PARA SAIDA VASO SANITARIO</t>
  </si>
  <si>
    <t>VEICULO DE PASSEIO COM MOTOR 1.0 FLEX, POTENCIA 72/76 CV, 4 PORTAS</t>
  </si>
  <si>
    <t>VEICULO DE PASSEIO COM MOTOR 1.6 FLEX, POTENCIA 101/104 CV, 4 PORTAS</t>
  </si>
  <si>
    <t>VEICULO TIPO  MINI FURGAO COM MOTOR ENTRE *1.4 A 1.6* FLEX, 2 PORTAS</t>
  </si>
  <si>
    <t>VEICULO TIPO COMERCIAL LEVE 2.5 MANUAL, 6 VELOCIDADES, DIESEL, CAPACIDADE *1800* KG, POTENCIA 130 CV, PARA 3 PASSAGEIROS (SEM CARROCERIA)</t>
  </si>
  <si>
    <t>VERGA MOLDADA IN LOCO COM UTILIZAÇÃO DE BLOCOS CANALETA PARA JANELAS C OM ATÉ 1,5 M DE VÃO. AF_03/2016</t>
  </si>
  <si>
    <t>VERGA MOLDADA IN LOCO COM UTILIZAÇÃO DE BLOCOS CANALETA PARA JANELAS C OM MAIS DE 1,5 M DE VÃO. AF_03/2016</t>
  </si>
  <si>
    <t>VERGA MOLDADA IN LOCO COM UTILIZAÇÃO DE BLOCOS CANALETA PARA PORTAS CO M ATÉ 1,5 M DE VÃO. AF_03/2016</t>
  </si>
  <si>
    <t>VERGA MOLDADA IN LOCO COM UTILIZAÇÃO DE BLOCOS CANALETA PARA PORTAS CO M MAIS DE 1,5 M DE VÃO. AF_03/2016</t>
  </si>
  <si>
    <t>VERGA MOLDADA IN LOCO EM CONCRETO PARA JANELAS COM ATÉ 1,5 M DE VÃO. A F_03/2016</t>
  </si>
  <si>
    <t>VERGA MOLDADA IN LOCO EM CONCRETO PARA JANELAS COM MAIS DE 1,5 M DE VÃ O. AF_03/2016</t>
  </si>
  <si>
    <t>VERGA MOLDADA IN LOCO EM CONCRETO PARA PORTAS COM ATÉ 1,5 M DE VÃO. AF _03/2016</t>
  </si>
  <si>
    <t>VERGA MOLDADA IN LOCO EM CONCRETO PARA PORTAS COM MAIS DE 1,5 M DE VÃO . AF_03/2016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</si>
  <si>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</si>
  <si>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</si>
  <si>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</si>
  <si>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</si>
  <si>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VERNIZ POLIURETANO BRILHANTE EM CONCRETO OU TIJOLO, TRES DEMAOS</t>
  </si>
  <si>
    <t>VERNIZ POLIURETANO BRILHANTE PARA MADEIRA, COM FILTRO SOLAR, USO INTERNO E EXTERNO</t>
  </si>
  <si>
    <t>VERNIZ SINTETICO BRILHANTE EM CONCRETO OU TIJOLO, DUAS DEMAOS</t>
  </si>
  <si>
    <t>VERNIZ SINTETICO BRILHANTE PARA MADEIRA TIPO COPAL, USO INTERNO</t>
  </si>
  <si>
    <t>VERNIZ SINTETICO BRILHANTE PARA MADEIRA, COM FILTRO SOLAR, USO INTERNO E EXTERNO (BASE SOLVENTE)</t>
  </si>
  <si>
    <t>VERNIZ SINTETICO BRILHANTE, 2 DEMAOS</t>
  </si>
  <si>
    <t>VERNIZ SINTETICO EM MADEIRA, DUAS DEMAOS</t>
  </si>
  <si>
    <t>VERTEDOR TRIANGULAR DE ALUMINIO</t>
  </si>
  <si>
    <t>VEU FIBRA DE VIDRO AEROGLASS/RHODIA OU SIMILAR 0,04 KG/M2</t>
  </si>
  <si>
    <t>VEU POLIESTER</t>
  </si>
  <si>
    <t>VIBRADOR DE IMERSAO MOTOR GAS 3,5CV TUBO DE 48X480MM (CI) C/MANGOTE DE 5M COMP -EXCL OPERADOR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</si>
  <si>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</si>
  <si>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</si>
  <si>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</si>
  <si>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</si>
  <si>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4 TEMPOS A GASOLINA DE 5,5 HP (5,5 CV)</t>
  </si>
  <si>
    <t>VIBRADOR DE IMERSAO, DIAMETRO DA PONTEIRA DE *45* MM, COM MOTOR ELETRICO TRIFASICO DE 2 HP (2 CV)</t>
  </si>
  <si>
    <t>VIBRADOR DE IMERSÃO, DIÂMETRO DE PONTEIRA 45MM, MOTOR ELÉTRICO TRIFÁSI CO POTÊNCIA DE 2 CV - CHI DIURNO. AF_06/2015</t>
  </si>
  <si>
    <t>VIBRADOR DE IMERSÃO, DIÂMETRO DE PONTEIRA 45MM, MOTOR ELÉTRICO TRIFÁSI CO POTÊNCIA DE 2 CV - CHP DIURNO. AF_06/2015</t>
  </si>
  <si>
    <t>VIBRADOR DE IMERSÃO, DIÂMETRO DE PONTEIRA 45MM, MOTOR ELÉTRICO TRIFÁSI CO POTÊNCIA DE 2 CV - DEPRECIAÇÃO. AF_06/2015</t>
  </si>
  <si>
    <t>VIBRADOR DE IMERSÃO, DIÂMETRO DE PONTEIRA 45MM, MOTOR ELÉTRICO TRIFÁSI CO POTÊNCIA DE 2 CV - JUROS. AF_06/2015</t>
  </si>
  <si>
    <t>VIBRADOR DE IMERSÃO, DIÂMETRO DE PONTEIRA 45MM, MOTOR ELÉTRICO TRIFÁSI CO POTÊNCIA DE 2 CV - MANUTENÇÃO. AF_06/2015</t>
  </si>
  <si>
    <t>VIBRADOR DE IMERSÃO, DIÂMETRO DE PONTEIRA 45MM, MOTOR ELÉTRICO TRIFÁSI CO POTÊNCIA DE 2 CV - MATERIAIS NA OPERAÇÃO. AF_06/2015</t>
  </si>
  <si>
    <t>VIBROACABADORA DE ASFALTO SOBRE ESTEIRAS, LARG. PAVIM. 2,13 M A 4,55 M, POT. 74 KW/ 100 HP, CAP. 400 T/ H</t>
  </si>
  <si>
    <t>VIBROACABADORA DE ASFALTO SOBRE ESTEIRAS, LARG. PAVIM. 2,60 M A 5,75 M, POT. 110 HP, CAP. 450 T/ H</t>
  </si>
  <si>
    <t>VIBROACABADORA DE ASFALTO SOBRE ESTEIRAS, LARG. PAVIM. MAX. 8,00 M, POT. 100 KW/ 134 HP, CAP. 600 T/ H</t>
  </si>
  <si>
    <t>VIBROACABADORA DE ASFALTO SOBRE ESTEIRAS, LARG. PAVIMENT. 1,90 A 5,3 M, POT. 78 KW/105 HP, CAP. 450 T/H</t>
  </si>
  <si>
    <t>VIBROACABADORA DE ASFALTO SOBRE ESTEIRAS, LARGURA DE PAVIMENTAÇÃO 1,90 M A 5,30 M, POTÊNCIA 105 HP CAPACIDADE 450 T/H - CHI DIURNO. AF_11/20 14</t>
  </si>
  <si>
    <t>VIBROACABADORA DE ASFALTO SOBRE ESTEIRAS, LARGURA DE PAVIMENTAÇÃO 1,90 M A 5,30 M, POTÊNCIA 105 HP CAPACIDADE 450 T/H - CHP DIURNO. AF_11/20 14</t>
  </si>
  <si>
    <t>VIBROACABADORA DE ASFALTO SOBRE ESTEIRAS, LARGURA DE PAVIMENTAÇÃO 1,90 M A 5,30 M, POTÊNCIA 105 HP CAPACIDADE 450 T/H - DEPRECIAÇÃO. AF_11/2 014</t>
  </si>
  <si>
    <t>VIBROACABADORA DE ASFALTO SOBRE ESTEIRAS, LARGURA DE PAVIMENTAÇÃO 1,90 M A 5,30 M, POTÊNCIA 105 HP CAPACIDADE 450 T/H - JUROS. AF_11/2014</t>
  </si>
  <si>
    <t>VIBROACABADORA DE ASFALTO SOBRE ESTEIRAS, LARGURA DE PAVIMENTAÇÃO 1,90 M A 5,30 M, POTÊNCIA 105 HP CAPACIDADE 450 T/H - MANUTENÇÃO. AF_11/20 14</t>
  </si>
  <si>
    <t>VIBROACABADORA DE ASFALTO SOBRE ESTEIRAS, LARGURA DE PAVIMENTAÇÃO 1,90 M A 5,30 M, POTÊNCIA 105 HP CAPACIDADE 450 T/H - MATERIAIS NA OPERAÇÃ O. AF_11/2014</t>
  </si>
  <si>
    <t>VIBROACABADORA DE ASFALTO SOBRE ESTEIRAS, LARGURA DE PAVIMENTAÇÃO 2,13 M A 4,55 M, POTÊNCIA 100 HP CAPACIDADE 400 T/H - CHP DIURNO. AF_11/20 14</t>
  </si>
  <si>
    <t>VIBROACABADORA DE ASFALTO SOBRE ESTEIRAS, LARGURA DE PAVIMENTAÇÃO 2,13 M A 4,55 M, POTÊNCIA 100 HP, CAPACIDADE 400 T/H - CHI DIURNO. AF_11/2 014</t>
  </si>
  <si>
    <t>VIBROACABADORA DE ASFALTO SOBRE ESTEIRAS, LARGURA DE PAVIMENTAÇÃO 2,13 M A 4,55 M, POTÊNCIA 100 HP, CAPACIDADE 400 T/H - DEPRECIAÇÃO. AF_11/ 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</si>
  <si>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</si>
  <si>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AF_11/2 014</t>
  </si>
  <si>
    <t>VIBROACABADORA DE ASFALTO SOBRE ESTEIRAS, LARGURA DE PAVIMENTAÇÃO 2,13 M A 4,55 M, POTÊNCIA 100 HP, CAPACIDADE 400 T/H - MATERIAIS NA OPERAÇ ÃO. AF_11/2014</t>
  </si>
  <si>
    <t>VIBROACABADORA DE ASFALTO SOBRE RODAS, LARGURA DE PAVIMENTACAO DE 1,70 A 4,20 M, POTENCIA 78 KW/105 HP, CAPACIDADE 300 T/H</t>
  </si>
  <si>
    <t>VIDRACEIRO (MENSALISTA)</t>
  </si>
  <si>
    <t>VIDRO CANELADO 4 MM - SEM COLOCACAO</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</si>
  <si>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</si>
  <si>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</si>
  <si>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</si>
  <si>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</si>
  <si>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</si>
  <si>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</si>
  <si>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</si>
  <si>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</si>
  <si>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</si>
  <si>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</si>
  <si>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</si>
  <si>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</si>
  <si>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2MM - SEM COLOCACAO</t>
  </si>
  <si>
    <t>VIDRO LISO INCOLOR 4MM - SEM COLOCACAO</t>
  </si>
  <si>
    <t>VIDRO LISO INCOLOR 5MM - SEM COLOCACAO</t>
  </si>
  <si>
    <t>VIDRO LISO INCOLOR 6 MM - SEM COLOCACAO</t>
  </si>
  <si>
    <t>VIDRO LISO INCOLOR 8MM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</si>
  <si>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</si>
  <si>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</si>
  <si>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</si>
  <si>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</si>
  <si>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</si>
  <si>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</si>
  <si>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INCOLOR, ESPESSURA 10MM, FORNECIMENTO E INSTALACAO, IN CLUSIVE MASSA PARA VEDACAO</t>
  </si>
  <si>
    <t>VIDRO TEMPERADO INCOLOR, ESPESSURA 6MM, FORNECIMENTO E INSTALACAO, INC LUSIVE MASSA PARA VEDACAO</t>
  </si>
  <si>
    <t>VIDRO TEMPERADO INCOLOR, ESPESSURA 8MM, FORNECIMENTO E INSTALACAO, INC LUSIVE MASSA PARA VEDACAO</t>
  </si>
  <si>
    <t>VIDRO TEMPERADO VERDE E = 10 MM, SEM COLOCACAO</t>
  </si>
  <si>
    <t>VIDRO TEMPERADO VERDE E = 6 MM, SEM COLOCACAO</t>
  </si>
  <si>
    <t>VIDRO TEMPERADO VERDE E = 8 MM, SEM COLOCACAO</t>
  </si>
  <si>
    <t>VIGA DE ESCORAMAENTO H20, DE MADEIRA, PESO DE 5,00 A 5,20 KG/M, COM EXTREMIDADES PLASTICAS (COLETADO CAIXA)</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</si>
  <si>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</si>
  <si>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</si>
  <si>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</si>
  <si>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</si>
  <si>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</si>
  <si>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</si>
  <si>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VIGA SANDUICHE METALICA VAZADA PARA TRAVAMENTO DE PILARES, DIMENSOES: ALTURA DE *8* CM, LARGURA DE *6* CM E EXTENSAO DE 2 M (LOCACAO)</t>
  </si>
  <si>
    <t>VIGIA DIURNO</t>
  </si>
  <si>
    <t>VIGIA DIURNO (MENSALISTA)</t>
  </si>
  <si>
    <t>VIGIA NOTURNO, HORA EFETIVAMENTE TRABALHADA DE 22 H AS 5 H (COM ADICIONAL NOTURNO)</t>
  </si>
  <si>
    <t>VIGOTA DE MADEIRA NAO APARELHADA *5 X 10* CM, MACARANDUBA, ANGELIM OU EQUIVALENTE DA REGIAO</t>
  </si>
  <si>
    <t>Saneago</t>
  </si>
  <si>
    <t>um</t>
  </si>
  <si>
    <t>un</t>
  </si>
  <si>
    <t>Descrição - TABELA DE SERVIÇOS  (DATA-BASE: 11/16)</t>
  </si>
  <si>
    <t>Preço</t>
  </si>
  <si>
    <t>TUBO DE CONCRETO PARA REDES COLETORAS DE ESGOTO SANITÁRIO, DIÂMETRO DE 300 MM, JUNTA ELÁSTICA, INSTALADO EM LOCAL COM BAIXO NÍVEL DE INTERFE RÊNCIAS - FORNECIMENTO E ASSENTAMENTO. AF_12/2015</t>
  </si>
  <si>
    <t>TUBO DE CONCRETO PARA REDES COLETORAS DE ESGOTO SANITÁRIO, DIÂMETRO DE 500 MM, JUNTA ELÁSTICA, INSTALADO EM LOCAL COM BAIXO NÍVEL DE INTERFE RÊNCIAS - FORNECIMENTO E ASSENTAMENTO. AF_12/2015</t>
  </si>
  <si>
    <t>TUBO DE CONCRETO PARA REDES COLETORAS DE ESGOTO SANITÁRIO, DIÂMETRO DE 600 MM, JUNTA ELÁSTICA, INSTALADO EM LOCAL COM BAIXO NÍVEL DE INTERFE RÊNCIAS - FORNECIMENTO E ASSENTAMENTO. AF_12/2015</t>
  </si>
  <si>
    <t>TUBO DE CONCRETO PARA REDES COLETORAS DE ESGOTO SANITÁRIO, DIÂMETRO DE 700 MM, JUNTA ELÁSTICA, INSTALADO EM LOCAL COM BAIXO NÍVEL DE INTERFE RÊNCIAS - FORNECIMENTO E ASSENTAMENTO. AF_12/2015</t>
  </si>
  <si>
    <t>TUBO DE CONCRETO PARA REDES COLETORAS DE ESGOTO SANITÁRIO, DIÂMETRO DE</t>
  </si>
  <si>
    <t>TUBO DE CONCRETO PARA REDES COLETORAS DE ESGOTO SANITÁRIO, DIÂMETRO DE 300 MM, JUNTA ELÁSTICA, INSTALADO EM LOCAL COM ALTO NÍVEL DE INTERFER ÊNCIAS - FORNECIMENTO E ASSENTAMENTO. AF_12/2015</t>
  </si>
  <si>
    <t>TUBO DE CONCRETO PARA REDES COLETORAS DE ESGOTO SANITÁRIO, DIÂMETRO DE 500 MM, JUNTA ELÁSTICA, INSTALADO EM LOCAL COM ALTO NÍVEL DE INTERFER ÊNCIAS - FORNECIMENTO E ASSENTAMENTO. AF_12/2015</t>
  </si>
  <si>
    <t>TUBO DE CONCRETO PARA REDES COLETORAS DE ESGOTO SANITÁRIO, DIÂMETRO DE 600 MM, JUNTA ELÁSTICA, INSTALADO EM LOCAL COM ALTO NÍVEL DE INTERFER ÊNCIAS - FORNECIMENTO E ASSENTAMENTO. AF_12/2015</t>
  </si>
  <si>
    <t>TUBO DE CONCRETO PARA REDES COLETORAS DE ESGOTO SANITÁRIO, DIÂMETRO DE 700 MM, JUNTA ELÁSTICA, INSTALADO EM LOCAL COM ALTO NÍVEL DE INTERFER ÊNCIAS - FORNECIMENTO E ASSENTAMENTO. AF_12/2015</t>
  </si>
  <si>
    <t>TUBO DE CONCRETO PARA REDES COLETORAS DE ÁGUAS PLUVIAIS, DIÂMETRO DE 3 00MM, JUNTA RÍGIDA, INSTALADO EM LOCAL COM BAIXO NÍVEL DE INTERFERÊNCI AS - FORNECIMENTO E ASSENTAMENTO. AF_12/2015</t>
  </si>
  <si>
    <t>TUBO DE CONCRETO PARA REDES COLETORAS DE ÁGUAS PLUVIAIS, DIÂMETRO DE 3 00MM, JUNTA RÍGIDA, INSTALADO EM LOCAL COM ALTO NÍVEL DE INTERFERÊNCIA S - FORNECIMENTO E ASSENTAMENTO. AF_12/2015</t>
  </si>
  <si>
    <t>TUBO DE CONCRETO (SIMPLES) PARA REDES COLETORAS DE ÁGUAS PLUVIAIS, DIÂ METRO DE 300 MM, JUNTA RÍGIDA, INSTALADO EM LOCAL COM BAIXO NÍVEL DE I NTERFERÊNCIAS - FORNECIMENTO E ASSENTAMENTO. AF_12/2015</t>
  </si>
  <si>
    <t>TUBO DE CONCRETO (SIMPLES) PARA REDES COLETORAS DE ÁGUAS PLUVIAIS, DIÂ METRO DE 400 MM, JUNTA RÍGIDA, INSTALADO EM LOCAL COM BAIXO NÍVEL DE I NTERFERÊNCIAS - FORNECIMENTO E ASSENTAMENTO. AF_12/2015</t>
  </si>
  <si>
    <t>TUBO DE CONCRETO (SIMPLES) PARA REDES COLETORAS DE ÁGUAS PLUVIAIS, DIÂ METRO DE 500 MM, JUNTA RÍGIDA, INSTALADO EM LOCAL COM BAIXO NÍVEL DE I NTERFERÊNCIAS - FORNECIMENTO E ASSENTAMENTO. AF_12/2015</t>
  </si>
  <si>
    <t>TUBO DE CONCRETO (SIMPLES) PARA REDES COLETORAS DE ÁGUAS PLUVIAIS, DIÂ METRO DE 300 MM, JUNTA RÍGIDA, INSTALADO EM LOCAL COM ALTO NÍVEL DE IN TERFERÊNCIAS - FORNECIMENTO E ASSENTAMENTO. AF_12/2015</t>
  </si>
  <si>
    <t>TUBO DE CONCRETO (SIMPLES) PARA REDES COLETORAS DE ÁGUAS PLUVIAIS, DIÂ METRO DE 400 MM, JUNTA RÍGIDA, INSTALADO EM LOCAL COM ALTO NÍVEL DE IN TERFERÊNCIAS - FORNECIMENTO E ASSENTAMENTO. AF_12/2015</t>
  </si>
  <si>
    <t>TUBO DE CONCRETO (SIMPLES) PARA REDES COLETORAS DE ÁGUAS PLUVIAIS, DIÂ METRO DE 500 MM, JUNTA RÍGIDA, INSTALADO EM LOCAL COM ALTO NÍVEL DE IN TERFERÊNCIAS - FORNECIMENTO E ASSENTAMENTO. AF_12/2015</t>
  </si>
  <si>
    <t>PERFURATRIZ PNEUMATICA MANUAL DE PESO MEDIO, MARTELETE, 18KG, COMPRIME NTO MÁXIMO DE CURSO DE 6 M, DIAMETRO DO PISTAO DE 5,5 CM - CHP DIURNO. AF_11/2016</t>
  </si>
  <si>
    <t>ROLO COMPACTADOR VIBRATORIO TANDEM, ACO LISO, POTENCIA 125 HP, PESO SE M/COM LASTRO 10,20/11,65 T, LARGURA DE TRABALHO 1,73 M - CHP DIURNO. A F_11/2016</t>
  </si>
  <si>
    <t>PERFURATRIZ MANUAL, TORQUE MAXIMO 55 KGF.M, POTENCIA 5 CV, COM DIAMETR O MAXIMO 8 1/2" - CHP DIURNO. AF_11/2016</t>
  </si>
  <si>
    <t>PERFURATRIZ SOBRE ESTEIRA, TORQUE MÁXIMO 600 KGF, POTÊNCIA ENTRE 50 E 60 HP, DIÂMETRO MÁXIMO 10 - CHP DIURNO. AF_11/2016</t>
  </si>
  <si>
    <t>ESCAVADEIRA HIDRAULICA SOBRE ESTEIRA, COM GARRA GIRATORIA DE MANDIBULA S, PESO OPERACIONAL ENTRE 22,00 E 25,50 TON, POTENCIA LIQUIDA ENTRE 15 0 E 160 HP - CHP DIURNO. AF_11/2016</t>
  </si>
  <si>
    <t>ESCAVADEIRA HIDRAULICA SOBRE ESTEIRA, EQUIPADA COM CLAMSHELL, COM CAPA CIDADE DA CAÇAMBA ENTRE 1,20 E 1,50 M3, PESO OPERACIONAL ENTRE 20,00 E 22,00 TON, POTENCIA LIQUIDA ENTRE 150 E 160 HP - CHP DIURNO. AF_11/20 16</t>
  </si>
  <si>
    <t>PERFURATRIZ PNEUMATICA MANUAL DE PESO MEDIO, MARTELETE, 18KG, COMPRIME NTO MÁXIMO DE CURSO DE 6 M, DIAMETRO DO PISTAO DE 5,5 CM - CHI DIURNO. AF_11/2016</t>
  </si>
  <si>
    <t>ROLO COMPACTADOR VIBRATORIO TANDEM, ACO LISO, POTENCIA 125 HP, PESO SE M/COM LASTRO 10,20/11,65 T, LARGURA DE TRABALHO 1,73 M - CHI DIURNO. A F_11/2016</t>
  </si>
  <si>
    <t>PERFURATRIZ MANUAL, TORQUE MAXIMO 55 KGF.M, POTENCIA 5 CV, COM DIAMETR O MAXIMO 8 1/2" - CHI DIURNO. AF_11/2016</t>
  </si>
  <si>
    <t>PERFURATRIZ SOBRE ESTEIRA, TORQUE MÁXIMO 600 KGF, POTÊNCIA ENTRE 50 E 60 HP, DIÂMETRO MÁXIMO 10 - CHI DIURNO. AF_11/2016</t>
  </si>
  <si>
    <t>ESCAVADEIRA HIDRAULICA SOBRE ESTEIRA, COM GARRA GIRATORIA DE MANDIBULA S, PESO OPERACIONAL ENTRE 22,00 E 25,50 TON, POTENCIA LIQUIDA ENTRE 15 0 E 160 HP - CHI DIURNO. AF_11/2016</t>
  </si>
  <si>
    <t>ESCAVADEIRA HIDRAULICA SOBRE ESTEIRA, EQUIPADA COM CLAMSHELL, COM CAPA CIDADE DA CAÇAMBA ENTRE 1,20 E 1,50 M3, PESO OPERACIONAL ENTRE 20,00 E 22,00 TON, POTENCIA LIQUIDA ENTRE 150 E 160 HP - CHI DIURNO. AF_11/20 16</t>
  </si>
  <si>
    <t>PERFURATRIZ PNEUMATICA MANUAL DE PESO MEDIO, MARTELETE, 18KG, COMPRIME NTO MÁXIMO DE CURSO DE 6 M, DIAMETRO DO PISTAO DE 5,5 CM - DEPRECIAÇÃO . AF_11/2016</t>
  </si>
  <si>
    <t>PERFURATRIZ PNEUMATICA MANUAL DE PESO MEDIO, MARTELETE, 18KG, COMPRIME NTO MÁXIMO DE CURSO DE 6 M, DIAMETRO DO PISTAO DE 5,5 CM - JUROS. AF_1 1/2016</t>
  </si>
  <si>
    <t>PERFURATRIZ PNEUMATICA MANUAL DE PESO MEDIO, MARTELETE, 18KG, COMPRIME NTO MÁXIMO DE CURSO DE 6 M, DIAMETRO DO PISTAO DE 5,5 CM - MANUTENÇÃO. AF_11/2016</t>
  </si>
  <si>
    <t>ROLO COMPACTADOR VIBRATORIO TANDEM, ACO LISO, POTENCIA 125 HP, PESO SE M/COM LASTRO 10,20/11,65 T, LARGURA DE TRABALHO 1,73 M - DEPRECIAÇÃO. AF_11/2016</t>
  </si>
  <si>
    <t>ROLO COMPACTADOR VIBRATORIO TANDEM, ACO LISO, POTENCIA 125 HP, PESO SE M/COM LASTRO 10,20/11,65 T, LARGURA DE TRABALHO 1,73 M - JUROS. AF_11/ 2016</t>
  </si>
  <si>
    <t>ROLO COMPACTADOR VIBRATORIO TANDEM, ACO LISO, POTENCIA 125 HP, PESO SE M/COM LASTRO 10,20/11,65 T, LARGURA DE TRABALHO 1,73 M - MANUTENÇÃO. A F_11/2016</t>
  </si>
  <si>
    <t>ROLO COMPACTADOR VIBRATORIO TANDEM, ACO LISO, POTENCIA 125 HP, PESO SE M/COM LASTRO 10,20/11,65 T, LARGURA DE TRABALHO 1,73 M - MATERIAIS NA OPERAÇÃO. AF_11/2016</t>
  </si>
  <si>
    <t>PERFURATRIZ MANUAL, TORQUE MAXIMO 55 KGF.M, POTENCIA 5 CV, COM DIAMETR O MAXIMO 8 1/2" - DEPRECIAÇÃO. AF_11/2016</t>
  </si>
  <si>
    <t>PERFURATRIZ MANUAL, TORQUE MAXIMO 55 KGF.M, POTENCIA 5 CV, COM DIAMETR O MAXIMO 8 1/2" - JUROS. AF_11/2016</t>
  </si>
  <si>
    <t>PERFURATRIZ MANUAL, TORQUE MAXIMO 55 KGF.M, POTENCIA 5 CV, COM DIAMETR O MAXIMO 8 1/2" - MANUTENÇÃO. AF_11/2016</t>
  </si>
  <si>
    <t>PERFURATRIZ MANUAL, TORQUE MAXIMO 55 KGF.M, POTENCIA 5 CV, COM DIAMETR 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</si>
  <si>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</si>
  <si>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</si>
  <si>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</si>
  <si>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</si>
  <si>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 S, PESO OPERACIONAL ENTRE 22,00 E 25,50 TON, POTENCIA LIQUIDA ENTRE 15 0 E 160 HP - DEPRECIAÇÃO. AF_11/2016</t>
  </si>
  <si>
    <t>ESCAVADEIRA HIDRAULICA SOBRE ESTEIRA, COM GARRA GIRATORIA DE MANDIBULA S, PESO OPERACIONAL ENTRE 22,00 E 25,50 TON, POTENCIA LIQUIDA ENTRE 15 0 E 160 HP - JUROS. AF_11/2016</t>
  </si>
  <si>
    <t>ESCAVADEIRA HIDRAULICA SOBRE ESTEIRA, COM GARRA GIRATORIA DE MANDIBULA S, PESO OPERACIONAL ENTRE 22,00 E 25,50 TON, POTENCIA LIQUIDA ENTRE 15 0 E 160 HP - MANUTENÇÃO. AF_11/2016</t>
  </si>
  <si>
    <t>ESCAVADEIRA HIDRAULICA SOBRE ESTEIRA, COM GARRA GIRATORIA DE MANDIBULA S, PESO OPERACIONAL ENTRE 22,00 E 25,50 TON, POTENCIA LIQUIDA ENTRE 15 0 E 160 HP - MATERIAIS NA OPERAÇÃO. AF_11/2016</t>
  </si>
  <si>
    <t>ESCAVADEIRA HIDRAULICA SOBRE ESTEIRA, EQUIPADA COM CLAMSHELL, COM CAPA CIDADE DA CAÇAMBA ENTRE 1,20 E 1,50 M3, PESO OPERACIONAL ENTRE 20,00 E 22,00 TON, POTENCIA LIQUIDA ENTRE 150 E 160 HP - DEPRECIAÇÃO. AF_11/2 016</t>
  </si>
  <si>
    <t>ESCAVADEIRA HIDRAULICA SOBRE ESTEIRA, EQUIPADA COM CLAMSHELL, COM CAPA CIDADE DA CAÇAMBA ENTRE 1,20 E 1,50 M3, PESO OPERACIONAL ENTRE 20,00 E 22,00 TON, POTENCIA LIQUIDA ENTRE 150 E 160 HP - JUROS. AF_11/2016</t>
  </si>
  <si>
    <t>ESCAVADEIRA HIDRAULICA SOBRE ESTEIRA, EQUIPADA COM CLAMSHELL, COM CAPA CIDADE DA CAÇAMBA ENTRE 1,20 E 1,50 M3, PESO OPERACIONAL ENTRE 20,00 E 22,00 TON, POTENCIA LIQUIDA ENTRE 150 E 160 HP - MANUTENÇÃO. AF_11/20 16</t>
  </si>
  <si>
    <t>ESCAVADEIRA HIDRAULICA SOBRE ESTEIRA, EQUIPADA COM CLAMSHELL, COM CAPA CIDADE DA CAÇAMBA ENTRE 1,20 E 1,50 M3, PESO OPERACIONAL ENTRE 20,00 E 22,00 TON, POTENCIA LIQUIDA ENTRE 150 E 160 HP - MATERIAIS NA OPERAÇÃ O. AF_11/2016</t>
  </si>
  <si>
    <t>ALIZAR / GUARNIÇÃO DE 5X1,5CM PARA PORTA DE 60X210CM FIXADO COM PREGOS , PADRÃO MÉDIO - FORNECIMENTO E INSTALAÇÃO. AF_08/2015</t>
  </si>
  <si>
    <t>ALIZAR / GUARNIÇÃO DE 5X1,5CM PARA PORTA DE 70X210CM FIXADO COM PREGOS , PADRÃO MÉDIO - FORNECIMENTO E INSTALAÇÃO. AF_08/2015</t>
  </si>
  <si>
    <t>ALIZAR / GUARNIÇÃO DE 5X1,5CM PARA PORTA DE 80X210CM FIXADO COM PREGOS , PADRÃO MÉDIO - FORNECIMENTO E INSTALAÇÃO. AF_08/2015</t>
  </si>
  <si>
    <t>ALIZAR / GUARNIÇÃO DE 5X1,5CM PARA PORTA DE 90X210CM FIXADO COM PREGOS , PADRÃO MÉDIO - FORNECIMENTO E INSTALAÇÃO. AF_08/2015</t>
  </si>
  <si>
    <t>ALIZAR / GUARNIÇÃO DE 5X1,5CM PARA PORTA DE 60X210CM FIXADO COM PREGOS , PADRÃO POPULAR - FORNECIMENTO E INSTALAÇÃO. AF_08/2015</t>
  </si>
  <si>
    <t>ALIZAR / GUARNIÇÃO DE 5X1,5CM PARA PORTA DE 70X210CM FIXADO COM PREGOS , PADRÃO POPULAR - FORNECIMENTO E INSTALAÇÃO. AF_08/2015</t>
  </si>
  <si>
    <t>ALIZAR / GUARNIÇÃO DE 5X1,5CM PARA PORTA DE 80X210CM FIXADO COM PREGOS , PADRÃO POPULAR - FORNECIMENTO E INSTALAÇÃO. AF_08/2015</t>
  </si>
  <si>
    <t>ALIZAR / GUARNIÇÃO DE 5X1,5CM PARA PORTA DE 90X210CM FIXADO COM PREGOS , PADRÃO POPULAR - FORNECIMENTO E INSTALAÇÃO. AF_08/2015</t>
  </si>
  <si>
    <t>JANELA DE MADEIRA TIPO VENEZIANA. DE ABRIR, INCLUSAS GUARNICOES E FERR AGENS</t>
  </si>
  <si>
    <t>PORTA DE CORRER EM ALUMINIO, COM DUAS FOLHAS PARA VIDRO, INCLUSO VIDRO LISO INCOLOR, FECHADURA E PUXADOR, SEM GUARNICAO/ALIZAR/VISTA</t>
  </si>
  <si>
    <t>PORTA DE ALUMÍNIO DE ABRIR COM LAMBRI, COMM GUARNIÇÃO, FIXAÇÃO COM PAR AFUSOS - FORNECIMENTO E INSTALAÇÃO. AF_08/2015</t>
  </si>
  <si>
    <t>ESTACA PRÉ-MOLDADA DE CONCRETO, SEÇÃO QUADRADA, CAPACIDADE DE 25 TONEL ADAS, COMPRIMENTO TOTAL CRAVADO ATÉ 5M, BATE-ESTACAS POR GRAVIDADE SOB RE ROLOS (EXCLUSIVE MOBILIZAÇÃO E DESMOBILIZAÇÃO). AF_03/2016</t>
  </si>
  <si>
    <t>ESTACA PRÉ-MOLDADA DE CONCRETO, SEÇÃO QUADRADA, CAPACIDADE DE 50 TONEL ADAS, COMPRIMENTO TOTAL CRAVADO ATÉ 5M, BATE-ESTACAS POR GRAVIDADE SOB RE ROLOS (EXCLUSIVE MOBILIZAÇÃO E DESMOBILIZAÇÃO). AF_03/2016</t>
  </si>
  <si>
    <t>ESTACA PRÉ-MOLDADA DE CONCRETO CENTRIFUGADO, SEÇÃO CIRCULAR, CAPACIDAD E DE 100 TONELADAS, COMPRIMENTO TOTAL CRAVADO ATÉ 5M, BATE-ESTACAS POR GRAVIDADE SOBRE ROLOS (EXCLUSIVE MOBILIZAÇÃO E DESMOBILIZAÇÃO). AF_03 /2016</t>
  </si>
  <si>
    <t>ESTACA PRÉ-MOLDADA DE CONCRETO, SEÇÃO QUADRADA, CAPACIDADE DE 25 TONEL ADAS, COMPRIMENTO TOTAL CRAVADO ACIMA DE 5M ATÉ 12M, BATE-ESTACAS POR GRAVIDADE SOBRE ROLOS (EXCLUSIVE MOBILIZAÇÃO E DESMOBILIZAÇÃO). AF_03/ 2016</t>
  </si>
  <si>
    <t>ESTACA PRÉ-MOLDADA DE CONCRETO, SEÇÃO QUADRADA, CAPACIDADE DE 50 TONEL ADAS, COMPRIMENTO TOTAL CRAVADO ACIMA DE 5M ATÉ 12M, BATE-ESTACAS POR GRAVIDADE SOBRE ROLOS (EXCLUSIVE MOBILIZAÇÃO E DESMOBILIZAÇÃO). AF_03/ 2016</t>
  </si>
  <si>
    <t>ESTACA PRÉ-MOLDADA DE CONCRETO CENTRIFUGADO, SEÇÃO CIRCULAR, CAPACIDAD E DE 100 TONELADAS, COMPRIMENTO TOTAL CRAVADO ACIMA DE 5M ATÉ 12M, BAT E-ESTACAS POR GRAVIDADE SOBRE ROLOS (EXCLUSIVE MOBILIZAÇÃO E DESMOBILI ZAÇÃO). AF_03/2016</t>
  </si>
  <si>
    <t>ESTACA PRÉ-MOLDADA DE CONCRETO, SEÇÃO QUADRADA, CAPACIDADE DE 25 TONEL ADAS COMPRIMENTO TOTAL CRAVADO ACIMA DE 12M, BATE-ESTACAS POR GRAVIDAD E SOBRE ROLOS (EXCLUSIVE MOBILIZAÇÃO E DESMOBILIZAÇÃO). AF_03/2016</t>
  </si>
  <si>
    <t>ESTACA PRÉ-MOLDADA DE CONCRETO, SEÇÃO QUADRADA, CAPACIDADE DE 50 TONEL ADAS, COMPRIMENTO TOTAL CRAVADO ACIMA DE 12M, BATE-ESTACAS POR GRAVIDA DE SOBRE ROLOS (EXCLUSIVE MOBILIZAÇÃO E DESMOBILIZAÇÃO). AF_03/2016</t>
  </si>
  <si>
    <t>ESTACA PRÉ-MOLDADA DE CONCRETO CENTRIFUGADO, SEÇÃO CIRCULAR, CAPACIDAD E DE 100 TONELADAS, COMPRIMENTO TOTAL CRAVADO ACIMA DE 12M, BATE-ESTAC AS POR GRAVIDADE SOBRE ROLOS (EXCLUSIVE MOBILIZAÇÃO E DESMOBILIZAÇÃO). AF_03/2016</t>
  </si>
  <si>
    <t>ESTACA HÉLICE CONTÍNUA, DIÂMETRO DE 30 CM, COMPRIMENTO TOTAL ATÉ 15 M, PERFURATRIZ COM TORQUE DE 170 KN.M (EXCLUSIVE MOBILIZAÇÃO E DESMOBILI ZAÇÃO). AF_02/2015</t>
  </si>
  <si>
    <t>ESTACA HÉLICE CONTÍNUA, DIÂMETRO DE 30 CM, COMPRIMENTO TOTAL ACIMA DE 15 M ATÉ 20 M, PERFURATRIZ COM TORQUE DE 170 KN.M (EXCLUSIVE MOBILIZAÇ ÃO E DESMOBILIZAÇÃO). AF_02/2015</t>
  </si>
  <si>
    <t>ESTACA HÉLICE CONTÍNUA, DIÂMETRO DE 50 CM, COMPRIMENTO TOTAL ATÉ 15 M, PERFURATRIZ COM TORQUE DE 170 KN.M (EXCLUSIVE MOBILIZAÇÃO E DESMOBILI ZAÇÃO). AF_02/2015</t>
  </si>
  <si>
    <t>ESTACA HÉLICE CONTÍNUA, DIÂMETRO DE 50 CM, COMPRIMENTO TOTAL ACIMA DE 15 M ATÉ 30 M, PERFURATRIZ COM TORQUE DE 170 KN.M (EXCLUSIVE MOBILIZAÇ ÃO E DESMOBILIZAÇÃO). AF_02/2015</t>
  </si>
  <si>
    <t>ESTACA HÉLICE CONTÍNUA, DIÂMETRO DE 70 CM, COMPRIMENTO TOTAL ATÉ 15 M, PERFURATRIZ COM TORQUE DE 170 KN.M (EXCLUSIVE MOBILIZAÇÃO E DESMOBILI ZAÇÃO). AF_02/2015</t>
  </si>
  <si>
    <t>ESTACA HÉLICE CONTÍNUA, DIÂMETRO DE 70 CM, COMPRIMENTO TOTAL ACIMA DE 15 M ATÉ 30 M, PERFURATRIZ COM TORQUE DE 170 KN.M (EXCLUSIVE MOBILIZAÇ ÃO E DESMOBILIZAÇÃO). AF_02/2015</t>
  </si>
  <si>
    <t>ESTACA HÉLICE CONTÍNUA, DIÂMETRO DE 80 CM, COMPRIMENTO TOTAL ATÉ 30 M, PERFURATRIZ COM TORQUE DE 170 KN.M (EXCLUSIVE MOBILIZAÇÃO E DESMOBILI ZAÇÃO). AF_02/2015</t>
  </si>
  <si>
    <t>ESTACA HÉLICE CONTÍNUA, DIÂMETRO DE 90 CM, COMPRIMENTO TOTAL ATÉ 30 M, PERFURATRIZ COM TORQUE DE 263 KN.M (EXCLUSIVE MOBILIZAÇÃO E DESMOBILI ZAÇÃO). AF_02/2015</t>
  </si>
  <si>
    <t>ESTACA ESCAVADA MECANICAMENTE, SEM FLUIDO ESTABILIZANTE, COM 25 CM DE DIÂMETRO, ATÉ 9 M DE COMPRIMENTO, CONCRETO LANÇADO POR CAMINHÃO BETONE IRA (EXCLUSIVE MOBILIZAÇÃO E DESMOBILIZAÇÃO). AF_02/2015</t>
  </si>
  <si>
    <t>ESTACA ESCAVADA MECANICAMENTE, SEM FLUIDO ESTABILIZANTE, COM 25 CM DE DIÂMETRO, ACIMA DE 9 M DE COMPRIMENTO, CONCRETO LANÇADO POR CAMINHÃO B ETONEIRA (EXCLUSIVE MOBILIZAÇÃO E DESMOBILIZAÇÃO). AF_02/2015</t>
  </si>
  <si>
    <t>ESTACA ESCAVADA MECANICAMENTE, SEM FLUIDO ESTABILIZANTE, COM 25 CM DE DIÂMETRO, ATÉ 9 M DE COMPRIMENTO, CONCRETO LANÇADO MANUALMENTE (EXCLUS IVE MOBILIZAÇÃO E DESMOBILIZAÇÃO). AF_02/2015</t>
  </si>
  <si>
    <t>ESTACA ESCAVADA MECANICAMENTE, SEM FLUIDO ESTABILIZANTE, COM 25 CM DE DIÂMETRO, ACIMA DE 9 M DE COMPRIMENTO, CONCRETO LANÇADO MANUALMENTE (E XCLUSIVE MOBILIZAÇÃO E DESMOBILIZAÇÃO). AF_02/2015</t>
  </si>
  <si>
    <t>ESTACA ESCAVADA MECANICAMENTE, SEM FLUIDO ESTABILIZANTE, COM 40 CM DE DIÂMETRO, ATÉ 9 M DE COMPRIMENTO, CONCRETO LANÇADO POR CAMINHÃO BETONE IRA (EXCLUSIVE MOBILIZAÇÃO E DESMOBILIZAÇÃO). AF_02/2015</t>
  </si>
  <si>
    <t>ESTACA ESCAVADA MECANICAMENTE, SEM FLUIDO ESTABILIZANTE, COM 40 CM DE DIÂMETRO, ACIMA DE 9 M ATÉ 15 M DE COMPRIMENTO, CONCRETO LANÇADO POR C 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</si>
  <si>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</si>
  <si>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 IRA (EXCLUSIVE MOBILIZAÇÃO E DESMOBILIZAÇÃO). AF_02/2015</t>
  </si>
  <si>
    <t>ESTACA ESCAVADA MECANICAMENTE, SEM FLUIDO ESTABILIZANTE, COM 60 CM DE DIÂMETRO, ACIMA DE 9 M ATÉ 15 M DE COMPRIMENTO, CONCRETO LANÇADO POR C 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</si>
  <si>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</si>
  <si>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 CLUSIVE MOBILIZAÇÃO E DESMOBILIZAÇÃO). AF_02/2015</t>
  </si>
  <si>
    <t>ESTACA ESCAVADA MECANICAMENTE, SEM FLUIDO ESTABILIZANTE, COM 60 CM DE DIÂMETRO, ACIMA DE 9 M ATÉ 15 M DE COMPRIMENTO, CONCRETO LANÇADO POR B OMBA LANÇA (EXCLUSIVE MOBILIZAÇÃO E DESMOBILIZAÇÃO). AF_02/2015</t>
  </si>
  <si>
    <t>ESTACA ESCAVADA MECANICAMENTE, SEM FLUIDO ESTABILIZANTE, COM 60 CM DE DIÂMETRO, ACIMA DE 15 M DE COMPRIMENTO, CONCRETO LANÇADO POR BOMBA LAN 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</si>
  <si>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</si>
  <si>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</si>
  <si>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</si>
  <si>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</si>
  <si>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</si>
  <si>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</si>
  <si>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</si>
  <si>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</si>
  <si>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ARMAÇÃO DE ESTRUTURAS DE CONCRETO ARMADO, EXCETO VIGAS, PILARES, LAJES E FUNDAÇÕES (DE EDIFÍCIOS DE MÚLTIPLOS PAVIMENTOS, EDIFICAÇÃO TÉRREA OU SOBRADO), UTILIZANDO AÇO CA-60 DE 5.0 MM - MONTAGEM. AF_12/2015</t>
  </si>
  <si>
    <t>ARMAÇÃO DE ESTRUTURAS DE CONCRETO ARMADO, EXCETO VIGAS, PILARES, LAJES E FUNDAÇÕES (DE EDIFÍCIOS DE MÚLTIPLOS PAVIMENTOS, EDIFICAÇÃO TÉRREA OU SOBRADO), UTILIZANDO AÇO CA-50 DE 6.3 MM - MONTAGEM. AF_12/2015</t>
  </si>
  <si>
    <t>ARMAÇÃO DE ESTRUTURAS DE CONCRETO ARMADO, EXCETO VIGAS, PILARES, LAJES E FUNDAÇÕES (DE EDIFÍCIOS DE MÚLTIPLOS PAVIMENTOS, EDIFICAÇÃO TÉRREA OU SOBRADO), UTILIZANDO AÇO CA-50 DE 8.0 MM - MONTAGEM. AF_12/2015</t>
  </si>
  <si>
    <t>ARMAÇÃO DE ESTRUTURAS DE CONCRETO ARMADO, EXCETO VIGAS, PILARES, LAJES E FUNDAÇÕES (DE EDIFÍCIOS DE MÚLTIPLOS PAVIMENTOS, EDIFICAÇÃO TÉRREA OU SOBRADO), UTILIZANDO AÇO CA-50 DE 10.0 MM - MONTAGEM. AF_12/2015</t>
  </si>
  <si>
    <t>ARMAÇÃO DE ESTRUTURAS DE CONCRETO ARMADO, EXCETO VIGAS, PILARES, LAJES E FUNDAÇÕES (DE EDIFÍCIOS DE MÚLTIPLOS PAVIMENTOS, EDIFICAÇÃO TÉRREA OU SOBRADO), UTILIZANDO AÇO CA-50 DE 12.5 MM - MONTAGEM. AF_12/2015</t>
  </si>
  <si>
    <t>ARMAÇÃO DE ESTRUTURAS DE CONCRETO ARMADO, EXCETO VIGAS, PILARES, LAJES E FUNDAÇÕES (DE EDIFÍCIOS DE MÚLTIPLOS PAVIMENTOS, EDIFICAÇÃO TÉRREA OU SOBRADO), UTILIZANDO AÇO CA-50 DE 16.0 MM - MONTAGEM. AF_12/2015</t>
  </si>
  <si>
    <t>ARMAÇÃO DE ESTRUTURAS DE CONCRETO ARMADO, EXCETO VIGAS, PILARES, LAJES E FUNDAÇÕES (DE EDIFÍCIOS DE MÚLTIPLOS PAVIMENTOS, EDIFICAÇÃO TÉRREA OU SOBRADO), UTILIZANDO AÇO CA-50 DE 20.0 MM - MONTAGEM. AF_12/2015</t>
  </si>
  <si>
    <t>ARMAÇÃO DE ESTRUTURAS DE CONCRETO ARMADO, EXCETO VIGAS, PILARES, LAJES E FUNDAÇÕES (DE EDIFÍCIOS DE MÚLTIPLOS PAVIMENTOS, EDIFICAÇÃO TÉRREA OU SOBRADO), UTILIZANDO AÇO CA-50 DE 25.0 MM - MONTAGEM. AF_12/2015</t>
  </si>
  <si>
    <t>CORTE E DOBRA DE AÇO CA-60, DIÂMETRO DE 5,0 MM, UTILIZADO EM ESTRIBO C ONTÍNUO HELICOIDAL. AF_10/2016</t>
  </si>
  <si>
    <t>CORTE E DOBRA DE AÇO CA-50, DIÂMETRO DE 6,3 MM, UTILIZADO EM ESTRIBO C ONTÍNUO HELICOIDAL. AF_10/2016</t>
  </si>
  <si>
    <t>MONTAGEM DE ARMADURA LONGITUDINAL DE ESTACAS DE SEÇÃO CIRCULAR, DIÂMET RO = 8,0 MM. AF_11/2016</t>
  </si>
  <si>
    <t>MONTAGEM DE ARMADURA LONGITUDINAL DE ESTACAS DE SEÇÃO CIRCULAR, DIÂMET RO = 10,0 MM. AF_11/2016</t>
  </si>
  <si>
    <t>MONTAGEM DE ARMADURA LONGITUDINAL DE ESTACAS DE SEÇÃO CIRCULAR, DIÂMET RO = 12,5 MM. AF_11/2016</t>
  </si>
  <si>
    <t>MONTAGEM DE ARMADURA LONGITUDINAL DE ESTACAS DE SEÇÃO CIRCULAR, DIÂMET RO = 16,0 MM. AF_11/2016</t>
  </si>
  <si>
    <t>MONTAGEM DE ARMADURA LONGITUDINAL DE ESTACAS DE SEÇÃO CIRCULAR, DIÂMET RO = 20,0 MM. AF_11/2016</t>
  </si>
  <si>
    <t>MONTAGEM DE ARMADURA LONGITUDINAL DE ESTACAS DE SEÇÃO CIRCULAR, DIÂMET RO = 25,0 MM. AF_11/2016</t>
  </si>
  <si>
    <t>MONTAGEM DE ARMADURA TRANSVERSAL DE ESTACAS DE SEÇÃO CIRCULAR, DIÂMETR O = 5,0 MM. AF_11/2016</t>
  </si>
  <si>
    <t>MONTAGEM DE ARMADURA TRANSVERSAL DE ESTACAS DE SEÇÃO CIRCULAR, DIÂMETR O = 6,3 MM. AF_11/2016</t>
  </si>
  <si>
    <t>MONTAGEM DE ARMADURA LONGITUDINAL DE ESTACAS DE SEÇÃO RETANGULAR (BARR ETE), DIÂMETRO = 8,0 MM. AF_11/2016</t>
  </si>
  <si>
    <t>MONTAGEM DE ARMADURA LONGITUDINAL DE ESTACAS DE SEÇÃO RETANGULAR (BARR ETE), DIÂMETRO = 10,0 MM. AF_11/2016</t>
  </si>
  <si>
    <t>MONTAGEM DE ARMADURA LONGITUDINAL DE ESTACAS DE SEÇÃO RETANGULAR (BARR ETE), DIÂMETRO = 12,5 MM. AF_11/2016</t>
  </si>
  <si>
    <t>MONTAGEM DE ARMADURA LONGITUDINAL DE ESTACAS DE SEÇÃO RETANGULAR (BARR ETE), DIÂMETRO = 16,0 MM. AF_11/2016</t>
  </si>
  <si>
    <t>MONTAGEM DE ARMADURA LONGITUDINAL DE ESTACAS DE SEÇÃO RETANGULAR (BARR ETE), DIÂMETRO = 20,0 MM. AF_11/2016</t>
  </si>
  <si>
    <t>MONTAGEM DE ARMADURA LONGITUDINAL DE ESTACAS DE SEÇÃO RETANGULAR (BARR ETE), DIÂMETRO = 25,0 MM. AF_11/2016</t>
  </si>
  <si>
    <t>MONTAGEM DE ARMADURA TRANSVERSAL DE ESTACAS DE SEÇÃO RETANGULAR (BARRE TE), DIÂMETRO = 5,0 MM. AF_11/2016</t>
  </si>
  <si>
    <t>MONTAGEM DE ARMADURA TRANSVERSAL DE ESTACAS DE SEÇÃO RETANGULAR (BARRE TE), DIÂMETRO = 6,3 MM. AF_11/2016</t>
  </si>
  <si>
    <t>ELETRODUTO RÍGIDO SOLDÁVEL, PVC, DN 20 MM (½''), APARENTE, INSTALADO E M TETO - FORNECIMENTO E INSTALAÇÃO. AF_11/2016</t>
  </si>
  <si>
    <t>ELETRODUTO RÍGIDO SOLDÁVEL, PVC, DN 25 MM (3/4'' ), APARENTE, INSTALAD O EM TETO - FORNECIMENTO E INSTALAÇÃO. AF_11/2016</t>
  </si>
  <si>
    <t>ELETRODUTO RÍGIDO SOLDÁVEL, PVC, DN 32 MM (1''), APARENTE, INSTALADO E M TETO - FORNECIMENTO E INSTALAÇÃO. AF_11/2016</t>
  </si>
  <si>
    <t>ELETRODUTO RÍGIDO SOLDÁVEL, PVC, DN 20 MM (½''), APARENTE, INSTALADO E M PAREDE - FORNECIMENTO E INSTALAÇÃO. AF_11/2016</t>
  </si>
  <si>
    <t>ELETRODUTO RÍGIDO SOLDÁVEL, PVC, DN 25 MM (3/4''), APARENTE, INSTALADO EM PAREDE - FORNECIMENTO E INSTALAÇÃO. AF_11/2016</t>
  </si>
  <si>
    <t>ELETRODUTO RÍGIDO SOLDÁVEL, PVC, DN 32 MM (1''), APARENTE, INSTALADO E M PAREDE - FORNECIMENTO E INSTALAÇÃO. AF_11/2016</t>
  </si>
  <si>
    <t>ELETRODUTO DE FERRO GALVANIZADO, CLASSE LEVE, DN 20 MM (3/4''), APAREN TE, INSTALADO EM TETO - FORNECIMENTO E INSTALAÇÃO. AF_11/2016</t>
  </si>
  <si>
    <t>ELETRODUTO DE FERRO GALVANIZADO, CLASSE LEVE, DN 25 MM (1''), APARENTE , INSTALADO EM TETO - FORNECIMENTO E INSTALAÇÃO. AF_11/2016</t>
  </si>
  <si>
    <t>ELETRODUTO DE FERRO GALVANIZADO, CLASSE SEMI PESADO, DN 32 MM (1 1/4'' ), APARENTE, INSTALADO EM TETO - FORNECIMENTO E INSTALAÇÃO. AF_11/2016</t>
  </si>
  <si>
    <t>ELETRODUTO DE FERRO GALVANIZADO, CLASSE SEMI PESADO, DN 40 MM (1 1/2) , APARENTE, INSTALADO EM TETO - FORNECIMENTO E INSTALAÇÃO. AF_11/2016</t>
  </si>
  <si>
    <t>ELETRODUTO DE FERRO GALVANIZADO, CLASSE LEVE, DN 20 MM (3/4''), APAREN TE, INSTALADO EM PAREDE - FORNECIMENTO E INSTALAÇÃO. AF_11/2016</t>
  </si>
  <si>
    <t>ELETRODUTO DE FERRO GALVANIZADO, CLASSE LEVE, DN 25 MM (1''), APARENTE , INSTALADO EM PAREDE - FORNECIMENTO E INSTALAÇÃO. AF_11/2016</t>
  </si>
  <si>
    <t>ELETRODUTO DE FERRO GALVANIZADO, CLASSE SEMI PESADO, DN 32 MM (1 1/4'' ), APARENTE, INSTALADO EM PAREDE - FORNECIMENTO E INSTALAÇÃO. AF_11/20 16</t>
  </si>
  <si>
    <t>ELETRODUTO DE FERRO GALVANIZADO, CLASSE SEMI PESADO, DN 40 MM (1 1/2'' ), APARENTE, INSTALADO EM PAREDE - FORNECIMENTO E INSTALAÇÃO. AF_11/20 16</t>
  </si>
  <si>
    <t>CURVA 180 GRAUS PARA ELETRODUTO, PVC, ROSCÁVEL, DN 20 MM (1/2"), PARA CIRCUITOS TERMINAIS, INSTALADA EM FORRO - FORNECIMENTO E INSTALAÇÃO. A F_12/2015</t>
  </si>
  <si>
    <t>CURVA 180 GRAUS PARA ELETRODUTO, PVC, ROSCÁVEL, DN 40 MM (1 1/4"), PAR A CIRCUITOS TERMINAIS, INSTALADA EM FORRO - FORNECIMENTO E INSTALAÇÃO. AF_12/2015</t>
  </si>
  <si>
    <t>CURVA 180 GRAUS PARA ELETRODUTO, PVC, ROSCÁVEL, DN 20 MM (1/2"), PARA CIRCUITOS TERMINAIS, INSTALADA EM LAJE - FORNECIMENTO E INSTALAÇÃO. AF _12/2015</t>
  </si>
  <si>
    <t>CURVA 180 GRAUS PARA ELETRODUTO, PVC, ROSCÁVEL, DN 40 MM (1 1/4"), PAR A CIRCUITOS TERMINAIS, INSTALADA EM LAJE - FORNECIMENTO E INSTALAÇÃO. AF_12/2015</t>
  </si>
  <si>
    <t>CURVA 180 GRAUS PARA ELETRODUTO, PVC, ROSCÁVEL, DN 20 MM (1/2"), PARA CIRCUITOS TERMINAIS, INSTALADA EM PAREDE - FORNECIMENTO E INSTALAÇÃO. AF_12/2015</t>
  </si>
  <si>
    <t>CURVA 180 GRAUS PARA ELETRODUTO, PVC, ROSCÁVEL, DN 40 MM (1 1/4"), PAR A CIRCUITOS TERMINAIS, INSTALADA EM PAREDE - FORNECIMENTO E INSTALAÇÃO . AF_12/2015</t>
  </si>
  <si>
    <t>CONDULETE DE ALUMÍNIO, TIPO B, PARA ELETRODUTO DE FERRO GALVANIZADO DN 20 MM (3/4''), APARENTE - FORNECIMENTO E INSTALAÇÃO. AF_11/2016_P</t>
  </si>
  <si>
    <t>CONDULETE DE ALUMÍNIO, TIPO C, PARA ELETRODUTO DE FERRO GALVANIZADO DN 20 MM (3/4''), APARENTE - FORNECIMENTO E INSTALAÇÃO. AF_11/2016_P</t>
  </si>
  <si>
    <t>CONDULETE DE ALUMÍNIO, TIPO E, PARA ELETRODUTO DE FERRO GALVANIZADO DN 20 MM (3/4''), APARENTE - FORNECIMENTO E INSTALAÇÃO. AF_11/2016_P</t>
  </si>
  <si>
    <t>CONDULETE DE ALUMÍNIO, TIPO B, PARA ELETRODUTO DE FERRO GALVANIZADO DN 25 MM (1''), APARENTE - FORNECIMENTO E INSTALAÇÃO. AF_11/2016_P</t>
  </si>
  <si>
    <t>CONDULETE DE ALUMÍNIO, TIPO C, PARA ELETRODUTO DE FERRO GALVANIZADO DN 25 MM (1''), APARENTE - FORNECIMENTO E INSTALAÇÃO. AF_11/2016_P</t>
  </si>
  <si>
    <t>CONDULETE DE ALUMÍNIO, TIPO E, PARA ELETRODUTO DE FERRO GALVANIZADO DN 25 MM (1''), APARENTE - FORNECIMENTO E INSTALAÇÃO. AF_11/2016_P</t>
  </si>
  <si>
    <t>CONDULETE DE ALUMÍNIO, TIPO E, PARA ELETRODUTO DE FERRO GALVANIZADO DN 32 MM (1 1/4''), APARENTE - FORNECIMENTO E INSTALAÇÃO. AF_11/2016_P</t>
  </si>
  <si>
    <t>CONDULETE DE ALUMÍNIO, TIPO LR, PARA ELETRODUTO DE FERRO GALVANIZADO D N 20 MM (3/4''), APARENTE - FORNECIMENTO E INSTALAÇÃO. AF_11/2016_P</t>
  </si>
  <si>
    <t>CONDULETE DE ALUMÍNIO, TIPO LR, PARA ELETRODUTO DE FERRO GALVANIZADO D N 25 MM (1''), APARENTE - FORNECIMENTO E INSTALAÇÃO. AF_11/2016_P</t>
  </si>
  <si>
    <t>CONDULETE DE ALUMÍNIO, TIPO LR, PARA ELETRODUTO DE FERRO GALVANIZADO D N 32 MM (1 1/4''), APARENTE - FORNECIMENTO E INSTALAÇÃO. AF_11/2016_P</t>
  </si>
  <si>
    <t>CONDULETE DE ALUMÍNIO, TIPO T, PARA ELETRODUTO DE FERRO GALVANIZADO DN 20 MM (3/4''), APARENTE - FORNECIMENTO E INSTALAÇÃO. AF_11/2016_P</t>
  </si>
  <si>
    <t>CONDULETE DE ALUMÍNIO, TIPO T, PARA ELETRODUTO DE FERRO GALVANIZADO DN 25 MM (1''), APARENTE - FORNECIMENTO E INSTALAÇÃO. AF_11/2016_P</t>
  </si>
  <si>
    <t>CONDULETE DE ALUMÍNIO, TIPO T, PARA ELETRODUTO DE FERRO GALVANIZADO DN 32 MM (1 1/4''), APARENTE - FORNECIMENTO E INSTALAÇÃO. AF_11/2016_P</t>
  </si>
  <si>
    <t>CONDULETE DE ALUMÍNIO, TIPO X, PARA ELETRODUTO DE FERRO GALVANIZADO DN 20 MM (3/4''), APARENTE - FORNECIMENTO E INSTALAÇÃO. AF_11/2016_P</t>
  </si>
  <si>
    <t>CONDULETE DE ALUMÍNIO, TIPO X, PARA ELETRODUTO DE FERRO GALVANIZADO DN 25 MM (1''), APARENTE - FORNECIMENTO E INSTALAÇÃO. AF_11/2016_P</t>
  </si>
  <si>
    <t>CONDULETE DE ALUMÍNIO, TIPO X, PARA ELETRODUTO DE FERRO GALVANIZADO DN 32 MM (1 1/4''), APARENTE - FORNECIMENTO E INSTALAÇÃO. AF_11/2016_P</t>
  </si>
  <si>
    <t>CONDULETE DE PVC, TIPO B, PARA ELETRODUTO DE PVC SOLDÁVEL DN 20 MM (1/ 2''), APARENTE - FORNECIMENTO E INSTALAÇÃO. AF_11/2016</t>
  </si>
  <si>
    <t>CONDULETE DE PVC, TIPO B, PARA ELETRODUTO DE PVC SOLDÁVEL DN 25 MM (3/ 4''), APARENTE - FORNECIMENTO E INSTALAÇÃO. AF_11/2016</t>
  </si>
  <si>
    <t>CONDULETE DE PVC, TIPO B, PARA ELETRODUTO DE PVC SOLDÁVEL DN 32 MM (1' '), APARENTE - FORNECIMENTO E INSTALAÇÃO. AF_11/2016</t>
  </si>
  <si>
    <t>CONDULETE DE PVC, TIPO LL, PARA ELETRODUTO DE PVC SOLDÁVEL DN 20 MM (1 /2''), APARENTE - FORNECIMENTO E INSTALAÇÃO. AF_11/2016</t>
  </si>
  <si>
    <t>CONDULETE DE PVC, TIPO LL, PARA ELETRODUTO DE PVC SOLDÁVEL DN 25 MM (3 /4''), APARENTE - FORNECIMENTO E INSTALAÇÃO. AF_11/2016</t>
  </si>
  <si>
    <t>CONDULETE DE PVC, TIPO LL, PARA ELETRODUTO DE PVC SOLDÁVEL DN 32 MM (1 ''), APARENTE - FORNECIMENTO E INSTALAÇÃO. AF_11/2016</t>
  </si>
  <si>
    <t>CONDULETE DE PVC, TIPO LB, PARA ELETRODUTO DE PVC SOLDÁVEL DN 20 MM (1 /2''), APARENTE - FORNECIMENTO E INSTALAÇÃO. AF_11/2016</t>
  </si>
  <si>
    <t>CONDULETE DE PVC, TIPO LB, PARA ELETRODUTO DE PVC SOLDÁVEL DN 25 MM (3 /4''), APARENTE - FORNECIMENTO E INSTALAÇÃO. AF_11/2016</t>
  </si>
  <si>
    <t>CONDULETE DE PVC, TIPO LB, PARA ELETRODUTO DE PVC SOLDÁVEL DN 32 MM (1 ''), APARENTE - FORNECIMENTO E INSTALAÇÃO. AF_11/2016</t>
  </si>
  <si>
    <t>CONDULETE DE PVC, TIPO TB, PARA ELETRODUTO DE PVC SOLDÁVEL DN 20 MM (1 /2''), APARENTE - FORNECIMENTO E INSTALAÇÃO. AF_11/2016</t>
  </si>
  <si>
    <t>CONDULETE DE PVC, TIPO TB, PARA ELETRODUTO DE PVC SOLDÁVEL DN 25 MM (3 /4''), APARENTE - FORNECIMENTO E INSTALAÇÃO. AF_11/2016</t>
  </si>
  <si>
    <t>CONDULETE DE PVC, TIPO TB, PARA ELETRODUTO DE PVC SOLDÁVEL DN 32 MM (1 ''), APARENTE - FORNECIMENTO E INSTALAÇÃO. AF_11/2016</t>
  </si>
  <si>
    <t>CONDULETE DE PVC, TIPO X, PARA ELETRODUTO DE PVC SOLDÁVEL DN 20 MM (1/ 2''), APARENTE - FORNECIMENTO E INSTALAÇÃO. AF_11/2016</t>
  </si>
  <si>
    <t>CONDULETE DE PVC, TIPO X, PARA ELETRODUTO DE PVC SOLDÁVEL DN 25 MM (3/ 4''), APARENTE - FORNECIMENTO E INSTALAÇÃO. AF_11/2016</t>
  </si>
  <si>
    <t>CONDULETE DE PVC, TIPO X, PARA ELETRODUTO DE PVC SOLDÁVEL DN 32 MM (1' '), APARENTE - FORNECIMENTO E INSTALAÇÃO. AF_11/2016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</si>
  <si>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</si>
  <si>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</si>
  <si>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 DÁVEL, ÁGUA FRIA, DN 32 MM (INSTALADO EM RAMAL, SUB-RAMAL, RAMAL DE DI STRIBUIÇÃO OU PRUMADA), INCLUSIVE CONEXÕES, CORTES E FIXAÇÕES, PARA PR ÉDIOS. AF_10/2015</t>
  </si>
  <si>
    <t>(COMPOSIÇÃO REPRESENTATIVA) DO SERVIÇO DE INSTALAÇÃO DE TUBOS DE PVC, SOLDÁVEL, ÁGUA FRIA, DN 40 MM (INSTALADO EM PRUMADA), INCLUSIVE CONEXÕ ES, CORTES E FIXAÇÕES, PARA PRÉDIOS. AF_10/2015</t>
  </si>
  <si>
    <t>(COMPOSIÇÃO REPRESENTATIVA) DO SERVIÇO DE INSTALAÇÃO DE TUBOS DE PVC, SOLDÁVEL, ÁGUA FRIA, DN 50 MM (INSTALADO EM PRUMADA), INCLUSIVE CONEXÕ 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</si>
  <si>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</si>
  <si>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 OU CONDUTORES VERTICAIS), INCLUSIVE CONEXÕES, CORTES E FIXAÇÕES, PAR 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</si>
  <si>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</si>
  <si>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 ÉRIE NORMAL, ESGOTO PREDIAL, DN 40 MM (INSTALADO EM RAMAL DE DESCARGA OU RAMAL DE ESGOTO SANITÁRIO), INCLUSIVE CONEXÕES, CORTES E FIXAÇÕES, PARA PRÉDIOS. AF_10/2015</t>
  </si>
  <si>
    <t>(COMPOSIÇÃO REPRESENTATIVA) DO SERVIÇO DE INSTALAÇÃO DE TUBO DE PVC, S ÉRIE NORMAL, ESGOTO PREDIAL, DN 50 MM (INSTALADO EM RAMAL DE DESCARGA OU RAMAL DE ESGOTO SANITÁRIO), INCLUSIVE CONEXÕES, CORTES E FIXAÇÕES P ARA, PRÉDIOS. AF_10/2015</t>
  </si>
  <si>
    <t>(COMPOSIÇÃO REPRESENTATIVA) DO SERVIÇO DE INST. TUBO PVC, SÉRIE N, ESG OTO PREDIAL, DN 75 MM, (INST. EM RAMAL DE DESCARGA, RAMAL DE ESG. SANI TÁRIO, PRUMADA DE ESG. SANITÁRIO OU VENTILAÇÃO), INCL. CONEXÕES, CORTE S E FIXAÇÕES, P/ PRÉDIOS. AF_10/2015</t>
  </si>
  <si>
    <t>(COMPOSIÇÃO REPRESENTATIVA) DO SERVIÇO DE INST. TUBO PVC, SÉRIE N, ESG OTO PREDIAL, 100 MM (INST. RAMAL DESCARGA, RAMAL DE ESG. SANIT., PRUMA DA ESG. SANIT., VENTILAÇÃO OU SUB-COLETOR AÉREO), INCL. CONEXÕES E COR TES, FIXAÇÕES, P/ PRÉDIOS. AF_10/2015</t>
  </si>
  <si>
    <t>(COMPOSIÇÃO REPRESENTATIVA) DO SERVIÇO DE INSTALAÇÃO DE TUBO DE PVC, S ÉRIE NORMAL, ESGOTO PREDIAL, DN 150 MM (INSTALADO EM SUB-COLETOR AÉREO ), INCLUSIVE CONEXÕES, CORTES E FIXAÇÕES, PARA PRÉDIOS. AF_10/2015</t>
  </si>
  <si>
    <t>TUBO DE AÇO PRETO SEM COSTURA, CONEXÃO SOLDADA, DN 40 (1 1/2"), INSTAL ADO EM REDE DE ALIMENTAÇÃO PARA SPRINKLER - FORNECIMENTO E INSTALAÇÃO. AF_12/2015</t>
  </si>
  <si>
    <t>TUBO DE AÇO PRETO SEM COSTURA, CONEXÃO SOLDADA, DN 40 (1 1/2 ), INSTAL ADO EM REDE DE ALIMENTAÇÃO PARA HIDRANTE - FORNECIMENTO E INSTALAÇÃO. AF_12/2015</t>
  </si>
  <si>
    <t>CURVA 87 GRAUS E 30 MINUTOS, PVC, SERIE R, ÁGUA PLUVIAL, DN 75 MM, JUN TA ELÁSTICA, FORNECIDO E INSTALADO EM RAMAL DE ENCAMINHAMENTO. AF_12/2 014</t>
  </si>
  <si>
    <t>JOELHO 45 GRAUS PARA PÉ DE COLUNA, PVC, SERIE R, ÁGUA PLUVIAL, DN 100 MM, JUNTA ELÁSTICA, FORNECIDO E INSTALADO EM RAMAL DE ENCAMINHAMENTO. AF_12/2014</t>
  </si>
  <si>
    <t>CURVA 87 GRAUS E 30 MINUTOS, PVC, SERIE R, ÁGUA PLUVIAL, DN 100 MM, JU NTA ELÁSTICA, FORNECIDO E INSTALADO EM RAMAL DE ENCAMINHAMENTO. AF_12/ 2014</t>
  </si>
  <si>
    <t>BUCHA DE REDUÇÃO LONGA, PVC, SERIE R, ÁGUA PLUVIAL, DN 50 X 40 MM, JUN TA ELÁSTICA, FORNECIDO E INSTALADO EM RAMAL DE ENCAMINHAMENTO. AF_12/2 014</t>
  </si>
  <si>
    <t>CURVA 87 GRAUS E 30 MINUTOS, PVC, SERIE R, ÁGUA PLUVIAL, DN 75 MM, JUN TA ELÁSTICA, FORNECIDO E INSTALADO EM CONDUTORES VERTICAIS DE ÁGUAS PL UVIAIS. AF_12/2014</t>
  </si>
  <si>
    <t>JOELHO 45 GRAUS PARA PÉ DE COLUNA, PVC, SERIE R, ÁGUA PLUVIAL, DN 100 MM, JUNTA ELÁSTICA, FORNECIDO E INSTALADO EM CONDUTORES VERTICAIS DE Á GUAS PLUVIAIS. AF_12/2014</t>
  </si>
  <si>
    <t>CURVA 87 GRAUS E 30 MINUTOS, PVC, SERIE R, ÁGUA PLUVIAL, DN 100 MM, JU NTA ELÁSTICA, FORNECIDO E INSTALADO EM CONDUTORES VERTICAIS DE ÁGUAS P LUVIAIS. AF_12/2014</t>
  </si>
  <si>
    <t>CURVA 87 GRAUS E 30 MINUTOS, PVC, SERIE R, ÁGUA PLUVIAL, DN 150 MM, JU NTA ELÁSTICA, FORNECIDO E INSTALADO EM CONDUTORES VERTICAIS DE ÁGUAS P LUVIAIS. AF_12/2014</t>
  </si>
  <si>
    <t>JOELHO 45 GRAUS, CPVC, SOLDÁVEL, DN 35MM, INSTALADO EM PRUMADA DE ÁGUA - FORNECIMENTO E INSTALAÇÃO. AF_12/2014</t>
  </si>
  <si>
    <t>LUVA SIMPLES, PVC, SÉRIE NORMAL, ESGOTO PREDIAL, DN 150 MM, JUNTA ELÁS TICA, FORNECIDO E INSTALADO EM SUBCOLETOR AÉREO DE ESGOTO SANITÁRIO. A 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</si>
  <si>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</si>
  <si>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 2/2014</t>
  </si>
  <si>
    <t>SPRINKLER TIPO PENDENTE, 68° C, UNIÃO POR ROSCA, DN 15 (½)  FORNECIM ENTO E INSTALAÇÃO. AF_12/2015</t>
  </si>
  <si>
    <t>VASO SANITÁRIO SIFONADO COM CAIXA ACOPLADA LOUÇA BRANCA - FORNECIMENTO E INSTALAÇÃO. AF_12/2013</t>
  </si>
  <si>
    <t>VASO SANITÁRIO SIFONADO COM CAIXA ACOPLADA LOUÇA BRANCA, INCLUSO ENGAT E FLEXÍVEL EM PLÁSTICO BRANCO, 1/2  X 40CM - FORNECIMENTO E INSTALAÇÃO . AF_12/2013</t>
  </si>
  <si>
    <t>VASO SANITARIO SIFONADO CONVENCIONAL COM  LOUÇA BRANCA - FORNECIMENTO E INSTALAÇÃO. AF_10/2016</t>
  </si>
  <si>
    <t>VASO SANITARIO SIFONADO CONVENCIONAL COM LOUÇA BRANCA, INCLUSO CONJUNT O DE LIGAÇÃO PARA BACIA SANITÁRIA AJUSTÁVEL - FORNECIMENTO E INSTALAÇÃ O. AF_10/2016</t>
  </si>
  <si>
    <t>VASO SANITARIO SIFONADO CONVENCIONAL PARA PCD SEM FURO FRONTAL COM  LO UÇA BRANCA SEM ASSENTO -  FORNECIMENTO E INSTALAÇÃO. AF_10/2016</t>
  </si>
  <si>
    <t>VASO SANITARIO SIFONADO CONVENCIONAL PARA PCD SEM FURO FRONTAL COM LOU ÇA BRANCA SEM ASSENTO, INCLUSO CONJUNTO DE LIGAÇÃO PARA BACIA SANITÁRI A AJUSTÁVEL - FORNECIMENTO E INSTALAÇÃO. AF_10/2016</t>
  </si>
  <si>
    <t>PORTA TOALHA ROSTO EM METAL CROMADO, TIPO ARGOLA, INCLUSO FIXAÇÃO. AF_ 10/2016</t>
  </si>
  <si>
    <t>PORTA TOALHA BANHO EM METAL CROMADO, TIPO BARRA, INCLUSO FIXAÇÃO. AF_1 0/2016</t>
  </si>
  <si>
    <t>PAPELEIRA DE PAREDE EM METAL CROMADO SEM TAMPA, INCLUSO FIXAÇÃO. AF_10 /2016</t>
  </si>
  <si>
    <t>SABONETEIRA DE PAREDE EM METAL CROMADO, INCLUSO FIXAÇÃO. AF_10/2016</t>
  </si>
  <si>
    <t>KIT DE ACESSORIOS PARA BANHEIRO EM METAL CROMADO, 5 PECAS, INCLUSO FIX AÇÃO. AF_10/2016</t>
  </si>
  <si>
    <t>SABONETEIRA PLASTICA TIPO DISPENSER PARA SABONETE LIQUIDO COM RESERVAT ORIO 800 A 1500 ML, INCLUSO FIXAÇÃO. AF_10/2016</t>
  </si>
  <si>
    <t>FOSSA SÉPTICA EM ALVENARIA DE TIJOLO CERÂMICO MACIÇO, DIMENSÕES EXTERN AS DE 1,90X1,10X1,40 M, VOLUME DE 1.500 LITROS, REVESTIDO INTERNAMENTE COM MASSA ÚNICA E IMPERMEABILIZANTE E COM TAMPA DE CONCRETO ARMADO CO M ESPESSURA DE 8 CM</t>
  </si>
  <si>
    <t>MISTURADOR MONOCOMANDO PARA CHUVEIRO, BASE BRUTA E ACABAMENTO CROMADO, FORNECIDO E INSTALADO EM RAMAL DE ÁGUA. AF_12/2014</t>
  </si>
  <si>
    <t>KIT CAVALETE PARA MEDIÇÃO DE ÁGUA - ENTRADA PRINCIPAL, EM PVC SOLDÁVEL DN 20 (½ )   FORNECIMENTO E INSTALAÇÃO (EXCLUSIVE HIDRÔMETRO). AF_11/ 2016</t>
  </si>
  <si>
    <t>KIT CAVALETE PARA MEDIÇÃO DE ÁGUA - ENTRADA PRINCIPAL, EM PVC SOLDÁVEL DN 25 (¾ )   FORNECIMENTO E INSTALAÇÃO (EXCLUSIVE HIDRÔMETRO). AF_11/ 2016</t>
  </si>
  <si>
    <t>KIT CAVALETE PARA MEDIÇÃO DE ÁGUA - ENTRADA PRINCIPAL, EM AÇO GALVANIZ ADO DN 32 (1 ¼)  FORNECIMENTO E INSTALAÇÃO (EXCLUSIVE HIDRÔMETRO). A F_11/2016</t>
  </si>
  <si>
    <t>KIT CAVALETE PARA MEDIÇÃO DE ÁGUA - ENTRADA PRINCIPAL, EM AÇO GALVANIZ ADO DN 40 (1 ½)  FORNECIMENTO E INSTALAÇÃO (EXCLUSIVE HIDRÔMETRO). A F_11/2016</t>
  </si>
  <si>
    <t>KIT CAVALETE PARA MEDIÇÃO DE ÁGUA - ENTRADA PRINCIPAL, EM AÇO GALVANIZ ADO DN 50 (2)  FORNECIMENTO E INSTALAÇÃO (EXCLUSIVE HIDRÔMETRO). AF_ 11/2016</t>
  </si>
  <si>
    <t>KIT CAVALETE PARA MEDIÇÃO DE ÁGUA - ENTRADA INDIVIDUALIZADA, EM PVC DN 25 (¾), PARA 2 MEDIDORES  FORNECIMENTO E INSTALAÇÃO (EXCLUSIVE HIDR ÔMETRO). AF_11/2016</t>
  </si>
  <si>
    <t>KIT CAVALETE PARA MEDIÇÃO DE ÁGUA - ENTRADA INDIVIDUALIZADA, EM PVC DN 25 (¾), PARA 3 MEDIDORES  FORNECIMENTO E INSTALAÇÃO (EXCLUSIVE HIDR ÔMETRO). AF_11/2016</t>
  </si>
  <si>
    <t>KIT CAVALETE PARA MEDIÇÃO DE ÁGUA - ENTRADA INDIVIDUALIZADA, EM PVC DN 25 (¾), PARA 4 MEDIDORES  FORNECIMENTO E INSTALAÇÃO (EXCLUSIVE HIDR ÔMETRO). AF_11/2016</t>
  </si>
  <si>
    <t>KIT CAVALETE PARA MEDIÇÃO DE ÁGUA - ENTRADA INDIVIDUALIZADA, EM PVC DN 32 (1), PARA 1 MEDIDOR  FORNECIMENTO E INSTALAÇÃO (EXCLUSIVE HIDRÔM ETRO). AF_11/2016</t>
  </si>
  <si>
    <t>KIT CAVALETE PARA MEDIÇÃO DE ÁGUA - ENTRADA INDIVIDUALIZADA, EM PVC DN 32 (1), PARA 2 MEDIDORES  FORNECIMENTO E INSTALAÇÃO (EXCLUSIVE HIDR ÔMETRO). AF_11/2016</t>
  </si>
  <si>
    <t>KIT CAVALETE PARA MEDIÇÃO DE ÁGUA - ENTRADA INDIVIDUALIZADA, EM PVC DN 32 (1), PARA 3 MEDIDORES  FORNECIMENTO E INSTALAÇÃO (EXCLUSIVE HIDR ÔMETRO). AF_11/2016</t>
  </si>
  <si>
    <t>KIT CAVALETE PARA MEDIÇÃO DE ÁGUA - ENTRADA INDIVIDUALIZADA, EM PVC DN 32 (1), PARA 4 MEDIDORES  FORNECIMENTO E INSTALAÇÃO (EXCLUSIVE HIDR ÔMETRO). AF_11/2016</t>
  </si>
  <si>
    <t>HIDRÔMETRO DN 20 (½), 1,5 M³/H  FORNECIMENTO E INSTALAÇÃO. AF_11/201 6</t>
  </si>
  <si>
    <t>HIDRÔMETRO DN 20 (½), 3,0 M³/H  FORNECIMENTO E INSTALAÇÃO. AF_11/201 6</t>
  </si>
  <si>
    <t>HIDRÔMETRO DN 25 (¾ ), 5,0 M³/H FORNECIMENTO E INSTALAÇÃO. AF_11/2016</t>
  </si>
  <si>
    <t>CAIXA EM CONCRETO PRÉ-MOLDADO PARA ABRIGO DE HIDRÔMETRO COM DN 20 (½) FORNECIMENTO E INSTALAÇÃO. AF_11/2016</t>
  </si>
  <si>
    <t>PASSANTE TIPO PEÇA EM POLIESTIRENO PARA ABERTURA PARA PASSAGEM DE 1 TU BO, FIXADO EM LAJE. AF_05/2015</t>
  </si>
  <si>
    <t>PASSANTE TIPO PEÇA EM POLIESTIRENO PARA ABERTURA PARA PASSAGEM DE MAIS DE 1 TUBO, FIXADO EM LAJE. AF_05/2015</t>
  </si>
  <si>
    <t>FIXAÇÃO UTILIZANDO PARAFUSO E BUCHA DE NYLON, SOMENTE MÃO DE OBRA. AF_ 10/2016</t>
  </si>
  <si>
    <t>MÃO-FRANCESA EM AÇO, ABAS IGUAIS 40 CM, CAPACIDADE MÍNIMA 70 KG, BRANC O  FORNECIMENTO E INSTALAÇÃO. AF_11/2016</t>
  </si>
  <si>
    <t>MÃO-FRANCESA EM AÇO, ABAS IGUAIS 30 CM, CAPACIDADE MÍNIMA 60 KG, BRANC O  FORNECIMENTO E INSTALAÇÃO. AF_11/2016</t>
  </si>
  <si>
    <t>UMIDIFICAÇÃO DE MATERIAL PARA VALAS COM CAMINHÃO PIPA 10000L. AF_11/20 16</t>
  </si>
  <si>
    <t>ALVENARIA DE VEDAÇÃO DE BLOCOS CERÂMICOS FURADOS NA HORIZONTAL DE 11,5 X19X19CM (ESPESSURA 11,5CM) DE PAREDES COM ÁREA LÍQUIDA MENOR QUE 6M² SEM VÃOS E ARGAMASSA DE ASSENTAMENTO COM PREPARO EM BETONEIRA. AF_06/2 014</t>
  </si>
  <si>
    <t>ALVENARIA DE VEDAÇÃO DE BLOCOS CERÂMICOS FURADOS NA HORIZONTAL DE 11,5 X19X19CM (ESPESSURA 11,5CM) DE PAREDES COM ÁREA LÍQUIDA MENOR QUE 6M² SEM VÃOS E ARGAMASSA DE ASSENTAMENTO COM PREPARO MANUAL. AF_06/2014</t>
  </si>
  <si>
    <t>ALVENARIA DE VEDAÇÃO DE BLOCOS CERÂMICOS FURADOS NA HORIZONTAL DE 14X9 X19CM (ESPESSURA 14CM, BLOCO DEITADO) DE PAREDES COM ÁREA LÍQUIDA MENO R QUE 6M² SEM VÃOS E ARGAMASSA DE ASSENTAMENTO COM PREPARO EM BETONEIR A. AF_06/2014</t>
  </si>
  <si>
    <t>ALVENARIA DE VEDAÇÃO DE BLOCOS CERÂMICOS FURADOS NA HORIZONTAL DE 14X9 X19CM (ESPESSURA 14CM, BLOCO DEITADO) DE PAREDES COM ÁREA LÍQUIDA MENO R QUE 6M² SEM VÃOS E ARGAMASSA DE ASSENTAMENTO COM PREPARO MANUAL. AF_ 06/2014</t>
  </si>
  <si>
    <t>ALVENARIA DE VEDAÇÃO DE BLOCOS CERÂMICOS FURADOS NA HORIZONTAL DE 11,5 X19X19CM (ESPESSURA 11,5M) DE PAREDES COM ÁREA LÍQUIDA MAIOR OU IGUAL A 6M² SEM VÃOS E ARGAMASSA DE ASSENTAMENTO COM PREPARO EM BETONEIRA. A F_06/2014</t>
  </si>
  <si>
    <t>ALVENARIA DE VEDAÇÃO DE BLOCOS CERÂMICOS FURADOS NA HORIZONTAL DE 11,5 X19X19CM (ESPESSURA 11,5M) DE PAREDES COM ÁREA LÍQUIDA MAIOR OU IGUAL A 6M² SEM VÃOS E ARGAMASSA DE ASSENTAMENTO COM PREPARO MANUAL. AF_06/2 014</t>
  </si>
  <si>
    <t>ALVENARIA DE VEDAÇÃO DE BLOCOS CERÂMICOS FURADOS NA HORIZONTAL DE 14X9 X19CM (ESPESSURA 14CM, BLOCO DEITADO) DE PAREDES COM ÁREA LÍQUIDA MAIO R OU IGUAL A 6M² SEM VÃOS E ARGAMASSA DE ASSENTAMENTO COM PREPARO EM B ETONEIRA. AF_06/2014</t>
  </si>
  <si>
    <t>ALVENARIA DE VEDAÇÃO DE BLOCOS CERÂMICOS FURADOS NA HORIZONTAL DE 14X9 X19CM (ESPESSURA 14CM, BLOCO DEITADO) DE PAREDES COM ÁREA LÍQUIDA MAIO R OU IGUAL A 6M² SEM VÃOS E ARGAMASSA DE ASSENTAMENTO COM PREPARO MANU AL. AF_06/2014</t>
  </si>
  <si>
    <t>ALVENARIA DE VEDAÇÃO DE BLOCOS CERÂMICOS FURADOS NA HORIZONTAL DE 11,5 X19X19CM (ESPESSURA 11,5CM) DE PAREDES COM ÁREA LÍQUIDA MENOR QUE 6M² COM VÃOS E ARGAMASSA DE ASSENTAMENTO COM PREPARO EM BETONEIRA. AF_06/2 014</t>
  </si>
  <si>
    <t>ALVENARIA DE VEDAÇÃO DE BLOCOS CERÂMICOS FURADOS NA HORIZONTAL DE 11,5 X19X19CM (ESPESSURA 11,5CM) DE PAREDES COM ÁREA LÍQUIDA MENOR QUE 6M² COM VÃOS E ARGAMASSA DE ASSENTAMENTO COM PREPARO MANUAL. AF_06/2014</t>
  </si>
  <si>
    <t>ALVENARIA DE VEDAÇÃO DE BLOCOS CERÂMICOS FURADOS NA HORIZONTAL DE 14X9 X19CM (ESPESSURA 14CM, BLOCO DEITADO) DE PAREDES COM ÁREA LÍQUIDA MENO R QUE 6M² COM VÃOS E ARGAMASSA DE ASSENTAMENTO COM PREPARO EM BETONEIR A. AF_06/2014</t>
  </si>
  <si>
    <t>ALVENARIA DE VEDAÇÃO DE BLOCOS CERÂMICOS FURADOS NA HORIZONTAL DE 14X9 X19CM (ESPESSURA 14CM, BLOCO DEITADO) DE PAREDES COM ÁREA LÍQUIDA MENO R QUE 6M² COM VÃOS E ARGAMASSA DE ASSENTAMENTO COM PREPARO MANUAL. AF_ 06/2014</t>
  </si>
  <si>
    <t>ALVENARIA DE VEDAÇÃO DE BLOCOS CERÂMICOS FURADOS NA HORIZONTAL DE 11,5 X19X19CM (ESPESSURA 11,5CM) DE PAREDES COM ÁREA LÍQUIDA MAIOR OU IGUAL A 6M² COM VÃOS E ARGAMASSA DE ASSENTAMENTO COM PREPARO EM BETONEIRA. AF_06/2014</t>
  </si>
  <si>
    <t>ALVENARIA DE VEDAÇÃO DE BLOCOS CERÂMICOS FURADOS NA HORIZONTAL DE 11,5 X19X19CM (ESPESSURA 11,5CM) DE PAREDES COM ÁREA LÍQUIDA MAIOR OU IGUAL A 6M² COM VÃOS E ARGAMASSA DE ASSENTAMENTO COM PREPARO MANUAL. AF_06/ 2014</t>
  </si>
  <si>
    <t>ALVENARIA DE VEDAÇÃO DE BLOCOS CERÂMICOS FURADOS NA HORIZONTAL DE 14X9 X19CM (ESPESSURA 14CM, BLOCO DEITADO) DE PAREDES COM ÁREA LÍQUIDA MAIO R OU IGUAL A 6M² COM VÃOS E ARGAMASSA DE ASSENTAMENTO COM PREPARO EM B ETONEIRA. AF_06/2014</t>
  </si>
  <si>
    <t>ALVENARIA DE VEDAÇÃO DE BLOCOS CERÂMICOS FURADOS NA HORIZONTAL DE 14X9 X19CM (ESPESSURA 14CM, BLOCO DEITADO) DE PAREDES COM ÁREA LÍQUIDA MAIO R OU IGUAL A 6M² COM VÃOS E ARGAMASSA DE ASSENTAMENTO COM PREPARO MANU AL. AF_06/2014</t>
  </si>
  <si>
    <t>(COMPOSIÇÃO REPRESENTATIVA) DO SERVIÇO DE ALVENARIA DE VEDAÇÃO DE BLOC OS VAZADOS DE CERÂMICA DE 14X9X19CM (ESPESSURA 14CM, BLOCO DEITADO), P ARA EDIFICAÇÃO HABITACIONAL UNIFAMILIAR (CASA) E EDIFICAÇÃO PÚBLICA PA DRÃO. AF_12/2014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</si>
  <si>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</si>
  <si>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</si>
  <si>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 CADA DE EDIFÍCIOS DE MÚLTIPLOS PAVIMENTOS, DUAS DEMÃOS. AF_11/2016</t>
  </si>
  <si>
    <t>APLICAÇÃO MANUAL DE TINTA LÁTEX ACRÍLICA EM SUPERFÍCIES INTERNAS DE SA CADA DE EDIFÍCIOS DE MÚLTIPLOS PAVIMENTOS, DUAS DEMÃOS. AF_11/2016</t>
  </si>
  <si>
    <t>APLICAÇÃO MANUAL DE TINTA LÁTEX ACRÍLICA EM PAREDE EXTERNAS DE CASAS, DUAS DEMÃOS. AF_11/2016</t>
  </si>
  <si>
    <t>EXECUÇÃO DE PASSEIO (CALÇADA) OU PISO DE CONCRETO COM CONCRETO MOLDADO IN LOCO, FEITO EM OBRA, ACABAMENTO CONVENCIONAL, NÃO ARMADO. AF_07/20 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</si>
  <si>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</si>
  <si>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 DO. AF_07/2016</t>
  </si>
  <si>
    <t>EXECUÇÃO DE PASSEIO (CALÇADA) OU PISO DE CONCRETO COM CONCRETO MOLDADO IN LOCO, USINADO, ACABAMENTO CONVENCIONAL, ESPESSURA 6 CM, ARMADO. AF _07/2016</t>
  </si>
  <si>
    <t>EXECUÇÃO DE PASSEIO (CALÇADA) OU PISO DE CONCRETO COM CONCRETO MOLDADO IN LOCO, FEITO EM OBRA, ACABAMENTO CONVENCIONAL, ESPESSURA 8 CM, ARMA DO. AF_07/2016</t>
  </si>
  <si>
    <t>EXECUÇÃO DE PASSEIO (CALÇADA) OU PISO DE CONCRETO COM CONCRETO MOLDADO IN LOCO, USINADO, ACABAMENTO CONVENCIONAL, ESPESSURA 8 CM, ARMADO. AF _07/2016</t>
  </si>
  <si>
    <t>EXECUÇÃO DE PASSEIO (CALÇADA) OU PISO DE CONCRETO COM CONCRETO MOLDADO IN LOCO, FEITO EM OBRA, ACABAMENTO CONVENCIONAL, ESPESSURA 10 CM, ARM ADO. AF_07/2016</t>
  </si>
  <si>
    <t>EXECUÇÃO DE PASSEIO (CALÇADA) OU PISO DE CONCRETO COM CONCRETO MOLDADO IN LOCO, USINADO, ACABAMENTO CONVENCIONAL, ESPESSURA 10 CM, ARMADO. A F_07/2016</t>
  </si>
  <si>
    <t>EXECUÇÃO DE PASSEIO (CALÇADA) OU PISO DE CONCRETO COM CONCRETO MOLDADO IN LOCO, FEITO EM OBRA, ACABAMENTO CONVENCIONAL, ESPESSURA 12 CM, ARM ADO. AF_07/2016</t>
  </si>
  <si>
    <t>EXECUÇÃO DE PASSEIO (CALÇADA) OU PISO DE CONCRETO COM CONCRETO MOLDADO IN LOCO, USINADO, ACABAMENTO CONVENCIONAL, ESPESSURA 12 CM, ARMADO. A F_07/2016</t>
  </si>
  <si>
    <t>ARGAMASSA TRAÇO 1:1,65 (CIMENTO E AREIA MÉDIA), FCK 20 MPA, PREPARO ME CÂNICO COM MISTURADOR DUPLO HORIZONTAL DE ALTA TURBULÊNCIA. AF_11/2016</t>
  </si>
  <si>
    <t>Descrição - TABELA DE INSUMOS (DATA-BASE: 11/16)</t>
  </si>
  <si>
    <t>!EM PROCESSO DE DESATIVACAO! AREIA PARA LEITO FILTRANTE (0,5 A 0,7 MM) - POSTO JAZIDA/FORNECEDOR (RETIRADO NA JAZIDA, SEM TRANSPORTE)</t>
  </si>
  <si>
    <t>!EM PROCESSO DE DESATIVACAO! AREIA PARA LEITO FILTRANTE (0,7 A 1,0 MM) - POSTO JAZIDA/FORNECEDOR (RETIRADA NA JAZIDA, SEM TRANSPORTE)</t>
  </si>
  <si>
    <t>!EM PROCESSO DE DESATIVACAO! CURVA 135 GRAUS, DE PVC RIGIDO ROSCAVEL, DE 1", PARA ELETRODUTO</t>
  </si>
  <si>
    <t>!EM PROCESSO DE DESATIVACAO! ELEMENTO VAZADO DE CONCRETO, QUADRICULADO *40 X 40 X 6* CM</t>
  </si>
  <si>
    <t>!EM PROCESSO DE DESATIVACAO! MAQUINA INVERSORA DE SOLDA ELETRICA MONOFASICA, TENSAO DE 220 V, FREQUENCIA DE 60 HZ, ABERTURA DO ARCO EM ALTA FREQUENCIA, FAIXA DE CORRENTE ENTRE 10 A (+/- 5 A) E 200 A, EFICIENCIA ENTRE 80% E 85%, POTENCIA ENTRE 4,5 KVA E 6,0 KVA, CICLO DE TRABALHO ENTRE 60% E 80% A 200 A (LOCACAO)</t>
  </si>
  <si>
    <t>!EM PROCESSO DE DESATIVACAO! MARTELO DEMOLIDOR PNEUMATICO MANUAL, PESO DE 28 KG, COM SILENCIADOR</t>
  </si>
  <si>
    <t>!EM PROCESSO DE DESATIVACAO! RUFO INTERNO DE CHAPA DE ACO GALVANIZADA NUM 26, CORTE 33 CM</t>
  </si>
  <si>
    <t>!PROCESSO DE DESATIVACAO! PERFIL ESTRUTURAL H, W 150 MM X 37,1 KG/M, ASTM A6/A6M (INCLUSIVE CRAVACAO)</t>
  </si>
  <si>
    <t>!PROCESSO DE DESATIVACAO! PERFIL ESTRUTURAL I, W 250 MM X 32,7 KG/M, ASTM A6/A6M (INCLUSIVE CRAVACAO)</t>
  </si>
  <si>
    <t>!PROCESSO DE DESATIVACAO! PERFIL ESTRUTURAL I, W 310 MM X 52,0 KG/M, ASTM A6/A6M (INCLUSIVE CRAVACAO)</t>
  </si>
  <si>
    <t>!PROCESSO DE DESATIVACAO! TRILHO (TIPO FERROVIA) UTILIZADO PARA ESTACAS EM FUNDACOES PREDIAIS</t>
  </si>
  <si>
    <t>AJUDANTE DE ESTRUTURA METALICA</t>
  </si>
  <si>
    <t>ALCA PREFORMADA DE DISTRIBUICAO, EM ACO GALVANIZADO, PARA CABO DE ALUMINIO DIAMETRO 16 A 25 MM</t>
  </si>
  <si>
    <t>ANEL DE VEDACAO/JUNTA ELASTICA, H = *19* MM, PARA TUBO DE CONCRETO DN 800 MM</t>
  </si>
  <si>
    <t>ANEL DE VEDACAO/JUNTA ELASTICA, H = *19* MM, PARA TUBO DE CONCRETO DN 900 MM</t>
  </si>
  <si>
    <t>AR-CONDICIONADO FRIO SPLIT HI-WALL (PAREDE) 12000 BTU/H</t>
  </si>
  <si>
    <t>AR-CONDICIONADO FRIO SPLIT HI-WALL (PAREDE) 18000 BTU/H</t>
  </si>
  <si>
    <t>AR-CONDICIONADO FRIO SPLIT HI-WALL (PAREDE) 7000 BTU/H</t>
  </si>
  <si>
    <t>AR-CONDICIONADO FRIO SPLIT HI-WALL (PAREDE) 9000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</si>
  <si>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</si>
  <si>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</si>
  <si>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</si>
  <si>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</si>
  <si>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</si>
  <si>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</si>
  <si>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FRIO SPLITAO INVERTER 3OTR</t>
  </si>
  <si>
    <t>AR-CONDICIONADO FRIO SPLITAO MODULAR 1OTR</t>
  </si>
  <si>
    <t>AR-CONDICIONADO FRIO SPLITAO MODULAR 15TR</t>
  </si>
  <si>
    <t>AR-CONDICIONADO FRIO SPLITAO MODULAR 2OTR</t>
  </si>
  <si>
    <t>AR-CONDICIONADO QUENTE/FRIO SPLIT CASSETE (TETO)  4 VIAS 24000BTU/H</t>
  </si>
  <si>
    <t>AR-CONDICIONADO QUENTE/FRIO SPLIT CASSETE (TETO)  4 VIAS 30000BTU/H</t>
  </si>
  <si>
    <t>AR-CONDICIONADO QUENTE/FRIO SPLIT CASSETE (TETO)  4 VIAS 36000BTU/H</t>
  </si>
  <si>
    <t>AR-CONDICIONADO QUENTE/FRIO SPLIT CASSETE (TETO)  4 VIAS 48000BTU/H</t>
  </si>
  <si>
    <t>AR-CONDICIONADO QUENTE/FRIO SPLIT CASSETE (TETO)  4 VIAS 60000BTU/H</t>
  </si>
  <si>
    <t>AR-CONDICIONADO QUENTE/FRIO SPLIT CASSETE (TETO) 4 VIAS 18000BTU/H</t>
  </si>
  <si>
    <t>AR-CONDICIONADO QUENTE/FRIO SPLIT HI-WALL (PAREDE) 12000BTU/H</t>
  </si>
  <si>
    <t>AR-CONDICIONADO QUENTE/FRIO SPLIT HI-WALL (PAREDE) 18000BTU/H</t>
  </si>
  <si>
    <t>AR-CONDICIONADO QUENTE/FRIO SPLIT HI-WALL (PAREDE) 24000BTU/H</t>
  </si>
  <si>
    <t>AR-CONDICIONADO QUENTE/FRIO SPLIT HI-WALL (PAREDE) 7000BTU/H</t>
  </si>
  <si>
    <t>AR-CONDICIONADO QUENTE/FRIO SPLIT HI-WALL (PAREDE) 9000BTU/H</t>
  </si>
  <si>
    <t>AR-CONDICIONADO QUENTE/FRIO SPLIT PISO-TETO 24000 BTU/H</t>
  </si>
  <si>
    <t>AUXILIAR DE CARPINTEIRO</t>
  </si>
  <si>
    <t>BARRA DE APOIO LAVATORIO, EM ACO INOX POLIDO, *40 X 50* CM,  DIAMETRO MINIMO 3 CM</t>
  </si>
  <si>
    <t>BARRA DE FERRO RETANGULAR, BARRA CHATA (QUALQUER DIMENSAO)</t>
  </si>
  <si>
    <t>BARRA DE FERRO RETANGULAR, BARRA CHATA, 3/4" X 1/4" (L X E)</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</si>
  <si>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</si>
  <si>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</si>
  <si>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</si>
  <si>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</si>
  <si>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PORTAL/ADUELA/ MARCO MACICO, E= *3* CM, L= *15* CM, *60 CM A 120* CM  X *210* CM,  EM CEDRINHO/ ANGELIM COMERCIAL/  EUCALIPTO/ CURUPIXA/ PEROBA/ CUMARU OU EQUIVALENTE DA REGIAO (NAO INCLUI ALIZARES)</t>
  </si>
  <si>
    <t>BLOCO CERAMICO DE VEDACAO COM FUROS NA VERTICAL, 19 X 19 X 39 CM - 4,5 MPA (NBR 15270)</t>
  </si>
  <si>
    <t>BLOCO VEDACAO CONCRETO APARENTE 14 X 19 X 39 CM (CLASSE D - NBR 6136)</t>
  </si>
  <si>
    <t>BLOCO VEDACAO CONCRETO APARENTE 19 X 19 X 39 CM  (CLASSE D - NBR 6136)</t>
  </si>
  <si>
    <t>BLOCO VEDACAO CONCRETO APARENTE 9 X 19 X 39 CM (CLASSE D - NBR 6136)</t>
  </si>
  <si>
    <t>BOMBA SUBMERSIVEL, ELETRICA, TRIFASICA, POTENCIA 1,97 HP, DIAMETRO DO ROTOR 144 MM SEMIABERTO, BOCAL DE SAIDA DIAMETRO DE 2 POLEGADAS, HM/Q = 2 M / 26,8 M3/H A 28 M / 4,6 M3/H</t>
  </si>
  <si>
    <t>CABECEIRA DIREITA OU ESQUERDA, PVC, PARA CALHA PLUVIAL, DIAMETRO ENTRE 119 E 170 MM, PARA DRENAGEM PREDIAL</t>
  </si>
  <si>
    <t>CABO DE COBRE RIGIDO, CLASSE 2, ISOLACAO EM PVC, ANTI-CHAMA BWF-B, 1 CONDUTOR, 450/750 V, DIAMETRO 120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</si>
  <si>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</si>
  <si>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</si>
  <si>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</si>
  <si>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</si>
  <si>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</si>
  <si>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</si>
  <si>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</si>
  <si>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</si>
  <si>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</si>
  <si>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</si>
  <si>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</si>
  <si>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185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</si>
  <si>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</si>
  <si>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</si>
  <si>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</si>
  <si>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</si>
  <si>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</si>
  <si>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</si>
  <si>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</si>
  <si>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</si>
  <si>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</si>
  <si>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</si>
  <si>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</si>
  <si>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</si>
  <si>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</si>
  <si>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</si>
  <si>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</si>
  <si>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</si>
  <si>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</si>
  <si>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</si>
  <si>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</si>
  <si>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</si>
  <si>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</si>
  <si>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</si>
  <si>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</si>
  <si>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</si>
  <si>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</si>
  <si>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</si>
  <si>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</si>
  <si>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</si>
  <si>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</si>
  <si>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</si>
  <si>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</si>
  <si>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</si>
  <si>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</si>
  <si>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</si>
  <si>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</si>
  <si>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</si>
  <si>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</si>
  <si>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</si>
  <si>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</si>
  <si>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</si>
  <si>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</si>
  <si>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INTERNA/EXTERNA DE MEDICAO PARA 1 MEDIDOR MONOFASICO, COM VISOR, EM CHAPA DE ACO 18 USG (PADRAO DA CONCESSIONARIA LOCAL)</t>
  </si>
  <si>
    <t>CAIXA PARA MEDICAO COLETIVA TIPO K, PADRAO BIFASICO OU TRIFASICO, PARA ATE 2 MEDIDORES (PADRAO DA CONCESSIONARIA LOCAL)</t>
  </si>
  <si>
    <t>CAMPAINHA ALTA POTENCIA 110V / 220V, DIAMETRO 150 MM</t>
  </si>
  <si>
    <t>CAMPAINHA CIGARRA 127 V / 220 V (APENAS MODULO)</t>
  </si>
  <si>
    <t>CAMPAINHA CIGARRA 127 V / 220 V, CONJUNTO MONTADO PARA EMBUTIR 4" X 2" (PLACA + SUPORTE + MODULO)</t>
  </si>
  <si>
    <t>CANTONEIRA ACO ABAS IGUAIS (QUALQUER BITOLA), ESPESSURA ENTRE 1/8" E 1/4"</t>
  </si>
  <si>
    <t>CARROCERIA FIXA ABERTA DE MADEIRA PARA TRANSPORTE GERAL DE CARGA SECA DIMENSOES APROXIMADAS 2,5 X 6,5 X 0,50 M (INCLUI MONTAGEM, NAO INCLUI CAMINHAO)</t>
  </si>
  <si>
    <t>CHAPA DE ACO CARBONO LAMINADO A QUENTE, QUALIDADE ESTRUTURAL, BITOLA 3/16", E =4,75 MM (37,29 KG/M2)</t>
  </si>
  <si>
    <t>CHAPA DE ACO GROSSA, SAE 1020, BITOLA 1/4", E = 6,35 MM (49,85 KG/M2)</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</si>
  <si>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</si>
  <si>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</si>
  <si>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</si>
  <si>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PARA EMENDA DE VIGA, EM ACO GROSSO, QUALIDADE ESTRUTURAL, BITOLA 3/16, E=4,75 MM, 4 FUROS, LARGURA 45 MM, COMPRIMENTO 500 MM</t>
  </si>
  <si>
    <t>CHAPA RIGIDA DE FIBRAS DE MADEIRA PRENSADA A QUENTE, LISA, DE *1,22 X 2,44* M,  E = 2,5 MM</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</si>
  <si>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</si>
  <si>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</si>
  <si>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</si>
  <si>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</si>
  <si>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</si>
  <si>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</si>
  <si>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</si>
  <si>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</si>
  <si>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</si>
  <si>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</si>
  <si>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</si>
  <si>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CONECTOR DE ALUMINIO TIPO PRENSA CABO, BITOLA 1", PARA CABOS DE DIAMETRO DE 22,5 A 25 MM CONECTOR DE ALUMINIO TIPO PRENSA CABO, BITOLA 1", PARA CABOS DE DIAMETRO DE</t>
  </si>
  <si>
    <t>CONTAINER ALMOXARIFADO, DE *2,40* X *6,00* M, PADRAO SIMPLES, SEM REVESTIMENTO E SEM DIVISORIAS INTERNOS E SEM SANITARIO, PARA USO EM CANTEIRO DE OBRAS</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</si>
  <si>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</si>
  <si>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</si>
  <si>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</si>
  <si>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</si>
  <si>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</si>
  <si>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</si>
  <si>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</si>
  <si>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</si>
  <si>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CUMEEIRA ARTICULADA (ABA INTERNA INFERIOR OU EXTERNA SUPERIOR) PARA TELHA ESTRUTURAL DE FIBROCIMENTO, 1 ABA, E = 6 MM (SEM AMIANTO)</t>
  </si>
  <si>
    <t>CURVA METALICA 135 GRAUS, PARA ELETRODUTO, ACABAMENTO GALVANIZADO ELETROLITICO, DIAMETRO DE 100 MM (4")</t>
  </si>
  <si>
    <t>CURVA METALICA 135 GRAUS, PARA ELETRODUTO, ACABAMENTO GALVANIZADO ELETROLITICO, DIAMETRO DE 15 MM (1/2")</t>
  </si>
  <si>
    <t>CURVA METALICA 135 GRAUS, PARA ELETRODUTO, ACABAMENTO GALVANIZADO ELETROLITICO, DIAMETRO DE 20 MM (3/4")</t>
  </si>
  <si>
    <t>CURVA METALICA 135 GRAUS, PARA ELETRODUTO, ACABAMENTO GALVANIZADO ELETROLITICO, DIAMETRO DE 25 MM (1")</t>
  </si>
  <si>
    <t>CURVA METALICA 135 GRAUS, PARA ELETRODUTO, ACABAMENTO GALVANIZADO ELETROLITICO, DIAMETRO DE 32 MM (1 1/4")</t>
  </si>
  <si>
    <t>CURVA METALICA 135 GRAUS, PARA ELETRODUTO, ACABAMENTO GALVANIZADO ELETROLITICO, DIAMETRO DE 40 MM (1 1/2")</t>
  </si>
  <si>
    <t>CURVA METALICA 135 GRAUS, PARA ELETRODUTO, ACABAMENTO GALVANIZADO ELETROLITICO, DIAMETRO DE 50 MM (2")</t>
  </si>
  <si>
    <t>CURVA METALICA 135 GRAUS, PARA ELETRODUTO, ACABAMENTO GALVANIZADO ELETROLITICO, DIAMETRO DE 65 MM (2 1/2")</t>
  </si>
  <si>
    <t>CURVA METALICA 135 GRAUS, PARA ELETRODUTO, ACABAMENTO GALVANIZADO ELETROLITICO, DIAMETRO DE 80 MM (3")</t>
  </si>
  <si>
    <t>CURVA METALICA 45 GRAUS, PARA ELETRODUTO, ACABAMENTO GALVANIZADO ELETROLITICO, DIAMETRO DE 100 MM (4")</t>
  </si>
  <si>
    <t>CURVA METALICA 45 GRAUS, PARA ELETRODUTO, ACABAMENTO GALVANIZADO ELETROLITICO, DIAMETRO DE 15 MM (1/2")</t>
  </si>
  <si>
    <t>CURVA METALICA 45 GRAUS, PARA ELETRODUTO, ACABAMENTO GALVANIZADO ELETROLITICO, DIAMETRO DE 20 MM (3/4")</t>
  </si>
  <si>
    <t>CURVA METALICA 45 GRAUS, PARA ELETRODUTO, ACABAMENTO GALVANIZADO ELETROLITICO, DIAMETRO DE 25 MM (1")</t>
  </si>
  <si>
    <t>CURVA METALICA 45 GRAUS, PARA ELETRODUTO, ACABAMENTO GALVANIZADO ELETROLITICO, DIAMETRO DE 40 MM (1 1/2")</t>
  </si>
  <si>
    <t>CURVA METALICA 45 GRAUS, PARA ELETRODUTO, ACABAMENTO GALVANIZADO ELETROLITICO, DIAMETRO DE 50 MM (2")</t>
  </si>
  <si>
    <t>CURVA METALICA 45 GRAUS, PARA ELETRODUTO, ACABAMENTO GALVANIZADO ELETROLITICO, DIAMETRO DE 65 MM (2 1/2")</t>
  </si>
  <si>
    <t>CURVA METALICA 45 GRAUS, PARA ELETRODUTO, ACABAMENTO GALVANIZADO ELETROLITICO, DIAMETRO DE 80 MM (3")</t>
  </si>
  <si>
    <t>CURVA METALICA 90 GRAUS, PARA ELETRODUTO, ACABAMENTO GALVANIZADO ELETROLITICO, DIAMETRO DE 100 MM (4")</t>
  </si>
  <si>
    <t>CURVA METALICA 90 GRAUS, PARA ELETRODUTO, ACABAMENTO GALVANIZADO ELETROLITICO, DIAMETRO DE 15 MM (1/2")</t>
  </si>
  <si>
    <t>CURVA METALICA 90 GRAUS, PARA ELETRODUTO, ACABAMENTO GALVANIZADO ELETROLITICO, DIAMETRO DE 20 MM (3/4")</t>
  </si>
  <si>
    <t>CURVA METALICA 90 GRAUS, PARA ELETRODUTO, ACABAMENTO GALVANIZADO ELETROLITICO, DIAMETRO DE 25 MM (1")</t>
  </si>
  <si>
    <t>CURVA METALICA 90 GRAUS, PARA ELETRODUTO, ACABAMENTO GALVANIZADO ELETROLITICO, DIAMETRO DE 32 MM (1 1/4")</t>
  </si>
  <si>
    <t>CURVA METALICA 90 GRAUS, PARA ELETRODUTO, ACABAMENTO GALVANIZADO ELETROLITICO, DIAMETRO DE 40 MM (1 1/2")</t>
  </si>
  <si>
    <t>CURVA METALICA 90 GRAUS, PARA ELETRODUTO, ACABAMENTO GALVANIZADO ELETROLITICO, DIAMETRO DE 50 MM (2")</t>
  </si>
  <si>
    <t>CURVA METALICA 90 GRAUS, PARA ELETRODUTO, ACABAMENTO GALVANIZADO ELETROLITICO, DIAMETRO DE 65 MM (2 1/2")</t>
  </si>
  <si>
    <t>CURVA METALICA 90 GRAUS, PARA ELETRODUTO, ACABAMENTO GALVANIZADO ELETROLITICO, DIAMETRO DE 80 MM (3")</t>
  </si>
  <si>
    <t>CURVA 90 GRAUS DE FERRO GALVANIZADO, COM ROSCA BSP FEMEA, DE 1 1/2"</t>
  </si>
  <si>
    <t>DISPOSITIVO DPS CLASSE II, 1 POLO, TENSAO MAXIMA DE 385 V, CORRENTE MAXIMA DE *20* KA (TIPO AC)</t>
  </si>
  <si>
    <t>DOBRADEIRA ELETROMECANICA DE VERGALHAO, PARA ACO DE DIAMETRO ATE 1 1/2"Â, MOTOR ELETRICO TRIFASICO, POTENCIA DE 3 HP ATE 5 HP</t>
  </si>
  <si>
    <t>ELETRODO REVESTIDO AWS - E-6010, DIAMETRO IGUAL A 4,00 MM</t>
  </si>
  <si>
    <t>ELETRODO REVESTIDO AWS - E6013, DIAMETRO IGUAL A 2,50 MM</t>
  </si>
  <si>
    <t>ELETRODO REVESTIDO AWS - E6013, DIAMETRO IGUAL A 4,00 MM</t>
  </si>
  <si>
    <t>ELETRODO REVESTIDO AWS - E7018, DIAMETRO IGUAL A 4,00 MM</t>
  </si>
  <si>
    <t>ELETRODUTO METALICO FLEXIVEL REVESTIDO COM PVC PRETO, DIAMETRO EXTERNO DE 15 MM (3/8"), TIPO COPEX</t>
  </si>
  <si>
    <t>ELETRODUTO METALICO FLEXIVEL REVESTIDO EXTERNAMENTE COM PVC PRETO, DIAMETRO EXTERNO DE 25 MM (3/4"), TIPO SEALTUBO</t>
  </si>
  <si>
    <t>ELETRODUTO METALICO FLEXIVEL REVESTIDO EXTERNAMENTE COM PVC PRETO, DIAMETRO EXTERNO DE 32 MM (1"), TIPO SEALTUBO</t>
  </si>
  <si>
    <t>ELETRODUTO METALICO FLEXIVEL REVESTIDO EXTERNAMENTE COM PVC PRETO, DIAMETRO EXTERNO DE 40 MM (1 1/4"), TIPO SEALTUBO</t>
  </si>
  <si>
    <t>ELETRODUTO METALICO FLEXIVEL REVESTIDO EXTERNAMENTE COM PVC PRETO, DIAMETRO EXTERNO DE 50 MM( 1 1/2"), TIPO SEALTUBO</t>
  </si>
  <si>
    <t>ELETRODUTO METALICO FLEXIVEL REVESTIDO EXTERNAMENTE COM PVC PRETO, DIAMETRO EXTERNO DE 60 MM (2"), TIPO SEALTUBO</t>
  </si>
  <si>
    <t>ELETRODUTO METALICO FLEXIVEL REVESTIDO EXTERNAMENTE COM PVC PRETO, DIAMETRO EXTERNO DE 75 MM (2 1/2"), TIPO SEALTUBO</t>
  </si>
  <si>
    <t>ELETRODUTO METALICO FLEXIVEL TIPO CONDUITE, DIAMETRO DE 1 1/2"</t>
  </si>
  <si>
    <t>ELETRODUTO METALICO FLEXIVEL TIPO CONDUITE, DIAMETRO DE 1 1/4"</t>
  </si>
  <si>
    <t>ELETRODUTO METALICO FLEXIVEL TIPO CONDUITE, DIAMETRO DE 1/2"</t>
  </si>
  <si>
    <t>ELETRODUTO METALICO FLEXIVEL TIPO CONDUITE, DIAMETRO DE 1"</t>
  </si>
  <si>
    <t>ELETRODUTO METALICO FLEXIVEL TIPO CONDUITE, DIAMETRO DE 2 1/2"</t>
  </si>
  <si>
    <t>ELETRODUTO METALICO FLEXIVEL TIPO CONDUITE, DIAMETRO DE 2"</t>
  </si>
  <si>
    <t>ELETRODUTO METALICO FLEXIVEL TIPO CONDUITE, DIAMETRO DE 3"</t>
  </si>
  <si>
    <t>ELETRODUTO METALICO, EM ACABAMENTO GALVANIZADO ELETROLITICO LEVE, DIAMETRO 1/2", PAREDE DE 0,90 MM</t>
  </si>
  <si>
    <t>ELETRODUTO METALICO, EM ACABAMENTO GALVANIZADO ELETROLITICO LEVE, DIAMETRO 1", PAREDE DE 0,90 MM</t>
  </si>
  <si>
    <t>ELETRODUTO METALICO, EM ACABAMENTO GALVANIZADO ELETROLITICO LEVE, DIAMETRO 3/4", PAREDE DE 0,90 MM</t>
  </si>
  <si>
    <t>ELETRODUTO METALICO, EM ACABAMENTO GALVANIZADO ELETROLITICO PESADO, DIAMETRO 4", PAREDE DE 2,25 MM</t>
  </si>
  <si>
    <t>ELETRODUTO METALICO, EM ACABAMENTO GALVANIZADO ELETROLITICO SEMI-PESADO, DIAMETRO 1 1/2", PAREDE DE 1,20 MM</t>
  </si>
  <si>
    <t>ELETRODUTO METALICO, EM ACABAMENTO GALVANIZADO ELETROLITICO SEMI-PESADO, DIAMETRO 1 1/4", PAREDE DE 1,20 MM</t>
  </si>
  <si>
    <t>ELETRODUTO METALICO, EM ACABAMENTO GALVANIZADO ELETROLITICO SEMI-PESADO, DIAMETRO 2 1/2", PAREDE DE 1,52 MM</t>
  </si>
  <si>
    <t>ELETRODUTO METALICO, EM ACABAMENTO GALVANIZADO ELETROLITICO SEMI-PESADO, DIAMETRO 2", PAREDE DE 1,20 MM</t>
  </si>
  <si>
    <t>ELETRODUTO METALICO, EM ACABAMENTO GALVANIZADO ELETROLITICO SEMI-PESADO, DIAMETRO 3", PAREDE DE 1,52 MM</t>
  </si>
  <si>
    <t>EMPILHADEIRA SOBRE PNEUS COM TORRE DE TRES ESTAGIOS, 4,80M DE ELEVACAO, C/ DESLOCADOR LATERAL DOS GARFOS, MOTOR GLP 4.3L, CAPACIDADE NOMINAL DE CARGA</t>
  </si>
  <si>
    <t>ESCAVADEIRA HIDRAULICA SOBRE ESTEIRAS, CAPACIDADE DA CACAMBA ENTRE 1,20 E 1,50 M3, PESO OPERACIONAL ENTRE 20,00 E 22,00 TON, POTENCIA LIQUIDA ENTRE 150 E 155 HP, EQUIPADA COM CLAMSHELL</t>
  </si>
  <si>
    <t>ESMERILHADEIRA ANGULAR ELETRICA, DIAMETRO DO DISCO 7 '' (180 MM), ROTACAO 8500 RPM, POTENCIA 2400 W</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</si>
  <si>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</si>
  <si>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</si>
  <si>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</si>
  <si>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</si>
  <si>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</si>
  <si>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</si>
  <si>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</si>
  <si>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</si>
  <si>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ESQUADRO INTERNO OU EXTERNO PARA CALHA PLUVIAL, PVC, DIAMETRO ENTRE 119 E 170 MM, PARA DRENAGEM PREDIAL</t>
  </si>
  <si>
    <t>ESTACA PRE-MOLDADA MACICA DE CONCRETO VIBRADO ARMADO, PARA CARGA DE 25 T, SECAO QUADRADA DE *16 X 16*, COM ANEL METALICO INCORPORADO A PECA (SOMENTE FORNECIMENTO)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</si>
  <si>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</si>
  <si>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</si>
  <si>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</si>
  <si>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</si>
  <si>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</si>
  <si>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</si>
  <si>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LATAO CROMADO, 40 CM, PARA PORTAS E JANELAS - INCLUI PARAFUSOS</t>
  </si>
  <si>
    <t>FERROLHO / FECHO CHATO, DE SOBREPOR, EM FERRO ZINCADO, REFORCADO, 5", COM PORTA CADEADO, PARA PORTAO, PORTA E JANELA - INCLUI PARAFUSOS</t>
  </si>
  <si>
    <t>FERROLHO / FECHO CHATO, DE SOBREPOR, EM FERRO ZINCADO, REFORCADO, 6", COM PORTA CADEADO, PARA PORTAO, PORTA E JANELA - INCLUI PARAFUSOS</t>
  </si>
  <si>
    <t>FIO DE COBRE, SOLIDO, CLASSE 1, ISOLACAO EM PVC/A, ANTICHAMA BWF-B, 450/750V, SECAO NOMINAL 1,5 MM2</t>
  </si>
  <si>
    <t>FIO DE COBRE, SOLIDO, CLASSE 1, ISOLACAO EM PVC/A, ANTICHAMA BWF-B, 450/750V, SECAO NOMINAL 10 MM2</t>
  </si>
  <si>
    <t>FIO TELEFONICO EXTERNO (FE) EM AÃO COBREADO, ISOLACAO EM PEAD OU PVC ANTI- CHAMA, 2 CONDUTORES</t>
  </si>
  <si>
    <t>FIO TELEFONICO INTERNO (FI) EM COBRE ESTANHADO, ISOLACAO EM PVC ANTICHAMA, 2 CONDUTORES DE 0,6 MM (NBR 9115:2005)</t>
  </si>
  <si>
    <t>FUSIVEL NH *36* A 80 AMPERES, TAMANHO 00, CAPACIDADE DE INTERRUPCAO DE 120 KA, TENSAO NOMIMNAL DE 500 V</t>
  </si>
  <si>
    <t>FUSIVEL NH 200 A 250 AMPERES, TAMANHO 1, CAPACIDADE DE INTERRUPCAO DE 120 KA, TENSAO NOMIMNAL DE 500 V</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</si>
  <si>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</si>
  <si>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</si>
  <si>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</si>
  <si>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</si>
  <si>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</si>
  <si>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FIO DE 2,7 MM, DIMENSOES 2,0 X 1,0 X 1,0 M (C X L X A)</t>
  </si>
  <si>
    <t>GABIAO TIPO CAIXA, MALHA HEXAGONAL 8 X 10 CM (ZN/AL), FIO DE 2,7 MM, DIMENSOES 5,0 X 1,0 X 0,5 M (C X L X A)</t>
  </si>
  <si>
    <t>GABIAO TIPO CAIXA, MALHA HEXAGONAL 8 X 10 CM (ZN/AL), FIO DE 2,7 MM, DIMENSOES 5,0 X 1,0 X 1,0 M (C X L X A)</t>
  </si>
  <si>
    <t>GESSO EM PO PARA REVESTIMENTOS/MOLDURAS/SANCAS</t>
  </si>
  <si>
    <t>GRAMA ESMERALDA OU SAO CARLOS OU CURITIBANA, EM PLACAS, SEM PLANTIO</t>
  </si>
  <si>
    <t>GRANALHA DE ACO, ANGULAR (GRIT), PARA JATEAMENTO, PENEIRA 0,117 A 1,00 MM, (SAE G- 40 A G-80)</t>
  </si>
  <si>
    <t>GRANALHA DE ACO, ESFERICA (SHOT), PARA JATEAMENTO, PENEIRA 0,40 A 1,00 MM (SAE S- 170 A S-280)</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</si>
  <si>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</si>
  <si>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</si>
  <si>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</si>
  <si>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</si>
  <si>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</si>
  <si>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</si>
  <si>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</si>
  <si>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</si>
  <si>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</si>
  <si>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</si>
  <si>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</si>
  <si>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</si>
  <si>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</si>
  <si>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</si>
  <si>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</si>
  <si>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</si>
  <si>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MAXIM AR EM MADEIRA CEDRINHO/ ANGELIM COMERCIAL/ CURUPIXA/ CUMARU OU EQUIVALENTE DA REGIAO, CAIXA DO BATENTE/MARCO *10* CM, 1 FOLHA  PARA VIDRO, COM GUARNICAO/ALIZAR, COM FERRAGENS, (SEM VIDRO E SEM ACABAMENTO)</t>
  </si>
  <si>
    <t>JUNCAO DUPLA, PVC SOLDAVEL, DN 75 X 75 X 75 MM , SERIE NORMAL PARA ESGOTO PREDIAL JUNCAO DUPLA, PVC SOLDAVEL, DN 75 X 75 X 75 MM , SERIE NORMAL PARA ESGOTO</t>
  </si>
  <si>
    <t>JUNCAO, PVC, 45 GRAUS, JE, BBB, DN 300 MM, PARA REDE COLETORA DE ESGOTO (NBR 10569)</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</si>
  <si>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</si>
  <si>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</si>
  <si>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</si>
  <si>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</si>
  <si>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</si>
  <si>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</si>
  <si>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</si>
  <si>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</si>
  <si>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</si>
  <si>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</si>
  <si>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</si>
  <si>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</si>
  <si>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</si>
  <si>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</si>
  <si>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</si>
  <si>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 KIT PORTA PRONTA DE MADEIRA, FOLHA MEDIA (NBR 15930) DE 90 X 210 CM, E = 35 MM,</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</si>
  <si>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</si>
  <si>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</si>
  <si>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</si>
  <si>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</si>
  <si>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</si>
  <si>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TATIL ALERTA OU DIRECIONAL, AMARELO</t>
  </si>
  <si>
    <t>LAMPADA FLUORESCENTE TUBULAR T10, DE 20 OU 40 W, BIVOLT</t>
  </si>
  <si>
    <t>LAVADORA DE ALTA PRESSAO (LAVA-JATO) PARA AGUA FRIA, PRESSAO DE OPERACAO ENTRE 1400 E 1900 LIB/POL2, VAZAO MAXIMA ENTRE  400 E 700 L/H</t>
  </si>
  <si>
    <t>LOCACAO DE BARRA DE ANCORAGEM DE 0,80 A 1,20 M DE EXTENSAO, COM ROSCA DE 5/8", INCLUINDO PORCA E FLANGE</t>
  </si>
  <si>
    <t>LUVA DE REDUCAO DE FERRO GALVANIZADO, COM ROSCA BSP MACHO/FEMEA, DE 1" X 3/4"</t>
  </si>
  <si>
    <t>LUVA METALICA, PARA ELETRODUTO, ACABAMENTO GALVANIZADO ELETROLITICO, DIAMETRO DE 100 MM (4")</t>
  </si>
  <si>
    <t>LUVA METALICA, PARA ELETRODUTO, ACABAMENTO GALVANIZADO ELETROLITICO, DIAMETRO DE 15 MM (1/2")</t>
  </si>
  <si>
    <t>LUVA METALICA, PARA ELETRODUTO, ACABAMENTO GALVANIZADO ELETROLITICO, DIAMETRO DE 20 MM (3/4")</t>
  </si>
  <si>
    <t>LUVA METALICA, PARA ELETRODUTO, ACABAMENTO GALVANIZADO ELETROLITICO, DIAMETRO DE 25 MM (1")</t>
  </si>
  <si>
    <t>LUVA METALICA, PARA ELETRODUTO, ACABAMENTO GALVANIZADO ELETROLITICO, DIAMETRO DE 32 MM (1 1/4")</t>
  </si>
  <si>
    <t>LUVA METALICA, PARA ELETRODUTO, ACABAMENTO GALVANIZADO ELETROLITICO, DIAMETRO DE 40 MM (1 1/2")</t>
  </si>
  <si>
    <t>LUVA METALICA, PARA ELETRODUTO, ACABAMENTO GALVANIZADO ELETROLITICO, DIAMETRO DE 50 MM (2")</t>
  </si>
  <si>
    <t>LUVA METALICA, PARA ELETRODUTO, ACABAMENTO GALVANIZADO ELETROLITICO, DIAMETRO DE 65 MM (2 1/2")</t>
  </si>
  <si>
    <t>LUVA METALICA, PARA ELETRODUTO, ACABAMENTO GALVANIZADO ELETROLITICO, DIAMETRO DE 80 MM (3")</t>
  </si>
  <si>
    <t>MANGUEIRA CRISTAL TRANCADA, PVC COM REFORCO, PRESSAO DE TRABALHO (PT) 250 LBS/POL2, DE 1" X *3,4* MM</t>
  </si>
  <si>
    <t>MAQUINA REBOCAVEL DEMARCADORA DE FAIXA DE TRAFEGO A FRIO, COM CAPACIDADE DE 120 A 240 L</t>
  </si>
  <si>
    <t>MARTELO DEMOLIDOR ELETRICO, COM POTENCIA DE 2.000 W, FREQUENCIA DE 1.000 IMPACTOS POR MINUTO, FORÇA DE IMPACTO ENTRE 60 E 65 J, PESO DE 30 KG</t>
  </si>
  <si>
    <t>MARTELO DEMOLIDOR PNEUMATICO MANUAL, PESO  DE 28 KG, COM SILENCIADOR</t>
  </si>
  <si>
    <t>MATERIAL FILTRANTE (PEDREGULHO) 0,6 A 25,46 MM (POSTO PEDREIRA/FORNECEDOR, SEM FRETE)</t>
  </si>
  <si>
    <t>MONTADOR ELETROMECANICO</t>
  </si>
  <si>
    <t>MOTONIVELADORA POTENCIA BASICA LIQUIDA (PRIMEIRA MARCHA) 125 HP , PESO BRUTO 13843 KG, LARGURA DA LAMINA DE 3,7 M</t>
  </si>
  <si>
    <t>MOTORISTA DE CAMINHAO BASCULANTE</t>
  </si>
  <si>
    <t>MOTORISTA DE CAMINHAO E CARRETA</t>
  </si>
  <si>
    <t>OPERADOR DE MAQUINAS E EQUIPAMENTOS</t>
  </si>
  <si>
    <t>OPERADOR DE MOTO-ESCREIPER</t>
  </si>
  <si>
    <t>OPERADOR DE TRATOR</t>
  </si>
  <si>
    <t>PA CARREGADEIRA SOBRE RODAS, POTENCIA BRUTA *127* CV, CAPACIDADE DA CACAMBA DE 2,0 A 2,4 M3, PESO OPERACIONAL DE 10330 KG PA CARREGADEIRA SOBRE RODAS, POTENCIA BRUTA *127* CV, CAPACIDADE DA CACAMBA</t>
  </si>
  <si>
    <t>PARAFUSO FRANCES METRICO ZINCADO, DIAMETRO 12 MM, COMPRIMENTO 150 MM, COM PORCA SEXTAVADA E ARRUELA DE PRESSAO MEDIA</t>
  </si>
  <si>
    <t>PARAFUSO ZINCADO, AUTOBROCANTE, FLANGEADO, 4,2 X 19"</t>
  </si>
  <si>
    <t>PARAFUSO, ASTM A307 - GRAU A, SEXTAVADO, ZINCADO, DIAMETRO 3/8 X 1 (9,52 MM X 25,4 MM)</t>
  </si>
  <si>
    <t>PARAFUSO, AUTO ATARRACHANTE, CABECA CHATA, FENDA SIMPLES, 1/4 (6,35 MM) X 25 MM</t>
  </si>
  <si>
    <t>PARAFUSO, COMUM, ASTM A307, SEXTAVADO, DIAMETRO 1/2 (12,7 MM)</t>
  </si>
  <si>
    <t>PEDRA PORTUGUESA  OU PETIT PAVE, BRANCA OU PRETA</t>
  </si>
  <si>
    <t>PENDURAL OU PRESILHA REGULADORA, EM ACO GALVANIZADO, COM CORPO, MOLA E REBITE, PARA PERFIL TIPO CANALETA DE ESTRUTURA EM FORROS DRYWALL</t>
  </si>
  <si>
    <t>PENDURAL OU REGULADOR, COM MOLA, EM ACO GALVANIZADO, PARA PERFIL TIPO T CLICADO DE FORROS REMOVIVEL</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</si>
  <si>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</si>
  <si>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</si>
  <si>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</si>
  <si>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</si>
  <si>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</si>
  <si>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</si>
  <si>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</si>
  <si>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</si>
  <si>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</si>
  <si>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</si>
  <si>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</si>
  <si>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</si>
  <si>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</si>
  <si>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</si>
  <si>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</si>
  <si>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PERFILADO PERFURADO DUPLO 38 X 76 MM, CHAPA 22</t>
  </si>
  <si>
    <t>PERFILADO PERFURADO SIMPLES 38 X 38 MM, CHAPA 22</t>
  </si>
  <si>
    <t>PERFILADO PERFURADO 19 X 38 MM, CHAPA 22</t>
  </si>
  <si>
    <t>PERFURATRIZ MANUAL, TORQUE MAXIMO 83 N.M, POTENCIA 5 CV, COM DIAMETRO MAXIMO 4", PARA SOLO GRAMPEADO (INCLUI SUPORTE OU CHASSI TIPO MESA)</t>
  </si>
  <si>
    <t>PINGADEIRA PLASTICA PARA TELHA DE FIBROCIMENTO CANALETE 49/KALHETA OU CANALETE 90/KALHETAO</t>
  </si>
  <si>
    <t>PISO DE BORRACHA FRISADO OU PASTILHADO, PRETO, EM PLACAS 50 X 50 CM, E = 7 MM, PARA ARGAMASSA</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</si>
  <si>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</si>
  <si>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</si>
  <si>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</si>
  <si>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</si>
  <si>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</si>
  <si>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</si>
  <si>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</si>
  <si>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</si>
  <si>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</si>
  <si>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</si>
  <si>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</si>
  <si>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</si>
  <si>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</si>
  <si>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</si>
  <si>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PORTA CADEADO,  3 1/2", EM ACO ZINCADO, PRETO, PARA PORTAO E JANELA</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</si>
  <si>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</si>
  <si>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</si>
  <si>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</si>
  <si>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</si>
  <si>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</si>
  <si>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</si>
  <si>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</si>
  <si>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</si>
  <si>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</si>
  <si>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</si>
  <si>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</si>
  <si>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</si>
  <si>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</si>
  <si>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</si>
  <si>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</si>
  <si>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</si>
  <si>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</si>
  <si>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</si>
  <si>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</si>
  <si>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</si>
  <si>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</si>
  <si>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</si>
  <si>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QUADRICULADA DE MADEIRA-DE-LEI (ANGELIM OU EQUIVALENTE REGIONAL), DE CORRER PARA VIDRO E = *3,5* CM PORTA QUADRICULADA DE MADEIRA-DE-LEI (ANGELIM OU EQUIVALENTE REGIONAL), DE</t>
  </si>
  <si>
    <t>PORTAO BASCULANTE MANUAL EM ACO GALVANIZADO NATURAL, TIPO LAMBRIL COM REQUADRO/BATENTE, CHAPA NUMERO 26, INCLUI FECHADURA (SEM INSTALACAO)</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</si>
  <si>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</si>
  <si>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</si>
  <si>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</si>
  <si>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</si>
  <si>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REGISTRO DE ESFERA PVC, COM CABECA QUADRADA, COM ROSCA EXTERNA, 1/2"</t>
  </si>
  <si>
    <t>REGISTRO DE ESFERA PVC, COM CABECA QUADRADA, COM ROSCA EXTERNA, 3/4"</t>
  </si>
  <si>
    <t>RUFO EXTERNO/INTERNO DE CHAPA DE ACO GALVANIZADA NUM 26, CORTE 33 CM</t>
  </si>
  <si>
    <t>SARRAFO DE MADEIRA NAO APARELHADA *2,5 X 15* CM, MACARANDUBA, ANGELIM OU EQUIVALENTE DA REGIAO</t>
  </si>
  <si>
    <t>SOLDA EM BARRA DE ESTANHO-CHUMBO 50/50</t>
  </si>
  <si>
    <t>SOLEIRA/ PEITORIL EM MARMORE, POLIDO, BRANCO COMUM, L= *15* CM, E=  *2* CM,  CORTE RETO SOLEIRA/ PEITORIL EM MARMORE, POLIDO, BRANCO COMUM, L= *15* CM, E=  *2* CM,  CORTE</t>
  </si>
  <si>
    <t>SPRINKLER TIPO PENDENTE, 79 GRAUS CELSIUS (BULBO AMARELO,) ACABAMENTO NATURAL OU CROMADO, 1/2" - 15 MM</t>
  </si>
  <si>
    <t>SUPORTE DE FIXACAO PARA ESPELHO / PLACA 4" X 2", PARA 3 MODULOS, PARA INSTALACAO DE TOMADAS E INTERRUPTORES (SOMENTE SUPORTE)</t>
  </si>
  <si>
    <t>SUPORTE DE FIXACAO PARA ESPELHO / PLACA 4" X 4", PARA 6 MODULOS, PARA INSTALACAO DE TOMADAS E INTERRUPTORES (SOMENTE SUPORTE)</t>
  </si>
  <si>
    <t>TAMPAO FOFO SIMPLES COM BASE, CLASSE A15 CARGA MAX 1,5 T, *400 X 600* MM, REDE TELEFONE TAMPAO FOFO SIMPLES COM BASE, CLASSE A15 CARGA MAX 1,5 T, *400 X 600* MM, REDE</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</si>
  <si>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</si>
  <si>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</si>
  <si>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</si>
  <si>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</si>
  <si>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</si>
  <si>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</si>
  <si>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</si>
  <si>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</si>
  <si>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</si>
  <si>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</si>
  <si>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</si>
  <si>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</si>
  <si>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</si>
  <si>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</si>
  <si>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</si>
  <si>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</si>
  <si>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</si>
  <si>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</si>
  <si>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</si>
  <si>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</si>
  <si>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TELA DE ARAME GALV REVESTIDO EM PVC, QUADRANGULAR/LOSANGULAR, FIO 2,77 MM (12 BWG), MALHA 3 X 3 CM, H = 2 M</t>
  </si>
  <si>
    <t>TIL DE PASSAGEM, EM PVC, JE, BBB, DN 150 X 150 MM, PARA REDE COLETORA DE ESGOTO NBR 10569 TIL DE PASSAGEM, EM PVC, JE, BBB, DN 150 X 150 MM, PARA REDE COLETORA DE ESGOTO</t>
  </si>
  <si>
    <t>TIRANTE COM ELO, EM ARAME GALVANIZADO RIGIDO, NUMERO 10, COMPRIMENTO 2000 MM, PARA PENDURAL DE FORRO REMOVIVEL</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</si>
  <si>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</si>
  <si>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</si>
  <si>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</si>
  <si>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</si>
  <si>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</si>
  <si>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</si>
  <si>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</si>
  <si>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</si>
  <si>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</si>
  <si>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</si>
  <si>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</si>
  <si>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(APENAS MODULO)</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</si>
  <si>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</si>
  <si>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</si>
  <si>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</si>
  <si>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</si>
  <si>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</si>
  <si>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</si>
  <si>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</si>
  <si>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</si>
  <si>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</si>
  <si>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</si>
  <si>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</si>
  <si>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COLETOR DE ESGOTO PVC, JE OU JEI, DN 100 MM (NBR 7362)</t>
  </si>
  <si>
    <t>TUBO COLETOR DE ESGOTO PVC, JE OU JEI, DN 150 MM (NBR 7362)</t>
  </si>
  <si>
    <t>TUBO COLETOR DE ESGOTO PVC, JE OU JEI, DN 200 MM (NBR 7362)</t>
  </si>
  <si>
    <t>TUBO COLETOR DE ESGOTO PVC, JE OU JEI, DN 250 MM (NBR 7362)</t>
  </si>
  <si>
    <t>TUBO COLETOR DE ESGOTO PVC, JE OU JEI, DN 300 MM (NBR 7362)</t>
  </si>
  <si>
    <t>TUBO COLETOR DE ESGOTO PVC, JE OU JEI, DN 400 MM (NBR 7362)</t>
  </si>
  <si>
    <t>TUBO CONCRETO ARMADO, CLASSE PA-2, PB, DN 2000 MM, PARA AGUAS PLUVIAIS (NBR 8890) TUBO CONCRETO ARMADO, CLASSE PA-2, PB, DN 2000 MM, PARA AGUAS PLUVIAIS (NBR</t>
  </si>
  <si>
    <t>TUBO CORRUGADO PEAD, PAREDE DUPLA, INTERNA LISA, JEI, DN/DI *750* MM, PARA SANEAMENTO ESGOTO</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</si>
  <si>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</si>
  <si>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</si>
  <si>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</si>
  <si>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</si>
  <si>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</si>
  <si>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</si>
  <si>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</si>
  <si>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</si>
  <si>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</si>
  <si>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</si>
  <si>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</si>
  <si>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</si>
  <si>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</si>
  <si>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</si>
  <si>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</si>
  <si>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</si>
  <si>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</si>
  <si>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</si>
  <si>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UBO COLETOR DE ESGOTO PVC, JE OU JEI, DN 350 MM (NBR 7362)</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</si>
  <si>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</si>
  <si>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</si>
  <si>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</si>
  <si>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</si>
  <si>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</si>
  <si>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</si>
  <si>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</si>
  <si>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</si>
  <si>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</si>
  <si>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</si>
  <si>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</si>
  <si>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</si>
  <si>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</si>
  <si>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</si>
  <si>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</si>
  <si>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DE FERRO GALVANIZADO, COM ASSENTO CONICO DE BRONZE, DE 1 1/2"</t>
  </si>
  <si>
    <t>UNIAO DE FERRO GALVANIZADO, COM ASSENTO CONICO DE BRONZE, DE 1 1/4"</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</si>
  <si>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</si>
  <si>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</si>
  <si>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</si>
  <si>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</si>
  <si>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</si>
  <si>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</si>
  <si>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</si>
  <si>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</si>
  <si>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VERGALHAO ZINCADO ROSCA TOTAL, Â¼" (6,3 MM)</t>
  </si>
  <si>
    <t>VIDRO LISO INCOLOR 2 A 3 MM - SEM COLOCACAO</t>
  </si>
  <si>
    <t>VIDRO MARTELADO OU CANELADO, 4 MM - SEM COLOCACAO</t>
  </si>
  <si>
    <t>2 INTERRUPTORES PARALELOS 10A, 250V, CONJUNTO MONTADO PARA EMBUTIR 4" X 2" (PLACA + SUPORTE + MODULOS)</t>
  </si>
  <si>
    <t>2 INTERRUPTORES SIMPLES + INTERRUPTOR PARALELO 10A, 250V, CONJUNTO MONTADO PARA EMBUTIR 4" X 2" (PLACA + SUPORTE + MODULOS)</t>
  </si>
  <si>
    <t>2 INTERRUPTORES SIMPLES + TOMADA 2P+T 10A, 250V, CONJUNTO MONTADO PARA EMBUTIR 4" X 2" (PLACA + SUPORTE + MODULOS)</t>
  </si>
  <si>
    <t>2 INTERRUPTORES SIMPLES 10A, 250V, CONJUNTO MONTADO PARA EMBUTIR 4" X 2" (PLACA + SUPORTE + MODULOS)</t>
  </si>
  <si>
    <t>2 TOMADAS 2P+T 10A, 250V, CONJUNTO MONTADO PARA EMBUTIR 4" X 2" (PLACA + SUPORTE + MODULOS)</t>
  </si>
  <si>
    <t>3 INTERRUPTORES PARALELOS 10A, 250V, CONJUNTO MONTADO PARA EMBUTIR 4" X 2" (PLACA + SUPORTE + MODULO)</t>
  </si>
  <si>
    <t>3 INTERRUPTORES SIMPLES 10A, 250V, CONJUNTO MONTADO PARA EMBUTIR 4" X 2" (PLACA + SUPORTE + MODULOS)</t>
  </si>
  <si>
    <t>Tipo de Vala</t>
  </si>
  <si>
    <t>B</t>
  </si>
  <si>
    <t>a</t>
  </si>
  <si>
    <t>b</t>
  </si>
  <si>
    <t>Metálico</t>
  </si>
  <si>
    <t>Pontaleteamento</t>
  </si>
  <si>
    <t>Descontínuo</t>
  </si>
  <si>
    <t>Contínuo</t>
  </si>
  <si>
    <t>SERVIÇOS PRELIMINARES</t>
  </si>
  <si>
    <t>1ª Categoria</t>
  </si>
  <si>
    <t>2ª Categoria</t>
  </si>
  <si>
    <t>ESCORAMENTO DE VALAS</t>
  </si>
  <si>
    <t>Sinapi</t>
  </si>
  <si>
    <t>Vala Inclinada</t>
  </si>
  <si>
    <t>Até</t>
  </si>
  <si>
    <t>Vala Reta</t>
  </si>
  <si>
    <t>Acima de</t>
  </si>
  <si>
    <t>Largura Fundo da vala</t>
  </si>
  <si>
    <t xml:space="preserve">Ângulo </t>
  </si>
  <si>
    <t xml:space="preserve">DN + </t>
  </si>
  <si>
    <t>Pavimentos</t>
  </si>
  <si>
    <t xml:space="preserve">Largura extra para cada lado </t>
  </si>
  <si>
    <t>Escoramento</t>
  </si>
  <si>
    <t xml:space="preserve">Até </t>
  </si>
  <si>
    <t>Sem Escoramento</t>
  </si>
  <si>
    <t>Cachimbo</t>
  </si>
  <si>
    <t>Comprimento Tubo</t>
  </si>
  <si>
    <t>Lagura extra para cada lado</t>
  </si>
  <si>
    <t>Profundidade extra</t>
  </si>
  <si>
    <t xml:space="preserve">Para vala Inclinada </t>
  </si>
  <si>
    <t>Reaterro até 30 cm acima da geratriz superior do tubo</t>
  </si>
  <si>
    <t>Altura acima do tubo</t>
  </si>
  <si>
    <t>GERAL</t>
  </si>
  <si>
    <t xml:space="preserve">MEMORIAL DE CÁLCULO </t>
  </si>
  <si>
    <t>P2</t>
  </si>
  <si>
    <t>Altura da escav.</t>
  </si>
  <si>
    <t>Ângulo de inclinação</t>
  </si>
  <si>
    <t>Largura Inferior</t>
  </si>
  <si>
    <t xml:space="preserve">Altura da Base da fundação </t>
  </si>
  <si>
    <t>Cascalho</t>
  </si>
  <si>
    <t>Brita</t>
  </si>
  <si>
    <t>Lastro concreto</t>
  </si>
  <si>
    <t>Comprimento Superior</t>
  </si>
  <si>
    <t>Largura Superior</t>
  </si>
  <si>
    <t xml:space="preserve">Comprimento Inferior </t>
  </si>
  <si>
    <t>Solo Mole</t>
  </si>
  <si>
    <t>Sapatas</t>
  </si>
  <si>
    <t>Reaterro (Volume de escavação - volume das estruturas)</t>
  </si>
  <si>
    <t>Vol. Escavado</t>
  </si>
  <si>
    <t>Vol. da Estrutura</t>
  </si>
  <si>
    <t>A1</t>
  </si>
  <si>
    <t>A3</t>
  </si>
  <si>
    <t>Compr.</t>
  </si>
  <si>
    <t xml:space="preserve">Piso </t>
  </si>
  <si>
    <t>Local</t>
  </si>
  <si>
    <t>P1</t>
  </si>
  <si>
    <t>Largura Callha</t>
  </si>
  <si>
    <t>Compr. Rufo</t>
  </si>
  <si>
    <t>Distância de Bota-Fora e Jazida</t>
  </si>
  <si>
    <t>Bota-fora</t>
  </si>
  <si>
    <t>Jazida de Empréstimo</t>
  </si>
  <si>
    <t>Largura extra de escavação para cada lado da caixa</t>
  </si>
  <si>
    <t>Vol. Estruturas</t>
  </si>
  <si>
    <t xml:space="preserve">PISOS </t>
  </si>
  <si>
    <t>Esc.Mec.</t>
  </si>
  <si>
    <t>Esc.Manual</t>
  </si>
  <si>
    <t>POÇO DE VISITA</t>
  </si>
  <si>
    <t>CONCRETO</t>
  </si>
  <si>
    <t>MOVIMENTO DE TERRA / CARGA, TRANSPORTE E DESCARGA DE MATERIAL</t>
  </si>
  <si>
    <t>MEMORIAL DE CÁLCULO</t>
  </si>
  <si>
    <t>TOTAL :</t>
  </si>
  <si>
    <t>TABELA</t>
  </si>
  <si>
    <t>Quantidade</t>
  </si>
  <si>
    <t>R$ Un. S/ DBI</t>
  </si>
  <si>
    <t>R$ Un. C/ DBI</t>
  </si>
  <si>
    <t>OBRA:</t>
  </si>
  <si>
    <t>SERVIÇOS</t>
  </si>
  <si>
    <t xml:space="preserve"> SERVIÇOS PRELIMINARES</t>
  </si>
  <si>
    <t xml:space="preserve"> MOVIMENTO DE TERRA</t>
  </si>
  <si>
    <t xml:space="preserve"> ESCORAMENTO DE VALAS</t>
  </si>
  <si>
    <t xml:space="preserve"> BOTA FORA DE MATERIAL DE ESCAVAÇÃO (SOLO 1º E 2º CATEGORIA)</t>
  </si>
  <si>
    <t xml:space="preserve"> TRANSPORTE, CARGA E DESCARGA DE MATERIAL (BOTA FORA)</t>
  </si>
  <si>
    <t xml:space="preserve"> ESTRUTURAS DE CONCRETO ARMADO</t>
  </si>
  <si>
    <t xml:space="preserve"> REVESTIMENTOS E PINTURAS</t>
  </si>
  <si>
    <t>vb.</t>
  </si>
  <si>
    <t xml:space="preserve"> ESQUADRIAS</t>
  </si>
  <si>
    <t xml:space="preserve"> COBERTURA</t>
  </si>
  <si>
    <t xml:space="preserve"> URBANIZAÇÃO</t>
  </si>
  <si>
    <t>Composição</t>
  </si>
  <si>
    <t>MATERIAL HIDRÁULICO</t>
  </si>
  <si>
    <t>COTAÇÃO</t>
  </si>
  <si>
    <t>cj</t>
  </si>
  <si>
    <t>MATERIAIS</t>
  </si>
  <si>
    <t>EQUIPAMENTOS</t>
  </si>
  <si>
    <t>ENERGIZAÇÃO</t>
  </si>
  <si>
    <t>CANTEIRO DE OBRAS E ADMINSTRAÇÃO LOCAL DA OBRAS</t>
  </si>
  <si>
    <t xml:space="preserve">CANTEIRO DE OBRAS </t>
  </si>
  <si>
    <t>ADMINSTRAÇÃO LOCAL DA OBRAS</t>
  </si>
  <si>
    <t>Escavação sapatas (S2=S7)</t>
  </si>
  <si>
    <t>Escavação sapatas (S1=S4=S5=S6=S9=S10)</t>
  </si>
  <si>
    <t>Escavação sapatas (S3=S8)</t>
  </si>
  <si>
    <t>Área do teto</t>
  </si>
  <si>
    <t>Platibanda</t>
  </si>
  <si>
    <t xml:space="preserve">Vol. Escav. </t>
  </si>
  <si>
    <t>ALVENARIAS</t>
  </si>
  <si>
    <t>Esc.Man.</t>
  </si>
  <si>
    <t xml:space="preserve"> DIVERSOS</t>
  </si>
  <si>
    <t xml:space="preserve"> ALVENARIAS</t>
  </si>
  <si>
    <t>Parafusos para flanges, PN-10, DN150 (20x90)</t>
  </si>
  <si>
    <t>Parafusos para flanges, PN-10, DN600 (27x120)</t>
  </si>
  <si>
    <t xml:space="preserve">  INSTALAÇÕES GERAIS</t>
  </si>
  <si>
    <t>INS.ELET.07</t>
  </si>
  <si>
    <t>INS.ELET.16</t>
  </si>
  <si>
    <t>INS.ELET.17</t>
  </si>
  <si>
    <t>INS.ELET.18</t>
  </si>
  <si>
    <t>INS.ELET.19</t>
  </si>
  <si>
    <t>INS.ELET.20</t>
  </si>
  <si>
    <t>INS.ELET.21</t>
  </si>
  <si>
    <t>INS.ELET.22</t>
  </si>
  <si>
    <t>INS.ELET.23</t>
  </si>
  <si>
    <t>Descrição - Hidráulico</t>
  </si>
  <si>
    <t>br</t>
  </si>
  <si>
    <t>AT.01</t>
  </si>
  <si>
    <t>AT.07</t>
  </si>
  <si>
    <t>AT.08</t>
  </si>
  <si>
    <t>Cj</t>
  </si>
  <si>
    <t>Un</t>
  </si>
  <si>
    <t>CLIENTE: SAAE</t>
  </si>
  <si>
    <t>TRATAMENTO PRELIMINAR</t>
  </si>
  <si>
    <t>Módulo 1</t>
  </si>
  <si>
    <t>Módulo 2</t>
  </si>
  <si>
    <t>Módulo 3</t>
  </si>
  <si>
    <t>Módulo 4</t>
  </si>
  <si>
    <t>Módulo 5</t>
  </si>
  <si>
    <t xml:space="preserve">Largura extra de escavação para cada lado </t>
  </si>
  <si>
    <t>Área em Planta</t>
  </si>
  <si>
    <t>Reaterro</t>
  </si>
  <si>
    <t>ETE.TRAT.TERRAP._ESC.2</t>
  </si>
  <si>
    <t>ETE.TRAT.TERRAP._AQ.JAZ.</t>
  </si>
  <si>
    <t>ETE.TRAT.TERRAP._TRANSP.JAZ</t>
  </si>
  <si>
    <t>Jazida</t>
  </si>
  <si>
    <t>m²xkm</t>
  </si>
  <si>
    <t>Dist. Jazida</t>
  </si>
  <si>
    <t>Módulo 1.A</t>
  </si>
  <si>
    <t>Altura da Escavação</t>
  </si>
  <si>
    <t>Altura da Escavação + Fundação</t>
  </si>
  <si>
    <t>Módulo 4.A</t>
  </si>
  <si>
    <t>Módulo 4.B</t>
  </si>
  <si>
    <t>EE Escuma</t>
  </si>
  <si>
    <t>Poço EE Escuma</t>
  </si>
  <si>
    <t>Caixa  EE Escuma</t>
  </si>
  <si>
    <t>Laje das Caçambas</t>
  </si>
  <si>
    <t xml:space="preserve">Escavação total </t>
  </si>
  <si>
    <t xml:space="preserve">Escavação até 2,0 m  </t>
  </si>
  <si>
    <t xml:space="preserve">Escavação de 2,0 m a 4,0 m  </t>
  </si>
  <si>
    <t>Canaletas</t>
  </si>
  <si>
    <t>Canaleta</t>
  </si>
  <si>
    <t>Soprador</t>
  </si>
  <si>
    <t>EE Final</t>
  </si>
  <si>
    <t>Comrpimento</t>
  </si>
  <si>
    <t>LOCAL:  CATALÃO</t>
  </si>
  <si>
    <t>Nível do Terreno regularizado</t>
  </si>
  <si>
    <t>Nível inferior da laje de fundo</t>
  </si>
  <si>
    <t>Bloco de Apoio do Soprador</t>
  </si>
  <si>
    <t>Bloco de Apoio das bombas da EE Final</t>
  </si>
  <si>
    <t>Altura das Paredes</t>
  </si>
  <si>
    <t>DN Furo</t>
  </si>
  <si>
    <t>Comprimento da Abertura</t>
  </si>
  <si>
    <t>Largura da Abertura</t>
  </si>
  <si>
    <t>Parede Externa - Módulo 1.A</t>
  </si>
  <si>
    <t>Paredes - Módulo 1</t>
  </si>
  <si>
    <t>Laje de fundo Módulo 1</t>
  </si>
  <si>
    <t>Módulo 1.B</t>
  </si>
  <si>
    <t>Parede Externa - Módulo 1.B</t>
  </si>
  <si>
    <t>Parede Externa - Caixa da By-Pass do Módulo 1.A</t>
  </si>
  <si>
    <t>Laje de fundo  - Caixa da By-Pass do Módulo 1.A</t>
  </si>
  <si>
    <t>Parede Externa - Módulo 2</t>
  </si>
  <si>
    <t>Laje de fundo da Canaleta do Parafuso - Módulo 2</t>
  </si>
  <si>
    <t>Laje de fundo - Módulo 2</t>
  </si>
  <si>
    <t>Parede Externa - Módulo 3</t>
  </si>
  <si>
    <t>Área transversal</t>
  </si>
  <si>
    <t>Parede Externa - Módulo 1</t>
  </si>
  <si>
    <t>Parede Externa - Canaleta - Módulo 3</t>
  </si>
  <si>
    <t>Parede Externa - Módulo 4.A</t>
  </si>
  <si>
    <t>Parede Externa - Módulo 4.B</t>
  </si>
  <si>
    <t>Parede Externa - Módulo 5</t>
  </si>
  <si>
    <t xml:space="preserve">PISO  </t>
  </si>
  <si>
    <t>CP_TP.MAT.HIDR.</t>
  </si>
  <si>
    <t>CP_TP.EQUIP.</t>
  </si>
  <si>
    <t>CP_TP.MAT.ELÉTR.</t>
  </si>
  <si>
    <t>1 - Laje das Caçambas</t>
  </si>
  <si>
    <t>2- Laje das Caçambas</t>
  </si>
  <si>
    <t>ESCAVAÇÃO DAS ESTRUTURAS DO TRATAMENTO PRELIMINAR</t>
  </si>
  <si>
    <t>2 - Laje das Caçambas</t>
  </si>
  <si>
    <t>Cota da Fundação</t>
  </si>
  <si>
    <t>Cota do Terreno Acabado</t>
  </si>
  <si>
    <t>Altura do Reaterro</t>
  </si>
  <si>
    <t>Área em planta da estrutura</t>
  </si>
  <si>
    <t>Volume de escavação - Estruturas</t>
  </si>
  <si>
    <t>Volume de escavação - Terraplanagem</t>
  </si>
  <si>
    <t>Vol. Escavado  - Estruturas</t>
  </si>
  <si>
    <t>Vol. Enterrado - Estruturas</t>
  </si>
  <si>
    <t>Terraplanagem</t>
  </si>
  <si>
    <t>Volume</t>
  </si>
  <si>
    <t>LOCAL: CATALÃO</t>
  </si>
  <si>
    <t>Caixas de Passagem CP01 a CP06</t>
  </si>
  <si>
    <t>Caixa de Chegada</t>
  </si>
  <si>
    <t>Caixa de Descarga</t>
  </si>
  <si>
    <t>CDR</t>
  </si>
  <si>
    <t>CDG1</t>
  </si>
  <si>
    <t>CDG2</t>
  </si>
  <si>
    <t>CDG3</t>
  </si>
  <si>
    <t>CAIXAS.ETE_SP_LOCAC.</t>
  </si>
  <si>
    <t>CAIXAS.ETE_FUND._ACERTO</t>
  </si>
  <si>
    <t>CAIXAS.ETE_FUND._COMPAC</t>
  </si>
  <si>
    <t>CAIXAS.ETE_FUND._BRITA</t>
  </si>
  <si>
    <t>CAIXAS.ETE_FUND._LASTRO</t>
  </si>
  <si>
    <t>CAIXAS.ETE_ESC.MEC.1</t>
  </si>
  <si>
    <t>CAIXAS.ETE_ESC.MEC.2</t>
  </si>
  <si>
    <t>CAIXAS.ETE_ESC.MEC.3</t>
  </si>
  <si>
    <t>CAIXAS.ETE_ESC.MEC.4</t>
  </si>
  <si>
    <t>CAIXAS.ETE_ESC.MEC.5</t>
  </si>
  <si>
    <t>CAIXAS.ETE_ESC.MEC.6</t>
  </si>
  <si>
    <t>CAIXAS.ETE_ESC.MAN.1</t>
  </si>
  <si>
    <t>CAIXAS.ETE_ESC.MAN.3</t>
  </si>
  <si>
    <t>CAIXAS.ETE_ESC.MAN.4</t>
  </si>
  <si>
    <t>CAIXAS.ETE_ESC.MAN.5</t>
  </si>
  <si>
    <t>CAIXAS.ETE_ESC.MAN.6</t>
  </si>
  <si>
    <t>CAIXAS.ETE_ESGOTAM.</t>
  </si>
  <si>
    <t>CAIXAS.ETE_REAT.MAN</t>
  </si>
  <si>
    <t>CAIXAS.ETE_BF_CARGA</t>
  </si>
  <si>
    <t>CAIXAS.ETE_BF_TRANSP</t>
  </si>
  <si>
    <t>CAIXAS.ETE_BF_ESPAL</t>
  </si>
  <si>
    <t>CAIXAS.ETE_FUN_ENSAIO</t>
  </si>
  <si>
    <t>CAIXAS.ETE_ESCADA</t>
  </si>
  <si>
    <t>CAIXAS.ETE_GUARDA-CORPO</t>
  </si>
  <si>
    <t>CAIXAS.ETE_IMP.EXT</t>
  </si>
  <si>
    <t>CAIXAS.ETE_REGUL.</t>
  </si>
  <si>
    <t>CDR-Sapatas</t>
  </si>
  <si>
    <t>CDR-Vigas (VB1/VB2)</t>
  </si>
  <si>
    <t>CDR-Vigas (VB3/VB4</t>
  </si>
  <si>
    <t>Dimensões em planta da caixa - m</t>
  </si>
  <si>
    <t xml:space="preserve">Escavação total - Caixa </t>
  </si>
  <si>
    <t>Altura da Fundação</t>
  </si>
  <si>
    <t>Altura da Estrutura</t>
  </si>
  <si>
    <t>Caixas de Passagem CP01</t>
  </si>
  <si>
    <t>Caixas de Passagem CP02</t>
  </si>
  <si>
    <t>Caixas de Passagem CP03</t>
  </si>
  <si>
    <t>Caixas de Passagem CP04</t>
  </si>
  <si>
    <t>Caixas de Passagem CP05</t>
  </si>
  <si>
    <t>Caixas de Passagem CP06</t>
  </si>
  <si>
    <t>Caixas de Passagem CP07</t>
  </si>
  <si>
    <t>Caixas de Passagem CP08</t>
  </si>
  <si>
    <t xml:space="preserve">Compr. Inferior </t>
  </si>
  <si>
    <t>Compr. Superior</t>
  </si>
  <si>
    <t>Altura de Escv. da Estrutura</t>
  </si>
  <si>
    <t>Altura Total da Escavação</t>
  </si>
  <si>
    <t>CDR-Pilares</t>
  </si>
  <si>
    <t>Pilares da Caixa de Passagem CP01</t>
  </si>
  <si>
    <t>Pilares da Caixa de Passagem CP02</t>
  </si>
  <si>
    <t>Pilares da Caixa de Passagem CP03</t>
  </si>
  <si>
    <t>Pilares da Caixa de Passagem CP04</t>
  </si>
  <si>
    <t>Pilares da Caixa de Passagem CP05</t>
  </si>
  <si>
    <t>Pilares da Caixa de Passagem CP06</t>
  </si>
  <si>
    <t>Pilares da Caixa de Passagem CP07</t>
  </si>
  <si>
    <t>Pilares da Caixa de Passagem CP08</t>
  </si>
  <si>
    <t>Pilar da Caixa de Passagem CP01</t>
  </si>
  <si>
    <t>Pilar da Caixa de Passagem CP02</t>
  </si>
  <si>
    <t>Pilar da Caixa de Passagem CP03</t>
  </si>
  <si>
    <t>Pilar da Caixa de Passagem CP04</t>
  </si>
  <si>
    <t>Pilar da Caixa de Passagem CP05</t>
  </si>
  <si>
    <t>Pilar da Caixa de Passagem CP06</t>
  </si>
  <si>
    <t>Pilar da Caixa de Passagem CP07</t>
  </si>
  <si>
    <t>Pilar da Caixa de Passagem CP08</t>
  </si>
  <si>
    <t>Paredes da Caixa de Passagem CP01</t>
  </si>
  <si>
    <t>Paredes da Caixa de Passagem CP02</t>
  </si>
  <si>
    <t>Paredes da Caixa de Passagem CP03</t>
  </si>
  <si>
    <t>Paredes da Caixa de Passagem CP04</t>
  </si>
  <si>
    <t>Paredes da Caixa de Passagem CP05</t>
  </si>
  <si>
    <t>Paredes da Caixa de Passagem CP06</t>
  </si>
  <si>
    <t>Paredes da Caixa de Passagem CP07</t>
  </si>
  <si>
    <t>Paredes da Caixa de Passagem CP08</t>
  </si>
  <si>
    <t>Percentual de Concreto nas Canaletas</t>
  </si>
  <si>
    <t>Obtido do Proj. Estrutural</t>
  </si>
  <si>
    <t>Laje de Fundo da Caixa de Descarga</t>
  </si>
  <si>
    <t>Laje da Tampa da Caixa de Descarga</t>
  </si>
  <si>
    <t>Pilares da Caixa de Descarga</t>
  </si>
  <si>
    <t>Caixa da Descarga</t>
  </si>
  <si>
    <t>Caixas de Passagem CP07 a CP09</t>
  </si>
  <si>
    <t>Caixas de Passagem CP09</t>
  </si>
  <si>
    <t>m132</t>
  </si>
  <si>
    <t>Laje de Fundo das Caixas de Passagem CP01 a CP09</t>
  </si>
  <si>
    <t>Laje de Tampa das Caixas de Passagem CP01 a CP09</t>
  </si>
  <si>
    <t>Pilar da Caixa de Passagem CP09</t>
  </si>
  <si>
    <t>Pilares da Caixa de Passagem CP09</t>
  </si>
  <si>
    <t>Paredes da Caixa de Passagem CP09</t>
  </si>
  <si>
    <t>CAIXAS.ETE__ALVENARIA ESTR.</t>
  </si>
  <si>
    <t xml:space="preserve"> CDR</t>
  </si>
  <si>
    <t>Elemento Vazado</t>
  </si>
  <si>
    <t>Porta</t>
  </si>
  <si>
    <t>Quant. - Porta</t>
  </si>
  <si>
    <t>Paredes Internas - CDR</t>
  </si>
  <si>
    <t>Paredes Externas - CDR</t>
  </si>
  <si>
    <t>Caixa de chegada</t>
  </si>
  <si>
    <t>Comprim.</t>
  </si>
  <si>
    <t>Desconto - DN</t>
  </si>
  <si>
    <t>Caixa de Passagem</t>
  </si>
  <si>
    <t>CAIXAS.ETE_PINT.ACRILICA</t>
  </si>
  <si>
    <t>CAIXAS.ETE_TEXT.ACRILICA</t>
  </si>
  <si>
    <t>CAIXAS.ETE_ARG.FUNDO</t>
  </si>
  <si>
    <t>CAIXAS.ETE_CALÇADA</t>
  </si>
  <si>
    <t>CAIXAS.ETE_CONTRAPISO</t>
  </si>
  <si>
    <t>CAIXAS.ETE__CHAP</t>
  </si>
  <si>
    <t>CAIXAS.ETE__CHAP.TETO</t>
  </si>
  <si>
    <t>CAIXAS.ETE__REB</t>
  </si>
  <si>
    <t>CAIXAS.ETE__ALVEN.TIJOLO</t>
  </si>
  <si>
    <t>CAIXAS.ETE__ELEM.VAZADO</t>
  </si>
  <si>
    <t>CAIXAS.ETE_PORTA</t>
  </si>
  <si>
    <t>CAIXAS.ETE_FUN_CONC.40</t>
  </si>
  <si>
    <t>EMPREEND.: AMPLIAÇÃO DO SES - TUBULAÇÕES ENTERRADAS</t>
  </si>
  <si>
    <t>TUBULAÇÕES ENTERRADAS</t>
  </si>
  <si>
    <t>PARAMETROS PARA CÁLCULOS DE REDE</t>
  </si>
  <si>
    <t>SAAE</t>
  </si>
  <si>
    <t>Responsável:</t>
  </si>
  <si>
    <t>Dayana</t>
  </si>
  <si>
    <t>CATALÃO</t>
  </si>
  <si>
    <t>Verificação:</t>
  </si>
  <si>
    <t>EMPREEND.</t>
  </si>
  <si>
    <t>Trecho</t>
  </si>
  <si>
    <t>PV Inicial</t>
  </si>
  <si>
    <t>PV Final</t>
  </si>
  <si>
    <t>Profund. Montante</t>
  </si>
  <si>
    <t>Profund. Jusante</t>
  </si>
  <si>
    <t>Prof. Média</t>
  </si>
  <si>
    <t>DN (mm)</t>
  </si>
  <si>
    <t>Extensão (m)</t>
  </si>
  <si>
    <t>Larg. Fundo Vala    (m)</t>
  </si>
  <si>
    <t>Tipo de Pavimento</t>
  </si>
  <si>
    <t>Demolição do Calçada (m²)</t>
  </si>
  <si>
    <t>Demolição do Pavim. (m²)</t>
  </si>
  <si>
    <t>Limpeza de Faixa</t>
  </si>
  <si>
    <t>Acerto Fundo Vala</t>
  </si>
  <si>
    <t>Para Valas Tipo Inclinada</t>
  </si>
  <si>
    <t>Volume Escavado (m³)</t>
  </si>
  <si>
    <t>Volume do tubo (m³)</t>
  </si>
  <si>
    <t>Escoramento (m²)</t>
  </si>
  <si>
    <t>Esgotamento</t>
  </si>
  <si>
    <t>D. Esc.</t>
  </si>
  <si>
    <t>A</t>
  </si>
  <si>
    <t>D. Escav.</t>
  </si>
  <si>
    <t>4,01 a 6,00m</t>
  </si>
  <si>
    <t>Acima de 6,00m</t>
  </si>
  <si>
    <t>Pontalet.</t>
  </si>
  <si>
    <t>Desc. / Blindado Leve</t>
  </si>
  <si>
    <t>Cont. / Blindado Pesado</t>
  </si>
  <si>
    <t xml:space="preserve">Nível Água </t>
  </si>
  <si>
    <t>(m)</t>
  </si>
  <si>
    <t>SEM REVESTIMENTO</t>
  </si>
  <si>
    <t>FºFº</t>
  </si>
  <si>
    <t>Total:</t>
  </si>
  <si>
    <t>CP01</t>
  </si>
  <si>
    <t>CP02</t>
  </si>
  <si>
    <t>CP03</t>
  </si>
  <si>
    <t>CP04</t>
  </si>
  <si>
    <t>CP05</t>
  </si>
  <si>
    <t>CP06</t>
  </si>
  <si>
    <t>CP08</t>
  </si>
  <si>
    <t>PVC</t>
  </si>
  <si>
    <t>CP07</t>
  </si>
  <si>
    <t>CP09</t>
  </si>
  <si>
    <t>Lagoa</t>
  </si>
  <si>
    <t>LR_Trecho Inicial</t>
  </si>
  <si>
    <t>LR_Estaca 0</t>
  </si>
  <si>
    <t>LR_Estaca 1+13</t>
  </si>
  <si>
    <t>LR_Estaca 3</t>
  </si>
  <si>
    <t>LR_Estaca 10</t>
  </si>
  <si>
    <t>LR_Estaca 14</t>
  </si>
  <si>
    <t>PRFV</t>
  </si>
  <si>
    <t>Descarte do Lodo dos Reatores aos Leitos de Secagem</t>
  </si>
  <si>
    <t>T.P._Cx.By-Pass</t>
  </si>
  <si>
    <t>T.P._Canal</t>
  </si>
  <si>
    <t>T.P._Caçambas</t>
  </si>
  <si>
    <t>T.P._Extravasor.Poço</t>
  </si>
  <si>
    <t xml:space="preserve">Drenagem dos Reatores </t>
  </si>
  <si>
    <t>Descarte do Efluente dos Leitos de Secagem</t>
  </si>
  <si>
    <t>PV1</t>
  </si>
  <si>
    <t>PV2</t>
  </si>
  <si>
    <t>PV3</t>
  </si>
  <si>
    <t>PV4</t>
  </si>
  <si>
    <t>PV5</t>
  </si>
  <si>
    <t>PV6</t>
  </si>
  <si>
    <t>PV7</t>
  </si>
  <si>
    <t>PV8</t>
  </si>
  <si>
    <t>PV9</t>
  </si>
  <si>
    <t>DEFºFº</t>
  </si>
  <si>
    <t>AMPLIAÇÃO ETE _ TUBULAÇÕES ENTERRADAS</t>
  </si>
  <si>
    <t>EMPREEND.: AMPLIAÇÃO ETE - TRATAMENTO PRELIMINAR</t>
  </si>
  <si>
    <t>EMPREEND.: AMPLIAÇÃO ETE - CAIXAS</t>
  </si>
  <si>
    <t>MEMORIAL DE CÁLCULO AUXILIAR REDE</t>
  </si>
  <si>
    <t>REDE.ETE_LOC</t>
  </si>
  <si>
    <t>REDE.ETE_LIMP</t>
  </si>
  <si>
    <t>REDE.ETE_ESC.MEC.1</t>
  </si>
  <si>
    <t>REDE.ETE_ESC.MEC.2</t>
  </si>
  <si>
    <t>REDE.ETE_ESC.MEC.3</t>
  </si>
  <si>
    <t>REDE.ETE_ESC.MEC.4</t>
  </si>
  <si>
    <t>REDE.ETE_ESC.MEC.5</t>
  </si>
  <si>
    <t>REDE.ETE_ESC.MEC.6</t>
  </si>
  <si>
    <t>REDE.ETE_ESC.MEC.7</t>
  </si>
  <si>
    <t>REDE.ETE_ESC.MEC.9</t>
  </si>
  <si>
    <t>REDE.ETE_ESC.MEC.10</t>
  </si>
  <si>
    <t>REDE.ETE_ESC.MEC.11</t>
  </si>
  <si>
    <t>REDE.ETE_ESC.MEC.12</t>
  </si>
  <si>
    <t>REDE.ETE_ESGOTAM.</t>
  </si>
  <si>
    <t>REDE.ETE_REGUL</t>
  </si>
  <si>
    <t>REDE.ETE_CARGA</t>
  </si>
  <si>
    <t>REDE.ETE_TRANSP</t>
  </si>
  <si>
    <t>REDE.ETE_ESPAL</t>
  </si>
  <si>
    <t>REDE.ETE_CTD.PVC.DN150</t>
  </si>
  <si>
    <t>REDE.ETE_PV-2.0M</t>
  </si>
  <si>
    <t>REDE.ETE_PV-3.0M</t>
  </si>
  <si>
    <t>REDE.ETE_PV-2.5M</t>
  </si>
  <si>
    <t>REDE.ETE_REAT.MEC1</t>
  </si>
  <si>
    <t>REDE.ETE_REAT.MEC2</t>
  </si>
  <si>
    <t>Extravasor dos Leitos de Secagem</t>
  </si>
  <si>
    <t>Drenagem dos Leitos de Secagem</t>
  </si>
  <si>
    <t>REDE.ETE_CTD.CA.700</t>
  </si>
  <si>
    <t>REDE.ETE_CTD.FºFº.400</t>
  </si>
  <si>
    <t>REDE.ETE_CTD.FºFº.600</t>
  </si>
  <si>
    <t>REDE.ETE_CTD.PVC.DN100</t>
  </si>
  <si>
    <t>REDE.ETE_CTD.PVC.DN200</t>
  </si>
  <si>
    <t>REDE.ETE_CTD.FºFº.600A</t>
  </si>
  <si>
    <t>REDE.ETE_CTD.PVC.DN150A</t>
  </si>
  <si>
    <t>REDE.ETE_CTD.FºFº.700</t>
  </si>
  <si>
    <t>REDE.ETE_CTD.DEFF.500</t>
  </si>
  <si>
    <t>REDE.ETE_PV-1.0M</t>
  </si>
  <si>
    <t>REDE.ETE_PV-1.5M</t>
  </si>
  <si>
    <t>REDE.ETE_PV-3.5M</t>
  </si>
  <si>
    <t>Estaca pré-moldada</t>
  </si>
  <si>
    <t>Bloco de concreto</t>
  </si>
  <si>
    <t>PAVIMENTAÇÃO</t>
  </si>
  <si>
    <t xml:space="preserve">m </t>
  </si>
  <si>
    <t xml:space="preserve">URBANIZAÇÃO </t>
  </si>
  <si>
    <t>URB.ETE_GRAMA</t>
  </si>
  <si>
    <t>URB.ETE_FORMA</t>
  </si>
  <si>
    <t>URB.ETE_CONCRETO</t>
  </si>
  <si>
    <t>URB.ETE_MEIO FIO</t>
  </si>
  <si>
    <t>URB.ETE_CALÇADA</t>
  </si>
  <si>
    <t>ARBORIZAÇÃO</t>
  </si>
  <si>
    <t>Reatores e Leitos de Secagem</t>
  </si>
  <si>
    <t>Tratamento Preliminar</t>
  </si>
  <si>
    <t>Acesso a ETE</t>
  </si>
  <si>
    <t>BLOCO DA TORNEIRA EXTERNA</t>
  </si>
  <si>
    <t>MURO DE ARRIMO</t>
  </si>
  <si>
    <t>URB.ETE_PISO.INTERT.</t>
  </si>
  <si>
    <t>URB.ETE_PISO.CONCR.</t>
  </si>
  <si>
    <t>URB.ETE_SARJETA1</t>
  </si>
  <si>
    <t>URB.ETE_SARJETA2</t>
  </si>
  <si>
    <t>URB.ETE_SARJETAO</t>
  </si>
  <si>
    <t>URB.ETE_ARVORE1</t>
  </si>
  <si>
    <t>URB.ETE_ARVORE2</t>
  </si>
  <si>
    <t>URB.ETE_MURO</t>
  </si>
  <si>
    <t xml:space="preserve">um </t>
  </si>
  <si>
    <t>URB.ETE_PORTÃO</t>
  </si>
  <si>
    <t>URB.ETE_TOTEM</t>
  </si>
  <si>
    <t>URB.ETE_RN</t>
  </si>
  <si>
    <t>CP_RN</t>
  </si>
  <si>
    <t>CP_TOTEM</t>
  </si>
  <si>
    <t>EMPREEND.: AMPLIAÇÃO ETE - URBANIZAÇÃO</t>
  </si>
  <si>
    <t>CASA.CONTROLE_SP_LIMP.</t>
  </si>
  <si>
    <t>CASA.CONTROLE_SP_LOCAC.</t>
  </si>
  <si>
    <t>CASA.CONTROLE_ESC.MEC.1</t>
  </si>
  <si>
    <t>CASA.CONTROLE_ESC.MEC.2</t>
  </si>
  <si>
    <t>CASA.CONTROLE_ESC.MEC.3</t>
  </si>
  <si>
    <t>CASA.CONTROLE_ESC.MEC.4</t>
  </si>
  <si>
    <t>CASA.CONTROLE_ESC.MEC.5</t>
  </si>
  <si>
    <t>CASA.CONTROLE_ESC.MEC.6</t>
  </si>
  <si>
    <t>CASA.CONTROLE_ESC.MAN.1</t>
  </si>
  <si>
    <t>CASA.CONTROLE_ESC.MAN.2</t>
  </si>
  <si>
    <t>CASA.CONTROLE_ESC.MAN.3</t>
  </si>
  <si>
    <t>CASA.CONTROLE_ESC.MAN.4</t>
  </si>
  <si>
    <t>CASA.CONTROLE_ESC.MAN.5</t>
  </si>
  <si>
    <t>CASA.CONTROLE_ESC.MAN.6</t>
  </si>
  <si>
    <t>CASA.CONTROLE_ESC.MAN.7</t>
  </si>
  <si>
    <t>CASA.CONTROLE_ESGOTAM.</t>
  </si>
  <si>
    <t>CASA.CONTROLE_REGUL</t>
  </si>
  <si>
    <t>CASA.CONTROLE_REAT.MEC</t>
  </si>
  <si>
    <t>CASA.CONTROLE_REAT.MAN</t>
  </si>
  <si>
    <t>CASA.CONTROLE_BF_CARGA</t>
  </si>
  <si>
    <t>CASA.CONTROLE_BF_TRANSP</t>
  </si>
  <si>
    <t>CASA.CONTROLE_BF_ESPAL</t>
  </si>
  <si>
    <t>CASA.CONTROLE_FUN_CONC</t>
  </si>
  <si>
    <t>CASA.CONTROLE_FUN_ENSAIO</t>
  </si>
  <si>
    <t>CASA.CONTROLE_PORTA_P3</t>
  </si>
  <si>
    <t>CASA.CONTROLE_GUARDA CORPO</t>
  </si>
  <si>
    <t>CASA.CONTROLE_PAR_ALVEN</t>
  </si>
  <si>
    <t>CASA.CONTROLE_CHAP</t>
  </si>
  <si>
    <t>CASA.CONTROLE_CHAP.TETO</t>
  </si>
  <si>
    <t>CASA.CONTROLE_EMB</t>
  </si>
  <si>
    <t>CASA.CONTROLE_REB</t>
  </si>
  <si>
    <t>CASA.CONTROLE_PINT.A3</t>
  </si>
  <si>
    <t>CASA.CONTROLE_PINT.SELADOR</t>
  </si>
  <si>
    <t>CASA.CONTROLE_COBERTURA_COB</t>
  </si>
  <si>
    <t>CASA.CONTROLE_COBERTURA_TRAMA</t>
  </si>
  <si>
    <t>CASA.CONTROLE_COBERTURA_CALHA</t>
  </si>
  <si>
    <t>CASA.CONTROLE_COBERTURA_CUMEEIRA</t>
  </si>
  <si>
    <t>CASA.CONTROLE_COBERTURA_RUFO</t>
  </si>
  <si>
    <t>CASA.CONTROLE_COBERTURA_ARGAM</t>
  </si>
  <si>
    <t>URB.ETE_LIMP.</t>
  </si>
  <si>
    <t>VC1</t>
  </si>
  <si>
    <t>VC2</t>
  </si>
  <si>
    <t>VC3</t>
  </si>
  <si>
    <t>VC4</t>
  </si>
  <si>
    <t>VC5</t>
  </si>
  <si>
    <t>VC6</t>
  </si>
  <si>
    <t>VC7</t>
  </si>
  <si>
    <t>VC8</t>
  </si>
  <si>
    <t>L1</t>
  </si>
  <si>
    <t>L2</t>
  </si>
  <si>
    <t>L3</t>
  </si>
  <si>
    <t>L4</t>
  </si>
  <si>
    <t>CASA.CONTROLE_PORTA_P1</t>
  </si>
  <si>
    <t xml:space="preserve">Quant. </t>
  </si>
  <si>
    <t>P3</t>
  </si>
  <si>
    <t>P4</t>
  </si>
  <si>
    <t>PT1</t>
  </si>
  <si>
    <t>PT2</t>
  </si>
  <si>
    <t>PT3</t>
  </si>
  <si>
    <t>PT4</t>
  </si>
  <si>
    <t>CASA.CONTROLE_PORTA_P4</t>
  </si>
  <si>
    <t>CASA.CONTROLE_PORTA_PT</t>
  </si>
  <si>
    <t>CASA.CONTROLE_VERGA.P</t>
  </si>
  <si>
    <t>CASA.CONTROLE_CONTRAVERGA.P</t>
  </si>
  <si>
    <t>J1</t>
  </si>
  <si>
    <t>J2</t>
  </si>
  <si>
    <t>J3</t>
  </si>
  <si>
    <t>Caimento 1</t>
  </si>
  <si>
    <t>Caimento 2</t>
  </si>
  <si>
    <t>Caimento 3</t>
  </si>
  <si>
    <t>Perímetro</t>
  </si>
  <si>
    <t xml:space="preserve">Área da parede em alvenaria </t>
  </si>
  <si>
    <t>Esquadria</t>
  </si>
  <si>
    <t xml:space="preserve"> Parede Interna</t>
  </si>
  <si>
    <t xml:space="preserve"> Parede Externa</t>
  </si>
  <si>
    <t>Area - Par. Interna</t>
  </si>
  <si>
    <t>Area - Par. Externa</t>
  </si>
  <si>
    <t>Tipo</t>
  </si>
  <si>
    <t>Tipo do Revest</t>
  </si>
  <si>
    <t>A4</t>
  </si>
  <si>
    <t>A2</t>
  </si>
  <si>
    <t xml:space="preserve">Total - Revest.  </t>
  </si>
  <si>
    <t>Copa</t>
  </si>
  <si>
    <t>Escritório</t>
  </si>
  <si>
    <t>Lavabo</t>
  </si>
  <si>
    <t>Banheiro</t>
  </si>
  <si>
    <t>2xJ2 / P3</t>
  </si>
  <si>
    <t>J1 / P3</t>
  </si>
  <si>
    <t>J3 / P4</t>
  </si>
  <si>
    <t>Lavandeiria</t>
  </si>
  <si>
    <t>Pt3 / Pt4</t>
  </si>
  <si>
    <t>Almoxerifado</t>
  </si>
  <si>
    <t>Pt4 / J2</t>
  </si>
  <si>
    <t>Apoio Laboratorio</t>
  </si>
  <si>
    <t>J1 / Vão</t>
  </si>
  <si>
    <t>Hall</t>
  </si>
  <si>
    <t>Pt1 / P2 / 2xP3 / P4 / Vão</t>
  </si>
  <si>
    <t>Platibanda - Caimento 1</t>
  </si>
  <si>
    <t>Platibanda - Caimento 2</t>
  </si>
  <si>
    <t>Platibanda - Caimento 3</t>
  </si>
  <si>
    <t>A5</t>
  </si>
  <si>
    <t>Platibanda - Viga</t>
  </si>
  <si>
    <t xml:space="preserve">Parede externa em alvenaria de tijolos furados de 1/2 vez, com chapisco médio e emboço, revestida com pastilha cerâmia 5x5cm na cor branca, com rejunte na cor cinza médio. (Ref. Atlas, Arada OB-5542)
</t>
  </si>
  <si>
    <t xml:space="preserve">Parede externa em alvenaria, idem A1, com revestimento em pastilha cerâmica 5x5cm na cor azul escuro, com rejunte na cor grafite. (Ref. Atlas, Selênio OB-5220)
</t>
  </si>
  <si>
    <t xml:space="preserve">Parede interna, em alvenaria como a externa, com chapisco médio, emboço e reboco, emassada com massa fina PVA lixada e pintada com 3 (três) demãos de tinta acrílica acetinada branco gelo.
</t>
  </si>
  <si>
    <t xml:space="preserve">Parede interna, idem, com chapisco médio e emboço, com revestimentos em cerâmica PEI-III, 30cm x 30cm, na cor branca até o teto, com rejunte na cor branca, juntas a prumo.
OBS.: Copa, lavabo, laboratório, banheiro e lavanderia receberão impermeabilizante sob revestimento de parede.
</t>
  </si>
  <si>
    <t xml:space="preserve">Parede externa em alvenaria de tijolos furados de 1/2 vez, com chapisco médio, emboço e reboco, emassada e pintada com duas demãos de tinta PVA branco gelo.
</t>
  </si>
  <si>
    <t>Varanda</t>
  </si>
  <si>
    <t xml:space="preserve"> </t>
  </si>
  <si>
    <t xml:space="preserve">Área </t>
  </si>
  <si>
    <t>Teto executado em laje mista, com chapisco médio e reboco, lixado e pintado com tinta PVA na cor branco neve.</t>
  </si>
  <si>
    <t>Total - Teto</t>
  </si>
  <si>
    <t>CASA.CONTROLE_PINT.A5</t>
  </si>
  <si>
    <t>CASA.CONTROLE_PINT.A1.A2</t>
  </si>
  <si>
    <t>CASA.CONTROLE_PINT.A4</t>
  </si>
  <si>
    <t>Pt1</t>
  </si>
  <si>
    <t>Pt2</t>
  </si>
  <si>
    <t>Pt3</t>
  </si>
  <si>
    <t>Pt4</t>
  </si>
  <si>
    <t>C1 - Cerâmica PEI-IV, 30cm x 30cm, cinza claro, assentada com rejunte de 6mm, cinza médio.</t>
  </si>
  <si>
    <t>C3 - Cimentado rústico, sobre lastro de pedregulho ou cascalho, junta em plástico ou madeira a cada metro.</t>
  </si>
  <si>
    <t>CASA.CONTROLE_REG.</t>
  </si>
  <si>
    <t>CASA.CONTROLE_PISO</t>
  </si>
  <si>
    <t>CASA.CONTROLE_CALÇADA</t>
  </si>
  <si>
    <t>CASA.CONTROLE_RODAPE</t>
  </si>
  <si>
    <t>CASA.CONTROLE_SOLEIRA</t>
  </si>
  <si>
    <t>CASA.CONTROLE_BANCADA</t>
  </si>
  <si>
    <t>EMPREEND.: AMPLIAÇÃO ETE - SALA DOS QUADROS ELÉTRICOS</t>
  </si>
  <si>
    <t>SALA DE QUADROS ELÉTRICOS</t>
  </si>
  <si>
    <t>SALA.ELETRICA_SP_LIMP.</t>
  </si>
  <si>
    <t>SALA.ELETRICA_SP_LOCAC.</t>
  </si>
  <si>
    <t>SALA.ELETRICA_ESC.MEC.1</t>
  </si>
  <si>
    <t>SALA.ELETRICA_ESC.MEC.2</t>
  </si>
  <si>
    <t>SALA.ELETRICA_ESC.MEC.3</t>
  </si>
  <si>
    <t>SALA.ELETRICA_ESC.MEC.4</t>
  </si>
  <si>
    <t>SALA.ELETRICA_ESC.MEC.5</t>
  </si>
  <si>
    <t>SALA.ELETRICA_ESC.MEC.6</t>
  </si>
  <si>
    <t>SALA.ELETRICA_ESC.MAN.1</t>
  </si>
  <si>
    <t>SALA.ELETRICA_ESC.MAN.2</t>
  </si>
  <si>
    <t>SALA.ELETRICA_ESC.MAN.3</t>
  </si>
  <si>
    <t>SALA.ELETRICA_ESC.MAN.4</t>
  </si>
  <si>
    <t>SALA.ELETRICA_ESC.MAN.5</t>
  </si>
  <si>
    <t>SALA.ELETRICA_ESC.MAN.6</t>
  </si>
  <si>
    <t>SALA.ELETRICA_ESGOTAM.</t>
  </si>
  <si>
    <t>SALA.ELETRICA_REGUL</t>
  </si>
  <si>
    <t>SALA.ELETRICA_REAT.MEC</t>
  </si>
  <si>
    <t>SALA.ELETRICA_REAT.MAN</t>
  </si>
  <si>
    <t>SALA.ELETRICA_BF_CARGA</t>
  </si>
  <si>
    <t>SALA.ELETRICA_BF_TRANSP</t>
  </si>
  <si>
    <t>SALA.ELETRICA_BF_ESPAL</t>
  </si>
  <si>
    <t>SALA.ELETRICA_FUN_ENSAIO</t>
  </si>
  <si>
    <t>SALA.ELETRICA_PORTA_P1</t>
  </si>
  <si>
    <t>SALA.ELETRICA_VERGA.P</t>
  </si>
  <si>
    <t>SALA.ELETRICA_CONTRAVERGA.P</t>
  </si>
  <si>
    <t>SALA.ELETRICA_CONTRAVERGA.1</t>
  </si>
  <si>
    <t>SALA.ELETRICA_PAR_ALVEN</t>
  </si>
  <si>
    <t>SALA.ELETRICA_CHAP</t>
  </si>
  <si>
    <t>SALA.ELETRICA_CHAP.TETO</t>
  </si>
  <si>
    <t>SALA.ELETRICA_REB</t>
  </si>
  <si>
    <t>SALA.ELETRICA_PINT.A3</t>
  </si>
  <si>
    <t>SALA.ELETRICA_REG.</t>
  </si>
  <si>
    <t>SALA.ELETRICA_PISO</t>
  </si>
  <si>
    <t>SALA.ELETRICA_CALÇADA</t>
  </si>
  <si>
    <t>SALA.ELETRICA_RODAPE</t>
  </si>
  <si>
    <t>SALA.ELETRICA_SOLEIRA</t>
  </si>
  <si>
    <t>SALA.ELETRICA_COBERTURA_COB</t>
  </si>
  <si>
    <t>SALA.ELETRICA_COBERTURA_TRAMA</t>
  </si>
  <si>
    <t>SALA.ELETRICA_COBERTURA_CALHA</t>
  </si>
  <si>
    <t>SALA.ELETRICA_COBERTURA_CUMEEIRA</t>
  </si>
  <si>
    <t>SALA.ELETRICA_COBERTURA_RUFO</t>
  </si>
  <si>
    <t>SALA.ELETRICA_COBERTURA_ARGAM</t>
  </si>
  <si>
    <t>SALA.ELETRICA_BANCADA</t>
  </si>
  <si>
    <t>Vigas</t>
  </si>
  <si>
    <t xml:space="preserve">Escavação até 2,0 a 4,0 m  </t>
  </si>
  <si>
    <t>Escavação das vigas</t>
  </si>
  <si>
    <t>Proj. Estrutural</t>
  </si>
  <si>
    <t>CASA.CONTROLE_JANELA.1</t>
  </si>
  <si>
    <t>CASA.CONTROLE_JANELA.2</t>
  </si>
  <si>
    <t>CASA.CONTROLE_CONTRAVERGA.J1</t>
  </si>
  <si>
    <t>CASA.CONTROLE_VERGA.J1</t>
  </si>
  <si>
    <t>CASA.CONTROLE_VERGA.J2</t>
  </si>
  <si>
    <t>CASA.CONTROLE_CONTRAVERGA.J2</t>
  </si>
  <si>
    <t>SALA.ELETRICA_JANELA</t>
  </si>
  <si>
    <t>SALA.ELETRICA_VERGA.1</t>
  </si>
  <si>
    <t>SALA.ELETRICA_VERGA.2</t>
  </si>
  <si>
    <t>SALA.ELETRICA_CONTRAVERGA.2</t>
  </si>
  <si>
    <t>Sala</t>
  </si>
  <si>
    <t>Desconto - Esquadrias</t>
  </si>
  <si>
    <t>Sala Elétrica</t>
  </si>
  <si>
    <t>Parede externa em alvenaria de tijolos furados de 1/2 vez, com chapisco médio, emboço e reboco, selada e lixada, acabada com 3 (três) demãos de tinta PVA branco gelo, das marcas Suvinil, Coral, Leinertex ou similar</t>
  </si>
  <si>
    <t>Parede interna, em alvenaria como a externa, com chapisco médio, emboço e rebôco, emassada com massa fina PVA lixada e pintada com 3 (três) demãos de tinta acrílica branco gelo, das marcas Suvinil, Coral, Leinertex ou similar.</t>
  </si>
  <si>
    <t>J1/J2/P1</t>
  </si>
  <si>
    <t>J1/J2</t>
  </si>
  <si>
    <t>Total - Paredes Interno/Externo</t>
  </si>
  <si>
    <t>SALA.ELETRICA_PINT.A1</t>
  </si>
  <si>
    <t>Teto</t>
  </si>
  <si>
    <t>SALA.ELETRICA_PINT.TETO</t>
  </si>
  <si>
    <t>CASA.CONTROLE_PINT.TETO</t>
  </si>
  <si>
    <t>SALA.ELETRICA_ARMARIO</t>
  </si>
  <si>
    <t>CASA.CONTROLE_ARMARIO</t>
  </si>
  <si>
    <t>CP_SUPORTE 1</t>
  </si>
  <si>
    <t>CP_SUPORTE 2</t>
  </si>
  <si>
    <t>CP_APOIO FLANGE</t>
  </si>
  <si>
    <t>CP_APOIO TUBO</t>
  </si>
  <si>
    <t>EMPREEND.: AMPLIAÇÃO ETE - TRATAMENTO DO BIOGAS</t>
  </si>
  <si>
    <t>TRATAMENTO DO BIOGAS</t>
  </si>
  <si>
    <t>BIOGAS_SP_LIMP.</t>
  </si>
  <si>
    <t>BIOGAS_SP_LOCAC.</t>
  </si>
  <si>
    <t>BIOGAS_ESC.MEC.1</t>
  </si>
  <si>
    <t>BIOGAS_ESC.MEC.2</t>
  </si>
  <si>
    <t>BIOGAS_ESC.MEC.3</t>
  </si>
  <si>
    <t>BIOGAS_ESC.MEC.4</t>
  </si>
  <si>
    <t>BIOGAS_ESC.MEC.5</t>
  </si>
  <si>
    <t>BIOGAS_ESC.MEC.6</t>
  </si>
  <si>
    <t>BIOGAS_ESC.MAN.1</t>
  </si>
  <si>
    <t>BIOGAS_ESC.MAN.2</t>
  </si>
  <si>
    <t>BIOGAS_ESC.MAN.3</t>
  </si>
  <si>
    <t>BIOGAS_ESC.MAN.4</t>
  </si>
  <si>
    <t>BIOGAS_ESC.MAN.5</t>
  </si>
  <si>
    <t>BIOGAS_ESC.MAN.6</t>
  </si>
  <si>
    <t>BIOGAS_ESGOTAM.</t>
  </si>
  <si>
    <t>BIOGAS_REGUL</t>
  </si>
  <si>
    <t>BIOGAS_REAT.MEC</t>
  </si>
  <si>
    <t>BIOGAS_REAT.MAN</t>
  </si>
  <si>
    <t>BIOGAS_BF_CARGA</t>
  </si>
  <si>
    <t>BIOGAS_BF_TRANSP</t>
  </si>
  <si>
    <t>BIOGAS_BF_ESPAL</t>
  </si>
  <si>
    <t>BIOGAS_FORMA</t>
  </si>
  <si>
    <t>BIOGAS_FUN_ENSAIO</t>
  </si>
  <si>
    <t>BIOGAS_GUARDA CORPO</t>
  </si>
  <si>
    <t>BIOGAS_PINT.A3</t>
  </si>
  <si>
    <t>BIOGAS_PISO</t>
  </si>
  <si>
    <t>Tratamento do Biogás</t>
  </si>
  <si>
    <t>Caixa de Inspeção</t>
  </si>
  <si>
    <t>Queimadores</t>
  </si>
  <si>
    <t>Escavação sapatas (S1=S4=S5=S8)</t>
  </si>
  <si>
    <t>Escavação sapatas (S2=S3=S6=S7)</t>
  </si>
  <si>
    <t>Escavação vigas</t>
  </si>
  <si>
    <t>Total - Escavação Terraplanagem</t>
  </si>
  <si>
    <t>Total - Escavação Sapatas e Vigas</t>
  </si>
  <si>
    <t>Sapatas (S1=S4=S5=S8)</t>
  </si>
  <si>
    <t>Sapatas  (S2=S3=S6=S7)</t>
  </si>
  <si>
    <t>BIOGAS_BRITA</t>
  </si>
  <si>
    <t>BIOGAS_LASTRO</t>
  </si>
  <si>
    <t>CP_SUPORTE.CARVÃO</t>
  </si>
  <si>
    <t>CP_GRADE.PISO</t>
  </si>
  <si>
    <t>BIOGAS_SUPORTE</t>
  </si>
  <si>
    <t>BIOGAS_GRADE</t>
  </si>
  <si>
    <t>BIOGAS_GRADIL</t>
  </si>
  <si>
    <t>ESTRUTURAS METÁLICAS</t>
  </si>
  <si>
    <t>Caixa de inspeção</t>
  </si>
  <si>
    <t>BIOGAS_ALV.ESTR.</t>
  </si>
  <si>
    <t>BIOGAS_CONC.25</t>
  </si>
  <si>
    <t>BIOGAS_CONC.40</t>
  </si>
  <si>
    <t>BIOGAS_COBERT.TELHA</t>
  </si>
  <si>
    <t>CP_BIOGAS.MAT.HIDR.</t>
  </si>
  <si>
    <t>CP_BIOGAS.EQUIP.</t>
  </si>
  <si>
    <t>CP_BIOGAS.MAT.ELÉTR.</t>
  </si>
  <si>
    <t>BIOGAS_MONT.MAT.HIDR.</t>
  </si>
  <si>
    <t>BIOGAS_MONT.EQUIP.</t>
  </si>
  <si>
    <t>BIOGAS_MONT.MAT.ELETR.</t>
  </si>
  <si>
    <t>Envelopamento</t>
  </si>
  <si>
    <t>Tubulação do Biogás - Do tanque de desprendimento de gases ao exaustor</t>
  </si>
  <si>
    <t>AÇO INOX</t>
  </si>
  <si>
    <t>Tubulação do Biogás - Dos Sopradores ao tanque de desprendimento de gases</t>
  </si>
  <si>
    <t>Tubulação do Biogás - Dos Reatores ao Exaustor</t>
  </si>
  <si>
    <t>REDE.ETE_CTD.FF.75</t>
  </si>
  <si>
    <t>3" / 2.1/2"</t>
  </si>
  <si>
    <t>Base do Tanque de desprendimento do Biogas</t>
  </si>
  <si>
    <t>HIPOCLORITO_SP_LIMP.</t>
  </si>
  <si>
    <t>HIPOCLORITO_SP_LOCAC.</t>
  </si>
  <si>
    <t>HIPOCLORITO_ESC.MEC.1</t>
  </si>
  <si>
    <t>HIPOCLORITO_ESC.MEC.2</t>
  </si>
  <si>
    <t>HIPOCLORITO_ESC.MEC.3</t>
  </si>
  <si>
    <t>HIPOCLORITO_ESC.MEC.4</t>
  </si>
  <si>
    <t>HIPOCLORITO_ESC.MEC.5</t>
  </si>
  <si>
    <t>HIPOCLORITO_ESC.MEC.6</t>
  </si>
  <si>
    <t>HIPOCLORITO_ESC.MAN.1</t>
  </si>
  <si>
    <t>HIPOCLORITO_ESC.MAN.2</t>
  </si>
  <si>
    <t>HIPOCLORITO_ESC.MAN.3</t>
  </si>
  <si>
    <t>HIPOCLORITO_ESC.MAN.4</t>
  </si>
  <si>
    <t>HIPOCLORITO_ESC.MAN.5</t>
  </si>
  <si>
    <t>HIPOCLORITO_ESC.MAN.6</t>
  </si>
  <si>
    <t>HIPOCLORITO_ESGOTAM.</t>
  </si>
  <si>
    <t>HIPOCLORITO_REGUL</t>
  </si>
  <si>
    <t>HIPOCLORITO_REAT.MEC</t>
  </si>
  <si>
    <t>HIPOCLORITO_REAT.MAN</t>
  </si>
  <si>
    <t>HIPOCLORITO_BF_CARGA</t>
  </si>
  <si>
    <t>HIPOCLORITO_BF_TRANSP</t>
  </si>
  <si>
    <t>HIPOCLORITO_BF_ESPAL</t>
  </si>
  <si>
    <t>HIPOCLORITO_FUN_ENSAIO</t>
  </si>
  <si>
    <t>HIPOCLORITO_GUARDA CORPO</t>
  </si>
  <si>
    <t>HIPOCLORITO_GRELHA</t>
  </si>
  <si>
    <t>HIPOCLORITO_ELEM.VAZADO</t>
  </si>
  <si>
    <t>HIPOCLORITO_CHAP</t>
  </si>
  <si>
    <t>HIPOCLORITO_CHAP.TETO</t>
  </si>
  <si>
    <t>HIPOCLORITO_REB</t>
  </si>
  <si>
    <t>HIPOCLORITO_PINT.A1</t>
  </si>
  <si>
    <t>HIPOCLORITO_PINT.A3</t>
  </si>
  <si>
    <t>HIPOCLORITO_PINT.SELADOR</t>
  </si>
  <si>
    <t>HIPOCLORITO_MONT.MAT.HIDR.</t>
  </si>
  <si>
    <t>HIPOCLORITO_MONT.EQUIP.</t>
  </si>
  <si>
    <t>HIPOCLORITO_MONT.MAT.ELETR.</t>
  </si>
  <si>
    <t>BIOGAS_PORTÃO</t>
  </si>
  <si>
    <t>BIOGAS_GRELHA</t>
  </si>
  <si>
    <t>BIOGAS_REG.PISO</t>
  </si>
  <si>
    <t>TANQUE HIPOCLORITO DE SÓDIO</t>
  </si>
  <si>
    <t>Abrigo dos Tanques</t>
  </si>
  <si>
    <t>HIPOCLORITO_BRITA</t>
  </si>
  <si>
    <t>HIPOCLORITO_LASTRO</t>
  </si>
  <si>
    <t>HIPOCLORITO_CONC.25</t>
  </si>
  <si>
    <t>HIPOCLORITO_SUPORTE</t>
  </si>
  <si>
    <t>HIPOCLORITO_GRADE</t>
  </si>
  <si>
    <t>HIPOCLORITO_PORTÃO</t>
  </si>
  <si>
    <t>HIPOCLORITO_PISO</t>
  </si>
  <si>
    <t>HIPOCLORITO_REG.PISO</t>
  </si>
  <si>
    <t>Abrigo das Bombas</t>
  </si>
  <si>
    <t>Caixa de drenagem</t>
  </si>
  <si>
    <t>Caixa de passagem</t>
  </si>
  <si>
    <t>Abrigo dos Tanques - Pilares</t>
  </si>
  <si>
    <t>Abrigo dos Tanques - Laje de Fundo</t>
  </si>
  <si>
    <t>Abrigo dos Tanques - Paredes Internas e Externas</t>
  </si>
  <si>
    <t>Abrigo das Bombas - Pilares</t>
  </si>
  <si>
    <t>Abrigo das Bombas - Laje de Cobertura</t>
  </si>
  <si>
    <t>Canaleta - Paredes Internas e Externas</t>
  </si>
  <si>
    <t>Canaleta - Paredes Internas e Externas e Laje de Fundo</t>
  </si>
  <si>
    <t xml:space="preserve">Escada </t>
  </si>
  <si>
    <t>Area lateral</t>
  </si>
  <si>
    <t>Area em planta</t>
  </si>
  <si>
    <t>Desconto</t>
  </si>
  <si>
    <t>Parede longitudinal</t>
  </si>
  <si>
    <t>Parede transversal</t>
  </si>
  <si>
    <t>Abrigo das Bombas - Vigas Longitudinal</t>
  </si>
  <si>
    <t>Abrigo das Bombas - Vigas transversal</t>
  </si>
  <si>
    <t>HIPOCLORITO_VERGA.P</t>
  </si>
  <si>
    <t>HIPOCLORITO_CONTRAVERGA.P</t>
  </si>
  <si>
    <t>Caixas de Passagem</t>
  </si>
  <si>
    <t>Caixas de Passagem - Laje de fundo</t>
  </si>
  <si>
    <t>Caixas de Passagem - Laje de tampa</t>
  </si>
  <si>
    <t>HIPOCLORITO_PINT.TETO</t>
  </si>
  <si>
    <t>Laje de cobertura</t>
  </si>
  <si>
    <t>Total - Alvenaria (x2)</t>
  </si>
  <si>
    <t>Paredes Internas</t>
  </si>
  <si>
    <t>Paredes Externas</t>
  </si>
  <si>
    <t>Paredes Int./Ext</t>
  </si>
  <si>
    <t>HIPOCLORITO_CALÇADA</t>
  </si>
  <si>
    <t>HIPOCLORITO_ALVENARIA</t>
  </si>
  <si>
    <t xml:space="preserve">Laje de Cobertura </t>
  </si>
  <si>
    <t>Tubulação da Aplicação do Hipoclorito</t>
  </si>
  <si>
    <t>HIPOCLORITO_CHUVEIRO</t>
  </si>
  <si>
    <t>Chuveiro Lava Olhos</t>
  </si>
  <si>
    <t>EMPREEND.: AMPLIAÇÃO ETE - ESTRUTURA DE LANÇAMENTO FINAL DO EFLUENTE</t>
  </si>
  <si>
    <t>ESTRUTURA DE LANÇAMENTO FINAL DO EFLUENTE</t>
  </si>
  <si>
    <t>LÇTO.FINAL_SP_LIMP.</t>
  </si>
  <si>
    <t>LÇTO.FINAL_SP_LOCAC.</t>
  </si>
  <si>
    <t>LÇTO.FINAL_ESC.MEC.1</t>
  </si>
  <si>
    <t>LÇTO.FINAL_ESC.MEC.2</t>
  </si>
  <si>
    <t>LÇTO.FINAL_ESC.MEC.3</t>
  </si>
  <si>
    <t>LÇTO.FINAL_ESC.MEC.4</t>
  </si>
  <si>
    <t>LÇTO.FINAL_ESC.MEC.5</t>
  </si>
  <si>
    <t>LÇTO.FINAL_ESC.MEC.6</t>
  </si>
  <si>
    <t>LÇTO.FINAL_ESC.MAN.1</t>
  </si>
  <si>
    <t>LÇTO.FINAL_ESC.MAN.2</t>
  </si>
  <si>
    <t>LÇTO.FINAL_ESC.MAN.3</t>
  </si>
  <si>
    <t>LÇTO.FINAL_ESC.MAN.4</t>
  </si>
  <si>
    <t>LÇTO.FINAL_ESC.MAN.5</t>
  </si>
  <si>
    <t>LÇTO.FINAL_ESC.MAN.6</t>
  </si>
  <si>
    <t>LÇTO.FINAL_ESGOTAM.</t>
  </si>
  <si>
    <t>LÇTO.FINAL_REGUL</t>
  </si>
  <si>
    <t>LÇTO.FINAL_REAT.MEC</t>
  </si>
  <si>
    <t>LÇTO.FINAL_REAT.MAN</t>
  </si>
  <si>
    <t>LÇTO.FINAL_BF_CARGA</t>
  </si>
  <si>
    <t>LÇTO.FINAL_BF_TRANSP</t>
  </si>
  <si>
    <t>LÇTO.FINAL_BF_ESPAL</t>
  </si>
  <si>
    <t>LÇTO.FINAL_BRITA</t>
  </si>
  <si>
    <t>LÇTO.FINAL_LASTRO</t>
  </si>
  <si>
    <t>LÇTO.FINAL_FUN_ENSAIO</t>
  </si>
  <si>
    <t>LÇTO.FINAL_REG.PISO</t>
  </si>
  <si>
    <t>Tanque de contato</t>
  </si>
  <si>
    <t>Tanque de contato - Pilares</t>
  </si>
  <si>
    <t>Tanque de contato - Laje de Fundo</t>
  </si>
  <si>
    <t>Tanque de contato - Paredes Externas</t>
  </si>
  <si>
    <t xml:space="preserve">Tanque de contato - Paredes Internas </t>
  </si>
  <si>
    <t>ESTRUTURA DE PROTEÇÃO</t>
  </si>
  <si>
    <t>LÇTO.FINAL_GABIÃO</t>
  </si>
  <si>
    <t>Peça 1</t>
  </si>
  <si>
    <t>Peça 2</t>
  </si>
  <si>
    <t>Peça 3</t>
  </si>
  <si>
    <t>Tanque de Contato</t>
  </si>
  <si>
    <t>LÇTO.FINAL_PV.2.0</t>
  </si>
  <si>
    <t>Gabião</t>
  </si>
  <si>
    <t>LEITO.SECAGEM_SP_LOCAC.</t>
  </si>
  <si>
    <t>LEITO.SECAGEM_ESC.MEC.1</t>
  </si>
  <si>
    <t>LEITO.SECAGEM_ESC.MEC.2</t>
  </si>
  <si>
    <t>LEITO.SECAGEM_ESC.MEC.3</t>
  </si>
  <si>
    <t>LEITO.SECAGEM_ESC.MEC.4</t>
  </si>
  <si>
    <t>LEITO.SECAGEM_ESC.MEC.5</t>
  </si>
  <si>
    <t>LEITO.SECAGEM_ESC.MEC.6</t>
  </si>
  <si>
    <t>LEITO.SECAGEM_ESC.MAN.1</t>
  </si>
  <si>
    <t>LEITO.SECAGEM_ESC.MAN.2</t>
  </si>
  <si>
    <t>LEITO.SECAGEM_ESC.MAN.3</t>
  </si>
  <si>
    <t>LEITO.SECAGEM_ESC.MAN.4</t>
  </si>
  <si>
    <t>LEITO.SECAGEM_ESC.MAN.5</t>
  </si>
  <si>
    <t>LEITO.SECAGEM_ESC.MAN.6</t>
  </si>
  <si>
    <t>LEITO.SECAGEM_ESGOTAM.</t>
  </si>
  <si>
    <t>LEITO.SECAGEM_REGUL</t>
  </si>
  <si>
    <t>LEITO.SECAGEM_REAT.MEC</t>
  </si>
  <si>
    <t>LEITO.SECAGEM_REAT.MAN</t>
  </si>
  <si>
    <t>LEITO.SECAGEM_FUN_ENSAIO</t>
  </si>
  <si>
    <t>LEITO.SECAGEM_ALVENARIA</t>
  </si>
  <si>
    <t>LEITO.SECAGEM_CHAP</t>
  </si>
  <si>
    <t>LEITO.SECAGEM_REB</t>
  </si>
  <si>
    <t>LEITO.SECAGEM_MONT.MAT.HIDR.</t>
  </si>
  <si>
    <t>Leitos de secagem</t>
  </si>
  <si>
    <t>Área dos Leitos de secagem</t>
  </si>
  <si>
    <t xml:space="preserve">Escavação até 2,0 m </t>
  </si>
  <si>
    <t>TRANSPORTE, CARGA E DESCARGA DE MATERIAL (JAZIDA)</t>
  </si>
  <si>
    <t>CAMADA FILTRANTE</t>
  </si>
  <si>
    <t>Laje de Fundo</t>
  </si>
  <si>
    <t>Pilares</t>
  </si>
  <si>
    <t>ESTRUTURA DE CONCRETO</t>
  </si>
  <si>
    <t>LEITO.SECAGEM_BRITANº2</t>
  </si>
  <si>
    <t>LEITO.SECAGEM_PEDRISCO</t>
  </si>
  <si>
    <t>LEITO.SECAGEM_LASTRO.CONCR.</t>
  </si>
  <si>
    <t>LEITO.SECAGEM_LASTRO.AREIA</t>
  </si>
  <si>
    <t>LEITO.SECAGEM_LASTRO.BRITA</t>
  </si>
  <si>
    <t>Estribo  φ5.0 c/15 (kg)</t>
  </si>
  <si>
    <t>Ferragem  4φ8.0 (kg)</t>
  </si>
  <si>
    <t>Leitos de Secagem (3, 4)</t>
  </si>
  <si>
    <t>Leitos de Secagem (1, 2)</t>
  </si>
  <si>
    <t>Vigas não concluidas</t>
  </si>
  <si>
    <t>Comprimento (x2)</t>
  </si>
  <si>
    <t>Largura (x11)</t>
  </si>
  <si>
    <t>Camada de tijolo sobre o leito filtrante</t>
  </si>
  <si>
    <t>Revestimento Interno</t>
  </si>
  <si>
    <t>Revestimento Externo</t>
  </si>
  <si>
    <t>Não concluidos</t>
  </si>
  <si>
    <t>LEITO.SECAGEM_PV.1.5</t>
  </si>
  <si>
    <t>LEITO.SECAGEM_PV.2.0</t>
  </si>
  <si>
    <t>LEITO.SECAGEM_CAIXA</t>
  </si>
  <si>
    <t>REATOR_SP_LIMP.</t>
  </si>
  <si>
    <t>REATOR_SP_LOCAC.</t>
  </si>
  <si>
    <t>REATOR_ESC.MEC.1</t>
  </si>
  <si>
    <t>REATOR_ESC.MEC.2</t>
  </si>
  <si>
    <t>REATOR_ESC.MEC.3</t>
  </si>
  <si>
    <t>REATOR_ESC.MEC.4</t>
  </si>
  <si>
    <t>REATOR_ESC.MEC.5</t>
  </si>
  <si>
    <t>REATOR_ESC.MEC.6</t>
  </si>
  <si>
    <t>REATOR_ESC.MAN.1</t>
  </si>
  <si>
    <t>REATOR_ESC.MAN.2</t>
  </si>
  <si>
    <t>REATOR_ESC.MAN.3</t>
  </si>
  <si>
    <t>REATOR_ESC.MAN.4</t>
  </si>
  <si>
    <t>REATOR_ESC.MAN.5</t>
  </si>
  <si>
    <t>REATOR_ESC.MAN.6</t>
  </si>
  <si>
    <t>REATOR_ESGOTAM.</t>
  </si>
  <si>
    <t>REATOR_REGUL</t>
  </si>
  <si>
    <t>REATOR_REAT.MEC</t>
  </si>
  <si>
    <t>REATOR_REAT.MAN</t>
  </si>
  <si>
    <t>REATOR_JAZIDA_AQUIS.</t>
  </si>
  <si>
    <t>REATOR_JAZIDA_CARGA</t>
  </si>
  <si>
    <t>REATOR_JAZIDA_TRANSP</t>
  </si>
  <si>
    <t>REATOR_JAZIDA_ESPAL</t>
  </si>
  <si>
    <t>REATOR_LASTRO.CONCR.</t>
  </si>
  <si>
    <t>REATOR_FORMA</t>
  </si>
  <si>
    <t>REATOR_CONC.15</t>
  </si>
  <si>
    <t>REATOR_FUN_ARM 5</t>
  </si>
  <si>
    <t>REATOR_FUN_ENSAIO</t>
  </si>
  <si>
    <t>REATOR_CAIXA</t>
  </si>
  <si>
    <t>REATOR_MONT.MAT.HIDR.</t>
  </si>
  <si>
    <t>EMPREEND.: AMPLIAÇÃO ETE - REATORES UASB</t>
  </si>
  <si>
    <t>REATORES UASB</t>
  </si>
  <si>
    <t>Reator 1 e 2 (parcialmente executados)</t>
  </si>
  <si>
    <t>Reator 3 (não executado)</t>
  </si>
  <si>
    <t>Reator 3</t>
  </si>
  <si>
    <t xml:space="preserve">Escavação de 4,0 m a 6,0 m  </t>
  </si>
  <si>
    <t>Escavação Total</t>
  </si>
  <si>
    <t>REATOR_ESC.MEC.7</t>
  </si>
  <si>
    <t>REATOR_ESC.MEC.8</t>
  </si>
  <si>
    <t>REATOR_ESC.MEC.9</t>
  </si>
  <si>
    <t>Volume Escavado (60% de aproveitamento )</t>
  </si>
  <si>
    <t>Volume Jazida (40% do volume escavado p/ bota-fora)</t>
  </si>
  <si>
    <t>Vol.  Jazida</t>
  </si>
  <si>
    <t>TRANSPORTE, CARGA E DESCARGA DE MATERIAL (BOTA-FORA)</t>
  </si>
  <si>
    <t>REATOR_BF_CARGA</t>
  </si>
  <si>
    <t>REATOR_BF_TRANSP</t>
  </si>
  <si>
    <t>REATOR_BF_ESPAL</t>
  </si>
  <si>
    <t>Paredes externas (PAR1/PAR2/PAR3/PAR4)</t>
  </si>
  <si>
    <t>Vigas  (V1/V2/V7/V8/V10/V11/V16/V17)</t>
  </si>
  <si>
    <t>Vigas  (V3/V6/V12/V15)</t>
  </si>
  <si>
    <t>Vigas  (V4/V5/V13/V14)</t>
  </si>
  <si>
    <t>Vigas  (V18/V19/V20/V21/V22/V23/V24/V25)</t>
  </si>
  <si>
    <t>Viga V9</t>
  </si>
  <si>
    <t>Viga VF</t>
  </si>
  <si>
    <t>Abertura</t>
  </si>
  <si>
    <t>Apoio das tubulações</t>
  </si>
  <si>
    <t>Bloco</t>
  </si>
  <si>
    <t>Detalhe 1</t>
  </si>
  <si>
    <t>Detalhe 2</t>
  </si>
  <si>
    <t>Detalhe 3</t>
  </si>
  <si>
    <t>Detalhe 4</t>
  </si>
  <si>
    <t>Detalhe 5</t>
  </si>
  <si>
    <t>Detalhe 6</t>
  </si>
  <si>
    <t>Detalhe 7</t>
  </si>
  <si>
    <t>Laje de fundo - CDR</t>
  </si>
  <si>
    <t>Parede PT5</t>
  </si>
  <si>
    <t>Parede PT6</t>
  </si>
  <si>
    <t>Parede PT7</t>
  </si>
  <si>
    <t>Parede PT8</t>
  </si>
  <si>
    <t>Parede PT9</t>
  </si>
  <si>
    <t>Parede PT10</t>
  </si>
  <si>
    <t>Parede PT11</t>
  </si>
  <si>
    <t>Parede PT12</t>
  </si>
  <si>
    <t>Laje de tampa - CDR</t>
  </si>
  <si>
    <t>Tampa - Abertura 1</t>
  </si>
  <si>
    <t>Tampa - Abertura 2</t>
  </si>
  <si>
    <t>Tampa - Abertura 3</t>
  </si>
  <si>
    <t>Tampa - Abertura 4</t>
  </si>
  <si>
    <t>Tampa - Abertura 5</t>
  </si>
  <si>
    <t>Total - Formas Reator 3</t>
  </si>
  <si>
    <t>Reatores 1 e 2 (Parcialmente executados)</t>
  </si>
  <si>
    <t>Pilares (P1 a P24)</t>
  </si>
  <si>
    <t>Pilar PC da CDR</t>
  </si>
  <si>
    <t>Total - Formas Reatores 1 e 2</t>
  </si>
  <si>
    <t>Ltotal</t>
  </si>
  <si>
    <t>Estacas dos Blocos (Reatores 1, 2 e 3)</t>
  </si>
  <si>
    <t>Total - Concreto Reator 3</t>
  </si>
  <si>
    <t>Total - Concreto Reatores 1 e 2</t>
  </si>
  <si>
    <t>Bloco/Estaca/PC</t>
  </si>
  <si>
    <t xml:space="preserve">Apoio da Tubulação/Laje de fundo/ Cantos 1 a 2/ Detalhes 1 a 7/ Pilares P1 ao P24) </t>
  </si>
  <si>
    <t>Paredes (PAR1 a PAR4)/ PT5 a PT7</t>
  </si>
  <si>
    <t>Laje da CDR/ PT9 a PT12</t>
  </si>
  <si>
    <t>Laje das Tampa / Vigas da Tampa</t>
  </si>
  <si>
    <t xml:space="preserve"> Detalhes 1, 4, 6 e 7</t>
  </si>
  <si>
    <t>6.3</t>
  </si>
  <si>
    <t>8.0</t>
  </si>
  <si>
    <t>10.0</t>
  </si>
  <si>
    <t>Bitola</t>
  </si>
  <si>
    <t>Detalhe 6 (x2)</t>
  </si>
  <si>
    <t>Detalhe 7 (x2)</t>
  </si>
  <si>
    <t>Extensão (cm)</t>
  </si>
  <si>
    <t>kg/m</t>
  </si>
  <si>
    <t>Paredes (PAR1 a PAR4)</t>
  </si>
  <si>
    <t>PT5 a PT7</t>
  </si>
  <si>
    <t>12.5</t>
  </si>
  <si>
    <t>20.0</t>
  </si>
  <si>
    <t>PAR2</t>
  </si>
  <si>
    <t>AÇO - Paredes (PAR1 a PAR4)</t>
  </si>
  <si>
    <t>AÇO - Detalhes 1, 4, 6 e 7</t>
  </si>
  <si>
    <t>CONCRETO - Paredes (PAR1 a PAR4)</t>
  </si>
  <si>
    <t>Altura (m)</t>
  </si>
  <si>
    <t>Espessura (m)</t>
  </si>
  <si>
    <t>Volume (m³)</t>
  </si>
  <si>
    <t>PAR1 (x2)</t>
  </si>
  <si>
    <t>PAR3=PAR4 (x4)</t>
  </si>
  <si>
    <t>Total - Concreto</t>
  </si>
  <si>
    <t>Taxa de Aço/Concreto</t>
  </si>
  <si>
    <t>PT5 (x2)</t>
  </si>
  <si>
    <t>PT6 (x2)</t>
  </si>
  <si>
    <t>PT7 (x2)</t>
  </si>
  <si>
    <t xml:space="preserve">Total </t>
  </si>
  <si>
    <t>REATOR_REGULARIZAÇÃO</t>
  </si>
  <si>
    <t>REATOR_VERNIZ</t>
  </si>
  <si>
    <t>Pintura interna do reator em contato com o liquido e gases</t>
  </si>
  <si>
    <t>Reatores 1, 2, 3</t>
  </si>
  <si>
    <t>Paredes internas (PAR1/PAR2/PAR3/PAR4)</t>
  </si>
  <si>
    <t>Vigas (V1/V2/V7/V8/V10/V11/V16/V17)</t>
  </si>
  <si>
    <t>Fundo dos reatores</t>
  </si>
  <si>
    <t>Area</t>
  </si>
  <si>
    <t xml:space="preserve">Detalhe 2 </t>
  </si>
  <si>
    <t>Canaleta externa do reator</t>
  </si>
  <si>
    <t>Canaleta interna do reator</t>
  </si>
  <si>
    <t>CP_REATOR.MAT.HIDR.</t>
  </si>
  <si>
    <t>REATOR_LIMPEZA.FINAL</t>
  </si>
  <si>
    <t>Fevereiro de 2017</t>
  </si>
  <si>
    <t>TRANSPORTE, CARGA E DESCARGA DE MATERIAL (BOTA FORA E JAZIDA)</t>
  </si>
  <si>
    <t>REATOR_CONC.40</t>
  </si>
  <si>
    <t>REATOR_IMPERMEABILIZAÇÃO1</t>
  </si>
  <si>
    <t>REATOR_IMPERMEABILIZAÇÃO2</t>
  </si>
  <si>
    <t>LEITO.SECAGEM_BRITANº1</t>
  </si>
  <si>
    <t>REDE.ETE_CADASTRO</t>
  </si>
  <si>
    <t>REDE.ETE_ESCOR.PRANC.</t>
  </si>
  <si>
    <t>CTD E MONTAGEM DE TUBOS</t>
  </si>
  <si>
    <t xml:space="preserve"> TRATAMENTO DO BIOGAS</t>
  </si>
  <si>
    <t xml:space="preserve"> ESTRUTURAS METÁLICAS</t>
  </si>
  <si>
    <t>EMPREEND.: AMPLIAÇÃO ETE - DESINFECÇÃO HIPOCLORITO DE SÓDIO</t>
  </si>
  <si>
    <t xml:space="preserve"> DESINFECÇÃO - HIPOCLORITO DE SÓDIO</t>
  </si>
  <si>
    <t xml:space="preserve"> ESTRUTURA DE LANÇAMENTO FINAL DO EFLUENTE</t>
  </si>
  <si>
    <t xml:space="preserve"> SALA ELÉTRICA</t>
  </si>
  <si>
    <t xml:space="preserve"> ESTRUTURA DE PROTEÇÃO</t>
  </si>
  <si>
    <t xml:space="preserve"> ASSENTAMENTO DAS TUBULAÇÕES</t>
  </si>
  <si>
    <t xml:space="preserve"> TORNEIRA EXTERNA (BLOCO)</t>
  </si>
  <si>
    <t xml:space="preserve"> PAVIMENTAÇÃO</t>
  </si>
  <si>
    <t xml:space="preserve"> ARBORIZAÇÃO</t>
  </si>
  <si>
    <t xml:space="preserve"> MURO DE ARRIMO</t>
  </si>
  <si>
    <t>AMPLIAÇÃO DA ETE</t>
  </si>
  <si>
    <t>URBANIZAÇÃO</t>
  </si>
  <si>
    <t xml:space="preserve"> TRATAMENTO PRELIMINAR</t>
  </si>
  <si>
    <t>RE.AI.01</t>
  </si>
  <si>
    <t>Bucha de redução em aço inox, AISI 304, classe 3000 libras, roscável, DN1 1/2" x 1"</t>
  </si>
  <si>
    <t>RE.AI.02</t>
  </si>
  <si>
    <t>Bucha de redução roscável em aço inox, AISI 304, classe 3000 libras, DN 1" x 3/4"</t>
  </si>
  <si>
    <t>RE.AI.03</t>
  </si>
  <si>
    <t>Cap em aço inox, AISI 304, classe 3000 libras, DN2"</t>
  </si>
  <si>
    <t>RE.AI.04</t>
  </si>
  <si>
    <t>Comporta de superficie com volante em aço inox 0,70m x 1,05m</t>
  </si>
  <si>
    <t>RE.AI.05</t>
  </si>
  <si>
    <t>Cruzeta em aço inox, AISI 304, classe 3000 libras, DN2 1/2"</t>
  </si>
  <si>
    <t>RE.AI.06</t>
  </si>
  <si>
    <t>Curva 45° em aço inox, AISI 304, classe 3000 libras, DN2 1/2"</t>
  </si>
  <si>
    <t>RE.AI.07</t>
  </si>
  <si>
    <t>Curva 90° em aço inox, AISI 304, classe 3000 libras, DN3"</t>
  </si>
  <si>
    <t>RE.AI.08</t>
  </si>
  <si>
    <t>RE.AI.09</t>
  </si>
  <si>
    <t>Curva 90° em aço inox, AISI 304, classe 3000 libras, roscável, DN1"</t>
  </si>
  <si>
    <t>RE.AI.10</t>
  </si>
  <si>
    <t>Curva 90° em aço inox, DN100</t>
  </si>
  <si>
    <t>RE.AI.11</t>
  </si>
  <si>
    <t>Curva 90° roscável em aço inox, AISI 304, classe 3000 libras, DN 3/4"</t>
  </si>
  <si>
    <t>RE.AI.12</t>
  </si>
  <si>
    <t>Curva 90° roscável, em aço inox, AISI 304, classe 3000 libras,  DN1 1/2"</t>
  </si>
  <si>
    <t>RE.AI.13</t>
  </si>
  <si>
    <t>Curva de 90° em aço inox, AISI 304, classe 3000 libras, DN2 1/2"</t>
  </si>
  <si>
    <t>RE.AI.14</t>
  </si>
  <si>
    <t>Curva de 90° em aço inox, AISI, classe 3000 libras, DN2"</t>
  </si>
  <si>
    <t>RE.AI.15</t>
  </si>
  <si>
    <t>Disco de tela milimetrada em aço inox, DN100</t>
  </si>
  <si>
    <t>RE.AI.16</t>
  </si>
  <si>
    <t>Disco de tela milimetrado em aço inox ou cobre, DN150</t>
  </si>
  <si>
    <t>RE.AI.17</t>
  </si>
  <si>
    <t>Flange avulso em aço inox, PN-10. DN100</t>
  </si>
  <si>
    <t>RE.AI.18</t>
  </si>
  <si>
    <t>Luva em aço inox, AISI 304, classe 3000 libras, DN2"</t>
  </si>
  <si>
    <t>RE.AI.19</t>
  </si>
  <si>
    <t>Luva roscável em aço inox, AISI 304, classe 3000 libras, DN1"</t>
  </si>
  <si>
    <t>RE.AI.20</t>
  </si>
  <si>
    <t>Luva roscável em aço inox, AISI 304, classe 3000 libras, DN3/4"</t>
  </si>
  <si>
    <t>RE.AI.21</t>
  </si>
  <si>
    <t>Niple duplo em aço inox, AISI 304, classe 3000 libras, DN3"</t>
  </si>
  <si>
    <t>RE.AI.22</t>
  </si>
  <si>
    <t>Niple duplo em aço inox, AISI 304, classe 3000 libras, DN3/4"</t>
  </si>
  <si>
    <t>RE.AI.23</t>
  </si>
  <si>
    <t>Redução concentrica em aço inox, AISI 304, classe 3000 libras, DN3" x DN2"</t>
  </si>
  <si>
    <t>RE.AI.24</t>
  </si>
  <si>
    <t>Tê de redução roscável em aço inox, AISI 304, classe 3000 libras, DN1" x 3/4"</t>
  </si>
  <si>
    <t>RE.AI.25</t>
  </si>
  <si>
    <t>Tê em aço inox, AISI 304, classe 3000 libras, DN2 1/2"</t>
  </si>
  <si>
    <t>RE.AI.26</t>
  </si>
  <si>
    <t>Tê em aço inox, AISI 304, classe 3000 libras, DN2"</t>
  </si>
  <si>
    <t>RE.AI.27</t>
  </si>
  <si>
    <t>Tê roscável em aço inox, AISI 304, classe 3000 libras, DN1"</t>
  </si>
  <si>
    <t>RE.AI.28</t>
  </si>
  <si>
    <t>Tubo em aço inox ponta e flange, AISI 304, classe 3000 libras, DN2", L=0,10m</t>
  </si>
  <si>
    <t>RE.AI.29</t>
  </si>
  <si>
    <t>Tubo em aço inox, AISI 304, classe 3000 libras, DN2 1/2"</t>
  </si>
  <si>
    <t>RE.AI.30</t>
  </si>
  <si>
    <t>Tubo em aço inox, AISI 304, classe 3000 libras, DN2"</t>
  </si>
  <si>
    <t>RE.AI.31</t>
  </si>
  <si>
    <t>Tubo em aço inox, AISI 304, classe 3000 libras, DN2", L=0,50m</t>
  </si>
  <si>
    <t>RE.AI.32</t>
  </si>
  <si>
    <t>Tubo em aço inox, AISI 304, classe 3000 libras, DN3"</t>
  </si>
  <si>
    <t>RE.AI.33</t>
  </si>
  <si>
    <t>Tubo em aço inox, AISI, classe 3000 libras, DN1"</t>
  </si>
  <si>
    <t>RE.AI.34</t>
  </si>
  <si>
    <t>Tubo em aço inox, AISI, classe 3000 libras, DN3"</t>
  </si>
  <si>
    <t>RE.AI.35</t>
  </si>
  <si>
    <t>Tubo em aço inox, DN100</t>
  </si>
  <si>
    <t>RE.AI.36</t>
  </si>
  <si>
    <t>Tubo roscável em aço inox, AISI 304, classe 3000 libras, DN 1"</t>
  </si>
  <si>
    <t>RE.AI.37</t>
  </si>
  <si>
    <t>Tubo roscável em aço inox, AISI 304, classe 3000 libras, DN 3/4"</t>
  </si>
  <si>
    <t>RE.AI.38</t>
  </si>
  <si>
    <t>Tubo roscável em aço inox, AISI 304, classe 3000 libras, DN1 1/2"</t>
  </si>
  <si>
    <t>RE.AI.39</t>
  </si>
  <si>
    <t>União em aço inox, AISI 304, classe 3000 libras, DN2 1/2"</t>
  </si>
  <si>
    <t>RE.AI.40</t>
  </si>
  <si>
    <t>União em aço inox, AISI 304, classe 3000 libras, DN3/4"</t>
  </si>
  <si>
    <t>RE.AI.41</t>
  </si>
  <si>
    <t>União em aço inox, AISI, classe 3000 libras, DN2"</t>
  </si>
  <si>
    <t>TH.AI.01</t>
  </si>
  <si>
    <t>Espigão 90°, em aço inox, DN 1/2"</t>
  </si>
  <si>
    <t>TH.AI.02</t>
  </si>
  <si>
    <t>Espigão duplo, em aço inox, DN 1/2"</t>
  </si>
  <si>
    <t>TB.AI.01</t>
  </si>
  <si>
    <t>Curva 90° em aço inox, AISI 304, classe 3000 libras, raio longo com pontas para solda, DN3"</t>
  </si>
  <si>
    <t>TB.AI.02</t>
  </si>
  <si>
    <t>Tê com pontas para solda em aço inox, AISI 304, classe 3000 libras, DN3"</t>
  </si>
  <si>
    <t>TB.AI.03</t>
  </si>
  <si>
    <t>União soldável em aço inox, AISI 304, classe 3000 libras, DN3"</t>
  </si>
  <si>
    <t>TB.AI.04</t>
  </si>
  <si>
    <t>Curva 45° com pontas para solda em aço inox, AISI 304, classe 3000 libras, DN3"</t>
  </si>
  <si>
    <t>TB.AI.05</t>
  </si>
  <si>
    <t>Tubo com pontas para solda em aço inox, AISI 304, classe 3000 libras , DN3"</t>
  </si>
  <si>
    <t>TB.AI.06</t>
  </si>
  <si>
    <t>Tubo ponta e flange em aço inox, AISI 304, classe 3000 libras, DN3", L=0,10m</t>
  </si>
  <si>
    <t>TB.AI.07</t>
  </si>
  <si>
    <t>Tê com pontas para solda em aço inox, AISI 304, classe 3000 libras, DN2 1/2"</t>
  </si>
  <si>
    <t>TB.AI.08</t>
  </si>
  <si>
    <t>União soldável em aço inox, AISI 304, classe 3000 libras, DN2 1/2"</t>
  </si>
  <si>
    <t>TB.AI.09</t>
  </si>
  <si>
    <t>Tubo com pontas para solda em aço inox, AISI 304, classe 3000 libras, DN2 1/2"</t>
  </si>
  <si>
    <t>TB.AI.10</t>
  </si>
  <si>
    <t>TB.AI.11</t>
  </si>
  <si>
    <t>TB.AI.12</t>
  </si>
  <si>
    <t>TB.AI.13</t>
  </si>
  <si>
    <t>Tubo com pontas para solda em aço inox, AISI 304, classe 3000 libras, DN3"</t>
  </si>
  <si>
    <t>TB.AI.14</t>
  </si>
  <si>
    <t>Tubo ponta e flange em aço inox, AISI 304, classe 3000 libras, DN3", L=0,10</t>
  </si>
  <si>
    <t>TB.AI.15</t>
  </si>
  <si>
    <t>Curva 90° em  aço inox, AISI 304, classe 3000 libras, raio longo com pontas para solda, DN3"</t>
  </si>
  <si>
    <t>TB.AI.16</t>
  </si>
  <si>
    <t>TB.AI.17</t>
  </si>
  <si>
    <t>TB.AI.18</t>
  </si>
  <si>
    <t>TB.AI.19</t>
  </si>
  <si>
    <t>RE.AR.01</t>
  </si>
  <si>
    <t>Arruela para flanges, PN-10, DN200</t>
  </si>
  <si>
    <t>CDR.AR.01</t>
  </si>
  <si>
    <t>Arruelas para flanges, PN-10, DN 400</t>
  </si>
  <si>
    <t>CDR.AR.02</t>
  </si>
  <si>
    <t>Arruelas para flanges, PN-10, DN 600</t>
  </si>
  <si>
    <t>TP.AR.01</t>
  </si>
  <si>
    <t>Arruelas para flanges, PN-10, DN100</t>
  </si>
  <si>
    <t>RE.AR.02</t>
  </si>
  <si>
    <t>Arruelas para flanges, PN-10, DN150</t>
  </si>
  <si>
    <t>LS.AR.01</t>
  </si>
  <si>
    <t>RE.AR.03</t>
  </si>
  <si>
    <t>Arruelas para flanges, PN-10, DN2"</t>
  </si>
  <si>
    <t>RE.AR.04</t>
  </si>
  <si>
    <t>Arruelas para flanges, PN-10, DN250</t>
  </si>
  <si>
    <t>TP.AR.02</t>
  </si>
  <si>
    <t>Arruelas para flanges, PN-10, DN300</t>
  </si>
  <si>
    <t>RE.AR.05</t>
  </si>
  <si>
    <t>TP.AR.03</t>
  </si>
  <si>
    <t>Arruelas para flanges, PN-10, DN400</t>
  </si>
  <si>
    <t>TP.AR.04</t>
  </si>
  <si>
    <t>Arruelas para flanges, PN-10, DN600</t>
  </si>
  <si>
    <t>TP.AR.05</t>
  </si>
  <si>
    <t>Arruelas para flanges, PN-10, DN80</t>
  </si>
  <si>
    <t>RE.AR.06</t>
  </si>
  <si>
    <t>Arruelas para flanges, PN-10, DN800</t>
  </si>
  <si>
    <t>RE.F°F°.01</t>
  </si>
  <si>
    <t>Colar de tomada  FºFº, DN150 x DN2"</t>
  </si>
  <si>
    <t>RE.F°F°.02</t>
  </si>
  <si>
    <t>Colar de tomada FºFº, DN150 x DN1"</t>
  </si>
  <si>
    <t>RE.F°F°.03</t>
  </si>
  <si>
    <t>Curva 45° em FºFº com flanges, PN-10, DN100</t>
  </si>
  <si>
    <t>RE.F°F°.04</t>
  </si>
  <si>
    <t>Curva 90°  em FºFº com flanges, PN-10, DN400</t>
  </si>
  <si>
    <t>RE.F°F°.05</t>
  </si>
  <si>
    <t>Curva 90° em FºFº com flanges e pé, PN-10 DN100</t>
  </si>
  <si>
    <t>TP.F°F°.01</t>
  </si>
  <si>
    <t>Curva 90° em FºFº com flanges, PN-10,  DN80</t>
  </si>
  <si>
    <t>RE.F°F°.06</t>
  </si>
  <si>
    <t>Curva 90° em FºFº com flanges, PN-10, DN200</t>
  </si>
  <si>
    <t>RE.F°F°.07</t>
  </si>
  <si>
    <t>Curva 90° em FºFº com flanges, PN-10, DN300</t>
  </si>
  <si>
    <t>CDR.F°F°.01</t>
  </si>
  <si>
    <t>Curva 90º em FºFº, com bolsas,  JGS, DN600</t>
  </si>
  <si>
    <t>TP.F°F°.02</t>
  </si>
  <si>
    <t>Curva de 45° em FºFº com flanges, PN-10, DN300</t>
  </si>
  <si>
    <t>TP.F°F°.03</t>
  </si>
  <si>
    <t>Curva de 45° em FºFº, com bolsas,  JGS, DN100</t>
  </si>
  <si>
    <t>TP.F°F°.04</t>
  </si>
  <si>
    <t>Curva de 90° em FºFº com flanges PN-10, DN300</t>
  </si>
  <si>
    <t>TP.F°F°.05</t>
  </si>
  <si>
    <t>Curva de 90° em FºFº, com bolsas,  JGS, DN400</t>
  </si>
  <si>
    <t>RE.F°F°.08</t>
  </si>
  <si>
    <t>Extremidade em FºFº com flange e ponta com aba de vedação, PN-10,  DN150, L=0,70m</t>
  </si>
  <si>
    <t>TP.F°F°.06</t>
  </si>
  <si>
    <t>Extremidade em FºFº com flanges e ponta com aba de vedação, PN-10, DN700, L=0,45m</t>
  </si>
  <si>
    <t>CDR.F°F°.03</t>
  </si>
  <si>
    <t>Extremidade em FºFº com ponta e flanges com aba de vedação, PN-10, DN400, L=0,45m</t>
  </si>
  <si>
    <t>CDR.F°F°.02</t>
  </si>
  <si>
    <t>Extremidade em FºFº com ponta e flanges com aba de vedação, PN-10, DN600, L=0,45m</t>
  </si>
  <si>
    <t>RE.F°F°.09</t>
  </si>
  <si>
    <t>Extremidade em FºFº, flange e ponta ,  DN100</t>
  </si>
  <si>
    <t>RE.F°F°.10</t>
  </si>
  <si>
    <t>Extremidade em FºFº, flange e ponta,  DN100</t>
  </si>
  <si>
    <t>RE.F°F°.11</t>
  </si>
  <si>
    <t>Extremidade flange e ponta em FºFº com flanges, PN-10, DN250</t>
  </si>
  <si>
    <t>RE.F°F°.12</t>
  </si>
  <si>
    <t>Flange avulso em FºFº com flange, PN-10 , DN150</t>
  </si>
  <si>
    <t>LS.F°F°.01</t>
  </si>
  <si>
    <t>Flange cego em ferro fundido dúctil com flanges, PN-10, DN150</t>
  </si>
  <si>
    <t>RE.F°F°.13</t>
  </si>
  <si>
    <t>Flange cego em FºFº com flanges, PN-10, DN100</t>
  </si>
  <si>
    <t>RE.F°F°.14</t>
  </si>
  <si>
    <t>Flange cego em FºFº com flanges, PN-10, DN250</t>
  </si>
  <si>
    <t>TP.F°F°.07</t>
  </si>
  <si>
    <t>Flange cego em FºFº com flanges, PN-10, DN400</t>
  </si>
  <si>
    <t>RE.F°F°.15</t>
  </si>
  <si>
    <t>Flange cego em FºFº com flanges, PN-10, DN800</t>
  </si>
  <si>
    <t>TP.FºF°.08</t>
  </si>
  <si>
    <t>Junta de desmontagem em FºFº com flanges, travada axialmente com tirantes, PN-10, DN100</t>
  </si>
  <si>
    <t>TP.FºF°.09</t>
  </si>
  <si>
    <t>Junta de desmontagem em FºFº com flanges, travada axialmente com tirantes, PN-10, DN300</t>
  </si>
  <si>
    <t>RE.F°F°.16</t>
  </si>
  <si>
    <t>Junta Gibault  em FºFº, com bolsas,  DN150</t>
  </si>
  <si>
    <t>RE.F°F°.17</t>
  </si>
  <si>
    <t>Junta Gibault em FºFº com flanges, PN-10, DN100</t>
  </si>
  <si>
    <t>RE.F°F°.18</t>
  </si>
  <si>
    <t>Junta Gibault em FºFº, com bolsas,  DN200</t>
  </si>
  <si>
    <t>TP.FºF°.10</t>
  </si>
  <si>
    <t>Junta Gibault em FºFº, com bolsas,  DN80</t>
  </si>
  <si>
    <t>RE.F°F°.19</t>
  </si>
  <si>
    <t>Luva em FºFº, com bolsas,  JGS, DN150</t>
  </si>
  <si>
    <t>LS.PAR.01</t>
  </si>
  <si>
    <t>Parafusos para flanges, DN150 (20x90)</t>
  </si>
  <si>
    <t>PAR.F°F°.01</t>
  </si>
  <si>
    <t>Parafusos para flanges, PN-10, DN 400 (24x100)</t>
  </si>
  <si>
    <t>PAR.F°F°.02</t>
  </si>
  <si>
    <t>Parafusos para flanges, PN-10, DN 600 (27x120)</t>
  </si>
  <si>
    <t>TP.FºF°.13</t>
  </si>
  <si>
    <t>Parafusos para flanges, PN-10, DN100 (16x80)</t>
  </si>
  <si>
    <t>RE.F°F°.20</t>
  </si>
  <si>
    <t>RE.F°F°.21</t>
  </si>
  <si>
    <t>Parafusos para flanges, PN-10, DN100 (20 x 90)</t>
  </si>
  <si>
    <t>RE.F°F°.22</t>
  </si>
  <si>
    <t>RE.F°F°.23</t>
  </si>
  <si>
    <t>Parafusos para flanges, PN-10, DN2" (16x80)</t>
  </si>
  <si>
    <t>RE.F°F°.24</t>
  </si>
  <si>
    <t>Parafusos para flanges, PN-10, DN200 (20 x 90)</t>
  </si>
  <si>
    <t>RE.F°F°.25</t>
  </si>
  <si>
    <t>Parafusos para flanges, PN-10, DN250 (20x90)</t>
  </si>
  <si>
    <t>RE.F°F°.26</t>
  </si>
  <si>
    <t>Parafusos para flanges, PN-10, DN300 (20 x 90)</t>
  </si>
  <si>
    <t>TP.FºF°.14</t>
  </si>
  <si>
    <t>Parafusos para flanges, PN-10, DN300 (20x90)</t>
  </si>
  <si>
    <t>RE.F°F°.27</t>
  </si>
  <si>
    <t>Parafusos para flanges, PN-10, DN400 (20 x 90)</t>
  </si>
  <si>
    <t>TP.FºF°.15</t>
  </si>
  <si>
    <t>Parafusos para flanges, PN-10, DN400 (24x100)</t>
  </si>
  <si>
    <t>TP.FºF°.16</t>
  </si>
  <si>
    <t>TP.FºF°.17</t>
  </si>
  <si>
    <t>Parafusos para flanges, PN-10, DN80 (16x80)</t>
  </si>
  <si>
    <t>RE.F°F°.28</t>
  </si>
  <si>
    <t>Parafusos para flanges, PN-10, DN800 (30x130)</t>
  </si>
  <si>
    <t>RE.F°F°.29</t>
  </si>
  <si>
    <t>Redução com flanges em FºFº, com bolsas,  DN400 x DN300</t>
  </si>
  <si>
    <t>TP.FºF°.11</t>
  </si>
  <si>
    <t>Redução em FºFº com flanges, fornecidas pelo fabricante da bomba, PN-10 DN300 x DNRecalque da bomba</t>
  </si>
  <si>
    <t>TP.FºF°.12</t>
  </si>
  <si>
    <t>Redução em FºFº, com bolsas,  DN600 x DN400</t>
  </si>
  <si>
    <t>RE.F°F°.30</t>
  </si>
  <si>
    <t>Tê de redução em FºFº com flanges, PN-10, DN400 x DN300</t>
  </si>
  <si>
    <t>TP.FºF°.18</t>
  </si>
  <si>
    <t>Tê em FºFº com flanges, PN-10,  DN80</t>
  </si>
  <si>
    <t>TP.FºF°.19</t>
  </si>
  <si>
    <t>Tê em FºFº com flanges, PN-10, DN400 x DN300</t>
  </si>
  <si>
    <t>RE.F°F°.31</t>
  </si>
  <si>
    <t>Tê em FºFº, com bolsas,  JGS, DN150</t>
  </si>
  <si>
    <t>TP.FºF°.20</t>
  </si>
  <si>
    <t>Tê em FºFº, com bolsas,  JGS, DN600 x DN400</t>
  </si>
  <si>
    <t>TP.FºF°.21</t>
  </si>
  <si>
    <t>Toco em FºFº com flanges, PN-10,  DN300, L=0,25m</t>
  </si>
  <si>
    <t>TP.FºF°.22</t>
  </si>
  <si>
    <t>Toco em FºFº com flanges, PN-10, DN100, L=0,25m</t>
  </si>
  <si>
    <t>TP.FºF°.23</t>
  </si>
  <si>
    <t>Toco em FºFº com flanges, PN-10, DN300, L=0,50m</t>
  </si>
  <si>
    <t>TP.FºF°.24</t>
  </si>
  <si>
    <t>Toco em FºFº com flanges, PN-10, DN80, L=0,25m</t>
  </si>
  <si>
    <t>RE.F°F°.32</t>
  </si>
  <si>
    <t>Tubo em ferro fundido com flanges e ponta classe K-9,  PN-10, DN150, L=0,25m</t>
  </si>
  <si>
    <t>RE.F°F°.33</t>
  </si>
  <si>
    <t>Tubo em ferro fundido com flanges e ponta classe K-9,  PN-10, DN150, L=0,35m</t>
  </si>
  <si>
    <t>RE.F°F°.34</t>
  </si>
  <si>
    <t>Tubo em ferro fundido com flanges e ponta classe K-9,  PN-10, DN150, L=2,05m</t>
  </si>
  <si>
    <t>RE.F°F°.35</t>
  </si>
  <si>
    <t>Tubo em FºFº  com flanges classe K-9,  PN-10, DN200, L=3,00m</t>
  </si>
  <si>
    <t>TP.FºF°.25</t>
  </si>
  <si>
    <t>Tubo em FºFº  com pontas classe K-7,  DN100, L=3,20m</t>
  </si>
  <si>
    <t>TP.FºF°.26</t>
  </si>
  <si>
    <t xml:space="preserve">Tubo em FºFº com flanges classe K-9,  PN-10 , DN100, L=1,75m </t>
  </si>
  <si>
    <t>TP.FºF°.27</t>
  </si>
  <si>
    <t xml:space="preserve">Tubo em FºFº com flanges classe K-9,  PN-10 , DN80, L=0,41m </t>
  </si>
  <si>
    <t>TP.FºF°.28</t>
  </si>
  <si>
    <t xml:space="preserve">Tubo em FºFº com flanges classe K-9,  PN-10 , DN80, L=0,60m </t>
  </si>
  <si>
    <t>TP.FºF°.29</t>
  </si>
  <si>
    <t xml:space="preserve">Tubo em FºFº com flanges classe K-9,  PN-10 , DN80, L=1,00m </t>
  </si>
  <si>
    <t>TP.FºF°.30</t>
  </si>
  <si>
    <t>Tubo em FºFº com flanges classe K-9,  PN-10 DN400, L=2,00m</t>
  </si>
  <si>
    <t>RE.F°F°.36</t>
  </si>
  <si>
    <t>Tubo em FºFº com flanges classe K-9,  PN-10, DN300, L=0,75m</t>
  </si>
  <si>
    <t>RE.F°F°.37</t>
  </si>
  <si>
    <t>Tubo em FºFº com flanges classe K-9,  PN-10, DN300, L=0,80m</t>
  </si>
  <si>
    <t>TP.FºF°.31</t>
  </si>
  <si>
    <t xml:space="preserve">Tubo em FºFº com flanges classe K-9,  PN-10, DN300, L=1,20m </t>
  </si>
  <si>
    <t>TP.FºF°.32</t>
  </si>
  <si>
    <t xml:space="preserve">Tubo em FºFº com flanges classe K-9,  PN-10, DN300, L=2,35m </t>
  </si>
  <si>
    <t>RE.F°F°.38</t>
  </si>
  <si>
    <t>Tubo em FºFº com flanges classe K-9,  PN-10, DN300, L=5,15m</t>
  </si>
  <si>
    <t>RE.F°F°.39</t>
  </si>
  <si>
    <t>Tubo em FºFº com flanges classe K-9,  PN-10, DN300, L=5,80m</t>
  </si>
  <si>
    <t>TP.FºF°.33</t>
  </si>
  <si>
    <t>Tubo em FºFº com flanges classe K-9,  PN-10, DN400, L=1,80m</t>
  </si>
  <si>
    <t>TP.FºF°.34</t>
  </si>
  <si>
    <t xml:space="preserve">Tubo em FºFº com flanges classe K-9, PN-10, DN300, L=1,45m </t>
  </si>
  <si>
    <t>TP.FºF°.35</t>
  </si>
  <si>
    <t>Tubo em FºFº com flanges e ponta classe K-12,  PN-10, DN700</t>
  </si>
  <si>
    <t>TP.FºF°.36</t>
  </si>
  <si>
    <t>Tubo em FºFº com flanges e ponta classe K-9,  PN-10,  DN150, L=2,30m</t>
  </si>
  <si>
    <t>RE.F°F°.40</t>
  </si>
  <si>
    <t>Tubo em FºFº com flanges e ponta classe K-9,  PN-10, DN100, L=0,70m</t>
  </si>
  <si>
    <t>RE.F°F°.41</t>
  </si>
  <si>
    <t>Tubo em FºFº com flanges e ponta classe K-9,  PN-10, DN100, L=0,75m</t>
  </si>
  <si>
    <t>RE.F°F°.42</t>
  </si>
  <si>
    <t>Tubo em FºFº com flanges e ponta classe K-9,  PN-10, DN100, L=0,95m</t>
  </si>
  <si>
    <t>TP.FºF°.37</t>
  </si>
  <si>
    <t>Tubo em FºFº com flanges e ponta classe K-9,  PN-10, DN100, L=1,00m</t>
  </si>
  <si>
    <t>RE.F°F°.43</t>
  </si>
  <si>
    <t>Tubo em FºFº com flanges e ponta classe K-9,  PN-10, DN100, L=1,45m</t>
  </si>
  <si>
    <t>RE.F°F°.44</t>
  </si>
  <si>
    <t>Tubo em FºFº com flanges e ponta classe K-9,  PN-10, DN100, L=1,46m</t>
  </si>
  <si>
    <t>RE.F°F°.45</t>
  </si>
  <si>
    <t>Tubo em FºFº com flanges e ponta classe K-9,  PN-10, DN100, L=2,19m</t>
  </si>
  <si>
    <t>TP.FºF°.38</t>
  </si>
  <si>
    <t>Tubo em FºFº com flanges e ponta CLASSE k-9,  PN-10, DN100, L=2,34m</t>
  </si>
  <si>
    <t>RE.F°F°.46</t>
  </si>
  <si>
    <t>Tubo em FºFº com flanges e ponta classe K-9,  PN-10, DN100, L=3,41m</t>
  </si>
  <si>
    <t>TP.FºF°.39</t>
  </si>
  <si>
    <t>Tubo em FºFº com flanges e ponta classe K-9,  PN-10, DN100, L=4,80m</t>
  </si>
  <si>
    <t>RE.F°F°.47</t>
  </si>
  <si>
    <t>Tubo em FºFº com flanges e ponta classe K-9,  PN-10, DN150, L=0,95m</t>
  </si>
  <si>
    <t>RE.F°F°.48</t>
  </si>
  <si>
    <t>Tubo em FºFº com flanges e ponta classe K-9,  PN-10, DN150, L=5,15m</t>
  </si>
  <si>
    <t>RE.F°F°.49</t>
  </si>
  <si>
    <t>Tubo em FºFº com flanges e ponta classe K-9,  PN-10, DN200, L=0,40m</t>
  </si>
  <si>
    <t>RE.F°F°.50</t>
  </si>
  <si>
    <t>Tubo em FºFº com flanges e ponta classe K-9,  PN-10, DN200, L=0,80m</t>
  </si>
  <si>
    <t>RE.F°F°.51</t>
  </si>
  <si>
    <t>Tubo em FºFº com flanges e ponta classe K-9,  PN-10, DN200, L=0,90m</t>
  </si>
  <si>
    <t>TP.FºF°.40</t>
  </si>
  <si>
    <t>Tubo em FºFº com flanges e ponta classe K-9,  PN-10, DN300, L=2,62m</t>
  </si>
  <si>
    <t>TP.FºF°.41</t>
  </si>
  <si>
    <t>Tubo em FºFº com flanges e ponta classe K-9,  PN-10, DN400, L=2,00m</t>
  </si>
  <si>
    <t>TP.FºF°.42</t>
  </si>
  <si>
    <t>Tubo em FºFº com flanges e ponta classe K-9,  PN-10, DN400, L=2,03m</t>
  </si>
  <si>
    <t>CDR.F°F°.04</t>
  </si>
  <si>
    <t>Tubo em FºFº com flanges e ponta classe K-9,  PN-10, DN600, L=5,60m</t>
  </si>
  <si>
    <t>TP.FºF°.43</t>
  </si>
  <si>
    <t>Tubo em FºFº com flanges e ponta classe K-9,  PN-10, DN80, L=2,00m</t>
  </si>
  <si>
    <t>TP.FºF°.44</t>
  </si>
  <si>
    <t>Tubo em FºFº com flanges e ponta classe K-9, PN-10, DN300, L=4,30m</t>
  </si>
  <si>
    <t>TP.FºF°.45</t>
  </si>
  <si>
    <t>Tubo em FºFº com flanges e pontas classe K-9,  PN-10, DN400, L=4,91m</t>
  </si>
  <si>
    <t>TP.FºF°.46</t>
  </si>
  <si>
    <t>Tubo em FºFº com ponta e bolsa classe K-7,  JGS, DN400, L=6,00m</t>
  </si>
  <si>
    <t>TP.FºF°.47</t>
  </si>
  <si>
    <t>Tubo em FºFº com ponta e bolsa classe K-7,  JGS, DN600</t>
  </si>
  <si>
    <t>TP.FºF°.48</t>
  </si>
  <si>
    <t xml:space="preserve">Tubo em FºFº com ponta e flanges classe K-9,  PN-10, DN80, L=0,25m </t>
  </si>
  <si>
    <t>RE.GR.01</t>
  </si>
  <si>
    <t>Caixa de distribuição 1 em fibra de vidro</t>
  </si>
  <si>
    <t>RE.GR.02</t>
  </si>
  <si>
    <t>Caixa de distribuição 2 em fibra de vidro</t>
  </si>
  <si>
    <t>RE.GR.03</t>
  </si>
  <si>
    <t>Caixa de distribuição 3 em fibra de vidro</t>
  </si>
  <si>
    <t>RE.GR.04</t>
  </si>
  <si>
    <t>Caixa em fibra de vidro em PRFV</t>
  </si>
  <si>
    <t>CD.COMPORTA.01</t>
  </si>
  <si>
    <t>Comporta de vedação em fibra de vidro, tipo 1</t>
  </si>
  <si>
    <t>CD.COMPORTA.02</t>
  </si>
  <si>
    <t>Comporta de vedação em fibra de vidro, tipo 2</t>
  </si>
  <si>
    <t>TP.COMPORTA.02</t>
  </si>
  <si>
    <t>Comporta em fibra de vidro, de parede manual (0,20x0,25m) e haste (1,10m)</t>
  </si>
  <si>
    <t>TP.COMPORTA.03</t>
  </si>
  <si>
    <t>Comporta em fibra de vidro, de superfície vão (0,60x1,50m) e haste (1,0m)</t>
  </si>
  <si>
    <t>TP.COMPORTA.04</t>
  </si>
  <si>
    <t>Comporta em fibra de vidro, de superfície vão (0,70x0,70m) e haste (3,20m)</t>
  </si>
  <si>
    <t>TP.COMPORTA.05</t>
  </si>
  <si>
    <t>Comporta em fibra de vidro, de superfície vão (0,70x1,00m) e haste (1,30m)</t>
  </si>
  <si>
    <t>TP.COMPORTA.06</t>
  </si>
  <si>
    <t>Comporta em fibra de vidro, manual vão (0,90x1,20m)</t>
  </si>
  <si>
    <t>TP.COMPORTA.07</t>
  </si>
  <si>
    <t>Comporta em fibra de vidro, vertedora do By-Pass vão (1,60x0,80m) com acionamento manual e haste de prolongamento (h=1,30m)</t>
  </si>
  <si>
    <t>CDR.GR.02</t>
  </si>
  <si>
    <t>Grade  em fibra de vidro, com resistência 300 kgf/m², (1,10x1,30m)</t>
  </si>
  <si>
    <t>RE.GR.05</t>
  </si>
  <si>
    <t>Grade de piso em fibra de vidro -1 (0,78m x 0,74m)</t>
  </si>
  <si>
    <t>RE.GR.07</t>
  </si>
  <si>
    <t>Grade de piso em fibra de vidro-2 (0,57m x 0,69m)</t>
  </si>
  <si>
    <t>CD.GRADE.01</t>
  </si>
  <si>
    <t>Grade em fibra de vidro, 0,80x0,60 m</t>
  </si>
  <si>
    <t>CDR.GR.01</t>
  </si>
  <si>
    <t>Grade em fibra de vidro, com resistência 300 kgf/m², (1,10x1,15m)</t>
  </si>
  <si>
    <t>TP.GR.12</t>
  </si>
  <si>
    <t xml:space="preserve">Tampa em fibra de vidro </t>
  </si>
  <si>
    <t>TH.TQ.01</t>
  </si>
  <si>
    <t>Tanque cilíndrico de Hipoclorito de Sódio, volume 10m³</t>
  </si>
  <si>
    <t>RE.RPVC.12</t>
  </si>
  <si>
    <t xml:space="preserve">Tanque de desprendimento de gases em PRFV </t>
  </si>
  <si>
    <t>REATOR.FB.02</t>
  </si>
  <si>
    <t>REATOR.FB.03</t>
  </si>
  <si>
    <t>Régua vertedora triangular em fibra de vidro espessura 6 mm</t>
  </si>
  <si>
    <t>REATOR.FB.04</t>
  </si>
  <si>
    <t>REATOR.FB.05</t>
  </si>
  <si>
    <t>REATOR.FB.06</t>
  </si>
  <si>
    <t>REATOR.FB.07</t>
  </si>
  <si>
    <t>REATOR.FB.08</t>
  </si>
  <si>
    <t>REATOR.FB.09</t>
  </si>
  <si>
    <t>REATOR.FB.10</t>
  </si>
  <si>
    <t>REATOR.FB.11</t>
  </si>
  <si>
    <t>REATOR.FB.12</t>
  </si>
  <si>
    <t>REATOR.FB.13</t>
  </si>
  <si>
    <t>REATOR.FB.14</t>
  </si>
  <si>
    <t>REATOR.FB.15</t>
  </si>
  <si>
    <t>REATOR.FB.16</t>
  </si>
  <si>
    <t>Cantoneira em fibra de vidro para suporte das coifas 0,50 x 0,10 x 0,20 m</t>
  </si>
  <si>
    <t>REATOR.FB.17</t>
  </si>
  <si>
    <t>LS.RG.01</t>
  </si>
  <si>
    <t>Registro com bolsas, cabeçote e cunha de borracha, DN150</t>
  </si>
  <si>
    <t>RE.VAL.01</t>
  </si>
  <si>
    <t>Registro com bolsas, volante e cunha de borracha, PN-10, DN150</t>
  </si>
  <si>
    <t>TP.VAL.01</t>
  </si>
  <si>
    <t>Registro com flanges e volante, corpo curto, com cunha de borracha, PN-10, DN100</t>
  </si>
  <si>
    <t>TP.VAL.02</t>
  </si>
  <si>
    <t>Registro com flanges e volante, corpo curto, com cunha de borracha, PN-10, DN300</t>
  </si>
  <si>
    <t>RE.VAL.02</t>
  </si>
  <si>
    <t>Registro com flanges, cunha de borracha e cabeçote, PN-10, DN150</t>
  </si>
  <si>
    <t>LS.RE.01</t>
  </si>
  <si>
    <t>Registro de esfera com união, DN4"</t>
  </si>
  <si>
    <t>TP.VAL.03</t>
  </si>
  <si>
    <t>Registro de gaveta com flanges, cunha de borracha e volante, PN-10, DN80</t>
  </si>
  <si>
    <t>RE.VAL.03</t>
  </si>
  <si>
    <t>Registro de gaveta com flanges, volante e cunha de borracha, PN-10, DN100</t>
  </si>
  <si>
    <t>RE.VAL.04</t>
  </si>
  <si>
    <t>TP.VAL.04</t>
  </si>
  <si>
    <t xml:space="preserve">Válvula borboleta tipo Wafer, com tirantes DN65 </t>
  </si>
  <si>
    <t>RE.VAL.05</t>
  </si>
  <si>
    <t>Válvula de alivio, DN3"</t>
  </si>
  <si>
    <t>RE.VAL.06</t>
  </si>
  <si>
    <t>Válvula de esfera em PVC, DN75</t>
  </si>
  <si>
    <t>RE.VAL.07</t>
  </si>
  <si>
    <t>Válvula de esfera roscável com alavanca, DN3/4"</t>
  </si>
  <si>
    <t>TP.VAL.05</t>
  </si>
  <si>
    <t>Válvula de retenção para esgoto tipo portinhola única com flanges, PN-10, DN80</t>
  </si>
  <si>
    <t>TP.VAL.06</t>
  </si>
  <si>
    <t>Válvula de retenção para esgoto, tipo portinhola única, PN-10, DN300</t>
  </si>
  <si>
    <t>RE.VAL.09</t>
  </si>
  <si>
    <t>Válvulas de alivio com flanges, PN-10, DN2"</t>
  </si>
  <si>
    <t>RE.VAL.11</t>
  </si>
  <si>
    <t>Válvulas de retenção com flanges, PN-10, DN2"</t>
  </si>
  <si>
    <t>TP.AÇO.01</t>
  </si>
  <si>
    <t>Curva 90° em aço ASTM 120, DIM 2440, SCHEDULE 40 com pontas para solda e revestimento para peças enterradas, PN-10, DN65</t>
  </si>
  <si>
    <t>RE.AÇO.01</t>
  </si>
  <si>
    <t>Extremidade em aço ASTM 120, DIM 244, SCHEDULE 40  flange e ponta com aba de vedação, revestimento para peças aereas enterradas ou abrigadas, PN-10, DN200, L=0,33m</t>
  </si>
  <si>
    <t>RE.AÇO.02</t>
  </si>
  <si>
    <t>Extremidade em aço ASTM 120, DIM 244, SCHEDULE 40  flange e ponta com aba de vedação, revestimento para peças aereas enterradas ou abrigadas, PN-10, DN200, L=0,42m</t>
  </si>
  <si>
    <t>RE.AÇO.03</t>
  </si>
  <si>
    <t>Extremidade em aço espessura 1/4" com flanges, ponta com aba de vedação e revestimento para peças enterradas, PN-10, DN300, L=0,43m</t>
  </si>
  <si>
    <t>RE.AÇO.04</t>
  </si>
  <si>
    <t>Extremidade em aço espessura 1/4", com flanges e ponta com aba de vedação, revestimento para peças enterradas, PN-10, DN800, L=0,55m</t>
  </si>
  <si>
    <t>TP.AÇO.03</t>
  </si>
  <si>
    <t>Redução em aço ASTM 120, DIM 2440, SCHEDULE 40 com flanges e revestimento para peças abrigadas, fornecido pelo fabricante da bomba, PN-10, DN Recalque da bomba x DN80</t>
  </si>
  <si>
    <t>TP.AÇO.04</t>
  </si>
  <si>
    <t>Redução em aço ASTM 120, DIM 2440, SCHEDULE 40 com flanges e revestimento para peças abrigadas, fornecido pelo fabricante da bomba, PN-10, DN Sucção da bomba x DN80</t>
  </si>
  <si>
    <t>TP.AÇO.05</t>
  </si>
  <si>
    <t>Redução em aço ASTM 120, DIM 2440, SCHEDULE 40 com pontas para solda e revestimento para peças enterradas, PN-10, DN65 x DN50</t>
  </si>
  <si>
    <t>TP.AÇO.08</t>
  </si>
  <si>
    <t>Redução excêntrica em aço espessura 1/4" com flanges e revestimento para peças aéreas, PN-10, DN400 x DN100</t>
  </si>
  <si>
    <t>TP.AÇO.09</t>
  </si>
  <si>
    <t>Tubo em aço ASTM 120, DIM 2440, SCHEDULE 40 com flange e ponta para solda e revestimento para peças enterradas, PN-10, DN65, L=0,18m</t>
  </si>
  <si>
    <t>TP.AÇO.10</t>
  </si>
  <si>
    <t>Tubo em aço ASTM 120, DIM 2440, SCHEDULE 40 com flange e ponta para solda e revestimento para peças enterradas, PN-10, DN65, L=0,27m</t>
  </si>
  <si>
    <t>RE.AÇO.05</t>
  </si>
  <si>
    <t>Tubo em aço ASTM 120, DIM 2440, SCHEDULE 40 com pontas e aba de vedação, revestimento para peças aereas, enterradas ou abrigadas, PN-10 DN150, L=0,56m</t>
  </si>
  <si>
    <t>RE.AÇO.06</t>
  </si>
  <si>
    <t>Tubo em aço ASTM 120, DIM 2440, SCHEDULE 40 com pontas e aba de vedação, revestimento para peças aereas, enterradas ou abrigadas, PN-10 DN200, L=0,64m</t>
  </si>
  <si>
    <t>TP.AÇO.11</t>
  </si>
  <si>
    <t>Tubo em aço ASTM 120, DIM 2440, SCHEDULE 40 com pontas para solda e revestimento para peças enterradas, PN-10, DN65</t>
  </si>
  <si>
    <t>TP.AÇO.12</t>
  </si>
  <si>
    <t>Tubo em aço ASTM 120, DIM 2440, SCHEDULE 40 com pontas para solda e revestimento para peças, PN-10, DN50, L=0,43m</t>
  </si>
  <si>
    <t>TP.AÇO.13</t>
  </si>
  <si>
    <t>Tubo em aço ASTM 120, DIM 2440, SCHEDULE 40 com pontas para solda e revestimento para peças, PN-10, DN50, L=0,60m</t>
  </si>
  <si>
    <t>TH.AÇO.01</t>
  </si>
  <si>
    <t>Tubo em aço carbono com ponta roscável, com roscas BSP, DN 1/2", L=0,75m</t>
  </si>
  <si>
    <t>RE.RPVC.03</t>
  </si>
  <si>
    <t>Curva 45° em RPVC conforme a norma NBR 15.536-3, com flanges, PN-10, DN150</t>
  </si>
  <si>
    <t>RE.RPVC.04</t>
  </si>
  <si>
    <t>Curva 45° em RPVC conforme norma NBR 15.536-3 , DN150 moldável</t>
  </si>
  <si>
    <t>LS.RPVC.02</t>
  </si>
  <si>
    <t>Curva 45º em RPVC, conforme NBR 15.536-3, raio longo, DN150</t>
  </si>
  <si>
    <t>RE.RPVC.05</t>
  </si>
  <si>
    <t>Curva 90° em RPVC conforme a norma NBR 15.536-3, DN150, L=0,30m</t>
  </si>
  <si>
    <t>RE.RPVC.06</t>
  </si>
  <si>
    <t>Curva 90° em RPVC conforme norma NBR 15.536-3, DN150 moldável</t>
  </si>
  <si>
    <t>RE.RPVC.07</t>
  </si>
  <si>
    <t>Curva com pontas em RPVC, conforme a norma NBR 15.536-3, PN-10, DN150</t>
  </si>
  <si>
    <t>RE.RPVC.08</t>
  </si>
  <si>
    <t>Extremidade em RPVC conforme a norma NBR 15.536-3, flange e ponta com aba de vedação , PN-10, DN150, L=0,50m</t>
  </si>
  <si>
    <t>LS.RPVC.03</t>
  </si>
  <si>
    <t>Extremidade em RPVC, conforme NBR 15.536-3, com flange e ponta, PN-10, DN150, L=0,20m</t>
  </si>
  <si>
    <t>RE.RPVC.09</t>
  </si>
  <si>
    <t>Flange cego em RPVC conforme a norma NBR 15.536-3, DN150</t>
  </si>
  <si>
    <t>LS.RPVC.06</t>
  </si>
  <si>
    <t>Joelho 45º em RPVC, conforme NBR 15.536-3, DN150</t>
  </si>
  <si>
    <t>RE.RPVC.10</t>
  </si>
  <si>
    <t>Junta Gibault em RPVC conforme a norma NBR 15.536-3, DN150</t>
  </si>
  <si>
    <t>RE.RPVC.11</t>
  </si>
  <si>
    <t>Luva em RPVC conforme a norma NBR 15.536-3, DN150</t>
  </si>
  <si>
    <t>LS.RPVC.01</t>
  </si>
  <si>
    <t>Tê de redução em RPVC, conforme NBR 15.536-3, DN150 x DN100</t>
  </si>
  <si>
    <t>RE.RPVC.13</t>
  </si>
  <si>
    <t>Tê em RPVC conforme a norma NBR-15.536-3, DN150</t>
  </si>
  <si>
    <t>LS.RPVC.04</t>
  </si>
  <si>
    <t>Tê em RPVC, conforme NBR 15.536-3, DN150</t>
  </si>
  <si>
    <t>RE.RPVC.14</t>
  </si>
  <si>
    <t>Tubo com pontas em RPVC, conforme a norma NBR 15.536-2, DN150</t>
  </si>
  <si>
    <t>RE.RPVC.15</t>
  </si>
  <si>
    <t>Tubo e RPVC conforme norma NBR 15.536-2, DN150</t>
  </si>
  <si>
    <t>RE.RPVC.16</t>
  </si>
  <si>
    <t>Tubo em RPVC conforme a norma NBR 15.536-2, com flange e ponta, PN-10, DN150, L=1,00m</t>
  </si>
  <si>
    <t>RE.RPVC.17</t>
  </si>
  <si>
    <t>Tubo em RPVC conforme a norma NBR 15.536-2, com flange e ponta, PN-10, DN150, L=1,15m</t>
  </si>
  <si>
    <t>RE.RPVC.18</t>
  </si>
  <si>
    <t>Tubo em RPVC conforme a norma NBR 15.536-2, com flanges, PN-10, DN150, L=0,20m</t>
  </si>
  <si>
    <t>RE.RPVC.19</t>
  </si>
  <si>
    <t>Tubo em RPVC conforme a norma NBR 15.536-2, com flanges, PN-10, DN150, L=0,25m</t>
  </si>
  <si>
    <t>RE.RPVC.20</t>
  </si>
  <si>
    <t>Tubo em RPVC conforme a norma NBR 15.536-2, com flanges, PN-10, DN150, L=0,42m</t>
  </si>
  <si>
    <t>RE.RPVC.21</t>
  </si>
  <si>
    <t>Tubo em RPVC conforme a norma NBR 15.536-2, com flanges, PN-10, DN150, L=0,75m</t>
  </si>
  <si>
    <t>RE.RPVC.22</t>
  </si>
  <si>
    <t>Tubo em RPVC conforme a norma NBR 15.536-2, com flanges, PN-10, DN150, L=1,08m</t>
  </si>
  <si>
    <t>RE.RPVC.23</t>
  </si>
  <si>
    <t>Tubo em RPVC conforme a norma NBR 15.536-2, com flanges, PN-10, DN150, L=1,13m</t>
  </si>
  <si>
    <t>RE.RPVC.24</t>
  </si>
  <si>
    <t>Tubo em RPVC conforme a norma NBR 15.536-2, DN150</t>
  </si>
  <si>
    <t>CDR.RPVC.01</t>
  </si>
  <si>
    <t>Tubo em RPVC conforme norma NBR 15.536-2, DN600</t>
  </si>
  <si>
    <t>LS.RPVC.08</t>
  </si>
  <si>
    <t>Tubo em RPVC, conforme NBR 15.536-2, com ponta e bolsa, DN150, L=0,40m</t>
  </si>
  <si>
    <t>LS.RPVC.07</t>
  </si>
  <si>
    <t>Tubo em RPVC, conforme NBR 15.536-2, DN150</t>
  </si>
  <si>
    <t>RE.RPVC.25</t>
  </si>
  <si>
    <t>Tubos em RPVC, conforme a norma NBR 15.536-2, DN150</t>
  </si>
  <si>
    <t>TP.GR.01</t>
  </si>
  <si>
    <t>Grade de piso anti-derrapante em aluminio Tipo 1 (1,66x0,62m)</t>
  </si>
  <si>
    <t>TP.GR.02</t>
  </si>
  <si>
    <t>Grade de piso anti-derrapante em aluminio Tipo 3 (1,19x0,58m)</t>
  </si>
  <si>
    <t>TP.GR.03</t>
  </si>
  <si>
    <t>Grade de piso anti-derrapante em aluminio Tipo 4 (1,00x0,80m)</t>
  </si>
  <si>
    <t>TP.GR.05</t>
  </si>
  <si>
    <t>Grade de piso anti-derrapante em aluminioTipo 2 (1,05x0,74m)</t>
  </si>
  <si>
    <t>TP.GR.06</t>
  </si>
  <si>
    <t>Grade de piso anti-derrapante em aluminioTipo 5 (0,87x0,90m)</t>
  </si>
  <si>
    <t>TP.GR.07</t>
  </si>
  <si>
    <t>Grade de piso anti-derrapante em aluminioTipo 6 (1,00x1,00m)</t>
  </si>
  <si>
    <t>TP.GR.08</t>
  </si>
  <si>
    <t>Grade de piso, antiderrapante em alumínio (1,45x0,65m)</t>
  </si>
  <si>
    <t>TP.TALHA.01</t>
  </si>
  <si>
    <t>Talha e Monovia com capacidade para 3000KgF (carga estática)</t>
  </si>
  <si>
    <t>TP.TALHA.02</t>
  </si>
  <si>
    <t>Talha e Monovia com capacidade para 300KgF (carga estática)</t>
  </si>
  <si>
    <t>TP.BOMBA.01</t>
  </si>
  <si>
    <t>Conjunto moto-bomba tipo deslocamento positivo, Modelo NM045BY01L, NETZSCH</t>
  </si>
  <si>
    <t>TP.BOMBA.02</t>
  </si>
  <si>
    <t>Conjunto moto-bomba tipo deslocamento positivo, Modelo NM180SY01L04Z, NETZSCH</t>
  </si>
  <si>
    <t>TH.PR.01</t>
  </si>
  <si>
    <t>Bomba peristáltica dosadora de Hipoclorito de Sódio</t>
  </si>
  <si>
    <t>TH.BB.01</t>
  </si>
  <si>
    <t>Bomba centrifuga de carregamento e transferência</t>
  </si>
  <si>
    <t>TP.PVC.01</t>
  </si>
  <si>
    <t>RE.PVC.02</t>
  </si>
  <si>
    <t>Cruzeta em PVC rigido roscável, DN3/4"</t>
  </si>
  <si>
    <t>RE.PVC.03</t>
  </si>
  <si>
    <t>Niple duplo em PVC rigido soldável, DN1"</t>
  </si>
  <si>
    <t>RE.PVC.04</t>
  </si>
  <si>
    <t>Niple duplo em PVC rigido soldavel, DN2"</t>
  </si>
  <si>
    <t>TP.MED.02</t>
  </si>
  <si>
    <t>Medidor de vazão tipo turbina, com flanges, DN50</t>
  </si>
  <si>
    <t>TP.MED.03</t>
  </si>
  <si>
    <t>Medidor de vazão tipo ultra-sônico</t>
  </si>
  <si>
    <t>TP.CAÇAMBA</t>
  </si>
  <si>
    <t>TP.CALHA</t>
  </si>
  <si>
    <t>TP.EQUI.01</t>
  </si>
  <si>
    <t>Conjunto para caixa de areia tipo "ponte rolante" com remoção AIR LIFT</t>
  </si>
  <si>
    <t xml:space="preserve">cj </t>
  </si>
  <si>
    <t>TP.EQUI.02</t>
  </si>
  <si>
    <t>TP.EQUI.05</t>
  </si>
  <si>
    <t>Gradeamento grosso (0,50X1,50m)</t>
  </si>
  <si>
    <t>TP.EQUI.06</t>
  </si>
  <si>
    <t>TP.EQUI.07</t>
  </si>
  <si>
    <t>Parafuso tipo "SW" para lavagem e classificação de areia</t>
  </si>
  <si>
    <t>TP.EQUI.08</t>
  </si>
  <si>
    <t xml:space="preserve">Sensor de Nível </t>
  </si>
  <si>
    <t>RE.EQUI.01</t>
  </si>
  <si>
    <t>Aspersor, DN3/4"</t>
  </si>
  <si>
    <t>RE.EQUI.02</t>
  </si>
  <si>
    <t>Cesto metálico com armação e tela em aço inox, volume 40 litros.</t>
  </si>
  <si>
    <t>CDR.EQUIP.01</t>
  </si>
  <si>
    <t>Comporta vertedora com pedestal de manobra e haste de prolongamento, em aço inox, 1,30 x 0,70m, com vão livre de 0,85m</t>
  </si>
  <si>
    <t>TP.COMPORTA.01</t>
  </si>
  <si>
    <t xml:space="preserve"> REATORES</t>
  </si>
  <si>
    <t>RE.RPVC.01</t>
  </si>
  <si>
    <t>RE.RPVC.02</t>
  </si>
  <si>
    <t>Cruzeta em RPVC conforme a norma NBR 15.536-3, DN150</t>
  </si>
  <si>
    <t>Curva 22°30' em RPVC conforme norma NBR 15.536-3, DN150 moldável</t>
  </si>
  <si>
    <t xml:space="preserve"> LEITOS DE SECAGEM</t>
  </si>
  <si>
    <t xml:space="preserve"> CAIXA DE DISTRIBUIÇÃO</t>
  </si>
  <si>
    <t>CD.PEAD.01</t>
  </si>
  <si>
    <t>CD.PEAD.02</t>
  </si>
  <si>
    <t>Flange solto em PEAD, PN-10, DN200</t>
  </si>
  <si>
    <t>Colarinho em PEAD, PN-10, DN200</t>
  </si>
  <si>
    <t xml:space="preserve"> TRATAMENTO DO BIOGÁS</t>
  </si>
  <si>
    <t>TB.EQ.01</t>
  </si>
  <si>
    <t>TB.EQ.02</t>
  </si>
  <si>
    <t>TB.EQ.03</t>
  </si>
  <si>
    <t>TB.EQ.04</t>
  </si>
  <si>
    <t>TB.EQ.05</t>
  </si>
  <si>
    <t>TB.EQ.06</t>
  </si>
  <si>
    <t>TB.EQ.07</t>
  </si>
  <si>
    <t>TB.EQ.08</t>
  </si>
  <si>
    <t>TB.EQ.09</t>
  </si>
  <si>
    <t>TB.EQ.10</t>
  </si>
  <si>
    <t>TB.EQ.11</t>
  </si>
  <si>
    <t>TB.EQ.12</t>
  </si>
  <si>
    <t>TB.EQ.13</t>
  </si>
  <si>
    <t>TB.EQ.14</t>
  </si>
  <si>
    <t>TB.EQ.15</t>
  </si>
  <si>
    <t>Válvula de esfera com acionamento manual, PN-10, DN3"</t>
  </si>
  <si>
    <t>Válvula corta chamas, DN3"</t>
  </si>
  <si>
    <t>Separador de sedimentos</t>
  </si>
  <si>
    <t>Suporte de apoio</t>
  </si>
  <si>
    <t>Válvula de esfera com acionamento manual, PN-10, DN2 1/2"</t>
  </si>
  <si>
    <t>Soprador tipo "Parafuso"</t>
  </si>
  <si>
    <t xml:space="preserve">Exaustor de Biogás </t>
  </si>
  <si>
    <t>Válvula reguladora de pressão, DN3"</t>
  </si>
  <si>
    <t>Medidor de vazão tipo mássico thermal, sem retificador de fluxo</t>
  </si>
  <si>
    <t>DESINFECÇÃO - HIPOCLORITO</t>
  </si>
  <si>
    <t>TH.AP.01</t>
  </si>
  <si>
    <t>TH.AP.02</t>
  </si>
  <si>
    <t>TH.AR.01</t>
  </si>
  <si>
    <t>TH.AR.02</t>
  </si>
  <si>
    <t>TH.ENG.01</t>
  </si>
  <si>
    <t>TH.ENG.02</t>
  </si>
  <si>
    <t>TH.PAR.01</t>
  </si>
  <si>
    <t>TH.PAR.02</t>
  </si>
  <si>
    <t>TH.PVC.01</t>
  </si>
  <si>
    <t>TH.PVC.02</t>
  </si>
  <si>
    <t>TH.PVC.03</t>
  </si>
  <si>
    <t>TH.VAL.01</t>
  </si>
  <si>
    <t>Arruelas para flanges, PN-10, DN40</t>
  </si>
  <si>
    <t>Arruelas para flanges, PN-10, DN50</t>
  </si>
  <si>
    <t>Parafusos para flanges, PN-10, DN40 (16x80)</t>
  </si>
  <si>
    <t>Parafusos para flanges, PN-10, DN50 (16x80)</t>
  </si>
  <si>
    <t>Apoio da tubulação, DN50</t>
  </si>
  <si>
    <t>Apoio da tubulação, DN25</t>
  </si>
  <si>
    <t>Válvula de pé e crivo, em PVC/roscável, DN 1 1/4"</t>
  </si>
  <si>
    <t>Engate rápido para mangueira, em polipropileno, DN 40</t>
  </si>
  <si>
    <t>Engate rápido para mangueira, em polipropileno, DN 1 1/2"</t>
  </si>
  <si>
    <t>Redução excêntrica em polipropileno com flanges, DN40 x Dnsucção da bomba</t>
  </si>
  <si>
    <t>Tubo em polipropileno com flange e ponta, PN-10, DN40, L=0,30m</t>
  </si>
  <si>
    <t>Tubo em polipropileno flange e ponta, PN-10, DN50, L=0,45m</t>
  </si>
  <si>
    <t>CC.SIF.01</t>
  </si>
  <si>
    <t>Sifão para lavatório com saída DN40, para lavatório.</t>
  </si>
  <si>
    <t>CC.SIF.02</t>
  </si>
  <si>
    <t>Sifão para lavatório com saída DN50, para pia.</t>
  </si>
  <si>
    <t xml:space="preserve"> CASA DE CONTROLE</t>
  </si>
  <si>
    <t>UR.AC.01</t>
  </si>
  <si>
    <t>Tubo em Aço Carbono com pontas roscável, DN3/4", L=0,40m</t>
  </si>
  <si>
    <t xml:space="preserve"> ESTRUTURA DE LANÇAMENTO FINAL</t>
  </si>
  <si>
    <t>TP.CAÇAMBA.APOIO</t>
  </si>
  <si>
    <t>TP.CAÇAMBA.TRILHO</t>
  </si>
  <si>
    <t>Comporta de superfície com acionamento manual em aço, com vão(0,65x1,10m) e haste de prolongamento (L=1,35m)</t>
  </si>
  <si>
    <t>Calha Parshall  em fibra de vidro, W= 18" (0,457m)</t>
  </si>
  <si>
    <t xml:space="preserve"> DESINFECÇÃO - HIPOCLORITO</t>
  </si>
  <si>
    <t>Luva em PVC, roscas internas para junção de eletrodutos DN 60 mm</t>
  </si>
  <si>
    <t>Luva em PVC, roscas internas para junção de eletrodutos DN 100 mm</t>
  </si>
  <si>
    <t>Curva 90º, em PVC DN 60 mm</t>
  </si>
  <si>
    <t>Curva 90º, em PVC DN 100 mm</t>
  </si>
  <si>
    <t>Eletroduto corrugado, flexível, espiral, fabricado em PEAD (Polietileno de Alta Densidade), com arame guia dentro, vendido em rolos de 100 metros, DN 100 mm</t>
  </si>
  <si>
    <t>Cabo de cobre (tempera mole), isolação em XLPE (90°C), polietileno reticulado, cobertura em PVC, cor preta, com características especiais a não propagação e autoextinção do fogo, 0.6 - 1 KV, DN 35mm2</t>
  </si>
  <si>
    <t>Cabo de cobre (tempera mole), isolação em XLPE (90°C), polietileno reticulado, cobertura em PVC, cor preta, com características especiais a não propagação e autoextinção do fogo, 0.6 - 1 KV, DN 50 mm2</t>
  </si>
  <si>
    <t xml:space="preserve">Cabo de cobre (tempera mole), isolação em XLPE (90°C), polietileno reticulado, cobertura em PVC, cor preta, com características especiais a não propagação e autoextinção do fogo, 0.6 - 1 KV, DN 185mm2 </t>
  </si>
  <si>
    <t xml:space="preserve">Cabo de cobre (tempera mole), isolação em XLPE (90°C), polietileno reticulado, cobertura em PVC, cor preta, com características especiais a não propagação e autoextinção do fogo, 0.6 - 1 KV, dn 300 mm2 </t>
  </si>
  <si>
    <t xml:space="preserve">Cabo de cobre nu, DN 16mm2 </t>
  </si>
  <si>
    <t>Cabo de cobre nu, DN 25mm2</t>
  </si>
  <si>
    <t>Cabo de cobre nu, DN 50mm2</t>
  </si>
  <si>
    <t>Cabo de cobre nu, DN 70mm2</t>
  </si>
  <si>
    <t>Haste de aterramento, com núcleo de aço de alta resistência mecânica, revestida de cobre eletrolítico, tipo copperweld, com conector, DN 16 x 3000 mm</t>
  </si>
  <si>
    <t>Quite solda exotérmica GY, Haste DN 16, Cabo # 16,0 mm2</t>
  </si>
  <si>
    <t>Quite solda exotérmica GT, Haste DN 16, Cabo # 25,0 mm2</t>
  </si>
  <si>
    <t>Quite solda exotérmica GY, Haste DN 16, Cabo # 25,0 mm2</t>
  </si>
  <si>
    <t>un un</t>
  </si>
  <si>
    <t>Quite solda exotérmica GT, Haste DN 16, Cabo # 50,0 mm2</t>
  </si>
  <si>
    <t>Quite solda exotérmica GY, Haste DN 16, Cabo # 50,0 mm2</t>
  </si>
  <si>
    <t>Quite solda exotérmica GT, Haste DN 16, Cabo # 70,0 mm2</t>
  </si>
  <si>
    <t>Quite solda exotérmica GY, Haste DN 16, Cabo # 70,0 mm2</t>
  </si>
  <si>
    <t>INS.ELET.24</t>
  </si>
  <si>
    <t>Quite solda exotérmica TA, Cabo passante # 50,0 mm2, Cabo derivação # 16,0 mm2</t>
  </si>
  <si>
    <t>INS.ELET.25</t>
  </si>
  <si>
    <t>Quite solda exotérmica TA, Cabo passante # 50,0 mm2, Cabo derivação # 25,0 mm2</t>
  </si>
  <si>
    <t>INS.ELET.26</t>
  </si>
  <si>
    <t>Quite solda exotérmica TA, Cabo passante # 50,0 mm2, Cabo derivação # 50,0 mm2</t>
  </si>
  <si>
    <t>INS.ELET.27</t>
  </si>
  <si>
    <t>Quite solda exotérmica TA, Cabo passante # 70,0 mm2, Cabo derivação # 70,0 mm2</t>
  </si>
  <si>
    <t>INS.ELET.28</t>
  </si>
  <si>
    <t>Quite solda exotérmica XB, Cabo passante # 50,0 mm2, Cabo derivação # 25,0 mm2</t>
  </si>
  <si>
    <t>INS.ELET.29</t>
  </si>
  <si>
    <t>Quite solda exotérmica XB, Cabo passante # 70,0 mm2, Cabo derivação # 70,0 mm2</t>
  </si>
  <si>
    <t>Caixa em alvenaria para inspeção de aterramento 300 x 300 x 300 (C x L x P)</t>
  </si>
  <si>
    <t>Caixa de passagem em alvenaria com tampa em concreto,  CP2 – 500x500x700   (CxLxP)</t>
  </si>
  <si>
    <t>Caixa de passagem em alvenaria com tampa em concreto,  CP3 – 300x300x300   (CxLxP)</t>
  </si>
  <si>
    <t>INS.ELET.33</t>
  </si>
  <si>
    <t>Eletroduto corrugado, flexível, espiral, fabricado em PEAD (Polietileno de Alta Densidade), com arame guia dentro, vendido em rolos de 50 ou 100 metros, DN  125 mm</t>
  </si>
  <si>
    <t>INS.ELET.34</t>
  </si>
  <si>
    <t>Eletroduto corrugado, flexível, espiral, fabricado em PEAD (Polietileno de Alta Densidade), com arame guia dentro, vendido em rolos de 50 ou 100 metros,  DN   75 mm</t>
  </si>
  <si>
    <t>INS.ELET.35</t>
  </si>
  <si>
    <t>Eletroduto corrugado, flexível, espiral, fabricado em PEAD (Polietileno de Alta Densidade), com arame guia dentro, vendido em rolos de 50 ou 100 metros, DN   50 mm</t>
  </si>
  <si>
    <t>Luva em PEAD, para emenda de dutos corrugados, DN 125 mm</t>
  </si>
  <si>
    <t>Luva em PEAD, para emenda de dutos corrugados, DN   75 mm</t>
  </si>
  <si>
    <t>Luva em PEAD, para emenda de dutos corrugados,   50 mm</t>
  </si>
  <si>
    <t>INS.ELET.39</t>
  </si>
  <si>
    <t>Kit conexão para unir dutos corrugados com luva, DN 125 mm</t>
  </si>
  <si>
    <t>INS.ELET.40</t>
  </si>
  <si>
    <t>Kit conexão para unir dutos corrugados com luva, DN    75 mm</t>
  </si>
  <si>
    <t>INS.ELET.41</t>
  </si>
  <si>
    <t>Kit conexão para unir dutos corrugados com luva, DN  50 mm</t>
  </si>
  <si>
    <t>INS.ELET.42</t>
  </si>
  <si>
    <t>Tampão terminal para duto corrugado e flexível, DN 125 mm</t>
  </si>
  <si>
    <t>INS.ELET.43</t>
  </si>
  <si>
    <t>Tampão terminal para duto corrugado e flexível,   75 mm</t>
  </si>
  <si>
    <t>INS.ELET.44</t>
  </si>
  <si>
    <t>Tampão terminal para duto corrugado e flexível,  50 mm</t>
  </si>
  <si>
    <t>Caixa estampada retangular no tamanho de 2 x 4”  com duas orelhas, acabamento em esmalte preto</t>
  </si>
  <si>
    <t xml:space="preserve">Caixa estampada retangular no tamanho de 4 x 4”  com quatro orelhas, acabamento em esmalte preto </t>
  </si>
  <si>
    <t xml:space="preserve">Caixa estampada octogonal, com fundo móvel, no tamanho de 4 x 4”  com duas orelhas, acabamento em esmalte preto </t>
  </si>
  <si>
    <t>Bucha em ferro nodular galvanizada tipo BU/F, roscas gas, para fixação de eletrodutos a caixa de passagem, DN 25 mm</t>
  </si>
  <si>
    <t>Bucha em ferro nodular galvanizada tipo BU/F, roscas gas, para fixação de eletrodutos a caixa de passagem, DN 32 mm</t>
  </si>
  <si>
    <t>Bucha em ferro nodular galvanizada tipo BU/F, roscas gas, para fixação de eletrodutos a caixa de passagem, DN 50 mm</t>
  </si>
  <si>
    <t>Armário confeccionado em chapa de aço. Instalação ao tempo, IP 54. Acabamento a base de epóxi com acessórios internos bicromatizados, barramentos trifásico para 1000A, neutro e terra, com etiquetas auto-adesivas para identificação dos circuitos, conforme as NRs, construído e instalado de acordo com o projeto, utilizado como quadro de distribuição geral QGBT, DN 1100 x 600 x 400 mm ( AxLxP )</t>
  </si>
  <si>
    <t>Quadro de distribuição de luz para embutir na parede, em chapa de aço No 18, flangeis desmontáveis superior e inferior com KNOCKOUT de DN 25 mm, DN 32 mm, DN 40 mm, e DN 50 mm para eletrodutos, chassi interno, contra-espelho e porta externa em chapa No 16, porta externa equipada com canopla, tensão nominal 500 v, para instalação abrigada, grade de proteção IP-42, acabamento em pintura eletrostática na cor cinza, dotado ainda de etiquetas auto-adesivas para identificação dos circuitos, com barramentos, . 28 Elementos, com módulo p/ proteção geral(QDETN-28 S 100A)</t>
  </si>
  <si>
    <t>Disjuntor termomagnético 800 A, tripolar   380 Vca – caixa moldada, 55KA</t>
  </si>
  <si>
    <t>Disjuntor termomagnético 500 A, tripolar   380 Vca – caixa moldada, 55KA</t>
  </si>
  <si>
    <t xml:space="preserve">Disjuntor termomagnético 100 A, tripolar   380 Vca </t>
  </si>
  <si>
    <t xml:space="preserve">Disjuntor termomagnético 63 A, tripolar   380 Vca </t>
  </si>
  <si>
    <t xml:space="preserve">Disjuntor termomagnético  40 A, tripolar   380 Vca </t>
  </si>
  <si>
    <t>Disjuntor termomagnético  32 A, tripolar   380 Vca</t>
  </si>
  <si>
    <t>Disjuntor termomagnético  20 A, tripolar   380 Vca</t>
  </si>
  <si>
    <t>Disjuntor termomagnético  20 A, unipolar 220 Vca</t>
  </si>
  <si>
    <t>Disjuntor termomagnético  16 A, tripolar   380 Vca</t>
  </si>
  <si>
    <t>Disjuntor termomagnético  16 A, unipolar 220 Vca</t>
  </si>
  <si>
    <t>Fio de cobre (tempera mole), isolação em PVC (70°C), composto termoplástico polivinila, com características especiais a não propagação e autoextinção do fogo, 750 V,  2,5 mm2 , vermelho  - fase</t>
  </si>
  <si>
    <t>rl</t>
  </si>
  <si>
    <t>Fio de cobre (tempera mole), isolação em PVC (70°C), composto termoplástico polivinila, com características especiais a não propagação e autoextinção do fogo, 750 V,  2,5 mm2 , azul claro - neutro</t>
  </si>
  <si>
    <t>Fio de cobre (tempera mole), isolação em PVC (70°C), composto termoplástico polivinila, com características especiais a não propagação e autoextinção do fogo, 750 V,  2,5 mm2 , verde       - terra</t>
  </si>
  <si>
    <t>Fio de cobre (tempera mole), isolação em PVC (70°C), composto termoplástico polivinila, com características especiais a não propagação e autoextinção do fogo, 750 V,  2,5 mm2 , branco     - retorno simples</t>
  </si>
  <si>
    <t>Fio de cobre (tempera mole), isolação em PVC (70°C), composto termoplástico polivinila, com características especiais a não propagação e autoextinção do fogo, 750 V,  4,0 mm2 , vermelho  - fase</t>
  </si>
  <si>
    <t>Fio de cobre (tempera mole), isolação em PVC (70°C), composto termoplástico polivinila, com características especiais a não propagação e autoextinção do fogo, 750 V,  4,0 mm2 , azul claro - neutro</t>
  </si>
  <si>
    <t>Fio de cobre (tempera mole), isolação em PVC (70°C), composto termoplástico polivinila, com características especiais a não propagação e autoextinção do fogo, 750 V,  4,0 mm2 , verde       - terra</t>
  </si>
  <si>
    <t>Cabo de cobre (tempera mole), isolação em PVC (70oC), composto termoplástico polivinila, capa interna em PVC e cobertura em PVC tipo STI, cor preta, com características especiais a não propagação e autoextinção do fogo, 0.6 - 1 Kv, DN 10,0 mm2 , cabo com 1 condutor</t>
  </si>
  <si>
    <t>AT.30</t>
  </si>
  <si>
    <t>Interruptor tipo siletoque , com classe de isolamento 600 v, 10 A, equipado com contatos fixos em prata, tecla em material termofixo fosforescente, com espelho cor gelo e parafuso de fixação, em caixa de 2 x 4”, 1 tecla simples</t>
  </si>
  <si>
    <t>AT.31</t>
  </si>
  <si>
    <t>Tomada de embutir, tipo pesado, isolamento para 600 v, com 3 pinos (fase,neutro,terra), equipada com espelho cor gelo e parafusos de fixação, para instalação em caixa de 2 x 4”, 20 A – UNIVERSAL</t>
  </si>
  <si>
    <t>Tomada de embutir, tipo pesado, isolamento para 600 v, com 3 pinos (fase,neutro,terra), equipada com espelho cor gelo e parafusos de fixação, para instalação em caixa de 2 x 4”, 25 A – 3 pinos chatos</t>
  </si>
  <si>
    <t xml:space="preserve">Luminária para lâmpada fluorescente, tipo calha, completa, com lâmpada, reator AFP, e soquetes, 1 x   40 W   </t>
  </si>
  <si>
    <t>Caixa tipo ARSTOP de embutir, com tomada monofásica, 3 pinos chatos, 25A, conjugada com disjuntor termomagnético 20 A.</t>
  </si>
  <si>
    <t>AT.35</t>
  </si>
  <si>
    <t>Tomada de embutir, para telefone, (1xRJ-11) conforme ABNT, equipada com espelho cor gelo e parafusos de fixação, para instalação em caixa de 2x4 “.</t>
  </si>
  <si>
    <t>Eletroduto flexível PVC anti-chama, 3m, com luva em uma das extremidades, DN  25 mm</t>
  </si>
  <si>
    <t>Eletroduto flexível PVC anti-chama, 3m, com luva em uma das extremidades, DN   32 mm</t>
  </si>
  <si>
    <t>Eletroduto flexível PVC anti-chama, 3m, com luva em uma das extremidades, DN  50 mm</t>
  </si>
  <si>
    <t>Eletroduto flexível PVC anti-chama, 3m, com luva em uma das extremidades, DN  75 mm</t>
  </si>
  <si>
    <t>INST.CX.AREIA.05</t>
  </si>
  <si>
    <t>Eletroduto de alumínio, 3m, com luva em uma das extremidades, DN  25 mm</t>
  </si>
  <si>
    <t>INST.CX.AREIA.06</t>
  </si>
  <si>
    <t>Eletroduto de alumínio, 3m, com luva em uma das extremidades, DN  32 mm</t>
  </si>
  <si>
    <t>INST.CX.AREIA.07</t>
  </si>
  <si>
    <t>Eletroduto flexível a prova de tempo, fabricado em tubo metálico flexível, revestido de polivinil clorídrico, extremidades em latão montados, rosca gas, com conector macho-fêmea, DN 32 mm</t>
  </si>
  <si>
    <t>INST.CX.AREIA.08</t>
  </si>
  <si>
    <t xml:space="preserve">Eletroduto flexível a prova de tempo, fabricado em tubo metálico flexível, revestido de polivinil clorídrico, extremidades em latão montados, rosca gas, com conector macho-fêmea, DN 50 mm   </t>
  </si>
  <si>
    <t>INST.CX.AREIA.09</t>
  </si>
  <si>
    <t>Caixa de derivação universal, de alumínio injetado, isento de cobre, DN  25 mm, tipo C</t>
  </si>
  <si>
    <t>INST.CX.AREIA.10</t>
  </si>
  <si>
    <t>Caixa de derivação universal, de alumínio injetado, isento de cobre, DN  32 mm, tipo C</t>
  </si>
  <si>
    <t>INST.CX.AREIA.11</t>
  </si>
  <si>
    <t xml:space="preserve">Caixa de derivação universal, de alumínio injetado, isento de cobre, DN  50 mm, tipo C </t>
  </si>
  <si>
    <t xml:space="preserve">Fio de cobre (tempera mole), isolação em PVC (70oC), composto termoplástico polivinila, com características especiais a não propagação e autoextinção do fogo, 750 V,  2,5 mm2 , vermelho  - fase     </t>
  </si>
  <si>
    <t xml:space="preserve">Fio de cobre (tempera mole), isolação em PVC (70oC), composto termoplástico polivinila, com características especiais a não propagação e autoextinção do fogo, 750 V,  2,5 mm2 , azul claro – neutro  </t>
  </si>
  <si>
    <t xml:space="preserve">Fio de cobre (tempera mole), isolação em PVC (70oC), composto termoplástico polivinila, com características especiais a não propagação e autoextinção do fogo, 750 V,  2,5 mm2 , verde        - terra     </t>
  </si>
  <si>
    <t xml:space="preserve">Fio de cobre (tempera mole), isolação em PVC (70oC), composto termoplástico polivinila, com características especiais a não propagação e autoextinção do fogo, 750 V,  2,5 mm2 , branco      - retorno  </t>
  </si>
  <si>
    <t xml:space="preserve">Fio de cobre (tempera mole), isolação em PVC (70oC), composto termoplástico polivinila, com características especiais a não propagação e autoextinção do fogo, 750 V,  4,0 mm2 , vermelho  - fase     </t>
  </si>
  <si>
    <t xml:space="preserve">Fio de cobre (tempera mole), isolação em PVC (70oC), composto termoplástico polivinila, com características especiais a não propagação e autoextinção do fogo, 750 V,  4,0 mm2 , azul claro – neutro  </t>
  </si>
  <si>
    <t xml:space="preserve">Fio de cobre (tempera mole), isolação em PVC (70oC), composto termoplástico polivinila, com características especiais a não propagação e autoextinção do fogo, 750 V,  4,0 mm2 , verde        - terra     </t>
  </si>
  <si>
    <t>Cabo de cobre (tempera mole), isolação em PVC (70°C), composto termoplástico polivinila, capa interna em PVC e cobertura em PVC tipo STI, cor preta, com características especiais a não propagação e autoextinção do fogo, 0.6 - 1 Kv, DN 1,5 mm2, cabo com 2 condutores blindados</t>
  </si>
  <si>
    <t xml:space="preserve">Cabo de cobre (tempera mole), isolação em PVC (70°C), composto termoplástico polivinila, capa interna em PVC e cobertura em PVC tipo STI, cor preta, com características especiais a não propagação e autoextinção do fogo, 0.6 - 1 Kv, DN 1,5 mm2, cabo com 5 condutores blindados </t>
  </si>
  <si>
    <t>Cabo de cobre (tempera mole), isolação em PVC (70°C), composto termoplástico polivinila, capa interna em PVC e cobertura em PVC tipo STI, cor preta, com características especiais a não propagação e autoextinção do fogo, 0.6 - 1 Kv, DN 1,5 mm2, cabo com 10 condutores</t>
  </si>
  <si>
    <t>Cabo de cobre (tempera mole), isolação em PVC (70°C), composto termoplástico polivinila, capa interna em PVC e cobertura em PVC tipo STI, cor preta, com características especiais a não propagação e autoextinção do fogo, 0.6 - 1 Kv, DN 2,5 mm2, cabo com 3 condutores</t>
  </si>
  <si>
    <t xml:space="preserve">Cabo de cobre (tempera mole), isolação em PVC (70°C), composto termoplástico polivinila, capa interna em PVC e cobertura em PVC tipo STI, cor preta, com características especiais a não propagação e autoextinção do fogo, 0.6 - 1 Kv, DN 2,5 mm2, cabo com 4 condutores </t>
  </si>
  <si>
    <t xml:space="preserve">Cabo de cobre (tempera mole), isolação em PVC (70°C), composto termoplástico polivinila, capa interna em PVC e cobertura em PVC tipo STI, cor preta, com características especiais a não propagação e autoextinção do fogo, 0.6 - 1 Kv, DN 4,0 mm2, cabo com 3 condutores </t>
  </si>
  <si>
    <t>Cabo de cobre (tempera mole), isolação em PVC (70°C), composto termoplástico polivinila, capa interna em PVC e cobertura em PVC tipo STI, cor preta, com características especiais a não propagação e autoextinção do fogo, 0.6 - 1 Kv, DN 4,0 mm2, cabo com 4 condutores</t>
  </si>
  <si>
    <t>Cabo de cobre (tempera mole), isolação em PVC (70°C), composto termoplástico polivinila, capa interna em PVC e cobertura em PVC tipo STI, cor preta, com características especiais a não propagação e autoextinção do fogo, 0.6 - 1 Kv, DN 6,0 mm2, cabo com 4 condutores</t>
  </si>
  <si>
    <t xml:space="preserve">Cabo de cobre (tempera mole), isolação em PVC (70°C), composto termoplástico polivinila, capa interna em PVC e cobertura em PVC tipo STI, cor preta, com características especiais a não propagação e autoextinção do fogo, 0.6 - 1 Kv, DN 10,0 mm2, cabo com 1 condutor </t>
  </si>
  <si>
    <t xml:space="preserve">Cabo de cobre (tempera mole), isolação em PVC (70°C), composto termoplástico polivinila, capa interna em PVC e cobertura em PVC tipo STI, cor preta, com características especiais a não propagação e autoextinção do fogo, 0.6 - 1 Kv, DN 50,0 mm2, cabo com 1 condutor </t>
  </si>
  <si>
    <t>INST.CX.AREIA.29</t>
  </si>
  <si>
    <t>Poste metálico, ferro galvanizado a fogo, interno e externamente, curvo simples, com 10m de altura, para engastar, com janela de inspeção, diâmetro da base mínimo 123mm, diâmetro do topo do braço 60mm.</t>
  </si>
  <si>
    <t>INST.CX.AREIA.30</t>
  </si>
  <si>
    <t>Luminária fechada, corpo e liga em alumínio fundido, refletor interno em alumínio estampado, polido quimicamente e anodizado. Pescoço em liga de alumínio fundido com alojamento e os equipamentos auxiliares (reator, ignitor e capacitor), para lâmpada vapor de sódio 150 W - 220 V- 60 Hz, tampa inferior basculante e removível, com sistema de ventilação.Reflator plano de vidro temperado, fixado à luminária através de aro, dobradiça e feixo em alumínio fundido. Soquete de porcelana, reforçado, Base E-40, antivibratório, com dispositivo para ajuste do foco da lâmpada.Cabos condutores, com isolamento de PVC, anti-chama, conectores sindal na extremidade. Encaixe liso para braço de 48 a 60 mm. Com relé fotoelétrico na tampa. Acabamento externo em esmalte sintético. Modelo SRP 945 Philips ou equivalente. Deverá vir gravado em relevo e legível o nome do fabricante.</t>
  </si>
  <si>
    <t>Caixa de passagem em alvenaria, com tampa em concreto, DN 300x300x300mm</t>
  </si>
  <si>
    <t>Caixa de passagem em alvenaria, com tampa em concreto, DN 500x500x500mm</t>
  </si>
  <si>
    <t>INST.CASA.CONTR.01</t>
  </si>
  <si>
    <t>Caixa estampada retangular no tamanho de 2 x 4” com duas orelhas, acabamento em esmalte preto e fabricação de acordo com as normas da ABNT.</t>
  </si>
  <si>
    <t>Disjuntor termomagnético, 16 A, unipolar, 220 Vca</t>
  </si>
  <si>
    <t>Disjuntor termomagnético, 20 A, unipolar, 220 Vca</t>
  </si>
  <si>
    <t>Disjuntor termomagnético, 25 A, unipolar, 220 Vca</t>
  </si>
  <si>
    <t>Disjuntor termomagnético, 32 A, tripolar, 380 Vca</t>
  </si>
  <si>
    <t>Disjuntor DR, bipolar (fase-neutro) tensão nominal 220 V, capacidade de interrupção nominal 5 kA, freqüência 60 Hz, corrente nominal residual £ 30 mA, 25 A</t>
  </si>
  <si>
    <t>INST.CASA.CONTR.07</t>
  </si>
  <si>
    <t>Protetor de Surto, tetrapolar, Tensão de trabalho 220 Vca, corrente máxima 20KA em 8/20 ms, resposta &lt; 25 ns.</t>
  </si>
  <si>
    <t>Eletroduto flexível PVC anti-chama, 3m, com luva em uma das extremidades, DN 25 mm</t>
  </si>
  <si>
    <t>Curva 90° em PVC, entradas rosqueadas, DN 25 mm</t>
  </si>
  <si>
    <t xml:space="preserve">Fio de cobre (tempera mole), isolação em PVC (70°C), composto termoplástico polivinila, com características especiais a não propagação e autoextinção do fogo, 750 V,  2,5 mm², vermelho  - fase    </t>
  </si>
  <si>
    <t xml:space="preserve">Fio de cobre (tempera mole), isolação em PVC (70°C), composto termoplástico polivinila, com características especiais a não propagação e autoextinção do fogo, 750 V,  2,5 mm², azul claro – neutro     </t>
  </si>
  <si>
    <t xml:space="preserve">Fio de cobre (tempera mole), isolação em PVC (70°C), composto termoplástico polivinila, com características especiais a não propagação e autoextinção do fogo, 750 V,  2,5 mm², verde       - terra       </t>
  </si>
  <si>
    <t xml:space="preserve">Fio de cobre (tempera mole), isolação em PVC (70°C), composto termoplástico polivinila, com características especiais a não propagação e autoextinção do fogo, 750 V,  2,5 mm², branco     - retorno     </t>
  </si>
  <si>
    <t xml:space="preserve">Fio de cobre (tempera mole), isolação em PVC (70°C), composto termoplástico polivinila, com características especiais a não propagação e autoextinção do fogo, 750 V,  4,0 mm², vermelho  - fase        </t>
  </si>
  <si>
    <t xml:space="preserve">Fio de cobre (tempera mole), isolação em PVC (70°C), composto termoplástico polivinila, com características especiais a não propagação e autoextinção do fogo, 750 V,  4,0 mm², azul claro – neutro     </t>
  </si>
  <si>
    <t xml:space="preserve">Fio de cobre (tempera mole), isolação em PVC (70°C), composto termoplástico polivinila, com características especiais a não propagação e autoextinção do fogo, 750 V,  4,0 mm², verde       - terra         </t>
  </si>
  <si>
    <t>Luminária tipo globo leitoso para lâmpadas incandescentes ou fluorescentes compacta, 220V, 60Hz.</t>
  </si>
  <si>
    <t>Luminária tipo Arandela para lâmpada incandescente 220V, 60 Hz.</t>
  </si>
  <si>
    <t>Lâmpada incandescente p/ 220V, 60Hz, 60W</t>
  </si>
  <si>
    <t>Lâmpada incandescente p/ 220V, 60Hz, 100W</t>
  </si>
  <si>
    <t>Lâmpada fluorescente compacta 20W, 220V, 60Hz.</t>
  </si>
  <si>
    <t>Luminária tipo calha para lâmpada fluorescente, completa, com reator, ignitor, soquetes e lâmpadas, 2 x 40w</t>
  </si>
  <si>
    <t>INST.CASA.CONTR.24</t>
  </si>
  <si>
    <t xml:space="preserve">Lâmpada vapor de sódio alta pressão, E-40 SON-T 150 W. </t>
  </si>
  <si>
    <t>INST.CASA.CONTR.25</t>
  </si>
  <si>
    <t>INST.CASA.CONTR.26</t>
  </si>
  <si>
    <t>INST.CASA.CONTR.27</t>
  </si>
  <si>
    <t>Interruptor tipo siletoque, com classe de isolamento 600 V, 10 A, equipado com contatos fixos em prata, tecla em material termofixo fosforescente, com espelho cor gelo e parafuso de fixação, em caixa de 2” x 4”, 1 tecla simples</t>
  </si>
  <si>
    <t>INST.CASA.CONTR.28</t>
  </si>
  <si>
    <t>Interruptor tipo siletoque, com classe de isolamento 600 V, 10 A, equipado com contatos fixos em prata, tecla em material termofixo fosforescente, com espelho cor gelo e parafuso de fixação, em caixa de 2” x 4”, 2 teclas simples</t>
  </si>
  <si>
    <t>INST.CASA.CONTR.29</t>
  </si>
  <si>
    <t>. Borne Sindal 600V, 25A.</t>
  </si>
  <si>
    <t>INST.CASA.CONTR.31</t>
  </si>
  <si>
    <t>Tomada de embutir, padrão brasileiro, 2P+T, 20 A, equipada com espelho cor gelo e parafusos de fixação, em caixa de 2” x 4”.</t>
  </si>
  <si>
    <t>Interruptor tipo siletoque, com classe de isolamento 600 V, 10 A, equipado com contatos fixos em prata, 1 tecla simples em material termofixo fosforescente, conjugado com tomada padrão brasileiro 2P+T, 20 A, com espelho cor gelo e parafuso de fixação, em caixa de 2” x 4”:</t>
  </si>
  <si>
    <t>QCM.HIP.01</t>
  </si>
  <si>
    <t xml:space="preserve">Contator tripolar 2NA+2NF, bobina para 220 Vca, corrente nominal 9 A, 60 Hz </t>
  </si>
  <si>
    <t>QCM.HIP.02</t>
  </si>
  <si>
    <t xml:space="preserve"> Contator auxiliar, bobina para 220 Vca, corrente nominal 10 A, 60 Hz, 4 NA</t>
  </si>
  <si>
    <t>QCM.HIP.03</t>
  </si>
  <si>
    <t>Contator auxiliar, bobina para 220 Vca, corrente nominal 10 A, 60 Hz, 2 NA + 2 NF</t>
  </si>
  <si>
    <t>QCM.HIP.04</t>
  </si>
  <si>
    <t>Fusível Diazed, conjunto completo (base + fusível), tensão nominal 500 V, CN 2 A</t>
  </si>
  <si>
    <t>QCM.HIP.05</t>
  </si>
  <si>
    <t>Fusível Diazed, conjunto completo (base + fusível), tensão nominal 500 V, CN  4 A</t>
  </si>
  <si>
    <t>QCM.HIP.06</t>
  </si>
  <si>
    <t>Chave seletora de comando, instalação frontal ao quadro, montagem pelo topo tensão nominal 600 V, 16 A, com 3 posições.</t>
  </si>
  <si>
    <t>QCM.HIP.07</t>
  </si>
  <si>
    <t>Botoeira de comando pulsador serie 20, DN 30 mm, guarda total baixa, composto de arruela travante, com tecla raiada, Cor verde, 1 NA</t>
  </si>
  <si>
    <t>QCM.HIP.08</t>
  </si>
  <si>
    <t>Botoeira de comando pulsador serie 20, DN 30 mm, guarda total baixa, composto de arruela travante, com tecla raiada, Cor vermelha, 1 NF</t>
  </si>
  <si>
    <t>QCM.HIP.09</t>
  </si>
  <si>
    <t>Conjunto sinaleiro serie 20, DN 30.5 mm, com lente oval na cor verde, com lâmpada incandescente 3 W, 220 V, soquete tipo E 14.</t>
  </si>
  <si>
    <t>QCM.HIP.10</t>
  </si>
  <si>
    <t>Conjunto sinaleiro serie 20, DN 30.5 mm, com lente oval na cor vermelha, com lâmpada incandescente 3 W, 220 V, soquete tipo E 14.</t>
  </si>
  <si>
    <t>QCM.HIP.11</t>
  </si>
  <si>
    <t xml:space="preserve">Conector unipolar sak, com os respectivos acessórios para identificação e fixação para cabos 2.5 mm²   </t>
  </si>
  <si>
    <t>QCM.HIP.12</t>
  </si>
  <si>
    <t xml:space="preserve">Conector unipolar sak, com os respectivos acessórios para identificação e fixação para cabos 10.0 mm²          </t>
  </si>
  <si>
    <t>QCM.HIP.13</t>
  </si>
  <si>
    <t>Protetor de Surto, Monofásico, Tensão de trabalho 254 Vca, corrente máxima 20KA em 8/20 ms, resposta &lt; 25 ns.</t>
  </si>
  <si>
    <t>QCM.HIP.14</t>
  </si>
  <si>
    <t>Conjunto, resistência de aquecimento 60 W, c/ termostato, 220 V, 60 Hz, p/ QCM.</t>
  </si>
  <si>
    <t>QCM.HIP.15</t>
  </si>
  <si>
    <t>Armário confeccionado em chapa de aço. Instalação ao tempo, IP 54. Acabamento a base de epóxi com acessórios internos bicromatizados, construído e instalado de acordo com o projeto, DN  1700 x 600 x 400 mm ( AxLxP )</t>
  </si>
  <si>
    <t>QCM.HIP.16</t>
  </si>
  <si>
    <t>Disjuntor termomagnético,  4 A, unipolar, 220 Vca</t>
  </si>
  <si>
    <t>Disjuntor termomagnético, 40 A, tripolar, 380 Vca</t>
  </si>
  <si>
    <t>Soquetes para lâmpada fluorescente.</t>
  </si>
  <si>
    <t>Lâmpada fluorescente 15W, 220 V, 60 Hz</t>
  </si>
  <si>
    <t>QCM.HIP.21</t>
  </si>
  <si>
    <t>Supervisor Total Trifásico de Tensão, 380 V, 60 Hz.</t>
  </si>
  <si>
    <t>QCM.HIP.22</t>
  </si>
  <si>
    <t>Disjuntor tripolar para motores, com proteção contra curto circuito fixo e contra sobrecarga ajustável, 12 A, Ajuste (0,55 – 0,8) A</t>
  </si>
  <si>
    <t>QCM.HIP.23</t>
  </si>
  <si>
    <t>Disjuntor tripolar para motores, com proteção contra curto circuito fixo e contra sobrecarga ajustável, 12 A, Ajuste (2,8 – 4) A</t>
  </si>
  <si>
    <t>QCM.HIP.24</t>
  </si>
  <si>
    <t>Barramento de Cobre eletrolítico, para suportar corrente trifásica de 50A, Fases</t>
  </si>
  <si>
    <t>QCM.HIP.25</t>
  </si>
  <si>
    <t>Barramento de Cobre eletrolítico, para suportar corrente trifásica de 50A, Neutro</t>
  </si>
  <si>
    <t>QCM.HIP.26</t>
  </si>
  <si>
    <t>Barramento de Cobre eletrolítico, para suportar corrente trifásica de 50A, Terra</t>
  </si>
  <si>
    <t>QCM.HIP.27</t>
  </si>
  <si>
    <t>Voltímetro de 72 x 72 mm, ferro móvel, com amortecimento magnético, tensão de isolamento 2 kV, para instalação em porta de painel, na escala 0-600 V e precisão de 1.5 %.</t>
  </si>
  <si>
    <t>QCM.HIP.28</t>
  </si>
  <si>
    <t>Chave comutadora para voltímetro, com as posições (0-RS-TS-RT), frontal quadrado para montagem pelo topo, corrente nominal 16 A, 600 Vca.</t>
  </si>
  <si>
    <t>QCM.HIP.29</t>
  </si>
  <si>
    <t>Horametro de 72 x 72 mm, totalizador de horas e minutos, acionados a micro-motor síncrono de 0 a 10000 horas, 220 vca, 60 Hz.</t>
  </si>
  <si>
    <t>QCM.HIP.30</t>
  </si>
  <si>
    <t>Ventilador para instalação em porta de painel de comando em caixa apropriada com tampa com haletas e filtro, 220V, 60Hz.</t>
  </si>
  <si>
    <t>QCM.HIP.31</t>
  </si>
  <si>
    <t>Exaustor para instalação em porta de painel de comando em caixa apropriada com tampa com haletas e filtro, 220V, 60Hz.</t>
  </si>
  <si>
    <t>QCM.HIP.32</t>
  </si>
  <si>
    <t>Relê de Nível Ultra-sônico com Sonda de nível ultra-sônica, alimentação 220 Vca, saída 4 a 20 mA, range 0 a 5000 mm.</t>
  </si>
  <si>
    <t>QCM.BIOGAS.01</t>
  </si>
  <si>
    <t>QCM.BIOGAS.02</t>
  </si>
  <si>
    <t>QCM.BIOGAS.03</t>
  </si>
  <si>
    <t>QCM.BIOGAS.04</t>
  </si>
  <si>
    <t>QCM.BIOGAS.05</t>
  </si>
  <si>
    <t>Botoeira de comando pulsador serie 20, DN 30 mm, guarda total baixa, composto de arruela travante, com tecla raiada na cor verde, 1 NA</t>
  </si>
  <si>
    <t>QCM.BIOGAS.06</t>
  </si>
  <si>
    <t>Botoeira de comando pulsador serie 20, DN 30 mm, guarda total baixa, composto de arruela travante, com tecla raiada na cor vermelha, 1 NF</t>
  </si>
  <si>
    <t>QCM.BIOGAS.07</t>
  </si>
  <si>
    <t>QCM.BIOGAS.08</t>
  </si>
  <si>
    <t>QCM.BIOGAS.09</t>
  </si>
  <si>
    <t>QCM.BIOGAS.10</t>
  </si>
  <si>
    <t>QCM.BIOGAS.11</t>
  </si>
  <si>
    <t>QCM.BIOGAS.12</t>
  </si>
  <si>
    <t>QCM.BIOGAS.13</t>
  </si>
  <si>
    <t>Armário confeccionado em chapa de aço. Instalação ao tempo, IP 54. Acabamento a base de epóxi com acessórios internos bicromatizados, construído e instalado de acordo com o projeto, e com DN 1700 x 600 x 400 mm ( AxLxP )</t>
  </si>
  <si>
    <t>Disjuntor termomagnético,   4 A, unipolar, 220 Vca</t>
  </si>
  <si>
    <t>QCM.BIOGAS.20</t>
  </si>
  <si>
    <t>QCM.BIOGAS.21</t>
  </si>
  <si>
    <t>Disjuntor tripolar para motores, com proteção contra curto circuito fixo e contra sobrecarga ajustável 12 A, Ajuste (3.5 – 5) A</t>
  </si>
  <si>
    <t>QCM.BIOGAS.22</t>
  </si>
  <si>
    <t>QCM.BIOGAS.23</t>
  </si>
  <si>
    <t>QCM.BIOGAS.24</t>
  </si>
  <si>
    <t>QCM.BIOGAS.25</t>
  </si>
  <si>
    <t>QCM.BIOGAS.26</t>
  </si>
  <si>
    <t>QCM.BIOGAS.27</t>
  </si>
  <si>
    <t>QCM.BIOGAS.28</t>
  </si>
  <si>
    <t>QCM.BIOGAS.29</t>
  </si>
  <si>
    <t>SUB.01</t>
  </si>
  <si>
    <t>Poste de concreto armado, Duplo T 10 / 600 m / Kgf</t>
  </si>
  <si>
    <t>Cruzeta de madeira de Lei 3300 x 90 x 112,5 mm</t>
  </si>
  <si>
    <t>SUB.03</t>
  </si>
  <si>
    <t>Isolador, Ancoragem, Poliméricco, 15 KV</t>
  </si>
  <si>
    <t>SUB.04</t>
  </si>
  <si>
    <t>Grampo de Ancoragem Polimérico</t>
  </si>
  <si>
    <t>Para - Raios tipo Polimérico, 12 KV, 10 KA</t>
  </si>
  <si>
    <t>SUB.06</t>
  </si>
  <si>
    <t>Chave fusível unipolar, 15 KV, 100 A, 1.2 KA, NBI 95 KVA, Base C.</t>
  </si>
  <si>
    <t>SUB.07</t>
  </si>
  <si>
    <t xml:space="preserve">Elo fusível 25K </t>
  </si>
  <si>
    <t>SUB.08</t>
  </si>
  <si>
    <t>Olhal para Parafuso em aço Galvanizado, rosca W 5/8”</t>
  </si>
  <si>
    <t>SUB.09</t>
  </si>
  <si>
    <t>Manilha Sapatilha</t>
  </si>
  <si>
    <t>SUB.10</t>
  </si>
  <si>
    <t>Esticador, aço galvanizado, gancho olhal</t>
  </si>
  <si>
    <t>SUB.11</t>
  </si>
  <si>
    <t>Chapa de estai</t>
  </si>
  <si>
    <t>SUB.12</t>
  </si>
  <si>
    <t>Parafuso Cabeça Quadrada, M 16x2, comp adequado</t>
  </si>
  <si>
    <t>SUB.13</t>
  </si>
  <si>
    <t>Parafuso rosca dupla, com duas porcas, M 16 x 2 , 450 mm</t>
  </si>
  <si>
    <t>SUB.14</t>
  </si>
  <si>
    <t>Porca quadrada, de aço galvanizado, rosca M 16 x 2</t>
  </si>
  <si>
    <t>Arruela quadrada, aço galvanizado, 3 x 38 x 38 mm, furo Æ 18 mm</t>
  </si>
  <si>
    <t>SUB.16</t>
  </si>
  <si>
    <t>Cabo, aço galvanizado, 7 fios, ¼” , SM, rotura 1.432 KGF</t>
  </si>
  <si>
    <t>SUB.17</t>
  </si>
  <si>
    <t>Cabo, alumínio, XLPE, Coberto, 15KV, 50mm2.</t>
  </si>
  <si>
    <t>SUB.18</t>
  </si>
  <si>
    <t>Cabo, Mensageiro, aço galvanizado HS, 9.5mm</t>
  </si>
  <si>
    <t>SUB.19</t>
  </si>
  <si>
    <t>Conector paralelo, al. Extrudado, CA-CU 10.0 D 10-2  -- 1 parafuso</t>
  </si>
  <si>
    <t>SUB.20</t>
  </si>
  <si>
    <t>Cruzeta, aço galvanizado a fogo, perfil L, abas iguais, 3300 x 76.2 x 76.2 x 9.5mm</t>
  </si>
  <si>
    <t>SUB.21</t>
  </si>
  <si>
    <t xml:space="preserve">Transformador trifásico 13800/380-220V,   500 KVA                                                         </t>
  </si>
  <si>
    <t>SUB.22</t>
  </si>
  <si>
    <t>Eletroduto de aço galvanizado Æ114 mm</t>
  </si>
  <si>
    <t>Luva em Fº Gº , Æ114 mm</t>
  </si>
  <si>
    <t>Arruela de alumínio   Æ114 mm</t>
  </si>
  <si>
    <t>Bucha de alumínio  Æ114 mm</t>
  </si>
  <si>
    <t>Niple F°G° DN 114 mm</t>
  </si>
  <si>
    <t>Niple F°G° DN 40 mm</t>
  </si>
  <si>
    <t>SUB.28</t>
  </si>
  <si>
    <t>Curva 90º , em Fº Gº , Æ114 mm</t>
  </si>
  <si>
    <t>Caixa 420x580x220mm, para medidor Horosazonal / Demanda</t>
  </si>
  <si>
    <t>Caixa 1000x1200x220mm, para instalação de disjuntor</t>
  </si>
  <si>
    <t>Caixa 1000x1200x220mm, para acondicionamento de TC’s</t>
  </si>
  <si>
    <t xml:space="preserve">Cabo, cobre, isolamento 0.6-1 KV, 4x(4#185mm2) , XLPE (90°), Encord. Classe II,                                                   </t>
  </si>
  <si>
    <t>Cabo de cobre nú seção # 70 mm2</t>
  </si>
  <si>
    <t>Cabo de cobre nú seção # 25 mm2</t>
  </si>
  <si>
    <t>SUB.35</t>
  </si>
  <si>
    <t>BEP – Barra de Equipotencialização Principal, de 200x30 mm</t>
  </si>
  <si>
    <t xml:space="preserve">Disjuntor Termomagnético tripolar de 800 A </t>
  </si>
  <si>
    <t xml:space="preserve">Transformador de corrente, relação de transformação de 800/5A                                                                 </t>
  </si>
  <si>
    <t>QCM.EEE.01</t>
  </si>
  <si>
    <t xml:space="preserve"> Contator auxiliar,bobina para 220 vca, corrente nominal 10 A, 60 Hz, 4 NA</t>
  </si>
  <si>
    <t>QCM.EEE.02</t>
  </si>
  <si>
    <t>Contator auxiliar,bobina para 220 vca, corrente nominal 10 A, 60 Hz, 2 NA + 2 NF</t>
  </si>
  <si>
    <t>QCM.EEE.03</t>
  </si>
  <si>
    <t>Contator auxiliar, bobina para 24 Vcc, 1 NA</t>
  </si>
  <si>
    <t>QCM.EEE.04</t>
  </si>
  <si>
    <t>Bloco aditivo de contatos, 1 NA.</t>
  </si>
  <si>
    <t>Um</t>
  </si>
  <si>
    <t>Fusível Diazed, conjunto completo (base + fusível), tensão nominal 500 v, CN, 2 A</t>
  </si>
  <si>
    <t>Fusível Diazed, conjunto completo (base + fusível), tensão nominal 500 v, CN  4 A</t>
  </si>
  <si>
    <t>QCM.EEE.07</t>
  </si>
  <si>
    <t>Chave seletora de comando, instalação frontal ao quadro, montagem pelo topo tensão nominal 600 v, 16 A, com  3 posições.</t>
  </si>
  <si>
    <t>QCM.EEE.08</t>
  </si>
  <si>
    <t>QCM.EEE.09</t>
  </si>
  <si>
    <t>QCM.EEE.10</t>
  </si>
  <si>
    <t>Conjunto sinaleiro serie 20, DN 30.5 mm, com lente oval na cor verde, com lâmpada incandescente 3 w, 220 v, soquete tipo E 14.</t>
  </si>
  <si>
    <t>QCM.EEE.11</t>
  </si>
  <si>
    <t>Conjunto sinaleiro serie 20, DN 30.5 mm, com lente oval na cor vermelho, com lâmpada incandescente 3 w, 220 v, soquete tipo E 14.</t>
  </si>
  <si>
    <t>QCM.EEE.12</t>
  </si>
  <si>
    <t>Conector unipolar sak, para cabos até    2.5 mm2</t>
  </si>
  <si>
    <t>QCM.EEE.13</t>
  </si>
  <si>
    <t>Conector unipolar sak, para cabos até  10.0 mm2</t>
  </si>
  <si>
    <t>QCM.EEE.14</t>
  </si>
  <si>
    <t>Conector unipolar sak, para cabos até  16.0 mm2</t>
  </si>
  <si>
    <t>QCM.EEE.15</t>
  </si>
  <si>
    <t>Protetor de Surto, Monofásico, Tensão de trabalho 220 Vca, corrente máxima 25KA em 8/20 ms, resposta &lt; 25 ns.</t>
  </si>
  <si>
    <t>QCM.EEE.16</t>
  </si>
  <si>
    <t>Voltímetro de 72 x 72 mm, ferro móvel, com amortecimento magnético, tensão de isolamento 2 Kv, para instalação em porta de painel, na escala 0-600 V e precisão de 1.5 %.</t>
  </si>
  <si>
    <t xml:space="preserve">Amperímetro de 72 x 72 mm, ferro móvel, com amortecimento magnético, tensão de isolamento 2 Kv, para instalação em porta de painel, na precisão de 1.5 %, e na escala  100/5 A </t>
  </si>
  <si>
    <t>QCM.EEE.18</t>
  </si>
  <si>
    <t>Chave comutadora para voltímetro, com as posições ( 0-RS-TS-RT ), frontal quadrado para montagem pelo topo, corrente nominal 16 A, 600 vca.</t>
  </si>
  <si>
    <t>QCM.EEE.19</t>
  </si>
  <si>
    <t>Conjunto, resistência de aquecimento 60 w, com termostato, 220 v, 60 Hz, para QCM.</t>
  </si>
  <si>
    <t>QCM.EEE.20</t>
  </si>
  <si>
    <t>Armário confeccionado em chapa de aço. Instalação ao tempo, IP 54. Acabamento a base de epóxi com acessórios internos bicromatizados, construído e instalado de acordo com o projeto, com soleira, DN 1700 x 600 x 400 mm ( AxLxP )</t>
  </si>
  <si>
    <t>QCM.EEE.21</t>
  </si>
  <si>
    <t>Disjuntor termomagnético, Unipolar,  6 A , 220 Vca</t>
  </si>
  <si>
    <t>QCM.EEE.22</t>
  </si>
  <si>
    <t>Disjuntor termomagnético, Bipolar, 6 A, 2 x 220 Vca</t>
  </si>
  <si>
    <t>Disjuntor termomagnético, Tripolar, 40 A, 380 Vca</t>
  </si>
  <si>
    <t>Disjuntor termomagnético, Tripolar, 50 A, 380 Vca</t>
  </si>
  <si>
    <t>QCM.EEE.25</t>
  </si>
  <si>
    <t>Disjuntor termomagnético, Tripolar, 500 A, 380 Vca</t>
  </si>
  <si>
    <t>QCM.EEE.26</t>
  </si>
  <si>
    <t>Reator com AFP, para lâmpada fluorescente de 15 W.</t>
  </si>
  <si>
    <t>Lâmpada fluorescente, 220 v, 60 Hz, 15 W.</t>
  </si>
  <si>
    <t>QCM.EEE.28</t>
  </si>
  <si>
    <t>Chave de partida tiristorizada para motores, 45 Kw – 85 A, 380 Vca, 60 Hz, 50ºC.</t>
  </si>
  <si>
    <t>Fusível Ultra-rápido, 200 A, tensão 500 V.</t>
  </si>
  <si>
    <t>QCM.EEE.31</t>
  </si>
  <si>
    <t>Relê de Nível Ultra-sônico com Sensor de nível ultra-sônico, alimentação 220 Vca, saída 4 a 20 mA, range 0 a 5000 mm.</t>
  </si>
  <si>
    <t>QCM.EEE.32</t>
  </si>
  <si>
    <t>Controlador Lógico Programável, alimentação em 220 Vca, 4 entradas analógicas 2 saídas analógicas, 16  entradas digitais 24 Vcc, 8 saídas digitais 24Vcc, porta RS 232, protocolo de comunicação remota. (Acompanha Soft da Automação)</t>
  </si>
  <si>
    <t>QCM.EEE.33</t>
  </si>
  <si>
    <t>Protetor de Surto Monofásico, tensão de trabalho 24 Vcc, tipo Valvtrab ou similar.</t>
  </si>
  <si>
    <t>QCM.EEE.34</t>
  </si>
  <si>
    <t>No Break, 1 Kva, entrada 220 V, saída 220 V.</t>
  </si>
  <si>
    <t>QCM.EEE.35</t>
  </si>
  <si>
    <t>Conversor 220 Vca para 24 Vcc,  1 A .</t>
  </si>
  <si>
    <t>QCM.EEE.36</t>
  </si>
  <si>
    <t>Chave amperimétrica, com as posições ( 0-R-S-T ), frontal quadrado para montagem pelo topo, corrente nominal 16 A, 600 vca.</t>
  </si>
  <si>
    <t>QCM.EEE.37</t>
  </si>
  <si>
    <t>Transformador de corrente par medição, 100 / 5 A, tipo janela, classe tensão 0,6 Kv.</t>
  </si>
  <si>
    <t>Disjuntor tripolar para motores, com proteção contra curto circuito fixo, e contra sobrecarga ajustável, 100 A, RSC (57 – 75)</t>
  </si>
  <si>
    <t>QCM.EEE.40</t>
  </si>
  <si>
    <t>Trafo de Comando, 500 VA, Entrada 220 Vca, Saída 220 Vca</t>
  </si>
  <si>
    <t>QCM.EEE.41</t>
  </si>
  <si>
    <t>Alarme para Quadro de Comando, Instalação em porta de painel, 72 x 72 mm, 220 Vca, 60 Hz.</t>
  </si>
  <si>
    <t>QCM.EEE.42</t>
  </si>
  <si>
    <t>Ventiladores para Quadro de Comando, 96 x 96 mm, 220 Vca, 60 Hz, acompanha Haletas de ventilação/proteção e Filtro de ar.</t>
  </si>
  <si>
    <t>QCM.EEE.43</t>
  </si>
  <si>
    <t>Exaustores para Quadro de Comando, 96 x 96 mm, 220 Vca, 60 Hz, acompanha Haletas de ventilação/proteção e Filtro de ar.</t>
  </si>
  <si>
    <t>QCM.EEE.44</t>
  </si>
  <si>
    <t>Termostato 220Vca, ao aquecim.  fecha contato com 40º C.</t>
  </si>
  <si>
    <t>QCM.EEE.45</t>
  </si>
  <si>
    <t>Conjunto protetor contra surto de tensão monofásico, tensão de trabalho 220 Vca, chave liga/desliga, fusível Ultrarápido, e elemento sólido com descarga para terra.</t>
  </si>
  <si>
    <t>Fusível Diazed, conjunto completo (base + fusível), tensão nominal 500 v, CN  2 A</t>
  </si>
  <si>
    <t>Fusível Diazed, conjunto completo (base + fusível), tensão nominal 500 v,CN  4 A</t>
  </si>
  <si>
    <t>QCM.CX.AREIA.03</t>
  </si>
  <si>
    <t>QCM.CX.AREIA.04</t>
  </si>
  <si>
    <t>QCM.CX.AREIA.05</t>
  </si>
  <si>
    <t>QCM.CX.AREIA.06</t>
  </si>
  <si>
    <t>QCM.CX.AREIA.07</t>
  </si>
  <si>
    <t>Conjunto sinaleiro serie 20, DN 30.5 mm, com lente oval na cor vermelha, com lâmpada incandescente 3 w, 220 v, soquete tipo E 14.</t>
  </si>
  <si>
    <t>QCM.CX.AREIA.08</t>
  </si>
  <si>
    <t>QCM.CX.AREIA.09</t>
  </si>
  <si>
    <t>QCM.CX.AREIA.10</t>
  </si>
  <si>
    <t>QCM.CX.AREIA.11</t>
  </si>
  <si>
    <t>QCM.CX.AREIA.12</t>
  </si>
  <si>
    <t>QCM.CX.AREIA.13</t>
  </si>
  <si>
    <t>QCM.CX.AREIA.14</t>
  </si>
  <si>
    <t>QCM.CX.AREIA.15</t>
  </si>
  <si>
    <t>QCM.CX.AREIA.16</t>
  </si>
  <si>
    <t>Disjuntor termomagnético, Unipolar, 6 A, 220 Vca</t>
  </si>
  <si>
    <t>Disjuntor termomagnético, Unipolar,  20 A, 220 Vca</t>
  </si>
  <si>
    <t>Disjuntor termomagnético, Tripolar,  20 A, 380 Vca</t>
  </si>
  <si>
    <t>Disjuntor termomagnético, Tripolar, 125 A, 380 Vca</t>
  </si>
  <si>
    <t>QCM.CX.AREIA.20</t>
  </si>
  <si>
    <t>QCM.CX.AREIA.22</t>
  </si>
  <si>
    <t>Chave de partida tiristorizada para motores, 11 Kw – 22 A, 380 Vca, 60 Hz, 50ºC.</t>
  </si>
  <si>
    <t>Fusível Ultra-rápido, tensão 500 V, 125 A</t>
  </si>
  <si>
    <t>QCM.CX.AREIA.25</t>
  </si>
  <si>
    <t>QCM.CX.AREIA.26</t>
  </si>
  <si>
    <t>Disjuntor tripolar para motores, com proteção contra curto circuito fixo, e contra sobrecarga ajustável  25 A, RSC   (10 – 16)</t>
  </si>
  <si>
    <t>QCM.CX.AREIA.27</t>
  </si>
  <si>
    <t>Disjuntor tripolar para motores, com proteção contra curto circuito fixo, e contra sobrecarga ajustável 12 A, RSC   (2,2 – 3,2)</t>
  </si>
  <si>
    <t>QCM.CX.AREIA.28</t>
  </si>
  <si>
    <t>Disjuntor tripolar para motores, com proteção contra curto circuito fixo, e contra sobrecarga ajustável  12 A, RSC   (3,5 – 5)</t>
  </si>
  <si>
    <t>QCM.CX.AREIA.29</t>
  </si>
  <si>
    <t>QCM.CX.AREIA.30</t>
  </si>
  <si>
    <t>QCM.CX.AREIA.31</t>
  </si>
  <si>
    <t>QCM.CX.AREIA.32</t>
  </si>
  <si>
    <t>Contator tripolar acionamento em 220 vca, 60 Hz, 9 A, (2 NA + 2 NF), Tensão nominal 660 V.</t>
  </si>
  <si>
    <t>INST.BIOGAS.04</t>
  </si>
  <si>
    <t xml:space="preserve">Eletroduto flexível a prova de tempo, fabricado em tubo metálico flexível, revestido de polivinil clorídrico, extremidades em latão montados, rosca gas, com conector macho-fêmea, DN 25 mm    </t>
  </si>
  <si>
    <t>INST.BIOGAS.05</t>
  </si>
  <si>
    <t>Caixa de derivação universal, de alumínio injetado, isento de cobre, DN 25 mm, tipo C</t>
  </si>
  <si>
    <t>INST.BIOGAS.06</t>
  </si>
  <si>
    <t>Caixa de derivação universal, de alumínio injetado, isento de cobre, DN 25 mm, tipo E, com tomada monofásica universal, 2P+T, 220V, 10A</t>
  </si>
  <si>
    <t>INST.BIOGAS.07</t>
  </si>
  <si>
    <t xml:space="preserve">Caixa de derivação universal, de alumínio injetado, isento de cobre, DN  32 mm, tipo T </t>
  </si>
  <si>
    <t>INST.BIOGAS.08</t>
  </si>
  <si>
    <t>Caixa de derivação universal, de alumínio injetado, isento de cobre, DN  40 mm, tipo LR</t>
  </si>
  <si>
    <t>INST.BIOGAS.09</t>
  </si>
  <si>
    <t>Caixa de derivação universal, de alumínio injetado, isento de cobre, DN  40 mm, tipo XB</t>
  </si>
  <si>
    <t>INST.BIOGAS.10</t>
  </si>
  <si>
    <t>Caixa de derivação universal, de alumínio injetado, isento de cobre, DN 40 mm, tipo C, com interruptor simples uma tecla, 220V, 20A</t>
  </si>
  <si>
    <t>INST.BIOGAS.11</t>
  </si>
  <si>
    <t>Box Curvo, de alumínio injetado, isento de cobre, diâmetro de 25mm.</t>
  </si>
  <si>
    <t>INST.BIOGAS.12</t>
  </si>
  <si>
    <t xml:space="preserve">Tomada Tripolar 16 A, de sobrepor, 5 Pólos ( 3F + N + T), tipo CEKTON. </t>
  </si>
  <si>
    <t xml:space="preserve">Fio de cobre (tempera mole), isolação em PVC (70oC), composto termoplástico polivinila, com características especiais a não propagação e autoextinção do fogo, 750 V, 2,5 mm2 , vermelho  - fase     </t>
  </si>
  <si>
    <t xml:space="preserve">Fio de cobre (tempera mole), isolação em PVC (70oC), composto termoplástico polivinila, com características especiais a não propagação e autoextinção do fogo, 750 V, 2,5 mm2 , azul claro – neutro  </t>
  </si>
  <si>
    <t xml:space="preserve">Fio de cobre (tempera mole), isolação em PVC (70oC), composto termoplástico polivinila, com características especiais a não propagação e autoextinção do fogo, 750 V, 2,5 mm2 , verde        - terra     </t>
  </si>
  <si>
    <t xml:space="preserve">Fio de cobre (tempera mole), isolação em PVC (70oC), composto termoplástico polivinila, com características especiais a não propagação e autoextinção do fogo, 750 V, 2,5 mm2 , branco      - retorno  </t>
  </si>
  <si>
    <t xml:space="preserve">Fio de cobre (tempera mole), isolação em PVC (70oC), composto termoplástico polivinila, com características especiais a não propagação e autoextinção do fogo, 750 V, 4,0 mm2 , vermelho  - fase     </t>
  </si>
  <si>
    <t xml:space="preserve">Fio de cobre (tempera mole), isolação em PVC (70oC), composto termoplástico polivinila, com características especiais a não propagação e autoextinção do fogo, 750 V, 4,0 mm2 , azul claro – neutro  </t>
  </si>
  <si>
    <t xml:space="preserve">Fio de cobre (tempera mole), isolação em PVC (70oC), composto termoplástico polivinila, com características especiais a não propagação e autoextinção do fogo, 750 V, 4,0 mm2 , verde        - terra     </t>
  </si>
  <si>
    <t xml:space="preserve">Cabo de cobre (tempera mole), isolação em PVC (70°C), composto termoplástico polivinila, capa interna em PVC e cobertura em PVC tipo STI, cor preta, com características especiais a não propagação e autoextinção do fogo, 0.6 - 1 Kv, 2,5 mm2, cabo com 4 condutores </t>
  </si>
  <si>
    <t>INST.BIOGAS.21</t>
  </si>
  <si>
    <t>Luminária a prova de explosão com alojamento para equipamentos. Completa com todos os equipamentos, reator e ignitor e para lâmpada sódio 150W, 220V, arandela, base E-40</t>
  </si>
  <si>
    <t>Caixa de passagem em alvenaria, com tampa em concreto, 300x300x300mm</t>
  </si>
  <si>
    <t>INST.HIPOCL.04</t>
  </si>
  <si>
    <t>INST.HIPOCL.05</t>
  </si>
  <si>
    <t>INST.HIPOCL.06</t>
  </si>
  <si>
    <t>INST.HIPOCL.07</t>
  </si>
  <si>
    <t>Caixa de derivação universal, de alumínio injetado, isento de cobre, DN  25 mm, tipo E, com tomada monofásica universal, 2P+T, 220V, 10A</t>
  </si>
  <si>
    <t>INST.HIPOCL.08</t>
  </si>
  <si>
    <t>Caixa de derivação universal, de alumínio injetado, isento de cobre, DN 25 mm, tipo E, com interruptor simples uma tecla, 220V, 20A</t>
  </si>
  <si>
    <t>INST.HIPOCL.09</t>
  </si>
  <si>
    <t>Caixa de derivação universal, de alumínio injetado, isento de cobre, DN 32 mm, tipo C, com interruptor simples uma tecla, 220V, 20A</t>
  </si>
  <si>
    <t>INST.HIPOCL.10</t>
  </si>
  <si>
    <t xml:space="preserve">Caixa de derivação universal, de alumínio injetado, isento de cobre, DN 25 mm, tipo T </t>
  </si>
  <si>
    <t>INST.HIPOCL.11</t>
  </si>
  <si>
    <t>Caixa de derivação universal, de alumínio injetado, isento de cobre, DN 25 mm, tipo LL</t>
  </si>
  <si>
    <t>INST.HIPOCL.12</t>
  </si>
  <si>
    <t>Caixa de derivação universal, de alumínio injetado, isento de cobre, DN  25 mm, tipo LR</t>
  </si>
  <si>
    <t>INST.HIPOCL.13</t>
  </si>
  <si>
    <t>INST.HIPOCL.14</t>
  </si>
  <si>
    <t>Caixa de derivação universal, de alumínio injetado, isento de cobre, DN 32 mm, tipo T</t>
  </si>
  <si>
    <t>INST.HIPOCL.15</t>
  </si>
  <si>
    <t>Caixa de derivação universal, de alumínio injetado, isento de cobre, DN 32 mm, tipo C</t>
  </si>
  <si>
    <t>INST.HIPOCL.16</t>
  </si>
  <si>
    <t>Caixa de derivação universal, de alumínio injetado, isento de cobre, DN 40 mm, tipo T</t>
  </si>
  <si>
    <t>INST.HIPOCL.17</t>
  </si>
  <si>
    <t>Caixa de derivação universal, de alumínio injetado, isento de cobre, DN 40 mm, tipo LL</t>
  </si>
  <si>
    <t>INST.HIPOCL.18</t>
  </si>
  <si>
    <t>Caixa de derivação universal, de alumínio injetado, isento de cobre, DN 75 mm, tipo T</t>
  </si>
  <si>
    <t>INST.HIPOCL.19</t>
  </si>
  <si>
    <t>INST.HIPOCL.20</t>
  </si>
  <si>
    <t xml:space="preserve">Tomada Tripolar 16 A, de sobrepor, 5 Polos ( 3F + N + T), tipo CEKTON. </t>
  </si>
  <si>
    <t xml:space="preserve">Fio de cobre (tempera mole), isolação em PVC (70oC), composto termoplástico polivinila, com características especiais a não propagação e autoextinção do fogo, 750 V, 6,0 mm2 , vermelho  - fase     </t>
  </si>
  <si>
    <t xml:space="preserve">Fio de cobre (tempera mole), isolação em PVC (70oC), composto termoplástico polivinila, com características especiais a não propagação e autoextinção do fogo, 750 V, 6,0 mm2 , azul claro – neutro  </t>
  </si>
  <si>
    <t xml:space="preserve">Fio de cobre (tempera mole), isolação em PVC (70oC), composto termoplástico polivinila, com características especiais a não propagação e autoextinção do fogo, 750 V, 6,0 mm2 , verde        - terra     </t>
  </si>
  <si>
    <t xml:space="preserve">Cabo de cobre (tempera mole), isolação em PVC (70°C), composto termoplástico polivinila, capa interna em PVC e cobertura em PVC tipo STI, cor preta, com características especiais a não propagação e autoextinção do fogo, 0.6 - 1 Kv, 1,5mm2, cabo com 2 condutores, cabo blindado </t>
  </si>
  <si>
    <t>Cabo de cobre (tempera mole), isolação em PVC (70°C), composto termoplástico polivinila, capa interna em PVC e cobertura em PVC tipo STI, cor preta, com características especiais a não propagação e autoextinção do fogo, 0.6 - 1 Kv, 1,5 mm2, cabo com 10 condutores</t>
  </si>
  <si>
    <t>INST.HIPOCL.31</t>
  </si>
  <si>
    <t>INST.HIPOCL.32</t>
  </si>
  <si>
    <t xml:space="preserve">Disjuntor termomagnético, com capacidade de ruptura em 380/220 v, para os unipolares de 3 kVA, e para os tripolares de 4.5 kva, conforme VDG-0641 e CEE publicação 19, 16 A, monopolar   </t>
  </si>
  <si>
    <t>INST.HIPOCL.33</t>
  </si>
  <si>
    <t xml:space="preserve">Disjuntor termomagnético, com capacidade de ruptura em 380/220 v, para os unipolares de 3 kVA, e para os tripolares de 4.5 kva, conforme VDG-0641 e CEE publicação 19, 16 A, tripolar   </t>
  </si>
  <si>
    <t>INST.HIPOCL.34</t>
  </si>
  <si>
    <t xml:space="preserve">Disjuntor termomagnético, com capacidade de ruptura em 380/220 v, para os unipolares de 3 kVA, e para os tripolares de 4.5 kva, conforme VDG-0641 e CEE publicação 19, 32 A, tripolar   </t>
  </si>
  <si>
    <t>Quadro de distribuição de luz e força para sobrepor na parede, em chapa de aço No18, flangeis desmont. sup. e inf. com KNOCKOUT de DN 25 mm, DN 32 mm, DN 40 mm,  p/ eletrodutos, chassi interno, contra-espelho e porta externa em chapa No 16, equipada com canopla, V. nom. 500 v, p/ inst. abrigada, IP-42, barram. trifásico. Acabamento em pintura eletrostática na cor cinza, com etiquetas auto-adesivas para identif. dos circuitos, trilho p/ proteção geral e outros equip. de proteção, trilho para 24 módulos, mais extra de 12 módulos.</t>
  </si>
  <si>
    <t>INST.HIPOCL.36</t>
  </si>
  <si>
    <t>Descrição - Elétrico</t>
  </si>
  <si>
    <t xml:space="preserve"> SALA DE FORÇAS</t>
  </si>
  <si>
    <t xml:space="preserve"> INSTALAÇÕES GERAIS CAIXA DE AREIA</t>
  </si>
  <si>
    <t xml:space="preserve"> QCM - HIPOCLORITO</t>
  </si>
  <si>
    <t xml:space="preserve"> QCM - BIOGAS</t>
  </si>
  <si>
    <t xml:space="preserve"> SUBESTAÇÃO</t>
  </si>
  <si>
    <t xml:space="preserve"> QCM - EEE</t>
  </si>
  <si>
    <t xml:space="preserve"> QCM - CX.AREIA</t>
  </si>
  <si>
    <t xml:space="preserve"> BIOGÁS- INST.GERAIS</t>
  </si>
  <si>
    <t xml:space="preserve">  INSTALAÇÕES GERAIS - HIPOCLORITO</t>
  </si>
  <si>
    <t>CATALÃO,GO</t>
  </si>
  <si>
    <t>LOCAL: SES CATALÃO</t>
  </si>
  <si>
    <t xml:space="preserve">MEMORIAL DE CÁLCULO REDE COLETORA </t>
  </si>
  <si>
    <t>Parametros de Cálculo</t>
  </si>
  <si>
    <t>p0</t>
  </si>
  <si>
    <t>Distância de Bota-Fora</t>
  </si>
  <si>
    <t>p1</t>
  </si>
  <si>
    <t>Distância de Jazida</t>
  </si>
  <si>
    <t>p2</t>
  </si>
  <si>
    <t>p3</t>
  </si>
  <si>
    <t>ESCAV. MECÂNICA</t>
  </si>
  <si>
    <t>p4</t>
  </si>
  <si>
    <t xml:space="preserve">MAT.1ª Categoria </t>
  </si>
  <si>
    <t>p5</t>
  </si>
  <si>
    <t>MAT.2ª Categoria</t>
  </si>
  <si>
    <t>p6</t>
  </si>
  <si>
    <t>MAT.3ª Categoria</t>
  </si>
  <si>
    <t>p7</t>
  </si>
  <si>
    <t>p8</t>
  </si>
  <si>
    <t>EMPOLAMENTO DE MATERIAL</t>
  </si>
  <si>
    <t>p9</t>
  </si>
  <si>
    <t>EMPOLAMENTO DE ENTULHO</t>
  </si>
  <si>
    <t>p10</t>
  </si>
  <si>
    <t>p11</t>
  </si>
  <si>
    <t>p12</t>
  </si>
  <si>
    <t>ESCORAMENTO TIPO PONTALETE (Para Valas até 5m)</t>
  </si>
  <si>
    <t>p13</t>
  </si>
  <si>
    <t>ESCORAMENTO TIPO CONTÍNUO (Para Valas até 5m)</t>
  </si>
  <si>
    <t>p14</t>
  </si>
  <si>
    <t>ESCORAMENTO TIPO CONTÍNUO (Para Valas maiores que 5m)</t>
  </si>
  <si>
    <t>p15</t>
  </si>
  <si>
    <t>ESCORAMENTO DESCONTÍNUO</t>
  </si>
  <si>
    <t>p16</t>
  </si>
  <si>
    <t>ESCORAMENTO PRANCHA</t>
  </si>
  <si>
    <t>p17</t>
  </si>
  <si>
    <t>Corte e demolição de Calçada Manual</t>
  </si>
  <si>
    <t>p18</t>
  </si>
  <si>
    <t>Corte e demolição de Calçada Mecânico</t>
  </si>
  <si>
    <t>p19</t>
  </si>
  <si>
    <t>Corte e demolição de asfalto Mecânico</t>
  </si>
  <si>
    <t>p20</t>
  </si>
  <si>
    <t>Espessura de Pavimentos-Calçada e Asfalto</t>
  </si>
  <si>
    <t>p21</t>
  </si>
  <si>
    <t>Largura Média da Vala</t>
  </si>
  <si>
    <t>p22</t>
  </si>
  <si>
    <t>Altura do Reforço da Vala</t>
  </si>
  <si>
    <t>p23</t>
  </si>
  <si>
    <t>Bacia s/ pavimento</t>
  </si>
  <si>
    <t>preencher de acordo com a bacia (ver Google)</t>
  </si>
  <si>
    <t>p24</t>
  </si>
  <si>
    <t>Execução de rede na rua ao invés da calçada</t>
  </si>
  <si>
    <t>p25</t>
  </si>
  <si>
    <t>Meio-fio</t>
  </si>
  <si>
    <t>TUBO FºFº DN100</t>
  </si>
  <si>
    <t>TUBO FºFº DN150</t>
  </si>
  <si>
    <t>TUBO FºFº DN200</t>
  </si>
  <si>
    <t>VOL.ESC</t>
  </si>
  <si>
    <t>TUBO FºFº DN250</t>
  </si>
  <si>
    <t>VOL.REAT</t>
  </si>
  <si>
    <t>TUBO FºFº DN300</t>
  </si>
  <si>
    <t>LOCAÇÃO E CADASTRO</t>
  </si>
  <si>
    <t>Extensão de Rede Total</t>
  </si>
  <si>
    <t>SINALIZAÇÃO</t>
  </si>
  <si>
    <t>c</t>
  </si>
  <si>
    <t>d</t>
  </si>
  <si>
    <t>e</t>
  </si>
  <si>
    <t>f</t>
  </si>
  <si>
    <t>g</t>
  </si>
  <si>
    <t>h</t>
  </si>
  <si>
    <t>Extensão de Rede que passa no Mato x 1,5 m de Largura</t>
  </si>
  <si>
    <t>i</t>
  </si>
  <si>
    <t>j</t>
  </si>
  <si>
    <t>k</t>
  </si>
  <si>
    <t>l</t>
  </si>
  <si>
    <t>ESCAVAÇÃO MAIOR DE 6,0 m</t>
  </si>
  <si>
    <t>n</t>
  </si>
  <si>
    <t>o</t>
  </si>
  <si>
    <t>p</t>
  </si>
  <si>
    <t>COMPOSIÇÃO</t>
  </si>
  <si>
    <t>CP2</t>
  </si>
  <si>
    <t>q</t>
  </si>
  <si>
    <t>r</t>
  </si>
  <si>
    <t>s</t>
  </si>
  <si>
    <t>t</t>
  </si>
  <si>
    <t>CP3</t>
  </si>
  <si>
    <t>u</t>
  </si>
  <si>
    <t>v</t>
  </si>
  <si>
    <t>w</t>
  </si>
  <si>
    <t>y</t>
  </si>
  <si>
    <t>CP4</t>
  </si>
  <si>
    <t>x</t>
  </si>
  <si>
    <t>z</t>
  </si>
  <si>
    <t>aa</t>
  </si>
  <si>
    <t>ad</t>
  </si>
  <si>
    <t>ae</t>
  </si>
  <si>
    <t>ah</t>
  </si>
  <si>
    <t>ai</t>
  </si>
  <si>
    <t>al</t>
  </si>
  <si>
    <t>ap</t>
  </si>
  <si>
    <t>aq</t>
  </si>
  <si>
    <t>ar</t>
  </si>
  <si>
    <t>as</t>
  </si>
  <si>
    <t>CARGA, TRANSPORTES E DESCARGA DE MATERIAL (BOTA-FORA)</t>
  </si>
  <si>
    <t>at</t>
  </si>
  <si>
    <t>au</t>
  </si>
  <si>
    <t>[Mat. De Bota-fora "at" ] x Distância do Bota Fora "p0"</t>
  </si>
  <si>
    <t>av</t>
  </si>
  <si>
    <t>CARGA, TRANSPORTES E DESCARGA DE MATERIAL (JAZIDA)</t>
  </si>
  <si>
    <t>aw</t>
  </si>
  <si>
    <t>ax</t>
  </si>
  <si>
    <t>ay</t>
  </si>
  <si>
    <t>ESCORAMENTO</t>
  </si>
  <si>
    <t>bf</t>
  </si>
  <si>
    <t>bg</t>
  </si>
  <si>
    <t>bi</t>
  </si>
  <si>
    <t>bj</t>
  </si>
  <si>
    <t>bk</t>
  </si>
  <si>
    <t xml:space="preserve">ESGOTAMENTO   </t>
  </si>
  <si>
    <t>ctd.1</t>
  </si>
  <si>
    <t>ctd.2</t>
  </si>
  <si>
    <t>ctd.3</t>
  </si>
  <si>
    <t>ctd.4</t>
  </si>
  <si>
    <t>ctd.5</t>
  </si>
  <si>
    <t>ctd.6</t>
  </si>
  <si>
    <t>ctd.7</t>
  </si>
  <si>
    <t>ctd.8</t>
  </si>
  <si>
    <t>ctd.9</t>
  </si>
  <si>
    <t>ctd.10</t>
  </si>
  <si>
    <t>CORTE E REPOSIÇÃO DE PAVIMENTOS - REDE</t>
  </si>
  <si>
    <t>bl</t>
  </si>
  <si>
    <t>Rede na calçada</t>
  </si>
  <si>
    <t>bm</t>
  </si>
  <si>
    <t>Rede no asfalto</t>
  </si>
  <si>
    <t>bn</t>
  </si>
  <si>
    <t>MATERIAL DE EMPRÉSTIMO PARA BASE ASFÁLTICA</t>
  </si>
  <si>
    <t>BOTA-FORA DE ENTULHOS (PAVIMENTOS)</t>
  </si>
  <si>
    <t>POÇOS DE VISITA</t>
  </si>
  <si>
    <t>by</t>
  </si>
  <si>
    <t>Obtida da Lista de Materiais do Proj. Hidráulico (SANIS)</t>
  </si>
  <si>
    <t>bx</t>
  </si>
  <si>
    <t>bz</t>
  </si>
  <si>
    <t>ca</t>
  </si>
  <si>
    <t>cb</t>
  </si>
  <si>
    <t>cd</t>
  </si>
  <si>
    <t>ce</t>
  </si>
  <si>
    <t>CP6</t>
  </si>
  <si>
    <t>cf</t>
  </si>
  <si>
    <t>CP7</t>
  </si>
  <si>
    <t>cg</t>
  </si>
  <si>
    <t>CP8</t>
  </si>
  <si>
    <t>ch</t>
  </si>
  <si>
    <t>ao</t>
  </si>
  <si>
    <t>ESCAVAÇÃO MECANIZADA (COM ESCAVADEIRA HIDRÁULICA) EM VALAS COM MATERIAL DE 1ª CATEGORIA - PROFUNDIDADE MAIOR QUE 6,0M</t>
  </si>
  <si>
    <t>ESCAVAÇÃO MECANIZADA (COM ESCAVADEIRA HIDRÁULICA) EM VALAS COMMATERIAL DE 2ª CATEGORIA - PROFUNDIDADE MAIOR QUE 6,0M</t>
  </si>
  <si>
    <t>ESCAVAÇÃO MECANIZADA (COM ESCAVADEIRA HIDRÁULICA) EM VALAS COM MATERIAL DE SOLO MOLE - PROFUNDIDADE MAIOR QUE 6,0M</t>
  </si>
  <si>
    <t>POÇO DE VISITA EM ANÉIS DE CONCRETO DIÂMETROS 60 CM (CHAMINÉ) E 90 CM(BALÃO), INCLUINDO ANEL TAMPÃO DE CONCRETO, PROFUNDIDADE = 5,0 M</t>
  </si>
  <si>
    <t>POCO DE VISITA PARA REDE DE DIAMETRO ATE  1,50 M COM TAMPAO DE FERRO FUNDIDO - Profundidade de 6,00 m</t>
  </si>
  <si>
    <t>POCO DE VISITA PARA REDE DE DIAMETRO ATE  1,50 M COM TAMPAO DE FERRO FUNDIDO - Profundidade de 7,00 m</t>
  </si>
  <si>
    <t xml:space="preserve"> AMPLIAÇÃO DA ETE</t>
  </si>
  <si>
    <t>NV.1</t>
  </si>
  <si>
    <t>NV.2</t>
  </si>
  <si>
    <t xml:space="preserve"> CANTEIRO DE OBRAS E ADMINSTRAÇÃO LOCAL DA OBRAS</t>
  </si>
  <si>
    <t xml:space="preserve"> LOCAÇÃO E CADASTRO</t>
  </si>
  <si>
    <t xml:space="preserve"> SINALIZAÇÃO</t>
  </si>
  <si>
    <t xml:space="preserve"> CARGA, TRANSPORTES E DESCARGA DE MATERIAL (JAZIDA)</t>
  </si>
  <si>
    <t xml:space="preserve"> CORTE E REPOSIÇÃO DE PAVIMENTOS - REDE</t>
  </si>
  <si>
    <t xml:space="preserve"> MATERIAL DE EMPRÉSTIMO PARA BASE ASFÁLTICA</t>
  </si>
  <si>
    <t xml:space="preserve"> BOTA-FORA DE ENTULHOS (PAVIMENTOS)</t>
  </si>
  <si>
    <t xml:space="preserve"> POÇOS DE VISITA</t>
  </si>
  <si>
    <t>ORÇAMENTO GERAL</t>
  </si>
  <si>
    <t>A - SERVIÇOS</t>
  </si>
  <si>
    <t>B - MAT. HIDRÁULICO</t>
  </si>
  <si>
    <t>D - ENERGI-ZAÇÃO</t>
  </si>
  <si>
    <t>CT.RD.1</t>
  </si>
  <si>
    <t>CT.RD.2</t>
  </si>
  <si>
    <t>CT.RD.3</t>
  </si>
  <si>
    <t>CT.RD.4</t>
  </si>
  <si>
    <t>CT.RD.5</t>
  </si>
  <si>
    <t>CT.RM.1</t>
  </si>
  <si>
    <t>CT.RM.2</t>
  </si>
  <si>
    <t>CT.RM.3</t>
  </si>
  <si>
    <t>CT.RM.4</t>
  </si>
  <si>
    <t>CT.RM.5</t>
  </si>
  <si>
    <t>CT.RM.6</t>
  </si>
  <si>
    <t xml:space="preserve"> INTERCEPTORES</t>
  </si>
  <si>
    <t>OBRA: INTERCEPTORES</t>
  </si>
  <si>
    <t>INTERCEPTOR ME</t>
  </si>
  <si>
    <t>TUBO PVC/ESGOTO DN400</t>
  </si>
  <si>
    <t xml:space="preserve">Obtido da Lista de Serviços </t>
  </si>
  <si>
    <t>TUBO CONCRETO DN500</t>
  </si>
  <si>
    <t>TUBO CONCRETO DN700</t>
  </si>
  <si>
    <t>TUBO FºFº DN400</t>
  </si>
  <si>
    <t>TUBO FºFº DN500</t>
  </si>
  <si>
    <t>TUBO FºFº DN700</t>
  </si>
  <si>
    <t>Obtida da Lista de Serviços</t>
  </si>
  <si>
    <t>REFORÇO DO FUNDO DE VALA</t>
  </si>
  <si>
    <t>rf.1</t>
  </si>
  <si>
    <t>rf.2</t>
  </si>
  <si>
    <t>[Mat. De Jazida ] x Distância da Jazida "p1"</t>
  </si>
  <si>
    <t>INTERC.1</t>
  </si>
  <si>
    <t>INTERC.2</t>
  </si>
  <si>
    <t>INTERC.3</t>
  </si>
  <si>
    <t>INTERC.4</t>
  </si>
  <si>
    <t>INTERC.5</t>
  </si>
  <si>
    <t>INTERC.6</t>
  </si>
  <si>
    <t>INTERC.7</t>
  </si>
  <si>
    <t>INTERC.8</t>
  </si>
  <si>
    <t>INTERC.9</t>
  </si>
  <si>
    <t>INTERC.10</t>
  </si>
  <si>
    <t>INTERC.14</t>
  </si>
  <si>
    <t>INTERC.18</t>
  </si>
  <si>
    <t>INTERC.22</t>
  </si>
  <si>
    <t>INTERC.23</t>
  </si>
  <si>
    <t>INTERC.24</t>
  </si>
  <si>
    <t>INTERC.25</t>
  </si>
  <si>
    <t>INTERC.26</t>
  </si>
  <si>
    <t>INTERC.27</t>
  </si>
  <si>
    <t>INTERC.28</t>
  </si>
  <si>
    <t>INTERC.29</t>
  </si>
  <si>
    <t>INTERC.30</t>
  </si>
  <si>
    <t>INTERC.33</t>
  </si>
  <si>
    <t>INTERC.34</t>
  </si>
  <si>
    <t>INTERC.36</t>
  </si>
  <si>
    <t>INTERC.37</t>
  </si>
  <si>
    <t>INTERC.38</t>
  </si>
  <si>
    <t>INTERC.39</t>
  </si>
  <si>
    <t>INTERC.40</t>
  </si>
  <si>
    <t>INTERC.41</t>
  </si>
  <si>
    <t>INTERC.42</t>
  </si>
  <si>
    <t>INTERC.45</t>
  </si>
  <si>
    <t>INTERC.46</t>
  </si>
  <si>
    <t>INTERC.47</t>
  </si>
  <si>
    <t>INTERC.48</t>
  </si>
  <si>
    <t>INTERC.58</t>
  </si>
  <si>
    <t>INTERC.59</t>
  </si>
  <si>
    <t>INTERC.60</t>
  </si>
  <si>
    <t>INTERC.61</t>
  </si>
  <si>
    <t>INTERC.67</t>
  </si>
  <si>
    <t>INTERC.68</t>
  </si>
  <si>
    <t>INTERC.69</t>
  </si>
  <si>
    <t>INTERC.70</t>
  </si>
  <si>
    <t>INTERC.71</t>
  </si>
  <si>
    <t>INTERC.72</t>
  </si>
  <si>
    <t>INTERC.73</t>
  </si>
  <si>
    <t>INTERC.74</t>
  </si>
  <si>
    <t>Largura Extra p/ cada lado</t>
  </si>
  <si>
    <t>Blocos de Apoio</t>
  </si>
  <si>
    <t>Blocos com 2 Trilhos</t>
  </si>
  <si>
    <t>Blocos com 3Trilhos</t>
  </si>
  <si>
    <t>Blocos dos Pilares da Treliça</t>
  </si>
  <si>
    <t>Trecho enterrado até BL1</t>
  </si>
  <si>
    <t>Trecho enterrado até BL6</t>
  </si>
  <si>
    <t>1º Categoria</t>
  </si>
  <si>
    <t>2º Categoria</t>
  </si>
  <si>
    <t>Vol. Da Estrutura</t>
  </si>
  <si>
    <t>Reaterro Total (Vol. Escavado - Vol. Da Estrutura)</t>
  </si>
  <si>
    <t>Largura do Cachimbo</t>
  </si>
  <si>
    <t>Altura do Cachimbo</t>
  </si>
  <si>
    <t>Perim. em Planta</t>
  </si>
  <si>
    <t>PI1</t>
  </si>
  <si>
    <t>PI2</t>
  </si>
  <si>
    <t>PI3</t>
  </si>
  <si>
    <t>PI4</t>
  </si>
  <si>
    <t>PI5</t>
  </si>
  <si>
    <t>PI6</t>
  </si>
  <si>
    <t>PI7</t>
  </si>
  <si>
    <t>PI8</t>
  </si>
  <si>
    <t>PI9</t>
  </si>
  <si>
    <t>PI10</t>
  </si>
  <si>
    <t>PI11</t>
  </si>
  <si>
    <t>PI12</t>
  </si>
  <si>
    <t>PI13</t>
  </si>
  <si>
    <t>PI14</t>
  </si>
  <si>
    <t>PI15</t>
  </si>
  <si>
    <t>PI16</t>
  </si>
  <si>
    <t>PI17</t>
  </si>
  <si>
    <t>PI18</t>
  </si>
  <si>
    <t>Capitel dos Pilares (P11, P12, P17 e P18)</t>
  </si>
  <si>
    <t>Perim. Long.</t>
  </si>
  <si>
    <t xml:space="preserve">Largura  </t>
  </si>
  <si>
    <t>Capitel dos Pilares (P3 ao P16)</t>
  </si>
  <si>
    <t>Quant. Blocos</t>
  </si>
  <si>
    <t>Quant. Trilhos / Bloco</t>
  </si>
  <si>
    <t>Peso Específico (kg/m)</t>
  </si>
  <si>
    <t>Quant. de Solda / Trilho</t>
  </si>
  <si>
    <t>Comprimento da solda (m)</t>
  </si>
  <si>
    <t>CT_TRELIÇA</t>
  </si>
  <si>
    <t>TRAVESSIAS EM BUEIROS</t>
  </si>
  <si>
    <t>Quant. De Furos</t>
  </si>
  <si>
    <t>DN (DNtubulação + 0,20)</t>
  </si>
  <si>
    <t>Interceptor ME - PV2 ao PV3</t>
  </si>
  <si>
    <t>Interceptor ME - PV9 ao PV10</t>
  </si>
  <si>
    <t xml:space="preserve"> TRAVESSIAS EM BUEIROS</t>
  </si>
  <si>
    <t>INTERCEPTOR MARGEM ESQUERDA</t>
  </si>
  <si>
    <t>CT.FºFº.12</t>
  </si>
  <si>
    <t>CT.FºFº.10</t>
  </si>
  <si>
    <t>CT.FºFº.17</t>
  </si>
  <si>
    <t>CT.FºFº.13</t>
  </si>
  <si>
    <t>CT.FºFº.03</t>
  </si>
  <si>
    <t>CT.FºFº.02</t>
  </si>
  <si>
    <t>EMISSÁRIO FINAL</t>
  </si>
  <si>
    <t>CT.FºFº.11</t>
  </si>
  <si>
    <t>CT.FºFº.04</t>
  </si>
  <si>
    <t>CT.FºFº.01</t>
  </si>
  <si>
    <t>CT.FºFº.05</t>
  </si>
  <si>
    <t>CT.FºFº.06</t>
  </si>
  <si>
    <t>CT.FºFº.07</t>
  </si>
  <si>
    <t>CT.FºFº.09</t>
  </si>
  <si>
    <t>CT.FºFº.14</t>
  </si>
  <si>
    <t>CT.FºFº.15</t>
  </si>
  <si>
    <t>CT.FºFº.16</t>
  </si>
  <si>
    <t>TRAT.PREL._SP_LIMP.</t>
  </si>
  <si>
    <t>TRAT.PREL._SP_LOCAC.</t>
  </si>
  <si>
    <t>TRAT.PREL._ESC.MEC.1</t>
  </si>
  <si>
    <t>TRAT.PREL._ESC.MEC.2</t>
  </si>
  <si>
    <t>TRAT.PREL._ESC.MEC.3</t>
  </si>
  <si>
    <t>TRAT.PREL._ESC.MEC.4</t>
  </si>
  <si>
    <t>TRAT.PREL._ESC.MEC.5</t>
  </si>
  <si>
    <t>TRAT.PREL._ESC.MEC.6</t>
  </si>
  <si>
    <t>TRAT.PREL._ESC.MAN.1</t>
  </si>
  <si>
    <t>TRAT.PREL._ESC.MAN.2</t>
  </si>
  <si>
    <t>TRAT.PREL._ESC.MAN.3</t>
  </si>
  <si>
    <t>TRAT.PREL._ESC.MAN.4</t>
  </si>
  <si>
    <t>TRAT.PREL._ESC.MAN.5</t>
  </si>
  <si>
    <t>TRAT.PREL._ESGOTAM.</t>
  </si>
  <si>
    <t>TRAT.PREL._REGUL</t>
  </si>
  <si>
    <t>TRAT.PREL._BF_CARGA</t>
  </si>
  <si>
    <t>TRAT.PREL._BF_TRANSP</t>
  </si>
  <si>
    <t>TRAT.PREL._BF_ESPAL</t>
  </si>
  <si>
    <t>TRAT.PREL._BF_LASTRO.CONCR</t>
  </si>
  <si>
    <t>TRAT.PREL._BRITA</t>
  </si>
  <si>
    <t>TRAT.PREL._FORMA</t>
  </si>
  <si>
    <t>TRAT.PREL._FUN_CONC</t>
  </si>
  <si>
    <t>TRAT.PREL._FUN_JUNTA</t>
  </si>
  <si>
    <t>TRAT.PREL._FUN_ENSAIO</t>
  </si>
  <si>
    <t>TRAT.PREL._GUARDA CORPO</t>
  </si>
  <si>
    <t>TRAT.PREL._ESCADA</t>
  </si>
  <si>
    <t>TRAT.PREL._GRELHA</t>
  </si>
  <si>
    <t>TRAT.PREL._APOIO</t>
  </si>
  <si>
    <t>TRAT.PREL._SUPORTE1</t>
  </si>
  <si>
    <t>TRAT.PREL._SUPORTE2</t>
  </si>
  <si>
    <t>TRAT.PREL._APOIO FLANGE</t>
  </si>
  <si>
    <t>TRAT.PREL._IMP.EXT</t>
  </si>
  <si>
    <t>TRAT.PREL._PINT.SELADOR</t>
  </si>
  <si>
    <t>TRAT.PREL._COBERT.TELHA</t>
  </si>
  <si>
    <t>TRAT.PREL._COBERT.PERFIS</t>
  </si>
  <si>
    <t>TRAT.PREL._MONT.MAT.HIDR.</t>
  </si>
  <si>
    <t>TRAT.PREL._MONT.EQUIP.</t>
  </si>
  <si>
    <t>TRAT.PREL._MONT.MAT.ELETR.</t>
  </si>
  <si>
    <t>REDE</t>
  </si>
  <si>
    <t>RAMAL</t>
  </si>
  <si>
    <t xml:space="preserve">Carga Mecânica DE MATERIAL </t>
  </si>
  <si>
    <r>
      <t xml:space="preserve">Idem </t>
    </r>
    <r>
      <rPr>
        <b/>
        <sz val="10"/>
        <rFont val="Arial"/>
        <family val="2"/>
      </rPr>
      <t>"a"</t>
    </r>
  </si>
  <si>
    <r>
      <t>{</t>
    </r>
    <r>
      <rPr>
        <b/>
        <sz val="10"/>
        <rFont val="Arial"/>
        <family val="2"/>
      </rPr>
      <t>"a"(km)</t>
    </r>
    <r>
      <rPr>
        <sz val="10"/>
        <rFont val="Arial"/>
        <family val="2"/>
      </rPr>
      <t>&lt;5 = 2} {5&gt;</t>
    </r>
    <r>
      <rPr>
        <b/>
        <sz val="10"/>
        <rFont val="Arial"/>
        <family val="2"/>
      </rPr>
      <t>"a"</t>
    </r>
    <r>
      <rPr>
        <sz val="10"/>
        <rFont val="Arial"/>
        <family val="2"/>
      </rPr>
      <t>&lt;15=6} {15&lt;</t>
    </r>
    <r>
      <rPr>
        <b/>
        <sz val="10"/>
        <rFont val="Arial"/>
        <family val="2"/>
      </rPr>
      <t>"a"</t>
    </r>
    <r>
      <rPr>
        <sz val="10"/>
        <rFont val="Arial"/>
        <family val="2"/>
      </rPr>
      <t>&lt;30 = 8} {</t>
    </r>
    <r>
      <rPr>
        <b/>
        <sz val="10"/>
        <rFont val="Arial"/>
        <family val="2"/>
      </rPr>
      <t>"a"</t>
    </r>
    <r>
      <rPr>
        <sz val="10"/>
        <rFont val="Arial"/>
        <family val="2"/>
      </rPr>
      <t>&gt;30 = 10}</t>
    </r>
  </si>
  <si>
    <r>
      <t xml:space="preserve">2 x </t>
    </r>
    <r>
      <rPr>
        <b/>
        <sz val="10"/>
        <rFont val="Arial"/>
        <family val="2"/>
      </rPr>
      <t>"c"</t>
    </r>
  </si>
  <si>
    <r>
      <t xml:space="preserve">Idem </t>
    </r>
    <r>
      <rPr>
        <b/>
        <sz val="10"/>
        <rFont val="Arial"/>
        <family val="2"/>
      </rPr>
      <t>"c"</t>
    </r>
  </si>
  <si>
    <r>
      <t>{</t>
    </r>
    <r>
      <rPr>
        <b/>
        <sz val="10"/>
        <rFont val="Arial"/>
        <family val="2"/>
      </rPr>
      <t>"a"</t>
    </r>
    <r>
      <rPr>
        <sz val="10"/>
        <rFont val="Arial"/>
        <family val="2"/>
      </rPr>
      <t>(km)&lt;5 =3} {5&gt;</t>
    </r>
    <r>
      <rPr>
        <b/>
        <sz val="10"/>
        <rFont val="Arial"/>
        <family val="2"/>
      </rPr>
      <t>"a"</t>
    </r>
    <r>
      <rPr>
        <sz val="10"/>
        <rFont val="Arial"/>
        <family val="2"/>
      </rPr>
      <t>&lt;15=9} {15&lt;</t>
    </r>
    <r>
      <rPr>
        <b/>
        <sz val="10"/>
        <rFont val="Arial"/>
        <family val="2"/>
      </rPr>
      <t>"a"</t>
    </r>
    <r>
      <rPr>
        <sz val="10"/>
        <rFont val="Arial"/>
        <family val="2"/>
      </rPr>
      <t>&lt;30 = 12} {</t>
    </r>
    <r>
      <rPr>
        <b/>
        <sz val="10"/>
        <rFont val="Arial"/>
        <family val="2"/>
      </rPr>
      <t>"a"</t>
    </r>
    <r>
      <rPr>
        <sz val="10"/>
        <rFont val="Arial"/>
        <family val="2"/>
      </rPr>
      <t>&gt;30 = 16}</t>
    </r>
  </si>
  <si>
    <r>
      <t>{</t>
    </r>
    <r>
      <rPr>
        <b/>
        <sz val="10"/>
        <rFont val="Arial"/>
        <family val="2"/>
      </rPr>
      <t>"a"</t>
    </r>
    <r>
      <rPr>
        <sz val="10"/>
        <rFont val="Arial"/>
        <family val="2"/>
      </rPr>
      <t>(km)&lt;5 = 60} {5&gt;</t>
    </r>
    <r>
      <rPr>
        <b/>
        <sz val="10"/>
        <rFont val="Arial"/>
        <family val="2"/>
      </rPr>
      <t>"a"</t>
    </r>
    <r>
      <rPr>
        <sz val="10"/>
        <rFont val="Arial"/>
        <family val="2"/>
      </rPr>
      <t>&lt;15 = 180} {15&lt;</t>
    </r>
    <r>
      <rPr>
        <b/>
        <sz val="10"/>
        <rFont val="Arial"/>
        <family val="2"/>
      </rPr>
      <t>"a"</t>
    </r>
    <r>
      <rPr>
        <sz val="10"/>
        <rFont val="Arial"/>
        <family val="2"/>
      </rPr>
      <t>&lt;30 = 250} {</t>
    </r>
    <r>
      <rPr>
        <b/>
        <sz val="10"/>
        <rFont val="Arial"/>
        <family val="2"/>
      </rPr>
      <t>"a"</t>
    </r>
    <r>
      <rPr>
        <sz val="10"/>
        <rFont val="Arial"/>
        <family val="2"/>
      </rPr>
      <t>&gt;30 = 300}</t>
    </r>
  </si>
  <si>
    <r>
      <t>Idem Esc.</t>
    </r>
    <r>
      <rPr>
        <b/>
        <sz val="10"/>
        <rFont val="Arial"/>
        <family val="2"/>
      </rPr>
      <t xml:space="preserve"> "at"</t>
    </r>
  </si>
  <si>
    <r>
      <t>Idem</t>
    </r>
    <r>
      <rPr>
        <b/>
        <sz val="10"/>
        <rFont val="Arial"/>
        <family val="2"/>
      </rPr>
      <t xml:space="preserve"> "1"</t>
    </r>
  </si>
  <si>
    <r>
      <t>Idem</t>
    </r>
    <r>
      <rPr>
        <b/>
        <sz val="10"/>
        <rFont val="Arial"/>
        <family val="2"/>
      </rPr>
      <t xml:space="preserve"> "2"</t>
    </r>
  </si>
  <si>
    <r>
      <t>Idem</t>
    </r>
    <r>
      <rPr>
        <b/>
        <sz val="10"/>
        <rFont val="Arial"/>
        <family val="2"/>
      </rPr>
      <t xml:space="preserve"> "3"</t>
    </r>
  </si>
  <si>
    <r>
      <t>Idem</t>
    </r>
    <r>
      <rPr>
        <b/>
        <sz val="10"/>
        <rFont val="Arial"/>
        <family val="2"/>
      </rPr>
      <t xml:space="preserve"> "4"</t>
    </r>
  </si>
  <si>
    <r>
      <t>Idem</t>
    </r>
    <r>
      <rPr>
        <b/>
        <sz val="10"/>
        <rFont val="Arial"/>
        <family val="2"/>
      </rPr>
      <t xml:space="preserve"> "5"</t>
    </r>
  </si>
  <si>
    <r>
      <t>Idem</t>
    </r>
    <r>
      <rPr>
        <b/>
        <sz val="10"/>
        <rFont val="Arial"/>
        <family val="2"/>
      </rPr>
      <t xml:space="preserve"> "6"</t>
    </r>
  </si>
  <si>
    <r>
      <t>Idem</t>
    </r>
    <r>
      <rPr>
        <b/>
        <sz val="10"/>
        <rFont val="Arial"/>
        <family val="2"/>
      </rPr>
      <t xml:space="preserve"> "7"</t>
    </r>
  </si>
  <si>
    <r>
      <t>Idem</t>
    </r>
    <r>
      <rPr>
        <b/>
        <sz val="10"/>
        <rFont val="Arial"/>
        <family val="2"/>
      </rPr>
      <t xml:space="preserve"> "8"</t>
    </r>
  </si>
  <si>
    <r>
      <t>Idem</t>
    </r>
    <r>
      <rPr>
        <b/>
        <sz val="10"/>
        <rFont val="Arial"/>
        <family val="2"/>
      </rPr>
      <t xml:space="preserve"> "9"</t>
    </r>
  </si>
  <si>
    <r>
      <t>Idem</t>
    </r>
    <r>
      <rPr>
        <b/>
        <sz val="10"/>
        <rFont val="Arial"/>
        <family val="2"/>
      </rPr>
      <t xml:space="preserve"> "10"</t>
    </r>
  </si>
  <si>
    <t>Caixas de Inspeção - Travessia sob BR-050</t>
  </si>
  <si>
    <t>Caixas de Inspeção - Travessia sob a Ferrovia</t>
  </si>
  <si>
    <t>Caixas de Inspeção</t>
  </si>
  <si>
    <t>TRAVESSIAS NÃO DESTRUTIVA</t>
  </si>
  <si>
    <t xml:space="preserve"> FUNDAÇÃO (TÍPICO PARA CAIXAS)</t>
  </si>
  <si>
    <t xml:space="preserve"> TRAVESSIAS NÃO DESTRUTIVA</t>
  </si>
  <si>
    <t xml:space="preserve"> REVESTIMENTOS</t>
  </si>
  <si>
    <t>TRAVESSIA NÃO DESTRUTIVA EM TUNEL LINER, DN1200 (INLCUSO SERVIÇOS E MATERIAL)</t>
  </si>
  <si>
    <t>TRAVESSIA</t>
  </si>
  <si>
    <t>EMISSÁRIO</t>
  </si>
  <si>
    <t>TRAVESSIA SOB CORREGO ALMOÇO</t>
  </si>
  <si>
    <t xml:space="preserve"> COLETOR CASTELO BRANCO</t>
  </si>
  <si>
    <t>COLETOR</t>
  </si>
  <si>
    <t>TRAVESSIA SOB A RODOVIA BR-050</t>
  </si>
  <si>
    <t>TRAVESSIA SOB A FERROVIA</t>
  </si>
  <si>
    <t>CT.FºFº.18</t>
  </si>
  <si>
    <t>CT.FºFº.19</t>
  </si>
  <si>
    <t>CT.FºFº.20</t>
  </si>
  <si>
    <t>CT.FºFº.21</t>
  </si>
  <si>
    <t>INTERCEPTOR</t>
  </si>
  <si>
    <t>AMPLIAÇÃO DO SISTEMA DE ESGOTAMENTO SANITÁRIO</t>
  </si>
  <si>
    <t>Paredes</t>
  </si>
  <si>
    <t>Laje tampa</t>
  </si>
  <si>
    <t>CT_TRAV.NÃO.DESTR.TUNEL LINER</t>
  </si>
  <si>
    <t>CT_TRAV.NÃO.DESTR.PEAD</t>
  </si>
  <si>
    <t>INTERC.75</t>
  </si>
  <si>
    <t>CT.REDE.01</t>
  </si>
  <si>
    <t>CT.REDE.02</t>
  </si>
  <si>
    <t>Unid.</t>
  </si>
  <si>
    <t>Custo Unit.</t>
  </si>
  <si>
    <t>TRELIÇA METÁLICA (VÃO 21 M), CONFORME DETALHAMENTO DO PROJETO HIDROMECÂNICO</t>
  </si>
  <si>
    <t>REATORES UASB (2 MÓDULOS DE 2.000 M³)</t>
  </si>
  <si>
    <t>Reator 1 e 2</t>
  </si>
  <si>
    <t>Estacas dos Blocos (Reatores 1, 2)</t>
  </si>
  <si>
    <t>CP_REATOR.EQUIP.</t>
  </si>
  <si>
    <t>REATOR_MONT.EQUIP.</t>
  </si>
  <si>
    <t>TRAT.PREL._IMP.INT</t>
  </si>
  <si>
    <t>Perímetro em planta</t>
  </si>
  <si>
    <t>Altura em corte</t>
  </si>
  <si>
    <t>Área em planta</t>
  </si>
  <si>
    <t>Módulo 2 - Canaleta do Parafuso</t>
  </si>
  <si>
    <t>Módulo 3 - Caixa de areia</t>
  </si>
  <si>
    <t>Módulo 3 - Canaleta de areia</t>
  </si>
  <si>
    <t>Poço - EE Escuma</t>
  </si>
  <si>
    <t>Área em planta ou em corte</t>
  </si>
  <si>
    <t>Expessura ou Extensão</t>
  </si>
  <si>
    <t>Extensão total</t>
  </si>
  <si>
    <t>kg / m</t>
  </si>
  <si>
    <t>EE Final - Pilares</t>
  </si>
  <si>
    <t>EE Final - Viga transversal</t>
  </si>
  <si>
    <t>EE Final - Viga longitudinal</t>
  </si>
  <si>
    <t>Sopradores - Pilares</t>
  </si>
  <si>
    <t>Sopradores - Viga transversal</t>
  </si>
  <si>
    <t>Sopradores - Viga longitudinal</t>
  </si>
  <si>
    <t>TRAT.PREL._LIMP.FINAL</t>
  </si>
  <si>
    <t>TRAT.PREL._REGUL.FUNDO</t>
  </si>
  <si>
    <t>TRAT.PREL._CALÇADA</t>
  </si>
  <si>
    <t>EMPREEND.: AMPLIAÇÃO ETE - REATORES UASB (2 MÓDULOS DE 2.000 M³)</t>
  </si>
  <si>
    <t>REATOR_CIMBRAMENTO</t>
  </si>
  <si>
    <t>REATOR_ESTACA</t>
  </si>
  <si>
    <t>REATOR_TAMPONAMENTO</t>
  </si>
  <si>
    <t>RECUPERAÇÃO DA ESTRUTRURA DE CONCRETO ARMADO</t>
  </si>
  <si>
    <t>CT_TAMPONAMENTO</t>
  </si>
  <si>
    <t>TAMPONAMENTO DOS FUROS EM PAREDES DE CONCRETO APARENTE</t>
  </si>
  <si>
    <t>CT_JATEAMENTO</t>
  </si>
  <si>
    <t>JATEAMENTO COM AREIA EM ESTRUTURA METÁLICA (AÇO CA-50)</t>
  </si>
  <si>
    <t>CT_REGULARIZAÇÃO</t>
  </si>
  <si>
    <t>REGULARIZAÇÃO DA SUPERFÍCIE DE CONCRETO APARENTE</t>
  </si>
  <si>
    <t>REATOR_JATEAMENTO</t>
  </si>
  <si>
    <t>PISOS</t>
  </si>
  <si>
    <t>REATOR_CALÇADA</t>
  </si>
  <si>
    <t>PINTURA EXTERNA DO REATOR</t>
  </si>
  <si>
    <t>REATOR_REGUL.FUNDO</t>
  </si>
  <si>
    <t>LEITOS DE SECAGEM (x4)</t>
  </si>
  <si>
    <t>REATOR_PINT.ACRILICA</t>
  </si>
  <si>
    <t>Teto dos reatores</t>
  </si>
  <si>
    <t>Reatores 1 e 2</t>
  </si>
  <si>
    <t>REATOR_ESCADA</t>
  </si>
  <si>
    <t>REATOR_GUARDA.CORPO</t>
  </si>
  <si>
    <t>REATOR_PASSARELA</t>
  </si>
  <si>
    <t>Passarela metálica, conforme desenho CT/E/T/HRA/D19</t>
  </si>
  <si>
    <t>EMPREEND.: AMPLIAÇÃO ETE - LEITOS DE SECAGEM (x4)</t>
  </si>
  <si>
    <t>LEITO.SECAGEM_SP_LIMP.MEC.</t>
  </si>
  <si>
    <t>LEITO.SECAGEM_SP_LIMP.MAN.</t>
  </si>
  <si>
    <t>CP_LEITO.MAT.HIDR.</t>
  </si>
  <si>
    <t xml:space="preserve"> TUBULAÇÕES ENTERRADAS</t>
  </si>
  <si>
    <t>CAIXAS.ETE_LIMPEZA.FINAL</t>
  </si>
  <si>
    <t>CAIXAS.ETE_SP_LIMP.</t>
  </si>
  <si>
    <t xml:space="preserve"> CAIXAS (PASSAGEM, DESCARGA, CHEGADA, CDR, CDGs)</t>
  </si>
  <si>
    <t>Parede externa em alvenaria de tijolos furados de 1/2 vez, com chapisco médio, emboço e reboco, selada e lixada, acabada com 3 (três) demãos de tinta PVA cinza claro, das marcas Suvinil, Coral, Leinertex ou similar</t>
  </si>
  <si>
    <t>SALA.ELETRICA_LASTRO</t>
  </si>
  <si>
    <t>UM</t>
  </si>
  <si>
    <t>LEITO.SECAGEM_LIMP.FINAL</t>
  </si>
  <si>
    <t>BIOGAS_LIMP.FINAL</t>
  </si>
  <si>
    <t>HIPOCLORITO_LIMP.FINAL</t>
  </si>
  <si>
    <t>SALA.ELETRICA_LIMP.FINAL</t>
  </si>
  <si>
    <t>CASA.CONTROLE_LIMP.FINAL</t>
  </si>
  <si>
    <t>LÇTO.FINAL_LIMP.FINAL</t>
  </si>
  <si>
    <t>PINTURA</t>
  </si>
  <si>
    <t>Tanque de contato - Paredes Internas</t>
  </si>
  <si>
    <t>Tanque de contato - Paredes Laterais</t>
  </si>
  <si>
    <t>LÇTO.FINAL_CTD.CA.400</t>
  </si>
  <si>
    <t>LÇTO.FINAL_IMP.EXT</t>
  </si>
  <si>
    <t>LÇTO.FINAL_IMP.INT</t>
  </si>
  <si>
    <t>Rampa de acesso ao tratamento prelminar</t>
  </si>
  <si>
    <t xml:space="preserve"> ESTRUTURA DE CONCRETO ARMADO</t>
  </si>
  <si>
    <t>Calha coletora do efluente em fibra de vidro (0,35m x 0,15m)</t>
  </si>
  <si>
    <t>Estrutura de apoio da calha e fixação do anteparo, em fibra de vidro</t>
  </si>
  <si>
    <t>Anteparo em fibra de vidro (300mm x 17200mm x 6 mm)</t>
  </si>
  <si>
    <t>Chumbador tipo parabolt ø1/4", L=44,4 mm (Ref. "Walsywa WB" com acabamento em INOX)</t>
  </si>
  <si>
    <t>Parafuso sextavado A.A., com rosca soberba e bucha Fisher-S6, ASME B18.2.1, ø5/16, L=45mm em aço INOX AISI-304, com arruela</t>
  </si>
  <si>
    <t>Parafuso sextavado, ø1/4", L=1", AISI B 18.2.1, Rosca: UNC - ASME B 1.1-2A, em aço inox AISI 304</t>
  </si>
  <si>
    <t>Longarina inferior de apoio das telhas defletoras em fibra de vidro, L=17,2m</t>
  </si>
  <si>
    <t>Manta neoprene, 50x1700mm, esp.: 5mm</t>
  </si>
  <si>
    <t>Rufo em neoprene fretado, 0,40x17,20m, esp.: 4mm</t>
  </si>
  <si>
    <t>Tarugo, 50x1700mm, esp.: 10mm, em fibra de vidro</t>
  </si>
  <si>
    <t>Perfil Z de chapa dobrada, em aço INOX AISI-304, com espessura de 4,76mm</t>
  </si>
  <si>
    <t>Longarina superior de apoio das telhas defletoras em fibra de vidro, maciça L=17,20m, em fibra de vidro</t>
  </si>
  <si>
    <t>Parede defletora - Telha em fibra de vidro tipo alcan/alcoa, esp. 4,0mm, em fibra de vidro</t>
  </si>
  <si>
    <t>Cantoneira de abas iguais 4", em aço INOX AISI-304, espessura de 1/4"</t>
  </si>
  <si>
    <t>REATOR.FB.18</t>
  </si>
  <si>
    <t>Rufo de fixação nas paredes laterais, em fibra de vidro, 103 mm x 4,0 mm</t>
  </si>
  <si>
    <t>REATOR.FB.19</t>
  </si>
  <si>
    <t>Chumbador tipo parabolt Ø1/4", L=44,4 mm (Ref. "Walsywa WB" com acabamento em INOX)</t>
  </si>
  <si>
    <t>REATOR.FB.20</t>
  </si>
  <si>
    <t>Parafuso A.A. cabeça de panela, com rosca soberba. DIN 7971-B, em aço INOX AISI-304, Ø5/16" e L=25,4mm. (com arruela e bucha fischer-S6)</t>
  </si>
  <si>
    <t>REATOR.FB.21</t>
  </si>
  <si>
    <t>Chumbador tipo parabolt Ø1/4", L=57,1 mm (Ref. "Walsywa WB" com  acabamento em INOX)</t>
  </si>
  <si>
    <t>REATOR.FB.22</t>
  </si>
  <si>
    <t>Manta neoprene, 30x1700mm, em fibra de vidro esp.: 5mm</t>
  </si>
  <si>
    <t>REATOR.FB.23</t>
  </si>
  <si>
    <t>Tarugo, 30x1700mm, em fibra de vidro esp.: 10mm</t>
  </si>
  <si>
    <t>REATOR.FB.24</t>
  </si>
  <si>
    <t>Rebite para fixação, ø4,8mmx9mm, em aço inox Ref.: 3314814</t>
  </si>
  <si>
    <t>REATOR.FB.25</t>
  </si>
  <si>
    <t>Rebite para fixação, ø4,8mmx13mm, em aço inox Ref.: 3314825</t>
  </si>
  <si>
    <t>REATOR.FB.26</t>
  </si>
  <si>
    <t>Rebite para fixação, ø4,8mmx19mm, em aço inox Ref.: 3314825</t>
  </si>
  <si>
    <t>REATOR.FB.27</t>
  </si>
  <si>
    <t>Rebite para fixação, ø4,8mmx23mm, em aço inox Ref.: 3314825</t>
  </si>
  <si>
    <t>REATOR.FB.28</t>
  </si>
  <si>
    <t>Manta neoprene, 30x2150mm, esp.: 5mm</t>
  </si>
  <si>
    <t>REATOR.FB.29</t>
  </si>
  <si>
    <t>Chapa em fibra de vidro, tipo 1, L=2,15x0,08m, esp.: 5mm</t>
  </si>
  <si>
    <t>REATOR.FB.30</t>
  </si>
  <si>
    <t>Tarugo, 30x2150mm, esp.: 10mm  em fibra de vidro</t>
  </si>
  <si>
    <t>REATOR.FB.31</t>
  </si>
  <si>
    <t>Chumbador tipo parabolt Ø1/4", L=57,1 mm (Ref. "Walsywa WB" com acabamento em INOX)</t>
  </si>
  <si>
    <t>REATOR.FB.32</t>
  </si>
  <si>
    <t>Parafuso sextavado. ANSI B 18.2.1, Rosca: UNC - ASME B 1.1-2A, em aço INOX AISI 304, Ø3/16", L=25,4mm, (com arruela e porca)</t>
  </si>
  <si>
    <t>REATOR.FB.33</t>
  </si>
  <si>
    <t>Manta neoprene, 30x2100mm, esp.: 5mm</t>
  </si>
  <si>
    <t>REATOR.FB.34</t>
  </si>
  <si>
    <t>Chapa em fibra de vidro, tipo 1, L=2,10x0,08m, esp.: 5mm</t>
  </si>
  <si>
    <t>REATOR.FB.35</t>
  </si>
  <si>
    <t>Tarugo, 30x2100mm, esp.: 10mm  em fibra de vidro</t>
  </si>
  <si>
    <t>REATOR.FB.36</t>
  </si>
  <si>
    <t>Divisória em fibra de vidro, tipo 1, 2,15x2,15m, esp. min. 4,00mm</t>
  </si>
  <si>
    <t>REATOR.FB.37</t>
  </si>
  <si>
    <t>Chapa em fibra de vidro, tipo 2, L=2,15x0,07m, esp.: 5mm</t>
  </si>
  <si>
    <t>REATOR.FB.38</t>
  </si>
  <si>
    <t>Divisória em fibra de vidro, tipo 2, 1,10x2,15m, esp. min. 4,00mm</t>
  </si>
  <si>
    <t>REATOR.FB.39</t>
  </si>
  <si>
    <t>Manta neoprene, 30x1100mm, esp.: 5mm</t>
  </si>
  <si>
    <t>REATOR.FB.40</t>
  </si>
  <si>
    <t>Chapa em fibra de vidro, tipo 2, L=1,10x0,07m, esp.: 5mm</t>
  </si>
  <si>
    <t>REATOR.FB.41</t>
  </si>
  <si>
    <t>Tarugo, 30mmx10mm em fibra de vidro</t>
  </si>
  <si>
    <t>REATOR.FB.42</t>
  </si>
  <si>
    <t>Manta neoprene, 30x2050mm, esp.: 5mm</t>
  </si>
  <si>
    <t>REATOR.FB.43</t>
  </si>
  <si>
    <t>Chapa em fibra de vidro, tipo 1, L=2,05x0,08m, esp.: 5mm</t>
  </si>
  <si>
    <t>REATOR.FB.44</t>
  </si>
  <si>
    <t>Tarugo, 30x2050mm, esp.: 10mm em fibra de vidro</t>
  </si>
  <si>
    <t>REATOR.FB.45</t>
  </si>
  <si>
    <t>Divisória em fibra de vidro, tipo 3, 2,05x2,15m, esp. min. 4,00mm</t>
  </si>
  <si>
    <t>REATOR.FB.46</t>
  </si>
  <si>
    <t>Chapa em fibra de vidro, tipo 2, L=2,05x0,07m, esp.: 5mm</t>
  </si>
  <si>
    <t>Soprador de ar Tipo Roots</t>
  </si>
  <si>
    <t>Peneira mecanizada tipo Step Screen e rosca tansportadora helicoidal DN300</t>
  </si>
  <si>
    <t>CT_ESCADA.REATOR</t>
  </si>
  <si>
    <t>CT_PASSARELA.REATOR</t>
  </si>
  <si>
    <t>Adaptador PVC série reforçada x PVC rígido (DN100)</t>
  </si>
  <si>
    <t>Curva PB 11°15’ DN100</t>
  </si>
  <si>
    <t>Curva PB 22°30’ DN100</t>
  </si>
  <si>
    <t>Tê BBB com redução DN150 x 100</t>
  </si>
  <si>
    <t>Tê BBB com redução DN200 x 100</t>
  </si>
  <si>
    <t>Tê BBB com redução DN250 x 100</t>
  </si>
  <si>
    <t xml:space="preserve"> Curva de 11°15’ PVC DN200</t>
  </si>
  <si>
    <t xml:space="preserve"> Curva de 11°15’ PVC DN250</t>
  </si>
  <si>
    <t>Redução excêntrica PB DN300 x 200</t>
  </si>
  <si>
    <t>Curva 11°15’ PVC rígido, série reforçada DN100</t>
  </si>
  <si>
    <t>Junta Gibault em Fº Dúctil/Esgoto, JGS, DN 400</t>
  </si>
  <si>
    <t>Tubo com flange e bolsa  em Fº Dúctil/Esgoto, classe K-10, PN-10, DN 500, L=5,8 m</t>
  </si>
  <si>
    <t>Tubo com flanges em Fº Dúctil/Esgoto, classe K-10, PN-10, DN 500, L=5,8 m</t>
  </si>
  <si>
    <t>Tubo com ponta e Bolsa  em Fº Dúctil/Esgoto, classe K-7, JGS, DN 700, L=3,0 m</t>
  </si>
  <si>
    <t>Tubo com ponta e Bolsa em Fº Dúctil/Esgoto, classe K-7, JGS, DN 400, L=1,40 m</t>
  </si>
  <si>
    <t>Tubo com ponta e Bolsa em Fº Dúctil/Esgoto, classe K-7, JGS, DN 400, L=2,60 m</t>
  </si>
  <si>
    <t>Tubo com ponta e Bolsa em Fº Dúctil/Esgoto, classe K-7, JGS, DN 400, L=5,05 m</t>
  </si>
  <si>
    <t>Tubo com ponta e Bolsa em Fº Dúctil/Esgoto, classe K-7, JGS, DN 400, L=6,0 m</t>
  </si>
  <si>
    <t>Tubo com ponta e Bolsa em Fº Dúctil/Esgoto, classe K-7, JGS, DN 500, L=5,9 m</t>
  </si>
  <si>
    <t>Tubo com ponta e Bolsa em Fº Dúctil/Esgoto, classe K-7, JGS, DN 700, L=7,0 m</t>
  </si>
  <si>
    <t>Tubo com ponta e Bolsa, em Fº Dúctil/Esgoto, classe K-7, JGS, DN 500, L=6,0 m</t>
  </si>
  <si>
    <t>Tubo com ponta e flange em Fº Dúctil/Esgoto, classe K-10, PN-10, DN 500, L=4,6 m</t>
  </si>
  <si>
    <t>Tubo com pontas em Fº Dúctil/Esgoto, classe K-7, DN 400, L=1,55 m</t>
  </si>
  <si>
    <t>Tubo com pontas em Fº Dúctil/Esgoto, classe K-7, DN 400, L=3,40 m</t>
  </si>
  <si>
    <t>Tubo com pontas em Fº Dúctil/Esgoto, classe K-7, DN 400, L=4,60 m</t>
  </si>
  <si>
    <t>Tubo com pontas em Fº Dúctil/Esgoto, classe K-7, DN 500, L=4,92 m</t>
  </si>
  <si>
    <t>TUBO COM PONTA E BOLSA, EM Fº DÚCTIL/ESGOTO, JGS, DN 400, L=5,70 M</t>
  </si>
  <si>
    <t>TUBO COM PONTAS EM Fº DÚCTIL/ESGOTO, CLASSE K-7, DN 400, L=3,50 M</t>
  </si>
  <si>
    <t>TUBO COM PONTAS EM Fº DÚCTIL/ESGOTO, CLASSE K-7, DN 400, L=1,50 M</t>
  </si>
  <si>
    <t>TUBO COM PONTAS EM Fº DÚCTIL/ESGOTO, CLASSE K-7, DN 400, L=2,40 M</t>
  </si>
  <si>
    <t>CT.TL.01</t>
  </si>
  <si>
    <t>Tubo camisa Armco, em aço corrugado, esp. 2.2 mm, DN1200</t>
  </si>
  <si>
    <t>Registros com flanges, curto, cunha de borracha e cabeçote, PN-10, DN150</t>
  </si>
  <si>
    <t>Queimador do biogás</t>
  </si>
  <si>
    <t>Caçamba capacidade para 5m³</t>
  </si>
  <si>
    <t>CARRO DE TRANSFERÊNCIA DA CAÇAMBA</t>
  </si>
  <si>
    <t>PISTA DE ROLAMENTO DA CAÇAMBA - TRILHO FERROVIÁRIO, TR-25 (REF. BRASIL TRILHOS), INCL CHAPA MET TRAVAMENTO, AÇO ASTM-A36, GALVANIZADO, C/ ESP DE 5/16", DOBRADA ANGULO 14°; CHUMBADOR TIPO PARABOLT, DN5/16" X L=69,8 MM (REF. "WALSYWA WB" EM INOX); CHAPA MET DE BASE, AÇO ASTM-A36, GALVANIZADO, ESP DE 5/16"; MANTA DE BORRACHA, ESP DE 2 MM, CONFORME DESENHOS RV/E/T/HTP/D02 E RV/E/T/HTP/D07</t>
  </si>
  <si>
    <t>TUBO COM PONTA E BOLSA, EM F°DÚCTIL/ESGOTO, JGS, DN 150, CLASSE K-7, CONF. NBR 15420</t>
  </si>
  <si>
    <t>JUNTA GIBAULT, EM F°DÚCTIL, DN 150, CONF. NBR 7675 E NBR 7674</t>
  </si>
  <si>
    <t>LEITO.SECAGEM_ALVENARIA.FUNDO</t>
  </si>
  <si>
    <t>FUNDAÇÃO DAS CAIXAS</t>
  </si>
  <si>
    <t>RE.VAL.12</t>
  </si>
  <si>
    <t>Registro de esfera, DN2"</t>
  </si>
  <si>
    <t>CALHA DE COLETA DO EFLUENTE</t>
  </si>
  <si>
    <t>FIXAÇÃO DAS COIFAS</t>
  </si>
  <si>
    <t>FIXAÇÃO DAS DIVISÓRIAS</t>
  </si>
  <si>
    <t>SUPORTE DAS COIFAS</t>
  </si>
  <si>
    <t>RE.VAL.13</t>
  </si>
  <si>
    <t>RE.VAL.14</t>
  </si>
  <si>
    <t>Registro de esfera VS, em PVC/roscável, DN3/4"</t>
  </si>
  <si>
    <t>Registro de esfera, DN1"</t>
  </si>
  <si>
    <t>REATOR_PV.2M</t>
  </si>
  <si>
    <t>REATOR_PV.1.5M</t>
  </si>
  <si>
    <t>LEITO.SECAGEM_PLACA</t>
  </si>
  <si>
    <t>Placa de concreto</t>
  </si>
  <si>
    <t>LEITOS DE SECAGEM (4 MÓDULOS)</t>
  </si>
  <si>
    <t>vb</t>
  </si>
  <si>
    <t>VB</t>
  </si>
  <si>
    <t>Caixas de Inspeção - Travessia sob BR-050 (Coletor Castelo Branco)</t>
  </si>
  <si>
    <t>Caixas de Inspeção - Travessia sob a Ferrovia  (Coletor Castelo Branco)</t>
  </si>
  <si>
    <t>Caixas de Inspeção - Travessia sob a Ferrovia (Coletor Castelo Branco)</t>
  </si>
  <si>
    <t>Blocos de Apoio (Travessia do Emissário)</t>
  </si>
  <si>
    <t>Blocos com 2 Trilhos (Travessia do Emissário)</t>
  </si>
  <si>
    <t>Blocos com 3 Trilhos (Travessia do Emissário)</t>
  </si>
  <si>
    <t>Blocos dos Pilares da Treliça do Emissário</t>
  </si>
  <si>
    <t>Pilares da Treliça do Emissário</t>
  </si>
  <si>
    <t xml:space="preserve"> Travessia sob BR-050 (Coletor Castelo Branco)</t>
  </si>
  <si>
    <t xml:space="preserve"> Travessia sob a Ferrovia  (Coletor Castelo Branco)</t>
  </si>
  <si>
    <t xml:space="preserve"> Travessia Aerea em Treliça (Emissário)</t>
  </si>
  <si>
    <t>MONTAGEM DA TRAVESSIA AEREA</t>
  </si>
  <si>
    <t xml:space="preserve"> MONTAGEM DA TRAVESSIA AEREA</t>
  </si>
  <si>
    <t>CIMBRAMENTO METÁLICO</t>
  </si>
  <si>
    <t>CT.CIMBRAMENTO</t>
  </si>
  <si>
    <t>x2 Reatores</t>
  </si>
  <si>
    <t>CT.CANTEIRO</t>
  </si>
  <si>
    <t>CT.ADM</t>
  </si>
  <si>
    <t>TRAVESSIA NÃO DESTRUTIVA EM TUBO PEAD, DN355 (INLCUSO SERVIÇOS E MATERIAL) - EXTENSÃO: 30 M</t>
  </si>
  <si>
    <t>MONTAGEM DA TRAVESSIA AEREA (EMISSÁRIO)</t>
  </si>
  <si>
    <t>CT.ESTRADA</t>
  </si>
  <si>
    <t>ESTRADA DE ACESSO</t>
  </si>
  <si>
    <t>REATOR.AI.47</t>
  </si>
  <si>
    <t>REATOR.AI.48</t>
  </si>
  <si>
    <t>REATOR.AI.49</t>
  </si>
  <si>
    <t>REATOR.AI.50</t>
  </si>
  <si>
    <t>REATOR.AI.51</t>
  </si>
  <si>
    <t>REATOR.AI.52</t>
  </si>
  <si>
    <t>REATOR.AI.53</t>
  </si>
  <si>
    <t>REATOR.AI.54</t>
  </si>
  <si>
    <t>REATOR.AI.55</t>
  </si>
  <si>
    <t>Peças de apoio das tubulações de distribuição de esgoto - Conforme Detalhe 1</t>
  </si>
  <si>
    <t>Peças de apoio das tubulações de distribuição de esgoto fixada no vigamento da laje de cobertura do reator - Detalhe 2</t>
  </si>
  <si>
    <t>Peças de apoio das tubulações de distribuição de esgoto fixada no vigamento da laje de cobertura do reator - Detalhe 3</t>
  </si>
  <si>
    <t>Peças de perfil Tipo C laminado em aço inox com 260 mm de altura soldada chapa de base de aço inox (dimensões 20 x 20 cm), fixada no piso de concreto com paraboult φ 1/4" L=44mm, acompanha abraçadeira  Tipo U de vergalhão para DN75, φ 3/8" em aço inox - Detalhe 4</t>
  </si>
  <si>
    <t>Peças de apoio em aço inox para suporte da tubulação da descarga do lodo fixadas em concreto com 4 parabolt φ 1/4" L=44 mm cada - Detalhe 5</t>
  </si>
  <si>
    <t>Peças de apoio das tubulações de distribuição de esgoto - Conforme Detalhe 6</t>
  </si>
  <si>
    <t>Peças de apoio em aço inox para suporte da tubulação do efluente do reator fixadas em concreto com 4 parabolt φ 1/4" L=44 mm cada - Detalhe 7</t>
  </si>
  <si>
    <t>Peças de apoio das tubulações de distribuição de esgoto - Conforme Detalhe 8</t>
  </si>
  <si>
    <t>Peças de apoio em aço inox para suporte da tubulação de gás fixadas em concreto com 4 parabolt φ 1/4" L=44 mm cada- Detalhe 9</t>
  </si>
  <si>
    <t>APOIO DAS TUBULAÇÕES DO REATOR</t>
  </si>
  <si>
    <t>EMPREEND.: AMPLIAÇÃO ETE - CA DE CONTROLE</t>
  </si>
  <si>
    <t>CASA DE CONTROLE</t>
  </si>
  <si>
    <t>QUADRO DE COMPOSIÇÃO DO INVESTIMENTO - QCI</t>
  </si>
  <si>
    <t>Empreendimento: AMPLIAÇÃO DO SISTEMA DE ESGOTAMENTO SANITÁRIO DE CATALÃO/GO</t>
  </si>
  <si>
    <t>Fonte:  OGU</t>
  </si>
  <si>
    <t>Modalidade:   ESGOTAMENTO SANITÁRIO</t>
  </si>
  <si>
    <t>Agente Financeiro:   CAIXA ECONÔMICA FEDERAL</t>
  </si>
  <si>
    <t>Municipio Beneficiado: CATALÃO/GO</t>
  </si>
  <si>
    <t>Finalidade : IMPLANTAÇÃO DAS OBRAS DE AMPLIAÇÃO DO SISTEMA DE ESGOTAMENTO SANITÁRIO DE CATALÃO/GO.</t>
  </si>
  <si>
    <t>ITEM</t>
  </si>
  <si>
    <t>DISCRIMINAÇÃO</t>
  </si>
  <si>
    <t>UNIDADE</t>
  </si>
  <si>
    <t>QUANTIDADE</t>
  </si>
  <si>
    <t>VALOR (R$)</t>
  </si>
  <si>
    <t>1.1</t>
  </si>
  <si>
    <t>2.2</t>
  </si>
  <si>
    <t xml:space="preserve">Rede coletora </t>
  </si>
  <si>
    <t>3.1</t>
  </si>
  <si>
    <t>3.2</t>
  </si>
  <si>
    <t>Equipamentos</t>
  </si>
  <si>
    <t>Ramais domiciliares</t>
  </si>
  <si>
    <t>4.1</t>
  </si>
  <si>
    <t>4.2</t>
  </si>
  <si>
    <t>5.1</t>
  </si>
  <si>
    <t>5.2</t>
  </si>
  <si>
    <t>C</t>
  </si>
  <si>
    <t>E</t>
  </si>
  <si>
    <t>2.1</t>
  </si>
  <si>
    <t>Energização</t>
  </si>
  <si>
    <t>Serviços</t>
  </si>
  <si>
    <t>CLIENTE: SAE</t>
  </si>
  <si>
    <t>SUPERINTENDÊNCIA MUNICIPAL DE ÁGUA E ESGOTOS - SAE</t>
  </si>
  <si>
    <t>EMPREEND.: TRAVESSIAS AEREAS DO EMISSÁRIO / INTERCEPTOR ME</t>
  </si>
  <si>
    <t>TRAVESSIA.AEREA_SP_LOCAC.1</t>
  </si>
  <si>
    <t>TRAVESSIA.AEREA_SP_LOCAC.2</t>
  </si>
  <si>
    <t>TRAVESSIA.AEREA_ESTRADA</t>
  </si>
  <si>
    <t>TRAVESSIA.AEREA_ESC.1</t>
  </si>
  <si>
    <t>TRAVESSIA.AEREA_ESC.2</t>
  </si>
  <si>
    <t>TRAVESSIA.AEREA_ESC.3</t>
  </si>
  <si>
    <t>TRAVESSIA.AEREA_ESC.4</t>
  </si>
  <si>
    <t>TRAVESSIA.AEREA_ESC.5</t>
  </si>
  <si>
    <t>TRAVESSIA.AEREA_ESC.6</t>
  </si>
  <si>
    <t>TRAVESSIA.AEREA_MAN.1</t>
  </si>
  <si>
    <t>TRAVESSIA.AEREA_MAN.2</t>
  </si>
  <si>
    <t>TRAVESSIA.AEREA_MAN.3</t>
  </si>
  <si>
    <t>TRAVESSIA.AEREA_MAN.4</t>
  </si>
  <si>
    <t>TRAVESSIA.AEREA_MAN.5</t>
  </si>
  <si>
    <t>TRAVESSIA.AEREA_MAN.6</t>
  </si>
  <si>
    <t>TRAVESSIA.AEREA_ESGOTAM.</t>
  </si>
  <si>
    <t>TRAVESSIA.AEREA_REAT.MEC</t>
  </si>
  <si>
    <t>TRAVESSIA.AEREA_REAT.MAN</t>
  </si>
  <si>
    <t>TRAVESSIA.AEREA_FUND._ACERTO</t>
  </si>
  <si>
    <t>TRAVESSIA.AEREA_BF_CARGA</t>
  </si>
  <si>
    <t>TRAVESSIA.AEREA_BF_TRANSP</t>
  </si>
  <si>
    <t>TRAVESSIA.AEREA_BF_ESPAL</t>
  </si>
  <si>
    <t>TRAVESSIA.AEREA_FORMA</t>
  </si>
  <si>
    <t>TRAVESSIA.AEREA_FUN_CONC.25</t>
  </si>
  <si>
    <t>TRAVESSIA.AEREA_FUN_ENSAIO</t>
  </si>
  <si>
    <t>TRAVESSIA.AEREA_TRILHO</t>
  </si>
  <si>
    <t>TRAVESSIA.AEREA_SOLDA</t>
  </si>
  <si>
    <t>TRAVESSIA.AEREA_TRELIÇA</t>
  </si>
  <si>
    <t>TRAVESSIA.AEREA_DEMOLIÇÃO</t>
  </si>
  <si>
    <t>TRAVESSIA.AEREA_CONCR.15</t>
  </si>
  <si>
    <t>TRAVESSIA.AEREA_AEREA</t>
  </si>
  <si>
    <t>CT.TRAVESSIA.AEREA_AEREA</t>
  </si>
  <si>
    <t>TRAVESSIA.AEREA_GUARDA-CORPO</t>
  </si>
  <si>
    <t>TRAVESSIA.AEREA_IMP.EXT</t>
  </si>
  <si>
    <t>TRAVESSIA.AEREA_REGUL.</t>
  </si>
  <si>
    <t>TRAVESSIA.COLETOR_SP_LOCAC.1</t>
  </si>
  <si>
    <t>TRAVESSIA.COLETOR_SP_LOCAC.2</t>
  </si>
  <si>
    <t>TRAVESSIA.COLETOR_ESC.1</t>
  </si>
  <si>
    <t>TRAVESSIA.COLETOR_ESC.2</t>
  </si>
  <si>
    <t>TRAVESSIA.COLETOR_ESC.3</t>
  </si>
  <si>
    <t>TRAVESSIA.COLETOR_ESC.4</t>
  </si>
  <si>
    <t>TRAVESSIA.COLETOR_ESC.5</t>
  </si>
  <si>
    <t>TRAVESSIA.COLETOR_ESC.6</t>
  </si>
  <si>
    <t>TRAVESSIA.COLETOR_MAN.1</t>
  </si>
  <si>
    <t>TRAVESSIA.COLETOR_MAN.2</t>
  </si>
  <si>
    <t>TRAVESSIA.COLETOR_MAN.3</t>
  </si>
  <si>
    <t>TRAVESSIA.COLETOR_MAN.4</t>
  </si>
  <si>
    <t>TRAVESSIA.COLETOR_MAN.5</t>
  </si>
  <si>
    <t>TRAVESSIA.COLETOR_MAN.6</t>
  </si>
  <si>
    <t>TRAVESSIA.COLETOR_ESGOTAM.</t>
  </si>
  <si>
    <t>TRAVESSIA.COLETOR_REAT.MAN</t>
  </si>
  <si>
    <t>TRAVESSIA.COLETOR_FUND._ACERTO</t>
  </si>
  <si>
    <t>TRAVESSIA.COLETOR_FUND._BRITA</t>
  </si>
  <si>
    <t>TRAVESSIA.COLETOR_FUND._LASTRO</t>
  </si>
  <si>
    <t>TRAVESSIA.COLETOR_BF_CARGA</t>
  </si>
  <si>
    <t>TRAVESSIA.COLETOR_BF_TRANSP</t>
  </si>
  <si>
    <t>TRAVESSIA.COLETOR_BF_ESPAL</t>
  </si>
  <si>
    <t>TRAVESSIA.COLETOR_FUN_CONC.30</t>
  </si>
  <si>
    <t>TRAVESSIA.COLETOR_TAMPAO</t>
  </si>
  <si>
    <t>TRAVESSIA.COLETOR_NÃO DESTRUTIVA</t>
  </si>
  <si>
    <t>TRAVESSIA.COLETOR_IMP.EXT</t>
  </si>
  <si>
    <t>TRAVESSIA.COLETOR_REGUL.</t>
  </si>
  <si>
    <t>EMPREEND.: TRAVESSIAS NÃO DESTRUTIVA BR-050 E FERROVIA (COLETOR CASTELO BRANCO)</t>
  </si>
  <si>
    <t>TRAVESSIAS NÃO DESTRUTIVA BR-050 E FERROVIA (COLETOR CASTELO BRANCO)</t>
  </si>
  <si>
    <t xml:space="preserve">  COLETOR CASTELO BRANCO</t>
  </si>
  <si>
    <t xml:space="preserve">    COLETOR CASTELO BRANCO</t>
  </si>
  <si>
    <t>TRAVESSIAS NÃO DESTRUTIVA (SOB RODOVIA BR-050 E FERROVIA)</t>
  </si>
  <si>
    <t xml:space="preserve"> CORTE E REPOSIÇÃO DE PAVIMENTOS</t>
  </si>
  <si>
    <t xml:space="preserve"> INTERCEPTORES (ME E EMISSÁRIO)</t>
  </si>
  <si>
    <t>INTERCEPTORES (ME E EMISSÁRIO)</t>
  </si>
  <si>
    <t>TRAVESSIAS AÉREAS (EMISSÁRIO E INTERCEPTOR ME)</t>
  </si>
  <si>
    <t>TRAVESSIAS AEREAS DO EMISSÁRIO / INTERCEPTOR ME</t>
  </si>
  <si>
    <t>COLETOR CASTELO BRANCO</t>
  </si>
  <si>
    <t>CONTRAPARTIDA</t>
  </si>
  <si>
    <t>6.1</t>
  </si>
  <si>
    <t>6.2</t>
  </si>
  <si>
    <t>6.4</t>
  </si>
  <si>
    <t>Recuperação das estruturas de concreto (Contrapartida)</t>
  </si>
  <si>
    <t>QUANT.</t>
  </si>
  <si>
    <t>CUSTO TOTAL</t>
  </si>
  <si>
    <t>MATERIAL</t>
  </si>
  <si>
    <t>CUSTO UNIT.</t>
  </si>
  <si>
    <t xml:space="preserve">Material </t>
  </si>
  <si>
    <t>REPASSE</t>
  </si>
  <si>
    <t>Eletroduto PVC rígido, entradas rosqueadas,   DN60 mm</t>
  </si>
  <si>
    <t>Eletroduto PVC rígido, entradas rosqueadas,  DN100 mm</t>
  </si>
  <si>
    <t>Eletroduto PVC rígido, entradas rosqueadas,  com luva em uma das extremidades, DN 25 mm</t>
  </si>
  <si>
    <t>Eletroduto PVC rígido, entradas rosqueadas,  com luva em uma das extremidades, DN 32 mm</t>
  </si>
  <si>
    <t>Eletroduto PVC rígido, entradas rosqueadas,  com luva em uma das extremidades, DN 50 mm</t>
  </si>
  <si>
    <t xml:space="preserve">Espelho cor gelo com furo (tipo antena TV) e parafuso fixação, em caixa 4” x 2”. </t>
  </si>
  <si>
    <t>Quadro de distribuição de luz e força para sobrepor na parede, em chapa de aço No18, flangeis desmont. sup. e inf. com KNOCKOUT de DN 25 mm, DN 32 mm, p/ eletrodutos, chassi interno, contra-espelho e porta externa em chapa No 16, equipada com canopla, V. nom. 500 V, p/ inst. abrigada, IP-42, barram. trifásico. Acabamento em pintura eletrostática na cor cinza, com etiquetas auto-adesivas para identif. dos circuitos, trilho p/ proteção geral e outros equip. de proteção, trilho para 28 módulos.</t>
  </si>
  <si>
    <t>Eletroduto ferro galvanizado, entradas rosqueadas,  com luva em uma das extremidades, DN  25 mm</t>
  </si>
  <si>
    <t>Eletroduto ferro galvanizado, entradas rosqueadas,  com luva em uma das extremidades, DN  32 mm</t>
  </si>
  <si>
    <t>Eletroduto ferro galvanizado, entradas rosqueadas,  com luva em uma das extremidades, DN  40 mm</t>
  </si>
  <si>
    <t>Eletroduto ferro galvanizado, entradas rosqueadas,  com luva em uma das extremidades, DN 75 mm</t>
  </si>
  <si>
    <t xml:space="preserve">Eletroduto em alumínio, entradas rosqueadas,  com luva em uma das extremidades, DN 25 mm    </t>
  </si>
  <si>
    <t>CT_ESCADA.CDG</t>
  </si>
  <si>
    <t>REATOR_ESCADA.CDG</t>
  </si>
  <si>
    <t>Valor das obras executadas (acumulado até o BM10)</t>
  </si>
  <si>
    <t xml:space="preserve">Canteiro de Obras e Administração Local </t>
  </si>
  <si>
    <t>Interceptores</t>
  </si>
  <si>
    <t>Estação de Tratamento de Esgotos</t>
  </si>
  <si>
    <t>INVESTIMENTO</t>
  </si>
  <si>
    <t>Trabalho social</t>
  </si>
  <si>
    <t xml:space="preserve">A </t>
  </si>
  <si>
    <t>F</t>
  </si>
  <si>
    <t xml:space="preserve">Obras </t>
  </si>
  <si>
    <t xml:space="preserve">Trabalho Social </t>
  </si>
  <si>
    <t>Investimento Total = A + E</t>
  </si>
  <si>
    <t>Investimento a executar = B + C</t>
  </si>
  <si>
    <t>Valor das obras a executar = Soma (1 a 7)</t>
  </si>
  <si>
    <t>73887/1</t>
  </si>
  <si>
    <t>ASSENTAMENTO SIMPLES DE TUBOS DE FERRO FUNDIDO (FOFO) C/ JUNTA ELASTICA -  DN 75 MM - INCLUSIVE TRANSPORTE</t>
  </si>
  <si>
    <t>73887/2</t>
  </si>
  <si>
    <t>ASSENTAMENTO SIMPLES DE TUBOS DE FERRO FUNDIDO (FOFO) C/ JUNTA ELASTICA - DN 100 - INCLUSIVE TRANSPORTE</t>
  </si>
  <si>
    <t>73887/3</t>
  </si>
  <si>
    <t>ASSENTAMENTO SIMPLES DE TUBOS DE FERRO FUNDIDO (FOFO) C/ JUNTA ELASTICA - DN 150 - INCLUSIVE TRANSPORTE</t>
  </si>
  <si>
    <t>73887/4</t>
  </si>
  <si>
    <t>ASSENTAMENTO SIMPLES DE TUBOS DE FERRO FUNDIDO (FOFO) C/ JUNTA ELASTICA - DN 200 - INCLUSIVE TRANSPORTE</t>
  </si>
  <si>
    <t>73887/5</t>
  </si>
  <si>
    <t>ASSENTAMENTO SIMPLES DE TUBOS DE FERRO FUNDIDO (FOFO) C/ JUNTA ELASTICA - DN 250 MM - INCLUSIVE TRANSPORTE</t>
  </si>
  <si>
    <t>73887/6</t>
  </si>
  <si>
    <t>ASSENTAMENTO SIMPLES DE TUBOS DE FERRO FUNDIDO (FOFO) C/ JUNTA ELASTICA - DN 300 - INCLUSIVE TRANSPORTE</t>
  </si>
  <si>
    <t>73887/7</t>
  </si>
  <si>
    <t>ASSENTAMENTO SIMPLES DE TUBOS DE FERRO FUNDIDO (FOFO) C/ JUNTA ELASTICA - DN 350 MM - INCLUSIVE TRANSPORTE</t>
  </si>
  <si>
    <t>73887/8</t>
  </si>
  <si>
    <t>ASSENTAMENTO SIMPLES DE TUBOS DE FERRO FUNDIDO (FOFO) C/ JUNTA ELASTICA - DN 400 MM - INCLUSIVE TRANSPORTE</t>
  </si>
  <si>
    <t>73887/9</t>
  </si>
  <si>
    <t>ASSENTAMENTO SIMPLES DE TUBOS DE FERRO FUNDIDO (FOFO) C/ JUNTA ELASTICA - DN 450 MM - INCLUSIVE TRANSPORTE</t>
  </si>
  <si>
    <t>73887/10</t>
  </si>
  <si>
    <t>ASSENTAMENTO SIMPLES DE TUBOS DE FERRO FUNDIDO (FOFO) C/ JUNTA ELASTICA - DN 500 MM - INCLUSIVE TRANSPORTE</t>
  </si>
  <si>
    <t>73887/11</t>
  </si>
  <si>
    <t>ASSENTAMENTO SIMPLES DE TUBOS DE FERRO FUNDIDO (FOFO) C/ JUNTA ELASTICA - DN 600 MM - INCLUSIVE TRANSPORTE</t>
  </si>
  <si>
    <t>73887/12</t>
  </si>
  <si>
    <t>ASSENTAMENTO SIMPLES DE TUBOS DE FERRO FUNDIDO (FOFO) C/ JUNTA ELASTICA - DN 700 MM - INCLUSIVE TRANSPORTE</t>
  </si>
  <si>
    <t>73887/13</t>
  </si>
  <si>
    <t>ASSENTAMENTO SIMPLES DE TUBOS DE FERRO FUNDIDO (FOFO) C/ JUNTA ELASTICA - DN 800 MM - INCLUSIVE TRANSPORTES</t>
  </si>
  <si>
    <t>73887/14</t>
  </si>
  <si>
    <t>ASSENTAMENTO SIMPLES DE TUBOS DE FERRO FUNDIDO (FOFO) C/ JUNTA ELASTICA - DN 900 MM - INCLUSIVE TRANSPORTE</t>
  </si>
  <si>
    <t>73887/15</t>
  </si>
  <si>
    <t>ASSENTAMENTO SIMPLES DE TUBOS DE FERRO FUNDIDO (FOFO) C/ JUNTA ELASTICA - DN 1000 MM - INCLUSIVE TRANSPORTE</t>
  </si>
  <si>
    <t>73887/16</t>
  </si>
  <si>
    <t>ASSENTAMENTO SIMPLES DE TUBOS DE FERRO FUNDIDO (FOFO) C/ JUNTA ELASTICA - DN 1100 MM - INCLUSIVE TRANSPORTE</t>
  </si>
  <si>
    <t>73887/17</t>
  </si>
  <si>
    <t>ASSENTAMENTO SIMPLES DE TUBOS DE FERRO FUNDIDO (FOFO) C/ JUNTA ELASTICA - DN 1200 MM - INCLUSIVE TRANSPORTE</t>
  </si>
  <si>
    <t>83655</t>
  </si>
  <si>
    <t>ASSENTAMENTO SIMPLES DE TUBOS DE FERRO FUNDIDO (FOFO), COM JUNTA ELASTICA, DN 50 MM.</t>
  </si>
  <si>
    <t>73888/1</t>
  </si>
  <si>
    <t>73888/2</t>
  </si>
  <si>
    <t>73888/3</t>
  </si>
  <si>
    <t>73888/9</t>
  </si>
  <si>
    <t>73888/10</t>
  </si>
  <si>
    <t>73888/11</t>
  </si>
  <si>
    <t>73888/12</t>
  </si>
  <si>
    <t>73888/13</t>
  </si>
  <si>
    <t>73888/14</t>
  </si>
  <si>
    <t>73888/15</t>
  </si>
  <si>
    <t>ASSENTAMENTO TUBO PVC COM JUNTA ELASTICA, DN 1000 MM - (OU RPVC, OU PVC DEFOFO, OU PRFV) - PARA AGUA.</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</si>
  <si>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</si>
  <si>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</si>
  <si>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</si>
  <si>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</si>
  <si>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</si>
  <si>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</si>
  <si>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</si>
  <si>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</si>
  <si>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</si>
  <si>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</si>
  <si>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</si>
  <si>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</si>
  <si>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</si>
  <si>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</si>
  <si>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</si>
  <si>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</si>
  <si>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</si>
  <si>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</si>
  <si>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</si>
  <si>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</si>
  <si>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</si>
  <si>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</si>
  <si>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</si>
  <si>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</si>
  <si>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</si>
  <si>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</si>
  <si>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</si>
  <si>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</si>
  <si>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</si>
  <si>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</si>
  <si>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</si>
  <si>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</si>
  <si>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</si>
  <si>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</si>
  <si>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</si>
  <si>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</si>
  <si>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</si>
  <si>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</si>
  <si>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</si>
  <si>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</si>
  <si>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</si>
  <si>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</si>
  <si>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</si>
  <si>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</si>
  <si>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</si>
  <si>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</si>
  <si>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</si>
  <si>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</si>
  <si>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</si>
  <si>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</si>
  <si>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</si>
  <si>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</si>
  <si>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</si>
  <si>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</si>
  <si>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</si>
  <si>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</si>
  <si>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</si>
  <si>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</si>
  <si>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TUBO DE PEAD CORRUGADO DE DUPLA PAREDE PARA REDE COLETORA DE ESGOTO, DN 900 MM, JUNTA ELÁSTICA INTEGRADA, INSTALADO EM LOCAL COM NÍVEL BAIXO DE INTERFERÊNCIAS - FORNECIMENTO E ASSENTAMENTO.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</si>
  <si>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</si>
  <si>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</si>
  <si>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</si>
  <si>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</si>
  <si>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</si>
  <si>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TUBO DE PEAD CORRUGADO DE DUPLA PAREDE PARA REDE COLETORA DE ESGOTO, DN 1500 MM, JUNTA ELÁSTICA INTEGRADA, INSTALADO EM LOCAL COM NÍVEL BAIXO DE INTERFERÊNCIAS - FORNECIMENTO E ASSENTAMENTO.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</si>
  <si>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</si>
  <si>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</si>
  <si>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</si>
  <si>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</si>
  <si>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</si>
  <si>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</si>
  <si>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</si>
  <si>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TUBO DE PEAD CORRUGADO DE DUPLA PAREDE PARA REDE COLETORA DE ESGOTO, DN 900 MM, JUNTA ELÁSTICA INTEGRADA, INSTALADO EM LOCAL COM NÍVEL ALTO DE INTERFERÊNCIAS - FORNECIMENTO E ASSENTAMENTO.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</si>
  <si>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</si>
  <si>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</si>
  <si>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</si>
  <si>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</si>
  <si>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</si>
  <si>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TUBO DE PEAD CORRUGADO DE DUPLA PAREDE PARA REDE COLETORA DE ESGOTO, DN 1500 MM, JUNTA ELÁSTICA INTEGRADA, INSTALADO EM LOCAL COM NÍVEL ALTO DE INTERFERÊNCIAS - FORNECIMENTO E ASSENTAMENTO.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</si>
  <si>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</si>
  <si>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</si>
  <si>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</si>
  <si>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</si>
  <si>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</si>
  <si>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</si>
  <si>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</si>
  <si>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</si>
  <si>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</si>
  <si>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</si>
  <si>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</si>
  <si>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</si>
  <si>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</si>
  <si>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</si>
  <si>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</si>
  <si>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</si>
  <si>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</si>
  <si>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</si>
  <si>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</si>
  <si>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</si>
  <si>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</si>
  <si>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</si>
  <si>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</si>
  <si>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</si>
  <si>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</si>
  <si>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</si>
  <si>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</si>
  <si>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</si>
  <si>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</si>
  <si>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</si>
  <si>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</si>
  <si>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</si>
  <si>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</si>
  <si>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</si>
  <si>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</si>
  <si>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</si>
  <si>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</si>
  <si>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</si>
  <si>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</si>
  <si>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</si>
  <si>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</si>
  <si>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</si>
  <si>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</si>
  <si>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</si>
  <si>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</si>
  <si>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</si>
  <si>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</si>
  <si>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</si>
  <si>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</si>
  <si>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</si>
  <si>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</si>
  <si>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</si>
  <si>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</si>
  <si>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</si>
  <si>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</si>
  <si>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</si>
  <si>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</si>
  <si>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</si>
  <si>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</si>
  <si>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</si>
  <si>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</si>
  <si>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</si>
  <si>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</si>
  <si>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</si>
  <si>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</si>
  <si>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</si>
  <si>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</si>
  <si>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</si>
  <si>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</si>
  <si>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</si>
  <si>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</si>
  <si>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</si>
  <si>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</si>
  <si>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</si>
  <si>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</si>
  <si>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</si>
  <si>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</si>
  <si>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</si>
  <si>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</si>
  <si>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</si>
  <si>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</si>
  <si>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</si>
  <si>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CURVA PARA REDE COLETOR ESGOTO, EB 644, 90GR, DN=200MM, COM JUNTA ELASTICA</t>
  </si>
  <si>
    <t>CURVA PVC PARA REDE COLETOR ESGOTO, EB-644, 45 GR, 200 MM, COM JUNTA ELASTICA.</t>
  </si>
  <si>
    <t>73884/1</t>
  </si>
  <si>
    <t>73884/2</t>
  </si>
  <si>
    <t>73884/3</t>
  </si>
  <si>
    <t>73884/4</t>
  </si>
  <si>
    <t>73884/5</t>
  </si>
  <si>
    <t>73884/6</t>
  </si>
  <si>
    <t>73884/7</t>
  </si>
  <si>
    <t>73884/8</t>
  </si>
  <si>
    <t>73884/9</t>
  </si>
  <si>
    <t>73884/10</t>
  </si>
  <si>
    <t>73884/11</t>
  </si>
  <si>
    <t>73884/12</t>
  </si>
  <si>
    <t>73884/13</t>
  </si>
  <si>
    <t>73884/14</t>
  </si>
  <si>
    <t>73884/15</t>
  </si>
  <si>
    <t>73884/16</t>
  </si>
  <si>
    <t>73885/1</t>
  </si>
  <si>
    <t>73885/2</t>
  </si>
  <si>
    <t>73885/3</t>
  </si>
  <si>
    <t>73885/4</t>
  </si>
  <si>
    <t>73885/5</t>
  </si>
  <si>
    <t>73885/6</t>
  </si>
  <si>
    <t>73885/7</t>
  </si>
  <si>
    <t>73885/8</t>
  </si>
  <si>
    <t>73885/9</t>
  </si>
  <si>
    <t>73885/10</t>
  </si>
  <si>
    <t>73885/11</t>
  </si>
  <si>
    <t>73885/12</t>
  </si>
  <si>
    <t>73839/1</t>
  </si>
  <si>
    <t>73839/2</t>
  </si>
  <si>
    <t>73839/3</t>
  </si>
  <si>
    <t>73839/4</t>
  </si>
  <si>
    <t>73839/5</t>
  </si>
  <si>
    <t>73839/6</t>
  </si>
  <si>
    <t>73839/7</t>
  </si>
  <si>
    <t>73839/8</t>
  </si>
  <si>
    <t>73839/9</t>
  </si>
  <si>
    <t>73839/10</t>
  </si>
  <si>
    <t>73839/11</t>
  </si>
  <si>
    <t>73839/13</t>
  </si>
  <si>
    <t>73839/14</t>
  </si>
  <si>
    <t>73839/15</t>
  </si>
  <si>
    <t>73839/16</t>
  </si>
  <si>
    <t>FECHAMENTO DE CONSTRUÇÃO TEMPORÁRIA EM CHAPA DE MADEIRA COMPENSADA E=10MM, COM REAPROVEITAMENTO DE 2X.</t>
  </si>
  <si>
    <t>FECHAMENTO TEMPORÁRIO EM CHAPA DE MADEIRA COMPENSADA E=12MM, COM REAPROVEITAMENTO 1,5X</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</si>
  <si>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</si>
  <si>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</si>
  <si>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</si>
  <si>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</si>
  <si>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</si>
  <si>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</si>
  <si>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</si>
  <si>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</si>
  <si>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</si>
  <si>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</si>
  <si>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</si>
  <si>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</si>
  <si>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74209/1</t>
  </si>
  <si>
    <t>73847/1</t>
  </si>
  <si>
    <t>ALUGUEL CONTAINER/ESCRIT INCL INST ELET LARG=2,20 COMP=6,20M          ALT=2,50M CHAPA ACO C/NERV TRAPEZ FORRO C/ISOL TERMO/ACUSTICO         CHASSIS REFORC PISO COMPENS NAVAL EXC TRANSP/CARGA/DESCARGA</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</si>
  <si>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</si>
  <si>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</si>
  <si>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</si>
  <si>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</si>
  <si>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ROLO COMPACTADOR VIBRATÓRIO TANDEM, CILINDROS LISOS DE AÇO PARA SOLO/ASFALTO, POTÊNCIA 45 HP, PESO MÁXIMO OPERACIONAL 4 T - CHP DIURNO. AF_02/2016</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</si>
  <si>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</si>
  <si>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</si>
  <si>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</si>
  <si>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</si>
  <si>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ESTEIRAS, POTÊNCIA 170 HP, PESO OPERACIONAL 19 T, CAÇAMBA 5,2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</si>
  <si>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</si>
  <si>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</si>
  <si>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</si>
  <si>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ROLO COMPACTADOR DE PNEUS ESTÁTICO, PRESSÃO VARIÁVEL, POTÊNCIA 99 HP, PESO SEM/COM LASTRO 9,45 / 21,0 T, LARGURA DE ROLAGEM 2,265 M - CHP DIURNO. AF_02/2016</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</si>
  <si>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</si>
  <si>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</si>
  <si>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</si>
  <si>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</si>
  <si>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</si>
  <si>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</si>
  <si>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</si>
  <si>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</si>
  <si>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</si>
  <si>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ROLO COMPACTADOR VIBRATORIO DE UM CILINDRO LISO DE ACO, POTENCIA 80 HP, PESO OPERACIONAL MAXIMO 8,5 T, LARGURA TRABALHO 1,676 M - CHP DIURNO. AF_06/2014</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</si>
  <si>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</si>
  <si>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</si>
  <si>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</si>
  <si>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</si>
  <si>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</si>
  <si>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</si>
  <si>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</si>
  <si>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</si>
  <si>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</si>
  <si>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</si>
  <si>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</si>
  <si>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</si>
  <si>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</si>
  <si>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</si>
  <si>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2 M3/H, ALCANCE ATÉ 50 M, MOTOR ELÉTRICO POTÊNCIA 7,5 HP - CHP DIURNO. AF_06/2014</t>
  </si>
  <si>
    <t>BETONEIRA CAPACIDADE NOMINAL DE 400 L, CAPACIDADE DE MISTURA 310 L, MOTOR ELÉTRICO TRIFÁSICO POTÊNCIA DE 2 HP,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</si>
  <si>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</si>
  <si>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</si>
  <si>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</si>
  <si>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</si>
  <si>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</si>
  <si>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</si>
  <si>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</si>
  <si>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</si>
  <si>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</si>
  <si>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</si>
  <si>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VIBRADOR DE IMERSÃO, DIÂMETRO DE PONTEIRA 45MM, MOTOR ELÉTRICO TRIFÁSICO POTÊNCIA DE 2 CV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</si>
  <si>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</si>
  <si>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</si>
  <si>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</si>
  <si>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</si>
  <si>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</si>
  <si>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</si>
  <si>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</si>
  <si>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REBOCAVEL, VAZÃO 250 PCM, PRESSAO DE TRABALHO 102 PSI, MOTOR A DIESEL POTÊNCIA 81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</si>
  <si>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</si>
  <si>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</si>
  <si>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</si>
  <si>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</si>
  <si>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</si>
  <si>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</si>
  <si>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</si>
  <si>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</si>
  <si>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</si>
  <si>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</si>
  <si>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</si>
  <si>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CAMINHONETE COM MOTOR A DIESEL, POTÊNCIA 180 CV, CABINE DUPLA, 4X4 -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</si>
  <si>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</si>
  <si>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</si>
  <si>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</si>
  <si>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</si>
  <si>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</si>
  <si>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</si>
  <si>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</si>
  <si>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</si>
  <si>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</si>
  <si>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</si>
  <si>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</si>
  <si>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</si>
  <si>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</si>
  <si>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</si>
  <si>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</si>
  <si>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</si>
  <si>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</si>
  <si>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</si>
  <si>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</si>
  <si>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</si>
  <si>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</si>
  <si>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</si>
  <si>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</si>
  <si>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</si>
  <si>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</si>
  <si>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</si>
  <si>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</si>
  <si>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</si>
  <si>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</si>
  <si>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</si>
  <si>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</si>
  <si>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</si>
  <si>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</si>
  <si>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</si>
  <si>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</si>
  <si>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</si>
  <si>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</si>
  <si>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</si>
  <si>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</si>
  <si>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</si>
  <si>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</si>
  <si>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</si>
  <si>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ESTEIRAS, POTÊNCIA 170 HP, PESO OPERACIONAL 19 T, CAÇAMBA 5,2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</si>
  <si>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</si>
  <si>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</si>
  <si>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</si>
  <si>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ROLO COMPACTADOR DE PNEUS ESTÁTICO, PRESSÃO VARIÁVEL, POTÊNCIA 99 HP, PESO SEM/COM LASTRO 9,45 / 21,0 T, LARGURA DE ROLAGEM 2,265 M - CHI DIURNO. AF_02/2016</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</si>
  <si>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</si>
  <si>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</si>
  <si>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</si>
  <si>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</si>
  <si>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</si>
  <si>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</si>
  <si>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</si>
  <si>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</si>
  <si>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</si>
  <si>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</si>
  <si>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</si>
  <si>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</si>
  <si>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</si>
  <si>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</si>
  <si>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</si>
  <si>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</si>
  <si>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</si>
  <si>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</si>
  <si>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</si>
  <si>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</si>
  <si>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</si>
  <si>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</si>
  <si>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2 M3/H, ALCANCE ATÉ 50 M, MOTOR ELÉTRICO POTÊNCIA 7,5 HP - CHI DIURNO. AF_06/2014</t>
  </si>
  <si>
    <t>BETONEIRA CAPACIDADE NOMINAL DE 400 L, CAPACIDADE DE MISTURA 310 L, MOTOR ELÉTRICO TRIFÁSICO POTÊNCIA DE 2 HP,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</si>
  <si>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</si>
  <si>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</si>
  <si>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</si>
  <si>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</si>
  <si>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BETONEIRA CAPACIDADE NOMINAL DE 600 L, CAPACIDADE DE MISTURA 360 L, MOTOR ELÉTRICO TRIFÁSICO POTÊNCIA DE 4 CV, SEM CARREGADOR - CHI DIURNO. AF_11/2014</t>
  </si>
  <si>
    <t>ROLO COMPACTADOR VIBRATORIO DE UM CILINDRO LISO DE ACO, POTENCIA 80 HP, PESO OPERACIONAL MAXIMO 8,5 T, LARGURA TRABALHO 1,676 M - CHI DIURNO. AF_06/2014</t>
  </si>
  <si>
    <t>FRESADORA DE ASFALTO A FRIO SOBRE RODAS, LARGURA FRESAGEM DE 1,0 M, POTÊNCIA 208 HP - CHI DIURNO. AF_11/2014</t>
  </si>
  <si>
    <t>FRESADORA DE ASFALTO A FRIO SOBRE RODAS, LARGURA FRESAGEM DE 2,0 M, POTÊNCIA 550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</si>
  <si>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</si>
  <si>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</si>
  <si>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</si>
  <si>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VIBRADOR DE IMERSÃO, DIÂMETRO DE PONTEIRA 45MM, MOTOR ELÉTRICO TRIFÁSICO POTÊNCIA DE 2 CV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</si>
  <si>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</si>
  <si>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</si>
  <si>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</si>
  <si>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</si>
  <si>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</si>
  <si>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</si>
  <si>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</si>
  <si>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REBOCAVEL, VAZÃO 250 PCM, PRESSAO DE TRABALHO 102 PSI, MOTOR A DIESEL POTÊNCIA 81 CV - CHI DIURNO. AF_06/2015</t>
  </si>
  <si>
    <t>COMPRESSOR DE AR REBOCAVEL, VAZÃO 400 PCM, PRESSAO DE TRABALHO 102 PSI, MOTOR A DIESEL POTÊNCIA 110 CV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</si>
  <si>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</si>
  <si>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</si>
  <si>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</si>
  <si>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</si>
  <si>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</si>
  <si>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</si>
  <si>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</si>
  <si>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</si>
  <si>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</si>
  <si>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</si>
  <si>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</si>
  <si>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</si>
  <si>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</si>
  <si>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</si>
  <si>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</si>
  <si>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</si>
  <si>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</si>
  <si>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ROLO COMPACTADOR VIBRATÓRIO TANDEM, CILINDROS LISOS DE AÇO PARA SOLO/ASFALTO, POTÊNCIA 45 HP, PESO MÁXIMO OPERACIONAL 4 T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</si>
  <si>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</si>
  <si>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</si>
  <si>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</si>
  <si>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GERADOR PORTÁTIL MONOFÁSICO, POTÊNCIA 5500 VA, MOTOR A GASOLINA, POTÊNCIA DO MOTOR 13 CV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</si>
  <si>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</si>
  <si>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</si>
  <si>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</si>
  <si>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</si>
  <si>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MÁQUINA DEMARCADORA DE FAIXA DE TRÁFEGO À FRIO, AUTOPROPELIDA, POTÊNCIA 38 HP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</si>
  <si>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</si>
  <si>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</si>
  <si>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</si>
  <si>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</si>
  <si>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</si>
  <si>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</si>
  <si>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</si>
  <si>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</si>
  <si>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</si>
  <si>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</si>
  <si>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</si>
  <si>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</si>
  <si>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</si>
  <si>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</si>
  <si>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</si>
  <si>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</si>
  <si>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</si>
  <si>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</si>
  <si>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</si>
  <si>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</si>
  <si>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</si>
  <si>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</si>
  <si>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</si>
  <si>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</si>
  <si>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</si>
  <si>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</si>
  <si>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ROLO COMPACTADOR VIBRATÓRIO TANDEM, CILINDROS LISOS DE AÇO PARA SOLO/ASFALTO, POTÊNCIA 45 HP, PESO MÁXIMO OPERACIONAL 4 T - DEPRECIAÇÃO. AF_02/2016</t>
  </si>
  <si>
    <t>ROLO COMPACTADOR VIBRATÓRIO TANDEM, CILINDROS LISOS DE AÇO PARA SOLO/ASFALTO, POTÊNCIA 45 HP, PESO MÁXIMO OPERACIONAL 4 T - MANUTENÇÃO. AF_02/2016</t>
  </si>
  <si>
    <t>ROLO COMPACTADOR VIBRATÓRIO TANDEM, CILINDROS LISOS DE AÇO PARA SOLO/ASFALTO, POTÊNCIA 45 HP, PESO MÁXIMO OPERACIONAL 4 T - MATERIAIS NA OPERAÇÃO. AF_02/2016</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</si>
  <si>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</si>
  <si>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</si>
  <si>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</si>
  <si>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</si>
  <si>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</si>
  <si>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</si>
  <si>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</si>
  <si>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</si>
  <si>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</si>
  <si>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</si>
  <si>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</si>
  <si>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</si>
  <si>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</si>
  <si>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DE PNEUS ESTÁTICO, PRESSÃO VARIÁVEL, POTÊNCIA 99 HP, PESO SEM/COM LASTRO 9,45 / 21,0 T, LARGURA DE ROLAGEM 2,265 M - MANUTENÇÃO. AF_02/2016</t>
  </si>
  <si>
    <t>ROLO COMPACTADOR DE PNEUS ESTÁTICO, PRESSÃO VARIÁVEL, POTÊNCIA 99 HP, PESO SEM/COM LASTRO 9,45 / 21,0 T, LARGURA DE ROLAGEM 2,265 M - MATERIAIS NA OPERAÇÃO. AF_02/2016</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</si>
  <si>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</si>
  <si>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</si>
  <si>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</si>
  <si>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</si>
  <si>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</si>
  <si>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</si>
  <si>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</si>
  <si>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</si>
  <si>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</si>
  <si>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</si>
  <si>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ROLO COMPACTADOR VIBRATORIO DE UM CILINDRO LISO DE ACO, POTENCIA 80 HP, PESO OPERACIONAL MAXIMO 8,5 T, LARGURA TRABALHO 1,676 M - MANUTENÇÃO. AF_06/2014</t>
  </si>
  <si>
    <t>ROLO COMPACTADOR VIBRATORIO DE UM CILINDRO LISO DE ACO, POTENCIA 80 HP, PESO OPERACIONAL MAXIMO 8,5 T, LARGURA TRABALHO 1,676 M - MATERIAIS NA OPERAÇÃO. AF_06/2014</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</si>
  <si>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</si>
  <si>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</si>
  <si>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</si>
  <si>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</si>
  <si>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</si>
  <si>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</si>
  <si>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</si>
  <si>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</si>
  <si>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</si>
  <si>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</si>
  <si>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</si>
  <si>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</si>
  <si>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</si>
  <si>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</si>
  <si>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</si>
  <si>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</si>
  <si>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</si>
  <si>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</si>
  <si>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</si>
  <si>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</si>
  <si>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</si>
  <si>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</si>
  <si>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</si>
  <si>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</si>
  <si>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</si>
  <si>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</si>
  <si>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</si>
  <si>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</si>
  <si>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</si>
  <si>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99 HP, PESO SEM/COM LASTRO 9,45 / 21,0 T, LARGURA DE ROLAGEM 2,265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</si>
  <si>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</si>
  <si>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</si>
  <si>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</si>
  <si>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</si>
  <si>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</si>
  <si>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</si>
  <si>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</si>
  <si>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</si>
  <si>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</si>
  <si>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</si>
  <si>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</si>
  <si>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</si>
  <si>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</si>
  <si>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</si>
  <si>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</si>
  <si>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</si>
  <si>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</si>
  <si>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VIBRADOR DE IMERSAO MOTOR GAS 3,5CV TUBO DE 48X480MM (CI) C/MANGOTE   DE 5M COMP -EXCL OPERADOR</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</si>
  <si>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</si>
  <si>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</si>
  <si>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</si>
  <si>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</si>
  <si>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</si>
  <si>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</si>
  <si>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</si>
  <si>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</si>
  <si>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</si>
  <si>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</si>
  <si>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</si>
  <si>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</si>
  <si>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</si>
  <si>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</si>
  <si>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</si>
  <si>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</si>
  <si>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</si>
  <si>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</si>
  <si>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</si>
  <si>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</si>
  <si>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</si>
  <si>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</si>
  <si>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</si>
  <si>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</si>
  <si>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BETONEIRA CAPACIDADE NOMINAL DE 400 L, CAPACIDADE DE MISTURA 310 L, MOTOR ELÉTRICO TRIFÁSICO POTÊNCIA DE 2 HP, SEM CARREGADOR - DEPRECIAÇÃO. AF_10/2014</t>
  </si>
  <si>
    <t>BETONEIRA CAPACIDADE NOMINAL DE 400 L, CAPACIDADE DE MISTURA 310 L, MOTOR ELÉTRICO TRIFÁSICO POTÊNCIA DE 2 HP, SEM CARREGADOR - JUROS. AF_10/2014</t>
  </si>
  <si>
    <t>BETONEIRA CAPACIDADE NOMINAL DE 400 L, CAPACIDADE DE MISTURA 310 L, MOTOR ELÉTRICO TRIFÁSICO POTÊNCIA DE 2 HP, SEM CARREGADOR - MANUTENÇÃO. AF_10/2014</t>
  </si>
  <si>
    <t>BETONEIRA CAPACIDADE NOMINAL DE 400 L, CAPACIDADE DE MISTURA 310 L, MOTOR ELÉTRICO TRIFÁSICO POTÊNCIA DE 2 HP,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</si>
  <si>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</si>
  <si>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</si>
  <si>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</si>
  <si>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</si>
  <si>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</si>
  <si>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</si>
  <si>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</si>
  <si>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</si>
  <si>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</si>
  <si>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</si>
  <si>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</si>
  <si>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</si>
  <si>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</si>
  <si>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</si>
  <si>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</si>
  <si>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</si>
  <si>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</si>
  <si>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</si>
  <si>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</si>
  <si>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</si>
  <si>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</si>
  <si>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</si>
  <si>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</si>
  <si>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</si>
  <si>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</si>
  <si>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</si>
  <si>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</si>
  <si>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</si>
  <si>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</si>
  <si>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</si>
  <si>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</si>
  <si>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</si>
  <si>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</si>
  <si>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</si>
  <si>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</si>
  <si>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</si>
  <si>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</si>
  <si>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</si>
  <si>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</si>
  <si>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</si>
  <si>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</si>
  <si>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</si>
  <si>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</si>
  <si>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</si>
  <si>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DE UM CILINDRO LISO DE ACO, POTENCIA 80 HP, PESO OPERACIONAL MAXIMO 8,5 T, LARGURA TRABALHO 1,676 M - DEPRECIAÇÃO. AF_06/2014</t>
  </si>
  <si>
    <t>ROLO COMPACTADOR VIBRATORIO DE UM CILINDRO LISO DE ACO, POTENCIA 80 HP, PESO OPERACIONAL MAXIMO 8,5 T, LARGURA TRABALHO 1,676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</si>
  <si>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</si>
  <si>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</si>
  <si>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</si>
  <si>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</si>
  <si>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</si>
  <si>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</si>
  <si>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</si>
  <si>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</si>
  <si>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</si>
  <si>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</si>
  <si>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</si>
  <si>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</si>
  <si>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</si>
  <si>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</si>
  <si>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</si>
  <si>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</si>
  <si>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</si>
  <si>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</si>
  <si>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</si>
  <si>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</si>
  <si>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</si>
  <si>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</si>
  <si>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</si>
  <si>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</si>
  <si>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</si>
  <si>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</si>
  <si>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</si>
  <si>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</si>
  <si>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</si>
  <si>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</si>
  <si>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</si>
  <si>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</si>
  <si>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</si>
  <si>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</si>
  <si>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</si>
  <si>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</si>
  <si>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</si>
  <si>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</si>
  <si>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</si>
  <si>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</si>
  <si>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</si>
  <si>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</si>
  <si>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</si>
  <si>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</si>
  <si>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</si>
  <si>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</si>
  <si>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</si>
  <si>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</si>
  <si>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</si>
  <si>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</si>
  <si>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</si>
  <si>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</si>
  <si>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</si>
  <si>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</si>
  <si>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</si>
  <si>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</si>
  <si>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</si>
  <si>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</si>
  <si>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</si>
  <si>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</si>
  <si>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</si>
  <si>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</si>
  <si>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</si>
  <si>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</si>
  <si>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</si>
  <si>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</si>
  <si>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</si>
  <si>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</si>
  <si>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</si>
  <si>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</si>
  <si>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</si>
  <si>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</si>
  <si>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</si>
  <si>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</si>
  <si>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</si>
  <si>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</si>
  <si>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</si>
  <si>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</si>
  <si>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</si>
  <si>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</si>
  <si>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</si>
  <si>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</si>
  <si>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</si>
  <si>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</si>
  <si>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</si>
  <si>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</si>
  <si>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</si>
  <si>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</si>
  <si>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</si>
  <si>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</si>
  <si>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</si>
  <si>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</si>
  <si>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</si>
  <si>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</si>
  <si>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</si>
  <si>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</si>
  <si>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</si>
  <si>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</si>
  <si>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</si>
  <si>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</si>
  <si>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</si>
  <si>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</si>
  <si>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</si>
  <si>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</si>
  <si>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</si>
  <si>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</si>
  <si>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</si>
  <si>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</si>
  <si>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</si>
  <si>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</si>
  <si>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</si>
  <si>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</si>
  <si>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</si>
  <si>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</si>
  <si>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</si>
  <si>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</si>
  <si>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</si>
  <si>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</si>
  <si>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</si>
  <si>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</si>
  <si>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</si>
  <si>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</si>
  <si>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</si>
  <si>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</si>
  <si>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</si>
  <si>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</si>
  <si>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</si>
  <si>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</si>
  <si>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</si>
  <si>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</si>
  <si>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</si>
  <si>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</si>
  <si>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</si>
  <si>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</si>
  <si>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</si>
  <si>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</si>
  <si>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</si>
  <si>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</si>
  <si>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</si>
  <si>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</si>
  <si>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</si>
  <si>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</si>
  <si>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</si>
  <si>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</si>
  <si>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</si>
  <si>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</si>
  <si>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</si>
  <si>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</si>
  <si>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</si>
  <si>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</si>
  <si>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</si>
  <si>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</si>
  <si>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</si>
  <si>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</si>
  <si>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</si>
  <si>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</si>
  <si>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</si>
  <si>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</si>
  <si>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</si>
  <si>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</si>
  <si>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</si>
  <si>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</si>
  <si>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</si>
  <si>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</si>
  <si>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</si>
  <si>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</si>
  <si>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</si>
  <si>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</si>
  <si>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</si>
  <si>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</si>
  <si>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</si>
  <si>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</si>
  <si>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</si>
  <si>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</si>
  <si>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VIBRATÓRIO TANDEM, CILINDROS LISOS DE AÇO PARA SOLO/ASFALTO, POTÊNCIA 45 HP, PESO MÁXIMO OPERACIONAL 4 T - JUROS.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</si>
  <si>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</si>
  <si>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</si>
  <si>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</si>
  <si>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</si>
  <si>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</si>
  <si>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</si>
  <si>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</si>
  <si>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</si>
  <si>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</si>
  <si>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</si>
  <si>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</si>
  <si>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</si>
  <si>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</si>
  <si>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</si>
  <si>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</si>
  <si>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</si>
  <si>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</si>
  <si>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</si>
  <si>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</si>
  <si>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</si>
  <si>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</si>
  <si>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</si>
  <si>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</si>
  <si>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</si>
  <si>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</si>
  <si>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</si>
  <si>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</si>
  <si>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</si>
  <si>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</si>
  <si>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</si>
  <si>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</si>
  <si>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</si>
  <si>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</si>
  <si>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</si>
  <si>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</si>
  <si>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</si>
  <si>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</si>
  <si>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</si>
  <si>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</si>
  <si>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</si>
  <si>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</si>
  <si>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</si>
  <si>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</si>
  <si>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</si>
  <si>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</si>
  <si>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</si>
  <si>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</si>
  <si>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</si>
  <si>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</si>
  <si>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</si>
  <si>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</si>
  <si>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</si>
  <si>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</si>
  <si>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</si>
  <si>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</si>
  <si>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</si>
  <si>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</si>
  <si>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</si>
  <si>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</si>
  <si>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</si>
  <si>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</si>
  <si>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</si>
  <si>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</si>
  <si>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</si>
  <si>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</si>
  <si>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</si>
  <si>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</si>
  <si>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</si>
  <si>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</si>
  <si>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</si>
  <si>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</si>
  <si>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</si>
  <si>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</si>
  <si>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</si>
  <si>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</si>
  <si>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</si>
  <si>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</si>
  <si>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</si>
  <si>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</si>
  <si>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</si>
  <si>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</si>
  <si>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</si>
  <si>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</si>
  <si>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</si>
  <si>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</si>
  <si>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</si>
  <si>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</si>
  <si>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</si>
  <si>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</si>
  <si>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</si>
  <si>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</si>
  <si>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</si>
  <si>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</si>
  <si>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</si>
  <si>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</si>
  <si>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</si>
  <si>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</si>
  <si>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</si>
  <si>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</si>
  <si>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</si>
  <si>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</si>
  <si>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</si>
  <si>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</si>
  <si>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</si>
  <si>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</si>
  <si>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</si>
  <si>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</si>
  <si>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</si>
  <si>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</si>
  <si>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</si>
  <si>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</si>
  <si>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IMPOSTOS E SEGUROS.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</si>
  <si>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</si>
  <si>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</si>
  <si>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</si>
  <si>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</si>
  <si>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IMPOSTOS E SEGUROS.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</si>
  <si>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</si>
  <si>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</si>
  <si>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</si>
  <si>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</si>
  <si>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IMPOSTOS E SEGUROS.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</si>
  <si>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</si>
  <si>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</si>
  <si>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</si>
  <si>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</si>
  <si>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</si>
  <si>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</si>
  <si>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</si>
  <si>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IMUNIZACAO DE MADEIRAMENTO PARA COBERTURA UTILIZANDO CUPINICIDA INCOLOR</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</si>
  <si>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</si>
  <si>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</si>
  <si>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</si>
  <si>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</si>
  <si>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</si>
  <si>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</si>
  <si>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</si>
  <si>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</si>
  <si>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</si>
  <si>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</si>
  <si>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</si>
  <si>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</si>
  <si>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</si>
  <si>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</si>
  <si>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</si>
  <si>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</si>
  <si>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</si>
  <si>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</si>
  <si>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</si>
  <si>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</si>
  <si>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</si>
  <si>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</si>
  <si>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</si>
  <si>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</si>
  <si>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</si>
  <si>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</si>
  <si>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RECOLOCACAO DE TELHAS CERAMICAS TIPO FRANCESA, CONSIDERANDO REAPROVEITAMENTO DE MATERIAL</t>
  </si>
  <si>
    <t>RECOLOCACAO DE TELHAS CERAMICAS TIPO PLAN, CONSIDERANDO REAPROVEITAMENTO DE MATERIAL</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</si>
  <si>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</si>
  <si>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</si>
  <si>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</si>
  <si>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</si>
  <si>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</si>
  <si>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</si>
  <si>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</si>
  <si>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</si>
  <si>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</si>
  <si>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</si>
  <si>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</si>
  <si>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</si>
  <si>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</si>
  <si>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</si>
  <si>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</si>
  <si>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</si>
  <si>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</si>
  <si>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</si>
  <si>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</si>
  <si>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</si>
  <si>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</si>
  <si>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</si>
  <si>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</si>
  <si>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</si>
  <si>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</si>
  <si>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</si>
  <si>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</si>
  <si>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</si>
  <si>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</si>
  <si>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</si>
  <si>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</si>
  <si>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</si>
  <si>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</si>
  <si>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74045/2</t>
  </si>
  <si>
    <t>CUMEEIRA PARA TELHA DE FIBROCIMENTO ONDULADA E = 6 MM, INCLUSO ACESSÓRIOS DE FIXAÇÃO E IÇAMENTO. AF_06/2016</t>
  </si>
  <si>
    <t>CUMEEIRA PARA TELHA DE FIBROCIMENTO ESTRUTURAL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</si>
  <si>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</si>
  <si>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100 CM, INCLUSO TRANSPORTE VERTICAL. AF_06/2016</t>
  </si>
  <si>
    <t>RUFO EM CHAPA DE AÇO GALVANIZADO NÚMERO 24, CORTE DE 25 CM, INCLUSO TRANSPORTE VERTICAL. AF_06/2016</t>
  </si>
  <si>
    <t>RUFO EM FIBROCIMENTO PARA TELHA ONDULADA E = 6 MM, ABA DE 26 CM, INCLUSO TRANSPORTE VERTICAL. AF_06/2016</t>
  </si>
  <si>
    <t>TELHAMENTO COM TELHA ONDULADA DE FIBRA DE VIDRO E = 0,6 MM, PARA TELHADO COM INCLINAÇÃO MAIOR QUE 10°, COM ATÉ 2 ÁGUAS, INCLUSO IÇAMENTO. AF_06/2016</t>
  </si>
  <si>
    <t>ESTRUTURA METALICA EM TESOURAS OU TRELICAS, VAO LIVRE DE 12M, FORNECIMENTO E MONTAGEM, NAO SENDO CONSIDERADOS OS FECHAMENTOS METALICOS, AS COLUNAS, OS SERVICOS GERAIS EM ALVENARIA E CONCRETO, AS TELHAS DE COBERTURA E A PINTURA DE ACABAMENTO</t>
  </si>
  <si>
    <t>ESTRUTURA METALICA EM TESOURAS OU TRELICAS, VAO LIVRE DE 15M, FORNECIMENTO E MONTAGEM, NAO SENDO CONSIDERADOS OS FECHAMENTOS METALICOS, AS COLUNAS, OS SERVICOS GERAIS EM ALVENARIA E CONCRETO, AS TELHAS DE COBERTURA E A PINTURA DE ACABAMENTO</t>
  </si>
  <si>
    <t>ESTRUTURA METALICA EM TESOURAS OU TRELICAS, VAO LIVRE DE 20M, FORNECIMENTO E MONTAGEM, NAO SENDO CONSIDERADOS OS FECHAMENTOS METALICOS, AS COLUNAS, OS SERVICOS GERAIS EM ALVENARIA E CONCRETO, AS TELHAS DE COBERTURA E A PINTURA DE ACABAMENTO</t>
  </si>
  <si>
    <t>ESTRUTURA METALICA EM TESOURAS OU TRELICAS, VAO LIVRE DE 25M, FORNECIMENTO E MONTAGEM, NAO SENDO CONSIDERADOS OS FECHAMENTOS METALICOS, AS COLUNAS, OS SERVICOS GERAIS EM ALVENARIA E CONCRETO, AS TELHAS DE COBERTURA E A PINTURA DE ACABAMENTO</t>
  </si>
  <si>
    <t>ESTRUTURA METALICA EM TESOURAS OU TRELICAS, VAO LIVRE DE 30M, FORNECIMENTO E MONTAGEM, NAO SENDO CONSIDERADOS OS FECHAMENTOS METALICOS, AS COLUNAS, OS SERVICOS GERAIS EM ALVENARIA E CONCRETO, AS TELHAS DE COBERTURA E A PINTURA DE ACABAMENTO</t>
  </si>
  <si>
    <t>73970/1</t>
  </si>
  <si>
    <t>ESTRUTURA METALICA EM ACO ESTRUTURAL PERFIL I 12 X 5 1/4</t>
  </si>
  <si>
    <t>73970/2</t>
  </si>
  <si>
    <t>ESTRUTURA METALICA EM ACO ESTRUTURAL PERFIL I 6 X 3 3/8</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</si>
  <si>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</si>
  <si>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</si>
  <si>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</si>
  <si>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</si>
  <si>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</si>
  <si>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</si>
  <si>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</si>
  <si>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</si>
  <si>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</si>
  <si>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</si>
  <si>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</si>
  <si>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</si>
  <si>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</si>
  <si>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</si>
  <si>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</si>
  <si>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</si>
  <si>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</si>
  <si>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</si>
  <si>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</si>
  <si>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</si>
  <si>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</si>
  <si>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</si>
  <si>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</si>
  <si>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</si>
  <si>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</si>
  <si>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</si>
  <si>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</si>
  <si>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</si>
  <si>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</si>
  <si>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</si>
  <si>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</si>
  <si>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</si>
  <si>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73891/1</t>
  </si>
  <si>
    <t>73882/1</t>
  </si>
  <si>
    <t>73882/5</t>
  </si>
  <si>
    <t>73816/1</t>
  </si>
  <si>
    <t>EXECUCAO DE DRENO COM TUBOS DE PVC CORRUGADO FLEXIVEL PERFURADO - DN 100</t>
  </si>
  <si>
    <t>73816/2</t>
  </si>
  <si>
    <t>73881/1</t>
  </si>
  <si>
    <t>73881/3</t>
  </si>
  <si>
    <t>73883/1</t>
  </si>
  <si>
    <t>73883/2</t>
  </si>
  <si>
    <t>73883/3</t>
  </si>
  <si>
    <t>73902/1</t>
  </si>
  <si>
    <t>73968/1</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</si>
  <si>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</si>
  <si>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</si>
  <si>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</si>
  <si>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</si>
  <si>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</si>
  <si>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</si>
  <si>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</si>
  <si>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</si>
  <si>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</si>
  <si>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</si>
  <si>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</si>
  <si>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</si>
  <si>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</si>
  <si>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</si>
  <si>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</si>
  <si>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</si>
  <si>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73890/1</t>
  </si>
  <si>
    <t>73890/2</t>
  </si>
  <si>
    <t>MURO DE GABIÃO, ENCHIMENTO COM PEDRA DE MÃO TIPO RACHÃO, COM SOLO REFORÇADO, ALTURA DO MURO DE ATÉ 4 METROS - FORNECIMENTO E EXECUÇÃO. AF_12/2015</t>
  </si>
  <si>
    <t>MURO DE GABIÃO, ENCHIMENTO COM PEDRA DE MÃO TIPO RACHÃO, COM SOLO REFORÇADO, ALTURA DO MURO ACIMA DE 4 E ATÉ 12 METROS - FORNECIMENTO E EXECUÇÃO. AF_12/2015</t>
  </si>
  <si>
    <t>MURO DE GABIÃO, ENCHIMENTO COM PEDRA DE MÃO TIPO RACHÃO, COM SOLO REFORÇADO, ALTURA DO MURO ACIMA DE 12 E ATÉ 20 METROS - FORNECIMENTO E EXECUÇÃO. AF_12/2015</t>
  </si>
  <si>
    <t>MURO DE GABIÃO, ENCHIMENTO COM PEDRA DE MÃO TIPO RACHÃO, COM SOLO REFORÇADO, ALTURA DO MURO ACIMA DE 20 E ATÉ 28 METROS - FORNECIMENTO E EXECUÇÃO. AF_12/2015</t>
  </si>
  <si>
    <t>MURO DE GABIÃO, ENCHIMENTO COM RESÍDUO DE CONSTRUÇÃO E DEMOLIÇÃO, DE GRAVIDADE, COM GAIOLA TRAPEZOIDAL DE COMPRIMENTO IGUAL A 2 METROS, ALTURA DO MURO DE ATÉ 2 METROS - FORNECIMENTO E EXECUÇÃO. AF_12/2015</t>
  </si>
  <si>
    <t>MURO DE GABIÃO, ENCHIMENTO COM RESÍDUO DE CONSTRUÇÃO E DEMOLIÇÃO, DE GRAVIDADE, COM GAIOLA TRAPEZOIDAL DE COMPRIMENTO IGUAL A 2 METROS, ALTURA DO MURO ACIMA DE 2 E ATÉ 4 METROS -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</si>
  <si>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</si>
  <si>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</si>
  <si>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</si>
  <si>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</si>
  <si>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</si>
  <si>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</si>
  <si>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</si>
  <si>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</si>
  <si>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</si>
  <si>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</si>
  <si>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</si>
  <si>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</si>
  <si>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</si>
  <si>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</si>
  <si>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</si>
  <si>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</si>
  <si>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</si>
  <si>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</si>
  <si>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</si>
  <si>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</si>
  <si>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</si>
  <si>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</si>
  <si>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</si>
  <si>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</si>
  <si>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</si>
  <si>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</si>
  <si>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</si>
  <si>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</si>
  <si>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</si>
  <si>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</si>
  <si>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</si>
  <si>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</si>
  <si>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</si>
  <si>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</si>
  <si>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</si>
  <si>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</si>
  <si>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</si>
  <si>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</si>
  <si>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</si>
  <si>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</si>
  <si>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</si>
  <si>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</si>
  <si>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</si>
  <si>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</si>
  <si>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</si>
  <si>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</si>
  <si>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</si>
  <si>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</si>
  <si>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</si>
  <si>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</si>
  <si>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</si>
  <si>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</si>
  <si>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</si>
  <si>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</si>
  <si>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DISSIPADOR DE ENERGIA EM PEDRA ARGAMASSADA ESPESSURA 6CM INCL MATERIAIS E COLOCACAO MEDIDO P/ VOLUME DE PEDRA ARGAMASSADA</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</si>
  <si>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</si>
  <si>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</si>
  <si>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</si>
  <si>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</si>
  <si>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</si>
  <si>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</si>
  <si>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</si>
  <si>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</si>
  <si>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</si>
  <si>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</si>
  <si>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</si>
  <si>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</si>
  <si>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</si>
  <si>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</si>
  <si>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</si>
  <si>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</si>
  <si>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</si>
  <si>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</si>
  <si>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</si>
  <si>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</si>
  <si>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</si>
  <si>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</si>
  <si>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</si>
  <si>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</si>
  <si>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</si>
  <si>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</si>
  <si>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</si>
  <si>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</si>
  <si>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</si>
  <si>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</si>
  <si>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</si>
  <si>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73963/1</t>
  </si>
  <si>
    <t>POCO DE VISITA PARA REDE DE ESG. SANIT., EM ANEIS DE CONCRETO, DIÂMETRO = 60CM, PROF=80CM, INCLUINDO DEGRAU,  EXCLUINDO TAMPAO FERRO FUNDIDO.</t>
  </si>
  <si>
    <t>73963/2</t>
  </si>
  <si>
    <t>POCO DE VISITA PARA REDE DE ESG. SANIT., EM ANEIS DE CONCRETO, DIÂMETRO = 60CM, PROF = 100CM, EXCLUINDO TAMPAO FERRO FUNDIDO.</t>
  </si>
  <si>
    <t>73963/3</t>
  </si>
  <si>
    <t>POCO DE VISITA PARA REDE DE ESG. SANIT., EM ANEIS DE CONCRETO, DIÂMETRO = 60CM, PROF = 60CM, INCLUINDO DEGRAU, EXCLUINDO TAMPAO FERRO FUNDIDO.</t>
  </si>
  <si>
    <t>73963/5</t>
  </si>
  <si>
    <t>POCO DE VISITA PARA REDE DE ESG. SANIT., EM ANEIS DE CONCRETO, DIÂMETRO = 60CM E 110CM, PROF = 120CM, EXCLUINDO TAMPAO FERRO FUNDIDO.</t>
  </si>
  <si>
    <t>73963/6</t>
  </si>
  <si>
    <t>POCO DE VISITA PARA REDE DE ESG. SANIT., EM ANEIS DE CONCRETO, DIÂMETRO = 60CM E 110CM, PROF = 140CM, EXCLUINDO TAMPAO FERRO FUNDIDO.</t>
  </si>
  <si>
    <t>73963/7</t>
  </si>
  <si>
    <t>POCO DE VISITA PARA REDE DE ESG. SANIT., EM ANEIS DE CONCRETO, DIÂMETRO = 60CM E 110CM, PROF = 150CM, EXCLUINDO TAMPAO FERRO FUNDIDO.</t>
  </si>
  <si>
    <t>73963/8</t>
  </si>
  <si>
    <t>POCO DE VISITA PARA REDE DE ESG. SANIT., EM ANEIS DE CONCRETO, DIÂMETRO = 60CM E 110CM, PROF = 160CM, EXCLUINDO TAMPAO FERRO FUNDIDO.</t>
  </si>
  <si>
    <t>73963/9</t>
  </si>
  <si>
    <t>POCO DE VISITA PARA REDE DE ESG. SANIT., EM ANEIS DE CONCRETO, DIÂMETRO = 110CM, PROF = 170CM, EXCLUINDO TAMPAO FERRO FUNDIDO.</t>
  </si>
  <si>
    <t>73963/10</t>
  </si>
  <si>
    <t>POCO DE VISITA PARA REDE DE ESG. SANIT., EM ANEIS DE CONCRETO, DIÂMETRO = 60CM E 110CM, PROF = 200CM, EXCLUINDO TAMPAO FERRO FUNDIDO.</t>
  </si>
  <si>
    <t>73963/11</t>
  </si>
  <si>
    <t>POCO DE VISITA PARA REDE DE ESG. SANIT., EM ANEIS DE CONCRETO, DIÂMETRO = 60CM E 110CM, PROF = 230CM, EXCLUINDO TAMPAO FERRO FUNDIDO.</t>
  </si>
  <si>
    <t>73963/12</t>
  </si>
  <si>
    <t>POCO DE VISITA PARA REDE DE ESG. SANIT., EM ANEIS DE CONCRETO, DIÂMETRO = 60CM E 110CM, PROF = 260CM, EXCLUINDO TAMPAO FERRO FUNDIDO.</t>
  </si>
  <si>
    <t>73963/13</t>
  </si>
  <si>
    <t>POCO DE VISITA PARA REDE DE ESG. SANIT., EM ANEIS DE CONCRETO, DIÂMETRO = 60CM E 110CM, PROF = 290CM, EXCLUINDO TAMPAO FERRO FUNDIDO.</t>
  </si>
  <si>
    <t>73963/14</t>
  </si>
  <si>
    <t>POCO DE VISITA PARA REDE DE ESG. SANIT., EM ANEIS DE CONCRETO, DIÂMETRO = 60CM E 110CM, PROF = 320CM, EXCLUINDO TAMPAO FERRO FUNDIDO.</t>
  </si>
  <si>
    <t>73963/15</t>
  </si>
  <si>
    <t>POCO DE VISITA PARA REDE DE ESG. SANIT., EM ANEIS DE CONCRETO, DIÂMETRO = 60CM E 110CM, PROF = 350CM, EXCLUINDO TAMPAO FERRO FUNDIDO.</t>
  </si>
  <si>
    <t>73963/16</t>
  </si>
  <si>
    <t>POCO DE VISITA PARA REDE DE ESG. SANIT., EM ANEIS DE CONCRETO, DIÂMETRO = 60CM E 110CM, PROF = 380CM, EXCLUINDO TAMPAO FERRO FUNDIDO.</t>
  </si>
  <si>
    <t>73963/17</t>
  </si>
  <si>
    <t>POCO DE VISITA PARA REDE DE ESG. SANIT., EM ANEIS DE CONCRETO, DIÂMETRO = 60CM E 110CM, PROF = 410CM, EXCLUINDO TAMPAO FERRO FUNDIDO.</t>
  </si>
  <si>
    <t>73963/18</t>
  </si>
  <si>
    <t>POCO DE VISITA PARA REDE DE ESG. SANIT., EM ANEIS DE CONCRETO, DIÂMETRO = 60CM E 110CM, PROF = 440CM, EXCLUINDO TAMPAO FERRO FUNDIDO.</t>
  </si>
  <si>
    <t>73963/19</t>
  </si>
  <si>
    <t>POCO DE VISITA PARA REDE DE ESG. SANIT., EM ANEIS DE CONCRETO, DIÂMETRO = 60CM E 110CM, PROF = 470CM, EXCLUINDO TAMPAO FERRO FUNDIDO.</t>
  </si>
  <si>
    <t>73963/20</t>
  </si>
  <si>
    <t>POCO DE VISITA PARA REDE DE ESG. SANIT., EM ANEIS DE CONCRETO, DIÂMETRO = 60CM E 110CM, PROF = 500CM, EXCLUINDO TAMPAO FERRO FUNDIDO.</t>
  </si>
  <si>
    <t>73963/21</t>
  </si>
  <si>
    <t>POCO DE VISITA PARA REDE DE ESG. SANIT., EM ANEIS DE CONCRETO, DIÂMETRO = 60CM E 110CM, PROF = 530CM, EXCLUINDO TAMPAO FERRO FUNDIDO.</t>
  </si>
  <si>
    <t>73963/22</t>
  </si>
  <si>
    <t>POCO DE VISITA PARA REDE DE ESG. SANIT., EM ANEIS DE CONCRETO, DIÂMETRO = 60CM E 110CM, PROF = 560CM, EXCLUINDO TAMPAO FERRO FUNDIDO.</t>
  </si>
  <si>
    <t>73963/23</t>
  </si>
  <si>
    <t>POCO DE VISITA PARA REDE DE ESG. SANIT., EM ANEIS DE CONCRETO, DIÂMETRO = 60CM E 110CM, PROF = 590CM, EXCLUINDO TAMPAO FERRO FUNDIDO.</t>
  </si>
  <si>
    <t>73963/24</t>
  </si>
  <si>
    <t>POCO DE VISITA PARA REDE DE ESG. SANIT., EM ANEIS DE CONCRETO, DIÂMETRO = 60CM E 110CM, PROF = 690CM, EXCLUINDO TAMPAO FERRO FUNDIDO.</t>
  </si>
  <si>
    <t>73963/25</t>
  </si>
  <si>
    <t>POCO DE VISITA PARA REDE DE ESG. SANIT., EM ANEIS DE CONCRETO, DIÂMETRO = 60CM E 110CM, PROF = 650CM, EXCLUINDO TAMPAO FERRO FUNDIDO.</t>
  </si>
  <si>
    <t>73963/26</t>
  </si>
  <si>
    <t>POCO DE VISITA PARA REDE DE ESG. SANIT., EM ANEIS DE CONCRETO, DIÂMETRO = 60CM E 110CM, PROF = 680CM, EXCLUINDO TAMPAO FERRO FUNDIDO.</t>
  </si>
  <si>
    <t>73963/27</t>
  </si>
  <si>
    <t>POCO DE VISITA PARA REDE DE ESG. SANIT., EM ANEIS DE CONCRETO, DIÂMETRO = 60CM E 110CM, PROF = 710CM, EXCLUINDO TAMPAO FERRO FUNDIDO.</t>
  </si>
  <si>
    <t>73963/28</t>
  </si>
  <si>
    <t>POCO VISITA ESG SANIT ANEL CONC PRE-MOLD PROF=1,20M C/ TAMPAO FOFO ARTICULADO, CLASSE B125 CARGA MAX 12,5 T, REDONDO TAMPA 600 MM, REDE PLUVIAL /ESGOTO / REJUNTAMENTO ANEIS / REVEST LISO CALHA INTERNA C/ARG CIM/AREIA 1:4. BASE/BANQUETA EM CONCR FCK=10MPA</t>
  </si>
  <si>
    <t>73963/29</t>
  </si>
  <si>
    <t>POCO VISITA ESG SANIT ANEL CONC PRE-MOLD PROF=1,40M C/ TAMPAO FOFO ARTICULADO, CLASSE B125 CARGA MAX 12,5 T, REDONDO TAMPA 600 MM, REDE PLUVIAL/ESGOTO / REJUNTAMENTO ANEIS / REVEST LISO CALHA INTERNA C/ARG CIM/AREIA 1:4. BASE/BANQUETA EM CONCR FCK=10MPA</t>
  </si>
  <si>
    <t>73963/30</t>
  </si>
  <si>
    <t>POCO VISITA ESG SANIT ANEL CONC PRE-MOLD PROF=1,50M C/ TAMPAO FOFO ARTICULADO, CLASSE B125 CARGA MAX 12,5 T, REDONDO TAMPA 600 MM, REDE PLUVIAL/ESGOTO / REJUNTAMENTO ANEIS / REVEST LISO CALHA INTERNA C/ARG CIM/AREIA 1:4. BASE/BANQUETA EM CONCRFCK=10MPA</t>
  </si>
  <si>
    <t>73963/31</t>
  </si>
  <si>
    <t>POCO VISITA ESG SANIT ANEL CONC PRE-MOLD PROF=1,60M C/ TAMPAO FOFO ARTICULADO, CLASSE B125 CARGA MAX 12,5 T, REDONDO TAMPA 600 MM, REDE PLUVIAL / REJUNTAMENTO ANEIS / REVEST LISO CALHA INTERNA C/ARG CIM/AREIA 1:4. BASE/BANQUETA EM CONCR FCK=10MPA</t>
  </si>
  <si>
    <t>73963/32</t>
  </si>
  <si>
    <t>POCO VISITA ESG SANIT ANEL CONC PRE-MOLD PROF=1,70M C/ TAMPAO FOFO ARTICULADO, CLASSE B125 CARGA MAX 12,5 T, REDONDO TAMPA 600 MM, REDE PLUVIAL/ESGOTO /  REJUNTAMENTO ANEIS / REVEST LISO CALHA INTERNA C/ARG CIM/AREIA 1:4. BASE/BANQUETA EM CONCR FCK=10MPA</t>
  </si>
  <si>
    <t>73963/33</t>
  </si>
  <si>
    <t>POCO VISITA ESG SANIT ANEL CONC PRE-MOLD PROF=2,00M C/ TAMPAO FOFO ARTICULADO, CLASSE B125 CARGA MAX 12,5 T, REDONDO TAMPA 600 MM, REDE PLUVIAL/ESGOTO / REJUNTAMENTO ANEIS / REVEST LISO CALHA INTERNA C/ARG CIM/AREIA 1:4. BASE/BANQUETA EM CONCR FCK=10MPA</t>
  </si>
  <si>
    <t>73963/34</t>
  </si>
  <si>
    <t>POCO VISITA ESG SANIT ANEL CONC PRE MOLD PROF=2,30M C/ TAMPAO FOFO ARTICULADO, CLASSE B125 CARGA MAX 12,5 T, REDONDO TAMPA 600 MM, REDE PLUVIAL/ESGOTO / REJUNTAMENTO ANEIS / REVEST LISO CALHA INTERNA C/ARG CIM/AREIA 1:4. BASE/BANQUETA EM CONCRFCK=10MPA</t>
  </si>
  <si>
    <t>73963/35</t>
  </si>
  <si>
    <t>POCO VISITA ESG SANIT ANEL CONC PRE-MOLD PROF=2,60M C/ TAMPAO FOFO SIMPLES COM BASE, CLASSE B125 CARGA MAX 12,5 T, REDONDO TAMPA 600 MM, REDE PLUVIAL/ESGOTO / REJUNTAMENTO ANEIS / REVEST LISO CALHA INTERNA C/ARG CIM/AREIA 1:4. BASE/BANQUETAEM CONCR FCK=10MPA</t>
  </si>
  <si>
    <t>73963/36</t>
  </si>
  <si>
    <t>POCO VISITA ESG SANIT ANEL CONC PRE-MOLD PROF=2,90M C/ TAMPAO FOFO ARTICULADO, CLASSE B125 CARGA MAX 12,5 T, REDONDO TAMPA 600 MM, REDE PLUVIAL / REJUNTAMENTO ANEIS / REVEST LISO CALHA INTERNA C/ARG CIM/AREIA 1:4. BASE/BANQUETA EM CONCR FCK=10MPA</t>
  </si>
  <si>
    <t>73963/37</t>
  </si>
  <si>
    <t>POCO VISITA ESG SANIT ANEL CONC PRE-MOLD PROF=3,20M C/ TAMPAO FOFO ARTICULADO, CLASSE B125 CARGA MAX 12,5 T, REDONDO TAMPA 600 MM, REDE PLUVIAL /  REJUNTAMENTOANEIS / REVEST LISO CALHA INTERNA C/ARG CIM/AREIA 1:4. BASE / BANQUETA EM CONCR FCK=10MPA</t>
  </si>
  <si>
    <t>73963/38</t>
  </si>
  <si>
    <t>POCO VISITA ESG SANIT ANEL CONC PRE-MOLD PROF=3,50M C/ TAMPAO FOFO ARTICULADO, CLASSE B125 CARGA MAX 12,5 T, REDONDO TAMPA 600 MM, REDE PLUVIAL/ESGOTO /  REJUNTAMENTO / ANEIS / REVEST LISO CALHA INTERNA C/ARG CIM/AREIA 1:4. BASE/BANQUETA EM CONCR FCK=10MPA</t>
  </si>
  <si>
    <t>73963/39</t>
  </si>
  <si>
    <t>POCO VISITA ESG SANIT ANEL CONC PRE-MOLD PROF=3,80M C/ TAMPAO FOFO ARTICULADO, CLASSE B125 CARGA MAX 12,5 T, REDONDO TAMPA 600 MM, REDE PLUVIAL / REJUNTAMENTO ANEIS / REVEST LISO CALHA INTERNA C/ARG CIM/AREIA 1:4. BASE/BANQUETA EM CONCR FCK=10MPA</t>
  </si>
  <si>
    <t>73963/40</t>
  </si>
  <si>
    <t>POCO VISITA ESG SANIT ANEL CONC PRE-MOLD PROF=4,10M C/ TAMPAO FOFO ARTICULADO, CLASSE B125 CARGA MAX 12,5 T, REDONDO TAMPA 600 MM, REDE PLUVIAL / REJUNTAMENTO ANEIS / REVEST LISO CALHA INTERNA C/ARG CIM/AREIA 1:4. BASE/BANQUETA EM CONCR FCK=10MPA</t>
  </si>
  <si>
    <t>73963/41</t>
  </si>
  <si>
    <t>POCO VISITA ESG SANIT ANEL CONC PRE MOLD PROF=4,40M C/ TAMPAO FOFO ARTICULADO, CLASSE B125 CARGA MAX 12,5 T, REDONDO TAMPA 600 MM, REDE PLUVIAL / REJUNTAMENTO ANEIS / REVEST LISO CALHA INTERNA C/ARG CIM/AREIA 1:4. BASE/BANQUETA EM CONCR FCK=10MPA</t>
  </si>
  <si>
    <t>73963/42</t>
  </si>
  <si>
    <t>POCO VISITA ESG SANIT ANEL CONC PRE-MOLD PROF=4,70M C/ TAMPAO FOFO ARTICULADO, CLASSE B125 CARGA MAX 12,5 T, REDONDO TAMPA 600 MM, REDE PLUVIAL/ESGOTO /  REJUNTAMENTO ANEIS / REVEST LISO CALHA INTERNA C/ARG CIM/AREIA 1:4. BASE/BANQUETA EM CONCRFCK=10MPA</t>
  </si>
  <si>
    <t>73963/43</t>
  </si>
  <si>
    <t>POCO VISITA ESG SANIT ANEL CONC PRE-MOLD PROF=5,00M C/ TAMPAO FOFO ARTICULADO, CLASSE B125 CARGA MAX 12,5 T, REDONDO TAMPA 600 MM, REDE PLUVIAL / ESGOTO / REJUNTAMENTO ANEIS/ REVEST LISO CALHA INTERNA C/ARG CIM/AREIA 1:4. BASE/BANQUETA EM CONCR FCK=10MPA</t>
  </si>
  <si>
    <t>73963/44</t>
  </si>
  <si>
    <t>POCO VISITA ESG SANIT ANEL CONC PRE-MOLD PROF=0,80M C/ TAMPAO FOFO ARTICULADO, CLASSE B125 CARGA MAX 12,5 T, REDONDO TAMPA 600 MM, REDE PLUVIAL/ESGOTO / DEGRAUS FF / REJUNTAMENTO ANEIS / REVEST LISO CALHA INTERNA C/ARG CIM/AREIA 1:4. BASE / BANQUETA EM CONCR FCK=10MPA</t>
  </si>
  <si>
    <t>73963/45</t>
  </si>
  <si>
    <t>POCO DE VISITA PARA REDE DE ESG. SANIT., EM ANEIS DE CONCRETO, DIÂMETRO = 60CM E 110CM, PROF = 240CM, EXCLUINDO TAMPAO FERRO FUNDIDO.</t>
  </si>
  <si>
    <t>73963/46</t>
  </si>
  <si>
    <t>POCO DE VISITA PARA REDE DE ESG. SANIT., EM ANEIS DE CONCRETO, DIÂMETRO = 60CM E 110CM, PROF = 250CM, EXCLUINDO TAMPAO FERRO FUNDIDO.</t>
  </si>
  <si>
    <t>73963/47</t>
  </si>
  <si>
    <t>POCO DE VISITA PARA REDE DE ESG. SANIT., EM ANEIS DE CONCRETO, DIÂMETRO = 60CM E 110CM, PROF = 280CM, EXCLUINDO TAMPAO FERRO FUNDIDO.</t>
  </si>
  <si>
    <t>73963/48</t>
  </si>
  <si>
    <t>POCO DE VISITA PARA REDE DE ESG. SANIT., EM ANEIS DE CONCRETO, DIÂMETRO = 60CM E 110CM, PROF = 310CM, EXCLUINDO TAMPAO FERRO FUNDIDO.</t>
  </si>
  <si>
    <t>74124/1</t>
  </si>
  <si>
    <t>POCO VISITA AG PLUV:CONC ARM 1X1X1,40M COLETOR D=40 A 50CM PAREDE E=15CM BASE CONC FCK=10MPA REVEST C/ARG CIM/AREIA 1:4 INCL FORN TODOS MATERIAIS</t>
  </si>
  <si>
    <t>74124/2</t>
  </si>
  <si>
    <t>POCO VISITA AG PLUV:CONC ARM 1,10X1,10X1,40M COLETOR D=60CM PAREDE E=15CM BASE CONC FCK=10MPA REVEST C/ARG CIM/AREIA 1:4 INCL FORN TODOS MATERIAIS</t>
  </si>
  <si>
    <t>74124/3</t>
  </si>
  <si>
    <t>POCO VISITA AG PLUV:CONC ARM 1,20X1,20X1,40M COLETOR D=70CM PAREDE E=15CM BASE CONC FCK=10MPA REVEST C/ARG CIM/AREIA 1:4 INCL FORN TODOS MATERIAIS</t>
  </si>
  <si>
    <t>74124/4</t>
  </si>
  <si>
    <t>POCO VISITA AG PLUV:CONC ARM 1,30X1,30X1,40M COLETOR D=80CM PAREDE E=15CM BASE CONC FCK=10MPA REVEST C/ARG CIM/AREIA 1:4 INCL FORN TODOS MATERIAIS</t>
  </si>
  <si>
    <t>74124/5</t>
  </si>
  <si>
    <t>POCO VISITA CONCRETO ARMADO P/AG PLUV 1,40X1,40X1,50M COLETOR D=90CM  PAREDE E=15CM BASE CONCRETO FCK=10MPA REVESTIDO C/ARG CIM/AREIA 1:4 INCL FORN TODOS MATERIAIS</t>
  </si>
  <si>
    <t>74124/6</t>
  </si>
  <si>
    <t>POCO VISITA AG PLUV:CONC ARM 1,50X1,50X1,60M COLETOR D=1M PA REDE E=15CM BASE CONC FCK=10MPA REVEST C/ARG CIM/AREIA 1:4 INCL FORN TODOS MATERIAIS</t>
  </si>
  <si>
    <t>74124/7</t>
  </si>
  <si>
    <t>POCO VISITA AG PLUV:CONC ARM 1,60X1,60X1,70M COLETOR D=1,10M PAREDE E=15CM BASE CONC FCK=10MPA REVEST C/ARG CIM/AREIA 1:4 INCL FORN TODOS MATERIAIS</t>
  </si>
  <si>
    <t>74124/8</t>
  </si>
  <si>
    <t>POCO VISITA AG PLUV:CONC ARM 1,70X1,70X1,80M COLETOR D=1,20M          PAREDE E=15CM BASE CONC FCK=10MPA REVEST C/ARG CIM/AREIA 1:4          DEGRAUS FF INCL FORN TODOS MATERIAIS</t>
  </si>
  <si>
    <t>74162/1</t>
  </si>
  <si>
    <t>74206/1</t>
  </si>
  <si>
    <t>CAIXA COLETORA, 1,20X1,20X1,50M, COM FUNDO E TAMPA DE CONCRETO E PAREDES EM ALVENARIA</t>
  </si>
  <si>
    <t>74206/2</t>
  </si>
  <si>
    <t>74212/1</t>
  </si>
  <si>
    <t>74214/1</t>
  </si>
  <si>
    <t>POCO DE VISITA PARA REDE DE ESGOTO SANITÁRIO, EM ALVENARIA, DIAMETRO 120 CM, PROF ATE 200 CM, INCLUINDO TAMPAO FERRO FUNDIDO</t>
  </si>
  <si>
    <t>74214/2</t>
  </si>
  <si>
    <t>POCO DE VISITA PARA REDE DE ESGOTO SANITÁRIO, EM ALVENARIA, DIAMETRO 120 CM, PROF ATE 400 CM, INCLUINDO TAMPAO FERRO FUNDIDO</t>
  </si>
  <si>
    <t>74224/1</t>
  </si>
  <si>
    <t>POCO DE VISITA PARA DRENAGEM PLUVIAL, EM CONCRETO ESTRUTURAL, DIMENSOES INTERNAS DE 90X150X80CM (LARGXCOMPXALT), PARA REDE DE 600 MM, EXCLUSOS TAMPAO E CHAMINE.</t>
  </si>
  <si>
    <t>ASSENTAMENTO TAMPAO FERRO FUNDIDO (FOFO), 30 X 90 CM PARA CAIXA DE RALO, C/ ARG CIM/AREIA 1:4 EM VOLUME, EXCLUSIVE TAMPAO.</t>
  </si>
  <si>
    <t>BOCA DE LOBO EM ALVENARIA TIJOLO MACICO, REVESTIDA C/ ARGAMASSA DE CIMENTO E AREIA 1:3, SOBRE LASTRO DE CONCRETO 10CM E TAMPA DE CONCRETO ARMADO</t>
  </si>
  <si>
    <t>GRELHA FF 30X90CM, 135KG, P/ CX RALO COM ASSENTAMENTO DE ARGAMASSA CIMENTO/AREIA 1:4 - FORNECIMENTO E INSTALAÇÃO</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</si>
  <si>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</si>
  <si>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</si>
  <si>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</si>
  <si>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</si>
  <si>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</si>
  <si>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</si>
  <si>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</si>
  <si>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</si>
  <si>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</si>
  <si>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</si>
  <si>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</si>
  <si>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</si>
  <si>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</si>
  <si>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</si>
  <si>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</si>
  <si>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</si>
  <si>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</si>
  <si>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</si>
  <si>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</si>
  <si>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</si>
  <si>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</si>
  <si>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</si>
  <si>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</si>
  <si>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</si>
  <si>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</si>
  <si>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</si>
  <si>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</si>
  <si>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</si>
  <si>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</si>
  <si>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</si>
  <si>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</si>
  <si>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</si>
  <si>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</si>
  <si>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</si>
  <si>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</si>
  <si>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</si>
  <si>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</si>
  <si>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</si>
  <si>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</si>
  <si>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</si>
  <si>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</si>
  <si>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</si>
  <si>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</si>
  <si>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</si>
  <si>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</si>
  <si>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</si>
  <si>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</si>
  <si>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</si>
  <si>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</si>
  <si>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73877/1</t>
  </si>
  <si>
    <t>73877/2</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</si>
  <si>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</si>
  <si>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</si>
  <si>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</si>
  <si>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</si>
  <si>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</si>
  <si>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</si>
  <si>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73910/9</t>
  </si>
  <si>
    <t>ALCAPAO EM COMPENSADO DE MADEIRA CEDRO/VIROLA, 60X60X2CM, COM MARCO 7X3CM, ALIZAR DE 2A, DOBRADICAS EM LATAO CROMADO E TARJETA CROMADA</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</si>
  <si>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</si>
  <si>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</si>
  <si>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</si>
  <si>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</si>
  <si>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</si>
  <si>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</si>
  <si>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</si>
  <si>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</si>
  <si>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</si>
  <si>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</si>
  <si>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</si>
  <si>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</si>
  <si>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</si>
  <si>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</si>
  <si>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</si>
  <si>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</si>
  <si>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</si>
  <si>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</si>
  <si>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</si>
  <si>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</si>
  <si>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</si>
  <si>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</si>
  <si>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</si>
  <si>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</si>
  <si>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</si>
  <si>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</si>
  <si>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</si>
  <si>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</si>
  <si>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</si>
  <si>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</si>
  <si>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</si>
  <si>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</si>
  <si>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</si>
  <si>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</si>
  <si>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</si>
  <si>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</si>
  <si>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</si>
  <si>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</si>
  <si>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</si>
  <si>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ALMOFADADA, SEMI-OCA (LEVE OU MÉDIA), 60X210CM, ESPESSURA DE 3CM, INCLUSO DOBRADIÇAS - FORNECIMENTO E INSTALAÇÃO. AF_08/2015</t>
  </si>
  <si>
    <t>PORTA DE MADEIRA ALMOFADADA, SEMI-OCA (LEVE OU MÉDIA), 70X210CM, ESPESSURA DE 3CM, INCLUSO DOBRADIÇAS - FORNECIMENTO E INSTALAÇÃO. AF_08/2015</t>
  </si>
  <si>
    <t>PORTA DE MADEIRA ALMOFADADA, SEMI-OCA (LEVE OU MÉDIA), 80X210CM, ESPESSURA DE 3,5CM, INCLUSO DOBRADIÇAS - FORNECIMENTO E INSTALAÇÃO. AF_08/2015</t>
  </si>
  <si>
    <t>PORTA DE MADEIRA TIPO VENEZIANA, SEMI-OCA (LEVE OU MÉDIA), 80X210CM, ESPESSURA DE 3CM, INCLUSO DOBRADIÇAS - FORNECIMENTO E INSTALAÇÃO. AF_08/2015</t>
  </si>
  <si>
    <t>PORTA DE MADEIRA, TIPO MEXICANA, SEMI-OCA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</si>
  <si>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</si>
  <si>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</si>
  <si>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</si>
  <si>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</si>
  <si>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</si>
  <si>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</si>
  <si>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</si>
  <si>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</si>
  <si>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</si>
  <si>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</si>
  <si>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</si>
  <si>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</si>
  <si>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</si>
  <si>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</si>
  <si>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</si>
  <si>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ALMOFADADA, SEMI-OCA (LEVE OU MÉDIA), PADRÃO MÉDIO 60X210CM, ESPESSURA DE 3CM, ITENS INCLUSOS: DOBRADIÇAS, MONTAGEM E INSTALAÇÃO DO BATENTE, SEM FECHADURA - FORNECIMENTO E INSTALAÇÃO. AF_08/2015</t>
  </si>
  <si>
    <t>KIT DE PORTA DE MADEIRA ALMOFADADA, SEMI-OCA (LEVE OU MÉDIA), PADRÃO POPULAR, 60X210CM, ESPESSURA DE 3CM, ITENS INCLUSOS: DOBRADIÇAS, MONTAGEM E INSTALAÇÃO DO BATENTE, SEM FECHADURA - FORNECIMENTO E INSTALAÇÃO. AF_08/2015</t>
  </si>
  <si>
    <t>KIT DE PORTA DE MADEIRA ALMOFADADA, SEMI-OCA (LEVE OU MÉDIA), PADRÃO MÉDIO, 80X210CM, ESPESSURA DE 3,5CM, ITENS INCLUSOS: DOBRADIÇAS, MONTAGEM E INSTALAÇÃO DO BATENTE, SEM FECHADURA - FORNECIMENTO E INSTALAÇÃO. AF_08/2015</t>
  </si>
  <si>
    <t>KIT DE PORTA DE MADEIRA ALMOFADADA, SEMI-OCA (LEVE OU MÉDIA), PADRÃO POPULAR, 80X210CM, ESPESSURA DE 3,5CM, ITENS INCLUSOS: DOBRADIÇAS, MONTAGEM E INSTALAÇÃO DO BATENTE, SEM FECHADURA - FORNECIMENTO E INSTALAÇÃO. AF_08/2015</t>
  </si>
  <si>
    <t>KIT DE PORTA DE MADEIRA TIPO VENEZIANA, SEMI-OCA (LEVE OU MÉDIA), PADRÃO MÉDIO, 80X210CM, ESPESSURA DE 3CM, ITENS INCLUSOS: DOBRADIÇAS, MONTAGEM E INSTALAÇÃO DO BATENTE, SEM FECHADURA - FORNECIMENTO E INSTALAÇÃO. AF_08/2015</t>
  </si>
  <si>
    <t>KIT DE PORTA DE MADEIRA TIPO VENEZIANA, SEMI-OCA (LEVE OU MÉDIA), PADRÃO POPULAR, 80X210CM, ESPESSURA DE 3CM, ITENS INCLUSOS: DOBRADIÇAS, MONTAGEM E INSTALAÇÃO DO BATENTE, SEM FECHADURA - FORNECIMENTO E INSTALAÇÃO. AF_08/2015</t>
  </si>
  <si>
    <t>KIT DE PORTA DE MADEIRA TIPO MEXICANA, SEMI-OCA (PESADA OU SUPERPESADA), PADRÃO MÉDIO, 80X210CM, ESPESSURA DE 3CM, ITENS INCLUSOS: DOBRADIÇAS, MONTAGEM E INSTALAÇÃO DO BATENTE, SEM FECHADURA - FORNECIMENTO E INSTALAÇÃO. AF_08/2015</t>
  </si>
  <si>
    <t>KIT DE PORTA DE MADEIRA TIPO MEXICANA, SEMI-OCA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</si>
  <si>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</si>
  <si>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</si>
  <si>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</si>
  <si>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</si>
  <si>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</si>
  <si>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</si>
  <si>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73933/1</t>
  </si>
  <si>
    <t>PORTA DE FERRO, DE ABRIR, TIPO GRADE COM CHAPA, 87X210CM, COM GUARNICOES</t>
  </si>
  <si>
    <t>73933/3</t>
  </si>
  <si>
    <t>73933/4</t>
  </si>
  <si>
    <t>PORTA DE FERRO DE ABRIR TIPO BARRA CHATA, COM REQUADRO E GUARNICAO COMPLETA</t>
  </si>
  <si>
    <t>74073/1</t>
  </si>
  <si>
    <t>74073/2</t>
  </si>
  <si>
    <t>74136/1</t>
  </si>
  <si>
    <t>74136/2</t>
  </si>
  <si>
    <t>74136/3</t>
  </si>
  <si>
    <t>PORTA DE ACO CHAPA 24, DE ENROLAR, RAIADA, LARGA COM ACABAMENTO GALVANIZADO NATURAL</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</si>
  <si>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</si>
  <si>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</si>
  <si>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</si>
  <si>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</si>
  <si>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</si>
  <si>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73932/1</t>
  </si>
  <si>
    <t>74195/1</t>
  </si>
  <si>
    <t>ESCADA TIPO MARINHEIRO EM ACO CA-50 9,52MM INCLUSO PINTURA COM FUNDO ANTICORROSIVO TIPO ZARCAO</t>
  </si>
  <si>
    <t>74072/1</t>
  </si>
  <si>
    <t>74072/2</t>
  </si>
  <si>
    <t>74072/3</t>
  </si>
  <si>
    <t>74194/1</t>
  </si>
  <si>
    <t>PORTA DE ALUMÍNIO DE ABRIR COM LAMBRI, COMM GUARNIÇÃO, FIXAÇÃO COM PARAFUSOS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</si>
  <si>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</si>
  <si>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</si>
  <si>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</si>
  <si>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</si>
  <si>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</si>
  <si>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</si>
  <si>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</si>
  <si>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</si>
  <si>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73736/1</t>
  </si>
  <si>
    <t>JOGO DE FERRAGENS CROMADAS PARA PORTA DE VIDRO TEMPERADO, UMA FOLHA COMPOSTO DE DOBRADICAS SUPERIOR E INFERIOR, TRINCO, FECHADURA, CONTRA FECHADURA COM CAPUCHINHO SEM MOLA E PUXADOR</t>
  </si>
  <si>
    <t>74046/2</t>
  </si>
  <si>
    <t>74047/2</t>
  </si>
  <si>
    <t>74084/1</t>
  </si>
  <si>
    <t>PORTA CADEADO ZINCADO OXIDADO PRETO COM CADEADO DE ACO INOX, LARGURA DE *50* 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</si>
  <si>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</si>
  <si>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</si>
  <si>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</si>
  <si>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73838/1</t>
  </si>
  <si>
    <t>PORTA DE VIDRO TEMPERADO, 0,9X2,10M, ESPESSURA 10MM, INCLUSIVE ACESSORIOS</t>
  </si>
  <si>
    <t>74125/1</t>
  </si>
  <si>
    <t>74125/2</t>
  </si>
  <si>
    <t>ESPELHO CRISTAL ESPESSURA 4MM, COM MOLDURA EM ALUMINIO E COMPENSADO 6MM PLASTIFICADO COLADO</t>
  </si>
  <si>
    <t>74100/1</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</si>
  <si>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</si>
  <si>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</si>
  <si>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</si>
  <si>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</si>
  <si>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</si>
  <si>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</si>
  <si>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</si>
  <si>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</si>
  <si>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</si>
  <si>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</si>
  <si>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</si>
  <si>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</si>
  <si>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</si>
  <si>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</si>
  <si>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</si>
  <si>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73908/2</t>
  </si>
  <si>
    <t>CANTONEIRA DE ALUMINIO 1"X1, PARA PROTECAO DE QUINA DE PAREDE</t>
  </si>
  <si>
    <t>74156/3</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</si>
  <si>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</si>
  <si>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</si>
  <si>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</si>
  <si>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</si>
  <si>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</si>
  <si>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</si>
  <si>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</si>
  <si>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</si>
  <si>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</si>
  <si>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</si>
  <si>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</si>
  <si>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</si>
  <si>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</si>
  <si>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</si>
  <si>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</si>
  <si>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</si>
  <si>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</si>
  <si>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</si>
  <si>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</si>
  <si>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</si>
  <si>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</si>
  <si>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</si>
  <si>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</si>
  <si>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</si>
  <si>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</si>
  <si>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</si>
  <si>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</si>
  <si>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</si>
  <si>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DE ESTACA METÁLICA, PERFIL LAMINADO TIPO I FAMÍLIA 250. AF_11/2016</t>
  </si>
  <si>
    <t>ARRASAMENTO DE ESTACA METÁLICA, PERFIL LAMINADO TIPO H FAMÍLIA 250. AF_11/2016</t>
  </si>
  <si>
    <t>ARRASAMENTO DE ESTACA METÁLICA, PERFIL LAMINADO TIPO H FAMÍLIA 310. AF_11/2016</t>
  </si>
  <si>
    <t>LASTRO DE CONCRETO, PREPARO MECÂNICO, INCLUSOS ADITIVO IMPERMEABILIZANTE, LANÇAMENTO E ADENSAMENTO</t>
  </si>
  <si>
    <t>74007/1</t>
  </si>
  <si>
    <t>74074/4</t>
  </si>
  <si>
    <t>74076/1</t>
  </si>
  <si>
    <t>74076/2</t>
  </si>
  <si>
    <t>74076/3</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</si>
  <si>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</si>
  <si>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</si>
  <si>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</si>
  <si>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</si>
  <si>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</si>
  <si>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</si>
  <si>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</si>
  <si>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</si>
  <si>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</si>
  <si>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</si>
  <si>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</si>
  <si>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</si>
  <si>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</si>
  <si>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</si>
  <si>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</si>
  <si>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</si>
  <si>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</si>
  <si>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</si>
  <si>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</si>
  <si>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</si>
  <si>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</si>
  <si>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</si>
  <si>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</si>
  <si>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</si>
  <si>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</si>
  <si>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</si>
  <si>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</si>
  <si>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</si>
  <si>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</si>
  <si>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</si>
  <si>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</si>
  <si>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</si>
  <si>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</si>
  <si>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</si>
  <si>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</si>
  <si>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</si>
  <si>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</si>
  <si>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</si>
  <si>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</si>
  <si>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</si>
  <si>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</si>
  <si>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</si>
  <si>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</si>
  <si>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</si>
  <si>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</si>
  <si>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</si>
  <si>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</si>
  <si>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</si>
  <si>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</si>
  <si>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</si>
  <si>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</si>
  <si>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</si>
  <si>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</si>
  <si>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</si>
  <si>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</si>
  <si>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</si>
  <si>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</si>
  <si>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</si>
  <si>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</si>
  <si>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</si>
  <si>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</si>
  <si>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</si>
  <si>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</si>
  <si>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</si>
  <si>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</si>
  <si>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</si>
  <si>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</si>
  <si>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</si>
  <si>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</si>
  <si>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</si>
  <si>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</si>
  <si>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</si>
  <si>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</si>
  <si>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</si>
  <si>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</si>
  <si>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</si>
  <si>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</si>
  <si>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</si>
  <si>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</si>
  <si>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</si>
  <si>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</si>
  <si>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</si>
  <si>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</si>
  <si>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</si>
  <si>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</si>
  <si>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</si>
  <si>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</si>
  <si>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</si>
  <si>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</si>
  <si>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</si>
  <si>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</si>
  <si>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</si>
  <si>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</si>
  <si>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</si>
  <si>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</si>
  <si>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</si>
  <si>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</si>
  <si>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</si>
  <si>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</si>
  <si>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</si>
  <si>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</si>
  <si>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</si>
  <si>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</si>
  <si>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</si>
  <si>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</si>
  <si>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</si>
  <si>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</si>
  <si>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</si>
  <si>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</si>
  <si>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</si>
  <si>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</si>
  <si>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</si>
  <si>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</si>
  <si>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</si>
  <si>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</si>
  <si>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</si>
  <si>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</si>
  <si>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</si>
  <si>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</si>
  <si>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</si>
  <si>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</si>
  <si>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</si>
  <si>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</si>
  <si>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</si>
  <si>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</si>
  <si>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</si>
  <si>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</si>
  <si>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</si>
  <si>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</si>
  <si>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</si>
  <si>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</si>
  <si>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</si>
  <si>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</si>
  <si>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</si>
  <si>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</si>
  <si>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</si>
  <si>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</si>
  <si>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</si>
  <si>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</si>
  <si>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</si>
  <si>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</si>
  <si>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</si>
  <si>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</si>
  <si>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</si>
  <si>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</si>
  <si>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</si>
  <si>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</si>
  <si>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</si>
  <si>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</si>
  <si>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</si>
  <si>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</si>
  <si>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</si>
  <si>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</si>
  <si>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</si>
  <si>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</si>
  <si>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</si>
  <si>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</si>
  <si>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73771/1</t>
  </si>
  <si>
    <t>73990/1</t>
  </si>
  <si>
    <t>73994/1</t>
  </si>
  <si>
    <t>ARMACAO EM TELA DE ACO SOLDADA NERVURADA Q-138, ACO CA-60, 4,2MM, MALHA 10X10CM</t>
  </si>
  <si>
    <t>79504/1</t>
  </si>
  <si>
    <t>79504/2</t>
  </si>
  <si>
    <t>79504/3</t>
  </si>
  <si>
    <t>79504/4</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</si>
  <si>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</si>
  <si>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</si>
  <si>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</si>
  <si>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</si>
  <si>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</si>
  <si>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</si>
  <si>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</si>
  <si>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</si>
  <si>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</si>
  <si>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</si>
  <si>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</si>
  <si>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</si>
  <si>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</si>
  <si>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</si>
  <si>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</si>
  <si>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</si>
  <si>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</si>
  <si>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</si>
  <si>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</si>
  <si>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</si>
  <si>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</si>
  <si>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</si>
  <si>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</si>
  <si>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</si>
  <si>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</si>
  <si>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</si>
  <si>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</si>
  <si>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</si>
  <si>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</si>
  <si>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</si>
  <si>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</si>
  <si>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</si>
  <si>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</si>
  <si>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</si>
  <si>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</si>
  <si>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</si>
  <si>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</si>
  <si>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</si>
  <si>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</si>
  <si>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</si>
  <si>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AF_12/2015_P</t>
  </si>
  <si>
    <t>ARMAÇÃO DE LAJE DE UMA ESTRUTURA CONVENCIONAL DE CONCRETO ARMADO EM UM EDIFÍCIO DE MÚLTIPLOS PAVIMENTOS UTILIZANDO AÇO CA-60 DE 5.0 MM - MONTAGEM. AF_12/2015_P</t>
  </si>
  <si>
    <t>ARMAÇÃO DE LAJE DE UMA ESTRUTURA CONVENCIONAL DE CONCRETO ARMADO EM UM EDIFÍCIO DE MÚLTIPLOS PAVIMENTOS UTILIZANDO AÇO CA-50 DE 6.3 MM - MONTAGEM. AF_12/2015_P</t>
  </si>
  <si>
    <t>ARMAÇÃO DE LAJE DE UMA ESTRUTURA CONVENCIONAL DE CONCRETO ARMADO EM UM EDIFÍCIO DE MÚLTIPLOS PAVIMENTOS UTILIZANDO AÇO CA-50 DE 8.0 MM - MONTAGEM. AF_12/2015_P</t>
  </si>
  <si>
    <t>ARMAÇÃO DE LAJE DE UMA ESTRUTURA CONVENCIONAL DE CONCRETO ARMADO EM UM EDIFÍCIO DE MÚLTIPLOS PAVIMENTOS UTILIZANDO AÇO CA-50 DE 10.0 MM - MONTAGEM. AF_12/2015_P</t>
  </si>
  <si>
    <t>ARMAÇÃO DE LAJE DE UMA ESTRUTURA CONVENCIONAL DE CONCRETO ARMADO EM UM EDIFÍCIO DE MÚLTIPLOS PAVIMENTOS UTILIZANDO AÇO CA-50 DE 12.5 MM - MONTAGEM. AF_12/2015_P</t>
  </si>
  <si>
    <t>ARMAÇÃO DE LAJE DE UMA ESTRUTURA CONVENCIONAL DE CONCRETO ARMADO EM UM EDIFÍCIO DE MÚLTIPLOS PAVIMENTOS UTILIZANDO AÇO CA-50 DE 16.0 MM - MONTAGEM. AF_12/2015_P</t>
  </si>
  <si>
    <t>ARMAÇÃO DE LAJE DE UMA ESTRUTURA CONVENCIONAL DE CONCRETO ARMADO EM UM EDIFÍCIO DE MÚLTIPLOS PAVIMENTOS UTILIZANDO AÇO CA-50 DE 20.0 MM - MONTAGEM. AF_12/2015_P</t>
  </si>
  <si>
    <t>ARMAÇÃO DE PILAR OU VIGA DE UMA ESTRUTURA CONVENCIONAL DE CONCRETO ARMADO EM UMA EDIFÍCAÇÃO TÉRREA OU SOBRADO UTILIZANDO AÇO CA-60 DE 5.0 MM - MONTAGEM. AF_12/2015</t>
  </si>
  <si>
    <t>ARMAÇÃO DE PILAR OU VIGA DE UMA ESTRUTURA CONVENCIONAL DE CONCRETO ARMADO EM UMA EDIFÍCAÇÃO TÉRREA OU SOBRADO UTILIZANDO AÇO CA-50 DE 6.3 MM - MONTAGEM. AF_12/2015</t>
  </si>
  <si>
    <t>ARMAÇÃO DE PILAR OU VIGA DE UMA ESTRUTURA CONVENCIONAL DE CONCRETO ARMADO EM UMA EDIFÍCAÇÃO TÉRREA OU SOBRADO UTILIZANDO AÇO CA-50 DE 8.0 MM - MONTAGEM. AF_12/2015</t>
  </si>
  <si>
    <t>ARMAÇÃO DE PILAR OU VIGA DE UMA ESTRUTURA CONVENCIONAL DE CONCRETO ARMADO EM UMA EDIFÍCAÇÃO TÉRREA OU SOBRADO UTILIZANDO AÇO CA-50 DE 10.0 MM - MONTAGEM. AF_12/2015</t>
  </si>
  <si>
    <t>ARMAÇÃO DE PILAR OU VIGA DE UMA ESTRUTURA CONVENCIONAL DE CONCRETO ARMADO EM UMA EDIFÍCAÇÃO TÉRREA OU SOBRADO UTILIZANDO AÇO CA-50 DE 12.5 MM - MONTAGEM. AF_12/2015</t>
  </si>
  <si>
    <t>ARMAÇÃO DE PILAR OU VIGA DE UMA ESTRUTURA CONVENCIONAL DE CONCRETO ARMADO EM UMA EDIFÍCAÇÃO TÉRREA OU SOBRADO UTILIZANDO AÇO CA-50 DE 16.0 MM - MONTAGEM. AF_12/2015</t>
  </si>
  <si>
    <t>ARMAÇÃO DE PILAR OU VIGA DE UMA ESTRUTURA CONVENCIONAL DE CONCRETO ARMADO EM UMA EDIFÍCAÇÃO TÉRREA OU SOBRADO UTILIZANDO AÇO CA-50 DE 20.0 MM - MONTAGEM. AF_12/2015</t>
  </si>
  <si>
    <t>ARMAÇÃO DE PILAR OU VIGA DE UMA ESTRUTURA CONVENCIONAL DE CONCRETO ARMADO EM UMA EDIFÍCAÇÃO TÉRREA OU SOBRADO UTILIZANDO AÇO CA-50 DE 25.0 MM - MONTAGEM. AF_12/2015</t>
  </si>
  <si>
    <t>ARMAÇÃO DE LAJE DE UMA ESTRUTURA CONVENCIONAL DE CONCRETO ARMADO EM UMA EDIFÍCAÇÃO TÉRREA OU SOBRADO UTILIZANDO AÇO CA-60 DE 4.2 MM - MONTAGEM. AF_12/2015_P</t>
  </si>
  <si>
    <t>ARMAÇÃO DE LAJE DE UMA ESTRUTURA CONVENCIONAL DE CONCRETO ARMADO EM UMA EDIFÍCAÇÃO TÉRREA OU SOBRADO UTILIZANDO AÇO CA-60 DE 5.0 MM - MONTAGEM. AF_12/2015_P</t>
  </si>
  <si>
    <t>ARMAÇÃO DE LAJE DE UMA ESTRUTURA CONVENCIONAL DE CONCRETO ARMADO EM UMA EDIFÍCAÇÃO TÉRREA OU SOBRADO UTILIZANDO AÇO CA-50 DE 6.3 MM - MONTAGEM. AF_12/2015_P</t>
  </si>
  <si>
    <t>ARMAÇÃO DE LAJE DE UMA ESTRUTURA CONVENCIONAL DE CONCRETO ARMADO EM UMA EDIFÍCAÇÃO TÉRREA OU SOBRADO UTILIZANDO AÇO CA-50 DE 8.0 MM - MONTAGEM. AF_12/2015_P</t>
  </si>
  <si>
    <t>ARMAÇÃO DE LAJE DE UMA ESTRUTURA CONVENCIONAL DE CONCRETO ARMADO EM UMA EDIFÍCAÇÃO TÉRREA OU SOBRADO UTILIZANDO AÇO CA-50 DE 10.0 MM - MONTAGEM. AF_12/2015_P</t>
  </si>
  <si>
    <t>ARMAÇÃO DE LAJE DE UMA ESTRUTURA CONVENCIONAL DE CONCRETO ARMADO EM UMA EDIFÍCAÇÃO TÉRREA OU SOBRADO UTILIZANDO AÇO CA-50 DE 12.5 MM - MONTAGEM. AF_12/2015_P</t>
  </si>
  <si>
    <t>ARMAÇÃO DE LAJE DE UMA ESTRUTURA CONVENCIONAL DE CONCRETO ARMADO EM UMA EDIFÍCAÇÃO TÉRREA OU SOBRADO UTILIZANDO AÇO CA-50 DE 16.0 MM - MONTAGEM. AF_12/2015_P</t>
  </si>
  <si>
    <t>ARMAÇÃO DE LAJE DE UMA ESTRUTURA CONVENCIONAL DE CONCRETO ARMADO EM UMA EDIFÍCAÇÃO TÉRREA OU SOBRADO UTILIZANDO AÇO CA-50 DE 20.0 MM - MONTAGEM. AF_12/2015_P</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</si>
  <si>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</si>
  <si>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</si>
  <si>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</si>
  <si>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</si>
  <si>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</si>
  <si>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</si>
  <si>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</si>
  <si>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</si>
  <si>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</si>
  <si>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</si>
  <si>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</si>
  <si>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</si>
  <si>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</si>
  <si>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</si>
  <si>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</si>
  <si>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</si>
  <si>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ARMAÇÃO DE ESTRUTURAS DE CONCRETO ARMADO, EXCETO VIGAS, PILARES, LAJES E FUNDAÇÕES PROFUNDAS (DE EDIFÍCIOS DE MÚLTIPLOS PAVIMENTOS, EDIFICAÇÃO TÉRREA OU SOBRADO), UTILIZANDO AÇO CA-60 DE 5.0 MM - MONTAGEM. AF_12/2015</t>
  </si>
  <si>
    <t>ARMAÇÃO DE ESTRUTURAS DE CONCRETO ARMADO, EXCETO VIGAS, PILARES, LAJES E FUNDAÇÕES PROFUNDAS (DE EDIFÍCIOS DE MÚLTIPLOS PAVIMENTOS, EDIFICAÇÃO TÉRREA OU SOBRADO), UTILIZANDO AÇO CA-50 DE 6.3 MM - MONTAGEM. AF_12/2015</t>
  </si>
  <si>
    <t>ARMAÇÃO DE ESTRUTURAS DE CONCRETO ARMADO, EXCETO VIGAS, PILARES, LAJES E FUNDAÇÕES PROFUNDAS (DE EDIFÍCIOS DE MÚLTIPLOS PAVIMENTOS, EDIFICAÇÃO TÉRREA OU SOBRADO), UTILIZANDO AÇO CA-50 DE 8.0 MM - MONTAGEM. AF_12/2015</t>
  </si>
  <si>
    <t>ARMAÇÃO DE ESTRUTURAS DE CONCRETO ARMADO, EXCETO VIGAS, PILARES, LAJES E FUNDAÇÕES PROFUNDAS (DE EDIFÍCIOS DE MÚLTIPLOS PAVIMENTOS, EDIFICAÇÃO TÉRREA OU SOBRADO), UTILIZANDO AÇO CA-50 DE 10.0 MM - MONTAGEM. AF_12/2015</t>
  </si>
  <si>
    <t>ARMAÇÃO DE ESTRUTURAS DE CONCRETO ARMADO, EXCETO VIGAS, PILARES, LAJES E FUNDAÇÕES PROFUNDAS (DE EDIFÍCIOS DE MÚLTIPLOS PAVIMENTOS, EDIFICAÇÃO TÉRREA OU SOBRADO), UTILIZANDO AÇO CA-50 DE 12.5 MM - MONTAGEM. AF_12/2015</t>
  </si>
  <si>
    <t>ARMAÇÃO DE ESTRUTURAS DE CONCRETO ARMADO, EXCETO VIGAS, PILARES, LAJES E FUNDAÇÕES PROFUNDAS (DE EDIFÍCIOS DE MÚLTIPLOS PAVIMENTOS, EDIFICAÇÃO TÉRREA OU SOBRADO), UTILIZANDO AÇO CA-50 DE 16.0 MM - MONTAGEM. AF_12/2015</t>
  </si>
  <si>
    <t>ARMAÇÃO DE ESTRUTURAS DE CONCRETO ARMADO, EXCETO VIGAS, PILARES, LAJES E FUNDAÇÕES PROFUNDAS (DE EDIFÍCIOS DE MÚLTIPLOS PAVIMENTOS, EDIFICAÇÃO TÉRREA OU SOBRADO), UTILIZANDO AÇO CA-50 DE 20.0 MM - MONTAGEM. AF_12/2015</t>
  </si>
  <si>
    <t>ARMAÇÃO DE ESTRUTURAS DE CONCRETO ARMADO, EXCETO VIGAS, PILARES, LAJES E FUNDAÇÕES PROFUNDAS (DE EDIFÍCIOS DE MÚLTIPLOS PAVIMENTOS, EDIFICAÇÃO TÉRREA OU SOBRADO),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</si>
  <si>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</si>
  <si>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</si>
  <si>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8,0 MM. AF_11/2016</t>
  </si>
  <si>
    <t>MONTAGEM DE ARMADURA LONGITUDINAL DE ESTACAS DE SEÇÃO CIRCULAR, DIÂMETRO = 10,0 MM. AF_11/2016</t>
  </si>
  <si>
    <t>MONTAGEM DE ARMADURA LONGITUDINAL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</si>
  <si>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</si>
  <si>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</si>
  <si>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</si>
  <si>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</si>
  <si>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</si>
  <si>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8,0 MM. AF_11/2016</t>
  </si>
  <si>
    <t>MONTAGEM DE ARMADURA LONGITUDINAL DE ESTACAS DE SEÇÃO RETANGULAR (BARRETE), DIÂMETRO = 10,0 MM. AF_11/2016</t>
  </si>
  <si>
    <t>MONTAGEM DE ARMADURA LONGITUDINAL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</si>
  <si>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</si>
  <si>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</si>
  <si>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</si>
  <si>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</si>
  <si>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</si>
  <si>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</si>
  <si>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</si>
  <si>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</si>
  <si>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</si>
  <si>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</si>
  <si>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</si>
  <si>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74157/4</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</si>
  <si>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</si>
  <si>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</si>
  <si>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</si>
  <si>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</si>
  <si>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</si>
  <si>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</si>
  <si>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</si>
  <si>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</si>
  <si>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</si>
  <si>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</si>
  <si>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</si>
  <si>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</si>
  <si>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</si>
  <si>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</si>
  <si>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</si>
  <si>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</si>
  <si>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</si>
  <si>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</si>
  <si>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</si>
  <si>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</si>
  <si>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</si>
  <si>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</si>
  <si>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</si>
  <si>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</si>
  <si>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</si>
  <si>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</si>
  <si>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</si>
  <si>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</si>
  <si>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</si>
  <si>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</si>
  <si>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</si>
  <si>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</si>
  <si>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</si>
  <si>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</si>
  <si>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</si>
  <si>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</si>
  <si>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</si>
  <si>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</si>
  <si>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</si>
  <si>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</si>
  <si>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</si>
  <si>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</si>
  <si>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</si>
  <si>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</si>
  <si>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</si>
  <si>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</si>
  <si>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</si>
  <si>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</si>
  <si>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</si>
  <si>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</si>
  <si>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</si>
  <si>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</si>
  <si>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</si>
  <si>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</si>
  <si>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</si>
  <si>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</si>
  <si>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</si>
  <si>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</si>
  <si>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</si>
  <si>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</si>
  <si>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</si>
  <si>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</si>
  <si>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</si>
  <si>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</si>
  <si>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</si>
  <si>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</si>
  <si>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</si>
  <si>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</si>
  <si>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</si>
  <si>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73817/2</t>
  </si>
  <si>
    <t>74078/1</t>
  </si>
  <si>
    <t>73898/1</t>
  </si>
  <si>
    <t>74121/1</t>
  </si>
  <si>
    <t>JUNTA DE DILATACAO PARA IMPERMEABILIZACAO, COM SELANTE ELASTICO MONOCOMPONENTE A BASE DE POLIURETANO, DIMENSOES 1X1CM.</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</si>
  <si>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</si>
  <si>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</si>
  <si>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</si>
  <si>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</si>
  <si>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</si>
  <si>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</si>
  <si>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</si>
  <si>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</si>
  <si>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</si>
  <si>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</si>
  <si>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</si>
  <si>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</si>
  <si>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</si>
  <si>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</si>
  <si>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</si>
  <si>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</si>
  <si>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</si>
  <si>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74144/2</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</si>
  <si>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</si>
  <si>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</si>
  <si>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</si>
  <si>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</si>
  <si>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</si>
  <si>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</si>
  <si>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</si>
  <si>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IMPERMEABILIZACAO DE SUPERFICIE COM ARGAMASSA DE CIMENTO E AREIA (MEDIA), TRACO 1:3, COM ADITIVO IMPERMEABILIZANTE, E=2CM.</t>
  </si>
  <si>
    <t>IMPERMEABILIZACAO DE SUPERFICIE COM ARGAMASSA DE CIMENTO E AREIA, TRACO 1:3, COM ADITIVO IMPERMEABILIZANTE, E=3 CM</t>
  </si>
  <si>
    <t>IMPERMEABILIZACAO DE SUPERFICIE COM ARGAMASSA DE CIMENTO E AREIA, TRACO 1:3, COM ADITIVO IMPERMEABILIZANTE, E=1,5 CM</t>
  </si>
  <si>
    <t>IMPERMEABILIZACAO DE SUPERFICIE COM ARGAMASSA DE CIMENTO E AREIA (GROSSA), TRACO 1:4, COM ADITIVO IMPERMEABILIZANTE, E=2 CM</t>
  </si>
  <si>
    <t>FORNECIMENTO/INSTALACAO LONA PLASTICA PRETA, PARA IMPERMEABILIZACAO, ESPESSURA 150 MICRAS.</t>
  </si>
  <si>
    <t>73753/1</t>
  </si>
  <si>
    <t>IMPERMEABILIZACAO DE SUPERFICIE COM MANTA ASFALTICA PROTEGIDA COM FILME DE ALUMINIO GOFRADO (DE ESPESSURA 0,8MM), INCLUSA APLICACAO DE  EMULSAO ASFALTICA, E=3MM.</t>
  </si>
  <si>
    <t>74033/1</t>
  </si>
  <si>
    <t>IMPERMEABILIZACAO DE SUPERFICIE COM GEOMEMBRANA (MANTA TERMOPLASTICA LISA) TIPO PEAD, E=2MM.</t>
  </si>
  <si>
    <t>IMPERMEABILIZACAO DE SUPERFICIE COM MANTA ASFALTICA (COM POLIMEROS TIPO APP), E=3 MM</t>
  </si>
  <si>
    <t>IMPERMEABILIZACAO DE SUPERFICIE COM MANTA ASFALTICA (COM POLIMEROS TIPO APP), E=4 MM</t>
  </si>
  <si>
    <t>73929/1</t>
  </si>
  <si>
    <t>73929/4</t>
  </si>
  <si>
    <t>IMPERMEABILIZACAO DE CALHAS/LAJES DESCOBERTAS, COM EMULSAO ASFALTICA COM ELASTOMEROS, 3 DEMAOS</t>
  </si>
  <si>
    <t>IMPERMEABILIZACAO DE SUPERFICIE COM REVESTIMENTO BICOMPONENTE SEMI FLEXIVEL.</t>
  </si>
  <si>
    <t>73762/2</t>
  </si>
  <si>
    <t>IMPERMEABILIZACAO DE SUPERFICIE COM ADESIVO LIQUIDO SOBRE CIMENTO CRISTALIZANTE, INCLUSO VEU DE FIBRA DE VIDRO.</t>
  </si>
  <si>
    <t>73762/4</t>
  </si>
  <si>
    <t>IMPERMEABILIZACAO DE SUPERFICIE COM ASFALTO ELASTOMERICO, INCLUSOS PRIMER E VEU DE FIBRA DE VIDRO.</t>
  </si>
  <si>
    <t>74066/2</t>
  </si>
  <si>
    <t>74106/1</t>
  </si>
  <si>
    <t>JUNTA DE DILATACAO PARA IMPERMEABILIZACAO, COM ASFALTO OXIDADO APLICADO A QUENTE, DIMENSOES 2X2 CM</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</si>
  <si>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</si>
  <si>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</si>
  <si>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</si>
  <si>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</si>
  <si>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</si>
  <si>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</si>
  <si>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</si>
  <si>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</si>
  <si>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</si>
  <si>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</si>
  <si>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</si>
  <si>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</si>
  <si>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</si>
  <si>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</si>
  <si>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</si>
  <si>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</si>
  <si>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</si>
  <si>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</si>
  <si>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</si>
  <si>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</si>
  <si>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</si>
  <si>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</si>
  <si>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</si>
  <si>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</si>
  <si>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</si>
  <si>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</si>
  <si>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</si>
  <si>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</si>
  <si>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</si>
  <si>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</si>
  <si>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</si>
  <si>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</si>
  <si>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</si>
  <si>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</si>
  <si>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</si>
  <si>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</si>
  <si>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</si>
  <si>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</si>
  <si>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</si>
  <si>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</si>
  <si>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</si>
  <si>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</si>
  <si>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</si>
  <si>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</si>
  <si>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</si>
  <si>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</si>
  <si>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</si>
  <si>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</si>
  <si>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</si>
  <si>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</si>
  <si>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</si>
  <si>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</si>
  <si>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</si>
  <si>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</si>
  <si>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</si>
  <si>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</si>
  <si>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</si>
  <si>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</si>
  <si>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</si>
  <si>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</si>
  <si>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</si>
  <si>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</si>
  <si>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</si>
  <si>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</si>
  <si>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</si>
  <si>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</si>
  <si>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</si>
  <si>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</si>
  <si>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</si>
  <si>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</si>
  <si>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</si>
  <si>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</si>
  <si>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</si>
  <si>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</si>
  <si>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</si>
  <si>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</si>
  <si>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</si>
  <si>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</si>
  <si>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</si>
  <si>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</si>
  <si>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</si>
  <si>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</si>
  <si>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</si>
  <si>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</si>
  <si>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</si>
  <si>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</si>
  <si>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</si>
  <si>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</si>
  <si>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</si>
  <si>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</si>
  <si>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</si>
  <si>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</si>
  <si>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</si>
  <si>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</si>
  <si>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</si>
  <si>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</si>
  <si>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</si>
  <si>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</si>
  <si>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</si>
  <si>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</si>
  <si>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</si>
  <si>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</si>
  <si>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</si>
  <si>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</si>
  <si>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</si>
  <si>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</si>
  <si>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</si>
  <si>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</si>
  <si>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</si>
  <si>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</si>
  <si>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</si>
  <si>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</si>
  <si>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</si>
  <si>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</si>
  <si>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</si>
  <si>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</si>
  <si>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</si>
  <si>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</si>
  <si>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</si>
  <si>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</si>
  <si>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</si>
  <si>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</si>
  <si>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</si>
  <si>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</si>
  <si>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</si>
  <si>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</si>
  <si>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</si>
  <si>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</si>
  <si>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</si>
  <si>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</si>
  <si>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</si>
  <si>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</si>
  <si>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</si>
  <si>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</si>
  <si>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</si>
  <si>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</si>
  <si>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</si>
  <si>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</si>
  <si>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</si>
  <si>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</si>
  <si>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</si>
  <si>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</si>
  <si>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</si>
  <si>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</si>
  <si>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</si>
  <si>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</si>
  <si>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</si>
  <si>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</si>
  <si>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</si>
  <si>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</si>
  <si>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</si>
  <si>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</si>
  <si>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</si>
  <si>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</si>
  <si>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</si>
  <si>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</si>
  <si>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</si>
  <si>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</si>
  <si>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FLEXÍVEL ISOLADO, 300 MM², ANTI-CHAMA 450/750 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</si>
  <si>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</si>
  <si>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</si>
  <si>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</si>
  <si>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</si>
  <si>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</si>
  <si>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</si>
  <si>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</si>
  <si>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</si>
  <si>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</si>
  <si>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</si>
  <si>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</si>
  <si>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</si>
  <si>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</si>
  <si>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</si>
  <si>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</si>
  <si>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</si>
  <si>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</si>
  <si>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</si>
  <si>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</si>
  <si>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</si>
  <si>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</si>
  <si>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</si>
  <si>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</si>
  <si>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</si>
  <si>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</si>
  <si>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</si>
  <si>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</si>
  <si>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</si>
  <si>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</si>
  <si>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</si>
  <si>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</si>
  <si>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</si>
  <si>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</si>
  <si>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</si>
  <si>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</si>
  <si>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</si>
  <si>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</si>
  <si>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</si>
  <si>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</si>
  <si>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</si>
  <si>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</si>
  <si>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</si>
  <si>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</si>
  <si>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</si>
  <si>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DISJUNTOR BAIXA TENSAO TRIPOLAR A SECO  800A/600V, INCLUSIVE ELETROTÉCNICO</t>
  </si>
  <si>
    <t>74052/5</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</si>
  <si>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</si>
  <si>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</si>
  <si>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</si>
  <si>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</si>
  <si>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</si>
  <si>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</si>
  <si>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</si>
  <si>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</si>
  <si>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</si>
  <si>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</si>
  <si>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</si>
  <si>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</si>
  <si>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</si>
  <si>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</si>
  <si>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</si>
  <si>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</si>
  <si>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</si>
  <si>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</si>
  <si>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</si>
  <si>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</si>
  <si>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</si>
  <si>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74131/4</t>
  </si>
  <si>
    <t>74131/5</t>
  </si>
  <si>
    <t>74131/6</t>
  </si>
  <si>
    <t>74131/7</t>
  </si>
  <si>
    <t>74131/8</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</si>
  <si>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</si>
  <si>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</si>
  <si>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</si>
  <si>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</si>
  <si>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</si>
  <si>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</si>
  <si>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</si>
  <si>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</si>
  <si>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</si>
  <si>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</si>
  <si>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</si>
  <si>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</si>
  <si>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</si>
  <si>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</si>
  <si>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</si>
  <si>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</si>
  <si>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</si>
  <si>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</si>
  <si>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</si>
  <si>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</si>
  <si>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</si>
  <si>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</si>
  <si>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</si>
  <si>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</si>
  <si>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</si>
  <si>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</si>
  <si>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</si>
  <si>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</si>
  <si>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</si>
  <si>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</si>
  <si>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</si>
  <si>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</si>
  <si>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</si>
  <si>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</si>
  <si>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</si>
  <si>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</si>
  <si>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</si>
  <si>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</si>
  <si>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</si>
  <si>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</si>
  <si>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</si>
  <si>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</si>
  <si>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</si>
  <si>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</si>
  <si>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</si>
  <si>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</si>
  <si>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</si>
  <si>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</si>
  <si>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</si>
  <si>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</si>
  <si>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</si>
  <si>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</si>
  <si>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</si>
  <si>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</si>
  <si>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</si>
  <si>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</si>
  <si>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</si>
  <si>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</si>
  <si>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</si>
  <si>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</si>
  <si>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</si>
  <si>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</si>
  <si>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</si>
  <si>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</si>
  <si>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73953/1</t>
  </si>
  <si>
    <t>LUMINARIA TIPO CALHA, DE SOBREPOR, COM REATOR DE PARTIDA RAPIDA E LAMPADA FLUORESCENTE 1X20W, COMPLETA,  FORNECIMENTO E INSTALACAO</t>
  </si>
  <si>
    <t>73953/2</t>
  </si>
  <si>
    <t>LUMINARIA TIPO CALHA, DE SOBREPOR, COM REATOR DE PARTIDA RAPIDA E LAMPADA FLUORESCENTE 2X20W, COMPLETA, FORNECIMENTO E INSTALACAO</t>
  </si>
  <si>
    <t>73953/4</t>
  </si>
  <si>
    <t>LUMINÁRIAS TIPO CALHA, DE SOBREPOR, COM REATORES DE PARTIDA RÁPIDA E LÂMPADAS FLUORESCENTES 2X2X18W, COMPLETAS, FORNECIMENTO E INSTALAÇÃO</t>
  </si>
  <si>
    <t>73953/5</t>
  </si>
  <si>
    <t>LUMINARIA TIPO CALHA, DE SOBREPOR, COM REATOR DE PARTIDA RAPIDA E LAMPADA FLUORESCENTE 1X40W, COMPLETA, FORNECIMENTO E INSTALACAO</t>
  </si>
  <si>
    <t>73953/6</t>
  </si>
  <si>
    <t>LUMINARIA TIPO CALHA, DE SOBREPOR, COM REATOR DE PARTIDA RAPIDA E LAMPADA FLUORESCENTE 2X40W, COMPLETA, FORNECIMENTO E INSTALACAO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</si>
  <si>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</si>
  <si>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</si>
  <si>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</si>
  <si>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</si>
  <si>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74041/1</t>
  </si>
  <si>
    <t>74041/2</t>
  </si>
  <si>
    <t>74082/1</t>
  </si>
  <si>
    <t>REFLETOR REDONDO EM ALUMINIO COM SUPORTE E ALCA REGULAVEL PARA FIXACAO, COM LAMPADA VAPOR DE MERCURIO 250W</t>
  </si>
  <si>
    <t>74094/1</t>
  </si>
  <si>
    <t>REATOR PARA LAMPADA FLUORESCENTE 2X40W PARTIDA RAPIDA FORNECIMENTO E INSTALACAO</t>
  </si>
  <si>
    <t>REATOR PARA LAMPADA FLUORESCENTE 1X20W PARTIDA RAPIDA FORNECIMENTO E INSTALACAO</t>
  </si>
  <si>
    <t>REATOR PARA LAMPADA FLUORESCENTE 1X40W PARTIDA RAPIDA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</si>
  <si>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</si>
  <si>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</si>
  <si>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</si>
  <si>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</si>
  <si>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</si>
  <si>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ENTRADA DE ENERGIA ELÉTRICA AÉREA MONOFÁSICA 50A COM POSTE DE CONCRETO, INCLUSIVE CABEAMENTO, CAIXA DE PROTEÇÃO PARA MEDIDOR E ATERRAMENTO.</t>
  </si>
  <si>
    <t>ENTRADA PROVISORIA DE ENERGIA ELETRICA AEREA TRIFASICA 40A EM POSTE MADEIRA</t>
  </si>
  <si>
    <t>APARELHO SINALIZADOR DE SAIDA DE GARAGEM, COM CELULA FOTOELETRICA - FORNECIMENTO E INSTALACAO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</si>
  <si>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</si>
  <si>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</si>
  <si>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</si>
  <si>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</si>
  <si>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</si>
  <si>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</si>
  <si>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</si>
  <si>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</si>
  <si>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</si>
  <si>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</si>
  <si>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</si>
  <si>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</si>
  <si>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</si>
  <si>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</si>
  <si>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</si>
  <si>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</si>
  <si>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</si>
  <si>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73783/1</t>
  </si>
  <si>
    <t>73783/3</t>
  </si>
  <si>
    <t>73783/5</t>
  </si>
  <si>
    <t>73783/6</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</si>
  <si>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</si>
  <si>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</si>
  <si>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</si>
  <si>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</si>
  <si>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</si>
  <si>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</si>
  <si>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</si>
  <si>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</si>
  <si>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</si>
  <si>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</si>
  <si>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</si>
  <si>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</si>
  <si>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</si>
  <si>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</si>
  <si>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</si>
  <si>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</si>
  <si>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</si>
  <si>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</si>
  <si>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</si>
  <si>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</si>
  <si>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</si>
  <si>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</si>
  <si>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</si>
  <si>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</si>
  <si>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</si>
  <si>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</si>
  <si>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</si>
  <si>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</si>
  <si>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</si>
  <si>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FLANGEADO, H=9M - FORNECIMENTO E INSTALACAO</t>
  </si>
  <si>
    <t>73855/1</t>
  </si>
  <si>
    <t>REATOR PARA LAMPADA VAPOR DE SODIO ALTA PRESSAO - 220V/250W - USO EXTERNO</t>
  </si>
  <si>
    <t>73831/1</t>
  </si>
  <si>
    <t>73831/2</t>
  </si>
  <si>
    <t>73831/3</t>
  </si>
  <si>
    <t>73831/4</t>
  </si>
  <si>
    <t>73831/5</t>
  </si>
  <si>
    <t>73831/6</t>
  </si>
  <si>
    <t>73831/7</t>
  </si>
  <si>
    <t>73831/8</t>
  </si>
  <si>
    <t>73831/9</t>
  </si>
  <si>
    <t>74231/1</t>
  </si>
  <si>
    <t>LUMINARIA ABERTA PARA ILUMINACAO PUBLICA, PARA LAMPADA A VAPOR DE MERCURIO ATE 400W E MISTA ATE 500W, COM BRACO EM TUBO DE ACO GALV D=50MM PROJ HOR=2.500MM E PROJ VERT= 2.200MM, FORNECIMENTO E INSTALACAO</t>
  </si>
  <si>
    <t>74246/1</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</si>
  <si>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</si>
  <si>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</si>
  <si>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</si>
  <si>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LUMINARIA FECHADA PARA ILUMINACAO PUBLICA - LAMPADAS DE 250/500W - FORNECIMENTO E INSTALACAO (EXCLUINDO LAMPADAS)</t>
  </si>
  <si>
    <t>LUMINARIA ESTANQUE - PROTECAO CONTRA AGUA, POEIRA OU IMPACTOS - TIPO AQUATIC PIAL OU EQUIVALENTE</t>
  </si>
  <si>
    <t>73857/1</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</si>
  <si>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</si>
  <si>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</si>
  <si>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</si>
  <si>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</si>
  <si>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</si>
  <si>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</si>
  <si>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</si>
  <si>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</si>
  <si>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</si>
  <si>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</si>
  <si>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</si>
  <si>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</si>
  <si>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</si>
  <si>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73857/10</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</si>
  <si>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</si>
  <si>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</si>
  <si>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</si>
  <si>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</si>
  <si>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</si>
  <si>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</si>
  <si>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</si>
  <si>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</si>
  <si>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</si>
  <si>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</si>
  <si>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HASTE COPPERWELD 5/8 X 3,0M COM CONECTOR</t>
  </si>
  <si>
    <t>HASTE DE ATERRAMENTO EM AÇO COM 3,00 M DE COMPRIMENTO E DN = 5/8" REVESTIDA COM BAIXA CAMADA DE COBRE, SEM CONECTOR</t>
  </si>
  <si>
    <t>MASTRO SIMPLES DE FERRO GALVANIZADO P/ PARA-RAIOS H=3,00M INCLUINDO BASE - FORNECIMENTO E INSTALACAO</t>
  </si>
  <si>
    <t>CHUVEIRO ELETRICO COMUM CORPO PLASTICO TIPO DUCHA, FORNECIMENTO E INSTALACAO</t>
  </si>
  <si>
    <t>CHAVE SECCIONADORA TRIPOLAR, ABERTURA SOB CARGA, COM FUSÍVEIS NH - 100A/250V - FORNECIMENTO E INSTALACAO</t>
  </si>
  <si>
    <t>CHAVE SECCIONADORA TRIPOLAR, ABERTURA SOB CARGA, COM FUSÍVEIS NH - 200A/250V</t>
  </si>
  <si>
    <t>FUSÍVEL TIPO "DIAZED", TIPO RÁPIDO OU RETARDADO - 35/63A - FORNECIMENTO E INSTALACAO</t>
  </si>
  <si>
    <t>73780/1</t>
  </si>
  <si>
    <t>CHAVE FUSIVEL UNIPOLAR, 15KV - 100A, EQUIPADA COM COMANDO PARA HASTE DE MANOBRA .       FORNECIMENTO E INSTALAÇÃO.</t>
  </si>
  <si>
    <t>73780/2</t>
  </si>
  <si>
    <t>73780/3</t>
  </si>
  <si>
    <t>73780/4</t>
  </si>
  <si>
    <t>CHAVE GUARDA MOTOR TRIFASICO 5CV/220V C/ CHAVE MAGNETICA - FORNECIMENTO E INSTALACAO</t>
  </si>
  <si>
    <t>CHAVE GUARDA MOTOR TRIFISICA 10CV/220V C/ CHAVE MAGNETICA - FORNECIMENTO E INSTALACAO</t>
  </si>
  <si>
    <t>ABRIGO PARA HIDRANTE, 75X45X17CM, COM REGISTRO GLOBO ANGULAR 45º 2.1/2", ADAPTADOR STORZ 2.1/2", MANGUEIRA DE INCÊNDIO 15M, REDUÇÃO 2.1/2X1.1/2" E ESGUICHO EM LATÃO 1.1/2" - FORNECIMENTO E INSTALAÇÃO</t>
  </si>
  <si>
    <t>ABRIGO PARA HIDRANTE, 90X60X17CM, COM REGISTRO GLOBO ANGULAR 45º 2.1/2", ADAPTADOR STORZ 2.1/2", MANGUEIRA DE INCÊNDIO 20M, REDUÇÃO 2.1/2X1.1/2" E ESGUICHO EM LATÃO 1.1/2" - FORNECIMENTO E INSTALAÇÃO</t>
  </si>
  <si>
    <t>73775/1</t>
  </si>
  <si>
    <t>73775/2</t>
  </si>
  <si>
    <t>EXTINTOR INCENDIO AGUA-PRESSURIZADA 10L INCL SUPORTE PAREDE CARGA     COMPLETA FORNECIMENTO E COLOCACAO</t>
  </si>
  <si>
    <t>EXTINTOR INCENDIO TP GAS CARBONICO 4KG COMPLETO - FORNECIMENTO E INSTALACAO</t>
  </si>
  <si>
    <t>TOMADA PARA TELEFONE DE 4 POLOS PADRAO TELEBRAS - FORNECIMENTO E INSTALACAO</t>
  </si>
  <si>
    <t>CABO TELEFONICO CTP-APL-50, 30 PARES (USO EXTERNO) - FORNECIMENTO E INSTALACAO</t>
  </si>
  <si>
    <t>CABO TELEFONICO CTP-APL-50, 20 PARES (USO EXTERNO) - FORNECIMENTO E INSTALACAO</t>
  </si>
  <si>
    <t>CABO TELEFONICO CTP-APL-50, 10 PARES (USO EXTERNO) - FORNECIMENTO E INSTALACAO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</si>
  <si>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</si>
  <si>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</si>
  <si>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</si>
  <si>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</si>
  <si>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</si>
  <si>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</si>
  <si>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73768/1</t>
  </si>
  <si>
    <t>FIO TELEFONICO FI 0,6MM, 2 CONDUTORES (USO INTERNO)-  FORNECIMENTO E INSTALACAO</t>
  </si>
  <si>
    <t>73768/2</t>
  </si>
  <si>
    <t>73768/3</t>
  </si>
  <si>
    <t>CABO TELEFONICO CI-50 10 PARES (USO INTERNO) - FORNECIMENTO E INSTALACAO</t>
  </si>
  <si>
    <t>73768/4</t>
  </si>
  <si>
    <t>CABO TELEFONICO CI-50 20PARES (USO INTERNO) - FORNECIMENTO E INSTALACAO</t>
  </si>
  <si>
    <t>73768/5</t>
  </si>
  <si>
    <t>CABO TELEFONICO CI-50 30PARES (USO INTERNO) - FORNECIMENTO E INSTALACAO</t>
  </si>
  <si>
    <t>73768/6</t>
  </si>
  <si>
    <t>CABO TELEFONICO CI-50 50PARES (USO INTERNO) - FORNECIMENTO E INSTALACAO</t>
  </si>
  <si>
    <t>73768/7</t>
  </si>
  <si>
    <t>CABO TELEFONICO CI-50 75 PARES (USO INTERNO) - FORNECIMENTO E INSTALACAO</t>
  </si>
  <si>
    <t>73768/8</t>
  </si>
  <si>
    <t>CABO TELEFONICO CI-50 200 PARES (USO INTERNO) - FORNECIMENTO E INSTALACAO</t>
  </si>
  <si>
    <t>73768/9</t>
  </si>
  <si>
    <t>73768/10</t>
  </si>
  <si>
    <t>CABO TELEFONICO CCI-50 2 PARES (USO INTERNO) - FORNECIMENTO E INSTALACAO</t>
  </si>
  <si>
    <t>73768/11</t>
  </si>
  <si>
    <t>CABO TELEFONICO CCI-50 3 PARES (USO INTERNO) - FORNECIMENTO E INSTALACAO</t>
  </si>
  <si>
    <t>73768/12</t>
  </si>
  <si>
    <t>CABO TELEFONICO CCI-50 4 PARES (USO INTERNO) - FORNECIMENTO E INSTALACAO</t>
  </si>
  <si>
    <t>73768/13</t>
  </si>
  <si>
    <t>CABO TELEFONICO CCI-50 5 PARES (USO INTERNO) - FORNECIMENTO E INSTALACAO</t>
  </si>
  <si>
    <t>73768/14</t>
  </si>
  <si>
    <t>CABO TELEFONICO CCI-50 6 PARES  (USO INTERNO) - FORNECIMENTO E INSTALACAO</t>
  </si>
  <si>
    <t>CAIXA DE PASSAGEM PARA TELEFONE 10X10X5CM (SOBREPOR) FORNECIMENTO E INSTALACAO</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</si>
  <si>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</si>
  <si>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</si>
  <si>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</si>
  <si>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</si>
  <si>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</si>
  <si>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</si>
  <si>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</si>
  <si>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</si>
  <si>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74003/1</t>
  </si>
  <si>
    <t>INSTALACOES GAS CENTRAL P/ EDIFICIO RESIDENCIAL C/ 4 PAVTOS 16 UNID.  UMA CENTRAL POR BLOCO COM 16 PONTOS</t>
  </si>
  <si>
    <t>MANOMETRO 0 A 200 PSI (0 A 14 KGF/CM2), D = 50MM - FORNECIMENTO E COLOCACAO</t>
  </si>
  <si>
    <t>BOMBA SUBMERSIVEL ELETRICA, TRIFASICA, POTÊNCIA 3,75 HP, DIAMETRO DO ROTOR 90 MM SEMIABERTO, BOCAL DE SAIDA DIAMETRO DE 2 POLEGADAS, HM/Q = 5 M / 61,2 M3/H A 25,5 M / 3,6 M3/H</t>
  </si>
  <si>
    <t>73976/4</t>
  </si>
  <si>
    <t>TUBO DE AÇO GALVANIZADO COM COSTURA 1" (25MM), INCLUSIVE CONEXOES - FORNECIMENTO E INSTALACAO</t>
  </si>
  <si>
    <t>73976/10</t>
  </si>
  <si>
    <t>TUBO DE AÇO GALVANIZADO COM COSTURA 4" (100MM), INCLUSIVE CONEXOES - FORNECIMENTO E INSTALACAO</t>
  </si>
  <si>
    <t>73976/11</t>
  </si>
  <si>
    <t>TUBO DE AÇO GALVANIZADO COM COSTURA 6" (150MM), INCLUSIVE CONEXÕES - INSTALAÇÃO</t>
  </si>
  <si>
    <t>75027/4</t>
  </si>
  <si>
    <t>TUBO DE AÇO PRETO 4" SEM COSTURA SCHEDULE 40/NBR 5590, INCLUSIVE CONEXOES - FORNECIMENTO E INSTALACAO</t>
  </si>
  <si>
    <t>75027/5</t>
  </si>
  <si>
    <t>TUBO DE AÇO PRETO 6" SEM COSTURA SCHEDULE 40/NBR 5590, INCLUSIVE CONEXÕES - FORNECIMENTO E INSTALAÇÃO</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</si>
  <si>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</si>
  <si>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</si>
  <si>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</si>
  <si>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</si>
  <si>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</si>
  <si>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</si>
  <si>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</si>
  <si>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</si>
  <si>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</si>
  <si>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</si>
  <si>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</si>
  <si>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</si>
  <si>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</si>
  <si>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</si>
  <si>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</si>
  <si>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</si>
  <si>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</si>
  <si>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</si>
  <si>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</si>
  <si>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</si>
  <si>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</si>
  <si>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</si>
  <si>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</si>
  <si>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</si>
  <si>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</si>
  <si>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</si>
  <si>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</si>
  <si>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</si>
  <si>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</si>
  <si>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</si>
  <si>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</si>
  <si>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</si>
  <si>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</si>
  <si>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</si>
  <si>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</si>
  <si>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</si>
  <si>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</si>
  <si>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</si>
  <si>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</si>
  <si>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</si>
  <si>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</si>
  <si>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</si>
  <si>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CLASSE E, SEM ISOLAMENTO, INSTALADO EM PRUMADA - FORNECIMENTO E INSTALAÇÃO. AF_12/2015</t>
  </si>
  <si>
    <t>TUBO EM COBRE RÍGIDO, DN 28 CLASSE E, SEM ISOLAMENTO, INSTALADO EM PRUMADA - FORNECIMENTO E INSTALAÇÃO. AF_12/2015</t>
  </si>
  <si>
    <t>TUBO EM COBRE RÍGIDO, DN 35 CLASSE E, SEM ISOLAMENTO, INSTALADO EM PRUMADA - FORNECIMENTO E INSTALAÇÃO. AF_12/2015</t>
  </si>
  <si>
    <t>TUBO EM COBRE RÍGIDO, DN 42 CLASSE E, SEM ISOLAMENTO, INSTALADO EM PRUMADA - FORNECIMENTO E INSTALAÇÃO. AF_12/2015</t>
  </si>
  <si>
    <t>TUBO EM COBRE RÍGIDO, DN 54 CLASSE E, SEM ISOLAMENTO, INSTALADO EM PRUMADA - FORNECIMENTO E INSTALAÇÃO. AF_12/2015</t>
  </si>
  <si>
    <t>TUBO EM COBRE RÍGIDO, DN 66 CLASSE E, SEM ISOLAMENTO, INSTALADO EM PRUMADA - FORNECIMENTO E INSTALAÇÃO. AF_12/2015</t>
  </si>
  <si>
    <t>TUBO EM COBRE RÍGIDO, DN 15 CLASSE E, SEM ISOLAMENTO, INSTALADO EM RAMAL DE DISTRIBUIÇÃO - FORNECIMENTO E INSTALAÇÃO. AF_12/2015</t>
  </si>
  <si>
    <t>TUBO EM COBRE RÍGIDO, DN 22 CLASSE E, SEM ISOLAMENTO, INSTALADO EM RAMAL DE DISTRIBUIÇÃO - FORNECIMENTO E INSTALAÇÃO. AF_12/2015</t>
  </si>
  <si>
    <t>TUBO EM COBRE RÍGIDO, DN 28 CLASSE E, SEM ISOLAMENTO, INSTALADO EM RAMAL DE DISTRIBUIÇÃO - FORNECIMENTO E INSTALAÇÃO. AF_12/2015</t>
  </si>
  <si>
    <t>TUBO EM COBRE RÍGIDO, DN 15 CLASSE E, SEM ISOLAMENTO, INSTALADO EM RAMAL E SUB-RAMAL - FORNECIMENTO E INSTALAÇÃO. AF_12/2015</t>
  </si>
  <si>
    <t>TUBO EM COBRE RÍGIDO, DN 22 CLASSE E, SEM ISOLAMENTO, INSTALADO EM RAMAL E SUB-RAMAL - FORNECIMENTO E INSTALAÇÃO. AF_12/2015</t>
  </si>
  <si>
    <t>TUBO EM COBRE RÍGIDO, DN 28 CLASSE E, SEM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</si>
  <si>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</si>
  <si>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</si>
  <si>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</si>
  <si>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</si>
  <si>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</si>
  <si>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</si>
  <si>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</si>
  <si>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</si>
  <si>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</si>
  <si>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</si>
  <si>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</si>
  <si>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</si>
  <si>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</si>
  <si>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</si>
  <si>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</si>
  <si>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</si>
  <si>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</si>
  <si>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</si>
  <si>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</si>
  <si>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</si>
  <si>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</si>
  <si>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</si>
  <si>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</si>
  <si>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</si>
  <si>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</si>
  <si>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</si>
  <si>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</si>
  <si>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</si>
  <si>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</si>
  <si>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</si>
  <si>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</si>
  <si>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</si>
  <si>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</si>
  <si>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</si>
  <si>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</si>
  <si>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</si>
  <si>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</si>
  <si>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</si>
  <si>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</si>
  <si>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</si>
  <si>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</si>
  <si>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</si>
  <si>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</si>
  <si>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</si>
  <si>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</si>
  <si>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</si>
  <si>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 INSTALADO EM REDE DE ALIMENTAÇÃO PARA HIDRANTE - FORNECIMENTO E INSTALAÇÃO. AF_12/2015</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</si>
  <si>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</si>
  <si>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</si>
  <si>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</si>
  <si>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</si>
  <si>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</si>
  <si>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</si>
  <si>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</si>
  <si>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</si>
  <si>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</si>
  <si>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</si>
  <si>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</si>
  <si>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</si>
  <si>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</si>
  <si>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</si>
  <si>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</si>
  <si>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</si>
  <si>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</si>
  <si>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</si>
  <si>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</si>
  <si>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</si>
  <si>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</si>
  <si>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</si>
  <si>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</si>
  <si>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</si>
  <si>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</si>
  <si>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</si>
  <si>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</si>
  <si>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</si>
  <si>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</si>
  <si>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</si>
  <si>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</si>
  <si>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</si>
  <si>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</si>
  <si>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</si>
  <si>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</si>
  <si>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</si>
  <si>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</si>
  <si>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</si>
  <si>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</si>
  <si>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</si>
  <si>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</si>
  <si>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</si>
  <si>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</si>
  <si>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</si>
  <si>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</si>
  <si>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</si>
  <si>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</si>
  <si>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</si>
  <si>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</si>
  <si>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</si>
  <si>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</si>
  <si>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</si>
  <si>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</si>
  <si>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</si>
  <si>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</si>
  <si>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</si>
  <si>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</si>
  <si>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</si>
  <si>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</si>
  <si>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</si>
  <si>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</si>
  <si>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</si>
  <si>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</si>
  <si>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</si>
  <si>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</si>
  <si>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</si>
  <si>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</si>
  <si>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</si>
  <si>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</si>
  <si>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</si>
  <si>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</si>
  <si>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</si>
  <si>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</si>
  <si>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</si>
  <si>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</si>
  <si>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</si>
  <si>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</si>
  <si>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</si>
  <si>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</si>
  <si>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</si>
  <si>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</si>
  <si>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</si>
  <si>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</si>
  <si>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</si>
  <si>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</si>
  <si>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</si>
  <si>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</si>
  <si>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</si>
  <si>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</si>
  <si>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</si>
  <si>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</si>
  <si>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</si>
  <si>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</si>
  <si>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</si>
  <si>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</si>
  <si>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</si>
  <si>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</si>
  <si>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</si>
  <si>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</si>
  <si>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</si>
  <si>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</si>
  <si>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</si>
  <si>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</si>
  <si>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</si>
  <si>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</si>
  <si>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</si>
  <si>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</si>
  <si>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</si>
  <si>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</si>
  <si>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</si>
  <si>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</si>
  <si>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</si>
  <si>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</si>
  <si>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</si>
  <si>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</si>
  <si>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</si>
  <si>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</si>
  <si>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</si>
  <si>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</si>
  <si>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</si>
  <si>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</si>
  <si>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</si>
  <si>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</si>
  <si>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</si>
  <si>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</si>
  <si>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</si>
  <si>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</si>
  <si>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</si>
  <si>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</si>
  <si>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</si>
  <si>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</si>
  <si>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</si>
  <si>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</si>
  <si>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</si>
  <si>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</si>
  <si>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</si>
  <si>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</si>
  <si>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</si>
  <si>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</si>
  <si>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</si>
  <si>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</si>
  <si>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</si>
  <si>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</si>
  <si>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</si>
  <si>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</si>
  <si>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</si>
  <si>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</si>
  <si>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</si>
  <si>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</si>
  <si>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</si>
  <si>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</si>
  <si>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</si>
  <si>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</si>
  <si>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</si>
  <si>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</si>
  <si>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</si>
  <si>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</si>
  <si>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</si>
  <si>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</si>
  <si>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</si>
  <si>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</si>
  <si>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</si>
  <si>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</si>
  <si>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</si>
  <si>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</si>
  <si>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</si>
  <si>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</si>
  <si>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</si>
  <si>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</si>
  <si>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</si>
  <si>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</si>
  <si>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</si>
  <si>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</si>
  <si>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</si>
  <si>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</si>
  <si>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</si>
  <si>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</si>
  <si>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</si>
  <si>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</si>
  <si>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</si>
  <si>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</si>
  <si>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</si>
  <si>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</si>
  <si>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</si>
  <si>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</si>
  <si>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</si>
  <si>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</si>
  <si>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</si>
  <si>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</si>
  <si>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</si>
  <si>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</si>
  <si>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</si>
  <si>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</si>
  <si>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</si>
  <si>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</si>
  <si>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</si>
  <si>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</si>
  <si>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</si>
  <si>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22MM, INSTALADO EM RAMAL DE DISTRIBUIÇÃO DE ÁGUA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</si>
  <si>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</si>
  <si>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</si>
  <si>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</si>
  <si>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</si>
  <si>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</si>
  <si>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</si>
  <si>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</si>
  <si>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</si>
  <si>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</si>
  <si>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</si>
  <si>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</si>
  <si>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</si>
  <si>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</si>
  <si>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</si>
  <si>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</si>
  <si>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</si>
  <si>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</si>
  <si>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</si>
  <si>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</si>
  <si>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</si>
  <si>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</si>
  <si>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</si>
  <si>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</si>
  <si>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</si>
  <si>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</si>
  <si>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</si>
  <si>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</si>
  <si>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</si>
  <si>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</si>
  <si>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</si>
  <si>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</si>
  <si>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</si>
  <si>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</si>
  <si>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</si>
  <si>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</si>
  <si>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</si>
  <si>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</si>
  <si>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</si>
  <si>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</si>
  <si>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</si>
  <si>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</si>
  <si>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</si>
  <si>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</si>
  <si>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</si>
  <si>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</si>
  <si>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</si>
  <si>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</si>
  <si>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</si>
  <si>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</si>
  <si>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</si>
  <si>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</si>
  <si>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</si>
  <si>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</si>
  <si>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</si>
  <si>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</si>
  <si>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</si>
  <si>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</si>
  <si>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</si>
  <si>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</si>
  <si>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</si>
  <si>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</si>
  <si>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</si>
  <si>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</si>
  <si>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</si>
  <si>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</si>
  <si>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</si>
  <si>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</si>
  <si>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</si>
  <si>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</si>
  <si>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</si>
  <si>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</si>
  <si>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</si>
  <si>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</si>
  <si>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</si>
  <si>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</si>
  <si>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</si>
  <si>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</si>
  <si>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</si>
  <si>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</si>
  <si>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</si>
  <si>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</si>
  <si>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</si>
  <si>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</si>
  <si>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</si>
  <si>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</si>
  <si>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</si>
  <si>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</si>
  <si>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</si>
  <si>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</si>
  <si>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</si>
  <si>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</si>
  <si>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</si>
  <si>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</si>
  <si>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</si>
  <si>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</si>
  <si>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</si>
  <si>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</si>
  <si>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</si>
  <si>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</si>
  <si>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</si>
  <si>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</si>
  <si>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</si>
  <si>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</si>
  <si>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</si>
  <si>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</si>
  <si>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</si>
  <si>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</si>
  <si>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</si>
  <si>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</si>
  <si>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</si>
  <si>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</si>
  <si>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</si>
  <si>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</si>
  <si>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</si>
  <si>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</si>
  <si>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</si>
  <si>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</si>
  <si>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</si>
  <si>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</si>
  <si>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</si>
  <si>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</si>
  <si>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</si>
  <si>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</si>
  <si>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</si>
  <si>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</si>
  <si>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</si>
  <si>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</si>
  <si>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</si>
  <si>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</si>
  <si>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</si>
  <si>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</si>
  <si>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</si>
  <si>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</si>
  <si>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LUVA DE COBRE, SEM ANEL DE SOLDA, DN 22 MM, INSTALADO EM PRUMADA - FORNECIMENTO E INSTALAÇÃO. AF_12/2015_P</t>
  </si>
  <si>
    <t>LUVA DE COBRE, SEM ANEL DE SOLDA, DN 28 MM, INSTALADO EM PRUMADA - FORNECIMENTO E INSTALAÇÃO. AF_12/2015_P</t>
  </si>
  <si>
    <t>LUVA DE COBRE, SEM ANEL DE SOLDA, DN 35 MM, INSTALADO EM PRUMADA - FORNECIMENTO E INSTALAÇÃO. AF_12/2015_P</t>
  </si>
  <si>
    <t>LUVA DE COBRE, SEM ANEL DE SOLDA, DN 42 MM, INSTALADO EM PRUMADA - FORNECIMENTO E INSTALAÇÃO. AF_12/2015_P</t>
  </si>
  <si>
    <t>LUVA DE COBRE, SEM ANEL DE SOLDA, DN 54 MM, INSTALADO EM PRUMADA - FORNECIMENTO E INSTALAÇÃO. AF_12/2015_P</t>
  </si>
  <si>
    <t>LUVA DE COBRE, SEM ANEL DE SOLDA, DN 66 MM, INSTALADO EM PRUMADA - FORNECIMENTO E INSTALAÇÃO. AF_12/2015_P</t>
  </si>
  <si>
    <t>TE DE COBRE, SEM ANEL DE SOLDA, DN 22 MM, INSTALADO EM PRUMADA - FORNECIMENTO E INSTALAÇÃO. AF_12/2015_P</t>
  </si>
  <si>
    <t>TE DE COBRE, SEM ANEL DE SOLDA, DN 28 MM, INSTALADO EM PRUMADA - FORNECIMENTO E INSTALAÇÃO. AF_12/2015_P</t>
  </si>
  <si>
    <t>TE DE COBRE, SEM ANEL DE SOLDA, DN 35 MM, INSTALADO EM PRUMADA - FORNECIMENTO E INSTALAÇÃO. AF_12/2015_P</t>
  </si>
  <si>
    <t>TE DE COBRE, SEM ANEL DE SOLDA, DN 42 MM, INSTALADO EM PRUMADA - FORNECIMENTO E INSTALAÇÃO. AF_12/2015_P</t>
  </si>
  <si>
    <t>TE DE COBRE, SEM ANEL DE SOLDA, DN 54 MM, INSTALADO EM PRUMADA - FORNECIMENTO E INSTALAÇÃO. AF_12/2015_P</t>
  </si>
  <si>
    <t>TE DE COBRE, SEM ANEL DE SOLDA, DN 66 MM, INSTALADO EM PRUMADA - FORNECIMENTO E INSTALAÇÃO. AF_12/2015_P</t>
  </si>
  <si>
    <t>LUVA DE COBRE, SEM ANEL DE SOLDA, DN 15 MM, INSTALADO EM RAMAL DE DISTRIBUIÇÃO - FORNECIMENTO E INSTALAÇÃO. AF_12/2015_P</t>
  </si>
  <si>
    <t>LUVA DE COBRE, SEM ANEL DE SOLDA, DN 22 MM, INSTALADO EM RAMAL DE DISTRIBUIÇÃO - FORNECIMENTO E INSTALAÇÃO. AF_12/2015_P</t>
  </si>
  <si>
    <t>LUVA DE COBRE, SEM ANEL DE SOLDA, DN 28 MM, INSTALADO EM RAMAL DE DISTRIBUIÇÃO - FORNECIMENTO E INSTALAÇÃO. AF_12/2015_P</t>
  </si>
  <si>
    <t>TE DE COBRE, SEM ANEL DE SOLDA, DN 15 MM, INSTALADO EM RAMAL DE DISTRIBUIÇÃO - FORNECIMENTO E INSTALAÇÃO. AF_12/2015_P</t>
  </si>
  <si>
    <t>TE DE COBRE, SEM ANEL DE SOLDA, DN 22 MM, INSTALADO EM RAMAL DE DISTRIBUIÇÃO - FORNECIMENTO E INSTALAÇÃO. AF_12/2015_P</t>
  </si>
  <si>
    <t>TE DE COBRE, SEM ANEL DE SOLDA, DN 28 MM, INSTALADO EM RAMAL DE DISTRIBUIÇÃO - FORNECIMENTO E INSTALAÇÃO. AF_12/2015_P</t>
  </si>
  <si>
    <t>LUVA DE COBRE, SEM ANEL DE SOLDA, DN 15 MM, INSTALADO EM RAMAL E SUB-RAMAL - FORNECIMENTO E INSTALAÇÃO. AF_12/2015_P</t>
  </si>
  <si>
    <t>LUVA DE COBRE, SEM ANEL DE SOLDA, DN 22 MM, INSTALADO EM RAMAL E SUB-RAMAL - FORNECIMENTO E INSTALAÇÃO. AF_12/2015_P</t>
  </si>
  <si>
    <t>LUVA DE COBRE, SEM ANEL DE SOLDA, DN 28 MM, INSTALADO EM RAMAL E SUB-RAMAL - FORNECIMENTO E INSTALAÇÃO. AF_12/2015_P</t>
  </si>
  <si>
    <t>TE DE COBRE, SEM ANEL DE SOLDA, DN 15 MM, INSTALADO EM RAMAL E SUB-RAMAL - FORNECIMENTO E INSTALAÇÃO. AF_12/2015_P</t>
  </si>
  <si>
    <t>TE DE COBRE, SEM ANEL DE SOLDA, DN 22 MM, INSTALADO EM RAMAL E SUB-RAMAL - FORNECIMENTO E INSTALAÇÃO. AF_12/2015_P</t>
  </si>
  <si>
    <t>TE DE COBRE, SEM ANEL DE SOLDA, DN 28 MM, INSTALADO EM RAMAL E SUB-RAMAL - FORNECIMENTO E INSTALAÇÃO. AF_12/2015_P</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</si>
  <si>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</si>
  <si>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</si>
  <si>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</si>
  <si>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</si>
  <si>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</si>
  <si>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</si>
  <si>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</si>
  <si>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</si>
  <si>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</si>
  <si>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</si>
  <si>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</si>
  <si>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</si>
  <si>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</si>
  <si>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</si>
  <si>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</si>
  <si>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</si>
  <si>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</si>
  <si>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</si>
  <si>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</si>
  <si>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</si>
  <si>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</si>
  <si>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</si>
  <si>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</si>
  <si>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</si>
  <si>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</si>
  <si>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</si>
  <si>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</si>
  <si>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</si>
  <si>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</si>
  <si>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</si>
  <si>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</si>
  <si>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</si>
  <si>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</si>
  <si>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</si>
  <si>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</si>
  <si>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</si>
  <si>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</si>
  <si>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</si>
  <si>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</si>
  <si>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</si>
  <si>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</si>
  <si>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</si>
  <si>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</si>
  <si>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</si>
  <si>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</si>
  <si>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</si>
  <si>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</si>
  <si>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</si>
  <si>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</si>
  <si>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</si>
  <si>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</si>
  <si>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</si>
  <si>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</si>
  <si>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</si>
  <si>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</si>
  <si>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</si>
  <si>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</si>
  <si>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</si>
  <si>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</si>
  <si>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</si>
  <si>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</si>
  <si>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</si>
  <si>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</si>
  <si>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</si>
  <si>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</si>
  <si>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</si>
  <si>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</si>
  <si>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</si>
  <si>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</si>
  <si>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</si>
  <si>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</si>
  <si>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</si>
  <si>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</si>
  <si>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</si>
  <si>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</si>
  <si>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</si>
  <si>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</si>
  <si>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</si>
  <si>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</si>
  <si>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</si>
  <si>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</si>
  <si>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</si>
  <si>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</si>
  <si>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</si>
  <si>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</si>
  <si>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</si>
  <si>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</si>
  <si>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</si>
  <si>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</si>
  <si>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</si>
  <si>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</si>
  <si>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</si>
  <si>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</si>
  <si>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2.1/2" X 1.1/2",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</si>
  <si>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</si>
  <si>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</si>
  <si>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</si>
  <si>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</si>
  <si>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</si>
  <si>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</si>
  <si>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1.1/2" X 1.1/4", CONEXÃO ROSQUEADA, INSTALADO EM REDE DE ALIMENTAÇÃO PARA HIDRANTE - FORNECIMENTO E INSTALAÇÃO. AF_12/2015</t>
  </si>
  <si>
    <t>LUVA DE REDUÇÃO, EM FERRO GALVANIZADO, 1.1/2" X 1", CONEXÃO ROSQUEADA, INSTALADO EM REDE DE ALIMENTAÇÃO PARA HIDRANTE - FORNECIMENTO E INSTALAÇÃO. AF_12/2015</t>
  </si>
  <si>
    <t>LUVA DE REDUÇÃO, EM FERRO GALVANIZADO, 1.1/2" X 3/4", CONEXÃO ROSQUEADA, INSTALADO EM REDE DE ALIMENTAÇÃO PARA HIDRANTE - FORNECIMENTO E INSTALAÇÃO. AF_12/2015</t>
  </si>
  <si>
    <t>LUVA DE REDUÇÃO, EM FERRO GALVANIZADO, 2" X 1.1/2", CONEXÃO ROSQUEADA, INSTALADO EM REDE DE ALIMENTAÇÃO PARA HIDRANTE - FORNECIMENTO E INSTALAÇÃO. AF_12/2015</t>
  </si>
  <si>
    <t>LUVA DE REDUÇÃO, EM FERRO GALVANIZADO, 2" X 1.1/4",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</si>
  <si>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</si>
  <si>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2.1/2" X 1.1/2", CONEXÃO ROSQUEADA, INSTALADO EM REDE DE ALIMENTAÇÃO PARA HIDRANTE - FORNECIMENTO E INSTALAÇÃO. AF_12/2015</t>
  </si>
  <si>
    <t>LUVA DE REDUÇÃO, EM FERRO GALVANIZADO, 2.1/2" X 2", CONEXÃO ROSQUEADA, INSTALADO EM REDE DE ALIMENTAÇÃO PARA HIDRANTE - FORNECIMENTO E INSTALAÇÃO. AF_12/2015</t>
  </si>
  <si>
    <t>LUVA DE REDUÇÃO, EM FERRO GALVANIZADO, 3" X 2.1/2",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</si>
  <si>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</si>
  <si>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</si>
  <si>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</si>
  <si>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1.1/4" X 1", CONEXÃO ROSQUEADA, INSTALADO EM REDE DE ALIMENTAÇÃO PARA SPRINKLER - FORNECIMENTO E INSTALAÇÃO. AF_12/2015</t>
  </si>
  <si>
    <t>LUVA DE REDUÇÃO, EM FERRO GALVANIZADO, 1.1/4" X 1/2", CONEXÃO ROSQUEADA, INSTALADO EM REDE DE ALIMENTAÇÃO PARA SPRINKLER - FORNECIMENTO E INSTALAÇÃO. AF_12/2015</t>
  </si>
  <si>
    <t>LUVA DE REDUÇÃO, EM FERRO GALVANIZADO, 1.1/4" X 3/4", CONEXÃO ROSQUEADA, INSTALADO EM REDE DE ALIMENTAÇÃO PARA SPRINKLER - FORNECIMENTO E INSTALAÇÃO. AF_12/2015</t>
  </si>
  <si>
    <t>LUVA DE REDUÇÃO, EM FERRO GALVANIZADO, 1.1/2" X 1.1/4", CONEXÃO ROSQUEADA, INSTALADO EM REDE DE ALIMENTAÇÃO PARA SPRINKLER - FORNECIMENTO E INSTALAÇÃO. AF_12/2015</t>
  </si>
  <si>
    <t>LUVA DE REDUÇÃO, EM FERRO GALVANIZADO, 1.1/2" X 1", CONEXÃO ROSQUEADA, INSTALADO EM REDE DE ALIMENTAÇÃO PARA SPRINKLER - FORNECIMENTO E INSTALAÇÃO. AF_12/2015</t>
  </si>
  <si>
    <t>LUVA DE REDUÇÃO, EM FERRO GALVANIZADO, 1.1/2" X 3/4", CONEXÃO ROSQUEADA, INSTALADO EM REDE DE ALIMENTAÇÃO PARA SPRINKLER - FORNECIMENTO E INSTALAÇÃO. AF_12/2015</t>
  </si>
  <si>
    <t>LUVA DE REDUÇÃO, EM FERRO GALVANIZADO, 2" X 1.1/2", CONEXÃO ROSQUEADA, INSTALADO EM REDE DE ALIMENTAÇÃO PARA SPRINKLER - FORNECIMENTO E INSTALAÇÃO. AF_12/2015</t>
  </si>
  <si>
    <t>LUVA DE REDUÇÃO, EM FERRO GALVANIZADO, 2" X 1.1/4",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</si>
  <si>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</si>
  <si>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</si>
  <si>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</si>
  <si>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</si>
  <si>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</si>
  <si>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PASSANTE EM COBRE, SEM ANEL DE SOLDA, DN 22 MM, INSTALADO EM PRUMADA   FORNECIMENTO E INSTALAÇÃO. AF_01/2016_P</t>
  </si>
  <si>
    <t>BUCHA DE REDUÇÃO EM COBRE, SEM ANEL DE SOLDA, PONTA X BOLSA, 22 X 15 MM, INSTALADO EM PRUMADA   FORNECIMENTO E INSTALAÇÃO. AF_01/2016_P</t>
  </si>
  <si>
    <t>JUNTA DE EXPANSÃO EM COBRE, PONTA X PONTA, DN 22 MM, INSTALADO EM PRUMADA   FORNECIMENTO E INSTALAÇÃO. AF_01/2016_P</t>
  </si>
  <si>
    <t>CONECTOR EM BRONZE/LATÃO, SEM ANEL DE SOLDA, BOLSA X ROSCA F, 22 MM X 3/4, INSTALADO EM PRUMADA   FORNECIMENTO E INSTALAÇÃO. AF_01/2016_P</t>
  </si>
  <si>
    <t>CURVA DE TRANSPOSIÇÃO EM BRONZE/LATÃO, SEM ANEL DE SOLDA, BOLSA X BOLSA, DN 22 MM, INSTALADO EM PRUMADA   FORNECIMENTO E INSTALAÇÃO. AF_01/2016_P</t>
  </si>
  <si>
    <t>LUVA PASSANTE EM COBRE, SEM ANEL DE SOLDA, DN 28 MM, INSTALADO EM PRUMADA   FORNECIMENTO E INSTALAÇÃO. AF_01/2016_P</t>
  </si>
  <si>
    <t>BUCHA DE REDUÇÃO EM COBRE, SEM ANEL DE SOLDA, PONTA X BOLSA, 28 X 22 MM, INSTALADO EM PRUMADA   FORNECIMENTO E INSTALAÇÃO. AF_01/2016_P</t>
  </si>
  <si>
    <t>JUNTA DE EXPANSÃO EM COBRE, PONTA X PONTA, DN 28 MM, INSTALADO EM PRUMADA   FORNECIMENTO E INSTALAÇÃO. AF_01/2016_P</t>
  </si>
  <si>
    <t>CONECTOR EM BRONZE/LATÃO, SEM ANEL DE SOLDA, BOLSA X ROSCA F, 28 MM X 1/2, INSTALADO EM PRUMADA   FORNECIMENTO E INSTALAÇÃO. AF_01/2016_P</t>
  </si>
  <si>
    <t>CURVA DE TRANSPOSIÇÃO EM BRONZE/LATÃO, SEM ANEL DE SOLDA, BOLSA X BOLSA, 28 MM, INSTALADO EM PRUMADA   FORNECIMENTO E INSTALAÇÃO. AF_01/2016_P</t>
  </si>
  <si>
    <t>LUVA PASSANTE EM COBRE, SEM ANEL DE SOLDA, DN 35 MM, INSTALADO EM PRUMADA   FORNECIMENTO E INSTALAÇÃO. AF_01/2016_P</t>
  </si>
  <si>
    <t>BUCHA DE REDUÇÃO EM COBRE, SEM ANEL DE SOLDA, PONTA X BOLSA, 35 X 28 MM, INSTALADO EM PRUMADA   FORNECIMENTO E INSTALAÇÃO. AF_01/2016_P</t>
  </si>
  <si>
    <t>LUVA PASSANTE EM COBRE, SEM ANEL DE SOLDA, DN 42 MM, INSTALADO EM PRUMADA   FORNECIMENTO E INSTALAÇÃO. AF_01/2016_P</t>
  </si>
  <si>
    <t>BUCHA DE REDUÇÃO EM COBRE, SEM ANEL DE SOLDA, PONTA X BOLSA, 42 X 35 MM, INSTALADO EM PRUMADA   FORNECIMENTO E INSTALAÇÃO. AF_01/2016_P</t>
  </si>
  <si>
    <t>LUVA PASSANTE EM COBRE, SEM ANEL DE SOLDA, DN 54 MM, INSTALADO EM PRUMADA   FORNECIMENTO E INSTALAÇÃO. AF_01/2016_P</t>
  </si>
  <si>
    <t>BUCHA DE REDUÇÃO EM COBRE, SEM ANEL DE SOLDA, PONTA X BOLSA, 54 X 42 MM, INSTALADO EM PRUMADA   FORNECIMENTO E INSTALAÇÃO. AF_01/2016_P</t>
  </si>
  <si>
    <t>LUVA PASSANTE EM COBRE, SEM ANEL DE SOLDA, DN 66 MM, INSTALADO EM PRUMADA   FORNECIMENTO E INSTALAÇÃO. AF_01/2016_P</t>
  </si>
  <si>
    <t>BUCHA DE REDUÇÃO EM COBRE, SEM ANEL DE SOLDA, PONTA X BOLSA, 66 X 54 MM, INSTALADO EM PRUMADA   FORNECIMENTO E INSTALAÇÃO. AF_01/2016_P</t>
  </si>
  <si>
    <t>TE DUPLA CURVA EM BRONZE/LATÃO, SEM ANEL DE SOLDA, ROSCA F X BOLSA X ROSCA F, 3/4 X 22 X 3/4, INSTALADO EM PRUMADA   FORNECIMENTO E INSTALAÇÃO. AF_01/2016_P</t>
  </si>
  <si>
    <t>CURVA EM COBRE, 45 GRAUS, SEM ANEL DE SOLDA, BOLSA X BOLSA, DN 15 MM, INSTALADO EM RAMAL DE DISTRIBUIÇÃO   FORNECIMENTO E INSTALAÇÃO. AF_01/2016_P</t>
  </si>
  <si>
    <t>COTOVELO EM BRONZE/LATÃO, 90 GRAUS, SEM ANEL DE SOLDA, BOLSA X ROSCA F, DN 15 MM X 1/2, INSTALADO EM RAMAL DE DISTRIBUIÇÃO   FORNECIMENTO E INSTALAÇÃO. AF_01/2016_P</t>
  </si>
  <si>
    <t>CURVA EM COBRE, 45 GRAUS, SEM ANEL DE SOLDA, BOLSA X BOLSA, DN 22 MM, INSTALADO EM RAMAL DE DISTRIBUIÇÃO   FORNECIMENTO E INSTALAÇÃO. AF_01/2016_P</t>
  </si>
  <si>
    <t>COTOVELO EM BRONZE/LATÃO, 90 GRAUS, SEM ANEL DE SOLDA, BOLSA X ROSCA F, DN 22 MM X 1/2, INSTALADO EM RAMAL DE DISTRIBUIÇÃO   FORNECIMENTO E INSTALAÇÃO. AF_01/2016_P</t>
  </si>
  <si>
    <t>COTOVELO EM BRONZE/LATÃO, 90 GRAUS, SEM ANEL DE SOLDA, BOLSA X ROSCA F, DN 22 MM X 3/4, INSTALADO EM RAMAL DE DISTRIBUIÇÃO   FORNECIMENTO E INSTALAÇÃO. AF_01/2016_P</t>
  </si>
  <si>
    <t>CURVA EM COBRE, 45 GRAUS, SEM ANEL DE SOLDA, BOLSA X BOLSA, DN 28 MM, INSTALADO EM RAMAL DE DISTRIBUIÇÃO   FORNECIMENTO E INSTALAÇÃO. AF_01/2016_P</t>
  </si>
  <si>
    <t>LUVA PASSANTE EM COBRE, SEM ANEL DE SOLDA, DN 15 MM, INSTALADO EM RAMAL DE DISTRIBUIÇÃO   FORNECIMENTO E INSTALAÇÃO. AF_01/2016_P</t>
  </si>
  <si>
    <t>CONECTOR EM BRONZE/LATÃO, SEM ANEL DE SOLDA, BOLSA X ROSCA F, DN 15 MM X 1/2, INSTALADO EM RAMAL DE DISTRIBUIÇÃO   FORNECIMENTO E INSTALAÇÃO. AF_01/2016_P</t>
  </si>
  <si>
    <t>CURVA DE TRANSPOSIÇÃO EM BRONZE/LATÃO, SEM ANEL DE SOLDA, DN 15 MM, INSTALADO EM RAMAL DE DISTRIBUIÇÃO   FORNECIMENTO E INSTALAÇÃO. AF_01/2016_P</t>
  </si>
  <si>
    <t>JUNTA DE EXPANSÃO EM COBRE, PONTA X PONTA, DN 15 MM, INSTALADO EM RAMAL DE DISTRIBUIÇÃO   FORNECIMENTO E INSTALAÇÃO. AF_01/2016_P</t>
  </si>
  <si>
    <t>LUVA PASSANTE EM COBRE, SEM ANEL DE SOLDA, DN 22 MM, INSTALADO EM RAMAL DE DISTRIBUIÇÃO   FORNECIMENTO E INSTALAÇÃO. AF_01/2016_P</t>
  </si>
  <si>
    <t>BUCHA DE REDUÇÃO EM COBRE, SEM ANEL DE SOLDA, PONTA X BOLSA, 22 X 15 MM, INSTALADO EM RAMAL DE DISTRIBUIÇÃO   FORNECIMENTO E INSTALAÇÃO. AF_01/2016_P</t>
  </si>
  <si>
    <t>JUNTA DE EXPANSÃO EM COBRE, PONTA X PONTA, DN 22 MM, INSTALADO EM RAMAL DE DISTRIBUIÇÃO   FORNECIMENTO E INSTALAÇÃO. AF_01/2016_P</t>
  </si>
  <si>
    <t>CONECTOR EM BRONZE/LATÃO, SEM ANEL DE SOLDA, BOLSA X ROSCA F, DN 22 MM X 1/2, INSTALADO EM RAMAL DE DISTRIBUIÇÃO   FORNECIMENTO E INSTALAÇÃO. AF_01/2016_P</t>
  </si>
  <si>
    <t>CONECTOR EM BRONZE/LATÃO, SEM ANEL DE SOLDA, BOLSA X ROSCA F, DN 22 MM X 3/4, INSTALADO EM RAMAL DE DISTRIBUIÇÃO   FORNECIMENTO E INSTALAÇÃO. AF_01/2016_P</t>
  </si>
  <si>
    <t>CURVA DE TRANSPOSIÇÃO EM BRONZE/LATÃO, SEM ANEL DE SOLDA, BOLSA X BOLSA, DN 22 MM, INSTALADO EM RAMAL DE DISTRIBUIÇÃO   FORNECIMENTO E INSTALAÇÃO. AF_01/2016_P</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</si>
  <si>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</si>
  <si>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</si>
  <si>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JUNTA DE EXPANSÃO EM COBRE, PONTA X PONTA, DN 28 MM, INSTALADO EM RAMAL DE DISTRIBUIÇÃO   FORNECIMENTO E INSTALAÇÃO. AF_01/2016_P</t>
  </si>
  <si>
    <t>CONECTOR EM BRONZE/LATÃO, SEM ANEL DE SOLDA, BOLSA X ROSCA F, DN 28 MM X 1/2, INSTALADO EM RAMAL DE DISTRIBUIÇÃO   FORNECIMENTO E INSTALAÇÃO. AF_01/2016_P</t>
  </si>
  <si>
    <t>CURVA DE TRANSPOSIÇÃO EM BRONZE/LATÃO, SEM ANEL DE SOLDA, BOLSA X BOLSA, DN 28 MM, INSTALADO EM RAMAL DE DISTRIBUIÇÃO   FORNECIMENTO E INSTALAÇÃO. AF_01/2016_P</t>
  </si>
  <si>
    <t>TE DUPLA CURVA EM BRONZE/LATÃO, SEM ANEL DE SOLDA, ROSCA F X BOLSA X ROSCA F, 1/2 X 15 X 1/2, INSTALADO EM RAMAL DE DISTRIBUIÇÃO   FORNECIMENTO E INSTALAÇÃO. AF_01/2016_P</t>
  </si>
  <si>
    <t>TE DUPLA CURVA EM BRONZE/LATÃO, SEM ANEL DE SOLDA, ROSCA F  X BOLSA X ROSCA F, 3/4 X 22 X 3/4, INSTALADO EM RAMAL DE DISTRIBUIÇÃO   FORNECIMENTO E INSTALAÇÃO. AF_01/2016_P</t>
  </si>
  <si>
    <t>CURVA EM COBRE, 45 GRAUS, SEM ANEL DE SOLDA, BOLSA X BOLSA, DN 15 MM, INSTALADO EM RAMAL E SUB-RAMAL   FORNECIMENTO E INSTALAÇÃO. AF_01/2016_P</t>
  </si>
  <si>
    <t>COTOVELO EM BRONZE/LATÃO, 90 GRAUS, SEM ANEL DE SOLDA, BOLSA X ROSCA F, DN 15 MM X 1/2, INSTALADO EM RAMAL E SUB-RAMAL   FORNECIMENTO E INSTALAÇÃO. AF_01/2016_P</t>
  </si>
  <si>
    <t>CURVA EM COBRE, 45 GRAUS, SEM ANEL DE SOLDA, BOLSA X BOLSA, DN 22 MM, INSTALADO EM RAMAL E SUB-RAMAL   FORNECIMENTO E INSTALAÇÃO. AF_01/2016_P</t>
  </si>
  <si>
    <t>COTOVELO EM BRONZE/LATÃO, 90 GRAUS, SEM ANEL DE SOLDA, BOLSA X ROSCA F, DN 22 MM X 1/2, INSTALADO EM RAMAL E SUB-RAMAL   FORNECIMENTO E INSTALAÇÃO. AF_01/2016_P</t>
  </si>
  <si>
    <t>COTOVELO EM BRONZE/LATÃO, 90 GRAUS, SEM ANEL DE SOLDA, BOLSA X ROSCA F, DN 22 MM X 3/4, INSTALADO EM RAMAL E SUB-RAMAL   FORNECIMENTO E INSTALAÇÃO. AF_01/2016_P</t>
  </si>
  <si>
    <t>CURVA EM COBRE, 45 GRAUS, SEM ANEL DE SOLDA, BOLSA X BOLSA, DN 28 MM, INSTALADO EM RAMAL E SUB-RAMAL   FORNECIMENTO E INSTALAÇÃO. AF_01/2016_P</t>
  </si>
  <si>
    <t>LUVA PASSANTE EM COBRE, SEM ANEL DE SOLDA, DN 15 MM, INSTALADO EM RAMAL E SUB-RAMAL   FORNECIMENTO E INSTALAÇÃO. AF_01/2016_P</t>
  </si>
  <si>
    <t>CONECTOR EM BRONZE/LATÃO, SEM ANEL DE SOLDA, BOLSA X ROSCA F, 15 MM X 1/2,  INSTALADO EM RAMAL E SUB-RAMAL   FORNECIMENTO E INSTALAÇÃO. AF_01/2016_P</t>
  </si>
  <si>
    <t>CURVA DE TRANSPOSIÇÃO EM BRONZE/LATÃO, SEM ANEL DE SOLDA, BOLSA X BOLSA, DN 15 MM, INSTALADO EM RAMAL E SUB-RAMAL   FORNECIMENTO E INSTALAÇÃO. AF_01/2016_P</t>
  </si>
  <si>
    <t>JUNTA DE EXPANSÃO EM COBRE, PONTA X PONTA, DN 15 MM, INSTALADO EM RAMAL E SUB-RAMAL   FORNECIMENTO E INSTALAÇÃO. AF_01/2016_P</t>
  </si>
  <si>
    <t>LUVA PASSANTE EM COBRE, SEM ANEL DE SOLDA, DN 22 MM, INSTALADO EM RAMAL E SUB-RAMAL   FORNECIMENTO E INSTALAÇÃO. AF_01/2016_P</t>
  </si>
  <si>
    <t>BUCHA DE REDUÇÃO EM COBRE, SEM ANEL DE SOLDA, PONTA X BOLSA, 22 X 15 MM, INSTALADO EM RAMAL E SUB-RAMAL   FORNECIMENTO E INSTALAÇÃO. AF_01/2016_P</t>
  </si>
  <si>
    <t>CONECTOR EM BRONZE/LATÃO, SEM ANEL DE SOLDA, BOLSA X ROSCA F, 22 MM X 1/2, INSTALADO EM RAMAL E SUB-RAMAL   FORNECIMENTO E INSTALAÇÃO. AF_01/2016_P</t>
  </si>
  <si>
    <t>CONECTOR EM BRONZE/LATÃO, SEM ANEL DE SOLDA, BOLSA X ROSCA F, 22 MM X 3/4, INSTALADO EM RAMAL E SUB-RAMAL   FORNECIMENTO E INSTALAÇÃO. AF_01/2016_P</t>
  </si>
  <si>
    <t>CURVA DE TRANSPOSIÇÃO EM BRONZE/LATÃO, SEM ANEL DE SOLDA, BOLSA X BOLSA, 22 MM, INSTALADO EM RAMAL E SUB-RAMAL   FORNECIMENTO E INSTALAÇÃO. AF_01/2016_P</t>
  </si>
  <si>
    <t>LUVA PASSANTE EM COBRE, SEM ANEL DE SOLDA, DN 28 MM, INSTALADO EM RAMAL E SUB-RAMAL   FORNECIMENTO E INSTALAÇÃO. AF_01/2016_P</t>
  </si>
  <si>
    <t>CONECTOR EM BRONZE/LATÃO, SEM ANEL DE SOLDA, BOLSA X ROSCA F, 28 MM X 1/2, INSTALADO EM RAMAL E SUB-RAMAL   FORNECIMENTO E INSTALAÇÃO. AF_01/2016_P</t>
  </si>
  <si>
    <t>CURVA DE TRANSPOSIÇÃO EM BRONZE/LATÃO, SEM ANEL DE SOLDA, BOLSA X BOLSA, 28 MM, INSTALADO EM RAMAL E SUB-RAMAL   FORNECIMENTO E INSTALAÇÃO. AF_01/2016_P</t>
  </si>
  <si>
    <t>JUNTA DE EXPANSÃO EM COBRE, PONTA X PONTA, DN 28 MM, INSTALADO EM RAMAL E SUB-RAMAL   FORNECIMENTO E INSTALAÇÃO. AF_01/2016_P</t>
  </si>
  <si>
    <t>TE DUPLA CURVA EM BRONZE/LATÃO, SEM ANEL DE SOLDA, ROSCA F X BOLSA X ROSCA F, 1/2 X 15 X 1/2, INSTALADO EM RAMAL E SUB-RAMAL   FORNECIMENTO E INSTALAÇÃO. AF_01/2016_P</t>
  </si>
  <si>
    <t>TE DUPLA CURVA EM BRONZE/LATÃO, SEM ANEL DE SOLDA, ROSCA F X BOLSA, ROSCA F, 3/4 X 22 X 3/4, INSTALADO EM RAMAL E SUB-RAMAL   FORNECIMENTO E INSTALAÇÃO. AF_01/2016_P</t>
  </si>
  <si>
    <t>COTOVELO EM BRONZE/LATÃO, 90 GRAUS, SEM ANEL DE SOLDA, BOLSA X ROSCA F, DN 22 MM X 1/2, INSTALADO EM PRUMADA   FORNECIMENTO E INSTALAÇÃO. AF_01/2016_P</t>
  </si>
  <si>
    <t>COTOVELO EM BRONZE/LATÃO, 90 GRAUS, SEM ANEL DE SOLDA, BOLSA X ROSCA F, DN 22 MM X 3/4, INSTALADO EM PRUMADA   FORNECIMENTO E INSTALAÇÃO. AF_01/2016_P</t>
  </si>
  <si>
    <t>CURVA EM COBRE, 45 GRAUS, SEM ANEL DE SOLDA, DN 42 MM, INSTALADO EM PRUMADA   FORNECIMENTO E INSTALAÇÃO. AF_01/2016_P</t>
  </si>
  <si>
    <t>BUCHA DE REDUÇÃO EM COBRE, SEM ANEL DE SOLDA, PONTA X BOLSA, 28 X 22 MM, INSTALADO EM RAMAL E SUB-RAMAL   FORNECIMENTO E INSTALAÇÃO. AF_01/2016_P</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</si>
  <si>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</si>
  <si>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</si>
  <si>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</si>
  <si>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</si>
  <si>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</si>
  <si>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</si>
  <si>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</si>
  <si>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</si>
  <si>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</si>
  <si>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</si>
  <si>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</si>
  <si>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</si>
  <si>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</si>
  <si>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</si>
  <si>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</si>
  <si>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DE COBRE, SEM ANEL DE SOLDA, DN 54 MM, INSTALADO EM RESERVAÇÃO DE ÁGUA DE EDIFICAÇÃO QUE POSSUA RESERVATÓRIO DE FIBRA/FIBROCIMENTO  FORNECIMENTO E INSTALAÇÃO. AF_06/2016_P</t>
  </si>
  <si>
    <t>LUVA DE COBRE, SEM ANEL DE SOLDA, DN 66 MM, INSTALADO EM RESERVAÇÃO DE ÁGUA DE EDIFICAÇÃO QUE POSSUA RESERVATÓRIO DE FIBRA/FIBROCIMENTO  FORNECIMENTO E INSTALAÇÃO. AF_06/2016_P</t>
  </si>
  <si>
    <t>LUVA DE COBRE, SEM ANEL DE SOLDA, DN 79 MM, INSTALADO EM RESERVAÇÃO DE ÁGUA DE EDIFICAÇÃO QUE POSSUA RESERVATÓRIO DE FIBRA/FIBROCIMENTO  FORNECIMENTO E INSTALAÇÃO. AF_06/2016_P</t>
  </si>
  <si>
    <t>LUVA DE COBRE, SEM ANEL DE SOLDA, DN 104 MM, INSTALADO EM RESERVAÇÃO DE ÁGUA DE EDIFICAÇÃO QUE POSSUA RESERVATÓRIO DE FIBRA/FIBROCIMENTO  FORNECIMENTO E INSTALAÇÃO. AF_06/2016_P</t>
  </si>
  <si>
    <t>COTOVELO EM COBRE, 90 GRAUS, SEM ANEL DE SOLDA, DN 54 MM, INSTALADO EM RESERVAÇÃO DE ÁGUA DE EDIFICAÇÃO QUE POSSUA RESERVATÓRIO DE FIBRA/FIBROCIMENTO  FORNECIMENTO E INSTALAÇÃO. AF_06/2016_P</t>
  </si>
  <si>
    <t>CURVA EM COBRE, 45 GRAUS, SEM ANEL DE SOLDA, BOLSA X BOLSA, DN 54 MM,  INSTALADO EM RESERVAÇÃO DE ÁGUA DE EDIFICAÇÃO QUE POSSUA RESERVATÓRIO DE FIBRA/FIBROCIMENTO  FORNECIMENTO E INSTALAÇÃO. AF_06/2016_P</t>
  </si>
  <si>
    <t>COTOVELO EM COBRE, 90 GRAUS, SEM ANEL DE SOLDA, DN 66 MM, INSTALADO EM RESERVAÇÃO DE ÁGUA DE EDIFICAÇÃO QUE POSSUA RESERVATÓRIO DE FIBRA/FIBROCIMENTO  FORNECIMENTO E INSTALAÇÃO. AF_06/2016[_P</t>
  </si>
  <si>
    <t>CURVA EM COBRE, 45 GRAUS, SEM ANEL DE SOLDA, BOLSA X BOLSA, DN 66 MM,  INSTALADO EM RESERVAÇÃO DE ÁGUA DE EDIFICAÇÃO QUE POSSUA RESERVATÓRIO DE FIBRA/FIBROCIMENTO  FORNECIMENTO E INSTALAÇÃO. AF_06/2016_P</t>
  </si>
  <si>
    <t>COTOVELO EM COBRE, 90 GRAUS, SEM ANEL DE SOLDA, DN 79 MM, INSTALADO EM RESERVAÇÃO DE ÁGUA DE EDIFICAÇÃO QUE POSSUA RESERVATÓRIO DE FIBRA/FIBROCIMENTO  FORNECIMENTO E INSTALAÇÃO. AF_06/2016_P</t>
  </si>
  <si>
    <t>COTOVELO EM COBRE, 90 GRAUS, SEM ANEL DE SOLDA, DN 104 MM, INSTALADO EM RESERVAÇÃO DE ÁGUA DE EDIFICAÇÃO QUE POSSUA RESERVATÓRIO DE FIBRA/FIBROCIMENTO  FORNECIMENTO E INSTALAÇÃO. AF_06/2016_P</t>
  </si>
  <si>
    <t>TE EM COBRE, SEM ANEL DE SOLDA, DN 54 MM,  INSTALADO EM RESERVAÇÃO DE ÁGUA DE EDIFICAÇÃO QUE POSSUA RESERVATÓRIO DE FIBRA/FIBROCIMENTO  FORNECIMENTO E INSTALAÇÃO. AF_06/2016_P</t>
  </si>
  <si>
    <t>TE EM COBRE, SEM ANEL DE SOLDA, DN 66 MM,  INSTALADO EM RESERVAÇÃO DE ÁGUA DE EDIFICAÇÃO QUE POSSUA RESERVATÓRIO DE FIBRA/FIBROCIMENTO  FORNECIMENTO E INSTALAÇÃO. AF_06/2016_P</t>
  </si>
  <si>
    <t>TE EM COBRE, SEM ANEL DE SOLDA, DN 79 MM,  INSTALADO EM RESERVAÇÃO DE ÁGUA DE EDIFICAÇÃO QUE POSSUA RESERVATÓRIO DE FIBRA/FIBROCIMENTO  FORNECIMENTO E INSTALAÇÃO. AF_06/2016_P</t>
  </si>
  <si>
    <t>TE EM COBRE, SEM ANEL DE SOLDA, DN 104 MM,  INSTALADO EM RESERVAÇÃO DE ÁGUA DE EDIFICAÇÃO QUE POSSUA RESERVATÓRIO DE FIBRA/FIBROCIMENTO  FORNECIMENTO E INSTALAÇÃO. AF_06/2016_P</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</si>
  <si>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</si>
  <si>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</si>
  <si>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</si>
  <si>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</si>
  <si>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</si>
  <si>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</si>
  <si>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</si>
  <si>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</si>
  <si>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</si>
  <si>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</si>
  <si>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</si>
  <si>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</si>
  <si>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</si>
  <si>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</si>
  <si>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</si>
  <si>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</si>
  <si>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</si>
  <si>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</si>
  <si>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</si>
  <si>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</si>
  <si>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</si>
  <si>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</si>
  <si>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</si>
  <si>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</si>
  <si>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</si>
  <si>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</si>
  <si>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</si>
  <si>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</si>
  <si>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</si>
  <si>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</si>
  <si>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</si>
  <si>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</si>
  <si>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</si>
  <si>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</si>
  <si>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</si>
  <si>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</si>
  <si>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</si>
  <si>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</si>
  <si>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</si>
  <si>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</si>
  <si>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</si>
  <si>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</si>
  <si>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</si>
  <si>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</si>
  <si>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</si>
  <si>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</si>
  <si>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</si>
  <si>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</si>
  <si>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</si>
  <si>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</si>
  <si>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</si>
  <si>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</si>
  <si>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</si>
  <si>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</si>
  <si>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</si>
  <si>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</si>
  <si>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</si>
  <si>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</si>
  <si>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</si>
  <si>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</si>
  <si>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</si>
  <si>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</si>
  <si>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</si>
  <si>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</si>
  <si>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</si>
  <si>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</si>
  <si>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</si>
  <si>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</si>
  <si>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</si>
  <si>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</si>
  <si>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</si>
  <si>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</si>
  <si>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</si>
  <si>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</si>
  <si>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</si>
  <si>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</si>
  <si>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</si>
  <si>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</si>
  <si>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</si>
  <si>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</si>
  <si>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</si>
  <si>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</si>
  <si>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</si>
  <si>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</si>
  <si>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</si>
  <si>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</si>
  <si>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</si>
  <si>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</si>
  <si>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</si>
  <si>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</si>
  <si>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</si>
  <si>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</si>
  <si>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</si>
  <si>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</si>
  <si>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SPRINKLER TIPO PENDENTE, 68° C, UNIÃO POR ROSCA, DN 15 (½)  FORNECIMENTO E INSTALAÇÃO. AF_12/2015</t>
  </si>
  <si>
    <t>74051/1</t>
  </si>
  <si>
    <t>CAIXA DE GORDURA DUPLA EM CONCRETO PRE-MOLDADO DN 60MM COM TAMPA - FORNECIMENTO E INSTALACAO</t>
  </si>
  <si>
    <t>74051/2</t>
  </si>
  <si>
    <t>CAIXA DE GORDURA SIMPLES EM CONCRETO PRE-MOLDADO DN 40MM COM TAMPA - FORNECIMENTO E INSTALACAO</t>
  </si>
  <si>
    <t>74104/1</t>
  </si>
  <si>
    <t>CAIXA DE INSPEÇÃO EM ALVENARIA DE TIJOLO MACIÇO 60X60X60CM, REVESTIDA INTERNAMENTO COM BARRA LISA (CIMENTO E AREIA, TRAÇO 1:4) E=2,0CM, COM TAMPA PRÉ-MOLDADA DE CONCRETO E FUNDO DE CONCRETO 15MPA TIPO C - ESCAVAÇÃO E CONFECÇÃO</t>
  </si>
  <si>
    <t>74166/1</t>
  </si>
  <si>
    <t>74166/2</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</si>
  <si>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</si>
  <si>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</si>
  <si>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</si>
  <si>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</si>
  <si>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</si>
  <si>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</si>
  <si>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</si>
  <si>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74234/1</t>
  </si>
  <si>
    <t>MICTORIO SIFONADO DE LOUCA BRANCA COM PERTENCES, COM REGISTRO DE PRESSAO 1/2" COM CANOPLA CROMADA ACABAMENTO SIMPLES E CONJUNTO PARA FIXACAO  - FORNECIMENTO E INSTALACAO</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</si>
  <si>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</si>
  <si>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</si>
  <si>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</si>
  <si>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</si>
  <si>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</si>
  <si>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</si>
  <si>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</si>
  <si>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</si>
  <si>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</si>
  <si>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</si>
  <si>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</si>
  <si>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</si>
  <si>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</si>
  <si>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</si>
  <si>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</si>
  <si>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</si>
  <si>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</si>
  <si>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</si>
  <si>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</si>
  <si>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</si>
  <si>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</si>
  <si>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</si>
  <si>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</si>
  <si>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</si>
  <si>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</si>
  <si>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</si>
  <si>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</si>
  <si>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</si>
  <si>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</si>
  <si>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</si>
  <si>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</si>
  <si>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</si>
  <si>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</si>
  <si>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</si>
  <si>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</si>
  <si>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</si>
  <si>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</si>
  <si>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</si>
  <si>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</si>
  <si>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</si>
  <si>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</si>
  <si>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</si>
  <si>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</si>
  <si>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</si>
  <si>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</si>
  <si>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</si>
  <si>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</si>
  <si>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</si>
  <si>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</si>
  <si>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</si>
  <si>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</si>
  <si>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</si>
  <si>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</si>
  <si>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</si>
  <si>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</si>
  <si>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</si>
  <si>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</si>
  <si>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</si>
  <si>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</si>
  <si>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</si>
  <si>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</si>
  <si>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</si>
  <si>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</si>
  <si>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</si>
  <si>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</si>
  <si>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</si>
  <si>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</si>
  <si>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74198/1</t>
  </si>
  <si>
    <t>SUMIDOURO EM ALVENARIA DE TIJOLO CERAMICO MACICO DIAMETRO 1,20M E ALTURA 5,00M, COM TAMPA EM CONCRETO ARMADO DIAMETRO 1,40M E ESPESSURA 10CM</t>
  </si>
  <si>
    <t>74198/2</t>
  </si>
  <si>
    <t>SUMIDOURO EM ALVENARIA DE TIJOLO CERAMICO MACIÇO DIAMETRO 1,40M E ALTURA 5,00M, COM TAMPA EM CONCRETO ARMADO DIAMETRO 1,60M E ESPESSURA 10CM</t>
  </si>
  <si>
    <t>FOSSA SÉPTICA EM ALVENARIA DE TIJOLO CERÂMICO MACIÇO, DIMENSÕES EXTERNAS DE 1,90X1,10X1,40 M, VOLUME DE 1.500 LITROS, REVESTIDO INTERNAMENTE COM MASSA ÚNICA E IMPERMEABILIZANTE E COM TAMPA DE CONCRETO ARMADO COM ESPESSURA DE 8 CM</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</si>
  <si>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</si>
  <si>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</si>
  <si>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VALVULA DESCARGA 1.1/2" COM REGISTRO, ACABAMENTO EM METAL CROMADO - FORNECIMENTO E INSTALACAO</t>
  </si>
  <si>
    <t>73795/1</t>
  </si>
  <si>
    <t>73795/2</t>
  </si>
  <si>
    <t>73795/3</t>
  </si>
  <si>
    <t>VÁLVULA DE RETENÇÃO VERTICAL Ø 32MM (1.1/4") - FORNECIMENTO E INSTALAÇÃO</t>
  </si>
  <si>
    <t>73795/4</t>
  </si>
  <si>
    <t>VÁLVULA DE RETENÇÃO VERTICAL Ø 40MM (1.1/2") - FORNECIMENTO E INSTALAÇÃO</t>
  </si>
  <si>
    <t>73795/5</t>
  </si>
  <si>
    <t>73795/6</t>
  </si>
  <si>
    <t>73795/7</t>
  </si>
  <si>
    <t>73795/8</t>
  </si>
  <si>
    <t>VÁLVULA DE RETENÇÃO HORIZONTAL Ø 20MM (3/4") - FORNECIMENTO E INSTALAÇÃO</t>
  </si>
  <si>
    <t>73795/9</t>
  </si>
  <si>
    <t>VALVULA DE RETENCAO HORIZONTAL Ø 25MM (1) - FORNECIMENTO E INSTALACAO</t>
  </si>
  <si>
    <t>73795/10</t>
  </si>
  <si>
    <t>VÁLVULA DE RETENÇÃO HORIZONTAL Ø 32MM (1.1/4") - FORNECIMENTO E INSTALAÇÃO</t>
  </si>
  <si>
    <t>73795/11</t>
  </si>
  <si>
    <t>VÁLVULA DE RETENÇÃO HORIZONTAL Ø 40MM (1.1/2") - FORNECIMENTO E INSTALAÇÃO</t>
  </si>
  <si>
    <t>73795/12</t>
  </si>
  <si>
    <t>73795/13</t>
  </si>
  <si>
    <t>VÁLVULA DE RETENÇÃO HORIZONTAL Ø 65MM (2.1/2") - FORNECIMENTO E INSTALAÇÃO</t>
  </si>
  <si>
    <t>73795/14</t>
  </si>
  <si>
    <t>73795/15</t>
  </si>
  <si>
    <t>VÁLVULA DE RETENÇÃO HORIZONTAL Ø 100MM (4") - FORNECIMENTO E INSTALAÇÃO</t>
  </si>
  <si>
    <t>73796/1</t>
  </si>
  <si>
    <t>73796/2</t>
  </si>
  <si>
    <t>73796/3</t>
  </si>
  <si>
    <t>73796/4</t>
  </si>
  <si>
    <t>73796/5</t>
  </si>
  <si>
    <t>73796/6</t>
  </si>
  <si>
    <t>73796/7</t>
  </si>
  <si>
    <t>73870/4</t>
  </si>
  <si>
    <t>74091/1</t>
  </si>
  <si>
    <t>74093/1</t>
  </si>
  <si>
    <t>74169/1</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</si>
  <si>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</si>
  <si>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</si>
  <si>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PRESSÃO BRUTO, ROSCÁVEL, 3/4",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</si>
  <si>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</si>
  <si>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</si>
  <si>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</si>
  <si>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</si>
  <si>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</si>
  <si>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</si>
  <si>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</si>
  <si>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</si>
  <si>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</si>
  <si>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</si>
  <si>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</si>
  <si>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</si>
  <si>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</si>
  <si>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</si>
  <si>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</si>
  <si>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</si>
  <si>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</si>
  <si>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</si>
  <si>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</si>
  <si>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</si>
  <si>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</si>
  <si>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</si>
  <si>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</si>
  <si>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</si>
  <si>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</si>
  <si>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</si>
  <si>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</si>
  <si>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</si>
  <si>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</si>
  <si>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</si>
  <si>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</si>
  <si>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</si>
  <si>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</si>
  <si>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</si>
  <si>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</si>
  <si>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</si>
  <si>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</si>
  <si>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</si>
  <si>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</si>
  <si>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</si>
  <si>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</si>
  <si>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</si>
  <si>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</si>
  <si>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</si>
  <si>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</si>
  <si>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</si>
  <si>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</si>
  <si>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</si>
  <si>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</si>
  <si>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</si>
  <si>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</si>
  <si>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</si>
  <si>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</si>
  <si>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</si>
  <si>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</si>
  <si>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</si>
  <si>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</si>
  <si>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</si>
  <si>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</si>
  <si>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</si>
  <si>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</si>
  <si>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</si>
  <si>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</si>
  <si>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</si>
  <si>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</si>
  <si>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</si>
  <si>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</si>
  <si>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</si>
  <si>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</si>
  <si>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</si>
  <si>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</si>
  <si>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</si>
  <si>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</si>
  <si>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</si>
  <si>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</si>
  <si>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</si>
  <si>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</si>
  <si>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</si>
  <si>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</si>
  <si>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</si>
  <si>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</si>
  <si>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</si>
  <si>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</si>
  <si>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</si>
  <si>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</si>
  <si>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</si>
  <si>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</si>
  <si>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</si>
  <si>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</si>
  <si>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73826/1</t>
  </si>
  <si>
    <t>73826/2</t>
  </si>
  <si>
    <t>73834/1</t>
  </si>
  <si>
    <t>73834/2</t>
  </si>
  <si>
    <t>73834/3</t>
  </si>
  <si>
    <t>73834/4</t>
  </si>
  <si>
    <t>73835/1</t>
  </si>
  <si>
    <t>73835/2</t>
  </si>
  <si>
    <t>73835/3</t>
  </si>
  <si>
    <t>73836/1</t>
  </si>
  <si>
    <t>73836/2</t>
  </si>
  <si>
    <t>73836/3</t>
  </si>
  <si>
    <t>73836/4</t>
  </si>
  <si>
    <t>73837/1</t>
  </si>
  <si>
    <t>73837/2</t>
  </si>
  <si>
    <t>73837/3</t>
  </si>
  <si>
    <t>73824/1</t>
  </si>
  <si>
    <t>73825/2</t>
  </si>
  <si>
    <t>73873/1</t>
  </si>
  <si>
    <t>73873/2</t>
  </si>
  <si>
    <t>73873/3</t>
  </si>
  <si>
    <t>73873/4</t>
  </si>
  <si>
    <t>73873/5</t>
  </si>
  <si>
    <t>73827/1</t>
  </si>
  <si>
    <t>74218/1</t>
  </si>
  <si>
    <t>74253/1</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</si>
  <si>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</si>
  <si>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</si>
  <si>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</si>
  <si>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</si>
  <si>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</si>
  <si>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</si>
  <si>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</si>
  <si>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</si>
  <si>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</si>
  <si>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73903/1</t>
  </si>
  <si>
    <t>73903/2</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</si>
  <si>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</si>
  <si>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</si>
  <si>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</si>
  <si>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</si>
  <si>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</si>
  <si>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</si>
  <si>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</si>
  <si>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</si>
  <si>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</si>
  <si>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</si>
  <si>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</si>
  <si>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</si>
  <si>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</si>
  <si>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</si>
  <si>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</si>
  <si>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</si>
  <si>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</si>
  <si>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</si>
  <si>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4 CAMINHÕES BASCULANTES DE 14 M³, DMT DE 2 KM E VELOCIDADE MÉDIA 22 KM/H. AF_12/2013</t>
  </si>
  <si>
    <t>ESCAVAÇÃO VERTICAL A CÉU ABERTO, INCLUINDO CARGA, DESCARGA E TRANSPORTE, EM SOLO DE 1ª CATEGORIA COM ESCAVADEIRA HIDRÁULICA (CAÇAMBA: 0,8 M³ / 111 HP), FROTA DE 4 CAMINHÕES BASCULANTES DE 14 M³, DMT DE 2 KM E VELOCIDADE MÉDIA 35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</si>
  <si>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</si>
  <si>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</si>
  <si>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</si>
  <si>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</si>
  <si>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</si>
  <si>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</si>
  <si>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</si>
  <si>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</si>
  <si>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</si>
  <si>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4 CAMINHÕES BASCULANTES DE 18 M³, DMT DE 2 KM E VELOCIDADE MÉDIA 22 KM/H. AF_12/2013</t>
  </si>
  <si>
    <t>ESCAVAÇÃO VERTICAL A CÉU ABERTO, INCLUINDO CARGA, DESCARGA E TRANSPORTE, EM SOLO DE 1ª CATEGORIA COM ESCAVADEIRA HIDRÁULICA (CAÇAMBA: 0,8 M³ / 111 HP), FROTA DE 3 CAMINHÕES BASCULANTES DE 18 M³, DMT DE 2 KM E VELOCIDADE MÉDIA 35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</si>
  <si>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</si>
  <si>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</si>
  <si>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</si>
  <si>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</si>
  <si>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</si>
  <si>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</si>
  <si>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</si>
  <si>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</si>
  <si>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</si>
  <si>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5 CAMINHÕES BASCULANTES DE 14 M³, DMT DE 2 KM E VELOCIDADE MÉDIA 22 KM/H. AF_12/2013</t>
  </si>
  <si>
    <t>ESCAVAÇÃO VERTICAL A CÉU ABERTO, INCLUINDO CARGA, DESCARGA E TRANSPORTE, EM SOLO DE 1ª CATEGORIA COM ESCAVADEIRA HIDRÁULICA (CAÇAMBA: 1,2 M³ / 155 HP), FROTA DE 5 CAMINHÕES BASCULANTES DE 14 M³, DMT DE 2 KM E VELOCIDADE MÉDIA 35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</si>
  <si>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</si>
  <si>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</si>
  <si>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</si>
  <si>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</si>
  <si>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</si>
  <si>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</si>
  <si>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</si>
  <si>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</si>
  <si>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</si>
  <si>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5 CAMINHÕES BASCULANTES DE 18 M³, DMT DE 2 KM E VELOCIDADE MÉDIA 22 KM/H. AF_12/2013</t>
  </si>
  <si>
    <t>ESCAVAÇÃO VERTICAL A CÉU ABERTO, INCLUINDO CARGA, DESCARGA E TRANSPORTE, EM SOLO DE 1ª CATEGORIA COM ESCAVADEIRA HIDRÁULICA (CAÇAMBA: 1,2 M³ / 155 HP), FROTA DE 4 CAMINHÕES BASCULANTES DE 18 M³, DMT DE 2 KM E VELOCIDADE MÉDIA 35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</si>
  <si>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</si>
  <si>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</si>
  <si>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</si>
  <si>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ESCAVACAO MECANICA DE VALA EM MATERIAL DE 2A. CATEGORIA ATE 2 M DE PROFUNDIDADE COM UTILIZACAO DE ESCAVADEIRA HIDRAULICA</t>
  </si>
  <si>
    <t>73965/9</t>
  </si>
  <si>
    <t>ESCAVACAO MANUAL DE VALA EM LODO, DE 1,5 ATE 3M, EXCLUINDO ESGOTAMENTO/ESCORAMENTO.</t>
  </si>
  <si>
    <t>79506/2</t>
  </si>
  <si>
    <t>79518/1</t>
  </si>
  <si>
    <t>MARROAMENTO EM MATERIAL DE 3A CATEGORIA, ROCHA VIVA PARA REDUÇÃO A PEDRA-DE-MÃO</t>
  </si>
  <si>
    <t>79518/2</t>
  </si>
  <si>
    <t>ESCAVACAO MECANICA DE VALAS (SOLO COM AGUA), PROFUNDIDADE MAIOR QUE 4,00 M ATE 6,00 M.</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</si>
  <si>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</si>
  <si>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</si>
  <si>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</si>
  <si>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</si>
  <si>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</si>
  <si>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</si>
  <si>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</si>
  <si>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</si>
  <si>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</si>
  <si>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</si>
  <si>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</si>
  <si>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</si>
  <si>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</si>
  <si>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</si>
  <si>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</si>
  <si>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</si>
  <si>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</si>
  <si>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</si>
  <si>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</si>
  <si>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</si>
  <si>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</si>
  <si>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</si>
  <si>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</si>
  <si>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</si>
  <si>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</si>
  <si>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</si>
  <si>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</si>
  <si>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</si>
  <si>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</si>
  <si>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</si>
  <si>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</si>
  <si>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</si>
  <si>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</si>
  <si>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</si>
  <si>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</si>
  <si>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</si>
  <si>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</si>
  <si>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</si>
  <si>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</si>
  <si>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</si>
  <si>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73964/6</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</si>
  <si>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</si>
  <si>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</si>
  <si>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</si>
  <si>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</si>
  <si>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</si>
  <si>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</si>
  <si>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</si>
  <si>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</si>
  <si>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</si>
  <si>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</si>
  <si>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</si>
  <si>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</si>
  <si>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</si>
  <si>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</si>
  <si>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</si>
  <si>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</si>
  <si>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</si>
  <si>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</si>
  <si>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</si>
  <si>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</si>
  <si>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</si>
  <si>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</si>
  <si>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TRANSPORTE COMERCIAL COM CAMINHAO CARROCERIA 9 T, RODOVIA EM LEITO NATURAL</t>
  </si>
  <si>
    <t>TRANSPORTE COMERCIAL COM CAMINHAO CARROCERIA 9 T, RODOVIA COM REVESTIMENTO PRIMARIO</t>
  </si>
  <si>
    <t>TRANSPORTE COMERCIAL COM CAMINHAO BASCULANTE 6 M3, RODOVIA EM LEITO NATURAL</t>
  </si>
  <si>
    <t>TRANSPORTE COMERCIAL COM CAMINHAO BASCULANTE 6 M3,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</si>
  <si>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</si>
  <si>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</si>
  <si>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</si>
  <si>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</si>
  <si>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</si>
  <si>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</si>
  <si>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</si>
  <si>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</si>
  <si>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</si>
  <si>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</si>
  <si>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</si>
  <si>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</si>
  <si>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</si>
  <si>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</si>
  <si>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74241/1</t>
  </si>
  <si>
    <t>EMPILHAMENTO DE SOLO ORGANICO RETIRADO NA AREA DO ATERRO COM TRATOR SOBRE ESTEIRAS D6</t>
  </si>
  <si>
    <t>TRANSPORTE COM CAMINHÃO BASCULANTE 6 M3 EM RODOVIA COM REVESTIMENTO PRIMÁRIO, DMT ATÉ 200 M</t>
  </si>
  <si>
    <t>TRANSPORTE COM CAMINHÃO BASCULANTE 6 M3 EM RODOVIA COM REVESTIMENTO PRIMÁRIO, DMT 200 A 400 M</t>
  </si>
  <si>
    <t>TRANSPORTE COM CAMINHÃO BASCULANTE 6 M3 EM RODOVIA COM REVESTIMENTO PRIMÁRIO, DMT 400 A 600 M</t>
  </si>
  <si>
    <t>TRANSPORTE COM CAMINHÃO BASCULANTE 6 M3 EM RODOVIA COM REVESTIMENTO PRIMÁRIO,  DMT 800 A 1.000 M</t>
  </si>
  <si>
    <t>TRANSPORTE COM CAMINHÃO BASCULANTE 6 M3 EM RODOVIA COM REVESTIMENTO PRIMÁRIO,  DMT 600 A 800 M</t>
  </si>
  <si>
    <t>TRANSPORTE COM CAMINHÃO BASCULANTE 6 M3 EM RODOVIA COM REVESTIMENTO PRIMÁRIO</t>
  </si>
  <si>
    <t>TRANSPORTE COM CAMINHÃO BASCULANTE 6 M3 EM RODOVIA PAVIMENTADA,  DMT ATÉ 200 M</t>
  </si>
  <si>
    <t>TRANSPORTE COM CAMINHÃO BASCULANTE 6 M3 EM RODOVIA PAVIMENTADA, DMT 200 A 400 M</t>
  </si>
  <si>
    <t>TRANSPORTE COM CAMINHÃO BASCULANTE 6 M3 EM RODOVIA PAVIMENTADA, DMT 400 A 600 M</t>
  </si>
  <si>
    <t>TRANSPORTE COM CAMINHÃO BASCULANTE 6 M3 EM RODOVIA PAVIMENTADA, DMT 600 A 800 M</t>
  </si>
  <si>
    <t>TRANSPORTE COM CAMINHÃO BASCULANTE 6 M3 EM RODOVIA PAVIMENTADA, DMT 800 A 1.000 M</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</si>
  <si>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</si>
  <si>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</si>
  <si>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</si>
  <si>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</si>
  <si>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</si>
  <si>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</si>
  <si>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</si>
  <si>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</si>
  <si>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</si>
  <si>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</si>
  <si>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</si>
  <si>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</si>
  <si>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</si>
  <si>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</si>
  <si>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</si>
  <si>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</si>
  <si>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</si>
  <si>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</si>
  <si>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</si>
  <si>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</si>
  <si>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</si>
  <si>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74005/1</t>
  </si>
  <si>
    <t>74005/2</t>
  </si>
  <si>
    <t>COMPACTACAO MECANICA C/ CONTROLE DO GC&gt;=95% DO PN (AREAS) (C/MONIVELADORA 140 HP E ROLO COMPRESSOR VIBRATORIO 80 HP)</t>
  </si>
  <si>
    <t>74034/1</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</si>
  <si>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</si>
  <si>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</si>
  <si>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</si>
  <si>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</si>
  <si>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</si>
  <si>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</si>
  <si>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</si>
  <si>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</si>
  <si>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</si>
  <si>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</si>
  <si>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</si>
  <si>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</si>
  <si>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</si>
  <si>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</si>
  <si>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</si>
  <si>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</si>
  <si>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</si>
  <si>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</si>
  <si>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</si>
  <si>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</si>
  <si>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</si>
  <si>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</si>
  <si>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</si>
  <si>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</si>
  <si>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</si>
  <si>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</si>
  <si>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</si>
  <si>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</si>
  <si>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</si>
  <si>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</si>
  <si>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</si>
  <si>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</si>
  <si>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</si>
  <si>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</si>
  <si>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</si>
  <si>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</si>
  <si>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</si>
  <si>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</si>
  <si>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</si>
  <si>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</si>
  <si>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</si>
  <si>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</si>
  <si>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</si>
  <si>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</si>
  <si>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</si>
  <si>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</si>
  <si>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</si>
  <si>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</si>
  <si>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</si>
  <si>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</si>
  <si>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</si>
  <si>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</si>
  <si>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</si>
  <si>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</si>
  <si>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</si>
  <si>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</si>
  <si>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</si>
  <si>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</si>
  <si>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</si>
  <si>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</si>
  <si>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</si>
  <si>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</si>
  <si>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</si>
  <si>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</si>
  <si>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</si>
  <si>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</si>
  <si>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</si>
  <si>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</si>
  <si>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</si>
  <si>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</si>
  <si>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</si>
  <si>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</si>
  <si>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</si>
  <si>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</si>
  <si>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</si>
  <si>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</si>
  <si>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</si>
  <si>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</si>
  <si>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</si>
  <si>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</si>
  <si>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</si>
  <si>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</si>
  <si>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</si>
  <si>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</si>
  <si>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</si>
  <si>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</si>
  <si>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</si>
  <si>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</si>
  <si>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</si>
  <si>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</si>
  <si>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</si>
  <si>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</si>
  <si>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</si>
  <si>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</si>
  <si>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</si>
  <si>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</si>
  <si>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</si>
  <si>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</si>
  <si>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</si>
  <si>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</si>
  <si>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</si>
  <si>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</si>
  <si>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</si>
  <si>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</si>
  <si>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</si>
  <si>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</si>
  <si>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</si>
  <si>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</si>
  <si>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</si>
  <si>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</si>
  <si>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</si>
  <si>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</si>
  <si>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</si>
  <si>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</si>
  <si>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</si>
  <si>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</si>
  <si>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</si>
  <si>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</si>
  <si>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</si>
  <si>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</si>
  <si>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</si>
  <si>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</si>
  <si>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</si>
  <si>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</si>
  <si>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</si>
  <si>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</si>
  <si>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</si>
  <si>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</si>
  <si>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</si>
  <si>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</si>
  <si>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</si>
  <si>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</si>
  <si>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</si>
  <si>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</si>
  <si>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</si>
  <si>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</si>
  <si>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</si>
  <si>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</si>
  <si>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</si>
  <si>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</si>
  <si>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</si>
  <si>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</si>
  <si>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</si>
  <si>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</si>
  <si>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</si>
  <si>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</si>
  <si>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</si>
  <si>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</si>
  <si>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</si>
  <si>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</si>
  <si>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</si>
  <si>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</si>
  <si>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</si>
  <si>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</si>
  <si>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</si>
  <si>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</si>
  <si>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</si>
  <si>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</si>
  <si>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</si>
  <si>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</si>
  <si>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</si>
  <si>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</si>
  <si>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</si>
  <si>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</si>
  <si>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</si>
  <si>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</si>
  <si>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</si>
  <si>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</si>
  <si>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</si>
  <si>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</si>
  <si>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</si>
  <si>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</si>
  <si>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</si>
  <si>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74229/1</t>
  </si>
  <si>
    <t>DIVISORIA EM MARMORE BRANCO POLIDO, ESPESSURA 3 CM, ASSENTADO COM ARGAMASSA TRACO 1:4 (CIMENTO E AREIA), ARREMATE COM CIMENTO BRANCO, EXCLUSIVE FERRAGENS</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</si>
  <si>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</si>
  <si>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</si>
  <si>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</si>
  <si>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</si>
  <si>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</si>
  <si>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</si>
  <si>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</si>
  <si>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</si>
  <si>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</si>
  <si>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</si>
  <si>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DEMOLIÇÃO DE PAVIMENTAÇÃO ASFÁLTICA COM UTILIZAÇÃO DE MARTELO PERFURADOR, ESPESSURA ATÉ 15 CM, EXCLUSIVE CARGA E TRANSPORTE</t>
  </si>
  <si>
    <t>CONFORMACAO GEOMETRICA DE PLATAFORMA PARA EXECUCAO DE REVESTIMENTO PRIMARIO EM RODOVIAS VICINAIS</t>
  </si>
  <si>
    <t>BASE DE SOLO ESTABILIZADO SEM MISTURA, COMPACTACAO 100% PROCTOR NORMAL, EXCLUSIVE ESCAVACAO, CARGA E TRANSPORTE DO SOLO</t>
  </si>
  <si>
    <t>BASE DE SOLO CIMENTO 2% MISTURA EM PISTA, COMPACTACAO 100% PROCTOR INTERMEDIARIO, EXCLUSIVE ESCAVACAO, CARGA E TRANSPORTE DO SOLO</t>
  </si>
  <si>
    <t>BASE DE SOLO CIMENTO 4% MISTURA EM PISTA, COMPACTACAO 100% PROCTOR NORMAL, EXCLUSIVE TRANSPORTE DO SOLO</t>
  </si>
  <si>
    <t>BASE DE SOLO CIMENTO 6% MISTURA EM PISTA, COMPACTACAO 100% PROCTOR NORMAL, EXCLUSIVE ESCAVACAO, CARGA E TRANSPORTE DO SOLO</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</si>
  <si>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</si>
  <si>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</si>
  <si>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</si>
  <si>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</si>
  <si>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73766/1</t>
  </si>
  <si>
    <t>PAVIMENTO EM PARALELEPIPEDO SOBRE COLCHAO DE AREIA REJUNTADO COM ARGAMASSA DE CIMENTO E AREIA NO TRAÇO 1:3 (PEDRAS PEQUENAS 30 A 35 PECAS POR M2)</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</si>
  <si>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</si>
  <si>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</si>
  <si>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</si>
  <si>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73849/1</t>
  </si>
  <si>
    <t>AREIA ASFALTO A QUENTE (AAUQ) COM CAP 50/70, INCLUSO USINAGEM E APLICACAO, EXCLUSIVE TRANSPORTE</t>
  </si>
  <si>
    <t>73849/2</t>
  </si>
  <si>
    <t>AREIA ASFALTO A FRIO (AAUF), COM EMULSAO RR-2C INCLUSO USINAGEM E APLICACAO, EXCLUSIVE TRANSPORTE</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</si>
  <si>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</si>
  <si>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</si>
  <si>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</si>
  <si>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</si>
  <si>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</si>
  <si>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</si>
  <si>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</si>
  <si>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</si>
  <si>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</si>
  <si>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</si>
  <si>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</si>
  <si>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</si>
  <si>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</si>
  <si>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SINALIZACAO HORIZONTAL COM TINTA RETRORREFLETIVA A BASE DE RESINA ACRILICA COM MICROESFERAS DE VIDRO</t>
  </si>
  <si>
    <t>73770/1</t>
  </si>
  <si>
    <t>BARREIRA PRE-MOLDADA EXTERNA CONCRETO ARMADO 0,25X0,40X1,14M FCK=25MPA ACO CA-50 INCL VIGOTA HORIZONTAL MONTANTE A CADA 1,00M  FERROS DE LIGACAO E MATERIAIS.</t>
  </si>
  <si>
    <t>73770/2</t>
  </si>
  <si>
    <t>83696/1</t>
  </si>
  <si>
    <t>PINTURA GUARDA-CORPO GUARDA-RODA E MURETA PROTECAO COM CAL EM PONTES EVIADUTOS MEDIDA PELO DOBRO DA AREA TOTAL (LARGURAXALTURA).</t>
  </si>
  <si>
    <t>CONCRETO BETUMINOSO USINADO A QUENTE COM CAP 50/70, BINDER, INCLUSO USINAGEM E APLICACAO, EXCLUSIVE TRANSPORTE</t>
  </si>
  <si>
    <t>FABRICAÇÃO E APLICAÇÃO DE CONCRETO BETUMINOSO USINADO A QUENTE(CBUQ),CAP 50/70,  EXCLUSIVE TRANSPORTE</t>
  </si>
  <si>
    <t>73759/2</t>
  </si>
  <si>
    <t>CAIACAO INT OU EXT SOBRE REVESTIMENTO LISO C/ADOCAO DE FIXADOR COM    COM DUAS DEMAOS</t>
  </si>
  <si>
    <t>74133/1</t>
  </si>
  <si>
    <t>74133/2</t>
  </si>
  <si>
    <t>79494/1</t>
  </si>
  <si>
    <t>PINTURA DE QUADRO ESCOLAR COM TINTA ESMALTE ACABAMENTO FOSCO, DUAS DEMAOS SOBRE MASSA ACRILICA</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</si>
  <si>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</si>
  <si>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</si>
  <si>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</si>
  <si>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</si>
  <si>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</si>
  <si>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</si>
  <si>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</si>
  <si>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</si>
  <si>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</si>
  <si>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</si>
  <si>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</si>
  <si>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</si>
  <si>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</si>
  <si>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</si>
  <si>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</si>
  <si>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</si>
  <si>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</si>
  <si>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</si>
  <si>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</si>
  <si>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</si>
  <si>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79514/1</t>
  </si>
  <si>
    <t>73739/1</t>
  </si>
  <si>
    <t>74065/1</t>
  </si>
  <si>
    <t>74065/2</t>
  </si>
  <si>
    <t>PINTURA ESMALTE ACETINADO PARA MADEIRA, DUAS DEMAOS, SOBRE FUNDO NIVELADOR BRANCO</t>
  </si>
  <si>
    <t>74065/3</t>
  </si>
  <si>
    <t>PINTURA ESMALTE BRILHANTE PARA MADEIRA, DUAS DEMAOS, SOBRE FUNDO NIVELADOR BRANCO</t>
  </si>
  <si>
    <t>79497/1</t>
  </si>
  <si>
    <t>73794/1</t>
  </si>
  <si>
    <t>PINTURA COM TINTA PROTETORA ACABAMENTO GRAFITE ESMALTE SOBRE SUPERFICIE METALICA, 2 DEMAOS</t>
  </si>
  <si>
    <t>73865/1</t>
  </si>
  <si>
    <t>73924/1</t>
  </si>
  <si>
    <t>73924/2</t>
  </si>
  <si>
    <t>73924/3</t>
  </si>
  <si>
    <t>74064/1</t>
  </si>
  <si>
    <t>74064/2</t>
  </si>
  <si>
    <t>74145/1</t>
  </si>
  <si>
    <t>PINTURA ESMALTE FOSCO, DUAS DEMAOS, SOBRE SUPERFICIE METALICA, INCLUSO UMA DEMAO DE FUNDO ANTICORROSIVO. UTILIZACAO DE REVOLVER ( AR-COMPRIMIDO).</t>
  </si>
  <si>
    <t>79498/1</t>
  </si>
  <si>
    <t>79499/1</t>
  </si>
  <si>
    <t>PINTURA POSTE RETO DE ACO 3,5 A 6M C/1 DEMAO D/TINTA GRAFITE C/PROPRIEDADES DE PRIMER E ACABAMENTO - OBS: C/ALTO TEOR DE ZARCAO</t>
  </si>
  <si>
    <t>79515/1</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</si>
  <si>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</si>
  <si>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</si>
  <si>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</si>
  <si>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73978/1</t>
  </si>
  <si>
    <t>74245/1</t>
  </si>
  <si>
    <t>PINTURA COM TINTA A BASE DE BORRACHA CLORADA , DE FAIXAS DE DEMARCACAO, EM QUADRA POLIESPORTIVA, 5 CM DE LARGURA.</t>
  </si>
  <si>
    <t>79500/2</t>
  </si>
  <si>
    <t>APLICACAO DE VERNIZ POLIURETANO FOSCO SOBRE PISO DE PEDRAS DECORATIVAS, 3 DEMAOS</t>
  </si>
  <si>
    <t>PISO CIMENTADO E=1,5CM C/ARGAMASSA 1:3 CIMENTO AREIA ALISADO COLHER   SOBRE BASE EXISTENTE E ARGAMASSA EM PREPARO MECANIZADO</t>
  </si>
  <si>
    <t>PISO CIMENTADO TRAÇO 1:3 (CIMENTO E AREIA) ACABAMENTO LISO PIGMENTADO ESPESSURA 1,5CM COM JUNTAS PLASTICAS DE DILATACAO E ARGAMASSA EM PREPARO MANUAL</t>
  </si>
  <si>
    <t>73922/1</t>
  </si>
  <si>
    <t>PISO CIMENTADO TRACO 1:3 (CIMENTO E AREIA) ACABAMENTO LISO ESPESSURA 3,5CM, PREPARO MANUAL DA ARGAMASSA</t>
  </si>
  <si>
    <t>73922/2</t>
  </si>
  <si>
    <t>PISO CIMENTADO TRACO 1:4 (CIMENTO E AREIA) ACABAMENTO LISO ESPESSURA 2,5CM PREPARO MANUAL DA ARGAMASSA</t>
  </si>
  <si>
    <t>73922/3</t>
  </si>
  <si>
    <t>PISO CIMENTADO TRACO 1:3 (CIMENTO E AREIA) ACABAMENTO LISO ESPESSURA 2,0CM, PREPARO MANUAL DA ARGAMASSA</t>
  </si>
  <si>
    <t>73922/4</t>
  </si>
  <si>
    <t>PISO CIMENTADO TRACO 1:4 (CIMENTO E AREIA) ACABAMENTO LISO ESPESSURA 2,0CM, PREPARO MANUAL DA ARGAMASSA</t>
  </si>
  <si>
    <t>73922/5</t>
  </si>
  <si>
    <t>PISO CIMENTADO TRACO 1:3 (CIMENTO E AREIA) ACABAMENTO LISO ESPESSURA 3,0CM, PREPARO MANUAL DA ARGAMASSA</t>
  </si>
  <si>
    <t>73923/1</t>
  </si>
  <si>
    <t>PISO CIMENTADO TRACO 1:4 (CIMENTO E AREIA) ACABAMENTO RUSTICO ESPESSURA 2CM, ARGAMASSA COM PREPARO MANUAL</t>
  </si>
  <si>
    <t>73923/2</t>
  </si>
  <si>
    <t>PISO CIMENTADO TRACO 1:4 (CIMENTO E AREIA), COM ACABAMENTO RUSTICO ESPESSURA 3CM, PREPARO MANUAL</t>
  </si>
  <si>
    <t>73923/3</t>
  </si>
  <si>
    <t>PISO CIMENTADO TRACO 1:3 (CIMENTO E AREIA), COM ACABAMENTO RUSTICO E FRISADO ESPESSURA 2CM, PREPARO MANUAL</t>
  </si>
  <si>
    <t>73974/1</t>
  </si>
  <si>
    <t>PISO CIMENTADO TRACO 1:3 (CIMENTO E AREIA) ACABAMENTO RUSTICO ESPESSURA 2CM, PREPARO MECANICO DA ARGAMASSA</t>
  </si>
  <si>
    <t>73991/1</t>
  </si>
  <si>
    <t>PISO CIMENTADO TRACO 1:4 (CIMENTO E AREIA) COM ACABAMENTO LISO ESPESSURA 1,5CM, PREPARO MANUAL DA ARGAMASSA  INCLUSO ADITIVO IMPERMEABILIZANTE</t>
  </si>
  <si>
    <t>73991/2</t>
  </si>
  <si>
    <t>PISO CIMENTADO TRACO 1:3 (CIMENTO E AREIA) COM ACABAMENTO LISO ESPESSURA 1,5CM PREPARO MANUAL DA ARGAMASSA</t>
  </si>
  <si>
    <t>73991/3</t>
  </si>
  <si>
    <t>PISO CIMENTADO TRACO 1:3 (CIMENTO E AREIA) COM ACABAMENTO LISO ESPESSURA 3CM PREPARO MECANICO ARGAMASSA  INCLUSO ADITIVO IMPERMEABILIZANTE</t>
  </si>
  <si>
    <t>73991/4</t>
  </si>
  <si>
    <t>PISO CIMENTADO TRACO 1:3 (CIMENTO E AREIA) COM ACABAMENTO LISO ESPESSURA 1,5CM, PREPARO MANUAL DA ARGAMASSA INCLUSO ADITIVO IMPERMEABILIZANTE</t>
  </si>
  <si>
    <t>74079/1</t>
  </si>
  <si>
    <t>PISO CIMENTADO TRACO 1:4 (CIMENTO E AREIA) COM ACABAMENTO LISO  ESPESSURA 2,0CM COM JUNTAS PLASTICAS DE DILATACAO E PREPARO MANUAL DA ARGAMASSA</t>
  </si>
  <si>
    <t>76447/1</t>
  </si>
  <si>
    <t>PISO CIMENTADO TRACO 1:3 (CIMENTO E AREIA) ACABAMENTO LISO ESPESSURA 2,5 CM PREPARO MECANICO DA ARGAMASSA</t>
  </si>
  <si>
    <t>76448/1</t>
  </si>
  <si>
    <t>PISO CIMENTADO TRACO 1:4 (CIMENTO E AREIA) ACABAMENTO RUSTICO ESPESSURA 1,5 CM PREPARO MANUAL DA ARGAMASSA</t>
  </si>
  <si>
    <t>76448/2</t>
  </si>
  <si>
    <t>PISO CIMENTADO TRAÇO 1:4 (CIMENTO E AREIA) ACABAMENTO RUSTICO ESPESSURA 3,5 CM PREPARO MANUAL DA ARGAMASSA</t>
  </si>
  <si>
    <t>76448/3</t>
  </si>
  <si>
    <t>PISO CIMENTADO TRAÇO 1:4 (CIMENTO E AREIA) ACABAMENTO RUSTICO ESPESSURA 2,5 CM PREPARO MANUAL DA ARGAMASSA</t>
  </si>
  <si>
    <t>PISO CIMENTADO TRACO 1:3 (CIMENTO E AREIA) ACABAMENTO RUSTICO ESPESSURA 2 CM COM JUNTAS PLASTICAS DE DILATACAO, PREPARO MANUAL DA ARGAMASSA</t>
  </si>
  <si>
    <t>PISO CIMENTADO TRACO 1:3 (CIMENTO E AREIA) COM ACABAMENTO LISO ESPESSURA 3CM COM JUNTAS DE MADEIRA, PREPARO MANUAL DA ARGAMASSA INCLUSO ADITIVO IMPERMEABILIZANTE</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</si>
  <si>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</si>
  <si>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</si>
  <si>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</si>
  <si>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</si>
  <si>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73734/1</t>
  </si>
  <si>
    <t>PISO EM TACO DE MADEIRA 7X21CM, ASSENTADO COM ARGAMASSA TRACO 1:4 (CIMENTO E AREIA MEDIA)</t>
  </si>
  <si>
    <t>REVESTIMENTO CERÂMICO PARA PISO COM PLACAS TIPO GRÊS DE DIMENSÕES 35X35 CM APLICADA EM AMBIENTES DE ÁREA MENOR QUE 5 M2. AF_06/2014</t>
  </si>
  <si>
    <t>REVESTIMENTO CERÂMICO PARA PISO COM PLACAS TIPO GRÊS DE DIMENSÕES 35X35 CM APLICADA EM AMBIENTES DE ÁREA ENTRE 5 M2 E 10 M2. AF_06/2014</t>
  </si>
  <si>
    <t>REVESTIMENTO CERÂMICO PARA PISO COM PLACAS TIPO GRÊS DE DIMENSÕES 35X35 CM APLICADA EM AMBIENTES DE ÁREA MAIOR QUE 10 M2. AF_06/2014</t>
  </si>
  <si>
    <t>REVESTIMENTO CERÂMICO PARA PISO COM PLACAS TIPO GRÊS DE DIMENSÕES 45X45 CM APLICADA EM AMBIENTES DE ÁREA MENOR QUE 5 M2. AF_06/2014</t>
  </si>
  <si>
    <t>REVESTIMENTO CERÂMICO PARA PISO COM PLACAS TIPO GRÊS DE DIMENSÕES 45X45 CM APLICADA EM AMBIENTES DE ÁREA ENTRE 5 M2 E 10 M2. AF_06/2014</t>
  </si>
  <si>
    <t>REVESTIMENTO CERÂMICO PARA PISO COM PLACAS TIPO GRÊS DE DIMENSÕES 45X45 CM APLICADA EM AMBIENTES DE ÁREA MAIOR QUE 10 M2. AF_06/2014</t>
  </si>
  <si>
    <t>REVESTIMENTO CERÂMICO PARA PISO COM PLACAS TIPO GRÊS DE DIMENSÕES 60X60 CM APLICADA EM AMBIENTES DE ÁREA MENOR QUE 5 M2. AF_06/2014</t>
  </si>
  <si>
    <t>REVESTIMENTO CERÂMICO PARA PISO COM PLACAS TIPO GRÊS DE DIMENSÕES 60X60 CM APLICADA EM AMBIENTES DE ÁREA ENTRE 5 M2 E 10 M2. AF_06/2014</t>
  </si>
  <si>
    <t>REVESTIMENTO CERÂMICO PARA PISO COM PLACAS TIPO GRÊS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</si>
  <si>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</si>
  <si>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</si>
  <si>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</si>
  <si>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</si>
  <si>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</si>
  <si>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</si>
  <si>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</si>
  <si>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</si>
  <si>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GRÊS PADRÃO POPULAR DE DIMENSÕES 35X35 CM APLICADA EM AMBIENTES DE ÁREA MENOR QUE 5 M2. AF_06/2014</t>
  </si>
  <si>
    <t>REVESTIMENTO CERÂMICO PARA PISO COM PLACAS TIPO GRÊS PADRÃO POPULAR DE DIMENSÕES 35X35 CM APLICADA EM AMBIENTES DE ÁREA MAIOR QUE 10 M2. AF_06/2014</t>
  </si>
  <si>
    <t>73743/1</t>
  </si>
  <si>
    <t>73921/2</t>
  </si>
  <si>
    <t>PISO VINILICO SEMIFLEXIVEL PADRAO LISO, ESPESSURA 3,2MM, FIXADO COM COLA</t>
  </si>
  <si>
    <t>PISO DE BORRACHA PASTILHADO, ESPESSURA 7MM, ASSENTADO COM ARGAMASSA TRACO 1:3 (CIMENTO E AREIA)</t>
  </si>
  <si>
    <t>73876/1</t>
  </si>
  <si>
    <t>PISO INDUSTRIAL ALTA RESISTENCIA, ESPESSURA 12MM, INCLUSO JUNTAS DE DILATACAO PLASTICAS E POLIMENTO MECANIZADO</t>
  </si>
  <si>
    <t>PISO EM GRANILITE, MARMORITE OU GRANITINA ESPESSURA 8 MM, INCLUSO JUNTAS DE DILATACAO PLASTICAS</t>
  </si>
  <si>
    <t>PISO EM GRANITO BRANCO 50X50CM LEVIGADO ESPESSURA 2CM, ASSENTADO COM ARGAMASSA COLANTE DUPLA COLAGEM, COM REJUNTAMENTO EM CIMENTO BRANCO</t>
  </si>
  <si>
    <t>PISO GRANITO ASSENTADO SOBRE ARGAMASSA CIMENTO / CAL / AREIA TRACO 1:0,25:3 INCLUSIVE REJUNTE EM CIMENTO</t>
  </si>
  <si>
    <t>PISO MARMORE BRANCO ASSENTADO SOBRE ARGAMASSA TRACO 1:4 (CIMENTO/AREIA)</t>
  </si>
  <si>
    <t>74111/1</t>
  </si>
  <si>
    <t>SOLEIRA / TABEIRA EM MARMORE BRANCO COMUM, POLIDO, LARGURA 5 CM, ESPESSURA 2 CM, ASSENTADA COM ARGAMASSA COLANTE</t>
  </si>
  <si>
    <t>SOLEIRA DE MARMORE BRANCO, LARGURA 15CM, ESPESSURA 3CM, ASSENTADA SOBRE ARGAMASSA TRACO 1:4 (CIMENTO E AREIA)</t>
  </si>
  <si>
    <t>73886/1</t>
  </si>
  <si>
    <t>RODAPÉ CERÂMICO DE 7CM DE ALTURA COM PLACAS TIPO GRÊS DE DIMENSÕES 35X35CM. AF_06/2014</t>
  </si>
  <si>
    <t>RODAPÉ CERÂMICO DE 7CM DE ALTURA COM PLACAS TIPO GRÊS DE DIMENSÕES 45X45CM. AF_06/2014</t>
  </si>
  <si>
    <t>RODAPÉ CERÂMICO DE 7CM DE ALTURA COM PLACAS TIPO GRÊS DE DIMENSÕES 60X60CM. AF_06/2014</t>
  </si>
  <si>
    <t>73850/1</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</si>
  <si>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</si>
  <si>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</si>
  <si>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</si>
  <si>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</si>
  <si>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</si>
  <si>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</si>
  <si>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</si>
  <si>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</si>
  <si>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</si>
  <si>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</si>
  <si>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</si>
  <si>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</si>
  <si>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</si>
  <si>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</si>
  <si>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</si>
  <si>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</si>
  <si>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</si>
  <si>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</si>
  <si>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</si>
  <si>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</si>
  <si>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</si>
  <si>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</si>
  <si>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</si>
  <si>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</si>
  <si>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</si>
  <si>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</si>
  <si>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</si>
  <si>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</si>
  <si>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</si>
  <si>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</si>
  <si>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</si>
  <si>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</si>
  <si>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</si>
  <si>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</si>
  <si>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</si>
  <si>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</si>
  <si>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</si>
  <si>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</si>
  <si>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</si>
  <si>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</si>
  <si>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</si>
  <si>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</si>
  <si>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</si>
  <si>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</si>
  <si>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</si>
  <si>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</si>
  <si>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</si>
  <si>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</si>
  <si>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</si>
  <si>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</si>
  <si>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(COMPOSIÇÃO REPRESENTATIVA) DO SERVIÇO DE CONTRAPISO EM ARGAMASSA TRAÇO 1:4 (CIMENTO E AREIA), PREPARO COM BETONEIRA 400 L, ESPESSURA 4 CM PARA ÁREAS SECAS E 3 CM PARA ÁREAS MOLHADAS, PARA EDIFICAÇÃO HABITACIONAL MULTIFAMILIAR (PRÉDIO). AF_11/2014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</si>
  <si>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</si>
  <si>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</si>
  <si>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</si>
  <si>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</si>
  <si>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</si>
  <si>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</si>
  <si>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</si>
  <si>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</si>
  <si>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</si>
  <si>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</si>
  <si>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</si>
  <si>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</si>
  <si>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</si>
  <si>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</si>
  <si>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</si>
  <si>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</si>
  <si>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</si>
  <si>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</si>
  <si>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</si>
  <si>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</si>
  <si>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</si>
  <si>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</si>
  <si>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</si>
  <si>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</si>
  <si>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</si>
  <si>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</si>
  <si>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</si>
  <si>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</si>
  <si>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</si>
  <si>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</si>
  <si>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</si>
  <si>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</si>
  <si>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</si>
  <si>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</si>
  <si>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</si>
  <si>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</si>
  <si>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</si>
  <si>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</si>
  <si>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</si>
  <si>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</si>
  <si>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</si>
  <si>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</si>
  <si>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</si>
  <si>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</si>
  <si>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</si>
  <si>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</si>
  <si>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</si>
  <si>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</si>
  <si>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</si>
  <si>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</si>
  <si>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</si>
  <si>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</si>
  <si>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</si>
  <si>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</si>
  <si>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</si>
  <si>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</si>
  <si>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</si>
  <si>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</si>
  <si>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</si>
  <si>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</si>
  <si>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</si>
  <si>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</si>
  <si>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</si>
  <si>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</si>
  <si>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</si>
  <si>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</si>
  <si>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</si>
  <si>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</si>
  <si>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</si>
  <si>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</si>
  <si>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</si>
  <si>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</si>
  <si>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</si>
  <si>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</si>
  <si>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</si>
  <si>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</si>
  <si>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</si>
  <si>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</si>
  <si>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</si>
  <si>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</si>
  <si>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</si>
  <si>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</si>
  <si>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</si>
  <si>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</si>
  <si>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EM ARGAMASSA INDUSTRIALIZADA, PREPARO MECÂNICO, APLICADO COM EQUIPAMENTO DE MISTURA E PROJEÇÃO DE 1,5 M3/H DE ARGAMASSA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</si>
  <si>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</si>
  <si>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</si>
  <si>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</si>
  <si>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</si>
  <si>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</si>
  <si>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</si>
  <si>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</si>
  <si>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</si>
  <si>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</si>
  <si>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</si>
  <si>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</si>
  <si>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</si>
  <si>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</si>
  <si>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</si>
  <si>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</si>
  <si>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</si>
  <si>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</si>
  <si>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</si>
  <si>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</si>
  <si>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</si>
  <si>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</si>
  <si>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</si>
  <si>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</si>
  <si>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</si>
  <si>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</si>
  <si>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</si>
  <si>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</si>
  <si>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</si>
  <si>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</si>
  <si>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</si>
  <si>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</si>
  <si>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</si>
  <si>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</si>
  <si>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</si>
  <si>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</si>
  <si>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</si>
  <si>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</si>
  <si>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</si>
  <si>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</si>
  <si>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</si>
  <si>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</si>
  <si>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</si>
  <si>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</si>
  <si>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</si>
  <si>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</si>
  <si>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</si>
  <si>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</si>
  <si>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</si>
  <si>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</si>
  <si>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</si>
  <si>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</si>
  <si>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</si>
  <si>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</si>
  <si>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</si>
  <si>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</si>
  <si>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</si>
  <si>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</si>
  <si>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</si>
  <si>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</si>
  <si>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</si>
  <si>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</si>
  <si>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</si>
  <si>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</si>
  <si>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</si>
  <si>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</si>
  <si>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</si>
  <si>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</si>
  <si>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</si>
  <si>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</si>
  <si>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</si>
  <si>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</si>
  <si>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</si>
  <si>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</si>
  <si>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</si>
  <si>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</si>
  <si>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</si>
  <si>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</si>
  <si>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</si>
  <si>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</si>
  <si>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</si>
  <si>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</si>
  <si>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</si>
  <si>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</si>
  <si>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</si>
  <si>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</si>
  <si>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</si>
  <si>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</si>
  <si>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</si>
  <si>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</si>
  <si>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</si>
  <si>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GRÊS OU SEMI-GRÊS DE DIMENSÕES 20X20 CM APLICADAS EM AMBIENTES DE ÁREA MENOR QUE 5 M² NA ALTURA INTEIRA DAS PAREDES. AF_06/2014</t>
  </si>
  <si>
    <t>REVESTIMENTO CERÂMICO PARA PAREDES INTERNAS COM PLACAS TIPO GRÊS OU SEMI-GRÊS DE DIMENSÕES 20X20 CM APLICADAS EM AMBIENTES DE ÁREA MAIOR QUE 5 M² NA ALTURA INTEIRA DAS PAREDES. AF_06/2014</t>
  </si>
  <si>
    <t>REVESTIMENTO CERÂMICO PARA PAREDES INTERNAS COM PLACAS TIPO GRÊS OU SEMI-GRÊS DE DIMENSÕES 20X20 CM APLICADAS EM AMBIENTES DE ÁREA MENOR QUE 5 M² A MEIA ALTURA DAS PAREDES. AF_06/2014</t>
  </si>
  <si>
    <t>REVESTIMENTO CERÂMICO PARA PAREDES INTERNAS COM PLACAS TIPO GRÊS OU SEMI-GRÊS DE DIMENSÕES 20X20 CM APLICADAS EM AMBIENTES DE ÁREA MAIOR QUE 5 M² A MEIA ALTURA DAS PAREDES. AF_06/2014</t>
  </si>
  <si>
    <t>REVESTIMENTO CERÂMICO PARA PAREDES INTERNAS COM PLACAS TIPO GRÊS OU SEMI-GRÊS DE DIMENSÕES 25X35 CM APLICADAS EM AMBIENTES DE ÁREA MENOR QUE 5 M² NA ALTURA INTEIRA DAS PAREDES. AF_06/2014</t>
  </si>
  <si>
    <t>REVESTIMENTO CERÂMICO PARA PAREDES INTERNAS COM PLACAS TIPO GRÊS OU SEMI-GRÊS DE DIMENSÕES 25X35 CM APLICADAS EM AMBIENTES DE ÁREA MAIOR QUE 5 M² NA ALTURA INTEIRA DAS PAREDES. AF_06/2014</t>
  </si>
  <si>
    <t>REVESTIMENTO CERÂMICO PARA PAREDES INTERNAS COM PLACAS TIPO GRÊS OU SEMI-GRÊS DE DIMENSÕES 25X35 CM APLICADAS EM AMBIENTES DE ÁREA MENOR QUE 5 M² A MEIA ALTURA DAS PAREDES. AF_06/2014</t>
  </si>
  <si>
    <t>REVESTIMENTO CERÂMICO PARA PAREDES INTERNAS COM PLACAS TIPO GRÊS OU SEMI-GRÊS DE DIMENSÕES 25X35 CM APLICADAS EM AMBIENTES DE ÁREA MAIOR QUE 5 M² A MEIA ALTURA DAS PAREDES. AF_06/2014</t>
  </si>
  <si>
    <t>REVESTIMENTO CERÂMICO PARA PAREDES INTERNAS COM PLACAS TIPO GRÊS OU SEMI-GRÊS DE DIMENSÕES 33X45 CM APLICADAS EM AMBIENTES DE ÁREA MENOR QUE 5 M² NA ALTURA INTEIRA DAS PAREDES. AF_06/2014</t>
  </si>
  <si>
    <t>REVESTIMENTO CERÂMICO PARA PAREDES INTERNAS COM PLACAS TIPO GRÊS OU SEMI-GRÊS DE DIMENSÕES 33X45 CM APLICADAS EM AMBIENTES DE ÁREA MAIOR QUE 5 M² NA ALTURA INTEIRA DAS PAREDES. AF_06/2014</t>
  </si>
  <si>
    <t>REVESTIMENTO CERÂMICO PARA PAREDES INTERNAS COM PLACAS TIPO GRÊS OU SEMI-GRÊS DE DIMENSÕES 33X45 CM APLICADAS EM AMBIENTES DE ÁREA MENOR QUE 5 M² A MEIA ALTURA DAS PAREDES. AF_06/2014</t>
  </si>
  <si>
    <t>REVESTIMENTO CERÂMICO PARA PAREDES INTERNAS COM PLACAS TIPO GRÊS OU SEMI-GRÊS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</si>
  <si>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</si>
  <si>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</si>
  <si>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</si>
  <si>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</si>
  <si>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</si>
  <si>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</si>
  <si>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GRÊS OU SEMI-GRÊS PADRÃO POPULAR DE DIMENSÕES 20X20 CM APLICADAS EM AMBIENTES DE ÁREA MENOR QUE 5 M2 NA ALTURA INTEIRA DAS PAREDES. AF_06/2014</t>
  </si>
  <si>
    <t>REVESTIMENTO CERÂMICO PARA PAREDES INTERNAS COM PLACAS TIPO GRÊS OU SEMI-GRÊS PADRÃO POPULAR DE DIMENSÕES 20X20 CM APLICADAS EM AMBIENTES DE ÁREA MAIOR QUE 5 M2 NA ALTURA INTEIRA DAS PAREDES. AF_06/2014</t>
  </si>
  <si>
    <t>REVESTIMENTO CERÂMICO PARA PAREDES INTERNAS COM PLACAS TIPO GRÊS OU SEMI-GRÊS PADRÃO POPULAR DE DIMENSÕES 20X20 CM APLICADAS EM AMBIENTES DE ÁREA MENOR QUE 5 M2 A MEIA ALTURA DAS PAREDES. AF_06/2014</t>
  </si>
  <si>
    <t>REVESTIMENTO CERÂMICO PARA PAREDES INTERNAS COM PLACAS TIPO GRÊS OU SEMI-GRÊS PADRÃO POPULAR DE DIMENSÕES 20X20 CM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</si>
  <si>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</si>
  <si>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</si>
  <si>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74250/1</t>
  </si>
  <si>
    <t>FORRO DE MADEIRA, TABUAS 10X1CM COM FRISO MACHO/FEMEA, EXCLUSIVE ENTARUGAMENTO</t>
  </si>
  <si>
    <t>FORRO DE MADEIRA COM TABUAS 10X1CM FIXADAS EM SARRAFOS DE 2X10CM COM ESPACAMENTO DE 50CM</t>
  </si>
  <si>
    <t>TABEIRA DE MADEIRA LEI, 1A QUALIDADE, 2,5X30,0CM PARA BEIRAL DE TELHADO</t>
  </si>
  <si>
    <t>73792/1</t>
  </si>
  <si>
    <t>FORRO EM PLACAS PRE-MOLDADAS DE GESSO LISO, BISOTADO, 60X60CM COM ESPESSURA CENTRAL 1,2CM E NAS BORDAS 3,0CM, INCLUSO FIXACAO COM ARAME E ESTRUTURA DE MADEIRA</t>
  </si>
  <si>
    <t>73986/1</t>
  </si>
  <si>
    <t>FORRO DE GESSO EM PLACAS 60X60CM, ESPESSURA 1,2CM, INCLUSIVE FIXACAO COM ARAME</t>
  </si>
  <si>
    <t>REVESTIMENTO EM LAMINADO MELAMINICO TEXTURIZADO, ESPESSURA 0,8 MM, FIXADO COM COLA</t>
  </si>
  <si>
    <t>73807/1</t>
  </si>
  <si>
    <t>RECOLOCACO DE FORROS EM REGUA DE PVC E PERFIS, CONSIDERANDO REAPROVEITAMENTO DO MATERIAL</t>
  </si>
  <si>
    <t>ISOLAMENTO TERMICO COM ARGAMASSA TRACO 1:3 (CIMENTO E AREIA GROSSA NAO PENEIRADA), COM ADICAO DE PEROLAS DE ISOPOR, ESPESSURA 6CM, PREPARO MANUAL DA ARGAMASSA</t>
  </si>
  <si>
    <t>73833/1</t>
  </si>
  <si>
    <t>REPARO ESTRUTURAL DE ESTRUTURAS DE CONCRETO COM ARGAMASSA POLIMERICA DE ALTO DESEMPENHO, E=2 CM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</si>
  <si>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</si>
  <si>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</si>
  <si>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</si>
  <si>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</si>
  <si>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</si>
  <si>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</si>
  <si>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</si>
  <si>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73804/1</t>
  </si>
  <si>
    <t>PROTECAO DE FACHADA COM TELA DE POLIPROPILENO FIXADA EM ESTRUTURA DE MADEIRA COM ARAME GALVANIZADO</t>
  </si>
  <si>
    <t>ANDAIME TABUADO SOBRE CAVALETES (INCLUSO CAVALETE) EM MADEIRA DE 1ª UTIL 20X INCL MOVIMENTACAO P/ PE-DIREITO 4,00M</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</si>
  <si>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</si>
  <si>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</si>
  <si>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</si>
  <si>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</si>
  <si>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</si>
  <si>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</si>
  <si>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</si>
  <si>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</si>
  <si>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</si>
  <si>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</si>
  <si>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</si>
  <si>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</si>
  <si>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</si>
  <si>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</si>
  <si>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</si>
  <si>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</si>
  <si>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</si>
  <si>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</si>
  <si>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</si>
  <si>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</si>
  <si>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</si>
  <si>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</si>
  <si>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</si>
  <si>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</si>
  <si>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</si>
  <si>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</si>
  <si>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</si>
  <si>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</si>
  <si>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</si>
  <si>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</si>
  <si>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</si>
  <si>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</si>
  <si>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</si>
  <si>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</si>
  <si>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</si>
  <si>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</si>
  <si>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</si>
  <si>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</si>
  <si>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</si>
  <si>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</si>
  <si>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</si>
  <si>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</si>
  <si>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</si>
  <si>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</si>
  <si>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</si>
  <si>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</si>
  <si>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</si>
  <si>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</si>
  <si>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</si>
  <si>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</si>
  <si>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</si>
  <si>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</si>
  <si>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</si>
  <si>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</si>
  <si>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</si>
  <si>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</si>
  <si>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</si>
  <si>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</si>
  <si>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</si>
  <si>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</si>
  <si>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</si>
  <si>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</si>
  <si>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</si>
  <si>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</si>
  <si>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</si>
  <si>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</si>
  <si>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</si>
  <si>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</si>
  <si>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</si>
  <si>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</si>
  <si>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</si>
  <si>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</si>
  <si>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</si>
  <si>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</si>
  <si>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</si>
  <si>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</si>
  <si>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</si>
  <si>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</si>
  <si>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</si>
  <si>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</si>
  <si>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</si>
  <si>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</si>
  <si>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</si>
  <si>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</si>
  <si>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</si>
  <si>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</si>
  <si>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</si>
  <si>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</si>
  <si>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</si>
  <si>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</si>
  <si>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</si>
  <si>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</si>
  <si>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</si>
  <si>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</si>
  <si>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</si>
  <si>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</si>
  <si>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</si>
  <si>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</si>
  <si>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</si>
  <si>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</si>
  <si>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</si>
  <si>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</si>
  <si>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</si>
  <si>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</si>
  <si>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</si>
  <si>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</si>
  <si>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</si>
  <si>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</si>
  <si>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</si>
  <si>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</si>
  <si>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</si>
  <si>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</si>
  <si>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</si>
  <si>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</si>
  <si>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</si>
  <si>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</si>
  <si>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</si>
  <si>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</si>
  <si>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</si>
  <si>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</si>
  <si>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TRANSPORTE VERTICAL, MASSA/GRANEL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</si>
  <si>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</si>
  <si>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</si>
  <si>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</si>
  <si>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</si>
  <si>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</si>
  <si>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</si>
  <si>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</si>
  <si>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</si>
  <si>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</si>
  <si>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</si>
  <si>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</si>
  <si>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</si>
  <si>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</si>
  <si>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</si>
  <si>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</si>
  <si>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</si>
  <si>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</si>
  <si>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</si>
  <si>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</si>
  <si>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</si>
  <si>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</si>
  <si>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</si>
  <si>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</si>
  <si>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</si>
  <si>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</si>
  <si>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</si>
  <si>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</si>
  <si>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</si>
  <si>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</si>
  <si>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</si>
  <si>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</si>
  <si>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</si>
  <si>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</si>
  <si>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</si>
  <si>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</si>
  <si>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</si>
  <si>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</si>
  <si>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</si>
  <si>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</si>
  <si>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</si>
  <si>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</si>
  <si>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</si>
  <si>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</si>
  <si>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</si>
  <si>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</si>
  <si>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</si>
  <si>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</si>
  <si>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</si>
  <si>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</si>
  <si>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</si>
  <si>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</si>
  <si>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</si>
  <si>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</si>
  <si>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</si>
  <si>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</si>
  <si>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</si>
  <si>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</si>
  <si>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</si>
  <si>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</si>
  <si>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</si>
  <si>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</si>
  <si>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</si>
  <si>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</si>
  <si>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</si>
  <si>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</si>
  <si>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</si>
  <si>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</si>
  <si>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</si>
  <si>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</si>
  <si>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</si>
  <si>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</si>
  <si>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73806/1</t>
  </si>
  <si>
    <t>73948/2</t>
  </si>
  <si>
    <t>73948/3</t>
  </si>
  <si>
    <t>73948/8</t>
  </si>
  <si>
    <t>73948/9</t>
  </si>
  <si>
    <t>73948/11</t>
  </si>
  <si>
    <t>73948/15</t>
  </si>
  <si>
    <t>73948/16</t>
  </si>
  <si>
    <t>74086/1</t>
  </si>
  <si>
    <t>74163/1</t>
  </si>
  <si>
    <t>74163/2</t>
  </si>
  <si>
    <t>SOLDA DE TOPO DESCENDENTE, EM CHAPA ACO CHANFR 5/16" ESP (P/ ASSENT TUBULACAO OU PECA DE ACO) UTILIZANDO CONVERSOR DIESEL.</t>
  </si>
  <si>
    <t>SOLDA DE TOPO DESCENDENTE, EM CHAPA ACO CHANFR 3/8" ESP (P/ ASSENT TUBULACAO OU PECA DE ACO) UTILIZANDO CONVERSOR DIESEL</t>
  </si>
  <si>
    <t>CONJUNTO DE MANGUEIRA PARA COMBATE A INCENDIO EM FIBRA DE POLIESTER PURA, COM 1.1/2", REVESTIDA INTERNAMENTE, COM 2 LANCES DE 15M CADA</t>
  </si>
  <si>
    <t>CAIXA PARA RALO C OM GRELHA FOFO 135 KG DE ALV TIJOLO MACICO (7X10X20) PAREDES DE UMA VEZ (0.20 M) DE 0.90X1.20X1.50 M (EXTERNA) COM ARGAMASSA 1:4 CIMENTO:AREIA, BASE CONC FCK=10 MPA, EXCLUSIVE ESCAVACAO E REATERRO.</t>
  </si>
  <si>
    <t>73916/2</t>
  </si>
  <si>
    <t>DESMATAMENTO E LIMPEZA MECANIZADA DE TERRENO COM ARVORES ATE Ø 15CM, UTILIZANDO TRATOR DE ESTEIRAS</t>
  </si>
  <si>
    <t>73822/2</t>
  </si>
  <si>
    <t>LIMPEZA MECANIZADA DE TERRENO COM REMOCAO DE CAMADA VEGETAL, UTILIZANDO MOTONIVELADORA</t>
  </si>
  <si>
    <t>73859/1</t>
  </si>
  <si>
    <t>DESMATAMENTO E LIMPEZA MECANIZADA DE TERRENO COM REMOCAO DE CAMADA VEGETAL, UTILIZANDO TRATOR DE ESTEIRAS</t>
  </si>
  <si>
    <t>73859/2</t>
  </si>
  <si>
    <t>74220/1</t>
  </si>
  <si>
    <t>TAPUME DE CHAPA DE MADEIRA COMPENSADA, E= 6MM, COM PINTURA A CAL E REAPROVEITAMENTO DE 2X</t>
  </si>
  <si>
    <t>74221/1</t>
  </si>
  <si>
    <t>74219/1</t>
  </si>
  <si>
    <t>74219/2</t>
  </si>
  <si>
    <t>CHAPA DE ACO CARBONO 3/8 (COLOC/ USO/ RETIR) P/ PASS VEICULO SOBRE VALA MEDIDA P/ AREA CHAPA EM CADA APLICACAO</t>
  </si>
  <si>
    <t>73801/1</t>
  </si>
  <si>
    <t>73802/1</t>
  </si>
  <si>
    <t>73874/1</t>
  </si>
  <si>
    <t>73899/1</t>
  </si>
  <si>
    <t>73899/2</t>
  </si>
  <si>
    <t>DEMOLICAO MANUAL CONCRETO ARMADO (PILAR / VIGA / LAJE) - INCL EMPILHACAO LATERAL NO CANTEIRO</t>
  </si>
  <si>
    <t>RETIRADA DE TUBULACAO DE FERRO GALVANIZADO S/ ESCAVACAO OU RASGO EM ALVENARIA</t>
  </si>
  <si>
    <t>RETIRADA DE TUBULACAO HIDROSSANITARIA EMBUTIDA COM CONEXOES Ø 1/2" A 2"</t>
  </si>
  <si>
    <t>ISOLAMENTO DE OBRA COM TELA PLASTICA COM MALHA DE 5MM E ESTRUTURA DE MADEIRA PONTALETEADA</t>
  </si>
  <si>
    <t>73900/11</t>
  </si>
  <si>
    <t>73900/12</t>
  </si>
  <si>
    <t>74020/1</t>
  </si>
  <si>
    <t>74020/2</t>
  </si>
  <si>
    <t>74021/2</t>
  </si>
  <si>
    <t>74021/3</t>
  </si>
  <si>
    <t>74021/4</t>
  </si>
  <si>
    <t>74021/5</t>
  </si>
  <si>
    <t>74021/6</t>
  </si>
  <si>
    <t>74021/7</t>
  </si>
  <si>
    <t>74021/8</t>
  </si>
  <si>
    <t>74022/1</t>
  </si>
  <si>
    <t>74022/2</t>
  </si>
  <si>
    <t>74022/3</t>
  </si>
  <si>
    <t>74022/4</t>
  </si>
  <si>
    <t>74022/5</t>
  </si>
  <si>
    <t>ENSAIO DE DETERMINACAO DO TEOR DE BETUME - CIMENTO ASFALTICO DE PETROLEO</t>
  </si>
  <si>
    <t>74022/6</t>
  </si>
  <si>
    <t>74022/7</t>
  </si>
  <si>
    <t>74022/8</t>
  </si>
  <si>
    <t>74022/9</t>
  </si>
  <si>
    <t>74022/10</t>
  </si>
  <si>
    <t>ENSAIO DE COMPACTACAO - AMOSTRAS NAO TRABALHADAS - ENERGIA NORMAL - SOLOS</t>
  </si>
  <si>
    <t>74022/11</t>
  </si>
  <si>
    <t>ENSAIO DE COMPACTACAO - AMOSTRAS NAO TRABALHADAS - ENERGIA INTERMEDIARIA - SOLOS</t>
  </si>
  <si>
    <t>74022/12</t>
  </si>
  <si>
    <t>74022/13</t>
  </si>
  <si>
    <t>74022/14</t>
  </si>
  <si>
    <t>74022/15</t>
  </si>
  <si>
    <t>ENSAIO DE MASSA ESPECIFICA - IN SITU - METODO BALAO DE BORRACHA - SOLOS</t>
  </si>
  <si>
    <t>74022/16</t>
  </si>
  <si>
    <t>74022/17</t>
  </si>
  <si>
    <t>74022/18</t>
  </si>
  <si>
    <t>74022/19</t>
  </si>
  <si>
    <t>ENSAIO DE INDICE DE SUPORTE CALIFORNIA - AMOSTRAS NAO TRABALHADAS - ENERGIA NORMAL - SOLOS</t>
  </si>
  <si>
    <t>74022/20</t>
  </si>
  <si>
    <t>ENSAIO DE INDICE DE SUPORTE CALIFORNIA - AMOSTRAS NAO TRABALHADAS - ENERGIA INTERMEDIARIA - SOLOS</t>
  </si>
  <si>
    <t>74022/21</t>
  </si>
  <si>
    <t>ENSAIO DE INDICE DE SUPORTE CALIFORNIA- AMOSTRAS NAO TRABALHADAS - ENERGIA MODIFICADA- SOLOS</t>
  </si>
  <si>
    <t>74022/22</t>
  </si>
  <si>
    <t>74022/23</t>
  </si>
  <si>
    <t>74022/24</t>
  </si>
  <si>
    <t>74022/25</t>
  </si>
  <si>
    <t>74022/26</t>
  </si>
  <si>
    <t>74022/27</t>
  </si>
  <si>
    <t>74022/28</t>
  </si>
  <si>
    <t>ENSAIO DE SUSCEPTIBILIDADE TERMICA - INDICE PFEIFFER - MATERIAL ASFALTICO</t>
  </si>
  <si>
    <t>74022/29</t>
  </si>
  <si>
    <t>74022/30</t>
  </si>
  <si>
    <t>74022/31</t>
  </si>
  <si>
    <t>74022/32</t>
  </si>
  <si>
    <t>74022/33</t>
  </si>
  <si>
    <t>74022/34</t>
  </si>
  <si>
    <t>74022/35</t>
  </si>
  <si>
    <t>74022/36</t>
  </si>
  <si>
    <t>74022/37</t>
  </si>
  <si>
    <t>74022/38</t>
  </si>
  <si>
    <t>74022/39</t>
  </si>
  <si>
    <t>74022/40</t>
  </si>
  <si>
    <t>74022/41</t>
  </si>
  <si>
    <t>74022/42</t>
  </si>
  <si>
    <t>74022/43</t>
  </si>
  <si>
    <t>74022/44</t>
  </si>
  <si>
    <t>74022/45</t>
  </si>
  <si>
    <t>74022/47</t>
  </si>
  <si>
    <t>74022/48</t>
  </si>
  <si>
    <t>74022/49</t>
  </si>
  <si>
    <t>74022/50</t>
  </si>
  <si>
    <t>74022/51</t>
  </si>
  <si>
    <t>74022/52</t>
  </si>
  <si>
    <t>74022/53</t>
  </si>
  <si>
    <t>74022/54</t>
  </si>
  <si>
    <t>74022/55</t>
  </si>
  <si>
    <t>74022/56</t>
  </si>
  <si>
    <t>74022/57</t>
  </si>
  <si>
    <t>74022/58</t>
  </si>
  <si>
    <t>SERVIÇOS TÉCNICOS ESPECIALIZADOS PARA ACOMPANHAMENTO DE EXECUÇÃO DE FUNDAÇÕES PROFUNDAS E ESTRUTURAS DE CONTENÇÃO</t>
  </si>
  <si>
    <t>MOBILIZACAO E INSTALACAO DE 01  EQUIPAMENTO DE SONDAGEM, DISTANCIA ACIMA DE 20KM</t>
  </si>
  <si>
    <t>MOBILIZACAO E INSTALACAO DE 01 EQUIPAMENTO DE SONDAGEM, DISTANCIA DE 10KM ATE 20KM</t>
  </si>
  <si>
    <t>LOCACAO DA OBRA, COM USO DE EQUIPAMENTOS TOPOGRAFICOS, INCLUSIVE NIVELADOR</t>
  </si>
  <si>
    <t>73992/1</t>
  </si>
  <si>
    <t>LOCACAO CONVENCIONAL DE OBRA, ATRAVÉS DE GABARITO DE TABUAS CORRIDAS PONTALETADAS A CADA 1,50M, SEM REAPROVEITAMENTO</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</si>
  <si>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</si>
  <si>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</si>
  <si>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</si>
  <si>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</si>
  <si>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LOCACAO E NIVELAMENTO DE EMISSARIO/REDE COLETORA COM AUXILIO DE EQUIPAMENTO TOPOGRAFICO</t>
  </si>
  <si>
    <t>73758/1</t>
  </si>
  <si>
    <t>LEVANTAMENTO SECAO TRANSVERSAL C/NIVEL TERRENO NAO ACIDENTADO VEGETAÇÃO DENSA INCLUSIVE DESENHO ESC 1:200 EM PAPEL VEGETAL MILIMETRADO (MEDIDO P/M SECAO), INCLUSIVE NIVELADOR, AUXILIAR DE CALCULO TOPOGRAFICO E DESENHISTA.</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</si>
  <si>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</si>
  <si>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</si>
  <si>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</si>
  <si>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</si>
  <si>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</si>
  <si>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</si>
  <si>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</si>
  <si>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TONXKM). AF_04/2016</t>
  </si>
  <si>
    <t>TRANSPORTE COM CAMINHÃO BASCULANTE DE 10 M3, EM VIA URBANA EM REVESTIMENTO PRIMÁRIO (UNIDADE: TONXKM). AF_04/2016</t>
  </si>
  <si>
    <t>TRANSPORTE COM CAMINHÃO BASCULANTE DE 10 M3, EM VIA URBANA PAVIMENTADA, DMT ACIMA DE 30 KM (UNIDADE: TONXKM). AF_04/2016</t>
  </si>
  <si>
    <t>TRANSPORTE COM CAMINHÃO BASCULANTE DE 14 M3, EM VIA URBANA EM LEITO NATURAL (UNIDADE: TONXKM). AF_04/2016</t>
  </si>
  <si>
    <t>TRANSPORTE COM CAMINHÃO BASCULANTE DE 14 M3, EM VIA URBANA EM REVESTIMENTO PRIMÁRIO (UNIDADE: TONXKM). AF_04/2016</t>
  </si>
  <si>
    <t>TRANSPORTE COM CAMINHÃO BASCULANTE DE 14 M3, EM VIA URBANA PAVIMENTADA, DMT ACIMA DE 30 KM (UNIDADE: TONXKM).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</si>
  <si>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</si>
  <si>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</si>
  <si>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</si>
  <si>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TONXKM). AF_09/2016</t>
  </si>
  <si>
    <t>TRANSPORTE COM CAMINHÃO BASCULANTE DE 18 M3, EM VIA URBANA EM REVESTIMENTO PRIMÁRIO (UNIDADE: TONXKM). AF_09/2016</t>
  </si>
  <si>
    <t>TRANSPORTE COM CAMINHÃO BASCULANTE DE 18 M3, EM VIA URBANA PAVIMENTADA, DMT ACIMA DE 30 KM (UNIDADE: TONXKM).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</si>
  <si>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</si>
  <si>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</si>
  <si>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</si>
  <si>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TONXKM). AF_12/2016</t>
  </si>
  <si>
    <t>TRANSPORTE COM CAMINHÃO BASCULANTE DE 14 M3, EM VIA URBANA PAVIMENTADA, DMT ATÉ 30 KM (UNIDADE: TONXKM). AF_12/2016</t>
  </si>
  <si>
    <t>TRANSPORTE COM CAMINHÃO BASCULANTE DE 18 M3, EM VIA URBANA PAVIMENTADA, DMT ATÉ 30 KM (UNIDADE: TONXKM).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</si>
  <si>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</si>
  <si>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</si>
  <si>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</si>
  <si>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</si>
  <si>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</si>
  <si>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</si>
  <si>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</si>
  <si>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74118/1</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</si>
  <si>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</si>
  <si>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</si>
  <si>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</si>
  <si>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</si>
  <si>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</si>
  <si>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</si>
  <si>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</si>
  <si>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</si>
  <si>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</si>
  <si>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</si>
  <si>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</si>
  <si>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</si>
  <si>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</si>
  <si>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</si>
  <si>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</si>
  <si>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</si>
  <si>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ALAMBRADO EM MOUROES DE CONCRETO "T", ALTURA LIVRE 2M, ESPACADOS A CADA 2M, COM TELA DE ARAME GALVANIZADO, FIO 14 BWG E MALHA QUADRADA 5X5CM</t>
  </si>
  <si>
    <t>73788/2</t>
  </si>
  <si>
    <t>73967/1</t>
  </si>
  <si>
    <t>73967/2</t>
  </si>
  <si>
    <t>PLANTIO DE ARVORE REGIONAL, ALTURA MAIOR QUE 2,00M, EM CAVAS DE 80X80X80CM</t>
  </si>
  <si>
    <t>73967/4</t>
  </si>
  <si>
    <t>74236/1</t>
  </si>
  <si>
    <t>REVOLVIMENTO E DESTORROAMENTO MANUAL DE SUPERFÍCIE GRAMADA COM PROFUNDIDADE ATÉ 20CM</t>
  </si>
  <si>
    <t>AUXILIAR DE ENCANADOR OU BOMBEIRO HIDRÁULICO COM ENCARGOS COMPLEMENTARES</t>
  </si>
  <si>
    <t>CADASTRISTA DE REDES DE AGUA E ESGOTO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</si>
  <si>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</si>
  <si>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</si>
  <si>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</si>
  <si>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</si>
  <si>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</si>
  <si>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</si>
  <si>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</si>
  <si>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</si>
  <si>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</si>
  <si>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</si>
  <si>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</si>
  <si>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</si>
  <si>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</si>
  <si>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</si>
  <si>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</si>
  <si>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</si>
  <si>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</si>
  <si>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</si>
  <si>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</si>
  <si>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</si>
  <si>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</si>
  <si>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</si>
  <si>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</si>
  <si>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</si>
  <si>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</si>
  <si>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</si>
  <si>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</si>
  <si>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</si>
  <si>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</si>
  <si>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</si>
  <si>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</si>
  <si>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</si>
  <si>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</si>
  <si>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</si>
  <si>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</si>
  <si>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</si>
  <si>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</si>
  <si>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</si>
  <si>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</si>
  <si>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</si>
  <si>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</si>
  <si>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</si>
  <si>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</si>
  <si>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</si>
  <si>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</si>
  <si>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</si>
  <si>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</si>
  <si>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</si>
  <si>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</si>
  <si>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ACABADORA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</si>
  <si>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</si>
  <si>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</si>
  <si>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</si>
  <si>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</si>
  <si>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</si>
  <si>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</si>
  <si>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</si>
  <si>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</si>
  <si>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</si>
  <si>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</si>
  <si>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</si>
  <si>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</si>
  <si>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</si>
  <si>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</si>
  <si>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</si>
  <si>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</si>
  <si>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</si>
  <si>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</si>
  <si>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</si>
  <si>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</si>
  <si>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</si>
  <si>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</si>
  <si>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</si>
  <si>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</si>
  <si>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</si>
  <si>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</si>
  <si>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</si>
  <si>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</si>
  <si>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</si>
  <si>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</si>
  <si>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</si>
  <si>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</si>
  <si>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</si>
  <si>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</si>
  <si>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</si>
  <si>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</si>
  <si>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</si>
  <si>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</si>
  <si>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</si>
  <si>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</si>
  <si>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</si>
  <si>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</si>
  <si>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</si>
  <si>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</si>
  <si>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</si>
  <si>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</si>
  <si>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</si>
  <si>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</si>
  <si>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</si>
  <si>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</si>
  <si>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</si>
  <si>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</si>
  <si>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</si>
  <si>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</si>
  <si>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</si>
  <si>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</si>
  <si>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!EM PROCESSO DE DESATIVACAO! ADAPTADOR, PVC PBA, A LUVA DE FIBROCIMENTO, DN 100 / DE 110 MM</t>
  </si>
  <si>
    <t>!EM PROCESSO DE DESATIVACAO! ADAPTADOR, PVC PBA, A LUVA DE FIBROCIMENTO, DN 50 / DE 60 MM</t>
  </si>
  <si>
    <t>!EM PROCESSO DE DESATIVACAO! ADAPTADOR, PVC PBA, A LUVA DE FIBROCIMENTO, DN 75 / DE 85 MM</t>
  </si>
  <si>
    <t>!EM PROCESSO DE DESATIVACAO! BASE PARA FUSIVEIS NH-00 DE 6A A 160A</t>
  </si>
  <si>
    <t>!EM PROCESSO DE DESATIVACAO! CHAVE DE PARTIDA DIRETA TRIFASICA, COM CAIXA TERMOPLASTICA, COM FUSIVEL DE 125 A, PARA MOTOR COM POTENCIA DE 30 CV E TENSAO DE 220 V</t>
  </si>
  <si>
    <t>!EM PROCESSO DE DESATIVACAO! CHAVE DE PARTIDA DIRETA TRIFASICA, COM CAIXA TERMOPLASTICA, COM FUSIVEL DE 20 A, PARA MOTOR COM POTENCIA DE 5 CV E TENSAO DE 380 V</t>
  </si>
  <si>
    <t>!EM PROCESSO DE DESATIVACAO! CHAVE DE PARTIDA ESTRELA-TRIANGULO, EM CAIXA TERMOPLASTICA, CORRENTE MAXIMA NOMINAL ENTRE 24 A E 26 A. PARA MOTOR COM POTENCIA DE 15 CV E TENSAO DE 380 V</t>
  </si>
  <si>
    <t>!EM PROCESSO DE DESATIVACAO! CHAVE FUSIVEL PARA REDES DE DISTRIBUICAO, TENSAO DE 38,0 KV, CORRENTE NOMINAL DO PORTA FUSIVEL DE 100 A, CAPACIDADE DE INTERRUPCAO SIMETRICA DE 5,00 KA, CAPACIDADE DE INTERRUPCAO ASSIMETRICA 8,00 KA</t>
  </si>
  <si>
    <t>!EM PROCESSO DE DESATIVACAO! CHAVE SECCIONADORA TRIPOLAR PARA MEDIA TENSAO (15 KV), ABERTURA COM CARGA, COM ACAO SIMULTANEA NAS 3 FASES, 400 A, ACIONAMENTO MANUAL ATRAVES DE PUNHO DE MANOBRA</t>
  </si>
  <si>
    <t>!EM PROCESSO DE DESATIVACAO! CHAVE SECCIONADORA TRIPOLAR PARA MEDIA TENSAO (15 KV), ABERTURA COM CARGA, COM ACAO SIMULTANEA NAS 3 FASES, 400 A, ACIONAMENTO MANUAL ATRAVES DE VARA DE MANOBRA</t>
  </si>
  <si>
    <t>!EM PROCESSO DE DESATIVACAO! CHAVE SECCIONADORA-FUSIVEL TRIPOLAR, PARA BAIXA TENSAO, ABERTURA COM CARGA, COM CAIXA BLINDADA, PARA FUSIVEL NH1, 250 A</t>
  </si>
  <si>
    <t>!EM PROCESSO DE DESATIVACAO! CHAVE SECCIONADORA-FUSIVEL TRIPOLAR, PARA BAIXA TENSAO, ABERTURA COM CARGA, COM CAIXA BLINDADA, PARA FUSIVEL NH2, 400 A</t>
  </si>
  <si>
    <t>!EM PROCESSO DE DESATIVACAO! CHAVE SECCIONADORA-FUSIVEL TRIPOLAR, PARA BAIXA TENSAO, ABERTURA COM CARGA, COM CAIXA BLINDADA, PARA FUSIVEL NH3, 630 A</t>
  </si>
  <si>
    <t>!EM PROCESSO DE DESATIVACAO! CHAVE SECCIONADORA-FUSIVEL TRIPOLAR, PARA BAIXA TENSAO, ABERTURA COM CARGA, SEM CAIXA BLINDADA, PARA FUSIVEL NH2, 400 A / 500 V</t>
  </si>
  <si>
    <t>!EM PROCESSO DE DESATIVACAO! PEITORIL PRE-MOLDADO EM GRANILITE, MARMORITE OU GRANITINA,  L = *15* CM</t>
  </si>
  <si>
    <t>ABRACADEIRA EM ACO PARA AMARRACAO DE ELETRODUTOS, TIPO ECONOMICA (GOTA), COM 8"</t>
  </si>
  <si>
    <t>ACABAMENTO SIMPLES/CONVENCIONAL PARA FORRO PVC, TIPO "U" OU "C", COR BRANCA, COMPRIMENTO 6 M</t>
  </si>
  <si>
    <t>ACESSORIO DE LIGACAO NAO ELETRICO PARA CARGAS EXPLOSIVAS, TUBO DE 6 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</si>
  <si>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</si>
  <si>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</si>
  <si>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</si>
  <si>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COM REGISTRO, PARA PEAD, 20 MM X 3/4", PARA LIGACAO PREDIAL DE AGUA</t>
  </si>
  <si>
    <t>AGREGADO RECICLADO (RCD), CLASSE A, CINZA, TIPO RACHAO RECICLADO</t>
  </si>
  <si>
    <t>APARELHO SINALIZADOR LUMINOSO COM LED, PARA SAIDA GARAGEM, COM 2 LENTES EM POLICARBONATO, BIVOLT (INCLUI SUPORTE DE FIXACAO)</t>
  </si>
  <si>
    <t>APOIO DO PORTA DENTE PARA FRESADORA DE ASFALTO</t>
  </si>
  <si>
    <t>ASSENTADOR DE  TUBOS</t>
  </si>
  <si>
    <t>ASSENTADOR DE TUBOS (MENSALISTA)</t>
  </si>
  <si>
    <t>BANCADA/ BANCA EM GRANITO, POLIDO, TIPO ANDORINHA/ QUARTZ/ CASTELO/ CORUMBA OU OUTROS EQUIVALENTES DA REGIAO, COM CUBA INOX, FORMATO *120 X 60* CM, E=  *2* CM</t>
  </si>
  <si>
    <t>BASE PARA RELE COM SUPORTE METALICO</t>
  </si>
  <si>
    <t>BATENTE/PORTAL/ADUELA/MARCO, EM MDF/PVC WOOD/POLIESTIRENO OU MADEIRA LAMINADA, L = *9,0* CM COM GUARNICAO REGULAVEL 2 FACES = *35* MM, PRIMER</t>
  </si>
  <si>
    <t>BLOCO DE POLIETILENO ALTA DENSIDADE, *27* X *30* X *100* CM, ACOMPANHADOS PLACAS  TERMINAIS  E LONGARINAS, PARA FUNDO DE FILTRO</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</si>
  <si>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</si>
  <si>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</si>
  <si>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</si>
  <si>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</si>
  <si>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</si>
  <si>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</si>
  <si>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BLOQUETE/PISO INTERTRAVADO DE CONCRETO - MODELO RETANGULAR/TIJOLINHO/PAVER/HOLANDES/PARALELEPIPEDO, 20 CM X 10 CM, E = 10 CM, RESISTENCIA DE 35 MPA (NBR 9781), COR NATURAL</t>
  </si>
  <si>
    <t>BRACO / CANO PARA CHUVEIRO ELETRICO, EM ALUMINIO, 30 CM X 1/2 "</t>
  </si>
  <si>
    <t>CABO MULTIPOLAR DE COBRE, FLEXIVEL, CLASSE 4 OU 5, ISOLACAO EM HEPR, COBERTURA EM PVC-ST2, ANTICHAMA BWF-B, 0,6/1 KV, 3 CONDUTORES DE 2,5 MM2</t>
  </si>
  <si>
    <t>CADASTRISTA DE REDES  DE AGUA  E ESGOTO</t>
  </si>
  <si>
    <t>CAIXA DE PASSAGEM DE PAREDE, DE EMBUTIR, EM PVC, DIMENSOES *120 X 120 X 75* MM</t>
  </si>
  <si>
    <t>CAIXA DE PASSAGEM DE PAREDE, DE EMBUTIR, EM PVC, DIMENSOES *150 X 150 X 75* MM</t>
  </si>
  <si>
    <t>CAIXA DE PASSAGEM DE PAREDE, DE EMBUTIR, EM PVC, DIMENSOES *200 X 200 X 90* MM</t>
  </si>
  <si>
    <t>CAIXA PARA MEDIDOR MONOFASICO, EM POLICARBONATO (TERMOPLASTICO), COM DISJUNTOR</t>
  </si>
  <si>
    <t>CAIXA PARA MEDIDOR POLIFASICO, EM POLICARBONATO (TERMOPLASTICO), COM DISJUNTOR</t>
  </si>
  <si>
    <t>CAMADA SEPARADORA DE FILME DE POLIETILENO 20 A 25 MICRA</t>
  </si>
  <si>
    <t>CENTRALIZADOR DE BARRA DE ACO (CHUMBADOR TIPO CARAMBOLA), PARA ACO ATE 20 MM</t>
  </si>
  <si>
    <t>CERA  LIQUIDA</t>
  </si>
  <si>
    <t>CHAPA DE ACO GALVANIZADA BITOLA GSG 19, E = 1,11 MM (8,88 KG/M2)</t>
  </si>
  <si>
    <t>CHAPA DE ACO GALVANIZADA BITOLA GSG 30, E = 0,35 MM (2,80 KG/M2)</t>
  </si>
  <si>
    <t>CHAPA PARA EMENDA DE VIGA, EM ACO GROSSO, QUALIDADE ESTRUTURAL, BITOLA 3/16, E=4,75 MM, 4 FUROS, LARGURA 45 MM, COMPRIMENTO 500 MM</t>
  </si>
  <si>
    <t>CHUMBADOR DE ACO TIPO PARABOLT, * 5/8" X 200* MM,  COM PORCA E ARRUELA</t>
  </si>
  <si>
    <t>CONECTOR DE ALUMINIO TIPO PRENSA CABO, BITOLA 1", PARA CABOS DE DIAMETRO DE 22,5 A 25 MM</t>
  </si>
  <si>
    <t>CONTATOR TRIPOLAR, CORRENTE DE *110* A, TENSAO NOMINAL DE *500* V, CATEGORIA AC-2 E AC-3</t>
  </si>
  <si>
    <t>CONTATOR TRIPOLAR, CORRENTE DE *185* A, TENSAO NOMINAL DE *500* V, CATEGORIA AC-2 E AC-3</t>
  </si>
  <si>
    <t>CONTATOR TRIPOLAR, CORRENTE DE *265* A, TENSAO NOMINAL DE *500* V, CATEGORIA AC-2 E AC-3</t>
  </si>
  <si>
    <t>CONTATOR TRIPOLAR, CORRENTE DE *500* A, TENSAO NOMINAL DE *500* V, CATEGORIA AC-2 E AC-3</t>
  </si>
  <si>
    <t>CONTRA-PORCA SEXTAVADA, DIAMETRO NOMINAL 1 3/8", ALTURA 35 MM</t>
  </si>
  <si>
    <t>CURVA PVC, SERIE R, 87.30 GRAUS, CURTA, 100 MM, PARA ESGOTO PREDIAL (PARA PE-DE-COLUNA)</t>
  </si>
  <si>
    <t>CURVA PVC, SERIE R, 87.30 GRAUS, CURTA, 150 MM, PARA ESGOTO PREDIAL (PARA PE-DE-COLUNA)</t>
  </si>
  <si>
    <t>CURVA PVC, SERIE R, 87.30 GRAUS, CURTA, 75 MM, PARA ESGOTO PREDIAL (PARA PE-DE-COLUNA)</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</si>
  <si>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</si>
  <si>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</si>
  <si>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</si>
  <si>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</si>
  <si>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</si>
  <si>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</si>
  <si>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</si>
  <si>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</si>
  <si>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</si>
  <si>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</si>
  <si>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</si>
  <si>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</si>
  <si>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</si>
  <si>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</si>
  <si>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</si>
  <si>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</si>
  <si>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</si>
  <si>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</si>
  <si>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</si>
  <si>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</si>
  <si>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</si>
  <si>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</si>
  <si>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</si>
  <si>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</si>
  <si>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</si>
  <si>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</si>
  <si>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</si>
  <si>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</si>
  <si>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DISJUNTOR TIPO NEMA, BIPOLAR 60 ATE 100A, TENSAO MAXIMA 415 V</t>
  </si>
  <si>
    <t>DISJUNTOR TIPO NEMA, MONOPOLAR DE 60 ATE 70A, TENSAO MAXIMA DE 240 V</t>
  </si>
  <si>
    <t>DIVISORIA CEGA (N1) - PAINEL MSO/COMEIA E=35MM - PERFIS SIMPLES ACO GALV PINTADO   - COLOCADA</t>
  </si>
  <si>
    <t>DIVISORIA EM GRANITO, COM DUAS FACES POLIDAS, TIPO ANDORINHA/ QUARTZ/ CASTELO/ CORUMBA OU OUTROS EQUIVALENTES DA REGIAO, E=  *3,0* CM</t>
  </si>
  <si>
    <t>DOBRADEIRA ELETROMECANICA DE VERGALHAO, PARA ACO DE DIAMETRO ATE 1 1/2"Â, MOTOR ELETRICO TRIFASICO, POTENCIA DE 3 HP ATE 5 HP</t>
  </si>
  <si>
    <t>ELETRODUTO EM ACO GALVANIZADO ELETROLITICO, LEVE, DIAMETRO 1/2", PAREDE DE 0,90 MM</t>
  </si>
  <si>
    <t>ELETRODUTO EM ACO GALVANIZADO ELETROLITICO, LEVE, DIAMETRO 1", PAREDE DE 0,90 MM</t>
  </si>
  <si>
    <t>ELETRODUTO EM ACO GALVANIZADO ELETROLITICO, LEVE, DIAMETRO 3/4", PAREDE DE 0,90 MM</t>
  </si>
  <si>
    <t>ELETRODUTO EM ACO GALVANIZADO ELETROLITICO, PESADO, DIAMETRO 4", PAREDE DE 2,25 MM</t>
  </si>
  <si>
    <t>ELETRODUTO EM ACO GALVANIZADO ELETROLITICO, SEMI-PESADO, DIAMETRO 1 1/2", PAREDE DE 1,20 MM</t>
  </si>
  <si>
    <t>ELETRODUTO EM ACO GALVANIZADO ELETROLITICO, SEMI-PESADO, DIAMETRO 1 1/4", PAREDE DE 1,20 MM</t>
  </si>
  <si>
    <t>ELETRODUTO EM ACO GALVANIZADO ELETROLITICO, SEMI-PESADO, DIAMETRO 2 1/2", PAREDE DE 1,52 MM</t>
  </si>
  <si>
    <t>ELETRODUTO EM ACO GALVANIZADO ELETROLITICO, SEMI-PESADO, DIAMETRO 2", PAREDE DE 1,20 MM</t>
  </si>
  <si>
    <t>ELETRODUTO EM ACO GALVANIZADO ELETROLITICO, SEMI-PESADO, DIAMETRO 3", PAREDE DE 1,52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</si>
  <si>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</si>
  <si>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</si>
  <si>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</si>
  <si>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</si>
  <si>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</si>
  <si>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</si>
  <si>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</si>
  <si>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</si>
  <si>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</si>
  <si>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</si>
  <si>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</si>
  <si>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</si>
  <si>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</si>
  <si>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EMPILHADEIRA SOBRE PNEUS COM TORRE DE TRES ESTAGIOS, 4,80M DE ELEVACAO, C/ DESLOCADOR LATERAL DOS GARFOS, MOTOR GLP 4.3L, CAPACIDADE NOMINAL DE CARGA DE 5T</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</si>
  <si>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</si>
  <si>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</si>
  <si>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</si>
  <si>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</si>
  <si>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</si>
  <si>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</si>
  <si>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</si>
  <si>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FIO TELEFONICO EXTERNO (FE) EM AÃO COBREADO, ISOLACAO EM PEAD OU PVC ANTI-CHAMA, 2 CONDUTORES</t>
  </si>
  <si>
    <t>FITA ADESIVA ASFALTICA ALUMINIZADA MULTIUSO, L = 10 CM, ROLO DE 10 M</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</si>
  <si>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</si>
  <si>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</si>
  <si>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</si>
  <si>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</si>
  <si>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</si>
  <si>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</si>
  <si>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</si>
  <si>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GRANALHA DE ACO, ANGULAR (GRIT), PARA JATEAMENTO, PENEIRA 0,117 A 1,00 MM, (SAE G-40 A G-80)</t>
  </si>
  <si>
    <t>GRANALHA DE ACO, ESFERICA (SHOT), PARA JATEAMENTO, PENEIRA 0,40 A 1,00 MM (SAE S-170 A S-280)</t>
  </si>
  <si>
    <t>GRANITO PARA BANCADA, POLIDO, TIPO ANDORINHA/ QUARTZ/ CASTELO/ CORUMBA OU OUTROS EQUIVALENTES DA REGIAO, E=  *2,5* CM</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</si>
  <si>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</si>
  <si>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</si>
  <si>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</si>
  <si>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JANELA DE CORRER, ACO, BATENTE/REQUADRO DE 6 A 14 CM, SEM DIVISAO, PINT ANTICORROSIVA, SEM VIDRO, BANDEIRA COM BASCULA, 4 FLS, 120 X 150 CM</t>
  </si>
  <si>
    <t>JANELA DE CORRER, ACO, COM BATENTE/REQUADRO DE 6 A 14 CM, SEM DIVISAO, PINT ANTICORROSIVA, PINT ACABAMENTO, COM VIDRO, SEM BANDEIRA, COM GRADE, 4 FLS, 100  X 120 CM (A X L)</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</si>
  <si>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</si>
  <si>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JOELHO DE TRANSICAO, CPVC, SOLDAVEL, 90 GRAUS, 15 MM X 1/2", PARA AGUA QUENTE</t>
  </si>
  <si>
    <t>JOELHO DE TRANSICAO, CPVC, SOLDAVEL, 90 GRAUS, 22 MM X 1/2", PARA AGUA QUENTE</t>
  </si>
  <si>
    <t>JUNCAO DUPLA, PVC SOLDAVEL, DN 75 X 75 X 75 MM , SERIE NORMAL PARA ESGOTO PREDIAL</t>
  </si>
  <si>
    <t>KIT PORTA PRONTA DE MADEIRA, FOLHA MEDIA (NBR 15930) DE 90 X 210 CM, E = 35 MM, NUCLEO SARRAFEADO, ESTRUTURA USINADA PARA FECHADURA, CAPA LISA EM HDF, ACABAMENTO EM PRIMER PARA PINTURA (INCLUI MARCO, ALIZARES E DOBRADICAS)</t>
  </si>
  <si>
    <t>LOCACAO DE ANDAIME METALICO TIPO FACHADEIRO, LARGURA DE 1,20 M, ALTURA POR PECA DE 2,0 M</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</si>
  <si>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</si>
  <si>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</si>
  <si>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</si>
  <si>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</si>
  <si>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</si>
  <si>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</si>
  <si>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</si>
  <si>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</si>
  <si>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</si>
  <si>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</si>
  <si>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</si>
  <si>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</si>
  <si>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</si>
  <si>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</si>
  <si>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</si>
  <si>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</si>
  <si>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</si>
  <si>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</si>
  <si>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</si>
  <si>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</si>
  <si>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</si>
  <si>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</si>
  <si>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</si>
  <si>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</si>
  <si>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</si>
  <si>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</si>
  <si>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</si>
  <si>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</si>
  <si>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</si>
  <si>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</si>
  <si>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</si>
  <si>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</si>
  <si>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</si>
  <si>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VIGA SANDUICHE METALICA VAZADA PARA TRAVAMENTO DE PILARES, ALTURA DE *8* CM, LARGURA DE *6* CM E EXTENSAO DE 2 M</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</si>
  <si>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</si>
  <si>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</si>
  <si>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</si>
  <si>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</si>
  <si>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</si>
  <si>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</si>
  <si>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</si>
  <si>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</si>
  <si>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</si>
  <si>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</si>
  <si>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</si>
  <si>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</si>
  <si>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</si>
  <si>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</si>
  <si>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</si>
  <si>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</si>
  <si>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</si>
  <si>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</si>
  <si>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</si>
  <si>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</si>
  <si>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</si>
  <si>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</si>
  <si>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</si>
  <si>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</si>
  <si>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</si>
  <si>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</si>
  <si>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</si>
  <si>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</si>
  <si>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</si>
  <si>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</si>
  <si>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</si>
  <si>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</si>
  <si>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</si>
  <si>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</si>
  <si>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</si>
  <si>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MANGUEIRA CRISTAL TRANCADA, PVC COM REFORCO, COM PRESSAO DE TRABALHO (PT) 250 LBS/POL2, DE 3/4" X *2,8*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</si>
  <si>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</si>
  <si>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</si>
  <si>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</si>
  <si>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</si>
  <si>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</si>
  <si>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</si>
  <si>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POLIETILENO EXPANDIDO (PEBD) ANTICHAMAS, E = 8 MM</t>
  </si>
  <si>
    <t>MANTA DE POLIETILENO EXPANDIDO (PEBD), E = 5 MM</t>
  </si>
  <si>
    <t>MANTA GEOTEXTIL TECIDO DE LAMINETES DE POLIPROPILENO, RESISTENCIA A TRACAO = *25* KN/M</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</si>
  <si>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</si>
  <si>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MISTURADOR MANUAL DE TINTAS PARA FURADEIRA, HASTE METALICA *60* CM, COM HELICE  (MEXEDOR DE TINTA)</t>
  </si>
  <si>
    <t>PA CARREGADEIRA SOBRE RODAS, POTENCIA BRUTA *127* CV, CAPACIDADE DA CACAMBA DE 2,0 A 2,4 M3, PESO OPERACIONAL DE 10330 KG</t>
  </si>
  <si>
    <t>PAPEL KRAFT BETUMADO</t>
  </si>
  <si>
    <t>PARAFUSO NIQUELADO 3 1/2" COM ACABAMENTO CROMADO PARA FIXAR PECA SANITARIA, INCLUI PORCA CEGA, ARRUELA E BUCHA DE NYLON TAMANHO S-8</t>
  </si>
  <si>
    <t>PARAFUSO ZINCADO, SEXTAVADO, GRAU 5, ROSCA INTEIRA, DIAMETRO 1 1/2", COMPRIMENTO 4"</t>
  </si>
  <si>
    <t>PARAFUSO, ASTM A307 - GRAU A, SEXTAVADO, ZINCADO, DIAMETRO 3/8 X 1 (9,52 MM X 25,4 MM)</t>
  </si>
  <si>
    <t>PARAFUSO, AUTO ATARRACHANTE, CABECA CHATA, FENDA SIMPLES, 1/4 (6,35 MM) X 25 MM</t>
  </si>
  <si>
    <t>PARAFUSO, COMUM, ASTM A307, SEXTAVADO, DIAMETRO 1/2 (12,7 MM)</t>
  </si>
  <si>
    <t>PERFIL "I" DE ACO LAMINADO, "I" 203  X  34,3</t>
  </si>
  <si>
    <t>PERFIL RODAPE DE IMPERMEABILIZACAO, FORMATO L, EM ACO ZINCADO, PARA ESTRUTURA DRYWALL, E = 0,5 MM, 220 X 3000 MM (H X C)</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</si>
  <si>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</si>
  <si>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</si>
  <si>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</si>
  <si>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</si>
  <si>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</si>
  <si>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</si>
  <si>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</si>
  <si>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</si>
  <si>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</si>
  <si>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t>
  </si>
  <si>
    <t>PISO KORODUR (INCLUSO EXECUCAO)</t>
  </si>
  <si>
    <t>PISO PODOTATIL DE CONCRETO - DIRECIONAL E ALERTA, *40 X 40 X 2,5* CM</t>
  </si>
  <si>
    <t>PISO URETANO, VERSAO REVESTIMENTO AUTONIVELANTE, ESPESSURA VARIÁVEL DE 3 A 4 MM (INCLUSO EXECUCAO)</t>
  </si>
  <si>
    <t>PISO/ REVESTIMENTO EM GRANITO, POLIDO, TIPO ANDORINHA/ QUARTZ/ CASTELO/ CORUMBA OU OUTROS EQUIVALENTES DA REGIAO, FORMATO MAIOR OU IGUAL A 3025 CM2, E = *2* CM</t>
  </si>
  <si>
    <t>PLACA/PISO DE CONCRETO POROSO/ PAVIMENTO PERMEAVEL/BLOCO DRENANTE DE CONCRETO, 40 CM X 40 CM, E = 6 CM, COR NATURAL</t>
  </si>
  <si>
    <t>PORTA QUADRICULADA DE MADEIRA-DE-LEI (ANGELIM OU EQUIVALENTE REGIONAL), DE CORRER PARA VIDRO E = *3,5* CM</t>
  </si>
  <si>
    <t>POSTE CONICO CONTINUO EM ACO GALVANIZADO, CURVO, BRACO SIMPLES, ENGASTADO,  H = 9 M, DIAMETRO INFERIOR = *135* MM</t>
  </si>
  <si>
    <t>POSTE CONICO CONTINUO EM ACO GALVANIZADO, CURVO, BRACO SIMPLES, FLANGEADO,  H = 9 M, DIAMETRO INFERIOR = *135* MM</t>
  </si>
  <si>
    <t>PROTETOR/PONTEIRA PLASTICA PARA PONTA DE VERGALHAO DE ATE 1", TIPO PROTETOR DE ESPERA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</si>
  <si>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</si>
  <si>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</si>
  <si>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</si>
  <si>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</si>
  <si>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</si>
  <si>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</si>
  <si>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</si>
  <si>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</si>
  <si>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</si>
  <si>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</si>
  <si>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</si>
  <si>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</si>
  <si>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</si>
  <si>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</si>
  <si>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</si>
  <si>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</si>
  <si>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</si>
  <si>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</si>
  <si>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</si>
  <si>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REGISTRO OU VALVULA GLOBO ANGULAR EM LATAO, PARA HIDRANTES EM INSTALACAO PREDIAL DE INCENDIO, 45 GRAUS, DIAMETRO DE 2 1/2", COM VOLANTE, CLASSE DE PRESSAO DE ATE 200 PSI</t>
  </si>
  <si>
    <t>RELE FOTOELETRICO INTERNO E EXTERNO BIVOLT 1000 W, DE CONECTOR, SEM BASE</t>
  </si>
  <si>
    <t>RODAPE EM POLIESTIRENO, BRANCO, H = *5* CM, E =  *1,5* CM</t>
  </si>
  <si>
    <t>RODAPE OU RODABANCADA EM GRANITO, POLIDO, TIPO ANDORINHA/ QUARTZ/ CASTELO/ CORUMBA OU OUTROS EQUIVALENTES DA REGIAO, H= 10 CM, E=  *2,0* CM</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</si>
  <si>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</si>
  <si>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</si>
  <si>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</si>
  <si>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</si>
  <si>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</si>
  <si>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SOLDA ESTANHO/COBRE PARA CONEXOES DE COBRE, FIO 2,5 MM, CARRETEL 500 GR (SEM CHUMBO)</t>
  </si>
  <si>
    <t>SOLEIRA EM GRANITO, POLIDO, TIPO ANDORINHA/ QUARTZ/ CASTELO/ CORUMBA OU OUTROS EQUIVALENTES DA REGIAO, L= *15* CM, E=  *2,0* CM</t>
  </si>
  <si>
    <t>SOLEIRA/ PEITORIL EM MARMORE, POLIDO, BRANCO COMUM, L= *15* CM, E=  *2* CM,  CORTE RETO</t>
  </si>
  <si>
    <t>TAMPAO FOFO SIMPLES COM BASE, CLASSE A15 CARGA MAX 1,5 T, *400 X 600* MM, REDE TELEFONE</t>
  </si>
  <si>
    <t>TIL DE PASSAGEM, EM PVC, JE, BBB, DN 150 X 150 MM, PARA REDE COLETORA DE ESGOTO NBR 10569</t>
  </si>
  <si>
    <t>TINTA EPOXI PREMIUM, BRANCA</t>
  </si>
  <si>
    <t>TORNEIRA METALICA DE BOIA CONVENCIONAL PARA CAIXA D'AGUA, 1.1/2",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</si>
  <si>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</si>
  <si>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</si>
  <si>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1", COM HASTE METALICA E BALAO PLASTICO</t>
  </si>
  <si>
    <t>TORNEIRA METALICA DE BOIA CONVENCIONAL PARA CAIXA D'AGUA, 2", COM HASTE METALICA E BALAO PLASTICO</t>
  </si>
  <si>
    <t>TORNEIRA METALICA DE BOIA CONVENCIONAL PARA CAIXA D'AGUA, 3/4 ", COM HASTE METALICA E BALAO METALICO</t>
  </si>
  <si>
    <t>TORNEIRA METALICA DE BOIA CONVENCIONAL PARA CAIXA D'AGUA, 3/4", COM HASTE METALICA E BALAO PLASTICO</t>
  </si>
  <si>
    <t>TORNEIRA METALICA DE BOIA VAZAO TOTAL PARA CAIXA D'AGUA, 1/2", COM HASTE METALICA E BALAO PLASTICO</t>
  </si>
  <si>
    <t>TORNEIRA METALICA DE BOIA VAZAO TOTAL PARA CAIXA D'AGUA, 1", COM HASTE METALICA E BALAO PLASTICO</t>
  </si>
  <si>
    <t>TORNEIRA METALICA DE BOIA VAZAO TOTAL PARA CAIXA D'AGUA, 3/4", COM HASTE METALICA E BALAO PLASTICO</t>
  </si>
  <si>
    <t>TUBO ACO GALVANIZADO COM COSTURA, CLASSE LEVE, DN 100 MM ( 4"),  E = 3,75 MM,  *10,55* KG/M (NBR 5580)</t>
  </si>
  <si>
    <t>TUBO ACO GALVANIZADO COM COSTURA, CLASSE LEVE, DN 32 MM ( 1 1/4"),  E = 2,65 MM,  *2,71* KG/M (NBR 5580)</t>
  </si>
  <si>
    <t>TUBO ACO GALVANIZADO COM COSTURA, CLASSE LEVE, DN 40 MM ( 1 1/2"),  E = 3,00 MM,  *3,48* KG/M (NBR 5580)</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</si>
  <si>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</si>
  <si>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</si>
  <si>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</si>
  <si>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</si>
  <si>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</si>
  <si>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</si>
  <si>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</si>
  <si>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PA-2, PB, DN 2000 MM, PARA AGUAS PLUVIAIS (NBR 8890)</t>
  </si>
  <si>
    <t>VEU DE VIDRO/VEU DE SUPERFICIE 30 A 35 G/M2</t>
  </si>
  <si>
    <t>CONCRETO BETUMINOSO USINADO A QUENTE (CBUQ) PARA PAVIMENTACAO ASFALTICA, PADRAO DNIT, PARA BINDER, COM CAP 50/70 - AQUISICAO POSTO USINA (COLETADO CAIXA)</t>
  </si>
  <si>
    <t>Descrição - TABELA DE INSUMOS (DATA-BASE: 02/17)</t>
  </si>
  <si>
    <t>Células onde devem ser inseridos dados da memória de calculo de cada sub-bacia</t>
  </si>
  <si>
    <t>OBRA: REDE COLETORA</t>
  </si>
  <si>
    <t>ESCAV. MANUAL (até 4,0 m)</t>
  </si>
  <si>
    <t>Carga Manual DE MATERIAL</t>
  </si>
  <si>
    <t>Corte e demolição de asfalto Manual</t>
  </si>
  <si>
    <t>p26</t>
  </si>
  <si>
    <t>TUBO PVC/ESGOTO DN100</t>
  </si>
  <si>
    <t>TUBO PVC/ESGOTO DN150</t>
  </si>
  <si>
    <t>TUBO PVC/ESGOTO DN200</t>
  </si>
  <si>
    <t>TUBO PVC/ESGOTO DN250</t>
  </si>
  <si>
    <t>TUBO PVC/ESGOTO DN300</t>
  </si>
  <si>
    <t>TUBO PVC/ESGOTO DN500</t>
  </si>
  <si>
    <t>ESCAVAÇÃO ATÉ 1,5 m</t>
  </si>
  <si>
    <t>Obtida da Memória de Cálculo</t>
  </si>
  <si>
    <t>ESCAVAÇÃO DE 1,51 a3,0 m</t>
  </si>
  <si>
    <t>ESCAVAÇÃO DE 3,01 a 4,5 m</t>
  </si>
  <si>
    <t>ESCAVAÇÃO DE 4,51 a 6,0 m</t>
  </si>
  <si>
    <t>ab</t>
  </si>
  <si>
    <t>ac</t>
  </si>
  <si>
    <t>af</t>
  </si>
  <si>
    <t>ag</t>
  </si>
  <si>
    <t>aj</t>
  </si>
  <si>
    <t>ak</t>
  </si>
  <si>
    <t>an</t>
  </si>
  <si>
    <t xml:space="preserve">(Material de 2ª Cat.+ Material Barro Lama + Material de 3ªCat ) </t>
  </si>
  <si>
    <t>VOLUME DAS TUBULAÇÕES</t>
  </si>
  <si>
    <t>Material de Bota fora - Volume do Tubo</t>
  </si>
  <si>
    <r>
      <t xml:space="preserve">Idem </t>
    </r>
    <r>
      <rPr>
        <b/>
        <sz val="10"/>
        <rFont val="Arial"/>
        <family val="2"/>
      </rPr>
      <t>"aq"</t>
    </r>
  </si>
  <si>
    <t>Extensão de rede x 0,15 m de altura de brita x 0,80 m de largura do reforço</t>
  </si>
  <si>
    <t>Extensão de rede x 0,30 m de altura pedra marroada x 0,80 m de largura do reforço</t>
  </si>
  <si>
    <r>
      <t>Idem</t>
    </r>
    <r>
      <rPr>
        <b/>
        <sz val="10"/>
        <rFont val="Arial"/>
        <family val="2"/>
      </rPr>
      <t xml:space="preserve"> "1 + 2"</t>
    </r>
  </si>
  <si>
    <t>ctd.11</t>
  </si>
  <si>
    <t>ctd.12</t>
  </si>
  <si>
    <t>ctd.13</t>
  </si>
  <si>
    <t>ctd.14</t>
  </si>
  <si>
    <t>ctd.15</t>
  </si>
  <si>
    <t>ctd.16</t>
  </si>
  <si>
    <t>ctd.17</t>
  </si>
  <si>
    <r>
      <t>Idem</t>
    </r>
    <r>
      <rPr>
        <b/>
        <sz val="10"/>
        <rFont val="Arial"/>
        <family val="2"/>
      </rPr>
      <t xml:space="preserve"> "11"</t>
    </r>
  </si>
  <si>
    <t>ctd.18</t>
  </si>
  <si>
    <r>
      <t>Idem</t>
    </r>
    <r>
      <rPr>
        <b/>
        <sz val="10"/>
        <rFont val="Arial"/>
        <family val="2"/>
      </rPr>
      <t xml:space="preserve"> "12"</t>
    </r>
  </si>
  <si>
    <t>ctd.19</t>
  </si>
  <si>
    <r>
      <t>Idem</t>
    </r>
    <r>
      <rPr>
        <b/>
        <sz val="10"/>
        <rFont val="Arial"/>
        <family val="2"/>
      </rPr>
      <t xml:space="preserve"> "13"</t>
    </r>
  </si>
  <si>
    <t>ctd.20</t>
  </si>
  <si>
    <r>
      <t>Idem</t>
    </r>
    <r>
      <rPr>
        <b/>
        <sz val="10"/>
        <rFont val="Arial"/>
        <family val="2"/>
      </rPr>
      <t xml:space="preserve"> "14"</t>
    </r>
  </si>
  <si>
    <t>m2</t>
  </si>
  <si>
    <t>Obtido da memoria de cálculo de serviços</t>
  </si>
  <si>
    <t>ba</t>
  </si>
  <si>
    <t>Área de calçada e asfalto x espessura de 0,06 m (considerando percentual de corte com equipamentos)</t>
  </si>
  <si>
    <t>bb</t>
  </si>
  <si>
    <t>Área de calçada  x espessura de 0,06 m (considerando percentual de corte manual)</t>
  </si>
  <si>
    <t>bc</t>
  </si>
  <si>
    <t xml:space="preserve">Área de asfalto </t>
  </si>
  <si>
    <t>Área de calçada</t>
  </si>
  <si>
    <t>1% da extensão de rede</t>
  </si>
  <si>
    <t xml:space="preserve">Reposição de Asfalto x Espessura da base (0,15) </t>
  </si>
  <si>
    <r>
      <t xml:space="preserve">Idem </t>
    </r>
    <r>
      <rPr>
        <b/>
        <sz val="10"/>
        <rFont val="Arial"/>
        <family val="2"/>
      </rPr>
      <t>"bi"</t>
    </r>
  </si>
  <si>
    <r>
      <t xml:space="preserve">Escavação de Material </t>
    </r>
    <r>
      <rPr>
        <b/>
        <sz val="10"/>
        <rFont val="Arial"/>
        <family val="2"/>
      </rPr>
      <t>"bi"</t>
    </r>
    <r>
      <rPr>
        <sz val="10"/>
        <rFont val="Arial"/>
        <family val="2"/>
      </rPr>
      <t xml:space="preserve"> x a Dist. de jazida </t>
    </r>
    <r>
      <rPr>
        <b/>
        <sz val="10"/>
        <rFont val="Arial"/>
        <family val="2"/>
      </rPr>
      <t>"p1"</t>
    </r>
  </si>
  <si>
    <t xml:space="preserve">Reposição de Asfalto x  Espessura da pavimento (0,06)  </t>
  </si>
  <si>
    <r>
      <t xml:space="preserve">Carga </t>
    </r>
    <r>
      <rPr>
        <b/>
        <sz val="10"/>
        <rFont val="Arial"/>
        <family val="2"/>
      </rPr>
      <t>"bi"</t>
    </r>
    <r>
      <rPr>
        <sz val="10"/>
        <rFont val="Arial"/>
        <family val="2"/>
      </rPr>
      <t xml:space="preserve"> * Distância da jazida </t>
    </r>
    <r>
      <rPr>
        <b/>
        <sz val="10"/>
        <rFont val="Arial"/>
        <family val="2"/>
      </rPr>
      <t>"p1"</t>
    </r>
  </si>
  <si>
    <r>
      <t xml:space="preserve">Idem  </t>
    </r>
    <r>
      <rPr>
        <b/>
        <sz val="10"/>
        <rFont val="Arial"/>
        <family val="2"/>
      </rPr>
      <t xml:space="preserve"> "bi" </t>
    </r>
  </si>
  <si>
    <t>CADASTRO  TÉCNICO DE REDES DE ESGOTO</t>
  </si>
  <si>
    <t>CAVALETE  COM PLACA DE ADVERTÊNCIA 1,0 X 0,40 M (TIPOS I...V)</t>
  </si>
  <si>
    <t>PASSADIÇO  METÁLICO</t>
  </si>
  <si>
    <t>ESCAVAÇÃO  MECANIZADA   (COM  RETROESCAVADEIRA)  EM VALAS  COM  MATERIAL  DE  2ª  CATEGORIA  - PROFUNDIDADE ATÉ 2,0 M</t>
  </si>
  <si>
    <t>ESCAVAÇÃO  MECANIZADA   (COM  RETROESCAVADEIRA)  EM VALAS  COM  MATERIAL  DE  2ª  CATEGORIA  - PROFUNDIDADE DE 2,0 A 4,0M</t>
  </si>
  <si>
    <t>ESCAVAÇÃO  MECANIZADA  (COM ESCAVADEIRA HIDRÁULICA)  EM VALAS COM MATERIAL DE 2ª CATEGORIA
- PROFUNDIDADE DE 4,0 A 6,0 M</t>
  </si>
  <si>
    <t>ESCAVAÇÃO   MECANIZADA   (COM  RETROESCAVADEIRA)  EM  VALAS  COM  MATERIAL   DE  SOLO  MOLE  - PROFUNDIDADE ATÉ 2,0 M</t>
  </si>
  <si>
    <t>ESCAVAÇÃO   MECANIZADA   (COM  RETROESCAVADEIRA)  EM  VALAS  COM  MATERIAL   DE  SOLO  MOLE  - PROFUNDIDADE DE 2,0 A 4,0 M</t>
  </si>
  <si>
    <t>ESCAVAÇÃO  MECANIZADA  (COM ESCAVADEIRA HIDRÁULICA)  EM VALAS COM MATERIAL  DE SOLO MOLE - PROFUNDIDADE DE 4,0 A 6,0 M</t>
  </si>
  <si>
    <t>ESCAVAÇÃO  MANUAL EM VALAS COM MATERIAL DE 2ª CATEGORIA  - PROFUNDIDADE ATÉ 2,0 M</t>
  </si>
  <si>
    <t>ESCAVAÇÃO  MANUAL EM VALAS COM MATERIAL DE 2ª CATEGORIA  - PROFUNDIDADE DE 2,0 A 4,0 M</t>
  </si>
  <si>
    <t>ESCAVAÇÃO   MANUAL   EM  VALAS  COM  MATERIAL   DE  3ª  CATEGORIA   SEM  USO  DE  EXPLOSIVO   COM UTILIZAÇÃO  DE COMPRESSOR E ROMPEDOR  -  PROFUNDIDADE ATÉ 2,0M</t>
  </si>
  <si>
    <t>ESCAVAÇÃO   MANUAL   EM  VALAS  COM  MATERIAL   DE  3ª  CATEGORIA   SEM  USO  DE  EXPLOSIVO   COM UTILIZAÇÃO  DE COMPRESSOR E ROMPEDOR   - PROFUNDIDADE DE 2,0 A 4,0M</t>
  </si>
  <si>
    <t>ESCAVAÇÃO  MANUAL EM VALAS COM MATERIAL DE BARRO - LAMA - PROFUNDIDADE ATÉ 2,0M</t>
  </si>
  <si>
    <t>ESCAVAÇÃO  MANUAL EM VALAS COM MATERIAL DE BARRO - LAMA - PROFUNDIDADE DE 2,0 A 4,0M</t>
  </si>
  <si>
    <t>AQUISIÇÃO  DE MATERIAL DE JAZIDA</t>
  </si>
  <si>
    <t>ESCAVAÇÃO  E CARGA DE MATERIAL DE JAZIDA (COM TRATOR E PÁ CARREGADEIRA)</t>
  </si>
  <si>
    <t>TRANSPORTE E DESCARGA  DE MATERIAL DE 1ª OU 2ª CATEGORIA  (M3 X KM) - EM CAMINHÃO  BASCULANTE CAP. 6 M3 - COM EMPOLAMENTO</t>
  </si>
  <si>
    <t>CTD E MONTAGEM  TUBO/CONEXÃO PVC DEFOFO JE INCLUSIVE  TESTE HIDROSTÁTICO DN 500</t>
  </si>
  <si>
    <t>CORTE E DEMOLIÇÃO  CALÇADA/PAVIMENTO ASFALTICO  COM EQUIPAMENTOS</t>
  </si>
  <si>
    <t>CORTE E DEMOLIÇÃO  DE CALCADA/PAVIMENTO ASFALTICO  MANUAL</t>
  </si>
  <si>
    <t>REPOSIÇÃO    ASFÁLTICA    (REMENDO    PAVIMENTO    ESTABILIZADO+PRÉ-MISTURADO   A   FRIO   -   PMF)   -
EXCLUSIVE  MATERIAL DE EMPRÉSTIMO PARA BASE</t>
  </si>
  <si>
    <t>POÇO DE VISITA  EM ANÉIS DE CONCRETO DIÂMETROS 60 CM (CHAMINÉ) E 90 CM (BALÃO), INCLUINDO ANEL TAMPÃO DE CONCRETO, PROFUNDIDADE = 1,5 M</t>
  </si>
  <si>
    <t>POÇO DE VISITA  EM ANÉIS DE CONCRETO DIÂMETROS 60 CM (CHAMINÉ) E 90 CM (BALÃO), INCLUINDO ANEL TAMPÃO DE CONCRETO, PROFUNDIDADE = 2,0 M</t>
  </si>
  <si>
    <t>POÇO DE VISITA  EM ANÉIS DE CONCRETO DIÂMETROS 60 CM (CHAMINÉ) E 90 CM (BALÃO), INCLUINDO ANEL TAMPÃO DE CONCRETO, PROFUNDIDADE = 2,5 M</t>
  </si>
  <si>
    <t>POÇO DE VISITA  EM ANÉIS DE CONCRETO DIÂMETROS 60 CM (CHAMINÉ) E 90 CM (BALÃO), INCLUINDO ANEL TAMPÃO DE CONCRETO, PROFUNDIDADE = 3,0 M</t>
  </si>
  <si>
    <t>POÇO DE VISITA  EM ANÉIS DE CONCRETO DIÂMETROS 60 CM (CHAMINÉ) E 90 CM (BALÃO), INCLUINDO ANEL TAMPÃO DE CONCRETO, PROFUNDIDADE = 3,5 M</t>
  </si>
  <si>
    <t>POÇO DE VISITA  EM ANÉIS DE CONCRETO DIÂMETROS 60 CM (CHAMINÉ) E 90 CM (BALÃO), INCLUINDO ANEL TAMPÃO DE CONCRETO, PROFUNDIDADE = 4,0 M</t>
  </si>
  <si>
    <t>POÇO DE VISITA  EM ANÉIS DE CONCRETO DIÂMETROS 60 CM (CHAMINÉ) E 90 CM (BALÃO), INCLUINDO ANEL TAMPÃO DE CONCRETO, PROFUNDIDADE = 4,5 M</t>
  </si>
  <si>
    <t>BARRACÃO,  SANITÁRIO,  ALMOX. E DEPOSITO  DE CIMENTO</t>
  </si>
  <si>
    <t>CERCA DE PROTEÇÃO  DE VALAS (REAPROVEITAMENTO = 5X)</t>
  </si>
  <si>
    <t>CONE DE SINALIZAÇÃO  COM PINTURA REFLETIVA  H=0.50 M</t>
  </si>
  <si>
    <t>CONE DE SINALIZAÇÃO  COM PINTURA REFLETIVA  H=0.70 M</t>
  </si>
  <si>
    <t>LANTERNA  DE SINALIZAÇÃO</t>
  </si>
  <si>
    <t>PASSADIÇO  DE MADEIRA</t>
  </si>
  <si>
    <t>LIMPEZA MANUAL TERRENO COM/RETIRADA VEGETAÇÃO  EXISTENTE  E QUEIMA DA MESMA</t>
  </si>
  <si>
    <t>LIMPEZA MECANIZADA  TERRENO COM RASPAGEM  SUPERFICIAL</t>
  </si>
  <si>
    <t>DEMOLIÇÃO  ALVENARIA  TIJOLOS COMUNS COM LIMPEZA  E EMPILHAMENTO</t>
  </si>
  <si>
    <t>DEMOLIÇÃO  CONCRETO  ARMADO COM MARTELETE  PNEUMÁTICO</t>
  </si>
  <si>
    <t>DEMOLIÇÃO  MANUAL DE CONCRETO  ARMADO</t>
  </si>
  <si>
    <t>DEMOLIÇÃO  PISO CIMENTADO  SOBRE BASE DE CONCRETO</t>
  </si>
  <si>
    <t>DEMOLIÇÃO  PISO EM LADRILHOS  CERÂMICOS</t>
  </si>
  <si>
    <t>DEMOLIÇÃO  REVESTIMENTO ARGAMASSA  DE CIMENTO E AREIA</t>
  </si>
  <si>
    <r>
      <rPr>
        <b/>
        <sz val="6"/>
        <color indexed="8"/>
        <rFont val="Arial"/>
        <family val="2"/>
      </rPr>
      <t>M</t>
    </r>
    <r>
      <rPr>
        <b/>
        <sz val="6"/>
        <color indexed="8"/>
        <rFont val="Arial"/>
        <family val="2"/>
      </rPr>
      <t>OV</t>
    </r>
    <r>
      <rPr>
        <b/>
        <sz val="6"/>
        <color indexed="8"/>
        <rFont val="Arial"/>
        <family val="2"/>
      </rPr>
      <t>I</t>
    </r>
    <r>
      <rPr>
        <b/>
        <sz val="6"/>
        <color indexed="8"/>
        <rFont val="Arial"/>
        <family val="2"/>
      </rPr>
      <t>M</t>
    </r>
    <r>
      <rPr>
        <b/>
        <sz val="6"/>
        <color indexed="8"/>
        <rFont val="Arial"/>
        <family val="2"/>
      </rPr>
      <t>E</t>
    </r>
    <r>
      <rPr>
        <b/>
        <sz val="6"/>
        <color indexed="8"/>
        <rFont val="Arial"/>
        <family val="2"/>
      </rPr>
      <t>N</t>
    </r>
    <r>
      <rPr>
        <b/>
        <sz val="6"/>
        <color indexed="8"/>
        <rFont val="Arial"/>
        <family val="2"/>
      </rPr>
      <t>T</t>
    </r>
    <r>
      <rPr>
        <b/>
        <sz val="6"/>
        <color indexed="8"/>
        <rFont val="Arial"/>
        <family val="2"/>
      </rPr>
      <t>O</t>
    </r>
    <r>
      <rPr>
        <b/>
        <sz val="6"/>
        <color indexed="8"/>
        <rFont val="Arial"/>
        <family val="2"/>
      </rPr>
      <t xml:space="preserve"> </t>
    </r>
    <r>
      <rPr>
        <b/>
        <sz val="6"/>
        <color indexed="8"/>
        <rFont val="Arial"/>
        <family val="2"/>
      </rPr>
      <t xml:space="preserve"> </t>
    </r>
    <r>
      <rPr>
        <b/>
        <sz val="6"/>
        <color indexed="8"/>
        <rFont val="Arial"/>
        <family val="2"/>
      </rPr>
      <t>D</t>
    </r>
    <r>
      <rPr>
        <b/>
        <sz val="6"/>
        <color indexed="8"/>
        <rFont val="Arial"/>
        <family val="2"/>
      </rPr>
      <t>E</t>
    </r>
    <r>
      <rPr>
        <b/>
        <sz val="6"/>
        <color indexed="8"/>
        <rFont val="Arial"/>
        <family val="2"/>
      </rPr>
      <t xml:space="preserve"> </t>
    </r>
    <r>
      <rPr>
        <b/>
        <sz val="6"/>
        <color indexed="8"/>
        <rFont val="Arial"/>
        <family val="2"/>
      </rPr>
      <t>T</t>
    </r>
    <r>
      <rPr>
        <b/>
        <sz val="6"/>
        <color indexed="8"/>
        <rFont val="Arial"/>
        <family val="2"/>
      </rPr>
      <t>E</t>
    </r>
    <r>
      <rPr>
        <b/>
        <sz val="6"/>
        <color indexed="8"/>
        <rFont val="Arial"/>
        <family val="2"/>
      </rPr>
      <t>R</t>
    </r>
    <r>
      <rPr>
        <b/>
        <sz val="6"/>
        <color indexed="8"/>
        <rFont val="Arial"/>
        <family val="2"/>
      </rPr>
      <t>R</t>
    </r>
    <r>
      <rPr>
        <b/>
        <sz val="6"/>
        <color indexed="8"/>
        <rFont val="Arial"/>
        <family val="2"/>
      </rPr>
      <t>A</t>
    </r>
    <r>
      <rPr>
        <b/>
        <sz val="6"/>
        <color indexed="8"/>
        <rFont val="Arial"/>
        <family val="2"/>
      </rPr>
      <t xml:space="preserve"> </t>
    </r>
    <r>
      <rPr>
        <b/>
        <sz val="6"/>
        <color indexed="8"/>
        <rFont val="Arial"/>
        <family val="2"/>
      </rPr>
      <t>(GE</t>
    </r>
    <r>
      <rPr>
        <b/>
        <sz val="6"/>
        <color indexed="8"/>
        <rFont val="Arial"/>
        <family val="2"/>
      </rPr>
      <t>R</t>
    </r>
    <r>
      <rPr>
        <b/>
        <sz val="6"/>
        <color indexed="8"/>
        <rFont val="Arial"/>
        <family val="2"/>
      </rPr>
      <t>A</t>
    </r>
    <r>
      <rPr>
        <b/>
        <sz val="6"/>
        <color indexed="8"/>
        <rFont val="Arial"/>
        <family val="2"/>
      </rPr>
      <t>L</t>
    </r>
    <r>
      <rPr>
        <b/>
        <sz val="6"/>
        <color indexed="8"/>
        <rFont val="Arial"/>
        <family val="2"/>
      </rPr>
      <t>)</t>
    </r>
  </si>
  <si>
    <t>ESCAVAÇÃO  MANUAL CAVAS 1ª. CAT. PROFUNDIDADE ATÉ 3.0 M</t>
  </si>
  <si>
    <t>ESCAVAÇÃO  MANUAL CAVAS 1ª. CATEGORIA  PROFUNDIDADE ALÉM DE 3.0 M</t>
  </si>
  <si>
    <t>REATERRO  COMPACTADO DE CAVAS MANUAL</t>
  </si>
  <si>
    <t>REATERRO  COMPACTADO DE CAVAS COM COMPACTADOR</t>
  </si>
  <si>
    <r>
      <rPr>
        <b/>
        <sz val="6"/>
        <color indexed="8"/>
        <rFont val="Arial"/>
        <family val="2"/>
      </rPr>
      <t>F</t>
    </r>
    <r>
      <rPr>
        <b/>
        <sz val="6"/>
        <color indexed="8"/>
        <rFont val="Arial"/>
        <family val="2"/>
      </rPr>
      <t>U</t>
    </r>
    <r>
      <rPr>
        <b/>
        <sz val="6"/>
        <color indexed="8"/>
        <rFont val="Arial"/>
        <family val="2"/>
      </rPr>
      <t>N</t>
    </r>
    <r>
      <rPr>
        <b/>
        <sz val="6"/>
        <color indexed="8"/>
        <rFont val="Arial"/>
        <family val="2"/>
      </rPr>
      <t>D</t>
    </r>
    <r>
      <rPr>
        <b/>
        <sz val="6"/>
        <color indexed="8"/>
        <rFont val="Arial"/>
        <family val="2"/>
      </rPr>
      <t>A</t>
    </r>
    <r>
      <rPr>
        <b/>
        <sz val="6"/>
        <color indexed="8"/>
        <rFont val="Arial"/>
        <family val="2"/>
      </rPr>
      <t>Ç</t>
    </r>
    <r>
      <rPr>
        <b/>
        <sz val="6"/>
        <color indexed="8"/>
        <rFont val="Arial"/>
        <family val="2"/>
      </rPr>
      <t>ÕES</t>
    </r>
  </si>
  <si>
    <t>ENSECADEIRA, PAREDES SIMPLES INCLUINDO  RETIRADA  POSTERIOR  DO MADEIRAMENTO</t>
  </si>
  <si>
    <t>ESCAVAÇÃO  PARA TUBULÃO</t>
  </si>
  <si>
    <t>ENROCAMENTO PEDRA DE MÃO ARRUMADA  INCLUSIVE  FORNECIMENTO</t>
  </si>
  <si>
    <t>EMBASAMENTO ALVENARIA  DE PEDRA ARGAMASSADA</t>
  </si>
  <si>
    <t>EMBASAMENTO ALVENARIA  DE TIJOLOS MACIÇOS</t>
  </si>
  <si>
    <t>ESTACAS CONCRETO  A TRADO FCK=135KG/CM2 COM 20 KG FER/M3 DN 25CM</t>
  </si>
  <si>
    <t>ESTACAS CONCRETO  A TRADO FCK=135KG/CM2 COM 20KG FER/M3 DN 30CM</t>
  </si>
  <si>
    <r>
      <rPr>
        <b/>
        <sz val="6"/>
        <color indexed="8"/>
        <rFont val="Arial"/>
        <family val="2"/>
      </rPr>
      <t>ES</t>
    </r>
    <r>
      <rPr>
        <b/>
        <sz val="6"/>
        <color indexed="8"/>
        <rFont val="Arial"/>
        <family val="2"/>
      </rPr>
      <t>T</t>
    </r>
    <r>
      <rPr>
        <b/>
        <sz val="6"/>
        <color indexed="8"/>
        <rFont val="Arial"/>
        <family val="2"/>
      </rPr>
      <t>R</t>
    </r>
    <r>
      <rPr>
        <b/>
        <sz val="6"/>
        <color indexed="8"/>
        <rFont val="Arial"/>
        <family val="2"/>
      </rPr>
      <t>U</t>
    </r>
    <r>
      <rPr>
        <b/>
        <sz val="6"/>
        <color indexed="8"/>
        <rFont val="Arial"/>
        <family val="2"/>
      </rPr>
      <t>T</t>
    </r>
    <r>
      <rPr>
        <b/>
        <sz val="6"/>
        <color indexed="8"/>
        <rFont val="Arial"/>
        <family val="2"/>
      </rPr>
      <t>U</t>
    </r>
    <r>
      <rPr>
        <b/>
        <sz val="6"/>
        <color indexed="8"/>
        <rFont val="Arial"/>
        <family val="2"/>
      </rPr>
      <t>R</t>
    </r>
    <r>
      <rPr>
        <b/>
        <sz val="6"/>
        <color indexed="8"/>
        <rFont val="Arial"/>
        <family val="2"/>
      </rPr>
      <t>A</t>
    </r>
    <r>
      <rPr>
        <b/>
        <sz val="6"/>
        <color indexed="8"/>
        <rFont val="Arial"/>
        <family val="2"/>
      </rPr>
      <t>S</t>
    </r>
    <r>
      <rPr>
        <b/>
        <sz val="6"/>
        <color indexed="8"/>
        <rFont val="Arial"/>
        <family val="2"/>
      </rPr>
      <t xml:space="preserve"> </t>
    </r>
    <r>
      <rPr>
        <b/>
        <sz val="6"/>
        <color indexed="8"/>
        <rFont val="Arial"/>
        <family val="2"/>
      </rPr>
      <t>D</t>
    </r>
    <r>
      <rPr>
        <b/>
        <sz val="6"/>
        <color indexed="8"/>
        <rFont val="Arial"/>
        <family val="2"/>
      </rPr>
      <t>E</t>
    </r>
    <r>
      <rPr>
        <b/>
        <sz val="6"/>
        <color indexed="8"/>
        <rFont val="Arial"/>
        <family val="2"/>
      </rPr>
      <t xml:space="preserve"> </t>
    </r>
    <r>
      <rPr>
        <b/>
        <sz val="6"/>
        <color indexed="8"/>
        <rFont val="Arial"/>
        <family val="2"/>
      </rPr>
      <t>C</t>
    </r>
    <r>
      <rPr>
        <b/>
        <sz val="6"/>
        <color indexed="8"/>
        <rFont val="Arial"/>
        <family val="2"/>
      </rPr>
      <t>O</t>
    </r>
    <r>
      <rPr>
        <b/>
        <sz val="6"/>
        <color indexed="8"/>
        <rFont val="Arial"/>
        <family val="2"/>
      </rPr>
      <t>N</t>
    </r>
    <r>
      <rPr>
        <b/>
        <sz val="6"/>
        <color indexed="8"/>
        <rFont val="Arial"/>
        <family val="2"/>
      </rPr>
      <t>C</t>
    </r>
    <r>
      <rPr>
        <b/>
        <sz val="6"/>
        <color indexed="8"/>
        <rFont val="Arial"/>
        <family val="2"/>
      </rPr>
      <t>R</t>
    </r>
    <r>
      <rPr>
        <b/>
        <sz val="6"/>
        <color indexed="8"/>
        <rFont val="Arial"/>
        <family val="2"/>
      </rPr>
      <t>E</t>
    </r>
    <r>
      <rPr>
        <b/>
        <sz val="6"/>
        <color indexed="8"/>
        <rFont val="Arial"/>
        <family val="2"/>
      </rPr>
      <t>T</t>
    </r>
    <r>
      <rPr>
        <b/>
        <sz val="6"/>
        <color indexed="8"/>
        <rFont val="Arial"/>
        <family val="2"/>
      </rPr>
      <t>O</t>
    </r>
    <r>
      <rPr>
        <b/>
        <sz val="6"/>
        <color indexed="8"/>
        <rFont val="Arial"/>
        <family val="2"/>
      </rPr>
      <t xml:space="preserve"> </t>
    </r>
    <r>
      <rPr>
        <b/>
        <sz val="6"/>
        <color indexed="8"/>
        <rFont val="Arial"/>
        <family val="2"/>
      </rPr>
      <t xml:space="preserve"> </t>
    </r>
    <r>
      <rPr>
        <b/>
        <sz val="6"/>
        <color indexed="8"/>
        <rFont val="Arial"/>
        <family val="2"/>
      </rPr>
      <t>A</t>
    </r>
    <r>
      <rPr>
        <b/>
        <sz val="6"/>
        <color indexed="8"/>
        <rFont val="Arial"/>
        <family val="2"/>
      </rPr>
      <t>R</t>
    </r>
    <r>
      <rPr>
        <b/>
        <sz val="6"/>
        <color indexed="8"/>
        <rFont val="Arial"/>
        <family val="2"/>
      </rPr>
      <t>M</t>
    </r>
    <r>
      <rPr>
        <b/>
        <sz val="6"/>
        <color indexed="8"/>
        <rFont val="Arial"/>
        <family val="2"/>
      </rPr>
      <t>A</t>
    </r>
    <r>
      <rPr>
        <b/>
        <sz val="6"/>
        <color indexed="8"/>
        <rFont val="Arial"/>
        <family val="2"/>
      </rPr>
      <t>D</t>
    </r>
    <r>
      <rPr>
        <b/>
        <sz val="6"/>
        <color indexed="8"/>
        <rFont val="Arial"/>
        <family val="2"/>
      </rPr>
      <t>O</t>
    </r>
  </si>
  <si>
    <t>CONCRETO  ESTRUTURAL USINADO BOMBEADO  FCK=30 MPA, COM ADIÇÃO DE 8 À 10% DE MICROSSÍLICA
(INCLUINDO  LANÇAMENTO, APLICAÇÃO  E ADENSAMENTO)</t>
  </si>
  <si>
    <t>ARMADURA  DE AÇO EM BARRAS</t>
  </si>
  <si>
    <t>CONCRETO  ESTRUTURAL FCK = 13,5 MPA (INCLUINDO  LANÇAMENTO ESTRUTURA)</t>
  </si>
  <si>
    <t>CONCRETO  ESTRUTURAL FCK = 15,0 MPA (INCLUINDO  LANÇAMENTO ESTRUTURA)</t>
  </si>
  <si>
    <t>CONCRETO  ESTRUTURAL FCK = 18,0 MPA (INCLUINDO  LANÇAMENTO ESTRUTURA)</t>
  </si>
  <si>
    <t>CONCRETO  ESTRUTURAL FCK = 20,0 MPA (INCLUINDO  LANÇAMENTO ESTRUTURAL)</t>
  </si>
  <si>
    <t>CONCRETO  ESTRUTURAL FCK = 25,0 MPA (INCLUINDO  LANÇAMENTO ESTRUTURAL)</t>
  </si>
  <si>
    <t>CONCRETO  ESTRUTURAL FCK=30,0 MPA ( INCLUINDO  LANÇAMENTO ESTRUTURAL)</t>
  </si>
  <si>
    <t>CONCRETO  ESTRUTURAL USINADO  BOMBEADO  FCK=20  MPA  (INCLUINDO  LANÇAMENTO, APLICAÇÃO  E
ADENSAMENTO)</t>
  </si>
  <si>
    <r>
      <rPr>
        <sz val="6"/>
        <color indexed="8"/>
        <rFont val="Arial"/>
        <family val="2"/>
      </rPr>
      <t>C</t>
    </r>
    <r>
      <rPr>
        <sz val="6"/>
        <color indexed="8"/>
        <rFont val="Arial"/>
        <family val="2"/>
      </rPr>
      <t>O</t>
    </r>
    <r>
      <rPr>
        <sz val="6"/>
        <color indexed="8"/>
        <rFont val="Arial"/>
        <family val="2"/>
      </rPr>
      <t>N</t>
    </r>
    <r>
      <rPr>
        <sz val="6"/>
        <color indexed="8"/>
        <rFont val="Arial"/>
        <family val="2"/>
      </rPr>
      <t>C</t>
    </r>
    <r>
      <rPr>
        <sz val="6"/>
        <color indexed="8"/>
        <rFont val="Arial"/>
        <family val="2"/>
      </rPr>
      <t>R</t>
    </r>
    <r>
      <rPr>
        <sz val="6"/>
        <color indexed="8"/>
        <rFont val="Arial"/>
        <family val="2"/>
      </rPr>
      <t>E</t>
    </r>
    <r>
      <rPr>
        <sz val="6"/>
        <color indexed="8"/>
        <rFont val="Arial"/>
        <family val="2"/>
      </rPr>
      <t>T</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E</t>
    </r>
    <r>
      <rPr>
        <sz val="6"/>
        <color indexed="8"/>
        <rFont val="Arial"/>
        <family val="2"/>
      </rPr>
      <t>S</t>
    </r>
    <r>
      <rPr>
        <sz val="6"/>
        <color indexed="8"/>
        <rFont val="Arial"/>
        <family val="2"/>
      </rPr>
      <t>T</t>
    </r>
    <r>
      <rPr>
        <sz val="6"/>
        <color indexed="8"/>
        <rFont val="Arial"/>
        <family val="2"/>
      </rPr>
      <t>R</t>
    </r>
    <r>
      <rPr>
        <sz val="6"/>
        <color indexed="8"/>
        <rFont val="Arial"/>
        <family val="2"/>
      </rPr>
      <t>U</t>
    </r>
    <r>
      <rPr>
        <sz val="6"/>
        <color indexed="8"/>
        <rFont val="Arial"/>
        <family val="2"/>
      </rPr>
      <t>T</t>
    </r>
    <r>
      <rPr>
        <sz val="6"/>
        <color indexed="8"/>
        <rFont val="Arial"/>
        <family val="2"/>
      </rPr>
      <t>U</t>
    </r>
    <r>
      <rPr>
        <sz val="6"/>
        <color indexed="8"/>
        <rFont val="Arial"/>
        <family val="2"/>
      </rPr>
      <t>R</t>
    </r>
    <r>
      <rPr>
        <sz val="6"/>
        <color indexed="8"/>
        <rFont val="Arial"/>
        <family val="2"/>
      </rPr>
      <t>AL</t>
    </r>
    <r>
      <rPr>
        <sz val="6"/>
        <color indexed="8"/>
        <rFont val="Arial"/>
        <family val="2"/>
      </rPr>
      <t xml:space="preserve"> </t>
    </r>
    <r>
      <rPr>
        <sz val="6"/>
        <color indexed="8"/>
        <rFont val="Arial"/>
        <family val="2"/>
      </rPr>
      <t>U</t>
    </r>
    <r>
      <rPr>
        <sz val="6"/>
        <color indexed="8"/>
        <rFont val="Arial"/>
        <family val="2"/>
      </rPr>
      <t>S</t>
    </r>
    <r>
      <rPr>
        <sz val="6"/>
        <color indexed="8"/>
        <rFont val="Arial"/>
        <family val="2"/>
      </rPr>
      <t>I</t>
    </r>
    <r>
      <rPr>
        <sz val="6"/>
        <color indexed="8"/>
        <rFont val="Arial"/>
        <family val="2"/>
      </rPr>
      <t>N</t>
    </r>
    <r>
      <rPr>
        <sz val="6"/>
        <color indexed="8"/>
        <rFont val="Arial"/>
        <family val="2"/>
      </rPr>
      <t>A</t>
    </r>
    <r>
      <rPr>
        <sz val="6"/>
        <color indexed="8"/>
        <rFont val="Arial"/>
        <family val="2"/>
      </rPr>
      <t>D</t>
    </r>
    <r>
      <rPr>
        <sz val="6"/>
        <color indexed="8"/>
        <rFont val="Arial"/>
        <family val="2"/>
      </rPr>
      <t>O</t>
    </r>
    <r>
      <rPr>
        <sz val="6"/>
        <color indexed="8"/>
        <rFont val="Arial"/>
        <family val="2"/>
      </rPr>
      <t xml:space="preserve"> </t>
    </r>
    <r>
      <rPr>
        <sz val="6"/>
        <color indexed="8"/>
        <rFont val="Arial"/>
        <family val="2"/>
      </rPr>
      <t>BO</t>
    </r>
    <r>
      <rPr>
        <sz val="6"/>
        <color indexed="8"/>
        <rFont val="Arial"/>
        <family val="2"/>
      </rPr>
      <t>M</t>
    </r>
    <r>
      <rPr>
        <sz val="6"/>
        <color indexed="8"/>
        <rFont val="Arial"/>
        <family val="2"/>
      </rPr>
      <t>BE</t>
    </r>
    <r>
      <rPr>
        <sz val="6"/>
        <color indexed="8"/>
        <rFont val="Arial"/>
        <family val="2"/>
      </rPr>
      <t>A</t>
    </r>
    <r>
      <rPr>
        <sz val="6"/>
        <color indexed="8"/>
        <rFont val="Arial"/>
        <family val="2"/>
      </rPr>
      <t>D</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F</t>
    </r>
    <r>
      <rPr>
        <sz val="6"/>
        <color indexed="8"/>
        <rFont val="Arial"/>
        <family val="2"/>
      </rPr>
      <t>C</t>
    </r>
    <r>
      <rPr>
        <sz val="6"/>
        <color indexed="8"/>
        <rFont val="Arial"/>
        <family val="2"/>
      </rPr>
      <t>K</t>
    </r>
    <r>
      <rPr>
        <sz val="6"/>
        <color indexed="8"/>
        <rFont val="Arial"/>
        <family val="2"/>
      </rPr>
      <t>=20</t>
    </r>
    <r>
      <rPr>
        <sz val="6"/>
        <color indexed="8"/>
        <rFont val="Arial"/>
        <family val="2"/>
      </rPr>
      <t xml:space="preserve"> </t>
    </r>
    <r>
      <rPr>
        <sz val="6"/>
        <color indexed="8"/>
        <rFont val="Arial"/>
        <family val="2"/>
      </rPr>
      <t>M</t>
    </r>
    <r>
      <rPr>
        <sz val="6"/>
        <color indexed="8"/>
        <rFont val="Arial"/>
        <family val="2"/>
      </rPr>
      <t>PA,</t>
    </r>
    <r>
      <rPr>
        <sz val="6"/>
        <color indexed="8"/>
        <rFont val="Arial"/>
        <family val="2"/>
      </rPr>
      <t xml:space="preserve"> </t>
    </r>
    <r>
      <rPr>
        <sz val="6"/>
        <color indexed="8"/>
        <rFont val="Arial"/>
        <family val="2"/>
      </rPr>
      <t>C</t>
    </r>
    <r>
      <rPr>
        <sz val="6"/>
        <color indexed="8"/>
        <rFont val="Arial"/>
        <family val="2"/>
      </rPr>
      <t>OM</t>
    </r>
    <r>
      <rPr>
        <sz val="6"/>
        <color indexed="8"/>
        <rFont val="Arial"/>
        <family val="2"/>
      </rPr>
      <t xml:space="preserve"> </t>
    </r>
    <r>
      <rPr>
        <sz val="6"/>
        <color indexed="8"/>
        <rFont val="Arial"/>
        <family val="2"/>
      </rPr>
      <t>A</t>
    </r>
    <r>
      <rPr>
        <sz val="6"/>
        <color indexed="8"/>
        <rFont val="Arial"/>
        <family val="2"/>
      </rPr>
      <t>D</t>
    </r>
    <r>
      <rPr>
        <sz val="6"/>
        <color indexed="8"/>
        <rFont val="Arial"/>
        <family val="2"/>
      </rPr>
      <t>I</t>
    </r>
    <r>
      <rPr>
        <sz val="6"/>
        <color indexed="8"/>
        <rFont val="Arial"/>
        <family val="2"/>
      </rPr>
      <t>Ç</t>
    </r>
    <r>
      <rPr>
        <sz val="6"/>
        <color indexed="8"/>
        <rFont val="Arial"/>
        <family val="2"/>
      </rPr>
      <t>ÃO</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8</t>
    </r>
    <r>
      <rPr>
        <sz val="6"/>
        <color indexed="8"/>
        <rFont val="Arial"/>
        <family val="2"/>
      </rPr>
      <t xml:space="preserve"> </t>
    </r>
    <r>
      <rPr>
        <sz val="6"/>
        <color indexed="8"/>
        <rFont val="Arial"/>
        <family val="2"/>
      </rPr>
      <t>À</t>
    </r>
    <r>
      <rPr>
        <sz val="6"/>
        <color indexed="8"/>
        <rFont val="Arial"/>
        <family val="2"/>
      </rPr>
      <t xml:space="preserve"> </t>
    </r>
    <r>
      <rPr>
        <sz val="6"/>
        <color indexed="8"/>
        <rFont val="Arial"/>
        <family val="2"/>
      </rPr>
      <t>10%</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M</t>
    </r>
    <r>
      <rPr>
        <sz val="6"/>
        <color indexed="8"/>
        <rFont val="Arial"/>
        <family val="2"/>
      </rPr>
      <t>I</t>
    </r>
    <r>
      <rPr>
        <sz val="6"/>
        <color indexed="8"/>
        <rFont val="Arial"/>
        <family val="2"/>
      </rPr>
      <t>C</t>
    </r>
    <r>
      <rPr>
        <sz val="6"/>
        <color indexed="8"/>
        <rFont val="Arial"/>
        <family val="2"/>
      </rPr>
      <t>R</t>
    </r>
    <r>
      <rPr>
        <sz val="6"/>
        <color indexed="8"/>
        <rFont val="Arial"/>
        <family val="2"/>
      </rPr>
      <t>O</t>
    </r>
    <r>
      <rPr>
        <sz val="6"/>
        <color indexed="8"/>
        <rFont val="Arial"/>
        <family val="2"/>
      </rPr>
      <t>S</t>
    </r>
    <r>
      <rPr>
        <sz val="6"/>
        <color indexed="8"/>
        <rFont val="Arial"/>
        <family val="2"/>
      </rPr>
      <t>S</t>
    </r>
    <r>
      <rPr>
        <sz val="6"/>
        <color indexed="8"/>
        <rFont val="Arial"/>
        <family val="2"/>
      </rPr>
      <t>Í</t>
    </r>
    <r>
      <rPr>
        <sz val="6"/>
        <color indexed="8"/>
        <rFont val="Arial"/>
        <family val="2"/>
      </rPr>
      <t>L</t>
    </r>
    <r>
      <rPr>
        <sz val="6"/>
        <color indexed="8"/>
        <rFont val="Arial"/>
        <family val="2"/>
      </rPr>
      <t>I</t>
    </r>
    <r>
      <rPr>
        <sz val="6"/>
        <color indexed="8"/>
        <rFont val="Arial"/>
        <family val="2"/>
      </rPr>
      <t>C</t>
    </r>
    <r>
      <rPr>
        <sz val="6"/>
        <color indexed="8"/>
        <rFont val="Arial"/>
        <family val="2"/>
      </rPr>
      <t>A</t>
    </r>
    <r>
      <rPr>
        <sz val="6"/>
        <color indexed="8"/>
        <rFont val="Arial"/>
        <family val="2"/>
      </rPr>
      <t xml:space="preserve"> </t>
    </r>
    <r>
      <rPr>
        <sz val="6"/>
        <color indexed="8"/>
        <rFont val="Arial"/>
        <family val="2"/>
      </rPr>
      <t>(</t>
    </r>
    <r>
      <rPr>
        <sz val="6"/>
        <color indexed="8"/>
        <rFont val="Arial"/>
        <family val="2"/>
      </rPr>
      <t>I</t>
    </r>
    <r>
      <rPr>
        <sz val="6"/>
        <color indexed="8"/>
        <rFont val="Arial"/>
        <family val="2"/>
      </rPr>
      <t>N</t>
    </r>
    <r>
      <rPr>
        <sz val="6"/>
        <color indexed="8"/>
        <rFont val="Arial"/>
        <family val="2"/>
      </rPr>
      <t>C</t>
    </r>
    <r>
      <rPr>
        <sz val="6"/>
        <color indexed="8"/>
        <rFont val="Arial"/>
        <family val="2"/>
      </rPr>
      <t>L</t>
    </r>
    <r>
      <rPr>
        <sz val="6"/>
        <color indexed="8"/>
        <rFont val="Arial"/>
        <family val="2"/>
      </rPr>
      <t>U</t>
    </r>
    <r>
      <rPr>
        <sz val="6"/>
        <color indexed="8"/>
        <rFont val="Arial"/>
        <family val="2"/>
      </rPr>
      <t>I</t>
    </r>
    <r>
      <rPr>
        <sz val="6"/>
        <color indexed="8"/>
        <rFont val="Arial"/>
        <family val="2"/>
      </rPr>
      <t>N</t>
    </r>
    <r>
      <rPr>
        <sz val="6"/>
        <color indexed="8"/>
        <rFont val="Arial"/>
        <family val="2"/>
      </rPr>
      <t>D</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L</t>
    </r>
    <r>
      <rPr>
        <sz val="6"/>
        <color indexed="8"/>
        <rFont val="Arial"/>
        <family val="2"/>
      </rPr>
      <t>A</t>
    </r>
    <r>
      <rPr>
        <sz val="6"/>
        <color indexed="8"/>
        <rFont val="Arial"/>
        <family val="2"/>
      </rPr>
      <t>N</t>
    </r>
    <r>
      <rPr>
        <sz val="6"/>
        <color indexed="8"/>
        <rFont val="Arial"/>
        <family val="2"/>
      </rPr>
      <t>Ç</t>
    </r>
    <r>
      <rPr>
        <sz val="6"/>
        <color indexed="8"/>
        <rFont val="Arial"/>
        <family val="2"/>
      </rPr>
      <t>A</t>
    </r>
    <r>
      <rPr>
        <sz val="6"/>
        <color indexed="8"/>
        <rFont val="Arial"/>
        <family val="2"/>
      </rPr>
      <t>M</t>
    </r>
    <r>
      <rPr>
        <sz val="6"/>
        <color indexed="8"/>
        <rFont val="Arial"/>
        <family val="2"/>
      </rPr>
      <t>E</t>
    </r>
    <r>
      <rPr>
        <sz val="6"/>
        <color indexed="8"/>
        <rFont val="Arial"/>
        <family val="2"/>
      </rPr>
      <t>N</t>
    </r>
    <r>
      <rPr>
        <sz val="6"/>
        <color indexed="8"/>
        <rFont val="Arial"/>
        <family val="2"/>
      </rPr>
      <t>T</t>
    </r>
    <r>
      <rPr>
        <sz val="6"/>
        <color indexed="8"/>
        <rFont val="Arial"/>
        <family val="2"/>
      </rPr>
      <t>O</t>
    </r>
    <r>
      <rPr>
        <sz val="6"/>
        <color indexed="8"/>
        <rFont val="Arial"/>
        <family val="2"/>
      </rPr>
      <t>,</t>
    </r>
    <r>
      <rPr>
        <sz val="6"/>
        <color indexed="8"/>
        <rFont val="Arial"/>
        <family val="2"/>
      </rPr>
      <t xml:space="preserve"> </t>
    </r>
    <r>
      <rPr>
        <sz val="6"/>
        <color indexed="8"/>
        <rFont val="Arial"/>
        <family val="2"/>
      </rPr>
      <t>APL</t>
    </r>
    <r>
      <rPr>
        <sz val="6"/>
        <color indexed="8"/>
        <rFont val="Arial"/>
        <family val="2"/>
      </rPr>
      <t>I</t>
    </r>
    <r>
      <rPr>
        <sz val="6"/>
        <color indexed="8"/>
        <rFont val="Arial"/>
        <family val="2"/>
      </rPr>
      <t>C</t>
    </r>
    <r>
      <rPr>
        <sz val="6"/>
        <color indexed="8"/>
        <rFont val="Arial"/>
        <family val="2"/>
      </rPr>
      <t>A</t>
    </r>
    <r>
      <rPr>
        <sz val="6"/>
        <color indexed="8"/>
        <rFont val="Arial"/>
        <family val="2"/>
      </rPr>
      <t>Ç</t>
    </r>
    <r>
      <rPr>
        <sz val="6"/>
        <color indexed="8"/>
        <rFont val="Arial"/>
        <family val="2"/>
      </rPr>
      <t>ÃO</t>
    </r>
    <r>
      <rPr>
        <sz val="6"/>
        <color indexed="8"/>
        <rFont val="Arial"/>
        <family val="2"/>
      </rPr>
      <t xml:space="preserve"> </t>
    </r>
    <r>
      <rPr>
        <sz val="6"/>
        <color indexed="8"/>
        <rFont val="Arial"/>
        <family val="2"/>
      </rPr>
      <t xml:space="preserve"> </t>
    </r>
    <r>
      <rPr>
        <sz val="6"/>
        <color indexed="8"/>
        <rFont val="Arial"/>
        <family val="2"/>
      </rPr>
      <t>E</t>
    </r>
    <r>
      <rPr>
        <sz val="6"/>
        <color indexed="8"/>
        <rFont val="Arial"/>
        <family val="2"/>
      </rPr>
      <t xml:space="preserve"> </t>
    </r>
    <r>
      <rPr>
        <sz val="6"/>
        <color indexed="8"/>
        <rFont val="Arial"/>
        <family val="2"/>
      </rPr>
      <t>A</t>
    </r>
    <r>
      <rPr>
        <sz val="6"/>
        <color indexed="8"/>
        <rFont val="Arial"/>
        <family val="2"/>
      </rPr>
      <t>D</t>
    </r>
    <r>
      <rPr>
        <sz val="6"/>
        <color indexed="8"/>
        <rFont val="Arial"/>
        <family val="2"/>
      </rPr>
      <t>E</t>
    </r>
    <r>
      <rPr>
        <sz val="6"/>
        <color indexed="8"/>
        <rFont val="Arial"/>
        <family val="2"/>
      </rPr>
      <t>N</t>
    </r>
    <r>
      <rPr>
        <sz val="6"/>
        <color indexed="8"/>
        <rFont val="Arial"/>
        <family val="2"/>
      </rPr>
      <t>S</t>
    </r>
    <r>
      <rPr>
        <sz val="6"/>
        <color indexed="8"/>
        <rFont val="Arial"/>
        <family val="2"/>
      </rPr>
      <t>A</t>
    </r>
    <r>
      <rPr>
        <sz val="6"/>
        <color indexed="8"/>
        <rFont val="Arial"/>
        <family val="2"/>
      </rPr>
      <t>M</t>
    </r>
    <r>
      <rPr>
        <sz val="6"/>
        <color indexed="8"/>
        <rFont val="Arial"/>
        <family val="2"/>
      </rPr>
      <t>E</t>
    </r>
    <r>
      <rPr>
        <sz val="6"/>
        <color indexed="8"/>
        <rFont val="Arial"/>
        <family val="2"/>
      </rPr>
      <t>N</t>
    </r>
    <r>
      <rPr>
        <sz val="6"/>
        <color indexed="8"/>
        <rFont val="Arial"/>
        <family val="2"/>
      </rPr>
      <t>T</t>
    </r>
    <r>
      <rPr>
        <sz val="6"/>
        <color indexed="8"/>
        <rFont val="Arial"/>
        <family val="2"/>
      </rPr>
      <t>O)</t>
    </r>
  </si>
  <si>
    <r>
      <rPr>
        <sz val="6"/>
        <color indexed="8"/>
        <rFont val="Arial"/>
        <family val="2"/>
      </rPr>
      <t>C</t>
    </r>
    <r>
      <rPr>
        <sz val="6"/>
        <color indexed="8"/>
        <rFont val="Arial"/>
        <family val="2"/>
      </rPr>
      <t>O</t>
    </r>
    <r>
      <rPr>
        <sz val="6"/>
        <color indexed="8"/>
        <rFont val="Arial"/>
        <family val="2"/>
      </rPr>
      <t>N</t>
    </r>
    <r>
      <rPr>
        <sz val="6"/>
        <color indexed="8"/>
        <rFont val="Arial"/>
        <family val="2"/>
      </rPr>
      <t>C</t>
    </r>
    <r>
      <rPr>
        <sz val="6"/>
        <color indexed="8"/>
        <rFont val="Arial"/>
        <family val="2"/>
      </rPr>
      <t>R</t>
    </r>
    <r>
      <rPr>
        <sz val="6"/>
        <color indexed="8"/>
        <rFont val="Arial"/>
        <family val="2"/>
      </rPr>
      <t>E</t>
    </r>
    <r>
      <rPr>
        <sz val="6"/>
        <color indexed="8"/>
        <rFont val="Arial"/>
        <family val="2"/>
      </rPr>
      <t>T</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E</t>
    </r>
    <r>
      <rPr>
        <sz val="6"/>
        <color indexed="8"/>
        <rFont val="Arial"/>
        <family val="2"/>
      </rPr>
      <t>S</t>
    </r>
    <r>
      <rPr>
        <sz val="6"/>
        <color indexed="8"/>
        <rFont val="Arial"/>
        <family val="2"/>
      </rPr>
      <t>T</t>
    </r>
    <r>
      <rPr>
        <sz val="6"/>
        <color indexed="8"/>
        <rFont val="Arial"/>
        <family val="2"/>
      </rPr>
      <t>R</t>
    </r>
    <r>
      <rPr>
        <sz val="6"/>
        <color indexed="8"/>
        <rFont val="Arial"/>
        <family val="2"/>
      </rPr>
      <t>U</t>
    </r>
    <r>
      <rPr>
        <sz val="6"/>
        <color indexed="8"/>
        <rFont val="Arial"/>
        <family val="2"/>
      </rPr>
      <t>T</t>
    </r>
    <r>
      <rPr>
        <sz val="6"/>
        <color indexed="8"/>
        <rFont val="Arial"/>
        <family val="2"/>
      </rPr>
      <t>U</t>
    </r>
    <r>
      <rPr>
        <sz val="6"/>
        <color indexed="8"/>
        <rFont val="Arial"/>
        <family val="2"/>
      </rPr>
      <t>R</t>
    </r>
    <r>
      <rPr>
        <sz val="6"/>
        <color indexed="8"/>
        <rFont val="Arial"/>
        <family val="2"/>
      </rPr>
      <t>AL</t>
    </r>
    <r>
      <rPr>
        <sz val="6"/>
        <color indexed="8"/>
        <rFont val="Arial"/>
        <family val="2"/>
      </rPr>
      <t xml:space="preserve"> </t>
    </r>
    <r>
      <rPr>
        <sz val="6"/>
        <color indexed="8"/>
        <rFont val="Arial"/>
        <family val="2"/>
      </rPr>
      <t>U</t>
    </r>
    <r>
      <rPr>
        <sz val="6"/>
        <color indexed="8"/>
        <rFont val="Arial"/>
        <family val="2"/>
      </rPr>
      <t>S</t>
    </r>
    <r>
      <rPr>
        <sz val="6"/>
        <color indexed="8"/>
        <rFont val="Arial"/>
        <family val="2"/>
      </rPr>
      <t>I</t>
    </r>
    <r>
      <rPr>
        <sz val="6"/>
        <color indexed="8"/>
        <rFont val="Arial"/>
        <family val="2"/>
      </rPr>
      <t>N</t>
    </r>
    <r>
      <rPr>
        <sz val="6"/>
        <color indexed="8"/>
        <rFont val="Arial"/>
        <family val="2"/>
      </rPr>
      <t>A</t>
    </r>
    <r>
      <rPr>
        <sz val="6"/>
        <color indexed="8"/>
        <rFont val="Arial"/>
        <family val="2"/>
      </rPr>
      <t>D</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BO</t>
    </r>
    <r>
      <rPr>
        <sz val="6"/>
        <color indexed="8"/>
        <rFont val="Arial"/>
        <family val="2"/>
      </rPr>
      <t>M</t>
    </r>
    <r>
      <rPr>
        <sz val="6"/>
        <color indexed="8"/>
        <rFont val="Arial"/>
        <family val="2"/>
      </rPr>
      <t>B</t>
    </r>
    <r>
      <rPr>
        <sz val="6"/>
        <color indexed="8"/>
        <rFont val="Arial"/>
        <family val="2"/>
      </rPr>
      <t>EA</t>
    </r>
    <r>
      <rPr>
        <sz val="6"/>
        <color indexed="8"/>
        <rFont val="Arial"/>
        <family val="2"/>
      </rPr>
      <t>D</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F</t>
    </r>
    <r>
      <rPr>
        <sz val="6"/>
        <color indexed="8"/>
        <rFont val="Arial"/>
        <family val="2"/>
      </rPr>
      <t>C</t>
    </r>
    <r>
      <rPr>
        <sz val="6"/>
        <color indexed="8"/>
        <rFont val="Arial"/>
        <family val="2"/>
      </rPr>
      <t>K=25</t>
    </r>
    <r>
      <rPr>
        <sz val="6"/>
        <color indexed="8"/>
        <rFont val="Arial"/>
        <family val="2"/>
      </rPr>
      <t xml:space="preserve"> </t>
    </r>
    <r>
      <rPr>
        <sz val="6"/>
        <color indexed="8"/>
        <rFont val="Arial"/>
        <family val="2"/>
      </rPr>
      <t xml:space="preserve"> </t>
    </r>
    <r>
      <rPr>
        <sz val="6"/>
        <color indexed="8"/>
        <rFont val="Arial"/>
        <family val="2"/>
      </rPr>
      <t>M</t>
    </r>
    <r>
      <rPr>
        <sz val="6"/>
        <color indexed="8"/>
        <rFont val="Arial"/>
        <family val="2"/>
      </rPr>
      <t>PA</t>
    </r>
    <r>
      <rPr>
        <sz val="6"/>
        <color indexed="8"/>
        <rFont val="Arial"/>
        <family val="2"/>
      </rPr>
      <t xml:space="preserve"> </t>
    </r>
    <r>
      <rPr>
        <sz val="6"/>
        <color indexed="8"/>
        <rFont val="Arial"/>
        <family val="2"/>
      </rPr>
      <t xml:space="preserve"> </t>
    </r>
    <r>
      <rPr>
        <sz val="6"/>
        <color indexed="8"/>
        <rFont val="Arial"/>
        <family val="2"/>
      </rPr>
      <t>(</t>
    </r>
    <r>
      <rPr>
        <sz val="6"/>
        <color indexed="8"/>
        <rFont val="Arial"/>
        <family val="2"/>
      </rPr>
      <t>I</t>
    </r>
    <r>
      <rPr>
        <sz val="6"/>
        <color indexed="8"/>
        <rFont val="Arial"/>
        <family val="2"/>
      </rPr>
      <t>N</t>
    </r>
    <r>
      <rPr>
        <sz val="6"/>
        <color indexed="8"/>
        <rFont val="Arial"/>
        <family val="2"/>
      </rPr>
      <t>C</t>
    </r>
    <r>
      <rPr>
        <sz val="6"/>
        <color indexed="8"/>
        <rFont val="Arial"/>
        <family val="2"/>
      </rPr>
      <t>L</t>
    </r>
    <r>
      <rPr>
        <sz val="6"/>
        <color indexed="8"/>
        <rFont val="Arial"/>
        <family val="2"/>
      </rPr>
      <t>U</t>
    </r>
    <r>
      <rPr>
        <sz val="6"/>
        <color indexed="8"/>
        <rFont val="Arial"/>
        <family val="2"/>
      </rPr>
      <t>I</t>
    </r>
    <r>
      <rPr>
        <sz val="6"/>
        <color indexed="8"/>
        <rFont val="Arial"/>
        <family val="2"/>
      </rPr>
      <t>N</t>
    </r>
    <r>
      <rPr>
        <sz val="6"/>
        <color indexed="8"/>
        <rFont val="Arial"/>
        <family val="2"/>
      </rPr>
      <t>D</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L</t>
    </r>
    <r>
      <rPr>
        <sz val="6"/>
        <color indexed="8"/>
        <rFont val="Arial"/>
        <family val="2"/>
      </rPr>
      <t>A</t>
    </r>
    <r>
      <rPr>
        <sz val="6"/>
        <color indexed="8"/>
        <rFont val="Arial"/>
        <family val="2"/>
      </rPr>
      <t>N</t>
    </r>
    <r>
      <rPr>
        <sz val="6"/>
        <color indexed="8"/>
        <rFont val="Arial"/>
        <family val="2"/>
      </rPr>
      <t>Ç</t>
    </r>
    <r>
      <rPr>
        <sz val="6"/>
        <color indexed="8"/>
        <rFont val="Arial"/>
        <family val="2"/>
      </rPr>
      <t>A</t>
    </r>
    <r>
      <rPr>
        <sz val="6"/>
        <color indexed="8"/>
        <rFont val="Arial"/>
        <family val="2"/>
      </rPr>
      <t>M</t>
    </r>
    <r>
      <rPr>
        <sz val="6"/>
        <color indexed="8"/>
        <rFont val="Arial"/>
        <family val="2"/>
      </rPr>
      <t>E</t>
    </r>
    <r>
      <rPr>
        <sz val="6"/>
        <color indexed="8"/>
        <rFont val="Arial"/>
        <family val="2"/>
      </rPr>
      <t>N</t>
    </r>
    <r>
      <rPr>
        <sz val="6"/>
        <color indexed="8"/>
        <rFont val="Arial"/>
        <family val="2"/>
      </rPr>
      <t>T</t>
    </r>
    <r>
      <rPr>
        <sz val="6"/>
        <color indexed="8"/>
        <rFont val="Arial"/>
        <family val="2"/>
      </rPr>
      <t>O</t>
    </r>
    <r>
      <rPr>
        <sz val="6"/>
        <color indexed="8"/>
        <rFont val="Arial"/>
        <family val="2"/>
      </rPr>
      <t>,</t>
    </r>
    <r>
      <rPr>
        <sz val="6"/>
        <color indexed="8"/>
        <rFont val="Arial"/>
        <family val="2"/>
      </rPr>
      <t xml:space="preserve"> </t>
    </r>
    <r>
      <rPr>
        <sz val="6"/>
        <color indexed="8"/>
        <rFont val="Arial"/>
        <family val="2"/>
      </rPr>
      <t>A</t>
    </r>
    <r>
      <rPr>
        <sz val="6"/>
        <color indexed="8"/>
        <rFont val="Arial"/>
        <family val="2"/>
      </rPr>
      <t>PL</t>
    </r>
    <r>
      <rPr>
        <sz val="6"/>
        <color indexed="8"/>
        <rFont val="Arial"/>
        <family val="2"/>
      </rPr>
      <t>I</t>
    </r>
    <r>
      <rPr>
        <sz val="6"/>
        <color indexed="8"/>
        <rFont val="Arial"/>
        <family val="2"/>
      </rPr>
      <t>C</t>
    </r>
    <r>
      <rPr>
        <sz val="6"/>
        <color indexed="8"/>
        <rFont val="Arial"/>
        <family val="2"/>
      </rPr>
      <t>A</t>
    </r>
    <r>
      <rPr>
        <sz val="6"/>
        <color indexed="8"/>
        <rFont val="Arial"/>
        <family val="2"/>
      </rPr>
      <t>Ç</t>
    </r>
    <r>
      <rPr>
        <sz val="6"/>
        <color indexed="8"/>
        <rFont val="Arial"/>
        <family val="2"/>
      </rPr>
      <t>Ã</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E</t>
    </r>
    <r>
      <rPr>
        <sz val="6"/>
        <color indexed="8"/>
        <rFont val="Arial"/>
        <family val="2"/>
      </rPr>
      <t xml:space="preserve"> </t>
    </r>
    <r>
      <rPr>
        <sz val="6"/>
        <color indexed="8"/>
        <rFont val="Arial"/>
        <family val="2"/>
      </rPr>
      <t>A</t>
    </r>
    <r>
      <rPr>
        <sz val="6"/>
        <color indexed="8"/>
        <rFont val="Arial"/>
        <family val="2"/>
      </rPr>
      <t>D</t>
    </r>
    <r>
      <rPr>
        <sz val="6"/>
        <color indexed="8"/>
        <rFont val="Arial"/>
        <family val="2"/>
      </rPr>
      <t>E</t>
    </r>
    <r>
      <rPr>
        <sz val="6"/>
        <color indexed="8"/>
        <rFont val="Arial"/>
        <family val="2"/>
      </rPr>
      <t>N</t>
    </r>
    <r>
      <rPr>
        <sz val="6"/>
        <color indexed="8"/>
        <rFont val="Arial"/>
        <family val="2"/>
      </rPr>
      <t>S</t>
    </r>
    <r>
      <rPr>
        <sz val="6"/>
        <color indexed="8"/>
        <rFont val="Arial"/>
        <family val="2"/>
      </rPr>
      <t>A</t>
    </r>
    <r>
      <rPr>
        <sz val="6"/>
        <color indexed="8"/>
        <rFont val="Arial"/>
        <family val="2"/>
      </rPr>
      <t>M</t>
    </r>
    <r>
      <rPr>
        <sz val="6"/>
        <color indexed="8"/>
        <rFont val="Arial"/>
        <family val="2"/>
      </rPr>
      <t>E</t>
    </r>
    <r>
      <rPr>
        <sz val="6"/>
        <color indexed="8"/>
        <rFont val="Arial"/>
        <family val="2"/>
      </rPr>
      <t>N</t>
    </r>
    <r>
      <rPr>
        <sz val="6"/>
        <color indexed="8"/>
        <rFont val="Arial"/>
        <family val="2"/>
      </rPr>
      <t>T</t>
    </r>
    <r>
      <rPr>
        <sz val="6"/>
        <color indexed="8"/>
        <rFont val="Arial"/>
        <family val="2"/>
      </rPr>
      <t>O)</t>
    </r>
  </si>
  <si>
    <r>
      <rPr>
        <sz val="6"/>
        <color indexed="8"/>
        <rFont val="Arial"/>
        <family val="2"/>
      </rPr>
      <t>C</t>
    </r>
    <r>
      <rPr>
        <sz val="6"/>
        <color indexed="8"/>
        <rFont val="Arial"/>
        <family val="2"/>
      </rPr>
      <t>O</t>
    </r>
    <r>
      <rPr>
        <sz val="6"/>
        <color indexed="8"/>
        <rFont val="Arial"/>
        <family val="2"/>
      </rPr>
      <t>N</t>
    </r>
    <r>
      <rPr>
        <sz val="6"/>
        <color indexed="8"/>
        <rFont val="Arial"/>
        <family val="2"/>
      </rPr>
      <t>C</t>
    </r>
    <r>
      <rPr>
        <sz val="6"/>
        <color indexed="8"/>
        <rFont val="Arial"/>
        <family val="2"/>
      </rPr>
      <t>R</t>
    </r>
    <r>
      <rPr>
        <sz val="6"/>
        <color indexed="8"/>
        <rFont val="Arial"/>
        <family val="2"/>
      </rPr>
      <t>E</t>
    </r>
    <r>
      <rPr>
        <sz val="6"/>
        <color indexed="8"/>
        <rFont val="Arial"/>
        <family val="2"/>
      </rPr>
      <t>T</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E</t>
    </r>
    <r>
      <rPr>
        <sz val="6"/>
        <color indexed="8"/>
        <rFont val="Arial"/>
        <family val="2"/>
      </rPr>
      <t>S</t>
    </r>
    <r>
      <rPr>
        <sz val="6"/>
        <color indexed="8"/>
        <rFont val="Arial"/>
        <family val="2"/>
      </rPr>
      <t>T</t>
    </r>
    <r>
      <rPr>
        <sz val="6"/>
        <color indexed="8"/>
        <rFont val="Arial"/>
        <family val="2"/>
      </rPr>
      <t>R</t>
    </r>
    <r>
      <rPr>
        <sz val="6"/>
        <color indexed="8"/>
        <rFont val="Arial"/>
        <family val="2"/>
      </rPr>
      <t>U</t>
    </r>
    <r>
      <rPr>
        <sz val="6"/>
        <color indexed="8"/>
        <rFont val="Arial"/>
        <family val="2"/>
      </rPr>
      <t>T</t>
    </r>
    <r>
      <rPr>
        <sz val="6"/>
        <color indexed="8"/>
        <rFont val="Arial"/>
        <family val="2"/>
      </rPr>
      <t>U</t>
    </r>
    <r>
      <rPr>
        <sz val="6"/>
        <color indexed="8"/>
        <rFont val="Arial"/>
        <family val="2"/>
      </rPr>
      <t>R</t>
    </r>
    <r>
      <rPr>
        <sz val="6"/>
        <color indexed="8"/>
        <rFont val="Arial"/>
        <family val="2"/>
      </rPr>
      <t>AL</t>
    </r>
    <r>
      <rPr>
        <sz val="6"/>
        <color indexed="8"/>
        <rFont val="Arial"/>
        <family val="2"/>
      </rPr>
      <t xml:space="preserve"> </t>
    </r>
    <r>
      <rPr>
        <sz val="6"/>
        <color indexed="8"/>
        <rFont val="Arial"/>
        <family val="2"/>
      </rPr>
      <t>U</t>
    </r>
    <r>
      <rPr>
        <sz val="6"/>
        <color indexed="8"/>
        <rFont val="Arial"/>
        <family val="2"/>
      </rPr>
      <t>S</t>
    </r>
    <r>
      <rPr>
        <sz val="6"/>
        <color indexed="8"/>
        <rFont val="Arial"/>
        <family val="2"/>
      </rPr>
      <t>I</t>
    </r>
    <r>
      <rPr>
        <sz val="6"/>
        <color indexed="8"/>
        <rFont val="Arial"/>
        <family val="2"/>
      </rPr>
      <t>N</t>
    </r>
    <r>
      <rPr>
        <sz val="6"/>
        <color indexed="8"/>
        <rFont val="Arial"/>
        <family val="2"/>
      </rPr>
      <t>A</t>
    </r>
    <r>
      <rPr>
        <sz val="6"/>
        <color indexed="8"/>
        <rFont val="Arial"/>
        <family val="2"/>
      </rPr>
      <t>D</t>
    </r>
    <r>
      <rPr>
        <sz val="6"/>
        <color indexed="8"/>
        <rFont val="Arial"/>
        <family val="2"/>
      </rPr>
      <t>O</t>
    </r>
    <r>
      <rPr>
        <sz val="6"/>
        <color indexed="8"/>
        <rFont val="Arial"/>
        <family val="2"/>
      </rPr>
      <t xml:space="preserve"> </t>
    </r>
    <r>
      <rPr>
        <sz val="6"/>
        <color indexed="8"/>
        <rFont val="Arial"/>
        <family val="2"/>
      </rPr>
      <t>BO</t>
    </r>
    <r>
      <rPr>
        <sz val="6"/>
        <color indexed="8"/>
        <rFont val="Arial"/>
        <family val="2"/>
      </rPr>
      <t>M</t>
    </r>
    <r>
      <rPr>
        <sz val="6"/>
        <color indexed="8"/>
        <rFont val="Arial"/>
        <family val="2"/>
      </rPr>
      <t>BE</t>
    </r>
    <r>
      <rPr>
        <sz val="6"/>
        <color indexed="8"/>
        <rFont val="Arial"/>
        <family val="2"/>
      </rPr>
      <t>A</t>
    </r>
    <r>
      <rPr>
        <sz val="6"/>
        <color indexed="8"/>
        <rFont val="Arial"/>
        <family val="2"/>
      </rPr>
      <t>D</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F</t>
    </r>
    <r>
      <rPr>
        <sz val="6"/>
        <color indexed="8"/>
        <rFont val="Arial"/>
        <family val="2"/>
      </rPr>
      <t>C</t>
    </r>
    <r>
      <rPr>
        <sz val="6"/>
        <color indexed="8"/>
        <rFont val="Arial"/>
        <family val="2"/>
      </rPr>
      <t>K</t>
    </r>
    <r>
      <rPr>
        <sz val="6"/>
        <color indexed="8"/>
        <rFont val="Arial"/>
        <family val="2"/>
      </rPr>
      <t>=25</t>
    </r>
    <r>
      <rPr>
        <sz val="6"/>
        <color indexed="8"/>
        <rFont val="Arial"/>
        <family val="2"/>
      </rPr>
      <t xml:space="preserve"> </t>
    </r>
    <r>
      <rPr>
        <sz val="6"/>
        <color indexed="8"/>
        <rFont val="Arial"/>
        <family val="2"/>
      </rPr>
      <t>M</t>
    </r>
    <r>
      <rPr>
        <sz val="6"/>
        <color indexed="8"/>
        <rFont val="Arial"/>
        <family val="2"/>
      </rPr>
      <t>PA,</t>
    </r>
    <r>
      <rPr>
        <sz val="6"/>
        <color indexed="8"/>
        <rFont val="Arial"/>
        <family val="2"/>
      </rPr>
      <t xml:space="preserve"> </t>
    </r>
    <r>
      <rPr>
        <sz val="6"/>
        <color indexed="8"/>
        <rFont val="Arial"/>
        <family val="2"/>
      </rPr>
      <t>C</t>
    </r>
    <r>
      <rPr>
        <sz val="6"/>
        <color indexed="8"/>
        <rFont val="Arial"/>
        <family val="2"/>
      </rPr>
      <t>OM</t>
    </r>
    <r>
      <rPr>
        <sz val="6"/>
        <color indexed="8"/>
        <rFont val="Arial"/>
        <family val="2"/>
      </rPr>
      <t xml:space="preserve"> </t>
    </r>
    <r>
      <rPr>
        <sz val="6"/>
        <color indexed="8"/>
        <rFont val="Arial"/>
        <family val="2"/>
      </rPr>
      <t>A</t>
    </r>
    <r>
      <rPr>
        <sz val="6"/>
        <color indexed="8"/>
        <rFont val="Arial"/>
        <family val="2"/>
      </rPr>
      <t>D</t>
    </r>
    <r>
      <rPr>
        <sz val="6"/>
        <color indexed="8"/>
        <rFont val="Arial"/>
        <family val="2"/>
      </rPr>
      <t>I</t>
    </r>
    <r>
      <rPr>
        <sz val="6"/>
        <color indexed="8"/>
        <rFont val="Arial"/>
        <family val="2"/>
      </rPr>
      <t>Ç</t>
    </r>
    <r>
      <rPr>
        <sz val="6"/>
        <color indexed="8"/>
        <rFont val="Arial"/>
        <family val="2"/>
      </rPr>
      <t>ÃO</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8</t>
    </r>
    <r>
      <rPr>
        <sz val="6"/>
        <color indexed="8"/>
        <rFont val="Arial"/>
        <family val="2"/>
      </rPr>
      <t xml:space="preserve"> </t>
    </r>
    <r>
      <rPr>
        <sz val="6"/>
        <color indexed="8"/>
        <rFont val="Arial"/>
        <family val="2"/>
      </rPr>
      <t>À</t>
    </r>
    <r>
      <rPr>
        <sz val="6"/>
        <color indexed="8"/>
        <rFont val="Arial"/>
        <family val="2"/>
      </rPr>
      <t xml:space="preserve"> </t>
    </r>
    <r>
      <rPr>
        <sz val="6"/>
        <color indexed="8"/>
        <rFont val="Arial"/>
        <family val="2"/>
      </rPr>
      <t>10%</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M</t>
    </r>
    <r>
      <rPr>
        <sz val="6"/>
        <color indexed="8"/>
        <rFont val="Arial"/>
        <family val="2"/>
      </rPr>
      <t>I</t>
    </r>
    <r>
      <rPr>
        <sz val="6"/>
        <color indexed="8"/>
        <rFont val="Arial"/>
        <family val="2"/>
      </rPr>
      <t>C</t>
    </r>
    <r>
      <rPr>
        <sz val="6"/>
        <color indexed="8"/>
        <rFont val="Arial"/>
        <family val="2"/>
      </rPr>
      <t>R</t>
    </r>
    <r>
      <rPr>
        <sz val="6"/>
        <color indexed="8"/>
        <rFont val="Arial"/>
        <family val="2"/>
      </rPr>
      <t>O</t>
    </r>
    <r>
      <rPr>
        <sz val="6"/>
        <color indexed="8"/>
        <rFont val="Arial"/>
        <family val="2"/>
      </rPr>
      <t>S</t>
    </r>
    <r>
      <rPr>
        <sz val="6"/>
        <color indexed="8"/>
        <rFont val="Arial"/>
        <family val="2"/>
      </rPr>
      <t>S</t>
    </r>
    <r>
      <rPr>
        <sz val="6"/>
        <color indexed="8"/>
        <rFont val="Arial"/>
        <family val="2"/>
      </rPr>
      <t>Í</t>
    </r>
    <r>
      <rPr>
        <sz val="6"/>
        <color indexed="8"/>
        <rFont val="Arial"/>
        <family val="2"/>
      </rPr>
      <t>L</t>
    </r>
    <r>
      <rPr>
        <sz val="6"/>
        <color indexed="8"/>
        <rFont val="Arial"/>
        <family val="2"/>
      </rPr>
      <t>I</t>
    </r>
    <r>
      <rPr>
        <sz val="6"/>
        <color indexed="8"/>
        <rFont val="Arial"/>
        <family val="2"/>
      </rPr>
      <t>C</t>
    </r>
    <r>
      <rPr>
        <sz val="6"/>
        <color indexed="8"/>
        <rFont val="Arial"/>
        <family val="2"/>
      </rPr>
      <t>A</t>
    </r>
    <r>
      <rPr>
        <sz val="6"/>
        <color indexed="8"/>
        <rFont val="Arial"/>
        <family val="2"/>
      </rPr>
      <t xml:space="preserve"> </t>
    </r>
    <r>
      <rPr>
        <sz val="6"/>
        <color indexed="8"/>
        <rFont val="Arial"/>
        <family val="2"/>
      </rPr>
      <t>(</t>
    </r>
    <r>
      <rPr>
        <sz val="6"/>
        <color indexed="8"/>
        <rFont val="Arial"/>
        <family val="2"/>
      </rPr>
      <t>I</t>
    </r>
    <r>
      <rPr>
        <sz val="6"/>
        <color indexed="8"/>
        <rFont val="Arial"/>
        <family val="2"/>
      </rPr>
      <t>N</t>
    </r>
    <r>
      <rPr>
        <sz val="6"/>
        <color indexed="8"/>
        <rFont val="Arial"/>
        <family val="2"/>
      </rPr>
      <t>C</t>
    </r>
    <r>
      <rPr>
        <sz val="6"/>
        <color indexed="8"/>
        <rFont val="Arial"/>
        <family val="2"/>
      </rPr>
      <t>L</t>
    </r>
    <r>
      <rPr>
        <sz val="6"/>
        <color indexed="8"/>
        <rFont val="Arial"/>
        <family val="2"/>
      </rPr>
      <t>U</t>
    </r>
    <r>
      <rPr>
        <sz val="6"/>
        <color indexed="8"/>
        <rFont val="Arial"/>
        <family val="2"/>
      </rPr>
      <t>I</t>
    </r>
    <r>
      <rPr>
        <sz val="6"/>
        <color indexed="8"/>
        <rFont val="Arial"/>
        <family val="2"/>
      </rPr>
      <t>N</t>
    </r>
    <r>
      <rPr>
        <sz val="6"/>
        <color indexed="8"/>
        <rFont val="Arial"/>
        <family val="2"/>
      </rPr>
      <t>D</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L</t>
    </r>
    <r>
      <rPr>
        <sz val="6"/>
        <color indexed="8"/>
        <rFont val="Arial"/>
        <family val="2"/>
      </rPr>
      <t>A</t>
    </r>
    <r>
      <rPr>
        <sz val="6"/>
        <color indexed="8"/>
        <rFont val="Arial"/>
        <family val="2"/>
      </rPr>
      <t>N</t>
    </r>
    <r>
      <rPr>
        <sz val="6"/>
        <color indexed="8"/>
        <rFont val="Arial"/>
        <family val="2"/>
      </rPr>
      <t>Ç</t>
    </r>
    <r>
      <rPr>
        <sz val="6"/>
        <color indexed="8"/>
        <rFont val="Arial"/>
        <family val="2"/>
      </rPr>
      <t>A</t>
    </r>
    <r>
      <rPr>
        <sz val="6"/>
        <color indexed="8"/>
        <rFont val="Arial"/>
        <family val="2"/>
      </rPr>
      <t>M</t>
    </r>
    <r>
      <rPr>
        <sz val="6"/>
        <color indexed="8"/>
        <rFont val="Arial"/>
        <family val="2"/>
      </rPr>
      <t>E</t>
    </r>
    <r>
      <rPr>
        <sz val="6"/>
        <color indexed="8"/>
        <rFont val="Arial"/>
        <family val="2"/>
      </rPr>
      <t>N</t>
    </r>
    <r>
      <rPr>
        <sz val="6"/>
        <color indexed="8"/>
        <rFont val="Arial"/>
        <family val="2"/>
      </rPr>
      <t>T</t>
    </r>
    <r>
      <rPr>
        <sz val="6"/>
        <color indexed="8"/>
        <rFont val="Arial"/>
        <family val="2"/>
      </rPr>
      <t>O</t>
    </r>
    <r>
      <rPr>
        <sz val="6"/>
        <color indexed="8"/>
        <rFont val="Arial"/>
        <family val="2"/>
      </rPr>
      <t>,</t>
    </r>
    <r>
      <rPr>
        <sz val="6"/>
        <color indexed="8"/>
        <rFont val="Arial"/>
        <family val="2"/>
      </rPr>
      <t xml:space="preserve"> </t>
    </r>
    <r>
      <rPr>
        <sz val="6"/>
        <color indexed="8"/>
        <rFont val="Arial"/>
        <family val="2"/>
      </rPr>
      <t>APL</t>
    </r>
    <r>
      <rPr>
        <sz val="6"/>
        <color indexed="8"/>
        <rFont val="Arial"/>
        <family val="2"/>
      </rPr>
      <t>I</t>
    </r>
    <r>
      <rPr>
        <sz val="6"/>
        <color indexed="8"/>
        <rFont val="Arial"/>
        <family val="2"/>
      </rPr>
      <t>C</t>
    </r>
    <r>
      <rPr>
        <sz val="6"/>
        <color indexed="8"/>
        <rFont val="Arial"/>
        <family val="2"/>
      </rPr>
      <t>A</t>
    </r>
    <r>
      <rPr>
        <sz val="6"/>
        <color indexed="8"/>
        <rFont val="Arial"/>
        <family val="2"/>
      </rPr>
      <t>Ç</t>
    </r>
    <r>
      <rPr>
        <sz val="6"/>
        <color indexed="8"/>
        <rFont val="Arial"/>
        <family val="2"/>
      </rPr>
      <t>ÃO</t>
    </r>
    <r>
      <rPr>
        <sz val="6"/>
        <color indexed="8"/>
        <rFont val="Arial"/>
        <family val="2"/>
      </rPr>
      <t xml:space="preserve"> </t>
    </r>
    <r>
      <rPr>
        <sz val="6"/>
        <color indexed="8"/>
        <rFont val="Arial"/>
        <family val="2"/>
      </rPr>
      <t xml:space="preserve"> </t>
    </r>
    <r>
      <rPr>
        <sz val="6"/>
        <color indexed="8"/>
        <rFont val="Arial"/>
        <family val="2"/>
      </rPr>
      <t>E</t>
    </r>
    <r>
      <rPr>
        <sz val="6"/>
        <color indexed="8"/>
        <rFont val="Arial"/>
        <family val="2"/>
      </rPr>
      <t xml:space="preserve"> </t>
    </r>
    <r>
      <rPr>
        <sz val="6"/>
        <color indexed="8"/>
        <rFont val="Arial"/>
        <family val="2"/>
      </rPr>
      <t>A</t>
    </r>
    <r>
      <rPr>
        <sz val="6"/>
        <color indexed="8"/>
        <rFont val="Arial"/>
        <family val="2"/>
      </rPr>
      <t>D</t>
    </r>
    <r>
      <rPr>
        <sz val="6"/>
        <color indexed="8"/>
        <rFont val="Arial"/>
        <family val="2"/>
      </rPr>
      <t>E</t>
    </r>
    <r>
      <rPr>
        <sz val="6"/>
        <color indexed="8"/>
        <rFont val="Arial"/>
        <family val="2"/>
      </rPr>
      <t>N</t>
    </r>
    <r>
      <rPr>
        <sz val="6"/>
        <color indexed="8"/>
        <rFont val="Arial"/>
        <family val="2"/>
      </rPr>
      <t>S</t>
    </r>
    <r>
      <rPr>
        <sz val="6"/>
        <color indexed="8"/>
        <rFont val="Arial"/>
        <family val="2"/>
      </rPr>
      <t>A</t>
    </r>
    <r>
      <rPr>
        <sz val="6"/>
        <color indexed="8"/>
        <rFont val="Arial"/>
        <family val="2"/>
      </rPr>
      <t>M</t>
    </r>
    <r>
      <rPr>
        <sz val="6"/>
        <color indexed="8"/>
        <rFont val="Arial"/>
        <family val="2"/>
      </rPr>
      <t>E</t>
    </r>
    <r>
      <rPr>
        <sz val="6"/>
        <color indexed="8"/>
        <rFont val="Arial"/>
        <family val="2"/>
      </rPr>
      <t>N</t>
    </r>
    <r>
      <rPr>
        <sz val="6"/>
        <color indexed="8"/>
        <rFont val="Arial"/>
        <family val="2"/>
      </rPr>
      <t>T</t>
    </r>
    <r>
      <rPr>
        <sz val="6"/>
        <color indexed="8"/>
        <rFont val="Arial"/>
        <family val="2"/>
      </rPr>
      <t>O)</t>
    </r>
  </si>
  <si>
    <r>
      <rPr>
        <sz val="6"/>
        <color indexed="8"/>
        <rFont val="Arial"/>
        <family val="2"/>
      </rPr>
      <t>C</t>
    </r>
    <r>
      <rPr>
        <sz val="6"/>
        <color indexed="8"/>
        <rFont val="Arial"/>
        <family val="2"/>
      </rPr>
      <t>O</t>
    </r>
    <r>
      <rPr>
        <sz val="6"/>
        <color indexed="8"/>
        <rFont val="Arial"/>
        <family val="2"/>
      </rPr>
      <t>N</t>
    </r>
    <r>
      <rPr>
        <sz val="6"/>
        <color indexed="8"/>
        <rFont val="Arial"/>
        <family val="2"/>
      </rPr>
      <t>C</t>
    </r>
    <r>
      <rPr>
        <sz val="6"/>
        <color indexed="8"/>
        <rFont val="Arial"/>
        <family val="2"/>
      </rPr>
      <t>R</t>
    </r>
    <r>
      <rPr>
        <sz val="6"/>
        <color indexed="8"/>
        <rFont val="Arial"/>
        <family val="2"/>
      </rPr>
      <t>E</t>
    </r>
    <r>
      <rPr>
        <sz val="6"/>
        <color indexed="8"/>
        <rFont val="Arial"/>
        <family val="2"/>
      </rPr>
      <t>T</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E</t>
    </r>
    <r>
      <rPr>
        <sz val="6"/>
        <color indexed="8"/>
        <rFont val="Arial"/>
        <family val="2"/>
      </rPr>
      <t>S</t>
    </r>
    <r>
      <rPr>
        <sz val="6"/>
        <color indexed="8"/>
        <rFont val="Arial"/>
        <family val="2"/>
      </rPr>
      <t>T</t>
    </r>
    <r>
      <rPr>
        <sz val="6"/>
        <color indexed="8"/>
        <rFont val="Arial"/>
        <family val="2"/>
      </rPr>
      <t>R</t>
    </r>
    <r>
      <rPr>
        <sz val="6"/>
        <color indexed="8"/>
        <rFont val="Arial"/>
        <family val="2"/>
      </rPr>
      <t>U</t>
    </r>
    <r>
      <rPr>
        <sz val="6"/>
        <color indexed="8"/>
        <rFont val="Arial"/>
        <family val="2"/>
      </rPr>
      <t>T</t>
    </r>
    <r>
      <rPr>
        <sz val="6"/>
        <color indexed="8"/>
        <rFont val="Arial"/>
        <family val="2"/>
      </rPr>
      <t>U</t>
    </r>
    <r>
      <rPr>
        <sz val="6"/>
        <color indexed="8"/>
        <rFont val="Arial"/>
        <family val="2"/>
      </rPr>
      <t>R</t>
    </r>
    <r>
      <rPr>
        <sz val="6"/>
        <color indexed="8"/>
        <rFont val="Arial"/>
        <family val="2"/>
      </rPr>
      <t>AL</t>
    </r>
    <r>
      <rPr>
        <sz val="6"/>
        <color indexed="8"/>
        <rFont val="Arial"/>
        <family val="2"/>
      </rPr>
      <t xml:space="preserve"> </t>
    </r>
    <r>
      <rPr>
        <sz val="6"/>
        <color indexed="8"/>
        <rFont val="Arial"/>
        <family val="2"/>
      </rPr>
      <t>U</t>
    </r>
    <r>
      <rPr>
        <sz val="6"/>
        <color indexed="8"/>
        <rFont val="Arial"/>
        <family val="2"/>
      </rPr>
      <t>S</t>
    </r>
    <r>
      <rPr>
        <sz val="6"/>
        <color indexed="8"/>
        <rFont val="Arial"/>
        <family val="2"/>
      </rPr>
      <t>I</t>
    </r>
    <r>
      <rPr>
        <sz val="6"/>
        <color indexed="8"/>
        <rFont val="Arial"/>
        <family val="2"/>
      </rPr>
      <t>N</t>
    </r>
    <r>
      <rPr>
        <sz val="6"/>
        <color indexed="8"/>
        <rFont val="Arial"/>
        <family val="2"/>
      </rPr>
      <t>A</t>
    </r>
    <r>
      <rPr>
        <sz val="6"/>
        <color indexed="8"/>
        <rFont val="Arial"/>
        <family val="2"/>
      </rPr>
      <t>D</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BO</t>
    </r>
    <r>
      <rPr>
        <sz val="6"/>
        <color indexed="8"/>
        <rFont val="Arial"/>
        <family val="2"/>
      </rPr>
      <t>M</t>
    </r>
    <r>
      <rPr>
        <sz val="6"/>
        <color indexed="8"/>
        <rFont val="Arial"/>
        <family val="2"/>
      </rPr>
      <t>B</t>
    </r>
    <r>
      <rPr>
        <sz val="6"/>
        <color indexed="8"/>
        <rFont val="Arial"/>
        <family val="2"/>
      </rPr>
      <t>EA</t>
    </r>
    <r>
      <rPr>
        <sz val="6"/>
        <color indexed="8"/>
        <rFont val="Arial"/>
        <family val="2"/>
      </rPr>
      <t>D</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F</t>
    </r>
    <r>
      <rPr>
        <sz val="6"/>
        <color indexed="8"/>
        <rFont val="Arial"/>
        <family val="2"/>
      </rPr>
      <t>C</t>
    </r>
    <r>
      <rPr>
        <sz val="6"/>
        <color indexed="8"/>
        <rFont val="Arial"/>
        <family val="2"/>
      </rPr>
      <t>K=30</t>
    </r>
    <r>
      <rPr>
        <sz val="6"/>
        <color indexed="8"/>
        <rFont val="Arial"/>
        <family val="2"/>
      </rPr>
      <t xml:space="preserve"> </t>
    </r>
    <r>
      <rPr>
        <sz val="6"/>
        <color indexed="8"/>
        <rFont val="Arial"/>
        <family val="2"/>
      </rPr>
      <t xml:space="preserve"> </t>
    </r>
    <r>
      <rPr>
        <sz val="6"/>
        <color indexed="8"/>
        <rFont val="Arial"/>
        <family val="2"/>
      </rPr>
      <t>M</t>
    </r>
    <r>
      <rPr>
        <sz val="6"/>
        <color indexed="8"/>
        <rFont val="Arial"/>
        <family val="2"/>
      </rPr>
      <t>PA</t>
    </r>
    <r>
      <rPr>
        <sz val="6"/>
        <color indexed="8"/>
        <rFont val="Arial"/>
        <family val="2"/>
      </rPr>
      <t xml:space="preserve"> </t>
    </r>
    <r>
      <rPr>
        <sz val="6"/>
        <color indexed="8"/>
        <rFont val="Arial"/>
        <family val="2"/>
      </rPr>
      <t xml:space="preserve"> </t>
    </r>
    <r>
      <rPr>
        <sz val="6"/>
        <color indexed="8"/>
        <rFont val="Arial"/>
        <family val="2"/>
      </rPr>
      <t>(</t>
    </r>
    <r>
      <rPr>
        <sz val="6"/>
        <color indexed="8"/>
        <rFont val="Arial"/>
        <family val="2"/>
      </rPr>
      <t>I</t>
    </r>
    <r>
      <rPr>
        <sz val="6"/>
        <color indexed="8"/>
        <rFont val="Arial"/>
        <family val="2"/>
      </rPr>
      <t>N</t>
    </r>
    <r>
      <rPr>
        <sz val="6"/>
        <color indexed="8"/>
        <rFont val="Arial"/>
        <family val="2"/>
      </rPr>
      <t>C</t>
    </r>
    <r>
      <rPr>
        <sz val="6"/>
        <color indexed="8"/>
        <rFont val="Arial"/>
        <family val="2"/>
      </rPr>
      <t>L</t>
    </r>
    <r>
      <rPr>
        <sz val="6"/>
        <color indexed="8"/>
        <rFont val="Arial"/>
        <family val="2"/>
      </rPr>
      <t>U</t>
    </r>
    <r>
      <rPr>
        <sz val="6"/>
        <color indexed="8"/>
        <rFont val="Arial"/>
        <family val="2"/>
      </rPr>
      <t>I</t>
    </r>
    <r>
      <rPr>
        <sz val="6"/>
        <color indexed="8"/>
        <rFont val="Arial"/>
        <family val="2"/>
      </rPr>
      <t>N</t>
    </r>
    <r>
      <rPr>
        <sz val="6"/>
        <color indexed="8"/>
        <rFont val="Arial"/>
        <family val="2"/>
      </rPr>
      <t>D</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L</t>
    </r>
    <r>
      <rPr>
        <sz val="6"/>
        <color indexed="8"/>
        <rFont val="Arial"/>
        <family val="2"/>
      </rPr>
      <t>A</t>
    </r>
    <r>
      <rPr>
        <sz val="6"/>
        <color indexed="8"/>
        <rFont val="Arial"/>
        <family val="2"/>
      </rPr>
      <t>N</t>
    </r>
    <r>
      <rPr>
        <sz val="6"/>
        <color indexed="8"/>
        <rFont val="Arial"/>
        <family val="2"/>
      </rPr>
      <t>Ç</t>
    </r>
    <r>
      <rPr>
        <sz val="6"/>
        <color indexed="8"/>
        <rFont val="Arial"/>
        <family val="2"/>
      </rPr>
      <t>A</t>
    </r>
    <r>
      <rPr>
        <sz val="6"/>
        <color indexed="8"/>
        <rFont val="Arial"/>
        <family val="2"/>
      </rPr>
      <t>M</t>
    </r>
    <r>
      <rPr>
        <sz val="6"/>
        <color indexed="8"/>
        <rFont val="Arial"/>
        <family val="2"/>
      </rPr>
      <t>E</t>
    </r>
    <r>
      <rPr>
        <sz val="6"/>
        <color indexed="8"/>
        <rFont val="Arial"/>
        <family val="2"/>
      </rPr>
      <t>N</t>
    </r>
    <r>
      <rPr>
        <sz val="6"/>
        <color indexed="8"/>
        <rFont val="Arial"/>
        <family val="2"/>
      </rPr>
      <t>T</t>
    </r>
    <r>
      <rPr>
        <sz val="6"/>
        <color indexed="8"/>
        <rFont val="Arial"/>
        <family val="2"/>
      </rPr>
      <t>O</t>
    </r>
    <r>
      <rPr>
        <sz val="6"/>
        <color indexed="8"/>
        <rFont val="Arial"/>
        <family val="2"/>
      </rPr>
      <t>,</t>
    </r>
    <r>
      <rPr>
        <sz val="6"/>
        <color indexed="8"/>
        <rFont val="Arial"/>
        <family val="2"/>
      </rPr>
      <t xml:space="preserve"> </t>
    </r>
    <r>
      <rPr>
        <sz val="6"/>
        <color indexed="8"/>
        <rFont val="Arial"/>
        <family val="2"/>
      </rPr>
      <t>A</t>
    </r>
    <r>
      <rPr>
        <sz val="6"/>
        <color indexed="8"/>
        <rFont val="Arial"/>
        <family val="2"/>
      </rPr>
      <t>PL</t>
    </r>
    <r>
      <rPr>
        <sz val="6"/>
        <color indexed="8"/>
        <rFont val="Arial"/>
        <family val="2"/>
      </rPr>
      <t>I</t>
    </r>
    <r>
      <rPr>
        <sz val="6"/>
        <color indexed="8"/>
        <rFont val="Arial"/>
        <family val="2"/>
      </rPr>
      <t>C</t>
    </r>
    <r>
      <rPr>
        <sz val="6"/>
        <color indexed="8"/>
        <rFont val="Arial"/>
        <family val="2"/>
      </rPr>
      <t>A</t>
    </r>
    <r>
      <rPr>
        <sz val="6"/>
        <color indexed="8"/>
        <rFont val="Arial"/>
        <family val="2"/>
      </rPr>
      <t>Ç</t>
    </r>
    <r>
      <rPr>
        <sz val="6"/>
        <color indexed="8"/>
        <rFont val="Arial"/>
        <family val="2"/>
      </rPr>
      <t>Ã</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E</t>
    </r>
    <r>
      <rPr>
        <sz val="6"/>
        <color indexed="8"/>
        <rFont val="Arial"/>
        <family val="2"/>
      </rPr>
      <t xml:space="preserve"> </t>
    </r>
    <r>
      <rPr>
        <sz val="6"/>
        <color indexed="8"/>
        <rFont val="Arial"/>
        <family val="2"/>
      </rPr>
      <t>A</t>
    </r>
    <r>
      <rPr>
        <sz val="6"/>
        <color indexed="8"/>
        <rFont val="Arial"/>
        <family val="2"/>
      </rPr>
      <t>D</t>
    </r>
    <r>
      <rPr>
        <sz val="6"/>
        <color indexed="8"/>
        <rFont val="Arial"/>
        <family val="2"/>
      </rPr>
      <t>E</t>
    </r>
    <r>
      <rPr>
        <sz val="6"/>
        <color indexed="8"/>
        <rFont val="Arial"/>
        <family val="2"/>
      </rPr>
      <t>N</t>
    </r>
    <r>
      <rPr>
        <sz val="6"/>
        <color indexed="8"/>
        <rFont val="Arial"/>
        <family val="2"/>
      </rPr>
      <t>S</t>
    </r>
    <r>
      <rPr>
        <sz val="6"/>
        <color indexed="8"/>
        <rFont val="Arial"/>
        <family val="2"/>
      </rPr>
      <t>A</t>
    </r>
    <r>
      <rPr>
        <sz val="6"/>
        <color indexed="8"/>
        <rFont val="Arial"/>
        <family val="2"/>
      </rPr>
      <t>M</t>
    </r>
    <r>
      <rPr>
        <sz val="6"/>
        <color indexed="8"/>
        <rFont val="Arial"/>
        <family val="2"/>
      </rPr>
      <t>E</t>
    </r>
    <r>
      <rPr>
        <sz val="6"/>
        <color indexed="8"/>
        <rFont val="Arial"/>
        <family val="2"/>
      </rPr>
      <t>N</t>
    </r>
    <r>
      <rPr>
        <sz val="6"/>
        <color indexed="8"/>
        <rFont val="Arial"/>
        <family val="2"/>
      </rPr>
      <t>T</t>
    </r>
    <r>
      <rPr>
        <sz val="6"/>
        <color indexed="8"/>
        <rFont val="Arial"/>
        <family val="2"/>
      </rPr>
      <t>O)</t>
    </r>
  </si>
  <si>
    <r>
      <rPr>
        <sz val="6"/>
        <color indexed="8"/>
        <rFont val="Arial"/>
        <family val="2"/>
      </rPr>
      <t>C</t>
    </r>
    <r>
      <rPr>
        <sz val="6"/>
        <color indexed="8"/>
        <rFont val="Arial"/>
        <family val="2"/>
      </rPr>
      <t>O</t>
    </r>
    <r>
      <rPr>
        <sz val="6"/>
        <color indexed="8"/>
        <rFont val="Arial"/>
        <family val="2"/>
      </rPr>
      <t>N</t>
    </r>
    <r>
      <rPr>
        <sz val="6"/>
        <color indexed="8"/>
        <rFont val="Arial"/>
        <family val="2"/>
      </rPr>
      <t>C</t>
    </r>
    <r>
      <rPr>
        <sz val="6"/>
        <color indexed="8"/>
        <rFont val="Arial"/>
        <family val="2"/>
      </rPr>
      <t>R</t>
    </r>
    <r>
      <rPr>
        <sz val="6"/>
        <color indexed="8"/>
        <rFont val="Arial"/>
        <family val="2"/>
      </rPr>
      <t>E</t>
    </r>
    <r>
      <rPr>
        <sz val="6"/>
        <color indexed="8"/>
        <rFont val="Arial"/>
        <family val="2"/>
      </rPr>
      <t>T</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E</t>
    </r>
    <r>
      <rPr>
        <sz val="6"/>
        <color indexed="8"/>
        <rFont val="Arial"/>
        <family val="2"/>
      </rPr>
      <t>S</t>
    </r>
    <r>
      <rPr>
        <sz val="6"/>
        <color indexed="8"/>
        <rFont val="Arial"/>
        <family val="2"/>
      </rPr>
      <t>T</t>
    </r>
    <r>
      <rPr>
        <sz val="6"/>
        <color indexed="8"/>
        <rFont val="Arial"/>
        <family val="2"/>
      </rPr>
      <t>R</t>
    </r>
    <r>
      <rPr>
        <sz val="6"/>
        <color indexed="8"/>
        <rFont val="Arial"/>
        <family val="2"/>
      </rPr>
      <t>U</t>
    </r>
    <r>
      <rPr>
        <sz val="6"/>
        <color indexed="8"/>
        <rFont val="Arial"/>
        <family val="2"/>
      </rPr>
      <t>T</t>
    </r>
    <r>
      <rPr>
        <sz val="6"/>
        <color indexed="8"/>
        <rFont val="Arial"/>
        <family val="2"/>
      </rPr>
      <t>U</t>
    </r>
    <r>
      <rPr>
        <sz val="6"/>
        <color indexed="8"/>
        <rFont val="Arial"/>
        <family val="2"/>
      </rPr>
      <t>R</t>
    </r>
    <r>
      <rPr>
        <sz val="6"/>
        <color indexed="8"/>
        <rFont val="Arial"/>
        <family val="2"/>
      </rPr>
      <t>AL</t>
    </r>
    <r>
      <rPr>
        <sz val="6"/>
        <color indexed="8"/>
        <rFont val="Arial"/>
        <family val="2"/>
      </rPr>
      <t xml:space="preserve"> </t>
    </r>
    <r>
      <rPr>
        <sz val="6"/>
        <color indexed="8"/>
        <rFont val="Arial"/>
        <family val="2"/>
      </rPr>
      <t>U</t>
    </r>
    <r>
      <rPr>
        <sz val="6"/>
        <color indexed="8"/>
        <rFont val="Arial"/>
        <family val="2"/>
      </rPr>
      <t>S</t>
    </r>
    <r>
      <rPr>
        <sz val="6"/>
        <color indexed="8"/>
        <rFont val="Arial"/>
        <family val="2"/>
      </rPr>
      <t>I</t>
    </r>
    <r>
      <rPr>
        <sz val="6"/>
        <color indexed="8"/>
        <rFont val="Arial"/>
        <family val="2"/>
      </rPr>
      <t>N</t>
    </r>
    <r>
      <rPr>
        <sz val="6"/>
        <color indexed="8"/>
        <rFont val="Arial"/>
        <family val="2"/>
      </rPr>
      <t>A</t>
    </r>
    <r>
      <rPr>
        <sz val="6"/>
        <color indexed="8"/>
        <rFont val="Arial"/>
        <family val="2"/>
      </rPr>
      <t>D</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BO</t>
    </r>
    <r>
      <rPr>
        <sz val="6"/>
        <color indexed="8"/>
        <rFont val="Arial"/>
        <family val="2"/>
      </rPr>
      <t>M</t>
    </r>
    <r>
      <rPr>
        <sz val="6"/>
        <color indexed="8"/>
        <rFont val="Arial"/>
        <family val="2"/>
      </rPr>
      <t>B</t>
    </r>
    <r>
      <rPr>
        <sz val="6"/>
        <color indexed="8"/>
        <rFont val="Arial"/>
        <family val="2"/>
      </rPr>
      <t>EA</t>
    </r>
    <r>
      <rPr>
        <sz val="6"/>
        <color indexed="8"/>
        <rFont val="Arial"/>
        <family val="2"/>
      </rPr>
      <t>D</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F</t>
    </r>
    <r>
      <rPr>
        <sz val="6"/>
        <color indexed="8"/>
        <rFont val="Arial"/>
        <family val="2"/>
      </rPr>
      <t>C</t>
    </r>
    <r>
      <rPr>
        <sz val="6"/>
        <color indexed="8"/>
        <rFont val="Arial"/>
        <family val="2"/>
      </rPr>
      <t>K=35</t>
    </r>
    <r>
      <rPr>
        <sz val="6"/>
        <color indexed="8"/>
        <rFont val="Arial"/>
        <family val="2"/>
      </rPr>
      <t xml:space="preserve"> </t>
    </r>
    <r>
      <rPr>
        <sz val="6"/>
        <color indexed="8"/>
        <rFont val="Arial"/>
        <family val="2"/>
      </rPr>
      <t xml:space="preserve"> </t>
    </r>
    <r>
      <rPr>
        <sz val="6"/>
        <color indexed="8"/>
        <rFont val="Arial"/>
        <family val="2"/>
      </rPr>
      <t>M</t>
    </r>
    <r>
      <rPr>
        <sz val="6"/>
        <color indexed="8"/>
        <rFont val="Arial"/>
        <family val="2"/>
      </rPr>
      <t>PA</t>
    </r>
    <r>
      <rPr>
        <sz val="6"/>
        <color indexed="8"/>
        <rFont val="Arial"/>
        <family val="2"/>
      </rPr>
      <t xml:space="preserve"> </t>
    </r>
    <r>
      <rPr>
        <sz val="6"/>
        <color indexed="8"/>
        <rFont val="Arial"/>
        <family val="2"/>
      </rPr>
      <t xml:space="preserve"> </t>
    </r>
    <r>
      <rPr>
        <sz val="6"/>
        <color indexed="8"/>
        <rFont val="Arial"/>
        <family val="2"/>
      </rPr>
      <t>(</t>
    </r>
    <r>
      <rPr>
        <sz val="6"/>
        <color indexed="8"/>
        <rFont val="Arial"/>
        <family val="2"/>
      </rPr>
      <t>I</t>
    </r>
    <r>
      <rPr>
        <sz val="6"/>
        <color indexed="8"/>
        <rFont val="Arial"/>
        <family val="2"/>
      </rPr>
      <t>N</t>
    </r>
    <r>
      <rPr>
        <sz val="6"/>
        <color indexed="8"/>
        <rFont val="Arial"/>
        <family val="2"/>
      </rPr>
      <t>C</t>
    </r>
    <r>
      <rPr>
        <sz val="6"/>
        <color indexed="8"/>
        <rFont val="Arial"/>
        <family val="2"/>
      </rPr>
      <t>L</t>
    </r>
    <r>
      <rPr>
        <sz val="6"/>
        <color indexed="8"/>
        <rFont val="Arial"/>
        <family val="2"/>
      </rPr>
      <t>U</t>
    </r>
    <r>
      <rPr>
        <sz val="6"/>
        <color indexed="8"/>
        <rFont val="Arial"/>
        <family val="2"/>
      </rPr>
      <t>I</t>
    </r>
    <r>
      <rPr>
        <sz val="6"/>
        <color indexed="8"/>
        <rFont val="Arial"/>
        <family val="2"/>
      </rPr>
      <t>N</t>
    </r>
    <r>
      <rPr>
        <sz val="6"/>
        <color indexed="8"/>
        <rFont val="Arial"/>
        <family val="2"/>
      </rPr>
      <t>D</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L</t>
    </r>
    <r>
      <rPr>
        <sz val="6"/>
        <color indexed="8"/>
        <rFont val="Arial"/>
        <family val="2"/>
      </rPr>
      <t>A</t>
    </r>
    <r>
      <rPr>
        <sz val="6"/>
        <color indexed="8"/>
        <rFont val="Arial"/>
        <family val="2"/>
      </rPr>
      <t>N</t>
    </r>
    <r>
      <rPr>
        <sz val="6"/>
        <color indexed="8"/>
        <rFont val="Arial"/>
        <family val="2"/>
      </rPr>
      <t>Ç</t>
    </r>
    <r>
      <rPr>
        <sz val="6"/>
        <color indexed="8"/>
        <rFont val="Arial"/>
        <family val="2"/>
      </rPr>
      <t>A</t>
    </r>
    <r>
      <rPr>
        <sz val="6"/>
        <color indexed="8"/>
        <rFont val="Arial"/>
        <family val="2"/>
      </rPr>
      <t>M</t>
    </r>
    <r>
      <rPr>
        <sz val="6"/>
        <color indexed="8"/>
        <rFont val="Arial"/>
        <family val="2"/>
      </rPr>
      <t>E</t>
    </r>
    <r>
      <rPr>
        <sz val="6"/>
        <color indexed="8"/>
        <rFont val="Arial"/>
        <family val="2"/>
      </rPr>
      <t>N</t>
    </r>
    <r>
      <rPr>
        <sz val="6"/>
        <color indexed="8"/>
        <rFont val="Arial"/>
        <family val="2"/>
      </rPr>
      <t>T</t>
    </r>
    <r>
      <rPr>
        <sz val="6"/>
        <color indexed="8"/>
        <rFont val="Arial"/>
        <family val="2"/>
      </rPr>
      <t>O</t>
    </r>
    <r>
      <rPr>
        <sz val="6"/>
        <color indexed="8"/>
        <rFont val="Arial"/>
        <family val="2"/>
      </rPr>
      <t>,</t>
    </r>
    <r>
      <rPr>
        <sz val="6"/>
        <color indexed="8"/>
        <rFont val="Arial"/>
        <family val="2"/>
      </rPr>
      <t xml:space="preserve"> </t>
    </r>
    <r>
      <rPr>
        <sz val="6"/>
        <color indexed="8"/>
        <rFont val="Arial"/>
        <family val="2"/>
      </rPr>
      <t>A</t>
    </r>
    <r>
      <rPr>
        <sz val="6"/>
        <color indexed="8"/>
        <rFont val="Arial"/>
        <family val="2"/>
      </rPr>
      <t>PL</t>
    </r>
    <r>
      <rPr>
        <sz val="6"/>
        <color indexed="8"/>
        <rFont val="Arial"/>
        <family val="2"/>
      </rPr>
      <t>I</t>
    </r>
    <r>
      <rPr>
        <sz val="6"/>
        <color indexed="8"/>
        <rFont val="Arial"/>
        <family val="2"/>
      </rPr>
      <t>C</t>
    </r>
    <r>
      <rPr>
        <sz val="6"/>
        <color indexed="8"/>
        <rFont val="Arial"/>
        <family val="2"/>
      </rPr>
      <t>A</t>
    </r>
    <r>
      <rPr>
        <sz val="6"/>
        <color indexed="8"/>
        <rFont val="Arial"/>
        <family val="2"/>
      </rPr>
      <t>Ç</t>
    </r>
    <r>
      <rPr>
        <sz val="6"/>
        <color indexed="8"/>
        <rFont val="Arial"/>
        <family val="2"/>
      </rPr>
      <t>Ã</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E</t>
    </r>
    <r>
      <rPr>
        <sz val="6"/>
        <color indexed="8"/>
        <rFont val="Arial"/>
        <family val="2"/>
      </rPr>
      <t xml:space="preserve"> </t>
    </r>
    <r>
      <rPr>
        <sz val="6"/>
        <color indexed="8"/>
        <rFont val="Arial"/>
        <family val="2"/>
      </rPr>
      <t>A</t>
    </r>
    <r>
      <rPr>
        <sz val="6"/>
        <color indexed="8"/>
        <rFont val="Arial"/>
        <family val="2"/>
      </rPr>
      <t>D</t>
    </r>
    <r>
      <rPr>
        <sz val="6"/>
        <color indexed="8"/>
        <rFont val="Arial"/>
        <family val="2"/>
      </rPr>
      <t>E</t>
    </r>
    <r>
      <rPr>
        <sz val="6"/>
        <color indexed="8"/>
        <rFont val="Arial"/>
        <family val="2"/>
      </rPr>
      <t>N</t>
    </r>
    <r>
      <rPr>
        <sz val="6"/>
        <color indexed="8"/>
        <rFont val="Arial"/>
        <family val="2"/>
      </rPr>
      <t>S</t>
    </r>
    <r>
      <rPr>
        <sz val="6"/>
        <color indexed="8"/>
        <rFont val="Arial"/>
        <family val="2"/>
      </rPr>
      <t>A</t>
    </r>
    <r>
      <rPr>
        <sz val="6"/>
        <color indexed="8"/>
        <rFont val="Arial"/>
        <family val="2"/>
      </rPr>
      <t>M</t>
    </r>
    <r>
      <rPr>
        <sz val="6"/>
        <color indexed="8"/>
        <rFont val="Arial"/>
        <family val="2"/>
      </rPr>
      <t>E</t>
    </r>
    <r>
      <rPr>
        <sz val="6"/>
        <color indexed="8"/>
        <rFont val="Arial"/>
        <family val="2"/>
      </rPr>
      <t>N</t>
    </r>
    <r>
      <rPr>
        <sz val="6"/>
        <color indexed="8"/>
        <rFont val="Arial"/>
        <family val="2"/>
      </rPr>
      <t>T</t>
    </r>
    <r>
      <rPr>
        <sz val="6"/>
        <color indexed="8"/>
        <rFont val="Arial"/>
        <family val="2"/>
      </rPr>
      <t>O)</t>
    </r>
  </si>
  <si>
    <r>
      <rPr>
        <sz val="6"/>
        <color indexed="8"/>
        <rFont val="Arial"/>
        <family val="2"/>
      </rPr>
      <t>C</t>
    </r>
    <r>
      <rPr>
        <sz val="6"/>
        <color indexed="8"/>
        <rFont val="Arial"/>
        <family val="2"/>
      </rPr>
      <t>O</t>
    </r>
    <r>
      <rPr>
        <sz val="6"/>
        <color indexed="8"/>
        <rFont val="Arial"/>
        <family val="2"/>
      </rPr>
      <t>N</t>
    </r>
    <r>
      <rPr>
        <sz val="6"/>
        <color indexed="8"/>
        <rFont val="Arial"/>
        <family val="2"/>
      </rPr>
      <t>C</t>
    </r>
    <r>
      <rPr>
        <sz val="6"/>
        <color indexed="8"/>
        <rFont val="Arial"/>
        <family val="2"/>
      </rPr>
      <t>R</t>
    </r>
    <r>
      <rPr>
        <sz val="6"/>
        <color indexed="8"/>
        <rFont val="Arial"/>
        <family val="2"/>
      </rPr>
      <t>E</t>
    </r>
    <r>
      <rPr>
        <sz val="6"/>
        <color indexed="8"/>
        <rFont val="Arial"/>
        <family val="2"/>
      </rPr>
      <t>T</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E</t>
    </r>
    <r>
      <rPr>
        <sz val="6"/>
        <color indexed="8"/>
        <rFont val="Arial"/>
        <family val="2"/>
      </rPr>
      <t>S</t>
    </r>
    <r>
      <rPr>
        <sz val="6"/>
        <color indexed="8"/>
        <rFont val="Arial"/>
        <family val="2"/>
      </rPr>
      <t>T</t>
    </r>
    <r>
      <rPr>
        <sz val="6"/>
        <color indexed="8"/>
        <rFont val="Arial"/>
        <family val="2"/>
      </rPr>
      <t>R</t>
    </r>
    <r>
      <rPr>
        <sz val="6"/>
        <color indexed="8"/>
        <rFont val="Arial"/>
        <family val="2"/>
      </rPr>
      <t>U</t>
    </r>
    <r>
      <rPr>
        <sz val="6"/>
        <color indexed="8"/>
        <rFont val="Arial"/>
        <family val="2"/>
      </rPr>
      <t>T</t>
    </r>
    <r>
      <rPr>
        <sz val="6"/>
        <color indexed="8"/>
        <rFont val="Arial"/>
        <family val="2"/>
      </rPr>
      <t>U</t>
    </r>
    <r>
      <rPr>
        <sz val="6"/>
        <color indexed="8"/>
        <rFont val="Arial"/>
        <family val="2"/>
      </rPr>
      <t>R</t>
    </r>
    <r>
      <rPr>
        <sz val="6"/>
        <color indexed="8"/>
        <rFont val="Arial"/>
        <family val="2"/>
      </rPr>
      <t>AL</t>
    </r>
    <r>
      <rPr>
        <sz val="6"/>
        <color indexed="8"/>
        <rFont val="Arial"/>
        <family val="2"/>
      </rPr>
      <t xml:space="preserve"> </t>
    </r>
    <r>
      <rPr>
        <sz val="6"/>
        <color indexed="8"/>
        <rFont val="Arial"/>
        <family val="2"/>
      </rPr>
      <t>U</t>
    </r>
    <r>
      <rPr>
        <sz val="6"/>
        <color indexed="8"/>
        <rFont val="Arial"/>
        <family val="2"/>
      </rPr>
      <t>S</t>
    </r>
    <r>
      <rPr>
        <sz val="6"/>
        <color indexed="8"/>
        <rFont val="Arial"/>
        <family val="2"/>
      </rPr>
      <t>I</t>
    </r>
    <r>
      <rPr>
        <sz val="6"/>
        <color indexed="8"/>
        <rFont val="Arial"/>
        <family val="2"/>
      </rPr>
      <t>N</t>
    </r>
    <r>
      <rPr>
        <sz val="6"/>
        <color indexed="8"/>
        <rFont val="Arial"/>
        <family val="2"/>
      </rPr>
      <t>A</t>
    </r>
    <r>
      <rPr>
        <sz val="6"/>
        <color indexed="8"/>
        <rFont val="Arial"/>
        <family val="2"/>
      </rPr>
      <t>D</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BO</t>
    </r>
    <r>
      <rPr>
        <sz val="6"/>
        <color indexed="8"/>
        <rFont val="Arial"/>
        <family val="2"/>
      </rPr>
      <t>M</t>
    </r>
    <r>
      <rPr>
        <sz val="6"/>
        <color indexed="8"/>
        <rFont val="Arial"/>
        <family val="2"/>
      </rPr>
      <t>B</t>
    </r>
    <r>
      <rPr>
        <sz val="6"/>
        <color indexed="8"/>
        <rFont val="Arial"/>
        <family val="2"/>
      </rPr>
      <t>EA</t>
    </r>
    <r>
      <rPr>
        <sz val="6"/>
        <color indexed="8"/>
        <rFont val="Arial"/>
        <family val="2"/>
      </rPr>
      <t>D</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F</t>
    </r>
    <r>
      <rPr>
        <sz val="6"/>
        <color indexed="8"/>
        <rFont val="Arial"/>
        <family val="2"/>
      </rPr>
      <t>C</t>
    </r>
    <r>
      <rPr>
        <sz val="6"/>
        <color indexed="8"/>
        <rFont val="Arial"/>
        <family val="2"/>
      </rPr>
      <t>K=40</t>
    </r>
    <r>
      <rPr>
        <sz val="6"/>
        <color indexed="8"/>
        <rFont val="Arial"/>
        <family val="2"/>
      </rPr>
      <t xml:space="preserve"> </t>
    </r>
    <r>
      <rPr>
        <sz val="6"/>
        <color indexed="8"/>
        <rFont val="Arial"/>
        <family val="2"/>
      </rPr>
      <t xml:space="preserve"> </t>
    </r>
    <r>
      <rPr>
        <sz val="6"/>
        <color indexed="8"/>
        <rFont val="Arial"/>
        <family val="2"/>
      </rPr>
      <t>M</t>
    </r>
    <r>
      <rPr>
        <sz val="6"/>
        <color indexed="8"/>
        <rFont val="Arial"/>
        <family val="2"/>
      </rPr>
      <t>PA</t>
    </r>
    <r>
      <rPr>
        <sz val="6"/>
        <color indexed="8"/>
        <rFont val="Arial"/>
        <family val="2"/>
      </rPr>
      <t xml:space="preserve"> </t>
    </r>
    <r>
      <rPr>
        <sz val="6"/>
        <color indexed="8"/>
        <rFont val="Arial"/>
        <family val="2"/>
      </rPr>
      <t xml:space="preserve"> </t>
    </r>
    <r>
      <rPr>
        <sz val="6"/>
        <color indexed="8"/>
        <rFont val="Arial"/>
        <family val="2"/>
      </rPr>
      <t>(</t>
    </r>
    <r>
      <rPr>
        <sz val="6"/>
        <color indexed="8"/>
        <rFont val="Arial"/>
        <family val="2"/>
      </rPr>
      <t>I</t>
    </r>
    <r>
      <rPr>
        <sz val="6"/>
        <color indexed="8"/>
        <rFont val="Arial"/>
        <family val="2"/>
      </rPr>
      <t>N</t>
    </r>
    <r>
      <rPr>
        <sz val="6"/>
        <color indexed="8"/>
        <rFont val="Arial"/>
        <family val="2"/>
      </rPr>
      <t>C</t>
    </r>
    <r>
      <rPr>
        <sz val="6"/>
        <color indexed="8"/>
        <rFont val="Arial"/>
        <family val="2"/>
      </rPr>
      <t>L</t>
    </r>
    <r>
      <rPr>
        <sz val="6"/>
        <color indexed="8"/>
        <rFont val="Arial"/>
        <family val="2"/>
      </rPr>
      <t>U</t>
    </r>
    <r>
      <rPr>
        <sz val="6"/>
        <color indexed="8"/>
        <rFont val="Arial"/>
        <family val="2"/>
      </rPr>
      <t>I</t>
    </r>
    <r>
      <rPr>
        <sz val="6"/>
        <color indexed="8"/>
        <rFont val="Arial"/>
        <family val="2"/>
      </rPr>
      <t>N</t>
    </r>
    <r>
      <rPr>
        <sz val="6"/>
        <color indexed="8"/>
        <rFont val="Arial"/>
        <family val="2"/>
      </rPr>
      <t>D</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L</t>
    </r>
    <r>
      <rPr>
        <sz val="6"/>
        <color indexed="8"/>
        <rFont val="Arial"/>
        <family val="2"/>
      </rPr>
      <t>A</t>
    </r>
    <r>
      <rPr>
        <sz val="6"/>
        <color indexed="8"/>
        <rFont val="Arial"/>
        <family val="2"/>
      </rPr>
      <t>N</t>
    </r>
    <r>
      <rPr>
        <sz val="6"/>
        <color indexed="8"/>
        <rFont val="Arial"/>
        <family val="2"/>
      </rPr>
      <t>Ç</t>
    </r>
    <r>
      <rPr>
        <sz val="6"/>
        <color indexed="8"/>
        <rFont val="Arial"/>
        <family val="2"/>
      </rPr>
      <t>A</t>
    </r>
    <r>
      <rPr>
        <sz val="6"/>
        <color indexed="8"/>
        <rFont val="Arial"/>
        <family val="2"/>
      </rPr>
      <t>M</t>
    </r>
    <r>
      <rPr>
        <sz val="6"/>
        <color indexed="8"/>
        <rFont val="Arial"/>
        <family val="2"/>
      </rPr>
      <t>E</t>
    </r>
    <r>
      <rPr>
        <sz val="6"/>
        <color indexed="8"/>
        <rFont val="Arial"/>
        <family val="2"/>
      </rPr>
      <t>N</t>
    </r>
    <r>
      <rPr>
        <sz val="6"/>
        <color indexed="8"/>
        <rFont val="Arial"/>
        <family val="2"/>
      </rPr>
      <t>T</t>
    </r>
    <r>
      <rPr>
        <sz val="6"/>
        <color indexed="8"/>
        <rFont val="Arial"/>
        <family val="2"/>
      </rPr>
      <t>O</t>
    </r>
    <r>
      <rPr>
        <sz val="6"/>
        <color indexed="8"/>
        <rFont val="Arial"/>
        <family val="2"/>
      </rPr>
      <t>,</t>
    </r>
    <r>
      <rPr>
        <sz val="6"/>
        <color indexed="8"/>
        <rFont val="Arial"/>
        <family val="2"/>
      </rPr>
      <t xml:space="preserve"> </t>
    </r>
    <r>
      <rPr>
        <sz val="6"/>
        <color indexed="8"/>
        <rFont val="Arial"/>
        <family val="2"/>
      </rPr>
      <t>A</t>
    </r>
    <r>
      <rPr>
        <sz val="6"/>
        <color indexed="8"/>
        <rFont val="Arial"/>
        <family val="2"/>
      </rPr>
      <t>PL</t>
    </r>
    <r>
      <rPr>
        <sz val="6"/>
        <color indexed="8"/>
        <rFont val="Arial"/>
        <family val="2"/>
      </rPr>
      <t>I</t>
    </r>
    <r>
      <rPr>
        <sz val="6"/>
        <color indexed="8"/>
        <rFont val="Arial"/>
        <family val="2"/>
      </rPr>
      <t>C</t>
    </r>
    <r>
      <rPr>
        <sz val="6"/>
        <color indexed="8"/>
        <rFont val="Arial"/>
        <family val="2"/>
      </rPr>
      <t>A</t>
    </r>
    <r>
      <rPr>
        <sz val="6"/>
        <color indexed="8"/>
        <rFont val="Arial"/>
        <family val="2"/>
      </rPr>
      <t>Ç</t>
    </r>
    <r>
      <rPr>
        <sz val="6"/>
        <color indexed="8"/>
        <rFont val="Arial"/>
        <family val="2"/>
      </rPr>
      <t>Ã</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E</t>
    </r>
    <r>
      <rPr>
        <sz val="6"/>
        <color indexed="8"/>
        <rFont val="Arial"/>
        <family val="2"/>
      </rPr>
      <t xml:space="preserve"> </t>
    </r>
    <r>
      <rPr>
        <sz val="6"/>
        <color indexed="8"/>
        <rFont val="Arial"/>
        <family val="2"/>
      </rPr>
      <t>A</t>
    </r>
    <r>
      <rPr>
        <sz val="6"/>
        <color indexed="8"/>
        <rFont val="Arial"/>
        <family val="2"/>
      </rPr>
      <t>D</t>
    </r>
    <r>
      <rPr>
        <sz val="6"/>
        <color indexed="8"/>
        <rFont val="Arial"/>
        <family val="2"/>
      </rPr>
      <t>E</t>
    </r>
    <r>
      <rPr>
        <sz val="6"/>
        <color indexed="8"/>
        <rFont val="Arial"/>
        <family val="2"/>
      </rPr>
      <t>N</t>
    </r>
    <r>
      <rPr>
        <sz val="6"/>
        <color indexed="8"/>
        <rFont val="Arial"/>
        <family val="2"/>
      </rPr>
      <t>S</t>
    </r>
    <r>
      <rPr>
        <sz val="6"/>
        <color indexed="8"/>
        <rFont val="Arial"/>
        <family val="2"/>
      </rPr>
      <t>A</t>
    </r>
    <r>
      <rPr>
        <sz val="6"/>
        <color indexed="8"/>
        <rFont val="Arial"/>
        <family val="2"/>
      </rPr>
      <t>M</t>
    </r>
    <r>
      <rPr>
        <sz val="6"/>
        <color indexed="8"/>
        <rFont val="Arial"/>
        <family val="2"/>
      </rPr>
      <t>E</t>
    </r>
    <r>
      <rPr>
        <sz val="6"/>
        <color indexed="8"/>
        <rFont val="Arial"/>
        <family val="2"/>
      </rPr>
      <t>N</t>
    </r>
    <r>
      <rPr>
        <sz val="6"/>
        <color indexed="8"/>
        <rFont val="Arial"/>
        <family val="2"/>
      </rPr>
      <t>T</t>
    </r>
    <r>
      <rPr>
        <sz val="6"/>
        <color indexed="8"/>
        <rFont val="Arial"/>
        <family val="2"/>
      </rPr>
      <t>O)</t>
    </r>
  </si>
  <si>
    <r>
      <rPr>
        <sz val="6"/>
        <color indexed="8"/>
        <rFont val="Arial"/>
        <family val="2"/>
      </rPr>
      <t>C</t>
    </r>
    <r>
      <rPr>
        <sz val="6"/>
        <color indexed="8"/>
        <rFont val="Arial"/>
        <family val="2"/>
      </rPr>
      <t>O</t>
    </r>
    <r>
      <rPr>
        <sz val="6"/>
        <color indexed="8"/>
        <rFont val="Arial"/>
        <family val="2"/>
      </rPr>
      <t>N</t>
    </r>
    <r>
      <rPr>
        <sz val="6"/>
        <color indexed="8"/>
        <rFont val="Arial"/>
        <family val="2"/>
      </rPr>
      <t>C</t>
    </r>
    <r>
      <rPr>
        <sz val="6"/>
        <color indexed="8"/>
        <rFont val="Arial"/>
        <family val="2"/>
      </rPr>
      <t>R</t>
    </r>
    <r>
      <rPr>
        <sz val="6"/>
        <color indexed="8"/>
        <rFont val="Arial"/>
        <family val="2"/>
      </rPr>
      <t>E</t>
    </r>
    <r>
      <rPr>
        <sz val="6"/>
        <color indexed="8"/>
        <rFont val="Arial"/>
        <family val="2"/>
      </rPr>
      <t>T</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E</t>
    </r>
    <r>
      <rPr>
        <sz val="6"/>
        <color indexed="8"/>
        <rFont val="Arial"/>
        <family val="2"/>
      </rPr>
      <t>S</t>
    </r>
    <r>
      <rPr>
        <sz val="6"/>
        <color indexed="8"/>
        <rFont val="Arial"/>
        <family val="2"/>
      </rPr>
      <t>T</t>
    </r>
    <r>
      <rPr>
        <sz val="6"/>
        <color indexed="8"/>
        <rFont val="Arial"/>
        <family val="2"/>
      </rPr>
      <t>R</t>
    </r>
    <r>
      <rPr>
        <sz val="6"/>
        <color indexed="8"/>
        <rFont val="Arial"/>
        <family val="2"/>
      </rPr>
      <t>U</t>
    </r>
    <r>
      <rPr>
        <sz val="6"/>
        <color indexed="8"/>
        <rFont val="Arial"/>
        <family val="2"/>
      </rPr>
      <t>T</t>
    </r>
    <r>
      <rPr>
        <sz val="6"/>
        <color indexed="8"/>
        <rFont val="Arial"/>
        <family val="2"/>
      </rPr>
      <t>U</t>
    </r>
    <r>
      <rPr>
        <sz val="6"/>
        <color indexed="8"/>
        <rFont val="Arial"/>
        <family val="2"/>
      </rPr>
      <t>R</t>
    </r>
    <r>
      <rPr>
        <sz val="6"/>
        <color indexed="8"/>
        <rFont val="Arial"/>
        <family val="2"/>
      </rPr>
      <t>AL</t>
    </r>
    <r>
      <rPr>
        <sz val="6"/>
        <color indexed="8"/>
        <rFont val="Arial"/>
        <family val="2"/>
      </rPr>
      <t xml:space="preserve"> </t>
    </r>
    <r>
      <rPr>
        <sz val="6"/>
        <color indexed="8"/>
        <rFont val="Arial"/>
        <family val="2"/>
      </rPr>
      <t>U</t>
    </r>
    <r>
      <rPr>
        <sz val="6"/>
        <color indexed="8"/>
        <rFont val="Arial"/>
        <family val="2"/>
      </rPr>
      <t>S</t>
    </r>
    <r>
      <rPr>
        <sz val="6"/>
        <color indexed="8"/>
        <rFont val="Arial"/>
        <family val="2"/>
      </rPr>
      <t>I</t>
    </r>
    <r>
      <rPr>
        <sz val="6"/>
        <color indexed="8"/>
        <rFont val="Arial"/>
        <family val="2"/>
      </rPr>
      <t>N</t>
    </r>
    <r>
      <rPr>
        <sz val="6"/>
        <color indexed="8"/>
        <rFont val="Arial"/>
        <family val="2"/>
      </rPr>
      <t>A</t>
    </r>
    <r>
      <rPr>
        <sz val="6"/>
        <color indexed="8"/>
        <rFont val="Arial"/>
        <family val="2"/>
      </rPr>
      <t>D</t>
    </r>
    <r>
      <rPr>
        <sz val="6"/>
        <color indexed="8"/>
        <rFont val="Arial"/>
        <family val="2"/>
      </rPr>
      <t>O</t>
    </r>
    <r>
      <rPr>
        <sz val="6"/>
        <color indexed="8"/>
        <rFont val="Arial"/>
        <family val="2"/>
      </rPr>
      <t xml:space="preserve"> </t>
    </r>
    <r>
      <rPr>
        <sz val="6"/>
        <color indexed="8"/>
        <rFont val="Arial"/>
        <family val="2"/>
      </rPr>
      <t>B</t>
    </r>
    <r>
      <rPr>
        <sz val="6"/>
        <color indexed="8"/>
        <rFont val="Arial"/>
        <family val="2"/>
      </rPr>
      <t>O</t>
    </r>
    <r>
      <rPr>
        <sz val="6"/>
        <color indexed="8"/>
        <rFont val="Arial"/>
        <family val="2"/>
      </rPr>
      <t>M</t>
    </r>
    <r>
      <rPr>
        <sz val="6"/>
        <color indexed="8"/>
        <rFont val="Arial"/>
        <family val="2"/>
      </rPr>
      <t>BEADO</t>
    </r>
    <r>
      <rPr>
        <sz val="6"/>
        <color indexed="8"/>
        <rFont val="Arial"/>
        <family val="2"/>
      </rPr>
      <t xml:space="preserve"> </t>
    </r>
    <r>
      <rPr>
        <sz val="6"/>
        <color indexed="8"/>
        <rFont val="Arial"/>
        <family val="2"/>
      </rPr>
      <t xml:space="preserve"> </t>
    </r>
    <r>
      <rPr>
        <sz val="6"/>
        <color indexed="8"/>
        <rFont val="Arial"/>
        <family val="2"/>
      </rPr>
      <t>F</t>
    </r>
    <r>
      <rPr>
        <sz val="6"/>
        <color indexed="8"/>
        <rFont val="Arial"/>
        <family val="2"/>
      </rPr>
      <t>C</t>
    </r>
    <r>
      <rPr>
        <sz val="6"/>
        <color indexed="8"/>
        <rFont val="Arial"/>
        <family val="2"/>
      </rPr>
      <t>K=40</t>
    </r>
    <r>
      <rPr>
        <sz val="6"/>
        <color indexed="8"/>
        <rFont val="Arial"/>
        <family val="2"/>
      </rPr>
      <t xml:space="preserve"> </t>
    </r>
    <r>
      <rPr>
        <sz val="6"/>
        <color indexed="8"/>
        <rFont val="Arial"/>
        <family val="2"/>
      </rPr>
      <t>M</t>
    </r>
    <r>
      <rPr>
        <sz val="6"/>
        <color indexed="8"/>
        <rFont val="Arial"/>
        <family val="2"/>
      </rPr>
      <t>PA,</t>
    </r>
    <r>
      <rPr>
        <sz val="6"/>
        <color indexed="8"/>
        <rFont val="Arial"/>
        <family val="2"/>
      </rPr>
      <t xml:space="preserve"> </t>
    </r>
    <r>
      <rPr>
        <sz val="6"/>
        <color indexed="8"/>
        <rFont val="Arial"/>
        <family val="2"/>
      </rPr>
      <t>C</t>
    </r>
    <r>
      <rPr>
        <sz val="6"/>
        <color indexed="8"/>
        <rFont val="Arial"/>
        <family val="2"/>
      </rPr>
      <t>OM</t>
    </r>
    <r>
      <rPr>
        <sz val="6"/>
        <color indexed="8"/>
        <rFont val="Arial"/>
        <family val="2"/>
      </rPr>
      <t xml:space="preserve"> </t>
    </r>
    <r>
      <rPr>
        <sz val="6"/>
        <color indexed="8"/>
        <rFont val="Arial"/>
        <family val="2"/>
      </rPr>
      <t>A</t>
    </r>
    <r>
      <rPr>
        <sz val="6"/>
        <color indexed="8"/>
        <rFont val="Arial"/>
        <family val="2"/>
      </rPr>
      <t>D</t>
    </r>
    <r>
      <rPr>
        <sz val="6"/>
        <color indexed="8"/>
        <rFont val="Arial"/>
        <family val="2"/>
      </rPr>
      <t>I</t>
    </r>
    <r>
      <rPr>
        <sz val="6"/>
        <color indexed="8"/>
        <rFont val="Arial"/>
        <family val="2"/>
      </rPr>
      <t>Ç</t>
    </r>
    <r>
      <rPr>
        <sz val="6"/>
        <color indexed="8"/>
        <rFont val="Arial"/>
        <family val="2"/>
      </rPr>
      <t>ÃO</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8</t>
    </r>
    <r>
      <rPr>
        <sz val="6"/>
        <color indexed="8"/>
        <rFont val="Arial"/>
        <family val="2"/>
      </rPr>
      <t xml:space="preserve"> </t>
    </r>
    <r>
      <rPr>
        <sz val="6"/>
        <color indexed="8"/>
        <rFont val="Arial"/>
        <family val="2"/>
      </rPr>
      <t>À</t>
    </r>
    <r>
      <rPr>
        <sz val="6"/>
        <color indexed="8"/>
        <rFont val="Arial"/>
        <family val="2"/>
      </rPr>
      <t xml:space="preserve"> </t>
    </r>
    <r>
      <rPr>
        <sz val="6"/>
        <color indexed="8"/>
        <rFont val="Arial"/>
        <family val="2"/>
      </rPr>
      <t>1</t>
    </r>
    <r>
      <rPr>
        <sz val="6"/>
        <color indexed="8"/>
        <rFont val="Arial"/>
        <family val="2"/>
      </rPr>
      <t>0%</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M</t>
    </r>
    <r>
      <rPr>
        <sz val="6"/>
        <color indexed="8"/>
        <rFont val="Arial"/>
        <family val="2"/>
      </rPr>
      <t>I</t>
    </r>
    <r>
      <rPr>
        <sz val="6"/>
        <color indexed="8"/>
        <rFont val="Arial"/>
        <family val="2"/>
      </rPr>
      <t>C</t>
    </r>
    <r>
      <rPr>
        <sz val="6"/>
        <color indexed="8"/>
        <rFont val="Arial"/>
        <family val="2"/>
      </rPr>
      <t>R</t>
    </r>
    <r>
      <rPr>
        <sz val="6"/>
        <color indexed="8"/>
        <rFont val="Arial"/>
        <family val="2"/>
      </rPr>
      <t>O</t>
    </r>
    <r>
      <rPr>
        <sz val="6"/>
        <color indexed="8"/>
        <rFont val="Arial"/>
        <family val="2"/>
      </rPr>
      <t>S</t>
    </r>
    <r>
      <rPr>
        <sz val="6"/>
        <color indexed="8"/>
        <rFont val="Arial"/>
        <family val="2"/>
      </rPr>
      <t>S</t>
    </r>
    <r>
      <rPr>
        <sz val="6"/>
        <color indexed="8"/>
        <rFont val="Arial"/>
        <family val="2"/>
      </rPr>
      <t>Í</t>
    </r>
    <r>
      <rPr>
        <sz val="6"/>
        <color indexed="8"/>
        <rFont val="Arial"/>
        <family val="2"/>
      </rPr>
      <t>L</t>
    </r>
    <r>
      <rPr>
        <sz val="6"/>
        <color indexed="8"/>
        <rFont val="Arial"/>
        <family val="2"/>
      </rPr>
      <t>I</t>
    </r>
    <r>
      <rPr>
        <sz val="6"/>
        <color indexed="8"/>
        <rFont val="Arial"/>
        <family val="2"/>
      </rPr>
      <t>C</t>
    </r>
    <r>
      <rPr>
        <sz val="6"/>
        <color indexed="8"/>
        <rFont val="Arial"/>
        <family val="2"/>
      </rPr>
      <t>A</t>
    </r>
    <r>
      <rPr>
        <sz val="6"/>
        <color indexed="8"/>
        <rFont val="Arial"/>
        <family val="2"/>
      </rPr>
      <t xml:space="preserve"> </t>
    </r>
    <r>
      <rPr>
        <sz val="6"/>
        <color indexed="8"/>
        <rFont val="Arial"/>
        <family val="2"/>
      </rPr>
      <t>(</t>
    </r>
    <r>
      <rPr>
        <sz val="6"/>
        <color indexed="8"/>
        <rFont val="Arial"/>
        <family val="2"/>
      </rPr>
      <t>I</t>
    </r>
    <r>
      <rPr>
        <sz val="6"/>
        <color indexed="8"/>
        <rFont val="Arial"/>
        <family val="2"/>
      </rPr>
      <t>N</t>
    </r>
    <r>
      <rPr>
        <sz val="6"/>
        <color indexed="8"/>
        <rFont val="Arial"/>
        <family val="2"/>
      </rPr>
      <t>C</t>
    </r>
    <r>
      <rPr>
        <sz val="6"/>
        <color indexed="8"/>
        <rFont val="Arial"/>
        <family val="2"/>
      </rPr>
      <t>L</t>
    </r>
    <r>
      <rPr>
        <sz val="6"/>
        <color indexed="8"/>
        <rFont val="Arial"/>
        <family val="2"/>
      </rPr>
      <t>U</t>
    </r>
    <r>
      <rPr>
        <sz val="6"/>
        <color indexed="8"/>
        <rFont val="Arial"/>
        <family val="2"/>
      </rPr>
      <t>I</t>
    </r>
    <r>
      <rPr>
        <sz val="6"/>
        <color indexed="8"/>
        <rFont val="Arial"/>
        <family val="2"/>
      </rPr>
      <t>N</t>
    </r>
    <r>
      <rPr>
        <sz val="6"/>
        <color indexed="8"/>
        <rFont val="Arial"/>
        <family val="2"/>
      </rPr>
      <t>D</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L</t>
    </r>
    <r>
      <rPr>
        <sz val="6"/>
        <color indexed="8"/>
        <rFont val="Arial"/>
        <family val="2"/>
      </rPr>
      <t>A</t>
    </r>
    <r>
      <rPr>
        <sz val="6"/>
        <color indexed="8"/>
        <rFont val="Arial"/>
        <family val="2"/>
      </rPr>
      <t>N</t>
    </r>
    <r>
      <rPr>
        <sz val="6"/>
        <color indexed="8"/>
        <rFont val="Arial"/>
        <family val="2"/>
      </rPr>
      <t>Ç</t>
    </r>
    <r>
      <rPr>
        <sz val="6"/>
        <color indexed="8"/>
        <rFont val="Arial"/>
        <family val="2"/>
      </rPr>
      <t>A</t>
    </r>
    <r>
      <rPr>
        <sz val="6"/>
        <color indexed="8"/>
        <rFont val="Arial"/>
        <family val="2"/>
      </rPr>
      <t>M</t>
    </r>
    <r>
      <rPr>
        <sz val="6"/>
        <color indexed="8"/>
        <rFont val="Arial"/>
        <family val="2"/>
      </rPr>
      <t>E</t>
    </r>
    <r>
      <rPr>
        <sz val="6"/>
        <color indexed="8"/>
        <rFont val="Arial"/>
        <family val="2"/>
      </rPr>
      <t>N</t>
    </r>
    <r>
      <rPr>
        <sz val="6"/>
        <color indexed="8"/>
        <rFont val="Arial"/>
        <family val="2"/>
      </rPr>
      <t>T</t>
    </r>
    <r>
      <rPr>
        <sz val="6"/>
        <color indexed="8"/>
        <rFont val="Arial"/>
        <family val="2"/>
      </rPr>
      <t>O</t>
    </r>
    <r>
      <rPr>
        <sz val="6"/>
        <color indexed="8"/>
        <rFont val="Arial"/>
        <family val="2"/>
      </rPr>
      <t>,</t>
    </r>
    <r>
      <rPr>
        <sz val="6"/>
        <color indexed="8"/>
        <rFont val="Arial"/>
        <family val="2"/>
      </rPr>
      <t xml:space="preserve"> </t>
    </r>
    <r>
      <rPr>
        <sz val="6"/>
        <color indexed="8"/>
        <rFont val="Arial"/>
        <family val="2"/>
      </rPr>
      <t>APL</t>
    </r>
    <r>
      <rPr>
        <sz val="6"/>
        <color indexed="8"/>
        <rFont val="Arial"/>
        <family val="2"/>
      </rPr>
      <t>I</t>
    </r>
    <r>
      <rPr>
        <sz val="6"/>
        <color indexed="8"/>
        <rFont val="Arial"/>
        <family val="2"/>
      </rPr>
      <t>C</t>
    </r>
    <r>
      <rPr>
        <sz val="6"/>
        <color indexed="8"/>
        <rFont val="Arial"/>
        <family val="2"/>
      </rPr>
      <t>A</t>
    </r>
    <r>
      <rPr>
        <sz val="6"/>
        <color indexed="8"/>
        <rFont val="Arial"/>
        <family val="2"/>
      </rPr>
      <t>Ç</t>
    </r>
    <r>
      <rPr>
        <sz val="6"/>
        <color indexed="8"/>
        <rFont val="Arial"/>
        <family val="2"/>
      </rPr>
      <t>ÃO</t>
    </r>
    <r>
      <rPr>
        <sz val="6"/>
        <color indexed="8"/>
        <rFont val="Arial"/>
        <family val="2"/>
      </rPr>
      <t xml:space="preserve"> </t>
    </r>
    <r>
      <rPr>
        <sz val="6"/>
        <color indexed="8"/>
        <rFont val="Arial"/>
        <family val="2"/>
      </rPr>
      <t xml:space="preserve"> </t>
    </r>
    <r>
      <rPr>
        <sz val="6"/>
        <color indexed="8"/>
        <rFont val="Arial"/>
        <family val="2"/>
      </rPr>
      <t>E</t>
    </r>
    <r>
      <rPr>
        <sz val="6"/>
        <color indexed="8"/>
        <rFont val="Arial"/>
        <family val="2"/>
      </rPr>
      <t xml:space="preserve"> </t>
    </r>
    <r>
      <rPr>
        <sz val="6"/>
        <color indexed="8"/>
        <rFont val="Arial"/>
        <family val="2"/>
      </rPr>
      <t>A</t>
    </r>
    <r>
      <rPr>
        <sz val="6"/>
        <color indexed="8"/>
        <rFont val="Arial"/>
        <family val="2"/>
      </rPr>
      <t>D</t>
    </r>
    <r>
      <rPr>
        <sz val="6"/>
        <color indexed="8"/>
        <rFont val="Arial"/>
        <family val="2"/>
      </rPr>
      <t>E</t>
    </r>
    <r>
      <rPr>
        <sz val="6"/>
        <color indexed="8"/>
        <rFont val="Arial"/>
        <family val="2"/>
      </rPr>
      <t>N</t>
    </r>
    <r>
      <rPr>
        <sz val="6"/>
        <color indexed="8"/>
        <rFont val="Arial"/>
        <family val="2"/>
      </rPr>
      <t>S</t>
    </r>
    <r>
      <rPr>
        <sz val="6"/>
        <color indexed="8"/>
        <rFont val="Arial"/>
        <family val="2"/>
      </rPr>
      <t>A</t>
    </r>
    <r>
      <rPr>
        <sz val="6"/>
        <color indexed="8"/>
        <rFont val="Arial"/>
        <family val="2"/>
      </rPr>
      <t>M</t>
    </r>
    <r>
      <rPr>
        <sz val="6"/>
        <color indexed="8"/>
        <rFont val="Arial"/>
        <family val="2"/>
      </rPr>
      <t>E</t>
    </r>
    <r>
      <rPr>
        <sz val="6"/>
        <color indexed="8"/>
        <rFont val="Arial"/>
        <family val="2"/>
      </rPr>
      <t>N</t>
    </r>
    <r>
      <rPr>
        <sz val="6"/>
        <color indexed="8"/>
        <rFont val="Arial"/>
        <family val="2"/>
      </rPr>
      <t>T</t>
    </r>
    <r>
      <rPr>
        <sz val="6"/>
        <color indexed="8"/>
        <rFont val="Arial"/>
        <family val="2"/>
      </rPr>
      <t>O)</t>
    </r>
  </si>
  <si>
    <t>ESCORAMENTO PARA  RESERVATÓRIO ELEVADO</t>
  </si>
  <si>
    <r>
      <rPr>
        <sz val="6"/>
        <color indexed="8"/>
        <rFont val="Arial"/>
        <family val="2"/>
      </rPr>
      <t>F</t>
    </r>
    <r>
      <rPr>
        <sz val="6"/>
        <color indexed="8"/>
        <rFont val="Arial"/>
        <family val="2"/>
      </rPr>
      <t>O</t>
    </r>
    <r>
      <rPr>
        <sz val="6"/>
        <color indexed="8"/>
        <rFont val="Arial"/>
        <family val="2"/>
      </rPr>
      <t>R</t>
    </r>
    <r>
      <rPr>
        <sz val="6"/>
        <color indexed="8"/>
        <rFont val="Arial"/>
        <family val="2"/>
      </rPr>
      <t>M</t>
    </r>
    <r>
      <rPr>
        <sz val="6"/>
        <color indexed="8"/>
        <rFont val="Arial"/>
        <family val="2"/>
      </rPr>
      <t>A</t>
    </r>
    <r>
      <rPr>
        <sz val="6"/>
        <color indexed="8"/>
        <rFont val="Arial"/>
        <family val="2"/>
      </rPr>
      <t>S</t>
    </r>
    <r>
      <rPr>
        <sz val="6"/>
        <color indexed="8"/>
        <rFont val="Arial"/>
        <family val="2"/>
      </rPr>
      <t xml:space="preserve">   </t>
    </r>
    <r>
      <rPr>
        <sz val="6"/>
        <color indexed="8"/>
        <rFont val="Arial"/>
        <family val="2"/>
      </rPr>
      <t xml:space="preserve"> </t>
    </r>
    <r>
      <rPr>
        <sz val="6"/>
        <color indexed="8"/>
        <rFont val="Arial"/>
        <family val="2"/>
      </rPr>
      <t>C</t>
    </r>
    <r>
      <rPr>
        <sz val="6"/>
        <color indexed="8"/>
        <rFont val="Arial"/>
        <family val="2"/>
      </rPr>
      <t>U</t>
    </r>
    <r>
      <rPr>
        <sz val="6"/>
        <color indexed="8"/>
        <rFont val="Arial"/>
        <family val="2"/>
      </rPr>
      <t>R</t>
    </r>
    <r>
      <rPr>
        <sz val="6"/>
        <color indexed="8"/>
        <rFont val="Arial"/>
        <family val="2"/>
      </rPr>
      <t>VAS</t>
    </r>
    <r>
      <rPr>
        <sz val="6"/>
        <color indexed="8"/>
        <rFont val="Arial"/>
        <family val="2"/>
      </rPr>
      <t xml:space="preserve">   </t>
    </r>
    <r>
      <rPr>
        <sz val="6"/>
        <color indexed="8"/>
        <rFont val="Arial"/>
        <family val="2"/>
      </rPr>
      <t xml:space="preserve"> </t>
    </r>
    <r>
      <rPr>
        <sz val="6"/>
        <color indexed="8"/>
        <rFont val="Arial"/>
        <family val="2"/>
      </rPr>
      <t>P</t>
    </r>
    <r>
      <rPr>
        <sz val="6"/>
        <color indexed="8"/>
        <rFont val="Arial"/>
        <family val="2"/>
      </rPr>
      <t>I</t>
    </r>
    <r>
      <rPr>
        <sz val="6"/>
        <color indexed="8"/>
        <rFont val="Arial"/>
        <family val="2"/>
      </rPr>
      <t>N</t>
    </r>
    <r>
      <rPr>
        <sz val="6"/>
        <color indexed="8"/>
        <rFont val="Arial"/>
        <family val="2"/>
      </rPr>
      <t>H</t>
    </r>
    <r>
      <rPr>
        <sz val="6"/>
        <color indexed="8"/>
        <rFont val="Arial"/>
        <family val="2"/>
      </rPr>
      <t>O+</t>
    </r>
    <r>
      <rPr>
        <sz val="6"/>
        <color indexed="8"/>
        <rFont val="Arial"/>
        <family val="2"/>
      </rPr>
      <t>C</t>
    </r>
    <r>
      <rPr>
        <sz val="6"/>
        <color indexed="8"/>
        <rFont val="Arial"/>
        <family val="2"/>
      </rPr>
      <t>H</t>
    </r>
    <r>
      <rPr>
        <sz val="6"/>
        <color indexed="8"/>
        <rFont val="Arial"/>
        <family val="2"/>
      </rPr>
      <t>APA</t>
    </r>
    <r>
      <rPr>
        <sz val="6"/>
        <color indexed="8"/>
        <rFont val="Arial"/>
        <family val="2"/>
      </rPr>
      <t xml:space="preserve">  </t>
    </r>
    <r>
      <rPr>
        <sz val="6"/>
        <color indexed="8"/>
        <rFont val="Arial"/>
        <family val="2"/>
      </rPr>
      <t xml:space="preserve"> </t>
    </r>
    <r>
      <rPr>
        <sz val="6"/>
        <color indexed="8"/>
        <rFont val="Arial"/>
        <family val="2"/>
      </rPr>
      <t>M</t>
    </r>
    <r>
      <rPr>
        <sz val="6"/>
        <color indexed="8"/>
        <rFont val="Arial"/>
        <family val="2"/>
      </rPr>
      <t>A</t>
    </r>
    <r>
      <rPr>
        <sz val="6"/>
        <color indexed="8"/>
        <rFont val="Arial"/>
        <family val="2"/>
      </rPr>
      <t>D</t>
    </r>
    <r>
      <rPr>
        <sz val="6"/>
        <color indexed="8"/>
        <rFont val="Arial"/>
        <family val="2"/>
      </rPr>
      <t>E</t>
    </r>
    <r>
      <rPr>
        <sz val="6"/>
        <color indexed="8"/>
        <rFont val="Arial"/>
        <family val="2"/>
      </rPr>
      <t>I</t>
    </r>
    <r>
      <rPr>
        <sz val="6"/>
        <color indexed="8"/>
        <rFont val="Arial"/>
        <family val="2"/>
      </rPr>
      <t>R</t>
    </r>
    <r>
      <rPr>
        <sz val="6"/>
        <color indexed="8"/>
        <rFont val="Arial"/>
        <family val="2"/>
      </rPr>
      <t>I</t>
    </r>
    <r>
      <rPr>
        <sz val="6"/>
        <color indexed="8"/>
        <rFont val="Arial"/>
        <family val="2"/>
      </rPr>
      <t>T</t>
    </r>
    <r>
      <rPr>
        <sz val="6"/>
        <color indexed="8"/>
        <rFont val="Arial"/>
        <family val="2"/>
      </rPr>
      <t xml:space="preserve">   </t>
    </r>
    <r>
      <rPr>
        <sz val="6"/>
        <color indexed="8"/>
        <rFont val="Arial"/>
        <family val="2"/>
      </rPr>
      <t xml:space="preserve"> </t>
    </r>
    <r>
      <rPr>
        <sz val="6"/>
        <color indexed="8"/>
        <rFont val="Arial"/>
        <family val="2"/>
      </rPr>
      <t>C</t>
    </r>
    <r>
      <rPr>
        <sz val="6"/>
        <color indexed="8"/>
        <rFont val="Arial"/>
        <family val="2"/>
      </rPr>
      <t>O</t>
    </r>
    <r>
      <rPr>
        <sz val="6"/>
        <color indexed="8"/>
        <rFont val="Arial"/>
        <family val="2"/>
      </rPr>
      <t>M</t>
    </r>
    <r>
      <rPr>
        <sz val="6"/>
        <color indexed="8"/>
        <rFont val="Arial"/>
        <family val="2"/>
      </rPr>
      <t>P</t>
    </r>
    <r>
      <rPr>
        <sz val="6"/>
        <color indexed="8"/>
        <rFont val="Arial"/>
        <family val="2"/>
      </rPr>
      <t>E</t>
    </r>
    <r>
      <rPr>
        <sz val="6"/>
        <color indexed="8"/>
        <rFont val="Arial"/>
        <family val="2"/>
      </rPr>
      <t>N</t>
    </r>
    <r>
      <rPr>
        <sz val="6"/>
        <color indexed="8"/>
        <rFont val="Arial"/>
        <family val="2"/>
      </rPr>
      <t>S</t>
    </r>
    <r>
      <rPr>
        <sz val="6"/>
        <color indexed="8"/>
        <rFont val="Arial"/>
        <family val="2"/>
      </rPr>
      <t>A</t>
    </r>
    <r>
      <rPr>
        <sz val="6"/>
        <color indexed="8"/>
        <rFont val="Arial"/>
        <family val="2"/>
      </rPr>
      <t>D</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ESP</t>
    </r>
    <r>
      <rPr>
        <sz val="6"/>
        <color indexed="8"/>
        <rFont val="Arial"/>
        <family val="2"/>
      </rPr>
      <t>E</t>
    </r>
    <r>
      <rPr>
        <sz val="6"/>
        <color indexed="8"/>
        <rFont val="Arial"/>
        <family val="2"/>
      </rPr>
      <t>SS</t>
    </r>
    <r>
      <rPr>
        <sz val="6"/>
        <color indexed="8"/>
        <rFont val="Arial"/>
        <family val="2"/>
      </rPr>
      <t>U</t>
    </r>
    <r>
      <rPr>
        <sz val="6"/>
        <color indexed="8"/>
        <rFont val="Arial"/>
        <family val="2"/>
      </rPr>
      <t>R</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 xml:space="preserve"> </t>
    </r>
    <r>
      <rPr>
        <sz val="6"/>
        <color indexed="8"/>
        <rFont val="Arial"/>
        <family val="2"/>
      </rPr>
      <t>6</t>
    </r>
    <r>
      <rPr>
        <sz val="6"/>
        <color indexed="8"/>
        <rFont val="Arial"/>
        <family val="2"/>
      </rPr>
      <t>M</t>
    </r>
    <r>
      <rPr>
        <sz val="6"/>
        <color indexed="8"/>
        <rFont val="Arial"/>
        <family val="2"/>
      </rPr>
      <t>M</t>
    </r>
    <r>
      <rPr>
        <sz val="6"/>
        <color indexed="8"/>
        <rFont val="Arial"/>
        <family val="2"/>
      </rPr>
      <t xml:space="preserve">  </t>
    </r>
    <r>
      <rPr>
        <sz val="6"/>
        <color indexed="8"/>
        <rFont val="Arial"/>
        <family val="2"/>
      </rPr>
      <t xml:space="preserve"> </t>
    </r>
    <r>
      <rPr>
        <sz val="6"/>
        <color indexed="8"/>
        <rFont val="Arial"/>
        <family val="2"/>
      </rPr>
      <t>E</t>
    </r>
    <r>
      <rPr>
        <sz val="6"/>
        <color indexed="8"/>
        <rFont val="Arial"/>
        <family val="2"/>
      </rPr>
      <t>S</t>
    </r>
    <r>
      <rPr>
        <sz val="6"/>
        <color indexed="8"/>
        <rFont val="Arial"/>
        <family val="2"/>
      </rPr>
      <t>C</t>
    </r>
    <r>
      <rPr>
        <sz val="6"/>
        <color indexed="8"/>
        <rFont val="Arial"/>
        <family val="2"/>
      </rPr>
      <t>O</t>
    </r>
    <r>
      <rPr>
        <sz val="6"/>
        <color indexed="8"/>
        <rFont val="Arial"/>
        <family val="2"/>
      </rPr>
      <t>R</t>
    </r>
    <r>
      <rPr>
        <sz val="6"/>
        <color indexed="8"/>
        <rFont val="Arial"/>
        <family val="2"/>
      </rPr>
      <t>A</t>
    </r>
    <r>
      <rPr>
        <sz val="6"/>
        <color indexed="8"/>
        <rFont val="Arial"/>
        <family val="2"/>
      </rPr>
      <t>M</t>
    </r>
    <r>
      <rPr>
        <sz val="6"/>
        <color indexed="8"/>
        <rFont val="Arial"/>
        <family val="2"/>
      </rPr>
      <t>E</t>
    </r>
    <r>
      <rPr>
        <sz val="6"/>
        <color indexed="8"/>
        <rFont val="Arial"/>
        <family val="2"/>
      </rPr>
      <t>N</t>
    </r>
    <r>
      <rPr>
        <sz val="6"/>
        <color indexed="8"/>
        <rFont val="Arial"/>
        <family val="2"/>
      </rPr>
      <t>T</t>
    </r>
    <r>
      <rPr>
        <sz val="6"/>
        <color indexed="8"/>
        <rFont val="Arial"/>
        <family val="2"/>
      </rPr>
      <t xml:space="preserve">O
</t>
    </r>
    <r>
      <rPr>
        <sz val="6"/>
        <color indexed="8"/>
        <rFont val="Arial"/>
        <family val="2"/>
      </rPr>
      <t>D</t>
    </r>
    <r>
      <rPr>
        <sz val="6"/>
        <color indexed="8"/>
        <rFont val="Arial"/>
        <family val="2"/>
      </rPr>
      <t>E</t>
    </r>
    <r>
      <rPr>
        <sz val="6"/>
        <color indexed="8"/>
        <rFont val="Arial"/>
        <family val="2"/>
      </rPr>
      <t>S</t>
    </r>
    <r>
      <rPr>
        <sz val="6"/>
        <color indexed="8"/>
        <rFont val="Arial"/>
        <family val="2"/>
      </rPr>
      <t>F</t>
    </r>
    <r>
      <rPr>
        <sz val="6"/>
        <color indexed="8"/>
        <rFont val="Arial"/>
        <family val="2"/>
      </rPr>
      <t>O</t>
    </r>
    <r>
      <rPr>
        <sz val="6"/>
        <color indexed="8"/>
        <rFont val="Arial"/>
        <family val="2"/>
      </rPr>
      <t>R</t>
    </r>
    <r>
      <rPr>
        <sz val="6"/>
        <color indexed="8"/>
        <rFont val="Arial"/>
        <family val="2"/>
      </rPr>
      <t>M</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R</t>
    </r>
    <r>
      <rPr>
        <sz val="6"/>
        <color indexed="8"/>
        <rFont val="Arial"/>
        <family val="2"/>
      </rPr>
      <t>E</t>
    </r>
    <r>
      <rPr>
        <sz val="6"/>
        <color indexed="8"/>
        <rFont val="Arial"/>
        <family val="2"/>
      </rPr>
      <t>AP</t>
    </r>
    <r>
      <rPr>
        <sz val="6"/>
        <color indexed="8"/>
        <rFont val="Arial"/>
        <family val="2"/>
      </rPr>
      <t>R</t>
    </r>
    <r>
      <rPr>
        <sz val="6"/>
        <color indexed="8"/>
        <rFont val="Arial"/>
        <family val="2"/>
      </rPr>
      <t>OVE</t>
    </r>
    <r>
      <rPr>
        <sz val="6"/>
        <color indexed="8"/>
        <rFont val="Arial"/>
        <family val="2"/>
      </rPr>
      <t>I</t>
    </r>
    <r>
      <rPr>
        <sz val="6"/>
        <color indexed="8"/>
        <rFont val="Arial"/>
        <family val="2"/>
      </rPr>
      <t>T</t>
    </r>
    <r>
      <rPr>
        <sz val="6"/>
        <color indexed="8"/>
        <rFont val="Arial"/>
        <family val="2"/>
      </rPr>
      <t>A</t>
    </r>
    <r>
      <rPr>
        <sz val="6"/>
        <color indexed="8"/>
        <rFont val="Arial"/>
        <family val="2"/>
      </rPr>
      <t>M</t>
    </r>
    <r>
      <rPr>
        <sz val="6"/>
        <color indexed="8"/>
        <rFont val="Arial"/>
        <family val="2"/>
      </rPr>
      <t>E</t>
    </r>
    <r>
      <rPr>
        <sz val="6"/>
        <color indexed="8"/>
        <rFont val="Arial"/>
        <family val="2"/>
      </rPr>
      <t>N</t>
    </r>
    <r>
      <rPr>
        <sz val="6"/>
        <color indexed="8"/>
        <rFont val="Arial"/>
        <family val="2"/>
      </rPr>
      <t>T</t>
    </r>
    <r>
      <rPr>
        <sz val="6"/>
        <color indexed="8"/>
        <rFont val="Arial"/>
        <family val="2"/>
      </rPr>
      <t>O</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2</t>
    </r>
    <r>
      <rPr>
        <sz val="6"/>
        <color indexed="8"/>
        <rFont val="Arial"/>
        <family val="2"/>
      </rPr>
      <t xml:space="preserve"> </t>
    </r>
    <r>
      <rPr>
        <sz val="6"/>
        <color indexed="8"/>
        <rFont val="Arial"/>
        <family val="2"/>
      </rPr>
      <t>VE</t>
    </r>
    <r>
      <rPr>
        <sz val="6"/>
        <color indexed="8"/>
        <rFont val="Arial"/>
        <family val="2"/>
      </rPr>
      <t>Z</t>
    </r>
    <r>
      <rPr>
        <sz val="6"/>
        <color indexed="8"/>
        <rFont val="Arial"/>
        <family val="2"/>
      </rPr>
      <t>ES</t>
    </r>
  </si>
  <si>
    <t>LASTRO DE CONCRETO  MAGRO ESP. = 10 CM</t>
  </si>
  <si>
    <t>LASTRO DE CONCRETO  MAGRO ESP. = 5 CM</t>
  </si>
  <si>
    <t>LASTRO DE CONCRETO  MAGRO ESP. = 8 CM</t>
  </si>
  <si>
    <r>
      <rPr>
        <sz val="6"/>
        <color indexed="8"/>
        <rFont val="Arial"/>
        <family val="2"/>
      </rPr>
      <t>C</t>
    </r>
    <r>
      <rPr>
        <sz val="6"/>
        <color indexed="8"/>
        <rFont val="Arial"/>
        <family val="2"/>
      </rPr>
      <t>O</t>
    </r>
    <r>
      <rPr>
        <sz val="6"/>
        <color indexed="8"/>
        <rFont val="Arial"/>
        <family val="2"/>
      </rPr>
      <t>N</t>
    </r>
    <r>
      <rPr>
        <sz val="6"/>
        <color indexed="8"/>
        <rFont val="Arial"/>
        <family val="2"/>
      </rPr>
      <t>C</t>
    </r>
    <r>
      <rPr>
        <sz val="6"/>
        <color indexed="8"/>
        <rFont val="Arial"/>
        <family val="2"/>
      </rPr>
      <t>R</t>
    </r>
    <r>
      <rPr>
        <sz val="6"/>
        <color indexed="8"/>
        <rFont val="Arial"/>
        <family val="2"/>
      </rPr>
      <t>E</t>
    </r>
    <r>
      <rPr>
        <sz val="6"/>
        <color indexed="8"/>
        <rFont val="Arial"/>
        <family val="2"/>
      </rPr>
      <t>T</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E</t>
    </r>
    <r>
      <rPr>
        <sz val="6"/>
        <color indexed="8"/>
        <rFont val="Arial"/>
        <family val="2"/>
      </rPr>
      <t>S</t>
    </r>
    <r>
      <rPr>
        <sz val="6"/>
        <color indexed="8"/>
        <rFont val="Arial"/>
        <family val="2"/>
      </rPr>
      <t>T</t>
    </r>
    <r>
      <rPr>
        <sz val="6"/>
        <color indexed="8"/>
        <rFont val="Arial"/>
        <family val="2"/>
      </rPr>
      <t>R</t>
    </r>
    <r>
      <rPr>
        <sz val="6"/>
        <color indexed="8"/>
        <rFont val="Arial"/>
        <family val="2"/>
      </rPr>
      <t>U</t>
    </r>
    <r>
      <rPr>
        <sz val="6"/>
        <color indexed="8"/>
        <rFont val="Arial"/>
        <family val="2"/>
      </rPr>
      <t>T</t>
    </r>
    <r>
      <rPr>
        <sz val="6"/>
        <color indexed="8"/>
        <rFont val="Arial"/>
        <family val="2"/>
      </rPr>
      <t>U</t>
    </r>
    <r>
      <rPr>
        <sz val="6"/>
        <color indexed="8"/>
        <rFont val="Arial"/>
        <family val="2"/>
      </rPr>
      <t>R</t>
    </r>
    <r>
      <rPr>
        <sz val="6"/>
        <color indexed="8"/>
        <rFont val="Arial"/>
        <family val="2"/>
      </rPr>
      <t>AL</t>
    </r>
    <r>
      <rPr>
        <sz val="6"/>
        <color indexed="8"/>
        <rFont val="Arial"/>
        <family val="2"/>
      </rPr>
      <t xml:space="preserve"> </t>
    </r>
    <r>
      <rPr>
        <sz val="6"/>
        <color indexed="8"/>
        <rFont val="Arial"/>
        <family val="2"/>
      </rPr>
      <t>U</t>
    </r>
    <r>
      <rPr>
        <sz val="6"/>
        <color indexed="8"/>
        <rFont val="Arial"/>
        <family val="2"/>
      </rPr>
      <t>S</t>
    </r>
    <r>
      <rPr>
        <sz val="6"/>
        <color indexed="8"/>
        <rFont val="Arial"/>
        <family val="2"/>
      </rPr>
      <t>I</t>
    </r>
    <r>
      <rPr>
        <sz val="6"/>
        <color indexed="8"/>
        <rFont val="Arial"/>
        <family val="2"/>
      </rPr>
      <t>N</t>
    </r>
    <r>
      <rPr>
        <sz val="6"/>
        <color indexed="8"/>
        <rFont val="Arial"/>
        <family val="2"/>
      </rPr>
      <t>A</t>
    </r>
    <r>
      <rPr>
        <sz val="6"/>
        <color indexed="8"/>
        <rFont val="Arial"/>
        <family val="2"/>
      </rPr>
      <t>D</t>
    </r>
    <r>
      <rPr>
        <sz val="6"/>
        <color indexed="8"/>
        <rFont val="Arial"/>
        <family val="2"/>
      </rPr>
      <t>O</t>
    </r>
    <r>
      <rPr>
        <sz val="6"/>
        <color indexed="8"/>
        <rFont val="Arial"/>
        <family val="2"/>
      </rPr>
      <t xml:space="preserve"> </t>
    </r>
    <r>
      <rPr>
        <sz val="6"/>
        <color indexed="8"/>
        <rFont val="Arial"/>
        <family val="2"/>
      </rPr>
      <t>BO</t>
    </r>
    <r>
      <rPr>
        <sz val="6"/>
        <color indexed="8"/>
        <rFont val="Arial"/>
        <family val="2"/>
      </rPr>
      <t>M</t>
    </r>
    <r>
      <rPr>
        <sz val="6"/>
        <color indexed="8"/>
        <rFont val="Arial"/>
        <family val="2"/>
      </rPr>
      <t>BE</t>
    </r>
    <r>
      <rPr>
        <sz val="6"/>
        <color indexed="8"/>
        <rFont val="Arial"/>
        <family val="2"/>
      </rPr>
      <t>A</t>
    </r>
    <r>
      <rPr>
        <sz val="6"/>
        <color indexed="8"/>
        <rFont val="Arial"/>
        <family val="2"/>
      </rPr>
      <t>D</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F</t>
    </r>
    <r>
      <rPr>
        <sz val="6"/>
        <color indexed="8"/>
        <rFont val="Arial"/>
        <family val="2"/>
      </rPr>
      <t>C</t>
    </r>
    <r>
      <rPr>
        <sz val="6"/>
        <color indexed="8"/>
        <rFont val="Arial"/>
        <family val="2"/>
      </rPr>
      <t>K</t>
    </r>
    <r>
      <rPr>
        <sz val="6"/>
        <color indexed="8"/>
        <rFont val="Arial"/>
        <family val="2"/>
      </rPr>
      <t>=35</t>
    </r>
    <r>
      <rPr>
        <sz val="6"/>
        <color indexed="8"/>
        <rFont val="Arial"/>
        <family val="2"/>
      </rPr>
      <t xml:space="preserve"> </t>
    </r>
    <r>
      <rPr>
        <sz val="6"/>
        <color indexed="8"/>
        <rFont val="Arial"/>
        <family val="2"/>
      </rPr>
      <t>M</t>
    </r>
    <r>
      <rPr>
        <sz val="6"/>
        <color indexed="8"/>
        <rFont val="Arial"/>
        <family val="2"/>
      </rPr>
      <t>PA,</t>
    </r>
    <r>
      <rPr>
        <sz val="6"/>
        <color indexed="8"/>
        <rFont val="Arial"/>
        <family val="2"/>
      </rPr>
      <t xml:space="preserve"> </t>
    </r>
    <r>
      <rPr>
        <sz val="6"/>
        <color indexed="8"/>
        <rFont val="Arial"/>
        <family val="2"/>
      </rPr>
      <t>C</t>
    </r>
    <r>
      <rPr>
        <sz val="6"/>
        <color indexed="8"/>
        <rFont val="Arial"/>
        <family val="2"/>
      </rPr>
      <t>OM</t>
    </r>
    <r>
      <rPr>
        <sz val="6"/>
        <color indexed="8"/>
        <rFont val="Arial"/>
        <family val="2"/>
      </rPr>
      <t xml:space="preserve"> </t>
    </r>
    <r>
      <rPr>
        <sz val="6"/>
        <color indexed="8"/>
        <rFont val="Arial"/>
        <family val="2"/>
      </rPr>
      <t>A</t>
    </r>
    <r>
      <rPr>
        <sz val="6"/>
        <color indexed="8"/>
        <rFont val="Arial"/>
        <family val="2"/>
      </rPr>
      <t>D</t>
    </r>
    <r>
      <rPr>
        <sz val="6"/>
        <color indexed="8"/>
        <rFont val="Arial"/>
        <family val="2"/>
      </rPr>
      <t>I</t>
    </r>
    <r>
      <rPr>
        <sz val="6"/>
        <color indexed="8"/>
        <rFont val="Arial"/>
        <family val="2"/>
      </rPr>
      <t>Ç</t>
    </r>
    <r>
      <rPr>
        <sz val="6"/>
        <color indexed="8"/>
        <rFont val="Arial"/>
        <family val="2"/>
      </rPr>
      <t>ÃO</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8</t>
    </r>
    <r>
      <rPr>
        <sz val="6"/>
        <color indexed="8"/>
        <rFont val="Arial"/>
        <family val="2"/>
      </rPr>
      <t xml:space="preserve"> </t>
    </r>
    <r>
      <rPr>
        <sz val="6"/>
        <color indexed="8"/>
        <rFont val="Arial"/>
        <family val="2"/>
      </rPr>
      <t>À</t>
    </r>
    <r>
      <rPr>
        <sz val="6"/>
        <color indexed="8"/>
        <rFont val="Arial"/>
        <family val="2"/>
      </rPr>
      <t xml:space="preserve"> </t>
    </r>
    <r>
      <rPr>
        <sz val="6"/>
        <color indexed="8"/>
        <rFont val="Arial"/>
        <family val="2"/>
      </rPr>
      <t>10%</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M</t>
    </r>
    <r>
      <rPr>
        <sz val="6"/>
        <color indexed="8"/>
        <rFont val="Arial"/>
        <family val="2"/>
      </rPr>
      <t>I</t>
    </r>
    <r>
      <rPr>
        <sz val="6"/>
        <color indexed="8"/>
        <rFont val="Arial"/>
        <family val="2"/>
      </rPr>
      <t>C</t>
    </r>
    <r>
      <rPr>
        <sz val="6"/>
        <color indexed="8"/>
        <rFont val="Arial"/>
        <family val="2"/>
      </rPr>
      <t>R</t>
    </r>
    <r>
      <rPr>
        <sz val="6"/>
        <color indexed="8"/>
        <rFont val="Arial"/>
        <family val="2"/>
      </rPr>
      <t>O</t>
    </r>
    <r>
      <rPr>
        <sz val="6"/>
        <color indexed="8"/>
        <rFont val="Arial"/>
        <family val="2"/>
      </rPr>
      <t>S</t>
    </r>
    <r>
      <rPr>
        <sz val="6"/>
        <color indexed="8"/>
        <rFont val="Arial"/>
        <family val="2"/>
      </rPr>
      <t>S</t>
    </r>
    <r>
      <rPr>
        <sz val="6"/>
        <color indexed="8"/>
        <rFont val="Arial"/>
        <family val="2"/>
      </rPr>
      <t>Í</t>
    </r>
    <r>
      <rPr>
        <sz val="6"/>
        <color indexed="8"/>
        <rFont val="Arial"/>
        <family val="2"/>
      </rPr>
      <t>L</t>
    </r>
    <r>
      <rPr>
        <sz val="6"/>
        <color indexed="8"/>
        <rFont val="Arial"/>
        <family val="2"/>
      </rPr>
      <t>I</t>
    </r>
    <r>
      <rPr>
        <sz val="6"/>
        <color indexed="8"/>
        <rFont val="Arial"/>
        <family val="2"/>
      </rPr>
      <t>C</t>
    </r>
    <r>
      <rPr>
        <sz val="6"/>
        <color indexed="8"/>
        <rFont val="Arial"/>
        <family val="2"/>
      </rPr>
      <t xml:space="preserve">A
</t>
    </r>
    <r>
      <rPr>
        <sz val="6"/>
        <color indexed="8"/>
        <rFont val="Arial"/>
        <family val="2"/>
      </rPr>
      <t>(</t>
    </r>
    <r>
      <rPr>
        <sz val="6"/>
        <color indexed="8"/>
        <rFont val="Arial"/>
        <family val="2"/>
      </rPr>
      <t>I</t>
    </r>
    <r>
      <rPr>
        <sz val="6"/>
        <color indexed="8"/>
        <rFont val="Arial"/>
        <family val="2"/>
      </rPr>
      <t>N</t>
    </r>
    <r>
      <rPr>
        <sz val="6"/>
        <color indexed="8"/>
        <rFont val="Arial"/>
        <family val="2"/>
      </rPr>
      <t>C</t>
    </r>
    <r>
      <rPr>
        <sz val="6"/>
        <color indexed="8"/>
        <rFont val="Arial"/>
        <family val="2"/>
      </rPr>
      <t>L</t>
    </r>
    <r>
      <rPr>
        <sz val="6"/>
        <color indexed="8"/>
        <rFont val="Arial"/>
        <family val="2"/>
      </rPr>
      <t>U</t>
    </r>
    <r>
      <rPr>
        <sz val="6"/>
        <color indexed="8"/>
        <rFont val="Arial"/>
        <family val="2"/>
      </rPr>
      <t>I</t>
    </r>
    <r>
      <rPr>
        <sz val="6"/>
        <color indexed="8"/>
        <rFont val="Arial"/>
        <family val="2"/>
      </rPr>
      <t>N</t>
    </r>
    <r>
      <rPr>
        <sz val="6"/>
        <color indexed="8"/>
        <rFont val="Arial"/>
        <family val="2"/>
      </rPr>
      <t>D</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L</t>
    </r>
    <r>
      <rPr>
        <sz val="6"/>
        <color indexed="8"/>
        <rFont val="Arial"/>
        <family val="2"/>
      </rPr>
      <t>A</t>
    </r>
    <r>
      <rPr>
        <sz val="6"/>
        <color indexed="8"/>
        <rFont val="Arial"/>
        <family val="2"/>
      </rPr>
      <t>N</t>
    </r>
    <r>
      <rPr>
        <sz val="6"/>
        <color indexed="8"/>
        <rFont val="Arial"/>
        <family val="2"/>
      </rPr>
      <t>Ç</t>
    </r>
    <r>
      <rPr>
        <sz val="6"/>
        <color indexed="8"/>
        <rFont val="Arial"/>
        <family val="2"/>
      </rPr>
      <t>A</t>
    </r>
    <r>
      <rPr>
        <sz val="6"/>
        <color indexed="8"/>
        <rFont val="Arial"/>
        <family val="2"/>
      </rPr>
      <t>M</t>
    </r>
    <r>
      <rPr>
        <sz val="6"/>
        <color indexed="8"/>
        <rFont val="Arial"/>
        <family val="2"/>
      </rPr>
      <t>E</t>
    </r>
    <r>
      <rPr>
        <sz val="6"/>
        <color indexed="8"/>
        <rFont val="Arial"/>
        <family val="2"/>
      </rPr>
      <t>N</t>
    </r>
    <r>
      <rPr>
        <sz val="6"/>
        <color indexed="8"/>
        <rFont val="Arial"/>
        <family val="2"/>
      </rPr>
      <t>T</t>
    </r>
    <r>
      <rPr>
        <sz val="6"/>
        <color indexed="8"/>
        <rFont val="Arial"/>
        <family val="2"/>
      </rPr>
      <t>O</t>
    </r>
    <r>
      <rPr>
        <sz val="6"/>
        <color indexed="8"/>
        <rFont val="Arial"/>
        <family val="2"/>
      </rPr>
      <t>,</t>
    </r>
    <r>
      <rPr>
        <sz val="6"/>
        <color indexed="8"/>
        <rFont val="Arial"/>
        <family val="2"/>
      </rPr>
      <t xml:space="preserve"> </t>
    </r>
    <r>
      <rPr>
        <sz val="6"/>
        <color indexed="8"/>
        <rFont val="Arial"/>
        <family val="2"/>
      </rPr>
      <t>APL</t>
    </r>
    <r>
      <rPr>
        <sz val="6"/>
        <color indexed="8"/>
        <rFont val="Arial"/>
        <family val="2"/>
      </rPr>
      <t>I</t>
    </r>
    <r>
      <rPr>
        <sz val="6"/>
        <color indexed="8"/>
        <rFont val="Arial"/>
        <family val="2"/>
      </rPr>
      <t>C</t>
    </r>
    <r>
      <rPr>
        <sz val="6"/>
        <color indexed="8"/>
        <rFont val="Arial"/>
        <family val="2"/>
      </rPr>
      <t>A</t>
    </r>
    <r>
      <rPr>
        <sz val="6"/>
        <color indexed="8"/>
        <rFont val="Arial"/>
        <family val="2"/>
      </rPr>
      <t>Ç</t>
    </r>
    <r>
      <rPr>
        <sz val="6"/>
        <color indexed="8"/>
        <rFont val="Arial"/>
        <family val="2"/>
      </rPr>
      <t>ÃO</t>
    </r>
    <r>
      <rPr>
        <sz val="6"/>
        <color indexed="8"/>
        <rFont val="Arial"/>
        <family val="2"/>
      </rPr>
      <t xml:space="preserve"> </t>
    </r>
    <r>
      <rPr>
        <sz val="6"/>
        <color indexed="8"/>
        <rFont val="Arial"/>
        <family val="2"/>
      </rPr>
      <t xml:space="preserve"> </t>
    </r>
    <r>
      <rPr>
        <sz val="6"/>
        <color indexed="8"/>
        <rFont val="Arial"/>
        <family val="2"/>
      </rPr>
      <t>E</t>
    </r>
    <r>
      <rPr>
        <sz val="6"/>
        <color indexed="8"/>
        <rFont val="Arial"/>
        <family val="2"/>
      </rPr>
      <t xml:space="preserve"> </t>
    </r>
    <r>
      <rPr>
        <sz val="6"/>
        <color indexed="8"/>
        <rFont val="Arial"/>
        <family val="2"/>
      </rPr>
      <t>A</t>
    </r>
    <r>
      <rPr>
        <sz val="6"/>
        <color indexed="8"/>
        <rFont val="Arial"/>
        <family val="2"/>
      </rPr>
      <t>D</t>
    </r>
    <r>
      <rPr>
        <sz val="6"/>
        <color indexed="8"/>
        <rFont val="Arial"/>
        <family val="2"/>
      </rPr>
      <t>E</t>
    </r>
    <r>
      <rPr>
        <sz val="6"/>
        <color indexed="8"/>
        <rFont val="Arial"/>
        <family val="2"/>
      </rPr>
      <t>N</t>
    </r>
    <r>
      <rPr>
        <sz val="6"/>
        <color indexed="8"/>
        <rFont val="Arial"/>
        <family val="2"/>
      </rPr>
      <t>S</t>
    </r>
    <r>
      <rPr>
        <sz val="6"/>
        <color indexed="8"/>
        <rFont val="Arial"/>
        <family val="2"/>
      </rPr>
      <t>A</t>
    </r>
    <r>
      <rPr>
        <sz val="6"/>
        <color indexed="8"/>
        <rFont val="Arial"/>
        <family val="2"/>
      </rPr>
      <t>M</t>
    </r>
    <r>
      <rPr>
        <sz val="6"/>
        <color indexed="8"/>
        <rFont val="Arial"/>
        <family val="2"/>
      </rPr>
      <t>E</t>
    </r>
    <r>
      <rPr>
        <sz val="6"/>
        <color indexed="8"/>
        <rFont val="Arial"/>
        <family val="2"/>
      </rPr>
      <t>N</t>
    </r>
    <r>
      <rPr>
        <sz val="6"/>
        <color indexed="8"/>
        <rFont val="Arial"/>
        <family val="2"/>
      </rPr>
      <t>T</t>
    </r>
    <r>
      <rPr>
        <sz val="6"/>
        <color indexed="8"/>
        <rFont val="Arial"/>
        <family val="2"/>
      </rPr>
      <t>O)</t>
    </r>
  </si>
  <si>
    <r>
      <rPr>
        <sz val="6"/>
        <color indexed="8"/>
        <rFont val="Arial"/>
        <family val="2"/>
      </rPr>
      <t>F</t>
    </r>
    <r>
      <rPr>
        <sz val="6"/>
        <color indexed="8"/>
        <rFont val="Arial"/>
        <family val="2"/>
      </rPr>
      <t>O</t>
    </r>
    <r>
      <rPr>
        <sz val="6"/>
        <color indexed="8"/>
        <rFont val="Arial"/>
        <family val="2"/>
      </rPr>
      <t>R</t>
    </r>
    <r>
      <rPr>
        <sz val="6"/>
        <color indexed="8"/>
        <rFont val="Arial"/>
        <family val="2"/>
      </rPr>
      <t>M</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C</t>
    </r>
    <r>
      <rPr>
        <sz val="6"/>
        <color indexed="8"/>
        <rFont val="Arial"/>
        <family val="2"/>
      </rPr>
      <t>OM</t>
    </r>
    <r>
      <rPr>
        <sz val="6"/>
        <color indexed="8"/>
        <rFont val="Arial"/>
        <family val="2"/>
      </rPr>
      <t xml:space="preserve"> </t>
    </r>
    <r>
      <rPr>
        <sz val="6"/>
        <color indexed="8"/>
        <rFont val="Arial"/>
        <family val="2"/>
      </rPr>
      <t xml:space="preserve"> </t>
    </r>
    <r>
      <rPr>
        <sz val="6"/>
        <color indexed="8"/>
        <rFont val="Arial"/>
        <family val="2"/>
      </rPr>
      <t>C</t>
    </r>
    <r>
      <rPr>
        <sz val="6"/>
        <color indexed="8"/>
        <rFont val="Arial"/>
        <family val="2"/>
      </rPr>
      <t>H</t>
    </r>
    <r>
      <rPr>
        <sz val="6"/>
        <color indexed="8"/>
        <rFont val="Arial"/>
        <family val="2"/>
      </rPr>
      <t>A</t>
    </r>
    <r>
      <rPr>
        <sz val="6"/>
        <color indexed="8"/>
        <rFont val="Arial"/>
        <family val="2"/>
      </rPr>
      <t>P</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C</t>
    </r>
    <r>
      <rPr>
        <sz val="6"/>
        <color indexed="8"/>
        <rFont val="Arial"/>
        <family val="2"/>
      </rPr>
      <t>O</t>
    </r>
    <r>
      <rPr>
        <sz val="6"/>
        <color indexed="8"/>
        <rFont val="Arial"/>
        <family val="2"/>
      </rPr>
      <t>M</t>
    </r>
    <r>
      <rPr>
        <sz val="6"/>
        <color indexed="8"/>
        <rFont val="Arial"/>
        <family val="2"/>
      </rPr>
      <t>P</t>
    </r>
    <r>
      <rPr>
        <sz val="6"/>
        <color indexed="8"/>
        <rFont val="Arial"/>
        <family val="2"/>
      </rPr>
      <t>E</t>
    </r>
    <r>
      <rPr>
        <sz val="6"/>
        <color indexed="8"/>
        <rFont val="Arial"/>
        <family val="2"/>
      </rPr>
      <t>N</t>
    </r>
    <r>
      <rPr>
        <sz val="6"/>
        <color indexed="8"/>
        <rFont val="Arial"/>
        <family val="2"/>
      </rPr>
      <t>SA</t>
    </r>
    <r>
      <rPr>
        <sz val="6"/>
        <color indexed="8"/>
        <rFont val="Arial"/>
        <family val="2"/>
      </rPr>
      <t>D</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R</t>
    </r>
    <r>
      <rPr>
        <sz val="6"/>
        <color indexed="8"/>
        <rFont val="Arial"/>
        <family val="2"/>
      </rPr>
      <t>ES</t>
    </r>
    <r>
      <rPr>
        <sz val="6"/>
        <color indexed="8"/>
        <rFont val="Arial"/>
        <family val="2"/>
      </rPr>
      <t>I</t>
    </r>
    <r>
      <rPr>
        <sz val="6"/>
        <color indexed="8"/>
        <rFont val="Arial"/>
        <family val="2"/>
      </rPr>
      <t>N</t>
    </r>
    <r>
      <rPr>
        <sz val="6"/>
        <color indexed="8"/>
        <rFont val="Arial"/>
        <family val="2"/>
      </rPr>
      <t>A</t>
    </r>
    <r>
      <rPr>
        <sz val="6"/>
        <color indexed="8"/>
        <rFont val="Arial"/>
        <family val="2"/>
      </rPr>
      <t>D</t>
    </r>
    <r>
      <rPr>
        <sz val="6"/>
        <color indexed="8"/>
        <rFont val="Arial"/>
        <family val="2"/>
      </rPr>
      <t>A</t>
    </r>
    <r>
      <rPr>
        <sz val="6"/>
        <color indexed="8"/>
        <rFont val="Arial"/>
        <family val="2"/>
      </rPr>
      <t>,</t>
    </r>
    <r>
      <rPr>
        <sz val="6"/>
        <color indexed="8"/>
        <rFont val="Arial"/>
        <family val="2"/>
      </rPr>
      <t xml:space="preserve">  </t>
    </r>
    <r>
      <rPr>
        <sz val="6"/>
        <color indexed="8"/>
        <rFont val="Arial"/>
        <family val="2"/>
      </rPr>
      <t xml:space="preserve"> </t>
    </r>
    <r>
      <rPr>
        <sz val="6"/>
        <color indexed="8"/>
        <rFont val="Arial"/>
        <family val="2"/>
      </rPr>
      <t>E</t>
    </r>
    <r>
      <rPr>
        <sz val="6"/>
        <color indexed="8"/>
        <rFont val="Arial"/>
        <family val="2"/>
      </rPr>
      <t xml:space="preserve"> </t>
    </r>
    <r>
      <rPr>
        <sz val="6"/>
        <color indexed="8"/>
        <rFont val="Arial"/>
        <family val="2"/>
      </rPr>
      <t xml:space="preserve"> </t>
    </r>
    <r>
      <rPr>
        <sz val="6"/>
        <color indexed="8"/>
        <rFont val="Arial"/>
        <family val="2"/>
      </rPr>
      <t>=</t>
    </r>
    <r>
      <rPr>
        <sz val="6"/>
        <color indexed="8"/>
        <rFont val="Arial"/>
        <family val="2"/>
      </rPr>
      <t xml:space="preserve"> </t>
    </r>
    <r>
      <rPr>
        <sz val="6"/>
        <color indexed="8"/>
        <rFont val="Arial"/>
        <family val="2"/>
      </rPr>
      <t xml:space="preserve"> </t>
    </r>
    <r>
      <rPr>
        <sz val="6"/>
        <color indexed="8"/>
        <rFont val="Arial"/>
        <family val="2"/>
      </rPr>
      <t>12</t>
    </r>
    <r>
      <rPr>
        <sz val="6"/>
        <color indexed="8"/>
        <rFont val="Arial"/>
        <family val="2"/>
      </rPr>
      <t xml:space="preserve"> </t>
    </r>
    <r>
      <rPr>
        <sz val="6"/>
        <color indexed="8"/>
        <rFont val="Arial"/>
        <family val="2"/>
      </rPr>
      <t xml:space="preserve"> </t>
    </r>
    <r>
      <rPr>
        <sz val="6"/>
        <color indexed="8"/>
        <rFont val="Arial"/>
        <family val="2"/>
      </rPr>
      <t>M</t>
    </r>
    <r>
      <rPr>
        <sz val="6"/>
        <color indexed="8"/>
        <rFont val="Arial"/>
        <family val="2"/>
      </rPr>
      <t>M</t>
    </r>
    <r>
      <rPr>
        <sz val="6"/>
        <color indexed="8"/>
        <rFont val="Arial"/>
        <family val="2"/>
      </rPr>
      <t>,</t>
    </r>
    <r>
      <rPr>
        <sz val="6"/>
        <color indexed="8"/>
        <rFont val="Arial"/>
        <family val="2"/>
      </rPr>
      <t xml:space="preserve"> </t>
    </r>
    <r>
      <rPr>
        <sz val="6"/>
        <color indexed="8"/>
        <rFont val="Arial"/>
        <family val="2"/>
      </rPr>
      <t xml:space="preserve"> </t>
    </r>
    <r>
      <rPr>
        <sz val="6"/>
        <color indexed="8"/>
        <rFont val="Arial"/>
        <family val="2"/>
      </rPr>
      <t>P</t>
    </r>
    <r>
      <rPr>
        <sz val="6"/>
        <color indexed="8"/>
        <rFont val="Arial"/>
        <family val="2"/>
      </rPr>
      <t>A</t>
    </r>
    <r>
      <rPr>
        <sz val="6"/>
        <color indexed="8"/>
        <rFont val="Arial"/>
        <family val="2"/>
      </rPr>
      <t>R</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P</t>
    </r>
    <r>
      <rPr>
        <sz val="6"/>
        <color indexed="8"/>
        <rFont val="Arial"/>
        <family val="2"/>
      </rPr>
      <t>I</t>
    </r>
    <r>
      <rPr>
        <sz val="6"/>
        <color indexed="8"/>
        <rFont val="Arial"/>
        <family val="2"/>
      </rPr>
      <t>L</t>
    </r>
    <r>
      <rPr>
        <sz val="6"/>
        <color indexed="8"/>
        <rFont val="Arial"/>
        <family val="2"/>
      </rPr>
      <t>A</t>
    </r>
    <r>
      <rPr>
        <sz val="6"/>
        <color indexed="8"/>
        <rFont val="Arial"/>
        <family val="2"/>
      </rPr>
      <t>R</t>
    </r>
    <r>
      <rPr>
        <sz val="6"/>
        <color indexed="8"/>
        <rFont val="Arial"/>
        <family val="2"/>
      </rPr>
      <t>ES</t>
    </r>
    <r>
      <rPr>
        <sz val="6"/>
        <color indexed="8"/>
        <rFont val="Arial"/>
        <family val="2"/>
      </rPr>
      <t>/</t>
    </r>
    <r>
      <rPr>
        <sz val="6"/>
        <color indexed="8"/>
        <rFont val="Arial"/>
        <family val="2"/>
      </rPr>
      <t>V</t>
    </r>
    <r>
      <rPr>
        <sz val="6"/>
        <color indexed="8"/>
        <rFont val="Arial"/>
        <family val="2"/>
      </rPr>
      <t>I</t>
    </r>
    <r>
      <rPr>
        <sz val="6"/>
        <color indexed="8"/>
        <rFont val="Arial"/>
        <family val="2"/>
      </rPr>
      <t>GAS</t>
    </r>
    <r>
      <rPr>
        <sz val="6"/>
        <color indexed="8"/>
        <rFont val="Arial"/>
        <family val="2"/>
      </rPr>
      <t>/</t>
    </r>
    <r>
      <rPr>
        <sz val="6"/>
        <color indexed="8"/>
        <rFont val="Arial"/>
        <family val="2"/>
      </rPr>
      <t>L</t>
    </r>
    <r>
      <rPr>
        <sz val="6"/>
        <color indexed="8"/>
        <rFont val="Arial"/>
        <family val="2"/>
      </rPr>
      <t>A</t>
    </r>
    <r>
      <rPr>
        <sz val="6"/>
        <color indexed="8"/>
        <rFont val="Arial"/>
        <family val="2"/>
      </rPr>
      <t>G</t>
    </r>
    <r>
      <rPr>
        <sz val="6"/>
        <color indexed="8"/>
        <rFont val="Arial"/>
        <family val="2"/>
      </rPr>
      <t>E</t>
    </r>
    <r>
      <rPr>
        <sz val="6"/>
        <color indexed="8"/>
        <rFont val="Arial"/>
        <family val="2"/>
      </rPr>
      <t>S,</t>
    </r>
    <r>
      <rPr>
        <sz val="6"/>
        <color indexed="8"/>
        <rFont val="Arial"/>
        <family val="2"/>
      </rPr>
      <t xml:space="preserve"> </t>
    </r>
    <r>
      <rPr>
        <sz val="6"/>
        <color indexed="8"/>
        <rFont val="Arial"/>
        <family val="2"/>
      </rPr>
      <t xml:space="preserve"> </t>
    </r>
    <r>
      <rPr>
        <sz val="6"/>
        <color indexed="8"/>
        <rFont val="Arial"/>
        <family val="2"/>
      </rPr>
      <t>I</t>
    </r>
    <r>
      <rPr>
        <sz val="6"/>
        <color indexed="8"/>
        <rFont val="Arial"/>
        <family val="2"/>
      </rPr>
      <t>N</t>
    </r>
    <r>
      <rPr>
        <sz val="6"/>
        <color indexed="8"/>
        <rFont val="Arial"/>
        <family val="2"/>
      </rPr>
      <t>C</t>
    </r>
    <r>
      <rPr>
        <sz val="6"/>
        <color indexed="8"/>
        <rFont val="Arial"/>
        <family val="2"/>
      </rPr>
      <t>L</t>
    </r>
    <r>
      <rPr>
        <sz val="6"/>
        <color indexed="8"/>
        <rFont val="Arial"/>
        <family val="2"/>
      </rPr>
      <t>U</t>
    </r>
    <r>
      <rPr>
        <sz val="6"/>
        <color indexed="8"/>
        <rFont val="Arial"/>
        <family val="2"/>
      </rPr>
      <t>S</t>
    </r>
    <r>
      <rPr>
        <sz val="6"/>
        <color indexed="8"/>
        <rFont val="Arial"/>
        <family val="2"/>
      </rPr>
      <t>O</t>
    </r>
    <r>
      <rPr>
        <sz val="6"/>
        <color indexed="8"/>
        <rFont val="Arial"/>
        <family val="2"/>
      </rPr>
      <t xml:space="preserve"> </t>
    </r>
    <r>
      <rPr>
        <sz val="6"/>
        <color indexed="8"/>
        <rFont val="Arial"/>
        <family val="2"/>
      </rPr>
      <t>C</t>
    </r>
    <r>
      <rPr>
        <sz val="6"/>
        <color indexed="8"/>
        <rFont val="Arial"/>
        <family val="2"/>
      </rPr>
      <t>O</t>
    </r>
    <r>
      <rPr>
        <sz val="6"/>
        <color indexed="8"/>
        <rFont val="Arial"/>
        <family val="2"/>
      </rPr>
      <t>N</t>
    </r>
    <r>
      <rPr>
        <sz val="6"/>
        <color indexed="8"/>
        <rFont val="Arial"/>
        <family val="2"/>
      </rPr>
      <t>T</t>
    </r>
    <r>
      <rPr>
        <sz val="6"/>
        <color indexed="8"/>
        <rFont val="Arial"/>
        <family val="2"/>
      </rPr>
      <t>R</t>
    </r>
    <r>
      <rPr>
        <sz val="6"/>
        <color indexed="8"/>
        <rFont val="Arial"/>
        <family val="2"/>
      </rPr>
      <t>A</t>
    </r>
    <r>
      <rPr>
        <sz val="6"/>
        <color indexed="8"/>
        <rFont val="Arial"/>
        <family val="2"/>
      </rPr>
      <t>V</t>
    </r>
    <r>
      <rPr>
        <sz val="6"/>
        <color indexed="8"/>
        <rFont val="Arial"/>
        <family val="2"/>
      </rPr>
      <t>E</t>
    </r>
    <r>
      <rPr>
        <sz val="6"/>
        <color indexed="8"/>
        <rFont val="Arial"/>
        <family val="2"/>
      </rPr>
      <t>N</t>
    </r>
    <r>
      <rPr>
        <sz val="6"/>
        <color indexed="8"/>
        <rFont val="Arial"/>
        <family val="2"/>
      </rPr>
      <t>T</t>
    </r>
    <r>
      <rPr>
        <sz val="6"/>
        <color indexed="8"/>
        <rFont val="Arial"/>
        <family val="2"/>
      </rPr>
      <t>A</t>
    </r>
    <r>
      <rPr>
        <sz val="6"/>
        <color indexed="8"/>
        <rFont val="Arial"/>
        <family val="2"/>
      </rPr>
      <t>M</t>
    </r>
    <r>
      <rPr>
        <sz val="6"/>
        <color indexed="8"/>
        <rFont val="Arial"/>
        <family val="2"/>
      </rPr>
      <t>E</t>
    </r>
    <r>
      <rPr>
        <sz val="6"/>
        <color indexed="8"/>
        <rFont val="Arial"/>
        <family val="2"/>
      </rPr>
      <t>N</t>
    </r>
    <r>
      <rPr>
        <sz val="6"/>
        <color indexed="8"/>
        <rFont val="Arial"/>
        <family val="2"/>
      </rPr>
      <t>T</t>
    </r>
    <r>
      <rPr>
        <sz val="6"/>
        <color indexed="8"/>
        <rFont val="Arial"/>
        <family val="2"/>
      </rPr>
      <t>OS</t>
    </r>
    <r>
      <rPr>
        <sz val="6"/>
        <color indexed="8"/>
        <rFont val="Arial"/>
        <family val="2"/>
      </rPr>
      <t>/</t>
    </r>
    <r>
      <rPr>
        <sz val="6"/>
        <color indexed="8"/>
        <rFont val="Arial"/>
        <family val="2"/>
      </rPr>
      <t>E</t>
    </r>
    <r>
      <rPr>
        <sz val="6"/>
        <color indexed="8"/>
        <rFont val="Arial"/>
        <family val="2"/>
      </rPr>
      <t>S</t>
    </r>
    <r>
      <rPr>
        <sz val="6"/>
        <color indexed="8"/>
        <rFont val="Arial"/>
        <family val="2"/>
      </rPr>
      <t>C</t>
    </r>
    <r>
      <rPr>
        <sz val="6"/>
        <color indexed="8"/>
        <rFont val="Arial"/>
        <family val="2"/>
      </rPr>
      <t>O</t>
    </r>
    <r>
      <rPr>
        <sz val="6"/>
        <color indexed="8"/>
        <rFont val="Arial"/>
        <family val="2"/>
      </rPr>
      <t>R</t>
    </r>
    <r>
      <rPr>
        <sz val="6"/>
        <color indexed="8"/>
        <rFont val="Arial"/>
        <family val="2"/>
      </rPr>
      <t>A</t>
    </r>
    <r>
      <rPr>
        <sz val="6"/>
        <color indexed="8"/>
        <rFont val="Arial"/>
        <family val="2"/>
      </rPr>
      <t>M</t>
    </r>
    <r>
      <rPr>
        <sz val="6"/>
        <color indexed="8"/>
        <rFont val="Arial"/>
        <family val="2"/>
      </rPr>
      <t>E</t>
    </r>
    <r>
      <rPr>
        <sz val="6"/>
        <color indexed="8"/>
        <rFont val="Arial"/>
        <family val="2"/>
      </rPr>
      <t>N</t>
    </r>
    <r>
      <rPr>
        <sz val="6"/>
        <color indexed="8"/>
        <rFont val="Arial"/>
        <family val="2"/>
      </rPr>
      <t>T</t>
    </r>
    <r>
      <rPr>
        <sz val="6"/>
        <color indexed="8"/>
        <rFont val="Arial"/>
        <family val="2"/>
      </rPr>
      <t>O</t>
    </r>
    <r>
      <rPr>
        <sz val="6"/>
        <color indexed="8"/>
        <rFont val="Arial"/>
        <family val="2"/>
      </rPr>
      <t>S</t>
    </r>
    <r>
      <rPr>
        <sz val="6"/>
        <color indexed="8"/>
        <rFont val="Arial"/>
        <family val="2"/>
      </rPr>
      <t xml:space="preserve"> </t>
    </r>
    <r>
      <rPr>
        <sz val="6"/>
        <color indexed="8"/>
        <rFont val="Arial"/>
        <family val="2"/>
      </rPr>
      <t>C</t>
    </r>
    <r>
      <rPr>
        <sz val="6"/>
        <color indexed="8"/>
        <rFont val="Arial"/>
        <family val="2"/>
      </rPr>
      <t>OM</t>
    </r>
    <r>
      <rPr>
        <sz val="6"/>
        <color indexed="8"/>
        <rFont val="Arial"/>
        <family val="2"/>
      </rPr>
      <t xml:space="preserve"> </t>
    </r>
    <r>
      <rPr>
        <sz val="6"/>
        <color indexed="8"/>
        <rFont val="Arial"/>
        <family val="2"/>
      </rPr>
      <t>PO</t>
    </r>
    <r>
      <rPr>
        <sz val="6"/>
        <color indexed="8"/>
        <rFont val="Arial"/>
        <family val="2"/>
      </rPr>
      <t>N</t>
    </r>
    <r>
      <rPr>
        <sz val="6"/>
        <color indexed="8"/>
        <rFont val="Arial"/>
        <family val="2"/>
      </rPr>
      <t>T</t>
    </r>
    <r>
      <rPr>
        <sz val="6"/>
        <color indexed="8"/>
        <rFont val="Arial"/>
        <family val="2"/>
      </rPr>
      <t>ALE</t>
    </r>
    <r>
      <rPr>
        <sz val="6"/>
        <color indexed="8"/>
        <rFont val="Arial"/>
        <family val="2"/>
      </rPr>
      <t>T</t>
    </r>
    <r>
      <rPr>
        <sz val="6"/>
        <color indexed="8"/>
        <rFont val="Arial"/>
        <family val="2"/>
      </rPr>
      <t>ES</t>
    </r>
    <r>
      <rPr>
        <sz val="6"/>
        <color indexed="8"/>
        <rFont val="Arial"/>
        <family val="2"/>
      </rPr>
      <t xml:space="preserve"> </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7</t>
    </r>
    <r>
      <rPr>
        <sz val="6"/>
        <color indexed="8"/>
        <rFont val="Arial"/>
        <family val="2"/>
      </rPr>
      <t>,</t>
    </r>
    <r>
      <rPr>
        <sz val="6"/>
        <color indexed="8"/>
        <rFont val="Arial"/>
        <family val="2"/>
      </rPr>
      <t>5</t>
    </r>
    <r>
      <rPr>
        <sz val="6"/>
        <color indexed="8"/>
        <rFont val="Arial"/>
        <family val="2"/>
      </rPr>
      <t xml:space="preserve"> </t>
    </r>
    <r>
      <rPr>
        <sz val="6"/>
        <color indexed="8"/>
        <rFont val="Arial"/>
        <family val="2"/>
      </rPr>
      <t>X</t>
    </r>
    <r>
      <rPr>
        <sz val="6"/>
        <color indexed="8"/>
        <rFont val="Arial"/>
        <family val="2"/>
      </rPr>
      <t xml:space="preserve"> </t>
    </r>
    <r>
      <rPr>
        <sz val="6"/>
        <color indexed="8"/>
        <rFont val="Arial"/>
        <family val="2"/>
      </rPr>
      <t>7</t>
    </r>
    <r>
      <rPr>
        <sz val="6"/>
        <color indexed="8"/>
        <rFont val="Arial"/>
        <family val="2"/>
      </rPr>
      <t>,</t>
    </r>
    <r>
      <rPr>
        <sz val="6"/>
        <color indexed="8"/>
        <rFont val="Arial"/>
        <family val="2"/>
      </rPr>
      <t>5</t>
    </r>
    <r>
      <rPr>
        <sz val="6"/>
        <color indexed="8"/>
        <rFont val="Arial"/>
        <family val="2"/>
      </rPr>
      <t xml:space="preserve"> </t>
    </r>
    <r>
      <rPr>
        <sz val="6"/>
        <color indexed="8"/>
        <rFont val="Arial"/>
        <family val="2"/>
      </rPr>
      <t>C</t>
    </r>
    <r>
      <rPr>
        <sz val="6"/>
        <color indexed="8"/>
        <rFont val="Arial"/>
        <family val="2"/>
      </rPr>
      <t>M</t>
    </r>
    <r>
      <rPr>
        <sz val="6"/>
        <color indexed="8"/>
        <rFont val="Arial"/>
        <family val="2"/>
      </rPr>
      <t xml:space="preserve"> </t>
    </r>
    <r>
      <rPr>
        <sz val="6"/>
        <color indexed="8"/>
        <rFont val="Arial"/>
        <family val="2"/>
      </rPr>
      <t>-</t>
    </r>
    <r>
      <rPr>
        <sz val="6"/>
        <color indexed="8"/>
        <rFont val="Arial"/>
        <family val="2"/>
      </rPr>
      <t xml:space="preserve"> </t>
    </r>
    <r>
      <rPr>
        <sz val="6"/>
        <color indexed="8"/>
        <rFont val="Arial"/>
        <family val="2"/>
      </rPr>
      <t>(</t>
    </r>
    <r>
      <rPr>
        <sz val="6"/>
        <color indexed="8"/>
        <rFont val="Arial"/>
        <family val="2"/>
      </rPr>
      <t>F</t>
    </r>
    <r>
      <rPr>
        <sz val="6"/>
        <color indexed="8"/>
        <rFont val="Arial"/>
        <family val="2"/>
      </rPr>
      <t>A</t>
    </r>
    <r>
      <rPr>
        <sz val="6"/>
        <color indexed="8"/>
        <rFont val="Arial"/>
        <family val="2"/>
      </rPr>
      <t>B</t>
    </r>
    <r>
      <rPr>
        <sz val="6"/>
        <color indexed="8"/>
        <rFont val="Arial"/>
        <family val="2"/>
      </rPr>
      <t>R</t>
    </r>
    <r>
      <rPr>
        <sz val="6"/>
        <color indexed="8"/>
        <rFont val="Arial"/>
        <family val="2"/>
      </rPr>
      <t>I</t>
    </r>
    <r>
      <rPr>
        <sz val="6"/>
        <color indexed="8"/>
        <rFont val="Arial"/>
        <family val="2"/>
      </rPr>
      <t>C</t>
    </r>
    <r>
      <rPr>
        <sz val="6"/>
        <color indexed="8"/>
        <rFont val="Arial"/>
        <family val="2"/>
      </rPr>
      <t>A</t>
    </r>
    <r>
      <rPr>
        <sz val="6"/>
        <color indexed="8"/>
        <rFont val="Arial"/>
        <family val="2"/>
      </rPr>
      <t>Ç</t>
    </r>
    <r>
      <rPr>
        <sz val="6"/>
        <color indexed="8"/>
        <rFont val="Arial"/>
        <family val="2"/>
      </rPr>
      <t>ÃO,</t>
    </r>
    <r>
      <rPr>
        <sz val="6"/>
        <color indexed="8"/>
        <rFont val="Arial"/>
        <family val="2"/>
      </rPr>
      <t xml:space="preserve"> </t>
    </r>
    <r>
      <rPr>
        <sz val="6"/>
        <color indexed="8"/>
        <rFont val="Arial"/>
        <family val="2"/>
      </rPr>
      <t>M</t>
    </r>
    <r>
      <rPr>
        <sz val="6"/>
        <color indexed="8"/>
        <rFont val="Arial"/>
        <family val="2"/>
      </rPr>
      <t>O</t>
    </r>
    <r>
      <rPr>
        <sz val="6"/>
        <color indexed="8"/>
        <rFont val="Arial"/>
        <family val="2"/>
      </rPr>
      <t>N</t>
    </r>
    <r>
      <rPr>
        <sz val="6"/>
        <color indexed="8"/>
        <rFont val="Arial"/>
        <family val="2"/>
      </rPr>
      <t>T</t>
    </r>
    <r>
      <rPr>
        <sz val="6"/>
        <color indexed="8"/>
        <rFont val="Arial"/>
        <family val="2"/>
      </rPr>
      <t>AGEM</t>
    </r>
  </si>
  <si>
    <t>E DESMONTAGEM) - REAPROVEITAMENTO DE 2 VEZES</t>
  </si>
  <si>
    <r>
      <rPr>
        <sz val="6"/>
        <color indexed="8"/>
        <rFont val="Arial"/>
        <family val="2"/>
      </rPr>
      <t>F</t>
    </r>
    <r>
      <rPr>
        <sz val="6"/>
        <color indexed="8"/>
        <rFont val="Arial"/>
        <family val="2"/>
      </rPr>
      <t>O</t>
    </r>
    <r>
      <rPr>
        <sz val="6"/>
        <color indexed="8"/>
        <rFont val="Arial"/>
        <family val="2"/>
      </rPr>
      <t>R</t>
    </r>
    <r>
      <rPr>
        <sz val="6"/>
        <color indexed="8"/>
        <rFont val="Arial"/>
        <family val="2"/>
      </rPr>
      <t>M</t>
    </r>
    <r>
      <rPr>
        <sz val="6"/>
        <color indexed="8"/>
        <rFont val="Arial"/>
        <family val="2"/>
      </rPr>
      <t>A</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M</t>
    </r>
    <r>
      <rPr>
        <sz val="6"/>
        <color indexed="8"/>
        <rFont val="Arial"/>
        <family val="2"/>
      </rPr>
      <t>A</t>
    </r>
    <r>
      <rPr>
        <sz val="6"/>
        <color indexed="8"/>
        <rFont val="Arial"/>
        <family val="2"/>
      </rPr>
      <t>D</t>
    </r>
    <r>
      <rPr>
        <sz val="6"/>
        <color indexed="8"/>
        <rFont val="Arial"/>
        <family val="2"/>
      </rPr>
      <t>E</t>
    </r>
    <r>
      <rPr>
        <sz val="6"/>
        <color indexed="8"/>
        <rFont val="Arial"/>
        <family val="2"/>
      </rPr>
      <t>I</t>
    </r>
    <r>
      <rPr>
        <sz val="6"/>
        <color indexed="8"/>
        <rFont val="Arial"/>
        <family val="2"/>
      </rPr>
      <t>R</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P</t>
    </r>
    <r>
      <rPr>
        <sz val="6"/>
        <color indexed="8"/>
        <rFont val="Arial"/>
        <family val="2"/>
      </rPr>
      <t>A</t>
    </r>
    <r>
      <rPr>
        <sz val="6"/>
        <color indexed="8"/>
        <rFont val="Arial"/>
        <family val="2"/>
      </rPr>
      <t>R</t>
    </r>
    <r>
      <rPr>
        <sz val="6"/>
        <color indexed="8"/>
        <rFont val="Arial"/>
        <family val="2"/>
      </rPr>
      <t>A</t>
    </r>
    <r>
      <rPr>
        <sz val="6"/>
        <color indexed="8"/>
        <rFont val="Arial"/>
        <family val="2"/>
      </rPr>
      <t xml:space="preserve"> </t>
    </r>
    <r>
      <rPr>
        <sz val="6"/>
        <color indexed="8"/>
        <rFont val="Arial"/>
        <family val="2"/>
      </rPr>
      <t>P</t>
    </r>
    <r>
      <rPr>
        <sz val="6"/>
        <color indexed="8"/>
        <rFont val="Arial"/>
        <family val="2"/>
      </rPr>
      <t>I</t>
    </r>
    <r>
      <rPr>
        <sz val="6"/>
        <color indexed="8"/>
        <rFont val="Arial"/>
        <family val="2"/>
      </rPr>
      <t>L</t>
    </r>
    <r>
      <rPr>
        <sz val="6"/>
        <color indexed="8"/>
        <rFont val="Arial"/>
        <family val="2"/>
      </rPr>
      <t>A</t>
    </r>
    <r>
      <rPr>
        <sz val="6"/>
        <color indexed="8"/>
        <rFont val="Arial"/>
        <family val="2"/>
      </rPr>
      <t>R</t>
    </r>
    <r>
      <rPr>
        <sz val="6"/>
        <color indexed="8"/>
        <rFont val="Arial"/>
        <family val="2"/>
      </rPr>
      <t>E</t>
    </r>
    <r>
      <rPr>
        <sz val="6"/>
        <color indexed="8"/>
        <rFont val="Arial"/>
        <family val="2"/>
      </rPr>
      <t>S</t>
    </r>
    <r>
      <rPr>
        <sz val="6"/>
        <color indexed="8"/>
        <rFont val="Arial"/>
        <family val="2"/>
      </rPr>
      <t>/</t>
    </r>
    <r>
      <rPr>
        <sz val="6"/>
        <color indexed="8"/>
        <rFont val="Arial"/>
        <family val="2"/>
      </rPr>
      <t>V</t>
    </r>
    <r>
      <rPr>
        <sz val="6"/>
        <color indexed="8"/>
        <rFont val="Arial"/>
        <family val="2"/>
      </rPr>
      <t>I</t>
    </r>
    <r>
      <rPr>
        <sz val="6"/>
        <color indexed="8"/>
        <rFont val="Arial"/>
        <family val="2"/>
      </rPr>
      <t>GA</t>
    </r>
    <r>
      <rPr>
        <sz val="6"/>
        <color indexed="8"/>
        <rFont val="Arial"/>
        <family val="2"/>
      </rPr>
      <t>S</t>
    </r>
    <r>
      <rPr>
        <sz val="6"/>
        <color indexed="8"/>
        <rFont val="Arial"/>
        <family val="2"/>
      </rPr>
      <t>/</t>
    </r>
    <r>
      <rPr>
        <sz val="6"/>
        <color indexed="8"/>
        <rFont val="Arial"/>
        <family val="2"/>
      </rPr>
      <t>LA</t>
    </r>
    <r>
      <rPr>
        <sz val="6"/>
        <color indexed="8"/>
        <rFont val="Arial"/>
        <family val="2"/>
      </rPr>
      <t>J</t>
    </r>
    <r>
      <rPr>
        <sz val="6"/>
        <color indexed="8"/>
        <rFont val="Arial"/>
        <family val="2"/>
      </rPr>
      <t>ES,</t>
    </r>
    <r>
      <rPr>
        <sz val="6"/>
        <color indexed="8"/>
        <rFont val="Arial"/>
        <family val="2"/>
      </rPr>
      <t xml:space="preserve"> </t>
    </r>
    <r>
      <rPr>
        <sz val="6"/>
        <color indexed="8"/>
        <rFont val="Arial"/>
        <family val="2"/>
      </rPr>
      <t>C</t>
    </r>
    <r>
      <rPr>
        <sz val="6"/>
        <color indexed="8"/>
        <rFont val="Arial"/>
        <family val="2"/>
      </rPr>
      <t>O</t>
    </r>
    <r>
      <rPr>
        <sz val="6"/>
        <color indexed="8"/>
        <rFont val="Arial"/>
        <family val="2"/>
      </rPr>
      <t>M</t>
    </r>
    <r>
      <rPr>
        <sz val="6"/>
        <color indexed="8"/>
        <rFont val="Arial"/>
        <family val="2"/>
      </rPr>
      <t xml:space="preserve"> </t>
    </r>
    <r>
      <rPr>
        <sz val="6"/>
        <color indexed="8"/>
        <rFont val="Arial"/>
        <family val="2"/>
      </rPr>
      <t>T</t>
    </r>
    <r>
      <rPr>
        <sz val="6"/>
        <color indexed="8"/>
        <rFont val="Arial"/>
        <family val="2"/>
      </rPr>
      <t>ÁB</t>
    </r>
    <r>
      <rPr>
        <sz val="6"/>
        <color indexed="8"/>
        <rFont val="Arial"/>
        <family val="2"/>
      </rPr>
      <t>U</t>
    </r>
    <r>
      <rPr>
        <sz val="6"/>
        <color indexed="8"/>
        <rFont val="Arial"/>
        <family val="2"/>
      </rPr>
      <t>AS</t>
    </r>
    <r>
      <rPr>
        <sz val="6"/>
        <color indexed="8"/>
        <rFont val="Arial"/>
        <family val="2"/>
      </rPr>
      <t xml:space="preserve"> </t>
    </r>
    <r>
      <rPr>
        <sz val="6"/>
        <color indexed="8"/>
        <rFont val="Arial"/>
        <family val="2"/>
      </rPr>
      <t xml:space="preserve"> </t>
    </r>
    <r>
      <rPr>
        <sz val="6"/>
        <color indexed="8"/>
        <rFont val="Arial"/>
        <family val="2"/>
      </rPr>
      <t>E</t>
    </r>
    <r>
      <rPr>
        <sz val="6"/>
        <color indexed="8"/>
        <rFont val="Arial"/>
        <family val="2"/>
      </rPr>
      <t xml:space="preserve"> </t>
    </r>
    <r>
      <rPr>
        <sz val="6"/>
        <color indexed="8"/>
        <rFont val="Arial"/>
        <family val="2"/>
      </rPr>
      <t>S</t>
    </r>
    <r>
      <rPr>
        <sz val="6"/>
        <color indexed="8"/>
        <rFont val="Arial"/>
        <family val="2"/>
      </rPr>
      <t>A</t>
    </r>
    <r>
      <rPr>
        <sz val="6"/>
        <color indexed="8"/>
        <rFont val="Arial"/>
        <family val="2"/>
      </rPr>
      <t>R</t>
    </r>
    <r>
      <rPr>
        <sz val="6"/>
        <color indexed="8"/>
        <rFont val="Arial"/>
        <family val="2"/>
      </rPr>
      <t>R</t>
    </r>
    <r>
      <rPr>
        <sz val="6"/>
        <color indexed="8"/>
        <rFont val="Arial"/>
        <family val="2"/>
      </rPr>
      <t>A</t>
    </r>
    <r>
      <rPr>
        <sz val="6"/>
        <color indexed="8"/>
        <rFont val="Arial"/>
        <family val="2"/>
      </rPr>
      <t>F</t>
    </r>
    <r>
      <rPr>
        <sz val="6"/>
        <color indexed="8"/>
        <rFont val="Arial"/>
        <family val="2"/>
      </rPr>
      <t>OS</t>
    </r>
    <r>
      <rPr>
        <sz val="6"/>
        <color indexed="8"/>
        <rFont val="Arial"/>
        <family val="2"/>
      </rPr>
      <t xml:space="preserve"> </t>
    </r>
    <r>
      <rPr>
        <sz val="6"/>
        <color indexed="8"/>
        <rFont val="Arial"/>
        <family val="2"/>
      </rPr>
      <t xml:space="preserve"> </t>
    </r>
    <r>
      <rPr>
        <sz val="6"/>
        <color indexed="8"/>
        <rFont val="Arial"/>
        <family val="2"/>
      </rPr>
      <t>(</t>
    </r>
    <r>
      <rPr>
        <sz val="6"/>
        <color indexed="8"/>
        <rFont val="Arial"/>
        <family val="2"/>
      </rPr>
      <t>F</t>
    </r>
    <r>
      <rPr>
        <sz val="6"/>
        <color indexed="8"/>
        <rFont val="Arial"/>
        <family val="2"/>
      </rPr>
      <t>A</t>
    </r>
    <r>
      <rPr>
        <sz val="6"/>
        <color indexed="8"/>
        <rFont val="Arial"/>
        <family val="2"/>
      </rPr>
      <t>B</t>
    </r>
    <r>
      <rPr>
        <sz val="6"/>
        <color indexed="8"/>
        <rFont val="Arial"/>
        <family val="2"/>
      </rPr>
      <t>R</t>
    </r>
    <r>
      <rPr>
        <sz val="6"/>
        <color indexed="8"/>
        <rFont val="Arial"/>
        <family val="2"/>
      </rPr>
      <t>I</t>
    </r>
    <r>
      <rPr>
        <sz val="6"/>
        <color indexed="8"/>
        <rFont val="Arial"/>
        <family val="2"/>
      </rPr>
      <t>C</t>
    </r>
    <r>
      <rPr>
        <sz val="6"/>
        <color indexed="8"/>
        <rFont val="Arial"/>
        <family val="2"/>
      </rPr>
      <t>A</t>
    </r>
    <r>
      <rPr>
        <sz val="6"/>
        <color indexed="8"/>
        <rFont val="Arial"/>
        <family val="2"/>
      </rPr>
      <t>Ç</t>
    </r>
    <r>
      <rPr>
        <sz val="6"/>
        <color indexed="8"/>
        <rFont val="Arial"/>
        <family val="2"/>
      </rPr>
      <t>ÃO,</t>
    </r>
    <r>
      <rPr>
        <sz val="6"/>
        <color indexed="8"/>
        <rFont val="Arial"/>
        <family val="2"/>
      </rPr>
      <t xml:space="preserve"> </t>
    </r>
    <r>
      <rPr>
        <sz val="6"/>
        <color indexed="8"/>
        <rFont val="Arial"/>
        <family val="2"/>
      </rPr>
      <t>M</t>
    </r>
    <r>
      <rPr>
        <sz val="6"/>
        <color indexed="8"/>
        <rFont val="Arial"/>
        <family val="2"/>
      </rPr>
      <t>O</t>
    </r>
    <r>
      <rPr>
        <sz val="6"/>
        <color indexed="8"/>
        <rFont val="Arial"/>
        <family val="2"/>
      </rPr>
      <t>N</t>
    </r>
    <r>
      <rPr>
        <sz val="6"/>
        <color indexed="8"/>
        <rFont val="Arial"/>
        <family val="2"/>
      </rPr>
      <t>T</t>
    </r>
    <r>
      <rPr>
        <sz val="6"/>
        <color indexed="8"/>
        <rFont val="Arial"/>
        <family val="2"/>
      </rPr>
      <t xml:space="preserve">AGEM
</t>
    </r>
    <r>
      <rPr>
        <sz val="6"/>
        <color indexed="8"/>
        <rFont val="Arial"/>
        <family val="2"/>
      </rPr>
      <t>E</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S</t>
    </r>
    <r>
      <rPr>
        <sz val="6"/>
        <color indexed="8"/>
        <rFont val="Arial"/>
        <family val="2"/>
      </rPr>
      <t>M</t>
    </r>
    <r>
      <rPr>
        <sz val="6"/>
        <color indexed="8"/>
        <rFont val="Arial"/>
        <family val="2"/>
      </rPr>
      <t>O</t>
    </r>
    <r>
      <rPr>
        <sz val="6"/>
        <color indexed="8"/>
        <rFont val="Arial"/>
        <family val="2"/>
      </rPr>
      <t>N</t>
    </r>
    <r>
      <rPr>
        <sz val="6"/>
        <color indexed="8"/>
        <rFont val="Arial"/>
        <family val="2"/>
      </rPr>
      <t>T</t>
    </r>
    <r>
      <rPr>
        <sz val="6"/>
        <color indexed="8"/>
        <rFont val="Arial"/>
        <family val="2"/>
      </rPr>
      <t>A</t>
    </r>
    <r>
      <rPr>
        <sz val="6"/>
        <color indexed="8"/>
        <rFont val="Arial"/>
        <family val="2"/>
      </rPr>
      <t>G</t>
    </r>
    <r>
      <rPr>
        <sz val="6"/>
        <color indexed="8"/>
        <rFont val="Arial"/>
        <family val="2"/>
      </rPr>
      <t>E</t>
    </r>
    <r>
      <rPr>
        <sz val="6"/>
        <color indexed="8"/>
        <rFont val="Arial"/>
        <family val="2"/>
      </rPr>
      <t>M</t>
    </r>
    <r>
      <rPr>
        <sz val="6"/>
        <color indexed="8"/>
        <rFont val="Arial"/>
        <family val="2"/>
      </rPr>
      <t>)</t>
    </r>
    <r>
      <rPr>
        <sz val="6"/>
        <color indexed="8"/>
        <rFont val="Arial"/>
        <family val="2"/>
      </rPr>
      <t xml:space="preserve"> </t>
    </r>
    <r>
      <rPr>
        <sz val="6"/>
        <color indexed="8"/>
        <rFont val="Arial"/>
        <family val="2"/>
      </rPr>
      <t>-</t>
    </r>
    <r>
      <rPr>
        <sz val="6"/>
        <color indexed="8"/>
        <rFont val="Arial"/>
        <family val="2"/>
      </rPr>
      <t xml:space="preserve"> </t>
    </r>
    <r>
      <rPr>
        <sz val="6"/>
        <color indexed="8"/>
        <rFont val="Arial"/>
        <family val="2"/>
      </rPr>
      <t>R</t>
    </r>
    <r>
      <rPr>
        <sz val="6"/>
        <color indexed="8"/>
        <rFont val="Arial"/>
        <family val="2"/>
      </rPr>
      <t>E</t>
    </r>
    <r>
      <rPr>
        <sz val="6"/>
        <color indexed="8"/>
        <rFont val="Arial"/>
        <family val="2"/>
      </rPr>
      <t>AP</t>
    </r>
    <r>
      <rPr>
        <sz val="6"/>
        <color indexed="8"/>
        <rFont val="Arial"/>
        <family val="2"/>
      </rPr>
      <t>R</t>
    </r>
    <r>
      <rPr>
        <sz val="6"/>
        <color indexed="8"/>
        <rFont val="Arial"/>
        <family val="2"/>
      </rPr>
      <t>OVE</t>
    </r>
    <r>
      <rPr>
        <sz val="6"/>
        <color indexed="8"/>
        <rFont val="Arial"/>
        <family val="2"/>
      </rPr>
      <t>I</t>
    </r>
    <r>
      <rPr>
        <sz val="6"/>
        <color indexed="8"/>
        <rFont val="Arial"/>
        <family val="2"/>
      </rPr>
      <t>T</t>
    </r>
    <r>
      <rPr>
        <sz val="6"/>
        <color indexed="8"/>
        <rFont val="Arial"/>
        <family val="2"/>
      </rPr>
      <t>A</t>
    </r>
    <r>
      <rPr>
        <sz val="6"/>
        <color indexed="8"/>
        <rFont val="Arial"/>
        <family val="2"/>
      </rPr>
      <t>M</t>
    </r>
    <r>
      <rPr>
        <sz val="6"/>
        <color indexed="8"/>
        <rFont val="Arial"/>
        <family val="2"/>
      </rPr>
      <t>E</t>
    </r>
    <r>
      <rPr>
        <sz val="6"/>
        <color indexed="8"/>
        <rFont val="Arial"/>
        <family val="2"/>
      </rPr>
      <t>N</t>
    </r>
    <r>
      <rPr>
        <sz val="6"/>
        <color indexed="8"/>
        <rFont val="Arial"/>
        <family val="2"/>
      </rPr>
      <t>T</t>
    </r>
    <r>
      <rPr>
        <sz val="6"/>
        <color indexed="8"/>
        <rFont val="Arial"/>
        <family val="2"/>
      </rPr>
      <t>O</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2</t>
    </r>
    <r>
      <rPr>
        <sz val="6"/>
        <color indexed="8"/>
        <rFont val="Arial"/>
        <family val="2"/>
      </rPr>
      <t xml:space="preserve"> </t>
    </r>
    <r>
      <rPr>
        <sz val="6"/>
        <color indexed="8"/>
        <rFont val="Arial"/>
        <family val="2"/>
      </rPr>
      <t>VE</t>
    </r>
    <r>
      <rPr>
        <sz val="6"/>
        <color indexed="8"/>
        <rFont val="Arial"/>
        <family val="2"/>
      </rPr>
      <t>Z</t>
    </r>
    <r>
      <rPr>
        <sz val="6"/>
        <color indexed="8"/>
        <rFont val="Arial"/>
        <family val="2"/>
      </rPr>
      <t>ES</t>
    </r>
  </si>
  <si>
    <r>
      <rPr>
        <b/>
        <sz val="6"/>
        <color indexed="8"/>
        <rFont val="Arial"/>
        <family val="2"/>
      </rPr>
      <t>C</t>
    </r>
    <r>
      <rPr>
        <b/>
        <sz val="6"/>
        <color indexed="8"/>
        <rFont val="Arial"/>
        <family val="2"/>
      </rPr>
      <t>O</t>
    </r>
    <r>
      <rPr>
        <b/>
        <sz val="6"/>
        <color indexed="8"/>
        <rFont val="Arial"/>
        <family val="2"/>
      </rPr>
      <t>N</t>
    </r>
    <r>
      <rPr>
        <b/>
        <sz val="6"/>
        <color indexed="8"/>
        <rFont val="Arial"/>
        <family val="2"/>
      </rPr>
      <t>T</t>
    </r>
    <r>
      <rPr>
        <b/>
        <sz val="6"/>
        <color indexed="8"/>
        <rFont val="Arial"/>
        <family val="2"/>
      </rPr>
      <t>E</t>
    </r>
    <r>
      <rPr>
        <b/>
        <sz val="6"/>
        <color indexed="8"/>
        <rFont val="Arial"/>
        <family val="2"/>
      </rPr>
      <t>N</t>
    </r>
    <r>
      <rPr>
        <b/>
        <sz val="6"/>
        <color indexed="8"/>
        <rFont val="Arial"/>
        <family val="2"/>
      </rPr>
      <t>Ç</t>
    </r>
    <r>
      <rPr>
        <b/>
        <sz val="6"/>
        <color indexed="8"/>
        <rFont val="Arial"/>
        <family val="2"/>
      </rPr>
      <t>ÕES</t>
    </r>
  </si>
  <si>
    <t>CONCRETO  CICLÓPICO  TRAÇO 1:3:6 COM 30% PEDRA DE MÃO</t>
  </si>
  <si>
    <t>GABIÃO T.CX.#8X10  D.T. ARAME 2.4MM REV. ZN/AL C/PVC - H=0,5M (2X)</t>
  </si>
  <si>
    <r>
      <rPr>
        <sz val="6"/>
        <color indexed="8"/>
        <rFont val="Arial"/>
        <family val="2"/>
      </rPr>
      <t>GAB</t>
    </r>
    <r>
      <rPr>
        <sz val="6"/>
        <color indexed="8"/>
        <rFont val="Arial"/>
        <family val="2"/>
      </rPr>
      <t>I</t>
    </r>
    <r>
      <rPr>
        <sz val="6"/>
        <color indexed="8"/>
        <rFont val="Arial"/>
        <family val="2"/>
      </rPr>
      <t>Ã</t>
    </r>
    <r>
      <rPr>
        <sz val="6"/>
        <color indexed="8"/>
        <rFont val="Arial"/>
        <family val="2"/>
      </rPr>
      <t>O</t>
    </r>
    <r>
      <rPr>
        <sz val="6"/>
        <color indexed="8"/>
        <rFont val="Arial"/>
        <family val="2"/>
      </rPr>
      <t xml:space="preserve"> </t>
    </r>
    <r>
      <rPr>
        <sz val="6"/>
        <color indexed="8"/>
        <rFont val="Arial"/>
        <family val="2"/>
      </rPr>
      <t>T</t>
    </r>
    <r>
      <rPr>
        <sz val="6"/>
        <color indexed="8"/>
        <rFont val="Arial"/>
        <family val="2"/>
      </rPr>
      <t>I</t>
    </r>
    <r>
      <rPr>
        <sz val="6"/>
        <color indexed="8"/>
        <rFont val="Arial"/>
        <family val="2"/>
      </rPr>
      <t>P</t>
    </r>
    <r>
      <rPr>
        <sz val="6"/>
        <color indexed="8"/>
        <rFont val="Arial"/>
        <family val="2"/>
      </rPr>
      <t>O</t>
    </r>
    <r>
      <rPr>
        <sz val="6"/>
        <color indexed="8"/>
        <rFont val="Arial"/>
        <family val="2"/>
      </rPr>
      <t xml:space="preserve"> </t>
    </r>
    <r>
      <rPr>
        <sz val="6"/>
        <color indexed="8"/>
        <rFont val="Arial"/>
        <family val="2"/>
      </rPr>
      <t>C</t>
    </r>
    <r>
      <rPr>
        <sz val="6"/>
        <color indexed="8"/>
        <rFont val="Arial"/>
        <family val="2"/>
      </rPr>
      <t>A</t>
    </r>
    <r>
      <rPr>
        <sz val="6"/>
        <color indexed="8"/>
        <rFont val="Arial"/>
        <family val="2"/>
      </rPr>
      <t>I</t>
    </r>
    <r>
      <rPr>
        <sz val="6"/>
        <color indexed="8"/>
        <rFont val="Arial"/>
        <family val="2"/>
      </rPr>
      <t>X</t>
    </r>
    <r>
      <rPr>
        <sz val="6"/>
        <color indexed="8"/>
        <rFont val="Arial"/>
        <family val="2"/>
      </rPr>
      <t>A</t>
    </r>
    <r>
      <rPr>
        <sz val="6"/>
        <color indexed="8"/>
        <rFont val="Arial"/>
        <family val="2"/>
      </rPr>
      <t xml:space="preserve"> </t>
    </r>
    <r>
      <rPr>
        <sz val="6"/>
        <color indexed="8"/>
        <rFont val="Arial"/>
        <family val="2"/>
      </rPr>
      <t>#</t>
    </r>
    <r>
      <rPr>
        <sz val="6"/>
        <color indexed="8"/>
        <rFont val="Arial"/>
        <family val="2"/>
      </rPr>
      <t xml:space="preserve"> </t>
    </r>
    <r>
      <rPr>
        <sz val="6"/>
        <color indexed="8"/>
        <rFont val="Arial"/>
        <family val="2"/>
      </rPr>
      <t>8</t>
    </r>
    <r>
      <rPr>
        <sz val="6"/>
        <color indexed="8"/>
        <rFont val="Arial"/>
        <family val="2"/>
      </rPr>
      <t>X</t>
    </r>
    <r>
      <rPr>
        <sz val="6"/>
        <color indexed="8"/>
        <rFont val="Arial"/>
        <family val="2"/>
      </rPr>
      <t>10</t>
    </r>
    <r>
      <rPr>
        <sz val="6"/>
        <color indexed="8"/>
        <rFont val="Arial"/>
        <family val="2"/>
      </rPr>
      <t xml:space="preserve"> </t>
    </r>
    <r>
      <rPr>
        <sz val="6"/>
        <color indexed="8"/>
        <rFont val="Arial"/>
        <family val="2"/>
      </rPr>
      <t>D</t>
    </r>
    <r>
      <rPr>
        <sz val="6"/>
        <color indexed="8"/>
        <rFont val="Arial"/>
        <family val="2"/>
      </rPr>
      <t>U</t>
    </r>
    <r>
      <rPr>
        <sz val="6"/>
        <color indexed="8"/>
        <rFont val="Arial"/>
        <family val="2"/>
      </rPr>
      <t>PLA</t>
    </r>
    <r>
      <rPr>
        <sz val="6"/>
        <color indexed="8"/>
        <rFont val="Arial"/>
        <family val="2"/>
      </rPr>
      <t xml:space="preserve"> </t>
    </r>
    <r>
      <rPr>
        <sz val="6"/>
        <color indexed="8"/>
        <rFont val="Arial"/>
        <family val="2"/>
      </rPr>
      <t>T</t>
    </r>
    <r>
      <rPr>
        <sz val="6"/>
        <color indexed="8"/>
        <rFont val="Arial"/>
        <family val="2"/>
      </rPr>
      <t>O</t>
    </r>
    <r>
      <rPr>
        <sz val="6"/>
        <color indexed="8"/>
        <rFont val="Arial"/>
        <family val="2"/>
      </rPr>
      <t>R</t>
    </r>
    <r>
      <rPr>
        <sz val="6"/>
        <color indexed="8"/>
        <rFont val="Arial"/>
        <family val="2"/>
      </rPr>
      <t>Ç</t>
    </r>
    <r>
      <rPr>
        <sz val="6"/>
        <color indexed="8"/>
        <rFont val="Arial"/>
        <family val="2"/>
      </rPr>
      <t>ÃO</t>
    </r>
    <r>
      <rPr>
        <sz val="6"/>
        <color indexed="8"/>
        <rFont val="Arial"/>
        <family val="2"/>
      </rPr>
      <t xml:space="preserve"> </t>
    </r>
    <r>
      <rPr>
        <sz val="6"/>
        <color indexed="8"/>
        <rFont val="Arial"/>
        <family val="2"/>
      </rPr>
      <t>C</t>
    </r>
    <r>
      <rPr>
        <sz val="6"/>
        <color indexed="8"/>
        <rFont val="Arial"/>
        <family val="2"/>
      </rPr>
      <t>OM</t>
    </r>
    <r>
      <rPr>
        <sz val="6"/>
        <color indexed="8"/>
        <rFont val="Arial"/>
        <family val="2"/>
      </rPr>
      <t xml:space="preserve"> </t>
    </r>
    <r>
      <rPr>
        <sz val="6"/>
        <color indexed="8"/>
        <rFont val="Arial"/>
        <family val="2"/>
      </rPr>
      <t>A</t>
    </r>
    <r>
      <rPr>
        <sz val="6"/>
        <color indexed="8"/>
        <rFont val="Arial"/>
        <family val="2"/>
      </rPr>
      <t>R</t>
    </r>
    <r>
      <rPr>
        <sz val="6"/>
        <color indexed="8"/>
        <rFont val="Arial"/>
        <family val="2"/>
      </rPr>
      <t>A</t>
    </r>
    <r>
      <rPr>
        <sz val="6"/>
        <color indexed="8"/>
        <rFont val="Arial"/>
        <family val="2"/>
      </rPr>
      <t>M</t>
    </r>
    <r>
      <rPr>
        <sz val="6"/>
        <color indexed="8"/>
        <rFont val="Arial"/>
        <family val="2"/>
      </rPr>
      <t>E</t>
    </r>
    <r>
      <rPr>
        <sz val="6"/>
        <color indexed="8"/>
        <rFont val="Arial"/>
        <family val="2"/>
      </rPr>
      <t xml:space="preserve"> </t>
    </r>
    <r>
      <rPr>
        <sz val="6"/>
        <color indexed="8"/>
        <rFont val="Arial"/>
        <family val="2"/>
      </rPr>
      <t>2</t>
    </r>
    <r>
      <rPr>
        <sz val="6"/>
        <color indexed="8"/>
        <rFont val="Arial"/>
        <family val="2"/>
      </rPr>
      <t>.</t>
    </r>
    <r>
      <rPr>
        <sz val="6"/>
        <color indexed="8"/>
        <rFont val="Arial"/>
        <family val="2"/>
      </rPr>
      <t>4</t>
    </r>
    <r>
      <rPr>
        <sz val="6"/>
        <color indexed="8"/>
        <rFont val="Arial"/>
        <family val="2"/>
      </rPr>
      <t xml:space="preserve"> </t>
    </r>
    <r>
      <rPr>
        <sz val="6"/>
        <color indexed="8"/>
        <rFont val="Arial"/>
        <family val="2"/>
      </rPr>
      <t>M</t>
    </r>
    <r>
      <rPr>
        <sz val="6"/>
        <color indexed="8"/>
        <rFont val="Arial"/>
        <family val="2"/>
      </rPr>
      <t>M</t>
    </r>
    <r>
      <rPr>
        <sz val="6"/>
        <color indexed="8"/>
        <rFont val="Arial"/>
        <family val="2"/>
      </rPr>
      <t xml:space="preserve"> </t>
    </r>
    <r>
      <rPr>
        <sz val="6"/>
        <color indexed="8"/>
        <rFont val="Arial"/>
        <family val="2"/>
      </rPr>
      <t>R</t>
    </r>
    <r>
      <rPr>
        <sz val="6"/>
        <color indexed="8"/>
        <rFont val="Arial"/>
        <family val="2"/>
      </rPr>
      <t>EV</t>
    </r>
    <r>
      <rPr>
        <sz val="6"/>
        <color indexed="8"/>
        <rFont val="Arial"/>
        <family val="2"/>
      </rPr>
      <t>E</t>
    </r>
    <r>
      <rPr>
        <sz val="6"/>
        <color indexed="8"/>
        <rFont val="Arial"/>
        <family val="2"/>
      </rPr>
      <t>S</t>
    </r>
    <r>
      <rPr>
        <sz val="6"/>
        <color indexed="8"/>
        <rFont val="Arial"/>
        <family val="2"/>
      </rPr>
      <t>T</t>
    </r>
    <r>
      <rPr>
        <sz val="6"/>
        <color indexed="8"/>
        <rFont val="Arial"/>
        <family val="2"/>
      </rPr>
      <t>I</t>
    </r>
    <r>
      <rPr>
        <sz val="6"/>
        <color indexed="8"/>
        <rFont val="Arial"/>
        <family val="2"/>
      </rPr>
      <t>D</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Z</t>
    </r>
    <r>
      <rPr>
        <sz val="6"/>
        <color indexed="8"/>
        <rFont val="Arial"/>
        <family val="2"/>
      </rPr>
      <t>I</t>
    </r>
    <r>
      <rPr>
        <sz val="6"/>
        <color indexed="8"/>
        <rFont val="Arial"/>
        <family val="2"/>
      </rPr>
      <t>N</t>
    </r>
    <r>
      <rPr>
        <sz val="6"/>
        <color indexed="8"/>
        <rFont val="Arial"/>
        <family val="2"/>
      </rPr>
      <t>C</t>
    </r>
    <r>
      <rPr>
        <sz val="6"/>
        <color indexed="8"/>
        <rFont val="Arial"/>
        <family val="2"/>
      </rPr>
      <t>O</t>
    </r>
    <r>
      <rPr>
        <sz val="6"/>
        <color indexed="8"/>
        <rFont val="Arial"/>
        <family val="2"/>
      </rPr>
      <t>/</t>
    </r>
    <r>
      <rPr>
        <sz val="6"/>
        <color indexed="8"/>
        <rFont val="Arial"/>
        <family val="2"/>
      </rPr>
      <t>A</t>
    </r>
    <r>
      <rPr>
        <sz val="6"/>
        <color indexed="8"/>
        <rFont val="Arial"/>
        <family val="2"/>
      </rPr>
      <t>L</t>
    </r>
    <r>
      <rPr>
        <sz val="6"/>
        <color indexed="8"/>
        <rFont val="Arial"/>
        <family val="2"/>
      </rPr>
      <t>U</t>
    </r>
    <r>
      <rPr>
        <sz val="6"/>
        <color indexed="8"/>
        <rFont val="Arial"/>
        <family val="2"/>
      </rPr>
      <t>M</t>
    </r>
    <r>
      <rPr>
        <sz val="6"/>
        <color indexed="8"/>
        <rFont val="Arial"/>
        <family val="2"/>
      </rPr>
      <t>Í</t>
    </r>
    <r>
      <rPr>
        <sz val="6"/>
        <color indexed="8"/>
        <rFont val="Arial"/>
        <family val="2"/>
      </rPr>
      <t>N</t>
    </r>
    <r>
      <rPr>
        <sz val="6"/>
        <color indexed="8"/>
        <rFont val="Arial"/>
        <family val="2"/>
      </rPr>
      <t>I</t>
    </r>
    <r>
      <rPr>
        <sz val="6"/>
        <color indexed="8"/>
        <rFont val="Arial"/>
        <family val="2"/>
      </rPr>
      <t>O</t>
    </r>
    <r>
      <rPr>
        <sz val="6"/>
        <color indexed="8"/>
        <rFont val="Arial"/>
        <family val="2"/>
      </rPr>
      <t xml:space="preserve"> </t>
    </r>
    <r>
      <rPr>
        <sz val="6"/>
        <color indexed="8"/>
        <rFont val="Arial"/>
        <family val="2"/>
      </rPr>
      <t>C</t>
    </r>
    <r>
      <rPr>
        <sz val="6"/>
        <color indexed="8"/>
        <rFont val="Arial"/>
        <family val="2"/>
      </rPr>
      <t>OM</t>
    </r>
    <r>
      <rPr>
        <sz val="6"/>
        <color indexed="8"/>
        <rFont val="Arial"/>
        <family val="2"/>
      </rPr>
      <t xml:space="preserve"> </t>
    </r>
    <r>
      <rPr>
        <sz val="6"/>
        <color indexed="8"/>
        <rFont val="Arial"/>
        <family val="2"/>
      </rPr>
      <t>P</t>
    </r>
    <r>
      <rPr>
        <sz val="6"/>
        <color indexed="8"/>
        <rFont val="Arial"/>
        <family val="2"/>
      </rPr>
      <t>V</t>
    </r>
    <r>
      <rPr>
        <sz val="6"/>
        <color indexed="8"/>
        <rFont val="Arial"/>
        <family val="2"/>
      </rPr>
      <t>C</t>
    </r>
    <r>
      <rPr>
        <sz val="6"/>
        <color indexed="8"/>
        <rFont val="Arial"/>
        <family val="2"/>
      </rPr>
      <t xml:space="preserve"> </t>
    </r>
    <r>
      <rPr>
        <sz val="6"/>
        <color indexed="8"/>
        <rFont val="Arial"/>
        <family val="2"/>
      </rPr>
      <t xml:space="preserve">-
</t>
    </r>
    <r>
      <rPr>
        <sz val="6"/>
        <color indexed="8"/>
        <rFont val="Arial"/>
        <family val="2"/>
      </rPr>
      <t>H</t>
    </r>
    <r>
      <rPr>
        <sz val="6"/>
        <color indexed="8"/>
        <rFont val="Arial"/>
        <family val="2"/>
      </rPr>
      <t>=1</t>
    </r>
    <r>
      <rPr>
        <sz val="6"/>
        <color indexed="8"/>
        <rFont val="Arial"/>
        <family val="2"/>
      </rPr>
      <t>,</t>
    </r>
    <r>
      <rPr>
        <sz val="6"/>
        <color indexed="8"/>
        <rFont val="Arial"/>
        <family val="2"/>
      </rPr>
      <t>0M</t>
    </r>
  </si>
  <si>
    <r>
      <rPr>
        <b/>
        <sz val="6"/>
        <color indexed="8"/>
        <rFont val="Arial"/>
        <family val="2"/>
      </rPr>
      <t>A</t>
    </r>
    <r>
      <rPr>
        <b/>
        <sz val="6"/>
        <color indexed="8"/>
        <rFont val="Arial"/>
        <family val="2"/>
      </rPr>
      <t>L</t>
    </r>
    <r>
      <rPr>
        <b/>
        <sz val="6"/>
        <color indexed="8"/>
        <rFont val="Arial"/>
        <family val="2"/>
      </rPr>
      <t>VE</t>
    </r>
    <r>
      <rPr>
        <b/>
        <sz val="6"/>
        <color indexed="8"/>
        <rFont val="Arial"/>
        <family val="2"/>
      </rPr>
      <t>N</t>
    </r>
    <r>
      <rPr>
        <b/>
        <sz val="6"/>
        <color indexed="8"/>
        <rFont val="Arial"/>
        <family val="2"/>
      </rPr>
      <t>A</t>
    </r>
    <r>
      <rPr>
        <b/>
        <sz val="6"/>
        <color indexed="8"/>
        <rFont val="Arial"/>
        <family val="2"/>
      </rPr>
      <t>R</t>
    </r>
    <r>
      <rPr>
        <b/>
        <sz val="6"/>
        <color indexed="8"/>
        <rFont val="Arial"/>
        <family val="2"/>
      </rPr>
      <t>I</t>
    </r>
    <r>
      <rPr>
        <b/>
        <sz val="6"/>
        <color indexed="8"/>
        <rFont val="Arial"/>
        <family val="2"/>
      </rPr>
      <t>A</t>
    </r>
    <r>
      <rPr>
        <b/>
        <sz val="6"/>
        <color indexed="8"/>
        <rFont val="Arial"/>
        <family val="2"/>
      </rPr>
      <t>S,</t>
    </r>
    <r>
      <rPr>
        <b/>
        <sz val="6"/>
        <color indexed="8"/>
        <rFont val="Arial"/>
        <family val="2"/>
      </rPr>
      <t xml:space="preserve"> </t>
    </r>
    <r>
      <rPr>
        <b/>
        <sz val="6"/>
        <color indexed="8"/>
        <rFont val="Arial"/>
        <family val="2"/>
      </rPr>
      <t>D</t>
    </r>
    <r>
      <rPr>
        <b/>
        <sz val="6"/>
        <color indexed="8"/>
        <rFont val="Arial"/>
        <family val="2"/>
      </rPr>
      <t>I</t>
    </r>
    <r>
      <rPr>
        <b/>
        <sz val="6"/>
        <color indexed="8"/>
        <rFont val="Arial"/>
        <family val="2"/>
      </rPr>
      <t>V</t>
    </r>
    <r>
      <rPr>
        <b/>
        <sz val="6"/>
        <color indexed="8"/>
        <rFont val="Arial"/>
        <family val="2"/>
      </rPr>
      <t>I</t>
    </r>
    <r>
      <rPr>
        <b/>
        <sz val="6"/>
        <color indexed="8"/>
        <rFont val="Arial"/>
        <family val="2"/>
      </rPr>
      <t>SÓ</t>
    </r>
    <r>
      <rPr>
        <b/>
        <sz val="6"/>
        <color indexed="8"/>
        <rFont val="Arial"/>
        <family val="2"/>
      </rPr>
      <t>R</t>
    </r>
    <r>
      <rPr>
        <b/>
        <sz val="6"/>
        <color indexed="8"/>
        <rFont val="Arial"/>
        <family val="2"/>
      </rPr>
      <t>I</t>
    </r>
    <r>
      <rPr>
        <b/>
        <sz val="6"/>
        <color indexed="8"/>
        <rFont val="Arial"/>
        <family val="2"/>
      </rPr>
      <t>A</t>
    </r>
    <r>
      <rPr>
        <b/>
        <sz val="6"/>
        <color indexed="8"/>
        <rFont val="Arial"/>
        <family val="2"/>
      </rPr>
      <t>S</t>
    </r>
    <r>
      <rPr>
        <b/>
        <sz val="6"/>
        <color indexed="8"/>
        <rFont val="Arial"/>
        <family val="2"/>
      </rPr>
      <t xml:space="preserve"> </t>
    </r>
    <r>
      <rPr>
        <b/>
        <sz val="6"/>
        <color indexed="8"/>
        <rFont val="Arial"/>
        <family val="2"/>
      </rPr>
      <t xml:space="preserve"> </t>
    </r>
    <r>
      <rPr>
        <b/>
        <sz val="6"/>
        <color indexed="8"/>
        <rFont val="Arial"/>
        <family val="2"/>
      </rPr>
      <t>E</t>
    </r>
    <r>
      <rPr>
        <b/>
        <sz val="6"/>
        <color indexed="8"/>
        <rFont val="Arial"/>
        <family val="2"/>
      </rPr>
      <t xml:space="preserve"> </t>
    </r>
    <r>
      <rPr>
        <b/>
        <sz val="6"/>
        <color indexed="8"/>
        <rFont val="Arial"/>
        <family val="2"/>
      </rPr>
      <t>F</t>
    </r>
    <r>
      <rPr>
        <b/>
        <sz val="6"/>
        <color indexed="8"/>
        <rFont val="Arial"/>
        <family val="2"/>
      </rPr>
      <t>E</t>
    </r>
    <r>
      <rPr>
        <b/>
        <sz val="6"/>
        <color indexed="8"/>
        <rFont val="Arial"/>
        <family val="2"/>
      </rPr>
      <t>C</t>
    </r>
    <r>
      <rPr>
        <b/>
        <sz val="6"/>
        <color indexed="8"/>
        <rFont val="Arial"/>
        <family val="2"/>
      </rPr>
      <t>H</t>
    </r>
    <r>
      <rPr>
        <b/>
        <sz val="6"/>
        <color indexed="8"/>
        <rFont val="Arial"/>
        <family val="2"/>
      </rPr>
      <t>A</t>
    </r>
    <r>
      <rPr>
        <b/>
        <sz val="6"/>
        <color indexed="8"/>
        <rFont val="Arial"/>
        <family val="2"/>
      </rPr>
      <t>M</t>
    </r>
    <r>
      <rPr>
        <b/>
        <sz val="6"/>
        <color indexed="8"/>
        <rFont val="Arial"/>
        <family val="2"/>
      </rPr>
      <t>E</t>
    </r>
    <r>
      <rPr>
        <b/>
        <sz val="6"/>
        <color indexed="8"/>
        <rFont val="Arial"/>
        <family val="2"/>
      </rPr>
      <t>N</t>
    </r>
    <r>
      <rPr>
        <b/>
        <sz val="6"/>
        <color indexed="8"/>
        <rFont val="Arial"/>
        <family val="2"/>
      </rPr>
      <t>T</t>
    </r>
    <r>
      <rPr>
        <b/>
        <sz val="6"/>
        <color indexed="8"/>
        <rFont val="Arial"/>
        <family val="2"/>
      </rPr>
      <t>OS</t>
    </r>
  </si>
  <si>
    <t>ALVENARIA  TIJOLO FURADO 1 VEZ, CIM/CAL/AREIA 1:3:6 C/ANDAIME</t>
  </si>
  <si>
    <t>ALVENARIA  TIJOLO FURADO 1 VEZ, CIM/CAL/AREIA 1:3:6 S/ANDAIME</t>
  </si>
  <si>
    <t>ALVENARIA  TIJOLO FURADO 1/2 VEZ, CIM/CAL/AREIA 1:3:6 C/AND.</t>
  </si>
  <si>
    <t>ALVENARIA  TIJOLO FURADO 1/2 VEZ, CIM/CAL/AREIA 1:3:6 S/AND.</t>
  </si>
  <si>
    <t>ALVENARIA  TIJOLO MACIÇO 1 VEZ, CIM.CAL.AREIA 1:3:6 S/ANDAIME</t>
  </si>
  <si>
    <t>ALVENARIA  TIJOLO MACIÇO 1 VEZ, CIM/CAL/AREIA 1:3:6 C/ANDAIME</t>
  </si>
  <si>
    <t>ALVENARIA  TIJOLO MACIÇO 1/2 VEZ, CIM/CAL/AREIA 1:3:6 C/AND.</t>
  </si>
  <si>
    <t>ALVENARIA  TIJOLO MACIÇO 1/2 VEZ, CIM/CAL/AREIA 1:3:6 S/AND.</t>
  </si>
  <si>
    <t>ELEMENTO  VAZADO DE CONCRETO  (0.50 X 0.50 M)</t>
  </si>
  <si>
    <r>
      <rPr>
        <b/>
        <sz val="6"/>
        <color indexed="8"/>
        <rFont val="Arial"/>
        <family val="2"/>
      </rPr>
      <t>R</t>
    </r>
    <r>
      <rPr>
        <b/>
        <sz val="6"/>
        <color indexed="8"/>
        <rFont val="Arial"/>
        <family val="2"/>
      </rPr>
      <t>EVES</t>
    </r>
    <r>
      <rPr>
        <b/>
        <sz val="6"/>
        <color indexed="8"/>
        <rFont val="Arial"/>
        <family val="2"/>
      </rPr>
      <t>T</t>
    </r>
    <r>
      <rPr>
        <b/>
        <sz val="6"/>
        <color indexed="8"/>
        <rFont val="Arial"/>
        <family val="2"/>
      </rPr>
      <t>I</t>
    </r>
    <r>
      <rPr>
        <b/>
        <sz val="6"/>
        <color indexed="8"/>
        <rFont val="Arial"/>
        <family val="2"/>
      </rPr>
      <t>M</t>
    </r>
    <r>
      <rPr>
        <b/>
        <sz val="6"/>
        <color indexed="8"/>
        <rFont val="Arial"/>
        <family val="2"/>
      </rPr>
      <t>E</t>
    </r>
    <r>
      <rPr>
        <b/>
        <sz val="6"/>
        <color indexed="8"/>
        <rFont val="Arial"/>
        <family val="2"/>
      </rPr>
      <t>N</t>
    </r>
    <r>
      <rPr>
        <b/>
        <sz val="6"/>
        <color indexed="8"/>
        <rFont val="Arial"/>
        <family val="2"/>
      </rPr>
      <t>T</t>
    </r>
    <r>
      <rPr>
        <b/>
        <sz val="6"/>
        <color indexed="8"/>
        <rFont val="Arial"/>
        <family val="2"/>
      </rPr>
      <t>OS</t>
    </r>
  </si>
  <si>
    <t>ARGAMASSA  CIMENTO E AREIA 1:3 - ESP. 2.5 CM</t>
  </si>
  <si>
    <t>ARGAMASSA  CIMENTO E AREIA 1:3 COM ADITIVO IMPERMEABILIZANTE, ESP=2.5 CM</t>
  </si>
  <si>
    <t>ARGAMASSA  CIMENTO E AREIA 1:4 - ESP. 2.5 CM</t>
  </si>
  <si>
    <t>ARGAMASSA  CIMENTO E AREIA 1:4 COM ADITIVO IMPERMEABILIZANTE, ESP=2.5 CM</t>
  </si>
  <si>
    <t>ARGAMASSA  CIMENTO E AREIA 1:5 REB.RÚSTICO CIMENTO ESP=2.5 CM</t>
  </si>
  <si>
    <t>CAPEAMENTO COM ARGAMASSA  CIMENTO E AREIA 1:3</t>
  </si>
  <si>
    <t>CHAPISCO  CIMENTO E AREIA 1:3</t>
  </si>
  <si>
    <t>REVESTIMENTO COM AZULEJO INCLUSIVE  O EMBOCO COM CAL</t>
  </si>
  <si>
    <t>REVESTIMENTO COM AZULEJO INCLUSIVE  O EMBOCO COM SAIBRO</t>
  </si>
  <si>
    <t>REGULARIZAÇÃO FUNDO COM ARGAMASSA  CIMENTO E AREIA 1:3</t>
  </si>
  <si>
    <r>
      <rPr>
        <b/>
        <sz val="6"/>
        <color indexed="8"/>
        <rFont val="Arial"/>
        <family val="2"/>
      </rPr>
      <t>C</t>
    </r>
    <r>
      <rPr>
        <b/>
        <sz val="6"/>
        <color indexed="8"/>
        <rFont val="Arial"/>
        <family val="2"/>
      </rPr>
      <t>O</t>
    </r>
    <r>
      <rPr>
        <b/>
        <sz val="6"/>
        <color indexed="8"/>
        <rFont val="Arial"/>
        <family val="2"/>
      </rPr>
      <t>B</t>
    </r>
    <r>
      <rPr>
        <b/>
        <sz val="6"/>
        <color indexed="8"/>
        <rFont val="Arial"/>
        <family val="2"/>
      </rPr>
      <t>E</t>
    </r>
    <r>
      <rPr>
        <b/>
        <sz val="6"/>
        <color indexed="8"/>
        <rFont val="Arial"/>
        <family val="2"/>
      </rPr>
      <t>R</t>
    </r>
    <r>
      <rPr>
        <b/>
        <sz val="6"/>
        <color indexed="8"/>
        <rFont val="Arial"/>
        <family val="2"/>
      </rPr>
      <t>T</t>
    </r>
    <r>
      <rPr>
        <b/>
        <sz val="6"/>
        <color indexed="8"/>
        <rFont val="Arial"/>
        <family val="2"/>
      </rPr>
      <t>U</t>
    </r>
    <r>
      <rPr>
        <b/>
        <sz val="6"/>
        <color indexed="8"/>
        <rFont val="Arial"/>
        <family val="2"/>
      </rPr>
      <t>R</t>
    </r>
    <r>
      <rPr>
        <b/>
        <sz val="6"/>
        <color indexed="8"/>
        <rFont val="Arial"/>
        <family val="2"/>
      </rPr>
      <t>A</t>
    </r>
    <r>
      <rPr>
        <b/>
        <sz val="6"/>
        <color indexed="8"/>
        <rFont val="Arial"/>
        <family val="2"/>
      </rPr>
      <t>,</t>
    </r>
    <r>
      <rPr>
        <b/>
        <sz val="6"/>
        <color indexed="8"/>
        <rFont val="Arial"/>
        <family val="2"/>
      </rPr>
      <t xml:space="preserve"> </t>
    </r>
    <r>
      <rPr>
        <b/>
        <sz val="6"/>
        <color indexed="8"/>
        <rFont val="Arial"/>
        <family val="2"/>
      </rPr>
      <t>PE</t>
    </r>
    <r>
      <rPr>
        <b/>
        <sz val="6"/>
        <color indexed="8"/>
        <rFont val="Arial"/>
        <family val="2"/>
      </rPr>
      <t>Ç</t>
    </r>
    <r>
      <rPr>
        <b/>
        <sz val="6"/>
        <color indexed="8"/>
        <rFont val="Arial"/>
        <family val="2"/>
      </rPr>
      <t>A</t>
    </r>
    <r>
      <rPr>
        <b/>
        <sz val="6"/>
        <color indexed="8"/>
        <rFont val="Arial"/>
        <family val="2"/>
      </rPr>
      <t>S</t>
    </r>
    <r>
      <rPr>
        <b/>
        <sz val="6"/>
        <color indexed="8"/>
        <rFont val="Arial"/>
        <family val="2"/>
      </rPr>
      <t xml:space="preserve"> </t>
    </r>
    <r>
      <rPr>
        <b/>
        <sz val="6"/>
        <color indexed="8"/>
        <rFont val="Arial"/>
        <family val="2"/>
      </rPr>
      <t>E</t>
    </r>
    <r>
      <rPr>
        <b/>
        <sz val="6"/>
        <color indexed="8"/>
        <rFont val="Arial"/>
        <family val="2"/>
      </rPr>
      <t xml:space="preserve"> </t>
    </r>
    <r>
      <rPr>
        <b/>
        <sz val="6"/>
        <color indexed="8"/>
        <rFont val="Arial"/>
        <family val="2"/>
      </rPr>
      <t>A</t>
    </r>
    <r>
      <rPr>
        <b/>
        <sz val="6"/>
        <color indexed="8"/>
        <rFont val="Arial"/>
        <family val="2"/>
      </rPr>
      <t>PO</t>
    </r>
    <r>
      <rPr>
        <b/>
        <sz val="6"/>
        <color indexed="8"/>
        <rFont val="Arial"/>
        <family val="2"/>
      </rPr>
      <t>I</t>
    </r>
    <r>
      <rPr>
        <b/>
        <sz val="6"/>
        <color indexed="8"/>
        <rFont val="Arial"/>
        <family val="2"/>
      </rPr>
      <t>OS</t>
    </r>
    <r>
      <rPr>
        <b/>
        <sz val="6"/>
        <color indexed="8"/>
        <rFont val="Arial"/>
        <family val="2"/>
      </rPr>
      <t xml:space="preserve"> </t>
    </r>
    <r>
      <rPr>
        <b/>
        <sz val="6"/>
        <color indexed="8"/>
        <rFont val="Arial"/>
        <family val="2"/>
      </rPr>
      <t>D</t>
    </r>
    <r>
      <rPr>
        <b/>
        <sz val="6"/>
        <color indexed="8"/>
        <rFont val="Arial"/>
        <family val="2"/>
      </rPr>
      <t>E</t>
    </r>
    <r>
      <rPr>
        <b/>
        <sz val="6"/>
        <color indexed="8"/>
        <rFont val="Arial"/>
        <family val="2"/>
      </rPr>
      <t xml:space="preserve"> </t>
    </r>
    <r>
      <rPr>
        <b/>
        <sz val="6"/>
        <color indexed="8"/>
        <rFont val="Arial"/>
        <family val="2"/>
      </rPr>
      <t>M</t>
    </r>
    <r>
      <rPr>
        <b/>
        <sz val="6"/>
        <color indexed="8"/>
        <rFont val="Arial"/>
        <family val="2"/>
      </rPr>
      <t>A</t>
    </r>
    <r>
      <rPr>
        <b/>
        <sz val="6"/>
        <color indexed="8"/>
        <rFont val="Arial"/>
        <family val="2"/>
      </rPr>
      <t>D</t>
    </r>
    <r>
      <rPr>
        <b/>
        <sz val="6"/>
        <color indexed="8"/>
        <rFont val="Arial"/>
        <family val="2"/>
      </rPr>
      <t>E</t>
    </r>
    <r>
      <rPr>
        <b/>
        <sz val="6"/>
        <color indexed="8"/>
        <rFont val="Arial"/>
        <family val="2"/>
      </rPr>
      <t>I</t>
    </r>
    <r>
      <rPr>
        <b/>
        <sz val="6"/>
        <color indexed="8"/>
        <rFont val="Arial"/>
        <family val="2"/>
      </rPr>
      <t>R</t>
    </r>
    <r>
      <rPr>
        <b/>
        <sz val="6"/>
        <color indexed="8"/>
        <rFont val="Arial"/>
        <family val="2"/>
      </rPr>
      <t>A</t>
    </r>
  </si>
  <si>
    <t>FORRO LAJOTA CERAMICA  ASSENTADAS NERVURAS  CONCRETO  ARMADO</t>
  </si>
  <si>
    <t>COBERTURA  COM TELHA CERÂMICA  TIPO PLAN, INCLUINDO  ESTRUTURA  DE MADEIRA DE LEI</t>
  </si>
  <si>
    <t>COBERTURA  COM TELHAS DE PERFIL TRAPEZOIDAL TIPO K-49, KALHETA OU SIMILAR</t>
  </si>
  <si>
    <t>COBERTURA  COM TELHAS DE PERFIL TRAPEZOIDAL TIPO K-90</t>
  </si>
  <si>
    <t>COBERTURA  COM TELHAS ONDULADAS  FIBRO CIMENTO ESP.=6 MM</t>
  </si>
  <si>
    <t>COBERTURA  EM TELHA CERÂMICA  TIPO FRANCESA</t>
  </si>
  <si>
    <r>
      <rPr>
        <b/>
        <sz val="6"/>
        <color indexed="8"/>
        <rFont val="Arial"/>
        <family val="2"/>
      </rPr>
      <t>ESQ</t>
    </r>
    <r>
      <rPr>
        <b/>
        <sz val="6"/>
        <color indexed="8"/>
        <rFont val="Arial"/>
        <family val="2"/>
      </rPr>
      <t>U</t>
    </r>
    <r>
      <rPr>
        <b/>
        <sz val="6"/>
        <color indexed="8"/>
        <rFont val="Arial"/>
        <family val="2"/>
      </rPr>
      <t>A</t>
    </r>
    <r>
      <rPr>
        <b/>
        <sz val="6"/>
        <color indexed="8"/>
        <rFont val="Arial"/>
        <family val="2"/>
      </rPr>
      <t>D</t>
    </r>
    <r>
      <rPr>
        <b/>
        <sz val="6"/>
        <color indexed="8"/>
        <rFont val="Arial"/>
        <family val="2"/>
      </rPr>
      <t>R</t>
    </r>
    <r>
      <rPr>
        <b/>
        <sz val="6"/>
        <color indexed="8"/>
        <rFont val="Arial"/>
        <family val="2"/>
      </rPr>
      <t>I</t>
    </r>
    <r>
      <rPr>
        <b/>
        <sz val="6"/>
        <color indexed="8"/>
        <rFont val="Arial"/>
        <family val="2"/>
      </rPr>
      <t>A</t>
    </r>
    <r>
      <rPr>
        <b/>
        <sz val="6"/>
        <color indexed="8"/>
        <rFont val="Arial"/>
        <family val="2"/>
      </rPr>
      <t>S</t>
    </r>
  </si>
  <si>
    <t>ESQUADRIA  MADEIRA CEDRO, BATENTE PEROBA PARA PINTURA A OLEO, DIMENSÕES:  0,6X2,1M</t>
  </si>
  <si>
    <t>ESQUADRIA  MADEIRA CEDRO, BATENTE PEROBA PARA PINTURA A OLEO, DIMENSÕES:  0,7X2,1M</t>
  </si>
  <si>
    <t>ESQUADRIA  MADEIRA CEDRO, BATENTE PEROBA PARA PINTURA A OLEO, DIMENSÕES:  0,8X2,1M</t>
  </si>
  <si>
    <t>ESQUADRIA  MADEIRA CEDRO, BATENTE PEROBA PARA PINTURA VERNIZ, DIMENSÕES:  0,7X2,1M</t>
  </si>
  <si>
    <t>ESQUADRIA  MADEIRA CEDRO, BATENTE PEROBA PARA PINTURA VERNIZ, DIMENSÕES:  0,8X2,1M</t>
  </si>
  <si>
    <t>ESQUADRIA  MADEIRA CEDRO,BATENTE PEROBA PARA PINTURA VERNIZ, DIMENSÕES:  0,6X2,1M</t>
  </si>
  <si>
    <r>
      <rPr>
        <b/>
        <sz val="6"/>
        <color indexed="8"/>
        <rFont val="Arial"/>
        <family val="2"/>
      </rPr>
      <t>P</t>
    </r>
    <r>
      <rPr>
        <b/>
        <sz val="6"/>
        <color indexed="8"/>
        <rFont val="Arial"/>
        <family val="2"/>
      </rPr>
      <t>A</t>
    </r>
    <r>
      <rPr>
        <b/>
        <sz val="6"/>
        <color indexed="8"/>
        <rFont val="Arial"/>
        <family val="2"/>
      </rPr>
      <t>V</t>
    </r>
    <r>
      <rPr>
        <b/>
        <sz val="6"/>
        <color indexed="8"/>
        <rFont val="Arial"/>
        <family val="2"/>
      </rPr>
      <t>I</t>
    </r>
    <r>
      <rPr>
        <b/>
        <sz val="6"/>
        <color indexed="8"/>
        <rFont val="Arial"/>
        <family val="2"/>
      </rPr>
      <t>M</t>
    </r>
    <r>
      <rPr>
        <b/>
        <sz val="6"/>
        <color indexed="8"/>
        <rFont val="Arial"/>
        <family val="2"/>
      </rPr>
      <t>E</t>
    </r>
    <r>
      <rPr>
        <b/>
        <sz val="6"/>
        <color indexed="8"/>
        <rFont val="Arial"/>
        <family val="2"/>
      </rPr>
      <t>N</t>
    </r>
    <r>
      <rPr>
        <b/>
        <sz val="6"/>
        <color indexed="8"/>
        <rFont val="Arial"/>
        <family val="2"/>
      </rPr>
      <t>T</t>
    </r>
    <r>
      <rPr>
        <b/>
        <sz val="6"/>
        <color indexed="8"/>
        <rFont val="Arial"/>
        <family val="2"/>
      </rPr>
      <t>A</t>
    </r>
    <r>
      <rPr>
        <b/>
        <sz val="6"/>
        <color indexed="8"/>
        <rFont val="Arial"/>
        <family val="2"/>
      </rPr>
      <t>Ç</t>
    </r>
    <r>
      <rPr>
        <b/>
        <sz val="6"/>
        <color indexed="8"/>
        <rFont val="Arial"/>
        <family val="2"/>
      </rPr>
      <t>ÕES</t>
    </r>
  </si>
  <si>
    <t>CONCRETO  MAGRO CONSUMO  DE CIMENTO=150 KG/M3</t>
  </si>
  <si>
    <t>CALÇADA, CONSUMO  DE CIMENTO DE 200 KG/M3, ESP=8 CM</t>
  </si>
  <si>
    <t>CONTRAPISO  DE CONCRETO  ESP=3 CM</t>
  </si>
  <si>
    <t>LADRILHO TIPO HIDRÁULICO  ESPECIAL</t>
  </si>
  <si>
    <t>LADRILHO TIPO HIDRÁULICO  SIMPLES</t>
  </si>
  <si>
    <t>PISO CERÂMICO  20 X 10 CM</t>
  </si>
  <si>
    <t>PISO CERÂMICO  20 X 20 CM</t>
  </si>
  <si>
    <t>PISO CERÂMICO  31,5 X 31,5 CM PI - IV</t>
  </si>
  <si>
    <t>PISO CIMENTADO  E QUEIMADO  A COLHER COM  VERMELHÃO</t>
  </si>
  <si>
    <t>RODAPÉ DE ARGAMASSA  CIMENTO E AREIA</t>
  </si>
  <si>
    <t>RODAPÉ DE LADRILHO CERÂMICO  7.5 X 15 CM</t>
  </si>
  <si>
    <r>
      <rPr>
        <b/>
        <sz val="6"/>
        <color indexed="8"/>
        <rFont val="Arial"/>
        <family val="2"/>
      </rPr>
      <t>P</t>
    </r>
    <r>
      <rPr>
        <b/>
        <sz val="6"/>
        <color indexed="8"/>
        <rFont val="Arial"/>
        <family val="2"/>
      </rPr>
      <t>I</t>
    </r>
    <r>
      <rPr>
        <b/>
        <sz val="6"/>
        <color indexed="8"/>
        <rFont val="Arial"/>
        <family val="2"/>
      </rPr>
      <t>N</t>
    </r>
    <r>
      <rPr>
        <b/>
        <sz val="6"/>
        <color indexed="8"/>
        <rFont val="Arial"/>
        <family val="2"/>
      </rPr>
      <t>T</t>
    </r>
    <r>
      <rPr>
        <b/>
        <sz val="6"/>
        <color indexed="8"/>
        <rFont val="Arial"/>
        <family val="2"/>
      </rPr>
      <t>U</t>
    </r>
    <r>
      <rPr>
        <b/>
        <sz val="6"/>
        <color indexed="8"/>
        <rFont val="Arial"/>
        <family val="2"/>
      </rPr>
      <t>R</t>
    </r>
    <r>
      <rPr>
        <b/>
        <sz val="6"/>
        <color indexed="8"/>
        <rFont val="Arial"/>
        <family val="2"/>
      </rPr>
      <t>A</t>
    </r>
    <r>
      <rPr>
        <b/>
        <sz val="6"/>
        <color indexed="8"/>
        <rFont val="Arial"/>
        <family val="2"/>
      </rPr>
      <t>S</t>
    </r>
  </si>
  <si>
    <t>PINTURA LATEX,  TRÊS DEMÃOS SEM MASSA</t>
  </si>
  <si>
    <t>PINTURA PAREDES CONC. O/U TIJOLOS CERAM.COM  UMA DEMÃO SILICONE</t>
  </si>
  <si>
    <t>PINTURA VERNIZ EM ESQUADRIAS  DE MADEIRA COM TRÊS DEMÃOS</t>
  </si>
  <si>
    <r>
      <rPr>
        <b/>
        <sz val="6"/>
        <color indexed="8"/>
        <rFont val="Arial"/>
        <family val="2"/>
      </rPr>
      <t>U</t>
    </r>
    <r>
      <rPr>
        <b/>
        <sz val="6"/>
        <color indexed="8"/>
        <rFont val="Arial"/>
        <family val="2"/>
      </rPr>
      <t>R</t>
    </r>
    <r>
      <rPr>
        <b/>
        <sz val="6"/>
        <color indexed="8"/>
        <rFont val="Arial"/>
        <family val="2"/>
      </rPr>
      <t>B</t>
    </r>
    <r>
      <rPr>
        <b/>
        <sz val="6"/>
        <color indexed="8"/>
        <rFont val="Arial"/>
        <family val="2"/>
      </rPr>
      <t>A</t>
    </r>
    <r>
      <rPr>
        <b/>
        <sz val="6"/>
        <color indexed="8"/>
        <rFont val="Arial"/>
        <family val="2"/>
      </rPr>
      <t>N</t>
    </r>
    <r>
      <rPr>
        <b/>
        <sz val="6"/>
        <color indexed="8"/>
        <rFont val="Arial"/>
        <family val="2"/>
      </rPr>
      <t>I</t>
    </r>
    <r>
      <rPr>
        <b/>
        <sz val="6"/>
        <color indexed="8"/>
        <rFont val="Arial"/>
        <family val="2"/>
      </rPr>
      <t>Z</t>
    </r>
    <r>
      <rPr>
        <b/>
        <sz val="6"/>
        <color indexed="8"/>
        <rFont val="Arial"/>
        <family val="2"/>
      </rPr>
      <t>A</t>
    </r>
    <r>
      <rPr>
        <b/>
        <sz val="6"/>
        <color indexed="8"/>
        <rFont val="Arial"/>
        <family val="2"/>
      </rPr>
      <t>Ç</t>
    </r>
    <r>
      <rPr>
        <b/>
        <sz val="6"/>
        <color indexed="8"/>
        <rFont val="Arial"/>
        <family val="2"/>
      </rPr>
      <t>Ã</t>
    </r>
    <r>
      <rPr>
        <b/>
        <sz val="6"/>
        <color indexed="8"/>
        <rFont val="Arial"/>
        <family val="2"/>
      </rPr>
      <t>O</t>
    </r>
    <r>
      <rPr>
        <b/>
        <sz val="6"/>
        <color indexed="8"/>
        <rFont val="Arial"/>
        <family val="2"/>
      </rPr>
      <t xml:space="preserve"> </t>
    </r>
    <r>
      <rPr>
        <b/>
        <sz val="6"/>
        <color indexed="8"/>
        <rFont val="Arial"/>
        <family val="2"/>
      </rPr>
      <t>E</t>
    </r>
    <r>
      <rPr>
        <b/>
        <sz val="6"/>
        <color indexed="8"/>
        <rFont val="Arial"/>
        <family val="2"/>
      </rPr>
      <t xml:space="preserve"> </t>
    </r>
    <r>
      <rPr>
        <b/>
        <sz val="6"/>
        <color indexed="8"/>
        <rFont val="Arial"/>
        <family val="2"/>
      </rPr>
      <t>SE</t>
    </r>
    <r>
      <rPr>
        <b/>
        <sz val="6"/>
        <color indexed="8"/>
        <rFont val="Arial"/>
        <family val="2"/>
      </rPr>
      <t>R</t>
    </r>
    <r>
      <rPr>
        <b/>
        <sz val="6"/>
        <color indexed="8"/>
        <rFont val="Arial"/>
        <family val="2"/>
      </rPr>
      <t>V</t>
    </r>
    <r>
      <rPr>
        <b/>
        <sz val="6"/>
        <color indexed="8"/>
        <rFont val="Arial"/>
        <family val="2"/>
      </rPr>
      <t>I</t>
    </r>
    <r>
      <rPr>
        <b/>
        <sz val="6"/>
        <color indexed="8"/>
        <rFont val="Arial"/>
        <family val="2"/>
      </rPr>
      <t>Ç</t>
    </r>
    <r>
      <rPr>
        <b/>
        <sz val="6"/>
        <color indexed="8"/>
        <rFont val="Arial"/>
        <family val="2"/>
      </rPr>
      <t>OS</t>
    </r>
    <r>
      <rPr>
        <b/>
        <sz val="6"/>
        <color indexed="8"/>
        <rFont val="Arial"/>
        <family val="2"/>
      </rPr>
      <t xml:space="preserve"> </t>
    </r>
    <r>
      <rPr>
        <b/>
        <sz val="6"/>
        <color indexed="8"/>
        <rFont val="Arial"/>
        <family val="2"/>
      </rPr>
      <t>C</t>
    </r>
    <r>
      <rPr>
        <b/>
        <sz val="6"/>
        <color indexed="8"/>
        <rFont val="Arial"/>
        <family val="2"/>
      </rPr>
      <t>O</t>
    </r>
    <r>
      <rPr>
        <b/>
        <sz val="6"/>
        <color indexed="8"/>
        <rFont val="Arial"/>
        <family val="2"/>
      </rPr>
      <t>M</t>
    </r>
    <r>
      <rPr>
        <b/>
        <sz val="6"/>
        <color indexed="8"/>
        <rFont val="Arial"/>
        <family val="2"/>
      </rPr>
      <t>P</t>
    </r>
    <r>
      <rPr>
        <b/>
        <sz val="6"/>
        <color indexed="8"/>
        <rFont val="Arial"/>
        <family val="2"/>
      </rPr>
      <t>L</t>
    </r>
    <r>
      <rPr>
        <b/>
        <sz val="6"/>
        <color indexed="8"/>
        <rFont val="Arial"/>
        <family val="2"/>
      </rPr>
      <t>E</t>
    </r>
    <r>
      <rPr>
        <b/>
        <sz val="6"/>
        <color indexed="8"/>
        <rFont val="Arial"/>
        <family val="2"/>
      </rPr>
      <t>M</t>
    </r>
    <r>
      <rPr>
        <b/>
        <sz val="6"/>
        <color indexed="8"/>
        <rFont val="Arial"/>
        <family val="2"/>
      </rPr>
      <t>E</t>
    </r>
    <r>
      <rPr>
        <b/>
        <sz val="6"/>
        <color indexed="8"/>
        <rFont val="Arial"/>
        <family val="2"/>
      </rPr>
      <t>N</t>
    </r>
    <r>
      <rPr>
        <b/>
        <sz val="6"/>
        <color indexed="8"/>
        <rFont val="Arial"/>
        <family val="2"/>
      </rPr>
      <t>T</t>
    </r>
    <r>
      <rPr>
        <b/>
        <sz val="6"/>
        <color indexed="8"/>
        <rFont val="Arial"/>
        <family val="2"/>
      </rPr>
      <t>A</t>
    </r>
    <r>
      <rPr>
        <b/>
        <sz val="6"/>
        <color indexed="8"/>
        <rFont val="Arial"/>
        <family val="2"/>
      </rPr>
      <t>R</t>
    </r>
    <r>
      <rPr>
        <b/>
        <sz val="6"/>
        <color indexed="8"/>
        <rFont val="Arial"/>
        <family val="2"/>
      </rPr>
      <t>ES</t>
    </r>
  </si>
  <si>
    <t>LASTRO DE AREIA.</t>
  </si>
  <si>
    <t>LOGOTIPO  PADRÃO SANEAGO</t>
  </si>
  <si>
    <t>ESCADA MARINHEIRO  SEM PROTEÇÃO</t>
  </si>
  <si>
    <t>GUARDA-CORPO DE TUBO INDUSTRIAL  1.1/2" (40 MM) CHAPA 13;  H=1,0 M, C/ TELA ARTÍSTICA   3 X 3 FIO 12, PERFIL  U  DIM.  19,05  X 19,05  X 3,17  MM,  BARRA  RETANGULAR  DIM  9,52  X 6,35  MM,  FIXADA  EM  CHAPA METÁLICA DIM: 0,20 X 0,10 X 0,05 CM, C/ INJENÇÃO DE SILICONE,</t>
  </si>
  <si>
    <r>
      <rPr>
        <sz val="6"/>
        <color indexed="8"/>
        <rFont val="Arial"/>
        <family val="2"/>
      </rPr>
      <t>M</t>
    </r>
  </si>
  <si>
    <r>
      <rPr>
        <sz val="6"/>
        <color indexed="8"/>
        <rFont val="Arial"/>
        <family val="2"/>
      </rPr>
      <t>ASSE</t>
    </r>
    <r>
      <rPr>
        <sz val="6"/>
        <color indexed="8"/>
        <rFont val="Arial"/>
        <family val="2"/>
      </rPr>
      <t>N</t>
    </r>
    <r>
      <rPr>
        <sz val="6"/>
        <color indexed="8"/>
        <rFont val="Arial"/>
        <family val="2"/>
      </rPr>
      <t>T</t>
    </r>
    <r>
      <rPr>
        <sz val="6"/>
        <color indexed="8"/>
        <rFont val="Arial"/>
        <family val="2"/>
      </rPr>
      <t>A</t>
    </r>
    <r>
      <rPr>
        <sz val="6"/>
        <color indexed="8"/>
        <rFont val="Arial"/>
        <family val="2"/>
      </rPr>
      <t>M</t>
    </r>
    <r>
      <rPr>
        <sz val="6"/>
        <color indexed="8"/>
        <rFont val="Arial"/>
        <family val="2"/>
      </rPr>
      <t>E</t>
    </r>
    <r>
      <rPr>
        <sz val="6"/>
        <color indexed="8"/>
        <rFont val="Arial"/>
        <family val="2"/>
      </rPr>
      <t>N</t>
    </r>
    <r>
      <rPr>
        <sz val="6"/>
        <color indexed="8"/>
        <rFont val="Arial"/>
        <family val="2"/>
      </rPr>
      <t>T</t>
    </r>
    <r>
      <rPr>
        <sz val="6"/>
        <color indexed="8"/>
        <rFont val="Arial"/>
        <family val="2"/>
      </rPr>
      <t>O</t>
    </r>
    <r>
      <rPr>
        <sz val="6"/>
        <color indexed="8"/>
        <rFont val="Arial"/>
        <family val="2"/>
      </rPr>
      <t xml:space="preserve"> </t>
    </r>
    <r>
      <rPr>
        <sz val="6"/>
        <color indexed="8"/>
        <rFont val="Arial"/>
        <family val="2"/>
      </rPr>
      <t>BLO</t>
    </r>
    <r>
      <rPr>
        <sz val="6"/>
        <color indexed="8"/>
        <rFont val="Arial"/>
        <family val="2"/>
      </rPr>
      <t>C</t>
    </r>
    <r>
      <rPr>
        <sz val="6"/>
        <color indexed="8"/>
        <rFont val="Arial"/>
        <family val="2"/>
      </rPr>
      <t>OS</t>
    </r>
    <r>
      <rPr>
        <sz val="6"/>
        <color indexed="8"/>
        <rFont val="Arial"/>
        <family val="2"/>
      </rPr>
      <t xml:space="preserve"> </t>
    </r>
    <r>
      <rPr>
        <sz val="6"/>
        <color indexed="8"/>
        <rFont val="Arial"/>
        <family val="2"/>
      </rPr>
      <t>C</t>
    </r>
    <r>
      <rPr>
        <sz val="6"/>
        <color indexed="8"/>
        <rFont val="Arial"/>
        <family val="2"/>
      </rPr>
      <t>O</t>
    </r>
    <r>
      <rPr>
        <sz val="6"/>
        <color indexed="8"/>
        <rFont val="Arial"/>
        <family val="2"/>
      </rPr>
      <t>N</t>
    </r>
    <r>
      <rPr>
        <sz val="6"/>
        <color indexed="8"/>
        <rFont val="Arial"/>
        <family val="2"/>
      </rPr>
      <t>C</t>
    </r>
    <r>
      <rPr>
        <sz val="6"/>
        <color indexed="8"/>
        <rFont val="Arial"/>
        <family val="2"/>
      </rPr>
      <t>R</t>
    </r>
    <r>
      <rPr>
        <sz val="6"/>
        <color indexed="8"/>
        <rFont val="Arial"/>
        <family val="2"/>
      </rPr>
      <t>E</t>
    </r>
    <r>
      <rPr>
        <sz val="6"/>
        <color indexed="8"/>
        <rFont val="Arial"/>
        <family val="2"/>
      </rPr>
      <t>T</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H</t>
    </r>
    <r>
      <rPr>
        <sz val="6"/>
        <color indexed="8"/>
        <rFont val="Arial"/>
        <family val="2"/>
      </rPr>
      <t>E</t>
    </r>
    <r>
      <rPr>
        <sz val="6"/>
        <color indexed="8"/>
        <rFont val="Arial"/>
        <family val="2"/>
      </rPr>
      <t>X</t>
    </r>
    <r>
      <rPr>
        <sz val="6"/>
        <color indexed="8"/>
        <rFont val="Arial"/>
        <family val="2"/>
      </rPr>
      <t>AGO</t>
    </r>
    <r>
      <rPr>
        <sz val="6"/>
        <color indexed="8"/>
        <rFont val="Arial"/>
        <family val="2"/>
      </rPr>
      <t>N</t>
    </r>
    <r>
      <rPr>
        <sz val="6"/>
        <color indexed="8"/>
        <rFont val="Arial"/>
        <family val="2"/>
      </rPr>
      <t>AL</t>
    </r>
    <r>
      <rPr>
        <sz val="6"/>
        <color indexed="8"/>
        <rFont val="Arial"/>
        <family val="2"/>
      </rPr>
      <t xml:space="preserve"> </t>
    </r>
    <r>
      <rPr>
        <sz val="6"/>
        <color indexed="8"/>
        <rFont val="Arial"/>
        <family val="2"/>
      </rPr>
      <t xml:space="preserve"> </t>
    </r>
    <r>
      <rPr>
        <sz val="6"/>
        <color indexed="8"/>
        <rFont val="Arial"/>
        <family val="2"/>
      </rPr>
      <t>SOB</t>
    </r>
    <r>
      <rPr>
        <sz val="6"/>
        <color indexed="8"/>
        <rFont val="Arial"/>
        <family val="2"/>
      </rPr>
      <t>R</t>
    </r>
    <r>
      <rPr>
        <sz val="6"/>
        <color indexed="8"/>
        <rFont val="Arial"/>
        <family val="2"/>
      </rPr>
      <t>E</t>
    </r>
    <r>
      <rPr>
        <sz val="6"/>
        <color indexed="8"/>
        <rFont val="Arial"/>
        <family val="2"/>
      </rPr>
      <t xml:space="preserve"> </t>
    </r>
    <r>
      <rPr>
        <sz val="6"/>
        <color indexed="8"/>
        <rFont val="Arial"/>
        <family val="2"/>
      </rPr>
      <t>C</t>
    </r>
    <r>
      <rPr>
        <sz val="6"/>
        <color indexed="8"/>
        <rFont val="Arial"/>
        <family val="2"/>
      </rPr>
      <t>O</t>
    </r>
    <r>
      <rPr>
        <sz val="6"/>
        <color indexed="8"/>
        <rFont val="Arial"/>
        <family val="2"/>
      </rPr>
      <t>X</t>
    </r>
    <r>
      <rPr>
        <sz val="6"/>
        <color indexed="8"/>
        <rFont val="Arial"/>
        <family val="2"/>
      </rPr>
      <t>I</t>
    </r>
    <r>
      <rPr>
        <sz val="6"/>
        <color indexed="8"/>
        <rFont val="Arial"/>
        <family val="2"/>
      </rPr>
      <t>M</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A</t>
    </r>
    <r>
      <rPr>
        <sz val="6"/>
        <color indexed="8"/>
        <rFont val="Arial"/>
        <family val="2"/>
      </rPr>
      <t>R</t>
    </r>
    <r>
      <rPr>
        <sz val="6"/>
        <color indexed="8"/>
        <rFont val="Arial"/>
        <family val="2"/>
      </rPr>
      <t>E</t>
    </r>
    <r>
      <rPr>
        <sz val="6"/>
        <color indexed="8"/>
        <rFont val="Arial"/>
        <family val="2"/>
      </rPr>
      <t>I</t>
    </r>
    <r>
      <rPr>
        <sz val="6"/>
        <color indexed="8"/>
        <rFont val="Arial"/>
        <family val="2"/>
      </rPr>
      <t>A</t>
    </r>
  </si>
  <si>
    <t>BLOCO HEXAGONAL  "BLOKRET"  (FORNECIMENTO E ASSENTAMENTO.) SOBRE COXIM AREIA</t>
  </si>
  <si>
    <t>CONFECÇÃO  DE SARJETA</t>
  </si>
  <si>
    <t>FORNECIMENTO E ASSENTAMENTO PARALELEPÍPEDO SOBRE  COXIM AREIA S/PREP.CAIXA</t>
  </si>
  <si>
    <t>PAVIMENTAÇÃO COM PEDRISCO  (BRITA FINA) COM COMPACTAÇÃO, ESP.= 5 CM</t>
  </si>
  <si>
    <t>PAVIMENTAÇÃO COM PEDRISCO  (BRITA FINA) SEM COMPACTÇÃO, ESP.= 5 CM</t>
  </si>
  <si>
    <t>PLACA PRE-MOLDADA DE CONCRETO,  DIMENSÕES:  1,0 X 0,5 X 0,06 M</t>
  </si>
  <si>
    <t>PLANTIO DE GRAMA PLACAS COM MANUTENÇÃO POR  45 DIAS</t>
  </si>
  <si>
    <t>PORTÃO METÁLICO  PADRÃO SANEAGO PARA CERCA TIPO A:1,00 X 1,80 M</t>
  </si>
  <si>
    <t>PORTÃO METÁLICO  PADRÃO SANEAGO PARA CERCA TIPO A:4,00 X 1,80 M</t>
  </si>
  <si>
    <t>PORTÃO METÁLICO  PADRÃO SANEAGO PARA CERCA TIPO B:1,00 X 1,50 M</t>
  </si>
  <si>
    <t>PORTÃO METÁLICO  PADRÃO SANEAGO PARA CERCA TIPO B:4,00 X 1,50 M</t>
  </si>
  <si>
    <r>
      <rPr>
        <b/>
        <sz val="6"/>
        <color indexed="8"/>
        <rFont val="Arial"/>
        <family val="2"/>
      </rPr>
      <t>D</t>
    </r>
    <r>
      <rPr>
        <b/>
        <sz val="6"/>
        <color indexed="8"/>
        <rFont val="Arial"/>
        <family val="2"/>
      </rPr>
      <t>I</t>
    </r>
    <r>
      <rPr>
        <b/>
        <sz val="6"/>
        <color indexed="8"/>
        <rFont val="Arial"/>
        <family val="2"/>
      </rPr>
      <t>VE</t>
    </r>
    <r>
      <rPr>
        <b/>
        <sz val="6"/>
        <color indexed="8"/>
        <rFont val="Arial"/>
        <family val="2"/>
      </rPr>
      <t>R</t>
    </r>
    <r>
      <rPr>
        <b/>
        <sz val="6"/>
        <color indexed="8"/>
        <rFont val="Arial"/>
        <family val="2"/>
      </rPr>
      <t>SOS</t>
    </r>
  </si>
  <si>
    <t>BANCADA EM GRANITINA  PARA PIA OU LAVATÓRIO</t>
  </si>
  <si>
    <t>ESTRADO DE MADEIRA P/ DEPOSITO  PRODUTOS  QUÍMICOS</t>
  </si>
  <si>
    <r>
      <t>O</t>
    </r>
    <r>
      <rPr>
        <b/>
        <sz val="6"/>
        <color indexed="8"/>
        <rFont val="Arial"/>
        <family val="2"/>
      </rPr>
      <t>B</t>
    </r>
    <r>
      <rPr>
        <b/>
        <sz val="6"/>
        <color indexed="8"/>
        <rFont val="Arial"/>
        <family val="2"/>
      </rPr>
      <t>R</t>
    </r>
    <r>
      <rPr>
        <b/>
        <sz val="6"/>
        <color indexed="8"/>
        <rFont val="Arial"/>
        <family val="2"/>
      </rPr>
      <t>A</t>
    </r>
    <r>
      <rPr>
        <b/>
        <sz val="6"/>
        <color indexed="8"/>
        <rFont val="Arial"/>
        <family val="2"/>
      </rPr>
      <t>S</t>
    </r>
    <r>
      <rPr>
        <b/>
        <sz val="6"/>
        <color indexed="8"/>
        <rFont val="Arial"/>
        <family val="2"/>
      </rPr>
      <t xml:space="preserve"> </t>
    </r>
    <r>
      <rPr>
        <b/>
        <sz val="6"/>
        <color indexed="8"/>
        <rFont val="Arial"/>
        <family val="2"/>
      </rPr>
      <t>L</t>
    </r>
    <r>
      <rPr>
        <b/>
        <sz val="6"/>
        <color indexed="8"/>
        <rFont val="Arial"/>
        <family val="2"/>
      </rPr>
      <t>I</t>
    </r>
    <r>
      <rPr>
        <b/>
        <sz val="6"/>
        <color indexed="8"/>
        <rFont val="Arial"/>
        <family val="2"/>
      </rPr>
      <t>N</t>
    </r>
    <r>
      <rPr>
        <b/>
        <sz val="6"/>
        <color indexed="8"/>
        <rFont val="Arial"/>
        <family val="2"/>
      </rPr>
      <t>E</t>
    </r>
    <r>
      <rPr>
        <b/>
        <sz val="6"/>
        <color indexed="8"/>
        <rFont val="Arial"/>
        <family val="2"/>
      </rPr>
      <t>A</t>
    </r>
    <r>
      <rPr>
        <b/>
        <sz val="6"/>
        <color indexed="8"/>
        <rFont val="Arial"/>
        <family val="2"/>
      </rPr>
      <t>R</t>
    </r>
    <r>
      <rPr>
        <b/>
        <sz val="6"/>
        <color indexed="8"/>
        <rFont val="Arial"/>
        <family val="2"/>
      </rPr>
      <t xml:space="preserve">ES
</t>
    </r>
    <r>
      <rPr>
        <b/>
        <sz val="6"/>
        <color indexed="8"/>
        <rFont val="Arial"/>
        <family val="2"/>
      </rPr>
      <t>L</t>
    </r>
    <r>
      <rPr>
        <b/>
        <sz val="6"/>
        <color indexed="8"/>
        <rFont val="Arial"/>
        <family val="2"/>
      </rPr>
      <t>O</t>
    </r>
    <r>
      <rPr>
        <b/>
        <sz val="6"/>
        <color indexed="8"/>
        <rFont val="Arial"/>
        <family val="2"/>
      </rPr>
      <t>C</t>
    </r>
    <r>
      <rPr>
        <b/>
        <sz val="6"/>
        <color indexed="8"/>
        <rFont val="Arial"/>
        <family val="2"/>
      </rPr>
      <t>A</t>
    </r>
    <r>
      <rPr>
        <b/>
        <sz val="6"/>
        <color indexed="8"/>
        <rFont val="Arial"/>
        <family val="2"/>
      </rPr>
      <t>Ç</t>
    </r>
    <r>
      <rPr>
        <b/>
        <sz val="6"/>
        <color indexed="8"/>
        <rFont val="Arial"/>
        <family val="2"/>
      </rPr>
      <t>Ã</t>
    </r>
    <r>
      <rPr>
        <b/>
        <sz val="6"/>
        <color indexed="8"/>
        <rFont val="Arial"/>
        <family val="2"/>
      </rPr>
      <t>O</t>
    </r>
    <r>
      <rPr>
        <b/>
        <sz val="6"/>
        <color indexed="8"/>
        <rFont val="Arial"/>
        <family val="2"/>
      </rPr>
      <t xml:space="preserve"> </t>
    </r>
    <r>
      <rPr>
        <b/>
        <sz val="6"/>
        <color indexed="8"/>
        <rFont val="Arial"/>
        <family val="2"/>
      </rPr>
      <t xml:space="preserve"> </t>
    </r>
    <r>
      <rPr>
        <b/>
        <sz val="6"/>
        <color indexed="8"/>
        <rFont val="Arial"/>
        <family val="2"/>
      </rPr>
      <t>E</t>
    </r>
    <r>
      <rPr>
        <b/>
        <sz val="6"/>
        <color indexed="8"/>
        <rFont val="Arial"/>
        <family val="2"/>
      </rPr>
      <t xml:space="preserve"> </t>
    </r>
    <r>
      <rPr>
        <b/>
        <sz val="6"/>
        <color indexed="8"/>
        <rFont val="Arial"/>
        <family val="2"/>
      </rPr>
      <t>C</t>
    </r>
    <r>
      <rPr>
        <b/>
        <sz val="6"/>
        <color indexed="8"/>
        <rFont val="Arial"/>
        <family val="2"/>
      </rPr>
      <t>A</t>
    </r>
    <r>
      <rPr>
        <b/>
        <sz val="6"/>
        <color indexed="8"/>
        <rFont val="Arial"/>
        <family val="2"/>
      </rPr>
      <t>D</t>
    </r>
    <r>
      <rPr>
        <b/>
        <sz val="6"/>
        <color indexed="8"/>
        <rFont val="Arial"/>
        <family val="2"/>
      </rPr>
      <t>A</t>
    </r>
    <r>
      <rPr>
        <b/>
        <sz val="6"/>
        <color indexed="8"/>
        <rFont val="Arial"/>
        <family val="2"/>
      </rPr>
      <t>S</t>
    </r>
    <r>
      <rPr>
        <b/>
        <sz val="6"/>
        <color indexed="8"/>
        <rFont val="Arial"/>
        <family val="2"/>
      </rPr>
      <t>T</t>
    </r>
    <r>
      <rPr>
        <b/>
        <sz val="6"/>
        <color indexed="8"/>
        <rFont val="Arial"/>
        <family val="2"/>
      </rPr>
      <t>R</t>
    </r>
    <r>
      <rPr>
        <b/>
        <sz val="6"/>
        <color indexed="8"/>
        <rFont val="Arial"/>
        <family val="2"/>
      </rPr>
      <t>O</t>
    </r>
    <r>
      <rPr>
        <b/>
        <sz val="6"/>
        <color indexed="8"/>
        <rFont val="Arial"/>
        <family val="2"/>
      </rPr>
      <t xml:space="preserve"> </t>
    </r>
    <r>
      <rPr>
        <b/>
        <sz val="6"/>
        <color indexed="8"/>
        <rFont val="Arial"/>
        <family val="2"/>
      </rPr>
      <t xml:space="preserve"> </t>
    </r>
    <r>
      <rPr>
        <b/>
        <sz val="6"/>
        <color indexed="8"/>
        <rFont val="Arial"/>
        <family val="2"/>
      </rPr>
      <t>(O</t>
    </r>
    <r>
      <rPr>
        <b/>
        <sz val="6"/>
        <color indexed="8"/>
        <rFont val="Arial"/>
        <family val="2"/>
      </rPr>
      <t>B</t>
    </r>
    <r>
      <rPr>
        <b/>
        <sz val="6"/>
        <color indexed="8"/>
        <rFont val="Arial"/>
        <family val="2"/>
      </rPr>
      <t>R</t>
    </r>
    <r>
      <rPr>
        <b/>
        <sz val="6"/>
        <color indexed="8"/>
        <rFont val="Arial"/>
        <family val="2"/>
      </rPr>
      <t>A</t>
    </r>
    <r>
      <rPr>
        <b/>
        <sz val="6"/>
        <color indexed="8"/>
        <rFont val="Arial"/>
        <family val="2"/>
      </rPr>
      <t>S</t>
    </r>
    <r>
      <rPr>
        <b/>
        <sz val="6"/>
        <color indexed="8"/>
        <rFont val="Arial"/>
        <family val="2"/>
      </rPr>
      <t xml:space="preserve"> </t>
    </r>
    <r>
      <rPr>
        <b/>
        <sz val="6"/>
        <color indexed="8"/>
        <rFont val="Arial"/>
        <family val="2"/>
      </rPr>
      <t>L</t>
    </r>
    <r>
      <rPr>
        <b/>
        <sz val="6"/>
        <color indexed="8"/>
        <rFont val="Arial"/>
        <family val="2"/>
      </rPr>
      <t>I</t>
    </r>
    <r>
      <rPr>
        <b/>
        <sz val="6"/>
        <color indexed="8"/>
        <rFont val="Arial"/>
        <family val="2"/>
      </rPr>
      <t>N</t>
    </r>
    <r>
      <rPr>
        <b/>
        <sz val="6"/>
        <color indexed="8"/>
        <rFont val="Arial"/>
        <family val="2"/>
      </rPr>
      <t>E</t>
    </r>
    <r>
      <rPr>
        <b/>
        <sz val="6"/>
        <color indexed="8"/>
        <rFont val="Arial"/>
        <family val="2"/>
      </rPr>
      <t>A</t>
    </r>
    <r>
      <rPr>
        <b/>
        <sz val="6"/>
        <color indexed="8"/>
        <rFont val="Arial"/>
        <family val="2"/>
      </rPr>
      <t>R</t>
    </r>
    <r>
      <rPr>
        <b/>
        <sz val="6"/>
        <color indexed="8"/>
        <rFont val="Arial"/>
        <family val="2"/>
      </rPr>
      <t xml:space="preserve">ES)
</t>
    </r>
    <r>
      <rPr>
        <sz val="6"/>
        <color indexed="8"/>
        <rFont val="Arial"/>
        <family val="2"/>
      </rPr>
      <t/>
    </r>
  </si>
  <si>
    <t>LOCAÇÃO DE REDE/ADUTORA COM UTILIZAÇÃO  DE BALIZA, TRENA, CAL E LINHA</t>
  </si>
  <si>
    <t>LOCAÇÃO EIXOS COM APARELHO  TOPOGRAFICO INCLUSIVE  ELABORAÇÃO DE NOTA DE SERVIÇOS</t>
  </si>
  <si>
    <t>ESCAVAÇÃO  MANUAL EM VALAS COM MATERIAL DE 1ª CATEGORIA  - PROFUNDIDADE ATÉ 2,0M</t>
  </si>
  <si>
    <t>ESCAVAÇÃO  MANUAL EM VALAS COM MATERIAL DE 1ª CATEGORIA  - PROFUNDIDADE DE 2,0 A 4,0 M</t>
  </si>
  <si>
    <r>
      <rPr>
        <sz val="6"/>
        <color indexed="8"/>
        <rFont val="Arial"/>
        <family val="2"/>
      </rPr>
      <t>E</t>
    </r>
    <r>
      <rPr>
        <sz val="6"/>
        <color indexed="8"/>
        <rFont val="Arial"/>
        <family val="2"/>
      </rPr>
      <t>S</t>
    </r>
    <r>
      <rPr>
        <sz val="6"/>
        <color indexed="8"/>
        <rFont val="Arial"/>
        <family val="2"/>
      </rPr>
      <t>C</t>
    </r>
    <r>
      <rPr>
        <sz val="6"/>
        <color indexed="8"/>
        <rFont val="Arial"/>
        <family val="2"/>
      </rPr>
      <t>AVAÇ</t>
    </r>
    <r>
      <rPr>
        <sz val="6"/>
        <color indexed="8"/>
        <rFont val="Arial"/>
        <family val="2"/>
      </rPr>
      <t>Ã</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M</t>
    </r>
    <r>
      <rPr>
        <sz val="6"/>
        <color indexed="8"/>
        <rFont val="Arial"/>
        <family val="2"/>
      </rPr>
      <t>A</t>
    </r>
    <r>
      <rPr>
        <sz val="6"/>
        <color indexed="8"/>
        <rFont val="Arial"/>
        <family val="2"/>
      </rPr>
      <t>N</t>
    </r>
    <r>
      <rPr>
        <sz val="6"/>
        <color indexed="8"/>
        <rFont val="Arial"/>
        <family val="2"/>
      </rPr>
      <t>U</t>
    </r>
    <r>
      <rPr>
        <sz val="6"/>
        <color indexed="8"/>
        <rFont val="Arial"/>
        <family val="2"/>
      </rPr>
      <t>A</t>
    </r>
    <r>
      <rPr>
        <sz val="6"/>
        <color indexed="8"/>
        <rFont val="Arial"/>
        <family val="2"/>
      </rPr>
      <t>L</t>
    </r>
    <r>
      <rPr>
        <sz val="6"/>
        <color indexed="8"/>
        <rFont val="Arial"/>
        <family val="2"/>
      </rPr>
      <t xml:space="preserve">  </t>
    </r>
    <r>
      <rPr>
        <sz val="6"/>
        <color indexed="8"/>
        <rFont val="Arial"/>
        <family val="2"/>
      </rPr>
      <t xml:space="preserve"> </t>
    </r>
    <r>
      <rPr>
        <sz val="6"/>
        <color indexed="8"/>
        <rFont val="Arial"/>
        <family val="2"/>
      </rPr>
      <t>E</t>
    </r>
    <r>
      <rPr>
        <sz val="6"/>
        <color indexed="8"/>
        <rFont val="Arial"/>
        <family val="2"/>
      </rPr>
      <t>M</t>
    </r>
    <r>
      <rPr>
        <sz val="6"/>
        <color indexed="8"/>
        <rFont val="Arial"/>
        <family val="2"/>
      </rPr>
      <t xml:space="preserve"> </t>
    </r>
    <r>
      <rPr>
        <sz val="6"/>
        <color indexed="8"/>
        <rFont val="Arial"/>
        <family val="2"/>
      </rPr>
      <t xml:space="preserve"> </t>
    </r>
    <r>
      <rPr>
        <sz val="6"/>
        <color indexed="8"/>
        <rFont val="Arial"/>
        <family val="2"/>
      </rPr>
      <t>V</t>
    </r>
    <r>
      <rPr>
        <sz val="6"/>
        <color indexed="8"/>
        <rFont val="Arial"/>
        <family val="2"/>
      </rPr>
      <t>A</t>
    </r>
    <r>
      <rPr>
        <sz val="6"/>
        <color indexed="8"/>
        <rFont val="Arial"/>
        <family val="2"/>
      </rPr>
      <t>LAS</t>
    </r>
    <r>
      <rPr>
        <sz val="6"/>
        <color indexed="8"/>
        <rFont val="Arial"/>
        <family val="2"/>
      </rPr>
      <t xml:space="preserve"> </t>
    </r>
    <r>
      <rPr>
        <sz val="6"/>
        <color indexed="8"/>
        <rFont val="Arial"/>
        <family val="2"/>
      </rPr>
      <t xml:space="preserve"> </t>
    </r>
    <r>
      <rPr>
        <sz val="6"/>
        <color indexed="8"/>
        <rFont val="Arial"/>
        <family val="2"/>
      </rPr>
      <t>C</t>
    </r>
    <r>
      <rPr>
        <sz val="6"/>
        <color indexed="8"/>
        <rFont val="Arial"/>
        <family val="2"/>
      </rPr>
      <t>OM</t>
    </r>
    <r>
      <rPr>
        <sz val="6"/>
        <color indexed="8"/>
        <rFont val="Arial"/>
        <family val="2"/>
      </rPr>
      <t xml:space="preserve"> </t>
    </r>
    <r>
      <rPr>
        <sz val="6"/>
        <color indexed="8"/>
        <rFont val="Arial"/>
        <family val="2"/>
      </rPr>
      <t xml:space="preserve"> </t>
    </r>
    <r>
      <rPr>
        <sz val="6"/>
        <color indexed="8"/>
        <rFont val="Arial"/>
        <family val="2"/>
      </rPr>
      <t>M</t>
    </r>
    <r>
      <rPr>
        <sz val="6"/>
        <color indexed="8"/>
        <rFont val="Arial"/>
        <family val="2"/>
      </rPr>
      <t>A</t>
    </r>
    <r>
      <rPr>
        <sz val="6"/>
        <color indexed="8"/>
        <rFont val="Arial"/>
        <family val="2"/>
      </rPr>
      <t>T</t>
    </r>
    <r>
      <rPr>
        <sz val="6"/>
        <color indexed="8"/>
        <rFont val="Arial"/>
        <family val="2"/>
      </rPr>
      <t>E</t>
    </r>
    <r>
      <rPr>
        <sz val="6"/>
        <color indexed="8"/>
        <rFont val="Arial"/>
        <family val="2"/>
      </rPr>
      <t>R</t>
    </r>
    <r>
      <rPr>
        <sz val="6"/>
        <color indexed="8"/>
        <rFont val="Arial"/>
        <family val="2"/>
      </rPr>
      <t>I</t>
    </r>
    <r>
      <rPr>
        <sz val="6"/>
        <color indexed="8"/>
        <rFont val="Arial"/>
        <family val="2"/>
      </rPr>
      <t>A</t>
    </r>
    <r>
      <rPr>
        <sz val="6"/>
        <color indexed="8"/>
        <rFont val="Arial"/>
        <family val="2"/>
      </rPr>
      <t>L</t>
    </r>
    <r>
      <rPr>
        <sz val="6"/>
        <color indexed="8"/>
        <rFont val="Arial"/>
        <family val="2"/>
      </rPr>
      <t xml:space="preserve">  </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 xml:space="preserve"> </t>
    </r>
    <r>
      <rPr>
        <sz val="6"/>
        <color indexed="8"/>
        <rFont val="Arial"/>
        <family val="2"/>
      </rPr>
      <t>3</t>
    </r>
    <r>
      <rPr>
        <sz val="6"/>
        <color indexed="8"/>
        <rFont val="Arial"/>
        <family val="2"/>
      </rPr>
      <t>ª</t>
    </r>
    <r>
      <rPr>
        <sz val="6"/>
        <color indexed="8"/>
        <rFont val="Arial"/>
        <family val="2"/>
      </rPr>
      <t xml:space="preserve"> </t>
    </r>
    <r>
      <rPr>
        <sz val="6"/>
        <color indexed="8"/>
        <rFont val="Arial"/>
        <family val="2"/>
      </rPr>
      <t xml:space="preserve"> </t>
    </r>
    <r>
      <rPr>
        <sz val="6"/>
        <color indexed="8"/>
        <rFont val="Arial"/>
        <family val="2"/>
      </rPr>
      <t>C</t>
    </r>
    <r>
      <rPr>
        <sz val="6"/>
        <color indexed="8"/>
        <rFont val="Arial"/>
        <family val="2"/>
      </rPr>
      <t>A</t>
    </r>
    <r>
      <rPr>
        <sz val="6"/>
        <color indexed="8"/>
        <rFont val="Arial"/>
        <family val="2"/>
      </rPr>
      <t>T</t>
    </r>
    <r>
      <rPr>
        <sz val="6"/>
        <color indexed="8"/>
        <rFont val="Arial"/>
        <family val="2"/>
      </rPr>
      <t>E</t>
    </r>
    <r>
      <rPr>
        <sz val="6"/>
        <color indexed="8"/>
        <rFont val="Arial"/>
        <family val="2"/>
      </rPr>
      <t>G</t>
    </r>
    <r>
      <rPr>
        <sz val="6"/>
        <color indexed="8"/>
        <rFont val="Arial"/>
        <family val="2"/>
      </rPr>
      <t>O</t>
    </r>
    <r>
      <rPr>
        <sz val="6"/>
        <color indexed="8"/>
        <rFont val="Arial"/>
        <family val="2"/>
      </rPr>
      <t>R</t>
    </r>
    <r>
      <rPr>
        <sz val="6"/>
        <color indexed="8"/>
        <rFont val="Arial"/>
        <family val="2"/>
      </rPr>
      <t>I</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S</t>
    </r>
    <r>
      <rPr>
        <sz val="6"/>
        <color indexed="8"/>
        <rFont val="Arial"/>
        <family val="2"/>
      </rPr>
      <t>E</t>
    </r>
    <r>
      <rPr>
        <sz val="6"/>
        <color indexed="8"/>
        <rFont val="Arial"/>
        <family val="2"/>
      </rPr>
      <t>M</t>
    </r>
    <r>
      <rPr>
        <sz val="6"/>
        <color indexed="8"/>
        <rFont val="Arial"/>
        <family val="2"/>
      </rPr>
      <t xml:space="preserve"> </t>
    </r>
    <r>
      <rPr>
        <sz val="6"/>
        <color indexed="8"/>
        <rFont val="Arial"/>
        <family val="2"/>
      </rPr>
      <t xml:space="preserve"> </t>
    </r>
    <r>
      <rPr>
        <sz val="6"/>
        <color indexed="8"/>
        <rFont val="Arial"/>
        <family val="2"/>
      </rPr>
      <t>U</t>
    </r>
    <r>
      <rPr>
        <sz val="6"/>
        <color indexed="8"/>
        <rFont val="Arial"/>
        <family val="2"/>
      </rPr>
      <t>SO</t>
    </r>
    <r>
      <rPr>
        <sz val="6"/>
        <color indexed="8"/>
        <rFont val="Arial"/>
        <family val="2"/>
      </rPr>
      <t xml:space="preserve"> </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 xml:space="preserve"> </t>
    </r>
    <r>
      <rPr>
        <sz val="6"/>
        <color indexed="8"/>
        <rFont val="Arial"/>
        <family val="2"/>
      </rPr>
      <t>E</t>
    </r>
    <r>
      <rPr>
        <sz val="6"/>
        <color indexed="8"/>
        <rFont val="Arial"/>
        <family val="2"/>
      </rPr>
      <t>X</t>
    </r>
    <r>
      <rPr>
        <sz val="6"/>
        <color indexed="8"/>
        <rFont val="Arial"/>
        <family val="2"/>
      </rPr>
      <t>PLOS</t>
    </r>
    <r>
      <rPr>
        <sz val="6"/>
        <color indexed="8"/>
        <rFont val="Arial"/>
        <family val="2"/>
      </rPr>
      <t>I</t>
    </r>
    <r>
      <rPr>
        <sz val="6"/>
        <color indexed="8"/>
        <rFont val="Arial"/>
        <family val="2"/>
      </rPr>
      <t>VO</t>
    </r>
    <r>
      <rPr>
        <sz val="6"/>
        <color indexed="8"/>
        <rFont val="Arial"/>
        <family val="2"/>
      </rPr>
      <t xml:space="preserve">  </t>
    </r>
    <r>
      <rPr>
        <sz val="6"/>
        <color indexed="8"/>
        <rFont val="Arial"/>
        <family val="2"/>
      </rPr>
      <t xml:space="preserve"> </t>
    </r>
    <r>
      <rPr>
        <sz val="6"/>
        <color indexed="8"/>
        <rFont val="Arial"/>
        <family val="2"/>
      </rPr>
      <t>C</t>
    </r>
    <r>
      <rPr>
        <sz val="6"/>
        <color indexed="8"/>
        <rFont val="Arial"/>
        <family val="2"/>
      </rPr>
      <t>OM</t>
    </r>
    <r>
      <rPr>
        <sz val="6"/>
        <color indexed="8"/>
        <rFont val="Arial"/>
        <family val="2"/>
      </rPr>
      <t xml:space="preserve"> </t>
    </r>
    <r>
      <rPr>
        <sz val="6"/>
        <color indexed="8"/>
        <rFont val="Arial"/>
        <family val="2"/>
      </rPr>
      <t>U</t>
    </r>
    <r>
      <rPr>
        <sz val="6"/>
        <color indexed="8"/>
        <rFont val="Arial"/>
        <family val="2"/>
      </rPr>
      <t>T</t>
    </r>
    <r>
      <rPr>
        <sz val="6"/>
        <color indexed="8"/>
        <rFont val="Arial"/>
        <family val="2"/>
      </rPr>
      <t>I</t>
    </r>
    <r>
      <rPr>
        <sz val="6"/>
        <color indexed="8"/>
        <rFont val="Arial"/>
        <family val="2"/>
      </rPr>
      <t>L</t>
    </r>
    <r>
      <rPr>
        <sz val="6"/>
        <color indexed="8"/>
        <rFont val="Arial"/>
        <family val="2"/>
      </rPr>
      <t>I</t>
    </r>
    <r>
      <rPr>
        <sz val="6"/>
        <color indexed="8"/>
        <rFont val="Arial"/>
        <family val="2"/>
      </rPr>
      <t>Z</t>
    </r>
    <r>
      <rPr>
        <sz val="6"/>
        <color indexed="8"/>
        <rFont val="Arial"/>
        <family val="2"/>
      </rPr>
      <t>A</t>
    </r>
    <r>
      <rPr>
        <sz val="6"/>
        <color indexed="8"/>
        <rFont val="Arial"/>
        <family val="2"/>
      </rPr>
      <t>Ç</t>
    </r>
    <r>
      <rPr>
        <sz val="6"/>
        <color indexed="8"/>
        <rFont val="Arial"/>
        <family val="2"/>
      </rPr>
      <t>ÃO</t>
    </r>
    <r>
      <rPr>
        <sz val="6"/>
        <color indexed="8"/>
        <rFont val="Arial"/>
        <family val="2"/>
      </rPr>
      <t xml:space="preserve"> </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C</t>
    </r>
    <r>
      <rPr>
        <sz val="6"/>
        <color indexed="8"/>
        <rFont val="Arial"/>
        <family val="2"/>
      </rPr>
      <t>O</t>
    </r>
    <r>
      <rPr>
        <sz val="6"/>
        <color indexed="8"/>
        <rFont val="Arial"/>
        <family val="2"/>
      </rPr>
      <t>M</t>
    </r>
    <r>
      <rPr>
        <sz val="6"/>
        <color indexed="8"/>
        <rFont val="Arial"/>
        <family val="2"/>
      </rPr>
      <t>P</t>
    </r>
    <r>
      <rPr>
        <sz val="6"/>
        <color indexed="8"/>
        <rFont val="Arial"/>
        <family val="2"/>
      </rPr>
      <t>R</t>
    </r>
    <r>
      <rPr>
        <sz val="6"/>
        <color indexed="8"/>
        <rFont val="Arial"/>
        <family val="2"/>
      </rPr>
      <t>E</t>
    </r>
    <r>
      <rPr>
        <sz val="6"/>
        <color indexed="8"/>
        <rFont val="Arial"/>
        <family val="2"/>
      </rPr>
      <t>S</t>
    </r>
    <r>
      <rPr>
        <sz val="6"/>
        <color indexed="8"/>
        <rFont val="Arial"/>
        <family val="2"/>
      </rPr>
      <t>SOR</t>
    </r>
    <r>
      <rPr>
        <sz val="6"/>
        <color indexed="8"/>
        <rFont val="Arial"/>
        <family val="2"/>
      </rPr>
      <t xml:space="preserve"> </t>
    </r>
    <r>
      <rPr>
        <sz val="6"/>
        <color indexed="8"/>
        <rFont val="Arial"/>
        <family val="2"/>
      </rPr>
      <t>E</t>
    </r>
    <r>
      <rPr>
        <sz val="6"/>
        <color indexed="8"/>
        <rFont val="Arial"/>
        <family val="2"/>
      </rPr>
      <t xml:space="preserve"> </t>
    </r>
    <r>
      <rPr>
        <sz val="6"/>
        <color indexed="8"/>
        <rFont val="Arial"/>
        <family val="2"/>
      </rPr>
      <t>R</t>
    </r>
    <r>
      <rPr>
        <sz val="6"/>
        <color indexed="8"/>
        <rFont val="Arial"/>
        <family val="2"/>
      </rPr>
      <t>O</t>
    </r>
    <r>
      <rPr>
        <sz val="6"/>
        <color indexed="8"/>
        <rFont val="Arial"/>
        <family val="2"/>
      </rPr>
      <t>M</t>
    </r>
    <r>
      <rPr>
        <sz val="6"/>
        <color indexed="8"/>
        <rFont val="Arial"/>
        <family val="2"/>
      </rPr>
      <t>PE</t>
    </r>
    <r>
      <rPr>
        <sz val="6"/>
        <color indexed="8"/>
        <rFont val="Arial"/>
        <family val="2"/>
      </rPr>
      <t>D</t>
    </r>
    <r>
      <rPr>
        <sz val="6"/>
        <color indexed="8"/>
        <rFont val="Arial"/>
        <family val="2"/>
      </rPr>
      <t>OR</t>
    </r>
    <r>
      <rPr>
        <sz val="6"/>
        <color indexed="8"/>
        <rFont val="Arial"/>
        <family val="2"/>
      </rPr>
      <t xml:space="preserve"> </t>
    </r>
    <r>
      <rPr>
        <sz val="6"/>
        <color indexed="8"/>
        <rFont val="Arial"/>
        <family val="2"/>
      </rPr>
      <t xml:space="preserve"> </t>
    </r>
    <r>
      <rPr>
        <sz val="6"/>
        <color indexed="8"/>
        <rFont val="Arial"/>
        <family val="2"/>
      </rPr>
      <t>-</t>
    </r>
    <r>
      <rPr>
        <sz val="6"/>
        <color indexed="8"/>
        <rFont val="Arial"/>
        <family val="2"/>
      </rPr>
      <t xml:space="preserve"> </t>
    </r>
    <r>
      <rPr>
        <sz val="6"/>
        <color indexed="8"/>
        <rFont val="Arial"/>
        <family val="2"/>
      </rPr>
      <t xml:space="preserve"> </t>
    </r>
    <r>
      <rPr>
        <sz val="6"/>
        <color indexed="8"/>
        <rFont val="Arial"/>
        <family val="2"/>
      </rPr>
      <t>P</t>
    </r>
    <r>
      <rPr>
        <sz val="6"/>
        <color indexed="8"/>
        <rFont val="Arial"/>
        <family val="2"/>
      </rPr>
      <t>R</t>
    </r>
    <r>
      <rPr>
        <sz val="6"/>
        <color indexed="8"/>
        <rFont val="Arial"/>
        <family val="2"/>
      </rPr>
      <t>O</t>
    </r>
    <r>
      <rPr>
        <sz val="6"/>
        <color indexed="8"/>
        <rFont val="Arial"/>
        <family val="2"/>
      </rPr>
      <t>F</t>
    </r>
    <r>
      <rPr>
        <sz val="6"/>
        <color indexed="8"/>
        <rFont val="Arial"/>
        <family val="2"/>
      </rPr>
      <t>U</t>
    </r>
    <r>
      <rPr>
        <sz val="6"/>
        <color indexed="8"/>
        <rFont val="Arial"/>
        <family val="2"/>
      </rPr>
      <t>N</t>
    </r>
    <r>
      <rPr>
        <sz val="6"/>
        <color indexed="8"/>
        <rFont val="Arial"/>
        <family val="2"/>
      </rPr>
      <t>D</t>
    </r>
    <r>
      <rPr>
        <sz val="6"/>
        <color indexed="8"/>
        <rFont val="Arial"/>
        <family val="2"/>
      </rPr>
      <t>I</t>
    </r>
    <r>
      <rPr>
        <sz val="6"/>
        <color indexed="8"/>
        <rFont val="Arial"/>
        <family val="2"/>
      </rPr>
      <t>D</t>
    </r>
    <r>
      <rPr>
        <sz val="6"/>
        <color indexed="8"/>
        <rFont val="Arial"/>
        <family val="2"/>
      </rPr>
      <t>A</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A</t>
    </r>
    <r>
      <rPr>
        <sz val="6"/>
        <color indexed="8"/>
        <rFont val="Arial"/>
        <family val="2"/>
      </rPr>
      <t>T</t>
    </r>
    <r>
      <rPr>
        <sz val="6"/>
        <color indexed="8"/>
        <rFont val="Arial"/>
        <family val="2"/>
      </rPr>
      <t>É</t>
    </r>
    <r>
      <rPr>
        <sz val="6"/>
        <color indexed="8"/>
        <rFont val="Arial"/>
        <family val="2"/>
      </rPr>
      <t xml:space="preserve"> </t>
    </r>
    <r>
      <rPr>
        <sz val="6"/>
        <color indexed="8"/>
        <rFont val="Arial"/>
        <family val="2"/>
      </rPr>
      <t>2</t>
    </r>
    <r>
      <rPr>
        <sz val="6"/>
        <color indexed="8"/>
        <rFont val="Arial"/>
        <family val="2"/>
      </rPr>
      <t>,</t>
    </r>
    <r>
      <rPr>
        <sz val="6"/>
        <color indexed="8"/>
        <rFont val="Arial"/>
        <family val="2"/>
      </rPr>
      <t>0M</t>
    </r>
  </si>
  <si>
    <r>
      <rPr>
        <sz val="6"/>
        <color indexed="8"/>
        <rFont val="Arial"/>
        <family val="2"/>
      </rPr>
      <t>E</t>
    </r>
    <r>
      <rPr>
        <sz val="6"/>
        <color indexed="8"/>
        <rFont val="Arial"/>
        <family val="2"/>
      </rPr>
      <t>S</t>
    </r>
    <r>
      <rPr>
        <sz val="6"/>
        <color indexed="8"/>
        <rFont val="Arial"/>
        <family val="2"/>
      </rPr>
      <t>C</t>
    </r>
    <r>
      <rPr>
        <sz val="6"/>
        <color indexed="8"/>
        <rFont val="Arial"/>
        <family val="2"/>
      </rPr>
      <t>AVAÇ</t>
    </r>
    <r>
      <rPr>
        <sz val="6"/>
        <color indexed="8"/>
        <rFont val="Arial"/>
        <family val="2"/>
      </rPr>
      <t>Ã</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M</t>
    </r>
    <r>
      <rPr>
        <sz val="6"/>
        <color indexed="8"/>
        <rFont val="Arial"/>
        <family val="2"/>
      </rPr>
      <t>A</t>
    </r>
    <r>
      <rPr>
        <sz val="6"/>
        <color indexed="8"/>
        <rFont val="Arial"/>
        <family val="2"/>
      </rPr>
      <t>N</t>
    </r>
    <r>
      <rPr>
        <sz val="6"/>
        <color indexed="8"/>
        <rFont val="Arial"/>
        <family val="2"/>
      </rPr>
      <t>U</t>
    </r>
    <r>
      <rPr>
        <sz val="6"/>
        <color indexed="8"/>
        <rFont val="Arial"/>
        <family val="2"/>
      </rPr>
      <t>A</t>
    </r>
    <r>
      <rPr>
        <sz val="6"/>
        <color indexed="8"/>
        <rFont val="Arial"/>
        <family val="2"/>
      </rPr>
      <t>L</t>
    </r>
    <r>
      <rPr>
        <sz val="6"/>
        <color indexed="8"/>
        <rFont val="Arial"/>
        <family val="2"/>
      </rPr>
      <t xml:space="preserve">  </t>
    </r>
    <r>
      <rPr>
        <sz val="6"/>
        <color indexed="8"/>
        <rFont val="Arial"/>
        <family val="2"/>
      </rPr>
      <t xml:space="preserve"> </t>
    </r>
    <r>
      <rPr>
        <sz val="6"/>
        <color indexed="8"/>
        <rFont val="Arial"/>
        <family val="2"/>
      </rPr>
      <t>E</t>
    </r>
    <r>
      <rPr>
        <sz val="6"/>
        <color indexed="8"/>
        <rFont val="Arial"/>
        <family val="2"/>
      </rPr>
      <t>M</t>
    </r>
    <r>
      <rPr>
        <sz val="6"/>
        <color indexed="8"/>
        <rFont val="Arial"/>
        <family val="2"/>
      </rPr>
      <t xml:space="preserve"> </t>
    </r>
    <r>
      <rPr>
        <sz val="6"/>
        <color indexed="8"/>
        <rFont val="Arial"/>
        <family val="2"/>
      </rPr>
      <t xml:space="preserve"> </t>
    </r>
    <r>
      <rPr>
        <sz val="6"/>
        <color indexed="8"/>
        <rFont val="Arial"/>
        <family val="2"/>
      </rPr>
      <t>V</t>
    </r>
    <r>
      <rPr>
        <sz val="6"/>
        <color indexed="8"/>
        <rFont val="Arial"/>
        <family val="2"/>
      </rPr>
      <t>A</t>
    </r>
    <r>
      <rPr>
        <sz val="6"/>
        <color indexed="8"/>
        <rFont val="Arial"/>
        <family val="2"/>
      </rPr>
      <t>LAS</t>
    </r>
    <r>
      <rPr>
        <sz val="6"/>
        <color indexed="8"/>
        <rFont val="Arial"/>
        <family val="2"/>
      </rPr>
      <t xml:space="preserve"> </t>
    </r>
    <r>
      <rPr>
        <sz val="6"/>
        <color indexed="8"/>
        <rFont val="Arial"/>
        <family val="2"/>
      </rPr>
      <t xml:space="preserve"> </t>
    </r>
    <r>
      <rPr>
        <sz val="6"/>
        <color indexed="8"/>
        <rFont val="Arial"/>
        <family val="2"/>
      </rPr>
      <t>C</t>
    </r>
    <r>
      <rPr>
        <sz val="6"/>
        <color indexed="8"/>
        <rFont val="Arial"/>
        <family val="2"/>
      </rPr>
      <t>OM</t>
    </r>
    <r>
      <rPr>
        <sz val="6"/>
        <color indexed="8"/>
        <rFont val="Arial"/>
        <family val="2"/>
      </rPr>
      <t xml:space="preserve"> </t>
    </r>
    <r>
      <rPr>
        <sz val="6"/>
        <color indexed="8"/>
        <rFont val="Arial"/>
        <family val="2"/>
      </rPr>
      <t xml:space="preserve"> </t>
    </r>
    <r>
      <rPr>
        <sz val="6"/>
        <color indexed="8"/>
        <rFont val="Arial"/>
        <family val="2"/>
      </rPr>
      <t>M</t>
    </r>
    <r>
      <rPr>
        <sz val="6"/>
        <color indexed="8"/>
        <rFont val="Arial"/>
        <family val="2"/>
      </rPr>
      <t>A</t>
    </r>
    <r>
      <rPr>
        <sz val="6"/>
        <color indexed="8"/>
        <rFont val="Arial"/>
        <family val="2"/>
      </rPr>
      <t>T</t>
    </r>
    <r>
      <rPr>
        <sz val="6"/>
        <color indexed="8"/>
        <rFont val="Arial"/>
        <family val="2"/>
      </rPr>
      <t>E</t>
    </r>
    <r>
      <rPr>
        <sz val="6"/>
        <color indexed="8"/>
        <rFont val="Arial"/>
        <family val="2"/>
      </rPr>
      <t>R</t>
    </r>
    <r>
      <rPr>
        <sz val="6"/>
        <color indexed="8"/>
        <rFont val="Arial"/>
        <family val="2"/>
      </rPr>
      <t>I</t>
    </r>
    <r>
      <rPr>
        <sz val="6"/>
        <color indexed="8"/>
        <rFont val="Arial"/>
        <family val="2"/>
      </rPr>
      <t>A</t>
    </r>
    <r>
      <rPr>
        <sz val="6"/>
        <color indexed="8"/>
        <rFont val="Arial"/>
        <family val="2"/>
      </rPr>
      <t>L</t>
    </r>
    <r>
      <rPr>
        <sz val="6"/>
        <color indexed="8"/>
        <rFont val="Arial"/>
        <family val="2"/>
      </rPr>
      <t xml:space="preserve">  </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 xml:space="preserve"> </t>
    </r>
    <r>
      <rPr>
        <sz val="6"/>
        <color indexed="8"/>
        <rFont val="Arial"/>
        <family val="2"/>
      </rPr>
      <t>3</t>
    </r>
    <r>
      <rPr>
        <sz val="6"/>
        <color indexed="8"/>
        <rFont val="Arial"/>
        <family val="2"/>
      </rPr>
      <t>ª</t>
    </r>
    <r>
      <rPr>
        <sz val="6"/>
        <color indexed="8"/>
        <rFont val="Arial"/>
        <family val="2"/>
      </rPr>
      <t xml:space="preserve"> </t>
    </r>
    <r>
      <rPr>
        <sz val="6"/>
        <color indexed="8"/>
        <rFont val="Arial"/>
        <family val="2"/>
      </rPr>
      <t xml:space="preserve"> </t>
    </r>
    <r>
      <rPr>
        <sz val="6"/>
        <color indexed="8"/>
        <rFont val="Arial"/>
        <family val="2"/>
      </rPr>
      <t>C</t>
    </r>
    <r>
      <rPr>
        <sz val="6"/>
        <color indexed="8"/>
        <rFont val="Arial"/>
        <family val="2"/>
      </rPr>
      <t>A</t>
    </r>
    <r>
      <rPr>
        <sz val="6"/>
        <color indexed="8"/>
        <rFont val="Arial"/>
        <family val="2"/>
      </rPr>
      <t>T</t>
    </r>
    <r>
      <rPr>
        <sz val="6"/>
        <color indexed="8"/>
        <rFont val="Arial"/>
        <family val="2"/>
      </rPr>
      <t>E</t>
    </r>
    <r>
      <rPr>
        <sz val="6"/>
        <color indexed="8"/>
        <rFont val="Arial"/>
        <family val="2"/>
      </rPr>
      <t>G</t>
    </r>
    <r>
      <rPr>
        <sz val="6"/>
        <color indexed="8"/>
        <rFont val="Arial"/>
        <family val="2"/>
      </rPr>
      <t>O</t>
    </r>
    <r>
      <rPr>
        <sz val="6"/>
        <color indexed="8"/>
        <rFont val="Arial"/>
        <family val="2"/>
      </rPr>
      <t>R</t>
    </r>
    <r>
      <rPr>
        <sz val="6"/>
        <color indexed="8"/>
        <rFont val="Arial"/>
        <family val="2"/>
      </rPr>
      <t>I</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S</t>
    </r>
    <r>
      <rPr>
        <sz val="6"/>
        <color indexed="8"/>
        <rFont val="Arial"/>
        <family val="2"/>
      </rPr>
      <t>E</t>
    </r>
    <r>
      <rPr>
        <sz val="6"/>
        <color indexed="8"/>
        <rFont val="Arial"/>
        <family val="2"/>
      </rPr>
      <t>M</t>
    </r>
    <r>
      <rPr>
        <sz val="6"/>
        <color indexed="8"/>
        <rFont val="Arial"/>
        <family val="2"/>
      </rPr>
      <t xml:space="preserve"> </t>
    </r>
    <r>
      <rPr>
        <sz val="6"/>
        <color indexed="8"/>
        <rFont val="Arial"/>
        <family val="2"/>
      </rPr>
      <t xml:space="preserve"> </t>
    </r>
    <r>
      <rPr>
        <sz val="6"/>
        <color indexed="8"/>
        <rFont val="Arial"/>
        <family val="2"/>
      </rPr>
      <t>U</t>
    </r>
    <r>
      <rPr>
        <sz val="6"/>
        <color indexed="8"/>
        <rFont val="Arial"/>
        <family val="2"/>
      </rPr>
      <t>SO</t>
    </r>
    <r>
      <rPr>
        <sz val="6"/>
        <color indexed="8"/>
        <rFont val="Arial"/>
        <family val="2"/>
      </rPr>
      <t xml:space="preserve"> </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 xml:space="preserve"> </t>
    </r>
    <r>
      <rPr>
        <sz val="6"/>
        <color indexed="8"/>
        <rFont val="Arial"/>
        <family val="2"/>
      </rPr>
      <t>E</t>
    </r>
    <r>
      <rPr>
        <sz val="6"/>
        <color indexed="8"/>
        <rFont val="Arial"/>
        <family val="2"/>
      </rPr>
      <t>X</t>
    </r>
    <r>
      <rPr>
        <sz val="6"/>
        <color indexed="8"/>
        <rFont val="Arial"/>
        <family val="2"/>
      </rPr>
      <t>PLOS</t>
    </r>
    <r>
      <rPr>
        <sz val="6"/>
        <color indexed="8"/>
        <rFont val="Arial"/>
        <family val="2"/>
      </rPr>
      <t>I</t>
    </r>
    <r>
      <rPr>
        <sz val="6"/>
        <color indexed="8"/>
        <rFont val="Arial"/>
        <family val="2"/>
      </rPr>
      <t>VO</t>
    </r>
    <r>
      <rPr>
        <sz val="6"/>
        <color indexed="8"/>
        <rFont val="Arial"/>
        <family val="2"/>
      </rPr>
      <t xml:space="preserve">  </t>
    </r>
    <r>
      <rPr>
        <sz val="6"/>
        <color indexed="8"/>
        <rFont val="Arial"/>
        <family val="2"/>
      </rPr>
      <t xml:space="preserve"> </t>
    </r>
    <r>
      <rPr>
        <sz val="6"/>
        <color indexed="8"/>
        <rFont val="Arial"/>
        <family val="2"/>
      </rPr>
      <t>C</t>
    </r>
    <r>
      <rPr>
        <sz val="6"/>
        <color indexed="8"/>
        <rFont val="Arial"/>
        <family val="2"/>
      </rPr>
      <t>OM</t>
    </r>
    <r>
      <rPr>
        <sz val="6"/>
        <color indexed="8"/>
        <rFont val="Arial"/>
        <family val="2"/>
      </rPr>
      <t xml:space="preserve"> </t>
    </r>
    <r>
      <rPr>
        <sz val="6"/>
        <color indexed="8"/>
        <rFont val="Arial"/>
        <family val="2"/>
      </rPr>
      <t>U</t>
    </r>
    <r>
      <rPr>
        <sz val="6"/>
        <color indexed="8"/>
        <rFont val="Arial"/>
        <family val="2"/>
      </rPr>
      <t>T</t>
    </r>
    <r>
      <rPr>
        <sz val="6"/>
        <color indexed="8"/>
        <rFont val="Arial"/>
        <family val="2"/>
      </rPr>
      <t>I</t>
    </r>
    <r>
      <rPr>
        <sz val="6"/>
        <color indexed="8"/>
        <rFont val="Arial"/>
        <family val="2"/>
      </rPr>
      <t>L</t>
    </r>
    <r>
      <rPr>
        <sz val="6"/>
        <color indexed="8"/>
        <rFont val="Arial"/>
        <family val="2"/>
      </rPr>
      <t>I</t>
    </r>
    <r>
      <rPr>
        <sz val="6"/>
        <color indexed="8"/>
        <rFont val="Arial"/>
        <family val="2"/>
      </rPr>
      <t>Z</t>
    </r>
    <r>
      <rPr>
        <sz val="6"/>
        <color indexed="8"/>
        <rFont val="Arial"/>
        <family val="2"/>
      </rPr>
      <t>A</t>
    </r>
    <r>
      <rPr>
        <sz val="6"/>
        <color indexed="8"/>
        <rFont val="Arial"/>
        <family val="2"/>
      </rPr>
      <t>Ç</t>
    </r>
    <r>
      <rPr>
        <sz val="6"/>
        <color indexed="8"/>
        <rFont val="Arial"/>
        <family val="2"/>
      </rPr>
      <t>ÃO</t>
    </r>
    <r>
      <rPr>
        <sz val="6"/>
        <color indexed="8"/>
        <rFont val="Arial"/>
        <family val="2"/>
      </rPr>
      <t xml:space="preserve"> </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C</t>
    </r>
    <r>
      <rPr>
        <sz val="6"/>
        <color indexed="8"/>
        <rFont val="Arial"/>
        <family val="2"/>
      </rPr>
      <t>O</t>
    </r>
    <r>
      <rPr>
        <sz val="6"/>
        <color indexed="8"/>
        <rFont val="Arial"/>
        <family val="2"/>
      </rPr>
      <t>M</t>
    </r>
    <r>
      <rPr>
        <sz val="6"/>
        <color indexed="8"/>
        <rFont val="Arial"/>
        <family val="2"/>
      </rPr>
      <t>P</t>
    </r>
    <r>
      <rPr>
        <sz val="6"/>
        <color indexed="8"/>
        <rFont val="Arial"/>
        <family val="2"/>
      </rPr>
      <t>R</t>
    </r>
    <r>
      <rPr>
        <sz val="6"/>
        <color indexed="8"/>
        <rFont val="Arial"/>
        <family val="2"/>
      </rPr>
      <t>E</t>
    </r>
    <r>
      <rPr>
        <sz val="6"/>
        <color indexed="8"/>
        <rFont val="Arial"/>
        <family val="2"/>
      </rPr>
      <t>S</t>
    </r>
    <r>
      <rPr>
        <sz val="6"/>
        <color indexed="8"/>
        <rFont val="Arial"/>
        <family val="2"/>
      </rPr>
      <t>SOR</t>
    </r>
    <r>
      <rPr>
        <sz val="6"/>
        <color indexed="8"/>
        <rFont val="Arial"/>
        <family val="2"/>
      </rPr>
      <t xml:space="preserve"> </t>
    </r>
    <r>
      <rPr>
        <sz val="6"/>
        <color indexed="8"/>
        <rFont val="Arial"/>
        <family val="2"/>
      </rPr>
      <t>E</t>
    </r>
    <r>
      <rPr>
        <sz val="6"/>
        <color indexed="8"/>
        <rFont val="Arial"/>
        <family val="2"/>
      </rPr>
      <t xml:space="preserve"> </t>
    </r>
    <r>
      <rPr>
        <sz val="6"/>
        <color indexed="8"/>
        <rFont val="Arial"/>
        <family val="2"/>
      </rPr>
      <t>R</t>
    </r>
    <r>
      <rPr>
        <sz val="6"/>
        <color indexed="8"/>
        <rFont val="Arial"/>
        <family val="2"/>
      </rPr>
      <t>O</t>
    </r>
    <r>
      <rPr>
        <sz val="6"/>
        <color indexed="8"/>
        <rFont val="Arial"/>
        <family val="2"/>
      </rPr>
      <t>M</t>
    </r>
    <r>
      <rPr>
        <sz val="6"/>
        <color indexed="8"/>
        <rFont val="Arial"/>
        <family val="2"/>
      </rPr>
      <t>PE</t>
    </r>
    <r>
      <rPr>
        <sz val="6"/>
        <color indexed="8"/>
        <rFont val="Arial"/>
        <family val="2"/>
      </rPr>
      <t>D</t>
    </r>
    <r>
      <rPr>
        <sz val="6"/>
        <color indexed="8"/>
        <rFont val="Arial"/>
        <family val="2"/>
      </rPr>
      <t>OR</t>
    </r>
    <r>
      <rPr>
        <sz val="6"/>
        <color indexed="8"/>
        <rFont val="Arial"/>
        <family val="2"/>
      </rPr>
      <t xml:space="preserve">  </t>
    </r>
    <r>
      <rPr>
        <sz val="6"/>
        <color indexed="8"/>
        <rFont val="Arial"/>
        <family val="2"/>
      </rPr>
      <t xml:space="preserve"> </t>
    </r>
    <r>
      <rPr>
        <sz val="6"/>
        <color indexed="8"/>
        <rFont val="Arial"/>
        <family val="2"/>
      </rPr>
      <t>-</t>
    </r>
    <r>
      <rPr>
        <sz val="6"/>
        <color indexed="8"/>
        <rFont val="Arial"/>
        <family val="2"/>
      </rPr>
      <t xml:space="preserve"> </t>
    </r>
    <r>
      <rPr>
        <sz val="6"/>
        <color indexed="8"/>
        <rFont val="Arial"/>
        <family val="2"/>
      </rPr>
      <t>P</t>
    </r>
    <r>
      <rPr>
        <sz val="6"/>
        <color indexed="8"/>
        <rFont val="Arial"/>
        <family val="2"/>
      </rPr>
      <t>R</t>
    </r>
    <r>
      <rPr>
        <sz val="6"/>
        <color indexed="8"/>
        <rFont val="Arial"/>
        <family val="2"/>
      </rPr>
      <t>O</t>
    </r>
    <r>
      <rPr>
        <sz val="6"/>
        <color indexed="8"/>
        <rFont val="Arial"/>
        <family val="2"/>
      </rPr>
      <t>F</t>
    </r>
    <r>
      <rPr>
        <sz val="6"/>
        <color indexed="8"/>
        <rFont val="Arial"/>
        <family val="2"/>
      </rPr>
      <t>U</t>
    </r>
    <r>
      <rPr>
        <sz val="6"/>
        <color indexed="8"/>
        <rFont val="Arial"/>
        <family val="2"/>
      </rPr>
      <t>N</t>
    </r>
    <r>
      <rPr>
        <sz val="6"/>
        <color indexed="8"/>
        <rFont val="Arial"/>
        <family val="2"/>
      </rPr>
      <t>D</t>
    </r>
    <r>
      <rPr>
        <sz val="6"/>
        <color indexed="8"/>
        <rFont val="Arial"/>
        <family val="2"/>
      </rPr>
      <t>I</t>
    </r>
    <r>
      <rPr>
        <sz val="6"/>
        <color indexed="8"/>
        <rFont val="Arial"/>
        <family val="2"/>
      </rPr>
      <t>D</t>
    </r>
    <r>
      <rPr>
        <sz val="6"/>
        <color indexed="8"/>
        <rFont val="Arial"/>
        <family val="2"/>
      </rPr>
      <t>A</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2</t>
    </r>
    <r>
      <rPr>
        <sz val="6"/>
        <color indexed="8"/>
        <rFont val="Arial"/>
        <family val="2"/>
      </rPr>
      <t>,</t>
    </r>
    <r>
      <rPr>
        <sz val="6"/>
        <color indexed="8"/>
        <rFont val="Arial"/>
        <family val="2"/>
      </rPr>
      <t>0</t>
    </r>
    <r>
      <rPr>
        <sz val="6"/>
        <color indexed="8"/>
        <rFont val="Arial"/>
        <family val="2"/>
      </rPr>
      <t xml:space="preserve"> </t>
    </r>
    <r>
      <rPr>
        <sz val="6"/>
        <color indexed="8"/>
        <rFont val="Arial"/>
        <family val="2"/>
      </rPr>
      <t>A</t>
    </r>
    <r>
      <rPr>
        <sz val="6"/>
        <color indexed="8"/>
        <rFont val="Arial"/>
        <family val="2"/>
      </rPr>
      <t xml:space="preserve"> </t>
    </r>
    <r>
      <rPr>
        <sz val="6"/>
        <color indexed="8"/>
        <rFont val="Arial"/>
        <family val="2"/>
      </rPr>
      <t>4</t>
    </r>
    <r>
      <rPr>
        <sz val="6"/>
        <color indexed="8"/>
        <rFont val="Arial"/>
        <family val="2"/>
      </rPr>
      <t>,</t>
    </r>
    <r>
      <rPr>
        <sz val="6"/>
        <color indexed="8"/>
        <rFont val="Arial"/>
        <family val="2"/>
      </rPr>
      <t>0M</t>
    </r>
  </si>
  <si>
    <r>
      <rPr>
        <sz val="6"/>
        <color indexed="8"/>
        <rFont val="Arial"/>
        <family val="2"/>
      </rPr>
      <t>E</t>
    </r>
    <r>
      <rPr>
        <sz val="6"/>
        <color indexed="8"/>
        <rFont val="Arial"/>
        <family val="2"/>
      </rPr>
      <t>S</t>
    </r>
    <r>
      <rPr>
        <sz val="6"/>
        <color indexed="8"/>
        <rFont val="Arial"/>
        <family val="2"/>
      </rPr>
      <t>C</t>
    </r>
    <r>
      <rPr>
        <sz val="6"/>
        <color indexed="8"/>
        <rFont val="Arial"/>
        <family val="2"/>
      </rPr>
      <t>AVAÇ</t>
    </r>
    <r>
      <rPr>
        <sz val="6"/>
        <color indexed="8"/>
        <rFont val="Arial"/>
        <family val="2"/>
      </rPr>
      <t>Ã</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M</t>
    </r>
    <r>
      <rPr>
        <sz val="6"/>
        <color indexed="8"/>
        <rFont val="Arial"/>
        <family val="2"/>
      </rPr>
      <t>A</t>
    </r>
    <r>
      <rPr>
        <sz val="6"/>
        <color indexed="8"/>
        <rFont val="Arial"/>
        <family val="2"/>
      </rPr>
      <t>N</t>
    </r>
    <r>
      <rPr>
        <sz val="6"/>
        <color indexed="8"/>
        <rFont val="Arial"/>
        <family val="2"/>
      </rPr>
      <t>U</t>
    </r>
    <r>
      <rPr>
        <sz val="6"/>
        <color indexed="8"/>
        <rFont val="Arial"/>
        <family val="2"/>
      </rPr>
      <t>AL</t>
    </r>
    <r>
      <rPr>
        <sz val="6"/>
        <color indexed="8"/>
        <rFont val="Arial"/>
        <family val="2"/>
      </rPr>
      <t xml:space="preserve"> </t>
    </r>
    <r>
      <rPr>
        <sz val="6"/>
        <color indexed="8"/>
        <rFont val="Arial"/>
        <family val="2"/>
      </rPr>
      <t xml:space="preserve"> </t>
    </r>
    <r>
      <rPr>
        <sz val="6"/>
        <color indexed="8"/>
        <rFont val="Arial"/>
        <family val="2"/>
      </rPr>
      <t>EM</t>
    </r>
    <r>
      <rPr>
        <sz val="6"/>
        <color indexed="8"/>
        <rFont val="Arial"/>
        <family val="2"/>
      </rPr>
      <t xml:space="preserve"> </t>
    </r>
    <r>
      <rPr>
        <sz val="6"/>
        <color indexed="8"/>
        <rFont val="Arial"/>
        <family val="2"/>
      </rPr>
      <t>VAL</t>
    </r>
    <r>
      <rPr>
        <sz val="6"/>
        <color indexed="8"/>
        <rFont val="Arial"/>
        <family val="2"/>
      </rPr>
      <t>A</t>
    </r>
    <r>
      <rPr>
        <sz val="6"/>
        <color indexed="8"/>
        <rFont val="Arial"/>
        <family val="2"/>
      </rPr>
      <t>S</t>
    </r>
    <r>
      <rPr>
        <sz val="6"/>
        <color indexed="8"/>
        <rFont val="Arial"/>
        <family val="2"/>
      </rPr>
      <t xml:space="preserve"> </t>
    </r>
    <r>
      <rPr>
        <sz val="6"/>
        <color indexed="8"/>
        <rFont val="Arial"/>
        <family val="2"/>
      </rPr>
      <t xml:space="preserve"> </t>
    </r>
    <r>
      <rPr>
        <sz val="6"/>
        <color indexed="8"/>
        <rFont val="Arial"/>
        <family val="2"/>
      </rPr>
      <t>C</t>
    </r>
    <r>
      <rPr>
        <sz val="6"/>
        <color indexed="8"/>
        <rFont val="Arial"/>
        <family val="2"/>
      </rPr>
      <t>OM</t>
    </r>
    <r>
      <rPr>
        <sz val="6"/>
        <color indexed="8"/>
        <rFont val="Arial"/>
        <family val="2"/>
      </rPr>
      <t xml:space="preserve"> </t>
    </r>
    <r>
      <rPr>
        <sz val="6"/>
        <color indexed="8"/>
        <rFont val="Arial"/>
        <family val="2"/>
      </rPr>
      <t xml:space="preserve"> </t>
    </r>
    <r>
      <rPr>
        <sz val="6"/>
        <color indexed="8"/>
        <rFont val="Arial"/>
        <family val="2"/>
      </rPr>
      <t>M</t>
    </r>
    <r>
      <rPr>
        <sz val="6"/>
        <color indexed="8"/>
        <rFont val="Arial"/>
        <family val="2"/>
      </rPr>
      <t>A</t>
    </r>
    <r>
      <rPr>
        <sz val="6"/>
        <color indexed="8"/>
        <rFont val="Arial"/>
        <family val="2"/>
      </rPr>
      <t>T</t>
    </r>
    <r>
      <rPr>
        <sz val="6"/>
        <color indexed="8"/>
        <rFont val="Arial"/>
        <family val="2"/>
      </rPr>
      <t>E</t>
    </r>
    <r>
      <rPr>
        <sz val="6"/>
        <color indexed="8"/>
        <rFont val="Arial"/>
        <family val="2"/>
      </rPr>
      <t>R</t>
    </r>
    <r>
      <rPr>
        <sz val="6"/>
        <color indexed="8"/>
        <rFont val="Arial"/>
        <family val="2"/>
      </rPr>
      <t>I</t>
    </r>
    <r>
      <rPr>
        <sz val="6"/>
        <color indexed="8"/>
        <rFont val="Arial"/>
        <family val="2"/>
      </rPr>
      <t>AL</t>
    </r>
    <r>
      <rPr>
        <sz val="6"/>
        <color indexed="8"/>
        <rFont val="Arial"/>
        <family val="2"/>
      </rPr>
      <t xml:space="preserve"> </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3ª</t>
    </r>
    <r>
      <rPr>
        <sz val="6"/>
        <color indexed="8"/>
        <rFont val="Arial"/>
        <family val="2"/>
      </rPr>
      <t xml:space="preserve"> </t>
    </r>
    <r>
      <rPr>
        <sz val="6"/>
        <color indexed="8"/>
        <rFont val="Arial"/>
        <family val="2"/>
      </rPr>
      <t>C</t>
    </r>
    <r>
      <rPr>
        <sz val="6"/>
        <color indexed="8"/>
        <rFont val="Arial"/>
        <family val="2"/>
      </rPr>
      <t>A</t>
    </r>
    <r>
      <rPr>
        <sz val="6"/>
        <color indexed="8"/>
        <rFont val="Arial"/>
        <family val="2"/>
      </rPr>
      <t>T</t>
    </r>
    <r>
      <rPr>
        <sz val="6"/>
        <color indexed="8"/>
        <rFont val="Arial"/>
        <family val="2"/>
      </rPr>
      <t>EGO</t>
    </r>
    <r>
      <rPr>
        <sz val="6"/>
        <color indexed="8"/>
        <rFont val="Arial"/>
        <family val="2"/>
      </rPr>
      <t>R</t>
    </r>
    <r>
      <rPr>
        <sz val="6"/>
        <color indexed="8"/>
        <rFont val="Arial"/>
        <family val="2"/>
      </rPr>
      <t>I</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P</t>
    </r>
    <r>
      <rPr>
        <sz val="6"/>
        <color indexed="8"/>
        <rFont val="Arial"/>
        <family val="2"/>
      </rPr>
      <t>E</t>
    </r>
    <r>
      <rPr>
        <sz val="6"/>
        <color indexed="8"/>
        <rFont val="Arial"/>
        <family val="2"/>
      </rPr>
      <t>R</t>
    </r>
    <r>
      <rPr>
        <sz val="6"/>
        <color indexed="8"/>
        <rFont val="Arial"/>
        <family val="2"/>
      </rPr>
      <t>F</t>
    </r>
    <r>
      <rPr>
        <sz val="6"/>
        <color indexed="8"/>
        <rFont val="Arial"/>
        <family val="2"/>
      </rPr>
      <t>U</t>
    </r>
    <r>
      <rPr>
        <sz val="6"/>
        <color indexed="8"/>
        <rFont val="Arial"/>
        <family val="2"/>
      </rPr>
      <t>R</t>
    </r>
    <r>
      <rPr>
        <sz val="6"/>
        <color indexed="8"/>
        <rFont val="Arial"/>
        <family val="2"/>
      </rPr>
      <t>A</t>
    </r>
    <r>
      <rPr>
        <sz val="6"/>
        <color indexed="8"/>
        <rFont val="Arial"/>
        <family val="2"/>
      </rPr>
      <t>Ç</t>
    </r>
    <r>
      <rPr>
        <sz val="6"/>
        <color indexed="8"/>
        <rFont val="Arial"/>
        <family val="2"/>
      </rPr>
      <t>Ã</t>
    </r>
    <r>
      <rPr>
        <sz val="6"/>
        <color indexed="8"/>
        <rFont val="Arial"/>
        <family val="2"/>
      </rPr>
      <t>O</t>
    </r>
    <r>
      <rPr>
        <sz val="6"/>
        <color indexed="8"/>
        <rFont val="Arial"/>
        <family val="2"/>
      </rPr>
      <t xml:space="preserve"> </t>
    </r>
    <r>
      <rPr>
        <sz val="6"/>
        <color indexed="8"/>
        <rFont val="Arial"/>
        <family val="2"/>
      </rPr>
      <t>C</t>
    </r>
    <r>
      <rPr>
        <sz val="6"/>
        <color indexed="8"/>
        <rFont val="Arial"/>
        <family val="2"/>
      </rPr>
      <t>O</t>
    </r>
    <r>
      <rPr>
        <sz val="6"/>
        <color indexed="8"/>
        <rFont val="Arial"/>
        <family val="2"/>
      </rPr>
      <t>M</t>
    </r>
    <r>
      <rPr>
        <sz val="6"/>
        <color indexed="8"/>
        <rFont val="Arial"/>
        <family val="2"/>
      </rPr>
      <t xml:space="preserve"> </t>
    </r>
    <r>
      <rPr>
        <sz val="6"/>
        <color indexed="8"/>
        <rFont val="Arial"/>
        <family val="2"/>
      </rPr>
      <t xml:space="preserve"> </t>
    </r>
    <r>
      <rPr>
        <sz val="6"/>
        <color indexed="8"/>
        <rFont val="Arial"/>
        <family val="2"/>
      </rPr>
      <t>PE</t>
    </r>
    <r>
      <rPr>
        <sz val="6"/>
        <color indexed="8"/>
        <rFont val="Arial"/>
        <family val="2"/>
      </rPr>
      <t>R</t>
    </r>
    <r>
      <rPr>
        <sz val="6"/>
        <color indexed="8"/>
        <rFont val="Arial"/>
        <family val="2"/>
      </rPr>
      <t>F</t>
    </r>
    <r>
      <rPr>
        <sz val="6"/>
        <color indexed="8"/>
        <rFont val="Arial"/>
        <family val="2"/>
      </rPr>
      <t>U</t>
    </r>
    <r>
      <rPr>
        <sz val="6"/>
        <color indexed="8"/>
        <rFont val="Arial"/>
        <family val="2"/>
      </rPr>
      <t>R</t>
    </r>
    <r>
      <rPr>
        <sz val="6"/>
        <color indexed="8"/>
        <rFont val="Arial"/>
        <family val="2"/>
      </rPr>
      <t>A</t>
    </r>
    <r>
      <rPr>
        <sz val="6"/>
        <color indexed="8"/>
        <rFont val="Arial"/>
        <family val="2"/>
      </rPr>
      <t>T</t>
    </r>
    <r>
      <rPr>
        <sz val="6"/>
        <color indexed="8"/>
        <rFont val="Arial"/>
        <family val="2"/>
      </rPr>
      <t>R</t>
    </r>
    <r>
      <rPr>
        <sz val="6"/>
        <color indexed="8"/>
        <rFont val="Arial"/>
        <family val="2"/>
      </rPr>
      <t>I</t>
    </r>
    <r>
      <rPr>
        <sz val="6"/>
        <color indexed="8"/>
        <rFont val="Arial"/>
        <family val="2"/>
      </rPr>
      <t>Z</t>
    </r>
    <r>
      <rPr>
        <sz val="6"/>
        <color indexed="8"/>
        <rFont val="Arial"/>
        <family val="2"/>
      </rPr>
      <t xml:space="preserve"> </t>
    </r>
    <r>
      <rPr>
        <sz val="6"/>
        <color indexed="8"/>
        <rFont val="Arial"/>
        <family val="2"/>
      </rPr>
      <t>M</t>
    </r>
    <r>
      <rPr>
        <sz val="6"/>
        <color indexed="8"/>
        <rFont val="Arial"/>
        <family val="2"/>
      </rPr>
      <t>A</t>
    </r>
    <r>
      <rPr>
        <sz val="6"/>
        <color indexed="8"/>
        <rFont val="Arial"/>
        <family val="2"/>
      </rPr>
      <t>N</t>
    </r>
    <r>
      <rPr>
        <sz val="6"/>
        <color indexed="8"/>
        <rFont val="Arial"/>
        <family val="2"/>
      </rPr>
      <t>U</t>
    </r>
    <r>
      <rPr>
        <sz val="6"/>
        <color indexed="8"/>
        <rFont val="Arial"/>
        <family val="2"/>
      </rPr>
      <t>A</t>
    </r>
    <r>
      <rPr>
        <sz val="6"/>
        <color indexed="8"/>
        <rFont val="Arial"/>
        <family val="2"/>
      </rPr>
      <t>L</t>
    </r>
    <r>
      <rPr>
        <sz val="6"/>
        <color indexed="8"/>
        <rFont val="Arial"/>
        <family val="2"/>
      </rPr>
      <t xml:space="preserve"> </t>
    </r>
    <r>
      <rPr>
        <sz val="6"/>
        <color indexed="8"/>
        <rFont val="Arial"/>
        <family val="2"/>
      </rPr>
      <t>E</t>
    </r>
    <r>
      <rPr>
        <sz val="6"/>
        <color indexed="8"/>
        <rFont val="Arial"/>
        <family val="2"/>
      </rPr>
      <t xml:space="preserve"> </t>
    </r>
    <r>
      <rPr>
        <sz val="6"/>
        <color indexed="8"/>
        <rFont val="Arial"/>
        <family val="2"/>
      </rPr>
      <t>U</t>
    </r>
    <r>
      <rPr>
        <sz val="6"/>
        <color indexed="8"/>
        <rFont val="Arial"/>
        <family val="2"/>
      </rPr>
      <t>S</t>
    </r>
    <r>
      <rPr>
        <sz val="6"/>
        <color indexed="8"/>
        <rFont val="Arial"/>
        <family val="2"/>
      </rPr>
      <t>O</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E</t>
    </r>
    <r>
      <rPr>
        <sz val="6"/>
        <color indexed="8"/>
        <rFont val="Arial"/>
        <family val="2"/>
      </rPr>
      <t>X</t>
    </r>
    <r>
      <rPr>
        <sz val="6"/>
        <color indexed="8"/>
        <rFont val="Arial"/>
        <family val="2"/>
      </rPr>
      <t>P</t>
    </r>
    <r>
      <rPr>
        <sz val="6"/>
        <color indexed="8"/>
        <rFont val="Arial"/>
        <family val="2"/>
      </rPr>
      <t>L</t>
    </r>
    <r>
      <rPr>
        <sz val="6"/>
        <color indexed="8"/>
        <rFont val="Arial"/>
        <family val="2"/>
      </rPr>
      <t>O</t>
    </r>
    <r>
      <rPr>
        <sz val="6"/>
        <color indexed="8"/>
        <rFont val="Arial"/>
        <family val="2"/>
      </rPr>
      <t>S</t>
    </r>
    <r>
      <rPr>
        <sz val="6"/>
        <color indexed="8"/>
        <rFont val="Arial"/>
        <family val="2"/>
      </rPr>
      <t>I</t>
    </r>
    <r>
      <rPr>
        <sz val="6"/>
        <color indexed="8"/>
        <rFont val="Arial"/>
        <family val="2"/>
      </rPr>
      <t>VO</t>
    </r>
    <r>
      <rPr>
        <sz val="6"/>
        <color indexed="8"/>
        <rFont val="Arial"/>
        <family val="2"/>
      </rPr>
      <t xml:space="preserve"> </t>
    </r>
    <r>
      <rPr>
        <sz val="6"/>
        <color indexed="8"/>
        <rFont val="Arial"/>
        <family val="2"/>
      </rPr>
      <t xml:space="preserve"> </t>
    </r>
    <r>
      <rPr>
        <sz val="6"/>
        <color indexed="8"/>
        <rFont val="Arial"/>
        <family val="2"/>
      </rPr>
      <t>-</t>
    </r>
    <r>
      <rPr>
        <sz val="6"/>
        <color indexed="8"/>
        <rFont val="Arial"/>
        <family val="2"/>
      </rPr>
      <t xml:space="preserve"> </t>
    </r>
    <r>
      <rPr>
        <sz val="6"/>
        <color indexed="8"/>
        <rFont val="Arial"/>
        <family val="2"/>
      </rPr>
      <t xml:space="preserve"> </t>
    </r>
    <r>
      <rPr>
        <sz val="6"/>
        <color indexed="8"/>
        <rFont val="Arial"/>
        <family val="2"/>
      </rPr>
      <t>P</t>
    </r>
    <r>
      <rPr>
        <sz val="6"/>
        <color indexed="8"/>
        <rFont val="Arial"/>
        <family val="2"/>
      </rPr>
      <t>R</t>
    </r>
    <r>
      <rPr>
        <sz val="6"/>
        <color indexed="8"/>
        <rFont val="Arial"/>
        <family val="2"/>
      </rPr>
      <t>O</t>
    </r>
    <r>
      <rPr>
        <sz val="6"/>
        <color indexed="8"/>
        <rFont val="Arial"/>
        <family val="2"/>
      </rPr>
      <t>F</t>
    </r>
    <r>
      <rPr>
        <sz val="6"/>
        <color indexed="8"/>
        <rFont val="Arial"/>
        <family val="2"/>
      </rPr>
      <t>U</t>
    </r>
    <r>
      <rPr>
        <sz val="6"/>
        <color indexed="8"/>
        <rFont val="Arial"/>
        <family val="2"/>
      </rPr>
      <t>N</t>
    </r>
    <r>
      <rPr>
        <sz val="6"/>
        <color indexed="8"/>
        <rFont val="Arial"/>
        <family val="2"/>
      </rPr>
      <t>D</t>
    </r>
    <r>
      <rPr>
        <sz val="6"/>
        <color indexed="8"/>
        <rFont val="Arial"/>
        <family val="2"/>
      </rPr>
      <t>I</t>
    </r>
    <r>
      <rPr>
        <sz val="6"/>
        <color indexed="8"/>
        <rFont val="Arial"/>
        <family val="2"/>
      </rPr>
      <t>D</t>
    </r>
    <r>
      <rPr>
        <sz val="6"/>
        <color indexed="8"/>
        <rFont val="Arial"/>
        <family val="2"/>
      </rPr>
      <t>A</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 xml:space="preserve"> </t>
    </r>
    <r>
      <rPr>
        <sz val="6"/>
        <color indexed="8"/>
        <rFont val="Arial"/>
        <family val="2"/>
      </rPr>
      <t>A</t>
    </r>
    <r>
      <rPr>
        <sz val="6"/>
        <color indexed="8"/>
        <rFont val="Arial"/>
        <family val="2"/>
      </rPr>
      <t>T</t>
    </r>
    <r>
      <rPr>
        <sz val="6"/>
        <color indexed="8"/>
        <rFont val="Arial"/>
        <family val="2"/>
      </rPr>
      <t>É</t>
    </r>
    <r>
      <rPr>
        <sz val="6"/>
        <color indexed="8"/>
        <rFont val="Arial"/>
        <family val="2"/>
      </rPr>
      <t xml:space="preserve"> </t>
    </r>
    <r>
      <rPr>
        <sz val="6"/>
        <color indexed="8"/>
        <rFont val="Arial"/>
        <family val="2"/>
      </rPr>
      <t>2</t>
    </r>
    <r>
      <rPr>
        <sz val="6"/>
        <color indexed="8"/>
        <rFont val="Arial"/>
        <family val="2"/>
      </rPr>
      <t>,</t>
    </r>
    <r>
      <rPr>
        <sz val="6"/>
        <color indexed="8"/>
        <rFont val="Arial"/>
        <family val="2"/>
      </rPr>
      <t>0</t>
    </r>
    <r>
      <rPr>
        <sz val="6"/>
        <color indexed="8"/>
        <rFont val="Arial"/>
        <family val="2"/>
      </rPr>
      <t xml:space="preserve"> </t>
    </r>
    <r>
      <rPr>
        <sz val="6"/>
        <color indexed="8"/>
        <rFont val="Arial"/>
        <family val="2"/>
      </rPr>
      <t>M</t>
    </r>
  </si>
  <si>
    <r>
      <rPr>
        <sz val="6"/>
        <color indexed="8"/>
        <rFont val="Arial"/>
        <family val="2"/>
      </rPr>
      <t>E</t>
    </r>
    <r>
      <rPr>
        <sz val="6"/>
        <color indexed="8"/>
        <rFont val="Arial"/>
        <family val="2"/>
      </rPr>
      <t>S</t>
    </r>
    <r>
      <rPr>
        <sz val="6"/>
        <color indexed="8"/>
        <rFont val="Arial"/>
        <family val="2"/>
      </rPr>
      <t>C</t>
    </r>
    <r>
      <rPr>
        <sz val="6"/>
        <color indexed="8"/>
        <rFont val="Arial"/>
        <family val="2"/>
      </rPr>
      <t>AVAÇ</t>
    </r>
    <r>
      <rPr>
        <sz val="6"/>
        <color indexed="8"/>
        <rFont val="Arial"/>
        <family val="2"/>
      </rPr>
      <t>Ã</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M</t>
    </r>
    <r>
      <rPr>
        <sz val="6"/>
        <color indexed="8"/>
        <rFont val="Arial"/>
        <family val="2"/>
      </rPr>
      <t>A</t>
    </r>
    <r>
      <rPr>
        <sz val="6"/>
        <color indexed="8"/>
        <rFont val="Arial"/>
        <family val="2"/>
      </rPr>
      <t>N</t>
    </r>
    <r>
      <rPr>
        <sz val="6"/>
        <color indexed="8"/>
        <rFont val="Arial"/>
        <family val="2"/>
      </rPr>
      <t>U</t>
    </r>
    <r>
      <rPr>
        <sz val="6"/>
        <color indexed="8"/>
        <rFont val="Arial"/>
        <family val="2"/>
      </rPr>
      <t>AL</t>
    </r>
    <r>
      <rPr>
        <sz val="6"/>
        <color indexed="8"/>
        <rFont val="Arial"/>
        <family val="2"/>
      </rPr>
      <t xml:space="preserve"> </t>
    </r>
    <r>
      <rPr>
        <sz val="6"/>
        <color indexed="8"/>
        <rFont val="Arial"/>
        <family val="2"/>
      </rPr>
      <t xml:space="preserve"> </t>
    </r>
    <r>
      <rPr>
        <sz val="6"/>
        <color indexed="8"/>
        <rFont val="Arial"/>
        <family val="2"/>
      </rPr>
      <t>EM</t>
    </r>
    <r>
      <rPr>
        <sz val="6"/>
        <color indexed="8"/>
        <rFont val="Arial"/>
        <family val="2"/>
      </rPr>
      <t xml:space="preserve"> </t>
    </r>
    <r>
      <rPr>
        <sz val="6"/>
        <color indexed="8"/>
        <rFont val="Arial"/>
        <family val="2"/>
      </rPr>
      <t>VAL</t>
    </r>
    <r>
      <rPr>
        <sz val="6"/>
        <color indexed="8"/>
        <rFont val="Arial"/>
        <family val="2"/>
      </rPr>
      <t>A</t>
    </r>
    <r>
      <rPr>
        <sz val="6"/>
        <color indexed="8"/>
        <rFont val="Arial"/>
        <family val="2"/>
      </rPr>
      <t>S</t>
    </r>
    <r>
      <rPr>
        <sz val="6"/>
        <color indexed="8"/>
        <rFont val="Arial"/>
        <family val="2"/>
      </rPr>
      <t xml:space="preserve"> </t>
    </r>
    <r>
      <rPr>
        <sz val="6"/>
        <color indexed="8"/>
        <rFont val="Arial"/>
        <family val="2"/>
      </rPr>
      <t xml:space="preserve"> </t>
    </r>
    <r>
      <rPr>
        <sz val="6"/>
        <color indexed="8"/>
        <rFont val="Arial"/>
        <family val="2"/>
      </rPr>
      <t>C</t>
    </r>
    <r>
      <rPr>
        <sz val="6"/>
        <color indexed="8"/>
        <rFont val="Arial"/>
        <family val="2"/>
      </rPr>
      <t>OM</t>
    </r>
    <r>
      <rPr>
        <sz val="6"/>
        <color indexed="8"/>
        <rFont val="Arial"/>
        <family val="2"/>
      </rPr>
      <t xml:space="preserve"> </t>
    </r>
    <r>
      <rPr>
        <sz val="6"/>
        <color indexed="8"/>
        <rFont val="Arial"/>
        <family val="2"/>
      </rPr>
      <t xml:space="preserve"> </t>
    </r>
    <r>
      <rPr>
        <sz val="6"/>
        <color indexed="8"/>
        <rFont val="Arial"/>
        <family val="2"/>
      </rPr>
      <t>M</t>
    </r>
    <r>
      <rPr>
        <sz val="6"/>
        <color indexed="8"/>
        <rFont val="Arial"/>
        <family val="2"/>
      </rPr>
      <t>A</t>
    </r>
    <r>
      <rPr>
        <sz val="6"/>
        <color indexed="8"/>
        <rFont val="Arial"/>
        <family val="2"/>
      </rPr>
      <t>T</t>
    </r>
    <r>
      <rPr>
        <sz val="6"/>
        <color indexed="8"/>
        <rFont val="Arial"/>
        <family val="2"/>
      </rPr>
      <t>E</t>
    </r>
    <r>
      <rPr>
        <sz val="6"/>
        <color indexed="8"/>
        <rFont val="Arial"/>
        <family val="2"/>
      </rPr>
      <t>R</t>
    </r>
    <r>
      <rPr>
        <sz val="6"/>
        <color indexed="8"/>
        <rFont val="Arial"/>
        <family val="2"/>
      </rPr>
      <t>I</t>
    </r>
    <r>
      <rPr>
        <sz val="6"/>
        <color indexed="8"/>
        <rFont val="Arial"/>
        <family val="2"/>
      </rPr>
      <t>AL</t>
    </r>
    <r>
      <rPr>
        <sz val="6"/>
        <color indexed="8"/>
        <rFont val="Arial"/>
        <family val="2"/>
      </rPr>
      <t xml:space="preserve"> </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3ª</t>
    </r>
    <r>
      <rPr>
        <sz val="6"/>
        <color indexed="8"/>
        <rFont val="Arial"/>
        <family val="2"/>
      </rPr>
      <t xml:space="preserve"> </t>
    </r>
    <r>
      <rPr>
        <sz val="6"/>
        <color indexed="8"/>
        <rFont val="Arial"/>
        <family val="2"/>
      </rPr>
      <t>C</t>
    </r>
    <r>
      <rPr>
        <sz val="6"/>
        <color indexed="8"/>
        <rFont val="Arial"/>
        <family val="2"/>
      </rPr>
      <t>A</t>
    </r>
    <r>
      <rPr>
        <sz val="6"/>
        <color indexed="8"/>
        <rFont val="Arial"/>
        <family val="2"/>
      </rPr>
      <t>T</t>
    </r>
    <r>
      <rPr>
        <sz val="6"/>
        <color indexed="8"/>
        <rFont val="Arial"/>
        <family val="2"/>
      </rPr>
      <t>EGO</t>
    </r>
    <r>
      <rPr>
        <sz val="6"/>
        <color indexed="8"/>
        <rFont val="Arial"/>
        <family val="2"/>
      </rPr>
      <t>R</t>
    </r>
    <r>
      <rPr>
        <sz val="6"/>
        <color indexed="8"/>
        <rFont val="Arial"/>
        <family val="2"/>
      </rPr>
      <t>I</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P</t>
    </r>
    <r>
      <rPr>
        <sz val="6"/>
        <color indexed="8"/>
        <rFont val="Arial"/>
        <family val="2"/>
      </rPr>
      <t>E</t>
    </r>
    <r>
      <rPr>
        <sz val="6"/>
        <color indexed="8"/>
        <rFont val="Arial"/>
        <family val="2"/>
      </rPr>
      <t>R</t>
    </r>
    <r>
      <rPr>
        <sz val="6"/>
        <color indexed="8"/>
        <rFont val="Arial"/>
        <family val="2"/>
      </rPr>
      <t>F</t>
    </r>
    <r>
      <rPr>
        <sz val="6"/>
        <color indexed="8"/>
        <rFont val="Arial"/>
        <family val="2"/>
      </rPr>
      <t>U</t>
    </r>
    <r>
      <rPr>
        <sz val="6"/>
        <color indexed="8"/>
        <rFont val="Arial"/>
        <family val="2"/>
      </rPr>
      <t>R</t>
    </r>
    <r>
      <rPr>
        <sz val="6"/>
        <color indexed="8"/>
        <rFont val="Arial"/>
        <family val="2"/>
      </rPr>
      <t>A</t>
    </r>
    <r>
      <rPr>
        <sz val="6"/>
        <color indexed="8"/>
        <rFont val="Arial"/>
        <family val="2"/>
      </rPr>
      <t>Ç</t>
    </r>
    <r>
      <rPr>
        <sz val="6"/>
        <color indexed="8"/>
        <rFont val="Arial"/>
        <family val="2"/>
      </rPr>
      <t>Ã</t>
    </r>
    <r>
      <rPr>
        <sz val="6"/>
        <color indexed="8"/>
        <rFont val="Arial"/>
        <family val="2"/>
      </rPr>
      <t>O</t>
    </r>
    <r>
      <rPr>
        <sz val="6"/>
        <color indexed="8"/>
        <rFont val="Arial"/>
        <family val="2"/>
      </rPr>
      <t xml:space="preserve"> </t>
    </r>
    <r>
      <rPr>
        <sz val="6"/>
        <color indexed="8"/>
        <rFont val="Arial"/>
        <family val="2"/>
      </rPr>
      <t>C</t>
    </r>
    <r>
      <rPr>
        <sz val="6"/>
        <color indexed="8"/>
        <rFont val="Arial"/>
        <family val="2"/>
      </rPr>
      <t>O</t>
    </r>
    <r>
      <rPr>
        <sz val="6"/>
        <color indexed="8"/>
        <rFont val="Arial"/>
        <family val="2"/>
      </rPr>
      <t>M</t>
    </r>
    <r>
      <rPr>
        <sz val="6"/>
        <color indexed="8"/>
        <rFont val="Arial"/>
        <family val="2"/>
      </rPr>
      <t xml:space="preserve"> </t>
    </r>
    <r>
      <rPr>
        <sz val="6"/>
        <color indexed="8"/>
        <rFont val="Arial"/>
        <family val="2"/>
      </rPr>
      <t xml:space="preserve"> </t>
    </r>
    <r>
      <rPr>
        <sz val="6"/>
        <color indexed="8"/>
        <rFont val="Arial"/>
        <family val="2"/>
      </rPr>
      <t>PE</t>
    </r>
    <r>
      <rPr>
        <sz val="6"/>
        <color indexed="8"/>
        <rFont val="Arial"/>
        <family val="2"/>
      </rPr>
      <t>R</t>
    </r>
    <r>
      <rPr>
        <sz val="6"/>
        <color indexed="8"/>
        <rFont val="Arial"/>
        <family val="2"/>
      </rPr>
      <t>F</t>
    </r>
    <r>
      <rPr>
        <sz val="6"/>
        <color indexed="8"/>
        <rFont val="Arial"/>
        <family val="2"/>
      </rPr>
      <t>U</t>
    </r>
    <r>
      <rPr>
        <sz val="6"/>
        <color indexed="8"/>
        <rFont val="Arial"/>
        <family val="2"/>
      </rPr>
      <t>R</t>
    </r>
    <r>
      <rPr>
        <sz val="6"/>
        <color indexed="8"/>
        <rFont val="Arial"/>
        <family val="2"/>
      </rPr>
      <t>A</t>
    </r>
    <r>
      <rPr>
        <sz val="6"/>
        <color indexed="8"/>
        <rFont val="Arial"/>
        <family val="2"/>
      </rPr>
      <t>T</t>
    </r>
    <r>
      <rPr>
        <sz val="6"/>
        <color indexed="8"/>
        <rFont val="Arial"/>
        <family val="2"/>
      </rPr>
      <t>R</t>
    </r>
    <r>
      <rPr>
        <sz val="6"/>
        <color indexed="8"/>
        <rFont val="Arial"/>
        <family val="2"/>
      </rPr>
      <t>I</t>
    </r>
    <r>
      <rPr>
        <sz val="6"/>
        <color indexed="8"/>
        <rFont val="Arial"/>
        <family val="2"/>
      </rPr>
      <t>Z</t>
    </r>
    <r>
      <rPr>
        <sz val="6"/>
        <color indexed="8"/>
        <rFont val="Arial"/>
        <family val="2"/>
      </rPr>
      <t xml:space="preserve"> </t>
    </r>
    <r>
      <rPr>
        <sz val="6"/>
        <color indexed="8"/>
        <rFont val="Arial"/>
        <family val="2"/>
      </rPr>
      <t>M</t>
    </r>
    <r>
      <rPr>
        <sz val="6"/>
        <color indexed="8"/>
        <rFont val="Arial"/>
        <family val="2"/>
      </rPr>
      <t>A</t>
    </r>
    <r>
      <rPr>
        <sz val="6"/>
        <color indexed="8"/>
        <rFont val="Arial"/>
        <family val="2"/>
      </rPr>
      <t>N</t>
    </r>
    <r>
      <rPr>
        <sz val="6"/>
        <color indexed="8"/>
        <rFont val="Arial"/>
        <family val="2"/>
      </rPr>
      <t>U</t>
    </r>
    <r>
      <rPr>
        <sz val="6"/>
        <color indexed="8"/>
        <rFont val="Arial"/>
        <family val="2"/>
      </rPr>
      <t>A</t>
    </r>
    <r>
      <rPr>
        <sz val="6"/>
        <color indexed="8"/>
        <rFont val="Arial"/>
        <family val="2"/>
      </rPr>
      <t>L</t>
    </r>
    <r>
      <rPr>
        <sz val="6"/>
        <color indexed="8"/>
        <rFont val="Arial"/>
        <family val="2"/>
      </rPr>
      <t xml:space="preserve"> </t>
    </r>
    <r>
      <rPr>
        <sz val="6"/>
        <color indexed="8"/>
        <rFont val="Arial"/>
        <family val="2"/>
      </rPr>
      <t>E</t>
    </r>
    <r>
      <rPr>
        <sz val="6"/>
        <color indexed="8"/>
        <rFont val="Arial"/>
        <family val="2"/>
      </rPr>
      <t xml:space="preserve"> </t>
    </r>
    <r>
      <rPr>
        <sz val="6"/>
        <color indexed="8"/>
        <rFont val="Arial"/>
        <family val="2"/>
      </rPr>
      <t>U</t>
    </r>
    <r>
      <rPr>
        <sz val="6"/>
        <color indexed="8"/>
        <rFont val="Arial"/>
        <family val="2"/>
      </rPr>
      <t>S</t>
    </r>
    <r>
      <rPr>
        <sz val="6"/>
        <color indexed="8"/>
        <rFont val="Arial"/>
        <family val="2"/>
      </rPr>
      <t>O</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E</t>
    </r>
    <r>
      <rPr>
        <sz val="6"/>
        <color indexed="8"/>
        <rFont val="Arial"/>
        <family val="2"/>
      </rPr>
      <t>X</t>
    </r>
    <r>
      <rPr>
        <sz val="6"/>
        <color indexed="8"/>
        <rFont val="Arial"/>
        <family val="2"/>
      </rPr>
      <t>P</t>
    </r>
    <r>
      <rPr>
        <sz val="6"/>
        <color indexed="8"/>
        <rFont val="Arial"/>
        <family val="2"/>
      </rPr>
      <t>L</t>
    </r>
    <r>
      <rPr>
        <sz val="6"/>
        <color indexed="8"/>
        <rFont val="Arial"/>
        <family val="2"/>
      </rPr>
      <t>O</t>
    </r>
    <r>
      <rPr>
        <sz val="6"/>
        <color indexed="8"/>
        <rFont val="Arial"/>
        <family val="2"/>
      </rPr>
      <t>S</t>
    </r>
    <r>
      <rPr>
        <sz val="6"/>
        <color indexed="8"/>
        <rFont val="Arial"/>
        <family val="2"/>
      </rPr>
      <t>I</t>
    </r>
    <r>
      <rPr>
        <sz val="6"/>
        <color indexed="8"/>
        <rFont val="Arial"/>
        <family val="2"/>
      </rPr>
      <t>VO</t>
    </r>
    <r>
      <rPr>
        <sz val="6"/>
        <color indexed="8"/>
        <rFont val="Arial"/>
        <family val="2"/>
      </rPr>
      <t xml:space="preserve"> </t>
    </r>
    <r>
      <rPr>
        <sz val="6"/>
        <color indexed="8"/>
        <rFont val="Arial"/>
        <family val="2"/>
      </rPr>
      <t xml:space="preserve"> </t>
    </r>
    <r>
      <rPr>
        <sz val="6"/>
        <color indexed="8"/>
        <rFont val="Arial"/>
        <family val="2"/>
      </rPr>
      <t>-</t>
    </r>
    <r>
      <rPr>
        <sz val="6"/>
        <color indexed="8"/>
        <rFont val="Arial"/>
        <family val="2"/>
      </rPr>
      <t xml:space="preserve"> </t>
    </r>
    <r>
      <rPr>
        <sz val="6"/>
        <color indexed="8"/>
        <rFont val="Arial"/>
        <family val="2"/>
      </rPr>
      <t xml:space="preserve"> </t>
    </r>
    <r>
      <rPr>
        <sz val="6"/>
        <color indexed="8"/>
        <rFont val="Arial"/>
        <family val="2"/>
      </rPr>
      <t>P</t>
    </r>
    <r>
      <rPr>
        <sz val="6"/>
        <color indexed="8"/>
        <rFont val="Arial"/>
        <family val="2"/>
      </rPr>
      <t>R</t>
    </r>
    <r>
      <rPr>
        <sz val="6"/>
        <color indexed="8"/>
        <rFont val="Arial"/>
        <family val="2"/>
      </rPr>
      <t>O</t>
    </r>
    <r>
      <rPr>
        <sz val="6"/>
        <color indexed="8"/>
        <rFont val="Arial"/>
        <family val="2"/>
      </rPr>
      <t>F</t>
    </r>
    <r>
      <rPr>
        <sz val="6"/>
        <color indexed="8"/>
        <rFont val="Arial"/>
        <family val="2"/>
      </rPr>
      <t>U</t>
    </r>
    <r>
      <rPr>
        <sz val="6"/>
        <color indexed="8"/>
        <rFont val="Arial"/>
        <family val="2"/>
      </rPr>
      <t>N</t>
    </r>
    <r>
      <rPr>
        <sz val="6"/>
        <color indexed="8"/>
        <rFont val="Arial"/>
        <family val="2"/>
      </rPr>
      <t>D</t>
    </r>
    <r>
      <rPr>
        <sz val="6"/>
        <color indexed="8"/>
        <rFont val="Arial"/>
        <family val="2"/>
      </rPr>
      <t>I</t>
    </r>
    <r>
      <rPr>
        <sz val="6"/>
        <color indexed="8"/>
        <rFont val="Arial"/>
        <family val="2"/>
      </rPr>
      <t>D</t>
    </r>
    <r>
      <rPr>
        <sz val="6"/>
        <color indexed="8"/>
        <rFont val="Arial"/>
        <family val="2"/>
      </rPr>
      <t>A</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2</t>
    </r>
    <r>
      <rPr>
        <sz val="6"/>
        <color indexed="8"/>
        <rFont val="Arial"/>
        <family val="2"/>
      </rPr>
      <t>,</t>
    </r>
    <r>
      <rPr>
        <sz val="6"/>
        <color indexed="8"/>
        <rFont val="Arial"/>
        <family val="2"/>
      </rPr>
      <t>0</t>
    </r>
    <r>
      <rPr>
        <sz val="6"/>
        <color indexed="8"/>
        <rFont val="Arial"/>
        <family val="2"/>
      </rPr>
      <t xml:space="preserve"> </t>
    </r>
    <r>
      <rPr>
        <sz val="6"/>
        <color indexed="8"/>
        <rFont val="Arial"/>
        <family val="2"/>
      </rPr>
      <t>A</t>
    </r>
    <r>
      <rPr>
        <sz val="6"/>
        <color indexed="8"/>
        <rFont val="Arial"/>
        <family val="2"/>
      </rPr>
      <t xml:space="preserve"> </t>
    </r>
    <r>
      <rPr>
        <sz val="6"/>
        <color indexed="8"/>
        <rFont val="Arial"/>
        <family val="2"/>
      </rPr>
      <t>4</t>
    </r>
    <r>
      <rPr>
        <sz val="6"/>
        <color indexed="8"/>
        <rFont val="Arial"/>
        <family val="2"/>
      </rPr>
      <t>,</t>
    </r>
    <r>
      <rPr>
        <sz val="6"/>
        <color indexed="8"/>
        <rFont val="Arial"/>
        <family val="2"/>
      </rPr>
      <t>0</t>
    </r>
    <r>
      <rPr>
        <sz val="6"/>
        <color indexed="8"/>
        <rFont val="Arial"/>
        <family val="2"/>
      </rPr>
      <t xml:space="preserve"> </t>
    </r>
    <r>
      <rPr>
        <sz val="6"/>
        <color indexed="8"/>
        <rFont val="Arial"/>
        <family val="2"/>
      </rPr>
      <t>M</t>
    </r>
  </si>
  <si>
    <t>ESCAVAÇÃO  MANUAL EM VALAS DE TERRA COM PROFUNDIDADE ATÉ 2,0 M</t>
  </si>
  <si>
    <t>ESCAVAÇÃO  MANUAL EM VALAS DE TERRA COM PROFUNDIDADE DE 2,0 M A 4,0M</t>
  </si>
  <si>
    <t>ESCAVAÇÃO  MECANIZADA  (COM ESCAVADEIRA HIDRÁULICA)  EM VALAS COM MATERIAL DE 1ª CATEGORIA - PROFUNDIDADE ATÉ 2,0 M</t>
  </si>
  <si>
    <t>ESCAVAÇÃO  MECANIZADA  (COM ESCAVADEIRA HIDRÁULICA)  EM VALAS COM MATERIAL DE 1ª CATEGORIA - PROFUNDIDADE DE 2,0 A 4,0M</t>
  </si>
  <si>
    <t>ESCAVAÇÃO  MECANIZADA  (COM ESCAVADEIRA HIDRÁULICA)  EM VALAS COM MATERIAL DE 1ª CATEGORIA - PROFUNDIDADE DE 4,0 A 6,0M</t>
  </si>
  <si>
    <r>
      <rPr>
        <sz val="6"/>
        <color indexed="8"/>
        <rFont val="Arial"/>
        <family val="2"/>
      </rPr>
      <t>E</t>
    </r>
    <r>
      <rPr>
        <sz val="6"/>
        <color indexed="8"/>
        <rFont val="Arial"/>
        <family val="2"/>
      </rPr>
      <t>S</t>
    </r>
    <r>
      <rPr>
        <sz val="6"/>
        <color indexed="8"/>
        <rFont val="Arial"/>
        <family val="2"/>
      </rPr>
      <t>C</t>
    </r>
    <r>
      <rPr>
        <sz val="6"/>
        <color indexed="8"/>
        <rFont val="Arial"/>
        <family val="2"/>
      </rPr>
      <t>AVAÇ</t>
    </r>
    <r>
      <rPr>
        <sz val="6"/>
        <color indexed="8"/>
        <rFont val="Arial"/>
        <family val="2"/>
      </rPr>
      <t>Ã</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M</t>
    </r>
    <r>
      <rPr>
        <sz val="6"/>
        <color indexed="8"/>
        <rFont val="Arial"/>
        <family val="2"/>
      </rPr>
      <t>E</t>
    </r>
    <r>
      <rPr>
        <sz val="6"/>
        <color indexed="8"/>
        <rFont val="Arial"/>
        <family val="2"/>
      </rPr>
      <t>C</t>
    </r>
    <r>
      <rPr>
        <sz val="6"/>
        <color indexed="8"/>
        <rFont val="Arial"/>
        <family val="2"/>
      </rPr>
      <t>A</t>
    </r>
    <r>
      <rPr>
        <sz val="6"/>
        <color indexed="8"/>
        <rFont val="Arial"/>
        <family val="2"/>
      </rPr>
      <t>N</t>
    </r>
    <r>
      <rPr>
        <sz val="6"/>
        <color indexed="8"/>
        <rFont val="Arial"/>
        <family val="2"/>
      </rPr>
      <t>I</t>
    </r>
    <r>
      <rPr>
        <sz val="6"/>
        <color indexed="8"/>
        <rFont val="Arial"/>
        <family val="2"/>
      </rPr>
      <t>Z</t>
    </r>
    <r>
      <rPr>
        <sz val="6"/>
        <color indexed="8"/>
        <rFont val="Arial"/>
        <family val="2"/>
      </rPr>
      <t>A</t>
    </r>
    <r>
      <rPr>
        <sz val="6"/>
        <color indexed="8"/>
        <rFont val="Arial"/>
        <family val="2"/>
      </rPr>
      <t>D</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t>
    </r>
    <r>
      <rPr>
        <sz val="6"/>
        <color indexed="8"/>
        <rFont val="Arial"/>
        <family val="2"/>
      </rPr>
      <t>C</t>
    </r>
    <r>
      <rPr>
        <sz val="6"/>
        <color indexed="8"/>
        <rFont val="Arial"/>
        <family val="2"/>
      </rPr>
      <t>OM</t>
    </r>
    <r>
      <rPr>
        <sz val="6"/>
        <color indexed="8"/>
        <rFont val="Arial"/>
        <family val="2"/>
      </rPr>
      <t xml:space="preserve"> </t>
    </r>
    <r>
      <rPr>
        <sz val="6"/>
        <color indexed="8"/>
        <rFont val="Arial"/>
        <family val="2"/>
      </rPr>
      <t>E</t>
    </r>
    <r>
      <rPr>
        <sz val="6"/>
        <color indexed="8"/>
        <rFont val="Arial"/>
        <family val="2"/>
      </rPr>
      <t>S</t>
    </r>
    <r>
      <rPr>
        <sz val="6"/>
        <color indexed="8"/>
        <rFont val="Arial"/>
        <family val="2"/>
      </rPr>
      <t>C</t>
    </r>
    <r>
      <rPr>
        <sz val="6"/>
        <color indexed="8"/>
        <rFont val="Arial"/>
        <family val="2"/>
      </rPr>
      <t>AV</t>
    </r>
    <r>
      <rPr>
        <sz val="6"/>
        <color indexed="8"/>
        <rFont val="Arial"/>
        <family val="2"/>
      </rPr>
      <t>A</t>
    </r>
    <r>
      <rPr>
        <sz val="6"/>
        <color indexed="8"/>
        <rFont val="Arial"/>
        <family val="2"/>
      </rPr>
      <t>D</t>
    </r>
    <r>
      <rPr>
        <sz val="6"/>
        <color indexed="8"/>
        <rFont val="Arial"/>
        <family val="2"/>
      </rPr>
      <t>E</t>
    </r>
    <r>
      <rPr>
        <sz val="6"/>
        <color indexed="8"/>
        <rFont val="Arial"/>
        <family val="2"/>
      </rPr>
      <t>I</t>
    </r>
    <r>
      <rPr>
        <sz val="6"/>
        <color indexed="8"/>
        <rFont val="Arial"/>
        <family val="2"/>
      </rPr>
      <t>R</t>
    </r>
    <r>
      <rPr>
        <sz val="6"/>
        <color indexed="8"/>
        <rFont val="Arial"/>
        <family val="2"/>
      </rPr>
      <t>A</t>
    </r>
    <r>
      <rPr>
        <sz val="6"/>
        <color indexed="8"/>
        <rFont val="Arial"/>
        <family val="2"/>
      </rPr>
      <t xml:space="preserve"> </t>
    </r>
    <r>
      <rPr>
        <sz val="6"/>
        <color indexed="8"/>
        <rFont val="Arial"/>
        <family val="2"/>
      </rPr>
      <t>H</t>
    </r>
    <r>
      <rPr>
        <sz val="6"/>
        <color indexed="8"/>
        <rFont val="Arial"/>
        <family val="2"/>
      </rPr>
      <t>I</t>
    </r>
    <r>
      <rPr>
        <sz val="6"/>
        <color indexed="8"/>
        <rFont val="Arial"/>
        <family val="2"/>
      </rPr>
      <t>D</t>
    </r>
    <r>
      <rPr>
        <sz val="6"/>
        <color indexed="8"/>
        <rFont val="Arial"/>
        <family val="2"/>
      </rPr>
      <t>R</t>
    </r>
    <r>
      <rPr>
        <sz val="6"/>
        <color indexed="8"/>
        <rFont val="Arial"/>
        <family val="2"/>
      </rPr>
      <t>Á</t>
    </r>
    <r>
      <rPr>
        <sz val="6"/>
        <color indexed="8"/>
        <rFont val="Arial"/>
        <family val="2"/>
      </rPr>
      <t>U</t>
    </r>
    <r>
      <rPr>
        <sz val="6"/>
        <color indexed="8"/>
        <rFont val="Arial"/>
        <family val="2"/>
      </rPr>
      <t>L</t>
    </r>
    <r>
      <rPr>
        <sz val="6"/>
        <color indexed="8"/>
        <rFont val="Arial"/>
        <family val="2"/>
      </rPr>
      <t>I</t>
    </r>
    <r>
      <rPr>
        <sz val="6"/>
        <color indexed="8"/>
        <rFont val="Arial"/>
        <family val="2"/>
      </rPr>
      <t>C</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EM</t>
    </r>
    <r>
      <rPr>
        <sz val="6"/>
        <color indexed="8"/>
        <rFont val="Arial"/>
        <family val="2"/>
      </rPr>
      <t xml:space="preserve"> </t>
    </r>
    <r>
      <rPr>
        <sz val="6"/>
        <color indexed="8"/>
        <rFont val="Arial"/>
        <family val="2"/>
      </rPr>
      <t>V</t>
    </r>
    <r>
      <rPr>
        <sz val="6"/>
        <color indexed="8"/>
        <rFont val="Arial"/>
        <family val="2"/>
      </rPr>
      <t>ALAS</t>
    </r>
    <r>
      <rPr>
        <sz val="6"/>
        <color indexed="8"/>
        <rFont val="Arial"/>
        <family val="2"/>
      </rPr>
      <t xml:space="preserve"> </t>
    </r>
    <r>
      <rPr>
        <sz val="6"/>
        <color indexed="8"/>
        <rFont val="Arial"/>
        <family val="2"/>
      </rPr>
      <t>C</t>
    </r>
    <r>
      <rPr>
        <sz val="6"/>
        <color indexed="8"/>
        <rFont val="Arial"/>
        <family val="2"/>
      </rPr>
      <t>O</t>
    </r>
    <r>
      <rPr>
        <sz val="6"/>
        <color indexed="8"/>
        <rFont val="Arial"/>
        <family val="2"/>
      </rPr>
      <t>M</t>
    </r>
    <r>
      <rPr>
        <sz val="6"/>
        <color indexed="8"/>
        <rFont val="Arial"/>
        <family val="2"/>
      </rPr>
      <t xml:space="preserve"> </t>
    </r>
    <r>
      <rPr>
        <sz val="6"/>
        <color indexed="8"/>
        <rFont val="Arial"/>
        <family val="2"/>
      </rPr>
      <t>M</t>
    </r>
    <r>
      <rPr>
        <sz val="6"/>
        <color indexed="8"/>
        <rFont val="Arial"/>
        <family val="2"/>
      </rPr>
      <t>A</t>
    </r>
    <r>
      <rPr>
        <sz val="6"/>
        <color indexed="8"/>
        <rFont val="Arial"/>
        <family val="2"/>
      </rPr>
      <t>T</t>
    </r>
    <r>
      <rPr>
        <sz val="6"/>
        <color indexed="8"/>
        <rFont val="Arial"/>
        <family val="2"/>
      </rPr>
      <t>E</t>
    </r>
    <r>
      <rPr>
        <sz val="6"/>
        <color indexed="8"/>
        <rFont val="Arial"/>
        <family val="2"/>
      </rPr>
      <t>R</t>
    </r>
    <r>
      <rPr>
        <sz val="6"/>
        <color indexed="8"/>
        <rFont val="Arial"/>
        <family val="2"/>
      </rPr>
      <t>I</t>
    </r>
    <r>
      <rPr>
        <sz val="6"/>
        <color indexed="8"/>
        <rFont val="Arial"/>
        <family val="2"/>
      </rPr>
      <t>AL</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2ª</t>
    </r>
    <r>
      <rPr>
        <sz val="6"/>
        <color indexed="8"/>
        <rFont val="Arial"/>
        <family val="2"/>
      </rPr>
      <t xml:space="preserve"> </t>
    </r>
    <r>
      <rPr>
        <sz val="6"/>
        <color indexed="8"/>
        <rFont val="Arial"/>
        <family val="2"/>
      </rPr>
      <t>C</t>
    </r>
    <r>
      <rPr>
        <sz val="6"/>
        <color indexed="8"/>
        <rFont val="Arial"/>
        <family val="2"/>
      </rPr>
      <t>A</t>
    </r>
    <r>
      <rPr>
        <sz val="6"/>
        <color indexed="8"/>
        <rFont val="Arial"/>
        <family val="2"/>
      </rPr>
      <t>T</t>
    </r>
    <r>
      <rPr>
        <sz val="6"/>
        <color indexed="8"/>
        <rFont val="Arial"/>
        <family val="2"/>
      </rPr>
      <t>E</t>
    </r>
    <r>
      <rPr>
        <sz val="6"/>
        <color indexed="8"/>
        <rFont val="Arial"/>
        <family val="2"/>
      </rPr>
      <t>G</t>
    </r>
    <r>
      <rPr>
        <sz val="6"/>
        <color indexed="8"/>
        <rFont val="Arial"/>
        <family val="2"/>
      </rPr>
      <t>O</t>
    </r>
    <r>
      <rPr>
        <sz val="6"/>
        <color indexed="8"/>
        <rFont val="Arial"/>
        <family val="2"/>
      </rPr>
      <t>R</t>
    </r>
    <r>
      <rPr>
        <sz val="6"/>
        <color indexed="8"/>
        <rFont val="Arial"/>
        <family val="2"/>
      </rPr>
      <t>I</t>
    </r>
    <r>
      <rPr>
        <sz val="6"/>
        <color indexed="8"/>
        <rFont val="Arial"/>
        <family val="2"/>
      </rPr>
      <t xml:space="preserve">A
</t>
    </r>
    <r>
      <rPr>
        <sz val="6"/>
        <color indexed="8"/>
        <rFont val="Arial"/>
        <family val="2"/>
      </rPr>
      <t>-</t>
    </r>
    <r>
      <rPr>
        <sz val="6"/>
        <color indexed="8"/>
        <rFont val="Arial"/>
        <family val="2"/>
      </rPr>
      <t xml:space="preserve"> </t>
    </r>
    <r>
      <rPr>
        <sz val="6"/>
        <color indexed="8"/>
        <rFont val="Arial"/>
        <family val="2"/>
      </rPr>
      <t>P</t>
    </r>
    <r>
      <rPr>
        <sz val="6"/>
        <color indexed="8"/>
        <rFont val="Arial"/>
        <family val="2"/>
      </rPr>
      <t>R</t>
    </r>
    <r>
      <rPr>
        <sz val="6"/>
        <color indexed="8"/>
        <rFont val="Arial"/>
        <family val="2"/>
      </rPr>
      <t>O</t>
    </r>
    <r>
      <rPr>
        <sz val="6"/>
        <color indexed="8"/>
        <rFont val="Arial"/>
        <family val="2"/>
      </rPr>
      <t>F</t>
    </r>
    <r>
      <rPr>
        <sz val="6"/>
        <color indexed="8"/>
        <rFont val="Arial"/>
        <family val="2"/>
      </rPr>
      <t>U</t>
    </r>
    <r>
      <rPr>
        <sz val="6"/>
        <color indexed="8"/>
        <rFont val="Arial"/>
        <family val="2"/>
      </rPr>
      <t>N</t>
    </r>
    <r>
      <rPr>
        <sz val="6"/>
        <color indexed="8"/>
        <rFont val="Arial"/>
        <family val="2"/>
      </rPr>
      <t>D</t>
    </r>
    <r>
      <rPr>
        <sz val="6"/>
        <color indexed="8"/>
        <rFont val="Arial"/>
        <family val="2"/>
      </rPr>
      <t>I</t>
    </r>
    <r>
      <rPr>
        <sz val="6"/>
        <color indexed="8"/>
        <rFont val="Arial"/>
        <family val="2"/>
      </rPr>
      <t>D</t>
    </r>
    <r>
      <rPr>
        <sz val="6"/>
        <color indexed="8"/>
        <rFont val="Arial"/>
        <family val="2"/>
      </rPr>
      <t>A</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A</t>
    </r>
    <r>
      <rPr>
        <sz val="6"/>
        <color indexed="8"/>
        <rFont val="Arial"/>
        <family val="2"/>
      </rPr>
      <t>T</t>
    </r>
    <r>
      <rPr>
        <sz val="6"/>
        <color indexed="8"/>
        <rFont val="Arial"/>
        <family val="2"/>
      </rPr>
      <t>É</t>
    </r>
    <r>
      <rPr>
        <sz val="6"/>
        <color indexed="8"/>
        <rFont val="Arial"/>
        <family val="2"/>
      </rPr>
      <t xml:space="preserve"> </t>
    </r>
    <r>
      <rPr>
        <sz val="6"/>
        <color indexed="8"/>
        <rFont val="Arial"/>
        <family val="2"/>
      </rPr>
      <t>2</t>
    </r>
    <r>
      <rPr>
        <sz val="6"/>
        <color indexed="8"/>
        <rFont val="Arial"/>
        <family val="2"/>
      </rPr>
      <t>,</t>
    </r>
    <r>
      <rPr>
        <sz val="6"/>
        <color indexed="8"/>
        <rFont val="Arial"/>
        <family val="2"/>
      </rPr>
      <t>0</t>
    </r>
    <r>
      <rPr>
        <sz val="6"/>
        <color indexed="8"/>
        <rFont val="Arial"/>
        <family val="2"/>
      </rPr>
      <t xml:space="preserve"> </t>
    </r>
    <r>
      <rPr>
        <sz val="6"/>
        <color indexed="8"/>
        <rFont val="Arial"/>
        <family val="2"/>
      </rPr>
      <t>M</t>
    </r>
  </si>
  <si>
    <r>
      <rPr>
        <sz val="6"/>
        <color indexed="8"/>
        <rFont val="Arial"/>
        <family val="2"/>
      </rPr>
      <t>E</t>
    </r>
    <r>
      <rPr>
        <sz val="6"/>
        <color indexed="8"/>
        <rFont val="Arial"/>
        <family val="2"/>
      </rPr>
      <t>S</t>
    </r>
    <r>
      <rPr>
        <sz val="6"/>
        <color indexed="8"/>
        <rFont val="Arial"/>
        <family val="2"/>
      </rPr>
      <t>C</t>
    </r>
    <r>
      <rPr>
        <sz val="6"/>
        <color indexed="8"/>
        <rFont val="Arial"/>
        <family val="2"/>
      </rPr>
      <t>AVAÇ</t>
    </r>
    <r>
      <rPr>
        <sz val="6"/>
        <color indexed="8"/>
        <rFont val="Arial"/>
        <family val="2"/>
      </rPr>
      <t>Ã</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M</t>
    </r>
    <r>
      <rPr>
        <sz val="6"/>
        <color indexed="8"/>
        <rFont val="Arial"/>
        <family val="2"/>
      </rPr>
      <t>E</t>
    </r>
    <r>
      <rPr>
        <sz val="6"/>
        <color indexed="8"/>
        <rFont val="Arial"/>
        <family val="2"/>
      </rPr>
      <t>C</t>
    </r>
    <r>
      <rPr>
        <sz val="6"/>
        <color indexed="8"/>
        <rFont val="Arial"/>
        <family val="2"/>
      </rPr>
      <t>A</t>
    </r>
    <r>
      <rPr>
        <sz val="6"/>
        <color indexed="8"/>
        <rFont val="Arial"/>
        <family val="2"/>
      </rPr>
      <t>N</t>
    </r>
    <r>
      <rPr>
        <sz val="6"/>
        <color indexed="8"/>
        <rFont val="Arial"/>
        <family val="2"/>
      </rPr>
      <t>I</t>
    </r>
    <r>
      <rPr>
        <sz val="6"/>
        <color indexed="8"/>
        <rFont val="Arial"/>
        <family val="2"/>
      </rPr>
      <t>Z</t>
    </r>
    <r>
      <rPr>
        <sz val="6"/>
        <color indexed="8"/>
        <rFont val="Arial"/>
        <family val="2"/>
      </rPr>
      <t>A</t>
    </r>
    <r>
      <rPr>
        <sz val="6"/>
        <color indexed="8"/>
        <rFont val="Arial"/>
        <family val="2"/>
      </rPr>
      <t>D</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t>
    </r>
    <r>
      <rPr>
        <sz val="6"/>
        <color indexed="8"/>
        <rFont val="Arial"/>
        <family val="2"/>
      </rPr>
      <t>C</t>
    </r>
    <r>
      <rPr>
        <sz val="6"/>
        <color indexed="8"/>
        <rFont val="Arial"/>
        <family val="2"/>
      </rPr>
      <t>OM</t>
    </r>
    <r>
      <rPr>
        <sz val="6"/>
        <color indexed="8"/>
        <rFont val="Arial"/>
        <family val="2"/>
      </rPr>
      <t xml:space="preserve"> </t>
    </r>
    <r>
      <rPr>
        <sz val="6"/>
        <color indexed="8"/>
        <rFont val="Arial"/>
        <family val="2"/>
      </rPr>
      <t>E</t>
    </r>
    <r>
      <rPr>
        <sz val="6"/>
        <color indexed="8"/>
        <rFont val="Arial"/>
        <family val="2"/>
      </rPr>
      <t>S</t>
    </r>
    <r>
      <rPr>
        <sz val="6"/>
        <color indexed="8"/>
        <rFont val="Arial"/>
        <family val="2"/>
      </rPr>
      <t>C</t>
    </r>
    <r>
      <rPr>
        <sz val="6"/>
        <color indexed="8"/>
        <rFont val="Arial"/>
        <family val="2"/>
      </rPr>
      <t>AV</t>
    </r>
    <r>
      <rPr>
        <sz val="6"/>
        <color indexed="8"/>
        <rFont val="Arial"/>
        <family val="2"/>
      </rPr>
      <t>A</t>
    </r>
    <r>
      <rPr>
        <sz val="6"/>
        <color indexed="8"/>
        <rFont val="Arial"/>
        <family val="2"/>
      </rPr>
      <t>D</t>
    </r>
    <r>
      <rPr>
        <sz val="6"/>
        <color indexed="8"/>
        <rFont val="Arial"/>
        <family val="2"/>
      </rPr>
      <t>E</t>
    </r>
    <r>
      <rPr>
        <sz val="6"/>
        <color indexed="8"/>
        <rFont val="Arial"/>
        <family val="2"/>
      </rPr>
      <t>I</t>
    </r>
    <r>
      <rPr>
        <sz val="6"/>
        <color indexed="8"/>
        <rFont val="Arial"/>
        <family val="2"/>
      </rPr>
      <t>R</t>
    </r>
    <r>
      <rPr>
        <sz val="6"/>
        <color indexed="8"/>
        <rFont val="Arial"/>
        <family val="2"/>
      </rPr>
      <t>A</t>
    </r>
    <r>
      <rPr>
        <sz val="6"/>
        <color indexed="8"/>
        <rFont val="Arial"/>
        <family val="2"/>
      </rPr>
      <t xml:space="preserve"> </t>
    </r>
    <r>
      <rPr>
        <sz val="6"/>
        <color indexed="8"/>
        <rFont val="Arial"/>
        <family val="2"/>
      </rPr>
      <t>H</t>
    </r>
    <r>
      <rPr>
        <sz val="6"/>
        <color indexed="8"/>
        <rFont val="Arial"/>
        <family val="2"/>
      </rPr>
      <t>I</t>
    </r>
    <r>
      <rPr>
        <sz val="6"/>
        <color indexed="8"/>
        <rFont val="Arial"/>
        <family val="2"/>
      </rPr>
      <t>D</t>
    </r>
    <r>
      <rPr>
        <sz val="6"/>
        <color indexed="8"/>
        <rFont val="Arial"/>
        <family val="2"/>
      </rPr>
      <t>R</t>
    </r>
    <r>
      <rPr>
        <sz val="6"/>
        <color indexed="8"/>
        <rFont val="Arial"/>
        <family val="2"/>
      </rPr>
      <t>Á</t>
    </r>
    <r>
      <rPr>
        <sz val="6"/>
        <color indexed="8"/>
        <rFont val="Arial"/>
        <family val="2"/>
      </rPr>
      <t>U</t>
    </r>
    <r>
      <rPr>
        <sz val="6"/>
        <color indexed="8"/>
        <rFont val="Arial"/>
        <family val="2"/>
      </rPr>
      <t>L</t>
    </r>
    <r>
      <rPr>
        <sz val="6"/>
        <color indexed="8"/>
        <rFont val="Arial"/>
        <family val="2"/>
      </rPr>
      <t>I</t>
    </r>
    <r>
      <rPr>
        <sz val="6"/>
        <color indexed="8"/>
        <rFont val="Arial"/>
        <family val="2"/>
      </rPr>
      <t>C</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EM</t>
    </r>
    <r>
      <rPr>
        <sz val="6"/>
        <color indexed="8"/>
        <rFont val="Arial"/>
        <family val="2"/>
      </rPr>
      <t xml:space="preserve"> </t>
    </r>
    <r>
      <rPr>
        <sz val="6"/>
        <color indexed="8"/>
        <rFont val="Arial"/>
        <family val="2"/>
      </rPr>
      <t>V</t>
    </r>
    <r>
      <rPr>
        <sz val="6"/>
        <color indexed="8"/>
        <rFont val="Arial"/>
        <family val="2"/>
      </rPr>
      <t>ALAS</t>
    </r>
    <r>
      <rPr>
        <sz val="6"/>
        <color indexed="8"/>
        <rFont val="Arial"/>
        <family val="2"/>
      </rPr>
      <t xml:space="preserve"> </t>
    </r>
    <r>
      <rPr>
        <sz val="6"/>
        <color indexed="8"/>
        <rFont val="Arial"/>
        <family val="2"/>
      </rPr>
      <t>C</t>
    </r>
    <r>
      <rPr>
        <sz val="6"/>
        <color indexed="8"/>
        <rFont val="Arial"/>
        <family val="2"/>
      </rPr>
      <t>O</t>
    </r>
    <r>
      <rPr>
        <sz val="6"/>
        <color indexed="8"/>
        <rFont val="Arial"/>
        <family val="2"/>
      </rPr>
      <t>M</t>
    </r>
    <r>
      <rPr>
        <sz val="6"/>
        <color indexed="8"/>
        <rFont val="Arial"/>
        <family val="2"/>
      </rPr>
      <t xml:space="preserve"> </t>
    </r>
    <r>
      <rPr>
        <sz val="6"/>
        <color indexed="8"/>
        <rFont val="Arial"/>
        <family val="2"/>
      </rPr>
      <t>M</t>
    </r>
    <r>
      <rPr>
        <sz val="6"/>
        <color indexed="8"/>
        <rFont val="Arial"/>
        <family val="2"/>
      </rPr>
      <t>A</t>
    </r>
    <r>
      <rPr>
        <sz val="6"/>
        <color indexed="8"/>
        <rFont val="Arial"/>
        <family val="2"/>
      </rPr>
      <t>T</t>
    </r>
    <r>
      <rPr>
        <sz val="6"/>
        <color indexed="8"/>
        <rFont val="Arial"/>
        <family val="2"/>
      </rPr>
      <t>E</t>
    </r>
    <r>
      <rPr>
        <sz val="6"/>
        <color indexed="8"/>
        <rFont val="Arial"/>
        <family val="2"/>
      </rPr>
      <t>R</t>
    </r>
    <r>
      <rPr>
        <sz val="6"/>
        <color indexed="8"/>
        <rFont val="Arial"/>
        <family val="2"/>
      </rPr>
      <t>I</t>
    </r>
    <r>
      <rPr>
        <sz val="6"/>
        <color indexed="8"/>
        <rFont val="Arial"/>
        <family val="2"/>
      </rPr>
      <t>AL</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2ª</t>
    </r>
    <r>
      <rPr>
        <sz val="6"/>
        <color indexed="8"/>
        <rFont val="Arial"/>
        <family val="2"/>
      </rPr>
      <t xml:space="preserve"> </t>
    </r>
    <r>
      <rPr>
        <sz val="6"/>
        <color indexed="8"/>
        <rFont val="Arial"/>
        <family val="2"/>
      </rPr>
      <t>C</t>
    </r>
    <r>
      <rPr>
        <sz val="6"/>
        <color indexed="8"/>
        <rFont val="Arial"/>
        <family val="2"/>
      </rPr>
      <t>A</t>
    </r>
    <r>
      <rPr>
        <sz val="6"/>
        <color indexed="8"/>
        <rFont val="Arial"/>
        <family val="2"/>
      </rPr>
      <t>T</t>
    </r>
    <r>
      <rPr>
        <sz val="6"/>
        <color indexed="8"/>
        <rFont val="Arial"/>
        <family val="2"/>
      </rPr>
      <t>E</t>
    </r>
    <r>
      <rPr>
        <sz val="6"/>
        <color indexed="8"/>
        <rFont val="Arial"/>
        <family val="2"/>
      </rPr>
      <t>G</t>
    </r>
    <r>
      <rPr>
        <sz val="6"/>
        <color indexed="8"/>
        <rFont val="Arial"/>
        <family val="2"/>
      </rPr>
      <t>O</t>
    </r>
    <r>
      <rPr>
        <sz val="6"/>
        <color indexed="8"/>
        <rFont val="Arial"/>
        <family val="2"/>
      </rPr>
      <t>R</t>
    </r>
    <r>
      <rPr>
        <sz val="6"/>
        <color indexed="8"/>
        <rFont val="Arial"/>
        <family val="2"/>
      </rPr>
      <t>I</t>
    </r>
    <r>
      <rPr>
        <sz val="6"/>
        <color indexed="8"/>
        <rFont val="Arial"/>
        <family val="2"/>
      </rPr>
      <t xml:space="preserve">A
</t>
    </r>
    <r>
      <rPr>
        <sz val="6"/>
        <color indexed="8"/>
        <rFont val="Arial"/>
        <family val="2"/>
      </rPr>
      <t>-</t>
    </r>
    <r>
      <rPr>
        <sz val="6"/>
        <color indexed="8"/>
        <rFont val="Arial"/>
        <family val="2"/>
      </rPr>
      <t xml:space="preserve"> </t>
    </r>
    <r>
      <rPr>
        <sz val="6"/>
        <color indexed="8"/>
        <rFont val="Arial"/>
        <family val="2"/>
      </rPr>
      <t>P</t>
    </r>
    <r>
      <rPr>
        <sz val="6"/>
        <color indexed="8"/>
        <rFont val="Arial"/>
        <family val="2"/>
      </rPr>
      <t>R</t>
    </r>
    <r>
      <rPr>
        <sz val="6"/>
        <color indexed="8"/>
        <rFont val="Arial"/>
        <family val="2"/>
      </rPr>
      <t>O</t>
    </r>
    <r>
      <rPr>
        <sz val="6"/>
        <color indexed="8"/>
        <rFont val="Arial"/>
        <family val="2"/>
      </rPr>
      <t>F</t>
    </r>
    <r>
      <rPr>
        <sz val="6"/>
        <color indexed="8"/>
        <rFont val="Arial"/>
        <family val="2"/>
      </rPr>
      <t>U</t>
    </r>
    <r>
      <rPr>
        <sz val="6"/>
        <color indexed="8"/>
        <rFont val="Arial"/>
        <family val="2"/>
      </rPr>
      <t>N</t>
    </r>
    <r>
      <rPr>
        <sz val="6"/>
        <color indexed="8"/>
        <rFont val="Arial"/>
        <family val="2"/>
      </rPr>
      <t>D</t>
    </r>
    <r>
      <rPr>
        <sz val="6"/>
        <color indexed="8"/>
        <rFont val="Arial"/>
        <family val="2"/>
      </rPr>
      <t>I</t>
    </r>
    <r>
      <rPr>
        <sz val="6"/>
        <color indexed="8"/>
        <rFont val="Arial"/>
        <family val="2"/>
      </rPr>
      <t>D</t>
    </r>
    <r>
      <rPr>
        <sz val="6"/>
        <color indexed="8"/>
        <rFont val="Arial"/>
        <family val="2"/>
      </rPr>
      <t>A</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2</t>
    </r>
    <r>
      <rPr>
        <sz val="6"/>
        <color indexed="8"/>
        <rFont val="Arial"/>
        <family val="2"/>
      </rPr>
      <t>,</t>
    </r>
    <r>
      <rPr>
        <sz val="6"/>
        <color indexed="8"/>
        <rFont val="Arial"/>
        <family val="2"/>
      </rPr>
      <t>0</t>
    </r>
    <r>
      <rPr>
        <sz val="6"/>
        <color indexed="8"/>
        <rFont val="Arial"/>
        <family val="2"/>
      </rPr>
      <t xml:space="preserve"> </t>
    </r>
    <r>
      <rPr>
        <sz val="6"/>
        <color indexed="8"/>
        <rFont val="Arial"/>
        <family val="2"/>
      </rPr>
      <t>A</t>
    </r>
    <r>
      <rPr>
        <sz val="6"/>
        <color indexed="8"/>
        <rFont val="Arial"/>
        <family val="2"/>
      </rPr>
      <t xml:space="preserve"> </t>
    </r>
    <r>
      <rPr>
        <sz val="6"/>
        <color indexed="8"/>
        <rFont val="Arial"/>
        <family val="2"/>
      </rPr>
      <t>4</t>
    </r>
    <r>
      <rPr>
        <sz val="6"/>
        <color indexed="8"/>
        <rFont val="Arial"/>
        <family val="2"/>
      </rPr>
      <t>,</t>
    </r>
    <r>
      <rPr>
        <sz val="6"/>
        <color indexed="8"/>
        <rFont val="Arial"/>
        <family val="2"/>
      </rPr>
      <t>0</t>
    </r>
    <r>
      <rPr>
        <sz val="6"/>
        <color indexed="8"/>
        <rFont val="Arial"/>
        <family val="2"/>
      </rPr>
      <t xml:space="preserve"> </t>
    </r>
    <r>
      <rPr>
        <sz val="6"/>
        <color indexed="8"/>
        <rFont val="Arial"/>
        <family val="2"/>
      </rPr>
      <t>M</t>
    </r>
  </si>
  <si>
    <r>
      <rPr>
        <sz val="6"/>
        <color indexed="8"/>
        <rFont val="Arial"/>
        <family val="2"/>
      </rPr>
      <t>E</t>
    </r>
    <r>
      <rPr>
        <sz val="6"/>
        <color indexed="8"/>
        <rFont val="Arial"/>
        <family val="2"/>
      </rPr>
      <t>S</t>
    </r>
    <r>
      <rPr>
        <sz val="6"/>
        <color indexed="8"/>
        <rFont val="Arial"/>
        <family val="2"/>
      </rPr>
      <t>C</t>
    </r>
    <r>
      <rPr>
        <sz val="6"/>
        <color indexed="8"/>
        <rFont val="Arial"/>
        <family val="2"/>
      </rPr>
      <t>AVAÇ</t>
    </r>
    <r>
      <rPr>
        <sz val="6"/>
        <color indexed="8"/>
        <rFont val="Arial"/>
        <family val="2"/>
      </rPr>
      <t>Ã</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M</t>
    </r>
    <r>
      <rPr>
        <sz val="6"/>
        <color indexed="8"/>
        <rFont val="Arial"/>
        <family val="2"/>
      </rPr>
      <t>E</t>
    </r>
    <r>
      <rPr>
        <sz val="6"/>
        <color indexed="8"/>
        <rFont val="Arial"/>
        <family val="2"/>
      </rPr>
      <t>C</t>
    </r>
    <r>
      <rPr>
        <sz val="6"/>
        <color indexed="8"/>
        <rFont val="Arial"/>
        <family val="2"/>
      </rPr>
      <t>A</t>
    </r>
    <r>
      <rPr>
        <sz val="6"/>
        <color indexed="8"/>
        <rFont val="Arial"/>
        <family val="2"/>
      </rPr>
      <t>N</t>
    </r>
    <r>
      <rPr>
        <sz val="6"/>
        <color indexed="8"/>
        <rFont val="Arial"/>
        <family val="2"/>
      </rPr>
      <t>I</t>
    </r>
    <r>
      <rPr>
        <sz val="6"/>
        <color indexed="8"/>
        <rFont val="Arial"/>
        <family val="2"/>
      </rPr>
      <t>Z</t>
    </r>
    <r>
      <rPr>
        <sz val="6"/>
        <color indexed="8"/>
        <rFont val="Arial"/>
        <family val="2"/>
      </rPr>
      <t>A</t>
    </r>
    <r>
      <rPr>
        <sz val="6"/>
        <color indexed="8"/>
        <rFont val="Arial"/>
        <family val="2"/>
      </rPr>
      <t>D</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t>
    </r>
    <r>
      <rPr>
        <sz val="6"/>
        <color indexed="8"/>
        <rFont val="Arial"/>
        <family val="2"/>
      </rPr>
      <t>C</t>
    </r>
    <r>
      <rPr>
        <sz val="6"/>
        <color indexed="8"/>
        <rFont val="Arial"/>
        <family val="2"/>
      </rPr>
      <t>OM</t>
    </r>
    <r>
      <rPr>
        <sz val="6"/>
        <color indexed="8"/>
        <rFont val="Arial"/>
        <family val="2"/>
      </rPr>
      <t xml:space="preserve"> </t>
    </r>
    <r>
      <rPr>
        <sz val="6"/>
        <color indexed="8"/>
        <rFont val="Arial"/>
        <family val="2"/>
      </rPr>
      <t>E</t>
    </r>
    <r>
      <rPr>
        <sz val="6"/>
        <color indexed="8"/>
        <rFont val="Arial"/>
        <family val="2"/>
      </rPr>
      <t>S</t>
    </r>
    <r>
      <rPr>
        <sz val="6"/>
        <color indexed="8"/>
        <rFont val="Arial"/>
        <family val="2"/>
      </rPr>
      <t>C</t>
    </r>
    <r>
      <rPr>
        <sz val="6"/>
        <color indexed="8"/>
        <rFont val="Arial"/>
        <family val="2"/>
      </rPr>
      <t>AV</t>
    </r>
    <r>
      <rPr>
        <sz val="6"/>
        <color indexed="8"/>
        <rFont val="Arial"/>
        <family val="2"/>
      </rPr>
      <t>A</t>
    </r>
    <r>
      <rPr>
        <sz val="6"/>
        <color indexed="8"/>
        <rFont val="Arial"/>
        <family val="2"/>
      </rPr>
      <t>D</t>
    </r>
    <r>
      <rPr>
        <sz val="6"/>
        <color indexed="8"/>
        <rFont val="Arial"/>
        <family val="2"/>
      </rPr>
      <t>E</t>
    </r>
    <r>
      <rPr>
        <sz val="6"/>
        <color indexed="8"/>
        <rFont val="Arial"/>
        <family val="2"/>
      </rPr>
      <t>I</t>
    </r>
    <r>
      <rPr>
        <sz val="6"/>
        <color indexed="8"/>
        <rFont val="Arial"/>
        <family val="2"/>
      </rPr>
      <t>R</t>
    </r>
    <r>
      <rPr>
        <sz val="6"/>
        <color indexed="8"/>
        <rFont val="Arial"/>
        <family val="2"/>
      </rPr>
      <t>A</t>
    </r>
    <r>
      <rPr>
        <sz val="6"/>
        <color indexed="8"/>
        <rFont val="Arial"/>
        <family val="2"/>
      </rPr>
      <t xml:space="preserve"> </t>
    </r>
    <r>
      <rPr>
        <sz val="6"/>
        <color indexed="8"/>
        <rFont val="Arial"/>
        <family val="2"/>
      </rPr>
      <t>H</t>
    </r>
    <r>
      <rPr>
        <sz val="6"/>
        <color indexed="8"/>
        <rFont val="Arial"/>
        <family val="2"/>
      </rPr>
      <t>I</t>
    </r>
    <r>
      <rPr>
        <sz val="6"/>
        <color indexed="8"/>
        <rFont val="Arial"/>
        <family val="2"/>
      </rPr>
      <t>D</t>
    </r>
    <r>
      <rPr>
        <sz val="6"/>
        <color indexed="8"/>
        <rFont val="Arial"/>
        <family val="2"/>
      </rPr>
      <t>R</t>
    </r>
    <r>
      <rPr>
        <sz val="6"/>
        <color indexed="8"/>
        <rFont val="Arial"/>
        <family val="2"/>
      </rPr>
      <t>Á</t>
    </r>
    <r>
      <rPr>
        <sz val="6"/>
        <color indexed="8"/>
        <rFont val="Arial"/>
        <family val="2"/>
      </rPr>
      <t>U</t>
    </r>
    <r>
      <rPr>
        <sz val="6"/>
        <color indexed="8"/>
        <rFont val="Arial"/>
        <family val="2"/>
      </rPr>
      <t>L</t>
    </r>
    <r>
      <rPr>
        <sz val="6"/>
        <color indexed="8"/>
        <rFont val="Arial"/>
        <family val="2"/>
      </rPr>
      <t>I</t>
    </r>
    <r>
      <rPr>
        <sz val="6"/>
        <color indexed="8"/>
        <rFont val="Arial"/>
        <family val="2"/>
      </rPr>
      <t>C</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EM</t>
    </r>
    <r>
      <rPr>
        <sz val="6"/>
        <color indexed="8"/>
        <rFont val="Arial"/>
        <family val="2"/>
      </rPr>
      <t xml:space="preserve"> </t>
    </r>
    <r>
      <rPr>
        <sz val="6"/>
        <color indexed="8"/>
        <rFont val="Arial"/>
        <family val="2"/>
      </rPr>
      <t>V</t>
    </r>
    <r>
      <rPr>
        <sz val="6"/>
        <color indexed="8"/>
        <rFont val="Arial"/>
        <family val="2"/>
      </rPr>
      <t>ALAS</t>
    </r>
    <r>
      <rPr>
        <sz val="6"/>
        <color indexed="8"/>
        <rFont val="Arial"/>
        <family val="2"/>
      </rPr>
      <t xml:space="preserve"> </t>
    </r>
    <r>
      <rPr>
        <sz val="6"/>
        <color indexed="8"/>
        <rFont val="Arial"/>
        <family val="2"/>
      </rPr>
      <t>C</t>
    </r>
    <r>
      <rPr>
        <sz val="6"/>
        <color indexed="8"/>
        <rFont val="Arial"/>
        <family val="2"/>
      </rPr>
      <t>O</t>
    </r>
    <r>
      <rPr>
        <sz val="6"/>
        <color indexed="8"/>
        <rFont val="Arial"/>
        <family val="2"/>
      </rPr>
      <t>M</t>
    </r>
    <r>
      <rPr>
        <sz val="6"/>
        <color indexed="8"/>
        <rFont val="Arial"/>
        <family val="2"/>
      </rPr>
      <t xml:space="preserve"> </t>
    </r>
    <r>
      <rPr>
        <sz val="6"/>
        <color indexed="8"/>
        <rFont val="Arial"/>
        <family val="2"/>
      </rPr>
      <t>M</t>
    </r>
    <r>
      <rPr>
        <sz val="6"/>
        <color indexed="8"/>
        <rFont val="Arial"/>
        <family val="2"/>
      </rPr>
      <t>A</t>
    </r>
    <r>
      <rPr>
        <sz val="6"/>
        <color indexed="8"/>
        <rFont val="Arial"/>
        <family val="2"/>
      </rPr>
      <t>T</t>
    </r>
    <r>
      <rPr>
        <sz val="6"/>
        <color indexed="8"/>
        <rFont val="Arial"/>
        <family val="2"/>
      </rPr>
      <t>E</t>
    </r>
    <r>
      <rPr>
        <sz val="6"/>
        <color indexed="8"/>
        <rFont val="Arial"/>
        <family val="2"/>
      </rPr>
      <t>R</t>
    </r>
    <r>
      <rPr>
        <sz val="6"/>
        <color indexed="8"/>
        <rFont val="Arial"/>
        <family val="2"/>
      </rPr>
      <t>I</t>
    </r>
    <r>
      <rPr>
        <sz val="6"/>
        <color indexed="8"/>
        <rFont val="Arial"/>
        <family val="2"/>
      </rPr>
      <t>AL</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2ª</t>
    </r>
    <r>
      <rPr>
        <sz val="6"/>
        <color indexed="8"/>
        <rFont val="Arial"/>
        <family val="2"/>
      </rPr>
      <t xml:space="preserve"> </t>
    </r>
    <r>
      <rPr>
        <sz val="6"/>
        <color indexed="8"/>
        <rFont val="Arial"/>
        <family val="2"/>
      </rPr>
      <t>C</t>
    </r>
    <r>
      <rPr>
        <sz val="6"/>
        <color indexed="8"/>
        <rFont val="Arial"/>
        <family val="2"/>
      </rPr>
      <t>A</t>
    </r>
    <r>
      <rPr>
        <sz val="6"/>
        <color indexed="8"/>
        <rFont val="Arial"/>
        <family val="2"/>
      </rPr>
      <t>T</t>
    </r>
    <r>
      <rPr>
        <sz val="6"/>
        <color indexed="8"/>
        <rFont val="Arial"/>
        <family val="2"/>
      </rPr>
      <t>E</t>
    </r>
    <r>
      <rPr>
        <sz val="6"/>
        <color indexed="8"/>
        <rFont val="Arial"/>
        <family val="2"/>
      </rPr>
      <t>G</t>
    </r>
    <r>
      <rPr>
        <sz val="6"/>
        <color indexed="8"/>
        <rFont val="Arial"/>
        <family val="2"/>
      </rPr>
      <t>O</t>
    </r>
    <r>
      <rPr>
        <sz val="6"/>
        <color indexed="8"/>
        <rFont val="Arial"/>
        <family val="2"/>
      </rPr>
      <t>R</t>
    </r>
    <r>
      <rPr>
        <sz val="6"/>
        <color indexed="8"/>
        <rFont val="Arial"/>
        <family val="2"/>
      </rPr>
      <t>I</t>
    </r>
    <r>
      <rPr>
        <sz val="6"/>
        <color indexed="8"/>
        <rFont val="Arial"/>
        <family val="2"/>
      </rPr>
      <t xml:space="preserve">A
</t>
    </r>
    <r>
      <rPr>
        <sz val="6"/>
        <color indexed="8"/>
        <rFont val="Arial"/>
        <family val="2"/>
      </rPr>
      <t>-</t>
    </r>
    <r>
      <rPr>
        <sz val="6"/>
        <color indexed="8"/>
        <rFont val="Arial"/>
        <family val="2"/>
      </rPr>
      <t xml:space="preserve"> </t>
    </r>
    <r>
      <rPr>
        <sz val="6"/>
        <color indexed="8"/>
        <rFont val="Arial"/>
        <family val="2"/>
      </rPr>
      <t>P</t>
    </r>
    <r>
      <rPr>
        <sz val="6"/>
        <color indexed="8"/>
        <rFont val="Arial"/>
        <family val="2"/>
      </rPr>
      <t>R</t>
    </r>
    <r>
      <rPr>
        <sz val="6"/>
        <color indexed="8"/>
        <rFont val="Arial"/>
        <family val="2"/>
      </rPr>
      <t>O</t>
    </r>
    <r>
      <rPr>
        <sz val="6"/>
        <color indexed="8"/>
        <rFont val="Arial"/>
        <family val="2"/>
      </rPr>
      <t>F</t>
    </r>
    <r>
      <rPr>
        <sz val="6"/>
        <color indexed="8"/>
        <rFont val="Arial"/>
        <family val="2"/>
      </rPr>
      <t>U</t>
    </r>
    <r>
      <rPr>
        <sz val="6"/>
        <color indexed="8"/>
        <rFont val="Arial"/>
        <family val="2"/>
      </rPr>
      <t>N</t>
    </r>
    <r>
      <rPr>
        <sz val="6"/>
        <color indexed="8"/>
        <rFont val="Arial"/>
        <family val="2"/>
      </rPr>
      <t>D</t>
    </r>
    <r>
      <rPr>
        <sz val="6"/>
        <color indexed="8"/>
        <rFont val="Arial"/>
        <family val="2"/>
      </rPr>
      <t>I</t>
    </r>
    <r>
      <rPr>
        <sz val="6"/>
        <color indexed="8"/>
        <rFont val="Arial"/>
        <family val="2"/>
      </rPr>
      <t>D</t>
    </r>
    <r>
      <rPr>
        <sz val="6"/>
        <color indexed="8"/>
        <rFont val="Arial"/>
        <family val="2"/>
      </rPr>
      <t>A</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4</t>
    </r>
    <r>
      <rPr>
        <sz val="6"/>
        <color indexed="8"/>
        <rFont val="Arial"/>
        <family val="2"/>
      </rPr>
      <t>,</t>
    </r>
    <r>
      <rPr>
        <sz val="6"/>
        <color indexed="8"/>
        <rFont val="Arial"/>
        <family val="2"/>
      </rPr>
      <t>0</t>
    </r>
    <r>
      <rPr>
        <sz val="6"/>
        <color indexed="8"/>
        <rFont val="Arial"/>
        <family val="2"/>
      </rPr>
      <t xml:space="preserve"> </t>
    </r>
    <r>
      <rPr>
        <sz val="6"/>
        <color indexed="8"/>
        <rFont val="Arial"/>
        <family val="2"/>
      </rPr>
      <t>A</t>
    </r>
    <r>
      <rPr>
        <sz val="6"/>
        <color indexed="8"/>
        <rFont val="Arial"/>
        <family val="2"/>
      </rPr>
      <t xml:space="preserve"> </t>
    </r>
    <r>
      <rPr>
        <sz val="6"/>
        <color indexed="8"/>
        <rFont val="Arial"/>
        <family val="2"/>
      </rPr>
      <t>6</t>
    </r>
    <r>
      <rPr>
        <sz val="6"/>
        <color indexed="8"/>
        <rFont val="Arial"/>
        <family val="2"/>
      </rPr>
      <t>,</t>
    </r>
    <r>
      <rPr>
        <sz val="6"/>
        <color indexed="8"/>
        <rFont val="Arial"/>
        <family val="2"/>
      </rPr>
      <t>0</t>
    </r>
    <r>
      <rPr>
        <sz val="6"/>
        <color indexed="8"/>
        <rFont val="Arial"/>
        <family val="2"/>
      </rPr>
      <t xml:space="preserve"> </t>
    </r>
    <r>
      <rPr>
        <sz val="6"/>
        <color indexed="8"/>
        <rFont val="Arial"/>
        <family val="2"/>
      </rPr>
      <t>M</t>
    </r>
  </si>
  <si>
    <r>
      <rPr>
        <sz val="6"/>
        <color indexed="8"/>
        <rFont val="Arial"/>
        <family val="2"/>
      </rPr>
      <t>E</t>
    </r>
    <r>
      <rPr>
        <sz val="6"/>
        <color indexed="8"/>
        <rFont val="Arial"/>
        <family val="2"/>
      </rPr>
      <t>S</t>
    </r>
    <r>
      <rPr>
        <sz val="6"/>
        <color indexed="8"/>
        <rFont val="Arial"/>
        <family val="2"/>
      </rPr>
      <t>C</t>
    </r>
    <r>
      <rPr>
        <sz val="6"/>
        <color indexed="8"/>
        <rFont val="Arial"/>
        <family val="2"/>
      </rPr>
      <t>AVAÇ</t>
    </r>
    <r>
      <rPr>
        <sz val="6"/>
        <color indexed="8"/>
        <rFont val="Arial"/>
        <family val="2"/>
      </rPr>
      <t>Ã</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M</t>
    </r>
    <r>
      <rPr>
        <sz val="6"/>
        <color indexed="8"/>
        <rFont val="Arial"/>
        <family val="2"/>
      </rPr>
      <t>E</t>
    </r>
    <r>
      <rPr>
        <sz val="6"/>
        <color indexed="8"/>
        <rFont val="Arial"/>
        <family val="2"/>
      </rPr>
      <t>C</t>
    </r>
    <r>
      <rPr>
        <sz val="6"/>
        <color indexed="8"/>
        <rFont val="Arial"/>
        <family val="2"/>
      </rPr>
      <t>A</t>
    </r>
    <r>
      <rPr>
        <sz val="6"/>
        <color indexed="8"/>
        <rFont val="Arial"/>
        <family val="2"/>
      </rPr>
      <t>N</t>
    </r>
    <r>
      <rPr>
        <sz val="6"/>
        <color indexed="8"/>
        <rFont val="Arial"/>
        <family val="2"/>
      </rPr>
      <t>I</t>
    </r>
    <r>
      <rPr>
        <sz val="6"/>
        <color indexed="8"/>
        <rFont val="Arial"/>
        <family val="2"/>
      </rPr>
      <t>Z</t>
    </r>
    <r>
      <rPr>
        <sz val="6"/>
        <color indexed="8"/>
        <rFont val="Arial"/>
        <family val="2"/>
      </rPr>
      <t>A</t>
    </r>
    <r>
      <rPr>
        <sz val="6"/>
        <color indexed="8"/>
        <rFont val="Arial"/>
        <family val="2"/>
      </rPr>
      <t>D</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t>
    </r>
    <r>
      <rPr>
        <sz val="6"/>
        <color indexed="8"/>
        <rFont val="Arial"/>
        <family val="2"/>
      </rPr>
      <t>C</t>
    </r>
    <r>
      <rPr>
        <sz val="6"/>
        <color indexed="8"/>
        <rFont val="Arial"/>
        <family val="2"/>
      </rPr>
      <t>OM</t>
    </r>
    <r>
      <rPr>
        <sz val="6"/>
        <color indexed="8"/>
        <rFont val="Arial"/>
        <family val="2"/>
      </rPr>
      <t xml:space="preserve"> </t>
    </r>
    <r>
      <rPr>
        <sz val="6"/>
        <color indexed="8"/>
        <rFont val="Arial"/>
        <family val="2"/>
      </rPr>
      <t>E</t>
    </r>
    <r>
      <rPr>
        <sz val="6"/>
        <color indexed="8"/>
        <rFont val="Arial"/>
        <family val="2"/>
      </rPr>
      <t>S</t>
    </r>
    <r>
      <rPr>
        <sz val="6"/>
        <color indexed="8"/>
        <rFont val="Arial"/>
        <family val="2"/>
      </rPr>
      <t>C</t>
    </r>
    <r>
      <rPr>
        <sz val="6"/>
        <color indexed="8"/>
        <rFont val="Arial"/>
        <family val="2"/>
      </rPr>
      <t>AV</t>
    </r>
    <r>
      <rPr>
        <sz val="6"/>
        <color indexed="8"/>
        <rFont val="Arial"/>
        <family val="2"/>
      </rPr>
      <t>A</t>
    </r>
    <r>
      <rPr>
        <sz val="6"/>
        <color indexed="8"/>
        <rFont val="Arial"/>
        <family val="2"/>
      </rPr>
      <t>D</t>
    </r>
    <r>
      <rPr>
        <sz val="6"/>
        <color indexed="8"/>
        <rFont val="Arial"/>
        <family val="2"/>
      </rPr>
      <t>E</t>
    </r>
    <r>
      <rPr>
        <sz val="6"/>
        <color indexed="8"/>
        <rFont val="Arial"/>
        <family val="2"/>
      </rPr>
      <t>I</t>
    </r>
    <r>
      <rPr>
        <sz val="6"/>
        <color indexed="8"/>
        <rFont val="Arial"/>
        <family val="2"/>
      </rPr>
      <t>R</t>
    </r>
    <r>
      <rPr>
        <sz val="6"/>
        <color indexed="8"/>
        <rFont val="Arial"/>
        <family val="2"/>
      </rPr>
      <t>A</t>
    </r>
    <r>
      <rPr>
        <sz val="6"/>
        <color indexed="8"/>
        <rFont val="Arial"/>
        <family val="2"/>
      </rPr>
      <t xml:space="preserve"> </t>
    </r>
    <r>
      <rPr>
        <sz val="6"/>
        <color indexed="8"/>
        <rFont val="Arial"/>
        <family val="2"/>
      </rPr>
      <t>H</t>
    </r>
    <r>
      <rPr>
        <sz val="6"/>
        <color indexed="8"/>
        <rFont val="Arial"/>
        <family val="2"/>
      </rPr>
      <t>I</t>
    </r>
    <r>
      <rPr>
        <sz val="6"/>
        <color indexed="8"/>
        <rFont val="Arial"/>
        <family val="2"/>
      </rPr>
      <t>D</t>
    </r>
    <r>
      <rPr>
        <sz val="6"/>
        <color indexed="8"/>
        <rFont val="Arial"/>
        <family val="2"/>
      </rPr>
      <t>R</t>
    </r>
    <r>
      <rPr>
        <sz val="6"/>
        <color indexed="8"/>
        <rFont val="Arial"/>
        <family val="2"/>
      </rPr>
      <t>Á</t>
    </r>
    <r>
      <rPr>
        <sz val="6"/>
        <color indexed="8"/>
        <rFont val="Arial"/>
        <family val="2"/>
      </rPr>
      <t>U</t>
    </r>
    <r>
      <rPr>
        <sz val="6"/>
        <color indexed="8"/>
        <rFont val="Arial"/>
        <family val="2"/>
      </rPr>
      <t>L</t>
    </r>
    <r>
      <rPr>
        <sz val="6"/>
        <color indexed="8"/>
        <rFont val="Arial"/>
        <family val="2"/>
      </rPr>
      <t>I</t>
    </r>
    <r>
      <rPr>
        <sz val="6"/>
        <color indexed="8"/>
        <rFont val="Arial"/>
        <family val="2"/>
      </rPr>
      <t>C</t>
    </r>
    <r>
      <rPr>
        <sz val="6"/>
        <color indexed="8"/>
        <rFont val="Arial"/>
        <family val="2"/>
      </rPr>
      <t>A</t>
    </r>
    <r>
      <rPr>
        <sz val="6"/>
        <color indexed="8"/>
        <rFont val="Arial"/>
        <family val="2"/>
      </rPr>
      <t>)</t>
    </r>
    <r>
      <rPr>
        <sz val="6"/>
        <color indexed="8"/>
        <rFont val="Arial"/>
        <family val="2"/>
      </rPr>
      <t xml:space="preserve"> </t>
    </r>
    <r>
      <rPr>
        <sz val="6"/>
        <color indexed="8"/>
        <rFont val="Arial"/>
        <family val="2"/>
      </rPr>
      <t xml:space="preserve"> </t>
    </r>
    <r>
      <rPr>
        <sz val="6"/>
        <color indexed="8"/>
        <rFont val="Arial"/>
        <family val="2"/>
      </rPr>
      <t>EM</t>
    </r>
    <r>
      <rPr>
        <sz val="6"/>
        <color indexed="8"/>
        <rFont val="Arial"/>
        <family val="2"/>
      </rPr>
      <t xml:space="preserve"> </t>
    </r>
    <r>
      <rPr>
        <sz val="6"/>
        <color indexed="8"/>
        <rFont val="Arial"/>
        <family val="2"/>
      </rPr>
      <t>V</t>
    </r>
    <r>
      <rPr>
        <sz val="6"/>
        <color indexed="8"/>
        <rFont val="Arial"/>
        <family val="2"/>
      </rPr>
      <t>ALAS</t>
    </r>
    <r>
      <rPr>
        <sz val="6"/>
        <color indexed="8"/>
        <rFont val="Arial"/>
        <family val="2"/>
      </rPr>
      <t xml:space="preserve"> </t>
    </r>
    <r>
      <rPr>
        <sz val="6"/>
        <color indexed="8"/>
        <rFont val="Arial"/>
        <family val="2"/>
      </rPr>
      <t>C</t>
    </r>
    <r>
      <rPr>
        <sz val="6"/>
        <color indexed="8"/>
        <rFont val="Arial"/>
        <family val="2"/>
      </rPr>
      <t>O</t>
    </r>
    <r>
      <rPr>
        <sz val="6"/>
        <color indexed="8"/>
        <rFont val="Arial"/>
        <family val="2"/>
      </rPr>
      <t>M</t>
    </r>
    <r>
      <rPr>
        <sz val="6"/>
        <color indexed="8"/>
        <rFont val="Arial"/>
        <family val="2"/>
      </rPr>
      <t xml:space="preserve"> </t>
    </r>
    <r>
      <rPr>
        <sz val="6"/>
        <color indexed="8"/>
        <rFont val="Arial"/>
        <family val="2"/>
      </rPr>
      <t>M</t>
    </r>
    <r>
      <rPr>
        <sz val="6"/>
        <color indexed="8"/>
        <rFont val="Arial"/>
        <family val="2"/>
      </rPr>
      <t>A</t>
    </r>
    <r>
      <rPr>
        <sz val="6"/>
        <color indexed="8"/>
        <rFont val="Arial"/>
        <family val="2"/>
      </rPr>
      <t>T</t>
    </r>
    <r>
      <rPr>
        <sz val="6"/>
        <color indexed="8"/>
        <rFont val="Arial"/>
        <family val="2"/>
      </rPr>
      <t>E</t>
    </r>
    <r>
      <rPr>
        <sz val="6"/>
        <color indexed="8"/>
        <rFont val="Arial"/>
        <family val="2"/>
      </rPr>
      <t>R</t>
    </r>
    <r>
      <rPr>
        <sz val="6"/>
        <color indexed="8"/>
        <rFont val="Arial"/>
        <family val="2"/>
      </rPr>
      <t>I</t>
    </r>
    <r>
      <rPr>
        <sz val="6"/>
        <color indexed="8"/>
        <rFont val="Arial"/>
        <family val="2"/>
      </rPr>
      <t>A</t>
    </r>
    <r>
      <rPr>
        <sz val="6"/>
        <color indexed="8"/>
        <rFont val="Arial"/>
        <family val="2"/>
      </rPr>
      <t>L</t>
    </r>
    <r>
      <rPr>
        <sz val="6"/>
        <color indexed="8"/>
        <rFont val="Arial"/>
        <family val="2"/>
      </rPr>
      <t xml:space="preserve"> </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S</t>
    </r>
    <r>
      <rPr>
        <sz val="6"/>
        <color indexed="8"/>
        <rFont val="Arial"/>
        <family val="2"/>
      </rPr>
      <t>O</t>
    </r>
    <r>
      <rPr>
        <sz val="6"/>
        <color indexed="8"/>
        <rFont val="Arial"/>
        <family val="2"/>
      </rPr>
      <t>LO</t>
    </r>
    <r>
      <rPr>
        <sz val="6"/>
        <color indexed="8"/>
        <rFont val="Arial"/>
        <family val="2"/>
      </rPr>
      <t xml:space="preserve"> </t>
    </r>
    <r>
      <rPr>
        <sz val="6"/>
        <color indexed="8"/>
        <rFont val="Arial"/>
        <family val="2"/>
      </rPr>
      <t>M</t>
    </r>
    <r>
      <rPr>
        <sz val="6"/>
        <color indexed="8"/>
        <rFont val="Arial"/>
        <family val="2"/>
      </rPr>
      <t>OLE</t>
    </r>
    <r>
      <rPr>
        <sz val="6"/>
        <color indexed="8"/>
        <rFont val="Arial"/>
        <family val="2"/>
      </rPr>
      <t xml:space="preserve"> </t>
    </r>
    <r>
      <rPr>
        <sz val="6"/>
        <color indexed="8"/>
        <rFont val="Arial"/>
        <family val="2"/>
      </rPr>
      <t>-</t>
    </r>
    <r>
      <rPr>
        <sz val="6"/>
        <color indexed="8"/>
        <rFont val="Arial"/>
        <family val="2"/>
      </rPr>
      <t xml:space="preserve"> </t>
    </r>
    <r>
      <rPr>
        <sz val="6"/>
        <color indexed="8"/>
        <rFont val="Arial"/>
        <family val="2"/>
      </rPr>
      <t>P</t>
    </r>
    <r>
      <rPr>
        <sz val="6"/>
        <color indexed="8"/>
        <rFont val="Arial"/>
        <family val="2"/>
      </rPr>
      <t>R</t>
    </r>
    <r>
      <rPr>
        <sz val="6"/>
        <color indexed="8"/>
        <rFont val="Arial"/>
        <family val="2"/>
      </rPr>
      <t>O</t>
    </r>
    <r>
      <rPr>
        <sz val="6"/>
        <color indexed="8"/>
        <rFont val="Arial"/>
        <family val="2"/>
      </rPr>
      <t>F</t>
    </r>
    <r>
      <rPr>
        <sz val="6"/>
        <color indexed="8"/>
        <rFont val="Arial"/>
        <family val="2"/>
      </rPr>
      <t>U</t>
    </r>
    <r>
      <rPr>
        <sz val="6"/>
        <color indexed="8"/>
        <rFont val="Arial"/>
        <family val="2"/>
      </rPr>
      <t>N</t>
    </r>
    <r>
      <rPr>
        <sz val="6"/>
        <color indexed="8"/>
        <rFont val="Arial"/>
        <family val="2"/>
      </rPr>
      <t>D</t>
    </r>
    <r>
      <rPr>
        <sz val="6"/>
        <color indexed="8"/>
        <rFont val="Arial"/>
        <family val="2"/>
      </rPr>
      <t>I</t>
    </r>
    <r>
      <rPr>
        <sz val="6"/>
        <color indexed="8"/>
        <rFont val="Arial"/>
        <family val="2"/>
      </rPr>
      <t>D</t>
    </r>
    <r>
      <rPr>
        <sz val="6"/>
        <color indexed="8"/>
        <rFont val="Arial"/>
        <family val="2"/>
      </rPr>
      <t>A</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A</t>
    </r>
    <r>
      <rPr>
        <sz val="6"/>
        <color indexed="8"/>
        <rFont val="Arial"/>
        <family val="2"/>
      </rPr>
      <t>T</t>
    </r>
    <r>
      <rPr>
        <sz val="6"/>
        <color indexed="8"/>
        <rFont val="Arial"/>
        <family val="2"/>
      </rPr>
      <t>É</t>
    </r>
    <r>
      <rPr>
        <sz val="6"/>
        <color indexed="8"/>
        <rFont val="Arial"/>
        <family val="2"/>
      </rPr>
      <t xml:space="preserve"> </t>
    </r>
    <r>
      <rPr>
        <sz val="6"/>
        <color indexed="8"/>
        <rFont val="Arial"/>
        <family val="2"/>
      </rPr>
      <t>2</t>
    </r>
    <r>
      <rPr>
        <sz val="6"/>
        <color indexed="8"/>
        <rFont val="Arial"/>
        <family val="2"/>
      </rPr>
      <t>,</t>
    </r>
    <r>
      <rPr>
        <sz val="6"/>
        <color indexed="8"/>
        <rFont val="Arial"/>
        <family val="2"/>
      </rPr>
      <t>0</t>
    </r>
    <r>
      <rPr>
        <sz val="6"/>
        <color indexed="8"/>
        <rFont val="Arial"/>
        <family val="2"/>
      </rPr>
      <t xml:space="preserve"> </t>
    </r>
    <r>
      <rPr>
        <sz val="6"/>
        <color indexed="8"/>
        <rFont val="Arial"/>
        <family val="2"/>
      </rPr>
      <t>M</t>
    </r>
  </si>
  <si>
    <r>
      <rPr>
        <sz val="6"/>
        <color indexed="8"/>
        <rFont val="Arial"/>
        <family val="2"/>
      </rPr>
      <t>E</t>
    </r>
    <r>
      <rPr>
        <sz val="6"/>
        <color indexed="8"/>
        <rFont val="Arial"/>
        <family val="2"/>
      </rPr>
      <t>S</t>
    </r>
    <r>
      <rPr>
        <sz val="6"/>
        <color indexed="8"/>
        <rFont val="Arial"/>
        <family val="2"/>
      </rPr>
      <t>C</t>
    </r>
    <r>
      <rPr>
        <sz val="6"/>
        <color indexed="8"/>
        <rFont val="Arial"/>
        <family val="2"/>
      </rPr>
      <t>AVAÇ</t>
    </r>
    <r>
      <rPr>
        <sz val="6"/>
        <color indexed="8"/>
        <rFont val="Arial"/>
        <family val="2"/>
      </rPr>
      <t>Ã</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M</t>
    </r>
    <r>
      <rPr>
        <sz val="6"/>
        <color indexed="8"/>
        <rFont val="Arial"/>
        <family val="2"/>
      </rPr>
      <t>E</t>
    </r>
    <r>
      <rPr>
        <sz val="6"/>
        <color indexed="8"/>
        <rFont val="Arial"/>
        <family val="2"/>
      </rPr>
      <t>C</t>
    </r>
    <r>
      <rPr>
        <sz val="6"/>
        <color indexed="8"/>
        <rFont val="Arial"/>
        <family val="2"/>
      </rPr>
      <t>A</t>
    </r>
    <r>
      <rPr>
        <sz val="6"/>
        <color indexed="8"/>
        <rFont val="Arial"/>
        <family val="2"/>
      </rPr>
      <t>N</t>
    </r>
    <r>
      <rPr>
        <sz val="6"/>
        <color indexed="8"/>
        <rFont val="Arial"/>
        <family val="2"/>
      </rPr>
      <t>I</t>
    </r>
    <r>
      <rPr>
        <sz val="6"/>
        <color indexed="8"/>
        <rFont val="Arial"/>
        <family val="2"/>
      </rPr>
      <t>Z</t>
    </r>
    <r>
      <rPr>
        <sz val="6"/>
        <color indexed="8"/>
        <rFont val="Arial"/>
        <family val="2"/>
      </rPr>
      <t>A</t>
    </r>
    <r>
      <rPr>
        <sz val="6"/>
        <color indexed="8"/>
        <rFont val="Arial"/>
        <family val="2"/>
      </rPr>
      <t>D</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t>
    </r>
    <r>
      <rPr>
        <sz val="6"/>
        <color indexed="8"/>
        <rFont val="Arial"/>
        <family val="2"/>
      </rPr>
      <t>C</t>
    </r>
    <r>
      <rPr>
        <sz val="6"/>
        <color indexed="8"/>
        <rFont val="Arial"/>
        <family val="2"/>
      </rPr>
      <t>OM</t>
    </r>
    <r>
      <rPr>
        <sz val="6"/>
        <color indexed="8"/>
        <rFont val="Arial"/>
        <family val="2"/>
      </rPr>
      <t xml:space="preserve"> </t>
    </r>
    <r>
      <rPr>
        <sz val="6"/>
        <color indexed="8"/>
        <rFont val="Arial"/>
        <family val="2"/>
      </rPr>
      <t>E</t>
    </r>
    <r>
      <rPr>
        <sz val="6"/>
        <color indexed="8"/>
        <rFont val="Arial"/>
        <family val="2"/>
      </rPr>
      <t>S</t>
    </r>
    <r>
      <rPr>
        <sz val="6"/>
        <color indexed="8"/>
        <rFont val="Arial"/>
        <family val="2"/>
      </rPr>
      <t>C</t>
    </r>
    <r>
      <rPr>
        <sz val="6"/>
        <color indexed="8"/>
        <rFont val="Arial"/>
        <family val="2"/>
      </rPr>
      <t>AV</t>
    </r>
    <r>
      <rPr>
        <sz val="6"/>
        <color indexed="8"/>
        <rFont val="Arial"/>
        <family val="2"/>
      </rPr>
      <t>A</t>
    </r>
    <r>
      <rPr>
        <sz val="6"/>
        <color indexed="8"/>
        <rFont val="Arial"/>
        <family val="2"/>
      </rPr>
      <t>D</t>
    </r>
    <r>
      <rPr>
        <sz val="6"/>
        <color indexed="8"/>
        <rFont val="Arial"/>
        <family val="2"/>
      </rPr>
      <t>E</t>
    </r>
    <r>
      <rPr>
        <sz val="6"/>
        <color indexed="8"/>
        <rFont val="Arial"/>
        <family val="2"/>
      </rPr>
      <t>I</t>
    </r>
    <r>
      <rPr>
        <sz val="6"/>
        <color indexed="8"/>
        <rFont val="Arial"/>
        <family val="2"/>
      </rPr>
      <t>R</t>
    </r>
    <r>
      <rPr>
        <sz val="6"/>
        <color indexed="8"/>
        <rFont val="Arial"/>
        <family val="2"/>
      </rPr>
      <t>A</t>
    </r>
    <r>
      <rPr>
        <sz val="6"/>
        <color indexed="8"/>
        <rFont val="Arial"/>
        <family val="2"/>
      </rPr>
      <t xml:space="preserve"> </t>
    </r>
    <r>
      <rPr>
        <sz val="6"/>
        <color indexed="8"/>
        <rFont val="Arial"/>
        <family val="2"/>
      </rPr>
      <t>H</t>
    </r>
    <r>
      <rPr>
        <sz val="6"/>
        <color indexed="8"/>
        <rFont val="Arial"/>
        <family val="2"/>
      </rPr>
      <t>I</t>
    </r>
    <r>
      <rPr>
        <sz val="6"/>
        <color indexed="8"/>
        <rFont val="Arial"/>
        <family val="2"/>
      </rPr>
      <t>D</t>
    </r>
    <r>
      <rPr>
        <sz val="6"/>
        <color indexed="8"/>
        <rFont val="Arial"/>
        <family val="2"/>
      </rPr>
      <t>R</t>
    </r>
    <r>
      <rPr>
        <sz val="6"/>
        <color indexed="8"/>
        <rFont val="Arial"/>
        <family val="2"/>
      </rPr>
      <t>Á</t>
    </r>
    <r>
      <rPr>
        <sz val="6"/>
        <color indexed="8"/>
        <rFont val="Arial"/>
        <family val="2"/>
      </rPr>
      <t>U</t>
    </r>
    <r>
      <rPr>
        <sz val="6"/>
        <color indexed="8"/>
        <rFont val="Arial"/>
        <family val="2"/>
      </rPr>
      <t>L</t>
    </r>
    <r>
      <rPr>
        <sz val="6"/>
        <color indexed="8"/>
        <rFont val="Arial"/>
        <family val="2"/>
      </rPr>
      <t>I</t>
    </r>
    <r>
      <rPr>
        <sz val="6"/>
        <color indexed="8"/>
        <rFont val="Arial"/>
        <family val="2"/>
      </rPr>
      <t>C</t>
    </r>
    <r>
      <rPr>
        <sz val="6"/>
        <color indexed="8"/>
        <rFont val="Arial"/>
        <family val="2"/>
      </rPr>
      <t>A</t>
    </r>
    <r>
      <rPr>
        <sz val="6"/>
        <color indexed="8"/>
        <rFont val="Arial"/>
        <family val="2"/>
      </rPr>
      <t>)</t>
    </r>
    <r>
      <rPr>
        <sz val="6"/>
        <color indexed="8"/>
        <rFont val="Arial"/>
        <family val="2"/>
      </rPr>
      <t xml:space="preserve"> </t>
    </r>
    <r>
      <rPr>
        <sz val="6"/>
        <color indexed="8"/>
        <rFont val="Arial"/>
        <family val="2"/>
      </rPr>
      <t xml:space="preserve"> </t>
    </r>
    <r>
      <rPr>
        <sz val="6"/>
        <color indexed="8"/>
        <rFont val="Arial"/>
        <family val="2"/>
      </rPr>
      <t>EM</t>
    </r>
    <r>
      <rPr>
        <sz val="6"/>
        <color indexed="8"/>
        <rFont val="Arial"/>
        <family val="2"/>
      </rPr>
      <t xml:space="preserve"> </t>
    </r>
    <r>
      <rPr>
        <sz val="6"/>
        <color indexed="8"/>
        <rFont val="Arial"/>
        <family val="2"/>
      </rPr>
      <t>V</t>
    </r>
    <r>
      <rPr>
        <sz val="6"/>
        <color indexed="8"/>
        <rFont val="Arial"/>
        <family val="2"/>
      </rPr>
      <t>ALAS</t>
    </r>
    <r>
      <rPr>
        <sz val="6"/>
        <color indexed="8"/>
        <rFont val="Arial"/>
        <family val="2"/>
      </rPr>
      <t xml:space="preserve"> </t>
    </r>
    <r>
      <rPr>
        <sz val="6"/>
        <color indexed="8"/>
        <rFont val="Arial"/>
        <family val="2"/>
      </rPr>
      <t>C</t>
    </r>
    <r>
      <rPr>
        <sz val="6"/>
        <color indexed="8"/>
        <rFont val="Arial"/>
        <family val="2"/>
      </rPr>
      <t>O</t>
    </r>
    <r>
      <rPr>
        <sz val="6"/>
        <color indexed="8"/>
        <rFont val="Arial"/>
        <family val="2"/>
      </rPr>
      <t>M</t>
    </r>
    <r>
      <rPr>
        <sz val="6"/>
        <color indexed="8"/>
        <rFont val="Arial"/>
        <family val="2"/>
      </rPr>
      <t xml:space="preserve"> </t>
    </r>
    <r>
      <rPr>
        <sz val="6"/>
        <color indexed="8"/>
        <rFont val="Arial"/>
        <family val="2"/>
      </rPr>
      <t>M</t>
    </r>
    <r>
      <rPr>
        <sz val="6"/>
        <color indexed="8"/>
        <rFont val="Arial"/>
        <family val="2"/>
      </rPr>
      <t>A</t>
    </r>
    <r>
      <rPr>
        <sz val="6"/>
        <color indexed="8"/>
        <rFont val="Arial"/>
        <family val="2"/>
      </rPr>
      <t>T</t>
    </r>
    <r>
      <rPr>
        <sz val="6"/>
        <color indexed="8"/>
        <rFont val="Arial"/>
        <family val="2"/>
      </rPr>
      <t>E</t>
    </r>
    <r>
      <rPr>
        <sz val="6"/>
        <color indexed="8"/>
        <rFont val="Arial"/>
        <family val="2"/>
      </rPr>
      <t>R</t>
    </r>
    <r>
      <rPr>
        <sz val="6"/>
        <color indexed="8"/>
        <rFont val="Arial"/>
        <family val="2"/>
      </rPr>
      <t>I</t>
    </r>
    <r>
      <rPr>
        <sz val="6"/>
        <color indexed="8"/>
        <rFont val="Arial"/>
        <family val="2"/>
      </rPr>
      <t>A</t>
    </r>
    <r>
      <rPr>
        <sz val="6"/>
        <color indexed="8"/>
        <rFont val="Arial"/>
        <family val="2"/>
      </rPr>
      <t>L</t>
    </r>
    <r>
      <rPr>
        <sz val="6"/>
        <color indexed="8"/>
        <rFont val="Arial"/>
        <family val="2"/>
      </rPr>
      <t xml:space="preserve"> </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S</t>
    </r>
    <r>
      <rPr>
        <sz val="6"/>
        <color indexed="8"/>
        <rFont val="Arial"/>
        <family val="2"/>
      </rPr>
      <t>O</t>
    </r>
    <r>
      <rPr>
        <sz val="6"/>
        <color indexed="8"/>
        <rFont val="Arial"/>
        <family val="2"/>
      </rPr>
      <t>LO</t>
    </r>
    <r>
      <rPr>
        <sz val="6"/>
        <color indexed="8"/>
        <rFont val="Arial"/>
        <family val="2"/>
      </rPr>
      <t xml:space="preserve"> </t>
    </r>
    <r>
      <rPr>
        <sz val="6"/>
        <color indexed="8"/>
        <rFont val="Arial"/>
        <family val="2"/>
      </rPr>
      <t>M</t>
    </r>
    <r>
      <rPr>
        <sz val="6"/>
        <color indexed="8"/>
        <rFont val="Arial"/>
        <family val="2"/>
      </rPr>
      <t>OLE</t>
    </r>
    <r>
      <rPr>
        <sz val="6"/>
        <color indexed="8"/>
        <rFont val="Arial"/>
        <family val="2"/>
      </rPr>
      <t xml:space="preserve"> </t>
    </r>
    <r>
      <rPr>
        <sz val="6"/>
        <color indexed="8"/>
        <rFont val="Arial"/>
        <family val="2"/>
      </rPr>
      <t>-</t>
    </r>
    <r>
      <rPr>
        <sz val="6"/>
        <color indexed="8"/>
        <rFont val="Arial"/>
        <family val="2"/>
      </rPr>
      <t xml:space="preserve"> </t>
    </r>
    <r>
      <rPr>
        <sz val="6"/>
        <color indexed="8"/>
        <rFont val="Arial"/>
        <family val="2"/>
      </rPr>
      <t>P</t>
    </r>
    <r>
      <rPr>
        <sz val="6"/>
        <color indexed="8"/>
        <rFont val="Arial"/>
        <family val="2"/>
      </rPr>
      <t>R</t>
    </r>
    <r>
      <rPr>
        <sz val="6"/>
        <color indexed="8"/>
        <rFont val="Arial"/>
        <family val="2"/>
      </rPr>
      <t>O</t>
    </r>
    <r>
      <rPr>
        <sz val="6"/>
        <color indexed="8"/>
        <rFont val="Arial"/>
        <family val="2"/>
      </rPr>
      <t>F</t>
    </r>
    <r>
      <rPr>
        <sz val="6"/>
        <color indexed="8"/>
        <rFont val="Arial"/>
        <family val="2"/>
      </rPr>
      <t>U</t>
    </r>
    <r>
      <rPr>
        <sz val="6"/>
        <color indexed="8"/>
        <rFont val="Arial"/>
        <family val="2"/>
      </rPr>
      <t>N</t>
    </r>
    <r>
      <rPr>
        <sz val="6"/>
        <color indexed="8"/>
        <rFont val="Arial"/>
        <family val="2"/>
      </rPr>
      <t>D</t>
    </r>
    <r>
      <rPr>
        <sz val="6"/>
        <color indexed="8"/>
        <rFont val="Arial"/>
        <family val="2"/>
      </rPr>
      <t>I</t>
    </r>
    <r>
      <rPr>
        <sz val="6"/>
        <color indexed="8"/>
        <rFont val="Arial"/>
        <family val="2"/>
      </rPr>
      <t>D</t>
    </r>
    <r>
      <rPr>
        <sz val="6"/>
        <color indexed="8"/>
        <rFont val="Arial"/>
        <family val="2"/>
      </rPr>
      <t>A</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2</t>
    </r>
    <r>
      <rPr>
        <sz val="6"/>
        <color indexed="8"/>
        <rFont val="Arial"/>
        <family val="2"/>
      </rPr>
      <t>,</t>
    </r>
    <r>
      <rPr>
        <sz val="6"/>
        <color indexed="8"/>
        <rFont val="Arial"/>
        <family val="2"/>
      </rPr>
      <t>0</t>
    </r>
    <r>
      <rPr>
        <sz val="6"/>
        <color indexed="8"/>
        <rFont val="Arial"/>
        <family val="2"/>
      </rPr>
      <t xml:space="preserve"> </t>
    </r>
    <r>
      <rPr>
        <sz val="6"/>
        <color indexed="8"/>
        <rFont val="Arial"/>
        <family val="2"/>
      </rPr>
      <t>A</t>
    </r>
    <r>
      <rPr>
        <sz val="6"/>
        <color indexed="8"/>
        <rFont val="Arial"/>
        <family val="2"/>
      </rPr>
      <t xml:space="preserve"> </t>
    </r>
    <r>
      <rPr>
        <sz val="6"/>
        <color indexed="8"/>
        <rFont val="Arial"/>
        <family val="2"/>
      </rPr>
      <t>4</t>
    </r>
    <r>
      <rPr>
        <sz val="6"/>
        <color indexed="8"/>
        <rFont val="Arial"/>
        <family val="2"/>
      </rPr>
      <t>,</t>
    </r>
    <r>
      <rPr>
        <sz val="6"/>
        <color indexed="8"/>
        <rFont val="Arial"/>
        <family val="2"/>
      </rPr>
      <t>0</t>
    </r>
    <r>
      <rPr>
        <sz val="6"/>
        <color indexed="8"/>
        <rFont val="Arial"/>
        <family val="2"/>
      </rPr>
      <t xml:space="preserve"> </t>
    </r>
    <r>
      <rPr>
        <sz val="6"/>
        <color indexed="8"/>
        <rFont val="Arial"/>
        <family val="2"/>
      </rPr>
      <t>M</t>
    </r>
  </si>
  <si>
    <r>
      <rPr>
        <sz val="6"/>
        <color indexed="8"/>
        <rFont val="Arial"/>
        <family val="2"/>
      </rPr>
      <t>E</t>
    </r>
    <r>
      <rPr>
        <sz val="6"/>
        <color indexed="8"/>
        <rFont val="Arial"/>
        <family val="2"/>
      </rPr>
      <t>S</t>
    </r>
    <r>
      <rPr>
        <sz val="6"/>
        <color indexed="8"/>
        <rFont val="Arial"/>
        <family val="2"/>
      </rPr>
      <t>C</t>
    </r>
    <r>
      <rPr>
        <sz val="6"/>
        <color indexed="8"/>
        <rFont val="Arial"/>
        <family val="2"/>
      </rPr>
      <t>AVAÇ</t>
    </r>
    <r>
      <rPr>
        <sz val="6"/>
        <color indexed="8"/>
        <rFont val="Arial"/>
        <family val="2"/>
      </rPr>
      <t>Ã</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M</t>
    </r>
    <r>
      <rPr>
        <sz val="6"/>
        <color indexed="8"/>
        <rFont val="Arial"/>
        <family val="2"/>
      </rPr>
      <t>E</t>
    </r>
    <r>
      <rPr>
        <sz val="6"/>
        <color indexed="8"/>
        <rFont val="Arial"/>
        <family val="2"/>
      </rPr>
      <t>C</t>
    </r>
    <r>
      <rPr>
        <sz val="6"/>
        <color indexed="8"/>
        <rFont val="Arial"/>
        <family val="2"/>
      </rPr>
      <t>A</t>
    </r>
    <r>
      <rPr>
        <sz val="6"/>
        <color indexed="8"/>
        <rFont val="Arial"/>
        <family val="2"/>
      </rPr>
      <t>N</t>
    </r>
    <r>
      <rPr>
        <sz val="6"/>
        <color indexed="8"/>
        <rFont val="Arial"/>
        <family val="2"/>
      </rPr>
      <t>I</t>
    </r>
    <r>
      <rPr>
        <sz val="6"/>
        <color indexed="8"/>
        <rFont val="Arial"/>
        <family val="2"/>
      </rPr>
      <t>Z</t>
    </r>
    <r>
      <rPr>
        <sz val="6"/>
        <color indexed="8"/>
        <rFont val="Arial"/>
        <family val="2"/>
      </rPr>
      <t>A</t>
    </r>
    <r>
      <rPr>
        <sz val="6"/>
        <color indexed="8"/>
        <rFont val="Arial"/>
        <family val="2"/>
      </rPr>
      <t>D</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t>
    </r>
    <r>
      <rPr>
        <sz val="6"/>
        <color indexed="8"/>
        <rFont val="Arial"/>
        <family val="2"/>
      </rPr>
      <t>C</t>
    </r>
    <r>
      <rPr>
        <sz val="6"/>
        <color indexed="8"/>
        <rFont val="Arial"/>
        <family val="2"/>
      </rPr>
      <t>OM</t>
    </r>
    <r>
      <rPr>
        <sz val="6"/>
        <color indexed="8"/>
        <rFont val="Arial"/>
        <family val="2"/>
      </rPr>
      <t xml:space="preserve"> </t>
    </r>
    <r>
      <rPr>
        <sz val="6"/>
        <color indexed="8"/>
        <rFont val="Arial"/>
        <family val="2"/>
      </rPr>
      <t>E</t>
    </r>
    <r>
      <rPr>
        <sz val="6"/>
        <color indexed="8"/>
        <rFont val="Arial"/>
        <family val="2"/>
      </rPr>
      <t>S</t>
    </r>
    <r>
      <rPr>
        <sz val="6"/>
        <color indexed="8"/>
        <rFont val="Arial"/>
        <family val="2"/>
      </rPr>
      <t>C</t>
    </r>
    <r>
      <rPr>
        <sz val="6"/>
        <color indexed="8"/>
        <rFont val="Arial"/>
        <family val="2"/>
      </rPr>
      <t>AV</t>
    </r>
    <r>
      <rPr>
        <sz val="6"/>
        <color indexed="8"/>
        <rFont val="Arial"/>
        <family val="2"/>
      </rPr>
      <t>A</t>
    </r>
    <r>
      <rPr>
        <sz val="6"/>
        <color indexed="8"/>
        <rFont val="Arial"/>
        <family val="2"/>
      </rPr>
      <t>D</t>
    </r>
    <r>
      <rPr>
        <sz val="6"/>
        <color indexed="8"/>
        <rFont val="Arial"/>
        <family val="2"/>
      </rPr>
      <t>E</t>
    </r>
    <r>
      <rPr>
        <sz val="6"/>
        <color indexed="8"/>
        <rFont val="Arial"/>
        <family val="2"/>
      </rPr>
      <t>I</t>
    </r>
    <r>
      <rPr>
        <sz val="6"/>
        <color indexed="8"/>
        <rFont val="Arial"/>
        <family val="2"/>
      </rPr>
      <t>R</t>
    </r>
    <r>
      <rPr>
        <sz val="6"/>
        <color indexed="8"/>
        <rFont val="Arial"/>
        <family val="2"/>
      </rPr>
      <t>A</t>
    </r>
    <r>
      <rPr>
        <sz val="6"/>
        <color indexed="8"/>
        <rFont val="Arial"/>
        <family val="2"/>
      </rPr>
      <t xml:space="preserve"> </t>
    </r>
    <r>
      <rPr>
        <sz val="6"/>
        <color indexed="8"/>
        <rFont val="Arial"/>
        <family val="2"/>
      </rPr>
      <t>H</t>
    </r>
    <r>
      <rPr>
        <sz val="6"/>
        <color indexed="8"/>
        <rFont val="Arial"/>
        <family val="2"/>
      </rPr>
      <t>I</t>
    </r>
    <r>
      <rPr>
        <sz val="6"/>
        <color indexed="8"/>
        <rFont val="Arial"/>
        <family val="2"/>
      </rPr>
      <t>D</t>
    </r>
    <r>
      <rPr>
        <sz val="6"/>
        <color indexed="8"/>
        <rFont val="Arial"/>
        <family val="2"/>
      </rPr>
      <t>R</t>
    </r>
    <r>
      <rPr>
        <sz val="6"/>
        <color indexed="8"/>
        <rFont val="Arial"/>
        <family val="2"/>
      </rPr>
      <t>Á</t>
    </r>
    <r>
      <rPr>
        <sz val="6"/>
        <color indexed="8"/>
        <rFont val="Arial"/>
        <family val="2"/>
      </rPr>
      <t>U</t>
    </r>
    <r>
      <rPr>
        <sz val="6"/>
        <color indexed="8"/>
        <rFont val="Arial"/>
        <family val="2"/>
      </rPr>
      <t>L</t>
    </r>
    <r>
      <rPr>
        <sz val="6"/>
        <color indexed="8"/>
        <rFont val="Arial"/>
        <family val="2"/>
      </rPr>
      <t>I</t>
    </r>
    <r>
      <rPr>
        <sz val="6"/>
        <color indexed="8"/>
        <rFont val="Arial"/>
        <family val="2"/>
      </rPr>
      <t>C</t>
    </r>
    <r>
      <rPr>
        <sz val="6"/>
        <color indexed="8"/>
        <rFont val="Arial"/>
        <family val="2"/>
      </rPr>
      <t>A</t>
    </r>
    <r>
      <rPr>
        <sz val="6"/>
        <color indexed="8"/>
        <rFont val="Arial"/>
        <family val="2"/>
      </rPr>
      <t>)</t>
    </r>
    <r>
      <rPr>
        <sz val="6"/>
        <color indexed="8"/>
        <rFont val="Arial"/>
        <family val="2"/>
      </rPr>
      <t xml:space="preserve"> </t>
    </r>
    <r>
      <rPr>
        <sz val="6"/>
        <color indexed="8"/>
        <rFont val="Arial"/>
        <family val="2"/>
      </rPr>
      <t xml:space="preserve"> </t>
    </r>
    <r>
      <rPr>
        <sz val="6"/>
        <color indexed="8"/>
        <rFont val="Arial"/>
        <family val="2"/>
      </rPr>
      <t>EM</t>
    </r>
    <r>
      <rPr>
        <sz val="6"/>
        <color indexed="8"/>
        <rFont val="Arial"/>
        <family val="2"/>
      </rPr>
      <t xml:space="preserve"> </t>
    </r>
    <r>
      <rPr>
        <sz val="6"/>
        <color indexed="8"/>
        <rFont val="Arial"/>
        <family val="2"/>
      </rPr>
      <t>V</t>
    </r>
    <r>
      <rPr>
        <sz val="6"/>
        <color indexed="8"/>
        <rFont val="Arial"/>
        <family val="2"/>
      </rPr>
      <t>ALAS</t>
    </r>
    <r>
      <rPr>
        <sz val="6"/>
        <color indexed="8"/>
        <rFont val="Arial"/>
        <family val="2"/>
      </rPr>
      <t xml:space="preserve"> </t>
    </r>
    <r>
      <rPr>
        <sz val="6"/>
        <color indexed="8"/>
        <rFont val="Arial"/>
        <family val="2"/>
      </rPr>
      <t>C</t>
    </r>
    <r>
      <rPr>
        <sz val="6"/>
        <color indexed="8"/>
        <rFont val="Arial"/>
        <family val="2"/>
      </rPr>
      <t>O</t>
    </r>
    <r>
      <rPr>
        <sz val="6"/>
        <color indexed="8"/>
        <rFont val="Arial"/>
        <family val="2"/>
      </rPr>
      <t>M</t>
    </r>
    <r>
      <rPr>
        <sz val="6"/>
        <color indexed="8"/>
        <rFont val="Arial"/>
        <family val="2"/>
      </rPr>
      <t xml:space="preserve"> </t>
    </r>
    <r>
      <rPr>
        <sz val="6"/>
        <color indexed="8"/>
        <rFont val="Arial"/>
        <family val="2"/>
      </rPr>
      <t>M</t>
    </r>
    <r>
      <rPr>
        <sz val="6"/>
        <color indexed="8"/>
        <rFont val="Arial"/>
        <family val="2"/>
      </rPr>
      <t>A</t>
    </r>
    <r>
      <rPr>
        <sz val="6"/>
        <color indexed="8"/>
        <rFont val="Arial"/>
        <family val="2"/>
      </rPr>
      <t>T</t>
    </r>
    <r>
      <rPr>
        <sz val="6"/>
        <color indexed="8"/>
        <rFont val="Arial"/>
        <family val="2"/>
      </rPr>
      <t>E</t>
    </r>
    <r>
      <rPr>
        <sz val="6"/>
        <color indexed="8"/>
        <rFont val="Arial"/>
        <family val="2"/>
      </rPr>
      <t>R</t>
    </r>
    <r>
      <rPr>
        <sz val="6"/>
        <color indexed="8"/>
        <rFont val="Arial"/>
        <family val="2"/>
      </rPr>
      <t>I</t>
    </r>
    <r>
      <rPr>
        <sz val="6"/>
        <color indexed="8"/>
        <rFont val="Arial"/>
        <family val="2"/>
      </rPr>
      <t>A</t>
    </r>
    <r>
      <rPr>
        <sz val="6"/>
        <color indexed="8"/>
        <rFont val="Arial"/>
        <family val="2"/>
      </rPr>
      <t>L</t>
    </r>
    <r>
      <rPr>
        <sz val="6"/>
        <color indexed="8"/>
        <rFont val="Arial"/>
        <family val="2"/>
      </rPr>
      <t xml:space="preserve"> </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S</t>
    </r>
    <r>
      <rPr>
        <sz val="6"/>
        <color indexed="8"/>
        <rFont val="Arial"/>
        <family val="2"/>
      </rPr>
      <t>O</t>
    </r>
    <r>
      <rPr>
        <sz val="6"/>
        <color indexed="8"/>
        <rFont val="Arial"/>
        <family val="2"/>
      </rPr>
      <t>LO</t>
    </r>
    <r>
      <rPr>
        <sz val="6"/>
        <color indexed="8"/>
        <rFont val="Arial"/>
        <family val="2"/>
      </rPr>
      <t xml:space="preserve"> </t>
    </r>
    <r>
      <rPr>
        <sz val="6"/>
        <color indexed="8"/>
        <rFont val="Arial"/>
        <family val="2"/>
      </rPr>
      <t>M</t>
    </r>
    <r>
      <rPr>
        <sz val="6"/>
        <color indexed="8"/>
        <rFont val="Arial"/>
        <family val="2"/>
      </rPr>
      <t>OLE</t>
    </r>
    <r>
      <rPr>
        <sz val="6"/>
        <color indexed="8"/>
        <rFont val="Arial"/>
        <family val="2"/>
      </rPr>
      <t xml:space="preserve"> </t>
    </r>
    <r>
      <rPr>
        <sz val="6"/>
        <color indexed="8"/>
        <rFont val="Arial"/>
        <family val="2"/>
      </rPr>
      <t>-</t>
    </r>
    <r>
      <rPr>
        <sz val="6"/>
        <color indexed="8"/>
        <rFont val="Arial"/>
        <family val="2"/>
      </rPr>
      <t xml:space="preserve"> </t>
    </r>
    <r>
      <rPr>
        <sz val="6"/>
        <color indexed="8"/>
        <rFont val="Arial"/>
        <family val="2"/>
      </rPr>
      <t>P</t>
    </r>
    <r>
      <rPr>
        <sz val="6"/>
        <color indexed="8"/>
        <rFont val="Arial"/>
        <family val="2"/>
      </rPr>
      <t>R</t>
    </r>
    <r>
      <rPr>
        <sz val="6"/>
        <color indexed="8"/>
        <rFont val="Arial"/>
        <family val="2"/>
      </rPr>
      <t>O</t>
    </r>
    <r>
      <rPr>
        <sz val="6"/>
        <color indexed="8"/>
        <rFont val="Arial"/>
        <family val="2"/>
      </rPr>
      <t>F</t>
    </r>
    <r>
      <rPr>
        <sz val="6"/>
        <color indexed="8"/>
        <rFont val="Arial"/>
        <family val="2"/>
      </rPr>
      <t>U</t>
    </r>
    <r>
      <rPr>
        <sz val="6"/>
        <color indexed="8"/>
        <rFont val="Arial"/>
        <family val="2"/>
      </rPr>
      <t>N</t>
    </r>
    <r>
      <rPr>
        <sz val="6"/>
        <color indexed="8"/>
        <rFont val="Arial"/>
        <family val="2"/>
      </rPr>
      <t>D</t>
    </r>
    <r>
      <rPr>
        <sz val="6"/>
        <color indexed="8"/>
        <rFont val="Arial"/>
        <family val="2"/>
      </rPr>
      <t>I</t>
    </r>
    <r>
      <rPr>
        <sz val="6"/>
        <color indexed="8"/>
        <rFont val="Arial"/>
        <family val="2"/>
      </rPr>
      <t>D</t>
    </r>
    <r>
      <rPr>
        <sz val="6"/>
        <color indexed="8"/>
        <rFont val="Arial"/>
        <family val="2"/>
      </rPr>
      <t>A</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4</t>
    </r>
    <r>
      <rPr>
        <sz val="6"/>
        <color indexed="8"/>
        <rFont val="Arial"/>
        <family val="2"/>
      </rPr>
      <t>,</t>
    </r>
    <r>
      <rPr>
        <sz val="6"/>
        <color indexed="8"/>
        <rFont val="Arial"/>
        <family val="2"/>
      </rPr>
      <t>0</t>
    </r>
    <r>
      <rPr>
        <sz val="6"/>
        <color indexed="8"/>
        <rFont val="Arial"/>
        <family val="2"/>
      </rPr>
      <t xml:space="preserve"> </t>
    </r>
    <r>
      <rPr>
        <sz val="6"/>
        <color indexed="8"/>
        <rFont val="Arial"/>
        <family val="2"/>
      </rPr>
      <t>A</t>
    </r>
    <r>
      <rPr>
        <sz val="6"/>
        <color indexed="8"/>
        <rFont val="Arial"/>
        <family val="2"/>
      </rPr>
      <t xml:space="preserve"> </t>
    </r>
    <r>
      <rPr>
        <sz val="6"/>
        <color indexed="8"/>
        <rFont val="Arial"/>
        <family val="2"/>
      </rPr>
      <t>6</t>
    </r>
    <r>
      <rPr>
        <sz val="6"/>
        <color indexed="8"/>
        <rFont val="Arial"/>
        <family val="2"/>
      </rPr>
      <t>,</t>
    </r>
    <r>
      <rPr>
        <sz val="6"/>
        <color indexed="8"/>
        <rFont val="Arial"/>
        <family val="2"/>
      </rPr>
      <t>0</t>
    </r>
    <r>
      <rPr>
        <sz val="6"/>
        <color indexed="8"/>
        <rFont val="Arial"/>
        <family val="2"/>
      </rPr>
      <t xml:space="preserve"> </t>
    </r>
    <r>
      <rPr>
        <sz val="6"/>
        <color indexed="8"/>
        <rFont val="Arial"/>
        <family val="2"/>
      </rPr>
      <t>M</t>
    </r>
  </si>
  <si>
    <r>
      <rPr>
        <sz val="6"/>
        <color indexed="8"/>
        <rFont val="Arial"/>
        <family val="2"/>
      </rPr>
      <t>E</t>
    </r>
    <r>
      <rPr>
        <sz val="6"/>
        <color indexed="8"/>
        <rFont val="Arial"/>
        <family val="2"/>
      </rPr>
      <t>S</t>
    </r>
    <r>
      <rPr>
        <sz val="6"/>
        <color indexed="8"/>
        <rFont val="Arial"/>
        <family val="2"/>
      </rPr>
      <t>C</t>
    </r>
    <r>
      <rPr>
        <sz val="6"/>
        <color indexed="8"/>
        <rFont val="Arial"/>
        <family val="2"/>
      </rPr>
      <t>AVAÇ</t>
    </r>
    <r>
      <rPr>
        <sz val="6"/>
        <color indexed="8"/>
        <rFont val="Arial"/>
        <family val="2"/>
      </rPr>
      <t>Ã</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M</t>
    </r>
    <r>
      <rPr>
        <sz val="6"/>
        <color indexed="8"/>
        <rFont val="Arial"/>
        <family val="2"/>
      </rPr>
      <t>E</t>
    </r>
    <r>
      <rPr>
        <sz val="6"/>
        <color indexed="8"/>
        <rFont val="Arial"/>
        <family val="2"/>
      </rPr>
      <t>C</t>
    </r>
    <r>
      <rPr>
        <sz val="6"/>
        <color indexed="8"/>
        <rFont val="Arial"/>
        <family val="2"/>
      </rPr>
      <t>A</t>
    </r>
    <r>
      <rPr>
        <sz val="6"/>
        <color indexed="8"/>
        <rFont val="Arial"/>
        <family val="2"/>
      </rPr>
      <t>N</t>
    </r>
    <r>
      <rPr>
        <sz val="6"/>
        <color indexed="8"/>
        <rFont val="Arial"/>
        <family val="2"/>
      </rPr>
      <t>I</t>
    </r>
    <r>
      <rPr>
        <sz val="6"/>
        <color indexed="8"/>
        <rFont val="Arial"/>
        <family val="2"/>
      </rPr>
      <t>Z</t>
    </r>
    <r>
      <rPr>
        <sz val="6"/>
        <color indexed="8"/>
        <rFont val="Arial"/>
        <family val="2"/>
      </rPr>
      <t>A</t>
    </r>
    <r>
      <rPr>
        <sz val="6"/>
        <color indexed="8"/>
        <rFont val="Arial"/>
        <family val="2"/>
      </rPr>
      <t>D</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t>
    </r>
    <r>
      <rPr>
        <sz val="6"/>
        <color indexed="8"/>
        <rFont val="Arial"/>
        <family val="2"/>
      </rPr>
      <t>C</t>
    </r>
    <r>
      <rPr>
        <sz val="6"/>
        <color indexed="8"/>
        <rFont val="Arial"/>
        <family val="2"/>
      </rPr>
      <t>O</t>
    </r>
    <r>
      <rPr>
        <sz val="6"/>
        <color indexed="8"/>
        <rFont val="Arial"/>
        <family val="2"/>
      </rPr>
      <t>M</t>
    </r>
    <r>
      <rPr>
        <sz val="6"/>
        <color indexed="8"/>
        <rFont val="Arial"/>
        <family val="2"/>
      </rPr>
      <t xml:space="preserve"> </t>
    </r>
    <r>
      <rPr>
        <sz val="6"/>
        <color indexed="8"/>
        <rFont val="Arial"/>
        <family val="2"/>
      </rPr>
      <t xml:space="preserve"> </t>
    </r>
    <r>
      <rPr>
        <sz val="6"/>
        <color indexed="8"/>
        <rFont val="Arial"/>
        <family val="2"/>
      </rPr>
      <t>R</t>
    </r>
    <r>
      <rPr>
        <sz val="6"/>
        <color indexed="8"/>
        <rFont val="Arial"/>
        <family val="2"/>
      </rPr>
      <t>E</t>
    </r>
    <r>
      <rPr>
        <sz val="6"/>
        <color indexed="8"/>
        <rFont val="Arial"/>
        <family val="2"/>
      </rPr>
      <t>T</t>
    </r>
    <r>
      <rPr>
        <sz val="6"/>
        <color indexed="8"/>
        <rFont val="Arial"/>
        <family val="2"/>
      </rPr>
      <t>R</t>
    </r>
    <r>
      <rPr>
        <sz val="6"/>
        <color indexed="8"/>
        <rFont val="Arial"/>
        <family val="2"/>
      </rPr>
      <t>OES</t>
    </r>
    <r>
      <rPr>
        <sz val="6"/>
        <color indexed="8"/>
        <rFont val="Arial"/>
        <family val="2"/>
      </rPr>
      <t>C</t>
    </r>
    <r>
      <rPr>
        <sz val="6"/>
        <color indexed="8"/>
        <rFont val="Arial"/>
        <family val="2"/>
      </rPr>
      <t>A</t>
    </r>
    <r>
      <rPr>
        <sz val="6"/>
        <color indexed="8"/>
        <rFont val="Arial"/>
        <family val="2"/>
      </rPr>
      <t>VA</t>
    </r>
    <r>
      <rPr>
        <sz val="6"/>
        <color indexed="8"/>
        <rFont val="Arial"/>
        <family val="2"/>
      </rPr>
      <t>D</t>
    </r>
    <r>
      <rPr>
        <sz val="6"/>
        <color indexed="8"/>
        <rFont val="Arial"/>
        <family val="2"/>
      </rPr>
      <t>E</t>
    </r>
    <r>
      <rPr>
        <sz val="6"/>
        <color indexed="8"/>
        <rFont val="Arial"/>
        <family val="2"/>
      </rPr>
      <t>I</t>
    </r>
    <r>
      <rPr>
        <sz val="6"/>
        <color indexed="8"/>
        <rFont val="Arial"/>
        <family val="2"/>
      </rPr>
      <t>R</t>
    </r>
    <r>
      <rPr>
        <sz val="6"/>
        <color indexed="8"/>
        <rFont val="Arial"/>
        <family val="2"/>
      </rPr>
      <t>A</t>
    </r>
    <r>
      <rPr>
        <sz val="6"/>
        <color indexed="8"/>
        <rFont val="Arial"/>
        <family val="2"/>
      </rPr>
      <t>)</t>
    </r>
    <r>
      <rPr>
        <sz val="6"/>
        <color indexed="8"/>
        <rFont val="Arial"/>
        <family val="2"/>
      </rPr>
      <t xml:space="preserve"> </t>
    </r>
    <r>
      <rPr>
        <sz val="6"/>
        <color indexed="8"/>
        <rFont val="Arial"/>
        <family val="2"/>
      </rPr>
      <t xml:space="preserve"> </t>
    </r>
    <r>
      <rPr>
        <sz val="6"/>
        <color indexed="8"/>
        <rFont val="Arial"/>
        <family val="2"/>
      </rPr>
      <t>E</t>
    </r>
    <r>
      <rPr>
        <sz val="6"/>
        <color indexed="8"/>
        <rFont val="Arial"/>
        <family val="2"/>
      </rPr>
      <t>M</t>
    </r>
    <r>
      <rPr>
        <sz val="6"/>
        <color indexed="8"/>
        <rFont val="Arial"/>
        <family val="2"/>
      </rPr>
      <t xml:space="preserve"> </t>
    </r>
    <r>
      <rPr>
        <sz val="6"/>
        <color indexed="8"/>
        <rFont val="Arial"/>
        <family val="2"/>
      </rPr>
      <t>V</t>
    </r>
    <r>
      <rPr>
        <sz val="6"/>
        <color indexed="8"/>
        <rFont val="Arial"/>
        <family val="2"/>
      </rPr>
      <t>ALAS</t>
    </r>
    <r>
      <rPr>
        <sz val="6"/>
        <color indexed="8"/>
        <rFont val="Arial"/>
        <family val="2"/>
      </rPr>
      <t xml:space="preserve"> </t>
    </r>
    <r>
      <rPr>
        <sz val="6"/>
        <color indexed="8"/>
        <rFont val="Arial"/>
        <family val="2"/>
      </rPr>
      <t xml:space="preserve"> </t>
    </r>
    <r>
      <rPr>
        <sz val="6"/>
        <color indexed="8"/>
        <rFont val="Arial"/>
        <family val="2"/>
      </rPr>
      <t>C</t>
    </r>
    <r>
      <rPr>
        <sz val="6"/>
        <color indexed="8"/>
        <rFont val="Arial"/>
        <family val="2"/>
      </rPr>
      <t>OM</t>
    </r>
    <r>
      <rPr>
        <sz val="6"/>
        <color indexed="8"/>
        <rFont val="Arial"/>
        <family val="2"/>
      </rPr>
      <t xml:space="preserve"> </t>
    </r>
    <r>
      <rPr>
        <sz val="6"/>
        <color indexed="8"/>
        <rFont val="Arial"/>
        <family val="2"/>
      </rPr>
      <t xml:space="preserve"> </t>
    </r>
    <r>
      <rPr>
        <sz val="6"/>
        <color indexed="8"/>
        <rFont val="Arial"/>
        <family val="2"/>
      </rPr>
      <t>M</t>
    </r>
    <r>
      <rPr>
        <sz val="6"/>
        <color indexed="8"/>
        <rFont val="Arial"/>
        <family val="2"/>
      </rPr>
      <t>A</t>
    </r>
    <r>
      <rPr>
        <sz val="6"/>
        <color indexed="8"/>
        <rFont val="Arial"/>
        <family val="2"/>
      </rPr>
      <t>T</t>
    </r>
    <r>
      <rPr>
        <sz val="6"/>
        <color indexed="8"/>
        <rFont val="Arial"/>
        <family val="2"/>
      </rPr>
      <t>E</t>
    </r>
    <r>
      <rPr>
        <sz val="6"/>
        <color indexed="8"/>
        <rFont val="Arial"/>
        <family val="2"/>
      </rPr>
      <t>R</t>
    </r>
    <r>
      <rPr>
        <sz val="6"/>
        <color indexed="8"/>
        <rFont val="Arial"/>
        <family val="2"/>
      </rPr>
      <t>I</t>
    </r>
    <r>
      <rPr>
        <sz val="6"/>
        <color indexed="8"/>
        <rFont val="Arial"/>
        <family val="2"/>
      </rPr>
      <t>A</t>
    </r>
    <r>
      <rPr>
        <sz val="6"/>
        <color indexed="8"/>
        <rFont val="Arial"/>
        <family val="2"/>
      </rPr>
      <t>L</t>
    </r>
    <r>
      <rPr>
        <sz val="6"/>
        <color indexed="8"/>
        <rFont val="Arial"/>
        <family val="2"/>
      </rPr>
      <t xml:space="preserve"> </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 xml:space="preserve"> </t>
    </r>
    <r>
      <rPr>
        <sz val="6"/>
        <color indexed="8"/>
        <rFont val="Arial"/>
        <family val="2"/>
      </rPr>
      <t>1ª</t>
    </r>
    <r>
      <rPr>
        <sz val="6"/>
        <color indexed="8"/>
        <rFont val="Arial"/>
        <family val="2"/>
      </rPr>
      <t xml:space="preserve"> </t>
    </r>
    <r>
      <rPr>
        <sz val="6"/>
        <color indexed="8"/>
        <rFont val="Arial"/>
        <family val="2"/>
      </rPr>
      <t xml:space="preserve"> </t>
    </r>
    <r>
      <rPr>
        <sz val="6"/>
        <color indexed="8"/>
        <rFont val="Arial"/>
        <family val="2"/>
      </rPr>
      <t>C</t>
    </r>
    <r>
      <rPr>
        <sz val="6"/>
        <color indexed="8"/>
        <rFont val="Arial"/>
        <family val="2"/>
      </rPr>
      <t>A</t>
    </r>
    <r>
      <rPr>
        <sz val="6"/>
        <color indexed="8"/>
        <rFont val="Arial"/>
        <family val="2"/>
      </rPr>
      <t>T</t>
    </r>
    <r>
      <rPr>
        <sz val="6"/>
        <color indexed="8"/>
        <rFont val="Arial"/>
        <family val="2"/>
      </rPr>
      <t>EGO</t>
    </r>
    <r>
      <rPr>
        <sz val="6"/>
        <color indexed="8"/>
        <rFont val="Arial"/>
        <family val="2"/>
      </rPr>
      <t>R</t>
    </r>
    <r>
      <rPr>
        <sz val="6"/>
        <color indexed="8"/>
        <rFont val="Arial"/>
        <family val="2"/>
      </rPr>
      <t>I</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t>
    </r>
    <r>
      <rPr>
        <sz val="6"/>
        <color indexed="8"/>
        <rFont val="Arial"/>
        <family val="2"/>
      </rPr>
      <t xml:space="preserve"> </t>
    </r>
    <r>
      <rPr>
        <sz val="6"/>
        <color indexed="8"/>
        <rFont val="Arial"/>
        <family val="2"/>
      </rPr>
      <t>P</t>
    </r>
    <r>
      <rPr>
        <sz val="6"/>
        <color indexed="8"/>
        <rFont val="Arial"/>
        <family val="2"/>
      </rPr>
      <t>R</t>
    </r>
    <r>
      <rPr>
        <sz val="6"/>
        <color indexed="8"/>
        <rFont val="Arial"/>
        <family val="2"/>
      </rPr>
      <t>O</t>
    </r>
    <r>
      <rPr>
        <sz val="6"/>
        <color indexed="8"/>
        <rFont val="Arial"/>
        <family val="2"/>
      </rPr>
      <t>F</t>
    </r>
    <r>
      <rPr>
        <sz val="6"/>
        <color indexed="8"/>
        <rFont val="Arial"/>
        <family val="2"/>
      </rPr>
      <t>U</t>
    </r>
    <r>
      <rPr>
        <sz val="6"/>
        <color indexed="8"/>
        <rFont val="Arial"/>
        <family val="2"/>
      </rPr>
      <t>N</t>
    </r>
    <r>
      <rPr>
        <sz val="6"/>
        <color indexed="8"/>
        <rFont val="Arial"/>
        <family val="2"/>
      </rPr>
      <t>D</t>
    </r>
    <r>
      <rPr>
        <sz val="6"/>
        <color indexed="8"/>
        <rFont val="Arial"/>
        <family val="2"/>
      </rPr>
      <t>I</t>
    </r>
    <r>
      <rPr>
        <sz val="6"/>
        <color indexed="8"/>
        <rFont val="Arial"/>
        <family val="2"/>
      </rPr>
      <t>D</t>
    </r>
    <r>
      <rPr>
        <sz val="6"/>
        <color indexed="8"/>
        <rFont val="Arial"/>
        <family val="2"/>
      </rPr>
      <t>A</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A</t>
    </r>
    <r>
      <rPr>
        <sz val="6"/>
        <color indexed="8"/>
        <rFont val="Arial"/>
        <family val="2"/>
      </rPr>
      <t>T</t>
    </r>
    <r>
      <rPr>
        <sz val="6"/>
        <color indexed="8"/>
        <rFont val="Arial"/>
        <family val="2"/>
      </rPr>
      <t>É</t>
    </r>
    <r>
      <rPr>
        <sz val="6"/>
        <color indexed="8"/>
        <rFont val="Arial"/>
        <family val="2"/>
      </rPr>
      <t xml:space="preserve"> </t>
    </r>
    <r>
      <rPr>
        <sz val="6"/>
        <color indexed="8"/>
        <rFont val="Arial"/>
        <family val="2"/>
      </rPr>
      <t>2</t>
    </r>
    <r>
      <rPr>
        <sz val="6"/>
        <color indexed="8"/>
        <rFont val="Arial"/>
        <family val="2"/>
      </rPr>
      <t>,</t>
    </r>
    <r>
      <rPr>
        <sz val="6"/>
        <color indexed="8"/>
        <rFont val="Arial"/>
        <family val="2"/>
      </rPr>
      <t>0</t>
    </r>
    <r>
      <rPr>
        <sz val="6"/>
        <color indexed="8"/>
        <rFont val="Arial"/>
        <family val="2"/>
      </rPr>
      <t xml:space="preserve"> </t>
    </r>
    <r>
      <rPr>
        <sz val="6"/>
        <color indexed="8"/>
        <rFont val="Arial"/>
        <family val="2"/>
      </rPr>
      <t>M</t>
    </r>
  </si>
  <si>
    <r>
      <rPr>
        <sz val="6"/>
        <color indexed="8"/>
        <rFont val="Arial"/>
        <family val="2"/>
      </rPr>
      <t>E</t>
    </r>
    <r>
      <rPr>
        <sz val="6"/>
        <color indexed="8"/>
        <rFont val="Arial"/>
        <family val="2"/>
      </rPr>
      <t>S</t>
    </r>
    <r>
      <rPr>
        <sz val="6"/>
        <color indexed="8"/>
        <rFont val="Arial"/>
        <family val="2"/>
      </rPr>
      <t>C</t>
    </r>
    <r>
      <rPr>
        <sz val="6"/>
        <color indexed="8"/>
        <rFont val="Arial"/>
        <family val="2"/>
      </rPr>
      <t>AVAÇ</t>
    </r>
    <r>
      <rPr>
        <sz val="6"/>
        <color indexed="8"/>
        <rFont val="Arial"/>
        <family val="2"/>
      </rPr>
      <t>Ã</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M</t>
    </r>
    <r>
      <rPr>
        <sz val="6"/>
        <color indexed="8"/>
        <rFont val="Arial"/>
        <family val="2"/>
      </rPr>
      <t>E</t>
    </r>
    <r>
      <rPr>
        <sz val="6"/>
        <color indexed="8"/>
        <rFont val="Arial"/>
        <family val="2"/>
      </rPr>
      <t>C</t>
    </r>
    <r>
      <rPr>
        <sz val="6"/>
        <color indexed="8"/>
        <rFont val="Arial"/>
        <family val="2"/>
      </rPr>
      <t>A</t>
    </r>
    <r>
      <rPr>
        <sz val="6"/>
        <color indexed="8"/>
        <rFont val="Arial"/>
        <family val="2"/>
      </rPr>
      <t>N</t>
    </r>
    <r>
      <rPr>
        <sz val="6"/>
        <color indexed="8"/>
        <rFont val="Arial"/>
        <family val="2"/>
      </rPr>
      <t>I</t>
    </r>
    <r>
      <rPr>
        <sz val="6"/>
        <color indexed="8"/>
        <rFont val="Arial"/>
        <family val="2"/>
      </rPr>
      <t>Z</t>
    </r>
    <r>
      <rPr>
        <sz val="6"/>
        <color indexed="8"/>
        <rFont val="Arial"/>
        <family val="2"/>
      </rPr>
      <t>A</t>
    </r>
    <r>
      <rPr>
        <sz val="6"/>
        <color indexed="8"/>
        <rFont val="Arial"/>
        <family val="2"/>
      </rPr>
      <t>D</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t>
    </r>
    <r>
      <rPr>
        <sz val="6"/>
        <color indexed="8"/>
        <rFont val="Arial"/>
        <family val="2"/>
      </rPr>
      <t>C</t>
    </r>
    <r>
      <rPr>
        <sz val="6"/>
        <color indexed="8"/>
        <rFont val="Arial"/>
        <family val="2"/>
      </rPr>
      <t>O</t>
    </r>
    <r>
      <rPr>
        <sz val="6"/>
        <color indexed="8"/>
        <rFont val="Arial"/>
        <family val="2"/>
      </rPr>
      <t>M</t>
    </r>
    <r>
      <rPr>
        <sz val="6"/>
        <color indexed="8"/>
        <rFont val="Arial"/>
        <family val="2"/>
      </rPr>
      <t xml:space="preserve"> </t>
    </r>
    <r>
      <rPr>
        <sz val="6"/>
        <color indexed="8"/>
        <rFont val="Arial"/>
        <family val="2"/>
      </rPr>
      <t xml:space="preserve"> </t>
    </r>
    <r>
      <rPr>
        <sz val="6"/>
        <color indexed="8"/>
        <rFont val="Arial"/>
        <family val="2"/>
      </rPr>
      <t>R</t>
    </r>
    <r>
      <rPr>
        <sz val="6"/>
        <color indexed="8"/>
        <rFont val="Arial"/>
        <family val="2"/>
      </rPr>
      <t>E</t>
    </r>
    <r>
      <rPr>
        <sz val="6"/>
        <color indexed="8"/>
        <rFont val="Arial"/>
        <family val="2"/>
      </rPr>
      <t>T</t>
    </r>
    <r>
      <rPr>
        <sz val="6"/>
        <color indexed="8"/>
        <rFont val="Arial"/>
        <family val="2"/>
      </rPr>
      <t>R</t>
    </r>
    <r>
      <rPr>
        <sz val="6"/>
        <color indexed="8"/>
        <rFont val="Arial"/>
        <family val="2"/>
      </rPr>
      <t>OES</t>
    </r>
    <r>
      <rPr>
        <sz val="6"/>
        <color indexed="8"/>
        <rFont val="Arial"/>
        <family val="2"/>
      </rPr>
      <t>C</t>
    </r>
    <r>
      <rPr>
        <sz val="6"/>
        <color indexed="8"/>
        <rFont val="Arial"/>
        <family val="2"/>
      </rPr>
      <t>A</t>
    </r>
    <r>
      <rPr>
        <sz val="6"/>
        <color indexed="8"/>
        <rFont val="Arial"/>
        <family val="2"/>
      </rPr>
      <t>VA</t>
    </r>
    <r>
      <rPr>
        <sz val="6"/>
        <color indexed="8"/>
        <rFont val="Arial"/>
        <family val="2"/>
      </rPr>
      <t>D</t>
    </r>
    <r>
      <rPr>
        <sz val="6"/>
        <color indexed="8"/>
        <rFont val="Arial"/>
        <family val="2"/>
      </rPr>
      <t>E</t>
    </r>
    <r>
      <rPr>
        <sz val="6"/>
        <color indexed="8"/>
        <rFont val="Arial"/>
        <family val="2"/>
      </rPr>
      <t>I</t>
    </r>
    <r>
      <rPr>
        <sz val="6"/>
        <color indexed="8"/>
        <rFont val="Arial"/>
        <family val="2"/>
      </rPr>
      <t>R</t>
    </r>
    <r>
      <rPr>
        <sz val="6"/>
        <color indexed="8"/>
        <rFont val="Arial"/>
        <family val="2"/>
      </rPr>
      <t>A</t>
    </r>
    <r>
      <rPr>
        <sz val="6"/>
        <color indexed="8"/>
        <rFont val="Arial"/>
        <family val="2"/>
      </rPr>
      <t>)</t>
    </r>
    <r>
      <rPr>
        <sz val="6"/>
        <color indexed="8"/>
        <rFont val="Arial"/>
        <family val="2"/>
      </rPr>
      <t xml:space="preserve"> </t>
    </r>
    <r>
      <rPr>
        <sz val="6"/>
        <color indexed="8"/>
        <rFont val="Arial"/>
        <family val="2"/>
      </rPr>
      <t xml:space="preserve"> </t>
    </r>
    <r>
      <rPr>
        <sz val="6"/>
        <color indexed="8"/>
        <rFont val="Arial"/>
        <family val="2"/>
      </rPr>
      <t>E</t>
    </r>
    <r>
      <rPr>
        <sz val="6"/>
        <color indexed="8"/>
        <rFont val="Arial"/>
        <family val="2"/>
      </rPr>
      <t>M</t>
    </r>
    <r>
      <rPr>
        <sz val="6"/>
        <color indexed="8"/>
        <rFont val="Arial"/>
        <family val="2"/>
      </rPr>
      <t xml:space="preserve"> </t>
    </r>
    <r>
      <rPr>
        <sz val="6"/>
        <color indexed="8"/>
        <rFont val="Arial"/>
        <family val="2"/>
      </rPr>
      <t>V</t>
    </r>
    <r>
      <rPr>
        <sz val="6"/>
        <color indexed="8"/>
        <rFont val="Arial"/>
        <family val="2"/>
      </rPr>
      <t>ALAS</t>
    </r>
    <r>
      <rPr>
        <sz val="6"/>
        <color indexed="8"/>
        <rFont val="Arial"/>
        <family val="2"/>
      </rPr>
      <t xml:space="preserve"> </t>
    </r>
    <r>
      <rPr>
        <sz val="6"/>
        <color indexed="8"/>
        <rFont val="Arial"/>
        <family val="2"/>
      </rPr>
      <t xml:space="preserve"> </t>
    </r>
    <r>
      <rPr>
        <sz val="6"/>
        <color indexed="8"/>
        <rFont val="Arial"/>
        <family val="2"/>
      </rPr>
      <t>C</t>
    </r>
    <r>
      <rPr>
        <sz val="6"/>
        <color indexed="8"/>
        <rFont val="Arial"/>
        <family val="2"/>
      </rPr>
      <t>OM</t>
    </r>
    <r>
      <rPr>
        <sz val="6"/>
        <color indexed="8"/>
        <rFont val="Arial"/>
        <family val="2"/>
      </rPr>
      <t xml:space="preserve"> </t>
    </r>
    <r>
      <rPr>
        <sz val="6"/>
        <color indexed="8"/>
        <rFont val="Arial"/>
        <family val="2"/>
      </rPr>
      <t xml:space="preserve"> </t>
    </r>
    <r>
      <rPr>
        <sz val="6"/>
        <color indexed="8"/>
        <rFont val="Arial"/>
        <family val="2"/>
      </rPr>
      <t>M</t>
    </r>
    <r>
      <rPr>
        <sz val="6"/>
        <color indexed="8"/>
        <rFont val="Arial"/>
        <family val="2"/>
      </rPr>
      <t>A</t>
    </r>
    <r>
      <rPr>
        <sz val="6"/>
        <color indexed="8"/>
        <rFont val="Arial"/>
        <family val="2"/>
      </rPr>
      <t>T</t>
    </r>
    <r>
      <rPr>
        <sz val="6"/>
        <color indexed="8"/>
        <rFont val="Arial"/>
        <family val="2"/>
      </rPr>
      <t>E</t>
    </r>
    <r>
      <rPr>
        <sz val="6"/>
        <color indexed="8"/>
        <rFont val="Arial"/>
        <family val="2"/>
      </rPr>
      <t>R</t>
    </r>
    <r>
      <rPr>
        <sz val="6"/>
        <color indexed="8"/>
        <rFont val="Arial"/>
        <family val="2"/>
      </rPr>
      <t>I</t>
    </r>
    <r>
      <rPr>
        <sz val="6"/>
        <color indexed="8"/>
        <rFont val="Arial"/>
        <family val="2"/>
      </rPr>
      <t>A</t>
    </r>
    <r>
      <rPr>
        <sz val="6"/>
        <color indexed="8"/>
        <rFont val="Arial"/>
        <family val="2"/>
      </rPr>
      <t>L</t>
    </r>
    <r>
      <rPr>
        <sz val="6"/>
        <color indexed="8"/>
        <rFont val="Arial"/>
        <family val="2"/>
      </rPr>
      <t xml:space="preserve"> </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 xml:space="preserve"> </t>
    </r>
    <r>
      <rPr>
        <sz val="6"/>
        <color indexed="8"/>
        <rFont val="Arial"/>
        <family val="2"/>
      </rPr>
      <t>1ª</t>
    </r>
    <r>
      <rPr>
        <sz val="6"/>
        <color indexed="8"/>
        <rFont val="Arial"/>
        <family val="2"/>
      </rPr>
      <t xml:space="preserve"> </t>
    </r>
    <r>
      <rPr>
        <sz val="6"/>
        <color indexed="8"/>
        <rFont val="Arial"/>
        <family val="2"/>
      </rPr>
      <t xml:space="preserve"> </t>
    </r>
    <r>
      <rPr>
        <sz val="6"/>
        <color indexed="8"/>
        <rFont val="Arial"/>
        <family val="2"/>
      </rPr>
      <t>C</t>
    </r>
    <r>
      <rPr>
        <sz val="6"/>
        <color indexed="8"/>
        <rFont val="Arial"/>
        <family val="2"/>
      </rPr>
      <t>A</t>
    </r>
    <r>
      <rPr>
        <sz val="6"/>
        <color indexed="8"/>
        <rFont val="Arial"/>
        <family val="2"/>
      </rPr>
      <t>T</t>
    </r>
    <r>
      <rPr>
        <sz val="6"/>
        <color indexed="8"/>
        <rFont val="Arial"/>
        <family val="2"/>
      </rPr>
      <t>EGO</t>
    </r>
    <r>
      <rPr>
        <sz val="6"/>
        <color indexed="8"/>
        <rFont val="Arial"/>
        <family val="2"/>
      </rPr>
      <t>R</t>
    </r>
    <r>
      <rPr>
        <sz val="6"/>
        <color indexed="8"/>
        <rFont val="Arial"/>
        <family val="2"/>
      </rPr>
      <t>I</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t>
    </r>
    <r>
      <rPr>
        <sz val="6"/>
        <color indexed="8"/>
        <rFont val="Arial"/>
        <family val="2"/>
      </rPr>
      <t xml:space="preserve"> </t>
    </r>
    <r>
      <rPr>
        <sz val="6"/>
        <color indexed="8"/>
        <rFont val="Arial"/>
        <family val="2"/>
      </rPr>
      <t>P</t>
    </r>
    <r>
      <rPr>
        <sz val="6"/>
        <color indexed="8"/>
        <rFont val="Arial"/>
        <family val="2"/>
      </rPr>
      <t>R</t>
    </r>
    <r>
      <rPr>
        <sz val="6"/>
        <color indexed="8"/>
        <rFont val="Arial"/>
        <family val="2"/>
      </rPr>
      <t>O</t>
    </r>
    <r>
      <rPr>
        <sz val="6"/>
        <color indexed="8"/>
        <rFont val="Arial"/>
        <family val="2"/>
      </rPr>
      <t>F</t>
    </r>
    <r>
      <rPr>
        <sz val="6"/>
        <color indexed="8"/>
        <rFont val="Arial"/>
        <family val="2"/>
      </rPr>
      <t>U</t>
    </r>
    <r>
      <rPr>
        <sz val="6"/>
        <color indexed="8"/>
        <rFont val="Arial"/>
        <family val="2"/>
      </rPr>
      <t>N</t>
    </r>
    <r>
      <rPr>
        <sz val="6"/>
        <color indexed="8"/>
        <rFont val="Arial"/>
        <family val="2"/>
      </rPr>
      <t>D</t>
    </r>
    <r>
      <rPr>
        <sz val="6"/>
        <color indexed="8"/>
        <rFont val="Arial"/>
        <family val="2"/>
      </rPr>
      <t>I</t>
    </r>
    <r>
      <rPr>
        <sz val="6"/>
        <color indexed="8"/>
        <rFont val="Arial"/>
        <family val="2"/>
      </rPr>
      <t>D</t>
    </r>
    <r>
      <rPr>
        <sz val="6"/>
        <color indexed="8"/>
        <rFont val="Arial"/>
        <family val="2"/>
      </rPr>
      <t>A</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2</t>
    </r>
    <r>
      <rPr>
        <sz val="6"/>
        <color indexed="8"/>
        <rFont val="Arial"/>
        <family val="2"/>
      </rPr>
      <t>,</t>
    </r>
    <r>
      <rPr>
        <sz val="6"/>
        <color indexed="8"/>
        <rFont val="Arial"/>
        <family val="2"/>
      </rPr>
      <t>0</t>
    </r>
    <r>
      <rPr>
        <sz val="6"/>
        <color indexed="8"/>
        <rFont val="Arial"/>
        <family val="2"/>
      </rPr>
      <t xml:space="preserve"> </t>
    </r>
    <r>
      <rPr>
        <sz val="6"/>
        <color indexed="8"/>
        <rFont val="Arial"/>
        <family val="2"/>
      </rPr>
      <t>A</t>
    </r>
    <r>
      <rPr>
        <sz val="6"/>
        <color indexed="8"/>
        <rFont val="Arial"/>
        <family val="2"/>
      </rPr>
      <t xml:space="preserve"> </t>
    </r>
    <r>
      <rPr>
        <sz val="6"/>
        <color indexed="8"/>
        <rFont val="Arial"/>
        <family val="2"/>
      </rPr>
      <t>4</t>
    </r>
    <r>
      <rPr>
        <sz val="6"/>
        <color indexed="8"/>
        <rFont val="Arial"/>
        <family val="2"/>
      </rPr>
      <t>,</t>
    </r>
    <r>
      <rPr>
        <sz val="6"/>
        <color indexed="8"/>
        <rFont val="Arial"/>
        <family val="2"/>
      </rPr>
      <t>0M</t>
    </r>
  </si>
  <si>
    <r>
      <rPr>
        <sz val="6"/>
        <color indexed="8"/>
        <rFont val="Arial"/>
        <family val="2"/>
      </rPr>
      <t>E</t>
    </r>
    <r>
      <rPr>
        <sz val="6"/>
        <color indexed="8"/>
        <rFont val="Arial"/>
        <family val="2"/>
      </rPr>
      <t>S</t>
    </r>
    <r>
      <rPr>
        <sz val="6"/>
        <color indexed="8"/>
        <rFont val="Arial"/>
        <family val="2"/>
      </rPr>
      <t>C</t>
    </r>
    <r>
      <rPr>
        <sz val="6"/>
        <color indexed="8"/>
        <rFont val="Arial"/>
        <family val="2"/>
      </rPr>
      <t>AVAÇ</t>
    </r>
    <r>
      <rPr>
        <sz val="6"/>
        <color indexed="8"/>
        <rFont val="Arial"/>
        <family val="2"/>
      </rPr>
      <t>Ã</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M</t>
    </r>
    <r>
      <rPr>
        <sz val="6"/>
        <color indexed="8"/>
        <rFont val="Arial"/>
        <family val="2"/>
      </rPr>
      <t>E</t>
    </r>
    <r>
      <rPr>
        <sz val="6"/>
        <color indexed="8"/>
        <rFont val="Arial"/>
        <family val="2"/>
      </rPr>
      <t>C</t>
    </r>
    <r>
      <rPr>
        <sz val="6"/>
        <color indexed="8"/>
        <rFont val="Arial"/>
        <family val="2"/>
      </rPr>
      <t>A</t>
    </r>
    <r>
      <rPr>
        <sz val="6"/>
        <color indexed="8"/>
        <rFont val="Arial"/>
        <family val="2"/>
      </rPr>
      <t>N</t>
    </r>
    <r>
      <rPr>
        <sz val="6"/>
        <color indexed="8"/>
        <rFont val="Arial"/>
        <family val="2"/>
      </rPr>
      <t>I</t>
    </r>
    <r>
      <rPr>
        <sz val="6"/>
        <color indexed="8"/>
        <rFont val="Arial"/>
        <family val="2"/>
      </rPr>
      <t>Z</t>
    </r>
    <r>
      <rPr>
        <sz val="6"/>
        <color indexed="8"/>
        <rFont val="Arial"/>
        <family val="2"/>
      </rPr>
      <t>A</t>
    </r>
    <r>
      <rPr>
        <sz val="6"/>
        <color indexed="8"/>
        <rFont val="Arial"/>
        <family val="2"/>
      </rPr>
      <t>D</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t>
    </r>
    <r>
      <rPr>
        <sz val="6"/>
        <color indexed="8"/>
        <rFont val="Arial"/>
        <family val="2"/>
      </rPr>
      <t>C</t>
    </r>
    <r>
      <rPr>
        <sz val="6"/>
        <color indexed="8"/>
        <rFont val="Arial"/>
        <family val="2"/>
      </rPr>
      <t>O</t>
    </r>
    <r>
      <rPr>
        <sz val="6"/>
        <color indexed="8"/>
        <rFont val="Arial"/>
        <family val="2"/>
      </rPr>
      <t>M</t>
    </r>
    <r>
      <rPr>
        <sz val="6"/>
        <color indexed="8"/>
        <rFont val="Arial"/>
        <family val="2"/>
      </rPr>
      <t xml:space="preserve"> </t>
    </r>
    <r>
      <rPr>
        <sz val="6"/>
        <color indexed="8"/>
        <rFont val="Arial"/>
        <family val="2"/>
      </rPr>
      <t xml:space="preserve"> </t>
    </r>
    <r>
      <rPr>
        <sz val="6"/>
        <color indexed="8"/>
        <rFont val="Arial"/>
        <family val="2"/>
      </rPr>
      <t>R</t>
    </r>
    <r>
      <rPr>
        <sz val="6"/>
        <color indexed="8"/>
        <rFont val="Arial"/>
        <family val="2"/>
      </rPr>
      <t>E</t>
    </r>
    <r>
      <rPr>
        <sz val="6"/>
        <color indexed="8"/>
        <rFont val="Arial"/>
        <family val="2"/>
      </rPr>
      <t>T</t>
    </r>
    <r>
      <rPr>
        <sz val="6"/>
        <color indexed="8"/>
        <rFont val="Arial"/>
        <family val="2"/>
      </rPr>
      <t>R</t>
    </r>
    <r>
      <rPr>
        <sz val="6"/>
        <color indexed="8"/>
        <rFont val="Arial"/>
        <family val="2"/>
      </rPr>
      <t>OES</t>
    </r>
    <r>
      <rPr>
        <sz val="6"/>
        <color indexed="8"/>
        <rFont val="Arial"/>
        <family val="2"/>
      </rPr>
      <t>C</t>
    </r>
    <r>
      <rPr>
        <sz val="6"/>
        <color indexed="8"/>
        <rFont val="Arial"/>
        <family val="2"/>
      </rPr>
      <t>A</t>
    </r>
    <r>
      <rPr>
        <sz val="6"/>
        <color indexed="8"/>
        <rFont val="Arial"/>
        <family val="2"/>
      </rPr>
      <t>VA</t>
    </r>
    <r>
      <rPr>
        <sz val="6"/>
        <color indexed="8"/>
        <rFont val="Arial"/>
        <family val="2"/>
      </rPr>
      <t>D</t>
    </r>
    <r>
      <rPr>
        <sz val="6"/>
        <color indexed="8"/>
        <rFont val="Arial"/>
        <family val="2"/>
      </rPr>
      <t>E</t>
    </r>
    <r>
      <rPr>
        <sz val="6"/>
        <color indexed="8"/>
        <rFont val="Arial"/>
        <family val="2"/>
      </rPr>
      <t>I</t>
    </r>
    <r>
      <rPr>
        <sz val="6"/>
        <color indexed="8"/>
        <rFont val="Arial"/>
        <family val="2"/>
      </rPr>
      <t>R</t>
    </r>
    <r>
      <rPr>
        <sz val="6"/>
        <color indexed="8"/>
        <rFont val="Arial"/>
        <family val="2"/>
      </rPr>
      <t>A</t>
    </r>
    <r>
      <rPr>
        <sz val="6"/>
        <color indexed="8"/>
        <rFont val="Arial"/>
        <family val="2"/>
      </rPr>
      <t>)</t>
    </r>
    <r>
      <rPr>
        <sz val="6"/>
        <color indexed="8"/>
        <rFont val="Arial"/>
        <family val="2"/>
      </rPr>
      <t xml:space="preserve"> </t>
    </r>
    <r>
      <rPr>
        <sz val="6"/>
        <color indexed="8"/>
        <rFont val="Arial"/>
        <family val="2"/>
      </rPr>
      <t xml:space="preserve"> </t>
    </r>
    <r>
      <rPr>
        <sz val="6"/>
        <color indexed="8"/>
        <rFont val="Arial"/>
        <family val="2"/>
      </rPr>
      <t>E</t>
    </r>
    <r>
      <rPr>
        <sz val="6"/>
        <color indexed="8"/>
        <rFont val="Arial"/>
        <family val="2"/>
      </rPr>
      <t>M</t>
    </r>
    <r>
      <rPr>
        <sz val="6"/>
        <color indexed="8"/>
        <rFont val="Arial"/>
        <family val="2"/>
      </rPr>
      <t xml:space="preserve"> </t>
    </r>
    <r>
      <rPr>
        <sz val="6"/>
        <color indexed="8"/>
        <rFont val="Arial"/>
        <family val="2"/>
      </rPr>
      <t>V</t>
    </r>
    <r>
      <rPr>
        <sz val="6"/>
        <color indexed="8"/>
        <rFont val="Arial"/>
        <family val="2"/>
      </rPr>
      <t>ALAS</t>
    </r>
    <r>
      <rPr>
        <sz val="6"/>
        <color indexed="8"/>
        <rFont val="Arial"/>
        <family val="2"/>
      </rPr>
      <t xml:space="preserve"> </t>
    </r>
    <r>
      <rPr>
        <sz val="6"/>
        <color indexed="8"/>
        <rFont val="Arial"/>
        <family val="2"/>
      </rPr>
      <t xml:space="preserve"> </t>
    </r>
    <r>
      <rPr>
        <sz val="6"/>
        <color indexed="8"/>
        <rFont val="Arial"/>
        <family val="2"/>
      </rPr>
      <t>C</t>
    </r>
    <r>
      <rPr>
        <sz val="6"/>
        <color indexed="8"/>
        <rFont val="Arial"/>
        <family val="2"/>
      </rPr>
      <t>OM</t>
    </r>
    <r>
      <rPr>
        <sz val="6"/>
        <color indexed="8"/>
        <rFont val="Arial"/>
        <family val="2"/>
      </rPr>
      <t xml:space="preserve"> </t>
    </r>
    <r>
      <rPr>
        <sz val="6"/>
        <color indexed="8"/>
        <rFont val="Arial"/>
        <family val="2"/>
      </rPr>
      <t xml:space="preserve"> </t>
    </r>
    <r>
      <rPr>
        <sz val="6"/>
        <color indexed="8"/>
        <rFont val="Arial"/>
        <family val="2"/>
      </rPr>
      <t>M</t>
    </r>
    <r>
      <rPr>
        <sz val="6"/>
        <color indexed="8"/>
        <rFont val="Arial"/>
        <family val="2"/>
      </rPr>
      <t>A</t>
    </r>
    <r>
      <rPr>
        <sz val="6"/>
        <color indexed="8"/>
        <rFont val="Arial"/>
        <family val="2"/>
      </rPr>
      <t>T</t>
    </r>
    <r>
      <rPr>
        <sz val="6"/>
        <color indexed="8"/>
        <rFont val="Arial"/>
        <family val="2"/>
      </rPr>
      <t>E</t>
    </r>
    <r>
      <rPr>
        <sz val="6"/>
        <color indexed="8"/>
        <rFont val="Arial"/>
        <family val="2"/>
      </rPr>
      <t>R</t>
    </r>
    <r>
      <rPr>
        <sz val="6"/>
        <color indexed="8"/>
        <rFont val="Arial"/>
        <family val="2"/>
      </rPr>
      <t>I</t>
    </r>
    <r>
      <rPr>
        <sz val="6"/>
        <color indexed="8"/>
        <rFont val="Arial"/>
        <family val="2"/>
      </rPr>
      <t>A</t>
    </r>
    <r>
      <rPr>
        <sz val="6"/>
        <color indexed="8"/>
        <rFont val="Arial"/>
        <family val="2"/>
      </rPr>
      <t>L</t>
    </r>
    <r>
      <rPr>
        <sz val="6"/>
        <color indexed="8"/>
        <rFont val="Arial"/>
        <family val="2"/>
      </rPr>
      <t xml:space="preserve"> </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 xml:space="preserve"> </t>
    </r>
    <r>
      <rPr>
        <sz val="6"/>
        <color indexed="8"/>
        <rFont val="Arial"/>
        <family val="2"/>
      </rPr>
      <t>2ª</t>
    </r>
    <r>
      <rPr>
        <sz val="6"/>
        <color indexed="8"/>
        <rFont val="Arial"/>
        <family val="2"/>
      </rPr>
      <t xml:space="preserve"> </t>
    </r>
    <r>
      <rPr>
        <sz val="6"/>
        <color indexed="8"/>
        <rFont val="Arial"/>
        <family val="2"/>
      </rPr>
      <t xml:space="preserve"> </t>
    </r>
    <r>
      <rPr>
        <sz val="6"/>
        <color indexed="8"/>
        <rFont val="Arial"/>
        <family val="2"/>
      </rPr>
      <t>C</t>
    </r>
    <r>
      <rPr>
        <sz val="6"/>
        <color indexed="8"/>
        <rFont val="Arial"/>
        <family val="2"/>
      </rPr>
      <t>A</t>
    </r>
    <r>
      <rPr>
        <sz val="6"/>
        <color indexed="8"/>
        <rFont val="Arial"/>
        <family val="2"/>
      </rPr>
      <t>T</t>
    </r>
    <r>
      <rPr>
        <sz val="6"/>
        <color indexed="8"/>
        <rFont val="Arial"/>
        <family val="2"/>
      </rPr>
      <t>EGO</t>
    </r>
    <r>
      <rPr>
        <sz val="6"/>
        <color indexed="8"/>
        <rFont val="Arial"/>
        <family val="2"/>
      </rPr>
      <t>R</t>
    </r>
    <r>
      <rPr>
        <sz val="6"/>
        <color indexed="8"/>
        <rFont val="Arial"/>
        <family val="2"/>
      </rPr>
      <t>I</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t>
    </r>
    <r>
      <rPr>
        <sz val="6"/>
        <color indexed="8"/>
        <rFont val="Arial"/>
        <family val="2"/>
      </rPr>
      <t xml:space="preserve"> </t>
    </r>
    <r>
      <rPr>
        <sz val="6"/>
        <color indexed="8"/>
        <rFont val="Arial"/>
        <family val="2"/>
      </rPr>
      <t>P</t>
    </r>
    <r>
      <rPr>
        <sz val="6"/>
        <color indexed="8"/>
        <rFont val="Arial"/>
        <family val="2"/>
      </rPr>
      <t>R</t>
    </r>
    <r>
      <rPr>
        <sz val="6"/>
        <color indexed="8"/>
        <rFont val="Arial"/>
        <family val="2"/>
      </rPr>
      <t>O</t>
    </r>
    <r>
      <rPr>
        <sz val="6"/>
        <color indexed="8"/>
        <rFont val="Arial"/>
        <family val="2"/>
      </rPr>
      <t>F</t>
    </r>
    <r>
      <rPr>
        <sz val="6"/>
        <color indexed="8"/>
        <rFont val="Arial"/>
        <family val="2"/>
      </rPr>
      <t>U</t>
    </r>
    <r>
      <rPr>
        <sz val="6"/>
        <color indexed="8"/>
        <rFont val="Arial"/>
        <family val="2"/>
      </rPr>
      <t>N</t>
    </r>
    <r>
      <rPr>
        <sz val="6"/>
        <color indexed="8"/>
        <rFont val="Arial"/>
        <family val="2"/>
      </rPr>
      <t>D</t>
    </r>
    <r>
      <rPr>
        <sz val="6"/>
        <color indexed="8"/>
        <rFont val="Arial"/>
        <family val="2"/>
      </rPr>
      <t>I</t>
    </r>
    <r>
      <rPr>
        <sz val="6"/>
        <color indexed="8"/>
        <rFont val="Arial"/>
        <family val="2"/>
      </rPr>
      <t>D</t>
    </r>
    <r>
      <rPr>
        <sz val="6"/>
        <color indexed="8"/>
        <rFont val="Arial"/>
        <family val="2"/>
      </rPr>
      <t>A</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A</t>
    </r>
    <r>
      <rPr>
        <sz val="6"/>
        <color indexed="8"/>
        <rFont val="Arial"/>
        <family val="2"/>
      </rPr>
      <t>T</t>
    </r>
    <r>
      <rPr>
        <sz val="6"/>
        <color indexed="8"/>
        <rFont val="Arial"/>
        <family val="2"/>
      </rPr>
      <t>É</t>
    </r>
    <r>
      <rPr>
        <sz val="6"/>
        <color indexed="8"/>
        <rFont val="Arial"/>
        <family val="2"/>
      </rPr>
      <t xml:space="preserve"> </t>
    </r>
    <r>
      <rPr>
        <sz val="6"/>
        <color indexed="8"/>
        <rFont val="Arial"/>
        <family val="2"/>
      </rPr>
      <t>2</t>
    </r>
    <r>
      <rPr>
        <sz val="6"/>
        <color indexed="8"/>
        <rFont val="Arial"/>
        <family val="2"/>
      </rPr>
      <t>,</t>
    </r>
    <r>
      <rPr>
        <sz val="6"/>
        <color indexed="8"/>
        <rFont val="Arial"/>
        <family val="2"/>
      </rPr>
      <t>0</t>
    </r>
    <r>
      <rPr>
        <sz val="6"/>
        <color indexed="8"/>
        <rFont val="Arial"/>
        <family val="2"/>
      </rPr>
      <t xml:space="preserve"> </t>
    </r>
    <r>
      <rPr>
        <sz val="6"/>
        <color indexed="8"/>
        <rFont val="Arial"/>
        <family val="2"/>
      </rPr>
      <t>M</t>
    </r>
  </si>
  <si>
    <r>
      <rPr>
        <sz val="6"/>
        <color indexed="8"/>
        <rFont val="Arial"/>
        <family val="2"/>
      </rPr>
      <t>E</t>
    </r>
    <r>
      <rPr>
        <sz val="6"/>
        <color indexed="8"/>
        <rFont val="Arial"/>
        <family val="2"/>
      </rPr>
      <t>S</t>
    </r>
    <r>
      <rPr>
        <sz val="6"/>
        <color indexed="8"/>
        <rFont val="Arial"/>
        <family val="2"/>
      </rPr>
      <t>C</t>
    </r>
    <r>
      <rPr>
        <sz val="6"/>
        <color indexed="8"/>
        <rFont val="Arial"/>
        <family val="2"/>
      </rPr>
      <t>AVAÇ</t>
    </r>
    <r>
      <rPr>
        <sz val="6"/>
        <color indexed="8"/>
        <rFont val="Arial"/>
        <family val="2"/>
      </rPr>
      <t>Ã</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M</t>
    </r>
    <r>
      <rPr>
        <sz val="6"/>
        <color indexed="8"/>
        <rFont val="Arial"/>
        <family val="2"/>
      </rPr>
      <t>E</t>
    </r>
    <r>
      <rPr>
        <sz val="6"/>
        <color indexed="8"/>
        <rFont val="Arial"/>
        <family val="2"/>
      </rPr>
      <t>C</t>
    </r>
    <r>
      <rPr>
        <sz val="6"/>
        <color indexed="8"/>
        <rFont val="Arial"/>
        <family val="2"/>
      </rPr>
      <t>A</t>
    </r>
    <r>
      <rPr>
        <sz val="6"/>
        <color indexed="8"/>
        <rFont val="Arial"/>
        <family val="2"/>
      </rPr>
      <t>N</t>
    </r>
    <r>
      <rPr>
        <sz val="6"/>
        <color indexed="8"/>
        <rFont val="Arial"/>
        <family val="2"/>
      </rPr>
      <t>I</t>
    </r>
    <r>
      <rPr>
        <sz val="6"/>
        <color indexed="8"/>
        <rFont val="Arial"/>
        <family val="2"/>
      </rPr>
      <t>Z</t>
    </r>
    <r>
      <rPr>
        <sz val="6"/>
        <color indexed="8"/>
        <rFont val="Arial"/>
        <family val="2"/>
      </rPr>
      <t>A</t>
    </r>
    <r>
      <rPr>
        <sz val="6"/>
        <color indexed="8"/>
        <rFont val="Arial"/>
        <family val="2"/>
      </rPr>
      <t>D</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t>
    </r>
    <r>
      <rPr>
        <sz val="6"/>
        <color indexed="8"/>
        <rFont val="Arial"/>
        <family val="2"/>
      </rPr>
      <t>C</t>
    </r>
    <r>
      <rPr>
        <sz val="6"/>
        <color indexed="8"/>
        <rFont val="Arial"/>
        <family val="2"/>
      </rPr>
      <t>O</t>
    </r>
    <r>
      <rPr>
        <sz val="6"/>
        <color indexed="8"/>
        <rFont val="Arial"/>
        <family val="2"/>
      </rPr>
      <t>M</t>
    </r>
    <r>
      <rPr>
        <sz val="6"/>
        <color indexed="8"/>
        <rFont val="Arial"/>
        <family val="2"/>
      </rPr>
      <t xml:space="preserve"> </t>
    </r>
    <r>
      <rPr>
        <sz val="6"/>
        <color indexed="8"/>
        <rFont val="Arial"/>
        <family val="2"/>
      </rPr>
      <t xml:space="preserve"> </t>
    </r>
    <r>
      <rPr>
        <sz val="6"/>
        <color indexed="8"/>
        <rFont val="Arial"/>
        <family val="2"/>
      </rPr>
      <t>R</t>
    </r>
    <r>
      <rPr>
        <sz val="6"/>
        <color indexed="8"/>
        <rFont val="Arial"/>
        <family val="2"/>
      </rPr>
      <t>E</t>
    </r>
    <r>
      <rPr>
        <sz val="6"/>
        <color indexed="8"/>
        <rFont val="Arial"/>
        <family val="2"/>
      </rPr>
      <t>T</t>
    </r>
    <r>
      <rPr>
        <sz val="6"/>
        <color indexed="8"/>
        <rFont val="Arial"/>
        <family val="2"/>
      </rPr>
      <t>R</t>
    </r>
    <r>
      <rPr>
        <sz val="6"/>
        <color indexed="8"/>
        <rFont val="Arial"/>
        <family val="2"/>
      </rPr>
      <t>OES</t>
    </r>
    <r>
      <rPr>
        <sz val="6"/>
        <color indexed="8"/>
        <rFont val="Arial"/>
        <family val="2"/>
      </rPr>
      <t>C</t>
    </r>
    <r>
      <rPr>
        <sz val="6"/>
        <color indexed="8"/>
        <rFont val="Arial"/>
        <family val="2"/>
      </rPr>
      <t>A</t>
    </r>
    <r>
      <rPr>
        <sz val="6"/>
        <color indexed="8"/>
        <rFont val="Arial"/>
        <family val="2"/>
      </rPr>
      <t>VA</t>
    </r>
    <r>
      <rPr>
        <sz val="6"/>
        <color indexed="8"/>
        <rFont val="Arial"/>
        <family val="2"/>
      </rPr>
      <t>D</t>
    </r>
    <r>
      <rPr>
        <sz val="6"/>
        <color indexed="8"/>
        <rFont val="Arial"/>
        <family val="2"/>
      </rPr>
      <t>E</t>
    </r>
    <r>
      <rPr>
        <sz val="6"/>
        <color indexed="8"/>
        <rFont val="Arial"/>
        <family val="2"/>
      </rPr>
      <t>I</t>
    </r>
    <r>
      <rPr>
        <sz val="6"/>
        <color indexed="8"/>
        <rFont val="Arial"/>
        <family val="2"/>
      </rPr>
      <t>R</t>
    </r>
    <r>
      <rPr>
        <sz val="6"/>
        <color indexed="8"/>
        <rFont val="Arial"/>
        <family val="2"/>
      </rPr>
      <t>A</t>
    </r>
    <r>
      <rPr>
        <sz val="6"/>
        <color indexed="8"/>
        <rFont val="Arial"/>
        <family val="2"/>
      </rPr>
      <t>)</t>
    </r>
    <r>
      <rPr>
        <sz val="6"/>
        <color indexed="8"/>
        <rFont val="Arial"/>
        <family val="2"/>
      </rPr>
      <t xml:space="preserve"> </t>
    </r>
    <r>
      <rPr>
        <sz val="6"/>
        <color indexed="8"/>
        <rFont val="Arial"/>
        <family val="2"/>
      </rPr>
      <t xml:space="preserve"> </t>
    </r>
    <r>
      <rPr>
        <sz val="6"/>
        <color indexed="8"/>
        <rFont val="Arial"/>
        <family val="2"/>
      </rPr>
      <t>E</t>
    </r>
    <r>
      <rPr>
        <sz val="6"/>
        <color indexed="8"/>
        <rFont val="Arial"/>
        <family val="2"/>
      </rPr>
      <t>M</t>
    </r>
    <r>
      <rPr>
        <sz val="6"/>
        <color indexed="8"/>
        <rFont val="Arial"/>
        <family val="2"/>
      </rPr>
      <t xml:space="preserve"> </t>
    </r>
    <r>
      <rPr>
        <sz val="6"/>
        <color indexed="8"/>
        <rFont val="Arial"/>
        <family val="2"/>
      </rPr>
      <t>V</t>
    </r>
    <r>
      <rPr>
        <sz val="6"/>
        <color indexed="8"/>
        <rFont val="Arial"/>
        <family val="2"/>
      </rPr>
      <t>ALAS</t>
    </r>
    <r>
      <rPr>
        <sz val="6"/>
        <color indexed="8"/>
        <rFont val="Arial"/>
        <family val="2"/>
      </rPr>
      <t xml:space="preserve"> </t>
    </r>
    <r>
      <rPr>
        <sz val="6"/>
        <color indexed="8"/>
        <rFont val="Arial"/>
        <family val="2"/>
      </rPr>
      <t xml:space="preserve"> </t>
    </r>
    <r>
      <rPr>
        <sz val="6"/>
        <color indexed="8"/>
        <rFont val="Arial"/>
        <family val="2"/>
      </rPr>
      <t>C</t>
    </r>
    <r>
      <rPr>
        <sz val="6"/>
        <color indexed="8"/>
        <rFont val="Arial"/>
        <family val="2"/>
      </rPr>
      <t>OM</t>
    </r>
    <r>
      <rPr>
        <sz val="6"/>
        <color indexed="8"/>
        <rFont val="Arial"/>
        <family val="2"/>
      </rPr>
      <t xml:space="preserve"> </t>
    </r>
    <r>
      <rPr>
        <sz val="6"/>
        <color indexed="8"/>
        <rFont val="Arial"/>
        <family val="2"/>
      </rPr>
      <t xml:space="preserve"> </t>
    </r>
    <r>
      <rPr>
        <sz val="6"/>
        <color indexed="8"/>
        <rFont val="Arial"/>
        <family val="2"/>
      </rPr>
      <t>M</t>
    </r>
    <r>
      <rPr>
        <sz val="6"/>
        <color indexed="8"/>
        <rFont val="Arial"/>
        <family val="2"/>
      </rPr>
      <t>A</t>
    </r>
    <r>
      <rPr>
        <sz val="6"/>
        <color indexed="8"/>
        <rFont val="Arial"/>
        <family val="2"/>
      </rPr>
      <t>T</t>
    </r>
    <r>
      <rPr>
        <sz val="6"/>
        <color indexed="8"/>
        <rFont val="Arial"/>
        <family val="2"/>
      </rPr>
      <t>E</t>
    </r>
    <r>
      <rPr>
        <sz val="6"/>
        <color indexed="8"/>
        <rFont val="Arial"/>
        <family val="2"/>
      </rPr>
      <t>R</t>
    </r>
    <r>
      <rPr>
        <sz val="6"/>
        <color indexed="8"/>
        <rFont val="Arial"/>
        <family val="2"/>
      </rPr>
      <t>I</t>
    </r>
    <r>
      <rPr>
        <sz val="6"/>
        <color indexed="8"/>
        <rFont val="Arial"/>
        <family val="2"/>
      </rPr>
      <t>A</t>
    </r>
    <r>
      <rPr>
        <sz val="6"/>
        <color indexed="8"/>
        <rFont val="Arial"/>
        <family val="2"/>
      </rPr>
      <t>L</t>
    </r>
    <r>
      <rPr>
        <sz val="6"/>
        <color indexed="8"/>
        <rFont val="Arial"/>
        <family val="2"/>
      </rPr>
      <t xml:space="preserve"> </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 xml:space="preserve"> </t>
    </r>
    <r>
      <rPr>
        <sz val="6"/>
        <color indexed="8"/>
        <rFont val="Arial"/>
        <family val="2"/>
      </rPr>
      <t>2ª</t>
    </r>
    <r>
      <rPr>
        <sz val="6"/>
        <color indexed="8"/>
        <rFont val="Arial"/>
        <family val="2"/>
      </rPr>
      <t xml:space="preserve"> </t>
    </r>
    <r>
      <rPr>
        <sz val="6"/>
        <color indexed="8"/>
        <rFont val="Arial"/>
        <family val="2"/>
      </rPr>
      <t xml:space="preserve"> </t>
    </r>
    <r>
      <rPr>
        <sz val="6"/>
        <color indexed="8"/>
        <rFont val="Arial"/>
        <family val="2"/>
      </rPr>
      <t>C</t>
    </r>
    <r>
      <rPr>
        <sz val="6"/>
        <color indexed="8"/>
        <rFont val="Arial"/>
        <family val="2"/>
      </rPr>
      <t>A</t>
    </r>
    <r>
      <rPr>
        <sz val="6"/>
        <color indexed="8"/>
        <rFont val="Arial"/>
        <family val="2"/>
      </rPr>
      <t>T</t>
    </r>
    <r>
      <rPr>
        <sz val="6"/>
        <color indexed="8"/>
        <rFont val="Arial"/>
        <family val="2"/>
      </rPr>
      <t>EGO</t>
    </r>
    <r>
      <rPr>
        <sz val="6"/>
        <color indexed="8"/>
        <rFont val="Arial"/>
        <family val="2"/>
      </rPr>
      <t>R</t>
    </r>
    <r>
      <rPr>
        <sz val="6"/>
        <color indexed="8"/>
        <rFont val="Arial"/>
        <family val="2"/>
      </rPr>
      <t>I</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t>
    </r>
    <r>
      <rPr>
        <sz val="6"/>
        <color indexed="8"/>
        <rFont val="Arial"/>
        <family val="2"/>
      </rPr>
      <t xml:space="preserve"> </t>
    </r>
    <r>
      <rPr>
        <sz val="6"/>
        <color indexed="8"/>
        <rFont val="Arial"/>
        <family val="2"/>
      </rPr>
      <t>P</t>
    </r>
    <r>
      <rPr>
        <sz val="6"/>
        <color indexed="8"/>
        <rFont val="Arial"/>
        <family val="2"/>
      </rPr>
      <t>R</t>
    </r>
    <r>
      <rPr>
        <sz val="6"/>
        <color indexed="8"/>
        <rFont val="Arial"/>
        <family val="2"/>
      </rPr>
      <t>O</t>
    </r>
    <r>
      <rPr>
        <sz val="6"/>
        <color indexed="8"/>
        <rFont val="Arial"/>
        <family val="2"/>
      </rPr>
      <t>F</t>
    </r>
    <r>
      <rPr>
        <sz val="6"/>
        <color indexed="8"/>
        <rFont val="Arial"/>
        <family val="2"/>
      </rPr>
      <t>U</t>
    </r>
    <r>
      <rPr>
        <sz val="6"/>
        <color indexed="8"/>
        <rFont val="Arial"/>
        <family val="2"/>
      </rPr>
      <t>N</t>
    </r>
    <r>
      <rPr>
        <sz val="6"/>
        <color indexed="8"/>
        <rFont val="Arial"/>
        <family val="2"/>
      </rPr>
      <t>D</t>
    </r>
    <r>
      <rPr>
        <sz val="6"/>
        <color indexed="8"/>
        <rFont val="Arial"/>
        <family val="2"/>
      </rPr>
      <t>I</t>
    </r>
    <r>
      <rPr>
        <sz val="6"/>
        <color indexed="8"/>
        <rFont val="Arial"/>
        <family val="2"/>
      </rPr>
      <t>D</t>
    </r>
    <r>
      <rPr>
        <sz val="6"/>
        <color indexed="8"/>
        <rFont val="Arial"/>
        <family val="2"/>
      </rPr>
      <t>A</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2</t>
    </r>
    <r>
      <rPr>
        <sz val="6"/>
        <color indexed="8"/>
        <rFont val="Arial"/>
        <family val="2"/>
      </rPr>
      <t>,</t>
    </r>
    <r>
      <rPr>
        <sz val="6"/>
        <color indexed="8"/>
        <rFont val="Arial"/>
        <family val="2"/>
      </rPr>
      <t>0</t>
    </r>
    <r>
      <rPr>
        <sz val="6"/>
        <color indexed="8"/>
        <rFont val="Arial"/>
        <family val="2"/>
      </rPr>
      <t xml:space="preserve"> </t>
    </r>
    <r>
      <rPr>
        <sz val="6"/>
        <color indexed="8"/>
        <rFont val="Arial"/>
        <family val="2"/>
      </rPr>
      <t>A</t>
    </r>
    <r>
      <rPr>
        <sz val="6"/>
        <color indexed="8"/>
        <rFont val="Arial"/>
        <family val="2"/>
      </rPr>
      <t xml:space="preserve"> </t>
    </r>
    <r>
      <rPr>
        <sz val="6"/>
        <color indexed="8"/>
        <rFont val="Arial"/>
        <family val="2"/>
      </rPr>
      <t>4</t>
    </r>
    <r>
      <rPr>
        <sz val="6"/>
        <color indexed="8"/>
        <rFont val="Arial"/>
        <family val="2"/>
      </rPr>
      <t>,</t>
    </r>
    <r>
      <rPr>
        <sz val="6"/>
        <color indexed="8"/>
        <rFont val="Arial"/>
        <family val="2"/>
      </rPr>
      <t>0M</t>
    </r>
  </si>
  <si>
    <r>
      <rPr>
        <sz val="6"/>
        <color indexed="8"/>
        <rFont val="Arial"/>
        <family val="2"/>
      </rPr>
      <t>E</t>
    </r>
    <r>
      <rPr>
        <sz val="6"/>
        <color indexed="8"/>
        <rFont val="Arial"/>
        <family val="2"/>
      </rPr>
      <t>S</t>
    </r>
    <r>
      <rPr>
        <sz val="6"/>
        <color indexed="8"/>
        <rFont val="Arial"/>
        <family val="2"/>
      </rPr>
      <t>C</t>
    </r>
    <r>
      <rPr>
        <sz val="6"/>
        <color indexed="8"/>
        <rFont val="Arial"/>
        <family val="2"/>
      </rPr>
      <t>AVAÇ</t>
    </r>
    <r>
      <rPr>
        <sz val="6"/>
        <color indexed="8"/>
        <rFont val="Arial"/>
        <family val="2"/>
      </rPr>
      <t>Ã</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M</t>
    </r>
    <r>
      <rPr>
        <sz val="6"/>
        <color indexed="8"/>
        <rFont val="Arial"/>
        <family val="2"/>
      </rPr>
      <t>E</t>
    </r>
    <r>
      <rPr>
        <sz val="6"/>
        <color indexed="8"/>
        <rFont val="Arial"/>
        <family val="2"/>
      </rPr>
      <t>C</t>
    </r>
    <r>
      <rPr>
        <sz val="6"/>
        <color indexed="8"/>
        <rFont val="Arial"/>
        <family val="2"/>
      </rPr>
      <t>A</t>
    </r>
    <r>
      <rPr>
        <sz val="6"/>
        <color indexed="8"/>
        <rFont val="Arial"/>
        <family val="2"/>
      </rPr>
      <t>N</t>
    </r>
    <r>
      <rPr>
        <sz val="6"/>
        <color indexed="8"/>
        <rFont val="Arial"/>
        <family val="2"/>
      </rPr>
      <t>I</t>
    </r>
    <r>
      <rPr>
        <sz val="6"/>
        <color indexed="8"/>
        <rFont val="Arial"/>
        <family val="2"/>
      </rPr>
      <t>Z</t>
    </r>
    <r>
      <rPr>
        <sz val="6"/>
        <color indexed="8"/>
        <rFont val="Arial"/>
        <family val="2"/>
      </rPr>
      <t>A</t>
    </r>
    <r>
      <rPr>
        <sz val="6"/>
        <color indexed="8"/>
        <rFont val="Arial"/>
        <family val="2"/>
      </rPr>
      <t>D</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t>
    </r>
    <r>
      <rPr>
        <sz val="6"/>
        <color indexed="8"/>
        <rFont val="Arial"/>
        <family val="2"/>
      </rPr>
      <t>C</t>
    </r>
    <r>
      <rPr>
        <sz val="6"/>
        <color indexed="8"/>
        <rFont val="Arial"/>
        <family val="2"/>
      </rPr>
      <t>OM</t>
    </r>
    <r>
      <rPr>
        <sz val="6"/>
        <color indexed="8"/>
        <rFont val="Arial"/>
        <family val="2"/>
      </rPr>
      <t xml:space="preserve"> </t>
    </r>
    <r>
      <rPr>
        <sz val="6"/>
        <color indexed="8"/>
        <rFont val="Arial"/>
        <family val="2"/>
      </rPr>
      <t xml:space="preserve"> </t>
    </r>
    <r>
      <rPr>
        <sz val="6"/>
        <color indexed="8"/>
        <rFont val="Arial"/>
        <family val="2"/>
      </rPr>
      <t>R</t>
    </r>
    <r>
      <rPr>
        <sz val="6"/>
        <color indexed="8"/>
        <rFont val="Arial"/>
        <family val="2"/>
      </rPr>
      <t>E</t>
    </r>
    <r>
      <rPr>
        <sz val="6"/>
        <color indexed="8"/>
        <rFont val="Arial"/>
        <family val="2"/>
      </rPr>
      <t>T</t>
    </r>
    <r>
      <rPr>
        <sz val="6"/>
        <color indexed="8"/>
        <rFont val="Arial"/>
        <family val="2"/>
      </rPr>
      <t>R</t>
    </r>
    <r>
      <rPr>
        <sz val="6"/>
        <color indexed="8"/>
        <rFont val="Arial"/>
        <family val="2"/>
      </rPr>
      <t>O</t>
    </r>
    <r>
      <rPr>
        <sz val="6"/>
        <color indexed="8"/>
        <rFont val="Arial"/>
        <family val="2"/>
      </rPr>
      <t>E</t>
    </r>
    <r>
      <rPr>
        <sz val="6"/>
        <color indexed="8"/>
        <rFont val="Arial"/>
        <family val="2"/>
      </rPr>
      <t>S</t>
    </r>
    <r>
      <rPr>
        <sz val="6"/>
        <color indexed="8"/>
        <rFont val="Arial"/>
        <family val="2"/>
      </rPr>
      <t>C</t>
    </r>
    <r>
      <rPr>
        <sz val="6"/>
        <color indexed="8"/>
        <rFont val="Arial"/>
        <family val="2"/>
      </rPr>
      <t>AVAD</t>
    </r>
    <r>
      <rPr>
        <sz val="6"/>
        <color indexed="8"/>
        <rFont val="Arial"/>
        <family val="2"/>
      </rPr>
      <t>E</t>
    </r>
    <r>
      <rPr>
        <sz val="6"/>
        <color indexed="8"/>
        <rFont val="Arial"/>
        <family val="2"/>
      </rPr>
      <t>I</t>
    </r>
    <r>
      <rPr>
        <sz val="6"/>
        <color indexed="8"/>
        <rFont val="Arial"/>
        <family val="2"/>
      </rPr>
      <t>R</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E</t>
    </r>
    <r>
      <rPr>
        <sz val="6"/>
        <color indexed="8"/>
        <rFont val="Arial"/>
        <family val="2"/>
      </rPr>
      <t>M</t>
    </r>
    <r>
      <rPr>
        <sz val="6"/>
        <color indexed="8"/>
        <rFont val="Arial"/>
        <family val="2"/>
      </rPr>
      <t xml:space="preserve"> </t>
    </r>
    <r>
      <rPr>
        <sz val="6"/>
        <color indexed="8"/>
        <rFont val="Arial"/>
        <family val="2"/>
      </rPr>
      <t xml:space="preserve"> </t>
    </r>
    <r>
      <rPr>
        <sz val="6"/>
        <color indexed="8"/>
        <rFont val="Arial"/>
        <family val="2"/>
      </rPr>
      <t>V</t>
    </r>
    <r>
      <rPr>
        <sz val="6"/>
        <color indexed="8"/>
        <rFont val="Arial"/>
        <family val="2"/>
      </rPr>
      <t>A</t>
    </r>
    <r>
      <rPr>
        <sz val="6"/>
        <color indexed="8"/>
        <rFont val="Arial"/>
        <family val="2"/>
      </rPr>
      <t>LAS</t>
    </r>
    <r>
      <rPr>
        <sz val="6"/>
        <color indexed="8"/>
        <rFont val="Arial"/>
        <family val="2"/>
      </rPr>
      <t xml:space="preserve"> </t>
    </r>
    <r>
      <rPr>
        <sz val="6"/>
        <color indexed="8"/>
        <rFont val="Arial"/>
        <family val="2"/>
      </rPr>
      <t xml:space="preserve"> </t>
    </r>
    <r>
      <rPr>
        <sz val="6"/>
        <color indexed="8"/>
        <rFont val="Arial"/>
        <family val="2"/>
      </rPr>
      <t>C</t>
    </r>
    <r>
      <rPr>
        <sz val="6"/>
        <color indexed="8"/>
        <rFont val="Arial"/>
        <family val="2"/>
      </rPr>
      <t>O</t>
    </r>
    <r>
      <rPr>
        <sz val="6"/>
        <color indexed="8"/>
        <rFont val="Arial"/>
        <family val="2"/>
      </rPr>
      <t>M</t>
    </r>
    <r>
      <rPr>
        <sz val="6"/>
        <color indexed="8"/>
        <rFont val="Arial"/>
        <family val="2"/>
      </rPr>
      <t xml:space="preserve"> </t>
    </r>
    <r>
      <rPr>
        <sz val="6"/>
        <color indexed="8"/>
        <rFont val="Arial"/>
        <family val="2"/>
      </rPr>
      <t xml:space="preserve"> </t>
    </r>
    <r>
      <rPr>
        <sz val="6"/>
        <color indexed="8"/>
        <rFont val="Arial"/>
        <family val="2"/>
      </rPr>
      <t>M</t>
    </r>
    <r>
      <rPr>
        <sz val="6"/>
        <color indexed="8"/>
        <rFont val="Arial"/>
        <family val="2"/>
      </rPr>
      <t>A</t>
    </r>
    <r>
      <rPr>
        <sz val="6"/>
        <color indexed="8"/>
        <rFont val="Arial"/>
        <family val="2"/>
      </rPr>
      <t>T</t>
    </r>
    <r>
      <rPr>
        <sz val="6"/>
        <color indexed="8"/>
        <rFont val="Arial"/>
        <family val="2"/>
      </rPr>
      <t>E</t>
    </r>
    <r>
      <rPr>
        <sz val="6"/>
        <color indexed="8"/>
        <rFont val="Arial"/>
        <family val="2"/>
      </rPr>
      <t>R</t>
    </r>
    <r>
      <rPr>
        <sz val="6"/>
        <color indexed="8"/>
        <rFont val="Arial"/>
        <family val="2"/>
      </rPr>
      <t>I</t>
    </r>
    <r>
      <rPr>
        <sz val="6"/>
        <color indexed="8"/>
        <rFont val="Arial"/>
        <family val="2"/>
      </rPr>
      <t>A</t>
    </r>
    <r>
      <rPr>
        <sz val="6"/>
        <color indexed="8"/>
        <rFont val="Arial"/>
        <family val="2"/>
      </rPr>
      <t>L</t>
    </r>
    <r>
      <rPr>
        <sz val="6"/>
        <color indexed="8"/>
        <rFont val="Arial"/>
        <family val="2"/>
      </rPr>
      <t xml:space="preserve">  </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 xml:space="preserve"> </t>
    </r>
    <r>
      <rPr>
        <sz val="6"/>
        <color indexed="8"/>
        <rFont val="Arial"/>
        <family val="2"/>
      </rPr>
      <t>S</t>
    </r>
    <r>
      <rPr>
        <sz val="6"/>
        <color indexed="8"/>
        <rFont val="Arial"/>
        <family val="2"/>
      </rPr>
      <t>O</t>
    </r>
    <r>
      <rPr>
        <sz val="6"/>
        <color indexed="8"/>
        <rFont val="Arial"/>
        <family val="2"/>
      </rPr>
      <t>LO</t>
    </r>
    <r>
      <rPr>
        <sz val="6"/>
        <color indexed="8"/>
        <rFont val="Arial"/>
        <family val="2"/>
      </rPr>
      <t xml:space="preserve"> </t>
    </r>
    <r>
      <rPr>
        <sz val="6"/>
        <color indexed="8"/>
        <rFont val="Arial"/>
        <family val="2"/>
      </rPr>
      <t xml:space="preserve"> </t>
    </r>
    <r>
      <rPr>
        <sz val="6"/>
        <color indexed="8"/>
        <rFont val="Arial"/>
        <family val="2"/>
      </rPr>
      <t>M</t>
    </r>
    <r>
      <rPr>
        <sz val="6"/>
        <color indexed="8"/>
        <rFont val="Arial"/>
        <family val="2"/>
      </rPr>
      <t>O</t>
    </r>
    <r>
      <rPr>
        <sz val="6"/>
        <color indexed="8"/>
        <rFont val="Arial"/>
        <family val="2"/>
      </rPr>
      <t>L</t>
    </r>
    <r>
      <rPr>
        <sz val="6"/>
        <color indexed="8"/>
        <rFont val="Arial"/>
        <family val="2"/>
      </rPr>
      <t>E</t>
    </r>
    <r>
      <rPr>
        <sz val="6"/>
        <color indexed="8"/>
        <rFont val="Arial"/>
        <family val="2"/>
      </rPr>
      <t xml:space="preserve"> </t>
    </r>
    <r>
      <rPr>
        <sz val="6"/>
        <color indexed="8"/>
        <rFont val="Arial"/>
        <family val="2"/>
      </rPr>
      <t xml:space="preserve"> </t>
    </r>
    <r>
      <rPr>
        <sz val="6"/>
        <color indexed="8"/>
        <rFont val="Arial"/>
        <family val="2"/>
      </rPr>
      <t>-</t>
    </r>
    <r>
      <rPr>
        <sz val="6"/>
        <color indexed="8"/>
        <rFont val="Arial"/>
        <family val="2"/>
      </rPr>
      <t xml:space="preserve"> </t>
    </r>
    <r>
      <rPr>
        <sz val="6"/>
        <color indexed="8"/>
        <rFont val="Arial"/>
        <family val="2"/>
      </rPr>
      <t>P</t>
    </r>
    <r>
      <rPr>
        <sz val="6"/>
        <color indexed="8"/>
        <rFont val="Arial"/>
        <family val="2"/>
      </rPr>
      <t>R</t>
    </r>
    <r>
      <rPr>
        <sz val="6"/>
        <color indexed="8"/>
        <rFont val="Arial"/>
        <family val="2"/>
      </rPr>
      <t>O</t>
    </r>
    <r>
      <rPr>
        <sz val="6"/>
        <color indexed="8"/>
        <rFont val="Arial"/>
        <family val="2"/>
      </rPr>
      <t>F</t>
    </r>
    <r>
      <rPr>
        <sz val="6"/>
        <color indexed="8"/>
        <rFont val="Arial"/>
        <family val="2"/>
      </rPr>
      <t>U</t>
    </r>
    <r>
      <rPr>
        <sz val="6"/>
        <color indexed="8"/>
        <rFont val="Arial"/>
        <family val="2"/>
      </rPr>
      <t>N</t>
    </r>
    <r>
      <rPr>
        <sz val="6"/>
        <color indexed="8"/>
        <rFont val="Arial"/>
        <family val="2"/>
      </rPr>
      <t>D</t>
    </r>
    <r>
      <rPr>
        <sz val="6"/>
        <color indexed="8"/>
        <rFont val="Arial"/>
        <family val="2"/>
      </rPr>
      <t>I</t>
    </r>
    <r>
      <rPr>
        <sz val="6"/>
        <color indexed="8"/>
        <rFont val="Arial"/>
        <family val="2"/>
      </rPr>
      <t>D</t>
    </r>
    <r>
      <rPr>
        <sz val="6"/>
        <color indexed="8"/>
        <rFont val="Arial"/>
        <family val="2"/>
      </rPr>
      <t>A</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A</t>
    </r>
    <r>
      <rPr>
        <sz val="6"/>
        <color indexed="8"/>
        <rFont val="Arial"/>
        <family val="2"/>
      </rPr>
      <t>T</t>
    </r>
    <r>
      <rPr>
        <sz val="6"/>
        <color indexed="8"/>
        <rFont val="Arial"/>
        <family val="2"/>
      </rPr>
      <t>É</t>
    </r>
    <r>
      <rPr>
        <sz val="6"/>
        <color indexed="8"/>
        <rFont val="Arial"/>
        <family val="2"/>
      </rPr>
      <t xml:space="preserve"> </t>
    </r>
    <r>
      <rPr>
        <sz val="6"/>
        <color indexed="8"/>
        <rFont val="Arial"/>
        <family val="2"/>
      </rPr>
      <t>2</t>
    </r>
    <r>
      <rPr>
        <sz val="6"/>
        <color indexed="8"/>
        <rFont val="Arial"/>
        <family val="2"/>
      </rPr>
      <t>,</t>
    </r>
    <r>
      <rPr>
        <sz val="6"/>
        <color indexed="8"/>
        <rFont val="Arial"/>
        <family val="2"/>
      </rPr>
      <t>0</t>
    </r>
    <r>
      <rPr>
        <sz val="6"/>
        <color indexed="8"/>
        <rFont val="Arial"/>
        <family val="2"/>
      </rPr>
      <t xml:space="preserve"> </t>
    </r>
    <r>
      <rPr>
        <sz val="6"/>
        <color indexed="8"/>
        <rFont val="Arial"/>
        <family val="2"/>
      </rPr>
      <t>M</t>
    </r>
  </si>
  <si>
    <r>
      <rPr>
        <sz val="6"/>
        <color indexed="8"/>
        <rFont val="Arial"/>
        <family val="2"/>
      </rPr>
      <t>E</t>
    </r>
    <r>
      <rPr>
        <sz val="6"/>
        <color indexed="8"/>
        <rFont val="Arial"/>
        <family val="2"/>
      </rPr>
      <t>S</t>
    </r>
    <r>
      <rPr>
        <sz val="6"/>
        <color indexed="8"/>
        <rFont val="Arial"/>
        <family val="2"/>
      </rPr>
      <t>C</t>
    </r>
    <r>
      <rPr>
        <sz val="6"/>
        <color indexed="8"/>
        <rFont val="Arial"/>
        <family val="2"/>
      </rPr>
      <t>AVAÇ</t>
    </r>
    <r>
      <rPr>
        <sz val="6"/>
        <color indexed="8"/>
        <rFont val="Arial"/>
        <family val="2"/>
      </rPr>
      <t>Ã</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M</t>
    </r>
    <r>
      <rPr>
        <sz val="6"/>
        <color indexed="8"/>
        <rFont val="Arial"/>
        <family val="2"/>
      </rPr>
      <t>E</t>
    </r>
    <r>
      <rPr>
        <sz val="6"/>
        <color indexed="8"/>
        <rFont val="Arial"/>
        <family val="2"/>
      </rPr>
      <t>C</t>
    </r>
    <r>
      <rPr>
        <sz val="6"/>
        <color indexed="8"/>
        <rFont val="Arial"/>
        <family val="2"/>
      </rPr>
      <t>A</t>
    </r>
    <r>
      <rPr>
        <sz val="6"/>
        <color indexed="8"/>
        <rFont val="Arial"/>
        <family val="2"/>
      </rPr>
      <t>N</t>
    </r>
    <r>
      <rPr>
        <sz val="6"/>
        <color indexed="8"/>
        <rFont val="Arial"/>
        <family val="2"/>
      </rPr>
      <t>I</t>
    </r>
    <r>
      <rPr>
        <sz val="6"/>
        <color indexed="8"/>
        <rFont val="Arial"/>
        <family val="2"/>
      </rPr>
      <t>Z</t>
    </r>
    <r>
      <rPr>
        <sz val="6"/>
        <color indexed="8"/>
        <rFont val="Arial"/>
        <family val="2"/>
      </rPr>
      <t>A</t>
    </r>
    <r>
      <rPr>
        <sz val="6"/>
        <color indexed="8"/>
        <rFont val="Arial"/>
        <family val="2"/>
      </rPr>
      <t>D</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t>
    </r>
    <r>
      <rPr>
        <sz val="6"/>
        <color indexed="8"/>
        <rFont val="Arial"/>
        <family val="2"/>
      </rPr>
      <t>C</t>
    </r>
    <r>
      <rPr>
        <sz val="6"/>
        <color indexed="8"/>
        <rFont val="Arial"/>
        <family val="2"/>
      </rPr>
      <t>OM</t>
    </r>
    <r>
      <rPr>
        <sz val="6"/>
        <color indexed="8"/>
        <rFont val="Arial"/>
        <family val="2"/>
      </rPr>
      <t xml:space="preserve"> </t>
    </r>
    <r>
      <rPr>
        <sz val="6"/>
        <color indexed="8"/>
        <rFont val="Arial"/>
        <family val="2"/>
      </rPr>
      <t xml:space="preserve"> </t>
    </r>
    <r>
      <rPr>
        <sz val="6"/>
        <color indexed="8"/>
        <rFont val="Arial"/>
        <family val="2"/>
      </rPr>
      <t>R</t>
    </r>
    <r>
      <rPr>
        <sz val="6"/>
        <color indexed="8"/>
        <rFont val="Arial"/>
        <family val="2"/>
      </rPr>
      <t>E</t>
    </r>
    <r>
      <rPr>
        <sz val="6"/>
        <color indexed="8"/>
        <rFont val="Arial"/>
        <family val="2"/>
      </rPr>
      <t>T</t>
    </r>
    <r>
      <rPr>
        <sz val="6"/>
        <color indexed="8"/>
        <rFont val="Arial"/>
        <family val="2"/>
      </rPr>
      <t>R</t>
    </r>
    <r>
      <rPr>
        <sz val="6"/>
        <color indexed="8"/>
        <rFont val="Arial"/>
        <family val="2"/>
      </rPr>
      <t>O</t>
    </r>
    <r>
      <rPr>
        <sz val="6"/>
        <color indexed="8"/>
        <rFont val="Arial"/>
        <family val="2"/>
      </rPr>
      <t>E</t>
    </r>
    <r>
      <rPr>
        <sz val="6"/>
        <color indexed="8"/>
        <rFont val="Arial"/>
        <family val="2"/>
      </rPr>
      <t>S</t>
    </r>
    <r>
      <rPr>
        <sz val="6"/>
        <color indexed="8"/>
        <rFont val="Arial"/>
        <family val="2"/>
      </rPr>
      <t>C</t>
    </r>
    <r>
      <rPr>
        <sz val="6"/>
        <color indexed="8"/>
        <rFont val="Arial"/>
        <family val="2"/>
      </rPr>
      <t>AVAD</t>
    </r>
    <r>
      <rPr>
        <sz val="6"/>
        <color indexed="8"/>
        <rFont val="Arial"/>
        <family val="2"/>
      </rPr>
      <t>E</t>
    </r>
    <r>
      <rPr>
        <sz val="6"/>
        <color indexed="8"/>
        <rFont val="Arial"/>
        <family val="2"/>
      </rPr>
      <t>I</t>
    </r>
    <r>
      <rPr>
        <sz val="6"/>
        <color indexed="8"/>
        <rFont val="Arial"/>
        <family val="2"/>
      </rPr>
      <t>R</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E</t>
    </r>
    <r>
      <rPr>
        <sz val="6"/>
        <color indexed="8"/>
        <rFont val="Arial"/>
        <family val="2"/>
      </rPr>
      <t>M</t>
    </r>
    <r>
      <rPr>
        <sz val="6"/>
        <color indexed="8"/>
        <rFont val="Arial"/>
        <family val="2"/>
      </rPr>
      <t xml:space="preserve"> </t>
    </r>
    <r>
      <rPr>
        <sz val="6"/>
        <color indexed="8"/>
        <rFont val="Arial"/>
        <family val="2"/>
      </rPr>
      <t xml:space="preserve"> </t>
    </r>
    <r>
      <rPr>
        <sz val="6"/>
        <color indexed="8"/>
        <rFont val="Arial"/>
        <family val="2"/>
      </rPr>
      <t>V</t>
    </r>
    <r>
      <rPr>
        <sz val="6"/>
        <color indexed="8"/>
        <rFont val="Arial"/>
        <family val="2"/>
      </rPr>
      <t>A</t>
    </r>
    <r>
      <rPr>
        <sz val="6"/>
        <color indexed="8"/>
        <rFont val="Arial"/>
        <family val="2"/>
      </rPr>
      <t>LAS</t>
    </r>
    <r>
      <rPr>
        <sz val="6"/>
        <color indexed="8"/>
        <rFont val="Arial"/>
        <family val="2"/>
      </rPr>
      <t xml:space="preserve"> </t>
    </r>
    <r>
      <rPr>
        <sz val="6"/>
        <color indexed="8"/>
        <rFont val="Arial"/>
        <family val="2"/>
      </rPr>
      <t xml:space="preserve"> </t>
    </r>
    <r>
      <rPr>
        <sz val="6"/>
        <color indexed="8"/>
        <rFont val="Arial"/>
        <family val="2"/>
      </rPr>
      <t>C</t>
    </r>
    <r>
      <rPr>
        <sz val="6"/>
        <color indexed="8"/>
        <rFont val="Arial"/>
        <family val="2"/>
      </rPr>
      <t>O</t>
    </r>
    <r>
      <rPr>
        <sz val="6"/>
        <color indexed="8"/>
        <rFont val="Arial"/>
        <family val="2"/>
      </rPr>
      <t>M</t>
    </r>
    <r>
      <rPr>
        <sz val="6"/>
        <color indexed="8"/>
        <rFont val="Arial"/>
        <family val="2"/>
      </rPr>
      <t xml:space="preserve"> </t>
    </r>
    <r>
      <rPr>
        <sz val="6"/>
        <color indexed="8"/>
        <rFont val="Arial"/>
        <family val="2"/>
      </rPr>
      <t xml:space="preserve"> </t>
    </r>
    <r>
      <rPr>
        <sz val="6"/>
        <color indexed="8"/>
        <rFont val="Arial"/>
        <family val="2"/>
      </rPr>
      <t>M</t>
    </r>
    <r>
      <rPr>
        <sz val="6"/>
        <color indexed="8"/>
        <rFont val="Arial"/>
        <family val="2"/>
      </rPr>
      <t>A</t>
    </r>
    <r>
      <rPr>
        <sz val="6"/>
        <color indexed="8"/>
        <rFont val="Arial"/>
        <family val="2"/>
      </rPr>
      <t>T</t>
    </r>
    <r>
      <rPr>
        <sz val="6"/>
        <color indexed="8"/>
        <rFont val="Arial"/>
        <family val="2"/>
      </rPr>
      <t>E</t>
    </r>
    <r>
      <rPr>
        <sz val="6"/>
        <color indexed="8"/>
        <rFont val="Arial"/>
        <family val="2"/>
      </rPr>
      <t>R</t>
    </r>
    <r>
      <rPr>
        <sz val="6"/>
        <color indexed="8"/>
        <rFont val="Arial"/>
        <family val="2"/>
      </rPr>
      <t>I</t>
    </r>
    <r>
      <rPr>
        <sz val="6"/>
        <color indexed="8"/>
        <rFont val="Arial"/>
        <family val="2"/>
      </rPr>
      <t>A</t>
    </r>
    <r>
      <rPr>
        <sz val="6"/>
        <color indexed="8"/>
        <rFont val="Arial"/>
        <family val="2"/>
      </rPr>
      <t>L</t>
    </r>
    <r>
      <rPr>
        <sz val="6"/>
        <color indexed="8"/>
        <rFont val="Arial"/>
        <family val="2"/>
      </rPr>
      <t xml:space="preserve">  </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 xml:space="preserve"> </t>
    </r>
    <r>
      <rPr>
        <sz val="6"/>
        <color indexed="8"/>
        <rFont val="Arial"/>
        <family val="2"/>
      </rPr>
      <t>S</t>
    </r>
    <r>
      <rPr>
        <sz val="6"/>
        <color indexed="8"/>
        <rFont val="Arial"/>
        <family val="2"/>
      </rPr>
      <t>O</t>
    </r>
    <r>
      <rPr>
        <sz val="6"/>
        <color indexed="8"/>
        <rFont val="Arial"/>
        <family val="2"/>
      </rPr>
      <t>LO</t>
    </r>
    <r>
      <rPr>
        <sz val="6"/>
        <color indexed="8"/>
        <rFont val="Arial"/>
        <family val="2"/>
      </rPr>
      <t xml:space="preserve"> </t>
    </r>
    <r>
      <rPr>
        <sz val="6"/>
        <color indexed="8"/>
        <rFont val="Arial"/>
        <family val="2"/>
      </rPr>
      <t xml:space="preserve"> </t>
    </r>
    <r>
      <rPr>
        <sz val="6"/>
        <color indexed="8"/>
        <rFont val="Arial"/>
        <family val="2"/>
      </rPr>
      <t>M</t>
    </r>
    <r>
      <rPr>
        <sz val="6"/>
        <color indexed="8"/>
        <rFont val="Arial"/>
        <family val="2"/>
      </rPr>
      <t>O</t>
    </r>
    <r>
      <rPr>
        <sz val="6"/>
        <color indexed="8"/>
        <rFont val="Arial"/>
        <family val="2"/>
      </rPr>
      <t>L</t>
    </r>
    <r>
      <rPr>
        <sz val="6"/>
        <color indexed="8"/>
        <rFont val="Arial"/>
        <family val="2"/>
      </rPr>
      <t>E</t>
    </r>
    <r>
      <rPr>
        <sz val="6"/>
        <color indexed="8"/>
        <rFont val="Arial"/>
        <family val="2"/>
      </rPr>
      <t xml:space="preserve"> </t>
    </r>
    <r>
      <rPr>
        <sz val="6"/>
        <color indexed="8"/>
        <rFont val="Arial"/>
        <family val="2"/>
      </rPr>
      <t xml:space="preserve"> </t>
    </r>
    <r>
      <rPr>
        <sz val="6"/>
        <color indexed="8"/>
        <rFont val="Arial"/>
        <family val="2"/>
      </rPr>
      <t>-</t>
    </r>
    <r>
      <rPr>
        <sz val="6"/>
        <color indexed="8"/>
        <rFont val="Arial"/>
        <family val="2"/>
      </rPr>
      <t xml:space="preserve"> </t>
    </r>
    <r>
      <rPr>
        <sz val="6"/>
        <color indexed="8"/>
        <rFont val="Arial"/>
        <family val="2"/>
      </rPr>
      <t>P</t>
    </r>
    <r>
      <rPr>
        <sz val="6"/>
        <color indexed="8"/>
        <rFont val="Arial"/>
        <family val="2"/>
      </rPr>
      <t>R</t>
    </r>
    <r>
      <rPr>
        <sz val="6"/>
        <color indexed="8"/>
        <rFont val="Arial"/>
        <family val="2"/>
      </rPr>
      <t>O</t>
    </r>
    <r>
      <rPr>
        <sz val="6"/>
        <color indexed="8"/>
        <rFont val="Arial"/>
        <family val="2"/>
      </rPr>
      <t>F</t>
    </r>
    <r>
      <rPr>
        <sz val="6"/>
        <color indexed="8"/>
        <rFont val="Arial"/>
        <family val="2"/>
      </rPr>
      <t>U</t>
    </r>
    <r>
      <rPr>
        <sz val="6"/>
        <color indexed="8"/>
        <rFont val="Arial"/>
        <family val="2"/>
      </rPr>
      <t>N</t>
    </r>
    <r>
      <rPr>
        <sz val="6"/>
        <color indexed="8"/>
        <rFont val="Arial"/>
        <family val="2"/>
      </rPr>
      <t>D</t>
    </r>
    <r>
      <rPr>
        <sz val="6"/>
        <color indexed="8"/>
        <rFont val="Arial"/>
        <family val="2"/>
      </rPr>
      <t>I</t>
    </r>
    <r>
      <rPr>
        <sz val="6"/>
        <color indexed="8"/>
        <rFont val="Arial"/>
        <family val="2"/>
      </rPr>
      <t>D</t>
    </r>
    <r>
      <rPr>
        <sz val="6"/>
        <color indexed="8"/>
        <rFont val="Arial"/>
        <family val="2"/>
      </rPr>
      <t>A</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2</t>
    </r>
    <r>
      <rPr>
        <sz val="6"/>
        <color indexed="8"/>
        <rFont val="Arial"/>
        <family val="2"/>
      </rPr>
      <t>,</t>
    </r>
    <r>
      <rPr>
        <sz val="6"/>
        <color indexed="8"/>
        <rFont val="Arial"/>
        <family val="2"/>
      </rPr>
      <t>0</t>
    </r>
    <r>
      <rPr>
        <sz val="6"/>
        <color indexed="8"/>
        <rFont val="Arial"/>
        <family val="2"/>
      </rPr>
      <t xml:space="preserve"> </t>
    </r>
    <r>
      <rPr>
        <sz val="6"/>
        <color indexed="8"/>
        <rFont val="Arial"/>
        <family val="2"/>
      </rPr>
      <t>A</t>
    </r>
    <r>
      <rPr>
        <sz val="6"/>
        <color indexed="8"/>
        <rFont val="Arial"/>
        <family val="2"/>
      </rPr>
      <t xml:space="preserve"> </t>
    </r>
    <r>
      <rPr>
        <sz val="6"/>
        <color indexed="8"/>
        <rFont val="Arial"/>
        <family val="2"/>
      </rPr>
      <t>4</t>
    </r>
    <r>
      <rPr>
        <sz val="6"/>
        <color indexed="8"/>
        <rFont val="Arial"/>
        <family val="2"/>
      </rPr>
      <t>,</t>
    </r>
    <r>
      <rPr>
        <sz val="6"/>
        <color indexed="8"/>
        <rFont val="Arial"/>
        <family val="2"/>
      </rPr>
      <t>0</t>
    </r>
    <r>
      <rPr>
        <sz val="6"/>
        <color indexed="8"/>
        <rFont val="Arial"/>
        <family val="2"/>
      </rPr>
      <t xml:space="preserve"> </t>
    </r>
    <r>
      <rPr>
        <sz val="6"/>
        <color indexed="8"/>
        <rFont val="Arial"/>
        <family val="2"/>
      </rPr>
      <t>M</t>
    </r>
  </si>
  <si>
    <t>COMPACTAÇÃO MECANIZADA  FUNDO DE VALAS PARA  REDE DE ESGOTOS</t>
  </si>
  <si>
    <t>REATERRO  MANUAL COM COMPACTAÇÃO MANUAL ATÉ 20 CM ACIMA GERATRIZ SUPERIOR  DO TUBO</t>
  </si>
  <si>
    <t>REATERRO  MANUAL COMPACTADO EM CAMADAS DE 20CM</t>
  </si>
  <si>
    <t>REATERRO  MANUAL SEM COMPACTAÇÃO</t>
  </si>
  <si>
    <t>REATERRO  MECANIZADO  COM COMPACTAÇÃO .MANUAL ATÉ 20CM ACIMA GERATRIZ SUPERIOR  DO TUBO</t>
  </si>
  <si>
    <t>REATERRO  MECANIZADO  COM COMPACTAÇÃO EM CAMADAS DE 20CM</t>
  </si>
  <si>
    <t>REATERRO  MECANIZADO  COM PASSADAS  DO EQUIPAMENTOS DE TRANSPORTE</t>
  </si>
  <si>
    <r>
      <rPr>
        <sz val="6"/>
        <color indexed="8"/>
        <rFont val="Arial"/>
        <family val="2"/>
      </rPr>
      <t>R</t>
    </r>
    <r>
      <rPr>
        <sz val="6"/>
        <color indexed="8"/>
        <rFont val="Arial"/>
        <family val="2"/>
      </rPr>
      <t>E</t>
    </r>
    <r>
      <rPr>
        <sz val="6"/>
        <color indexed="8"/>
        <rFont val="Arial"/>
        <family val="2"/>
      </rPr>
      <t>A</t>
    </r>
    <r>
      <rPr>
        <sz val="6"/>
        <color indexed="8"/>
        <rFont val="Arial"/>
        <family val="2"/>
      </rPr>
      <t>T</t>
    </r>
    <r>
      <rPr>
        <sz val="6"/>
        <color indexed="8"/>
        <rFont val="Arial"/>
        <family val="2"/>
      </rPr>
      <t>E</t>
    </r>
    <r>
      <rPr>
        <sz val="6"/>
        <color indexed="8"/>
        <rFont val="Arial"/>
        <family val="2"/>
      </rPr>
      <t>R</t>
    </r>
    <r>
      <rPr>
        <sz val="6"/>
        <color indexed="8"/>
        <rFont val="Arial"/>
        <family val="2"/>
      </rPr>
      <t>R</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M</t>
    </r>
    <r>
      <rPr>
        <sz val="6"/>
        <color indexed="8"/>
        <rFont val="Arial"/>
        <family val="2"/>
      </rPr>
      <t>E</t>
    </r>
    <r>
      <rPr>
        <sz val="6"/>
        <color indexed="8"/>
        <rFont val="Arial"/>
        <family val="2"/>
      </rPr>
      <t>C</t>
    </r>
    <r>
      <rPr>
        <sz val="6"/>
        <color indexed="8"/>
        <rFont val="Arial"/>
        <family val="2"/>
      </rPr>
      <t>A</t>
    </r>
    <r>
      <rPr>
        <sz val="6"/>
        <color indexed="8"/>
        <rFont val="Arial"/>
        <family val="2"/>
      </rPr>
      <t>N</t>
    </r>
    <r>
      <rPr>
        <sz val="6"/>
        <color indexed="8"/>
        <rFont val="Arial"/>
        <family val="2"/>
      </rPr>
      <t>I</t>
    </r>
    <r>
      <rPr>
        <sz val="6"/>
        <color indexed="8"/>
        <rFont val="Arial"/>
        <family val="2"/>
      </rPr>
      <t>Z</t>
    </r>
    <r>
      <rPr>
        <sz val="6"/>
        <color indexed="8"/>
        <rFont val="Arial"/>
        <family val="2"/>
      </rPr>
      <t>A</t>
    </r>
    <r>
      <rPr>
        <sz val="6"/>
        <color indexed="8"/>
        <rFont val="Arial"/>
        <family val="2"/>
      </rPr>
      <t>D</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VALA</t>
    </r>
    <r>
      <rPr>
        <sz val="6"/>
        <color indexed="8"/>
        <rFont val="Arial"/>
        <family val="2"/>
      </rPr>
      <t xml:space="preserve"> </t>
    </r>
    <r>
      <rPr>
        <sz val="6"/>
        <color indexed="8"/>
        <rFont val="Arial"/>
        <family val="2"/>
      </rPr>
      <t>E</t>
    </r>
    <r>
      <rPr>
        <sz val="6"/>
        <color indexed="8"/>
        <rFont val="Arial"/>
        <family val="2"/>
      </rPr>
      <t>M</t>
    </r>
    <r>
      <rPr>
        <sz val="6"/>
        <color indexed="8"/>
        <rFont val="Arial"/>
        <family val="2"/>
      </rPr>
      <t>P</t>
    </r>
    <r>
      <rPr>
        <sz val="6"/>
        <color indexed="8"/>
        <rFont val="Arial"/>
        <family val="2"/>
      </rPr>
      <t>R</t>
    </r>
    <r>
      <rPr>
        <sz val="6"/>
        <color indexed="8"/>
        <rFont val="Arial"/>
        <family val="2"/>
      </rPr>
      <t>EGA</t>
    </r>
    <r>
      <rPr>
        <sz val="6"/>
        <color indexed="8"/>
        <rFont val="Arial"/>
        <family val="2"/>
      </rPr>
      <t>N</t>
    </r>
    <r>
      <rPr>
        <sz val="6"/>
        <color indexed="8"/>
        <rFont val="Arial"/>
        <family val="2"/>
      </rPr>
      <t>D</t>
    </r>
    <r>
      <rPr>
        <sz val="6"/>
        <color indexed="8"/>
        <rFont val="Arial"/>
        <family val="2"/>
      </rPr>
      <t>O</t>
    </r>
    <r>
      <rPr>
        <sz val="6"/>
        <color indexed="8"/>
        <rFont val="Arial"/>
        <family val="2"/>
      </rPr>
      <t xml:space="preserve"> </t>
    </r>
    <r>
      <rPr>
        <sz val="6"/>
        <color indexed="8"/>
        <rFont val="Arial"/>
        <family val="2"/>
      </rPr>
      <t>C</t>
    </r>
    <r>
      <rPr>
        <sz val="6"/>
        <color indexed="8"/>
        <rFont val="Arial"/>
        <family val="2"/>
      </rPr>
      <t>O</t>
    </r>
    <r>
      <rPr>
        <sz val="6"/>
        <color indexed="8"/>
        <rFont val="Arial"/>
        <family val="2"/>
      </rPr>
      <t>M</t>
    </r>
    <r>
      <rPr>
        <sz val="6"/>
        <color indexed="8"/>
        <rFont val="Arial"/>
        <family val="2"/>
      </rPr>
      <t>PA</t>
    </r>
    <r>
      <rPr>
        <sz val="6"/>
        <color indexed="8"/>
        <rFont val="Arial"/>
        <family val="2"/>
      </rPr>
      <t>C</t>
    </r>
    <r>
      <rPr>
        <sz val="6"/>
        <color indexed="8"/>
        <rFont val="Arial"/>
        <family val="2"/>
      </rPr>
      <t>T</t>
    </r>
    <r>
      <rPr>
        <sz val="6"/>
        <color indexed="8"/>
        <rFont val="Arial"/>
        <family val="2"/>
      </rPr>
      <t>A</t>
    </r>
    <r>
      <rPr>
        <sz val="6"/>
        <color indexed="8"/>
        <rFont val="Arial"/>
        <family val="2"/>
      </rPr>
      <t>D</t>
    </r>
    <r>
      <rPr>
        <sz val="6"/>
        <color indexed="8"/>
        <rFont val="Arial"/>
        <family val="2"/>
      </rPr>
      <t>OR</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PLA</t>
    </r>
    <r>
      <rPr>
        <sz val="6"/>
        <color indexed="8"/>
        <rFont val="Arial"/>
        <family val="2"/>
      </rPr>
      <t>C</t>
    </r>
    <r>
      <rPr>
        <sz val="6"/>
        <color indexed="8"/>
        <rFont val="Arial"/>
        <family val="2"/>
      </rPr>
      <t>A</t>
    </r>
    <r>
      <rPr>
        <sz val="6"/>
        <color indexed="8"/>
        <rFont val="Arial"/>
        <family val="2"/>
      </rPr>
      <t xml:space="preserve"> </t>
    </r>
    <r>
      <rPr>
        <sz val="6"/>
        <color indexed="8"/>
        <rFont val="Arial"/>
        <family val="2"/>
      </rPr>
      <t>V</t>
    </r>
    <r>
      <rPr>
        <sz val="6"/>
        <color indexed="8"/>
        <rFont val="Arial"/>
        <family val="2"/>
      </rPr>
      <t>I</t>
    </r>
    <r>
      <rPr>
        <sz val="6"/>
        <color indexed="8"/>
        <rFont val="Arial"/>
        <family val="2"/>
      </rPr>
      <t>B</t>
    </r>
    <r>
      <rPr>
        <sz val="6"/>
        <color indexed="8"/>
        <rFont val="Arial"/>
        <family val="2"/>
      </rPr>
      <t>R</t>
    </r>
    <r>
      <rPr>
        <sz val="6"/>
        <color indexed="8"/>
        <rFont val="Arial"/>
        <family val="2"/>
      </rPr>
      <t>A</t>
    </r>
    <r>
      <rPr>
        <sz val="6"/>
        <color indexed="8"/>
        <rFont val="Arial"/>
        <family val="2"/>
      </rPr>
      <t>T</t>
    </r>
    <r>
      <rPr>
        <sz val="6"/>
        <color indexed="8"/>
        <rFont val="Arial"/>
        <family val="2"/>
      </rPr>
      <t>Ó</t>
    </r>
    <r>
      <rPr>
        <sz val="6"/>
        <color indexed="8"/>
        <rFont val="Arial"/>
        <family val="2"/>
      </rPr>
      <t>R</t>
    </r>
    <r>
      <rPr>
        <sz val="6"/>
        <color indexed="8"/>
        <rFont val="Arial"/>
        <family val="2"/>
      </rPr>
      <t>I</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t>
    </r>
    <r>
      <rPr>
        <sz val="6"/>
        <color indexed="8"/>
        <rFont val="Arial"/>
        <family val="2"/>
      </rPr>
      <t>O</t>
    </r>
    <r>
      <rPr>
        <sz val="6"/>
        <color indexed="8"/>
        <rFont val="Arial"/>
        <family val="2"/>
      </rPr>
      <t>U</t>
    </r>
    <r>
      <rPr>
        <sz val="6"/>
        <color indexed="8"/>
        <rFont val="Arial"/>
        <family val="2"/>
      </rPr>
      <t xml:space="preserve"> </t>
    </r>
    <r>
      <rPr>
        <sz val="6"/>
        <color indexed="8"/>
        <rFont val="Arial"/>
        <family val="2"/>
      </rPr>
      <t>SO</t>
    </r>
    <r>
      <rPr>
        <sz val="6"/>
        <color indexed="8"/>
        <rFont val="Arial"/>
        <family val="2"/>
      </rPr>
      <t>Q</t>
    </r>
    <r>
      <rPr>
        <sz val="6"/>
        <color indexed="8"/>
        <rFont val="Arial"/>
        <family val="2"/>
      </rPr>
      <t>U</t>
    </r>
    <r>
      <rPr>
        <sz val="6"/>
        <color indexed="8"/>
        <rFont val="Arial"/>
        <family val="2"/>
      </rPr>
      <t>E</t>
    </r>
    <r>
      <rPr>
        <sz val="6"/>
        <color indexed="8"/>
        <rFont val="Arial"/>
        <family val="2"/>
      </rPr>
      <t>T</t>
    </r>
    <r>
      <rPr>
        <sz val="6"/>
        <color indexed="8"/>
        <rFont val="Arial"/>
        <family val="2"/>
      </rPr>
      <t xml:space="preserve">E
</t>
    </r>
    <r>
      <rPr>
        <sz val="6"/>
        <color indexed="8"/>
        <rFont val="Arial"/>
        <family val="2"/>
      </rPr>
      <t>V</t>
    </r>
    <r>
      <rPr>
        <sz val="6"/>
        <color indexed="8"/>
        <rFont val="Arial"/>
        <family val="2"/>
      </rPr>
      <t>I</t>
    </r>
    <r>
      <rPr>
        <sz val="6"/>
        <color indexed="8"/>
        <rFont val="Arial"/>
        <family val="2"/>
      </rPr>
      <t>B</t>
    </r>
    <r>
      <rPr>
        <sz val="6"/>
        <color indexed="8"/>
        <rFont val="Arial"/>
        <family val="2"/>
      </rPr>
      <t>R</t>
    </r>
    <r>
      <rPr>
        <sz val="6"/>
        <color indexed="8"/>
        <rFont val="Arial"/>
        <family val="2"/>
      </rPr>
      <t>A</t>
    </r>
    <r>
      <rPr>
        <sz val="6"/>
        <color indexed="8"/>
        <rFont val="Arial"/>
        <family val="2"/>
      </rPr>
      <t>T</t>
    </r>
    <r>
      <rPr>
        <sz val="6"/>
        <color indexed="8"/>
        <rFont val="Arial"/>
        <family val="2"/>
      </rPr>
      <t>Ó</t>
    </r>
    <r>
      <rPr>
        <sz val="6"/>
        <color indexed="8"/>
        <rFont val="Arial"/>
        <family val="2"/>
      </rPr>
      <t>R</t>
    </r>
    <r>
      <rPr>
        <sz val="6"/>
        <color indexed="8"/>
        <rFont val="Arial"/>
        <family val="2"/>
      </rPr>
      <t>I</t>
    </r>
    <r>
      <rPr>
        <sz val="6"/>
        <color indexed="8"/>
        <rFont val="Arial"/>
        <family val="2"/>
      </rPr>
      <t>O</t>
    </r>
    <r>
      <rPr>
        <sz val="6"/>
        <color indexed="8"/>
        <rFont val="Arial"/>
        <family val="2"/>
      </rPr>
      <t>)</t>
    </r>
    <r>
      <rPr>
        <sz val="6"/>
        <color indexed="8"/>
        <rFont val="Arial"/>
        <family val="2"/>
      </rPr>
      <t>,</t>
    </r>
    <r>
      <rPr>
        <sz val="6"/>
        <color indexed="8"/>
        <rFont val="Arial"/>
        <family val="2"/>
      </rPr>
      <t xml:space="preserve"> </t>
    </r>
    <r>
      <rPr>
        <sz val="6"/>
        <color indexed="8"/>
        <rFont val="Arial"/>
        <family val="2"/>
      </rPr>
      <t>EM</t>
    </r>
    <r>
      <rPr>
        <sz val="6"/>
        <color indexed="8"/>
        <rFont val="Arial"/>
        <family val="2"/>
      </rPr>
      <t xml:space="preserve"> </t>
    </r>
    <r>
      <rPr>
        <sz val="6"/>
        <color indexed="8"/>
        <rFont val="Arial"/>
        <family val="2"/>
      </rPr>
      <t>C</t>
    </r>
    <r>
      <rPr>
        <sz val="6"/>
        <color indexed="8"/>
        <rFont val="Arial"/>
        <family val="2"/>
      </rPr>
      <t>A</t>
    </r>
    <r>
      <rPr>
        <sz val="6"/>
        <color indexed="8"/>
        <rFont val="Arial"/>
        <family val="2"/>
      </rPr>
      <t>M</t>
    </r>
    <r>
      <rPr>
        <sz val="6"/>
        <color indexed="8"/>
        <rFont val="Arial"/>
        <family val="2"/>
      </rPr>
      <t>A</t>
    </r>
    <r>
      <rPr>
        <sz val="6"/>
        <color indexed="8"/>
        <rFont val="Arial"/>
        <family val="2"/>
      </rPr>
      <t>D</t>
    </r>
    <r>
      <rPr>
        <sz val="6"/>
        <color indexed="8"/>
        <rFont val="Arial"/>
        <family val="2"/>
      </rPr>
      <t>AS</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A</t>
    </r>
    <r>
      <rPr>
        <sz val="6"/>
        <color indexed="8"/>
        <rFont val="Arial"/>
        <family val="2"/>
      </rPr>
      <t>T</t>
    </r>
    <r>
      <rPr>
        <sz val="6"/>
        <color indexed="8"/>
        <rFont val="Arial"/>
        <family val="2"/>
      </rPr>
      <t>É</t>
    </r>
    <r>
      <rPr>
        <sz val="6"/>
        <color indexed="8"/>
        <rFont val="Arial"/>
        <family val="2"/>
      </rPr>
      <t xml:space="preserve"> </t>
    </r>
    <r>
      <rPr>
        <sz val="6"/>
        <color indexed="8"/>
        <rFont val="Arial"/>
        <family val="2"/>
      </rPr>
      <t>3</t>
    </r>
    <r>
      <rPr>
        <sz val="6"/>
        <color indexed="8"/>
        <rFont val="Arial"/>
        <family val="2"/>
      </rPr>
      <t>0</t>
    </r>
    <r>
      <rPr>
        <sz val="6"/>
        <color indexed="8"/>
        <rFont val="Arial"/>
        <family val="2"/>
      </rPr>
      <t xml:space="preserve"> </t>
    </r>
    <r>
      <rPr>
        <sz val="6"/>
        <color indexed="8"/>
        <rFont val="Arial"/>
        <family val="2"/>
      </rPr>
      <t>C</t>
    </r>
    <r>
      <rPr>
        <sz val="6"/>
        <color indexed="8"/>
        <rFont val="Arial"/>
        <family val="2"/>
      </rPr>
      <t>M</t>
    </r>
  </si>
  <si>
    <t>REATERRO  MECANIZADO  SEM COMPACTAÇÃO</t>
  </si>
  <si>
    <t>ESCAVAÇÃO  MECANIZADA  DE VALA COM ESCAVADEIRA HIDRÁULICA  (CAPACIDADE DA CAÇAMBA:  0,8 M3 / POTÊNCIA:  105 HP), EM SOLO DE 1ª CATEGORIA  COM NÍVEL ALTO DE INTERFERÊNCIAS - PROFUNDIDADE ATÉ 2,0 M</t>
  </si>
  <si>
    <t>ESCAVAÇÃO  MECANIZADA  DE VALA COM ESCAVADEIRA HIDRÁULICA  (CAPACIDADE DA CAÇAMBA:  0,8 M3 / POTÊNCIA:  105 HP), EM SOLO DE 1ª CATEGORIA  COM NÍVEL ALTO DE INTERFERÊNCIAS - PROFUNDIDADE DE 2,0 A 4,0 M</t>
  </si>
  <si>
    <t>ESCAVAÇÃO  MECANIZADA  DE VALA COM ESCAVADEIRA HIDRÁULICA  (CAPACIDADE DA CAÇAMBA:  0,8 M3 / POTÊNCIA:  105 HP), EM SOLO DE 1ª CATEGORIA  COM NÍVEL ALTO DE INTERFERÊNCIAS - PROFUNDIDADE DE 4,0 A 6,0 M</t>
  </si>
  <si>
    <t>ESCAVAÇÃO  MECANIZADA  DE  VALA  COM  RETROESCAVADEIRA  (CAPACIDADE DA  CAÇAMBA:  0,198  M3 / POTÊNCIA:  86 CV), EM SOLO DE 1ª CATEGORIA  COM NÍVEL ALTO DE INTERFERÊNCIAS -  PROFUNDIDADE ATÉ 2,0 M</t>
  </si>
  <si>
    <t>ESCAVAÇÃO  MECANIZADA  DE  VALA  COM  RETROESCAVADEIRA  (CAPACIDADE DA  CAÇAMBA:  0,198  M3 / POTÊNCIA:  86 CV), EM SOLO DE 1ª CATEGORIA  COM NÍVEL ALTO DE INTERFERÊNCIAS -  PROFUNDIDADE DE 2,0 A 4,0 M</t>
  </si>
  <si>
    <t>ESCAVAÇÃO  MECANIZADA  DE  VALA  COM  RETROESCAVADEIRA  (CAPACIDADE DA  CAÇAMBA:  0,198  M3 / POTÊNCIA:  86 CV), EM SOLO DE 2ª CATEGORIA  COM NÍVEL ALTO DE INTERFERÊNCIAS -  PROFUNDIDADE ATÉ 2,0 M</t>
  </si>
  <si>
    <t>ESCAVAÇÃO  MECANIZADA  DE  VALA  COM  RETROESCAVADEIRA  (CAPACIDADE DA  CAÇAMBA:  0,198  M3 / POTÊNCIA:  86 CV), EM SOLO DE 2ª CATEGORIA  COM NÍVEL ALTO DE INTERFERÊNCIAS -  PROFUNDIDADE DE 2,0 A 4,0 M</t>
  </si>
  <si>
    <t>ESCAVAÇÃO  MECANIZADA   DE  VALA  COM  RETROESCAVADEIRA  (CAPACIDADE DA  CAÇAMBA:  0,198  M3 /
POTÊNCIA:  86 CV), EM SOLO MOLE COM NÍVEL ALTO DE INTERFERÊNCIAS -  PROFUNDIDADE ATÉ 2,0 M</t>
  </si>
  <si>
    <t>ESCAVAÇÃO  MECANIZADA  DE  VALA  COM  RETROESCAVADEIRA  (CAPACIDADE DA  CAÇAMBA:  0,198  M3 / POTÊNCIA:  86 CV), EM SOLO MOLE COM NÍVEL ALTO DE INTERFERÊNCIAS -  PROFUNDIDADE DE 2,0 A 4,0 M</t>
  </si>
  <si>
    <t>ESCAVAÇÃO  MECANIZADA  DE VALA COM ESCAVADEIRA HIDRÁULICA  (CAPACIDADE DA CAÇAMBA:  0,8 M3 / POTÊNCIA:  105 HP), EM SOLO DE 2ª CATEGORIA  COM NÍVEL ALTO DE INTERFERÊNCIAS -  PROFUNDIDADE ATÉ 2,0 M</t>
  </si>
  <si>
    <t>ESCAVAÇÃO  MECANIZADA  DE VALA COM ESCAVADEIRA HIDRÁULICA  (CAPACIDADE DA CAÇAMBA:  0,8 M3 / POTÊNCIA:  105 HP), EM SOLO DE 2ª CATEGORIA  COM NÍVEL ALTO DE INTERFERÊNCIAS -  PROFUNDIDADE DE 2,0 A 4,0 M</t>
  </si>
  <si>
    <t>ESCAVAÇÃO  MECANIZADA  DE VALA COM ESCAVADEIRA HIDRÁULICA  (CAPACIDADE DA CAÇAMBA:  0,8 M3 /POTÊNCIA:  105 HP), EM SOLO DE 2ª CATEGORIA  COM NÍVEL ALTO DE INTERFERÊNCIAS -  PROFUNDIDADE DE 4,0 A 6,0 M</t>
  </si>
  <si>
    <t>ESCAVAÇÃO MECANIZADA DE VALA COM ESCAVADEIRA HIDRÁULICA (CAPACIDADE DA CAÇAMBA: 0,8 M3 /
POTÊNCIA: 105 HP), EM SOLO MOLE COM NÍVEL ALTO DE INTERFERÊNCIAS - PROFUNDIDADE ATÉ 2,0 M</t>
  </si>
  <si>
    <t>ESCAVAÇÃO  MECANIZADA  DE VALA COM ESCAVADEIRA HIDRÁULICA  (CAPACIDADE DA CAÇAMBA:  0,8 M3 / POTÊNCIA:  105 HP), EM SOLO MOLE COM NÍVEL ALTO DE INTERFERÊNCIAS -  PROFUNDIDADE DE 2,0 A 4,0 M</t>
  </si>
  <si>
    <t>ESCAVAÇÃO  MECANIZADA  DE VALA COM ESCAVADEIRA HIDRÁULICA  (CAPACIDADE DA CAÇAMBA:  0,8 M3 /POTÊNCIA:  105 HP), EM SOLO MOLE COM NÍVEL ALTO DE INTERFERÊNCIAS -  PROFUNDIDADE DE 4,0 A 6,0 m</t>
  </si>
  <si>
    <r>
      <rPr>
        <b/>
        <sz val="6"/>
        <color indexed="8"/>
        <rFont val="Arial"/>
        <family val="2"/>
      </rPr>
      <t>ES</t>
    </r>
    <r>
      <rPr>
        <b/>
        <sz val="6"/>
        <color indexed="8"/>
        <rFont val="Arial"/>
        <family val="2"/>
      </rPr>
      <t>C</t>
    </r>
    <r>
      <rPr>
        <b/>
        <sz val="6"/>
        <color indexed="8"/>
        <rFont val="Arial"/>
        <family val="2"/>
      </rPr>
      <t>O</t>
    </r>
    <r>
      <rPr>
        <b/>
        <sz val="6"/>
        <color indexed="8"/>
        <rFont val="Arial"/>
        <family val="2"/>
      </rPr>
      <t>R</t>
    </r>
    <r>
      <rPr>
        <b/>
        <sz val="6"/>
        <color indexed="8"/>
        <rFont val="Arial"/>
        <family val="2"/>
      </rPr>
      <t>A</t>
    </r>
    <r>
      <rPr>
        <b/>
        <sz val="6"/>
        <color indexed="8"/>
        <rFont val="Arial"/>
        <family val="2"/>
      </rPr>
      <t>M</t>
    </r>
    <r>
      <rPr>
        <b/>
        <sz val="6"/>
        <color indexed="8"/>
        <rFont val="Arial"/>
        <family val="2"/>
      </rPr>
      <t>E</t>
    </r>
    <r>
      <rPr>
        <b/>
        <sz val="6"/>
        <color indexed="8"/>
        <rFont val="Arial"/>
        <family val="2"/>
      </rPr>
      <t>N</t>
    </r>
    <r>
      <rPr>
        <b/>
        <sz val="6"/>
        <color indexed="8"/>
        <rFont val="Arial"/>
        <family val="2"/>
      </rPr>
      <t>T</t>
    </r>
    <r>
      <rPr>
        <b/>
        <sz val="6"/>
        <color indexed="8"/>
        <rFont val="Arial"/>
        <family val="2"/>
      </rPr>
      <t>O</t>
    </r>
    <r>
      <rPr>
        <b/>
        <sz val="6"/>
        <color indexed="8"/>
        <rFont val="Arial"/>
        <family val="2"/>
      </rPr>
      <t xml:space="preserve"> </t>
    </r>
    <r>
      <rPr>
        <b/>
        <sz val="6"/>
        <color indexed="8"/>
        <rFont val="Arial"/>
        <family val="2"/>
      </rPr>
      <t>D</t>
    </r>
    <r>
      <rPr>
        <b/>
        <sz val="6"/>
        <color indexed="8"/>
        <rFont val="Arial"/>
        <family val="2"/>
      </rPr>
      <t>E</t>
    </r>
    <r>
      <rPr>
        <b/>
        <sz val="6"/>
        <color indexed="8"/>
        <rFont val="Arial"/>
        <family val="2"/>
      </rPr>
      <t xml:space="preserve"> </t>
    </r>
    <r>
      <rPr>
        <b/>
        <sz val="6"/>
        <color indexed="8"/>
        <rFont val="Arial"/>
        <family val="2"/>
      </rPr>
      <t>V</t>
    </r>
    <r>
      <rPr>
        <b/>
        <sz val="6"/>
        <color indexed="8"/>
        <rFont val="Arial"/>
        <family val="2"/>
      </rPr>
      <t>A</t>
    </r>
    <r>
      <rPr>
        <b/>
        <sz val="6"/>
        <color indexed="8"/>
        <rFont val="Arial"/>
        <family val="2"/>
      </rPr>
      <t>L</t>
    </r>
    <r>
      <rPr>
        <b/>
        <sz val="6"/>
        <color indexed="8"/>
        <rFont val="Arial"/>
        <family val="2"/>
      </rPr>
      <t>A</t>
    </r>
    <r>
      <rPr>
        <b/>
        <sz val="6"/>
        <color indexed="8"/>
        <rFont val="Arial"/>
        <family val="2"/>
      </rPr>
      <t>S</t>
    </r>
    <r>
      <rPr>
        <b/>
        <sz val="6"/>
        <color indexed="8"/>
        <rFont val="Arial"/>
        <family val="2"/>
      </rPr>
      <t xml:space="preserve"> </t>
    </r>
    <r>
      <rPr>
        <b/>
        <sz val="6"/>
        <color indexed="8"/>
        <rFont val="Arial"/>
        <family val="2"/>
      </rPr>
      <t>/</t>
    </r>
    <r>
      <rPr>
        <b/>
        <sz val="6"/>
        <color indexed="8"/>
        <rFont val="Arial"/>
        <family val="2"/>
      </rPr>
      <t xml:space="preserve"> </t>
    </r>
    <r>
      <rPr>
        <b/>
        <sz val="6"/>
        <color indexed="8"/>
        <rFont val="Arial"/>
        <family val="2"/>
      </rPr>
      <t>C</t>
    </r>
    <r>
      <rPr>
        <b/>
        <sz val="6"/>
        <color indexed="8"/>
        <rFont val="Arial"/>
        <family val="2"/>
      </rPr>
      <t>A</t>
    </r>
    <r>
      <rPr>
        <b/>
        <sz val="6"/>
        <color indexed="8"/>
        <rFont val="Arial"/>
        <family val="2"/>
      </rPr>
      <t>V</t>
    </r>
    <r>
      <rPr>
        <b/>
        <sz val="6"/>
        <color indexed="8"/>
        <rFont val="Arial"/>
        <family val="2"/>
      </rPr>
      <t>A</t>
    </r>
    <r>
      <rPr>
        <b/>
        <sz val="6"/>
        <color indexed="8"/>
        <rFont val="Arial"/>
        <family val="2"/>
      </rPr>
      <t>S</t>
    </r>
  </si>
  <si>
    <t>ESCORAMENTO CONTÍNUO   EM VALAS COM RETIRADA  MATERIAL   - REAPROVEITAMENTO DE 5 VEZES</t>
  </si>
  <si>
    <t>ESCORAMENTO DESCONTÍNUO  EM VALAS COM RETIRADA  MATERIAL   - REAPROVEITAMENTO DE 5 VEZES</t>
  </si>
  <si>
    <r>
      <rPr>
        <b/>
        <sz val="6"/>
        <color indexed="8"/>
        <rFont val="Arial"/>
        <family val="2"/>
      </rPr>
      <t>C</t>
    </r>
    <r>
      <rPr>
        <b/>
        <sz val="6"/>
        <color indexed="8"/>
        <rFont val="Arial"/>
        <family val="2"/>
      </rPr>
      <t>A</t>
    </r>
    <r>
      <rPr>
        <b/>
        <sz val="6"/>
        <color indexed="8"/>
        <rFont val="Arial"/>
        <family val="2"/>
      </rPr>
      <t>R</t>
    </r>
    <r>
      <rPr>
        <b/>
        <sz val="6"/>
        <color indexed="8"/>
        <rFont val="Arial"/>
        <family val="2"/>
      </rPr>
      <t>G</t>
    </r>
    <r>
      <rPr>
        <b/>
        <sz val="6"/>
        <color indexed="8"/>
        <rFont val="Arial"/>
        <family val="2"/>
      </rPr>
      <t>A</t>
    </r>
    <r>
      <rPr>
        <b/>
        <sz val="6"/>
        <color indexed="8"/>
        <rFont val="Arial"/>
        <family val="2"/>
      </rPr>
      <t>,</t>
    </r>
    <r>
      <rPr>
        <b/>
        <sz val="6"/>
        <color indexed="8"/>
        <rFont val="Arial"/>
        <family val="2"/>
      </rPr>
      <t xml:space="preserve"> </t>
    </r>
    <r>
      <rPr>
        <b/>
        <sz val="6"/>
        <color indexed="8"/>
        <rFont val="Arial"/>
        <family val="2"/>
      </rPr>
      <t>T</t>
    </r>
    <r>
      <rPr>
        <b/>
        <sz val="6"/>
        <color indexed="8"/>
        <rFont val="Arial"/>
        <family val="2"/>
      </rPr>
      <t>R</t>
    </r>
    <r>
      <rPr>
        <b/>
        <sz val="6"/>
        <color indexed="8"/>
        <rFont val="Arial"/>
        <family val="2"/>
      </rPr>
      <t>A</t>
    </r>
    <r>
      <rPr>
        <b/>
        <sz val="6"/>
        <color indexed="8"/>
        <rFont val="Arial"/>
        <family val="2"/>
      </rPr>
      <t>N</t>
    </r>
    <r>
      <rPr>
        <b/>
        <sz val="6"/>
        <color indexed="8"/>
        <rFont val="Arial"/>
        <family val="2"/>
      </rPr>
      <t>SPO</t>
    </r>
    <r>
      <rPr>
        <b/>
        <sz val="6"/>
        <color indexed="8"/>
        <rFont val="Arial"/>
        <family val="2"/>
      </rPr>
      <t>R</t>
    </r>
    <r>
      <rPr>
        <b/>
        <sz val="6"/>
        <color indexed="8"/>
        <rFont val="Arial"/>
        <family val="2"/>
      </rPr>
      <t>T</t>
    </r>
    <r>
      <rPr>
        <b/>
        <sz val="6"/>
        <color indexed="8"/>
        <rFont val="Arial"/>
        <family val="2"/>
      </rPr>
      <t>ES</t>
    </r>
    <r>
      <rPr>
        <b/>
        <sz val="6"/>
        <color indexed="8"/>
        <rFont val="Arial"/>
        <family val="2"/>
      </rPr>
      <t xml:space="preserve"> </t>
    </r>
    <r>
      <rPr>
        <b/>
        <sz val="6"/>
        <color indexed="8"/>
        <rFont val="Arial"/>
        <family val="2"/>
      </rPr>
      <t>E</t>
    </r>
    <r>
      <rPr>
        <b/>
        <sz val="6"/>
        <color indexed="8"/>
        <rFont val="Arial"/>
        <family val="2"/>
      </rPr>
      <t xml:space="preserve"> </t>
    </r>
    <r>
      <rPr>
        <b/>
        <sz val="6"/>
        <color indexed="8"/>
        <rFont val="Arial"/>
        <family val="2"/>
      </rPr>
      <t>D</t>
    </r>
    <r>
      <rPr>
        <b/>
        <sz val="6"/>
        <color indexed="8"/>
        <rFont val="Arial"/>
        <family val="2"/>
      </rPr>
      <t>ES</t>
    </r>
    <r>
      <rPr>
        <b/>
        <sz val="6"/>
        <color indexed="8"/>
        <rFont val="Arial"/>
        <family val="2"/>
      </rPr>
      <t>C</t>
    </r>
    <r>
      <rPr>
        <b/>
        <sz val="6"/>
        <color indexed="8"/>
        <rFont val="Arial"/>
        <family val="2"/>
      </rPr>
      <t>A</t>
    </r>
    <r>
      <rPr>
        <b/>
        <sz val="6"/>
        <color indexed="8"/>
        <rFont val="Arial"/>
        <family val="2"/>
      </rPr>
      <t>R</t>
    </r>
    <r>
      <rPr>
        <b/>
        <sz val="6"/>
        <color indexed="8"/>
        <rFont val="Arial"/>
        <family val="2"/>
      </rPr>
      <t>GA</t>
    </r>
    <r>
      <rPr>
        <b/>
        <sz val="6"/>
        <color indexed="8"/>
        <rFont val="Arial"/>
        <family val="2"/>
      </rPr>
      <t xml:space="preserve"> </t>
    </r>
    <r>
      <rPr>
        <b/>
        <sz val="6"/>
        <color indexed="8"/>
        <rFont val="Arial"/>
        <family val="2"/>
      </rPr>
      <t xml:space="preserve"> </t>
    </r>
    <r>
      <rPr>
        <b/>
        <sz val="6"/>
        <color indexed="8"/>
        <rFont val="Arial"/>
        <family val="2"/>
      </rPr>
      <t>D</t>
    </r>
    <r>
      <rPr>
        <b/>
        <sz val="6"/>
        <color indexed="8"/>
        <rFont val="Arial"/>
        <family val="2"/>
      </rPr>
      <t>E</t>
    </r>
    <r>
      <rPr>
        <b/>
        <sz val="6"/>
        <color indexed="8"/>
        <rFont val="Arial"/>
        <family val="2"/>
      </rPr>
      <t xml:space="preserve"> </t>
    </r>
    <r>
      <rPr>
        <b/>
        <sz val="6"/>
        <color indexed="8"/>
        <rFont val="Arial"/>
        <family val="2"/>
      </rPr>
      <t>M</t>
    </r>
    <r>
      <rPr>
        <b/>
        <sz val="6"/>
        <color indexed="8"/>
        <rFont val="Arial"/>
        <family val="2"/>
      </rPr>
      <t>A</t>
    </r>
    <r>
      <rPr>
        <b/>
        <sz val="6"/>
        <color indexed="8"/>
        <rFont val="Arial"/>
        <family val="2"/>
      </rPr>
      <t>T</t>
    </r>
    <r>
      <rPr>
        <b/>
        <sz val="6"/>
        <color indexed="8"/>
        <rFont val="Arial"/>
        <family val="2"/>
      </rPr>
      <t>E</t>
    </r>
    <r>
      <rPr>
        <b/>
        <sz val="6"/>
        <color indexed="8"/>
        <rFont val="Arial"/>
        <family val="2"/>
      </rPr>
      <t>R</t>
    </r>
    <r>
      <rPr>
        <b/>
        <sz val="6"/>
        <color indexed="8"/>
        <rFont val="Arial"/>
        <family val="2"/>
      </rPr>
      <t>I</t>
    </r>
    <r>
      <rPr>
        <b/>
        <sz val="6"/>
        <color indexed="8"/>
        <rFont val="Arial"/>
        <family val="2"/>
      </rPr>
      <t>A</t>
    </r>
    <r>
      <rPr>
        <b/>
        <sz val="6"/>
        <color indexed="8"/>
        <rFont val="Arial"/>
        <family val="2"/>
      </rPr>
      <t>L</t>
    </r>
    <r>
      <rPr>
        <b/>
        <sz val="6"/>
        <color indexed="8"/>
        <rFont val="Arial"/>
        <family val="2"/>
      </rPr>
      <t xml:space="preserve"> </t>
    </r>
    <r>
      <rPr>
        <b/>
        <sz val="6"/>
        <color indexed="8"/>
        <rFont val="Arial"/>
        <family val="2"/>
      </rPr>
      <t>ES</t>
    </r>
    <r>
      <rPr>
        <b/>
        <sz val="6"/>
        <color indexed="8"/>
        <rFont val="Arial"/>
        <family val="2"/>
      </rPr>
      <t>C</t>
    </r>
    <r>
      <rPr>
        <b/>
        <sz val="6"/>
        <color indexed="8"/>
        <rFont val="Arial"/>
        <family val="2"/>
      </rPr>
      <t>A</t>
    </r>
    <r>
      <rPr>
        <b/>
        <sz val="6"/>
        <color indexed="8"/>
        <rFont val="Arial"/>
        <family val="2"/>
      </rPr>
      <t>V</t>
    </r>
    <r>
      <rPr>
        <b/>
        <sz val="6"/>
        <color indexed="8"/>
        <rFont val="Arial"/>
        <family val="2"/>
      </rPr>
      <t>A</t>
    </r>
    <r>
      <rPr>
        <b/>
        <sz val="6"/>
        <color indexed="8"/>
        <rFont val="Arial"/>
        <family val="2"/>
      </rPr>
      <t>D</t>
    </r>
    <r>
      <rPr>
        <b/>
        <sz val="6"/>
        <color indexed="8"/>
        <rFont val="Arial"/>
        <family val="2"/>
      </rPr>
      <t>O(</t>
    </r>
    <r>
      <rPr>
        <b/>
        <sz val="6"/>
        <color indexed="8"/>
        <rFont val="Arial"/>
        <family val="2"/>
      </rPr>
      <t>B</t>
    </r>
    <r>
      <rPr>
        <b/>
        <sz val="6"/>
        <color indexed="8"/>
        <rFont val="Arial"/>
        <family val="2"/>
      </rPr>
      <t>O</t>
    </r>
    <r>
      <rPr>
        <b/>
        <sz val="6"/>
        <color indexed="8"/>
        <rFont val="Arial"/>
        <family val="2"/>
      </rPr>
      <t>T</t>
    </r>
    <r>
      <rPr>
        <b/>
        <sz val="6"/>
        <color indexed="8"/>
        <rFont val="Arial"/>
        <family val="2"/>
      </rPr>
      <t>A</t>
    </r>
    <r>
      <rPr>
        <b/>
        <sz val="6"/>
        <color indexed="8"/>
        <rFont val="Arial"/>
        <family val="2"/>
      </rPr>
      <t>-</t>
    </r>
    <r>
      <rPr>
        <b/>
        <sz val="6"/>
        <color indexed="8"/>
        <rFont val="Arial"/>
        <family val="2"/>
      </rPr>
      <t>F</t>
    </r>
    <r>
      <rPr>
        <b/>
        <sz val="6"/>
        <color indexed="8"/>
        <rFont val="Arial"/>
        <family val="2"/>
      </rPr>
      <t>O</t>
    </r>
    <r>
      <rPr>
        <b/>
        <sz val="6"/>
        <color indexed="8"/>
        <rFont val="Arial"/>
        <family val="2"/>
      </rPr>
      <t>R</t>
    </r>
    <r>
      <rPr>
        <b/>
        <sz val="6"/>
        <color indexed="8"/>
        <rFont val="Arial"/>
        <family val="2"/>
      </rPr>
      <t>A</t>
    </r>
    <r>
      <rPr>
        <b/>
        <sz val="6"/>
        <color indexed="8"/>
        <rFont val="Arial"/>
        <family val="2"/>
      </rPr>
      <t>)</t>
    </r>
  </si>
  <si>
    <t>CARGA MANUAL ENTULHOS  EM CAMINHÃO  BASCULANTE</t>
  </si>
  <si>
    <t>CARGA MANUAL ROCHA EM CAMINHÃO  BASCULANTE = 6,5 TON.</t>
  </si>
  <si>
    <t>CARGA MANUAL TERRA EM CAMINHÃO  BASCULANTE</t>
  </si>
  <si>
    <t>CARGA MECANIZADA   (COM PÁ CARREGADEIRA) EM CAMINHÃO  BASCULANTE - MATERIAL DE ENTULHO</t>
  </si>
  <si>
    <t>CARGA  MECANIZADA    (COM PÁ CARREGADEIRA) EM CAMINHÃO  BASCULANTE CAP. 10M3 - MATERIAL  DE ENTULHO</t>
  </si>
  <si>
    <r>
      <rPr>
        <sz val="6"/>
        <color indexed="8"/>
        <rFont val="Arial"/>
        <family val="2"/>
      </rPr>
      <t>C</t>
    </r>
    <r>
      <rPr>
        <sz val="6"/>
        <color indexed="8"/>
        <rFont val="Arial"/>
        <family val="2"/>
      </rPr>
      <t>A</t>
    </r>
    <r>
      <rPr>
        <sz val="6"/>
        <color indexed="8"/>
        <rFont val="Arial"/>
        <family val="2"/>
      </rPr>
      <t>R</t>
    </r>
    <r>
      <rPr>
        <sz val="6"/>
        <color indexed="8"/>
        <rFont val="Arial"/>
        <family val="2"/>
      </rPr>
      <t>GA</t>
    </r>
    <r>
      <rPr>
        <sz val="6"/>
        <color indexed="8"/>
        <rFont val="Arial"/>
        <family val="2"/>
      </rPr>
      <t xml:space="preserve"> </t>
    </r>
    <r>
      <rPr>
        <sz val="6"/>
        <color indexed="8"/>
        <rFont val="Arial"/>
        <family val="2"/>
      </rPr>
      <t xml:space="preserve"> </t>
    </r>
    <r>
      <rPr>
        <sz val="6"/>
        <color indexed="8"/>
        <rFont val="Arial"/>
        <family val="2"/>
      </rPr>
      <t>M</t>
    </r>
    <r>
      <rPr>
        <sz val="6"/>
        <color indexed="8"/>
        <rFont val="Arial"/>
        <family val="2"/>
      </rPr>
      <t>E</t>
    </r>
    <r>
      <rPr>
        <sz val="6"/>
        <color indexed="8"/>
        <rFont val="Arial"/>
        <family val="2"/>
      </rPr>
      <t>C</t>
    </r>
    <r>
      <rPr>
        <sz val="6"/>
        <color indexed="8"/>
        <rFont val="Arial"/>
        <family val="2"/>
      </rPr>
      <t>A</t>
    </r>
    <r>
      <rPr>
        <sz val="6"/>
        <color indexed="8"/>
        <rFont val="Arial"/>
        <family val="2"/>
      </rPr>
      <t>N</t>
    </r>
    <r>
      <rPr>
        <sz val="6"/>
        <color indexed="8"/>
        <rFont val="Arial"/>
        <family val="2"/>
      </rPr>
      <t>I</t>
    </r>
    <r>
      <rPr>
        <sz val="6"/>
        <color indexed="8"/>
        <rFont val="Arial"/>
        <family val="2"/>
      </rPr>
      <t>Z</t>
    </r>
    <r>
      <rPr>
        <sz val="6"/>
        <color indexed="8"/>
        <rFont val="Arial"/>
        <family val="2"/>
      </rPr>
      <t>A</t>
    </r>
    <r>
      <rPr>
        <sz val="6"/>
        <color indexed="8"/>
        <rFont val="Arial"/>
        <family val="2"/>
      </rPr>
      <t>D</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t>
    </r>
    <r>
      <rPr>
        <sz val="6"/>
        <color indexed="8"/>
        <rFont val="Arial"/>
        <family val="2"/>
      </rPr>
      <t>C</t>
    </r>
    <r>
      <rPr>
        <sz val="6"/>
        <color indexed="8"/>
        <rFont val="Arial"/>
        <family val="2"/>
      </rPr>
      <t>O</t>
    </r>
    <r>
      <rPr>
        <sz val="6"/>
        <color indexed="8"/>
        <rFont val="Arial"/>
        <family val="2"/>
      </rPr>
      <t>M</t>
    </r>
    <r>
      <rPr>
        <sz val="6"/>
        <color indexed="8"/>
        <rFont val="Arial"/>
        <family val="2"/>
      </rPr>
      <t xml:space="preserve"> </t>
    </r>
    <r>
      <rPr>
        <sz val="6"/>
        <color indexed="8"/>
        <rFont val="Arial"/>
        <family val="2"/>
      </rPr>
      <t xml:space="preserve"> </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PÁ</t>
    </r>
    <r>
      <rPr>
        <sz val="6"/>
        <color indexed="8"/>
        <rFont val="Arial"/>
        <family val="2"/>
      </rPr>
      <t xml:space="preserve"> </t>
    </r>
    <r>
      <rPr>
        <sz val="6"/>
        <color indexed="8"/>
        <rFont val="Arial"/>
        <family val="2"/>
      </rPr>
      <t xml:space="preserve"> </t>
    </r>
    <r>
      <rPr>
        <sz val="6"/>
        <color indexed="8"/>
        <rFont val="Arial"/>
        <family val="2"/>
      </rPr>
      <t>F</t>
    </r>
    <r>
      <rPr>
        <sz val="6"/>
        <color indexed="8"/>
        <rFont val="Arial"/>
        <family val="2"/>
      </rPr>
      <t>R</t>
    </r>
    <r>
      <rPr>
        <sz val="6"/>
        <color indexed="8"/>
        <rFont val="Arial"/>
        <family val="2"/>
      </rPr>
      <t>O</t>
    </r>
    <r>
      <rPr>
        <sz val="6"/>
        <color indexed="8"/>
        <rFont val="Arial"/>
        <family val="2"/>
      </rPr>
      <t>N</t>
    </r>
    <r>
      <rPr>
        <sz val="6"/>
        <color indexed="8"/>
        <rFont val="Arial"/>
        <family val="2"/>
      </rPr>
      <t>T</t>
    </r>
    <r>
      <rPr>
        <sz val="6"/>
        <color indexed="8"/>
        <rFont val="Arial"/>
        <family val="2"/>
      </rPr>
      <t>AL</t>
    </r>
    <r>
      <rPr>
        <sz val="6"/>
        <color indexed="8"/>
        <rFont val="Arial"/>
        <family val="2"/>
      </rPr>
      <t xml:space="preserve">  </t>
    </r>
    <r>
      <rPr>
        <sz val="6"/>
        <color indexed="8"/>
        <rFont val="Arial"/>
        <family val="2"/>
      </rPr>
      <t xml:space="preserve"> </t>
    </r>
    <r>
      <rPr>
        <sz val="6"/>
        <color indexed="8"/>
        <rFont val="Arial"/>
        <family val="2"/>
      </rPr>
      <t>D</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R</t>
    </r>
    <r>
      <rPr>
        <sz val="6"/>
        <color indexed="8"/>
        <rFont val="Arial"/>
        <family val="2"/>
      </rPr>
      <t>E</t>
    </r>
    <r>
      <rPr>
        <sz val="6"/>
        <color indexed="8"/>
        <rFont val="Arial"/>
        <family val="2"/>
      </rPr>
      <t>T</t>
    </r>
    <r>
      <rPr>
        <sz val="6"/>
        <color indexed="8"/>
        <rFont val="Arial"/>
        <family val="2"/>
      </rPr>
      <t>R</t>
    </r>
    <r>
      <rPr>
        <sz val="6"/>
        <color indexed="8"/>
        <rFont val="Arial"/>
        <family val="2"/>
      </rPr>
      <t>O</t>
    </r>
    <r>
      <rPr>
        <sz val="6"/>
        <color indexed="8"/>
        <rFont val="Arial"/>
        <family val="2"/>
      </rPr>
      <t>E</t>
    </r>
    <r>
      <rPr>
        <sz val="6"/>
        <color indexed="8"/>
        <rFont val="Arial"/>
        <family val="2"/>
      </rPr>
      <t>S</t>
    </r>
    <r>
      <rPr>
        <sz val="6"/>
        <color indexed="8"/>
        <rFont val="Arial"/>
        <family val="2"/>
      </rPr>
      <t>C</t>
    </r>
    <r>
      <rPr>
        <sz val="6"/>
        <color indexed="8"/>
        <rFont val="Arial"/>
        <family val="2"/>
      </rPr>
      <t>AV</t>
    </r>
    <r>
      <rPr>
        <sz val="6"/>
        <color indexed="8"/>
        <rFont val="Arial"/>
        <family val="2"/>
      </rPr>
      <t>A</t>
    </r>
    <r>
      <rPr>
        <sz val="6"/>
        <color indexed="8"/>
        <rFont val="Arial"/>
        <family val="2"/>
      </rPr>
      <t>D</t>
    </r>
    <r>
      <rPr>
        <sz val="6"/>
        <color indexed="8"/>
        <rFont val="Arial"/>
        <family val="2"/>
      </rPr>
      <t>E</t>
    </r>
    <r>
      <rPr>
        <sz val="6"/>
        <color indexed="8"/>
        <rFont val="Arial"/>
        <family val="2"/>
      </rPr>
      <t>I</t>
    </r>
    <r>
      <rPr>
        <sz val="6"/>
        <color indexed="8"/>
        <rFont val="Arial"/>
        <family val="2"/>
      </rPr>
      <t>R</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EM</t>
    </r>
    <r>
      <rPr>
        <sz val="6"/>
        <color indexed="8"/>
        <rFont val="Arial"/>
        <family val="2"/>
      </rPr>
      <t xml:space="preserve"> </t>
    </r>
    <r>
      <rPr>
        <sz val="6"/>
        <color indexed="8"/>
        <rFont val="Arial"/>
        <family val="2"/>
      </rPr>
      <t xml:space="preserve"> </t>
    </r>
    <r>
      <rPr>
        <sz val="6"/>
        <color indexed="8"/>
        <rFont val="Arial"/>
        <family val="2"/>
      </rPr>
      <t>C</t>
    </r>
    <r>
      <rPr>
        <sz val="6"/>
        <color indexed="8"/>
        <rFont val="Arial"/>
        <family val="2"/>
      </rPr>
      <t>A</t>
    </r>
    <r>
      <rPr>
        <sz val="6"/>
        <color indexed="8"/>
        <rFont val="Arial"/>
        <family val="2"/>
      </rPr>
      <t>M</t>
    </r>
    <r>
      <rPr>
        <sz val="6"/>
        <color indexed="8"/>
        <rFont val="Arial"/>
        <family val="2"/>
      </rPr>
      <t>I</t>
    </r>
    <r>
      <rPr>
        <sz val="6"/>
        <color indexed="8"/>
        <rFont val="Arial"/>
        <family val="2"/>
      </rPr>
      <t>N</t>
    </r>
    <r>
      <rPr>
        <sz val="6"/>
        <color indexed="8"/>
        <rFont val="Arial"/>
        <family val="2"/>
      </rPr>
      <t>H</t>
    </r>
    <r>
      <rPr>
        <sz val="6"/>
        <color indexed="8"/>
        <rFont val="Arial"/>
        <family val="2"/>
      </rPr>
      <t>ÃO</t>
    </r>
    <r>
      <rPr>
        <sz val="6"/>
        <color indexed="8"/>
        <rFont val="Arial"/>
        <family val="2"/>
      </rPr>
      <t xml:space="preserve">  </t>
    </r>
    <r>
      <rPr>
        <sz val="6"/>
        <color indexed="8"/>
        <rFont val="Arial"/>
        <family val="2"/>
      </rPr>
      <t xml:space="preserve"> </t>
    </r>
    <r>
      <rPr>
        <sz val="6"/>
        <color indexed="8"/>
        <rFont val="Arial"/>
        <family val="2"/>
      </rPr>
      <t>B</t>
    </r>
    <r>
      <rPr>
        <sz val="6"/>
        <color indexed="8"/>
        <rFont val="Arial"/>
        <family val="2"/>
      </rPr>
      <t>A</t>
    </r>
    <r>
      <rPr>
        <sz val="6"/>
        <color indexed="8"/>
        <rFont val="Arial"/>
        <family val="2"/>
      </rPr>
      <t>S</t>
    </r>
    <r>
      <rPr>
        <sz val="6"/>
        <color indexed="8"/>
        <rFont val="Arial"/>
        <family val="2"/>
      </rPr>
      <t>C</t>
    </r>
    <r>
      <rPr>
        <sz val="6"/>
        <color indexed="8"/>
        <rFont val="Arial"/>
        <family val="2"/>
      </rPr>
      <t>U</t>
    </r>
    <r>
      <rPr>
        <sz val="6"/>
        <color indexed="8"/>
        <rFont val="Arial"/>
        <family val="2"/>
      </rPr>
      <t>L</t>
    </r>
    <r>
      <rPr>
        <sz val="6"/>
        <color indexed="8"/>
        <rFont val="Arial"/>
        <family val="2"/>
      </rPr>
      <t>A</t>
    </r>
    <r>
      <rPr>
        <sz val="6"/>
        <color indexed="8"/>
        <rFont val="Arial"/>
        <family val="2"/>
      </rPr>
      <t>N</t>
    </r>
    <r>
      <rPr>
        <sz val="6"/>
        <color indexed="8"/>
        <rFont val="Arial"/>
        <family val="2"/>
      </rPr>
      <t>T</t>
    </r>
    <r>
      <rPr>
        <sz val="6"/>
        <color indexed="8"/>
        <rFont val="Arial"/>
        <family val="2"/>
      </rPr>
      <t>E</t>
    </r>
    <r>
      <rPr>
        <sz val="6"/>
        <color indexed="8"/>
        <rFont val="Arial"/>
        <family val="2"/>
      </rPr>
      <t xml:space="preserve"> </t>
    </r>
    <r>
      <rPr>
        <sz val="6"/>
        <color indexed="8"/>
        <rFont val="Arial"/>
        <family val="2"/>
      </rPr>
      <t xml:space="preserve"> </t>
    </r>
    <r>
      <rPr>
        <sz val="6"/>
        <color indexed="8"/>
        <rFont val="Arial"/>
        <family val="2"/>
      </rPr>
      <t>-</t>
    </r>
    <r>
      <rPr>
        <sz val="6"/>
        <color indexed="8"/>
        <rFont val="Arial"/>
        <family val="2"/>
      </rPr>
      <t xml:space="preserve"> </t>
    </r>
    <r>
      <rPr>
        <sz val="6"/>
        <color indexed="8"/>
        <rFont val="Arial"/>
        <family val="2"/>
      </rPr>
      <t>M</t>
    </r>
    <r>
      <rPr>
        <sz val="6"/>
        <color indexed="8"/>
        <rFont val="Arial"/>
        <family val="2"/>
      </rPr>
      <t>A</t>
    </r>
    <r>
      <rPr>
        <sz val="6"/>
        <color indexed="8"/>
        <rFont val="Arial"/>
        <family val="2"/>
      </rPr>
      <t>T</t>
    </r>
    <r>
      <rPr>
        <sz val="6"/>
        <color indexed="8"/>
        <rFont val="Arial"/>
        <family val="2"/>
      </rPr>
      <t>E</t>
    </r>
    <r>
      <rPr>
        <sz val="6"/>
        <color indexed="8"/>
        <rFont val="Arial"/>
        <family val="2"/>
      </rPr>
      <t>R</t>
    </r>
    <r>
      <rPr>
        <sz val="6"/>
        <color indexed="8"/>
        <rFont val="Arial"/>
        <family val="2"/>
      </rPr>
      <t>I</t>
    </r>
    <r>
      <rPr>
        <sz val="6"/>
        <color indexed="8"/>
        <rFont val="Arial"/>
        <family val="2"/>
      </rPr>
      <t>A</t>
    </r>
    <r>
      <rPr>
        <sz val="6"/>
        <color indexed="8"/>
        <rFont val="Arial"/>
        <family val="2"/>
      </rPr>
      <t>L</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1ª</t>
    </r>
    <r>
      <rPr>
        <sz val="6"/>
        <color indexed="8"/>
        <rFont val="Arial"/>
        <family val="2"/>
      </rPr>
      <t xml:space="preserve"> </t>
    </r>
    <r>
      <rPr>
        <sz val="6"/>
        <color indexed="8"/>
        <rFont val="Arial"/>
        <family val="2"/>
      </rPr>
      <t>C</t>
    </r>
    <r>
      <rPr>
        <sz val="6"/>
        <color indexed="8"/>
        <rFont val="Arial"/>
        <family val="2"/>
      </rPr>
      <t>A</t>
    </r>
    <r>
      <rPr>
        <sz val="6"/>
        <color indexed="8"/>
        <rFont val="Arial"/>
        <family val="2"/>
      </rPr>
      <t>T</t>
    </r>
    <r>
      <rPr>
        <sz val="6"/>
        <color indexed="8"/>
        <rFont val="Arial"/>
        <family val="2"/>
      </rPr>
      <t>EG</t>
    </r>
    <r>
      <rPr>
        <sz val="6"/>
        <color indexed="8"/>
        <rFont val="Arial"/>
        <family val="2"/>
      </rPr>
      <t>O</t>
    </r>
    <r>
      <rPr>
        <sz val="6"/>
        <color indexed="8"/>
        <rFont val="Arial"/>
        <family val="2"/>
      </rPr>
      <t>R</t>
    </r>
    <r>
      <rPr>
        <sz val="6"/>
        <color indexed="8"/>
        <rFont val="Arial"/>
        <family val="2"/>
      </rPr>
      <t>I</t>
    </r>
    <r>
      <rPr>
        <sz val="6"/>
        <color indexed="8"/>
        <rFont val="Arial"/>
        <family val="2"/>
      </rPr>
      <t>A</t>
    </r>
  </si>
  <si>
    <r>
      <rPr>
        <sz val="6"/>
        <color indexed="8"/>
        <rFont val="Arial"/>
        <family val="2"/>
      </rPr>
      <t>C</t>
    </r>
    <r>
      <rPr>
        <sz val="6"/>
        <color indexed="8"/>
        <rFont val="Arial"/>
        <family val="2"/>
      </rPr>
      <t>A</t>
    </r>
    <r>
      <rPr>
        <sz val="6"/>
        <color indexed="8"/>
        <rFont val="Arial"/>
        <family val="2"/>
      </rPr>
      <t>R</t>
    </r>
    <r>
      <rPr>
        <sz val="6"/>
        <color indexed="8"/>
        <rFont val="Arial"/>
        <family val="2"/>
      </rPr>
      <t>GA</t>
    </r>
    <r>
      <rPr>
        <sz val="6"/>
        <color indexed="8"/>
        <rFont val="Arial"/>
        <family val="2"/>
      </rPr>
      <t xml:space="preserve"> </t>
    </r>
    <r>
      <rPr>
        <sz val="6"/>
        <color indexed="8"/>
        <rFont val="Arial"/>
        <family val="2"/>
      </rPr>
      <t xml:space="preserve"> </t>
    </r>
    <r>
      <rPr>
        <sz val="6"/>
        <color indexed="8"/>
        <rFont val="Arial"/>
        <family val="2"/>
      </rPr>
      <t>M</t>
    </r>
    <r>
      <rPr>
        <sz val="6"/>
        <color indexed="8"/>
        <rFont val="Arial"/>
        <family val="2"/>
      </rPr>
      <t>E</t>
    </r>
    <r>
      <rPr>
        <sz val="6"/>
        <color indexed="8"/>
        <rFont val="Arial"/>
        <family val="2"/>
      </rPr>
      <t>C</t>
    </r>
    <r>
      <rPr>
        <sz val="6"/>
        <color indexed="8"/>
        <rFont val="Arial"/>
        <family val="2"/>
      </rPr>
      <t>A</t>
    </r>
    <r>
      <rPr>
        <sz val="6"/>
        <color indexed="8"/>
        <rFont val="Arial"/>
        <family val="2"/>
      </rPr>
      <t>N</t>
    </r>
    <r>
      <rPr>
        <sz val="6"/>
        <color indexed="8"/>
        <rFont val="Arial"/>
        <family val="2"/>
      </rPr>
      <t>I</t>
    </r>
    <r>
      <rPr>
        <sz val="6"/>
        <color indexed="8"/>
        <rFont val="Arial"/>
        <family val="2"/>
      </rPr>
      <t>Z</t>
    </r>
    <r>
      <rPr>
        <sz val="6"/>
        <color indexed="8"/>
        <rFont val="Arial"/>
        <family val="2"/>
      </rPr>
      <t>A</t>
    </r>
    <r>
      <rPr>
        <sz val="6"/>
        <color indexed="8"/>
        <rFont val="Arial"/>
        <family val="2"/>
      </rPr>
      <t>D</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t>
    </r>
    <r>
      <rPr>
        <sz val="6"/>
        <color indexed="8"/>
        <rFont val="Arial"/>
        <family val="2"/>
      </rPr>
      <t>C</t>
    </r>
    <r>
      <rPr>
        <sz val="6"/>
        <color indexed="8"/>
        <rFont val="Arial"/>
        <family val="2"/>
      </rPr>
      <t>O</t>
    </r>
    <r>
      <rPr>
        <sz val="6"/>
        <color indexed="8"/>
        <rFont val="Arial"/>
        <family val="2"/>
      </rPr>
      <t>M</t>
    </r>
    <r>
      <rPr>
        <sz val="6"/>
        <color indexed="8"/>
        <rFont val="Arial"/>
        <family val="2"/>
      </rPr>
      <t xml:space="preserve"> </t>
    </r>
    <r>
      <rPr>
        <sz val="6"/>
        <color indexed="8"/>
        <rFont val="Arial"/>
        <family val="2"/>
      </rPr>
      <t xml:space="preserve"> </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PÁ</t>
    </r>
    <r>
      <rPr>
        <sz val="6"/>
        <color indexed="8"/>
        <rFont val="Arial"/>
        <family val="2"/>
      </rPr>
      <t xml:space="preserve"> </t>
    </r>
    <r>
      <rPr>
        <sz val="6"/>
        <color indexed="8"/>
        <rFont val="Arial"/>
        <family val="2"/>
      </rPr>
      <t xml:space="preserve"> </t>
    </r>
    <r>
      <rPr>
        <sz val="6"/>
        <color indexed="8"/>
        <rFont val="Arial"/>
        <family val="2"/>
      </rPr>
      <t>F</t>
    </r>
    <r>
      <rPr>
        <sz val="6"/>
        <color indexed="8"/>
        <rFont val="Arial"/>
        <family val="2"/>
      </rPr>
      <t>R</t>
    </r>
    <r>
      <rPr>
        <sz val="6"/>
        <color indexed="8"/>
        <rFont val="Arial"/>
        <family val="2"/>
      </rPr>
      <t>O</t>
    </r>
    <r>
      <rPr>
        <sz val="6"/>
        <color indexed="8"/>
        <rFont val="Arial"/>
        <family val="2"/>
      </rPr>
      <t>N</t>
    </r>
    <r>
      <rPr>
        <sz val="6"/>
        <color indexed="8"/>
        <rFont val="Arial"/>
        <family val="2"/>
      </rPr>
      <t>T</t>
    </r>
    <r>
      <rPr>
        <sz val="6"/>
        <color indexed="8"/>
        <rFont val="Arial"/>
        <family val="2"/>
      </rPr>
      <t>AL</t>
    </r>
    <r>
      <rPr>
        <sz val="6"/>
        <color indexed="8"/>
        <rFont val="Arial"/>
        <family val="2"/>
      </rPr>
      <t xml:space="preserve">  </t>
    </r>
    <r>
      <rPr>
        <sz val="6"/>
        <color indexed="8"/>
        <rFont val="Arial"/>
        <family val="2"/>
      </rPr>
      <t xml:space="preserve"> </t>
    </r>
    <r>
      <rPr>
        <sz val="6"/>
        <color indexed="8"/>
        <rFont val="Arial"/>
        <family val="2"/>
      </rPr>
      <t>D</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R</t>
    </r>
    <r>
      <rPr>
        <sz val="6"/>
        <color indexed="8"/>
        <rFont val="Arial"/>
        <family val="2"/>
      </rPr>
      <t>E</t>
    </r>
    <r>
      <rPr>
        <sz val="6"/>
        <color indexed="8"/>
        <rFont val="Arial"/>
        <family val="2"/>
      </rPr>
      <t>T</t>
    </r>
    <r>
      <rPr>
        <sz val="6"/>
        <color indexed="8"/>
        <rFont val="Arial"/>
        <family val="2"/>
      </rPr>
      <t>R</t>
    </r>
    <r>
      <rPr>
        <sz val="6"/>
        <color indexed="8"/>
        <rFont val="Arial"/>
        <family val="2"/>
      </rPr>
      <t>O</t>
    </r>
    <r>
      <rPr>
        <sz val="6"/>
        <color indexed="8"/>
        <rFont val="Arial"/>
        <family val="2"/>
      </rPr>
      <t>E</t>
    </r>
    <r>
      <rPr>
        <sz val="6"/>
        <color indexed="8"/>
        <rFont val="Arial"/>
        <family val="2"/>
      </rPr>
      <t>S</t>
    </r>
    <r>
      <rPr>
        <sz val="6"/>
        <color indexed="8"/>
        <rFont val="Arial"/>
        <family val="2"/>
      </rPr>
      <t>C</t>
    </r>
    <r>
      <rPr>
        <sz val="6"/>
        <color indexed="8"/>
        <rFont val="Arial"/>
        <family val="2"/>
      </rPr>
      <t>AV</t>
    </r>
    <r>
      <rPr>
        <sz val="6"/>
        <color indexed="8"/>
        <rFont val="Arial"/>
        <family val="2"/>
      </rPr>
      <t>A</t>
    </r>
    <r>
      <rPr>
        <sz val="6"/>
        <color indexed="8"/>
        <rFont val="Arial"/>
        <family val="2"/>
      </rPr>
      <t>D</t>
    </r>
    <r>
      <rPr>
        <sz val="6"/>
        <color indexed="8"/>
        <rFont val="Arial"/>
        <family val="2"/>
      </rPr>
      <t>E</t>
    </r>
    <r>
      <rPr>
        <sz val="6"/>
        <color indexed="8"/>
        <rFont val="Arial"/>
        <family val="2"/>
      </rPr>
      <t>I</t>
    </r>
    <r>
      <rPr>
        <sz val="6"/>
        <color indexed="8"/>
        <rFont val="Arial"/>
        <family val="2"/>
      </rPr>
      <t>R</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EM</t>
    </r>
    <r>
      <rPr>
        <sz val="6"/>
        <color indexed="8"/>
        <rFont val="Arial"/>
        <family val="2"/>
      </rPr>
      <t xml:space="preserve"> </t>
    </r>
    <r>
      <rPr>
        <sz val="6"/>
        <color indexed="8"/>
        <rFont val="Arial"/>
        <family val="2"/>
      </rPr>
      <t xml:space="preserve"> </t>
    </r>
    <r>
      <rPr>
        <sz val="6"/>
        <color indexed="8"/>
        <rFont val="Arial"/>
        <family val="2"/>
      </rPr>
      <t>C</t>
    </r>
    <r>
      <rPr>
        <sz val="6"/>
        <color indexed="8"/>
        <rFont val="Arial"/>
        <family val="2"/>
      </rPr>
      <t>A</t>
    </r>
    <r>
      <rPr>
        <sz val="6"/>
        <color indexed="8"/>
        <rFont val="Arial"/>
        <family val="2"/>
      </rPr>
      <t>M</t>
    </r>
    <r>
      <rPr>
        <sz val="6"/>
        <color indexed="8"/>
        <rFont val="Arial"/>
        <family val="2"/>
      </rPr>
      <t>I</t>
    </r>
    <r>
      <rPr>
        <sz val="6"/>
        <color indexed="8"/>
        <rFont val="Arial"/>
        <family val="2"/>
      </rPr>
      <t>N</t>
    </r>
    <r>
      <rPr>
        <sz val="6"/>
        <color indexed="8"/>
        <rFont val="Arial"/>
        <family val="2"/>
      </rPr>
      <t>H</t>
    </r>
    <r>
      <rPr>
        <sz val="6"/>
        <color indexed="8"/>
        <rFont val="Arial"/>
        <family val="2"/>
      </rPr>
      <t>ÃO</t>
    </r>
    <r>
      <rPr>
        <sz val="6"/>
        <color indexed="8"/>
        <rFont val="Arial"/>
        <family val="2"/>
      </rPr>
      <t xml:space="preserve">  </t>
    </r>
    <r>
      <rPr>
        <sz val="6"/>
        <color indexed="8"/>
        <rFont val="Arial"/>
        <family val="2"/>
      </rPr>
      <t xml:space="preserve"> </t>
    </r>
    <r>
      <rPr>
        <sz val="6"/>
        <color indexed="8"/>
        <rFont val="Arial"/>
        <family val="2"/>
      </rPr>
      <t>B</t>
    </r>
    <r>
      <rPr>
        <sz val="6"/>
        <color indexed="8"/>
        <rFont val="Arial"/>
        <family val="2"/>
      </rPr>
      <t>A</t>
    </r>
    <r>
      <rPr>
        <sz val="6"/>
        <color indexed="8"/>
        <rFont val="Arial"/>
        <family val="2"/>
      </rPr>
      <t>S</t>
    </r>
    <r>
      <rPr>
        <sz val="6"/>
        <color indexed="8"/>
        <rFont val="Arial"/>
        <family val="2"/>
      </rPr>
      <t>C</t>
    </r>
    <r>
      <rPr>
        <sz val="6"/>
        <color indexed="8"/>
        <rFont val="Arial"/>
        <family val="2"/>
      </rPr>
      <t>U</t>
    </r>
    <r>
      <rPr>
        <sz val="6"/>
        <color indexed="8"/>
        <rFont val="Arial"/>
        <family val="2"/>
      </rPr>
      <t>L</t>
    </r>
    <r>
      <rPr>
        <sz val="6"/>
        <color indexed="8"/>
        <rFont val="Arial"/>
        <family val="2"/>
      </rPr>
      <t>A</t>
    </r>
    <r>
      <rPr>
        <sz val="6"/>
        <color indexed="8"/>
        <rFont val="Arial"/>
        <family val="2"/>
      </rPr>
      <t>N</t>
    </r>
    <r>
      <rPr>
        <sz val="6"/>
        <color indexed="8"/>
        <rFont val="Arial"/>
        <family val="2"/>
      </rPr>
      <t>T</t>
    </r>
    <r>
      <rPr>
        <sz val="6"/>
        <color indexed="8"/>
        <rFont val="Arial"/>
        <family val="2"/>
      </rPr>
      <t>E</t>
    </r>
    <r>
      <rPr>
        <sz val="6"/>
        <color indexed="8"/>
        <rFont val="Arial"/>
        <family val="2"/>
      </rPr>
      <t xml:space="preserve"> </t>
    </r>
    <r>
      <rPr>
        <sz val="6"/>
        <color indexed="8"/>
        <rFont val="Arial"/>
        <family val="2"/>
      </rPr>
      <t xml:space="preserve"> </t>
    </r>
    <r>
      <rPr>
        <sz val="6"/>
        <color indexed="8"/>
        <rFont val="Arial"/>
        <family val="2"/>
      </rPr>
      <t>-</t>
    </r>
    <r>
      <rPr>
        <sz val="6"/>
        <color indexed="8"/>
        <rFont val="Arial"/>
        <family val="2"/>
      </rPr>
      <t xml:space="preserve"> </t>
    </r>
    <r>
      <rPr>
        <sz val="6"/>
        <color indexed="8"/>
        <rFont val="Arial"/>
        <family val="2"/>
      </rPr>
      <t>M</t>
    </r>
    <r>
      <rPr>
        <sz val="6"/>
        <color indexed="8"/>
        <rFont val="Arial"/>
        <family val="2"/>
      </rPr>
      <t>A</t>
    </r>
    <r>
      <rPr>
        <sz val="6"/>
        <color indexed="8"/>
        <rFont val="Arial"/>
        <family val="2"/>
      </rPr>
      <t>T</t>
    </r>
    <r>
      <rPr>
        <sz val="6"/>
        <color indexed="8"/>
        <rFont val="Arial"/>
        <family val="2"/>
      </rPr>
      <t>E</t>
    </r>
    <r>
      <rPr>
        <sz val="6"/>
        <color indexed="8"/>
        <rFont val="Arial"/>
        <family val="2"/>
      </rPr>
      <t>R</t>
    </r>
    <r>
      <rPr>
        <sz val="6"/>
        <color indexed="8"/>
        <rFont val="Arial"/>
        <family val="2"/>
      </rPr>
      <t>I</t>
    </r>
    <r>
      <rPr>
        <sz val="6"/>
        <color indexed="8"/>
        <rFont val="Arial"/>
        <family val="2"/>
      </rPr>
      <t>A</t>
    </r>
    <r>
      <rPr>
        <sz val="6"/>
        <color indexed="8"/>
        <rFont val="Arial"/>
        <family val="2"/>
      </rPr>
      <t>L</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2ª</t>
    </r>
    <r>
      <rPr>
        <sz val="6"/>
        <color indexed="8"/>
        <rFont val="Arial"/>
        <family val="2"/>
      </rPr>
      <t xml:space="preserve"> </t>
    </r>
    <r>
      <rPr>
        <sz val="6"/>
        <color indexed="8"/>
        <rFont val="Arial"/>
        <family val="2"/>
      </rPr>
      <t>C</t>
    </r>
    <r>
      <rPr>
        <sz val="6"/>
        <color indexed="8"/>
        <rFont val="Arial"/>
        <family val="2"/>
      </rPr>
      <t>A</t>
    </r>
    <r>
      <rPr>
        <sz val="6"/>
        <color indexed="8"/>
        <rFont val="Arial"/>
        <family val="2"/>
      </rPr>
      <t>T</t>
    </r>
    <r>
      <rPr>
        <sz val="6"/>
        <color indexed="8"/>
        <rFont val="Arial"/>
        <family val="2"/>
      </rPr>
      <t>EG</t>
    </r>
    <r>
      <rPr>
        <sz val="6"/>
        <color indexed="8"/>
        <rFont val="Arial"/>
        <family val="2"/>
      </rPr>
      <t>O</t>
    </r>
    <r>
      <rPr>
        <sz val="6"/>
        <color indexed="8"/>
        <rFont val="Arial"/>
        <family val="2"/>
      </rPr>
      <t>R</t>
    </r>
    <r>
      <rPr>
        <sz val="6"/>
        <color indexed="8"/>
        <rFont val="Arial"/>
        <family val="2"/>
      </rPr>
      <t>I</t>
    </r>
    <r>
      <rPr>
        <sz val="6"/>
        <color indexed="8"/>
        <rFont val="Arial"/>
        <family val="2"/>
      </rPr>
      <t>A</t>
    </r>
  </si>
  <si>
    <r>
      <rPr>
        <sz val="6"/>
        <color indexed="8"/>
        <rFont val="Arial"/>
        <family val="2"/>
      </rPr>
      <t>C</t>
    </r>
    <r>
      <rPr>
        <sz val="6"/>
        <color indexed="8"/>
        <rFont val="Arial"/>
        <family val="2"/>
      </rPr>
      <t>A</t>
    </r>
    <r>
      <rPr>
        <sz val="6"/>
        <color indexed="8"/>
        <rFont val="Arial"/>
        <family val="2"/>
      </rPr>
      <t>R</t>
    </r>
    <r>
      <rPr>
        <sz val="6"/>
        <color indexed="8"/>
        <rFont val="Arial"/>
        <family val="2"/>
      </rPr>
      <t>GA</t>
    </r>
    <r>
      <rPr>
        <sz val="6"/>
        <color indexed="8"/>
        <rFont val="Arial"/>
        <family val="2"/>
      </rPr>
      <t xml:space="preserve"> </t>
    </r>
    <r>
      <rPr>
        <sz val="6"/>
        <color indexed="8"/>
        <rFont val="Arial"/>
        <family val="2"/>
      </rPr>
      <t xml:space="preserve"> </t>
    </r>
    <r>
      <rPr>
        <sz val="6"/>
        <color indexed="8"/>
        <rFont val="Arial"/>
        <family val="2"/>
      </rPr>
      <t>M</t>
    </r>
    <r>
      <rPr>
        <sz val="6"/>
        <color indexed="8"/>
        <rFont val="Arial"/>
        <family val="2"/>
      </rPr>
      <t>E</t>
    </r>
    <r>
      <rPr>
        <sz val="6"/>
        <color indexed="8"/>
        <rFont val="Arial"/>
        <family val="2"/>
      </rPr>
      <t>C</t>
    </r>
    <r>
      <rPr>
        <sz val="6"/>
        <color indexed="8"/>
        <rFont val="Arial"/>
        <family val="2"/>
      </rPr>
      <t>A</t>
    </r>
    <r>
      <rPr>
        <sz val="6"/>
        <color indexed="8"/>
        <rFont val="Arial"/>
        <family val="2"/>
      </rPr>
      <t>N</t>
    </r>
    <r>
      <rPr>
        <sz val="6"/>
        <color indexed="8"/>
        <rFont val="Arial"/>
        <family val="2"/>
      </rPr>
      <t>I</t>
    </r>
    <r>
      <rPr>
        <sz val="6"/>
        <color indexed="8"/>
        <rFont val="Arial"/>
        <family val="2"/>
      </rPr>
      <t>Z</t>
    </r>
    <r>
      <rPr>
        <sz val="6"/>
        <color indexed="8"/>
        <rFont val="Arial"/>
        <family val="2"/>
      </rPr>
      <t>A</t>
    </r>
    <r>
      <rPr>
        <sz val="6"/>
        <color indexed="8"/>
        <rFont val="Arial"/>
        <family val="2"/>
      </rPr>
      <t>D</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t>
    </r>
    <r>
      <rPr>
        <sz val="6"/>
        <color indexed="8"/>
        <rFont val="Arial"/>
        <family val="2"/>
      </rPr>
      <t>C</t>
    </r>
    <r>
      <rPr>
        <sz val="6"/>
        <color indexed="8"/>
        <rFont val="Arial"/>
        <family val="2"/>
      </rPr>
      <t>O</t>
    </r>
    <r>
      <rPr>
        <sz val="6"/>
        <color indexed="8"/>
        <rFont val="Arial"/>
        <family val="2"/>
      </rPr>
      <t>M</t>
    </r>
    <r>
      <rPr>
        <sz val="6"/>
        <color indexed="8"/>
        <rFont val="Arial"/>
        <family val="2"/>
      </rPr>
      <t xml:space="preserve"> </t>
    </r>
    <r>
      <rPr>
        <sz val="6"/>
        <color indexed="8"/>
        <rFont val="Arial"/>
        <family val="2"/>
      </rPr>
      <t xml:space="preserve"> </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PÁ</t>
    </r>
    <r>
      <rPr>
        <sz val="6"/>
        <color indexed="8"/>
        <rFont val="Arial"/>
        <family val="2"/>
      </rPr>
      <t xml:space="preserve"> </t>
    </r>
    <r>
      <rPr>
        <sz val="6"/>
        <color indexed="8"/>
        <rFont val="Arial"/>
        <family val="2"/>
      </rPr>
      <t xml:space="preserve"> </t>
    </r>
    <r>
      <rPr>
        <sz val="6"/>
        <color indexed="8"/>
        <rFont val="Arial"/>
        <family val="2"/>
      </rPr>
      <t>F</t>
    </r>
    <r>
      <rPr>
        <sz val="6"/>
        <color indexed="8"/>
        <rFont val="Arial"/>
        <family val="2"/>
      </rPr>
      <t>R</t>
    </r>
    <r>
      <rPr>
        <sz val="6"/>
        <color indexed="8"/>
        <rFont val="Arial"/>
        <family val="2"/>
      </rPr>
      <t>O</t>
    </r>
    <r>
      <rPr>
        <sz val="6"/>
        <color indexed="8"/>
        <rFont val="Arial"/>
        <family val="2"/>
      </rPr>
      <t>N</t>
    </r>
    <r>
      <rPr>
        <sz val="6"/>
        <color indexed="8"/>
        <rFont val="Arial"/>
        <family val="2"/>
      </rPr>
      <t>T</t>
    </r>
    <r>
      <rPr>
        <sz val="6"/>
        <color indexed="8"/>
        <rFont val="Arial"/>
        <family val="2"/>
      </rPr>
      <t>AL</t>
    </r>
    <r>
      <rPr>
        <sz val="6"/>
        <color indexed="8"/>
        <rFont val="Arial"/>
        <family val="2"/>
      </rPr>
      <t xml:space="preserve">  </t>
    </r>
    <r>
      <rPr>
        <sz val="6"/>
        <color indexed="8"/>
        <rFont val="Arial"/>
        <family val="2"/>
      </rPr>
      <t xml:space="preserve"> </t>
    </r>
    <r>
      <rPr>
        <sz val="6"/>
        <color indexed="8"/>
        <rFont val="Arial"/>
        <family val="2"/>
      </rPr>
      <t>D</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R</t>
    </r>
    <r>
      <rPr>
        <sz val="6"/>
        <color indexed="8"/>
        <rFont val="Arial"/>
        <family val="2"/>
      </rPr>
      <t>E</t>
    </r>
    <r>
      <rPr>
        <sz val="6"/>
        <color indexed="8"/>
        <rFont val="Arial"/>
        <family val="2"/>
      </rPr>
      <t>T</t>
    </r>
    <r>
      <rPr>
        <sz val="6"/>
        <color indexed="8"/>
        <rFont val="Arial"/>
        <family val="2"/>
      </rPr>
      <t>R</t>
    </r>
    <r>
      <rPr>
        <sz val="6"/>
        <color indexed="8"/>
        <rFont val="Arial"/>
        <family val="2"/>
      </rPr>
      <t>O</t>
    </r>
    <r>
      <rPr>
        <sz val="6"/>
        <color indexed="8"/>
        <rFont val="Arial"/>
        <family val="2"/>
      </rPr>
      <t>E</t>
    </r>
    <r>
      <rPr>
        <sz val="6"/>
        <color indexed="8"/>
        <rFont val="Arial"/>
        <family val="2"/>
      </rPr>
      <t>S</t>
    </r>
    <r>
      <rPr>
        <sz val="6"/>
        <color indexed="8"/>
        <rFont val="Arial"/>
        <family val="2"/>
      </rPr>
      <t>C</t>
    </r>
    <r>
      <rPr>
        <sz val="6"/>
        <color indexed="8"/>
        <rFont val="Arial"/>
        <family val="2"/>
      </rPr>
      <t>AV</t>
    </r>
    <r>
      <rPr>
        <sz val="6"/>
        <color indexed="8"/>
        <rFont val="Arial"/>
        <family val="2"/>
      </rPr>
      <t>A</t>
    </r>
    <r>
      <rPr>
        <sz val="6"/>
        <color indexed="8"/>
        <rFont val="Arial"/>
        <family val="2"/>
      </rPr>
      <t>D</t>
    </r>
    <r>
      <rPr>
        <sz val="6"/>
        <color indexed="8"/>
        <rFont val="Arial"/>
        <family val="2"/>
      </rPr>
      <t>E</t>
    </r>
    <r>
      <rPr>
        <sz val="6"/>
        <color indexed="8"/>
        <rFont val="Arial"/>
        <family val="2"/>
      </rPr>
      <t>I</t>
    </r>
    <r>
      <rPr>
        <sz val="6"/>
        <color indexed="8"/>
        <rFont val="Arial"/>
        <family val="2"/>
      </rPr>
      <t>R</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EM</t>
    </r>
    <r>
      <rPr>
        <sz val="6"/>
        <color indexed="8"/>
        <rFont val="Arial"/>
        <family val="2"/>
      </rPr>
      <t xml:space="preserve"> </t>
    </r>
    <r>
      <rPr>
        <sz val="6"/>
        <color indexed="8"/>
        <rFont val="Arial"/>
        <family val="2"/>
      </rPr>
      <t xml:space="preserve"> </t>
    </r>
    <r>
      <rPr>
        <sz val="6"/>
        <color indexed="8"/>
        <rFont val="Arial"/>
        <family val="2"/>
      </rPr>
      <t>C</t>
    </r>
    <r>
      <rPr>
        <sz val="6"/>
        <color indexed="8"/>
        <rFont val="Arial"/>
        <family val="2"/>
      </rPr>
      <t>A</t>
    </r>
    <r>
      <rPr>
        <sz val="6"/>
        <color indexed="8"/>
        <rFont val="Arial"/>
        <family val="2"/>
      </rPr>
      <t>M</t>
    </r>
    <r>
      <rPr>
        <sz val="6"/>
        <color indexed="8"/>
        <rFont val="Arial"/>
        <family val="2"/>
      </rPr>
      <t>I</t>
    </r>
    <r>
      <rPr>
        <sz val="6"/>
        <color indexed="8"/>
        <rFont val="Arial"/>
        <family val="2"/>
      </rPr>
      <t>N</t>
    </r>
    <r>
      <rPr>
        <sz val="6"/>
        <color indexed="8"/>
        <rFont val="Arial"/>
        <family val="2"/>
      </rPr>
      <t>H</t>
    </r>
    <r>
      <rPr>
        <sz val="6"/>
        <color indexed="8"/>
        <rFont val="Arial"/>
        <family val="2"/>
      </rPr>
      <t>ÃO</t>
    </r>
    <r>
      <rPr>
        <sz val="6"/>
        <color indexed="8"/>
        <rFont val="Arial"/>
        <family val="2"/>
      </rPr>
      <t xml:space="preserve">  </t>
    </r>
    <r>
      <rPr>
        <sz val="6"/>
        <color indexed="8"/>
        <rFont val="Arial"/>
        <family val="2"/>
      </rPr>
      <t xml:space="preserve"> </t>
    </r>
    <r>
      <rPr>
        <sz val="6"/>
        <color indexed="8"/>
        <rFont val="Arial"/>
        <family val="2"/>
      </rPr>
      <t>B</t>
    </r>
    <r>
      <rPr>
        <sz val="6"/>
        <color indexed="8"/>
        <rFont val="Arial"/>
        <family val="2"/>
      </rPr>
      <t>A</t>
    </r>
    <r>
      <rPr>
        <sz val="6"/>
        <color indexed="8"/>
        <rFont val="Arial"/>
        <family val="2"/>
      </rPr>
      <t>S</t>
    </r>
    <r>
      <rPr>
        <sz val="6"/>
        <color indexed="8"/>
        <rFont val="Arial"/>
        <family val="2"/>
      </rPr>
      <t>C</t>
    </r>
    <r>
      <rPr>
        <sz val="6"/>
        <color indexed="8"/>
        <rFont val="Arial"/>
        <family val="2"/>
      </rPr>
      <t>U</t>
    </r>
    <r>
      <rPr>
        <sz val="6"/>
        <color indexed="8"/>
        <rFont val="Arial"/>
        <family val="2"/>
      </rPr>
      <t>L</t>
    </r>
    <r>
      <rPr>
        <sz val="6"/>
        <color indexed="8"/>
        <rFont val="Arial"/>
        <family val="2"/>
      </rPr>
      <t>A</t>
    </r>
    <r>
      <rPr>
        <sz val="6"/>
        <color indexed="8"/>
        <rFont val="Arial"/>
        <family val="2"/>
      </rPr>
      <t>N</t>
    </r>
    <r>
      <rPr>
        <sz val="6"/>
        <color indexed="8"/>
        <rFont val="Arial"/>
        <family val="2"/>
      </rPr>
      <t>T</t>
    </r>
    <r>
      <rPr>
        <sz val="6"/>
        <color indexed="8"/>
        <rFont val="Arial"/>
        <family val="2"/>
      </rPr>
      <t>E</t>
    </r>
    <r>
      <rPr>
        <sz val="6"/>
        <color indexed="8"/>
        <rFont val="Arial"/>
        <family val="2"/>
      </rPr>
      <t xml:space="preserve"> </t>
    </r>
    <r>
      <rPr>
        <sz val="6"/>
        <color indexed="8"/>
        <rFont val="Arial"/>
        <family val="2"/>
      </rPr>
      <t xml:space="preserve"> </t>
    </r>
    <r>
      <rPr>
        <sz val="6"/>
        <color indexed="8"/>
        <rFont val="Arial"/>
        <family val="2"/>
      </rPr>
      <t>-</t>
    </r>
    <r>
      <rPr>
        <sz val="6"/>
        <color indexed="8"/>
        <rFont val="Arial"/>
        <family val="2"/>
      </rPr>
      <t xml:space="preserve"> </t>
    </r>
    <r>
      <rPr>
        <sz val="6"/>
        <color indexed="8"/>
        <rFont val="Arial"/>
        <family val="2"/>
      </rPr>
      <t>M</t>
    </r>
    <r>
      <rPr>
        <sz val="6"/>
        <color indexed="8"/>
        <rFont val="Arial"/>
        <family val="2"/>
      </rPr>
      <t>A</t>
    </r>
    <r>
      <rPr>
        <sz val="6"/>
        <color indexed="8"/>
        <rFont val="Arial"/>
        <family val="2"/>
      </rPr>
      <t>T</t>
    </r>
    <r>
      <rPr>
        <sz val="6"/>
        <color indexed="8"/>
        <rFont val="Arial"/>
        <family val="2"/>
      </rPr>
      <t>E</t>
    </r>
    <r>
      <rPr>
        <sz val="6"/>
        <color indexed="8"/>
        <rFont val="Arial"/>
        <family val="2"/>
      </rPr>
      <t>R</t>
    </r>
    <r>
      <rPr>
        <sz val="6"/>
        <color indexed="8"/>
        <rFont val="Arial"/>
        <family val="2"/>
      </rPr>
      <t>I</t>
    </r>
    <r>
      <rPr>
        <sz val="6"/>
        <color indexed="8"/>
        <rFont val="Arial"/>
        <family val="2"/>
      </rPr>
      <t>A</t>
    </r>
    <r>
      <rPr>
        <sz val="6"/>
        <color indexed="8"/>
        <rFont val="Arial"/>
        <family val="2"/>
      </rPr>
      <t>L</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3ª</t>
    </r>
    <r>
      <rPr>
        <sz val="6"/>
        <color indexed="8"/>
        <rFont val="Arial"/>
        <family val="2"/>
      </rPr>
      <t xml:space="preserve"> </t>
    </r>
    <r>
      <rPr>
        <sz val="6"/>
        <color indexed="8"/>
        <rFont val="Arial"/>
        <family val="2"/>
      </rPr>
      <t>C</t>
    </r>
    <r>
      <rPr>
        <sz val="6"/>
        <color indexed="8"/>
        <rFont val="Arial"/>
        <family val="2"/>
      </rPr>
      <t>A</t>
    </r>
    <r>
      <rPr>
        <sz val="6"/>
        <color indexed="8"/>
        <rFont val="Arial"/>
        <family val="2"/>
      </rPr>
      <t>T</t>
    </r>
    <r>
      <rPr>
        <sz val="6"/>
        <color indexed="8"/>
        <rFont val="Arial"/>
        <family val="2"/>
      </rPr>
      <t>EG</t>
    </r>
    <r>
      <rPr>
        <sz val="6"/>
        <color indexed="8"/>
        <rFont val="Arial"/>
        <family val="2"/>
      </rPr>
      <t>O</t>
    </r>
    <r>
      <rPr>
        <sz val="6"/>
        <color indexed="8"/>
        <rFont val="Arial"/>
        <family val="2"/>
      </rPr>
      <t>R</t>
    </r>
    <r>
      <rPr>
        <sz val="6"/>
        <color indexed="8"/>
        <rFont val="Arial"/>
        <family val="2"/>
      </rPr>
      <t>I</t>
    </r>
    <r>
      <rPr>
        <sz val="6"/>
        <color indexed="8"/>
        <rFont val="Arial"/>
        <family val="2"/>
      </rPr>
      <t>A</t>
    </r>
  </si>
  <si>
    <r>
      <rPr>
        <sz val="6"/>
        <color indexed="8"/>
        <rFont val="Arial"/>
        <family val="2"/>
      </rPr>
      <t>C</t>
    </r>
    <r>
      <rPr>
        <sz val="6"/>
        <color indexed="8"/>
        <rFont val="Arial"/>
        <family val="2"/>
      </rPr>
      <t>A</t>
    </r>
    <r>
      <rPr>
        <sz val="6"/>
        <color indexed="8"/>
        <rFont val="Arial"/>
        <family val="2"/>
      </rPr>
      <t>R</t>
    </r>
    <r>
      <rPr>
        <sz val="6"/>
        <color indexed="8"/>
        <rFont val="Arial"/>
        <family val="2"/>
      </rPr>
      <t>GA</t>
    </r>
    <r>
      <rPr>
        <sz val="6"/>
        <color indexed="8"/>
        <rFont val="Arial"/>
        <family val="2"/>
      </rPr>
      <t xml:space="preserve"> </t>
    </r>
    <r>
      <rPr>
        <sz val="6"/>
        <color indexed="8"/>
        <rFont val="Arial"/>
        <family val="2"/>
      </rPr>
      <t xml:space="preserve"> </t>
    </r>
    <r>
      <rPr>
        <sz val="6"/>
        <color indexed="8"/>
        <rFont val="Arial"/>
        <family val="2"/>
      </rPr>
      <t>M</t>
    </r>
    <r>
      <rPr>
        <sz val="6"/>
        <color indexed="8"/>
        <rFont val="Arial"/>
        <family val="2"/>
      </rPr>
      <t>E</t>
    </r>
    <r>
      <rPr>
        <sz val="6"/>
        <color indexed="8"/>
        <rFont val="Arial"/>
        <family val="2"/>
      </rPr>
      <t>C</t>
    </r>
    <r>
      <rPr>
        <sz val="6"/>
        <color indexed="8"/>
        <rFont val="Arial"/>
        <family val="2"/>
      </rPr>
      <t>A</t>
    </r>
    <r>
      <rPr>
        <sz val="6"/>
        <color indexed="8"/>
        <rFont val="Arial"/>
        <family val="2"/>
      </rPr>
      <t>N</t>
    </r>
    <r>
      <rPr>
        <sz val="6"/>
        <color indexed="8"/>
        <rFont val="Arial"/>
        <family val="2"/>
      </rPr>
      <t>I</t>
    </r>
    <r>
      <rPr>
        <sz val="6"/>
        <color indexed="8"/>
        <rFont val="Arial"/>
        <family val="2"/>
      </rPr>
      <t>Z</t>
    </r>
    <r>
      <rPr>
        <sz val="6"/>
        <color indexed="8"/>
        <rFont val="Arial"/>
        <family val="2"/>
      </rPr>
      <t>A</t>
    </r>
    <r>
      <rPr>
        <sz val="6"/>
        <color indexed="8"/>
        <rFont val="Arial"/>
        <family val="2"/>
      </rPr>
      <t>D</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t>
    </r>
    <r>
      <rPr>
        <sz val="6"/>
        <color indexed="8"/>
        <rFont val="Arial"/>
        <family val="2"/>
      </rPr>
      <t>C</t>
    </r>
    <r>
      <rPr>
        <sz val="6"/>
        <color indexed="8"/>
        <rFont val="Arial"/>
        <family val="2"/>
      </rPr>
      <t>O</t>
    </r>
    <r>
      <rPr>
        <sz val="6"/>
        <color indexed="8"/>
        <rFont val="Arial"/>
        <family val="2"/>
      </rPr>
      <t>M</t>
    </r>
    <r>
      <rPr>
        <sz val="6"/>
        <color indexed="8"/>
        <rFont val="Arial"/>
        <family val="2"/>
      </rPr>
      <t xml:space="preserve"> </t>
    </r>
    <r>
      <rPr>
        <sz val="6"/>
        <color indexed="8"/>
        <rFont val="Arial"/>
        <family val="2"/>
      </rPr>
      <t xml:space="preserve"> </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PÁ</t>
    </r>
    <r>
      <rPr>
        <sz val="6"/>
        <color indexed="8"/>
        <rFont val="Arial"/>
        <family val="2"/>
      </rPr>
      <t xml:space="preserve"> </t>
    </r>
    <r>
      <rPr>
        <sz val="6"/>
        <color indexed="8"/>
        <rFont val="Arial"/>
        <family val="2"/>
      </rPr>
      <t xml:space="preserve"> </t>
    </r>
    <r>
      <rPr>
        <sz val="6"/>
        <color indexed="8"/>
        <rFont val="Arial"/>
        <family val="2"/>
      </rPr>
      <t>F</t>
    </r>
    <r>
      <rPr>
        <sz val="6"/>
        <color indexed="8"/>
        <rFont val="Arial"/>
        <family val="2"/>
      </rPr>
      <t>R</t>
    </r>
    <r>
      <rPr>
        <sz val="6"/>
        <color indexed="8"/>
        <rFont val="Arial"/>
        <family val="2"/>
      </rPr>
      <t>O</t>
    </r>
    <r>
      <rPr>
        <sz val="6"/>
        <color indexed="8"/>
        <rFont val="Arial"/>
        <family val="2"/>
      </rPr>
      <t>N</t>
    </r>
    <r>
      <rPr>
        <sz val="6"/>
        <color indexed="8"/>
        <rFont val="Arial"/>
        <family val="2"/>
      </rPr>
      <t>T</t>
    </r>
    <r>
      <rPr>
        <sz val="6"/>
        <color indexed="8"/>
        <rFont val="Arial"/>
        <family val="2"/>
      </rPr>
      <t>AL</t>
    </r>
    <r>
      <rPr>
        <sz val="6"/>
        <color indexed="8"/>
        <rFont val="Arial"/>
        <family val="2"/>
      </rPr>
      <t xml:space="preserve">  </t>
    </r>
    <r>
      <rPr>
        <sz val="6"/>
        <color indexed="8"/>
        <rFont val="Arial"/>
        <family val="2"/>
      </rPr>
      <t xml:space="preserve"> </t>
    </r>
    <r>
      <rPr>
        <sz val="6"/>
        <color indexed="8"/>
        <rFont val="Arial"/>
        <family val="2"/>
      </rPr>
      <t>D</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R</t>
    </r>
    <r>
      <rPr>
        <sz val="6"/>
        <color indexed="8"/>
        <rFont val="Arial"/>
        <family val="2"/>
      </rPr>
      <t>E</t>
    </r>
    <r>
      <rPr>
        <sz val="6"/>
        <color indexed="8"/>
        <rFont val="Arial"/>
        <family val="2"/>
      </rPr>
      <t>T</t>
    </r>
    <r>
      <rPr>
        <sz val="6"/>
        <color indexed="8"/>
        <rFont val="Arial"/>
        <family val="2"/>
      </rPr>
      <t>R</t>
    </r>
    <r>
      <rPr>
        <sz val="6"/>
        <color indexed="8"/>
        <rFont val="Arial"/>
        <family val="2"/>
      </rPr>
      <t>O</t>
    </r>
    <r>
      <rPr>
        <sz val="6"/>
        <color indexed="8"/>
        <rFont val="Arial"/>
        <family val="2"/>
      </rPr>
      <t>E</t>
    </r>
    <r>
      <rPr>
        <sz val="6"/>
        <color indexed="8"/>
        <rFont val="Arial"/>
        <family val="2"/>
      </rPr>
      <t>S</t>
    </r>
    <r>
      <rPr>
        <sz val="6"/>
        <color indexed="8"/>
        <rFont val="Arial"/>
        <family val="2"/>
      </rPr>
      <t>C</t>
    </r>
    <r>
      <rPr>
        <sz val="6"/>
        <color indexed="8"/>
        <rFont val="Arial"/>
        <family val="2"/>
      </rPr>
      <t>AV</t>
    </r>
    <r>
      <rPr>
        <sz val="6"/>
        <color indexed="8"/>
        <rFont val="Arial"/>
        <family val="2"/>
      </rPr>
      <t>A</t>
    </r>
    <r>
      <rPr>
        <sz val="6"/>
        <color indexed="8"/>
        <rFont val="Arial"/>
        <family val="2"/>
      </rPr>
      <t>D</t>
    </r>
    <r>
      <rPr>
        <sz val="6"/>
        <color indexed="8"/>
        <rFont val="Arial"/>
        <family val="2"/>
      </rPr>
      <t>E</t>
    </r>
    <r>
      <rPr>
        <sz val="6"/>
        <color indexed="8"/>
        <rFont val="Arial"/>
        <family val="2"/>
      </rPr>
      <t>I</t>
    </r>
    <r>
      <rPr>
        <sz val="6"/>
        <color indexed="8"/>
        <rFont val="Arial"/>
        <family val="2"/>
      </rPr>
      <t>R</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EM</t>
    </r>
    <r>
      <rPr>
        <sz val="6"/>
        <color indexed="8"/>
        <rFont val="Arial"/>
        <family val="2"/>
      </rPr>
      <t xml:space="preserve"> </t>
    </r>
    <r>
      <rPr>
        <sz val="6"/>
        <color indexed="8"/>
        <rFont val="Arial"/>
        <family val="2"/>
      </rPr>
      <t xml:space="preserve"> </t>
    </r>
    <r>
      <rPr>
        <sz val="6"/>
        <color indexed="8"/>
        <rFont val="Arial"/>
        <family val="2"/>
      </rPr>
      <t>C</t>
    </r>
    <r>
      <rPr>
        <sz val="6"/>
        <color indexed="8"/>
        <rFont val="Arial"/>
        <family val="2"/>
      </rPr>
      <t>A</t>
    </r>
    <r>
      <rPr>
        <sz val="6"/>
        <color indexed="8"/>
        <rFont val="Arial"/>
        <family val="2"/>
      </rPr>
      <t>M</t>
    </r>
    <r>
      <rPr>
        <sz val="6"/>
        <color indexed="8"/>
        <rFont val="Arial"/>
        <family val="2"/>
      </rPr>
      <t>I</t>
    </r>
    <r>
      <rPr>
        <sz val="6"/>
        <color indexed="8"/>
        <rFont val="Arial"/>
        <family val="2"/>
      </rPr>
      <t>N</t>
    </r>
    <r>
      <rPr>
        <sz val="6"/>
        <color indexed="8"/>
        <rFont val="Arial"/>
        <family val="2"/>
      </rPr>
      <t>H</t>
    </r>
    <r>
      <rPr>
        <sz val="6"/>
        <color indexed="8"/>
        <rFont val="Arial"/>
        <family val="2"/>
      </rPr>
      <t>ÃO</t>
    </r>
    <r>
      <rPr>
        <sz val="6"/>
        <color indexed="8"/>
        <rFont val="Arial"/>
        <family val="2"/>
      </rPr>
      <t xml:space="preserve">  </t>
    </r>
    <r>
      <rPr>
        <sz val="6"/>
        <color indexed="8"/>
        <rFont val="Arial"/>
        <family val="2"/>
      </rPr>
      <t xml:space="preserve"> </t>
    </r>
    <r>
      <rPr>
        <sz val="6"/>
        <color indexed="8"/>
        <rFont val="Arial"/>
        <family val="2"/>
      </rPr>
      <t>B</t>
    </r>
    <r>
      <rPr>
        <sz val="6"/>
        <color indexed="8"/>
        <rFont val="Arial"/>
        <family val="2"/>
      </rPr>
      <t>A</t>
    </r>
    <r>
      <rPr>
        <sz val="6"/>
        <color indexed="8"/>
        <rFont val="Arial"/>
        <family val="2"/>
      </rPr>
      <t>S</t>
    </r>
    <r>
      <rPr>
        <sz val="6"/>
        <color indexed="8"/>
        <rFont val="Arial"/>
        <family val="2"/>
      </rPr>
      <t>C</t>
    </r>
    <r>
      <rPr>
        <sz val="6"/>
        <color indexed="8"/>
        <rFont val="Arial"/>
        <family val="2"/>
      </rPr>
      <t>U</t>
    </r>
    <r>
      <rPr>
        <sz val="6"/>
        <color indexed="8"/>
        <rFont val="Arial"/>
        <family val="2"/>
      </rPr>
      <t>L</t>
    </r>
    <r>
      <rPr>
        <sz val="6"/>
        <color indexed="8"/>
        <rFont val="Arial"/>
        <family val="2"/>
      </rPr>
      <t>A</t>
    </r>
    <r>
      <rPr>
        <sz val="6"/>
        <color indexed="8"/>
        <rFont val="Arial"/>
        <family val="2"/>
      </rPr>
      <t>N</t>
    </r>
    <r>
      <rPr>
        <sz val="6"/>
        <color indexed="8"/>
        <rFont val="Arial"/>
        <family val="2"/>
      </rPr>
      <t>T</t>
    </r>
    <r>
      <rPr>
        <sz val="6"/>
        <color indexed="8"/>
        <rFont val="Arial"/>
        <family val="2"/>
      </rPr>
      <t>E</t>
    </r>
    <r>
      <rPr>
        <sz val="6"/>
        <color indexed="8"/>
        <rFont val="Arial"/>
        <family val="2"/>
      </rPr>
      <t xml:space="preserve"> </t>
    </r>
    <r>
      <rPr>
        <sz val="6"/>
        <color indexed="8"/>
        <rFont val="Arial"/>
        <family val="2"/>
      </rPr>
      <t xml:space="preserve"> </t>
    </r>
    <r>
      <rPr>
        <sz val="6"/>
        <color indexed="8"/>
        <rFont val="Arial"/>
        <family val="2"/>
      </rPr>
      <t>-</t>
    </r>
    <r>
      <rPr>
        <sz val="6"/>
        <color indexed="8"/>
        <rFont val="Arial"/>
        <family val="2"/>
      </rPr>
      <t xml:space="preserve"> </t>
    </r>
    <r>
      <rPr>
        <sz val="6"/>
        <color indexed="8"/>
        <rFont val="Arial"/>
        <family val="2"/>
      </rPr>
      <t>M</t>
    </r>
    <r>
      <rPr>
        <sz val="6"/>
        <color indexed="8"/>
        <rFont val="Arial"/>
        <family val="2"/>
      </rPr>
      <t>A</t>
    </r>
    <r>
      <rPr>
        <sz val="6"/>
        <color indexed="8"/>
        <rFont val="Arial"/>
        <family val="2"/>
      </rPr>
      <t>T</t>
    </r>
    <r>
      <rPr>
        <sz val="6"/>
        <color indexed="8"/>
        <rFont val="Arial"/>
        <family val="2"/>
      </rPr>
      <t>E</t>
    </r>
    <r>
      <rPr>
        <sz val="6"/>
        <color indexed="8"/>
        <rFont val="Arial"/>
        <family val="2"/>
      </rPr>
      <t>R</t>
    </r>
    <r>
      <rPr>
        <sz val="6"/>
        <color indexed="8"/>
        <rFont val="Arial"/>
        <family val="2"/>
      </rPr>
      <t>I</t>
    </r>
    <r>
      <rPr>
        <sz val="6"/>
        <color indexed="8"/>
        <rFont val="Arial"/>
        <family val="2"/>
      </rPr>
      <t>A</t>
    </r>
    <r>
      <rPr>
        <sz val="6"/>
        <color indexed="8"/>
        <rFont val="Arial"/>
        <family val="2"/>
      </rPr>
      <t>L</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E</t>
    </r>
    <r>
      <rPr>
        <sz val="6"/>
        <color indexed="8"/>
        <rFont val="Arial"/>
        <family val="2"/>
      </rPr>
      <t>N</t>
    </r>
    <r>
      <rPr>
        <sz val="6"/>
        <color indexed="8"/>
        <rFont val="Arial"/>
        <family val="2"/>
      </rPr>
      <t>T</t>
    </r>
    <r>
      <rPr>
        <sz val="6"/>
        <color indexed="8"/>
        <rFont val="Arial"/>
        <family val="2"/>
      </rPr>
      <t>U</t>
    </r>
    <r>
      <rPr>
        <sz val="6"/>
        <color indexed="8"/>
        <rFont val="Arial"/>
        <family val="2"/>
      </rPr>
      <t>L</t>
    </r>
    <r>
      <rPr>
        <sz val="6"/>
        <color indexed="8"/>
        <rFont val="Arial"/>
        <family val="2"/>
      </rPr>
      <t>H</t>
    </r>
    <r>
      <rPr>
        <sz val="6"/>
        <color indexed="8"/>
        <rFont val="Arial"/>
        <family val="2"/>
      </rPr>
      <t>O</t>
    </r>
  </si>
  <si>
    <t>CARGA  MECANIZADA  (COM  A PÁ FRONTAL  DA RETROESCAVADEIRA) EM CAMINHÃO  BASCULANTE CAP.
10M3 - MATERIAL DE 1ª CATEGORIA</t>
  </si>
  <si>
    <t>CARGA  MECANIZADA  (COM  A PÁ FRONTAL  DA RETROESCAVADEIRA) EM CAMINHÃO  BASCULANTE CAP.
10M3 - MATERIAL DE 2ª CATEGORIA</t>
  </si>
  <si>
    <t>CARGA  MECANIZADA  (COM  A PÁ FRONTAL  DA RETROESCAVADEIRA) EM CAMINHÃO  BASCULANTE CAP.
10M3 - MATERIAL DE 3ª CATEGORIA</t>
  </si>
  <si>
    <t>CARGA  MECANIZADA  (COM  A PÁ FRONTAL  DA RETROESCAVADEIRA) EM CAMINHÃO  BASCULANTE CAP.
10M3 - MATERIAL DE ENTULHO</t>
  </si>
  <si>
    <t>CARGA  MECANIZADA  (COM  A PÁ FRONTAL  DA RETROESCAVADEIRA) EM CAMINHÃO  BASCULANTE CAP.
10M3 - MATERIAL SOLO MOLE</t>
  </si>
  <si>
    <t>CARGA  MECANIZADA  (COM  A PÁ FRONTAL  DA RETROESCAVADEIRA) EM CAMINHÃO  BASCULANTE CAP.
6M3 - MATERIAL SOLO MOLE</t>
  </si>
  <si>
    <r>
      <rPr>
        <sz val="6"/>
        <color indexed="8"/>
        <rFont val="Arial"/>
        <family val="2"/>
      </rPr>
      <t>C</t>
    </r>
    <r>
      <rPr>
        <sz val="6"/>
        <color indexed="8"/>
        <rFont val="Arial"/>
        <family val="2"/>
      </rPr>
      <t>A</t>
    </r>
    <r>
      <rPr>
        <sz val="6"/>
        <color indexed="8"/>
        <rFont val="Arial"/>
        <family val="2"/>
      </rPr>
      <t>R</t>
    </r>
    <r>
      <rPr>
        <sz val="6"/>
        <color indexed="8"/>
        <rFont val="Arial"/>
        <family val="2"/>
      </rPr>
      <t>GA</t>
    </r>
    <r>
      <rPr>
        <sz val="6"/>
        <color indexed="8"/>
        <rFont val="Arial"/>
        <family val="2"/>
      </rPr>
      <t xml:space="preserve">  </t>
    </r>
    <r>
      <rPr>
        <sz val="6"/>
        <color indexed="8"/>
        <rFont val="Arial"/>
        <family val="2"/>
      </rPr>
      <t xml:space="preserve"> </t>
    </r>
    <r>
      <rPr>
        <sz val="6"/>
        <color indexed="8"/>
        <rFont val="Arial"/>
        <family val="2"/>
      </rPr>
      <t>M</t>
    </r>
    <r>
      <rPr>
        <sz val="6"/>
        <color indexed="8"/>
        <rFont val="Arial"/>
        <family val="2"/>
      </rPr>
      <t>E</t>
    </r>
    <r>
      <rPr>
        <sz val="6"/>
        <color indexed="8"/>
        <rFont val="Arial"/>
        <family val="2"/>
      </rPr>
      <t>C</t>
    </r>
    <r>
      <rPr>
        <sz val="6"/>
        <color indexed="8"/>
        <rFont val="Arial"/>
        <family val="2"/>
      </rPr>
      <t>A</t>
    </r>
    <r>
      <rPr>
        <sz val="6"/>
        <color indexed="8"/>
        <rFont val="Arial"/>
        <family val="2"/>
      </rPr>
      <t>N</t>
    </r>
    <r>
      <rPr>
        <sz val="6"/>
        <color indexed="8"/>
        <rFont val="Arial"/>
        <family val="2"/>
      </rPr>
      <t>I</t>
    </r>
    <r>
      <rPr>
        <sz val="6"/>
        <color indexed="8"/>
        <rFont val="Arial"/>
        <family val="2"/>
      </rPr>
      <t>Z</t>
    </r>
    <r>
      <rPr>
        <sz val="6"/>
        <color indexed="8"/>
        <rFont val="Arial"/>
        <family val="2"/>
      </rPr>
      <t>A</t>
    </r>
    <r>
      <rPr>
        <sz val="6"/>
        <color indexed="8"/>
        <rFont val="Arial"/>
        <family val="2"/>
      </rPr>
      <t>D</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t>
    </r>
    <r>
      <rPr>
        <sz val="6"/>
        <color indexed="8"/>
        <rFont val="Arial"/>
        <family val="2"/>
      </rPr>
      <t>C</t>
    </r>
    <r>
      <rPr>
        <sz val="6"/>
        <color indexed="8"/>
        <rFont val="Arial"/>
        <family val="2"/>
      </rPr>
      <t>OM</t>
    </r>
    <r>
      <rPr>
        <sz val="6"/>
        <color indexed="8"/>
        <rFont val="Arial"/>
        <family val="2"/>
      </rPr>
      <t xml:space="preserve">  </t>
    </r>
    <r>
      <rPr>
        <sz val="6"/>
        <color indexed="8"/>
        <rFont val="Arial"/>
        <family val="2"/>
      </rPr>
      <t xml:space="preserve"> </t>
    </r>
    <r>
      <rPr>
        <sz val="6"/>
        <color indexed="8"/>
        <rFont val="Arial"/>
        <family val="2"/>
      </rPr>
      <t>PÁ</t>
    </r>
    <r>
      <rPr>
        <sz val="6"/>
        <color indexed="8"/>
        <rFont val="Arial"/>
        <family val="2"/>
      </rPr>
      <t xml:space="preserve">  </t>
    </r>
    <r>
      <rPr>
        <sz val="6"/>
        <color indexed="8"/>
        <rFont val="Arial"/>
        <family val="2"/>
      </rPr>
      <t xml:space="preserve"> </t>
    </r>
    <r>
      <rPr>
        <sz val="6"/>
        <color indexed="8"/>
        <rFont val="Arial"/>
        <family val="2"/>
      </rPr>
      <t>C</t>
    </r>
    <r>
      <rPr>
        <sz val="6"/>
        <color indexed="8"/>
        <rFont val="Arial"/>
        <family val="2"/>
      </rPr>
      <t>A</t>
    </r>
    <r>
      <rPr>
        <sz val="6"/>
        <color indexed="8"/>
        <rFont val="Arial"/>
        <family val="2"/>
      </rPr>
      <t>R</t>
    </r>
    <r>
      <rPr>
        <sz val="6"/>
        <color indexed="8"/>
        <rFont val="Arial"/>
        <family val="2"/>
      </rPr>
      <t>R</t>
    </r>
    <r>
      <rPr>
        <sz val="6"/>
        <color indexed="8"/>
        <rFont val="Arial"/>
        <family val="2"/>
      </rPr>
      <t>E</t>
    </r>
    <r>
      <rPr>
        <sz val="6"/>
        <color indexed="8"/>
        <rFont val="Arial"/>
        <family val="2"/>
      </rPr>
      <t>G</t>
    </r>
    <r>
      <rPr>
        <sz val="6"/>
        <color indexed="8"/>
        <rFont val="Arial"/>
        <family val="2"/>
      </rPr>
      <t>A</t>
    </r>
    <r>
      <rPr>
        <sz val="6"/>
        <color indexed="8"/>
        <rFont val="Arial"/>
        <family val="2"/>
      </rPr>
      <t>D</t>
    </r>
    <r>
      <rPr>
        <sz val="6"/>
        <color indexed="8"/>
        <rFont val="Arial"/>
        <family val="2"/>
      </rPr>
      <t>E</t>
    </r>
    <r>
      <rPr>
        <sz val="6"/>
        <color indexed="8"/>
        <rFont val="Arial"/>
        <family val="2"/>
      </rPr>
      <t>I</t>
    </r>
    <r>
      <rPr>
        <sz val="6"/>
        <color indexed="8"/>
        <rFont val="Arial"/>
        <family val="2"/>
      </rPr>
      <t>R</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E</t>
    </r>
    <r>
      <rPr>
        <sz val="6"/>
        <color indexed="8"/>
        <rFont val="Arial"/>
        <family val="2"/>
      </rPr>
      <t>M</t>
    </r>
    <r>
      <rPr>
        <sz val="6"/>
        <color indexed="8"/>
        <rFont val="Arial"/>
        <family val="2"/>
      </rPr>
      <t xml:space="preserve">  </t>
    </r>
    <r>
      <rPr>
        <sz val="6"/>
        <color indexed="8"/>
        <rFont val="Arial"/>
        <family val="2"/>
      </rPr>
      <t xml:space="preserve"> </t>
    </r>
    <r>
      <rPr>
        <sz val="6"/>
        <color indexed="8"/>
        <rFont val="Arial"/>
        <family val="2"/>
      </rPr>
      <t>C</t>
    </r>
    <r>
      <rPr>
        <sz val="6"/>
        <color indexed="8"/>
        <rFont val="Arial"/>
        <family val="2"/>
      </rPr>
      <t>A</t>
    </r>
    <r>
      <rPr>
        <sz val="6"/>
        <color indexed="8"/>
        <rFont val="Arial"/>
        <family val="2"/>
      </rPr>
      <t>M</t>
    </r>
    <r>
      <rPr>
        <sz val="6"/>
        <color indexed="8"/>
        <rFont val="Arial"/>
        <family val="2"/>
      </rPr>
      <t>I</t>
    </r>
    <r>
      <rPr>
        <sz val="6"/>
        <color indexed="8"/>
        <rFont val="Arial"/>
        <family val="2"/>
      </rPr>
      <t>N</t>
    </r>
    <r>
      <rPr>
        <sz val="6"/>
        <color indexed="8"/>
        <rFont val="Arial"/>
        <family val="2"/>
      </rPr>
      <t>H</t>
    </r>
    <r>
      <rPr>
        <sz val="6"/>
        <color indexed="8"/>
        <rFont val="Arial"/>
        <family val="2"/>
      </rPr>
      <t>Ã</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B</t>
    </r>
    <r>
      <rPr>
        <sz val="6"/>
        <color indexed="8"/>
        <rFont val="Arial"/>
        <family val="2"/>
      </rPr>
      <t>A</t>
    </r>
    <r>
      <rPr>
        <sz val="6"/>
        <color indexed="8"/>
        <rFont val="Arial"/>
        <family val="2"/>
      </rPr>
      <t>S</t>
    </r>
    <r>
      <rPr>
        <sz val="6"/>
        <color indexed="8"/>
        <rFont val="Arial"/>
        <family val="2"/>
      </rPr>
      <t>C</t>
    </r>
    <r>
      <rPr>
        <sz val="6"/>
        <color indexed="8"/>
        <rFont val="Arial"/>
        <family val="2"/>
      </rPr>
      <t>U</t>
    </r>
    <r>
      <rPr>
        <sz val="6"/>
        <color indexed="8"/>
        <rFont val="Arial"/>
        <family val="2"/>
      </rPr>
      <t>LA</t>
    </r>
    <r>
      <rPr>
        <sz val="6"/>
        <color indexed="8"/>
        <rFont val="Arial"/>
        <family val="2"/>
      </rPr>
      <t>N</t>
    </r>
    <r>
      <rPr>
        <sz val="6"/>
        <color indexed="8"/>
        <rFont val="Arial"/>
        <family val="2"/>
      </rPr>
      <t>T</t>
    </r>
    <r>
      <rPr>
        <sz val="6"/>
        <color indexed="8"/>
        <rFont val="Arial"/>
        <family val="2"/>
      </rPr>
      <t>E</t>
    </r>
    <r>
      <rPr>
        <sz val="6"/>
        <color indexed="8"/>
        <rFont val="Arial"/>
        <family val="2"/>
      </rPr>
      <t xml:space="preserve">  </t>
    </r>
    <r>
      <rPr>
        <sz val="6"/>
        <color indexed="8"/>
        <rFont val="Arial"/>
        <family val="2"/>
      </rPr>
      <t xml:space="preserve"> </t>
    </r>
    <r>
      <rPr>
        <sz val="6"/>
        <color indexed="8"/>
        <rFont val="Arial"/>
        <family val="2"/>
      </rPr>
      <t>-</t>
    </r>
    <r>
      <rPr>
        <sz val="6"/>
        <color indexed="8"/>
        <rFont val="Arial"/>
        <family val="2"/>
      </rPr>
      <t xml:space="preserve">  </t>
    </r>
    <r>
      <rPr>
        <sz val="6"/>
        <color indexed="8"/>
        <rFont val="Arial"/>
        <family val="2"/>
      </rPr>
      <t xml:space="preserve"> </t>
    </r>
    <r>
      <rPr>
        <sz val="6"/>
        <color indexed="8"/>
        <rFont val="Arial"/>
        <family val="2"/>
      </rPr>
      <t>M</t>
    </r>
    <r>
      <rPr>
        <sz val="6"/>
        <color indexed="8"/>
        <rFont val="Arial"/>
        <family val="2"/>
      </rPr>
      <t>A</t>
    </r>
    <r>
      <rPr>
        <sz val="6"/>
        <color indexed="8"/>
        <rFont val="Arial"/>
        <family val="2"/>
      </rPr>
      <t>T</t>
    </r>
    <r>
      <rPr>
        <sz val="6"/>
        <color indexed="8"/>
        <rFont val="Arial"/>
        <family val="2"/>
      </rPr>
      <t>E</t>
    </r>
    <r>
      <rPr>
        <sz val="6"/>
        <color indexed="8"/>
        <rFont val="Arial"/>
        <family val="2"/>
      </rPr>
      <t>R</t>
    </r>
    <r>
      <rPr>
        <sz val="6"/>
        <color indexed="8"/>
        <rFont val="Arial"/>
        <family val="2"/>
      </rPr>
      <t>I</t>
    </r>
    <r>
      <rPr>
        <sz val="6"/>
        <color indexed="8"/>
        <rFont val="Arial"/>
        <family val="2"/>
      </rPr>
      <t>AL</t>
    </r>
    <r>
      <rPr>
        <sz val="6"/>
        <color indexed="8"/>
        <rFont val="Arial"/>
        <family val="2"/>
      </rPr>
      <t xml:space="preserve">  </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 xml:space="preserve"> </t>
    </r>
    <r>
      <rPr>
        <sz val="6"/>
        <color indexed="8"/>
        <rFont val="Arial"/>
        <family val="2"/>
      </rPr>
      <t>1ª</t>
    </r>
    <r>
      <rPr>
        <sz val="6"/>
        <color indexed="8"/>
        <rFont val="Arial"/>
        <family val="2"/>
      </rPr>
      <t xml:space="preserve"> </t>
    </r>
    <r>
      <rPr>
        <sz val="6"/>
        <color indexed="8"/>
        <rFont val="Arial"/>
        <family val="2"/>
      </rPr>
      <t>C</t>
    </r>
    <r>
      <rPr>
        <sz val="6"/>
        <color indexed="8"/>
        <rFont val="Arial"/>
        <family val="2"/>
      </rPr>
      <t>A</t>
    </r>
    <r>
      <rPr>
        <sz val="6"/>
        <color indexed="8"/>
        <rFont val="Arial"/>
        <family val="2"/>
      </rPr>
      <t>T</t>
    </r>
    <r>
      <rPr>
        <sz val="6"/>
        <color indexed="8"/>
        <rFont val="Arial"/>
        <family val="2"/>
      </rPr>
      <t>EG</t>
    </r>
    <r>
      <rPr>
        <sz val="6"/>
        <color indexed="8"/>
        <rFont val="Arial"/>
        <family val="2"/>
      </rPr>
      <t>O</t>
    </r>
    <r>
      <rPr>
        <sz val="6"/>
        <color indexed="8"/>
        <rFont val="Arial"/>
        <family val="2"/>
      </rPr>
      <t>R</t>
    </r>
    <r>
      <rPr>
        <sz val="6"/>
        <color indexed="8"/>
        <rFont val="Arial"/>
        <family val="2"/>
      </rPr>
      <t>I</t>
    </r>
    <r>
      <rPr>
        <sz val="6"/>
        <color indexed="8"/>
        <rFont val="Arial"/>
        <family val="2"/>
      </rPr>
      <t>A</t>
    </r>
  </si>
  <si>
    <r>
      <rPr>
        <sz val="6"/>
        <color indexed="8"/>
        <rFont val="Arial"/>
        <family val="2"/>
      </rPr>
      <t>C</t>
    </r>
    <r>
      <rPr>
        <sz val="6"/>
        <color indexed="8"/>
        <rFont val="Arial"/>
        <family val="2"/>
      </rPr>
      <t>A</t>
    </r>
    <r>
      <rPr>
        <sz val="6"/>
        <color indexed="8"/>
        <rFont val="Arial"/>
        <family val="2"/>
      </rPr>
      <t>R</t>
    </r>
    <r>
      <rPr>
        <sz val="6"/>
        <color indexed="8"/>
        <rFont val="Arial"/>
        <family val="2"/>
      </rPr>
      <t>GA</t>
    </r>
    <r>
      <rPr>
        <sz val="6"/>
        <color indexed="8"/>
        <rFont val="Arial"/>
        <family val="2"/>
      </rPr>
      <t xml:space="preserve">  </t>
    </r>
    <r>
      <rPr>
        <sz val="6"/>
        <color indexed="8"/>
        <rFont val="Arial"/>
        <family val="2"/>
      </rPr>
      <t xml:space="preserve"> </t>
    </r>
    <r>
      <rPr>
        <sz val="6"/>
        <color indexed="8"/>
        <rFont val="Arial"/>
        <family val="2"/>
      </rPr>
      <t>M</t>
    </r>
    <r>
      <rPr>
        <sz val="6"/>
        <color indexed="8"/>
        <rFont val="Arial"/>
        <family val="2"/>
      </rPr>
      <t>E</t>
    </r>
    <r>
      <rPr>
        <sz val="6"/>
        <color indexed="8"/>
        <rFont val="Arial"/>
        <family val="2"/>
      </rPr>
      <t>C</t>
    </r>
    <r>
      <rPr>
        <sz val="6"/>
        <color indexed="8"/>
        <rFont val="Arial"/>
        <family val="2"/>
      </rPr>
      <t>A</t>
    </r>
    <r>
      <rPr>
        <sz val="6"/>
        <color indexed="8"/>
        <rFont val="Arial"/>
        <family val="2"/>
      </rPr>
      <t>N</t>
    </r>
    <r>
      <rPr>
        <sz val="6"/>
        <color indexed="8"/>
        <rFont val="Arial"/>
        <family val="2"/>
      </rPr>
      <t>I</t>
    </r>
    <r>
      <rPr>
        <sz val="6"/>
        <color indexed="8"/>
        <rFont val="Arial"/>
        <family val="2"/>
      </rPr>
      <t>Z</t>
    </r>
    <r>
      <rPr>
        <sz val="6"/>
        <color indexed="8"/>
        <rFont val="Arial"/>
        <family val="2"/>
      </rPr>
      <t>A</t>
    </r>
    <r>
      <rPr>
        <sz val="6"/>
        <color indexed="8"/>
        <rFont val="Arial"/>
        <family val="2"/>
      </rPr>
      <t>D</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t>
    </r>
    <r>
      <rPr>
        <sz val="6"/>
        <color indexed="8"/>
        <rFont val="Arial"/>
        <family val="2"/>
      </rPr>
      <t>C</t>
    </r>
    <r>
      <rPr>
        <sz val="6"/>
        <color indexed="8"/>
        <rFont val="Arial"/>
        <family val="2"/>
      </rPr>
      <t>OM</t>
    </r>
    <r>
      <rPr>
        <sz val="6"/>
        <color indexed="8"/>
        <rFont val="Arial"/>
        <family val="2"/>
      </rPr>
      <t xml:space="preserve">  </t>
    </r>
    <r>
      <rPr>
        <sz val="6"/>
        <color indexed="8"/>
        <rFont val="Arial"/>
        <family val="2"/>
      </rPr>
      <t xml:space="preserve"> </t>
    </r>
    <r>
      <rPr>
        <sz val="6"/>
        <color indexed="8"/>
        <rFont val="Arial"/>
        <family val="2"/>
      </rPr>
      <t>PÁ</t>
    </r>
    <r>
      <rPr>
        <sz val="6"/>
        <color indexed="8"/>
        <rFont val="Arial"/>
        <family val="2"/>
      </rPr>
      <t xml:space="preserve">  </t>
    </r>
    <r>
      <rPr>
        <sz val="6"/>
        <color indexed="8"/>
        <rFont val="Arial"/>
        <family val="2"/>
      </rPr>
      <t xml:space="preserve"> </t>
    </r>
    <r>
      <rPr>
        <sz val="6"/>
        <color indexed="8"/>
        <rFont val="Arial"/>
        <family val="2"/>
      </rPr>
      <t>C</t>
    </r>
    <r>
      <rPr>
        <sz val="6"/>
        <color indexed="8"/>
        <rFont val="Arial"/>
        <family val="2"/>
      </rPr>
      <t>A</t>
    </r>
    <r>
      <rPr>
        <sz val="6"/>
        <color indexed="8"/>
        <rFont val="Arial"/>
        <family val="2"/>
      </rPr>
      <t>R</t>
    </r>
    <r>
      <rPr>
        <sz val="6"/>
        <color indexed="8"/>
        <rFont val="Arial"/>
        <family val="2"/>
      </rPr>
      <t>R</t>
    </r>
    <r>
      <rPr>
        <sz val="6"/>
        <color indexed="8"/>
        <rFont val="Arial"/>
        <family val="2"/>
      </rPr>
      <t>E</t>
    </r>
    <r>
      <rPr>
        <sz val="6"/>
        <color indexed="8"/>
        <rFont val="Arial"/>
        <family val="2"/>
      </rPr>
      <t>G</t>
    </r>
    <r>
      <rPr>
        <sz val="6"/>
        <color indexed="8"/>
        <rFont val="Arial"/>
        <family val="2"/>
      </rPr>
      <t>A</t>
    </r>
    <r>
      <rPr>
        <sz val="6"/>
        <color indexed="8"/>
        <rFont val="Arial"/>
        <family val="2"/>
      </rPr>
      <t>D</t>
    </r>
    <r>
      <rPr>
        <sz val="6"/>
        <color indexed="8"/>
        <rFont val="Arial"/>
        <family val="2"/>
      </rPr>
      <t>E</t>
    </r>
    <r>
      <rPr>
        <sz val="6"/>
        <color indexed="8"/>
        <rFont val="Arial"/>
        <family val="2"/>
      </rPr>
      <t>I</t>
    </r>
    <r>
      <rPr>
        <sz val="6"/>
        <color indexed="8"/>
        <rFont val="Arial"/>
        <family val="2"/>
      </rPr>
      <t>R</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E</t>
    </r>
    <r>
      <rPr>
        <sz val="6"/>
        <color indexed="8"/>
        <rFont val="Arial"/>
        <family val="2"/>
      </rPr>
      <t>M</t>
    </r>
    <r>
      <rPr>
        <sz val="6"/>
        <color indexed="8"/>
        <rFont val="Arial"/>
        <family val="2"/>
      </rPr>
      <t xml:space="preserve">  </t>
    </r>
    <r>
      <rPr>
        <sz val="6"/>
        <color indexed="8"/>
        <rFont val="Arial"/>
        <family val="2"/>
      </rPr>
      <t xml:space="preserve"> </t>
    </r>
    <r>
      <rPr>
        <sz val="6"/>
        <color indexed="8"/>
        <rFont val="Arial"/>
        <family val="2"/>
      </rPr>
      <t>C</t>
    </r>
    <r>
      <rPr>
        <sz val="6"/>
        <color indexed="8"/>
        <rFont val="Arial"/>
        <family val="2"/>
      </rPr>
      <t>A</t>
    </r>
    <r>
      <rPr>
        <sz val="6"/>
        <color indexed="8"/>
        <rFont val="Arial"/>
        <family val="2"/>
      </rPr>
      <t>M</t>
    </r>
    <r>
      <rPr>
        <sz val="6"/>
        <color indexed="8"/>
        <rFont val="Arial"/>
        <family val="2"/>
      </rPr>
      <t>I</t>
    </r>
    <r>
      <rPr>
        <sz val="6"/>
        <color indexed="8"/>
        <rFont val="Arial"/>
        <family val="2"/>
      </rPr>
      <t>N</t>
    </r>
    <r>
      <rPr>
        <sz val="6"/>
        <color indexed="8"/>
        <rFont val="Arial"/>
        <family val="2"/>
      </rPr>
      <t>H</t>
    </r>
    <r>
      <rPr>
        <sz val="6"/>
        <color indexed="8"/>
        <rFont val="Arial"/>
        <family val="2"/>
      </rPr>
      <t>Ã</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B</t>
    </r>
    <r>
      <rPr>
        <sz val="6"/>
        <color indexed="8"/>
        <rFont val="Arial"/>
        <family val="2"/>
      </rPr>
      <t>A</t>
    </r>
    <r>
      <rPr>
        <sz val="6"/>
        <color indexed="8"/>
        <rFont val="Arial"/>
        <family val="2"/>
      </rPr>
      <t>S</t>
    </r>
    <r>
      <rPr>
        <sz val="6"/>
        <color indexed="8"/>
        <rFont val="Arial"/>
        <family val="2"/>
      </rPr>
      <t>C</t>
    </r>
    <r>
      <rPr>
        <sz val="6"/>
        <color indexed="8"/>
        <rFont val="Arial"/>
        <family val="2"/>
      </rPr>
      <t>U</t>
    </r>
    <r>
      <rPr>
        <sz val="6"/>
        <color indexed="8"/>
        <rFont val="Arial"/>
        <family val="2"/>
      </rPr>
      <t>LA</t>
    </r>
    <r>
      <rPr>
        <sz val="6"/>
        <color indexed="8"/>
        <rFont val="Arial"/>
        <family val="2"/>
      </rPr>
      <t>N</t>
    </r>
    <r>
      <rPr>
        <sz val="6"/>
        <color indexed="8"/>
        <rFont val="Arial"/>
        <family val="2"/>
      </rPr>
      <t>T</t>
    </r>
    <r>
      <rPr>
        <sz val="6"/>
        <color indexed="8"/>
        <rFont val="Arial"/>
        <family val="2"/>
      </rPr>
      <t>E</t>
    </r>
    <r>
      <rPr>
        <sz val="6"/>
        <color indexed="8"/>
        <rFont val="Arial"/>
        <family val="2"/>
      </rPr>
      <t xml:space="preserve">  </t>
    </r>
    <r>
      <rPr>
        <sz val="6"/>
        <color indexed="8"/>
        <rFont val="Arial"/>
        <family val="2"/>
      </rPr>
      <t xml:space="preserve"> </t>
    </r>
    <r>
      <rPr>
        <sz val="6"/>
        <color indexed="8"/>
        <rFont val="Arial"/>
        <family val="2"/>
      </rPr>
      <t>-</t>
    </r>
    <r>
      <rPr>
        <sz val="6"/>
        <color indexed="8"/>
        <rFont val="Arial"/>
        <family val="2"/>
      </rPr>
      <t xml:space="preserve">  </t>
    </r>
    <r>
      <rPr>
        <sz val="6"/>
        <color indexed="8"/>
        <rFont val="Arial"/>
        <family val="2"/>
      </rPr>
      <t xml:space="preserve"> </t>
    </r>
    <r>
      <rPr>
        <sz val="6"/>
        <color indexed="8"/>
        <rFont val="Arial"/>
        <family val="2"/>
      </rPr>
      <t>M</t>
    </r>
    <r>
      <rPr>
        <sz val="6"/>
        <color indexed="8"/>
        <rFont val="Arial"/>
        <family val="2"/>
      </rPr>
      <t>A</t>
    </r>
    <r>
      <rPr>
        <sz val="6"/>
        <color indexed="8"/>
        <rFont val="Arial"/>
        <family val="2"/>
      </rPr>
      <t>T</t>
    </r>
    <r>
      <rPr>
        <sz val="6"/>
        <color indexed="8"/>
        <rFont val="Arial"/>
        <family val="2"/>
      </rPr>
      <t>E</t>
    </r>
    <r>
      <rPr>
        <sz val="6"/>
        <color indexed="8"/>
        <rFont val="Arial"/>
        <family val="2"/>
      </rPr>
      <t>R</t>
    </r>
    <r>
      <rPr>
        <sz val="6"/>
        <color indexed="8"/>
        <rFont val="Arial"/>
        <family val="2"/>
      </rPr>
      <t>I</t>
    </r>
    <r>
      <rPr>
        <sz val="6"/>
        <color indexed="8"/>
        <rFont val="Arial"/>
        <family val="2"/>
      </rPr>
      <t>AL</t>
    </r>
    <r>
      <rPr>
        <sz val="6"/>
        <color indexed="8"/>
        <rFont val="Arial"/>
        <family val="2"/>
      </rPr>
      <t xml:space="preserve">  </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 xml:space="preserve"> </t>
    </r>
    <r>
      <rPr>
        <sz val="6"/>
        <color indexed="8"/>
        <rFont val="Arial"/>
        <family val="2"/>
      </rPr>
      <t>2ª</t>
    </r>
    <r>
      <rPr>
        <sz val="6"/>
        <color indexed="8"/>
        <rFont val="Arial"/>
        <family val="2"/>
      </rPr>
      <t xml:space="preserve"> </t>
    </r>
    <r>
      <rPr>
        <sz val="6"/>
        <color indexed="8"/>
        <rFont val="Arial"/>
        <family val="2"/>
      </rPr>
      <t>C</t>
    </r>
    <r>
      <rPr>
        <sz val="6"/>
        <color indexed="8"/>
        <rFont val="Arial"/>
        <family val="2"/>
      </rPr>
      <t>A</t>
    </r>
    <r>
      <rPr>
        <sz val="6"/>
        <color indexed="8"/>
        <rFont val="Arial"/>
        <family val="2"/>
      </rPr>
      <t>T</t>
    </r>
    <r>
      <rPr>
        <sz val="6"/>
        <color indexed="8"/>
        <rFont val="Arial"/>
        <family val="2"/>
      </rPr>
      <t>EG</t>
    </r>
    <r>
      <rPr>
        <sz val="6"/>
        <color indexed="8"/>
        <rFont val="Arial"/>
        <family val="2"/>
      </rPr>
      <t>O</t>
    </r>
    <r>
      <rPr>
        <sz val="6"/>
        <color indexed="8"/>
        <rFont val="Arial"/>
        <family val="2"/>
      </rPr>
      <t>R</t>
    </r>
    <r>
      <rPr>
        <sz val="6"/>
        <color indexed="8"/>
        <rFont val="Arial"/>
        <family val="2"/>
      </rPr>
      <t>I</t>
    </r>
    <r>
      <rPr>
        <sz val="6"/>
        <color indexed="8"/>
        <rFont val="Arial"/>
        <family val="2"/>
      </rPr>
      <t>A</t>
    </r>
  </si>
  <si>
    <r>
      <rPr>
        <sz val="6"/>
        <color indexed="8"/>
        <rFont val="Arial"/>
        <family val="2"/>
      </rPr>
      <t>C</t>
    </r>
    <r>
      <rPr>
        <sz val="6"/>
        <color indexed="8"/>
        <rFont val="Arial"/>
        <family val="2"/>
      </rPr>
      <t>A</t>
    </r>
    <r>
      <rPr>
        <sz val="6"/>
        <color indexed="8"/>
        <rFont val="Arial"/>
        <family val="2"/>
      </rPr>
      <t>R</t>
    </r>
    <r>
      <rPr>
        <sz val="6"/>
        <color indexed="8"/>
        <rFont val="Arial"/>
        <family val="2"/>
      </rPr>
      <t>GA</t>
    </r>
    <r>
      <rPr>
        <sz val="6"/>
        <color indexed="8"/>
        <rFont val="Arial"/>
        <family val="2"/>
      </rPr>
      <t xml:space="preserve">  </t>
    </r>
    <r>
      <rPr>
        <sz val="6"/>
        <color indexed="8"/>
        <rFont val="Arial"/>
        <family val="2"/>
      </rPr>
      <t xml:space="preserve"> </t>
    </r>
    <r>
      <rPr>
        <sz val="6"/>
        <color indexed="8"/>
        <rFont val="Arial"/>
        <family val="2"/>
      </rPr>
      <t>M</t>
    </r>
    <r>
      <rPr>
        <sz val="6"/>
        <color indexed="8"/>
        <rFont val="Arial"/>
        <family val="2"/>
      </rPr>
      <t>E</t>
    </r>
    <r>
      <rPr>
        <sz val="6"/>
        <color indexed="8"/>
        <rFont val="Arial"/>
        <family val="2"/>
      </rPr>
      <t>C</t>
    </r>
    <r>
      <rPr>
        <sz val="6"/>
        <color indexed="8"/>
        <rFont val="Arial"/>
        <family val="2"/>
      </rPr>
      <t>A</t>
    </r>
    <r>
      <rPr>
        <sz val="6"/>
        <color indexed="8"/>
        <rFont val="Arial"/>
        <family val="2"/>
      </rPr>
      <t>N</t>
    </r>
    <r>
      <rPr>
        <sz val="6"/>
        <color indexed="8"/>
        <rFont val="Arial"/>
        <family val="2"/>
      </rPr>
      <t>I</t>
    </r>
    <r>
      <rPr>
        <sz val="6"/>
        <color indexed="8"/>
        <rFont val="Arial"/>
        <family val="2"/>
      </rPr>
      <t>Z</t>
    </r>
    <r>
      <rPr>
        <sz val="6"/>
        <color indexed="8"/>
        <rFont val="Arial"/>
        <family val="2"/>
      </rPr>
      <t>A</t>
    </r>
    <r>
      <rPr>
        <sz val="6"/>
        <color indexed="8"/>
        <rFont val="Arial"/>
        <family val="2"/>
      </rPr>
      <t>D</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t>
    </r>
    <r>
      <rPr>
        <sz val="6"/>
        <color indexed="8"/>
        <rFont val="Arial"/>
        <family val="2"/>
      </rPr>
      <t>C</t>
    </r>
    <r>
      <rPr>
        <sz val="6"/>
        <color indexed="8"/>
        <rFont val="Arial"/>
        <family val="2"/>
      </rPr>
      <t>OM</t>
    </r>
    <r>
      <rPr>
        <sz val="6"/>
        <color indexed="8"/>
        <rFont val="Arial"/>
        <family val="2"/>
      </rPr>
      <t xml:space="preserve">  </t>
    </r>
    <r>
      <rPr>
        <sz val="6"/>
        <color indexed="8"/>
        <rFont val="Arial"/>
        <family val="2"/>
      </rPr>
      <t xml:space="preserve"> </t>
    </r>
    <r>
      <rPr>
        <sz val="6"/>
        <color indexed="8"/>
        <rFont val="Arial"/>
        <family val="2"/>
      </rPr>
      <t>PÁ</t>
    </r>
    <r>
      <rPr>
        <sz val="6"/>
        <color indexed="8"/>
        <rFont val="Arial"/>
        <family val="2"/>
      </rPr>
      <t xml:space="preserve">  </t>
    </r>
    <r>
      <rPr>
        <sz val="6"/>
        <color indexed="8"/>
        <rFont val="Arial"/>
        <family val="2"/>
      </rPr>
      <t xml:space="preserve"> </t>
    </r>
    <r>
      <rPr>
        <sz val="6"/>
        <color indexed="8"/>
        <rFont val="Arial"/>
        <family val="2"/>
      </rPr>
      <t>C</t>
    </r>
    <r>
      <rPr>
        <sz val="6"/>
        <color indexed="8"/>
        <rFont val="Arial"/>
        <family val="2"/>
      </rPr>
      <t>A</t>
    </r>
    <r>
      <rPr>
        <sz val="6"/>
        <color indexed="8"/>
        <rFont val="Arial"/>
        <family val="2"/>
      </rPr>
      <t>R</t>
    </r>
    <r>
      <rPr>
        <sz val="6"/>
        <color indexed="8"/>
        <rFont val="Arial"/>
        <family val="2"/>
      </rPr>
      <t>R</t>
    </r>
    <r>
      <rPr>
        <sz val="6"/>
        <color indexed="8"/>
        <rFont val="Arial"/>
        <family val="2"/>
      </rPr>
      <t>E</t>
    </r>
    <r>
      <rPr>
        <sz val="6"/>
        <color indexed="8"/>
        <rFont val="Arial"/>
        <family val="2"/>
      </rPr>
      <t>G</t>
    </r>
    <r>
      <rPr>
        <sz val="6"/>
        <color indexed="8"/>
        <rFont val="Arial"/>
        <family val="2"/>
      </rPr>
      <t>A</t>
    </r>
    <r>
      <rPr>
        <sz val="6"/>
        <color indexed="8"/>
        <rFont val="Arial"/>
        <family val="2"/>
      </rPr>
      <t>D</t>
    </r>
    <r>
      <rPr>
        <sz val="6"/>
        <color indexed="8"/>
        <rFont val="Arial"/>
        <family val="2"/>
      </rPr>
      <t>E</t>
    </r>
    <r>
      <rPr>
        <sz val="6"/>
        <color indexed="8"/>
        <rFont val="Arial"/>
        <family val="2"/>
      </rPr>
      <t>I</t>
    </r>
    <r>
      <rPr>
        <sz val="6"/>
        <color indexed="8"/>
        <rFont val="Arial"/>
        <family val="2"/>
      </rPr>
      <t>R</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E</t>
    </r>
    <r>
      <rPr>
        <sz val="6"/>
        <color indexed="8"/>
        <rFont val="Arial"/>
        <family val="2"/>
      </rPr>
      <t>M</t>
    </r>
    <r>
      <rPr>
        <sz val="6"/>
        <color indexed="8"/>
        <rFont val="Arial"/>
        <family val="2"/>
      </rPr>
      <t xml:space="preserve">  </t>
    </r>
    <r>
      <rPr>
        <sz val="6"/>
        <color indexed="8"/>
        <rFont val="Arial"/>
        <family val="2"/>
      </rPr>
      <t xml:space="preserve"> </t>
    </r>
    <r>
      <rPr>
        <sz val="6"/>
        <color indexed="8"/>
        <rFont val="Arial"/>
        <family val="2"/>
      </rPr>
      <t>C</t>
    </r>
    <r>
      <rPr>
        <sz val="6"/>
        <color indexed="8"/>
        <rFont val="Arial"/>
        <family val="2"/>
      </rPr>
      <t>A</t>
    </r>
    <r>
      <rPr>
        <sz val="6"/>
        <color indexed="8"/>
        <rFont val="Arial"/>
        <family val="2"/>
      </rPr>
      <t>M</t>
    </r>
    <r>
      <rPr>
        <sz val="6"/>
        <color indexed="8"/>
        <rFont val="Arial"/>
        <family val="2"/>
      </rPr>
      <t>I</t>
    </r>
    <r>
      <rPr>
        <sz val="6"/>
        <color indexed="8"/>
        <rFont val="Arial"/>
        <family val="2"/>
      </rPr>
      <t>N</t>
    </r>
    <r>
      <rPr>
        <sz val="6"/>
        <color indexed="8"/>
        <rFont val="Arial"/>
        <family val="2"/>
      </rPr>
      <t>H</t>
    </r>
    <r>
      <rPr>
        <sz val="6"/>
        <color indexed="8"/>
        <rFont val="Arial"/>
        <family val="2"/>
      </rPr>
      <t>Ã</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B</t>
    </r>
    <r>
      <rPr>
        <sz val="6"/>
        <color indexed="8"/>
        <rFont val="Arial"/>
        <family val="2"/>
      </rPr>
      <t>A</t>
    </r>
    <r>
      <rPr>
        <sz val="6"/>
        <color indexed="8"/>
        <rFont val="Arial"/>
        <family val="2"/>
      </rPr>
      <t>S</t>
    </r>
    <r>
      <rPr>
        <sz val="6"/>
        <color indexed="8"/>
        <rFont val="Arial"/>
        <family val="2"/>
      </rPr>
      <t>C</t>
    </r>
    <r>
      <rPr>
        <sz val="6"/>
        <color indexed="8"/>
        <rFont val="Arial"/>
        <family val="2"/>
      </rPr>
      <t>U</t>
    </r>
    <r>
      <rPr>
        <sz val="6"/>
        <color indexed="8"/>
        <rFont val="Arial"/>
        <family val="2"/>
      </rPr>
      <t>LA</t>
    </r>
    <r>
      <rPr>
        <sz val="6"/>
        <color indexed="8"/>
        <rFont val="Arial"/>
        <family val="2"/>
      </rPr>
      <t>N</t>
    </r>
    <r>
      <rPr>
        <sz val="6"/>
        <color indexed="8"/>
        <rFont val="Arial"/>
        <family val="2"/>
      </rPr>
      <t>T</t>
    </r>
    <r>
      <rPr>
        <sz val="6"/>
        <color indexed="8"/>
        <rFont val="Arial"/>
        <family val="2"/>
      </rPr>
      <t>E</t>
    </r>
    <r>
      <rPr>
        <sz val="6"/>
        <color indexed="8"/>
        <rFont val="Arial"/>
        <family val="2"/>
      </rPr>
      <t xml:space="preserve">  </t>
    </r>
    <r>
      <rPr>
        <sz val="6"/>
        <color indexed="8"/>
        <rFont val="Arial"/>
        <family val="2"/>
      </rPr>
      <t xml:space="preserve"> </t>
    </r>
    <r>
      <rPr>
        <sz val="6"/>
        <color indexed="8"/>
        <rFont val="Arial"/>
        <family val="2"/>
      </rPr>
      <t>-</t>
    </r>
    <r>
      <rPr>
        <sz val="6"/>
        <color indexed="8"/>
        <rFont val="Arial"/>
        <family val="2"/>
      </rPr>
      <t xml:space="preserve">  </t>
    </r>
    <r>
      <rPr>
        <sz val="6"/>
        <color indexed="8"/>
        <rFont val="Arial"/>
        <family val="2"/>
      </rPr>
      <t xml:space="preserve"> </t>
    </r>
    <r>
      <rPr>
        <sz val="6"/>
        <color indexed="8"/>
        <rFont val="Arial"/>
        <family val="2"/>
      </rPr>
      <t>M</t>
    </r>
    <r>
      <rPr>
        <sz val="6"/>
        <color indexed="8"/>
        <rFont val="Arial"/>
        <family val="2"/>
      </rPr>
      <t>A</t>
    </r>
    <r>
      <rPr>
        <sz val="6"/>
        <color indexed="8"/>
        <rFont val="Arial"/>
        <family val="2"/>
      </rPr>
      <t>T</t>
    </r>
    <r>
      <rPr>
        <sz val="6"/>
        <color indexed="8"/>
        <rFont val="Arial"/>
        <family val="2"/>
      </rPr>
      <t>E</t>
    </r>
    <r>
      <rPr>
        <sz val="6"/>
        <color indexed="8"/>
        <rFont val="Arial"/>
        <family val="2"/>
      </rPr>
      <t>R</t>
    </r>
    <r>
      <rPr>
        <sz val="6"/>
        <color indexed="8"/>
        <rFont val="Arial"/>
        <family val="2"/>
      </rPr>
      <t>I</t>
    </r>
    <r>
      <rPr>
        <sz val="6"/>
        <color indexed="8"/>
        <rFont val="Arial"/>
        <family val="2"/>
      </rPr>
      <t>AL</t>
    </r>
    <r>
      <rPr>
        <sz val="6"/>
        <color indexed="8"/>
        <rFont val="Arial"/>
        <family val="2"/>
      </rPr>
      <t xml:space="preserve">  </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 xml:space="preserve"> </t>
    </r>
    <r>
      <rPr>
        <sz val="6"/>
        <color indexed="8"/>
        <rFont val="Arial"/>
        <family val="2"/>
      </rPr>
      <t>3ª</t>
    </r>
    <r>
      <rPr>
        <sz val="6"/>
        <color indexed="8"/>
        <rFont val="Arial"/>
        <family val="2"/>
      </rPr>
      <t xml:space="preserve"> </t>
    </r>
    <r>
      <rPr>
        <sz val="6"/>
        <color indexed="8"/>
        <rFont val="Arial"/>
        <family val="2"/>
      </rPr>
      <t>C</t>
    </r>
    <r>
      <rPr>
        <sz val="6"/>
        <color indexed="8"/>
        <rFont val="Arial"/>
        <family val="2"/>
      </rPr>
      <t>A</t>
    </r>
    <r>
      <rPr>
        <sz val="6"/>
        <color indexed="8"/>
        <rFont val="Arial"/>
        <family val="2"/>
      </rPr>
      <t>T</t>
    </r>
    <r>
      <rPr>
        <sz val="6"/>
        <color indexed="8"/>
        <rFont val="Arial"/>
        <family val="2"/>
      </rPr>
      <t>EG</t>
    </r>
    <r>
      <rPr>
        <sz val="6"/>
        <color indexed="8"/>
        <rFont val="Arial"/>
        <family val="2"/>
      </rPr>
      <t>O</t>
    </r>
    <r>
      <rPr>
        <sz val="6"/>
        <color indexed="8"/>
        <rFont val="Arial"/>
        <family val="2"/>
      </rPr>
      <t>R</t>
    </r>
    <r>
      <rPr>
        <sz val="6"/>
        <color indexed="8"/>
        <rFont val="Arial"/>
        <family val="2"/>
      </rPr>
      <t>I</t>
    </r>
    <r>
      <rPr>
        <sz val="6"/>
        <color indexed="8"/>
        <rFont val="Arial"/>
        <family val="2"/>
      </rPr>
      <t>A</t>
    </r>
  </si>
  <si>
    <t>CARGA MECANIZADA  (COM PÁ CARREGADEIRA) EM CAMINHÃO  BASCULANTE CAP. 10M3 - MATERIAL  DE 1ª CATEGORIA</t>
  </si>
  <si>
    <t>CARGA MECANIZADA  (COM PÁ CARREGADEIRA) EM CAMINHÃO  BASCULANTE CAP. 10M3 - MATERIAL  DE 2ª CATEGORIA</t>
  </si>
  <si>
    <t>CARGA MECANIZADA  (COM PÁ CARREGADEIRA) EM CAMINHÃO  BASCULANTE CAP. 10M3 - MATERIAL  DE 3ª CATEGORIA</t>
  </si>
  <si>
    <t>CARGA  MECANIZADA  (COM  PÁ CARREGADEIRA) EM CAMINHÃO  BASCULANTE CAP. 10M3 - MATERIAL  DE JAZIDA</t>
  </si>
  <si>
    <t>CARGA MECANIZADA  (COM PÁ CARREGADEIRA) EM CAMINHÃO  BASCULANTE CAP. 10M3 - MATERIAL  SOLO MOLE</t>
  </si>
  <si>
    <t>CARGA  MECANIZADA  (COM  PÁ CARREGADEIRA) EM CAMINHÃO  BASCULANTE CAP.  6M3 - MATERIAL  DE JAZIDA</t>
  </si>
  <si>
    <t>CARGA MECANIZADA  (COM PÁ CARREGADEIRA) EM CAMINHÃO  BASCULANTE CAP. 6M3 - MATERIAL  SOLO MOLE</t>
  </si>
  <si>
    <t>TRANSPORTE  E  DESCARGA  DE  ENTULHO  (M3  X KM)  - EM  CAMINHÃO  BASCULANTE  CAP.  10  M3  - COM</t>
  </si>
  <si>
    <r>
      <rPr>
        <sz val="6"/>
        <color indexed="8"/>
        <rFont val="Arial"/>
        <family val="2"/>
      </rPr>
      <t>1509</t>
    </r>
  </si>
  <si>
    <t>TRANSPORTE  E  DESCARGA   DE  ENTULHO  (M3  X  KM)  -  EM  CAMINHÃO  BASCULANTE  CAP.  6  M3  -  COM EMPOLAMENTO</t>
  </si>
  <si>
    <t>TRANSPORTE E DESCARGA  DE MATERIAL DE 1ª OU 2ª CATEGORIA  (M3 X KM) - EM CAMINHÃO  BASCULANTE CAP. 10 M3 - COM EMPOLAMENTO</t>
  </si>
  <si>
    <t>TRANSPORTE E DESCARGA  DE MATERIAL  DE 3ª CATEGORIA  (M3 X KM) - EM CAMINHÃO  BASCULANTE CAP.
10 M3 - COM EMPOLAMENTO</t>
  </si>
  <si>
    <t>TRANSPORTE E DESCARGA  DE MATERIAL  DE 3ª CATEGORIA  (M3 X KM) - EM CAMINHÃO  BASCULANTE CAP.
6 M3 - COM EMPOLAMENTO</t>
  </si>
  <si>
    <t>TRANSPORTE E DESCARGA  DE MATERIAL  DE JAZIDA (M3 X KM) - EM CAMINHÃO  BASCULANTE CAP. 10 M3 - COM EMPOLAMENTO</t>
  </si>
  <si>
    <t>TRANSPORTE E DESCARGA  DE MATERIAL  DE JAZIDA (M3 X KM) - EM CAMINHÃO  BASCULANTE CAP. 6 M3 - COM EMPOLAMENTO</t>
  </si>
  <si>
    <t>TRANSPORTE E DESCARGA  DE MATERIAL  DE SOLO MOLE (M3 X KM) - EM CAMINHÃO  BASCULANTE CAP. 10
M3 - COM EMPOLAMENTO</t>
  </si>
  <si>
    <t>TRANSPORTE E DESCARGA  DE MATERIAL  DE SOLO MOLE (M3 X KM) - EM CAMINHÃO  BASCULANTE CAP. 6
M3 - COM EMPOLAMENTO</t>
  </si>
  <si>
    <r>
      <rPr>
        <b/>
        <sz val="6"/>
        <color indexed="8"/>
        <rFont val="Arial"/>
        <family val="2"/>
      </rPr>
      <t>C</t>
    </r>
    <r>
      <rPr>
        <b/>
        <sz val="6"/>
        <color indexed="8"/>
        <rFont val="Arial"/>
        <family val="2"/>
      </rPr>
      <t>T</t>
    </r>
    <r>
      <rPr>
        <b/>
        <sz val="6"/>
        <color indexed="8"/>
        <rFont val="Arial"/>
        <family val="2"/>
      </rPr>
      <t>D</t>
    </r>
    <r>
      <rPr>
        <b/>
        <sz val="6"/>
        <color indexed="8"/>
        <rFont val="Arial"/>
        <family val="2"/>
      </rPr>
      <t xml:space="preserve"> </t>
    </r>
    <r>
      <rPr>
        <b/>
        <sz val="6"/>
        <color indexed="8"/>
        <rFont val="Arial"/>
        <family val="2"/>
      </rPr>
      <t>E</t>
    </r>
    <r>
      <rPr>
        <b/>
        <sz val="6"/>
        <color indexed="8"/>
        <rFont val="Arial"/>
        <family val="2"/>
      </rPr>
      <t xml:space="preserve"> </t>
    </r>
    <r>
      <rPr>
        <b/>
        <sz val="6"/>
        <color indexed="8"/>
        <rFont val="Arial"/>
        <family val="2"/>
      </rPr>
      <t>M</t>
    </r>
    <r>
      <rPr>
        <b/>
        <sz val="6"/>
        <color indexed="8"/>
        <rFont val="Arial"/>
        <family val="2"/>
      </rPr>
      <t>O</t>
    </r>
    <r>
      <rPr>
        <b/>
        <sz val="6"/>
        <color indexed="8"/>
        <rFont val="Arial"/>
        <family val="2"/>
      </rPr>
      <t>N</t>
    </r>
    <r>
      <rPr>
        <b/>
        <sz val="6"/>
        <color indexed="8"/>
        <rFont val="Arial"/>
        <family val="2"/>
      </rPr>
      <t>T</t>
    </r>
    <r>
      <rPr>
        <b/>
        <sz val="6"/>
        <color indexed="8"/>
        <rFont val="Arial"/>
        <family val="2"/>
      </rPr>
      <t>A</t>
    </r>
    <r>
      <rPr>
        <b/>
        <sz val="6"/>
        <color indexed="8"/>
        <rFont val="Arial"/>
        <family val="2"/>
      </rPr>
      <t>GEM</t>
    </r>
    <r>
      <rPr>
        <b/>
        <sz val="6"/>
        <color indexed="8"/>
        <rFont val="Arial"/>
        <family val="2"/>
      </rPr>
      <t xml:space="preserve"> </t>
    </r>
    <r>
      <rPr>
        <b/>
        <sz val="6"/>
        <color indexed="8"/>
        <rFont val="Arial"/>
        <family val="2"/>
      </rPr>
      <t xml:space="preserve"> </t>
    </r>
    <r>
      <rPr>
        <b/>
        <sz val="6"/>
        <color indexed="8"/>
        <rFont val="Arial"/>
        <family val="2"/>
      </rPr>
      <t>D</t>
    </r>
    <r>
      <rPr>
        <b/>
        <sz val="6"/>
        <color indexed="8"/>
        <rFont val="Arial"/>
        <family val="2"/>
      </rPr>
      <t>E</t>
    </r>
    <r>
      <rPr>
        <b/>
        <sz val="6"/>
        <color indexed="8"/>
        <rFont val="Arial"/>
        <family val="2"/>
      </rPr>
      <t xml:space="preserve"> </t>
    </r>
    <r>
      <rPr>
        <b/>
        <sz val="6"/>
        <color indexed="8"/>
        <rFont val="Arial"/>
        <family val="2"/>
      </rPr>
      <t>T</t>
    </r>
    <r>
      <rPr>
        <b/>
        <sz val="6"/>
        <color indexed="8"/>
        <rFont val="Arial"/>
        <family val="2"/>
      </rPr>
      <t>U</t>
    </r>
    <r>
      <rPr>
        <b/>
        <sz val="6"/>
        <color indexed="8"/>
        <rFont val="Arial"/>
        <family val="2"/>
      </rPr>
      <t>B</t>
    </r>
    <r>
      <rPr>
        <b/>
        <sz val="6"/>
        <color indexed="8"/>
        <rFont val="Arial"/>
        <family val="2"/>
      </rPr>
      <t>OS</t>
    </r>
    <r>
      <rPr>
        <b/>
        <sz val="6"/>
        <color indexed="8"/>
        <rFont val="Arial"/>
        <family val="2"/>
      </rPr>
      <t xml:space="preserve"> </t>
    </r>
    <r>
      <rPr>
        <b/>
        <sz val="6"/>
        <color indexed="8"/>
        <rFont val="Arial"/>
        <family val="2"/>
      </rPr>
      <t>/</t>
    </r>
    <r>
      <rPr>
        <b/>
        <sz val="6"/>
        <color indexed="8"/>
        <rFont val="Arial"/>
        <family val="2"/>
      </rPr>
      <t xml:space="preserve"> </t>
    </r>
    <r>
      <rPr>
        <b/>
        <sz val="6"/>
        <color indexed="8"/>
        <rFont val="Arial"/>
        <family val="2"/>
      </rPr>
      <t>C</t>
    </r>
    <r>
      <rPr>
        <b/>
        <sz val="6"/>
        <color indexed="8"/>
        <rFont val="Arial"/>
        <family val="2"/>
      </rPr>
      <t>O</t>
    </r>
    <r>
      <rPr>
        <b/>
        <sz val="6"/>
        <color indexed="8"/>
        <rFont val="Arial"/>
        <family val="2"/>
      </rPr>
      <t>N</t>
    </r>
    <r>
      <rPr>
        <b/>
        <sz val="6"/>
        <color indexed="8"/>
        <rFont val="Arial"/>
        <family val="2"/>
      </rPr>
      <t>EXÕES</t>
    </r>
  </si>
  <si>
    <t>CTD E MONTAGEM  DE TUBO DE CONCRETO  JE EA-2 DN 1000</t>
  </si>
  <si>
    <t>CTD E MONTAGEM  DE TUBO DE CONCRETO  JE EA-2 DN 1200</t>
  </si>
  <si>
    <t>CTD E MONTAGEM  DE TUBO DE CONCRETO  JE EA-2 DN 300</t>
  </si>
  <si>
    <t>CTD E MONTAGEM  DE TUBO DE CONCRETO  JE EA-2 DN 400</t>
  </si>
  <si>
    <t>CTD E MONTAGEM  DE TUBO DE CONCRETO  JE EA-2 DN 500</t>
  </si>
  <si>
    <t>CTD E MONTAGEM  DE TUBO DE CONCRETO  JE EA-2 DN 600</t>
  </si>
  <si>
    <t>CTD E MONTAGEM  DE TUBO DE CONCRETO  JE EA-2 DN 700</t>
  </si>
  <si>
    <t>CTD E MONTAGEM  DE TUBO DE CONCRETO  JE EA-2 DN 800</t>
  </si>
  <si>
    <t>CTD E MONTAGEM  TUBO/CONEXÃO FOFO JE INCLUINDO  TESTE HIDROSTÁTICO DN 100</t>
  </si>
  <si>
    <t>CTD E MONTAGEM  TUBO/CONEXÃO FOFO JE INCLUINDO  TESTE HIDROSTÁTICO DN 1000</t>
  </si>
  <si>
    <t>CTD E MONTAGEM  TUBO/CONEXÃO FOFO JE INCLUINDO  TESTE HIDROSTÁTICO DN 1200</t>
  </si>
  <si>
    <t>CTD E MONTAGEM  TUBO/CONEXÃO FOFO JE INCLUINDO  TESTE HIDROSTÁTICO DN 150</t>
  </si>
  <si>
    <t>CTD E MONTAGEM  TUBO/CONEXÃO FOFO JE INCLUINDO  TESTE HIDROSTÁTICO DN 200</t>
  </si>
  <si>
    <t>CTD E MONTAGEM  TUBO/CONEXÃO FOFO JE INCLUINDO  TESTE HIDROSTÁTICO DN 250</t>
  </si>
  <si>
    <t>CTD E MONTAGEM  TUBO/CONEXÃO FOFO JE INCLUINDO  TESTE HIDROSTÁTICO DN 300</t>
  </si>
  <si>
    <t>CTD E MONTAGEM  TUBO/CONEXÃO FOFO JE INCLUINDO  TESTE HIDROSTÁTICO DN 350</t>
  </si>
  <si>
    <t>CTD E MONTAGEM  TUBO/CONEXÃO FOFO JE INCLUINDO  TESTE HIDROSTÁTICO DN 400</t>
  </si>
  <si>
    <t>CTD E MONTAGEM  TUBO/CONEXÃO FOFO JE INCLUINDO  TESTE HIDROSTÁTICO DN 50</t>
  </si>
  <si>
    <t>CTD E MONTAGEM  TUBO/CONEXÃO FOFO JE INCLUINDO  TESTE HIDROSTÁTICO DN 500</t>
  </si>
  <si>
    <t>CTD E MONTAGEM  TUBO/CONEXÃO FOFO JE INCLUINDO  TESTE HIDROSTÁTICO DN 600</t>
  </si>
  <si>
    <t>CTD E MONTAGEM  TUBO/CONEXÃO FOFO JE INCLUINDO  TESTE HIDROSTÁTICO DN 700</t>
  </si>
  <si>
    <t>CTD E MONTAGEM  TUBO/CONEXÃO FOFO JE INCLUINDO  TESTE HIDROSTÁTICO DN 75</t>
  </si>
  <si>
    <t>CTD E MONTAGEM  TUBO/CONEXÃO FOFO JE INCLUINDO  TESTE HIDROSTÁTICO DN 800</t>
  </si>
  <si>
    <t>CTD E MONTAGEM  TUBO/CONEXÃO FOFO JE INCLUINDO  TESTE HIDROSTÁTICO DN 900</t>
  </si>
  <si>
    <t>CTD E MONTAGEM  TUBO/CONEXÃO PVC  JE INCLUINDO  TESTE HIDROSTÁTICO DN 100</t>
  </si>
  <si>
    <t>CTD E MONTAGEM  TUBO/CONEXÃO PVC  JE INCLUINDO  TESTE HIDROSTÁTICO DN 150</t>
  </si>
  <si>
    <t>CTD E MONTAGEM  TUBO/CONEXÃO PVC  JE INCLUINDO  TESTE HIDROSTÁTICO DN 200</t>
  </si>
  <si>
    <t>CTD E MONTAGEM  TUBO/CONEXÃO PVC  JE INCLUINDO  TESTE HIDROSTÁTICO DN 250</t>
  </si>
  <si>
    <t>CTD E MONTAGEM  TUBO/CONEXÃO PVC  JE INCLUINDO  TESTE HIDROSTÁTICO DN 300</t>
  </si>
  <si>
    <t>CTD E MONTAGEM  TUBO/CONEXÃO PVC  JE INCLUINDO  TESTE HIDROSTÁTICO DN 50</t>
  </si>
  <si>
    <t>CTD E MONTAGEM  TUBO/CONEXÃO PVC  JE INCLUINDO  TESTE HIDROSTÁTICO DN 75</t>
  </si>
  <si>
    <t>CTD E MONTAGEM  TUBO/CONEXÃO PVC DEFOFO  JE INCLUINDO  TESTE HIDROSTÁTICO DN 100</t>
  </si>
  <si>
    <t>CTD E MONTAGEM  TUBO/CONEXÃO PVC DEFOFO  JE INCLUINDO  TESTE HIDROSTÁTICO DN 150</t>
  </si>
  <si>
    <t>CTD E MONTAGEM  TUBO/CONEXÃO PVC DEFOFO  JE INCLUINDO  TESTE HIDROSTÁTICO DN 200</t>
  </si>
  <si>
    <t>CTD E MONTAGEM  TUBO/CONEXÃO PVC DEFOFO  JE INCLUINDO  TESTE HIDROSTÁTICO DN 250</t>
  </si>
  <si>
    <t>CTD E MONTAGEM  TUBO/CONEXÃO PVC DEFOFO  JE INCLUINDO  TESTE HIDROSTÁTICO DN 300</t>
  </si>
  <si>
    <t>CTD E MONTAGEM  TUBO/CONEXÃO PVC DEFOFO JE INCLUSIVE  TESTE HIDROSTÁTICO DN 400</t>
  </si>
  <si>
    <r>
      <rPr>
        <b/>
        <sz val="6"/>
        <color indexed="8"/>
        <rFont val="Arial"/>
        <family val="2"/>
      </rPr>
      <t>C</t>
    </r>
    <r>
      <rPr>
        <b/>
        <sz val="6"/>
        <color indexed="8"/>
        <rFont val="Arial"/>
        <family val="2"/>
      </rPr>
      <t>A</t>
    </r>
    <r>
      <rPr>
        <b/>
        <sz val="6"/>
        <color indexed="8"/>
        <rFont val="Arial"/>
        <family val="2"/>
      </rPr>
      <t>I</t>
    </r>
    <r>
      <rPr>
        <b/>
        <sz val="6"/>
        <color indexed="8"/>
        <rFont val="Arial"/>
        <family val="2"/>
      </rPr>
      <t>X</t>
    </r>
    <r>
      <rPr>
        <b/>
        <sz val="6"/>
        <color indexed="8"/>
        <rFont val="Arial"/>
        <family val="2"/>
      </rPr>
      <t>A</t>
    </r>
    <r>
      <rPr>
        <b/>
        <sz val="6"/>
        <color indexed="8"/>
        <rFont val="Arial"/>
        <family val="2"/>
      </rPr>
      <t>S</t>
    </r>
  </si>
  <si>
    <r>
      <rPr>
        <sz val="6"/>
        <rFont val="Arial"/>
        <family val="2"/>
      </rPr>
      <t>CX.DE PASSAGEM ALV.TIJ.1/2 COM TAMPA CONC.: 0,6 X 0,6 X 0,6 M</t>
    </r>
  </si>
  <si>
    <r>
      <rPr>
        <sz val="6"/>
        <rFont val="Arial"/>
        <family val="2"/>
      </rPr>
      <t>UN</t>
    </r>
  </si>
  <si>
    <r>
      <rPr>
        <sz val="6"/>
        <rFont val="Arial"/>
        <family val="2"/>
      </rPr>
      <t>CAIXA ALVENARIA 1/2 VEZ PARA MACRO-MEDIDOR DIM. (1,50 X 2,20 X 1,20 M)</t>
    </r>
  </si>
  <si>
    <r>
      <rPr>
        <sz val="6"/>
        <rFont val="Arial"/>
        <family val="2"/>
      </rPr>
      <t>CAIXA ALVENARIA TIJOLO MACIÇO 1 VEZ PARA ESTAÇÃO PITOMÉTRICA DIM (1,60X1,40X1,50M) COM TAMPA</t>
    </r>
    <r>
      <rPr>
        <sz val="6"/>
        <rFont val="Times New Roman"/>
        <family val="1"/>
      </rPr>
      <t xml:space="preserve"> </t>
    </r>
    <r>
      <rPr>
        <sz val="6"/>
        <rFont val="Arial"/>
        <family val="2"/>
      </rPr>
      <t>DE CONCRETO</t>
    </r>
  </si>
  <si>
    <r>
      <rPr>
        <sz val="6"/>
        <rFont val="Arial"/>
        <family val="2"/>
      </rPr>
      <t>CAIXA ALVENARIA TIJOLO MACIÇO 1/2 VEZ PROTEÇÃO REGISTRO MANOBRA DN 50 A 100 (1,1X0,8-H=1,2M)</t>
    </r>
  </si>
  <si>
    <r>
      <rPr>
        <sz val="6"/>
        <rFont val="Arial"/>
        <family val="2"/>
      </rPr>
      <t>CAIXA ALVENARIA TIJOLO MACIÇO 1/2 VEZ PARA PROTEÇÃO REGISTRO DESCARGA DE TUBULAÇÃO. DN</t>
    </r>
    <r>
      <rPr>
        <sz val="6"/>
        <rFont val="Times New Roman"/>
        <family val="1"/>
      </rPr>
      <t xml:space="preserve"> </t>
    </r>
    <r>
      <rPr>
        <sz val="6"/>
        <rFont val="Arial"/>
        <family val="2"/>
      </rPr>
      <t>50,75 (1,10X0,80-H=1,15M)</t>
    </r>
  </si>
  <si>
    <r>
      <rPr>
        <sz val="6"/>
        <rFont val="Arial"/>
        <family val="2"/>
      </rPr>
      <t>CAIXA ALVENARIA TIJOLO MACIÇO 1/2 VEZ PARA PROTEÇÃO REGISTRO MANOBRA DN150,200 (1,10X1,00-</t>
    </r>
    <r>
      <rPr>
        <sz val="6"/>
        <rFont val="Times New Roman"/>
        <family val="1"/>
      </rPr>
      <t xml:space="preserve"> </t>
    </r>
    <r>
      <rPr>
        <sz val="6"/>
        <rFont val="Arial"/>
        <family val="2"/>
      </rPr>
      <t>H=1,20M)</t>
    </r>
  </si>
  <si>
    <r>
      <rPr>
        <sz val="6"/>
        <rFont val="Arial"/>
        <family val="2"/>
      </rPr>
      <t>CAIXA ALVENARIA TIJOLO MACIÇO 1/2 VEZ PARA PROTEÇÃO VENTOSA DN 150,200 (1,10X1,00-H=1,25M)</t>
    </r>
  </si>
  <si>
    <r>
      <rPr>
        <sz val="6"/>
        <rFont val="Arial"/>
        <family val="2"/>
      </rPr>
      <t>CAIXA ALVENARIA TIJOLO MACIÇO 1/2 VEZ PROTEÇÃO VENTOSA DN 50 A 100 (1,10X0,80-H=1,25M)</t>
    </r>
  </si>
  <si>
    <r>
      <rPr>
        <sz val="6"/>
        <rFont val="Arial"/>
        <family val="2"/>
      </rPr>
      <t>CAIXA DE PASSAGEM ALV.TIJ.1/2 COM TAMPA CONCRETO.: 0,9 X 0,9 X 0,9 M</t>
    </r>
  </si>
  <si>
    <r>
      <rPr>
        <sz val="6"/>
        <rFont val="Arial"/>
        <family val="2"/>
      </rPr>
      <t>CAIXA DE REGISTROS ALVENARIA TIJOLO 1/2 VEZ: 1,40 X 1,25 X 0,75 M</t>
    </r>
  </si>
  <si>
    <r>
      <rPr>
        <sz val="6"/>
        <rFont val="Arial"/>
        <family val="2"/>
      </rPr>
      <t>CX.ALV.1/2 VEZ PARA DESC.FUNDO FILT.DIM.(1,05X2,25X0,90M)S/TP.</t>
    </r>
  </si>
  <si>
    <r>
      <rPr>
        <sz val="6"/>
        <rFont val="Arial"/>
        <family val="2"/>
      </rPr>
      <t>CX.ALV.1/2 VEZ PARA DESC.FUNDO TQ.CONTATO DIM.(1,40X1,00X1,40M)</t>
    </r>
  </si>
  <si>
    <r>
      <rPr>
        <sz val="6"/>
        <rFont val="Arial"/>
        <family val="2"/>
      </rPr>
      <t>BASE PARA BOMBAS EM CONCRETO ARMADO: 0,7 X 0,5 X 0,3 (H) M</t>
    </r>
  </si>
  <si>
    <r>
      <rPr>
        <sz val="6"/>
        <rFont val="Arial"/>
        <family val="2"/>
      </rPr>
      <t>BLOCO DE ANCORAGEM TRAPEZ.PARA POÇO TUB.PROFUNDIDADE : H MIN.= 0,45 M</t>
    </r>
  </si>
  <si>
    <r>
      <rPr>
        <b/>
        <sz val="6"/>
        <rFont val="Arial"/>
        <family val="2"/>
      </rPr>
      <t>POÇOS DE VISITAS</t>
    </r>
  </si>
  <si>
    <r>
      <rPr>
        <sz val="6"/>
        <rFont val="Arial"/>
        <family val="2"/>
      </rPr>
      <t>POÇO DE VISITA  EM ANÉIS DE CONCRETO DIÂMETROS 60 CM (CHAMINÉ) E 90 CM (BALÃO), INCLUINDO</t>
    </r>
    <r>
      <rPr>
        <sz val="6"/>
        <rFont val="Times New Roman"/>
        <family val="1"/>
      </rPr>
      <t xml:space="preserve"> </t>
    </r>
    <r>
      <rPr>
        <sz val="6"/>
        <rFont val="Arial"/>
        <family val="2"/>
      </rPr>
      <t>ANEL TAMPÃO DE CONCRETO, PROFUNDIDADE = 1,0 M</t>
    </r>
  </si>
  <si>
    <r>
      <rPr>
        <sz val="6"/>
        <rFont val="Arial"/>
        <family val="2"/>
      </rPr>
      <t>POÇO DE VISITA  EM ANÉIS DE CONCRETO DIÂMETROS 60 CM (CHAMINÉ) E 90 CM (BALÃO), INCLUINDO</t>
    </r>
    <r>
      <rPr>
        <sz val="6"/>
        <rFont val="Times New Roman"/>
        <family val="1"/>
      </rPr>
      <t xml:space="preserve"> </t>
    </r>
    <r>
      <rPr>
        <sz val="6"/>
        <rFont val="Arial"/>
        <family val="2"/>
      </rPr>
      <t>ANEL TAMPÃO DE CONCRETO, PROFUNDIDADE = 2,0 M</t>
    </r>
  </si>
  <si>
    <r>
      <rPr>
        <sz val="6"/>
        <rFont val="Arial"/>
        <family val="2"/>
      </rPr>
      <t>POÇO DE VISITA  EM ANÉIS DE CONCRETO DIÂMETROS 60 CM (CHAMINÉ) E 90 CM (BALÃO), INCLUINDO</t>
    </r>
    <r>
      <rPr>
        <sz val="6"/>
        <rFont val="Times New Roman"/>
        <family val="1"/>
      </rPr>
      <t xml:space="preserve"> </t>
    </r>
    <r>
      <rPr>
        <sz val="6"/>
        <rFont val="Arial"/>
        <family val="2"/>
      </rPr>
      <t>ANEL TAMPÃO DE CONCRETO, PROFUNDIDADE = 2,5 M</t>
    </r>
  </si>
  <si>
    <r>
      <rPr>
        <sz val="6"/>
        <rFont val="Arial"/>
        <family val="2"/>
      </rPr>
      <t>POÇO DE VISITA  EM ANÉIS DE CONCRETO DIÂMETROS 60 CM (CHAMINÉ) E 90 CM (BALÃO), INCLUINDO</t>
    </r>
    <r>
      <rPr>
        <sz val="6"/>
        <rFont val="Times New Roman"/>
        <family val="1"/>
      </rPr>
      <t xml:space="preserve"> </t>
    </r>
    <r>
      <rPr>
        <sz val="6"/>
        <rFont val="Arial"/>
        <family val="2"/>
      </rPr>
      <t>ANEL TAMPÃO DE CONCRETO, PROFUNDIDADE = 3,0 M</t>
    </r>
  </si>
  <si>
    <r>
      <rPr>
        <sz val="6"/>
        <rFont val="Arial"/>
        <family val="2"/>
      </rPr>
      <t>POÇO DE VISITA  EM ANÉIS DE CONCRETO DIÂMETROS 60 CM (CHAMINÉ) E 90 CM (BALÃO), INCLUINDO</t>
    </r>
    <r>
      <rPr>
        <sz val="6"/>
        <rFont val="Times New Roman"/>
        <family val="1"/>
      </rPr>
      <t xml:space="preserve"> </t>
    </r>
    <r>
      <rPr>
        <sz val="6"/>
        <rFont val="Arial"/>
        <family val="2"/>
      </rPr>
      <t>ANEL TAMPÃO DE CONCRETO, PROFUNDIDADE = 3,5 M</t>
    </r>
  </si>
  <si>
    <r>
      <rPr>
        <sz val="6"/>
        <rFont val="Arial"/>
        <family val="2"/>
      </rPr>
      <t>POÇO DE VISITA  EM ANÉIS DE CONCRETO DIÂMETROS 60 CM (CHAMINÉ) E 90 CM (BALÃO), INCLUINDO</t>
    </r>
    <r>
      <rPr>
        <sz val="6"/>
        <rFont val="Times New Roman"/>
        <family val="1"/>
      </rPr>
      <t xml:space="preserve"> </t>
    </r>
    <r>
      <rPr>
        <sz val="6"/>
        <rFont val="Arial"/>
        <family val="2"/>
      </rPr>
      <t>ANEL TAMPÃO DE CONCRETO, PROFUNDIDADE = 4,0 M</t>
    </r>
  </si>
  <si>
    <r>
      <rPr>
        <sz val="6"/>
        <rFont val="Arial"/>
        <family val="2"/>
      </rPr>
      <t>POÇO DE VISITA  EM ANÉIS DE CONCRETO DIÂMETROS 60 CM (CHAMINÉ) E 90 CM (BALÃO), INCLUINDO</t>
    </r>
    <r>
      <rPr>
        <sz val="6"/>
        <rFont val="Times New Roman"/>
        <family val="1"/>
      </rPr>
      <t xml:space="preserve"> </t>
    </r>
    <r>
      <rPr>
        <sz val="6"/>
        <rFont val="Arial"/>
        <family val="2"/>
      </rPr>
      <t>ANEL TAMPÃO DE CONCRETO, PROFUNDIDADE = 4,5 M</t>
    </r>
  </si>
  <si>
    <r>
      <rPr>
        <sz val="6"/>
        <rFont val="Arial"/>
        <family val="2"/>
      </rPr>
      <t>POÇO DE VISITA  EM ANÉIS DE CONCRETO DIÂMETROS 60 CM (CHAMINÉ) E 90 CM (BALÃO), INCLUINDO</t>
    </r>
    <r>
      <rPr>
        <sz val="6"/>
        <rFont val="Times New Roman"/>
        <family val="1"/>
      </rPr>
      <t xml:space="preserve"> </t>
    </r>
    <r>
      <rPr>
        <sz val="6"/>
        <rFont val="Arial"/>
        <family val="2"/>
      </rPr>
      <t>ANEL TAMPÃO DE CONCRETO, PROFUNDIDADE = 1,5 M</t>
    </r>
  </si>
  <si>
    <r>
      <rPr>
        <b/>
        <sz val="6"/>
        <rFont val="Arial"/>
        <family val="2"/>
      </rPr>
      <t>ELEMENTOS PARA REDE COLETORA DE ESGOTO 100% PVC</t>
    </r>
  </si>
  <si>
    <r>
      <rPr>
        <sz val="6"/>
        <rFont val="Arial"/>
        <family val="2"/>
      </rPr>
      <t>BLOCO DE ANCORAGEM PRÉ-MOLDADO PARA TIL DE PASSAGEM</t>
    </r>
  </si>
  <si>
    <r>
      <rPr>
        <sz val="6"/>
        <rFont val="Arial"/>
        <family val="2"/>
      </rPr>
      <t>LAJE PARA TAMPÃO DN 100</t>
    </r>
  </si>
  <si>
    <r>
      <rPr>
        <sz val="6"/>
        <rFont val="Arial"/>
        <family val="2"/>
      </rPr>
      <t>LAJE PARA TAMPÃO DN 150</t>
    </r>
  </si>
  <si>
    <r>
      <rPr>
        <sz val="6"/>
        <rFont val="Arial"/>
        <family val="2"/>
      </rPr>
      <t>LAJE PARA TAMPÃO DN 200</t>
    </r>
  </si>
  <si>
    <r>
      <rPr>
        <sz val="6"/>
        <rFont val="Arial"/>
        <family val="2"/>
      </rPr>
      <t>LAJE PARA TAMPÃO DN 250</t>
    </r>
  </si>
  <si>
    <r>
      <rPr>
        <sz val="6"/>
        <rFont val="Arial"/>
        <family val="2"/>
      </rPr>
      <t>MONTAGEM DE PVC RÍGIDO TE JE DN 100 (PESCOÇO)</t>
    </r>
  </si>
  <si>
    <r>
      <rPr>
        <sz val="6"/>
        <rFont val="Arial"/>
        <family val="2"/>
      </rPr>
      <t>M</t>
    </r>
  </si>
  <si>
    <r>
      <rPr>
        <sz val="6"/>
        <rFont val="Arial"/>
        <family val="2"/>
      </rPr>
      <t>MONTAGEM DE PVC RÍGIDO TE JE DN 150 (PESCOÇO)</t>
    </r>
  </si>
  <si>
    <r>
      <rPr>
        <sz val="6"/>
        <rFont val="Arial"/>
        <family val="2"/>
      </rPr>
      <t>MONTAGEM DE PVC RÍGIDO TE JE DN 200 (PESCOÇO)</t>
    </r>
  </si>
  <si>
    <r>
      <rPr>
        <sz val="6"/>
        <rFont val="Arial"/>
        <family val="2"/>
      </rPr>
      <t>MONTAGEM DE PVC RÍGIDO TE JE DN 250 (PESCOÇO)</t>
    </r>
  </si>
  <si>
    <r>
      <rPr>
        <sz val="6"/>
        <rFont val="Arial"/>
        <family val="2"/>
      </rPr>
      <t>MONTAGEM DE TIL CONDOMINIAL DN 100</t>
    </r>
  </si>
  <si>
    <r>
      <rPr>
        <sz val="6"/>
        <rFont val="Arial"/>
        <family val="2"/>
      </rPr>
      <t>MONTAGEM DE TIL DE PASSAGEM DIRETA DN 150</t>
    </r>
  </si>
  <si>
    <r>
      <rPr>
        <sz val="6"/>
        <rFont val="Arial"/>
        <family val="2"/>
      </rPr>
      <t>MONTAGEM DE TIL DE PASSAGEM DIRETA DN 200</t>
    </r>
  </si>
  <si>
    <r>
      <rPr>
        <sz val="6"/>
        <rFont val="Arial"/>
        <family val="2"/>
      </rPr>
      <t>MONTAGEM DE TIL DE PASSAGEM DIRETA DN 300</t>
    </r>
  </si>
  <si>
    <r>
      <rPr>
        <sz val="6"/>
        <rFont val="Arial"/>
        <family val="2"/>
      </rPr>
      <t>MONTAGEM DE TIL LIGAÇÃO PREDIAL 101,6 X 101,6</t>
    </r>
  </si>
  <si>
    <r>
      <rPr>
        <sz val="6"/>
        <rFont val="Arial"/>
        <family val="2"/>
      </rPr>
      <t>MONTAGEM DE TIL RADIAL DN 150</t>
    </r>
  </si>
  <si>
    <r>
      <rPr>
        <sz val="6"/>
        <rFont val="Arial"/>
        <family val="2"/>
      </rPr>
      <t>MONTAGEM DE TIL RADIAL DN 300</t>
    </r>
  </si>
  <si>
    <r>
      <rPr>
        <sz val="6"/>
        <rFont val="Arial"/>
        <family val="2"/>
      </rPr>
      <t>PROTEÇÃO PARA TIL (COM FORNECIMENTO DE ANEL/TAMPÃO)</t>
    </r>
  </si>
  <si>
    <r>
      <rPr>
        <sz val="6"/>
        <rFont val="Arial"/>
        <family val="2"/>
      </rPr>
      <t>PROTEÇÃO PARA TIL (SEM FORNECIMENTO DE ANEL/TAMPÃO)</t>
    </r>
  </si>
  <si>
    <r>
      <rPr>
        <b/>
        <sz val="6"/>
        <rFont val="Arial"/>
        <family val="2"/>
      </rPr>
      <t>LIGAÇÕES DOMICILIARES (MÃO-DE-OBRA) - SAA</t>
    </r>
  </si>
  <si>
    <r>
      <rPr>
        <sz val="6"/>
        <rFont val="Arial"/>
        <family val="2"/>
      </rPr>
      <t>ENTUPIMENTO DE SUMIDOURO</t>
    </r>
  </si>
  <si>
    <r>
      <rPr>
        <sz val="6"/>
        <rFont val="Arial"/>
        <family val="2"/>
      </rPr>
      <t>ESGOTAMENTO DE SUMIDOURO</t>
    </r>
  </si>
  <si>
    <r>
      <rPr>
        <sz val="6"/>
        <rFont val="Arial"/>
        <family val="2"/>
      </rPr>
      <t>TRAVESSIA DE FOSSA</t>
    </r>
  </si>
  <si>
    <r>
      <rPr>
        <sz val="6"/>
        <color indexed="8"/>
        <rFont val="Arial"/>
        <family val="2"/>
      </rPr>
      <t>E</t>
    </r>
    <r>
      <rPr>
        <sz val="6"/>
        <color indexed="8"/>
        <rFont val="Arial"/>
        <family val="2"/>
      </rPr>
      <t>X</t>
    </r>
    <r>
      <rPr>
        <sz val="6"/>
        <color indexed="8"/>
        <rFont val="Arial"/>
        <family val="2"/>
      </rPr>
      <t>E</t>
    </r>
    <r>
      <rPr>
        <sz val="6"/>
        <color indexed="8"/>
        <rFont val="Arial"/>
        <family val="2"/>
      </rPr>
      <t>C</t>
    </r>
    <r>
      <rPr>
        <sz val="6"/>
        <color indexed="8"/>
        <rFont val="Arial"/>
        <family val="2"/>
      </rPr>
      <t>U</t>
    </r>
    <r>
      <rPr>
        <sz val="6"/>
        <color indexed="8"/>
        <rFont val="Arial"/>
        <family val="2"/>
      </rPr>
      <t>Ç</t>
    </r>
    <r>
      <rPr>
        <sz val="6"/>
        <color indexed="8"/>
        <rFont val="Arial"/>
        <family val="2"/>
      </rPr>
      <t>ÃO</t>
    </r>
    <r>
      <rPr>
        <sz val="6"/>
        <color indexed="8"/>
        <rFont val="Arial"/>
        <family val="2"/>
      </rPr>
      <t xml:space="preserve">  </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 xml:space="preserve"> </t>
    </r>
    <r>
      <rPr>
        <sz val="6"/>
        <color indexed="8"/>
        <rFont val="Arial"/>
        <family val="2"/>
      </rPr>
      <t>M</t>
    </r>
    <r>
      <rPr>
        <sz val="6"/>
        <color indexed="8"/>
        <rFont val="Arial"/>
        <family val="2"/>
      </rPr>
      <t>U</t>
    </r>
    <r>
      <rPr>
        <sz val="6"/>
        <color indexed="8"/>
        <rFont val="Arial"/>
        <family val="2"/>
      </rPr>
      <t>R</t>
    </r>
    <r>
      <rPr>
        <sz val="6"/>
        <color indexed="8"/>
        <rFont val="Arial"/>
        <family val="2"/>
      </rPr>
      <t>E</t>
    </r>
    <r>
      <rPr>
        <sz val="6"/>
        <color indexed="8"/>
        <rFont val="Arial"/>
        <family val="2"/>
      </rPr>
      <t>T</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EM</t>
    </r>
    <r>
      <rPr>
        <sz val="6"/>
        <color indexed="8"/>
        <rFont val="Arial"/>
        <family val="2"/>
      </rPr>
      <t xml:space="preserve"> </t>
    </r>
    <r>
      <rPr>
        <sz val="6"/>
        <color indexed="8"/>
        <rFont val="Arial"/>
        <family val="2"/>
      </rPr>
      <t xml:space="preserve"> </t>
    </r>
    <r>
      <rPr>
        <sz val="6"/>
        <color indexed="8"/>
        <rFont val="Arial"/>
        <family val="2"/>
      </rPr>
      <t>A</t>
    </r>
    <r>
      <rPr>
        <sz val="6"/>
        <color indexed="8"/>
        <rFont val="Arial"/>
        <family val="2"/>
      </rPr>
      <t>LVE</t>
    </r>
    <r>
      <rPr>
        <sz val="6"/>
        <color indexed="8"/>
        <rFont val="Arial"/>
        <family val="2"/>
      </rPr>
      <t>N</t>
    </r>
    <r>
      <rPr>
        <sz val="6"/>
        <color indexed="8"/>
        <rFont val="Arial"/>
        <family val="2"/>
      </rPr>
      <t>A</t>
    </r>
    <r>
      <rPr>
        <sz val="6"/>
        <color indexed="8"/>
        <rFont val="Arial"/>
        <family val="2"/>
      </rPr>
      <t>R</t>
    </r>
    <r>
      <rPr>
        <sz val="6"/>
        <color indexed="8"/>
        <rFont val="Arial"/>
        <family val="2"/>
      </rPr>
      <t>I</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T</t>
    </r>
    <r>
      <rPr>
        <sz val="6"/>
        <color indexed="8"/>
        <rFont val="Arial"/>
        <family val="2"/>
      </rPr>
      <t>I</t>
    </r>
    <r>
      <rPr>
        <sz val="6"/>
        <color indexed="8"/>
        <rFont val="Arial"/>
        <family val="2"/>
      </rPr>
      <t>J</t>
    </r>
    <r>
      <rPr>
        <sz val="6"/>
        <color indexed="8"/>
        <rFont val="Arial"/>
        <family val="2"/>
      </rPr>
      <t>OLO</t>
    </r>
    <r>
      <rPr>
        <sz val="6"/>
        <color indexed="8"/>
        <rFont val="Arial"/>
        <family val="2"/>
      </rPr>
      <t xml:space="preserve">  </t>
    </r>
    <r>
      <rPr>
        <sz val="6"/>
        <color indexed="8"/>
        <rFont val="Arial"/>
        <family val="2"/>
      </rPr>
      <t xml:space="preserve"> </t>
    </r>
    <r>
      <rPr>
        <sz val="6"/>
        <color indexed="8"/>
        <rFont val="Arial"/>
        <family val="2"/>
      </rPr>
      <t>M</t>
    </r>
    <r>
      <rPr>
        <sz val="6"/>
        <color indexed="8"/>
        <rFont val="Arial"/>
        <family val="2"/>
      </rPr>
      <t>A</t>
    </r>
    <r>
      <rPr>
        <sz val="6"/>
        <color indexed="8"/>
        <rFont val="Arial"/>
        <family val="2"/>
      </rPr>
      <t>C</t>
    </r>
    <r>
      <rPr>
        <sz val="6"/>
        <color indexed="8"/>
        <rFont val="Arial"/>
        <family val="2"/>
      </rPr>
      <t>I</t>
    </r>
    <r>
      <rPr>
        <sz val="6"/>
        <color indexed="8"/>
        <rFont val="Arial"/>
        <family val="2"/>
      </rPr>
      <t>Ç</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1</t>
    </r>
    <r>
      <rPr>
        <sz val="6"/>
        <color indexed="8"/>
        <rFont val="Arial"/>
        <family val="2"/>
      </rPr>
      <t>/</t>
    </r>
    <r>
      <rPr>
        <sz val="6"/>
        <color indexed="8"/>
        <rFont val="Arial"/>
        <family val="2"/>
      </rPr>
      <t>2</t>
    </r>
    <r>
      <rPr>
        <sz val="6"/>
        <color indexed="8"/>
        <rFont val="Arial"/>
        <family val="2"/>
      </rPr>
      <t xml:space="preserve"> </t>
    </r>
    <r>
      <rPr>
        <sz val="6"/>
        <color indexed="8"/>
        <rFont val="Arial"/>
        <family val="2"/>
      </rPr>
      <t xml:space="preserve"> </t>
    </r>
    <r>
      <rPr>
        <sz val="6"/>
        <color indexed="8"/>
        <rFont val="Arial"/>
        <family val="2"/>
      </rPr>
      <t>VE</t>
    </r>
    <r>
      <rPr>
        <sz val="6"/>
        <color indexed="8"/>
        <rFont val="Arial"/>
        <family val="2"/>
      </rPr>
      <t>Z</t>
    </r>
    <r>
      <rPr>
        <sz val="6"/>
        <color indexed="8"/>
        <rFont val="Arial"/>
        <family val="2"/>
      </rPr>
      <t>,</t>
    </r>
    <r>
      <rPr>
        <sz val="6"/>
        <color indexed="8"/>
        <rFont val="Arial"/>
        <family val="2"/>
      </rPr>
      <t xml:space="preserve"> </t>
    </r>
    <r>
      <rPr>
        <sz val="6"/>
        <color indexed="8"/>
        <rFont val="Arial"/>
        <family val="2"/>
      </rPr>
      <t xml:space="preserve"> </t>
    </r>
    <r>
      <rPr>
        <sz val="6"/>
        <color indexed="8"/>
        <rFont val="Arial"/>
        <family val="2"/>
      </rPr>
      <t>PA</t>
    </r>
    <r>
      <rPr>
        <sz val="6"/>
        <color indexed="8"/>
        <rFont val="Arial"/>
        <family val="2"/>
      </rPr>
      <t>R</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P</t>
    </r>
    <r>
      <rPr>
        <sz val="6"/>
        <color indexed="8"/>
        <rFont val="Arial"/>
        <family val="2"/>
      </rPr>
      <t>R</t>
    </r>
    <r>
      <rPr>
        <sz val="6"/>
        <color indexed="8"/>
        <rFont val="Arial"/>
        <family val="2"/>
      </rPr>
      <t>O</t>
    </r>
    <r>
      <rPr>
        <sz val="6"/>
        <color indexed="8"/>
        <rFont val="Arial"/>
        <family val="2"/>
      </rPr>
      <t>T</t>
    </r>
    <r>
      <rPr>
        <sz val="6"/>
        <color indexed="8"/>
        <rFont val="Arial"/>
        <family val="2"/>
      </rPr>
      <t>E</t>
    </r>
    <r>
      <rPr>
        <sz val="6"/>
        <color indexed="8"/>
        <rFont val="Arial"/>
        <family val="2"/>
      </rPr>
      <t>Ç</t>
    </r>
    <r>
      <rPr>
        <sz val="6"/>
        <color indexed="8"/>
        <rFont val="Arial"/>
        <family val="2"/>
      </rPr>
      <t>ÃO</t>
    </r>
    <r>
      <rPr>
        <sz val="6"/>
        <color indexed="8"/>
        <rFont val="Arial"/>
        <family val="2"/>
      </rPr>
      <t xml:space="preserve">  </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 xml:space="preserve"> </t>
    </r>
    <r>
      <rPr>
        <sz val="6"/>
        <color indexed="8"/>
        <rFont val="Arial"/>
        <family val="2"/>
      </rPr>
      <t>C</t>
    </r>
    <r>
      <rPr>
        <sz val="6"/>
        <color indexed="8"/>
        <rFont val="Arial"/>
        <family val="2"/>
      </rPr>
      <t>AV</t>
    </r>
    <r>
      <rPr>
        <sz val="6"/>
        <color indexed="8"/>
        <rFont val="Arial"/>
        <family val="2"/>
      </rPr>
      <t>A</t>
    </r>
    <r>
      <rPr>
        <sz val="6"/>
        <color indexed="8"/>
        <rFont val="Arial"/>
        <family val="2"/>
      </rPr>
      <t>LE</t>
    </r>
    <r>
      <rPr>
        <sz val="6"/>
        <color indexed="8"/>
        <rFont val="Arial"/>
        <family val="2"/>
      </rPr>
      <t>T</t>
    </r>
    <r>
      <rPr>
        <sz val="6"/>
        <color indexed="8"/>
        <rFont val="Arial"/>
        <family val="2"/>
      </rPr>
      <t xml:space="preserve">E
</t>
    </r>
    <r>
      <rPr>
        <sz val="6"/>
        <color indexed="8"/>
        <rFont val="Arial"/>
        <family val="2"/>
      </rPr>
      <t>E</t>
    </r>
    <r>
      <rPr>
        <sz val="6"/>
        <color indexed="8"/>
        <rFont val="Arial"/>
        <family val="2"/>
      </rPr>
      <t>N</t>
    </r>
    <r>
      <rPr>
        <sz val="6"/>
        <color indexed="8"/>
        <rFont val="Arial"/>
        <family val="2"/>
      </rPr>
      <t>C</t>
    </r>
    <r>
      <rPr>
        <sz val="6"/>
        <color indexed="8"/>
        <rFont val="Arial"/>
        <family val="2"/>
      </rPr>
      <t>OS</t>
    </r>
    <r>
      <rPr>
        <sz val="6"/>
        <color indexed="8"/>
        <rFont val="Arial"/>
        <family val="2"/>
      </rPr>
      <t>T</t>
    </r>
    <r>
      <rPr>
        <sz val="6"/>
        <color indexed="8"/>
        <rFont val="Arial"/>
        <family val="2"/>
      </rPr>
      <t>A</t>
    </r>
    <r>
      <rPr>
        <sz val="6"/>
        <color indexed="8"/>
        <rFont val="Arial"/>
        <family val="2"/>
      </rPr>
      <t>D</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N</t>
    </r>
    <r>
      <rPr>
        <sz val="6"/>
        <color indexed="8"/>
        <rFont val="Arial"/>
        <family val="2"/>
      </rPr>
      <t>O</t>
    </r>
    <r>
      <rPr>
        <sz val="6"/>
        <color indexed="8"/>
        <rFont val="Arial"/>
        <family val="2"/>
      </rPr>
      <t xml:space="preserve"> </t>
    </r>
    <r>
      <rPr>
        <sz val="6"/>
        <color indexed="8"/>
        <rFont val="Arial"/>
        <family val="2"/>
      </rPr>
      <t>M</t>
    </r>
    <r>
      <rPr>
        <sz val="6"/>
        <color indexed="8"/>
        <rFont val="Arial"/>
        <family val="2"/>
      </rPr>
      <t>U</t>
    </r>
    <r>
      <rPr>
        <sz val="6"/>
        <color indexed="8"/>
        <rFont val="Arial"/>
        <family val="2"/>
      </rPr>
      <t>R</t>
    </r>
    <r>
      <rPr>
        <sz val="6"/>
        <color indexed="8"/>
        <rFont val="Arial"/>
        <family val="2"/>
      </rPr>
      <t>O</t>
    </r>
    <r>
      <rPr>
        <sz val="6"/>
        <color indexed="8"/>
        <rFont val="Arial"/>
        <family val="2"/>
      </rPr>
      <t xml:space="preserve"> </t>
    </r>
    <r>
      <rPr>
        <sz val="6"/>
        <color indexed="8"/>
        <rFont val="Arial"/>
        <family val="2"/>
      </rPr>
      <t>(0</t>
    </r>
    <r>
      <rPr>
        <sz val="6"/>
        <color indexed="8"/>
        <rFont val="Arial"/>
        <family val="2"/>
      </rPr>
      <t>,</t>
    </r>
    <r>
      <rPr>
        <sz val="6"/>
        <color indexed="8"/>
        <rFont val="Arial"/>
        <family val="2"/>
      </rPr>
      <t>90</t>
    </r>
    <r>
      <rPr>
        <sz val="6"/>
        <color indexed="8"/>
        <rFont val="Arial"/>
        <family val="2"/>
      </rPr>
      <t>X</t>
    </r>
    <r>
      <rPr>
        <sz val="6"/>
        <color indexed="8"/>
        <rFont val="Arial"/>
        <family val="2"/>
      </rPr>
      <t>0</t>
    </r>
    <r>
      <rPr>
        <sz val="6"/>
        <color indexed="8"/>
        <rFont val="Arial"/>
        <family val="2"/>
      </rPr>
      <t>,</t>
    </r>
    <r>
      <rPr>
        <sz val="6"/>
        <color indexed="8"/>
        <rFont val="Arial"/>
        <family val="2"/>
      </rPr>
      <t>60</t>
    </r>
    <r>
      <rPr>
        <sz val="6"/>
        <color indexed="8"/>
        <rFont val="Arial"/>
        <family val="2"/>
      </rPr>
      <t>X</t>
    </r>
    <r>
      <rPr>
        <sz val="6"/>
        <color indexed="8"/>
        <rFont val="Arial"/>
        <family val="2"/>
      </rPr>
      <t>0</t>
    </r>
    <r>
      <rPr>
        <sz val="6"/>
        <color indexed="8"/>
        <rFont val="Arial"/>
        <family val="2"/>
      </rPr>
      <t>,</t>
    </r>
    <r>
      <rPr>
        <sz val="6"/>
        <color indexed="8"/>
        <rFont val="Arial"/>
        <family val="2"/>
      </rPr>
      <t>15</t>
    </r>
    <r>
      <rPr>
        <sz val="6"/>
        <color indexed="8"/>
        <rFont val="Arial"/>
        <family val="2"/>
      </rPr>
      <t>M</t>
    </r>
    <r>
      <rPr>
        <sz val="6"/>
        <color indexed="8"/>
        <rFont val="Arial"/>
        <family val="2"/>
      </rPr>
      <t>)</t>
    </r>
  </si>
  <si>
    <r>
      <rPr>
        <sz val="6"/>
        <color indexed="8"/>
        <rFont val="Arial"/>
        <family val="2"/>
      </rPr>
      <t>E</t>
    </r>
    <r>
      <rPr>
        <sz val="6"/>
        <color indexed="8"/>
        <rFont val="Arial"/>
        <family val="2"/>
      </rPr>
      <t>X</t>
    </r>
    <r>
      <rPr>
        <sz val="6"/>
        <color indexed="8"/>
        <rFont val="Arial"/>
        <family val="2"/>
      </rPr>
      <t>E</t>
    </r>
    <r>
      <rPr>
        <sz val="6"/>
        <color indexed="8"/>
        <rFont val="Arial"/>
        <family val="2"/>
      </rPr>
      <t>C</t>
    </r>
    <r>
      <rPr>
        <sz val="6"/>
        <color indexed="8"/>
        <rFont val="Arial"/>
        <family val="2"/>
      </rPr>
      <t>U</t>
    </r>
    <r>
      <rPr>
        <sz val="6"/>
        <color indexed="8"/>
        <rFont val="Arial"/>
        <family val="2"/>
      </rPr>
      <t>Ç</t>
    </r>
    <r>
      <rPr>
        <sz val="6"/>
        <color indexed="8"/>
        <rFont val="Arial"/>
        <family val="2"/>
      </rPr>
      <t>ÃO</t>
    </r>
    <r>
      <rPr>
        <sz val="6"/>
        <color indexed="8"/>
        <rFont val="Arial"/>
        <family val="2"/>
      </rPr>
      <t xml:space="preserve">  </t>
    </r>
    <r>
      <rPr>
        <sz val="6"/>
        <color indexed="8"/>
        <rFont val="Arial"/>
        <family val="2"/>
      </rPr>
      <t xml:space="preserve"> </t>
    </r>
    <r>
      <rPr>
        <sz val="6"/>
        <color indexed="8"/>
        <rFont val="Arial"/>
        <family val="2"/>
      </rPr>
      <t>M</t>
    </r>
    <r>
      <rPr>
        <sz val="6"/>
        <color indexed="8"/>
        <rFont val="Arial"/>
        <family val="2"/>
      </rPr>
      <t>U</t>
    </r>
    <r>
      <rPr>
        <sz val="6"/>
        <color indexed="8"/>
        <rFont val="Arial"/>
        <family val="2"/>
      </rPr>
      <t>R</t>
    </r>
    <r>
      <rPr>
        <sz val="6"/>
        <color indexed="8"/>
        <rFont val="Arial"/>
        <family val="2"/>
      </rPr>
      <t>E</t>
    </r>
    <r>
      <rPr>
        <sz val="6"/>
        <color indexed="8"/>
        <rFont val="Arial"/>
        <family val="2"/>
      </rPr>
      <t>T</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EM</t>
    </r>
    <r>
      <rPr>
        <sz val="6"/>
        <color indexed="8"/>
        <rFont val="Arial"/>
        <family val="2"/>
      </rPr>
      <t xml:space="preserve"> </t>
    </r>
    <r>
      <rPr>
        <sz val="6"/>
        <color indexed="8"/>
        <rFont val="Arial"/>
        <family val="2"/>
      </rPr>
      <t xml:space="preserve"> </t>
    </r>
    <r>
      <rPr>
        <sz val="6"/>
        <color indexed="8"/>
        <rFont val="Arial"/>
        <family val="2"/>
      </rPr>
      <t>ALV</t>
    </r>
    <r>
      <rPr>
        <sz val="6"/>
        <color indexed="8"/>
        <rFont val="Arial"/>
        <family val="2"/>
      </rPr>
      <t>E</t>
    </r>
    <r>
      <rPr>
        <sz val="6"/>
        <color indexed="8"/>
        <rFont val="Arial"/>
        <family val="2"/>
      </rPr>
      <t>N</t>
    </r>
    <r>
      <rPr>
        <sz val="6"/>
        <color indexed="8"/>
        <rFont val="Arial"/>
        <family val="2"/>
      </rPr>
      <t>A</t>
    </r>
    <r>
      <rPr>
        <sz val="6"/>
        <color indexed="8"/>
        <rFont val="Arial"/>
        <family val="2"/>
      </rPr>
      <t>R</t>
    </r>
    <r>
      <rPr>
        <sz val="6"/>
        <color indexed="8"/>
        <rFont val="Arial"/>
        <family val="2"/>
      </rPr>
      <t>I</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T</t>
    </r>
    <r>
      <rPr>
        <sz val="6"/>
        <color indexed="8"/>
        <rFont val="Arial"/>
        <family val="2"/>
      </rPr>
      <t>I</t>
    </r>
    <r>
      <rPr>
        <sz val="6"/>
        <color indexed="8"/>
        <rFont val="Arial"/>
        <family val="2"/>
      </rPr>
      <t>J</t>
    </r>
    <r>
      <rPr>
        <sz val="6"/>
        <color indexed="8"/>
        <rFont val="Arial"/>
        <family val="2"/>
      </rPr>
      <t>O</t>
    </r>
    <r>
      <rPr>
        <sz val="6"/>
        <color indexed="8"/>
        <rFont val="Arial"/>
        <family val="2"/>
      </rPr>
      <t>LO</t>
    </r>
    <r>
      <rPr>
        <sz val="6"/>
        <color indexed="8"/>
        <rFont val="Arial"/>
        <family val="2"/>
      </rPr>
      <t xml:space="preserve">  </t>
    </r>
    <r>
      <rPr>
        <sz val="6"/>
        <color indexed="8"/>
        <rFont val="Arial"/>
        <family val="2"/>
      </rPr>
      <t xml:space="preserve"> </t>
    </r>
    <r>
      <rPr>
        <sz val="6"/>
        <color indexed="8"/>
        <rFont val="Arial"/>
        <family val="2"/>
      </rPr>
      <t>M</t>
    </r>
    <r>
      <rPr>
        <sz val="6"/>
        <color indexed="8"/>
        <rFont val="Arial"/>
        <family val="2"/>
      </rPr>
      <t>A</t>
    </r>
    <r>
      <rPr>
        <sz val="6"/>
        <color indexed="8"/>
        <rFont val="Arial"/>
        <family val="2"/>
      </rPr>
      <t>C</t>
    </r>
    <r>
      <rPr>
        <sz val="6"/>
        <color indexed="8"/>
        <rFont val="Arial"/>
        <family val="2"/>
      </rPr>
      <t>I</t>
    </r>
    <r>
      <rPr>
        <sz val="6"/>
        <color indexed="8"/>
        <rFont val="Arial"/>
        <family val="2"/>
      </rPr>
      <t>Ç</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1</t>
    </r>
    <r>
      <rPr>
        <sz val="6"/>
        <color indexed="8"/>
        <rFont val="Arial"/>
        <family val="2"/>
      </rPr>
      <t xml:space="preserve"> </t>
    </r>
    <r>
      <rPr>
        <sz val="6"/>
        <color indexed="8"/>
        <rFont val="Arial"/>
        <family val="2"/>
      </rPr>
      <t xml:space="preserve"> </t>
    </r>
    <r>
      <rPr>
        <sz val="6"/>
        <color indexed="8"/>
        <rFont val="Arial"/>
        <family val="2"/>
      </rPr>
      <t>V</t>
    </r>
    <r>
      <rPr>
        <sz val="6"/>
        <color indexed="8"/>
        <rFont val="Arial"/>
        <family val="2"/>
      </rPr>
      <t>E</t>
    </r>
    <r>
      <rPr>
        <sz val="6"/>
        <color indexed="8"/>
        <rFont val="Arial"/>
        <family val="2"/>
      </rPr>
      <t>Z</t>
    </r>
    <r>
      <rPr>
        <sz val="6"/>
        <color indexed="8"/>
        <rFont val="Arial"/>
        <family val="2"/>
      </rPr>
      <t>,</t>
    </r>
    <r>
      <rPr>
        <sz val="6"/>
        <color indexed="8"/>
        <rFont val="Arial"/>
        <family val="2"/>
      </rPr>
      <t xml:space="preserve"> </t>
    </r>
    <r>
      <rPr>
        <sz val="6"/>
        <color indexed="8"/>
        <rFont val="Arial"/>
        <family val="2"/>
      </rPr>
      <t xml:space="preserve"> </t>
    </r>
    <r>
      <rPr>
        <sz val="6"/>
        <color indexed="8"/>
        <rFont val="Arial"/>
        <family val="2"/>
      </rPr>
      <t>P</t>
    </r>
    <r>
      <rPr>
        <sz val="6"/>
        <color indexed="8"/>
        <rFont val="Arial"/>
        <family val="2"/>
      </rPr>
      <t>A</t>
    </r>
    <r>
      <rPr>
        <sz val="6"/>
        <color indexed="8"/>
        <rFont val="Arial"/>
        <family val="2"/>
      </rPr>
      <t>R</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P</t>
    </r>
    <r>
      <rPr>
        <sz val="6"/>
        <color indexed="8"/>
        <rFont val="Arial"/>
        <family val="2"/>
      </rPr>
      <t>R</t>
    </r>
    <r>
      <rPr>
        <sz val="6"/>
        <color indexed="8"/>
        <rFont val="Arial"/>
        <family val="2"/>
      </rPr>
      <t>O</t>
    </r>
    <r>
      <rPr>
        <sz val="6"/>
        <color indexed="8"/>
        <rFont val="Arial"/>
        <family val="2"/>
      </rPr>
      <t>T</t>
    </r>
    <r>
      <rPr>
        <sz val="6"/>
        <color indexed="8"/>
        <rFont val="Arial"/>
        <family val="2"/>
      </rPr>
      <t>E</t>
    </r>
    <r>
      <rPr>
        <sz val="6"/>
        <color indexed="8"/>
        <rFont val="Arial"/>
        <family val="2"/>
      </rPr>
      <t>Ç</t>
    </r>
    <r>
      <rPr>
        <sz val="6"/>
        <color indexed="8"/>
        <rFont val="Arial"/>
        <family val="2"/>
      </rPr>
      <t>ÃO</t>
    </r>
    <r>
      <rPr>
        <sz val="6"/>
        <color indexed="8"/>
        <rFont val="Arial"/>
        <family val="2"/>
      </rPr>
      <t xml:space="preserve">  </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 xml:space="preserve"> </t>
    </r>
    <r>
      <rPr>
        <sz val="6"/>
        <color indexed="8"/>
        <rFont val="Arial"/>
        <family val="2"/>
      </rPr>
      <t>C</t>
    </r>
    <r>
      <rPr>
        <sz val="6"/>
        <color indexed="8"/>
        <rFont val="Arial"/>
        <family val="2"/>
      </rPr>
      <t>A</t>
    </r>
    <r>
      <rPr>
        <sz val="6"/>
        <color indexed="8"/>
        <rFont val="Arial"/>
        <family val="2"/>
      </rPr>
      <t>V</t>
    </r>
    <r>
      <rPr>
        <sz val="6"/>
        <color indexed="8"/>
        <rFont val="Arial"/>
        <family val="2"/>
      </rPr>
      <t>ALE</t>
    </r>
    <r>
      <rPr>
        <sz val="6"/>
        <color indexed="8"/>
        <rFont val="Arial"/>
        <family val="2"/>
      </rPr>
      <t>T</t>
    </r>
    <r>
      <rPr>
        <sz val="6"/>
        <color indexed="8"/>
        <rFont val="Arial"/>
        <family val="2"/>
      </rPr>
      <t>E</t>
    </r>
    <r>
      <rPr>
        <sz val="6"/>
        <color indexed="8"/>
        <rFont val="Arial"/>
        <family val="2"/>
      </rPr>
      <t xml:space="preserve">  </t>
    </r>
    <r>
      <rPr>
        <sz val="6"/>
        <color indexed="8"/>
        <rFont val="Arial"/>
        <family val="2"/>
      </rPr>
      <t xml:space="preserve"> </t>
    </r>
    <r>
      <rPr>
        <sz val="6"/>
        <color indexed="8"/>
        <rFont val="Arial"/>
        <family val="2"/>
      </rPr>
      <t>C</t>
    </r>
    <r>
      <rPr>
        <sz val="6"/>
        <color indexed="8"/>
        <rFont val="Arial"/>
        <family val="2"/>
      </rPr>
      <t>OM</t>
    </r>
    <r>
      <rPr>
        <sz val="6"/>
        <color indexed="8"/>
        <rFont val="Arial"/>
        <family val="2"/>
      </rPr>
      <t xml:space="preserve"> </t>
    </r>
    <r>
      <rPr>
        <sz val="6"/>
        <color indexed="8"/>
        <rFont val="Arial"/>
        <family val="2"/>
      </rPr>
      <t>R</t>
    </r>
    <r>
      <rPr>
        <sz val="6"/>
        <color indexed="8"/>
        <rFont val="Arial"/>
        <family val="2"/>
      </rPr>
      <t>E</t>
    </r>
    <r>
      <rPr>
        <sz val="6"/>
        <color indexed="8"/>
        <rFont val="Arial"/>
        <family val="2"/>
      </rPr>
      <t>V</t>
    </r>
    <r>
      <rPr>
        <sz val="6"/>
        <color indexed="8"/>
        <rFont val="Arial"/>
        <family val="2"/>
      </rPr>
      <t>ES</t>
    </r>
    <r>
      <rPr>
        <sz val="6"/>
        <color indexed="8"/>
        <rFont val="Arial"/>
        <family val="2"/>
      </rPr>
      <t>T</t>
    </r>
    <r>
      <rPr>
        <sz val="6"/>
        <color indexed="8"/>
        <rFont val="Arial"/>
        <family val="2"/>
      </rPr>
      <t>I</t>
    </r>
    <r>
      <rPr>
        <sz val="6"/>
        <color indexed="8"/>
        <rFont val="Arial"/>
        <family val="2"/>
      </rPr>
      <t>M</t>
    </r>
    <r>
      <rPr>
        <sz val="6"/>
        <color indexed="8"/>
        <rFont val="Arial"/>
        <family val="2"/>
      </rPr>
      <t>E</t>
    </r>
    <r>
      <rPr>
        <sz val="6"/>
        <color indexed="8"/>
        <rFont val="Arial"/>
        <family val="2"/>
      </rPr>
      <t>N</t>
    </r>
    <r>
      <rPr>
        <sz val="6"/>
        <color indexed="8"/>
        <rFont val="Arial"/>
        <family val="2"/>
      </rPr>
      <t>T</t>
    </r>
    <r>
      <rPr>
        <sz val="6"/>
        <color indexed="8"/>
        <rFont val="Arial"/>
        <family val="2"/>
      </rPr>
      <t>O</t>
    </r>
    <r>
      <rPr>
        <sz val="6"/>
        <color indexed="8"/>
        <rFont val="Arial"/>
        <family val="2"/>
      </rPr>
      <t xml:space="preserve"> </t>
    </r>
    <r>
      <rPr>
        <sz val="6"/>
        <color indexed="8"/>
        <rFont val="Arial"/>
        <family val="2"/>
      </rPr>
      <t>T</t>
    </r>
    <r>
      <rPr>
        <sz val="6"/>
        <color indexed="8"/>
        <rFont val="Arial"/>
        <family val="2"/>
      </rPr>
      <t>O</t>
    </r>
    <r>
      <rPr>
        <sz val="6"/>
        <color indexed="8"/>
        <rFont val="Arial"/>
        <family val="2"/>
      </rPr>
      <t>T</t>
    </r>
    <r>
      <rPr>
        <sz val="6"/>
        <color indexed="8"/>
        <rFont val="Arial"/>
        <family val="2"/>
      </rPr>
      <t>AL,</t>
    </r>
    <r>
      <rPr>
        <sz val="6"/>
        <color indexed="8"/>
        <rFont val="Arial"/>
        <family val="2"/>
      </rPr>
      <t xml:space="preserve"> </t>
    </r>
    <r>
      <rPr>
        <sz val="6"/>
        <color indexed="8"/>
        <rFont val="Arial"/>
        <family val="2"/>
      </rPr>
      <t>I</t>
    </r>
    <r>
      <rPr>
        <sz val="6"/>
        <color indexed="8"/>
        <rFont val="Arial"/>
        <family val="2"/>
      </rPr>
      <t>S</t>
    </r>
    <r>
      <rPr>
        <sz val="6"/>
        <color indexed="8"/>
        <rFont val="Arial"/>
        <family val="2"/>
      </rPr>
      <t>O</t>
    </r>
    <r>
      <rPr>
        <sz val="6"/>
        <color indexed="8"/>
        <rFont val="Arial"/>
        <family val="2"/>
      </rPr>
      <t>L</t>
    </r>
    <r>
      <rPr>
        <sz val="6"/>
        <color indexed="8"/>
        <rFont val="Arial"/>
        <family val="2"/>
      </rPr>
      <t>A</t>
    </r>
    <r>
      <rPr>
        <sz val="6"/>
        <color indexed="8"/>
        <rFont val="Arial"/>
        <family val="2"/>
      </rPr>
      <t>D</t>
    </r>
    <r>
      <rPr>
        <sz val="6"/>
        <color indexed="8"/>
        <rFont val="Arial"/>
        <family val="2"/>
      </rPr>
      <t>A</t>
    </r>
    <r>
      <rPr>
        <sz val="6"/>
        <color indexed="8"/>
        <rFont val="Arial"/>
        <family val="2"/>
      </rPr>
      <t xml:space="preserve"> </t>
    </r>
    <r>
      <rPr>
        <sz val="6"/>
        <color indexed="8"/>
        <rFont val="Arial"/>
        <family val="2"/>
      </rPr>
      <t>(0</t>
    </r>
    <r>
      <rPr>
        <sz val="6"/>
        <color indexed="8"/>
        <rFont val="Arial"/>
        <family val="2"/>
      </rPr>
      <t>,</t>
    </r>
    <r>
      <rPr>
        <sz val="6"/>
        <color indexed="8"/>
        <rFont val="Arial"/>
        <family val="2"/>
      </rPr>
      <t>90</t>
    </r>
    <r>
      <rPr>
        <sz val="6"/>
        <color indexed="8"/>
        <rFont val="Arial"/>
        <family val="2"/>
      </rPr>
      <t>X</t>
    </r>
    <r>
      <rPr>
        <sz val="6"/>
        <color indexed="8"/>
        <rFont val="Arial"/>
        <family val="2"/>
      </rPr>
      <t>0</t>
    </r>
    <r>
      <rPr>
        <sz val="6"/>
        <color indexed="8"/>
        <rFont val="Arial"/>
        <family val="2"/>
      </rPr>
      <t>,</t>
    </r>
    <r>
      <rPr>
        <sz val="6"/>
        <color indexed="8"/>
        <rFont val="Arial"/>
        <family val="2"/>
      </rPr>
      <t>60</t>
    </r>
    <r>
      <rPr>
        <sz val="6"/>
        <color indexed="8"/>
        <rFont val="Arial"/>
        <family val="2"/>
      </rPr>
      <t>X</t>
    </r>
    <r>
      <rPr>
        <sz val="6"/>
        <color indexed="8"/>
        <rFont val="Arial"/>
        <family val="2"/>
      </rPr>
      <t>0</t>
    </r>
    <r>
      <rPr>
        <sz val="6"/>
        <color indexed="8"/>
        <rFont val="Arial"/>
        <family val="2"/>
      </rPr>
      <t>,</t>
    </r>
    <r>
      <rPr>
        <sz val="6"/>
        <color indexed="8"/>
        <rFont val="Arial"/>
        <family val="2"/>
      </rPr>
      <t>25</t>
    </r>
    <r>
      <rPr>
        <sz val="6"/>
        <color indexed="8"/>
        <rFont val="Arial"/>
        <family val="2"/>
      </rPr>
      <t>M</t>
    </r>
    <r>
      <rPr>
        <sz val="6"/>
        <color indexed="8"/>
        <rFont val="Arial"/>
        <family val="2"/>
      </rPr>
      <t>)</t>
    </r>
  </si>
  <si>
    <r>
      <rPr>
        <sz val="6"/>
        <color indexed="8"/>
        <rFont val="Arial"/>
        <family val="2"/>
      </rPr>
      <t>L</t>
    </r>
    <r>
      <rPr>
        <sz val="6"/>
        <color indexed="8"/>
        <rFont val="Arial"/>
        <family val="2"/>
      </rPr>
      <t>I</t>
    </r>
    <r>
      <rPr>
        <sz val="6"/>
        <color indexed="8"/>
        <rFont val="Arial"/>
        <family val="2"/>
      </rPr>
      <t>GA</t>
    </r>
    <r>
      <rPr>
        <sz val="6"/>
        <color indexed="8"/>
        <rFont val="Arial"/>
        <family val="2"/>
      </rPr>
      <t>Ç</t>
    </r>
    <r>
      <rPr>
        <sz val="6"/>
        <color indexed="8"/>
        <rFont val="Arial"/>
        <family val="2"/>
      </rPr>
      <t>ÃO</t>
    </r>
    <r>
      <rPr>
        <sz val="6"/>
        <color indexed="8"/>
        <rFont val="Arial"/>
        <family val="2"/>
      </rPr>
      <t xml:space="preserve"> </t>
    </r>
    <r>
      <rPr>
        <sz val="6"/>
        <color indexed="8"/>
        <rFont val="Arial"/>
        <family val="2"/>
      </rPr>
      <t xml:space="preserve"> </t>
    </r>
    <r>
      <rPr>
        <sz val="6"/>
        <color indexed="8"/>
        <rFont val="Arial"/>
        <family val="2"/>
      </rPr>
      <t>P</t>
    </r>
    <r>
      <rPr>
        <sz val="6"/>
        <color indexed="8"/>
        <rFont val="Arial"/>
        <family val="2"/>
      </rPr>
      <t>R</t>
    </r>
    <r>
      <rPr>
        <sz val="6"/>
        <color indexed="8"/>
        <rFont val="Arial"/>
        <family val="2"/>
      </rPr>
      <t>E</t>
    </r>
    <r>
      <rPr>
        <sz val="6"/>
        <color indexed="8"/>
        <rFont val="Arial"/>
        <family val="2"/>
      </rPr>
      <t>D</t>
    </r>
    <r>
      <rPr>
        <sz val="6"/>
        <color indexed="8"/>
        <rFont val="Arial"/>
        <family val="2"/>
      </rPr>
      <t>I</t>
    </r>
    <r>
      <rPr>
        <sz val="6"/>
        <color indexed="8"/>
        <rFont val="Arial"/>
        <family val="2"/>
      </rPr>
      <t>AL</t>
    </r>
    <r>
      <rPr>
        <sz val="6"/>
        <color indexed="8"/>
        <rFont val="Arial"/>
        <family val="2"/>
      </rPr>
      <t xml:space="preserve"> </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Á</t>
    </r>
    <r>
      <rPr>
        <sz val="6"/>
        <color indexed="8"/>
        <rFont val="Arial"/>
        <family val="2"/>
      </rPr>
      <t>G</t>
    </r>
    <r>
      <rPr>
        <sz val="6"/>
        <color indexed="8"/>
        <rFont val="Arial"/>
        <family val="2"/>
      </rPr>
      <t>U</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EM</t>
    </r>
    <r>
      <rPr>
        <sz val="6"/>
        <color indexed="8"/>
        <rFont val="Arial"/>
        <family val="2"/>
      </rPr>
      <t xml:space="preserve"> </t>
    </r>
    <r>
      <rPr>
        <sz val="6"/>
        <color indexed="8"/>
        <rFont val="Arial"/>
        <family val="2"/>
      </rPr>
      <t>R</t>
    </r>
    <r>
      <rPr>
        <sz val="6"/>
        <color indexed="8"/>
        <rFont val="Arial"/>
        <family val="2"/>
      </rPr>
      <t>E</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 xml:space="preserve"> </t>
    </r>
    <r>
      <rPr>
        <sz val="6"/>
        <color indexed="8"/>
        <rFont val="Arial"/>
        <family val="2"/>
      </rPr>
      <t>P</t>
    </r>
    <r>
      <rPr>
        <sz val="6"/>
        <color indexed="8"/>
        <rFont val="Arial"/>
        <family val="2"/>
      </rPr>
      <t>V</t>
    </r>
    <r>
      <rPr>
        <sz val="6"/>
        <color indexed="8"/>
        <rFont val="Arial"/>
        <family val="2"/>
      </rPr>
      <t>C</t>
    </r>
    <r>
      <rPr>
        <sz val="6"/>
        <color indexed="8"/>
        <rFont val="Arial"/>
        <family val="2"/>
      </rPr>
      <t xml:space="preserve"> </t>
    </r>
    <r>
      <rPr>
        <sz val="6"/>
        <color indexed="8"/>
        <rFont val="Arial"/>
        <family val="2"/>
      </rPr>
      <t>-</t>
    </r>
    <r>
      <rPr>
        <sz val="6"/>
        <color indexed="8"/>
        <rFont val="Arial"/>
        <family val="2"/>
      </rPr>
      <t xml:space="preserve"> </t>
    </r>
    <r>
      <rPr>
        <sz val="6"/>
        <color indexed="8"/>
        <rFont val="Arial"/>
        <family val="2"/>
      </rPr>
      <t>AS</t>
    </r>
    <r>
      <rPr>
        <sz val="6"/>
        <color indexed="8"/>
        <rFont val="Arial"/>
        <family val="2"/>
      </rPr>
      <t>S</t>
    </r>
    <r>
      <rPr>
        <sz val="6"/>
        <color indexed="8"/>
        <rFont val="Arial"/>
        <family val="2"/>
      </rPr>
      <t>E</t>
    </r>
    <r>
      <rPr>
        <sz val="6"/>
        <color indexed="8"/>
        <rFont val="Arial"/>
        <family val="2"/>
      </rPr>
      <t>N</t>
    </r>
    <r>
      <rPr>
        <sz val="6"/>
        <color indexed="8"/>
        <rFont val="Arial"/>
        <family val="2"/>
      </rPr>
      <t>T</t>
    </r>
    <r>
      <rPr>
        <sz val="6"/>
        <color indexed="8"/>
        <rFont val="Arial"/>
        <family val="2"/>
      </rPr>
      <t>A</t>
    </r>
    <r>
      <rPr>
        <sz val="6"/>
        <color indexed="8"/>
        <rFont val="Arial"/>
        <family val="2"/>
      </rPr>
      <t>M</t>
    </r>
    <r>
      <rPr>
        <sz val="6"/>
        <color indexed="8"/>
        <rFont val="Arial"/>
        <family val="2"/>
      </rPr>
      <t>E</t>
    </r>
    <r>
      <rPr>
        <sz val="6"/>
        <color indexed="8"/>
        <rFont val="Arial"/>
        <family val="2"/>
      </rPr>
      <t>N</t>
    </r>
    <r>
      <rPr>
        <sz val="6"/>
        <color indexed="8"/>
        <rFont val="Arial"/>
        <family val="2"/>
      </rPr>
      <t>T</t>
    </r>
    <r>
      <rPr>
        <sz val="6"/>
        <color indexed="8"/>
        <rFont val="Arial"/>
        <family val="2"/>
      </rPr>
      <t>O</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C</t>
    </r>
    <r>
      <rPr>
        <sz val="6"/>
        <color indexed="8"/>
        <rFont val="Arial"/>
        <family val="2"/>
      </rPr>
      <t>OLAR</t>
    </r>
    <r>
      <rPr>
        <sz val="6"/>
        <color indexed="8"/>
        <rFont val="Arial"/>
        <family val="2"/>
      </rPr>
      <t xml:space="preserve"> </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T</t>
    </r>
    <r>
      <rPr>
        <sz val="6"/>
        <color indexed="8"/>
        <rFont val="Arial"/>
        <family val="2"/>
      </rPr>
      <t>O</t>
    </r>
    <r>
      <rPr>
        <sz val="6"/>
        <color indexed="8"/>
        <rFont val="Arial"/>
        <family val="2"/>
      </rPr>
      <t>M</t>
    </r>
    <r>
      <rPr>
        <sz val="6"/>
        <color indexed="8"/>
        <rFont val="Arial"/>
        <family val="2"/>
      </rPr>
      <t>A</t>
    </r>
    <r>
      <rPr>
        <sz val="6"/>
        <color indexed="8"/>
        <rFont val="Arial"/>
        <family val="2"/>
      </rPr>
      <t>D</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K</t>
    </r>
    <r>
      <rPr>
        <sz val="6"/>
        <color indexed="8"/>
        <rFont val="Arial"/>
        <family val="2"/>
      </rPr>
      <t>I</t>
    </r>
    <r>
      <rPr>
        <sz val="6"/>
        <color indexed="8"/>
        <rFont val="Arial"/>
        <family val="2"/>
      </rPr>
      <t>T</t>
    </r>
    <r>
      <rPr>
        <sz val="6"/>
        <color indexed="8"/>
        <rFont val="Arial"/>
        <family val="2"/>
      </rPr>
      <t xml:space="preserve"> </t>
    </r>
    <r>
      <rPr>
        <sz val="6"/>
        <color indexed="8"/>
        <rFont val="Arial"/>
        <family val="2"/>
      </rPr>
      <t>C</t>
    </r>
    <r>
      <rPr>
        <sz val="6"/>
        <color indexed="8"/>
        <rFont val="Arial"/>
        <family val="2"/>
      </rPr>
      <t>A</t>
    </r>
    <r>
      <rPr>
        <sz val="6"/>
        <color indexed="8"/>
        <rFont val="Arial"/>
        <family val="2"/>
      </rPr>
      <t>VAL</t>
    </r>
    <r>
      <rPr>
        <sz val="6"/>
        <color indexed="8"/>
        <rFont val="Arial"/>
        <family val="2"/>
      </rPr>
      <t>E</t>
    </r>
    <r>
      <rPr>
        <sz val="6"/>
        <color indexed="8"/>
        <rFont val="Arial"/>
        <family val="2"/>
      </rPr>
      <t>T</t>
    </r>
    <r>
      <rPr>
        <sz val="6"/>
        <color indexed="8"/>
        <rFont val="Arial"/>
        <family val="2"/>
      </rPr>
      <t>E</t>
    </r>
    <r>
      <rPr>
        <sz val="6"/>
        <color indexed="8"/>
        <rFont val="Arial"/>
        <family val="2"/>
      </rPr>
      <t xml:space="preserve"> </t>
    </r>
    <r>
      <rPr>
        <sz val="6"/>
        <color indexed="8"/>
        <rFont val="Arial"/>
        <family val="2"/>
      </rPr>
      <t xml:space="preserve"> </t>
    </r>
    <r>
      <rPr>
        <sz val="6"/>
        <color indexed="8"/>
        <rFont val="Arial"/>
        <family val="2"/>
      </rPr>
      <t>E</t>
    </r>
    <r>
      <rPr>
        <sz val="6"/>
        <color indexed="8"/>
        <rFont val="Arial"/>
        <family val="2"/>
      </rPr>
      <t xml:space="preserve"> </t>
    </r>
    <r>
      <rPr>
        <sz val="6"/>
        <color indexed="8"/>
        <rFont val="Arial"/>
        <family val="2"/>
      </rPr>
      <t>C</t>
    </r>
    <r>
      <rPr>
        <sz val="6"/>
        <color indexed="8"/>
        <rFont val="Arial"/>
        <family val="2"/>
      </rPr>
      <t>A</t>
    </r>
    <r>
      <rPr>
        <sz val="6"/>
        <color indexed="8"/>
        <rFont val="Arial"/>
        <family val="2"/>
      </rPr>
      <t>I</t>
    </r>
    <r>
      <rPr>
        <sz val="6"/>
        <color indexed="8"/>
        <rFont val="Arial"/>
        <family val="2"/>
      </rPr>
      <t>X</t>
    </r>
    <r>
      <rPr>
        <sz val="6"/>
        <color indexed="8"/>
        <rFont val="Arial"/>
        <family val="2"/>
      </rPr>
      <t>A</t>
    </r>
    <r>
      <rPr>
        <sz val="6"/>
        <color indexed="8"/>
        <rFont val="Arial"/>
        <family val="2"/>
      </rPr>
      <t xml:space="preserve"> </t>
    </r>
    <r>
      <rPr>
        <sz val="6"/>
        <color indexed="8"/>
        <rFont val="Arial"/>
        <family val="2"/>
      </rPr>
      <t>M</t>
    </r>
    <r>
      <rPr>
        <sz val="6"/>
        <color indexed="8"/>
        <rFont val="Arial"/>
        <family val="2"/>
      </rPr>
      <t>E</t>
    </r>
    <r>
      <rPr>
        <sz val="6"/>
        <color indexed="8"/>
        <rFont val="Arial"/>
        <family val="2"/>
      </rPr>
      <t>T</t>
    </r>
    <r>
      <rPr>
        <sz val="6"/>
        <color indexed="8"/>
        <rFont val="Arial"/>
        <family val="2"/>
      </rPr>
      <t>Á</t>
    </r>
    <r>
      <rPr>
        <sz val="6"/>
        <color indexed="8"/>
        <rFont val="Arial"/>
        <family val="2"/>
      </rPr>
      <t>L</t>
    </r>
    <r>
      <rPr>
        <sz val="6"/>
        <color indexed="8"/>
        <rFont val="Arial"/>
        <family val="2"/>
      </rPr>
      <t>I</t>
    </r>
    <r>
      <rPr>
        <sz val="6"/>
        <color indexed="8"/>
        <rFont val="Arial"/>
        <family val="2"/>
      </rPr>
      <t>C</t>
    </r>
    <r>
      <rPr>
        <sz val="6"/>
        <color indexed="8"/>
        <rFont val="Arial"/>
        <family val="2"/>
      </rPr>
      <t>A</t>
    </r>
    <r>
      <rPr>
        <sz val="6"/>
        <color indexed="8"/>
        <rFont val="Arial"/>
        <family val="2"/>
      </rPr>
      <t xml:space="preserve"> </t>
    </r>
    <r>
      <rPr>
        <sz val="6"/>
        <color indexed="8"/>
        <rFont val="Arial"/>
        <family val="2"/>
      </rPr>
      <t>(SÓ</t>
    </r>
    <r>
      <rPr>
        <sz val="6"/>
        <color indexed="8"/>
        <rFont val="Arial"/>
        <family val="2"/>
      </rPr>
      <t xml:space="preserve"> </t>
    </r>
    <r>
      <rPr>
        <sz val="6"/>
        <color indexed="8"/>
        <rFont val="Arial"/>
        <family val="2"/>
      </rPr>
      <t>S</t>
    </r>
    <r>
      <rPr>
        <sz val="6"/>
        <color indexed="8"/>
        <rFont val="Arial"/>
        <family val="2"/>
      </rPr>
      <t>E</t>
    </r>
    <r>
      <rPr>
        <sz val="6"/>
        <color indexed="8"/>
        <rFont val="Arial"/>
        <family val="2"/>
      </rPr>
      <t>R</t>
    </r>
    <r>
      <rPr>
        <sz val="6"/>
        <color indexed="8"/>
        <rFont val="Arial"/>
        <family val="2"/>
      </rPr>
      <t>V</t>
    </r>
    <r>
      <rPr>
        <sz val="6"/>
        <color indexed="8"/>
        <rFont val="Arial"/>
        <family val="2"/>
      </rPr>
      <t>I</t>
    </r>
    <r>
      <rPr>
        <sz val="6"/>
        <color indexed="8"/>
        <rFont val="Arial"/>
        <family val="2"/>
      </rPr>
      <t>Ç</t>
    </r>
    <r>
      <rPr>
        <sz val="6"/>
        <color indexed="8"/>
        <rFont val="Arial"/>
        <family val="2"/>
      </rPr>
      <t>O</t>
    </r>
    <r>
      <rPr>
        <sz val="6"/>
        <color indexed="8"/>
        <rFont val="Arial"/>
        <family val="2"/>
      </rPr>
      <t>S</t>
    </r>
    <r>
      <rPr>
        <sz val="6"/>
        <color indexed="8"/>
        <rFont val="Arial"/>
        <family val="2"/>
      </rPr>
      <t>)</t>
    </r>
  </si>
  <si>
    <t>RAMAL DOMICILIAR  EM PVC MODULAR/CONDOMINIAL (EXCLUSIVE  MATERIAL HIDRÁULICO)</t>
  </si>
  <si>
    <t>RAMAL DOMICILIAR  PARA REDE COLETORA  DE ESGOTOS EM PVC/PV (EXCLUSIVE  MATERIAL HIDRÁULICO)</t>
  </si>
  <si>
    <r>
      <rPr>
        <b/>
        <sz val="6"/>
        <color indexed="8"/>
        <rFont val="Arial"/>
        <family val="2"/>
      </rPr>
      <t>D</t>
    </r>
    <r>
      <rPr>
        <b/>
        <sz val="6"/>
        <color indexed="8"/>
        <rFont val="Arial"/>
        <family val="2"/>
      </rPr>
      <t>R</t>
    </r>
    <r>
      <rPr>
        <b/>
        <sz val="6"/>
        <color indexed="8"/>
        <rFont val="Arial"/>
        <family val="2"/>
      </rPr>
      <t>E</t>
    </r>
    <r>
      <rPr>
        <b/>
        <sz val="6"/>
        <color indexed="8"/>
        <rFont val="Arial"/>
        <family val="2"/>
      </rPr>
      <t>N</t>
    </r>
    <r>
      <rPr>
        <b/>
        <sz val="6"/>
        <color indexed="8"/>
        <rFont val="Arial"/>
        <family val="2"/>
      </rPr>
      <t>A</t>
    </r>
    <r>
      <rPr>
        <b/>
        <sz val="6"/>
        <color indexed="8"/>
        <rFont val="Arial"/>
        <family val="2"/>
      </rPr>
      <t>GEM</t>
    </r>
    <r>
      <rPr>
        <b/>
        <sz val="6"/>
        <color indexed="8"/>
        <rFont val="Arial"/>
        <family val="2"/>
      </rPr>
      <t xml:space="preserve"> </t>
    </r>
    <r>
      <rPr>
        <b/>
        <sz val="6"/>
        <color indexed="8"/>
        <rFont val="Arial"/>
        <family val="2"/>
      </rPr>
      <t xml:space="preserve"> </t>
    </r>
    <r>
      <rPr>
        <b/>
        <sz val="6"/>
        <color indexed="8"/>
        <rFont val="Arial"/>
        <family val="2"/>
      </rPr>
      <t>/</t>
    </r>
    <r>
      <rPr>
        <b/>
        <sz val="6"/>
        <color indexed="8"/>
        <rFont val="Arial"/>
        <family val="2"/>
      </rPr>
      <t xml:space="preserve"> </t>
    </r>
    <r>
      <rPr>
        <b/>
        <sz val="6"/>
        <color indexed="8"/>
        <rFont val="Arial"/>
        <family val="2"/>
      </rPr>
      <t>A</t>
    </r>
    <r>
      <rPr>
        <b/>
        <sz val="6"/>
        <color indexed="8"/>
        <rFont val="Arial"/>
        <family val="2"/>
      </rPr>
      <t>V</t>
    </r>
    <r>
      <rPr>
        <b/>
        <sz val="6"/>
        <color indexed="8"/>
        <rFont val="Arial"/>
        <family val="2"/>
      </rPr>
      <t>I</t>
    </r>
    <r>
      <rPr>
        <b/>
        <sz val="6"/>
        <color indexed="8"/>
        <rFont val="Arial"/>
        <family val="2"/>
      </rPr>
      <t>SO</t>
    </r>
    <r>
      <rPr>
        <b/>
        <sz val="6"/>
        <color indexed="8"/>
        <rFont val="Arial"/>
        <family val="2"/>
      </rPr>
      <t xml:space="preserve"> </t>
    </r>
    <r>
      <rPr>
        <b/>
        <sz val="6"/>
        <color indexed="8"/>
        <rFont val="Arial"/>
        <family val="2"/>
      </rPr>
      <t>D</t>
    </r>
    <r>
      <rPr>
        <b/>
        <sz val="6"/>
        <color indexed="8"/>
        <rFont val="Arial"/>
        <family val="2"/>
      </rPr>
      <t>E</t>
    </r>
    <r>
      <rPr>
        <b/>
        <sz val="6"/>
        <color indexed="8"/>
        <rFont val="Arial"/>
        <family val="2"/>
      </rPr>
      <t xml:space="preserve"> </t>
    </r>
    <r>
      <rPr>
        <b/>
        <sz val="6"/>
        <color indexed="8"/>
        <rFont val="Arial"/>
        <family val="2"/>
      </rPr>
      <t>F</t>
    </r>
    <r>
      <rPr>
        <b/>
        <sz val="6"/>
        <color indexed="8"/>
        <rFont val="Arial"/>
        <family val="2"/>
      </rPr>
      <t>I</t>
    </r>
    <r>
      <rPr>
        <b/>
        <sz val="6"/>
        <color indexed="8"/>
        <rFont val="Arial"/>
        <family val="2"/>
      </rPr>
      <t>SS</t>
    </r>
    <r>
      <rPr>
        <b/>
        <sz val="6"/>
        <color indexed="8"/>
        <rFont val="Arial"/>
        <family val="2"/>
      </rPr>
      <t>U</t>
    </r>
    <r>
      <rPr>
        <b/>
        <sz val="6"/>
        <color indexed="8"/>
        <rFont val="Arial"/>
        <family val="2"/>
      </rPr>
      <t>R</t>
    </r>
    <r>
      <rPr>
        <b/>
        <sz val="6"/>
        <color indexed="8"/>
        <rFont val="Arial"/>
        <family val="2"/>
      </rPr>
      <t>A</t>
    </r>
  </si>
  <si>
    <t>DRENO PVC TE DN 100 MM (EXCLUSIVE  FORNECIMENTO DE TUBO)</t>
  </si>
  <si>
    <t>DRENO PVC TE DN 75 MM (EXCLUSIVE  FORNECIMENTO DE TUBO)</t>
  </si>
  <si>
    <t>DRENO PVC VINILFORT  DN 150 MM (EXCLUSIVE  FORNECIMENTO TUBO)</t>
  </si>
  <si>
    <t>DRENO PVC VINILFORT  DN 200 MM (EXCLUSIVE  FORNECIMENTO TUBO)</t>
  </si>
  <si>
    <t>DRENO PVC VINILFORT  DN 250 MM (EXCLUSIVE  FORNECIMENTO TUBO)</t>
  </si>
  <si>
    <t>DRENO PVC VINILFORT  DN 300 MM (EXCLUSIVE  FORNECIMENTO TUBO)</t>
  </si>
  <si>
    <t>DRENO TUBO CONCRETO  SIMPLES CA-1 DN 200MM (EXCLUSIVE  FORNECIMENTO DE TUBO)</t>
  </si>
  <si>
    <t>DRENO TUBO CONCRETO  SIMPLES CA-1 DN 300MM (EXCLUSIVE  FORNECIMENTO DE TUBO)</t>
  </si>
  <si>
    <t>DRENO TUBO CONCRETO  SIMPLES CA-1 DN 400MM (EXCLUSIVE  FORNECIMENTO DE TUBO)</t>
  </si>
  <si>
    <t>DRENO TUBO CONCRETO  SIMPLES CA-1 DN 500MM (EXCLUSIVE  FORNECIMENTO DE TUBO)</t>
  </si>
  <si>
    <r>
      <rPr>
        <b/>
        <sz val="6"/>
        <color indexed="8"/>
        <rFont val="Arial"/>
        <family val="2"/>
      </rPr>
      <t>C</t>
    </r>
    <r>
      <rPr>
        <b/>
        <sz val="6"/>
        <color indexed="8"/>
        <rFont val="Arial"/>
        <family val="2"/>
      </rPr>
      <t>O</t>
    </r>
    <r>
      <rPr>
        <b/>
        <sz val="6"/>
        <color indexed="8"/>
        <rFont val="Arial"/>
        <family val="2"/>
      </rPr>
      <t>R</t>
    </r>
    <r>
      <rPr>
        <b/>
        <sz val="6"/>
        <color indexed="8"/>
        <rFont val="Arial"/>
        <family val="2"/>
      </rPr>
      <t>T</t>
    </r>
    <r>
      <rPr>
        <b/>
        <sz val="6"/>
        <color indexed="8"/>
        <rFont val="Arial"/>
        <family val="2"/>
      </rPr>
      <t>E</t>
    </r>
    <r>
      <rPr>
        <b/>
        <sz val="6"/>
        <color indexed="8"/>
        <rFont val="Arial"/>
        <family val="2"/>
      </rPr>
      <t xml:space="preserve"> </t>
    </r>
    <r>
      <rPr>
        <b/>
        <sz val="6"/>
        <color indexed="8"/>
        <rFont val="Arial"/>
        <family val="2"/>
      </rPr>
      <t>E</t>
    </r>
    <r>
      <rPr>
        <b/>
        <sz val="6"/>
        <color indexed="8"/>
        <rFont val="Arial"/>
        <family val="2"/>
      </rPr>
      <t xml:space="preserve"> </t>
    </r>
    <r>
      <rPr>
        <b/>
        <sz val="6"/>
        <color indexed="8"/>
        <rFont val="Arial"/>
        <family val="2"/>
      </rPr>
      <t>R</t>
    </r>
    <r>
      <rPr>
        <b/>
        <sz val="6"/>
        <color indexed="8"/>
        <rFont val="Arial"/>
        <family val="2"/>
      </rPr>
      <t>EPOSI</t>
    </r>
    <r>
      <rPr>
        <b/>
        <sz val="6"/>
        <color indexed="8"/>
        <rFont val="Arial"/>
        <family val="2"/>
      </rPr>
      <t>Ç</t>
    </r>
    <r>
      <rPr>
        <b/>
        <sz val="6"/>
        <color indexed="8"/>
        <rFont val="Arial"/>
        <family val="2"/>
      </rPr>
      <t>Ã</t>
    </r>
    <r>
      <rPr>
        <b/>
        <sz val="6"/>
        <color indexed="8"/>
        <rFont val="Arial"/>
        <family val="2"/>
      </rPr>
      <t>O</t>
    </r>
    <r>
      <rPr>
        <b/>
        <sz val="6"/>
        <color indexed="8"/>
        <rFont val="Arial"/>
        <family val="2"/>
      </rPr>
      <t xml:space="preserve"> </t>
    </r>
    <r>
      <rPr>
        <b/>
        <sz val="6"/>
        <color indexed="8"/>
        <rFont val="Arial"/>
        <family val="2"/>
      </rPr>
      <t xml:space="preserve"> </t>
    </r>
    <r>
      <rPr>
        <b/>
        <sz val="6"/>
        <color indexed="8"/>
        <rFont val="Arial"/>
        <family val="2"/>
      </rPr>
      <t>D</t>
    </r>
    <r>
      <rPr>
        <b/>
        <sz val="6"/>
        <color indexed="8"/>
        <rFont val="Arial"/>
        <family val="2"/>
      </rPr>
      <t>E</t>
    </r>
    <r>
      <rPr>
        <b/>
        <sz val="6"/>
        <color indexed="8"/>
        <rFont val="Arial"/>
        <family val="2"/>
      </rPr>
      <t xml:space="preserve"> </t>
    </r>
    <r>
      <rPr>
        <b/>
        <sz val="6"/>
        <color indexed="8"/>
        <rFont val="Arial"/>
        <family val="2"/>
      </rPr>
      <t>P</t>
    </r>
    <r>
      <rPr>
        <b/>
        <sz val="6"/>
        <color indexed="8"/>
        <rFont val="Arial"/>
        <family val="2"/>
      </rPr>
      <t>A</t>
    </r>
    <r>
      <rPr>
        <b/>
        <sz val="6"/>
        <color indexed="8"/>
        <rFont val="Arial"/>
        <family val="2"/>
      </rPr>
      <t>V</t>
    </r>
    <r>
      <rPr>
        <b/>
        <sz val="6"/>
        <color indexed="8"/>
        <rFont val="Arial"/>
        <family val="2"/>
      </rPr>
      <t>I</t>
    </r>
    <r>
      <rPr>
        <b/>
        <sz val="6"/>
        <color indexed="8"/>
        <rFont val="Arial"/>
        <family val="2"/>
      </rPr>
      <t>M</t>
    </r>
    <r>
      <rPr>
        <b/>
        <sz val="6"/>
        <color indexed="8"/>
        <rFont val="Arial"/>
        <family val="2"/>
      </rPr>
      <t>E</t>
    </r>
    <r>
      <rPr>
        <b/>
        <sz val="6"/>
        <color indexed="8"/>
        <rFont val="Arial"/>
        <family val="2"/>
      </rPr>
      <t>N</t>
    </r>
    <r>
      <rPr>
        <b/>
        <sz val="6"/>
        <color indexed="8"/>
        <rFont val="Arial"/>
        <family val="2"/>
      </rPr>
      <t>T</t>
    </r>
    <r>
      <rPr>
        <b/>
        <sz val="6"/>
        <color indexed="8"/>
        <rFont val="Arial"/>
        <family val="2"/>
      </rPr>
      <t>OS</t>
    </r>
  </si>
  <si>
    <r>
      <rPr>
        <sz val="6"/>
        <color indexed="8"/>
        <rFont val="Arial"/>
        <family val="2"/>
      </rPr>
      <t>L</t>
    </r>
    <r>
      <rPr>
        <sz val="6"/>
        <color indexed="8"/>
        <rFont val="Arial"/>
        <family val="2"/>
      </rPr>
      <t>I</t>
    </r>
    <r>
      <rPr>
        <sz val="6"/>
        <color indexed="8"/>
        <rFont val="Arial"/>
        <family val="2"/>
      </rPr>
      <t>M</t>
    </r>
    <r>
      <rPr>
        <sz val="6"/>
        <color indexed="8"/>
        <rFont val="Arial"/>
        <family val="2"/>
      </rPr>
      <t>PE</t>
    </r>
    <r>
      <rPr>
        <sz val="6"/>
        <color indexed="8"/>
        <rFont val="Arial"/>
        <family val="2"/>
      </rPr>
      <t>Z</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D</t>
    </r>
    <r>
      <rPr>
        <sz val="6"/>
        <color indexed="8"/>
        <rFont val="Arial"/>
        <family val="2"/>
      </rPr>
      <t>O</t>
    </r>
    <r>
      <rPr>
        <sz val="6"/>
        <color indexed="8"/>
        <rFont val="Arial"/>
        <family val="2"/>
      </rPr>
      <t xml:space="preserve"> </t>
    </r>
    <r>
      <rPr>
        <sz val="6"/>
        <color indexed="8"/>
        <rFont val="Arial"/>
        <family val="2"/>
      </rPr>
      <t>C</t>
    </r>
    <r>
      <rPr>
        <sz val="6"/>
        <color indexed="8"/>
        <rFont val="Arial"/>
        <family val="2"/>
      </rPr>
      <t>O</t>
    </r>
    <r>
      <rPr>
        <sz val="6"/>
        <color indexed="8"/>
        <rFont val="Arial"/>
        <family val="2"/>
      </rPr>
      <t>R</t>
    </r>
    <r>
      <rPr>
        <sz val="6"/>
        <color indexed="8"/>
        <rFont val="Arial"/>
        <family val="2"/>
      </rPr>
      <t>T</t>
    </r>
    <r>
      <rPr>
        <sz val="6"/>
        <color indexed="8"/>
        <rFont val="Arial"/>
        <family val="2"/>
      </rPr>
      <t>E,</t>
    </r>
    <r>
      <rPr>
        <sz val="6"/>
        <color indexed="8"/>
        <rFont val="Arial"/>
        <family val="2"/>
      </rPr>
      <t xml:space="preserve"> </t>
    </r>
    <r>
      <rPr>
        <sz val="6"/>
        <color indexed="8"/>
        <rFont val="Arial"/>
        <family val="2"/>
      </rPr>
      <t xml:space="preserve"> </t>
    </r>
    <r>
      <rPr>
        <sz val="6"/>
        <color indexed="8"/>
        <rFont val="Arial"/>
        <family val="2"/>
      </rPr>
      <t>C</t>
    </r>
    <r>
      <rPr>
        <sz val="6"/>
        <color indexed="8"/>
        <rFont val="Arial"/>
        <family val="2"/>
      </rPr>
      <t>OL</t>
    </r>
    <r>
      <rPr>
        <sz val="6"/>
        <color indexed="8"/>
        <rFont val="Arial"/>
        <family val="2"/>
      </rPr>
      <t>O</t>
    </r>
    <r>
      <rPr>
        <sz val="6"/>
        <color indexed="8"/>
        <rFont val="Arial"/>
        <family val="2"/>
      </rPr>
      <t>C</t>
    </r>
    <r>
      <rPr>
        <sz val="6"/>
        <color indexed="8"/>
        <rFont val="Arial"/>
        <family val="2"/>
      </rPr>
      <t>A</t>
    </r>
    <r>
      <rPr>
        <sz val="6"/>
        <color indexed="8"/>
        <rFont val="Arial"/>
        <family val="2"/>
      </rPr>
      <t>Ç</t>
    </r>
    <r>
      <rPr>
        <sz val="6"/>
        <color indexed="8"/>
        <rFont val="Arial"/>
        <family val="2"/>
      </rPr>
      <t>Ã</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E</t>
    </r>
    <r>
      <rPr>
        <sz val="6"/>
        <color indexed="8"/>
        <rFont val="Arial"/>
        <family val="2"/>
      </rPr>
      <t xml:space="preserve"> </t>
    </r>
    <r>
      <rPr>
        <sz val="6"/>
        <color indexed="8"/>
        <rFont val="Arial"/>
        <family val="2"/>
      </rPr>
      <t>C</t>
    </r>
    <r>
      <rPr>
        <sz val="6"/>
        <color indexed="8"/>
        <rFont val="Arial"/>
        <family val="2"/>
      </rPr>
      <t>O</t>
    </r>
    <r>
      <rPr>
        <sz val="6"/>
        <color indexed="8"/>
        <rFont val="Arial"/>
        <family val="2"/>
      </rPr>
      <t>M</t>
    </r>
    <r>
      <rPr>
        <sz val="6"/>
        <color indexed="8"/>
        <rFont val="Arial"/>
        <family val="2"/>
      </rPr>
      <t>PA</t>
    </r>
    <r>
      <rPr>
        <sz val="6"/>
        <color indexed="8"/>
        <rFont val="Arial"/>
        <family val="2"/>
      </rPr>
      <t>C</t>
    </r>
    <r>
      <rPr>
        <sz val="6"/>
        <color indexed="8"/>
        <rFont val="Arial"/>
        <family val="2"/>
      </rPr>
      <t>T</t>
    </r>
    <r>
      <rPr>
        <sz val="6"/>
        <color indexed="8"/>
        <rFont val="Arial"/>
        <family val="2"/>
      </rPr>
      <t>A</t>
    </r>
    <r>
      <rPr>
        <sz val="6"/>
        <color indexed="8"/>
        <rFont val="Arial"/>
        <family val="2"/>
      </rPr>
      <t>Ç</t>
    </r>
    <r>
      <rPr>
        <sz val="6"/>
        <color indexed="8"/>
        <rFont val="Arial"/>
        <family val="2"/>
      </rPr>
      <t>ÃO</t>
    </r>
    <r>
      <rPr>
        <sz val="6"/>
        <color indexed="8"/>
        <rFont val="Arial"/>
        <family val="2"/>
      </rPr>
      <t xml:space="preserve"> </t>
    </r>
    <r>
      <rPr>
        <sz val="6"/>
        <color indexed="8"/>
        <rFont val="Arial"/>
        <family val="2"/>
      </rPr>
      <t>C</t>
    </r>
    <r>
      <rPr>
        <sz val="6"/>
        <color indexed="8"/>
        <rFont val="Arial"/>
        <family val="2"/>
      </rPr>
      <t>AS</t>
    </r>
    <r>
      <rPr>
        <sz val="6"/>
        <color indexed="8"/>
        <rFont val="Arial"/>
        <family val="2"/>
      </rPr>
      <t>C</t>
    </r>
    <r>
      <rPr>
        <sz val="6"/>
        <color indexed="8"/>
        <rFont val="Arial"/>
        <family val="2"/>
      </rPr>
      <t>A</t>
    </r>
    <r>
      <rPr>
        <sz val="6"/>
        <color indexed="8"/>
        <rFont val="Arial"/>
        <family val="2"/>
      </rPr>
      <t>L</t>
    </r>
    <r>
      <rPr>
        <sz val="6"/>
        <color indexed="8"/>
        <rFont val="Arial"/>
        <family val="2"/>
      </rPr>
      <t>H</t>
    </r>
    <r>
      <rPr>
        <sz val="6"/>
        <color indexed="8"/>
        <rFont val="Arial"/>
        <family val="2"/>
      </rPr>
      <t>O</t>
    </r>
    <r>
      <rPr>
        <sz val="6"/>
        <color indexed="8"/>
        <rFont val="Arial"/>
        <family val="2"/>
      </rPr>
      <t>,</t>
    </r>
    <r>
      <rPr>
        <sz val="6"/>
        <color indexed="8"/>
        <rFont val="Arial"/>
        <family val="2"/>
      </rPr>
      <t xml:space="preserve"> </t>
    </r>
    <r>
      <rPr>
        <sz val="6"/>
        <color indexed="8"/>
        <rFont val="Arial"/>
        <family val="2"/>
      </rPr>
      <t xml:space="preserve"> </t>
    </r>
    <r>
      <rPr>
        <sz val="6"/>
        <color indexed="8"/>
        <rFont val="Arial"/>
        <family val="2"/>
      </rPr>
      <t>I</t>
    </r>
    <r>
      <rPr>
        <sz val="6"/>
        <color indexed="8"/>
        <rFont val="Arial"/>
        <family val="2"/>
      </rPr>
      <t>M</t>
    </r>
    <r>
      <rPr>
        <sz val="6"/>
        <color indexed="8"/>
        <rFont val="Arial"/>
        <family val="2"/>
      </rPr>
      <t>P</t>
    </r>
    <r>
      <rPr>
        <sz val="6"/>
        <color indexed="8"/>
        <rFont val="Arial"/>
        <family val="2"/>
      </rPr>
      <t>R</t>
    </r>
    <r>
      <rPr>
        <sz val="6"/>
        <color indexed="8"/>
        <rFont val="Arial"/>
        <family val="2"/>
      </rPr>
      <t>I</t>
    </r>
    <r>
      <rPr>
        <sz val="6"/>
        <color indexed="8"/>
        <rFont val="Arial"/>
        <family val="2"/>
      </rPr>
      <t>M</t>
    </r>
    <r>
      <rPr>
        <sz val="6"/>
        <color indexed="8"/>
        <rFont val="Arial"/>
        <family val="2"/>
      </rPr>
      <t>A</t>
    </r>
    <r>
      <rPr>
        <sz val="6"/>
        <color indexed="8"/>
        <rFont val="Arial"/>
        <family val="2"/>
      </rPr>
      <t>Ç</t>
    </r>
    <r>
      <rPr>
        <sz val="6"/>
        <color indexed="8"/>
        <rFont val="Arial"/>
        <family val="2"/>
      </rPr>
      <t>Ã</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E</t>
    </r>
    <r>
      <rPr>
        <sz val="6"/>
        <color indexed="8"/>
        <rFont val="Arial"/>
        <family val="2"/>
      </rPr>
      <t xml:space="preserve"> </t>
    </r>
    <r>
      <rPr>
        <sz val="6"/>
        <color indexed="8"/>
        <rFont val="Arial"/>
        <family val="2"/>
      </rPr>
      <t>C</t>
    </r>
    <r>
      <rPr>
        <sz val="6"/>
        <color indexed="8"/>
        <rFont val="Arial"/>
        <family val="2"/>
      </rPr>
      <t>OLO</t>
    </r>
    <r>
      <rPr>
        <sz val="6"/>
        <color indexed="8"/>
        <rFont val="Arial"/>
        <family val="2"/>
      </rPr>
      <t>C</t>
    </r>
    <r>
      <rPr>
        <sz val="6"/>
        <color indexed="8"/>
        <rFont val="Arial"/>
        <family val="2"/>
      </rPr>
      <t>A</t>
    </r>
    <r>
      <rPr>
        <sz val="6"/>
        <color indexed="8"/>
        <rFont val="Arial"/>
        <family val="2"/>
      </rPr>
      <t>Ç</t>
    </r>
    <r>
      <rPr>
        <sz val="6"/>
        <color indexed="8"/>
        <rFont val="Arial"/>
        <family val="2"/>
      </rPr>
      <t>ÃO</t>
    </r>
    <r>
      <rPr>
        <sz val="6"/>
        <color indexed="8"/>
        <rFont val="Arial"/>
        <family val="2"/>
      </rPr>
      <t xml:space="preserve"> </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C</t>
    </r>
    <r>
      <rPr>
        <sz val="6"/>
        <color indexed="8"/>
        <rFont val="Arial"/>
        <family val="2"/>
      </rPr>
      <t>A</t>
    </r>
    <r>
      <rPr>
        <sz val="6"/>
        <color indexed="8"/>
        <rFont val="Arial"/>
        <family val="2"/>
      </rPr>
      <t xml:space="preserve">PA
</t>
    </r>
    <r>
      <rPr>
        <sz val="6"/>
        <color indexed="8"/>
        <rFont val="Arial"/>
        <family val="2"/>
      </rPr>
      <t>A</t>
    </r>
    <r>
      <rPr>
        <sz val="6"/>
        <color indexed="8"/>
        <rFont val="Arial"/>
        <family val="2"/>
      </rPr>
      <t>S</t>
    </r>
    <r>
      <rPr>
        <sz val="6"/>
        <color indexed="8"/>
        <rFont val="Arial"/>
        <family val="2"/>
      </rPr>
      <t>F</t>
    </r>
    <r>
      <rPr>
        <sz val="6"/>
        <color indexed="8"/>
        <rFont val="Arial"/>
        <family val="2"/>
      </rPr>
      <t>Á</t>
    </r>
    <r>
      <rPr>
        <sz val="6"/>
        <color indexed="8"/>
        <rFont val="Arial"/>
        <family val="2"/>
      </rPr>
      <t>L</t>
    </r>
    <r>
      <rPr>
        <sz val="6"/>
        <color indexed="8"/>
        <rFont val="Arial"/>
        <family val="2"/>
      </rPr>
      <t>T</t>
    </r>
    <r>
      <rPr>
        <sz val="6"/>
        <color indexed="8"/>
        <rFont val="Arial"/>
        <family val="2"/>
      </rPr>
      <t>I</t>
    </r>
    <r>
      <rPr>
        <sz val="6"/>
        <color indexed="8"/>
        <rFont val="Arial"/>
        <family val="2"/>
      </rPr>
      <t>C</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t>
    </r>
    <r>
      <rPr>
        <sz val="6"/>
        <color indexed="8"/>
        <rFont val="Arial"/>
        <family val="2"/>
      </rPr>
      <t>C</t>
    </r>
    <r>
      <rPr>
        <sz val="6"/>
        <color indexed="8"/>
        <rFont val="Arial"/>
        <family val="2"/>
      </rPr>
      <t>B</t>
    </r>
    <r>
      <rPr>
        <sz val="6"/>
        <color indexed="8"/>
        <rFont val="Arial"/>
        <family val="2"/>
      </rPr>
      <t>U</t>
    </r>
    <r>
      <rPr>
        <sz val="6"/>
        <color indexed="8"/>
        <rFont val="Arial"/>
        <family val="2"/>
      </rPr>
      <t>Q</t>
    </r>
    <r>
      <rPr>
        <sz val="6"/>
        <color indexed="8"/>
        <rFont val="Arial"/>
        <family val="2"/>
      </rPr>
      <t>)</t>
    </r>
    <r>
      <rPr>
        <sz val="6"/>
        <color indexed="8"/>
        <rFont val="Arial"/>
        <family val="2"/>
      </rPr>
      <t xml:space="preserve"> </t>
    </r>
    <r>
      <rPr>
        <sz val="6"/>
        <color indexed="8"/>
        <rFont val="Arial"/>
        <family val="2"/>
      </rPr>
      <t>-</t>
    </r>
    <r>
      <rPr>
        <sz val="6"/>
        <color indexed="8"/>
        <rFont val="Arial"/>
        <family val="2"/>
      </rPr>
      <t xml:space="preserve"> </t>
    </r>
    <r>
      <rPr>
        <sz val="6"/>
        <color indexed="8"/>
        <rFont val="Arial"/>
        <family val="2"/>
      </rPr>
      <t>E</t>
    </r>
    <r>
      <rPr>
        <sz val="6"/>
        <color indexed="8"/>
        <rFont val="Arial"/>
        <family val="2"/>
      </rPr>
      <t>X</t>
    </r>
    <r>
      <rPr>
        <sz val="6"/>
        <color indexed="8"/>
        <rFont val="Arial"/>
        <family val="2"/>
      </rPr>
      <t>C</t>
    </r>
    <r>
      <rPr>
        <sz val="6"/>
        <color indexed="8"/>
        <rFont val="Arial"/>
        <family val="2"/>
      </rPr>
      <t>L</t>
    </r>
    <r>
      <rPr>
        <sz val="6"/>
        <color indexed="8"/>
        <rFont val="Arial"/>
        <family val="2"/>
      </rPr>
      <t>U</t>
    </r>
    <r>
      <rPr>
        <sz val="6"/>
        <color indexed="8"/>
        <rFont val="Arial"/>
        <family val="2"/>
      </rPr>
      <t>S</t>
    </r>
    <r>
      <rPr>
        <sz val="6"/>
        <color indexed="8"/>
        <rFont val="Arial"/>
        <family val="2"/>
      </rPr>
      <t>I</t>
    </r>
    <r>
      <rPr>
        <sz val="6"/>
        <color indexed="8"/>
        <rFont val="Arial"/>
        <family val="2"/>
      </rPr>
      <t>VE</t>
    </r>
    <r>
      <rPr>
        <sz val="6"/>
        <color indexed="8"/>
        <rFont val="Arial"/>
        <family val="2"/>
      </rPr>
      <t xml:space="preserve"> </t>
    </r>
    <r>
      <rPr>
        <sz val="6"/>
        <color indexed="8"/>
        <rFont val="Arial"/>
        <family val="2"/>
      </rPr>
      <t xml:space="preserve"> </t>
    </r>
    <r>
      <rPr>
        <sz val="6"/>
        <color indexed="8"/>
        <rFont val="Arial"/>
        <family val="2"/>
      </rPr>
      <t>M</t>
    </r>
    <r>
      <rPr>
        <sz val="6"/>
        <color indexed="8"/>
        <rFont val="Arial"/>
        <family val="2"/>
      </rPr>
      <t>A</t>
    </r>
    <r>
      <rPr>
        <sz val="6"/>
        <color indexed="8"/>
        <rFont val="Arial"/>
        <family val="2"/>
      </rPr>
      <t>T</t>
    </r>
    <r>
      <rPr>
        <sz val="6"/>
        <color indexed="8"/>
        <rFont val="Arial"/>
        <family val="2"/>
      </rPr>
      <t>E</t>
    </r>
    <r>
      <rPr>
        <sz val="6"/>
        <color indexed="8"/>
        <rFont val="Arial"/>
        <family val="2"/>
      </rPr>
      <t>R</t>
    </r>
    <r>
      <rPr>
        <sz val="6"/>
        <color indexed="8"/>
        <rFont val="Arial"/>
        <family val="2"/>
      </rPr>
      <t>I</t>
    </r>
    <r>
      <rPr>
        <sz val="6"/>
        <color indexed="8"/>
        <rFont val="Arial"/>
        <family val="2"/>
      </rPr>
      <t>AL</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E</t>
    </r>
    <r>
      <rPr>
        <sz val="6"/>
        <color indexed="8"/>
        <rFont val="Arial"/>
        <family val="2"/>
      </rPr>
      <t>M</t>
    </r>
    <r>
      <rPr>
        <sz val="6"/>
        <color indexed="8"/>
        <rFont val="Arial"/>
        <family val="2"/>
      </rPr>
      <t>P</t>
    </r>
    <r>
      <rPr>
        <sz val="6"/>
        <color indexed="8"/>
        <rFont val="Arial"/>
        <family val="2"/>
      </rPr>
      <t>R</t>
    </r>
    <r>
      <rPr>
        <sz val="6"/>
        <color indexed="8"/>
        <rFont val="Arial"/>
        <family val="2"/>
      </rPr>
      <t>ÉS</t>
    </r>
    <r>
      <rPr>
        <sz val="6"/>
        <color indexed="8"/>
        <rFont val="Arial"/>
        <family val="2"/>
      </rPr>
      <t>T</t>
    </r>
    <r>
      <rPr>
        <sz val="6"/>
        <color indexed="8"/>
        <rFont val="Arial"/>
        <family val="2"/>
      </rPr>
      <t>I</t>
    </r>
    <r>
      <rPr>
        <sz val="6"/>
        <color indexed="8"/>
        <rFont val="Arial"/>
        <family val="2"/>
      </rPr>
      <t>M</t>
    </r>
    <r>
      <rPr>
        <sz val="6"/>
        <color indexed="8"/>
        <rFont val="Arial"/>
        <family val="2"/>
      </rPr>
      <t>O</t>
    </r>
    <r>
      <rPr>
        <sz val="6"/>
        <color indexed="8"/>
        <rFont val="Arial"/>
        <family val="2"/>
      </rPr>
      <t xml:space="preserve"> </t>
    </r>
    <r>
      <rPr>
        <sz val="6"/>
        <color indexed="8"/>
        <rFont val="Arial"/>
        <family val="2"/>
      </rPr>
      <t>P</t>
    </r>
    <r>
      <rPr>
        <sz val="6"/>
        <color indexed="8"/>
        <rFont val="Arial"/>
        <family val="2"/>
      </rPr>
      <t>A</t>
    </r>
    <r>
      <rPr>
        <sz val="6"/>
        <color indexed="8"/>
        <rFont val="Arial"/>
        <family val="2"/>
      </rPr>
      <t>R</t>
    </r>
    <r>
      <rPr>
        <sz val="6"/>
        <color indexed="8"/>
        <rFont val="Arial"/>
        <family val="2"/>
      </rPr>
      <t>A</t>
    </r>
    <r>
      <rPr>
        <sz val="6"/>
        <color indexed="8"/>
        <rFont val="Arial"/>
        <family val="2"/>
      </rPr>
      <t xml:space="preserve"> </t>
    </r>
    <r>
      <rPr>
        <sz val="6"/>
        <color indexed="8"/>
        <rFont val="Arial"/>
        <family val="2"/>
      </rPr>
      <t>B</t>
    </r>
    <r>
      <rPr>
        <sz val="6"/>
        <color indexed="8"/>
        <rFont val="Arial"/>
        <family val="2"/>
      </rPr>
      <t>A</t>
    </r>
    <r>
      <rPr>
        <sz val="6"/>
        <color indexed="8"/>
        <rFont val="Arial"/>
        <family val="2"/>
      </rPr>
      <t>SE</t>
    </r>
  </si>
  <si>
    <t>REMOÇÃO BLOCOS HEXAGONAL  DE CONCRETO  TIPO BLOKRET</t>
  </si>
  <si>
    <t>REMOÇÃO E REPOSIÇÃO  PARALELEPÍPEDO SOBRE COXIM DE AREIA</t>
  </si>
  <si>
    <t>REPOSIÇÃO   PARALELEPÍPEDO SOBRE COXIM DE AREIA</t>
  </si>
  <si>
    <r>
      <rPr>
        <sz val="6"/>
        <color indexed="8"/>
        <rFont val="Arial"/>
        <family val="2"/>
      </rPr>
      <t>R</t>
    </r>
    <r>
      <rPr>
        <sz val="6"/>
        <color indexed="8"/>
        <rFont val="Arial"/>
        <family val="2"/>
      </rPr>
      <t>E</t>
    </r>
    <r>
      <rPr>
        <sz val="6"/>
        <color indexed="8"/>
        <rFont val="Arial"/>
        <family val="2"/>
      </rPr>
      <t>P</t>
    </r>
    <r>
      <rPr>
        <sz val="6"/>
        <color indexed="8"/>
        <rFont val="Arial"/>
        <family val="2"/>
      </rPr>
      <t>O</t>
    </r>
    <r>
      <rPr>
        <sz val="6"/>
        <color indexed="8"/>
        <rFont val="Arial"/>
        <family val="2"/>
      </rPr>
      <t>S</t>
    </r>
    <r>
      <rPr>
        <sz val="6"/>
        <color indexed="8"/>
        <rFont val="Arial"/>
        <family val="2"/>
      </rPr>
      <t>I</t>
    </r>
    <r>
      <rPr>
        <sz val="6"/>
        <color indexed="8"/>
        <rFont val="Arial"/>
        <family val="2"/>
      </rPr>
      <t>Ç</t>
    </r>
    <r>
      <rPr>
        <sz val="6"/>
        <color indexed="8"/>
        <rFont val="Arial"/>
        <family val="2"/>
      </rPr>
      <t>Ã</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AS</t>
    </r>
    <r>
      <rPr>
        <sz val="6"/>
        <color indexed="8"/>
        <rFont val="Arial"/>
        <family val="2"/>
      </rPr>
      <t>F</t>
    </r>
    <r>
      <rPr>
        <sz val="6"/>
        <color indexed="8"/>
        <rFont val="Arial"/>
        <family val="2"/>
      </rPr>
      <t>Á</t>
    </r>
    <r>
      <rPr>
        <sz val="6"/>
        <color indexed="8"/>
        <rFont val="Arial"/>
        <family val="2"/>
      </rPr>
      <t>L</t>
    </r>
    <r>
      <rPr>
        <sz val="6"/>
        <color indexed="8"/>
        <rFont val="Arial"/>
        <family val="2"/>
      </rPr>
      <t>T</t>
    </r>
    <r>
      <rPr>
        <sz val="6"/>
        <color indexed="8"/>
        <rFont val="Arial"/>
        <family val="2"/>
      </rPr>
      <t>I</t>
    </r>
    <r>
      <rPr>
        <sz val="6"/>
        <color indexed="8"/>
        <rFont val="Arial"/>
        <family val="2"/>
      </rPr>
      <t>C</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t>
    </r>
    <r>
      <rPr>
        <sz val="6"/>
        <color indexed="8"/>
        <rFont val="Arial"/>
        <family val="2"/>
      </rPr>
      <t>R</t>
    </r>
    <r>
      <rPr>
        <sz val="6"/>
        <color indexed="8"/>
        <rFont val="Arial"/>
        <family val="2"/>
      </rPr>
      <t>E</t>
    </r>
    <r>
      <rPr>
        <sz val="6"/>
        <color indexed="8"/>
        <rFont val="Arial"/>
        <family val="2"/>
      </rPr>
      <t>M</t>
    </r>
    <r>
      <rPr>
        <sz val="6"/>
        <color indexed="8"/>
        <rFont val="Arial"/>
        <family val="2"/>
      </rPr>
      <t>E</t>
    </r>
    <r>
      <rPr>
        <sz val="6"/>
        <color indexed="8"/>
        <rFont val="Arial"/>
        <family val="2"/>
      </rPr>
      <t>N</t>
    </r>
    <r>
      <rPr>
        <sz val="6"/>
        <color indexed="8"/>
        <rFont val="Arial"/>
        <family val="2"/>
      </rPr>
      <t>D</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P</t>
    </r>
    <r>
      <rPr>
        <sz val="6"/>
        <color indexed="8"/>
        <rFont val="Arial"/>
        <family val="2"/>
      </rPr>
      <t>AV</t>
    </r>
    <r>
      <rPr>
        <sz val="6"/>
        <color indexed="8"/>
        <rFont val="Arial"/>
        <family val="2"/>
      </rPr>
      <t>I</t>
    </r>
    <r>
      <rPr>
        <sz val="6"/>
        <color indexed="8"/>
        <rFont val="Arial"/>
        <family val="2"/>
      </rPr>
      <t>M</t>
    </r>
    <r>
      <rPr>
        <sz val="6"/>
        <color indexed="8"/>
        <rFont val="Arial"/>
        <family val="2"/>
      </rPr>
      <t>E</t>
    </r>
    <r>
      <rPr>
        <sz val="6"/>
        <color indexed="8"/>
        <rFont val="Arial"/>
        <family val="2"/>
      </rPr>
      <t>N</t>
    </r>
    <r>
      <rPr>
        <sz val="6"/>
        <color indexed="8"/>
        <rFont val="Arial"/>
        <family val="2"/>
      </rPr>
      <t>T</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ES</t>
    </r>
    <r>
      <rPr>
        <sz val="6"/>
        <color indexed="8"/>
        <rFont val="Arial"/>
        <family val="2"/>
      </rPr>
      <t>T</t>
    </r>
    <r>
      <rPr>
        <sz val="6"/>
        <color indexed="8"/>
        <rFont val="Arial"/>
        <family val="2"/>
      </rPr>
      <t>A</t>
    </r>
    <r>
      <rPr>
        <sz val="6"/>
        <color indexed="8"/>
        <rFont val="Arial"/>
        <family val="2"/>
      </rPr>
      <t>B</t>
    </r>
    <r>
      <rPr>
        <sz val="6"/>
        <color indexed="8"/>
        <rFont val="Arial"/>
        <family val="2"/>
      </rPr>
      <t>I</t>
    </r>
    <r>
      <rPr>
        <sz val="6"/>
        <color indexed="8"/>
        <rFont val="Arial"/>
        <family val="2"/>
      </rPr>
      <t>L</t>
    </r>
    <r>
      <rPr>
        <sz val="6"/>
        <color indexed="8"/>
        <rFont val="Arial"/>
        <family val="2"/>
      </rPr>
      <t>I</t>
    </r>
    <r>
      <rPr>
        <sz val="6"/>
        <color indexed="8"/>
        <rFont val="Arial"/>
        <family val="2"/>
      </rPr>
      <t>Z</t>
    </r>
    <r>
      <rPr>
        <sz val="6"/>
        <color indexed="8"/>
        <rFont val="Arial"/>
        <family val="2"/>
      </rPr>
      <t>A</t>
    </r>
    <r>
      <rPr>
        <sz val="6"/>
        <color indexed="8"/>
        <rFont val="Arial"/>
        <family val="2"/>
      </rPr>
      <t>D</t>
    </r>
    <r>
      <rPr>
        <sz val="6"/>
        <color indexed="8"/>
        <rFont val="Arial"/>
        <family val="2"/>
      </rPr>
      <t>O</t>
    </r>
    <r>
      <rPr>
        <sz val="6"/>
        <color indexed="8"/>
        <rFont val="Arial"/>
        <family val="2"/>
      </rPr>
      <t>+</t>
    </r>
    <r>
      <rPr>
        <sz val="6"/>
        <color indexed="8"/>
        <rFont val="Arial"/>
        <family val="2"/>
      </rPr>
      <t>P</t>
    </r>
    <r>
      <rPr>
        <sz val="6"/>
        <color indexed="8"/>
        <rFont val="Arial"/>
        <family val="2"/>
      </rPr>
      <t>R</t>
    </r>
    <r>
      <rPr>
        <sz val="6"/>
        <color indexed="8"/>
        <rFont val="Arial"/>
        <family val="2"/>
      </rPr>
      <t>É-</t>
    </r>
    <r>
      <rPr>
        <sz val="6"/>
        <color indexed="8"/>
        <rFont val="Arial"/>
        <family val="2"/>
      </rPr>
      <t>M</t>
    </r>
    <r>
      <rPr>
        <sz val="6"/>
        <color indexed="8"/>
        <rFont val="Arial"/>
        <family val="2"/>
      </rPr>
      <t>I</t>
    </r>
    <r>
      <rPr>
        <sz val="6"/>
        <color indexed="8"/>
        <rFont val="Arial"/>
        <family val="2"/>
      </rPr>
      <t>S</t>
    </r>
    <r>
      <rPr>
        <sz val="6"/>
        <color indexed="8"/>
        <rFont val="Arial"/>
        <family val="2"/>
      </rPr>
      <t>T</t>
    </r>
    <r>
      <rPr>
        <sz val="6"/>
        <color indexed="8"/>
        <rFont val="Arial"/>
        <family val="2"/>
      </rPr>
      <t>U</t>
    </r>
    <r>
      <rPr>
        <sz val="6"/>
        <color indexed="8"/>
        <rFont val="Arial"/>
        <family val="2"/>
      </rPr>
      <t>R</t>
    </r>
    <r>
      <rPr>
        <sz val="6"/>
        <color indexed="8"/>
        <rFont val="Arial"/>
        <family val="2"/>
      </rPr>
      <t>A</t>
    </r>
    <r>
      <rPr>
        <sz val="6"/>
        <color indexed="8"/>
        <rFont val="Arial"/>
        <family val="2"/>
      </rPr>
      <t>D</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A</t>
    </r>
    <r>
      <rPr>
        <sz val="6"/>
        <color indexed="8"/>
        <rFont val="Arial"/>
        <family val="2"/>
      </rPr>
      <t xml:space="preserve">  </t>
    </r>
    <r>
      <rPr>
        <sz val="6"/>
        <color indexed="8"/>
        <rFont val="Arial"/>
        <family val="2"/>
      </rPr>
      <t xml:space="preserve"> </t>
    </r>
    <r>
      <rPr>
        <sz val="6"/>
        <color indexed="8"/>
        <rFont val="Arial"/>
        <family val="2"/>
      </rPr>
      <t>F</t>
    </r>
    <r>
      <rPr>
        <sz val="6"/>
        <color indexed="8"/>
        <rFont val="Arial"/>
        <family val="2"/>
      </rPr>
      <t>R</t>
    </r>
    <r>
      <rPr>
        <sz val="6"/>
        <color indexed="8"/>
        <rFont val="Arial"/>
        <family val="2"/>
      </rPr>
      <t>I</t>
    </r>
    <r>
      <rPr>
        <sz val="6"/>
        <color indexed="8"/>
        <rFont val="Arial"/>
        <family val="2"/>
      </rPr>
      <t>O</t>
    </r>
    <r>
      <rPr>
        <sz val="6"/>
        <color indexed="8"/>
        <rFont val="Arial"/>
        <family val="2"/>
      </rPr>
      <t xml:space="preserve">  </t>
    </r>
    <r>
      <rPr>
        <sz val="6"/>
        <color indexed="8"/>
        <rFont val="Arial"/>
        <family val="2"/>
      </rPr>
      <t xml:space="preserve"> </t>
    </r>
    <r>
      <rPr>
        <sz val="6"/>
        <color indexed="8"/>
        <rFont val="Arial"/>
        <family val="2"/>
      </rPr>
      <t>-</t>
    </r>
    <r>
      <rPr>
        <sz val="6"/>
        <color indexed="8"/>
        <rFont val="Arial"/>
        <family val="2"/>
      </rPr>
      <t xml:space="preserve">  </t>
    </r>
    <r>
      <rPr>
        <sz val="6"/>
        <color indexed="8"/>
        <rFont val="Arial"/>
        <family val="2"/>
      </rPr>
      <t xml:space="preserve"> </t>
    </r>
    <r>
      <rPr>
        <sz val="6"/>
        <color indexed="8"/>
        <rFont val="Arial"/>
        <family val="2"/>
      </rPr>
      <t>P</t>
    </r>
    <r>
      <rPr>
        <sz val="6"/>
        <color indexed="8"/>
        <rFont val="Arial"/>
        <family val="2"/>
      </rPr>
      <t>M</t>
    </r>
    <r>
      <rPr>
        <sz val="6"/>
        <color indexed="8"/>
        <rFont val="Arial"/>
        <family val="2"/>
      </rPr>
      <t>F</t>
    </r>
    <r>
      <rPr>
        <sz val="6"/>
        <color indexed="8"/>
        <rFont val="Arial"/>
        <family val="2"/>
      </rPr>
      <t>)</t>
    </r>
    <r>
      <rPr>
        <sz val="6"/>
        <color indexed="8"/>
        <rFont val="Arial"/>
        <family val="2"/>
      </rPr>
      <t xml:space="preserve">  </t>
    </r>
    <r>
      <rPr>
        <sz val="6"/>
        <color indexed="8"/>
        <rFont val="Arial"/>
        <family val="2"/>
      </rPr>
      <t xml:space="preserve"> </t>
    </r>
    <r>
      <rPr>
        <sz val="6"/>
        <color indexed="8"/>
        <rFont val="Arial"/>
        <family val="2"/>
      </rPr>
      <t xml:space="preserve">-
</t>
    </r>
    <r>
      <rPr>
        <sz val="6"/>
        <color indexed="8"/>
        <rFont val="Arial"/>
        <family val="2"/>
      </rPr>
      <t>E</t>
    </r>
    <r>
      <rPr>
        <sz val="6"/>
        <color indexed="8"/>
        <rFont val="Arial"/>
        <family val="2"/>
      </rPr>
      <t>X</t>
    </r>
    <r>
      <rPr>
        <sz val="6"/>
        <color indexed="8"/>
        <rFont val="Arial"/>
        <family val="2"/>
      </rPr>
      <t>C</t>
    </r>
    <r>
      <rPr>
        <sz val="6"/>
        <color indexed="8"/>
        <rFont val="Arial"/>
        <family val="2"/>
      </rPr>
      <t>L</t>
    </r>
    <r>
      <rPr>
        <sz val="6"/>
        <color indexed="8"/>
        <rFont val="Arial"/>
        <family val="2"/>
      </rPr>
      <t>U</t>
    </r>
    <r>
      <rPr>
        <sz val="6"/>
        <color indexed="8"/>
        <rFont val="Arial"/>
        <family val="2"/>
      </rPr>
      <t>S</t>
    </r>
    <r>
      <rPr>
        <sz val="6"/>
        <color indexed="8"/>
        <rFont val="Arial"/>
        <family val="2"/>
      </rPr>
      <t>I</t>
    </r>
    <r>
      <rPr>
        <sz val="6"/>
        <color indexed="8"/>
        <rFont val="Arial"/>
        <family val="2"/>
      </rPr>
      <t>VE</t>
    </r>
    <r>
      <rPr>
        <sz val="6"/>
        <color indexed="8"/>
        <rFont val="Arial"/>
        <family val="2"/>
      </rPr>
      <t xml:space="preserve"> </t>
    </r>
    <r>
      <rPr>
        <sz val="6"/>
        <color indexed="8"/>
        <rFont val="Arial"/>
        <family val="2"/>
      </rPr>
      <t xml:space="preserve"> </t>
    </r>
    <r>
      <rPr>
        <sz val="6"/>
        <color indexed="8"/>
        <rFont val="Arial"/>
        <family val="2"/>
      </rPr>
      <t>M</t>
    </r>
    <r>
      <rPr>
        <sz val="6"/>
        <color indexed="8"/>
        <rFont val="Arial"/>
        <family val="2"/>
      </rPr>
      <t>A</t>
    </r>
    <r>
      <rPr>
        <sz val="6"/>
        <color indexed="8"/>
        <rFont val="Arial"/>
        <family val="2"/>
      </rPr>
      <t>T</t>
    </r>
    <r>
      <rPr>
        <sz val="6"/>
        <color indexed="8"/>
        <rFont val="Arial"/>
        <family val="2"/>
      </rPr>
      <t>E</t>
    </r>
    <r>
      <rPr>
        <sz val="6"/>
        <color indexed="8"/>
        <rFont val="Arial"/>
        <family val="2"/>
      </rPr>
      <t>R</t>
    </r>
    <r>
      <rPr>
        <sz val="6"/>
        <color indexed="8"/>
        <rFont val="Arial"/>
        <family val="2"/>
      </rPr>
      <t>I</t>
    </r>
    <r>
      <rPr>
        <sz val="6"/>
        <color indexed="8"/>
        <rFont val="Arial"/>
        <family val="2"/>
      </rPr>
      <t>A</t>
    </r>
    <r>
      <rPr>
        <sz val="6"/>
        <color indexed="8"/>
        <rFont val="Arial"/>
        <family val="2"/>
      </rPr>
      <t>L</t>
    </r>
    <r>
      <rPr>
        <sz val="6"/>
        <color indexed="8"/>
        <rFont val="Arial"/>
        <family val="2"/>
      </rPr>
      <t xml:space="preserve"> </t>
    </r>
    <r>
      <rPr>
        <sz val="6"/>
        <color indexed="8"/>
        <rFont val="Arial"/>
        <family val="2"/>
      </rPr>
      <t>D</t>
    </r>
    <r>
      <rPr>
        <sz val="6"/>
        <color indexed="8"/>
        <rFont val="Arial"/>
        <family val="2"/>
      </rPr>
      <t>E</t>
    </r>
    <r>
      <rPr>
        <sz val="6"/>
        <color indexed="8"/>
        <rFont val="Arial"/>
        <family val="2"/>
      </rPr>
      <t xml:space="preserve"> </t>
    </r>
    <r>
      <rPr>
        <sz val="6"/>
        <color indexed="8"/>
        <rFont val="Arial"/>
        <family val="2"/>
      </rPr>
      <t>E</t>
    </r>
    <r>
      <rPr>
        <sz val="6"/>
        <color indexed="8"/>
        <rFont val="Arial"/>
        <family val="2"/>
      </rPr>
      <t>M</t>
    </r>
    <r>
      <rPr>
        <sz val="6"/>
        <color indexed="8"/>
        <rFont val="Arial"/>
        <family val="2"/>
      </rPr>
      <t>P</t>
    </r>
    <r>
      <rPr>
        <sz val="6"/>
        <color indexed="8"/>
        <rFont val="Arial"/>
        <family val="2"/>
      </rPr>
      <t>R</t>
    </r>
    <r>
      <rPr>
        <sz val="6"/>
        <color indexed="8"/>
        <rFont val="Arial"/>
        <family val="2"/>
      </rPr>
      <t>É</t>
    </r>
    <r>
      <rPr>
        <sz val="6"/>
        <color indexed="8"/>
        <rFont val="Arial"/>
        <family val="2"/>
      </rPr>
      <t>S</t>
    </r>
    <r>
      <rPr>
        <sz val="6"/>
        <color indexed="8"/>
        <rFont val="Arial"/>
        <family val="2"/>
      </rPr>
      <t>T</t>
    </r>
    <r>
      <rPr>
        <sz val="6"/>
        <color indexed="8"/>
        <rFont val="Arial"/>
        <family val="2"/>
      </rPr>
      <t>I</t>
    </r>
    <r>
      <rPr>
        <sz val="6"/>
        <color indexed="8"/>
        <rFont val="Arial"/>
        <family val="2"/>
      </rPr>
      <t>M</t>
    </r>
    <r>
      <rPr>
        <sz val="6"/>
        <color indexed="8"/>
        <rFont val="Arial"/>
        <family val="2"/>
      </rPr>
      <t>O</t>
    </r>
    <r>
      <rPr>
        <sz val="6"/>
        <color indexed="8"/>
        <rFont val="Arial"/>
        <family val="2"/>
      </rPr>
      <t xml:space="preserve"> </t>
    </r>
    <r>
      <rPr>
        <sz val="6"/>
        <color indexed="8"/>
        <rFont val="Arial"/>
        <family val="2"/>
      </rPr>
      <t>P</t>
    </r>
    <r>
      <rPr>
        <sz val="6"/>
        <color indexed="8"/>
        <rFont val="Arial"/>
        <family val="2"/>
      </rPr>
      <t>A</t>
    </r>
    <r>
      <rPr>
        <sz val="6"/>
        <color indexed="8"/>
        <rFont val="Arial"/>
        <family val="2"/>
      </rPr>
      <t>R</t>
    </r>
    <r>
      <rPr>
        <sz val="6"/>
        <color indexed="8"/>
        <rFont val="Arial"/>
        <family val="2"/>
      </rPr>
      <t>A</t>
    </r>
    <r>
      <rPr>
        <sz val="6"/>
        <color indexed="8"/>
        <rFont val="Arial"/>
        <family val="2"/>
      </rPr>
      <t xml:space="preserve"> </t>
    </r>
    <r>
      <rPr>
        <sz val="6"/>
        <color indexed="8"/>
        <rFont val="Arial"/>
        <family val="2"/>
      </rPr>
      <t>B</t>
    </r>
    <r>
      <rPr>
        <sz val="6"/>
        <color indexed="8"/>
        <rFont val="Arial"/>
        <family val="2"/>
      </rPr>
      <t>ASE</t>
    </r>
  </si>
  <si>
    <t>REPOSIÇÃO  BLOCOS CONCRETO  HEXAGONAL  TIPO BLOKRET SOBRE COXIM AREIA</t>
  </si>
  <si>
    <t>REPOSIÇÃO  BLOCOS HEXAGONAL  CONCRETOTIPO BLOKRET COM ASFALTO</t>
  </si>
  <si>
    <t>REPOSIÇÃO  DE CALÇADA</t>
  </si>
  <si>
    <t>REPOSIÇÃO  DE MEIO FIO DE CONCRETO</t>
  </si>
  <si>
    <t>ASSENTAMENTO TAMPÃO FERRO FUNDIDO DÚCTIL ARTICULADO  TDA-600</t>
  </si>
  <si>
    <t>MONTAGEM  DE TAMPÃO DE CONCRETO</t>
  </si>
  <si>
    <r>
      <rPr>
        <b/>
        <sz val="6"/>
        <color indexed="8"/>
        <rFont val="Arial"/>
        <family val="2"/>
      </rPr>
      <t>E</t>
    </r>
    <r>
      <rPr>
        <b/>
        <sz val="6"/>
        <color indexed="8"/>
        <rFont val="Arial"/>
        <family val="2"/>
      </rPr>
      <t>.</t>
    </r>
    <r>
      <rPr>
        <b/>
        <sz val="6"/>
        <color indexed="8"/>
        <rFont val="Arial"/>
        <family val="2"/>
      </rPr>
      <t>T</t>
    </r>
    <r>
      <rPr>
        <b/>
        <sz val="6"/>
        <color indexed="8"/>
        <rFont val="Arial"/>
        <family val="2"/>
      </rPr>
      <t>.</t>
    </r>
    <r>
      <rPr>
        <b/>
        <sz val="6"/>
        <color indexed="8"/>
        <rFont val="Arial"/>
        <family val="2"/>
      </rPr>
      <t>E.</t>
    </r>
    <r>
      <rPr>
        <b/>
        <sz val="6"/>
        <color indexed="8"/>
        <rFont val="Arial"/>
        <family val="2"/>
      </rPr>
      <t xml:space="preserve"> </t>
    </r>
    <r>
      <rPr>
        <b/>
        <sz val="6"/>
        <color indexed="8"/>
        <rFont val="Arial"/>
        <family val="2"/>
      </rPr>
      <t>(</t>
    </r>
    <r>
      <rPr>
        <b/>
        <sz val="6"/>
        <color indexed="8"/>
        <rFont val="Arial"/>
        <family val="2"/>
      </rPr>
      <t>L</t>
    </r>
    <r>
      <rPr>
        <b/>
        <sz val="6"/>
        <color indexed="8"/>
        <rFont val="Arial"/>
        <family val="2"/>
      </rPr>
      <t>A</t>
    </r>
    <r>
      <rPr>
        <b/>
        <sz val="6"/>
        <color indexed="8"/>
        <rFont val="Arial"/>
        <family val="2"/>
      </rPr>
      <t>GO</t>
    </r>
    <r>
      <rPr>
        <b/>
        <sz val="6"/>
        <color indexed="8"/>
        <rFont val="Arial"/>
        <family val="2"/>
      </rPr>
      <t>A</t>
    </r>
    <r>
      <rPr>
        <b/>
        <sz val="6"/>
        <color indexed="8"/>
        <rFont val="Arial"/>
        <family val="2"/>
      </rPr>
      <t>S)</t>
    </r>
  </si>
  <si>
    <t>MOVIMENTO  DE TERRA (GERAL)</t>
  </si>
  <si>
    <t>ESCAVAÇÃO  E CARGA COM ESCAVADEIRA HIDRÁULICA</t>
  </si>
  <si>
    <t>ESCAVAÇÃO  MECÂNICA  C/ TRATOR DE ESTEIRA C/ TRANSPORTE ATÉ 50 M</t>
  </si>
  <si>
    <t>ESCAVAÇÃO  MECÂNICA  COM TRATOR DE ESTEIRA - CAMPO ABERTO</t>
  </si>
  <si>
    <t>ATERRO COMPAC. DE TALUDE (DIQUES) EM CAM. 20 CM 95 % PN (SOLO SELECIONADO)</t>
  </si>
  <si>
    <t>REGULARIZAÇÃO E COMPACTAÇÃO DE ATERRO NO FUNDO DE LAGOA (M2)</t>
  </si>
  <si>
    <t>REGULARIZAÇÃO E COMPACTAÇÃO DE ATERRO NO FUNDO DE LAGOA (M3)</t>
  </si>
  <si>
    <t>Descrição - TABELA DE SERVIÇOS  (DATA-BASE: 02/17) SEM DESONERAÇÃO</t>
  </si>
  <si>
    <t>Descrição - TABELA DE SERVIÇOS  (DATA-BASE: 02/16) SEM DESONERAÇÃO</t>
  </si>
  <si>
    <t xml:space="preserve">Escavação de 1,5 m a 3,0 m  - Caixa </t>
  </si>
  <si>
    <t xml:space="preserve">Escavação de 3,0 m a 4,5 m  - Caixa </t>
  </si>
  <si>
    <t>Escavação até 1,5 m - Total</t>
  </si>
  <si>
    <t>Escavação de 1,5 m a 3,0 m  - Total</t>
  </si>
  <si>
    <t>Escavação de 3,0 m a 4,5 m  - Total</t>
  </si>
  <si>
    <t>Caixas de Inspeção - Prof. Até 1,5 m</t>
  </si>
  <si>
    <t>Caixas de Inspeção - Prof. de 1,5 m até 3,0 m</t>
  </si>
  <si>
    <t>Caixas de Inspeção - Prof. de 3,0 m a 4,5 m</t>
  </si>
  <si>
    <t>Reaterro até Prof. De 1,5 m</t>
  </si>
  <si>
    <t>Reaterro até Prof. de 1,5 m até 3,0 m</t>
  </si>
  <si>
    <t>Reaterro até Prof. de 3,0 m a 4,5 m</t>
  </si>
  <si>
    <t>CA50 - ø 8.0</t>
  </si>
  <si>
    <t>CA50 - ø 10.0</t>
  </si>
  <si>
    <t>CA50 - ø 12.5</t>
  </si>
  <si>
    <t>CA60 - ø 5.0</t>
  </si>
  <si>
    <t>i1057</t>
  </si>
  <si>
    <t>TAMPAO E ANEL (CJ) EM CONCRETO PRE-MOLDADO P/ PV (PADRAO SANEAGO)</t>
  </si>
  <si>
    <t>REGULARIZAÇÃO DE PISO</t>
  </si>
  <si>
    <t xml:space="preserve"> REGULARIZAÇÃO DE PISO</t>
  </si>
  <si>
    <t xml:space="preserve"> REGULARIZAÇÃO DE PISO </t>
  </si>
  <si>
    <t xml:space="preserve"> PINTURA</t>
  </si>
  <si>
    <t>Células onde foram inseridos dados da memória de calculo dos serviços</t>
  </si>
  <si>
    <t>Volume escavação até 1,50 m x Percentual de Escav. Mecanizada (95%) x Percentual de Material de 1ª Categoria (92%)</t>
  </si>
  <si>
    <t>Volume escavação de 1,50 a 3,0 m x Percentual de Escav. Mecanizada (95%) x Percentual de Material de 1ª Categoria (92%)</t>
  </si>
  <si>
    <t>Volume escavação de 3,0 a 4,5 m x Percentual de Escav. Mecanizada (95%) x Percentual de Material de 1ª Categoria (92%)</t>
  </si>
  <si>
    <t>Volume escavação de 4,5 a 6,0 m x Percentual de Escav. Mecanizada (95%) x Percentual de Material de 1ª Categoria (92%)</t>
  </si>
  <si>
    <t>Volume escavação maior 6,0 m x Percentual de Escav. Mecanizada (95%) x Percentual de Material de 1ª Categoria (92%)</t>
  </si>
  <si>
    <t>Volume escavação até 1,50 m x Percentual de Escav. Mecanizada (95%) x Percentual de Material de 2ª Categoria (3%)</t>
  </si>
  <si>
    <t>Volume escavação de 1,50 a 4,5 m x Percentual de Escav. Mecanizada (95%) x Percentual de Material de 2ª Categoria (3%)</t>
  </si>
  <si>
    <t>Volume escavação de 4,50 a 6,0 m x Percentual de Escav. Mecanizada (95%) x Percentual de Material de 2ª Categoria (3%)</t>
  </si>
  <si>
    <t>Volume escavação maior 6,0 m x Percentual de Escav. Mecanizada (95%) x Percentual de Material de 2ª Categoria (3%)</t>
  </si>
  <si>
    <t>Volume escavação até 1,50 m x Percentual de Escav. Mecanizada (95%) x Percentual de Material de Solo Mole (3%)</t>
  </si>
  <si>
    <t>Volume escavação de 1,50 a 4,5 m x Percentual de Escav. Mecanizada (95%) x Percentual de Material de Solo Mole(3%)</t>
  </si>
  <si>
    <t>Volume escavação de 4,50 a 6,0 m x Percentual de Escav. Mecanizada (95%) x Percentual de Material de Solo Mole (3%)</t>
  </si>
  <si>
    <t>Volume escavação maior 6,0 m x Percentual de Escav. Mecanizada (95%) x Percentual de Material de Solo Mole (3%)</t>
  </si>
  <si>
    <t>Volume escavação de 1,50 m a 6,0 m x Percentual de Escav. Manual (5%) x Percentual de Material de 1ª Categoria (92%)</t>
  </si>
  <si>
    <t>Volume escavação até 1,50 m x Percentual de Escav. Manual (5%) x Percentual de 2 Material  (3%)</t>
  </si>
  <si>
    <t>Volume escavação de 1,50 a 4,5 mm x Percentual de Escav. Manual (5%) x Percentual de 2 Material  (3%)</t>
  </si>
  <si>
    <t>Volume escavação até 1,50 m x Percentual de Escav.  (10%) x Percentual de 3 Material  (3%)</t>
  </si>
  <si>
    <t>Volume escavação de 1,50 a 4,5 mm x Percentual de Escav. (10%) x Percentual de 3 Material  (3%)</t>
  </si>
  <si>
    <t>Volume escavação até 1,50 m x Percentual de Escav. Manual (5%) x Percentual de  Material Solo Mole (3%)</t>
  </si>
  <si>
    <t>Volume escavação de 1,50 a 4,5 mm x Percentual de Escav. Manual (5%) x Percentual de  Material Solo Mole (3%)</t>
  </si>
  <si>
    <t>Item "1" + "2"</t>
  </si>
  <si>
    <r>
      <t>Idem</t>
    </r>
    <r>
      <rPr>
        <b/>
        <sz val="10"/>
        <rFont val="Arial"/>
        <family val="2"/>
      </rPr>
      <t xml:space="preserve"> "15"</t>
    </r>
  </si>
  <si>
    <t>ctd.21</t>
  </si>
  <si>
    <r>
      <t>Idem</t>
    </r>
    <r>
      <rPr>
        <b/>
        <sz val="10"/>
        <rFont val="Arial"/>
        <family val="2"/>
      </rPr>
      <t xml:space="preserve"> "16"</t>
    </r>
  </si>
  <si>
    <t>ctd.22</t>
  </si>
  <si>
    <t>Obtida da memória de serviços</t>
  </si>
  <si>
    <t>SES CATALÃO</t>
  </si>
  <si>
    <t xml:space="preserve">DISTÂNCIA DE JAZIDA (KM) </t>
  </si>
  <si>
    <t>DISTÂNCIA DE BOTA-FORA (KM)</t>
  </si>
  <si>
    <t>REDE IPANEMA</t>
  </si>
  <si>
    <t>REDE UNIVERSITÁRIO_SANTA HELENA</t>
  </si>
  <si>
    <t>REDE PONTAL NORTE</t>
  </si>
  <si>
    <t>REDE CASTELO BRANCO</t>
  </si>
  <si>
    <t>REDE VEREDAS DOS BURITIS</t>
  </si>
  <si>
    <t>ETE</t>
  </si>
  <si>
    <t>COLETOR1</t>
  </si>
  <si>
    <t>COLETOR2</t>
  </si>
  <si>
    <t>COLETOR3</t>
  </si>
  <si>
    <t>COLETOR4</t>
  </si>
  <si>
    <t>COLETOR5</t>
  </si>
  <si>
    <t>COLETOR6</t>
  </si>
  <si>
    <t>COLETOR7</t>
  </si>
  <si>
    <t>COLETOR8</t>
  </si>
  <si>
    <t>COLETOR9</t>
  </si>
  <si>
    <t>COLETOR10</t>
  </si>
  <si>
    <t>COLETOR14</t>
  </si>
  <si>
    <t>COLETOR18</t>
  </si>
  <si>
    <t>COLETOR22</t>
  </si>
  <si>
    <t>COLETOR23</t>
  </si>
  <si>
    <t>COLETOR24</t>
  </si>
  <si>
    <t>COLETOR25</t>
  </si>
  <si>
    <t>COLETOR26</t>
  </si>
  <si>
    <t>COLETOR27</t>
  </si>
  <si>
    <t>COLETOR28</t>
  </si>
  <si>
    <t>COLETOR29</t>
  </si>
  <si>
    <t>COLETOR30</t>
  </si>
  <si>
    <t>COLETOR33</t>
  </si>
  <si>
    <t>COLETOR34</t>
  </si>
  <si>
    <t>COLETOR36</t>
  </si>
  <si>
    <t>COLETOR37</t>
  </si>
  <si>
    <t>COLETOR38</t>
  </si>
  <si>
    <t>COLETOR39</t>
  </si>
  <si>
    <t>COLETOR40</t>
  </si>
  <si>
    <t>COLETOR41</t>
  </si>
  <si>
    <t>COLETOR42</t>
  </si>
  <si>
    <t>COLETOR45</t>
  </si>
  <si>
    <t>COLETOR46</t>
  </si>
  <si>
    <t>COLETOR47</t>
  </si>
  <si>
    <t>COLETOR60</t>
  </si>
  <si>
    <t>COLETOR67</t>
  </si>
  <si>
    <t>COLETOR69</t>
  </si>
  <si>
    <t>COLETOR71</t>
  </si>
  <si>
    <t>COLETOR73</t>
  </si>
  <si>
    <t>COLETOR75</t>
  </si>
  <si>
    <t>COLETOR15</t>
  </si>
  <si>
    <t>COLETOR19</t>
  </si>
  <si>
    <t>COLETOR35</t>
  </si>
  <si>
    <t>COLETOR48</t>
  </si>
  <si>
    <t>COLETOR54</t>
  </si>
  <si>
    <t>COLETOR74</t>
  </si>
  <si>
    <t>COLETOR76</t>
  </si>
  <si>
    <t>COLETOR77</t>
  </si>
  <si>
    <t>COLETOR78</t>
  </si>
  <si>
    <t>COLETOR79</t>
  </si>
  <si>
    <t>COLETOR80</t>
  </si>
  <si>
    <t>COLETOR81</t>
  </si>
  <si>
    <t>COLETOR82</t>
  </si>
  <si>
    <t>COLETOR83</t>
  </si>
  <si>
    <t>COLETOR84</t>
  </si>
  <si>
    <t>COLETOR86</t>
  </si>
  <si>
    <t>Escavação até 1,5 m  - Caixa</t>
  </si>
  <si>
    <t>Escavação até 1,5 m - Total (Pilares/Blocos da Travessia )</t>
  </si>
  <si>
    <t>Escavação de 1,5 m a 3,0 m  - Total (Pilares/Blocos da Travessia )</t>
  </si>
  <si>
    <t>Escavação de 3,0 m a 4,5 m  - Total (Pilares/Blocos da Travessia )</t>
  </si>
  <si>
    <t>TRAVESSIA.COLETOR_REAT.MEC1</t>
  </si>
  <si>
    <t>TRAVESSIA.COLETOR_REAT.MEC2</t>
  </si>
  <si>
    <t>TRAVESSIA.COLETOR_REAT.MEC3</t>
  </si>
  <si>
    <t>TRAVESSIA.COLETOR_ENSAIO</t>
  </si>
  <si>
    <t>TRAVESSIA.COLETOR_AÇO.5.0</t>
  </si>
  <si>
    <t>TRAVESSIA.COLETOR_AÇO.8.0</t>
  </si>
  <si>
    <t>TRAVESSIA.COLETOR_AÇO.10.0</t>
  </si>
  <si>
    <t>TRAVESSIA.COLETOR_AÇO.12.5</t>
  </si>
  <si>
    <t>m3</t>
  </si>
  <si>
    <t>INTERC.35</t>
  </si>
  <si>
    <t>INTERC.76</t>
  </si>
  <si>
    <t>INTERC.77</t>
  </si>
  <si>
    <t>INTERC.81</t>
  </si>
  <si>
    <t>INTERC.82</t>
  </si>
  <si>
    <t>INTERC.83</t>
  </si>
  <si>
    <t>INTERC.78</t>
  </si>
  <si>
    <t>INTERC.79</t>
  </si>
  <si>
    <t>INTERC.80</t>
  </si>
  <si>
    <t>INTERC.84</t>
  </si>
  <si>
    <t>INTERC.85</t>
  </si>
  <si>
    <t>INTERC.86</t>
  </si>
  <si>
    <t>INTERC.87</t>
  </si>
  <si>
    <t>INTERC.88</t>
  </si>
  <si>
    <t>Escavação até 1,5 m - Pilares</t>
  </si>
  <si>
    <t xml:space="preserve">Capitel e Pilares </t>
  </si>
  <si>
    <t>Blocos</t>
  </si>
  <si>
    <t>CA60 - ø 6.3</t>
  </si>
  <si>
    <t>TRAVESSIA.AEREA_AÇO.6.3</t>
  </si>
  <si>
    <t>TRAVESSIA.AEREA_AÇO.8.0</t>
  </si>
  <si>
    <t>TRAVESSIA.AEREA_AÇO.10.0</t>
  </si>
  <si>
    <t>TRAVESSIA.AEREA_AÇO.12.5</t>
  </si>
  <si>
    <t>TRAVESSIA.COLETOR_ADENSAMENTO</t>
  </si>
  <si>
    <t>TRAVESSIA.AEREA_ADENSAMENTO</t>
  </si>
  <si>
    <t xml:space="preserve">Escavação até 1,5 m  </t>
  </si>
  <si>
    <t xml:space="preserve">Escavação de 1,5 m a 3,0 m  </t>
  </si>
  <si>
    <t xml:space="preserve">Escavação de 3,0 m a 4,5 m  </t>
  </si>
  <si>
    <t>TRAT.PREL._ESC.MEC.7</t>
  </si>
  <si>
    <t>Prof. Até 1,5 m</t>
  </si>
  <si>
    <t>Prof. de 1,5 a 3,0 m</t>
  </si>
  <si>
    <t>Prof. de 3,0 a 4,5 m</t>
  </si>
  <si>
    <t>Vol. Reaterro - Estruturas</t>
  </si>
  <si>
    <t>TRAT.PREL._REAT.MEC1</t>
  </si>
  <si>
    <t>TRAT.PREL._REAT.MEC2</t>
  </si>
  <si>
    <t>TRAT.PREL._REAT.MEC3</t>
  </si>
  <si>
    <t>Volume de bota fora</t>
  </si>
  <si>
    <t>Volume de Jazida</t>
  </si>
  <si>
    <t>TRAVESSIA.COLETOR_FORMA1</t>
  </si>
  <si>
    <t>TRAVESSIA.COLETOR_FORMA2</t>
  </si>
  <si>
    <t>Quantitativo do Proj. Estrutural</t>
  </si>
  <si>
    <t xml:space="preserve"> Quantitativo do Proj. Estrutural</t>
  </si>
  <si>
    <t>CA60/ ø 5.0</t>
  </si>
  <si>
    <t>CA50/ ø 6.3</t>
  </si>
  <si>
    <t>CA50/ ø 8.0</t>
  </si>
  <si>
    <t>CA50/ ø 10.0</t>
  </si>
  <si>
    <t>CA50/ ø 12.5</t>
  </si>
  <si>
    <t>CA50/ ø 16.0</t>
  </si>
  <si>
    <t>TRAVESSIA.COLETOR_ESCADA</t>
  </si>
  <si>
    <t>Área Calçada</t>
  </si>
  <si>
    <t>Total de Formas - Vigas</t>
  </si>
  <si>
    <t>Total de Formas - Lajes</t>
  </si>
  <si>
    <t>Total de Formas - Pilares, Paredes e Blocos</t>
  </si>
  <si>
    <t>REATOR_FORMA1</t>
  </si>
  <si>
    <t>REATOR_FORMA2</t>
  </si>
  <si>
    <t>CA50/ ø 20.0</t>
  </si>
  <si>
    <t>TRAT.PREL._AÇO.5.0</t>
  </si>
  <si>
    <t>TRAT.PREL._AÇO.6.3</t>
  </si>
  <si>
    <t>TRAT.PREL._AÇO.8.0</t>
  </si>
  <si>
    <t>TRAT.PREL._AÇO.10.0</t>
  </si>
  <si>
    <t>TRAT.PREL._AÇO.12.5</t>
  </si>
  <si>
    <t>TRAT.PREL._AÇO.16.0</t>
  </si>
  <si>
    <t>REATOR_FORMA3</t>
  </si>
  <si>
    <t>REATOR_AÇO.5.0</t>
  </si>
  <si>
    <t>REATOR_AÇO.6.3</t>
  </si>
  <si>
    <t>REATOR_AÇO.8.0</t>
  </si>
  <si>
    <t>REATOR_AÇO.10.0</t>
  </si>
  <si>
    <t>REATOR_AÇO.12.5</t>
  </si>
  <si>
    <t>REATOR_AÇO.16.0</t>
  </si>
  <si>
    <t>REATOR_AÇO.20.0</t>
  </si>
  <si>
    <t>Canaletas do leito de secagem</t>
  </si>
  <si>
    <t>Volume de Reaterro</t>
  </si>
  <si>
    <t>LEITO.SECAGEM_AQ.JAZ.</t>
  </si>
  <si>
    <t>LEITO.SECAGEM_JAZ.ESC.</t>
  </si>
  <si>
    <t>LEITO.SECAGEM_JAZ.TRANSP.</t>
  </si>
  <si>
    <t>CT_ASSENT.TIJOLO</t>
  </si>
  <si>
    <t>ASSENTAMENTO DE TIJOLO MAÇICO</t>
  </si>
  <si>
    <t>LEITO.SECAGEM_FORMA1</t>
  </si>
  <si>
    <t>LEITO.SECAGEM_FORMA2</t>
  </si>
  <si>
    <t>LEITO.SECAGEM_ADENSAMENTO</t>
  </si>
  <si>
    <t>LEITO.SECAGEM_CONC.20</t>
  </si>
  <si>
    <t>LEITO.SECAGEM_AÇO5.0</t>
  </si>
  <si>
    <t>LEITO.SECAGEM_AÇO8.0</t>
  </si>
  <si>
    <t xml:space="preserve"> AQUISIÇÃO DE MATERIAL DE JAZIDA</t>
  </si>
  <si>
    <t>Escavação até 1,50 m</t>
  </si>
  <si>
    <t>Escavação de 1,5 a 3,0m</t>
  </si>
  <si>
    <t>Até 1,50m</t>
  </si>
  <si>
    <t>1,50 a 3,00m</t>
  </si>
  <si>
    <t>Reaterro (20 cm) acima ger. sup. tubo</t>
  </si>
  <si>
    <t>Reaterro Mecanizado (m³)</t>
  </si>
  <si>
    <t>Largura da vala até 0,80 m</t>
  </si>
  <si>
    <t>Largura da vala de 0,80 a 1,5 m</t>
  </si>
  <si>
    <t>Reaterro Mecanizado - Prof. Até 1,5 m (m³)</t>
  </si>
  <si>
    <t>Reaterro Mecanizado - Prof. de 1,5 a 3,0 m (m³)</t>
  </si>
  <si>
    <t>Pontalete / Largura até 1,5 m / Prof. até 1,5m</t>
  </si>
  <si>
    <t>Pontalete / Largura até 1,5 m / Prof. de 1,5 a 3,0 m</t>
  </si>
  <si>
    <t>BOTA FORA DE MATERIAL DE ESCAVAÇÃO (SOLO)</t>
  </si>
  <si>
    <t>REDE.ETE_ESCOR.PONT.1</t>
  </si>
  <si>
    <t>REDE.ETE_ESCOR.PONT.2</t>
  </si>
  <si>
    <t>REDE.ETE_CTD.CA.700.TRANS</t>
  </si>
  <si>
    <t>REDE.ETE_CTD.PVC.DN150.100.TRANSP.</t>
  </si>
  <si>
    <t>REDE.ETE_CTD.PVC.DN200.TRANSP.</t>
  </si>
  <si>
    <t>CT_ASSENT.TUBO.PRFV.DN150</t>
  </si>
  <si>
    <t xml:space="preserve"> ASSENTAMENTO TUBO PVC COM JUNTA ELASTICA, DN 150 MM - (OU RPVC, OU PVC DEFOFO, OU PRFV) - PARA AGUA</t>
  </si>
  <si>
    <t>REDE.ETE_CTD.FºFº.600AA</t>
  </si>
  <si>
    <t>REDE.ETE_CTD.FºFº.700A</t>
  </si>
  <si>
    <t>REDE.ETE_CTD.DEFF.500A</t>
  </si>
  <si>
    <t>REDE.ETE_CTD.PVC.DN150AA</t>
  </si>
  <si>
    <t>CT_TRANSP.TUBO.PRFV.DN150</t>
  </si>
  <si>
    <t>TRANSPORTE DE TUBOS DE PVC DN 150</t>
  </si>
  <si>
    <t>REDE.ETE_CTD.FF.75A</t>
  </si>
  <si>
    <t>REDE.ETE_REAT.MEC3</t>
  </si>
  <si>
    <t>REDE.ETE_REAT.MAN.</t>
  </si>
  <si>
    <t>Prof. de 1,50 a 3,0  m</t>
  </si>
  <si>
    <t>Prof. De 3,0 a 4,5 m</t>
  </si>
  <si>
    <t xml:space="preserve"> Prof. Até 1,50 m</t>
  </si>
  <si>
    <t>Volume da Estrutura -  Prof. Até 1,50 m</t>
  </si>
  <si>
    <t>Volume da Estrutura - Prof. de 1,50 a 3,0  m</t>
  </si>
  <si>
    <t>Volume da Estrutura - Prof. De 3,0 a 4,5 m</t>
  </si>
  <si>
    <t>Vol. Estrutura</t>
  </si>
  <si>
    <t>Vol. Do Reaterro (até 1,50 m)</t>
  </si>
  <si>
    <t>Vol. Do Reaterro (de 3,0 a 4,5 m)</t>
  </si>
  <si>
    <t>Vol. Do Reaterro (de 1,50 a 3,0 m)</t>
  </si>
  <si>
    <t>Formas - Pilares</t>
  </si>
  <si>
    <t>Formas - Laje e Paredes</t>
  </si>
  <si>
    <t>CAIXAS.ETE_FORMA1</t>
  </si>
  <si>
    <t>CAIXAS.ETE_FORMA2</t>
  </si>
  <si>
    <t>CAIXAS.ETE_FUN_CONC.25</t>
  </si>
  <si>
    <t>CAIXAS.ETE_FUN_ADENSAMENTO</t>
  </si>
  <si>
    <t>CAIXAS DE PASSAGEM (CP1 A CP6)</t>
  </si>
  <si>
    <t xml:space="preserve"> CAIXA DE CHEGADA </t>
  </si>
  <si>
    <t>ARMAÇÃO DA CAIXA DE CDG 1</t>
  </si>
  <si>
    <t>ARMAÇÃO DA CAIXA DE CDG 2</t>
  </si>
  <si>
    <t>ARMAÇÃO DA CAIXA DE CDG 3</t>
  </si>
  <si>
    <t>CAIXAS_AÇO.5.0</t>
  </si>
  <si>
    <t>CAIXAS_AÇO.6.3</t>
  </si>
  <si>
    <t>CAIXAS_AÇO.8.0</t>
  </si>
  <si>
    <t>CAIXAS_AÇO.10.0</t>
  </si>
  <si>
    <t>CAIXAS_AÇO.12.5</t>
  </si>
  <si>
    <t>CAIXAS.ETE_ESC.MEC.7</t>
  </si>
  <si>
    <t>CAIXAS.ETE_REAT.MEC1</t>
  </si>
  <si>
    <t>CAIXAS.ETE_REAT.MEC2</t>
  </si>
  <si>
    <t>CAIXAS.ETE_REAT.MEC3</t>
  </si>
  <si>
    <t>BIOGAS_LANÇAMENTO</t>
  </si>
  <si>
    <t>BIOGAS_CONC.15</t>
  </si>
  <si>
    <t>BIOGAS_CONC.15.LANÇAMENTO</t>
  </si>
  <si>
    <t>COBERTURA BIOGÁS</t>
  </si>
  <si>
    <t>CAIXA DE MANOBRA BIOGÁS</t>
  </si>
  <si>
    <t>CANALETAS BIOGÁS</t>
  </si>
  <si>
    <t>BASE DO TANQUE DE DESPRENDIMENTO</t>
  </si>
  <si>
    <t>BIOGAS_AÇO.5.0</t>
  </si>
  <si>
    <t>BIOGAS_AÇO.6.3</t>
  </si>
  <si>
    <t>BIOGAS_AÇO.8.0</t>
  </si>
  <si>
    <t>BIOGAS_AÇO.10.0</t>
  </si>
  <si>
    <t>Fôrmas - Pilares e Paredes</t>
  </si>
  <si>
    <t>Fôrmas - Vigas</t>
  </si>
  <si>
    <t>Fôrmas - Laje</t>
  </si>
  <si>
    <t>Fôrmas - Escada</t>
  </si>
  <si>
    <t>HIPOCLORITO_FORMA.PILAR</t>
  </si>
  <si>
    <t>HIPOCLORITO_FORMA.VIGA</t>
  </si>
  <si>
    <t>HIPOCLORITO_FORMA.LAJE</t>
  </si>
  <si>
    <t>HIPOCLORITO_FORMA.ESCADA</t>
  </si>
  <si>
    <t>HIPOCLORITO_CONC.25.ADENSAMENTO</t>
  </si>
  <si>
    <t>HIPOCLORITO</t>
  </si>
  <si>
    <t>HIPOCLORITO_AÇO.5.0</t>
  </si>
  <si>
    <t>HIPOCLORITO_AÇO.6.3</t>
  </si>
  <si>
    <t>HIPOCLORITO_AÇO.8.0</t>
  </si>
  <si>
    <t>HIPOCLORITO_AÇO.10.0</t>
  </si>
  <si>
    <t>HIPOCLORITO_CONC.40</t>
  </si>
  <si>
    <t>SALA.ELETRICA_FORMA.PILAR</t>
  </si>
  <si>
    <t>SALA.ELETRICA_FORMA.VIGA</t>
  </si>
  <si>
    <t>SALA.ELETRICA_FORMA.LAJE</t>
  </si>
  <si>
    <t>SALA.ELETRICA_FUN_CONC.25</t>
  </si>
  <si>
    <t>SALA.ELETRICA_FUN_CONC.25.ADENS.</t>
  </si>
  <si>
    <t>CASA.CONTROLE_FORMA.VIGA</t>
  </si>
  <si>
    <t>CASA.CONTROLE_FORMA.LAJE</t>
  </si>
  <si>
    <t>VIGAS DE COBERTURA - VC</t>
  </si>
  <si>
    <t>HIPOCLORITO_AÇO.12.5</t>
  </si>
  <si>
    <t>CASA.CONTROLE_FUN_CONC.ADENSAM</t>
  </si>
  <si>
    <t>LÇTO.FINAL_FORMA.PILAR</t>
  </si>
  <si>
    <t>LÇTO.FINAL_FORMA.LAJE</t>
  </si>
  <si>
    <t>Total - Pilar e Paredes</t>
  </si>
  <si>
    <t>Total - Laje</t>
  </si>
  <si>
    <t>TANQUE DE CONTATO</t>
  </si>
  <si>
    <t>LÇTO.FINAL_CONC.40</t>
  </si>
  <si>
    <t>LÇTO.FINAL_AÇO.5.0</t>
  </si>
  <si>
    <t>LÇTO.FINAL_AÇO.6.3</t>
  </si>
  <si>
    <t>LÇTO.FINAL_AÇO.8.0</t>
  </si>
  <si>
    <t>LÇTO.FINAL_AÇO.10.0</t>
  </si>
  <si>
    <t>URB.ETE_MEIO FIO.ASSENT.</t>
  </si>
  <si>
    <t>Cabo para telefonia CCI-2 Pares</t>
  </si>
  <si>
    <t>MONTAGEM DE MATERIAL HIDRÁULICO  DO TRATAMENTO PRELIMINAR</t>
  </si>
  <si>
    <t>MONTAGEM DE EQUIPAMENTOS  DO TRATAMENTO PRELIMINAR</t>
  </si>
  <si>
    <t>MONTAGEM DE MATERIAL ELÉTRICO DO TRATAMENTO PRELIMINAR</t>
  </si>
  <si>
    <t>REFERÊNCIA DE NÍVEL</t>
  </si>
  <si>
    <t>MARCO DE IDENTIFICAÇÃO</t>
  </si>
  <si>
    <t>APOIO METÁLICO DA TUBULAÇÃO</t>
  </si>
  <si>
    <t>SUPORTE TIPO 1</t>
  </si>
  <si>
    <t>SUPORTE TIPO 2</t>
  </si>
  <si>
    <t>APOIO METÁLICO DA FLANGE</t>
  </si>
  <si>
    <t>SUPORTE METÁLICO DO CARVÃO VEGETAL</t>
  </si>
  <si>
    <t>MONTAGEM DE MATERIAL HIDRÁULICO DOS LEITOS DE SECAGEM</t>
  </si>
  <si>
    <t>MONTAGEM DE MATERIAL HIDRÁULICO DO BIOGAS</t>
  </si>
  <si>
    <t>MONTAGEM DE EQUIPAMENTOS  DO BIOGAS</t>
  </si>
  <si>
    <t>MONTAGEM DE MATERIAL ELÉTRICO DO BIOGAS</t>
  </si>
  <si>
    <t>MONTAGEM DE MATERIAL HIDRÁULICO DO REATOR</t>
  </si>
  <si>
    <t>MONTAGEM DE EQUIPAMENTOS DO REATOR</t>
  </si>
  <si>
    <t>CT_CHUVEIRO</t>
  </si>
  <si>
    <t>Grade em fibra de vidro</t>
  </si>
  <si>
    <t>CT_ARMARIO</t>
  </si>
  <si>
    <t>Armario de cozinha</t>
  </si>
  <si>
    <t>Escada metálica, conforme desenho CT/E/T/HRA/D19</t>
  </si>
  <si>
    <t>Escada metálica, conforme desenho CT/E/T/HRA/D13</t>
  </si>
  <si>
    <t>PREÇO SEM BDI</t>
  </si>
  <si>
    <t>PERCENTUAL DE MONTAGEM</t>
  </si>
  <si>
    <t>ESTIMATIVA MONTAGEM</t>
  </si>
  <si>
    <t>PREÇO COM BDI</t>
  </si>
  <si>
    <t>CT.REDE.03</t>
  </si>
  <si>
    <t>TUBO COM PONTA E BOLSA, EM F°DÚCTIL/ESGOTO, JGS, DN 100, CLASSE K-9, CONF. NBR 15420</t>
  </si>
  <si>
    <t>Bloco/Estaca/PC (FL.03)</t>
  </si>
  <si>
    <t>90105A</t>
  </si>
  <si>
    <t>90107A</t>
  </si>
  <si>
    <t>90094A</t>
  </si>
  <si>
    <t>94097A</t>
  </si>
  <si>
    <t>73964/6A</t>
  </si>
  <si>
    <t>93358A</t>
  </si>
  <si>
    <t>93378A</t>
  </si>
  <si>
    <t>93380A</t>
  </si>
  <si>
    <t>93379A</t>
  </si>
  <si>
    <t>93381A</t>
  </si>
  <si>
    <t>94043A</t>
  </si>
  <si>
    <t>94045A</t>
  </si>
  <si>
    <t>94055A</t>
  </si>
  <si>
    <t>94057A</t>
  </si>
  <si>
    <t>94992A</t>
  </si>
  <si>
    <t>36365A</t>
  </si>
  <si>
    <t>41930A</t>
  </si>
  <si>
    <t>9841A</t>
  </si>
  <si>
    <t>41936A</t>
  </si>
  <si>
    <t>12574A</t>
  </si>
  <si>
    <t>90096A</t>
  </si>
  <si>
    <t>73610A</t>
  </si>
  <si>
    <t>1512A</t>
  </si>
  <si>
    <t>98A</t>
  </si>
  <si>
    <t>13244A</t>
  </si>
  <si>
    <t>104A</t>
  </si>
  <si>
    <t>74219/1A</t>
  </si>
  <si>
    <t>106A</t>
  </si>
  <si>
    <t>119A</t>
  </si>
  <si>
    <t>192A</t>
  </si>
  <si>
    <t>193A</t>
  </si>
  <si>
    <t>186A</t>
  </si>
  <si>
    <t>194A</t>
  </si>
  <si>
    <t>195A</t>
  </si>
  <si>
    <t>189A</t>
  </si>
  <si>
    <t>170A</t>
  </si>
  <si>
    <t>171A</t>
  </si>
  <si>
    <t>172A</t>
  </si>
  <si>
    <t>173A</t>
  </si>
  <si>
    <t>176A</t>
  </si>
  <si>
    <t>177A</t>
  </si>
  <si>
    <t>74005/1A</t>
  </si>
  <si>
    <t>74010/1A</t>
  </si>
  <si>
    <t>93590A</t>
  </si>
  <si>
    <t>83344A</t>
  </si>
  <si>
    <t>232A</t>
  </si>
  <si>
    <t>233A</t>
  </si>
  <si>
    <t>246A</t>
  </si>
  <si>
    <t>73877/2A</t>
  </si>
  <si>
    <t>73891/1A</t>
  </si>
  <si>
    <t>90733A</t>
  </si>
  <si>
    <t>90734A</t>
  </si>
  <si>
    <t>90735A</t>
  </si>
  <si>
    <t>90736A</t>
  </si>
  <si>
    <t>90737A</t>
  </si>
  <si>
    <t>90739A</t>
  </si>
  <si>
    <t>1590A</t>
  </si>
  <si>
    <t>91108A</t>
  </si>
  <si>
    <t>73590A</t>
  </si>
  <si>
    <t>73588A</t>
  </si>
  <si>
    <t>73589A</t>
  </si>
  <si>
    <t>73509A</t>
  </si>
  <si>
    <t>73508A</t>
  </si>
  <si>
    <t>73887/2A</t>
  </si>
  <si>
    <t>73887/3A</t>
  </si>
  <si>
    <t>73887/4A</t>
  </si>
  <si>
    <t>73887/5A</t>
  </si>
  <si>
    <t>73887/6A</t>
  </si>
  <si>
    <t>73887/7A</t>
  </si>
  <si>
    <t>73887/8A</t>
  </si>
  <si>
    <t>73887/10A</t>
  </si>
  <si>
    <t>85366A</t>
  </si>
  <si>
    <t>1418A</t>
  </si>
  <si>
    <t>1430A</t>
  </si>
  <si>
    <t>1419A</t>
  </si>
  <si>
    <t>94273A</t>
  </si>
  <si>
    <t>94281A</t>
  </si>
  <si>
    <t>1756A</t>
  </si>
  <si>
    <t>1757A</t>
  </si>
  <si>
    <t>1758A</t>
  </si>
  <si>
    <t>1718A</t>
  </si>
  <si>
    <t>1719A</t>
  </si>
  <si>
    <t>1720A</t>
  </si>
  <si>
    <t>1721A</t>
  </si>
  <si>
    <t>1723A</t>
  </si>
  <si>
    <t>1729A</t>
  </si>
  <si>
    <t>1730A</t>
  </si>
  <si>
    <t>1713A</t>
  </si>
  <si>
    <t>1714A</t>
  </si>
  <si>
    <t>1715A</t>
  </si>
  <si>
    <t>1716A</t>
  </si>
  <si>
    <t>1731A</t>
  </si>
  <si>
    <t>1732A</t>
  </si>
  <si>
    <t>996A</t>
  </si>
  <si>
    <t>85323A</t>
  </si>
  <si>
    <t>73992/1A</t>
  </si>
  <si>
    <t>93367A</t>
  </si>
  <si>
    <t>93369A</t>
  </si>
  <si>
    <t>93371A</t>
  </si>
  <si>
    <t>79472A</t>
  </si>
  <si>
    <t>94116A</t>
  </si>
  <si>
    <t>95241A</t>
  </si>
  <si>
    <t>95302A</t>
  </si>
  <si>
    <t>92415A</t>
  </si>
  <si>
    <t>92510A</t>
  </si>
  <si>
    <t>34494A</t>
  </si>
  <si>
    <t>92874A</t>
  </si>
  <si>
    <t>92915A</t>
  </si>
  <si>
    <t>92917A</t>
  </si>
  <si>
    <t>92919A</t>
  </si>
  <si>
    <t>92921A</t>
  </si>
  <si>
    <t>74022/57A</t>
  </si>
  <si>
    <t>I1057a</t>
  </si>
  <si>
    <t>73665A</t>
  </si>
  <si>
    <t>74106/1A</t>
  </si>
  <si>
    <t>73923/3A</t>
  </si>
  <si>
    <t>1766A</t>
  </si>
  <si>
    <t>1728A</t>
  </si>
  <si>
    <t>94990A</t>
  </si>
  <si>
    <t>1424A</t>
  </si>
  <si>
    <t>72898A</t>
  </si>
  <si>
    <t>CT_TRAV.NÃO.DESTR.TUNEL LINER-A</t>
  </si>
  <si>
    <t>1</t>
  </si>
  <si>
    <t>1.1.1</t>
  </si>
  <si>
    <t>TOTAL ITEM: 1.1.1 SERVIÇOS PRELIMINARES</t>
  </si>
  <si>
    <t>2.1.1</t>
  </si>
  <si>
    <t>2.1.2</t>
  </si>
  <si>
    <t>2.1.3</t>
  </si>
  <si>
    <t>2.1.4</t>
  </si>
  <si>
    <t>2.1.5</t>
  </si>
  <si>
    <t>2.1.6</t>
  </si>
  <si>
    <t>2.1.7</t>
  </si>
  <si>
    <t>2.1.8</t>
  </si>
  <si>
    <t>2.1.9</t>
  </si>
  <si>
    <t>5.1.1</t>
  </si>
  <si>
    <t>TOTAL ITEM: 5.1.1 LOCAÇÃO E CADASTRO</t>
  </si>
  <si>
    <t>5.1.2</t>
  </si>
  <si>
    <t>TOTAL ITEM: 5.1.2 SINALIZAÇÃO</t>
  </si>
  <si>
    <t>5.1.3</t>
  </si>
  <si>
    <t>TOTAL ITEM: 5.1.3 SERVIÇOS PRELIMINARES</t>
  </si>
  <si>
    <t>5.1.4</t>
  </si>
  <si>
    <t>TOTAL ITEM: 5.1.4 MOVIMENTO DE TERRA</t>
  </si>
  <si>
    <t>5.1.5</t>
  </si>
  <si>
    <t>TOTAL ITEM: 5.1.5REFORÇO DO FUNDO DE VALA</t>
  </si>
  <si>
    <t>5.1.6</t>
  </si>
  <si>
    <t>TOTAL ITEM: 5.1.6CARGA, TRANSPORTES E DESCARGA DE MATERIAL (BOTA-FORA)</t>
  </si>
  <si>
    <t>5.1.7</t>
  </si>
  <si>
    <t>TOTAL ITEM: 5.1.7 CARGA, TRANSPORTES E DESCARGA DE MATERIAL (JAZIDA)</t>
  </si>
  <si>
    <t>5.1.8</t>
  </si>
  <si>
    <t>TOTAL ITEM: 5.1.8ESCORAMENTO</t>
  </si>
  <si>
    <t>5.1.9</t>
  </si>
  <si>
    <t xml:space="preserve">TOTAL ITEM: 5.1.9ESGOTAMENTO   </t>
  </si>
  <si>
    <t>5.1.10</t>
  </si>
  <si>
    <t>TOTAL ITEM: 5.1.10CTD E MONTAGEM DE TUBOS</t>
  </si>
  <si>
    <t>5.1.11</t>
  </si>
  <si>
    <t>TOTAL ITEM: 5.1.11 CORTE E REPOSIÇÃO DE PAVIMENTOS - REDE</t>
  </si>
  <si>
    <t>5.1.12</t>
  </si>
  <si>
    <t>TOTAL ITEM: 5.1.12 MATERIAL DE EMPRÉSTIMO PARA BASE ASFÁLTICA</t>
  </si>
  <si>
    <t>5.1.13</t>
  </si>
  <si>
    <t>TOTAL ITEM: 5.1.13 BOTA-FORA DE ENTULHOS (PAVIMENTOS)</t>
  </si>
  <si>
    <t>5.1.14</t>
  </si>
  <si>
    <t>TOTAL ITEM: 5.1.14 POÇOS DE VISITA</t>
  </si>
  <si>
    <t>5.2.1</t>
  </si>
  <si>
    <t>TOTAL ITEM: 5.2.1 SERVIÇOS PRELIMINARES</t>
  </si>
  <si>
    <t>5.2.2</t>
  </si>
  <si>
    <t>TOTAL ITEM: 5.2.2 MOVIMENTO DE TERRA</t>
  </si>
  <si>
    <t>5.2.3</t>
  </si>
  <si>
    <t>TOTAL ITEM: 5.2.3 TRANSPORTE, CARGA E DESCARGA DE MATERIAL (BOTA FORA)</t>
  </si>
  <si>
    <t>5.2.4</t>
  </si>
  <si>
    <t>TOTAL ITEM: 5.2.4 FUNDAÇÃO (TÍPICO PARA CAIXAS)</t>
  </si>
  <si>
    <t>5.2.5</t>
  </si>
  <si>
    <t>TOTAL ITEM: 5.2.5 ESTRUTURAS DE CONCRETO ARMADO</t>
  </si>
  <si>
    <t>5.2.6</t>
  </si>
  <si>
    <t>TOTAL ITEM: 5.2.6 TRAVESSIAS EM BUEIROS</t>
  </si>
  <si>
    <t>5.2.7</t>
  </si>
  <si>
    <t>TOTAL ITEM: 5.2.7 MONTAGEM DA TRAVESSIA AEREA</t>
  </si>
  <si>
    <t>6</t>
  </si>
  <si>
    <t>6.1.2</t>
  </si>
  <si>
    <t>TOTAL ITEM: 6.1.2 SERVIÇOS PRELIMINARES</t>
  </si>
  <si>
    <t>6.1.3</t>
  </si>
  <si>
    <t>TOTAL ITEM: 6.1.3 MOVIMENTO DE TERRA</t>
  </si>
  <si>
    <t>6.1.4</t>
  </si>
  <si>
    <t>TOTAL ITEM: 6.1.4TRANSPORTE, CARGA E DESCARGA DE MATERIAL (BOTA FORA E JAZIDA)</t>
  </si>
  <si>
    <t>6.1.5</t>
  </si>
  <si>
    <t>CONCRETO  ESTRUTURAL USINADO BOMBEADO  FCK=40 MPA, COM ADIÇÃO DE 8 À 10% DE MICROSSÍLICA (INCLUINDO  LANÇAMENTO, APLICAÇÃO  E ADENSAMENTO)</t>
  </si>
  <si>
    <t>TOTAL ITEM: 6.1.5 ESTRUTURA DE CONCRETO ARMADO</t>
  </si>
  <si>
    <t>6.1.6</t>
  </si>
  <si>
    <t>TOTAL ITEM: 6.1.6ESQUADRIAS</t>
  </si>
  <si>
    <t>6.1.7</t>
  </si>
  <si>
    <t>TOTAL ITEM: 6.1.7 REVESTIMENTOS E PINTURAS</t>
  </si>
  <si>
    <t>6.1.8</t>
  </si>
  <si>
    <t>TOTAL ITEM: 6.1.8 REGULARIZAÇÃO DE PISO</t>
  </si>
  <si>
    <t>6.1.9</t>
  </si>
  <si>
    <t>TOTAL ITEM: 6.1.9 COBERTURA</t>
  </si>
  <si>
    <t>6.1.10</t>
  </si>
  <si>
    <t>TOTAL ITEM: 6.1.10 DIVERSOS</t>
  </si>
  <si>
    <t>6.2.1</t>
  </si>
  <si>
    <t>TOTAL ITEM: 6.2.1 SERVIÇOS PRELIMINARES</t>
  </si>
  <si>
    <t>6.2.2</t>
  </si>
  <si>
    <t>TOTAL ITEM: 6.2.2 ESTRUTURAS DE CONCRETO ARMADO</t>
  </si>
  <si>
    <t>6.2.3</t>
  </si>
  <si>
    <t>TOTAL ITEM: 6.2.3REVESTIMENTOS E PINTURAS</t>
  </si>
  <si>
    <t>6.2.4</t>
  </si>
  <si>
    <t>TOTAL ITEM: 6.2.4 REGULARIZAÇÃO DE PISO</t>
  </si>
  <si>
    <t>6.2.5</t>
  </si>
  <si>
    <t>TOTAL ITEM: 6.2.5 ESQUADRIAS</t>
  </si>
  <si>
    <t>6.2.6</t>
  </si>
  <si>
    <t>TOTAL ITEM: 6.2.6 DIVERSOS</t>
  </si>
  <si>
    <t>6.3.1</t>
  </si>
  <si>
    <t>TOTAL ITEM: 6.3.1 SERVIÇOS PRELIMINARES</t>
  </si>
  <si>
    <t>6.3.2</t>
  </si>
  <si>
    <t>ESCAVAÇÃO  MECANIZADA  (COM ESCAVADEIRA HIDRÁULICA)  EM VALAS COM MATERIAL DE 2ª CATEGORIA
- PROFUNDIDADE ATÉ 2,0 M</t>
  </si>
  <si>
    <t>ESCAVAÇÃO  MECANIZADA  (COM ESCAVADEIRA HIDRÁULICA)  EM VALAS COM MATERIAL  DE SOLO MOLE - PROFUNDIDADE ATÉ 2,0 M</t>
  </si>
  <si>
    <t>TOTAL ITEM: 6.3.2 MOVIMENTO DE TERRA</t>
  </si>
  <si>
    <t>6.3.3</t>
  </si>
  <si>
    <t>TOTAL ITEM: 6.3.3 AQUISIÇÃO DE MATERIAL DE JAZIDA</t>
  </si>
  <si>
    <t>6.3.4</t>
  </si>
  <si>
    <t>TOTAL ITEM: 6.3.4CAMADA FILTRANTE</t>
  </si>
  <si>
    <t>6.3.5</t>
  </si>
  <si>
    <t>TOTAL ITEM: 6.3.5 ESTRUTURAS DE CONCRETO ARMADO</t>
  </si>
  <si>
    <t>6.3.6</t>
  </si>
  <si>
    <t>TOTAL ITEM: 6.3.6 ALVENARIAS</t>
  </si>
  <si>
    <t>6.3.7</t>
  </si>
  <si>
    <t>TOTAL ITEM: 6.3.7 REVESTIMENTOS E PINTURAS</t>
  </si>
  <si>
    <t>6.3.8</t>
  </si>
  <si>
    <t>TOTAL ITEM: 6.3.8 DIVERSOS</t>
  </si>
  <si>
    <t>6.4.9</t>
  </si>
  <si>
    <t>TOTAL ITEM: 6.4.9 SERVIÇOS PRELIMINARES</t>
  </si>
  <si>
    <t>6.4.10</t>
  </si>
  <si>
    <t>ESCAVAÇÃO  MECANIZADA  (COM ESCAVADEIRA HIDRÁULICA)  EM VALAS COM MATERIAL DE 2ª CATEGORIA
- PROFUNDIDADE DE 2,0 A 4,0 M</t>
  </si>
  <si>
    <t>ESCAVAÇÃO  MECANIZADA  (COM ESCAVADEIRA HIDRÁULICA)  EM VALAS COM MATERIAL  DE SOLO MOLE - PROFUNDIDADE DE 2,0 A 4,0 M</t>
  </si>
  <si>
    <t>TOTAL ITEM: 6.4.10 MOVIMENTO DE TERRA</t>
  </si>
  <si>
    <t>6.4.11</t>
  </si>
  <si>
    <t>TOTAL ITEM: 6.4.11 TRANSPORTE, CARGA E DESCARGA DE MATERIAL (BOTA FORA)</t>
  </si>
  <si>
    <t>6.4.12</t>
  </si>
  <si>
    <t>TOTAL ITEM: 6.4.12 ESCORAMENTO DE VALAS</t>
  </si>
  <si>
    <t>6.4.13</t>
  </si>
  <si>
    <t>TOTAL ITEM: 6.4.13CTD E MONTAGEM DE TUBOS</t>
  </si>
  <si>
    <t>6.4.14</t>
  </si>
  <si>
    <t>POÇO DE VISITA  EM ANÉIS DE CONCRETO DIÂMETROS 60 CM (CHAMINÉ) E 90 CM (BALÃO), INCLUINDO ANEL TAMPÃO DE CONCRETO, PROFUNDIDADE = 1,0 M</t>
  </si>
  <si>
    <t>TOTAL ITEM: 6.4.14POÇO DE VISITA</t>
  </si>
  <si>
    <t>6.5</t>
  </si>
  <si>
    <t>6.5.1</t>
  </si>
  <si>
    <t>TOTAL ITEM: 6.5.1 SERVIÇOS PRELIMINARES</t>
  </si>
  <si>
    <t>6.5.2</t>
  </si>
  <si>
    <t>TOTAL ITEM: 6.5.2FUNDAÇÃO DAS CAIXAS</t>
  </si>
  <si>
    <t>6.5.3</t>
  </si>
  <si>
    <t>TOTAL ITEM: 6.5.3 MOVIMENTO DE TERRA</t>
  </si>
  <si>
    <t>6.5.4</t>
  </si>
  <si>
    <t>TOTAL ITEM: 6.5.4 BOTA FORA DE MATERIAL DE ESCAVAÇÃO (SOLO 1º E 2º CATEGORIA)</t>
  </si>
  <si>
    <t>6.5.5</t>
  </si>
  <si>
    <t>TOTAL ITEM: 6.5.5ESTRUTURAS DE CONCRETO ARMADO</t>
  </si>
  <si>
    <t>6.5.6</t>
  </si>
  <si>
    <t>TOTAL ITEM: 6.5.6 ESQUADRIAS</t>
  </si>
  <si>
    <t>6.5.7</t>
  </si>
  <si>
    <t>TOTAL ITEM: 6.5.7 ALVENARIAS</t>
  </si>
  <si>
    <t>6.5.8</t>
  </si>
  <si>
    <t>TOTAL ITEM: 6.5.8 REVESTIMENTOS E PINTURAS</t>
  </si>
  <si>
    <t>6.5.9</t>
  </si>
  <si>
    <t>TOTAL ITEM: 6.5.9 REGULARIZAÇÃO DE PISO</t>
  </si>
  <si>
    <t>6.6</t>
  </si>
  <si>
    <t>6.6.1</t>
  </si>
  <si>
    <t>TOTAL ITEM: 6.6.1 SERVIÇOS PRELIMINARES</t>
  </si>
  <si>
    <t>6.6.2</t>
  </si>
  <si>
    <t>TOTAL ITEM: 6.6.2 MOVIMENTO DE TERRA</t>
  </si>
  <si>
    <t>6.6.3</t>
  </si>
  <si>
    <t>TOTAL ITEM: 6.6.3 BOTA FORA DE MATERIAL DE ESCAVAÇÃO (SOLO 1º E 2º CATEGORIA)</t>
  </si>
  <si>
    <t>6.6.4</t>
  </si>
  <si>
    <t>TOTAL ITEM: 6.6.4ESTRUTURAS DE CONCRETO ARMADO</t>
  </si>
  <si>
    <t>6.6.5</t>
  </si>
  <si>
    <t>TOTAL ITEM: 6.6.5 ESTRUTURAS METÁLICAS</t>
  </si>
  <si>
    <t>6.6.6</t>
  </si>
  <si>
    <t>TOTAL ITEM: 6.6.6 ALVENARIAS</t>
  </si>
  <si>
    <t>6.6.7</t>
  </si>
  <si>
    <t>TOTAL ITEM: 6.6.7 REVESTIMENTOS E PINTURAS</t>
  </si>
  <si>
    <t>6.6.8</t>
  </si>
  <si>
    <t>TOTAL ITEM: 6.6.8 REGULARIZAÇÃO DE PISO</t>
  </si>
  <si>
    <t>6.6.9</t>
  </si>
  <si>
    <t>TOTAL ITEM: 6.6.9 COBERTURA</t>
  </si>
  <si>
    <t>6.6.10</t>
  </si>
  <si>
    <t>TOTAL ITEM: 6.6.10 DIVERSOS</t>
  </si>
  <si>
    <t>6.7</t>
  </si>
  <si>
    <t>6.7.1</t>
  </si>
  <si>
    <t>TOTAL ITEM: 6.7.1 SERVIÇOS PRELIMINARES</t>
  </si>
  <si>
    <t>6.7.2</t>
  </si>
  <si>
    <t>TOTAL ITEM: 6.7.2 MOVIMENTO DE TERRA</t>
  </si>
  <si>
    <t>6.7.3</t>
  </si>
  <si>
    <t>TOTAL ITEM: 6.7.3 BOTA FORA DE MATERIAL DE ESCAVAÇÃO (SOLO 1º E 2º CATEGORIA)</t>
  </si>
  <si>
    <t>6.7.4</t>
  </si>
  <si>
    <t>TOTAL ITEM: 6.7.4ESTRUTURAS DE CONCRETO ARMADO</t>
  </si>
  <si>
    <t>6.7.5</t>
  </si>
  <si>
    <t>TOTAL ITEM: 6.7.5 ESTRUTURAS METÁLICAS</t>
  </si>
  <si>
    <t>6.7.6</t>
  </si>
  <si>
    <t>TOTAL ITEM: 6.7.6 ALVENARIAS</t>
  </si>
  <si>
    <t>6.7.7</t>
  </si>
  <si>
    <t>TOTAL ITEM: 6.7.7 REVESTIMENTOS E PINTURAS</t>
  </si>
  <si>
    <t>6.7.8</t>
  </si>
  <si>
    <t xml:space="preserve">TOTAL ITEM: 6.7.8 REGULARIZAÇÃO DE PISO </t>
  </si>
  <si>
    <t>6.7.9</t>
  </si>
  <si>
    <t>TOTAL ITEM: 6.7.9 DIVERSOS</t>
  </si>
  <si>
    <t>6.8</t>
  </si>
  <si>
    <t>6.8.1</t>
  </si>
  <si>
    <t>TOTAL ITEM: 6.8.1 SERVIÇOS PRELIMINARES</t>
  </si>
  <si>
    <t>6.8.2</t>
  </si>
  <si>
    <t>TOTAL ITEM: 6.8.2 MOVIMENTO DE TERRA</t>
  </si>
  <si>
    <t>6.8.3</t>
  </si>
  <si>
    <t>TOTAL ITEM: 6.8.3 BOTA FORA DE MATERIAL DE ESCAVAÇÃO (SOLO 1º E 2º CATEGORIA)</t>
  </si>
  <si>
    <t>6.8.4</t>
  </si>
  <si>
    <t>TOTAL ITEM: 6.8.4ESTRUTURAS DE CONCRETO ARMADO</t>
  </si>
  <si>
    <t>6.8.5</t>
  </si>
  <si>
    <t>TOTAL ITEM: 6.8.5 ESQUADRIAS</t>
  </si>
  <si>
    <t>6.8.6</t>
  </si>
  <si>
    <t>TOTAL ITEM: 6.8.6 ALVENARIAS</t>
  </si>
  <si>
    <t>6.8.7</t>
  </si>
  <si>
    <t>TOTAL ITEM: 6.8.7 REVESTIMENTOS E PINTURAS</t>
  </si>
  <si>
    <t>6.8.8</t>
  </si>
  <si>
    <t>TOTAL ITEM: 6.8.8 REGULARIZAÇÃO DE PISO</t>
  </si>
  <si>
    <t>6.8.9</t>
  </si>
  <si>
    <t>TOTAL ITEM: 6.8.9 DIVERSOS</t>
  </si>
  <si>
    <t>6.8.10</t>
  </si>
  <si>
    <t>TOTAL ITEM: 6.8.10 DIVERSOS</t>
  </si>
  <si>
    <t>6.9</t>
  </si>
  <si>
    <t>6.9.1</t>
  </si>
  <si>
    <t>TOTAL ITEM: 6.9.1ESTRUTURAS DE CONCRETO ARMADO</t>
  </si>
  <si>
    <t>6.9.2</t>
  </si>
  <si>
    <t>TOTAL ITEM: 6.9.2 ESQUADRIAS</t>
  </si>
  <si>
    <t>6.9.3</t>
  </si>
  <si>
    <t>TOTAL ITEM: 6.9.3 ALVENARIAS</t>
  </si>
  <si>
    <t>6.9.4</t>
  </si>
  <si>
    <t>TOTAL ITEM: 6.9.4 REVESTIMENTOS E PINTURAS</t>
  </si>
  <si>
    <t>6.9.5</t>
  </si>
  <si>
    <t xml:space="preserve">TOTAL ITEM: 6.9.5 REGULARIZAÇÃO DE PISO </t>
  </si>
  <si>
    <t>6.9.6</t>
  </si>
  <si>
    <t>TOTAL ITEM: 6.9.6 DIVERSOS</t>
  </si>
  <si>
    <t>6.9.7</t>
  </si>
  <si>
    <t>TOTAL ITEM: 6.9.7 DIVERSOS</t>
  </si>
  <si>
    <t>6.10</t>
  </si>
  <si>
    <t>6.10.1</t>
  </si>
  <si>
    <t>TOTAL ITEM: 6.10.1 SERVIÇOS PRELIMINARES</t>
  </si>
  <si>
    <t>6.10.2</t>
  </si>
  <si>
    <t>TOTAL ITEM: 6.10.2 MOVIMENTO DE TERRA</t>
  </si>
  <si>
    <t>6.10.3</t>
  </si>
  <si>
    <t>TOTAL ITEM: 6.10.3 BOTA FORA DE MATERIAL DE ESCAVAÇÃO (SOLO 1º E 2º CATEGORIA)</t>
  </si>
  <si>
    <t>6.10.4</t>
  </si>
  <si>
    <t>TOTAL ITEM: 6.10.4ESTRUTURAS DE CONCRETO ARMADO</t>
  </si>
  <si>
    <t>6.10.5</t>
  </si>
  <si>
    <t>TOTAL ITEM: 6.10.5 ESTRUTURA DE PROTEÇÃO</t>
  </si>
  <si>
    <t>6.10.6</t>
  </si>
  <si>
    <t>TOTAL ITEM: 6.10.6 ASSENTAMENTO DAS TUBULAÇÕES</t>
  </si>
  <si>
    <t>0.10.7</t>
  </si>
  <si>
    <t>TOTAL ITEM: 0.10.7 PINTURA</t>
  </si>
  <si>
    <t>6.10.8</t>
  </si>
  <si>
    <t xml:space="preserve">TOTAL ITEM: 6.10.8 REGULARIZAÇÃO DE PISO </t>
  </si>
  <si>
    <t>6.10.9</t>
  </si>
  <si>
    <t>TOTAL ITEM: 6.10.9 DIVERSOS</t>
  </si>
  <si>
    <t>6.11</t>
  </si>
  <si>
    <t>6.11.1</t>
  </si>
  <si>
    <t>TOTAL ITEM: 6.11.1 TORNEIRA EXTERNA (BLOCO)</t>
  </si>
  <si>
    <t>6.11.2</t>
  </si>
  <si>
    <t>TOTAL ITEM: 6.11.2 PAVIMENTAÇÃO</t>
  </si>
  <si>
    <t>6.11.3</t>
  </si>
  <si>
    <t>TOTAL ITEM: 6.11.3 ARBORIZAÇÃO</t>
  </si>
  <si>
    <t>6.11.4</t>
  </si>
  <si>
    <t>TOTAL ITEM: 6.11.4 MURO DE ARRIMO</t>
  </si>
  <si>
    <t>6.11.5</t>
  </si>
  <si>
    <t>TOTAL ITEM: 6.11.5 DIVERSOS</t>
  </si>
  <si>
    <t>3.3</t>
  </si>
  <si>
    <t>3.4</t>
  </si>
  <si>
    <t>3.5</t>
  </si>
  <si>
    <t>3.6</t>
  </si>
  <si>
    <t>3.7</t>
  </si>
  <si>
    <t>3.8</t>
  </si>
  <si>
    <t>3.9</t>
  </si>
  <si>
    <t>3.10</t>
  </si>
  <si>
    <t>3.11</t>
  </si>
  <si>
    <t>CURVA ABC</t>
  </si>
  <si>
    <t>PREÇO UNIT. (SEM BDI)</t>
  </si>
  <si>
    <t>PREÇO UNITÁRIO (R$)</t>
  </si>
  <si>
    <t>PREÇO TOTAL (R$)</t>
  </si>
  <si>
    <t>TOTAL ACUMULADO</t>
  </si>
  <si>
    <t>% ACUMULADO</t>
  </si>
  <si>
    <t>CODIGO</t>
  </si>
  <si>
    <t>SINAPI - GO (FEV/17) - SANEAGO (FEV/16)</t>
  </si>
  <si>
    <t>2.0</t>
  </si>
  <si>
    <t>2.0.1</t>
  </si>
  <si>
    <t>TOTAL ITEM: 2.0.1 LOCAÇÃO E CADASTRO</t>
  </si>
  <si>
    <t>2.0.2</t>
  </si>
  <si>
    <t>TOTAL ITEM: 2.0.2 SINALIZAÇÃO</t>
  </si>
  <si>
    <t>2.0.3</t>
  </si>
  <si>
    <t>TOTAL ITEM: 2.0.3 SERVIÇOS PRELIMINARES</t>
  </si>
  <si>
    <t>2.0.4</t>
  </si>
  <si>
    <t>TOTAL ITEM: 2.0.4 MOVIMENTO DE TERRA</t>
  </si>
  <si>
    <t>2.0.5</t>
  </si>
  <si>
    <t>TOTAL ITEM: 2.0.5REFORÇO DO FUNDO DE VALA</t>
  </si>
  <si>
    <t>2.0.6</t>
  </si>
  <si>
    <t>TOTAL ITEM: 2.0.6CARGA, TRANSPORTES E DESCARGA DE MATERIAL (BOTA-FORA)</t>
  </si>
  <si>
    <t>2.0.7</t>
  </si>
  <si>
    <t>TOTAL ITEM: 2.0.7 CARGA, TRANSPORTES E DESCARGA DE MATERIAL (JAZIDA)</t>
  </si>
  <si>
    <t>2.0.8</t>
  </si>
  <si>
    <t>TOTAL ITEM: 2.0.8ESCORAMENTO</t>
  </si>
  <si>
    <t>2.0.9</t>
  </si>
  <si>
    <t xml:space="preserve">TOTAL ITEM: 2.0.9ESGOTAMENTO   </t>
  </si>
  <si>
    <t>2.0.10</t>
  </si>
  <si>
    <t>TOTAL ITEM: 2.0.10CTD E MONTAGEM DE TUBOS</t>
  </si>
  <si>
    <t>2.0.11</t>
  </si>
  <si>
    <t>TOTAL ITEM: 2.0.11 CORTE E REPOSIÇÃO DE PAVIMENTOS</t>
  </si>
  <si>
    <t>2.0.12</t>
  </si>
  <si>
    <t>TOTAL ITEM: 2.0.12 MATERIAL DE EMPRÉSTIMO PARA BASE ASFÁLTICA</t>
  </si>
  <si>
    <t>2.0.13</t>
  </si>
  <si>
    <t>TOTAL ITEM: 2.0.13 BOTA-FORA DE ENTULHOS (PAVIMENTOS)</t>
  </si>
  <si>
    <t>2.0.14</t>
  </si>
  <si>
    <t>TOTAL ITEM: 2.0.14 POÇOS DE VISITA</t>
  </si>
  <si>
    <t>TOTAL ITEM: 2.1.1 SERVIÇOS PRELIMINARES</t>
  </si>
  <si>
    <t>TOTAL ITEM: 2.1.2 MOVIMENTO DE TERRA</t>
  </si>
  <si>
    <t>TOTAL ITEM: 2.1.3 TRANSPORTE, CARGA E DESCARGA DE MATERIAL (BOTA FORA)</t>
  </si>
  <si>
    <t>TOTAL ITEM: 2.1.4 FUNDAÇÃO (TÍPICO PARA CAIXAS)</t>
  </si>
  <si>
    <t>TOTAL ITEM: 2.1.5 ESTRUTURAS DE CONCRETO ARMADO</t>
  </si>
  <si>
    <t>TOTAL ITEM: 2.1.6 TRAVESSIAS NÃO DESTRUTIVA</t>
  </si>
  <si>
    <t>TOTAL ITEM: 2.1.7 ESQUADRIAS</t>
  </si>
  <si>
    <t>TOTAL ITEM: 2.1.8 REVESTIMENTOS</t>
  </si>
  <si>
    <t>TOTAL ITEM: 2.1.9 REGULARIZAÇÃO DE PISO</t>
  </si>
  <si>
    <t>REATOR.GRADE.1</t>
  </si>
  <si>
    <t>Grade de Piso em Fibra de Vidro, dimensões 0,70mx0,59m (Ref. GPS-25 Stratus)</t>
  </si>
  <si>
    <t>REATOR.GRADE.2</t>
  </si>
  <si>
    <t>Grade de Piso  em Fibra de Vidro, dimensões 0,62mx0,59m (Ref. GPS-25 Stratus)</t>
  </si>
  <si>
    <t>REATOR.GRADE.3</t>
  </si>
  <si>
    <t>Grade de Piso  em Fibra de Vidro, dimensões 0,90mx0,59m (Ref. GPS-25 Stratus)</t>
  </si>
  <si>
    <t>REATOR.GRADE.4</t>
  </si>
  <si>
    <t>Grade de Piso  em Fibra de Vidro, dimensões 0,72mx0,59m (Ref. GPS-25 Stratus)</t>
  </si>
  <si>
    <t>REATOR.GRADE.5</t>
  </si>
  <si>
    <t>Grade de Piso  em Fibra de Vidro, dimensões 0,86mx0,59m (Ref. GPS-25 Stratus)</t>
  </si>
  <si>
    <t>REATOR.GRADE.6</t>
  </si>
  <si>
    <t>Grade de Piso  em Fibra de Vidro, dimensões 1,06mx0,59m (Ref. GPS-25 Stratus)</t>
  </si>
  <si>
    <t>REATOR.GRADE.7</t>
  </si>
  <si>
    <t>Grade de Piso  em Fibra de Vidro, dimensões 1,39mx0,44m (Ref. GPS-25 Stratus)</t>
  </si>
  <si>
    <t>REATOR.GRADE.8</t>
  </si>
  <si>
    <t>Grade de Piso  em Fibra de Vidro, dimensões 1,14mx0,44m (Ref. GPS-25 Stratus)</t>
  </si>
  <si>
    <t>REATOR.GRADE.9</t>
  </si>
  <si>
    <t>Grade de Piso  em Fibra de Vidro, dimensões 0,54mx1,31m (Ref. GPS-25 Stratus)</t>
  </si>
  <si>
    <t>REATOR.TAMP.1</t>
  </si>
  <si>
    <t>Tampa em Fibra de Vidro, dimensões 0,70mx0,59m</t>
  </si>
  <si>
    <t>REATOR.TAMP.2</t>
  </si>
  <si>
    <t>Tampa em Fibra de Vidro, dimensões 0,62mx0,59m</t>
  </si>
  <si>
    <t>REATOR.TAMP.3</t>
  </si>
  <si>
    <t>Tampa em Fibra de Vidro, dimensões 0,90mx0,59m</t>
  </si>
  <si>
    <t>REATOR.TAMP.4</t>
  </si>
  <si>
    <t>Tampa em Fibra de Vidro, dimensões 0,72mx0,59m</t>
  </si>
  <si>
    <t>REATOR.TAMP.5</t>
  </si>
  <si>
    <t>Tampa em Fibra de Vidro, dimensões 0,86mx0,59m</t>
  </si>
  <si>
    <t>REATOR.TAMP.6</t>
  </si>
  <si>
    <t>Tampa em Fibra de Vidro, dimensões 1,06mx0,59m</t>
  </si>
  <si>
    <t>REATOR.TAMP.7</t>
  </si>
  <si>
    <t>Tampa em Fibra de Vidro, dimensões 1,39mx0,44m</t>
  </si>
  <si>
    <t>REATOR.TAMP.8</t>
  </si>
  <si>
    <t>Tampa em Fibra de Vidro, dimensões 1,14mx0,44m</t>
  </si>
  <si>
    <t>REATOR.TAMP.9</t>
  </si>
  <si>
    <t>Tampa em Fibra de Vidro, dimensões 0,54mx1,31m</t>
  </si>
  <si>
    <t>REATOR.CH.TAMPA.01</t>
  </si>
  <si>
    <t>Chumbador tipo parabolt Ø5/16", L=82,5 mm (Ref. "Walsywa WB" com acabamento em INOX)</t>
  </si>
  <si>
    <t>REATOR.CANT.TAMPA.01</t>
  </si>
  <si>
    <t>CANTONEIRA DE ABAS IGUAIS 2", ESP. 1/4", AÇO INOX AISI-307</t>
  </si>
  <si>
    <t>TAMPAS DO REATOR</t>
  </si>
  <si>
    <t>RECUPERAÇÃO DAS ESTRUTURAS DE CONCRETO</t>
  </si>
  <si>
    <t>Coletores (Travessias não destrutivas)</t>
  </si>
  <si>
    <t>DATA DA REVISÃO:</t>
  </si>
  <si>
    <t>Parafusos para flanges, PN-10, DN800 (30x140)</t>
  </si>
  <si>
    <t>Vigas Externas (Inferior e Superior)</t>
  </si>
  <si>
    <t>Quant. De leito</t>
  </si>
  <si>
    <t>Quant. De Vigas</t>
  </si>
  <si>
    <t>Vigas Internas (Inferior e Superior)</t>
  </si>
  <si>
    <t>Obs: Declaro queo o detalhamento dos encargos sociais atendem ao estabelecido no SINAPI de Goiás para mão de obras horista e mensalista,  sem desoneração.</t>
  </si>
  <si>
    <t>TABELA BASE (sem desoneração):</t>
  </si>
  <si>
    <t>Laje de fundo</t>
  </si>
  <si>
    <t>Sapata corrida</t>
  </si>
  <si>
    <t>Quant. De Vigas ou Sapatas</t>
  </si>
  <si>
    <t>C - EQUIPAMENTOS</t>
  </si>
  <si>
    <t>73515A</t>
  </si>
  <si>
    <t>TRANSPORTE DE TUBOS DE CONCRETO ARMADO DN 700</t>
  </si>
  <si>
    <t>Volume do Reaterro</t>
  </si>
  <si>
    <t>Volume das estruturas</t>
  </si>
  <si>
    <t>Total (considerando 2 utiliações)</t>
  </si>
  <si>
    <t>Quantitativo levantado - total</t>
  </si>
  <si>
    <t xml:space="preserve">Quantitativo orçado </t>
  </si>
  <si>
    <t>1 x Reator</t>
  </si>
  <si>
    <t>Paredes externas e internas (PAR1/PAR2/PAR3/PAR4)</t>
  </si>
  <si>
    <t>Paredes externas - Detalhe 1</t>
  </si>
  <si>
    <t>Paredes internas - Detalhe 1</t>
  </si>
  <si>
    <t xml:space="preserve"> Detalhe 2</t>
  </si>
  <si>
    <t>Paredes externas - Detalhe 4</t>
  </si>
  <si>
    <t>Paredes internas - Detalhe 4</t>
  </si>
  <si>
    <t>Paredes externas - Detalhe 6</t>
  </si>
  <si>
    <t>Paredes internas - Detalhe 6</t>
  </si>
  <si>
    <t>Paredes externas - Detalhe 7  - Parede PT3</t>
  </si>
  <si>
    <t>Paredes internas - Detalhe 7  - Parede PT3</t>
  </si>
  <si>
    <t>Paredes externas - Detalhe 7  - Parede PT4</t>
  </si>
  <si>
    <t>Paredes internas - Detalhe 7  - Parede PT4</t>
  </si>
  <si>
    <t>Fôrmas (1 x Reator)</t>
  </si>
  <si>
    <t>Paredes da Laje de Fundo</t>
  </si>
  <si>
    <t>PILARES</t>
  </si>
  <si>
    <t>VIGAS</t>
  </si>
  <si>
    <t xml:space="preserve">Paredes e Pilares </t>
  </si>
  <si>
    <t>Lajes</t>
  </si>
  <si>
    <t>Abertura 1</t>
  </si>
  <si>
    <t>Abertura 2</t>
  </si>
  <si>
    <t>Abertura 3</t>
  </si>
  <si>
    <t>Abertura 4</t>
  </si>
  <si>
    <t>Paredes - Detalhes</t>
  </si>
  <si>
    <t>Abertura 5</t>
  </si>
  <si>
    <t>Abertura 6</t>
  </si>
  <si>
    <t>Paredes - CDR</t>
  </si>
  <si>
    <t>Área - Fôrmas</t>
  </si>
  <si>
    <t>Lajes - CDR</t>
  </si>
  <si>
    <t xml:space="preserve">Laje de fundo </t>
  </si>
  <si>
    <t>Laje - a suprimir</t>
  </si>
  <si>
    <t>Área em planta das aberturas</t>
  </si>
  <si>
    <t>Total (Laje de cobertura - Área em planta das Aberturas)</t>
  </si>
  <si>
    <t>Paredes Externas - Parede PT5</t>
  </si>
  <si>
    <t>Paredes Internas - Parede PT5</t>
  </si>
  <si>
    <t>Paredes Internas -Parede PT6</t>
  </si>
  <si>
    <t>Paredes Externas e Internas - Parede PT7</t>
  </si>
  <si>
    <t>Paredes Externas - Parede PT6</t>
  </si>
  <si>
    <t>Paredes Externas - Parede PT8</t>
  </si>
  <si>
    <t>Paredes Internas - Parede PT8</t>
  </si>
  <si>
    <t>Paredes Externas -Parede PT9</t>
  </si>
  <si>
    <t>Paredes Internas -Parede PT9</t>
  </si>
  <si>
    <t>Paredes Internas - Parede PT10</t>
  </si>
  <si>
    <t>Comprimento do Furo</t>
  </si>
  <si>
    <t>Altura do Furo</t>
  </si>
  <si>
    <t>Quant. do Furo</t>
  </si>
  <si>
    <t>DN do Furo</t>
  </si>
  <si>
    <t>Concreto (1 x Reator)</t>
  </si>
  <si>
    <t>Volume - Concreto</t>
  </si>
  <si>
    <t>Área da peça</t>
  </si>
  <si>
    <t xml:space="preserve"> Detalhe 7  - Parede PT3</t>
  </si>
  <si>
    <t>Detalhe 7  - Parede PT4</t>
  </si>
  <si>
    <t>Canaleta de distribuição</t>
  </si>
  <si>
    <t xml:space="preserve">Lajes </t>
  </si>
  <si>
    <t>Paredes Internas e Externas - Canaleta de distribuição</t>
  </si>
  <si>
    <t>Largura/ Espessura</t>
  </si>
  <si>
    <t>Volume em planta das aberturas</t>
  </si>
  <si>
    <t>Total (Laje de cobertura - volume em planta das Aberturas)</t>
  </si>
  <si>
    <t>Total - Laje de fundo da CDR</t>
  </si>
  <si>
    <t>Armadura</t>
  </si>
  <si>
    <t>Armadura (1 x Reator)</t>
  </si>
  <si>
    <t xml:space="preserve"> Apoio das Tubulações,</t>
  </si>
  <si>
    <t>Cantos 1 e 2</t>
  </si>
  <si>
    <t xml:space="preserve"> Detalhes 1, 4, 6 e 7 </t>
  </si>
  <si>
    <t>Pilares 1 a 24</t>
  </si>
  <si>
    <t>Comprimento (cm)</t>
  </si>
  <si>
    <t>Peso linear (kg/m)</t>
  </si>
  <si>
    <t>Paredes (PT5 a PT7)</t>
  </si>
  <si>
    <t>Peso  (kg)</t>
  </si>
  <si>
    <t>Armadura (2 x Reatores - Parcialmente executados)</t>
  </si>
  <si>
    <t>2 x Reatores Parcialmente Executados</t>
  </si>
  <si>
    <t>Observação</t>
  </si>
  <si>
    <t>não executado</t>
  </si>
  <si>
    <t>executado</t>
  </si>
  <si>
    <t>executado até 1,10 m</t>
  </si>
  <si>
    <t xml:space="preserve">ARMADURA </t>
  </si>
  <si>
    <t>Volume Total de Concreto</t>
  </si>
  <si>
    <t xml:space="preserve">CONCRETO  </t>
  </si>
  <si>
    <t>Concreto (2 x Reatores Parcialmente Executados)</t>
  </si>
  <si>
    <t>Parede Interna PT12</t>
  </si>
  <si>
    <t>Parede Externa PT12</t>
  </si>
  <si>
    <t>Paredes Internas e Externas - Canaleta de coleta</t>
  </si>
  <si>
    <t>Canaleta de coleta</t>
  </si>
  <si>
    <t>(topo)</t>
  </si>
  <si>
    <t>já executado</t>
  </si>
  <si>
    <t>Total de Formas - Pilares, Paredes e Blocos (para 1 Reator Parcialmente Executado)</t>
  </si>
  <si>
    <t>Total de Formas - Vigas  (para 1 Reator Parcialmente Executado)</t>
  </si>
  <si>
    <t>Total de Formas - Lajes  (para 1 Reator Parcialmente Executado)</t>
  </si>
  <si>
    <t>PILARES  (para 2 Reatores Parcialmente Executado)</t>
  </si>
  <si>
    <t xml:space="preserve">VIGAS    (para 2 Reatores Parcialmente Executado)
</t>
  </si>
  <si>
    <t>LAJE    (para 2 Reatores Parcialmente Executado)</t>
  </si>
  <si>
    <t>Concreto  (1 x Reator Parcialmente Executados)</t>
  </si>
  <si>
    <t>Total de Concreto (p/ 1 reator parcialmente executado)</t>
  </si>
  <si>
    <t>Total de Concreto (p/ 2 reatores parcialmente executado)</t>
  </si>
  <si>
    <t>Paredes da Laje de Fundo (já executado)</t>
  </si>
  <si>
    <t>Pilares (P1 a P24) - parcialmente executado</t>
  </si>
  <si>
    <t>Pilar PC da CDR (não executado)</t>
  </si>
  <si>
    <t>Bloco (não executado)</t>
  </si>
  <si>
    <t>Apoio das tubulações (parcialmente executado)</t>
  </si>
  <si>
    <t>Paredes externas e internas (PAR1/PAR2/PAR3/PAR4) - parcialmente executado</t>
  </si>
  <si>
    <t>Fôrmas (1 x Reator Parcialmente Executado)</t>
  </si>
  <si>
    <t>CATALÃO, GO</t>
  </si>
  <si>
    <t>Obs: Informamos que não há sobreposição de serviços em relação ao que já foi executado.</t>
  </si>
  <si>
    <t>SERVIÇOS PRELIMINARES - TRATAMENTO PRELIMINAR E LEITOS DE SECAGEM</t>
  </si>
  <si>
    <t>Parafusos para flanges, PN-10, DN400 (24 x 110)</t>
  </si>
  <si>
    <t>Parafusos para flanges, PN-10, DN 400 (24x110)</t>
  </si>
  <si>
    <t>Parafusos para flanges, PN-10, DN400 (24x110)</t>
  </si>
  <si>
    <t>6.1.1</t>
  </si>
  <si>
    <t>Reposição de Armadura (Contrapartida)</t>
  </si>
  <si>
    <t>COTAÇÕES</t>
  </si>
  <si>
    <t>COMPOSIÇÕES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</si>
</sst>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44" formatCode="_-&quot;R$&quot;\ * #,##0.00_-;\-&quot;R$&quot;\ * #,##0.00_-;_-&quot;R$&quot;\ * &quot;-&quot;??_-;_-@_-"/>
    <numFmt numFmtId="43" formatCode="_-* #,##0.00_-;\-* #,##0.00_-;_-* &quot;-&quot;??_-;_-@_-"/>
    <numFmt numFmtId="164" formatCode="#,##0.00;[Red]#,##0.00"/>
    <numFmt numFmtId="165" formatCode="_(* #,##0_);_(* \(#,##0\);_(* &quot;-&quot;_);_(@_)"/>
    <numFmt numFmtId="166" formatCode="_(&quot;Cr$&quot;* #,##0_);_(&quot;Cr$&quot;* \(#,##0\);_(&quot;Cr$&quot;* &quot;-&quot;_);_(@_)"/>
    <numFmt numFmtId="167" formatCode="_(* #,##0.00_);_(* \(#,##0.00\);_(* \-??_);_(@_)"/>
    <numFmt numFmtId="168" formatCode="#,##0.00\ ;&quot; (&quot;#,##0.00\);&quot; -&quot;#\ ;@\ "/>
    <numFmt numFmtId="169" formatCode="_(&quot;R$ &quot;* #,##0.00_);_(&quot;R$ &quot;* \(#,##0.00\);_(&quot;R$ &quot;* &quot;-&quot;??_);_(@_)"/>
    <numFmt numFmtId="170" formatCode="General_)"/>
    <numFmt numFmtId="171" formatCode="_(* #,##0.00_);[Red]_(* \(#,##0.00\);_(* &quot;-&quot;??_);[Blue]* _(@_)"/>
    <numFmt numFmtId="172" formatCode="_(* #,##0.00&quot; Km&quot;_);[Red]_(* \(#,##0.00&quot; Km&quot;\);_(* &quot;-&quot;?????_);[Blue]* _(@_)"/>
    <numFmt numFmtId="173" formatCode="_-* #,##0.000_-;\-* #,##0.000_-;_-* &quot;-&quot;??_-;_-@_-"/>
    <numFmt numFmtId="174" formatCode="_-* #,##0.0000_-;\-* #,##0.0000_-;_-* &quot;-&quot;??_-;_-@_-"/>
    <numFmt numFmtId="175" formatCode="0.0\ &quot;m³&quot;"/>
    <numFmt numFmtId="176" formatCode="0.00\ &quot;m&quot;"/>
    <numFmt numFmtId="177" formatCode="_(* #,##0.00_);_(* \(#,##0.00\);_(* &quot;-&quot;??_);_(@_)"/>
    <numFmt numFmtId="178" formatCode="&quot;EQ&quot;0#"/>
    <numFmt numFmtId="179" formatCode="0.0"/>
    <numFmt numFmtId="180" formatCode="0.000"/>
    <numFmt numFmtId="181" formatCode="0.00;[Red]0.00"/>
    <numFmt numFmtId="182" formatCode="&quot;R$&quot;\ #,##0.00"/>
    <numFmt numFmtId="183" formatCode="_-* #,##0_-;\-* #,##0_-;_-* &quot;-&quot;??_-;_-@_-"/>
    <numFmt numFmtId="184" formatCode="&quot;DN &quot;\ 0"/>
    <numFmt numFmtId="185" formatCode="[$-416]d\ \ mmmm\,\ yyyy;@"/>
    <numFmt numFmtId="187" formatCode="_(* #,##0_);_(* \(#,##0\);_(* &quot;-&quot;??_);_(@_)"/>
    <numFmt numFmtId="188" formatCode="#,##0.0"/>
    <numFmt numFmtId="189" formatCode="0.000%"/>
    <numFmt numFmtId="190" formatCode="###0;###0"/>
    <numFmt numFmtId="191" formatCode="0.00000"/>
  </numFmts>
  <fonts count="83">
    <font>
      <sz val="11"/>
      <color theme="1"/>
      <name val="Calibri"/>
      <family val="2"/>
      <scheme val="minor"/>
    </font>
    <font>
      <sz val="10"/>
      <color indexed="8"/>
      <name val="MS Sans Serif"/>
      <family val="2"/>
    </font>
    <font>
      <b/>
      <sz val="12"/>
      <name val="Arial"/>
      <family val="2"/>
    </font>
    <font>
      <sz val="8"/>
      <name val="Arial"/>
      <family val="2"/>
    </font>
    <font>
      <sz val="10"/>
      <name val="MS Sans Serif"/>
      <family val="2"/>
    </font>
    <font>
      <b/>
      <sz val="14"/>
      <name val="Arial"/>
      <family val="2"/>
    </font>
    <font>
      <sz val="11"/>
      <name val="Calibri"/>
      <family val="2"/>
    </font>
    <font>
      <b/>
      <sz val="8"/>
      <name val="Arial"/>
      <family val="2"/>
    </font>
    <font>
      <sz val="7"/>
      <name val="Arial"/>
      <family val="2"/>
    </font>
    <font>
      <sz val="10"/>
      <name val="Arial"/>
      <family val="2"/>
    </font>
    <font>
      <b/>
      <sz val="10"/>
      <name val="Arial"/>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0"/>
      <name val="Courier"/>
      <family val="3"/>
    </font>
    <font>
      <sz val="11"/>
      <color indexed="60"/>
      <name val="Calibri"/>
      <family val="2"/>
    </font>
    <font>
      <sz val="10"/>
      <color indexed="8"/>
      <name val="Arial"/>
      <family val="2"/>
    </font>
    <font>
      <sz val="12"/>
      <name val="Times New Roman"/>
      <family val="1"/>
    </font>
    <font>
      <b/>
      <sz val="11"/>
      <color indexed="63"/>
      <name val="Calibri"/>
      <family val="2"/>
    </font>
    <font>
      <sz val="11"/>
      <color indexed="10"/>
      <name val="Calibri"/>
      <family val="2"/>
    </font>
    <font>
      <b/>
      <sz val="18"/>
      <color indexed="56"/>
      <name val="Cambria"/>
      <family val="2"/>
    </font>
    <font>
      <b/>
      <sz val="15"/>
      <color indexed="21"/>
      <name val="Calibri"/>
      <family val="2"/>
    </font>
    <font>
      <b/>
      <sz val="15"/>
      <color indexed="62"/>
      <name val="Calibri"/>
      <family val="2"/>
    </font>
    <font>
      <b/>
      <sz val="18"/>
      <color indexed="21"/>
      <name val="Cambria"/>
      <family val="2"/>
    </font>
    <font>
      <b/>
      <sz val="18"/>
      <color indexed="62"/>
      <name val="Cambria"/>
      <family val="2"/>
    </font>
    <font>
      <b/>
      <sz val="18"/>
      <color indexed="57"/>
      <name val="Cambria"/>
      <family val="2"/>
    </font>
    <font>
      <b/>
      <sz val="13"/>
      <color indexed="62"/>
      <name val="Calibri"/>
      <family val="2"/>
    </font>
    <font>
      <b/>
      <sz val="11"/>
      <color indexed="62"/>
      <name val="Calibri"/>
      <family val="2"/>
    </font>
    <font>
      <b/>
      <sz val="11"/>
      <color indexed="8"/>
      <name val="Calibri"/>
      <family val="2"/>
    </font>
    <font>
      <sz val="6"/>
      <name val="Arial"/>
      <family val="2"/>
    </font>
    <font>
      <sz val="6"/>
      <name val="MS Sans Serif"/>
      <family val="2"/>
    </font>
    <font>
      <sz val="9"/>
      <name val="Times New Roman"/>
      <family val="1"/>
    </font>
    <font>
      <sz val="9"/>
      <color indexed="81"/>
      <name val="Tahoma"/>
      <family val="2"/>
    </font>
    <font>
      <b/>
      <sz val="9"/>
      <color indexed="81"/>
      <name val="Tahoma"/>
      <family val="2"/>
    </font>
    <font>
      <b/>
      <sz val="7"/>
      <name val="Arial"/>
      <family val="2"/>
    </font>
    <font>
      <i/>
      <sz val="8"/>
      <name val="Arial"/>
      <family val="2"/>
    </font>
    <font>
      <b/>
      <i/>
      <sz val="8"/>
      <name val="Arial"/>
      <family val="2"/>
    </font>
    <font>
      <sz val="9"/>
      <name val="Arial"/>
      <family val="2"/>
    </font>
    <font>
      <b/>
      <sz val="9"/>
      <name val="Arial"/>
      <family val="2"/>
    </font>
    <font>
      <sz val="9"/>
      <name val="MS Sans Serif"/>
      <family val="2"/>
    </font>
    <font>
      <sz val="11"/>
      <name val="Arial"/>
      <family val="2"/>
    </font>
    <font>
      <b/>
      <sz val="6"/>
      <name val="Arial"/>
      <family val="2"/>
    </font>
    <font>
      <b/>
      <sz val="10"/>
      <name val="MS Sans Serif"/>
      <family val="2"/>
    </font>
    <font>
      <sz val="8"/>
      <name val="Aparajita"/>
      <family val="2"/>
    </font>
    <font>
      <b/>
      <sz val="6"/>
      <color indexed="8"/>
      <name val="Arial"/>
      <family val="2"/>
    </font>
    <font>
      <sz val="6"/>
      <color indexed="8"/>
      <name val="Arial"/>
      <family val="2"/>
    </font>
    <font>
      <sz val="6"/>
      <name val="Times New Roman"/>
      <family val="1"/>
    </font>
    <font>
      <b/>
      <sz val="11"/>
      <name val="Arial"/>
      <family val="2"/>
    </font>
    <font>
      <sz val="11"/>
      <color theme="1"/>
      <name val="Calibri"/>
      <family val="2"/>
      <scheme val="minor"/>
    </font>
    <font>
      <u/>
      <sz val="11"/>
      <color theme="10"/>
      <name val="Calibri"/>
      <family val="2"/>
    </font>
    <font>
      <sz val="11"/>
      <color rgb="FF000000"/>
      <name val="Calibri"/>
      <family val="2"/>
    </font>
    <font>
      <sz val="9"/>
      <color theme="1"/>
      <name val="Arial"/>
      <family val="2"/>
    </font>
    <font>
      <sz val="11"/>
      <color rgb="FF000000"/>
      <name val="Calibri"/>
      <family val="2"/>
      <charset val="204"/>
    </font>
    <font>
      <sz val="11"/>
      <color rgb="FFFF0000"/>
      <name val="Calibri"/>
      <family val="2"/>
      <scheme val="minor"/>
    </font>
    <font>
      <b/>
      <sz val="9"/>
      <color rgb="FF000000"/>
      <name val="Arial"/>
      <family val="2"/>
    </font>
    <font>
      <b/>
      <sz val="11"/>
      <color theme="1"/>
      <name val="Arial"/>
      <family val="2"/>
    </font>
    <font>
      <sz val="11"/>
      <color rgb="FF0070C0"/>
      <name val="Calibri"/>
      <family val="2"/>
      <scheme val="minor"/>
    </font>
    <font>
      <sz val="11"/>
      <name val="Calibri"/>
      <family val="2"/>
      <scheme val="minor"/>
    </font>
    <font>
      <b/>
      <sz val="12"/>
      <color theme="1"/>
      <name val="Calibri"/>
      <family val="2"/>
      <scheme val="minor"/>
    </font>
    <font>
      <sz val="8"/>
      <color theme="1"/>
      <name val="Arial"/>
      <family val="2"/>
    </font>
    <font>
      <sz val="7"/>
      <color theme="1"/>
      <name val="Arial"/>
      <family val="2"/>
    </font>
    <font>
      <sz val="6"/>
      <name val="Calibri"/>
      <family val="2"/>
      <scheme val="minor"/>
    </font>
    <font>
      <sz val="9"/>
      <name val="Calibri"/>
      <family val="2"/>
      <scheme val="minor"/>
    </font>
    <font>
      <b/>
      <sz val="8"/>
      <color theme="1"/>
      <name val="Arial"/>
      <family val="2"/>
    </font>
    <font>
      <b/>
      <sz val="6"/>
      <color rgb="FF000000"/>
      <name val="Arial"/>
      <family val="2"/>
    </font>
    <font>
      <sz val="6"/>
      <color rgb="FF000000"/>
      <name val="Arial"/>
      <family val="2"/>
    </font>
    <font>
      <sz val="7"/>
      <color rgb="FF000000"/>
      <name val="Arial"/>
      <family val="2"/>
    </font>
    <font>
      <b/>
      <sz val="11"/>
      <color rgb="FFFF0000"/>
      <name val="Calibri"/>
      <family val="2"/>
      <scheme val="minor"/>
    </font>
    <font>
      <sz val="8"/>
      <color rgb="FFFF0000"/>
      <name val="Arial"/>
      <family val="2"/>
    </font>
    <font>
      <sz val="8"/>
      <color rgb="FF0070C0"/>
      <name val="Arial"/>
      <family val="2"/>
    </font>
    <font>
      <sz val="6"/>
      <color rgb="FF0070C0"/>
      <name val="Arial"/>
      <family val="2"/>
    </font>
    <font>
      <sz val="10"/>
      <color rgb="FF0070C0"/>
      <name val="MS Sans Serif"/>
      <family val="2"/>
    </font>
    <font>
      <b/>
      <sz val="10"/>
      <color rgb="FFFF0000"/>
      <name val="Arial"/>
      <family val="2"/>
    </font>
  </fonts>
  <fills count="40">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26"/>
        <bgColor indexed="9"/>
      </patternFill>
    </fill>
    <fill>
      <patternFill patternType="solid">
        <fgColor indexed="43"/>
        <bgColor indexed="4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22"/>
        <bgColor indexed="31"/>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54"/>
        <bgColor indexed="23"/>
      </patternFill>
    </fill>
    <fill>
      <patternFill patternType="solid">
        <fgColor indexed="43"/>
        <bgColor indexed="26"/>
      </patternFill>
    </fill>
    <fill>
      <patternFill patternType="solid">
        <fgColor indexed="9"/>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0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D3D3D3"/>
        <bgColor indexed="64"/>
      </patternFill>
    </fill>
    <fill>
      <patternFill patternType="solid">
        <fgColor theme="8" tint="0.79998168889431442"/>
        <bgColor indexed="64"/>
      </patternFill>
    </fill>
  </fills>
  <borders count="1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bottom style="thick">
        <color indexed="54"/>
      </bottom>
      <diagonal/>
    </border>
    <border>
      <left/>
      <right/>
      <top/>
      <bottom style="thick">
        <color indexed="56"/>
      </bottom>
      <diagonal/>
    </border>
    <border>
      <left/>
      <right/>
      <top/>
      <bottom style="thick">
        <color indexed="48"/>
      </bottom>
      <diagonal/>
    </border>
    <border>
      <left/>
      <right/>
      <top/>
      <bottom style="thick">
        <color indexed="49"/>
      </bottom>
      <diagonal/>
    </border>
    <border>
      <left/>
      <right/>
      <top/>
      <bottom style="medium">
        <color indexed="4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64"/>
      </left>
      <right/>
      <top style="medium">
        <color indexed="64"/>
      </top>
      <bottom/>
      <diagonal/>
    </border>
    <border>
      <left/>
      <right/>
      <top style="medium">
        <color indexed="64"/>
      </top>
      <bottom/>
      <diagonal/>
    </border>
    <border>
      <left style="thin">
        <color indexed="64"/>
      </left>
      <right/>
      <top/>
      <bottom/>
      <diagonal/>
    </border>
    <border>
      <left/>
      <right style="thin">
        <color indexed="64"/>
      </right>
      <top/>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top/>
      <bottom style="hair">
        <color indexed="64"/>
      </bottom>
      <diagonal/>
    </border>
    <border>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top/>
      <bottom style="hair">
        <color indexed="64"/>
      </bottom>
      <diagonal/>
    </border>
    <border>
      <left style="thin">
        <color indexed="64"/>
      </left>
      <right/>
      <top style="double">
        <color indexed="64"/>
      </top>
      <bottom/>
      <diagonal/>
    </border>
    <border>
      <left/>
      <right/>
      <top style="double">
        <color indexed="64"/>
      </top>
      <bottom/>
      <diagonal/>
    </border>
    <border>
      <left style="thin">
        <color indexed="64"/>
      </left>
      <right/>
      <top style="hair">
        <color indexed="64"/>
      </top>
      <bottom/>
      <diagonal/>
    </border>
    <border>
      <left/>
      <right style="thin">
        <color indexed="64"/>
      </right>
      <top style="medium">
        <color indexed="64"/>
      </top>
      <bottom/>
      <diagonal/>
    </border>
    <border>
      <left style="thin">
        <color indexed="64"/>
      </left>
      <right style="thin">
        <color indexed="64"/>
      </right>
      <top style="thin">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double">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medium">
        <color theme="0" tint="-0.14996795556505021"/>
      </left>
      <right style="medium">
        <color theme="0" tint="-0.14996795556505021"/>
      </right>
      <top style="medium">
        <color theme="0" tint="-0.14996795556505021"/>
      </top>
      <bottom style="medium">
        <color theme="0" tint="-0.1499679555650502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34998626667073579"/>
      </left>
      <right style="thin">
        <color theme="0" tint="-0.34998626667073579"/>
      </right>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top/>
      <bottom style="medium">
        <color theme="0" tint="-0.14996795556505021"/>
      </bottom>
      <diagonal/>
    </border>
    <border>
      <left style="thin">
        <color theme="0" tint="-0.34998626667073579"/>
      </left>
      <right style="thin">
        <color theme="0" tint="-0.34998626667073579"/>
      </right>
      <top style="thin">
        <color theme="0" tint="-0.34998626667073579"/>
      </top>
      <bottom/>
      <diagonal/>
    </border>
  </borders>
  <cellStyleXfs count="533">
    <xf numFmtId="0" fontId="0" fillId="0" borderId="0"/>
    <xf numFmtId="0" fontId="11" fillId="2"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2" borderId="0" applyNumberFormat="0" applyBorder="0" applyAlignment="0" applyProtection="0"/>
    <xf numFmtId="0" fontId="11" fillId="8" borderId="0" applyNumberFormat="0" applyBorder="0" applyAlignment="0" applyProtection="0"/>
    <xf numFmtId="0" fontId="11" fillId="2" borderId="0" applyNumberFormat="0" applyBorder="0" applyAlignment="0" applyProtection="0"/>
    <xf numFmtId="0" fontId="11" fillId="8"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7" borderId="0" applyNumberFormat="0" applyBorder="0" applyAlignment="0" applyProtection="0"/>
    <xf numFmtId="0" fontId="11" fillId="3" borderId="0" applyNumberFormat="0" applyBorder="0" applyAlignment="0" applyProtection="0"/>
    <xf numFmtId="0" fontId="11" fillId="7"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5" borderId="0" applyNumberFormat="0" applyBorder="0" applyAlignment="0" applyProtection="0"/>
    <xf numFmtId="0" fontId="11" fillId="14" borderId="0" applyNumberFormat="0" applyBorder="0" applyAlignment="0" applyProtection="0"/>
    <xf numFmtId="0" fontId="11" fillId="5" borderId="0" applyNumberFormat="0" applyBorder="0" applyAlignment="0" applyProtection="0"/>
    <xf numFmtId="0" fontId="11" fillId="14"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5"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5" borderId="0" applyNumberFormat="0" applyBorder="0" applyAlignment="0" applyProtection="0"/>
    <xf numFmtId="0" fontId="12" fillId="17" borderId="0" applyNumberFormat="0" applyBorder="0" applyAlignment="0" applyProtection="0"/>
    <xf numFmtId="0" fontId="12" fillId="15" borderId="0" applyNumberFormat="0" applyBorder="0" applyAlignment="0" applyProtection="0"/>
    <xf numFmtId="0" fontId="12" fillId="17"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4" borderId="0" applyNumberFormat="0" applyBorder="0" applyAlignment="0" applyProtection="0"/>
    <xf numFmtId="0" fontId="12" fillId="16" borderId="0" applyNumberFormat="0" applyBorder="0" applyAlignment="0" applyProtection="0"/>
    <xf numFmtId="0" fontId="12" fillId="14"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7" borderId="0" applyNumberFormat="0" applyBorder="0" applyAlignment="0" applyProtection="0"/>
    <xf numFmtId="0" fontId="12" fillId="18" borderId="0" applyNumberFormat="0" applyBorder="0" applyAlignment="0" applyProtection="0"/>
    <xf numFmtId="0" fontId="12" fillId="7" borderId="0" applyNumberFormat="0" applyBorder="0" applyAlignment="0" applyProtection="0"/>
    <xf numFmtId="0" fontId="12" fillId="18"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5" fillId="14" borderId="1" applyNumberFormat="0" applyAlignment="0" applyProtection="0"/>
    <xf numFmtId="0" fontId="15" fillId="14" borderId="1" applyNumberFormat="0" applyAlignment="0" applyProtection="0"/>
    <xf numFmtId="0" fontId="15" fillId="8" borderId="1" applyNumberFormat="0" applyAlignment="0" applyProtection="0"/>
    <xf numFmtId="0" fontId="15" fillId="14" borderId="1" applyNumberFormat="0" applyAlignment="0" applyProtection="0"/>
    <xf numFmtId="0" fontId="16" fillId="23" borderId="2" applyNumberFormat="0" applyAlignment="0" applyProtection="0"/>
    <xf numFmtId="0" fontId="17" fillId="0" borderId="3" applyNumberFormat="0" applyFill="0" applyAlignment="0" applyProtection="0"/>
    <xf numFmtId="0" fontId="16" fillId="23" borderId="2" applyNumberFormat="0" applyAlignment="0" applyProtection="0"/>
    <xf numFmtId="165" fontId="9" fillId="0" borderId="0" applyFont="0" applyFill="0" applyBorder="0" applyAlignment="0" applyProtection="0"/>
    <xf numFmtId="166" fontId="9" fillId="0" borderId="0" applyFont="0" applyFill="0" applyBorder="0" applyAlignment="0" applyProtection="0"/>
    <xf numFmtId="0" fontId="12" fillId="19" borderId="0" applyNumberFormat="0" applyBorder="0" applyAlignment="0" applyProtection="0"/>
    <xf numFmtId="0" fontId="12" fillId="17" borderId="0" applyNumberFormat="0" applyBorder="0" applyAlignment="0" applyProtection="0"/>
    <xf numFmtId="0" fontId="12" fillId="19" borderId="0" applyNumberFormat="0" applyBorder="0" applyAlignment="0" applyProtection="0"/>
    <xf numFmtId="0" fontId="12" fillId="1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16"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2"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2" borderId="0" applyNumberFormat="0" applyBorder="0" applyAlignment="0" applyProtection="0"/>
    <xf numFmtId="0" fontId="18" fillId="7" borderId="1" applyNumberFormat="0" applyAlignment="0" applyProtection="0"/>
    <xf numFmtId="0" fontId="18" fillId="7" borderId="1" applyNumberFormat="0" applyAlignment="0" applyProtection="0"/>
    <xf numFmtId="167" fontId="9" fillId="0" borderId="0"/>
    <xf numFmtId="167" fontId="11" fillId="0" borderId="0"/>
    <xf numFmtId="0" fontId="9" fillId="0" borderId="0"/>
    <xf numFmtId="0" fontId="11" fillId="0" borderId="0"/>
    <xf numFmtId="0" fontId="11" fillId="0" borderId="0"/>
    <xf numFmtId="9" fontId="9" fillId="0" borderId="0"/>
    <xf numFmtId="168" fontId="9" fillId="0" borderId="0" applyFill="0" applyBorder="0" applyAlignment="0" applyProtection="0"/>
    <xf numFmtId="0" fontId="19" fillId="0" borderId="0" applyNumberFormat="0" applyFill="0" applyBorder="0" applyAlignment="0" applyProtection="0"/>
    <xf numFmtId="0" fontId="14" fillId="4" borderId="0" applyNumberFormat="0" applyBorder="0" applyAlignment="0" applyProtection="0"/>
    <xf numFmtId="0" fontId="20" fillId="0" borderId="4" applyNumberFormat="0" applyFill="0" applyAlignment="0" applyProtection="0"/>
    <xf numFmtId="0" fontId="21" fillId="0" borderId="5" applyNumberFormat="0" applyFill="0" applyAlignment="0" applyProtection="0"/>
    <xf numFmtId="0" fontId="22" fillId="0" borderId="6" applyNumberFormat="0" applyFill="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59" fillId="0" borderId="0" applyNumberFormat="0" applyFill="0" applyBorder="0" applyAlignment="0" applyProtection="0">
      <alignment vertical="top"/>
      <protection locked="0"/>
    </xf>
    <xf numFmtId="0" fontId="13" fillId="3" borderId="0" applyNumberFormat="0" applyBorder="0" applyAlignment="0" applyProtection="0"/>
    <xf numFmtId="0" fontId="24" fillId="0" borderId="0"/>
    <xf numFmtId="0" fontId="18" fillId="7" borderId="1" applyNumberFormat="0" applyAlignment="0" applyProtection="0"/>
    <xf numFmtId="0" fontId="17" fillId="0" borderId="3" applyNumberFormat="0" applyFill="0" applyAlignment="0" applyProtection="0"/>
    <xf numFmtId="44" fontId="58" fillId="0" borderId="0" applyFont="0" applyFill="0" applyBorder="0" applyAlignment="0" applyProtection="0"/>
    <xf numFmtId="169" fontId="9" fillId="0" borderId="0" applyFont="0" applyFill="0" applyBorder="0" applyAlignment="0" applyProtection="0"/>
    <xf numFmtId="44" fontId="9" fillId="0" borderId="0" applyFill="0" applyBorder="0" applyAlignment="0" applyProtection="0"/>
    <xf numFmtId="169" fontId="58" fillId="0" borderId="0" applyFont="0" applyFill="0" applyBorder="0" applyAlignment="0" applyProtection="0"/>
    <xf numFmtId="169" fontId="58" fillId="0" borderId="0" applyFont="0" applyFill="0" applyBorder="0" applyAlignment="0" applyProtection="0"/>
    <xf numFmtId="169" fontId="1" fillId="0" borderId="0" applyFont="0" applyFill="0" applyBorder="0" applyAlignment="0" applyProtection="0"/>
    <xf numFmtId="44" fontId="58" fillId="0" borderId="0" applyFont="0" applyFill="0" applyBorder="0" applyAlignment="0" applyProtection="0"/>
    <xf numFmtId="0" fontId="25" fillId="25" borderId="0" applyNumberFormat="0" applyBorder="0" applyAlignment="0" applyProtection="0"/>
    <xf numFmtId="0" fontId="25" fillId="9" borderId="0" applyNumberFormat="0" applyBorder="0" applyAlignment="0" applyProtection="0"/>
    <xf numFmtId="0" fontId="25" fillId="25" borderId="0" applyNumberFormat="0" applyBorder="0" applyAlignment="0" applyProtection="0"/>
    <xf numFmtId="0" fontId="25" fillId="9"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1" fillId="0" borderId="0"/>
    <xf numFmtId="0" fontId="9" fillId="0" borderId="0"/>
    <xf numFmtId="0" fontId="1" fillId="0" borderId="0"/>
    <xf numFmtId="0" fontId="1" fillId="0" borderId="0"/>
    <xf numFmtId="0" fontId="1" fillId="0" borderId="0"/>
    <xf numFmtId="0" fontId="58" fillId="0" borderId="0"/>
    <xf numFmtId="0" fontId="58" fillId="0" borderId="0"/>
    <xf numFmtId="0" fontId="26" fillId="0" borderId="0"/>
    <xf numFmtId="0" fontId="58" fillId="0" borderId="0"/>
    <xf numFmtId="0" fontId="60" fillId="0" borderId="0"/>
    <xf numFmtId="0" fontId="11" fillId="0" borderId="0"/>
    <xf numFmtId="0" fontId="58" fillId="0" borderId="0"/>
    <xf numFmtId="0" fontId="58" fillId="0" borderId="0"/>
    <xf numFmtId="0" fontId="58" fillId="0" borderId="0"/>
    <xf numFmtId="0" fontId="58" fillId="0" borderId="0"/>
    <xf numFmtId="0" fontId="11" fillId="0" borderId="0"/>
    <xf numFmtId="170" fontId="24" fillId="0" borderId="0"/>
    <xf numFmtId="0" fontId="9" fillId="0" borderId="0"/>
    <xf numFmtId="0" fontId="9" fillId="0" borderId="0"/>
    <xf numFmtId="0" fontId="61" fillId="0" borderId="0"/>
    <xf numFmtId="0" fontId="9" fillId="0" borderId="0"/>
    <xf numFmtId="0" fontId="1" fillId="0" borderId="0"/>
    <xf numFmtId="0" fontId="1" fillId="0" borderId="0"/>
    <xf numFmtId="0" fontId="1" fillId="0" borderId="0"/>
    <xf numFmtId="0" fontId="1" fillId="0" borderId="0"/>
    <xf numFmtId="0" fontId="58" fillId="0" borderId="0"/>
    <xf numFmtId="0" fontId="58"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58" fillId="0" borderId="0"/>
    <xf numFmtId="0" fontId="58" fillId="0" borderId="0"/>
    <xf numFmtId="0" fontId="1" fillId="0" borderId="0"/>
    <xf numFmtId="0" fontId="11" fillId="0" borderId="0"/>
    <xf numFmtId="0" fontId="11" fillId="0" borderId="0"/>
    <xf numFmtId="0" fontId="58" fillId="0" borderId="0"/>
    <xf numFmtId="0" fontId="1" fillId="0" borderId="0"/>
    <xf numFmtId="0" fontId="58" fillId="0" borderId="0"/>
    <xf numFmtId="0" fontId="9" fillId="0" borderId="0"/>
    <xf numFmtId="0" fontId="58" fillId="0" borderId="0"/>
    <xf numFmtId="0" fontId="58" fillId="0" borderId="0"/>
    <xf numFmtId="0" fontId="1" fillId="0" borderId="0"/>
    <xf numFmtId="0" fontId="1" fillId="0" borderId="0"/>
    <xf numFmtId="0" fontId="1" fillId="0" borderId="0"/>
    <xf numFmtId="0" fontId="9" fillId="0" borderId="0"/>
    <xf numFmtId="0" fontId="1" fillId="0" borderId="0"/>
    <xf numFmtId="0" fontId="62" fillId="0" borderId="0"/>
    <xf numFmtId="0" fontId="1" fillId="0" borderId="0"/>
    <xf numFmtId="0" fontId="62" fillId="0" borderId="0"/>
    <xf numFmtId="0" fontId="62" fillId="0" borderId="0"/>
    <xf numFmtId="0" fontId="58" fillId="0" borderId="0"/>
    <xf numFmtId="0" fontId="62" fillId="0" borderId="0"/>
    <xf numFmtId="0" fontId="62" fillId="0" borderId="0"/>
    <xf numFmtId="0" fontId="58" fillId="0" borderId="0"/>
    <xf numFmtId="0" fontId="9" fillId="0" borderId="0"/>
    <xf numFmtId="0" fontId="11" fillId="0" borderId="0"/>
    <xf numFmtId="0" fontId="9" fillId="0" borderId="0"/>
    <xf numFmtId="0" fontId="27" fillId="0" borderId="0"/>
    <xf numFmtId="0" fontId="11" fillId="0" borderId="0"/>
    <xf numFmtId="0" fontId="1" fillId="0" borderId="0"/>
    <xf numFmtId="0" fontId="11" fillId="0" borderId="0"/>
    <xf numFmtId="0" fontId="1" fillId="0" borderId="0"/>
    <xf numFmtId="0" fontId="11" fillId="0" borderId="0"/>
    <xf numFmtId="0" fontId="11" fillId="0" borderId="0"/>
    <xf numFmtId="0" fontId="9" fillId="0" borderId="0"/>
    <xf numFmtId="0" fontId="1" fillId="0" borderId="0"/>
    <xf numFmtId="0" fontId="11" fillId="0" borderId="0"/>
    <xf numFmtId="0" fontId="27" fillId="0" borderId="0"/>
    <xf numFmtId="0" fontId="11" fillId="0" borderId="0"/>
    <xf numFmtId="0" fontId="58" fillId="0" borderId="0"/>
    <xf numFmtId="0" fontId="62" fillId="0" borderId="0"/>
    <xf numFmtId="0" fontId="62" fillId="0" borderId="0"/>
    <xf numFmtId="0" fontId="62" fillId="0" borderId="0"/>
    <xf numFmtId="0" fontId="1" fillId="0" borderId="0"/>
    <xf numFmtId="0" fontId="62" fillId="0" borderId="0"/>
    <xf numFmtId="170" fontId="24" fillId="0" borderId="0"/>
    <xf numFmtId="0" fontId="62" fillId="0" borderId="0"/>
    <xf numFmtId="0" fontId="58" fillId="0" borderId="0"/>
    <xf numFmtId="0" fontId="58" fillId="0" borderId="0"/>
    <xf numFmtId="0" fontId="58" fillId="0" borderId="0"/>
    <xf numFmtId="0" fontId="58" fillId="0" borderId="0"/>
    <xf numFmtId="0" fontId="9" fillId="0" borderId="0"/>
    <xf numFmtId="0" fontId="58" fillId="0" borderId="0"/>
    <xf numFmtId="0" fontId="9" fillId="0" borderId="0"/>
    <xf numFmtId="0" fontId="58" fillId="0" borderId="0"/>
    <xf numFmtId="0" fontId="1"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1" fillId="0" borderId="0"/>
    <xf numFmtId="0" fontId="58" fillId="0" borderId="0"/>
    <xf numFmtId="0" fontId="9" fillId="0" borderId="0"/>
    <xf numFmtId="0" fontId="11" fillId="0" borderId="0"/>
    <xf numFmtId="0" fontId="11" fillId="0" borderId="0"/>
    <xf numFmtId="0" fontId="11" fillId="0" borderId="0"/>
    <xf numFmtId="0" fontId="11" fillId="0" borderId="0"/>
    <xf numFmtId="0" fontId="11" fillId="0" borderId="0"/>
    <xf numFmtId="0" fontId="58" fillId="0" borderId="0"/>
    <xf numFmtId="0" fontId="58" fillId="0" borderId="0"/>
    <xf numFmtId="0" fontId="58" fillId="0" borderId="0"/>
    <xf numFmtId="0" fontId="58" fillId="0" borderId="0"/>
    <xf numFmtId="0" fontId="58" fillId="0" borderId="0"/>
    <xf numFmtId="0" fontId="1" fillId="0" borderId="0"/>
    <xf numFmtId="0" fontId="58" fillId="0" borderId="0"/>
    <xf numFmtId="0" fontId="58" fillId="0" borderId="0"/>
    <xf numFmtId="0" fontId="58" fillId="0" borderId="0"/>
    <xf numFmtId="0" fontId="58" fillId="0" borderId="0"/>
    <xf numFmtId="0" fontId="1" fillId="0" borderId="0"/>
    <xf numFmtId="0" fontId="58" fillId="0" borderId="0"/>
    <xf numFmtId="0" fontId="1" fillId="0" borderId="0"/>
    <xf numFmtId="0" fontId="58" fillId="0" borderId="0"/>
    <xf numFmtId="0" fontId="1" fillId="0" borderId="0"/>
    <xf numFmtId="0" fontId="58" fillId="0" borderId="0"/>
    <xf numFmtId="0" fontId="58" fillId="0" borderId="0"/>
    <xf numFmtId="0" fontId="9" fillId="0" borderId="0"/>
    <xf numFmtId="0" fontId="1" fillId="0" borderId="0"/>
    <xf numFmtId="0" fontId="58" fillId="0" borderId="0"/>
    <xf numFmtId="0" fontId="58" fillId="0" borderId="0"/>
    <xf numFmtId="0" fontId="58" fillId="0" borderId="0"/>
    <xf numFmtId="0" fontId="58" fillId="0" borderId="0"/>
    <xf numFmtId="0" fontId="9" fillId="0" borderId="0"/>
    <xf numFmtId="0" fontId="11" fillId="8" borderId="7" applyNumberFormat="0" applyAlignment="0" applyProtection="0"/>
    <xf numFmtId="0" fontId="9" fillId="9" borderId="7" applyNumberFormat="0" applyAlignment="0" applyProtection="0"/>
    <xf numFmtId="0" fontId="9" fillId="8" borderId="7" applyNumberFormat="0" applyAlignment="0" applyProtection="0"/>
    <xf numFmtId="0" fontId="9" fillId="9" borderId="7" applyNumberFormat="0" applyAlignment="0" applyProtection="0"/>
    <xf numFmtId="0" fontId="9" fillId="8" borderId="7" applyNumberFormat="0" applyAlignment="0" applyProtection="0"/>
    <xf numFmtId="0" fontId="9" fillId="8" borderId="7" applyNumberFormat="0" applyAlignment="0" applyProtection="0"/>
    <xf numFmtId="0" fontId="1" fillId="8" borderId="7" applyNumberFormat="0" applyAlignment="0" applyProtection="0"/>
    <xf numFmtId="171" fontId="3" fillId="26" borderId="8" applyFont="0" applyFill="0" applyBorder="0" applyProtection="0"/>
    <xf numFmtId="0" fontId="28" fillId="14" borderId="9" applyNumberFormat="0" applyAlignment="0" applyProtection="0"/>
    <xf numFmtId="9" fontId="58" fillId="0" borderId="0" applyFont="0" applyFill="0" applyBorder="0" applyAlignment="0" applyProtection="0"/>
    <xf numFmtId="9" fontId="11" fillId="0" borderId="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ill="0" applyBorder="0" applyAlignment="0" applyProtection="0"/>
    <xf numFmtId="9" fontId="9" fillId="0" borderId="0" applyFont="0" applyFill="0" applyBorder="0" applyAlignment="0" applyProtection="0"/>
    <xf numFmtId="9" fontId="58" fillId="0" borderId="0" applyFont="0" applyFill="0" applyBorder="0" applyAlignment="0" applyProtection="0"/>
    <xf numFmtId="9" fontId="27" fillId="0" borderId="0" applyFont="0" applyFill="0" applyBorder="0" applyAlignment="0" applyProtection="0"/>
    <xf numFmtId="9" fontId="58" fillId="0" borderId="0" applyFont="0" applyFill="0" applyBorder="0" applyAlignment="0" applyProtection="0"/>
    <xf numFmtId="9" fontId="1" fillId="0" borderId="0" applyFill="0" applyBorder="0" applyAlignment="0" applyProtection="0"/>
    <xf numFmtId="9" fontId="27"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10" fillId="0" borderId="0" applyFill="0" applyBorder="0" applyAlignment="0" applyProtection="0"/>
    <xf numFmtId="9" fontId="9" fillId="0" borderId="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ill="0" applyBorder="0" applyAlignment="0" applyProtection="0"/>
    <xf numFmtId="9" fontId="11" fillId="0" borderId="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172" fontId="3" fillId="26" borderId="10" applyFont="0" applyFill="0" applyBorder="0" applyProtection="0">
      <alignment horizontal="left"/>
      <protection hidden="1"/>
    </xf>
    <xf numFmtId="0" fontId="28" fillId="14" borderId="9" applyNumberFormat="0" applyAlignment="0" applyProtection="0"/>
    <xf numFmtId="0" fontId="28" fillId="8" borderId="9" applyNumberFormat="0" applyAlignment="0" applyProtection="0"/>
    <xf numFmtId="0" fontId="28" fillId="14" borderId="9" applyNumberFormat="0" applyAlignment="0" applyProtection="0"/>
    <xf numFmtId="0" fontId="28" fillId="8" borderId="9" applyNumberFormat="0" applyAlignment="0" applyProtection="0"/>
    <xf numFmtId="0" fontId="28" fillId="14" borderId="9" applyNumberFormat="0" applyAlignment="0" applyProtection="0"/>
    <xf numFmtId="0" fontId="28" fillId="14" borderId="9" applyNumberFormat="0" applyAlignment="0" applyProtection="0"/>
    <xf numFmtId="167" fontId="11" fillId="0" borderId="0" applyFill="0" applyBorder="0" applyAlignment="0" applyProtection="0"/>
    <xf numFmtId="173" fontId="58" fillId="0" borderId="0" applyFont="0" applyFill="0" applyBorder="0" applyAlignment="0" applyProtection="0"/>
    <xf numFmtId="173" fontId="58" fillId="0" borderId="0" applyFont="0" applyFill="0" applyBorder="0" applyAlignment="0" applyProtection="0"/>
    <xf numFmtId="167" fontId="11" fillId="0" borderId="0" applyFill="0" applyBorder="0" applyAlignment="0" applyProtection="0"/>
    <xf numFmtId="173" fontId="58" fillId="0" borderId="0" applyFont="0" applyFill="0" applyBorder="0" applyAlignment="0" applyProtection="0"/>
    <xf numFmtId="173" fontId="58" fillId="0" borderId="0" applyFont="0" applyFill="0" applyBorder="0" applyAlignment="0" applyProtection="0"/>
    <xf numFmtId="174" fontId="9" fillId="0" borderId="0" applyFill="0" applyBorder="0" applyAlignment="0" applyProtection="0"/>
    <xf numFmtId="174" fontId="9" fillId="0" borderId="0" applyFill="0" applyBorder="0" applyAlignment="0" applyProtection="0"/>
    <xf numFmtId="173" fontId="58" fillId="0" borderId="0" applyFont="0" applyFill="0" applyBorder="0" applyAlignment="0" applyProtection="0"/>
    <xf numFmtId="173" fontId="58" fillId="0" borderId="0" applyFont="0" applyFill="0" applyBorder="0" applyAlignment="0" applyProtection="0"/>
    <xf numFmtId="175" fontId="27" fillId="0" borderId="0" applyFill="0" applyBorder="0" applyAlignment="0" applyProtection="0"/>
    <xf numFmtId="175" fontId="27" fillId="0" borderId="0" applyFill="0" applyBorder="0" applyAlignment="0" applyProtection="0"/>
    <xf numFmtId="175" fontId="27" fillId="0" borderId="0" applyFill="0" applyBorder="0" applyAlignment="0" applyProtection="0"/>
    <xf numFmtId="175" fontId="27" fillId="0" borderId="0" applyFill="0" applyBorder="0" applyAlignment="0" applyProtection="0"/>
    <xf numFmtId="176" fontId="9" fillId="0" borderId="0" applyFill="0" applyBorder="0" applyAlignment="0" applyProtection="0"/>
    <xf numFmtId="177" fontId="9" fillId="0" borderId="0" applyFont="0" applyFill="0" applyBorder="0" applyAlignment="0" applyProtection="0"/>
    <xf numFmtId="167" fontId="1" fillId="0" borderId="0" applyFill="0" applyBorder="0" applyAlignment="0" applyProtection="0"/>
    <xf numFmtId="167" fontId="11" fillId="0" borderId="0" applyFill="0" applyBorder="0" applyAlignment="0" applyProtection="0"/>
    <xf numFmtId="166" fontId="10" fillId="0" borderId="0" applyFill="0" applyBorder="0" applyAlignment="0" applyProtection="0"/>
    <xf numFmtId="166" fontId="10" fillId="0" borderId="0" applyFill="0" applyBorder="0" applyAlignment="0" applyProtection="0"/>
    <xf numFmtId="166" fontId="10" fillId="0" borderId="0" applyFill="0" applyBorder="0" applyAlignment="0" applyProtection="0"/>
    <xf numFmtId="166" fontId="10" fillId="0" borderId="0" applyFill="0" applyBorder="0" applyAlignment="0" applyProtection="0"/>
    <xf numFmtId="177" fontId="58" fillId="0" borderId="0" applyFont="0" applyFill="0" applyBorder="0" applyAlignment="0" applyProtection="0"/>
    <xf numFmtId="177" fontId="58" fillId="0" borderId="0" applyFont="0" applyFill="0" applyBorder="0" applyAlignment="0" applyProtection="0"/>
    <xf numFmtId="173" fontId="58" fillId="0" borderId="0" applyFont="0" applyFill="0" applyBorder="0" applyAlignment="0" applyProtection="0"/>
    <xf numFmtId="173" fontId="58" fillId="0" borderId="0" applyFont="0" applyFill="0" applyBorder="0" applyAlignment="0" applyProtection="0"/>
    <xf numFmtId="177" fontId="58" fillId="0" borderId="0" applyFont="0" applyFill="0" applyBorder="0" applyAlignment="0" applyProtection="0"/>
    <xf numFmtId="177" fontId="58" fillId="0" borderId="0" applyFont="0" applyFill="0" applyBorder="0" applyAlignment="0" applyProtection="0"/>
    <xf numFmtId="177" fontId="9"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177" fontId="9" fillId="0" borderId="0" applyFill="0" applyBorder="0" applyAlignment="0" applyProtection="0"/>
    <xf numFmtId="0" fontId="1" fillId="0" borderId="0" applyNumberFormat="0" applyFont="0" applyFill="0" applyBorder="0" applyProtection="0">
      <alignment vertical="center"/>
    </xf>
    <xf numFmtId="177" fontId="9" fillId="0" borderId="0" applyFont="0" applyFill="0" applyBorder="0" applyAlignment="0" applyProtection="0"/>
    <xf numFmtId="177" fontId="9" fillId="0" borderId="0" applyFont="0" applyFill="0" applyBorder="0" applyAlignment="0" applyProtection="0"/>
    <xf numFmtId="168" fontId="11" fillId="0" borderId="0" applyFill="0" applyBorder="0" applyAlignment="0" applyProtection="0"/>
    <xf numFmtId="168" fontId="11" fillId="0" borderId="0" applyFill="0" applyBorder="0" applyAlignment="0" applyProtection="0"/>
    <xf numFmtId="177" fontId="9" fillId="0" borderId="0" applyFont="0" applyFill="0" applyBorder="0" applyAlignment="0" applyProtection="0"/>
    <xf numFmtId="177" fontId="58" fillId="0" borderId="0" applyFont="0" applyFill="0" applyBorder="0" applyAlignment="0" applyProtection="0"/>
    <xf numFmtId="177" fontId="58" fillId="0" borderId="0" applyFont="0" applyFill="0" applyBorder="0" applyAlignment="0" applyProtection="0"/>
    <xf numFmtId="177" fontId="58" fillId="0" borderId="0" applyFont="0" applyFill="0" applyBorder="0" applyAlignment="0" applyProtection="0"/>
    <xf numFmtId="177" fontId="58" fillId="0" borderId="0" applyFont="0" applyFill="0" applyBorder="0" applyAlignment="0" applyProtection="0"/>
    <xf numFmtId="177" fontId="9" fillId="0" borderId="0" applyFont="0" applyFill="0" applyBorder="0" applyAlignment="0" applyProtection="0"/>
    <xf numFmtId="0" fontId="27" fillId="0" borderId="0" applyFill="0" applyBorder="0" applyAlignment="0" applyProtection="0"/>
    <xf numFmtId="0" fontId="27" fillId="0" borderId="0" applyFill="0" applyBorder="0" applyAlignment="0" applyProtection="0"/>
    <xf numFmtId="178" fontId="9" fillId="0" borderId="0" applyFill="0" applyBorder="0" applyAlignment="0" applyProtection="0"/>
    <xf numFmtId="178" fontId="9" fillId="0" borderId="0" applyFill="0" applyBorder="0" applyAlignment="0" applyProtection="0"/>
    <xf numFmtId="178" fontId="9" fillId="0" borderId="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29" fillId="0" borderId="0" applyNumberFormat="0" applyFill="0" applyBorder="0" applyAlignment="0" applyProtection="0"/>
    <xf numFmtId="0" fontId="11" fillId="0" borderId="0"/>
    <xf numFmtId="0" fontId="11" fillId="0" borderId="0"/>
    <xf numFmtId="0" fontId="19" fillId="0" borderId="0" applyNumberFormat="0" applyFill="0" applyBorder="0" applyAlignment="0" applyProtection="0"/>
    <xf numFmtId="0" fontId="19" fillId="0" borderId="0" applyNumberFormat="0" applyFill="0" applyBorder="0" applyAlignment="0" applyProtection="0"/>
    <xf numFmtId="0" fontId="30" fillId="0" borderId="0" applyNumberFormat="0" applyFill="0" applyBorder="0" applyAlignment="0" applyProtection="0"/>
    <xf numFmtId="0" fontId="20" fillId="0" borderId="4" applyNumberFormat="0" applyFill="0" applyAlignment="0" applyProtection="0"/>
    <xf numFmtId="0" fontId="31" fillId="0" borderId="11" applyNumberFormat="0" applyFill="0" applyAlignment="0" applyProtection="0"/>
    <xf numFmtId="0" fontId="32" fillId="0" borderId="12"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2" fillId="0" borderId="13" applyNumberFormat="0" applyFill="0" applyAlignment="0" applyProtection="0"/>
    <xf numFmtId="0" fontId="32" fillId="0" borderId="12" applyNumberFormat="0" applyFill="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20" fillId="0" borderId="4" applyNumberFormat="0" applyFill="0" applyAlignment="0" applyProtection="0"/>
    <xf numFmtId="0" fontId="32" fillId="0" borderId="14" applyNumberFormat="0" applyFill="0" applyAlignment="0" applyProtection="0"/>
    <xf numFmtId="0" fontId="33" fillId="0" borderId="0" applyNumberFormat="0" applyFill="0" applyBorder="0" applyAlignment="0" applyProtection="0"/>
    <xf numFmtId="0" fontId="20" fillId="0" borderId="4" applyNumberFormat="0" applyFill="0" applyAlignment="0" applyProtection="0"/>
    <xf numFmtId="0" fontId="32" fillId="0" borderId="14" applyNumberFormat="0" applyFill="0" applyAlignment="0" applyProtection="0"/>
    <xf numFmtId="0" fontId="30" fillId="0" borderId="0" applyNumberFormat="0" applyFill="0" applyBorder="0" applyAlignment="0" applyProtection="0"/>
    <xf numFmtId="0" fontId="32" fillId="0" borderId="14" applyNumberFormat="0" applyFill="0" applyAlignment="0" applyProtection="0"/>
    <xf numFmtId="0" fontId="20" fillId="0" borderId="4" applyNumberFormat="0" applyFill="0" applyAlignment="0" applyProtection="0"/>
    <xf numFmtId="0" fontId="30" fillId="0" borderId="0" applyNumberFormat="0" applyFill="0" applyBorder="0" applyAlignment="0" applyProtection="0"/>
    <xf numFmtId="0" fontId="34" fillId="0" borderId="0" applyNumberFormat="0" applyFill="0" applyBorder="0" applyAlignment="0" applyProtection="0"/>
    <xf numFmtId="0" fontId="30" fillId="0" borderId="0" applyNumberFormat="0" applyFill="0" applyBorder="0" applyAlignment="0" applyProtection="0"/>
    <xf numFmtId="0" fontId="21" fillId="0" borderId="5" applyNumberFormat="0" applyFill="0" applyAlignment="0" applyProtection="0"/>
    <xf numFmtId="0" fontId="36" fillId="0" borderId="5" applyNumberFormat="0" applyFill="0" applyAlignment="0" applyProtection="0"/>
    <xf numFmtId="0" fontId="21" fillId="0" borderId="5" applyNumberFormat="0" applyFill="0" applyAlignment="0" applyProtection="0"/>
    <xf numFmtId="0" fontId="22" fillId="0" borderId="6" applyNumberFormat="0" applyFill="0" applyAlignment="0" applyProtection="0"/>
    <xf numFmtId="0" fontId="37" fillId="0" borderId="15" applyNumberFormat="0" applyFill="0" applyAlignment="0" applyProtection="0"/>
    <xf numFmtId="0" fontId="22" fillId="0" borderId="6" applyNumberFormat="0" applyFill="0" applyAlignment="0" applyProtection="0"/>
    <xf numFmtId="0" fontId="22" fillId="0" borderId="0" applyNumberFormat="0" applyFill="0" applyBorder="0" applyAlignment="0" applyProtection="0"/>
    <xf numFmtId="0" fontId="37" fillId="0" borderId="0" applyNumberFormat="0" applyFill="0" applyBorder="0" applyAlignment="0" applyProtection="0"/>
    <xf numFmtId="0" fontId="22" fillId="0" borderId="0" applyNumberFormat="0" applyFill="0" applyBorder="0" applyAlignment="0" applyProtection="0"/>
    <xf numFmtId="0" fontId="38" fillId="0" borderId="16" applyNumberFormat="0" applyFill="0" applyAlignment="0" applyProtection="0"/>
    <xf numFmtId="0" fontId="38" fillId="0" borderId="17" applyNumberFormat="0" applyFill="0" applyAlignment="0" applyProtection="0"/>
    <xf numFmtId="0" fontId="38" fillId="0" borderId="16" applyNumberFormat="0" applyFill="0" applyAlignment="0" applyProtection="0"/>
    <xf numFmtId="0" fontId="1" fillId="0" borderId="0" applyNumberFormat="0" applyFont="0" applyFill="0" applyBorder="0" applyProtection="0">
      <alignment vertical="center"/>
    </xf>
    <xf numFmtId="43" fontId="11"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43" fontId="9" fillId="0" borderId="0" applyFont="0" applyFill="0" applyBorder="0" applyAlignment="0" applyProtection="0"/>
    <xf numFmtId="0" fontId="1" fillId="0" borderId="0" applyNumberFormat="0" applyFont="0" applyFill="0" applyBorder="0" applyProtection="0">
      <alignment vertical="center"/>
    </xf>
    <xf numFmtId="177" fontId="9" fillId="0" borderId="0" applyFill="0" applyBorder="0" applyAlignment="0" applyProtection="0"/>
    <xf numFmtId="177" fontId="9" fillId="0" borderId="0" applyFill="0" applyBorder="0" applyAlignment="0" applyProtection="0"/>
    <xf numFmtId="177" fontId="9" fillId="0" borderId="0" applyFont="0" applyFill="0" applyBorder="0" applyAlignment="0" applyProtection="0"/>
    <xf numFmtId="167" fontId="11" fillId="0" borderId="0" applyFill="0" applyBorder="0" applyAlignment="0" applyProtection="0"/>
    <xf numFmtId="167" fontId="11" fillId="0" borderId="0" applyFill="0" applyBorder="0" applyAlignment="0" applyProtection="0"/>
    <xf numFmtId="177" fontId="27" fillId="0" borderId="0" applyFont="0" applyFill="0" applyBorder="0" applyAlignment="0" applyProtection="0"/>
    <xf numFmtId="167" fontId="9" fillId="0" borderId="0" applyFill="0" applyBorder="0" applyAlignment="0" applyProtection="0"/>
    <xf numFmtId="177" fontId="27" fillId="0" borderId="0" applyFont="0" applyFill="0" applyBorder="0" applyAlignment="0" applyProtection="0"/>
    <xf numFmtId="177" fontId="9" fillId="0" borderId="0" applyFont="0" applyFill="0" applyBorder="0" applyAlignment="0" applyProtection="0"/>
    <xf numFmtId="177" fontId="58" fillId="0" borderId="0" applyFont="0" applyFill="0" applyBorder="0" applyAlignment="0" applyProtection="0"/>
    <xf numFmtId="177" fontId="58" fillId="0" borderId="0" applyFont="0" applyFill="0" applyBorder="0" applyAlignment="0" applyProtection="0"/>
    <xf numFmtId="167" fontId="11" fillId="0" borderId="0" applyFill="0" applyBorder="0" applyAlignment="0" applyProtection="0"/>
    <xf numFmtId="177" fontId="9" fillId="0" borderId="0" applyFont="0" applyFill="0" applyBorder="0" applyAlignment="0" applyProtection="0"/>
    <xf numFmtId="177" fontId="11" fillId="0" borderId="0" applyFont="0" applyFill="0" applyBorder="0" applyAlignment="0" applyProtection="0"/>
    <xf numFmtId="177" fontId="9" fillId="0" borderId="0" applyFont="0" applyFill="0" applyBorder="0" applyAlignment="0" applyProtection="0"/>
    <xf numFmtId="167" fontId="11" fillId="0" borderId="0" applyFill="0" applyBorder="0" applyAlignment="0" applyProtection="0"/>
    <xf numFmtId="177" fontId="11" fillId="0" borderId="0" applyFont="0" applyFill="0" applyBorder="0" applyAlignment="0" applyProtection="0"/>
    <xf numFmtId="177" fontId="9" fillId="0" borderId="0" applyFill="0" applyBorder="0" applyAlignment="0" applyProtection="0"/>
    <xf numFmtId="177" fontId="58" fillId="0" borderId="0" applyFont="0" applyFill="0" applyBorder="0" applyAlignment="0" applyProtection="0"/>
    <xf numFmtId="177" fontId="58" fillId="0" borderId="0" applyFont="0" applyFill="0" applyBorder="0" applyAlignment="0" applyProtection="0"/>
    <xf numFmtId="167" fontId="11" fillId="0" borderId="0" applyFill="0" applyBorder="0" applyAlignment="0" applyProtection="0"/>
    <xf numFmtId="177" fontId="9" fillId="0" borderId="0" applyFont="0" applyFill="0" applyBorder="0" applyAlignment="0" applyProtection="0"/>
    <xf numFmtId="0" fontId="1" fillId="0" borderId="0" applyNumberFormat="0" applyFont="0" applyFill="0" applyBorder="0" applyProtection="0">
      <alignment vertical="center"/>
    </xf>
    <xf numFmtId="0" fontId="1" fillId="0" borderId="0" applyNumberFormat="0" applyFont="0" applyFill="0" applyBorder="0" applyProtection="0">
      <alignment vertical="center"/>
    </xf>
    <xf numFmtId="177" fontId="9" fillId="0" borderId="0" applyFont="0" applyFill="0" applyBorder="0" applyAlignment="0" applyProtection="0"/>
    <xf numFmtId="0" fontId="1" fillId="0" borderId="0" applyNumberFormat="0" applyFont="0" applyFill="0" applyBorder="0" applyProtection="0">
      <alignment vertical="center"/>
    </xf>
    <xf numFmtId="0" fontId="1" fillId="0" borderId="0" applyNumberFormat="0" applyFont="0" applyFill="0" applyBorder="0" applyProtection="0">
      <alignment vertical="center"/>
    </xf>
    <xf numFmtId="177"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177" fontId="58" fillId="0" borderId="0" applyFont="0" applyFill="0" applyBorder="0" applyAlignment="0" applyProtection="0"/>
    <xf numFmtId="167" fontId="11" fillId="0" borderId="0" applyFill="0" applyBorder="0" applyAlignment="0" applyProtection="0"/>
    <xf numFmtId="177" fontId="9" fillId="0" borderId="0" applyFill="0" applyBorder="0" applyAlignment="0" applyProtection="0"/>
    <xf numFmtId="177" fontId="9" fillId="0" borderId="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29" fillId="0" borderId="0" applyNumberFormat="0" applyFill="0" applyBorder="0" applyAlignment="0" applyProtection="0"/>
  </cellStyleXfs>
  <cellXfs count="1852">
    <xf numFmtId="0" fontId="0" fillId="0" borderId="0" xfId="0"/>
    <xf numFmtId="0" fontId="3" fillId="0" borderId="0" xfId="240" applyFont="1" applyBorder="1" applyAlignment="1" applyProtection="1">
      <alignment vertical="center" wrapText="1"/>
      <protection locked="0"/>
    </xf>
    <xf numFmtId="164" fontId="3" fillId="27" borderId="19" xfId="490" applyNumberFormat="1" applyFont="1" applyFill="1" applyBorder="1" applyAlignment="1" applyProtection="1">
      <alignment horizontal="center" vertical="center" wrapText="1"/>
      <protection locked="0"/>
    </xf>
    <xf numFmtId="0" fontId="7" fillId="0" borderId="20" xfId="240" applyFont="1" applyBorder="1" applyAlignment="1" applyProtection="1">
      <alignment horizontal="left" vertical="center" wrapText="1"/>
      <protection locked="0"/>
    </xf>
    <xf numFmtId="164" fontId="3" fillId="27" borderId="0" xfId="490" applyNumberFormat="1" applyFont="1" applyFill="1" applyBorder="1" applyAlignment="1" applyProtection="1">
      <alignment horizontal="center" vertical="center" wrapText="1"/>
      <protection locked="0"/>
    </xf>
    <xf numFmtId="4" fontId="7" fillId="27" borderId="0" xfId="349" applyNumberFormat="1" applyFont="1" applyFill="1" applyBorder="1" applyAlignment="1" applyProtection="1">
      <alignment horizontal="right" vertical="center"/>
      <protection locked="0"/>
    </xf>
    <xf numFmtId="10" fontId="3" fillId="27" borderId="21" xfId="240" applyNumberFormat="1" applyFont="1" applyFill="1" applyBorder="1" applyAlignment="1" applyProtection="1">
      <alignment vertical="center" wrapText="1"/>
      <protection locked="0"/>
    </xf>
    <xf numFmtId="0" fontId="7" fillId="27" borderId="20" xfId="242" applyFont="1" applyFill="1" applyBorder="1" applyAlignment="1" applyProtection="1">
      <alignment vertical="center" wrapText="1"/>
      <protection locked="0"/>
    </xf>
    <xf numFmtId="0" fontId="7" fillId="27" borderId="0" xfId="242" applyFont="1" applyFill="1" applyBorder="1" applyAlignment="1" applyProtection="1">
      <alignment vertical="center" wrapText="1"/>
      <protection locked="0"/>
    </xf>
    <xf numFmtId="0" fontId="3" fillId="27" borderId="0" xfId="240" applyFont="1" applyFill="1" applyBorder="1" applyAlignment="1" applyProtection="1">
      <alignment horizontal="justify" vertical="center" wrapText="1"/>
      <protection locked="0"/>
    </xf>
    <xf numFmtId="4" fontId="7" fillId="27" borderId="22" xfId="349" applyNumberFormat="1" applyFont="1" applyFill="1" applyBorder="1" applyAlignment="1" applyProtection="1">
      <alignment horizontal="right" vertical="center"/>
      <protection locked="0"/>
    </xf>
    <xf numFmtId="0" fontId="3" fillId="0" borderId="0" xfId="240" applyFont="1" applyAlignment="1" applyProtection="1">
      <alignment horizontal="center" vertical="center"/>
      <protection locked="0"/>
    </xf>
    <xf numFmtId="0" fontId="7" fillId="0" borderId="23" xfId="240" applyFont="1" applyBorder="1" applyAlignment="1" applyProtection="1">
      <alignment horizontal="left" vertical="center" wrapText="1"/>
      <protection locked="0"/>
    </xf>
    <xf numFmtId="164" fontId="3" fillId="27" borderId="22" xfId="490" applyNumberFormat="1" applyFont="1" applyFill="1" applyBorder="1" applyAlignment="1" applyProtection="1">
      <alignment horizontal="center" vertical="center" wrapText="1"/>
      <protection locked="0"/>
    </xf>
    <xf numFmtId="10" fontId="3" fillId="27" borderId="24" xfId="240" applyNumberFormat="1" applyFont="1" applyFill="1" applyBorder="1" applyAlignment="1" applyProtection="1">
      <alignment vertical="center" wrapText="1"/>
      <protection locked="0"/>
    </xf>
    <xf numFmtId="0" fontId="8" fillId="27" borderId="19" xfId="240" applyFont="1" applyFill="1" applyBorder="1" applyAlignment="1" applyProtection="1">
      <alignment horizontal="center" vertical="center" wrapText="1"/>
      <protection locked="0"/>
    </xf>
    <xf numFmtId="0" fontId="3" fillId="0" borderId="22" xfId="240" applyFont="1" applyBorder="1" applyAlignment="1" applyProtection="1">
      <alignment horizontal="center" vertical="center" wrapText="1"/>
      <protection locked="0"/>
    </xf>
    <xf numFmtId="0" fontId="8" fillId="27" borderId="0" xfId="240" applyFont="1" applyFill="1" applyBorder="1" applyAlignment="1" applyProtection="1">
      <alignment horizontal="center" vertical="center" wrapText="1"/>
      <protection locked="0"/>
    </xf>
    <xf numFmtId="0" fontId="3" fillId="0" borderId="0" xfId="240" applyFont="1" applyBorder="1" applyAlignment="1" applyProtection="1">
      <alignment horizontal="center" vertical="center" wrapText="1"/>
      <protection locked="0"/>
    </xf>
    <xf numFmtId="0" fontId="3" fillId="0" borderId="22" xfId="240" applyFont="1" applyBorder="1" applyAlignment="1" applyProtection="1">
      <alignment horizontal="left" vertical="center" wrapText="1"/>
      <protection locked="0"/>
    </xf>
    <xf numFmtId="0" fontId="39" fillId="0" borderId="0" xfId="240" applyFont="1" applyAlignment="1" applyProtection="1">
      <alignment horizontal="center" vertical="center"/>
      <protection locked="0"/>
    </xf>
    <xf numFmtId="0" fontId="41" fillId="0" borderId="110" xfId="0" applyFont="1" applyFill="1" applyBorder="1" applyAlignment="1">
      <alignment horizontal="center" vertical="center" wrapText="1"/>
    </xf>
    <xf numFmtId="0" fontId="64" fillId="0" borderId="110" xfId="0" applyFont="1" applyFill="1" applyBorder="1" applyAlignment="1">
      <alignment horizontal="left" vertical="center" wrapText="1"/>
    </xf>
    <xf numFmtId="0" fontId="0" fillId="0" borderId="110" xfId="0" applyBorder="1"/>
    <xf numFmtId="0" fontId="65" fillId="0" borderId="111" xfId="0" applyFont="1" applyBorder="1" applyAlignment="1">
      <alignment horizontal="center" vertical="top" wrapText="1"/>
    </xf>
    <xf numFmtId="0" fontId="0" fillId="0" borderId="0" xfId="0"/>
    <xf numFmtId="0" fontId="0" fillId="0" borderId="0" xfId="0" applyAlignment="1">
      <alignment wrapText="1"/>
    </xf>
    <xf numFmtId="0" fontId="66" fillId="0" borderId="0" xfId="0" applyFont="1"/>
    <xf numFmtId="0" fontId="0" fillId="0" borderId="0" xfId="0" applyAlignment="1">
      <alignment horizontal="center"/>
    </xf>
    <xf numFmtId="0" fontId="0" fillId="0" borderId="110" xfId="0" applyBorder="1" applyAlignment="1">
      <alignment horizontal="center"/>
    </xf>
    <xf numFmtId="10" fontId="3" fillId="27" borderId="21" xfId="240" applyNumberFormat="1" applyFont="1" applyFill="1" applyBorder="1" applyAlignment="1" applyProtection="1">
      <alignment wrapText="1"/>
      <protection locked="0"/>
    </xf>
    <xf numFmtId="4" fontId="7" fillId="27" borderId="21" xfId="240" applyNumberFormat="1" applyFont="1" applyFill="1" applyBorder="1" applyAlignment="1" applyProtection="1">
      <alignment horizontal="center" vertical="center" wrapText="1"/>
      <protection locked="0"/>
    </xf>
    <xf numFmtId="9" fontId="7" fillId="27" borderId="21" xfId="359" applyFont="1" applyFill="1" applyBorder="1" applyAlignment="1" applyProtection="1">
      <alignment horizontal="center" vertical="center" wrapText="1"/>
      <protection locked="0"/>
    </xf>
    <xf numFmtId="0" fontId="3" fillId="27" borderId="0" xfId="240" applyFont="1" applyFill="1" applyAlignment="1" applyProtection="1">
      <alignment horizontal="center" vertical="center"/>
      <protection locked="0"/>
    </xf>
    <xf numFmtId="1" fontId="3" fillId="27" borderId="0" xfId="240" applyNumberFormat="1" applyFont="1" applyFill="1" applyBorder="1" applyAlignment="1" applyProtection="1">
      <alignment horizontal="center" vertical="center" wrapText="1"/>
      <protection locked="0"/>
    </xf>
    <xf numFmtId="0" fontId="4" fillId="27" borderId="0" xfId="240" applyFont="1" applyFill="1" applyAlignment="1" applyProtection="1">
      <alignment horizontal="center" vertical="center"/>
      <protection locked="0"/>
    </xf>
    <xf numFmtId="0" fontId="9" fillId="0" borderId="0" xfId="0" applyFont="1"/>
    <xf numFmtId="0" fontId="4" fillId="0" borderId="0" xfId="240" applyFont="1" applyProtection="1">
      <protection locked="0"/>
    </xf>
    <xf numFmtId="0" fontId="3" fillId="27" borderId="0" xfId="240" applyFont="1" applyFill="1" applyBorder="1" applyAlignment="1" applyProtection="1">
      <alignment vertical="center" wrapText="1"/>
      <protection locked="0"/>
    </xf>
    <xf numFmtId="0" fontId="4" fillId="27" borderId="0" xfId="240" applyFont="1" applyFill="1" applyProtection="1">
      <protection locked="0"/>
    </xf>
    <xf numFmtId="0" fontId="7" fillId="27" borderId="0" xfId="240" applyFont="1" applyFill="1" applyBorder="1" applyAlignment="1" applyProtection="1">
      <alignment vertical="center" wrapText="1"/>
      <protection locked="0"/>
    </xf>
    <xf numFmtId="0" fontId="3" fillId="0" borderId="0" xfId="0" applyFont="1"/>
    <xf numFmtId="0" fontId="3" fillId="27" borderId="0" xfId="240" applyFont="1" applyFill="1" applyAlignment="1" applyProtection="1">
      <alignment horizontal="center" vertical="center" wrapText="1"/>
      <protection locked="0"/>
    </xf>
    <xf numFmtId="0" fontId="3" fillId="27" borderId="0" xfId="240" applyFont="1" applyFill="1" applyAlignment="1" applyProtection="1">
      <alignment horizontal="justify" vertical="center" wrapText="1"/>
      <protection locked="0"/>
    </xf>
    <xf numFmtId="164" fontId="3" fillId="27" borderId="0" xfId="490" applyNumberFormat="1" applyFont="1" applyFill="1" applyAlignment="1" applyProtection="1">
      <alignment horizontal="center" vertical="center" wrapText="1"/>
      <protection locked="0"/>
    </xf>
    <xf numFmtId="0" fontId="68" fillId="0" borderId="27" xfId="0" applyFont="1" applyBorder="1" applyAlignment="1">
      <alignment horizontal="center" vertical="center"/>
    </xf>
    <xf numFmtId="0" fontId="68" fillId="0" borderId="27" xfId="0" applyFont="1" applyBorder="1" applyAlignment="1">
      <alignment horizontal="center" vertical="center" wrapText="1"/>
    </xf>
    <xf numFmtId="0" fontId="0" fillId="28" borderId="0" xfId="0" applyFill="1" applyAlignment="1">
      <alignment horizontal="center"/>
    </xf>
    <xf numFmtId="0" fontId="0" fillId="28" borderId="0" xfId="0" applyFill="1" applyAlignment="1">
      <alignment wrapText="1"/>
    </xf>
    <xf numFmtId="0" fontId="7" fillId="27" borderId="0" xfId="241" applyFont="1" applyFill="1" applyBorder="1" applyAlignment="1" applyProtection="1">
      <alignment horizontal="center" vertical="center" wrapText="1"/>
      <protection locked="0"/>
    </xf>
    <xf numFmtId="4" fontId="7" fillId="27" borderId="21" xfId="241" applyNumberFormat="1" applyFont="1" applyFill="1" applyBorder="1" applyAlignment="1" applyProtection="1">
      <alignment horizontal="center" vertical="center" wrapText="1"/>
      <protection locked="0"/>
    </xf>
    <xf numFmtId="10" fontId="3" fillId="27" borderId="21" xfId="243" applyNumberFormat="1" applyFont="1" applyFill="1" applyBorder="1" applyAlignment="1">
      <alignment horizontal="center" vertical="center" wrapText="1"/>
    </xf>
    <xf numFmtId="2" fontId="3" fillId="27" borderId="26" xfId="359" applyNumberFormat="1" applyFont="1" applyFill="1" applyBorder="1" applyAlignment="1" applyProtection="1">
      <alignment horizontal="center" vertical="center" wrapText="1"/>
      <protection locked="0"/>
    </xf>
    <xf numFmtId="179" fontId="3" fillId="27" borderId="44" xfId="359" applyNumberFormat="1" applyFont="1" applyFill="1" applyBorder="1" applyAlignment="1" applyProtection="1">
      <alignment horizontal="center" vertical="center" wrapText="1"/>
      <protection locked="0"/>
    </xf>
    <xf numFmtId="1" fontId="3" fillId="27" borderId="21" xfId="359" applyNumberFormat="1" applyFont="1" applyFill="1" applyBorder="1" applyAlignment="1" applyProtection="1">
      <alignment horizontal="center" vertical="center" wrapText="1"/>
      <protection locked="0"/>
    </xf>
    <xf numFmtId="2" fontId="3" fillId="27" borderId="21" xfId="359" applyNumberFormat="1" applyFont="1" applyFill="1" applyBorder="1" applyAlignment="1" applyProtection="1">
      <alignment horizontal="center" vertical="center" wrapText="1"/>
      <protection locked="0"/>
    </xf>
    <xf numFmtId="9" fontId="3" fillId="27" borderId="25" xfId="359" applyFont="1" applyFill="1" applyBorder="1" applyAlignment="1" applyProtection="1">
      <alignment horizontal="center" vertical="center" wrapText="1"/>
      <protection locked="0"/>
    </xf>
    <xf numFmtId="0" fontId="66" fillId="28" borderId="0" xfId="0" applyFont="1" applyFill="1" applyAlignment="1">
      <alignment horizontal="center"/>
    </xf>
    <xf numFmtId="0" fontId="66" fillId="28" borderId="0" xfId="0" applyFont="1" applyFill="1" applyAlignment="1">
      <alignment wrapText="1"/>
    </xf>
    <xf numFmtId="0" fontId="66" fillId="0" borderId="0" xfId="0" applyFont="1" applyAlignment="1">
      <alignment horizontal="center"/>
    </xf>
    <xf numFmtId="0" fontId="66" fillId="0" borderId="0" xfId="0" applyFont="1" applyAlignment="1">
      <alignment wrapText="1"/>
    </xf>
    <xf numFmtId="0" fontId="3" fillId="0" borderId="20" xfId="240" applyFont="1" applyBorder="1" applyAlignment="1" applyProtection="1">
      <alignment horizontal="center" vertical="center" wrapText="1"/>
      <protection locked="0"/>
    </xf>
    <xf numFmtId="0" fontId="3" fillId="0" borderId="20" xfId="240" applyFont="1" applyBorder="1" applyAlignment="1" applyProtection="1">
      <alignment horizontal="left" vertical="center" wrapText="1"/>
      <protection locked="0"/>
    </xf>
    <xf numFmtId="0" fontId="3" fillId="0" borderId="21" xfId="240" applyFont="1" applyBorder="1" applyAlignment="1" applyProtection="1">
      <alignment horizontal="center" vertical="center" wrapText="1"/>
      <protection locked="0"/>
    </xf>
    <xf numFmtId="0" fontId="3" fillId="27" borderId="18" xfId="240" applyFont="1" applyFill="1" applyBorder="1" applyAlignment="1" applyProtection="1">
      <alignment horizontal="center" vertical="center" wrapText="1"/>
      <protection locked="0"/>
    </xf>
    <xf numFmtId="10" fontId="3" fillId="27" borderId="0" xfId="243" applyNumberFormat="1" applyFont="1" applyFill="1" applyBorder="1" applyAlignment="1" applyProtection="1">
      <alignment horizontal="center" vertical="center" wrapText="1"/>
      <protection locked="0"/>
    </xf>
    <xf numFmtId="10" fontId="3" fillId="27" borderId="0" xfId="240" applyNumberFormat="1" applyFont="1" applyFill="1" applyBorder="1" applyAlignment="1" applyProtection="1">
      <alignment horizontal="center" vertical="center" wrapText="1"/>
      <protection locked="0"/>
    </xf>
    <xf numFmtId="0" fontId="7" fillId="27" borderId="23" xfId="240" applyFont="1" applyFill="1" applyBorder="1" applyAlignment="1" applyProtection="1">
      <alignment horizontal="left" vertical="center" wrapText="1"/>
      <protection locked="0"/>
    </xf>
    <xf numFmtId="0" fontId="3" fillId="27" borderId="22" xfId="240" applyFont="1" applyFill="1" applyBorder="1" applyAlignment="1" applyProtection="1">
      <alignment horizontal="left" vertical="center" wrapText="1"/>
      <protection locked="0"/>
    </xf>
    <xf numFmtId="0" fontId="3" fillId="27" borderId="22" xfId="240" applyFont="1" applyFill="1" applyBorder="1" applyAlignment="1" applyProtection="1">
      <alignment horizontal="center" vertical="center" wrapText="1"/>
      <protection locked="0"/>
    </xf>
    <xf numFmtId="4" fontId="3" fillId="27" borderId="0" xfId="240" applyNumberFormat="1" applyFont="1" applyFill="1" applyBorder="1" applyAlignment="1" applyProtection="1">
      <alignment horizontal="center" vertical="center" wrapText="1"/>
      <protection locked="0"/>
    </xf>
    <xf numFmtId="181" fontId="3" fillId="27" borderId="25" xfId="240" applyNumberFormat="1" applyFont="1" applyFill="1" applyBorder="1" applyAlignment="1" applyProtection="1">
      <alignment horizontal="center" vertical="center" wrapText="1"/>
      <protection locked="0"/>
    </xf>
    <xf numFmtId="9" fontId="3" fillId="27" borderId="25" xfId="240" applyNumberFormat="1" applyFont="1" applyFill="1" applyBorder="1" applyAlignment="1" applyProtection="1">
      <alignment horizontal="center" vertical="center" wrapText="1"/>
      <protection locked="0"/>
    </xf>
    <xf numFmtId="0" fontId="7" fillId="27" borderId="25" xfId="240" applyFont="1" applyFill="1" applyBorder="1" applyAlignment="1" applyProtection="1">
      <alignment horizontal="center" vertical="center" wrapText="1"/>
      <protection locked="0"/>
    </xf>
    <xf numFmtId="2" fontId="3" fillId="27" borderId="25" xfId="240" applyNumberFormat="1" applyFont="1" applyFill="1" applyBorder="1" applyAlignment="1" applyProtection="1">
      <alignment horizontal="center" vertical="center" wrapText="1"/>
      <protection locked="0"/>
    </xf>
    <xf numFmtId="180" fontId="3" fillId="27" borderId="25" xfId="240" applyNumberFormat="1" applyFont="1" applyFill="1" applyBorder="1" applyAlignment="1" applyProtection="1">
      <alignment horizontal="center" vertical="center" wrapText="1"/>
      <protection locked="0"/>
    </xf>
    <xf numFmtId="179" fontId="3" fillId="27" borderId="0" xfId="490" applyNumberFormat="1" applyFont="1" applyFill="1" applyBorder="1" applyProtection="1">
      <alignment vertical="center"/>
      <protection locked="0"/>
    </xf>
    <xf numFmtId="0" fontId="8" fillId="27" borderId="0" xfId="240" applyFont="1" applyFill="1" applyAlignment="1" applyProtection="1">
      <alignment horizontal="center" vertical="center" wrapText="1"/>
      <protection locked="0"/>
    </xf>
    <xf numFmtId="0" fontId="3" fillId="27" borderId="0" xfId="240" applyFont="1" applyFill="1" applyAlignment="1" applyProtection="1">
      <alignment vertical="center" wrapText="1"/>
      <protection locked="0"/>
    </xf>
    <xf numFmtId="0" fontId="3" fillId="27" borderId="25" xfId="240" applyFont="1" applyFill="1" applyBorder="1" applyAlignment="1" applyProtection="1">
      <alignment horizontal="center" vertical="center" wrapText="1"/>
      <protection locked="0"/>
    </xf>
    <xf numFmtId="0" fontId="7" fillId="27" borderId="0" xfId="241" applyFont="1" applyFill="1" applyBorder="1" applyAlignment="1" applyProtection="1">
      <alignment horizontal="left" vertical="center" wrapText="1"/>
      <protection locked="0"/>
    </xf>
    <xf numFmtId="2" fontId="7" fillId="27" borderId="26" xfId="359" applyNumberFormat="1" applyFont="1" applyFill="1" applyBorder="1" applyAlignment="1" applyProtection="1">
      <alignment horizontal="center" vertical="center" wrapText="1"/>
      <protection locked="0"/>
    </xf>
    <xf numFmtId="2" fontId="7" fillId="27" borderId="21" xfId="359" applyNumberFormat="1" applyFont="1" applyFill="1" applyBorder="1" applyAlignment="1" applyProtection="1">
      <alignment horizontal="center" vertical="center" wrapText="1"/>
      <protection locked="0"/>
    </xf>
    <xf numFmtId="2" fontId="7" fillId="27" borderId="0" xfId="240" applyNumberFormat="1" applyFont="1" applyFill="1" applyBorder="1" applyAlignment="1" applyProtection="1">
      <alignment horizontal="center" vertical="center" wrapText="1"/>
      <protection locked="0"/>
    </xf>
    <xf numFmtId="180" fontId="45" fillId="27" borderId="25" xfId="240" applyNumberFormat="1" applyFont="1" applyFill="1" applyBorder="1" applyAlignment="1" applyProtection="1">
      <alignment horizontal="center" vertical="center" wrapText="1"/>
      <protection locked="0"/>
    </xf>
    <xf numFmtId="0" fontId="3" fillId="27" borderId="20" xfId="240" applyFont="1" applyFill="1" applyBorder="1" applyAlignment="1" applyProtection="1">
      <alignment horizontal="center" vertical="center" wrapText="1"/>
      <protection locked="0"/>
    </xf>
    <xf numFmtId="0" fontId="39" fillId="0" borderId="0" xfId="241" applyFont="1" applyAlignment="1" applyProtection="1">
      <alignment horizontal="center" vertical="center"/>
      <protection locked="0"/>
    </xf>
    <xf numFmtId="0" fontId="39" fillId="27" borderId="0" xfId="240" applyFont="1" applyFill="1" applyAlignment="1" applyProtection="1">
      <alignment horizontal="center" vertical="center"/>
      <protection locked="0"/>
    </xf>
    <xf numFmtId="1" fontId="7" fillId="27" borderId="0" xfId="240" applyNumberFormat="1" applyFont="1" applyFill="1" applyBorder="1" applyAlignment="1" applyProtection="1">
      <alignment horizontal="center" vertical="center" wrapText="1"/>
      <protection locked="0"/>
    </xf>
    <xf numFmtId="0" fontId="7" fillId="0" borderId="20" xfId="240" applyFont="1" applyBorder="1" applyAlignment="1" applyProtection="1">
      <alignment horizontal="left" wrapText="1"/>
      <protection locked="0"/>
    </xf>
    <xf numFmtId="44" fontId="3" fillId="27" borderId="22" xfId="198" applyFont="1" applyFill="1" applyBorder="1" applyAlignment="1" applyProtection="1">
      <alignment horizontal="center" vertical="center" wrapText="1"/>
      <protection locked="0"/>
    </xf>
    <xf numFmtId="44" fontId="3" fillId="27" borderId="24" xfId="198" applyFont="1" applyFill="1" applyBorder="1" applyAlignment="1" applyProtection="1">
      <alignment horizontal="center" vertical="center" wrapText="1"/>
      <protection locked="0"/>
    </xf>
    <xf numFmtId="44" fontId="7" fillId="31" borderId="46" xfId="198" applyFont="1" applyFill="1" applyBorder="1" applyAlignment="1" applyProtection="1">
      <alignment horizontal="right" vertical="center" wrapText="1"/>
      <protection locked="0"/>
    </xf>
    <xf numFmtId="44" fontId="7" fillId="31" borderId="47" xfId="198" applyFont="1" applyFill="1" applyBorder="1" applyAlignment="1" applyProtection="1">
      <alignment horizontal="center" vertical="center" wrapText="1"/>
      <protection locked="0"/>
    </xf>
    <xf numFmtId="44" fontId="7" fillId="27" borderId="0" xfId="198" applyFont="1" applyFill="1" applyBorder="1" applyAlignment="1" applyProtection="1">
      <alignment horizontal="left" vertical="center" wrapText="1"/>
      <protection locked="0"/>
    </xf>
    <xf numFmtId="44" fontId="7" fillId="27" borderId="21" xfId="198" applyFont="1" applyFill="1" applyBorder="1" applyAlignment="1" applyProtection="1">
      <alignment horizontal="center" vertical="center" wrapText="1"/>
      <protection locked="0"/>
    </xf>
    <xf numFmtId="44" fontId="7" fillId="29" borderId="46" xfId="198" applyFont="1" applyFill="1" applyBorder="1" applyAlignment="1" applyProtection="1">
      <alignment horizontal="right" vertical="center" wrapText="1"/>
      <protection locked="0"/>
    </xf>
    <xf numFmtId="44" fontId="7" fillId="29" borderId="47" xfId="198" applyFont="1" applyFill="1" applyBorder="1" applyAlignment="1" applyProtection="1">
      <alignment horizontal="center" vertical="center" wrapText="1"/>
      <protection locked="0"/>
    </xf>
    <xf numFmtId="44" fontId="7" fillId="27" borderId="0" xfId="198" applyFont="1" applyFill="1" applyBorder="1" applyAlignment="1" applyProtection="1">
      <alignment horizontal="right" vertical="center" wrapText="1"/>
      <protection locked="0"/>
    </xf>
    <xf numFmtId="44" fontId="7" fillId="30" borderId="46" xfId="198" applyFont="1" applyFill="1" applyBorder="1" applyAlignment="1" applyProtection="1">
      <alignment horizontal="right" vertical="center" wrapText="1"/>
      <protection locked="0"/>
    </xf>
    <xf numFmtId="44" fontId="7" fillId="30" borderId="47" xfId="198" applyFont="1" applyFill="1" applyBorder="1" applyAlignment="1" applyProtection="1">
      <alignment horizontal="center" vertical="center" wrapText="1"/>
      <protection locked="0"/>
    </xf>
    <xf numFmtId="44" fontId="3" fillId="27" borderId="21" xfId="198" applyFont="1" applyFill="1" applyBorder="1" applyAlignment="1" applyProtection="1">
      <alignment horizontal="center" vertical="center" wrapText="1"/>
      <protection locked="0"/>
    </xf>
    <xf numFmtId="44" fontId="3" fillId="27" borderId="0" xfId="198" applyFont="1" applyFill="1" applyBorder="1" applyAlignment="1" applyProtection="1">
      <alignment horizontal="center" vertical="center" wrapText="1"/>
      <protection locked="0"/>
    </xf>
    <xf numFmtId="44" fontId="3" fillId="0" borderId="0" xfId="198" applyFont="1" applyAlignment="1" applyProtection="1">
      <alignment horizontal="center" vertical="center" wrapText="1"/>
      <protection locked="0"/>
    </xf>
    <xf numFmtId="0" fontId="3" fillId="0" borderId="48" xfId="240" applyFont="1" applyBorder="1" applyAlignment="1" applyProtection="1">
      <alignment horizontal="left" vertical="center" wrapText="1"/>
      <protection locked="0"/>
    </xf>
    <xf numFmtId="0" fontId="3" fillId="27" borderId="0" xfId="240" applyFont="1" applyFill="1" applyBorder="1" applyAlignment="1" applyProtection="1">
      <alignment horizontal="left" vertical="center" wrapText="1"/>
      <protection locked="0"/>
    </xf>
    <xf numFmtId="1" fontId="7" fillId="27" borderId="49" xfId="240" applyNumberFormat="1" applyFont="1" applyFill="1" applyBorder="1" applyAlignment="1" applyProtection="1">
      <alignment horizontal="left" vertical="center" wrapText="1"/>
      <protection locked="0"/>
    </xf>
    <xf numFmtId="1" fontId="7" fillId="27" borderId="50" xfId="240" applyNumberFormat="1" applyFont="1" applyFill="1" applyBorder="1" applyAlignment="1" applyProtection="1">
      <alignment horizontal="left" vertical="center" wrapText="1"/>
      <protection locked="0"/>
    </xf>
    <xf numFmtId="1" fontId="7" fillId="27" borderId="20" xfId="240" applyNumberFormat="1" applyFont="1" applyFill="1" applyBorder="1" applyAlignment="1" applyProtection="1">
      <alignment horizontal="left" vertical="center" wrapText="1"/>
      <protection locked="0"/>
    </xf>
    <xf numFmtId="1" fontId="7" fillId="27" borderId="0" xfId="240" applyNumberFormat="1" applyFont="1" applyFill="1" applyBorder="1" applyAlignment="1" applyProtection="1">
      <alignment horizontal="left" vertical="center" wrapText="1"/>
      <protection locked="0"/>
    </xf>
    <xf numFmtId="0" fontId="7" fillId="27" borderId="45" xfId="240" applyFont="1" applyFill="1" applyBorder="1" applyAlignment="1" applyProtection="1">
      <alignment horizontal="left" vertical="center" wrapText="1"/>
      <protection locked="0"/>
    </xf>
    <xf numFmtId="0" fontId="7" fillId="27" borderId="46" xfId="240" applyFont="1" applyFill="1" applyBorder="1" applyAlignment="1" applyProtection="1">
      <alignment horizontal="left" vertical="center" wrapText="1"/>
      <protection locked="0"/>
    </xf>
    <xf numFmtId="0" fontId="3" fillId="27" borderId="48" xfId="240" applyFont="1" applyFill="1" applyBorder="1" applyAlignment="1" applyProtection="1">
      <alignment horizontal="left" vertical="center" wrapText="1"/>
      <protection locked="0"/>
    </xf>
    <xf numFmtId="0" fontId="7" fillId="27" borderId="19" xfId="240" applyFont="1" applyFill="1" applyBorder="1" applyAlignment="1" applyProtection="1">
      <alignment horizontal="center" vertical="center" wrapText="1"/>
      <protection locked="0"/>
    </xf>
    <xf numFmtId="0" fontId="3" fillId="27" borderId="51" xfId="240" applyFont="1" applyFill="1" applyBorder="1" applyAlignment="1" applyProtection="1">
      <alignment horizontal="left" vertical="center" wrapText="1"/>
      <protection locked="0"/>
    </xf>
    <xf numFmtId="0" fontId="3" fillId="27" borderId="43" xfId="240" applyFont="1" applyFill="1" applyBorder="1" applyAlignment="1" applyProtection="1">
      <alignment horizontal="left" vertical="center" wrapText="1"/>
      <protection locked="0"/>
    </xf>
    <xf numFmtId="0" fontId="3" fillId="27" borderId="43" xfId="240" applyFont="1" applyFill="1" applyBorder="1" applyAlignment="1" applyProtection="1">
      <alignment horizontal="center" vertical="center" wrapText="1"/>
      <protection locked="0"/>
    </xf>
    <xf numFmtId="0" fontId="3" fillId="27" borderId="19" xfId="240" applyFont="1" applyFill="1" applyBorder="1" applyAlignment="1" applyProtection="1">
      <alignment horizontal="center" vertical="center" wrapText="1"/>
      <protection locked="0"/>
    </xf>
    <xf numFmtId="0" fontId="3" fillId="27" borderId="52" xfId="240" applyFont="1" applyFill="1" applyBorder="1" applyAlignment="1" applyProtection="1">
      <alignment horizontal="center" vertical="center" wrapText="1"/>
      <protection locked="0"/>
    </xf>
    <xf numFmtId="44" fontId="58" fillId="0" borderId="0" xfId="198" applyFont="1" applyAlignment="1">
      <alignment wrapText="1"/>
    </xf>
    <xf numFmtId="179" fontId="3" fillId="27" borderId="0" xfId="240" applyNumberFormat="1" applyFont="1" applyFill="1" applyBorder="1" applyAlignment="1" applyProtection="1">
      <alignment horizontal="center" vertical="center" wrapText="1"/>
      <protection locked="0"/>
    </xf>
    <xf numFmtId="44" fontId="3" fillId="27" borderId="0" xfId="198" applyFont="1" applyFill="1" applyBorder="1" applyAlignment="1" applyProtection="1">
      <alignment horizontal="right" vertical="center" wrapText="1"/>
      <protection locked="0"/>
    </xf>
    <xf numFmtId="44" fontId="3" fillId="0" borderId="0" xfId="198" applyFont="1" applyBorder="1" applyAlignment="1" applyProtection="1">
      <alignment horizontal="center" vertical="center" wrapText="1"/>
      <protection locked="0"/>
    </xf>
    <xf numFmtId="44" fontId="3" fillId="0" borderId="21" xfId="198" applyFont="1" applyBorder="1" applyAlignment="1" applyProtection="1">
      <alignment horizontal="center" vertical="center" wrapText="1"/>
      <protection locked="0"/>
    </xf>
    <xf numFmtId="0" fontId="7" fillId="27" borderId="20" xfId="240" applyFont="1" applyFill="1" applyBorder="1" applyAlignment="1" applyProtection="1">
      <alignment horizontal="right" vertical="center" wrapText="1"/>
      <protection locked="0"/>
    </xf>
    <xf numFmtId="0" fontId="3" fillId="27" borderId="20" xfId="240" applyFont="1" applyFill="1" applyBorder="1" applyAlignment="1" applyProtection="1">
      <alignment vertical="center" wrapText="1"/>
      <protection locked="0"/>
    </xf>
    <xf numFmtId="4" fontId="7" fillId="27" borderId="0" xfId="240" applyNumberFormat="1" applyFont="1" applyFill="1" applyBorder="1" applyAlignment="1" applyProtection="1">
      <alignment horizontal="center" vertical="center" wrapText="1"/>
      <protection locked="0"/>
    </xf>
    <xf numFmtId="0" fontId="7" fillId="27" borderId="0" xfId="240" applyFont="1" applyFill="1" applyAlignment="1" applyProtection="1">
      <alignment horizontal="center" vertical="center"/>
      <protection locked="0"/>
    </xf>
    <xf numFmtId="0" fontId="3" fillId="27" borderId="21" xfId="240" applyFont="1" applyFill="1" applyBorder="1" applyAlignment="1" applyProtection="1">
      <alignment vertical="center" wrapText="1"/>
      <protection locked="0"/>
    </xf>
    <xf numFmtId="2" fontId="7" fillId="27" borderId="25" xfId="240" applyNumberFormat="1" applyFont="1" applyFill="1" applyBorder="1" applyAlignment="1" applyProtection="1">
      <alignment vertical="center" wrapText="1"/>
      <protection locked="0"/>
    </xf>
    <xf numFmtId="179" fontId="3" fillId="27" borderId="21" xfId="359" applyNumberFormat="1" applyFont="1" applyFill="1" applyBorder="1" applyAlignment="1" applyProtection="1">
      <alignment horizontal="center" vertical="center" wrapText="1"/>
      <protection locked="0"/>
    </xf>
    <xf numFmtId="0" fontId="3" fillId="27" borderId="51" xfId="240" applyFont="1" applyFill="1" applyBorder="1" applyAlignment="1" applyProtection="1">
      <alignment vertical="center" wrapText="1"/>
      <protection locked="0"/>
    </xf>
    <xf numFmtId="0" fontId="3" fillId="27" borderId="25" xfId="240" applyFont="1" applyFill="1" applyBorder="1" applyAlignment="1" applyProtection="1">
      <alignment vertical="center" wrapText="1"/>
      <protection locked="0"/>
    </xf>
    <xf numFmtId="2" fontId="3" fillId="27" borderId="26" xfId="240" applyNumberFormat="1" applyFont="1" applyFill="1" applyBorder="1" applyAlignment="1" applyProtection="1">
      <alignment horizontal="center" vertical="center" wrapText="1"/>
      <protection locked="0"/>
    </xf>
    <xf numFmtId="0" fontId="3" fillId="27" borderId="55" xfId="240" applyFont="1" applyFill="1" applyBorder="1" applyAlignment="1" applyProtection="1">
      <alignment horizontal="center" vertical="center" wrapText="1"/>
      <protection locked="0"/>
    </xf>
    <xf numFmtId="0" fontId="4" fillId="27" borderId="0" xfId="240" applyFont="1" applyFill="1" applyBorder="1" applyAlignment="1" applyProtection="1">
      <alignment horizontal="center" vertical="center"/>
      <protection locked="0"/>
    </xf>
    <xf numFmtId="0" fontId="3" fillId="27" borderId="55" xfId="240" applyFont="1" applyFill="1" applyBorder="1" applyAlignment="1" applyProtection="1">
      <alignment horizontal="left" vertical="center" wrapText="1"/>
      <protection locked="0"/>
    </xf>
    <xf numFmtId="2" fontId="3" fillId="27" borderId="55" xfId="240" applyNumberFormat="1" applyFont="1" applyFill="1" applyBorder="1" applyAlignment="1" applyProtection="1">
      <alignment horizontal="center" vertical="center" wrapText="1"/>
      <protection locked="0"/>
    </xf>
    <xf numFmtId="180" fontId="45" fillId="27" borderId="55" xfId="240" applyNumberFormat="1" applyFont="1" applyFill="1" applyBorder="1" applyAlignment="1" applyProtection="1">
      <alignment horizontal="center" vertical="center" wrapText="1"/>
      <protection locked="0"/>
    </xf>
    <xf numFmtId="2" fontId="3" fillId="27" borderId="56" xfId="359" applyNumberFormat="1" applyFont="1" applyFill="1" applyBorder="1" applyAlignment="1" applyProtection="1">
      <alignment horizontal="center" vertical="center" wrapText="1"/>
      <protection locked="0"/>
    </xf>
    <xf numFmtId="1" fontId="3" fillId="27" borderId="26" xfId="359" applyNumberFormat="1" applyFont="1" applyFill="1" applyBorder="1" applyAlignment="1" applyProtection="1">
      <alignment horizontal="center" vertical="center" wrapText="1"/>
      <protection locked="0"/>
    </xf>
    <xf numFmtId="2" fontId="3" fillId="27" borderId="44" xfId="359" applyNumberFormat="1" applyFont="1" applyFill="1" applyBorder="1" applyAlignment="1" applyProtection="1">
      <alignment horizontal="center" vertical="center" wrapText="1"/>
      <protection locked="0"/>
    </xf>
    <xf numFmtId="0" fontId="3" fillId="27" borderId="0" xfId="240" applyFont="1" applyFill="1" applyBorder="1" applyAlignment="1" applyProtection="1">
      <alignment horizontal="center" vertical="center"/>
      <protection locked="0"/>
    </xf>
    <xf numFmtId="0" fontId="3" fillId="27" borderId="20" xfId="240" quotePrefix="1" applyFont="1" applyFill="1" applyBorder="1" applyAlignment="1" applyProtection="1">
      <alignment horizontal="left" vertical="center" wrapText="1"/>
      <protection locked="0"/>
    </xf>
    <xf numFmtId="0" fontId="3" fillId="27" borderId="48" xfId="240" applyFont="1" applyFill="1" applyBorder="1" applyAlignment="1" applyProtection="1">
      <alignment vertical="center" wrapText="1"/>
      <protection locked="0"/>
    </xf>
    <xf numFmtId="0" fontId="3" fillId="0" borderId="54" xfId="240" applyFont="1" applyBorder="1" applyAlignment="1" applyProtection="1">
      <alignment horizontal="left" vertical="center" wrapText="1"/>
      <protection locked="0"/>
    </xf>
    <xf numFmtId="0" fontId="3" fillId="27" borderId="0" xfId="0" applyFont="1" applyFill="1"/>
    <xf numFmtId="0" fontId="3" fillId="0" borderId="0" xfId="0" applyFont="1" applyAlignment="1">
      <alignment horizontal="center"/>
    </xf>
    <xf numFmtId="0" fontId="3" fillId="0" borderId="0" xfId="0" applyFont="1" applyAlignment="1">
      <alignment horizontal="center" vertical="center"/>
    </xf>
    <xf numFmtId="0" fontId="3" fillId="0" borderId="0" xfId="0" applyFont="1" applyAlignment="1">
      <alignment vertical="center"/>
    </xf>
    <xf numFmtId="177" fontId="7" fillId="32" borderId="115" xfId="490" applyNumberFormat="1" applyFont="1" applyFill="1" applyBorder="1" applyAlignment="1" applyProtection="1">
      <alignment horizontal="center" vertical="center"/>
    </xf>
    <xf numFmtId="177" fontId="7" fillId="32" borderId="120" xfId="490" applyNumberFormat="1" applyFont="1" applyFill="1" applyBorder="1" applyAlignment="1" applyProtection="1">
      <alignment horizontal="center" vertical="center"/>
    </xf>
    <xf numFmtId="177" fontId="7" fillId="32" borderId="121" xfId="490" applyNumberFormat="1" applyFont="1" applyFill="1" applyBorder="1" applyAlignment="1" applyProtection="1">
      <alignment horizontal="center" vertical="center"/>
    </xf>
    <xf numFmtId="177" fontId="7" fillId="32" borderId="116" xfId="490" applyNumberFormat="1" applyFont="1" applyFill="1" applyBorder="1" applyAlignment="1" applyProtection="1">
      <alignment horizontal="center" vertical="center"/>
    </xf>
    <xf numFmtId="177" fontId="7" fillId="32" borderId="120" xfId="496" applyFont="1" applyFill="1" applyBorder="1" applyAlignment="1" applyProtection="1">
      <alignment horizontal="center" vertical="center" wrapText="1"/>
    </xf>
    <xf numFmtId="177" fontId="7" fillId="32" borderId="116" xfId="496" applyFont="1" applyFill="1" applyBorder="1" applyAlignment="1" applyProtection="1">
      <alignment horizontal="center" vertical="center" wrapText="1"/>
    </xf>
    <xf numFmtId="177" fontId="7" fillId="32" borderId="113" xfId="496" applyFont="1" applyFill="1" applyBorder="1" applyAlignment="1" applyProtection="1">
      <alignment vertical="center" wrapText="1"/>
    </xf>
    <xf numFmtId="0" fontId="39" fillId="27" borderId="0" xfId="240" applyFont="1" applyFill="1" applyAlignment="1" applyProtection="1">
      <alignment horizontal="left" vertical="center"/>
      <protection locked="0"/>
    </xf>
    <xf numFmtId="0" fontId="39" fillId="27" borderId="0" xfId="0" applyFont="1" applyFill="1" applyAlignment="1">
      <alignment horizontal="center" vertical="center"/>
    </xf>
    <xf numFmtId="0" fontId="39" fillId="27" borderId="0" xfId="240" applyFont="1" applyFill="1" applyBorder="1" applyAlignment="1" applyProtection="1">
      <alignment horizontal="left" vertical="center" wrapText="1"/>
      <protection locked="0"/>
    </xf>
    <xf numFmtId="0" fontId="39" fillId="27" borderId="0" xfId="240" applyFont="1" applyFill="1" applyBorder="1" applyAlignment="1" applyProtection="1">
      <alignment horizontal="center" vertical="center" wrapText="1"/>
      <protection locked="0"/>
    </xf>
    <xf numFmtId="0" fontId="8" fillId="27" borderId="0" xfId="240" applyFont="1" applyFill="1" applyAlignment="1" applyProtection="1">
      <alignment horizontal="left" vertical="center"/>
      <protection locked="0"/>
    </xf>
    <xf numFmtId="2" fontId="7" fillId="27" borderId="0" xfId="240" applyNumberFormat="1" applyFont="1" applyFill="1" applyBorder="1" applyAlignment="1" applyProtection="1">
      <alignment vertical="center" wrapText="1"/>
      <protection locked="0"/>
    </xf>
    <xf numFmtId="179" fontId="7" fillId="27" borderId="21" xfId="359" applyNumberFormat="1" applyFont="1" applyFill="1" applyBorder="1" applyAlignment="1" applyProtection="1">
      <alignment horizontal="center" vertical="center" wrapText="1"/>
      <protection locked="0"/>
    </xf>
    <xf numFmtId="0" fontId="7" fillId="27" borderId="43" xfId="240" applyFont="1" applyFill="1" applyBorder="1" applyAlignment="1" applyProtection="1">
      <alignment horizontal="center" vertical="center" wrapText="1"/>
      <protection locked="0"/>
    </xf>
    <xf numFmtId="0" fontId="51" fillId="27" borderId="0" xfId="240" applyFont="1" applyFill="1" applyAlignment="1" applyProtection="1">
      <alignment horizontal="left" vertical="center"/>
      <protection locked="0"/>
    </xf>
    <xf numFmtId="0" fontId="51" fillId="27" borderId="0" xfId="240" applyFont="1" applyFill="1" applyAlignment="1" applyProtection="1">
      <alignment horizontal="center" vertical="center"/>
      <protection locked="0"/>
    </xf>
    <xf numFmtId="2" fontId="7" fillId="27" borderId="21" xfId="240" applyNumberFormat="1" applyFont="1" applyFill="1" applyBorder="1" applyAlignment="1" applyProtection="1">
      <alignment horizontal="center" vertical="center" wrapText="1"/>
      <protection locked="0"/>
    </xf>
    <xf numFmtId="0" fontId="52" fillId="27" borderId="0" xfId="240" applyFont="1" applyFill="1" applyAlignment="1" applyProtection="1">
      <alignment horizontal="center" vertical="center"/>
      <protection locked="0"/>
    </xf>
    <xf numFmtId="0" fontId="7" fillId="27" borderId="51" xfId="240" applyFont="1" applyFill="1" applyBorder="1" applyAlignment="1" applyProtection="1">
      <alignment horizontal="right" vertical="center" wrapText="1"/>
      <protection locked="0"/>
    </xf>
    <xf numFmtId="2" fontId="7" fillId="27" borderId="43" xfId="240" applyNumberFormat="1" applyFont="1" applyFill="1" applyBorder="1" applyAlignment="1" applyProtection="1">
      <alignment horizontal="center" vertical="center" wrapText="1"/>
      <protection locked="0"/>
    </xf>
    <xf numFmtId="2" fontId="7" fillId="27" borderId="44" xfId="240" applyNumberFormat="1" applyFont="1" applyFill="1" applyBorder="1" applyAlignment="1" applyProtection="1">
      <alignment horizontal="center" vertical="center" wrapText="1"/>
      <protection locked="0"/>
    </xf>
    <xf numFmtId="2" fontId="3" fillId="27" borderId="44" xfId="240" applyNumberFormat="1" applyFont="1" applyFill="1" applyBorder="1" applyAlignment="1" applyProtection="1">
      <alignment horizontal="center" vertical="center" wrapText="1"/>
      <protection locked="0"/>
    </xf>
    <xf numFmtId="180" fontId="3" fillId="27" borderId="43" xfId="240" applyNumberFormat="1" applyFont="1" applyFill="1" applyBorder="1" applyAlignment="1" applyProtection="1">
      <alignment horizontal="center" vertical="center" wrapText="1"/>
      <protection locked="0"/>
    </xf>
    <xf numFmtId="0" fontId="3" fillId="27" borderId="0" xfId="240" applyFont="1" applyFill="1" applyProtection="1">
      <protection locked="0"/>
    </xf>
    <xf numFmtId="43" fontId="3" fillId="27" borderId="0" xfId="240" applyNumberFormat="1" applyFont="1" applyFill="1" applyAlignment="1" applyProtection="1">
      <alignment horizontal="center" vertical="center"/>
      <protection locked="0"/>
    </xf>
    <xf numFmtId="0" fontId="3" fillId="0" borderId="0" xfId="240" applyFont="1" applyProtection="1">
      <protection locked="0"/>
    </xf>
    <xf numFmtId="0" fontId="3" fillId="27" borderId="0" xfId="240" applyFont="1" applyFill="1" applyAlignment="1" applyProtection="1">
      <alignment horizontal="right" vertical="center"/>
      <protection locked="0"/>
    </xf>
    <xf numFmtId="0" fontId="3" fillId="27" borderId="57" xfId="240" applyFont="1" applyFill="1" applyBorder="1" applyAlignment="1" applyProtection="1">
      <alignment horizontal="center" vertical="center"/>
      <protection locked="0"/>
    </xf>
    <xf numFmtId="0" fontId="3" fillId="27" borderId="57" xfId="240" applyFont="1" applyFill="1" applyBorder="1" applyAlignment="1" applyProtection="1">
      <alignment horizontal="right" vertical="center"/>
      <protection locked="0"/>
    </xf>
    <xf numFmtId="0" fontId="3" fillId="27" borderId="0" xfId="490" applyFont="1" applyFill="1" applyBorder="1" applyProtection="1">
      <alignment vertical="center"/>
      <protection locked="0"/>
    </xf>
    <xf numFmtId="0" fontId="3" fillId="27" borderId="58" xfId="490" applyFont="1" applyFill="1" applyBorder="1" applyProtection="1">
      <alignment vertical="center"/>
      <protection locked="0"/>
    </xf>
    <xf numFmtId="0" fontId="7" fillId="27" borderId="0" xfId="490" applyFont="1" applyFill="1" applyBorder="1" applyProtection="1">
      <alignment vertical="center"/>
      <protection locked="0"/>
    </xf>
    <xf numFmtId="0" fontId="7" fillId="27" borderId="58" xfId="490" applyFont="1" applyFill="1" applyBorder="1" applyProtection="1">
      <alignment vertical="center"/>
      <protection locked="0"/>
    </xf>
    <xf numFmtId="0" fontId="3" fillId="27" borderId="58" xfId="240" applyFont="1" applyFill="1" applyBorder="1" applyAlignment="1" applyProtection="1">
      <alignment horizontal="center" vertical="center"/>
      <protection locked="0"/>
    </xf>
    <xf numFmtId="0" fontId="3" fillId="27" borderId="59" xfId="240" applyFont="1" applyFill="1" applyBorder="1" applyAlignment="1" applyProtection="1">
      <alignment horizontal="center" vertical="center"/>
      <protection locked="0"/>
    </xf>
    <xf numFmtId="0" fontId="3" fillId="27" borderId="60" xfId="240" applyFont="1" applyFill="1" applyBorder="1" applyAlignment="1" applyProtection="1">
      <alignment horizontal="center" vertical="center"/>
      <protection locked="0"/>
    </xf>
    <xf numFmtId="0" fontId="3" fillId="27" borderId="61" xfId="240" applyFont="1" applyFill="1" applyBorder="1" applyAlignment="1" applyProtection="1">
      <alignment horizontal="center" vertical="center"/>
      <protection locked="0"/>
    </xf>
    <xf numFmtId="0" fontId="3" fillId="27" borderId="58" xfId="240" applyFont="1" applyFill="1" applyBorder="1" applyAlignment="1" applyProtection="1">
      <alignment horizontal="center" vertical="center" wrapText="1"/>
      <protection locked="0"/>
    </xf>
    <xf numFmtId="179" fontId="3" fillId="27" borderId="58" xfId="240" applyNumberFormat="1" applyFont="1" applyFill="1" applyBorder="1" applyAlignment="1" applyProtection="1">
      <alignment horizontal="center" vertical="center"/>
      <protection locked="0"/>
    </xf>
    <xf numFmtId="179" fontId="7" fillId="27" borderId="61" xfId="240" applyNumberFormat="1" applyFont="1" applyFill="1" applyBorder="1" applyAlignment="1" applyProtection="1">
      <alignment horizontal="center" vertical="center"/>
      <protection locked="0"/>
    </xf>
    <xf numFmtId="0" fontId="3" fillId="27" borderId="0" xfId="490" applyFont="1" applyFill="1" applyBorder="1" applyAlignment="1" applyProtection="1">
      <alignment horizontal="center" vertical="center"/>
      <protection locked="0"/>
    </xf>
    <xf numFmtId="179" fontId="7" fillId="27" borderId="60" xfId="240" applyNumberFormat="1" applyFont="1" applyFill="1" applyBorder="1" applyAlignment="1" applyProtection="1">
      <alignment horizontal="center" vertical="center"/>
      <protection locked="0"/>
    </xf>
    <xf numFmtId="0" fontId="3" fillId="27" borderId="58" xfId="490" applyFont="1" applyFill="1" applyBorder="1" applyAlignment="1" applyProtection="1">
      <alignment horizontal="center" vertical="center"/>
      <protection locked="0"/>
    </xf>
    <xf numFmtId="179" fontId="7" fillId="27" borderId="0" xfId="240" applyNumberFormat="1" applyFont="1" applyFill="1" applyBorder="1" applyAlignment="1" applyProtection="1">
      <alignment horizontal="center" vertical="center"/>
      <protection locked="0"/>
    </xf>
    <xf numFmtId="2" fontId="3" fillId="27" borderId="0" xfId="240" applyNumberFormat="1" applyFont="1" applyFill="1" applyAlignment="1" applyProtection="1">
      <alignment horizontal="center" vertical="center"/>
      <protection locked="0"/>
    </xf>
    <xf numFmtId="0" fontId="3" fillId="27" borderId="0" xfId="240" quotePrefix="1" applyFont="1" applyFill="1" applyBorder="1" applyAlignment="1" applyProtection="1">
      <alignment horizontal="center" vertical="center" wrapText="1"/>
      <protection locked="0"/>
    </xf>
    <xf numFmtId="9" fontId="3" fillId="27" borderId="0" xfId="359" applyFont="1" applyFill="1" applyBorder="1" applyAlignment="1" applyProtection="1">
      <alignment horizontal="center" vertical="center" wrapText="1"/>
      <protection locked="0"/>
    </xf>
    <xf numFmtId="2" fontId="7" fillId="27" borderId="26" xfId="240" applyNumberFormat="1" applyFont="1" applyFill="1" applyBorder="1" applyAlignment="1" applyProtection="1">
      <alignment horizontal="center" vertical="center" wrapText="1"/>
      <protection locked="0"/>
    </xf>
    <xf numFmtId="0" fontId="53" fillId="27" borderId="43" xfId="240" applyFont="1" applyFill="1" applyBorder="1" applyAlignment="1" applyProtection="1">
      <alignment horizontal="right" vertical="center" wrapText="1"/>
      <protection locked="0"/>
    </xf>
    <xf numFmtId="0" fontId="53" fillId="27" borderId="43" xfId="240" applyFont="1" applyFill="1" applyBorder="1" applyAlignment="1" applyProtection="1">
      <alignment horizontal="center" vertical="center" wrapText="1"/>
      <protection locked="0"/>
    </xf>
    <xf numFmtId="2" fontId="53" fillId="27" borderId="43" xfId="240" applyNumberFormat="1" applyFont="1" applyFill="1" applyBorder="1" applyAlignment="1" applyProtection="1">
      <alignment horizontal="center" vertical="center" wrapText="1"/>
      <protection locked="0"/>
    </xf>
    <xf numFmtId="0" fontId="53" fillId="27" borderId="0" xfId="240" applyFont="1" applyFill="1" applyBorder="1" applyAlignment="1" applyProtection="1">
      <alignment horizontal="right" vertical="center" wrapText="1"/>
      <protection locked="0"/>
    </xf>
    <xf numFmtId="2" fontId="53" fillId="27" borderId="0" xfId="240" applyNumberFormat="1" applyFont="1" applyFill="1" applyBorder="1" applyAlignment="1" applyProtection="1">
      <alignment horizontal="center" vertical="center" wrapText="1"/>
      <protection locked="0"/>
    </xf>
    <xf numFmtId="0" fontId="53" fillId="27" borderId="0" xfId="240" applyFont="1" applyFill="1" applyBorder="1" applyAlignment="1" applyProtection="1">
      <alignment horizontal="center" vertical="center" wrapText="1"/>
      <protection locked="0"/>
    </xf>
    <xf numFmtId="1" fontId="7" fillId="27" borderId="26" xfId="359" applyNumberFormat="1" applyFont="1" applyFill="1" applyBorder="1" applyAlignment="1" applyProtection="1">
      <alignment horizontal="center" vertical="center" wrapText="1"/>
      <protection locked="0"/>
    </xf>
    <xf numFmtId="0" fontId="3" fillId="33" borderId="48" xfId="240" applyFont="1" applyFill="1" applyBorder="1" applyAlignment="1" applyProtection="1">
      <alignment horizontal="left" vertical="center" wrapText="1"/>
      <protection locked="0"/>
    </xf>
    <xf numFmtId="44" fontId="7" fillId="0" borderId="63" xfId="198" applyFont="1" applyFill="1" applyBorder="1" applyAlignment="1" applyProtection="1">
      <alignment horizontal="center" vertical="center" wrapText="1"/>
      <protection locked="0"/>
    </xf>
    <xf numFmtId="44" fontId="7" fillId="0" borderId="64" xfId="198" applyFont="1" applyFill="1" applyBorder="1" applyAlignment="1" applyProtection="1">
      <alignment horizontal="center" vertical="center" wrapText="1"/>
      <protection locked="0"/>
    </xf>
    <xf numFmtId="44" fontId="4" fillId="27" borderId="0" xfId="198" applyFont="1" applyFill="1" applyBorder="1" applyAlignment="1" applyProtection="1">
      <alignment horizontal="center" vertical="center"/>
      <protection locked="0"/>
    </xf>
    <xf numFmtId="44" fontId="7" fillId="27" borderId="47" xfId="198" applyFont="1" applyFill="1" applyBorder="1" applyAlignment="1" applyProtection="1">
      <alignment horizontal="center" vertical="center" wrapText="1"/>
      <protection locked="0"/>
    </xf>
    <xf numFmtId="0" fontId="9" fillId="0" borderId="0" xfId="0" applyFont="1" applyAlignment="1">
      <alignment vertical="center"/>
    </xf>
    <xf numFmtId="0" fontId="9" fillId="27" borderId="0" xfId="240" applyFont="1" applyFill="1" applyAlignment="1">
      <alignment vertical="center"/>
    </xf>
    <xf numFmtId="0" fontId="9" fillId="0" borderId="0" xfId="0" applyFont="1" applyBorder="1" applyAlignment="1">
      <alignment vertical="center"/>
    </xf>
    <xf numFmtId="0" fontId="9" fillId="34" borderId="0" xfId="0" applyFont="1" applyFill="1" applyAlignment="1">
      <alignment vertical="center"/>
    </xf>
    <xf numFmtId="10" fontId="9" fillId="34" borderId="0" xfId="0" applyNumberFormat="1" applyFont="1" applyFill="1" applyAlignment="1">
      <alignment vertical="center"/>
    </xf>
    <xf numFmtId="4" fontId="9" fillId="0" borderId="0" xfId="0" applyNumberFormat="1" applyFont="1" applyAlignment="1">
      <alignment vertical="center"/>
    </xf>
    <xf numFmtId="9" fontId="9" fillId="0" borderId="0" xfId="0" applyNumberFormat="1" applyFont="1" applyAlignment="1">
      <alignment vertical="center"/>
    </xf>
    <xf numFmtId="10" fontId="9" fillId="0" borderId="0" xfId="0" applyNumberFormat="1" applyFont="1" applyAlignment="1">
      <alignment vertical="center"/>
    </xf>
    <xf numFmtId="0" fontId="9" fillId="27" borderId="0" xfId="240" applyFont="1" applyFill="1" applyBorder="1" applyAlignment="1">
      <alignment vertical="center"/>
    </xf>
    <xf numFmtId="0" fontId="10" fillId="32" borderId="65" xfId="240" applyFont="1" applyFill="1" applyBorder="1" applyAlignment="1">
      <alignment vertical="center"/>
    </xf>
    <xf numFmtId="0" fontId="10" fillId="32" borderId="66" xfId="240" applyFont="1" applyFill="1" applyBorder="1" applyAlignment="1">
      <alignment vertical="center"/>
    </xf>
    <xf numFmtId="187" fontId="48" fillId="32" borderId="67" xfId="490" applyNumberFormat="1" applyFont="1" applyFill="1" applyBorder="1" applyAlignment="1">
      <alignment horizontal="center" vertical="center"/>
    </xf>
    <xf numFmtId="0" fontId="10" fillId="32" borderId="68" xfId="240" applyFont="1" applyFill="1" applyBorder="1" applyAlignment="1">
      <alignment horizontal="left" vertical="center"/>
    </xf>
    <xf numFmtId="3" fontId="9" fillId="27" borderId="0" xfId="490" applyNumberFormat="1" applyFont="1" applyFill="1">
      <alignment vertical="center"/>
    </xf>
    <xf numFmtId="0" fontId="9" fillId="27" borderId="0" xfId="0" applyFont="1" applyFill="1" applyAlignment="1">
      <alignment vertical="center"/>
    </xf>
    <xf numFmtId="0" fontId="47" fillId="27" borderId="0" xfId="0" applyFont="1" applyFill="1" applyAlignment="1">
      <alignment horizontal="center" vertical="center"/>
    </xf>
    <xf numFmtId="0" fontId="10" fillId="35" borderId="20" xfId="0" applyFont="1" applyFill="1" applyBorder="1" applyAlignment="1">
      <alignment vertical="center"/>
    </xf>
    <xf numFmtId="0" fontId="10" fillId="35" borderId="0" xfId="0" applyFont="1" applyFill="1" applyBorder="1" applyAlignment="1">
      <alignment vertical="center"/>
    </xf>
    <xf numFmtId="0" fontId="10" fillId="35" borderId="21" xfId="0" applyFont="1" applyFill="1" applyBorder="1" applyAlignment="1">
      <alignment horizontal="left" vertical="center"/>
    </xf>
    <xf numFmtId="0" fontId="9" fillId="27" borderId="0" xfId="0" applyFont="1" applyFill="1" applyBorder="1" applyAlignment="1">
      <alignment vertical="center"/>
    </xf>
    <xf numFmtId="10" fontId="9" fillId="27" borderId="0" xfId="0" applyNumberFormat="1" applyFont="1" applyFill="1" applyAlignment="1">
      <alignment vertical="center"/>
    </xf>
    <xf numFmtId="4" fontId="9" fillId="27" borderId="0" xfId="0" applyNumberFormat="1" applyFont="1" applyFill="1" applyAlignment="1">
      <alignment vertical="center"/>
    </xf>
    <xf numFmtId="9" fontId="9" fillId="27" borderId="0" xfId="0" applyNumberFormat="1" applyFont="1" applyFill="1" applyAlignment="1">
      <alignment vertical="center"/>
    </xf>
    <xf numFmtId="4" fontId="47" fillId="27" borderId="0" xfId="0" applyNumberFormat="1" applyFont="1" applyFill="1" applyAlignment="1">
      <alignment horizontal="center" vertical="center"/>
    </xf>
    <xf numFmtId="0" fontId="9" fillId="27" borderId="0" xfId="0" applyFont="1" applyFill="1" applyBorder="1" applyAlignment="1">
      <alignment horizontal="left" vertical="center"/>
    </xf>
    <xf numFmtId="0" fontId="9" fillId="27" borderId="0" xfId="0" applyFont="1" applyFill="1" applyBorder="1" applyAlignment="1">
      <alignment horizontal="center" vertical="center"/>
    </xf>
    <xf numFmtId="3" fontId="9" fillId="27" borderId="0" xfId="490" applyNumberFormat="1" applyFont="1" applyFill="1" applyBorder="1" applyAlignment="1">
      <alignment horizontal="center" vertical="center"/>
    </xf>
    <xf numFmtId="0" fontId="9" fillId="27" borderId="0" xfId="0" applyFont="1" applyFill="1" applyBorder="1" applyAlignment="1">
      <alignment horizontal="left" vertical="center" wrapText="1"/>
    </xf>
    <xf numFmtId="4" fontId="9" fillId="27" borderId="0" xfId="0" applyNumberFormat="1" applyFont="1" applyFill="1" applyBorder="1" applyAlignment="1">
      <alignment horizontal="left" vertical="center"/>
    </xf>
    <xf numFmtId="9" fontId="9" fillId="27" borderId="0" xfId="372" applyFont="1" applyFill="1" applyBorder="1" applyAlignment="1">
      <alignment vertical="center"/>
    </xf>
    <xf numFmtId="0" fontId="10" fillId="35" borderId="62" xfId="0" applyFont="1" applyFill="1" applyBorder="1" applyAlignment="1">
      <alignment vertical="center"/>
    </xf>
    <xf numFmtId="0" fontId="10" fillId="35" borderId="63" xfId="0" applyFont="1" applyFill="1" applyBorder="1" applyAlignment="1">
      <alignment vertical="center"/>
    </xf>
    <xf numFmtId="0" fontId="10" fillId="35" borderId="64" xfId="0" applyFont="1" applyFill="1" applyBorder="1" applyAlignment="1">
      <alignment horizontal="left" vertical="center"/>
    </xf>
    <xf numFmtId="0" fontId="9" fillId="0" borderId="69" xfId="0" applyFont="1" applyBorder="1" applyAlignment="1">
      <alignment horizontal="left" vertical="center"/>
    </xf>
    <xf numFmtId="0" fontId="4" fillId="0" borderId="69" xfId="0" applyFont="1" applyBorder="1" applyAlignment="1">
      <alignment horizontal="center" vertical="center"/>
    </xf>
    <xf numFmtId="3" fontId="9" fillId="0" borderId="62" xfId="490" applyNumberFormat="1" applyFont="1" applyBorder="1" applyAlignment="1">
      <alignment vertical="center"/>
    </xf>
    <xf numFmtId="0" fontId="9" fillId="0" borderId="63" xfId="0" applyFont="1" applyBorder="1" applyAlignment="1">
      <alignment horizontal="left" vertical="center"/>
    </xf>
    <xf numFmtId="4" fontId="9" fillId="0" borderId="69" xfId="490" applyNumberFormat="1" applyFont="1" applyBorder="1" applyAlignment="1">
      <alignment vertical="center"/>
    </xf>
    <xf numFmtId="3" fontId="9" fillId="0" borderId="69" xfId="490" applyNumberFormat="1" applyFont="1" applyBorder="1" applyAlignment="1">
      <alignment vertical="center"/>
    </xf>
    <xf numFmtId="0" fontId="9" fillId="0" borderId="69" xfId="0" applyFont="1" applyBorder="1" applyAlignment="1">
      <alignment horizontal="left" vertical="center" wrapText="1"/>
    </xf>
    <xf numFmtId="3" fontId="9" fillId="0" borderId="69" xfId="0" applyNumberFormat="1" applyFont="1" applyBorder="1" applyAlignment="1">
      <alignment vertical="center"/>
    </xf>
    <xf numFmtId="0" fontId="9" fillId="0" borderId="69" xfId="0" applyFont="1" applyBorder="1" applyAlignment="1">
      <alignment horizontal="center" vertical="center"/>
    </xf>
    <xf numFmtId="4" fontId="9" fillId="27" borderId="0" xfId="0" applyNumberFormat="1" applyFont="1" applyFill="1" applyBorder="1" applyAlignment="1">
      <alignment vertical="center"/>
    </xf>
    <xf numFmtId="0" fontId="9" fillId="27" borderId="69" xfId="0" applyFont="1" applyFill="1" applyBorder="1" applyAlignment="1">
      <alignment horizontal="center" vertical="center"/>
    </xf>
    <xf numFmtId="0" fontId="10" fillId="35" borderId="63" xfId="0" applyFont="1" applyFill="1" applyBorder="1" applyAlignment="1">
      <alignment horizontal="left" vertical="center"/>
    </xf>
    <xf numFmtId="0" fontId="9" fillId="27" borderId="69" xfId="0" applyFont="1" applyFill="1" applyBorder="1" applyAlignment="1">
      <alignment horizontal="justify" vertical="center" wrapText="1"/>
    </xf>
    <xf numFmtId="0" fontId="9" fillId="27" borderId="70" xfId="0" applyFont="1" applyFill="1" applyBorder="1" applyAlignment="1">
      <alignment horizontal="left" vertical="center" wrapText="1"/>
    </xf>
    <xf numFmtId="0" fontId="10" fillId="35" borderId="62" xfId="219" applyFont="1" applyFill="1" applyBorder="1" applyAlignment="1">
      <alignment vertical="center"/>
    </xf>
    <xf numFmtId="0" fontId="10" fillId="35" borderId="63" xfId="219" applyFont="1" applyFill="1" applyBorder="1" applyAlignment="1">
      <alignment vertical="center"/>
    </xf>
    <xf numFmtId="0" fontId="10" fillId="35" borderId="63" xfId="219" applyFont="1" applyFill="1" applyBorder="1" applyAlignment="1">
      <alignment horizontal="left" vertical="center"/>
    </xf>
    <xf numFmtId="4" fontId="9" fillId="35" borderId="63" xfId="490" applyNumberFormat="1" applyFont="1" applyFill="1" applyBorder="1" applyAlignment="1">
      <alignment vertical="center"/>
    </xf>
    <xf numFmtId="0" fontId="9" fillId="0" borderId="0" xfId="0" applyFont="1" applyAlignment="1">
      <alignment horizontal="center" vertical="center"/>
    </xf>
    <xf numFmtId="0" fontId="9" fillId="0" borderId="0" xfId="0" applyFont="1" applyAlignment="1">
      <alignment horizontal="left" vertical="center"/>
    </xf>
    <xf numFmtId="0" fontId="4" fillId="27" borderId="0" xfId="0" applyFont="1" applyFill="1" applyAlignment="1">
      <alignment horizontal="center" vertical="center"/>
    </xf>
    <xf numFmtId="44" fontId="7" fillId="32" borderId="46" xfId="198" applyFont="1" applyFill="1" applyBorder="1" applyAlignment="1" applyProtection="1">
      <alignment horizontal="right" vertical="center" wrapText="1"/>
      <protection locked="0"/>
    </xf>
    <xf numFmtId="44" fontId="7" fillId="32" borderId="47" xfId="198" applyFont="1" applyFill="1" applyBorder="1" applyAlignment="1" applyProtection="1">
      <alignment horizontal="center" vertical="center" wrapText="1"/>
      <protection locked="0"/>
    </xf>
    <xf numFmtId="169" fontId="7" fillId="27" borderId="21" xfId="203" applyFont="1" applyFill="1" applyBorder="1" applyAlignment="1" applyProtection="1">
      <alignment horizontal="center" vertical="center" wrapText="1"/>
      <protection locked="0"/>
    </xf>
    <xf numFmtId="44" fontId="7" fillId="36" borderId="46" xfId="198" applyFont="1" applyFill="1" applyBorder="1" applyAlignment="1" applyProtection="1">
      <alignment horizontal="right" vertical="center" wrapText="1"/>
      <protection locked="0"/>
    </xf>
    <xf numFmtId="44" fontId="7" fillId="36" borderId="47" xfId="198" applyFont="1" applyFill="1" applyBorder="1" applyAlignment="1" applyProtection="1">
      <alignment horizontal="center" vertical="center" wrapText="1"/>
      <protection locked="0"/>
    </xf>
    <xf numFmtId="3" fontId="9" fillId="0" borderId="0" xfId="490" applyNumberFormat="1" applyFont="1">
      <alignment vertical="center"/>
    </xf>
    <xf numFmtId="0" fontId="47" fillId="0" borderId="0" xfId="0" applyFont="1" applyAlignment="1">
      <alignment horizontal="center" vertical="center"/>
    </xf>
    <xf numFmtId="0" fontId="9" fillId="27" borderId="0" xfId="240" applyFont="1" applyFill="1" applyAlignment="1">
      <alignment horizontal="left" vertical="center"/>
    </xf>
    <xf numFmtId="0" fontId="9" fillId="27" borderId="0" xfId="240" applyFont="1" applyFill="1" applyBorder="1" applyAlignment="1">
      <alignment horizontal="left" vertical="center"/>
    </xf>
    <xf numFmtId="187" fontId="48" fillId="32" borderId="67" xfId="490" applyNumberFormat="1" applyFont="1" applyFill="1" applyBorder="1" applyAlignment="1">
      <alignment horizontal="center" vertical="center" wrapText="1"/>
    </xf>
    <xf numFmtId="4" fontId="10" fillId="27" borderId="0" xfId="490" applyNumberFormat="1" applyFont="1" applyFill="1" applyBorder="1" applyAlignment="1">
      <alignment horizontal="center" vertical="center"/>
    </xf>
    <xf numFmtId="0" fontId="9" fillId="27" borderId="0" xfId="0" applyFont="1" applyFill="1" applyAlignment="1">
      <alignment horizontal="left" vertical="center"/>
    </xf>
    <xf numFmtId="0" fontId="10" fillId="27" borderId="69" xfId="240" applyFont="1" applyFill="1" applyBorder="1" applyAlignment="1">
      <alignment horizontal="center" vertical="center" wrapText="1"/>
    </xf>
    <xf numFmtId="3" fontId="9" fillId="0" borderId="62" xfId="490" applyNumberFormat="1" applyFont="1" applyBorder="1">
      <alignment vertical="center"/>
    </xf>
    <xf numFmtId="3" fontId="9" fillId="0" borderId="69" xfId="490" applyNumberFormat="1" applyFont="1" applyBorder="1">
      <alignment vertical="center"/>
    </xf>
    <xf numFmtId="3" fontId="9" fillId="0" borderId="0" xfId="0" applyNumberFormat="1" applyFont="1" applyAlignment="1">
      <alignment vertical="center"/>
    </xf>
    <xf numFmtId="0" fontId="4" fillId="0" borderId="0" xfId="0" applyFont="1" applyAlignment="1">
      <alignment horizontal="center" vertical="center"/>
    </xf>
    <xf numFmtId="4" fontId="10" fillId="0" borderId="69" xfId="490" applyNumberFormat="1" applyFont="1" applyFill="1" applyBorder="1" applyAlignment="1">
      <alignment horizontal="center" vertical="center"/>
    </xf>
    <xf numFmtId="0" fontId="9" fillId="0" borderId="62" xfId="0" applyFont="1" applyBorder="1" applyAlignment="1">
      <alignment horizontal="left" vertical="center" wrapText="1"/>
    </xf>
    <xf numFmtId="0" fontId="9" fillId="0" borderId="62" xfId="0" applyFont="1" applyBorder="1" applyAlignment="1">
      <alignment horizontal="left" vertical="center"/>
    </xf>
    <xf numFmtId="2" fontId="9" fillId="0" borderId="62" xfId="490" applyNumberFormat="1" applyFont="1" applyBorder="1">
      <alignment vertical="center"/>
    </xf>
    <xf numFmtId="4" fontId="10" fillId="27" borderId="69" xfId="490" applyNumberFormat="1" applyFont="1" applyFill="1" applyBorder="1" applyAlignment="1">
      <alignment horizontal="center" vertical="center"/>
    </xf>
    <xf numFmtId="2" fontId="9" fillId="0" borderId="69" xfId="490" applyNumberFormat="1" applyFont="1" applyFill="1" applyBorder="1">
      <alignment vertical="center"/>
    </xf>
    <xf numFmtId="0" fontId="9" fillId="27" borderId="62" xfId="0" applyFont="1" applyFill="1" applyBorder="1" applyAlignment="1">
      <alignment horizontal="left" vertical="center" wrapText="1"/>
    </xf>
    <xf numFmtId="4" fontId="9" fillId="27" borderId="69" xfId="490" applyNumberFormat="1" applyFont="1" applyFill="1" applyBorder="1">
      <alignment vertical="center"/>
    </xf>
    <xf numFmtId="4" fontId="9" fillId="0" borderId="62" xfId="490" applyNumberFormat="1" applyFont="1" applyBorder="1">
      <alignment vertical="center"/>
    </xf>
    <xf numFmtId="0" fontId="9" fillId="0" borderId="62" xfId="0" applyFont="1" applyFill="1" applyBorder="1" applyAlignment="1">
      <alignment horizontal="left" vertical="center" wrapText="1"/>
    </xf>
    <xf numFmtId="0" fontId="9" fillId="0" borderId="62" xfId="0" applyFont="1" applyFill="1" applyBorder="1" applyAlignment="1">
      <alignment horizontal="left" vertical="center"/>
    </xf>
    <xf numFmtId="4" fontId="9" fillId="0" borderId="69" xfId="490" applyNumberFormat="1" applyFont="1" applyFill="1" applyBorder="1">
      <alignment vertical="center"/>
    </xf>
    <xf numFmtId="0" fontId="9" fillId="0" borderId="69" xfId="0" applyFont="1" applyFill="1" applyBorder="1" applyAlignment="1">
      <alignment horizontal="left" vertical="center"/>
    </xf>
    <xf numFmtId="0" fontId="9" fillId="0" borderId="0" xfId="0" applyFont="1" applyBorder="1"/>
    <xf numFmtId="0" fontId="9" fillId="27" borderId="62" xfId="0" applyFont="1" applyFill="1" applyBorder="1" applyAlignment="1">
      <alignment horizontal="left" vertical="center"/>
    </xf>
    <xf numFmtId="4" fontId="10" fillId="35" borderId="63" xfId="490" applyNumberFormat="1" applyFont="1" applyFill="1" applyBorder="1">
      <alignment vertical="center"/>
    </xf>
    <xf numFmtId="4" fontId="10" fillId="35" borderId="62" xfId="490" applyNumberFormat="1" applyFont="1" applyFill="1" applyBorder="1" applyAlignment="1">
      <alignment vertical="center"/>
    </xf>
    <xf numFmtId="4" fontId="9" fillId="35" borderId="63" xfId="490" applyNumberFormat="1" applyFont="1" applyFill="1" applyBorder="1" applyAlignment="1">
      <alignment horizontal="left" vertical="center"/>
    </xf>
    <xf numFmtId="4" fontId="3" fillId="0" borderId="0" xfId="0" applyNumberFormat="1" applyFont="1" applyAlignment="1">
      <alignment horizontal="center"/>
    </xf>
    <xf numFmtId="9" fontId="3" fillId="0" borderId="0" xfId="359" applyFont="1" applyAlignment="1">
      <alignment horizontal="center"/>
    </xf>
    <xf numFmtId="0" fontId="9" fillId="27" borderId="0" xfId="0" applyFont="1" applyFill="1" applyAlignment="1">
      <alignment horizontal="center" vertical="center"/>
    </xf>
    <xf numFmtId="2" fontId="7" fillId="27" borderId="25" xfId="240" applyNumberFormat="1" applyFont="1" applyFill="1" applyBorder="1" applyAlignment="1" applyProtection="1">
      <alignment horizontal="center" vertical="center" wrapText="1"/>
      <protection locked="0"/>
    </xf>
    <xf numFmtId="0" fontId="7" fillId="27" borderId="0" xfId="242" applyFont="1" applyFill="1" applyBorder="1" applyAlignment="1" applyProtection="1">
      <alignment horizontal="right" vertical="center" wrapText="1"/>
      <protection locked="0"/>
    </xf>
    <xf numFmtId="0" fontId="7" fillId="27" borderId="20" xfId="240" applyFont="1" applyFill="1" applyBorder="1" applyAlignment="1" applyProtection="1">
      <alignment horizontal="center" vertical="center" wrapText="1"/>
      <protection locked="0"/>
    </xf>
    <xf numFmtId="0" fontId="7" fillId="27" borderId="0" xfId="240" applyFont="1" applyFill="1" applyBorder="1" applyAlignment="1" applyProtection="1">
      <alignment horizontal="center" vertical="center" wrapText="1"/>
      <protection locked="0"/>
    </xf>
    <xf numFmtId="0" fontId="7" fillId="27" borderId="21" xfId="240" applyFont="1" applyFill="1" applyBorder="1" applyAlignment="1" applyProtection="1">
      <alignment horizontal="center" vertical="center" wrapText="1"/>
      <protection locked="0"/>
    </xf>
    <xf numFmtId="0" fontId="7" fillId="27" borderId="46" xfId="240" applyFont="1" applyFill="1" applyBorder="1" applyAlignment="1" applyProtection="1">
      <alignment horizontal="center" vertical="center" wrapText="1"/>
      <protection locked="0"/>
    </xf>
    <xf numFmtId="0" fontId="7" fillId="27" borderId="47" xfId="240" applyFont="1" applyFill="1" applyBorder="1" applyAlignment="1" applyProtection="1">
      <alignment horizontal="center" vertical="center" wrapText="1"/>
      <protection locked="0"/>
    </xf>
    <xf numFmtId="0" fontId="3" fillId="27" borderId="0" xfId="240" applyFont="1" applyFill="1" applyBorder="1" applyAlignment="1" applyProtection="1">
      <alignment horizontal="right" vertical="center" wrapText="1"/>
      <protection locked="0"/>
    </xf>
    <xf numFmtId="180" fontId="3" fillId="27" borderId="0" xfId="240" applyNumberFormat="1" applyFont="1" applyFill="1" applyBorder="1" applyAlignment="1" applyProtection="1">
      <alignment horizontal="center" vertical="center" wrapText="1"/>
      <protection locked="0"/>
    </xf>
    <xf numFmtId="0" fontId="7" fillId="27" borderId="0" xfId="240" applyFont="1" applyFill="1" applyBorder="1" applyAlignment="1" applyProtection="1">
      <alignment horizontal="center" vertical="center"/>
      <protection locked="0"/>
    </xf>
    <xf numFmtId="0" fontId="3" fillId="27" borderId="0" xfId="240" applyFont="1" applyFill="1" applyBorder="1" applyAlignment="1" applyProtection="1">
      <alignment horizontal="center" vertical="center" wrapText="1"/>
      <protection locked="0"/>
    </xf>
    <xf numFmtId="0" fontId="7" fillId="27" borderId="58" xfId="240" applyFont="1" applyFill="1" applyBorder="1" applyAlignment="1" applyProtection="1">
      <alignment horizontal="center" vertical="center"/>
      <protection locked="0"/>
    </xf>
    <xf numFmtId="2" fontId="3" fillId="27" borderId="0" xfId="240" applyNumberFormat="1" applyFont="1" applyFill="1" applyBorder="1" applyAlignment="1" applyProtection="1">
      <alignment horizontal="center" vertical="center" wrapText="1"/>
      <protection locked="0"/>
    </xf>
    <xf numFmtId="0" fontId="7" fillId="27" borderId="57" xfId="240" applyFont="1" applyFill="1" applyBorder="1" applyAlignment="1" applyProtection="1">
      <alignment horizontal="center" vertical="center"/>
      <protection locked="0"/>
    </xf>
    <xf numFmtId="0" fontId="3" fillId="27" borderId="25" xfId="240" applyFont="1" applyFill="1" applyBorder="1" applyAlignment="1" applyProtection="1">
      <alignment horizontal="left" vertical="center" wrapText="1"/>
      <protection locked="0"/>
    </xf>
    <xf numFmtId="0" fontId="7" fillId="27" borderId="59" xfId="240" applyFont="1" applyFill="1" applyBorder="1" applyAlignment="1" applyProtection="1">
      <alignment horizontal="center" vertical="center"/>
      <protection locked="0"/>
    </xf>
    <xf numFmtId="0" fontId="7" fillId="27" borderId="60" xfId="240" applyFont="1" applyFill="1" applyBorder="1" applyAlignment="1" applyProtection="1">
      <alignment horizontal="center" vertical="center"/>
      <protection locked="0"/>
    </xf>
    <xf numFmtId="0" fontId="3" fillId="27" borderId="25" xfId="240" applyFont="1" applyFill="1" applyBorder="1" applyAlignment="1" applyProtection="1">
      <alignment horizontal="right" vertical="center" wrapText="1"/>
      <protection locked="0"/>
    </xf>
    <xf numFmtId="2" fontId="3" fillId="27" borderId="43" xfId="240" applyNumberFormat="1" applyFont="1" applyFill="1" applyBorder="1" applyAlignment="1" applyProtection="1">
      <alignment horizontal="center" vertical="center" wrapText="1"/>
      <protection locked="0"/>
    </xf>
    <xf numFmtId="2" fontId="3" fillId="27" borderId="21" xfId="240" applyNumberFormat="1" applyFont="1" applyFill="1" applyBorder="1" applyAlignment="1" applyProtection="1">
      <alignment horizontal="center" vertical="center" wrapText="1"/>
      <protection locked="0"/>
    </xf>
    <xf numFmtId="0" fontId="3" fillId="27" borderId="20" xfId="240" applyFont="1" applyFill="1" applyBorder="1" applyAlignment="1" applyProtection="1">
      <alignment horizontal="right" vertical="center" wrapText="1"/>
      <protection locked="0"/>
    </xf>
    <xf numFmtId="0" fontId="3" fillId="27" borderId="43" xfId="240" applyFont="1" applyFill="1" applyBorder="1" applyAlignment="1" applyProtection="1">
      <alignment horizontal="right" vertical="center" wrapText="1"/>
      <protection locked="0"/>
    </xf>
    <xf numFmtId="0" fontId="3" fillId="27" borderId="21" xfId="240" applyFont="1" applyFill="1" applyBorder="1" applyAlignment="1" applyProtection="1">
      <alignment horizontal="center" vertical="center" wrapText="1"/>
      <protection locked="0"/>
    </xf>
    <xf numFmtId="2" fontId="3" fillId="27" borderId="0" xfId="240" applyNumberFormat="1" applyFont="1" applyFill="1" applyBorder="1" applyAlignment="1" applyProtection="1">
      <alignment horizontal="right" vertical="center" wrapText="1"/>
      <protection locked="0"/>
    </xf>
    <xf numFmtId="0" fontId="3" fillId="27" borderId="20" xfId="240" applyFont="1" applyFill="1" applyBorder="1" applyAlignment="1" applyProtection="1">
      <alignment horizontal="left" vertical="center" wrapText="1"/>
      <protection locked="0"/>
    </xf>
    <xf numFmtId="0" fontId="7" fillId="27" borderId="20" xfId="240" applyFont="1" applyFill="1" applyBorder="1" applyAlignment="1" applyProtection="1">
      <alignment horizontal="left" vertical="center" wrapText="1"/>
      <protection locked="0"/>
    </xf>
    <xf numFmtId="44" fontId="58" fillId="0" borderId="0" xfId="198" applyFont="1"/>
    <xf numFmtId="44" fontId="66" fillId="0" borderId="0" xfId="198" applyFont="1"/>
    <xf numFmtId="44" fontId="68" fillId="0" borderId="27" xfId="198" applyFont="1" applyBorder="1" applyAlignment="1">
      <alignment horizontal="center" vertical="center"/>
    </xf>
    <xf numFmtId="44" fontId="58" fillId="28" borderId="0" xfId="198" applyFont="1" applyFill="1"/>
    <xf numFmtId="44" fontId="66" fillId="28" borderId="0" xfId="198" applyFont="1" applyFill="1"/>
    <xf numFmtId="0" fontId="7" fillId="32" borderId="53" xfId="0" applyFont="1" applyFill="1" applyBorder="1" applyAlignment="1">
      <alignment horizontal="center" vertical="center"/>
    </xf>
    <xf numFmtId="1" fontId="3" fillId="27" borderId="72" xfId="0" applyNumberFormat="1" applyFont="1" applyFill="1" applyBorder="1" applyAlignment="1" applyProtection="1">
      <alignment horizontal="left" vertical="center"/>
      <protection locked="0"/>
    </xf>
    <xf numFmtId="1" fontId="3" fillId="27" borderId="21" xfId="240" applyNumberFormat="1" applyFont="1" applyFill="1" applyBorder="1" applyAlignment="1" applyProtection="1">
      <alignment horizontal="center" vertical="center" wrapText="1"/>
      <protection locked="0"/>
    </xf>
    <xf numFmtId="180" fontId="45" fillId="27" borderId="0" xfId="240" applyNumberFormat="1" applyFont="1" applyFill="1" applyBorder="1" applyAlignment="1" applyProtection="1">
      <alignment horizontal="center" vertical="center" wrapText="1"/>
      <protection locked="0"/>
    </xf>
    <xf numFmtId="0" fontId="3" fillId="27" borderId="20" xfId="240" applyFont="1" applyFill="1" applyBorder="1" applyAlignment="1" applyProtection="1">
      <alignment horizontal="left" vertical="center" wrapText="1"/>
      <protection locked="0"/>
    </xf>
    <xf numFmtId="169" fontId="7" fillId="30" borderId="46" xfId="203" applyFont="1" applyFill="1" applyBorder="1" applyAlignment="1" applyProtection="1">
      <alignment horizontal="right" vertical="center" wrapText="1"/>
      <protection locked="0"/>
    </xf>
    <xf numFmtId="169" fontId="7" fillId="30" borderId="47" xfId="203" applyFont="1" applyFill="1" applyBorder="1" applyAlignment="1" applyProtection="1">
      <alignment horizontal="center" vertical="center" wrapText="1"/>
      <protection locked="0"/>
    </xf>
    <xf numFmtId="169" fontId="7" fillId="27" borderId="0" xfId="203" applyFont="1" applyFill="1" applyBorder="1" applyAlignment="1" applyProtection="1">
      <alignment horizontal="right" vertical="center" wrapText="1"/>
      <protection locked="0"/>
    </xf>
    <xf numFmtId="169" fontId="3" fillId="27" borderId="21" xfId="203" applyFont="1" applyFill="1" applyBorder="1" applyAlignment="1" applyProtection="1">
      <alignment horizontal="center" vertical="center" wrapText="1"/>
      <protection locked="0"/>
    </xf>
    <xf numFmtId="169" fontId="7" fillId="27" borderId="47" xfId="203" applyFont="1" applyFill="1" applyBorder="1" applyAlignment="1" applyProtection="1">
      <alignment horizontal="center" vertical="center" wrapText="1"/>
      <protection locked="0"/>
    </xf>
    <xf numFmtId="169" fontId="3" fillId="27" borderId="0" xfId="203" applyFont="1" applyFill="1" applyBorder="1" applyAlignment="1" applyProtection="1">
      <alignment horizontal="center" vertical="center" wrapText="1"/>
      <protection locked="0"/>
    </xf>
    <xf numFmtId="169" fontId="7" fillId="36" borderId="46" xfId="203" applyFont="1" applyFill="1" applyBorder="1" applyAlignment="1" applyProtection="1">
      <alignment horizontal="right" vertical="center" wrapText="1"/>
      <protection locked="0"/>
    </xf>
    <xf numFmtId="169" fontId="7" fillId="36" borderId="47" xfId="203" applyFont="1" applyFill="1" applyBorder="1" applyAlignment="1" applyProtection="1">
      <alignment horizontal="center" vertical="center" wrapText="1"/>
      <protection locked="0"/>
    </xf>
    <xf numFmtId="0" fontId="0" fillId="0" borderId="0" xfId="0" applyAlignment="1">
      <alignment vertical="center"/>
    </xf>
    <xf numFmtId="0" fontId="0" fillId="0" borderId="0" xfId="0" applyAlignment="1">
      <alignment vertical="center" wrapText="1"/>
    </xf>
    <xf numFmtId="0" fontId="0" fillId="0" borderId="0" xfId="0" applyAlignment="1">
      <alignment horizontal="center" vertical="center"/>
    </xf>
    <xf numFmtId="0" fontId="7" fillId="27" borderId="0" xfId="242" applyFont="1" applyFill="1" applyBorder="1" applyAlignment="1" applyProtection="1">
      <alignment horizontal="right" vertical="center" wrapText="1"/>
      <protection locked="0"/>
    </xf>
    <xf numFmtId="0" fontId="9" fillId="27" borderId="20" xfId="0" applyFont="1" applyFill="1" applyBorder="1" applyAlignment="1">
      <alignment horizontal="left"/>
    </xf>
    <xf numFmtId="0" fontId="9" fillId="27" borderId="0" xfId="0" applyFont="1" applyFill="1" applyBorder="1" applyAlignment="1">
      <alignment horizontal="center"/>
    </xf>
    <xf numFmtId="167" fontId="10" fillId="0" borderId="0" xfId="502" applyFont="1"/>
    <xf numFmtId="0" fontId="10" fillId="0" borderId="0" xfId="0" applyFont="1"/>
    <xf numFmtId="189" fontId="10" fillId="0" borderId="0" xfId="377" applyNumberFormat="1" applyFont="1"/>
    <xf numFmtId="167" fontId="9" fillId="0" borderId="0" xfId="502" applyFont="1"/>
    <xf numFmtId="167" fontId="9" fillId="0" borderId="0" xfId="502" applyFont="1" applyBorder="1"/>
    <xf numFmtId="189" fontId="9" fillId="0" borderId="0" xfId="377" applyNumberFormat="1" applyFont="1"/>
    <xf numFmtId="177" fontId="10" fillId="27" borderId="21" xfId="502" applyNumberFormat="1" applyFont="1" applyFill="1" applyBorder="1" applyAlignment="1">
      <alignment horizontal="center" vertical="center"/>
    </xf>
    <xf numFmtId="43" fontId="10" fillId="27" borderId="21" xfId="0" applyNumberFormat="1" applyFont="1" applyFill="1" applyBorder="1" applyAlignment="1">
      <alignment vertical="center"/>
    </xf>
    <xf numFmtId="0" fontId="9" fillId="27" borderId="18" xfId="241" applyFont="1" applyFill="1" applyBorder="1" applyAlignment="1" applyProtection="1">
      <alignment horizontal="center" vertical="center" wrapText="1"/>
      <protection locked="0"/>
    </xf>
    <xf numFmtId="0" fontId="9" fillId="27" borderId="0" xfId="241" applyFont="1" applyFill="1" applyBorder="1" applyAlignment="1" applyProtection="1">
      <alignment horizontal="center" vertical="center" wrapText="1"/>
      <protection locked="0"/>
    </xf>
    <xf numFmtId="0" fontId="10" fillId="27" borderId="0" xfId="242" applyFont="1" applyFill="1" applyBorder="1" applyAlignment="1" applyProtection="1">
      <alignment horizontal="left" vertical="center" wrapText="1"/>
      <protection locked="0"/>
    </xf>
    <xf numFmtId="0" fontId="10" fillId="27" borderId="20" xfId="241" applyFont="1" applyFill="1" applyBorder="1" applyAlignment="1" applyProtection="1">
      <alignment horizontal="left" vertical="center" wrapText="1"/>
      <protection locked="0"/>
    </xf>
    <xf numFmtId="0" fontId="9" fillId="27" borderId="0" xfId="241" applyFont="1" applyFill="1" applyBorder="1" applyAlignment="1" applyProtection="1">
      <alignment vertical="center" wrapText="1"/>
      <protection locked="0"/>
    </xf>
    <xf numFmtId="0" fontId="9" fillId="27" borderId="0" xfId="241" applyFont="1" applyFill="1" applyBorder="1" applyAlignment="1" applyProtection="1">
      <alignment horizontal="left" vertical="center" wrapText="1"/>
      <protection locked="0"/>
    </xf>
    <xf numFmtId="164" fontId="9" fillId="27" borderId="0" xfId="495" applyNumberFormat="1" applyFont="1" applyFill="1" applyBorder="1" applyAlignment="1" applyProtection="1">
      <alignment horizontal="center" vertical="center" wrapText="1"/>
      <protection locked="0"/>
    </xf>
    <xf numFmtId="4" fontId="10" fillId="27" borderId="0" xfId="349" applyNumberFormat="1" applyFont="1" applyFill="1" applyBorder="1" applyAlignment="1" applyProtection="1">
      <alignment horizontal="right" vertical="center"/>
      <protection locked="0"/>
    </xf>
    <xf numFmtId="10" fontId="9" fillId="27" borderId="21" xfId="241" applyNumberFormat="1" applyFont="1" applyFill="1" applyBorder="1" applyAlignment="1" applyProtection="1">
      <alignment vertical="center" wrapText="1"/>
      <protection locked="0"/>
    </xf>
    <xf numFmtId="0" fontId="10" fillId="27" borderId="45" xfId="241" applyFont="1" applyFill="1" applyBorder="1" applyAlignment="1" applyProtection="1">
      <alignment horizontal="left" vertical="center" wrapText="1"/>
      <protection locked="0"/>
    </xf>
    <xf numFmtId="0" fontId="10" fillId="27" borderId="46" xfId="241" applyFont="1" applyFill="1" applyBorder="1" applyAlignment="1" applyProtection="1">
      <alignment horizontal="left" vertical="center" wrapText="1"/>
      <protection locked="0"/>
    </xf>
    <xf numFmtId="0" fontId="10" fillId="27" borderId="46" xfId="241" applyFont="1" applyFill="1" applyBorder="1" applyAlignment="1" applyProtection="1">
      <alignment horizontal="center" vertical="center" wrapText="1"/>
      <protection locked="0"/>
    </xf>
    <xf numFmtId="164" fontId="10" fillId="27" borderId="46" xfId="495" applyNumberFormat="1" applyFont="1" applyFill="1" applyBorder="1" applyAlignment="1" applyProtection="1">
      <alignment horizontal="center" vertical="center" wrapText="1"/>
      <protection locked="0"/>
    </xf>
    <xf numFmtId="164" fontId="10" fillId="27" borderId="47" xfId="495" applyNumberFormat="1" applyFont="1" applyFill="1" applyBorder="1" applyAlignment="1" applyProtection="1">
      <alignment horizontal="center" vertical="center" wrapText="1"/>
      <protection locked="0"/>
    </xf>
    <xf numFmtId="0" fontId="10" fillId="27" borderId="23" xfId="241" applyFont="1" applyFill="1" applyBorder="1" applyAlignment="1" applyProtection="1">
      <alignment horizontal="left" vertical="center" wrapText="1"/>
      <protection locked="0"/>
    </xf>
    <xf numFmtId="0" fontId="9" fillId="27" borderId="22" xfId="241" applyFont="1" applyFill="1" applyBorder="1" applyAlignment="1" applyProtection="1">
      <alignment horizontal="left" vertical="center" wrapText="1"/>
      <protection locked="0"/>
    </xf>
    <xf numFmtId="0" fontId="10" fillId="27" borderId="22" xfId="241" applyFont="1" applyFill="1" applyBorder="1" applyAlignment="1" applyProtection="1">
      <alignment horizontal="center" vertical="center" wrapText="1"/>
      <protection locked="0"/>
    </xf>
    <xf numFmtId="164" fontId="10" fillId="27" borderId="22" xfId="495" applyNumberFormat="1" applyFont="1" applyFill="1" applyBorder="1" applyAlignment="1" applyProtection="1">
      <alignment horizontal="center" vertical="center" wrapText="1"/>
      <protection locked="0"/>
    </xf>
    <xf numFmtId="164" fontId="10" fillId="27" borderId="24" xfId="495" applyNumberFormat="1" applyFont="1" applyFill="1" applyBorder="1" applyAlignment="1" applyProtection="1">
      <alignment horizontal="center" vertical="center" wrapText="1"/>
      <protection locked="0"/>
    </xf>
    <xf numFmtId="0" fontId="10" fillId="32" borderId="45" xfId="241" applyFont="1" applyFill="1" applyBorder="1" applyAlignment="1" applyProtection="1">
      <alignment horizontal="center" vertical="center" wrapText="1"/>
      <protection locked="0"/>
    </xf>
    <xf numFmtId="0" fontId="10" fillId="32" borderId="46" xfId="241" applyFont="1" applyFill="1" applyBorder="1" applyAlignment="1" applyProtection="1">
      <alignment vertical="center" wrapText="1"/>
      <protection locked="0"/>
    </xf>
    <xf numFmtId="0" fontId="10" fillId="32" borderId="46" xfId="241" applyFont="1" applyFill="1" applyBorder="1" applyAlignment="1" applyProtection="1">
      <alignment horizontal="center" vertical="center" wrapText="1"/>
      <protection locked="0"/>
    </xf>
    <xf numFmtId="44" fontId="10" fillId="32" borderId="46" xfId="198" applyFont="1" applyFill="1" applyBorder="1" applyAlignment="1" applyProtection="1">
      <alignment vertical="center"/>
      <protection locked="0"/>
    </xf>
    <xf numFmtId="44" fontId="10" fillId="32" borderId="47" xfId="198" applyFont="1" applyFill="1" applyBorder="1" applyAlignment="1" applyProtection="1">
      <alignment vertical="center"/>
      <protection locked="0"/>
    </xf>
    <xf numFmtId="0" fontId="9" fillId="27" borderId="20" xfId="241" applyFont="1" applyFill="1" applyBorder="1" applyAlignment="1" applyProtection="1">
      <alignment horizontal="center" vertical="center" wrapText="1"/>
      <protection locked="0"/>
    </xf>
    <xf numFmtId="4" fontId="9" fillId="27" borderId="0" xfId="490" applyNumberFormat="1" applyFont="1" applyFill="1" applyBorder="1" applyAlignment="1" applyProtection="1">
      <alignment horizontal="right" vertical="center"/>
      <protection locked="0"/>
    </xf>
    <xf numFmtId="4" fontId="9" fillId="27" borderId="21" xfId="490" applyNumberFormat="1" applyFont="1" applyFill="1" applyBorder="1" applyAlignment="1" applyProtection="1">
      <alignment horizontal="right" vertical="center"/>
      <protection locked="0"/>
    </xf>
    <xf numFmtId="44" fontId="10" fillId="32" borderId="46" xfId="241" applyNumberFormat="1" applyFont="1" applyFill="1" applyBorder="1" applyAlignment="1" applyProtection="1">
      <alignment horizontal="center" vertical="center" wrapText="1"/>
      <protection locked="0"/>
    </xf>
    <xf numFmtId="0" fontId="48" fillId="27" borderId="20" xfId="241" applyFont="1" applyFill="1" applyBorder="1" applyAlignment="1" applyProtection="1">
      <alignment horizontal="left" vertical="center" wrapText="1"/>
      <protection locked="0"/>
    </xf>
    <xf numFmtId="0" fontId="47" fillId="27" borderId="0" xfId="241" applyFont="1" applyFill="1" applyBorder="1" applyAlignment="1" applyProtection="1">
      <alignment vertical="center" wrapText="1"/>
      <protection locked="0"/>
    </xf>
    <xf numFmtId="0" fontId="48" fillId="27" borderId="70" xfId="241" applyFont="1" applyFill="1" applyBorder="1" applyAlignment="1" applyProtection="1">
      <alignment horizontal="left" vertical="center" wrapText="1"/>
      <protection locked="0"/>
    </xf>
    <xf numFmtId="0" fontId="47" fillId="27" borderId="74" xfId="241" applyFont="1" applyFill="1" applyBorder="1" applyAlignment="1" applyProtection="1">
      <alignment vertical="center" wrapText="1"/>
      <protection locked="0"/>
    </xf>
    <xf numFmtId="44" fontId="3" fillId="0" borderId="22" xfId="198" applyFont="1" applyBorder="1" applyAlignment="1" applyProtection="1">
      <alignment horizontal="center" vertical="center"/>
      <protection locked="0"/>
    </xf>
    <xf numFmtId="44" fontId="7" fillId="27" borderId="0" xfId="198" applyFont="1" applyFill="1" applyBorder="1" applyAlignment="1" applyProtection="1">
      <alignment horizontal="center" vertical="center"/>
      <protection locked="0"/>
    </xf>
    <xf numFmtId="44" fontId="7" fillId="29" borderId="46" xfId="198" applyFont="1" applyFill="1" applyBorder="1" applyAlignment="1" applyProtection="1">
      <alignment horizontal="center" vertical="center"/>
      <protection locked="0"/>
    </xf>
    <xf numFmtId="44" fontId="7" fillId="32" borderId="46" xfId="198" applyFont="1" applyFill="1" applyBorder="1" applyAlignment="1" applyProtection="1">
      <alignment horizontal="center" vertical="center"/>
      <protection locked="0"/>
    </xf>
    <xf numFmtId="44" fontId="7" fillId="30" borderId="46" xfId="198" applyFont="1" applyFill="1" applyBorder="1" applyAlignment="1" applyProtection="1">
      <alignment horizontal="center" vertical="center"/>
      <protection locked="0"/>
    </xf>
    <xf numFmtId="44" fontId="7" fillId="0" borderId="63" xfId="198" applyFont="1" applyFill="1" applyBorder="1" applyAlignment="1" applyProtection="1">
      <alignment horizontal="center" vertical="center"/>
      <protection locked="0"/>
    </xf>
    <xf numFmtId="44" fontId="3" fillId="27" borderId="0" xfId="198" applyFont="1" applyFill="1" applyBorder="1" applyAlignment="1" applyProtection="1">
      <alignment horizontal="center" vertical="center"/>
      <protection locked="0"/>
    </xf>
    <xf numFmtId="44" fontId="3" fillId="0" borderId="0" xfId="198" applyFont="1" applyBorder="1" applyAlignment="1" applyProtection="1">
      <alignment horizontal="center" vertical="center"/>
      <protection locked="0"/>
    </xf>
    <xf numFmtId="44" fontId="7" fillId="36" borderId="46" xfId="198" applyFont="1" applyFill="1" applyBorder="1" applyAlignment="1" applyProtection="1">
      <alignment horizontal="center" vertical="center"/>
      <protection locked="0"/>
    </xf>
    <xf numFmtId="44" fontId="3" fillId="0" borderId="0" xfId="198" applyFont="1" applyAlignment="1" applyProtection="1">
      <alignment horizontal="center" vertical="center"/>
      <protection locked="0"/>
    </xf>
    <xf numFmtId="167" fontId="9" fillId="27" borderId="0" xfId="502" applyFont="1" applyFill="1" applyBorder="1" applyAlignment="1">
      <alignment horizontal="center"/>
    </xf>
    <xf numFmtId="4" fontId="9" fillId="27" borderId="0" xfId="0" applyNumberFormat="1" applyFont="1" applyFill="1" applyBorder="1"/>
    <xf numFmtId="43" fontId="9" fillId="27" borderId="0" xfId="0" applyNumberFormat="1" applyFont="1" applyFill="1" applyBorder="1"/>
    <xf numFmtId="0" fontId="9" fillId="27" borderId="10" xfId="0" applyFont="1" applyFill="1" applyBorder="1"/>
    <xf numFmtId="0" fontId="9" fillId="27" borderId="20" xfId="0" applyFont="1" applyFill="1" applyBorder="1" applyAlignment="1">
      <alignment horizontal="center"/>
    </xf>
    <xf numFmtId="177" fontId="9" fillId="27" borderId="21" xfId="502" applyNumberFormat="1" applyFont="1" applyFill="1" applyBorder="1" applyAlignment="1">
      <alignment horizontal="center" vertical="center"/>
    </xf>
    <xf numFmtId="0" fontId="4" fillId="27" borderId="21" xfId="240" applyFont="1" applyFill="1" applyBorder="1" applyAlignment="1" applyProtection="1">
      <alignment horizontal="center" vertical="center"/>
      <protection locked="0"/>
    </xf>
    <xf numFmtId="0" fontId="3" fillId="27" borderId="75" xfId="240" applyFont="1" applyFill="1" applyBorder="1" applyAlignment="1" applyProtection="1">
      <alignment horizontal="center" vertical="center" wrapText="1"/>
      <protection locked="0"/>
    </xf>
    <xf numFmtId="10" fontId="3" fillId="27" borderId="21" xfId="243" applyNumberFormat="1" applyFont="1" applyFill="1" applyBorder="1" applyAlignment="1" applyProtection="1">
      <alignment horizontal="center" vertical="center" wrapText="1"/>
      <protection locked="0"/>
    </xf>
    <xf numFmtId="10" fontId="3" fillId="27" borderId="21" xfId="240" applyNumberFormat="1" applyFont="1" applyFill="1" applyBorder="1" applyAlignment="1" applyProtection="1">
      <alignment horizontal="center" vertical="center" wrapText="1"/>
      <protection locked="0"/>
    </xf>
    <xf numFmtId="4" fontId="3" fillId="27" borderId="21" xfId="240" applyNumberFormat="1" applyFont="1" applyFill="1" applyBorder="1" applyAlignment="1" applyProtection="1">
      <alignment horizontal="center" vertical="center" wrapText="1"/>
      <protection locked="0"/>
    </xf>
    <xf numFmtId="0" fontId="3" fillId="27" borderId="48" xfId="240" applyFont="1" applyFill="1" applyBorder="1" applyAlignment="1" applyProtection="1">
      <alignment horizontal="right" vertical="center" wrapText="1"/>
      <protection locked="0"/>
    </xf>
    <xf numFmtId="179" fontId="3" fillId="27" borderId="21" xfId="490" applyNumberFormat="1" applyFont="1" applyFill="1" applyBorder="1" applyProtection="1">
      <alignment vertical="center"/>
      <protection locked="0"/>
    </xf>
    <xf numFmtId="0" fontId="3" fillId="27" borderId="56" xfId="240" applyFont="1" applyFill="1" applyBorder="1" applyAlignment="1" applyProtection="1">
      <alignment horizontal="center" vertical="center" wrapText="1"/>
      <protection locked="0"/>
    </xf>
    <xf numFmtId="0" fontId="10" fillId="27" borderId="20" xfId="0" applyFont="1" applyFill="1" applyBorder="1" applyAlignment="1">
      <alignment horizontal="center" vertical="center"/>
    </xf>
    <xf numFmtId="43" fontId="9" fillId="27" borderId="21" xfId="0" applyNumberFormat="1" applyFont="1" applyFill="1" applyBorder="1" applyAlignment="1">
      <alignment vertical="center"/>
    </xf>
    <xf numFmtId="0" fontId="10" fillId="27" borderId="21" xfId="0" applyFont="1" applyFill="1" applyBorder="1" applyAlignment="1">
      <alignment horizontal="center" vertical="center"/>
    </xf>
    <xf numFmtId="0" fontId="9" fillId="27" borderId="21" xfId="0" applyFont="1" applyFill="1" applyBorder="1" applyAlignment="1">
      <alignment horizontal="center" vertical="center"/>
    </xf>
    <xf numFmtId="0" fontId="9" fillId="27" borderId="10" xfId="0" applyFont="1" applyFill="1" applyBorder="1" applyAlignment="1">
      <alignment vertical="center"/>
    </xf>
    <xf numFmtId="0" fontId="9" fillId="27" borderId="20" xfId="0" applyFont="1" applyFill="1" applyBorder="1" applyAlignment="1">
      <alignment horizontal="center" vertical="center"/>
    </xf>
    <xf numFmtId="0" fontId="9" fillId="27" borderId="0" xfId="0" applyFont="1" applyFill="1" applyBorder="1"/>
    <xf numFmtId="0" fontId="9" fillId="27" borderId="70" xfId="0" applyFont="1" applyFill="1" applyBorder="1" applyAlignment="1">
      <alignment horizontal="left"/>
    </xf>
    <xf numFmtId="0" fontId="9" fillId="27" borderId="74" xfId="0" applyFont="1" applyFill="1" applyBorder="1"/>
    <xf numFmtId="0" fontId="9" fillId="27" borderId="74" xfId="0" applyFont="1" applyFill="1" applyBorder="1" applyAlignment="1">
      <alignment horizontal="center"/>
    </xf>
    <xf numFmtId="0" fontId="9" fillId="27" borderId="74" xfId="0" applyFont="1" applyFill="1" applyBorder="1" applyAlignment="1">
      <alignment vertical="center"/>
    </xf>
    <xf numFmtId="0" fontId="9" fillId="27" borderId="75" xfId="0" applyFont="1" applyFill="1" applyBorder="1" applyAlignment="1">
      <alignment vertical="center"/>
    </xf>
    <xf numFmtId="0" fontId="9" fillId="27" borderId="0" xfId="0" applyFont="1" applyFill="1" applyBorder="1" applyAlignment="1">
      <alignment horizontal="left"/>
    </xf>
    <xf numFmtId="0" fontId="9" fillId="27" borderId="21" xfId="0" applyFont="1" applyFill="1" applyBorder="1" applyAlignment="1">
      <alignment vertical="center"/>
    </xf>
    <xf numFmtId="0" fontId="9" fillId="27" borderId="0" xfId="0" applyFont="1" applyFill="1" applyBorder="1" applyAlignment="1">
      <alignment vertical="center" wrapText="1"/>
    </xf>
    <xf numFmtId="0" fontId="9" fillId="27" borderId="21" xfId="0" applyFont="1" applyFill="1" applyBorder="1" applyAlignment="1">
      <alignment vertical="center" wrapText="1"/>
    </xf>
    <xf numFmtId="0" fontId="9" fillId="27" borderId="55" xfId="0" applyFont="1" applyFill="1" applyBorder="1" applyAlignment="1">
      <alignment vertical="center" wrapText="1"/>
    </xf>
    <xf numFmtId="0" fontId="9" fillId="27" borderId="56" xfId="0" applyFont="1" applyFill="1" applyBorder="1" applyAlignment="1">
      <alignment vertical="center" wrapText="1"/>
    </xf>
    <xf numFmtId="177" fontId="10" fillId="27" borderId="20" xfId="502" applyNumberFormat="1" applyFont="1" applyFill="1" applyBorder="1" applyAlignment="1">
      <alignment horizontal="center" vertical="center"/>
    </xf>
    <xf numFmtId="183" fontId="9" fillId="27" borderId="0" xfId="0" applyNumberFormat="1" applyFont="1" applyFill="1" applyBorder="1"/>
    <xf numFmtId="3" fontId="9" fillId="27" borderId="0" xfId="0" applyNumberFormat="1" applyFont="1" applyFill="1" applyBorder="1" applyAlignment="1">
      <alignment horizontal="center" vertical="center"/>
    </xf>
    <xf numFmtId="177" fontId="9" fillId="0" borderId="0" xfId="502" applyNumberFormat="1" applyFont="1"/>
    <xf numFmtId="4" fontId="9" fillId="0" borderId="0" xfId="0" applyNumberFormat="1" applyFont="1"/>
    <xf numFmtId="177" fontId="10" fillId="27" borderId="0" xfId="502" applyNumberFormat="1" applyFont="1" applyFill="1" applyBorder="1" applyAlignment="1">
      <alignment horizontal="center" vertical="center"/>
    </xf>
    <xf numFmtId="0" fontId="9" fillId="27" borderId="54" xfId="0" applyFont="1" applyFill="1" applyBorder="1" applyAlignment="1">
      <alignment horizontal="center" vertical="center"/>
    </xf>
    <xf numFmtId="0" fontId="9" fillId="27" borderId="56" xfId="0" applyFont="1" applyFill="1" applyBorder="1" applyAlignment="1">
      <alignment vertical="center"/>
    </xf>
    <xf numFmtId="0" fontId="9" fillId="27" borderId="55" xfId="0" applyFont="1" applyFill="1" applyBorder="1" applyAlignment="1">
      <alignment horizontal="center" vertical="center"/>
    </xf>
    <xf numFmtId="0" fontId="9" fillId="27" borderId="0" xfId="0" applyFont="1" applyFill="1" applyAlignment="1">
      <alignment horizontal="center"/>
    </xf>
    <xf numFmtId="0" fontId="9" fillId="27" borderId="0" xfId="0" applyFont="1" applyFill="1"/>
    <xf numFmtId="0" fontId="10" fillId="27" borderId="69" xfId="0" applyFont="1" applyFill="1" applyBorder="1" applyAlignment="1"/>
    <xf numFmtId="0" fontId="10" fillId="27" borderId="69" xfId="0" applyFont="1" applyFill="1" applyBorder="1" applyAlignment="1">
      <alignment horizontal="center" vertical="center"/>
    </xf>
    <xf numFmtId="0" fontId="10" fillId="27" borderId="69" xfId="0" applyFont="1" applyFill="1" applyBorder="1" applyAlignment="1">
      <alignment horizontal="center"/>
    </xf>
    <xf numFmtId="3" fontId="10" fillId="27" borderId="69" xfId="0" applyNumberFormat="1" applyFont="1" applyFill="1" applyBorder="1" applyAlignment="1">
      <alignment horizontal="center" vertical="center"/>
    </xf>
    <xf numFmtId="3" fontId="10" fillId="27" borderId="69" xfId="490" applyNumberFormat="1" applyFont="1" applyFill="1" applyBorder="1" applyAlignment="1">
      <alignment horizontal="center" vertical="center"/>
    </xf>
    <xf numFmtId="0" fontId="9" fillId="27" borderId="69" xfId="0" applyFont="1" applyFill="1" applyBorder="1" applyAlignment="1"/>
    <xf numFmtId="3" fontId="9" fillId="27" borderId="69" xfId="0" applyNumberFormat="1" applyFont="1" applyFill="1" applyBorder="1" applyAlignment="1">
      <alignment horizontal="center" vertical="center"/>
    </xf>
    <xf numFmtId="188" fontId="9" fillId="27" borderId="69" xfId="490" applyNumberFormat="1" applyFont="1" applyFill="1" applyBorder="1" applyAlignment="1">
      <alignment horizontal="center" vertical="center"/>
    </xf>
    <xf numFmtId="4" fontId="9" fillId="27" borderId="69" xfId="490" applyNumberFormat="1" applyFont="1" applyFill="1" applyBorder="1" applyAlignment="1">
      <alignment horizontal="center" vertical="center"/>
    </xf>
    <xf numFmtId="4" fontId="9" fillId="27" borderId="0" xfId="490" applyNumberFormat="1" applyFont="1" applyFill="1">
      <alignment vertical="center"/>
    </xf>
    <xf numFmtId="43" fontId="9" fillId="27" borderId="0" xfId="0" applyNumberFormat="1" applyFont="1" applyFill="1" applyAlignment="1">
      <alignment vertical="center"/>
    </xf>
    <xf numFmtId="0" fontId="10" fillId="27" borderId="76" xfId="0" applyFont="1" applyFill="1" applyBorder="1" applyAlignment="1">
      <alignment horizontal="center" vertical="center"/>
    </xf>
    <xf numFmtId="0" fontId="9" fillId="27" borderId="20" xfId="0" applyFont="1" applyFill="1" applyBorder="1" applyAlignment="1">
      <alignment vertical="center" wrapText="1"/>
    </xf>
    <xf numFmtId="0" fontId="9" fillId="27" borderId="20" xfId="0" applyFont="1" applyFill="1" applyBorder="1" applyAlignment="1">
      <alignment horizontal="left" vertical="center"/>
    </xf>
    <xf numFmtId="0" fontId="9" fillId="27" borderId="54" xfId="0" applyFont="1" applyFill="1" applyBorder="1" applyAlignment="1">
      <alignment horizontal="left" vertical="center"/>
    </xf>
    <xf numFmtId="177" fontId="10" fillId="27" borderId="74" xfId="502" applyNumberFormat="1" applyFont="1" applyFill="1" applyBorder="1" applyAlignment="1">
      <alignment horizontal="center" vertical="center"/>
    </xf>
    <xf numFmtId="177" fontId="10" fillId="27" borderId="75" xfId="502" applyNumberFormat="1" applyFont="1" applyFill="1" applyBorder="1" applyAlignment="1">
      <alignment horizontal="center" vertical="center"/>
    </xf>
    <xf numFmtId="0" fontId="10" fillId="27" borderId="10" xfId="0" applyFont="1" applyFill="1" applyBorder="1" applyAlignment="1">
      <alignment horizontal="center" vertical="center"/>
    </xf>
    <xf numFmtId="0" fontId="10" fillId="27" borderId="70" xfId="0" applyFont="1" applyFill="1" applyBorder="1" applyAlignment="1">
      <alignment horizontal="left" vertical="center"/>
    </xf>
    <xf numFmtId="177" fontId="10" fillId="27" borderId="70" xfId="502" applyNumberFormat="1" applyFont="1" applyFill="1" applyBorder="1" applyAlignment="1">
      <alignment horizontal="center" vertical="center"/>
    </xf>
    <xf numFmtId="0" fontId="9" fillId="27" borderId="10" xfId="0" applyFont="1" applyFill="1" applyBorder="1" applyAlignment="1">
      <alignment horizontal="center" vertical="center"/>
    </xf>
    <xf numFmtId="177" fontId="9" fillId="27" borderId="20" xfId="502" applyNumberFormat="1" applyFont="1" applyFill="1" applyBorder="1" applyAlignment="1">
      <alignment horizontal="center" vertical="center"/>
    </xf>
    <xf numFmtId="177" fontId="9" fillId="27" borderId="0" xfId="502" applyNumberFormat="1" applyFont="1" applyFill="1" applyBorder="1" applyAlignment="1">
      <alignment horizontal="center" vertical="center"/>
    </xf>
    <xf numFmtId="0" fontId="9" fillId="27" borderId="77" xfId="0" applyFont="1" applyFill="1" applyBorder="1" applyAlignment="1">
      <alignment horizontal="center" vertical="center"/>
    </xf>
    <xf numFmtId="177" fontId="9" fillId="27" borderId="54" xfId="502" applyNumberFormat="1" applyFont="1" applyFill="1" applyBorder="1" applyAlignment="1">
      <alignment horizontal="center" vertical="center"/>
    </xf>
    <xf numFmtId="177" fontId="9" fillId="27" borderId="56" xfId="502" applyNumberFormat="1" applyFont="1" applyFill="1" applyBorder="1" applyAlignment="1">
      <alignment horizontal="center" vertical="center"/>
    </xf>
    <xf numFmtId="177" fontId="9" fillId="27" borderId="55" xfId="502" applyNumberFormat="1" applyFont="1" applyFill="1" applyBorder="1" applyAlignment="1">
      <alignment horizontal="center" vertical="center"/>
    </xf>
    <xf numFmtId="43" fontId="10" fillId="27" borderId="0" xfId="0" applyNumberFormat="1" applyFont="1" applyFill="1" applyBorder="1"/>
    <xf numFmtId="4" fontId="10" fillId="0" borderId="0" xfId="0" applyNumberFormat="1" applyFont="1"/>
    <xf numFmtId="4" fontId="9" fillId="27" borderId="21" xfId="0" applyNumberFormat="1" applyFont="1" applyFill="1" applyBorder="1" applyAlignment="1">
      <alignment vertical="center"/>
    </xf>
    <xf numFmtId="3" fontId="9" fillId="27" borderId="20" xfId="0" applyNumberFormat="1" applyFont="1" applyFill="1" applyBorder="1" applyAlignment="1">
      <alignment horizontal="center" vertical="center"/>
    </xf>
    <xf numFmtId="0" fontId="10" fillId="27" borderId="20" xfId="0" applyFont="1" applyFill="1" applyBorder="1" applyAlignment="1">
      <alignment vertical="center"/>
    </xf>
    <xf numFmtId="0" fontId="9" fillId="27" borderId="20" xfId="0" applyFont="1" applyFill="1" applyBorder="1"/>
    <xf numFmtId="0" fontId="9" fillId="27" borderId="20" xfId="0" applyFont="1" applyFill="1" applyBorder="1" applyAlignment="1">
      <alignment vertical="center"/>
    </xf>
    <xf numFmtId="0" fontId="9" fillId="27" borderId="54" xfId="0" applyFont="1" applyFill="1" applyBorder="1" applyAlignment="1">
      <alignment vertical="center"/>
    </xf>
    <xf numFmtId="0" fontId="9" fillId="27" borderId="76" xfId="0" applyFont="1" applyFill="1" applyBorder="1" applyAlignment="1">
      <alignment horizontal="center" vertical="center"/>
    </xf>
    <xf numFmtId="4" fontId="9" fillId="27" borderId="0" xfId="490" applyNumberFormat="1" applyFont="1" applyFill="1" applyBorder="1">
      <alignment vertical="center"/>
    </xf>
    <xf numFmtId="44" fontId="58" fillId="0" borderId="0" xfId="198" applyFont="1" applyAlignment="1">
      <alignment horizontal="center" vertical="center"/>
    </xf>
    <xf numFmtId="0" fontId="0" fillId="28" borderId="0" xfId="0" applyFill="1" applyAlignment="1">
      <alignment horizontal="center" vertical="center"/>
    </xf>
    <xf numFmtId="0" fontId="0" fillId="28" borderId="0" xfId="0" applyFill="1" applyAlignment="1">
      <alignment vertical="center" wrapText="1"/>
    </xf>
    <xf numFmtId="44" fontId="58" fillId="28" borderId="0" xfId="198" applyFont="1" applyFill="1" applyAlignment="1">
      <alignment horizontal="center" vertical="center"/>
    </xf>
    <xf numFmtId="0" fontId="66" fillId="28" borderId="0" xfId="0" applyFont="1" applyFill="1" applyAlignment="1">
      <alignment horizontal="center" vertical="center"/>
    </xf>
    <xf numFmtId="0" fontId="66" fillId="28" borderId="0" xfId="0" applyFont="1" applyFill="1" applyAlignment="1">
      <alignment vertical="center" wrapText="1"/>
    </xf>
    <xf numFmtId="44" fontId="66" fillId="28" borderId="0" xfId="198" applyFont="1" applyFill="1" applyAlignment="1">
      <alignment horizontal="center" vertical="center"/>
    </xf>
    <xf numFmtId="0" fontId="66" fillId="0" borderId="0" xfId="0" applyFont="1" applyAlignment="1">
      <alignment horizontal="center" vertical="center"/>
    </xf>
    <xf numFmtId="0" fontId="66" fillId="0" borderId="0" xfId="0" applyFont="1" applyAlignment="1">
      <alignment vertical="center" wrapText="1"/>
    </xf>
    <xf numFmtId="44" fontId="66" fillId="0" borderId="0" xfId="198" applyFont="1" applyAlignment="1">
      <alignment horizontal="center" vertical="center"/>
    </xf>
    <xf numFmtId="44" fontId="58" fillId="0" borderId="0" xfId="198" applyFont="1" applyAlignment="1">
      <alignment vertical="center" wrapText="1"/>
    </xf>
    <xf numFmtId="0" fontId="0" fillId="28" borderId="0" xfId="0" applyNumberFormat="1" applyFill="1" applyAlignment="1">
      <alignment horizontal="center" vertical="center"/>
    </xf>
    <xf numFmtId="0" fontId="0" fillId="0" borderId="0" xfId="0" applyNumberFormat="1" applyAlignment="1">
      <alignment horizontal="center" vertical="center"/>
    </xf>
    <xf numFmtId="0" fontId="66" fillId="28" borderId="0" xfId="0" applyNumberFormat="1" applyFont="1" applyFill="1" applyAlignment="1">
      <alignment horizontal="center" vertical="center"/>
    </xf>
    <xf numFmtId="0" fontId="66" fillId="0" borderId="0" xfId="0" applyNumberFormat="1" applyFont="1" applyAlignment="1">
      <alignment horizontal="center" vertical="center"/>
    </xf>
    <xf numFmtId="0" fontId="3" fillId="0" borderId="22" xfId="240" applyFont="1" applyBorder="1" applyAlignment="1" applyProtection="1">
      <alignment vertical="center" wrapText="1"/>
      <protection locked="0"/>
    </xf>
    <xf numFmtId="1" fontId="7" fillId="27" borderId="0" xfId="240" applyNumberFormat="1" applyFont="1" applyFill="1" applyBorder="1" applyAlignment="1" applyProtection="1">
      <alignment vertical="center" wrapText="1"/>
      <protection locked="0"/>
    </xf>
    <xf numFmtId="0" fontId="7" fillId="27" borderId="0" xfId="241" applyFont="1" applyFill="1" applyBorder="1" applyAlignment="1" applyProtection="1">
      <alignment vertical="center" wrapText="1"/>
      <protection locked="0"/>
    </xf>
    <xf numFmtId="0" fontId="9" fillId="37" borderId="0" xfId="240" applyFont="1" applyFill="1" applyAlignment="1">
      <alignment vertical="center"/>
    </xf>
    <xf numFmtId="2" fontId="9" fillId="27" borderId="0" xfId="0" applyNumberFormat="1" applyFont="1" applyFill="1" applyBorder="1" applyAlignment="1">
      <alignment vertical="center"/>
    </xf>
    <xf numFmtId="2" fontId="9" fillId="27" borderId="0" xfId="0" applyNumberFormat="1" applyFont="1" applyFill="1" applyBorder="1" applyAlignment="1">
      <alignment horizontal="center" vertical="center"/>
    </xf>
    <xf numFmtId="2" fontId="47" fillId="27" borderId="0" xfId="490" applyNumberFormat="1" applyFont="1" applyFill="1">
      <alignment vertical="center"/>
    </xf>
    <xf numFmtId="179" fontId="9" fillId="27" borderId="0" xfId="0" applyNumberFormat="1" applyFont="1" applyFill="1" applyAlignment="1">
      <alignment vertical="center"/>
    </xf>
    <xf numFmtId="0" fontId="9" fillId="37" borderId="62" xfId="490" applyFont="1" applyFill="1" applyBorder="1">
      <alignment vertical="center"/>
    </xf>
    <xf numFmtId="188" fontId="9" fillId="27" borderId="69" xfId="0" applyNumberFormat="1" applyFont="1" applyFill="1" applyBorder="1" applyAlignment="1">
      <alignment vertical="center"/>
    </xf>
    <xf numFmtId="2" fontId="10" fillId="35" borderId="63" xfId="0" applyNumberFormat="1" applyFont="1" applyFill="1" applyBorder="1" applyAlignment="1">
      <alignment vertical="center"/>
    </xf>
    <xf numFmtId="2" fontId="9" fillId="37" borderId="69" xfId="490" applyNumberFormat="1" applyFont="1" applyFill="1" applyBorder="1">
      <alignment vertical="center"/>
    </xf>
    <xf numFmtId="0" fontId="9" fillId="0" borderId="62" xfId="0" applyFont="1" applyBorder="1" applyAlignment="1">
      <alignment horizontal="center" vertical="center" wrapText="1"/>
    </xf>
    <xf numFmtId="0" fontId="4" fillId="0" borderId="0" xfId="0" applyNumberFormat="1" applyFont="1" applyAlignment="1">
      <alignment horizontal="center" vertical="center"/>
    </xf>
    <xf numFmtId="0" fontId="4" fillId="28" borderId="0" xfId="0" applyNumberFormat="1" applyFont="1" applyFill="1" applyAlignment="1">
      <alignment horizontal="center" vertical="center"/>
    </xf>
    <xf numFmtId="4" fontId="9" fillId="37" borderId="69" xfId="490" applyNumberFormat="1" applyFont="1" applyFill="1" applyBorder="1">
      <alignment vertical="center"/>
    </xf>
    <xf numFmtId="0" fontId="4" fillId="28" borderId="0" xfId="0" applyFont="1" applyFill="1" applyAlignment="1">
      <alignment horizontal="center" vertical="center"/>
    </xf>
    <xf numFmtId="0" fontId="9" fillId="27" borderId="69" xfId="0" applyFont="1" applyFill="1" applyBorder="1" applyAlignment="1">
      <alignment horizontal="left" vertical="center" wrapText="1"/>
    </xf>
    <xf numFmtId="3" fontId="9" fillId="37" borderId="69" xfId="490" applyNumberFormat="1" applyFont="1" applyFill="1" applyBorder="1">
      <alignment vertical="center"/>
    </xf>
    <xf numFmtId="169" fontId="65" fillId="0" borderId="111" xfId="203" applyFont="1" applyBorder="1" applyAlignment="1">
      <alignment horizontal="center" vertical="top" wrapText="1"/>
    </xf>
    <xf numFmtId="9" fontId="64" fillId="0" borderId="110" xfId="372" applyFont="1" applyFill="1" applyBorder="1" applyAlignment="1">
      <alignment horizontal="center" vertical="center" wrapText="1"/>
    </xf>
    <xf numFmtId="10" fontId="64" fillId="0" borderId="110" xfId="372" applyNumberFormat="1" applyFont="1" applyFill="1" applyBorder="1" applyAlignment="1">
      <alignment horizontal="center" vertical="center" wrapText="1"/>
    </xf>
    <xf numFmtId="0" fontId="0" fillId="0" borderId="0" xfId="0" applyBorder="1" applyAlignment="1">
      <alignment horizontal="center" vertical="center"/>
    </xf>
    <xf numFmtId="0" fontId="74" fillId="0" borderId="0" xfId="0" applyFont="1" applyBorder="1" applyAlignment="1">
      <alignment horizontal="left" vertical="center" wrapText="1"/>
    </xf>
    <xf numFmtId="0" fontId="75" fillId="0" borderId="0" xfId="0" applyFont="1" applyBorder="1" applyAlignment="1">
      <alignment horizontal="center" vertical="center"/>
    </xf>
    <xf numFmtId="0" fontId="75" fillId="0" borderId="0" xfId="0" applyFont="1" applyBorder="1" applyAlignment="1">
      <alignment horizontal="left" vertical="center" wrapText="1"/>
    </xf>
    <xf numFmtId="44" fontId="76" fillId="0" borderId="0" xfId="203" applyNumberFormat="1" applyFont="1" applyBorder="1" applyAlignment="1">
      <alignment horizontal="center" vertical="center"/>
    </xf>
    <xf numFmtId="44" fontId="58" fillId="0" borderId="0" xfId="203" applyNumberFormat="1" applyFont="1" applyBorder="1" applyAlignment="1">
      <alignment horizontal="center" vertical="center"/>
    </xf>
    <xf numFmtId="0" fontId="75" fillId="0" borderId="0" xfId="0" applyFont="1" applyBorder="1" applyAlignment="1">
      <alignment horizontal="center" vertical="top"/>
    </xf>
    <xf numFmtId="0" fontId="75" fillId="0" borderId="0" xfId="0" applyFont="1" applyBorder="1" applyAlignment="1">
      <alignment horizontal="left" vertical="top" wrapText="1"/>
    </xf>
    <xf numFmtId="44" fontId="76" fillId="0" borderId="0" xfId="203" applyNumberFormat="1" applyFont="1" applyBorder="1" applyAlignment="1">
      <alignment horizontal="center" vertical="top"/>
    </xf>
    <xf numFmtId="0" fontId="75" fillId="0" borderId="0" xfId="0" applyNumberFormat="1" applyFont="1" applyBorder="1" applyAlignment="1">
      <alignment horizontal="center" vertical="top" wrapText="1"/>
    </xf>
    <xf numFmtId="0" fontId="75" fillId="0" borderId="0" xfId="0" applyFont="1" applyBorder="1" applyAlignment="1">
      <alignment horizontal="center" vertical="top" wrapText="1"/>
    </xf>
    <xf numFmtId="44" fontId="76" fillId="0" borderId="0" xfId="203" applyNumberFormat="1" applyFont="1" applyBorder="1" applyAlignment="1">
      <alignment horizontal="center" vertical="top" wrapText="1"/>
    </xf>
    <xf numFmtId="0" fontId="0" fillId="0" borderId="0" xfId="0" applyBorder="1" applyAlignment="1">
      <alignment horizontal="center" vertical="top"/>
    </xf>
    <xf numFmtId="44" fontId="58" fillId="0" borderId="0" xfId="203" applyNumberFormat="1" applyFont="1" applyBorder="1" applyAlignment="1">
      <alignment horizontal="center" vertical="top"/>
    </xf>
    <xf numFmtId="0" fontId="74" fillId="0" borderId="0" xfId="0" applyFont="1" applyBorder="1" applyAlignment="1">
      <alignment horizontal="left" vertical="top" wrapText="1"/>
    </xf>
    <xf numFmtId="0" fontId="75" fillId="0" borderId="0" xfId="0" applyNumberFormat="1" applyFont="1" applyBorder="1" applyAlignment="1">
      <alignment horizontal="center" vertical="top"/>
    </xf>
    <xf numFmtId="0" fontId="75" fillId="0" borderId="0" xfId="0" applyFont="1" applyBorder="1" applyAlignment="1">
      <alignment vertical="top" wrapText="1"/>
    </xf>
    <xf numFmtId="0" fontId="74" fillId="0" borderId="0" xfId="0" applyFont="1" applyBorder="1" applyAlignment="1">
      <alignment vertical="top" wrapText="1"/>
    </xf>
    <xf numFmtId="0" fontId="75" fillId="0" borderId="0" xfId="0" applyNumberFormat="1" applyFont="1" applyBorder="1" applyAlignment="1">
      <alignment horizontal="center" vertical="center" wrapText="1"/>
    </xf>
    <xf numFmtId="0" fontId="75" fillId="0" borderId="0" xfId="0" applyFont="1" applyBorder="1" applyAlignment="1">
      <alignment horizontal="center" vertical="center" wrapText="1"/>
    </xf>
    <xf numFmtId="44" fontId="76" fillId="0" borderId="0" xfId="203" applyNumberFormat="1" applyFont="1" applyBorder="1" applyAlignment="1">
      <alignment horizontal="center" vertical="center" wrapText="1"/>
    </xf>
    <xf numFmtId="0" fontId="75" fillId="0" borderId="0" xfId="0" applyFont="1" applyBorder="1" applyAlignment="1">
      <alignment vertical="center" wrapText="1"/>
    </xf>
    <xf numFmtId="44" fontId="75" fillId="0" borderId="0" xfId="203" applyNumberFormat="1" applyFont="1" applyBorder="1" applyAlignment="1">
      <alignment horizontal="center" vertical="center" wrapText="1"/>
    </xf>
    <xf numFmtId="0" fontId="0" fillId="0" borderId="0" xfId="0" applyBorder="1" applyAlignment="1">
      <alignment horizontal="center" vertical="top" wrapText="1"/>
    </xf>
    <xf numFmtId="44" fontId="58" fillId="0" borderId="0" xfId="203" applyNumberFormat="1" applyFont="1" applyBorder="1" applyAlignment="1">
      <alignment horizontal="center" vertical="top" wrapText="1"/>
    </xf>
    <xf numFmtId="190" fontId="75" fillId="0" borderId="0" xfId="0" applyNumberFormat="1" applyFont="1" applyFill="1" applyBorder="1" applyAlignment="1">
      <alignment horizontal="center" vertical="center" wrapText="1"/>
    </xf>
    <xf numFmtId="0" fontId="39" fillId="0" borderId="0" xfId="0" applyFont="1" applyFill="1" applyBorder="1" applyAlignment="1">
      <alignment vertical="center" wrapText="1"/>
    </xf>
    <xf numFmtId="0" fontId="39" fillId="0" borderId="0" xfId="0" applyFont="1" applyFill="1" applyBorder="1" applyAlignment="1">
      <alignment horizontal="center" vertical="center" wrapText="1"/>
    </xf>
    <xf numFmtId="44" fontId="76" fillId="0" borderId="0" xfId="203" applyNumberFormat="1" applyFont="1" applyFill="1" applyBorder="1" applyAlignment="1">
      <alignment horizontal="center" vertical="top" wrapText="1"/>
    </xf>
    <xf numFmtId="190" fontId="75" fillId="0" borderId="0" xfId="0" applyNumberFormat="1" applyFont="1" applyFill="1" applyBorder="1" applyAlignment="1">
      <alignment horizontal="center" vertical="top" wrapText="1"/>
    </xf>
    <xf numFmtId="0" fontId="39" fillId="0" borderId="0" xfId="0" applyFont="1" applyFill="1" applyBorder="1" applyAlignment="1">
      <alignment vertical="top" wrapText="1"/>
    </xf>
    <xf numFmtId="0" fontId="39" fillId="0" borderId="0" xfId="0" applyFont="1" applyFill="1" applyBorder="1" applyAlignment="1">
      <alignment horizontal="center" vertical="top" wrapText="1"/>
    </xf>
    <xf numFmtId="0" fontId="0" fillId="0" borderId="0" xfId="0" applyFill="1" applyBorder="1" applyAlignment="1">
      <alignment vertical="top" wrapText="1"/>
    </xf>
    <xf numFmtId="0" fontId="0" fillId="0" borderId="0" xfId="0" applyFill="1" applyBorder="1" applyAlignment="1">
      <alignment horizontal="center" vertical="top" wrapText="1"/>
    </xf>
    <xf numFmtId="0" fontId="51" fillId="0" borderId="0" xfId="0" applyFont="1" applyFill="1" applyBorder="1" applyAlignment="1">
      <alignment vertical="center" wrapText="1"/>
    </xf>
    <xf numFmtId="44" fontId="58" fillId="0" borderId="0" xfId="203" applyNumberFormat="1" applyFont="1" applyFill="1" applyBorder="1" applyAlignment="1">
      <alignment horizontal="center" vertical="top" wrapText="1"/>
    </xf>
    <xf numFmtId="169" fontId="58" fillId="0" borderId="110" xfId="203" applyFont="1" applyBorder="1"/>
    <xf numFmtId="0" fontId="65" fillId="38" borderId="124" xfId="0" applyFont="1" applyFill="1" applyBorder="1" applyAlignment="1">
      <alignment vertical="center" wrapText="1"/>
    </xf>
    <xf numFmtId="2" fontId="3" fillId="27" borderId="21" xfId="240" applyNumberFormat="1" applyFont="1" applyFill="1" applyBorder="1" applyAlignment="1" applyProtection="1">
      <alignment horizontal="center" vertical="center" wrapText="1"/>
      <protection locked="0"/>
    </xf>
    <xf numFmtId="2" fontId="3" fillId="27" borderId="43" xfId="240" applyNumberFormat="1" applyFont="1" applyFill="1" applyBorder="1" applyAlignment="1" applyProtection="1">
      <alignment horizontal="center" vertical="center" wrapText="1"/>
      <protection locked="0"/>
    </xf>
    <xf numFmtId="0" fontId="65" fillId="32" borderId="78" xfId="0" applyFont="1" applyFill="1" applyBorder="1" applyAlignment="1">
      <alignment horizontal="center"/>
    </xf>
    <xf numFmtId="0" fontId="65" fillId="32" borderId="76" xfId="0" applyFont="1" applyFill="1" applyBorder="1" applyAlignment="1">
      <alignment horizontal="center"/>
    </xf>
    <xf numFmtId="0" fontId="65" fillId="32" borderId="79" xfId="0" applyFont="1" applyFill="1" applyBorder="1" applyAlignment="1">
      <alignment horizontal="center"/>
    </xf>
    <xf numFmtId="0" fontId="57" fillId="27" borderId="80" xfId="0" applyFont="1" applyFill="1" applyBorder="1" applyAlignment="1">
      <alignment vertical="center"/>
    </xf>
    <xf numFmtId="2" fontId="57" fillId="27" borderId="81" xfId="0" applyNumberFormat="1" applyFont="1" applyFill="1" applyBorder="1" applyAlignment="1">
      <alignment horizontal="center" vertical="center"/>
    </xf>
    <xf numFmtId="2" fontId="57" fillId="27" borderId="82" xfId="0" applyNumberFormat="1" applyFont="1" applyFill="1" applyBorder="1" applyAlignment="1">
      <alignment horizontal="center" vertical="center"/>
    </xf>
    <xf numFmtId="4" fontId="3" fillId="0" borderId="22" xfId="240" applyNumberFormat="1" applyFont="1" applyBorder="1" applyAlignment="1" applyProtection="1">
      <alignment horizontal="center" vertical="center" wrapText="1"/>
      <protection locked="0"/>
    </xf>
    <xf numFmtId="4" fontId="7" fillId="27" borderId="0" xfId="241" applyNumberFormat="1" applyFont="1" applyFill="1" applyBorder="1" applyAlignment="1" applyProtection="1">
      <alignment horizontal="center" vertical="center" wrapText="1"/>
      <protection locked="0"/>
    </xf>
    <xf numFmtId="179" fontId="7" fillId="27" borderId="25" xfId="240" applyNumberFormat="1" applyFont="1" applyFill="1" applyBorder="1" applyAlignment="1" applyProtection="1">
      <alignment horizontal="center" vertical="center" wrapText="1"/>
      <protection locked="0"/>
    </xf>
    <xf numFmtId="0" fontId="7" fillId="27" borderId="48" xfId="240" applyFont="1" applyFill="1" applyBorder="1" applyAlignment="1" applyProtection="1">
      <alignment horizontal="right" vertical="center" wrapText="1"/>
      <protection locked="0"/>
    </xf>
    <xf numFmtId="0" fontId="39" fillId="0" borderId="0" xfId="0" applyNumberFormat="1" applyFont="1" applyAlignment="1">
      <alignment horizontal="center" vertical="center"/>
    </xf>
    <xf numFmtId="180" fontId="3" fillId="27" borderId="20" xfId="240" applyNumberFormat="1" applyFont="1" applyFill="1" applyBorder="1" applyAlignment="1" applyProtection="1">
      <alignment horizontal="right" vertical="center" wrapText="1"/>
      <protection locked="0"/>
    </xf>
    <xf numFmtId="0" fontId="3" fillId="0" borderId="0" xfId="0" applyFont="1" applyAlignment="1">
      <alignment horizontal="left" vertical="center"/>
    </xf>
    <xf numFmtId="0" fontId="3" fillId="0" borderId="83" xfId="0" applyFont="1" applyBorder="1" applyAlignment="1">
      <alignment vertical="center"/>
    </xf>
    <xf numFmtId="182" fontId="3" fillId="0" borderId="83" xfId="0" applyNumberFormat="1" applyFont="1" applyBorder="1" applyAlignment="1">
      <alignment horizontal="left" vertical="center" wrapText="1"/>
    </xf>
    <xf numFmtId="182" fontId="3" fillId="0" borderId="83" xfId="0" applyNumberFormat="1" applyFont="1" applyBorder="1" applyAlignment="1">
      <alignment horizontal="center" vertical="center"/>
    </xf>
    <xf numFmtId="43" fontId="3" fillId="0" borderId="83" xfId="524" applyFont="1" applyBorder="1" applyAlignment="1">
      <alignment horizontal="center" vertical="center"/>
    </xf>
    <xf numFmtId="0" fontId="3" fillId="0" borderId="0" xfId="0" applyFont="1" applyAlignment="1">
      <alignment horizontal="right"/>
    </xf>
    <xf numFmtId="10" fontId="3" fillId="0" borderId="0" xfId="359" applyNumberFormat="1" applyFont="1" applyAlignment="1">
      <alignment horizontal="right" vertical="center"/>
    </xf>
    <xf numFmtId="4" fontId="3" fillId="0" borderId="0" xfId="490" applyNumberFormat="1" applyFont="1" applyAlignment="1">
      <alignment horizontal="right" vertical="center"/>
    </xf>
    <xf numFmtId="0" fontId="7" fillId="32" borderId="53" xfId="0" applyFont="1" applyFill="1" applyBorder="1" applyAlignment="1">
      <alignment horizontal="left" vertical="center"/>
    </xf>
    <xf numFmtId="0" fontId="3" fillId="27" borderId="72" xfId="0" applyFont="1" applyFill="1" applyBorder="1" applyAlignment="1">
      <alignment vertical="center" wrapText="1"/>
    </xf>
    <xf numFmtId="182" fontId="3" fillId="27" borderId="72" xfId="0" applyNumberFormat="1" applyFont="1" applyFill="1" applyBorder="1" applyAlignment="1">
      <alignment horizontal="center" vertical="center"/>
    </xf>
    <xf numFmtId="43" fontId="3" fillId="27" borderId="72" xfId="524" applyFont="1" applyFill="1" applyBorder="1" applyAlignment="1">
      <alignment horizontal="center" vertical="center"/>
    </xf>
    <xf numFmtId="0" fontId="3" fillId="27" borderId="72" xfId="0" applyFont="1" applyFill="1" applyBorder="1" applyAlignment="1">
      <alignment vertical="center"/>
    </xf>
    <xf numFmtId="182" fontId="3" fillId="27" borderId="72" xfId="0" applyNumberFormat="1" applyFont="1" applyFill="1" applyBorder="1" applyAlignment="1">
      <alignment horizontal="left" vertical="center" wrapText="1"/>
    </xf>
    <xf numFmtId="44" fontId="7" fillId="27" borderId="63" xfId="198" applyFont="1" applyFill="1" applyBorder="1" applyAlignment="1" applyProtection="1">
      <alignment horizontal="center" vertical="center"/>
      <protection locked="0"/>
    </xf>
    <xf numFmtId="169" fontId="7" fillId="27" borderId="63" xfId="203" applyFont="1" applyFill="1" applyBorder="1" applyAlignment="1" applyProtection="1">
      <alignment horizontal="center" vertical="center" wrapText="1"/>
      <protection locked="0"/>
    </xf>
    <xf numFmtId="169" fontId="7" fillId="27" borderId="64" xfId="203" applyFont="1" applyFill="1" applyBorder="1" applyAlignment="1" applyProtection="1">
      <alignment horizontal="center" vertical="center" wrapText="1"/>
      <protection locked="0"/>
    </xf>
    <xf numFmtId="169" fontId="3" fillId="27" borderId="0" xfId="203" applyFont="1" applyFill="1" applyBorder="1" applyAlignment="1" applyProtection="1">
      <alignment horizontal="right" vertical="center" wrapText="1"/>
      <protection locked="0"/>
    </xf>
    <xf numFmtId="169" fontId="4" fillId="27" borderId="0" xfId="203" applyFont="1" applyFill="1" applyBorder="1" applyAlignment="1" applyProtection="1">
      <alignment horizontal="center" vertical="center"/>
      <protection locked="0"/>
    </xf>
    <xf numFmtId="169" fontId="7" fillId="29" borderId="46" xfId="203" applyFont="1" applyFill="1" applyBorder="1" applyAlignment="1" applyProtection="1">
      <alignment horizontal="right" vertical="center" wrapText="1"/>
      <protection locked="0"/>
    </xf>
    <xf numFmtId="169" fontId="7" fillId="29" borderId="47" xfId="203" applyFont="1" applyFill="1" applyBorder="1" applyAlignment="1" applyProtection="1">
      <alignment horizontal="center" vertical="center" wrapText="1"/>
      <protection locked="0"/>
    </xf>
    <xf numFmtId="44" fontId="7" fillId="0" borderId="0" xfId="198" applyFont="1" applyFill="1" applyBorder="1" applyAlignment="1" applyProtection="1">
      <alignment horizontal="center" vertical="center"/>
      <protection locked="0"/>
    </xf>
    <xf numFmtId="44" fontId="7" fillId="0" borderId="0" xfId="198" applyFont="1" applyFill="1" applyBorder="1" applyAlignment="1" applyProtection="1">
      <alignment horizontal="center" vertical="center" wrapText="1"/>
      <protection locked="0"/>
    </xf>
    <xf numFmtId="44" fontId="7" fillId="0" borderId="21" xfId="198" applyFont="1" applyFill="1" applyBorder="1" applyAlignment="1" applyProtection="1">
      <alignment horizontal="center" vertical="center" wrapText="1"/>
      <protection locked="0"/>
    </xf>
    <xf numFmtId="44" fontId="3" fillId="27" borderId="55" xfId="198" applyFont="1" applyFill="1" applyBorder="1" applyAlignment="1" applyProtection="1">
      <alignment horizontal="center" vertical="center" wrapText="1"/>
      <protection locked="0"/>
    </xf>
    <xf numFmtId="44" fontId="3" fillId="27" borderId="56" xfId="198" applyFont="1" applyFill="1" applyBorder="1" applyAlignment="1" applyProtection="1">
      <alignment horizontal="center" vertical="center" wrapText="1"/>
      <protection locked="0"/>
    </xf>
    <xf numFmtId="0" fontId="9" fillId="32" borderId="0" xfId="0" applyFont="1" applyFill="1"/>
    <xf numFmtId="44" fontId="9" fillId="0" borderId="0" xfId="198" applyFont="1" applyAlignment="1">
      <alignment horizontal="center"/>
    </xf>
    <xf numFmtId="44" fontId="9" fillId="27" borderId="0" xfId="0" applyNumberFormat="1" applyFont="1" applyFill="1"/>
    <xf numFmtId="0" fontId="10" fillId="27" borderId="0" xfId="0" applyFont="1" applyFill="1"/>
    <xf numFmtId="44" fontId="10" fillId="27" borderId="0" xfId="0" applyNumberFormat="1" applyFont="1" applyFill="1"/>
    <xf numFmtId="167" fontId="9" fillId="0" borderId="0" xfId="502" applyFont="1" applyAlignment="1">
      <alignment horizontal="center"/>
    </xf>
    <xf numFmtId="0" fontId="0" fillId="37" borderId="0" xfId="0" applyNumberFormat="1" applyFill="1" applyAlignment="1">
      <alignment horizontal="center" vertical="center"/>
    </xf>
    <xf numFmtId="0" fontId="0" fillId="37" borderId="0" xfId="0" applyFill="1" applyAlignment="1">
      <alignment vertical="center" wrapText="1"/>
    </xf>
    <xf numFmtId="0" fontId="0" fillId="37" borderId="0" xfId="0" applyFill="1" applyAlignment="1">
      <alignment horizontal="center" vertical="center"/>
    </xf>
    <xf numFmtId="44" fontId="58" fillId="37" borderId="0" xfId="198" applyFont="1" applyFill="1" applyAlignment="1">
      <alignment horizontal="center" vertical="center"/>
    </xf>
    <xf numFmtId="0" fontId="0" fillId="37" borderId="0" xfId="0" applyFill="1"/>
    <xf numFmtId="191" fontId="9" fillId="0" borderId="0" xfId="0" applyNumberFormat="1" applyFont="1"/>
    <xf numFmtId="0" fontId="75" fillId="37" borderId="0" xfId="0" applyFont="1" applyFill="1" applyBorder="1" applyAlignment="1">
      <alignment horizontal="center" vertical="top"/>
    </xf>
    <xf numFmtId="0" fontId="75" fillId="37" borderId="0" xfId="0" applyFont="1" applyFill="1" applyBorder="1" applyAlignment="1">
      <alignment vertical="top" wrapText="1"/>
    </xf>
    <xf numFmtId="44" fontId="76" fillId="37" borderId="0" xfId="203" applyNumberFormat="1" applyFont="1" applyFill="1" applyBorder="1" applyAlignment="1">
      <alignment horizontal="center" vertical="top"/>
    </xf>
    <xf numFmtId="0" fontId="75" fillId="37" borderId="0" xfId="0" applyFont="1" applyFill="1" applyBorder="1" applyAlignment="1">
      <alignment horizontal="center" vertical="center"/>
    </xf>
    <xf numFmtId="0" fontId="75" fillId="37" borderId="0" xfId="0" applyFont="1" applyFill="1" applyBorder="1" applyAlignment="1">
      <alignment horizontal="left" vertical="center" wrapText="1"/>
    </xf>
    <xf numFmtId="44" fontId="76" fillId="37" borderId="0" xfId="203" applyNumberFormat="1" applyFont="1" applyFill="1" applyBorder="1" applyAlignment="1">
      <alignment horizontal="center" vertical="center"/>
    </xf>
    <xf numFmtId="0" fontId="75" fillId="37" borderId="0" xfId="0" applyFont="1" applyFill="1" applyBorder="1" applyAlignment="1">
      <alignment horizontal="left" vertical="top" wrapText="1"/>
    </xf>
    <xf numFmtId="0" fontId="75" fillId="37" borderId="0" xfId="0" applyFont="1" applyFill="1" applyBorder="1" applyAlignment="1">
      <alignment horizontal="center" vertical="top" wrapText="1"/>
    </xf>
    <xf numFmtId="44" fontId="76" fillId="37" borderId="0" xfId="203" applyNumberFormat="1" applyFont="1" applyFill="1" applyBorder="1" applyAlignment="1">
      <alignment horizontal="center" vertical="top" wrapText="1"/>
    </xf>
    <xf numFmtId="190" fontId="75" fillId="37" borderId="0" xfId="0" applyNumberFormat="1" applyFont="1" applyFill="1" applyBorder="1" applyAlignment="1">
      <alignment horizontal="center" vertical="top" wrapText="1"/>
    </xf>
    <xf numFmtId="0" fontId="39" fillId="37" borderId="0" xfId="0" applyFont="1" applyFill="1" applyBorder="1" applyAlignment="1">
      <alignment vertical="top" wrapText="1"/>
    </xf>
    <xf numFmtId="0" fontId="39" fillId="37" borderId="0" xfId="0" applyFont="1" applyFill="1" applyBorder="1" applyAlignment="1">
      <alignment horizontal="center" vertical="top" wrapText="1"/>
    </xf>
    <xf numFmtId="44" fontId="9" fillId="32" borderId="0" xfId="0" applyNumberFormat="1" applyFont="1" applyFill="1"/>
    <xf numFmtId="4" fontId="63" fillId="0" borderId="0" xfId="490" applyNumberFormat="1" applyFont="1" applyAlignment="1"/>
    <xf numFmtId="0" fontId="63" fillId="0" borderId="0" xfId="0" applyFont="1" applyAlignment="1"/>
    <xf numFmtId="0" fontId="63" fillId="0" borderId="0" xfId="0" applyFont="1"/>
    <xf numFmtId="0" fontId="63" fillId="0" borderId="0" xfId="490" applyFont="1">
      <alignment vertical="center"/>
    </xf>
    <xf numFmtId="4" fontId="63" fillId="0" borderId="69" xfId="490" applyNumberFormat="1" applyFont="1" applyBorder="1" applyAlignment="1"/>
    <xf numFmtId="0" fontId="63" fillId="0" borderId="69" xfId="0" applyFont="1" applyBorder="1" applyAlignment="1"/>
    <xf numFmtId="0" fontId="63" fillId="0" borderId="69" xfId="0" applyFont="1" applyBorder="1" applyAlignment="1">
      <alignment horizontal="center"/>
    </xf>
    <xf numFmtId="0" fontId="77" fillId="0" borderId="0" xfId="0" applyFont="1"/>
    <xf numFmtId="0" fontId="77" fillId="0" borderId="53" xfId="0" applyFont="1" applyBorder="1" applyAlignment="1">
      <alignment horizontal="center" vertical="center"/>
    </xf>
    <xf numFmtId="0" fontId="77" fillId="0" borderId="53" xfId="0" applyFont="1" applyBorder="1" applyAlignment="1">
      <alignment vertical="center" wrapText="1"/>
    </xf>
    <xf numFmtId="2" fontId="77" fillId="0" borderId="53" xfId="490" applyNumberFormat="1" applyFont="1" applyBorder="1" applyAlignment="1">
      <alignment vertical="center"/>
    </xf>
    <xf numFmtId="4" fontId="77" fillId="0" borderId="53" xfId="490" applyNumberFormat="1" applyFont="1" applyBorder="1" applyAlignment="1">
      <alignment horizontal="center" vertical="center"/>
    </xf>
    <xf numFmtId="9" fontId="77" fillId="0" borderId="53" xfId="359" applyFont="1" applyBorder="1" applyAlignment="1">
      <alignment horizontal="center" vertical="center"/>
    </xf>
    <xf numFmtId="0" fontId="63" fillId="0" borderId="72" xfId="0" applyFont="1" applyBorder="1" applyAlignment="1">
      <alignment horizontal="center" vertical="center"/>
    </xf>
    <xf numFmtId="0" fontId="63" fillId="0" borderId="72" xfId="0" applyFont="1" applyBorder="1" applyAlignment="1">
      <alignment vertical="center" wrapText="1"/>
    </xf>
    <xf numFmtId="2" fontId="63" fillId="0" borderId="72" xfId="490" applyNumberFormat="1" applyFont="1" applyBorder="1" applyAlignment="1">
      <alignment vertical="center"/>
    </xf>
    <xf numFmtId="4" fontId="63" fillId="0" borderId="72" xfId="490" applyNumberFormat="1" applyFont="1" applyBorder="1" applyAlignment="1">
      <alignment horizontal="center" vertical="center"/>
    </xf>
    <xf numFmtId="10" fontId="63" fillId="0" borderId="72" xfId="359" applyNumberFormat="1" applyFont="1" applyBorder="1" applyAlignment="1">
      <alignment horizontal="center" vertical="center"/>
    </xf>
    <xf numFmtId="0" fontId="77" fillId="0" borderId="0" xfId="490" applyFont="1">
      <alignment vertical="center"/>
    </xf>
    <xf numFmtId="0" fontId="63" fillId="0" borderId="83" xfId="0" applyFont="1" applyBorder="1" applyAlignment="1">
      <alignment horizontal="center" vertical="center"/>
    </xf>
    <xf numFmtId="0" fontId="63" fillId="0" borderId="83" xfId="0" applyFont="1" applyBorder="1" applyAlignment="1">
      <alignment vertical="center" wrapText="1"/>
    </xf>
    <xf numFmtId="2" fontId="63" fillId="0" borderId="83" xfId="490" applyNumberFormat="1" applyFont="1" applyBorder="1" applyAlignment="1">
      <alignment vertical="center"/>
    </xf>
    <xf numFmtId="4" fontId="63" fillId="0" borderId="83" xfId="490" applyNumberFormat="1" applyFont="1" applyBorder="1" applyAlignment="1">
      <alignment horizontal="center" vertical="center"/>
    </xf>
    <xf numFmtId="10" fontId="63" fillId="0" borderId="83" xfId="359" applyNumberFormat="1" applyFont="1" applyBorder="1" applyAlignment="1">
      <alignment horizontal="center" vertical="center"/>
    </xf>
    <xf numFmtId="0" fontId="63" fillId="0" borderId="0" xfId="0" applyFont="1" applyAlignment="1">
      <alignment horizontal="center"/>
    </xf>
    <xf numFmtId="0" fontId="63" fillId="0" borderId="0" xfId="0" applyFont="1" applyAlignment="1">
      <alignment horizontal="center" vertical="center"/>
    </xf>
    <xf numFmtId="0" fontId="63" fillId="0" borderId="0" xfId="0" applyFont="1" applyAlignment="1">
      <alignment vertical="center" wrapText="1"/>
    </xf>
    <xf numFmtId="2" fontId="63" fillId="0" borderId="0" xfId="490" applyNumberFormat="1" applyFont="1" applyAlignment="1">
      <alignment vertical="center"/>
    </xf>
    <xf numFmtId="4" fontId="63" fillId="0" borderId="0" xfId="490" applyNumberFormat="1" applyFont="1" applyAlignment="1">
      <alignment horizontal="center" vertical="center"/>
    </xf>
    <xf numFmtId="9" fontId="63" fillId="0" borderId="0" xfId="359" applyFont="1" applyAlignment="1">
      <alignment horizontal="center" vertical="center"/>
    </xf>
    <xf numFmtId="44" fontId="3" fillId="27" borderId="21" xfId="198" applyFont="1" applyFill="1" applyBorder="1" applyAlignment="1" applyProtection="1">
      <alignment horizontal="left" vertical="center" wrapText="1"/>
      <protection locked="0"/>
    </xf>
    <xf numFmtId="0" fontId="78" fillId="27" borderId="72" xfId="0" applyFont="1" applyFill="1" applyBorder="1" applyAlignment="1">
      <alignment vertical="center" wrapText="1"/>
    </xf>
    <xf numFmtId="1" fontId="78" fillId="27" borderId="72" xfId="0" applyNumberFormat="1" applyFont="1" applyFill="1" applyBorder="1" applyAlignment="1" applyProtection="1">
      <alignment horizontal="left" vertical="center"/>
      <protection locked="0"/>
    </xf>
    <xf numFmtId="182" fontId="78" fillId="27" borderId="72" xfId="0" applyNumberFormat="1" applyFont="1" applyFill="1" applyBorder="1" applyAlignment="1">
      <alignment horizontal="center" vertical="center"/>
    </xf>
    <xf numFmtId="43" fontId="78" fillId="27" borderId="72" xfId="524" applyFont="1" applyFill="1" applyBorder="1" applyAlignment="1">
      <alignment horizontal="center" vertical="center"/>
    </xf>
    <xf numFmtId="0" fontId="78" fillId="0" borderId="0" xfId="0" applyFont="1" applyAlignment="1">
      <alignment horizontal="center"/>
    </xf>
    <xf numFmtId="4" fontId="78" fillId="0" borderId="0" xfId="0" applyNumberFormat="1" applyFont="1" applyAlignment="1">
      <alignment horizontal="center"/>
    </xf>
    <xf numFmtId="4" fontId="78" fillId="0" borderId="0" xfId="490" applyNumberFormat="1" applyFont="1" applyAlignment="1">
      <alignment horizontal="right" vertical="center"/>
    </xf>
    <xf numFmtId="9" fontId="78" fillId="0" borderId="0" xfId="359" applyFont="1" applyAlignment="1">
      <alignment horizontal="center"/>
    </xf>
    <xf numFmtId="0" fontId="78" fillId="0" borderId="0" xfId="0" applyFont="1"/>
    <xf numFmtId="0" fontId="3" fillId="33" borderId="0" xfId="240" applyFont="1" applyFill="1" applyBorder="1" applyAlignment="1" applyProtection="1">
      <alignment horizontal="center" vertical="center" wrapText="1"/>
      <protection locked="0"/>
    </xf>
    <xf numFmtId="44" fontId="9" fillId="0" borderId="0" xfId="198" applyFont="1" applyAlignment="1"/>
    <xf numFmtId="44" fontId="10" fillId="0" borderId="0" xfId="198" applyFont="1" applyAlignment="1"/>
    <xf numFmtId="44" fontId="9" fillId="32" borderId="0" xfId="198" applyFont="1" applyFill="1" applyAlignment="1"/>
    <xf numFmtId="44" fontId="9" fillId="27" borderId="0" xfId="198" applyFont="1" applyFill="1" applyAlignment="1"/>
    <xf numFmtId="10" fontId="9" fillId="0" borderId="0" xfId="359" applyNumberFormat="1" applyFont="1" applyAlignment="1"/>
    <xf numFmtId="0" fontId="7" fillId="27" borderId="0" xfId="240" applyFont="1" applyFill="1" applyAlignment="1" applyProtection="1">
      <alignment horizontal="center" vertical="center" wrapText="1"/>
      <protection locked="0"/>
    </xf>
    <xf numFmtId="0" fontId="7" fillId="27" borderId="0" xfId="240" applyFont="1" applyFill="1" applyAlignment="1" applyProtection="1">
      <alignment horizontal="justify" vertical="center" wrapText="1"/>
      <protection locked="0"/>
    </xf>
    <xf numFmtId="0" fontId="44" fillId="27" borderId="0" xfId="240" applyFont="1" applyFill="1" applyAlignment="1" applyProtection="1">
      <alignment horizontal="center" vertical="center" wrapText="1"/>
      <protection locked="0"/>
    </xf>
    <xf numFmtId="164" fontId="7" fillId="27" borderId="0" xfId="490" applyNumberFormat="1" applyFont="1" applyFill="1" applyAlignment="1" applyProtection="1">
      <alignment horizontal="center" vertical="center" wrapText="1"/>
      <protection locked="0"/>
    </xf>
    <xf numFmtId="0" fontId="7" fillId="27" borderId="0" xfId="240" applyFont="1" applyFill="1" applyAlignment="1" applyProtection="1">
      <alignment vertical="center" wrapText="1"/>
      <protection locked="0"/>
    </xf>
    <xf numFmtId="0" fontId="7" fillId="27" borderId="0" xfId="240" applyFont="1" applyFill="1" applyAlignment="1" applyProtection="1">
      <alignment horizontal="right" vertical="center" wrapText="1"/>
      <protection locked="0"/>
    </xf>
    <xf numFmtId="180" fontId="7" fillId="27" borderId="43" xfId="240" applyNumberFormat="1" applyFont="1" applyFill="1" applyBorder="1" applyAlignment="1" applyProtection="1">
      <alignment horizontal="center" vertical="center" wrapText="1"/>
      <protection locked="0"/>
    </xf>
    <xf numFmtId="1" fontId="7" fillId="27" borderId="21" xfId="359" applyNumberFormat="1" applyFont="1" applyFill="1" applyBorder="1" applyAlignment="1" applyProtection="1">
      <alignment horizontal="center" vertical="center" wrapText="1"/>
      <protection locked="0"/>
    </xf>
    <xf numFmtId="179" fontId="7" fillId="27" borderId="21" xfId="490" applyNumberFormat="1" applyFont="1" applyFill="1" applyBorder="1" applyProtection="1">
      <alignment vertical="center"/>
      <protection locked="0"/>
    </xf>
    <xf numFmtId="0" fontId="7" fillId="27" borderId="20" xfId="240" applyFont="1" applyFill="1" applyBorder="1" applyAlignment="1" applyProtection="1">
      <alignment horizontal="center" vertical="center" wrapText="1"/>
      <protection locked="0"/>
    </xf>
    <xf numFmtId="0" fontId="7" fillId="27" borderId="0" xfId="240" applyFont="1" applyFill="1" applyBorder="1" applyAlignment="1" applyProtection="1">
      <alignment horizontal="center" vertical="center" wrapText="1"/>
      <protection locked="0"/>
    </xf>
    <xf numFmtId="0" fontId="7" fillId="27" borderId="21" xfId="240" applyFont="1" applyFill="1" applyBorder="1" applyAlignment="1" applyProtection="1">
      <alignment horizontal="center" vertical="center" wrapText="1"/>
      <protection locked="0"/>
    </xf>
    <xf numFmtId="0" fontId="3" fillId="27" borderId="0" xfId="240" applyFont="1" applyFill="1" applyBorder="1" applyAlignment="1" applyProtection="1">
      <alignment horizontal="right" vertical="center" wrapText="1"/>
      <protection locked="0"/>
    </xf>
    <xf numFmtId="0" fontId="7" fillId="27" borderId="46" xfId="240" applyFont="1" applyFill="1" applyBorder="1" applyAlignment="1" applyProtection="1">
      <alignment horizontal="center" vertical="center" wrapText="1"/>
      <protection locked="0"/>
    </xf>
    <xf numFmtId="0" fontId="7" fillId="27" borderId="47" xfId="240" applyFont="1" applyFill="1" applyBorder="1" applyAlignment="1" applyProtection="1">
      <alignment horizontal="center" vertical="center" wrapText="1"/>
      <protection locked="0"/>
    </xf>
    <xf numFmtId="0" fontId="3" fillId="27" borderId="20" xfId="240" applyFont="1" applyFill="1" applyBorder="1" applyAlignment="1" applyProtection="1">
      <alignment horizontal="right" vertical="center" wrapText="1"/>
      <protection locked="0"/>
    </xf>
    <xf numFmtId="0" fontId="3" fillId="27" borderId="25" xfId="240" applyFont="1" applyFill="1" applyBorder="1" applyAlignment="1" applyProtection="1">
      <alignment horizontal="right" vertical="center" wrapText="1"/>
      <protection locked="0"/>
    </xf>
    <xf numFmtId="0" fontId="7" fillId="27" borderId="20" xfId="240" applyFont="1" applyFill="1" applyBorder="1" applyAlignment="1" applyProtection="1">
      <alignment horizontal="left" vertical="center" wrapText="1"/>
      <protection locked="0"/>
    </xf>
    <xf numFmtId="2" fontId="7" fillId="27" borderId="0" xfId="240" applyNumberFormat="1" applyFont="1" applyFill="1" applyBorder="1" applyAlignment="1" applyProtection="1">
      <alignment horizontal="center" vertical="center" wrapText="1"/>
      <protection locked="0"/>
    </xf>
    <xf numFmtId="0" fontId="7" fillId="27" borderId="25" xfId="240" applyFont="1" applyFill="1" applyBorder="1" applyAlignment="1" applyProtection="1">
      <alignment horizontal="center" vertical="center" wrapText="1"/>
      <protection locked="0"/>
    </xf>
    <xf numFmtId="2" fontId="7" fillId="27" borderId="0" xfId="240" applyNumberFormat="1" applyFont="1" applyFill="1" applyBorder="1" applyAlignment="1" applyProtection="1">
      <alignment horizontal="right" vertical="center" wrapText="1"/>
      <protection locked="0"/>
    </xf>
    <xf numFmtId="2" fontId="3" fillId="27" borderId="0" xfId="240" applyNumberFormat="1" applyFont="1" applyFill="1" applyBorder="1" applyAlignment="1" applyProtection="1">
      <alignment horizontal="right" vertical="center" wrapText="1"/>
      <protection locked="0"/>
    </xf>
    <xf numFmtId="0" fontId="3" fillId="27" borderId="0" xfId="240" applyFont="1" applyFill="1" applyBorder="1" applyAlignment="1" applyProtection="1">
      <alignment horizontal="center" vertical="center" wrapText="1"/>
      <protection locked="0"/>
    </xf>
    <xf numFmtId="2" fontId="3" fillId="27" borderId="0" xfId="240" applyNumberFormat="1" applyFont="1" applyFill="1" applyBorder="1" applyAlignment="1" applyProtection="1">
      <alignment horizontal="center" vertical="center" wrapText="1"/>
      <protection locked="0"/>
    </xf>
    <xf numFmtId="0" fontId="3" fillId="27" borderId="21" xfId="240" applyFont="1" applyFill="1" applyBorder="1" applyAlignment="1" applyProtection="1">
      <alignment horizontal="center" vertical="center" wrapText="1"/>
      <protection locked="0"/>
    </xf>
    <xf numFmtId="0" fontId="3" fillId="27" borderId="25" xfId="240" applyFont="1" applyFill="1" applyBorder="1" applyAlignment="1" applyProtection="1">
      <alignment horizontal="center" vertical="center" wrapText="1"/>
      <protection locked="0"/>
    </xf>
    <xf numFmtId="0" fontId="3" fillId="27" borderId="25" xfId="240" applyFont="1" applyFill="1" applyBorder="1" applyAlignment="1" applyProtection="1">
      <alignment horizontal="left" vertical="center" wrapText="1"/>
      <protection locked="0"/>
    </xf>
    <xf numFmtId="0" fontId="3" fillId="27" borderId="43" xfId="240" applyFont="1" applyFill="1" applyBorder="1" applyAlignment="1" applyProtection="1">
      <alignment horizontal="center" vertical="center" wrapText="1"/>
      <protection locked="0"/>
    </xf>
    <xf numFmtId="0" fontId="3" fillId="27" borderId="51" xfId="240" applyFont="1" applyFill="1" applyBorder="1" applyAlignment="1" applyProtection="1">
      <alignment horizontal="right" vertical="center" wrapText="1"/>
      <protection locked="0"/>
    </xf>
    <xf numFmtId="2" fontId="3" fillId="27" borderId="25" xfId="240" applyNumberFormat="1" applyFont="1" applyFill="1" applyBorder="1" applyAlignment="1" applyProtection="1">
      <alignment horizontal="center" vertical="center" wrapText="1"/>
      <protection locked="0"/>
    </xf>
    <xf numFmtId="180" fontId="3" fillId="27" borderId="0" xfId="240" applyNumberFormat="1" applyFont="1" applyFill="1" applyBorder="1" applyAlignment="1" applyProtection="1">
      <alignment horizontal="center" vertical="center" wrapText="1"/>
      <protection locked="0"/>
    </xf>
    <xf numFmtId="0" fontId="3" fillId="27" borderId="0" xfId="240" applyFont="1" applyFill="1" applyBorder="1" applyAlignment="1" applyProtection="1">
      <alignment horizontal="center" vertical="center" wrapText="1"/>
    </xf>
    <xf numFmtId="2" fontId="3" fillId="33" borderId="0" xfId="240" applyNumberFormat="1" applyFont="1" applyFill="1" applyBorder="1" applyAlignment="1" applyProtection="1">
      <alignment horizontal="center" vertical="center" wrapText="1"/>
      <protection locked="0"/>
    </xf>
    <xf numFmtId="0" fontId="3" fillId="33" borderId="20" xfId="240" applyFont="1" applyFill="1" applyBorder="1" applyAlignment="1" applyProtection="1">
      <alignment horizontal="right" vertical="center" wrapText="1"/>
      <protection locked="0"/>
    </xf>
    <xf numFmtId="0" fontId="7" fillId="33" borderId="51" xfId="240" applyFont="1" applyFill="1" applyBorder="1" applyAlignment="1" applyProtection="1">
      <alignment horizontal="right" vertical="center" wrapText="1"/>
      <protection locked="0"/>
    </xf>
    <xf numFmtId="2" fontId="7" fillId="33" borderId="0" xfId="240" applyNumberFormat="1" applyFont="1" applyFill="1" applyBorder="1" applyAlignment="1" applyProtection="1">
      <alignment horizontal="center" vertical="center" wrapText="1"/>
      <protection locked="0"/>
    </xf>
    <xf numFmtId="0" fontId="7" fillId="33" borderId="0" xfId="240" applyFont="1" applyFill="1" applyBorder="1" applyAlignment="1" applyProtection="1">
      <alignment horizontal="center" vertical="center" wrapText="1"/>
      <protection locked="0"/>
    </xf>
    <xf numFmtId="0" fontId="39" fillId="0" borderId="0" xfId="0" applyFont="1" applyAlignment="1">
      <alignment horizontal="center"/>
    </xf>
    <xf numFmtId="44" fontId="3" fillId="37" borderId="0" xfId="198" applyFont="1" applyFill="1" applyBorder="1" applyAlignment="1" applyProtection="1">
      <alignment horizontal="center" vertical="center"/>
      <protection locked="0"/>
    </xf>
    <xf numFmtId="44" fontId="3" fillId="37" borderId="0" xfId="198" applyFont="1" applyFill="1" applyBorder="1" applyAlignment="1" applyProtection="1">
      <alignment horizontal="center" vertical="center" wrapText="1"/>
      <protection locked="0"/>
    </xf>
    <xf numFmtId="44" fontId="3" fillId="37" borderId="21" xfId="198" applyFont="1" applyFill="1" applyBorder="1" applyAlignment="1" applyProtection="1">
      <alignment horizontal="center" vertical="center" wrapText="1"/>
      <protection locked="0"/>
    </xf>
    <xf numFmtId="0" fontId="66" fillId="37" borderId="0" xfId="0" applyFont="1" applyFill="1" applyAlignment="1">
      <alignment vertical="center" wrapText="1"/>
    </xf>
    <xf numFmtId="14" fontId="3" fillId="27" borderId="0" xfId="198" applyNumberFormat="1" applyFont="1" applyFill="1" applyBorder="1" applyAlignment="1" applyProtection="1">
      <alignment horizontal="left" vertical="center" wrapText="1"/>
      <protection locked="0"/>
    </xf>
    <xf numFmtId="0" fontId="47" fillId="27" borderId="75" xfId="241" applyFont="1" applyFill="1" applyBorder="1" applyAlignment="1" applyProtection="1">
      <alignment vertical="center" wrapText="1"/>
      <protection locked="0"/>
    </xf>
    <xf numFmtId="0" fontId="47" fillId="27" borderId="21" xfId="241" applyFont="1" applyFill="1" applyBorder="1" applyAlignment="1" applyProtection="1">
      <alignment vertical="center" wrapText="1"/>
      <protection locked="0"/>
    </xf>
    <xf numFmtId="0" fontId="69" fillId="0" borderId="54" xfId="0" applyFont="1" applyBorder="1" applyAlignment="1">
      <alignment horizontal="center"/>
    </xf>
    <xf numFmtId="0" fontId="69" fillId="0" borderId="55" xfId="0" applyFont="1" applyBorder="1" applyAlignment="1">
      <alignment horizontal="left" wrapText="1"/>
    </xf>
    <xf numFmtId="0" fontId="69" fillId="0" borderId="55" xfId="0" applyFont="1" applyBorder="1" applyAlignment="1">
      <alignment horizontal="center"/>
    </xf>
    <xf numFmtId="4" fontId="69" fillId="0" borderId="56" xfId="198" applyNumberFormat="1" applyFont="1" applyBorder="1" applyAlignment="1">
      <alignment vertical="center"/>
    </xf>
    <xf numFmtId="0" fontId="7" fillId="27" borderId="46" xfId="240" applyFont="1" applyFill="1" applyBorder="1" applyAlignment="1" applyProtection="1">
      <alignment horizontal="right" vertical="center" wrapText="1"/>
      <protection locked="0"/>
    </xf>
    <xf numFmtId="0" fontId="7" fillId="27" borderId="20" xfId="240" applyFont="1" applyFill="1" applyBorder="1" applyAlignment="1" applyProtection="1">
      <alignment horizontal="center" vertical="center" wrapText="1"/>
      <protection locked="0"/>
    </xf>
    <xf numFmtId="0" fontId="7" fillId="27" borderId="0" xfId="240" applyFont="1" applyFill="1" applyBorder="1" applyAlignment="1" applyProtection="1">
      <alignment horizontal="center" vertical="center" wrapText="1"/>
      <protection locked="0"/>
    </xf>
    <xf numFmtId="0" fontId="7" fillId="27" borderId="21" xfId="240" applyFont="1" applyFill="1" applyBorder="1" applyAlignment="1" applyProtection="1">
      <alignment horizontal="center" vertical="center" wrapText="1"/>
      <protection locked="0"/>
    </xf>
    <xf numFmtId="0" fontId="7" fillId="27" borderId="100" xfId="240" applyFont="1" applyFill="1" applyBorder="1" applyAlignment="1" applyProtection="1">
      <alignment horizontal="center" vertical="center" wrapText="1"/>
      <protection locked="0"/>
    </xf>
    <xf numFmtId="0" fontId="7" fillId="27" borderId="60" xfId="240" applyFont="1" applyFill="1" applyBorder="1" applyAlignment="1" applyProtection="1">
      <alignment horizontal="center" vertical="center" wrapText="1"/>
      <protection locked="0"/>
    </xf>
    <xf numFmtId="0" fontId="7" fillId="27" borderId="101" xfId="240" applyFont="1" applyFill="1" applyBorder="1" applyAlignment="1" applyProtection="1">
      <alignment horizontal="center" vertical="center" wrapText="1"/>
      <protection locked="0"/>
    </xf>
    <xf numFmtId="44" fontId="3" fillId="27" borderId="19" xfId="198" applyFont="1" applyFill="1" applyBorder="1" applyAlignment="1" applyProtection="1">
      <alignment horizontal="left" vertical="center" wrapText="1"/>
      <protection locked="0"/>
    </xf>
    <xf numFmtId="44" fontId="3" fillId="27" borderId="52" xfId="198" applyFont="1" applyFill="1" applyBorder="1" applyAlignment="1" applyProtection="1">
      <alignment horizontal="left" vertical="center" wrapText="1"/>
      <protection locked="0"/>
    </xf>
    <xf numFmtId="0" fontId="7" fillId="27" borderId="0" xfId="240" applyFont="1" applyFill="1" applyBorder="1" applyAlignment="1" applyProtection="1">
      <alignment horizontal="left" vertical="center" wrapText="1"/>
      <protection locked="0"/>
    </xf>
    <xf numFmtId="0" fontId="7" fillId="27" borderId="0" xfId="240" applyFont="1" applyFill="1" applyBorder="1" applyAlignment="1" applyProtection="1">
      <alignment horizontal="right" vertical="center" wrapText="1"/>
      <protection locked="0"/>
    </xf>
    <xf numFmtId="177" fontId="7" fillId="32" borderId="115" xfId="496" applyFont="1" applyFill="1" applyBorder="1" applyAlignment="1" applyProtection="1">
      <alignment horizontal="center" vertical="center" wrapText="1"/>
    </xf>
    <xf numFmtId="177" fontId="7" fillId="32" borderId="125" xfId="496" applyFont="1" applyFill="1" applyBorder="1" applyAlignment="1" applyProtection="1">
      <alignment horizontal="center" vertical="center" wrapText="1"/>
    </xf>
    <xf numFmtId="177" fontId="7" fillId="32" borderId="122" xfId="496" applyFont="1" applyFill="1" applyBorder="1" applyAlignment="1" applyProtection="1">
      <alignment horizontal="center" vertical="center" wrapText="1"/>
    </xf>
    <xf numFmtId="177" fontId="7" fillId="32" borderId="121" xfId="496" applyFont="1" applyFill="1" applyBorder="1" applyAlignment="1" applyProtection="1">
      <alignment horizontal="center" vertical="center" wrapText="1"/>
    </xf>
    <xf numFmtId="177" fontId="7" fillId="32" borderId="113" xfId="496" applyFont="1" applyFill="1" applyBorder="1" applyAlignment="1" applyProtection="1">
      <alignment horizontal="center" vertical="center" wrapText="1"/>
    </xf>
    <xf numFmtId="177" fontId="7" fillId="32" borderId="114" xfId="496" applyFont="1" applyFill="1" applyBorder="1" applyAlignment="1" applyProtection="1">
      <alignment horizontal="center" vertical="center" wrapText="1"/>
    </xf>
    <xf numFmtId="177" fontId="7" fillId="32" borderId="123" xfId="496" applyFont="1" applyFill="1" applyBorder="1" applyAlignment="1" applyProtection="1">
      <alignment horizontal="center" vertical="center" wrapText="1"/>
    </xf>
    <xf numFmtId="0" fontId="69" fillId="0" borderId="0" xfId="0" applyFont="1" applyAlignment="1" applyProtection="1">
      <alignment horizontal="center"/>
    </xf>
    <xf numFmtId="0" fontId="69" fillId="0" borderId="0" xfId="0" applyFont="1" applyAlignment="1" applyProtection="1">
      <alignment horizontal="center" vertical="center"/>
    </xf>
    <xf numFmtId="0" fontId="69" fillId="0" borderId="0" xfId="0" applyFont="1" applyProtection="1"/>
    <xf numFmtId="0" fontId="7" fillId="0" borderId="0" xfId="243" applyFont="1" applyFill="1" applyBorder="1" applyAlignment="1" applyProtection="1">
      <alignment horizontal="center" vertical="center" wrapText="1"/>
    </xf>
    <xf numFmtId="0" fontId="69" fillId="0" borderId="28" xfId="0" applyFont="1" applyBorder="1" applyAlignment="1" applyProtection="1">
      <alignment horizontal="center"/>
    </xf>
    <xf numFmtId="0" fontId="69" fillId="0" borderId="29" xfId="0" applyFont="1" applyBorder="1" applyAlignment="1" applyProtection="1">
      <alignment horizontal="left"/>
    </xf>
    <xf numFmtId="0" fontId="69" fillId="0" borderId="30" xfId="0" applyFont="1" applyBorder="1" applyAlignment="1" applyProtection="1">
      <alignment horizontal="center"/>
    </xf>
    <xf numFmtId="0" fontId="69" fillId="0" borderId="31" xfId="0" applyFont="1" applyBorder="1" applyAlignment="1" applyProtection="1">
      <alignment horizontal="left"/>
    </xf>
    <xf numFmtId="0" fontId="7" fillId="0" borderId="0" xfId="243" applyFont="1" applyBorder="1" applyAlignment="1" applyProtection="1">
      <alignment horizontal="left" vertical="center" wrapText="1"/>
    </xf>
    <xf numFmtId="0" fontId="69" fillId="0" borderId="0" xfId="0" applyFont="1" applyAlignment="1" applyProtection="1">
      <alignment horizontal="left"/>
    </xf>
    <xf numFmtId="0" fontId="69" fillId="0" borderId="32" xfId="0" applyFont="1" applyBorder="1" applyAlignment="1" applyProtection="1">
      <alignment horizontal="center"/>
    </xf>
    <xf numFmtId="0" fontId="69" fillId="0" borderId="33" xfId="0" applyFont="1" applyBorder="1" applyAlignment="1" applyProtection="1">
      <alignment horizontal="left"/>
    </xf>
    <xf numFmtId="0" fontId="0" fillId="0" borderId="0" xfId="0" applyProtection="1"/>
    <xf numFmtId="0" fontId="69" fillId="0" borderId="30" xfId="0" applyFont="1" applyBorder="1" applyAlignment="1" applyProtection="1">
      <alignment horizontal="center" vertical="center"/>
    </xf>
    <xf numFmtId="0" fontId="69" fillId="0" borderId="31" xfId="0" applyFont="1" applyBorder="1" applyAlignment="1" applyProtection="1">
      <alignment horizontal="left" vertical="center"/>
    </xf>
    <xf numFmtId="0" fontId="69" fillId="0" borderId="34" xfId="0" applyFont="1" applyBorder="1" applyAlignment="1" applyProtection="1">
      <alignment horizontal="center"/>
    </xf>
    <xf numFmtId="0" fontId="69" fillId="0" borderId="35" xfId="0" applyFont="1" applyBorder="1" applyAlignment="1" applyProtection="1">
      <alignment horizontal="center"/>
    </xf>
    <xf numFmtId="0" fontId="69" fillId="0" borderId="36" xfId="0" applyFont="1" applyBorder="1" applyAlignment="1" applyProtection="1"/>
    <xf numFmtId="0" fontId="69" fillId="0" borderId="28" xfId="0" applyFont="1" applyBorder="1" applyAlignment="1" applyProtection="1">
      <alignment horizontal="center" vertical="center"/>
    </xf>
    <xf numFmtId="0" fontId="70" fillId="0" borderId="29" xfId="0" applyFont="1" applyBorder="1" applyAlignment="1" applyProtection="1">
      <alignment horizontal="center" vertical="center"/>
    </xf>
    <xf numFmtId="0" fontId="69" fillId="0" borderId="34" xfId="0" applyFont="1" applyBorder="1" applyAlignment="1" applyProtection="1"/>
    <xf numFmtId="0" fontId="69" fillId="0" borderId="36" xfId="0" applyFont="1" applyBorder="1" applyAlignment="1" applyProtection="1">
      <alignment horizontal="center"/>
    </xf>
    <xf numFmtId="0" fontId="69" fillId="0" borderId="37" xfId="0" applyFont="1" applyBorder="1" applyAlignment="1" applyProtection="1"/>
    <xf numFmtId="0" fontId="69" fillId="0" borderId="38" xfId="0" applyFont="1" applyBorder="1" applyAlignment="1" applyProtection="1">
      <alignment horizontal="center"/>
    </xf>
    <xf numFmtId="0" fontId="69" fillId="0" borderId="39" xfId="0" applyFont="1" applyBorder="1" applyAlignment="1" applyProtection="1">
      <alignment horizontal="center"/>
    </xf>
    <xf numFmtId="0" fontId="70" fillId="0" borderId="33" xfId="0" applyFont="1" applyBorder="1" applyAlignment="1" applyProtection="1">
      <alignment horizontal="center" vertical="center"/>
    </xf>
    <xf numFmtId="0" fontId="69" fillId="0" borderId="40" xfId="0" applyFont="1" applyBorder="1" applyAlignment="1" applyProtection="1"/>
    <xf numFmtId="0" fontId="69" fillId="0" borderId="41" xfId="0" applyFont="1" applyBorder="1" applyAlignment="1" applyProtection="1">
      <alignment horizontal="center"/>
    </xf>
    <xf numFmtId="0" fontId="69" fillId="0" borderId="42" xfId="0" applyFont="1" applyBorder="1" applyAlignment="1" applyProtection="1">
      <alignment horizontal="center"/>
    </xf>
    <xf numFmtId="0" fontId="70" fillId="0" borderId="31" xfId="0" applyFont="1" applyBorder="1" applyAlignment="1" applyProtection="1">
      <alignment horizontal="center" vertical="center"/>
    </xf>
    <xf numFmtId="0" fontId="69" fillId="0" borderId="29" xfId="0" applyFont="1" applyBorder="1" applyAlignment="1" applyProtection="1">
      <alignment horizontal="center" vertical="center"/>
    </xf>
    <xf numFmtId="0" fontId="69" fillId="0" borderId="31" xfId="0" applyFont="1" applyBorder="1" applyAlignment="1" applyProtection="1">
      <alignment horizontal="center" vertical="center"/>
    </xf>
    <xf numFmtId="0" fontId="69" fillId="0" borderId="0" xfId="0" applyFont="1" applyAlignment="1" applyProtection="1">
      <alignment horizontal="left" vertical="center"/>
    </xf>
    <xf numFmtId="0" fontId="69" fillId="0" borderId="34" xfId="0" applyFont="1" applyBorder="1" applyAlignment="1" applyProtection="1">
      <alignment horizontal="center" vertical="center"/>
    </xf>
    <xf numFmtId="0" fontId="69" fillId="0" borderId="40" xfId="0" applyFont="1" applyBorder="1" applyAlignment="1" applyProtection="1">
      <alignment horizontal="center" vertical="center"/>
    </xf>
    <xf numFmtId="0" fontId="7" fillId="0" borderId="0" xfId="243" applyFont="1" applyBorder="1" applyAlignment="1" applyProtection="1">
      <alignment vertical="center" wrapText="1"/>
    </xf>
    <xf numFmtId="2" fontId="69" fillId="0" borderId="30" xfId="0" applyNumberFormat="1" applyFont="1" applyBorder="1" applyAlignment="1" applyProtection="1">
      <alignment horizontal="center" vertical="center"/>
    </xf>
    <xf numFmtId="0" fontId="0" fillId="0" borderId="31" xfId="0" applyBorder="1" applyProtection="1"/>
    <xf numFmtId="0" fontId="8" fillId="0" borderId="0" xfId="240" applyFont="1" applyAlignment="1" applyProtection="1">
      <alignment horizontal="left"/>
    </xf>
    <xf numFmtId="0" fontId="8" fillId="0" borderId="0" xfId="240" applyFont="1" applyAlignment="1" applyProtection="1">
      <alignment horizontal="center"/>
    </xf>
    <xf numFmtId="0" fontId="3" fillId="0" borderId="0" xfId="240" applyFont="1" applyFill="1" applyBorder="1" applyAlignment="1" applyProtection="1">
      <alignment horizontal="center" vertical="center" wrapText="1"/>
    </xf>
    <xf numFmtId="0" fontId="4" fillId="0" borderId="0" xfId="240" applyFont="1" applyAlignment="1" applyProtection="1">
      <alignment horizontal="center" vertical="center"/>
    </xf>
    <xf numFmtId="0" fontId="5" fillId="0" borderId="0" xfId="240" applyFont="1" applyAlignment="1" applyProtection="1">
      <alignment horizontal="center" vertical="center"/>
    </xf>
    <xf numFmtId="0" fontId="4" fillId="0" borderId="0" xfId="240" applyFont="1" applyProtection="1"/>
    <xf numFmtId="0" fontId="3" fillId="0" borderId="0" xfId="240" applyFont="1" applyBorder="1" applyAlignment="1" applyProtection="1">
      <alignment horizontal="center" vertical="center" wrapText="1"/>
    </xf>
    <xf numFmtId="0" fontId="6" fillId="0" borderId="0" xfId="240" applyFont="1" applyFill="1" applyAlignment="1" applyProtection="1">
      <alignment horizontal="center" vertical="center"/>
    </xf>
    <xf numFmtId="0" fontId="3" fillId="27" borderId="18" xfId="240" applyFont="1" applyFill="1" applyBorder="1" applyAlignment="1" applyProtection="1">
      <alignment horizontal="center" vertical="center" wrapText="1"/>
    </xf>
    <xf numFmtId="0" fontId="7" fillId="27" borderId="19" xfId="240" applyFont="1" applyFill="1" applyBorder="1" applyAlignment="1" applyProtection="1">
      <alignment horizontal="center" vertical="center" wrapText="1"/>
    </xf>
    <xf numFmtId="0" fontId="8" fillId="27" borderId="19" xfId="240" applyFont="1" applyFill="1" applyBorder="1" applyAlignment="1" applyProtection="1">
      <alignment horizontal="center" vertical="center" wrapText="1"/>
    </xf>
    <xf numFmtId="164" fontId="3" fillId="27" borderId="19" xfId="490" applyNumberFormat="1" applyFont="1" applyFill="1" applyBorder="1" applyAlignment="1" applyProtection="1">
      <alignment horizontal="center" vertical="center" wrapText="1"/>
    </xf>
    <xf numFmtId="0" fontId="3" fillId="27" borderId="19" xfId="240" applyFont="1" applyFill="1" applyBorder="1" applyAlignment="1" applyProtection="1">
      <alignment horizontal="center" vertical="center" wrapText="1"/>
    </xf>
    <xf numFmtId="0" fontId="3" fillId="27" borderId="52" xfId="240" applyFont="1" applyFill="1" applyBorder="1" applyAlignment="1" applyProtection="1">
      <alignment horizontal="center" vertical="center" wrapText="1"/>
    </xf>
    <xf numFmtId="43" fontId="6" fillId="0" borderId="0" xfId="240" applyNumberFormat="1" applyFont="1" applyFill="1" applyAlignment="1" applyProtection="1">
      <alignment horizontal="center" vertical="center"/>
    </xf>
    <xf numFmtId="0" fontId="7" fillId="27" borderId="20" xfId="240" applyFont="1" applyFill="1" applyBorder="1" applyAlignment="1" applyProtection="1">
      <alignment horizontal="left" vertical="center" wrapText="1"/>
    </xf>
    <xf numFmtId="0" fontId="3" fillId="27" borderId="0" xfId="240" applyFont="1" applyFill="1" applyBorder="1" applyAlignment="1" applyProtection="1">
      <alignment horizontal="left" vertical="center" wrapText="1"/>
    </xf>
    <xf numFmtId="164" fontId="3" fillId="27" borderId="0" xfId="490" applyNumberFormat="1" applyFont="1" applyFill="1" applyBorder="1" applyAlignment="1" applyProtection="1">
      <alignment horizontal="center" vertical="center" wrapText="1"/>
    </xf>
    <xf numFmtId="0" fontId="7" fillId="27" borderId="0" xfId="242" applyFont="1" applyFill="1" applyBorder="1" applyAlignment="1" applyProtection="1">
      <alignment horizontal="right" vertical="center" wrapText="1"/>
    </xf>
    <xf numFmtId="10" fontId="3" fillId="27" borderId="21" xfId="243" applyNumberFormat="1" applyFont="1" applyFill="1" applyBorder="1" applyAlignment="1" applyProtection="1">
      <alignment horizontal="center" vertical="center" wrapText="1"/>
    </xf>
    <xf numFmtId="10" fontId="3" fillId="0" borderId="0" xfId="243" applyNumberFormat="1" applyFont="1" applyFill="1" applyBorder="1" applyAlignment="1" applyProtection="1">
      <alignment horizontal="center" vertical="center" wrapText="1"/>
    </xf>
    <xf numFmtId="4" fontId="7" fillId="27" borderId="0" xfId="349" applyNumberFormat="1" applyFont="1" applyFill="1" applyBorder="1" applyAlignment="1" applyProtection="1">
      <alignment horizontal="right" vertical="center"/>
    </xf>
    <xf numFmtId="10" fontId="3" fillId="27" borderId="21" xfId="240" applyNumberFormat="1" applyFont="1" applyFill="1" applyBorder="1" applyAlignment="1" applyProtection="1">
      <alignment vertical="center" wrapText="1"/>
    </xf>
    <xf numFmtId="10" fontId="3" fillId="0" borderId="0" xfId="240" applyNumberFormat="1" applyFont="1" applyFill="1" applyBorder="1" applyAlignment="1" applyProtection="1">
      <alignment horizontal="center" vertical="center" wrapText="1"/>
    </xf>
    <xf numFmtId="0" fontId="7" fillId="27" borderId="23" xfId="240" applyFont="1" applyFill="1" applyBorder="1" applyAlignment="1" applyProtection="1">
      <alignment horizontal="left" vertical="center" wrapText="1"/>
    </xf>
    <xf numFmtId="0" fontId="3" fillId="27" borderId="22" xfId="240" applyFont="1" applyFill="1" applyBorder="1" applyAlignment="1" applyProtection="1">
      <alignment horizontal="left" vertical="center" wrapText="1"/>
    </xf>
    <xf numFmtId="0" fontId="3" fillId="27" borderId="22" xfId="240" applyFont="1" applyFill="1" applyBorder="1" applyAlignment="1" applyProtection="1">
      <alignment horizontal="center" vertical="center" wrapText="1"/>
    </xf>
    <xf numFmtId="164" fontId="3" fillId="27" borderId="22" xfId="490" applyNumberFormat="1" applyFont="1" applyFill="1" applyBorder="1" applyAlignment="1" applyProtection="1">
      <alignment horizontal="center" vertical="center" wrapText="1"/>
    </xf>
    <xf numFmtId="4" fontId="7" fillId="27" borderId="22" xfId="349" applyNumberFormat="1" applyFont="1" applyFill="1" applyBorder="1" applyAlignment="1" applyProtection="1">
      <alignment horizontal="right" vertical="center"/>
    </xf>
    <xf numFmtId="10" fontId="3" fillId="27" borderId="24" xfId="240" applyNumberFormat="1" applyFont="1" applyFill="1" applyBorder="1" applyAlignment="1" applyProtection="1">
      <alignment vertical="center" wrapText="1"/>
    </xf>
    <xf numFmtId="4" fontId="3" fillId="0" borderId="0" xfId="240" applyNumberFormat="1" applyFont="1" applyFill="1" applyBorder="1" applyAlignment="1" applyProtection="1">
      <alignment horizontal="center" vertical="center" wrapText="1"/>
    </xf>
    <xf numFmtId="0" fontId="3" fillId="0" borderId="0" xfId="240" applyFont="1" applyAlignment="1" applyProtection="1">
      <alignment horizontal="center" vertical="center"/>
    </xf>
    <xf numFmtId="0" fontId="7" fillId="27" borderId="20" xfId="242" applyFont="1" applyFill="1" applyBorder="1" applyAlignment="1" applyProtection="1">
      <alignment vertical="center" wrapText="1"/>
    </xf>
    <xf numFmtId="0" fontId="7" fillId="27" borderId="0" xfId="242" applyFont="1" applyFill="1" applyBorder="1" applyAlignment="1" applyProtection="1">
      <alignment vertical="center" wrapText="1"/>
    </xf>
    <xf numFmtId="0" fontId="3" fillId="27" borderId="0" xfId="240" applyFont="1" applyFill="1" applyBorder="1" applyAlignment="1" applyProtection="1">
      <alignment horizontal="justify" vertical="center" wrapText="1"/>
    </xf>
    <xf numFmtId="0" fontId="8" fillId="27" borderId="0" xfId="240" applyFont="1" applyFill="1" applyBorder="1" applyAlignment="1" applyProtection="1">
      <alignment horizontal="center" vertical="center" wrapText="1"/>
    </xf>
    <xf numFmtId="10" fontId="3" fillId="27" borderId="21" xfId="240" applyNumberFormat="1" applyFont="1" applyFill="1" applyBorder="1" applyAlignment="1" applyProtection="1">
      <alignment wrapText="1"/>
    </xf>
    <xf numFmtId="0" fontId="10" fillId="0" borderId="0" xfId="240" applyFont="1" applyFill="1" applyBorder="1" applyAlignment="1" applyProtection="1">
      <alignment horizontal="center" vertical="center"/>
    </xf>
    <xf numFmtId="0" fontId="7" fillId="0" borderId="0" xfId="240" applyFont="1" applyFill="1" applyBorder="1" applyAlignment="1" applyProtection="1">
      <alignment horizontal="center" vertical="center" wrapText="1"/>
    </xf>
    <xf numFmtId="1" fontId="7" fillId="0" borderId="0" xfId="240" applyNumberFormat="1" applyFont="1" applyFill="1" applyBorder="1" applyAlignment="1" applyProtection="1">
      <alignment horizontal="center" vertical="center" wrapText="1"/>
    </xf>
    <xf numFmtId="1" fontId="7" fillId="27" borderId="49" xfId="240" applyNumberFormat="1" applyFont="1" applyFill="1" applyBorder="1" applyAlignment="1" applyProtection="1">
      <alignment horizontal="left" vertical="center" wrapText="1"/>
    </xf>
    <xf numFmtId="1" fontId="7" fillId="27" borderId="50" xfId="240" applyNumberFormat="1" applyFont="1" applyFill="1" applyBorder="1" applyAlignment="1" applyProtection="1">
      <alignment horizontal="left" vertical="center" wrapText="1"/>
    </xf>
    <xf numFmtId="0" fontId="7" fillId="27" borderId="0" xfId="240" applyFont="1" applyFill="1" applyBorder="1" applyAlignment="1" applyProtection="1">
      <alignment horizontal="center" vertical="center" wrapText="1"/>
    </xf>
    <xf numFmtId="4" fontId="7" fillId="27" borderId="21" xfId="241" applyNumberFormat="1" applyFont="1" applyFill="1" applyBorder="1" applyAlignment="1" applyProtection="1">
      <alignment horizontal="center" vertical="center" wrapText="1"/>
    </xf>
    <xf numFmtId="4" fontId="7" fillId="0" borderId="0" xfId="240" applyNumberFormat="1" applyFont="1" applyFill="1" applyBorder="1" applyAlignment="1" applyProtection="1">
      <alignment horizontal="center" vertical="center" wrapText="1"/>
    </xf>
    <xf numFmtId="0" fontId="7" fillId="0" borderId="0" xfId="240" applyFont="1" applyAlignment="1" applyProtection="1">
      <alignment horizontal="center" vertical="center"/>
    </xf>
    <xf numFmtId="1" fontId="7" fillId="27" borderId="20" xfId="240" applyNumberFormat="1" applyFont="1" applyFill="1" applyBorder="1" applyAlignment="1" applyProtection="1">
      <alignment horizontal="left" vertical="center" wrapText="1"/>
    </xf>
    <xf numFmtId="1" fontId="7" fillId="27" borderId="0" xfId="240" applyNumberFormat="1" applyFont="1" applyFill="1" applyBorder="1" applyAlignment="1" applyProtection="1">
      <alignment horizontal="left" vertical="center" wrapText="1"/>
    </xf>
    <xf numFmtId="9" fontId="7" fillId="27" borderId="21" xfId="359" applyFont="1" applyFill="1" applyBorder="1" applyAlignment="1" applyProtection="1">
      <alignment horizontal="center" vertical="center" wrapText="1"/>
    </xf>
    <xf numFmtId="0" fontId="3" fillId="27" borderId="20" xfId="240" applyFont="1" applyFill="1" applyBorder="1" applyAlignment="1" applyProtection="1">
      <alignment horizontal="center" vertical="center" wrapText="1"/>
    </xf>
    <xf numFmtId="0" fontId="3" fillId="27" borderId="0" xfId="240" applyFont="1" applyFill="1" applyBorder="1" applyAlignment="1" applyProtection="1">
      <alignment vertical="center" wrapText="1"/>
    </xf>
    <xf numFmtId="0" fontId="3" fillId="27" borderId="21" xfId="240" applyFont="1" applyFill="1" applyBorder="1" applyAlignment="1" applyProtection="1">
      <alignment vertical="center" wrapText="1"/>
    </xf>
    <xf numFmtId="0" fontId="3" fillId="27" borderId="20" xfId="240" applyFont="1" applyFill="1" applyBorder="1" applyAlignment="1" applyProtection="1">
      <alignment horizontal="left" vertical="center" wrapText="1"/>
    </xf>
    <xf numFmtId="1" fontId="3" fillId="27" borderId="21" xfId="359" applyNumberFormat="1" applyFont="1" applyFill="1" applyBorder="1" applyAlignment="1" applyProtection="1">
      <alignment horizontal="center" vertical="center" wrapText="1"/>
    </xf>
    <xf numFmtId="2" fontId="3" fillId="27" borderId="0" xfId="240" applyNumberFormat="1" applyFont="1" applyFill="1" applyBorder="1" applyAlignment="1" applyProtection="1">
      <alignment horizontal="center" vertical="center" wrapText="1"/>
    </xf>
    <xf numFmtId="2" fontId="3" fillId="27" borderId="21" xfId="359" applyNumberFormat="1" applyFont="1" applyFill="1" applyBorder="1" applyAlignment="1" applyProtection="1">
      <alignment horizontal="center" vertical="center" wrapText="1"/>
    </xf>
    <xf numFmtId="0" fontId="7" fillId="27" borderId="45" xfId="240" applyFont="1" applyFill="1" applyBorder="1" applyAlignment="1" applyProtection="1">
      <alignment horizontal="left" vertical="center" wrapText="1"/>
    </xf>
    <xf numFmtId="0" fontId="7" fillId="27" borderId="46" xfId="240" applyFont="1" applyFill="1" applyBorder="1" applyAlignment="1" applyProtection="1">
      <alignment horizontal="left" vertical="center" wrapText="1"/>
    </xf>
    <xf numFmtId="0" fontId="7" fillId="27" borderId="46" xfId="240" applyFont="1" applyFill="1" applyBorder="1" applyAlignment="1" applyProtection="1">
      <alignment horizontal="center" vertical="center" wrapText="1"/>
    </xf>
    <xf numFmtId="0" fontId="7" fillId="27" borderId="47" xfId="240" applyFont="1" applyFill="1" applyBorder="1" applyAlignment="1" applyProtection="1">
      <alignment horizontal="center" vertical="center" wrapText="1"/>
    </xf>
    <xf numFmtId="0" fontId="3" fillId="0" borderId="0" xfId="240" applyFont="1" applyBorder="1" applyAlignment="1" applyProtection="1">
      <alignment vertical="center" wrapText="1"/>
    </xf>
    <xf numFmtId="0" fontId="39" fillId="27" borderId="0" xfId="240" applyFont="1" applyFill="1" applyAlignment="1" applyProtection="1">
      <alignment horizontal="center" vertical="center"/>
    </xf>
    <xf numFmtId="0" fontId="3" fillId="27" borderId="48" xfId="240" applyFont="1" applyFill="1" applyBorder="1" applyAlignment="1" applyProtection="1">
      <alignment horizontal="left" vertical="center" wrapText="1"/>
    </xf>
    <xf numFmtId="0" fontId="3" fillId="27" borderId="25" xfId="240" applyFont="1" applyFill="1" applyBorder="1" applyAlignment="1" applyProtection="1">
      <alignment horizontal="left" vertical="center" wrapText="1"/>
    </xf>
    <xf numFmtId="2" fontId="3" fillId="27" borderId="25" xfId="240" applyNumberFormat="1" applyFont="1" applyFill="1" applyBorder="1" applyAlignment="1" applyProtection="1">
      <alignment horizontal="center" vertical="center" wrapText="1"/>
    </xf>
    <xf numFmtId="2" fontId="7" fillId="27" borderId="25" xfId="240" applyNumberFormat="1" applyFont="1" applyFill="1" applyBorder="1" applyAlignment="1" applyProtection="1">
      <alignment horizontal="center" vertical="center" wrapText="1"/>
    </xf>
    <xf numFmtId="2" fontId="7" fillId="27" borderId="26" xfId="359" applyNumberFormat="1" applyFont="1" applyFill="1" applyBorder="1" applyAlignment="1" applyProtection="1">
      <alignment horizontal="center" vertical="center" wrapText="1"/>
    </xf>
    <xf numFmtId="0" fontId="3" fillId="27" borderId="54" xfId="240" applyFont="1" applyFill="1" applyBorder="1" applyAlignment="1" applyProtection="1">
      <alignment horizontal="center" vertical="center" wrapText="1"/>
    </xf>
    <xf numFmtId="0" fontId="3" fillId="27" borderId="55" xfId="240" applyFont="1" applyFill="1" applyBorder="1" applyAlignment="1" applyProtection="1">
      <alignment horizontal="center" vertical="center" wrapText="1"/>
    </xf>
    <xf numFmtId="0" fontId="3" fillId="27" borderId="55" xfId="240" applyFont="1" applyFill="1" applyBorder="1" applyAlignment="1" applyProtection="1">
      <alignment horizontal="justify" vertical="center" wrapText="1"/>
    </xf>
    <xf numFmtId="0" fontId="8" fillId="27" borderId="55" xfId="240" applyFont="1" applyFill="1" applyBorder="1" applyAlignment="1" applyProtection="1">
      <alignment horizontal="center" vertical="center" wrapText="1"/>
    </xf>
    <xf numFmtId="164" fontId="3" fillId="27" borderId="55" xfId="490" applyNumberFormat="1" applyFont="1" applyFill="1" applyBorder="1" applyAlignment="1" applyProtection="1">
      <alignment horizontal="center" vertical="center" wrapText="1"/>
    </xf>
    <xf numFmtId="0" fontId="3" fillId="27" borderId="55" xfId="240" applyFont="1" applyFill="1" applyBorder="1" applyAlignment="1" applyProtection="1">
      <alignment vertical="center" wrapText="1"/>
    </xf>
    <xf numFmtId="0" fontId="3" fillId="27" borderId="56" xfId="240" applyFont="1" applyFill="1" applyBorder="1" applyAlignment="1" applyProtection="1">
      <alignment vertical="center" wrapText="1"/>
    </xf>
    <xf numFmtId="0" fontId="8" fillId="27" borderId="0" xfId="240" applyFont="1" applyFill="1" applyAlignment="1" applyProtection="1">
      <alignment horizontal="left"/>
    </xf>
    <xf numFmtId="0" fontId="8" fillId="27" borderId="0" xfId="240" applyFont="1" applyFill="1" applyAlignment="1" applyProtection="1">
      <alignment horizontal="center"/>
    </xf>
    <xf numFmtId="0" fontId="39" fillId="0" borderId="0" xfId="240" applyFont="1" applyAlignment="1" applyProtection="1">
      <alignment horizontal="center" vertical="center"/>
    </xf>
    <xf numFmtId="180" fontId="45" fillId="27" borderId="25" xfId="240" applyNumberFormat="1" applyFont="1" applyFill="1" applyBorder="1" applyAlignment="1" applyProtection="1">
      <alignment horizontal="center" vertical="center" wrapText="1"/>
    </xf>
    <xf numFmtId="0" fontId="3" fillId="27" borderId="25" xfId="240" applyFont="1" applyFill="1" applyBorder="1" applyAlignment="1" applyProtection="1">
      <alignment horizontal="center" vertical="center" wrapText="1"/>
    </xf>
    <xf numFmtId="2" fontId="3" fillId="27" borderId="26" xfId="359" applyNumberFormat="1" applyFont="1" applyFill="1" applyBorder="1" applyAlignment="1" applyProtection="1">
      <alignment horizontal="center" vertical="center" wrapText="1"/>
    </xf>
    <xf numFmtId="0" fontId="3" fillId="27" borderId="0" xfId="240" applyFont="1" applyFill="1" applyBorder="1" applyAlignment="1" applyProtection="1">
      <alignment horizontal="right" vertical="center" wrapText="1"/>
    </xf>
    <xf numFmtId="0" fontId="8" fillId="27" borderId="0" xfId="240" applyFont="1" applyFill="1" applyAlignment="1" applyProtection="1">
      <alignment horizontal="center" vertical="center"/>
    </xf>
    <xf numFmtId="0" fontId="7" fillId="27" borderId="25" xfId="240" applyFont="1" applyFill="1" applyBorder="1" applyAlignment="1" applyProtection="1">
      <alignment horizontal="center" vertical="center" wrapText="1"/>
    </xf>
    <xf numFmtId="0" fontId="3" fillId="27" borderId="0" xfId="240" applyFont="1" applyFill="1" applyAlignment="1" applyProtection="1">
      <alignment horizontal="center" vertical="center" wrapText="1"/>
    </xf>
    <xf numFmtId="0" fontId="3" fillId="27" borderId="0" xfId="240" applyFont="1" applyFill="1" applyAlignment="1" applyProtection="1">
      <alignment horizontal="justify" vertical="center" wrapText="1"/>
    </xf>
    <xf numFmtId="0" fontId="8" fillId="27" borderId="0" xfId="240" applyFont="1" applyFill="1" applyAlignment="1" applyProtection="1">
      <alignment horizontal="center" vertical="center" wrapText="1"/>
    </xf>
    <xf numFmtId="164" fontId="3" fillId="27" borderId="0" xfId="490" applyNumberFormat="1" applyFont="1" applyFill="1" applyAlignment="1" applyProtection="1">
      <alignment horizontal="center" vertical="center" wrapText="1"/>
    </xf>
    <xf numFmtId="0" fontId="3" fillId="27" borderId="0" xfId="240" applyFont="1" applyFill="1" applyAlignment="1" applyProtection="1">
      <alignment vertical="center" wrapText="1"/>
    </xf>
    <xf numFmtId="0" fontId="39" fillId="27" borderId="0" xfId="240" applyFont="1" applyFill="1" applyAlignment="1" applyProtection="1">
      <alignment horizontal="left" vertical="center"/>
    </xf>
    <xf numFmtId="0" fontId="4" fillId="27" borderId="0" xfId="240" applyFont="1" applyFill="1" applyAlignment="1" applyProtection="1">
      <alignment horizontal="center" vertical="center"/>
    </xf>
    <xf numFmtId="0" fontId="5" fillId="27" borderId="0" xfId="240" applyFont="1" applyFill="1" applyAlignment="1" applyProtection="1">
      <alignment horizontal="center" vertical="center"/>
    </xf>
    <xf numFmtId="0" fontId="4" fillId="27" borderId="0" xfId="240" applyFont="1" applyFill="1" applyProtection="1"/>
    <xf numFmtId="0" fontId="6" fillId="27" borderId="0" xfId="240" applyFont="1" applyFill="1" applyAlignment="1" applyProtection="1">
      <alignment horizontal="center" vertical="center"/>
    </xf>
    <xf numFmtId="43" fontId="6" fillId="27" borderId="0" xfId="240" applyNumberFormat="1" applyFont="1" applyFill="1" applyAlignment="1" applyProtection="1">
      <alignment horizontal="center" vertical="center"/>
    </xf>
    <xf numFmtId="10" fontId="3" fillId="27" borderId="0" xfId="243" applyNumberFormat="1" applyFont="1" applyFill="1" applyBorder="1" applyAlignment="1" applyProtection="1">
      <alignment horizontal="center" vertical="center" wrapText="1"/>
    </xf>
    <xf numFmtId="10" fontId="3" fillId="27" borderId="0" xfId="240" applyNumberFormat="1" applyFont="1" applyFill="1" applyBorder="1" applyAlignment="1" applyProtection="1">
      <alignment horizontal="center" vertical="center" wrapText="1"/>
    </xf>
    <xf numFmtId="4" fontId="3" fillId="27" borderId="0" xfId="240" applyNumberFormat="1" applyFont="1" applyFill="1" applyBorder="1" applyAlignment="1" applyProtection="1">
      <alignment horizontal="center" vertical="center" wrapText="1"/>
    </xf>
    <xf numFmtId="0" fontId="3" fillId="27" borderId="0" xfId="240" applyFont="1" applyFill="1" applyAlignment="1" applyProtection="1">
      <alignment horizontal="center" vertical="center"/>
    </xf>
    <xf numFmtId="0" fontId="10" fillId="27" borderId="0" xfId="240" applyFont="1" applyFill="1" applyBorder="1" applyAlignment="1" applyProtection="1">
      <alignment horizontal="center" vertical="center"/>
    </xf>
    <xf numFmtId="1" fontId="7" fillId="27" borderId="0" xfId="240" applyNumberFormat="1" applyFont="1" applyFill="1" applyBorder="1" applyAlignment="1" applyProtection="1">
      <alignment horizontal="center" vertical="center" wrapText="1"/>
    </xf>
    <xf numFmtId="4" fontId="7" fillId="27" borderId="0" xfId="240" applyNumberFormat="1" applyFont="1" applyFill="1" applyBorder="1" applyAlignment="1" applyProtection="1">
      <alignment horizontal="center" vertical="center" wrapText="1"/>
    </xf>
    <xf numFmtId="0" fontId="7" fillId="27" borderId="0" xfId="240" applyFont="1" applyFill="1" applyAlignment="1" applyProtection="1">
      <alignment horizontal="center" vertical="center"/>
    </xf>
    <xf numFmtId="0" fontId="3" fillId="27" borderId="21" xfId="240" applyFont="1" applyFill="1" applyBorder="1" applyAlignment="1" applyProtection="1">
      <alignment horizontal="center" vertical="center" wrapText="1"/>
    </xf>
    <xf numFmtId="2" fontId="3" fillId="27" borderId="21" xfId="240" applyNumberFormat="1" applyFont="1" applyFill="1" applyBorder="1" applyAlignment="1" applyProtection="1">
      <alignment horizontal="center" vertical="center" wrapText="1"/>
    </xf>
    <xf numFmtId="0" fontId="7" fillId="27" borderId="20" xfId="240" applyFont="1" applyFill="1" applyBorder="1" applyAlignment="1" applyProtection="1">
      <alignment horizontal="center" vertical="center" wrapText="1"/>
    </xf>
    <xf numFmtId="0" fontId="7" fillId="27" borderId="21" xfId="240" applyFont="1" applyFill="1" applyBorder="1" applyAlignment="1" applyProtection="1">
      <alignment horizontal="center" vertical="center" wrapText="1"/>
    </xf>
    <xf numFmtId="181" fontId="3" fillId="27" borderId="25" xfId="240" applyNumberFormat="1" applyFont="1" applyFill="1" applyBorder="1" applyAlignment="1" applyProtection="1">
      <alignment horizontal="center" vertical="center" wrapText="1"/>
    </xf>
    <xf numFmtId="0" fontId="3" fillId="27" borderId="51" xfId="240" applyFont="1" applyFill="1" applyBorder="1" applyAlignment="1" applyProtection="1">
      <alignment horizontal="left" vertical="center" wrapText="1"/>
    </xf>
    <xf numFmtId="0" fontId="3" fillId="27" borderId="43" xfId="240" applyFont="1" applyFill="1" applyBorder="1" applyAlignment="1" applyProtection="1">
      <alignment horizontal="left" vertical="center" wrapText="1"/>
    </xf>
    <xf numFmtId="0" fontId="3" fillId="27" borderId="43" xfId="240" applyFont="1" applyFill="1" applyBorder="1" applyAlignment="1" applyProtection="1">
      <alignment horizontal="center" vertical="center" wrapText="1"/>
    </xf>
    <xf numFmtId="179" fontId="3" fillId="27" borderId="44" xfId="359" applyNumberFormat="1" applyFont="1" applyFill="1" applyBorder="1" applyAlignment="1" applyProtection="1">
      <alignment horizontal="center" vertical="center" wrapText="1"/>
    </xf>
    <xf numFmtId="1" fontId="3" fillId="27" borderId="26" xfId="359" applyNumberFormat="1" applyFont="1" applyFill="1" applyBorder="1" applyAlignment="1" applyProtection="1">
      <alignment horizontal="center" vertical="center" wrapText="1"/>
    </xf>
    <xf numFmtId="0" fontId="67" fillId="27" borderId="0" xfId="0" applyFont="1" applyFill="1" applyProtection="1"/>
    <xf numFmtId="0" fontId="3" fillId="27" borderId="51" xfId="240" applyFont="1" applyFill="1" applyBorder="1" applyAlignment="1" applyProtection="1">
      <alignment vertical="center" wrapText="1"/>
    </xf>
    <xf numFmtId="0" fontId="3" fillId="27" borderId="20" xfId="240" applyFont="1" applyFill="1" applyBorder="1" applyAlignment="1" applyProtection="1">
      <alignment horizontal="right" vertical="center" wrapText="1"/>
    </xf>
    <xf numFmtId="179" fontId="3" fillId="27" borderId="0" xfId="240" applyNumberFormat="1" applyFont="1" applyFill="1" applyBorder="1" applyAlignment="1" applyProtection="1">
      <alignment horizontal="center" vertical="center" wrapText="1"/>
    </xf>
    <xf numFmtId="179" fontId="3" fillId="27" borderId="21" xfId="359" applyNumberFormat="1" applyFont="1" applyFill="1" applyBorder="1" applyAlignment="1" applyProtection="1">
      <alignment horizontal="center" vertical="center" wrapText="1"/>
    </xf>
    <xf numFmtId="179" fontId="7" fillId="27" borderId="21" xfId="359" applyNumberFormat="1" applyFont="1" applyFill="1" applyBorder="1" applyAlignment="1" applyProtection="1">
      <alignment horizontal="center" vertical="center" wrapText="1"/>
    </xf>
    <xf numFmtId="179" fontId="7" fillId="27" borderId="26" xfId="359" applyNumberFormat="1" applyFont="1" applyFill="1" applyBorder="1" applyAlignment="1" applyProtection="1">
      <alignment horizontal="center" vertical="center" wrapText="1"/>
    </xf>
    <xf numFmtId="0" fontId="39" fillId="27" borderId="0" xfId="0" applyFont="1" applyFill="1" applyAlignment="1" applyProtection="1">
      <alignment horizontal="center" vertical="center"/>
    </xf>
    <xf numFmtId="0" fontId="3" fillId="27" borderId="48" xfId="240" applyFont="1" applyFill="1" applyBorder="1" applyAlignment="1" applyProtection="1">
      <alignment vertical="center" wrapText="1"/>
    </xf>
    <xf numFmtId="0" fontId="3" fillId="27" borderId="25" xfId="240" applyFont="1" applyFill="1" applyBorder="1" applyAlignment="1" applyProtection="1">
      <alignment vertical="center" wrapText="1"/>
    </xf>
    <xf numFmtId="9" fontId="3" fillId="27" borderId="25" xfId="240" applyNumberFormat="1" applyFont="1" applyFill="1" applyBorder="1" applyAlignment="1" applyProtection="1">
      <alignment horizontal="center" vertical="center" wrapText="1"/>
    </xf>
    <xf numFmtId="2" fontId="3" fillId="27" borderId="0" xfId="240" applyNumberFormat="1" applyFont="1" applyFill="1" applyBorder="1" applyAlignment="1" applyProtection="1">
      <alignment horizontal="right" vertical="center" wrapText="1"/>
    </xf>
    <xf numFmtId="0" fontId="39" fillId="0" borderId="0" xfId="241" applyFont="1" applyAlignment="1" applyProtection="1">
      <alignment horizontal="center" vertical="center"/>
    </xf>
    <xf numFmtId="0" fontId="3" fillId="27" borderId="20" xfId="240" applyFont="1" applyFill="1" applyBorder="1" applyAlignment="1" applyProtection="1">
      <alignment vertical="center" wrapText="1"/>
    </xf>
    <xf numFmtId="2" fontId="45" fillId="27" borderId="0" xfId="240" applyNumberFormat="1" applyFont="1" applyFill="1" applyBorder="1" applyAlignment="1" applyProtection="1">
      <alignment horizontal="right" vertical="center" wrapText="1"/>
    </xf>
    <xf numFmtId="2" fontId="7" fillId="27" borderId="0" xfId="240" applyNumberFormat="1" applyFont="1" applyFill="1" applyBorder="1" applyAlignment="1" applyProtection="1">
      <alignment horizontal="center" vertical="center" wrapText="1"/>
    </xf>
    <xf numFmtId="2" fontId="7" fillId="27" borderId="21" xfId="359" applyNumberFormat="1" applyFont="1" applyFill="1" applyBorder="1" applyAlignment="1" applyProtection="1">
      <alignment horizontal="center" vertical="center" wrapText="1"/>
    </xf>
    <xf numFmtId="0" fontId="3" fillId="27" borderId="20" xfId="240" quotePrefix="1" applyFont="1" applyFill="1" applyBorder="1" applyAlignment="1" applyProtection="1">
      <alignment horizontal="left" vertical="center" wrapText="1"/>
    </xf>
    <xf numFmtId="9" fontId="3" fillId="27" borderId="25" xfId="359" applyFont="1" applyFill="1" applyBorder="1" applyAlignment="1" applyProtection="1">
      <alignment horizontal="center" vertical="center" wrapText="1"/>
    </xf>
    <xf numFmtId="0" fontId="39" fillId="27" borderId="0" xfId="240" applyFont="1" applyFill="1" applyBorder="1" applyAlignment="1" applyProtection="1">
      <alignment horizontal="left" vertical="center" wrapText="1"/>
    </xf>
    <xf numFmtId="0" fontId="39" fillId="27" borderId="0" xfId="240" applyFont="1" applyFill="1" applyBorder="1" applyAlignment="1" applyProtection="1">
      <alignment horizontal="center" vertical="center" wrapText="1"/>
    </xf>
    <xf numFmtId="1" fontId="3" fillId="27" borderId="0" xfId="240" applyNumberFormat="1" applyFont="1" applyFill="1" applyBorder="1" applyAlignment="1" applyProtection="1">
      <alignment horizontal="center" vertical="center" wrapText="1"/>
    </xf>
    <xf numFmtId="0" fontId="4" fillId="27" borderId="0" xfId="240" applyFont="1" applyFill="1" applyBorder="1" applyAlignment="1" applyProtection="1">
      <alignment horizontal="center" vertical="center"/>
    </xf>
    <xf numFmtId="0" fontId="8" fillId="0" borderId="0" xfId="241" applyFont="1" applyAlignment="1" applyProtection="1">
      <alignment horizontal="center" vertical="center"/>
    </xf>
    <xf numFmtId="2" fontId="7" fillId="27" borderId="25" xfId="240" applyNumberFormat="1" applyFont="1" applyFill="1" applyBorder="1" applyAlignment="1" applyProtection="1">
      <alignment vertical="center" wrapText="1"/>
    </xf>
    <xf numFmtId="2" fontId="7" fillId="27" borderId="0" xfId="240" applyNumberFormat="1" applyFont="1" applyFill="1" applyBorder="1" applyAlignment="1" applyProtection="1">
      <alignment vertical="center" wrapText="1"/>
    </xf>
    <xf numFmtId="0" fontId="8" fillId="27" borderId="0" xfId="240" applyFont="1" applyFill="1" applyAlignment="1" applyProtection="1">
      <alignment horizontal="left" vertical="center"/>
    </xf>
    <xf numFmtId="180" fontId="3" fillId="27" borderId="25" xfId="240" applyNumberFormat="1" applyFont="1" applyFill="1" applyBorder="1" applyAlignment="1" applyProtection="1">
      <alignment horizontal="center" vertical="center" wrapText="1"/>
    </xf>
    <xf numFmtId="179" fontId="3" fillId="27" borderId="0" xfId="490" applyNumberFormat="1" applyFont="1" applyFill="1" applyBorder="1" applyProtection="1">
      <alignment vertical="center"/>
    </xf>
    <xf numFmtId="0" fontId="7" fillId="27" borderId="0" xfId="240" applyFont="1" applyFill="1" applyBorder="1" applyAlignment="1" applyProtection="1">
      <alignment horizontal="left" vertical="center" wrapText="1"/>
    </xf>
    <xf numFmtId="0" fontId="39" fillId="27" borderId="0" xfId="240" applyFont="1" applyFill="1" applyAlignment="1" applyProtection="1">
      <alignment vertical="center"/>
    </xf>
    <xf numFmtId="4" fontId="3" fillId="27" borderId="0" xfId="240" applyNumberFormat="1" applyFont="1" applyFill="1" applyBorder="1" applyAlignment="1" applyProtection="1">
      <alignment horizontal="left" vertical="center" wrapText="1"/>
    </xf>
    <xf numFmtId="0" fontId="39" fillId="27" borderId="0" xfId="240" applyFont="1" applyFill="1" applyAlignment="1" applyProtection="1"/>
    <xf numFmtId="0" fontId="39" fillId="27" borderId="0" xfId="240" applyFont="1" applyFill="1" applyAlignment="1" applyProtection="1">
      <alignment horizontal="center"/>
    </xf>
    <xf numFmtId="1" fontId="3" fillId="27" borderId="25" xfId="240" applyNumberFormat="1" applyFont="1" applyFill="1" applyBorder="1" applyAlignment="1" applyProtection="1">
      <alignment horizontal="center" vertical="center" wrapText="1"/>
    </xf>
    <xf numFmtId="0" fontId="39" fillId="27" borderId="0" xfId="240" applyFont="1" applyFill="1" applyAlignment="1" applyProtection="1">
      <alignment horizontal="left"/>
    </xf>
    <xf numFmtId="0" fontId="39" fillId="0" borderId="0" xfId="0" applyNumberFormat="1" applyFont="1" applyAlignment="1" applyProtection="1">
      <alignment horizontal="center" vertical="center"/>
    </xf>
    <xf numFmtId="2" fontId="3" fillId="27" borderId="25" xfId="490" applyNumberFormat="1" applyFont="1" applyFill="1" applyBorder="1" applyAlignment="1" applyProtection="1">
      <alignment horizontal="center" vertical="center"/>
    </xf>
    <xf numFmtId="2" fontId="7" fillId="27" borderId="25" xfId="490" applyNumberFormat="1" applyFont="1" applyFill="1" applyBorder="1" applyAlignment="1" applyProtection="1">
      <alignment horizontal="center" vertical="center"/>
    </xf>
    <xf numFmtId="0" fontId="3" fillId="27" borderId="43" xfId="240" applyFont="1" applyFill="1" applyBorder="1" applyAlignment="1" applyProtection="1">
      <alignment vertical="center" wrapText="1"/>
    </xf>
    <xf numFmtId="2" fontId="3" fillId="27" borderId="0" xfId="240" applyNumberFormat="1" applyFont="1" applyFill="1" applyBorder="1" applyAlignment="1" applyProtection="1">
      <alignment vertical="center" wrapText="1"/>
    </xf>
    <xf numFmtId="2" fontId="45" fillId="27" borderId="20" xfId="240" applyNumberFormat="1" applyFont="1" applyFill="1" applyBorder="1" applyAlignment="1" applyProtection="1">
      <alignment horizontal="right" vertical="center" wrapText="1"/>
    </xf>
    <xf numFmtId="2" fontId="7" fillId="27" borderId="21" xfId="490" applyNumberFormat="1" applyFont="1" applyFill="1" applyBorder="1" applyAlignment="1" applyProtection="1">
      <alignment horizontal="center" vertical="center"/>
    </xf>
    <xf numFmtId="0" fontId="7" fillId="27" borderId="20" xfId="240" applyFont="1" applyFill="1" applyBorder="1" applyAlignment="1" applyProtection="1">
      <alignment horizontal="right" vertical="center" wrapText="1"/>
    </xf>
    <xf numFmtId="9" fontId="7" fillId="27" borderId="25" xfId="359" applyFont="1" applyFill="1" applyBorder="1" applyAlignment="1" applyProtection="1">
      <alignment horizontal="center" vertical="center" wrapText="1"/>
    </xf>
    <xf numFmtId="0" fontId="7" fillId="0" borderId="45" xfId="240" applyFont="1" applyFill="1" applyBorder="1" applyAlignment="1" applyProtection="1">
      <alignment horizontal="left" vertical="center" wrapText="1"/>
    </xf>
    <xf numFmtId="0" fontId="3" fillId="27" borderId="49" xfId="240" applyFont="1" applyFill="1" applyBorder="1" applyAlignment="1" applyProtection="1">
      <alignment horizontal="left" vertical="center" wrapText="1"/>
    </xf>
    <xf numFmtId="2" fontId="79" fillId="27" borderId="0" xfId="240" applyNumberFormat="1" applyFont="1" applyFill="1" applyBorder="1" applyAlignment="1" applyProtection="1">
      <alignment horizontal="center" vertical="center" wrapText="1"/>
    </xf>
    <xf numFmtId="2" fontId="79" fillId="27" borderId="21" xfId="240" applyNumberFormat="1" applyFont="1" applyFill="1" applyBorder="1" applyAlignment="1" applyProtection="1">
      <alignment horizontal="center" vertical="center" wrapText="1"/>
    </xf>
    <xf numFmtId="2" fontId="79" fillId="27" borderId="26" xfId="240" applyNumberFormat="1" applyFont="1" applyFill="1" applyBorder="1" applyAlignment="1" applyProtection="1">
      <alignment horizontal="center" vertical="center" wrapText="1"/>
    </xf>
    <xf numFmtId="179" fontId="3" fillId="27" borderId="25" xfId="240" applyNumberFormat="1" applyFont="1" applyFill="1" applyBorder="1" applyAlignment="1" applyProtection="1">
      <alignment horizontal="center" vertical="center" wrapText="1"/>
    </xf>
    <xf numFmtId="179" fontId="3" fillId="27" borderId="26" xfId="359" applyNumberFormat="1" applyFont="1" applyFill="1" applyBorder="1" applyAlignment="1" applyProtection="1">
      <alignment horizontal="center" vertical="center" wrapText="1"/>
    </xf>
    <xf numFmtId="0" fontId="3" fillId="27" borderId="51" xfId="240" applyFont="1" applyFill="1" applyBorder="1" applyAlignment="1" applyProtection="1">
      <alignment horizontal="center" vertical="center" wrapText="1"/>
    </xf>
    <xf numFmtId="2" fontId="3" fillId="27" borderId="26" xfId="240" applyNumberFormat="1" applyFont="1" applyFill="1" applyBorder="1" applyAlignment="1" applyProtection="1">
      <alignment horizontal="center" vertical="center" wrapText="1"/>
    </xf>
    <xf numFmtId="0" fontId="3" fillId="27" borderId="50" xfId="240" applyFont="1" applyFill="1" applyBorder="1" applyAlignment="1" applyProtection="1">
      <alignment horizontal="left" vertical="center" wrapText="1"/>
    </xf>
    <xf numFmtId="2" fontId="3" fillId="27" borderId="50" xfId="240" applyNumberFormat="1" applyFont="1" applyFill="1" applyBorder="1" applyAlignment="1" applyProtection="1">
      <alignment horizontal="center" vertical="center" wrapText="1"/>
    </xf>
    <xf numFmtId="2" fontId="3" fillId="27" borderId="73" xfId="240" applyNumberFormat="1" applyFont="1" applyFill="1" applyBorder="1" applyAlignment="1" applyProtection="1">
      <alignment horizontal="center" vertical="center" wrapText="1"/>
    </xf>
    <xf numFmtId="2" fontId="45" fillId="27" borderId="25" xfId="240" applyNumberFormat="1" applyFont="1" applyFill="1" applyBorder="1" applyAlignment="1" applyProtection="1">
      <alignment horizontal="right" vertical="center" wrapText="1"/>
    </xf>
    <xf numFmtId="2" fontId="3" fillId="27" borderId="25" xfId="240" applyNumberFormat="1" applyFont="1" applyFill="1" applyBorder="1" applyAlignment="1" applyProtection="1">
      <alignment vertical="center" wrapText="1"/>
    </xf>
    <xf numFmtId="1" fontId="39" fillId="27" borderId="0" xfId="240" applyNumberFormat="1" applyFont="1" applyFill="1" applyBorder="1" applyAlignment="1" applyProtection="1">
      <alignment horizontal="center" vertical="center" wrapText="1"/>
    </xf>
    <xf numFmtId="0" fontId="3" fillId="27" borderId="54" xfId="240" applyFont="1" applyFill="1" applyBorder="1" applyAlignment="1" applyProtection="1">
      <alignment horizontal="left" vertical="center" wrapText="1"/>
    </xf>
    <xf numFmtId="0" fontId="3" fillId="27" borderId="55" xfId="240" applyFont="1" applyFill="1" applyBorder="1" applyAlignment="1" applyProtection="1">
      <alignment horizontal="left" vertical="center" wrapText="1"/>
    </xf>
    <xf numFmtId="2" fontId="3" fillId="27" borderId="55" xfId="240" applyNumberFormat="1" applyFont="1" applyFill="1" applyBorder="1" applyAlignment="1" applyProtection="1">
      <alignment horizontal="center" vertical="center" wrapText="1"/>
    </xf>
    <xf numFmtId="2" fontId="3" fillId="27" borderId="56" xfId="359" applyNumberFormat="1" applyFont="1" applyFill="1" applyBorder="1" applyAlignment="1" applyProtection="1">
      <alignment horizontal="center" vertical="center" wrapText="1"/>
    </xf>
    <xf numFmtId="2" fontId="79" fillId="27" borderId="26" xfId="359" applyNumberFormat="1" applyFont="1" applyFill="1" applyBorder="1" applyAlignment="1" applyProtection="1">
      <alignment horizontal="center" vertical="center" wrapText="1"/>
    </xf>
    <xf numFmtId="2" fontId="7" fillId="27" borderId="21" xfId="240" applyNumberFormat="1" applyFont="1" applyFill="1" applyBorder="1" applyAlignment="1" applyProtection="1">
      <alignment horizontal="center" vertical="center" wrapText="1"/>
    </xf>
    <xf numFmtId="2" fontId="7" fillId="27" borderId="0" xfId="240" applyNumberFormat="1" applyFont="1" applyFill="1" applyBorder="1" applyAlignment="1" applyProtection="1">
      <alignment horizontal="right" vertical="center" wrapText="1"/>
    </xf>
    <xf numFmtId="0" fontId="0" fillId="28" borderId="0" xfId="0" applyNumberFormat="1" applyFill="1" applyAlignment="1" applyProtection="1">
      <alignment horizontal="center" vertical="center"/>
    </xf>
    <xf numFmtId="180" fontId="3" fillId="27" borderId="0" xfId="240" applyNumberFormat="1" applyFont="1" applyFill="1" applyBorder="1" applyAlignment="1" applyProtection="1">
      <alignment horizontal="center" vertical="center" wrapText="1"/>
    </xf>
    <xf numFmtId="179" fontId="3" fillId="27" borderId="21" xfId="240" applyNumberFormat="1" applyFont="1" applyFill="1" applyBorder="1" applyAlignment="1" applyProtection="1">
      <alignment horizontal="center" vertical="center" wrapText="1"/>
    </xf>
    <xf numFmtId="0" fontId="3" fillId="0" borderId="48" xfId="240" applyFont="1" applyBorder="1" applyAlignment="1" applyProtection="1">
      <alignment horizontal="left" vertical="center" wrapText="1"/>
    </xf>
    <xf numFmtId="0" fontId="3" fillId="0" borderId="54" xfId="240" applyFont="1" applyBorder="1" applyAlignment="1" applyProtection="1">
      <alignment horizontal="left" vertical="center" wrapText="1"/>
    </xf>
    <xf numFmtId="180" fontId="45" fillId="27" borderId="55" xfId="240" applyNumberFormat="1" applyFont="1" applyFill="1" applyBorder="1" applyAlignment="1" applyProtection="1">
      <alignment horizontal="center" vertical="center" wrapText="1"/>
    </xf>
    <xf numFmtId="0" fontId="39" fillId="0" borderId="0" xfId="240" applyFont="1" applyAlignment="1" applyProtection="1">
      <alignment horizontal="left" vertical="center"/>
    </xf>
    <xf numFmtId="0" fontId="39" fillId="27" borderId="0" xfId="0" applyFont="1" applyFill="1" applyAlignment="1" applyProtection="1">
      <alignment horizontal="left" vertical="center"/>
    </xf>
    <xf numFmtId="0" fontId="39" fillId="0" borderId="0" xfId="241" applyFont="1" applyAlignment="1" applyProtection="1">
      <alignment horizontal="left" vertical="center"/>
    </xf>
    <xf numFmtId="0" fontId="8" fillId="0" borderId="0" xfId="241" applyFont="1" applyAlignment="1" applyProtection="1">
      <alignment horizontal="left" vertical="center"/>
    </xf>
    <xf numFmtId="0" fontId="0" fillId="28" borderId="0" xfId="0" applyFill="1" applyAlignment="1" applyProtection="1">
      <alignment horizontal="left" vertical="center"/>
    </xf>
    <xf numFmtId="9" fontId="45" fillId="27" borderId="0" xfId="359" applyFont="1" applyFill="1" applyBorder="1" applyAlignment="1" applyProtection="1">
      <alignment horizontal="center" vertical="center" wrapText="1"/>
    </xf>
    <xf numFmtId="0" fontId="39" fillId="27" borderId="0" xfId="240" applyFont="1" applyFill="1" applyBorder="1" applyAlignment="1" applyProtection="1">
      <alignment horizontal="left" wrapText="1"/>
    </xf>
    <xf numFmtId="0" fontId="39" fillId="27" borderId="0" xfId="240" applyFont="1" applyFill="1" applyBorder="1" applyAlignment="1" applyProtection="1">
      <alignment vertical="center" wrapText="1"/>
    </xf>
    <xf numFmtId="0" fontId="39" fillId="0" borderId="0" xfId="0" applyNumberFormat="1" applyFont="1" applyAlignment="1" applyProtection="1">
      <alignment horizontal="left" vertical="center"/>
    </xf>
    <xf numFmtId="0" fontId="39" fillId="0" borderId="0" xfId="240" applyFont="1" applyAlignment="1" applyProtection="1">
      <alignment horizontal="left"/>
    </xf>
    <xf numFmtId="0" fontId="39" fillId="0" borderId="0" xfId="240" applyFont="1" applyAlignment="1" applyProtection="1">
      <alignment horizontal="center"/>
    </xf>
    <xf numFmtId="2" fontId="3" fillId="27" borderId="0" xfId="241" applyNumberFormat="1" applyFont="1" applyFill="1" applyBorder="1" applyAlignment="1" applyProtection="1">
      <alignment horizontal="center" vertical="center" wrapText="1"/>
    </xf>
    <xf numFmtId="2" fontId="7" fillId="27" borderId="0" xfId="241" applyNumberFormat="1" applyFont="1" applyFill="1" applyBorder="1" applyAlignment="1" applyProtection="1">
      <alignment horizontal="center" vertical="center" wrapText="1"/>
    </xf>
    <xf numFmtId="0" fontId="3" fillId="0" borderId="0" xfId="241" applyFont="1" applyBorder="1" applyAlignment="1" applyProtection="1">
      <alignment vertical="center" wrapText="1"/>
    </xf>
    <xf numFmtId="0" fontId="3" fillId="0" borderId="0" xfId="241" applyFont="1" applyBorder="1" applyAlignment="1" applyProtection="1">
      <alignment horizontal="left" vertical="center" wrapText="1"/>
    </xf>
    <xf numFmtId="0" fontId="4" fillId="0" borderId="0" xfId="241" applyFont="1" applyAlignment="1" applyProtection="1">
      <alignment horizontal="center" vertical="center"/>
    </xf>
    <xf numFmtId="0" fontId="3" fillId="0" borderId="0" xfId="241" applyFont="1" applyAlignment="1" applyProtection="1">
      <alignment horizontal="center" vertical="center"/>
    </xf>
    <xf numFmtId="0" fontId="39" fillId="0" borderId="0" xfId="241" applyFont="1" applyAlignment="1" applyProtection="1">
      <alignment horizontal="center"/>
    </xf>
    <xf numFmtId="0" fontId="7" fillId="27" borderId="45" xfId="241" applyFont="1" applyFill="1" applyBorder="1" applyAlignment="1" applyProtection="1">
      <alignment horizontal="left" vertical="center" wrapText="1"/>
    </xf>
    <xf numFmtId="0" fontId="7" fillId="27" borderId="46" xfId="241" applyFont="1" applyFill="1" applyBorder="1" applyAlignment="1" applyProtection="1">
      <alignment horizontal="left" vertical="center" wrapText="1"/>
    </xf>
    <xf numFmtId="0" fontId="7" fillId="27" borderId="46" xfId="241" applyFont="1" applyFill="1" applyBorder="1" applyAlignment="1" applyProtection="1">
      <alignment horizontal="center" vertical="center" wrapText="1"/>
    </xf>
    <xf numFmtId="0" fontId="7" fillId="27" borderId="47" xfId="241" applyFont="1" applyFill="1" applyBorder="1" applyAlignment="1" applyProtection="1">
      <alignment horizontal="center" vertical="center" wrapText="1"/>
    </xf>
    <xf numFmtId="0" fontId="7" fillId="27" borderId="20" xfId="241" applyFont="1" applyFill="1" applyBorder="1" applyAlignment="1" applyProtection="1">
      <alignment horizontal="left" vertical="center" wrapText="1"/>
    </xf>
    <xf numFmtId="0" fontId="7" fillId="27" borderId="0" xfId="241" applyFont="1" applyFill="1" applyBorder="1" applyAlignment="1" applyProtection="1">
      <alignment horizontal="left" vertical="center" wrapText="1"/>
    </xf>
    <xf numFmtId="0" fontId="7" fillId="27" borderId="0" xfId="241" applyFont="1" applyFill="1" applyBorder="1" applyAlignment="1" applyProtection="1">
      <alignment horizontal="center" vertical="center" wrapText="1"/>
    </xf>
    <xf numFmtId="0" fontId="7" fillId="27" borderId="21" xfId="241" applyFont="1" applyFill="1" applyBorder="1" applyAlignment="1" applyProtection="1">
      <alignment horizontal="center" vertical="center" wrapText="1"/>
    </xf>
    <xf numFmtId="0" fontId="3" fillId="27" borderId="0" xfId="241" applyFont="1" applyFill="1" applyBorder="1" applyAlignment="1" applyProtection="1">
      <alignment horizontal="center" vertical="center" wrapText="1"/>
    </xf>
    <xf numFmtId="2" fontId="3" fillId="27" borderId="21" xfId="241" applyNumberFormat="1" applyFont="1" applyFill="1" applyBorder="1" applyAlignment="1" applyProtection="1">
      <alignment horizontal="center" vertical="center" wrapText="1"/>
    </xf>
    <xf numFmtId="2" fontId="3" fillId="27" borderId="25" xfId="241" applyNumberFormat="1" applyFont="1" applyFill="1" applyBorder="1" applyAlignment="1" applyProtection="1">
      <alignment horizontal="center" vertical="center" wrapText="1"/>
    </xf>
    <xf numFmtId="2" fontId="7" fillId="27" borderId="25" xfId="241" applyNumberFormat="1" applyFont="1" applyFill="1" applyBorder="1" applyAlignment="1" applyProtection="1">
      <alignment horizontal="center" vertical="center" wrapText="1"/>
    </xf>
    <xf numFmtId="0" fontId="3" fillId="27" borderId="20" xfId="241" applyFont="1" applyFill="1" applyBorder="1" applyAlignment="1" applyProtection="1">
      <alignment horizontal="left" vertical="center" wrapText="1"/>
    </xf>
    <xf numFmtId="0" fontId="3" fillId="27" borderId="0" xfId="241" applyFont="1" applyFill="1" applyBorder="1" applyAlignment="1" applyProtection="1">
      <alignment horizontal="left" vertical="center" wrapText="1"/>
    </xf>
    <xf numFmtId="1" fontId="3" fillId="27" borderId="0" xfId="241" applyNumberFormat="1" applyFont="1" applyFill="1" applyBorder="1" applyAlignment="1" applyProtection="1">
      <alignment horizontal="center" vertical="center" wrapText="1"/>
    </xf>
    <xf numFmtId="1" fontId="3" fillId="27" borderId="25" xfId="241" applyNumberFormat="1" applyFont="1" applyFill="1" applyBorder="1" applyAlignment="1" applyProtection="1">
      <alignment horizontal="center" vertical="center" wrapText="1"/>
    </xf>
    <xf numFmtId="1" fontId="45" fillId="27" borderId="0" xfId="241" applyNumberFormat="1" applyFont="1" applyFill="1" applyBorder="1" applyAlignment="1" applyProtection="1">
      <alignment horizontal="center" vertical="center" wrapText="1"/>
    </xf>
    <xf numFmtId="2" fontId="3" fillId="27" borderId="0" xfId="490" applyNumberFormat="1" applyFont="1" applyFill="1" applyBorder="1" applyAlignment="1" applyProtection="1">
      <alignment horizontal="center" vertical="center"/>
    </xf>
    <xf numFmtId="0" fontId="71" fillId="28" borderId="0" xfId="0" applyFont="1" applyFill="1" applyAlignment="1" applyProtection="1">
      <alignment horizontal="center"/>
    </xf>
    <xf numFmtId="0" fontId="71" fillId="0" borderId="0" xfId="0" applyFont="1" applyAlignment="1" applyProtection="1">
      <alignment horizontal="center"/>
    </xf>
    <xf numFmtId="0" fontId="3" fillId="27" borderId="26" xfId="240" applyFont="1" applyFill="1" applyBorder="1" applyAlignment="1" applyProtection="1">
      <alignment horizontal="center" vertical="center" wrapText="1"/>
    </xf>
    <xf numFmtId="2" fontId="3" fillId="27" borderId="0" xfId="240" applyNumberFormat="1" applyFont="1" applyFill="1" applyBorder="1" applyAlignment="1" applyProtection="1">
      <alignment horizontal="left" vertical="center" wrapText="1"/>
    </xf>
    <xf numFmtId="2" fontId="3" fillId="27" borderId="25" xfId="240" applyNumberFormat="1" applyFont="1" applyFill="1" applyBorder="1" applyAlignment="1" applyProtection="1">
      <alignment horizontal="left" vertical="center" wrapText="1"/>
    </xf>
    <xf numFmtId="2" fontId="3" fillId="27" borderId="43" xfId="240" applyNumberFormat="1" applyFont="1" applyFill="1" applyBorder="1" applyAlignment="1" applyProtection="1">
      <alignment horizontal="center" vertical="center" wrapText="1"/>
    </xf>
    <xf numFmtId="2" fontId="3" fillId="27" borderId="44" xfId="359" applyNumberFormat="1" applyFont="1" applyFill="1" applyBorder="1" applyAlignment="1" applyProtection="1">
      <alignment horizontal="center" vertical="center" wrapText="1"/>
    </xf>
    <xf numFmtId="1" fontId="3" fillId="27" borderId="0" xfId="240" applyNumberFormat="1" applyFont="1" applyFill="1" applyBorder="1" applyAlignment="1" applyProtection="1">
      <alignment horizontal="left" vertical="center" wrapText="1"/>
    </xf>
    <xf numFmtId="0" fontId="39" fillId="27" borderId="0" xfId="0" applyFont="1" applyFill="1" applyAlignment="1" applyProtection="1">
      <alignment horizontal="center"/>
    </xf>
    <xf numFmtId="0" fontId="47" fillId="0" borderId="0" xfId="0" applyFont="1" applyAlignment="1" applyProtection="1">
      <alignment horizontal="center" vertical="center"/>
    </xf>
    <xf numFmtId="2" fontId="46" fillId="27" borderId="0" xfId="240" applyNumberFormat="1" applyFont="1" applyFill="1" applyBorder="1" applyAlignment="1" applyProtection="1">
      <alignment horizontal="right" vertical="center" wrapText="1"/>
    </xf>
    <xf numFmtId="2" fontId="45" fillId="27" borderId="0" xfId="240" applyNumberFormat="1" applyFont="1" applyFill="1" applyBorder="1" applyAlignment="1" applyProtection="1">
      <alignment horizontal="center" vertical="center" wrapText="1"/>
    </xf>
    <xf numFmtId="0" fontId="3" fillId="27" borderId="0" xfId="240" applyFont="1" applyFill="1" applyBorder="1" applyAlignment="1" applyProtection="1">
      <alignment horizontal="center" vertical="center"/>
    </xf>
    <xf numFmtId="2" fontId="7" fillId="27" borderId="25" xfId="240" applyNumberFormat="1" applyFont="1" applyFill="1" applyBorder="1" applyAlignment="1" applyProtection="1">
      <alignment horizontal="right" vertical="center" wrapText="1"/>
    </xf>
    <xf numFmtId="0" fontId="39" fillId="27" borderId="0" xfId="240" applyFont="1" applyFill="1" applyBorder="1" applyAlignment="1" applyProtection="1">
      <alignment horizontal="center" wrapText="1"/>
    </xf>
    <xf numFmtId="1" fontId="79" fillId="27" borderId="0" xfId="240" applyNumberFormat="1" applyFont="1" applyFill="1" applyBorder="1" applyAlignment="1" applyProtection="1">
      <alignment horizontal="center" vertical="center" wrapText="1"/>
    </xf>
    <xf numFmtId="0" fontId="79" fillId="27" borderId="0" xfId="240" applyFont="1" applyFill="1" applyBorder="1" applyAlignment="1" applyProtection="1">
      <alignment horizontal="center" vertical="center" wrapText="1"/>
    </xf>
    <xf numFmtId="2" fontId="7" fillId="27" borderId="21" xfId="240" applyNumberFormat="1" applyFont="1" applyFill="1" applyBorder="1" applyAlignment="1" applyProtection="1">
      <alignment horizontal="right" vertical="center" wrapText="1"/>
    </xf>
    <xf numFmtId="0" fontId="79" fillId="27" borderId="48" xfId="240" applyFont="1" applyFill="1" applyBorder="1" applyAlignment="1" applyProtection="1">
      <alignment horizontal="left" vertical="center" wrapText="1"/>
    </xf>
    <xf numFmtId="2" fontId="7" fillId="27" borderId="26" xfId="359" applyNumberFormat="1" applyFont="1" applyFill="1" applyBorder="1" applyAlignment="1" applyProtection="1">
      <alignment horizontal="right" vertical="center" wrapText="1"/>
    </xf>
    <xf numFmtId="2" fontId="7" fillId="27" borderId="21" xfId="359" applyNumberFormat="1" applyFont="1" applyFill="1" applyBorder="1" applyAlignment="1" applyProtection="1">
      <alignment horizontal="right" vertical="center" wrapText="1"/>
    </xf>
    <xf numFmtId="2" fontId="45" fillId="27" borderId="0" xfId="241" applyNumberFormat="1" applyFont="1" applyFill="1" applyBorder="1" applyAlignment="1" applyProtection="1">
      <alignment vertical="center" wrapText="1"/>
    </xf>
    <xf numFmtId="2" fontId="3" fillId="27" borderId="21" xfId="490" applyNumberFormat="1" applyFont="1" applyFill="1" applyBorder="1" applyProtection="1">
      <alignment vertical="center"/>
    </xf>
    <xf numFmtId="0" fontId="0" fillId="28" borderId="0" xfId="0" applyFill="1" applyAlignment="1" applyProtection="1">
      <alignment horizontal="center" vertical="center"/>
    </xf>
    <xf numFmtId="2" fontId="3" fillId="27" borderId="21" xfId="240" applyNumberFormat="1" applyFont="1" applyFill="1" applyBorder="1" applyAlignment="1" applyProtection="1">
      <alignment vertical="center" wrapText="1"/>
    </xf>
    <xf numFmtId="0" fontId="67" fillId="0" borderId="0" xfId="0" applyNumberFormat="1" applyFont="1" applyAlignment="1" applyProtection="1">
      <alignment horizontal="center" vertical="center"/>
    </xf>
    <xf numFmtId="2" fontId="3" fillId="27" borderId="25" xfId="240" quotePrefix="1" applyNumberFormat="1" applyFont="1" applyFill="1" applyBorder="1" applyAlignment="1" applyProtection="1">
      <alignment horizontal="center" vertical="center" wrapText="1"/>
    </xf>
    <xf numFmtId="0" fontId="7" fillId="27" borderId="0" xfId="240" applyFont="1" applyFill="1" applyBorder="1" applyAlignment="1" applyProtection="1">
      <alignment vertical="center" wrapText="1"/>
    </xf>
    <xf numFmtId="0" fontId="3" fillId="0" borderId="0" xfId="240" applyFont="1" applyAlignment="1" applyProtection="1">
      <alignment horizontal="center" vertical="center" wrapText="1"/>
    </xf>
    <xf numFmtId="0" fontId="3" fillId="0" borderId="0" xfId="240" applyFont="1" applyAlignment="1" applyProtection="1">
      <alignment horizontal="justify" vertical="center" wrapText="1"/>
    </xf>
    <xf numFmtId="0" fontId="8" fillId="0" borderId="0" xfId="240" applyFont="1" applyAlignment="1" applyProtection="1">
      <alignment horizontal="center" vertical="center" wrapText="1"/>
    </xf>
    <xf numFmtId="164" fontId="3" fillId="0" borderId="0" xfId="490" applyNumberFormat="1" applyFont="1" applyAlignment="1" applyProtection="1">
      <alignment horizontal="center" vertical="center" wrapText="1"/>
    </xf>
    <xf numFmtId="0" fontId="3" fillId="0" borderId="0" xfId="240" applyFont="1" applyAlignment="1" applyProtection="1">
      <alignment vertical="center" wrapText="1"/>
    </xf>
    <xf numFmtId="0" fontId="50" fillId="27" borderId="117" xfId="0" applyFont="1" applyFill="1" applyBorder="1" applyAlignment="1" applyProtection="1"/>
    <xf numFmtId="0" fontId="50" fillId="27" borderId="118" xfId="0" applyFont="1" applyFill="1" applyBorder="1" applyAlignment="1" applyProtection="1"/>
    <xf numFmtId="0" fontId="50" fillId="27" borderId="119" xfId="0" applyFont="1" applyFill="1" applyBorder="1" applyAlignment="1" applyProtection="1"/>
    <xf numFmtId="0" fontId="3" fillId="27" borderId="0" xfId="0" applyFont="1" applyFill="1" applyProtection="1"/>
    <xf numFmtId="0" fontId="3" fillId="27" borderId="0" xfId="0" applyFont="1" applyFill="1" applyAlignment="1" applyProtection="1">
      <alignment horizontal="center"/>
    </xf>
    <xf numFmtId="0" fontId="3" fillId="27" borderId="0" xfId="0" applyFont="1" applyFill="1" applyAlignment="1" applyProtection="1">
      <alignment horizontal="center" vertical="center"/>
    </xf>
    <xf numFmtId="0" fontId="3" fillId="27" borderId="0" xfId="490" applyFont="1" applyFill="1" applyAlignment="1" applyProtection="1">
      <alignment horizontal="center" vertical="center"/>
    </xf>
    <xf numFmtId="0" fontId="7" fillId="27" borderId="112" xfId="243" applyFont="1" applyFill="1" applyBorder="1" applyAlignment="1" applyProtection="1">
      <alignment horizontal="left" vertical="center" wrapText="1"/>
    </xf>
    <xf numFmtId="0" fontId="3" fillId="27" borderId="112" xfId="0" applyFont="1" applyFill="1" applyBorder="1" applyAlignment="1" applyProtection="1">
      <alignment horizontal="left"/>
    </xf>
    <xf numFmtId="0" fontId="7" fillId="27" borderId="112" xfId="0" applyFont="1" applyFill="1" applyBorder="1" applyAlignment="1" applyProtection="1">
      <alignment horizontal="right" vertical="center"/>
    </xf>
    <xf numFmtId="0" fontId="3" fillId="27" borderId="112" xfId="0" applyFont="1" applyFill="1" applyBorder="1" applyAlignment="1" applyProtection="1">
      <alignment horizontal="center" vertical="center"/>
    </xf>
    <xf numFmtId="0" fontId="3" fillId="27" borderId="117" xfId="0" applyFont="1" applyFill="1" applyBorder="1" applyAlignment="1" applyProtection="1">
      <alignment horizontal="left" vertical="center"/>
    </xf>
    <xf numFmtId="0" fontId="3" fillId="27" borderId="118" xfId="0" applyFont="1" applyFill="1" applyBorder="1" applyAlignment="1" applyProtection="1">
      <alignment horizontal="left" vertical="center"/>
    </xf>
    <xf numFmtId="0" fontId="3" fillId="27" borderId="119" xfId="0" applyFont="1" applyFill="1" applyBorder="1" applyAlignment="1" applyProtection="1">
      <alignment horizontal="left" vertical="center"/>
    </xf>
    <xf numFmtId="0" fontId="3"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490" applyFont="1" applyFill="1" applyAlignment="1" applyProtection="1">
      <alignment horizontal="center" vertical="center"/>
    </xf>
    <xf numFmtId="0" fontId="3" fillId="0" borderId="0" xfId="0" applyFont="1" applyFill="1" applyProtection="1"/>
    <xf numFmtId="0" fontId="3" fillId="0" borderId="0" xfId="0" applyFont="1" applyAlignment="1" applyProtection="1">
      <alignment horizontal="center"/>
    </xf>
    <xf numFmtId="0" fontId="3" fillId="0" borderId="0" xfId="0" applyFont="1" applyAlignment="1" applyProtection="1">
      <alignment vertical="center" wrapText="1"/>
    </xf>
    <xf numFmtId="0" fontId="3" fillId="0" borderId="114" xfId="0" applyNumberFormat="1" applyFont="1" applyBorder="1" applyAlignment="1" applyProtection="1">
      <alignment horizontal="left" vertical="top"/>
    </xf>
    <xf numFmtId="0" fontId="3" fillId="0" borderId="114" xfId="0" applyFont="1" applyBorder="1" applyAlignment="1" applyProtection="1">
      <alignment horizontal="center" vertical="center"/>
    </xf>
    <xf numFmtId="0" fontId="3" fillId="0" borderId="115" xfId="0" applyFont="1" applyBorder="1" applyAlignment="1" applyProtection="1">
      <alignment horizontal="center"/>
    </xf>
    <xf numFmtId="181" fontId="3" fillId="0" borderId="115" xfId="0" applyNumberFormat="1" applyFont="1" applyBorder="1" applyAlignment="1" applyProtection="1">
      <alignment horizontal="center"/>
    </xf>
    <xf numFmtId="0" fontId="3" fillId="0" borderId="115" xfId="0" applyFont="1" applyBorder="1" applyAlignment="1" applyProtection="1">
      <alignment horizontal="center" vertical="center"/>
    </xf>
    <xf numFmtId="0" fontId="3" fillId="0" borderId="115" xfId="490" applyFont="1" applyBorder="1" applyAlignment="1" applyProtection="1">
      <alignment horizontal="center" vertical="center"/>
    </xf>
    <xf numFmtId="0" fontId="3" fillId="0" borderId="113" xfId="0" applyFont="1" applyBorder="1" applyAlignment="1" applyProtection="1">
      <alignment horizontal="center" vertical="center"/>
    </xf>
    <xf numFmtId="2" fontId="3" fillId="0" borderId="115" xfId="0" applyNumberFormat="1" applyFont="1" applyBorder="1" applyAlignment="1" applyProtection="1">
      <alignment horizontal="center" vertical="center"/>
    </xf>
    <xf numFmtId="0" fontId="3" fillId="0" borderId="0" xfId="0" applyFont="1" applyProtection="1"/>
    <xf numFmtId="0" fontId="3" fillId="0" borderId="114" xfId="0" applyNumberFormat="1" applyFont="1" applyBorder="1" applyAlignment="1" applyProtection="1">
      <alignment horizontal="center"/>
    </xf>
    <xf numFmtId="0" fontId="78" fillId="0" borderId="115" xfId="0" applyFont="1" applyBorder="1" applyAlignment="1" applyProtection="1">
      <alignment horizontal="center"/>
    </xf>
    <xf numFmtId="179" fontId="3" fillId="0" borderId="115" xfId="0" applyNumberFormat="1" applyFont="1" applyBorder="1" applyAlignment="1" applyProtection="1">
      <alignment horizontal="center" vertical="center"/>
    </xf>
    <xf numFmtId="181" fontId="3" fillId="0" borderId="115" xfId="0" applyNumberFormat="1" applyFont="1" applyBorder="1" applyAlignment="1" applyProtection="1">
      <alignment horizontal="center" vertical="center"/>
    </xf>
    <xf numFmtId="43" fontId="3" fillId="0" borderId="115" xfId="524" applyNumberFormat="1" applyFont="1" applyBorder="1" applyAlignment="1" applyProtection="1">
      <alignment horizontal="center" vertical="center"/>
    </xf>
    <xf numFmtId="0" fontId="3" fillId="0" borderId="114" xfId="0" applyFont="1" applyBorder="1" applyAlignment="1" applyProtection="1">
      <alignment horizontal="center" vertical="center" wrapText="1"/>
    </xf>
    <xf numFmtId="0" fontId="3" fillId="0" borderId="0" xfId="0" applyFont="1" applyAlignment="1" applyProtection="1">
      <alignment vertical="center"/>
    </xf>
    <xf numFmtId="0" fontId="3" fillId="0" borderId="116" xfId="0" applyFont="1" applyBorder="1" applyAlignment="1" applyProtection="1">
      <alignment horizontal="center" vertical="center" wrapText="1"/>
    </xf>
    <xf numFmtId="0" fontId="7" fillId="0" borderId="115" xfId="0" applyFont="1" applyBorder="1" applyAlignment="1" applyProtection="1">
      <alignment horizontal="center"/>
    </xf>
    <xf numFmtId="0" fontId="7" fillId="0" borderId="115" xfId="0" applyFont="1" applyBorder="1" applyAlignment="1" applyProtection="1">
      <alignment horizontal="center" vertical="center"/>
    </xf>
    <xf numFmtId="181" fontId="7" fillId="0" borderId="115" xfId="0" applyNumberFormat="1" applyFont="1" applyBorder="1" applyAlignment="1" applyProtection="1">
      <alignment horizontal="center"/>
    </xf>
    <xf numFmtId="2" fontId="7" fillId="0" borderId="115" xfId="0" applyNumberFormat="1" applyFont="1" applyBorder="1" applyAlignment="1" applyProtection="1">
      <alignment horizontal="center"/>
    </xf>
    <xf numFmtId="2" fontId="7" fillId="0" borderId="115" xfId="0" applyNumberFormat="1" applyFont="1" applyBorder="1" applyAlignment="1" applyProtection="1">
      <alignment horizontal="center" vertical="center"/>
    </xf>
    <xf numFmtId="0" fontId="7" fillId="0" borderId="115" xfId="490" applyFont="1" applyBorder="1" applyAlignment="1" applyProtection="1">
      <alignment horizontal="center" vertical="center"/>
    </xf>
    <xf numFmtId="164" fontId="7" fillId="0" borderId="115" xfId="0" applyNumberFormat="1" applyFont="1" applyBorder="1" applyAlignment="1" applyProtection="1">
      <alignment horizontal="center" vertical="center"/>
    </xf>
    <xf numFmtId="0" fontId="3" fillId="0" borderId="0" xfId="0" applyFont="1" applyAlignment="1" applyProtection="1">
      <alignment horizontal="center" vertical="center"/>
    </xf>
    <xf numFmtId="0" fontId="3" fillId="0" borderId="0" xfId="490" applyFont="1" applyAlignment="1" applyProtection="1">
      <alignment horizontal="center" vertical="center"/>
    </xf>
    <xf numFmtId="2" fontId="3" fillId="0" borderId="0" xfId="0" applyNumberFormat="1" applyFont="1" applyAlignment="1" applyProtection="1">
      <alignment horizontal="center" vertical="center"/>
    </xf>
    <xf numFmtId="164" fontId="3" fillId="0" borderId="0" xfId="0" applyNumberFormat="1" applyFont="1" applyAlignment="1" applyProtection="1">
      <alignment horizontal="center" vertical="center"/>
    </xf>
    <xf numFmtId="0" fontId="39" fillId="0" borderId="0" xfId="240" applyFont="1" applyAlignment="1" applyProtection="1"/>
    <xf numFmtId="0" fontId="3" fillId="0" borderId="0" xfId="240" applyFont="1" applyFill="1" applyBorder="1" applyAlignment="1" applyProtection="1">
      <alignment vertical="center" wrapText="1"/>
    </xf>
    <xf numFmtId="0" fontId="3" fillId="0" borderId="0" xfId="240" applyFont="1" applyFill="1" applyBorder="1" applyAlignment="1" applyProtection="1">
      <alignment horizontal="left" vertical="center" wrapText="1"/>
    </xf>
    <xf numFmtId="0" fontId="3" fillId="0" borderId="0" xfId="240" applyFont="1" applyBorder="1" applyAlignment="1" applyProtection="1">
      <alignment horizontal="left" vertical="center" wrapText="1"/>
    </xf>
    <xf numFmtId="0" fontId="3" fillId="0" borderId="18" xfId="240" applyFont="1" applyBorder="1" applyAlignment="1" applyProtection="1">
      <alignment horizontal="center" vertical="center" wrapText="1"/>
    </xf>
    <xf numFmtId="0" fontId="3" fillId="0" borderId="0" xfId="240" applyFont="1" applyBorder="1" applyAlignment="1" applyProtection="1">
      <alignment horizontal="centerContinuous" vertical="center" wrapText="1"/>
    </xf>
    <xf numFmtId="10" fontId="3" fillId="0" borderId="21" xfId="243" applyNumberFormat="1" applyFont="1" applyFill="1" applyBorder="1" applyAlignment="1" applyProtection="1">
      <alignment horizontal="center" vertical="center" wrapText="1"/>
    </xf>
    <xf numFmtId="10" fontId="3" fillId="0" borderId="0" xfId="243" applyNumberFormat="1" applyFont="1" applyFill="1" applyBorder="1" applyAlignment="1" applyProtection="1">
      <alignment horizontal="right" vertical="center" wrapText="1"/>
    </xf>
    <xf numFmtId="10" fontId="3" fillId="0" borderId="0" xfId="243" applyNumberFormat="1" applyFont="1" applyFill="1" applyBorder="1" applyAlignment="1" applyProtection="1">
      <alignment horizontal="left" vertical="center" wrapText="1"/>
    </xf>
    <xf numFmtId="10" fontId="3" fillId="0" borderId="0" xfId="240" applyNumberFormat="1" applyFont="1" applyFill="1" applyBorder="1" applyAlignment="1" applyProtection="1">
      <alignment vertical="center" wrapText="1"/>
    </xf>
    <xf numFmtId="10" fontId="3" fillId="0" borderId="0" xfId="240" applyNumberFormat="1" applyFont="1" applyFill="1" applyBorder="1" applyAlignment="1" applyProtection="1">
      <alignment horizontal="left" vertical="center" wrapText="1"/>
    </xf>
    <xf numFmtId="0" fontId="39" fillId="0" borderId="0" xfId="240" applyFont="1" applyAlignment="1" applyProtection="1">
      <alignment vertical="center"/>
    </xf>
    <xf numFmtId="0" fontId="7" fillId="0" borderId="23" xfId="240" applyFont="1" applyBorder="1" applyAlignment="1" applyProtection="1">
      <alignment horizontal="left" vertical="center" wrapText="1"/>
    </xf>
    <xf numFmtId="0" fontId="3" fillId="0" borderId="22" xfId="240" applyFont="1" applyBorder="1" applyAlignment="1" applyProtection="1">
      <alignment horizontal="left" vertical="center" wrapText="1"/>
    </xf>
    <xf numFmtId="0" fontId="3" fillId="0" borderId="22" xfId="240" applyFont="1" applyBorder="1" applyAlignment="1" applyProtection="1">
      <alignment horizontal="center" vertical="center" wrapText="1"/>
    </xf>
    <xf numFmtId="4" fontId="3" fillId="0" borderId="0" xfId="240" applyNumberFormat="1" applyFont="1" applyFill="1" applyBorder="1" applyAlignment="1" applyProtection="1">
      <alignment horizontal="left" vertical="center" wrapText="1"/>
    </xf>
    <xf numFmtId="0" fontId="7" fillId="0" borderId="0" xfId="240" applyFont="1" applyFill="1" applyBorder="1" applyAlignment="1" applyProtection="1">
      <alignment horizontal="left" vertical="center" wrapText="1"/>
    </xf>
    <xf numFmtId="4" fontId="7" fillId="27" borderId="21" xfId="240" applyNumberFormat="1" applyFont="1" applyFill="1" applyBorder="1" applyAlignment="1" applyProtection="1">
      <alignment horizontal="center" vertical="center" wrapText="1"/>
    </xf>
    <xf numFmtId="4" fontId="7" fillId="0" borderId="0" xfId="240" applyNumberFormat="1" applyFont="1" applyFill="1" applyBorder="1" applyAlignment="1" applyProtection="1">
      <alignment horizontal="left" vertical="center" wrapText="1"/>
    </xf>
    <xf numFmtId="0" fontId="3" fillId="0" borderId="20" xfId="240" applyFont="1" applyBorder="1" applyAlignment="1" applyProtection="1">
      <alignment horizontal="center" vertical="center" wrapText="1"/>
    </xf>
    <xf numFmtId="0" fontId="3" fillId="0" borderId="0" xfId="240" applyFont="1" applyBorder="1" applyAlignment="1" applyProtection="1">
      <alignment horizontal="justify" vertical="center" wrapText="1"/>
    </xf>
    <xf numFmtId="0" fontId="8" fillId="0" borderId="0" xfId="240" applyFont="1" applyBorder="1" applyAlignment="1" applyProtection="1">
      <alignment horizontal="center" vertical="center" wrapText="1"/>
    </xf>
    <xf numFmtId="164" fontId="3" fillId="0" borderId="0" xfId="490" applyNumberFormat="1" applyFont="1" applyBorder="1" applyAlignment="1" applyProtection="1">
      <alignment horizontal="center" vertical="center" wrapText="1"/>
    </xf>
    <xf numFmtId="0" fontId="3" fillId="0" borderId="21" xfId="240" applyFont="1" applyBorder="1" applyAlignment="1" applyProtection="1">
      <alignment vertical="center" wrapText="1"/>
    </xf>
    <xf numFmtId="0" fontId="7" fillId="27" borderId="45" xfId="240" applyFont="1" applyFill="1" applyBorder="1" applyAlignment="1" applyProtection="1">
      <alignment horizontal="center" vertical="center" wrapText="1"/>
    </xf>
    <xf numFmtId="0" fontId="39" fillId="27" borderId="0" xfId="241" applyFont="1" applyFill="1" applyAlignment="1" applyProtection="1">
      <alignment vertical="center"/>
    </xf>
    <xf numFmtId="0" fontId="39" fillId="27" borderId="0" xfId="241" applyFont="1" applyFill="1" applyAlignment="1" applyProtection="1">
      <alignment horizontal="center" vertical="center"/>
    </xf>
    <xf numFmtId="0" fontId="39" fillId="27" borderId="0" xfId="241" applyFont="1" applyFill="1" applyBorder="1" applyAlignment="1" applyProtection="1">
      <alignment horizontal="center" vertical="center"/>
    </xf>
    <xf numFmtId="4" fontId="3" fillId="27" borderId="0" xfId="241" applyNumberFormat="1" applyFont="1" applyFill="1" applyBorder="1" applyAlignment="1" applyProtection="1">
      <alignment horizontal="center" vertical="center" wrapText="1"/>
    </xf>
    <xf numFmtId="4" fontId="3" fillId="27" borderId="0" xfId="241" applyNumberFormat="1" applyFont="1" applyFill="1" applyBorder="1" applyAlignment="1" applyProtection="1">
      <alignment horizontal="left" vertical="center" wrapText="1"/>
    </xf>
    <xf numFmtId="0" fontId="3" fillId="27" borderId="0" xfId="241" applyFont="1" applyFill="1" applyAlignment="1" applyProtection="1">
      <alignment horizontal="center" vertical="center"/>
    </xf>
    <xf numFmtId="0" fontId="4" fillId="27" borderId="0" xfId="241" applyFont="1" applyFill="1" applyAlignment="1" applyProtection="1">
      <alignment horizontal="center" vertical="center"/>
    </xf>
    <xf numFmtId="0" fontId="7" fillId="27" borderId="20" xfId="241" applyFont="1" applyFill="1" applyBorder="1" applyAlignment="1" applyProtection="1">
      <alignment horizontal="center" vertical="center" wrapText="1"/>
    </xf>
    <xf numFmtId="184" fontId="3" fillId="27" borderId="0" xfId="524" applyNumberFormat="1" applyFont="1" applyFill="1" applyBorder="1" applyAlignment="1" applyProtection="1">
      <alignment horizontal="center" vertical="top"/>
    </xf>
    <xf numFmtId="0" fontId="4" fillId="0" borderId="0" xfId="0" applyFont="1" applyAlignment="1" applyProtection="1">
      <alignment horizontal="center" vertical="center"/>
    </xf>
    <xf numFmtId="0" fontId="3" fillId="27" borderId="48" xfId="241" applyFont="1" applyFill="1" applyBorder="1" applyAlignment="1" applyProtection="1">
      <alignment horizontal="left" vertical="center" wrapText="1"/>
    </xf>
    <xf numFmtId="0" fontId="3" fillId="27" borderId="25" xfId="241" applyFont="1" applyFill="1" applyBorder="1" applyAlignment="1" applyProtection="1">
      <alignment horizontal="left" vertical="center" wrapText="1"/>
    </xf>
    <xf numFmtId="181" fontId="3" fillId="27" borderId="25" xfId="241" applyNumberFormat="1" applyFont="1" applyFill="1" applyBorder="1" applyAlignment="1" applyProtection="1">
      <alignment horizontal="center" vertical="center" wrapText="1"/>
    </xf>
    <xf numFmtId="0" fontId="3" fillId="27" borderId="25" xfId="241" applyFont="1" applyFill="1" applyBorder="1" applyAlignment="1" applyProtection="1">
      <alignment horizontal="center" vertical="center" wrapText="1"/>
    </xf>
    <xf numFmtId="0" fontId="3" fillId="27" borderId="0" xfId="241" applyFont="1" applyFill="1" applyBorder="1" applyAlignment="1" applyProtection="1">
      <alignment vertical="center" wrapText="1"/>
    </xf>
    <xf numFmtId="0" fontId="3" fillId="27" borderId="51" xfId="241" applyFont="1" applyFill="1" applyBorder="1" applyAlignment="1" applyProtection="1">
      <alignment horizontal="left" vertical="center" wrapText="1"/>
    </xf>
    <xf numFmtId="0" fontId="3" fillId="27" borderId="43" xfId="241" applyFont="1" applyFill="1" applyBorder="1" applyAlignment="1" applyProtection="1">
      <alignment horizontal="left" vertical="center" wrapText="1"/>
    </xf>
    <xf numFmtId="0" fontId="3" fillId="27" borderId="43" xfId="241" applyFont="1" applyFill="1" applyBorder="1" applyAlignment="1" applyProtection="1">
      <alignment horizontal="center" vertical="center" wrapText="1"/>
    </xf>
    <xf numFmtId="0" fontId="3" fillId="0" borderId="20" xfId="240" applyFont="1" applyBorder="1" applyAlignment="1" applyProtection="1">
      <alignment horizontal="left" vertical="center" wrapText="1"/>
    </xf>
    <xf numFmtId="1" fontId="3" fillId="0" borderId="0" xfId="240" applyNumberFormat="1" applyFont="1" applyBorder="1" applyAlignment="1" applyProtection="1">
      <alignment horizontal="center" vertical="center" wrapText="1"/>
    </xf>
    <xf numFmtId="0" fontId="3" fillId="0" borderId="25" xfId="240" applyFont="1" applyBorder="1" applyAlignment="1" applyProtection="1">
      <alignment horizontal="left" vertical="center" wrapText="1"/>
    </xf>
    <xf numFmtId="2" fontId="3" fillId="0" borderId="25" xfId="240" applyNumberFormat="1" applyFont="1" applyBorder="1" applyAlignment="1" applyProtection="1">
      <alignment horizontal="center" vertical="center" wrapText="1"/>
    </xf>
    <xf numFmtId="1" fontId="3" fillId="0" borderId="25" xfId="240" applyNumberFormat="1" applyFont="1" applyBorder="1" applyAlignment="1" applyProtection="1">
      <alignment horizontal="center" vertical="center" wrapText="1"/>
    </xf>
    <xf numFmtId="2" fontId="3" fillId="0" borderId="26" xfId="240" applyNumberFormat="1" applyFont="1" applyBorder="1" applyAlignment="1" applyProtection="1">
      <alignment horizontal="center" vertical="center" wrapText="1"/>
    </xf>
    <xf numFmtId="2" fontId="3" fillId="0" borderId="0" xfId="240" applyNumberFormat="1" applyFont="1" applyBorder="1" applyAlignment="1" applyProtection="1">
      <alignment vertical="center" wrapText="1"/>
    </xf>
    <xf numFmtId="0" fontId="4" fillId="0" borderId="0" xfId="0" applyNumberFormat="1" applyFont="1" applyAlignment="1" applyProtection="1">
      <alignment horizontal="center" vertical="center"/>
    </xf>
    <xf numFmtId="0" fontId="7" fillId="27" borderId="20" xfId="240" applyFont="1" applyFill="1" applyBorder="1" applyAlignment="1" applyProtection="1">
      <alignment vertical="center" wrapText="1"/>
    </xf>
    <xf numFmtId="0" fontId="3" fillId="0" borderId="21" xfId="240" applyFont="1" applyBorder="1" applyAlignment="1" applyProtection="1">
      <alignment horizontal="center" vertical="center" wrapText="1"/>
    </xf>
    <xf numFmtId="9" fontId="3" fillId="0" borderId="25" xfId="359" applyFont="1" applyBorder="1" applyAlignment="1" applyProtection="1">
      <alignment horizontal="center" vertical="center" wrapText="1"/>
    </xf>
    <xf numFmtId="2" fontId="3" fillId="0" borderId="25" xfId="490" applyNumberFormat="1" applyFont="1" applyBorder="1" applyAlignment="1" applyProtection="1">
      <alignment horizontal="center" vertical="center"/>
    </xf>
    <xf numFmtId="180" fontId="3" fillId="0" borderId="25" xfId="490" applyNumberFormat="1" applyFont="1" applyBorder="1" applyAlignment="1" applyProtection="1">
      <alignment horizontal="center" vertical="center"/>
    </xf>
    <xf numFmtId="9" fontId="3" fillId="0" borderId="25" xfId="359" applyFont="1" applyBorder="1" applyAlignment="1" applyProtection="1">
      <alignment horizontal="center" vertical="center"/>
    </xf>
    <xf numFmtId="2" fontId="3" fillId="0" borderId="0" xfId="240" applyNumberFormat="1" applyFont="1" applyBorder="1" applyAlignment="1" applyProtection="1">
      <alignment horizontal="center" vertical="center" wrapText="1"/>
    </xf>
    <xf numFmtId="2" fontId="3" fillId="0" borderId="0" xfId="490" applyNumberFormat="1" applyFont="1" applyBorder="1" applyAlignment="1" applyProtection="1">
      <alignment horizontal="center" vertical="center"/>
    </xf>
    <xf numFmtId="9" fontId="3" fillId="0" borderId="0" xfId="359" applyFont="1" applyBorder="1" applyAlignment="1" applyProtection="1">
      <alignment horizontal="center" vertical="center" wrapText="1"/>
    </xf>
    <xf numFmtId="2" fontId="3" fillId="0" borderId="21" xfId="240" applyNumberFormat="1" applyFont="1" applyBorder="1" applyAlignment="1" applyProtection="1">
      <alignment horizontal="center" vertical="center" wrapText="1"/>
    </xf>
    <xf numFmtId="0" fontId="8" fillId="27" borderId="0" xfId="241" applyFont="1" applyFill="1" applyAlignment="1" applyProtection="1">
      <alignment horizontal="center" vertical="center"/>
    </xf>
    <xf numFmtId="0" fontId="8" fillId="27" borderId="0" xfId="241" applyFont="1" applyFill="1" applyBorder="1" applyAlignment="1" applyProtection="1">
      <alignment horizontal="center" vertical="center"/>
    </xf>
    <xf numFmtId="2" fontId="3" fillId="0" borderId="21" xfId="359" applyNumberFormat="1" applyFont="1" applyBorder="1" applyAlignment="1" applyProtection="1">
      <alignment horizontal="center" vertical="center" wrapText="1"/>
    </xf>
    <xf numFmtId="2" fontId="3" fillId="0" borderId="26" xfId="359" applyNumberFormat="1" applyFont="1" applyBorder="1" applyAlignment="1" applyProtection="1">
      <alignment horizontal="center" vertical="center" wrapText="1"/>
    </xf>
    <xf numFmtId="0" fontId="67" fillId="28" borderId="0" xfId="0" applyFont="1" applyFill="1" applyAlignment="1" applyProtection="1">
      <alignment horizontal="center" vertical="center"/>
    </xf>
    <xf numFmtId="0" fontId="67" fillId="0" borderId="0" xfId="0" applyFont="1" applyAlignment="1" applyProtection="1">
      <alignment horizontal="center" vertical="center"/>
    </xf>
    <xf numFmtId="0" fontId="40" fillId="0" borderId="0" xfId="240" applyFont="1" applyAlignment="1" applyProtection="1">
      <alignment horizontal="center" vertical="center"/>
    </xf>
    <xf numFmtId="0" fontId="7" fillId="27" borderId="43" xfId="240" applyFont="1" applyFill="1" applyBorder="1" applyAlignment="1" applyProtection="1">
      <alignment horizontal="center" vertical="center" wrapText="1"/>
    </xf>
    <xf numFmtId="0" fontId="4" fillId="27" borderId="43" xfId="240" applyFont="1" applyFill="1" applyBorder="1" applyAlignment="1" applyProtection="1">
      <alignment horizontal="center" vertical="center"/>
    </xf>
    <xf numFmtId="0" fontId="0" fillId="0" borderId="0" xfId="0" applyNumberFormat="1" applyAlignment="1" applyProtection="1">
      <alignment horizontal="center" vertical="center"/>
    </xf>
    <xf numFmtId="0" fontId="3" fillId="27" borderId="0" xfId="240" applyFont="1" applyFill="1" applyAlignment="1" applyProtection="1">
      <alignment horizontal="left" vertical="center"/>
    </xf>
    <xf numFmtId="0" fontId="4" fillId="27" borderId="0" xfId="240" applyFont="1" applyFill="1" applyAlignment="1" applyProtection="1">
      <alignment horizontal="left" vertical="center"/>
    </xf>
    <xf numFmtId="179" fontId="3" fillId="27" borderId="21" xfId="372" applyNumberFormat="1" applyFont="1" applyFill="1" applyBorder="1" applyAlignment="1" applyProtection="1">
      <alignment horizontal="center" vertical="center" wrapText="1"/>
    </xf>
    <xf numFmtId="2" fontId="7" fillId="27" borderId="26" xfId="372" applyNumberFormat="1" applyFont="1" applyFill="1" applyBorder="1" applyAlignment="1" applyProtection="1">
      <alignment horizontal="center" vertical="center" wrapText="1"/>
    </xf>
    <xf numFmtId="0" fontId="69" fillId="27" borderId="0" xfId="0" applyFont="1" applyFill="1" applyProtection="1"/>
    <xf numFmtId="0" fontId="7" fillId="27" borderId="93" xfId="240" applyFont="1" applyFill="1" applyBorder="1" applyAlignment="1" applyProtection="1">
      <alignment horizontal="right" vertical="center" wrapText="1"/>
    </xf>
    <xf numFmtId="0" fontId="7" fillId="27" borderId="10" xfId="240" applyFont="1" applyFill="1" applyBorder="1" applyAlignment="1" applyProtection="1">
      <alignment horizontal="center" vertical="center" wrapText="1"/>
    </xf>
    <xf numFmtId="0" fontId="7" fillId="27" borderId="94" xfId="240" applyFont="1" applyFill="1" applyBorder="1" applyAlignment="1" applyProtection="1">
      <alignment horizontal="center" vertical="center" wrapText="1"/>
    </xf>
    <xf numFmtId="0" fontId="73" fillId="27" borderId="0" xfId="0" applyFont="1" applyFill="1" applyProtection="1"/>
    <xf numFmtId="0" fontId="73" fillId="0" borderId="0" xfId="0" applyFont="1" applyProtection="1"/>
    <xf numFmtId="0" fontId="3" fillId="27" borderId="91" xfId="240" applyFont="1" applyFill="1" applyBorder="1" applyAlignment="1" applyProtection="1">
      <alignment horizontal="right" vertical="center" wrapText="1"/>
    </xf>
    <xf numFmtId="1" fontId="3" fillId="27" borderId="67" xfId="240" applyNumberFormat="1" applyFont="1" applyFill="1" applyBorder="1" applyAlignment="1" applyProtection="1">
      <alignment horizontal="center" vertical="center" wrapText="1"/>
    </xf>
    <xf numFmtId="1" fontId="3" fillId="27" borderId="92" xfId="240" applyNumberFormat="1" applyFont="1" applyFill="1" applyBorder="1" applyAlignment="1" applyProtection="1">
      <alignment horizontal="center" vertical="center" wrapText="1"/>
    </xf>
    <xf numFmtId="0" fontId="3" fillId="27" borderId="95" xfId="240" applyFont="1" applyFill="1" applyBorder="1" applyAlignment="1" applyProtection="1">
      <alignment horizontal="center" vertical="center" wrapText="1"/>
    </xf>
    <xf numFmtId="0" fontId="3" fillId="27" borderId="86" xfId="240" applyFont="1" applyFill="1" applyBorder="1" applyAlignment="1" applyProtection="1">
      <alignment horizontal="right" vertical="center" wrapText="1"/>
    </xf>
    <xf numFmtId="1" fontId="3" fillId="27" borderId="81" xfId="240" applyNumberFormat="1" applyFont="1" applyFill="1" applyBorder="1" applyAlignment="1" applyProtection="1">
      <alignment horizontal="center" vertical="center" wrapText="1"/>
    </xf>
    <xf numFmtId="1" fontId="3" fillId="27" borderId="82" xfId="240" applyNumberFormat="1" applyFont="1" applyFill="1" applyBorder="1" applyAlignment="1" applyProtection="1">
      <alignment horizontal="center" vertical="center" wrapText="1"/>
    </xf>
    <xf numFmtId="0" fontId="3" fillId="27" borderId="85" xfId="240" applyFont="1" applyFill="1" applyBorder="1" applyAlignment="1" applyProtection="1">
      <alignment horizontal="right" vertical="center" wrapText="1"/>
    </xf>
    <xf numFmtId="1" fontId="3" fillId="27" borderId="69" xfId="240" applyNumberFormat="1" applyFont="1" applyFill="1" applyBorder="1" applyAlignment="1" applyProtection="1">
      <alignment horizontal="center" vertical="center" wrapText="1"/>
    </xf>
    <xf numFmtId="1" fontId="3" fillId="27" borderId="87" xfId="240" applyNumberFormat="1" applyFont="1" applyFill="1" applyBorder="1" applyAlignment="1" applyProtection="1">
      <alignment horizontal="center" vertical="center" wrapText="1"/>
    </xf>
    <xf numFmtId="0" fontId="3" fillId="27" borderId="64" xfId="240" applyFont="1" applyFill="1" applyBorder="1" applyAlignment="1" applyProtection="1">
      <alignment horizontal="center" vertical="center" wrapText="1"/>
    </xf>
    <xf numFmtId="0" fontId="3" fillId="27" borderId="84" xfId="240" applyFont="1" applyFill="1" applyBorder="1" applyAlignment="1" applyProtection="1">
      <alignment horizontal="right" vertical="center" wrapText="1"/>
    </xf>
    <xf numFmtId="1" fontId="3" fillId="27" borderId="88" xfId="240" applyNumberFormat="1" applyFont="1" applyFill="1" applyBorder="1" applyAlignment="1" applyProtection="1">
      <alignment horizontal="center" vertical="center" wrapText="1"/>
    </xf>
    <xf numFmtId="1" fontId="3" fillId="27" borderId="89" xfId="240" applyNumberFormat="1" applyFont="1" applyFill="1" applyBorder="1" applyAlignment="1" applyProtection="1">
      <alignment horizontal="center" vertical="center" wrapText="1"/>
    </xf>
    <xf numFmtId="0" fontId="3" fillId="27" borderId="96" xfId="240" applyFont="1" applyFill="1" applyBorder="1" applyAlignment="1" applyProtection="1">
      <alignment horizontal="center" vertical="center" wrapText="1"/>
    </xf>
    <xf numFmtId="0" fontId="3" fillId="27" borderId="80" xfId="240" applyFont="1" applyFill="1" applyBorder="1" applyAlignment="1" applyProtection="1">
      <alignment horizontal="right" vertical="center" wrapText="1"/>
    </xf>
    <xf numFmtId="0" fontId="3" fillId="27" borderId="97" xfId="240" applyFont="1" applyFill="1" applyBorder="1" applyAlignment="1" applyProtection="1">
      <alignment horizontal="center" vertical="center" wrapText="1"/>
    </xf>
    <xf numFmtId="180" fontId="3" fillId="27" borderId="91" xfId="240" applyNumberFormat="1" applyFont="1" applyFill="1" applyBorder="1" applyAlignment="1" applyProtection="1">
      <alignment horizontal="right" vertical="center" wrapText="1"/>
    </xf>
    <xf numFmtId="180" fontId="3" fillId="27" borderId="95" xfId="240" applyNumberFormat="1" applyFont="1" applyFill="1" applyBorder="1" applyAlignment="1" applyProtection="1">
      <alignment horizontal="center" vertical="center" wrapText="1"/>
    </xf>
    <xf numFmtId="180" fontId="3" fillId="27" borderId="85" xfId="240" applyNumberFormat="1" applyFont="1" applyFill="1" applyBorder="1" applyAlignment="1" applyProtection="1">
      <alignment horizontal="right" vertical="center" wrapText="1"/>
    </xf>
    <xf numFmtId="180" fontId="3" fillId="27" borderId="64" xfId="240" applyNumberFormat="1" applyFont="1" applyFill="1" applyBorder="1" applyAlignment="1" applyProtection="1">
      <alignment horizontal="center" vertical="center" wrapText="1"/>
    </xf>
    <xf numFmtId="180" fontId="7" fillId="27" borderId="85" xfId="240" applyNumberFormat="1" applyFont="1" applyFill="1" applyBorder="1" applyAlignment="1" applyProtection="1">
      <alignment horizontal="right" vertical="center" wrapText="1"/>
    </xf>
    <xf numFmtId="1" fontId="7" fillId="27" borderId="69" xfId="240" applyNumberFormat="1" applyFont="1" applyFill="1" applyBorder="1" applyAlignment="1" applyProtection="1">
      <alignment horizontal="center" vertical="center" wrapText="1"/>
    </xf>
    <xf numFmtId="1" fontId="7" fillId="27" borderId="87" xfId="240" applyNumberFormat="1" applyFont="1" applyFill="1" applyBorder="1" applyAlignment="1" applyProtection="1">
      <alignment horizontal="center" vertical="center" wrapText="1"/>
    </xf>
    <xf numFmtId="180" fontId="7" fillId="27" borderId="64" xfId="240" applyNumberFormat="1" applyFont="1" applyFill="1" applyBorder="1" applyAlignment="1" applyProtection="1">
      <alignment horizontal="center" vertical="center" wrapText="1"/>
    </xf>
    <xf numFmtId="0" fontId="3" fillId="27" borderId="57" xfId="0" applyFont="1" applyFill="1" applyBorder="1" applyAlignment="1" applyProtection="1">
      <alignment vertical="center"/>
    </xf>
    <xf numFmtId="0" fontId="3" fillId="27" borderId="0" xfId="0" applyFont="1" applyFill="1" applyBorder="1" applyAlignment="1" applyProtection="1">
      <alignment horizontal="center" vertical="center"/>
    </xf>
    <xf numFmtId="0" fontId="3" fillId="27" borderId="58" xfId="0" applyFont="1" applyFill="1" applyBorder="1" applyAlignment="1" applyProtection="1">
      <alignment horizontal="center" vertical="center"/>
    </xf>
    <xf numFmtId="0" fontId="7" fillId="27" borderId="78" xfId="240" applyFont="1" applyFill="1" applyBorder="1" applyAlignment="1" applyProtection="1">
      <alignment horizontal="right" vertical="center" wrapText="1"/>
    </xf>
    <xf numFmtId="0" fontId="7" fillId="27" borderId="76" xfId="240" applyFont="1" applyFill="1" applyBorder="1" applyAlignment="1" applyProtection="1">
      <alignment horizontal="center" vertical="center" wrapText="1"/>
    </xf>
    <xf numFmtId="0" fontId="7" fillId="27" borderId="79" xfId="240" applyFont="1" applyFill="1" applyBorder="1" applyAlignment="1" applyProtection="1">
      <alignment horizontal="center" vertical="center" wrapText="1"/>
    </xf>
    <xf numFmtId="0" fontId="7" fillId="27" borderId="75" xfId="240" applyFont="1" applyFill="1" applyBorder="1" applyAlignment="1" applyProtection="1">
      <alignment horizontal="center" vertical="center" wrapText="1"/>
    </xf>
    <xf numFmtId="0" fontId="3" fillId="27" borderId="8" xfId="240" applyFont="1" applyFill="1" applyBorder="1" applyAlignment="1" applyProtection="1">
      <alignment horizontal="center" vertical="center" wrapText="1"/>
    </xf>
    <xf numFmtId="0" fontId="3" fillId="27" borderId="90" xfId="240" applyFont="1" applyFill="1" applyBorder="1" applyAlignment="1" applyProtection="1">
      <alignment horizontal="center" vertical="center" wrapText="1"/>
    </xf>
    <xf numFmtId="180" fontId="7" fillId="27" borderId="84" xfId="240" applyNumberFormat="1" applyFont="1" applyFill="1" applyBorder="1" applyAlignment="1" applyProtection="1">
      <alignment horizontal="right" vertical="center" wrapText="1"/>
    </xf>
    <xf numFmtId="1" fontId="7" fillId="27" borderId="88" xfId="240" applyNumberFormat="1" applyFont="1" applyFill="1" applyBorder="1" applyAlignment="1" applyProtection="1">
      <alignment horizontal="center" vertical="center" wrapText="1"/>
    </xf>
    <xf numFmtId="1" fontId="7" fillId="27" borderId="89" xfId="240" applyNumberFormat="1" applyFont="1" applyFill="1" applyBorder="1" applyAlignment="1" applyProtection="1">
      <alignment horizontal="center" vertical="center" wrapText="1"/>
    </xf>
    <xf numFmtId="180" fontId="7" fillId="27" borderId="96" xfId="240" applyNumberFormat="1" applyFont="1" applyFill="1" applyBorder="1" applyAlignment="1" applyProtection="1">
      <alignment horizontal="center" vertical="center" wrapText="1"/>
    </xf>
    <xf numFmtId="180" fontId="7" fillId="27" borderId="0" xfId="240" applyNumberFormat="1" applyFont="1" applyFill="1" applyBorder="1" applyAlignment="1" applyProtection="1">
      <alignment horizontal="right" vertical="center" wrapText="1"/>
    </xf>
    <xf numFmtId="180" fontId="7" fillId="27" borderId="0" xfId="240" applyNumberFormat="1" applyFont="1" applyFill="1" applyBorder="1" applyAlignment="1" applyProtection="1">
      <alignment horizontal="center" vertical="center" wrapText="1"/>
    </xf>
    <xf numFmtId="0" fontId="7" fillId="27" borderId="57" xfId="240" applyFont="1" applyFill="1" applyBorder="1" applyAlignment="1" applyProtection="1">
      <alignment horizontal="right" vertical="center" wrapText="1"/>
    </xf>
    <xf numFmtId="2" fontId="7" fillId="27" borderId="58" xfId="240" applyNumberFormat="1" applyFont="1" applyFill="1" applyBorder="1" applyAlignment="1" applyProtection="1">
      <alignment horizontal="center" vertical="center" wrapText="1"/>
    </xf>
    <xf numFmtId="0" fontId="3" fillId="27" borderId="57" xfId="240" applyFont="1" applyFill="1" applyBorder="1" applyAlignment="1" applyProtection="1">
      <alignment horizontal="right" vertical="center" wrapText="1"/>
    </xf>
    <xf numFmtId="2" fontId="3" fillId="27" borderId="58" xfId="240" applyNumberFormat="1" applyFont="1" applyFill="1" applyBorder="1" applyAlignment="1" applyProtection="1">
      <alignment horizontal="center" vertical="center" wrapText="1"/>
    </xf>
    <xf numFmtId="0" fontId="7" fillId="27" borderId="0" xfId="240" applyFont="1" applyFill="1" applyBorder="1" applyAlignment="1" applyProtection="1">
      <alignment horizontal="justify" vertical="center" wrapText="1"/>
    </xf>
    <xf numFmtId="164" fontId="7" fillId="27" borderId="0" xfId="490" applyNumberFormat="1" applyFont="1" applyFill="1" applyBorder="1" applyAlignment="1" applyProtection="1">
      <alignment horizontal="center" vertical="center" wrapText="1"/>
    </xf>
    <xf numFmtId="0" fontId="7" fillId="27" borderId="98" xfId="240" applyFont="1" applyFill="1" applyBorder="1" applyAlignment="1" applyProtection="1">
      <alignment horizontal="right" vertical="center" wrapText="1"/>
    </xf>
    <xf numFmtId="180" fontId="7" fillId="27" borderId="43" xfId="240" applyNumberFormat="1" applyFont="1" applyFill="1" applyBorder="1" applyAlignment="1" applyProtection="1">
      <alignment horizontal="center" vertical="center" wrapText="1"/>
    </xf>
    <xf numFmtId="2" fontId="7" fillId="27" borderId="43" xfId="240" applyNumberFormat="1" applyFont="1" applyFill="1" applyBorder="1" applyAlignment="1" applyProtection="1">
      <alignment horizontal="center" vertical="center" wrapText="1"/>
    </xf>
    <xf numFmtId="2" fontId="7" fillId="27" borderId="99" xfId="240" applyNumberFormat="1" applyFont="1" applyFill="1" applyBorder="1" applyAlignment="1" applyProtection="1">
      <alignment horizontal="center" vertical="center" wrapText="1"/>
    </xf>
    <xf numFmtId="2" fontId="7" fillId="27" borderId="61" xfId="359" applyNumberFormat="1" applyFont="1" applyFill="1" applyBorder="1" applyAlignment="1" applyProtection="1">
      <alignment horizontal="center" vertical="center" wrapText="1"/>
    </xf>
    <xf numFmtId="0" fontId="69" fillId="0" borderId="0" xfId="0" applyFont="1" applyAlignment="1" applyProtection="1">
      <alignment vertical="center"/>
    </xf>
    <xf numFmtId="0" fontId="3" fillId="27" borderId="75" xfId="240" applyFont="1" applyFill="1" applyBorder="1" applyAlignment="1" applyProtection="1">
      <alignment horizontal="center" vertical="center" wrapText="1"/>
    </xf>
    <xf numFmtId="10" fontId="3" fillId="27" borderId="21" xfId="240" applyNumberFormat="1" applyFont="1" applyFill="1" applyBorder="1" applyAlignment="1" applyProtection="1">
      <alignment horizontal="center" vertical="center" wrapText="1"/>
    </xf>
    <xf numFmtId="4" fontId="3" fillId="27" borderId="21" xfId="240" applyNumberFormat="1" applyFont="1" applyFill="1" applyBorder="1" applyAlignment="1" applyProtection="1">
      <alignment horizontal="center" vertical="center" wrapText="1"/>
    </xf>
    <xf numFmtId="0" fontId="4" fillId="27" borderId="21" xfId="240" applyFont="1" applyFill="1" applyBorder="1" applyAlignment="1" applyProtection="1">
      <alignment horizontal="center" vertical="center"/>
    </xf>
    <xf numFmtId="2" fontId="3" fillId="27" borderId="0" xfId="240" applyNumberFormat="1" applyFont="1" applyFill="1" applyAlignment="1" applyProtection="1">
      <alignment horizontal="center" vertical="center"/>
    </xf>
    <xf numFmtId="0" fontId="3" fillId="27" borderId="0" xfId="240" quotePrefix="1" applyFont="1" applyFill="1" applyBorder="1" applyAlignment="1" applyProtection="1">
      <alignment horizontal="center" vertical="center" wrapText="1"/>
    </xf>
    <xf numFmtId="9" fontId="3" fillId="27" borderId="0" xfId="359" applyFont="1" applyFill="1" applyBorder="1" applyAlignment="1" applyProtection="1">
      <alignment horizontal="center" vertical="center" wrapText="1"/>
    </xf>
    <xf numFmtId="0" fontId="51" fillId="27" borderId="0" xfId="240" applyFont="1" applyFill="1" applyAlignment="1" applyProtection="1">
      <alignment horizontal="left" vertical="center"/>
    </xf>
    <xf numFmtId="0" fontId="51" fillId="27" borderId="0" xfId="240" applyFont="1" applyFill="1" applyAlignment="1" applyProtection="1">
      <alignment horizontal="center" vertical="center"/>
    </xf>
    <xf numFmtId="0" fontId="52" fillId="27" borderId="0" xfId="240" applyFont="1" applyFill="1" applyAlignment="1" applyProtection="1">
      <alignment horizontal="center" vertical="center"/>
    </xf>
    <xf numFmtId="0" fontId="44" fillId="27" borderId="0" xfId="240" applyFont="1" applyFill="1" applyBorder="1" applyAlignment="1" applyProtection="1">
      <alignment horizontal="center" vertical="center" wrapText="1"/>
    </xf>
    <xf numFmtId="2" fontId="3" fillId="33" borderId="0" xfId="240" applyNumberFormat="1" applyFont="1" applyFill="1" applyBorder="1" applyAlignment="1" applyProtection="1">
      <alignment horizontal="center" vertical="center" wrapText="1"/>
    </xf>
    <xf numFmtId="0" fontId="7" fillId="27" borderId="51" xfId="240" applyFont="1" applyFill="1" applyBorder="1" applyAlignment="1" applyProtection="1">
      <alignment horizontal="right" vertical="center" wrapText="1"/>
    </xf>
    <xf numFmtId="0" fontId="7" fillId="33" borderId="51" xfId="240" applyFont="1" applyFill="1" applyBorder="1" applyAlignment="1" applyProtection="1">
      <alignment horizontal="right" vertical="center" wrapText="1"/>
    </xf>
    <xf numFmtId="2" fontId="7" fillId="27" borderId="44" xfId="240" applyNumberFormat="1" applyFont="1" applyFill="1" applyBorder="1" applyAlignment="1" applyProtection="1">
      <alignment horizontal="center" vertical="center" wrapText="1"/>
    </xf>
    <xf numFmtId="0" fontId="3" fillId="33" borderId="0" xfId="240" applyFont="1" applyFill="1" applyBorder="1" applyAlignment="1" applyProtection="1">
      <alignment horizontal="center" vertical="center" wrapText="1"/>
    </xf>
    <xf numFmtId="0" fontId="3" fillId="27" borderId="51" xfId="240" applyFont="1" applyFill="1" applyBorder="1" applyAlignment="1" applyProtection="1">
      <alignment horizontal="right" vertical="center" wrapText="1"/>
    </xf>
    <xf numFmtId="2" fontId="3" fillId="27" borderId="44" xfId="240" applyNumberFormat="1" applyFont="1" applyFill="1" applyBorder="1" applyAlignment="1" applyProtection="1">
      <alignment horizontal="center" vertical="center" wrapText="1"/>
    </xf>
    <xf numFmtId="0" fontId="3" fillId="27" borderId="48" xfId="240" applyFont="1" applyFill="1" applyBorder="1" applyAlignment="1" applyProtection="1">
      <alignment horizontal="right" vertical="center" wrapText="1"/>
    </xf>
    <xf numFmtId="180" fontId="3" fillId="27" borderId="43" xfId="240" applyNumberFormat="1" applyFont="1" applyFill="1" applyBorder="1" applyAlignment="1" applyProtection="1">
      <alignment horizontal="center" vertical="center" wrapText="1"/>
    </xf>
    <xf numFmtId="2" fontId="7" fillId="27" borderId="26" xfId="240" applyNumberFormat="1" applyFont="1" applyFill="1" applyBorder="1" applyAlignment="1" applyProtection="1">
      <alignment horizontal="center" vertical="center" wrapText="1"/>
    </xf>
    <xf numFmtId="2" fontId="3" fillId="27" borderId="0" xfId="490" applyNumberFormat="1" applyFont="1" applyFill="1" applyProtection="1">
      <alignment vertical="center"/>
    </xf>
    <xf numFmtId="179" fontId="3" fillId="27" borderId="21" xfId="490" applyNumberFormat="1" applyFont="1" applyFill="1" applyBorder="1" applyProtection="1">
      <alignment vertical="center"/>
    </xf>
    <xf numFmtId="0" fontId="52" fillId="27" borderId="0" xfId="240" applyFont="1" applyFill="1" applyBorder="1" applyAlignment="1" applyProtection="1">
      <alignment horizontal="center" vertical="center"/>
    </xf>
    <xf numFmtId="1" fontId="7" fillId="27" borderId="21" xfId="359" applyNumberFormat="1" applyFont="1" applyFill="1" applyBorder="1" applyAlignment="1" applyProtection="1">
      <alignment horizontal="center" vertical="center" wrapText="1"/>
    </xf>
    <xf numFmtId="179" fontId="7" fillId="27" borderId="21" xfId="490" applyNumberFormat="1" applyFont="1" applyFill="1" applyBorder="1" applyProtection="1">
      <alignment vertical="center"/>
    </xf>
    <xf numFmtId="180" fontId="3" fillId="27" borderId="20" xfId="240" applyNumberFormat="1" applyFont="1" applyFill="1" applyBorder="1" applyAlignment="1" applyProtection="1">
      <alignment horizontal="right" vertical="center" wrapText="1"/>
    </xf>
    <xf numFmtId="0" fontId="7" fillId="27" borderId="48" xfId="240" applyFont="1" applyFill="1" applyBorder="1" applyAlignment="1" applyProtection="1">
      <alignment horizontal="right" vertical="center" wrapText="1"/>
    </xf>
    <xf numFmtId="179" fontId="7" fillId="27" borderId="25" xfId="240" applyNumberFormat="1" applyFont="1" applyFill="1" applyBorder="1" applyAlignment="1" applyProtection="1">
      <alignment horizontal="center" vertical="center" wrapText="1"/>
    </xf>
    <xf numFmtId="1" fontId="3" fillId="27" borderId="21" xfId="240" applyNumberFormat="1" applyFont="1" applyFill="1" applyBorder="1" applyAlignment="1" applyProtection="1">
      <alignment horizontal="center" vertical="center" wrapText="1"/>
    </xf>
    <xf numFmtId="0" fontId="39" fillId="0" borderId="0" xfId="0" applyFont="1" applyAlignment="1" applyProtection="1">
      <alignment horizontal="center"/>
    </xf>
    <xf numFmtId="180" fontId="45" fillId="27" borderId="0" xfId="240" applyNumberFormat="1" applyFont="1" applyFill="1" applyBorder="1" applyAlignment="1" applyProtection="1">
      <alignment horizontal="center" vertical="center" wrapText="1"/>
    </xf>
    <xf numFmtId="1" fontId="3" fillId="27" borderId="56" xfId="359" applyNumberFormat="1" applyFont="1" applyFill="1" applyBorder="1" applyAlignment="1" applyProtection="1">
      <alignment horizontal="center" vertical="center" wrapText="1"/>
    </xf>
    <xf numFmtId="0" fontId="3" fillId="27" borderId="56" xfId="240" applyFont="1" applyFill="1" applyBorder="1" applyAlignment="1" applyProtection="1">
      <alignment horizontal="center" vertical="center" wrapText="1"/>
    </xf>
    <xf numFmtId="0" fontId="7" fillId="0" borderId="20" xfId="240" applyFont="1" applyBorder="1" applyAlignment="1" applyProtection="1">
      <alignment horizontal="left" vertical="center" wrapText="1"/>
    </xf>
    <xf numFmtId="1" fontId="3" fillId="0" borderId="21" xfId="359" applyNumberFormat="1" applyFont="1" applyBorder="1" applyAlignment="1" applyProtection="1">
      <alignment horizontal="center" vertical="center" wrapText="1"/>
    </xf>
    <xf numFmtId="0" fontId="3" fillId="0" borderId="25" xfId="240" applyFont="1" applyBorder="1" applyAlignment="1" applyProtection="1">
      <alignment horizontal="center" vertical="center" wrapText="1"/>
    </xf>
    <xf numFmtId="0" fontId="3" fillId="0" borderId="0" xfId="240" applyFont="1" applyBorder="1" applyAlignment="1" applyProtection="1">
      <alignment horizontal="right" vertical="center" wrapText="1"/>
    </xf>
    <xf numFmtId="179" fontId="3" fillId="0" borderId="0" xfId="240" applyNumberFormat="1" applyFont="1" applyBorder="1" applyAlignment="1" applyProtection="1">
      <alignment horizontal="center" vertical="center" wrapText="1"/>
    </xf>
    <xf numFmtId="0" fontId="3" fillId="0" borderId="25" xfId="240" applyFont="1" applyBorder="1" applyAlignment="1" applyProtection="1">
      <alignment horizontal="right" vertical="center" wrapText="1"/>
    </xf>
    <xf numFmtId="0" fontId="7" fillId="0" borderId="25" xfId="240" applyFont="1" applyBorder="1" applyAlignment="1" applyProtection="1">
      <alignment horizontal="center" vertical="center" wrapText="1"/>
    </xf>
    <xf numFmtId="2" fontId="7" fillId="0" borderId="26" xfId="359" applyNumberFormat="1" applyFont="1" applyBorder="1" applyAlignment="1" applyProtection="1">
      <alignment horizontal="center" vertical="center" wrapText="1"/>
    </xf>
    <xf numFmtId="181" fontId="3" fillId="0" borderId="25" xfId="240" applyNumberFormat="1" applyFont="1" applyBorder="1" applyAlignment="1" applyProtection="1">
      <alignment horizontal="center" vertical="center" wrapText="1"/>
    </xf>
    <xf numFmtId="0" fontId="3" fillId="0" borderId="51" xfId="240" applyFont="1" applyBorder="1" applyAlignment="1" applyProtection="1">
      <alignment horizontal="left" vertical="center" wrapText="1"/>
    </xf>
    <xf numFmtId="0" fontId="3" fillId="0" borderId="43" xfId="240" applyFont="1" applyBorder="1" applyAlignment="1" applyProtection="1">
      <alignment horizontal="left" vertical="center" wrapText="1"/>
    </xf>
    <xf numFmtId="0" fontId="3" fillId="0" borderId="43" xfId="240" applyFont="1" applyBorder="1" applyAlignment="1" applyProtection="1">
      <alignment horizontal="center" vertical="center" wrapText="1"/>
    </xf>
    <xf numFmtId="179" fontId="3" fillId="0" borderId="44" xfId="359" applyNumberFormat="1" applyFont="1" applyBorder="1" applyAlignment="1" applyProtection="1">
      <alignment horizontal="center" vertical="center" wrapText="1"/>
    </xf>
    <xf numFmtId="1" fontId="3" fillId="0" borderId="26" xfId="359" applyNumberFormat="1" applyFont="1" applyBorder="1" applyAlignment="1" applyProtection="1">
      <alignment horizontal="center" vertical="center" wrapText="1"/>
    </xf>
    <xf numFmtId="0" fontId="67" fillId="0" borderId="0" xfId="0" applyFont="1" applyProtection="1"/>
    <xf numFmtId="2" fontId="7" fillId="27" borderId="0" xfId="240" applyNumberFormat="1" applyFont="1" applyFill="1" applyBorder="1" applyAlignment="1" applyProtection="1">
      <alignment horizontal="center" vertical="center"/>
    </xf>
    <xf numFmtId="0" fontId="3" fillId="0" borderId="20" xfId="240" quotePrefix="1" applyFont="1" applyBorder="1" applyAlignment="1" applyProtection="1">
      <alignment horizontal="left" vertical="center" wrapText="1"/>
    </xf>
    <xf numFmtId="9" fontId="3" fillId="0" borderId="25" xfId="240" applyNumberFormat="1" applyFont="1" applyBorder="1" applyAlignment="1" applyProtection="1">
      <alignment horizontal="center" vertical="center" wrapText="1"/>
    </xf>
    <xf numFmtId="0" fontId="39" fillId="0" borderId="0" xfId="240" applyFont="1" applyBorder="1" applyAlignment="1" applyProtection="1">
      <alignment horizontal="left" vertical="center" wrapText="1"/>
    </xf>
    <xf numFmtId="0" fontId="39" fillId="0" borderId="0" xfId="240" applyFont="1" applyBorder="1" applyAlignment="1" applyProtection="1">
      <alignment horizontal="center" vertical="center" wrapText="1"/>
    </xf>
    <xf numFmtId="2" fontId="3" fillId="0" borderId="0" xfId="240" applyNumberFormat="1" applyFont="1" applyBorder="1" applyAlignment="1" applyProtection="1">
      <alignment horizontal="right" vertical="center" wrapText="1"/>
    </xf>
    <xf numFmtId="9" fontId="3" fillId="0" borderId="0" xfId="240" applyNumberFormat="1" applyFont="1" applyBorder="1" applyAlignment="1" applyProtection="1">
      <alignment vertical="center" wrapText="1"/>
    </xf>
    <xf numFmtId="9" fontId="7" fillId="0" borderId="25" xfId="359" applyFont="1" applyBorder="1" applyAlignment="1" applyProtection="1">
      <alignment horizontal="center" vertical="center" wrapText="1"/>
    </xf>
    <xf numFmtId="2" fontId="7" fillId="0" borderId="25" xfId="240" applyNumberFormat="1" applyFont="1" applyBorder="1" applyAlignment="1" applyProtection="1">
      <alignment horizontal="center" vertical="center" wrapText="1"/>
    </xf>
    <xf numFmtId="179" fontId="3" fillId="0" borderId="0" xfId="490" applyNumberFormat="1" applyFont="1" applyBorder="1" applyAlignment="1" applyProtection="1">
      <alignment horizontal="center" vertical="center"/>
    </xf>
    <xf numFmtId="0" fontId="4" fillId="0" borderId="21" xfId="240" applyFont="1" applyBorder="1" applyAlignment="1" applyProtection="1">
      <alignment horizontal="center" vertical="center"/>
    </xf>
    <xf numFmtId="179" fontId="7" fillId="0" borderId="25" xfId="490" applyNumberFormat="1" applyFont="1" applyBorder="1" applyAlignment="1" applyProtection="1">
      <alignment horizontal="center" vertical="center"/>
    </xf>
    <xf numFmtId="4" fontId="3" fillId="0" borderId="0" xfId="240" applyNumberFormat="1" applyFont="1" applyBorder="1" applyAlignment="1" applyProtection="1">
      <alignment horizontal="center" vertical="center" wrapText="1"/>
    </xf>
    <xf numFmtId="4" fontId="7" fillId="0" borderId="25" xfId="240" applyNumberFormat="1" applyFont="1" applyBorder="1" applyAlignment="1" applyProtection="1">
      <alignment horizontal="center" vertical="center" wrapText="1"/>
    </xf>
    <xf numFmtId="0" fontId="4" fillId="0" borderId="0" xfId="240" applyFont="1" applyBorder="1" applyAlignment="1" applyProtection="1">
      <alignment horizontal="center" vertical="center"/>
    </xf>
    <xf numFmtId="179" fontId="3" fillId="39" borderId="21" xfId="240" applyNumberFormat="1" applyFont="1" applyFill="1" applyBorder="1" applyAlignment="1" applyProtection="1">
      <alignment horizontal="center" vertical="center" wrapText="1"/>
    </xf>
    <xf numFmtId="2" fontId="45" fillId="0" borderId="0" xfId="240" applyNumberFormat="1" applyFont="1" applyBorder="1" applyAlignment="1" applyProtection="1">
      <alignment horizontal="right" vertical="center" wrapText="1"/>
    </xf>
    <xf numFmtId="0" fontId="45" fillId="0" borderId="25" xfId="240" applyFont="1" applyBorder="1" applyAlignment="1" applyProtection="1">
      <alignment horizontal="center" vertical="center" wrapText="1"/>
    </xf>
    <xf numFmtId="179" fontId="7" fillId="0" borderId="26" xfId="359" applyNumberFormat="1" applyFont="1" applyBorder="1" applyAlignment="1" applyProtection="1">
      <alignment horizontal="center" vertical="center" wrapText="1"/>
    </xf>
    <xf numFmtId="2" fontId="7" fillId="0" borderId="25" xfId="240" applyNumberFormat="1" applyFont="1" applyBorder="1" applyAlignment="1" applyProtection="1">
      <alignment vertical="center" wrapText="1"/>
    </xf>
    <xf numFmtId="0" fontId="45" fillId="0" borderId="20" xfId="240" applyFont="1" applyBorder="1" applyAlignment="1" applyProtection="1">
      <alignment horizontal="right" vertical="center" wrapText="1"/>
    </xf>
    <xf numFmtId="2" fontId="3" fillId="27" borderId="21" xfId="490" applyNumberFormat="1" applyFont="1" applyFill="1" applyBorder="1" applyAlignment="1" applyProtection="1">
      <alignment horizontal="center" vertical="center"/>
    </xf>
    <xf numFmtId="0" fontId="3" fillId="0" borderId="48" xfId="240" applyFont="1" applyFill="1" applyBorder="1" applyAlignment="1" applyProtection="1">
      <alignment horizontal="left" vertical="center" wrapText="1"/>
    </xf>
    <xf numFmtId="0" fontId="3" fillId="0" borderId="25" xfId="240" applyFont="1" applyFill="1" applyBorder="1" applyAlignment="1" applyProtection="1">
      <alignment horizontal="left" vertical="center" wrapText="1"/>
    </xf>
    <xf numFmtId="0" fontId="3" fillId="0" borderId="20" xfId="240" applyFont="1" applyFill="1" applyBorder="1" applyAlignment="1" applyProtection="1">
      <alignment horizontal="left" vertical="center" wrapText="1"/>
    </xf>
    <xf numFmtId="0" fontId="3" fillId="0" borderId="20" xfId="240" applyFont="1" applyBorder="1" applyAlignment="1" applyProtection="1">
      <alignment horizontal="right" vertical="center" wrapText="1"/>
    </xf>
    <xf numFmtId="2" fontId="3" fillId="0" borderId="0" xfId="240" applyNumberFormat="1" applyFont="1" applyFill="1" applyBorder="1" applyAlignment="1" applyProtection="1">
      <alignment horizontal="center" vertical="center" wrapText="1"/>
    </xf>
    <xf numFmtId="0" fontId="80" fillId="0" borderId="0" xfId="240" applyFont="1" applyAlignment="1" applyProtection="1">
      <alignment horizontal="left" vertical="center"/>
    </xf>
    <xf numFmtId="0" fontId="80" fillId="0" borderId="0" xfId="240" applyFont="1" applyAlignment="1" applyProtection="1">
      <alignment horizontal="center" vertical="center"/>
    </xf>
    <xf numFmtId="0" fontId="79" fillId="0" borderId="0" xfId="240" applyFont="1" applyBorder="1" applyAlignment="1" applyProtection="1">
      <alignment horizontal="center" vertical="center" wrapText="1"/>
    </xf>
    <xf numFmtId="0" fontId="81" fillId="0" borderId="0" xfId="240" applyFont="1" applyAlignment="1" applyProtection="1">
      <alignment horizontal="center" vertical="center"/>
    </xf>
    <xf numFmtId="0" fontId="79" fillId="0" borderId="0" xfId="240" applyFont="1" applyAlignment="1" applyProtection="1">
      <alignment horizontal="center" vertical="center"/>
    </xf>
    <xf numFmtId="0" fontId="7" fillId="0" borderId="20" xfId="240" applyFont="1" applyBorder="1" applyAlignment="1" applyProtection="1">
      <alignment horizontal="right" vertical="center" wrapText="1"/>
    </xf>
    <xf numFmtId="0" fontId="7" fillId="0" borderId="0" xfId="240" applyFont="1" applyBorder="1" applyAlignment="1" applyProtection="1">
      <alignment horizontal="center" vertical="center" wrapText="1"/>
    </xf>
    <xf numFmtId="179" fontId="7" fillId="27" borderId="21" xfId="240" applyNumberFormat="1" applyFont="1" applyFill="1" applyBorder="1" applyAlignment="1" applyProtection="1">
      <alignment horizontal="center" vertical="center" wrapText="1"/>
    </xf>
    <xf numFmtId="179" fontId="4" fillId="0" borderId="0" xfId="240" applyNumberFormat="1" applyFont="1" applyAlignment="1" applyProtection="1">
      <alignment horizontal="center" vertical="center"/>
    </xf>
    <xf numFmtId="2" fontId="7" fillId="0" borderId="0" xfId="240" applyNumberFormat="1" applyFont="1" applyFill="1" applyBorder="1" applyAlignment="1" applyProtection="1">
      <alignment horizontal="center" vertical="center" wrapText="1"/>
    </xf>
    <xf numFmtId="180" fontId="3" fillId="0" borderId="25" xfId="240" applyNumberFormat="1" applyFont="1" applyBorder="1" applyAlignment="1" applyProtection="1">
      <alignment horizontal="center" vertical="center" wrapText="1"/>
    </xf>
    <xf numFmtId="179" fontId="3" fillId="0" borderId="0" xfId="490" applyNumberFormat="1" applyFont="1" applyBorder="1" applyProtection="1">
      <alignment vertical="center"/>
    </xf>
    <xf numFmtId="180" fontId="3" fillId="0" borderId="0" xfId="240" applyNumberFormat="1" applyFont="1" applyBorder="1" applyAlignment="1" applyProtection="1">
      <alignment horizontal="center" vertical="center" wrapText="1"/>
    </xf>
    <xf numFmtId="2" fontId="7" fillId="0" borderId="21" xfId="359" applyNumberFormat="1" applyFont="1" applyBorder="1" applyAlignment="1" applyProtection="1">
      <alignment horizontal="center" vertical="center" wrapText="1"/>
    </xf>
    <xf numFmtId="2" fontId="45" fillId="0" borderId="25" xfId="240" applyNumberFormat="1" applyFont="1" applyBorder="1" applyAlignment="1" applyProtection="1">
      <alignment horizontal="center" vertical="center" wrapText="1"/>
    </xf>
    <xf numFmtId="0" fontId="39" fillId="28" borderId="0" xfId="0" applyFont="1" applyFill="1" applyAlignment="1" applyProtection="1">
      <alignment horizontal="center" vertical="center"/>
    </xf>
    <xf numFmtId="0" fontId="45" fillId="0" borderId="0" xfId="240" applyFont="1" applyBorder="1" applyAlignment="1" applyProtection="1">
      <alignment horizontal="center" vertical="center" wrapText="1"/>
    </xf>
    <xf numFmtId="0" fontId="4" fillId="0" borderId="20" xfId="240" applyFont="1" applyBorder="1" applyAlignment="1" applyProtection="1">
      <alignment horizontal="center" vertical="center"/>
    </xf>
    <xf numFmtId="0" fontId="3" fillId="27" borderId="0" xfId="240" applyNumberFormat="1" applyFont="1" applyFill="1" applyBorder="1" applyAlignment="1" applyProtection="1">
      <alignment horizontal="center" vertical="center" wrapText="1"/>
    </xf>
    <xf numFmtId="0" fontId="3" fillId="27" borderId="20" xfId="240" applyFont="1" applyFill="1" applyBorder="1" applyAlignment="1" applyProtection="1">
      <alignment horizontal="left" wrapText="1"/>
    </xf>
    <xf numFmtId="0" fontId="3" fillId="27" borderId="0" xfId="240" applyFont="1" applyFill="1" applyBorder="1" applyAlignment="1" applyProtection="1">
      <alignment horizontal="left" wrapText="1"/>
    </xf>
    <xf numFmtId="2" fontId="3" fillId="27" borderId="0" xfId="240" applyNumberFormat="1" applyFont="1" applyFill="1" applyBorder="1" applyAlignment="1" applyProtection="1">
      <alignment horizontal="left" wrapText="1"/>
    </xf>
    <xf numFmtId="0" fontId="3" fillId="27" borderId="0" xfId="240" applyNumberFormat="1" applyFont="1" applyFill="1" applyBorder="1" applyAlignment="1" applyProtection="1">
      <alignment horizontal="right" vertical="center" wrapText="1"/>
    </xf>
    <xf numFmtId="0" fontId="3" fillId="0" borderId="49" xfId="240" applyFont="1" applyBorder="1" applyAlignment="1" applyProtection="1">
      <alignment horizontal="left" vertical="center" wrapText="1"/>
    </xf>
    <xf numFmtId="0" fontId="3" fillId="0" borderId="50" xfId="240" applyFont="1" applyBorder="1" applyAlignment="1" applyProtection="1">
      <alignment horizontal="left" vertical="center" wrapText="1"/>
    </xf>
    <xf numFmtId="0" fontId="45" fillId="0" borderId="0" xfId="240" applyFont="1" applyBorder="1" applyAlignment="1" applyProtection="1">
      <alignment vertical="center" wrapText="1"/>
    </xf>
    <xf numFmtId="0" fontId="45" fillId="0" borderId="0" xfId="240" applyFont="1" applyBorder="1" applyAlignment="1" applyProtection="1">
      <alignment horizontal="right" vertical="center" wrapText="1"/>
    </xf>
    <xf numFmtId="2" fontId="46" fillId="0" borderId="0" xfId="240" applyNumberFormat="1" applyFont="1" applyBorder="1" applyAlignment="1" applyProtection="1">
      <alignment horizontal="center" vertical="center" wrapText="1"/>
    </xf>
    <xf numFmtId="2" fontId="46" fillId="0" borderId="21" xfId="240" applyNumberFormat="1" applyFont="1" applyBorder="1" applyAlignment="1" applyProtection="1">
      <alignment horizontal="center" vertical="center" wrapText="1"/>
    </xf>
    <xf numFmtId="1" fontId="3" fillId="0" borderId="44" xfId="359" applyNumberFormat="1" applyFont="1" applyBorder="1" applyAlignment="1" applyProtection="1">
      <alignment horizontal="center" vertical="center" wrapText="1"/>
    </xf>
    <xf numFmtId="0" fontId="39" fillId="0" borderId="0" xfId="240" applyFont="1" applyBorder="1" applyAlignment="1" applyProtection="1">
      <alignment vertical="center" wrapText="1"/>
    </xf>
    <xf numFmtId="2" fontId="45" fillId="0" borderId="25" xfId="240" applyNumberFormat="1" applyFont="1" applyBorder="1" applyAlignment="1" applyProtection="1">
      <alignment horizontal="right" vertical="center" wrapText="1"/>
    </xf>
    <xf numFmtId="2" fontId="3" fillId="0" borderId="25" xfId="240" applyNumberFormat="1" applyFont="1" applyBorder="1" applyAlignment="1" applyProtection="1">
      <alignment vertical="center" wrapText="1"/>
    </xf>
    <xf numFmtId="2" fontId="3" fillId="0" borderId="20" xfId="240" applyNumberFormat="1" applyFont="1" applyBorder="1" applyAlignment="1" applyProtection="1">
      <alignment horizontal="right" vertical="center" wrapText="1"/>
    </xf>
    <xf numFmtId="0" fontId="8" fillId="0" borderId="0" xfId="240" applyFont="1" applyAlignment="1" applyProtection="1">
      <alignment horizontal="left" vertical="center"/>
    </xf>
    <xf numFmtId="0" fontId="8" fillId="0" borderId="0" xfId="240" applyFont="1" applyAlignment="1" applyProtection="1">
      <alignment horizontal="center" vertical="center"/>
    </xf>
    <xf numFmtId="9" fontId="7" fillId="27" borderId="21" xfId="372" applyFont="1" applyFill="1" applyBorder="1" applyAlignment="1" applyProtection="1">
      <alignment horizontal="center" vertical="center" wrapText="1"/>
    </xf>
    <xf numFmtId="2" fontId="3" fillId="27" borderId="21" xfId="372" applyNumberFormat="1" applyFont="1" applyFill="1" applyBorder="1" applyAlignment="1" applyProtection="1">
      <alignment horizontal="center" vertical="center" wrapText="1"/>
    </xf>
    <xf numFmtId="0" fontId="3" fillId="27" borderId="21" xfId="240" applyFont="1" applyFill="1" applyBorder="1" applyAlignment="1" applyProtection="1">
      <alignment horizontal="right" vertical="center" wrapText="1"/>
    </xf>
    <xf numFmtId="2" fontId="7" fillId="27" borderId="21" xfId="372" applyNumberFormat="1" applyFont="1" applyFill="1" applyBorder="1" applyAlignment="1" applyProtection="1">
      <alignment horizontal="center" vertical="center" wrapText="1"/>
    </xf>
    <xf numFmtId="0" fontId="8" fillId="27" borderId="0" xfId="0" applyFont="1" applyFill="1" applyAlignment="1" applyProtection="1">
      <alignment horizontal="center" vertical="center"/>
    </xf>
    <xf numFmtId="0" fontId="3" fillId="27" borderId="49" xfId="240" applyFont="1" applyFill="1" applyBorder="1" applyAlignment="1" applyProtection="1">
      <alignment vertical="center" wrapText="1"/>
    </xf>
    <xf numFmtId="0" fontId="3" fillId="27" borderId="50" xfId="240" applyFont="1" applyFill="1" applyBorder="1" applyAlignment="1" applyProtection="1">
      <alignment vertical="center" wrapText="1"/>
    </xf>
    <xf numFmtId="0" fontId="7" fillId="27" borderId="50" xfId="240" applyFont="1" applyFill="1" applyBorder="1" applyAlignment="1" applyProtection="1">
      <alignment horizontal="right" vertical="center" wrapText="1"/>
    </xf>
    <xf numFmtId="0" fontId="3" fillId="27" borderId="50" xfId="240" applyFont="1" applyFill="1" applyBorder="1" applyAlignment="1" applyProtection="1">
      <alignment horizontal="center" vertical="center" wrapText="1"/>
    </xf>
    <xf numFmtId="2" fontId="3" fillId="27" borderId="73" xfId="372" applyNumberFormat="1" applyFont="1" applyFill="1" applyBorder="1" applyAlignment="1" applyProtection="1">
      <alignment horizontal="center" vertical="center" wrapText="1"/>
    </xf>
    <xf numFmtId="1" fontId="3" fillId="27" borderId="0" xfId="490" applyNumberFormat="1" applyFont="1" applyFill="1" applyBorder="1" applyAlignment="1" applyProtection="1">
      <alignment horizontal="center" vertical="center"/>
    </xf>
    <xf numFmtId="0" fontId="3" fillId="36" borderId="0" xfId="240" applyFont="1" applyFill="1" applyBorder="1" applyAlignment="1" applyProtection="1">
      <alignment horizontal="right" vertical="center" wrapText="1"/>
    </xf>
    <xf numFmtId="0" fontId="3" fillId="36" borderId="0" xfId="240" applyFont="1" applyFill="1" applyBorder="1" applyAlignment="1" applyProtection="1">
      <alignment horizontal="center" vertical="center" wrapText="1"/>
    </xf>
    <xf numFmtId="1" fontId="3" fillId="36" borderId="0" xfId="490" applyNumberFormat="1" applyFont="1" applyFill="1" applyBorder="1" applyAlignment="1" applyProtection="1">
      <alignment horizontal="center" vertical="center"/>
    </xf>
    <xf numFmtId="2" fontId="3" fillId="36" borderId="21" xfId="372" applyNumberFormat="1" applyFont="1" applyFill="1" applyBorder="1" applyAlignment="1" applyProtection="1">
      <alignment horizontal="center" vertical="center" wrapText="1"/>
    </xf>
    <xf numFmtId="0" fontId="44" fillId="27" borderId="0" xfId="240" applyFont="1" applyFill="1" applyAlignment="1" applyProtection="1">
      <alignment horizontal="left" vertical="center"/>
    </xf>
    <xf numFmtId="0" fontId="44" fillId="27" borderId="0" xfId="240" applyFont="1" applyFill="1" applyAlignment="1" applyProtection="1">
      <alignment horizontal="center" vertical="center"/>
    </xf>
    <xf numFmtId="0" fontId="44" fillId="27" borderId="0" xfId="0" applyFont="1" applyFill="1" applyAlignment="1" applyProtection="1">
      <alignment horizontal="center" vertical="center"/>
    </xf>
    <xf numFmtId="0" fontId="7" fillId="27" borderId="48" xfId="240" applyFont="1" applyFill="1" applyBorder="1" applyAlignment="1" applyProtection="1">
      <alignment vertical="center" wrapText="1"/>
    </xf>
    <xf numFmtId="0" fontId="7" fillId="27" borderId="25" xfId="240" applyFont="1" applyFill="1" applyBorder="1" applyAlignment="1" applyProtection="1">
      <alignment vertical="center" wrapText="1"/>
    </xf>
    <xf numFmtId="0" fontId="44" fillId="27" borderId="0" xfId="240" applyFont="1" applyFill="1" applyAlignment="1" applyProtection="1">
      <alignment horizontal="left"/>
    </xf>
    <xf numFmtId="0" fontId="51" fillId="27" borderId="0" xfId="240" applyFont="1" applyFill="1" applyAlignment="1" applyProtection="1">
      <alignment horizontal="center"/>
    </xf>
    <xf numFmtId="0" fontId="7" fillId="27" borderId="51" xfId="240" applyFont="1" applyFill="1" applyBorder="1" applyAlignment="1" applyProtection="1">
      <alignment horizontal="left" vertical="center" wrapText="1"/>
    </xf>
    <xf numFmtId="0" fontId="7" fillId="27" borderId="43" xfId="240" applyFont="1" applyFill="1" applyBorder="1" applyAlignment="1" applyProtection="1">
      <alignment horizontal="left" vertical="center" wrapText="1"/>
    </xf>
    <xf numFmtId="2" fontId="7" fillId="27" borderId="44" xfId="372" applyNumberFormat="1" applyFont="1" applyFill="1" applyBorder="1" applyAlignment="1" applyProtection="1">
      <alignment horizontal="center" vertical="center" wrapText="1"/>
    </xf>
    <xf numFmtId="0" fontId="7" fillId="27" borderId="48" xfId="240" applyFont="1" applyFill="1" applyBorder="1" applyAlignment="1" applyProtection="1">
      <alignment horizontal="left" vertical="center" wrapText="1"/>
    </xf>
    <xf numFmtId="0" fontId="7" fillId="27" borderId="25" xfId="240" applyFont="1" applyFill="1" applyBorder="1" applyAlignment="1" applyProtection="1">
      <alignment horizontal="left" vertical="center" wrapText="1"/>
    </xf>
    <xf numFmtId="9" fontId="7" fillId="27" borderId="25" xfId="372" applyFont="1" applyFill="1" applyBorder="1" applyAlignment="1" applyProtection="1">
      <alignment horizontal="center" vertical="center" wrapText="1"/>
    </xf>
    <xf numFmtId="9" fontId="3" fillId="27" borderId="43" xfId="372" applyFont="1" applyFill="1" applyBorder="1" applyAlignment="1" applyProtection="1">
      <alignment horizontal="center" vertical="center" wrapText="1"/>
    </xf>
    <xf numFmtId="2" fontId="3" fillId="27" borderId="44" xfId="372" applyNumberFormat="1" applyFont="1" applyFill="1" applyBorder="1" applyAlignment="1" applyProtection="1">
      <alignment horizontal="center" vertical="center" wrapText="1"/>
    </xf>
    <xf numFmtId="9" fontId="3" fillId="27" borderId="25" xfId="372" applyFont="1" applyFill="1" applyBorder="1" applyAlignment="1" applyProtection="1">
      <alignment horizontal="center" vertical="center" wrapText="1"/>
    </xf>
    <xf numFmtId="2" fontId="3" fillId="27" borderId="26" xfId="372" applyNumberFormat="1" applyFont="1" applyFill="1" applyBorder="1" applyAlignment="1" applyProtection="1">
      <alignment horizontal="center" vertical="center" wrapText="1"/>
    </xf>
    <xf numFmtId="179" fontId="3" fillId="27" borderId="44" xfId="372" applyNumberFormat="1" applyFont="1" applyFill="1" applyBorder="1" applyAlignment="1" applyProtection="1">
      <alignment horizontal="center" vertical="center" wrapText="1"/>
    </xf>
    <xf numFmtId="9" fontId="3" fillId="27" borderId="0" xfId="372" applyFont="1" applyFill="1" applyBorder="1" applyAlignment="1" applyProtection="1">
      <alignment horizontal="center" vertical="center" wrapText="1"/>
    </xf>
    <xf numFmtId="1" fontId="3" fillId="27" borderId="0" xfId="240" applyNumberFormat="1" applyFont="1" applyFill="1" applyBorder="1" applyAlignment="1" applyProtection="1">
      <alignment horizontal="right" vertical="center" wrapText="1"/>
    </xf>
    <xf numFmtId="1" fontId="3" fillId="27" borderId="21" xfId="372" applyNumberFormat="1" applyFont="1" applyFill="1" applyBorder="1" applyAlignment="1" applyProtection="1">
      <alignment horizontal="center" vertical="center" wrapText="1"/>
    </xf>
    <xf numFmtId="0" fontId="8" fillId="27" borderId="0" xfId="240" applyFont="1" applyFill="1" applyBorder="1" applyAlignment="1" applyProtection="1">
      <alignment horizontal="left" vertical="center" wrapText="1"/>
    </xf>
    <xf numFmtId="2" fontId="3" fillId="27" borderId="20" xfId="240" applyNumberFormat="1" applyFont="1" applyFill="1" applyBorder="1" applyAlignment="1" applyProtection="1">
      <alignment horizontal="right" vertical="center" wrapText="1"/>
    </xf>
    <xf numFmtId="2" fontId="3" fillId="27" borderId="25" xfId="240" applyNumberFormat="1" applyFont="1" applyFill="1" applyBorder="1" applyAlignment="1" applyProtection="1">
      <alignment horizontal="right" vertical="center" wrapText="1"/>
    </xf>
    <xf numFmtId="9" fontId="7" fillId="27" borderId="0" xfId="372" applyFont="1" applyFill="1" applyBorder="1" applyAlignment="1" applyProtection="1">
      <alignment horizontal="center" vertical="center" wrapText="1"/>
    </xf>
    <xf numFmtId="179" fontId="7" fillId="27" borderId="21" xfId="372" applyNumberFormat="1" applyFont="1" applyFill="1" applyBorder="1" applyAlignment="1" applyProtection="1">
      <alignment horizontal="center" vertical="center" wrapText="1"/>
    </xf>
    <xf numFmtId="3" fontId="9" fillId="0" borderId="0" xfId="490" applyNumberFormat="1" applyFont="1" applyProtection="1">
      <alignment vertical="center"/>
    </xf>
    <xf numFmtId="0" fontId="9" fillId="0" borderId="0" xfId="0" applyFont="1" applyAlignment="1" applyProtection="1">
      <alignment vertical="center"/>
    </xf>
    <xf numFmtId="0" fontId="9" fillId="27" borderId="70" xfId="240" applyFont="1" applyFill="1" applyBorder="1" applyAlignment="1" applyProtection="1">
      <alignment vertical="center"/>
    </xf>
    <xf numFmtId="0" fontId="7" fillId="27" borderId="74" xfId="240" applyFont="1" applyFill="1" applyBorder="1" applyAlignment="1" applyProtection="1">
      <alignment horizontal="right" vertical="center" wrapText="1"/>
    </xf>
    <xf numFmtId="0" fontId="9" fillId="27" borderId="74" xfId="240" applyFont="1" applyFill="1" applyBorder="1" applyAlignment="1" applyProtection="1">
      <alignment vertical="center"/>
    </xf>
    <xf numFmtId="0" fontId="9" fillId="37" borderId="74" xfId="240" applyFont="1" applyFill="1" applyBorder="1" applyAlignment="1" applyProtection="1">
      <alignment vertical="center"/>
    </xf>
    <xf numFmtId="0" fontId="9" fillId="27" borderId="75" xfId="240" applyFont="1" applyFill="1" applyBorder="1" applyAlignment="1" applyProtection="1">
      <alignment horizontal="left" vertical="center"/>
    </xf>
    <xf numFmtId="0" fontId="9" fillId="0" borderId="0" xfId="0" applyFont="1" applyBorder="1" applyAlignment="1" applyProtection="1">
      <alignment vertical="center"/>
    </xf>
    <xf numFmtId="0" fontId="9" fillId="27" borderId="20" xfId="240" applyFont="1" applyFill="1" applyBorder="1" applyAlignment="1" applyProtection="1">
      <alignment vertical="center"/>
    </xf>
    <xf numFmtId="0" fontId="7" fillId="27" borderId="0" xfId="240" applyFont="1" applyFill="1" applyBorder="1" applyAlignment="1" applyProtection="1">
      <alignment horizontal="right" vertical="center" wrapText="1"/>
    </xf>
    <xf numFmtId="0" fontId="9" fillId="27" borderId="0" xfId="240" applyFont="1" applyFill="1" applyBorder="1" applyAlignment="1" applyProtection="1">
      <alignment vertical="center"/>
    </xf>
    <xf numFmtId="0" fontId="9" fillId="27" borderId="21" xfId="240" applyFont="1" applyFill="1" applyBorder="1" applyAlignment="1" applyProtection="1">
      <alignment horizontal="left" vertical="center"/>
    </xf>
    <xf numFmtId="0" fontId="9" fillId="27" borderId="54" xfId="240" applyFont="1" applyFill="1" applyBorder="1" applyAlignment="1" applyProtection="1">
      <alignment vertical="center"/>
    </xf>
    <xf numFmtId="0" fontId="9" fillId="27" borderId="55" xfId="240" applyFont="1" applyFill="1" applyBorder="1" applyAlignment="1" applyProtection="1">
      <alignment vertical="center"/>
    </xf>
    <xf numFmtId="0" fontId="9" fillId="27" borderId="56" xfId="240" applyFont="1" applyFill="1" applyBorder="1" applyAlignment="1" applyProtection="1">
      <alignment horizontal="left" vertical="center"/>
    </xf>
    <xf numFmtId="0" fontId="10" fillId="32" borderId="69" xfId="240" applyFont="1" applyFill="1" applyBorder="1" applyAlignment="1" applyProtection="1">
      <alignment vertical="center"/>
    </xf>
    <xf numFmtId="187" fontId="48" fillId="32" borderId="69" xfId="490" applyNumberFormat="1" applyFont="1" applyFill="1" applyBorder="1" applyAlignment="1" applyProtection="1">
      <alignment horizontal="center" vertical="center" wrapText="1"/>
    </xf>
    <xf numFmtId="187" fontId="48" fillId="32" borderId="69" xfId="490" applyNumberFormat="1" applyFont="1" applyFill="1" applyBorder="1" applyAlignment="1" applyProtection="1">
      <alignment horizontal="center" vertical="center"/>
    </xf>
    <xf numFmtId="0" fontId="10" fillId="32" borderId="69" xfId="240" applyFont="1" applyFill="1" applyBorder="1" applyAlignment="1" applyProtection="1">
      <alignment horizontal="left" vertical="center"/>
    </xf>
    <xf numFmtId="3" fontId="9" fillId="27" borderId="0" xfId="490" applyNumberFormat="1" applyFont="1" applyFill="1" applyProtection="1">
      <alignment vertical="center"/>
    </xf>
    <xf numFmtId="0" fontId="9" fillId="27" borderId="0" xfId="0" applyFont="1" applyFill="1" applyAlignment="1" applyProtection="1">
      <alignment vertical="center"/>
    </xf>
    <xf numFmtId="0" fontId="47" fillId="27" borderId="0" xfId="0" applyFont="1" applyFill="1" applyAlignment="1" applyProtection="1">
      <alignment horizontal="center" vertical="center"/>
    </xf>
    <xf numFmtId="0" fontId="10" fillId="35" borderId="69" xfId="0" applyFont="1" applyFill="1" applyBorder="1" applyAlignment="1" applyProtection="1">
      <alignment vertical="center"/>
    </xf>
    <xf numFmtId="0" fontId="10" fillId="35" borderId="69" xfId="0" applyFont="1" applyFill="1" applyBorder="1" applyAlignment="1" applyProtection="1">
      <alignment horizontal="left" vertical="center"/>
    </xf>
    <xf numFmtId="0" fontId="9" fillId="27" borderId="0" xfId="0" applyFont="1" applyFill="1" applyBorder="1" applyAlignment="1" applyProtection="1">
      <alignment vertical="center"/>
    </xf>
    <xf numFmtId="4" fontId="47" fillId="27" borderId="0" xfId="0" applyNumberFormat="1" applyFont="1" applyFill="1" applyAlignment="1" applyProtection="1">
      <alignment horizontal="center" vertical="center"/>
    </xf>
    <xf numFmtId="4" fontId="10" fillId="27" borderId="69" xfId="490" applyNumberFormat="1" applyFont="1" applyFill="1" applyBorder="1" applyAlignment="1" applyProtection="1">
      <alignment horizontal="center" vertical="center"/>
    </xf>
    <xf numFmtId="0" fontId="9" fillId="27" borderId="69" xfId="0" applyFont="1" applyFill="1" applyBorder="1" applyAlignment="1" applyProtection="1">
      <alignment horizontal="left" vertical="center"/>
    </xf>
    <xf numFmtId="0" fontId="9" fillId="27" borderId="69" xfId="0" applyFont="1" applyFill="1" applyBorder="1" applyAlignment="1" applyProtection="1">
      <alignment horizontal="center" vertical="center"/>
    </xf>
    <xf numFmtId="2" fontId="9" fillId="27" borderId="69" xfId="0" applyNumberFormat="1" applyFont="1" applyFill="1" applyBorder="1" applyAlignment="1" applyProtection="1">
      <alignment vertical="center"/>
    </xf>
    <xf numFmtId="2" fontId="9" fillId="27" borderId="69" xfId="0" applyNumberFormat="1" applyFont="1" applyFill="1" applyBorder="1" applyAlignment="1" applyProtection="1">
      <alignment horizontal="center" vertical="center"/>
    </xf>
    <xf numFmtId="3" fontId="9" fillId="27" borderId="69" xfId="490" applyNumberFormat="1" applyFont="1" applyFill="1" applyBorder="1" applyAlignment="1" applyProtection="1">
      <alignment horizontal="center" vertical="center"/>
    </xf>
    <xf numFmtId="0" fontId="9" fillId="27" borderId="69" xfId="0" applyFont="1" applyFill="1" applyBorder="1" applyAlignment="1" applyProtection="1">
      <alignment horizontal="left" vertical="center" wrapText="1"/>
    </xf>
    <xf numFmtId="4" fontId="9" fillId="27" borderId="69" xfId="0" applyNumberFormat="1" applyFont="1" applyFill="1" applyBorder="1" applyAlignment="1" applyProtection="1">
      <alignment horizontal="left" vertical="center"/>
    </xf>
    <xf numFmtId="9" fontId="9" fillId="27" borderId="69" xfId="372" applyFont="1" applyFill="1" applyBorder="1" applyAlignment="1" applyProtection="1">
      <alignment vertical="center"/>
    </xf>
    <xf numFmtId="2" fontId="47" fillId="27" borderId="0" xfId="490" applyNumberFormat="1" applyFont="1" applyFill="1" applyProtection="1">
      <alignment vertical="center"/>
    </xf>
    <xf numFmtId="0" fontId="9" fillId="27" borderId="69" xfId="0" applyFont="1" applyFill="1" applyBorder="1" applyAlignment="1" applyProtection="1">
      <alignment vertical="center"/>
    </xf>
    <xf numFmtId="179" fontId="9" fillId="27" borderId="69" xfId="0" applyNumberFormat="1" applyFont="1" applyFill="1" applyBorder="1" applyAlignment="1" applyProtection="1">
      <alignment vertical="center"/>
    </xf>
    <xf numFmtId="0" fontId="10" fillId="27" borderId="69" xfId="240" applyFont="1" applyFill="1" applyBorder="1" applyAlignment="1" applyProtection="1">
      <alignment horizontal="center" vertical="center" wrapText="1"/>
    </xf>
    <xf numFmtId="0" fontId="9" fillId="0" borderId="69" xfId="0" applyFont="1" applyBorder="1" applyAlignment="1" applyProtection="1">
      <alignment horizontal="left" vertical="center"/>
    </xf>
    <xf numFmtId="0" fontId="4" fillId="0" borderId="69" xfId="0" applyFont="1" applyBorder="1" applyAlignment="1" applyProtection="1">
      <alignment horizontal="center" vertical="center"/>
    </xf>
    <xf numFmtId="0" fontId="9" fillId="37" borderId="69" xfId="490" applyFont="1" applyFill="1" applyBorder="1" applyProtection="1">
      <alignment vertical="center"/>
    </xf>
    <xf numFmtId="3" fontId="9" fillId="0" borderId="69" xfId="490" applyNumberFormat="1" applyFont="1" applyBorder="1" applyProtection="1">
      <alignment vertical="center"/>
    </xf>
    <xf numFmtId="3" fontId="9" fillId="0" borderId="0" xfId="0" applyNumberFormat="1" applyFont="1" applyAlignment="1" applyProtection="1">
      <alignment vertical="center"/>
    </xf>
    <xf numFmtId="4" fontId="10" fillId="0" borderId="69" xfId="490" applyNumberFormat="1" applyFont="1" applyFill="1" applyBorder="1" applyAlignment="1" applyProtection="1">
      <alignment horizontal="center" vertical="center"/>
    </xf>
    <xf numFmtId="0" fontId="9" fillId="0" borderId="69" xfId="0" applyFont="1" applyBorder="1" applyAlignment="1" applyProtection="1">
      <alignment horizontal="left" vertical="center" wrapText="1"/>
    </xf>
    <xf numFmtId="3" fontId="9" fillId="0" borderId="69" xfId="490" applyNumberFormat="1" applyFont="1" applyBorder="1" applyAlignment="1" applyProtection="1">
      <alignment vertical="center"/>
    </xf>
    <xf numFmtId="4" fontId="9" fillId="0" borderId="69" xfId="490" applyNumberFormat="1" applyFont="1" applyBorder="1" applyAlignment="1" applyProtection="1">
      <alignment vertical="center"/>
    </xf>
    <xf numFmtId="188" fontId="9" fillId="27" borderId="69" xfId="0" applyNumberFormat="1" applyFont="1" applyFill="1" applyBorder="1" applyAlignment="1" applyProtection="1">
      <alignment vertical="center"/>
    </xf>
    <xf numFmtId="3" fontId="9" fillId="0" borderId="69" xfId="0" applyNumberFormat="1" applyFont="1" applyBorder="1" applyAlignment="1" applyProtection="1">
      <alignment vertical="center"/>
    </xf>
    <xf numFmtId="2" fontId="10" fillId="35" borderId="69" xfId="0" applyNumberFormat="1" applyFont="1" applyFill="1" applyBorder="1" applyAlignment="1" applyProtection="1">
      <alignment vertical="center"/>
    </xf>
    <xf numFmtId="0" fontId="9" fillId="0" borderId="69" xfId="0" applyFont="1" applyBorder="1" applyAlignment="1" applyProtection="1">
      <alignment horizontal="center" vertical="center"/>
    </xf>
    <xf numFmtId="2" fontId="9" fillId="37" borderId="69" xfId="490" applyNumberFormat="1" applyFont="1" applyFill="1" applyBorder="1" applyProtection="1">
      <alignment vertical="center"/>
    </xf>
    <xf numFmtId="2" fontId="9" fillId="0" borderId="69" xfId="490" applyNumberFormat="1" applyFont="1" applyBorder="1" applyProtection="1">
      <alignment vertical="center"/>
    </xf>
    <xf numFmtId="4" fontId="9" fillId="27" borderId="0" xfId="0" applyNumberFormat="1" applyFont="1" applyFill="1" applyBorder="1" applyAlignment="1" applyProtection="1">
      <alignment vertical="center"/>
    </xf>
    <xf numFmtId="2" fontId="9" fillId="0" borderId="69" xfId="490" applyNumberFormat="1" applyFont="1" applyFill="1" applyBorder="1" applyProtection="1">
      <alignment vertical="center"/>
    </xf>
    <xf numFmtId="0" fontId="4" fillId="28" borderId="0" xfId="0" applyNumberFormat="1" applyFont="1" applyFill="1" applyAlignment="1" applyProtection="1">
      <alignment horizontal="center" vertical="center"/>
    </xf>
    <xf numFmtId="4" fontId="9" fillId="27" borderId="69" xfId="490" applyNumberFormat="1" applyFont="1" applyFill="1" applyBorder="1" applyProtection="1">
      <alignment vertical="center"/>
    </xf>
    <xf numFmtId="4" fontId="9" fillId="0" borderId="69" xfId="490" applyNumberFormat="1" applyFont="1" applyBorder="1" applyProtection="1">
      <alignment vertical="center"/>
    </xf>
    <xf numFmtId="0" fontId="9" fillId="0" borderId="69" xfId="0" applyFont="1" applyFill="1" applyBorder="1" applyAlignment="1" applyProtection="1">
      <alignment horizontal="left" vertical="center"/>
    </xf>
    <xf numFmtId="4" fontId="9" fillId="37" borderId="69" xfId="490" applyNumberFormat="1" applyFont="1" applyFill="1" applyBorder="1" applyProtection="1">
      <alignment vertical="center"/>
    </xf>
    <xf numFmtId="4" fontId="9" fillId="0" borderId="69" xfId="490" applyNumberFormat="1" applyFont="1" applyFill="1" applyBorder="1" applyProtection="1">
      <alignment vertical="center"/>
    </xf>
    <xf numFmtId="0" fontId="4" fillId="27" borderId="0" xfId="0" applyFont="1" applyFill="1" applyAlignment="1" applyProtection="1">
      <alignment horizontal="center" vertical="center"/>
    </xf>
    <xf numFmtId="0" fontId="9" fillId="0" borderId="69" xfId="0" applyFont="1" applyFill="1" applyBorder="1" applyAlignment="1" applyProtection="1">
      <alignment horizontal="left" vertical="center" wrapText="1"/>
    </xf>
    <xf numFmtId="0" fontId="4" fillId="28" borderId="0" xfId="0" applyFont="1" applyFill="1" applyAlignment="1" applyProtection="1">
      <alignment horizontal="center" vertical="center"/>
    </xf>
    <xf numFmtId="0" fontId="67" fillId="28" borderId="0" xfId="0" applyNumberFormat="1" applyFont="1" applyFill="1" applyAlignment="1" applyProtection="1">
      <alignment horizontal="center" vertical="center"/>
    </xf>
    <xf numFmtId="0" fontId="9" fillId="0" borderId="0" xfId="0" applyFont="1" applyBorder="1" applyProtection="1"/>
    <xf numFmtId="0" fontId="9" fillId="27" borderId="69" xfId="0" applyFont="1" applyFill="1" applyBorder="1" applyAlignment="1" applyProtection="1">
      <alignment horizontal="justify" vertical="center" wrapText="1"/>
    </xf>
    <xf numFmtId="0" fontId="10" fillId="35" borderId="69" xfId="219" applyFont="1" applyFill="1" applyBorder="1" applyAlignment="1" applyProtection="1">
      <alignment vertical="center"/>
    </xf>
    <xf numFmtId="0" fontId="10" fillId="35" borderId="69" xfId="219" applyFont="1" applyFill="1" applyBorder="1" applyAlignment="1" applyProtection="1">
      <alignment horizontal="left" vertical="center"/>
    </xf>
    <xf numFmtId="4" fontId="10" fillId="35" borderId="69" xfId="490" applyNumberFormat="1" applyFont="1" applyFill="1" applyBorder="1" applyProtection="1">
      <alignment vertical="center"/>
    </xf>
    <xf numFmtId="4" fontId="10" fillId="35" borderId="69" xfId="490" applyNumberFormat="1" applyFont="1" applyFill="1" applyBorder="1" applyAlignment="1" applyProtection="1">
      <alignment vertical="center"/>
    </xf>
    <xf numFmtId="4" fontId="9" fillId="35" borderId="69" xfId="490" applyNumberFormat="1" applyFont="1" applyFill="1" applyBorder="1" applyAlignment="1" applyProtection="1">
      <alignment vertical="center"/>
    </xf>
    <xf numFmtId="4" fontId="9" fillId="35" borderId="69" xfId="490" applyNumberFormat="1" applyFont="1" applyFill="1" applyBorder="1" applyAlignment="1" applyProtection="1">
      <alignment horizontal="left" vertical="center"/>
    </xf>
    <xf numFmtId="3" fontId="9" fillId="37" borderId="69" xfId="490" applyNumberFormat="1" applyFont="1" applyFill="1" applyBorder="1" applyProtection="1">
      <alignment vertical="center"/>
    </xf>
    <xf numFmtId="0" fontId="3" fillId="27" borderId="74" xfId="240" applyFont="1" applyFill="1" applyBorder="1" applyAlignment="1" applyProtection="1">
      <alignment horizontal="center" vertical="center" wrapText="1"/>
    </xf>
    <xf numFmtId="0" fontId="4" fillId="27" borderId="74" xfId="240" applyFont="1" applyFill="1" applyBorder="1" applyAlignment="1" applyProtection="1">
      <alignment horizontal="center" vertical="center"/>
    </xf>
    <xf numFmtId="0" fontId="5" fillId="27" borderId="75" xfId="240" applyFont="1" applyFill="1" applyBorder="1" applyAlignment="1" applyProtection="1">
      <alignment horizontal="center" vertical="center"/>
    </xf>
    <xf numFmtId="0" fontId="5" fillId="27" borderId="21" xfId="240" applyFont="1" applyFill="1" applyBorder="1" applyAlignment="1" applyProtection="1">
      <alignment horizontal="center" vertical="center"/>
    </xf>
    <xf numFmtId="0" fontId="6" fillId="27" borderId="21" xfId="240" applyFont="1" applyFill="1" applyBorder="1" applyAlignment="1" applyProtection="1">
      <alignment horizontal="center" vertical="center"/>
    </xf>
    <xf numFmtId="43" fontId="6" fillId="27" borderId="21" xfId="240" applyNumberFormat="1" applyFont="1" applyFill="1" applyBorder="1" applyAlignment="1" applyProtection="1">
      <alignment horizontal="center" vertical="center"/>
    </xf>
    <xf numFmtId="0" fontId="3" fillId="27" borderId="21" xfId="240" applyFont="1" applyFill="1" applyBorder="1" applyAlignment="1" applyProtection="1">
      <alignment horizontal="center" vertical="center"/>
    </xf>
    <xf numFmtId="0" fontId="10" fillId="27" borderId="21" xfId="240" applyFont="1" applyFill="1" applyBorder="1" applyAlignment="1" applyProtection="1">
      <alignment horizontal="center" vertical="center"/>
    </xf>
    <xf numFmtId="1" fontId="7" fillId="0" borderId="21" xfId="240" applyNumberFormat="1" applyFont="1" applyFill="1" applyBorder="1" applyAlignment="1" applyProtection="1">
      <alignment horizontal="center" vertical="center" wrapText="1"/>
    </xf>
    <xf numFmtId="0" fontId="7" fillId="0" borderId="0" xfId="240" applyFont="1" applyBorder="1" applyAlignment="1" applyProtection="1">
      <alignment horizontal="center" vertical="center"/>
    </xf>
    <xf numFmtId="0" fontId="3" fillId="0" borderId="21" xfId="240" applyFont="1" applyBorder="1" applyAlignment="1" applyProtection="1">
      <alignment horizontal="center" vertical="center"/>
    </xf>
    <xf numFmtId="1" fontId="7" fillId="27" borderId="21" xfId="240" applyNumberFormat="1" applyFont="1" applyFill="1" applyBorder="1" applyAlignment="1" applyProtection="1">
      <alignment horizontal="center" vertical="center" wrapText="1"/>
    </xf>
    <xf numFmtId="1" fontId="3" fillId="27" borderId="26" xfId="372" applyNumberFormat="1" applyFont="1" applyFill="1" applyBorder="1" applyAlignment="1" applyProtection="1">
      <alignment horizontal="center" vertical="center" wrapText="1"/>
    </xf>
    <xf numFmtId="0" fontId="67" fillId="27" borderId="0" xfId="0" applyFont="1" applyFill="1" applyBorder="1" applyProtection="1"/>
    <xf numFmtId="0" fontId="71" fillId="28" borderId="0" xfId="0" applyFont="1" applyFill="1" applyAlignment="1" applyProtection="1">
      <alignment horizontal="center" vertical="center"/>
    </xf>
    <xf numFmtId="2" fontId="3" fillId="27" borderId="43" xfId="241" applyNumberFormat="1" applyFont="1" applyFill="1" applyBorder="1" applyAlignment="1" applyProtection="1">
      <alignment horizontal="center" vertical="center" wrapText="1"/>
    </xf>
    <xf numFmtId="0" fontId="3" fillId="27" borderId="44" xfId="240" applyFont="1" applyFill="1" applyBorder="1" applyAlignment="1" applyProtection="1">
      <alignment horizontal="center" vertical="center" wrapText="1"/>
    </xf>
    <xf numFmtId="0" fontId="7" fillId="27" borderId="21" xfId="240" applyFont="1" applyFill="1" applyBorder="1" applyAlignment="1" applyProtection="1">
      <alignment horizontal="center" vertical="center"/>
    </xf>
    <xf numFmtId="0" fontId="4" fillId="0" borderId="21" xfId="241" applyFont="1" applyBorder="1" applyAlignment="1" applyProtection="1">
      <alignment horizontal="center" vertical="center"/>
    </xf>
    <xf numFmtId="2" fontId="45" fillId="27" borderId="0" xfId="241" applyNumberFormat="1" applyFont="1" applyFill="1" applyBorder="1" applyAlignment="1" applyProtection="1">
      <alignment horizontal="center" vertical="center" wrapText="1"/>
    </xf>
    <xf numFmtId="179" fontId="7" fillId="27" borderId="0" xfId="240" applyNumberFormat="1" applyFont="1" applyFill="1" applyBorder="1" applyAlignment="1" applyProtection="1">
      <alignment horizontal="center" vertical="center" wrapText="1"/>
    </xf>
    <xf numFmtId="179" fontId="7" fillId="27" borderId="26" xfId="372" applyNumberFormat="1" applyFont="1" applyFill="1" applyBorder="1" applyAlignment="1" applyProtection="1">
      <alignment horizontal="center" vertical="center" wrapText="1"/>
    </xf>
    <xf numFmtId="0" fontId="4" fillId="27" borderId="55" xfId="240" applyFont="1" applyFill="1" applyBorder="1" applyAlignment="1" applyProtection="1">
      <alignment horizontal="center" vertical="center"/>
    </xf>
    <xf numFmtId="0" fontId="3" fillId="27" borderId="56" xfId="240" applyFont="1" applyFill="1" applyBorder="1" applyAlignment="1" applyProtection="1">
      <alignment horizontal="center" vertical="center"/>
    </xf>
    <xf numFmtId="1" fontId="8" fillId="0" borderId="0" xfId="0" applyNumberFormat="1" applyFont="1" applyAlignment="1" applyProtection="1">
      <alignment horizontal="center" vertical="center"/>
    </xf>
    <xf numFmtId="1" fontId="8" fillId="0" borderId="71" xfId="0" applyNumberFormat="1"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0" xfId="0" applyFont="1" applyAlignment="1" applyProtection="1">
      <alignment horizontal="left" vertical="center"/>
    </xf>
    <xf numFmtId="0" fontId="47" fillId="0" borderId="0" xfId="490" applyFont="1" applyFill="1" applyBorder="1" applyProtection="1">
      <alignment vertical="center"/>
    </xf>
    <xf numFmtId="0" fontId="47" fillId="0" borderId="0" xfId="240" applyFont="1" applyFill="1" applyBorder="1" applyAlignment="1" applyProtection="1">
      <alignment vertical="center" wrapText="1"/>
    </xf>
    <xf numFmtId="0" fontId="72" fillId="0" borderId="0" xfId="0" applyFont="1" applyProtection="1"/>
    <xf numFmtId="0" fontId="9" fillId="0" borderId="0" xfId="0" applyFont="1" applyAlignment="1" applyProtection="1">
      <alignment horizontal="center" vertical="center"/>
    </xf>
    <xf numFmtId="0" fontId="9" fillId="0" borderId="0" xfId="0" applyFont="1" applyProtection="1"/>
    <xf numFmtId="1" fontId="8" fillId="0" borderId="72" xfId="0" applyNumberFormat="1" applyFont="1" applyBorder="1" applyAlignment="1" applyProtection="1">
      <alignment horizontal="center" vertical="center"/>
    </xf>
    <xf numFmtId="0" fontId="44" fillId="0" borderId="72" xfId="0" applyFont="1" applyBorder="1" applyAlignment="1" applyProtection="1">
      <alignment horizontal="center" vertical="center"/>
    </xf>
    <xf numFmtId="0" fontId="47" fillId="0" borderId="0" xfId="490" applyFont="1" applyBorder="1" applyProtection="1">
      <alignment vertical="center"/>
    </xf>
    <xf numFmtId="0" fontId="47" fillId="0" borderId="0" xfId="240" applyFont="1" applyBorder="1" applyAlignment="1" applyProtection="1">
      <alignment vertical="center" wrapText="1"/>
    </xf>
    <xf numFmtId="0" fontId="47" fillId="0" borderId="0" xfId="240" applyFont="1" applyBorder="1" applyAlignment="1" applyProtection="1">
      <alignment horizontal="center" vertical="center" wrapText="1"/>
    </xf>
    <xf numFmtId="0" fontId="8" fillId="0" borderId="0" xfId="0" applyFont="1" applyAlignment="1" applyProtection="1">
      <alignment horizontal="center" vertical="center"/>
    </xf>
    <xf numFmtId="0" fontId="8" fillId="0" borderId="0" xfId="0" applyFont="1" applyProtection="1"/>
    <xf numFmtId="10" fontId="47" fillId="0" borderId="0" xfId="490" applyNumberFormat="1" applyFont="1" applyFill="1" applyBorder="1" applyProtection="1">
      <alignment vertical="center"/>
    </xf>
    <xf numFmtId="10" fontId="47" fillId="0" borderId="0" xfId="243" applyNumberFormat="1" applyFont="1" applyFill="1" applyBorder="1" applyAlignment="1" applyProtection="1">
      <alignment horizontal="right" vertical="center" wrapText="1"/>
    </xf>
    <xf numFmtId="10" fontId="47" fillId="0" borderId="0" xfId="240" applyNumberFormat="1" applyFont="1" applyFill="1" applyBorder="1" applyAlignment="1" applyProtection="1">
      <alignment vertical="center" wrapText="1"/>
    </xf>
    <xf numFmtId="1" fontId="8" fillId="0" borderId="0" xfId="0" applyNumberFormat="1" applyFont="1" applyAlignment="1" applyProtection="1">
      <alignment horizontal="left" vertical="center"/>
    </xf>
    <xf numFmtId="0" fontId="49" fillId="0" borderId="0" xfId="240" applyFont="1" applyAlignment="1" applyProtection="1">
      <alignment horizontal="center" vertical="center"/>
    </xf>
    <xf numFmtId="0" fontId="8" fillId="0" borderId="0" xfId="0" applyFont="1" applyFill="1" applyAlignment="1" applyProtection="1">
      <alignment horizontal="center" vertical="center"/>
    </xf>
    <xf numFmtId="0" fontId="8" fillId="0" borderId="72" xfId="0" applyFont="1" applyFill="1" applyBorder="1" applyAlignment="1" applyProtection="1">
      <alignment horizontal="center" vertical="center"/>
    </xf>
    <xf numFmtId="0" fontId="8" fillId="0" borderId="0" xfId="0" applyFont="1" applyFill="1" applyAlignment="1" applyProtection="1">
      <alignment horizontal="left" vertical="center"/>
    </xf>
    <xf numFmtId="4" fontId="49" fillId="0" borderId="0" xfId="490" applyNumberFormat="1" applyFont="1" applyProtection="1">
      <alignment vertical="center"/>
    </xf>
    <xf numFmtId="44" fontId="49" fillId="0" borderId="0" xfId="240" applyNumberFormat="1" applyFont="1" applyAlignment="1" applyProtection="1">
      <alignment horizontal="center" vertical="center"/>
    </xf>
    <xf numFmtId="0" fontId="3" fillId="0" borderId="0" xfId="0" applyFont="1" applyFill="1" applyAlignment="1" applyProtection="1">
      <alignment horizontal="left" vertical="center"/>
    </xf>
    <xf numFmtId="0" fontId="8" fillId="0" borderId="72" xfId="0" applyFont="1" applyBorder="1" applyAlignment="1" applyProtection="1">
      <alignment horizontal="center" vertical="center"/>
    </xf>
    <xf numFmtId="0" fontId="8" fillId="0" borderId="0" xfId="0" applyFont="1" applyAlignment="1" applyProtection="1">
      <alignment horizontal="left" vertical="center"/>
    </xf>
    <xf numFmtId="4" fontId="48" fillId="0" borderId="0" xfId="490" applyNumberFormat="1" applyFont="1" applyFill="1" applyBorder="1" applyProtection="1">
      <alignment vertical="center"/>
    </xf>
    <xf numFmtId="4" fontId="48" fillId="0" borderId="0" xfId="240" applyNumberFormat="1" applyFont="1" applyFill="1" applyBorder="1" applyAlignment="1" applyProtection="1">
      <alignment horizontal="center" vertical="center" wrapText="1"/>
    </xf>
    <xf numFmtId="1" fontId="8" fillId="0" borderId="72" xfId="0" applyNumberFormat="1" applyFont="1" applyFill="1" applyBorder="1" applyAlignment="1" applyProtection="1">
      <alignment horizontal="center" vertical="center"/>
    </xf>
    <xf numFmtId="0" fontId="7" fillId="29" borderId="45" xfId="240" applyFont="1" applyFill="1" applyBorder="1" applyAlignment="1" applyProtection="1">
      <alignment horizontal="center" vertical="center" wrapText="1"/>
    </xf>
    <xf numFmtId="0" fontId="7" fillId="29" borderId="46" xfId="240" applyFont="1" applyFill="1" applyBorder="1" applyAlignment="1" applyProtection="1">
      <alignment horizontal="center" vertical="center" wrapText="1"/>
    </xf>
    <xf numFmtId="4" fontId="7" fillId="29" borderId="46" xfId="240" applyNumberFormat="1" applyFont="1" applyFill="1" applyBorder="1" applyAlignment="1" applyProtection="1">
      <alignment horizontal="center" vertical="center" wrapText="1"/>
    </xf>
    <xf numFmtId="0" fontId="48" fillId="0" borderId="0" xfId="490" applyFont="1" applyFill="1" applyBorder="1" applyProtection="1">
      <alignment vertical="center"/>
    </xf>
    <xf numFmtId="0" fontId="48" fillId="0" borderId="0" xfId="240" applyFont="1" applyFill="1" applyBorder="1" applyAlignment="1" applyProtection="1">
      <alignment horizontal="center" vertical="center" wrapText="1"/>
    </xf>
    <xf numFmtId="0" fontId="47" fillId="27" borderId="0" xfId="240" applyFont="1" applyFill="1" applyAlignment="1" applyProtection="1">
      <alignment horizontal="center" vertical="center" wrapText="1"/>
    </xf>
    <xf numFmtId="0" fontId="7" fillId="32" borderId="45" xfId="240" applyFont="1" applyFill="1" applyBorder="1" applyAlignment="1" applyProtection="1">
      <alignment horizontal="center" vertical="center" wrapText="1"/>
    </xf>
    <xf numFmtId="0" fontId="7" fillId="32" borderId="46" xfId="241" applyFont="1" applyFill="1" applyBorder="1" applyAlignment="1" applyProtection="1">
      <alignment horizontal="center" vertical="center" wrapText="1"/>
    </xf>
    <xf numFmtId="4" fontId="7" fillId="32" borderId="46" xfId="241" applyNumberFormat="1" applyFont="1" applyFill="1" applyBorder="1" applyAlignment="1" applyProtection="1">
      <alignment horizontal="center" vertical="center" wrapText="1"/>
    </xf>
    <xf numFmtId="10" fontId="48" fillId="27" borderId="0" xfId="490" applyNumberFormat="1" applyFont="1" applyFill="1" applyBorder="1" applyProtection="1">
      <alignment vertical="center"/>
    </xf>
    <xf numFmtId="44" fontId="47" fillId="27" borderId="0" xfId="240" applyNumberFormat="1" applyFont="1" applyFill="1" applyAlignment="1" applyProtection="1">
      <alignment horizontal="center" vertical="center" wrapText="1"/>
    </xf>
    <xf numFmtId="0" fontId="49" fillId="27" borderId="0" xfId="240" applyFont="1" applyFill="1" applyAlignment="1" applyProtection="1">
      <alignment horizontal="center" vertical="center"/>
    </xf>
    <xf numFmtId="0" fontId="7" fillId="27" borderId="0" xfId="241" applyFont="1" applyFill="1" applyBorder="1" applyAlignment="1" applyProtection="1">
      <alignment vertical="center" wrapText="1"/>
    </xf>
    <xf numFmtId="4" fontId="7" fillId="27" borderId="0" xfId="241" applyNumberFormat="1" applyFont="1" applyFill="1" applyBorder="1" applyAlignment="1" applyProtection="1">
      <alignment horizontal="center" vertical="center" wrapText="1"/>
    </xf>
    <xf numFmtId="0" fontId="48" fillId="27" borderId="0" xfId="490" applyFont="1" applyFill="1" applyBorder="1" applyProtection="1">
      <alignment vertical="center"/>
    </xf>
    <xf numFmtId="44" fontId="4" fillId="27" borderId="0" xfId="240" applyNumberFormat="1" applyFont="1" applyFill="1" applyAlignment="1" applyProtection="1">
      <alignment horizontal="center" vertical="center"/>
    </xf>
    <xf numFmtId="0" fontId="3" fillId="27" borderId="0" xfId="0" applyFont="1" applyFill="1" applyAlignment="1" applyProtection="1">
      <alignment horizontal="left" vertical="center"/>
    </xf>
    <xf numFmtId="0" fontId="7" fillId="30" borderId="45" xfId="240" applyFont="1" applyFill="1" applyBorder="1" applyAlignment="1" applyProtection="1">
      <alignment horizontal="center" vertical="center" wrapText="1"/>
    </xf>
    <xf numFmtId="0" fontId="7" fillId="30" borderId="46" xfId="241" applyFont="1" applyFill="1" applyBorder="1" applyAlignment="1" applyProtection="1">
      <alignment horizontal="center" vertical="center" wrapText="1"/>
    </xf>
    <xf numFmtId="4" fontId="7" fillId="30" borderId="46" xfId="241" applyNumberFormat="1" applyFont="1" applyFill="1" applyBorder="1" applyAlignment="1" applyProtection="1">
      <alignment horizontal="center" vertical="center" wrapText="1"/>
    </xf>
    <xf numFmtId="44" fontId="47" fillId="0" borderId="0" xfId="490" applyNumberFormat="1" applyFont="1" applyBorder="1" applyProtection="1">
      <alignment vertical="center"/>
    </xf>
    <xf numFmtId="0" fontId="7" fillId="0" borderId="62" xfId="241" applyFont="1" applyFill="1" applyBorder="1" applyAlignment="1" applyProtection="1">
      <alignment horizontal="center" vertical="center"/>
    </xf>
    <xf numFmtId="0" fontId="7" fillId="0" borderId="63" xfId="241" applyFont="1" applyFill="1" applyBorder="1" applyAlignment="1" applyProtection="1">
      <alignment horizontal="center" vertical="center"/>
    </xf>
    <xf numFmtId="0" fontId="7" fillId="0" borderId="63" xfId="241" applyFont="1" applyFill="1" applyBorder="1" applyAlignment="1" applyProtection="1">
      <alignment vertical="center"/>
    </xf>
    <xf numFmtId="0" fontId="7" fillId="0" borderId="63" xfId="241" applyFont="1" applyFill="1" applyBorder="1" applyAlignment="1" applyProtection="1">
      <alignment horizontal="center" vertical="center" wrapText="1"/>
    </xf>
    <xf numFmtId="4" fontId="7" fillId="0" borderId="63" xfId="241" applyNumberFormat="1" applyFont="1" applyFill="1" applyBorder="1" applyAlignment="1" applyProtection="1">
      <alignment horizontal="center" vertical="center" wrapText="1"/>
    </xf>
    <xf numFmtId="0" fontId="47" fillId="27" borderId="0" xfId="490" applyFont="1" applyFill="1" applyProtection="1">
      <alignment vertical="center"/>
    </xf>
    <xf numFmtId="44" fontId="3" fillId="27" borderId="0" xfId="198" applyFont="1" applyFill="1" applyBorder="1" applyAlignment="1" applyProtection="1">
      <alignment horizontal="center" vertical="center"/>
    </xf>
    <xf numFmtId="0" fontId="47" fillId="27" borderId="0" xfId="240" applyFont="1" applyFill="1" applyAlignment="1" applyProtection="1">
      <alignment horizontal="center" vertical="center"/>
    </xf>
    <xf numFmtId="0" fontId="39" fillId="27" borderId="0" xfId="241" applyFont="1" applyFill="1" applyAlignment="1" applyProtection="1">
      <alignment horizontal="left" vertical="center"/>
    </xf>
    <xf numFmtId="10" fontId="3" fillId="27" borderId="0" xfId="490" applyNumberFormat="1" applyFont="1" applyFill="1" applyBorder="1" applyProtection="1">
      <alignment vertical="center"/>
    </xf>
    <xf numFmtId="9" fontId="47" fillId="27" borderId="0" xfId="359" applyFont="1" applyFill="1" applyAlignment="1" applyProtection="1">
      <alignment horizontal="center" vertical="center"/>
    </xf>
    <xf numFmtId="0" fontId="48" fillId="27" borderId="0" xfId="240" applyFont="1" applyFill="1" applyBorder="1" applyAlignment="1" applyProtection="1">
      <alignment horizontal="center" vertical="center" wrapText="1"/>
    </xf>
    <xf numFmtId="0" fontId="8" fillId="27" borderId="0" xfId="0" applyFont="1" applyFill="1" applyAlignment="1" applyProtection="1">
      <alignment horizontal="left" vertical="center"/>
    </xf>
    <xf numFmtId="0" fontId="7" fillId="27" borderId="62" xfId="241" applyFont="1" applyFill="1" applyBorder="1" applyAlignment="1" applyProtection="1">
      <alignment horizontal="center" vertical="center"/>
    </xf>
    <xf numFmtId="0" fontId="7" fillId="27" borderId="63" xfId="241" applyFont="1" applyFill="1" applyBorder="1" applyAlignment="1" applyProtection="1">
      <alignment horizontal="center" vertical="center"/>
    </xf>
    <xf numFmtId="0" fontId="7" fillId="27" borderId="63" xfId="241" applyFont="1" applyFill="1" applyBorder="1" applyAlignment="1" applyProtection="1">
      <alignment vertical="center"/>
    </xf>
    <xf numFmtId="0" fontId="7" fillId="27" borderId="63" xfId="241" applyFont="1" applyFill="1" applyBorder="1" applyAlignment="1" applyProtection="1">
      <alignment vertical="center" wrapText="1"/>
    </xf>
    <xf numFmtId="0" fontId="7" fillId="27" borderId="63" xfId="241" applyFont="1" applyFill="1" applyBorder="1" applyAlignment="1" applyProtection="1">
      <alignment horizontal="center" vertical="center" wrapText="1"/>
    </xf>
    <xf numFmtId="4" fontId="7" fillId="27" borderId="63" xfId="241" applyNumberFormat="1" applyFont="1" applyFill="1" applyBorder="1" applyAlignment="1" applyProtection="1">
      <alignment horizontal="center" vertical="center" wrapText="1"/>
    </xf>
    <xf numFmtId="1" fontId="3" fillId="27" borderId="20" xfId="240" applyNumberFormat="1" applyFont="1" applyFill="1" applyBorder="1" applyAlignment="1" applyProtection="1">
      <alignment horizontal="left" vertical="center" wrapText="1"/>
    </xf>
    <xf numFmtId="1" fontId="3" fillId="27" borderId="0" xfId="240" applyNumberFormat="1" applyFont="1" applyFill="1" applyBorder="1" applyAlignment="1" applyProtection="1">
      <alignment vertical="center" wrapText="1"/>
    </xf>
    <xf numFmtId="4" fontId="39" fillId="27" borderId="0" xfId="0" applyNumberFormat="1" applyFont="1" applyFill="1" applyAlignment="1" applyProtection="1">
      <alignment horizontal="left" vertical="center"/>
    </xf>
    <xf numFmtId="4" fontId="7" fillId="27" borderId="0" xfId="240" applyNumberFormat="1" applyFont="1" applyFill="1" applyBorder="1" applyAlignment="1" applyProtection="1">
      <alignment horizontal="right" vertical="center" wrapText="1"/>
    </xf>
    <xf numFmtId="4" fontId="39" fillId="27" borderId="0" xfId="0" applyNumberFormat="1" applyFont="1" applyFill="1" applyAlignment="1" applyProtection="1">
      <alignment vertical="center"/>
    </xf>
    <xf numFmtId="0" fontId="7" fillId="27" borderId="45" xfId="240" applyFont="1" applyFill="1" applyBorder="1" applyAlignment="1" applyProtection="1">
      <alignment horizontal="right" vertical="center" wrapText="1"/>
    </xf>
    <xf numFmtId="0" fontId="7" fillId="27" borderId="46" xfId="240" applyFont="1" applyFill="1" applyBorder="1" applyAlignment="1" applyProtection="1">
      <alignment horizontal="right" vertical="center" wrapText="1"/>
    </xf>
    <xf numFmtId="0" fontId="7" fillId="27" borderId="46" xfId="240" applyFont="1" applyFill="1" applyBorder="1" applyAlignment="1" applyProtection="1">
      <alignment vertical="center" wrapText="1"/>
    </xf>
    <xf numFmtId="4" fontId="7" fillId="27" borderId="46" xfId="240" applyNumberFormat="1" applyFont="1" applyFill="1" applyBorder="1" applyAlignment="1" applyProtection="1">
      <alignment horizontal="right" vertical="center" wrapText="1"/>
    </xf>
    <xf numFmtId="0" fontId="3" fillId="37" borderId="20" xfId="240" applyFont="1" applyFill="1" applyBorder="1" applyAlignment="1" applyProtection="1">
      <alignment horizontal="center" vertical="center" wrapText="1"/>
    </xf>
    <xf numFmtId="0" fontId="3" fillId="37" borderId="0" xfId="240" applyFont="1" applyFill="1" applyBorder="1" applyAlignment="1" applyProtection="1">
      <alignment horizontal="center" vertical="center" wrapText="1"/>
    </xf>
    <xf numFmtId="0" fontId="3" fillId="37" borderId="0" xfId="240" applyFont="1" applyFill="1" applyBorder="1" applyAlignment="1" applyProtection="1">
      <alignment vertical="center" wrapText="1"/>
    </xf>
    <xf numFmtId="0" fontId="3" fillId="37" borderId="0" xfId="240" applyFont="1" applyFill="1" applyBorder="1" applyAlignment="1" applyProtection="1">
      <alignment horizontal="left" vertical="center" wrapText="1"/>
    </xf>
    <xf numFmtId="4" fontId="3" fillId="37" borderId="0" xfId="240" applyNumberFormat="1" applyFont="1" applyFill="1" applyBorder="1" applyAlignment="1" applyProtection="1">
      <alignment horizontal="center" vertical="center" wrapText="1"/>
    </xf>
    <xf numFmtId="0" fontId="7" fillId="0" borderId="20" xfId="241" applyFont="1" applyFill="1" applyBorder="1" applyAlignment="1" applyProtection="1">
      <alignment horizontal="center" vertical="center"/>
    </xf>
    <xf numFmtId="0" fontId="7" fillId="0" borderId="0" xfId="241" applyFont="1" applyFill="1" applyBorder="1" applyAlignment="1" applyProtection="1">
      <alignment horizontal="center" vertical="center"/>
    </xf>
    <xf numFmtId="0" fontId="7" fillId="0" borderId="0" xfId="241" applyFont="1" applyFill="1" applyBorder="1" applyAlignment="1" applyProtection="1">
      <alignment vertical="center"/>
    </xf>
    <xf numFmtId="0" fontId="7" fillId="0" borderId="0" xfId="241" applyFont="1" applyFill="1" applyBorder="1" applyAlignment="1" applyProtection="1">
      <alignment horizontal="center" vertical="center" wrapText="1"/>
    </xf>
    <xf numFmtId="4" fontId="7" fillId="0" borderId="0" xfId="241" applyNumberFormat="1" applyFont="1" applyFill="1" applyBorder="1" applyAlignment="1" applyProtection="1">
      <alignment horizontal="center" vertical="center" wrapText="1"/>
    </xf>
    <xf numFmtId="0" fontId="8" fillId="27" borderId="72" xfId="0" applyFont="1" applyFill="1" applyBorder="1" applyAlignment="1" applyProtection="1">
      <alignment horizontal="center" vertical="center"/>
    </xf>
    <xf numFmtId="1" fontId="8" fillId="27" borderId="72" xfId="0" applyNumberFormat="1" applyFont="1" applyFill="1" applyBorder="1" applyAlignment="1" applyProtection="1">
      <alignment horizontal="center" vertical="center"/>
    </xf>
    <xf numFmtId="0" fontId="8" fillId="36" borderId="0" xfId="0" applyFont="1" applyFill="1" applyAlignment="1" applyProtection="1">
      <alignment horizontal="center" vertical="center"/>
    </xf>
    <xf numFmtId="0" fontId="8" fillId="36" borderId="72" xfId="0" applyFont="1" applyFill="1" applyBorder="1" applyAlignment="1" applyProtection="1">
      <alignment horizontal="center" vertical="center"/>
    </xf>
    <xf numFmtId="1" fontId="8" fillId="36" borderId="72" xfId="0" applyNumberFormat="1" applyFont="1" applyFill="1" applyBorder="1" applyAlignment="1" applyProtection="1">
      <alignment horizontal="center" vertical="center"/>
    </xf>
    <xf numFmtId="0" fontId="8" fillId="36" borderId="0" xfId="0" applyFont="1" applyFill="1" applyAlignment="1" applyProtection="1">
      <alignment horizontal="left" vertical="center"/>
    </xf>
    <xf numFmtId="0" fontId="39" fillId="36" borderId="0" xfId="240" applyFont="1" applyFill="1" applyAlignment="1" applyProtection="1">
      <alignment horizontal="left"/>
    </xf>
    <xf numFmtId="0" fontId="7" fillId="36" borderId="45" xfId="240" applyFont="1" applyFill="1" applyBorder="1" applyAlignment="1" applyProtection="1">
      <alignment horizontal="center" vertical="center" wrapText="1"/>
    </xf>
    <xf numFmtId="0" fontId="7" fillId="36" borderId="46" xfId="241" applyFont="1" applyFill="1" applyBorder="1" applyAlignment="1" applyProtection="1">
      <alignment horizontal="center" vertical="center" wrapText="1"/>
    </xf>
    <xf numFmtId="4" fontId="7" fillId="36" borderId="46" xfId="241" applyNumberFormat="1" applyFont="1" applyFill="1" applyBorder="1" applyAlignment="1" applyProtection="1">
      <alignment horizontal="center" vertical="center" wrapText="1"/>
    </xf>
    <xf numFmtId="0" fontId="48" fillId="36" borderId="0" xfId="490" applyFont="1" applyFill="1" applyBorder="1" applyProtection="1">
      <alignment vertical="center"/>
    </xf>
    <xf numFmtId="0" fontId="48" fillId="36" borderId="0" xfId="240" applyFont="1" applyFill="1" applyBorder="1" applyAlignment="1" applyProtection="1">
      <alignment horizontal="center" vertical="center" wrapText="1"/>
    </xf>
    <xf numFmtId="0" fontId="49" fillId="36" borderId="0" xfId="240" applyFont="1" applyFill="1" applyAlignment="1" applyProtection="1">
      <alignment horizontal="center" vertical="center"/>
    </xf>
    <xf numFmtId="0" fontId="4" fillId="36" borderId="0" xfId="240" applyFont="1" applyFill="1" applyAlignment="1" applyProtection="1">
      <alignment horizontal="center" vertical="center"/>
    </xf>
    <xf numFmtId="0" fontId="3" fillId="36" borderId="0" xfId="0" applyFont="1" applyFill="1" applyAlignment="1" applyProtection="1">
      <alignment horizontal="left" vertical="center"/>
    </xf>
    <xf numFmtId="0" fontId="47" fillId="36" borderId="0" xfId="490" applyFont="1" applyFill="1" applyBorder="1" applyProtection="1">
      <alignment vertical="center"/>
    </xf>
    <xf numFmtId="0" fontId="47" fillId="36" borderId="0" xfId="240" applyFont="1" applyFill="1" applyBorder="1" applyAlignment="1" applyProtection="1">
      <alignment vertical="center" wrapText="1"/>
    </xf>
    <xf numFmtId="0" fontId="72" fillId="36" borderId="0" xfId="0" applyFont="1" applyFill="1" applyProtection="1"/>
    <xf numFmtId="0" fontId="67" fillId="36" borderId="0" xfId="0" applyFont="1" applyFill="1" applyProtection="1"/>
    <xf numFmtId="0" fontId="8" fillId="36" borderId="0" xfId="0" applyFont="1" applyFill="1" applyProtection="1"/>
    <xf numFmtId="0" fontId="4" fillId="36" borderId="0" xfId="240" applyFont="1" applyFill="1" applyProtection="1"/>
    <xf numFmtId="0" fontId="7" fillId="30" borderId="46" xfId="241" applyFont="1" applyFill="1" applyBorder="1" applyAlignment="1" applyProtection="1">
      <alignment vertical="center" wrapText="1"/>
    </xf>
    <xf numFmtId="4" fontId="7" fillId="30" borderId="46" xfId="241" applyNumberFormat="1" applyFont="1" applyFill="1" applyBorder="1" applyAlignment="1" applyProtection="1">
      <alignment vertical="center" wrapText="1"/>
    </xf>
    <xf numFmtId="0" fontId="3" fillId="33" borderId="0" xfId="240" applyFont="1" applyFill="1" applyBorder="1" applyAlignment="1" applyProtection="1">
      <alignment horizontal="left" vertical="center" wrapText="1"/>
    </xf>
    <xf numFmtId="4" fontId="3" fillId="33" borderId="0" xfId="240" applyNumberFormat="1" applyFont="1" applyFill="1" applyBorder="1" applyAlignment="1" applyProtection="1">
      <alignment horizontal="center" vertical="center" wrapText="1"/>
    </xf>
    <xf numFmtId="0" fontId="3" fillId="0" borderId="54" xfId="240" applyFont="1" applyBorder="1" applyAlignment="1" applyProtection="1">
      <alignment horizontal="center" vertical="center" wrapText="1"/>
    </xf>
    <xf numFmtId="0" fontId="3" fillId="0" borderId="55" xfId="240" applyFont="1" applyBorder="1" applyAlignment="1" applyProtection="1">
      <alignment horizontal="center" vertical="center" wrapText="1"/>
    </xf>
    <xf numFmtId="0" fontId="3" fillId="0" borderId="55" xfId="240" applyFont="1" applyBorder="1" applyAlignment="1" applyProtection="1">
      <alignment vertical="center" wrapText="1"/>
    </xf>
    <xf numFmtId="4" fontId="3" fillId="0" borderId="55" xfId="240" applyNumberFormat="1" applyFont="1" applyBorder="1" applyAlignment="1" applyProtection="1">
      <alignment horizontal="center" vertical="center" wrapText="1"/>
    </xf>
    <xf numFmtId="4" fontId="3" fillId="0" borderId="0" xfId="240" applyNumberFormat="1" applyFont="1" applyAlignment="1" applyProtection="1">
      <alignment horizontal="center" vertical="center" wrapText="1"/>
    </xf>
    <xf numFmtId="10" fontId="3" fillId="0" borderId="0" xfId="359" applyNumberFormat="1" applyFont="1" applyFill="1" applyBorder="1" applyAlignment="1" applyProtection="1">
      <alignment horizontal="left" vertical="center" wrapText="1"/>
      <protection locked="0"/>
    </xf>
    <xf numFmtId="10" fontId="3" fillId="0" borderId="21" xfId="359" applyNumberFormat="1" applyFont="1" applyFill="1" applyBorder="1" applyAlignment="1" applyProtection="1">
      <alignment horizontal="left" vertical="center" wrapText="1"/>
      <protection locked="0"/>
    </xf>
    <xf numFmtId="0" fontId="7" fillId="29" borderId="46" xfId="240" applyFont="1" applyFill="1" applyBorder="1" applyAlignment="1" applyProtection="1">
      <alignment horizontal="left" vertical="center" wrapText="1"/>
    </xf>
    <xf numFmtId="0" fontId="7" fillId="30" borderId="46" xfId="241" applyFont="1" applyFill="1" applyBorder="1" applyAlignment="1" applyProtection="1">
      <alignment horizontal="left" vertical="center" wrapText="1"/>
    </xf>
    <xf numFmtId="0" fontId="7" fillId="32" borderId="46" xfId="241" applyFont="1" applyFill="1" applyBorder="1" applyAlignment="1" applyProtection="1">
      <alignment horizontal="left" vertical="center" wrapText="1"/>
    </xf>
    <xf numFmtId="0" fontId="7" fillId="36" borderId="46" xfId="241" applyFont="1" applyFill="1" applyBorder="1" applyAlignment="1" applyProtection="1">
      <alignment horizontal="left" vertical="center" wrapText="1"/>
    </xf>
    <xf numFmtId="0" fontId="65" fillId="0" borderId="80" xfId="0" applyFont="1" applyBorder="1" applyAlignment="1">
      <alignment horizontal="center"/>
    </xf>
    <xf numFmtId="0" fontId="65" fillId="0" borderId="81" xfId="0" applyFont="1" applyBorder="1" applyAlignment="1">
      <alignment horizontal="center"/>
    </xf>
    <xf numFmtId="0" fontId="65" fillId="0" borderId="82" xfId="0" applyFont="1" applyBorder="1" applyAlignment="1">
      <alignment horizontal="center"/>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64" xfId="0" applyFont="1" applyBorder="1" applyAlignment="1">
      <alignment horizontal="center" vertical="center" wrapText="1"/>
    </xf>
    <xf numFmtId="9" fontId="3" fillId="0" borderId="0" xfId="359" applyFont="1" applyAlignment="1">
      <alignment horizontal="center" vertical="center" wrapText="1"/>
    </xf>
    <xf numFmtId="0" fontId="3" fillId="0" borderId="0" xfId="0" applyFont="1" applyAlignment="1">
      <alignment horizontal="center" vertical="center" wrapText="1"/>
    </xf>
    <xf numFmtId="0" fontId="10" fillId="27" borderId="70" xfId="0" applyFont="1" applyFill="1" applyBorder="1" applyAlignment="1">
      <alignment horizontal="center" vertical="center"/>
    </xf>
    <xf numFmtId="0" fontId="10" fillId="27" borderId="75" xfId="0" applyFont="1" applyFill="1" applyBorder="1" applyAlignment="1">
      <alignment horizontal="center" vertical="center"/>
    </xf>
    <xf numFmtId="0" fontId="10" fillId="36" borderId="70" xfId="0" applyFont="1" applyFill="1" applyBorder="1" applyAlignment="1">
      <alignment horizontal="center" vertical="center"/>
    </xf>
    <xf numFmtId="0" fontId="10" fillId="36" borderId="74" xfId="0" applyFont="1" applyFill="1" applyBorder="1" applyAlignment="1">
      <alignment horizontal="center" vertical="center"/>
    </xf>
    <xf numFmtId="0" fontId="10" fillId="36" borderId="75" xfId="0" applyFont="1" applyFill="1" applyBorder="1" applyAlignment="1">
      <alignment horizontal="center" vertical="center"/>
    </xf>
    <xf numFmtId="0" fontId="10" fillId="27" borderId="20" xfId="0" applyFont="1" applyFill="1" applyBorder="1" applyAlignment="1">
      <alignment horizontal="center" vertical="center"/>
    </xf>
    <xf numFmtId="0" fontId="10" fillId="27" borderId="76" xfId="0" applyFont="1" applyFill="1" applyBorder="1" applyAlignment="1">
      <alignment horizontal="center" vertical="center"/>
    </xf>
    <xf numFmtId="0" fontId="10" fillId="27" borderId="10" xfId="0" applyFont="1" applyFill="1" applyBorder="1" applyAlignment="1">
      <alignment horizontal="center" vertical="center"/>
    </xf>
    <xf numFmtId="0" fontId="10" fillId="27" borderId="21" xfId="0" applyFont="1" applyFill="1" applyBorder="1" applyAlignment="1">
      <alignment horizontal="center" vertical="center"/>
    </xf>
    <xf numFmtId="0" fontId="9" fillId="27" borderId="20" xfId="0" applyFont="1" applyFill="1" applyBorder="1" applyAlignment="1">
      <alignment vertical="center" wrapText="1"/>
    </xf>
    <xf numFmtId="0" fontId="9" fillId="27" borderId="0" xfId="0" applyFont="1" applyFill="1" applyBorder="1" applyAlignment="1">
      <alignment vertical="center" wrapText="1"/>
    </xf>
    <xf numFmtId="0" fontId="9" fillId="27" borderId="54" xfId="0" applyFont="1" applyFill="1" applyBorder="1" applyAlignment="1">
      <alignment vertical="center" wrapText="1"/>
    </xf>
    <xf numFmtId="0" fontId="9" fillId="27" borderId="55" xfId="0" applyFont="1" applyFill="1" applyBorder="1" applyAlignment="1">
      <alignment vertical="center" wrapText="1"/>
    </xf>
    <xf numFmtId="0" fontId="10" fillId="27" borderId="70" xfId="0" applyFont="1" applyFill="1" applyBorder="1" applyAlignment="1">
      <alignment horizontal="center" vertical="center" wrapText="1"/>
    </xf>
    <xf numFmtId="0" fontId="10" fillId="27" borderId="75" xfId="0" applyFont="1" applyFill="1" applyBorder="1" applyAlignment="1">
      <alignment horizontal="center" vertical="center" wrapText="1"/>
    </xf>
    <xf numFmtId="185" fontId="9" fillId="27" borderId="0" xfId="243" applyNumberFormat="1" applyFont="1" applyFill="1" applyBorder="1" applyAlignment="1">
      <alignment horizontal="left" vertical="center" wrapText="1"/>
    </xf>
    <xf numFmtId="185" fontId="9" fillId="27" borderId="21" xfId="243" applyNumberFormat="1" applyFont="1" applyFill="1" applyBorder="1" applyAlignment="1">
      <alignment horizontal="left" vertical="center" wrapText="1"/>
    </xf>
    <xf numFmtId="0" fontId="10" fillId="27" borderId="70" xfId="241" applyFont="1" applyFill="1" applyBorder="1" applyAlignment="1" applyProtection="1">
      <alignment horizontal="center" vertical="center" wrapText="1"/>
      <protection locked="0"/>
    </xf>
    <xf numFmtId="0" fontId="10" fillId="27" borderId="74" xfId="241" applyFont="1" applyFill="1" applyBorder="1" applyAlignment="1" applyProtection="1">
      <alignment horizontal="center" vertical="center" wrapText="1"/>
      <protection locked="0"/>
    </xf>
    <xf numFmtId="0" fontId="10" fillId="27" borderId="75" xfId="241" applyFont="1" applyFill="1" applyBorder="1" applyAlignment="1" applyProtection="1">
      <alignment horizontal="center" vertical="center" wrapText="1"/>
      <protection locked="0"/>
    </xf>
    <xf numFmtId="0" fontId="10" fillId="27" borderId="20" xfId="241" applyFont="1" applyFill="1" applyBorder="1" applyAlignment="1" applyProtection="1">
      <alignment horizontal="center" vertical="center" wrapText="1"/>
      <protection locked="0"/>
    </xf>
    <xf numFmtId="0" fontId="10" fillId="27" borderId="0" xfId="241" applyFont="1" applyFill="1" applyBorder="1" applyAlignment="1" applyProtection="1">
      <alignment horizontal="center" vertical="center" wrapText="1"/>
      <protection locked="0"/>
    </xf>
    <xf numFmtId="0" fontId="10" fillId="27" borderId="21" xfId="241" applyFont="1" applyFill="1" applyBorder="1" applyAlignment="1" applyProtection="1">
      <alignment horizontal="center" vertical="center" wrapText="1"/>
      <protection locked="0"/>
    </xf>
    <xf numFmtId="0" fontId="10" fillId="27" borderId="100" xfId="241" applyFont="1" applyFill="1" applyBorder="1" applyAlignment="1" applyProtection="1">
      <alignment horizontal="center" vertical="center" wrapText="1"/>
      <protection locked="0"/>
    </xf>
    <xf numFmtId="0" fontId="10" fillId="27" borderId="60" xfId="241" applyFont="1" applyFill="1" applyBorder="1" applyAlignment="1" applyProtection="1">
      <alignment horizontal="center" vertical="center" wrapText="1"/>
      <protection locked="0"/>
    </xf>
    <xf numFmtId="0" fontId="10" fillId="27" borderId="101" xfId="241" applyFont="1" applyFill="1" applyBorder="1" applyAlignment="1" applyProtection="1">
      <alignment horizontal="center" vertical="center" wrapText="1"/>
      <protection locked="0"/>
    </xf>
    <xf numFmtId="0" fontId="10" fillId="27" borderId="19" xfId="242" applyFont="1" applyFill="1" applyBorder="1" applyAlignment="1" applyProtection="1">
      <alignment horizontal="right" vertical="center" wrapText="1"/>
      <protection locked="0"/>
    </xf>
    <xf numFmtId="0" fontId="10" fillId="27" borderId="0" xfId="242" applyFont="1" applyFill="1" applyBorder="1" applyAlignment="1" applyProtection="1">
      <alignment horizontal="right" vertical="center" wrapText="1"/>
      <protection locked="0"/>
    </xf>
    <xf numFmtId="185" fontId="9" fillId="27" borderId="19" xfId="243" applyNumberFormat="1" applyFont="1" applyFill="1" applyBorder="1" applyAlignment="1">
      <alignment horizontal="left" vertical="center" wrapText="1"/>
    </xf>
    <xf numFmtId="185" fontId="9" fillId="27" borderId="52" xfId="243" applyNumberFormat="1" applyFont="1" applyFill="1" applyBorder="1" applyAlignment="1">
      <alignment horizontal="left" vertical="center" wrapText="1"/>
    </xf>
    <xf numFmtId="10" fontId="9" fillId="27" borderId="0" xfId="243" applyNumberFormat="1" applyFont="1" applyFill="1" applyBorder="1" applyAlignment="1">
      <alignment horizontal="left" vertical="center" wrapText="1"/>
    </xf>
    <xf numFmtId="10" fontId="9" fillId="27" borderId="21" xfId="243" applyNumberFormat="1" applyFont="1" applyFill="1" applyBorder="1" applyAlignment="1">
      <alignment horizontal="left" vertical="center" wrapText="1"/>
    </xf>
    <xf numFmtId="43" fontId="82" fillId="32" borderId="55" xfId="524" applyFont="1" applyFill="1" applyBorder="1" applyAlignment="1">
      <alignment horizontal="center" vertical="center"/>
    </xf>
    <xf numFmtId="9" fontId="82" fillId="32" borderId="76" xfId="359" applyFont="1" applyFill="1" applyBorder="1" applyAlignment="1">
      <alignment horizontal="center" vertical="center" wrapText="1"/>
    </xf>
    <xf numFmtId="9" fontId="82" fillId="32" borderId="77" xfId="359" applyFont="1" applyFill="1" applyBorder="1" applyAlignment="1">
      <alignment horizontal="center" vertical="center" wrapText="1"/>
    </xf>
    <xf numFmtId="43" fontId="82" fillId="32" borderId="76" xfId="524" applyFont="1" applyFill="1" applyBorder="1" applyAlignment="1">
      <alignment horizontal="center" vertical="center"/>
    </xf>
    <xf numFmtId="43" fontId="82" fillId="32" borderId="77" xfId="524" applyFont="1" applyFill="1" applyBorder="1" applyAlignment="1">
      <alignment horizontal="center" vertical="center"/>
    </xf>
    <xf numFmtId="0" fontId="82" fillId="32" borderId="76" xfId="0" applyFont="1" applyFill="1" applyBorder="1" applyAlignment="1">
      <alignment horizontal="center" vertical="center" wrapText="1"/>
    </xf>
    <xf numFmtId="0" fontId="82" fillId="32" borderId="77" xfId="0" applyFont="1" applyFill="1" applyBorder="1" applyAlignment="1">
      <alignment horizontal="center" vertical="center" wrapText="1"/>
    </xf>
    <xf numFmtId="0" fontId="82" fillId="32" borderId="76" xfId="0" applyFont="1" applyFill="1" applyBorder="1" applyAlignment="1">
      <alignment horizontal="left" vertical="center" wrapText="1"/>
    </xf>
    <xf numFmtId="0" fontId="82" fillId="32" borderId="77" xfId="0" applyFont="1" applyFill="1" applyBorder="1" applyAlignment="1">
      <alignment horizontal="left" vertical="center" wrapText="1"/>
    </xf>
    <xf numFmtId="43" fontId="82" fillId="32" borderId="76" xfId="524" applyFont="1" applyFill="1" applyBorder="1" applyAlignment="1">
      <alignment horizontal="center" vertical="center" wrapText="1"/>
    </xf>
    <xf numFmtId="43" fontId="82" fillId="32" borderId="77" xfId="524" applyFont="1" applyFill="1" applyBorder="1" applyAlignment="1">
      <alignment horizontal="center" vertical="center" wrapText="1"/>
    </xf>
    <xf numFmtId="2" fontId="82" fillId="32" borderId="76" xfId="490" applyNumberFormat="1" applyFont="1" applyFill="1" applyBorder="1" applyAlignment="1">
      <alignment horizontal="center" vertical="center"/>
    </xf>
    <xf numFmtId="2" fontId="82" fillId="32" borderId="77" xfId="490" applyNumberFormat="1" applyFont="1" applyFill="1" applyBorder="1" applyAlignment="1">
      <alignment horizontal="center" vertical="center"/>
    </xf>
    <xf numFmtId="4" fontId="82" fillId="32" borderId="76" xfId="490" applyNumberFormat="1" applyFont="1" applyFill="1" applyBorder="1" applyAlignment="1">
      <alignment horizontal="center" vertical="center" wrapText="1"/>
    </xf>
    <xf numFmtId="4" fontId="82" fillId="32" borderId="77" xfId="490" applyNumberFormat="1" applyFont="1" applyFill="1" applyBorder="1" applyAlignment="1">
      <alignment horizontal="center" vertical="center" wrapText="1"/>
    </xf>
    <xf numFmtId="0" fontId="7" fillId="36" borderId="46" xfId="241" applyFont="1" applyFill="1" applyBorder="1" applyAlignment="1" applyProtection="1">
      <alignment horizontal="center" vertical="center" wrapText="1"/>
    </xf>
    <xf numFmtId="0" fontId="7" fillId="30" borderId="46" xfId="241" applyFont="1" applyFill="1" applyBorder="1" applyAlignment="1" applyProtection="1">
      <alignment horizontal="center" vertical="center" wrapText="1"/>
    </xf>
    <xf numFmtId="0" fontId="7" fillId="27" borderId="70" xfId="240" applyFont="1" applyFill="1" applyBorder="1" applyAlignment="1" applyProtection="1">
      <alignment horizontal="center" vertical="center" wrapText="1"/>
      <protection locked="0"/>
    </xf>
    <xf numFmtId="0" fontId="7" fillId="27" borderId="74" xfId="240" applyFont="1" applyFill="1" applyBorder="1" applyAlignment="1" applyProtection="1">
      <alignment horizontal="center" vertical="center" wrapText="1"/>
      <protection locked="0"/>
    </xf>
    <xf numFmtId="0" fontId="7" fillId="27" borderId="75" xfId="240" applyFont="1" applyFill="1" applyBorder="1" applyAlignment="1" applyProtection="1">
      <alignment horizontal="center" vertical="center" wrapText="1"/>
      <protection locked="0"/>
    </xf>
    <xf numFmtId="0" fontId="7" fillId="29" borderId="46" xfId="240" applyFont="1" applyFill="1" applyBorder="1" applyAlignment="1" applyProtection="1">
      <alignment horizontal="center" vertical="center" wrapText="1"/>
    </xf>
    <xf numFmtId="0" fontId="3" fillId="0" borderId="0" xfId="240" applyFont="1" applyBorder="1" applyAlignment="1" applyProtection="1">
      <alignment horizontal="center" vertical="center" wrapText="1"/>
      <protection locked="0"/>
    </xf>
    <xf numFmtId="0" fontId="3" fillId="0" borderId="62" xfId="240" applyFont="1" applyBorder="1" applyAlignment="1" applyProtection="1">
      <alignment horizontal="center" vertical="center" wrapText="1"/>
    </xf>
    <xf numFmtId="0" fontId="3" fillId="0" borderId="63" xfId="240" applyFont="1" applyBorder="1" applyAlignment="1" applyProtection="1">
      <alignment horizontal="center" vertical="center" wrapText="1"/>
    </xf>
    <xf numFmtId="0" fontId="3" fillId="0" borderId="64" xfId="240" applyFont="1" applyBorder="1" applyAlignment="1" applyProtection="1">
      <alignment horizontal="center" vertical="center" wrapText="1"/>
    </xf>
    <xf numFmtId="0" fontId="7" fillId="27" borderId="45" xfId="240" applyFont="1" applyFill="1" applyBorder="1" applyAlignment="1" applyProtection="1">
      <alignment horizontal="center" vertical="center" wrapText="1"/>
    </xf>
    <xf numFmtId="0" fontId="7" fillId="27" borderId="46" xfId="240" applyFont="1" applyFill="1" applyBorder="1" applyAlignment="1" applyProtection="1">
      <alignment horizontal="center" vertical="center" wrapText="1"/>
    </xf>
    <xf numFmtId="0" fontId="7" fillId="27" borderId="0" xfId="242" applyFont="1" applyFill="1" applyBorder="1" applyAlignment="1" applyProtection="1">
      <alignment horizontal="center" vertical="center" wrapText="1"/>
      <protection locked="0"/>
    </xf>
    <xf numFmtId="0" fontId="7" fillId="27" borderId="19" xfId="242" applyFont="1" applyFill="1" applyBorder="1" applyAlignment="1" applyProtection="1">
      <alignment horizontal="center" vertical="center" wrapText="1"/>
      <protection locked="0"/>
    </xf>
    <xf numFmtId="44" fontId="3" fillId="0" borderId="0" xfId="198" applyFont="1" applyFill="1" applyBorder="1" applyAlignment="1" applyProtection="1">
      <alignment horizontal="center" vertical="center" wrapText="1"/>
      <protection locked="0"/>
    </xf>
    <xf numFmtId="44" fontId="3" fillId="0" borderId="21" xfId="198" applyFont="1" applyFill="1" applyBorder="1" applyAlignment="1" applyProtection="1">
      <alignment horizontal="center" vertical="center" wrapText="1"/>
      <protection locked="0"/>
    </xf>
    <xf numFmtId="0" fontId="7" fillId="31" borderId="45" xfId="240" applyFont="1" applyFill="1" applyBorder="1" applyAlignment="1" applyProtection="1">
      <alignment horizontal="center" vertical="center" wrapText="1"/>
      <protection locked="0"/>
    </xf>
    <xf numFmtId="0" fontId="7" fillId="31" borderId="46" xfId="240" applyFont="1" applyFill="1" applyBorder="1" applyAlignment="1" applyProtection="1">
      <alignment horizontal="center" vertical="center" wrapText="1"/>
      <protection locked="0"/>
    </xf>
    <xf numFmtId="0" fontId="2" fillId="27" borderId="70" xfId="240" applyFont="1" applyFill="1" applyBorder="1" applyAlignment="1" applyProtection="1">
      <alignment horizontal="center" vertical="center" wrapText="1"/>
    </xf>
    <xf numFmtId="0" fontId="2" fillId="27" borderId="74" xfId="240" applyFont="1" applyFill="1" applyBorder="1" applyAlignment="1" applyProtection="1">
      <alignment horizontal="center" vertical="center" wrapText="1"/>
    </xf>
    <xf numFmtId="0" fontId="2" fillId="27" borderId="75" xfId="240" applyFont="1" applyFill="1" applyBorder="1" applyAlignment="1" applyProtection="1">
      <alignment horizontal="center" vertical="center" wrapText="1"/>
    </xf>
    <xf numFmtId="0" fontId="2" fillId="27" borderId="20" xfId="240" applyFont="1" applyFill="1" applyBorder="1" applyAlignment="1" applyProtection="1">
      <alignment horizontal="center" vertical="center" wrapText="1"/>
    </xf>
    <xf numFmtId="0" fontId="2" fillId="27" borderId="0" xfId="240" applyFont="1" applyFill="1" applyBorder="1" applyAlignment="1" applyProtection="1">
      <alignment horizontal="center" vertical="center" wrapText="1"/>
    </xf>
    <xf numFmtId="0" fontId="2" fillId="27" borderId="21" xfId="240" applyFont="1" applyFill="1" applyBorder="1" applyAlignment="1" applyProtection="1">
      <alignment horizontal="center" vertical="center" wrapText="1"/>
    </xf>
    <xf numFmtId="0" fontId="2" fillId="27" borderId="100" xfId="240" applyFont="1" applyFill="1" applyBorder="1" applyAlignment="1" applyProtection="1">
      <alignment horizontal="center" vertical="center" wrapText="1"/>
    </xf>
    <xf numFmtId="0" fontId="2" fillId="27" borderId="60" xfId="240" applyFont="1" applyFill="1" applyBorder="1" applyAlignment="1" applyProtection="1">
      <alignment horizontal="center" vertical="center" wrapText="1"/>
    </xf>
    <xf numFmtId="0" fontId="2" fillId="27" borderId="101" xfId="240" applyFont="1" applyFill="1" applyBorder="1" applyAlignment="1" applyProtection="1">
      <alignment horizontal="center" vertical="center" wrapText="1"/>
    </xf>
    <xf numFmtId="0" fontId="7" fillId="27" borderId="47" xfId="240" applyFont="1" applyFill="1" applyBorder="1" applyAlignment="1" applyProtection="1">
      <alignment horizontal="center" vertical="center" wrapText="1"/>
    </xf>
    <xf numFmtId="0" fontId="7" fillId="32" borderId="45" xfId="240" applyFont="1" applyFill="1" applyBorder="1" applyAlignment="1" applyProtection="1">
      <alignment horizontal="center" vertical="center" wrapText="1"/>
    </xf>
    <xf numFmtId="0" fontId="7" fillId="32" borderId="46" xfId="240" applyFont="1" applyFill="1" applyBorder="1" applyAlignment="1" applyProtection="1">
      <alignment horizontal="center" vertical="center" wrapText="1"/>
    </xf>
    <xf numFmtId="0" fontId="7" fillId="32" borderId="47" xfId="240" applyFont="1" applyFill="1" applyBorder="1" applyAlignment="1" applyProtection="1">
      <alignment horizontal="center" vertical="center" wrapText="1"/>
    </xf>
    <xf numFmtId="0" fontId="3" fillId="27" borderId="0" xfId="240" applyFont="1" applyFill="1" applyBorder="1" applyAlignment="1" applyProtection="1">
      <alignment horizontal="right" vertical="center" wrapText="1"/>
    </xf>
    <xf numFmtId="0" fontId="7" fillId="27" borderId="20" xfId="240" applyFont="1" applyFill="1" applyBorder="1" applyAlignment="1" applyProtection="1">
      <alignment horizontal="left" vertical="center" wrapText="1"/>
    </xf>
    <xf numFmtId="0" fontId="7" fillId="27" borderId="0" xfId="240" applyFont="1" applyFill="1" applyBorder="1" applyAlignment="1" applyProtection="1">
      <alignment horizontal="left" vertical="center" wrapText="1"/>
    </xf>
    <xf numFmtId="0" fontId="3" fillId="27" borderId="25" xfId="240" applyFont="1" applyFill="1" applyBorder="1" applyAlignment="1" applyProtection="1">
      <alignment horizontal="right" vertical="center" wrapText="1"/>
    </xf>
    <xf numFmtId="2" fontId="7" fillId="27" borderId="25" xfId="240" applyNumberFormat="1" applyFont="1" applyFill="1" applyBorder="1" applyAlignment="1" applyProtection="1">
      <alignment horizontal="right" vertical="center" wrapText="1"/>
    </xf>
    <xf numFmtId="0" fontId="3" fillId="27" borderId="20" xfId="240" applyFont="1" applyFill="1" applyBorder="1" applyAlignment="1" applyProtection="1">
      <alignment horizontal="right" vertical="center" wrapText="1"/>
    </xf>
    <xf numFmtId="0" fontId="9" fillId="27" borderId="69" xfId="0" applyFont="1" applyFill="1" applyBorder="1" applyAlignment="1" applyProtection="1">
      <alignment horizontal="left" vertical="center"/>
    </xf>
    <xf numFmtId="0" fontId="9" fillId="0" borderId="69" xfId="0" applyFont="1" applyBorder="1" applyAlignment="1" applyProtection="1">
      <alignment horizontal="left" vertical="center" wrapText="1"/>
    </xf>
    <xf numFmtId="0" fontId="9" fillId="0" borderId="69" xfId="0" applyFont="1" applyBorder="1" applyAlignment="1" applyProtection="1">
      <alignment horizontal="left" vertical="center"/>
    </xf>
    <xf numFmtId="0" fontId="9" fillId="27" borderId="70" xfId="0" applyFont="1" applyFill="1" applyBorder="1" applyAlignment="1">
      <alignment horizontal="left" vertical="center"/>
    </xf>
    <xf numFmtId="0" fontId="9" fillId="27" borderId="20" xfId="0" applyFont="1" applyFill="1" applyBorder="1" applyAlignment="1">
      <alignment horizontal="left" vertical="center"/>
    </xf>
    <xf numFmtId="0" fontId="9" fillId="27" borderId="54" xfId="0" applyFont="1" applyFill="1" applyBorder="1" applyAlignment="1">
      <alignment horizontal="left" vertical="center"/>
    </xf>
    <xf numFmtId="0" fontId="9" fillId="0" borderId="70" xfId="0" applyFont="1" applyBorder="1" applyAlignment="1">
      <alignment horizontal="left" vertical="center" wrapText="1"/>
    </xf>
    <xf numFmtId="0" fontId="9" fillId="0" borderId="20" xfId="0" applyFont="1" applyBorder="1" applyAlignment="1">
      <alignment horizontal="left" vertical="center" wrapText="1"/>
    </xf>
    <xf numFmtId="0" fontId="9" fillId="0" borderId="54" xfId="0" applyFont="1" applyBorder="1" applyAlignment="1">
      <alignment horizontal="left" vertical="center" wrapText="1"/>
    </xf>
    <xf numFmtId="0" fontId="9" fillId="0" borderId="70" xfId="0" applyFont="1" applyBorder="1" applyAlignment="1">
      <alignment horizontal="left" vertical="center"/>
    </xf>
    <xf numFmtId="0" fontId="9" fillId="0" borderId="20" xfId="0" applyFont="1" applyBorder="1" applyAlignment="1">
      <alignment horizontal="left" vertical="center"/>
    </xf>
    <xf numFmtId="0" fontId="9" fillId="0" borderId="54" xfId="0" applyFont="1" applyBorder="1" applyAlignment="1">
      <alignment horizontal="left" vertical="center"/>
    </xf>
    <xf numFmtId="2" fontId="3" fillId="27" borderId="0" xfId="240" applyNumberFormat="1" applyFont="1" applyFill="1" applyBorder="1" applyAlignment="1" applyProtection="1">
      <alignment horizontal="right" vertical="center" wrapText="1"/>
    </xf>
    <xf numFmtId="0" fontId="3" fillId="27" borderId="0" xfId="240" applyNumberFormat="1" applyFont="1" applyFill="1" applyBorder="1" applyAlignment="1" applyProtection="1">
      <alignment horizontal="right" vertical="center" wrapText="1"/>
    </xf>
    <xf numFmtId="0" fontId="3" fillId="0" borderId="0" xfId="240" applyFont="1" applyBorder="1" applyAlignment="1" applyProtection="1">
      <alignment horizontal="right" vertical="center" wrapText="1"/>
    </xf>
    <xf numFmtId="0" fontId="3" fillId="0" borderId="0" xfId="240" applyFont="1" applyFill="1" applyBorder="1" applyAlignment="1" applyProtection="1">
      <alignment horizontal="center" vertical="center" wrapText="1"/>
    </xf>
    <xf numFmtId="0" fontId="7" fillId="27" borderId="102" xfId="240" applyFont="1" applyFill="1" applyBorder="1" applyAlignment="1" applyProtection="1">
      <alignment horizontal="center" vertical="center" wrapText="1"/>
    </xf>
    <xf numFmtId="0" fontId="7" fillId="27" borderId="103" xfId="240" applyFont="1" applyFill="1" applyBorder="1" applyAlignment="1" applyProtection="1">
      <alignment horizontal="center" vertical="center" wrapText="1"/>
    </xf>
    <xf numFmtId="0" fontId="7" fillId="27" borderId="104" xfId="240" applyFont="1" applyFill="1" applyBorder="1" applyAlignment="1" applyProtection="1">
      <alignment horizontal="center" vertical="center" wrapText="1"/>
    </xf>
    <xf numFmtId="2" fontId="3" fillId="0" borderId="0" xfId="240" applyNumberFormat="1" applyFont="1" applyBorder="1" applyAlignment="1" applyProtection="1">
      <alignment horizontal="right" vertical="center" wrapText="1"/>
    </xf>
    <xf numFmtId="2" fontId="7" fillId="27" borderId="0" xfId="240" applyNumberFormat="1" applyFont="1" applyFill="1" applyBorder="1" applyAlignment="1" applyProtection="1">
      <alignment horizontal="right" vertical="center" wrapText="1"/>
    </xf>
    <xf numFmtId="2" fontId="46" fillId="27" borderId="0" xfId="240" applyNumberFormat="1" applyFont="1" applyFill="1" applyBorder="1" applyAlignment="1" applyProtection="1">
      <alignment horizontal="right" vertical="center" wrapText="1"/>
    </xf>
    <xf numFmtId="0" fontId="7" fillId="27" borderId="25" xfId="240" applyFont="1" applyFill="1" applyBorder="1" applyAlignment="1" applyProtection="1">
      <alignment horizontal="center" vertical="center" wrapText="1"/>
    </xf>
    <xf numFmtId="2" fontId="7" fillId="27" borderId="0" xfId="240" applyNumberFormat="1" applyFont="1" applyFill="1" applyBorder="1" applyAlignment="1" applyProtection="1">
      <alignment horizontal="center" vertical="center" wrapText="1"/>
    </xf>
    <xf numFmtId="0" fontId="3" fillId="27" borderId="0" xfId="240" applyFont="1" applyFill="1" applyBorder="1" applyAlignment="1" applyProtection="1">
      <alignment horizontal="center" vertical="center" wrapText="1"/>
    </xf>
    <xf numFmtId="0" fontId="3" fillId="27" borderId="103" xfId="240" applyFont="1" applyFill="1" applyBorder="1" applyAlignment="1" applyProtection="1">
      <alignment horizontal="center" vertical="center" wrapText="1"/>
    </xf>
    <xf numFmtId="2" fontId="7" fillId="27" borderId="103" xfId="240" applyNumberFormat="1" applyFont="1" applyFill="1" applyBorder="1" applyAlignment="1" applyProtection="1">
      <alignment horizontal="right" vertical="center" wrapText="1"/>
    </xf>
    <xf numFmtId="0" fontId="3" fillId="27" borderId="43" xfId="240" applyFont="1" applyFill="1" applyBorder="1" applyAlignment="1" applyProtection="1">
      <alignment horizontal="center" vertical="center" wrapText="1"/>
    </xf>
    <xf numFmtId="0" fontId="3" fillId="27" borderId="44" xfId="240" applyFont="1" applyFill="1" applyBorder="1" applyAlignment="1" applyProtection="1">
      <alignment horizontal="center" vertical="center" wrapText="1"/>
    </xf>
    <xf numFmtId="0" fontId="7" fillId="36" borderId="105" xfId="240" applyFont="1" applyFill="1" applyBorder="1" applyAlignment="1" applyProtection="1">
      <alignment horizontal="center" vertical="center" wrapText="1"/>
    </xf>
    <xf numFmtId="0" fontId="7" fillId="36" borderId="66" xfId="240" applyFont="1" applyFill="1" applyBorder="1" applyAlignment="1" applyProtection="1">
      <alignment horizontal="center" vertical="center" wrapText="1"/>
    </xf>
    <xf numFmtId="0" fontId="7" fillId="36" borderId="68" xfId="240" applyFont="1" applyFill="1" applyBorder="1" applyAlignment="1" applyProtection="1">
      <alignment horizontal="center" vertical="center" wrapText="1"/>
    </xf>
    <xf numFmtId="0" fontId="3" fillId="27" borderId="25" xfId="240" applyFont="1" applyFill="1" applyBorder="1" applyAlignment="1" applyProtection="1">
      <alignment horizontal="left" vertical="center" wrapText="1"/>
    </xf>
    <xf numFmtId="2" fontId="3" fillId="27" borderId="60" xfId="240" applyNumberFormat="1" applyFont="1" applyFill="1" applyBorder="1" applyAlignment="1" applyProtection="1">
      <alignment horizontal="center" vertical="center" wrapText="1"/>
    </xf>
    <xf numFmtId="2" fontId="3" fillId="27" borderId="0" xfId="240" applyNumberFormat="1" applyFont="1" applyFill="1" applyBorder="1" applyAlignment="1" applyProtection="1">
      <alignment horizontal="center" vertical="center" wrapText="1"/>
    </xf>
    <xf numFmtId="2" fontId="3" fillId="27" borderId="25" xfId="240" applyNumberFormat="1" applyFont="1" applyFill="1" applyBorder="1" applyAlignment="1" applyProtection="1">
      <alignment horizontal="center" vertical="center" wrapText="1"/>
    </xf>
    <xf numFmtId="0" fontId="7" fillId="27" borderId="0" xfId="240" applyFont="1" applyFill="1" applyBorder="1" applyAlignment="1" applyProtection="1">
      <alignment horizontal="right" vertical="center" wrapText="1"/>
    </xf>
    <xf numFmtId="0" fontId="2" fillId="27" borderId="70" xfId="240" applyFont="1" applyFill="1" applyBorder="1" applyAlignment="1" applyProtection="1">
      <alignment horizontal="center" vertical="center" wrapText="1"/>
      <protection locked="0"/>
    </xf>
    <xf numFmtId="0" fontId="2" fillId="27" borderId="74" xfId="240" applyFont="1" applyFill="1" applyBorder="1" applyAlignment="1" applyProtection="1">
      <alignment horizontal="center" vertical="center" wrapText="1"/>
      <protection locked="0"/>
    </xf>
    <xf numFmtId="0" fontId="2" fillId="27" borderId="75" xfId="240" applyFont="1" applyFill="1" applyBorder="1" applyAlignment="1" applyProtection="1">
      <alignment horizontal="center" vertical="center" wrapText="1"/>
      <protection locked="0"/>
    </xf>
    <xf numFmtId="0" fontId="2" fillId="27" borderId="20" xfId="240" applyFont="1" applyFill="1" applyBorder="1" applyAlignment="1" applyProtection="1">
      <alignment horizontal="center" vertical="center" wrapText="1"/>
      <protection locked="0"/>
    </xf>
    <xf numFmtId="0" fontId="2" fillId="27" borderId="0" xfId="240" applyFont="1" applyFill="1" applyBorder="1" applyAlignment="1" applyProtection="1">
      <alignment horizontal="center" vertical="center" wrapText="1"/>
      <protection locked="0"/>
    </xf>
    <xf numFmtId="0" fontId="2" fillId="27" borderId="21" xfId="240" applyFont="1" applyFill="1" applyBorder="1" applyAlignment="1" applyProtection="1">
      <alignment horizontal="center" vertical="center" wrapText="1"/>
      <protection locked="0"/>
    </xf>
    <xf numFmtId="0" fontId="2" fillId="27" borderId="100" xfId="240" applyFont="1" applyFill="1" applyBorder="1" applyAlignment="1" applyProtection="1">
      <alignment horizontal="center" vertical="center" wrapText="1"/>
      <protection locked="0"/>
    </xf>
    <xf numFmtId="0" fontId="2" fillId="27" borderId="60" xfId="240" applyFont="1" applyFill="1" applyBorder="1" applyAlignment="1" applyProtection="1">
      <alignment horizontal="center" vertical="center" wrapText="1"/>
      <protection locked="0"/>
    </xf>
    <xf numFmtId="0" fontId="2" fillId="27" borderId="101" xfId="240" applyFont="1" applyFill="1" applyBorder="1" applyAlignment="1" applyProtection="1">
      <alignment horizontal="center" vertical="center" wrapText="1"/>
      <protection locked="0"/>
    </xf>
    <xf numFmtId="0" fontId="7" fillId="27" borderId="20" xfId="240" applyFont="1" applyFill="1" applyBorder="1" applyAlignment="1" applyProtection="1">
      <alignment horizontal="left" vertical="center" wrapText="1"/>
      <protection locked="0"/>
    </xf>
    <xf numFmtId="0" fontId="7" fillId="27" borderId="0" xfId="240" applyFont="1" applyFill="1" applyBorder="1" applyAlignment="1" applyProtection="1">
      <alignment horizontal="left" vertical="center" wrapText="1"/>
      <protection locked="0"/>
    </xf>
    <xf numFmtId="0" fontId="7" fillId="27" borderId="45" xfId="240" applyFont="1" applyFill="1" applyBorder="1" applyAlignment="1" applyProtection="1">
      <alignment horizontal="center" vertical="center" wrapText="1"/>
      <protection locked="0"/>
    </xf>
    <xf numFmtId="0" fontId="7" fillId="27" borderId="46" xfId="240" applyFont="1" applyFill="1" applyBorder="1" applyAlignment="1" applyProtection="1">
      <alignment horizontal="center" vertical="center" wrapText="1"/>
      <protection locked="0"/>
    </xf>
    <xf numFmtId="0" fontId="7" fillId="27" borderId="47" xfId="240" applyFont="1" applyFill="1" applyBorder="1" applyAlignment="1" applyProtection="1">
      <alignment horizontal="center" vertical="center" wrapText="1"/>
      <protection locked="0"/>
    </xf>
    <xf numFmtId="0" fontId="3" fillId="27" borderId="0" xfId="240" applyFont="1" applyFill="1" applyBorder="1" applyAlignment="1" applyProtection="1">
      <alignment horizontal="right" vertical="center" wrapText="1"/>
      <protection locked="0"/>
    </xf>
    <xf numFmtId="2" fontId="7" fillId="27" borderId="0" xfId="240" applyNumberFormat="1" applyFont="1" applyFill="1" applyBorder="1" applyAlignment="1" applyProtection="1">
      <alignment horizontal="right" vertical="center" wrapText="1"/>
      <protection locked="0"/>
    </xf>
    <xf numFmtId="0" fontId="3" fillId="27" borderId="0" xfId="240" applyFont="1" applyFill="1" applyBorder="1" applyAlignment="1" applyProtection="1">
      <alignment horizontal="center" vertical="center" wrapText="1"/>
      <protection locked="0"/>
    </xf>
    <xf numFmtId="2" fontId="7" fillId="27" borderId="25" xfId="240" applyNumberFormat="1" applyFont="1" applyFill="1" applyBorder="1" applyAlignment="1" applyProtection="1">
      <alignment horizontal="right" vertical="center" wrapText="1"/>
      <protection locked="0"/>
    </xf>
    <xf numFmtId="0" fontId="7" fillId="36" borderId="65" xfId="240" applyFont="1" applyFill="1" applyBorder="1" applyAlignment="1" applyProtection="1">
      <alignment horizontal="center" vertical="center" wrapText="1"/>
      <protection locked="0"/>
    </xf>
    <xf numFmtId="0" fontId="7" fillId="36" borderId="66" xfId="240" applyFont="1" applyFill="1" applyBorder="1" applyAlignment="1" applyProtection="1">
      <alignment horizontal="center" vertical="center" wrapText="1"/>
      <protection locked="0"/>
    </xf>
    <xf numFmtId="0" fontId="7" fillId="36" borderId="68" xfId="240" applyFont="1" applyFill="1" applyBorder="1" applyAlignment="1" applyProtection="1">
      <alignment horizontal="center" vertical="center" wrapText="1"/>
      <protection locked="0"/>
    </xf>
    <xf numFmtId="2" fontId="7" fillId="27" borderId="103" xfId="240" applyNumberFormat="1" applyFont="1" applyFill="1" applyBorder="1" applyAlignment="1" applyProtection="1">
      <alignment horizontal="right" vertical="center" wrapText="1"/>
      <protection locked="0"/>
    </xf>
    <xf numFmtId="2" fontId="3" fillId="27" borderId="0" xfId="240" applyNumberFormat="1" applyFont="1" applyFill="1" applyBorder="1" applyAlignment="1" applyProtection="1">
      <alignment horizontal="center" vertical="center" wrapText="1"/>
      <protection locked="0"/>
    </xf>
    <xf numFmtId="0" fontId="3" fillId="27" borderId="25" xfId="240" applyFont="1" applyFill="1" applyBorder="1" applyAlignment="1" applyProtection="1">
      <alignment horizontal="left" vertical="center" wrapText="1"/>
      <protection locked="0"/>
    </xf>
    <xf numFmtId="0" fontId="3" fillId="27" borderId="25" xfId="240" applyFont="1" applyFill="1" applyBorder="1" applyAlignment="1" applyProtection="1">
      <alignment horizontal="center" vertical="center" wrapText="1"/>
      <protection locked="0"/>
    </xf>
    <xf numFmtId="0" fontId="3" fillId="27" borderId="43" xfId="240" applyFont="1" applyFill="1" applyBorder="1" applyAlignment="1" applyProtection="1">
      <alignment horizontal="center" vertical="center" wrapText="1"/>
      <protection locked="0"/>
    </xf>
    <xf numFmtId="0" fontId="3" fillId="27" borderId="44" xfId="240" applyFont="1" applyFill="1" applyBorder="1" applyAlignment="1" applyProtection="1">
      <alignment horizontal="center" vertical="center" wrapText="1"/>
      <protection locked="0"/>
    </xf>
    <xf numFmtId="0" fontId="73" fillId="36" borderId="59" xfId="0" applyFont="1" applyFill="1" applyBorder="1" applyAlignment="1" applyProtection="1">
      <alignment horizontal="center" vertical="center"/>
    </xf>
    <xf numFmtId="0" fontId="73" fillId="36" borderId="60" xfId="0" applyFont="1" applyFill="1" applyBorder="1" applyAlignment="1" applyProtection="1">
      <alignment horizontal="center" vertical="center"/>
    </xf>
    <xf numFmtId="0" fontId="73" fillId="36" borderId="61" xfId="0" applyFont="1" applyFill="1" applyBorder="1" applyAlignment="1" applyProtection="1">
      <alignment horizontal="center" vertical="center"/>
    </xf>
    <xf numFmtId="0" fontId="7" fillId="36" borderId="65" xfId="0" applyFont="1" applyFill="1" applyBorder="1" applyAlignment="1" applyProtection="1">
      <alignment horizontal="center" vertical="center"/>
    </xf>
    <xf numFmtId="0" fontId="7" fillId="36" borderId="66" xfId="0" applyFont="1" applyFill="1" applyBorder="1" applyAlignment="1" applyProtection="1">
      <alignment horizontal="center" vertical="center"/>
    </xf>
    <xf numFmtId="0" fontId="7" fillId="36" borderId="68" xfId="0" applyFont="1" applyFill="1" applyBorder="1" applyAlignment="1" applyProtection="1">
      <alignment horizontal="center" vertical="center"/>
    </xf>
    <xf numFmtId="0" fontId="73" fillId="32" borderId="65" xfId="0" applyFont="1" applyFill="1" applyBorder="1" applyAlignment="1" applyProtection="1">
      <alignment horizontal="center" vertical="center"/>
    </xf>
    <xf numFmtId="0" fontId="73" fillId="32" borderId="66" xfId="0" applyFont="1" applyFill="1" applyBorder="1" applyAlignment="1" applyProtection="1">
      <alignment horizontal="center" vertical="center"/>
    </xf>
    <xf numFmtId="0" fontId="73" fillId="32" borderId="68" xfId="0" applyFont="1" applyFill="1" applyBorder="1" applyAlignment="1" applyProtection="1">
      <alignment horizontal="center" vertical="center"/>
    </xf>
    <xf numFmtId="0" fontId="73" fillId="30" borderId="65" xfId="0" applyFont="1" applyFill="1" applyBorder="1" applyAlignment="1" applyProtection="1">
      <alignment horizontal="center" vertical="center"/>
    </xf>
    <xf numFmtId="0" fontId="73" fillId="30" borderId="66" xfId="0" applyFont="1" applyFill="1" applyBorder="1" applyAlignment="1" applyProtection="1">
      <alignment horizontal="center" vertical="center"/>
    </xf>
    <xf numFmtId="0" fontId="73" fillId="30" borderId="68" xfId="0" applyFont="1" applyFill="1" applyBorder="1" applyAlignment="1" applyProtection="1">
      <alignment horizontal="center" vertical="center"/>
    </xf>
    <xf numFmtId="0" fontId="7" fillId="36" borderId="65" xfId="240" applyFont="1" applyFill="1" applyBorder="1" applyAlignment="1" applyProtection="1">
      <alignment horizontal="center" vertical="center" wrapText="1"/>
    </xf>
    <xf numFmtId="0" fontId="7" fillId="27" borderId="59" xfId="240" applyFont="1" applyFill="1" applyBorder="1" applyAlignment="1" applyProtection="1">
      <alignment horizontal="right" vertical="center" wrapText="1"/>
    </xf>
    <xf numFmtId="0" fontId="7" fillId="27" borderId="60" xfId="240" applyFont="1" applyFill="1" applyBorder="1" applyAlignment="1" applyProtection="1">
      <alignment horizontal="right" vertical="center" wrapText="1"/>
    </xf>
    <xf numFmtId="2" fontId="3" fillId="27" borderId="25" xfId="240" applyNumberFormat="1" applyFont="1" applyFill="1" applyBorder="1" applyAlignment="1" applyProtection="1">
      <alignment horizontal="right" vertical="center" wrapText="1"/>
    </xf>
    <xf numFmtId="177" fontId="7" fillId="32" borderId="115" xfId="496" applyFont="1" applyFill="1" applyBorder="1" applyAlignment="1" applyProtection="1">
      <alignment horizontal="center" vertical="center" wrapText="1"/>
    </xf>
    <xf numFmtId="177" fontId="7" fillId="32" borderId="125" xfId="496" applyFont="1" applyFill="1" applyBorder="1" applyAlignment="1" applyProtection="1">
      <alignment horizontal="center" vertical="center" wrapText="1"/>
    </xf>
    <xf numFmtId="177" fontId="7" fillId="32" borderId="122" xfId="496" applyFont="1" applyFill="1" applyBorder="1" applyAlignment="1" applyProtection="1">
      <alignment horizontal="center" vertical="center" wrapText="1"/>
    </xf>
    <xf numFmtId="177" fontId="7" fillId="32" borderId="121" xfId="496" applyFont="1" applyFill="1" applyBorder="1" applyAlignment="1" applyProtection="1">
      <alignment horizontal="center" vertical="center" wrapText="1"/>
    </xf>
    <xf numFmtId="177" fontId="7" fillId="32" borderId="113" xfId="496" applyFont="1" applyFill="1" applyBorder="1" applyAlignment="1" applyProtection="1">
      <alignment horizontal="center" vertical="center" wrapText="1"/>
    </xf>
    <xf numFmtId="177" fontId="7" fillId="32" borderId="114" xfId="496" applyFont="1" applyFill="1" applyBorder="1" applyAlignment="1" applyProtection="1">
      <alignment horizontal="center" vertical="center" wrapText="1"/>
    </xf>
    <xf numFmtId="177" fontId="7" fillId="32" borderId="123" xfId="496" applyFont="1" applyFill="1" applyBorder="1" applyAlignment="1" applyProtection="1">
      <alignment horizontal="center" vertical="center" wrapText="1"/>
    </xf>
    <xf numFmtId="0" fontId="45" fillId="27" borderId="0" xfId="240" applyFont="1" applyFill="1" applyBorder="1" applyAlignment="1" applyProtection="1">
      <alignment horizontal="right" vertical="center" wrapText="1"/>
    </xf>
    <xf numFmtId="0" fontId="79" fillId="27" borderId="0" xfId="240" applyFont="1" applyFill="1" applyBorder="1" applyAlignment="1" applyProtection="1">
      <alignment horizontal="right" vertical="center" wrapText="1"/>
    </xf>
    <xf numFmtId="0" fontId="7" fillId="27" borderId="0" xfId="240" applyFont="1" applyFill="1" applyBorder="1" applyAlignment="1" applyProtection="1">
      <alignment horizontal="center" vertical="center" wrapText="1"/>
    </xf>
    <xf numFmtId="0" fontId="3" fillId="27" borderId="51" xfId="240" applyFont="1" applyFill="1" applyBorder="1" applyAlignment="1" applyProtection="1">
      <alignment horizontal="right" vertical="center" wrapText="1"/>
    </xf>
    <xf numFmtId="0" fontId="3" fillId="27" borderId="43" xfId="240" applyFont="1" applyFill="1" applyBorder="1" applyAlignment="1" applyProtection="1">
      <alignment horizontal="right" vertical="center" wrapText="1"/>
    </xf>
    <xf numFmtId="0" fontId="3" fillId="27" borderId="50" xfId="240" applyFont="1" applyFill="1" applyBorder="1" applyAlignment="1" applyProtection="1">
      <alignment horizontal="center" vertical="center" wrapText="1"/>
    </xf>
    <xf numFmtId="0" fontId="3" fillId="27" borderId="73" xfId="240" applyFont="1" applyFill="1" applyBorder="1" applyAlignment="1" applyProtection="1">
      <alignment horizontal="center" vertical="center" wrapText="1"/>
    </xf>
    <xf numFmtId="0" fontId="3" fillId="27" borderId="21" xfId="240" applyFont="1" applyFill="1" applyBorder="1" applyAlignment="1" applyProtection="1">
      <alignment horizontal="center" vertical="center" wrapText="1"/>
    </xf>
    <xf numFmtId="0" fontId="7" fillId="27" borderId="25" xfId="240" applyFont="1" applyFill="1" applyBorder="1" applyAlignment="1" applyProtection="1">
      <alignment horizontal="right" vertical="center" wrapText="1"/>
    </xf>
    <xf numFmtId="0" fontId="7" fillId="27" borderId="43" xfId="240" applyFont="1" applyFill="1" applyBorder="1" applyAlignment="1" applyProtection="1">
      <alignment horizontal="right" vertical="center" wrapText="1"/>
      <protection locked="0"/>
    </xf>
    <xf numFmtId="180" fontId="3" fillId="27" borderId="0" xfId="240" applyNumberFormat="1" applyFont="1" applyFill="1" applyBorder="1" applyAlignment="1" applyProtection="1">
      <alignment horizontal="right" vertical="center" wrapText="1"/>
      <protection locked="0"/>
    </xf>
    <xf numFmtId="180" fontId="3" fillId="27" borderId="0" xfId="240" applyNumberFormat="1" applyFont="1" applyFill="1" applyBorder="1" applyAlignment="1" applyProtection="1">
      <alignment horizontal="center" vertical="center" wrapText="1"/>
      <protection locked="0"/>
    </xf>
    <xf numFmtId="0" fontId="7" fillId="27" borderId="65" xfId="240" applyFont="1" applyFill="1" applyBorder="1" applyAlignment="1" applyProtection="1">
      <alignment horizontal="center" vertical="center"/>
      <protection locked="0"/>
    </xf>
    <xf numFmtId="0" fontId="7" fillId="27" borderId="66" xfId="240" applyFont="1" applyFill="1" applyBorder="1" applyAlignment="1" applyProtection="1">
      <alignment horizontal="center" vertical="center"/>
      <protection locked="0"/>
    </xf>
    <xf numFmtId="0" fontId="7" fillId="27" borderId="68" xfId="240" applyFont="1" applyFill="1" applyBorder="1" applyAlignment="1" applyProtection="1">
      <alignment horizontal="center" vertical="center"/>
      <protection locked="0"/>
    </xf>
    <xf numFmtId="0" fontId="7" fillId="27" borderId="0" xfId="240" applyFont="1" applyFill="1" applyBorder="1" applyAlignment="1" applyProtection="1">
      <alignment horizontal="center" vertical="center"/>
      <protection locked="0"/>
    </xf>
    <xf numFmtId="0" fontId="7" fillId="27" borderId="58" xfId="240" applyFont="1" applyFill="1" applyBorder="1" applyAlignment="1" applyProtection="1">
      <alignment horizontal="center" vertical="center"/>
      <protection locked="0"/>
    </xf>
    <xf numFmtId="0" fontId="7" fillId="27" borderId="57" xfId="240" applyFont="1" applyFill="1" applyBorder="1" applyAlignment="1" applyProtection="1">
      <alignment horizontal="center" vertical="center"/>
      <protection locked="0"/>
    </xf>
    <xf numFmtId="0" fontId="7" fillId="27" borderId="59" xfId="240" applyFont="1" applyFill="1" applyBorder="1" applyAlignment="1" applyProtection="1">
      <alignment horizontal="center" vertical="center"/>
      <protection locked="0"/>
    </xf>
    <xf numFmtId="0" fontId="7" fillId="27" borderId="60" xfId="240" applyFont="1" applyFill="1" applyBorder="1" applyAlignment="1" applyProtection="1">
      <alignment horizontal="center" vertical="center"/>
      <protection locked="0"/>
    </xf>
    <xf numFmtId="2" fontId="3" fillId="27" borderId="25" xfId="240" applyNumberFormat="1" applyFont="1" applyFill="1" applyBorder="1" applyAlignment="1" applyProtection="1">
      <alignment horizontal="right" vertical="center" wrapText="1"/>
      <protection locked="0"/>
    </xf>
    <xf numFmtId="0" fontId="7" fillId="32" borderId="62" xfId="243" applyFont="1" applyFill="1" applyBorder="1" applyAlignment="1" applyProtection="1">
      <alignment horizontal="center" vertical="center" wrapText="1"/>
    </xf>
    <xf numFmtId="0" fontId="7" fillId="32" borderId="63" xfId="243" applyFont="1" applyFill="1" applyBorder="1" applyAlignment="1" applyProtection="1">
      <alignment horizontal="center" vertical="center" wrapText="1"/>
    </xf>
    <xf numFmtId="0" fontId="7" fillId="32" borderId="64" xfId="243" applyFont="1" applyFill="1" applyBorder="1" applyAlignment="1" applyProtection="1">
      <alignment horizontal="center" vertical="center" wrapText="1"/>
    </xf>
    <xf numFmtId="0" fontId="7" fillId="36" borderId="106" xfId="243" applyFont="1" applyFill="1" applyBorder="1" applyAlignment="1" applyProtection="1">
      <alignment horizontal="center" vertical="center" wrapText="1"/>
    </xf>
    <xf numFmtId="0" fontId="7" fillId="36" borderId="107" xfId="243" applyFont="1" applyFill="1" applyBorder="1" applyAlignment="1" applyProtection="1">
      <alignment horizontal="center" vertical="center" wrapText="1"/>
    </xf>
    <xf numFmtId="0" fontId="69" fillId="36" borderId="107" xfId="0" applyFont="1" applyFill="1" applyBorder="1" applyAlignment="1" applyProtection="1">
      <alignment horizontal="center"/>
    </xf>
    <xf numFmtId="0" fontId="69" fillId="36" borderId="108" xfId="0" applyFont="1" applyFill="1" applyBorder="1" applyAlignment="1" applyProtection="1">
      <alignment horizontal="center"/>
    </xf>
    <xf numFmtId="0" fontId="7" fillId="0" borderId="34" xfId="243" applyFont="1" applyFill="1" applyBorder="1" applyAlignment="1" applyProtection="1">
      <alignment horizontal="left" vertical="center" wrapText="1"/>
    </xf>
    <xf numFmtId="0" fontId="7" fillId="0" borderId="28" xfId="243" applyFont="1" applyFill="1" applyBorder="1" applyAlignment="1" applyProtection="1">
      <alignment horizontal="left" vertical="center" wrapText="1"/>
    </xf>
    <xf numFmtId="0" fontId="7" fillId="0" borderId="40" xfId="243" applyFont="1" applyFill="1" applyBorder="1" applyAlignment="1" applyProtection="1">
      <alignment horizontal="left" vertical="center" wrapText="1"/>
    </xf>
    <xf numFmtId="0" fontId="7" fillId="0" borderId="30" xfId="243" applyFont="1" applyFill="1" applyBorder="1" applyAlignment="1" applyProtection="1">
      <alignment horizontal="left" vertical="center" wrapText="1"/>
    </xf>
    <xf numFmtId="0" fontId="7" fillId="36" borderId="108" xfId="243" applyFont="1" applyFill="1" applyBorder="1" applyAlignment="1" applyProtection="1">
      <alignment horizontal="center" vertical="center" wrapText="1"/>
    </xf>
    <xf numFmtId="0" fontId="7" fillId="0" borderId="34" xfId="243" applyFont="1" applyBorder="1" applyAlignment="1" applyProtection="1">
      <alignment horizontal="left" vertical="center" wrapText="1"/>
    </xf>
    <xf numFmtId="0" fontId="7" fillId="0" borderId="28" xfId="243" applyFont="1" applyBorder="1" applyAlignment="1" applyProtection="1">
      <alignment horizontal="left" vertical="center" wrapText="1"/>
    </xf>
    <xf numFmtId="0" fontId="7" fillId="0" borderId="37" xfId="243" applyFont="1" applyBorder="1" applyAlignment="1" applyProtection="1">
      <alignment horizontal="left" vertical="center" wrapText="1"/>
    </xf>
    <xf numFmtId="0" fontId="7" fillId="0" borderId="32" xfId="243" applyFont="1" applyBorder="1" applyAlignment="1" applyProtection="1">
      <alignment horizontal="left" vertical="center" wrapText="1"/>
    </xf>
    <xf numFmtId="0" fontId="7" fillId="36" borderId="34" xfId="243" applyFont="1" applyFill="1" applyBorder="1" applyAlignment="1" applyProtection="1">
      <alignment horizontal="center" vertical="center" wrapText="1"/>
    </xf>
    <xf numFmtId="0" fontId="7" fillId="36" borderId="28" xfId="243" applyFont="1" applyFill="1" applyBorder="1" applyAlignment="1" applyProtection="1">
      <alignment horizontal="center" vertical="center" wrapText="1"/>
    </xf>
    <xf numFmtId="0" fontId="7" fillId="36" borderId="29" xfId="243" applyFont="1" applyFill="1" applyBorder="1" applyAlignment="1" applyProtection="1">
      <alignment horizontal="center" vertical="center" wrapText="1"/>
    </xf>
    <xf numFmtId="0" fontId="7" fillId="0" borderId="40" xfId="243" applyFont="1" applyBorder="1" applyAlignment="1" applyProtection="1">
      <alignment horizontal="center" vertical="center" wrapText="1"/>
    </xf>
    <xf numFmtId="0" fontId="7" fillId="0" borderId="30" xfId="243" applyFont="1" applyBorder="1" applyAlignment="1" applyProtection="1">
      <alignment horizontal="center" vertical="center" wrapText="1"/>
    </xf>
    <xf numFmtId="0" fontId="73" fillId="0" borderId="40" xfId="0" applyFont="1" applyBorder="1" applyAlignment="1" applyProtection="1">
      <alignment horizontal="left"/>
    </xf>
    <xf numFmtId="0" fontId="73" fillId="0" borderId="30" xfId="0" applyFont="1" applyBorder="1" applyAlignment="1" applyProtection="1">
      <alignment horizontal="left"/>
    </xf>
    <xf numFmtId="0" fontId="69" fillId="0" borderId="34" xfId="0" applyFont="1" applyBorder="1" applyAlignment="1" applyProtection="1">
      <alignment horizontal="left" vertical="center"/>
    </xf>
    <xf numFmtId="0" fontId="69" fillId="0" borderId="28" xfId="0" applyFont="1" applyBorder="1" applyAlignment="1" applyProtection="1">
      <alignment horizontal="left" vertical="center"/>
    </xf>
    <xf numFmtId="0" fontId="69" fillId="0" borderId="40" xfId="0" applyFont="1" applyBorder="1" applyAlignment="1" applyProtection="1">
      <alignment horizontal="left" vertical="center"/>
    </xf>
    <xf numFmtId="0" fontId="69" fillId="0" borderId="30" xfId="0" applyFont="1" applyBorder="1" applyAlignment="1" applyProtection="1">
      <alignment horizontal="left" vertical="center"/>
    </xf>
    <xf numFmtId="0" fontId="69" fillId="0" borderId="102" xfId="0" applyFont="1" applyBorder="1" applyAlignment="1" applyProtection="1">
      <alignment horizontal="left" vertical="center"/>
    </xf>
    <xf numFmtId="0" fontId="69" fillId="0" borderId="36" xfId="0" applyFont="1" applyBorder="1" applyAlignment="1" applyProtection="1">
      <alignment horizontal="left" vertical="center"/>
    </xf>
    <xf numFmtId="0" fontId="69" fillId="0" borderId="109" xfId="0" applyFont="1" applyBorder="1" applyAlignment="1" applyProtection="1">
      <alignment horizontal="left" vertical="center"/>
    </xf>
    <xf numFmtId="0" fontId="69" fillId="0" borderId="42" xfId="0" applyFont="1" applyBorder="1" applyAlignment="1" applyProtection="1">
      <alignment horizontal="left" vertical="center"/>
    </xf>
    <xf numFmtId="0" fontId="73" fillId="36" borderId="106" xfId="0" applyFont="1" applyFill="1" applyBorder="1" applyAlignment="1" applyProtection="1">
      <alignment horizontal="center" vertical="center"/>
    </xf>
    <xf numFmtId="0" fontId="73" fillId="36" borderId="107" xfId="0" applyFont="1" applyFill="1" applyBorder="1" applyAlignment="1" applyProtection="1">
      <alignment horizontal="center" vertical="center"/>
    </xf>
    <xf numFmtId="0" fontId="73" fillId="36" borderId="108" xfId="0" applyFont="1" applyFill="1" applyBorder="1" applyAlignment="1" applyProtection="1">
      <alignment horizontal="center" vertical="center"/>
    </xf>
    <xf numFmtId="0" fontId="7" fillId="32" borderId="46" xfId="241" applyFont="1" applyFill="1" applyBorder="1" applyAlignment="1" applyProtection="1">
      <alignment horizontal="center" vertical="center" wrapText="1"/>
    </xf>
    <xf numFmtId="0" fontId="65" fillId="0" borderId="62" xfId="0" applyFont="1" applyBorder="1" applyAlignment="1" applyProtection="1">
      <alignment horizontal="center" vertical="center" wrapText="1"/>
    </xf>
    <xf numFmtId="0" fontId="65" fillId="0" borderId="63" xfId="0" applyFont="1" applyBorder="1" applyAlignment="1" applyProtection="1">
      <alignment horizontal="center" vertical="center" wrapText="1"/>
    </xf>
    <xf numFmtId="0" fontId="65" fillId="0" borderId="64" xfId="0" applyFont="1" applyBorder="1" applyAlignment="1" applyProtection="1">
      <alignment horizontal="center" vertical="center" wrapText="1"/>
    </xf>
    <xf numFmtId="0" fontId="48" fillId="27" borderId="70" xfId="241" applyFont="1" applyFill="1" applyBorder="1" applyAlignment="1" applyProtection="1">
      <alignment horizontal="left" vertical="center" wrapText="1"/>
    </xf>
    <xf numFmtId="0" fontId="47" fillId="27" borderId="74" xfId="241" applyFont="1" applyFill="1" applyBorder="1" applyAlignment="1" applyProtection="1">
      <alignment vertical="center" wrapText="1"/>
    </xf>
    <xf numFmtId="0" fontId="47" fillId="27" borderId="75" xfId="241" applyFont="1" applyFill="1" applyBorder="1" applyAlignment="1" applyProtection="1">
      <alignment vertical="center" wrapText="1"/>
    </xf>
    <xf numFmtId="0" fontId="48" fillId="27" borderId="20" xfId="241" applyFont="1" applyFill="1" applyBorder="1" applyAlignment="1" applyProtection="1">
      <alignment horizontal="left" vertical="center" wrapText="1"/>
    </xf>
    <xf numFmtId="0" fontId="47" fillId="27" borderId="0" xfId="241" applyFont="1" applyFill="1" applyBorder="1" applyAlignment="1" applyProtection="1">
      <alignment vertical="center" wrapText="1"/>
    </xf>
    <xf numFmtId="0" fontId="47" fillId="27" borderId="21" xfId="241" applyFont="1" applyFill="1" applyBorder="1" applyAlignment="1" applyProtection="1">
      <alignment vertical="center" wrapText="1"/>
    </xf>
    <xf numFmtId="0" fontId="69" fillId="0" borderId="54" xfId="0" applyFont="1" applyBorder="1" applyAlignment="1" applyProtection="1">
      <alignment horizontal="center"/>
    </xf>
    <xf numFmtId="0" fontId="69" fillId="0" borderId="55" xfId="0" applyFont="1" applyBorder="1" applyAlignment="1" applyProtection="1">
      <alignment horizontal="left" wrapText="1"/>
    </xf>
    <xf numFmtId="0" fontId="69" fillId="0" borderId="55" xfId="0" applyFont="1" applyBorder="1" applyAlignment="1" applyProtection="1">
      <alignment horizontal="center"/>
    </xf>
    <xf numFmtId="4" fontId="69" fillId="0" borderId="56" xfId="198" applyNumberFormat="1" applyFont="1" applyBorder="1" applyAlignment="1" applyProtection="1">
      <alignment vertical="center"/>
    </xf>
    <xf numFmtId="0" fontId="73" fillId="32" borderId="53" xfId="0" applyFont="1" applyFill="1" applyBorder="1" applyAlignment="1" applyProtection="1">
      <alignment horizontal="center" vertical="center"/>
    </xf>
    <xf numFmtId="0" fontId="73" fillId="32" borderId="53" xfId="0" applyFont="1" applyFill="1" applyBorder="1" applyAlignment="1" applyProtection="1">
      <alignment horizontal="left" vertical="center" wrapText="1"/>
    </xf>
    <xf numFmtId="4" fontId="73" fillId="32" borderId="53" xfId="198" applyNumberFormat="1" applyFont="1" applyFill="1" applyBorder="1" applyAlignment="1" applyProtection="1">
      <alignment horizontal="center" vertical="center"/>
    </xf>
    <xf numFmtId="0" fontId="69" fillId="0" borderId="20" xfId="0" applyFont="1" applyBorder="1" applyAlignment="1" applyProtection="1">
      <alignment horizontal="center"/>
    </xf>
    <xf numFmtId="0" fontId="69" fillId="0" borderId="0" xfId="0" applyFont="1" applyBorder="1" applyAlignment="1" applyProtection="1">
      <alignment horizontal="left" wrapText="1"/>
    </xf>
    <xf numFmtId="0" fontId="69" fillId="0" borderId="0" xfId="0" applyFont="1" applyBorder="1" applyAlignment="1" applyProtection="1">
      <alignment horizontal="center"/>
    </xf>
    <xf numFmtId="44" fontId="69" fillId="0" borderId="21" xfId="198" applyFont="1" applyFill="1" applyBorder="1" applyAlignment="1" applyProtection="1">
      <alignment vertical="center"/>
    </xf>
    <xf numFmtId="4" fontId="69" fillId="0" borderId="0" xfId="490" applyNumberFormat="1" applyFont="1" applyProtection="1">
      <alignment vertical="center"/>
    </xf>
    <xf numFmtId="0" fontId="69" fillId="0" borderId="21" xfId="0" applyFont="1" applyBorder="1" applyProtection="1"/>
    <xf numFmtId="4" fontId="69" fillId="0" borderId="21" xfId="198" applyNumberFormat="1" applyFont="1" applyFill="1" applyBorder="1" applyAlignment="1" applyProtection="1">
      <alignment vertical="center"/>
    </xf>
    <xf numFmtId="4" fontId="69" fillId="0" borderId="56" xfId="198" applyNumberFormat="1" applyFont="1" applyFill="1" applyBorder="1" applyAlignment="1" applyProtection="1">
      <alignment vertical="center"/>
    </xf>
    <xf numFmtId="0" fontId="69" fillId="0" borderId="0" xfId="0" applyFont="1" applyAlignment="1" applyProtection="1">
      <alignment horizontal="left" wrapText="1"/>
    </xf>
    <xf numFmtId="4" fontId="69" fillId="0" borderId="0" xfId="198" applyNumberFormat="1" applyFont="1" applyFill="1" applyAlignment="1" applyProtection="1">
      <alignment vertical="center"/>
    </xf>
    <xf numFmtId="4" fontId="69" fillId="0" borderId="0" xfId="0" applyNumberFormat="1" applyFont="1" applyAlignment="1" applyProtection="1">
      <alignment horizontal="center"/>
    </xf>
    <xf numFmtId="4" fontId="73" fillId="32" borderId="53" xfId="198" applyNumberFormat="1" applyFont="1" applyFill="1" applyBorder="1" applyAlignment="1" applyProtection="1">
      <alignment vertical="center"/>
    </xf>
    <xf numFmtId="4" fontId="69" fillId="0" borderId="0" xfId="198" applyNumberFormat="1" applyFont="1" applyAlignment="1" applyProtection="1">
      <alignment vertical="center"/>
    </xf>
  </cellXfs>
  <cellStyles count="533">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Ênfase1 2" xfId="13"/>
    <cellStyle name="20% - Ênfase1 2 2" xfId="14"/>
    <cellStyle name="20% - Ênfase1 2 3" xfId="15"/>
    <cellStyle name="20% - Ênfase1 2 4" xfId="16"/>
    <cellStyle name="20% - Ênfase1 3" xfId="17"/>
    <cellStyle name="20% - Ênfase1 3 2" xfId="18"/>
    <cellStyle name="20% - Ênfase1 4" xfId="19"/>
    <cellStyle name="20% - Ênfase2 2" xfId="20"/>
    <cellStyle name="20% - Ênfase2 2 2" xfId="21"/>
    <cellStyle name="20% - Ênfase2 2 3" xfId="22"/>
    <cellStyle name="20% - Ênfase2 2 4" xfId="23"/>
    <cellStyle name="20% - Ênfase2 3" xfId="24"/>
    <cellStyle name="20% - Ênfase2 3 2" xfId="25"/>
    <cellStyle name="20% - Ênfase2 4" xfId="26"/>
    <cellStyle name="20% - Ênfase3 2" xfId="27"/>
    <cellStyle name="20% - Ênfase3 2 2" xfId="28"/>
    <cellStyle name="20% - Ênfase3 2 3" xfId="29"/>
    <cellStyle name="20% - Ênfase3 2 4" xfId="30"/>
    <cellStyle name="20% - Ênfase3 3" xfId="31"/>
    <cellStyle name="20% - Ênfase3 3 2" xfId="32"/>
    <cellStyle name="20% - Ênfase3 4" xfId="33"/>
    <cellStyle name="20% - Ênfase4 2" xfId="34"/>
    <cellStyle name="20% - Ênfase4 2 2" xfId="35"/>
    <cellStyle name="20% - Ênfase4 2 3" xfId="36"/>
    <cellStyle name="20% - Ênfase4 2 4" xfId="37"/>
    <cellStyle name="20% - Ênfase4 3" xfId="38"/>
    <cellStyle name="20% - Ênfase4 3 2" xfId="39"/>
    <cellStyle name="20% - Ênfase4 4" xfId="40"/>
    <cellStyle name="20% - Ênfase5 2" xfId="41"/>
    <cellStyle name="20% - Ênfase5 2 2" xfId="42"/>
    <cellStyle name="20% - Ênfase5 3" xfId="43"/>
    <cellStyle name="20% - Ênfase6 2" xfId="44"/>
    <cellStyle name="20% - Ênfase6 2 2" xfId="45"/>
    <cellStyle name="20% - Ênfase6 3" xfId="46"/>
    <cellStyle name="20% - Énfasis1" xfId="47"/>
    <cellStyle name="20% - Énfasis2" xfId="48"/>
    <cellStyle name="20% - Énfasis3" xfId="49"/>
    <cellStyle name="20% - Énfasis4" xfId="50"/>
    <cellStyle name="20% - Énfasis5" xfId="51"/>
    <cellStyle name="20% - Énfasis6" xfId="52"/>
    <cellStyle name="40% - Accent1" xfId="53"/>
    <cellStyle name="40% - Accent1 2" xfId="54"/>
    <cellStyle name="40% - Accent2" xfId="55"/>
    <cellStyle name="40% - Accent2 2" xfId="56"/>
    <cellStyle name="40% - Accent3" xfId="57"/>
    <cellStyle name="40% - Accent3 2" xfId="58"/>
    <cellStyle name="40% - Accent4" xfId="59"/>
    <cellStyle name="40% - Accent4 2" xfId="60"/>
    <cellStyle name="40% - Accent5" xfId="61"/>
    <cellStyle name="40% - Accent5 2" xfId="62"/>
    <cellStyle name="40% - Accent6" xfId="63"/>
    <cellStyle name="40% - Accent6 2" xfId="64"/>
    <cellStyle name="40% - Ênfase1 2" xfId="65"/>
    <cellStyle name="40% - Ênfase1 2 2" xfId="66"/>
    <cellStyle name="40% - Ênfase1 2 3" xfId="67"/>
    <cellStyle name="40% - Ênfase1 2 4" xfId="68"/>
    <cellStyle name="40% - Ênfase1 3" xfId="69"/>
    <cellStyle name="40% - Ênfase1 3 2" xfId="70"/>
    <cellStyle name="40% - Ênfase1 4" xfId="71"/>
    <cellStyle name="40% - Ênfase2 2" xfId="72"/>
    <cellStyle name="40% - Ênfase2 2 2" xfId="73"/>
    <cellStyle name="40% - Ênfase2 3" xfId="74"/>
    <cellStyle name="40% - Ênfase3 2" xfId="75"/>
    <cellStyle name="40% - Ênfase3 2 2" xfId="76"/>
    <cellStyle name="40% - Ênfase3 2 3" xfId="77"/>
    <cellStyle name="40% - Ênfase3 2 4" xfId="78"/>
    <cellStyle name="40% - Ênfase3 3" xfId="79"/>
    <cellStyle name="40% - Ênfase3 3 2" xfId="80"/>
    <cellStyle name="40% - Ênfase3 4" xfId="81"/>
    <cellStyle name="40% - Ênfase4 2" xfId="82"/>
    <cellStyle name="40% - Ênfase4 2 2" xfId="83"/>
    <cellStyle name="40% - Ênfase4 2 3" xfId="84"/>
    <cellStyle name="40% - Ênfase4 2 4" xfId="85"/>
    <cellStyle name="40% - Ênfase4 3" xfId="86"/>
    <cellStyle name="40% - Ênfase4 3 2" xfId="87"/>
    <cellStyle name="40% - Ênfase4 4" xfId="88"/>
    <cellStyle name="40% - Ênfase5 2" xfId="89"/>
    <cellStyle name="40% - Ênfase5 2 2" xfId="90"/>
    <cellStyle name="40% - Ênfase5 3" xfId="91"/>
    <cellStyle name="40% - Ênfase6 2" xfId="92"/>
    <cellStyle name="40% - Ênfase6 2 2" xfId="93"/>
    <cellStyle name="40% - Ênfase6 2 3" xfId="94"/>
    <cellStyle name="40% - Ênfase6 2 4" xfId="95"/>
    <cellStyle name="40% - Ênfase6 3" xfId="96"/>
    <cellStyle name="40% - Ênfase6 3 2" xfId="97"/>
    <cellStyle name="40% - Ênfase6 4" xfId="98"/>
    <cellStyle name="40% - Énfasis1" xfId="99"/>
    <cellStyle name="40% - Énfasis2" xfId="100"/>
    <cellStyle name="40% - Énfasis3" xfId="101"/>
    <cellStyle name="40% - Énfasis4" xfId="102"/>
    <cellStyle name="40% - Énfasis5" xfId="103"/>
    <cellStyle name="40% - Énfasis6" xfId="104"/>
    <cellStyle name="60% - Accent1" xfId="105"/>
    <cellStyle name="60% - Accent2" xfId="106"/>
    <cellStyle name="60% - Accent3" xfId="107"/>
    <cellStyle name="60% - Accent4" xfId="108"/>
    <cellStyle name="60% - Accent5" xfId="109"/>
    <cellStyle name="60% - Accent6" xfId="110"/>
    <cellStyle name="60% - Ênfase1 2" xfId="111"/>
    <cellStyle name="60% - Ênfase1 2 2" xfId="112"/>
    <cellStyle name="60% - Ênfase1 2 3" xfId="113"/>
    <cellStyle name="60% - Ênfase1 2 4" xfId="114"/>
    <cellStyle name="60% - Ênfase1 3" xfId="115"/>
    <cellStyle name="60% - Ênfase2 2" xfId="116"/>
    <cellStyle name="60% - Ênfase3 2" xfId="117"/>
    <cellStyle name="60% - Ênfase3 2 2" xfId="118"/>
    <cellStyle name="60% - Ênfase3 2 3" xfId="119"/>
    <cellStyle name="60% - Ênfase3 2 4" xfId="120"/>
    <cellStyle name="60% - Ênfase3 3" xfId="121"/>
    <cellStyle name="60% - Ênfase4 2" xfId="122"/>
    <cellStyle name="60% - Ênfase4 2 2" xfId="123"/>
    <cellStyle name="60% - Ênfase4 2 3" xfId="124"/>
    <cellStyle name="60% - Ênfase4 2 4" xfId="125"/>
    <cellStyle name="60% - Ênfase4 3" xfId="126"/>
    <cellStyle name="60% - Ênfase5 2" xfId="127"/>
    <cellStyle name="60% - Ênfase6 2" xfId="128"/>
    <cellStyle name="60% - Ênfase6 2 2" xfId="129"/>
    <cellStyle name="60% - Ênfase6 2 3" xfId="130"/>
    <cellStyle name="60% - Ênfase6 2 4" xfId="131"/>
    <cellStyle name="60% - Ênfase6 3" xfId="132"/>
    <cellStyle name="60% - Énfasis1" xfId="133"/>
    <cellStyle name="60% - Énfasis2" xfId="134"/>
    <cellStyle name="60% - Énfasis3" xfId="135"/>
    <cellStyle name="60% - Énfasis4" xfId="136"/>
    <cellStyle name="60% - Énfasis5" xfId="137"/>
    <cellStyle name="60% - Énfasis6" xfId="138"/>
    <cellStyle name="Accent1" xfId="139"/>
    <cellStyle name="Accent2" xfId="140"/>
    <cellStyle name="Accent3" xfId="141"/>
    <cellStyle name="Accent4" xfId="142"/>
    <cellStyle name="Accent5" xfId="143"/>
    <cellStyle name="Accent6" xfId="144"/>
    <cellStyle name="Bad" xfId="145"/>
    <cellStyle name="Bom 2" xfId="146"/>
    <cellStyle name="Buena" xfId="147"/>
    <cellStyle name="Calculation" xfId="148"/>
    <cellStyle name="Cálculo 2" xfId="149"/>
    <cellStyle name="Cálculo 2 2" xfId="150"/>
    <cellStyle name="Cálculo 3" xfId="151"/>
    <cellStyle name="Célula de Verificação 2" xfId="152"/>
    <cellStyle name="Célula Vinculada 2" xfId="153"/>
    <cellStyle name="Check Cell" xfId="154"/>
    <cellStyle name="Comma [0]" xfId="155"/>
    <cellStyle name="Currency [0]" xfId="156"/>
    <cellStyle name="Ênfase1 2" xfId="157"/>
    <cellStyle name="Ênfase1 2 2" xfId="158"/>
    <cellStyle name="Ênfase1 2 3" xfId="159"/>
    <cellStyle name="Ênfase1 2 4" xfId="160"/>
    <cellStyle name="Ênfase1 3" xfId="161"/>
    <cellStyle name="Ênfase2 2" xfId="162"/>
    <cellStyle name="Ênfase3 2" xfId="163"/>
    <cellStyle name="Ênfase4 2" xfId="164"/>
    <cellStyle name="Ênfase4 2 2" xfId="165"/>
    <cellStyle name="Ênfase4 2 3" xfId="166"/>
    <cellStyle name="Ênfase4 2 4" xfId="167"/>
    <cellStyle name="Ênfase4 3" xfId="168"/>
    <cellStyle name="Ênfase5 2" xfId="169"/>
    <cellStyle name="Ênfase6 2" xfId="170"/>
    <cellStyle name="Énfasis1" xfId="171"/>
    <cellStyle name="Énfasis2" xfId="172"/>
    <cellStyle name="Énfasis3" xfId="173"/>
    <cellStyle name="Énfasis4" xfId="174"/>
    <cellStyle name="Énfasis5" xfId="175"/>
    <cellStyle name="Énfasis6" xfId="176"/>
    <cellStyle name="Entrada 2" xfId="177"/>
    <cellStyle name="Entrada 3" xfId="178"/>
    <cellStyle name="Excel Built-in Comma" xfId="179"/>
    <cellStyle name="Excel Built-in Comma 2" xfId="180"/>
    <cellStyle name="Excel Built-in Normal" xfId="181"/>
    <cellStyle name="Excel Built-in Normal 2" xfId="182"/>
    <cellStyle name="Excel Built-in Normal 2 2" xfId="183"/>
    <cellStyle name="Excel Built-in Percent" xfId="184"/>
    <cellStyle name="Excel_BuiltIn_Comma 1" xfId="185"/>
    <cellStyle name="Explanatory Text" xfId="186"/>
    <cellStyle name="Good" xfId="187"/>
    <cellStyle name="Heading 1" xfId="188"/>
    <cellStyle name="Heading 2" xfId="189"/>
    <cellStyle name="Heading 3" xfId="190"/>
    <cellStyle name="Heading 4" xfId="191"/>
    <cellStyle name="Hiperlink 2" xfId="192"/>
    <cellStyle name="Hyperlink 2" xfId="193"/>
    <cellStyle name="Incorreto 2" xfId="194"/>
    <cellStyle name="Indefinido" xfId="195"/>
    <cellStyle name="Input" xfId="196"/>
    <cellStyle name="Linked Cell" xfId="197"/>
    <cellStyle name="Moeda" xfId="198" builtinId="4"/>
    <cellStyle name="Moeda 2" xfId="199"/>
    <cellStyle name="Moeda 2 2" xfId="200"/>
    <cellStyle name="Moeda 3" xfId="201"/>
    <cellStyle name="Moeda 3 2" xfId="202"/>
    <cellStyle name="Moeda 4" xfId="203"/>
    <cellStyle name="Moeda 5" xfId="204"/>
    <cellStyle name="Neutra 2" xfId="205"/>
    <cellStyle name="Neutra 2 2" xfId="206"/>
    <cellStyle name="Neutra 2 3" xfId="207"/>
    <cellStyle name="Neutra 2 4" xfId="208"/>
    <cellStyle name="Neutra 3" xfId="209"/>
    <cellStyle name="Neutral" xfId="210"/>
    <cellStyle name="Normal" xfId="0" builtinId="0"/>
    <cellStyle name="Normal 10" xfId="211"/>
    <cellStyle name="Normal 10 10" xfId="212"/>
    <cellStyle name="Normal 10 2" xfId="213"/>
    <cellStyle name="Normal 10 2 2" xfId="214"/>
    <cellStyle name="Normal 10 2 2 2" xfId="215"/>
    <cellStyle name="Normal 10 4" xfId="216"/>
    <cellStyle name="Normal 10 4 2" xfId="217"/>
    <cellStyle name="Normal 11" xfId="218"/>
    <cellStyle name="Normal 12" xfId="219"/>
    <cellStyle name="Normal 12 2" xfId="220"/>
    <cellStyle name="Normal 12 3" xfId="221"/>
    <cellStyle name="Normal 12 4" xfId="222"/>
    <cellStyle name="Normal 12 4 2" xfId="223"/>
    <cellStyle name="Normal 12 5" xfId="224"/>
    <cellStyle name="Normal 12 5 2" xfId="225"/>
    <cellStyle name="Normal 13" xfId="226"/>
    <cellStyle name="Normal 14" xfId="227"/>
    <cellStyle name="Normal 14 4" xfId="228"/>
    <cellStyle name="Normal 15" xfId="229"/>
    <cellStyle name="Normal 15 10 3" xfId="230"/>
    <cellStyle name="Normal 15 2" xfId="231"/>
    <cellStyle name="Normal 16" xfId="232"/>
    <cellStyle name="Normal 16 2" xfId="233"/>
    <cellStyle name="Normal 17" xfId="234"/>
    <cellStyle name="Normal 17 2" xfId="235"/>
    <cellStyle name="Normal 18" xfId="236"/>
    <cellStyle name="Normal 18 2" xfId="237"/>
    <cellStyle name="Normal 19" xfId="238"/>
    <cellStyle name="Normal 19 2" xfId="239"/>
    <cellStyle name="Normal 2" xfId="240"/>
    <cellStyle name="Normal 2 14" xfId="241"/>
    <cellStyle name="Normal 2 2" xfId="242"/>
    <cellStyle name="Normal 2 2 2" xfId="243"/>
    <cellStyle name="Normal 2 2 3" xfId="244"/>
    <cellStyle name="Normal 2 2 3 2" xfId="245"/>
    <cellStyle name="Normal 2 2 3 2 2" xfId="246"/>
    <cellStyle name="Normal 2 2 4" xfId="247"/>
    <cellStyle name="Normal 2 3" xfId="248"/>
    <cellStyle name="Normal 2 3 2" xfId="249"/>
    <cellStyle name="Normal 2 4" xfId="250"/>
    <cellStyle name="Normal 2 4 2" xfId="251"/>
    <cellStyle name="Normal 2 4 3" xfId="252"/>
    <cellStyle name="Normal 2 5" xfId="253"/>
    <cellStyle name="Normal 2 6" xfId="254"/>
    <cellStyle name="Normal 2 6 2" xfId="255"/>
    <cellStyle name="Normal 2_1ª Reprogramação PAC - SES - Interceptores e Redes Coletoras Rev 00" xfId="256"/>
    <cellStyle name="Normal 20" xfId="257"/>
    <cellStyle name="Normal 20 2" xfId="258"/>
    <cellStyle name="Normal 21" xfId="259"/>
    <cellStyle name="Normal 22" xfId="260"/>
    <cellStyle name="Normal 23" xfId="261"/>
    <cellStyle name="Normal 24" xfId="262"/>
    <cellStyle name="Normal 25" xfId="263"/>
    <cellStyle name="Normal 26" xfId="264"/>
    <cellStyle name="Normal 27" xfId="265"/>
    <cellStyle name="Normal 28" xfId="266"/>
    <cellStyle name="Normal 29" xfId="267"/>
    <cellStyle name="Normal 3" xfId="268"/>
    <cellStyle name="Normal 3 2" xfId="269"/>
    <cellStyle name="Normal 3 2 2" xfId="270"/>
    <cellStyle name="Normal 3 2 2 2" xfId="271"/>
    <cellStyle name="Normal 3 2 3" xfId="272"/>
    <cellStyle name="Normal 3 2 4" xfId="273"/>
    <cellStyle name="Normal 3 3" xfId="274"/>
    <cellStyle name="Normal 3 3 2" xfId="275"/>
    <cellStyle name="Normal 3 3 2 2" xfId="276"/>
    <cellStyle name="Normal 3 3 2 3" xfId="277"/>
    <cellStyle name="Normal 3 4" xfId="278"/>
    <cellStyle name="Normal 3 4 2" xfId="279"/>
    <cellStyle name="Normal 3 4 3" xfId="280"/>
    <cellStyle name="Normal 3 4 4" xfId="281"/>
    <cellStyle name="Normal 3 5" xfId="282"/>
    <cellStyle name="Normal 3 5 2" xfId="283"/>
    <cellStyle name="Normal 3 6" xfId="284"/>
    <cellStyle name="Normal 30" xfId="285"/>
    <cellStyle name="Normal 31" xfId="286"/>
    <cellStyle name="Normal 32" xfId="287"/>
    <cellStyle name="Normal 33" xfId="288"/>
    <cellStyle name="Normal 34" xfId="289"/>
    <cellStyle name="Normal 34 2" xfId="290"/>
    <cellStyle name="Normal 35" xfId="291"/>
    <cellStyle name="Normal 36" xfId="292"/>
    <cellStyle name="Normal 37" xfId="293"/>
    <cellStyle name="Normal 38" xfId="294"/>
    <cellStyle name="Normal 39" xfId="295"/>
    <cellStyle name="Normal 4" xfId="296"/>
    <cellStyle name="Normal 4 2" xfId="297"/>
    <cellStyle name="Normal 4 2 2" xfId="298"/>
    <cellStyle name="Normal 4 2 3" xfId="299"/>
    <cellStyle name="Normal 4 3" xfId="300"/>
    <cellStyle name="Normal 4 4" xfId="301"/>
    <cellStyle name="Normal 4 4 2" xfId="302"/>
    <cellStyle name="Normal 4 5" xfId="303"/>
    <cellStyle name="Normal 4 5 2" xfId="304"/>
    <cellStyle name="Normal 40" xfId="305"/>
    <cellStyle name="Normal 41" xfId="306"/>
    <cellStyle name="Normal 42" xfId="307"/>
    <cellStyle name="Normal 43" xfId="308"/>
    <cellStyle name="Normal 44" xfId="309"/>
    <cellStyle name="Normal 45" xfId="310"/>
    <cellStyle name="Normal 46" xfId="311"/>
    <cellStyle name="Normal 47" xfId="312"/>
    <cellStyle name="Normal 48" xfId="313"/>
    <cellStyle name="Normal 48 2" xfId="314"/>
    <cellStyle name="Normal 49" xfId="315"/>
    <cellStyle name="Normal 5" xfId="316"/>
    <cellStyle name="Normal 5 2" xfId="317"/>
    <cellStyle name="Normal 5 2 2" xfId="318"/>
    <cellStyle name="Normal 5 2 3" xfId="319"/>
    <cellStyle name="Normal 5 3" xfId="320"/>
    <cellStyle name="Normal 5 4" xfId="321"/>
    <cellStyle name="Normal 5 4 2" xfId="322"/>
    <cellStyle name="Normal 5 5" xfId="323"/>
    <cellStyle name="Normal 5 5 2" xfId="324"/>
    <cellStyle name="Normal 5 6" xfId="325"/>
    <cellStyle name="Normal 5 7" xfId="326"/>
    <cellStyle name="Normal 50" xfId="327"/>
    <cellStyle name="Normal 51" xfId="328"/>
    <cellStyle name="Normal 52" xfId="329"/>
    <cellStyle name="Normal 53" xfId="330"/>
    <cellStyle name="Normal 54" xfId="331"/>
    <cellStyle name="Normal 6" xfId="332"/>
    <cellStyle name="Normal 6 2" xfId="333"/>
    <cellStyle name="Normal 6 2 2" xfId="334"/>
    <cellStyle name="Normal 6 3" xfId="335"/>
    <cellStyle name="Normal 6 3 2" xfId="336"/>
    <cellStyle name="Normal 6 3 3" xfId="337"/>
    <cellStyle name="Normal 6 4" xfId="338"/>
    <cellStyle name="Normal 6 5" xfId="339"/>
    <cellStyle name="Normal 7" xfId="340"/>
    <cellStyle name="Normal 8" xfId="341"/>
    <cellStyle name="Normal 8 2" xfId="342"/>
    <cellStyle name="Normal 9" xfId="343"/>
    <cellStyle name="Normal 9 2" xfId="344"/>
    <cellStyle name="Normal 9 3" xfId="345"/>
    <cellStyle name="Normal 9 3 2" xfId="346"/>
    <cellStyle name="Normal 95" xfId="347"/>
    <cellStyle name="Normal 95 2" xfId="348"/>
    <cellStyle name="Normal_BM 01 - 1a Medição de Materiais Conv 185_05" xfId="349"/>
    <cellStyle name="Nota 2" xfId="350"/>
    <cellStyle name="Nota 2 2" xfId="351"/>
    <cellStyle name="Nota 2 3" xfId="352"/>
    <cellStyle name="Nota 2 4" xfId="353"/>
    <cellStyle name="Nota 3" xfId="354"/>
    <cellStyle name="Notas" xfId="355"/>
    <cellStyle name="Note" xfId="356"/>
    <cellStyle name="NUMEROS_2" xfId="357"/>
    <cellStyle name="Output" xfId="358"/>
    <cellStyle name="Porcentagem" xfId="359" builtinId="5"/>
    <cellStyle name="Porcentagem 10" xfId="360"/>
    <cellStyle name="Porcentagem 11 2 2" xfId="361"/>
    <cellStyle name="Porcentagem 2" xfId="362"/>
    <cellStyle name="Porcentagem 2 2" xfId="363"/>
    <cellStyle name="Porcentagem 2 2 2" xfId="364"/>
    <cellStyle name="Porcentagem 2 3" xfId="365"/>
    <cellStyle name="Porcentagem 2 3 2" xfId="366"/>
    <cellStyle name="Porcentagem 2 3 3" xfId="367"/>
    <cellStyle name="Porcentagem 2 4" xfId="368"/>
    <cellStyle name="Porcentagem 2 5" xfId="369"/>
    <cellStyle name="Porcentagem 2 6" xfId="370"/>
    <cellStyle name="Porcentagem 2 6 2" xfId="371"/>
    <cellStyle name="Porcentagem 3" xfId="372"/>
    <cellStyle name="Porcentagem 3 2" xfId="373"/>
    <cellStyle name="Porcentagem 3 3" xfId="374"/>
    <cellStyle name="Porcentagem 3 3 2" xfId="375"/>
    <cellStyle name="Porcentagem 4" xfId="376"/>
    <cellStyle name="Porcentagem 5" xfId="377"/>
    <cellStyle name="Porcentagem 6" xfId="378"/>
    <cellStyle name="Porcentagem 7" xfId="379"/>
    <cellStyle name="Porcentagem 7 2" xfId="380"/>
    <cellStyle name="Porcentagem 7 3" xfId="381"/>
    <cellStyle name="Porcentagem 8" xfId="382"/>
    <cellStyle name="Porcentagem 8 2" xfId="383"/>
    <cellStyle name="Porcentagem 9" xfId="384"/>
    <cellStyle name="Porcentagem 9 2" xfId="385"/>
    <cellStyle name="QUILÔMETRO_2" xfId="386"/>
    <cellStyle name="Saída 2" xfId="387"/>
    <cellStyle name="Saída 2 2" xfId="388"/>
    <cellStyle name="Saída 2 3" xfId="389"/>
    <cellStyle name="Saída 2 4" xfId="390"/>
    <cellStyle name="Saída 3" xfId="391"/>
    <cellStyle name="Salida" xfId="392"/>
    <cellStyle name="Separador de milhares 10" xfId="393"/>
    <cellStyle name="Separador de milhares 10 2" xfId="394"/>
    <cellStyle name="Separador de milhares 10 2 2" xfId="395"/>
    <cellStyle name="Separador de milhares 10 3" xfId="396"/>
    <cellStyle name="Separador de milhares 11" xfId="397"/>
    <cellStyle name="Separador de milhares 11 2" xfId="398"/>
    <cellStyle name="Separador de milhares 12" xfId="399"/>
    <cellStyle name="Separador de milhares 13" xfId="400"/>
    <cellStyle name="Separador de milhares 14" xfId="401"/>
    <cellStyle name="Separador de milhares 14 2" xfId="402"/>
    <cellStyle name="Separador de milhares 15" xfId="403"/>
    <cellStyle name="Separador de milhares 16" xfId="404"/>
    <cellStyle name="Separador de milhares 17" xfId="405"/>
    <cellStyle name="Separador de milhares 18" xfId="406"/>
    <cellStyle name="Separador de milhares 19" xfId="407"/>
    <cellStyle name="Separador de milhares 2" xfId="408"/>
    <cellStyle name="Separador de milhares 2 2" xfId="409"/>
    <cellStyle name="Separador de milhares 2 2 2" xfId="410"/>
    <cellStyle name="Separador de milhares 2 3" xfId="411"/>
    <cellStyle name="Separador de milhares 2 3 2" xfId="412"/>
    <cellStyle name="Separador de milhares 2 3 3" xfId="413"/>
    <cellStyle name="Separador de milhares 2 3 4" xfId="414"/>
    <cellStyle name="Separador de milhares 2 4" xfId="415"/>
    <cellStyle name="Separador de milhares 2 4 2" xfId="416"/>
    <cellStyle name="Separador de milhares 2 5" xfId="417"/>
    <cellStyle name="Separador de milhares 2 5 2" xfId="418"/>
    <cellStyle name="Separador de milhares 2 6" xfId="419"/>
    <cellStyle name="Separador de milhares 2 6 2" xfId="420"/>
    <cellStyle name="Separador de milhares 2 7" xfId="421"/>
    <cellStyle name="Separador de milhares 20" xfId="422"/>
    <cellStyle name="Separador de milhares 21" xfId="423"/>
    <cellStyle name="Separador de milhares 21 2" xfId="424"/>
    <cellStyle name="Separador de milhares 22" xfId="425"/>
    <cellStyle name="Separador de milhares 23" xfId="426"/>
    <cellStyle name="Separador de milhares 3" xfId="427"/>
    <cellStyle name="Separador de milhares 3 2" xfId="428"/>
    <cellStyle name="Separador de milhares 3 3" xfId="429"/>
    <cellStyle name="Separador de milhares 3 4" xfId="430"/>
    <cellStyle name="Separador de milhares 4" xfId="431"/>
    <cellStyle name="Separador de milhares 4 2" xfId="432"/>
    <cellStyle name="Separador de milhares 4 2 2" xfId="433"/>
    <cellStyle name="Separador de milhares 4 3" xfId="434"/>
    <cellStyle name="Separador de milhares 4 3 2" xfId="435"/>
    <cellStyle name="Separador de milhares 5" xfId="436"/>
    <cellStyle name="Separador de milhares 5 2" xfId="437"/>
    <cellStyle name="Separador de milhares 5 3" xfId="438"/>
    <cellStyle name="Separador de milhares 6" xfId="439"/>
    <cellStyle name="Separador de milhares 7" xfId="440"/>
    <cellStyle name="Separador de milhares 8" xfId="441"/>
    <cellStyle name="Separador de milhares 9" xfId="442"/>
    <cellStyle name="Separador de milhares 9 2" xfId="443"/>
    <cellStyle name="Separador de milhares 9 2 2" xfId="444"/>
    <cellStyle name="Separador de milhares 9 3" xfId="445"/>
    <cellStyle name="Texto de Aviso 2" xfId="446"/>
    <cellStyle name="Texto de Aviso 6" xfId="447"/>
    <cellStyle name="Texto de Aviso 6 2" xfId="448"/>
    <cellStyle name="Texto Explicativo 2" xfId="449"/>
    <cellStyle name="Texto Explicativo 3" xfId="450"/>
    <cellStyle name="Title" xfId="451"/>
    <cellStyle name="Título 1 1" xfId="452"/>
    <cellStyle name="Título 1 1 1" xfId="453"/>
    <cellStyle name="Título 1 1 1 1" xfId="454"/>
    <cellStyle name="Título 1 1 1 1 1" xfId="455"/>
    <cellStyle name="Título 1 1 1 1 1 1" xfId="456"/>
    <cellStyle name="Título 1 1 1 1 1 1 1" xfId="457"/>
    <cellStyle name="Título 1 1 1 1 1 1 1 1" xfId="458"/>
    <cellStyle name="Título 1 1 1 1 1 1 1 1 1" xfId="459"/>
    <cellStyle name="Título 1 1 1 1 1 1 1 1 1 1" xfId="460"/>
    <cellStyle name="Título 1 1 1 1 1 1 1 1 1 1 1" xfId="461"/>
    <cellStyle name="Título 1 1 1 1 1 1 1 1 1 1 1 1" xfId="462"/>
    <cellStyle name="Título 1 1 1 1 1 1 1_Equipamentos (revistas) 2011" xfId="463"/>
    <cellStyle name="Título 1 1 1 1 1 1_Equipamentos (revistas) 2011" xfId="464"/>
    <cellStyle name="Título 1 1 1 1 1_Equipamentos (revistas) 2011" xfId="465"/>
    <cellStyle name="Título 1 1 1 1_Equipamentos (revistas) 2011" xfId="466"/>
    <cellStyle name="Título 1 1 1 2" xfId="467"/>
    <cellStyle name="Título 1 1 1_Calculo-da-mao-de-obra (critério SANEAGO) 2011" xfId="468"/>
    <cellStyle name="Título 1 1 2" xfId="469"/>
    <cellStyle name="Título 1 1 2 2" xfId="470"/>
    <cellStyle name="Título 1 1 3" xfId="471"/>
    <cellStyle name="Título 1 1 4" xfId="472"/>
    <cellStyle name="Título 1 1 5" xfId="473"/>
    <cellStyle name="Título 1 1_Calculo-da-mao-de-obra (critério SANEAGO) 2011" xfId="474"/>
    <cellStyle name="Título 1 2" xfId="475"/>
    <cellStyle name="Título 1 2 2" xfId="476"/>
    <cellStyle name="Título 1 3" xfId="477"/>
    <cellStyle name="Título 2 2" xfId="478"/>
    <cellStyle name="Título 2 2 2" xfId="479"/>
    <cellStyle name="Título 2 3" xfId="480"/>
    <cellStyle name="Título 3 2" xfId="481"/>
    <cellStyle name="Título 3 2 2" xfId="482"/>
    <cellStyle name="Título 3 3" xfId="483"/>
    <cellStyle name="Título 4 2" xfId="484"/>
    <cellStyle name="Título 4 2 2" xfId="485"/>
    <cellStyle name="Título 4 3" xfId="486"/>
    <cellStyle name="Total 2" xfId="487"/>
    <cellStyle name="Total 2 2" xfId="488"/>
    <cellStyle name="Total 3" xfId="489"/>
    <cellStyle name="Vírgula" xfId="490" builtinId="3"/>
    <cellStyle name="Vírgula 10" xfId="491"/>
    <cellStyle name="Vírgula 10 2" xfId="492"/>
    <cellStyle name="Vírgula 11" xfId="493"/>
    <cellStyle name="Vírgula 12" xfId="494"/>
    <cellStyle name="Vírgula 13" xfId="495"/>
    <cellStyle name="Vírgula 2" xfId="496"/>
    <cellStyle name="Vírgula 2 2" xfId="497"/>
    <cellStyle name="Vírgula 2 2 2" xfId="498"/>
    <cellStyle name="Vírgula 2 2 3" xfId="499"/>
    <cellStyle name="Vírgula 2 3" xfId="500"/>
    <cellStyle name="Vírgula 2 3 2" xfId="501"/>
    <cellStyle name="Vírgula 2 3 3" xfId="502"/>
    <cellStyle name="Vírgula 2 4" xfId="503"/>
    <cellStyle name="Vírgula 2 4 2" xfId="504"/>
    <cellStyle name="Vírgula 2 5" xfId="505"/>
    <cellStyle name="Vírgula 2 5 2" xfId="506"/>
    <cellStyle name="Vírgula 2 6" xfId="507"/>
    <cellStyle name="Vírgula 2 7" xfId="508"/>
    <cellStyle name="Vírgula 3" xfId="509"/>
    <cellStyle name="Vírgula 3 2" xfId="510"/>
    <cellStyle name="Vírgula 3 2 2" xfId="511"/>
    <cellStyle name="Vírgula 3 2 3" xfId="512"/>
    <cellStyle name="Vírgula 3 3" xfId="513"/>
    <cellStyle name="Vírgula 3 3 2" xfId="514"/>
    <cellStyle name="Vírgula 3 3 2 2" xfId="515"/>
    <cellStyle name="Vírgula 3 3 3" xfId="516"/>
    <cellStyle name="Vírgula 3 4" xfId="517"/>
    <cellStyle name="Vírgula 3 6" xfId="518"/>
    <cellStyle name="Vírgula 3 7" xfId="519"/>
    <cellStyle name="Vírgula 4" xfId="520"/>
    <cellStyle name="Vírgula 4 2" xfId="521"/>
    <cellStyle name="Vírgula 4 3" xfId="522"/>
    <cellStyle name="Vírgula 5" xfId="523"/>
    <cellStyle name="Vírgula 5 2" xfId="524"/>
    <cellStyle name="Vírgula 5 2 2" xfId="525"/>
    <cellStyle name="Vírgula 5 3" xfId="526"/>
    <cellStyle name="Vírgula 6" xfId="527"/>
    <cellStyle name="Vírgula 7" xfId="528"/>
    <cellStyle name="Vírgula 8" xfId="529"/>
    <cellStyle name="Vírgula 9" xfId="530"/>
    <cellStyle name="Vírgula 9 2" xfId="531"/>
    <cellStyle name="Warning Text" xfId="532"/>
  </cellStyles>
  <dxfs count="2743">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b/>
        <i/>
        <color rgb="FFFF0000"/>
      </font>
    </dxf>
    <dxf>
      <font>
        <color rgb="FFFF0000"/>
      </font>
    </dxf>
    <dxf>
      <font>
        <b/>
        <i/>
        <color rgb="FFFF0000"/>
      </font>
    </dxf>
    <dxf>
      <font>
        <color rgb="FFFF0000"/>
      </font>
    </dxf>
    <dxf>
      <font>
        <b/>
        <i/>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color rgb="FFFF0000"/>
      </font>
    </dxf>
    <dxf>
      <font>
        <b/>
        <i/>
        <color rgb="FFFF0000"/>
      </font>
    </dxf>
    <dxf>
      <font>
        <b/>
        <i/>
        <color rgb="FFFF0000"/>
      </font>
    </dxf>
    <dxf>
      <font>
        <color rgb="FFFF0000"/>
      </font>
    </dxf>
    <dxf>
      <font>
        <b/>
        <i/>
        <color rgb="FFFF0000"/>
      </font>
    </dxf>
    <dxf>
      <font>
        <color rgb="FFFF0000"/>
      </font>
    </dxf>
    <dxf>
      <font>
        <b/>
        <i/>
        <color rgb="FFFF0000"/>
      </font>
    </dxf>
    <dxf>
      <font>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color rgb="FFFF0000"/>
      </font>
    </dxf>
    <dxf>
      <font>
        <b/>
        <i/>
        <color rgb="FFFF0000"/>
      </font>
    </dxf>
    <dxf>
      <font>
        <b/>
        <i/>
        <color rgb="FFFF0000"/>
      </font>
    </dxf>
    <dxf>
      <font>
        <color rgb="FFFF0000"/>
      </font>
    </dxf>
    <dxf>
      <font>
        <b/>
        <i/>
        <color rgb="FFFF0000"/>
      </font>
    </dxf>
    <dxf>
      <font>
        <b/>
        <i/>
        <color rgb="FFFF0000"/>
      </font>
    </dxf>
    <dxf>
      <font>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color rgb="FFFF0000"/>
      </font>
    </dxf>
    <dxf>
      <font>
        <b/>
        <i/>
        <color rgb="FFFF0000"/>
      </font>
    </dxf>
    <dxf>
      <font>
        <color rgb="FFFF0000"/>
      </font>
    </dxf>
    <dxf>
      <font>
        <b/>
        <i/>
        <color rgb="FFFF0000"/>
      </font>
    </dxf>
    <dxf>
      <font>
        <b/>
        <i/>
        <color rgb="FFFF0000"/>
      </font>
    </dxf>
    <dxf>
      <font>
        <b/>
        <i/>
        <color rgb="FFFF0000"/>
      </font>
    </dxf>
    <dxf>
      <font>
        <color rgb="FFFF0000"/>
      </font>
    </dxf>
    <dxf>
      <font>
        <color rgb="FFFF0000"/>
      </font>
    </dxf>
    <dxf>
      <font>
        <color rgb="FFFF0000"/>
      </font>
    </dxf>
    <dxf>
      <font>
        <b/>
        <i/>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b/>
        <i/>
        <color rgb="FFFF0000"/>
      </font>
    </dxf>
    <dxf>
      <font>
        <b/>
        <i/>
        <color rgb="FFFF0000"/>
      </font>
    </dxf>
    <dxf>
      <font>
        <color rgb="FFFF0000"/>
      </font>
    </dxf>
    <dxf>
      <font>
        <b/>
        <i/>
        <color rgb="FFFF0000"/>
      </font>
    </dxf>
    <dxf>
      <font>
        <color rgb="FFFF0000"/>
      </font>
    </dxf>
    <dxf>
      <font>
        <b/>
        <i/>
        <color rgb="FFFF0000"/>
      </font>
    </dxf>
    <dxf>
      <font>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color rgb="FFFF0000"/>
      </font>
    </dxf>
    <dxf>
      <font>
        <b/>
        <i/>
        <color rgb="FFFF0000"/>
      </font>
    </dxf>
    <dxf>
      <font>
        <b/>
        <i/>
        <color rgb="FFFF0000"/>
      </font>
    </dxf>
    <dxf>
      <font>
        <b/>
        <i/>
        <color rgb="FFFF0000"/>
      </font>
    </dxf>
    <dxf>
      <font>
        <color rgb="FFFF0000"/>
      </font>
    </dxf>
    <dxf>
      <font>
        <b/>
        <i/>
        <color rgb="FFFF0000"/>
      </font>
    </dxf>
    <dxf>
      <font>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b/>
        <i/>
        <color rgb="FFFF0000"/>
      </font>
    </dxf>
    <dxf>
      <font>
        <color rgb="FFFF0000"/>
      </font>
    </dxf>
    <dxf>
      <font>
        <color rgb="FFFF0000"/>
      </font>
    </dxf>
    <dxf>
      <font>
        <b/>
        <i/>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color rgb="FFFF0000"/>
      </font>
    </dxf>
    <dxf>
      <font>
        <b/>
        <i/>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b/>
        <i/>
        <color rgb="FFFF0000"/>
      </font>
    </dxf>
    <dxf>
      <font>
        <b/>
        <i/>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color rgb="FFFF0000"/>
      </font>
    </dxf>
    <dxf>
      <font>
        <b/>
        <i/>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b/>
        <i/>
        <color rgb="FFFF0000"/>
      </font>
    </dxf>
    <dxf>
      <font>
        <b/>
        <i/>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dxf>
    <dxf>
      <font>
        <color rgb="FF9C0006"/>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b/>
        <i/>
        <color rgb="FFFF0000"/>
      </font>
    </dxf>
    <dxf>
      <font>
        <b/>
        <i/>
        <color rgb="FFFF0000"/>
      </font>
    </dxf>
    <dxf>
      <font>
        <b/>
        <i/>
        <color rgb="FFFF0000"/>
      </font>
    </dxf>
    <dxf>
      <font>
        <color rgb="FFFF0000"/>
      </font>
    </dxf>
    <dxf>
      <font>
        <b/>
        <i/>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color rgb="FFFF0000"/>
      </font>
    </dxf>
    <dxf>
      <font>
        <b/>
        <i/>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color rgb="FFFF0000"/>
      </font>
    </dxf>
    <dxf>
      <font>
        <b/>
        <i/>
        <color rgb="FFFF0000"/>
      </font>
    </dxf>
    <dxf>
      <font>
        <b/>
        <i/>
        <color rgb="FFFF0000"/>
      </font>
    </dxf>
    <dxf>
      <font>
        <color rgb="FFFF0000"/>
      </font>
    </dxf>
    <dxf>
      <font>
        <b/>
        <i/>
        <color rgb="FFFF0000"/>
      </font>
    </dxf>
    <dxf>
      <font>
        <b/>
        <i/>
        <color rgb="FFFF0000"/>
      </font>
    </dxf>
    <dxf>
      <font>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b/>
        <i/>
        <color rgb="FFFF0000"/>
      </font>
    </dxf>
    <dxf>
      <font>
        <b/>
        <i/>
        <color rgb="FFFF0000"/>
      </font>
    </dxf>
    <dxf>
      <font>
        <color rgb="FFFF0000"/>
      </font>
    </dxf>
    <dxf>
      <font>
        <color rgb="FFFF0000"/>
      </font>
    </dxf>
    <dxf>
      <font>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color rgb="FFFF0000"/>
      </font>
    </dxf>
    <dxf>
      <font>
        <color rgb="FFFF0000"/>
      </font>
    </dxf>
    <dxf>
      <font>
        <color rgb="FFFF0000"/>
      </font>
    </dxf>
    <dxf>
      <font>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color rgb="FFFF0000"/>
      </font>
    </dxf>
    <dxf>
      <font>
        <b/>
        <i/>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color rgb="FFFF0000"/>
      </font>
    </dxf>
    <dxf>
      <font>
        <color rgb="FFFF0000"/>
      </font>
    </dxf>
    <dxf>
      <font>
        <color rgb="FFFF0000"/>
      </font>
    </dxf>
    <dxf>
      <font>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9C0006"/>
      </font>
    </dxf>
    <dxf>
      <font>
        <color rgb="FF9C0006"/>
      </font>
    </dxf>
    <dxf>
      <font>
        <color rgb="FFFF0000"/>
      </font>
    </dxf>
    <dxf>
      <font>
        <b/>
        <i val="0"/>
        <color rgb="FFFF0000"/>
      </font>
    </dxf>
    <dxf>
      <font>
        <b/>
        <i/>
        <color rgb="FFFF0000"/>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b/>
        <i val="0"/>
        <color rgb="FFFF0000"/>
      </font>
    </dxf>
    <dxf>
      <font>
        <b/>
        <i/>
        <color rgb="FFFF0000"/>
      </font>
    </dxf>
    <dxf>
      <font>
        <color rgb="FF9C0006"/>
      </font>
    </dxf>
    <dxf>
      <font>
        <color rgb="FFFF0000"/>
      </font>
    </dxf>
    <dxf>
      <font>
        <b/>
        <i val="0"/>
        <color rgb="FFFF0000"/>
      </font>
    </dxf>
    <dxf>
      <font>
        <b/>
        <i/>
        <color rgb="FFFF0000"/>
      </font>
    </dxf>
    <dxf>
      <font>
        <b/>
        <i val="0"/>
        <color rgb="FFFF0000"/>
      </font>
    </dxf>
    <dxf>
      <font>
        <b/>
        <i/>
        <color rgb="FFFF0000"/>
      </font>
    </dxf>
    <dxf>
      <font>
        <color rgb="FFFF0000"/>
      </font>
    </dxf>
    <dxf>
      <font>
        <b/>
        <i val="0"/>
        <color rgb="FFFF0000"/>
      </font>
    </dxf>
    <dxf>
      <font>
        <b/>
        <i/>
        <color rgb="FFFF0000"/>
      </font>
    </dxf>
    <dxf>
      <font>
        <b/>
        <i val="0"/>
        <color rgb="FFFF0000"/>
      </font>
    </dxf>
    <dxf>
      <font>
        <b/>
        <i/>
        <color rgb="FFFF0000"/>
      </font>
    </dxf>
    <dxf>
      <font>
        <color rgb="FFFF0000"/>
      </font>
    </dxf>
    <dxf>
      <font>
        <b/>
        <i val="0"/>
        <color rgb="FFFF0000"/>
      </font>
    </dxf>
    <dxf>
      <font>
        <b/>
        <i/>
        <color rgb="FFFF0000"/>
      </font>
    </dxf>
    <dxf>
      <font>
        <color rgb="FFFF0000"/>
      </font>
    </dxf>
    <dxf>
      <font>
        <b/>
        <i val="0"/>
        <color rgb="FFFF0000"/>
      </font>
    </dxf>
    <dxf>
      <font>
        <b/>
        <i/>
        <color rgb="FFFF0000"/>
      </font>
    </dxf>
    <dxf>
      <font>
        <color rgb="FFFF0000"/>
      </font>
    </dxf>
    <dxf>
      <font>
        <b/>
        <i val="0"/>
        <color rgb="FFFF0000"/>
      </font>
    </dxf>
    <dxf>
      <font>
        <b/>
        <i/>
        <color rgb="FFFF0000"/>
      </font>
    </dxf>
    <dxf>
      <font>
        <color rgb="FF9C0006"/>
      </font>
    </dxf>
    <dxf>
      <font>
        <color rgb="FFFF0000"/>
      </font>
    </dxf>
    <dxf>
      <font>
        <b/>
        <i val="0"/>
        <color rgb="FFFF0000"/>
      </font>
    </dxf>
    <dxf>
      <font>
        <b/>
        <i/>
        <color rgb="FFFF0000"/>
      </font>
    </dxf>
    <dxf>
      <font>
        <b/>
        <i val="0"/>
        <color rgb="FFFF0000"/>
      </font>
    </dxf>
    <dxf>
      <font>
        <b/>
        <i/>
        <color rgb="FFFF0000"/>
      </font>
    </dxf>
    <dxf>
      <font>
        <b/>
        <i val="0"/>
        <color rgb="FFFF0000"/>
      </font>
    </dxf>
    <dxf>
      <font>
        <b/>
        <i/>
        <color rgb="FFFF0000"/>
      </font>
    </dxf>
    <dxf>
      <font>
        <color rgb="FFFF0000"/>
      </font>
    </dxf>
    <dxf>
      <font>
        <b/>
        <i val="0"/>
        <color rgb="FFFF0000"/>
      </font>
    </dxf>
    <dxf>
      <font>
        <b/>
        <i/>
        <color rgb="FFFF0000"/>
      </font>
    </dxf>
    <dxf>
      <font>
        <color rgb="FFFF0000"/>
      </font>
    </dxf>
    <dxf>
      <font>
        <color rgb="FFFF0000"/>
      </font>
    </dxf>
    <dxf>
      <font>
        <b/>
        <i val="0"/>
        <color rgb="FFFF0000"/>
      </font>
    </dxf>
    <dxf>
      <font>
        <b/>
        <i/>
        <color rgb="FFFF0000"/>
      </font>
    </dxf>
    <dxf>
      <font>
        <color rgb="FFFF0000"/>
      </font>
    </dxf>
    <dxf>
      <font>
        <b/>
        <i val="0"/>
        <color rgb="FFFF0000"/>
      </font>
    </dxf>
    <dxf>
      <font>
        <b/>
        <i/>
        <color rgb="FFFF0000"/>
      </font>
    </dxf>
    <dxf>
      <font>
        <b/>
        <i val="0"/>
        <color rgb="FFFF0000"/>
      </font>
    </dxf>
    <dxf>
      <font>
        <b/>
        <i/>
        <color rgb="FFFF0000"/>
      </font>
    </dxf>
    <dxf>
      <font>
        <color rgb="FFFF0000"/>
      </font>
    </dxf>
    <dxf>
      <font>
        <b/>
        <i val="0"/>
        <color rgb="FFFF0000"/>
      </font>
    </dxf>
    <dxf>
      <font>
        <b/>
        <i/>
        <color rgb="FFFF0000"/>
      </font>
    </dxf>
    <dxf>
      <font>
        <color rgb="FFFF0000"/>
      </font>
    </dxf>
    <dxf>
      <font>
        <b/>
        <i val="0"/>
        <color rgb="FFFF0000"/>
      </font>
    </dxf>
    <dxf>
      <font>
        <b/>
        <i/>
        <color rgb="FFFF0000"/>
      </font>
    </dxf>
    <dxf>
      <font>
        <color rgb="FFFF0000"/>
      </font>
    </dxf>
    <dxf>
      <font>
        <b/>
        <i val="0"/>
        <color rgb="FFFF0000"/>
      </font>
    </dxf>
    <dxf>
      <font>
        <b/>
        <i/>
        <color rgb="FFFF0000"/>
      </font>
    </dxf>
    <dxf>
      <font>
        <color rgb="FFFF0000"/>
      </font>
    </dxf>
    <dxf>
      <font>
        <b/>
        <i val="0"/>
        <color rgb="FFFF0000"/>
      </font>
    </dxf>
    <dxf>
      <font>
        <b/>
        <i/>
        <color rgb="FFFF0000"/>
      </font>
    </dxf>
    <dxf>
      <font>
        <color rgb="FFFF0000"/>
      </font>
    </dxf>
    <dxf>
      <font>
        <b/>
        <i val="0"/>
        <color rgb="FFFF0000"/>
      </font>
    </dxf>
    <dxf>
      <font>
        <b/>
        <i/>
        <color rgb="FFFF0000"/>
      </font>
    </dxf>
    <dxf>
      <font>
        <color rgb="FFFF0000"/>
      </font>
    </dxf>
    <dxf>
      <font>
        <color rgb="FFFF0000"/>
      </font>
    </dxf>
    <dxf>
      <font>
        <b/>
        <i val="0"/>
        <color rgb="FFFF0000"/>
      </font>
    </dxf>
    <dxf>
      <font>
        <b/>
        <i/>
        <color rgb="FFFF0000"/>
      </font>
    </dxf>
    <dxf>
      <font>
        <color rgb="FFFF0000"/>
      </font>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color rgb="FFFF0000"/>
      </font>
    </dxf>
    <dxf>
      <font>
        <b/>
        <i val="0"/>
        <color rgb="FFFF0000"/>
      </font>
    </dxf>
    <dxf>
      <font>
        <b/>
        <i/>
        <color rgb="FFFF0000"/>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FF0000"/>
      </font>
    </dxf>
    <dxf>
      <font>
        <b/>
        <i val="0"/>
        <color rgb="FFFF0000"/>
      </font>
    </dxf>
    <dxf>
      <font>
        <b/>
        <i/>
        <color rgb="FFFF0000"/>
      </font>
    </dxf>
    <dxf>
      <font>
        <color rgb="FF9C0006"/>
      </font>
    </dxf>
    <dxf>
      <font>
        <color rgb="FF9C0006"/>
      </font>
    </dxf>
    <dxf>
      <font>
        <color rgb="FF9C0006"/>
      </font>
    </dxf>
    <dxf>
      <font>
        <color rgb="FF9C0006"/>
      </font>
    </dxf>
    <dxf>
      <font>
        <color rgb="FF9C0006"/>
      </font>
    </dxf>
    <dxf>
      <font>
        <color rgb="FF9C0006"/>
      </font>
    </dxf>
    <dxf>
      <font>
        <color rgb="FFFF0000"/>
      </font>
    </dxf>
    <dxf>
      <font>
        <b/>
        <i val="0"/>
        <color rgb="FFFF0000"/>
      </font>
    </dxf>
    <dxf>
      <font>
        <b/>
        <i/>
        <color rgb="FFFF0000"/>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FF0000"/>
      </font>
    </dxf>
    <dxf>
      <font>
        <b/>
        <i val="0"/>
        <color rgb="FFFF0000"/>
      </font>
    </dxf>
    <dxf>
      <font>
        <b/>
        <i/>
        <color rgb="FFFF0000"/>
      </font>
    </dxf>
    <dxf>
      <font>
        <color rgb="FF9C0006"/>
      </font>
    </dxf>
    <dxf>
      <font>
        <color rgb="FF9C0006"/>
      </font>
    </dxf>
    <dxf>
      <font>
        <color rgb="FFFF0000"/>
      </font>
    </dxf>
    <dxf>
      <font>
        <b/>
        <i val="0"/>
        <color rgb="FFFF0000"/>
      </font>
    </dxf>
    <dxf>
      <font>
        <b/>
        <i/>
        <color rgb="FFFF0000"/>
      </font>
    </dxf>
    <dxf>
      <font>
        <color rgb="FF9C0006"/>
      </font>
    </dxf>
    <dxf>
      <font>
        <color rgb="FF9C0006"/>
      </font>
    </dxf>
    <dxf>
      <font>
        <b/>
        <i val="0"/>
        <color rgb="FFFF0000"/>
      </font>
    </dxf>
    <dxf>
      <font>
        <b/>
        <i/>
        <color rgb="FFFF0000"/>
      </font>
    </dxf>
    <dxf>
      <font>
        <b/>
        <i val="0"/>
        <color rgb="FFFF0000"/>
      </font>
    </dxf>
    <dxf>
      <font>
        <b/>
        <i/>
        <color rgb="FFFF0000"/>
      </font>
    </dxf>
    <dxf>
      <font>
        <b/>
        <i val="0"/>
        <color rgb="FFFF0000"/>
      </font>
    </dxf>
    <dxf>
      <font>
        <b/>
        <i/>
        <color rgb="FFFF0000"/>
      </font>
    </dxf>
    <dxf>
      <font>
        <color rgb="FF9C0006"/>
      </font>
    </dxf>
    <dxf>
      <font>
        <color rgb="FFFF0000"/>
      </font>
    </dxf>
    <dxf>
      <font>
        <b/>
        <i val="0"/>
        <color rgb="FFFF0000"/>
      </font>
    </dxf>
    <dxf>
      <font>
        <b/>
        <i/>
        <color rgb="FFFF0000"/>
      </font>
    </dxf>
    <dxf>
      <font>
        <color rgb="FFFF0000"/>
      </font>
    </dxf>
    <dxf>
      <font>
        <b/>
        <i val="0"/>
        <color rgb="FFFF0000"/>
      </font>
    </dxf>
    <dxf>
      <font>
        <b/>
        <i/>
        <color rgb="FFFF0000"/>
      </font>
    </dxf>
    <dxf>
      <font>
        <b/>
        <i val="0"/>
        <color rgb="FFFF0000"/>
      </font>
    </dxf>
    <dxf>
      <font>
        <b/>
        <i/>
        <color rgb="FFFF0000"/>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FF0000"/>
      </font>
    </dxf>
    <dxf>
      <font>
        <b/>
        <i val="0"/>
        <color rgb="FFFF0000"/>
      </font>
    </dxf>
    <dxf>
      <font>
        <b/>
        <i/>
        <color rgb="FFFF0000"/>
      </font>
    </dxf>
    <dxf>
      <font>
        <b/>
        <i val="0"/>
        <color rgb="FFFF0000"/>
      </font>
    </dxf>
    <dxf>
      <font>
        <b/>
        <i/>
        <color rgb="FFFF0000"/>
      </font>
    </dxf>
    <dxf>
      <font>
        <color rgb="FFFF0000"/>
      </font>
    </dxf>
    <dxf>
      <font>
        <b/>
        <i val="0"/>
        <color rgb="FFFF0000"/>
      </font>
    </dxf>
    <dxf>
      <font>
        <b/>
        <i/>
        <color rgb="FFFF0000"/>
      </font>
    </dxf>
    <dxf>
      <font>
        <color rgb="FFFF0000"/>
      </font>
    </dxf>
    <dxf>
      <font>
        <color rgb="FFFF0000"/>
      </font>
    </dxf>
    <dxf>
      <font>
        <b/>
        <i val="0"/>
        <color rgb="FFFF0000"/>
      </font>
    </dxf>
    <dxf>
      <font>
        <b/>
        <i/>
        <color rgb="FFFF0000"/>
      </font>
    </dxf>
    <dxf>
      <font>
        <color rgb="FFFF0000"/>
      </font>
    </dxf>
    <dxf>
      <font>
        <b/>
        <i val="0"/>
        <color rgb="FFFF0000"/>
      </font>
    </dxf>
    <dxf>
      <font>
        <b/>
        <i/>
        <color rgb="FFFF0000"/>
      </font>
    </dxf>
    <dxf>
      <font>
        <b/>
        <i val="0"/>
        <color rgb="FFFF0000"/>
      </font>
    </dxf>
    <dxf>
      <font>
        <b/>
        <i/>
        <color rgb="FFFF0000"/>
      </font>
    </dxf>
    <dxf>
      <font>
        <color rgb="FFFF0000"/>
      </font>
    </dxf>
    <dxf>
      <font>
        <b/>
        <i val="0"/>
        <color rgb="FFFF0000"/>
      </font>
    </dxf>
    <dxf>
      <font>
        <b/>
        <i/>
        <color rgb="FFFF0000"/>
      </font>
    </dxf>
    <dxf>
      <font>
        <color rgb="FFFF0000"/>
      </font>
    </dxf>
    <dxf>
      <font>
        <b/>
        <i val="0"/>
        <color rgb="FFFF0000"/>
      </font>
    </dxf>
    <dxf>
      <font>
        <b/>
        <i/>
        <color rgb="FFFF0000"/>
      </font>
    </dxf>
    <dxf>
      <font>
        <color rgb="FFFF0000"/>
      </font>
    </dxf>
    <dxf>
      <font>
        <b/>
        <i val="0"/>
        <color rgb="FFFF0000"/>
      </font>
    </dxf>
    <dxf>
      <font>
        <b/>
        <i/>
        <color rgb="FFFF0000"/>
      </font>
    </dxf>
    <dxf>
      <font>
        <color rgb="FFFF0000"/>
      </font>
    </dxf>
    <dxf>
      <font>
        <b/>
        <i val="0"/>
        <color rgb="FFFF0000"/>
      </font>
    </dxf>
    <dxf>
      <font>
        <b/>
        <i/>
        <color rgb="FFFF0000"/>
      </font>
    </dxf>
    <dxf>
      <font>
        <color rgb="FFFF0000"/>
      </font>
    </dxf>
    <dxf>
      <font>
        <b/>
        <i val="0"/>
        <color rgb="FFFF0000"/>
      </font>
    </dxf>
    <dxf>
      <font>
        <b/>
        <i/>
        <color rgb="FFFF0000"/>
      </font>
    </dxf>
    <dxf>
      <font>
        <color rgb="FFFF0000"/>
      </font>
    </dxf>
    <dxf>
      <font>
        <color rgb="FFFF0000"/>
      </font>
    </dxf>
    <dxf>
      <font>
        <b/>
        <i val="0"/>
        <color rgb="FFFF0000"/>
      </font>
    </dxf>
    <dxf>
      <font>
        <b/>
        <i/>
        <color rgb="FFFF0000"/>
      </font>
    </dxf>
    <dxf>
      <font>
        <color rgb="FFFF0000"/>
      </font>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color rgb="FFFF0000"/>
      </font>
    </dxf>
    <dxf>
      <font>
        <b/>
        <i val="0"/>
        <color rgb="FFFF0000"/>
      </font>
    </dxf>
    <dxf>
      <font>
        <b/>
        <i/>
        <color rgb="FFFF0000"/>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b/>
        <i val="0"/>
        <color rgb="FFFF0000"/>
      </font>
    </dxf>
    <dxf>
      <font>
        <b/>
        <i/>
        <color rgb="FFFF0000"/>
      </font>
    </dxf>
    <dxf>
      <font>
        <color rgb="FF9C0006"/>
      </font>
    </dxf>
    <dxf>
      <font>
        <color rgb="FF9C0006"/>
      </font>
    </dxf>
    <dxf>
      <font>
        <b/>
        <i val="0"/>
        <color rgb="FFFF0000"/>
      </font>
    </dxf>
    <dxf>
      <font>
        <b/>
        <i/>
        <color rgb="FFFF0000"/>
      </font>
    </dxf>
    <dxf>
      <font>
        <color rgb="FF9C0006"/>
      </font>
    </dxf>
    <dxf>
      <font>
        <b/>
        <i val="0"/>
        <color rgb="FFFF0000"/>
      </font>
    </dxf>
    <dxf>
      <font>
        <b/>
        <i/>
        <color rgb="FFFF0000"/>
      </font>
    </dxf>
    <dxf>
      <font>
        <color rgb="FF9C0006"/>
      </font>
    </dxf>
    <dxf>
      <font>
        <b/>
        <i val="0"/>
        <color rgb="FFFF0000"/>
      </font>
    </dxf>
    <dxf>
      <font>
        <b/>
        <i/>
        <color rgb="FFFF0000"/>
      </font>
    </dxf>
    <dxf>
      <font>
        <color rgb="FF9C0006"/>
      </font>
    </dxf>
    <dxf>
      <font>
        <b/>
        <i val="0"/>
        <color rgb="FFFF0000"/>
      </font>
    </dxf>
    <dxf>
      <font>
        <b/>
        <i/>
        <color rgb="FFFF0000"/>
      </font>
    </dxf>
    <dxf>
      <font>
        <color rgb="FF9C0006"/>
      </font>
    </dxf>
    <dxf>
      <font>
        <color rgb="FF9C0006"/>
      </font>
    </dxf>
    <dxf>
      <font>
        <color rgb="FF9C0006"/>
      </font>
    </dxf>
    <dxf>
      <font>
        <color rgb="FF9C0006"/>
      </font>
    </dxf>
    <dxf>
      <font>
        <color rgb="FF9C0006"/>
      </font>
    </dxf>
    <dxf>
      <font>
        <b/>
        <i val="0"/>
        <color rgb="FFFF0000"/>
      </font>
    </dxf>
    <dxf>
      <font>
        <b/>
        <i/>
        <color rgb="FFFF0000"/>
      </font>
    </dxf>
    <dxf>
      <font>
        <color rgb="FF9C0006"/>
      </font>
    </dxf>
    <dxf>
      <font>
        <color rgb="FF9C0006"/>
      </font>
    </dxf>
    <dxf>
      <font>
        <color rgb="FFFF0000"/>
      </font>
    </dxf>
    <dxf>
      <font>
        <color rgb="FFFF0000"/>
      </font>
    </dxf>
    <dxf>
      <font>
        <color rgb="FFFF0000"/>
      </font>
    </dxf>
    <dxf>
      <font>
        <b/>
        <i val="0"/>
        <color rgb="FFFF0000"/>
      </font>
    </dxf>
    <dxf>
      <font>
        <b/>
        <i/>
        <color rgb="FFFF0000"/>
      </font>
    </dxf>
    <dxf>
      <font>
        <color rgb="FFFF0000"/>
      </font>
    </dxf>
    <dxf>
      <font>
        <color rgb="FFFF0000"/>
      </font>
    </dxf>
    <dxf>
      <font>
        <b/>
        <i val="0"/>
        <color rgb="FFFF0000"/>
      </font>
    </dxf>
    <dxf>
      <font>
        <b/>
        <i/>
        <color rgb="FFFF0000"/>
      </font>
    </dxf>
    <dxf>
      <font>
        <color rgb="FFFF0000"/>
      </font>
    </dxf>
    <dxf>
      <font>
        <color rgb="FFFF0000"/>
      </font>
    </dxf>
    <dxf>
      <font>
        <color rgb="FFFF0000"/>
      </font>
    </dxf>
    <dxf>
      <font>
        <b/>
        <i val="0"/>
        <color rgb="FFFF0000"/>
      </font>
    </dxf>
    <dxf>
      <font>
        <b/>
        <i/>
        <color rgb="FFFF0000"/>
      </font>
    </dxf>
    <dxf>
      <font>
        <color rgb="FFFF0000"/>
      </font>
    </dxf>
    <dxf>
      <font>
        <b/>
        <i val="0"/>
        <color rgb="FFFF0000"/>
      </font>
    </dxf>
    <dxf>
      <font>
        <b/>
        <i/>
        <color rgb="FFFF0000"/>
      </font>
    </dxf>
    <dxf>
      <font>
        <color rgb="FFFF0000"/>
      </font>
    </dxf>
    <dxf>
      <font>
        <b/>
        <i val="0"/>
        <color rgb="FFFF0000"/>
      </font>
    </dxf>
    <dxf>
      <font>
        <b/>
        <i/>
        <color rgb="FFFF0000"/>
      </font>
    </dxf>
    <dxf>
      <font>
        <color rgb="FFFF0000"/>
      </font>
    </dxf>
    <dxf>
      <font>
        <color rgb="FFFF0000"/>
      </font>
    </dxf>
    <dxf>
      <font>
        <color rgb="FFFF0000"/>
      </font>
    </dxf>
    <dxf>
      <font>
        <b/>
        <i val="0"/>
        <color rgb="FFFF0000"/>
      </font>
    </dxf>
    <dxf>
      <font>
        <b/>
        <i/>
        <color rgb="FFFF0000"/>
      </font>
    </dxf>
    <dxf>
      <font>
        <color rgb="FFFF0000"/>
      </font>
    </dxf>
    <dxf>
      <font>
        <b/>
        <i val="0"/>
        <color rgb="FFFF0000"/>
      </font>
    </dxf>
    <dxf>
      <font>
        <b/>
        <i/>
        <color rgb="FFFF0000"/>
      </font>
    </dxf>
    <dxf>
      <font>
        <color rgb="FFFF0000"/>
      </font>
    </dxf>
    <dxf>
      <font>
        <b/>
        <i val="0"/>
        <color rgb="FFFF0000"/>
      </font>
    </dxf>
    <dxf>
      <font>
        <b/>
        <i/>
        <color rgb="FFFF0000"/>
      </font>
    </dxf>
    <dxf>
      <font>
        <color rgb="FFFF0000"/>
      </font>
    </dxf>
    <dxf>
      <font>
        <b/>
        <i val="0"/>
        <color rgb="FFFF0000"/>
      </font>
    </dxf>
    <dxf>
      <font>
        <b/>
        <i/>
        <color rgb="FFFF0000"/>
      </font>
    </dxf>
    <dxf>
      <font>
        <color rgb="FFFF0000"/>
      </font>
    </dxf>
    <dxf>
      <font>
        <b/>
        <i val="0"/>
        <color rgb="FFFF0000"/>
      </font>
    </dxf>
    <dxf>
      <font>
        <b/>
        <i/>
        <color rgb="FFFF0000"/>
      </font>
    </dxf>
    <dxf>
      <font>
        <color rgb="FFFF0000"/>
      </font>
    </dxf>
    <dxf>
      <font>
        <color rgb="FFFF0000"/>
      </font>
    </dxf>
    <dxf>
      <font>
        <color rgb="FFFF0000"/>
      </font>
    </dxf>
    <dxf>
      <font>
        <b/>
        <i val="0"/>
        <color rgb="FFFF0000"/>
      </font>
    </dxf>
    <dxf>
      <font>
        <b/>
        <i/>
        <color rgb="FFFF0000"/>
      </font>
    </dxf>
    <dxf>
      <font>
        <color rgb="FFFF0000"/>
      </font>
    </dxf>
    <dxf>
      <font>
        <b/>
        <i val="0"/>
        <color rgb="FFFF0000"/>
      </font>
    </dxf>
    <dxf>
      <font>
        <b/>
        <i/>
        <color rgb="FFFF0000"/>
      </font>
    </dxf>
    <dxf>
      <font>
        <color rgb="FFFF0000"/>
      </font>
    </dxf>
    <dxf>
      <font>
        <b/>
        <i val="0"/>
        <color rgb="FFFF0000"/>
      </font>
    </dxf>
    <dxf>
      <font>
        <b/>
        <i/>
        <color rgb="FFFF0000"/>
      </font>
    </dxf>
    <dxf>
      <font>
        <color rgb="FFFF0000"/>
      </font>
    </dxf>
    <dxf>
      <font>
        <b/>
        <i val="0"/>
        <color rgb="FFFF0000"/>
      </font>
    </dxf>
    <dxf>
      <font>
        <b/>
        <i/>
        <color rgb="FFFF0000"/>
      </font>
    </dxf>
    <dxf>
      <font>
        <color rgb="FFFF0000"/>
      </font>
    </dxf>
    <dxf>
      <font>
        <b/>
        <i val="0"/>
        <color rgb="FFFF0000"/>
      </font>
    </dxf>
    <dxf>
      <font>
        <b/>
        <i/>
        <color rgb="FFFF0000"/>
      </font>
    </dxf>
    <dxf>
      <font>
        <color rgb="FFFF0000"/>
      </font>
    </dxf>
    <dxf>
      <font>
        <color rgb="FFFF0000"/>
      </font>
    </dxf>
    <dxf>
      <font>
        <color rgb="FFFF0000"/>
      </font>
    </dxf>
    <dxf>
      <font>
        <color rgb="FFFF0000"/>
      </font>
    </dxf>
    <dxf>
      <font>
        <color rgb="FFFF0000"/>
      </font>
    </dxf>
    <dxf>
      <font>
        <color rgb="FFFF0000"/>
      </font>
    </dxf>
    <dxf>
      <font>
        <b/>
        <i val="0"/>
        <color rgb="FFFF0000"/>
      </font>
    </dxf>
    <dxf>
      <font>
        <b/>
        <i/>
        <color rgb="FFFF0000"/>
      </font>
    </dxf>
    <dxf>
      <font>
        <color rgb="FFFF0000"/>
      </font>
    </dxf>
    <dxf>
      <font>
        <b/>
        <i val="0"/>
        <color rgb="FFFF0000"/>
      </font>
    </dxf>
    <dxf>
      <font>
        <b/>
        <i/>
        <color rgb="FFFF0000"/>
      </font>
    </dxf>
    <dxf>
      <font>
        <color rgb="FFFF0000"/>
      </font>
    </dxf>
    <dxf>
      <font>
        <b/>
        <i val="0"/>
        <color rgb="FFFF0000"/>
      </font>
    </dxf>
    <dxf>
      <font>
        <b/>
        <i/>
        <color rgb="FFFF0000"/>
      </font>
    </dxf>
    <dxf>
      <font>
        <color rgb="FFFF0000"/>
      </font>
    </dxf>
    <dxf>
      <font>
        <b/>
        <i val="0"/>
        <color rgb="FFFF0000"/>
      </font>
    </dxf>
    <dxf>
      <font>
        <b/>
        <i/>
        <color rgb="FFFF0000"/>
      </font>
    </dxf>
    <dxf>
      <font>
        <color rgb="FFFF0000"/>
      </font>
    </dxf>
    <dxf>
      <font>
        <color rgb="FFFF0000"/>
      </font>
    </dxf>
    <dxf>
      <font>
        <color rgb="FFFF0000"/>
      </font>
    </dxf>
    <dxf>
      <font>
        <color rgb="FFFF0000"/>
      </font>
    </dxf>
    <dxf>
      <font>
        <color rgb="FFFF0000"/>
      </font>
    </dxf>
    <dxf>
      <font>
        <color rgb="FFFF0000"/>
      </font>
    </dxf>
    <dxf>
      <font>
        <b/>
        <i val="0"/>
        <color rgb="FFFF0000"/>
      </font>
    </dxf>
    <dxf>
      <font>
        <b/>
        <i/>
        <color rgb="FFFF0000"/>
      </font>
    </dxf>
    <dxf>
      <font>
        <color rgb="FFFF0000"/>
      </font>
    </dxf>
    <dxf>
      <font>
        <b/>
        <i val="0"/>
        <color rgb="FFFF0000"/>
      </font>
    </dxf>
    <dxf>
      <font>
        <b/>
        <i/>
        <color rgb="FFFF0000"/>
      </font>
    </dxf>
    <dxf>
      <font>
        <color rgb="FFFF0000"/>
      </font>
    </dxf>
    <dxf>
      <font>
        <b/>
        <i val="0"/>
        <color rgb="FFFF0000"/>
      </font>
    </dxf>
    <dxf>
      <font>
        <b/>
        <i/>
        <color rgb="FFFF0000"/>
      </font>
    </dxf>
    <dxf>
      <font>
        <color rgb="FFFF0000"/>
      </font>
    </dxf>
    <dxf>
      <font>
        <b/>
        <i val="0"/>
        <color rgb="FFFF0000"/>
      </font>
    </dxf>
    <dxf>
      <font>
        <b/>
        <i/>
        <color rgb="FFFF0000"/>
      </font>
    </dxf>
    <dxf>
      <font>
        <color rgb="FFFF0000"/>
      </font>
    </dxf>
    <dxf>
      <font>
        <b/>
        <i val="0"/>
        <color rgb="FFFF0000"/>
      </font>
    </dxf>
    <dxf>
      <font>
        <b/>
        <i/>
        <color rgb="FFFF0000"/>
      </font>
    </dxf>
    <dxf>
      <font>
        <color rgb="FFFF0000"/>
      </font>
    </dxf>
    <dxf>
      <font>
        <color rgb="FFFF0000"/>
      </font>
    </dxf>
    <dxf>
      <font>
        <color rgb="FFFF0000"/>
      </font>
    </dxf>
    <dxf>
      <font>
        <color rgb="FFFF0000"/>
      </font>
    </dxf>
    <dxf>
      <font>
        <color rgb="FFFF0000"/>
      </font>
    </dxf>
    <dxf>
      <font>
        <color rgb="FFFF0000"/>
      </font>
    </dxf>
    <dxf>
      <font>
        <b/>
        <i val="0"/>
        <color rgb="FFFF0000"/>
      </font>
    </dxf>
    <dxf>
      <font>
        <b/>
        <i/>
        <color rgb="FFFF0000"/>
      </font>
    </dxf>
    <dxf>
      <font>
        <color rgb="FFFF0000"/>
      </font>
    </dxf>
    <dxf>
      <font>
        <b/>
        <i val="0"/>
        <color rgb="FFFF0000"/>
      </font>
    </dxf>
    <dxf>
      <font>
        <b/>
        <i/>
        <color rgb="FFFF0000"/>
      </font>
    </dxf>
    <dxf>
      <font>
        <color rgb="FFFF0000"/>
      </font>
    </dxf>
    <dxf>
      <font>
        <b/>
        <i val="0"/>
        <color rgb="FFFF0000"/>
      </font>
    </dxf>
    <dxf>
      <font>
        <b/>
        <i/>
        <color rgb="FFFF0000"/>
      </font>
    </dxf>
    <dxf>
      <font>
        <color rgb="FFFF0000"/>
      </font>
    </dxf>
    <dxf>
      <font>
        <b/>
        <i val="0"/>
        <color rgb="FFFF0000"/>
      </font>
    </dxf>
    <dxf>
      <font>
        <b/>
        <i/>
        <color rgb="FFFF0000"/>
      </font>
    </dxf>
    <dxf>
      <font>
        <color rgb="FFFF0000"/>
      </font>
    </dxf>
    <dxf>
      <font>
        <b/>
        <i val="0"/>
        <color rgb="FFFF0000"/>
      </font>
    </dxf>
    <dxf>
      <font>
        <b/>
        <i/>
        <color rgb="FFFF0000"/>
      </font>
    </dxf>
    <dxf>
      <font>
        <color rgb="FFFF0000"/>
      </font>
    </dxf>
    <dxf>
      <font>
        <b/>
        <i val="0"/>
        <color rgb="FFFF0000"/>
      </font>
    </dxf>
    <dxf>
      <font>
        <b/>
        <i/>
        <color rgb="FFFF0000"/>
      </font>
    </dxf>
    <dxf>
      <font>
        <b/>
        <i val="0"/>
        <color rgb="FFFF0000"/>
      </font>
    </dxf>
    <dxf>
      <font>
        <b/>
        <i/>
        <color rgb="FFFF0000"/>
      </font>
    </dxf>
    <dxf>
      <font>
        <color rgb="FFFF0000"/>
      </font>
    </dxf>
    <dxf>
      <font>
        <b/>
        <i val="0"/>
        <color rgb="FFFF0000"/>
      </font>
    </dxf>
    <dxf>
      <font>
        <b/>
        <i/>
        <color rgb="FFFF0000"/>
      </font>
    </dxf>
    <dxf>
      <font>
        <b/>
        <i val="0"/>
        <color rgb="FFFF0000"/>
      </font>
    </dxf>
    <dxf>
      <font>
        <b/>
        <i/>
        <color rgb="FFFF0000"/>
      </font>
    </dxf>
    <dxf>
      <font>
        <color rgb="FFFF0000"/>
      </font>
    </dxf>
    <dxf>
      <font>
        <b/>
        <i val="0"/>
        <color rgb="FFFF0000"/>
      </font>
    </dxf>
    <dxf>
      <font>
        <b/>
        <i/>
        <color rgb="FFFF0000"/>
      </font>
    </dxf>
    <dxf>
      <font>
        <color rgb="FFFF0000"/>
      </font>
    </dxf>
    <dxf>
      <font>
        <b/>
        <i val="0"/>
        <color rgb="FFFF0000"/>
      </font>
    </dxf>
    <dxf>
      <font>
        <b/>
        <i/>
        <color rgb="FFFF0000"/>
      </font>
    </dxf>
    <dxf>
      <font>
        <b/>
        <i val="0"/>
        <color rgb="FFFF0000"/>
      </font>
    </dxf>
    <dxf>
      <font>
        <b/>
        <i/>
        <color rgb="FFFF0000"/>
      </font>
    </dxf>
    <dxf>
      <font>
        <b/>
        <i val="0"/>
        <color rgb="FFFF0000"/>
      </font>
    </dxf>
    <dxf>
      <font>
        <b/>
        <i/>
        <color rgb="FFFF0000"/>
      </font>
    </dxf>
    <dxf>
      <font>
        <color rgb="FFFF0000"/>
      </font>
    </dxf>
    <dxf>
      <font>
        <color rgb="FFFF0000"/>
      </font>
    </dxf>
    <dxf>
      <font>
        <color rgb="FFFF0000"/>
      </font>
    </dxf>
    <dxf>
      <font>
        <color rgb="FFFF0000"/>
      </font>
    </dxf>
    <dxf>
      <font>
        <color rgb="FFFF0000"/>
      </font>
    </dxf>
    <dxf>
      <font>
        <color rgb="FFFF0000"/>
      </font>
    </dxf>
    <dxf>
      <font>
        <b/>
        <i val="0"/>
        <color rgb="FFFF0000"/>
      </font>
    </dxf>
    <dxf>
      <font>
        <b/>
        <i/>
        <color rgb="FFFF0000"/>
      </font>
    </dxf>
    <dxf>
      <font>
        <b/>
        <i val="0"/>
        <color rgb="FFFF0000"/>
      </font>
    </dxf>
    <dxf>
      <font>
        <b/>
        <i/>
        <color rgb="FFFF0000"/>
      </font>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color rgb="FFFF0000"/>
      </font>
    </dxf>
    <dxf>
      <font>
        <color rgb="FFFF0000"/>
      </font>
    </dxf>
    <dxf>
      <font>
        <b/>
        <i val="0"/>
        <color rgb="FFFF0000"/>
      </font>
    </dxf>
    <dxf>
      <font>
        <b/>
        <i/>
        <color rgb="FFFF0000"/>
      </font>
    </dxf>
    <dxf>
      <font>
        <color rgb="FFFF0000"/>
      </font>
    </dxf>
    <dxf>
      <font>
        <color rgb="FFFF0000"/>
      </font>
    </dxf>
    <dxf>
      <font>
        <color rgb="FFFF0000"/>
      </font>
    </dxf>
    <dxf>
      <font>
        <color rgb="FFFF0000"/>
      </font>
    </dxf>
    <dxf>
      <font>
        <color rgb="FFFF0000"/>
      </font>
    </dxf>
    <dxf>
      <font>
        <b/>
        <i val="0"/>
        <color rgb="FFFF0000"/>
      </font>
    </dxf>
    <dxf>
      <font>
        <b/>
        <i/>
        <color rgb="FFFF0000"/>
      </font>
    </dxf>
    <dxf>
      <font>
        <color rgb="FFFF0000"/>
      </font>
    </dxf>
    <dxf>
      <font>
        <color rgb="FFFF0000"/>
      </font>
    </dxf>
    <dxf>
      <font>
        <color rgb="FFFF0000"/>
      </font>
    </dxf>
    <dxf>
      <font>
        <color rgb="FFFF0000"/>
      </font>
    </dxf>
    <dxf>
      <font>
        <b/>
        <i val="0"/>
        <color rgb="FFFF0000"/>
      </font>
    </dxf>
    <dxf>
      <font>
        <b/>
        <i/>
        <color rgb="FFFF0000"/>
      </font>
    </dxf>
    <dxf>
      <font>
        <color rgb="FFFF0000"/>
      </font>
    </dxf>
    <dxf>
      <font>
        <color rgb="FFFF0000"/>
      </font>
    </dxf>
    <dxf>
      <font>
        <b/>
        <i val="0"/>
        <color rgb="FFFF0000"/>
      </font>
    </dxf>
    <dxf>
      <font>
        <b/>
        <i/>
        <color rgb="FFFF0000"/>
      </font>
    </dxf>
    <dxf>
      <font>
        <color rgb="FFFF0000"/>
      </font>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color rgb="FFFF0000"/>
      </font>
    </dxf>
    <dxf>
      <font>
        <b/>
        <i/>
        <color rgb="FFFF0000"/>
      </font>
    </dxf>
    <dxf>
      <font>
        <b/>
        <i/>
        <color rgb="FFFF0000"/>
      </font>
    </dxf>
    <dxf>
      <font>
        <b/>
        <i/>
        <color rgb="FFFF0000"/>
      </font>
    </dxf>
    <dxf>
      <font>
        <b/>
        <i val="0"/>
        <color rgb="FFFF0000"/>
      </font>
    </dxf>
    <dxf>
      <font>
        <b/>
        <i/>
        <color rgb="FFFF0000"/>
      </font>
    </dxf>
    <dxf>
      <font>
        <b/>
        <i val="0"/>
        <color rgb="FFFF0000"/>
      </font>
    </dxf>
    <dxf>
      <font>
        <b/>
        <i/>
        <color rgb="FFFF0000"/>
      </font>
    </dxf>
    <dxf>
      <font>
        <color rgb="FFFF0000"/>
      </font>
    </dxf>
    <dxf>
      <font>
        <color rgb="FFFF0000"/>
      </font>
    </dxf>
    <dxf>
      <font>
        <color rgb="FFFF0000"/>
      </font>
    </dxf>
    <dxf>
      <font>
        <color rgb="FFFF0000"/>
      </font>
    </dxf>
    <dxf>
      <font>
        <color rgb="FFFF0000"/>
      </font>
    </dxf>
    <dxf>
      <font>
        <b/>
        <i/>
        <color rgb="FFFF0000"/>
      </font>
    </dxf>
    <dxf>
      <font>
        <b/>
        <i/>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10.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7</xdr:col>
      <xdr:colOff>152400</xdr:colOff>
      <xdr:row>0</xdr:row>
      <xdr:rowOff>85725</xdr:rowOff>
    </xdr:from>
    <xdr:to>
      <xdr:col>8</xdr:col>
      <xdr:colOff>66675</xdr:colOff>
      <xdr:row>3</xdr:row>
      <xdr:rowOff>133350</xdr:rowOff>
    </xdr:to>
    <xdr:pic>
      <xdr:nvPicPr>
        <xdr:cNvPr id="77173" name="Imagem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90900" y="85725"/>
          <a:ext cx="7524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257175</xdr:colOff>
      <xdr:row>0</xdr:row>
      <xdr:rowOff>123825</xdr:rowOff>
    </xdr:from>
    <xdr:to>
      <xdr:col>3</xdr:col>
      <xdr:colOff>962025</xdr:colOff>
      <xdr:row>2</xdr:row>
      <xdr:rowOff>44824</xdr:rowOff>
    </xdr:to>
    <xdr:pic>
      <xdr:nvPicPr>
        <xdr:cNvPr id="9037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70704" y="123825"/>
          <a:ext cx="704850" cy="582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257175</xdr:colOff>
      <xdr:row>0</xdr:row>
      <xdr:rowOff>123825</xdr:rowOff>
    </xdr:from>
    <xdr:to>
      <xdr:col>3</xdr:col>
      <xdr:colOff>609600</xdr:colOff>
      <xdr:row>3</xdr:row>
      <xdr:rowOff>19050</xdr:rowOff>
    </xdr:to>
    <xdr:pic>
      <xdr:nvPicPr>
        <xdr:cNvPr id="108595" name="Imagem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123825"/>
          <a:ext cx="3524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142875</xdr:colOff>
      <xdr:row>0</xdr:row>
      <xdr:rowOff>190500</xdr:rowOff>
    </xdr:from>
    <xdr:to>
      <xdr:col>3</xdr:col>
      <xdr:colOff>838200</xdr:colOff>
      <xdr:row>3</xdr:row>
      <xdr:rowOff>57150</xdr:rowOff>
    </xdr:to>
    <xdr:pic>
      <xdr:nvPicPr>
        <xdr:cNvPr id="91405"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19400" y="190500"/>
          <a:ext cx="6953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104775</xdr:colOff>
      <xdr:row>0</xdr:row>
      <xdr:rowOff>76200</xdr:rowOff>
    </xdr:from>
    <xdr:to>
      <xdr:col>3</xdr:col>
      <xdr:colOff>840443</xdr:colOff>
      <xdr:row>3</xdr:row>
      <xdr:rowOff>56029</xdr:rowOff>
    </xdr:to>
    <xdr:pic>
      <xdr:nvPicPr>
        <xdr:cNvPr id="75158" name="Imagem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8304" y="76200"/>
          <a:ext cx="735668" cy="652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38100</xdr:colOff>
      <xdr:row>146</xdr:row>
      <xdr:rowOff>19050</xdr:rowOff>
    </xdr:from>
    <xdr:to>
      <xdr:col>16</xdr:col>
      <xdr:colOff>361950</xdr:colOff>
      <xdr:row>149</xdr:row>
      <xdr:rowOff>19050</xdr:rowOff>
    </xdr:to>
    <xdr:pic>
      <xdr:nvPicPr>
        <xdr:cNvPr id="92680" name="Imagem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06400" y="23993475"/>
          <a:ext cx="21050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161925</xdr:colOff>
      <xdr:row>0</xdr:row>
      <xdr:rowOff>85725</xdr:rowOff>
    </xdr:from>
    <xdr:to>
      <xdr:col>3</xdr:col>
      <xdr:colOff>876300</xdr:colOff>
      <xdr:row>3</xdr:row>
      <xdr:rowOff>57150</xdr:rowOff>
    </xdr:to>
    <xdr:pic>
      <xdr:nvPicPr>
        <xdr:cNvPr id="92681" name="Imagem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05075" y="85725"/>
          <a:ext cx="7143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123825</xdr:colOff>
      <xdr:row>0</xdr:row>
      <xdr:rowOff>104775</xdr:rowOff>
    </xdr:from>
    <xdr:to>
      <xdr:col>3</xdr:col>
      <xdr:colOff>771525</xdr:colOff>
      <xdr:row>3</xdr:row>
      <xdr:rowOff>85725</xdr:rowOff>
    </xdr:to>
    <xdr:pic>
      <xdr:nvPicPr>
        <xdr:cNvPr id="93444" name="Imagem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81325" y="104775"/>
          <a:ext cx="6477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114300</xdr:colOff>
      <xdr:row>0</xdr:row>
      <xdr:rowOff>76200</xdr:rowOff>
    </xdr:from>
    <xdr:to>
      <xdr:col>3</xdr:col>
      <xdr:colOff>952500</xdr:colOff>
      <xdr:row>3</xdr:row>
      <xdr:rowOff>114300</xdr:rowOff>
    </xdr:to>
    <xdr:pic>
      <xdr:nvPicPr>
        <xdr:cNvPr id="94468" name="Imagem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76200"/>
          <a:ext cx="8382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123825</xdr:colOff>
      <xdr:row>0</xdr:row>
      <xdr:rowOff>152400</xdr:rowOff>
    </xdr:from>
    <xdr:to>
      <xdr:col>3</xdr:col>
      <xdr:colOff>895350</xdr:colOff>
      <xdr:row>3</xdr:row>
      <xdr:rowOff>104775</xdr:rowOff>
    </xdr:to>
    <xdr:pic>
      <xdr:nvPicPr>
        <xdr:cNvPr id="96516" name="Imagem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14650" y="152400"/>
          <a:ext cx="77152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104775</xdr:colOff>
      <xdr:row>0</xdr:row>
      <xdr:rowOff>123825</xdr:rowOff>
    </xdr:from>
    <xdr:to>
      <xdr:col>3</xdr:col>
      <xdr:colOff>942975</xdr:colOff>
      <xdr:row>3</xdr:row>
      <xdr:rowOff>123825</xdr:rowOff>
    </xdr:to>
    <xdr:pic>
      <xdr:nvPicPr>
        <xdr:cNvPr id="95492" name="Imagem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09850" y="123825"/>
          <a:ext cx="8382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19050</xdr:colOff>
      <xdr:row>0</xdr:row>
      <xdr:rowOff>66675</xdr:rowOff>
    </xdr:from>
    <xdr:to>
      <xdr:col>3</xdr:col>
      <xdr:colOff>962025</xdr:colOff>
      <xdr:row>3</xdr:row>
      <xdr:rowOff>142875</xdr:rowOff>
    </xdr:to>
    <xdr:pic>
      <xdr:nvPicPr>
        <xdr:cNvPr id="97540" name="Imagem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7950" y="66675"/>
          <a:ext cx="9429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209550</xdr:colOff>
      <xdr:row>0</xdr:row>
      <xdr:rowOff>142875</xdr:rowOff>
    </xdr:from>
    <xdr:to>
      <xdr:col>1</xdr:col>
      <xdr:colOff>133350</xdr:colOff>
      <xdr:row>3</xdr:row>
      <xdr:rowOff>76200</xdr:rowOff>
    </xdr:to>
    <xdr:pic>
      <xdr:nvPicPr>
        <xdr:cNvPr id="89348"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142875"/>
          <a:ext cx="5619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152400</xdr:colOff>
      <xdr:row>0</xdr:row>
      <xdr:rowOff>104775</xdr:rowOff>
    </xdr:from>
    <xdr:to>
      <xdr:col>3</xdr:col>
      <xdr:colOff>1019175</xdr:colOff>
      <xdr:row>3</xdr:row>
      <xdr:rowOff>142875</xdr:rowOff>
    </xdr:to>
    <xdr:pic>
      <xdr:nvPicPr>
        <xdr:cNvPr id="98564" name="Imagem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0" y="104775"/>
          <a:ext cx="8667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257175</xdr:colOff>
      <xdr:row>0</xdr:row>
      <xdr:rowOff>123825</xdr:rowOff>
    </xdr:from>
    <xdr:to>
      <xdr:col>3</xdr:col>
      <xdr:colOff>609600</xdr:colOff>
      <xdr:row>3</xdr:row>
      <xdr:rowOff>19050</xdr:rowOff>
    </xdr:to>
    <xdr:pic>
      <xdr:nvPicPr>
        <xdr:cNvPr id="110592" name="Imagem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00375" y="123825"/>
          <a:ext cx="3524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0</xdr:row>
      <xdr:rowOff>66675</xdr:rowOff>
    </xdr:from>
    <xdr:to>
      <xdr:col>0</xdr:col>
      <xdr:colOff>638175</xdr:colOff>
      <xdr:row>1</xdr:row>
      <xdr:rowOff>0</xdr:rowOff>
    </xdr:to>
    <xdr:pic>
      <xdr:nvPicPr>
        <xdr:cNvPr id="9230"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666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0</xdr:row>
      <xdr:rowOff>66675</xdr:rowOff>
    </xdr:from>
    <xdr:to>
      <xdr:col>0</xdr:col>
      <xdr:colOff>638175</xdr:colOff>
      <xdr:row>0</xdr:row>
      <xdr:rowOff>600075</xdr:rowOff>
    </xdr:to>
    <xdr:pic>
      <xdr:nvPicPr>
        <xdr:cNvPr id="12310"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66675"/>
          <a:ext cx="5619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80123</xdr:colOff>
      <xdr:row>0</xdr:row>
      <xdr:rowOff>85724</xdr:rowOff>
    </xdr:from>
    <xdr:to>
      <xdr:col>3</xdr:col>
      <xdr:colOff>907677</xdr:colOff>
      <xdr:row>3</xdr:row>
      <xdr:rowOff>112058</xdr:rowOff>
    </xdr:to>
    <xdr:pic>
      <xdr:nvPicPr>
        <xdr:cNvPr id="5911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82447" y="85724"/>
          <a:ext cx="827554" cy="698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180975</xdr:colOff>
      <xdr:row>0</xdr:row>
      <xdr:rowOff>66675</xdr:rowOff>
    </xdr:from>
    <xdr:to>
      <xdr:col>6</xdr:col>
      <xdr:colOff>428625</xdr:colOff>
      <xdr:row>3</xdr:row>
      <xdr:rowOff>123825</xdr:rowOff>
    </xdr:to>
    <xdr:pic>
      <xdr:nvPicPr>
        <xdr:cNvPr id="106584" name="Imagem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67075" y="66675"/>
          <a:ext cx="8667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180975</xdr:colOff>
      <xdr:row>0</xdr:row>
      <xdr:rowOff>85725</xdr:rowOff>
    </xdr:from>
    <xdr:to>
      <xdr:col>3</xdr:col>
      <xdr:colOff>723900</xdr:colOff>
      <xdr:row>3</xdr:row>
      <xdr:rowOff>85725</xdr:rowOff>
    </xdr:to>
    <xdr:pic>
      <xdr:nvPicPr>
        <xdr:cNvPr id="107573"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43225" y="85725"/>
          <a:ext cx="5429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180975</xdr:colOff>
      <xdr:row>0</xdr:row>
      <xdr:rowOff>66675</xdr:rowOff>
    </xdr:from>
    <xdr:to>
      <xdr:col>6</xdr:col>
      <xdr:colOff>419100</xdr:colOff>
      <xdr:row>3</xdr:row>
      <xdr:rowOff>123825</xdr:rowOff>
    </xdr:to>
    <xdr:pic>
      <xdr:nvPicPr>
        <xdr:cNvPr id="58081" name="Imagem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24200" y="66675"/>
          <a:ext cx="8572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90207</xdr:colOff>
      <xdr:row>0</xdr:row>
      <xdr:rowOff>100853</xdr:rowOff>
    </xdr:from>
    <xdr:to>
      <xdr:col>3</xdr:col>
      <xdr:colOff>874059</xdr:colOff>
      <xdr:row>3</xdr:row>
      <xdr:rowOff>89647</xdr:rowOff>
    </xdr:to>
    <xdr:pic>
      <xdr:nvPicPr>
        <xdr:cNvPr id="68125"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27001" y="100853"/>
          <a:ext cx="783852" cy="661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tpres3\de-detec\Planejamento\Centro%20de%20Conven&#231;&#245;es\Nova%20Licita&#231;&#227;o\Adequa&#231;&#227;o%20Contratual\WINDOWS\TEMP\uninovaca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Users\m112844\Desktop\Magno%20BKP\desktop%204\pen%20drive\estudo%20PINI\Transporte-de-material-escavado_Revisao%20-PINI%20-%20R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BID\Edital-2008\2a%20Fase%2005-11-2008%20Novos%20Arquivos\arquivos%20or&#231;amento%2030-10-08%20-%20CPL\moveis\CRITERIO\Canteiro\ANO%202007\001_pdc\ENGENHARIA\118_30_Orcamento\118_30\Programas%20Originais\CANTEIRO-%20TRANSP\TRANSPORTES%20E%20LIMPEZA%20DE"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CRITERIO\data%20base\09-MAR&#199;O_2011\Documents%20and%20Settings\m131636\Desktop\Po&#231;os%20tubulares%20provisorio\Or&#231;amento_para_Perfura&#231;&#227;o_Po&#231;o._(Nov_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Saneago3\ano_2011\Planilha%20026_11_REV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254\arquivos\Documents%20and%20Settings\Rossane\Meus%20documentos\Rossane\ADUTORA\Composi&#231;&#245;es%20Adutor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tobjleite\Arquivos\Consorcio%20Barragem%20Jo&#227;o%20Leite\Planejamento\plano%20de%20trabalho\PT%202001-9280768\OBRAS%20DE%20ARTE%20ESPECIA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BID\Edital-2008\2a%20Fase%2005-11-2008%20Novos%20Arquivos\arquivos%20or&#231;amento%2030-10-08%20-%20CPL\moveis\001_pdc\ENGENHARIA\CRITERIO\data%20base\04-ABRIL_2005\convers&#227;o%20para%20o%20KOR\COMPOS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transporte"/>
      <sheetName val="Estudo"/>
      <sheetName val="Estudo (2)"/>
      <sheetName val="Estudo (3)"/>
      <sheetName val="CÁLCULO MANUAL PRÁTICO "/>
      <sheetName val="resumo_transporte"/>
      <sheetName val="Estudo_(2)"/>
      <sheetName val="Estudo_(3)"/>
      <sheetName val="CÁLCULO_MANUAL_PRÁTICO_"/>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DAD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  POÇOS DEFINITIVO _2007  c"/>
      <sheetName val="TAB___POÇOS_DEFINITIVO__2007__c"/>
    </sheetNames>
    <sheetDataSet>
      <sheetData sheetId="0"/>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RESUMO"/>
      <sheetName val="ORÇAMENTO"/>
      <sheetName val="tabela orçamento"/>
      <sheetName val="ABC"/>
      <sheetName val="MH"/>
      <sheetName val="Plan1"/>
      <sheetName val="OBS"/>
      <sheetName val="Plano de trabalho 1ªparte"/>
      <sheetName val="plano de trabalho 2ª parte"/>
      <sheetName val="QCI"/>
      <sheetName val="tabela_orçamento"/>
      <sheetName val="Plano_de_trabalho_1ªparte"/>
      <sheetName val="plano_de_trabalho_2ª_parte"/>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comp (2)"/>
      <sheetName val="comp_(2)"/>
    </sheetNames>
    <sheetDataSet>
      <sheetData sheetId="0" refreshError="1">
        <row r="2">
          <cell r="A2" t="str">
            <v>RELATORIO DO CADASTRO DE INSUMOS</v>
          </cell>
        </row>
        <row r="4">
          <cell r="A4" t="str">
            <v>CODIGO</v>
          </cell>
          <cell r="B4" t="str">
            <v>DESCRICAO</v>
          </cell>
          <cell r="C4" t="str">
            <v>UNID</v>
          </cell>
          <cell r="D4" t="str">
            <v>PRECO ATUAL</v>
          </cell>
        </row>
        <row r="6">
          <cell r="B6" t="str">
            <v>1000 MAO DE OBRA</v>
          </cell>
        </row>
        <row r="8">
          <cell r="A8">
            <v>10001</v>
          </cell>
          <cell r="B8" t="str">
            <v>AJUDANTE</v>
          </cell>
          <cell r="C8" t="str">
            <v>H</v>
          </cell>
          <cell r="D8">
            <v>1.84</v>
          </cell>
        </row>
        <row r="9">
          <cell r="A9">
            <v>10002</v>
          </cell>
          <cell r="B9" t="str">
            <v>ARMADOR</v>
          </cell>
          <cell r="C9" t="str">
            <v>H</v>
          </cell>
          <cell r="D9">
            <v>2.56</v>
          </cell>
        </row>
        <row r="10">
          <cell r="A10">
            <v>10003</v>
          </cell>
          <cell r="B10" t="str">
            <v>BOMBEIRO</v>
          </cell>
          <cell r="C10" t="str">
            <v>H</v>
          </cell>
          <cell r="D10">
            <v>2.56</v>
          </cell>
        </row>
        <row r="11">
          <cell r="A11">
            <v>10004</v>
          </cell>
          <cell r="B11" t="str">
            <v>CABO DE FOGO</v>
          </cell>
          <cell r="C11" t="str">
            <v>H</v>
          </cell>
          <cell r="D11">
            <v>1.84</v>
          </cell>
        </row>
        <row r="12">
          <cell r="A12">
            <v>10005</v>
          </cell>
          <cell r="B12" t="str">
            <v>CALCETEIRO</v>
          </cell>
          <cell r="C12" t="str">
            <v>H</v>
          </cell>
          <cell r="D12">
            <v>2.56</v>
          </cell>
        </row>
        <row r="13">
          <cell r="A13">
            <v>10006</v>
          </cell>
          <cell r="B13" t="str">
            <v>CARPINTEIRO</v>
          </cell>
          <cell r="C13" t="str">
            <v>H</v>
          </cell>
          <cell r="D13">
            <v>2.56</v>
          </cell>
        </row>
        <row r="14">
          <cell r="A14">
            <v>10007</v>
          </cell>
          <cell r="B14" t="str">
            <v>COMPRESSORISTA</v>
          </cell>
          <cell r="C14" t="str">
            <v>H</v>
          </cell>
          <cell r="D14">
            <v>2.56</v>
          </cell>
        </row>
        <row r="15">
          <cell r="A15">
            <v>10008</v>
          </cell>
          <cell r="B15" t="str">
            <v>ELETRICISTA</v>
          </cell>
          <cell r="C15" t="str">
            <v>H</v>
          </cell>
          <cell r="D15">
            <v>2.56</v>
          </cell>
        </row>
        <row r="16">
          <cell r="A16">
            <v>10009</v>
          </cell>
          <cell r="B16" t="str">
            <v>ENCANADOR</v>
          </cell>
          <cell r="C16" t="str">
            <v>H</v>
          </cell>
          <cell r="D16">
            <v>2.56</v>
          </cell>
        </row>
        <row r="17">
          <cell r="A17">
            <v>10010</v>
          </cell>
          <cell r="B17" t="str">
            <v>ENCARREGADO</v>
          </cell>
          <cell r="C17" t="str">
            <v>H</v>
          </cell>
          <cell r="D17">
            <v>3.35</v>
          </cell>
        </row>
        <row r="18">
          <cell r="A18">
            <v>10011</v>
          </cell>
          <cell r="B18" t="str">
            <v>JATISTA</v>
          </cell>
          <cell r="C18" t="str">
            <v>H</v>
          </cell>
          <cell r="D18">
            <v>2.56</v>
          </cell>
        </row>
        <row r="19">
          <cell r="A19">
            <v>10012</v>
          </cell>
          <cell r="B19" t="str">
            <v>MACARIQUEIRO</v>
          </cell>
          <cell r="C19" t="str">
            <v>H</v>
          </cell>
          <cell r="D19">
            <v>2.56</v>
          </cell>
        </row>
        <row r="20">
          <cell r="A20">
            <v>10013</v>
          </cell>
          <cell r="B20" t="str">
            <v>MARTELEIRO</v>
          </cell>
          <cell r="C20" t="str">
            <v>H</v>
          </cell>
          <cell r="D20">
            <v>2.56</v>
          </cell>
        </row>
        <row r="21">
          <cell r="A21">
            <v>10014</v>
          </cell>
          <cell r="B21" t="str">
            <v>MONTADOR</v>
          </cell>
          <cell r="C21" t="str">
            <v>H</v>
          </cell>
          <cell r="D21">
            <v>2.56</v>
          </cell>
        </row>
        <row r="22">
          <cell r="A22">
            <v>10015</v>
          </cell>
          <cell r="B22" t="str">
            <v>MOTORISTA</v>
          </cell>
          <cell r="C22" t="str">
            <v>H</v>
          </cell>
          <cell r="D22">
            <v>3.35</v>
          </cell>
        </row>
        <row r="23">
          <cell r="A23">
            <v>10016</v>
          </cell>
          <cell r="B23" t="str">
            <v>NIVELADOR</v>
          </cell>
          <cell r="C23" t="str">
            <v>H</v>
          </cell>
          <cell r="D23">
            <v>2.56</v>
          </cell>
        </row>
        <row r="24">
          <cell r="A24">
            <v>10017</v>
          </cell>
          <cell r="B24" t="str">
            <v>OPERADOR</v>
          </cell>
          <cell r="C24" t="str">
            <v>H</v>
          </cell>
          <cell r="D24">
            <v>1.84</v>
          </cell>
        </row>
        <row r="25">
          <cell r="A25">
            <v>10018</v>
          </cell>
          <cell r="B25" t="str">
            <v>OPERADOR DE BETONEIRA</v>
          </cell>
          <cell r="C25" t="str">
            <v>H</v>
          </cell>
          <cell r="D25">
            <v>2.56</v>
          </cell>
        </row>
        <row r="26">
          <cell r="A26">
            <v>10019</v>
          </cell>
          <cell r="B26" t="str">
            <v>OPERADOR DE PROTENSAO</v>
          </cell>
          <cell r="C26" t="str">
            <v>H</v>
          </cell>
          <cell r="D26">
            <v>2.56</v>
          </cell>
        </row>
        <row r="27">
          <cell r="A27">
            <v>10020</v>
          </cell>
          <cell r="B27" t="str">
            <v>PEDREIRO</v>
          </cell>
          <cell r="C27" t="str">
            <v>H</v>
          </cell>
          <cell r="D27">
            <v>2.56</v>
          </cell>
        </row>
        <row r="28">
          <cell r="A28">
            <v>10021</v>
          </cell>
          <cell r="B28" t="str">
            <v>PINTOR</v>
          </cell>
          <cell r="C28" t="str">
            <v>H</v>
          </cell>
          <cell r="D28">
            <v>2.56</v>
          </cell>
        </row>
        <row r="29">
          <cell r="A29">
            <v>10022</v>
          </cell>
          <cell r="B29" t="str">
            <v>POCEIRO</v>
          </cell>
          <cell r="C29" t="str">
            <v>H</v>
          </cell>
          <cell r="D29">
            <v>2.56</v>
          </cell>
        </row>
        <row r="30">
          <cell r="A30">
            <v>10023</v>
          </cell>
          <cell r="B30" t="str">
            <v>REVESTIDOR</v>
          </cell>
          <cell r="C30" t="str">
            <v>H</v>
          </cell>
          <cell r="D30">
            <v>2.56</v>
          </cell>
        </row>
        <row r="31">
          <cell r="A31">
            <v>10024</v>
          </cell>
          <cell r="B31" t="str">
            <v>SINALEIRO</v>
          </cell>
          <cell r="C31" t="str">
            <v>H</v>
          </cell>
          <cell r="D31">
            <v>1.84</v>
          </cell>
        </row>
        <row r="32">
          <cell r="A32">
            <v>10025</v>
          </cell>
          <cell r="B32" t="str">
            <v>SERRALHEIRO</v>
          </cell>
          <cell r="C32" t="str">
            <v>H</v>
          </cell>
          <cell r="D32">
            <v>3.35</v>
          </cell>
        </row>
        <row r="33">
          <cell r="A33">
            <v>10026</v>
          </cell>
          <cell r="B33" t="str">
            <v>SERVENTE</v>
          </cell>
          <cell r="C33" t="str">
            <v>H</v>
          </cell>
          <cell r="D33">
            <v>1.84</v>
          </cell>
        </row>
        <row r="34">
          <cell r="A34">
            <v>10027</v>
          </cell>
          <cell r="B34" t="str">
            <v>SOLDADOR</v>
          </cell>
          <cell r="C34" t="str">
            <v>H</v>
          </cell>
          <cell r="D34">
            <v>3.35</v>
          </cell>
        </row>
        <row r="35">
          <cell r="A35">
            <v>10028</v>
          </cell>
          <cell r="B35" t="str">
            <v>TOPOGRAFO</v>
          </cell>
          <cell r="C35" t="str">
            <v>H</v>
          </cell>
          <cell r="D35">
            <v>5.15</v>
          </cell>
        </row>
        <row r="36">
          <cell r="A36">
            <v>10029</v>
          </cell>
          <cell r="B36" t="str">
            <v>VIBRADORISTA</v>
          </cell>
          <cell r="C36" t="str">
            <v>H</v>
          </cell>
          <cell r="D36">
            <v>2.56</v>
          </cell>
        </row>
        <row r="37">
          <cell r="A37">
            <v>10030</v>
          </cell>
          <cell r="B37" t="str">
            <v>SALARIO MINIMO DO MES</v>
          </cell>
          <cell r="C37" t="str">
            <v>SL</v>
          </cell>
          <cell r="D37">
            <v>180</v>
          </cell>
        </row>
        <row r="38">
          <cell r="A38">
            <v>10031</v>
          </cell>
          <cell r="B38" t="str">
            <v>ENGENHEIRO</v>
          </cell>
          <cell r="C38" t="str">
            <v>H</v>
          </cell>
          <cell r="D38">
            <v>6.26</v>
          </cell>
        </row>
        <row r="39">
          <cell r="A39">
            <v>10032</v>
          </cell>
          <cell r="B39" t="str">
            <v>MESTRE DE OBRAS</v>
          </cell>
          <cell r="C39" t="str">
            <v>H</v>
          </cell>
          <cell r="D39">
            <v>3.76</v>
          </cell>
        </row>
        <row r="41">
          <cell r="B41" t="str">
            <v>2000 MATERIAIS</v>
          </cell>
        </row>
        <row r="43">
          <cell r="A43">
            <v>20001</v>
          </cell>
          <cell r="B43" t="str">
            <v>ACETILENO</v>
          </cell>
          <cell r="C43" t="str">
            <v>KG</v>
          </cell>
          <cell r="D43">
            <v>9</v>
          </cell>
        </row>
        <row r="44">
          <cell r="A44">
            <v>20002</v>
          </cell>
          <cell r="B44" t="str">
            <v>ACO</v>
          </cell>
          <cell r="C44" t="str">
            <v>KG</v>
          </cell>
          <cell r="D44">
            <v>1.99</v>
          </cell>
        </row>
        <row r="45">
          <cell r="A45">
            <v>20003</v>
          </cell>
          <cell r="B45" t="str">
            <v>ACO PARA PROTENSAO</v>
          </cell>
          <cell r="C45" t="str">
            <v>KG</v>
          </cell>
          <cell r="D45">
            <v>1.99</v>
          </cell>
        </row>
        <row r="46">
          <cell r="A46">
            <v>20004</v>
          </cell>
          <cell r="B46" t="str">
            <v>ACO CA-24 (D=1/4)</v>
          </cell>
          <cell r="C46" t="str">
            <v>KG</v>
          </cell>
          <cell r="D46">
            <v>1.99</v>
          </cell>
        </row>
        <row r="47">
          <cell r="A47">
            <v>20005</v>
          </cell>
          <cell r="B47" t="str">
            <v>ACO CA-25</v>
          </cell>
          <cell r="C47" t="str">
            <v>KG</v>
          </cell>
          <cell r="D47">
            <v>1.99</v>
          </cell>
        </row>
        <row r="48">
          <cell r="A48">
            <v>20006</v>
          </cell>
          <cell r="B48" t="str">
            <v>ADESIVO PARA PVC BISNAGA C/90 CM3</v>
          </cell>
          <cell r="C48" t="str">
            <v>BS</v>
          </cell>
          <cell r="D48">
            <v>1.0900000000000001</v>
          </cell>
        </row>
        <row r="49">
          <cell r="A49">
            <v>20007</v>
          </cell>
          <cell r="B49" t="str">
            <v>AGUARRAS</v>
          </cell>
          <cell r="C49" t="str">
            <v>L</v>
          </cell>
          <cell r="D49">
            <v>2.89</v>
          </cell>
        </row>
        <row r="50">
          <cell r="A50">
            <v>20008</v>
          </cell>
          <cell r="B50" t="str">
            <v>ALIZAR (GUARNICAO)</v>
          </cell>
          <cell r="C50" t="str">
            <v>CJ</v>
          </cell>
          <cell r="D50">
            <v>9.4499999999999993</v>
          </cell>
        </row>
        <row r="51">
          <cell r="A51">
            <v>20009</v>
          </cell>
          <cell r="B51" t="str">
            <v>ANEL DE BORRACHA P/ DN 100</v>
          </cell>
          <cell r="C51" t="str">
            <v>UN</v>
          </cell>
          <cell r="D51">
            <v>2.37</v>
          </cell>
        </row>
        <row r="52">
          <cell r="A52">
            <v>20010</v>
          </cell>
          <cell r="B52" t="str">
            <v>ANEL DE BORRACHA P/ DN 150</v>
          </cell>
          <cell r="C52" t="str">
            <v>UN</v>
          </cell>
          <cell r="D52">
            <v>4.1100000000000003</v>
          </cell>
        </row>
        <row r="53">
          <cell r="A53">
            <v>20011</v>
          </cell>
          <cell r="B53" t="str">
            <v>ANEL DE BORRACHA P/ DN 200</v>
          </cell>
          <cell r="C53" t="str">
            <v>UN</v>
          </cell>
          <cell r="D53">
            <v>6.76</v>
          </cell>
        </row>
        <row r="54">
          <cell r="A54">
            <v>20012</v>
          </cell>
          <cell r="B54" t="str">
            <v>ANEL DE BORRACHA P/ DN 300</v>
          </cell>
          <cell r="C54" t="str">
            <v>UN</v>
          </cell>
          <cell r="D54">
            <v>18.670000000000002</v>
          </cell>
        </row>
        <row r="55">
          <cell r="A55">
            <v>20013</v>
          </cell>
          <cell r="B55" t="str">
            <v>ANEL DE BORRACHA P/ DN 375</v>
          </cell>
          <cell r="C55" t="str">
            <v>UN</v>
          </cell>
          <cell r="D55">
            <v>22.06</v>
          </cell>
        </row>
        <row r="56">
          <cell r="A56">
            <v>20014</v>
          </cell>
          <cell r="B56" t="str">
            <v>ARAME FARPADO COMUM</v>
          </cell>
          <cell r="C56" t="str">
            <v>M</v>
          </cell>
          <cell r="D56">
            <v>0.18</v>
          </cell>
        </row>
        <row r="57">
          <cell r="A57">
            <v>20015</v>
          </cell>
          <cell r="B57" t="str">
            <v>ARAME GALVANIZADO BWG 8</v>
          </cell>
          <cell r="C57" t="str">
            <v>KG</v>
          </cell>
          <cell r="D57">
            <v>4.25</v>
          </cell>
        </row>
        <row r="58">
          <cell r="A58">
            <v>20016</v>
          </cell>
          <cell r="B58" t="str">
            <v>ARAME GALVANIZADO N.18 BWG 9,6 GR/M</v>
          </cell>
          <cell r="C58" t="str">
            <v>M</v>
          </cell>
          <cell r="D58">
            <v>0.04</v>
          </cell>
        </row>
        <row r="59">
          <cell r="A59">
            <v>20017</v>
          </cell>
          <cell r="B59" t="str">
            <v>ARAME RECOZIDO N. 18 BWG 9,6 GR/M</v>
          </cell>
          <cell r="C59" t="str">
            <v>KG</v>
          </cell>
          <cell r="D59">
            <v>4.4000000000000004</v>
          </cell>
        </row>
        <row r="60">
          <cell r="A60">
            <v>20018</v>
          </cell>
          <cell r="B60" t="str">
            <v>AREIA</v>
          </cell>
          <cell r="C60" t="str">
            <v>M3</v>
          </cell>
          <cell r="D60">
            <v>33</v>
          </cell>
        </row>
        <row r="61">
          <cell r="A61">
            <v>20019</v>
          </cell>
          <cell r="B61" t="str">
            <v>AREIA DE ASSENTAMENTO</v>
          </cell>
          <cell r="C61" t="str">
            <v>M3</v>
          </cell>
          <cell r="D61">
            <v>18</v>
          </cell>
        </row>
        <row r="62">
          <cell r="A62">
            <v>20020</v>
          </cell>
          <cell r="B62" t="str">
            <v>AREIA DE REVESTIMENTO</v>
          </cell>
          <cell r="C62" t="str">
            <v>M3</v>
          </cell>
          <cell r="D62">
            <v>18</v>
          </cell>
        </row>
        <row r="63">
          <cell r="A63">
            <v>20021</v>
          </cell>
          <cell r="B63" t="str">
            <v>AREIA GROSSA</v>
          </cell>
          <cell r="C63" t="str">
            <v>M3</v>
          </cell>
          <cell r="D63">
            <v>33</v>
          </cell>
        </row>
        <row r="64">
          <cell r="A64">
            <v>20022</v>
          </cell>
          <cell r="B64" t="str">
            <v>AREIA LAVADA</v>
          </cell>
          <cell r="C64" t="str">
            <v>M3</v>
          </cell>
          <cell r="D64">
            <v>33</v>
          </cell>
        </row>
        <row r="65">
          <cell r="A65">
            <v>20023</v>
          </cell>
          <cell r="B65" t="str">
            <v>AREIA MEDIA</v>
          </cell>
          <cell r="C65" t="str">
            <v>M3</v>
          </cell>
          <cell r="D65">
            <v>33</v>
          </cell>
        </row>
        <row r="66">
          <cell r="A66">
            <v>20024</v>
          </cell>
          <cell r="B66" t="str">
            <v>ASFALTO</v>
          </cell>
          <cell r="C66" t="str">
            <v>KG</v>
          </cell>
          <cell r="D66">
            <v>2.2000000000000002</v>
          </cell>
        </row>
        <row r="67">
          <cell r="A67">
            <v>20025</v>
          </cell>
          <cell r="B67" t="str">
            <v>ASFALTO PREPARADO</v>
          </cell>
          <cell r="C67" t="str">
            <v>KG</v>
          </cell>
          <cell r="D67">
            <v>2.2000000000000002</v>
          </cell>
        </row>
        <row r="68">
          <cell r="A68">
            <v>20026</v>
          </cell>
          <cell r="B68" t="str">
            <v>AZULEJOS BRANCO  15 X 15CM</v>
          </cell>
          <cell r="C68" t="str">
            <v>M2</v>
          </cell>
          <cell r="D68">
            <v>9.6199999999999992</v>
          </cell>
        </row>
        <row r="69">
          <cell r="A69">
            <v>20027</v>
          </cell>
          <cell r="B69" t="str">
            <v>BAINHA METALICA DN 62 INT.</v>
          </cell>
          <cell r="C69" t="str">
            <v>M</v>
          </cell>
          <cell r="D69">
            <v>1.37</v>
          </cell>
        </row>
        <row r="70">
          <cell r="A70">
            <v>20028</v>
          </cell>
          <cell r="B70" t="str">
            <v>BALDE PLASTICO CAP.=10 L</v>
          </cell>
          <cell r="C70" t="str">
            <v>UN</v>
          </cell>
          <cell r="D70">
            <v>2.8</v>
          </cell>
        </row>
        <row r="71">
          <cell r="A71">
            <v>20029</v>
          </cell>
          <cell r="B71" t="str">
            <v>BATENTE DE PEROBA</v>
          </cell>
          <cell r="C71" t="str">
            <v>UN</v>
          </cell>
          <cell r="D71">
            <v>20</v>
          </cell>
        </row>
        <row r="72">
          <cell r="A72">
            <v>20030</v>
          </cell>
          <cell r="B72" t="str">
            <v>BOLSA DE NYLON</v>
          </cell>
          <cell r="C72" t="str">
            <v>UN</v>
          </cell>
          <cell r="D72">
            <v>0.63</v>
          </cell>
        </row>
        <row r="73">
          <cell r="A73">
            <v>20031</v>
          </cell>
          <cell r="B73" t="str">
            <v>BOQUILHA</v>
          </cell>
          <cell r="C73" t="str">
            <v>UN</v>
          </cell>
          <cell r="D73">
            <v>0.73</v>
          </cell>
        </row>
        <row r="74">
          <cell r="A74">
            <v>20032</v>
          </cell>
          <cell r="B74" t="str">
            <v>BLOCO HEXAGONAL DE CONCRETO (BLOCKRET) E=8 CM</v>
          </cell>
          <cell r="C74" t="str">
            <v>UN</v>
          </cell>
          <cell r="D74">
            <v>1.22</v>
          </cell>
        </row>
        <row r="75">
          <cell r="A75">
            <v>20033</v>
          </cell>
          <cell r="B75" t="str">
            <v>BLOCO HEXAGONAL DE CONCRETO(BLOCKRET-PERDAS) E=8CM</v>
          </cell>
          <cell r="C75" t="str">
            <v>M2</v>
          </cell>
          <cell r="D75">
            <v>15.8</v>
          </cell>
        </row>
        <row r="76">
          <cell r="A76">
            <v>20034</v>
          </cell>
          <cell r="B76" t="str">
            <v>BLOCO HEXAGONAL DE CONCRETO(BLOCKRET-PERDAS) E=8CM</v>
          </cell>
          <cell r="C76" t="str">
            <v>M2</v>
          </cell>
          <cell r="D76">
            <v>15.8</v>
          </cell>
        </row>
        <row r="77">
          <cell r="A77">
            <v>20035</v>
          </cell>
          <cell r="B77" t="str">
            <v>BRITA</v>
          </cell>
          <cell r="C77" t="str">
            <v>M3</v>
          </cell>
          <cell r="D77">
            <v>26.93</v>
          </cell>
        </row>
        <row r="78">
          <cell r="A78">
            <v>20036</v>
          </cell>
          <cell r="B78" t="str">
            <v>C  F.G. 90G DN 3/4</v>
          </cell>
          <cell r="C78" t="str">
            <v>UN</v>
          </cell>
          <cell r="D78">
            <v>2.5</v>
          </cell>
        </row>
        <row r="79">
          <cell r="A79">
            <v>20037</v>
          </cell>
          <cell r="B79" t="str">
            <v>CAIBRO 6 X 5CM</v>
          </cell>
          <cell r="C79" t="str">
            <v>M</v>
          </cell>
          <cell r="D79">
            <v>1.35</v>
          </cell>
        </row>
        <row r="80">
          <cell r="A80">
            <v>20038</v>
          </cell>
          <cell r="B80" t="str">
            <v>CAIBRO 4 X 8CM</v>
          </cell>
          <cell r="C80" t="str">
            <v>M</v>
          </cell>
          <cell r="D80">
            <v>1.44</v>
          </cell>
        </row>
        <row r="81">
          <cell r="A81">
            <v>20039</v>
          </cell>
          <cell r="B81" t="str">
            <v>CAIXA D'AGUA CIMENTO AMIANTO 500 L</v>
          </cell>
          <cell r="C81" t="str">
            <v>UN</v>
          </cell>
          <cell r="D81">
            <v>48</v>
          </cell>
        </row>
        <row r="82">
          <cell r="A82">
            <v>20040</v>
          </cell>
          <cell r="B82" t="str">
            <v>CAIXA DE DESCARGA</v>
          </cell>
          <cell r="C82" t="str">
            <v>UN</v>
          </cell>
          <cell r="D82">
            <v>4.95</v>
          </cell>
        </row>
        <row r="83">
          <cell r="A83">
            <v>20041</v>
          </cell>
          <cell r="B83" t="str">
            <v>CAIXILHO BASC.DE FERRO - CH. DOBRADA</v>
          </cell>
          <cell r="C83" t="str">
            <v>M2</v>
          </cell>
          <cell r="D83">
            <v>140</v>
          </cell>
        </row>
        <row r="84">
          <cell r="A84">
            <v>20042</v>
          </cell>
          <cell r="B84" t="str">
            <v>CAIXILHO DE CORRER</v>
          </cell>
          <cell r="C84" t="str">
            <v>M2</v>
          </cell>
          <cell r="D84">
            <v>140</v>
          </cell>
        </row>
        <row r="85">
          <cell r="A85">
            <v>20043</v>
          </cell>
          <cell r="B85" t="str">
            <v>CAIXILHO FIXO DE FERRO - CH. DOBRADA</v>
          </cell>
          <cell r="C85" t="str">
            <v>M2</v>
          </cell>
          <cell r="D85">
            <v>140</v>
          </cell>
        </row>
        <row r="86">
          <cell r="A86">
            <v>20044</v>
          </cell>
          <cell r="B86" t="str">
            <v>CAIXILHO MAXIMAR DE FERRO</v>
          </cell>
          <cell r="C86" t="str">
            <v>M2</v>
          </cell>
          <cell r="D86">
            <v>140</v>
          </cell>
        </row>
        <row r="87">
          <cell r="A87">
            <v>20045</v>
          </cell>
          <cell r="B87" t="str">
            <v>CAL HIDRATADA</v>
          </cell>
          <cell r="C87" t="str">
            <v>KG</v>
          </cell>
          <cell r="D87">
            <v>0.21</v>
          </cell>
        </row>
        <row r="88">
          <cell r="A88">
            <v>20046</v>
          </cell>
          <cell r="B88" t="str">
            <v>CANTONEIRA  2"X3/8"  PESO=7KG/M</v>
          </cell>
          <cell r="C88" t="str">
            <v>M</v>
          </cell>
          <cell r="D88">
            <v>4.17</v>
          </cell>
        </row>
        <row r="89">
          <cell r="A89">
            <v>20047</v>
          </cell>
          <cell r="B89" t="str">
            <v>CERAMICA 7.5 X 15CM</v>
          </cell>
          <cell r="C89" t="str">
            <v>M</v>
          </cell>
          <cell r="D89">
            <v>1.85</v>
          </cell>
        </row>
        <row r="90">
          <cell r="A90">
            <v>20048</v>
          </cell>
          <cell r="B90" t="str">
            <v>CERAMICA VERMELHA 7.5 X 15CM</v>
          </cell>
          <cell r="C90" t="str">
            <v>M2</v>
          </cell>
          <cell r="D90">
            <v>12.24</v>
          </cell>
        </row>
        <row r="91">
          <cell r="A91">
            <v>20049</v>
          </cell>
          <cell r="B91" t="str">
            <v>CERAMICA VERMELHA 10 X 20CM</v>
          </cell>
          <cell r="C91" t="str">
            <v>M2</v>
          </cell>
          <cell r="D91">
            <v>12.24</v>
          </cell>
        </row>
        <row r="92">
          <cell r="A92">
            <v>20050</v>
          </cell>
          <cell r="B92" t="str">
            <v>CIMBRAMENTO TUBULAR</v>
          </cell>
          <cell r="C92" t="str">
            <v>M3</v>
          </cell>
          <cell r="D92">
            <v>0</v>
          </cell>
        </row>
        <row r="93">
          <cell r="A93">
            <v>20051</v>
          </cell>
          <cell r="B93" t="str">
            <v>CIMENTO</v>
          </cell>
          <cell r="C93" t="str">
            <v>KG</v>
          </cell>
          <cell r="D93">
            <v>0.37</v>
          </cell>
        </row>
        <row r="94">
          <cell r="A94">
            <v>20052</v>
          </cell>
          <cell r="B94" t="str">
            <v>CIMENTO BRANCO</v>
          </cell>
          <cell r="C94" t="str">
            <v>KG</v>
          </cell>
          <cell r="D94">
            <v>1.5</v>
          </cell>
        </row>
        <row r="95">
          <cell r="A95">
            <v>20053</v>
          </cell>
          <cell r="B95" t="str">
            <v>CIMENTO PORTLAND 320</v>
          </cell>
          <cell r="C95" t="str">
            <v>KG</v>
          </cell>
          <cell r="D95">
            <v>0.37</v>
          </cell>
        </row>
        <row r="96">
          <cell r="A96">
            <v>20054</v>
          </cell>
          <cell r="B96" t="str">
            <v>COALTAR</v>
          </cell>
          <cell r="C96" t="str">
            <v>KG</v>
          </cell>
          <cell r="D96">
            <v>0.57999999999999996</v>
          </cell>
        </row>
        <row r="97">
          <cell r="A97">
            <v>20055</v>
          </cell>
          <cell r="B97" t="str">
            <v>COMPACTADOR CM-20</v>
          </cell>
          <cell r="C97" t="str">
            <v>H</v>
          </cell>
          <cell r="D97">
            <v>0</v>
          </cell>
        </row>
        <row r="98">
          <cell r="A98">
            <v>20056</v>
          </cell>
          <cell r="B98" t="str">
            <v>CONJUNTO DE VEDACAO</v>
          </cell>
          <cell r="C98" t="str">
            <v>UN</v>
          </cell>
          <cell r="D98">
            <v>0.1</v>
          </cell>
        </row>
        <row r="99">
          <cell r="A99">
            <v>20057</v>
          </cell>
          <cell r="B99" t="str">
            <v>CONJUNTO DE VEDACAO 901.913 P/TELHAS CANAL. 49/90</v>
          </cell>
          <cell r="C99" t="str">
            <v>UN</v>
          </cell>
          <cell r="D99">
            <v>0.1</v>
          </cell>
        </row>
        <row r="100">
          <cell r="A100">
            <v>20058</v>
          </cell>
          <cell r="B100" t="str">
            <v>CONJUNTO DE VEDACAO 901.906 P/TELHA ONDUL. E=6MM</v>
          </cell>
          <cell r="C100" t="str">
            <v>UN</v>
          </cell>
          <cell r="D100">
            <v>0.1</v>
          </cell>
        </row>
        <row r="101">
          <cell r="A101">
            <v>20059</v>
          </cell>
          <cell r="B101" t="str">
            <v>CURVA DE PVC 90 G DN 100</v>
          </cell>
          <cell r="C101" t="str">
            <v>UN</v>
          </cell>
          <cell r="D101">
            <v>4.45</v>
          </cell>
        </row>
        <row r="102">
          <cell r="A102">
            <v>20060</v>
          </cell>
          <cell r="B102" t="str">
            <v>CHAPA MAD. COMPENSADA</v>
          </cell>
          <cell r="C102" t="str">
            <v>M2</v>
          </cell>
          <cell r="D102">
            <v>8.14</v>
          </cell>
        </row>
        <row r="103">
          <cell r="A103">
            <v>20061</v>
          </cell>
          <cell r="B103" t="str">
            <v>CHAPA MAD. COMPENSADO 12MM</v>
          </cell>
          <cell r="C103" t="str">
            <v>M2</v>
          </cell>
          <cell r="D103">
            <v>8.14</v>
          </cell>
        </row>
        <row r="104">
          <cell r="A104">
            <v>20062</v>
          </cell>
          <cell r="B104" t="str">
            <v>CHAPA MADEIRIT COMPENSADO 6MM</v>
          </cell>
          <cell r="C104" t="str">
            <v>M2</v>
          </cell>
          <cell r="D104">
            <v>4.51</v>
          </cell>
        </row>
        <row r="105">
          <cell r="A105">
            <v>20063</v>
          </cell>
          <cell r="B105" t="str">
            <v>CHAPA METALICA  1"</v>
          </cell>
          <cell r="C105" t="str">
            <v>M2</v>
          </cell>
          <cell r="D105">
            <v>396.38</v>
          </cell>
        </row>
        <row r="106">
          <cell r="A106">
            <v>20064</v>
          </cell>
          <cell r="B106" t="str">
            <v>CHUVEIRO DUCHA FRIA (BRANCO)</v>
          </cell>
          <cell r="C106" t="str">
            <v>UN</v>
          </cell>
          <cell r="D106">
            <v>4</v>
          </cell>
        </row>
        <row r="107">
          <cell r="A107">
            <v>20065</v>
          </cell>
          <cell r="B107" t="str">
            <v>DINAMITE</v>
          </cell>
          <cell r="C107" t="str">
            <v>KG</v>
          </cell>
          <cell r="D107">
            <v>3.52</v>
          </cell>
        </row>
        <row r="108">
          <cell r="A108">
            <v>20066</v>
          </cell>
          <cell r="B108" t="str">
            <v>DOBRADICAS DE FERRO 3" P/PORTA</v>
          </cell>
          <cell r="C108" t="str">
            <v>UN</v>
          </cell>
          <cell r="D108">
            <v>0.5</v>
          </cell>
        </row>
        <row r="109">
          <cell r="A109">
            <v>20067</v>
          </cell>
          <cell r="B109" t="str">
            <v>DOBRADICAS DE FERRO POLIDO</v>
          </cell>
          <cell r="C109" t="str">
            <v>UN</v>
          </cell>
          <cell r="D109">
            <v>0.5</v>
          </cell>
        </row>
        <row r="110">
          <cell r="A110">
            <v>20068</v>
          </cell>
          <cell r="B110" t="str">
            <v>ELEMENTO VAZADO DE CONCRETO 50X50 CM</v>
          </cell>
          <cell r="C110" t="str">
            <v>UN</v>
          </cell>
          <cell r="D110">
            <v>5.45</v>
          </cell>
        </row>
        <row r="111">
          <cell r="A111">
            <v>20069</v>
          </cell>
          <cell r="B111" t="str">
            <v>ELETRODO</v>
          </cell>
          <cell r="C111" t="str">
            <v>KG</v>
          </cell>
          <cell r="D111">
            <v>4.5</v>
          </cell>
        </row>
        <row r="112">
          <cell r="A112">
            <v>20070</v>
          </cell>
          <cell r="B112" t="str">
            <v>ENGATE PLASTICO P/LAVATORIO</v>
          </cell>
          <cell r="C112" t="str">
            <v>UN</v>
          </cell>
          <cell r="D112">
            <v>1.48</v>
          </cell>
        </row>
        <row r="113">
          <cell r="A113">
            <v>20071</v>
          </cell>
          <cell r="B113" t="str">
            <v>ESPOLETA</v>
          </cell>
          <cell r="C113" t="str">
            <v>UN</v>
          </cell>
          <cell r="D113">
            <v>0.32</v>
          </cell>
        </row>
        <row r="114">
          <cell r="A114">
            <v>20072</v>
          </cell>
          <cell r="B114" t="str">
            <v>ESTACA DE EUCALIPTO DN 22CM</v>
          </cell>
          <cell r="C114" t="str">
            <v>M</v>
          </cell>
          <cell r="D114">
            <v>8.1300000000000008</v>
          </cell>
        </row>
        <row r="115">
          <cell r="A115">
            <v>20073</v>
          </cell>
          <cell r="B115" t="str">
            <v>ESTOPA ALCATROADA</v>
          </cell>
          <cell r="C115" t="str">
            <v>KG</v>
          </cell>
          <cell r="D115">
            <v>3.08</v>
          </cell>
        </row>
        <row r="116">
          <cell r="A116">
            <v>20074</v>
          </cell>
          <cell r="B116" t="str">
            <v>ESTOPIM</v>
          </cell>
          <cell r="C116" t="str">
            <v>M</v>
          </cell>
          <cell r="D116">
            <v>1.1000000000000001</v>
          </cell>
        </row>
        <row r="117">
          <cell r="A117">
            <v>20075</v>
          </cell>
          <cell r="B117" t="str">
            <v>ESTRONCA DE EUCALIPTO</v>
          </cell>
          <cell r="C117" t="str">
            <v>M</v>
          </cell>
          <cell r="D117">
            <v>8.1300000000000008</v>
          </cell>
        </row>
        <row r="118">
          <cell r="A118">
            <v>20076</v>
          </cell>
          <cell r="B118" t="str">
            <v>EUCALIPTO DN 2.20M</v>
          </cell>
          <cell r="C118" t="str">
            <v>M</v>
          </cell>
          <cell r="D118">
            <v>8.1300000000000008</v>
          </cell>
        </row>
        <row r="119">
          <cell r="A119">
            <v>20077</v>
          </cell>
          <cell r="B119" t="str">
            <v>FECHADURA</v>
          </cell>
          <cell r="C119" t="str">
            <v>UN</v>
          </cell>
          <cell r="D119">
            <v>17.03</v>
          </cell>
        </row>
        <row r="120">
          <cell r="A120">
            <v>20078</v>
          </cell>
          <cell r="B120" t="str">
            <v>FECHADURAS  (BARRACAO)</v>
          </cell>
          <cell r="C120" t="str">
            <v>UN</v>
          </cell>
          <cell r="D120">
            <v>17.03</v>
          </cell>
        </row>
        <row r="121">
          <cell r="A121">
            <v>20079</v>
          </cell>
          <cell r="B121" t="str">
            <v>FERRAGEM  1/4"</v>
          </cell>
          <cell r="C121" t="str">
            <v>KG</v>
          </cell>
          <cell r="D121">
            <v>1.99</v>
          </cell>
        </row>
        <row r="122">
          <cell r="A122">
            <v>20080</v>
          </cell>
          <cell r="B122" t="str">
            <v>FERRO</v>
          </cell>
          <cell r="C122" t="str">
            <v>KG</v>
          </cell>
          <cell r="D122">
            <v>1.99</v>
          </cell>
        </row>
        <row r="123">
          <cell r="A123">
            <v>20081</v>
          </cell>
          <cell r="B123" t="str">
            <v>FIO C/ISOLAMENTO PLASTICO 14 AREA=1,5 MM2</v>
          </cell>
          <cell r="C123" t="str">
            <v>M</v>
          </cell>
          <cell r="D123">
            <v>0.24</v>
          </cell>
        </row>
        <row r="124">
          <cell r="A124">
            <v>20082</v>
          </cell>
          <cell r="B124" t="str">
            <v>FIO 1.5MM2</v>
          </cell>
          <cell r="C124" t="str">
            <v>M</v>
          </cell>
          <cell r="D124">
            <v>0.24</v>
          </cell>
        </row>
        <row r="125">
          <cell r="A125">
            <v>20083</v>
          </cell>
          <cell r="B125" t="str">
            <v>FIO C/ISOLAMENTO PLASTICO 14 AREA=1,5 MM2</v>
          </cell>
          <cell r="C125" t="str">
            <v>M</v>
          </cell>
          <cell r="D125">
            <v>0.24</v>
          </cell>
        </row>
        <row r="126">
          <cell r="A126">
            <v>20084</v>
          </cell>
          <cell r="B126" t="str">
            <v>FITA ISOLANTE PRETA ROLO C/ 5M</v>
          </cell>
          <cell r="C126" t="str">
            <v>RO</v>
          </cell>
          <cell r="D126">
            <v>0.84</v>
          </cell>
        </row>
        <row r="127">
          <cell r="A127">
            <v>20085</v>
          </cell>
          <cell r="B127" t="str">
            <v>PORTA LISA CEDRO P/PINTURA A OLEO OU PVA:0,8X2,1M</v>
          </cell>
          <cell r="C127" t="str">
            <v>UN</v>
          </cell>
          <cell r="D127">
            <v>25</v>
          </cell>
        </row>
        <row r="128">
          <cell r="A128">
            <v>20086</v>
          </cell>
          <cell r="B128" t="str">
            <v>GABIAO (TELA)</v>
          </cell>
          <cell r="C128" t="str">
            <v>M3</v>
          </cell>
          <cell r="D128">
            <v>36.65</v>
          </cell>
        </row>
        <row r="129">
          <cell r="A129">
            <v>20087</v>
          </cell>
          <cell r="B129" t="str">
            <v>GRAMA EM PLACAS</v>
          </cell>
          <cell r="C129" t="str">
            <v>M2</v>
          </cell>
          <cell r="D129">
            <v>1.5</v>
          </cell>
        </row>
        <row r="130">
          <cell r="A130">
            <v>20088</v>
          </cell>
          <cell r="B130" t="str">
            <v>IGOL 1C</v>
          </cell>
          <cell r="C130" t="str">
            <v>L</v>
          </cell>
          <cell r="D130">
            <v>5.1100000000000003</v>
          </cell>
        </row>
        <row r="131">
          <cell r="A131">
            <v>20089</v>
          </cell>
          <cell r="B131" t="str">
            <v>IMPERMEABILIZANTE  SIKA</v>
          </cell>
          <cell r="C131" t="str">
            <v>KG</v>
          </cell>
          <cell r="D131">
            <v>1.78</v>
          </cell>
        </row>
        <row r="132">
          <cell r="A132">
            <v>20090</v>
          </cell>
          <cell r="B132" t="str">
            <v>INTERRUPTOR EXTERNO TIPO PERA</v>
          </cell>
          <cell r="C132" t="str">
            <v>UN</v>
          </cell>
          <cell r="D132">
            <v>1.59</v>
          </cell>
        </row>
        <row r="133">
          <cell r="A133">
            <v>20091</v>
          </cell>
          <cell r="B133" t="str">
            <v>INTERRUPTOR SIMPLES</v>
          </cell>
          <cell r="C133" t="str">
            <v>UN</v>
          </cell>
          <cell r="D133">
            <v>0.9</v>
          </cell>
        </row>
        <row r="134">
          <cell r="A134">
            <v>20092</v>
          </cell>
          <cell r="B134" t="str">
            <v>JOELHO DE PVC 90 GRAU X 2"</v>
          </cell>
          <cell r="C134" t="str">
            <v>UN</v>
          </cell>
          <cell r="D134">
            <v>5.68</v>
          </cell>
        </row>
        <row r="135">
          <cell r="A135">
            <v>20093</v>
          </cell>
          <cell r="B135" t="str">
            <v>JOELHO PVC DN 100</v>
          </cell>
          <cell r="C135" t="str">
            <v>UN</v>
          </cell>
          <cell r="D135">
            <v>1.45</v>
          </cell>
        </row>
        <row r="136">
          <cell r="A136">
            <v>20094</v>
          </cell>
          <cell r="B136" t="str">
            <v>LA  DE  VIDRO E=2,5 CM (PLACA 1,20X0,60 M)</v>
          </cell>
          <cell r="C136" t="str">
            <v>M2</v>
          </cell>
          <cell r="D136">
            <v>21</v>
          </cell>
        </row>
        <row r="137">
          <cell r="A137">
            <v>20095</v>
          </cell>
          <cell r="B137" t="str">
            <v>LADRILHO HIDRAULICO ESPECIAL</v>
          </cell>
          <cell r="C137" t="str">
            <v>M2</v>
          </cell>
          <cell r="D137">
            <v>13</v>
          </cell>
        </row>
        <row r="138">
          <cell r="A138">
            <v>20096</v>
          </cell>
          <cell r="B138" t="str">
            <v>LADRILHO HIDRAULICO SIMPLES</v>
          </cell>
          <cell r="C138" t="str">
            <v>M2</v>
          </cell>
          <cell r="D138">
            <v>11</v>
          </cell>
        </row>
        <row r="139">
          <cell r="A139">
            <v>20097</v>
          </cell>
          <cell r="B139" t="str">
            <v>LAJE DE PIRENOPOLIS C/CORTE MANUAL</v>
          </cell>
          <cell r="C139" t="str">
            <v>M2</v>
          </cell>
          <cell r="D139">
            <v>12</v>
          </cell>
        </row>
        <row r="140">
          <cell r="A140">
            <v>20098</v>
          </cell>
          <cell r="B140" t="str">
            <v>LAJE DE REDUCAO</v>
          </cell>
          <cell r="C140" t="str">
            <v>UN</v>
          </cell>
          <cell r="D140">
            <v>22.03</v>
          </cell>
        </row>
        <row r="141">
          <cell r="A141">
            <v>20099</v>
          </cell>
          <cell r="B141" t="str">
            <v>LAJOTA CERAMICA  15 X 30CM</v>
          </cell>
          <cell r="C141" t="str">
            <v>M</v>
          </cell>
          <cell r="D141">
            <v>1.85</v>
          </cell>
        </row>
        <row r="142">
          <cell r="A142">
            <v>20100</v>
          </cell>
          <cell r="B142" t="str">
            <v>LAJOTA CERAMICA 0.20 X 0.30M</v>
          </cell>
          <cell r="C142" t="str">
            <v>UN</v>
          </cell>
          <cell r="D142">
            <v>0.25</v>
          </cell>
        </row>
        <row r="143">
          <cell r="A143">
            <v>20101</v>
          </cell>
          <cell r="B143" t="str">
            <v>LAMPADA</v>
          </cell>
          <cell r="C143" t="str">
            <v>UN</v>
          </cell>
          <cell r="D143">
            <v>1.2</v>
          </cell>
        </row>
        <row r="144">
          <cell r="A144">
            <v>20102</v>
          </cell>
          <cell r="B144" t="str">
            <v>LAMPADA C/SOQUETE DE PORCELANA</v>
          </cell>
          <cell r="C144" t="str">
            <v>UN</v>
          </cell>
          <cell r="D144">
            <v>2.09</v>
          </cell>
        </row>
        <row r="145">
          <cell r="A145">
            <v>20103</v>
          </cell>
          <cell r="B145" t="str">
            <v>LAMPADA INCANDESCENTE 100W</v>
          </cell>
          <cell r="C145" t="str">
            <v>UN</v>
          </cell>
          <cell r="D145">
            <v>1.2</v>
          </cell>
        </row>
        <row r="146">
          <cell r="A146">
            <v>20104</v>
          </cell>
          <cell r="B146" t="str">
            <v>LAVATORIO</v>
          </cell>
          <cell r="C146" t="str">
            <v>UN</v>
          </cell>
          <cell r="D146">
            <v>16.75</v>
          </cell>
        </row>
        <row r="147">
          <cell r="A147">
            <v>20105</v>
          </cell>
          <cell r="B147" t="str">
            <v>LIQUIDO BASE (SELADOR)</v>
          </cell>
          <cell r="C147" t="str">
            <v>L</v>
          </cell>
          <cell r="D147">
            <v>4.25</v>
          </cell>
        </row>
        <row r="148">
          <cell r="A148">
            <v>20106</v>
          </cell>
          <cell r="B148" t="str">
            <v>LIQUIDO DESMOLDANTE</v>
          </cell>
          <cell r="C148" t="str">
            <v>L</v>
          </cell>
          <cell r="D148">
            <v>0.32</v>
          </cell>
        </row>
        <row r="149">
          <cell r="A149">
            <v>20107</v>
          </cell>
          <cell r="B149" t="str">
            <v>LIXA</v>
          </cell>
          <cell r="C149" t="str">
            <v>UN</v>
          </cell>
          <cell r="D149">
            <v>0.2</v>
          </cell>
        </row>
        <row r="150">
          <cell r="A150">
            <v>20108</v>
          </cell>
          <cell r="B150" t="str">
            <v>LUVA PVC JS DN 3/4"</v>
          </cell>
          <cell r="C150" t="str">
            <v>UN</v>
          </cell>
          <cell r="D150">
            <v>0.15</v>
          </cell>
        </row>
        <row r="151">
          <cell r="A151">
            <v>20109</v>
          </cell>
          <cell r="B151" t="str">
            <v>MADEIRA DE LEI</v>
          </cell>
          <cell r="C151" t="str">
            <v>M3</v>
          </cell>
          <cell r="D151">
            <v>750</v>
          </cell>
        </row>
        <row r="152">
          <cell r="A152">
            <v>20110</v>
          </cell>
          <cell r="B152" t="str">
            <v>MADEIRA ROLICA DN 15 CM</v>
          </cell>
          <cell r="C152" t="str">
            <v>M</v>
          </cell>
          <cell r="D152">
            <v>0.75</v>
          </cell>
        </row>
        <row r="153">
          <cell r="A153">
            <v>20111</v>
          </cell>
          <cell r="B153" t="str">
            <v>MADEIRIT 12MM</v>
          </cell>
          <cell r="C153" t="str">
            <v>CH</v>
          </cell>
          <cell r="D153">
            <v>19.71</v>
          </cell>
        </row>
        <row r="154">
          <cell r="A154">
            <v>20112</v>
          </cell>
          <cell r="B154" t="str">
            <v>MADEIRIT 12 MM</v>
          </cell>
          <cell r="C154" t="str">
            <v>M2</v>
          </cell>
          <cell r="D154">
            <v>8.16</v>
          </cell>
        </row>
        <row r="155">
          <cell r="A155">
            <v>20113</v>
          </cell>
          <cell r="B155" t="str">
            <v>MANILHA DN 100</v>
          </cell>
          <cell r="C155" t="str">
            <v>M</v>
          </cell>
          <cell r="D155">
            <v>5.95</v>
          </cell>
        </row>
        <row r="156">
          <cell r="A156">
            <v>20114</v>
          </cell>
          <cell r="B156" t="str">
            <v>MANILHA DN 150</v>
          </cell>
          <cell r="C156" t="str">
            <v>M</v>
          </cell>
          <cell r="D156">
            <v>9.49</v>
          </cell>
        </row>
        <row r="157">
          <cell r="A157">
            <v>20115</v>
          </cell>
          <cell r="B157" t="str">
            <v>MANILHA DN 200</v>
          </cell>
          <cell r="C157" t="str">
            <v>M</v>
          </cell>
          <cell r="D157">
            <v>15.86</v>
          </cell>
        </row>
        <row r="158">
          <cell r="A158">
            <v>20116</v>
          </cell>
          <cell r="B158" t="str">
            <v>MANILHA DN 250</v>
          </cell>
          <cell r="C158" t="str">
            <v>M</v>
          </cell>
          <cell r="D158">
            <v>29.41</v>
          </cell>
        </row>
        <row r="159">
          <cell r="A159">
            <v>20117</v>
          </cell>
          <cell r="B159" t="str">
            <v>MANILHA DN 300</v>
          </cell>
          <cell r="C159" t="str">
            <v>M</v>
          </cell>
          <cell r="D159">
            <v>39.69</v>
          </cell>
        </row>
        <row r="160">
          <cell r="A160">
            <v>20118</v>
          </cell>
          <cell r="B160" t="str">
            <v>MANILHA DN 375</v>
          </cell>
          <cell r="C160" t="str">
            <v>M</v>
          </cell>
          <cell r="D160">
            <v>58.01</v>
          </cell>
        </row>
        <row r="161">
          <cell r="A161">
            <v>20119</v>
          </cell>
          <cell r="B161" t="str">
            <v>MASSA A BASE DE OLEO</v>
          </cell>
          <cell r="C161" t="str">
            <v>KG</v>
          </cell>
          <cell r="D161">
            <v>2.65</v>
          </cell>
        </row>
        <row r="162">
          <cell r="A162">
            <v>20120</v>
          </cell>
          <cell r="B162" t="str">
            <v>MASSA A BASE DE PVA</v>
          </cell>
          <cell r="C162" t="str">
            <v>KG</v>
          </cell>
          <cell r="D162">
            <v>1.1599999999999999</v>
          </cell>
        </row>
        <row r="163">
          <cell r="A163">
            <v>20121</v>
          </cell>
          <cell r="B163" t="str">
            <v>MASSA EPOXI</v>
          </cell>
          <cell r="C163" t="str">
            <v>KG</v>
          </cell>
          <cell r="D163">
            <v>4.12</v>
          </cell>
        </row>
        <row r="164">
          <cell r="A164">
            <v>20122</v>
          </cell>
          <cell r="B164" t="str">
            <v>MEIO-FIO</v>
          </cell>
          <cell r="C164" t="str">
            <v>M</v>
          </cell>
          <cell r="D164">
            <v>11</v>
          </cell>
        </row>
        <row r="165">
          <cell r="A165">
            <v>20123</v>
          </cell>
          <cell r="B165" t="str">
            <v>OLEO DE LINHACA</v>
          </cell>
          <cell r="C165" t="str">
            <v>L</v>
          </cell>
          <cell r="D165">
            <v>3</v>
          </cell>
        </row>
        <row r="166">
          <cell r="A166">
            <v>20124</v>
          </cell>
          <cell r="B166" t="str">
            <v>OXIGENIO</v>
          </cell>
          <cell r="C166" t="str">
            <v>M3</v>
          </cell>
          <cell r="D166">
            <v>6</v>
          </cell>
        </row>
        <row r="167">
          <cell r="A167">
            <v>20125</v>
          </cell>
          <cell r="B167" t="str">
            <v>PAPEL FELTRO</v>
          </cell>
          <cell r="C167" t="str">
            <v>M2</v>
          </cell>
          <cell r="D167">
            <v>3.27</v>
          </cell>
        </row>
        <row r="168">
          <cell r="A168">
            <v>20126</v>
          </cell>
          <cell r="B168" t="str">
            <v>PARAFUSO</v>
          </cell>
          <cell r="C168" t="str">
            <v>UN</v>
          </cell>
          <cell r="D168">
            <v>0.7</v>
          </cell>
        </row>
        <row r="169">
          <cell r="A169">
            <v>20127</v>
          </cell>
          <cell r="B169" t="str">
            <v>PARAFUSO C/PORCA E ARRUELA 1/2" X 12</v>
          </cell>
          <cell r="C169" t="str">
            <v>UN</v>
          </cell>
          <cell r="D169">
            <v>0.7</v>
          </cell>
        </row>
        <row r="170">
          <cell r="A170">
            <v>20128</v>
          </cell>
          <cell r="B170" t="str">
            <v>PARAFUSOS 901.045</v>
          </cell>
          <cell r="C170" t="str">
            <v>UN</v>
          </cell>
          <cell r="D170">
            <v>0.22</v>
          </cell>
        </row>
        <row r="171">
          <cell r="A171">
            <v>20129</v>
          </cell>
          <cell r="B171" t="str">
            <v>PARAFUSO C/PORCA  E ARRUELAS 1/2" X 15</v>
          </cell>
          <cell r="C171" t="str">
            <v>UN</v>
          </cell>
          <cell r="D171">
            <v>0.93</v>
          </cell>
        </row>
        <row r="172">
          <cell r="A172">
            <v>20130</v>
          </cell>
          <cell r="B172" t="str">
            <v>PARAFUSO C/PORCA SOBERBA 901.046</v>
          </cell>
          <cell r="C172" t="str">
            <v>UN</v>
          </cell>
          <cell r="D172">
            <v>0.22</v>
          </cell>
        </row>
        <row r="173">
          <cell r="A173">
            <v>20131</v>
          </cell>
          <cell r="B173" t="str">
            <v>PARALELEPIPEDO</v>
          </cell>
          <cell r="C173" t="str">
            <v>UN</v>
          </cell>
          <cell r="D173">
            <v>0.4</v>
          </cell>
        </row>
        <row r="174">
          <cell r="A174">
            <v>20132</v>
          </cell>
          <cell r="B174" t="str">
            <v>PEDRA DE MAO</v>
          </cell>
          <cell r="C174" t="str">
            <v>M3</v>
          </cell>
          <cell r="D174">
            <v>24.75</v>
          </cell>
        </row>
        <row r="175">
          <cell r="A175">
            <v>20133</v>
          </cell>
          <cell r="B175" t="str">
            <v>PEDRA PORTUGUESA</v>
          </cell>
          <cell r="C175" t="str">
            <v>M2</v>
          </cell>
          <cell r="D175">
            <v>8</v>
          </cell>
        </row>
        <row r="176">
          <cell r="A176">
            <v>20134</v>
          </cell>
          <cell r="B176" t="str">
            <v>PEDRISCO</v>
          </cell>
          <cell r="C176" t="str">
            <v>M3</v>
          </cell>
          <cell r="D176">
            <v>31.68</v>
          </cell>
        </row>
        <row r="177">
          <cell r="A177">
            <v>20135</v>
          </cell>
          <cell r="B177" t="str">
            <v>PERFIS 8"  -  I</v>
          </cell>
          <cell r="C177" t="str">
            <v>M</v>
          </cell>
          <cell r="D177">
            <v>54.53</v>
          </cell>
        </row>
        <row r="178">
          <cell r="A178">
            <v>20136</v>
          </cell>
          <cell r="B178" t="str">
            <v>PERFIS 12" -  I</v>
          </cell>
          <cell r="C178" t="str">
            <v>M</v>
          </cell>
          <cell r="D178">
            <v>120.79</v>
          </cell>
        </row>
        <row r="179">
          <cell r="A179">
            <v>20137</v>
          </cell>
          <cell r="B179" t="str">
            <v>PONTALETE 3" X  3" TERCEIRA</v>
          </cell>
          <cell r="C179" t="str">
            <v>M</v>
          </cell>
          <cell r="D179">
            <v>1.8</v>
          </cell>
        </row>
        <row r="180">
          <cell r="A180">
            <v>20138</v>
          </cell>
          <cell r="B180" t="str">
            <v>PONTALETE DE PINHO 3" X 3"</v>
          </cell>
          <cell r="C180" t="str">
            <v>M</v>
          </cell>
          <cell r="D180">
            <v>1.8</v>
          </cell>
        </row>
        <row r="181">
          <cell r="A181">
            <v>20139</v>
          </cell>
          <cell r="B181" t="str">
            <v>POSTE DE MADEIRA</v>
          </cell>
          <cell r="C181" t="str">
            <v>M3</v>
          </cell>
          <cell r="D181">
            <v>750</v>
          </cell>
        </row>
        <row r="182">
          <cell r="A182">
            <v>20140</v>
          </cell>
          <cell r="B182" t="str">
            <v>PLASTIMENT VZ LIQUIDO</v>
          </cell>
          <cell r="C182" t="str">
            <v>KG</v>
          </cell>
          <cell r="D182">
            <v>3.39</v>
          </cell>
        </row>
        <row r="183">
          <cell r="A183">
            <v>20141</v>
          </cell>
          <cell r="B183" t="str">
            <v>PRANCHAO 2" X 9"</v>
          </cell>
          <cell r="C183" t="str">
            <v>M</v>
          </cell>
          <cell r="D183">
            <v>8.57</v>
          </cell>
        </row>
        <row r="184">
          <cell r="A184">
            <v>20142</v>
          </cell>
          <cell r="B184" t="str">
            <v>PREGOS</v>
          </cell>
          <cell r="C184" t="str">
            <v>KG</v>
          </cell>
          <cell r="D184">
            <v>3.2</v>
          </cell>
        </row>
        <row r="185">
          <cell r="A185">
            <v>20143</v>
          </cell>
          <cell r="B185" t="str">
            <v>PREGOS 18 X 30</v>
          </cell>
          <cell r="C185" t="str">
            <v>KG</v>
          </cell>
          <cell r="D185">
            <v>3.2</v>
          </cell>
        </row>
        <row r="186">
          <cell r="A186">
            <v>20144</v>
          </cell>
          <cell r="B186" t="str">
            <v>PREGOS 18 X 27 - 13 X 18 E 17 X 21</v>
          </cell>
          <cell r="C186" t="str">
            <v>KG</v>
          </cell>
          <cell r="D186">
            <v>3.2</v>
          </cell>
        </row>
        <row r="187">
          <cell r="A187">
            <v>20145</v>
          </cell>
          <cell r="B187" t="str">
            <v>PREGOS 18 X 24 A 30</v>
          </cell>
          <cell r="C187" t="str">
            <v>KG</v>
          </cell>
          <cell r="D187">
            <v>3.2</v>
          </cell>
        </row>
        <row r="188">
          <cell r="A188">
            <v>20146</v>
          </cell>
          <cell r="B188" t="str">
            <v>PRIMER</v>
          </cell>
          <cell r="C188" t="str">
            <v>L</v>
          </cell>
          <cell r="D188">
            <v>18.329999999999998</v>
          </cell>
        </row>
        <row r="189">
          <cell r="A189">
            <v>20147</v>
          </cell>
          <cell r="B189" t="str">
            <v>PRIMER EPOXI</v>
          </cell>
          <cell r="C189" t="str">
            <v>L</v>
          </cell>
          <cell r="D189">
            <v>18.329999999999998</v>
          </cell>
        </row>
        <row r="190">
          <cell r="A190">
            <v>20148</v>
          </cell>
          <cell r="B190" t="str">
            <v>QUILOWALT-HORA</v>
          </cell>
          <cell r="C190" t="str">
            <v>UN</v>
          </cell>
          <cell r="D190">
            <v>0.31</v>
          </cell>
        </row>
        <row r="191">
          <cell r="A191">
            <v>20149</v>
          </cell>
          <cell r="B191" t="str">
            <v>RECEPTACULO P/LAMPADA</v>
          </cell>
          <cell r="C191" t="str">
            <v>UN</v>
          </cell>
          <cell r="D191">
            <v>0.89</v>
          </cell>
        </row>
        <row r="192">
          <cell r="A192">
            <v>20150</v>
          </cell>
          <cell r="B192" t="str">
            <v>REGISTRO GALVANIZADO 2"</v>
          </cell>
          <cell r="C192" t="str">
            <v>UN</v>
          </cell>
          <cell r="D192">
            <v>35.299999999999997</v>
          </cell>
        </row>
        <row r="193">
          <cell r="A193">
            <v>20151</v>
          </cell>
          <cell r="B193" t="str">
            <v>REGISTRO PRESSAO BRUTO DN 3/4"</v>
          </cell>
          <cell r="C193" t="str">
            <v>UN</v>
          </cell>
          <cell r="D193">
            <v>12.31</v>
          </cell>
        </row>
        <row r="194">
          <cell r="A194">
            <v>20152</v>
          </cell>
          <cell r="B194" t="str">
            <v>RIPA 4 X 1.5CM</v>
          </cell>
          <cell r="C194" t="str">
            <v>M</v>
          </cell>
          <cell r="D194">
            <v>0.61</v>
          </cell>
        </row>
        <row r="195">
          <cell r="A195">
            <v>20153</v>
          </cell>
          <cell r="B195" t="str">
            <v>RIPAS DE PEROBA 5 X 1.5CM</v>
          </cell>
          <cell r="C195" t="str">
            <v>M</v>
          </cell>
          <cell r="D195">
            <v>0.76</v>
          </cell>
        </row>
        <row r="196">
          <cell r="A196">
            <v>20154</v>
          </cell>
          <cell r="B196" t="str">
            <v>SAIBRO</v>
          </cell>
          <cell r="C196" t="str">
            <v>M3</v>
          </cell>
          <cell r="D196">
            <v>18</v>
          </cell>
        </row>
        <row r="197">
          <cell r="A197">
            <v>20155</v>
          </cell>
          <cell r="B197" t="str">
            <v>SARRAFOS</v>
          </cell>
          <cell r="C197" t="str">
            <v>M</v>
          </cell>
          <cell r="D197">
            <v>0.45</v>
          </cell>
        </row>
        <row r="198">
          <cell r="A198">
            <v>20156</v>
          </cell>
          <cell r="B198" t="str">
            <v>SARRAFO DE 1" X  4"</v>
          </cell>
          <cell r="C198" t="str">
            <v>M</v>
          </cell>
          <cell r="D198">
            <v>0.45</v>
          </cell>
        </row>
        <row r="199">
          <cell r="A199">
            <v>20157</v>
          </cell>
          <cell r="B199" t="str">
            <v>SARRAFO DE 10 X 2.5CM</v>
          </cell>
          <cell r="C199" t="str">
            <v>M</v>
          </cell>
          <cell r="D199">
            <v>0.45</v>
          </cell>
        </row>
        <row r="200">
          <cell r="A200">
            <v>20158</v>
          </cell>
          <cell r="B200" t="str">
            <v>SARRAFO DE 2.5 X 4</v>
          </cell>
          <cell r="C200" t="str">
            <v>M</v>
          </cell>
          <cell r="D200">
            <v>0.45</v>
          </cell>
        </row>
        <row r="201">
          <cell r="A201">
            <v>20159</v>
          </cell>
          <cell r="B201" t="str">
            <v>SARRAFO DE PINHO DE 4" X  1"</v>
          </cell>
          <cell r="C201" t="str">
            <v>M</v>
          </cell>
          <cell r="D201">
            <v>0.45</v>
          </cell>
        </row>
        <row r="202">
          <cell r="A202">
            <v>20160</v>
          </cell>
          <cell r="B202" t="str">
            <v>SIFAO PLASTICO P/ LAVATORIO</v>
          </cell>
          <cell r="C202" t="str">
            <v>UN</v>
          </cell>
          <cell r="D202">
            <v>5</v>
          </cell>
        </row>
        <row r="203">
          <cell r="A203">
            <v>20161</v>
          </cell>
          <cell r="B203" t="str">
            <v>SILICONE</v>
          </cell>
          <cell r="C203" t="str">
            <v>L</v>
          </cell>
          <cell r="D203">
            <v>5.83</v>
          </cell>
        </row>
        <row r="204">
          <cell r="A204">
            <v>20162</v>
          </cell>
          <cell r="B204" t="str">
            <v>SOLVENTE</v>
          </cell>
          <cell r="C204" t="str">
            <v>L</v>
          </cell>
          <cell r="D204">
            <v>2.89</v>
          </cell>
        </row>
        <row r="205">
          <cell r="A205">
            <v>20163</v>
          </cell>
          <cell r="B205" t="str">
            <v>TABUA 30 X 4CM</v>
          </cell>
          <cell r="C205" t="str">
            <v>M</v>
          </cell>
          <cell r="D205">
            <v>2.5</v>
          </cell>
        </row>
        <row r="206">
          <cell r="A206">
            <v>20164</v>
          </cell>
          <cell r="B206" t="str">
            <v>TABUA 0.3 X 3.0M   1" X 12"</v>
          </cell>
          <cell r="C206" t="str">
            <v>UN</v>
          </cell>
          <cell r="D206">
            <v>7.5</v>
          </cell>
        </row>
        <row r="207">
          <cell r="A207">
            <v>20165</v>
          </cell>
          <cell r="B207" t="str">
            <v>TABUA 1" X 9"</v>
          </cell>
          <cell r="C207" t="str">
            <v>M2</v>
          </cell>
          <cell r="D207">
            <v>8.4</v>
          </cell>
        </row>
        <row r="208">
          <cell r="A208">
            <v>20166</v>
          </cell>
          <cell r="B208" t="str">
            <v>TABUA DE PINHO E=2,5CM L=30CM 1"X12" DE 3A P/CONST</v>
          </cell>
          <cell r="C208" t="str">
            <v>M</v>
          </cell>
          <cell r="D208">
            <v>2.5</v>
          </cell>
        </row>
        <row r="209">
          <cell r="A209">
            <v>20167</v>
          </cell>
          <cell r="B209" t="str">
            <v>TABUA DE PINHO E=2.5CM L=30CM 1"X12" DE 3A P/CONST</v>
          </cell>
          <cell r="C209" t="str">
            <v>M</v>
          </cell>
          <cell r="D209">
            <v>2.5</v>
          </cell>
        </row>
        <row r="210">
          <cell r="A210">
            <v>20168</v>
          </cell>
          <cell r="B210" t="str">
            <v>TABUA DE PINHO E=2,5CM L=30CM 1"X12" DE 3A P/CONST</v>
          </cell>
          <cell r="C210" t="str">
            <v>M</v>
          </cell>
          <cell r="D210">
            <v>2.5</v>
          </cell>
        </row>
        <row r="211">
          <cell r="A211">
            <v>20169</v>
          </cell>
          <cell r="B211" t="str">
            <v>TABUA DE PINHO E=2,5CM L=30CM 1"X12" DE 3A P/CONST</v>
          </cell>
          <cell r="C211" t="str">
            <v>M</v>
          </cell>
          <cell r="D211">
            <v>2.5</v>
          </cell>
        </row>
        <row r="212">
          <cell r="A212">
            <v>20170</v>
          </cell>
          <cell r="B212" t="str">
            <v>TOCOS DE MADEIRA</v>
          </cell>
          <cell r="C212" t="str">
            <v>UN</v>
          </cell>
          <cell r="D212">
            <v>0.36</v>
          </cell>
        </row>
        <row r="213">
          <cell r="A213">
            <v>20171</v>
          </cell>
          <cell r="B213" t="str">
            <v>T PVC DN 100</v>
          </cell>
          <cell r="C213" t="str">
            <v>UN</v>
          </cell>
          <cell r="D213">
            <v>3.48</v>
          </cell>
        </row>
        <row r="214">
          <cell r="A214">
            <v>20172</v>
          </cell>
          <cell r="B214" t="str">
            <v>TELA DE ARAME GALVANIZADO N. 12 MALHA 2"</v>
          </cell>
          <cell r="C214" t="str">
            <v>M2</v>
          </cell>
          <cell r="D214">
            <v>7.6</v>
          </cell>
        </row>
        <row r="215">
          <cell r="A215">
            <v>20173</v>
          </cell>
          <cell r="B215" t="str">
            <v>TELHA CANALETE 49 COMPRIMENTO= 4,0 M</v>
          </cell>
          <cell r="C215" t="str">
            <v>M2</v>
          </cell>
          <cell r="D215">
            <v>30.62</v>
          </cell>
        </row>
        <row r="216">
          <cell r="A216">
            <v>20174</v>
          </cell>
          <cell r="B216" t="str">
            <v>TELHA CANALETE 90 COMPRIMENTO= 6,0 M</v>
          </cell>
          <cell r="C216" t="str">
            <v>M2</v>
          </cell>
          <cell r="D216">
            <v>22.47</v>
          </cell>
        </row>
        <row r="217">
          <cell r="A217">
            <v>20175</v>
          </cell>
          <cell r="B217" t="str">
            <v>TELHA ONDULADA 6MM DIM.= 1,10 X 2,40 M</v>
          </cell>
          <cell r="C217" t="str">
            <v>M2</v>
          </cell>
          <cell r="D217">
            <v>9.1199999999999992</v>
          </cell>
        </row>
        <row r="218">
          <cell r="A218">
            <v>20176</v>
          </cell>
          <cell r="B218" t="str">
            <v>TELHA VOGATEX 2.44 X 0.50M</v>
          </cell>
          <cell r="C218" t="str">
            <v>UN</v>
          </cell>
          <cell r="D218">
            <v>5.85</v>
          </cell>
        </row>
        <row r="219">
          <cell r="A219">
            <v>20177</v>
          </cell>
          <cell r="B219" t="str">
            <v>TERRA VEGETAL</v>
          </cell>
          <cell r="C219" t="str">
            <v>M3</v>
          </cell>
          <cell r="D219">
            <v>5.83</v>
          </cell>
        </row>
        <row r="220">
          <cell r="A220">
            <v>20178</v>
          </cell>
          <cell r="B220" t="str">
            <v>TIJOLO FURADO 18 X 18 CM</v>
          </cell>
          <cell r="C220" t="str">
            <v>UN</v>
          </cell>
          <cell r="D220">
            <v>0.13</v>
          </cell>
        </row>
        <row r="221">
          <cell r="A221">
            <v>20179</v>
          </cell>
          <cell r="B221" t="str">
            <v>TIJOLO MACICO 19X9X5 CM</v>
          </cell>
          <cell r="C221" t="str">
            <v>UN</v>
          </cell>
          <cell r="D221">
            <v>7.0000000000000007E-2</v>
          </cell>
        </row>
        <row r="222">
          <cell r="A222">
            <v>20180</v>
          </cell>
          <cell r="B222" t="str">
            <v>TINTA</v>
          </cell>
          <cell r="C222" t="str">
            <v>L</v>
          </cell>
          <cell r="D222">
            <v>6.58</v>
          </cell>
        </row>
        <row r="223">
          <cell r="A223">
            <v>20181</v>
          </cell>
          <cell r="B223" t="str">
            <v>TINTA A OLEO</v>
          </cell>
          <cell r="C223" t="str">
            <v>L</v>
          </cell>
          <cell r="D223">
            <v>9.7200000000000006</v>
          </cell>
        </row>
        <row r="224">
          <cell r="A224">
            <v>20182</v>
          </cell>
          <cell r="B224" t="str">
            <v>TINTA EPOXI</v>
          </cell>
          <cell r="C224" t="str">
            <v>L</v>
          </cell>
          <cell r="D224">
            <v>19.16</v>
          </cell>
        </row>
        <row r="225">
          <cell r="A225">
            <v>20183</v>
          </cell>
          <cell r="B225" t="str">
            <v>TINTA EPOXI-FUNDO</v>
          </cell>
          <cell r="C225" t="str">
            <v>L</v>
          </cell>
          <cell r="D225">
            <v>18.329999999999998</v>
          </cell>
        </row>
        <row r="226">
          <cell r="A226">
            <v>20184</v>
          </cell>
          <cell r="B226" t="str">
            <v>TINTA ESMALTE</v>
          </cell>
          <cell r="C226" t="str">
            <v>L</v>
          </cell>
          <cell r="D226">
            <v>9.7200000000000006</v>
          </cell>
        </row>
        <row r="227">
          <cell r="A227">
            <v>20185</v>
          </cell>
          <cell r="B227" t="str">
            <v>TINTA LATEX PVA</v>
          </cell>
          <cell r="C227" t="str">
            <v>L</v>
          </cell>
          <cell r="D227">
            <v>6.58</v>
          </cell>
        </row>
        <row r="228">
          <cell r="A228">
            <v>20186</v>
          </cell>
          <cell r="B228" t="str">
            <v>TINTA LATEX PVA</v>
          </cell>
          <cell r="C228" t="str">
            <v>L</v>
          </cell>
          <cell r="D228">
            <v>6.58</v>
          </cell>
        </row>
        <row r="229">
          <cell r="A229">
            <v>20187</v>
          </cell>
          <cell r="B229" t="str">
            <v>TORNEIRA P/LAVATORIO</v>
          </cell>
          <cell r="C229" t="str">
            <v>UN</v>
          </cell>
          <cell r="D229">
            <v>10.91</v>
          </cell>
        </row>
        <row r="230">
          <cell r="A230">
            <v>20188</v>
          </cell>
          <cell r="B230" t="str">
            <v>TUBO DE CONCRETO SIMPLES DN 200</v>
          </cell>
          <cell r="C230" t="str">
            <v>M</v>
          </cell>
          <cell r="D230">
            <v>9.07</v>
          </cell>
        </row>
        <row r="231">
          <cell r="A231">
            <v>20189</v>
          </cell>
          <cell r="B231" t="str">
            <v>TUBO DE CONCRETO SIMPLES DN 300</v>
          </cell>
          <cell r="C231" t="str">
            <v>M</v>
          </cell>
          <cell r="D231">
            <v>14.43</v>
          </cell>
        </row>
        <row r="232">
          <cell r="A232">
            <v>20190</v>
          </cell>
          <cell r="B232" t="str">
            <v>TUBO DE CONCRETO SIMPLES DN 400</v>
          </cell>
          <cell r="C232" t="str">
            <v>M</v>
          </cell>
          <cell r="D232">
            <v>16.43</v>
          </cell>
        </row>
        <row r="233">
          <cell r="A233">
            <v>20191</v>
          </cell>
          <cell r="B233" t="str">
            <v>TUBO DE CONCRETO SIMPLES DN 500</v>
          </cell>
          <cell r="C233" t="str">
            <v>M</v>
          </cell>
          <cell r="D233">
            <v>23.03</v>
          </cell>
        </row>
        <row r="234">
          <cell r="A234">
            <v>20192</v>
          </cell>
          <cell r="B234" t="str">
            <v>TUBO DE CONCRETO ARMADO DN 600</v>
          </cell>
          <cell r="C234" t="str">
            <v>M</v>
          </cell>
          <cell r="D234">
            <v>38.97</v>
          </cell>
        </row>
        <row r="235">
          <cell r="A235">
            <v>20193</v>
          </cell>
          <cell r="B235" t="str">
            <v>TUBO DE CONCRETO ARMADO DN 800</v>
          </cell>
          <cell r="C235" t="str">
            <v>M</v>
          </cell>
          <cell r="D235">
            <v>67.67</v>
          </cell>
        </row>
        <row r="236">
          <cell r="A236">
            <v>20194</v>
          </cell>
          <cell r="B236" t="str">
            <v>TUBO DE CONCRETO ARMADO DN 1000</v>
          </cell>
          <cell r="C236" t="str">
            <v>M</v>
          </cell>
          <cell r="D236">
            <v>87</v>
          </cell>
        </row>
        <row r="237">
          <cell r="A237">
            <v>20195</v>
          </cell>
          <cell r="B237" t="str">
            <v>TUBO DE CONCRETO ARMADO DN 1200</v>
          </cell>
          <cell r="C237" t="str">
            <v>M</v>
          </cell>
          <cell r="D237">
            <v>133.33000000000001</v>
          </cell>
        </row>
        <row r="238">
          <cell r="A238">
            <v>20196</v>
          </cell>
          <cell r="B238" t="str">
            <v>TUBO DE DESCARGA P/CAIXA D'AGUA DO VASO SANITARIO</v>
          </cell>
          <cell r="C238" t="str">
            <v>UN</v>
          </cell>
          <cell r="D238">
            <v>2.5</v>
          </cell>
        </row>
        <row r="239">
          <cell r="A239">
            <v>20197</v>
          </cell>
          <cell r="B239" t="str">
            <v>TUBO F.G. DN 3/4"</v>
          </cell>
          <cell r="C239" t="str">
            <v>M</v>
          </cell>
          <cell r="D239">
            <v>4.8</v>
          </cell>
        </row>
        <row r="240">
          <cell r="A240">
            <v>20198</v>
          </cell>
          <cell r="B240" t="str">
            <v>TUBO F.G. DN 1"</v>
          </cell>
          <cell r="C240" t="str">
            <v>M</v>
          </cell>
          <cell r="D240">
            <v>11</v>
          </cell>
        </row>
        <row r="241">
          <cell r="A241">
            <v>20199</v>
          </cell>
          <cell r="B241" t="str">
            <v>TUBO F.G. DN 1.1/4"</v>
          </cell>
          <cell r="C241" t="str">
            <v>M</v>
          </cell>
          <cell r="D241">
            <v>13.8</v>
          </cell>
        </row>
        <row r="242">
          <cell r="A242">
            <v>20200</v>
          </cell>
          <cell r="B242" t="str">
            <v>TUBO PVC DN 2"</v>
          </cell>
          <cell r="C242" t="str">
            <v>M</v>
          </cell>
          <cell r="D242">
            <v>3.04</v>
          </cell>
        </row>
        <row r="243">
          <cell r="A243">
            <v>20201</v>
          </cell>
          <cell r="B243" t="str">
            <v>TUBO PVC JS DN 25 MM</v>
          </cell>
          <cell r="C243" t="str">
            <v>M</v>
          </cell>
          <cell r="D243">
            <v>0.82</v>
          </cell>
        </row>
        <row r="244">
          <cell r="A244">
            <v>20202</v>
          </cell>
          <cell r="B244" t="str">
            <v>TUBO PVC LL DN 25MM</v>
          </cell>
          <cell r="C244" t="str">
            <v>M</v>
          </cell>
          <cell r="D244">
            <v>0.82</v>
          </cell>
        </row>
        <row r="245">
          <cell r="A245">
            <v>20203</v>
          </cell>
          <cell r="B245" t="str">
            <v>TUBO PVC  DN 100</v>
          </cell>
          <cell r="C245" t="str">
            <v>M</v>
          </cell>
          <cell r="D245">
            <v>3.1</v>
          </cell>
        </row>
        <row r="246">
          <cell r="A246">
            <v>20204</v>
          </cell>
          <cell r="B246" t="str">
            <v>TUBO PVC ESGOTO DN 100</v>
          </cell>
          <cell r="C246" t="str">
            <v>M</v>
          </cell>
          <cell r="D246">
            <v>3.1</v>
          </cell>
        </row>
        <row r="247">
          <cell r="A247">
            <v>20205</v>
          </cell>
          <cell r="B247" t="str">
            <v>TUBO CONCRETO DN 600</v>
          </cell>
          <cell r="C247" t="str">
            <v>M</v>
          </cell>
          <cell r="D247">
            <v>38</v>
          </cell>
        </row>
        <row r="248">
          <cell r="A248">
            <v>20206</v>
          </cell>
          <cell r="B248" t="str">
            <v>TUBO CONCRETO DN 800</v>
          </cell>
          <cell r="C248" t="str">
            <v>M</v>
          </cell>
          <cell r="D248">
            <v>67.2</v>
          </cell>
        </row>
        <row r="249">
          <cell r="A249">
            <v>20207</v>
          </cell>
          <cell r="B249" t="str">
            <v>TUBO TIPO PVC DN 0.80M</v>
          </cell>
          <cell r="C249" t="str">
            <v>M</v>
          </cell>
          <cell r="D249">
            <v>57.34</v>
          </cell>
        </row>
        <row r="250">
          <cell r="A250">
            <v>20208</v>
          </cell>
          <cell r="B250" t="str">
            <v>T F.G. DN  3/4"</v>
          </cell>
          <cell r="C250" t="str">
            <v>UN</v>
          </cell>
          <cell r="D250">
            <v>3</v>
          </cell>
        </row>
        <row r="251">
          <cell r="A251">
            <v>20209</v>
          </cell>
          <cell r="B251" t="str">
            <v>TRINCOS C/PORTA CADEADO MARCA PIHL (12 CM)</v>
          </cell>
          <cell r="C251" t="str">
            <v>UN</v>
          </cell>
          <cell r="D251">
            <v>1.3</v>
          </cell>
        </row>
        <row r="252">
          <cell r="A252">
            <v>20210</v>
          </cell>
          <cell r="B252" t="str">
            <v>VALVULA PLASTICA P/LAVATORIO</v>
          </cell>
          <cell r="C252" t="str">
            <v>UN</v>
          </cell>
          <cell r="D252">
            <v>0.82</v>
          </cell>
        </row>
        <row r="253">
          <cell r="A253">
            <v>20211</v>
          </cell>
          <cell r="B253" t="str">
            <v>VASO SANITARIO</v>
          </cell>
          <cell r="C253" t="str">
            <v>UN</v>
          </cell>
          <cell r="D253">
            <v>40.5</v>
          </cell>
        </row>
        <row r="254">
          <cell r="A254">
            <v>20212</v>
          </cell>
          <cell r="B254" t="str">
            <v>VERMELHAO</v>
          </cell>
          <cell r="C254" t="str">
            <v>KG</v>
          </cell>
          <cell r="D254">
            <v>7</v>
          </cell>
        </row>
        <row r="255">
          <cell r="A255">
            <v>20213</v>
          </cell>
          <cell r="B255" t="str">
            <v>VIGA DE PEROBA 6 X 12CM</v>
          </cell>
          <cell r="C255" t="str">
            <v>M</v>
          </cell>
          <cell r="D255">
            <v>3.5</v>
          </cell>
        </row>
        <row r="256">
          <cell r="A256">
            <v>20214</v>
          </cell>
          <cell r="B256" t="str">
            <v>VIGOTA EM MADEIRA: 6 X 12 CM</v>
          </cell>
          <cell r="C256" t="str">
            <v>M</v>
          </cell>
          <cell r="D256">
            <v>3.5</v>
          </cell>
        </row>
        <row r="257">
          <cell r="A257">
            <v>20215</v>
          </cell>
          <cell r="B257" t="str">
            <v>VIGOTA EM MADEIRA: 8 X 12 CM</v>
          </cell>
          <cell r="C257" t="str">
            <v>M</v>
          </cell>
          <cell r="D257">
            <v>4.67</v>
          </cell>
        </row>
        <row r="258">
          <cell r="A258">
            <v>20216</v>
          </cell>
          <cell r="B258" t="str">
            <v>ZARCAO</v>
          </cell>
          <cell r="C258" t="str">
            <v>L</v>
          </cell>
          <cell r="D258">
            <v>9.17</v>
          </cell>
        </row>
        <row r="259">
          <cell r="A259">
            <v>20217</v>
          </cell>
          <cell r="B259" t="str">
            <v>MADEIRIT 6 MM</v>
          </cell>
          <cell r="C259" t="str">
            <v>M2</v>
          </cell>
          <cell r="D259">
            <v>4.51</v>
          </cell>
        </row>
        <row r="260">
          <cell r="A260">
            <v>20218</v>
          </cell>
          <cell r="B260" t="str">
            <v>VIDROS LISO E= 3 MM</v>
          </cell>
          <cell r="C260" t="str">
            <v>M2</v>
          </cell>
          <cell r="D260">
            <v>35.5</v>
          </cell>
        </row>
        <row r="261">
          <cell r="A261">
            <v>20219</v>
          </cell>
          <cell r="B261" t="str">
            <v>HEY'DY K-11 KZ</v>
          </cell>
          <cell r="C261" t="str">
            <v>M2</v>
          </cell>
          <cell r="D261">
            <v>8</v>
          </cell>
        </row>
        <row r="262">
          <cell r="A262">
            <v>20220</v>
          </cell>
          <cell r="B262" t="str">
            <v>SONDAGEM DE TERRENO A TRADO</v>
          </cell>
          <cell r="C262" t="str">
            <v>M</v>
          </cell>
          <cell r="D262">
            <v>11.09</v>
          </cell>
        </row>
        <row r="263">
          <cell r="A263">
            <v>20221</v>
          </cell>
          <cell r="B263" t="str">
            <v>LOGOTIPO PADRAO SANEAGO</v>
          </cell>
          <cell r="C263" t="str">
            <v>UN</v>
          </cell>
          <cell r="D263">
            <v>100</v>
          </cell>
        </row>
        <row r="264">
          <cell r="A264">
            <v>20222</v>
          </cell>
          <cell r="B264" t="str">
            <v>TAMPA DE VISITA 0.7X0.7M</v>
          </cell>
          <cell r="C264" t="str">
            <v>UN</v>
          </cell>
          <cell r="D264">
            <v>48.26</v>
          </cell>
        </row>
        <row r="265">
          <cell r="A265">
            <v>20223</v>
          </cell>
          <cell r="B265" t="str">
            <v>VENTILACOES</v>
          </cell>
          <cell r="C265" t="str">
            <v>UN</v>
          </cell>
          <cell r="D265">
            <v>53.84</v>
          </cell>
        </row>
        <row r="266">
          <cell r="A266">
            <v>20224</v>
          </cell>
          <cell r="B266" t="str">
            <v>ESCADA MARINHEIRO SEM PROTECAO</v>
          </cell>
          <cell r="C266" t="str">
            <v>M</v>
          </cell>
          <cell r="D266">
            <v>18.91</v>
          </cell>
        </row>
        <row r="267">
          <cell r="A267">
            <v>20226</v>
          </cell>
          <cell r="B267" t="str">
            <v>PORTAO PADRAO SANEAGO</v>
          </cell>
          <cell r="C267" t="str">
            <v>M2</v>
          </cell>
          <cell r="D267">
            <v>80.08</v>
          </cell>
        </row>
        <row r="268">
          <cell r="A268">
            <v>20228</v>
          </cell>
          <cell r="B268" t="str">
            <v>CADASTRO DE REDES E ADUTORAS</v>
          </cell>
          <cell r="C268" t="str">
            <v>M</v>
          </cell>
          <cell r="D268">
            <v>0.28000000000000003</v>
          </cell>
        </row>
        <row r="269">
          <cell r="A269">
            <v>20229</v>
          </cell>
          <cell r="B269" t="str">
            <v>LIGACOES DOMICILIARES COM HIDROMETRO</v>
          </cell>
          <cell r="C269" t="str">
            <v>UN</v>
          </cell>
          <cell r="D269">
            <v>0</v>
          </cell>
        </row>
        <row r="270">
          <cell r="A270">
            <v>20230</v>
          </cell>
          <cell r="B270" t="str">
            <v>PLACA DE OBRA (INCLUINDO MATERIAL EXCETO MADEIRA)</v>
          </cell>
          <cell r="C270" t="str">
            <v>M2</v>
          </cell>
          <cell r="D270">
            <v>50</v>
          </cell>
        </row>
        <row r="271">
          <cell r="A271">
            <v>20231</v>
          </cell>
          <cell r="B271" t="str">
            <v>ESTACA-PRANCHA</v>
          </cell>
          <cell r="C271" t="str">
            <v>KG</v>
          </cell>
          <cell r="D271">
            <v>3.5</v>
          </cell>
        </row>
        <row r="272">
          <cell r="A272">
            <v>20232</v>
          </cell>
          <cell r="B272" t="str">
            <v>COLAR DE TOMADA PVC/PVC C/ TRAVAS DN 50</v>
          </cell>
          <cell r="C272" t="str">
            <v>UN</v>
          </cell>
          <cell r="D272">
            <v>3.75</v>
          </cell>
        </row>
        <row r="273">
          <cell r="A273">
            <v>20233</v>
          </cell>
          <cell r="B273" t="str">
            <v>REGISTRO PVC MACHO CABECA QUADRADA DN 3/4"</v>
          </cell>
          <cell r="C273" t="str">
            <v>UN</v>
          </cell>
          <cell r="D273">
            <v>6</v>
          </cell>
        </row>
        <row r="274">
          <cell r="A274">
            <v>20234</v>
          </cell>
          <cell r="B274" t="str">
            <v>ADAPTADOR P/ PEAD DN 3/4"</v>
          </cell>
          <cell r="C274" t="str">
            <v>UN</v>
          </cell>
          <cell r="D274">
            <v>1.32</v>
          </cell>
        </row>
        <row r="275">
          <cell r="A275">
            <v>20235</v>
          </cell>
          <cell r="B275" t="str">
            <v>TUBO POLIETILENO DN  20MM</v>
          </cell>
          <cell r="C275" t="str">
            <v>M</v>
          </cell>
          <cell r="D275">
            <v>1.82</v>
          </cell>
        </row>
        <row r="276">
          <cell r="A276">
            <v>20236</v>
          </cell>
          <cell r="B276" t="str">
            <v>FITA VEDA ROSCA DN 3/4" P/ 10 M</v>
          </cell>
          <cell r="C276" t="str">
            <v>UN</v>
          </cell>
          <cell r="D276">
            <v>1.45</v>
          </cell>
        </row>
        <row r="277">
          <cell r="A277">
            <v>20237</v>
          </cell>
          <cell r="B277" t="str">
            <v>KIT CAVALETE PARA LIGACAO PREDIAL</v>
          </cell>
          <cell r="C277" t="str">
            <v>UN</v>
          </cell>
          <cell r="D277">
            <v>27.5</v>
          </cell>
        </row>
        <row r="278">
          <cell r="A278">
            <v>20238</v>
          </cell>
          <cell r="B278" t="str">
            <v>HIDROMETRO LEITURA DIRETA CAP. 1,5 M3/H X 3/4"</v>
          </cell>
          <cell r="C278" t="str">
            <v>UN</v>
          </cell>
          <cell r="D278">
            <v>45.48</v>
          </cell>
        </row>
        <row r="279">
          <cell r="A279">
            <v>20239</v>
          </cell>
          <cell r="B279" t="str">
            <v>TUBO DE CONCRETO TIPO PV 0 = 1.0 M  H = 0.50 M</v>
          </cell>
          <cell r="C279" t="str">
            <v>UN</v>
          </cell>
          <cell r="D279">
            <v>34.17</v>
          </cell>
        </row>
        <row r="280">
          <cell r="A280">
            <v>20240</v>
          </cell>
          <cell r="B280" t="str">
            <v>TUBO DE CONCRETO TIPO PV 0 = 0.60 M H = 0.40 M</v>
          </cell>
          <cell r="C280" t="str">
            <v>UN</v>
          </cell>
          <cell r="D280">
            <v>16.45</v>
          </cell>
        </row>
        <row r="281">
          <cell r="A281">
            <v>20241</v>
          </cell>
          <cell r="B281" t="str">
            <v>PERFIL I 10"</v>
          </cell>
          <cell r="C281" t="str">
            <v>M</v>
          </cell>
          <cell r="D281">
            <v>1.99</v>
          </cell>
        </row>
        <row r="282">
          <cell r="A282">
            <v>20242</v>
          </cell>
          <cell r="B282" t="str">
            <v>PERFIL H 6"</v>
          </cell>
          <cell r="C282" t="str">
            <v>M</v>
          </cell>
          <cell r="D282">
            <v>1.99</v>
          </cell>
        </row>
        <row r="283">
          <cell r="A283">
            <v>20243</v>
          </cell>
          <cell r="B283" t="str">
            <v>TUBO METALICO EQUIPADO</v>
          </cell>
          <cell r="C283" t="str">
            <v>KG</v>
          </cell>
          <cell r="D283">
            <v>0.55000000000000004</v>
          </cell>
        </row>
        <row r="284">
          <cell r="A284">
            <v>20244</v>
          </cell>
          <cell r="B284" t="str">
            <v>GASOLINA</v>
          </cell>
          <cell r="C284" t="str">
            <v>L</v>
          </cell>
          <cell r="D284">
            <v>1.89</v>
          </cell>
        </row>
        <row r="285">
          <cell r="A285">
            <v>20245</v>
          </cell>
          <cell r="B285" t="str">
            <v>ALCOOL</v>
          </cell>
          <cell r="C285" t="str">
            <v>L</v>
          </cell>
          <cell r="D285">
            <v>1.45</v>
          </cell>
        </row>
        <row r="286">
          <cell r="A286">
            <v>20246</v>
          </cell>
          <cell r="B286" t="str">
            <v>OLEO DIESEL</v>
          </cell>
          <cell r="C286" t="str">
            <v>L</v>
          </cell>
          <cell r="D286">
            <v>1.49</v>
          </cell>
        </row>
        <row r="287">
          <cell r="A287">
            <v>20247</v>
          </cell>
          <cell r="B287" t="str">
            <v>OLEO E LUBRIFICACAO PARA CARRO DE PASSEIO</v>
          </cell>
          <cell r="C287" t="str">
            <v>L</v>
          </cell>
          <cell r="D287">
            <v>0</v>
          </cell>
        </row>
        <row r="288">
          <cell r="A288">
            <v>20248</v>
          </cell>
          <cell r="B288" t="str">
            <v>OLEO E LUBRIFICANTE PARA CAMINHOES</v>
          </cell>
          <cell r="C288" t="str">
            <v>L</v>
          </cell>
          <cell r="D288">
            <v>6.5</v>
          </cell>
        </row>
        <row r="289">
          <cell r="A289">
            <v>20249</v>
          </cell>
          <cell r="B289" t="str">
            <v>PNEUS PARA CARRO DE PASSEIO(/1000)</v>
          </cell>
          <cell r="C289" t="str">
            <v>UN</v>
          </cell>
          <cell r="D289">
            <v>0</v>
          </cell>
        </row>
        <row r="290">
          <cell r="A290">
            <v>20250</v>
          </cell>
          <cell r="B290" t="str">
            <v>PNEUS PARA CAMINHAO MB-1214</v>
          </cell>
          <cell r="C290" t="str">
            <v>UN</v>
          </cell>
          <cell r="D290">
            <v>0</v>
          </cell>
        </row>
        <row r="291">
          <cell r="A291">
            <v>20251</v>
          </cell>
          <cell r="B291" t="str">
            <v>LUBRIFICACAO E LAVAGEM P/CARROS DE PASSEIO(/1000)</v>
          </cell>
          <cell r="C291" t="str">
            <v>UN</v>
          </cell>
          <cell r="D291">
            <v>0</v>
          </cell>
        </row>
        <row r="292">
          <cell r="A292">
            <v>20252</v>
          </cell>
          <cell r="B292" t="str">
            <v>LUBRIFICACAO E LAVAGEM PARA CAMINHOES(/1000)</v>
          </cell>
          <cell r="C292" t="str">
            <v>UN</v>
          </cell>
          <cell r="D292">
            <v>0</v>
          </cell>
        </row>
        <row r="293">
          <cell r="A293">
            <v>20253</v>
          </cell>
          <cell r="B293" t="str">
            <v>MANUTENCAO PARA CAMINHAO MB-1214(/1000)</v>
          </cell>
          <cell r="C293" t="str">
            <v>UN</v>
          </cell>
          <cell r="D293">
            <v>0</v>
          </cell>
        </row>
        <row r="294">
          <cell r="A294">
            <v>20254</v>
          </cell>
          <cell r="B294" t="str">
            <v>MANUTENCAO PARA GOL CL A GASOLINA (/1000)</v>
          </cell>
          <cell r="C294" t="str">
            <v>UN</v>
          </cell>
          <cell r="D294">
            <v>0</v>
          </cell>
        </row>
        <row r="295">
          <cell r="A295">
            <v>20255</v>
          </cell>
          <cell r="B295" t="str">
            <v>MANUTENCAO PARA GOL CL A ALCOOL(/1000)</v>
          </cell>
          <cell r="C295" t="str">
            <v>UN</v>
          </cell>
          <cell r="D295">
            <v>0</v>
          </cell>
        </row>
        <row r="296">
          <cell r="A296">
            <v>20256</v>
          </cell>
          <cell r="B296" t="str">
            <v>LICENCIAMENTO E SEGURO P/CAMINHAO MB-1214(/1000)</v>
          </cell>
          <cell r="C296" t="str">
            <v>UN</v>
          </cell>
          <cell r="D296">
            <v>0</v>
          </cell>
        </row>
        <row r="297">
          <cell r="A297">
            <v>20257</v>
          </cell>
          <cell r="B297" t="str">
            <v>LICENCIAMENTO E SEGURO P/GOL CL A GASOLINA(/1000)</v>
          </cell>
          <cell r="C297" t="str">
            <v>UN</v>
          </cell>
          <cell r="D297">
            <v>0</v>
          </cell>
        </row>
        <row r="298">
          <cell r="A298">
            <v>20258</v>
          </cell>
          <cell r="B298" t="str">
            <v>LICENCIAMENTO E SEGURO P/GOL CL A ALCOOL (/1000)</v>
          </cell>
          <cell r="C298" t="str">
            <v>UN</v>
          </cell>
          <cell r="D298">
            <v>0</v>
          </cell>
        </row>
        <row r="299">
          <cell r="A299">
            <v>20259</v>
          </cell>
          <cell r="B299" t="str">
            <v>SEGURO TOTAL P/ CAMINHAO MB-1214 (/1000)</v>
          </cell>
          <cell r="C299" t="str">
            <v>UN</v>
          </cell>
          <cell r="D299">
            <v>0</v>
          </cell>
        </row>
        <row r="300">
          <cell r="A300">
            <v>20260</v>
          </cell>
          <cell r="B300" t="str">
            <v>SEGURO TOTAL PARA GOL CL A GASOLINA (/1000)</v>
          </cell>
          <cell r="C300" t="str">
            <v>UN</v>
          </cell>
          <cell r="D300">
            <v>0</v>
          </cell>
        </row>
        <row r="301">
          <cell r="A301">
            <v>20261</v>
          </cell>
          <cell r="B301" t="str">
            <v>SEGURO TOTAL PARA GOL CL A ALCOOL (/1000)</v>
          </cell>
          <cell r="C301" t="str">
            <v>UN</v>
          </cell>
          <cell r="D301">
            <v>0</v>
          </cell>
        </row>
        <row r="302">
          <cell r="A302">
            <v>20262</v>
          </cell>
          <cell r="B302" t="str">
            <v>DEPRECIACAO PARA CAMINHAO MB-1214 (/1000)</v>
          </cell>
          <cell r="C302" t="str">
            <v>UN</v>
          </cell>
          <cell r="D302">
            <v>0</v>
          </cell>
        </row>
        <row r="303">
          <cell r="A303">
            <v>20263</v>
          </cell>
          <cell r="B303" t="str">
            <v>DEPRECIACAO PARA GOL CL A GASOLINA (/1000)</v>
          </cell>
          <cell r="C303" t="str">
            <v>UN</v>
          </cell>
          <cell r="D303">
            <v>0</v>
          </cell>
        </row>
        <row r="304">
          <cell r="A304">
            <v>20264</v>
          </cell>
          <cell r="B304" t="str">
            <v>DEPRECIACAO PARA GOL A ALCOOL (/1000)</v>
          </cell>
          <cell r="C304" t="str">
            <v>UN</v>
          </cell>
          <cell r="D304">
            <v>0</v>
          </cell>
        </row>
        <row r="305">
          <cell r="A305">
            <v>20265</v>
          </cell>
          <cell r="B305" t="str">
            <v>JUROS PARA CAMINHAO MB-1214 (/1000)</v>
          </cell>
          <cell r="C305" t="str">
            <v>UN</v>
          </cell>
          <cell r="D305">
            <v>0</v>
          </cell>
        </row>
        <row r="306">
          <cell r="A306">
            <v>20266</v>
          </cell>
          <cell r="B306" t="str">
            <v>JUROS PARA GOL CL A GASOLINA (/1000)</v>
          </cell>
          <cell r="C306" t="str">
            <v>UN</v>
          </cell>
          <cell r="D306">
            <v>0</v>
          </cell>
        </row>
        <row r="307">
          <cell r="A307">
            <v>20267</v>
          </cell>
          <cell r="B307" t="str">
            <v>JUROS PARA GOL CL A ALCOOL (/1000)</v>
          </cell>
          <cell r="C307" t="str">
            <v>UN</v>
          </cell>
          <cell r="D307">
            <v>0</v>
          </cell>
        </row>
        <row r="308">
          <cell r="A308">
            <v>20268</v>
          </cell>
          <cell r="B308" t="str">
            <v>CONE DE SINALIZACAO C/PINTURA REFLETIVA H=0,50 M</v>
          </cell>
          <cell r="C308" t="str">
            <v>UN</v>
          </cell>
          <cell r="D308">
            <v>6</v>
          </cell>
        </row>
        <row r="309">
          <cell r="A309">
            <v>20269</v>
          </cell>
          <cell r="B309" t="str">
            <v>CONE DE SINALIZACAO C/PINTURA REFLETIVA H=0,70 M</v>
          </cell>
          <cell r="C309" t="str">
            <v>UN</v>
          </cell>
          <cell r="D309">
            <v>18</v>
          </cell>
        </row>
        <row r="310">
          <cell r="A310">
            <v>20270</v>
          </cell>
          <cell r="B310" t="str">
            <v>TELHA CERAMICA TIPO FRANCESA</v>
          </cell>
          <cell r="C310" t="str">
            <v>UN</v>
          </cell>
          <cell r="D310">
            <v>0.19</v>
          </cell>
        </row>
        <row r="311">
          <cell r="A311">
            <v>20271</v>
          </cell>
          <cell r="B311" t="str">
            <v>TELHA CERAMICA TIPO PLAN</v>
          </cell>
          <cell r="C311" t="str">
            <v>UN</v>
          </cell>
          <cell r="D311">
            <v>0.19</v>
          </cell>
        </row>
        <row r="312">
          <cell r="A312">
            <v>20272</v>
          </cell>
          <cell r="B312" t="str">
            <v>CADEADO PADO OU PAPAIZ NUM. 35</v>
          </cell>
          <cell r="C312" t="str">
            <v>UN</v>
          </cell>
          <cell r="D312">
            <v>6.64</v>
          </cell>
        </row>
        <row r="313">
          <cell r="A313">
            <v>20273</v>
          </cell>
          <cell r="B313" t="str">
            <v>PORTA METALICA TIPO VENEZIANA P/QUADRO COMANDO</v>
          </cell>
          <cell r="C313" t="str">
            <v>M2</v>
          </cell>
          <cell r="D313">
            <v>175</v>
          </cell>
        </row>
        <row r="314">
          <cell r="A314">
            <v>20274</v>
          </cell>
          <cell r="B314" t="str">
            <v>TAMPA METALICA</v>
          </cell>
          <cell r="C314" t="str">
            <v>M2</v>
          </cell>
          <cell r="D314">
            <v>48.27</v>
          </cell>
        </row>
        <row r="315">
          <cell r="A315">
            <v>20282</v>
          </cell>
          <cell r="B315" t="str">
            <v>EXPLOSIVO GE-60%</v>
          </cell>
          <cell r="C315" t="str">
            <v>KG</v>
          </cell>
          <cell r="D315">
            <v>3.52</v>
          </cell>
        </row>
        <row r="316">
          <cell r="A316">
            <v>20283</v>
          </cell>
          <cell r="B316" t="str">
            <v>EXPLOSIVO TR-60%</v>
          </cell>
          <cell r="C316" t="str">
            <v>KG</v>
          </cell>
          <cell r="D316">
            <v>3.52</v>
          </cell>
        </row>
        <row r="317">
          <cell r="A317">
            <v>20284</v>
          </cell>
          <cell r="B317" t="str">
            <v>CORDEL DETONANTE</v>
          </cell>
          <cell r="C317" t="str">
            <v>M</v>
          </cell>
          <cell r="D317">
            <v>0.7</v>
          </cell>
        </row>
        <row r="318">
          <cell r="A318">
            <v>20285</v>
          </cell>
          <cell r="B318" t="str">
            <v>RETARDADOR</v>
          </cell>
          <cell r="C318" t="str">
            <v>UN</v>
          </cell>
          <cell r="D318">
            <v>7</v>
          </cell>
        </row>
        <row r="319">
          <cell r="A319">
            <v>20286</v>
          </cell>
          <cell r="B319" t="str">
            <v>ESPOLETA ELETRICA</v>
          </cell>
          <cell r="C319" t="str">
            <v>UN</v>
          </cell>
          <cell r="D319">
            <v>6.8</v>
          </cell>
        </row>
        <row r="320">
          <cell r="A320">
            <v>20287</v>
          </cell>
          <cell r="B320" t="str">
            <v>BROCAS</v>
          </cell>
          <cell r="C320" t="str">
            <v>CJ</v>
          </cell>
          <cell r="D320">
            <v>875</v>
          </cell>
        </row>
        <row r="321">
          <cell r="A321">
            <v>20291</v>
          </cell>
          <cell r="B321" t="str">
            <v>LIMP.CORTE COLC.COMP.CASC.IMPRIM.COLOC.CAPA ASFAL.</v>
          </cell>
          <cell r="C321" t="str">
            <v>M2</v>
          </cell>
          <cell r="D321">
            <v>29.16</v>
          </cell>
        </row>
        <row r="322">
          <cell r="A322">
            <v>20292</v>
          </cell>
          <cell r="B322" t="str">
            <v>REPOS. ASFALT.(REMENDO PAV.EST.+PRE-MIST. A FRIO)</v>
          </cell>
          <cell r="C322" t="str">
            <v>M2</v>
          </cell>
          <cell r="D322">
            <v>19.100000000000001</v>
          </cell>
        </row>
        <row r="323">
          <cell r="A323">
            <v>20293</v>
          </cell>
          <cell r="B323" t="str">
            <v>REPOS.ASFALT.(REM.PAV.EST.+TRAT.SUP. FRIO SIMPLES)</v>
          </cell>
          <cell r="C323" t="str">
            <v>M2</v>
          </cell>
          <cell r="D323">
            <v>12.73</v>
          </cell>
        </row>
        <row r="324">
          <cell r="A324">
            <v>20294</v>
          </cell>
          <cell r="B324" t="str">
            <v>REP.ASF.(REM.PAV.EST.+TRAT.SUP.FRIO S.+ CAPA SEL.)</v>
          </cell>
          <cell r="C324" t="str">
            <v>M2</v>
          </cell>
          <cell r="D324">
            <v>13.53</v>
          </cell>
        </row>
        <row r="325">
          <cell r="A325">
            <v>20295</v>
          </cell>
          <cell r="B325" t="str">
            <v>REPOS.ASFALT.(REM.PAV.EST.+ TRAT.SUP.A FRIO DUPLO)</v>
          </cell>
          <cell r="C325" t="str">
            <v>M2</v>
          </cell>
          <cell r="D325">
            <v>15.11</v>
          </cell>
        </row>
        <row r="326">
          <cell r="A326">
            <v>20296</v>
          </cell>
          <cell r="B326" t="str">
            <v>REP.ASF.(REM.PAV.EST.+TRAT.SUP.FRIO D.+ CAPA SEL.)</v>
          </cell>
          <cell r="C326" t="str">
            <v>M2</v>
          </cell>
          <cell r="D326">
            <v>15.92</v>
          </cell>
        </row>
        <row r="327">
          <cell r="A327">
            <v>20298</v>
          </cell>
          <cell r="B327" t="str">
            <v>VITLASTIC</v>
          </cell>
          <cell r="C327" t="str">
            <v>M2</v>
          </cell>
          <cell r="D327">
            <v>18.73</v>
          </cell>
        </row>
        <row r="328">
          <cell r="A328">
            <v>20299</v>
          </cell>
          <cell r="B328" t="str">
            <v>TAMPONAMENTO</v>
          </cell>
          <cell r="C328" t="str">
            <v>M2</v>
          </cell>
          <cell r="D328">
            <v>3.05</v>
          </cell>
        </row>
        <row r="329">
          <cell r="A329">
            <v>20301</v>
          </cell>
          <cell r="B329" t="str">
            <v>MANTA BUTILICA</v>
          </cell>
          <cell r="C329" t="str">
            <v>M2</v>
          </cell>
          <cell r="D329">
            <v>36.36</v>
          </cell>
        </row>
        <row r="330">
          <cell r="A330">
            <v>20302</v>
          </cell>
          <cell r="B330" t="str">
            <v>TINTA VERNIZ</v>
          </cell>
          <cell r="C330" t="str">
            <v>L</v>
          </cell>
          <cell r="D330">
            <v>7.22</v>
          </cell>
        </row>
        <row r="331">
          <cell r="A331">
            <v>20303</v>
          </cell>
          <cell r="B331" t="str">
            <v>TINTA GRAFITE</v>
          </cell>
          <cell r="C331" t="str">
            <v>L</v>
          </cell>
          <cell r="D331">
            <v>6.53</v>
          </cell>
        </row>
        <row r="332">
          <cell r="A332">
            <v>20319</v>
          </cell>
          <cell r="B332" t="str">
            <v>LASTRO DE CASCALHO</v>
          </cell>
          <cell r="C332" t="str">
            <v>M3</v>
          </cell>
          <cell r="D332">
            <v>21.54</v>
          </cell>
        </row>
        <row r="333">
          <cell r="A333">
            <v>21000</v>
          </cell>
          <cell r="B333" t="str">
            <v>MANUSEIOS E TRANSPORTES DIVERSOS</v>
          </cell>
          <cell r="D333">
            <v>0</v>
          </cell>
        </row>
        <row r="334">
          <cell r="A334">
            <v>21001</v>
          </cell>
          <cell r="B334" t="str">
            <v>CTD PVC</v>
          </cell>
          <cell r="C334" t="str">
            <v>KG</v>
          </cell>
          <cell r="D334">
            <v>0.01</v>
          </cell>
        </row>
        <row r="335">
          <cell r="A335">
            <v>21002</v>
          </cell>
          <cell r="B335" t="str">
            <v>CTD FERRO FUNDIDO</v>
          </cell>
          <cell r="C335" t="str">
            <v>KG</v>
          </cell>
          <cell r="D335">
            <v>0.02</v>
          </cell>
        </row>
        <row r="336">
          <cell r="A336">
            <v>21003</v>
          </cell>
          <cell r="B336" t="str">
            <v>VINICOLA</v>
          </cell>
          <cell r="C336" t="str">
            <v>KG</v>
          </cell>
          <cell r="D336">
            <v>8.33</v>
          </cell>
        </row>
        <row r="337">
          <cell r="A337">
            <v>21004</v>
          </cell>
          <cell r="B337" t="str">
            <v>PISO VINILICO (PAVIFLEX) E = 2 MM</v>
          </cell>
          <cell r="C337" t="str">
            <v>M2</v>
          </cell>
          <cell r="D337">
            <v>24.3</v>
          </cell>
        </row>
        <row r="338">
          <cell r="A338">
            <v>21005</v>
          </cell>
          <cell r="B338" t="str">
            <v>PISO VINILICO (PAVIFLEX) E = 3 MM</v>
          </cell>
          <cell r="C338" t="str">
            <v>M2</v>
          </cell>
          <cell r="D338">
            <v>24.3</v>
          </cell>
        </row>
        <row r="339">
          <cell r="A339">
            <v>21006</v>
          </cell>
          <cell r="B339" t="str">
            <v>CASCOLA</v>
          </cell>
          <cell r="C339" t="str">
            <v>KG</v>
          </cell>
          <cell r="D339">
            <v>8.33</v>
          </cell>
        </row>
        <row r="340">
          <cell r="A340">
            <v>21007</v>
          </cell>
          <cell r="B340" t="str">
            <v>PLACA DE BORRACHA ANTIDERRAPANTE E = 3 MM</v>
          </cell>
          <cell r="C340" t="str">
            <v>M2</v>
          </cell>
          <cell r="D340">
            <v>22.7</v>
          </cell>
        </row>
        <row r="341">
          <cell r="A341">
            <v>21008</v>
          </cell>
          <cell r="B341" t="str">
            <v>PLACA DE BORRACHA E = 13 MM</v>
          </cell>
          <cell r="C341" t="str">
            <v>M2</v>
          </cell>
          <cell r="D341">
            <v>22.7</v>
          </cell>
        </row>
        <row r="342">
          <cell r="A342">
            <v>21009</v>
          </cell>
          <cell r="B342" t="str">
            <v>PLACA DE BORRACHA E = 15 MM</v>
          </cell>
          <cell r="C342" t="str">
            <v>M2</v>
          </cell>
          <cell r="D342">
            <v>22.7</v>
          </cell>
        </row>
        <row r="343">
          <cell r="A343">
            <v>21010</v>
          </cell>
          <cell r="B343" t="str">
            <v>CONCRETO PRE MISTURADO FCK 13.5 MPA (INCL.LANCAM.)</v>
          </cell>
          <cell r="C343" t="str">
            <v>M3</v>
          </cell>
          <cell r="D343">
            <v>190</v>
          </cell>
        </row>
        <row r="344">
          <cell r="A344">
            <v>21011</v>
          </cell>
          <cell r="B344" t="str">
            <v>CONCRETO PRE MISTURADO FCK 15.0 MPA (INCL.LANCAM.)</v>
          </cell>
          <cell r="C344" t="str">
            <v>M3</v>
          </cell>
          <cell r="D344">
            <v>198</v>
          </cell>
        </row>
        <row r="345">
          <cell r="A345">
            <v>21012</v>
          </cell>
          <cell r="B345" t="str">
            <v>CONCRETO PRE MISTURADO FCK 18.0 MPA (INCL.LANCAM.)</v>
          </cell>
          <cell r="C345" t="str">
            <v>M3</v>
          </cell>
          <cell r="D345">
            <v>210</v>
          </cell>
        </row>
        <row r="346">
          <cell r="A346">
            <v>21013</v>
          </cell>
          <cell r="B346" t="str">
            <v>BOMBEAMENTO DE CONCRETO</v>
          </cell>
          <cell r="C346" t="str">
            <v>M3</v>
          </cell>
          <cell r="D346">
            <v>15</v>
          </cell>
        </row>
        <row r="347">
          <cell r="A347">
            <v>21014</v>
          </cell>
          <cell r="B347" t="str">
            <v>CONCRETO PRE-MIST. BOMBEAVEL FCK=15,0 MPA SLUMP=10</v>
          </cell>
          <cell r="C347" t="str">
            <v>M3</v>
          </cell>
          <cell r="D347">
            <v>203</v>
          </cell>
        </row>
        <row r="348">
          <cell r="A348">
            <v>21015</v>
          </cell>
          <cell r="B348" t="str">
            <v>VIGA DE CONCRETO PRE MOLDADA P/ LAJE (VOLTERRANA)</v>
          </cell>
          <cell r="C348" t="str">
            <v>M</v>
          </cell>
          <cell r="D348">
            <v>3.36</v>
          </cell>
        </row>
        <row r="349">
          <cell r="A349">
            <v>21016</v>
          </cell>
          <cell r="B349" t="str">
            <v>PINTURA P/PLACA DE ADVERTENCIA 1,0X0,40 M</v>
          </cell>
          <cell r="C349" t="str">
            <v>UN</v>
          </cell>
          <cell r="D349">
            <v>25</v>
          </cell>
        </row>
        <row r="350">
          <cell r="A350">
            <v>21017</v>
          </cell>
          <cell r="B350" t="str">
            <v>FERRAGEM 0=1/2" P/CAVALETE DA PLACA DE ADVERTENCIA</v>
          </cell>
          <cell r="C350" t="str">
            <v>KG</v>
          </cell>
          <cell r="D350">
            <v>1.99</v>
          </cell>
        </row>
        <row r="351">
          <cell r="A351">
            <v>21018</v>
          </cell>
          <cell r="B351" t="str">
            <v>CHAPA METALICA N. 20 P/PLACA DE ADVERTENCIA</v>
          </cell>
          <cell r="C351" t="str">
            <v>M2</v>
          </cell>
          <cell r="D351">
            <v>19.41</v>
          </cell>
        </row>
        <row r="352">
          <cell r="A352">
            <v>21019</v>
          </cell>
          <cell r="B352" t="str">
            <v>PARAFUSO 5/16"X3/4" C/PORCA E ARRUELA P/PLACA ADV.</v>
          </cell>
          <cell r="C352" t="str">
            <v>UN</v>
          </cell>
          <cell r="D352">
            <v>0.1</v>
          </cell>
        </row>
        <row r="353">
          <cell r="A353">
            <v>21103</v>
          </cell>
          <cell r="B353" t="str">
            <v>BOMBEAMENTO DE CONCRETO</v>
          </cell>
          <cell r="C353" t="str">
            <v>M3</v>
          </cell>
          <cell r="D353">
            <v>15</v>
          </cell>
        </row>
        <row r="354">
          <cell r="A354">
            <v>21104</v>
          </cell>
          <cell r="B354" t="str">
            <v>ESCAVACAO MEC. SOLO-MOLE DE 4.0 A 6.0 M</v>
          </cell>
          <cell r="C354" t="str">
            <v>M3</v>
          </cell>
          <cell r="D354">
            <v>0</v>
          </cell>
        </row>
        <row r="355">
          <cell r="A355">
            <v>21105</v>
          </cell>
          <cell r="B355" t="str">
            <v>TELA DE ACO GALVANIZADO CA-60-B</v>
          </cell>
          <cell r="C355" t="str">
            <v>M2</v>
          </cell>
          <cell r="D355">
            <v>7.6</v>
          </cell>
        </row>
        <row r="356">
          <cell r="A356">
            <v>21106</v>
          </cell>
          <cell r="B356" t="str">
            <v>SONDAGEM DE TERRENO SPT</v>
          </cell>
          <cell r="C356" t="str">
            <v>M</v>
          </cell>
          <cell r="D356">
            <v>23.22</v>
          </cell>
        </row>
        <row r="357">
          <cell r="A357">
            <v>21107</v>
          </cell>
          <cell r="B357" t="str">
            <v>LAUDO TECNICO (SONDAGEM DO TERRENO)</v>
          </cell>
          <cell r="C357" t="str">
            <v>UN</v>
          </cell>
          <cell r="D357">
            <v>215.53</v>
          </cell>
        </row>
        <row r="358">
          <cell r="A358">
            <v>21108</v>
          </cell>
          <cell r="B358" t="str">
            <v>SONDAGEM DE TERRENO (TX. INST.TRANSP.MOD. DESMOB.)</v>
          </cell>
          <cell r="C358" t="str">
            <v>UN</v>
          </cell>
          <cell r="D358">
            <v>348.33</v>
          </cell>
        </row>
        <row r="359">
          <cell r="A359">
            <v>21109</v>
          </cell>
          <cell r="B359" t="str">
            <v>TINTA CORALPAR P/PINTURA EM CONC. APARENTE(LT 18L)</v>
          </cell>
          <cell r="C359" t="str">
            <v>LT</v>
          </cell>
          <cell r="D359">
            <v>5.83</v>
          </cell>
        </row>
        <row r="360">
          <cell r="A360">
            <v>21110</v>
          </cell>
          <cell r="B360" t="str">
            <v>CX.P/REG.&lt;=200 TUBO CON.,900,600,LJ.RD,A.TP.(M+M0)</v>
          </cell>
          <cell r="C360" t="str">
            <v>UN</v>
          </cell>
          <cell r="D360">
            <v>0</v>
          </cell>
        </row>
        <row r="361">
          <cell r="A361">
            <v>21111</v>
          </cell>
          <cell r="B361" t="str">
            <v>CX.P/REG.&lt;=200 TUBO CON.,900,600,LJ.RD,A.TP(SO M0)</v>
          </cell>
          <cell r="C361" t="str">
            <v>UN</v>
          </cell>
          <cell r="D361">
            <v>0</v>
          </cell>
        </row>
        <row r="362">
          <cell r="A362">
            <v>21112</v>
          </cell>
          <cell r="B362" t="str">
            <v>CX.P/REG.&lt;=200 TUBO CONCRETO 600,A.,TP (MAT.+M.0.)</v>
          </cell>
          <cell r="C362" t="str">
            <v>UN</v>
          </cell>
          <cell r="D362">
            <v>0</v>
          </cell>
        </row>
        <row r="363">
          <cell r="A363">
            <v>21113</v>
          </cell>
          <cell r="B363" t="str">
            <v>CX.P/REG.&lt;=200 TUBO CONCRETO 600,A.,TP (SO M.0.)</v>
          </cell>
          <cell r="C363" t="str">
            <v>UN</v>
          </cell>
          <cell r="D363">
            <v>0</v>
          </cell>
        </row>
        <row r="364">
          <cell r="A364">
            <v>21114</v>
          </cell>
          <cell r="B364" t="str">
            <v>CX.P/PROT.RG/VALV TUB.DN 50MM (H=1,46M DN 900MM)</v>
          </cell>
          <cell r="C364" t="str">
            <v>UN</v>
          </cell>
          <cell r="D364">
            <v>0</v>
          </cell>
        </row>
        <row r="365">
          <cell r="A365">
            <v>21115</v>
          </cell>
          <cell r="B365" t="str">
            <v>CX.P/PROT.RG/VALV.TUB.DN 100MM (H=1,51M DN 900MM)</v>
          </cell>
          <cell r="C365" t="str">
            <v>UN</v>
          </cell>
          <cell r="D365">
            <v>0</v>
          </cell>
        </row>
        <row r="366">
          <cell r="A366">
            <v>21116</v>
          </cell>
          <cell r="B366" t="str">
            <v>CX.P/PROT.RG/VALV.TUB.DN 200MM (H=1,61M DN 900MM)</v>
          </cell>
          <cell r="C366" t="str">
            <v>UN</v>
          </cell>
          <cell r="D366">
            <v>0</v>
          </cell>
        </row>
        <row r="367">
          <cell r="A367">
            <v>21117</v>
          </cell>
          <cell r="B367" t="str">
            <v>CX.P/PROT.RG/VALV.TUB.DN 300MM (H=1,71M DN 900MM)</v>
          </cell>
          <cell r="C367" t="str">
            <v>UN</v>
          </cell>
          <cell r="D367">
            <v>0</v>
          </cell>
        </row>
        <row r="368">
          <cell r="A368">
            <v>21118</v>
          </cell>
          <cell r="B368" t="str">
            <v>CX.P/PROT.RG/VALV.TUB.DN 400MM (H=1,81M DN 900MM)</v>
          </cell>
          <cell r="C368" t="str">
            <v>UN</v>
          </cell>
          <cell r="D368">
            <v>0</v>
          </cell>
        </row>
        <row r="369">
          <cell r="A369">
            <v>21119</v>
          </cell>
          <cell r="B369" t="str">
            <v>CX.P/PROT.RG/VALV.TUB.DN 500MM (H=1,91M DN 900MM)</v>
          </cell>
          <cell r="C369" t="str">
            <v>UN</v>
          </cell>
          <cell r="D369">
            <v>0</v>
          </cell>
        </row>
        <row r="370">
          <cell r="A370">
            <v>21120</v>
          </cell>
          <cell r="B370" t="str">
            <v>CX.P/PROT.RG/VALV.TUB.DN 600MM (H=2,00M DN 900MM)</v>
          </cell>
          <cell r="C370" t="str">
            <v>UN</v>
          </cell>
          <cell r="D370">
            <v>0</v>
          </cell>
        </row>
        <row r="371">
          <cell r="A371">
            <v>21134</v>
          </cell>
          <cell r="B371" t="str">
            <v>FUNDACAO RESERV.MET.AP.CAP.30M3 INC.SERVS.PRELIMS.</v>
          </cell>
          <cell r="C371" t="str">
            <v>UN</v>
          </cell>
          <cell r="D371">
            <v>1958.31</v>
          </cell>
        </row>
        <row r="372">
          <cell r="A372">
            <v>21135</v>
          </cell>
          <cell r="B372" t="str">
            <v>FUNDACAO RESERV.MET.AP.CAP.50M3 INC.SERVS.PRELIMS.</v>
          </cell>
          <cell r="C372" t="str">
            <v>UN</v>
          </cell>
          <cell r="D372">
            <v>3142</v>
          </cell>
        </row>
        <row r="373">
          <cell r="A373">
            <v>21137</v>
          </cell>
          <cell r="B373" t="str">
            <v>FUNDACAO RESERV.MET.APOIADO CAP.100M3 INCL.S.PREL.</v>
          </cell>
          <cell r="C373" t="str">
            <v>UN</v>
          </cell>
          <cell r="D373">
            <v>5222.17</v>
          </cell>
        </row>
        <row r="374">
          <cell r="A374">
            <v>21138</v>
          </cell>
          <cell r="B374" t="str">
            <v>FUNDACAO RESERV.MET.APOIADO CAP.200M3 INCL.S.PREL.</v>
          </cell>
          <cell r="C374" t="str">
            <v>UN</v>
          </cell>
          <cell r="D374">
            <v>12533.21</v>
          </cell>
        </row>
        <row r="375">
          <cell r="A375">
            <v>21139</v>
          </cell>
          <cell r="B375" t="str">
            <v>FUNDACAO RESERV.MET.APOIADO CAP.300M3 INCL.S.PREL.</v>
          </cell>
          <cell r="C375" t="str">
            <v>UN</v>
          </cell>
          <cell r="D375">
            <v>16710.95</v>
          </cell>
        </row>
        <row r="376">
          <cell r="A376">
            <v>21141</v>
          </cell>
          <cell r="B376" t="str">
            <v>FUNDACAO RES.MET.ELEV.T.8M CAP.10M3 INC.S.PRELIMS.</v>
          </cell>
          <cell r="C376" t="str">
            <v>UN</v>
          </cell>
          <cell r="D376">
            <v>1761.61</v>
          </cell>
        </row>
        <row r="377">
          <cell r="A377">
            <v>21142</v>
          </cell>
          <cell r="B377" t="str">
            <v>FUNDACAO RES.MET.ELEV.T.8M CAP.20M3 INC.S.PRELIMS.</v>
          </cell>
          <cell r="C377" t="str">
            <v>UN</v>
          </cell>
          <cell r="D377">
            <v>3548.76</v>
          </cell>
        </row>
        <row r="378">
          <cell r="A378">
            <v>21143</v>
          </cell>
          <cell r="B378" t="str">
            <v>FUNDACAO RES.MET.ELEV.T.8M CAP.30M3 INC.S.PRELIMS.</v>
          </cell>
          <cell r="C378" t="str">
            <v>UN</v>
          </cell>
          <cell r="D378">
            <v>4416.8</v>
          </cell>
        </row>
        <row r="379">
          <cell r="A379">
            <v>21144</v>
          </cell>
          <cell r="B379" t="str">
            <v>FUNDACAO RES.MET.ELEV.T.8M CAP.50M3 INC.S.PRELIMS.</v>
          </cell>
          <cell r="C379" t="str">
            <v>UN</v>
          </cell>
          <cell r="D379">
            <v>6470.85</v>
          </cell>
        </row>
        <row r="380">
          <cell r="A380">
            <v>21145</v>
          </cell>
          <cell r="B380" t="str">
            <v>FUNDACAO RES.MET.ELEV.TOR.8M CAP.15M3 INC.SER.PREL</v>
          </cell>
          <cell r="C380" t="str">
            <v>UN</v>
          </cell>
          <cell r="D380">
            <v>3108.1</v>
          </cell>
        </row>
        <row r="381">
          <cell r="A381">
            <v>21150</v>
          </cell>
          <cell r="B381" t="str">
            <v>FUNDACAO RES.MET.ELEV.T.10M CAP.10M3 INC.S.PRELIM.</v>
          </cell>
          <cell r="C381" t="str">
            <v>UN</v>
          </cell>
          <cell r="D381">
            <v>1953.1</v>
          </cell>
        </row>
        <row r="382">
          <cell r="A382">
            <v>21151</v>
          </cell>
          <cell r="B382" t="str">
            <v>FUNDACAO RES.MET.ELEV.T.10M CAP.20M3 INC.S.PRELIM.</v>
          </cell>
          <cell r="C382" t="str">
            <v>UN</v>
          </cell>
          <cell r="D382">
            <v>3906.18</v>
          </cell>
        </row>
        <row r="383">
          <cell r="A383">
            <v>21152</v>
          </cell>
          <cell r="B383" t="str">
            <v>FUNDACAO RES.MET.ELEV.T.10M CAP.30M3 INC.S.PRELIM.</v>
          </cell>
          <cell r="C383" t="str">
            <v>UN</v>
          </cell>
          <cell r="D383">
            <v>4838.0600000000004</v>
          </cell>
        </row>
        <row r="384">
          <cell r="A384">
            <v>21153</v>
          </cell>
          <cell r="B384" t="str">
            <v>FUNDACAO RES.MET.ELEV.T.10M CAP.50M3 INC.S.PRELIM.</v>
          </cell>
          <cell r="C384" t="str">
            <v>UN</v>
          </cell>
          <cell r="D384">
            <v>7020.92</v>
          </cell>
        </row>
        <row r="385">
          <cell r="A385">
            <v>21154</v>
          </cell>
          <cell r="B385" t="str">
            <v>FUNDACAO RES.MET.ELEV.TOR.10M CAP.15M3 INC.SER.PRE</v>
          </cell>
          <cell r="C385" t="str">
            <v>UN</v>
          </cell>
          <cell r="D385">
            <v>4051.72</v>
          </cell>
        </row>
        <row r="386">
          <cell r="A386">
            <v>21158</v>
          </cell>
          <cell r="B386" t="str">
            <v>FUNDACAO FILTRO RUS.MET.PAS.LAT:R=1,5 E H=3,85 M</v>
          </cell>
          <cell r="C386" t="str">
            <v>UN</v>
          </cell>
          <cell r="D386">
            <v>3101.98</v>
          </cell>
        </row>
        <row r="387">
          <cell r="A387">
            <v>21159</v>
          </cell>
          <cell r="B387" t="str">
            <v>FUNDACAO FILTRO RUSSO MET.PAS.LAT:R=2,0 E H=3,85 M</v>
          </cell>
          <cell r="C387" t="str">
            <v>UN</v>
          </cell>
          <cell r="D387">
            <v>4456.25</v>
          </cell>
        </row>
        <row r="388">
          <cell r="A388">
            <v>21160</v>
          </cell>
          <cell r="B388" t="str">
            <v>PERFURACAO POCO TUB. PROF.INCLUSIVE ENCAMISAMENTO</v>
          </cell>
          <cell r="C388" t="str">
            <v>M</v>
          </cell>
          <cell r="D388">
            <v>193</v>
          </cell>
        </row>
        <row r="389">
          <cell r="A389">
            <v>21166</v>
          </cell>
          <cell r="B389" t="str">
            <v>ENERG.P.T.P.SUB.TEMPO (A.T.,TRANSF.,MED.E P.CONC.)</v>
          </cell>
          <cell r="C389" t="str">
            <v>VB</v>
          </cell>
          <cell r="D389">
            <v>2944.8</v>
          </cell>
        </row>
        <row r="390">
          <cell r="A390">
            <v>21167</v>
          </cell>
          <cell r="B390" t="str">
            <v>ENERG.P.T.P.PADRAO CELG (BX.TENSAO C/MEDID.CONS.)</v>
          </cell>
          <cell r="C390" t="str">
            <v>VB</v>
          </cell>
          <cell r="D390">
            <v>900</v>
          </cell>
        </row>
        <row r="391">
          <cell r="A391">
            <v>21168</v>
          </cell>
          <cell r="B391" t="str">
            <v>ENERG.P.T.P.E C.CLO.SIMP.SUB.TPO.(A.T.TRANSF.MED.)</v>
          </cell>
          <cell r="C391" t="str">
            <v>VB</v>
          </cell>
          <cell r="D391">
            <v>275.39999999999998</v>
          </cell>
        </row>
        <row r="392">
          <cell r="A392">
            <v>21169</v>
          </cell>
          <cell r="B392" t="str">
            <v>ENERG.P.T.P.E C.CLO.SIMP.P.CELG (B.T.C/MED.CONS.)</v>
          </cell>
          <cell r="C392" t="str">
            <v>VB</v>
          </cell>
          <cell r="D392">
            <v>636.34</v>
          </cell>
        </row>
        <row r="393">
          <cell r="A393">
            <v>21170</v>
          </cell>
          <cell r="B393" t="str">
            <v>ENERG.P/AREA RESERV.C/PADRAO CELG (B.T.C/MED.CONS)</v>
          </cell>
          <cell r="C393" t="str">
            <v>VB</v>
          </cell>
          <cell r="D393">
            <v>475.8</v>
          </cell>
        </row>
        <row r="394">
          <cell r="A394">
            <v>21186</v>
          </cell>
          <cell r="B394" t="str">
            <v>INST.ELET.P.T.P.INCL.QD.COMANDO C/PROTECAO TEMPO</v>
          </cell>
          <cell r="C394" t="str">
            <v>VB</v>
          </cell>
          <cell r="D394">
            <v>3444</v>
          </cell>
        </row>
        <row r="395">
          <cell r="A395">
            <v>21187</v>
          </cell>
          <cell r="B395" t="str">
            <v>INST.ELET.P.T.P.E C.CLO.SIMP.C/QD.COM.PROT.TEM.BT.</v>
          </cell>
          <cell r="C395" t="str">
            <v>VB</v>
          </cell>
          <cell r="D395">
            <v>2517.6</v>
          </cell>
        </row>
        <row r="396">
          <cell r="A396">
            <v>21188</v>
          </cell>
          <cell r="B396" t="str">
            <v>INST.ELET.CASA QUIMICA PADRAO INCL.QUADRO COMANDO</v>
          </cell>
          <cell r="C396" t="str">
            <v>VB</v>
          </cell>
          <cell r="D396">
            <v>778.8</v>
          </cell>
        </row>
        <row r="397">
          <cell r="A397">
            <v>21189</v>
          </cell>
          <cell r="B397" t="str">
            <v>INST.ELET.CASA CLORACAO PADRAO INCL.QD.COMANDO</v>
          </cell>
          <cell r="C397" t="str">
            <v>VB</v>
          </cell>
          <cell r="D397">
            <v>396</v>
          </cell>
        </row>
        <row r="398">
          <cell r="A398">
            <v>21190</v>
          </cell>
          <cell r="B398" t="str">
            <v>INST.ELET.RESERV.(LUZ PILOTO,P.-RAIOS T.FRANK.ETC)</v>
          </cell>
          <cell r="C398" t="str">
            <v>VB</v>
          </cell>
          <cell r="D398">
            <v>342</v>
          </cell>
        </row>
        <row r="399">
          <cell r="A399">
            <v>21191</v>
          </cell>
          <cell r="B399" t="str">
            <v>INST.ELET.P.T.P.E C.CLO.SIMP.C/QD.COM.PROT.TEM.AT.</v>
          </cell>
          <cell r="C399" t="str">
            <v>VB</v>
          </cell>
          <cell r="D399">
            <v>2941.2</v>
          </cell>
        </row>
        <row r="400">
          <cell r="A400">
            <v>21192</v>
          </cell>
          <cell r="B400" t="str">
            <v>INST.ELET.P/RES.(PARA-RAIOS FRANKLIN,COND.CU.ETC.)</v>
          </cell>
          <cell r="C400" t="str">
            <v>VB</v>
          </cell>
          <cell r="D400">
            <v>122.4</v>
          </cell>
        </row>
        <row r="401">
          <cell r="A401">
            <v>21206</v>
          </cell>
          <cell r="B401" t="str">
            <v>ILUMIN.EXT.P.T.P.(POSTES,LUM.,FIACOES ETC.)</v>
          </cell>
          <cell r="C401" t="str">
            <v>VB</v>
          </cell>
          <cell r="D401">
            <v>298.8</v>
          </cell>
        </row>
        <row r="402">
          <cell r="A402">
            <v>21207</v>
          </cell>
          <cell r="B402" t="str">
            <v>ILUM.EXT.P.T.P.E C.CLO.SIMP.(PTES,LUM.FIACOES ETC)</v>
          </cell>
          <cell r="C402" t="str">
            <v>VB</v>
          </cell>
          <cell r="D402">
            <v>298.8</v>
          </cell>
        </row>
        <row r="403">
          <cell r="A403">
            <v>21208</v>
          </cell>
          <cell r="B403" t="str">
            <v>ILUM.EXT.C.QUIM.PADRAO (POSTES,LUM.,FIACOES ETC.)</v>
          </cell>
          <cell r="C403" t="str">
            <v>VB</v>
          </cell>
          <cell r="D403">
            <v>298.8</v>
          </cell>
        </row>
        <row r="404">
          <cell r="A404">
            <v>21209</v>
          </cell>
          <cell r="B404" t="str">
            <v>ILUMIN.EXT.C.CLO.PADRAO (POSTES,LUM.,FIACOES ETC.)</v>
          </cell>
          <cell r="C404" t="str">
            <v>VB</v>
          </cell>
          <cell r="D404">
            <v>298.8</v>
          </cell>
        </row>
        <row r="405">
          <cell r="A405">
            <v>21217</v>
          </cell>
          <cell r="B405" t="str">
            <v>ALUMINIO P/:PERFIS, DIVISORIAS, ESQUADRIAS E TUBOS</v>
          </cell>
          <cell r="C405" t="str">
            <v>KG</v>
          </cell>
          <cell r="D405">
            <v>15.5</v>
          </cell>
        </row>
        <row r="406">
          <cell r="A406">
            <v>21219</v>
          </cell>
          <cell r="B406" t="str">
            <v>PARAFUSO ZINC.C.LISA 1/2"C=35CM ROSCA PORCA ARRUE.</v>
          </cell>
          <cell r="C406" t="str">
            <v>UN</v>
          </cell>
          <cell r="D406">
            <v>1.85</v>
          </cell>
        </row>
        <row r="407">
          <cell r="A407">
            <v>21220</v>
          </cell>
          <cell r="B407" t="str">
            <v>PARAFUSO C.CHATA FENDA 3/16"C=5/8"E ROSCA SOBERBA</v>
          </cell>
          <cell r="C407" t="str">
            <v>UN</v>
          </cell>
          <cell r="D407">
            <v>0.04</v>
          </cell>
        </row>
        <row r="408">
          <cell r="A408">
            <v>21221</v>
          </cell>
          <cell r="B408" t="str">
            <v>PORTA LISA CEDRO P/RECEBER PINTURA VERNIZ:0,6X2,1M</v>
          </cell>
          <cell r="C408" t="str">
            <v>UN</v>
          </cell>
          <cell r="D408">
            <v>45</v>
          </cell>
        </row>
        <row r="409">
          <cell r="A409">
            <v>21222</v>
          </cell>
          <cell r="B409" t="str">
            <v>PORTA LISA CEDRO P/RECEBER PINTURA VERNIZ:O,8X2,1M</v>
          </cell>
          <cell r="C409" t="str">
            <v>UN</v>
          </cell>
          <cell r="D409">
            <v>45</v>
          </cell>
        </row>
        <row r="410">
          <cell r="A410">
            <v>21223</v>
          </cell>
          <cell r="B410" t="str">
            <v>BANCADA EM GRANITINA PARA PIA OU LAVATORIO</v>
          </cell>
          <cell r="C410" t="str">
            <v>M2</v>
          </cell>
          <cell r="D410">
            <v>23</v>
          </cell>
        </row>
        <row r="411">
          <cell r="A411">
            <v>21224</v>
          </cell>
          <cell r="B411" t="str">
            <v>CUBA EM ACO INOX NUMERO 02</v>
          </cell>
          <cell r="C411" t="str">
            <v>UN</v>
          </cell>
          <cell r="D411">
            <v>56.3</v>
          </cell>
        </row>
        <row r="412">
          <cell r="A412">
            <v>21225</v>
          </cell>
          <cell r="B412" t="str">
            <v>ARMARIO DE EMBUTIR EM FORMICA</v>
          </cell>
          <cell r="C412" t="str">
            <v>M2</v>
          </cell>
          <cell r="D412">
            <v>350</v>
          </cell>
        </row>
        <row r="413">
          <cell r="A413">
            <v>21226</v>
          </cell>
          <cell r="B413" t="str">
            <v>VIGOTA EM MADEIRA: 6 X 16 CM</v>
          </cell>
          <cell r="C413" t="str">
            <v>M</v>
          </cell>
          <cell r="D413">
            <v>4.67</v>
          </cell>
        </row>
        <row r="414">
          <cell r="A414">
            <v>21228</v>
          </cell>
          <cell r="B414" t="str">
            <v>TUBOS E CONEX.INST.HIDRO-SAN.CASA QUIM.PAD.ANTIGO</v>
          </cell>
          <cell r="C414" t="str">
            <v>VB</v>
          </cell>
          <cell r="D414">
            <v>215.13</v>
          </cell>
        </row>
        <row r="415">
          <cell r="A415">
            <v>21229</v>
          </cell>
          <cell r="B415" t="str">
            <v>TUBOS E CONEX.INST.HIDRO-SAN.CASA CLOR.PAD.ANTIGO</v>
          </cell>
          <cell r="C415" t="str">
            <v>VB</v>
          </cell>
          <cell r="D415">
            <v>34.31</v>
          </cell>
        </row>
        <row r="416">
          <cell r="A416">
            <v>21300</v>
          </cell>
          <cell r="B416" t="str">
            <v>CURVA 90G MBV DN 150</v>
          </cell>
          <cell r="C416" t="str">
            <v>UN</v>
          </cell>
          <cell r="D416">
            <v>10</v>
          </cell>
        </row>
        <row r="417">
          <cell r="A417">
            <v>21301</v>
          </cell>
          <cell r="B417" t="str">
            <v>CURVA 90G MBV DN 200</v>
          </cell>
          <cell r="C417" t="str">
            <v>UN</v>
          </cell>
          <cell r="D417">
            <v>17.329999999999998</v>
          </cell>
        </row>
        <row r="418">
          <cell r="A418">
            <v>21302</v>
          </cell>
          <cell r="B418" t="str">
            <v>CURVA 90G MBV DN 250</v>
          </cell>
          <cell r="C418" t="str">
            <v>UN</v>
          </cell>
          <cell r="D418">
            <v>31.68</v>
          </cell>
        </row>
        <row r="419">
          <cell r="A419">
            <v>21303</v>
          </cell>
          <cell r="B419" t="str">
            <v>CURVA 90G MBV DN 300</v>
          </cell>
          <cell r="C419" t="str">
            <v>UN</v>
          </cell>
          <cell r="D419">
            <v>109.85</v>
          </cell>
        </row>
        <row r="420">
          <cell r="A420">
            <v>21304</v>
          </cell>
          <cell r="B420" t="str">
            <v>TE MBV DN 150</v>
          </cell>
          <cell r="C420" t="str">
            <v>UN</v>
          </cell>
          <cell r="D420">
            <v>8.2899999999999991</v>
          </cell>
        </row>
        <row r="421">
          <cell r="A421">
            <v>21305</v>
          </cell>
          <cell r="B421" t="str">
            <v>TE MBV DN 200</v>
          </cell>
          <cell r="C421" t="str">
            <v>UN</v>
          </cell>
          <cell r="D421">
            <v>11.12</v>
          </cell>
        </row>
        <row r="422">
          <cell r="A422">
            <v>21306</v>
          </cell>
          <cell r="B422" t="str">
            <v>TE MBV DN 250</v>
          </cell>
          <cell r="C422" t="str">
            <v>UN</v>
          </cell>
          <cell r="D422">
            <v>30.48</v>
          </cell>
        </row>
        <row r="423">
          <cell r="A423">
            <v>21307</v>
          </cell>
          <cell r="B423" t="str">
            <v>TE MBV DN 300</v>
          </cell>
          <cell r="C423" t="str">
            <v>UN</v>
          </cell>
          <cell r="D423">
            <v>84.74</v>
          </cell>
        </row>
        <row r="424">
          <cell r="A424">
            <v>21308</v>
          </cell>
          <cell r="B424" t="str">
            <v>GRAXA LUBRIFICANTE</v>
          </cell>
          <cell r="C424" t="str">
            <v>KG</v>
          </cell>
          <cell r="D424">
            <v>10</v>
          </cell>
        </row>
        <row r="426">
          <cell r="B426" t="str">
            <v>3000 MATERIAL HIDRAULICO</v>
          </cell>
        </row>
        <row r="428">
          <cell r="B428" t="str">
            <v>8000 EQUIPAMENTOS</v>
          </cell>
        </row>
        <row r="430">
          <cell r="A430">
            <v>80001</v>
          </cell>
          <cell r="B430" t="str">
            <v>BATE ESTACAS LEVE</v>
          </cell>
          <cell r="C430" t="str">
            <v>H</v>
          </cell>
          <cell r="D430">
            <v>25.57</v>
          </cell>
        </row>
        <row r="431">
          <cell r="A431">
            <v>80002</v>
          </cell>
          <cell r="B431" t="str">
            <v>BETONEIRA 320 L</v>
          </cell>
          <cell r="C431" t="str">
            <v>H</v>
          </cell>
          <cell r="D431">
            <v>1.81</v>
          </cell>
        </row>
        <row r="432">
          <cell r="A432">
            <v>80003</v>
          </cell>
          <cell r="B432" t="str">
            <v>BOMBA SPV 2"</v>
          </cell>
          <cell r="C432" t="str">
            <v>H</v>
          </cell>
          <cell r="D432">
            <v>1.77</v>
          </cell>
        </row>
        <row r="433">
          <cell r="A433">
            <v>80004</v>
          </cell>
          <cell r="B433" t="str">
            <v>BOMBA SPV 3"</v>
          </cell>
          <cell r="C433" t="str">
            <v>H</v>
          </cell>
          <cell r="D433">
            <v>1.88</v>
          </cell>
        </row>
        <row r="434">
          <cell r="A434">
            <v>80005</v>
          </cell>
          <cell r="B434" t="str">
            <v>CALDEIRA</v>
          </cell>
          <cell r="C434" t="str">
            <v>H</v>
          </cell>
          <cell r="D434">
            <v>10.84</v>
          </cell>
        </row>
        <row r="435">
          <cell r="A435">
            <v>80006</v>
          </cell>
          <cell r="B435" t="str">
            <v>CAMINHAO BASCULANTE</v>
          </cell>
          <cell r="C435" t="str">
            <v>H</v>
          </cell>
          <cell r="D435">
            <v>36.979999999999997</v>
          </cell>
        </row>
        <row r="436">
          <cell r="A436">
            <v>80007</v>
          </cell>
          <cell r="B436" t="str">
            <v>CAMINHAO BASCULANTE</v>
          </cell>
          <cell r="C436" t="str">
            <v>HI</v>
          </cell>
          <cell r="D436">
            <v>36.979999999999997</v>
          </cell>
        </row>
        <row r="437">
          <cell r="A437">
            <v>80008</v>
          </cell>
          <cell r="B437" t="str">
            <v>CAMINHAO BASCULANTE 5 M3</v>
          </cell>
          <cell r="C437" t="str">
            <v>H</v>
          </cell>
          <cell r="D437">
            <v>36.979999999999997</v>
          </cell>
        </row>
        <row r="438">
          <cell r="A438">
            <v>80009</v>
          </cell>
          <cell r="B438" t="str">
            <v>CAMINHAO BASCULANTE 5 M3</v>
          </cell>
          <cell r="C438" t="str">
            <v>HI</v>
          </cell>
          <cell r="D438">
            <v>36.979999999999997</v>
          </cell>
        </row>
        <row r="439">
          <cell r="A439">
            <v>80010</v>
          </cell>
          <cell r="B439" t="str">
            <v>CAMINHAO BASCULANTE MB - 1313 - 6M3</v>
          </cell>
          <cell r="C439" t="str">
            <v>H</v>
          </cell>
          <cell r="D439">
            <v>36.979999999999997</v>
          </cell>
        </row>
        <row r="440">
          <cell r="A440">
            <v>80011</v>
          </cell>
          <cell r="B440" t="str">
            <v>CAMINHAO BASCULANTE MB - 1313 - 6M3</v>
          </cell>
          <cell r="C440" t="str">
            <v>HI</v>
          </cell>
          <cell r="D440">
            <v>36.979999999999997</v>
          </cell>
        </row>
        <row r="441">
          <cell r="A441">
            <v>80012</v>
          </cell>
          <cell r="B441" t="str">
            <v>CAMINHAO CARROCERIA</v>
          </cell>
          <cell r="C441" t="str">
            <v>H</v>
          </cell>
          <cell r="D441">
            <v>30.96</v>
          </cell>
        </row>
        <row r="442">
          <cell r="A442">
            <v>80013</v>
          </cell>
          <cell r="B442" t="str">
            <v>CAMINHAO CARROCERIA (FORD F-11.000)</v>
          </cell>
          <cell r="C442" t="str">
            <v>H</v>
          </cell>
          <cell r="D442">
            <v>30.96</v>
          </cell>
        </row>
        <row r="443">
          <cell r="A443">
            <v>80014</v>
          </cell>
          <cell r="B443" t="str">
            <v>CAMINHAO CARROCERIA (FORD F-11.000) L-1313-48</v>
          </cell>
          <cell r="C443" t="str">
            <v>H</v>
          </cell>
          <cell r="D443">
            <v>30.96</v>
          </cell>
        </row>
        <row r="444">
          <cell r="A444">
            <v>80015</v>
          </cell>
          <cell r="B444" t="str">
            <v>CAMINHAO CARROCERIA 5 TON.</v>
          </cell>
          <cell r="C444" t="str">
            <v>H</v>
          </cell>
          <cell r="D444">
            <v>30.96</v>
          </cell>
        </row>
        <row r="445">
          <cell r="A445">
            <v>80016</v>
          </cell>
          <cell r="B445" t="str">
            <v>CAMINHAO CARROCERIA 7 TON.</v>
          </cell>
          <cell r="C445" t="str">
            <v>H</v>
          </cell>
          <cell r="D445">
            <v>30.96</v>
          </cell>
        </row>
        <row r="446">
          <cell r="A446">
            <v>80017</v>
          </cell>
          <cell r="B446" t="str">
            <v>CAMINHAO CARROCERIA 8 TON.</v>
          </cell>
          <cell r="C446" t="str">
            <v>H</v>
          </cell>
          <cell r="D446">
            <v>31.04</v>
          </cell>
        </row>
        <row r="447">
          <cell r="A447">
            <v>80018</v>
          </cell>
          <cell r="B447" t="str">
            <v>CAMINHAO C/MUNCK</v>
          </cell>
          <cell r="C447" t="str">
            <v>H</v>
          </cell>
          <cell r="D447">
            <v>55.83</v>
          </cell>
        </row>
        <row r="448">
          <cell r="A448">
            <v>80019</v>
          </cell>
          <cell r="B448" t="str">
            <v>CAMINHAO C/MUNCK 2 TON</v>
          </cell>
          <cell r="C448" t="str">
            <v>H</v>
          </cell>
          <cell r="D448">
            <v>55.83</v>
          </cell>
        </row>
        <row r="449">
          <cell r="A449">
            <v>80020</v>
          </cell>
          <cell r="B449" t="str">
            <v>CAMINHAO PIPA MB LK 1513</v>
          </cell>
          <cell r="C449" t="str">
            <v>H</v>
          </cell>
          <cell r="D449">
            <v>30.53</v>
          </cell>
        </row>
        <row r="450">
          <cell r="A450">
            <v>80021</v>
          </cell>
          <cell r="B450" t="str">
            <v>CAMINHAO TANQUE 6.000 L</v>
          </cell>
          <cell r="C450" t="str">
            <v>H</v>
          </cell>
          <cell r="D450">
            <v>30.53</v>
          </cell>
        </row>
        <row r="451">
          <cell r="A451">
            <v>80022</v>
          </cell>
          <cell r="B451" t="str">
            <v>CAMINHAO TANQUE 6.000 L CHEVROLET D-653</v>
          </cell>
          <cell r="C451" t="str">
            <v>H</v>
          </cell>
          <cell r="D451">
            <v>30.53</v>
          </cell>
        </row>
        <row r="452">
          <cell r="A452">
            <v>80023</v>
          </cell>
          <cell r="B452" t="str">
            <v>CAMINHAO TANQUE 6.000 L CHEVROLET D-653</v>
          </cell>
          <cell r="C452" t="str">
            <v>HI</v>
          </cell>
          <cell r="D452">
            <v>30.53</v>
          </cell>
        </row>
        <row r="453">
          <cell r="A453">
            <v>80024</v>
          </cell>
          <cell r="B453" t="str">
            <v>CAMINHAO TANQUE P/AGUA MB-1313 10.000 PIPA</v>
          </cell>
          <cell r="C453" t="str">
            <v>H</v>
          </cell>
          <cell r="D453">
            <v>30.62</v>
          </cell>
        </row>
        <row r="454">
          <cell r="A454">
            <v>80025</v>
          </cell>
          <cell r="B454" t="str">
            <v>CARREGADEIRA TIPO CLARK MICHIGAN 75-III</v>
          </cell>
          <cell r="C454" t="str">
            <v>H</v>
          </cell>
          <cell r="D454">
            <v>26.3</v>
          </cell>
        </row>
        <row r="455">
          <cell r="A455">
            <v>80026</v>
          </cell>
          <cell r="B455" t="str">
            <v>CAV. MEC. C/CARRETA DE 25 TON.</v>
          </cell>
          <cell r="C455" t="str">
            <v>H</v>
          </cell>
          <cell r="D455">
            <v>56.35</v>
          </cell>
        </row>
        <row r="456">
          <cell r="A456">
            <v>80027</v>
          </cell>
          <cell r="B456" t="str">
            <v>CONJ. OXIACETILENO</v>
          </cell>
          <cell r="C456" t="str">
            <v>H</v>
          </cell>
          <cell r="D456">
            <v>1.1499999999999999</v>
          </cell>
        </row>
        <row r="457">
          <cell r="A457">
            <v>80028</v>
          </cell>
          <cell r="B457" t="str">
            <v>COMPACTADOR CLORIZONI-SAPO T.C.</v>
          </cell>
          <cell r="C457" t="str">
            <v>H</v>
          </cell>
          <cell r="D457">
            <v>3.08</v>
          </cell>
        </row>
        <row r="458">
          <cell r="A458">
            <v>80029</v>
          </cell>
          <cell r="B458" t="str">
            <v>COMPACTADOR CM - 20</v>
          </cell>
          <cell r="C458" t="str">
            <v>H</v>
          </cell>
          <cell r="D458">
            <v>6.28</v>
          </cell>
        </row>
        <row r="459">
          <cell r="A459">
            <v>80030</v>
          </cell>
          <cell r="B459" t="str">
            <v>COMPACTADOR CM - 20 CS - 15 AGRALE</v>
          </cell>
          <cell r="C459" t="str">
            <v>H</v>
          </cell>
          <cell r="D459">
            <v>5.28</v>
          </cell>
        </row>
        <row r="460">
          <cell r="A460">
            <v>80031</v>
          </cell>
          <cell r="B460" t="str">
            <v>COMPACTADOR CS - 15 AGRALE</v>
          </cell>
          <cell r="C460" t="str">
            <v>H</v>
          </cell>
          <cell r="D460">
            <v>5.28</v>
          </cell>
        </row>
        <row r="461">
          <cell r="A461">
            <v>80032</v>
          </cell>
          <cell r="B461" t="str">
            <v>COMPACTADOR DE PLACAS VIBR.</v>
          </cell>
          <cell r="C461" t="str">
            <v>H</v>
          </cell>
          <cell r="D461">
            <v>6.28</v>
          </cell>
        </row>
        <row r="462">
          <cell r="A462">
            <v>80033</v>
          </cell>
          <cell r="B462" t="str">
            <v>COMPACTADOR DE PLACAS VIBR. CM-20</v>
          </cell>
          <cell r="C462" t="str">
            <v>H</v>
          </cell>
          <cell r="D462">
            <v>6.28</v>
          </cell>
        </row>
        <row r="463">
          <cell r="A463">
            <v>80034</v>
          </cell>
          <cell r="B463" t="str">
            <v>COMPACTADOR MYKASA - MTR - 80</v>
          </cell>
          <cell r="C463" t="str">
            <v>H</v>
          </cell>
          <cell r="D463">
            <v>6.28</v>
          </cell>
        </row>
        <row r="464">
          <cell r="A464">
            <v>80035</v>
          </cell>
          <cell r="B464" t="str">
            <v>COMPRESSOR</v>
          </cell>
          <cell r="C464" t="str">
            <v>H</v>
          </cell>
          <cell r="D464">
            <v>17.97</v>
          </cell>
        </row>
        <row r="465">
          <cell r="A465">
            <v>80036</v>
          </cell>
          <cell r="B465" t="str">
            <v>COMPACTADOR MR-80</v>
          </cell>
          <cell r="C465" t="str">
            <v>H</v>
          </cell>
          <cell r="D465">
            <v>6.28</v>
          </cell>
        </row>
        <row r="466">
          <cell r="A466">
            <v>80037</v>
          </cell>
          <cell r="B466" t="str">
            <v>COMPRESSOR 250 PCM</v>
          </cell>
          <cell r="C466" t="str">
            <v>H</v>
          </cell>
          <cell r="D466">
            <v>17.97</v>
          </cell>
        </row>
        <row r="467">
          <cell r="A467">
            <v>80038</v>
          </cell>
          <cell r="B467" t="str">
            <v>COMPRESSOR 275 PCM</v>
          </cell>
          <cell r="C467" t="str">
            <v>H</v>
          </cell>
          <cell r="D467">
            <v>17.97</v>
          </cell>
        </row>
        <row r="468">
          <cell r="A468">
            <v>80039</v>
          </cell>
          <cell r="B468" t="str">
            <v>COMPRESSOR 275 PCM</v>
          </cell>
          <cell r="C468" t="str">
            <v>HI</v>
          </cell>
          <cell r="D468">
            <v>17.97</v>
          </cell>
        </row>
        <row r="469">
          <cell r="A469">
            <v>80040</v>
          </cell>
          <cell r="B469" t="str">
            <v>CTD (KG/M)</v>
          </cell>
          <cell r="C469" t="str">
            <v>GM</v>
          </cell>
          <cell r="D469">
            <v>0.01</v>
          </cell>
        </row>
        <row r="470">
          <cell r="A470">
            <v>80041</v>
          </cell>
          <cell r="B470" t="str">
            <v>DOSADOR</v>
          </cell>
          <cell r="C470" t="str">
            <v>%</v>
          </cell>
          <cell r="D470">
            <v>0</v>
          </cell>
        </row>
        <row r="471">
          <cell r="A471">
            <v>80042</v>
          </cell>
          <cell r="B471" t="str">
            <v>ESCAVADEIRA</v>
          </cell>
          <cell r="C471" t="str">
            <v>H</v>
          </cell>
          <cell r="D471">
            <v>22</v>
          </cell>
        </row>
        <row r="472">
          <cell r="A472">
            <v>80043</v>
          </cell>
          <cell r="B472" t="str">
            <v>ESCAVADEIRA A CABO BUCYRUS 34 JC MOD 22 B</v>
          </cell>
          <cell r="C472" t="str">
            <v>H</v>
          </cell>
          <cell r="D472">
            <v>65.209999999999994</v>
          </cell>
        </row>
        <row r="473">
          <cell r="A473">
            <v>80044</v>
          </cell>
          <cell r="B473" t="str">
            <v>ESCAVADEIRA FIAT S-90</v>
          </cell>
          <cell r="C473" t="str">
            <v>H</v>
          </cell>
          <cell r="D473">
            <v>62.22</v>
          </cell>
        </row>
        <row r="474">
          <cell r="A474">
            <v>80045</v>
          </cell>
          <cell r="B474" t="str">
            <v>GERADOR</v>
          </cell>
          <cell r="C474" t="str">
            <v>H</v>
          </cell>
          <cell r="D474">
            <v>7.13</v>
          </cell>
        </row>
        <row r="475">
          <cell r="A475">
            <v>80046</v>
          </cell>
          <cell r="B475" t="str">
            <v>GERADOR  5 KVA</v>
          </cell>
          <cell r="C475" t="str">
            <v>H</v>
          </cell>
          <cell r="D475">
            <v>2.88</v>
          </cell>
        </row>
        <row r="476">
          <cell r="A476">
            <v>80047</v>
          </cell>
          <cell r="B476" t="str">
            <v>GERADOR 20 KVA</v>
          </cell>
          <cell r="C476" t="str">
            <v>H</v>
          </cell>
          <cell r="D476">
            <v>3.46</v>
          </cell>
        </row>
        <row r="477">
          <cell r="A477">
            <v>80048</v>
          </cell>
          <cell r="B477" t="str">
            <v>GERADOR 40 KVA</v>
          </cell>
          <cell r="C477" t="str">
            <v>H</v>
          </cell>
          <cell r="D477">
            <v>6.71</v>
          </cell>
        </row>
        <row r="478">
          <cell r="A478">
            <v>80049</v>
          </cell>
          <cell r="B478" t="str">
            <v>GUINCHO</v>
          </cell>
          <cell r="C478" t="str">
            <v>H</v>
          </cell>
          <cell r="D478">
            <v>18.8</v>
          </cell>
        </row>
        <row r="479">
          <cell r="A479">
            <v>80050</v>
          </cell>
          <cell r="B479" t="str">
            <v>GUINCHO - GUINDASTE</v>
          </cell>
          <cell r="C479" t="str">
            <v>H</v>
          </cell>
          <cell r="D479">
            <v>18.8</v>
          </cell>
        </row>
        <row r="480">
          <cell r="A480">
            <v>80051</v>
          </cell>
          <cell r="B480" t="str">
            <v>GUINCHO T</v>
          </cell>
          <cell r="C480" t="str">
            <v>H</v>
          </cell>
          <cell r="D480">
            <v>18.8</v>
          </cell>
        </row>
        <row r="481">
          <cell r="A481">
            <v>80052</v>
          </cell>
          <cell r="B481" t="str">
            <v>GUINDASTE 9 TON</v>
          </cell>
          <cell r="C481" t="str">
            <v>H</v>
          </cell>
          <cell r="D481">
            <v>32.35</v>
          </cell>
        </row>
        <row r="482">
          <cell r="A482">
            <v>80053</v>
          </cell>
          <cell r="B482" t="str">
            <v>GUISTANTE GALION</v>
          </cell>
          <cell r="C482" t="str">
            <v>H</v>
          </cell>
          <cell r="D482">
            <v>137.65</v>
          </cell>
        </row>
        <row r="483">
          <cell r="A483">
            <v>80054</v>
          </cell>
          <cell r="B483" t="str">
            <v>GUINDASTE GALION 15 TON.</v>
          </cell>
          <cell r="C483" t="str">
            <v>H</v>
          </cell>
          <cell r="D483">
            <v>137.65</v>
          </cell>
        </row>
        <row r="484">
          <cell r="A484">
            <v>80055</v>
          </cell>
          <cell r="B484" t="str">
            <v>GUINDASTE HWB- GALION 9 TON.</v>
          </cell>
          <cell r="C484" t="str">
            <v>H</v>
          </cell>
          <cell r="D484">
            <v>32.35</v>
          </cell>
        </row>
        <row r="485">
          <cell r="A485">
            <v>80056</v>
          </cell>
          <cell r="B485" t="str">
            <v>IRRIGADEIRA</v>
          </cell>
          <cell r="C485" t="str">
            <v>H</v>
          </cell>
          <cell r="D485">
            <v>1.99</v>
          </cell>
        </row>
        <row r="486">
          <cell r="A486">
            <v>80057</v>
          </cell>
          <cell r="B486" t="str">
            <v>JATO DE AREIA 250 L</v>
          </cell>
          <cell r="C486" t="str">
            <v>H</v>
          </cell>
          <cell r="D486">
            <v>1.38</v>
          </cell>
        </row>
        <row r="487">
          <cell r="A487">
            <v>80058</v>
          </cell>
          <cell r="B487" t="str">
            <v>MAQUINA DE CARPINTARIA</v>
          </cell>
          <cell r="C487" t="str">
            <v>H</v>
          </cell>
          <cell r="D487">
            <v>0.67</v>
          </cell>
        </row>
        <row r="488">
          <cell r="A488">
            <v>80059</v>
          </cell>
          <cell r="B488" t="str">
            <v>MAQUINA DE DOBRAR NEOCONDE CA 50 1 1/2 ''</v>
          </cell>
          <cell r="C488" t="str">
            <v>H</v>
          </cell>
          <cell r="D488">
            <v>0.67</v>
          </cell>
        </row>
        <row r="489">
          <cell r="A489">
            <v>80060</v>
          </cell>
          <cell r="B489" t="str">
            <v>MAQUINA DE CORTAR FERRO SOGEMAT 50</v>
          </cell>
          <cell r="C489" t="str">
            <v>H</v>
          </cell>
          <cell r="D489">
            <v>0.67</v>
          </cell>
        </row>
        <row r="490">
          <cell r="A490">
            <v>80061</v>
          </cell>
          <cell r="B490" t="str">
            <v>MAQUINA DE SOLDA 375 A</v>
          </cell>
          <cell r="C490" t="str">
            <v>H</v>
          </cell>
          <cell r="D490">
            <v>14.14</v>
          </cell>
        </row>
        <row r="491">
          <cell r="A491">
            <v>80062</v>
          </cell>
          <cell r="B491" t="str">
            <v>MARTELETE</v>
          </cell>
          <cell r="C491" t="str">
            <v>H</v>
          </cell>
          <cell r="D491">
            <v>5.66</v>
          </cell>
        </row>
        <row r="492">
          <cell r="A492">
            <v>80063</v>
          </cell>
          <cell r="B492" t="str">
            <v>MARTELETE TEX 21</v>
          </cell>
          <cell r="C492" t="str">
            <v>H</v>
          </cell>
          <cell r="D492">
            <v>5.66</v>
          </cell>
        </row>
        <row r="493">
          <cell r="A493">
            <v>80064</v>
          </cell>
          <cell r="B493" t="str">
            <v>MARTELETE TEX 31</v>
          </cell>
          <cell r="C493" t="str">
            <v>H</v>
          </cell>
          <cell r="D493">
            <v>5.66</v>
          </cell>
        </row>
        <row r="494">
          <cell r="A494">
            <v>80065</v>
          </cell>
          <cell r="B494" t="str">
            <v>MOTONIVELADORA</v>
          </cell>
          <cell r="C494" t="str">
            <v>H</v>
          </cell>
          <cell r="D494">
            <v>51.43</v>
          </cell>
        </row>
        <row r="495">
          <cell r="A495">
            <v>80066</v>
          </cell>
          <cell r="B495" t="str">
            <v>MOTONIVELADORA CAT - 120</v>
          </cell>
          <cell r="C495" t="str">
            <v>H</v>
          </cell>
          <cell r="D495">
            <v>51.43</v>
          </cell>
        </row>
        <row r="496">
          <cell r="A496">
            <v>80067</v>
          </cell>
          <cell r="B496" t="str">
            <v>MUNCK 2 TON</v>
          </cell>
          <cell r="C496" t="str">
            <v>H</v>
          </cell>
          <cell r="D496">
            <v>6.24</v>
          </cell>
        </row>
        <row r="497">
          <cell r="A497">
            <v>80068</v>
          </cell>
          <cell r="B497" t="str">
            <v>PA CARREGADEIRA</v>
          </cell>
          <cell r="C497" t="str">
            <v>H</v>
          </cell>
          <cell r="D497">
            <v>26.3</v>
          </cell>
        </row>
        <row r="498">
          <cell r="A498">
            <v>80069</v>
          </cell>
          <cell r="B498" t="str">
            <v>PERFURATRIZ SH - 21</v>
          </cell>
          <cell r="C498" t="str">
            <v>H</v>
          </cell>
          <cell r="D498">
            <v>2.6</v>
          </cell>
        </row>
        <row r="499">
          <cell r="A499">
            <v>80070</v>
          </cell>
          <cell r="B499" t="str">
            <v>RETROESCAVADEIRA</v>
          </cell>
          <cell r="C499" t="str">
            <v>H</v>
          </cell>
          <cell r="D499">
            <v>31.54</v>
          </cell>
        </row>
        <row r="500">
          <cell r="A500">
            <v>80071</v>
          </cell>
          <cell r="B500" t="str">
            <v>RETROESCAVADEIRA CASE 580H</v>
          </cell>
          <cell r="C500" t="str">
            <v>H</v>
          </cell>
          <cell r="D500">
            <v>31.54</v>
          </cell>
        </row>
        <row r="501">
          <cell r="A501">
            <v>80072</v>
          </cell>
          <cell r="B501" t="str">
            <v>ROLO DE PNEUS</v>
          </cell>
          <cell r="C501" t="str">
            <v>H</v>
          </cell>
          <cell r="D501">
            <v>45.47</v>
          </cell>
        </row>
        <row r="502">
          <cell r="A502">
            <v>80073</v>
          </cell>
          <cell r="B502" t="str">
            <v>ROLO PE DE CARNEIRO</v>
          </cell>
          <cell r="C502" t="str">
            <v>H</v>
          </cell>
          <cell r="D502">
            <v>35.86</v>
          </cell>
        </row>
        <row r="503">
          <cell r="A503">
            <v>80074</v>
          </cell>
          <cell r="B503" t="str">
            <v>ROLO PE DE CARNEIRO AUTO PROP. DYNAPAC CA 25 PD</v>
          </cell>
          <cell r="C503" t="str">
            <v>H</v>
          </cell>
          <cell r="D503">
            <v>32.840000000000003</v>
          </cell>
        </row>
        <row r="504">
          <cell r="A504">
            <v>80075</v>
          </cell>
          <cell r="B504" t="str">
            <v>ROMPEDOR TEX-31</v>
          </cell>
          <cell r="C504" t="str">
            <v>H</v>
          </cell>
          <cell r="D504">
            <v>5.66</v>
          </cell>
        </row>
        <row r="505">
          <cell r="A505">
            <v>80076</v>
          </cell>
          <cell r="B505" t="str">
            <v>TRATOR CAT D-6</v>
          </cell>
          <cell r="C505" t="str">
            <v>H</v>
          </cell>
          <cell r="D505">
            <v>60.24</v>
          </cell>
        </row>
        <row r="506">
          <cell r="A506">
            <v>80077</v>
          </cell>
          <cell r="B506" t="str">
            <v>TRATOR DE PNEUS E GRADE DISCO  (CRT + GRADE)</v>
          </cell>
          <cell r="C506" t="str">
            <v>H</v>
          </cell>
          <cell r="D506">
            <v>22.72</v>
          </cell>
        </row>
        <row r="507">
          <cell r="A507">
            <v>80078</v>
          </cell>
          <cell r="B507" t="str">
            <v>VIBRADOR DE IMERSAO AAS - 46</v>
          </cell>
          <cell r="C507" t="str">
            <v>H</v>
          </cell>
          <cell r="D507">
            <v>0.84</v>
          </cell>
        </row>
        <row r="508">
          <cell r="A508">
            <v>80079</v>
          </cell>
          <cell r="B508" t="str">
            <v>BATE ESTACAS LEVE</v>
          </cell>
          <cell r="C508" t="str">
            <v>HI</v>
          </cell>
          <cell r="D508">
            <v>25.57</v>
          </cell>
        </row>
        <row r="509">
          <cell r="A509">
            <v>80080</v>
          </cell>
          <cell r="B509" t="str">
            <v>GUINDASTE GALION 15TON</v>
          </cell>
          <cell r="C509" t="str">
            <v>HI</v>
          </cell>
          <cell r="D509">
            <v>59.18</v>
          </cell>
        </row>
        <row r="510">
          <cell r="A510">
            <v>80081</v>
          </cell>
          <cell r="B510" t="str">
            <v>MUNCK 2 TON</v>
          </cell>
          <cell r="C510" t="str">
            <v>HI</v>
          </cell>
          <cell r="D510">
            <v>6.24</v>
          </cell>
        </row>
        <row r="511">
          <cell r="A511">
            <v>80082</v>
          </cell>
          <cell r="B511" t="str">
            <v>MAQUINA DE SOLDA 375 A</v>
          </cell>
          <cell r="C511" t="str">
            <v>HI</v>
          </cell>
          <cell r="D511">
            <v>14.14</v>
          </cell>
        </row>
        <row r="512">
          <cell r="A512">
            <v>80083</v>
          </cell>
          <cell r="B512" t="str">
            <v>MAÇARICO</v>
          </cell>
          <cell r="C512" t="str">
            <v>H</v>
          </cell>
          <cell r="D512">
            <v>0</v>
          </cell>
        </row>
        <row r="513">
          <cell r="A513">
            <v>80084</v>
          </cell>
          <cell r="B513" t="str">
            <v>TEODOLITO LEITURA DIRETA 1",6",20" (MEDIA)</v>
          </cell>
          <cell r="C513" t="str">
            <v>H</v>
          </cell>
          <cell r="D513">
            <v>3.65</v>
          </cell>
        </row>
        <row r="514">
          <cell r="A514">
            <v>80085</v>
          </cell>
          <cell r="B514" t="str">
            <v>GUINDASTE BANTAN 20 TON.</v>
          </cell>
          <cell r="C514" t="str">
            <v>H</v>
          </cell>
          <cell r="D514">
            <v>159.96</v>
          </cell>
        </row>
        <row r="515">
          <cell r="A515">
            <v>80086</v>
          </cell>
          <cell r="B515" t="str">
            <v>GUINDASTE BANTAN 20 TON.</v>
          </cell>
          <cell r="C515" t="str">
            <v>HI</v>
          </cell>
          <cell r="D515">
            <v>159.96</v>
          </cell>
        </row>
        <row r="516">
          <cell r="A516">
            <v>80087</v>
          </cell>
          <cell r="B516" t="str">
            <v>TRATOR DE PNEUS E GRADE DE DISCO</v>
          </cell>
          <cell r="C516" t="str">
            <v>HI</v>
          </cell>
          <cell r="D516">
            <v>9.77</v>
          </cell>
        </row>
        <row r="517">
          <cell r="A517">
            <v>80088</v>
          </cell>
          <cell r="B517" t="str">
            <v>MOTONIVELADORA CAT 120</v>
          </cell>
          <cell r="C517" t="str">
            <v>HI</v>
          </cell>
          <cell r="D517">
            <v>22.11</v>
          </cell>
        </row>
        <row r="518">
          <cell r="A518">
            <v>80089</v>
          </cell>
          <cell r="B518" t="str">
            <v>ROLO DE ACO VIBRATORIO</v>
          </cell>
          <cell r="C518" t="str">
            <v>HI</v>
          </cell>
          <cell r="D518">
            <v>15.43</v>
          </cell>
        </row>
        <row r="519">
          <cell r="A519">
            <v>80090</v>
          </cell>
          <cell r="B519" t="str">
            <v>CAMINHAO TANQUE - CAP.= 10000 LITROS</v>
          </cell>
          <cell r="C519" t="str">
            <v>HI</v>
          </cell>
          <cell r="D519">
            <v>13.17</v>
          </cell>
        </row>
        <row r="520">
          <cell r="A520">
            <v>80091</v>
          </cell>
          <cell r="B520" t="str">
            <v>TAMPA DE CONCRETO PARA CAIXA DE LIGACAO</v>
          </cell>
          <cell r="C520" t="str">
            <v>UN</v>
          </cell>
          <cell r="D520">
            <v>0</v>
          </cell>
        </row>
        <row r="521">
          <cell r="A521">
            <v>80092</v>
          </cell>
          <cell r="B521" t="str">
            <v>TRATOR CAT - D8 LAMINA</v>
          </cell>
          <cell r="C521" t="str">
            <v>H</v>
          </cell>
          <cell r="D521">
            <v>160.21</v>
          </cell>
        </row>
        <row r="522">
          <cell r="A522">
            <v>80093</v>
          </cell>
          <cell r="B522" t="str">
            <v>COMPRESSOR PORTATIL 335 PCM</v>
          </cell>
          <cell r="C522" t="str">
            <v>H</v>
          </cell>
          <cell r="D522">
            <v>25.16</v>
          </cell>
        </row>
        <row r="523">
          <cell r="A523">
            <v>80094</v>
          </cell>
          <cell r="B523" t="str">
            <v>MOTOESCAVOTRANSPORTADOR (MOTOESCRAPER CAT-621-R)</v>
          </cell>
          <cell r="C523" t="str">
            <v>H</v>
          </cell>
          <cell r="D523">
            <v>146.36000000000001</v>
          </cell>
        </row>
        <row r="524">
          <cell r="A524">
            <v>80095</v>
          </cell>
          <cell r="B524" t="str">
            <v>TRATOR CAT D-8 - PUSHER</v>
          </cell>
          <cell r="C524" t="str">
            <v>H</v>
          </cell>
          <cell r="D524">
            <v>160.21</v>
          </cell>
        </row>
        <row r="525">
          <cell r="A525">
            <v>80096</v>
          </cell>
          <cell r="B525" t="str">
            <v>TRATOR DE ESTEIRAS CAT D8-L - C/RIPPER</v>
          </cell>
          <cell r="C525" t="str">
            <v>H</v>
          </cell>
          <cell r="D525">
            <v>160.21</v>
          </cell>
        </row>
        <row r="526">
          <cell r="A526">
            <v>80097</v>
          </cell>
          <cell r="B526" t="str">
            <v>CAMINHAO BASCULANTE 6 M3 MB LK-1618/42</v>
          </cell>
          <cell r="C526" t="str">
            <v>H</v>
          </cell>
          <cell r="D526">
            <v>45.83</v>
          </cell>
        </row>
        <row r="527">
          <cell r="A527">
            <v>80098</v>
          </cell>
          <cell r="B527" t="str">
            <v>CAMINHAO BASCULANTE 10 M3 VOLVO/SCANIA</v>
          </cell>
          <cell r="C527" t="str">
            <v>H</v>
          </cell>
          <cell r="D527">
            <v>68.63</v>
          </cell>
        </row>
        <row r="528">
          <cell r="A528">
            <v>80099</v>
          </cell>
          <cell r="B528" t="str">
            <v>CAMINHAO BASCULANTE 22T RANDOM RK-424</v>
          </cell>
          <cell r="C528" t="str">
            <v>H</v>
          </cell>
          <cell r="D528">
            <v>88.22</v>
          </cell>
        </row>
        <row r="530">
          <cell r="B530" t="str">
            <v>81000 MATERIAL HIDRAULICO F0F0</v>
          </cell>
        </row>
        <row r="532">
          <cell r="A532">
            <v>81001</v>
          </cell>
          <cell r="B532" t="str">
            <v>TUBO F0F0 JE CL K-9 1,00M DN 50</v>
          </cell>
          <cell r="C532" t="str">
            <v>M</v>
          </cell>
          <cell r="D532">
            <v>19.29</v>
          </cell>
        </row>
        <row r="533">
          <cell r="A533">
            <v>81002</v>
          </cell>
          <cell r="B533" t="str">
            <v>TUBO F0F0 JE CL K-9 1,00M DN 75</v>
          </cell>
          <cell r="C533" t="str">
            <v>M</v>
          </cell>
          <cell r="D533">
            <v>58.35</v>
          </cell>
        </row>
        <row r="534">
          <cell r="A534">
            <v>81003</v>
          </cell>
          <cell r="B534" t="str">
            <v>TUBO F0F0 JE CL K-9 1,00M DN 100</v>
          </cell>
          <cell r="C534" t="str">
            <v>M</v>
          </cell>
          <cell r="D534">
            <v>66.239999999999995</v>
          </cell>
        </row>
        <row r="535">
          <cell r="A535">
            <v>81004</v>
          </cell>
          <cell r="B535" t="str">
            <v>TUBO F0F0 JE CL K-9 1,00M DN 150</v>
          </cell>
          <cell r="C535" t="str">
            <v>M</v>
          </cell>
          <cell r="D535">
            <v>91.7</v>
          </cell>
        </row>
        <row r="536">
          <cell r="A536">
            <v>81005</v>
          </cell>
          <cell r="B536" t="str">
            <v>TUBO F0F0 JE CL K-9 1,00M DN 200</v>
          </cell>
          <cell r="C536" t="str">
            <v>M</v>
          </cell>
          <cell r="D536">
            <v>123.24</v>
          </cell>
        </row>
        <row r="537">
          <cell r="A537">
            <v>81006</v>
          </cell>
          <cell r="B537" t="str">
            <v>TUBO F0F0 JE CL K-9 1,00M DN 250</v>
          </cell>
          <cell r="C537" t="str">
            <v>M</v>
          </cell>
          <cell r="D537">
            <v>161.18</v>
          </cell>
        </row>
        <row r="538">
          <cell r="A538">
            <v>81007</v>
          </cell>
          <cell r="B538" t="str">
            <v>TUBO F0F0 JE CL K-9 1,00M DN 300</v>
          </cell>
          <cell r="C538" t="str">
            <v>M</v>
          </cell>
          <cell r="D538">
            <v>203.14</v>
          </cell>
        </row>
        <row r="539">
          <cell r="A539">
            <v>81008</v>
          </cell>
          <cell r="B539" t="str">
            <v>TUBO F0F0 JE CL K-9 1,00M DN 400</v>
          </cell>
          <cell r="C539" t="str">
            <v>M</v>
          </cell>
          <cell r="D539">
            <v>315.91000000000003</v>
          </cell>
        </row>
        <row r="540">
          <cell r="A540">
            <v>81009</v>
          </cell>
          <cell r="B540" t="str">
            <v>TUBO F0F0 JE CL K-9 1,00M DN 500</v>
          </cell>
          <cell r="C540" t="str">
            <v>M</v>
          </cell>
          <cell r="D540">
            <v>431.56</v>
          </cell>
        </row>
        <row r="541">
          <cell r="A541">
            <v>81010</v>
          </cell>
          <cell r="B541" t="str">
            <v>TUBO F0F0 JE CL K-9 1,00M DN 600</v>
          </cell>
          <cell r="C541" t="str">
            <v>M</v>
          </cell>
          <cell r="D541">
            <v>562.63</v>
          </cell>
        </row>
        <row r="542">
          <cell r="A542">
            <v>81011</v>
          </cell>
          <cell r="B542" t="str">
            <v>TUBO F0F0 JE CL K-9 1,00M DN 700</v>
          </cell>
          <cell r="C542" t="str">
            <v>M</v>
          </cell>
          <cell r="D542">
            <v>677.96</v>
          </cell>
        </row>
        <row r="543">
          <cell r="A543">
            <v>81012</v>
          </cell>
          <cell r="B543" t="str">
            <v>TUBO F0F0 JE CL K-9 1,00M DN 800</v>
          </cell>
          <cell r="C543" t="str">
            <v>M</v>
          </cell>
          <cell r="D543">
            <v>832.08</v>
          </cell>
        </row>
        <row r="544">
          <cell r="A544">
            <v>81013</v>
          </cell>
          <cell r="B544" t="str">
            <v>TUBO F0F0 JE CL K-9 1,00M DN 900</v>
          </cell>
          <cell r="C544" t="str">
            <v>M</v>
          </cell>
          <cell r="D544">
            <v>999.9</v>
          </cell>
        </row>
        <row r="545">
          <cell r="A545">
            <v>81014</v>
          </cell>
          <cell r="B545" t="str">
            <v>TUBO F0F0 JE CL K-9 1,00M DN 1000</v>
          </cell>
          <cell r="C545" t="str">
            <v>M</v>
          </cell>
          <cell r="D545">
            <v>1182.2</v>
          </cell>
        </row>
        <row r="546">
          <cell r="A546">
            <v>81015</v>
          </cell>
          <cell r="B546" t="str">
            <v>TUBO F0F0 JE CL K-9 1,00M DN 1200</v>
          </cell>
          <cell r="C546" t="str">
            <v>M</v>
          </cell>
          <cell r="D546">
            <v>1593.15</v>
          </cell>
        </row>
        <row r="547">
          <cell r="A547">
            <v>81016</v>
          </cell>
          <cell r="B547" t="str">
            <v>TUBO F0F0 JE CL K-7 1,00M DN 100</v>
          </cell>
          <cell r="C547" t="str">
            <v>M</v>
          </cell>
          <cell r="D547">
            <v>36.61</v>
          </cell>
        </row>
        <row r="548">
          <cell r="A548">
            <v>81017</v>
          </cell>
          <cell r="B548" t="str">
            <v>TUBO F0F0 JE CL K-7 1,00M DN 150</v>
          </cell>
          <cell r="C548" t="str">
            <v>M</v>
          </cell>
          <cell r="D548">
            <v>78.290000000000006</v>
          </cell>
        </row>
        <row r="549">
          <cell r="A549">
            <v>81018</v>
          </cell>
          <cell r="B549" t="str">
            <v>TUBO F0F0 JE CL K-7 1,00M DN 200</v>
          </cell>
          <cell r="C549" t="str">
            <v>M</v>
          </cell>
          <cell r="D549">
            <v>105.62</v>
          </cell>
        </row>
        <row r="550">
          <cell r="A550">
            <v>81019</v>
          </cell>
          <cell r="B550" t="str">
            <v>TUBO F0F0 JE CL K-7 1,00M DN 250</v>
          </cell>
          <cell r="C550" t="str">
            <v>M</v>
          </cell>
          <cell r="D550">
            <v>135.63</v>
          </cell>
        </row>
        <row r="551">
          <cell r="A551">
            <v>81020</v>
          </cell>
          <cell r="B551" t="str">
            <v>TUBO F0F0 JE CL K-7 1,00M DN 300</v>
          </cell>
          <cell r="C551" t="str">
            <v>M</v>
          </cell>
          <cell r="D551">
            <v>167.37</v>
          </cell>
        </row>
        <row r="552">
          <cell r="A552">
            <v>81021</v>
          </cell>
          <cell r="B552" t="str">
            <v>TUBO F0F0 JE CL K-7 1,00M DN 400</v>
          </cell>
          <cell r="C552" t="str">
            <v>M</v>
          </cell>
          <cell r="D552">
            <v>261.42</v>
          </cell>
        </row>
        <row r="553">
          <cell r="A553">
            <v>81022</v>
          </cell>
          <cell r="B553" t="str">
            <v>TUBO F0F0 JE CL K-7 1,00M DN 500</v>
          </cell>
          <cell r="C553" t="str">
            <v>M</v>
          </cell>
          <cell r="D553">
            <v>355.14</v>
          </cell>
        </row>
        <row r="554">
          <cell r="A554">
            <v>81023</v>
          </cell>
          <cell r="B554" t="str">
            <v>TUBO F0F0 JE CL K-7 1,00M DN 600</v>
          </cell>
          <cell r="C554" t="str">
            <v>M</v>
          </cell>
          <cell r="D554">
            <v>461.25</v>
          </cell>
        </row>
        <row r="555">
          <cell r="A555">
            <v>81024</v>
          </cell>
          <cell r="B555" t="str">
            <v>TUBO F0F0 JE CL K-7 1,00M DN 700</v>
          </cell>
          <cell r="C555" t="str">
            <v>M</v>
          </cell>
          <cell r="D555">
            <v>557.19000000000005</v>
          </cell>
        </row>
        <row r="556">
          <cell r="A556">
            <v>81025</v>
          </cell>
          <cell r="B556" t="str">
            <v>TUBO F0F0 JE CL K-7 1,00M DN 800</v>
          </cell>
          <cell r="C556" t="str">
            <v>M</v>
          </cell>
          <cell r="D556">
            <v>685.62</v>
          </cell>
        </row>
        <row r="557">
          <cell r="A557">
            <v>81026</v>
          </cell>
          <cell r="B557" t="str">
            <v>TUBO F0F0 JE CL K-7 1,00M DN 900</v>
          </cell>
          <cell r="C557" t="str">
            <v>M</v>
          </cell>
          <cell r="D557">
            <v>818.89</v>
          </cell>
        </row>
        <row r="558">
          <cell r="A558">
            <v>81027</v>
          </cell>
          <cell r="B558" t="str">
            <v>TUBO F0F0 JE CL K-7 1,00M DN 1000</v>
          </cell>
          <cell r="C558" t="str">
            <v>M</v>
          </cell>
          <cell r="D558">
            <v>967.14</v>
          </cell>
        </row>
        <row r="559">
          <cell r="A559">
            <v>81028</v>
          </cell>
          <cell r="B559" t="str">
            <v>TUBO F0F0 JE CL K-7 1,00M DN 1200</v>
          </cell>
          <cell r="C559" t="str">
            <v>M</v>
          </cell>
          <cell r="D559">
            <v>1300.57</v>
          </cell>
        </row>
        <row r="560">
          <cell r="A560">
            <v>81029</v>
          </cell>
          <cell r="B560" t="str">
            <v>CURVA 90G F0F0 JE DN 50</v>
          </cell>
          <cell r="C560" t="str">
            <v>UN</v>
          </cell>
          <cell r="D560">
            <v>38.43</v>
          </cell>
        </row>
        <row r="561">
          <cell r="A561">
            <v>81030</v>
          </cell>
          <cell r="B561" t="str">
            <v>CURVA 90G F0F0 JE DN 75</v>
          </cell>
          <cell r="C561" t="str">
            <v>UN</v>
          </cell>
          <cell r="D561">
            <v>58.86</v>
          </cell>
        </row>
        <row r="562">
          <cell r="A562">
            <v>81031</v>
          </cell>
          <cell r="B562" t="str">
            <v>CURVA 90G F0F0 JE DN 100</v>
          </cell>
          <cell r="C562" t="str">
            <v>UN</v>
          </cell>
          <cell r="D562">
            <v>76.23</v>
          </cell>
        </row>
        <row r="563">
          <cell r="A563">
            <v>81032</v>
          </cell>
          <cell r="B563" t="str">
            <v>CURVA 90G F0F0 JE DN 150</v>
          </cell>
          <cell r="C563" t="str">
            <v>UN</v>
          </cell>
          <cell r="D563">
            <v>141.15</v>
          </cell>
        </row>
        <row r="564">
          <cell r="A564">
            <v>81033</v>
          </cell>
          <cell r="B564" t="str">
            <v>CURVA 90G F0F0 JE DN 200</v>
          </cell>
          <cell r="C564" t="str">
            <v>UN</v>
          </cell>
          <cell r="D564">
            <v>235.42</v>
          </cell>
        </row>
        <row r="565">
          <cell r="A565">
            <v>81034</v>
          </cell>
          <cell r="B565" t="str">
            <v>CURVA 90G F0F0 JE DN 250</v>
          </cell>
          <cell r="C565" t="str">
            <v>UN</v>
          </cell>
          <cell r="D565">
            <v>333.98</v>
          </cell>
        </row>
        <row r="566">
          <cell r="A566">
            <v>81035</v>
          </cell>
          <cell r="B566" t="str">
            <v>CURVA 90G F0F0 JE DN 300</v>
          </cell>
          <cell r="C566" t="str">
            <v>UN</v>
          </cell>
          <cell r="D566">
            <v>513.89</v>
          </cell>
        </row>
        <row r="567">
          <cell r="A567">
            <v>81036</v>
          </cell>
          <cell r="B567" t="str">
            <v>CURVA 90G F0F0 JE DN 400</v>
          </cell>
          <cell r="C567" t="str">
            <v>UN</v>
          </cell>
          <cell r="D567">
            <v>865.96</v>
          </cell>
        </row>
        <row r="568">
          <cell r="A568">
            <v>81037</v>
          </cell>
          <cell r="B568" t="str">
            <v>CURVA 90G F0F0 JE DN 500</v>
          </cell>
          <cell r="C568" t="str">
            <v>UN</v>
          </cell>
          <cell r="D568">
            <v>1480.33</v>
          </cell>
        </row>
        <row r="569">
          <cell r="A569">
            <v>81038</v>
          </cell>
          <cell r="B569" t="str">
            <v>CURVA 90G F0F0 JE DN 600</v>
          </cell>
          <cell r="C569" t="str">
            <v>UN</v>
          </cell>
          <cell r="D569">
            <v>2056.23</v>
          </cell>
        </row>
        <row r="570">
          <cell r="A570">
            <v>81039</v>
          </cell>
          <cell r="B570" t="str">
            <v>CURVA 45G F0F0 JE DN 50</v>
          </cell>
          <cell r="C570" t="str">
            <v>UN</v>
          </cell>
          <cell r="D570">
            <v>37.479999999999997</v>
          </cell>
        </row>
        <row r="571">
          <cell r="A571">
            <v>81040</v>
          </cell>
          <cell r="B571" t="str">
            <v>CURVA 45G F0F0 JE DN 75</v>
          </cell>
          <cell r="C571" t="str">
            <v>UN</v>
          </cell>
          <cell r="D571">
            <v>49.78</v>
          </cell>
        </row>
        <row r="572">
          <cell r="A572">
            <v>81041</v>
          </cell>
          <cell r="B572" t="str">
            <v>CURVA 45G F0F0 JE DN 100</v>
          </cell>
          <cell r="C572" t="str">
            <v>UN</v>
          </cell>
          <cell r="D572">
            <v>70.66</v>
          </cell>
        </row>
        <row r="573">
          <cell r="A573">
            <v>81042</v>
          </cell>
          <cell r="B573" t="str">
            <v>CURVA 45G F0F0 JE DN 150</v>
          </cell>
          <cell r="C573" t="str">
            <v>UN</v>
          </cell>
          <cell r="D573">
            <v>123.52</v>
          </cell>
        </row>
        <row r="574">
          <cell r="A574">
            <v>81043</v>
          </cell>
          <cell r="B574" t="str">
            <v>CURVA 45G F0F0 JE DN 200</v>
          </cell>
          <cell r="C574" t="str">
            <v>UN</v>
          </cell>
          <cell r="D574">
            <v>196.32</v>
          </cell>
        </row>
        <row r="575">
          <cell r="A575">
            <v>81044</v>
          </cell>
          <cell r="B575" t="str">
            <v>CURVA 45G F0F0 JE DN 250</v>
          </cell>
          <cell r="C575" t="str">
            <v>UN</v>
          </cell>
          <cell r="D575">
            <v>264.92</v>
          </cell>
        </row>
        <row r="576">
          <cell r="A576">
            <v>81045</v>
          </cell>
          <cell r="B576" t="str">
            <v>CURVA 45G F0F0 JE DN 300</v>
          </cell>
          <cell r="C576" t="str">
            <v>UN</v>
          </cell>
          <cell r="D576">
            <v>406.61</v>
          </cell>
        </row>
        <row r="577">
          <cell r="A577">
            <v>81046</v>
          </cell>
          <cell r="B577" t="str">
            <v>CURVA 45G F0F0 JE DN 400</v>
          </cell>
          <cell r="C577" t="str">
            <v>UN</v>
          </cell>
          <cell r="D577">
            <v>614.78</v>
          </cell>
        </row>
        <row r="578">
          <cell r="A578">
            <v>81047</v>
          </cell>
          <cell r="B578" t="str">
            <v>CURVA 45G F0F0 JE DN 500</v>
          </cell>
          <cell r="C578" t="str">
            <v>UN</v>
          </cell>
          <cell r="D578">
            <v>1140.23</v>
          </cell>
        </row>
        <row r="579">
          <cell r="A579">
            <v>81048</v>
          </cell>
          <cell r="B579" t="str">
            <v>CURVA 45G F0F0 JE DN 600</v>
          </cell>
          <cell r="C579" t="str">
            <v>UN</v>
          </cell>
          <cell r="D579">
            <v>1976.48</v>
          </cell>
        </row>
        <row r="580">
          <cell r="A580">
            <v>81049</v>
          </cell>
          <cell r="B580" t="str">
            <v>CURVA 22G30' F0F0 JE DN 50</v>
          </cell>
          <cell r="C580" t="str">
            <v>UN</v>
          </cell>
          <cell r="D580">
            <v>36.92</v>
          </cell>
        </row>
        <row r="581">
          <cell r="A581">
            <v>81050</v>
          </cell>
          <cell r="B581" t="str">
            <v>CURVA 22G30' F0F0 JE DN 75</v>
          </cell>
          <cell r="C581" t="str">
            <v>UN</v>
          </cell>
          <cell r="D581">
            <v>47.89</v>
          </cell>
        </row>
        <row r="582">
          <cell r="A582">
            <v>81051</v>
          </cell>
          <cell r="B582" t="str">
            <v>CURVA 22G30' F0F0 JE DN 100</v>
          </cell>
          <cell r="C582" t="str">
            <v>UN</v>
          </cell>
          <cell r="D582">
            <v>65.44</v>
          </cell>
        </row>
        <row r="583">
          <cell r="A583">
            <v>81052</v>
          </cell>
          <cell r="B583" t="str">
            <v>CURVA 22G30' F0F0 JE DN 150</v>
          </cell>
          <cell r="C583" t="str">
            <v>UN</v>
          </cell>
          <cell r="D583">
            <v>115.05</v>
          </cell>
        </row>
        <row r="584">
          <cell r="A584">
            <v>81053</v>
          </cell>
          <cell r="B584" t="str">
            <v>CURVA 22G30' F0F0 JE DN 200</v>
          </cell>
          <cell r="C584" t="str">
            <v>UN</v>
          </cell>
          <cell r="D584">
            <v>157.43</v>
          </cell>
        </row>
        <row r="585">
          <cell r="A585">
            <v>81054</v>
          </cell>
          <cell r="B585" t="str">
            <v>CURVA 22G30' F0F0 JE DN 250</v>
          </cell>
          <cell r="C585" t="str">
            <v>UN</v>
          </cell>
          <cell r="D585">
            <v>271.73</v>
          </cell>
        </row>
        <row r="586">
          <cell r="A586">
            <v>81055</v>
          </cell>
          <cell r="B586" t="str">
            <v>CURVA 22G30' F0F0 JE DN 300</v>
          </cell>
          <cell r="C586" t="str">
            <v>UN</v>
          </cell>
          <cell r="D586">
            <v>306.72000000000003</v>
          </cell>
        </row>
        <row r="587">
          <cell r="A587">
            <v>81056</v>
          </cell>
          <cell r="B587" t="str">
            <v>CURVA 22G30' F0F0 JE DN 400</v>
          </cell>
          <cell r="C587" t="str">
            <v>UN</v>
          </cell>
          <cell r="D587">
            <v>551.29</v>
          </cell>
        </row>
        <row r="588">
          <cell r="A588">
            <v>81057</v>
          </cell>
          <cell r="B588" t="str">
            <v>CURVA 22G30' F0F0 JE DN 500</v>
          </cell>
          <cell r="C588" t="str">
            <v>UN</v>
          </cell>
          <cell r="D588">
            <v>710.35</v>
          </cell>
        </row>
        <row r="589">
          <cell r="A589">
            <v>81058</v>
          </cell>
          <cell r="B589" t="str">
            <v>CURVA 22G30' F0F0 JE DN 600</v>
          </cell>
          <cell r="C589" t="str">
            <v>UN</v>
          </cell>
          <cell r="D589" t="str">
            <v>1 705,93</v>
          </cell>
        </row>
        <row r="590">
          <cell r="A590">
            <v>81059</v>
          </cell>
          <cell r="B590" t="str">
            <v>CURVA 11G15' F0F0 JE DN 300</v>
          </cell>
          <cell r="C590" t="str">
            <v>UN</v>
          </cell>
          <cell r="D590">
            <v>188.37</v>
          </cell>
        </row>
        <row r="591">
          <cell r="A591">
            <v>81060</v>
          </cell>
          <cell r="B591" t="str">
            <v>CURVA 11G15' F0F0 JE DN 400</v>
          </cell>
          <cell r="C591" t="str">
            <v>UN</v>
          </cell>
          <cell r="D591">
            <v>487.93</v>
          </cell>
        </row>
        <row r="592">
          <cell r="A592">
            <v>81061</v>
          </cell>
          <cell r="B592" t="str">
            <v>CURVA 11G15' F0F0 JE DN 500</v>
          </cell>
          <cell r="C592" t="str">
            <v>UN</v>
          </cell>
          <cell r="D592">
            <v>668.45</v>
          </cell>
        </row>
        <row r="593">
          <cell r="A593">
            <v>81062</v>
          </cell>
          <cell r="B593" t="str">
            <v>CURVA 11G15' F0F0 JE DN 600</v>
          </cell>
          <cell r="C593" t="str">
            <v>UN</v>
          </cell>
          <cell r="D593">
            <v>961.99</v>
          </cell>
        </row>
        <row r="594">
          <cell r="A594">
            <v>81063</v>
          </cell>
          <cell r="B594" t="str">
            <v>CRUZETA F0F0 JE DN 50 X 50</v>
          </cell>
          <cell r="C594" t="str">
            <v>UN</v>
          </cell>
          <cell r="D594">
            <v>74.16</v>
          </cell>
        </row>
        <row r="595">
          <cell r="A595">
            <v>81064</v>
          </cell>
          <cell r="B595" t="str">
            <v>CRUZETA F0F0 JE DN 75 X 50</v>
          </cell>
          <cell r="C595" t="str">
            <v>UN</v>
          </cell>
          <cell r="D595">
            <v>106.08</v>
          </cell>
        </row>
        <row r="596">
          <cell r="A596">
            <v>81065</v>
          </cell>
          <cell r="B596" t="str">
            <v>CRUZETA F0F0 JE DN 75 X 75</v>
          </cell>
          <cell r="C596" t="str">
            <v>UN</v>
          </cell>
          <cell r="D596">
            <v>99.51</v>
          </cell>
        </row>
        <row r="597">
          <cell r="A597">
            <v>81066</v>
          </cell>
          <cell r="B597" t="str">
            <v>CRUZETA F0F0 JE DN 100 X 50</v>
          </cell>
          <cell r="C597" t="str">
            <v>UN</v>
          </cell>
          <cell r="D597">
            <v>102.18</v>
          </cell>
        </row>
        <row r="598">
          <cell r="A598">
            <v>81067</v>
          </cell>
          <cell r="B598" t="str">
            <v>CRUZETA F0F0 JE DN 100 X 75</v>
          </cell>
          <cell r="C598" t="str">
            <v>UN</v>
          </cell>
          <cell r="D598">
            <v>111.6</v>
          </cell>
        </row>
        <row r="599">
          <cell r="A599">
            <v>81068</v>
          </cell>
          <cell r="B599" t="str">
            <v>CRUZETA F0F0 JE DN 100 X 100</v>
          </cell>
          <cell r="C599" t="str">
            <v>UN</v>
          </cell>
          <cell r="D599">
            <v>131.53</v>
          </cell>
        </row>
        <row r="600">
          <cell r="A600">
            <v>81069</v>
          </cell>
          <cell r="B600" t="str">
            <v>CRUZETA F0F0 JE DN 150 X 50</v>
          </cell>
          <cell r="C600" t="str">
            <v>UN</v>
          </cell>
          <cell r="D600">
            <v>139.62</v>
          </cell>
        </row>
        <row r="601">
          <cell r="A601">
            <v>81070</v>
          </cell>
          <cell r="B601" t="str">
            <v>CRUZETA F0F0 JE DN 150 X 75</v>
          </cell>
          <cell r="C601" t="str">
            <v>UN</v>
          </cell>
          <cell r="D601">
            <v>195.77</v>
          </cell>
        </row>
        <row r="602">
          <cell r="A602">
            <v>81071</v>
          </cell>
          <cell r="B602" t="str">
            <v>CRUZETA F0F0 JE DN 150 X 100</v>
          </cell>
          <cell r="C602" t="str">
            <v>UN</v>
          </cell>
          <cell r="D602">
            <v>215.56</v>
          </cell>
        </row>
        <row r="603">
          <cell r="A603">
            <v>81072</v>
          </cell>
          <cell r="B603" t="str">
            <v>CRUZETA F0F0 JE DN 150 X 150</v>
          </cell>
          <cell r="C603" t="str">
            <v>UN</v>
          </cell>
          <cell r="D603">
            <v>281.58999999999997</v>
          </cell>
        </row>
        <row r="604">
          <cell r="A604">
            <v>81073</v>
          </cell>
          <cell r="B604" t="str">
            <v>CRUZETA F0F0 JE DN 200 X 50</v>
          </cell>
          <cell r="C604" t="str">
            <v>UN</v>
          </cell>
          <cell r="D604">
            <v>179.5</v>
          </cell>
        </row>
        <row r="605">
          <cell r="A605">
            <v>81074</v>
          </cell>
          <cell r="B605" t="str">
            <v>CRUZETA F0F0 JE DN 200 X 75</v>
          </cell>
          <cell r="C605" t="str">
            <v>UN</v>
          </cell>
          <cell r="D605">
            <v>244.85</v>
          </cell>
        </row>
        <row r="606">
          <cell r="A606">
            <v>81075</v>
          </cell>
          <cell r="B606" t="str">
            <v>CRUZETA F0F0 JE DN 200 X 100</v>
          </cell>
          <cell r="C606" t="str">
            <v>UN</v>
          </cell>
          <cell r="D606">
            <v>283.45999999999998</v>
          </cell>
        </row>
        <row r="607">
          <cell r="A607">
            <v>81076</v>
          </cell>
          <cell r="B607" t="str">
            <v>CRUZETA F0F0 JE DN 200 X 200</v>
          </cell>
          <cell r="C607" t="str">
            <v>UN</v>
          </cell>
          <cell r="D607">
            <v>379.78</v>
          </cell>
        </row>
        <row r="608">
          <cell r="A608">
            <v>81077</v>
          </cell>
          <cell r="B608" t="str">
            <v>CRUZETA F0F0 JE DN 250 X 50</v>
          </cell>
          <cell r="C608" t="str">
            <v>UN</v>
          </cell>
          <cell r="D608">
            <v>382.45</v>
          </cell>
        </row>
        <row r="609">
          <cell r="A609">
            <v>81078</v>
          </cell>
          <cell r="B609" t="str">
            <v>CRUZETA F0F0 JE DN 250 X 75</v>
          </cell>
          <cell r="C609" t="str">
            <v>UN</v>
          </cell>
          <cell r="D609">
            <v>402.65</v>
          </cell>
        </row>
        <row r="610">
          <cell r="A610">
            <v>81079</v>
          </cell>
          <cell r="B610" t="str">
            <v>CRUZETA F0F0 JE DN 250 X 100</v>
          </cell>
          <cell r="C610" t="str">
            <v>UN</v>
          </cell>
          <cell r="D610">
            <v>430.28</v>
          </cell>
        </row>
        <row r="611">
          <cell r="A611">
            <v>81080</v>
          </cell>
          <cell r="B611" t="str">
            <v>CRUZETA F0F0 JE DN 250 X 250</v>
          </cell>
          <cell r="C611" t="str">
            <v>UN</v>
          </cell>
          <cell r="D611">
            <v>505.21</v>
          </cell>
        </row>
        <row r="612">
          <cell r="A612">
            <v>81081</v>
          </cell>
          <cell r="B612" t="str">
            <v>CRUZETA F0F0 JE DN 300 X 75</v>
          </cell>
          <cell r="C612" t="str">
            <v>UN</v>
          </cell>
          <cell r="D612">
            <v>382.11</v>
          </cell>
        </row>
        <row r="613">
          <cell r="A613">
            <v>81082</v>
          </cell>
          <cell r="B613" t="str">
            <v>CRUZETA F0F0 JE DN 300 X 100</v>
          </cell>
          <cell r="C613" t="str">
            <v>UN</v>
          </cell>
          <cell r="D613">
            <v>408.56</v>
          </cell>
        </row>
        <row r="614">
          <cell r="A614">
            <v>81083</v>
          </cell>
          <cell r="B614" t="str">
            <v>CRUZETA F0F0 JE DN 300 X 200</v>
          </cell>
          <cell r="C614" t="str">
            <v>UN</v>
          </cell>
          <cell r="D614">
            <v>532.77</v>
          </cell>
        </row>
        <row r="615">
          <cell r="A615">
            <v>81084</v>
          </cell>
          <cell r="B615" t="str">
            <v>CRUZETA F0F0 JE DN 300 X 300</v>
          </cell>
          <cell r="C615" t="str">
            <v>UN</v>
          </cell>
          <cell r="D615">
            <v>663.03</v>
          </cell>
        </row>
        <row r="616">
          <cell r="A616">
            <v>81085</v>
          </cell>
          <cell r="B616" t="str">
            <v>CRUZETA F0F0 JE DN 400 X 75</v>
          </cell>
          <cell r="C616" t="str">
            <v>UN</v>
          </cell>
          <cell r="D616">
            <v>537.94000000000005</v>
          </cell>
        </row>
        <row r="617">
          <cell r="A617">
            <v>81086</v>
          </cell>
          <cell r="B617" t="str">
            <v>CRUZETA F0F0 JE DN 400 X 100</v>
          </cell>
          <cell r="C617" t="str">
            <v>UN</v>
          </cell>
          <cell r="D617">
            <v>710.62</v>
          </cell>
        </row>
        <row r="618">
          <cell r="A618">
            <v>81087</v>
          </cell>
          <cell r="B618" t="str">
            <v>CRUZETA F0F0 JE DN 400 X 200</v>
          </cell>
          <cell r="C618" t="str">
            <v>UN</v>
          </cell>
          <cell r="D618">
            <v>695.54</v>
          </cell>
        </row>
        <row r="619">
          <cell r="A619">
            <v>81088</v>
          </cell>
          <cell r="B619" t="str">
            <v>CRUZETA F0F0 JE DN 400 X 300</v>
          </cell>
          <cell r="C619" t="str">
            <v>UN</v>
          </cell>
          <cell r="D619">
            <v>1062.54</v>
          </cell>
        </row>
        <row r="620">
          <cell r="A620">
            <v>81089</v>
          </cell>
          <cell r="B620" t="str">
            <v>CRUZETA F0F0 JE DN 400 X 400</v>
          </cell>
          <cell r="C620" t="str">
            <v>UN</v>
          </cell>
          <cell r="D620">
            <v>1347.19</v>
          </cell>
        </row>
        <row r="621">
          <cell r="A621">
            <v>81090</v>
          </cell>
          <cell r="B621" t="str">
            <v>CRUZETA F0F0 JE DN 500 X 75</v>
          </cell>
          <cell r="C621" t="str">
            <v>UN</v>
          </cell>
          <cell r="D621">
            <v>1359.59</v>
          </cell>
        </row>
        <row r="622">
          <cell r="A622">
            <v>81091</v>
          </cell>
          <cell r="B622" t="str">
            <v>CRUZETA F0F0 JE DN 500 X 100</v>
          </cell>
          <cell r="C622" t="str">
            <v>UN</v>
          </cell>
          <cell r="D622">
            <v>981.91</v>
          </cell>
        </row>
        <row r="623">
          <cell r="A623">
            <v>81092</v>
          </cell>
          <cell r="B623" t="str">
            <v>CRUZETA F0F0 JE DN 500 X 200</v>
          </cell>
          <cell r="C623" t="str">
            <v>UN</v>
          </cell>
          <cell r="D623">
            <v>1099.8399999999999</v>
          </cell>
        </row>
        <row r="624">
          <cell r="A624">
            <v>81093</v>
          </cell>
          <cell r="B624" t="str">
            <v>CRUZETA F0F0 JE DN 500 X 300</v>
          </cell>
          <cell r="C624" t="str">
            <v>UN</v>
          </cell>
          <cell r="D624">
            <v>2288.48</v>
          </cell>
        </row>
        <row r="625">
          <cell r="A625">
            <v>81094</v>
          </cell>
          <cell r="B625" t="str">
            <v>CRUZETA F0F0 JE DN 500 X 500</v>
          </cell>
          <cell r="C625" t="str">
            <v>UN</v>
          </cell>
          <cell r="D625">
            <v>2684.96</v>
          </cell>
        </row>
        <row r="626">
          <cell r="A626">
            <v>81095</v>
          </cell>
          <cell r="B626" t="str">
            <v>CRUZETA F0F0 JE DN 600 X 75</v>
          </cell>
          <cell r="C626" t="str">
            <v>UN</v>
          </cell>
          <cell r="D626">
            <v>1706.2</v>
          </cell>
        </row>
        <row r="627">
          <cell r="A627">
            <v>81096</v>
          </cell>
          <cell r="B627" t="str">
            <v>CRUZETA F0F0 JE DN 600 X 100</v>
          </cell>
          <cell r="C627" t="str">
            <v>UN</v>
          </cell>
          <cell r="D627">
            <v>1785.85</v>
          </cell>
        </row>
        <row r="628">
          <cell r="A628">
            <v>81097</v>
          </cell>
          <cell r="B628" t="str">
            <v>CRUZETA F0F0 JE DN 600 X 200</v>
          </cell>
          <cell r="C628" t="str">
            <v>UN</v>
          </cell>
          <cell r="D628">
            <v>1961.55</v>
          </cell>
        </row>
        <row r="629">
          <cell r="A629">
            <v>81098</v>
          </cell>
          <cell r="B629" t="str">
            <v>CRUZETA F0F0 JE DN 600 X 300</v>
          </cell>
          <cell r="C629" t="str">
            <v>UN</v>
          </cell>
          <cell r="D629">
            <v>2554.61</v>
          </cell>
        </row>
        <row r="630">
          <cell r="A630">
            <v>81099</v>
          </cell>
          <cell r="B630" t="str">
            <v>CRUZETA F0F0 JE DN 600 X 400</v>
          </cell>
          <cell r="C630" t="str">
            <v>UN</v>
          </cell>
          <cell r="D630">
            <v>2762.66</v>
          </cell>
        </row>
        <row r="631">
          <cell r="A631">
            <v>81101</v>
          </cell>
          <cell r="B631" t="str">
            <v>CRUZETA F0F0 JE DN 600 X 600</v>
          </cell>
          <cell r="C631" t="str">
            <v>UN</v>
          </cell>
          <cell r="D631">
            <v>3395.17</v>
          </cell>
        </row>
        <row r="632">
          <cell r="A632">
            <v>81102</v>
          </cell>
          <cell r="B632" t="str">
            <v>TE F0F0 JE DN 50 X 50</v>
          </cell>
          <cell r="C632" t="str">
            <v>UN</v>
          </cell>
          <cell r="D632">
            <v>49.42</v>
          </cell>
        </row>
        <row r="633">
          <cell r="A633">
            <v>81103</v>
          </cell>
          <cell r="B633" t="str">
            <v>TE F0F0 JE DN 75 X 50</v>
          </cell>
          <cell r="C633" t="str">
            <v>UN</v>
          </cell>
          <cell r="D633">
            <v>59.21</v>
          </cell>
        </row>
        <row r="634">
          <cell r="A634">
            <v>81104</v>
          </cell>
          <cell r="B634" t="str">
            <v>TE F0F0 JE DN 75 X 75</v>
          </cell>
          <cell r="C634" t="str">
            <v>UN</v>
          </cell>
          <cell r="D634">
            <v>71.16</v>
          </cell>
        </row>
        <row r="635">
          <cell r="A635">
            <v>81105</v>
          </cell>
          <cell r="B635" t="str">
            <v>TE F0F0 JE DN 100 X 50</v>
          </cell>
          <cell r="C635" t="str">
            <v>UN</v>
          </cell>
          <cell r="D635">
            <v>101.33</v>
          </cell>
        </row>
        <row r="636">
          <cell r="A636">
            <v>81106</v>
          </cell>
          <cell r="B636" t="str">
            <v>TE F0F0 JE DN 100 X 75</v>
          </cell>
          <cell r="C636" t="str">
            <v>UN</v>
          </cell>
          <cell r="D636">
            <v>106.39</v>
          </cell>
        </row>
        <row r="637">
          <cell r="A637">
            <v>81107</v>
          </cell>
          <cell r="B637" t="str">
            <v>TE F0F0 JE DN 100 X 100</v>
          </cell>
          <cell r="C637" t="str">
            <v>UN</v>
          </cell>
          <cell r="D637">
            <v>117.33</v>
          </cell>
        </row>
        <row r="638">
          <cell r="A638">
            <v>81108</v>
          </cell>
          <cell r="B638" t="str">
            <v>TE F0F0 JE DN 150 X 50</v>
          </cell>
          <cell r="C638" t="str">
            <v>UN</v>
          </cell>
          <cell r="D638">
            <v>138.13999999999999</v>
          </cell>
        </row>
        <row r="639">
          <cell r="A639">
            <v>81109</v>
          </cell>
          <cell r="B639" t="str">
            <v>TE F0F0 JE DN 150 X 75</v>
          </cell>
          <cell r="C639" t="str">
            <v>UN</v>
          </cell>
          <cell r="D639">
            <v>143.34</v>
          </cell>
        </row>
        <row r="640">
          <cell r="A640">
            <v>81110</v>
          </cell>
          <cell r="B640" t="str">
            <v>TE F0F0 JE DN 150 X 100</v>
          </cell>
          <cell r="C640" t="str">
            <v>UN</v>
          </cell>
          <cell r="D640">
            <v>156.41999999999999</v>
          </cell>
        </row>
        <row r="641">
          <cell r="A641">
            <v>81111</v>
          </cell>
          <cell r="B641" t="str">
            <v>TE F0F0 JE DN 150 X 150</v>
          </cell>
          <cell r="C641" t="str">
            <v>UN</v>
          </cell>
          <cell r="D641">
            <v>185.68</v>
          </cell>
        </row>
        <row r="642">
          <cell r="A642">
            <v>81112</v>
          </cell>
          <cell r="B642" t="str">
            <v>TE F0F0 JE DN 200 X 50</v>
          </cell>
          <cell r="C642" t="str">
            <v>UN</v>
          </cell>
          <cell r="D642">
            <v>170.1</v>
          </cell>
        </row>
        <row r="643">
          <cell r="A643">
            <v>81113</v>
          </cell>
          <cell r="B643" t="str">
            <v>TE F0F0 JE DN 200 X 75</v>
          </cell>
          <cell r="C643" t="str">
            <v>UN</v>
          </cell>
          <cell r="D643">
            <v>189.81</v>
          </cell>
        </row>
        <row r="644">
          <cell r="A644">
            <v>81114</v>
          </cell>
          <cell r="B644" t="str">
            <v>TE F0F0 JE DN 200 X 100</v>
          </cell>
          <cell r="C644" t="str">
            <v>UN</v>
          </cell>
          <cell r="D644">
            <v>215.91</v>
          </cell>
        </row>
        <row r="645">
          <cell r="A645">
            <v>81115</v>
          </cell>
          <cell r="B645" t="str">
            <v>TE F0F0 JE DN 200 X 200</v>
          </cell>
          <cell r="C645" t="str">
            <v>UN</v>
          </cell>
          <cell r="D645">
            <v>287.35000000000002</v>
          </cell>
        </row>
        <row r="646">
          <cell r="A646">
            <v>81116</v>
          </cell>
          <cell r="B646" t="str">
            <v>TE F0F0 JE DN 250 X 50</v>
          </cell>
          <cell r="C646" t="str">
            <v>UN</v>
          </cell>
          <cell r="D646">
            <v>285.87</v>
          </cell>
        </row>
        <row r="647">
          <cell r="A647">
            <v>81117</v>
          </cell>
          <cell r="B647" t="str">
            <v>TE F0F0 JE DN 250 X 75</v>
          </cell>
          <cell r="C647" t="str">
            <v>UN</v>
          </cell>
          <cell r="D647">
            <v>278.77999999999997</v>
          </cell>
        </row>
        <row r="648">
          <cell r="A648">
            <v>81118</v>
          </cell>
          <cell r="B648" t="str">
            <v>TE F0F0 JE DN 250 X 100</v>
          </cell>
          <cell r="C648" t="str">
            <v>UN</v>
          </cell>
          <cell r="D648">
            <v>324.17</v>
          </cell>
        </row>
        <row r="649">
          <cell r="A649">
            <v>81119</v>
          </cell>
          <cell r="B649" t="str">
            <v>TE F0F0 JE DN 250 X 250</v>
          </cell>
          <cell r="C649" t="str">
            <v>UN</v>
          </cell>
          <cell r="D649">
            <v>433.06</v>
          </cell>
        </row>
        <row r="650">
          <cell r="A650">
            <v>81120</v>
          </cell>
          <cell r="B650" t="str">
            <v>TE F0F0 JE DN 300 X 75</v>
          </cell>
          <cell r="C650" t="str">
            <v>UN</v>
          </cell>
          <cell r="D650">
            <v>370.42</v>
          </cell>
        </row>
        <row r="651">
          <cell r="A651">
            <v>81121</v>
          </cell>
          <cell r="B651" t="str">
            <v>TE F0F0 JE DN 300 X 100</v>
          </cell>
          <cell r="C651" t="str">
            <v>UN</v>
          </cell>
          <cell r="D651">
            <v>395.25</v>
          </cell>
        </row>
        <row r="652">
          <cell r="A652">
            <v>81122</v>
          </cell>
          <cell r="B652" t="str">
            <v>TE F0F0 JE DN 300 X 150</v>
          </cell>
          <cell r="C652" t="str">
            <v>UN</v>
          </cell>
          <cell r="D652">
            <v>430.06</v>
          </cell>
        </row>
        <row r="653">
          <cell r="A653">
            <v>81123</v>
          </cell>
          <cell r="B653" t="str">
            <v>TE F0F0 JE DN 300 X 200</v>
          </cell>
          <cell r="C653" t="str">
            <v>UN</v>
          </cell>
          <cell r="D653">
            <v>472.02</v>
          </cell>
        </row>
        <row r="654">
          <cell r="A654">
            <v>81124</v>
          </cell>
          <cell r="B654" t="str">
            <v>TE F0F0 JE DN 300 X 250</v>
          </cell>
          <cell r="C654" t="str">
            <v>UN</v>
          </cell>
          <cell r="D654">
            <v>506.23</v>
          </cell>
        </row>
        <row r="655">
          <cell r="A655">
            <v>81125</v>
          </cell>
          <cell r="B655" t="str">
            <v>TE F0F0 JE DN 300 X 300</v>
          </cell>
          <cell r="C655" t="str">
            <v>UN</v>
          </cell>
          <cell r="D655">
            <v>582.89</v>
          </cell>
        </row>
        <row r="656">
          <cell r="A656">
            <v>81126</v>
          </cell>
          <cell r="B656" t="str">
            <v>TE F0F0 JE DN 400 X 75</v>
          </cell>
          <cell r="C656" t="str">
            <v>UN</v>
          </cell>
          <cell r="D656">
            <v>528.96</v>
          </cell>
        </row>
        <row r="657">
          <cell r="A657">
            <v>81127</v>
          </cell>
          <cell r="B657" t="str">
            <v>TE F0F0 JE DN 400 X 100</v>
          </cell>
          <cell r="C657" t="str">
            <v>UN</v>
          </cell>
          <cell r="D657">
            <v>549.65</v>
          </cell>
        </row>
        <row r="658">
          <cell r="A658">
            <v>81128</v>
          </cell>
          <cell r="B658" t="str">
            <v>TE F0F0 JE DN 400 X 200</v>
          </cell>
          <cell r="C658" t="str">
            <v>UN</v>
          </cell>
          <cell r="D658">
            <v>661.3</v>
          </cell>
        </row>
        <row r="659">
          <cell r="A659">
            <v>81129</v>
          </cell>
          <cell r="B659" t="str">
            <v>TE F0F0 JE DN 400 X 300</v>
          </cell>
          <cell r="C659" t="str">
            <v>UN</v>
          </cell>
          <cell r="D659">
            <v>752.74</v>
          </cell>
        </row>
        <row r="660">
          <cell r="A660">
            <v>81130</v>
          </cell>
          <cell r="B660" t="str">
            <v>TE F0F0 JE DN 400 X 400</v>
          </cell>
          <cell r="C660" t="str">
            <v>UN</v>
          </cell>
          <cell r="D660">
            <v>866.47</v>
          </cell>
        </row>
        <row r="661">
          <cell r="A661">
            <v>81131</v>
          </cell>
          <cell r="B661" t="str">
            <v>TE F0F0 JE DN 500 X 100</v>
          </cell>
          <cell r="C661" t="str">
            <v>UN</v>
          </cell>
          <cell r="D661">
            <v>743.83</v>
          </cell>
        </row>
        <row r="662">
          <cell r="A662">
            <v>81132</v>
          </cell>
          <cell r="B662" t="str">
            <v>TE F0F0 JE DN 500 X 200</v>
          </cell>
          <cell r="C662" t="str">
            <v>UN</v>
          </cell>
          <cell r="D662">
            <v>844.5</v>
          </cell>
        </row>
        <row r="663">
          <cell r="A663">
            <v>81133</v>
          </cell>
          <cell r="B663" t="str">
            <v>TE F0F0 JE DN 500 X 300</v>
          </cell>
          <cell r="C663" t="str">
            <v>UN</v>
          </cell>
          <cell r="D663">
            <v>1639</v>
          </cell>
        </row>
        <row r="664">
          <cell r="A664">
            <v>81134</v>
          </cell>
          <cell r="B664" t="str">
            <v>TE F0F0 JE DN 500 X 500</v>
          </cell>
          <cell r="C664" t="str">
            <v>UN</v>
          </cell>
          <cell r="D664">
            <v>1911.33</v>
          </cell>
        </row>
        <row r="665">
          <cell r="A665">
            <v>81135</v>
          </cell>
          <cell r="B665" t="str">
            <v>TE F0F0 JE DN 600 X 100</v>
          </cell>
          <cell r="C665" t="str">
            <v>UN</v>
          </cell>
          <cell r="D665">
            <v>1492.11</v>
          </cell>
        </row>
        <row r="666">
          <cell r="A666">
            <v>81136</v>
          </cell>
          <cell r="B666" t="str">
            <v>TE F0F0 JE DN 600 X 200</v>
          </cell>
          <cell r="C666" t="str">
            <v>UN</v>
          </cell>
          <cell r="D666">
            <v>1601.31</v>
          </cell>
        </row>
        <row r="667">
          <cell r="A667">
            <v>81137</v>
          </cell>
          <cell r="B667" t="str">
            <v>TE F0F0 JE DN 600 X 300</v>
          </cell>
          <cell r="C667" t="str">
            <v>UN</v>
          </cell>
          <cell r="D667">
            <v>2068.9699999999998</v>
          </cell>
        </row>
        <row r="668">
          <cell r="A668">
            <v>81138</v>
          </cell>
          <cell r="B668" t="str">
            <v>TE F0F0 JE DN 600 X 400</v>
          </cell>
          <cell r="C668" t="str">
            <v>UN</v>
          </cell>
          <cell r="D668">
            <v>2211.44</v>
          </cell>
        </row>
        <row r="669">
          <cell r="A669">
            <v>81139</v>
          </cell>
          <cell r="B669" t="str">
            <v>TE F0F0 JE DN 600 X 600</v>
          </cell>
          <cell r="C669" t="str">
            <v>UN</v>
          </cell>
          <cell r="D669">
            <v>2402.54</v>
          </cell>
        </row>
        <row r="670">
          <cell r="A670">
            <v>81140</v>
          </cell>
          <cell r="B670" t="str">
            <v>TE F0F0 JE E FLANGE DN 50 X 50</v>
          </cell>
          <cell r="C670" t="str">
            <v>UN</v>
          </cell>
          <cell r="D670">
            <v>66.540000000000006</v>
          </cell>
        </row>
        <row r="671">
          <cell r="A671">
            <v>81141</v>
          </cell>
          <cell r="B671" t="str">
            <v>TE F0F0 JE E FLANGE DN 75 X 50</v>
          </cell>
          <cell r="C671" t="str">
            <v>UN</v>
          </cell>
          <cell r="D671">
            <v>81.14</v>
          </cell>
        </row>
        <row r="672">
          <cell r="A672">
            <v>81142</v>
          </cell>
          <cell r="B672" t="str">
            <v>TE F0F0 JE E FLANGE DN 75 X 75</v>
          </cell>
          <cell r="C672" t="str">
            <v>UN</v>
          </cell>
          <cell r="D672">
            <v>91.65</v>
          </cell>
        </row>
        <row r="673">
          <cell r="A673">
            <v>81143</v>
          </cell>
          <cell r="B673" t="str">
            <v>TE F0F0 JE E FLANGE DN 100 X 50</v>
          </cell>
          <cell r="C673" t="str">
            <v>UN</v>
          </cell>
          <cell r="D673">
            <v>85.54</v>
          </cell>
        </row>
        <row r="674">
          <cell r="A674">
            <v>81144</v>
          </cell>
          <cell r="B674" t="str">
            <v>TE F0F0 JE E FLANGE DN 150 X 50</v>
          </cell>
          <cell r="C674" t="str">
            <v>UN</v>
          </cell>
          <cell r="D674">
            <v>144.37</v>
          </cell>
        </row>
        <row r="675">
          <cell r="A675">
            <v>81145</v>
          </cell>
          <cell r="B675" t="str">
            <v>TE F0F0 JE E FLANGE DN 150 X 75</v>
          </cell>
          <cell r="C675" t="str">
            <v>UN</v>
          </cell>
          <cell r="D675">
            <v>143.03</v>
          </cell>
        </row>
        <row r="676">
          <cell r="A676">
            <v>81146</v>
          </cell>
          <cell r="B676" t="str">
            <v>TE F0F0 JE E FLANGE DN 200 X 50</v>
          </cell>
          <cell r="C676" t="str">
            <v>UN</v>
          </cell>
          <cell r="D676">
            <v>189.06</v>
          </cell>
        </row>
        <row r="677">
          <cell r="A677">
            <v>81147</v>
          </cell>
          <cell r="B677" t="str">
            <v>TE F0F0 JE E FLANGE DN 200 X 75</v>
          </cell>
          <cell r="C677" t="str">
            <v>UN</v>
          </cell>
          <cell r="D677">
            <v>195.67</v>
          </cell>
        </row>
        <row r="678">
          <cell r="A678">
            <v>81148</v>
          </cell>
          <cell r="B678" t="str">
            <v>TE F0F0 JE E FLANGE DN 200 X 100</v>
          </cell>
          <cell r="C678" t="str">
            <v>UN</v>
          </cell>
          <cell r="D678">
            <v>209.19</v>
          </cell>
        </row>
        <row r="679">
          <cell r="A679">
            <v>81149</v>
          </cell>
          <cell r="B679" t="str">
            <v>TE F0F0 JE E FLANGE DN 250 X 50</v>
          </cell>
          <cell r="C679" t="str">
            <v>UN</v>
          </cell>
          <cell r="D679">
            <v>236.52</v>
          </cell>
        </row>
        <row r="680">
          <cell r="A680">
            <v>81150</v>
          </cell>
          <cell r="B680" t="str">
            <v>TE F0F0 JE E FLANGE DN 250 X 75</v>
          </cell>
          <cell r="C680" t="str">
            <v>UN</v>
          </cell>
          <cell r="D680">
            <v>293.44</v>
          </cell>
        </row>
        <row r="681">
          <cell r="A681">
            <v>81151</v>
          </cell>
          <cell r="B681" t="str">
            <v>TE F0F0 JE E FLANGE DN 250 X 100</v>
          </cell>
          <cell r="C681" t="str">
            <v>UN</v>
          </cell>
          <cell r="D681">
            <v>343.22</v>
          </cell>
        </row>
        <row r="682">
          <cell r="A682">
            <v>81152</v>
          </cell>
          <cell r="B682" t="str">
            <v>TE F0F0 JE E FLANGE DN 300 X 100</v>
          </cell>
          <cell r="C682" t="str">
            <v>UN</v>
          </cell>
          <cell r="D682">
            <v>407.8</v>
          </cell>
        </row>
        <row r="683">
          <cell r="A683">
            <v>81153</v>
          </cell>
          <cell r="B683" t="str">
            <v>TE F0F0 JE E FLANGE DN 300 X 200</v>
          </cell>
          <cell r="C683" t="str">
            <v>UN</v>
          </cell>
          <cell r="D683">
            <v>506.68</v>
          </cell>
        </row>
        <row r="684">
          <cell r="A684">
            <v>81154</v>
          </cell>
          <cell r="B684" t="str">
            <v>TE F0F0 JE E FLANGE DN 300 X 300</v>
          </cell>
          <cell r="C684" t="str">
            <v>UN</v>
          </cell>
          <cell r="D684">
            <v>646.78</v>
          </cell>
        </row>
        <row r="685">
          <cell r="A685">
            <v>81155</v>
          </cell>
          <cell r="B685" t="str">
            <v>TE F0F0 JE E FLANGE DN 400 X 100</v>
          </cell>
          <cell r="C685" t="str">
            <v>UN</v>
          </cell>
          <cell r="D685">
            <v>1199.28</v>
          </cell>
        </row>
        <row r="686">
          <cell r="A686">
            <v>81156</v>
          </cell>
          <cell r="B686" t="str">
            <v>TE F0F0 JE E FLANGE DN 400 X 200</v>
          </cell>
          <cell r="C686" t="str">
            <v>UN</v>
          </cell>
          <cell r="D686">
            <v>693.94</v>
          </cell>
        </row>
        <row r="687">
          <cell r="A687">
            <v>81157</v>
          </cell>
          <cell r="B687" t="str">
            <v>TE F0F0 JE E FLANGE DN 400 X 300</v>
          </cell>
          <cell r="C687" t="str">
            <v>UN</v>
          </cell>
          <cell r="D687">
            <v>1298.07</v>
          </cell>
        </row>
        <row r="688">
          <cell r="A688">
            <v>81158</v>
          </cell>
          <cell r="B688" t="str">
            <v>TE F0F0 JE E FLANGE DN 400 X 400</v>
          </cell>
          <cell r="C688" t="str">
            <v>UN</v>
          </cell>
          <cell r="D688">
            <v>1671.43</v>
          </cell>
        </row>
        <row r="689">
          <cell r="A689">
            <v>81159</v>
          </cell>
          <cell r="B689" t="str">
            <v>TE F0F0 JE E FLANGE DN 500 X 100</v>
          </cell>
          <cell r="C689" t="str">
            <v>UN</v>
          </cell>
          <cell r="D689">
            <v>834.99</v>
          </cell>
        </row>
        <row r="690">
          <cell r="A690">
            <v>81160</v>
          </cell>
          <cell r="B690" t="str">
            <v>TE F0F0 JE E FLANGE DN 500 X 200</v>
          </cell>
          <cell r="C690" t="str">
            <v>UN</v>
          </cell>
          <cell r="D690">
            <v>893.83</v>
          </cell>
        </row>
        <row r="691">
          <cell r="A691">
            <v>81161</v>
          </cell>
          <cell r="B691" t="str">
            <v>TE F0F0 JE E FLANGE DN 500 X 300</v>
          </cell>
          <cell r="C691" t="str">
            <v>UN</v>
          </cell>
          <cell r="D691">
            <v>1715.02</v>
          </cell>
        </row>
        <row r="692">
          <cell r="A692">
            <v>81162</v>
          </cell>
          <cell r="B692" t="str">
            <v>TE F0F0 JE E FLANGE DN 500 X 500</v>
          </cell>
          <cell r="C692" t="str">
            <v>UN</v>
          </cell>
          <cell r="D692">
            <v>2210.2399999999998</v>
          </cell>
        </row>
        <row r="693">
          <cell r="A693">
            <v>81163</v>
          </cell>
          <cell r="B693" t="str">
            <v>TE F0F0 JE E FLANGE DN 600 X 100</v>
          </cell>
          <cell r="C693" t="str">
            <v>UN</v>
          </cell>
          <cell r="D693">
            <v>1512.2</v>
          </cell>
        </row>
        <row r="694">
          <cell r="A694">
            <v>81164</v>
          </cell>
          <cell r="B694" t="str">
            <v>TE F0F0 JE E FLANGE DN 600 X 200</v>
          </cell>
          <cell r="C694" t="str">
            <v>UN</v>
          </cell>
          <cell r="D694">
            <v>1663.61</v>
          </cell>
        </row>
        <row r="695">
          <cell r="A695">
            <v>81165</v>
          </cell>
          <cell r="B695" t="str">
            <v>TE F0F0 JE E FLANGE DN 600 X 400</v>
          </cell>
          <cell r="C695" t="str">
            <v>UN</v>
          </cell>
          <cell r="D695">
            <v>2331.2199999999998</v>
          </cell>
        </row>
        <row r="696">
          <cell r="A696">
            <v>81166</v>
          </cell>
          <cell r="B696" t="str">
            <v>TE F0F0 JE E FLANGE DN 600 X 600</v>
          </cell>
          <cell r="C696" t="str">
            <v>UN</v>
          </cell>
          <cell r="D696">
            <v>2779.04</v>
          </cell>
        </row>
        <row r="697">
          <cell r="A697">
            <v>81167</v>
          </cell>
          <cell r="B697" t="str">
            <v>REDUCAO F0F0 PB JE DN 75 X 50</v>
          </cell>
          <cell r="C697" t="str">
            <v>UN</v>
          </cell>
          <cell r="D697">
            <v>29.73</v>
          </cell>
        </row>
        <row r="698">
          <cell r="A698">
            <v>81168</v>
          </cell>
          <cell r="B698" t="str">
            <v>REDUCAO F0F0 PB JE DN 100 X 50</v>
          </cell>
          <cell r="C698" t="str">
            <v>UN</v>
          </cell>
          <cell r="D698">
            <v>33.79</v>
          </cell>
        </row>
        <row r="699">
          <cell r="A699">
            <v>81169</v>
          </cell>
          <cell r="B699" t="str">
            <v>REDUCAO F0F0 PB JE DN 100 X 75</v>
          </cell>
          <cell r="C699" t="str">
            <v>UN</v>
          </cell>
          <cell r="D699">
            <v>38.26</v>
          </cell>
        </row>
        <row r="700">
          <cell r="A700">
            <v>81170</v>
          </cell>
          <cell r="B700" t="str">
            <v>REDUCAO F0F0 PB JE DN 150 X 75</v>
          </cell>
          <cell r="C700" t="str">
            <v>UN</v>
          </cell>
          <cell r="D700">
            <v>64.05</v>
          </cell>
        </row>
        <row r="701">
          <cell r="A701">
            <v>81171</v>
          </cell>
          <cell r="B701" t="str">
            <v>REDUCAO F0F0 PB JE DN 150 X 100</v>
          </cell>
          <cell r="C701" t="str">
            <v>UN</v>
          </cell>
          <cell r="D701">
            <v>68.66</v>
          </cell>
        </row>
        <row r="702">
          <cell r="A702">
            <v>81172</v>
          </cell>
          <cell r="B702" t="str">
            <v>REDUCAO F0F0 PB JE DN 200 X 100</v>
          </cell>
          <cell r="C702" t="str">
            <v>UN</v>
          </cell>
          <cell r="D702">
            <v>110.51</v>
          </cell>
        </row>
        <row r="703">
          <cell r="A703">
            <v>81173</v>
          </cell>
          <cell r="B703" t="str">
            <v>REDUCAO F0F0 PB JE DN 200 X 150</v>
          </cell>
          <cell r="C703" t="str">
            <v>UN</v>
          </cell>
          <cell r="D703">
            <v>127.42</v>
          </cell>
        </row>
        <row r="704">
          <cell r="A704">
            <v>81174</v>
          </cell>
          <cell r="B704" t="str">
            <v>REDUCAO F0F0 PB JE DN 250 X 100</v>
          </cell>
          <cell r="C704" t="str">
            <v>UN</v>
          </cell>
          <cell r="D704">
            <v>171.72</v>
          </cell>
        </row>
        <row r="705">
          <cell r="A705">
            <v>81175</v>
          </cell>
          <cell r="B705" t="str">
            <v>REDUCAO F0F0 PB JE DN 250 X 150</v>
          </cell>
          <cell r="C705" t="str">
            <v>UN</v>
          </cell>
          <cell r="D705">
            <v>170.1</v>
          </cell>
        </row>
        <row r="706">
          <cell r="A706">
            <v>81176</v>
          </cell>
          <cell r="B706" t="str">
            <v>REDUCAO F0F0 PB JE DN 250 X 200</v>
          </cell>
          <cell r="C706" t="str">
            <v>UN</v>
          </cell>
          <cell r="D706">
            <v>141.76</v>
          </cell>
        </row>
        <row r="707">
          <cell r="A707">
            <v>81177</v>
          </cell>
          <cell r="B707" t="str">
            <v>REDUCAO F0F0 PB JE DN 300 X 150</v>
          </cell>
          <cell r="C707" t="str">
            <v>UN</v>
          </cell>
          <cell r="D707">
            <v>223.16</v>
          </cell>
        </row>
        <row r="708">
          <cell r="A708">
            <v>81178</v>
          </cell>
          <cell r="B708" t="str">
            <v>REDUCAO F0F0 PB JE DN 300 X 200</v>
          </cell>
          <cell r="C708" t="str">
            <v>UN</v>
          </cell>
          <cell r="D708">
            <v>220.54</v>
          </cell>
        </row>
        <row r="709">
          <cell r="A709">
            <v>81179</v>
          </cell>
          <cell r="B709" t="str">
            <v>REDUCAO F0F0 PB JE DN 300 X 250</v>
          </cell>
          <cell r="C709" t="str">
            <v>UN</v>
          </cell>
          <cell r="D709">
            <v>210.74</v>
          </cell>
        </row>
        <row r="710">
          <cell r="A710">
            <v>81180</v>
          </cell>
          <cell r="B710" t="str">
            <v>REDUCAO F0F0 PB JE DN 400 X 250</v>
          </cell>
          <cell r="C710" t="str">
            <v>UN</v>
          </cell>
          <cell r="D710">
            <v>376.2</v>
          </cell>
        </row>
        <row r="711">
          <cell r="A711">
            <v>81181</v>
          </cell>
          <cell r="B711" t="str">
            <v>REDUCAO F0F0 PB JE DN 400 X 300</v>
          </cell>
          <cell r="C711" t="str">
            <v>UN</v>
          </cell>
          <cell r="D711">
            <v>332.13</v>
          </cell>
        </row>
        <row r="712">
          <cell r="A712">
            <v>81182</v>
          </cell>
          <cell r="B712" t="str">
            <v>REDUCAO F0F0 PB JE DN 400 X 350</v>
          </cell>
          <cell r="C712" t="str">
            <v>UN</v>
          </cell>
          <cell r="D712">
            <v>348.33</v>
          </cell>
        </row>
        <row r="713">
          <cell r="A713">
            <v>81183</v>
          </cell>
          <cell r="B713" t="str">
            <v>REDUCAO F0F0 PB JE DN 500 X 400</v>
          </cell>
          <cell r="C713" t="str">
            <v>UN</v>
          </cell>
          <cell r="D713">
            <v>480.09</v>
          </cell>
        </row>
        <row r="714">
          <cell r="A714">
            <v>81184</v>
          </cell>
          <cell r="B714" t="str">
            <v>REDUCAO F0F0 PB JE DN 600 X 400</v>
          </cell>
          <cell r="C714" t="str">
            <v>UN</v>
          </cell>
          <cell r="D714">
            <v>923.74</v>
          </cell>
        </row>
        <row r="715">
          <cell r="A715">
            <v>81185</v>
          </cell>
          <cell r="B715" t="str">
            <v>REDUCAO F0F0 PB JE DN 600 X 500</v>
          </cell>
          <cell r="C715" t="str">
            <v>UN</v>
          </cell>
          <cell r="D715">
            <v>1116.93</v>
          </cell>
        </row>
        <row r="716">
          <cell r="A716">
            <v>81186</v>
          </cell>
          <cell r="B716" t="str">
            <v>LUVA F0F0 JE DN 50</v>
          </cell>
          <cell r="C716" t="str">
            <v>UN</v>
          </cell>
          <cell r="D716">
            <v>37.58</v>
          </cell>
        </row>
        <row r="717">
          <cell r="A717">
            <v>81187</v>
          </cell>
          <cell r="B717" t="str">
            <v>LUVA F0F0 JE DN 75</v>
          </cell>
          <cell r="C717" t="str">
            <v>UN</v>
          </cell>
          <cell r="D717">
            <v>50.17</v>
          </cell>
        </row>
        <row r="718">
          <cell r="A718">
            <v>81188</v>
          </cell>
          <cell r="B718" t="str">
            <v>LUVA F0F0 JE DN 100</v>
          </cell>
          <cell r="C718" t="str">
            <v>UN</v>
          </cell>
          <cell r="D718">
            <v>72.459999999999994</v>
          </cell>
        </row>
        <row r="719">
          <cell r="A719">
            <v>81189</v>
          </cell>
          <cell r="B719" t="str">
            <v>LUVA F0F0 JE DN 150</v>
          </cell>
          <cell r="C719" t="str">
            <v>UN</v>
          </cell>
          <cell r="D719">
            <v>126.32</v>
          </cell>
        </row>
        <row r="720">
          <cell r="A720">
            <v>81190</v>
          </cell>
          <cell r="B720" t="str">
            <v>LUVA F0F0 JE DN 200</v>
          </cell>
          <cell r="C720" t="str">
            <v>UN</v>
          </cell>
          <cell r="D720">
            <v>163.92</v>
          </cell>
        </row>
        <row r="721">
          <cell r="A721">
            <v>81191</v>
          </cell>
          <cell r="B721" t="str">
            <v>LUVA F0F0 JE DN 250</v>
          </cell>
          <cell r="C721" t="str">
            <v>UN</v>
          </cell>
          <cell r="D721">
            <v>210.66</v>
          </cell>
        </row>
        <row r="722">
          <cell r="A722">
            <v>81192</v>
          </cell>
          <cell r="B722" t="str">
            <v>LUVA F0F0 JE DN 300</v>
          </cell>
          <cell r="C722" t="str">
            <v>UN</v>
          </cell>
          <cell r="D722">
            <v>291.94</v>
          </cell>
        </row>
        <row r="723">
          <cell r="A723">
            <v>81193</v>
          </cell>
          <cell r="B723" t="str">
            <v>LUVA F0F0 JE DN 400</v>
          </cell>
          <cell r="C723" t="str">
            <v>UN</v>
          </cell>
          <cell r="D723">
            <v>517.03</v>
          </cell>
        </row>
        <row r="724">
          <cell r="A724">
            <v>81194</v>
          </cell>
          <cell r="B724" t="str">
            <v>LUVA F0F0 JE DN 500</v>
          </cell>
          <cell r="C724" t="str">
            <v>UN</v>
          </cell>
          <cell r="D724">
            <v>671.02</v>
          </cell>
        </row>
        <row r="725">
          <cell r="A725">
            <v>81195</v>
          </cell>
          <cell r="B725" t="str">
            <v>LUVA F0F0 JE DN 600</v>
          </cell>
          <cell r="C725" t="str">
            <v>UN</v>
          </cell>
          <cell r="D725">
            <v>995.64</v>
          </cell>
        </row>
        <row r="726">
          <cell r="A726">
            <v>81196</v>
          </cell>
          <cell r="B726" t="str">
            <v>CAP F0F0 JE DN 50</v>
          </cell>
          <cell r="C726" t="str">
            <v>UN</v>
          </cell>
          <cell r="D726">
            <v>14.98</v>
          </cell>
        </row>
        <row r="727">
          <cell r="A727">
            <v>81197</v>
          </cell>
          <cell r="B727" t="str">
            <v>CAP F0F0 JE DN 75</v>
          </cell>
          <cell r="C727" t="str">
            <v>UN</v>
          </cell>
          <cell r="D727">
            <v>22.02</v>
          </cell>
        </row>
        <row r="728">
          <cell r="A728">
            <v>81198</v>
          </cell>
          <cell r="B728" t="str">
            <v>CAP F0F0 JE DN 100</v>
          </cell>
          <cell r="C728" t="str">
            <v>UN</v>
          </cell>
          <cell r="D728">
            <v>31.82</v>
          </cell>
        </row>
        <row r="729">
          <cell r="A729">
            <v>81199</v>
          </cell>
          <cell r="B729" t="str">
            <v>CAP F0F0 JE DN 150</v>
          </cell>
          <cell r="C729" t="str">
            <v>UN</v>
          </cell>
          <cell r="D729">
            <v>55.55</v>
          </cell>
        </row>
        <row r="730">
          <cell r="A730">
            <v>81201</v>
          </cell>
          <cell r="B730" t="str">
            <v>CAP F0F0 JE DN 200</v>
          </cell>
          <cell r="C730" t="str">
            <v>UN</v>
          </cell>
          <cell r="D730">
            <v>87.79</v>
          </cell>
        </row>
        <row r="731">
          <cell r="A731">
            <v>81202</v>
          </cell>
          <cell r="B731" t="str">
            <v>CAP F0F0 JE DN 250</v>
          </cell>
          <cell r="C731" t="str">
            <v>UN</v>
          </cell>
          <cell r="D731">
            <v>127.24</v>
          </cell>
        </row>
        <row r="732">
          <cell r="A732">
            <v>81203</v>
          </cell>
          <cell r="B732" t="str">
            <v>CAP F0F0 JE DN 300</v>
          </cell>
          <cell r="C732" t="str">
            <v>UN</v>
          </cell>
          <cell r="D732">
            <v>217.31</v>
          </cell>
        </row>
        <row r="733">
          <cell r="A733">
            <v>81204</v>
          </cell>
          <cell r="B733" t="str">
            <v>CAP F0F0 JE DN 400</v>
          </cell>
          <cell r="C733" t="str">
            <v>UN</v>
          </cell>
          <cell r="D733">
            <v>368.47</v>
          </cell>
        </row>
        <row r="734">
          <cell r="A734">
            <v>81205</v>
          </cell>
          <cell r="B734" t="str">
            <v>CAP F0F0 JE DN 500</v>
          </cell>
          <cell r="C734" t="str">
            <v>UN</v>
          </cell>
          <cell r="D734">
            <v>512.89</v>
          </cell>
        </row>
        <row r="735">
          <cell r="A735">
            <v>81206</v>
          </cell>
          <cell r="B735" t="str">
            <v>CAP F0F0 JE DN 600</v>
          </cell>
          <cell r="C735" t="str">
            <v>UN</v>
          </cell>
          <cell r="D735">
            <v>736.87</v>
          </cell>
        </row>
        <row r="736">
          <cell r="A736">
            <v>81207</v>
          </cell>
          <cell r="B736" t="str">
            <v>EXTREMIDADE F0F0 FLANGE E JE DN 50</v>
          </cell>
          <cell r="C736" t="str">
            <v>UN</v>
          </cell>
          <cell r="D736">
            <v>40.159999999999997</v>
          </cell>
        </row>
        <row r="737">
          <cell r="A737">
            <v>81208</v>
          </cell>
          <cell r="B737" t="str">
            <v>EXTREMIDADE F0F0 FLANGE E JE DN 75</v>
          </cell>
          <cell r="C737" t="str">
            <v>UN</v>
          </cell>
          <cell r="D737">
            <v>58.58</v>
          </cell>
        </row>
        <row r="738">
          <cell r="A738">
            <v>81209</v>
          </cell>
          <cell r="B738" t="str">
            <v>EXTREMIDADE F0F0 FLANGE E JE DN 100</v>
          </cell>
          <cell r="C738" t="str">
            <v>UN</v>
          </cell>
          <cell r="D738">
            <v>71.489999999999995</v>
          </cell>
        </row>
        <row r="739">
          <cell r="A739">
            <v>81210</v>
          </cell>
          <cell r="B739" t="str">
            <v>EXTREMIDADE F0F0 FLANGE E JE DN 150</v>
          </cell>
          <cell r="C739" t="str">
            <v>UN</v>
          </cell>
          <cell r="D739">
            <v>102.35</v>
          </cell>
        </row>
        <row r="740">
          <cell r="A740">
            <v>81211</v>
          </cell>
          <cell r="B740" t="str">
            <v>EXTREMIDADE F0F0 FLANGE E JE DN 200</v>
          </cell>
          <cell r="C740" t="str">
            <v>UN</v>
          </cell>
          <cell r="D740">
            <v>125.56</v>
          </cell>
        </row>
        <row r="741">
          <cell r="A741">
            <v>81212</v>
          </cell>
          <cell r="B741" t="str">
            <v>EXTREMIDADE F0F0 FLANGE E JE DN 250</v>
          </cell>
          <cell r="C741" t="str">
            <v>UN</v>
          </cell>
          <cell r="D741">
            <v>241.79</v>
          </cell>
        </row>
        <row r="742">
          <cell r="A742">
            <v>81213</v>
          </cell>
          <cell r="B742" t="str">
            <v>EXTREMIDADE F0F0 FLANGE E JE DN 300</v>
          </cell>
          <cell r="C742" t="str">
            <v>UN</v>
          </cell>
          <cell r="D742">
            <v>262.7</v>
          </cell>
        </row>
        <row r="743">
          <cell r="A743">
            <v>81214</v>
          </cell>
          <cell r="B743" t="str">
            <v>EXTREMIDADE F0F0 FLANGE E JE DN 400</v>
          </cell>
          <cell r="C743" t="str">
            <v>UN</v>
          </cell>
          <cell r="D743">
            <v>412.92</v>
          </cell>
        </row>
        <row r="744">
          <cell r="A744">
            <v>81215</v>
          </cell>
          <cell r="B744" t="str">
            <v>EXTREMIDADE F0F0 FLANGE E JE DN 500</v>
          </cell>
          <cell r="C744" t="str">
            <v>UN</v>
          </cell>
          <cell r="D744">
            <v>538.19000000000005</v>
          </cell>
        </row>
        <row r="745">
          <cell r="A745">
            <v>81216</v>
          </cell>
          <cell r="B745" t="str">
            <v>EXTREMIDADE F0F0 FLANGE E JE DN 600</v>
          </cell>
          <cell r="C745" t="str">
            <v>UN</v>
          </cell>
          <cell r="D745">
            <v>935.58</v>
          </cell>
        </row>
        <row r="746">
          <cell r="A746">
            <v>81217</v>
          </cell>
          <cell r="B746" t="str">
            <v>EXTREMIDADE F0F0 FP DN 50</v>
          </cell>
          <cell r="C746" t="str">
            <v>UN</v>
          </cell>
          <cell r="D746">
            <v>46.07</v>
          </cell>
        </row>
        <row r="747">
          <cell r="A747">
            <v>81218</v>
          </cell>
          <cell r="B747" t="str">
            <v>EXTREMIDADE F0F0 FP DN 75</v>
          </cell>
          <cell r="C747" t="str">
            <v>UN</v>
          </cell>
          <cell r="D747">
            <v>57.52</v>
          </cell>
        </row>
        <row r="748">
          <cell r="A748">
            <v>81219</v>
          </cell>
          <cell r="B748" t="str">
            <v>EXTREMIDADE F0F0 FP DN 100</v>
          </cell>
          <cell r="C748" t="str">
            <v>UN</v>
          </cell>
          <cell r="D748">
            <v>70.59</v>
          </cell>
        </row>
        <row r="749">
          <cell r="A749">
            <v>81220</v>
          </cell>
          <cell r="B749" t="str">
            <v>EXTREMIDADE F0F0 FP DN 150</v>
          </cell>
          <cell r="C749" t="str">
            <v>UN</v>
          </cell>
          <cell r="D749">
            <v>121.02</v>
          </cell>
        </row>
        <row r="750">
          <cell r="A750">
            <v>81221</v>
          </cell>
          <cell r="B750" t="str">
            <v>EXTREMIDADE F0F0 FP DN 200</v>
          </cell>
          <cell r="C750" t="str">
            <v>UN</v>
          </cell>
          <cell r="D750">
            <v>161.68</v>
          </cell>
        </row>
        <row r="751">
          <cell r="A751">
            <v>81222</v>
          </cell>
          <cell r="B751" t="str">
            <v>EXTREMIDADE F0F0 FP DN 250</v>
          </cell>
          <cell r="C751" t="str">
            <v>UN</v>
          </cell>
          <cell r="D751">
            <v>656.02</v>
          </cell>
        </row>
        <row r="752">
          <cell r="A752">
            <v>81223</v>
          </cell>
          <cell r="B752" t="str">
            <v>EXTREMIDADE F0F0 FP DN 300</v>
          </cell>
          <cell r="C752" t="str">
            <v>UN</v>
          </cell>
          <cell r="D752">
            <v>377.46</v>
          </cell>
        </row>
        <row r="753">
          <cell r="A753">
            <v>81224</v>
          </cell>
          <cell r="B753" t="str">
            <v>EXTREMIDADE F0F0 FP DN 400</v>
          </cell>
          <cell r="C753" t="str">
            <v>UN</v>
          </cell>
          <cell r="D753">
            <v>1171.71</v>
          </cell>
        </row>
        <row r="754">
          <cell r="A754">
            <v>81225</v>
          </cell>
          <cell r="B754" t="str">
            <v>EXTREMIDADE F0F0 FP DN 500</v>
          </cell>
          <cell r="C754" t="str">
            <v>UN</v>
          </cell>
          <cell r="D754">
            <v>1457.05</v>
          </cell>
        </row>
        <row r="755">
          <cell r="A755">
            <v>81226</v>
          </cell>
          <cell r="B755" t="str">
            <v>EXTREMIDADE F0F0 FP DN 600</v>
          </cell>
          <cell r="C755" t="str">
            <v>UN</v>
          </cell>
          <cell r="D755">
            <v>927.66</v>
          </cell>
        </row>
        <row r="756">
          <cell r="A756">
            <v>81227</v>
          </cell>
          <cell r="B756" t="str">
            <v>REDUCAO F0F0 PB P/ PVC PBA EB-183 DN 100 X 50</v>
          </cell>
          <cell r="C756" t="str">
            <v>UN</v>
          </cell>
          <cell r="D756">
            <v>31.96</v>
          </cell>
        </row>
        <row r="757">
          <cell r="A757">
            <v>81228</v>
          </cell>
          <cell r="B757" t="str">
            <v>REDUCAO F0F0 PB P/ PVC PBA EB-183 DN 100 X 75</v>
          </cell>
          <cell r="C757" t="str">
            <v>UN</v>
          </cell>
          <cell r="D757">
            <v>36.47</v>
          </cell>
        </row>
        <row r="758">
          <cell r="A758">
            <v>81229</v>
          </cell>
          <cell r="B758" t="str">
            <v>REDUCAO F0F0 PB P/ PVC PBA EB-183 DN 150 X 75</v>
          </cell>
          <cell r="C758" t="str">
            <v>UN</v>
          </cell>
          <cell r="D758">
            <v>46.23</v>
          </cell>
        </row>
        <row r="759">
          <cell r="A759">
            <v>81230</v>
          </cell>
          <cell r="B759" t="str">
            <v>REDUCAO F0F0 PB  P/ PVC PBA EB-183 DN 150 X 100</v>
          </cell>
          <cell r="C759" t="str">
            <v>UN</v>
          </cell>
          <cell r="D759">
            <v>48.3</v>
          </cell>
        </row>
        <row r="760">
          <cell r="A760">
            <v>81231</v>
          </cell>
          <cell r="B760" t="str">
            <v>REDUCAO F0F0 PB P/ PVC PBA EB-183 DN 200 X 100</v>
          </cell>
          <cell r="C760" t="str">
            <v>UN</v>
          </cell>
          <cell r="D760">
            <v>87.4</v>
          </cell>
        </row>
        <row r="761">
          <cell r="A761">
            <v>81232</v>
          </cell>
          <cell r="B761" t="str">
            <v>CRUZETA F0F0 C/DERIV. P/PVC PBA EB-183 DN 150 X 50</v>
          </cell>
          <cell r="C761" t="str">
            <v>UN</v>
          </cell>
          <cell r="D761">
            <v>139.86000000000001</v>
          </cell>
        </row>
        <row r="762">
          <cell r="A762">
            <v>81233</v>
          </cell>
          <cell r="B762" t="str">
            <v>CRUZETA F0F0 C/DERIV. P/PVC PBA EB-183 DN 150 X 75</v>
          </cell>
          <cell r="C762" t="str">
            <v>UN</v>
          </cell>
          <cell r="D762">
            <v>195.7</v>
          </cell>
        </row>
        <row r="763">
          <cell r="A763">
            <v>81234</v>
          </cell>
          <cell r="B763" t="str">
            <v>CRUZETA F0F0 C/DERIV.P/PVC PBA EB-183 DN 150 X 100</v>
          </cell>
          <cell r="C763" t="str">
            <v>UN</v>
          </cell>
          <cell r="D763">
            <v>215.73</v>
          </cell>
        </row>
        <row r="764">
          <cell r="A764">
            <v>81235</v>
          </cell>
          <cell r="B764" t="str">
            <v>CRUZETA F0F0 C/DERIV. P/PVC PBA EB-183 DN 200 X 50</v>
          </cell>
          <cell r="C764" t="str">
            <v>UN</v>
          </cell>
          <cell r="D764">
            <v>235.54</v>
          </cell>
        </row>
        <row r="765">
          <cell r="A765">
            <v>81236</v>
          </cell>
          <cell r="B765" t="str">
            <v>CRUZETA F0F0 C/DERIV. P/PVC PBA EB-183 DN 200 X 75</v>
          </cell>
          <cell r="C765" t="str">
            <v>UN</v>
          </cell>
          <cell r="D765">
            <v>270.19</v>
          </cell>
        </row>
        <row r="766">
          <cell r="A766">
            <v>81237</v>
          </cell>
          <cell r="B766" t="str">
            <v>CRUZETA F0F0 C/DERIV.P/PVC PBA EB-183 DN 200 X 100</v>
          </cell>
          <cell r="C766" t="str">
            <v>UN</v>
          </cell>
          <cell r="D766">
            <v>281.56</v>
          </cell>
        </row>
        <row r="767">
          <cell r="A767">
            <v>81238</v>
          </cell>
          <cell r="B767" t="str">
            <v>CRUZETA F0F0 C/DERIV. P/PVC PBA EB-183 DN 250 X 50</v>
          </cell>
          <cell r="C767" t="str">
            <v>UN</v>
          </cell>
          <cell r="D767">
            <v>328.07</v>
          </cell>
        </row>
        <row r="768">
          <cell r="A768">
            <v>81239</v>
          </cell>
          <cell r="B768" t="str">
            <v>CRUZETA F0F0 C/DERIV. P/PVC PBA EB-183 DN 250 X 75</v>
          </cell>
          <cell r="C768" t="str">
            <v>UN</v>
          </cell>
          <cell r="D768">
            <v>348.66</v>
          </cell>
        </row>
        <row r="769">
          <cell r="A769">
            <v>81240</v>
          </cell>
          <cell r="B769" t="str">
            <v>CRUZETA F0F0 C/DERIV.P/PVC PBA EB-183 DN 250 X 100</v>
          </cell>
          <cell r="C769" t="str">
            <v>UN</v>
          </cell>
          <cell r="D769">
            <v>344.9</v>
          </cell>
        </row>
        <row r="770">
          <cell r="A770">
            <v>81241</v>
          </cell>
          <cell r="B770" t="str">
            <v>TE F0F0 C/DERIVACOES P/PVC PBA EB-183 DN 150 X 50</v>
          </cell>
          <cell r="C770" t="str">
            <v>UN</v>
          </cell>
          <cell r="D770">
            <v>127.59</v>
          </cell>
        </row>
        <row r="771">
          <cell r="A771">
            <v>81242</v>
          </cell>
          <cell r="B771" t="str">
            <v>TE F0F0 C/DERIVACOES P/PVC PBA EB-183 DN 150 X 75</v>
          </cell>
          <cell r="C771" t="str">
            <v>UN</v>
          </cell>
          <cell r="D771">
            <v>133.05000000000001</v>
          </cell>
        </row>
        <row r="772">
          <cell r="A772">
            <v>81243</v>
          </cell>
          <cell r="B772" t="str">
            <v>TE F0F0 C/DERIVACOES P/PVC PBA EB-183 DN 150 X 100</v>
          </cell>
          <cell r="C772" t="str">
            <v>UN</v>
          </cell>
          <cell r="D772">
            <v>142.78</v>
          </cell>
        </row>
        <row r="773">
          <cell r="A773">
            <v>81244</v>
          </cell>
          <cell r="B773" t="str">
            <v>TE F0F0 C/DERIVACOES P/PVC PBA EB-183 DN 200 X 50</v>
          </cell>
          <cell r="C773" t="str">
            <v>UN</v>
          </cell>
          <cell r="D773">
            <v>166.03</v>
          </cell>
        </row>
        <row r="774">
          <cell r="A774">
            <v>81245</v>
          </cell>
          <cell r="B774" t="str">
            <v>TE F0F0 C/DERIVACOES P/PVC PBA EB-183 DN 200 X 75</v>
          </cell>
          <cell r="C774" t="str">
            <v>UN</v>
          </cell>
          <cell r="D774">
            <v>175.3</v>
          </cell>
        </row>
        <row r="775">
          <cell r="A775">
            <v>81246</v>
          </cell>
          <cell r="B775" t="str">
            <v>TE F0F0 C/DERIVACOES P/PVC PBA EB-183 DN 200 X 100</v>
          </cell>
          <cell r="C775" t="str">
            <v>UN</v>
          </cell>
          <cell r="D775">
            <v>192.17</v>
          </cell>
        </row>
        <row r="776">
          <cell r="A776">
            <v>81247</v>
          </cell>
          <cell r="B776" t="str">
            <v>TE F0F0 C/DERIVACOES P/PVC PBA EB-183 DN 250 X 50</v>
          </cell>
          <cell r="C776" t="str">
            <v>UN</v>
          </cell>
          <cell r="D776">
            <v>264.99</v>
          </cell>
        </row>
        <row r="777">
          <cell r="A777">
            <v>81248</v>
          </cell>
          <cell r="B777" t="str">
            <v>TE F0F0 C/DERIVACOES P/PVC PBA EB-183 DN 250 X 75</v>
          </cell>
          <cell r="C777" t="str">
            <v>UN</v>
          </cell>
          <cell r="D777">
            <v>279.27999999999997</v>
          </cell>
        </row>
        <row r="778">
          <cell r="A778">
            <v>81249</v>
          </cell>
          <cell r="B778" t="str">
            <v>TE F0F0 C/DERIVACOES P/PVC PBA EB-183 DN 250 X 100</v>
          </cell>
          <cell r="C778" t="str">
            <v>UN</v>
          </cell>
          <cell r="D778">
            <v>290.69</v>
          </cell>
        </row>
        <row r="779">
          <cell r="A779">
            <v>81250</v>
          </cell>
          <cell r="B779" t="str">
            <v>CURVA 90G F0F0 JM DN 300</v>
          </cell>
          <cell r="C779" t="str">
            <v>UN</v>
          </cell>
          <cell r="D779">
            <v>1084.3599999999999</v>
          </cell>
        </row>
        <row r="780">
          <cell r="A780">
            <v>81251</v>
          </cell>
          <cell r="B780" t="str">
            <v>CURVA 45G F0F0 JM DN 300</v>
          </cell>
          <cell r="C780" t="str">
            <v>UN</v>
          </cell>
          <cell r="D780">
            <v>938.11</v>
          </cell>
        </row>
        <row r="781">
          <cell r="A781">
            <v>81252</v>
          </cell>
          <cell r="B781" t="str">
            <v>CURVA 45G F0F0 JM DN 400</v>
          </cell>
          <cell r="C781" t="str">
            <v>UN</v>
          </cell>
          <cell r="D781">
            <v>3778.94</v>
          </cell>
        </row>
        <row r="782">
          <cell r="A782">
            <v>81253</v>
          </cell>
          <cell r="B782" t="str">
            <v>CURVA 45G F0F0 JM DN 500</v>
          </cell>
          <cell r="C782" t="str">
            <v>UN</v>
          </cell>
          <cell r="D782">
            <v>2317.0100000000002</v>
          </cell>
        </row>
        <row r="783">
          <cell r="A783">
            <v>81254</v>
          </cell>
          <cell r="B783" t="str">
            <v>CURVA 45G F0F0 JM DN 600</v>
          </cell>
          <cell r="C783" t="str">
            <v>UN</v>
          </cell>
          <cell r="D783">
            <v>3601.65</v>
          </cell>
        </row>
        <row r="784">
          <cell r="A784">
            <v>81255</v>
          </cell>
          <cell r="B784" t="str">
            <v>CURVA 45G F0F0 JM DN 700</v>
          </cell>
          <cell r="C784" t="str">
            <v>UN</v>
          </cell>
          <cell r="D784">
            <v>4489.8900000000003</v>
          </cell>
        </row>
        <row r="785">
          <cell r="A785">
            <v>81256</v>
          </cell>
          <cell r="B785" t="str">
            <v>CURVA 45G F0F0 JM DN 800</v>
          </cell>
          <cell r="C785" t="str">
            <v>UN</v>
          </cell>
          <cell r="D785">
            <v>5790.42</v>
          </cell>
        </row>
        <row r="786">
          <cell r="A786">
            <v>81257</v>
          </cell>
          <cell r="B786" t="str">
            <v>CURVA 45G F0F0 JM DN 900</v>
          </cell>
          <cell r="C786" t="str">
            <v>UN</v>
          </cell>
          <cell r="D786">
            <v>7321.86</v>
          </cell>
        </row>
        <row r="787">
          <cell r="A787">
            <v>81258</v>
          </cell>
          <cell r="B787" t="str">
            <v>CURVA 45G F0F0 JM DN 1000</v>
          </cell>
          <cell r="C787" t="str">
            <v>UN</v>
          </cell>
          <cell r="D787">
            <v>10187.200000000001</v>
          </cell>
        </row>
        <row r="788">
          <cell r="A788">
            <v>81259</v>
          </cell>
          <cell r="B788" t="str">
            <v>CURVA 45G F0F0 JM DN 1200</v>
          </cell>
          <cell r="C788" t="str">
            <v>UN</v>
          </cell>
          <cell r="D788">
            <v>14350.35</v>
          </cell>
        </row>
        <row r="789">
          <cell r="A789">
            <v>81260</v>
          </cell>
          <cell r="B789" t="str">
            <v>CURVA 22G30' F0F0 JM DN 300</v>
          </cell>
          <cell r="C789" t="str">
            <v>UN</v>
          </cell>
          <cell r="D789">
            <v>920.81</v>
          </cell>
        </row>
        <row r="790">
          <cell r="A790">
            <v>81261</v>
          </cell>
          <cell r="B790" t="str">
            <v>CURVA 22G30' F0F0 JM DN 400</v>
          </cell>
          <cell r="C790" t="str">
            <v>UN</v>
          </cell>
          <cell r="D790" t="str">
            <v>2 385,57</v>
          </cell>
        </row>
        <row r="791">
          <cell r="A791">
            <v>81262</v>
          </cell>
          <cell r="B791" t="str">
            <v>CURVA 22G30' F0F0 JM DN 500</v>
          </cell>
          <cell r="C791" t="str">
            <v>UN</v>
          </cell>
          <cell r="D791" t="str">
            <v>2 450,61</v>
          </cell>
        </row>
        <row r="792">
          <cell r="A792">
            <v>81263</v>
          </cell>
          <cell r="B792" t="str">
            <v>CURVA 22G30' F0F0 JM DN 600</v>
          </cell>
          <cell r="C792" t="str">
            <v>UN</v>
          </cell>
          <cell r="D792" t="str">
            <v>3 081,58</v>
          </cell>
        </row>
        <row r="793">
          <cell r="A793">
            <v>81264</v>
          </cell>
          <cell r="B793" t="str">
            <v>CURVA 22G30' F0F0 JM DN 700</v>
          </cell>
          <cell r="C793" t="str">
            <v>UN</v>
          </cell>
          <cell r="D793" t="str">
            <v>3 934,07</v>
          </cell>
        </row>
        <row r="794">
          <cell r="A794">
            <v>81265</v>
          </cell>
          <cell r="B794" t="str">
            <v>CURVA 22G30' F0F0 JM DN 800</v>
          </cell>
          <cell r="C794" t="str">
            <v>UN</v>
          </cell>
          <cell r="D794" t="str">
            <v>5 296,96</v>
          </cell>
        </row>
        <row r="795">
          <cell r="A795">
            <v>81266</v>
          </cell>
          <cell r="B795" t="str">
            <v>CURVA 22G30' F0F0 JM DN 900</v>
          </cell>
          <cell r="C795" t="str">
            <v>UN</v>
          </cell>
          <cell r="D795" t="str">
            <v>6 546,94</v>
          </cell>
        </row>
        <row r="796">
          <cell r="A796">
            <v>81267</v>
          </cell>
          <cell r="B796" t="str">
            <v>CURVA 22G30' F0F0 JM DN 1000</v>
          </cell>
          <cell r="C796" t="str">
            <v>UN</v>
          </cell>
          <cell r="D796" t="str">
            <v>9 007,95</v>
          </cell>
        </row>
        <row r="797">
          <cell r="A797">
            <v>81268</v>
          </cell>
          <cell r="B797" t="str">
            <v>CURVA 22G30' F0F0 JM DN 1200</v>
          </cell>
          <cell r="C797" t="str">
            <v>UN</v>
          </cell>
          <cell r="D797" t="str">
            <v>13 072,42</v>
          </cell>
        </row>
        <row r="798">
          <cell r="A798">
            <v>81269</v>
          </cell>
          <cell r="B798" t="str">
            <v>CURVA 11G15' F0F0 JM DN 300</v>
          </cell>
          <cell r="C798" t="str">
            <v>UI</v>
          </cell>
          <cell r="D798">
            <v>848.22</v>
          </cell>
        </row>
        <row r="799">
          <cell r="A799">
            <v>81270</v>
          </cell>
          <cell r="B799" t="str">
            <v>CURVA 11G15' F0F0 JM DN 400</v>
          </cell>
          <cell r="C799" t="str">
            <v>UN</v>
          </cell>
          <cell r="D799" t="str">
            <v>2 297,54</v>
          </cell>
        </row>
        <row r="800">
          <cell r="A800">
            <v>81271</v>
          </cell>
          <cell r="B800" t="str">
            <v>CURVA 11G30' F0F0 JM DN 500</v>
          </cell>
          <cell r="C800" t="str">
            <v>UN</v>
          </cell>
          <cell r="D800" t="str">
            <v>2 382,54</v>
          </cell>
        </row>
        <row r="801">
          <cell r="A801">
            <v>81272</v>
          </cell>
          <cell r="B801" t="str">
            <v>CURVA 11G30' F0F0 JM DN 600</v>
          </cell>
          <cell r="C801" t="str">
            <v>UN</v>
          </cell>
          <cell r="D801" t="str">
            <v>2 758,82</v>
          </cell>
        </row>
        <row r="802">
          <cell r="A802">
            <v>81273</v>
          </cell>
          <cell r="B802" t="str">
            <v>CURVA 11G30' F0F0 JM DN 700</v>
          </cell>
          <cell r="C802" t="str">
            <v>UN</v>
          </cell>
          <cell r="D802" t="str">
            <v>3 642,64</v>
          </cell>
        </row>
        <row r="803">
          <cell r="A803">
            <v>81274</v>
          </cell>
          <cell r="B803" t="str">
            <v>CURVA 11G15' F0F0 JM DN 800</v>
          </cell>
          <cell r="C803" t="str">
            <v>UN</v>
          </cell>
          <cell r="D803" t="str">
            <v>4 566,73</v>
          </cell>
        </row>
        <row r="804">
          <cell r="A804">
            <v>81275</v>
          </cell>
          <cell r="B804" t="str">
            <v>CURVA 11G15' F0F0 JM DN 900</v>
          </cell>
          <cell r="C804" t="str">
            <v>UN</v>
          </cell>
          <cell r="D804" t="str">
            <v>5 931,44</v>
          </cell>
        </row>
        <row r="805">
          <cell r="A805">
            <v>81276</v>
          </cell>
          <cell r="B805" t="str">
            <v>CURVA 11G30' F0F0 JM DN 1000</v>
          </cell>
          <cell r="C805" t="str">
            <v>UN</v>
          </cell>
          <cell r="D805" t="str">
            <v>7 859,97</v>
          </cell>
        </row>
        <row r="806">
          <cell r="A806">
            <v>81277</v>
          </cell>
          <cell r="B806" t="str">
            <v>CURVA 11G15' F0F0 JM DN 1200</v>
          </cell>
          <cell r="C806" t="str">
            <v>UN</v>
          </cell>
          <cell r="D806" t="str">
            <v>10 267,43</v>
          </cell>
        </row>
        <row r="807">
          <cell r="A807">
            <v>81278</v>
          </cell>
          <cell r="B807" t="str">
            <v>TE F0F0 JM E FLANGE DN 300 X 100</v>
          </cell>
          <cell r="C807" t="str">
            <v>UN</v>
          </cell>
          <cell r="D807">
            <v>751.98</v>
          </cell>
        </row>
        <row r="808">
          <cell r="A808">
            <v>81279</v>
          </cell>
          <cell r="B808" t="str">
            <v>TE F0F0 JM E FLANGE DN 300 X 200</v>
          </cell>
          <cell r="C808" t="str">
            <v>UN</v>
          </cell>
          <cell r="D808">
            <v>870.04</v>
          </cell>
        </row>
        <row r="809">
          <cell r="A809">
            <v>81280</v>
          </cell>
          <cell r="B809" t="str">
            <v>TE F0F0 JM E FLANGE DN 300 X 300</v>
          </cell>
          <cell r="C809" t="str">
            <v>UN</v>
          </cell>
          <cell r="D809">
            <v>1085.8499999999999</v>
          </cell>
        </row>
        <row r="810">
          <cell r="A810">
            <v>81281</v>
          </cell>
          <cell r="B810" t="str">
            <v>TE F0F0 JM E FLANGE DN 400 X 100</v>
          </cell>
          <cell r="C810" t="str">
            <v>UN</v>
          </cell>
          <cell r="D810">
            <v>1283.07</v>
          </cell>
        </row>
        <row r="811">
          <cell r="A811">
            <v>81282</v>
          </cell>
          <cell r="B811" t="str">
            <v>TE F0F0 JM E FLANGE DN 400 X 200</v>
          </cell>
          <cell r="C811" t="str">
            <v>UN</v>
          </cell>
          <cell r="D811">
            <v>1418.63</v>
          </cell>
        </row>
        <row r="812">
          <cell r="A812">
            <v>81283</v>
          </cell>
          <cell r="B812" t="str">
            <v>TE F0F0 JM E FLANGE DN 400 X 300</v>
          </cell>
          <cell r="C812" t="str">
            <v>UN</v>
          </cell>
          <cell r="D812">
            <v>2019.49</v>
          </cell>
        </row>
        <row r="813">
          <cell r="A813">
            <v>81284</v>
          </cell>
          <cell r="B813" t="str">
            <v>TE F0F0 JM E FLANGE DN 400 X 400</v>
          </cell>
          <cell r="C813" t="str">
            <v>UN</v>
          </cell>
          <cell r="D813">
            <v>2177.19</v>
          </cell>
        </row>
        <row r="814">
          <cell r="A814">
            <v>81285</v>
          </cell>
          <cell r="B814" t="str">
            <v>TE F0F0 JM E FLANGE DN 500 X 100</v>
          </cell>
          <cell r="C814" t="str">
            <v>UN</v>
          </cell>
          <cell r="D814">
            <v>2102.44</v>
          </cell>
        </row>
        <row r="815">
          <cell r="A815">
            <v>81286</v>
          </cell>
          <cell r="B815" t="str">
            <v>TE F0F0 JM E FLANGE DN 500 X 200</v>
          </cell>
          <cell r="C815" t="str">
            <v>UN</v>
          </cell>
          <cell r="D815">
            <v>2266.17</v>
          </cell>
        </row>
        <row r="816">
          <cell r="A816">
            <v>81287</v>
          </cell>
          <cell r="B816" t="str">
            <v>TE F0F0 JM E FLANGE DN 500 X 300</v>
          </cell>
          <cell r="C816" t="str">
            <v>UN</v>
          </cell>
          <cell r="D816">
            <v>2463.23</v>
          </cell>
        </row>
        <row r="817">
          <cell r="A817">
            <v>81288</v>
          </cell>
          <cell r="B817" t="str">
            <v>TE F0F0 JM E FLANGE DN 500 X 500</v>
          </cell>
          <cell r="C817" t="str">
            <v>UN</v>
          </cell>
          <cell r="D817">
            <v>3023.61</v>
          </cell>
        </row>
        <row r="818">
          <cell r="A818">
            <v>81289</v>
          </cell>
          <cell r="B818" t="str">
            <v>TE F0F0 JM E FLANGE DN 600 X 100</v>
          </cell>
          <cell r="C818" t="str">
            <v>UN</v>
          </cell>
          <cell r="D818">
            <v>2577.1</v>
          </cell>
        </row>
        <row r="819">
          <cell r="A819">
            <v>81290</v>
          </cell>
          <cell r="B819" t="str">
            <v>TE F0F0 JM E FLANGE DN 600 X 200</v>
          </cell>
          <cell r="C819" t="str">
            <v>UN</v>
          </cell>
          <cell r="D819">
            <v>2836.18</v>
          </cell>
        </row>
        <row r="820">
          <cell r="A820">
            <v>81291</v>
          </cell>
          <cell r="B820" t="str">
            <v>TE F0F0 JM E FLANGE DN 600 X 300</v>
          </cell>
          <cell r="C820" t="str">
            <v>UN</v>
          </cell>
          <cell r="D820">
            <v>3081.55</v>
          </cell>
        </row>
        <row r="821">
          <cell r="A821">
            <v>81292</v>
          </cell>
          <cell r="B821" t="str">
            <v>TE F0F0 JM E FLANGE DN 600 X 400</v>
          </cell>
          <cell r="C821" t="str">
            <v>UN</v>
          </cell>
          <cell r="D821">
            <v>3463.07</v>
          </cell>
        </row>
        <row r="822">
          <cell r="A822">
            <v>81293</v>
          </cell>
          <cell r="B822" t="str">
            <v>TE F0F0 JM E FLANGE DN 600 X 600</v>
          </cell>
          <cell r="C822" t="str">
            <v>UN</v>
          </cell>
          <cell r="D822">
            <v>3994.35</v>
          </cell>
        </row>
        <row r="823">
          <cell r="A823">
            <v>81294</v>
          </cell>
          <cell r="B823" t="str">
            <v>TE F0F0 JM E FLANGE DN 700 X 200</v>
          </cell>
          <cell r="C823" t="str">
            <v>UN</v>
          </cell>
          <cell r="D823">
            <v>3654.58</v>
          </cell>
        </row>
        <row r="824">
          <cell r="A824">
            <v>81295</v>
          </cell>
          <cell r="B824" t="str">
            <v>TE F0F0 JM E FLANGE DN 700 X 400</v>
          </cell>
          <cell r="C824" t="str">
            <v>UN</v>
          </cell>
          <cell r="D824">
            <v>4291.41</v>
          </cell>
        </row>
        <row r="825">
          <cell r="A825">
            <v>81296</v>
          </cell>
          <cell r="B825" t="str">
            <v>TE F0F0 JM E FLANGE DN 700 X 700</v>
          </cell>
          <cell r="C825" t="str">
            <v>UN</v>
          </cell>
          <cell r="D825">
            <v>5293.72</v>
          </cell>
        </row>
        <row r="826">
          <cell r="A826">
            <v>81297</v>
          </cell>
          <cell r="B826" t="str">
            <v>TE F0F0 JM E FLANGE DN 800 X 200</v>
          </cell>
          <cell r="C826" t="str">
            <v>UN</v>
          </cell>
          <cell r="D826">
            <v>4707.54</v>
          </cell>
        </row>
        <row r="827">
          <cell r="A827">
            <v>81298</v>
          </cell>
          <cell r="B827" t="str">
            <v>TE F0F0 JM E FLANGE DN 800 X 400</v>
          </cell>
          <cell r="C827" t="str">
            <v>UN</v>
          </cell>
          <cell r="D827">
            <v>5462.69</v>
          </cell>
        </row>
        <row r="828">
          <cell r="A828">
            <v>81299</v>
          </cell>
          <cell r="B828" t="str">
            <v>TE F0F0 JM E FLANGE DN 800 X 600</v>
          </cell>
          <cell r="C828" t="str">
            <v>UN</v>
          </cell>
          <cell r="D828">
            <v>7256.45</v>
          </cell>
        </row>
        <row r="829">
          <cell r="A829">
            <v>81301</v>
          </cell>
          <cell r="B829" t="str">
            <v>TE F0F0 JM E FLANGE DN 800 X 800</v>
          </cell>
          <cell r="C829" t="str">
            <v>UN</v>
          </cell>
          <cell r="D829">
            <v>7501.9</v>
          </cell>
        </row>
        <row r="830">
          <cell r="A830">
            <v>81302</v>
          </cell>
          <cell r="B830" t="str">
            <v>TE F0F0 JM E FLANGE DN 900 X 200</v>
          </cell>
          <cell r="C830" t="str">
            <v>UN</v>
          </cell>
          <cell r="D830">
            <v>5853.9</v>
          </cell>
        </row>
        <row r="831">
          <cell r="A831">
            <v>81303</v>
          </cell>
          <cell r="B831" t="str">
            <v>TE F0F0 JM E FLANGE DN 900 X 300</v>
          </cell>
          <cell r="C831" t="str">
            <v>UN</v>
          </cell>
          <cell r="D831">
            <v>6379.92</v>
          </cell>
        </row>
        <row r="832">
          <cell r="A832">
            <v>81304</v>
          </cell>
          <cell r="B832" t="str">
            <v>TE F0F0 JM E FLANGE DN 900 X 400</v>
          </cell>
          <cell r="C832" t="str">
            <v>UN</v>
          </cell>
          <cell r="D832">
            <v>6905.94</v>
          </cell>
        </row>
        <row r="833">
          <cell r="A833">
            <v>81305</v>
          </cell>
          <cell r="B833" t="str">
            <v>TE F0F0 JM E FLANGE DN 900 X 600</v>
          </cell>
          <cell r="C833" t="str">
            <v>UN</v>
          </cell>
          <cell r="D833">
            <v>8742.01</v>
          </cell>
        </row>
        <row r="834">
          <cell r="A834">
            <v>81306</v>
          </cell>
          <cell r="B834" t="str">
            <v>TE F0F0 JM E FLANGE DN 900 X 900</v>
          </cell>
          <cell r="C834" t="str">
            <v>UN</v>
          </cell>
          <cell r="D834">
            <v>10658.68</v>
          </cell>
        </row>
        <row r="835">
          <cell r="A835">
            <v>81307</v>
          </cell>
          <cell r="B835" t="str">
            <v>TE F0F0 JM E FLANGE DN 1000 X 200</v>
          </cell>
          <cell r="C835" t="str">
            <v>UN</v>
          </cell>
          <cell r="D835">
            <v>8937.2199999999993</v>
          </cell>
        </row>
        <row r="836">
          <cell r="A836">
            <v>81308</v>
          </cell>
          <cell r="B836" t="str">
            <v>TE F0F0 JM E FLANGE DN 1000 X 400</v>
          </cell>
          <cell r="C836" t="str">
            <v>UN</v>
          </cell>
          <cell r="D836">
            <v>9648.69</v>
          </cell>
        </row>
        <row r="837">
          <cell r="A837">
            <v>81309</v>
          </cell>
          <cell r="B837" t="str">
            <v>TE F0F0 JM E FLANGE DN 1000 X 600</v>
          </cell>
          <cell r="C837" t="str">
            <v>UN</v>
          </cell>
          <cell r="D837">
            <v>12319.84</v>
          </cell>
        </row>
        <row r="838">
          <cell r="A838">
            <v>81310</v>
          </cell>
          <cell r="B838" t="str">
            <v>TE F0F0 JM E FLANGE DN 1000 X 1000</v>
          </cell>
          <cell r="C838" t="str">
            <v>UN</v>
          </cell>
          <cell r="D838">
            <v>13580.86</v>
          </cell>
        </row>
        <row r="839">
          <cell r="A839">
            <v>81311</v>
          </cell>
          <cell r="B839" t="str">
            <v>TE F0F0 JM E FLANGE DN 1200 X 200</v>
          </cell>
          <cell r="C839" t="str">
            <v>UN</v>
          </cell>
          <cell r="D839">
            <v>11000.68</v>
          </cell>
        </row>
        <row r="840">
          <cell r="A840">
            <v>81312</v>
          </cell>
          <cell r="B840" t="str">
            <v>TE F0F0 JM E FLANGE DN 1200 X 400</v>
          </cell>
          <cell r="C840" t="str">
            <v>UN</v>
          </cell>
          <cell r="D840">
            <v>12224.91</v>
          </cell>
        </row>
        <row r="841">
          <cell r="A841">
            <v>81313</v>
          </cell>
          <cell r="B841" t="str">
            <v>TE F0F0 JM E FLANGE DN 1200 X 600</v>
          </cell>
          <cell r="C841" t="str">
            <v>UN</v>
          </cell>
          <cell r="D841">
            <v>14607.71</v>
          </cell>
        </row>
        <row r="842">
          <cell r="A842">
            <v>81314</v>
          </cell>
          <cell r="B842" t="str">
            <v>TE F0F0 JM E FLANGE DN 1200 X 800</v>
          </cell>
          <cell r="C842" t="str">
            <v>UN</v>
          </cell>
          <cell r="D842">
            <v>17040.79</v>
          </cell>
        </row>
        <row r="843">
          <cell r="A843">
            <v>81315</v>
          </cell>
          <cell r="B843" t="str">
            <v>TE F0F0 JM E FLANGE DN 1200 X 1000</v>
          </cell>
          <cell r="C843" t="str">
            <v>UN</v>
          </cell>
          <cell r="D843">
            <v>18297.78</v>
          </cell>
        </row>
        <row r="844">
          <cell r="A844">
            <v>81316</v>
          </cell>
          <cell r="B844" t="str">
            <v>TE F0F0 JM E FLANGE DN 1200 X 1200</v>
          </cell>
          <cell r="C844" t="str">
            <v>UN</v>
          </cell>
          <cell r="D844">
            <v>16233.02</v>
          </cell>
        </row>
        <row r="845">
          <cell r="A845">
            <v>81317</v>
          </cell>
          <cell r="B845" t="str">
            <v>REDUCAO F0F0 JM DN 300 X 150</v>
          </cell>
          <cell r="C845" t="str">
            <v>UN</v>
          </cell>
          <cell r="D845">
            <v>715.3</v>
          </cell>
        </row>
        <row r="846">
          <cell r="A846">
            <v>81318</v>
          </cell>
          <cell r="B846" t="str">
            <v>REDUCAO F0F0 JM DN 300 X 200</v>
          </cell>
          <cell r="C846" t="str">
            <v>UN</v>
          </cell>
          <cell r="D846">
            <v>751.77</v>
          </cell>
        </row>
        <row r="847">
          <cell r="A847">
            <v>81319</v>
          </cell>
          <cell r="B847" t="str">
            <v>REDUCAO FOFO JM DN 300 X 250</v>
          </cell>
          <cell r="C847" t="str">
            <v>UN</v>
          </cell>
          <cell r="D847">
            <v>738.14</v>
          </cell>
        </row>
        <row r="848">
          <cell r="A848">
            <v>81320</v>
          </cell>
          <cell r="B848" t="str">
            <v>REDUCAO F0F0 JM DN 400 X 250</v>
          </cell>
          <cell r="C848" t="str">
            <v>UN</v>
          </cell>
          <cell r="D848">
            <v>1149.45</v>
          </cell>
        </row>
        <row r="849">
          <cell r="A849">
            <v>81321</v>
          </cell>
          <cell r="B849" t="str">
            <v>REDUCAO F0F0 JM DN 400 X 300</v>
          </cell>
          <cell r="C849" t="str">
            <v>UN</v>
          </cell>
          <cell r="D849">
            <v>1770.89</v>
          </cell>
        </row>
        <row r="850">
          <cell r="A850">
            <v>81322</v>
          </cell>
          <cell r="B850" t="str">
            <v>REDUCAO F0F0 JM DN 500 X 400</v>
          </cell>
          <cell r="C850" t="str">
            <v>UN</v>
          </cell>
          <cell r="D850">
            <v>1592.06</v>
          </cell>
        </row>
        <row r="851">
          <cell r="A851">
            <v>81323</v>
          </cell>
          <cell r="B851" t="str">
            <v>REDUCAO F0F0 JM DN 600 X 400</v>
          </cell>
          <cell r="C851" t="str">
            <v>UN</v>
          </cell>
          <cell r="D851">
            <v>2565.63</v>
          </cell>
        </row>
        <row r="852">
          <cell r="A852">
            <v>81324</v>
          </cell>
          <cell r="B852" t="str">
            <v>REDUCAO F0F0 JM DN 600 X 500</v>
          </cell>
          <cell r="C852" t="str">
            <v>UN</v>
          </cell>
          <cell r="D852">
            <v>2571.85</v>
          </cell>
        </row>
        <row r="853">
          <cell r="A853">
            <v>81325</v>
          </cell>
          <cell r="B853" t="str">
            <v>REDUCAO F0F0 JM DN 700 X 500</v>
          </cell>
          <cell r="C853" t="str">
            <v>UN</v>
          </cell>
          <cell r="D853">
            <v>3675.74</v>
          </cell>
        </row>
        <row r="854">
          <cell r="A854">
            <v>81326</v>
          </cell>
          <cell r="B854" t="str">
            <v>REDUCAO F0F0 JM DN 700 X 600</v>
          </cell>
          <cell r="C854" t="str">
            <v>UN</v>
          </cell>
          <cell r="D854">
            <v>3611.89</v>
          </cell>
        </row>
        <row r="855">
          <cell r="A855">
            <v>81327</v>
          </cell>
          <cell r="B855" t="str">
            <v>REDUCAO F0F0 JM DN 800 X 600</v>
          </cell>
          <cell r="C855" t="str">
            <v>UN</v>
          </cell>
          <cell r="D855">
            <v>4920.9399999999996</v>
          </cell>
        </row>
        <row r="856">
          <cell r="A856">
            <v>81328</v>
          </cell>
          <cell r="B856" t="str">
            <v>REDUCAO F0F0 JM DN 800 X 700</v>
          </cell>
          <cell r="C856" t="str">
            <v>UN</v>
          </cell>
          <cell r="D856">
            <v>4799.96</v>
          </cell>
        </row>
        <row r="857">
          <cell r="A857">
            <v>81329</v>
          </cell>
          <cell r="B857" t="str">
            <v>REDUCAO F0F0 JM DN 900 X 700</v>
          </cell>
          <cell r="C857" t="str">
            <v>UN</v>
          </cell>
          <cell r="D857">
            <v>5817.65</v>
          </cell>
        </row>
        <row r="858">
          <cell r="A858">
            <v>81330</v>
          </cell>
          <cell r="B858" t="str">
            <v>REDUCAO F0F0 JM DN 900 X 800</v>
          </cell>
          <cell r="C858" t="str">
            <v>UN</v>
          </cell>
          <cell r="D858">
            <v>5741.25</v>
          </cell>
        </row>
        <row r="859">
          <cell r="A859">
            <v>81331</v>
          </cell>
          <cell r="B859" t="str">
            <v>REDUCAO F0F0 JM DN 1000 X 800</v>
          </cell>
          <cell r="C859" t="str">
            <v>UN</v>
          </cell>
          <cell r="D859">
            <v>7554.03</v>
          </cell>
        </row>
        <row r="860">
          <cell r="A860">
            <v>81332</v>
          </cell>
          <cell r="B860" t="str">
            <v>REDUCAO F0F0 JM DN 1000 X 900</v>
          </cell>
          <cell r="C860" t="str">
            <v>UN</v>
          </cell>
          <cell r="D860">
            <v>6839.29</v>
          </cell>
        </row>
        <row r="861">
          <cell r="A861">
            <v>81333</v>
          </cell>
          <cell r="B861" t="str">
            <v>REDUCAO F0F0 JM DN 1200 X 1000</v>
          </cell>
          <cell r="C861" t="str">
            <v>UN</v>
          </cell>
          <cell r="D861">
            <v>10414.4</v>
          </cell>
        </row>
        <row r="862">
          <cell r="A862">
            <v>81334</v>
          </cell>
          <cell r="B862" t="str">
            <v>LUVA DE CORRER F0F0 JM DN 50</v>
          </cell>
          <cell r="C862" t="str">
            <v>UN</v>
          </cell>
          <cell r="D862">
            <v>81.41</v>
          </cell>
        </row>
        <row r="863">
          <cell r="A863">
            <v>81335</v>
          </cell>
          <cell r="B863" t="str">
            <v>LUVA DE CORRER F0F0 JM DN 75</v>
          </cell>
          <cell r="C863" t="str">
            <v>UN</v>
          </cell>
          <cell r="D863">
            <v>189.66</v>
          </cell>
        </row>
        <row r="864">
          <cell r="A864">
            <v>81336</v>
          </cell>
          <cell r="B864" t="str">
            <v>LUVA DE CORRER F0F0 JM DN 100</v>
          </cell>
          <cell r="C864" t="str">
            <v>UN</v>
          </cell>
          <cell r="D864">
            <v>164.76</v>
          </cell>
        </row>
        <row r="865">
          <cell r="A865">
            <v>81337</v>
          </cell>
          <cell r="B865" t="str">
            <v>LUVA DE CORRER F0F0 JM DN 150</v>
          </cell>
          <cell r="C865" t="str">
            <v>UN</v>
          </cell>
          <cell r="D865">
            <v>274.87</v>
          </cell>
        </row>
        <row r="866">
          <cell r="A866">
            <v>81338</v>
          </cell>
          <cell r="B866" t="str">
            <v>LUVA DE CORRER F0F0 JM DN 200</v>
          </cell>
          <cell r="C866" t="str">
            <v>UN</v>
          </cell>
          <cell r="D866">
            <v>411.66</v>
          </cell>
        </row>
        <row r="867">
          <cell r="A867">
            <v>81339</v>
          </cell>
          <cell r="B867" t="str">
            <v>LUVA DE CORRER F0F0 JM DN 250</v>
          </cell>
          <cell r="C867" t="str">
            <v>UN</v>
          </cell>
          <cell r="D867">
            <v>596.38</v>
          </cell>
        </row>
        <row r="868">
          <cell r="A868">
            <v>81340</v>
          </cell>
          <cell r="B868" t="str">
            <v>LUVA DE CORRER F0F0 JM DN 300</v>
          </cell>
          <cell r="C868" t="str">
            <v>UN</v>
          </cell>
          <cell r="D868">
            <v>680.92</v>
          </cell>
        </row>
        <row r="869">
          <cell r="A869">
            <v>81341</v>
          </cell>
          <cell r="B869" t="str">
            <v>LUVA DE CORRER F0F0 JM DN 400</v>
          </cell>
          <cell r="C869" t="str">
            <v>UN</v>
          </cell>
          <cell r="D869">
            <v>1073.3699999999999</v>
          </cell>
        </row>
        <row r="870">
          <cell r="A870">
            <v>81342</v>
          </cell>
          <cell r="B870" t="str">
            <v>LUVA DE CORRER F0F0 JM DN 500</v>
          </cell>
          <cell r="C870" t="str">
            <v>UN</v>
          </cell>
          <cell r="D870">
            <v>1402.65</v>
          </cell>
        </row>
        <row r="871">
          <cell r="A871">
            <v>81343</v>
          </cell>
          <cell r="B871" t="str">
            <v>LUVA DE CORRER F0F0 JM DN 600</v>
          </cell>
          <cell r="C871" t="str">
            <v>UN</v>
          </cell>
          <cell r="D871">
            <v>2196.5500000000002</v>
          </cell>
        </row>
        <row r="872">
          <cell r="A872">
            <v>81344</v>
          </cell>
          <cell r="B872" t="str">
            <v>LUVA DE CORRER F0F0 JM DN 700</v>
          </cell>
          <cell r="C872" t="str">
            <v>UN</v>
          </cell>
          <cell r="D872">
            <v>2333.9</v>
          </cell>
        </row>
        <row r="873">
          <cell r="A873">
            <v>81345</v>
          </cell>
          <cell r="B873" t="str">
            <v>LUVA DE CORRER F0F0 JM DN 800</v>
          </cell>
          <cell r="C873" t="str">
            <v>UN</v>
          </cell>
          <cell r="D873">
            <v>3164.7</v>
          </cell>
        </row>
        <row r="874">
          <cell r="A874">
            <v>81346</v>
          </cell>
          <cell r="B874" t="str">
            <v>LUVA DE CORRER F0F0 JM DN 900</v>
          </cell>
          <cell r="C874" t="str">
            <v>UN</v>
          </cell>
          <cell r="D874">
            <v>3869.56</v>
          </cell>
        </row>
        <row r="875">
          <cell r="A875">
            <v>81347</v>
          </cell>
          <cell r="B875" t="str">
            <v>LUVA DE CORRER F0F0 JM DN 1000</v>
          </cell>
          <cell r="C875" t="str">
            <v>UN</v>
          </cell>
          <cell r="D875">
            <v>6515.16</v>
          </cell>
        </row>
        <row r="876">
          <cell r="A876">
            <v>81348</v>
          </cell>
          <cell r="B876" t="str">
            <v>LUVA DE CORRER F0F0 JM DN 1200</v>
          </cell>
          <cell r="C876" t="str">
            <v>UN</v>
          </cell>
          <cell r="D876">
            <v>7953.16</v>
          </cell>
        </row>
        <row r="877">
          <cell r="A877">
            <v>81349</v>
          </cell>
          <cell r="B877" t="str">
            <v>EXTREMIDADE F0F0 FLANGE E JM DN 300</v>
          </cell>
          <cell r="C877" t="str">
            <v>UN</v>
          </cell>
          <cell r="D877">
            <v>505.31</v>
          </cell>
        </row>
        <row r="878">
          <cell r="A878">
            <v>81350</v>
          </cell>
          <cell r="B878" t="str">
            <v>EXTREMIDADE F0F0 FLANGE E JM DN 400</v>
          </cell>
          <cell r="C878" t="str">
            <v>UN</v>
          </cell>
          <cell r="D878">
            <v>1571.3</v>
          </cell>
        </row>
        <row r="879">
          <cell r="A879">
            <v>81351</v>
          </cell>
          <cell r="B879" t="str">
            <v>EXTREMIDADE F0F0 FLANGE E JM DN 500</v>
          </cell>
          <cell r="C879" t="str">
            <v>UN</v>
          </cell>
          <cell r="D879">
            <v>979.21</v>
          </cell>
        </row>
        <row r="880">
          <cell r="A880">
            <v>81352</v>
          </cell>
          <cell r="B880" t="str">
            <v>EXTREMIDADE F0F0 FLANGE E JM DN 600</v>
          </cell>
          <cell r="C880" t="str">
            <v>UN</v>
          </cell>
          <cell r="D880">
            <v>1036.6300000000001</v>
          </cell>
        </row>
        <row r="881">
          <cell r="A881">
            <v>81353</v>
          </cell>
          <cell r="B881" t="str">
            <v>EXTREMIDADE F0F0 FLANGE E JM DN 700</v>
          </cell>
          <cell r="C881" t="str">
            <v>UN</v>
          </cell>
          <cell r="D881">
            <v>3094.38</v>
          </cell>
        </row>
        <row r="882">
          <cell r="A882">
            <v>81354</v>
          </cell>
          <cell r="B882" t="str">
            <v>EXTREMIDADE F0F0 FLANGE E JM DN 800</v>
          </cell>
          <cell r="C882" t="str">
            <v>UN</v>
          </cell>
          <cell r="D882">
            <v>4295.9799999999996</v>
          </cell>
        </row>
        <row r="883">
          <cell r="A883">
            <v>81355</v>
          </cell>
          <cell r="B883" t="str">
            <v>EXTREMIDADE FOFO FLANGE E JM DN 900</v>
          </cell>
          <cell r="C883" t="str">
            <v>UN</v>
          </cell>
          <cell r="D883">
            <v>4749.5</v>
          </cell>
        </row>
        <row r="884">
          <cell r="A884">
            <v>81356</v>
          </cell>
          <cell r="B884" t="str">
            <v>EXTREMIDADE F0F0 FLANGE E JM DN 1000</v>
          </cell>
          <cell r="C884" t="str">
            <v>UN</v>
          </cell>
          <cell r="D884">
            <v>6058.64</v>
          </cell>
        </row>
        <row r="885">
          <cell r="A885">
            <v>81357</v>
          </cell>
          <cell r="B885" t="str">
            <v>EXTREMIDADE F0F0 FLANGE E JM DN 1200</v>
          </cell>
          <cell r="C885" t="str">
            <v>UN</v>
          </cell>
          <cell r="D885">
            <v>7387.43</v>
          </cell>
        </row>
        <row r="886">
          <cell r="A886">
            <v>81362</v>
          </cell>
          <cell r="B886" t="str">
            <v>EXTREMIDADE F0F0 FP DN 700</v>
          </cell>
          <cell r="C886" t="str">
            <v>UN</v>
          </cell>
          <cell r="D886">
            <v>1674.11</v>
          </cell>
        </row>
        <row r="887">
          <cell r="A887">
            <v>81363</v>
          </cell>
          <cell r="B887" t="str">
            <v>EXTREMIDADE F0F0 FP DN 800</v>
          </cell>
          <cell r="C887" t="str">
            <v>UN</v>
          </cell>
          <cell r="D887">
            <v>2229.64</v>
          </cell>
        </row>
        <row r="888">
          <cell r="A888">
            <v>81364</v>
          </cell>
          <cell r="B888" t="str">
            <v>EXTREMIDADE F0F0 FP DN 900</v>
          </cell>
          <cell r="C888" t="str">
            <v>UN</v>
          </cell>
          <cell r="D888">
            <v>2462.87</v>
          </cell>
        </row>
        <row r="889">
          <cell r="A889">
            <v>81365</v>
          </cell>
          <cell r="B889" t="str">
            <v>EXTREMIDADE F0F0 FP DN 1000</v>
          </cell>
          <cell r="C889" t="str">
            <v>UN</v>
          </cell>
          <cell r="D889">
            <v>3305.69</v>
          </cell>
        </row>
        <row r="890">
          <cell r="A890">
            <v>81366</v>
          </cell>
          <cell r="B890" t="str">
            <v>EXTREMIDADE F0F0 FP DN 1200</v>
          </cell>
          <cell r="C890" t="str">
            <v>UN</v>
          </cell>
          <cell r="D890">
            <v>3837.02</v>
          </cell>
        </row>
        <row r="891">
          <cell r="A891">
            <v>81367</v>
          </cell>
          <cell r="B891" t="str">
            <v>CONTRA FLANGE F0F0 JM DN 50</v>
          </cell>
          <cell r="C891" t="str">
            <v>UN</v>
          </cell>
          <cell r="D891">
            <v>14.39</v>
          </cell>
        </row>
        <row r="892">
          <cell r="A892">
            <v>81368</v>
          </cell>
          <cell r="B892" t="str">
            <v>CONTRA FLANGE F0F0 JM DN 75</v>
          </cell>
          <cell r="C892" t="str">
            <v>UN</v>
          </cell>
          <cell r="D892">
            <v>17.38</v>
          </cell>
        </row>
        <row r="893">
          <cell r="A893">
            <v>81369</v>
          </cell>
          <cell r="B893" t="str">
            <v>CONTRA FLANGE F0F0 JM DN 100</v>
          </cell>
          <cell r="C893" t="str">
            <v>UN</v>
          </cell>
          <cell r="D893">
            <v>20.46</v>
          </cell>
        </row>
        <row r="894">
          <cell r="A894">
            <v>81370</v>
          </cell>
          <cell r="B894" t="str">
            <v>CONTRA FLANGE F0F0 JM DN 150</v>
          </cell>
          <cell r="C894" t="str">
            <v>UN</v>
          </cell>
          <cell r="D894">
            <v>50.14</v>
          </cell>
        </row>
        <row r="895">
          <cell r="A895">
            <v>81371</v>
          </cell>
          <cell r="B895" t="str">
            <v>CONTRA FLANGE F0F0 JM DN 200</v>
          </cell>
          <cell r="C895" t="str">
            <v>UN</v>
          </cell>
          <cell r="D895">
            <v>82.15</v>
          </cell>
        </row>
        <row r="896">
          <cell r="A896">
            <v>81372</v>
          </cell>
          <cell r="B896" t="str">
            <v>CONTRA FLANGE F0F0 JM DN 250</v>
          </cell>
          <cell r="C896" t="str">
            <v>UN</v>
          </cell>
          <cell r="D896">
            <v>108.49</v>
          </cell>
        </row>
        <row r="897">
          <cell r="A897">
            <v>81373</v>
          </cell>
          <cell r="B897" t="str">
            <v>CONTRA FLANGE F0F0 JM DN 300</v>
          </cell>
          <cell r="C897" t="str">
            <v>UN</v>
          </cell>
          <cell r="D897">
            <v>121.81</v>
          </cell>
        </row>
        <row r="898">
          <cell r="A898">
            <v>81375</v>
          </cell>
          <cell r="B898" t="str">
            <v>CONTRA FLANGE F0F0 JM DN 400</v>
          </cell>
          <cell r="C898" t="str">
            <v>UN</v>
          </cell>
          <cell r="D898">
            <v>228.82</v>
          </cell>
        </row>
        <row r="899">
          <cell r="A899">
            <v>81376</v>
          </cell>
          <cell r="B899" t="str">
            <v>CONTRA FLANGE F0F0 JM DN 500</v>
          </cell>
          <cell r="C899" t="str">
            <v>UN</v>
          </cell>
          <cell r="D899">
            <v>291.07</v>
          </cell>
        </row>
        <row r="900">
          <cell r="A900">
            <v>81377</v>
          </cell>
          <cell r="B900" t="str">
            <v>CONTRA FLANGE F0F0 JM DN 600</v>
          </cell>
          <cell r="C900" t="str">
            <v>UN</v>
          </cell>
          <cell r="D900">
            <v>353.77</v>
          </cell>
        </row>
        <row r="901">
          <cell r="A901">
            <v>81378</v>
          </cell>
          <cell r="B901" t="str">
            <v>CONTRA FLANGE F0F0 JM DN 700</v>
          </cell>
          <cell r="C901" t="str">
            <v>UN</v>
          </cell>
          <cell r="D901">
            <v>429.39</v>
          </cell>
        </row>
        <row r="902">
          <cell r="A902">
            <v>81379</v>
          </cell>
          <cell r="B902" t="str">
            <v>CONTRA FLANGE F0F0 JM DN 800</v>
          </cell>
          <cell r="C902" t="str">
            <v>UN</v>
          </cell>
          <cell r="D902">
            <v>587.19000000000005</v>
          </cell>
        </row>
        <row r="903">
          <cell r="A903">
            <v>81380</v>
          </cell>
          <cell r="B903" t="str">
            <v>CONTRA FLANGE F0F0 JM DN 900</v>
          </cell>
          <cell r="C903" t="str">
            <v>UN</v>
          </cell>
          <cell r="D903">
            <v>704.58</v>
          </cell>
        </row>
        <row r="904">
          <cell r="A904">
            <v>81381</v>
          </cell>
          <cell r="B904" t="str">
            <v>CONTRA FLANGE F0F0 JM DN 1000</v>
          </cell>
          <cell r="C904" t="str">
            <v>UN</v>
          </cell>
          <cell r="D904">
            <v>1310.68</v>
          </cell>
        </row>
        <row r="905">
          <cell r="A905">
            <v>81382</v>
          </cell>
          <cell r="B905" t="str">
            <v>CONTRA FLANGE F0F0 JM DN 1200</v>
          </cell>
          <cell r="C905" t="str">
            <v>UN</v>
          </cell>
          <cell r="D905">
            <v>1674.55</v>
          </cell>
        </row>
        <row r="906">
          <cell r="A906">
            <v>81383</v>
          </cell>
          <cell r="B906" t="str">
            <v>BOLSA DE TUBO F0F0 JE TRAVADA DN 300</v>
          </cell>
          <cell r="C906" t="str">
            <v>UN</v>
          </cell>
          <cell r="D906">
            <v>0</v>
          </cell>
        </row>
        <row r="907">
          <cell r="A907">
            <v>81384</v>
          </cell>
          <cell r="B907" t="str">
            <v>BOLSA DE TUBO F0F0 JE TRAVADA DN 400</v>
          </cell>
          <cell r="C907" t="str">
            <v>UN</v>
          </cell>
          <cell r="D907">
            <v>0</v>
          </cell>
        </row>
        <row r="908">
          <cell r="A908">
            <v>81385</v>
          </cell>
          <cell r="B908" t="str">
            <v>BOLSA DE TUBO F0F0 JE TRAVADA DN 500</v>
          </cell>
          <cell r="C908" t="str">
            <v>UN</v>
          </cell>
          <cell r="D908">
            <v>0</v>
          </cell>
        </row>
        <row r="909">
          <cell r="A909">
            <v>81386</v>
          </cell>
          <cell r="B909" t="str">
            <v>BOLSA DE TUBO F0F0 JE TRAVADA DN 600</v>
          </cell>
          <cell r="C909" t="str">
            <v>UN</v>
          </cell>
          <cell r="D909">
            <v>0</v>
          </cell>
        </row>
        <row r="910">
          <cell r="A910">
            <v>81387</v>
          </cell>
          <cell r="B910" t="str">
            <v>BOLSA DE TUBO F0F0 JE TRAVADA DN 700</v>
          </cell>
          <cell r="C910" t="str">
            <v>UN</v>
          </cell>
          <cell r="D910">
            <v>0</v>
          </cell>
        </row>
        <row r="911">
          <cell r="A911">
            <v>81388</v>
          </cell>
          <cell r="B911" t="str">
            <v>BOLSA DE TUBO F0F0 JE TRAVADA DN 800</v>
          </cell>
          <cell r="C911" t="str">
            <v>UN</v>
          </cell>
          <cell r="D911">
            <v>0</v>
          </cell>
        </row>
        <row r="912">
          <cell r="A912">
            <v>81389</v>
          </cell>
          <cell r="B912" t="str">
            <v>BOLSA DE TUBO F0F0 JE TRAVADA DN 900</v>
          </cell>
          <cell r="C912" t="str">
            <v>UN</v>
          </cell>
          <cell r="D912">
            <v>0</v>
          </cell>
        </row>
        <row r="913">
          <cell r="A913">
            <v>81390</v>
          </cell>
          <cell r="B913" t="str">
            <v>BOLSA DE TUBO F0F0 JE TRAVADA DN 1000</v>
          </cell>
          <cell r="C913" t="str">
            <v>UN</v>
          </cell>
          <cell r="D913">
            <v>0</v>
          </cell>
        </row>
        <row r="914">
          <cell r="A914">
            <v>81391</v>
          </cell>
          <cell r="B914" t="str">
            <v>BOLSA DE TUBO F0F0 JE TRAVADA DN 1200</v>
          </cell>
          <cell r="C914" t="str">
            <v>UN</v>
          </cell>
          <cell r="D914">
            <v>0</v>
          </cell>
        </row>
        <row r="915">
          <cell r="A915">
            <v>81392</v>
          </cell>
          <cell r="B915" t="str">
            <v>BOLSA DE CONEXOES F0F0 JM TRAVADA DN 300</v>
          </cell>
          <cell r="C915" t="str">
            <v>UN</v>
          </cell>
          <cell r="D915">
            <v>0</v>
          </cell>
        </row>
        <row r="916">
          <cell r="A916">
            <v>81393</v>
          </cell>
          <cell r="B916" t="str">
            <v>BOLSA DE CONEXOES F0F0 JM TRAVADA DN 400</v>
          </cell>
          <cell r="C916" t="str">
            <v>UN</v>
          </cell>
          <cell r="D916">
            <v>0</v>
          </cell>
        </row>
        <row r="917">
          <cell r="A917">
            <v>81394</v>
          </cell>
          <cell r="B917" t="str">
            <v>BOLSA DE CONEXOES F0F0 JM TRAVADA DN 500</v>
          </cell>
          <cell r="C917" t="str">
            <v>UN</v>
          </cell>
          <cell r="D917">
            <v>0</v>
          </cell>
        </row>
        <row r="918">
          <cell r="A918">
            <v>81395</v>
          </cell>
          <cell r="B918" t="str">
            <v>BOLSA DE CONEXOES F0F0 JM TRAVADA DN 600</v>
          </cell>
          <cell r="C918" t="str">
            <v>UN</v>
          </cell>
          <cell r="D918">
            <v>0</v>
          </cell>
        </row>
        <row r="919">
          <cell r="A919">
            <v>81396</v>
          </cell>
          <cell r="B919" t="str">
            <v>BOLSA DE CONEXOES F0F0 JM TRAVADA DN 700</v>
          </cell>
          <cell r="C919" t="str">
            <v>UN</v>
          </cell>
          <cell r="D919">
            <v>0</v>
          </cell>
        </row>
        <row r="920">
          <cell r="A920">
            <v>81397</v>
          </cell>
          <cell r="B920" t="str">
            <v>BOLSA DE CONEXOES F0F0 JM TRAVADA DN 800</v>
          </cell>
          <cell r="C920" t="str">
            <v>UN</v>
          </cell>
          <cell r="D920">
            <v>0</v>
          </cell>
        </row>
        <row r="921">
          <cell r="A921">
            <v>81398</v>
          </cell>
          <cell r="B921" t="str">
            <v>BOLSA DE CONEXOES F0F0 JM TRAVADA DN 900</v>
          </cell>
          <cell r="C921" t="str">
            <v>UN</v>
          </cell>
          <cell r="D921">
            <v>0</v>
          </cell>
        </row>
        <row r="922">
          <cell r="A922">
            <v>81399</v>
          </cell>
          <cell r="B922" t="str">
            <v>BOLSA DE CONEXOES F0F0 JM TRAVADA DN 1000</v>
          </cell>
          <cell r="C922" t="str">
            <v>UN</v>
          </cell>
          <cell r="D922">
            <v>0</v>
          </cell>
        </row>
        <row r="923">
          <cell r="A923">
            <v>81401</v>
          </cell>
          <cell r="B923" t="str">
            <v>BOLSA DE CONEXOES F0F0 JM TRAVADA DN 1200</v>
          </cell>
          <cell r="C923" t="str">
            <v>UN</v>
          </cell>
          <cell r="D923">
            <v>0</v>
          </cell>
        </row>
        <row r="924">
          <cell r="A924">
            <v>81402</v>
          </cell>
          <cell r="B924" t="str">
            <v>TUBO F0F0 K-12 C/FLANGES L = 0,25M DN 50</v>
          </cell>
          <cell r="C924" t="str">
            <v>UN</v>
          </cell>
          <cell r="D924">
            <v>66.099999999999994</v>
          </cell>
        </row>
        <row r="925">
          <cell r="A925">
            <v>81403</v>
          </cell>
          <cell r="B925" t="str">
            <v>TUBO F0F0 K-12 C/FLANGES L = 0,50M DN 50</v>
          </cell>
          <cell r="C925" t="str">
            <v>UN</v>
          </cell>
          <cell r="D925">
            <v>77.94</v>
          </cell>
        </row>
        <row r="926">
          <cell r="A926">
            <v>81404</v>
          </cell>
          <cell r="B926" t="str">
            <v>TUBO F0F0 K-12 C/FLANGES L = 1,00M DN 50</v>
          </cell>
          <cell r="C926" t="str">
            <v>UN</v>
          </cell>
          <cell r="D926">
            <v>162.16999999999999</v>
          </cell>
        </row>
        <row r="927">
          <cell r="A927">
            <v>81405</v>
          </cell>
          <cell r="B927" t="str">
            <v>TUBO F0F0 K-12 C/FLANGES L = 1,50M DN 50</v>
          </cell>
          <cell r="C927" t="str">
            <v>UN</v>
          </cell>
          <cell r="D927">
            <v>171.8</v>
          </cell>
        </row>
        <row r="928">
          <cell r="A928">
            <v>81406</v>
          </cell>
          <cell r="B928" t="str">
            <v>TUBO F0F0 K-12 C/FLANGES L = 2,00M DN 50</v>
          </cell>
          <cell r="C928" t="str">
            <v>UN</v>
          </cell>
          <cell r="D928">
            <v>181.4</v>
          </cell>
        </row>
        <row r="929">
          <cell r="A929">
            <v>81407</v>
          </cell>
          <cell r="B929" t="str">
            <v>TUBO F0F0 K-12 C/FLANGES L = 2,50M DN 50</v>
          </cell>
          <cell r="C929" t="str">
            <v>UN</v>
          </cell>
          <cell r="D929">
            <v>190.99</v>
          </cell>
        </row>
        <row r="930">
          <cell r="A930">
            <v>81408</v>
          </cell>
          <cell r="B930" t="str">
            <v>TUBO F0F0 K-12 C/FLANGES L = 2,90M DN 50</v>
          </cell>
          <cell r="C930" t="str">
            <v>UN</v>
          </cell>
          <cell r="D930">
            <v>200.6</v>
          </cell>
        </row>
        <row r="931">
          <cell r="A931">
            <v>81409</v>
          </cell>
          <cell r="B931" t="str">
            <v>TUBO F0F0 K-12 C/FLANGES L = 0,25M DN 75</v>
          </cell>
          <cell r="C931" t="str">
            <v>UN</v>
          </cell>
          <cell r="D931">
            <v>84.38</v>
          </cell>
        </row>
        <row r="932">
          <cell r="A932">
            <v>81410</v>
          </cell>
          <cell r="B932" t="str">
            <v>TUBO F0F0 K-12 C/FLANGES L = 0,50M DN 75</v>
          </cell>
          <cell r="C932" t="str">
            <v>UN</v>
          </cell>
          <cell r="D932">
            <v>101.81</v>
          </cell>
        </row>
        <row r="933">
          <cell r="A933">
            <v>81411</v>
          </cell>
          <cell r="B933" t="str">
            <v>TUBO F0F0 K-12 C/FLANGES L = 1,00M DN 75</v>
          </cell>
          <cell r="C933" t="str">
            <v>UN</v>
          </cell>
          <cell r="D933">
            <v>209.39</v>
          </cell>
        </row>
        <row r="934">
          <cell r="A934">
            <v>81412</v>
          </cell>
          <cell r="B934" t="str">
            <v>TUBO F0F0 K-12 C/FLANGES L = 1,50M DN 75</v>
          </cell>
          <cell r="C934" t="str">
            <v>UN</v>
          </cell>
          <cell r="D934">
            <v>221.82</v>
          </cell>
        </row>
        <row r="935">
          <cell r="A935">
            <v>81413</v>
          </cell>
          <cell r="B935" t="str">
            <v>TUBO F0F0 K-12 C/FLANGES L = 2,00M DN 75</v>
          </cell>
          <cell r="C935" t="str">
            <v>UN</v>
          </cell>
          <cell r="D935">
            <v>234.21</v>
          </cell>
        </row>
        <row r="936">
          <cell r="A936">
            <v>81414</v>
          </cell>
          <cell r="B936" t="str">
            <v>TUBO F0F0 K-12 C/FLANGES L = 2,50M DN 75</v>
          </cell>
          <cell r="C936" t="str">
            <v>UN</v>
          </cell>
          <cell r="D936">
            <v>246.6</v>
          </cell>
        </row>
        <row r="937">
          <cell r="A937">
            <v>81415</v>
          </cell>
          <cell r="B937" t="str">
            <v>TUBO F0F0 K-12 C/FLANGES L = 3,00M DN 75</v>
          </cell>
          <cell r="C937" t="str">
            <v>UN</v>
          </cell>
          <cell r="D937">
            <v>259.01</v>
          </cell>
        </row>
        <row r="938">
          <cell r="A938">
            <v>81416</v>
          </cell>
          <cell r="B938" t="str">
            <v>TUBO F0F0 K-12 C/FLANGES L = 3,50M DN 75</v>
          </cell>
          <cell r="C938" t="str">
            <v>UN</v>
          </cell>
          <cell r="D938">
            <v>271.37</v>
          </cell>
        </row>
        <row r="939">
          <cell r="A939">
            <v>81417</v>
          </cell>
          <cell r="B939" t="str">
            <v>TUBO F0F0 K-12 C/FLANGES L = 4,00M DN 75</v>
          </cell>
          <cell r="C939" t="str">
            <v>UN</v>
          </cell>
          <cell r="D939">
            <v>289.33999999999997</v>
          </cell>
        </row>
        <row r="940">
          <cell r="A940">
            <v>81418</v>
          </cell>
          <cell r="B940" t="str">
            <v>TUBO F0F0 K-12 C/FLANGES L = 4,50M DN 75</v>
          </cell>
          <cell r="C940" t="str">
            <v>UN</v>
          </cell>
          <cell r="D940">
            <v>301.70999999999998</v>
          </cell>
        </row>
        <row r="941">
          <cell r="A941">
            <v>81419</v>
          </cell>
          <cell r="B941" t="str">
            <v>TUBO F0F0 K-12 C/FLANGES L = 5,00M DN 75</v>
          </cell>
          <cell r="C941" t="str">
            <v>UN</v>
          </cell>
          <cell r="D941">
            <v>314.08999999999997</v>
          </cell>
        </row>
        <row r="942">
          <cell r="A942">
            <v>81420</v>
          </cell>
          <cell r="B942" t="str">
            <v>TUBO F0F0 K-12 C/FLANGES L = 5,50M DN 75</v>
          </cell>
          <cell r="C942" t="str">
            <v>UN</v>
          </cell>
          <cell r="D942">
            <v>326.5</v>
          </cell>
        </row>
        <row r="943">
          <cell r="A943">
            <v>81421</v>
          </cell>
          <cell r="B943" t="str">
            <v>TUBO FOFO K-12 C/FLANGES L = 5,80M DN 75</v>
          </cell>
          <cell r="C943" t="str">
            <v>UN</v>
          </cell>
          <cell r="D943">
            <v>333.95</v>
          </cell>
        </row>
        <row r="944">
          <cell r="A944">
            <v>81422</v>
          </cell>
          <cell r="B944" t="str">
            <v>TUBO F0F0 K-12 C/FLANGES L = 0,25M DN 100</v>
          </cell>
          <cell r="C944" t="str">
            <v>UN</v>
          </cell>
          <cell r="D944">
            <v>102.67</v>
          </cell>
        </row>
        <row r="945">
          <cell r="A945">
            <v>81423</v>
          </cell>
          <cell r="B945" t="str">
            <v>TUBO F0F0 K-12 C/FLANGES L = 0,50M DN 100</v>
          </cell>
          <cell r="C945" t="str">
            <v>UN</v>
          </cell>
          <cell r="D945">
            <v>141.83000000000001</v>
          </cell>
        </row>
        <row r="946">
          <cell r="A946">
            <v>81424</v>
          </cell>
          <cell r="B946" t="str">
            <v>TUBO F0F0 K-12 C/FLANGES L = 1,00M DN 100</v>
          </cell>
          <cell r="C946" t="str">
            <v>UN</v>
          </cell>
          <cell r="D946">
            <v>234.68</v>
          </cell>
        </row>
        <row r="947">
          <cell r="A947">
            <v>81425</v>
          </cell>
          <cell r="B947" t="str">
            <v>TUBO F0F0 K-12 C/FLANGES L = 1,50M DN 100</v>
          </cell>
          <cell r="C947" t="str">
            <v>UN</v>
          </cell>
          <cell r="D947">
            <v>251.83</v>
          </cell>
        </row>
        <row r="948">
          <cell r="A948">
            <v>81426</v>
          </cell>
          <cell r="B948" t="str">
            <v>TUBO F0F0 K-12 C/FLANGES L = 2,00M DN 100</v>
          </cell>
          <cell r="C948" t="str">
            <v>UN</v>
          </cell>
          <cell r="D948">
            <v>269.01</v>
          </cell>
        </row>
        <row r="949">
          <cell r="A949">
            <v>81427</v>
          </cell>
          <cell r="B949" t="str">
            <v>TUBO F0F0 K-12 C/FLANGES L = 2,50M DN 100</v>
          </cell>
          <cell r="C949" t="str">
            <v>UN</v>
          </cell>
          <cell r="D949">
            <v>286.18</v>
          </cell>
        </row>
        <row r="950">
          <cell r="A950">
            <v>81428</v>
          </cell>
          <cell r="B950" t="str">
            <v>TUBO F0F0 K-12 C/FLANGES L = 3,00M DN 100</v>
          </cell>
          <cell r="C950" t="str">
            <v>UN</v>
          </cell>
          <cell r="D950">
            <v>303.33</v>
          </cell>
        </row>
        <row r="951">
          <cell r="A951">
            <v>81429</v>
          </cell>
          <cell r="B951" t="str">
            <v>TUBO F0F0 K-12 C/FLANGES L = 3,50M DN 100</v>
          </cell>
          <cell r="C951" t="str">
            <v>UN</v>
          </cell>
          <cell r="D951">
            <v>320.49</v>
          </cell>
        </row>
        <row r="952">
          <cell r="A952">
            <v>81430</v>
          </cell>
          <cell r="B952" t="str">
            <v>TUBO F0F0 K-12 C/FLANGES L = 4,00M DN 100</v>
          </cell>
          <cell r="C952" t="str">
            <v>UN</v>
          </cell>
          <cell r="D952">
            <v>342.09</v>
          </cell>
        </row>
        <row r="953">
          <cell r="A953">
            <v>81431</v>
          </cell>
          <cell r="B953" t="str">
            <v>TUBO F0F0 K-12 C/FLANGES L = 4,50M DN 100</v>
          </cell>
          <cell r="C953" t="str">
            <v>UN</v>
          </cell>
          <cell r="D953">
            <v>359.32</v>
          </cell>
        </row>
        <row r="954">
          <cell r="A954">
            <v>81432</v>
          </cell>
          <cell r="B954" t="str">
            <v>TUBO F0F0 K-12 C/FLANGES L = 5,00M DN 100</v>
          </cell>
          <cell r="C954" t="str">
            <v>UN</v>
          </cell>
          <cell r="D954">
            <v>376.42</v>
          </cell>
        </row>
        <row r="955">
          <cell r="A955">
            <v>81433</v>
          </cell>
          <cell r="B955" t="str">
            <v>TUBO F0F0 K-12 C/FLANGES L = 5,50M DN 100</v>
          </cell>
          <cell r="C955" t="str">
            <v>UN</v>
          </cell>
          <cell r="D955">
            <v>393.62</v>
          </cell>
        </row>
        <row r="956">
          <cell r="A956">
            <v>81434</v>
          </cell>
          <cell r="B956" t="str">
            <v>TUBO F0F0 K-12 C/FLANGES L = 5,80M DN 100</v>
          </cell>
          <cell r="C956" t="str">
            <v>UN</v>
          </cell>
          <cell r="D956">
            <v>403.92</v>
          </cell>
        </row>
        <row r="957">
          <cell r="A957">
            <v>81435</v>
          </cell>
          <cell r="B957" t="str">
            <v>TUBO F0F0 K-12 C/FLANGES L = 0,25M DN 150</v>
          </cell>
          <cell r="C957" t="str">
            <v>UN</v>
          </cell>
          <cell r="D957">
            <v>160.21</v>
          </cell>
        </row>
        <row r="958">
          <cell r="A958">
            <v>81436</v>
          </cell>
          <cell r="B958" t="str">
            <v>TUBO F0F0 K-12 C/FLANGES L = 0,50M DN 150</v>
          </cell>
          <cell r="C958" t="str">
            <v>UN</v>
          </cell>
          <cell r="D958">
            <v>214.99</v>
          </cell>
        </row>
        <row r="959">
          <cell r="A959">
            <v>81437</v>
          </cell>
          <cell r="B959" t="str">
            <v>TUBO F0F0 K-12 C/FLANGES L = 1,00M DN 150</v>
          </cell>
          <cell r="C959" t="str">
            <v>UN</v>
          </cell>
          <cell r="D959">
            <v>323.08999999999997</v>
          </cell>
        </row>
        <row r="960">
          <cell r="A960">
            <v>81438</v>
          </cell>
          <cell r="B960" t="str">
            <v>TUBO F0F0 K-12 C/FLANGES L = 1,50M DN 150</v>
          </cell>
          <cell r="C960" t="str">
            <v>UN</v>
          </cell>
          <cell r="D960">
            <v>349.8</v>
          </cell>
        </row>
        <row r="961">
          <cell r="A961">
            <v>81439</v>
          </cell>
          <cell r="B961" t="str">
            <v>TUBO F0F0 K-12 C/FLANGES L = 2,00M DN 150</v>
          </cell>
          <cell r="C961" t="str">
            <v>UN</v>
          </cell>
          <cell r="D961">
            <v>376.53</v>
          </cell>
        </row>
        <row r="962">
          <cell r="A962">
            <v>81440</v>
          </cell>
          <cell r="B962" t="str">
            <v>TUBO F0F0 K-12 C/FLANGES L = 2,50M DN 150</v>
          </cell>
          <cell r="C962" t="str">
            <v>UN</v>
          </cell>
          <cell r="D962">
            <v>403.22</v>
          </cell>
        </row>
        <row r="963">
          <cell r="A963">
            <v>81441</v>
          </cell>
          <cell r="B963" t="str">
            <v>TUBO F0F0 K-12 C/FLANGES L = 3,00M DN 150</v>
          </cell>
          <cell r="C963" t="str">
            <v>UN</v>
          </cell>
          <cell r="D963">
            <v>429.91</v>
          </cell>
        </row>
        <row r="964">
          <cell r="A964">
            <v>81442</v>
          </cell>
          <cell r="B964" t="str">
            <v>TUBO F0F0 K-12 C/FLANGES L = 3,50M DN 150</v>
          </cell>
          <cell r="C964" t="str">
            <v>UN</v>
          </cell>
          <cell r="D964">
            <v>456.57</v>
          </cell>
        </row>
        <row r="965">
          <cell r="A965">
            <v>81443</v>
          </cell>
          <cell r="B965" t="str">
            <v>TUBO F0F0 K-12 C/FLANGES L = 4,00M DN 150</v>
          </cell>
          <cell r="C965" t="str">
            <v>UN</v>
          </cell>
          <cell r="D965">
            <v>487.78</v>
          </cell>
        </row>
        <row r="966">
          <cell r="A966">
            <v>81444</v>
          </cell>
          <cell r="B966" t="str">
            <v>TUBO F0F0 K-12 C/FLANGES L = 4,50M DN 150</v>
          </cell>
          <cell r="C966" t="str">
            <v>UN</v>
          </cell>
          <cell r="D966">
            <v>514.46</v>
          </cell>
        </row>
        <row r="967">
          <cell r="A967">
            <v>81445</v>
          </cell>
          <cell r="B967" t="str">
            <v>TUBO F0F0 K-12 C/FLANGES L = 5,00M DN 150</v>
          </cell>
          <cell r="C967" t="str">
            <v>UN</v>
          </cell>
          <cell r="D967">
            <v>541.14</v>
          </cell>
        </row>
        <row r="968">
          <cell r="A968">
            <v>81446</v>
          </cell>
          <cell r="B968" t="str">
            <v>TUBO F0F0 K-12 C/FLANGES L = 5,50M DN 150</v>
          </cell>
          <cell r="C968" t="str">
            <v>UN</v>
          </cell>
          <cell r="D968">
            <v>567.79999999999995</v>
          </cell>
        </row>
        <row r="969">
          <cell r="A969">
            <v>81447</v>
          </cell>
          <cell r="B969" t="str">
            <v>TUBO F0F0 K-12 C/FLANGES L = 5,80M DN 150</v>
          </cell>
          <cell r="C969" t="str">
            <v>UN</v>
          </cell>
          <cell r="D969">
            <v>583.87</v>
          </cell>
        </row>
        <row r="970">
          <cell r="A970">
            <v>81448</v>
          </cell>
          <cell r="B970" t="str">
            <v>TUBO F0F0 K-12 C/FLANGES L = 0,25M DN 200</v>
          </cell>
          <cell r="C970" t="str">
            <v>UN</v>
          </cell>
          <cell r="D970">
            <v>227.49</v>
          </cell>
        </row>
        <row r="971">
          <cell r="A971">
            <v>81449</v>
          </cell>
          <cell r="B971" t="str">
            <v>TUBO F0F0 K-12 C/FLANGES L = 0,50M DN 200</v>
          </cell>
          <cell r="C971" t="str">
            <v>UN</v>
          </cell>
          <cell r="D971">
            <v>284.45999999999998</v>
          </cell>
        </row>
        <row r="972">
          <cell r="A972">
            <v>81450</v>
          </cell>
          <cell r="B972" t="str">
            <v>TUBO F0F0 K-12 C/FLANGES L = 1,00M DN 200</v>
          </cell>
          <cell r="C972" t="str">
            <v>UN</v>
          </cell>
          <cell r="D972">
            <v>415.76</v>
          </cell>
        </row>
        <row r="973">
          <cell r="A973">
            <v>81451</v>
          </cell>
          <cell r="B973" t="str">
            <v>TUBO F0F0 K-12 C/FLANGES L = 1,50M DN 200</v>
          </cell>
          <cell r="C973" t="str">
            <v>UN</v>
          </cell>
          <cell r="D973">
            <v>453.7</v>
          </cell>
        </row>
        <row r="974">
          <cell r="A974">
            <v>81452</v>
          </cell>
          <cell r="B974" t="str">
            <v>TUBO F0F0 K-12 C/FLANGES L = 2,00M DN 200</v>
          </cell>
          <cell r="C974" t="str">
            <v>UN</v>
          </cell>
          <cell r="D974">
            <v>491.68</v>
          </cell>
        </row>
        <row r="975">
          <cell r="A975">
            <v>81453</v>
          </cell>
          <cell r="B975" t="str">
            <v>TUBO F0F0 K-12 C/FLANGES L = 2,50M DN 200</v>
          </cell>
          <cell r="C975" t="str">
            <v>UN</v>
          </cell>
          <cell r="D975">
            <v>529.69000000000005</v>
          </cell>
        </row>
        <row r="976">
          <cell r="A976">
            <v>81454</v>
          </cell>
          <cell r="B976" t="str">
            <v>TUBO F0F0 K-12 C/FLANGES L = 3,00M DN 200</v>
          </cell>
          <cell r="C976" t="str">
            <v>UN</v>
          </cell>
          <cell r="D976">
            <v>567.65</v>
          </cell>
        </row>
        <row r="977">
          <cell r="A977">
            <v>81455</v>
          </cell>
          <cell r="B977" t="str">
            <v>TUBO F0F0 K-12 C/FLANGES L = 3,50M DN 200</v>
          </cell>
          <cell r="C977" t="str">
            <v>UN</v>
          </cell>
          <cell r="D977">
            <v>605.57000000000005</v>
          </cell>
        </row>
        <row r="978">
          <cell r="A978">
            <v>81456</v>
          </cell>
          <cell r="B978" t="str">
            <v>TUBO F0F0 K-12 C/FLANGES L = 4,00M DN 200</v>
          </cell>
          <cell r="C978" t="str">
            <v>UN</v>
          </cell>
          <cell r="D978">
            <v>643.62</v>
          </cell>
        </row>
        <row r="979">
          <cell r="A979">
            <v>81457</v>
          </cell>
          <cell r="B979" t="str">
            <v>TUBO F0F0 K-12 C/FLANGES L = 4,50M DN 200</v>
          </cell>
          <cell r="C979" t="str">
            <v>UN</v>
          </cell>
          <cell r="D979">
            <v>681.54</v>
          </cell>
        </row>
        <row r="980">
          <cell r="A980">
            <v>81458</v>
          </cell>
          <cell r="B980" t="str">
            <v>TUBO F0F0 K-12 C/FLANGES L = 5,00M DN 200</v>
          </cell>
          <cell r="C980" t="str">
            <v>UN</v>
          </cell>
          <cell r="D980">
            <v>719.5</v>
          </cell>
        </row>
        <row r="981">
          <cell r="A981">
            <v>81459</v>
          </cell>
          <cell r="B981" t="str">
            <v>TUBO F0F0 K-12 C/FLANGES L = 5,50M DN 200</v>
          </cell>
          <cell r="C981" t="str">
            <v>UN</v>
          </cell>
          <cell r="D981">
            <v>757.5</v>
          </cell>
        </row>
        <row r="982">
          <cell r="A982">
            <v>81460</v>
          </cell>
          <cell r="B982" t="str">
            <v>TUBO F0F0 K-12 C/FLANGES L = 5,80M DN 200</v>
          </cell>
          <cell r="C982" t="str">
            <v>UN</v>
          </cell>
          <cell r="D982">
            <v>780.27</v>
          </cell>
        </row>
        <row r="983">
          <cell r="A983">
            <v>81461</v>
          </cell>
          <cell r="B983" t="str">
            <v>TUBO F0F0 K-12 C/FLANGES L = 0,25M DN 250</v>
          </cell>
          <cell r="C983" t="str">
            <v>UN</v>
          </cell>
          <cell r="D983">
            <v>339.46</v>
          </cell>
        </row>
        <row r="984">
          <cell r="A984">
            <v>81462</v>
          </cell>
          <cell r="B984" t="str">
            <v>TUBO F0F0 K-12 C/FLANGES L = 0,50M DN 250</v>
          </cell>
          <cell r="C984" t="str">
            <v>UN</v>
          </cell>
          <cell r="D984">
            <v>473.68</v>
          </cell>
        </row>
        <row r="985">
          <cell r="A985">
            <v>81463</v>
          </cell>
          <cell r="B985" t="str">
            <v>TUBO F0F0 K-12 C/FLANGES L = 1,00M DN 250</v>
          </cell>
          <cell r="C985" t="str">
            <v>UN</v>
          </cell>
          <cell r="D985">
            <v>516.30999999999995</v>
          </cell>
        </row>
        <row r="986">
          <cell r="A986">
            <v>81464</v>
          </cell>
          <cell r="B986" t="str">
            <v>TUBO F0F0 K-12 C/FLANGES L = 1,50M DN 250</v>
          </cell>
          <cell r="C986" t="str">
            <v>UN</v>
          </cell>
          <cell r="D986">
            <v>566.66</v>
          </cell>
        </row>
        <row r="987">
          <cell r="A987">
            <v>81465</v>
          </cell>
          <cell r="B987" t="str">
            <v>TUBO F0F0 K-12 C/FALNGES L = 2,00M DN 250</v>
          </cell>
          <cell r="C987" t="str">
            <v>UN</v>
          </cell>
          <cell r="D987">
            <v>616.95000000000005</v>
          </cell>
        </row>
        <row r="988">
          <cell r="A988">
            <v>81466</v>
          </cell>
          <cell r="B988" t="str">
            <v>TUBO F0F0 K-12 C/FLANGES L = 2,50M DN 250</v>
          </cell>
          <cell r="C988" t="str">
            <v>UN</v>
          </cell>
          <cell r="D988">
            <v>667.27</v>
          </cell>
        </row>
        <row r="989">
          <cell r="A989">
            <v>81467</v>
          </cell>
          <cell r="B989" t="str">
            <v>TUBO F0F0 K-12 C/FLANGES L = 3,00M DN 250</v>
          </cell>
          <cell r="C989" t="str">
            <v>UN</v>
          </cell>
          <cell r="D989">
            <v>717.58</v>
          </cell>
        </row>
        <row r="990">
          <cell r="A990">
            <v>81468</v>
          </cell>
          <cell r="B990" t="str">
            <v>TUBO F0F0 K-12 C/FLANGES L = 3,50M DN 250</v>
          </cell>
          <cell r="C990" t="str">
            <v>UN</v>
          </cell>
          <cell r="D990">
            <v>767.84</v>
          </cell>
        </row>
        <row r="991">
          <cell r="A991">
            <v>81469</v>
          </cell>
          <cell r="B991" t="str">
            <v>TUBO F0F0 K-12 C/FLANGES L = 4,00M DN 250</v>
          </cell>
          <cell r="C991" t="str">
            <v>UN</v>
          </cell>
          <cell r="D991">
            <v>825.36</v>
          </cell>
        </row>
        <row r="992">
          <cell r="A992">
            <v>81470</v>
          </cell>
          <cell r="B992" t="str">
            <v>TUBO FOFO K-12 C/FLANGES L = 4,50M DN 250</v>
          </cell>
          <cell r="C992" t="str">
            <v>UN</v>
          </cell>
          <cell r="D992">
            <v>875.67</v>
          </cell>
        </row>
        <row r="993">
          <cell r="A993">
            <v>81471</v>
          </cell>
          <cell r="B993" t="str">
            <v>TUBO F0F0 K-12 C/FLANGES L = 5,00M DN 250</v>
          </cell>
          <cell r="C993" t="str">
            <v>UN</v>
          </cell>
          <cell r="D993">
            <v>925.97</v>
          </cell>
        </row>
        <row r="994">
          <cell r="A994">
            <v>81472</v>
          </cell>
          <cell r="B994" t="str">
            <v>TUBO F0F0 K-12 C/FLANGES L = 5,50M DN 250</v>
          </cell>
          <cell r="C994" t="str">
            <v>UN</v>
          </cell>
          <cell r="D994">
            <v>976.3</v>
          </cell>
        </row>
        <row r="995">
          <cell r="A995">
            <v>81473</v>
          </cell>
          <cell r="B995" t="str">
            <v>TUBO F0F0 K-12 C/FLANGES L = 5,80M DN 250</v>
          </cell>
          <cell r="C995" t="str">
            <v>UN</v>
          </cell>
          <cell r="D995">
            <v>1006.49</v>
          </cell>
        </row>
        <row r="996">
          <cell r="A996">
            <v>81474</v>
          </cell>
          <cell r="B996" t="str">
            <v>TUBO F0F0 K-12 C/FLANGES L = 0,25M DN 300</v>
          </cell>
          <cell r="C996" t="str">
            <v>UN</v>
          </cell>
          <cell r="D996">
            <v>542.08000000000004</v>
          </cell>
        </row>
        <row r="997">
          <cell r="A997">
            <v>81475</v>
          </cell>
          <cell r="B997" t="str">
            <v>TUBO F0F0 K-12 C/FLANGES L = 0,50M DN 300</v>
          </cell>
          <cell r="C997" t="str">
            <v>UN</v>
          </cell>
          <cell r="D997">
            <v>571.94000000000005</v>
          </cell>
        </row>
        <row r="998">
          <cell r="A998">
            <v>81476</v>
          </cell>
          <cell r="B998" t="str">
            <v>TUBO F0F0 K-12 C/FLANGES L = 1,00M DN 300</v>
          </cell>
          <cell r="C998" t="str">
            <v>UN</v>
          </cell>
          <cell r="D998">
            <v>643.63</v>
          </cell>
        </row>
        <row r="999">
          <cell r="A999">
            <v>81477</v>
          </cell>
          <cell r="B999" t="str">
            <v>TUBO F0F0 K-12 C/FLANGES L = 1,50M DN 300</v>
          </cell>
          <cell r="C999" t="str">
            <v>UN</v>
          </cell>
          <cell r="D999">
            <v>709.12</v>
          </cell>
        </row>
        <row r="1000">
          <cell r="A1000">
            <v>81478</v>
          </cell>
          <cell r="B1000" t="str">
            <v>TUBO F0F0 K-12 C/FLANGES L = 2,00M DN 300</v>
          </cell>
          <cell r="C1000" t="str">
            <v>UN</v>
          </cell>
          <cell r="D1000">
            <v>774.58</v>
          </cell>
        </row>
        <row r="1001">
          <cell r="A1001">
            <v>81479</v>
          </cell>
          <cell r="B1001" t="str">
            <v>TUBO F0F0 K-12 C/FLANGES L = 2,50M DN 300</v>
          </cell>
          <cell r="C1001" t="str">
            <v>UN</v>
          </cell>
          <cell r="D1001">
            <v>840.08</v>
          </cell>
        </row>
        <row r="1002">
          <cell r="A1002">
            <v>81480</v>
          </cell>
          <cell r="B1002" t="str">
            <v>TUBO F0F0 K-12 C/FLANGES L = 3,00M DN 300</v>
          </cell>
          <cell r="C1002" t="str">
            <v>UN</v>
          </cell>
          <cell r="D1002">
            <v>905.62</v>
          </cell>
        </row>
        <row r="1003">
          <cell r="A1003">
            <v>81481</v>
          </cell>
          <cell r="B1003" t="str">
            <v>TUBO F0F0 K-12 C/FLANGES L = 3,50M DN 300</v>
          </cell>
          <cell r="C1003" t="str">
            <v>UN</v>
          </cell>
          <cell r="D1003">
            <v>971.09</v>
          </cell>
        </row>
        <row r="1004">
          <cell r="A1004">
            <v>81482</v>
          </cell>
          <cell r="B1004" t="str">
            <v>TUBO F0F0 K-12 C/FLANGES L = 4,00M DN 300</v>
          </cell>
          <cell r="C1004" t="str">
            <v>UN</v>
          </cell>
          <cell r="D1004">
            <v>1039.3499999999999</v>
          </cell>
        </row>
        <row r="1005">
          <cell r="A1005">
            <v>81483</v>
          </cell>
          <cell r="B1005" t="str">
            <v>TUBO F0F0 K-12 C/FLANGES L = 4,50M DN 300</v>
          </cell>
          <cell r="C1005" t="str">
            <v>UN</v>
          </cell>
          <cell r="D1005">
            <v>1104.8499999999999</v>
          </cell>
        </row>
        <row r="1006">
          <cell r="A1006">
            <v>81484</v>
          </cell>
          <cell r="B1006" t="str">
            <v>TUBO F0F0 K-12 C/FLANGES L = 5,00M DN 300</v>
          </cell>
          <cell r="C1006" t="str">
            <v>UN</v>
          </cell>
          <cell r="D1006">
            <v>1170.3800000000001</v>
          </cell>
        </row>
        <row r="1007">
          <cell r="A1007">
            <v>81485</v>
          </cell>
          <cell r="B1007" t="str">
            <v>TUBO F0F0 K-12 C/FLANGES L = 5,50M DN 300</v>
          </cell>
          <cell r="C1007" t="str">
            <v>UN</v>
          </cell>
          <cell r="D1007">
            <v>1235.8699999999999</v>
          </cell>
        </row>
        <row r="1008">
          <cell r="A1008">
            <v>81486</v>
          </cell>
          <cell r="B1008" t="str">
            <v>TUBO F0F0 K-12 C/FLANGES L = 5,80M DN 300</v>
          </cell>
          <cell r="C1008" t="str">
            <v>UN</v>
          </cell>
          <cell r="D1008">
            <v>1275.1199999999999</v>
          </cell>
        </row>
        <row r="1009">
          <cell r="A1009">
            <v>81487</v>
          </cell>
          <cell r="B1009" t="str">
            <v>TUBO F0F0 K-12 C/FLANGES L = 0,25M DN 400</v>
          </cell>
          <cell r="C1009" t="str">
            <v>UN</v>
          </cell>
          <cell r="D1009">
            <v>932.16</v>
          </cell>
        </row>
        <row r="1010">
          <cell r="A1010">
            <v>81488</v>
          </cell>
          <cell r="B1010" t="str">
            <v>TUBO F0F0 K-12 C/FLANGES L = 0,50M DN 400</v>
          </cell>
          <cell r="C1010" t="str">
            <v>UN</v>
          </cell>
          <cell r="D1010">
            <v>1503.68</v>
          </cell>
        </row>
        <row r="1011">
          <cell r="A1011">
            <v>81489</v>
          </cell>
          <cell r="B1011" t="str">
            <v>TUBO F0F0 K-12 C/FLANGES L = 1,00M DN 400</v>
          </cell>
          <cell r="C1011" t="str">
            <v>UN</v>
          </cell>
          <cell r="D1011">
            <v>866.18</v>
          </cell>
        </row>
        <row r="1012">
          <cell r="A1012">
            <v>81490</v>
          </cell>
          <cell r="B1012" t="str">
            <v>TUBO F0F0 K-12 C/FLANGES L = 1,50M DN 400</v>
          </cell>
          <cell r="C1012" t="str">
            <v>UN</v>
          </cell>
          <cell r="D1012">
            <v>954.71</v>
          </cell>
        </row>
        <row r="1013">
          <cell r="A1013">
            <v>81491</v>
          </cell>
          <cell r="B1013" t="str">
            <v>TUBO F0F0 K-12 C/FLANGES L = 2,00M DN 400</v>
          </cell>
          <cell r="C1013" t="str">
            <v>UN</v>
          </cell>
          <cell r="D1013">
            <v>1043.1500000000001</v>
          </cell>
        </row>
        <row r="1014">
          <cell r="A1014">
            <v>81492</v>
          </cell>
          <cell r="B1014" t="str">
            <v>TUBO F0F0 K-12 C/FLANGES L = 2,50M DN 400</v>
          </cell>
          <cell r="C1014" t="str">
            <v>UN</v>
          </cell>
          <cell r="D1014">
            <v>1131.68</v>
          </cell>
        </row>
        <row r="1015">
          <cell r="A1015">
            <v>81493</v>
          </cell>
          <cell r="B1015" t="str">
            <v>TUBO F0F0 K-12 C/FLANGES L = 3,00M DN 400</v>
          </cell>
          <cell r="C1015" t="str">
            <v>UN</v>
          </cell>
          <cell r="D1015">
            <v>1220.21</v>
          </cell>
        </row>
        <row r="1016">
          <cell r="A1016">
            <v>81494</v>
          </cell>
          <cell r="B1016" t="str">
            <v>TUBO F0F0 K-12 C/FLANGES L = 3,50M DN 400</v>
          </cell>
          <cell r="C1016" t="str">
            <v>UN</v>
          </cell>
          <cell r="D1016">
            <v>1308.7</v>
          </cell>
        </row>
        <row r="1017">
          <cell r="A1017">
            <v>81495</v>
          </cell>
          <cell r="B1017" t="str">
            <v>TUBO F0F0 K-12 C/FLANGES L = 4,00M DN 400</v>
          </cell>
          <cell r="C1017" t="str">
            <v>UN</v>
          </cell>
          <cell r="D1017">
            <v>1402.74</v>
          </cell>
        </row>
        <row r="1018">
          <cell r="A1018">
            <v>81496</v>
          </cell>
          <cell r="B1018" t="str">
            <v>TUBO F0F0 K-12 C/FLANGES L = 4,50M DN 400</v>
          </cell>
          <cell r="C1018" t="str">
            <v>UN</v>
          </cell>
          <cell r="D1018">
            <v>1491.19</v>
          </cell>
        </row>
        <row r="1019">
          <cell r="A1019">
            <v>81497</v>
          </cell>
          <cell r="B1019" t="str">
            <v>TUBO F0F0 K-12 C/FLANGES L = 5,00M DN 400</v>
          </cell>
          <cell r="C1019" t="str">
            <v>UN</v>
          </cell>
          <cell r="D1019">
            <v>1579.68</v>
          </cell>
        </row>
        <row r="1020">
          <cell r="A1020">
            <v>81498</v>
          </cell>
          <cell r="B1020" t="str">
            <v>TUBO F0F0 K-12 C/FLANGES L = 5,50M DN 400</v>
          </cell>
          <cell r="C1020" t="str">
            <v>UN</v>
          </cell>
          <cell r="D1020">
            <v>1668.21</v>
          </cell>
        </row>
        <row r="1021">
          <cell r="A1021">
            <v>81499</v>
          </cell>
          <cell r="B1021" t="str">
            <v>TUBO F0F0 K-12 C/FLANGES L = 5,80M DN 400</v>
          </cell>
          <cell r="C1021" t="str">
            <v>UN</v>
          </cell>
          <cell r="D1021">
            <v>1721.26</v>
          </cell>
        </row>
        <row r="1022">
          <cell r="A1022">
            <v>81501</v>
          </cell>
          <cell r="B1022" t="str">
            <v>TUBO F0F0 K-12 C/FLANGES L = 0,25M DN 500</v>
          </cell>
          <cell r="C1022" t="str">
            <v>UN</v>
          </cell>
          <cell r="D1022">
            <v>957.63</v>
          </cell>
        </row>
        <row r="1023">
          <cell r="A1023">
            <v>81502</v>
          </cell>
          <cell r="B1023" t="str">
            <v>TUBO F0F0 K-12 C/FLANGES L = 0,50M DN 500</v>
          </cell>
          <cell r="C1023" t="str">
            <v>UN</v>
          </cell>
          <cell r="D1023">
            <v>1142.53</v>
          </cell>
        </row>
        <row r="1024">
          <cell r="A1024">
            <v>81503</v>
          </cell>
          <cell r="B1024" t="str">
            <v>TUBO F0F0 K-12 C/FLANGES L = 1,00M DN 500</v>
          </cell>
          <cell r="C1024" t="str">
            <v>UN</v>
          </cell>
          <cell r="D1024">
            <v>1162.33</v>
          </cell>
        </row>
        <row r="1025">
          <cell r="A1025">
            <v>81504</v>
          </cell>
          <cell r="B1025" t="str">
            <v>TUBO F0F0 K-12 C/FLANGES L = 1,50M DN 500</v>
          </cell>
          <cell r="C1025" t="str">
            <v>UN</v>
          </cell>
          <cell r="D1025">
            <v>1284.5</v>
          </cell>
        </row>
        <row r="1026">
          <cell r="A1026">
            <v>81505</v>
          </cell>
          <cell r="B1026" t="str">
            <v>TUBO F0F0 K-12 C/FLANGES L = 2,00M DN 500</v>
          </cell>
          <cell r="C1026" t="str">
            <v>UN</v>
          </cell>
          <cell r="D1026">
            <v>1406.57</v>
          </cell>
        </row>
        <row r="1027">
          <cell r="A1027">
            <v>81506</v>
          </cell>
          <cell r="B1027" t="str">
            <v>TUBO F0F0 K-12 C/FLANGES L = 2,50M DN 500</v>
          </cell>
          <cell r="C1027" t="str">
            <v>UN</v>
          </cell>
          <cell r="D1027">
            <v>1528.74</v>
          </cell>
        </row>
        <row r="1028">
          <cell r="A1028">
            <v>81507</v>
          </cell>
          <cell r="B1028" t="str">
            <v>TUBO F0F0 K-12 C/FLANGES L = 3,00M DN 500</v>
          </cell>
          <cell r="C1028" t="str">
            <v>UN</v>
          </cell>
          <cell r="D1028">
            <v>1650.86</v>
          </cell>
        </row>
        <row r="1029">
          <cell r="A1029">
            <v>81508</v>
          </cell>
          <cell r="B1029" t="str">
            <v>TUBO F0F0 K-12 C/FLANGES L = 3,50M DN 500</v>
          </cell>
          <cell r="C1029" t="str">
            <v>UN</v>
          </cell>
          <cell r="D1029">
            <v>1772.99</v>
          </cell>
        </row>
        <row r="1030">
          <cell r="A1030">
            <v>81509</v>
          </cell>
          <cell r="B1030" t="str">
            <v>TUBO F0F0 K-12 C/FLANGES L = 4,00M DN 500</v>
          </cell>
          <cell r="C1030" t="str">
            <v>UN</v>
          </cell>
          <cell r="D1030">
            <v>1897.89</v>
          </cell>
        </row>
        <row r="1031">
          <cell r="A1031">
            <v>81510</v>
          </cell>
          <cell r="B1031" t="str">
            <v>TUBO F0F0 K-12 C/FLANGES L = 4,50M DN 500</v>
          </cell>
          <cell r="C1031" t="str">
            <v>UN</v>
          </cell>
          <cell r="D1031">
            <v>2020</v>
          </cell>
        </row>
        <row r="1032">
          <cell r="A1032">
            <v>81511</v>
          </cell>
          <cell r="B1032" t="str">
            <v>TUBO F0F0 K-12 C/FLANGES L = 5,00M DN 500</v>
          </cell>
          <cell r="C1032" t="str">
            <v>UN</v>
          </cell>
          <cell r="D1032">
            <v>2142.08</v>
          </cell>
        </row>
        <row r="1033">
          <cell r="A1033">
            <v>81512</v>
          </cell>
          <cell r="B1033" t="str">
            <v>TUBO F0F0 K-12 C/FLANGES L = 5,50M DN 500</v>
          </cell>
          <cell r="C1033" t="str">
            <v>UN</v>
          </cell>
          <cell r="D1033">
            <v>2264.1999999999998</v>
          </cell>
        </row>
        <row r="1034">
          <cell r="A1034">
            <v>81513</v>
          </cell>
          <cell r="B1034" t="str">
            <v>TUBO F0F0 K-12 C/FLANGES L = 5,80M DN 500</v>
          </cell>
          <cell r="C1034" t="str">
            <v>UN</v>
          </cell>
          <cell r="D1034">
            <v>2337.52</v>
          </cell>
        </row>
        <row r="1035">
          <cell r="A1035">
            <v>81514</v>
          </cell>
          <cell r="B1035" t="str">
            <v>TUBO F0F0 K-12 C/FLANGES L = 0,25M DN 600</v>
          </cell>
          <cell r="C1035" t="str">
            <v>UN</v>
          </cell>
          <cell r="D1035">
            <v>1804.85</v>
          </cell>
        </row>
        <row r="1036">
          <cell r="A1036">
            <v>81515</v>
          </cell>
          <cell r="B1036" t="str">
            <v>TUBO F0F0 K-12 C/FLANGES L = 0,50M DN 600</v>
          </cell>
          <cell r="C1036" t="str">
            <v>UN</v>
          </cell>
          <cell r="D1036">
            <v>2074.73</v>
          </cell>
        </row>
        <row r="1037">
          <cell r="A1037">
            <v>81516</v>
          </cell>
          <cell r="B1037" t="str">
            <v>TUBO F0F0 K-12 C/FLANGES L = 1,00M DN 600</v>
          </cell>
          <cell r="C1037" t="str">
            <v>UN</v>
          </cell>
          <cell r="D1037">
            <v>1579.31</v>
          </cell>
        </row>
        <row r="1038">
          <cell r="A1038">
            <v>81517</v>
          </cell>
          <cell r="B1038" t="str">
            <v>TUBO F0F0 K-12 C/FLANGES L = 1,50M DN 600</v>
          </cell>
          <cell r="C1038" t="str">
            <v>UN</v>
          </cell>
          <cell r="D1038">
            <v>1740.39</v>
          </cell>
        </row>
        <row r="1039">
          <cell r="A1039">
            <v>81518</v>
          </cell>
          <cell r="B1039" t="str">
            <v>TUBO F0F0 K-12 C/FLANGES L = 2,00M DN 600</v>
          </cell>
          <cell r="C1039" t="str">
            <v>UN</v>
          </cell>
          <cell r="D1039">
            <v>1901.41</v>
          </cell>
        </row>
        <row r="1040">
          <cell r="A1040">
            <v>81519</v>
          </cell>
          <cell r="B1040" t="str">
            <v>TUBO F0F0 K-12 C/FLANGES L = 2,50M DN 600</v>
          </cell>
          <cell r="C1040" t="str">
            <v>UN</v>
          </cell>
          <cell r="D1040">
            <v>2062.5100000000002</v>
          </cell>
        </row>
        <row r="1041">
          <cell r="A1041">
            <v>81520</v>
          </cell>
          <cell r="B1041" t="str">
            <v>TUBO F0F0 K-12 C/FLANGES L = 3,00M DN 600</v>
          </cell>
          <cell r="C1041" t="str">
            <v>UN</v>
          </cell>
          <cell r="D1041">
            <v>2223.61</v>
          </cell>
        </row>
        <row r="1042">
          <cell r="A1042">
            <v>81521</v>
          </cell>
          <cell r="B1042" t="str">
            <v>TUBO F0F0 K-12 C/FLANGES L = 3,50M DN 600</v>
          </cell>
          <cell r="C1042" t="str">
            <v>UN</v>
          </cell>
          <cell r="D1042">
            <v>2384.61</v>
          </cell>
        </row>
        <row r="1043">
          <cell r="A1043">
            <v>81522</v>
          </cell>
          <cell r="B1043" t="str">
            <v>TUBO F0F0 K-12 C/FLANGES L = 4,00M DN 600</v>
          </cell>
          <cell r="C1043" t="str">
            <v>UN</v>
          </cell>
          <cell r="D1043">
            <v>2551.1799999999998</v>
          </cell>
        </row>
        <row r="1044">
          <cell r="A1044">
            <v>81523</v>
          </cell>
          <cell r="B1044" t="str">
            <v>TUBO F0F0 K-12 C/FLANGES L = 4,50M DN 600</v>
          </cell>
          <cell r="C1044" t="str">
            <v>UN</v>
          </cell>
          <cell r="D1044">
            <v>2712.26</v>
          </cell>
        </row>
        <row r="1045">
          <cell r="A1045">
            <v>81524</v>
          </cell>
          <cell r="B1045" t="str">
            <v>TUBO F0F0 K-12 C/FLANGES L = 5,00M DN 600</v>
          </cell>
          <cell r="C1045" t="str">
            <v>UN</v>
          </cell>
          <cell r="D1045">
            <v>2873.36</v>
          </cell>
        </row>
        <row r="1046">
          <cell r="A1046">
            <v>81525</v>
          </cell>
          <cell r="B1046" t="str">
            <v>TUBO F0F0 K-12 C/FLANGES L = 5,50M DN 600</v>
          </cell>
          <cell r="C1046" t="str">
            <v>UN</v>
          </cell>
          <cell r="D1046">
            <v>3034.44</v>
          </cell>
        </row>
        <row r="1047">
          <cell r="A1047">
            <v>81526</v>
          </cell>
          <cell r="B1047" t="str">
            <v>TUBO F0F0 K-12 C/FLANGES L = 5,80M DN 600</v>
          </cell>
          <cell r="C1047" t="str">
            <v>UN</v>
          </cell>
          <cell r="D1047">
            <v>3131.1</v>
          </cell>
        </row>
        <row r="1048">
          <cell r="A1048">
            <v>81527</v>
          </cell>
          <cell r="B1048" t="str">
            <v>TUBO F0F0 K-12 C/FLANGES L = 0,25M DN 700</v>
          </cell>
          <cell r="C1048" t="str">
            <v>UN</v>
          </cell>
          <cell r="D1048">
            <v>2110.89</v>
          </cell>
        </row>
        <row r="1049">
          <cell r="A1049">
            <v>81528</v>
          </cell>
          <cell r="B1049" t="str">
            <v>TUBO F0F0 K-12 C/FLANGES L = 0,50M DN 700</v>
          </cell>
          <cell r="C1049" t="str">
            <v>UN</v>
          </cell>
          <cell r="D1049">
            <v>2468.2399999999998</v>
          </cell>
        </row>
        <row r="1050">
          <cell r="A1050">
            <v>81529</v>
          </cell>
          <cell r="B1050" t="str">
            <v>TUBO F0F0 K-12 C/FLANGES L = 1,00M DN 700</v>
          </cell>
          <cell r="C1050" t="str">
            <v>UN</v>
          </cell>
          <cell r="D1050">
            <v>3692.86</v>
          </cell>
        </row>
        <row r="1051">
          <cell r="A1051">
            <v>81530</v>
          </cell>
          <cell r="B1051" t="str">
            <v>TUBO F0F0 K-12 C/FLANGES L = 1,50M DN 700</v>
          </cell>
          <cell r="C1051" t="str">
            <v>UN</v>
          </cell>
          <cell r="D1051">
            <v>3910.11</v>
          </cell>
        </row>
        <row r="1052">
          <cell r="A1052">
            <v>81531</v>
          </cell>
          <cell r="B1052" t="str">
            <v>TUBO F0F0 K-12 C/FLANGES L = 2,00M DN 700</v>
          </cell>
          <cell r="C1052" t="str">
            <v>UN</v>
          </cell>
          <cell r="D1052">
            <v>4127.33</v>
          </cell>
        </row>
        <row r="1053">
          <cell r="A1053">
            <v>81532</v>
          </cell>
          <cell r="B1053" t="str">
            <v>TUBO F0F0 K-12 C/FLANGES L = 2,50M DN 700</v>
          </cell>
          <cell r="C1053" t="str">
            <v>UN</v>
          </cell>
          <cell r="D1053">
            <v>4344.62</v>
          </cell>
        </row>
        <row r="1054">
          <cell r="A1054">
            <v>81533</v>
          </cell>
          <cell r="B1054" t="str">
            <v>TUBO F0F0 K-12 C/FLANGES L = 3,00M DN 700</v>
          </cell>
          <cell r="C1054" t="str">
            <v>UN</v>
          </cell>
          <cell r="D1054">
            <v>4561.88</v>
          </cell>
        </row>
        <row r="1055">
          <cell r="A1055">
            <v>81534</v>
          </cell>
          <cell r="B1055" t="str">
            <v>TUBO F0F0 K-12 C/FLANGES L = 3,50M DN 700</v>
          </cell>
          <cell r="C1055" t="str">
            <v>UN</v>
          </cell>
          <cell r="D1055">
            <v>4779.1000000000004</v>
          </cell>
        </row>
        <row r="1056">
          <cell r="A1056">
            <v>81535</v>
          </cell>
          <cell r="B1056" t="str">
            <v>TUBO F0F0 K-12 C/FLANGES L = 4,00M DN 700</v>
          </cell>
          <cell r="C1056" t="str">
            <v>UN</v>
          </cell>
          <cell r="D1056">
            <v>4996.3500000000004</v>
          </cell>
        </row>
        <row r="1057">
          <cell r="A1057">
            <v>81536</v>
          </cell>
          <cell r="B1057" t="str">
            <v>TUBO F0F0 K-12 C/FLANGES L = 4,50M DN 700</v>
          </cell>
          <cell r="C1057" t="str">
            <v>UN</v>
          </cell>
          <cell r="D1057">
            <v>5213.6099999999997</v>
          </cell>
        </row>
        <row r="1058">
          <cell r="A1058">
            <v>81537</v>
          </cell>
          <cell r="B1058" t="str">
            <v>TUBO F0F0 K-12 C/FLANGES L = 5,00M DN 700</v>
          </cell>
          <cell r="C1058" t="str">
            <v>UN</v>
          </cell>
          <cell r="D1058">
            <v>5430.89</v>
          </cell>
        </row>
        <row r="1059">
          <cell r="A1059">
            <v>81538</v>
          </cell>
          <cell r="B1059" t="str">
            <v>TUBO F0F0 K-12 C/FLANGES L = 5,50M DN 700</v>
          </cell>
          <cell r="C1059" t="str">
            <v>UN</v>
          </cell>
          <cell r="D1059">
            <v>5648.19</v>
          </cell>
        </row>
        <row r="1060">
          <cell r="A1060">
            <v>81539</v>
          </cell>
          <cell r="B1060" t="str">
            <v>TUBO F0F0 K-12 C/FLANGES L = 6,00M DN 700</v>
          </cell>
          <cell r="C1060" t="str">
            <v>UN</v>
          </cell>
          <cell r="D1060">
            <v>5865.44</v>
          </cell>
        </row>
        <row r="1061">
          <cell r="A1061">
            <v>81540</v>
          </cell>
          <cell r="B1061" t="str">
            <v>TUBO F0F0 K-12 C/FLANGES L = 6,50M DN 700</v>
          </cell>
          <cell r="C1061" t="str">
            <v>UN</v>
          </cell>
          <cell r="D1061">
            <v>6082.7</v>
          </cell>
        </row>
        <row r="1062">
          <cell r="A1062">
            <v>81541</v>
          </cell>
          <cell r="B1062" t="str">
            <v>TUBO F0F0 K-12 C/FLANGES L = 6,80M DN 700</v>
          </cell>
          <cell r="C1062" t="str">
            <v>UN</v>
          </cell>
          <cell r="D1062">
            <v>6213.06</v>
          </cell>
        </row>
        <row r="1063">
          <cell r="A1063">
            <v>81542</v>
          </cell>
          <cell r="B1063" t="str">
            <v>TUBO F0F0 K-12 C/FLANGES L = 0,25M DN 800</v>
          </cell>
          <cell r="C1063" t="str">
            <v>UN</v>
          </cell>
          <cell r="D1063">
            <v>2639.86</v>
          </cell>
        </row>
        <row r="1064">
          <cell r="A1064">
            <v>81543</v>
          </cell>
          <cell r="B1064" t="str">
            <v>TUBO F0F0 K-12 C/FLANGES L = 0,50M DN 800</v>
          </cell>
          <cell r="C1064" t="str">
            <v>UN</v>
          </cell>
          <cell r="D1064">
            <v>3077.08</v>
          </cell>
        </row>
        <row r="1065">
          <cell r="A1065">
            <v>81544</v>
          </cell>
          <cell r="B1065" t="str">
            <v>TUBO F0F0 K-12 C/FLANGES L = 1,00M DN 800</v>
          </cell>
          <cell r="C1065" t="str">
            <v>UN</v>
          </cell>
          <cell r="D1065">
            <v>4536.93</v>
          </cell>
        </row>
        <row r="1066">
          <cell r="A1066">
            <v>81545</v>
          </cell>
          <cell r="B1066" t="str">
            <v>TUBO F0F0 K-12 C/FLANGES L = 1,50M DN 800</v>
          </cell>
          <cell r="C1066" t="str">
            <v>UN</v>
          </cell>
          <cell r="D1066">
            <v>4805.93</v>
          </cell>
        </row>
        <row r="1067">
          <cell r="A1067">
            <v>81546</v>
          </cell>
          <cell r="B1067" t="str">
            <v>TUBO F0F0 K-12 C/FLANGES L = 2,00M DN 800</v>
          </cell>
          <cell r="C1067" t="str">
            <v>UN</v>
          </cell>
          <cell r="D1067">
            <v>5074.9399999999996</v>
          </cell>
        </row>
        <row r="1068">
          <cell r="A1068">
            <v>81547</v>
          </cell>
          <cell r="B1068" t="str">
            <v>TUBO F0F0 K-12 C/FLANGES L = 2,50M DN 800</v>
          </cell>
          <cell r="C1068" t="str">
            <v>UN</v>
          </cell>
          <cell r="D1068">
            <v>5343.94</v>
          </cell>
        </row>
        <row r="1069">
          <cell r="A1069">
            <v>81548</v>
          </cell>
          <cell r="B1069" t="str">
            <v>TUBO F0F0 K-12 C/FLANGES L = 3,00M DN 800</v>
          </cell>
          <cell r="C1069" t="str">
            <v>UN</v>
          </cell>
          <cell r="D1069">
            <v>5612.92</v>
          </cell>
        </row>
        <row r="1070">
          <cell r="A1070">
            <v>81549</v>
          </cell>
          <cell r="B1070" t="str">
            <v>TUBO F0F0 K-12 C/FLANGES L = 3,50M DN 800</v>
          </cell>
          <cell r="C1070" t="str">
            <v>UN</v>
          </cell>
          <cell r="D1070">
            <v>5881.84</v>
          </cell>
        </row>
        <row r="1071">
          <cell r="A1071">
            <v>81550</v>
          </cell>
          <cell r="B1071" t="str">
            <v>TUBO F0F0 K-12 C/FLANGES L = 4,00M DN 800</v>
          </cell>
          <cell r="C1071" t="str">
            <v>UN</v>
          </cell>
          <cell r="D1071">
            <v>6150.88</v>
          </cell>
        </row>
        <row r="1072">
          <cell r="A1072">
            <v>81551</v>
          </cell>
          <cell r="B1072" t="str">
            <v>TUBO F0F0 K-12 C/FLANGES L = 4,50M DN 800</v>
          </cell>
          <cell r="C1072" t="str">
            <v>UN</v>
          </cell>
          <cell r="D1072">
            <v>6419.89</v>
          </cell>
        </row>
        <row r="1073">
          <cell r="A1073">
            <v>81552</v>
          </cell>
          <cell r="B1073" t="str">
            <v>TUBO F0F0 K-12 C/FLANGES L = 5,00M DN 800</v>
          </cell>
          <cell r="C1073" t="str">
            <v>UN</v>
          </cell>
          <cell r="D1073">
            <v>6688.88</v>
          </cell>
        </row>
        <row r="1074">
          <cell r="A1074">
            <v>81553</v>
          </cell>
          <cell r="B1074" t="str">
            <v>TUBO F0F0 K-12 C/FLANGES L = 5,50M DN 800</v>
          </cell>
          <cell r="C1074" t="str">
            <v>UN</v>
          </cell>
          <cell r="D1074">
            <v>6957.89</v>
          </cell>
        </row>
        <row r="1075">
          <cell r="A1075">
            <v>81554</v>
          </cell>
          <cell r="B1075" t="str">
            <v>TUBO F0F0 K-12 C/FLANGES L = 6,00M DN 800</v>
          </cell>
          <cell r="C1075" t="str">
            <v>UN</v>
          </cell>
          <cell r="D1075">
            <v>7226.78</v>
          </cell>
        </row>
        <row r="1076">
          <cell r="A1076">
            <v>81555</v>
          </cell>
          <cell r="B1076" t="str">
            <v>TUBO F0F0 K-12 C/FLANGES L = 6,50M DN 800</v>
          </cell>
          <cell r="C1076" t="str">
            <v>UN</v>
          </cell>
          <cell r="D1076">
            <v>7495.88</v>
          </cell>
        </row>
        <row r="1077">
          <cell r="A1077">
            <v>81556</v>
          </cell>
          <cell r="B1077" t="str">
            <v>TUBO F0F0 K-12 C/FLANGES L = 6,80M DN 800</v>
          </cell>
          <cell r="C1077" t="str">
            <v>UN</v>
          </cell>
          <cell r="D1077">
            <v>7657.25</v>
          </cell>
        </row>
        <row r="1078">
          <cell r="A1078">
            <v>81557</v>
          </cell>
          <cell r="B1078" t="str">
            <v>TUBO F0F0 K-12 C/FLANGES L = 0,25M DN 900</v>
          </cell>
          <cell r="C1078" t="str">
            <v>UN</v>
          </cell>
          <cell r="D1078">
            <v>2952.48</v>
          </cell>
        </row>
        <row r="1079">
          <cell r="A1079">
            <v>81558</v>
          </cell>
          <cell r="B1079" t="str">
            <v>TUBO F0F0 K-12 C/FLANGES L = 0,50M DN 900</v>
          </cell>
          <cell r="C1079" t="str">
            <v>UN</v>
          </cell>
          <cell r="D1079">
            <v>3424.56</v>
          </cell>
        </row>
        <row r="1080">
          <cell r="A1080">
            <v>81559</v>
          </cell>
          <cell r="B1080" t="str">
            <v>TUBO F0F0 K-12 C/FLANGES L = 1,00M DN 900</v>
          </cell>
          <cell r="C1080" t="str">
            <v>UN</v>
          </cell>
          <cell r="D1080">
            <v>6181.28</v>
          </cell>
        </row>
        <row r="1081">
          <cell r="A1081">
            <v>81560</v>
          </cell>
          <cell r="B1081" t="str">
            <v>TUBO F0F0 K-12 C/FLANGES L = 1,50M DN 900</v>
          </cell>
          <cell r="C1081" t="str">
            <v>UN</v>
          </cell>
          <cell r="D1081">
            <v>6505.73</v>
          </cell>
        </row>
        <row r="1082">
          <cell r="A1082">
            <v>81561</v>
          </cell>
          <cell r="B1082" t="str">
            <v>TUBO F0F0 K-12 C/FLANGES L = 2,00M DN 900</v>
          </cell>
          <cell r="C1082" t="str">
            <v>UN</v>
          </cell>
          <cell r="D1082">
            <v>6830.23</v>
          </cell>
        </row>
        <row r="1083">
          <cell r="A1083">
            <v>81562</v>
          </cell>
          <cell r="B1083" t="str">
            <v>TUBO F0F0 K-12 C/FLANGES L = 0,25M DN 1000</v>
          </cell>
          <cell r="C1083" t="str">
            <v>UN</v>
          </cell>
          <cell r="D1083">
            <v>3937.9</v>
          </cell>
        </row>
        <row r="1084">
          <cell r="A1084">
            <v>81563</v>
          </cell>
          <cell r="B1084" t="str">
            <v>TUBO F0F0 K-12 C/FLANGES L = 0,50M DN 1000</v>
          </cell>
          <cell r="C1084" t="str">
            <v>UN</v>
          </cell>
          <cell r="D1084">
            <v>4573.91</v>
          </cell>
        </row>
        <row r="1085">
          <cell r="A1085">
            <v>81564</v>
          </cell>
          <cell r="B1085" t="str">
            <v>TUBO F0F0 K-12 C/FLANGES L = 1,00M DN 1000</v>
          </cell>
          <cell r="C1085" t="str">
            <v>UN</v>
          </cell>
          <cell r="D1085">
            <v>7885.29</v>
          </cell>
        </row>
        <row r="1086">
          <cell r="A1086">
            <v>81565</v>
          </cell>
          <cell r="B1086" t="str">
            <v>TUBO F0F0 K-12 C/FLANGES L = 1,50M DN 1000</v>
          </cell>
          <cell r="C1086" t="str">
            <v>UN</v>
          </cell>
          <cell r="D1086">
            <v>8268.31</v>
          </cell>
        </row>
        <row r="1087">
          <cell r="A1087">
            <v>81566</v>
          </cell>
          <cell r="B1087" t="str">
            <v>TUBO F0F0 K-12 C/FLANGES L = 2,00M DN 1000</v>
          </cell>
          <cell r="C1087" t="str">
            <v>UN</v>
          </cell>
          <cell r="D1087">
            <v>8651.34</v>
          </cell>
        </row>
        <row r="1088">
          <cell r="A1088">
            <v>81567</v>
          </cell>
          <cell r="B1088" t="str">
            <v>CURVA 90G F0F0 C/FLANGES DN 400</v>
          </cell>
          <cell r="C1088" t="str">
            <v>UN</v>
          </cell>
          <cell r="D1088">
            <v>882.52</v>
          </cell>
        </row>
        <row r="1089">
          <cell r="A1089">
            <v>81568</v>
          </cell>
          <cell r="B1089" t="str">
            <v>CURVA 90G F0F0 C/FLANGES DN 500</v>
          </cell>
          <cell r="C1089" t="str">
            <v>UN</v>
          </cell>
          <cell r="D1089">
            <v>1517.46</v>
          </cell>
        </row>
        <row r="1090">
          <cell r="A1090">
            <v>81569</v>
          </cell>
          <cell r="B1090" t="str">
            <v>CURVA 90G F0F0 C/FLANGES DN 600</v>
          </cell>
          <cell r="C1090" t="str">
            <v>UN</v>
          </cell>
          <cell r="D1090">
            <v>2138.98</v>
          </cell>
        </row>
        <row r="1091">
          <cell r="A1091">
            <v>81570</v>
          </cell>
          <cell r="B1091" t="str">
            <v>CURVA 90G F0F0 C/FLANGES DN 700</v>
          </cell>
          <cell r="C1091" t="str">
            <v>UN</v>
          </cell>
          <cell r="D1091">
            <v>3974.4</v>
          </cell>
        </row>
        <row r="1092">
          <cell r="A1092">
            <v>81571</v>
          </cell>
          <cell r="B1092" t="str">
            <v>CURVA 90G F0F0 C/FLANGES DN 800</v>
          </cell>
          <cell r="C1092" t="str">
            <v>UN</v>
          </cell>
          <cell r="D1092">
            <v>5783.35</v>
          </cell>
        </row>
        <row r="1093">
          <cell r="A1093">
            <v>81572</v>
          </cell>
          <cell r="B1093" t="str">
            <v>CURVA 90G F0F0 C/FLANGES DN 900</v>
          </cell>
          <cell r="C1093" t="str">
            <v>UN</v>
          </cell>
          <cell r="D1093">
            <v>6639.76</v>
          </cell>
        </row>
        <row r="1094">
          <cell r="A1094">
            <v>81573</v>
          </cell>
          <cell r="B1094" t="str">
            <v>CURVA 90G F0F0 C/FLANGES DN 1000</v>
          </cell>
          <cell r="C1094" t="str">
            <v>UN</v>
          </cell>
          <cell r="D1094">
            <v>9105.3799999999992</v>
          </cell>
        </row>
        <row r="1095">
          <cell r="A1095">
            <v>81574</v>
          </cell>
          <cell r="B1095" t="str">
            <v>CURVA DE PE 90G F0F0 C/FLANGES DN 50</v>
          </cell>
          <cell r="C1095" t="str">
            <v>UN</v>
          </cell>
          <cell r="D1095">
            <v>70.89</v>
          </cell>
        </row>
        <row r="1096">
          <cell r="A1096">
            <v>81575</v>
          </cell>
          <cell r="B1096" t="str">
            <v>CURVA DE PE 90G F0F0 C/FLANGES DN 75</v>
          </cell>
          <cell r="C1096" t="str">
            <v>UN</v>
          </cell>
          <cell r="D1096">
            <v>111.46</v>
          </cell>
        </row>
        <row r="1097">
          <cell r="A1097">
            <v>81576</v>
          </cell>
          <cell r="B1097" t="str">
            <v>CURVA DE PE 90G F0F0 C/FLANGES DN 100</v>
          </cell>
          <cell r="C1097" t="str">
            <v>UN</v>
          </cell>
          <cell r="D1097">
            <v>172.42</v>
          </cell>
        </row>
        <row r="1098">
          <cell r="A1098">
            <v>81577</v>
          </cell>
          <cell r="B1098" t="str">
            <v>CURVA DE PE 90G F0F0 C/FLANGES DN 150</v>
          </cell>
          <cell r="C1098" t="str">
            <v>UN</v>
          </cell>
          <cell r="D1098">
            <v>271.01</v>
          </cell>
        </row>
        <row r="1099">
          <cell r="A1099">
            <v>81578</v>
          </cell>
          <cell r="B1099" t="str">
            <v>CURVA DE PE 90G F0F0 C/FLANGES DN 200</v>
          </cell>
          <cell r="C1099" t="str">
            <v>UN</v>
          </cell>
          <cell r="D1099">
            <v>363.29</v>
          </cell>
        </row>
        <row r="1100">
          <cell r="A1100">
            <v>81579</v>
          </cell>
          <cell r="B1100" t="str">
            <v>CURVA DE PE 90G F0F0 C/FLANGES DN 250</v>
          </cell>
          <cell r="C1100" t="str">
            <v>UN</v>
          </cell>
          <cell r="D1100">
            <v>451.06</v>
          </cell>
        </row>
        <row r="1101">
          <cell r="A1101">
            <v>81580</v>
          </cell>
          <cell r="B1101" t="str">
            <v>CURVA DE PE 90G F0F0 C/FLANGES DN 300</v>
          </cell>
          <cell r="C1101" t="str">
            <v>UN</v>
          </cell>
          <cell r="D1101">
            <v>1649.06</v>
          </cell>
        </row>
        <row r="1102">
          <cell r="A1102">
            <v>81581</v>
          </cell>
          <cell r="B1102" t="str">
            <v>CURVA DE PE 90G F0F0 C/FLANGES DN 400</v>
          </cell>
          <cell r="C1102" t="str">
            <v>UN</v>
          </cell>
          <cell r="D1102">
            <v>2206.89</v>
          </cell>
        </row>
        <row r="1103">
          <cell r="A1103">
            <v>81582</v>
          </cell>
          <cell r="B1103" t="str">
            <v>CURVA DE PE 90G F0F0 C/FLANGES DN 500</v>
          </cell>
          <cell r="C1103" t="str">
            <v>UN</v>
          </cell>
          <cell r="D1103">
            <v>2919.15</v>
          </cell>
        </row>
        <row r="1104">
          <cell r="A1104">
            <v>81583</v>
          </cell>
          <cell r="B1104" t="str">
            <v>CURVA DE PE 90G F0F0 C/FLANGES DN 600</v>
          </cell>
          <cell r="C1104" t="str">
            <v>UN</v>
          </cell>
          <cell r="D1104">
            <v>3465.87</v>
          </cell>
        </row>
        <row r="1105">
          <cell r="A1105">
            <v>81584</v>
          </cell>
          <cell r="B1105" t="str">
            <v>CURVA 45G F0F0 C/FLANGES DN 50</v>
          </cell>
          <cell r="C1105" t="str">
            <v>UN</v>
          </cell>
          <cell r="D1105">
            <v>56.39</v>
          </cell>
        </row>
        <row r="1106">
          <cell r="A1106">
            <v>81585</v>
          </cell>
          <cell r="B1106" t="str">
            <v>CURVA 45G F0F0 C/FLANGES DN 75</v>
          </cell>
          <cell r="C1106" t="str">
            <v>UN</v>
          </cell>
          <cell r="D1106">
            <v>85.11</v>
          </cell>
        </row>
        <row r="1107">
          <cell r="A1107">
            <v>81586</v>
          </cell>
          <cell r="B1107" t="str">
            <v>CURVA 45G F0F0 C/FLANGES DN 100</v>
          </cell>
          <cell r="C1107" t="str">
            <v>UN</v>
          </cell>
          <cell r="D1107">
            <v>98.87</v>
          </cell>
        </row>
        <row r="1108">
          <cell r="A1108">
            <v>81587</v>
          </cell>
          <cell r="B1108" t="str">
            <v>CURVA 45G F0F0 C/FLANGES DN 150</v>
          </cell>
          <cell r="C1108" t="str">
            <v>UN</v>
          </cell>
          <cell r="D1108">
            <v>137.01</v>
          </cell>
        </row>
        <row r="1109">
          <cell r="A1109">
            <v>81588</v>
          </cell>
          <cell r="B1109" t="str">
            <v>CURVA 45G F0F0 C/FLANGES DN 200</v>
          </cell>
          <cell r="C1109" t="str">
            <v>UN</v>
          </cell>
          <cell r="D1109">
            <v>207.05</v>
          </cell>
        </row>
        <row r="1110">
          <cell r="A1110">
            <v>81589</v>
          </cell>
          <cell r="B1110" t="str">
            <v>CURVA 45G F0F0 C/FLANGES DN 250</v>
          </cell>
          <cell r="C1110" t="str">
            <v>UN</v>
          </cell>
          <cell r="D1110">
            <v>441.99</v>
          </cell>
        </row>
        <row r="1111">
          <cell r="A1111">
            <v>81590</v>
          </cell>
          <cell r="B1111" t="str">
            <v>CURVA 45G F0F0 C/FLANGES DN 300</v>
          </cell>
          <cell r="C1111" t="str">
            <v>UN</v>
          </cell>
          <cell r="D1111">
            <v>616.16</v>
          </cell>
        </row>
        <row r="1112">
          <cell r="A1112">
            <v>81591</v>
          </cell>
          <cell r="B1112" t="str">
            <v>CURVA 45G F0F0 C/FLANGES DN 400</v>
          </cell>
          <cell r="C1112" t="str">
            <v>UN</v>
          </cell>
          <cell r="D1112">
            <v>1445.86</v>
          </cell>
        </row>
        <row r="1113">
          <cell r="A1113">
            <v>81592</v>
          </cell>
          <cell r="B1113" t="str">
            <v>CURVA 45G F0F0 C/FLANGES DN 500</v>
          </cell>
          <cell r="C1113" t="str">
            <v>UN</v>
          </cell>
          <cell r="D1113">
            <v>1625.09</v>
          </cell>
        </row>
        <row r="1114">
          <cell r="A1114">
            <v>81593</v>
          </cell>
          <cell r="B1114" t="str">
            <v>CURVA 45G F0F0 C/FLANGES DN 600</v>
          </cell>
          <cell r="C1114" t="str">
            <v>UN</v>
          </cell>
          <cell r="D1114">
            <v>2186.0500000000002</v>
          </cell>
        </row>
        <row r="1115">
          <cell r="A1115">
            <v>81594</v>
          </cell>
          <cell r="B1115" t="str">
            <v>CURVA 45G F0F0 C/FLANGES DN 700</v>
          </cell>
          <cell r="C1115" t="str">
            <v>UN</v>
          </cell>
          <cell r="D1115">
            <v>3242.32</v>
          </cell>
        </row>
        <row r="1116">
          <cell r="A1116">
            <v>81595</v>
          </cell>
          <cell r="B1116" t="str">
            <v>CURVA 45G F0F0 C/FLANGES DN 800</v>
          </cell>
          <cell r="C1116" t="str">
            <v>UN</v>
          </cell>
          <cell r="D1116">
            <v>4230.3</v>
          </cell>
        </row>
        <row r="1117">
          <cell r="A1117">
            <v>81596</v>
          </cell>
          <cell r="B1117" t="str">
            <v>CURVA 45G F0F0 C/FLANGES DN 900</v>
          </cell>
          <cell r="C1117" t="str">
            <v>UN</v>
          </cell>
          <cell r="D1117">
            <v>4931.58</v>
          </cell>
        </row>
        <row r="1118">
          <cell r="A1118">
            <v>81597</v>
          </cell>
          <cell r="B1118" t="str">
            <v>CURVA 45G F0F0 C/FLANGES DN 1000</v>
          </cell>
          <cell r="C1118" t="str">
            <v>UN</v>
          </cell>
          <cell r="D1118">
            <v>6120.59</v>
          </cell>
        </row>
        <row r="1119">
          <cell r="A1119">
            <v>81598</v>
          </cell>
          <cell r="B1119" t="str">
            <v>TE F0F0 C/FLANGES DN 50 X 50</v>
          </cell>
          <cell r="C1119" t="str">
            <v>UN</v>
          </cell>
          <cell r="D1119">
            <v>104.13</v>
          </cell>
        </row>
        <row r="1120">
          <cell r="A1120">
            <v>81599</v>
          </cell>
          <cell r="B1120" t="str">
            <v>TE F0F0 C/FLANGES DN 75 X 50</v>
          </cell>
          <cell r="C1120" t="str">
            <v>UN</v>
          </cell>
          <cell r="D1120">
            <v>147.11000000000001</v>
          </cell>
        </row>
        <row r="1121">
          <cell r="A1121">
            <v>81601</v>
          </cell>
          <cell r="B1121" t="str">
            <v>TE F0F0 C/FLANGES DN 75 X 75</v>
          </cell>
          <cell r="C1121" t="str">
            <v>UN</v>
          </cell>
          <cell r="D1121">
            <v>123.44</v>
          </cell>
        </row>
        <row r="1122">
          <cell r="A1122">
            <v>81602</v>
          </cell>
          <cell r="B1122" t="str">
            <v>TE F0F0 C/FLANGES DN 100 X 50</v>
          </cell>
          <cell r="C1122" t="str">
            <v>UN</v>
          </cell>
          <cell r="D1122">
            <v>132.68</v>
          </cell>
        </row>
        <row r="1123">
          <cell r="A1123">
            <v>81603</v>
          </cell>
          <cell r="B1123" t="str">
            <v>TE F0F0 C/FLANGES DN 100 X 75</v>
          </cell>
          <cell r="C1123" t="str">
            <v>UN</v>
          </cell>
          <cell r="D1123">
            <v>140.75</v>
          </cell>
        </row>
        <row r="1124">
          <cell r="A1124">
            <v>81604</v>
          </cell>
          <cell r="B1124" t="str">
            <v>TE F0F0 C/FLANGES DN 100 X 100</v>
          </cell>
          <cell r="C1124" t="str">
            <v>UN</v>
          </cell>
          <cell r="D1124">
            <v>146.88999999999999</v>
          </cell>
        </row>
        <row r="1125">
          <cell r="A1125">
            <v>81605</v>
          </cell>
          <cell r="B1125" t="str">
            <v>TE F0F0 C/FLANGES DN 150 X 50</v>
          </cell>
          <cell r="C1125" t="str">
            <v>UN</v>
          </cell>
          <cell r="D1125">
            <v>235.31</v>
          </cell>
        </row>
        <row r="1126">
          <cell r="A1126">
            <v>81606</v>
          </cell>
          <cell r="B1126" t="str">
            <v>TE F0F0 C/FLANGES DN 150 X 75</v>
          </cell>
          <cell r="C1126" t="str">
            <v>UN</v>
          </cell>
          <cell r="D1126">
            <v>242.87</v>
          </cell>
        </row>
        <row r="1127">
          <cell r="A1127">
            <v>81607</v>
          </cell>
          <cell r="B1127" t="str">
            <v>TE F0F0 C/FLANGES DN 150 X 100</v>
          </cell>
          <cell r="C1127" t="str">
            <v>UN</v>
          </cell>
          <cell r="D1127">
            <v>204.65</v>
          </cell>
        </row>
        <row r="1128">
          <cell r="A1128">
            <v>81608</v>
          </cell>
          <cell r="B1128" t="str">
            <v>TE F0F0 C/FLANGES DN 150 X 150</v>
          </cell>
          <cell r="C1128" t="str">
            <v>UN</v>
          </cell>
          <cell r="D1128">
            <v>225.93</v>
          </cell>
        </row>
        <row r="1129">
          <cell r="A1129">
            <v>81609</v>
          </cell>
          <cell r="B1129" t="str">
            <v>TE F0F0 C/FLANGES DN 200 X 50</v>
          </cell>
          <cell r="C1129" t="str">
            <v>UN</v>
          </cell>
          <cell r="D1129">
            <v>363.09</v>
          </cell>
        </row>
        <row r="1130">
          <cell r="A1130">
            <v>81610</v>
          </cell>
          <cell r="B1130" t="str">
            <v>TE F0F0 C/FLANGES DN 200 X 75</v>
          </cell>
          <cell r="C1130" t="str">
            <v>UN</v>
          </cell>
          <cell r="D1130">
            <v>323.74</v>
          </cell>
        </row>
        <row r="1131">
          <cell r="A1131">
            <v>81611</v>
          </cell>
          <cell r="B1131" t="str">
            <v>TE F0F0 C/FLANGES DN 200 X 100</v>
          </cell>
          <cell r="C1131" t="str">
            <v>UN</v>
          </cell>
          <cell r="D1131">
            <v>330.89</v>
          </cell>
        </row>
        <row r="1132">
          <cell r="A1132">
            <v>81612</v>
          </cell>
          <cell r="B1132" t="str">
            <v>TE F0F0 C/FLANGES DN 200 X 150</v>
          </cell>
          <cell r="C1132" t="str">
            <v>UN</v>
          </cell>
          <cell r="D1132">
            <v>349.06</v>
          </cell>
        </row>
        <row r="1133">
          <cell r="A1133">
            <v>81613</v>
          </cell>
          <cell r="B1133" t="str">
            <v>TE F0F0 C/FLANGES DN 200 X 200</v>
          </cell>
          <cell r="C1133" t="str">
            <v>UN</v>
          </cell>
          <cell r="D1133">
            <v>396.77</v>
          </cell>
        </row>
        <row r="1134">
          <cell r="A1134">
            <v>81614</v>
          </cell>
          <cell r="B1134" t="str">
            <v>TE F0F0 C/FLANGES DN 250 X 50</v>
          </cell>
          <cell r="C1134" t="str">
            <v>UN</v>
          </cell>
          <cell r="D1134">
            <v>519.9</v>
          </cell>
        </row>
        <row r="1135">
          <cell r="A1135">
            <v>81615</v>
          </cell>
          <cell r="B1135" t="str">
            <v>TE F0F0 C/FLANGES DN 250 X 75</v>
          </cell>
          <cell r="C1135" t="str">
            <v>UN</v>
          </cell>
          <cell r="D1135">
            <v>566.95000000000005</v>
          </cell>
        </row>
        <row r="1136">
          <cell r="A1136">
            <v>81616</v>
          </cell>
          <cell r="B1136" t="str">
            <v>TE F0F0 C/FLANGES DN 250 X 100</v>
          </cell>
          <cell r="C1136" t="str">
            <v>UN</v>
          </cell>
          <cell r="D1136">
            <v>520.53</v>
          </cell>
        </row>
        <row r="1137">
          <cell r="A1137">
            <v>81617</v>
          </cell>
          <cell r="B1137" t="str">
            <v>TE F0F0 C/FLANGES DN 250 X 200</v>
          </cell>
          <cell r="C1137" t="str">
            <v>UN</v>
          </cell>
          <cell r="D1137">
            <v>564.72</v>
          </cell>
        </row>
        <row r="1138">
          <cell r="A1138">
            <v>81618</v>
          </cell>
          <cell r="B1138" t="str">
            <v>TE F0F0 C/FLANGES DN 250 X 250</v>
          </cell>
          <cell r="C1138" t="str">
            <v>UN</v>
          </cell>
          <cell r="D1138">
            <v>635.12</v>
          </cell>
        </row>
        <row r="1139">
          <cell r="A1139">
            <v>81619</v>
          </cell>
          <cell r="B1139" t="str">
            <v>TE F0F0 C/FLANGES DN 300 X 100</v>
          </cell>
          <cell r="C1139" t="str">
            <v>UN</v>
          </cell>
          <cell r="D1139">
            <v>756.59</v>
          </cell>
        </row>
        <row r="1140">
          <cell r="A1140">
            <v>81620</v>
          </cell>
          <cell r="B1140" t="str">
            <v>TE F0F0 C/FLANGES DN 300 X 200</v>
          </cell>
          <cell r="C1140" t="str">
            <v>UN</v>
          </cell>
          <cell r="D1140">
            <v>863.16</v>
          </cell>
        </row>
        <row r="1141">
          <cell r="A1141">
            <v>81621</v>
          </cell>
          <cell r="B1141" t="str">
            <v>TE F0F0 C/FLANGES DN 300 X 300</v>
          </cell>
          <cell r="C1141" t="str">
            <v>UN</v>
          </cell>
          <cell r="D1141">
            <v>941.41</v>
          </cell>
        </row>
        <row r="1142">
          <cell r="A1142">
            <v>81622</v>
          </cell>
          <cell r="B1142" t="str">
            <v>TE F0F0 C/FLANGES DN 400 X 100</v>
          </cell>
          <cell r="C1142" t="str">
            <v>UN</v>
          </cell>
          <cell r="D1142">
            <v>3346.3</v>
          </cell>
        </row>
        <row r="1143">
          <cell r="A1143">
            <v>81623</v>
          </cell>
          <cell r="B1143" t="str">
            <v>TE F0F0 C/FLANGES DN 400 X 200</v>
          </cell>
          <cell r="C1143" t="str">
            <v>UN</v>
          </cell>
          <cell r="D1143">
            <v>1705.03</v>
          </cell>
        </row>
        <row r="1144">
          <cell r="A1144">
            <v>81624</v>
          </cell>
          <cell r="B1144" t="str">
            <v>TE F0F0 C/FLANGES DN 400 X 400</v>
          </cell>
          <cell r="C1144" t="str">
            <v>UN</v>
          </cell>
          <cell r="D1144">
            <v>1901.54</v>
          </cell>
        </row>
        <row r="1145">
          <cell r="A1145">
            <v>81625</v>
          </cell>
          <cell r="B1145" t="str">
            <v>TE F0F0 C/FLANGES DN 500 X 100</v>
          </cell>
          <cell r="C1145" t="str">
            <v>UN</v>
          </cell>
          <cell r="D1145">
            <v>2108.5300000000002</v>
          </cell>
        </row>
        <row r="1146">
          <cell r="A1146">
            <v>81626</v>
          </cell>
          <cell r="B1146" t="str">
            <v>TE F0F0 C/FLANGES DN 500 X 200</v>
          </cell>
          <cell r="C1146" t="str">
            <v>UN</v>
          </cell>
          <cell r="D1146">
            <v>2149.88</v>
          </cell>
        </row>
        <row r="1147">
          <cell r="A1147">
            <v>81627</v>
          </cell>
          <cell r="B1147" t="str">
            <v>TE F0F0 C/FLANGES DN 500 X 400</v>
          </cell>
          <cell r="C1147" t="str">
            <v>UN</v>
          </cell>
          <cell r="D1147">
            <v>2416.0300000000002</v>
          </cell>
        </row>
        <row r="1148">
          <cell r="A1148">
            <v>81628</v>
          </cell>
          <cell r="B1148" t="str">
            <v>TE F0F0 C/FLANGES DN 500 X 500</v>
          </cell>
          <cell r="C1148" t="str">
            <v>UN</v>
          </cell>
          <cell r="D1148">
            <v>2475.09</v>
          </cell>
        </row>
        <row r="1149">
          <cell r="A1149">
            <v>81629</v>
          </cell>
          <cell r="B1149" t="str">
            <v>TE F0F0 C/FLANGES DN 600 X 200</v>
          </cell>
          <cell r="C1149" t="str">
            <v>UN</v>
          </cell>
          <cell r="D1149">
            <v>2611.09</v>
          </cell>
        </row>
        <row r="1150">
          <cell r="A1150">
            <v>81630</v>
          </cell>
          <cell r="B1150" t="str">
            <v>TE F0F0 C/FLANGES DN 600 X 400</v>
          </cell>
          <cell r="C1150" t="str">
            <v>UN</v>
          </cell>
          <cell r="D1150">
            <v>2948.44</v>
          </cell>
        </row>
        <row r="1151">
          <cell r="A1151">
            <v>81631</v>
          </cell>
          <cell r="B1151" t="str">
            <v>TE F0F0 C/FLANGES DN 600 X 600</v>
          </cell>
          <cell r="C1151" t="str">
            <v>UN</v>
          </cell>
          <cell r="D1151">
            <v>3201.29</v>
          </cell>
        </row>
        <row r="1152">
          <cell r="A1152">
            <v>81632</v>
          </cell>
          <cell r="B1152" t="str">
            <v>TE F0F0 C/FLANGES DN 700 X 200</v>
          </cell>
          <cell r="C1152" t="str">
            <v>UN</v>
          </cell>
          <cell r="D1152">
            <v>2829.92</v>
          </cell>
        </row>
        <row r="1153">
          <cell r="A1153">
            <v>81633</v>
          </cell>
          <cell r="B1153" t="str">
            <v>TE F0F0 C/FLANGES DN 700 X 400</v>
          </cell>
          <cell r="C1153" t="str">
            <v>UN</v>
          </cell>
          <cell r="D1153">
            <v>3332.13</v>
          </cell>
        </row>
        <row r="1154">
          <cell r="A1154">
            <v>81634</v>
          </cell>
          <cell r="B1154" t="str">
            <v>TE F0F0 C/FLANGES DN 700 X 700</v>
          </cell>
          <cell r="C1154" t="str">
            <v>UN</v>
          </cell>
          <cell r="D1154">
            <v>4305.3599999999997</v>
          </cell>
        </row>
        <row r="1155">
          <cell r="A1155">
            <v>81635</v>
          </cell>
          <cell r="B1155" t="str">
            <v>TE F0F0 C/FLANGES DN 800 X 200</v>
          </cell>
          <cell r="C1155" t="str">
            <v>UN</v>
          </cell>
          <cell r="D1155">
            <v>3328.45</v>
          </cell>
        </row>
        <row r="1156">
          <cell r="A1156">
            <v>81636</v>
          </cell>
          <cell r="B1156" t="str">
            <v>TE F0F0 C/FLANGES DN 800 X 400</v>
          </cell>
          <cell r="C1156" t="str">
            <v>UN</v>
          </cell>
          <cell r="D1156">
            <v>4018.29</v>
          </cell>
        </row>
        <row r="1157">
          <cell r="A1157">
            <v>81637</v>
          </cell>
          <cell r="B1157" t="str">
            <v>TE F0F0 C/FLANGES DN 800 X 600</v>
          </cell>
          <cell r="C1157" t="str">
            <v>UN</v>
          </cell>
          <cell r="D1157">
            <v>5409.83</v>
          </cell>
        </row>
        <row r="1158">
          <cell r="A1158">
            <v>81638</v>
          </cell>
          <cell r="B1158" t="str">
            <v>TE F0F0 C/FLANGES DN 800 X 800</v>
          </cell>
          <cell r="C1158" t="str">
            <v>UN</v>
          </cell>
          <cell r="D1158">
            <v>5931.34</v>
          </cell>
        </row>
        <row r="1159">
          <cell r="A1159">
            <v>81639</v>
          </cell>
          <cell r="B1159" t="str">
            <v>TE F0F0 C/FLANGES DN 900 X 200</v>
          </cell>
          <cell r="C1159" t="str">
            <v>UN</v>
          </cell>
          <cell r="D1159">
            <v>4292.17</v>
          </cell>
        </row>
        <row r="1160">
          <cell r="A1160">
            <v>81640</v>
          </cell>
          <cell r="B1160" t="str">
            <v>TE F0F0 C/FLANGES DN 900 X 400</v>
          </cell>
          <cell r="C1160" t="str">
            <v>UN</v>
          </cell>
          <cell r="D1160">
            <v>5053.75</v>
          </cell>
        </row>
        <row r="1161">
          <cell r="A1161">
            <v>81641</v>
          </cell>
          <cell r="B1161" t="str">
            <v>TE F0F0 C/FLANGES DN 900 X 600</v>
          </cell>
          <cell r="C1161" t="str">
            <v>UN</v>
          </cell>
          <cell r="D1161">
            <v>7240.51</v>
          </cell>
        </row>
        <row r="1162">
          <cell r="A1162">
            <v>81642</v>
          </cell>
          <cell r="B1162" t="str">
            <v>TE F0F0 C/FLANGES DN 900 X 900</v>
          </cell>
          <cell r="C1162" t="str">
            <v>UN</v>
          </cell>
          <cell r="D1162">
            <v>7544.2</v>
          </cell>
        </row>
        <row r="1163">
          <cell r="A1163">
            <v>81643</v>
          </cell>
          <cell r="B1163" t="str">
            <v>TE F0F0 C/FLANGES DN 1000 X 200</v>
          </cell>
          <cell r="C1163" t="str">
            <v>UN</v>
          </cell>
          <cell r="D1163">
            <v>5095.4399999999996</v>
          </cell>
        </row>
        <row r="1164">
          <cell r="A1164">
            <v>81644</v>
          </cell>
          <cell r="B1164" t="str">
            <v>TE F0F0 C/FLANGES DN 1000 X 400</v>
          </cell>
          <cell r="C1164" t="str">
            <v>UN</v>
          </cell>
          <cell r="D1164">
            <v>5973.77</v>
          </cell>
        </row>
        <row r="1165">
          <cell r="A1165">
            <v>81645</v>
          </cell>
          <cell r="B1165" t="str">
            <v>TE F0F0 C/FLANGES DN 1000 X 600</v>
          </cell>
          <cell r="C1165" t="str">
            <v>UN</v>
          </cell>
          <cell r="D1165">
            <v>8104.61</v>
          </cell>
        </row>
        <row r="1166">
          <cell r="A1166">
            <v>81646</v>
          </cell>
          <cell r="B1166" t="str">
            <v>TE F0F0 C/FLANGES DN 1000 X 1000</v>
          </cell>
          <cell r="C1166" t="str">
            <v>UN</v>
          </cell>
          <cell r="D1166">
            <v>9196.9500000000007</v>
          </cell>
        </row>
        <row r="1167">
          <cell r="A1167">
            <v>81647</v>
          </cell>
          <cell r="B1167" t="str">
            <v>REDUCAO NORMAL F0F0 C/FLANGES DN 75 X 50</v>
          </cell>
          <cell r="C1167" t="str">
            <v>UN</v>
          </cell>
          <cell r="D1167">
            <v>71.89</v>
          </cell>
        </row>
        <row r="1168">
          <cell r="A1168">
            <v>81648</v>
          </cell>
          <cell r="B1168" t="str">
            <v>REDUCAO NORMAL F0F0 C/FLANGES DN 100 X 75</v>
          </cell>
          <cell r="C1168" t="str">
            <v>UN</v>
          </cell>
          <cell r="D1168">
            <v>77.5</v>
          </cell>
        </row>
        <row r="1169">
          <cell r="A1169">
            <v>81649</v>
          </cell>
          <cell r="B1169" t="str">
            <v>REDUCAO NORMAL F0F0 C/FLANGES DN 150 X 100</v>
          </cell>
          <cell r="C1169" t="str">
            <v>UN</v>
          </cell>
          <cell r="D1169">
            <v>187.22</v>
          </cell>
        </row>
        <row r="1170">
          <cell r="A1170">
            <v>81650</v>
          </cell>
          <cell r="B1170" t="str">
            <v>REDUCAO NORMAL F0F0 C/FLANGES DN 200 X 150</v>
          </cell>
          <cell r="C1170" t="str">
            <v>UN</v>
          </cell>
          <cell r="D1170">
            <v>165.11</v>
          </cell>
        </row>
        <row r="1171">
          <cell r="A1171">
            <v>81651</v>
          </cell>
          <cell r="B1171" t="str">
            <v>REDUCAO NORMAL F0F0 C/FLANGES DN 250 X 150</v>
          </cell>
          <cell r="C1171" t="str">
            <v>UN</v>
          </cell>
          <cell r="D1171">
            <v>371.17</v>
          </cell>
        </row>
        <row r="1172">
          <cell r="A1172">
            <v>81652</v>
          </cell>
          <cell r="B1172" t="str">
            <v>REDUCAO NORMAL F0F0 C/FLANGES DN 250 X 200</v>
          </cell>
          <cell r="C1172" t="str">
            <v>UN</v>
          </cell>
          <cell r="D1172">
            <v>237.47</v>
          </cell>
        </row>
        <row r="1173">
          <cell r="A1173">
            <v>81653</v>
          </cell>
          <cell r="B1173" t="str">
            <v>REDUCAO NORMAL F0F0 C/FLANGES DN 300 X 250</v>
          </cell>
          <cell r="C1173" t="str">
            <v>UN</v>
          </cell>
          <cell r="D1173">
            <v>367.62</v>
          </cell>
        </row>
        <row r="1174">
          <cell r="A1174">
            <v>81654</v>
          </cell>
          <cell r="B1174" t="str">
            <v>REDUCAO NORMAL F0F0 C/FLANGES DN 400 X 250</v>
          </cell>
          <cell r="C1174" t="str">
            <v>UN</v>
          </cell>
          <cell r="D1174">
            <v>1203.08</v>
          </cell>
        </row>
        <row r="1175">
          <cell r="A1175">
            <v>81655</v>
          </cell>
          <cell r="B1175" t="str">
            <v>REDUCAO NORMAL F0F0 C/FLANGES DN 400 X 300</v>
          </cell>
          <cell r="C1175" t="str">
            <v>UN</v>
          </cell>
          <cell r="D1175">
            <v>326.5</v>
          </cell>
        </row>
        <row r="1176">
          <cell r="A1176">
            <v>81656</v>
          </cell>
          <cell r="B1176" t="str">
            <v>REDUCAO NORMAL F0F0 C/FLANGES DN 500 X 400</v>
          </cell>
          <cell r="C1176" t="str">
            <v>UN</v>
          </cell>
          <cell r="D1176">
            <v>1681.27</v>
          </cell>
        </row>
        <row r="1177">
          <cell r="A1177">
            <v>81657</v>
          </cell>
          <cell r="B1177" t="str">
            <v>REDUCAO NORMAL F0F0 C/FLANGES DN 600 X 500</v>
          </cell>
          <cell r="C1177" t="str">
            <v>UN</v>
          </cell>
          <cell r="D1177">
            <v>1667.94</v>
          </cell>
        </row>
        <row r="1178">
          <cell r="A1178">
            <v>81658</v>
          </cell>
          <cell r="B1178" t="str">
            <v>REDUCAO NORMAL F0F0 C/FLANGES DN 700 X 600</v>
          </cell>
          <cell r="C1178" t="str">
            <v>UN</v>
          </cell>
          <cell r="D1178">
            <v>2094.7800000000002</v>
          </cell>
        </row>
        <row r="1179">
          <cell r="A1179">
            <v>81659</v>
          </cell>
          <cell r="B1179" t="str">
            <v>REDUCAO NORMAL F0F0 C/FLANGES DN 800 X 700</v>
          </cell>
          <cell r="C1179" t="str">
            <v>UN</v>
          </cell>
          <cell r="D1179">
            <v>2653.74</v>
          </cell>
        </row>
        <row r="1180">
          <cell r="A1180">
            <v>81660</v>
          </cell>
          <cell r="B1180" t="str">
            <v>REDUCAO NORMAL F0F0 C/FLANGES DN 900 X 800</v>
          </cell>
          <cell r="C1180" t="str">
            <v>UN</v>
          </cell>
          <cell r="D1180">
            <v>3092.8</v>
          </cell>
        </row>
        <row r="1181">
          <cell r="A1181">
            <v>81661</v>
          </cell>
          <cell r="B1181" t="str">
            <v>REDUCAO NORMAL F0F0 C/FLANGES DN 1000 X 900</v>
          </cell>
          <cell r="C1181" t="str">
            <v>UN</v>
          </cell>
          <cell r="D1181">
            <v>3940.99</v>
          </cell>
        </row>
        <row r="1182">
          <cell r="A1182">
            <v>81662</v>
          </cell>
          <cell r="B1182" t="str">
            <v>REDUCAO EXCENTRICA F0F0 C/FLANGES DN 75 X 50</v>
          </cell>
          <cell r="C1182" t="str">
            <v>UN</v>
          </cell>
          <cell r="D1182">
            <v>76.67</v>
          </cell>
        </row>
        <row r="1183">
          <cell r="A1183">
            <v>81663</v>
          </cell>
          <cell r="B1183" t="str">
            <v>REDUCAO EXCENTRICA F0F0 C/FLANGES DN 100 X 50</v>
          </cell>
          <cell r="C1183" t="str">
            <v>UN</v>
          </cell>
          <cell r="D1183">
            <v>81.45</v>
          </cell>
        </row>
        <row r="1184">
          <cell r="A1184">
            <v>81664</v>
          </cell>
          <cell r="B1184" t="str">
            <v>REDUCAO EXCENTRICA F0F0 C/FLANGES DN 100 X 75</v>
          </cell>
          <cell r="C1184" t="str">
            <v>UN</v>
          </cell>
          <cell r="D1184">
            <v>77.22</v>
          </cell>
        </row>
        <row r="1185">
          <cell r="A1185">
            <v>81665</v>
          </cell>
          <cell r="B1185" t="str">
            <v>REDUCAO EXCENTRICA F0F0 C/FLANGES DN 150 X 75</v>
          </cell>
          <cell r="C1185" t="str">
            <v>UN</v>
          </cell>
          <cell r="D1185">
            <v>128.94999999999999</v>
          </cell>
        </row>
        <row r="1186">
          <cell r="A1186">
            <v>81666</v>
          </cell>
          <cell r="B1186" t="str">
            <v>REDUCAO EXCENTRICA F0F0 C/FLANGES DN 150 X 100</v>
          </cell>
          <cell r="C1186" t="str">
            <v>UN</v>
          </cell>
          <cell r="D1186">
            <v>126.42</v>
          </cell>
        </row>
        <row r="1187">
          <cell r="A1187">
            <v>81667</v>
          </cell>
          <cell r="B1187" t="str">
            <v>REDUCAO EXCENTRICA F0F0 C/FLANGES DN 200 X 100</v>
          </cell>
          <cell r="C1187" t="str">
            <v>UN</v>
          </cell>
          <cell r="D1187">
            <v>498.99</v>
          </cell>
        </row>
        <row r="1188">
          <cell r="A1188">
            <v>81668</v>
          </cell>
          <cell r="B1188" t="str">
            <v>REDUCAO EXCENTRICA F0F0 C/FLANGES DN 200 X 150</v>
          </cell>
          <cell r="C1188" t="str">
            <v>UN</v>
          </cell>
          <cell r="D1188">
            <v>169.45</v>
          </cell>
        </row>
        <row r="1189">
          <cell r="A1189">
            <v>81669</v>
          </cell>
          <cell r="B1189" t="str">
            <v>REDUCAO EXCENTRICA F0F0 C/FLANGES DN 250 X 150</v>
          </cell>
          <cell r="C1189" t="str">
            <v>UN</v>
          </cell>
          <cell r="D1189">
            <v>340.37</v>
          </cell>
        </row>
        <row r="1190">
          <cell r="A1190">
            <v>81670</v>
          </cell>
          <cell r="B1190" t="str">
            <v>REDUCAO EXCENTRICA F0F0 C/FLANGES DN 250 X 200</v>
          </cell>
          <cell r="C1190" t="str">
            <v>UN</v>
          </cell>
          <cell r="D1190">
            <v>296.62</v>
          </cell>
        </row>
        <row r="1191">
          <cell r="A1191">
            <v>81671</v>
          </cell>
          <cell r="B1191" t="str">
            <v>REDUCAO EXCENTRICA F0F0 C/FLANGES DN 300 X 150</v>
          </cell>
          <cell r="C1191" t="str">
            <v>UN</v>
          </cell>
          <cell r="D1191">
            <v>409.37</v>
          </cell>
        </row>
        <row r="1192">
          <cell r="A1192">
            <v>81672</v>
          </cell>
          <cell r="B1192" t="str">
            <v>REDUCAO EXCENTRICA F0F0 C/FLANGES DN 300 X 200</v>
          </cell>
          <cell r="C1192" t="str">
            <v>UN</v>
          </cell>
          <cell r="D1192">
            <v>430.28</v>
          </cell>
        </row>
        <row r="1193">
          <cell r="A1193">
            <v>81673</v>
          </cell>
          <cell r="B1193" t="str">
            <v>REDUCAO EXCENTRICA F0F0 C/FLANGES DN 300 X 250</v>
          </cell>
          <cell r="C1193" t="str">
            <v>UN</v>
          </cell>
          <cell r="D1193">
            <v>765.59</v>
          </cell>
        </row>
        <row r="1194">
          <cell r="A1194">
            <v>81674</v>
          </cell>
          <cell r="B1194" t="str">
            <v>REDUCAO EXCENTRICA F0F0 C/FLANGES DN 400 X 250</v>
          </cell>
          <cell r="C1194" t="str">
            <v>UN</v>
          </cell>
          <cell r="D1194">
            <v>995.83</v>
          </cell>
        </row>
        <row r="1195">
          <cell r="A1195">
            <v>81675</v>
          </cell>
          <cell r="B1195" t="str">
            <v>REDUCAO EXCENTRICA F0F0 C/FLANGES DN 400 X 300</v>
          </cell>
          <cell r="C1195" t="str">
            <v>UN</v>
          </cell>
          <cell r="D1195">
            <v>1035.04</v>
          </cell>
        </row>
        <row r="1196">
          <cell r="A1196">
            <v>81676</v>
          </cell>
          <cell r="B1196" t="str">
            <v>PLACA DE REDUCAO F0F0 DN 100 X 50</v>
          </cell>
          <cell r="C1196" t="str">
            <v>UN</v>
          </cell>
          <cell r="D1196">
            <v>68.7</v>
          </cell>
        </row>
        <row r="1197">
          <cell r="A1197">
            <v>81677</v>
          </cell>
          <cell r="B1197" t="str">
            <v>PLACA DE REDUCAO F0F0 DN 200 X 75</v>
          </cell>
          <cell r="C1197" t="str">
            <v>UN</v>
          </cell>
          <cell r="D1197">
            <v>142.91999999999999</v>
          </cell>
        </row>
        <row r="1198">
          <cell r="A1198">
            <v>81678</v>
          </cell>
          <cell r="B1198" t="str">
            <v>PLACA DE REDUCAO F0F0 DN 200 X 100</v>
          </cell>
          <cell r="C1198" t="str">
            <v>UN</v>
          </cell>
          <cell r="D1198">
            <v>180.42</v>
          </cell>
        </row>
        <row r="1199">
          <cell r="A1199">
            <v>81679</v>
          </cell>
          <cell r="B1199" t="str">
            <v>PLACA DE REDUCAO F0F0 DN 400 X 150</v>
          </cell>
          <cell r="C1199" t="str">
            <v>UN</v>
          </cell>
          <cell r="D1199">
            <v>729.23</v>
          </cell>
        </row>
        <row r="1200">
          <cell r="A1200">
            <v>81680</v>
          </cell>
          <cell r="B1200" t="str">
            <v>PLACA DE REDUCAO F0F0 DN 400 X 200</v>
          </cell>
          <cell r="C1200" t="str">
            <v>UN</v>
          </cell>
          <cell r="D1200">
            <v>375.65</v>
          </cell>
        </row>
        <row r="1201">
          <cell r="A1201">
            <v>81681</v>
          </cell>
          <cell r="B1201" t="str">
            <v>PLACA DE REDUCAO F0F0 DN 400 X 250</v>
          </cell>
          <cell r="C1201" t="str">
            <v>UN</v>
          </cell>
          <cell r="D1201">
            <v>504.14</v>
          </cell>
        </row>
        <row r="1202">
          <cell r="A1202">
            <v>81682</v>
          </cell>
          <cell r="B1202" t="str">
            <v>PLACA DE REDUCAO F0F0 DN 400 X 300</v>
          </cell>
          <cell r="C1202" t="str">
            <v>UN</v>
          </cell>
          <cell r="D1202">
            <v>378.81</v>
          </cell>
        </row>
        <row r="1203">
          <cell r="A1203">
            <v>81683</v>
          </cell>
          <cell r="B1203" t="str">
            <v>PLACA DE REDUCAO F0F0 DN 500 X 400</v>
          </cell>
          <cell r="C1203" t="str">
            <v>UN</v>
          </cell>
          <cell r="D1203">
            <v>1813.93</v>
          </cell>
        </row>
        <row r="1204">
          <cell r="A1204">
            <v>81684</v>
          </cell>
          <cell r="B1204" t="str">
            <v>PLACA DE REDUCAO F0F0 DN 700 X 500</v>
          </cell>
          <cell r="C1204" t="str">
            <v>UN</v>
          </cell>
          <cell r="D1204">
            <v>1793.25</v>
          </cell>
        </row>
        <row r="1205">
          <cell r="A1205">
            <v>81685</v>
          </cell>
          <cell r="B1205" t="str">
            <v>PLACA DE REDUCAO F0F0 DN 900 X 700</v>
          </cell>
          <cell r="C1205" t="str">
            <v>UN</v>
          </cell>
          <cell r="D1205">
            <v>2136.0300000000002</v>
          </cell>
        </row>
        <row r="1206">
          <cell r="A1206">
            <v>81686</v>
          </cell>
          <cell r="B1206" t="str">
            <v>PLACA DE REDUCAO F0F0 DN 1000 X 700</v>
          </cell>
          <cell r="C1206" t="str">
            <v>UN</v>
          </cell>
          <cell r="D1206">
            <v>2719.26</v>
          </cell>
        </row>
        <row r="1207">
          <cell r="A1207">
            <v>81687</v>
          </cell>
          <cell r="B1207" t="str">
            <v>PLACA DE REDUCAO F0F0 DN 1000 X 800</v>
          </cell>
          <cell r="C1207" t="str">
            <v>UN</v>
          </cell>
          <cell r="D1207">
            <v>2674.89</v>
          </cell>
        </row>
        <row r="1208">
          <cell r="A1208">
            <v>81688</v>
          </cell>
          <cell r="B1208" t="str">
            <v>JUNCAO 45G F0F0 C/FLANGES DN 50 X 50</v>
          </cell>
          <cell r="C1208" t="str">
            <v>UN</v>
          </cell>
          <cell r="D1208">
            <v>128.96</v>
          </cell>
        </row>
        <row r="1209">
          <cell r="A1209">
            <v>81689</v>
          </cell>
          <cell r="B1209" t="str">
            <v>JUNCAO 45G F0F0 C/FLANGES DN 75 X 75</v>
          </cell>
          <cell r="C1209" t="str">
            <v>UN</v>
          </cell>
          <cell r="D1209">
            <v>165.69</v>
          </cell>
        </row>
        <row r="1210">
          <cell r="A1210">
            <v>81690</v>
          </cell>
          <cell r="B1210" t="str">
            <v>JUNCAO 45G F0F0 C/FLANGES DN 100 X 75</v>
          </cell>
          <cell r="C1210" t="str">
            <v>UN</v>
          </cell>
          <cell r="D1210">
            <v>192.82</v>
          </cell>
        </row>
        <row r="1211">
          <cell r="A1211">
            <v>81691</v>
          </cell>
          <cell r="B1211" t="str">
            <v>JUNCAO 45G F0F0 C/FLANGES DN 100 X 100</v>
          </cell>
          <cell r="C1211" t="str">
            <v>UN</v>
          </cell>
          <cell r="D1211">
            <v>202.37</v>
          </cell>
        </row>
        <row r="1212">
          <cell r="A1212">
            <v>81692</v>
          </cell>
          <cell r="B1212" t="str">
            <v>JUNCAO 45G F0F0 C/FLANGES DN 150 X 100</v>
          </cell>
          <cell r="C1212" t="str">
            <v>UN</v>
          </cell>
          <cell r="D1212">
            <v>372.33</v>
          </cell>
        </row>
        <row r="1213">
          <cell r="A1213">
            <v>81693</v>
          </cell>
          <cell r="B1213" t="str">
            <v>JUNCAO 45G F0F0 C/FLANGES DN 150 X 150</v>
          </cell>
          <cell r="C1213" t="str">
            <v>UN</v>
          </cell>
          <cell r="D1213">
            <v>402.29</v>
          </cell>
        </row>
        <row r="1214">
          <cell r="A1214">
            <v>81694</v>
          </cell>
          <cell r="B1214" t="str">
            <v>JUNCAO 45G F0F0 C/FLANGES DN 200 X 100</v>
          </cell>
          <cell r="C1214" t="str">
            <v>UN</v>
          </cell>
          <cell r="D1214">
            <v>389.8</v>
          </cell>
        </row>
        <row r="1215">
          <cell r="A1215">
            <v>81695</v>
          </cell>
          <cell r="B1215" t="str">
            <v>JUNCAO 45G F0F0 C/FLANGES DN 200 X 150</v>
          </cell>
          <cell r="C1215" t="str">
            <v>UN</v>
          </cell>
          <cell r="D1215">
            <v>448.92</v>
          </cell>
        </row>
        <row r="1216">
          <cell r="A1216">
            <v>81696</v>
          </cell>
          <cell r="B1216" t="str">
            <v>JUNCAO 45G F0F0 C/FLANGES DN 200 X 200</v>
          </cell>
          <cell r="C1216" t="str">
            <v>UN</v>
          </cell>
          <cell r="D1216">
            <v>449.23</v>
          </cell>
        </row>
        <row r="1217">
          <cell r="A1217">
            <v>81697</v>
          </cell>
          <cell r="B1217" t="str">
            <v>JUNCAO 45G F0F0 C/FLANGES DN 250 X 150</v>
          </cell>
          <cell r="C1217" t="str">
            <v>UN</v>
          </cell>
          <cell r="D1217">
            <v>1061.3499999999999</v>
          </cell>
        </row>
        <row r="1218">
          <cell r="A1218">
            <v>81698</v>
          </cell>
          <cell r="B1218" t="str">
            <v>JUNCAO 45G F0F0 C/FLANGES DN 250 X 200</v>
          </cell>
          <cell r="C1218" t="str">
            <v>UN</v>
          </cell>
          <cell r="D1218">
            <v>615.66</v>
          </cell>
        </row>
        <row r="1219">
          <cell r="A1219">
            <v>81699</v>
          </cell>
          <cell r="B1219" t="str">
            <v>JUNCAO 45G F0F0 C/FLANGES DN 250 X 250</v>
          </cell>
          <cell r="C1219" t="str">
            <v>UN</v>
          </cell>
          <cell r="D1219">
            <v>669.7</v>
          </cell>
        </row>
        <row r="1220">
          <cell r="A1220">
            <v>81701</v>
          </cell>
          <cell r="B1220" t="str">
            <v>JUNCAO 45G F0F0 C/FLANGES DN 300 X 200</v>
          </cell>
          <cell r="C1220" t="str">
            <v>UN</v>
          </cell>
          <cell r="D1220">
            <v>838.23</v>
          </cell>
        </row>
        <row r="1221">
          <cell r="A1221">
            <v>81702</v>
          </cell>
          <cell r="B1221" t="str">
            <v>JUNCAO 45G F0F0 C/FLANGES DN 300 X 300</v>
          </cell>
          <cell r="C1221" t="str">
            <v>UN</v>
          </cell>
          <cell r="D1221">
            <v>955.54</v>
          </cell>
        </row>
        <row r="1222">
          <cell r="A1222">
            <v>81703</v>
          </cell>
          <cell r="B1222" t="str">
            <v>JUNCAO 45G F0F0 C/FLANGES DN 400 X 300</v>
          </cell>
          <cell r="C1222" t="str">
            <v>UN</v>
          </cell>
          <cell r="D1222">
            <v>1902.02</v>
          </cell>
        </row>
        <row r="1223">
          <cell r="A1223">
            <v>81704</v>
          </cell>
          <cell r="B1223" t="str">
            <v>JUNCAO 45G F0F0 C/FLANGES DN 400 X 400</v>
          </cell>
          <cell r="C1223" t="str">
            <v>UN</v>
          </cell>
          <cell r="D1223">
            <v>4269.8900000000003</v>
          </cell>
        </row>
        <row r="1224">
          <cell r="A1224">
            <v>81705</v>
          </cell>
          <cell r="B1224" t="str">
            <v>FLANGE CEGO F0F0 DN 50</v>
          </cell>
          <cell r="C1224" t="str">
            <v>UN</v>
          </cell>
          <cell r="D1224">
            <v>26.4</v>
          </cell>
        </row>
        <row r="1225">
          <cell r="A1225">
            <v>81706</v>
          </cell>
          <cell r="B1225" t="str">
            <v>FLANGE CEGO F0F0 DN 75</v>
          </cell>
          <cell r="C1225" t="str">
            <v>UN</v>
          </cell>
          <cell r="D1225">
            <v>39.590000000000003</v>
          </cell>
        </row>
        <row r="1226">
          <cell r="A1226">
            <v>81707</v>
          </cell>
          <cell r="B1226" t="str">
            <v>FLANGE CEGO F0F0 DN 100</v>
          </cell>
          <cell r="C1226" t="str">
            <v>UN</v>
          </cell>
          <cell r="D1226">
            <v>42.68</v>
          </cell>
        </row>
        <row r="1227">
          <cell r="A1227">
            <v>81708</v>
          </cell>
          <cell r="B1227" t="str">
            <v>FLANGE CEGO F0F0 DN 150</v>
          </cell>
          <cell r="C1227" t="str">
            <v>UN</v>
          </cell>
          <cell r="D1227">
            <v>61.04</v>
          </cell>
        </row>
        <row r="1228">
          <cell r="A1228">
            <v>81709</v>
          </cell>
          <cell r="B1228" t="str">
            <v>FLANGE CEGO F0F0 DN 200</v>
          </cell>
          <cell r="C1228" t="str">
            <v>UN</v>
          </cell>
          <cell r="D1228">
            <v>100.43</v>
          </cell>
        </row>
        <row r="1229">
          <cell r="A1229">
            <v>81710</v>
          </cell>
          <cell r="B1229" t="str">
            <v>FLANGE CEGO F0F0 DN 250</v>
          </cell>
          <cell r="C1229" t="str">
            <v>UN</v>
          </cell>
          <cell r="D1229">
            <v>132.97999999999999</v>
          </cell>
        </row>
        <row r="1230">
          <cell r="A1230">
            <v>81711</v>
          </cell>
          <cell r="B1230" t="str">
            <v>FLANGE CEGO F0F0 DN 300</v>
          </cell>
          <cell r="C1230" t="str">
            <v>UN</v>
          </cell>
          <cell r="D1230">
            <v>186.65</v>
          </cell>
        </row>
        <row r="1231">
          <cell r="A1231">
            <v>81712</v>
          </cell>
          <cell r="B1231" t="str">
            <v>FLANGE CEGO F0F0 DN 400</v>
          </cell>
          <cell r="C1231" t="str">
            <v>UN</v>
          </cell>
          <cell r="D1231">
            <v>567.89</v>
          </cell>
        </row>
        <row r="1232">
          <cell r="A1232">
            <v>81713</v>
          </cell>
          <cell r="B1232" t="str">
            <v>FLANGE CEGO F0F0 DN 500</v>
          </cell>
          <cell r="C1232" t="str">
            <v>UN</v>
          </cell>
          <cell r="D1232">
            <v>436.88</v>
          </cell>
        </row>
        <row r="1233">
          <cell r="A1233">
            <v>81714</v>
          </cell>
          <cell r="B1233" t="str">
            <v>FLANGE CEGO F0F0 DN 600</v>
          </cell>
          <cell r="C1233" t="str">
            <v>UN</v>
          </cell>
          <cell r="D1233">
            <v>965.79</v>
          </cell>
        </row>
        <row r="1234">
          <cell r="A1234">
            <v>81715</v>
          </cell>
          <cell r="B1234" t="str">
            <v>FLANGE CEGO F0F0 DN 700</v>
          </cell>
          <cell r="C1234" t="str">
            <v>UN</v>
          </cell>
          <cell r="D1234">
            <v>1518.85</v>
          </cell>
        </row>
        <row r="1235">
          <cell r="A1235">
            <v>81716</v>
          </cell>
          <cell r="B1235" t="str">
            <v>FLANGE CEGO F0F0 DN 800</v>
          </cell>
          <cell r="C1235" t="str">
            <v>UN</v>
          </cell>
          <cell r="D1235">
            <v>1805.48</v>
          </cell>
        </row>
        <row r="1236">
          <cell r="A1236">
            <v>81717</v>
          </cell>
          <cell r="B1236" t="str">
            <v>FLANGE CEGO F0F0 DN 900</v>
          </cell>
          <cell r="C1236" t="str">
            <v>UN</v>
          </cell>
          <cell r="D1236">
            <v>2171.4899999999998</v>
          </cell>
        </row>
        <row r="1237">
          <cell r="A1237">
            <v>81718</v>
          </cell>
          <cell r="B1237" t="str">
            <v>FLANGE CEGO F0F0 DN 1000</v>
          </cell>
          <cell r="C1237" t="str">
            <v>UN</v>
          </cell>
          <cell r="D1237">
            <v>2586.0500000000002</v>
          </cell>
        </row>
        <row r="1238">
          <cell r="A1238">
            <v>81719</v>
          </cell>
          <cell r="B1238" t="str">
            <v>RG F0F0 DUC.PN 10 C/FLANGES ACION.DIR.C/CAB.DN 200</v>
          </cell>
          <cell r="C1238" t="str">
            <v>UN</v>
          </cell>
          <cell r="D1238">
            <v>1152.8800000000001</v>
          </cell>
        </row>
        <row r="1239">
          <cell r="A1239">
            <v>81720</v>
          </cell>
          <cell r="B1239" t="str">
            <v>RG F0F0 DUC.PN 10 C/FLANGES ACION.DIR.C/CAB.DN 250</v>
          </cell>
          <cell r="C1239" t="str">
            <v>UN</v>
          </cell>
          <cell r="D1239">
            <v>1842.65</v>
          </cell>
        </row>
        <row r="1240">
          <cell r="A1240">
            <v>81721</v>
          </cell>
          <cell r="B1240" t="str">
            <v>RG F0F0 DUC.PN 10 C/FLANGES ACION.DIR.C/CAB.DN 300</v>
          </cell>
          <cell r="C1240" t="str">
            <v>UN</v>
          </cell>
          <cell r="D1240">
            <v>2434.94</v>
          </cell>
        </row>
        <row r="1241">
          <cell r="A1241">
            <v>81722</v>
          </cell>
          <cell r="B1241" t="str">
            <v>RG F0F0 DUC.PN 10 C/FLANGES ACION.DIR.C/CAB.DN 400</v>
          </cell>
          <cell r="C1241" t="str">
            <v>UN</v>
          </cell>
          <cell r="D1241">
            <v>4301.05</v>
          </cell>
        </row>
        <row r="1242">
          <cell r="A1242">
            <v>81723</v>
          </cell>
          <cell r="B1242" t="str">
            <v>RG F0F0 DUC.PN 10 C/FLANGES ACION.DIR.C/CAB.DN 500</v>
          </cell>
          <cell r="C1242" t="str">
            <v>UN</v>
          </cell>
          <cell r="D1242">
            <v>6100.96</v>
          </cell>
        </row>
        <row r="1243">
          <cell r="A1243">
            <v>81724</v>
          </cell>
          <cell r="B1243" t="str">
            <v>RG F0F0 DUC.PN 10 C/FLANGES ACION.DIR.C/CAB.DN 600</v>
          </cell>
          <cell r="C1243" t="str">
            <v>UN</v>
          </cell>
          <cell r="D1243">
            <v>9803.4</v>
          </cell>
        </row>
        <row r="1244">
          <cell r="A1244">
            <v>81725</v>
          </cell>
          <cell r="B1244" t="str">
            <v>RG F0F0 DUC.PN 10 C/FLANGES ACION.DIR.C/CAB.DN 700</v>
          </cell>
          <cell r="C1244" t="str">
            <v>UN</v>
          </cell>
          <cell r="D1244">
            <v>16779.259999999998</v>
          </cell>
        </row>
        <row r="1245">
          <cell r="A1245">
            <v>81726</v>
          </cell>
          <cell r="B1245" t="str">
            <v>RG F0F0 DUC.PN 10 C/FLANGES ACION.DIR.C/CAB.DN 800</v>
          </cell>
          <cell r="C1245" t="str">
            <v>UN</v>
          </cell>
          <cell r="D1245">
            <v>21028.37</v>
          </cell>
        </row>
        <row r="1246">
          <cell r="A1246">
            <v>81727</v>
          </cell>
          <cell r="B1246" t="str">
            <v>RG F0F0 DUC.PN 10 C/FLANGES ACION.DIR.C/CAB.DN 900</v>
          </cell>
          <cell r="C1246" t="str">
            <v>UN</v>
          </cell>
          <cell r="D1246">
            <v>26326.36</v>
          </cell>
        </row>
        <row r="1247">
          <cell r="A1247">
            <v>81728</v>
          </cell>
          <cell r="B1247" t="str">
            <v>RG F0F0 DUC.PN 10 C/ FLANGES AC.DIR.C/CAB.DN 1000</v>
          </cell>
          <cell r="C1247" t="str">
            <v>UN</v>
          </cell>
          <cell r="D1247">
            <v>34023.42</v>
          </cell>
        </row>
        <row r="1248">
          <cell r="A1248">
            <v>81729</v>
          </cell>
          <cell r="B1248" t="str">
            <v>RG F0F0 DUC.PN 10 C/ FLANGES AC.DIR.C/CAB.DN 1200</v>
          </cell>
          <cell r="C1248" t="str">
            <v>UN</v>
          </cell>
          <cell r="D1248">
            <v>43970.879999999997</v>
          </cell>
        </row>
        <row r="1249">
          <cell r="A1249">
            <v>81730</v>
          </cell>
          <cell r="B1249" t="str">
            <v>RG F0F0 DUC.PN 10 C/FLANGES ACION.DIR.C/VOL.DN 200</v>
          </cell>
          <cell r="C1249" t="str">
            <v>UN</v>
          </cell>
          <cell r="D1249">
            <v>1247.57</v>
          </cell>
        </row>
        <row r="1250">
          <cell r="A1250">
            <v>81731</v>
          </cell>
          <cell r="B1250" t="str">
            <v>RG F0F0 DUC.PN 10 C/FLANGES ACION.DIR.C/VOL.DN 250</v>
          </cell>
          <cell r="C1250" t="str">
            <v>UN</v>
          </cell>
          <cell r="D1250">
            <v>1960.81</v>
          </cell>
        </row>
        <row r="1251">
          <cell r="A1251">
            <v>81732</v>
          </cell>
          <cell r="B1251" t="str">
            <v>RG F0F0 DUC.PN 10 C/FLANGES ACION.DIR.C/VOL.DN 300</v>
          </cell>
          <cell r="C1251" t="str">
            <v>UN</v>
          </cell>
          <cell r="D1251">
            <v>2553.11</v>
          </cell>
        </row>
        <row r="1252">
          <cell r="A1252">
            <v>81733</v>
          </cell>
          <cell r="B1252" t="str">
            <v>RG F0F0 DUC.PN 10 C/FLANGES ACION.DIR.C/VOL.DN 400</v>
          </cell>
          <cell r="C1252" t="str">
            <v>UN</v>
          </cell>
          <cell r="D1252">
            <v>4419.2299999999996</v>
          </cell>
        </row>
        <row r="1253">
          <cell r="A1253">
            <v>81734</v>
          </cell>
          <cell r="B1253" t="str">
            <v>RG F0F0 DUC.PN 10 C/FLANGES ACION.DIR.C/VOL.DN 500</v>
          </cell>
          <cell r="C1253" t="str">
            <v>UN</v>
          </cell>
          <cell r="D1253">
            <v>6219.17</v>
          </cell>
        </row>
        <row r="1254">
          <cell r="A1254">
            <v>81735</v>
          </cell>
          <cell r="B1254" t="str">
            <v>RG F0F0 DUC.PN 10 C/FLANGES ACION.DIR.C/VOL.DN 600</v>
          </cell>
          <cell r="C1254" t="str">
            <v>UN</v>
          </cell>
          <cell r="D1254">
            <v>9898.06</v>
          </cell>
        </row>
        <row r="1255">
          <cell r="A1255">
            <v>81736</v>
          </cell>
          <cell r="B1255" t="str">
            <v>RG F0F0 DUC.PN 10 C/FLANGES ACION.DIR.C/VOL.DN 700</v>
          </cell>
          <cell r="C1255" t="str">
            <v>UN</v>
          </cell>
          <cell r="D1255">
            <v>16880.689999999999</v>
          </cell>
        </row>
        <row r="1256">
          <cell r="A1256">
            <v>81737</v>
          </cell>
          <cell r="B1256" t="str">
            <v>RG F0F0 DUC.PN 10 C/FLANGES ACION.DIR.C/VOL.DN 800</v>
          </cell>
          <cell r="C1256" t="str">
            <v>UN</v>
          </cell>
          <cell r="D1256">
            <v>21129.82</v>
          </cell>
        </row>
        <row r="1257">
          <cell r="A1257">
            <v>81738</v>
          </cell>
          <cell r="B1257" t="str">
            <v>RG F0F0 DUC.PN 10 C/FLANGES ACION.DIR.C/VOL.DN 900</v>
          </cell>
          <cell r="C1257" t="str">
            <v>UN</v>
          </cell>
          <cell r="D1257">
            <v>26427.8</v>
          </cell>
        </row>
        <row r="1258">
          <cell r="A1258">
            <v>81739</v>
          </cell>
          <cell r="B1258" t="str">
            <v>RG F0F0 DUC.PN 10 C/FLANGES AC.DIR.C/VOL.DN 1000</v>
          </cell>
          <cell r="C1258" t="str">
            <v>UN</v>
          </cell>
          <cell r="D1258">
            <v>34124.83</v>
          </cell>
        </row>
        <row r="1259">
          <cell r="A1259">
            <v>81740</v>
          </cell>
          <cell r="B1259" t="str">
            <v>RG F0F0 DUC.PN 10 C/FLANGES AC.DIR.C/VOL.DN 1200</v>
          </cell>
          <cell r="C1259" t="str">
            <v>UN</v>
          </cell>
          <cell r="D1259">
            <v>44063.6</v>
          </cell>
        </row>
        <row r="1260">
          <cell r="A1260">
            <v>81741</v>
          </cell>
          <cell r="B1260" t="str">
            <v>RG F0F0 DUC.PN10 FF ACION.DIR.BY-PASS C/VOL.DN 400</v>
          </cell>
          <cell r="C1260" t="str">
            <v>UN</v>
          </cell>
          <cell r="D1260">
            <v>4905.8999999999996</v>
          </cell>
        </row>
        <row r="1261">
          <cell r="A1261">
            <v>81742</v>
          </cell>
          <cell r="B1261" t="str">
            <v>RG F0F0 DUC.PN10 FF ACION.DIR.BY-PASS C/VOL.DN 500</v>
          </cell>
          <cell r="C1261" t="str">
            <v>UN</v>
          </cell>
          <cell r="D1261">
            <v>6936.77</v>
          </cell>
        </row>
        <row r="1262">
          <cell r="A1262">
            <v>81743</v>
          </cell>
          <cell r="B1262" t="str">
            <v>RG F0F0 DUC.PN10 FF ACION.DIR.BY-PASS C/VOL.DN 600</v>
          </cell>
          <cell r="C1262" t="str">
            <v>UN</v>
          </cell>
          <cell r="D1262">
            <v>10771.18</v>
          </cell>
        </row>
        <row r="1263">
          <cell r="A1263">
            <v>81744</v>
          </cell>
          <cell r="B1263" t="str">
            <v>RG F0F0 DUC.PN10 FF ACION.DIR.BY-PASS C/VOL.DN 700</v>
          </cell>
          <cell r="C1263" t="str">
            <v>UN</v>
          </cell>
          <cell r="D1263">
            <v>16696.55</v>
          </cell>
        </row>
        <row r="1264">
          <cell r="A1264">
            <v>81745</v>
          </cell>
          <cell r="B1264" t="str">
            <v>RG F0F0 DUC.PN10 FF ACION.DIR.BY-PASS C/VOL.DN 800</v>
          </cell>
          <cell r="C1264" t="str">
            <v>UN</v>
          </cell>
          <cell r="D1264">
            <v>20446.03</v>
          </cell>
        </row>
        <row r="1265">
          <cell r="A1265">
            <v>81746</v>
          </cell>
          <cell r="B1265" t="str">
            <v>RG F0F0 DUC.PN10 FF ACION.DIR.BY-PASS C/VOL.DN 900</v>
          </cell>
          <cell r="C1265" t="str">
            <v>UN</v>
          </cell>
          <cell r="D1265">
            <v>26439.200000000001</v>
          </cell>
        </row>
        <row r="1266">
          <cell r="A1266">
            <v>81747</v>
          </cell>
          <cell r="B1266" t="str">
            <v>RG F0F0 DUC.PN10 FF AC.DIR.C/BY-PASS VOL.DN 1000</v>
          </cell>
          <cell r="C1266" t="str">
            <v>UN</v>
          </cell>
          <cell r="D1266">
            <v>32830.839999999997</v>
          </cell>
        </row>
        <row r="1267">
          <cell r="A1267">
            <v>81748</v>
          </cell>
          <cell r="B1267" t="str">
            <v>RG F0F0 DUC.PN10 FF AC.DIR.C/BY-PASS VOL.DN 1200</v>
          </cell>
          <cell r="C1267" t="str">
            <v>UN</v>
          </cell>
          <cell r="D1267">
            <v>40767.65</v>
          </cell>
        </row>
        <row r="1268">
          <cell r="A1268">
            <v>81749</v>
          </cell>
          <cell r="B1268" t="str">
            <v>RG F0F0 DUC.PN 16 C/FLANGES ACION.DIR.C/CAB.DN 50</v>
          </cell>
          <cell r="C1268" t="str">
            <v>UN</v>
          </cell>
          <cell r="D1268">
            <v>168.12</v>
          </cell>
        </row>
        <row r="1269">
          <cell r="A1269">
            <v>81750</v>
          </cell>
          <cell r="B1269" t="str">
            <v>RG F0F0 DUC.PN 16 C/FLANGES ACION.DIR.C/CAB. DN 75</v>
          </cell>
          <cell r="C1269" t="str">
            <v>UN</v>
          </cell>
          <cell r="D1269">
            <v>250.09</v>
          </cell>
        </row>
        <row r="1270">
          <cell r="A1270">
            <v>81751</v>
          </cell>
          <cell r="B1270" t="str">
            <v>RG F0F0 DUC.PN 16 C/FLANGES ACION.DIR.C/CAB.DN 100</v>
          </cell>
          <cell r="C1270" t="str">
            <v>UN</v>
          </cell>
          <cell r="D1270">
            <v>328.59</v>
          </cell>
        </row>
        <row r="1271">
          <cell r="A1271">
            <v>81752</v>
          </cell>
          <cell r="B1271" t="str">
            <v>RG F0F0 DUC.PN 16 C/FLANGES ACION.DIR.C/CAB.DN 150</v>
          </cell>
          <cell r="C1271" t="str">
            <v>UN</v>
          </cell>
          <cell r="D1271">
            <v>510.61</v>
          </cell>
        </row>
        <row r="1272">
          <cell r="A1272">
            <v>81753</v>
          </cell>
          <cell r="B1272" t="str">
            <v>RG F0F0 DUC.PN 16 C/FLANGES ACION.DIR.C/CAB.DN 200</v>
          </cell>
          <cell r="C1272" t="str">
            <v>UN</v>
          </cell>
          <cell r="D1272">
            <v>802.98</v>
          </cell>
        </row>
        <row r="1273">
          <cell r="A1273">
            <v>81754</v>
          </cell>
          <cell r="B1273" t="str">
            <v>RG F0F0 DUC.PN 16 C/FLANGES ACION.DIR.C/CAB.DN 250</v>
          </cell>
          <cell r="C1273" t="str">
            <v>UN</v>
          </cell>
          <cell r="D1273">
            <v>1157.92</v>
          </cell>
        </row>
        <row r="1274">
          <cell r="A1274">
            <v>81755</v>
          </cell>
          <cell r="B1274" t="str">
            <v>RG F0F0 DUC.PN 16 C/FLANGES ACION.DIR.C/CAB.DN 300</v>
          </cell>
          <cell r="C1274" t="str">
            <v>UN</v>
          </cell>
          <cell r="D1274">
            <v>1689.46</v>
          </cell>
        </row>
        <row r="1275">
          <cell r="A1275">
            <v>81756</v>
          </cell>
          <cell r="B1275" t="str">
            <v>RG F0F0 DUC.PN 16 C/FLANGES ACION.DIR.C/VOL. DN 50</v>
          </cell>
          <cell r="C1275" t="str">
            <v>UN</v>
          </cell>
          <cell r="D1275">
            <v>180.89</v>
          </cell>
        </row>
        <row r="1276">
          <cell r="A1276">
            <v>81757</v>
          </cell>
          <cell r="B1276" t="str">
            <v>RG F0F0 DUC.PN 16 C/FLANGES ACION.DIR.C/VOL. DN 75</v>
          </cell>
          <cell r="C1276" t="str">
            <v>UN</v>
          </cell>
          <cell r="D1276">
            <v>275.10000000000002</v>
          </cell>
        </row>
        <row r="1277">
          <cell r="A1277">
            <v>81758</v>
          </cell>
          <cell r="B1277" t="str">
            <v>RG F0F0 DUC.PN 16 C/FLANGES ACION.DIR.C/VOL.DN 100</v>
          </cell>
          <cell r="C1277" t="str">
            <v>UN</v>
          </cell>
          <cell r="D1277">
            <v>353.57</v>
          </cell>
        </row>
        <row r="1278">
          <cell r="A1278">
            <v>81759</v>
          </cell>
          <cell r="B1278" t="str">
            <v>RG F0F0 DUC.PN 16 C/FLANGES ACION.DIR.C/VOL.DN 150</v>
          </cell>
          <cell r="C1278" t="str">
            <v>UN</v>
          </cell>
          <cell r="D1278">
            <v>554.46</v>
          </cell>
        </row>
        <row r="1279">
          <cell r="A1279">
            <v>81760</v>
          </cell>
          <cell r="B1279" t="str">
            <v>RG F0F0 DUC.PN 16 C/FLANGES ACION.DIR.C/VOL.DN 200</v>
          </cell>
          <cell r="C1279" t="str">
            <v>UN</v>
          </cell>
          <cell r="D1279">
            <v>864.84</v>
          </cell>
        </row>
        <row r="1280">
          <cell r="A1280">
            <v>81761</v>
          </cell>
          <cell r="B1280" t="str">
            <v>RG F0F0 DUC.PN 16 C/FLANGES ACION.DIR.C/VOL.DN 250</v>
          </cell>
          <cell r="C1280" t="str">
            <v>UN</v>
          </cell>
          <cell r="D1280">
            <v>1252.57</v>
          </cell>
        </row>
        <row r="1281">
          <cell r="A1281">
            <v>81762</v>
          </cell>
          <cell r="B1281" t="str">
            <v>RG F0F0 DUC.PN 16 C/FLANGES ACION.DIR.C/VOL.DN 300</v>
          </cell>
          <cell r="C1281" t="str">
            <v>UN</v>
          </cell>
          <cell r="D1281">
            <v>1784.14</v>
          </cell>
        </row>
        <row r="1282">
          <cell r="A1282">
            <v>81763</v>
          </cell>
          <cell r="B1282" t="str">
            <v>RG F0F0 DUC.PN16 FF ACION.DIR.BY-PASS C/VOL.DN 250</v>
          </cell>
          <cell r="C1282" t="str">
            <v>UN</v>
          </cell>
          <cell r="D1282">
            <v>2398.36</v>
          </cell>
        </row>
        <row r="1283">
          <cell r="A1283">
            <v>81764</v>
          </cell>
          <cell r="B1283" t="str">
            <v>RG F0F0 DUC.PN16 FF ACION.DIR.BY-PASS C/VOL.DN 300</v>
          </cell>
          <cell r="C1283" t="str">
            <v>UN</v>
          </cell>
          <cell r="D1283">
            <v>2998.85</v>
          </cell>
        </row>
        <row r="1284">
          <cell r="A1284">
            <v>81765</v>
          </cell>
          <cell r="B1284" t="str">
            <v>RG F0F0 DUC.PN16 FF ACION.DIR.BY-PASS C/VOL.DN 400</v>
          </cell>
          <cell r="C1284" t="str">
            <v>UN</v>
          </cell>
          <cell r="D1284">
            <v>4916.22</v>
          </cell>
        </row>
        <row r="1285">
          <cell r="A1285">
            <v>81766</v>
          </cell>
          <cell r="B1285" t="str">
            <v>RG F0F0 DUC.PN16 FF ACION.DIR.BY-PASS C/VOL.DN 500</v>
          </cell>
          <cell r="C1285" t="str">
            <v>UN</v>
          </cell>
          <cell r="D1285">
            <v>6991.5</v>
          </cell>
        </row>
        <row r="1286">
          <cell r="A1286">
            <v>81767</v>
          </cell>
          <cell r="B1286" t="str">
            <v>RG F0F0 DUC.PN16 FF ACION.DIR.BY-PASS C/VOL.DN 600</v>
          </cell>
          <cell r="C1286" t="str">
            <v>UN</v>
          </cell>
          <cell r="D1286">
            <v>11174.74</v>
          </cell>
        </row>
        <row r="1287">
          <cell r="A1287">
            <v>81768</v>
          </cell>
          <cell r="B1287" t="str">
            <v>RG F0F0 DC.PN16 FF AC.C/RED.ENG.BY-PASS C/V DN 700</v>
          </cell>
          <cell r="C1287" t="str">
            <v>UN</v>
          </cell>
          <cell r="D1287">
            <v>18127.22</v>
          </cell>
        </row>
        <row r="1288">
          <cell r="A1288">
            <v>81769</v>
          </cell>
          <cell r="B1288" t="str">
            <v>RG F0F0 DC.PN16 FF AC.C/RED.ENG.BY-PASS C/V DN 800</v>
          </cell>
          <cell r="C1288" t="str">
            <v>UN</v>
          </cell>
          <cell r="D1288">
            <v>22381.18</v>
          </cell>
        </row>
        <row r="1289">
          <cell r="A1289">
            <v>81770</v>
          </cell>
          <cell r="B1289" t="str">
            <v>RG F0F0 DC.PN16 FF AC.C/RED.ENG.BY-PASS C/V DN 900</v>
          </cell>
          <cell r="C1289" t="str">
            <v>UN</v>
          </cell>
          <cell r="D1289">
            <v>28037.59</v>
          </cell>
        </row>
        <row r="1290">
          <cell r="A1290">
            <v>81771</v>
          </cell>
          <cell r="B1290" t="str">
            <v>RG F0F0 DC.PN16 FF AC.RED.ENG.BY-PASS C/V DN 1000</v>
          </cell>
          <cell r="C1290" t="str">
            <v>UN</v>
          </cell>
          <cell r="D1290">
            <v>35922.639999999999</v>
          </cell>
        </row>
        <row r="1291">
          <cell r="A1291">
            <v>81772</v>
          </cell>
          <cell r="B1291" t="str">
            <v>RG F0F0 DC.PN16 FF AC.RED.ENG.BY-PASS C/V DN 1200</v>
          </cell>
          <cell r="C1291" t="str">
            <v>UN</v>
          </cell>
          <cell r="D1291">
            <v>46025.21</v>
          </cell>
        </row>
        <row r="1292">
          <cell r="A1292">
            <v>81773</v>
          </cell>
          <cell r="B1292" t="str">
            <v>RG F0F0 DUC. PN 10 JE ACION. DIRETO C/CAB. DN 250</v>
          </cell>
          <cell r="C1292" t="str">
            <v>UN</v>
          </cell>
          <cell r="D1292">
            <v>1776.5</v>
          </cell>
        </row>
        <row r="1293">
          <cell r="A1293">
            <v>81774</v>
          </cell>
          <cell r="B1293" t="str">
            <v>RG F0F0 DUC. PN 10 JE ACION. DIRETO C/CAB. DN 300</v>
          </cell>
          <cell r="C1293" t="str">
            <v>UN</v>
          </cell>
          <cell r="D1293">
            <v>2377.5</v>
          </cell>
        </row>
        <row r="1294">
          <cell r="A1294">
            <v>81775</v>
          </cell>
          <cell r="B1294" t="str">
            <v>RG F0F0 DUC. PN 10 JE ACION. DIRETO C/CAB. DN 400</v>
          </cell>
          <cell r="C1294" t="str">
            <v>UN</v>
          </cell>
          <cell r="D1294">
            <v>4098.1000000000004</v>
          </cell>
        </row>
        <row r="1295">
          <cell r="A1295">
            <v>81776</v>
          </cell>
          <cell r="B1295" t="str">
            <v>RG F0F0 DUC.PN 10 JE ACION. DIRETO C/CAB. DN 500</v>
          </cell>
          <cell r="C1295" t="str">
            <v>UN</v>
          </cell>
          <cell r="D1295">
            <v>6156.91</v>
          </cell>
        </row>
        <row r="1296">
          <cell r="A1296">
            <v>81777</v>
          </cell>
          <cell r="B1296" t="str">
            <v>RG F0F0 DUC. PN 10 JE ACION. DIRETO C/CAB. DN 600</v>
          </cell>
          <cell r="C1296" t="str">
            <v>UN</v>
          </cell>
          <cell r="D1296">
            <v>10113.41</v>
          </cell>
        </row>
        <row r="1297">
          <cell r="A1297">
            <v>81778</v>
          </cell>
          <cell r="B1297" t="str">
            <v>RG F0F0 DUC. PN 10 JE ACION. DIRETO C/VOL. DN 250</v>
          </cell>
          <cell r="C1297" t="str">
            <v>UN</v>
          </cell>
          <cell r="D1297">
            <v>1894.72</v>
          </cell>
        </row>
        <row r="1298">
          <cell r="A1298">
            <v>81779</v>
          </cell>
          <cell r="B1298" t="str">
            <v>RG F0F0 DUC. PN 10 JE ACION. DIRETO C/VOL. DN 300</v>
          </cell>
          <cell r="C1298" t="str">
            <v>UN</v>
          </cell>
          <cell r="D1298">
            <v>2495.6</v>
          </cell>
        </row>
        <row r="1299">
          <cell r="A1299">
            <v>81780</v>
          </cell>
          <cell r="B1299" t="str">
            <v>RG F0F0 DUC. PN 10 JE ACION. DIRETO C/VOL. DN 400</v>
          </cell>
          <cell r="C1299" t="str">
            <v>UN</v>
          </cell>
          <cell r="D1299">
            <v>4216.28</v>
          </cell>
        </row>
        <row r="1300">
          <cell r="A1300">
            <v>81781</v>
          </cell>
          <cell r="B1300" t="str">
            <v>RG F0F0 DUC. PN 10 JE ACION. DIRETO C/VOL. DN 500</v>
          </cell>
          <cell r="C1300" t="str">
            <v>UN</v>
          </cell>
          <cell r="D1300">
            <v>6275.09</v>
          </cell>
        </row>
        <row r="1301">
          <cell r="A1301">
            <v>81782</v>
          </cell>
          <cell r="B1301" t="str">
            <v>RG F0F0 DUC. PN 10 JE ACION. DIRETO C/VOL. DN 600</v>
          </cell>
          <cell r="C1301" t="str">
            <v>UN</v>
          </cell>
          <cell r="D1301">
            <v>10231.52</v>
          </cell>
        </row>
        <row r="1302">
          <cell r="A1302">
            <v>81783</v>
          </cell>
          <cell r="B1302" t="str">
            <v>RG F0F0 DUC. PN 16 JE ACION. DIRETO C/CAB. DN 50</v>
          </cell>
          <cell r="C1302" t="str">
            <v>UN</v>
          </cell>
          <cell r="D1302">
            <v>174.49</v>
          </cell>
        </row>
        <row r="1303">
          <cell r="A1303">
            <v>81784</v>
          </cell>
          <cell r="B1303" t="str">
            <v>RG F0F0 DUC. PN 16 JE ACION. DIRETO C/CAB. DN 75</v>
          </cell>
          <cell r="C1303" t="str">
            <v>UN</v>
          </cell>
          <cell r="D1303">
            <v>259.57</v>
          </cell>
        </row>
        <row r="1304">
          <cell r="A1304">
            <v>81785</v>
          </cell>
          <cell r="B1304" t="str">
            <v>RG F0F0 DUC. PN 16 JE ACION. DIRETO C/CAB. DN 100</v>
          </cell>
          <cell r="C1304" t="str">
            <v>UN</v>
          </cell>
          <cell r="D1304">
            <v>341.04</v>
          </cell>
        </row>
        <row r="1305">
          <cell r="A1305">
            <v>81786</v>
          </cell>
          <cell r="B1305" t="str">
            <v>RG F0F0 DUC. PN 16 JE ACION. DIRETO C/CAB. DN 150</v>
          </cell>
          <cell r="C1305" t="str">
            <v>UN</v>
          </cell>
          <cell r="D1305">
            <v>529.96</v>
          </cell>
        </row>
        <row r="1306">
          <cell r="A1306">
            <v>81787</v>
          </cell>
          <cell r="B1306" t="str">
            <v>RG F0F0 DUC. PN 16 JE ACION. DIRETO C/CAB. DN 200</v>
          </cell>
          <cell r="C1306" t="str">
            <v>UN</v>
          </cell>
          <cell r="D1306">
            <v>840.12</v>
          </cell>
        </row>
        <row r="1307">
          <cell r="A1307">
            <v>81788</v>
          </cell>
          <cell r="B1307" t="str">
            <v>RG F0F0 DUC. PN 16 JE ACION. DIRETO C/CAB. DN 250</v>
          </cell>
          <cell r="C1307" t="str">
            <v>UN</v>
          </cell>
          <cell r="D1307">
            <v>1191.49</v>
          </cell>
        </row>
        <row r="1308">
          <cell r="A1308">
            <v>81789</v>
          </cell>
          <cell r="B1308" t="str">
            <v>RG F0F0 DUC. PN 16 JE ACION. DIRETO C/CAB. DN 300</v>
          </cell>
          <cell r="C1308" t="str">
            <v>UN</v>
          </cell>
          <cell r="D1308">
            <v>1929.22</v>
          </cell>
        </row>
        <row r="1309">
          <cell r="A1309">
            <v>81790</v>
          </cell>
          <cell r="B1309" t="str">
            <v>RG F0F0 DUC. PN 16 JE ACION. DIRETO C/VOL. DN 50</v>
          </cell>
          <cell r="C1309" t="str">
            <v>UN</v>
          </cell>
          <cell r="D1309">
            <v>187.22</v>
          </cell>
        </row>
        <row r="1310">
          <cell r="A1310">
            <v>81791</v>
          </cell>
          <cell r="B1310" t="str">
            <v>RG F0F0 DUC. PN 16 JE ACION. DIRETO C/VOL. DN 75</v>
          </cell>
          <cell r="C1310" t="str">
            <v>UN</v>
          </cell>
          <cell r="D1310">
            <v>284.72000000000003</v>
          </cell>
        </row>
        <row r="1311">
          <cell r="A1311">
            <v>81792</v>
          </cell>
          <cell r="B1311" t="str">
            <v>RG F0F0 DUC. PN 16 JE ACION. DIRETO C/VOL. DN 100</v>
          </cell>
          <cell r="C1311" t="str">
            <v>UN</v>
          </cell>
          <cell r="D1311">
            <v>365.93</v>
          </cell>
        </row>
        <row r="1312">
          <cell r="A1312">
            <v>81793</v>
          </cell>
          <cell r="B1312" t="str">
            <v>RG F0F0 DUC. PN 16 JE ACION. DIRETO C/VOL. DN 150</v>
          </cell>
          <cell r="C1312" t="str">
            <v>UN</v>
          </cell>
          <cell r="D1312">
            <v>573.85</v>
          </cell>
        </row>
        <row r="1313">
          <cell r="A1313">
            <v>81794</v>
          </cell>
          <cell r="B1313" t="str">
            <v>RG F0F0 DUC. PN 16 JE ACION. DIRETO C/VOL. DN 200</v>
          </cell>
          <cell r="C1313" t="str">
            <v>UN</v>
          </cell>
          <cell r="D1313">
            <v>884.02</v>
          </cell>
        </row>
        <row r="1314">
          <cell r="A1314">
            <v>81795</v>
          </cell>
          <cell r="B1314" t="str">
            <v>RG F0F0 DUC. PN 16 JE ACION. DIRETO C/VOL. DN 250</v>
          </cell>
          <cell r="C1314" t="str">
            <v>UN</v>
          </cell>
          <cell r="D1314">
            <v>1286.18</v>
          </cell>
        </row>
        <row r="1315">
          <cell r="A1315">
            <v>81796</v>
          </cell>
          <cell r="B1315" t="str">
            <v>RG F0F0 DUC. PN 16 JE ACION. DIRETO C/VOL. DN 300</v>
          </cell>
          <cell r="C1315" t="str">
            <v>UN</v>
          </cell>
          <cell r="D1315">
            <v>2023.9</v>
          </cell>
        </row>
        <row r="1316">
          <cell r="A1316">
            <v>81797</v>
          </cell>
          <cell r="B1316" t="str">
            <v>RG F0F0 DUC.PN 16 JE AC.DIR.C/BY-PASS/VOL.DN 250</v>
          </cell>
          <cell r="C1316" t="str">
            <v>UN</v>
          </cell>
          <cell r="D1316">
            <v>2231.66</v>
          </cell>
        </row>
        <row r="1317">
          <cell r="A1317">
            <v>81798</v>
          </cell>
          <cell r="B1317" t="str">
            <v>RG F0F0 DUC.PN 16 JE AC.DIR.C/BY-PASS/VOL.DN 300</v>
          </cell>
          <cell r="C1317" t="str">
            <v>UN</v>
          </cell>
          <cell r="D1317">
            <v>2828.74</v>
          </cell>
        </row>
        <row r="1318">
          <cell r="A1318">
            <v>81799</v>
          </cell>
          <cell r="B1318" t="str">
            <v>RG F0F0 DUC.PN 16 JE AC.DIR.C/BY-PASS/VOL.DN 400</v>
          </cell>
          <cell r="C1318" t="str">
            <v>UN</v>
          </cell>
          <cell r="D1318">
            <v>4792.18</v>
          </cell>
        </row>
        <row r="1319">
          <cell r="A1319">
            <v>81801</v>
          </cell>
          <cell r="B1319" t="str">
            <v>RG F0F0 DUC.PN 16 JE AC.DIR.C/BY-PASS/VOL.DN 500</v>
          </cell>
          <cell r="C1319" t="str">
            <v>UN</v>
          </cell>
          <cell r="D1319">
            <v>6540.95</v>
          </cell>
        </row>
        <row r="1320">
          <cell r="A1320">
            <v>81802</v>
          </cell>
          <cell r="B1320" t="str">
            <v>RG F0F0 DUC.PN 16 JE AC.DIR.C/BY-PASS/VOL.DN 600</v>
          </cell>
          <cell r="C1320" t="str">
            <v>UN</v>
          </cell>
          <cell r="D1320">
            <v>10476.200000000001</v>
          </cell>
        </row>
        <row r="1321">
          <cell r="A1321">
            <v>81803</v>
          </cell>
          <cell r="B1321" t="str">
            <v>RG F0F0 DUCTIL PN 10 P/TUBOS PVC C/CABECOTE DN 50</v>
          </cell>
          <cell r="C1321" t="str">
            <v>UN</v>
          </cell>
          <cell r="D1321">
            <v>142.5</v>
          </cell>
        </row>
        <row r="1322">
          <cell r="A1322">
            <v>81804</v>
          </cell>
          <cell r="B1322" t="str">
            <v>RG F0F0 DUCTIL PN 10 P/TUBOS PVC C/CABECOTE DN 75</v>
          </cell>
          <cell r="C1322" t="str">
            <v>UN</v>
          </cell>
          <cell r="D1322">
            <v>240.53</v>
          </cell>
        </row>
        <row r="1323">
          <cell r="A1323">
            <v>81805</v>
          </cell>
          <cell r="B1323" t="str">
            <v>RG F0F0 DUCTIL PN 10 P/TUBOS PVC C/CABECOTE DN 100</v>
          </cell>
          <cell r="C1323" t="str">
            <v>UN</v>
          </cell>
          <cell r="D1323">
            <v>324.37</v>
          </cell>
        </row>
        <row r="1324">
          <cell r="A1324">
            <v>81806</v>
          </cell>
          <cell r="B1324" t="str">
            <v>RG F0F0 DUCTIL PN 10 P/TUBOS PVC C/VOLANTE DN 50</v>
          </cell>
          <cell r="C1324" t="str">
            <v>UN</v>
          </cell>
          <cell r="D1324">
            <v>155.22999999999999</v>
          </cell>
        </row>
        <row r="1325">
          <cell r="A1325">
            <v>81807</v>
          </cell>
          <cell r="B1325" t="str">
            <v>RG F0F0 DUCTIL PN 10 P/TUBOS PVC C/VOLANTE DN 75</v>
          </cell>
          <cell r="C1325" t="str">
            <v>UN</v>
          </cell>
          <cell r="D1325">
            <v>265.60000000000002</v>
          </cell>
        </row>
        <row r="1326">
          <cell r="A1326">
            <v>81808</v>
          </cell>
          <cell r="B1326" t="str">
            <v>RG F0F0 DUCTIL PN 10 P/TUBOS PVC C/VOLANTE DN 100</v>
          </cell>
          <cell r="C1326" t="str">
            <v>UN</v>
          </cell>
          <cell r="D1326">
            <v>349.42</v>
          </cell>
        </row>
        <row r="1327">
          <cell r="A1327">
            <v>81809</v>
          </cell>
          <cell r="B1327" t="str">
            <v>RG F0F0 DUC.PN 10 P/TUBOS F0C0 J.REKA C/CAB.DN 250</v>
          </cell>
          <cell r="C1327" t="str">
            <v>UN</v>
          </cell>
          <cell r="D1327">
            <v>2711.73</v>
          </cell>
        </row>
        <row r="1328">
          <cell r="A1328">
            <v>81810</v>
          </cell>
          <cell r="B1328" t="str">
            <v>RG F0F0 DUC.PN 10 P/TUBOS F0C0 J.REKA C/CAB.DN 300</v>
          </cell>
          <cell r="C1328" t="str">
            <v>UN</v>
          </cell>
          <cell r="D1328">
            <v>3950.11</v>
          </cell>
        </row>
        <row r="1329">
          <cell r="A1329">
            <v>81811</v>
          </cell>
          <cell r="B1329" t="str">
            <v>RG F0F0 DUC.PN 16 P/TUBOS F0C0 J.REKA C/CAB.DN 50</v>
          </cell>
          <cell r="C1329" t="str">
            <v>UN</v>
          </cell>
          <cell r="D1329">
            <v>0</v>
          </cell>
        </row>
        <row r="1330">
          <cell r="A1330">
            <v>81812</v>
          </cell>
          <cell r="B1330" t="str">
            <v>RG F0F0 DUC.PN 16 P/TUBOS F0C0 J.REKA C/CAB.DN 75</v>
          </cell>
          <cell r="C1330" t="str">
            <v>UN</v>
          </cell>
          <cell r="D1330">
            <v>0</v>
          </cell>
        </row>
        <row r="1331">
          <cell r="A1331">
            <v>81813</v>
          </cell>
          <cell r="B1331" t="str">
            <v>RG F0F0 DUC.PN 16 P/TUBOS F0C0 J.REKA C/CAB.DN 100</v>
          </cell>
          <cell r="C1331" t="str">
            <v>UN</v>
          </cell>
          <cell r="D1331">
            <v>0</v>
          </cell>
        </row>
        <row r="1332">
          <cell r="A1332">
            <v>81814</v>
          </cell>
          <cell r="B1332" t="str">
            <v>RG F0F0 DUC.PN 16 P/TUBOS F0C0 J.REKA C/CAB.DN 150</v>
          </cell>
          <cell r="C1332" t="str">
            <v>UN</v>
          </cell>
          <cell r="D1332">
            <v>0</v>
          </cell>
        </row>
        <row r="1333">
          <cell r="A1333">
            <v>81815</v>
          </cell>
          <cell r="B1333" t="str">
            <v>RG F0F0 DUC.PN 16 P/TUBOS F0C0 J.REKA C/CAB.DN 200</v>
          </cell>
          <cell r="C1333" t="str">
            <v>UN</v>
          </cell>
          <cell r="D1333">
            <v>802.98</v>
          </cell>
        </row>
        <row r="1334">
          <cell r="A1334">
            <v>81816</v>
          </cell>
          <cell r="B1334" t="str">
            <v>TAMPAO F0F0 DUCTIL TD-600</v>
          </cell>
          <cell r="C1334" t="str">
            <v>UN</v>
          </cell>
          <cell r="D1334">
            <v>110</v>
          </cell>
        </row>
        <row r="1335">
          <cell r="A1335">
            <v>81817</v>
          </cell>
          <cell r="B1335" t="str">
            <v>TAMPAO F0F0 DUCTIL TD-900</v>
          </cell>
          <cell r="C1335" t="str">
            <v>UN</v>
          </cell>
          <cell r="D1335">
            <v>180</v>
          </cell>
        </row>
        <row r="1336">
          <cell r="A1336">
            <v>81818</v>
          </cell>
          <cell r="B1336" t="str">
            <v>TAMPAO F0F0 DUCTIL ARTICULADO TDA-600</v>
          </cell>
          <cell r="C1336" t="str">
            <v>UN</v>
          </cell>
          <cell r="D1336">
            <v>120</v>
          </cell>
        </row>
        <row r="1337">
          <cell r="A1337">
            <v>81819</v>
          </cell>
          <cell r="B1337" t="str">
            <v>VENTOSA SIMPLES F0F0 C/ROSCA 3/4"</v>
          </cell>
          <cell r="C1337" t="str">
            <v>UN</v>
          </cell>
          <cell r="D1337">
            <v>80.13</v>
          </cell>
        </row>
        <row r="1338">
          <cell r="A1338">
            <v>81820</v>
          </cell>
          <cell r="B1338" t="str">
            <v>VENTOSA SIMPLES F0F0 C/ROSCA 1"</v>
          </cell>
          <cell r="C1338" t="str">
            <v>UN</v>
          </cell>
          <cell r="D1338">
            <v>77.709999999999994</v>
          </cell>
        </row>
        <row r="1339">
          <cell r="A1339">
            <v>81821</v>
          </cell>
          <cell r="B1339" t="str">
            <v>VENTOSA SIMPLES F0F0 C/ROSCA 1.1/4"</v>
          </cell>
          <cell r="C1339" t="str">
            <v>UN</v>
          </cell>
          <cell r="D1339">
            <v>76.25</v>
          </cell>
        </row>
        <row r="1340">
          <cell r="A1340">
            <v>81822</v>
          </cell>
          <cell r="B1340" t="str">
            <v>VENTOSA SIMPLES F0F0 C/ROSCA 1.1/2"</v>
          </cell>
          <cell r="C1340" t="str">
            <v>UN</v>
          </cell>
          <cell r="D1340">
            <v>74.459999999999994</v>
          </cell>
        </row>
        <row r="1341">
          <cell r="A1341">
            <v>81823</v>
          </cell>
          <cell r="B1341" t="str">
            <v>VENTOSA SIMPLES F0F0 C/FLANGES DN 50</v>
          </cell>
          <cell r="C1341" t="str">
            <v>UN</v>
          </cell>
          <cell r="D1341">
            <v>67.63</v>
          </cell>
        </row>
        <row r="1342">
          <cell r="A1342">
            <v>81824</v>
          </cell>
          <cell r="B1342" t="str">
            <v>VENTOSA DE TRIPLICE FUNCAO F0F0 DN 50</v>
          </cell>
          <cell r="C1342" t="str">
            <v>UN</v>
          </cell>
          <cell r="D1342">
            <v>332.65</v>
          </cell>
        </row>
        <row r="1343">
          <cell r="A1343">
            <v>81825</v>
          </cell>
          <cell r="B1343" t="str">
            <v>VENTOSA DE TRIPLICE FUNCAO F0F0 DN 100</v>
          </cell>
          <cell r="C1343" t="str">
            <v>UN</v>
          </cell>
          <cell r="D1343">
            <v>658.22</v>
          </cell>
        </row>
        <row r="1344">
          <cell r="A1344">
            <v>81826</v>
          </cell>
          <cell r="B1344" t="str">
            <v>VENTOSA DE TRIPLICE FUNCAO F0F0 DN 150</v>
          </cell>
          <cell r="C1344" t="str">
            <v>UN</v>
          </cell>
          <cell r="D1344">
            <v>1229.76</v>
          </cell>
        </row>
        <row r="1345">
          <cell r="A1345">
            <v>81827</v>
          </cell>
          <cell r="B1345" t="str">
            <v>VENTOSA DE TRIPLICE FUNCAO F0F0 DN 200</v>
          </cell>
          <cell r="C1345" t="str">
            <v>UN</v>
          </cell>
          <cell r="D1345">
            <v>1551.54</v>
          </cell>
        </row>
        <row r="1346">
          <cell r="A1346">
            <v>81828</v>
          </cell>
          <cell r="B1346" t="str">
            <v>JUNTA DE EXPANSAO F0F0 PN 10 DN 50</v>
          </cell>
          <cell r="C1346" t="str">
            <v>UN</v>
          </cell>
          <cell r="D1346">
            <v>888.06</v>
          </cell>
        </row>
        <row r="1347">
          <cell r="A1347">
            <v>81829</v>
          </cell>
          <cell r="B1347" t="str">
            <v>JUNTA DE EXPANSAO F0F0 PN 10 DN 75</v>
          </cell>
          <cell r="C1347" t="str">
            <v>UN</v>
          </cell>
          <cell r="D1347">
            <v>1185.57</v>
          </cell>
        </row>
        <row r="1348">
          <cell r="A1348">
            <v>81830</v>
          </cell>
          <cell r="B1348" t="str">
            <v>JUNTA DE EXPANSAO F0F0 PN 10 DN 100</v>
          </cell>
          <cell r="C1348" t="str">
            <v>UN</v>
          </cell>
          <cell r="D1348">
            <v>1528.08</v>
          </cell>
        </row>
        <row r="1349">
          <cell r="A1349">
            <v>81831</v>
          </cell>
          <cell r="B1349" t="str">
            <v>JUNTA DE EXPANSAO F0F0 PN 10 DN 150</v>
          </cell>
          <cell r="C1349" t="str">
            <v>UN</v>
          </cell>
          <cell r="D1349">
            <v>1868.36</v>
          </cell>
        </row>
        <row r="1350">
          <cell r="A1350">
            <v>81832</v>
          </cell>
          <cell r="B1350" t="str">
            <v>JUNTA DE EXPANSAO F0F0 PN 10 DN 200</v>
          </cell>
          <cell r="C1350" t="str">
            <v>UN</v>
          </cell>
          <cell r="D1350">
            <v>2694.47</v>
          </cell>
        </row>
        <row r="1351">
          <cell r="A1351">
            <v>81833</v>
          </cell>
          <cell r="B1351" t="str">
            <v>JUNTA DE EXPANSAO F0F0 PN 10 DN 250</v>
          </cell>
          <cell r="C1351" t="str">
            <v>UN</v>
          </cell>
          <cell r="D1351">
            <v>4583.96</v>
          </cell>
        </row>
        <row r="1352">
          <cell r="A1352">
            <v>81834</v>
          </cell>
          <cell r="B1352" t="str">
            <v>JUNTA DE EXPANSAO F0F0 PN 10 DN 300</v>
          </cell>
          <cell r="C1352" t="str">
            <v>UN</v>
          </cell>
          <cell r="D1352">
            <v>4885.8900000000003</v>
          </cell>
        </row>
        <row r="1353">
          <cell r="A1353">
            <v>81835</v>
          </cell>
          <cell r="B1353" t="str">
            <v>JUNTA DE EXPANSAO F0F0 PN 10 DN 400</v>
          </cell>
          <cell r="C1353" t="str">
            <v>UN</v>
          </cell>
          <cell r="D1353">
            <v>7190.95</v>
          </cell>
        </row>
        <row r="1354">
          <cell r="A1354">
            <v>81836</v>
          </cell>
          <cell r="B1354" t="str">
            <v>JUNTA DE EXPANSAO F0F0 PN 10 DN 500</v>
          </cell>
          <cell r="C1354" t="str">
            <v>UN</v>
          </cell>
          <cell r="D1354">
            <v>9442.4500000000007</v>
          </cell>
        </row>
        <row r="1355">
          <cell r="A1355">
            <v>81837</v>
          </cell>
          <cell r="B1355" t="str">
            <v>JUNTA DE EXPANSAO F0F0 PN 10 DN 600</v>
          </cell>
          <cell r="C1355" t="str">
            <v>UN</v>
          </cell>
          <cell r="D1355">
            <v>10858.13</v>
          </cell>
        </row>
        <row r="1356">
          <cell r="A1356">
            <v>81838</v>
          </cell>
          <cell r="B1356" t="str">
            <v>JUNTA DE EXPANSAO F0F0 PN 16 DN 50</v>
          </cell>
          <cell r="C1356" t="str">
            <v>UN</v>
          </cell>
          <cell r="D1356">
            <v>1235.43</v>
          </cell>
        </row>
        <row r="1357">
          <cell r="A1357">
            <v>81839</v>
          </cell>
          <cell r="B1357" t="str">
            <v>JUNTA DE EXPANSAO F0F0 PN 16 DN 75</v>
          </cell>
          <cell r="C1357" t="str">
            <v>UN</v>
          </cell>
          <cell r="D1357">
            <v>1649.32</v>
          </cell>
        </row>
        <row r="1358">
          <cell r="A1358">
            <v>81840</v>
          </cell>
          <cell r="B1358" t="str">
            <v>JUNTA DE EXPANSAO F0F0 PN 16 DN 100</v>
          </cell>
          <cell r="C1358" t="str">
            <v>]U</v>
          </cell>
          <cell r="D1358">
            <v>1829.39</v>
          </cell>
        </row>
        <row r="1359">
          <cell r="A1359">
            <v>81841</v>
          </cell>
          <cell r="B1359" t="str">
            <v>JUNTA DE EXPANSAO F0F0 PN 16 DN 150</v>
          </cell>
          <cell r="C1359" t="str">
            <v>UN</v>
          </cell>
          <cell r="D1359">
            <v>2277.3200000000002</v>
          </cell>
        </row>
        <row r="1360">
          <cell r="A1360">
            <v>81842</v>
          </cell>
          <cell r="B1360" t="str">
            <v>JUNTA DE EXPANSAO F0F0 PN 16 DN 200</v>
          </cell>
          <cell r="C1360" t="str">
            <v>UN</v>
          </cell>
          <cell r="D1360">
            <v>2719.63</v>
          </cell>
        </row>
        <row r="1361">
          <cell r="A1361">
            <v>81843</v>
          </cell>
          <cell r="B1361" t="str">
            <v>JUNTA DE EXPANSAO F0F0 PN 16 DN 250</v>
          </cell>
          <cell r="C1361" t="str">
            <v>UN</v>
          </cell>
          <cell r="D1361">
            <v>4591</v>
          </cell>
        </row>
        <row r="1362">
          <cell r="A1362">
            <v>81844</v>
          </cell>
          <cell r="B1362" t="str">
            <v>JUNTA DE EXPANSAO F0F0 PN 16 DN 300</v>
          </cell>
          <cell r="C1362" t="str">
            <v>UN</v>
          </cell>
          <cell r="D1362">
            <v>4893.09</v>
          </cell>
        </row>
        <row r="1363">
          <cell r="A1363">
            <v>81845</v>
          </cell>
          <cell r="B1363" t="str">
            <v>JUNTA DE EXPANSAO F0F0 PN 16 DN 400</v>
          </cell>
          <cell r="C1363" t="str">
            <v>UN</v>
          </cell>
          <cell r="D1363">
            <v>7213.87</v>
          </cell>
        </row>
        <row r="1364">
          <cell r="A1364">
            <v>81846</v>
          </cell>
          <cell r="B1364" t="str">
            <v>JUNTA DE EXPANSAO F0F0 PN 16 DN 500</v>
          </cell>
          <cell r="C1364" t="str">
            <v>UN</v>
          </cell>
          <cell r="D1364">
            <v>9465.6299999999992</v>
          </cell>
        </row>
        <row r="1365">
          <cell r="A1365">
            <v>81847</v>
          </cell>
          <cell r="B1365" t="str">
            <v>JUNTA DE EXPANSAO F0F0 PN 16 DN 600</v>
          </cell>
          <cell r="C1365" t="str">
            <v>UN</v>
          </cell>
          <cell r="D1365">
            <v>10920.55</v>
          </cell>
        </row>
        <row r="1366">
          <cell r="A1366">
            <v>81848</v>
          </cell>
          <cell r="B1366" t="str">
            <v>VALVULA ANTIGOLPE DE ARIETE F0F0 PN 10 DN 100</v>
          </cell>
          <cell r="C1366" t="str">
            <v>UN</v>
          </cell>
          <cell r="D1366">
            <v>0</v>
          </cell>
        </row>
        <row r="1367">
          <cell r="A1367">
            <v>81849</v>
          </cell>
          <cell r="B1367" t="str">
            <v>VALVULA ANTIGOLPE DE ARIETE F0F0 PN 16 DN 100</v>
          </cell>
          <cell r="C1367" t="str">
            <v>UN</v>
          </cell>
          <cell r="D1367">
            <v>0</v>
          </cell>
        </row>
        <row r="1368">
          <cell r="A1368">
            <v>81850</v>
          </cell>
          <cell r="B1368" t="str">
            <v>VALVULA DE ALIVIO F0F0 PN 10 DN 25 X 50</v>
          </cell>
          <cell r="C1368" t="str">
            <v>UN</v>
          </cell>
          <cell r="D1368">
            <v>0</v>
          </cell>
        </row>
        <row r="1369">
          <cell r="A1369">
            <v>81851</v>
          </cell>
          <cell r="B1369" t="str">
            <v>VALVULA DE ALIVIO F0F0 PN 10 DN 40 X 50</v>
          </cell>
          <cell r="C1369" t="str">
            <v>UN</v>
          </cell>
          <cell r="D1369">
            <v>0</v>
          </cell>
        </row>
        <row r="1370">
          <cell r="A1370">
            <v>81852</v>
          </cell>
          <cell r="B1370" t="str">
            <v>VALVULA DE ALIVIO F0F0 PN 10 DN 40 X 60</v>
          </cell>
          <cell r="C1370" t="str">
            <v>UN</v>
          </cell>
          <cell r="D1370">
            <v>0</v>
          </cell>
        </row>
        <row r="1371">
          <cell r="A1371">
            <v>81853</v>
          </cell>
          <cell r="B1371" t="str">
            <v>VALVULA DE ALIVIO F0F0 PN 10 DN 50 X 75</v>
          </cell>
          <cell r="C1371" t="str">
            <v>UN</v>
          </cell>
          <cell r="D1371">
            <v>0</v>
          </cell>
        </row>
        <row r="1372">
          <cell r="A1372">
            <v>81854</v>
          </cell>
          <cell r="B1372" t="str">
            <v>VALVULA DE ALIVIO F0F0 PN 10 DN 60 X 100</v>
          </cell>
          <cell r="C1372" t="str">
            <v>UN</v>
          </cell>
          <cell r="D1372">
            <v>0</v>
          </cell>
        </row>
        <row r="1373">
          <cell r="A1373">
            <v>81855</v>
          </cell>
          <cell r="B1373" t="str">
            <v>VALVULA DE ALIVIO F0F0 PN 10 DN 75 X 100</v>
          </cell>
          <cell r="C1373" t="str">
            <v>UN</v>
          </cell>
          <cell r="D1373">
            <v>0</v>
          </cell>
        </row>
        <row r="1374">
          <cell r="A1374">
            <v>81856</v>
          </cell>
          <cell r="B1374" t="str">
            <v>VALVULA DE ALIVIO F0F0 PN 10 DN 100 X 150</v>
          </cell>
          <cell r="C1374" t="str">
            <v>UN</v>
          </cell>
          <cell r="D1374">
            <v>0</v>
          </cell>
        </row>
        <row r="1375">
          <cell r="A1375">
            <v>81857</v>
          </cell>
          <cell r="B1375" t="str">
            <v>VALVULA DE ALIVIO F0F0 PN 10 DN 150 X 200</v>
          </cell>
          <cell r="C1375" t="str">
            <v>UN</v>
          </cell>
          <cell r="D1375">
            <v>0</v>
          </cell>
        </row>
        <row r="1376">
          <cell r="A1376">
            <v>81858</v>
          </cell>
          <cell r="B1376" t="str">
            <v>VALVULA DE ALIVIO F0F0 PN 16 DN 25 X 50</v>
          </cell>
          <cell r="C1376" t="str">
            <v>UN</v>
          </cell>
          <cell r="D1376">
            <v>0</v>
          </cell>
        </row>
        <row r="1377">
          <cell r="A1377">
            <v>81859</v>
          </cell>
          <cell r="B1377" t="str">
            <v>VALVULA DE ALIVIO F0F0 PN 16 DN 40 X 50</v>
          </cell>
          <cell r="C1377" t="str">
            <v>UN</v>
          </cell>
          <cell r="D1377">
            <v>0</v>
          </cell>
        </row>
        <row r="1378">
          <cell r="A1378">
            <v>81860</v>
          </cell>
          <cell r="B1378" t="str">
            <v>VALVULA DE ALIVIO F0F0 PN 16 DN 40 X 60</v>
          </cell>
          <cell r="C1378" t="str">
            <v>UN</v>
          </cell>
          <cell r="D1378">
            <v>0</v>
          </cell>
        </row>
        <row r="1379">
          <cell r="A1379">
            <v>81861</v>
          </cell>
          <cell r="B1379" t="str">
            <v>VALVULA DE ALIVIO F0F0 PN 16 DN 50 X 75</v>
          </cell>
          <cell r="C1379" t="str">
            <v>UN</v>
          </cell>
          <cell r="D1379">
            <v>0</v>
          </cell>
        </row>
        <row r="1380">
          <cell r="A1380">
            <v>81862</v>
          </cell>
          <cell r="B1380" t="str">
            <v>VALVULA DE ALIVIO F0F0 PN 16 DN 60 X 100</v>
          </cell>
          <cell r="C1380" t="str">
            <v>UN</v>
          </cell>
          <cell r="D1380">
            <v>3937.9</v>
          </cell>
        </row>
        <row r="1381">
          <cell r="A1381">
            <v>81863</v>
          </cell>
          <cell r="B1381" t="str">
            <v>VALVULA DE ALIVIO F0F0 PN 16 DN 75 X 100</v>
          </cell>
          <cell r="C1381" t="str">
            <v>UN</v>
          </cell>
          <cell r="D1381">
            <v>0</v>
          </cell>
        </row>
        <row r="1382">
          <cell r="A1382">
            <v>81864</v>
          </cell>
          <cell r="B1382" t="str">
            <v>VALVULA DE ALIVIO F0F0 PN 16 DN 100 X 150</v>
          </cell>
          <cell r="C1382" t="str">
            <v>UN</v>
          </cell>
          <cell r="D1382">
            <v>0</v>
          </cell>
        </row>
        <row r="1383">
          <cell r="A1383">
            <v>81865</v>
          </cell>
          <cell r="B1383" t="str">
            <v>VALVULA DE ALIVIO F0F0 PN 16 DN 150 X 200</v>
          </cell>
          <cell r="C1383" t="str">
            <v>UN</v>
          </cell>
          <cell r="D1383">
            <v>0</v>
          </cell>
        </row>
        <row r="1384">
          <cell r="A1384">
            <v>81866</v>
          </cell>
          <cell r="B1384" t="str">
            <v>VALVULA DE ALIVIO F0F0 PN 25 DN 25 X 50</v>
          </cell>
          <cell r="C1384" t="str">
            <v>UN</v>
          </cell>
          <cell r="D1384">
            <v>0</v>
          </cell>
        </row>
        <row r="1385">
          <cell r="A1385">
            <v>81867</v>
          </cell>
          <cell r="B1385" t="str">
            <v>VALVULA DE ALIVIO F0F0 PN 25 DN 40 X 50</v>
          </cell>
          <cell r="C1385" t="str">
            <v>UN</v>
          </cell>
          <cell r="D1385">
            <v>0</v>
          </cell>
        </row>
        <row r="1386">
          <cell r="A1386">
            <v>81868</v>
          </cell>
          <cell r="B1386" t="str">
            <v>VALVULA DE ALIVIO F0F0 PN 25 DN 40 X 60</v>
          </cell>
          <cell r="C1386" t="str">
            <v>UN</v>
          </cell>
          <cell r="D1386">
            <v>0</v>
          </cell>
        </row>
        <row r="1387">
          <cell r="A1387">
            <v>81869</v>
          </cell>
          <cell r="B1387" t="str">
            <v>VALVULA DE ALIVIO F0F0 PN 25 DN 50 X 75</v>
          </cell>
          <cell r="C1387" t="str">
            <v>UN</v>
          </cell>
          <cell r="D1387">
            <v>0</v>
          </cell>
        </row>
        <row r="1388">
          <cell r="A1388">
            <v>81870</v>
          </cell>
          <cell r="B1388" t="str">
            <v>VALVULA DE ALIVIO F0F0 PN 25 DN 60 X 100</v>
          </cell>
          <cell r="C1388" t="str">
            <v>UN</v>
          </cell>
          <cell r="D1388">
            <v>0</v>
          </cell>
        </row>
        <row r="1389">
          <cell r="A1389">
            <v>81871</v>
          </cell>
          <cell r="B1389" t="str">
            <v>VALVULA DE ALIVIO F0F0 PN 25 DN 75 X 100</v>
          </cell>
          <cell r="C1389" t="str">
            <v>UN</v>
          </cell>
          <cell r="D1389">
            <v>0</v>
          </cell>
        </row>
        <row r="1390">
          <cell r="A1390">
            <v>81872</v>
          </cell>
          <cell r="B1390" t="str">
            <v>VALVULA DE ALIVIO F0F0 PN 25 DN 100 X 150</v>
          </cell>
          <cell r="C1390" t="str">
            <v>UN</v>
          </cell>
          <cell r="D1390">
            <v>0</v>
          </cell>
        </row>
        <row r="1391">
          <cell r="A1391">
            <v>81873</v>
          </cell>
          <cell r="B1391" t="str">
            <v>VALVULA DE ALIVIO F0F0 PN 25 DN 150 X 200</v>
          </cell>
          <cell r="C1391" t="str">
            <v>UN</v>
          </cell>
          <cell r="D1391">
            <v>0</v>
          </cell>
        </row>
        <row r="1392">
          <cell r="A1392">
            <v>81874</v>
          </cell>
          <cell r="B1392" t="str">
            <v>VALVULA DE PE C/CRIVO F0F0 PN 10 DN 75</v>
          </cell>
          <cell r="C1392" t="str">
            <v>UN</v>
          </cell>
          <cell r="D1392">
            <v>681.9</v>
          </cell>
        </row>
        <row r="1393">
          <cell r="A1393">
            <v>81875</v>
          </cell>
          <cell r="B1393" t="str">
            <v>VALVULA DE PE C/CRIVO F0F0 PN 10 DN 100</v>
          </cell>
          <cell r="C1393" t="str">
            <v>UN</v>
          </cell>
          <cell r="D1393">
            <v>754.64</v>
          </cell>
        </row>
        <row r="1394">
          <cell r="A1394">
            <v>81876</v>
          </cell>
          <cell r="B1394" t="str">
            <v>VALVULA DE PE C/CRIVO F0F0 PN 10 DN 150</v>
          </cell>
          <cell r="C1394" t="str">
            <v>UN</v>
          </cell>
          <cell r="D1394">
            <v>1041.1300000000001</v>
          </cell>
        </row>
        <row r="1395">
          <cell r="A1395">
            <v>81877</v>
          </cell>
          <cell r="B1395" t="str">
            <v>VALVULA DE PE C/CRUVO F0F0 PN 10 DN 200</v>
          </cell>
          <cell r="C1395" t="str">
            <v>UN</v>
          </cell>
          <cell r="D1395">
            <v>1357.79</v>
          </cell>
        </row>
        <row r="1396">
          <cell r="A1396">
            <v>81878</v>
          </cell>
          <cell r="B1396" t="str">
            <v>VALVULA DE PE C/CRIVO F0F0 PN 10 DN 250</v>
          </cell>
          <cell r="C1396" t="str">
            <v>UN</v>
          </cell>
          <cell r="D1396">
            <v>1660.1</v>
          </cell>
        </row>
        <row r="1397">
          <cell r="A1397">
            <v>81879</v>
          </cell>
          <cell r="B1397" t="str">
            <v>VALVULA DE PE C/CRIVO F0F0 PN 10 DN 300</v>
          </cell>
          <cell r="C1397" t="str">
            <v>UN</v>
          </cell>
          <cell r="D1397">
            <v>1994.38</v>
          </cell>
        </row>
        <row r="1398">
          <cell r="A1398">
            <v>81880</v>
          </cell>
          <cell r="B1398" t="str">
            <v>VALVULA DE PE C/CRIVO F0F0 PN 10 DN 400</v>
          </cell>
          <cell r="C1398" t="str">
            <v>UN</v>
          </cell>
          <cell r="D1398">
            <v>7012.32</v>
          </cell>
        </row>
        <row r="1399">
          <cell r="A1399">
            <v>81881</v>
          </cell>
          <cell r="B1399" t="str">
            <v>VALVULA DE PE C/CRIVO F0F0 PN 10 DN 500</v>
          </cell>
          <cell r="C1399" t="str">
            <v>UN</v>
          </cell>
          <cell r="D1399">
            <v>8242.59</v>
          </cell>
        </row>
        <row r="1400">
          <cell r="A1400">
            <v>81882</v>
          </cell>
          <cell r="B1400" t="str">
            <v>VALVULA DE PE C/CRIVO F0F0 PN 10 DN 600</v>
          </cell>
          <cell r="C1400" t="str">
            <v>UN</v>
          </cell>
          <cell r="D1400">
            <v>10772.48</v>
          </cell>
        </row>
        <row r="1401">
          <cell r="A1401">
            <v>81883</v>
          </cell>
          <cell r="B1401" t="str">
            <v>VALVULA DE PE C/CRIVO F0F0 PN 16 DN 75</v>
          </cell>
          <cell r="C1401" t="str">
            <v>UN</v>
          </cell>
          <cell r="D1401">
            <v>702.98</v>
          </cell>
        </row>
        <row r="1402">
          <cell r="A1402">
            <v>81884</v>
          </cell>
          <cell r="B1402" t="str">
            <v>VALVULA DE PE C/CRIVO F0F0 PN 16 DN 100</v>
          </cell>
          <cell r="C1402" t="str">
            <v>UN</v>
          </cell>
          <cell r="D1402">
            <v>779.63</v>
          </cell>
        </row>
        <row r="1403">
          <cell r="A1403">
            <v>81885</v>
          </cell>
          <cell r="B1403" t="str">
            <v>VALVULA DE PE C/CRIVO F0F0 PN 16 DN 150</v>
          </cell>
          <cell r="C1403" t="str">
            <v>UN</v>
          </cell>
          <cell r="D1403">
            <v>1127.98</v>
          </cell>
        </row>
        <row r="1404">
          <cell r="A1404">
            <v>81886</v>
          </cell>
          <cell r="B1404" t="str">
            <v>VALVULA DE PE C/CRIVO F0F0 PN 16 DN 200</v>
          </cell>
          <cell r="C1404" t="str">
            <v>UN</v>
          </cell>
          <cell r="D1404">
            <v>1376.03</v>
          </cell>
        </row>
        <row r="1405">
          <cell r="A1405">
            <v>81887</v>
          </cell>
          <cell r="B1405" t="str">
            <v>VALVULA DE PE C/CRIVO F0F0 PN 16 DN 250</v>
          </cell>
          <cell r="C1405" t="str">
            <v>UN</v>
          </cell>
          <cell r="D1405">
            <v>1676.01</v>
          </cell>
        </row>
        <row r="1406">
          <cell r="A1406">
            <v>81888</v>
          </cell>
          <cell r="B1406" t="str">
            <v>VALVULA DE PE C/CRIVO F0F0 PN 16 DN 300</v>
          </cell>
          <cell r="C1406" t="str">
            <v>UN</v>
          </cell>
          <cell r="D1406">
            <v>2011.13</v>
          </cell>
        </row>
        <row r="1407">
          <cell r="A1407">
            <v>81889</v>
          </cell>
          <cell r="B1407" t="str">
            <v>CRIVO F0F0 DN 75</v>
          </cell>
          <cell r="C1407" t="str">
            <v>UN</v>
          </cell>
          <cell r="D1407">
            <v>36.53</v>
          </cell>
        </row>
        <row r="1408">
          <cell r="A1408">
            <v>81890</v>
          </cell>
          <cell r="B1408" t="str">
            <v>CRIVO F0F0 DN 100</v>
          </cell>
          <cell r="C1408" t="str">
            <v>UN</v>
          </cell>
          <cell r="D1408">
            <v>52.31</v>
          </cell>
        </row>
        <row r="1409">
          <cell r="A1409">
            <v>81891</v>
          </cell>
          <cell r="B1409" t="str">
            <v>CRIVO F0F0 DN 150</v>
          </cell>
          <cell r="C1409" t="str">
            <v>UN</v>
          </cell>
          <cell r="D1409">
            <v>116.22</v>
          </cell>
        </row>
        <row r="1410">
          <cell r="A1410">
            <v>81892</v>
          </cell>
          <cell r="B1410" t="str">
            <v>CRIVO F0F0 DN 200</v>
          </cell>
          <cell r="C1410" t="str">
            <v>UN</v>
          </cell>
          <cell r="D1410">
            <v>148.26</v>
          </cell>
        </row>
        <row r="1411">
          <cell r="A1411">
            <v>81893</v>
          </cell>
          <cell r="B1411" t="str">
            <v>CRIVO F0F0 DN 250</v>
          </cell>
          <cell r="C1411" t="str">
            <v>UN</v>
          </cell>
          <cell r="D1411">
            <v>217.38</v>
          </cell>
        </row>
        <row r="1412">
          <cell r="A1412">
            <v>81894</v>
          </cell>
          <cell r="B1412" t="str">
            <v>CRIVO F0F0 DN 300</v>
          </cell>
          <cell r="C1412" t="str">
            <v>UN</v>
          </cell>
          <cell r="D1412">
            <v>232.5</v>
          </cell>
        </row>
        <row r="1413">
          <cell r="A1413">
            <v>81895</v>
          </cell>
          <cell r="B1413" t="str">
            <v>CRIVO F0F0 DN 400</v>
          </cell>
          <cell r="C1413" t="str">
            <v>UN</v>
          </cell>
          <cell r="D1413">
            <v>408.68</v>
          </cell>
        </row>
        <row r="1414">
          <cell r="A1414">
            <v>81896</v>
          </cell>
          <cell r="B1414" t="str">
            <v>CRIVO F0F0 DN 500</v>
          </cell>
          <cell r="C1414" t="str">
            <v>UN</v>
          </cell>
          <cell r="D1414">
            <v>968.8</v>
          </cell>
        </row>
        <row r="1415">
          <cell r="A1415">
            <v>81897</v>
          </cell>
          <cell r="B1415" t="str">
            <v>CRIVO F0F0 DN 600</v>
          </cell>
          <cell r="C1415" t="str">
            <v>UN</v>
          </cell>
          <cell r="D1415">
            <v>1263.94</v>
          </cell>
        </row>
        <row r="1416">
          <cell r="A1416">
            <v>81898</v>
          </cell>
          <cell r="B1416" t="str">
            <v>VALV. RET. TIPO PORTINHOLA DUPLA F0F0 PN 10 DN 50</v>
          </cell>
          <cell r="C1416" t="str">
            <v>UN</v>
          </cell>
          <cell r="D1416">
            <v>548.74</v>
          </cell>
        </row>
        <row r="1417">
          <cell r="A1417">
            <v>81899</v>
          </cell>
          <cell r="B1417" t="str">
            <v>VALV. RET. TIPO PORTINHOLA DUPLA F0F0 PN 10 DN 75</v>
          </cell>
          <cell r="C1417" t="str">
            <v>UN</v>
          </cell>
          <cell r="D1417">
            <v>584.76</v>
          </cell>
        </row>
        <row r="1418">
          <cell r="A1418">
            <v>81901</v>
          </cell>
          <cell r="B1418" t="str">
            <v>VALV. RET.TIPO PORTINHOLA DUPLA F0F0 PN 10 DN 100</v>
          </cell>
          <cell r="C1418" t="str">
            <v>UN</v>
          </cell>
          <cell r="D1418">
            <v>602.27</v>
          </cell>
        </row>
        <row r="1419">
          <cell r="A1419">
            <v>81902</v>
          </cell>
          <cell r="B1419" t="str">
            <v>VALV. RET.TIPO PORTINHOLA DUPLA F0F0 PN 10 DN 150</v>
          </cell>
          <cell r="C1419" t="str">
            <v>UN</v>
          </cell>
          <cell r="D1419">
            <v>647.04</v>
          </cell>
        </row>
        <row r="1420">
          <cell r="A1420">
            <v>81903</v>
          </cell>
          <cell r="B1420" t="str">
            <v>VALV. RET.TIPO PORTINHOLA DUPLA F0F0 PN 10 DN 200</v>
          </cell>
          <cell r="C1420" t="str">
            <v>UN</v>
          </cell>
          <cell r="D1420">
            <v>847.96</v>
          </cell>
        </row>
        <row r="1421">
          <cell r="A1421">
            <v>81904</v>
          </cell>
          <cell r="B1421" t="str">
            <v>VALV. RET.TIPO PORTINHOLA DUPLA F0F0 PN 10 DN 250</v>
          </cell>
          <cell r="C1421" t="str">
            <v>UN</v>
          </cell>
          <cell r="D1421">
            <v>1131.06</v>
          </cell>
        </row>
        <row r="1422">
          <cell r="A1422">
            <v>81905</v>
          </cell>
          <cell r="B1422" t="str">
            <v>VALV. RET.TIPO PORTINHOLA DUPLA F0F0 PN 10 DN 300</v>
          </cell>
          <cell r="C1422" t="str">
            <v>UN</v>
          </cell>
          <cell r="D1422">
            <v>1438.27</v>
          </cell>
        </row>
        <row r="1423">
          <cell r="A1423">
            <v>81906</v>
          </cell>
          <cell r="B1423" t="str">
            <v>VALV. RET.TIPO PORTINHOLA DUPLA F0F0 PN 10 DN 400</v>
          </cell>
          <cell r="C1423" t="str">
            <v>UN</v>
          </cell>
          <cell r="D1423">
            <v>2502.54</v>
          </cell>
        </row>
        <row r="1424">
          <cell r="A1424">
            <v>81907</v>
          </cell>
          <cell r="B1424" t="str">
            <v>VALV. RET.TIPO PORTINHOLA DUPLA F0F0 PN 10 DN 500</v>
          </cell>
          <cell r="C1424" t="str">
            <v>UN</v>
          </cell>
          <cell r="D1424">
            <v>3336.6</v>
          </cell>
        </row>
        <row r="1425">
          <cell r="A1425">
            <v>81908</v>
          </cell>
          <cell r="B1425" t="str">
            <v>VALV. RET.TIPO PORTINHOLA DUPLA F0F0 PN 10 DN 600</v>
          </cell>
          <cell r="C1425" t="str">
            <v>UN</v>
          </cell>
          <cell r="D1425">
            <v>5322.32</v>
          </cell>
        </row>
        <row r="1426">
          <cell r="A1426">
            <v>81909</v>
          </cell>
          <cell r="B1426" t="str">
            <v>VALV. RET.TIPO PORTINHOLA DUPLA F0F0 PN 10 DN 900</v>
          </cell>
          <cell r="C1426" t="str">
            <v>UN</v>
          </cell>
          <cell r="D1426">
            <v>0</v>
          </cell>
        </row>
        <row r="1427">
          <cell r="A1427">
            <v>81910</v>
          </cell>
          <cell r="B1427" t="str">
            <v>VALV.RET.TIPO PORTINHOLA DUPLA F0F0 PN 10 DN 1200</v>
          </cell>
          <cell r="C1427" t="str">
            <v>UN</v>
          </cell>
          <cell r="D1427">
            <v>0</v>
          </cell>
        </row>
        <row r="1428">
          <cell r="A1428">
            <v>81911</v>
          </cell>
          <cell r="B1428" t="str">
            <v>VALV.RET.TIPO PORTIN.UNICA SIM.F0F0 PN 10 DN 50</v>
          </cell>
          <cell r="C1428" t="str">
            <v>UN</v>
          </cell>
          <cell r="D1428">
            <v>487.6</v>
          </cell>
        </row>
        <row r="1429">
          <cell r="A1429">
            <v>81912</v>
          </cell>
          <cell r="B1429" t="str">
            <v>VALV.RET.TIPO PORTIN.UNICA SIM. F0F0 PN 10 DN 75</v>
          </cell>
          <cell r="C1429" t="str">
            <v>UN</v>
          </cell>
          <cell r="D1429">
            <v>560.58000000000004</v>
          </cell>
        </row>
        <row r="1430">
          <cell r="A1430">
            <v>81913</v>
          </cell>
          <cell r="B1430" t="str">
            <v>VALV.RET.TIPO PORTIN.UNICA SIM. F0F0 PN 10 DN 100</v>
          </cell>
          <cell r="C1430" t="str">
            <v>UN</v>
          </cell>
          <cell r="D1430">
            <v>659.33</v>
          </cell>
        </row>
        <row r="1431">
          <cell r="A1431">
            <v>81914</v>
          </cell>
          <cell r="B1431" t="str">
            <v>VALV.RET.TIPO PORTIN.UNICA SIM. F0F0 PN 10 DN 150</v>
          </cell>
          <cell r="C1431" t="str">
            <v>UN</v>
          </cell>
          <cell r="D1431">
            <v>906.19</v>
          </cell>
        </row>
        <row r="1432">
          <cell r="A1432">
            <v>81915</v>
          </cell>
          <cell r="B1432" t="str">
            <v>VALV.RET.TIPO PORTIN.UNICA SIM. F0F0 PN 10 DN 200</v>
          </cell>
          <cell r="C1432" t="str">
            <v>UN</v>
          </cell>
          <cell r="D1432">
            <v>1195.6099999999999</v>
          </cell>
        </row>
        <row r="1433">
          <cell r="A1433">
            <v>81916</v>
          </cell>
          <cell r="B1433" t="str">
            <v>VALV.RET.TIPO PORTIN.UNICA SIM. F0F0 PN 10 DN 250</v>
          </cell>
          <cell r="C1433" t="str">
            <v>UN</v>
          </cell>
          <cell r="D1433">
            <v>1695.4</v>
          </cell>
        </row>
        <row r="1434">
          <cell r="A1434">
            <v>81917</v>
          </cell>
          <cell r="B1434" t="str">
            <v>VALV.RET.TIPO PORTIN.UNICA SIM. F0F0 PN 10 DN 300</v>
          </cell>
          <cell r="C1434" t="str">
            <v>UN</v>
          </cell>
          <cell r="D1434">
            <v>2071.6</v>
          </cell>
        </row>
        <row r="1435">
          <cell r="A1435">
            <v>81918</v>
          </cell>
          <cell r="B1435" t="str">
            <v>VALV.RET.TIPO PORTIN.UNICA SIM. F0F0 PN 10 DN 400</v>
          </cell>
          <cell r="C1435" t="str">
            <v>UN</v>
          </cell>
          <cell r="D1435">
            <v>4201.5200000000004</v>
          </cell>
        </row>
        <row r="1436">
          <cell r="A1436">
            <v>81919</v>
          </cell>
          <cell r="B1436" t="str">
            <v>VALV.RET.TIPO PORTIN.UNICA SIM. F0F0 PN 10 DN 500</v>
          </cell>
          <cell r="C1436" t="str">
            <v>UN</v>
          </cell>
          <cell r="D1436">
            <v>6761.15</v>
          </cell>
        </row>
        <row r="1437">
          <cell r="A1437">
            <v>81920</v>
          </cell>
          <cell r="B1437" t="str">
            <v>VALV.RET.TIPO PORTIN.UNICA SIM. F0F0 PN 10 DN 600</v>
          </cell>
          <cell r="C1437" t="str">
            <v>UN</v>
          </cell>
          <cell r="D1437">
            <v>10966.17</v>
          </cell>
        </row>
        <row r="1438">
          <cell r="A1438">
            <v>81921</v>
          </cell>
          <cell r="B1438" t="str">
            <v>VALV.RET.TIPO PORTIN.UNICA SIM. F0F0 PN 16 DN 50</v>
          </cell>
          <cell r="C1438" t="str">
            <v>UN</v>
          </cell>
          <cell r="D1438">
            <v>487.6</v>
          </cell>
        </row>
        <row r="1439">
          <cell r="A1439">
            <v>81922</v>
          </cell>
          <cell r="B1439" t="str">
            <v>VALV.RET.TIPO PORTIN.UNICA SIM. F0F0 PN 16 DN 75</v>
          </cell>
          <cell r="C1439" t="str">
            <v>UN</v>
          </cell>
          <cell r="D1439">
            <v>570.58000000000004</v>
          </cell>
        </row>
        <row r="1440">
          <cell r="A1440">
            <v>81923</v>
          </cell>
          <cell r="B1440" t="str">
            <v>VALV.RET.TIPO PORTIN.UNICA SIM. F0F0 PN 16 DN 100</v>
          </cell>
          <cell r="C1440" t="str">
            <v>UN</v>
          </cell>
          <cell r="D1440">
            <v>659.33</v>
          </cell>
        </row>
        <row r="1441">
          <cell r="A1441">
            <v>81924</v>
          </cell>
          <cell r="B1441" t="str">
            <v>VALV.RET.TIPO PORTIN.UNICA SIM. F0F0 PN 16 DN 150</v>
          </cell>
          <cell r="C1441" t="str">
            <v>UN</v>
          </cell>
          <cell r="D1441">
            <v>906.19</v>
          </cell>
        </row>
        <row r="1442">
          <cell r="A1442">
            <v>81925</v>
          </cell>
          <cell r="B1442" t="str">
            <v>VALV.RET.TIPO PORTIN.UNICA SIM. F0F0 PN 16 DN 200</v>
          </cell>
          <cell r="C1442" t="str">
            <v>UN</v>
          </cell>
          <cell r="D1442">
            <v>1205.1099999999999</v>
          </cell>
        </row>
        <row r="1443">
          <cell r="A1443">
            <v>81926</v>
          </cell>
          <cell r="B1443" t="str">
            <v>VALV.RET.TIPO PORTIN.UNICA SIM. F0F0 PN 16 DN 250</v>
          </cell>
          <cell r="C1443" t="str">
            <v>UN</v>
          </cell>
          <cell r="D1443">
            <v>1702.34</v>
          </cell>
        </row>
        <row r="1444">
          <cell r="A1444">
            <v>81927</v>
          </cell>
          <cell r="B1444" t="str">
            <v>VALV.RET.TIPO PORTIN.UNICA SIM. F0F0 PN 16 DN 300</v>
          </cell>
          <cell r="C1444" t="str">
            <v>UN</v>
          </cell>
          <cell r="D1444">
            <v>2078.71</v>
          </cell>
        </row>
        <row r="1445">
          <cell r="A1445">
            <v>81928</v>
          </cell>
          <cell r="B1445" t="str">
            <v>VALV.RET.TP.PORT.UNICA C/BY-PASS F0F0 PN 10 DN 50</v>
          </cell>
          <cell r="C1445" t="str">
            <v>UN</v>
          </cell>
          <cell r="D1445">
            <v>723.41</v>
          </cell>
        </row>
        <row r="1446">
          <cell r="A1446">
            <v>81929</v>
          </cell>
          <cell r="B1446" t="str">
            <v>VALV.RET.TP.PORT.UNICA C/BY-PASS F0F0 PN 10 DN 75</v>
          </cell>
          <cell r="C1446" t="str">
            <v>UN</v>
          </cell>
          <cell r="D1446">
            <v>803.2</v>
          </cell>
        </row>
        <row r="1447">
          <cell r="A1447">
            <v>81930</v>
          </cell>
          <cell r="B1447" t="str">
            <v>VALV.RET.TP.PORT.UNICA C/BY-PASS F0F0 PN 10 DN 100</v>
          </cell>
          <cell r="C1447" t="str">
            <v>UN</v>
          </cell>
          <cell r="D1447">
            <v>913.91</v>
          </cell>
        </row>
        <row r="1448">
          <cell r="A1448">
            <v>81931</v>
          </cell>
          <cell r="B1448" t="str">
            <v>VALV.RET.TP.PORT.UNICA C/BY-PASS F0F0 PN 10 DN 150</v>
          </cell>
          <cell r="C1448" t="str">
            <v>UN</v>
          </cell>
          <cell r="D1448">
            <v>1229.56</v>
          </cell>
        </row>
        <row r="1449">
          <cell r="A1449">
            <v>81932</v>
          </cell>
          <cell r="B1449" t="str">
            <v>VALV.RET.TP.PORT.UNICA C/BY-PASS F0F0 PN 10 DN 200</v>
          </cell>
          <cell r="C1449" t="str">
            <v>UN</v>
          </cell>
          <cell r="D1449">
            <v>1563.22</v>
          </cell>
        </row>
        <row r="1450">
          <cell r="A1450">
            <v>81933</v>
          </cell>
          <cell r="B1450" t="str">
            <v>VALV.RET.TP.PORT.UNICA C/BY-PASS F0F0 PN 10 DN 250</v>
          </cell>
          <cell r="C1450" t="str">
            <v>UN</v>
          </cell>
          <cell r="D1450">
            <v>2095.04</v>
          </cell>
        </row>
        <row r="1451">
          <cell r="A1451">
            <v>81934</v>
          </cell>
          <cell r="B1451" t="str">
            <v>VALV.RET.TP.PORT.UNICA C/BY-PASS F0F0 PN 10 DN 300</v>
          </cell>
          <cell r="C1451" t="str">
            <v>UN</v>
          </cell>
          <cell r="D1451">
            <v>2546.8000000000002</v>
          </cell>
        </row>
        <row r="1452">
          <cell r="A1452">
            <v>81935</v>
          </cell>
          <cell r="B1452" t="str">
            <v>VALV.RET.TP.PORT.UNICA C/BY-PASS F0F0 PN 10 DN 400</v>
          </cell>
          <cell r="C1452" t="str">
            <v>UN</v>
          </cell>
          <cell r="D1452">
            <v>4849.74</v>
          </cell>
        </row>
        <row r="1453">
          <cell r="A1453">
            <v>81936</v>
          </cell>
          <cell r="B1453" t="str">
            <v>VALV.RET.TP.PORT.UNICA C/BY-PASS F0F0 PN 10 DN 500</v>
          </cell>
          <cell r="C1453" t="str">
            <v>UN</v>
          </cell>
          <cell r="D1453">
            <v>6944.34</v>
          </cell>
        </row>
        <row r="1454">
          <cell r="A1454">
            <v>81937</v>
          </cell>
          <cell r="B1454" t="str">
            <v>VALV.RET.TP.PORT.UNICA C/BY-PASS F0F0 PN 10 DN 600</v>
          </cell>
          <cell r="C1454" t="str">
            <v>UN</v>
          </cell>
          <cell r="D1454">
            <v>10841.91</v>
          </cell>
        </row>
        <row r="1455">
          <cell r="A1455">
            <v>81938</v>
          </cell>
          <cell r="B1455" t="str">
            <v>VALV.RET.TP.PORT.UNICA C/BY-PASS F0F0 PN 16 DN 50</v>
          </cell>
          <cell r="C1455" t="str">
            <v>UN</v>
          </cell>
          <cell r="D1455">
            <v>723.41</v>
          </cell>
        </row>
        <row r="1456">
          <cell r="A1456">
            <v>81939</v>
          </cell>
          <cell r="B1456" t="str">
            <v>VALV.RET.TP.PORT.UNICA C/BY-PASS F0F0 PN 16 DN 75</v>
          </cell>
          <cell r="C1456" t="str">
            <v>UN</v>
          </cell>
          <cell r="D1456">
            <v>803.2</v>
          </cell>
        </row>
        <row r="1457">
          <cell r="A1457">
            <v>81940</v>
          </cell>
          <cell r="B1457" t="str">
            <v>VALV.RET.TP.PORT.UNICA C/BY-PASS F0F0 PN 16 DN 100</v>
          </cell>
          <cell r="C1457" t="str">
            <v>UN</v>
          </cell>
          <cell r="D1457">
            <v>913.91</v>
          </cell>
        </row>
        <row r="1458">
          <cell r="A1458">
            <v>81941</v>
          </cell>
          <cell r="B1458" t="str">
            <v>VALV.RET.TP.PORT.UNICA C/BY-PASS F0F0 PN 16 DN 150</v>
          </cell>
          <cell r="C1458" t="str">
            <v>UN</v>
          </cell>
          <cell r="D1458">
            <v>1229.56</v>
          </cell>
        </row>
        <row r="1459">
          <cell r="A1459">
            <v>81942</v>
          </cell>
          <cell r="B1459" t="str">
            <v>VALV.RET.TP.PORT.UNICA C/BY-PASS F0F0 PN 16 DN 200</v>
          </cell>
          <cell r="C1459" t="str">
            <v>UN</v>
          </cell>
          <cell r="D1459">
            <v>1563.22</v>
          </cell>
        </row>
        <row r="1460">
          <cell r="A1460">
            <v>81943</v>
          </cell>
          <cell r="B1460" t="str">
            <v>VALV.RET.TP.PORT.UNICA C/BY-PASS F0F0 PN 16 DN 250</v>
          </cell>
          <cell r="C1460" t="str">
            <v>UN</v>
          </cell>
          <cell r="D1460">
            <v>2095.04</v>
          </cell>
        </row>
        <row r="1461">
          <cell r="A1461">
            <v>81944</v>
          </cell>
          <cell r="B1461" t="str">
            <v>VALV.RET.TP.PORT.UNICA C/BY-PASS F0F0 PN 16 DN 300</v>
          </cell>
          <cell r="C1461" t="str">
            <v>UN</v>
          </cell>
          <cell r="D1461">
            <v>2546.8000000000002</v>
          </cell>
        </row>
        <row r="1462">
          <cell r="A1462">
            <v>81945</v>
          </cell>
          <cell r="B1462" t="str">
            <v>COMPORTA C/SENT. DUPLO DE FLUXO CIRC. F0F0 DN 200</v>
          </cell>
          <cell r="C1462" t="str">
            <v>UN</v>
          </cell>
          <cell r="D1462">
            <v>894.84</v>
          </cell>
        </row>
        <row r="1463">
          <cell r="A1463">
            <v>81946</v>
          </cell>
          <cell r="B1463" t="str">
            <v>COMPORTA C/SENT. DUPLO DE FLUXO CIRC. F0F0 DN 300</v>
          </cell>
          <cell r="C1463" t="str">
            <v>UN</v>
          </cell>
          <cell r="D1463">
            <v>1193.95</v>
          </cell>
        </row>
        <row r="1464">
          <cell r="A1464">
            <v>81947</v>
          </cell>
          <cell r="B1464" t="str">
            <v>COMPORTA C/SENT. DUPLO DE FLUXO CIRC. F0F0 DN 400</v>
          </cell>
          <cell r="C1464" t="str">
            <v>UN</v>
          </cell>
          <cell r="D1464">
            <v>2214.12</v>
          </cell>
        </row>
        <row r="1465">
          <cell r="A1465">
            <v>81948</v>
          </cell>
          <cell r="B1465" t="str">
            <v>COMPORTA C/SENT. DUPLO DE FLUXO CIRC. F0F0 DN 500</v>
          </cell>
          <cell r="C1465" t="str">
            <v>UN</v>
          </cell>
          <cell r="D1465">
            <v>2846.93</v>
          </cell>
        </row>
        <row r="1466">
          <cell r="A1466">
            <v>81949</v>
          </cell>
          <cell r="B1466" t="str">
            <v>COMPORTA C/SENT. DUPLO DE FLUXO CIRC. F0F0 DN 600</v>
          </cell>
          <cell r="C1466" t="str">
            <v>UN</v>
          </cell>
          <cell r="D1466">
            <v>3941.06</v>
          </cell>
        </row>
        <row r="1467">
          <cell r="A1467">
            <v>81950</v>
          </cell>
          <cell r="B1467" t="str">
            <v>COMPORTA C/SENT. DUPLO DE FLUXO CIRC. F0F0 DN 700</v>
          </cell>
          <cell r="C1467" t="str">
            <v>UN</v>
          </cell>
          <cell r="D1467">
            <v>4912.57</v>
          </cell>
        </row>
        <row r="1468">
          <cell r="A1468">
            <v>81951</v>
          </cell>
          <cell r="B1468" t="str">
            <v>COMPORTA C/SENT. DUPLO DE FLUXO CIRC. F0F0 DN 800</v>
          </cell>
          <cell r="C1468" t="str">
            <v>UN</v>
          </cell>
          <cell r="D1468">
            <v>5937.5</v>
          </cell>
        </row>
        <row r="1469">
          <cell r="A1469">
            <v>81952</v>
          </cell>
          <cell r="B1469" t="str">
            <v>COMPORTA C/SENT. DUPLO DE FLUXO CIRC. F0F0 DN 900</v>
          </cell>
          <cell r="C1469" t="str">
            <v>UN</v>
          </cell>
          <cell r="D1469">
            <v>6867.58</v>
          </cell>
        </row>
        <row r="1470">
          <cell r="A1470">
            <v>81953</v>
          </cell>
          <cell r="B1470" t="str">
            <v>COMPORTA C/SENT. DUPLO DE FLUXO CURC. F0F0 DN 1000</v>
          </cell>
          <cell r="C1470" t="str">
            <v>UN</v>
          </cell>
          <cell r="D1470">
            <v>7987.69</v>
          </cell>
        </row>
        <row r="1471">
          <cell r="A1471">
            <v>81954</v>
          </cell>
          <cell r="B1471" t="str">
            <v>COMPORTA C/SENT. DUPLO DE FLUXO CIRC. F0F0 DN 1200</v>
          </cell>
          <cell r="C1471" t="str">
            <v>UN</v>
          </cell>
          <cell r="D1471">
            <v>10603.24</v>
          </cell>
        </row>
        <row r="1472">
          <cell r="A1472">
            <v>81955</v>
          </cell>
          <cell r="B1472" t="str">
            <v>COMPORTA C/SENT. DUPLO DE FLUXO CIRC. F0F0 DN 1400</v>
          </cell>
          <cell r="C1472" t="str">
            <v>UN</v>
          </cell>
          <cell r="D1472">
            <v>0</v>
          </cell>
        </row>
        <row r="1473">
          <cell r="A1473">
            <v>81956</v>
          </cell>
          <cell r="B1473" t="str">
            <v>COMPORTA C/SENT.DUP.FLUXO QUAD.F0F0 DN 200 X 200</v>
          </cell>
          <cell r="C1473" t="str">
            <v>UN</v>
          </cell>
          <cell r="D1473">
            <v>2385.6799999999998</v>
          </cell>
        </row>
        <row r="1474">
          <cell r="A1474">
            <v>81957</v>
          </cell>
          <cell r="B1474" t="str">
            <v>COMPORTA C/SENT.DUP.FLUXO QUAD.F0F0 DN 300 X 300</v>
          </cell>
          <cell r="C1474" t="str">
            <v>UN</v>
          </cell>
          <cell r="D1474">
            <v>5953.61</v>
          </cell>
        </row>
        <row r="1475">
          <cell r="A1475">
            <v>81958</v>
          </cell>
          <cell r="B1475" t="str">
            <v>COMPORTA C/SENT.DUP.FLUXO QUAD.F0F0 DN 400 X 400</v>
          </cell>
          <cell r="C1475" t="str">
            <v>UN</v>
          </cell>
          <cell r="D1475">
            <v>6696.77</v>
          </cell>
        </row>
        <row r="1476">
          <cell r="A1476">
            <v>81959</v>
          </cell>
          <cell r="B1476" t="str">
            <v>COMPORTA C/SENT.DUP.FLUXO QUAD.F0F0 DN 500 X 500</v>
          </cell>
          <cell r="C1476" t="str">
            <v>UN</v>
          </cell>
          <cell r="D1476">
            <v>8905.32</v>
          </cell>
        </row>
        <row r="1477">
          <cell r="A1477">
            <v>81960</v>
          </cell>
          <cell r="B1477" t="str">
            <v>COMPORTA C/SENT.DUP.FLUXO QUAD.F0F0 DN 600 X 600</v>
          </cell>
          <cell r="C1477" t="str">
            <v>UN</v>
          </cell>
          <cell r="D1477">
            <v>11928.26</v>
          </cell>
        </row>
        <row r="1478">
          <cell r="A1478">
            <v>81961</v>
          </cell>
          <cell r="B1478" t="str">
            <v>COMPORTA C/SENT.DUP.FLUXO QUAD.F0F0 DN 700 X 700</v>
          </cell>
          <cell r="C1478" t="str">
            <v>UN</v>
          </cell>
          <cell r="D1478">
            <v>14035.15</v>
          </cell>
        </row>
        <row r="1479">
          <cell r="A1479">
            <v>81962</v>
          </cell>
          <cell r="B1479" t="str">
            <v>COMPORTA C/SENT.DUP.FLUXO QUAD.F0F0 DN 800 X 800</v>
          </cell>
          <cell r="C1479" t="str">
            <v>UN</v>
          </cell>
          <cell r="D1479">
            <v>16721.89</v>
          </cell>
        </row>
        <row r="1480">
          <cell r="A1480">
            <v>81963</v>
          </cell>
          <cell r="B1480" t="str">
            <v>COMPORTA C/SENT.DUP.FLUXO QUAD.F0F0 DN 900 X 900</v>
          </cell>
          <cell r="C1480" t="str">
            <v>UN</v>
          </cell>
          <cell r="D1480">
            <v>18987.14</v>
          </cell>
        </row>
        <row r="1481">
          <cell r="A1481">
            <v>81964</v>
          </cell>
          <cell r="B1481" t="str">
            <v>COMPORTA C/SENT.DUP.FLUXO QUAD.F0F0 DN 1000X1000</v>
          </cell>
          <cell r="C1481" t="str">
            <v>UN</v>
          </cell>
          <cell r="D1481">
            <v>24380.71</v>
          </cell>
        </row>
        <row r="1482">
          <cell r="A1482">
            <v>81965</v>
          </cell>
          <cell r="B1482" t="str">
            <v>COMPORTA C/SENT.DUP.FLUXO QUAD.F0F0 DN 1200X1200</v>
          </cell>
          <cell r="C1482" t="str">
            <v>UN</v>
          </cell>
          <cell r="D1482">
            <v>26928.97</v>
          </cell>
        </row>
        <row r="1483">
          <cell r="A1483">
            <v>81966</v>
          </cell>
          <cell r="B1483" t="str">
            <v>COMPORTA C/SENT.DUP.FLUXO QUAD.F0F0 DN 1400X1400</v>
          </cell>
          <cell r="C1483" t="str">
            <v>UN</v>
          </cell>
          <cell r="D1483">
            <v>31544.15</v>
          </cell>
        </row>
        <row r="1484">
          <cell r="A1484">
            <v>81967</v>
          </cell>
          <cell r="B1484" t="str">
            <v>COMPORTA C/SENT.UNICO DE FLUXO CIRC.F0F0 DN 200</v>
          </cell>
          <cell r="C1484" t="str">
            <v>UN</v>
          </cell>
          <cell r="D1484">
            <v>894.84</v>
          </cell>
        </row>
        <row r="1485">
          <cell r="A1485">
            <v>81968</v>
          </cell>
          <cell r="B1485" t="str">
            <v>COMPORTA C/SENT. UNICO DE FLUXO CIRC.F0F0 DN 300</v>
          </cell>
          <cell r="C1485" t="str">
            <v>UN</v>
          </cell>
          <cell r="D1485">
            <v>1193.95</v>
          </cell>
        </row>
        <row r="1486">
          <cell r="A1486">
            <v>81969</v>
          </cell>
          <cell r="B1486" t="str">
            <v>COMPORTA C/SENT. UNICO DE FLUXO CIRC.F0F0 DN 400</v>
          </cell>
          <cell r="C1486" t="str">
            <v>UN</v>
          </cell>
          <cell r="D1486">
            <v>2214.12</v>
          </cell>
        </row>
        <row r="1487">
          <cell r="A1487">
            <v>81970</v>
          </cell>
          <cell r="B1487" t="str">
            <v>COMPORTA C/SENT. UNICO DE FLUXO CIRC.F0F0 DN 500</v>
          </cell>
          <cell r="C1487" t="str">
            <v>UN</v>
          </cell>
          <cell r="D1487">
            <v>2846.93</v>
          </cell>
        </row>
        <row r="1488">
          <cell r="A1488">
            <v>81971</v>
          </cell>
          <cell r="B1488" t="str">
            <v>COMPORTA C/SENT. UNICO DE FLUXO CIRC.F0F0 DN 600</v>
          </cell>
          <cell r="C1488" t="str">
            <v>UN</v>
          </cell>
          <cell r="D1488">
            <v>3941.06</v>
          </cell>
        </row>
        <row r="1489">
          <cell r="A1489">
            <v>81972</v>
          </cell>
          <cell r="B1489" t="str">
            <v>COMPORTA C/SENT. UNICO DE FLUXO CIRC.F0F0 DN 700</v>
          </cell>
          <cell r="C1489" t="str">
            <v>UN</v>
          </cell>
          <cell r="D1489">
            <v>4912.57</v>
          </cell>
        </row>
        <row r="1490">
          <cell r="A1490">
            <v>81973</v>
          </cell>
          <cell r="B1490" t="str">
            <v>COMPORTA C/SENT. UNICO DE FLUXO CIRC.F0F0 DN 800</v>
          </cell>
          <cell r="C1490" t="str">
            <v>UN</v>
          </cell>
          <cell r="D1490">
            <v>5937.5</v>
          </cell>
        </row>
        <row r="1491">
          <cell r="A1491">
            <v>81974</v>
          </cell>
          <cell r="B1491" t="str">
            <v>COMPORTA C/SENT. UNICO DE FLUXO CIRC.F0F0 DN 900</v>
          </cell>
          <cell r="C1491" t="str">
            <v>UN</v>
          </cell>
          <cell r="D1491">
            <v>6867.5</v>
          </cell>
        </row>
        <row r="1492">
          <cell r="A1492">
            <v>81975</v>
          </cell>
          <cell r="B1492" t="str">
            <v>COMPORTA C/SENT. UNICO DE FLUXO CIRC.F0F0 DN 1000</v>
          </cell>
          <cell r="C1492" t="str">
            <v>UN</v>
          </cell>
          <cell r="D1492">
            <v>7987.69</v>
          </cell>
        </row>
        <row r="1493">
          <cell r="A1493">
            <v>81976</v>
          </cell>
          <cell r="B1493" t="str">
            <v>COMPORTA C/SENT. UNICO DE FLUXO CIRC.F0F0 DN 1200</v>
          </cell>
          <cell r="C1493" t="str">
            <v>UN</v>
          </cell>
          <cell r="D1493">
            <v>10603.24</v>
          </cell>
        </row>
        <row r="1494">
          <cell r="A1494">
            <v>81977</v>
          </cell>
          <cell r="B1494" t="str">
            <v>COMPORTA C/SENT. UNICO DE FLUXO QUAD.F0F0 DN 200</v>
          </cell>
          <cell r="C1494" t="str">
            <v>UN</v>
          </cell>
          <cell r="D1494">
            <v>1244.6199999999999</v>
          </cell>
        </row>
        <row r="1495">
          <cell r="A1495">
            <v>81978</v>
          </cell>
          <cell r="B1495" t="str">
            <v>COMPORTA C/SENT. UNICO DE FLUXO QUAD.F0F0 DN 300</v>
          </cell>
          <cell r="C1495" t="str">
            <v>UN</v>
          </cell>
          <cell r="D1495">
            <v>1576.96</v>
          </cell>
        </row>
        <row r="1496">
          <cell r="A1496">
            <v>81979</v>
          </cell>
          <cell r="B1496" t="str">
            <v>COMPORTA C/SENT. UNICO DE FLUXO QUAD.F0F0 DN 400</v>
          </cell>
          <cell r="C1496" t="str">
            <v>UN</v>
          </cell>
          <cell r="D1496">
            <v>2347.4</v>
          </cell>
        </row>
        <row r="1497">
          <cell r="A1497">
            <v>81980</v>
          </cell>
          <cell r="B1497" t="str">
            <v>COMPORTA C/SENT. UNICO DE FLUXO QUAD.F0F0 DN 500</v>
          </cell>
          <cell r="C1497" t="str">
            <v>UN</v>
          </cell>
          <cell r="D1497">
            <v>3451.74</v>
          </cell>
        </row>
        <row r="1498">
          <cell r="A1498">
            <v>81981</v>
          </cell>
          <cell r="B1498" t="str">
            <v>COMPORTA C/SENT. UNICO DE FLUXO QUAD.F0F0 DN 600</v>
          </cell>
          <cell r="C1498" t="str">
            <v>UN</v>
          </cell>
          <cell r="D1498">
            <v>4090.28</v>
          </cell>
        </row>
        <row r="1499">
          <cell r="A1499">
            <v>81982</v>
          </cell>
          <cell r="B1499" t="str">
            <v>COMPORTA C/SENT. UNICO DE FLUXO QUAD.F0F0 DN 700</v>
          </cell>
          <cell r="C1499" t="str">
            <v>UN</v>
          </cell>
          <cell r="D1499">
            <v>5186.5200000000004</v>
          </cell>
        </row>
        <row r="1500">
          <cell r="A1500">
            <v>81983</v>
          </cell>
          <cell r="B1500" t="str">
            <v>COMPORTA C/SENT. UNICO DE FLUXO QUAD.F0F0 DN 800</v>
          </cell>
          <cell r="C1500" t="str">
            <v>UN</v>
          </cell>
          <cell r="D1500">
            <v>5921.58</v>
          </cell>
        </row>
        <row r="1501">
          <cell r="A1501">
            <v>81984</v>
          </cell>
          <cell r="B1501" t="str">
            <v>COMPORTA C/SENT. UNICO DE FLUXO QUAD.F0F0 DN 900</v>
          </cell>
          <cell r="C1501" t="str">
            <v>UN</v>
          </cell>
          <cell r="D1501">
            <v>6780.61</v>
          </cell>
        </row>
        <row r="1502">
          <cell r="A1502">
            <v>81985</v>
          </cell>
          <cell r="B1502" t="str">
            <v>COMPORTA C/SENT. UNICO DE FLUXO QUAD.F0F0 DN 1000</v>
          </cell>
          <cell r="C1502" t="str">
            <v>UN</v>
          </cell>
          <cell r="D1502">
            <v>7693.81</v>
          </cell>
        </row>
        <row r="1503">
          <cell r="A1503">
            <v>81986</v>
          </cell>
          <cell r="B1503" t="str">
            <v>ADUFA DE PAREDE F0F0 COM PONTA DN 75</v>
          </cell>
          <cell r="C1503" t="str">
            <v>UN</v>
          </cell>
          <cell r="D1503">
            <v>717.76</v>
          </cell>
        </row>
        <row r="1504">
          <cell r="A1504">
            <v>81987</v>
          </cell>
          <cell r="B1504" t="str">
            <v>ADUFA DE PAREDE F0F0 COM PONTA DN 100</v>
          </cell>
          <cell r="C1504" t="str">
            <v>UN</v>
          </cell>
          <cell r="D1504">
            <v>837.53</v>
          </cell>
        </row>
        <row r="1505">
          <cell r="A1505">
            <v>81988</v>
          </cell>
          <cell r="B1505" t="str">
            <v>ADUFA DE PAREDE F0F0 COM PONTA DN 150</v>
          </cell>
          <cell r="C1505" t="str">
            <v>UN</v>
          </cell>
          <cell r="D1505">
            <v>997.83</v>
          </cell>
        </row>
        <row r="1506">
          <cell r="A1506">
            <v>81989</v>
          </cell>
          <cell r="B1506" t="str">
            <v>ADUFA DE PAREDE F0F0 COM PONTA DN 200</v>
          </cell>
          <cell r="C1506" t="str">
            <v>UN</v>
          </cell>
          <cell r="D1506">
            <v>1210.32</v>
          </cell>
        </row>
        <row r="1507">
          <cell r="A1507">
            <v>81990</v>
          </cell>
          <cell r="B1507" t="str">
            <v>ADUFA DE PAREDE F0F0 COM PONTA DN 250</v>
          </cell>
          <cell r="C1507" t="str">
            <v>UN</v>
          </cell>
          <cell r="D1507">
            <v>1591.45</v>
          </cell>
        </row>
        <row r="1508">
          <cell r="A1508">
            <v>81991</v>
          </cell>
          <cell r="B1508" t="str">
            <v>ADUFA DE PAREDE F0F0 COM PONTA DN 300</v>
          </cell>
          <cell r="C1508" t="str">
            <v>UN</v>
          </cell>
          <cell r="D1508">
            <v>1850.07</v>
          </cell>
        </row>
        <row r="1509">
          <cell r="A1509">
            <v>81992</v>
          </cell>
          <cell r="B1509" t="str">
            <v>ADUFA DE PAREDE F0F0 COM PONTA DN 400</v>
          </cell>
          <cell r="C1509" t="str">
            <v>UN</v>
          </cell>
          <cell r="D1509">
            <v>3138.99</v>
          </cell>
        </row>
        <row r="1510">
          <cell r="A1510">
            <v>81993</v>
          </cell>
          <cell r="B1510" t="str">
            <v>ADUFA DE PAREDE F0F0 COM PONTA DN 500</v>
          </cell>
          <cell r="C1510" t="str">
            <v>UN</v>
          </cell>
          <cell r="D1510">
            <v>3937.77</v>
          </cell>
        </row>
        <row r="1511">
          <cell r="A1511">
            <v>81994</v>
          </cell>
          <cell r="B1511" t="str">
            <v>ADUFA DE PAREDE F0F0 COM PONTA DN 600</v>
          </cell>
          <cell r="C1511" t="str">
            <v>UN</v>
          </cell>
          <cell r="D1511">
            <v>5569.25</v>
          </cell>
        </row>
        <row r="1512">
          <cell r="A1512">
            <v>81995</v>
          </cell>
          <cell r="B1512" t="str">
            <v>ADUFA DE PAREDE F0F0 C/FLANGES PN 10 DN 75</v>
          </cell>
          <cell r="C1512" t="str">
            <v>UN</v>
          </cell>
          <cell r="D1512">
            <v>659.51</v>
          </cell>
        </row>
        <row r="1513">
          <cell r="A1513">
            <v>81996</v>
          </cell>
          <cell r="B1513" t="str">
            <v>ADUFA DE PAREDE F0F0 C/FLANGES PN 10 DN 100</v>
          </cell>
          <cell r="C1513" t="str">
            <v>UN</v>
          </cell>
          <cell r="D1513">
            <v>732.49</v>
          </cell>
        </row>
        <row r="1514">
          <cell r="A1514">
            <v>81997</v>
          </cell>
          <cell r="B1514" t="str">
            <v>ADUFA DE PAREDE F0F0 C/FLANGES PN 10 DN 150</v>
          </cell>
          <cell r="C1514" t="str">
            <v>UN</v>
          </cell>
          <cell r="D1514">
            <v>896.54</v>
          </cell>
        </row>
        <row r="1515">
          <cell r="A1515">
            <v>81998</v>
          </cell>
          <cell r="B1515" t="str">
            <v>ADUFA DE PAREDE F0F0 C/FLANGES PN 10 DN 200</v>
          </cell>
          <cell r="C1515" t="str">
            <v>UN</v>
          </cell>
          <cell r="D1515">
            <v>1050.8599999999999</v>
          </cell>
        </row>
        <row r="1516">
          <cell r="A1516">
            <v>81999</v>
          </cell>
          <cell r="B1516" t="str">
            <v>ADUFA DE PAREDE F0F0 C/FLANGES PN 10 DN 250</v>
          </cell>
          <cell r="C1516" t="str">
            <v>UN</v>
          </cell>
          <cell r="D1516">
            <v>1402.46</v>
          </cell>
        </row>
        <row r="1517">
          <cell r="A1517">
            <v>82001</v>
          </cell>
          <cell r="B1517" t="str">
            <v>ADUFA DE PAREDE F0F0 C/FLANGES PN 10 DN 300</v>
          </cell>
          <cell r="C1517" t="str">
            <v>UN</v>
          </cell>
          <cell r="D1517">
            <v>1573.22</v>
          </cell>
        </row>
        <row r="1518">
          <cell r="A1518">
            <v>82002</v>
          </cell>
          <cell r="B1518" t="str">
            <v>ADUFA DE PAREDE F0F0 C/FLANGES PN 10 DN 400</v>
          </cell>
          <cell r="C1518" t="str">
            <v>UN</v>
          </cell>
          <cell r="D1518">
            <v>2666.12</v>
          </cell>
        </row>
        <row r="1519">
          <cell r="A1519">
            <v>82003</v>
          </cell>
          <cell r="B1519" t="str">
            <v>ADUFA DE PAREDE F0F0 C/FLANGES PN 10 DN 500</v>
          </cell>
          <cell r="C1519" t="str">
            <v>UN</v>
          </cell>
          <cell r="D1519">
            <v>3359.47</v>
          </cell>
        </row>
        <row r="1520">
          <cell r="A1520">
            <v>82004</v>
          </cell>
          <cell r="B1520" t="str">
            <v>ADUFA DE PAREDE F0F0 C/FLANGES PN 10 DN 600</v>
          </cell>
          <cell r="C1520" t="str">
            <v>UN</v>
          </cell>
          <cell r="D1520">
            <v>4699.33</v>
          </cell>
        </row>
        <row r="1521">
          <cell r="A1521">
            <v>82005</v>
          </cell>
          <cell r="B1521" t="str">
            <v>ADUFA DE FUNDO SIMPLES F0F0 PN 10 DN 100</v>
          </cell>
          <cell r="C1521" t="str">
            <v>UN</v>
          </cell>
          <cell r="D1521">
            <v>1039.52</v>
          </cell>
        </row>
        <row r="1522">
          <cell r="A1522">
            <v>82006</v>
          </cell>
          <cell r="B1522" t="str">
            <v>ADUFA DE FUNDO SIMPLES F0F0 PN 10 DN 150</v>
          </cell>
          <cell r="C1522" t="str">
            <v>UN</v>
          </cell>
          <cell r="D1522">
            <v>1241.42</v>
          </cell>
        </row>
        <row r="1523">
          <cell r="A1523">
            <v>82007</v>
          </cell>
          <cell r="B1523" t="str">
            <v>ADUFA DE FUNDO SIMPLES F0F0 PN 10 DN 200</v>
          </cell>
          <cell r="C1523" t="str">
            <v>UN</v>
          </cell>
          <cell r="D1523">
            <v>1428.25</v>
          </cell>
        </row>
        <row r="1524">
          <cell r="A1524">
            <v>82008</v>
          </cell>
          <cell r="B1524" t="str">
            <v>ADUFA DE FUNDO SIMPLES F0F0 PN 10 DN 250</v>
          </cell>
          <cell r="C1524" t="str">
            <v>UN</v>
          </cell>
          <cell r="D1524">
            <v>1698.68</v>
          </cell>
        </row>
        <row r="1525">
          <cell r="A1525">
            <v>82009</v>
          </cell>
          <cell r="B1525" t="str">
            <v>ADUFA DE FUNDO SIMPLES F0F0 PN 10 DN 300</v>
          </cell>
          <cell r="C1525" t="str">
            <v>UN</v>
          </cell>
          <cell r="D1525">
            <v>1933.58</v>
          </cell>
        </row>
        <row r="1526">
          <cell r="A1526">
            <v>82010</v>
          </cell>
          <cell r="B1526" t="str">
            <v>ADUFA DE FUNDO SIMPLES F0F0 PN 10 DN 400</v>
          </cell>
          <cell r="C1526" t="str">
            <v>UN</v>
          </cell>
          <cell r="D1526">
            <v>2808.37</v>
          </cell>
        </row>
        <row r="1527">
          <cell r="A1527">
            <v>82011</v>
          </cell>
          <cell r="B1527" t="str">
            <v>ADUFA DE FUNDO C/CRIVO F0F0 PN 10 DN 100</v>
          </cell>
          <cell r="C1527" t="str">
            <v>UN</v>
          </cell>
          <cell r="D1527">
            <v>1159.3800000000001</v>
          </cell>
        </row>
        <row r="1528">
          <cell r="A1528">
            <v>82012</v>
          </cell>
          <cell r="B1528" t="str">
            <v>ADUFA DE FUNDO C/CRIVO F0F0 PN 10 DN 150</v>
          </cell>
          <cell r="C1528" t="str">
            <v>UN</v>
          </cell>
          <cell r="D1528">
            <v>1438.62</v>
          </cell>
        </row>
        <row r="1529">
          <cell r="A1529">
            <v>82013</v>
          </cell>
          <cell r="B1529" t="str">
            <v>ADUFA DE FUNDO C/CRIVO F0F0 PN 10 DN 200</v>
          </cell>
          <cell r="C1529" t="str">
            <v>UN</v>
          </cell>
          <cell r="D1529">
            <v>1652.55</v>
          </cell>
        </row>
        <row r="1530">
          <cell r="A1530">
            <v>82014</v>
          </cell>
          <cell r="B1530" t="str">
            <v>ADUFA DE FUNDO C/CRIVO F0F0 PN 10 DN 250</v>
          </cell>
          <cell r="C1530" t="str">
            <v>UN</v>
          </cell>
          <cell r="D1530">
            <v>1915.31</v>
          </cell>
        </row>
        <row r="1531">
          <cell r="A1531">
            <v>82015</v>
          </cell>
          <cell r="B1531" t="str">
            <v>ADUFA DE FUNDO C/CRIVO F0F0 PN 10 DN 300</v>
          </cell>
          <cell r="C1531" t="str">
            <v>UN</v>
          </cell>
          <cell r="D1531">
            <v>2083.7800000000002</v>
          </cell>
        </row>
        <row r="1532">
          <cell r="A1532">
            <v>82016</v>
          </cell>
          <cell r="B1532" t="str">
            <v>ADUFA DE FUNDO C/CRIVO F0F0 PN 10 DN 400</v>
          </cell>
          <cell r="C1532" t="str">
            <v>UN</v>
          </cell>
          <cell r="D1532">
            <v>3076.5</v>
          </cell>
        </row>
        <row r="1533">
          <cell r="A1533">
            <v>82017</v>
          </cell>
          <cell r="B1533" t="str">
            <v>ADUFA DE FUNDO C/CURVA F0F0 PN 10 DN 100</v>
          </cell>
          <cell r="C1533" t="str">
            <v>UN</v>
          </cell>
          <cell r="D1533">
            <v>1157.5999999999999</v>
          </cell>
        </row>
        <row r="1534">
          <cell r="A1534">
            <v>82018</v>
          </cell>
          <cell r="B1534" t="str">
            <v>ADUFA DE FUNDO C/CURVA F0F0 PN 10 DN 150</v>
          </cell>
          <cell r="C1534" t="str">
            <v>UN</v>
          </cell>
          <cell r="D1534">
            <v>1466.34</v>
          </cell>
        </row>
        <row r="1535">
          <cell r="A1535">
            <v>82019</v>
          </cell>
          <cell r="B1535" t="str">
            <v>ADUFA DE FUNDO C/CURVA F0F0 PN 10 DN 200</v>
          </cell>
          <cell r="C1535" t="str">
            <v>UN</v>
          </cell>
          <cell r="D1535">
            <v>1763.29</v>
          </cell>
        </row>
        <row r="1536">
          <cell r="A1536">
            <v>82020</v>
          </cell>
          <cell r="B1536" t="str">
            <v>ADUFA DE FUNDO C/CURVA F0F0 PN 10 DN 250</v>
          </cell>
          <cell r="C1536" t="str">
            <v>UN</v>
          </cell>
          <cell r="D1536">
            <v>1821.34</v>
          </cell>
        </row>
        <row r="1537">
          <cell r="A1537">
            <v>82021</v>
          </cell>
          <cell r="B1537" t="str">
            <v>ADUFA DE FUNDO C/CURVA F0F0 PN 10 DN 300</v>
          </cell>
          <cell r="C1537" t="str">
            <v>UN</v>
          </cell>
          <cell r="D1537">
            <v>2537.71</v>
          </cell>
        </row>
        <row r="1538">
          <cell r="A1538">
            <v>82022</v>
          </cell>
          <cell r="B1538" t="str">
            <v>ADUFA DE FUNDO C/CURVA F0F0 PN 10 DN 400</v>
          </cell>
          <cell r="C1538" t="str">
            <v>UN</v>
          </cell>
          <cell r="D1538">
            <v>4056.06</v>
          </cell>
        </row>
        <row r="1539">
          <cell r="A1539">
            <v>82023</v>
          </cell>
          <cell r="B1539" t="str">
            <v>ADUFA DE FUNDO C/CURVA F0F0 E CRIVO PN 10 DN 100</v>
          </cell>
          <cell r="C1539" t="str">
            <v>UN</v>
          </cell>
          <cell r="D1539">
            <v>1295.0999999999999</v>
          </cell>
        </row>
        <row r="1540">
          <cell r="A1540">
            <v>82024</v>
          </cell>
          <cell r="B1540" t="str">
            <v>ADUFA DE FUNDO C/CURVA F0F0 E CRIVO PN 10 DN 150</v>
          </cell>
          <cell r="C1540" t="str">
            <v>UN</v>
          </cell>
          <cell r="D1540">
            <v>1657.85</v>
          </cell>
        </row>
        <row r="1541">
          <cell r="A1541">
            <v>82025</v>
          </cell>
          <cell r="B1541" t="str">
            <v>ADUFA DE FUNDO C/CURVA F0F0 E CRIVO PN 10 DN 200</v>
          </cell>
          <cell r="C1541" t="str">
            <v>UN</v>
          </cell>
          <cell r="D1541">
            <v>1990.04</v>
          </cell>
        </row>
        <row r="1542">
          <cell r="A1542">
            <v>82026</v>
          </cell>
          <cell r="B1542" t="str">
            <v>ADUFA DE FUNDO C/CURVA F0F0 E CRIVO PN 10 DN 250</v>
          </cell>
          <cell r="C1542" t="str">
            <v>UN</v>
          </cell>
          <cell r="D1542">
            <v>2400.89</v>
          </cell>
        </row>
        <row r="1543">
          <cell r="A1543">
            <v>82027</v>
          </cell>
          <cell r="B1543" t="str">
            <v>ADUFA DE FUNDO C/CURVA F0F0 E CRIVO PN 10 DN 300</v>
          </cell>
          <cell r="C1543" t="str">
            <v>UN</v>
          </cell>
          <cell r="D1543">
            <v>2778.02</v>
          </cell>
        </row>
        <row r="1544">
          <cell r="A1544">
            <v>82028</v>
          </cell>
          <cell r="B1544" t="str">
            <v>ADUFA DE FUNDO C/CURVA F0F0 E CRIVO PN 10 DN 400</v>
          </cell>
          <cell r="C1544" t="str">
            <v>UN</v>
          </cell>
          <cell r="D1544">
            <v>4377.67</v>
          </cell>
        </row>
        <row r="1545">
          <cell r="A1545">
            <v>82029</v>
          </cell>
          <cell r="B1545" t="str">
            <v>JUNTA GIBAULT F0F0 DN 50</v>
          </cell>
          <cell r="C1545" t="str">
            <v>UN</v>
          </cell>
          <cell r="D1545">
            <v>48.41</v>
          </cell>
        </row>
        <row r="1546">
          <cell r="A1546">
            <v>82030</v>
          </cell>
          <cell r="B1546" t="str">
            <v>JUNTA GIBAULT F0F0 DN 75</v>
          </cell>
          <cell r="C1546" t="str">
            <v>UN</v>
          </cell>
          <cell r="D1546">
            <v>56.01</v>
          </cell>
        </row>
        <row r="1547">
          <cell r="A1547">
            <v>82031</v>
          </cell>
          <cell r="B1547" t="str">
            <v>JUNTA GIBAULT F0F0 DN 100</v>
          </cell>
          <cell r="C1547" t="str">
            <v>UN</v>
          </cell>
          <cell r="D1547">
            <v>69.010000000000005</v>
          </cell>
        </row>
        <row r="1548">
          <cell r="A1548">
            <v>82032</v>
          </cell>
          <cell r="B1548" t="str">
            <v>JUNTA GIBAULT F0F0 DN 150</v>
          </cell>
          <cell r="C1548" t="str">
            <v>UN</v>
          </cell>
          <cell r="D1548">
            <v>113.53</v>
          </cell>
        </row>
        <row r="1549">
          <cell r="A1549">
            <v>82033</v>
          </cell>
          <cell r="B1549" t="str">
            <v>JUNTA GIBAULT F0F0 DN 200</v>
          </cell>
          <cell r="C1549" t="str">
            <v>UN</v>
          </cell>
          <cell r="D1549">
            <v>199.95</v>
          </cell>
        </row>
        <row r="1550">
          <cell r="A1550">
            <v>82034</v>
          </cell>
          <cell r="B1550" t="str">
            <v>JUNTA GIBAULT F0F0 DN 250</v>
          </cell>
          <cell r="C1550" t="str">
            <v>UN</v>
          </cell>
          <cell r="D1550">
            <v>280.99</v>
          </cell>
        </row>
        <row r="1551">
          <cell r="A1551">
            <v>82035</v>
          </cell>
          <cell r="B1551" t="str">
            <v>JUNTA GIBAULT F0F0 DN 300</v>
          </cell>
          <cell r="C1551" t="str">
            <v>UN</v>
          </cell>
          <cell r="D1551">
            <v>293.32</v>
          </cell>
        </row>
        <row r="1552">
          <cell r="A1552">
            <v>82036</v>
          </cell>
          <cell r="B1552" t="str">
            <v>JUNTA GIBAULT F0F0 DN 400</v>
          </cell>
          <cell r="C1552" t="str">
            <v>UN</v>
          </cell>
          <cell r="D1552">
            <v>555.13</v>
          </cell>
        </row>
        <row r="1553">
          <cell r="A1553">
            <v>82037</v>
          </cell>
          <cell r="B1553" t="str">
            <v>JUNTA GIBAULT F0F0 DN 500</v>
          </cell>
          <cell r="C1553" t="str">
            <v>UN</v>
          </cell>
          <cell r="D1553">
            <v>685.12</v>
          </cell>
        </row>
        <row r="1554">
          <cell r="A1554">
            <v>82038</v>
          </cell>
          <cell r="B1554" t="str">
            <v>JUNTA GIBAULT F0F0 DN 600</v>
          </cell>
          <cell r="C1554" t="str">
            <v>UN</v>
          </cell>
          <cell r="D1554">
            <v>865.3</v>
          </cell>
        </row>
        <row r="1555">
          <cell r="A1555">
            <v>82039</v>
          </cell>
          <cell r="B1555" t="str">
            <v>LUVA BIPARTIDA F0F0 P/BOLSAS DN 200</v>
          </cell>
          <cell r="C1555" t="str">
            <v>UN</v>
          </cell>
          <cell r="D1555">
            <v>726.2</v>
          </cell>
        </row>
        <row r="1556">
          <cell r="A1556">
            <v>82040</v>
          </cell>
          <cell r="B1556" t="str">
            <v>LUVA BIPARTIDA F0F0 P/BOLSAS DN 250</v>
          </cell>
          <cell r="C1556" t="str">
            <v>UN</v>
          </cell>
          <cell r="D1556">
            <v>966.26</v>
          </cell>
        </row>
        <row r="1557">
          <cell r="A1557">
            <v>82041</v>
          </cell>
          <cell r="B1557" t="str">
            <v>LUVA BIPARTIDA F0F0 P/BOLSAS DN 300</v>
          </cell>
          <cell r="C1557" t="str">
            <v>UN</v>
          </cell>
          <cell r="D1557">
            <v>1050.27</v>
          </cell>
        </row>
        <row r="1558">
          <cell r="A1558">
            <v>82042</v>
          </cell>
          <cell r="B1558" t="str">
            <v>LUVA BIRPATIDA F0F0 P/BOLSAS DN 400</v>
          </cell>
          <cell r="C1558" t="str">
            <v>UN</v>
          </cell>
          <cell r="D1558">
            <v>1306.24</v>
          </cell>
        </row>
        <row r="1559">
          <cell r="A1559">
            <v>82043</v>
          </cell>
          <cell r="B1559" t="str">
            <v>LUVA BIPARTIDA F0F0 P/BOLSAS DN 500</v>
          </cell>
          <cell r="C1559" t="str">
            <v>UN</v>
          </cell>
          <cell r="D1559">
            <v>4126.3100000000004</v>
          </cell>
        </row>
        <row r="1560">
          <cell r="A1560">
            <v>82044</v>
          </cell>
          <cell r="B1560" t="str">
            <v>LUVA BIPARTIDA F0F0 P/BOLSAS DN 600</v>
          </cell>
          <cell r="C1560" t="str">
            <v>UN</v>
          </cell>
          <cell r="D1560">
            <v>4685.09</v>
          </cell>
        </row>
        <row r="1561">
          <cell r="A1561">
            <v>82045</v>
          </cell>
          <cell r="B1561" t="str">
            <v>LUVA BIPARTIDA F0F0 P/CORPOS CILINDRICOS DN 50</v>
          </cell>
          <cell r="C1561" t="str">
            <v>UN</v>
          </cell>
          <cell r="D1561">
            <v>221.68</v>
          </cell>
        </row>
        <row r="1562">
          <cell r="A1562">
            <v>82046</v>
          </cell>
          <cell r="B1562" t="str">
            <v>LUVA BIPARTIDA F0F0 P/CORPOS CILINDRICOS DN 75</v>
          </cell>
          <cell r="C1562" t="str">
            <v>UN</v>
          </cell>
          <cell r="D1562">
            <v>280.18</v>
          </cell>
        </row>
        <row r="1563">
          <cell r="A1563">
            <v>82047</v>
          </cell>
          <cell r="B1563" t="str">
            <v>LUVA BIRPATIDA F0F0 P/CORPOS CILINDRICOS DN 100</v>
          </cell>
          <cell r="C1563" t="str">
            <v>UN</v>
          </cell>
          <cell r="D1563">
            <v>305.32</v>
          </cell>
        </row>
        <row r="1564">
          <cell r="A1564">
            <v>82048</v>
          </cell>
          <cell r="B1564" t="str">
            <v>LUVA BIPARTIDA F0F0 P/CORPOS CILINDRICOS DN 150</v>
          </cell>
          <cell r="C1564" t="str">
            <v>UN</v>
          </cell>
          <cell r="D1564">
            <v>509.98</v>
          </cell>
        </row>
        <row r="1565">
          <cell r="A1565">
            <v>82049</v>
          </cell>
          <cell r="B1565" t="str">
            <v>LUVA BIPARTIDA F0F0 P/CORPOS CILINDRICOS DN 200</v>
          </cell>
          <cell r="C1565" t="str">
            <v>UN</v>
          </cell>
          <cell r="D1565">
            <v>732.43</v>
          </cell>
        </row>
        <row r="1566">
          <cell r="A1566">
            <v>82050</v>
          </cell>
          <cell r="B1566" t="str">
            <v>LUVA BIPARTIDA F0F0 P/CORPOS CILINDRICOS DN 250</v>
          </cell>
          <cell r="C1566" t="str">
            <v>UN</v>
          </cell>
          <cell r="D1566">
            <v>744.01</v>
          </cell>
        </row>
        <row r="1567">
          <cell r="A1567">
            <v>82051</v>
          </cell>
          <cell r="B1567" t="str">
            <v>LUVA BIPARTIDA F0F0 P/CORPOS CILINDRICOS DN 300</v>
          </cell>
          <cell r="C1567" t="str">
            <v>UN</v>
          </cell>
          <cell r="D1567">
            <v>916.84</v>
          </cell>
        </row>
        <row r="1568">
          <cell r="A1568">
            <v>82052</v>
          </cell>
          <cell r="B1568" t="str">
            <v>LUVA BIPARTIDA F0F0 P/CORPOS CILINDRICOS DN 400</v>
          </cell>
          <cell r="C1568" t="str">
            <v>UN</v>
          </cell>
          <cell r="D1568">
            <v>1382.29</v>
          </cell>
        </row>
        <row r="1569">
          <cell r="A1569">
            <v>82053</v>
          </cell>
          <cell r="B1569" t="str">
            <v>LUVA BIPARTIDA F0F0 P/CORPOS CILINDRICOS DN 500</v>
          </cell>
          <cell r="C1569" t="str">
            <v>UN</v>
          </cell>
          <cell r="D1569">
            <v>4129.57</v>
          </cell>
        </row>
        <row r="1570">
          <cell r="A1570">
            <v>82054</v>
          </cell>
          <cell r="B1570" t="str">
            <v>LUVA BIPARTIDA F0F0 P/CORPOS CILINDRICOS DN 600</v>
          </cell>
          <cell r="C1570" t="str">
            <v>UN</v>
          </cell>
          <cell r="D1570">
            <v>5162.93</v>
          </cell>
        </row>
        <row r="1571">
          <cell r="A1571">
            <v>82055</v>
          </cell>
          <cell r="B1571" t="str">
            <v>VOLANTE F0F0 NOS REGISTROS - VOL 34</v>
          </cell>
          <cell r="C1571" t="str">
            <v>UN</v>
          </cell>
          <cell r="D1571">
            <v>14.28</v>
          </cell>
        </row>
        <row r="1572">
          <cell r="A1572">
            <v>82056</v>
          </cell>
          <cell r="B1572" t="str">
            <v>VOLANTE F0F0 NOS REGISTROS - VOL 35</v>
          </cell>
          <cell r="C1572" t="str">
            <v>UN</v>
          </cell>
          <cell r="D1572">
            <v>22.62</v>
          </cell>
        </row>
        <row r="1573">
          <cell r="A1573">
            <v>82057</v>
          </cell>
          <cell r="B1573" t="str">
            <v>VOLANTE F0F0 NOS REGISTROS - VOL 36</v>
          </cell>
          <cell r="C1573" t="str">
            <v>UN</v>
          </cell>
          <cell r="D1573">
            <v>28.71</v>
          </cell>
        </row>
        <row r="1574">
          <cell r="A1574">
            <v>82058</v>
          </cell>
          <cell r="B1574" t="str">
            <v>VOLANTE F0F0 NOS REGISTROS - VOL 18</v>
          </cell>
          <cell r="C1574" t="str">
            <v>UN</v>
          </cell>
          <cell r="D1574">
            <v>57.11</v>
          </cell>
        </row>
        <row r="1575">
          <cell r="A1575">
            <v>82059</v>
          </cell>
          <cell r="B1575" t="str">
            <v>VOLANTE F0F0 NOS REGISTROS - VOL 21</v>
          </cell>
          <cell r="C1575" t="str">
            <v>UN</v>
          </cell>
          <cell r="D1575">
            <v>44.64</v>
          </cell>
        </row>
        <row r="1576">
          <cell r="A1576">
            <v>82060</v>
          </cell>
          <cell r="B1576" t="str">
            <v>VOLANTE F0F0 NOS REGISTROS - VOL 24</v>
          </cell>
          <cell r="C1576" t="str">
            <v>UN</v>
          </cell>
          <cell r="D1576">
            <v>199.72</v>
          </cell>
        </row>
        <row r="1577">
          <cell r="A1577">
            <v>82061</v>
          </cell>
          <cell r="B1577" t="str">
            <v>VOLANTE F0F0 NOS REGISTROS - VOL 25</v>
          </cell>
          <cell r="C1577" t="str">
            <v>UN</v>
          </cell>
          <cell r="D1577">
            <v>199.72</v>
          </cell>
        </row>
        <row r="1578">
          <cell r="A1578">
            <v>82062</v>
          </cell>
          <cell r="B1578" t="str">
            <v>VOLANTE F0F0 NOS REGISTROS - VOL 26</v>
          </cell>
          <cell r="C1578" t="str">
            <v>UN</v>
          </cell>
          <cell r="D1578">
            <v>199.72</v>
          </cell>
        </row>
        <row r="1579">
          <cell r="A1579">
            <v>82063</v>
          </cell>
          <cell r="B1579" t="str">
            <v>VOLANTE F0F0 NOS REGISTROS - VOL 27</v>
          </cell>
          <cell r="C1579" t="str">
            <v>UN</v>
          </cell>
          <cell r="D1579">
            <v>228.13</v>
          </cell>
        </row>
        <row r="1580">
          <cell r="A1580">
            <v>82064</v>
          </cell>
          <cell r="B1580" t="str">
            <v>VOLANTE F0F0 NAS ADUFAS DE PAREDE - VOL 4</v>
          </cell>
          <cell r="C1580" t="str">
            <v>UN</v>
          </cell>
          <cell r="D1580">
            <v>0</v>
          </cell>
        </row>
        <row r="1581">
          <cell r="A1581">
            <v>82065</v>
          </cell>
          <cell r="B1581" t="str">
            <v>VOLANTE F0F0 NAS ADUFAS DE PAREDE - VOL 11</v>
          </cell>
          <cell r="C1581" t="str">
            <v>UN</v>
          </cell>
          <cell r="D1581">
            <v>0</v>
          </cell>
        </row>
        <row r="1582">
          <cell r="A1582">
            <v>82066</v>
          </cell>
          <cell r="B1582" t="str">
            <v>VOLANTE F0F0 NAS ADUFAS DE PAREDE - VOL 18</v>
          </cell>
          <cell r="C1582" t="str">
            <v>UN</v>
          </cell>
          <cell r="D1582">
            <v>0</v>
          </cell>
        </row>
        <row r="1583">
          <cell r="A1583">
            <v>82067</v>
          </cell>
          <cell r="B1583" t="str">
            <v>VOLANTE F0F0 NAS ADUFAS DE PAREDE - VOL 23</v>
          </cell>
          <cell r="C1583" t="str">
            <v>UN</v>
          </cell>
          <cell r="D1583">
            <v>121.33</v>
          </cell>
        </row>
        <row r="1584">
          <cell r="A1584">
            <v>82068</v>
          </cell>
          <cell r="B1584" t="str">
            <v>CHAVE "T" - CHT1</v>
          </cell>
          <cell r="C1584" t="str">
            <v>UN</v>
          </cell>
          <cell r="D1584">
            <v>0</v>
          </cell>
        </row>
        <row r="1585">
          <cell r="A1585">
            <v>82069</v>
          </cell>
          <cell r="B1585" t="str">
            <v>CHAVE "T" - CHT2</v>
          </cell>
          <cell r="C1585" t="str">
            <v>UN</v>
          </cell>
          <cell r="D1585">
            <v>0</v>
          </cell>
        </row>
        <row r="1586">
          <cell r="A1586">
            <v>82070</v>
          </cell>
          <cell r="B1586" t="str">
            <v>PEDESTAL DE MANOBRA SIMPLES F0F0 - PMS01</v>
          </cell>
          <cell r="C1586" t="str">
            <v>UN</v>
          </cell>
          <cell r="D1586">
            <v>509.02</v>
          </cell>
        </row>
        <row r="1587">
          <cell r="A1587">
            <v>82071</v>
          </cell>
          <cell r="B1587" t="str">
            <v>PEDESTAL DE MANOBRA SIMPLES F0F0 - PMS02</v>
          </cell>
          <cell r="C1587" t="str">
            <v>UN</v>
          </cell>
          <cell r="D1587">
            <v>848.56</v>
          </cell>
        </row>
        <row r="1588">
          <cell r="A1588">
            <v>82072</v>
          </cell>
          <cell r="B1588" t="str">
            <v>PEDESTAL DE MANOBRA SIMPLES F0F0 - PMS03</v>
          </cell>
          <cell r="C1588" t="str">
            <v>UN</v>
          </cell>
          <cell r="D1588">
            <v>1005.42</v>
          </cell>
        </row>
        <row r="1589">
          <cell r="A1589">
            <v>82073</v>
          </cell>
          <cell r="B1589" t="str">
            <v>PEDESTAL DE MANOBRA SIMPLES F0F0 - PMS04</v>
          </cell>
          <cell r="C1589" t="str">
            <v>UN</v>
          </cell>
          <cell r="D1589">
            <v>1016.98</v>
          </cell>
        </row>
        <row r="1590">
          <cell r="A1590">
            <v>82074</v>
          </cell>
          <cell r="B1590" t="str">
            <v>PEDESTAL DE MANOBRA SIMPLES F0F0 - PMS21</v>
          </cell>
          <cell r="C1590" t="str">
            <v>UN</v>
          </cell>
          <cell r="D1590">
            <v>729.2</v>
          </cell>
        </row>
        <row r="1591">
          <cell r="A1591">
            <v>82075</v>
          </cell>
          <cell r="B1591" t="str">
            <v>PEDESTAL DE MANOBRA F0F0 C/ ENGRENAGENS - PME05</v>
          </cell>
          <cell r="C1591" t="str">
            <v>UN</v>
          </cell>
          <cell r="D1591">
            <v>2112.63</v>
          </cell>
        </row>
        <row r="1592">
          <cell r="A1592">
            <v>82076</v>
          </cell>
          <cell r="B1592" t="str">
            <v>PEDESTAL DE MANOBRA F0F0 C/ ENGRENAGENS - PME06</v>
          </cell>
          <cell r="C1592" t="str">
            <v>UN</v>
          </cell>
          <cell r="D1592">
            <v>2222.64</v>
          </cell>
        </row>
        <row r="1593">
          <cell r="A1593">
            <v>82077</v>
          </cell>
          <cell r="B1593" t="str">
            <v>PEDESTAL DE MANOBRA F0F0 C/ ENGRENAGENS - PME07</v>
          </cell>
          <cell r="C1593" t="str">
            <v>UN</v>
          </cell>
          <cell r="D1593">
            <v>2255.81</v>
          </cell>
        </row>
        <row r="1594">
          <cell r="A1594">
            <v>82078</v>
          </cell>
          <cell r="B1594" t="str">
            <v>PEDESTAL DE SUSPENSAO SIMPLES F0F0 - PSS01</v>
          </cell>
          <cell r="C1594" t="str">
            <v>UN</v>
          </cell>
          <cell r="D1594">
            <v>733.76</v>
          </cell>
        </row>
        <row r="1595">
          <cell r="A1595">
            <v>82079</v>
          </cell>
          <cell r="B1595" t="str">
            <v>PEDESTAL DE SUSPENSAO SIMPLES F0F0 - PSS02</v>
          </cell>
          <cell r="C1595" t="str">
            <v>UN</v>
          </cell>
          <cell r="D1595">
            <v>895.39</v>
          </cell>
        </row>
        <row r="1596">
          <cell r="A1596">
            <v>82080</v>
          </cell>
          <cell r="B1596" t="str">
            <v>PEDESTAL DE SUSPENSAO SIMPLES F0F0 - PSS03</v>
          </cell>
          <cell r="C1596" t="str">
            <v>UN</v>
          </cell>
          <cell r="D1596">
            <v>896.54</v>
          </cell>
        </row>
        <row r="1597">
          <cell r="A1597">
            <v>82081</v>
          </cell>
          <cell r="B1597" t="str">
            <v>PEDESTAL DE SUSPENSAO SIMPLES F0F0 - PSS04</v>
          </cell>
          <cell r="C1597" t="str">
            <v>UN</v>
          </cell>
          <cell r="D1597">
            <v>897.65</v>
          </cell>
        </row>
        <row r="1598">
          <cell r="A1598">
            <v>82082</v>
          </cell>
          <cell r="B1598" t="str">
            <v>PEDESTAL DE SUSPENSAO SIMPLES F0F0 - PSS05</v>
          </cell>
          <cell r="C1598" t="str">
            <v>UN</v>
          </cell>
          <cell r="D1598">
            <v>898.76</v>
          </cell>
        </row>
        <row r="1599">
          <cell r="A1599">
            <v>82083</v>
          </cell>
          <cell r="B1599" t="str">
            <v>PEDESTAL DE SUSPENSAO SIMPLES F0F0 - PSS06</v>
          </cell>
          <cell r="C1599" t="str">
            <v>UN</v>
          </cell>
          <cell r="D1599">
            <v>900</v>
          </cell>
        </row>
        <row r="1600">
          <cell r="A1600">
            <v>82084</v>
          </cell>
          <cell r="B1600" t="str">
            <v>PEDESTAL DE SUSPENSAO SIMPLES F0F0 - PSS08</v>
          </cell>
          <cell r="C1600" t="str">
            <v>UN</v>
          </cell>
          <cell r="D1600">
            <v>902.35</v>
          </cell>
        </row>
        <row r="1601">
          <cell r="A1601">
            <v>82085</v>
          </cell>
          <cell r="B1601" t="str">
            <v>PEDESTAL DE SUSPENSAO F0F0 C/ENGRENAGENS - PSE10</v>
          </cell>
          <cell r="C1601" t="str">
            <v>UN</v>
          </cell>
          <cell r="D1601">
            <v>1512.44</v>
          </cell>
        </row>
        <row r="1602">
          <cell r="A1602">
            <v>82086</v>
          </cell>
          <cell r="B1602" t="str">
            <v>PEDESTAL DE SUSPENSAO F0F0 C/ENGRENAGENS - PSE11</v>
          </cell>
          <cell r="C1602" t="str">
            <v>UN</v>
          </cell>
          <cell r="D1602">
            <v>1512.44</v>
          </cell>
        </row>
        <row r="1603">
          <cell r="A1603">
            <v>82087</v>
          </cell>
          <cell r="B1603" t="str">
            <v>PEDESTAL DE SUSPENSAO F0F0 C/ENGRENAGENS - PSE12</v>
          </cell>
          <cell r="C1603" t="str">
            <v>UN</v>
          </cell>
          <cell r="D1603">
            <v>1512.44</v>
          </cell>
        </row>
        <row r="1604">
          <cell r="A1604">
            <v>82088</v>
          </cell>
          <cell r="B1604" t="str">
            <v>PEDESTAL DE SUSPENSAO F0F0 C/ENGRENAGENS - PSE13</v>
          </cell>
          <cell r="C1604" t="str">
            <v>UN</v>
          </cell>
          <cell r="D1604">
            <v>1512.44</v>
          </cell>
        </row>
        <row r="1605">
          <cell r="A1605">
            <v>82089</v>
          </cell>
          <cell r="B1605" t="str">
            <v>PEDESTAL DE SUSPENSAO F0F0 C/ENGRENAGENS - PSE14</v>
          </cell>
          <cell r="C1605" t="str">
            <v>UN</v>
          </cell>
          <cell r="D1605">
            <v>1512.44</v>
          </cell>
        </row>
        <row r="1606">
          <cell r="A1606">
            <v>82090</v>
          </cell>
          <cell r="B1606" t="str">
            <v>PEDESTAL DE SUSPENSAO F0F0 C/ENGRENAGENS - PSE16</v>
          </cell>
          <cell r="C1606" t="str">
            <v>UN</v>
          </cell>
          <cell r="D1606">
            <v>1512.44</v>
          </cell>
        </row>
        <row r="1607">
          <cell r="A1607">
            <v>82091</v>
          </cell>
          <cell r="B1607" t="str">
            <v>PEDESTAL DE SUSP. SIMP. F0F0 C/INDICADOR - PSSI18</v>
          </cell>
          <cell r="C1607" t="str">
            <v>UN</v>
          </cell>
          <cell r="D1607">
            <v>1111.74</v>
          </cell>
        </row>
        <row r="1608">
          <cell r="A1608">
            <v>82092</v>
          </cell>
          <cell r="B1608" t="str">
            <v>PEDESTAL DE SUSP. SIMP. F0F0 C/INDICADOR - PSSI19</v>
          </cell>
          <cell r="C1608" t="str">
            <v>UN</v>
          </cell>
          <cell r="D1608">
            <v>1272.1300000000001</v>
          </cell>
        </row>
        <row r="1609">
          <cell r="A1609">
            <v>82093</v>
          </cell>
          <cell r="B1609" t="str">
            <v>PEDESTAL DE SUSP. SIMP. F0F0 C/INDICADOR - PSSI20</v>
          </cell>
          <cell r="C1609" t="str">
            <v>UN</v>
          </cell>
          <cell r="D1609">
            <v>1274.46</v>
          </cell>
        </row>
        <row r="1610">
          <cell r="A1610">
            <v>82094</v>
          </cell>
          <cell r="B1610" t="str">
            <v>PEDESTAL DE SUSP. SIMP. F0F0 C/INDICADOR - PSSI21</v>
          </cell>
          <cell r="C1610" t="str">
            <v>UN</v>
          </cell>
          <cell r="D1610">
            <v>1275.6400000000001</v>
          </cell>
        </row>
        <row r="1611">
          <cell r="A1611">
            <v>82095</v>
          </cell>
          <cell r="B1611" t="str">
            <v>PEDESTAL DE SUSP. SIMP. F0F0 C/INDICADOR - PSSI22</v>
          </cell>
          <cell r="C1611" t="str">
            <v>UN</v>
          </cell>
          <cell r="D1611">
            <v>1276.78</v>
          </cell>
        </row>
        <row r="1612">
          <cell r="A1612">
            <v>82096</v>
          </cell>
          <cell r="B1612" t="str">
            <v>PEDESTAL DE SUSP. SIMP. F0F0 C/INDICADOR - PSSI23</v>
          </cell>
          <cell r="C1612" t="str">
            <v>UN</v>
          </cell>
          <cell r="D1612">
            <v>1277.98</v>
          </cell>
        </row>
        <row r="1613">
          <cell r="A1613">
            <v>82097</v>
          </cell>
          <cell r="B1613" t="str">
            <v>PEDESTAL DE SUSP. SIMP. F0F0 C/INDICADOR - PSSI25</v>
          </cell>
          <cell r="C1613" t="str">
            <v>UN</v>
          </cell>
          <cell r="D1613">
            <v>1280.3</v>
          </cell>
        </row>
        <row r="1614">
          <cell r="A1614">
            <v>82098</v>
          </cell>
          <cell r="B1614" t="str">
            <v>PEDESTAL DE SUSP.F0F0 C/ENGREN.E INDIC. - PSEI27</v>
          </cell>
          <cell r="C1614" t="str">
            <v>UN</v>
          </cell>
          <cell r="D1614">
            <v>1646.74</v>
          </cell>
        </row>
        <row r="1615">
          <cell r="A1615">
            <v>82099</v>
          </cell>
          <cell r="B1615" t="str">
            <v>PEDESTAL DE SUSP.F0F0 C/ENGREN.E INDIC. - PSEI28</v>
          </cell>
          <cell r="C1615" t="str">
            <v>UN</v>
          </cell>
          <cell r="D1615">
            <v>1646.74</v>
          </cell>
        </row>
        <row r="1616">
          <cell r="A1616">
            <v>82101</v>
          </cell>
          <cell r="B1616" t="str">
            <v>PEDESTAL DE SUSP.F0F0 C/ENGREN.E INDIC. - PSEI29</v>
          </cell>
          <cell r="C1616" t="str">
            <v>UN</v>
          </cell>
          <cell r="D1616">
            <v>1646.74</v>
          </cell>
        </row>
        <row r="1617">
          <cell r="A1617">
            <v>82102</v>
          </cell>
          <cell r="B1617" t="str">
            <v>PEDESTAL DE SUSP.F0F0 C/ENGREN.E INDIC. - PSEI30</v>
          </cell>
          <cell r="C1617" t="str">
            <v>UN</v>
          </cell>
          <cell r="D1617">
            <v>1646.74</v>
          </cell>
        </row>
        <row r="1618">
          <cell r="A1618">
            <v>82103</v>
          </cell>
          <cell r="B1618" t="str">
            <v>PEDESTAL DE SUSP.F0F0 C/ENGREN.E INDIC. - PSEI31</v>
          </cell>
          <cell r="C1618" t="str">
            <v>UN</v>
          </cell>
          <cell r="D1618">
            <v>1646.74</v>
          </cell>
        </row>
        <row r="1619">
          <cell r="A1619">
            <v>82104</v>
          </cell>
          <cell r="B1619" t="str">
            <v>PEDESTAL DE SUSP.F0F0 C/ENGREN.E INDIC. - PSEI33</v>
          </cell>
          <cell r="C1619" t="str">
            <v>UN</v>
          </cell>
          <cell r="D1619">
            <v>1646.74</v>
          </cell>
        </row>
        <row r="1620">
          <cell r="A1620">
            <v>82105</v>
          </cell>
          <cell r="B1620" t="str">
            <v>HASTE PROL.F0F0 C/QUAD.E BOCA DE CHAVE DN 1 1/8"</v>
          </cell>
          <cell r="C1620" t="str">
            <v>M</v>
          </cell>
          <cell r="D1620">
            <v>99.99</v>
          </cell>
        </row>
        <row r="1621">
          <cell r="A1621">
            <v>82106</v>
          </cell>
          <cell r="B1621" t="str">
            <v>HASTE PROL.F0F0 C/QUAD.E BOCA DE CHAVE DN 1 3/4"</v>
          </cell>
          <cell r="C1621" t="str">
            <v>M</v>
          </cell>
          <cell r="D1621">
            <v>122.87</v>
          </cell>
        </row>
        <row r="1622">
          <cell r="A1622">
            <v>82107</v>
          </cell>
          <cell r="B1622" t="str">
            <v>HASTE PROLONG.F0F0 C/QUAD.E BOCA DE CHAVE DN 2"</v>
          </cell>
          <cell r="C1622" t="str">
            <v>M</v>
          </cell>
          <cell r="D1622">
            <v>134.01</v>
          </cell>
        </row>
        <row r="1623">
          <cell r="A1623">
            <v>82108</v>
          </cell>
          <cell r="B1623" t="str">
            <v>HASTE PROL.F0F0 C/QUAD.E BOCA DE CHAVE DN 2 1/2"</v>
          </cell>
          <cell r="C1623" t="str">
            <v>M</v>
          </cell>
          <cell r="D1623">
            <v>157.66999999999999</v>
          </cell>
        </row>
        <row r="1624">
          <cell r="A1624">
            <v>82109</v>
          </cell>
          <cell r="B1624" t="str">
            <v>HASTE PROL.F0F0 C/ROSCA E BOCA DE CHAVE DN 1 1/5"</v>
          </cell>
          <cell r="C1624" t="str">
            <v>M</v>
          </cell>
          <cell r="D1624">
            <v>170.21</v>
          </cell>
        </row>
        <row r="1625">
          <cell r="A1625">
            <v>82110</v>
          </cell>
          <cell r="B1625" t="str">
            <v>HASTE PROL.F0F0 C/ROSCA E BOCA DE CHAVE DN 1 3/4"</v>
          </cell>
          <cell r="C1625" t="str">
            <v>M</v>
          </cell>
          <cell r="D1625">
            <v>189.29</v>
          </cell>
        </row>
        <row r="1626">
          <cell r="A1626">
            <v>82111</v>
          </cell>
          <cell r="B1626" t="str">
            <v>HASTE PROL.F0F0 C/ROSCA E BOCA DE CHAVE DN 2"</v>
          </cell>
          <cell r="C1626" t="str">
            <v>M</v>
          </cell>
          <cell r="D1626">
            <v>202.91</v>
          </cell>
        </row>
        <row r="1627">
          <cell r="A1627">
            <v>82112</v>
          </cell>
          <cell r="B1627" t="str">
            <v>HASTE PROL.F0F0 C/ROSCA E BOCA DE CHAVE DN 2 1/2"</v>
          </cell>
          <cell r="C1627" t="str">
            <v>M</v>
          </cell>
          <cell r="D1627">
            <v>243.37</v>
          </cell>
        </row>
        <row r="1628">
          <cell r="A1628">
            <v>82113</v>
          </cell>
          <cell r="B1628" t="str">
            <v>HASTE DE PROLONG. F0F0 C/DUAS ROSCAS DN 1 1/8"</v>
          </cell>
          <cell r="C1628" t="str">
            <v>M</v>
          </cell>
          <cell r="D1628">
            <v>181.95</v>
          </cell>
        </row>
        <row r="1629">
          <cell r="A1629">
            <v>82114</v>
          </cell>
          <cell r="B1629" t="str">
            <v>HASTE DE PROLONG. F0F0 C/ DUAS ROSCAS DN 1 3/4"</v>
          </cell>
          <cell r="C1629" t="str">
            <v>M</v>
          </cell>
          <cell r="D1629">
            <v>203.17</v>
          </cell>
        </row>
        <row r="1630">
          <cell r="A1630">
            <v>82115</v>
          </cell>
          <cell r="B1630" t="str">
            <v>HASTE DE PROLONG. F0F0 C/ DUAS ROSCAS DN 2"</v>
          </cell>
          <cell r="C1630" t="str">
            <v>M</v>
          </cell>
          <cell r="D1630">
            <v>219.2</v>
          </cell>
        </row>
        <row r="1631">
          <cell r="A1631">
            <v>82116</v>
          </cell>
          <cell r="B1631" t="str">
            <v>HASTE DE PROLONG. F0F0 C/ DUAS ROSCAS DN 2 1/2"</v>
          </cell>
          <cell r="C1631" t="str">
            <v>M</v>
          </cell>
          <cell r="D1631">
            <v>281.27</v>
          </cell>
        </row>
        <row r="1632">
          <cell r="A1632">
            <v>82117</v>
          </cell>
          <cell r="B1632" t="str">
            <v>MANCAL INTERMEDIARIO F0F0 DN 1 1/8"</v>
          </cell>
          <cell r="C1632" t="str">
            <v>UN</v>
          </cell>
          <cell r="D1632">
            <v>253.8</v>
          </cell>
        </row>
        <row r="1633">
          <cell r="A1633">
            <v>82118</v>
          </cell>
          <cell r="B1633" t="str">
            <v>MANCAL INTERMEDIARIO F0F0 DN 1 3/4"</v>
          </cell>
          <cell r="C1633" t="str">
            <v>UN</v>
          </cell>
          <cell r="D1633">
            <v>267.12</v>
          </cell>
        </row>
        <row r="1634">
          <cell r="A1634">
            <v>82119</v>
          </cell>
          <cell r="B1634" t="str">
            <v>MANCAL INTERMEDIARIO F0F0 DN 2"</v>
          </cell>
          <cell r="C1634" t="str">
            <v>UN</v>
          </cell>
          <cell r="D1634">
            <v>269.77</v>
          </cell>
        </row>
        <row r="1635">
          <cell r="A1635">
            <v>82120</v>
          </cell>
          <cell r="B1635" t="str">
            <v>MANCAL INTERMEDIARIO F0F0 DN 2 1/2"</v>
          </cell>
          <cell r="C1635" t="str">
            <v>UN</v>
          </cell>
          <cell r="D1635">
            <v>279.85000000000002</v>
          </cell>
        </row>
        <row r="1636">
          <cell r="A1636">
            <v>82121</v>
          </cell>
          <cell r="B1636" t="str">
            <v>LUVA F0F0 P/ HASTES DE PROLONGAMENTO DN 1 1/8"</v>
          </cell>
          <cell r="C1636" t="str">
            <v>UN</v>
          </cell>
          <cell r="D1636">
            <v>118.06</v>
          </cell>
        </row>
        <row r="1637">
          <cell r="A1637">
            <v>82122</v>
          </cell>
          <cell r="B1637" t="str">
            <v>LUVA F0FO P/ HASTES DE PROLONGAMENTO DN 1 3/4"</v>
          </cell>
          <cell r="C1637" t="str">
            <v>UN</v>
          </cell>
          <cell r="D1637">
            <v>141.91</v>
          </cell>
        </row>
        <row r="1638">
          <cell r="A1638">
            <v>82123</v>
          </cell>
          <cell r="B1638" t="str">
            <v>LUVA F0F0 P/ HASTES DE PROLONGAMENTO DN 2"</v>
          </cell>
          <cell r="C1638" t="str">
            <v>UN</v>
          </cell>
          <cell r="D1638">
            <v>213.33</v>
          </cell>
        </row>
        <row r="1639">
          <cell r="A1639">
            <v>82124</v>
          </cell>
          <cell r="B1639" t="str">
            <v>LUVA F0F0 P/ HASTES DE PROLONGAMENTO DN 2 1/2"</v>
          </cell>
          <cell r="C1639" t="str">
            <v>UN</v>
          </cell>
          <cell r="D1639">
            <v>217.97</v>
          </cell>
        </row>
        <row r="1640">
          <cell r="A1640">
            <v>82125</v>
          </cell>
          <cell r="B1640" t="str">
            <v>ANEL DE BORRACHA P/ TUBO F0F0 DN 100</v>
          </cell>
          <cell r="C1640" t="str">
            <v>UN</v>
          </cell>
          <cell r="D1640">
            <v>4.96</v>
          </cell>
        </row>
        <row r="1641">
          <cell r="A1641">
            <v>82126</v>
          </cell>
          <cell r="B1641" t="str">
            <v>ANEL DE BORRACHA P/ TUBO F0F0 DN 150</v>
          </cell>
          <cell r="C1641" t="str">
            <v>UN</v>
          </cell>
          <cell r="D1641">
            <v>9.3800000000000008</v>
          </cell>
        </row>
        <row r="1642">
          <cell r="A1642">
            <v>82127</v>
          </cell>
          <cell r="B1642" t="str">
            <v>ANEL DE BORRACHA P/ TUBO F0F0 DN 200</v>
          </cell>
          <cell r="C1642" t="str">
            <v>UN</v>
          </cell>
          <cell r="D1642">
            <v>18.350000000000001</v>
          </cell>
        </row>
        <row r="1643">
          <cell r="A1643">
            <v>82128</v>
          </cell>
          <cell r="B1643" t="str">
            <v>ANEL DE BORRACHA P/ TUBO F0F0 DN 250</v>
          </cell>
          <cell r="C1643" t="str">
            <v>UN</v>
          </cell>
          <cell r="D1643">
            <v>22.54</v>
          </cell>
        </row>
        <row r="1644">
          <cell r="A1644">
            <v>82129</v>
          </cell>
          <cell r="B1644" t="str">
            <v>ANEL DE BORRACHA P/ TUBO F0F0 DN 300</v>
          </cell>
          <cell r="C1644" t="str">
            <v>UN</v>
          </cell>
          <cell r="D1644">
            <v>25.74</v>
          </cell>
        </row>
        <row r="1645">
          <cell r="A1645">
            <v>82130</v>
          </cell>
          <cell r="B1645" t="str">
            <v>FLANGE AVULSO F0F0 P/TUBOS CILIND.DUC.K-12 DN 50</v>
          </cell>
          <cell r="C1645" t="str">
            <v>UN</v>
          </cell>
          <cell r="D1645">
            <v>22.46</v>
          </cell>
        </row>
        <row r="1646">
          <cell r="A1646">
            <v>82131</v>
          </cell>
          <cell r="B1646" t="str">
            <v>FLANGE AVULSO F0F0 P/TUBOS CILIND.DUC.K-12 DN 75</v>
          </cell>
          <cell r="C1646" t="str">
            <v>UN</v>
          </cell>
          <cell r="D1646">
            <v>27.77</v>
          </cell>
        </row>
        <row r="1647">
          <cell r="A1647">
            <v>82132</v>
          </cell>
          <cell r="B1647" t="str">
            <v>FLANGE AVULSO F0F0 P/TUBOS CILIND.DUC.K-12 DN 100</v>
          </cell>
          <cell r="C1647" t="str">
            <v>UN</v>
          </cell>
          <cell r="D1647">
            <v>33.450000000000003</v>
          </cell>
        </row>
        <row r="1648">
          <cell r="A1648">
            <v>82133</v>
          </cell>
          <cell r="B1648" t="str">
            <v>FLANGE AVULSO F0F0 P/TUBOS CILIND.DUC.K-12 DN 150</v>
          </cell>
          <cell r="C1648" t="str">
            <v>UN</v>
          </cell>
          <cell r="D1648">
            <v>60.25</v>
          </cell>
        </row>
        <row r="1649">
          <cell r="A1649">
            <v>82134</v>
          </cell>
          <cell r="B1649" t="str">
            <v>FLANGE AVULSO F0F0 P/TUBOS CILIND.DUC.K-12 DN 200</v>
          </cell>
          <cell r="C1649" t="str">
            <v>UN</v>
          </cell>
          <cell r="D1649">
            <v>77.8</v>
          </cell>
        </row>
        <row r="1650">
          <cell r="A1650">
            <v>82135</v>
          </cell>
          <cell r="B1650" t="str">
            <v>FLANGE AVULSO F0F0 P/TUBOS CILIND.DUC.K-12 DN 250</v>
          </cell>
          <cell r="C1650" t="str">
            <v>UN</v>
          </cell>
          <cell r="D1650">
            <v>100.45</v>
          </cell>
        </row>
        <row r="1651">
          <cell r="A1651">
            <v>82136</v>
          </cell>
          <cell r="B1651" t="str">
            <v>FLANGE AVULSO F0F0 P/TUBOS CILIND.DUC.K-12 DN 300</v>
          </cell>
          <cell r="C1651" t="str">
            <v>UN</v>
          </cell>
          <cell r="D1651">
            <v>152.63</v>
          </cell>
        </row>
        <row r="1652">
          <cell r="A1652">
            <v>82137</v>
          </cell>
          <cell r="B1652" t="str">
            <v>FLANGE AVULSO F0F0 P/TUBOS CILIND.DUC.K-12 DN 400</v>
          </cell>
          <cell r="C1652" t="str">
            <v>UN</v>
          </cell>
          <cell r="D1652">
            <v>491.52</v>
          </cell>
        </row>
        <row r="1653">
          <cell r="A1653">
            <v>82138</v>
          </cell>
          <cell r="B1653" t="str">
            <v>FLANGE AVULSO F0F0 P/TUBOS CILIND.DUC.K-12 DN 500</v>
          </cell>
          <cell r="C1653" t="str">
            <v>UN</v>
          </cell>
          <cell r="D1653">
            <v>307.51</v>
          </cell>
        </row>
        <row r="1654">
          <cell r="A1654">
            <v>82139</v>
          </cell>
          <cell r="B1654" t="str">
            <v>FLANGE AVULSO F0F0 P/TUBOS CILIND.DUC.K-12 DN 600</v>
          </cell>
          <cell r="C1654" t="str">
            <v>UN</v>
          </cell>
          <cell r="D1654">
            <v>395.91</v>
          </cell>
        </row>
        <row r="1655">
          <cell r="A1655">
            <v>82140</v>
          </cell>
          <cell r="B1655" t="str">
            <v>FLANGE AVULSO F0F0 P/TUBOS CILIND.DUC.K-12 DN 700</v>
          </cell>
          <cell r="C1655" t="str">
            <v>UN</v>
          </cell>
          <cell r="D1655">
            <v>552.01</v>
          </cell>
        </row>
        <row r="1656">
          <cell r="A1656">
            <v>82141</v>
          </cell>
          <cell r="B1656" t="str">
            <v>FLANGE AVULS0 F0F0 P/TUBOS CILIND.DUC.K-12 DN 800</v>
          </cell>
          <cell r="C1656" t="str">
            <v>UN</v>
          </cell>
          <cell r="D1656">
            <v>552.01</v>
          </cell>
        </row>
        <row r="1657">
          <cell r="A1657">
            <v>82142</v>
          </cell>
          <cell r="B1657" t="str">
            <v>CARRETEL F0F0 P/ UNIAO C/ FLANGES DN 50</v>
          </cell>
          <cell r="C1657" t="str">
            <v>UN</v>
          </cell>
          <cell r="D1657">
            <v>82.41</v>
          </cell>
        </row>
        <row r="1658">
          <cell r="A1658">
            <v>82143</v>
          </cell>
          <cell r="B1658" t="str">
            <v>CARRETEL F0F0 P/ UNIAO C/ FLANGES DN 75</v>
          </cell>
          <cell r="C1658" t="str">
            <v>UN</v>
          </cell>
          <cell r="D1658">
            <v>115.67</v>
          </cell>
        </row>
        <row r="1659">
          <cell r="A1659">
            <v>82144</v>
          </cell>
          <cell r="B1659" t="str">
            <v>CARRETEL F0F0 P/ UNIAO C/ FLANGES DN 100</v>
          </cell>
          <cell r="C1659" t="str">
            <v>UN</v>
          </cell>
          <cell r="D1659">
            <v>137.09</v>
          </cell>
        </row>
        <row r="1660">
          <cell r="A1660">
            <v>82145</v>
          </cell>
          <cell r="B1660" t="str">
            <v>CARRETEL F0F0 P/ UNIAO C/ FLANGES DN 150</v>
          </cell>
          <cell r="C1660" t="str">
            <v>UN</v>
          </cell>
          <cell r="D1660">
            <v>231.08</v>
          </cell>
        </row>
        <row r="1661">
          <cell r="A1661">
            <v>82146</v>
          </cell>
          <cell r="B1661" t="str">
            <v>CARRETEL F0F0 P/ UNIAO C/ FLANGES DN 200</v>
          </cell>
          <cell r="C1661" t="str">
            <v>UN</v>
          </cell>
          <cell r="D1661">
            <v>309.86</v>
          </cell>
        </row>
        <row r="1662">
          <cell r="A1662">
            <v>82147</v>
          </cell>
          <cell r="B1662" t="str">
            <v>CARRETEL F0F0 P/ UNIAO C/ FLANGES DN 250</v>
          </cell>
          <cell r="C1662" t="str">
            <v>UN</v>
          </cell>
          <cell r="D1662">
            <v>437.52</v>
          </cell>
        </row>
        <row r="1663">
          <cell r="A1663">
            <v>82148</v>
          </cell>
          <cell r="B1663" t="str">
            <v>CARRETEL F0F0 P/ UNIAO C/ FLANGES DN 300</v>
          </cell>
          <cell r="C1663" t="str">
            <v>UN</v>
          </cell>
          <cell r="D1663">
            <v>492.04</v>
          </cell>
        </row>
        <row r="1664">
          <cell r="A1664">
            <v>82149</v>
          </cell>
          <cell r="B1664" t="str">
            <v>CARRETEL F0F0 P/ UNIAO C/ FLANGES DN 400</v>
          </cell>
          <cell r="C1664" t="str">
            <v>UN</v>
          </cell>
          <cell r="D1664">
            <v>854.83</v>
          </cell>
        </row>
        <row r="1665">
          <cell r="A1665">
            <v>82150</v>
          </cell>
          <cell r="B1665" t="str">
            <v>CARRETEL F0F0 P/ UNIAO C/ FLANGES DN 500</v>
          </cell>
          <cell r="C1665" t="str">
            <v>UN</v>
          </cell>
          <cell r="D1665">
            <v>1173.96</v>
          </cell>
        </row>
        <row r="1666">
          <cell r="A1666">
            <v>82151</v>
          </cell>
          <cell r="B1666" t="str">
            <v>CARRETEL F0F0 P/ UNIAO C/ FLANGES DN 600</v>
          </cell>
          <cell r="C1666" t="str">
            <v>UN</v>
          </cell>
          <cell r="D1666">
            <v>1194.1600000000001</v>
          </cell>
        </row>
        <row r="1667">
          <cell r="A1667">
            <v>82152</v>
          </cell>
          <cell r="B1667" t="str">
            <v>CARRETEL F0F0 P/ UNIAO C/ FLANGES DN 700</v>
          </cell>
          <cell r="C1667" t="str">
            <v>UN</v>
          </cell>
          <cell r="D1667">
            <v>2041.68</v>
          </cell>
        </row>
        <row r="1668">
          <cell r="A1668">
            <v>82153</v>
          </cell>
          <cell r="B1668" t="str">
            <v>CARRETEL F0F0 P/ UNIAO C/ FLANGES DN 800</v>
          </cell>
          <cell r="C1668" t="str">
            <v>UN</v>
          </cell>
          <cell r="D1668">
            <v>2305.13</v>
          </cell>
        </row>
        <row r="1669">
          <cell r="A1669">
            <v>82154</v>
          </cell>
          <cell r="B1669" t="str">
            <v>CARRETEL F0F0 P/ UNIAO C/ FLANGES DN 900</v>
          </cell>
          <cell r="C1669" t="str">
            <v>UN</v>
          </cell>
          <cell r="D1669">
            <v>2492.04</v>
          </cell>
        </row>
        <row r="1670">
          <cell r="A1670">
            <v>82155</v>
          </cell>
          <cell r="B1670" t="str">
            <v>CARRETEL F0F0 P/ UNIAO C/ FLANGES DN 1000</v>
          </cell>
          <cell r="C1670" t="str">
            <v>UN</v>
          </cell>
          <cell r="D1670">
            <v>2787</v>
          </cell>
        </row>
        <row r="1671">
          <cell r="A1671">
            <v>82156</v>
          </cell>
          <cell r="B1671" t="str">
            <v>CURVA 90G F0F0 C/ FLANGES DN 50</v>
          </cell>
          <cell r="C1671" t="str">
            <v>UN</v>
          </cell>
          <cell r="D1671">
            <v>53.34</v>
          </cell>
        </row>
        <row r="1672">
          <cell r="A1672">
            <v>82157</v>
          </cell>
          <cell r="B1672" t="str">
            <v>CURVA 90G F0F0 C/ FLANGES DN 75</v>
          </cell>
          <cell r="C1672" t="str">
            <v>UN</v>
          </cell>
          <cell r="D1672">
            <v>75.41</v>
          </cell>
        </row>
        <row r="1673">
          <cell r="A1673">
            <v>82158</v>
          </cell>
          <cell r="B1673" t="str">
            <v>CURVA 90G F0F0 C/ FLANGES DN 100</v>
          </cell>
          <cell r="C1673" t="str">
            <v>UN</v>
          </cell>
          <cell r="D1673">
            <v>86.64</v>
          </cell>
        </row>
        <row r="1674">
          <cell r="A1674">
            <v>82159</v>
          </cell>
          <cell r="B1674" t="str">
            <v>CURVA 90G F0F0 C/ FLANGES DN 150</v>
          </cell>
          <cell r="C1674" t="str">
            <v>UN</v>
          </cell>
          <cell r="D1674">
            <v>145.69999999999999</v>
          </cell>
        </row>
        <row r="1675">
          <cell r="A1675">
            <v>82160</v>
          </cell>
          <cell r="B1675" t="str">
            <v>CURVA 90G F0F0 C/ FLANGES DN 200</v>
          </cell>
          <cell r="C1675" t="str">
            <v>UN</v>
          </cell>
          <cell r="D1675">
            <v>238</v>
          </cell>
        </row>
        <row r="1676">
          <cell r="A1676">
            <v>82161</v>
          </cell>
          <cell r="B1676" t="str">
            <v>CURVA 90G F0F0 C/ FLANGES DN 250</v>
          </cell>
          <cell r="C1676" t="str">
            <v>UN</v>
          </cell>
          <cell r="D1676">
            <v>362.58</v>
          </cell>
        </row>
        <row r="1677">
          <cell r="A1677">
            <v>82162</v>
          </cell>
          <cell r="B1677" t="str">
            <v>CURVA 90G F0F0 C/ FLANGES DN 300</v>
          </cell>
          <cell r="C1677" t="str">
            <v>UN</v>
          </cell>
          <cell r="D1677">
            <v>617.01</v>
          </cell>
        </row>
        <row r="1678">
          <cell r="A1678">
            <v>82163</v>
          </cell>
          <cell r="B1678" t="str">
            <v>CURVA 90G F0F0 C/ FLANGES DN 350</v>
          </cell>
          <cell r="C1678" t="str">
            <v>UN</v>
          </cell>
          <cell r="D1678">
            <v>1842.26</v>
          </cell>
        </row>
        <row r="1679">
          <cell r="A1679">
            <v>82169</v>
          </cell>
          <cell r="B1679" t="str">
            <v>FILTRO Y F= 250 SI-250 LB. ROSCA NPT/BSP DN 1/4"</v>
          </cell>
          <cell r="C1679" t="str">
            <v>UN</v>
          </cell>
          <cell r="D1679">
            <v>22.38</v>
          </cell>
        </row>
        <row r="1680">
          <cell r="A1680">
            <v>82170</v>
          </cell>
          <cell r="B1680" t="str">
            <v>FILTRO Y F= 250 SI-250 LB. ROSCA NPT/BSP DN 3/8"</v>
          </cell>
          <cell r="C1680" t="str">
            <v>UN</v>
          </cell>
          <cell r="D1680">
            <v>19.82</v>
          </cell>
        </row>
        <row r="1681">
          <cell r="A1681">
            <v>82171</v>
          </cell>
          <cell r="B1681" t="str">
            <v>FILTRO Y F= 250 SI-250 LB. ROSCA NPT/BSP DN 1/2"</v>
          </cell>
          <cell r="C1681" t="str">
            <v>UN</v>
          </cell>
          <cell r="D1681">
            <v>21.34</v>
          </cell>
        </row>
        <row r="1682">
          <cell r="A1682">
            <v>82172</v>
          </cell>
          <cell r="B1682" t="str">
            <v>FILTRO Y F= 250 SI-250 LB. ROSCA NPT/BSP DN 3/4"</v>
          </cell>
          <cell r="C1682" t="str">
            <v>UN</v>
          </cell>
          <cell r="D1682">
            <v>24.39</v>
          </cell>
        </row>
        <row r="1683">
          <cell r="A1683">
            <v>82173</v>
          </cell>
          <cell r="B1683" t="str">
            <v>FILTRO Y F= 250 SI-250 LB. ROSCA NPT/BSP DN 1"</v>
          </cell>
          <cell r="C1683" t="str">
            <v>UN</v>
          </cell>
          <cell r="D1683">
            <v>35.07</v>
          </cell>
        </row>
        <row r="1684">
          <cell r="A1684">
            <v>82174</v>
          </cell>
          <cell r="B1684" t="str">
            <v>FILTRO Y F= 250 SI-250 LB.ROSCA NPT/BSP DN 1 1/4"</v>
          </cell>
          <cell r="C1684" t="str">
            <v>UN</v>
          </cell>
          <cell r="D1684">
            <v>71.66</v>
          </cell>
        </row>
        <row r="1685">
          <cell r="A1685">
            <v>82175</v>
          </cell>
          <cell r="B1685" t="str">
            <v>FILTRO Y F= 250 SI-250 LB. ROSCA NPT/BSP DN 1 1/2"</v>
          </cell>
          <cell r="C1685" t="str">
            <v>UN</v>
          </cell>
          <cell r="D1685">
            <v>86.9</v>
          </cell>
        </row>
        <row r="1686">
          <cell r="A1686">
            <v>82176</v>
          </cell>
          <cell r="B1686" t="str">
            <v>FILTRO Y F= 250 SI-250 LB. ROSCA NPT/BSP DN 2"</v>
          </cell>
          <cell r="C1686" t="str">
            <v>UN</v>
          </cell>
          <cell r="D1686">
            <v>126.54</v>
          </cell>
        </row>
        <row r="1687">
          <cell r="A1687">
            <v>82177</v>
          </cell>
          <cell r="B1687" t="str">
            <v>FILTRO Y L.VERDE LV12 125 LB. AGU DN 2 1/2"ROSCADO</v>
          </cell>
          <cell r="C1687" t="str">
            <v>UN</v>
          </cell>
          <cell r="D1687">
            <v>140.26</v>
          </cell>
        </row>
        <row r="1688">
          <cell r="A1688">
            <v>82178</v>
          </cell>
          <cell r="B1688" t="str">
            <v>FILTRO Y L.VERDE LV12 125 LB. AGU DN 3" ROSCADO</v>
          </cell>
          <cell r="C1688" t="str">
            <v>UN</v>
          </cell>
          <cell r="D1688">
            <v>172.28</v>
          </cell>
        </row>
        <row r="1689">
          <cell r="A1689">
            <v>82179</v>
          </cell>
          <cell r="B1689" t="str">
            <v>FILTRO Y L.VERDE LV12 125 LB. AGU DN 2 1/2"FLANGE.</v>
          </cell>
          <cell r="C1689" t="str">
            <v>UN</v>
          </cell>
          <cell r="D1689">
            <v>190.57</v>
          </cell>
        </row>
        <row r="1690">
          <cell r="A1690">
            <v>82180</v>
          </cell>
          <cell r="B1690" t="str">
            <v>FILTRO Y L.VERDE LV12 125 LB. AGU DN 3" FLANGEADO</v>
          </cell>
          <cell r="C1690" t="str">
            <v>UN</v>
          </cell>
          <cell r="D1690">
            <v>227.16</v>
          </cell>
        </row>
        <row r="1691">
          <cell r="A1691">
            <v>82181</v>
          </cell>
          <cell r="B1691" t="str">
            <v>FILTRO Y L.VERDE LV12 125 LB. AGU DN 4" FLANGEADO</v>
          </cell>
          <cell r="C1691" t="str">
            <v>UN</v>
          </cell>
          <cell r="D1691">
            <v>387.25</v>
          </cell>
        </row>
        <row r="1692">
          <cell r="A1692">
            <v>82182</v>
          </cell>
          <cell r="B1692" t="str">
            <v>FILTRO Y L.VERDE LV12 125 LB. AGU DN 5" FLANGEADO</v>
          </cell>
          <cell r="C1692" t="str">
            <v>UN</v>
          </cell>
          <cell r="D1692">
            <v>495.49</v>
          </cell>
        </row>
        <row r="1693">
          <cell r="A1693">
            <v>82183</v>
          </cell>
          <cell r="B1693" t="str">
            <v>FILTRO Y L.VERDE LV12 125 LB. AGU DN 6" FLANGEADO</v>
          </cell>
          <cell r="C1693" t="str">
            <v>UN</v>
          </cell>
          <cell r="D1693">
            <v>620.51</v>
          </cell>
        </row>
        <row r="1694">
          <cell r="A1694">
            <v>82184</v>
          </cell>
          <cell r="B1694" t="str">
            <v>FILTRO Y L.VERDE LV12 125 LB. AGU DN 8" FLANGEADO</v>
          </cell>
          <cell r="C1694" t="str">
            <v>UN</v>
          </cell>
          <cell r="D1694">
            <v>960.49</v>
          </cell>
        </row>
        <row r="1695">
          <cell r="A1695">
            <v>82185</v>
          </cell>
          <cell r="B1695" t="str">
            <v>FILTRO Y L.VERDE LV12 125 LB. AGU DN 10" FLANGEADO</v>
          </cell>
          <cell r="C1695" t="str">
            <v>UN</v>
          </cell>
          <cell r="D1695">
            <v>1901.16</v>
          </cell>
        </row>
        <row r="1697">
          <cell r="B1697" t="str">
            <v>84000 MATERIAL HIDRAILICO PVC JE</v>
          </cell>
        </row>
        <row r="1699">
          <cell r="A1699">
            <v>84001</v>
          </cell>
          <cell r="B1699" t="str">
            <v>TUBO PVC JE PBA CL 12 DN 50</v>
          </cell>
          <cell r="C1699" t="str">
            <v>M</v>
          </cell>
          <cell r="D1699">
            <v>5.13</v>
          </cell>
        </row>
        <row r="1700">
          <cell r="A1700">
            <v>84002</v>
          </cell>
          <cell r="B1700" t="str">
            <v>TUBO PVC JE PBA CL 12 DN 75</v>
          </cell>
          <cell r="C1700" t="str">
            <v>M</v>
          </cell>
          <cell r="D1700">
            <v>10.56</v>
          </cell>
        </row>
        <row r="1701">
          <cell r="A1701">
            <v>84003</v>
          </cell>
          <cell r="B1701" t="str">
            <v>TUBO PVC JE PBA CL 12 DN 100</v>
          </cell>
          <cell r="C1701" t="str">
            <v>M</v>
          </cell>
          <cell r="D1701">
            <v>17.34</v>
          </cell>
        </row>
        <row r="1702">
          <cell r="A1702">
            <v>84004</v>
          </cell>
          <cell r="B1702" t="str">
            <v>TUBO PVC JE PBA CL 12 DN 150</v>
          </cell>
          <cell r="C1702" t="str">
            <v>M</v>
          </cell>
          <cell r="D1702">
            <v>27.61</v>
          </cell>
        </row>
        <row r="1703">
          <cell r="A1703">
            <v>84005</v>
          </cell>
          <cell r="B1703" t="str">
            <v>TUBO PVC JE PBA CL 12 DN 200</v>
          </cell>
          <cell r="C1703" t="str">
            <v>M</v>
          </cell>
          <cell r="D1703">
            <v>42.85</v>
          </cell>
        </row>
        <row r="1704">
          <cell r="A1704">
            <v>84006</v>
          </cell>
          <cell r="B1704" t="str">
            <v>TUBO PVC JE PBA CL 12 DN 250</v>
          </cell>
          <cell r="C1704" t="str">
            <v>M</v>
          </cell>
          <cell r="D1704">
            <v>67.11</v>
          </cell>
        </row>
        <row r="1705">
          <cell r="A1705">
            <v>84007</v>
          </cell>
          <cell r="B1705" t="str">
            <v>TUBO PVC JE PBA CL 12 DN 300</v>
          </cell>
          <cell r="C1705" t="str">
            <v>M</v>
          </cell>
          <cell r="D1705">
            <v>96.69</v>
          </cell>
        </row>
        <row r="1706">
          <cell r="A1706">
            <v>84008</v>
          </cell>
          <cell r="B1706" t="str">
            <v>TUBO PVC JE PBA CL 15 DN 50</v>
          </cell>
          <cell r="C1706" t="str">
            <v>M</v>
          </cell>
          <cell r="D1706">
            <v>6.17</v>
          </cell>
        </row>
        <row r="1707">
          <cell r="A1707">
            <v>84009</v>
          </cell>
          <cell r="B1707" t="str">
            <v>TUBO PVC JE PBA CL 15 DN 75</v>
          </cell>
          <cell r="C1707" t="str">
            <v>M</v>
          </cell>
          <cell r="D1707">
            <v>12.78</v>
          </cell>
        </row>
        <row r="1708">
          <cell r="A1708">
            <v>84010</v>
          </cell>
          <cell r="B1708" t="str">
            <v>TUBO PVC JE PBA CL 15 DN 100</v>
          </cell>
          <cell r="C1708" t="str">
            <v>M</v>
          </cell>
          <cell r="D1708">
            <v>20.39</v>
          </cell>
        </row>
        <row r="1709">
          <cell r="A1709">
            <v>84011</v>
          </cell>
          <cell r="B1709" t="str">
            <v>TUBO PVC JE PBA CL 15 DN 150</v>
          </cell>
          <cell r="C1709" t="str">
            <v>M</v>
          </cell>
          <cell r="D1709">
            <v>24.46</v>
          </cell>
        </row>
        <row r="1710">
          <cell r="A1710">
            <v>84012</v>
          </cell>
          <cell r="B1710" t="str">
            <v>TUBO PVC JE PBA CL 15 DN 200</v>
          </cell>
          <cell r="C1710" t="str">
            <v>M</v>
          </cell>
          <cell r="D1710">
            <v>38.799999999999997</v>
          </cell>
        </row>
        <row r="1711">
          <cell r="A1711">
            <v>84013</v>
          </cell>
          <cell r="B1711" t="str">
            <v>TUBO PVC JE PBA CL 15 DN 250</v>
          </cell>
          <cell r="C1711" t="str">
            <v>M</v>
          </cell>
          <cell r="D1711">
            <v>61.98</v>
          </cell>
        </row>
        <row r="1712">
          <cell r="A1712">
            <v>84014</v>
          </cell>
          <cell r="B1712" t="str">
            <v>TUBO PVC JE PBA CL 15 DN 300</v>
          </cell>
          <cell r="C1712" t="str">
            <v>M</v>
          </cell>
          <cell r="D1712">
            <v>87.22</v>
          </cell>
        </row>
        <row r="1713">
          <cell r="A1713">
            <v>84015</v>
          </cell>
          <cell r="B1713" t="str">
            <v>TUBO PVC JE PBA CL 20 DN 50</v>
          </cell>
          <cell r="C1713" t="str">
            <v>M</v>
          </cell>
          <cell r="D1713">
            <v>7.67</v>
          </cell>
        </row>
        <row r="1714">
          <cell r="A1714">
            <v>84016</v>
          </cell>
          <cell r="B1714" t="str">
            <v>TUBO PVC JE PBA CL 20 DN 75</v>
          </cell>
          <cell r="C1714" t="str">
            <v>M</v>
          </cell>
          <cell r="D1714">
            <v>15.46</v>
          </cell>
        </row>
        <row r="1715">
          <cell r="A1715">
            <v>84017</v>
          </cell>
          <cell r="B1715" t="str">
            <v>TUBO PVC JE PBA CL 20 DN 100</v>
          </cell>
          <cell r="C1715" t="str">
            <v>M</v>
          </cell>
          <cell r="D1715">
            <v>26.49</v>
          </cell>
        </row>
        <row r="1716">
          <cell r="A1716">
            <v>84018</v>
          </cell>
          <cell r="B1716" t="str">
            <v>TUBO PVC JE PBA CL 20 DN 150</v>
          </cell>
          <cell r="C1716" t="str">
            <v>M</v>
          </cell>
          <cell r="D1716">
            <v>30.64</v>
          </cell>
        </row>
        <row r="1717">
          <cell r="A1717">
            <v>84019</v>
          </cell>
          <cell r="B1717" t="str">
            <v>TUBO PVC JE PBA CL 20 DN 200</v>
          </cell>
          <cell r="C1717" t="str">
            <v>M</v>
          </cell>
          <cell r="D1717">
            <v>47.96</v>
          </cell>
        </row>
        <row r="1718">
          <cell r="A1718">
            <v>84020</v>
          </cell>
          <cell r="B1718" t="str">
            <v>TUBO PVC JE PBA CL 20 DN 250</v>
          </cell>
          <cell r="C1718" t="str">
            <v>M</v>
          </cell>
          <cell r="D1718">
            <v>76.38</v>
          </cell>
        </row>
        <row r="1719">
          <cell r="A1719">
            <v>84021</v>
          </cell>
          <cell r="B1719" t="str">
            <v>TUBO PVC JE PBA CL 20 DN 300</v>
          </cell>
          <cell r="C1719" t="str">
            <v>M</v>
          </cell>
          <cell r="D1719">
            <v>106.67</v>
          </cell>
        </row>
        <row r="1720">
          <cell r="A1720">
            <v>84022</v>
          </cell>
          <cell r="B1720" t="str">
            <v>AD PVC PBA BOLSA ROSCA DN 50</v>
          </cell>
          <cell r="C1720" t="str">
            <v>UN</v>
          </cell>
          <cell r="D1720">
            <v>6.4</v>
          </cell>
        </row>
        <row r="1721">
          <cell r="A1721">
            <v>84023</v>
          </cell>
          <cell r="B1721" t="str">
            <v>AD PVC PBA BOLSA ROSCA DN 75</v>
          </cell>
          <cell r="C1721" t="str">
            <v>UN</v>
          </cell>
          <cell r="D1721">
            <v>13.72</v>
          </cell>
        </row>
        <row r="1722">
          <cell r="A1722">
            <v>84024</v>
          </cell>
          <cell r="B1722" t="str">
            <v>AD PVC PBA BOLSA ROSCA DN 100</v>
          </cell>
          <cell r="C1722" t="str">
            <v>UN</v>
          </cell>
          <cell r="D1722">
            <v>23.33</v>
          </cell>
        </row>
        <row r="1723">
          <cell r="A1723">
            <v>84025</v>
          </cell>
          <cell r="B1723" t="str">
            <v>AD PVC PBA BOLSA ROSCA DN 150</v>
          </cell>
          <cell r="C1723" t="str">
            <v>UN</v>
          </cell>
          <cell r="D1723">
            <v>72.959999999999994</v>
          </cell>
        </row>
        <row r="1724">
          <cell r="A1724">
            <v>84026</v>
          </cell>
          <cell r="B1724" t="str">
            <v>AD PVC PBA BOLSA ROSCA DN 200</v>
          </cell>
          <cell r="C1724" t="str">
            <v>UN</v>
          </cell>
          <cell r="D1724">
            <v>129.69999999999999</v>
          </cell>
        </row>
        <row r="1725">
          <cell r="A1725">
            <v>84027</v>
          </cell>
          <cell r="B1725" t="str">
            <v>AD PVC PBA BOLSA ROSCA DN 250</v>
          </cell>
          <cell r="C1725" t="str">
            <v>UN</v>
          </cell>
          <cell r="D1725">
            <v>257.8</v>
          </cell>
        </row>
        <row r="1726">
          <cell r="A1726">
            <v>84028</v>
          </cell>
          <cell r="B1726" t="str">
            <v>AD PVC PBA BOLSA ROSCA DN 300</v>
          </cell>
          <cell r="C1726" t="str">
            <v>UN</v>
          </cell>
          <cell r="D1726">
            <v>406.75</v>
          </cell>
        </row>
        <row r="1727">
          <cell r="A1727">
            <v>84029</v>
          </cell>
          <cell r="B1727" t="str">
            <v>AD PVC PBA PONTA ROSCA DN 50</v>
          </cell>
          <cell r="C1727" t="str">
            <v>UN</v>
          </cell>
          <cell r="D1727">
            <v>3.63</v>
          </cell>
        </row>
        <row r="1728">
          <cell r="A1728">
            <v>84030</v>
          </cell>
          <cell r="B1728" t="str">
            <v>AD PVC PBA PONTA ROSCA DN 75</v>
          </cell>
          <cell r="C1728" t="str">
            <v>UN</v>
          </cell>
          <cell r="D1728">
            <v>9.8800000000000008</v>
          </cell>
        </row>
        <row r="1729">
          <cell r="A1729">
            <v>84031</v>
          </cell>
          <cell r="B1729" t="str">
            <v>AD PVC PBA PONTA ROSCA DN 100</v>
          </cell>
          <cell r="C1729" t="str">
            <v>UN</v>
          </cell>
          <cell r="D1729">
            <v>17.84</v>
          </cell>
        </row>
        <row r="1730">
          <cell r="A1730">
            <v>84032</v>
          </cell>
          <cell r="B1730" t="str">
            <v>AD PVC PBA PONTA ROSCA DN 150</v>
          </cell>
          <cell r="C1730" t="str">
            <v>UN</v>
          </cell>
          <cell r="D1730">
            <v>46.1</v>
          </cell>
        </row>
        <row r="1731">
          <cell r="A1731">
            <v>84033</v>
          </cell>
          <cell r="B1731" t="str">
            <v>AD PVC PBA PONTA ROSCA DN 200</v>
          </cell>
          <cell r="C1731" t="str">
            <v>UN</v>
          </cell>
          <cell r="D1731">
            <v>95.28</v>
          </cell>
        </row>
        <row r="1732">
          <cell r="A1732">
            <v>84034</v>
          </cell>
          <cell r="B1732" t="str">
            <v>AD PVC PBA PONTA ROSCA DN 250</v>
          </cell>
          <cell r="C1732" t="str">
            <v>UN</v>
          </cell>
          <cell r="D1732">
            <v>184.75</v>
          </cell>
        </row>
        <row r="1733">
          <cell r="A1733">
            <v>84035</v>
          </cell>
          <cell r="B1733" t="str">
            <v>AD PVC PBA PONTA ROSCA DN 300</v>
          </cell>
          <cell r="C1733" t="str">
            <v>UN</v>
          </cell>
          <cell r="D1733">
            <v>347.96</v>
          </cell>
        </row>
        <row r="1734">
          <cell r="A1734">
            <v>84036</v>
          </cell>
          <cell r="B1734" t="str">
            <v>AD PVC PBA/BOLSA F0F0 JE DN 50</v>
          </cell>
          <cell r="C1734" t="str">
            <v>UN</v>
          </cell>
          <cell r="D1734">
            <v>8.9600000000000009</v>
          </cell>
        </row>
        <row r="1735">
          <cell r="A1735">
            <v>84037</v>
          </cell>
          <cell r="B1735" t="str">
            <v>AD PVC PBA/BOLSA F0F0 JE DN 75</v>
          </cell>
          <cell r="C1735" t="str">
            <v>UN</v>
          </cell>
          <cell r="D1735">
            <v>19.71</v>
          </cell>
        </row>
        <row r="1736">
          <cell r="A1736">
            <v>84038</v>
          </cell>
          <cell r="B1736" t="str">
            <v>AD PVC PBA/BOLSA F0F0 JE DN 100</v>
          </cell>
          <cell r="C1736" t="str">
            <v>UN</v>
          </cell>
          <cell r="D1736">
            <v>31.14</v>
          </cell>
        </row>
        <row r="1737">
          <cell r="A1737">
            <v>84039</v>
          </cell>
          <cell r="B1737" t="str">
            <v>AD PVC PBA/BOLSA F0F0 JE DN 150</v>
          </cell>
          <cell r="C1737" t="str">
            <v>UN</v>
          </cell>
          <cell r="D1737">
            <v>77.319999999999993</v>
          </cell>
        </row>
        <row r="1738">
          <cell r="A1738">
            <v>84040</v>
          </cell>
          <cell r="B1738" t="str">
            <v>AD PVC PBA/BOLSA F0F0 JE DN 200</v>
          </cell>
          <cell r="C1738" t="str">
            <v>UN</v>
          </cell>
          <cell r="D1738">
            <v>140.47999999999999</v>
          </cell>
        </row>
        <row r="1739">
          <cell r="A1739">
            <v>84041</v>
          </cell>
          <cell r="B1739" t="str">
            <v>AD PVC PBA/BOLSA F0F0 JE DN 250</v>
          </cell>
          <cell r="C1739" t="str">
            <v>UN</v>
          </cell>
          <cell r="D1739">
            <v>282.88</v>
          </cell>
        </row>
        <row r="1740">
          <cell r="A1740">
            <v>84042</v>
          </cell>
          <cell r="B1740" t="str">
            <v>AD PVC PBA/BOLSA F0F0 JE DN 300</v>
          </cell>
          <cell r="C1740" t="str">
            <v>UN</v>
          </cell>
          <cell r="D1740">
            <v>442.73</v>
          </cell>
        </row>
        <row r="1741">
          <cell r="A1741">
            <v>84043</v>
          </cell>
          <cell r="B1741" t="str">
            <v>AD PVC PBA/LUVA F0C0 JE DN 50</v>
          </cell>
          <cell r="C1741" t="str">
            <v>UN</v>
          </cell>
          <cell r="D1741">
            <v>8.9600000000000009</v>
          </cell>
        </row>
        <row r="1742">
          <cell r="A1742">
            <v>84044</v>
          </cell>
          <cell r="B1742" t="str">
            <v>AD PVC PBA/LUVA F0C0 JE DN 75</v>
          </cell>
          <cell r="C1742" t="str">
            <v>UN</v>
          </cell>
          <cell r="D1742">
            <v>19.71</v>
          </cell>
        </row>
        <row r="1743">
          <cell r="A1743">
            <v>84045</v>
          </cell>
          <cell r="B1743" t="str">
            <v>AD PVC PBA/LUVA F0C0 JE DN 100</v>
          </cell>
          <cell r="C1743" t="str">
            <v>UN</v>
          </cell>
          <cell r="D1743">
            <v>31.14</v>
          </cell>
        </row>
        <row r="1744">
          <cell r="A1744">
            <v>84046</v>
          </cell>
          <cell r="B1744" t="str">
            <v>AD PVC PBA/LUVA F0C0 JE DN 150</v>
          </cell>
          <cell r="C1744" t="str">
            <v>UN</v>
          </cell>
          <cell r="D1744">
            <v>77.319999999999993</v>
          </cell>
        </row>
        <row r="1745">
          <cell r="A1745">
            <v>84047</v>
          </cell>
          <cell r="B1745" t="str">
            <v>AD PVC PBA/LUVA F0C0 JE DN 200</v>
          </cell>
          <cell r="C1745" t="str">
            <v>UN</v>
          </cell>
          <cell r="D1745">
            <v>140.46</v>
          </cell>
        </row>
        <row r="1746">
          <cell r="A1746">
            <v>84048</v>
          </cell>
          <cell r="B1746" t="str">
            <v>AD PVC PBA/LUVA F0C0 JE DN 250</v>
          </cell>
          <cell r="C1746" t="str">
            <v>UN</v>
          </cell>
          <cell r="D1746">
            <v>282.88</v>
          </cell>
        </row>
        <row r="1747">
          <cell r="A1747">
            <v>84049</v>
          </cell>
          <cell r="B1747" t="str">
            <v>AD PVC PBA/LUVA F0C0 JE DN 300</v>
          </cell>
          <cell r="C1747" t="str">
            <v>UN</v>
          </cell>
          <cell r="D1747">
            <v>442.73</v>
          </cell>
        </row>
        <row r="1748">
          <cell r="A1748">
            <v>84050</v>
          </cell>
          <cell r="B1748" t="str">
            <v>AD F0F0/PVC PBA JE DN 50</v>
          </cell>
          <cell r="C1748" t="str">
            <v>UN</v>
          </cell>
          <cell r="D1748">
            <v>23.63</v>
          </cell>
        </row>
        <row r="1749">
          <cell r="A1749">
            <v>84051</v>
          </cell>
          <cell r="B1749" t="str">
            <v>AD F0F0/PVC PBA JE DN 75</v>
          </cell>
          <cell r="C1749" t="str">
            <v>UN</v>
          </cell>
          <cell r="D1749">
            <v>33.43</v>
          </cell>
        </row>
        <row r="1750">
          <cell r="A1750">
            <v>84052</v>
          </cell>
          <cell r="B1750" t="str">
            <v>AD F0F0/PVC PBA JE DN 100</v>
          </cell>
          <cell r="C1750" t="str">
            <v>UN</v>
          </cell>
          <cell r="D1750">
            <v>51.33</v>
          </cell>
        </row>
        <row r="1751">
          <cell r="A1751">
            <v>84053</v>
          </cell>
          <cell r="B1751" t="str">
            <v>AD F0F0/PVC PBA JE DN 150</v>
          </cell>
          <cell r="C1751" t="str">
            <v>UN</v>
          </cell>
          <cell r="D1751">
            <v>111.25</v>
          </cell>
        </row>
        <row r="1752">
          <cell r="A1752">
            <v>84054</v>
          </cell>
          <cell r="B1752" t="str">
            <v>AD F0F0/PVC PBA JE DN 200</v>
          </cell>
          <cell r="C1752" t="str">
            <v>UN</v>
          </cell>
          <cell r="D1752">
            <v>216.17</v>
          </cell>
        </row>
        <row r="1753">
          <cell r="A1753">
            <v>84055</v>
          </cell>
          <cell r="B1753" t="str">
            <v>AD F0F0/PVC PBA JE DN 250</v>
          </cell>
          <cell r="C1753" t="str">
            <v>UN</v>
          </cell>
          <cell r="D1753">
            <v>375.78</v>
          </cell>
        </row>
        <row r="1754">
          <cell r="A1754">
            <v>84056</v>
          </cell>
          <cell r="B1754" t="str">
            <v>AD F0F0/PVC PBA JE DN 300</v>
          </cell>
          <cell r="C1754" t="str">
            <v>UN</v>
          </cell>
          <cell r="D1754">
            <v>497.69</v>
          </cell>
        </row>
        <row r="1755">
          <cell r="A1755">
            <v>84057</v>
          </cell>
          <cell r="B1755" t="str">
            <v>ANEL DE BORRACHA PVC JE PBA DN 50</v>
          </cell>
          <cell r="C1755" t="str">
            <v>UN</v>
          </cell>
          <cell r="D1755">
            <v>1.1399999999999999</v>
          </cell>
        </row>
        <row r="1756">
          <cell r="A1756">
            <v>84058</v>
          </cell>
          <cell r="B1756" t="str">
            <v>ANEL DE BORRACHA PVC JE PBA DN 75</v>
          </cell>
          <cell r="C1756" t="str">
            <v>UN</v>
          </cell>
          <cell r="D1756">
            <v>2.8</v>
          </cell>
        </row>
        <row r="1757">
          <cell r="A1757">
            <v>84059</v>
          </cell>
          <cell r="B1757" t="str">
            <v>ANEL DE BORRACHA PVC JE PBA DN 100</v>
          </cell>
          <cell r="C1757" t="str">
            <v>UN</v>
          </cell>
          <cell r="D1757">
            <v>3.25</v>
          </cell>
        </row>
        <row r="1758">
          <cell r="A1758">
            <v>84060</v>
          </cell>
          <cell r="B1758" t="str">
            <v>ANEL DE BORRACHA PVC JE PBA DN 150</v>
          </cell>
          <cell r="C1758" t="str">
            <v>UN</v>
          </cell>
          <cell r="D1758">
            <v>5.61</v>
          </cell>
        </row>
        <row r="1759">
          <cell r="A1759">
            <v>84061</v>
          </cell>
          <cell r="B1759" t="str">
            <v>ANEL DE BORRACHA PVC JE PBA DN 200</v>
          </cell>
          <cell r="C1759" t="str">
            <v>UN</v>
          </cell>
          <cell r="D1759">
            <v>9.1999999999999993</v>
          </cell>
        </row>
        <row r="1760">
          <cell r="A1760">
            <v>84062</v>
          </cell>
          <cell r="B1760" t="str">
            <v>ANEL DE BORRACHA PVC JE PBA DN 250</v>
          </cell>
          <cell r="C1760" t="str">
            <v>UN</v>
          </cell>
          <cell r="D1760">
            <v>12.81</v>
          </cell>
        </row>
        <row r="1761">
          <cell r="A1761">
            <v>84063</v>
          </cell>
          <cell r="B1761" t="str">
            <v>ANEL DE BORRACHA PVC JE PBA DN 300</v>
          </cell>
          <cell r="C1761" t="str">
            <v>UN</v>
          </cell>
          <cell r="D1761">
            <v>25.41</v>
          </cell>
        </row>
        <row r="1762">
          <cell r="A1762">
            <v>84064</v>
          </cell>
          <cell r="B1762" t="str">
            <v>CAP PVC JE PBA DN 50</v>
          </cell>
          <cell r="C1762" t="str">
            <v>UN</v>
          </cell>
          <cell r="D1762">
            <v>3.8</v>
          </cell>
        </row>
        <row r="1763">
          <cell r="A1763">
            <v>84065</v>
          </cell>
          <cell r="B1763" t="str">
            <v>CAP PVC JE PBA DN 75</v>
          </cell>
          <cell r="C1763" t="str">
            <v>UN</v>
          </cell>
          <cell r="D1763">
            <v>9.3000000000000007</v>
          </cell>
        </row>
        <row r="1764">
          <cell r="A1764">
            <v>84066</v>
          </cell>
          <cell r="B1764" t="str">
            <v>CAP PVC JE PBA DN 100</v>
          </cell>
          <cell r="C1764" t="str">
            <v>UN</v>
          </cell>
          <cell r="D1764">
            <v>17.71</v>
          </cell>
        </row>
        <row r="1765">
          <cell r="A1765">
            <v>84067</v>
          </cell>
          <cell r="B1765" t="str">
            <v>CAP PVC JE PBA DN 150</v>
          </cell>
          <cell r="C1765" t="str">
            <v>UN</v>
          </cell>
          <cell r="D1765">
            <v>184.37</v>
          </cell>
        </row>
        <row r="1766">
          <cell r="A1766">
            <v>84068</v>
          </cell>
          <cell r="B1766" t="str">
            <v>CAP PVC JE PBA DN 200</v>
          </cell>
          <cell r="C1766" t="str">
            <v>UN</v>
          </cell>
          <cell r="D1766">
            <v>259.2</v>
          </cell>
        </row>
        <row r="1767">
          <cell r="A1767">
            <v>84069</v>
          </cell>
          <cell r="B1767" t="str">
            <v>CAP PVC JE PBA DN 250</v>
          </cell>
          <cell r="C1767" t="str">
            <v>UN</v>
          </cell>
          <cell r="D1767">
            <v>456</v>
          </cell>
        </row>
        <row r="1768">
          <cell r="A1768">
            <v>84070</v>
          </cell>
          <cell r="B1768" t="str">
            <v>CAP PVC JE PBA DN 300</v>
          </cell>
          <cell r="C1768" t="str">
            <v>UN</v>
          </cell>
          <cell r="D1768">
            <v>727.48</v>
          </cell>
        </row>
        <row r="1769">
          <cell r="A1769">
            <v>84071</v>
          </cell>
          <cell r="B1769" t="str">
            <v>CRUZETA PVC PBA BBBB JE DN 50</v>
          </cell>
          <cell r="C1769" t="str">
            <v>UN</v>
          </cell>
          <cell r="D1769">
            <v>13.98</v>
          </cell>
        </row>
        <row r="1770">
          <cell r="A1770">
            <v>84072</v>
          </cell>
          <cell r="B1770" t="str">
            <v>CRUZETA PVC PBA BBBB JE DN 75</v>
          </cell>
          <cell r="C1770" t="str">
            <v>UN</v>
          </cell>
          <cell r="D1770">
            <v>32.51</v>
          </cell>
        </row>
        <row r="1771">
          <cell r="A1771">
            <v>84073</v>
          </cell>
          <cell r="B1771" t="str">
            <v>CRUZETA PVC PBA BBBB JE DN 100</v>
          </cell>
          <cell r="C1771" t="str">
            <v>UN</v>
          </cell>
          <cell r="D1771">
            <v>58.3</v>
          </cell>
        </row>
        <row r="1772">
          <cell r="A1772">
            <v>84074</v>
          </cell>
          <cell r="B1772" t="str">
            <v>CRUZETA PVC PBA BBBB JE DN 150</v>
          </cell>
          <cell r="C1772" t="str">
            <v>UN</v>
          </cell>
          <cell r="D1772">
            <v>690.11</v>
          </cell>
        </row>
        <row r="1773">
          <cell r="A1773">
            <v>84075</v>
          </cell>
          <cell r="B1773" t="str">
            <v>CRUZETA PVC PBA BBBB JE DN 200</v>
          </cell>
          <cell r="C1773" t="str">
            <v>UN</v>
          </cell>
          <cell r="D1773">
            <v>1036.08</v>
          </cell>
        </row>
        <row r="1774">
          <cell r="A1774">
            <v>84076</v>
          </cell>
          <cell r="B1774" t="str">
            <v>CRUZETA PVC PBA BBBB JE DN 250</v>
          </cell>
          <cell r="C1774" t="str">
            <v>UN</v>
          </cell>
          <cell r="D1774">
            <v>1823.67</v>
          </cell>
        </row>
        <row r="1775">
          <cell r="A1775">
            <v>84077</v>
          </cell>
          <cell r="B1775" t="str">
            <v>CRUZETA PVC PBA BBBB JE DN 300</v>
          </cell>
          <cell r="C1775" t="str">
            <v>UN</v>
          </cell>
          <cell r="D1775">
            <v>2866.58</v>
          </cell>
        </row>
        <row r="1776">
          <cell r="A1776">
            <v>84078</v>
          </cell>
          <cell r="B1776" t="str">
            <v>CRUZETA PVC PBA BBPP JE DN 50</v>
          </cell>
          <cell r="C1776" t="str">
            <v>UN</v>
          </cell>
          <cell r="D1776">
            <v>32.520000000000003</v>
          </cell>
        </row>
        <row r="1777">
          <cell r="A1777">
            <v>84079</v>
          </cell>
          <cell r="B1777" t="str">
            <v>CRUZETA PVC PBA BBPP JE DN 75</v>
          </cell>
          <cell r="C1777" t="str">
            <v>UN</v>
          </cell>
          <cell r="D1777">
            <v>69.88</v>
          </cell>
        </row>
        <row r="1778">
          <cell r="A1778">
            <v>84080</v>
          </cell>
          <cell r="B1778" t="str">
            <v>CRUZETA PVC PBA BBPP JE DN 100</v>
          </cell>
          <cell r="C1778" t="str">
            <v>UN</v>
          </cell>
          <cell r="D1778">
            <v>119.09</v>
          </cell>
        </row>
        <row r="1779">
          <cell r="A1779">
            <v>84081</v>
          </cell>
          <cell r="B1779" t="str">
            <v>CRUZETA PVC PBA BBPP JE DN 150</v>
          </cell>
          <cell r="C1779" t="str">
            <v>UN</v>
          </cell>
          <cell r="D1779">
            <v>675.1</v>
          </cell>
        </row>
        <row r="1780">
          <cell r="A1780">
            <v>84082</v>
          </cell>
          <cell r="B1780" t="str">
            <v>CRUZETA PVC PBA BBPP JE DN 200</v>
          </cell>
          <cell r="C1780" t="str">
            <v>UN</v>
          </cell>
          <cell r="D1780">
            <v>982.63</v>
          </cell>
        </row>
        <row r="1781">
          <cell r="A1781">
            <v>84083</v>
          </cell>
          <cell r="B1781" t="str">
            <v>CRUZETA PVC PBA BBPP JE DN 250</v>
          </cell>
          <cell r="C1781" t="str">
            <v>UN</v>
          </cell>
          <cell r="D1781">
            <v>1690.48</v>
          </cell>
        </row>
        <row r="1782">
          <cell r="A1782">
            <v>84084</v>
          </cell>
          <cell r="B1782" t="str">
            <v>CRUZETA PVC PBA BBPP JE DN 300</v>
          </cell>
          <cell r="C1782" t="str">
            <v>UN</v>
          </cell>
          <cell r="D1782">
            <v>2362.29</v>
          </cell>
        </row>
        <row r="1783">
          <cell r="A1783">
            <v>84086</v>
          </cell>
          <cell r="B1783" t="str">
            <v>CRUZETA PVC PBA RD BBBB JE DN 75 X 50</v>
          </cell>
          <cell r="C1783" t="str">
            <v>UN</v>
          </cell>
          <cell r="D1783">
            <v>25.27</v>
          </cell>
        </row>
        <row r="1784">
          <cell r="A1784">
            <v>84088</v>
          </cell>
          <cell r="B1784" t="str">
            <v>CRUZETA PVC PBA RD BBBB JE DN 100 X 50</v>
          </cell>
          <cell r="C1784" t="str">
            <v>UN</v>
          </cell>
          <cell r="D1784">
            <v>41.85</v>
          </cell>
        </row>
        <row r="1785">
          <cell r="A1785">
            <v>84089</v>
          </cell>
          <cell r="B1785" t="str">
            <v>CRUZETA PVC PBA RD BBBB JE DN 100 X 75</v>
          </cell>
          <cell r="C1785" t="str">
            <v>UN</v>
          </cell>
          <cell r="D1785">
            <v>49</v>
          </cell>
        </row>
        <row r="1786">
          <cell r="A1786">
            <v>84091</v>
          </cell>
          <cell r="B1786" t="str">
            <v>CRUZETA PVC PBA RD BBBB JE DN 150 X 50</v>
          </cell>
          <cell r="C1786" t="str">
            <v>UN</v>
          </cell>
          <cell r="D1786">
            <v>0</v>
          </cell>
        </row>
        <row r="1787">
          <cell r="A1787">
            <v>84092</v>
          </cell>
          <cell r="B1787" t="str">
            <v>CRUZETA PVC PBA RD BBBB JE DN 150 X 75</v>
          </cell>
          <cell r="C1787" t="str">
            <v>UN</v>
          </cell>
          <cell r="D1787">
            <v>399.92</v>
          </cell>
        </row>
        <row r="1788">
          <cell r="A1788">
            <v>84093</v>
          </cell>
          <cell r="B1788" t="str">
            <v>CRUZETA PVC PBA RD BBBB JE DN 150 X 100</v>
          </cell>
          <cell r="C1788" t="str">
            <v>UN</v>
          </cell>
          <cell r="D1788">
            <v>356.18</v>
          </cell>
        </row>
        <row r="1789">
          <cell r="A1789">
            <v>84095</v>
          </cell>
          <cell r="B1789" t="str">
            <v>CRUZETA PVC PBA RD BBBB JE DN 200 X 100</v>
          </cell>
          <cell r="C1789" t="str">
            <v>UN</v>
          </cell>
          <cell r="D1789">
            <v>692.05</v>
          </cell>
        </row>
        <row r="1790">
          <cell r="A1790">
            <v>84096</v>
          </cell>
          <cell r="B1790" t="str">
            <v>CRUZETA PVC PBA RD BBBB JE DN 200 X 150</v>
          </cell>
          <cell r="C1790" t="str">
            <v>UN</v>
          </cell>
          <cell r="D1790">
            <v>883.39</v>
          </cell>
        </row>
        <row r="1791">
          <cell r="A1791">
            <v>84097</v>
          </cell>
          <cell r="B1791" t="str">
            <v>CRUZETA PVC PBA RD BBBB JE DN 250 X 150</v>
          </cell>
          <cell r="C1791" t="str">
            <v>UN</v>
          </cell>
          <cell r="D1791">
            <v>1255.73</v>
          </cell>
        </row>
        <row r="1792">
          <cell r="A1792">
            <v>84098</v>
          </cell>
          <cell r="B1792" t="str">
            <v>CRUZETA PVC PBA RD BBBB JE DN 250 X 200</v>
          </cell>
          <cell r="C1792" t="str">
            <v>UN</v>
          </cell>
          <cell r="D1792">
            <v>1449.74</v>
          </cell>
        </row>
        <row r="1793">
          <cell r="A1793">
            <v>84099</v>
          </cell>
          <cell r="B1793" t="str">
            <v>CRUZETA PVC PBA RD BBBB JE DN 300 X 150</v>
          </cell>
          <cell r="C1793" t="str">
            <v>UN</v>
          </cell>
          <cell r="D1793">
            <v>1692.49</v>
          </cell>
        </row>
        <row r="1794">
          <cell r="A1794">
            <v>84101</v>
          </cell>
          <cell r="B1794" t="str">
            <v>CRUZETA PVC PBA RD BBBB JE DN 300 X 200</v>
          </cell>
          <cell r="C1794" t="str">
            <v>UN</v>
          </cell>
          <cell r="D1794">
            <v>1888.64</v>
          </cell>
        </row>
        <row r="1795">
          <cell r="A1795">
            <v>84102</v>
          </cell>
          <cell r="B1795" t="str">
            <v>CRUZETA PVC PBA RD BBBB JE DN 300 X 250</v>
          </cell>
          <cell r="C1795" t="str">
            <v>UN</v>
          </cell>
          <cell r="D1795">
            <v>2385.27</v>
          </cell>
        </row>
        <row r="1796">
          <cell r="A1796">
            <v>84103</v>
          </cell>
          <cell r="B1796" t="str">
            <v>CRUZETA PVC PBA RD BBPP JE DN 75 X 50</v>
          </cell>
          <cell r="C1796" t="str">
            <v>UN</v>
          </cell>
          <cell r="D1796">
            <v>53.09</v>
          </cell>
        </row>
        <row r="1797">
          <cell r="A1797">
            <v>84105</v>
          </cell>
          <cell r="B1797" t="str">
            <v>CRUZETA PVC PBA RD BBPP JE DN 100 X 50</v>
          </cell>
          <cell r="C1797" t="str">
            <v>UN</v>
          </cell>
          <cell r="D1797">
            <v>85.52</v>
          </cell>
        </row>
        <row r="1798">
          <cell r="A1798">
            <v>84106</v>
          </cell>
          <cell r="B1798" t="str">
            <v>CRUZETA PVC PBA RD BBPP JE DN 100 X 75</v>
          </cell>
          <cell r="C1798" t="str">
            <v>UN</v>
          </cell>
          <cell r="D1798">
            <v>102.89</v>
          </cell>
        </row>
        <row r="1799">
          <cell r="A1799">
            <v>84108</v>
          </cell>
          <cell r="B1799" t="str">
            <v>CRUZETA PVC PBA RD BBPP JE DN 150 X 50</v>
          </cell>
          <cell r="C1799" t="str">
            <v>UN</v>
          </cell>
          <cell r="D1799">
            <v>0</v>
          </cell>
        </row>
        <row r="1800">
          <cell r="A1800">
            <v>84109</v>
          </cell>
          <cell r="B1800" t="str">
            <v>CRUZETA PVC PBA RD BBPP JE DN 150 X 75</v>
          </cell>
          <cell r="C1800" t="str">
            <v>UN</v>
          </cell>
          <cell r="D1800">
            <v>379.11</v>
          </cell>
        </row>
        <row r="1801">
          <cell r="A1801">
            <v>84110</v>
          </cell>
          <cell r="B1801" t="str">
            <v>CRUZETA PVC PBA RD BBPP JE DN 150 X 100</v>
          </cell>
          <cell r="C1801" t="str">
            <v>UN</v>
          </cell>
          <cell r="D1801">
            <v>325.51</v>
          </cell>
        </row>
        <row r="1802">
          <cell r="A1802">
            <v>84112</v>
          </cell>
          <cell r="B1802" t="str">
            <v>CRUZETA PVC PBA RD BBPP JE DN 200 X 100</v>
          </cell>
          <cell r="C1802" t="str">
            <v>UN</v>
          </cell>
          <cell r="D1802">
            <v>656.3</v>
          </cell>
        </row>
        <row r="1803">
          <cell r="A1803">
            <v>84113</v>
          </cell>
          <cell r="B1803" t="str">
            <v>CRUZETA PVC PBA RD BBPP JE DN 200 X 150</v>
          </cell>
          <cell r="C1803" t="str">
            <v>UN</v>
          </cell>
          <cell r="D1803">
            <v>841.58</v>
          </cell>
        </row>
        <row r="1804">
          <cell r="A1804">
            <v>84114</v>
          </cell>
          <cell r="B1804" t="str">
            <v>CRUZETA PVC PBA RD BBPP JE DN 250 X 100</v>
          </cell>
          <cell r="C1804" t="str">
            <v>UN</v>
          </cell>
          <cell r="D1804">
            <v>0</v>
          </cell>
        </row>
        <row r="1805">
          <cell r="A1805">
            <v>84115</v>
          </cell>
          <cell r="B1805" t="str">
            <v>CRUZETA PVC PBA RD BBPP JE DN 250 X 150</v>
          </cell>
          <cell r="C1805" t="str">
            <v>UN</v>
          </cell>
          <cell r="D1805">
            <v>1174.06</v>
          </cell>
        </row>
        <row r="1806">
          <cell r="A1806">
            <v>84116</v>
          </cell>
          <cell r="B1806" t="str">
            <v>CRUZETA PVC PBA RD BBPP JE DN 250 X 200</v>
          </cell>
          <cell r="C1806" t="str">
            <v>UN</v>
          </cell>
          <cell r="D1806">
            <v>1356.43</v>
          </cell>
        </row>
        <row r="1807">
          <cell r="A1807">
            <v>84117</v>
          </cell>
          <cell r="B1807" t="str">
            <v>CRUZETA PVC PBA RD BBPP JE DN 300 X 150</v>
          </cell>
          <cell r="C1807" t="str">
            <v>UN</v>
          </cell>
          <cell r="D1807">
            <v>1572.81</v>
          </cell>
        </row>
        <row r="1808">
          <cell r="A1808">
            <v>84118</v>
          </cell>
          <cell r="B1808" t="str">
            <v>CRUZETA PVC PBA RD BBPP JE DN 300 X 200</v>
          </cell>
          <cell r="C1808" t="str">
            <v>UN</v>
          </cell>
          <cell r="D1808">
            <v>1755.14</v>
          </cell>
        </row>
        <row r="1809">
          <cell r="A1809">
            <v>84119</v>
          </cell>
          <cell r="B1809" t="str">
            <v>CRUZETA PVC PBA RD BBPP JE DN 300 X 250</v>
          </cell>
          <cell r="C1809" t="str">
            <v>UN</v>
          </cell>
          <cell r="D1809">
            <v>2211.92</v>
          </cell>
        </row>
        <row r="1810">
          <cell r="A1810">
            <v>84120</v>
          </cell>
          <cell r="B1810" t="str">
            <v>CURVA PVC PBA 11G15' PB JE DN 50</v>
          </cell>
          <cell r="C1810" t="str">
            <v>UN</v>
          </cell>
          <cell r="D1810">
            <v>10.71</v>
          </cell>
        </row>
        <row r="1811">
          <cell r="A1811">
            <v>84121</v>
          </cell>
          <cell r="B1811" t="str">
            <v>CURVA PVC PBA 11G15' PB JE DN 75</v>
          </cell>
          <cell r="C1811" t="str">
            <v>UN</v>
          </cell>
          <cell r="D1811">
            <v>32.42</v>
          </cell>
        </row>
        <row r="1812">
          <cell r="A1812">
            <v>84122</v>
          </cell>
          <cell r="B1812" t="str">
            <v>CURVA PVC PBA 11G15' PB JE DN 100</v>
          </cell>
          <cell r="C1812" t="str">
            <v>UN</v>
          </cell>
          <cell r="D1812">
            <v>59.08</v>
          </cell>
        </row>
        <row r="1813">
          <cell r="A1813">
            <v>84123</v>
          </cell>
          <cell r="B1813" t="str">
            <v>CURVA PVC PBA 11G15' PB JE DN 150</v>
          </cell>
          <cell r="C1813" t="str">
            <v>UN</v>
          </cell>
          <cell r="D1813">
            <v>195.28</v>
          </cell>
        </row>
        <row r="1814">
          <cell r="A1814">
            <v>84124</v>
          </cell>
          <cell r="B1814" t="str">
            <v>CURVA PVC PBA 11G15' PB JE DN 200</v>
          </cell>
          <cell r="C1814" t="str">
            <v>UN</v>
          </cell>
          <cell r="D1814">
            <v>372.67</v>
          </cell>
        </row>
        <row r="1815">
          <cell r="A1815">
            <v>84125</v>
          </cell>
          <cell r="B1815" t="str">
            <v>CURVA PVC PBA 11G15' PB JE DN 250</v>
          </cell>
          <cell r="C1815" t="str">
            <v>UN</v>
          </cell>
          <cell r="D1815">
            <v>709.8</v>
          </cell>
        </row>
        <row r="1816">
          <cell r="A1816">
            <v>84126</v>
          </cell>
          <cell r="B1816" t="str">
            <v>CURVA PVC PBA 11G15' PB JE DN 300</v>
          </cell>
          <cell r="C1816" t="str">
            <v>UN</v>
          </cell>
          <cell r="D1816" t="str">
            <v>1 179,41</v>
          </cell>
        </row>
        <row r="1817">
          <cell r="A1817">
            <v>84127</v>
          </cell>
          <cell r="B1817" t="str">
            <v>CURVA PVC PBA 22G30' PB JE DN 50</v>
          </cell>
          <cell r="C1817" t="str">
            <v>UN</v>
          </cell>
          <cell r="D1817">
            <v>11.4</v>
          </cell>
        </row>
        <row r="1818">
          <cell r="A1818">
            <v>84128</v>
          </cell>
          <cell r="B1818" t="str">
            <v>CURVA PVC PBA 22G30' PB JE DN 75</v>
          </cell>
          <cell r="C1818" t="str">
            <v>UN</v>
          </cell>
          <cell r="D1818">
            <v>32.270000000000003</v>
          </cell>
        </row>
        <row r="1819">
          <cell r="A1819">
            <v>84129</v>
          </cell>
          <cell r="B1819" t="str">
            <v>CURVA PVC PBA 22G30' PB JE DN 100</v>
          </cell>
          <cell r="C1819" t="str">
            <v>UN</v>
          </cell>
          <cell r="D1819">
            <v>60.57</v>
          </cell>
        </row>
        <row r="1820">
          <cell r="A1820">
            <v>84130</v>
          </cell>
          <cell r="B1820" t="str">
            <v>CURVA PVC PBA 22G30' PB JE DN 150</v>
          </cell>
          <cell r="C1820" t="str">
            <v>UN</v>
          </cell>
          <cell r="D1820">
            <v>195.28</v>
          </cell>
        </row>
        <row r="1821">
          <cell r="A1821">
            <v>84131</v>
          </cell>
          <cell r="B1821" t="str">
            <v>CURVA PVC PBA 22G30' PB JE DN 200</v>
          </cell>
          <cell r="C1821" t="str">
            <v>UN</v>
          </cell>
          <cell r="D1821">
            <v>374.21</v>
          </cell>
        </row>
        <row r="1822">
          <cell r="A1822">
            <v>84132</v>
          </cell>
          <cell r="B1822" t="str">
            <v>CURVA PVC PBA 22G30' PB JE DN 250</v>
          </cell>
          <cell r="C1822" t="str">
            <v>UN</v>
          </cell>
          <cell r="D1822">
            <v>704.66</v>
          </cell>
        </row>
        <row r="1823">
          <cell r="A1823">
            <v>84133</v>
          </cell>
          <cell r="B1823" t="str">
            <v>CURVA PVC PBA 22G30' PB JE DN 300</v>
          </cell>
          <cell r="C1823" t="str">
            <v>UN</v>
          </cell>
          <cell r="D1823" t="str">
            <v>1 203,50</v>
          </cell>
        </row>
        <row r="1824">
          <cell r="A1824">
            <v>84134</v>
          </cell>
          <cell r="B1824" t="str">
            <v>CURVA PVC PBA 45G PB JE DN 50</v>
          </cell>
          <cell r="C1824" t="str">
            <v>UN</v>
          </cell>
          <cell r="D1824">
            <v>11.26</v>
          </cell>
        </row>
        <row r="1825">
          <cell r="A1825">
            <v>84135</v>
          </cell>
          <cell r="B1825" t="str">
            <v>CURVA PVC PBA 45G PB JE DN 75</v>
          </cell>
          <cell r="C1825" t="str">
            <v>UN</v>
          </cell>
          <cell r="D1825">
            <v>32.71</v>
          </cell>
        </row>
        <row r="1826">
          <cell r="A1826">
            <v>84136</v>
          </cell>
          <cell r="B1826" t="str">
            <v>CURVA PVC PBA 45G PB JE DN 100</v>
          </cell>
          <cell r="C1826" t="str">
            <v>UN</v>
          </cell>
          <cell r="D1826">
            <v>60.85</v>
          </cell>
        </row>
        <row r="1827">
          <cell r="A1827">
            <v>84137</v>
          </cell>
          <cell r="B1827" t="str">
            <v>CURVA PVC PBA 45G PB JE DN 150</v>
          </cell>
          <cell r="C1827" t="str">
            <v>UN</v>
          </cell>
          <cell r="D1827">
            <v>206.43</v>
          </cell>
        </row>
        <row r="1828">
          <cell r="A1828">
            <v>84138</v>
          </cell>
          <cell r="B1828" t="str">
            <v>CURVA PVC PBA 45G PB JE DN 200</v>
          </cell>
          <cell r="C1828" t="str">
            <v>UN</v>
          </cell>
          <cell r="D1828">
            <v>376.25</v>
          </cell>
        </row>
        <row r="1829">
          <cell r="A1829">
            <v>84139</v>
          </cell>
          <cell r="B1829" t="str">
            <v>CURVA PVC PBA 45G PB JE DN 250</v>
          </cell>
          <cell r="C1829" t="str">
            <v>UN</v>
          </cell>
          <cell r="D1829">
            <v>709.2</v>
          </cell>
        </row>
        <row r="1830">
          <cell r="A1830">
            <v>84140</v>
          </cell>
          <cell r="B1830" t="str">
            <v>CURVA PVC PBA 45G PB JE DN 300</v>
          </cell>
          <cell r="C1830" t="str">
            <v>UN</v>
          </cell>
          <cell r="D1830">
            <v>1227.1400000000001</v>
          </cell>
        </row>
        <row r="1831">
          <cell r="A1831">
            <v>84141</v>
          </cell>
          <cell r="B1831" t="str">
            <v>CURVA PVC PBA 90G PB JE DN 50</v>
          </cell>
          <cell r="C1831" t="str">
            <v>UN</v>
          </cell>
          <cell r="D1831">
            <v>14</v>
          </cell>
        </row>
        <row r="1832">
          <cell r="A1832">
            <v>84142</v>
          </cell>
          <cell r="B1832" t="str">
            <v>CURVA PVC PBA 90G PB JE DN 75</v>
          </cell>
          <cell r="C1832" t="str">
            <v>UN</v>
          </cell>
          <cell r="D1832">
            <v>36.4</v>
          </cell>
        </row>
        <row r="1833">
          <cell r="A1833">
            <v>84143</v>
          </cell>
          <cell r="B1833" t="str">
            <v>CURVA PVC PBA 90G PB JE DN 100</v>
          </cell>
          <cell r="C1833" t="str">
            <v>UN</v>
          </cell>
          <cell r="D1833">
            <v>81.98</v>
          </cell>
        </row>
        <row r="1834">
          <cell r="A1834">
            <v>84144</v>
          </cell>
          <cell r="B1834" t="str">
            <v>CURVA PVC PBA 90G PB JE DN 150</v>
          </cell>
          <cell r="C1834" t="str">
            <v>UN</v>
          </cell>
          <cell r="D1834">
            <v>232.33</v>
          </cell>
        </row>
        <row r="1835">
          <cell r="A1835">
            <v>84145</v>
          </cell>
          <cell r="B1835" t="str">
            <v>CURVA 90G PB JE DN 200</v>
          </cell>
          <cell r="C1835" t="str">
            <v>UN</v>
          </cell>
          <cell r="D1835">
            <v>445.32</v>
          </cell>
        </row>
        <row r="1836">
          <cell r="A1836">
            <v>84146</v>
          </cell>
          <cell r="B1836" t="str">
            <v>CURVA PVC PBA 90G PB JE DN 250</v>
          </cell>
          <cell r="C1836" t="str">
            <v>UN</v>
          </cell>
          <cell r="D1836">
            <v>867.46</v>
          </cell>
        </row>
        <row r="1837">
          <cell r="A1837">
            <v>84147</v>
          </cell>
          <cell r="B1837" t="str">
            <v>CURVA PVC PBA 90G PB JE DN 300</v>
          </cell>
          <cell r="C1837" t="str">
            <v>UN</v>
          </cell>
          <cell r="D1837">
            <v>1491.23</v>
          </cell>
        </row>
        <row r="1838">
          <cell r="A1838">
            <v>84148</v>
          </cell>
          <cell r="B1838" t="str">
            <v>EXTREMIDADE PVC PBA BF DN 50</v>
          </cell>
          <cell r="C1838" t="str">
            <v>UN</v>
          </cell>
          <cell r="D1838">
            <v>21.07</v>
          </cell>
        </row>
        <row r="1839">
          <cell r="A1839">
            <v>84149</v>
          </cell>
          <cell r="B1839" t="str">
            <v>EXTREMIDADE PVC PBA BF DN 75</v>
          </cell>
          <cell r="C1839" t="str">
            <v>UN</v>
          </cell>
          <cell r="D1839">
            <v>37.01</v>
          </cell>
        </row>
        <row r="1840">
          <cell r="A1840">
            <v>84150</v>
          </cell>
          <cell r="B1840" t="str">
            <v>EXTREMIDADE PVC PBA BF DN 100</v>
          </cell>
          <cell r="C1840" t="str">
            <v>UN</v>
          </cell>
          <cell r="D1840">
            <v>53.39</v>
          </cell>
        </row>
        <row r="1841">
          <cell r="A1841">
            <v>84151</v>
          </cell>
          <cell r="B1841" t="str">
            <v>EXTREMIDADE PVC PBA BF DN 150</v>
          </cell>
          <cell r="C1841" t="str">
            <v>UN</v>
          </cell>
          <cell r="D1841">
            <v>109.65</v>
          </cell>
        </row>
        <row r="1842">
          <cell r="A1842">
            <v>84152</v>
          </cell>
          <cell r="B1842" t="str">
            <v>EXTREMIDADE PVC PBA BF DN 200</v>
          </cell>
          <cell r="C1842" t="str">
            <v>UN</v>
          </cell>
          <cell r="D1842">
            <v>269.67</v>
          </cell>
        </row>
        <row r="1843">
          <cell r="A1843">
            <v>84153</v>
          </cell>
          <cell r="B1843" t="str">
            <v>EXTREMIDADE PVC PBA BF DN 250</v>
          </cell>
          <cell r="C1843" t="str">
            <v>UN</v>
          </cell>
          <cell r="D1843">
            <v>455.75</v>
          </cell>
        </row>
        <row r="1844">
          <cell r="A1844">
            <v>84154</v>
          </cell>
          <cell r="B1844" t="str">
            <v>EXTREMIDADE PVC PBA BF DN 300</v>
          </cell>
          <cell r="C1844" t="str">
            <v>UN</v>
          </cell>
          <cell r="D1844">
            <v>669.45</v>
          </cell>
        </row>
        <row r="1845">
          <cell r="A1845">
            <v>84155</v>
          </cell>
          <cell r="B1845" t="str">
            <v>EXTREMIDADE PVC PBA PF DN 50</v>
          </cell>
          <cell r="C1845" t="str">
            <v>UN</v>
          </cell>
          <cell r="D1845">
            <v>18.3</v>
          </cell>
        </row>
        <row r="1846">
          <cell r="A1846">
            <v>84156</v>
          </cell>
          <cell r="B1846" t="str">
            <v>EXTREMIDADE PVC PBA  PF DN 75</v>
          </cell>
          <cell r="C1846" t="str">
            <v>UN</v>
          </cell>
          <cell r="D1846">
            <v>31.28</v>
          </cell>
        </row>
        <row r="1847">
          <cell r="A1847">
            <v>84157</v>
          </cell>
          <cell r="B1847" t="str">
            <v>EXTREMIDADE PVC PBA PF DN 100</v>
          </cell>
          <cell r="C1847" t="str">
            <v>UN</v>
          </cell>
          <cell r="D1847">
            <v>44.38</v>
          </cell>
        </row>
        <row r="1848">
          <cell r="A1848">
            <v>84158</v>
          </cell>
          <cell r="B1848" t="str">
            <v>EXTREMIDADE PVC PBA PF DN 150</v>
          </cell>
          <cell r="C1848" t="str">
            <v>UN</v>
          </cell>
          <cell r="D1848">
            <v>94.56</v>
          </cell>
        </row>
        <row r="1849">
          <cell r="A1849">
            <v>84159</v>
          </cell>
          <cell r="B1849" t="str">
            <v>EXTREMIDADE PVC PBA PF DN 200</v>
          </cell>
          <cell r="C1849" t="str">
            <v>UN</v>
          </cell>
          <cell r="D1849">
            <v>242.93</v>
          </cell>
        </row>
        <row r="1850">
          <cell r="A1850">
            <v>84160</v>
          </cell>
          <cell r="B1850" t="str">
            <v>EXTREMIDADE PVC PBA PF DN 250</v>
          </cell>
          <cell r="C1850" t="str">
            <v>UN</v>
          </cell>
          <cell r="D1850">
            <v>389.16</v>
          </cell>
        </row>
        <row r="1851">
          <cell r="A1851">
            <v>84161</v>
          </cell>
          <cell r="B1851" t="str">
            <v>EXTREMIDADE PVC PBA PF DN 300</v>
          </cell>
          <cell r="C1851" t="str">
            <v>UN</v>
          </cell>
          <cell r="D1851">
            <v>562.67999999999995</v>
          </cell>
        </row>
        <row r="1852">
          <cell r="A1852">
            <v>84162</v>
          </cell>
          <cell r="B1852" t="str">
            <v>JUNCAO PVC PBA BBB DN 50</v>
          </cell>
          <cell r="C1852" t="str">
            <v>UN</v>
          </cell>
          <cell r="D1852">
            <v>27.59</v>
          </cell>
        </row>
        <row r="1853">
          <cell r="A1853">
            <v>84163</v>
          </cell>
          <cell r="B1853" t="str">
            <v>JUNCAO PVC PBA BBB DN 75</v>
          </cell>
          <cell r="C1853" t="str">
            <v>UN</v>
          </cell>
          <cell r="D1853">
            <v>137.28</v>
          </cell>
        </row>
        <row r="1854">
          <cell r="A1854">
            <v>84164</v>
          </cell>
          <cell r="B1854" t="str">
            <v>JUNCAO PVC PBA BBB DN 100</v>
          </cell>
          <cell r="C1854" t="str">
            <v>UN</v>
          </cell>
          <cell r="D1854">
            <v>221.59</v>
          </cell>
        </row>
        <row r="1855">
          <cell r="A1855">
            <v>84165</v>
          </cell>
          <cell r="B1855" t="str">
            <v>JUNCAO PVC PBA BBB DN 150</v>
          </cell>
          <cell r="C1855" t="str">
            <v>UN</v>
          </cell>
          <cell r="D1855">
            <v>529.4</v>
          </cell>
        </row>
        <row r="1856">
          <cell r="A1856">
            <v>84166</v>
          </cell>
          <cell r="B1856" t="str">
            <v>JUNCAO PVC PBA BBB DN 200</v>
          </cell>
          <cell r="C1856" t="str">
            <v>UN</v>
          </cell>
          <cell r="D1856">
            <v>887.94</v>
          </cell>
        </row>
        <row r="1857">
          <cell r="A1857">
            <v>84167</v>
          </cell>
          <cell r="B1857" t="str">
            <v>JUNCAO PVC PBA BBB DN 250</v>
          </cell>
          <cell r="C1857" t="str">
            <v>UN</v>
          </cell>
          <cell r="D1857">
            <v>1612.36</v>
          </cell>
        </row>
        <row r="1858">
          <cell r="A1858">
            <v>84168</v>
          </cell>
          <cell r="B1858" t="str">
            <v>JUNCAO PVC PBA BBB DN 300</v>
          </cell>
          <cell r="C1858" t="str">
            <v>UN</v>
          </cell>
          <cell r="D1858">
            <v>2575.3000000000002</v>
          </cell>
        </row>
        <row r="1859">
          <cell r="A1859">
            <v>84169</v>
          </cell>
          <cell r="B1859" t="str">
            <v>JUNCAO PVC PBA BBP DN 50</v>
          </cell>
          <cell r="C1859" t="str">
            <v>UN</v>
          </cell>
          <cell r="D1859">
            <v>24.82</v>
          </cell>
        </row>
        <row r="1860">
          <cell r="A1860">
            <v>84170</v>
          </cell>
          <cell r="B1860" t="str">
            <v>JUNCAO PVC PBA BBP DN 75</v>
          </cell>
          <cell r="C1860" t="str">
            <v>UN</v>
          </cell>
          <cell r="D1860">
            <v>131.55000000000001</v>
          </cell>
        </row>
        <row r="1861">
          <cell r="A1861">
            <v>84171</v>
          </cell>
          <cell r="B1861" t="str">
            <v>JUNCAO PVC PBA BBP DN 100</v>
          </cell>
          <cell r="C1861" t="str">
            <v>UN</v>
          </cell>
          <cell r="D1861">
            <v>212.58</v>
          </cell>
        </row>
        <row r="1862">
          <cell r="A1862">
            <v>84172</v>
          </cell>
          <cell r="B1862" t="str">
            <v>JUNCAO PVC PBA BBP DN 150</v>
          </cell>
          <cell r="C1862" t="str">
            <v>UN</v>
          </cell>
          <cell r="D1862">
            <v>514.32000000000005</v>
          </cell>
        </row>
        <row r="1863">
          <cell r="A1863">
            <v>84173</v>
          </cell>
          <cell r="B1863" t="str">
            <v>JUNCAO PVC PBA BBP DN 200</v>
          </cell>
          <cell r="C1863" t="str">
            <v>UN</v>
          </cell>
          <cell r="D1863">
            <v>849.94</v>
          </cell>
        </row>
        <row r="1864">
          <cell r="A1864">
            <v>84174</v>
          </cell>
          <cell r="B1864" t="str">
            <v>JUNCAO PVC PBA BBP DN 250</v>
          </cell>
          <cell r="C1864" t="str">
            <v>UN</v>
          </cell>
          <cell r="D1864">
            <v>1545.79</v>
          </cell>
        </row>
        <row r="1865">
          <cell r="A1865">
            <v>84175</v>
          </cell>
          <cell r="B1865" t="str">
            <v>JUNCAO PVC PBA BBP DN 300</v>
          </cell>
          <cell r="C1865" t="str">
            <v>UN</v>
          </cell>
          <cell r="D1865">
            <v>2445.94</v>
          </cell>
        </row>
        <row r="1866">
          <cell r="A1866">
            <v>84176</v>
          </cell>
          <cell r="B1866" t="str">
            <v>JUNCAO PVC PBA BPP DN 50</v>
          </cell>
          <cell r="C1866" t="str">
            <v>UN</v>
          </cell>
          <cell r="D1866">
            <v>22.05</v>
          </cell>
        </row>
        <row r="1867">
          <cell r="A1867">
            <v>84177</v>
          </cell>
          <cell r="B1867" t="str">
            <v>JUNCAO PVC PBA BPP DN 75</v>
          </cell>
          <cell r="C1867" t="str">
            <v>UN</v>
          </cell>
          <cell r="D1867">
            <v>125.83</v>
          </cell>
        </row>
        <row r="1868">
          <cell r="A1868">
            <v>84178</v>
          </cell>
          <cell r="B1868" t="str">
            <v>JUNCAO PVC PBA BPP DN 100</v>
          </cell>
          <cell r="C1868" t="str">
            <v>UN</v>
          </cell>
          <cell r="D1868">
            <v>188.3</v>
          </cell>
        </row>
        <row r="1869">
          <cell r="A1869">
            <v>84179</v>
          </cell>
          <cell r="B1869" t="str">
            <v>JUNCAO PVC PBA BPP DN 150</v>
          </cell>
          <cell r="C1869" t="str">
            <v>UN</v>
          </cell>
          <cell r="D1869">
            <v>499.23</v>
          </cell>
        </row>
        <row r="1870">
          <cell r="A1870">
            <v>84180</v>
          </cell>
          <cell r="B1870" t="str">
            <v>JUNCAO PVC PBA BPP DN 200</v>
          </cell>
          <cell r="C1870" t="str">
            <v>UN</v>
          </cell>
          <cell r="D1870">
            <v>834.57</v>
          </cell>
        </row>
        <row r="1871">
          <cell r="A1871">
            <v>84181</v>
          </cell>
          <cell r="B1871" t="str">
            <v>JUNCAO PVC PBA BPP DN 250</v>
          </cell>
          <cell r="C1871" t="str">
            <v>UN</v>
          </cell>
          <cell r="D1871">
            <v>1494.92</v>
          </cell>
        </row>
        <row r="1872">
          <cell r="A1872">
            <v>84182</v>
          </cell>
          <cell r="B1872" t="str">
            <v>JUNCAO PVC PBA BPP DN 300</v>
          </cell>
          <cell r="C1872" t="str">
            <v>UN</v>
          </cell>
          <cell r="D1872">
            <v>2361.69</v>
          </cell>
        </row>
        <row r="1873">
          <cell r="A1873">
            <v>84183</v>
          </cell>
          <cell r="B1873" t="str">
            <v>LUVA DE CORRER PVC PBA DN 50</v>
          </cell>
          <cell r="C1873" t="str">
            <v>UN</v>
          </cell>
          <cell r="D1873">
            <v>6.59</v>
          </cell>
        </row>
        <row r="1874">
          <cell r="A1874">
            <v>84184</v>
          </cell>
          <cell r="B1874" t="str">
            <v>LUVA DE CORRER PVC PBA DN 75</v>
          </cell>
          <cell r="C1874" t="str">
            <v>UN</v>
          </cell>
          <cell r="D1874">
            <v>15.74</v>
          </cell>
        </row>
        <row r="1875">
          <cell r="A1875">
            <v>84185</v>
          </cell>
          <cell r="B1875" t="str">
            <v>LUVA DE CORRER PVC PBA DN 100</v>
          </cell>
          <cell r="C1875" t="str">
            <v>UN</v>
          </cell>
          <cell r="D1875">
            <v>27.84</v>
          </cell>
        </row>
        <row r="1876">
          <cell r="A1876">
            <v>84186</v>
          </cell>
          <cell r="B1876" t="str">
            <v>LUVA DE CORRER PVC PBA DN 150</v>
          </cell>
          <cell r="C1876" t="str">
            <v>UN</v>
          </cell>
          <cell r="D1876">
            <v>78.180000000000007</v>
          </cell>
        </row>
        <row r="1877">
          <cell r="A1877">
            <v>84187</v>
          </cell>
          <cell r="B1877" t="str">
            <v>LUVA DE CORRER PVC PBA DN 200</v>
          </cell>
          <cell r="C1877" t="str">
            <v>UN</v>
          </cell>
          <cell r="D1877">
            <v>148.83000000000001</v>
          </cell>
        </row>
        <row r="1878">
          <cell r="A1878">
            <v>84188</v>
          </cell>
          <cell r="B1878" t="str">
            <v>LUVA DE CORRER PVC PBA DN 250</v>
          </cell>
          <cell r="C1878" t="str">
            <v>UN</v>
          </cell>
          <cell r="D1878">
            <v>286.61</v>
          </cell>
        </row>
        <row r="1879">
          <cell r="A1879">
            <v>84189</v>
          </cell>
          <cell r="B1879" t="str">
            <v>LUVA DE CORRER PVC PBA DN 300</v>
          </cell>
          <cell r="C1879" t="str">
            <v>UN</v>
          </cell>
          <cell r="D1879">
            <v>464.21</v>
          </cell>
        </row>
        <row r="1880">
          <cell r="A1880">
            <v>84190</v>
          </cell>
          <cell r="B1880" t="str">
            <v>LUVA SIMPLES PVC PBA DN 50</v>
          </cell>
          <cell r="C1880" t="str">
            <v>UN</v>
          </cell>
          <cell r="D1880">
            <v>6.77</v>
          </cell>
        </row>
        <row r="1881">
          <cell r="A1881">
            <v>84191</v>
          </cell>
          <cell r="B1881" t="str">
            <v>LUVA SIMPLES PVC PBA DN 75</v>
          </cell>
          <cell r="C1881" t="str">
            <v>UN</v>
          </cell>
          <cell r="D1881">
            <v>15.56</v>
          </cell>
        </row>
        <row r="1882">
          <cell r="A1882">
            <v>84192</v>
          </cell>
          <cell r="B1882" t="str">
            <v>LUVA SIMPLES PVC PBA DN 100</v>
          </cell>
          <cell r="C1882" t="str">
            <v>UN</v>
          </cell>
          <cell r="D1882">
            <v>25.23</v>
          </cell>
        </row>
        <row r="1883">
          <cell r="A1883">
            <v>84193</v>
          </cell>
          <cell r="B1883" t="str">
            <v>LUVA SIMPLES PVC PBA DN 150</v>
          </cell>
          <cell r="C1883" t="str">
            <v>UN</v>
          </cell>
          <cell r="D1883">
            <v>54.77</v>
          </cell>
        </row>
        <row r="1884">
          <cell r="A1884">
            <v>84194</v>
          </cell>
          <cell r="B1884" t="str">
            <v>LUVA SIMPLES PVC PBA DN 200</v>
          </cell>
          <cell r="C1884" t="str">
            <v>UN</v>
          </cell>
          <cell r="D1884">
            <v>121.8</v>
          </cell>
        </row>
        <row r="1885">
          <cell r="A1885">
            <v>84195</v>
          </cell>
          <cell r="B1885" t="str">
            <v>LUVA SIMPLES PVC PBA DN 250</v>
          </cell>
          <cell r="C1885" t="str">
            <v>UN</v>
          </cell>
          <cell r="D1885">
            <v>240.47</v>
          </cell>
        </row>
        <row r="1886">
          <cell r="A1886">
            <v>84196</v>
          </cell>
          <cell r="B1886" t="str">
            <v>LUVA SIMPLES PVC PBA DN 300</v>
          </cell>
          <cell r="C1886" t="str">
            <v>UN</v>
          </cell>
          <cell r="D1886">
            <v>410.09</v>
          </cell>
        </row>
        <row r="1887">
          <cell r="A1887">
            <v>84197</v>
          </cell>
          <cell r="B1887" t="str">
            <v>PLUG PVC PBA DN 50</v>
          </cell>
          <cell r="C1887" t="str">
            <v>UN</v>
          </cell>
          <cell r="D1887">
            <v>5.35</v>
          </cell>
        </row>
        <row r="1888">
          <cell r="A1888">
            <v>84198</v>
          </cell>
          <cell r="B1888" t="str">
            <v>PLUG PVC PBA DN 75</v>
          </cell>
          <cell r="C1888" t="str">
            <v>UN</v>
          </cell>
          <cell r="D1888">
            <v>12.91</v>
          </cell>
        </row>
        <row r="1889">
          <cell r="A1889">
            <v>84199</v>
          </cell>
          <cell r="B1889" t="str">
            <v>PLUG PVC PBA DN 100</v>
          </cell>
          <cell r="C1889" t="str">
            <v>UN</v>
          </cell>
          <cell r="D1889">
            <v>27.58</v>
          </cell>
        </row>
        <row r="1890">
          <cell r="A1890">
            <v>84201</v>
          </cell>
          <cell r="B1890" t="str">
            <v>PLUG PVC PBA DN 150</v>
          </cell>
          <cell r="C1890" t="str">
            <v>UN</v>
          </cell>
          <cell r="D1890">
            <v>166.06</v>
          </cell>
        </row>
        <row r="1891">
          <cell r="A1891">
            <v>84202</v>
          </cell>
          <cell r="B1891" t="str">
            <v>PLUG PVC PBA DN 200</v>
          </cell>
          <cell r="C1891" t="str">
            <v>UN</v>
          </cell>
          <cell r="D1891">
            <v>232.48</v>
          </cell>
        </row>
        <row r="1892">
          <cell r="A1892">
            <v>84203</v>
          </cell>
          <cell r="B1892" t="str">
            <v>PLUG PVC PBA DN 250</v>
          </cell>
          <cell r="C1892" t="str">
            <v>UN</v>
          </cell>
          <cell r="D1892">
            <v>389.41</v>
          </cell>
        </row>
        <row r="1893">
          <cell r="A1893">
            <v>84204</v>
          </cell>
          <cell r="B1893" t="str">
            <v>PLUG PVC PBA DN 300</v>
          </cell>
          <cell r="C1893" t="str">
            <v>UN</v>
          </cell>
          <cell r="D1893">
            <v>620.72</v>
          </cell>
        </row>
        <row r="1894">
          <cell r="A1894">
            <v>84205</v>
          </cell>
          <cell r="B1894" t="str">
            <v>REDUCAO PVC PBA BB DN 75 X 50</v>
          </cell>
          <cell r="C1894" t="str">
            <v>UN</v>
          </cell>
          <cell r="D1894">
            <v>27.63</v>
          </cell>
        </row>
        <row r="1895">
          <cell r="A1895">
            <v>84207</v>
          </cell>
          <cell r="B1895" t="str">
            <v>REDUCAO PVC PBA BB DN 100 X 50</v>
          </cell>
          <cell r="C1895" t="str">
            <v>UN</v>
          </cell>
          <cell r="D1895">
            <v>41.44</v>
          </cell>
        </row>
        <row r="1896">
          <cell r="A1896">
            <v>84208</v>
          </cell>
          <cell r="B1896" t="str">
            <v>REDUCAO PVC PBA BB DN 100 X 75</v>
          </cell>
          <cell r="C1896" t="str">
            <v>UN</v>
          </cell>
          <cell r="D1896">
            <v>52.06</v>
          </cell>
        </row>
        <row r="1897">
          <cell r="A1897">
            <v>84210</v>
          </cell>
          <cell r="B1897" t="str">
            <v>REDUCAO PVC PBA BB DN 150 X 75</v>
          </cell>
          <cell r="C1897" t="str">
            <v>UN</v>
          </cell>
          <cell r="D1897">
            <v>118.43</v>
          </cell>
        </row>
        <row r="1898">
          <cell r="A1898">
            <v>84211</v>
          </cell>
          <cell r="B1898" t="str">
            <v>REDUCAO PVC PBA BB DN 150 X 100</v>
          </cell>
          <cell r="C1898" t="str">
            <v>UN</v>
          </cell>
          <cell r="D1898">
            <v>159.72</v>
          </cell>
        </row>
        <row r="1899">
          <cell r="A1899">
            <v>84213</v>
          </cell>
          <cell r="B1899" t="str">
            <v>REDUCAO PVC PBA BB DN 200 X 100</v>
          </cell>
          <cell r="C1899" t="str">
            <v>UN</v>
          </cell>
          <cell r="D1899">
            <v>232.67</v>
          </cell>
        </row>
        <row r="1900">
          <cell r="A1900">
            <v>84214</v>
          </cell>
          <cell r="B1900" t="str">
            <v>REDUCAO PVC PBA BB DN 200 X 150</v>
          </cell>
          <cell r="C1900" t="str">
            <v>UN</v>
          </cell>
          <cell r="D1900">
            <v>233.88</v>
          </cell>
        </row>
        <row r="1901">
          <cell r="A1901">
            <v>84215</v>
          </cell>
          <cell r="B1901" t="str">
            <v>REDUCAO PVC PBA BB DN 250 X 150</v>
          </cell>
          <cell r="C1901" t="str">
            <v>UN</v>
          </cell>
          <cell r="D1901">
            <v>414.25</v>
          </cell>
        </row>
        <row r="1902">
          <cell r="A1902">
            <v>84216</v>
          </cell>
          <cell r="B1902" t="str">
            <v>REDUCAO PVC PBA BB DN 250 X 200</v>
          </cell>
          <cell r="C1902" t="str">
            <v>UN</v>
          </cell>
          <cell r="D1902">
            <v>449.86</v>
          </cell>
        </row>
        <row r="1903">
          <cell r="A1903">
            <v>84217</v>
          </cell>
          <cell r="B1903" t="str">
            <v>REDUCAO PVC PBA BB DN 300 X 150</v>
          </cell>
          <cell r="C1903" t="str">
            <v>UN</v>
          </cell>
          <cell r="D1903">
            <v>678.1</v>
          </cell>
        </row>
        <row r="1904">
          <cell r="A1904">
            <v>84218</v>
          </cell>
          <cell r="B1904" t="str">
            <v>REDUCAO PVC PBA BB DN 300 X 200</v>
          </cell>
          <cell r="C1904" t="str">
            <v>UN</v>
          </cell>
          <cell r="D1904">
            <v>736.43</v>
          </cell>
        </row>
        <row r="1905">
          <cell r="A1905">
            <v>84219</v>
          </cell>
          <cell r="B1905" t="str">
            <v>REDUCAO PVC PBA BB DN 300 X 250</v>
          </cell>
          <cell r="C1905" t="str">
            <v>UN</v>
          </cell>
          <cell r="D1905">
            <v>810.86</v>
          </cell>
        </row>
        <row r="1906">
          <cell r="A1906">
            <v>84220</v>
          </cell>
          <cell r="B1906" t="str">
            <v>REDUCAO PVC PBA BP DN 75 X 50</v>
          </cell>
          <cell r="C1906" t="str">
            <v>UN</v>
          </cell>
          <cell r="D1906">
            <v>23.55</v>
          </cell>
        </row>
        <row r="1907">
          <cell r="A1907">
            <v>84222</v>
          </cell>
          <cell r="B1907" t="str">
            <v>REDUCAO PVC PBA BP DN 100 X 50</v>
          </cell>
          <cell r="C1907" t="str">
            <v>UN</v>
          </cell>
          <cell r="D1907">
            <v>38.659999999999997</v>
          </cell>
        </row>
        <row r="1908">
          <cell r="A1908">
            <v>84223</v>
          </cell>
          <cell r="B1908" t="str">
            <v>REDUCAO PVC PBA BP DN 100 X 75</v>
          </cell>
          <cell r="C1908" t="str">
            <v>UN</v>
          </cell>
          <cell r="D1908">
            <v>46.33</v>
          </cell>
        </row>
        <row r="1909">
          <cell r="A1909">
            <v>84225</v>
          </cell>
          <cell r="B1909" t="str">
            <v>REDUCAO PVC PBA BP DN 150 X 75</v>
          </cell>
          <cell r="C1909" t="str">
            <v>UN</v>
          </cell>
          <cell r="D1909">
            <v>112.7</v>
          </cell>
        </row>
        <row r="1910">
          <cell r="A1910">
            <v>84226</v>
          </cell>
          <cell r="B1910" t="str">
            <v>REDUCAO PVC PBA BP DN 150 X 100</v>
          </cell>
          <cell r="C1910" t="str">
            <v>UN</v>
          </cell>
          <cell r="D1910">
            <v>99.78</v>
          </cell>
        </row>
        <row r="1911">
          <cell r="A1911">
            <v>84228</v>
          </cell>
          <cell r="B1911" t="str">
            <v>REDUCAO PVC PBA BP DN 200 X 100</v>
          </cell>
          <cell r="C1911" t="str">
            <v>UN</v>
          </cell>
          <cell r="D1911">
            <v>223.66</v>
          </cell>
        </row>
        <row r="1912">
          <cell r="A1912">
            <v>84229</v>
          </cell>
          <cell r="B1912" t="str">
            <v>REDUCAO PVC PBA BP DN 200 X 150</v>
          </cell>
          <cell r="C1912" t="str">
            <v>UN</v>
          </cell>
          <cell r="D1912">
            <v>218.79</v>
          </cell>
        </row>
        <row r="1913">
          <cell r="A1913">
            <v>84230</v>
          </cell>
          <cell r="B1913" t="str">
            <v>REDUCAO PVC PBA BP DN 250 X 150</v>
          </cell>
          <cell r="C1913" t="str">
            <v>UN</v>
          </cell>
          <cell r="D1913">
            <v>399.16</v>
          </cell>
        </row>
        <row r="1914">
          <cell r="A1914">
            <v>84231</v>
          </cell>
          <cell r="B1914" t="str">
            <v>REDUCAO PVC PBA BP DN 250 X 200</v>
          </cell>
          <cell r="C1914" t="str">
            <v>UN</v>
          </cell>
          <cell r="D1914">
            <v>423.12</v>
          </cell>
        </row>
        <row r="1915">
          <cell r="A1915">
            <v>84232</v>
          </cell>
          <cell r="B1915" t="str">
            <v>REDUCAO PVC PBA BP DN 300 X 150</v>
          </cell>
          <cell r="C1915" t="str">
            <v>UN</v>
          </cell>
          <cell r="D1915">
            <v>663.01</v>
          </cell>
        </row>
        <row r="1916">
          <cell r="A1916">
            <v>84233</v>
          </cell>
          <cell r="B1916" t="str">
            <v>REDUCAO PVC PBA BP DN 300 X 200</v>
          </cell>
          <cell r="C1916" t="str">
            <v>UN</v>
          </cell>
          <cell r="D1916">
            <v>709.69</v>
          </cell>
        </row>
        <row r="1917">
          <cell r="A1917">
            <v>84234</v>
          </cell>
          <cell r="B1917" t="str">
            <v>REDUCAO PVC PBA BP DN 300 X 250</v>
          </cell>
          <cell r="C1917" t="str">
            <v>UN</v>
          </cell>
          <cell r="D1917">
            <v>744.28</v>
          </cell>
        </row>
        <row r="1918">
          <cell r="A1918">
            <v>84236</v>
          </cell>
          <cell r="B1918" t="str">
            <v>REDUCAO PVC PBA PB DN 75 X 50</v>
          </cell>
          <cell r="C1918" t="str">
            <v>UN</v>
          </cell>
          <cell r="D1918">
            <v>15.93</v>
          </cell>
        </row>
        <row r="1919">
          <cell r="A1919">
            <v>84238</v>
          </cell>
          <cell r="B1919" t="str">
            <v>REDUCAO PVC PBA PB DN 100 X 50</v>
          </cell>
          <cell r="C1919" t="str">
            <v>UN</v>
          </cell>
          <cell r="D1919">
            <v>28.66</v>
          </cell>
        </row>
        <row r="1920">
          <cell r="A1920">
            <v>84239</v>
          </cell>
          <cell r="B1920" t="str">
            <v>REDUCAO PVC PBA PB DN 100 X 75</v>
          </cell>
          <cell r="C1920" t="str">
            <v>UN</v>
          </cell>
          <cell r="D1920">
            <v>33.94</v>
          </cell>
        </row>
        <row r="1921">
          <cell r="A1921">
            <v>84241</v>
          </cell>
          <cell r="B1921" t="str">
            <v>REDUCAO PVC PBA PB DN 150 X 75</v>
          </cell>
          <cell r="C1921" t="str">
            <v>UN</v>
          </cell>
          <cell r="D1921">
            <v>103.35</v>
          </cell>
        </row>
        <row r="1922">
          <cell r="A1922">
            <v>84242</v>
          </cell>
          <cell r="B1922" t="str">
            <v>REDUCAO PVC PBA PB DN 150 X 100</v>
          </cell>
          <cell r="C1922" t="str">
            <v>UN</v>
          </cell>
          <cell r="D1922">
            <v>93.7</v>
          </cell>
        </row>
        <row r="1923">
          <cell r="A1923">
            <v>84244</v>
          </cell>
          <cell r="B1923" t="str">
            <v>REDUCAO PVC PBA PB DN 200 X 100</v>
          </cell>
          <cell r="C1923" t="str">
            <v>UN</v>
          </cell>
          <cell r="D1923">
            <v>205.95</v>
          </cell>
        </row>
        <row r="1924">
          <cell r="A1924">
            <v>84245</v>
          </cell>
          <cell r="B1924" t="str">
            <v>REDUCAO PVC PBA PB DN 200 X 150</v>
          </cell>
          <cell r="C1924" t="str">
            <v>UN</v>
          </cell>
          <cell r="D1924">
            <v>207.16</v>
          </cell>
        </row>
        <row r="1925">
          <cell r="A1925">
            <v>84246</v>
          </cell>
          <cell r="B1925" t="str">
            <v>REDUCAO PVC PBA PB DN 250 X 100</v>
          </cell>
          <cell r="C1925" t="str">
            <v>UN</v>
          </cell>
          <cell r="D1925">
            <v>0</v>
          </cell>
        </row>
        <row r="1926">
          <cell r="A1926">
            <v>84247</v>
          </cell>
          <cell r="B1926" t="str">
            <v>REDUCAO PVC PBA PB DN 250 X 150</v>
          </cell>
          <cell r="C1926" t="str">
            <v>UN</v>
          </cell>
          <cell r="D1926">
            <v>347.66</v>
          </cell>
        </row>
        <row r="1927">
          <cell r="A1927">
            <v>84248</v>
          </cell>
          <cell r="B1927" t="str">
            <v>REDUCAO PVC PBA PB DN 250 X 200</v>
          </cell>
          <cell r="C1927" t="str">
            <v>UN</v>
          </cell>
          <cell r="D1927">
            <v>383.27</v>
          </cell>
        </row>
        <row r="1928">
          <cell r="A1928">
            <v>84249</v>
          </cell>
          <cell r="B1928" t="str">
            <v>REDUCAO PVC PBA PB DN 300 X 150</v>
          </cell>
          <cell r="C1928" t="str">
            <v>UN</v>
          </cell>
          <cell r="D1928">
            <v>571.34</v>
          </cell>
        </row>
        <row r="1929">
          <cell r="A1929">
            <v>84250</v>
          </cell>
          <cell r="B1929" t="str">
            <v>REDUCAO PVC PBA PB DN 300 X 200</v>
          </cell>
          <cell r="C1929" t="str">
            <v>UN</v>
          </cell>
          <cell r="D1929">
            <v>629.66999999999996</v>
          </cell>
        </row>
        <row r="1930">
          <cell r="A1930">
            <v>84251</v>
          </cell>
          <cell r="B1930" t="str">
            <v>REDUCAO PVC PBA PB DN 300 X 250</v>
          </cell>
          <cell r="C1930" t="str">
            <v>UN</v>
          </cell>
          <cell r="D1930">
            <v>704.1</v>
          </cell>
        </row>
        <row r="1931">
          <cell r="A1931">
            <v>84252</v>
          </cell>
          <cell r="B1931" t="str">
            <v>TE 90G PVC PBA BBB DN 50</v>
          </cell>
          <cell r="C1931" t="str">
            <v>UN</v>
          </cell>
          <cell r="D1931">
            <v>11.48</v>
          </cell>
        </row>
        <row r="1932">
          <cell r="A1932">
            <v>84253</v>
          </cell>
          <cell r="B1932" t="str">
            <v>TE 90G PVC PBA BBB DN 75</v>
          </cell>
          <cell r="C1932" t="str">
            <v>UN</v>
          </cell>
          <cell r="D1932">
            <v>26.86</v>
          </cell>
        </row>
        <row r="1933">
          <cell r="A1933">
            <v>84254</v>
          </cell>
          <cell r="B1933" t="str">
            <v>TE 90G PVC PBA BBB DN 100</v>
          </cell>
          <cell r="C1933" t="str">
            <v>UN</v>
          </cell>
          <cell r="D1933">
            <v>47.96</v>
          </cell>
        </row>
        <row r="1934">
          <cell r="A1934">
            <v>84255</v>
          </cell>
          <cell r="B1934" t="str">
            <v>TE 90G PVC PBA BBB DN 150</v>
          </cell>
          <cell r="C1934" t="str">
            <v>UN</v>
          </cell>
          <cell r="D1934">
            <v>535.1</v>
          </cell>
        </row>
        <row r="1935">
          <cell r="A1935">
            <v>84256</v>
          </cell>
          <cell r="B1935" t="str">
            <v>TE 90G PVC PBA BBB DN 200</v>
          </cell>
          <cell r="C1935" t="str">
            <v>UN</v>
          </cell>
          <cell r="D1935">
            <v>798.11</v>
          </cell>
        </row>
        <row r="1936">
          <cell r="A1936">
            <v>84257</v>
          </cell>
          <cell r="B1936" t="str">
            <v>TE 90G PVC PBA BBB DN 250</v>
          </cell>
          <cell r="C1936" t="str">
            <v>UN</v>
          </cell>
          <cell r="D1936">
            <v>1409.09</v>
          </cell>
        </row>
        <row r="1937">
          <cell r="A1937">
            <v>84258</v>
          </cell>
          <cell r="B1937" t="str">
            <v>TE 90G PVC PBA BBB DN 300</v>
          </cell>
          <cell r="C1937" t="str">
            <v>UN</v>
          </cell>
          <cell r="D1937">
            <v>2156.4899999999998</v>
          </cell>
        </row>
        <row r="1938">
          <cell r="A1938">
            <v>84259</v>
          </cell>
          <cell r="B1938" t="str">
            <v>TE 90G PVC PBA BBP DN 50</v>
          </cell>
          <cell r="C1938" t="str">
            <v>UN</v>
          </cell>
          <cell r="D1938">
            <v>21.61</v>
          </cell>
        </row>
        <row r="1939">
          <cell r="A1939">
            <v>84260</v>
          </cell>
          <cell r="B1939" t="str">
            <v>TE 90G PVC PBA BBP DN 75</v>
          </cell>
          <cell r="C1939" t="str">
            <v>UN</v>
          </cell>
          <cell r="D1939">
            <v>59.91</v>
          </cell>
        </row>
        <row r="1940">
          <cell r="A1940">
            <v>84261</v>
          </cell>
          <cell r="B1940" t="str">
            <v>TE 90G PVC PBA BBP DN 100</v>
          </cell>
          <cell r="C1940" t="str">
            <v>UN</v>
          </cell>
          <cell r="D1940">
            <v>112.99</v>
          </cell>
        </row>
        <row r="1941">
          <cell r="A1941">
            <v>84262</v>
          </cell>
          <cell r="B1941" t="str">
            <v>TE 90G PVC PBA BBP DN 150</v>
          </cell>
          <cell r="C1941" t="str">
            <v>UN</v>
          </cell>
          <cell r="D1941">
            <v>520.01</v>
          </cell>
        </row>
        <row r="1942">
          <cell r="A1942">
            <v>84263</v>
          </cell>
          <cell r="B1942" t="str">
            <v>TE 90G PVC PBA BBP DN 200</v>
          </cell>
          <cell r="C1942" t="str">
            <v>UN</v>
          </cell>
          <cell r="D1942">
            <v>771.39</v>
          </cell>
        </row>
        <row r="1943">
          <cell r="A1943">
            <v>84264</v>
          </cell>
          <cell r="B1943" t="str">
            <v>TE 90G PVC PBA BBP DN 250</v>
          </cell>
          <cell r="C1943" t="str">
            <v>UN</v>
          </cell>
          <cell r="D1943">
            <v>1342.5</v>
          </cell>
        </row>
        <row r="1944">
          <cell r="A1944">
            <v>84265</v>
          </cell>
          <cell r="B1944" t="str">
            <v>TE 90G PVC PBA BBP DN 300</v>
          </cell>
          <cell r="C1944" t="str">
            <v>UN</v>
          </cell>
          <cell r="D1944">
            <v>2024.53</v>
          </cell>
        </row>
        <row r="1945">
          <cell r="A1945">
            <v>84266</v>
          </cell>
          <cell r="B1945" t="str">
            <v>TE 90G PVC PBA BPP DN 50</v>
          </cell>
          <cell r="C1945" t="str">
            <v>UN</v>
          </cell>
          <cell r="D1945">
            <v>18.829999999999998</v>
          </cell>
        </row>
        <row r="1946">
          <cell r="A1946">
            <v>84267</v>
          </cell>
          <cell r="B1946" t="str">
            <v>TE 90G PVC PBA BPP DN 75</v>
          </cell>
          <cell r="C1946" t="str">
            <v>UN</v>
          </cell>
          <cell r="D1946">
            <v>54.18</v>
          </cell>
        </row>
        <row r="1947">
          <cell r="A1947">
            <v>84268</v>
          </cell>
          <cell r="B1947" t="str">
            <v>TE 90G PVC PBA BPP DN 100</v>
          </cell>
          <cell r="C1947" t="str">
            <v>UN</v>
          </cell>
          <cell r="D1947">
            <v>103.97</v>
          </cell>
        </row>
        <row r="1948">
          <cell r="A1948">
            <v>84269</v>
          </cell>
          <cell r="B1948" t="str">
            <v>TE 90G PVC PBA BPP DN 150</v>
          </cell>
          <cell r="C1948" t="str">
            <v>UN</v>
          </cell>
          <cell r="D1948">
            <v>462.88</v>
          </cell>
        </row>
        <row r="1949">
          <cell r="A1949">
            <v>84270</v>
          </cell>
          <cell r="B1949" t="str">
            <v>TE 90G PVC PBA BPP DN 200</v>
          </cell>
          <cell r="C1949" t="str">
            <v>UN</v>
          </cell>
          <cell r="D1949">
            <v>744.66</v>
          </cell>
        </row>
        <row r="1950">
          <cell r="A1950">
            <v>84271</v>
          </cell>
          <cell r="B1950" t="str">
            <v>TE 90G PVC PBA BPP DN 250</v>
          </cell>
          <cell r="C1950" t="str">
            <v>UN</v>
          </cell>
          <cell r="D1950">
            <v>1275.9100000000001</v>
          </cell>
        </row>
        <row r="1951">
          <cell r="A1951">
            <v>84272</v>
          </cell>
          <cell r="B1951" t="str">
            <v>TE 90G PVC PBA BPP DN 300</v>
          </cell>
          <cell r="C1951" t="str">
            <v>UN</v>
          </cell>
          <cell r="D1951">
            <v>2024.53</v>
          </cell>
        </row>
        <row r="1952">
          <cell r="A1952">
            <v>84274</v>
          </cell>
          <cell r="B1952" t="str">
            <v>TE RD 90G PVC PBA BBB DN 75 X 50</v>
          </cell>
          <cell r="C1952" t="str">
            <v>UN</v>
          </cell>
          <cell r="D1952">
            <v>22.72</v>
          </cell>
        </row>
        <row r="1953">
          <cell r="A1953">
            <v>84276</v>
          </cell>
          <cell r="B1953" t="str">
            <v>TE RD 90G PVC PBA BBB DN 100 X 50</v>
          </cell>
          <cell r="C1953" t="str">
            <v>UN</v>
          </cell>
          <cell r="D1953">
            <v>39.43</v>
          </cell>
        </row>
        <row r="1954">
          <cell r="A1954">
            <v>84277</v>
          </cell>
          <cell r="B1954" t="str">
            <v>TE RD 90G PVC PBA BBB DN 100 X 75</v>
          </cell>
          <cell r="C1954" t="str">
            <v>UN</v>
          </cell>
          <cell r="D1954">
            <v>42.85</v>
          </cell>
        </row>
        <row r="1955">
          <cell r="A1955">
            <v>84279</v>
          </cell>
          <cell r="B1955" t="str">
            <v>TE RD 90G PVC PBA BBB DN 150 X 75</v>
          </cell>
          <cell r="C1955" t="str">
            <v>UN</v>
          </cell>
          <cell r="D1955">
            <v>241.44</v>
          </cell>
        </row>
        <row r="1956">
          <cell r="A1956">
            <v>84280</v>
          </cell>
          <cell r="B1956" t="str">
            <v>TE RD 90G PVC PBA BBB DN 150 X 100</v>
          </cell>
          <cell r="C1956" t="str">
            <v>UN</v>
          </cell>
          <cell r="D1956">
            <v>421.7</v>
          </cell>
        </row>
        <row r="1957">
          <cell r="A1957">
            <v>84282</v>
          </cell>
          <cell r="B1957" t="str">
            <v>TE RD 90G PVC PBA BBB DN 200 X 100</v>
          </cell>
          <cell r="C1957" t="str">
            <v>UN</v>
          </cell>
          <cell r="D1957">
            <v>605.79999999999995</v>
          </cell>
        </row>
        <row r="1958">
          <cell r="A1958">
            <v>84283</v>
          </cell>
          <cell r="B1958" t="str">
            <v>TE RD 90G PVC PBA BBB DN 200 X 150</v>
          </cell>
          <cell r="C1958" t="str">
            <v>UN</v>
          </cell>
          <cell r="D1958">
            <v>727.05</v>
          </cell>
        </row>
        <row r="1959">
          <cell r="A1959">
            <v>84285</v>
          </cell>
          <cell r="B1959" t="str">
            <v>TE RD 90G PVC PBA BBB DN 250 X 150</v>
          </cell>
          <cell r="C1959" t="str">
            <v>UN</v>
          </cell>
          <cell r="D1959">
            <v>1098.3499999999999</v>
          </cell>
        </row>
        <row r="1960">
          <cell r="A1960">
            <v>84286</v>
          </cell>
          <cell r="B1960" t="str">
            <v>TE RD 90G PVC PBA BBB DN 250 X 200</v>
          </cell>
          <cell r="C1960" t="str">
            <v>UN</v>
          </cell>
          <cell r="D1960">
            <v>1150.06</v>
          </cell>
        </row>
        <row r="1961">
          <cell r="A1961">
            <v>84287</v>
          </cell>
          <cell r="B1961" t="str">
            <v>TE RD 90G PVC PBA BBB DN 300 X 150</v>
          </cell>
          <cell r="C1961" t="str">
            <v>UN</v>
          </cell>
          <cell r="D1961">
            <v>1540.44</v>
          </cell>
        </row>
        <row r="1962">
          <cell r="A1962">
            <v>84288</v>
          </cell>
          <cell r="B1962" t="str">
            <v>TE RD 90G PVC PBA BBB DN 300 X 200</v>
          </cell>
          <cell r="C1962" t="str">
            <v>UN</v>
          </cell>
          <cell r="D1962">
            <v>1672.66</v>
          </cell>
        </row>
        <row r="1963">
          <cell r="A1963">
            <v>84289</v>
          </cell>
          <cell r="B1963" t="str">
            <v>TE RD 90G PVC PBA BBB DN 300 X 250</v>
          </cell>
          <cell r="C1963" t="str">
            <v>UN</v>
          </cell>
          <cell r="D1963">
            <v>1946.46</v>
          </cell>
        </row>
        <row r="1964">
          <cell r="A1964">
            <v>84290</v>
          </cell>
          <cell r="B1964" t="str">
            <v>TE RD 90G PVC PBA BBP DN 75 X 50</v>
          </cell>
          <cell r="C1964" t="str">
            <v>UN</v>
          </cell>
          <cell r="D1964">
            <v>45.27</v>
          </cell>
        </row>
        <row r="1965">
          <cell r="A1965">
            <v>84292</v>
          </cell>
          <cell r="B1965" t="str">
            <v>TE RD 90G PVC PBA BBP DN 100 X 50</v>
          </cell>
          <cell r="C1965" t="str">
            <v>UN</v>
          </cell>
          <cell r="D1965">
            <v>66.489999999999995</v>
          </cell>
        </row>
        <row r="1966">
          <cell r="A1966">
            <v>84293</v>
          </cell>
          <cell r="B1966" t="str">
            <v>TE RD 90G PVC PBA BBP DN 100 X 75</v>
          </cell>
          <cell r="C1966" t="str">
            <v>UN</v>
          </cell>
          <cell r="D1966">
            <v>96.64</v>
          </cell>
        </row>
        <row r="1967">
          <cell r="A1967">
            <v>84295</v>
          </cell>
          <cell r="B1967" t="str">
            <v>TE RD 90G PVC PBA BBP DN 150 X 75</v>
          </cell>
          <cell r="C1967" t="str">
            <v>UN</v>
          </cell>
          <cell r="D1967">
            <v>226.37</v>
          </cell>
        </row>
        <row r="1968">
          <cell r="A1968">
            <v>84296</v>
          </cell>
          <cell r="B1968" t="str">
            <v>TE RD 90G PVC PBA BBP DN 150 X 100</v>
          </cell>
          <cell r="C1968" t="str">
            <v>UN</v>
          </cell>
          <cell r="D1968">
            <v>406.62</v>
          </cell>
        </row>
        <row r="1969">
          <cell r="A1969">
            <v>84298</v>
          </cell>
          <cell r="B1969" t="str">
            <v>TE RD 90G PVC PBA BBP DN 200 X 100</v>
          </cell>
          <cell r="C1969" t="str">
            <v>UN</v>
          </cell>
          <cell r="D1969">
            <v>579.05999999999995</v>
          </cell>
        </row>
        <row r="1970">
          <cell r="A1970">
            <v>84299</v>
          </cell>
          <cell r="B1970" t="str">
            <v>TE RD 90G PVC PBA BBP DN 200 X 150</v>
          </cell>
          <cell r="C1970" t="str">
            <v>UN</v>
          </cell>
          <cell r="D1970">
            <v>700.33</v>
          </cell>
        </row>
        <row r="1971">
          <cell r="A1971">
            <v>84301</v>
          </cell>
          <cell r="B1971" t="str">
            <v>TE RD 90G PVC PBA BBP DN 250 X 150</v>
          </cell>
          <cell r="C1971" t="str">
            <v>UN</v>
          </cell>
          <cell r="D1971">
            <v>1031.77</v>
          </cell>
        </row>
        <row r="1972">
          <cell r="A1972">
            <v>84302</v>
          </cell>
          <cell r="B1972" t="str">
            <v>TE RD 90G PVC PBA BBP DN 250 X 200</v>
          </cell>
          <cell r="C1972" t="str">
            <v>UN</v>
          </cell>
          <cell r="D1972">
            <v>1083.47</v>
          </cell>
        </row>
        <row r="1973">
          <cell r="A1973">
            <v>84303</v>
          </cell>
          <cell r="B1973" t="str">
            <v>TE RD 90G PVC PBA BBP DN 300 X 150</v>
          </cell>
          <cell r="C1973" t="str">
            <v>UN</v>
          </cell>
          <cell r="D1973">
            <v>1433.68</v>
          </cell>
        </row>
        <row r="1974">
          <cell r="A1974">
            <v>84304</v>
          </cell>
          <cell r="B1974" t="str">
            <v>TE RD 90G PVC PBA BBP DN 300 X 200</v>
          </cell>
          <cell r="C1974" t="str">
            <v>UN</v>
          </cell>
          <cell r="D1974">
            <v>1547.2</v>
          </cell>
        </row>
        <row r="1975">
          <cell r="A1975">
            <v>84305</v>
          </cell>
          <cell r="B1975" t="str">
            <v>TE RD 90G PVC PBA BBP DN 300 X 250</v>
          </cell>
          <cell r="C1975" t="str">
            <v>UN</v>
          </cell>
          <cell r="D1975">
            <v>1839.7</v>
          </cell>
        </row>
        <row r="1976">
          <cell r="A1976">
            <v>84306</v>
          </cell>
          <cell r="B1976" t="str">
            <v>TE RD 90G PVC PBA BPP DN 75 X 50</v>
          </cell>
          <cell r="C1976" t="str">
            <v>UN</v>
          </cell>
          <cell r="D1976">
            <v>42.45</v>
          </cell>
        </row>
        <row r="1977">
          <cell r="A1977">
            <v>84308</v>
          </cell>
          <cell r="B1977" t="str">
            <v>TE RD 90G PVC PBA BPP DN 100 X 50</v>
          </cell>
          <cell r="C1977" t="str">
            <v>UN</v>
          </cell>
          <cell r="D1977">
            <v>63.72</v>
          </cell>
        </row>
        <row r="1978">
          <cell r="A1978">
            <v>84309</v>
          </cell>
          <cell r="B1978" t="str">
            <v>TE RD 90G PVC PBA BPP DN 100 X 75</v>
          </cell>
          <cell r="C1978" t="str">
            <v>UN</v>
          </cell>
          <cell r="D1978">
            <v>90.92</v>
          </cell>
        </row>
        <row r="1979">
          <cell r="A1979">
            <v>84311</v>
          </cell>
          <cell r="B1979" t="str">
            <v>TE RD 90G PVC PBA BPP DN 150 X 75</v>
          </cell>
          <cell r="C1979" t="str">
            <v>UN</v>
          </cell>
          <cell r="D1979">
            <v>220.63</v>
          </cell>
        </row>
        <row r="1980">
          <cell r="A1980">
            <v>84312</v>
          </cell>
          <cell r="B1980" t="str">
            <v>TE RD 90G PVC PBA BPP DN 150 X 100</v>
          </cell>
          <cell r="C1980" t="str">
            <v>UN</v>
          </cell>
          <cell r="D1980">
            <v>397.61</v>
          </cell>
        </row>
        <row r="1981">
          <cell r="A1981">
            <v>84314</v>
          </cell>
          <cell r="B1981" t="str">
            <v>TE RD 90G PVC PBA BPP DN 200 X 100</v>
          </cell>
          <cell r="C1981" t="str">
            <v>UN</v>
          </cell>
          <cell r="D1981">
            <v>570.04999999999995</v>
          </cell>
        </row>
        <row r="1982">
          <cell r="A1982">
            <v>84315</v>
          </cell>
          <cell r="B1982" t="str">
            <v>TE RD 90G PVC PBA BPP DN 200 X 150</v>
          </cell>
          <cell r="C1982" t="str">
            <v>UN</v>
          </cell>
          <cell r="D1982">
            <v>685.24</v>
          </cell>
        </row>
        <row r="1983">
          <cell r="A1983">
            <v>84316</v>
          </cell>
          <cell r="B1983" t="str">
            <v>TE RD 90G PVC PBA BPP DN 250 X 100</v>
          </cell>
          <cell r="C1983" t="str">
            <v>UN</v>
          </cell>
          <cell r="D1983">
            <v>0</v>
          </cell>
        </row>
        <row r="1984">
          <cell r="A1984">
            <v>84317</v>
          </cell>
          <cell r="B1984" t="str">
            <v>TE RD 90G PVC PBA BPP DN 250 X 150</v>
          </cell>
          <cell r="C1984" t="str">
            <v>UN</v>
          </cell>
          <cell r="D1984">
            <v>1016.68</v>
          </cell>
        </row>
        <row r="1985">
          <cell r="A1985">
            <v>84318</v>
          </cell>
          <cell r="B1985" t="str">
            <v>TE RD 90G PVC PBA BPP DN 250 X 200</v>
          </cell>
          <cell r="C1985" t="str">
            <v>UN</v>
          </cell>
          <cell r="D1985">
            <v>1056.74</v>
          </cell>
        </row>
        <row r="1986">
          <cell r="A1986">
            <v>84320</v>
          </cell>
          <cell r="B1986" t="str">
            <v>TE RD 90G PVC PBA BPP DN 300 X 150</v>
          </cell>
          <cell r="C1986" t="str">
            <v>UN</v>
          </cell>
          <cell r="D1986">
            <v>1418.59</v>
          </cell>
        </row>
        <row r="1987">
          <cell r="A1987">
            <v>84321</v>
          </cell>
          <cell r="B1987" t="str">
            <v>TE RD 90G PVC PBA BPP DN 300 X 200</v>
          </cell>
          <cell r="C1987" t="str">
            <v>UN</v>
          </cell>
          <cell r="D1987">
            <v>1520.46</v>
          </cell>
        </row>
        <row r="1988">
          <cell r="A1988">
            <v>84322</v>
          </cell>
          <cell r="B1988" t="str">
            <v>TE RD 90G PVC PBA BPP DN 300 X 250</v>
          </cell>
          <cell r="C1988" t="str">
            <v>UN</v>
          </cell>
          <cell r="D1988">
            <v>1753.11</v>
          </cell>
        </row>
        <row r="1990">
          <cell r="B1990" t="str">
            <v>84400 TUBO PVC JS PBS</v>
          </cell>
        </row>
        <row r="1992">
          <cell r="A1992">
            <v>84401</v>
          </cell>
          <cell r="B1992" t="str">
            <v>TUBO PVC PBS CL 15 DN 150</v>
          </cell>
          <cell r="C1992" t="str">
            <v>M</v>
          </cell>
          <cell r="D1992">
            <v>30.03</v>
          </cell>
        </row>
        <row r="1993">
          <cell r="A1993">
            <v>84402</v>
          </cell>
          <cell r="B1993" t="str">
            <v>TUBO PVC PBS CL 15 DN 200</v>
          </cell>
          <cell r="C1993" t="str">
            <v>M</v>
          </cell>
          <cell r="D1993">
            <v>47.63</v>
          </cell>
        </row>
        <row r="1994">
          <cell r="A1994">
            <v>84403</v>
          </cell>
          <cell r="B1994" t="str">
            <v>TUBO PVC PBS CL 15 DN 250</v>
          </cell>
          <cell r="C1994" t="str">
            <v>M</v>
          </cell>
          <cell r="D1994">
            <v>76.069999999999993</v>
          </cell>
        </row>
        <row r="1995">
          <cell r="A1995">
            <v>84404</v>
          </cell>
          <cell r="B1995" t="str">
            <v>TUBO PVC PBS CL 15 DN 300</v>
          </cell>
          <cell r="C1995" t="str">
            <v>M</v>
          </cell>
          <cell r="D1995">
            <v>107.07</v>
          </cell>
        </row>
        <row r="1996">
          <cell r="A1996">
            <v>84405</v>
          </cell>
          <cell r="B1996" t="str">
            <v>TUBO PVC PBS CL 20 DN 50</v>
          </cell>
          <cell r="C1996" t="str">
            <v>M</v>
          </cell>
          <cell r="D1996">
            <v>5.44</v>
          </cell>
        </row>
        <row r="1997">
          <cell r="A1997">
            <v>84406</v>
          </cell>
          <cell r="B1997" t="str">
            <v>TUBO PVC PBS CL 20 DN 75</v>
          </cell>
          <cell r="C1997" t="str">
            <v>M</v>
          </cell>
          <cell r="D1997">
            <v>10.87</v>
          </cell>
        </row>
        <row r="1998">
          <cell r="A1998">
            <v>84407</v>
          </cell>
          <cell r="B1998" t="str">
            <v>TUBO PVC PBS CL 20 DN 100</v>
          </cell>
          <cell r="C1998" t="str">
            <v>M</v>
          </cell>
          <cell r="D1998">
            <v>18.03</v>
          </cell>
        </row>
        <row r="1999">
          <cell r="A1999">
            <v>84408</v>
          </cell>
          <cell r="B1999" t="str">
            <v>TUBO PVC PBS CL 20 DN 150</v>
          </cell>
          <cell r="C1999" t="str">
            <v>M</v>
          </cell>
          <cell r="D1999">
            <v>38.07</v>
          </cell>
        </row>
        <row r="2000">
          <cell r="A2000">
            <v>84409</v>
          </cell>
          <cell r="B2000" t="str">
            <v>TUBO PVC PBS CL 20 DN 200</v>
          </cell>
          <cell r="C2000" t="str">
            <v>M</v>
          </cell>
          <cell r="D2000">
            <v>59.58</v>
          </cell>
        </row>
        <row r="2001">
          <cell r="A2001">
            <v>84410</v>
          </cell>
          <cell r="B2001" t="str">
            <v>TUBO PVC PBS CL 20 DN 250</v>
          </cell>
          <cell r="C2001" t="str">
            <v>M</v>
          </cell>
          <cell r="D2001">
            <v>94.88</v>
          </cell>
        </row>
        <row r="2002">
          <cell r="A2002">
            <v>84411</v>
          </cell>
          <cell r="B2002" t="str">
            <v>TUBO PVC PBS CL 20 DN 300</v>
          </cell>
          <cell r="C2002" t="str">
            <v>M</v>
          </cell>
          <cell r="D2002">
            <v>132.5</v>
          </cell>
        </row>
        <row r="2003">
          <cell r="A2003">
            <v>84412</v>
          </cell>
          <cell r="B2003" t="str">
            <v>AD PVC PBS/F A BOLSA/ROSCA DN 150</v>
          </cell>
          <cell r="C2003" t="str">
            <v>UN</v>
          </cell>
          <cell r="D2003">
            <v>45.32</v>
          </cell>
        </row>
        <row r="2004">
          <cell r="A2004">
            <v>84413</v>
          </cell>
          <cell r="B2004" t="str">
            <v>AD PVC PBS/F A BOLSA/ROSCA DN 200</v>
          </cell>
          <cell r="C2004" t="str">
            <v>UN</v>
          </cell>
          <cell r="D2004">
            <v>95.64</v>
          </cell>
        </row>
        <row r="2005">
          <cell r="A2005">
            <v>84414</v>
          </cell>
          <cell r="B2005" t="str">
            <v>AD PVC PBS/F A BOLSA/ROSCA DN 250</v>
          </cell>
          <cell r="C2005" t="str">
            <v>UN</v>
          </cell>
          <cell r="D2005">
            <v>157.44</v>
          </cell>
        </row>
        <row r="2006">
          <cell r="A2006">
            <v>84415</v>
          </cell>
          <cell r="B2006" t="str">
            <v>AD PVC PBS/F A BOLSA/ROSCA DN 300</v>
          </cell>
          <cell r="C2006" t="str">
            <v>UN</v>
          </cell>
          <cell r="D2006">
            <v>349.08</v>
          </cell>
        </row>
        <row r="2007">
          <cell r="A2007">
            <v>84416</v>
          </cell>
          <cell r="B2007" t="str">
            <v>AD PVC PBS/F A BOLSA F0F0 JE DN 50</v>
          </cell>
          <cell r="C2007" t="str">
            <v>UN</v>
          </cell>
          <cell r="D2007">
            <v>8.9600000000000009</v>
          </cell>
        </row>
        <row r="2008">
          <cell r="A2008">
            <v>84417</v>
          </cell>
          <cell r="B2008" t="str">
            <v>AD PVC PBS/F A BOLSA F0F0 JE DN 75</v>
          </cell>
          <cell r="C2008" t="str">
            <v>UN</v>
          </cell>
          <cell r="D2008">
            <v>19.71</v>
          </cell>
        </row>
        <row r="2009">
          <cell r="A2009">
            <v>84418</v>
          </cell>
          <cell r="B2009" t="str">
            <v>AD PVC PBS/F A BOLSA F0F0 JE DN 100</v>
          </cell>
          <cell r="C2009" t="str">
            <v>UN</v>
          </cell>
          <cell r="D2009">
            <v>31.14</v>
          </cell>
        </row>
        <row r="2010">
          <cell r="A2010">
            <v>84419</v>
          </cell>
          <cell r="B2010" t="str">
            <v>AD PVC PBS/F A BOLSA F0F0 JE DN 150</v>
          </cell>
          <cell r="C2010" t="str">
            <v>UN</v>
          </cell>
          <cell r="D2010">
            <v>77.319999999999993</v>
          </cell>
        </row>
        <row r="2011">
          <cell r="A2011">
            <v>84420</v>
          </cell>
          <cell r="B2011" t="str">
            <v>AD PVC PBS/F A BOLSA F0F0 JE DN 200</v>
          </cell>
          <cell r="C2011" t="str">
            <v>UN</v>
          </cell>
          <cell r="D2011">
            <v>140.46</v>
          </cell>
        </row>
        <row r="2012">
          <cell r="A2012">
            <v>84421</v>
          </cell>
          <cell r="B2012" t="str">
            <v>AD PVC PBS/F A BOLSA F0F0 JE DN 250</v>
          </cell>
          <cell r="C2012" t="str">
            <v>UN</v>
          </cell>
          <cell r="D2012">
            <v>282.88</v>
          </cell>
        </row>
        <row r="2013">
          <cell r="A2013">
            <v>84422</v>
          </cell>
          <cell r="B2013" t="str">
            <v>AD PVC PBS/F A BOLSA F0F0 JE DN 300</v>
          </cell>
          <cell r="C2013" t="str">
            <v>UN</v>
          </cell>
          <cell r="D2013">
            <v>442.73</v>
          </cell>
        </row>
        <row r="2014">
          <cell r="A2014">
            <v>84423</v>
          </cell>
          <cell r="B2014" t="str">
            <v>AD PVC PBS/F A LUVA F0C0 DN 50</v>
          </cell>
          <cell r="C2014" t="str">
            <v>UN</v>
          </cell>
          <cell r="D2014">
            <v>8.9600000000000009</v>
          </cell>
        </row>
        <row r="2015">
          <cell r="A2015">
            <v>84424</v>
          </cell>
          <cell r="B2015" t="str">
            <v>AD PVC PBS/F A LUVA F0C0 DN 75</v>
          </cell>
          <cell r="C2015" t="str">
            <v>UN</v>
          </cell>
          <cell r="D2015">
            <v>19.71</v>
          </cell>
        </row>
        <row r="2016">
          <cell r="A2016">
            <v>84425</v>
          </cell>
          <cell r="B2016" t="str">
            <v>AD PVC PBS/F A LUVA F0C0 DN 100</v>
          </cell>
          <cell r="C2016" t="str">
            <v>UN</v>
          </cell>
          <cell r="D2016">
            <v>31.14</v>
          </cell>
        </row>
        <row r="2017">
          <cell r="A2017">
            <v>84426</v>
          </cell>
          <cell r="B2017" t="str">
            <v>AD PVC PBS/F A LUVA F0C0 DN 150</v>
          </cell>
          <cell r="C2017" t="str">
            <v>UN</v>
          </cell>
          <cell r="D2017">
            <v>77.319999999999993</v>
          </cell>
        </row>
        <row r="2018">
          <cell r="A2018">
            <v>84427</v>
          </cell>
          <cell r="B2018" t="str">
            <v>AD PVC PBS/F A LUVA F0C0 DN 200</v>
          </cell>
          <cell r="C2018" t="str">
            <v>UN</v>
          </cell>
          <cell r="D2018">
            <v>140.46</v>
          </cell>
        </row>
        <row r="2019">
          <cell r="A2019">
            <v>84428</v>
          </cell>
          <cell r="B2019" t="str">
            <v>AD PVC PBS/F A LUVA F0C0 DN 250</v>
          </cell>
          <cell r="C2019" t="str">
            <v>UN</v>
          </cell>
          <cell r="D2019">
            <v>282.88</v>
          </cell>
        </row>
        <row r="2020">
          <cell r="A2020">
            <v>84429</v>
          </cell>
          <cell r="B2020" t="str">
            <v>AD PVC PBS/F A LUVA F0C0 DN 300</v>
          </cell>
          <cell r="C2020" t="str">
            <v>UN</v>
          </cell>
          <cell r="D2020">
            <v>442.73</v>
          </cell>
        </row>
        <row r="2021">
          <cell r="A2021">
            <v>84430</v>
          </cell>
          <cell r="B2021" t="str">
            <v>CAP P/PVC PBS/F DN 150</v>
          </cell>
          <cell r="C2021" t="str">
            <v>UN</v>
          </cell>
          <cell r="D2021">
            <v>149.97999999999999</v>
          </cell>
        </row>
        <row r="2022">
          <cell r="A2022">
            <v>84431</v>
          </cell>
          <cell r="B2022" t="str">
            <v>CAP P/PVC PBS/F DN 200</v>
          </cell>
          <cell r="C2022" t="str">
            <v>UN</v>
          </cell>
          <cell r="D2022">
            <v>178.44</v>
          </cell>
        </row>
        <row r="2023">
          <cell r="A2023">
            <v>84432</v>
          </cell>
          <cell r="B2023" t="str">
            <v>CAP P/PVC PBS/F DN 250</v>
          </cell>
          <cell r="C2023" t="str">
            <v>UN</v>
          </cell>
          <cell r="D2023">
            <v>270.24</v>
          </cell>
        </row>
        <row r="2024">
          <cell r="A2024">
            <v>84433</v>
          </cell>
          <cell r="B2024" t="str">
            <v>CAP P/PVC PBS/F DN 300</v>
          </cell>
          <cell r="C2024" t="str">
            <v>UN</v>
          </cell>
          <cell r="D2024">
            <v>422.79</v>
          </cell>
        </row>
        <row r="2025">
          <cell r="A2025">
            <v>84434</v>
          </cell>
          <cell r="B2025" t="str">
            <v>CRUZETA PVC PBS/F BBBB DN 150</v>
          </cell>
          <cell r="C2025" t="str">
            <v>UN</v>
          </cell>
          <cell r="D2025">
            <v>576.65</v>
          </cell>
        </row>
        <row r="2026">
          <cell r="A2026">
            <v>84435</v>
          </cell>
          <cell r="B2026" t="str">
            <v>CRUZETA PVC PBS/F BBBB DN 200</v>
          </cell>
          <cell r="C2026" t="str">
            <v>UN</v>
          </cell>
          <cell r="D2026">
            <v>712.86</v>
          </cell>
        </row>
        <row r="2027">
          <cell r="A2027">
            <v>84436</v>
          </cell>
          <cell r="B2027" t="str">
            <v>CRUZETA PVC PBS/F BBBB DN 250</v>
          </cell>
          <cell r="C2027" t="str">
            <v>UN</v>
          </cell>
          <cell r="D2027">
            <v>1080.58</v>
          </cell>
        </row>
        <row r="2028">
          <cell r="A2028">
            <v>84437</v>
          </cell>
          <cell r="B2028" t="str">
            <v>CRUZETA PVC PBS/F BBBB DN 300</v>
          </cell>
          <cell r="C2028" t="str">
            <v>UN</v>
          </cell>
          <cell r="D2028">
            <v>1638.68</v>
          </cell>
        </row>
        <row r="2029">
          <cell r="A2029">
            <v>84438</v>
          </cell>
          <cell r="B2029" t="str">
            <v>CURVA 11G15' PVC PBS/F BB DN 50</v>
          </cell>
          <cell r="C2029" t="str">
            <v>UN</v>
          </cell>
          <cell r="D2029">
            <v>10.71</v>
          </cell>
        </row>
        <row r="2030">
          <cell r="A2030">
            <v>84439</v>
          </cell>
          <cell r="B2030" t="str">
            <v>CURVA 11G15' PVC PBS/F BB DN 75</v>
          </cell>
          <cell r="C2030" t="str">
            <v>UN</v>
          </cell>
          <cell r="D2030">
            <v>32.42</v>
          </cell>
        </row>
        <row r="2031">
          <cell r="A2031">
            <v>84440</v>
          </cell>
          <cell r="B2031" t="str">
            <v>CURVA 11G15' PVC PBS/F BB DN 100</v>
          </cell>
          <cell r="C2031" t="str">
            <v>UN</v>
          </cell>
          <cell r="D2031">
            <v>59.08</v>
          </cell>
        </row>
        <row r="2032">
          <cell r="A2032">
            <v>84441</v>
          </cell>
          <cell r="B2032" t="str">
            <v>CURVA 11G15' PVC PBS/F BB DN 150</v>
          </cell>
          <cell r="C2032" t="str">
            <v>UN</v>
          </cell>
          <cell r="D2032">
            <v>195.28</v>
          </cell>
        </row>
        <row r="2033">
          <cell r="A2033">
            <v>84442</v>
          </cell>
          <cell r="B2033" t="str">
            <v>CURVA 11G15' PVC PBS/F BB DN 200</v>
          </cell>
          <cell r="C2033" t="str">
            <v>UN</v>
          </cell>
          <cell r="D2033">
            <v>372.67</v>
          </cell>
        </row>
        <row r="2034">
          <cell r="A2034">
            <v>84443</v>
          </cell>
          <cell r="B2034" t="str">
            <v>CURVA 11G15' PVC PBS/F BB DN 250</v>
          </cell>
          <cell r="C2034" t="str">
            <v>UN</v>
          </cell>
          <cell r="D2034">
            <v>709.8</v>
          </cell>
        </row>
        <row r="2035">
          <cell r="A2035">
            <v>84444</v>
          </cell>
          <cell r="B2035" t="str">
            <v>CURVA 11G15' PVC PBS/F BB DN 300</v>
          </cell>
          <cell r="C2035" t="str">
            <v>UN</v>
          </cell>
          <cell r="D2035" t="str">
            <v>1 179,41</v>
          </cell>
        </row>
        <row r="2036">
          <cell r="A2036">
            <v>84445</v>
          </cell>
          <cell r="B2036" t="str">
            <v>CURVA 22G30' PVC PBS/F BB DN 50</v>
          </cell>
          <cell r="C2036" t="str">
            <v>UN</v>
          </cell>
          <cell r="D2036">
            <v>11.4</v>
          </cell>
        </row>
        <row r="2037">
          <cell r="A2037">
            <v>84446</v>
          </cell>
          <cell r="B2037" t="str">
            <v>CURVA 22G30' PVC PBS/F BB DN 75</v>
          </cell>
          <cell r="C2037" t="str">
            <v>UN</v>
          </cell>
          <cell r="D2037">
            <v>32.270000000000003</v>
          </cell>
        </row>
        <row r="2038">
          <cell r="A2038">
            <v>84447</v>
          </cell>
          <cell r="B2038" t="str">
            <v>CURVA 22G30' PVC PBS/F BB DN 100</v>
          </cell>
          <cell r="C2038" t="str">
            <v>UN</v>
          </cell>
          <cell r="D2038">
            <v>60.57</v>
          </cell>
        </row>
        <row r="2039">
          <cell r="A2039">
            <v>84448</v>
          </cell>
          <cell r="B2039" t="str">
            <v>CURVA 22G30' PVC PBS/F BB DN 150</v>
          </cell>
          <cell r="C2039" t="str">
            <v>UN</v>
          </cell>
          <cell r="D2039">
            <v>195.28</v>
          </cell>
        </row>
        <row r="2040">
          <cell r="A2040">
            <v>84449</v>
          </cell>
          <cell r="B2040" t="str">
            <v>CURVA 22G30' PVC PBS/F BB DN 200</v>
          </cell>
          <cell r="C2040" t="str">
            <v>UN</v>
          </cell>
          <cell r="D2040">
            <v>374.21</v>
          </cell>
        </row>
        <row r="2041">
          <cell r="A2041">
            <v>84450</v>
          </cell>
          <cell r="B2041" t="str">
            <v>CURVA 22G30' PVC PBS/F BB DN 250</v>
          </cell>
          <cell r="C2041" t="str">
            <v>UN</v>
          </cell>
          <cell r="D2041">
            <v>704.66</v>
          </cell>
        </row>
        <row r="2042">
          <cell r="A2042">
            <v>84451</v>
          </cell>
          <cell r="B2042" t="str">
            <v>CURVA 22G30' PVC PBS/F BB DN 300</v>
          </cell>
          <cell r="C2042" t="str">
            <v>UN</v>
          </cell>
          <cell r="D2042" t="str">
            <v>1 203,50</v>
          </cell>
        </row>
        <row r="2043">
          <cell r="A2043">
            <v>84452</v>
          </cell>
          <cell r="B2043" t="str">
            <v>CURVA 45G PVC PBS/F BB DN 150</v>
          </cell>
          <cell r="C2043" t="str">
            <v>UN</v>
          </cell>
          <cell r="D2043">
            <v>206.43</v>
          </cell>
        </row>
        <row r="2044">
          <cell r="A2044">
            <v>84453</v>
          </cell>
          <cell r="B2044" t="str">
            <v>CURVA 45G PVC PBS/F BB DN 200</v>
          </cell>
          <cell r="C2044" t="str">
            <v>UN</v>
          </cell>
          <cell r="D2044">
            <v>376.25</v>
          </cell>
        </row>
        <row r="2045">
          <cell r="A2045">
            <v>84454</v>
          </cell>
          <cell r="B2045" t="str">
            <v>CURVA 45G PVC PBS/F BB DN 250</v>
          </cell>
          <cell r="C2045" t="str">
            <v>UN</v>
          </cell>
          <cell r="D2045">
            <v>709.2</v>
          </cell>
        </row>
        <row r="2046">
          <cell r="A2046">
            <v>84455</v>
          </cell>
          <cell r="B2046" t="str">
            <v>CURVA 45G PVC PBS/F BB DN 300</v>
          </cell>
          <cell r="C2046" t="str">
            <v>UN</v>
          </cell>
          <cell r="D2046">
            <v>1227.1400000000001</v>
          </cell>
        </row>
        <row r="2047">
          <cell r="A2047">
            <v>84456</v>
          </cell>
          <cell r="B2047" t="str">
            <v>CURVA 90G PVC PBS/F BB DN 150</v>
          </cell>
          <cell r="C2047" t="str">
            <v>UN</v>
          </cell>
          <cell r="D2047">
            <v>258.32</v>
          </cell>
        </row>
        <row r="2048">
          <cell r="A2048">
            <v>84457</v>
          </cell>
          <cell r="B2048" t="str">
            <v>CURVA 90G PVC PBS/F BB DN 200</v>
          </cell>
          <cell r="C2048" t="str">
            <v>UN</v>
          </cell>
          <cell r="D2048">
            <v>445.32</v>
          </cell>
        </row>
        <row r="2049">
          <cell r="A2049">
            <v>84458</v>
          </cell>
          <cell r="B2049" t="str">
            <v>CURVA 90G PVC PBS/F BB DN 250</v>
          </cell>
          <cell r="C2049" t="str">
            <v>UN</v>
          </cell>
          <cell r="D2049">
            <v>867.46</v>
          </cell>
        </row>
        <row r="2050">
          <cell r="A2050">
            <v>84459</v>
          </cell>
          <cell r="B2050" t="str">
            <v>CURVA 90G PVC PBS/F BB DN 300</v>
          </cell>
          <cell r="C2050" t="str">
            <v>UN</v>
          </cell>
          <cell r="D2050">
            <v>1491.23</v>
          </cell>
        </row>
        <row r="2051">
          <cell r="A2051">
            <v>84460</v>
          </cell>
          <cell r="B2051" t="str">
            <v>CURVA 90G PVC PBS/F FF DN 50</v>
          </cell>
          <cell r="C2051" t="str">
            <v>UN</v>
          </cell>
          <cell r="D2051">
            <v>45.89</v>
          </cell>
        </row>
        <row r="2052">
          <cell r="A2052">
            <v>84461</v>
          </cell>
          <cell r="B2052" t="str">
            <v>CURVA 90G PVC PBS/F FF DN 75</v>
          </cell>
          <cell r="C2052" t="str">
            <v>UN</v>
          </cell>
          <cell r="D2052">
            <v>80.55</v>
          </cell>
        </row>
        <row r="2053">
          <cell r="A2053">
            <v>84462</v>
          </cell>
          <cell r="B2053" t="str">
            <v>CURVA 90G PVC PBS/F FF DN 100</v>
          </cell>
          <cell r="C2053" t="str">
            <v>UN</v>
          </cell>
          <cell r="D2053">
            <v>124.43</v>
          </cell>
        </row>
        <row r="2054">
          <cell r="A2054">
            <v>84463</v>
          </cell>
          <cell r="B2054" t="str">
            <v>CURVA 90G PVC PBS/F FF DN 150</v>
          </cell>
          <cell r="C2054" t="str">
            <v>UN</v>
          </cell>
          <cell r="D2054">
            <v>0</v>
          </cell>
        </row>
        <row r="2055">
          <cell r="A2055">
            <v>84464</v>
          </cell>
          <cell r="B2055" t="str">
            <v>CURVA 90G PVC PBS/F FF DN 200</v>
          </cell>
          <cell r="C2055" t="str">
            <v>UN</v>
          </cell>
          <cell r="D2055">
            <v>0</v>
          </cell>
        </row>
        <row r="2056">
          <cell r="A2056">
            <v>84465</v>
          </cell>
          <cell r="B2056" t="str">
            <v>CURVA 90G PVC PBS/F FF DN 250</v>
          </cell>
          <cell r="C2056" t="str">
            <v>UN</v>
          </cell>
          <cell r="D2056">
            <v>0</v>
          </cell>
        </row>
        <row r="2057">
          <cell r="A2057">
            <v>84466</v>
          </cell>
          <cell r="B2057" t="str">
            <v>CURVA 90G PVC PBS/F FF DN 300</v>
          </cell>
          <cell r="C2057" t="str">
            <v>UN</v>
          </cell>
          <cell r="D2057">
            <v>0</v>
          </cell>
        </row>
        <row r="2058">
          <cell r="A2058">
            <v>84467</v>
          </cell>
          <cell r="B2058" t="str">
            <v>LUVA PVC PBS/F DN 150</v>
          </cell>
          <cell r="C2058" t="str">
            <v>UN</v>
          </cell>
          <cell r="D2058">
            <v>52.78</v>
          </cell>
        </row>
        <row r="2059">
          <cell r="A2059">
            <v>84468</v>
          </cell>
          <cell r="B2059" t="str">
            <v>LUVA PVC PBS/F DN 200</v>
          </cell>
          <cell r="C2059" t="str">
            <v>UN</v>
          </cell>
          <cell r="D2059">
            <v>109.62</v>
          </cell>
        </row>
        <row r="2060">
          <cell r="A2060">
            <v>84469</v>
          </cell>
          <cell r="B2060" t="str">
            <v>LUVA PVC PBS/F DN 250</v>
          </cell>
          <cell r="C2060" t="str">
            <v>UN</v>
          </cell>
          <cell r="D2060">
            <v>216.66</v>
          </cell>
        </row>
        <row r="2061">
          <cell r="A2061">
            <v>84470</v>
          </cell>
          <cell r="B2061" t="str">
            <v>LUVA PVC PBS/F DN 300</v>
          </cell>
          <cell r="C2061" t="str">
            <v>UN</v>
          </cell>
          <cell r="D2061">
            <v>371.13</v>
          </cell>
        </row>
        <row r="2062">
          <cell r="A2062">
            <v>84471</v>
          </cell>
          <cell r="B2062" t="str">
            <v>REDUCAO PVC PBS/F BB DN 150 X 75</v>
          </cell>
          <cell r="C2062" t="str">
            <v>UN</v>
          </cell>
          <cell r="D2062">
            <v>57.63</v>
          </cell>
        </row>
        <row r="2063">
          <cell r="A2063">
            <v>84472</v>
          </cell>
          <cell r="B2063" t="str">
            <v>REDUCAO PVC PBS/F BB DN 150 X 100</v>
          </cell>
          <cell r="C2063" t="str">
            <v>UN</v>
          </cell>
          <cell r="D2063">
            <v>33.119999999999997</v>
          </cell>
        </row>
        <row r="2064">
          <cell r="A2064">
            <v>84474</v>
          </cell>
          <cell r="B2064" t="str">
            <v>REDUCAO PVC PBS/F BB DN 200 X 100</v>
          </cell>
          <cell r="C2064" t="str">
            <v>UN</v>
          </cell>
          <cell r="D2064">
            <v>116.99</v>
          </cell>
        </row>
        <row r="2065">
          <cell r="A2065">
            <v>84475</v>
          </cell>
          <cell r="B2065" t="str">
            <v>REDUCAO PVC PBS/F BB DN 200 X 150</v>
          </cell>
          <cell r="C2065" t="str">
            <v>UN</v>
          </cell>
          <cell r="D2065">
            <v>78.69</v>
          </cell>
        </row>
        <row r="2066">
          <cell r="A2066">
            <v>84477</v>
          </cell>
          <cell r="B2066" t="str">
            <v>REDUCAO PVC PBS/F BB DN 250 X 100</v>
          </cell>
          <cell r="C2066" t="str">
            <v>UN</v>
          </cell>
          <cell r="D2066">
            <v>181.86</v>
          </cell>
        </row>
        <row r="2067">
          <cell r="A2067">
            <v>84478</v>
          </cell>
          <cell r="B2067" t="str">
            <v>REDUCAO PVC PBS/F BB DN 250 X 150</v>
          </cell>
          <cell r="C2067" t="str">
            <v>UN</v>
          </cell>
          <cell r="D2067">
            <v>150.63</v>
          </cell>
        </row>
        <row r="2068">
          <cell r="A2068">
            <v>84479</v>
          </cell>
          <cell r="B2068" t="str">
            <v>REDUCAO PVC PBS/F BB DN 250 X 200</v>
          </cell>
          <cell r="C2068" t="str">
            <v>UN</v>
          </cell>
          <cell r="D2068">
            <v>127.7</v>
          </cell>
        </row>
        <row r="2069">
          <cell r="A2069">
            <v>84480</v>
          </cell>
          <cell r="B2069" t="str">
            <v>REDUCAO PVC PBS/F BB DN 300 X 100</v>
          </cell>
          <cell r="C2069" t="str">
            <v>UN</v>
          </cell>
          <cell r="D2069">
            <v>0</v>
          </cell>
        </row>
        <row r="2070">
          <cell r="A2070">
            <v>84481</v>
          </cell>
          <cell r="B2070" t="str">
            <v>REDUCAO PVC PBS/F BB DN 300 X 150</v>
          </cell>
          <cell r="C2070" t="str">
            <v>UN</v>
          </cell>
          <cell r="D2070">
            <v>293.94</v>
          </cell>
        </row>
        <row r="2071">
          <cell r="A2071">
            <v>84482</v>
          </cell>
          <cell r="B2071" t="str">
            <v>REDUCAO PVC PBS/F BB DN 300 X 200</v>
          </cell>
          <cell r="C2071" t="str">
            <v>UN</v>
          </cell>
          <cell r="D2071">
            <v>298.5</v>
          </cell>
        </row>
        <row r="2072">
          <cell r="A2072">
            <v>84483</v>
          </cell>
          <cell r="B2072" t="str">
            <v>REDUCAO PVC PBS/F BB DN 300 X 250</v>
          </cell>
          <cell r="C2072" t="str">
            <v>UN</v>
          </cell>
          <cell r="D2072">
            <v>242.31</v>
          </cell>
        </row>
        <row r="2073">
          <cell r="A2073">
            <v>84484</v>
          </cell>
          <cell r="B2073" t="str">
            <v>TE 90G PVC PBS/F BBB DN 150</v>
          </cell>
          <cell r="C2073" t="str">
            <v>UN</v>
          </cell>
          <cell r="D2073">
            <v>429.97</v>
          </cell>
        </row>
        <row r="2074">
          <cell r="A2074">
            <v>84485</v>
          </cell>
          <cell r="B2074" t="str">
            <v>TE 90G PVC PBS/F BBB DN 200</v>
          </cell>
          <cell r="C2074" t="str">
            <v>UN</v>
          </cell>
          <cell r="D2074">
            <v>560.1</v>
          </cell>
        </row>
        <row r="2075">
          <cell r="A2075">
            <v>84486</v>
          </cell>
          <cell r="B2075" t="str">
            <v>TE 90G PVC PBS/F BBB DN 250</v>
          </cell>
          <cell r="C2075" t="str">
            <v>UN</v>
          </cell>
          <cell r="D2075">
            <v>860.45</v>
          </cell>
        </row>
        <row r="2076">
          <cell r="A2076">
            <v>84487</v>
          </cell>
          <cell r="B2076" t="str">
            <v>TE 90G PVC PBS/F BBB DN 300</v>
          </cell>
          <cell r="C2076" t="str">
            <v>UN</v>
          </cell>
          <cell r="D2076">
            <v>1206.47</v>
          </cell>
        </row>
        <row r="2077">
          <cell r="A2077">
            <v>84488</v>
          </cell>
          <cell r="B2077" t="str">
            <v>TE 90G PVC PBS/F RD BBB DN 150 X 75</v>
          </cell>
          <cell r="C2077" t="str">
            <v>UN</v>
          </cell>
          <cell r="D2077">
            <v>204.54</v>
          </cell>
        </row>
        <row r="2078">
          <cell r="A2078">
            <v>84489</v>
          </cell>
          <cell r="B2078" t="str">
            <v>TE 90G PVC PBS/F RD BBB DN 150 X 100</v>
          </cell>
          <cell r="C2078" t="str">
            <v>UN</v>
          </cell>
          <cell r="D2078">
            <v>339.15</v>
          </cell>
        </row>
        <row r="2079">
          <cell r="A2079">
            <v>84491</v>
          </cell>
          <cell r="B2079" t="str">
            <v>TE 90G PVC PBS/F RD BBB DN 200 X 100</v>
          </cell>
          <cell r="C2079" t="str">
            <v>UN</v>
          </cell>
          <cell r="D2079">
            <v>433.21</v>
          </cell>
        </row>
        <row r="2080">
          <cell r="A2080">
            <v>84492</v>
          </cell>
          <cell r="B2080" t="str">
            <v>TE 90G PVC PBS/F RD BBB DN 200 X 150</v>
          </cell>
          <cell r="C2080" t="str">
            <v>UN</v>
          </cell>
          <cell r="D2080">
            <v>540.14</v>
          </cell>
        </row>
        <row r="2081">
          <cell r="A2081">
            <v>84493</v>
          </cell>
          <cell r="B2081" t="str">
            <v>TE 90G PVC PBS/F RD BBB DN 250 X 100</v>
          </cell>
          <cell r="C2081" t="str">
            <v>UN</v>
          </cell>
          <cell r="D2081">
            <v>560.58000000000004</v>
          </cell>
        </row>
        <row r="2082">
          <cell r="A2082">
            <v>84494</v>
          </cell>
          <cell r="B2082" t="str">
            <v>TE 90G PVC PBS/F RD BBB DN 250 X 150</v>
          </cell>
          <cell r="C2082" t="str">
            <v>UN</v>
          </cell>
          <cell r="D2082">
            <v>696.79</v>
          </cell>
        </row>
        <row r="2083">
          <cell r="A2083">
            <v>84495</v>
          </cell>
          <cell r="B2083" t="str">
            <v>TE 90G PVC PBS/F RD BBB DN 250 X 200</v>
          </cell>
          <cell r="C2083" t="str">
            <v>UN</v>
          </cell>
          <cell r="D2083">
            <v>0</v>
          </cell>
        </row>
        <row r="2084">
          <cell r="A2084">
            <v>84496</v>
          </cell>
          <cell r="B2084" t="str">
            <v>TE 90G PVC PBS/F RD BBB DN 300 X 150</v>
          </cell>
          <cell r="C2084" t="str">
            <v>UN</v>
          </cell>
          <cell r="D2084">
            <v>879.83</v>
          </cell>
        </row>
        <row r="2085">
          <cell r="A2085">
            <v>84497</v>
          </cell>
          <cell r="B2085" t="str">
            <v>TE 90G PVC PBS/F RD BBB DN 300 X 200</v>
          </cell>
          <cell r="C2085" t="str">
            <v>UN</v>
          </cell>
          <cell r="D2085">
            <v>951.15</v>
          </cell>
        </row>
        <row r="2087">
          <cell r="B2087" t="str">
            <v>84500  TUBO PVC DEF0F0</v>
          </cell>
        </row>
        <row r="2089">
          <cell r="A2089">
            <v>84501</v>
          </cell>
          <cell r="B2089" t="str">
            <v>TUBO PVC DEF0F0 DN 100</v>
          </cell>
          <cell r="C2089" t="str">
            <v>M</v>
          </cell>
          <cell r="D2089">
            <v>17.809999999999999</v>
          </cell>
        </row>
        <row r="2090">
          <cell r="A2090">
            <v>84502</v>
          </cell>
          <cell r="B2090" t="str">
            <v>TUBO PVC DEF0F0 DN 150</v>
          </cell>
          <cell r="C2090" t="str">
            <v>M</v>
          </cell>
          <cell r="D2090">
            <v>34.14</v>
          </cell>
        </row>
        <row r="2091">
          <cell r="A2091">
            <v>84503</v>
          </cell>
          <cell r="B2091" t="str">
            <v>TUBO PVC DEF0F0 DN 200</v>
          </cell>
          <cell r="C2091" t="str">
            <v>M</v>
          </cell>
          <cell r="D2091">
            <v>63.08</v>
          </cell>
        </row>
        <row r="2092">
          <cell r="A2092">
            <v>84504</v>
          </cell>
          <cell r="B2092" t="str">
            <v>TUBO PVC DEF0F0 DN 250</v>
          </cell>
          <cell r="C2092" t="str">
            <v>M</v>
          </cell>
          <cell r="D2092">
            <v>98.02</v>
          </cell>
        </row>
        <row r="2093">
          <cell r="A2093">
            <v>84505</v>
          </cell>
          <cell r="B2093" t="str">
            <v>TUBO PVC DEF0F0 DN 300</v>
          </cell>
          <cell r="C2093" t="str">
            <v>M</v>
          </cell>
          <cell r="D2093">
            <v>135.25</v>
          </cell>
        </row>
        <row r="2094">
          <cell r="A2094">
            <v>84506</v>
          </cell>
          <cell r="B2094" t="str">
            <v>ANEL DE BORRACHA P/T PVC DEF0F0 DN 100</v>
          </cell>
          <cell r="C2094" t="str">
            <v>UN</v>
          </cell>
          <cell r="D2094">
            <v>2.29</v>
          </cell>
        </row>
        <row r="2095">
          <cell r="A2095">
            <v>84507</v>
          </cell>
          <cell r="B2095" t="str">
            <v>ANEL DE BORRACHA P/T PVC DEF0F0 DN 150</v>
          </cell>
          <cell r="C2095" t="str">
            <v>UN</v>
          </cell>
          <cell r="D2095">
            <v>3.28</v>
          </cell>
        </row>
        <row r="2096">
          <cell r="A2096">
            <v>84508</v>
          </cell>
          <cell r="B2096" t="str">
            <v>ANEL DE BORRACHA P/T PVC DEF0F0 DN 200</v>
          </cell>
          <cell r="C2096" t="str">
            <v>UN</v>
          </cell>
          <cell r="D2096">
            <v>6.5</v>
          </cell>
        </row>
        <row r="2097">
          <cell r="A2097">
            <v>84509</v>
          </cell>
          <cell r="B2097" t="str">
            <v>ANEL DE BORRACHA P/T PVC DEF0F0 DN 250</v>
          </cell>
          <cell r="C2097" t="str">
            <v>UN</v>
          </cell>
          <cell r="D2097">
            <v>11.15</v>
          </cell>
        </row>
        <row r="2098">
          <cell r="A2098">
            <v>84510</v>
          </cell>
          <cell r="B2098" t="str">
            <v>ANEL DE BORRACHA P/T PVC DEF0F0 DN 300</v>
          </cell>
          <cell r="C2098" t="str">
            <v>UN</v>
          </cell>
          <cell r="D2098">
            <v>19.600000000000001</v>
          </cell>
        </row>
        <row r="2099">
          <cell r="A2099">
            <v>84511</v>
          </cell>
          <cell r="B2099" t="str">
            <v>ANEL DE BORRACHA P/C PVC DEF0F0 DN 100</v>
          </cell>
          <cell r="C2099" t="str">
            <v>UN</v>
          </cell>
          <cell r="D2099">
            <v>7.6</v>
          </cell>
        </row>
        <row r="2100">
          <cell r="A2100">
            <v>84512</v>
          </cell>
          <cell r="B2100" t="str">
            <v>ANEL DE BORRACHA P/C PVC DEF0F0 DN 150</v>
          </cell>
          <cell r="C2100" t="str">
            <v>UN</v>
          </cell>
          <cell r="D2100">
            <v>18.100000000000001</v>
          </cell>
        </row>
        <row r="2101">
          <cell r="A2101">
            <v>84513</v>
          </cell>
          <cell r="B2101" t="str">
            <v>ANEL DE BORRACHA P/C PVC DEF0F0 DN 200</v>
          </cell>
          <cell r="C2101" t="str">
            <v>UN</v>
          </cell>
          <cell r="D2101">
            <v>21.47</v>
          </cell>
        </row>
        <row r="2102">
          <cell r="A2102">
            <v>84514</v>
          </cell>
          <cell r="B2102" t="str">
            <v>ANEL DE BORRACHA P/C PVC DEF0F0 DN 250</v>
          </cell>
          <cell r="C2102" t="str">
            <v>UN</v>
          </cell>
          <cell r="D2102">
            <v>26.1</v>
          </cell>
        </row>
        <row r="2103">
          <cell r="A2103">
            <v>84515</v>
          </cell>
          <cell r="B2103" t="str">
            <v>ANEL DE BORRACHA P/C PVC DEF0F0 DN 300</v>
          </cell>
          <cell r="C2103" t="str">
            <v>UN</v>
          </cell>
          <cell r="D2103">
            <v>32.479999999999997</v>
          </cell>
        </row>
        <row r="2104">
          <cell r="A2104">
            <v>84516</v>
          </cell>
          <cell r="B2104" t="str">
            <v>CAP PVC DEF0F0 DN 100</v>
          </cell>
          <cell r="C2104" t="str">
            <v>UN</v>
          </cell>
          <cell r="D2104">
            <v>36.049999999999997</v>
          </cell>
        </row>
        <row r="2105">
          <cell r="A2105">
            <v>84517</v>
          </cell>
          <cell r="B2105" t="str">
            <v>CAP PVC DEF0F0 DN 150</v>
          </cell>
          <cell r="C2105" t="str">
            <v>UN</v>
          </cell>
          <cell r="D2105">
            <v>56.58</v>
          </cell>
        </row>
        <row r="2106">
          <cell r="A2106">
            <v>84518</v>
          </cell>
          <cell r="B2106" t="str">
            <v>CAP PVC DEF0F0 DN 200</v>
          </cell>
          <cell r="C2106" t="str">
            <v>UN</v>
          </cell>
          <cell r="D2106">
            <v>100.58</v>
          </cell>
        </row>
        <row r="2107">
          <cell r="A2107">
            <v>84519</v>
          </cell>
          <cell r="B2107" t="str">
            <v>CAP PVC DEF0F0 DN 250</v>
          </cell>
          <cell r="C2107" t="str">
            <v>UN</v>
          </cell>
          <cell r="D2107">
            <v>147.32</v>
          </cell>
        </row>
        <row r="2108">
          <cell r="A2108">
            <v>84520</v>
          </cell>
          <cell r="B2108" t="str">
            <v>CAP PVC DEF0F0 DN 300</v>
          </cell>
          <cell r="C2108" t="str">
            <v>UN</v>
          </cell>
          <cell r="D2108">
            <v>213.75</v>
          </cell>
        </row>
        <row r="2109">
          <cell r="A2109">
            <v>84521</v>
          </cell>
          <cell r="B2109" t="str">
            <v>CRUZETA BBBB PVC DEF0F0 DN 100</v>
          </cell>
          <cell r="C2109" t="str">
            <v>UN</v>
          </cell>
          <cell r="D2109">
            <v>155.07</v>
          </cell>
        </row>
        <row r="2110">
          <cell r="A2110">
            <v>84522</v>
          </cell>
          <cell r="B2110" t="str">
            <v>CRUZETA BBBB PVC DEF0F0 DN 150</v>
          </cell>
          <cell r="C2110" t="str">
            <v>UN</v>
          </cell>
          <cell r="D2110">
            <v>264.04000000000002</v>
          </cell>
        </row>
        <row r="2111">
          <cell r="A2111">
            <v>84523</v>
          </cell>
          <cell r="B2111" t="str">
            <v>CRUZETA BBBB PVC DEF0F0 DN 200</v>
          </cell>
          <cell r="C2111" t="str">
            <v>UN</v>
          </cell>
          <cell r="D2111">
            <v>450.54</v>
          </cell>
        </row>
        <row r="2112">
          <cell r="A2112">
            <v>84524</v>
          </cell>
          <cell r="B2112" t="str">
            <v>CRUZETA BBBB PVC DEF0F0 DN 250</v>
          </cell>
          <cell r="C2112" t="str">
            <v>UN</v>
          </cell>
          <cell r="D2112">
            <v>586.75</v>
          </cell>
        </row>
        <row r="2113">
          <cell r="A2113">
            <v>84525</v>
          </cell>
          <cell r="B2113" t="str">
            <v>CRUZETA BBBB PVC DEF0F0 DN 300</v>
          </cell>
          <cell r="C2113" t="str">
            <v>UN</v>
          </cell>
          <cell r="D2113">
            <v>834.02</v>
          </cell>
        </row>
        <row r="2114">
          <cell r="A2114">
            <v>84526</v>
          </cell>
          <cell r="B2114" t="str">
            <v>CRUZETA RD PVC DEF0F0 P/PVC PBA BBBB DN 150 X 50</v>
          </cell>
          <cell r="C2114" t="str">
            <v>UN</v>
          </cell>
          <cell r="D2114">
            <v>148.78</v>
          </cell>
        </row>
        <row r="2115">
          <cell r="A2115">
            <v>84527</v>
          </cell>
          <cell r="B2115" t="str">
            <v>CRUZETA RD PVC DEF0F0 P/PVC PBA BBBB DN 150 X 75</v>
          </cell>
          <cell r="C2115" t="str">
            <v>UN</v>
          </cell>
          <cell r="D2115">
            <v>173.93</v>
          </cell>
        </row>
        <row r="2116">
          <cell r="A2116">
            <v>84528</v>
          </cell>
          <cell r="B2116" t="str">
            <v>CRUZETA RD PVC DEF0F0 P/PVC PBA BBBB DN 150 X 100</v>
          </cell>
          <cell r="C2116" t="str">
            <v>UN</v>
          </cell>
          <cell r="D2116">
            <v>209.55</v>
          </cell>
        </row>
        <row r="2117">
          <cell r="A2117">
            <v>84529</v>
          </cell>
          <cell r="B2117" t="str">
            <v>CRUZETA RD PVC DEF0F0 P/PVC PBA BBBB DN 200 X 50</v>
          </cell>
          <cell r="C2117" t="str">
            <v>UN</v>
          </cell>
          <cell r="D2117">
            <v>204.31</v>
          </cell>
        </row>
        <row r="2118">
          <cell r="A2118">
            <v>84530</v>
          </cell>
          <cell r="B2118" t="str">
            <v>CRUZETA RD PVC DEF0F0 P/PVC PBA BBBB DN 200 X 75</v>
          </cell>
          <cell r="C2118" t="str">
            <v>UN</v>
          </cell>
          <cell r="D2118">
            <v>214.8</v>
          </cell>
        </row>
        <row r="2119">
          <cell r="A2119">
            <v>84531</v>
          </cell>
          <cell r="B2119" t="str">
            <v>CRUZETA RD PVC DEF0F0 P/PVC PBA BBBB DN 200 X 100</v>
          </cell>
          <cell r="C2119" t="str">
            <v>UN</v>
          </cell>
          <cell r="D2119">
            <v>289.18</v>
          </cell>
        </row>
        <row r="2120">
          <cell r="A2120">
            <v>84532</v>
          </cell>
          <cell r="B2120" t="str">
            <v>CRUZETA RD PVC DEF0F0 P/PVC PBA BBBB DN 250 X 50</v>
          </cell>
          <cell r="C2120" t="str">
            <v>UN</v>
          </cell>
          <cell r="D2120">
            <v>270.32</v>
          </cell>
        </row>
        <row r="2121">
          <cell r="A2121">
            <v>84533</v>
          </cell>
          <cell r="B2121" t="str">
            <v>CRUZETA RD PVC DEF0F0 P/PVC PBA BBBB DN 250 X 75</v>
          </cell>
          <cell r="C2121" t="str">
            <v>UN</v>
          </cell>
          <cell r="D2121">
            <v>291.27</v>
          </cell>
        </row>
        <row r="2122">
          <cell r="A2122">
            <v>84534</v>
          </cell>
          <cell r="B2122" t="str">
            <v>CRUZETA RD PVC DEF0F0 P/PVC PBA BBBB DN 250 X 100</v>
          </cell>
          <cell r="C2122" t="str">
            <v>UN</v>
          </cell>
          <cell r="D2122">
            <v>362.52</v>
          </cell>
        </row>
        <row r="2123">
          <cell r="A2123">
            <v>84535</v>
          </cell>
          <cell r="B2123" t="str">
            <v>CURVA 22G30' BB PVC DEF0F0 DN 100</v>
          </cell>
          <cell r="C2123" t="str">
            <v>UN</v>
          </cell>
          <cell r="D2123">
            <v>69.16</v>
          </cell>
        </row>
        <row r="2124">
          <cell r="A2124">
            <v>84536</v>
          </cell>
          <cell r="B2124" t="str">
            <v>CURVA 22G30' BB PVC DEF0F0 DN 150</v>
          </cell>
          <cell r="C2124" t="str">
            <v>UN</v>
          </cell>
          <cell r="D2124">
            <v>126.79</v>
          </cell>
        </row>
        <row r="2125">
          <cell r="A2125">
            <v>84537</v>
          </cell>
          <cell r="B2125" t="str">
            <v>CURVA 22G30' BB PVC DEF0F0 DN 200</v>
          </cell>
          <cell r="C2125" t="str">
            <v>UN</v>
          </cell>
          <cell r="D2125">
            <v>209.55</v>
          </cell>
        </row>
        <row r="2126">
          <cell r="A2126">
            <v>84538</v>
          </cell>
          <cell r="B2126" t="str">
            <v>CURVA 22G30' BB PVC DEF0F0 DN 250</v>
          </cell>
          <cell r="C2126" t="str">
            <v>UN</v>
          </cell>
          <cell r="D2126">
            <v>276.61</v>
          </cell>
        </row>
        <row r="2127">
          <cell r="A2127">
            <v>84539</v>
          </cell>
          <cell r="B2127" t="str">
            <v>CURVA 22G30' BB PVC DEF0F0 DN 300</v>
          </cell>
          <cell r="C2127" t="str">
            <v>UN</v>
          </cell>
          <cell r="D2127">
            <v>387.68</v>
          </cell>
        </row>
        <row r="2128">
          <cell r="A2128">
            <v>84540</v>
          </cell>
          <cell r="B2128" t="str">
            <v>CURVA 45G BB PVC DEF0F0 DN 100</v>
          </cell>
          <cell r="C2128" t="str">
            <v>UN</v>
          </cell>
          <cell r="D2128">
            <v>79.63</v>
          </cell>
        </row>
        <row r="2129">
          <cell r="A2129">
            <v>84541</v>
          </cell>
          <cell r="B2129" t="str">
            <v>CURVA 45G BB PVC DEF0F0 DN 150</v>
          </cell>
          <cell r="C2129" t="str">
            <v>UN</v>
          </cell>
          <cell r="D2129">
            <v>122.58</v>
          </cell>
        </row>
        <row r="2130">
          <cell r="A2130">
            <v>84542</v>
          </cell>
          <cell r="B2130" t="str">
            <v>CURVA 45G BB PVC DEF0F0 DN 200</v>
          </cell>
          <cell r="C2130" t="str">
            <v>UN</v>
          </cell>
          <cell r="D2130">
            <v>226.32</v>
          </cell>
        </row>
        <row r="2131">
          <cell r="A2131">
            <v>84543</v>
          </cell>
          <cell r="B2131" t="str">
            <v>CURVA 45G BB PVC DEF0F0 DN 250</v>
          </cell>
          <cell r="C2131" t="str">
            <v>UN</v>
          </cell>
          <cell r="D2131">
            <v>318.52</v>
          </cell>
        </row>
        <row r="2132">
          <cell r="A2132">
            <v>84544</v>
          </cell>
          <cell r="B2132" t="str">
            <v>CURVA 45G BB PVC DEF0F0 DN 300</v>
          </cell>
          <cell r="C2132" t="str">
            <v>UN</v>
          </cell>
          <cell r="D2132">
            <v>446.35</v>
          </cell>
        </row>
        <row r="2133">
          <cell r="A2133">
            <v>84545</v>
          </cell>
          <cell r="B2133" t="str">
            <v>CURVA 90G BB PVC DEF0F0 DN 100</v>
          </cell>
          <cell r="C2133" t="str">
            <v>UN</v>
          </cell>
          <cell r="D2133">
            <v>90.11</v>
          </cell>
        </row>
        <row r="2134">
          <cell r="A2134">
            <v>84546</v>
          </cell>
          <cell r="B2134" t="str">
            <v>CURVA 90G BB PVC DEF0F0 DN 150</v>
          </cell>
          <cell r="C2134" t="str">
            <v>UN</v>
          </cell>
          <cell r="D2134">
            <v>159.26</v>
          </cell>
        </row>
        <row r="2135">
          <cell r="A2135">
            <v>84547</v>
          </cell>
          <cell r="B2135" t="str">
            <v>CURVA 90G BB PVC DEF0F0 DN 200</v>
          </cell>
          <cell r="C2135" t="str">
            <v>UN</v>
          </cell>
          <cell r="D2135">
            <v>284.99</v>
          </cell>
        </row>
        <row r="2136">
          <cell r="A2136">
            <v>84548</v>
          </cell>
          <cell r="B2136" t="str">
            <v>CURVA 90G BB PVC DEF0F0 DN 250</v>
          </cell>
          <cell r="C2136" t="str">
            <v>UN</v>
          </cell>
          <cell r="D2136">
            <v>410.73</v>
          </cell>
        </row>
        <row r="2137">
          <cell r="A2137">
            <v>84549</v>
          </cell>
          <cell r="B2137" t="str">
            <v>CURVA 90G BB PVC DEF0F0 DN 300</v>
          </cell>
          <cell r="C2137" t="str">
            <v>UN</v>
          </cell>
          <cell r="D2137">
            <v>578.37</v>
          </cell>
        </row>
        <row r="2138">
          <cell r="A2138">
            <v>84550</v>
          </cell>
          <cell r="B2138" t="str">
            <v>EXTREMIDADE BF PVC DEF0F0 DN 100</v>
          </cell>
          <cell r="C2138" t="str">
            <v>UN</v>
          </cell>
          <cell r="D2138">
            <v>76.28</v>
          </cell>
        </row>
        <row r="2139">
          <cell r="A2139">
            <v>84551</v>
          </cell>
          <cell r="B2139" t="str">
            <v>EXTREMIDADE BF PVC DEF0F0 DN 150</v>
          </cell>
          <cell r="C2139" t="str">
            <v>UN</v>
          </cell>
          <cell r="D2139">
            <v>120.7</v>
          </cell>
        </row>
        <row r="2140">
          <cell r="A2140">
            <v>84552</v>
          </cell>
          <cell r="B2140" t="str">
            <v>EXTREMIDADE BF PVC DEF0F0 DN 200</v>
          </cell>
          <cell r="C2140" t="str">
            <v>UN</v>
          </cell>
          <cell r="D2140">
            <v>188.6</v>
          </cell>
        </row>
        <row r="2141">
          <cell r="A2141">
            <v>84553</v>
          </cell>
          <cell r="B2141" t="str">
            <v>EXTREMIDADE BF PVC DEF0F0 DN 250</v>
          </cell>
          <cell r="C2141" t="str">
            <v>UN</v>
          </cell>
          <cell r="D2141">
            <v>259.83999999999997</v>
          </cell>
        </row>
        <row r="2142">
          <cell r="A2142">
            <v>84554</v>
          </cell>
          <cell r="B2142" t="str">
            <v>EXTREMIDADE BF PVC DEF0F0 DN 300</v>
          </cell>
          <cell r="C2142" t="str">
            <v>UN</v>
          </cell>
          <cell r="D2142">
            <v>345.76</v>
          </cell>
        </row>
        <row r="2143">
          <cell r="A2143">
            <v>84555</v>
          </cell>
          <cell r="B2143" t="str">
            <v>LUVA DE CORRER PVC DEF0F0 DN 100</v>
          </cell>
          <cell r="C2143" t="str">
            <v>UN</v>
          </cell>
          <cell r="D2143">
            <v>45.32</v>
          </cell>
        </row>
        <row r="2144">
          <cell r="A2144">
            <v>84556</v>
          </cell>
          <cell r="B2144" t="str">
            <v>LUVA DE CORRER PVC DEF0F0 DN 150</v>
          </cell>
          <cell r="C2144" t="str">
            <v>UN</v>
          </cell>
          <cell r="D2144">
            <v>73.459999999999994</v>
          </cell>
        </row>
        <row r="2145">
          <cell r="A2145">
            <v>84557</v>
          </cell>
          <cell r="B2145" t="str">
            <v>LUVA DE CORRER PVC DEF0F0 DN 200</v>
          </cell>
          <cell r="C2145" t="str">
            <v>UN</v>
          </cell>
          <cell r="D2145">
            <v>113.82</v>
          </cell>
        </row>
        <row r="2146">
          <cell r="A2146">
            <v>84558</v>
          </cell>
          <cell r="B2146" t="str">
            <v>LUVA DE CORRER PVC DEF0F0 DN 250</v>
          </cell>
          <cell r="C2146" t="str">
            <v>UN</v>
          </cell>
          <cell r="D2146">
            <v>181.42</v>
          </cell>
        </row>
        <row r="2147">
          <cell r="A2147">
            <v>84559</v>
          </cell>
          <cell r="B2147" t="str">
            <v>LUVA DE CORRER PVC DEF0F0 DN 300</v>
          </cell>
          <cell r="C2147" t="str">
            <v>UN</v>
          </cell>
          <cell r="D2147">
            <v>276.02</v>
          </cell>
        </row>
        <row r="2148">
          <cell r="A2148">
            <v>84560</v>
          </cell>
          <cell r="B2148" t="str">
            <v>LUVA DE F0F0/PVC DEF0F0 DN 100</v>
          </cell>
          <cell r="C2148" t="str">
            <v>UN</v>
          </cell>
          <cell r="D2148">
            <v>73.349999999999994</v>
          </cell>
        </row>
        <row r="2149">
          <cell r="A2149">
            <v>84561</v>
          </cell>
          <cell r="B2149" t="str">
            <v>LUVA DE F0F0/PVC DEF0F0 DN 150</v>
          </cell>
          <cell r="C2149" t="str">
            <v>UN</v>
          </cell>
          <cell r="D2149">
            <v>121.54</v>
          </cell>
        </row>
        <row r="2150">
          <cell r="A2150">
            <v>84562</v>
          </cell>
          <cell r="B2150" t="str">
            <v>LUVA DE F0F0/PVC DEF0F0 DN 200</v>
          </cell>
          <cell r="C2150" t="str">
            <v>UN</v>
          </cell>
          <cell r="D2150">
            <v>176.02</v>
          </cell>
        </row>
        <row r="2151">
          <cell r="A2151">
            <v>84563</v>
          </cell>
          <cell r="B2151" t="str">
            <v>LUVA DE F0F0/PVC DEF0F0 DN 250</v>
          </cell>
          <cell r="C2151" t="str">
            <v>UN</v>
          </cell>
          <cell r="D2151">
            <v>289.52</v>
          </cell>
        </row>
        <row r="2152">
          <cell r="A2152">
            <v>84564</v>
          </cell>
          <cell r="B2152" t="str">
            <v>LUVA DE F0F0/PVC DEF0F0 DN 300</v>
          </cell>
          <cell r="C2152" t="str">
            <v>UN</v>
          </cell>
          <cell r="D2152">
            <v>389.76</v>
          </cell>
        </row>
        <row r="2153">
          <cell r="A2153">
            <v>84565</v>
          </cell>
          <cell r="B2153" t="str">
            <v>REDUCAO PB PVC DEF0F0 DN 150 X 100</v>
          </cell>
          <cell r="C2153" t="str">
            <v>UN</v>
          </cell>
          <cell r="D2153">
            <v>73.349999999999994</v>
          </cell>
        </row>
        <row r="2154">
          <cell r="A2154">
            <v>84566</v>
          </cell>
          <cell r="B2154" t="str">
            <v>REDUCAO PB PVC DEF0F0 DN 200 X 100</v>
          </cell>
          <cell r="C2154" t="str">
            <v>UN</v>
          </cell>
          <cell r="D2154">
            <v>106.87</v>
          </cell>
        </row>
        <row r="2155">
          <cell r="A2155">
            <v>84567</v>
          </cell>
          <cell r="B2155" t="str">
            <v>REDUCAO PB PVC DEF0F0 DN 200 X 150</v>
          </cell>
          <cell r="C2155" t="str">
            <v>UN</v>
          </cell>
          <cell r="D2155">
            <v>113.16</v>
          </cell>
        </row>
        <row r="2156">
          <cell r="A2156">
            <v>84568</v>
          </cell>
          <cell r="B2156" t="str">
            <v>REDUCAO PB PVC DEF0F0 DN 250 X 100</v>
          </cell>
          <cell r="C2156" t="str">
            <v>UN</v>
          </cell>
          <cell r="D2156">
            <v>157.16999999999999</v>
          </cell>
        </row>
        <row r="2157">
          <cell r="A2157">
            <v>84569</v>
          </cell>
          <cell r="B2157" t="str">
            <v>REDUCAO PB PVC DEF0F0 DN 250 X 150</v>
          </cell>
          <cell r="C2157" t="str">
            <v>UN</v>
          </cell>
          <cell r="D2157">
            <v>144.59</v>
          </cell>
        </row>
        <row r="2158">
          <cell r="A2158">
            <v>84570</v>
          </cell>
          <cell r="B2158" t="str">
            <v>REDUCAO PB PVC DEF0F0 DN 250 X 200</v>
          </cell>
          <cell r="C2158" t="str">
            <v>UN</v>
          </cell>
          <cell r="D2158">
            <v>161.36000000000001</v>
          </cell>
        </row>
        <row r="2159">
          <cell r="A2159">
            <v>84571</v>
          </cell>
          <cell r="B2159" t="str">
            <v>REDUCAO PB PVC DEF0F0 DN 300 X 100</v>
          </cell>
          <cell r="C2159" t="str">
            <v>UN</v>
          </cell>
          <cell r="D2159">
            <v>196.98</v>
          </cell>
        </row>
        <row r="2160">
          <cell r="A2160">
            <v>84572</v>
          </cell>
          <cell r="B2160" t="str">
            <v>REDUCAO PB PVC DEF0F0 DN 300 X 150</v>
          </cell>
          <cell r="C2160" t="str">
            <v>UN</v>
          </cell>
          <cell r="D2160">
            <v>201.17</v>
          </cell>
        </row>
        <row r="2161">
          <cell r="A2161">
            <v>84573</v>
          </cell>
          <cell r="B2161" t="str">
            <v>REDUCAO PB PVC DEF0F0 DN 300 X 200</v>
          </cell>
          <cell r="C2161" t="str">
            <v>UN</v>
          </cell>
          <cell r="D2161">
            <v>211.64</v>
          </cell>
        </row>
        <row r="2162">
          <cell r="A2162">
            <v>84574</v>
          </cell>
          <cell r="B2162" t="str">
            <v>REDUCAO PB PVC DEF0F0 DN 300 X 250</v>
          </cell>
          <cell r="C2162" t="str">
            <v>UN</v>
          </cell>
          <cell r="D2162">
            <v>211.64</v>
          </cell>
        </row>
        <row r="2163">
          <cell r="A2163">
            <v>84575</v>
          </cell>
          <cell r="B2163" t="str">
            <v>REDUCAO PVC DEF0F0 P/PVC PBA PB DN 100 X 50</v>
          </cell>
          <cell r="C2163" t="str">
            <v>UN</v>
          </cell>
          <cell r="D2163">
            <v>34.57</v>
          </cell>
        </row>
        <row r="2164">
          <cell r="A2164">
            <v>84576</v>
          </cell>
          <cell r="B2164" t="str">
            <v>REDUCAO PVC DEF0F0 P/PVC PBA PB DN 100 X 75</v>
          </cell>
          <cell r="C2164" t="str">
            <v>UN</v>
          </cell>
          <cell r="D2164">
            <v>40.869999999999997</v>
          </cell>
        </row>
        <row r="2165">
          <cell r="A2165">
            <v>84577</v>
          </cell>
          <cell r="B2165" t="str">
            <v>REDUCAO PVC DEF0F0 P/PVC PBA PB DN 150 X 75</v>
          </cell>
          <cell r="C2165" t="str">
            <v>UN</v>
          </cell>
          <cell r="D2165">
            <v>60.77</v>
          </cell>
        </row>
        <row r="2166">
          <cell r="A2166">
            <v>84578</v>
          </cell>
          <cell r="B2166" t="str">
            <v>REDUCAO PVC DEF0F0 P/PVC PBA PB DN 150 X 100</v>
          </cell>
          <cell r="C2166" t="str">
            <v>UN</v>
          </cell>
          <cell r="D2166">
            <v>74.39</v>
          </cell>
        </row>
        <row r="2167">
          <cell r="A2167">
            <v>84579</v>
          </cell>
          <cell r="B2167" t="str">
            <v>REDUCAO PVC DEF0F0 P/PVC PBA PB DN 200 X 100</v>
          </cell>
          <cell r="C2167" t="str">
            <v>UN</v>
          </cell>
          <cell r="D2167">
            <v>92.2</v>
          </cell>
        </row>
        <row r="2168">
          <cell r="A2168">
            <v>84580</v>
          </cell>
          <cell r="B2168" t="str">
            <v>TE 90G PVC DEF0F0 BBB DN 100</v>
          </cell>
          <cell r="C2168" t="str">
            <v>UN</v>
          </cell>
          <cell r="D2168">
            <v>113.16</v>
          </cell>
        </row>
        <row r="2169">
          <cell r="A2169">
            <v>84581</v>
          </cell>
          <cell r="B2169" t="str">
            <v>TE 90G PVC DEF0F0 BBB DN 150</v>
          </cell>
          <cell r="C2169" t="str">
            <v>UN</v>
          </cell>
          <cell r="D2169">
            <v>203.26</v>
          </cell>
        </row>
        <row r="2170">
          <cell r="A2170">
            <v>84582</v>
          </cell>
          <cell r="B2170" t="str">
            <v>TE 90G PVC DEF0F0 BBB DN 200</v>
          </cell>
          <cell r="C2170" t="str">
            <v>UN</v>
          </cell>
          <cell r="D2170">
            <v>324.81</v>
          </cell>
        </row>
        <row r="2171">
          <cell r="A2171">
            <v>84583</v>
          </cell>
          <cell r="B2171" t="str">
            <v>TE 90G PVC DEF0F0 BBB DN 250</v>
          </cell>
          <cell r="C2171" t="str">
            <v>UN</v>
          </cell>
          <cell r="D2171">
            <v>488.26</v>
          </cell>
        </row>
        <row r="2172">
          <cell r="A2172">
            <v>84584</v>
          </cell>
          <cell r="B2172" t="str">
            <v>TE 90G PVC DEF0F0 BBB DN 300</v>
          </cell>
          <cell r="C2172" t="str">
            <v>UN</v>
          </cell>
          <cell r="D2172">
            <v>649.62</v>
          </cell>
        </row>
        <row r="2173">
          <cell r="A2173">
            <v>84585</v>
          </cell>
          <cell r="B2173" t="str">
            <v>TE 90G RD PVC DEF0F0 P/PVC PBA BBB DN 150 X 50</v>
          </cell>
          <cell r="C2173" t="str">
            <v>UN</v>
          </cell>
          <cell r="D2173">
            <v>132.01</v>
          </cell>
        </row>
        <row r="2174">
          <cell r="A2174">
            <v>84586</v>
          </cell>
          <cell r="B2174" t="str">
            <v>TE 90G RD PVC DEF0F0 P/PVC PBA BBB DN 150 X 75</v>
          </cell>
          <cell r="C2174" t="str">
            <v>UN</v>
          </cell>
          <cell r="D2174">
            <v>138.31</v>
          </cell>
        </row>
        <row r="2175">
          <cell r="A2175">
            <v>84587</v>
          </cell>
          <cell r="B2175" t="str">
            <v>TE 90G RD PVC DEF0F0 P/PVC PBA BBB DN 150 X 100</v>
          </cell>
          <cell r="C2175" t="str">
            <v>UN</v>
          </cell>
          <cell r="D2175">
            <v>155.07</v>
          </cell>
        </row>
        <row r="2176">
          <cell r="A2176">
            <v>84588</v>
          </cell>
          <cell r="B2176" t="str">
            <v>TE 90G RD PVC DEF0F0 P/PVC PBA BBB DN 200 X 75</v>
          </cell>
          <cell r="C2176" t="str">
            <v>UN</v>
          </cell>
          <cell r="D2176">
            <v>228.42</v>
          </cell>
        </row>
        <row r="2177">
          <cell r="A2177">
            <v>84589</v>
          </cell>
          <cell r="B2177" t="str">
            <v>TE 90G RD PVC DEF0F0 P/PVC PBA BBB DN 200 X 100</v>
          </cell>
          <cell r="C2177" t="str">
            <v>UN</v>
          </cell>
          <cell r="D2177">
            <v>236.8</v>
          </cell>
        </row>
        <row r="2178">
          <cell r="A2178">
            <v>84590</v>
          </cell>
          <cell r="B2178" t="str">
            <v>TE 90G RD PVC DEF0F0 P/PVC PBA BBB DN 250 X 50</v>
          </cell>
          <cell r="C2178" t="str">
            <v>UN</v>
          </cell>
          <cell r="D2178">
            <v>301.76</v>
          </cell>
        </row>
        <row r="2179">
          <cell r="A2179">
            <v>84591</v>
          </cell>
          <cell r="B2179" t="str">
            <v>TE 90G RD PVC DEF0F0 P/PVC PBA BBB DN 250 X 75</v>
          </cell>
          <cell r="C2179" t="str">
            <v>UN</v>
          </cell>
          <cell r="D2179">
            <v>322.70999999999998</v>
          </cell>
        </row>
        <row r="2180">
          <cell r="A2180">
            <v>84592</v>
          </cell>
          <cell r="B2180" t="str">
            <v>TE 90G RD PVC DEF0F0 P/PVC PBA BBB DN 250 X 100</v>
          </cell>
          <cell r="C2180" t="str">
            <v>UN</v>
          </cell>
          <cell r="D2180">
            <v>326.89999999999998</v>
          </cell>
        </row>
        <row r="2181">
          <cell r="A2181">
            <v>84593</v>
          </cell>
          <cell r="B2181" t="str">
            <v>TE 90G RD PVC DEF0F0 BBF DN 150 X 50</v>
          </cell>
          <cell r="C2181" t="str">
            <v>UN</v>
          </cell>
          <cell r="D2181">
            <v>190.69</v>
          </cell>
        </row>
        <row r="2182">
          <cell r="A2182">
            <v>84594</v>
          </cell>
          <cell r="B2182" t="str">
            <v>TE 90G RD PVC DEF0F0 BBF DN 150 X 75</v>
          </cell>
          <cell r="C2182" t="str">
            <v>UN</v>
          </cell>
          <cell r="D2182">
            <v>190.69</v>
          </cell>
        </row>
        <row r="2183">
          <cell r="A2183">
            <v>84595</v>
          </cell>
          <cell r="B2183" t="str">
            <v>TE 90G RD PVC DEF0F0 BBF DN 200 X 50</v>
          </cell>
          <cell r="C2183" t="str">
            <v>UN</v>
          </cell>
          <cell r="D2183">
            <v>249.37</v>
          </cell>
        </row>
        <row r="2184">
          <cell r="A2184">
            <v>84596</v>
          </cell>
          <cell r="B2184" t="str">
            <v>TE 90G RD PVC DEF0F0 BBF DN 200 X 75</v>
          </cell>
          <cell r="C2184" t="str">
            <v>UN</v>
          </cell>
          <cell r="D2184">
            <v>251.46</v>
          </cell>
        </row>
        <row r="2185">
          <cell r="A2185">
            <v>84597</v>
          </cell>
          <cell r="B2185" t="str">
            <v>TE 90G RD PVC DEF0F0 BBF DN 200 X 100</v>
          </cell>
          <cell r="C2185" t="str">
            <v>UN</v>
          </cell>
          <cell r="D2185">
            <v>301.76</v>
          </cell>
        </row>
        <row r="2186">
          <cell r="A2186">
            <v>84598</v>
          </cell>
          <cell r="B2186" t="str">
            <v>TE 90G RD PVC DEF0F0 BBF DN 250 X 50</v>
          </cell>
          <cell r="C2186" t="str">
            <v>UN</v>
          </cell>
          <cell r="D2186">
            <v>318.52</v>
          </cell>
        </row>
        <row r="2187">
          <cell r="A2187">
            <v>84599</v>
          </cell>
          <cell r="B2187" t="str">
            <v>TE 90G RD PVC DEF0F0 BBF DN 250 X 75</v>
          </cell>
          <cell r="C2187" t="str">
            <v>UN</v>
          </cell>
          <cell r="D2187">
            <v>345.76</v>
          </cell>
        </row>
        <row r="2188">
          <cell r="A2188">
            <v>84601</v>
          </cell>
          <cell r="B2188" t="str">
            <v>TE 90G RD PVC DEF0F0 BBF DN 250 X 100</v>
          </cell>
          <cell r="C2188" t="str">
            <v>UN</v>
          </cell>
          <cell r="D2188">
            <v>373</v>
          </cell>
        </row>
        <row r="2189">
          <cell r="A2189">
            <v>84602</v>
          </cell>
          <cell r="B2189" t="str">
            <v>TE 90G RD PVC DEF0F0 P/ PVC PBA BBB DN 200 X 50</v>
          </cell>
          <cell r="C2189" t="str">
            <v>UN</v>
          </cell>
          <cell r="D2189">
            <v>222.13</v>
          </cell>
        </row>
        <row r="2190">
          <cell r="A2190">
            <v>84603</v>
          </cell>
          <cell r="B2190" t="str">
            <v>TE 90G PVC PBA BBF DN 50</v>
          </cell>
          <cell r="C2190" t="str">
            <v>UN</v>
          </cell>
          <cell r="D2190">
            <v>38.35</v>
          </cell>
        </row>
        <row r="2191">
          <cell r="A2191">
            <v>84604</v>
          </cell>
          <cell r="B2191" t="str">
            <v>TE 90G PVC PBA BBF DN 75</v>
          </cell>
          <cell r="C2191" t="str">
            <v>UN</v>
          </cell>
          <cell r="D2191">
            <v>55.43</v>
          </cell>
        </row>
        <row r="2192">
          <cell r="A2192">
            <v>84605</v>
          </cell>
          <cell r="B2192" t="str">
            <v>TE 90G PVC PBA BBF DN 100</v>
          </cell>
          <cell r="C2192" t="str">
            <v>UN</v>
          </cell>
          <cell r="D2192">
            <v>93.2</v>
          </cell>
        </row>
        <row r="2193">
          <cell r="A2193">
            <v>84608</v>
          </cell>
          <cell r="B2193" t="str">
            <v>PERFIL RETANGULAR P/ DECANTACAO 50 X 90 DN 600</v>
          </cell>
          <cell r="C2193" t="str">
            <v>UN</v>
          </cell>
          <cell r="D2193">
            <v>1.71</v>
          </cell>
        </row>
        <row r="2194">
          <cell r="A2194">
            <v>84609</v>
          </cell>
          <cell r="B2194" t="str">
            <v>PERFIL RETANGULAR P/ DECANTACAO 50 X 90 DN 1000</v>
          </cell>
          <cell r="C2194" t="str">
            <v>UN</v>
          </cell>
          <cell r="D2194">
            <v>2.86</v>
          </cell>
        </row>
        <row r="2195">
          <cell r="A2195">
            <v>84610</v>
          </cell>
          <cell r="B2195" t="str">
            <v>PERFIL RETANGULAR P/ DECANTACAO 50 X 90 DN 1200</v>
          </cell>
          <cell r="C2195" t="str">
            <v>UN</v>
          </cell>
          <cell r="D2195">
            <v>3.5</v>
          </cell>
        </row>
        <row r="2196">
          <cell r="A2196">
            <v>84611</v>
          </cell>
          <cell r="B2196" t="str">
            <v>PERFIL RETANGULAR P/ DECANTACAO 50 X 90 DN 6000</v>
          </cell>
          <cell r="C2196" t="str">
            <v>UN</v>
          </cell>
          <cell r="D2196">
            <v>14.14</v>
          </cell>
        </row>
        <row r="2197">
          <cell r="A2197">
            <v>84612</v>
          </cell>
          <cell r="B2197" t="str">
            <v>SUPORTE PVC P/ PERFIL DE DECANTACAO</v>
          </cell>
          <cell r="C2197" t="str">
            <v>UN</v>
          </cell>
          <cell r="D2197">
            <v>0.47</v>
          </cell>
        </row>
        <row r="2198">
          <cell r="A2198">
            <v>84613</v>
          </cell>
          <cell r="B2198" t="str">
            <v>SOLUCAO THF EM FRASCO DE 90 ML</v>
          </cell>
          <cell r="C2198" t="str">
            <v>UN</v>
          </cell>
          <cell r="D2198">
            <v>20.149999999999999</v>
          </cell>
        </row>
        <row r="2199">
          <cell r="A2199">
            <v>84614</v>
          </cell>
          <cell r="B2199" t="str">
            <v>TUBO DE POLIETILENO PE-5 DN 20</v>
          </cell>
          <cell r="C2199" t="str">
            <v>M</v>
          </cell>
          <cell r="D2199">
            <v>1.82</v>
          </cell>
        </row>
        <row r="2200">
          <cell r="A2200">
            <v>84615</v>
          </cell>
          <cell r="B2200" t="str">
            <v>TUBO DE POLIETILENO PE-5 DN 32</v>
          </cell>
          <cell r="C2200" t="str">
            <v>M</v>
          </cell>
          <cell r="D2200">
            <v>3.68</v>
          </cell>
        </row>
        <row r="2201">
          <cell r="A2201">
            <v>84620</v>
          </cell>
          <cell r="B2201" t="str">
            <v>ADAPTADOR P/ POLIETILENO PE-5 DN 20 X 1/2"</v>
          </cell>
          <cell r="C2201" t="str">
            <v>UN</v>
          </cell>
          <cell r="D2201">
            <v>1.2</v>
          </cell>
        </row>
        <row r="2202">
          <cell r="A2202">
            <v>84621</v>
          </cell>
          <cell r="B2202" t="str">
            <v>ADAPTADOR P/ POLIETILENO PE-5 DN 20 X 3/4"</v>
          </cell>
          <cell r="C2202" t="str">
            <v>UN</v>
          </cell>
          <cell r="D2202">
            <v>1.22</v>
          </cell>
        </row>
        <row r="2203">
          <cell r="A2203">
            <v>84622</v>
          </cell>
          <cell r="B2203" t="str">
            <v>ADAPTADOR P/ POLIETILENO PE-5 DN 32 X 1"</v>
          </cell>
          <cell r="C2203" t="str">
            <v>UN</v>
          </cell>
          <cell r="D2203">
            <v>1.45</v>
          </cell>
        </row>
        <row r="2204">
          <cell r="A2204">
            <v>84623</v>
          </cell>
          <cell r="B2204" t="str">
            <v>ADAPTADOR C/ REGISTRO P/ POL. PE-5 DN 20 X 3/4"</v>
          </cell>
          <cell r="C2204" t="str">
            <v>UN</v>
          </cell>
          <cell r="D2204">
            <v>3.45</v>
          </cell>
        </row>
        <row r="2205">
          <cell r="A2205">
            <v>84624</v>
          </cell>
          <cell r="B2205" t="str">
            <v>REGISTRO DE PASSEIO POLIETILENO PE-5 DN 20</v>
          </cell>
          <cell r="C2205" t="str">
            <v>UN</v>
          </cell>
          <cell r="D2205">
            <v>4.34</v>
          </cell>
        </row>
        <row r="2206">
          <cell r="A2206">
            <v>84625</v>
          </cell>
          <cell r="B2206" t="str">
            <v>UNIAO P/ POLIETILENO PE-5 DN 20</v>
          </cell>
          <cell r="C2206" t="str">
            <v>UN</v>
          </cell>
          <cell r="D2206">
            <v>2.0299999999999998</v>
          </cell>
        </row>
        <row r="2207">
          <cell r="A2207">
            <v>84626</v>
          </cell>
          <cell r="B2207" t="str">
            <v>CORTADOR P/ TB. POLIETILENO PE-5 DN 20</v>
          </cell>
          <cell r="C2207" t="str">
            <v>UN</v>
          </cell>
          <cell r="D2207">
            <v>106.15</v>
          </cell>
        </row>
        <row r="2208">
          <cell r="A2208">
            <v>84627</v>
          </cell>
          <cell r="B2208" t="str">
            <v>ESTRANGULADOR DE VAZAO P/ TUBO POLIETILENO PE-5</v>
          </cell>
          <cell r="C2208" t="str">
            <v>UN</v>
          </cell>
          <cell r="D2208">
            <v>47.08</v>
          </cell>
        </row>
        <row r="2209">
          <cell r="A2209">
            <v>84628</v>
          </cell>
          <cell r="B2209" t="str">
            <v>FURADEIRA P/ LIGACAO PREDIAL EM PVC MARROM DN 3/4"</v>
          </cell>
          <cell r="C2209" t="str">
            <v>UN</v>
          </cell>
          <cell r="D2209">
            <v>70.88</v>
          </cell>
        </row>
        <row r="2210">
          <cell r="A2210">
            <v>84629</v>
          </cell>
          <cell r="B2210" t="str">
            <v>FURADEIRA P/ LIGACAO PREDIAL EM POL. AZUL DN 3/4"</v>
          </cell>
          <cell r="C2210" t="str">
            <v>UN</v>
          </cell>
          <cell r="D2210">
            <v>70.98</v>
          </cell>
        </row>
        <row r="2211">
          <cell r="A2211">
            <v>84630</v>
          </cell>
          <cell r="B2211" t="str">
            <v>EXTREMIDADE P/HIDROMETRO C/BUCHA DE LATAO DN 1/2"</v>
          </cell>
          <cell r="C2211" t="str">
            <v>UN</v>
          </cell>
          <cell r="D2211">
            <v>2.5099999999999998</v>
          </cell>
        </row>
        <row r="2212">
          <cell r="A2212">
            <v>84631</v>
          </cell>
          <cell r="B2212" t="str">
            <v>EXTREMIDADE P/HIDROMETRO C/BUCHA DE LATAO DN 3/4"</v>
          </cell>
          <cell r="C2212" t="str">
            <v>UN</v>
          </cell>
          <cell r="D2212">
            <v>2.9</v>
          </cell>
        </row>
        <row r="2213">
          <cell r="A2213">
            <v>84632</v>
          </cell>
          <cell r="B2213" t="str">
            <v>EXTREMIDADE P/HIDROMETRO S/BUCHA DE LATAO DN 1/2"</v>
          </cell>
          <cell r="C2213" t="str">
            <v>UN</v>
          </cell>
          <cell r="D2213">
            <v>1.08</v>
          </cell>
        </row>
        <row r="2214">
          <cell r="A2214">
            <v>84633</v>
          </cell>
          <cell r="B2214" t="str">
            <v>EXTREMIDADE P/HIDROMETRO S/BUCHA DE LATAO DN 3/4"</v>
          </cell>
          <cell r="C2214" t="str">
            <v>UN</v>
          </cell>
          <cell r="D2214">
            <v>1.18</v>
          </cell>
        </row>
        <row r="2215">
          <cell r="A2215">
            <v>84634</v>
          </cell>
          <cell r="B2215" t="str">
            <v>KIT CAVALETE TIGRE DN 1/2"</v>
          </cell>
          <cell r="C2215" t="str">
            <v>UN</v>
          </cell>
          <cell r="D2215">
            <v>22.13</v>
          </cell>
        </row>
        <row r="2216">
          <cell r="A2216">
            <v>84635</v>
          </cell>
          <cell r="B2216" t="str">
            <v>KIT CAVALETE TIGRE DN 3/4"</v>
          </cell>
          <cell r="C2216" t="str">
            <v>UN</v>
          </cell>
          <cell r="D2216">
            <v>27.5</v>
          </cell>
        </row>
        <row r="2217">
          <cell r="A2217">
            <v>84636</v>
          </cell>
          <cell r="B2217" t="str">
            <v>LACRE P/ KIT CAVALETE DN 1/2"</v>
          </cell>
          <cell r="C2217" t="str">
            <v>UN</v>
          </cell>
          <cell r="D2217">
            <v>1.3</v>
          </cell>
        </row>
        <row r="2218">
          <cell r="A2218">
            <v>84637</v>
          </cell>
          <cell r="B2218" t="str">
            <v>LACRE P/ KIT CAVALETE DN 3/4"</v>
          </cell>
          <cell r="C2218" t="str">
            <v>UN</v>
          </cell>
          <cell r="D2218">
            <v>1.31</v>
          </cell>
        </row>
        <row r="2219">
          <cell r="A2219">
            <v>84638</v>
          </cell>
          <cell r="B2219" t="str">
            <v>COL.TOM.L.P.PVC C/TVS E C/S.ROSC.DN 32 X 1/2"</v>
          </cell>
          <cell r="C2219" t="str">
            <v>UN</v>
          </cell>
          <cell r="D2219">
            <v>2.2000000000000002</v>
          </cell>
        </row>
        <row r="2220">
          <cell r="A2220">
            <v>84639</v>
          </cell>
          <cell r="B2220" t="str">
            <v>COL.TOM.L.P.PVC C/TVS E C/S.ROSC.DN 32 X 3/4"</v>
          </cell>
          <cell r="C2220" t="str">
            <v>UN</v>
          </cell>
          <cell r="D2220">
            <v>2.12</v>
          </cell>
        </row>
        <row r="2221">
          <cell r="A2221">
            <v>84640</v>
          </cell>
          <cell r="B2221" t="str">
            <v>COL.TOM.L.P.PVC C/TVS.E C/S.ROSC.DN 40 X 1/2"</v>
          </cell>
          <cell r="C2221" t="str">
            <v>UN</v>
          </cell>
          <cell r="D2221">
            <v>2.38</v>
          </cell>
        </row>
        <row r="2222">
          <cell r="A2222">
            <v>84641</v>
          </cell>
          <cell r="B2222" t="str">
            <v>COL.TOM.L.P.PVC C/TVS.E C/S.ROSC.DN 40 X 3/4"</v>
          </cell>
          <cell r="C2222" t="str">
            <v>UN</v>
          </cell>
          <cell r="D2222">
            <v>2.29</v>
          </cell>
        </row>
        <row r="2223">
          <cell r="A2223">
            <v>84642</v>
          </cell>
          <cell r="B2223" t="str">
            <v>COL.TOM.L.P.PVC C/TVS.E C/S.ROSC.DN 50 X 1/2"</v>
          </cell>
          <cell r="C2223" t="str">
            <v>UN</v>
          </cell>
          <cell r="D2223">
            <v>3.25</v>
          </cell>
        </row>
        <row r="2224">
          <cell r="A2224">
            <v>84643</v>
          </cell>
          <cell r="B2224" t="str">
            <v>COL.TOM.L.P.PVC C/TVS.E C/S.ROSC.DN 50 X 3/4"</v>
          </cell>
          <cell r="C2224" t="str">
            <v>UN</v>
          </cell>
          <cell r="D2224">
            <v>3.25</v>
          </cell>
        </row>
        <row r="2225">
          <cell r="A2225">
            <v>84644</v>
          </cell>
          <cell r="B2225" t="str">
            <v>COL.TOM.L.P.PVC C/TVS.E C/S.ROSC.DN 75 X 1/2"</v>
          </cell>
          <cell r="C2225" t="str">
            <v>UN</v>
          </cell>
          <cell r="D2225">
            <v>3.67</v>
          </cell>
        </row>
        <row r="2226">
          <cell r="A2226">
            <v>84645</v>
          </cell>
          <cell r="B2226" t="str">
            <v>COL.TOM.L.P.PVC C/TVS. E C/S.ROSC.DN 75 X 3/4"</v>
          </cell>
          <cell r="C2226" t="str">
            <v>UN</v>
          </cell>
          <cell r="D2226">
            <v>3.67</v>
          </cell>
        </row>
        <row r="2227">
          <cell r="A2227">
            <v>84646</v>
          </cell>
          <cell r="B2227" t="str">
            <v>COL.TOM.L.P.PVC C/TVS.E C/S.ROSC. DN 100 X 1/2"</v>
          </cell>
          <cell r="C2227" t="str">
            <v>UN</v>
          </cell>
          <cell r="D2227">
            <v>3.96</v>
          </cell>
        </row>
        <row r="2228">
          <cell r="A2228">
            <v>84647</v>
          </cell>
          <cell r="B2228" t="str">
            <v>COL.TOM.L.P.PVC C/TVS.E C/S.ROSC. DN 100 X 3/4"</v>
          </cell>
          <cell r="C2228" t="str">
            <v>UN</v>
          </cell>
          <cell r="D2228">
            <v>3.96</v>
          </cell>
        </row>
        <row r="2229">
          <cell r="A2229">
            <v>84648</v>
          </cell>
          <cell r="B2229" t="str">
            <v>COL.TOM.L.P.PVC C/TVS.E C/S. SOLD. DN 50 X 20</v>
          </cell>
          <cell r="C2229" t="str">
            <v>UN</v>
          </cell>
          <cell r="D2229">
            <v>3.3</v>
          </cell>
        </row>
        <row r="2230">
          <cell r="A2230">
            <v>84649</v>
          </cell>
          <cell r="B2230" t="str">
            <v>COL.TOM.L.P.PVC C/TVS.E C/S. SOLD. DN 50 X 25</v>
          </cell>
          <cell r="C2230" t="str">
            <v>UN</v>
          </cell>
          <cell r="D2230">
            <v>3.3</v>
          </cell>
        </row>
        <row r="2231">
          <cell r="A2231">
            <v>84650</v>
          </cell>
          <cell r="B2231" t="str">
            <v>COL.TOM.L.P. PVC C/TVS.E C/S. SOLD. DN 75 X 20</v>
          </cell>
          <cell r="C2231" t="str">
            <v>UN</v>
          </cell>
          <cell r="D2231">
            <v>3.76</v>
          </cell>
        </row>
        <row r="2232">
          <cell r="A2232">
            <v>84651</v>
          </cell>
          <cell r="B2232" t="str">
            <v>COL.TOM.L.P.PVC C/TYVS.E C/S.SOLD. DN 75 X 25</v>
          </cell>
          <cell r="C2232" t="str">
            <v>UN</v>
          </cell>
          <cell r="D2232">
            <v>3.76</v>
          </cell>
        </row>
        <row r="2233">
          <cell r="A2233">
            <v>84652</v>
          </cell>
          <cell r="B2233" t="str">
            <v>COL.TOM.L.P.PVC C/TVS.E C/S. SOLD. DN 100 X 20</v>
          </cell>
          <cell r="C2233" t="str">
            <v>UN</v>
          </cell>
          <cell r="D2233">
            <v>4</v>
          </cell>
        </row>
        <row r="2234">
          <cell r="A2234">
            <v>84653</v>
          </cell>
          <cell r="B2234" t="str">
            <v>COL.TOM.L.P.PVC C/TVS. E C/S.SOLD. DN 100 X 25</v>
          </cell>
          <cell r="C2234" t="str">
            <v>UN</v>
          </cell>
          <cell r="D2234">
            <v>4</v>
          </cell>
        </row>
        <row r="2235">
          <cell r="A2235">
            <v>84654</v>
          </cell>
          <cell r="B2235" t="str">
            <v>COL.TO.L.P.PVC C/TVS.E S.ROSC.C/B.LATAO DN 50X1/2"</v>
          </cell>
          <cell r="C2235" t="str">
            <v>UN</v>
          </cell>
          <cell r="D2235">
            <v>4.6399999999999997</v>
          </cell>
        </row>
        <row r="2236">
          <cell r="A2236">
            <v>84655</v>
          </cell>
          <cell r="B2236" t="str">
            <v>COL.TO.L.P.PVC C/TVS.E S.ROSC.C/B.LATAO DN 50X3/4"</v>
          </cell>
          <cell r="C2236" t="str">
            <v>UN</v>
          </cell>
          <cell r="D2236">
            <v>4.6399999999999997</v>
          </cell>
        </row>
        <row r="2237">
          <cell r="A2237">
            <v>84656</v>
          </cell>
          <cell r="B2237" t="str">
            <v>COL.TO.L.P.PVC C/TVS.E S.ROSC.C/B.LATAO DN 75X1/2"</v>
          </cell>
          <cell r="C2237" t="str">
            <v>UN</v>
          </cell>
          <cell r="D2237">
            <v>5.21</v>
          </cell>
        </row>
        <row r="2238">
          <cell r="A2238">
            <v>84657</v>
          </cell>
          <cell r="B2238" t="str">
            <v>COL.TO.L.P.PVC C/TVS.E S.ROSC.C/B.LATAO DN 75X3/4"</v>
          </cell>
          <cell r="C2238" t="str">
            <v>UN</v>
          </cell>
          <cell r="D2238">
            <v>5.21</v>
          </cell>
        </row>
        <row r="2239">
          <cell r="A2239">
            <v>84658</v>
          </cell>
          <cell r="B2239" t="str">
            <v>COL.TO.L.P.PVC.TVS.E S.ROSC.C/B.LATAO DN 100X1/2"</v>
          </cell>
          <cell r="C2239" t="str">
            <v>UN</v>
          </cell>
          <cell r="D2239">
            <v>5.57</v>
          </cell>
        </row>
        <row r="2240">
          <cell r="A2240">
            <v>84659</v>
          </cell>
          <cell r="B2240" t="str">
            <v>COL.TO.L.P.PVC TVS.E S.ROSC.C/B.LATAO DN 100X3/4"</v>
          </cell>
          <cell r="C2240" t="str">
            <v>UN</v>
          </cell>
          <cell r="D2240">
            <v>5.57</v>
          </cell>
        </row>
        <row r="2241">
          <cell r="A2241">
            <v>84660</v>
          </cell>
          <cell r="B2241" t="str">
            <v>COL.TOM.LIG.PRED.F0F0 P/TUBOS PVC PBA DN 50 X 1/2"</v>
          </cell>
          <cell r="C2241" t="str">
            <v>UN</v>
          </cell>
          <cell r="D2241">
            <v>19.11</v>
          </cell>
        </row>
        <row r="2242">
          <cell r="A2242">
            <v>84661</v>
          </cell>
          <cell r="B2242" t="str">
            <v>COL.TOM.LIG.PRED.F0F0 P/TUBOS PVC PBA DN 50 X 3/4"</v>
          </cell>
          <cell r="C2242" t="str">
            <v>UN</v>
          </cell>
          <cell r="D2242">
            <v>19.11</v>
          </cell>
        </row>
        <row r="2243">
          <cell r="A2243">
            <v>84662</v>
          </cell>
          <cell r="B2243" t="str">
            <v>COL.TOM.LIG.PRED.F0F0 P/TUBOS PVC PBA DN 50 X 1"</v>
          </cell>
          <cell r="C2243" t="str">
            <v>UN</v>
          </cell>
          <cell r="D2243">
            <v>19.11</v>
          </cell>
        </row>
        <row r="2244">
          <cell r="A2244">
            <v>84663</v>
          </cell>
          <cell r="B2244" t="str">
            <v>COL.TOM.LIG.PRED.F0F0 P/TUBOS PVC PBA DN 75 X 1/2"</v>
          </cell>
          <cell r="C2244" t="str">
            <v>UN</v>
          </cell>
          <cell r="D2244">
            <v>24.27</v>
          </cell>
        </row>
        <row r="2245">
          <cell r="A2245">
            <v>84664</v>
          </cell>
          <cell r="B2245" t="str">
            <v>COL.TOM.LIG.PRED.F0F0 P/TUBOS PVC PBA DN 75 X 3/4"</v>
          </cell>
          <cell r="C2245" t="str">
            <v>UN</v>
          </cell>
          <cell r="D2245">
            <v>24.27</v>
          </cell>
        </row>
        <row r="2246">
          <cell r="A2246">
            <v>84665</v>
          </cell>
          <cell r="B2246" t="str">
            <v>COL.TOM.LIG.PRED.F0F0 P/TUBOS PVC PBA DN 75 X 1"</v>
          </cell>
          <cell r="C2246" t="str">
            <v>UN</v>
          </cell>
          <cell r="D2246">
            <v>24.27</v>
          </cell>
        </row>
        <row r="2247">
          <cell r="A2247">
            <v>84666</v>
          </cell>
          <cell r="B2247" t="str">
            <v>COL.TOM.L.PRED.F0F0 P/TUBOS PVC PBA DN 100 X 1/2"</v>
          </cell>
          <cell r="C2247" t="str">
            <v>UN</v>
          </cell>
          <cell r="D2247">
            <v>24.73</v>
          </cell>
        </row>
        <row r="2248">
          <cell r="A2248">
            <v>84667</v>
          </cell>
          <cell r="B2248" t="str">
            <v>COL.TOM.L.PRED.F0F0 P/TUBOS PVC PBA DN 100 X 3/4"</v>
          </cell>
          <cell r="C2248" t="str">
            <v>UN</v>
          </cell>
          <cell r="D2248">
            <v>24.73</v>
          </cell>
        </row>
        <row r="2249">
          <cell r="A2249">
            <v>84668</v>
          </cell>
          <cell r="B2249" t="str">
            <v>COL.TOM.LIG.PRED.F0F0 P/TUBOS PVC PBA DN 100 X 1"</v>
          </cell>
          <cell r="C2249" t="str">
            <v>UN</v>
          </cell>
          <cell r="D2249">
            <v>24.73</v>
          </cell>
        </row>
        <row r="2250">
          <cell r="A2250">
            <v>84669</v>
          </cell>
          <cell r="B2250" t="str">
            <v>COL.TOM.L.PRED.F0F0 P/TUBOS PVC PBA DN 150 X 1/2"</v>
          </cell>
          <cell r="C2250" t="str">
            <v>UN</v>
          </cell>
          <cell r="D2250">
            <v>38.659999999999997</v>
          </cell>
        </row>
        <row r="2251">
          <cell r="A2251">
            <v>84670</v>
          </cell>
          <cell r="B2251" t="str">
            <v>COL.TOM.L.PRED.F0F0 P/TUBOS PVC PBA DN 150 X 3/4"</v>
          </cell>
          <cell r="C2251" t="str">
            <v>UN</v>
          </cell>
          <cell r="D2251">
            <v>38.659999999999997</v>
          </cell>
        </row>
        <row r="2252">
          <cell r="A2252">
            <v>84671</v>
          </cell>
          <cell r="B2252" t="str">
            <v>COL.TOM.LIG.PRED.F0F0 P/TUBOS PVC PBA DN 150 X 1"</v>
          </cell>
          <cell r="C2252" t="str">
            <v>UN</v>
          </cell>
          <cell r="D2252">
            <v>38.659999999999997</v>
          </cell>
        </row>
        <row r="2253">
          <cell r="A2253">
            <v>84672</v>
          </cell>
          <cell r="B2253" t="str">
            <v>COL.TOM.L.PRED.F0F0 P/TUBOS PVC PBA DN 200 X 1/2"</v>
          </cell>
          <cell r="C2253" t="str">
            <v>UN</v>
          </cell>
          <cell r="D2253">
            <v>38.659999999999997</v>
          </cell>
        </row>
        <row r="2254">
          <cell r="A2254">
            <v>84673</v>
          </cell>
          <cell r="B2254" t="str">
            <v>COL.TOM.L.PRED.F0F0 P/TUBOS PVC PBA DN 200 X 3/4"</v>
          </cell>
          <cell r="C2254" t="str">
            <v>UN</v>
          </cell>
          <cell r="D2254">
            <v>38.659999999999997</v>
          </cell>
        </row>
        <row r="2255">
          <cell r="A2255">
            <v>84674</v>
          </cell>
          <cell r="B2255" t="str">
            <v>COL.TOM.L.PRED.F0F0 P/TUBOS PVC PBA DN 200 X 1"</v>
          </cell>
          <cell r="C2255" t="str">
            <v>UN</v>
          </cell>
          <cell r="D2255">
            <v>38.659999999999997</v>
          </cell>
        </row>
        <row r="2256">
          <cell r="A2256">
            <v>84675</v>
          </cell>
          <cell r="B2256" t="str">
            <v>COL.TOM.L.PRED.F0F0 P/TUBOS PVC PBA DN 250 X 1/2"</v>
          </cell>
          <cell r="C2256" t="str">
            <v>UN</v>
          </cell>
          <cell r="D2256">
            <v>44.51</v>
          </cell>
        </row>
        <row r="2257">
          <cell r="A2257">
            <v>84676</v>
          </cell>
          <cell r="B2257" t="str">
            <v>COL.TOM.L.PRED.F0F0 P/TUBOS PVC PBA DN 250 X 3/4"</v>
          </cell>
          <cell r="C2257" t="str">
            <v>UN</v>
          </cell>
          <cell r="D2257">
            <v>44.51</v>
          </cell>
        </row>
        <row r="2258">
          <cell r="A2258">
            <v>84677</v>
          </cell>
          <cell r="B2258" t="str">
            <v>COL.TOM.LIG.PRED.F0F0 P/TUBOS PVC PBA DN 250 X 1"</v>
          </cell>
          <cell r="C2258" t="str">
            <v>UN</v>
          </cell>
          <cell r="D2258">
            <v>44.51</v>
          </cell>
        </row>
        <row r="2259">
          <cell r="A2259">
            <v>84678</v>
          </cell>
          <cell r="B2259" t="str">
            <v>COL.TOM.L.PRED.F0F0 P/TUBOS PVC PBA DN 300 X 1/2"</v>
          </cell>
          <cell r="C2259" t="str">
            <v>UN</v>
          </cell>
          <cell r="D2259">
            <v>58.9</v>
          </cell>
        </row>
        <row r="2260">
          <cell r="A2260">
            <v>84679</v>
          </cell>
          <cell r="B2260" t="str">
            <v>COL.TOM.L.PRED.F0F0 P/TUBOS PVC PBA DN 300 X 3/4"</v>
          </cell>
          <cell r="C2260" t="str">
            <v>UN</v>
          </cell>
          <cell r="D2260">
            <v>58.9</v>
          </cell>
        </row>
        <row r="2261">
          <cell r="A2261">
            <v>84680</v>
          </cell>
          <cell r="B2261" t="str">
            <v>COL.TOM.LIG.PRED.F0F0 P/TUBOS PVC PBA DN 300 X 1"</v>
          </cell>
          <cell r="C2261" t="str">
            <v>UN</v>
          </cell>
          <cell r="D2261">
            <v>58.9</v>
          </cell>
        </row>
        <row r="2262">
          <cell r="A2262">
            <v>84681</v>
          </cell>
          <cell r="B2262" t="str">
            <v>COL.TOM.L.P.F0F0 P/TUBOS PVC DEF0F0 DN 100 X 1/2"</v>
          </cell>
          <cell r="C2262" t="str">
            <v>UN</v>
          </cell>
          <cell r="D2262">
            <v>24.73</v>
          </cell>
        </row>
        <row r="2263">
          <cell r="A2263">
            <v>84682</v>
          </cell>
          <cell r="B2263" t="str">
            <v>COL.TOM.L.P.F0F0 P/TUBOS PVC DEF0F0 DN 100 X 3/4"</v>
          </cell>
          <cell r="C2263" t="str">
            <v>UN</v>
          </cell>
          <cell r="D2263">
            <v>24.73</v>
          </cell>
        </row>
        <row r="2264">
          <cell r="A2264">
            <v>84683</v>
          </cell>
          <cell r="B2264" t="str">
            <v>COL.TOM.L.P.F0F0 P/TUBOS PVC DEF0F0 DN 100 X 1"</v>
          </cell>
          <cell r="C2264" t="str">
            <v>UN</v>
          </cell>
          <cell r="D2264">
            <v>24.73</v>
          </cell>
        </row>
        <row r="2265">
          <cell r="A2265">
            <v>84684</v>
          </cell>
          <cell r="B2265" t="str">
            <v>COL.TOM.L.P.F0F0 C/TUBOS PVC DEF0F0 DN 150 X 1/2"</v>
          </cell>
          <cell r="C2265" t="str">
            <v>UN</v>
          </cell>
          <cell r="D2265">
            <v>32.82</v>
          </cell>
        </row>
        <row r="2266">
          <cell r="A2266">
            <v>84685</v>
          </cell>
          <cell r="B2266" t="str">
            <v>COL.TOM.L.P.F0F0 P/TUBOS PVC DEF0F0 DN 150 X 3/4"</v>
          </cell>
          <cell r="C2266" t="str">
            <v>UN</v>
          </cell>
          <cell r="D2266">
            <v>32.82</v>
          </cell>
        </row>
        <row r="2267">
          <cell r="A2267">
            <v>84686</v>
          </cell>
          <cell r="B2267" t="str">
            <v>COL.TOM.L.P.F0F0 P/TUBOS PVC DEF0F0 DN 150 X 1"</v>
          </cell>
          <cell r="C2267" t="str">
            <v>UN</v>
          </cell>
          <cell r="D2267">
            <v>32.82</v>
          </cell>
        </row>
        <row r="2268">
          <cell r="A2268">
            <v>84687</v>
          </cell>
          <cell r="B2268" t="str">
            <v>COL.TOM.L.P.F0F0 P/TUBOS PVC DEF0F0 DN 200 X 1/2"</v>
          </cell>
          <cell r="C2268" t="str">
            <v>UN</v>
          </cell>
          <cell r="D2268">
            <v>38.659999999999997</v>
          </cell>
        </row>
        <row r="2269">
          <cell r="A2269">
            <v>84688</v>
          </cell>
          <cell r="B2269" t="str">
            <v>COL.TOM.L.P.F0F0 P/TUBOS PVC DEF0F0 DN 200 X 3/4"</v>
          </cell>
          <cell r="C2269" t="str">
            <v>UN</v>
          </cell>
          <cell r="D2269">
            <v>38.659999999999997</v>
          </cell>
        </row>
        <row r="2270">
          <cell r="A2270">
            <v>84689</v>
          </cell>
          <cell r="B2270" t="str">
            <v>COL.TOM.L.P.F0F0 P/TUBOS PVC DEF0F0 DN 200 X 1"</v>
          </cell>
          <cell r="C2270" t="str">
            <v>UN</v>
          </cell>
          <cell r="D2270">
            <v>38.659999999999997</v>
          </cell>
        </row>
        <row r="2271">
          <cell r="A2271">
            <v>84690</v>
          </cell>
          <cell r="B2271" t="str">
            <v>COL.TOM.L.P.F0F0 P/TUBOS PVC DEF0F0 DN 250 X 1/2"</v>
          </cell>
          <cell r="C2271" t="str">
            <v>UN</v>
          </cell>
          <cell r="D2271">
            <v>44.51</v>
          </cell>
        </row>
        <row r="2272">
          <cell r="A2272">
            <v>84691</v>
          </cell>
          <cell r="B2272" t="str">
            <v>COL.TOM.L.P.F0F0 P/TUBOS PVC DEF0F0 DN 250 X 3/4"</v>
          </cell>
          <cell r="C2272" t="str">
            <v>UN</v>
          </cell>
          <cell r="D2272">
            <v>44.51</v>
          </cell>
        </row>
        <row r="2273">
          <cell r="A2273">
            <v>84692</v>
          </cell>
          <cell r="B2273" t="str">
            <v>COL.TOM.L.P.F0F0 P/TUBOS PVC DEF0F0 DN 250 X 1"</v>
          </cell>
          <cell r="C2273" t="str">
            <v>UN</v>
          </cell>
          <cell r="D2273">
            <v>44.51</v>
          </cell>
        </row>
        <row r="2274">
          <cell r="A2274">
            <v>84693</v>
          </cell>
          <cell r="B2274" t="str">
            <v>COL.TOM.L.P.F0F0 P/TUBOS PVC DEF0F0 DN 300 X 1/2"</v>
          </cell>
          <cell r="C2274" t="str">
            <v>UN</v>
          </cell>
          <cell r="D2274">
            <v>58.9</v>
          </cell>
        </row>
        <row r="2275">
          <cell r="A2275">
            <v>84694</v>
          </cell>
          <cell r="B2275" t="str">
            <v>COL.TOM.L.P.F0F0 P/TUBOS PVC DEF0F0 DN 300 X 3/4"</v>
          </cell>
          <cell r="C2275" t="str">
            <v>UN</v>
          </cell>
          <cell r="D2275">
            <v>58.9</v>
          </cell>
        </row>
        <row r="2276">
          <cell r="A2276">
            <v>84695</v>
          </cell>
          <cell r="B2276" t="str">
            <v>COL.TOM.L.P.F0F0 P/TUBOS PVC DEF0F0 DN 300 X 1"</v>
          </cell>
          <cell r="C2276" t="str">
            <v>UN</v>
          </cell>
          <cell r="D2276">
            <v>58.9</v>
          </cell>
        </row>
        <row r="2277">
          <cell r="A2277">
            <v>84696</v>
          </cell>
          <cell r="B2277" t="str">
            <v>RG F0F0 H.INOX CHATO PVC PBA BB CAB.PN 100 DN 50</v>
          </cell>
          <cell r="C2277" t="str">
            <v>UN</v>
          </cell>
          <cell r="D2277">
            <v>238.35</v>
          </cell>
        </row>
        <row r="2278">
          <cell r="A2278">
            <v>84697</v>
          </cell>
          <cell r="B2278" t="str">
            <v>RG F0F0 H.INOX CHATO PVC PBA BB CAB.PN 100 DN 75</v>
          </cell>
          <cell r="C2278" t="str">
            <v>UN</v>
          </cell>
          <cell r="D2278">
            <v>382.32</v>
          </cell>
        </row>
        <row r="2279">
          <cell r="A2279">
            <v>84698</v>
          </cell>
          <cell r="B2279" t="str">
            <v>RG F0F0 H.INOX CHATO PVC PBA BB CAB.PN 100 DN 100</v>
          </cell>
          <cell r="C2279" t="str">
            <v>UN</v>
          </cell>
          <cell r="D2279">
            <v>532.34</v>
          </cell>
        </row>
        <row r="2280">
          <cell r="A2280">
            <v>84699</v>
          </cell>
          <cell r="B2280" t="str">
            <v>RG F0F0 H.INOX CHATO PVC PBA BB VOL.PN 100 DN 50</v>
          </cell>
          <cell r="C2280" t="str">
            <v>UN</v>
          </cell>
          <cell r="D2280">
            <v>238.35</v>
          </cell>
        </row>
        <row r="2281">
          <cell r="A2281">
            <v>84701</v>
          </cell>
          <cell r="B2281" t="str">
            <v>RG F0F0 H.INOX CHATO PVC PBA BB VOL.PN 100 DN 50</v>
          </cell>
          <cell r="C2281" t="str">
            <v>UN</v>
          </cell>
          <cell r="D2281">
            <v>238.35</v>
          </cell>
        </row>
        <row r="2282">
          <cell r="A2282">
            <v>84702</v>
          </cell>
          <cell r="B2282" t="str">
            <v>RG F0F0 H.INOX CHATO PVC PBA BB VOL.PN 100 DN 100</v>
          </cell>
          <cell r="C2282" t="str">
            <v>UN</v>
          </cell>
          <cell r="D2282">
            <v>532.34</v>
          </cell>
        </row>
        <row r="2283">
          <cell r="A2283">
            <v>84703</v>
          </cell>
          <cell r="B2283" t="str">
            <v>RG F0F0 H.INOX OVAL PVC PBA BB CAB.PN 160 DN 50</v>
          </cell>
          <cell r="C2283" t="str">
            <v>UN</v>
          </cell>
          <cell r="D2283">
            <v>238.35</v>
          </cell>
        </row>
        <row r="2284">
          <cell r="A2284">
            <v>84704</v>
          </cell>
          <cell r="B2284" t="str">
            <v>RG F0F0 H.INOX OVAL PVC PBA BB CAB.PN 160 DN 75</v>
          </cell>
          <cell r="C2284" t="str">
            <v>UN</v>
          </cell>
          <cell r="D2284">
            <v>382.32</v>
          </cell>
        </row>
        <row r="2285">
          <cell r="A2285">
            <v>84705</v>
          </cell>
          <cell r="B2285" t="str">
            <v>RG F0F0 H.INOX OVAL PVC PBA BB CAB.PN 160 DN 100</v>
          </cell>
          <cell r="C2285" t="str">
            <v>UN</v>
          </cell>
          <cell r="D2285">
            <v>532.34</v>
          </cell>
        </row>
        <row r="2286">
          <cell r="A2286">
            <v>84706</v>
          </cell>
          <cell r="B2286" t="str">
            <v>RG F0F0 H.INOX OVAL PVC PBA BB VOL.PN 160 DN 50</v>
          </cell>
          <cell r="C2286" t="str">
            <v>UN</v>
          </cell>
          <cell r="D2286">
            <v>238.35</v>
          </cell>
        </row>
        <row r="2287">
          <cell r="A2287">
            <v>84707</v>
          </cell>
          <cell r="B2287" t="str">
            <v>RG F0F0 H.INOX OVAL PVC PBA BB VOL.PN 160 DN 75</v>
          </cell>
          <cell r="C2287" t="str">
            <v>UN</v>
          </cell>
          <cell r="D2287">
            <v>382.32</v>
          </cell>
        </row>
        <row r="2288">
          <cell r="A2288">
            <v>84708</v>
          </cell>
          <cell r="B2288" t="str">
            <v>RG F0F0 H.INOX OVAL PVC PBA BB VOL.PN 160 DN 100</v>
          </cell>
          <cell r="C2288" t="str">
            <v>UN</v>
          </cell>
          <cell r="D2288">
            <v>532.34</v>
          </cell>
        </row>
        <row r="2289">
          <cell r="A2289">
            <v>84709</v>
          </cell>
          <cell r="B2289" t="str">
            <v>RG F0F0 H.IN.CHATO PVC DEF0F0 BB CAB.PN 100 DN 100</v>
          </cell>
          <cell r="C2289" t="str">
            <v>UN</v>
          </cell>
          <cell r="D2289">
            <v>520.24</v>
          </cell>
        </row>
        <row r="2290">
          <cell r="A2290">
            <v>84710</v>
          </cell>
          <cell r="B2290" t="str">
            <v>RG F0F0 H.IN.CHATO PVC DEF0F0 BB CAB.PN 100 DN 150</v>
          </cell>
          <cell r="C2290" t="str">
            <v>UN</v>
          </cell>
          <cell r="D2290">
            <v>1040.49</v>
          </cell>
        </row>
        <row r="2291">
          <cell r="A2291">
            <v>84711</v>
          </cell>
          <cell r="B2291" t="str">
            <v>RG F0F0 H.IN.CHATO PVC DEF0F0 BB CAB.PN 100 DN 200</v>
          </cell>
          <cell r="C2291" t="str">
            <v>UN</v>
          </cell>
          <cell r="D2291">
            <v>1528.08</v>
          </cell>
        </row>
        <row r="2292">
          <cell r="A2292">
            <v>84712</v>
          </cell>
          <cell r="B2292" t="str">
            <v>RG F0F0 H.IN.CHATO PVC DEF0F0 BB CAB.PN 100 DN 250</v>
          </cell>
          <cell r="C2292" t="str">
            <v>UN</v>
          </cell>
          <cell r="D2292">
            <v>2250.38</v>
          </cell>
        </row>
        <row r="2293">
          <cell r="A2293">
            <v>84713</v>
          </cell>
          <cell r="B2293" t="str">
            <v>RG F0F0 H.IN.CHATO PVC DEF0F0 BB CAB.PN 100 DN 300</v>
          </cell>
          <cell r="C2293" t="str">
            <v>UN</v>
          </cell>
          <cell r="D2293">
            <v>2710.12</v>
          </cell>
        </row>
        <row r="2294">
          <cell r="A2294">
            <v>84714</v>
          </cell>
          <cell r="B2294" t="str">
            <v>RG F0F0 H.IN.CHATO PVC DEF0F0 BB VOL.PN 100 DN 100</v>
          </cell>
          <cell r="C2294" t="str">
            <v>UN</v>
          </cell>
          <cell r="D2294">
            <v>520.24</v>
          </cell>
        </row>
        <row r="2295">
          <cell r="A2295">
            <v>84715</v>
          </cell>
          <cell r="B2295" t="str">
            <v>RG F0F0 H.IN.CHATO PVC DEF0F0 BB VOL.PN 100 DN 150</v>
          </cell>
          <cell r="C2295" t="str">
            <v>UN</v>
          </cell>
          <cell r="D2295">
            <v>1040.49</v>
          </cell>
        </row>
        <row r="2296">
          <cell r="A2296">
            <v>84716</v>
          </cell>
          <cell r="B2296" t="str">
            <v>RG F0F0 H.IN.CHATO PVC DEF0F0 BB VOL.PN 100 DN 200</v>
          </cell>
          <cell r="C2296" t="str">
            <v>UN</v>
          </cell>
          <cell r="D2296">
            <v>1528.08</v>
          </cell>
        </row>
        <row r="2297">
          <cell r="A2297">
            <v>84717</v>
          </cell>
          <cell r="B2297" t="str">
            <v>RG F0F0 H.IN.CHATO PVC DEF0F0 BB VOL.PN 100 DN 250</v>
          </cell>
          <cell r="C2297" t="str">
            <v>UN</v>
          </cell>
          <cell r="D2297">
            <v>2250.38</v>
          </cell>
        </row>
        <row r="2298">
          <cell r="A2298">
            <v>84718</v>
          </cell>
          <cell r="B2298" t="str">
            <v>RG F0F0 H.IN.CHATO PVC DEF0F0 BB VOL.PN 100 DN 300</v>
          </cell>
          <cell r="C2298" t="str">
            <v>UN</v>
          </cell>
          <cell r="D2298">
            <v>2710.12</v>
          </cell>
        </row>
        <row r="2299">
          <cell r="A2299">
            <v>84719</v>
          </cell>
          <cell r="B2299" t="str">
            <v>RG F0F0 H.IN.OVAL PVC DEF0F0 BB CAB.PN 160 DN 100</v>
          </cell>
          <cell r="C2299" t="str">
            <v>UN</v>
          </cell>
          <cell r="D2299">
            <v>520.24</v>
          </cell>
        </row>
        <row r="2300">
          <cell r="A2300">
            <v>84720</v>
          </cell>
          <cell r="B2300" t="str">
            <v>RG F0F0 H.IN.OVAL PVC DEF0F0 BB CAB.PN 160 DN 150</v>
          </cell>
          <cell r="C2300" t="str">
            <v>UN</v>
          </cell>
          <cell r="D2300">
            <v>1040.49</v>
          </cell>
        </row>
        <row r="2301">
          <cell r="A2301">
            <v>84721</v>
          </cell>
          <cell r="B2301" t="str">
            <v>RG F0F0 H.IN.OVAL PVC DEF0F0 BB CAB.PN 160 DN 200</v>
          </cell>
          <cell r="C2301" t="str">
            <v>UN</v>
          </cell>
          <cell r="D2301">
            <v>1528.08</v>
          </cell>
        </row>
        <row r="2302">
          <cell r="A2302">
            <v>84722</v>
          </cell>
          <cell r="B2302" t="str">
            <v>RG F0F0 H.IN.OVAL PVC DEF0F0 BB CAB.PN 160 DN 250</v>
          </cell>
          <cell r="C2302" t="str">
            <v>UN</v>
          </cell>
          <cell r="D2302">
            <v>2250.38</v>
          </cell>
        </row>
        <row r="2303">
          <cell r="A2303">
            <v>84723</v>
          </cell>
          <cell r="B2303" t="str">
            <v>RG F0F0 H.IN.OVAL PVC DEF0F0 BB CAB.PN 160 DN 300</v>
          </cell>
          <cell r="C2303" t="str">
            <v>UN</v>
          </cell>
          <cell r="D2303">
            <v>2710.12</v>
          </cell>
        </row>
        <row r="2304">
          <cell r="A2304">
            <v>84724</v>
          </cell>
          <cell r="B2304" t="str">
            <v>RG F0F0 H.IN.OVAL PVC DEF0F0 BB VOL.PN 160 DN 100</v>
          </cell>
          <cell r="C2304" t="str">
            <v>UN</v>
          </cell>
          <cell r="D2304">
            <v>520.24</v>
          </cell>
        </row>
        <row r="2305">
          <cell r="A2305">
            <v>84725</v>
          </cell>
          <cell r="B2305" t="str">
            <v>RG F0F0 H.IN.OVAL PVC DEF0F0 BB VOL.PN 160 DN 150</v>
          </cell>
          <cell r="C2305" t="str">
            <v>UN</v>
          </cell>
          <cell r="D2305">
            <v>1040.49</v>
          </cell>
        </row>
        <row r="2306">
          <cell r="A2306">
            <v>84726</v>
          </cell>
          <cell r="B2306" t="str">
            <v>RG F0F0 H.IN.OVAL PVC DEF0F0 BB VOL.PN 160 DN 200</v>
          </cell>
          <cell r="C2306" t="str">
            <v>UN</v>
          </cell>
          <cell r="D2306">
            <v>1528.08</v>
          </cell>
        </row>
        <row r="2307">
          <cell r="A2307">
            <v>84727</v>
          </cell>
          <cell r="B2307" t="str">
            <v>RG F0F0 H.IN.OVAL PVC DEF0F0 BB VOL.PN 160 DN 250</v>
          </cell>
          <cell r="C2307" t="str">
            <v>UN</v>
          </cell>
          <cell r="D2307">
            <v>2250.38</v>
          </cell>
        </row>
        <row r="2308">
          <cell r="A2308">
            <v>84728</v>
          </cell>
          <cell r="B2308" t="str">
            <v>RG F0F0 H.IN.OVAL PVC DEF0F0 BB VOL.PN 160 DN 300</v>
          </cell>
          <cell r="C2308" t="str">
            <v>UN</v>
          </cell>
          <cell r="D2308">
            <v>2710.12</v>
          </cell>
        </row>
        <row r="2309">
          <cell r="A2309">
            <v>84729</v>
          </cell>
          <cell r="B2309" t="str">
            <v>RG C/CUNHA ELAST. P/TB. PVC PBA C/BB C/CAB. DN 50</v>
          </cell>
          <cell r="C2309" t="str">
            <v>UN</v>
          </cell>
          <cell r="D2309">
            <v>190.68</v>
          </cell>
        </row>
        <row r="2310">
          <cell r="A2310">
            <v>84730</v>
          </cell>
          <cell r="B2310" t="str">
            <v>RG C/CUNHA ELAST. P/TB. PVC PBA C/BB C/CAB. DN 75</v>
          </cell>
          <cell r="C2310" t="str">
            <v>UN</v>
          </cell>
          <cell r="D2310">
            <v>305.86</v>
          </cell>
        </row>
        <row r="2311">
          <cell r="A2311">
            <v>84731</v>
          </cell>
          <cell r="B2311" t="str">
            <v>RG C/CUNHA ELAST. P/TB. PVC PBA C/BB C/CAB. DN 100</v>
          </cell>
          <cell r="C2311" t="str">
            <v>UN</v>
          </cell>
          <cell r="D2311">
            <v>425.88</v>
          </cell>
        </row>
        <row r="2312">
          <cell r="A2312">
            <v>84732</v>
          </cell>
          <cell r="B2312" t="str">
            <v>RG C/CUNHA ELAST. P/TB. PVC PBA C/BB C/VOL. DN 50</v>
          </cell>
          <cell r="C2312" t="str">
            <v>UN</v>
          </cell>
          <cell r="D2312">
            <v>190.68</v>
          </cell>
        </row>
        <row r="2313">
          <cell r="A2313">
            <v>84733</v>
          </cell>
          <cell r="B2313" t="str">
            <v>RG C/CUNHA ELAST. P/TB. PVC PBA C/BB C/VOL. DN 75</v>
          </cell>
          <cell r="C2313" t="str">
            <v>UN</v>
          </cell>
          <cell r="D2313">
            <v>305.86</v>
          </cell>
        </row>
        <row r="2314">
          <cell r="A2314">
            <v>84734</v>
          </cell>
          <cell r="B2314" t="str">
            <v>RG C/CUNHA ELAST. P/TB. PVC PBA C/BB C/VOL. DN 100</v>
          </cell>
          <cell r="C2314" t="str">
            <v>UN</v>
          </cell>
          <cell r="D2314">
            <v>425.88</v>
          </cell>
        </row>
        <row r="2315">
          <cell r="A2315">
            <v>84735</v>
          </cell>
          <cell r="B2315" t="str">
            <v>FLANGES AVULSOS PVC C/ FUROS P/ CONEXOES DN 50</v>
          </cell>
          <cell r="C2315" t="str">
            <v>UN</v>
          </cell>
          <cell r="D2315">
            <v>18.11</v>
          </cell>
        </row>
        <row r="2316">
          <cell r="A2316">
            <v>84736</v>
          </cell>
          <cell r="B2316" t="str">
            <v>FLANGES AVULSOS PVC C/ FUROS P/ CONEXOES DN 75</v>
          </cell>
          <cell r="C2316" t="str">
            <v>UN</v>
          </cell>
          <cell r="D2316">
            <v>28.76</v>
          </cell>
        </row>
        <row r="2317">
          <cell r="A2317">
            <v>84737</v>
          </cell>
          <cell r="B2317" t="str">
            <v>FLANGES AVULSOS PVC C/ FUROS P/ CONEXOES DN 100</v>
          </cell>
          <cell r="C2317" t="str">
            <v>UN</v>
          </cell>
          <cell r="D2317">
            <v>40</v>
          </cell>
        </row>
        <row r="2318">
          <cell r="A2318">
            <v>84738</v>
          </cell>
          <cell r="B2318" t="str">
            <v>FLANGES AVULSOS PVC C/ FUROS P/ CONEXOES DN 150</v>
          </cell>
          <cell r="C2318" t="str">
            <v>UN</v>
          </cell>
          <cell r="D2318">
            <v>83.81</v>
          </cell>
        </row>
        <row r="2319">
          <cell r="A2319">
            <v>84739</v>
          </cell>
          <cell r="B2319" t="str">
            <v>FLANGES AVULSOS PVC C/ FUROS P/ CONEXOES DN 200</v>
          </cell>
          <cell r="C2319" t="str">
            <v>UN</v>
          </cell>
          <cell r="D2319">
            <v>239.76</v>
          </cell>
        </row>
        <row r="2320">
          <cell r="A2320">
            <v>84740</v>
          </cell>
          <cell r="B2320" t="str">
            <v>FLANGES AVULSOS PVC C/ FUROS P/ CONEXOES DN 250</v>
          </cell>
          <cell r="C2320" t="str">
            <v>UN</v>
          </cell>
          <cell r="D2320">
            <v>365.77</v>
          </cell>
        </row>
        <row r="2321">
          <cell r="A2321">
            <v>84741</v>
          </cell>
          <cell r="B2321" t="str">
            <v>FLANGES AVULSOS PVC C/ FUROS P/ CONEXOES DN 300</v>
          </cell>
          <cell r="C2321" t="str">
            <v>UN</v>
          </cell>
          <cell r="D2321">
            <v>511.4</v>
          </cell>
        </row>
        <row r="2322">
          <cell r="A2322">
            <v>84742</v>
          </cell>
          <cell r="B2322" t="str">
            <v>FLANGES AVULSOS PVC S/ FUROS P/ CONEXOES DN 50</v>
          </cell>
          <cell r="C2322" t="str">
            <v>UN</v>
          </cell>
          <cell r="D2322">
            <v>17.8</v>
          </cell>
        </row>
        <row r="2323">
          <cell r="A2323">
            <v>84743</v>
          </cell>
          <cell r="B2323" t="str">
            <v>FLANGES AVULSOS PVC S/ FUROS P/ CONEXOES DN 75</v>
          </cell>
          <cell r="C2323" t="str">
            <v>UN</v>
          </cell>
          <cell r="D2323">
            <v>28.24</v>
          </cell>
        </row>
        <row r="2324">
          <cell r="A2324">
            <v>84744</v>
          </cell>
          <cell r="B2324" t="str">
            <v>FLANGES AVULSOS PVC S/ FUROS P/ CONEXOES DN 100</v>
          </cell>
          <cell r="C2324" t="str">
            <v>UN</v>
          </cell>
          <cell r="D2324">
            <v>39.340000000000003</v>
          </cell>
        </row>
        <row r="2325">
          <cell r="A2325">
            <v>84745</v>
          </cell>
          <cell r="B2325" t="str">
            <v>FLANGES AVULSOS PVC S/ FUROS P/ CONEXOES DN 150</v>
          </cell>
          <cell r="C2325" t="str">
            <v>UN</v>
          </cell>
          <cell r="D2325">
            <v>82.93</v>
          </cell>
        </row>
        <row r="2326">
          <cell r="A2326">
            <v>84746</v>
          </cell>
          <cell r="B2326" t="str">
            <v>FLANGES AVULSOS PVC S/ FUROS P/ CONEX0ES DN 200</v>
          </cell>
          <cell r="C2326" t="str">
            <v>UN</v>
          </cell>
          <cell r="D2326">
            <v>235.15</v>
          </cell>
        </row>
        <row r="2327">
          <cell r="A2327">
            <v>84747</v>
          </cell>
          <cell r="B2327" t="str">
            <v>FLANGES AVULSOS PVC S/ FUROS P/ CONEXOES DN 250</v>
          </cell>
          <cell r="C2327" t="str">
            <v>UN</v>
          </cell>
          <cell r="D2327">
            <v>323.88</v>
          </cell>
        </row>
        <row r="2328">
          <cell r="A2328">
            <v>84748</v>
          </cell>
          <cell r="B2328" t="str">
            <v>FLANGES AVULSOS PVC S/ FUROS P/ CONEXOES DN 300</v>
          </cell>
          <cell r="C2328" t="str">
            <v>UN</v>
          </cell>
          <cell r="D2328">
            <v>156.06</v>
          </cell>
        </row>
        <row r="2329">
          <cell r="A2329">
            <v>84749</v>
          </cell>
          <cell r="B2329" t="str">
            <v>FLANGES AVULSOS PVC C/ FUROS P/ TUBOS DN 50</v>
          </cell>
          <cell r="C2329" t="str">
            <v>UN</v>
          </cell>
          <cell r="D2329">
            <v>15.66</v>
          </cell>
        </row>
        <row r="2330">
          <cell r="A2330">
            <v>84750</v>
          </cell>
          <cell r="B2330" t="str">
            <v>FLANGES AVULSOS PVC C/ FUROS P/ TUBOS DN 75</v>
          </cell>
          <cell r="C2330" t="str">
            <v>UN</v>
          </cell>
          <cell r="D2330">
            <v>23.26</v>
          </cell>
        </row>
        <row r="2331">
          <cell r="A2331">
            <v>84751</v>
          </cell>
          <cell r="B2331" t="str">
            <v>FLANGES AVULSOS PVC C/ FUROS P/ TUBOS DN 100</v>
          </cell>
          <cell r="C2331" t="str">
            <v>UN</v>
          </cell>
          <cell r="D2331">
            <v>28.92</v>
          </cell>
        </row>
        <row r="2332">
          <cell r="A2332">
            <v>84752</v>
          </cell>
          <cell r="B2332" t="str">
            <v>FLANGES AVULSOS PVC C/ FUROS P/ TUBOS DN 150</v>
          </cell>
          <cell r="C2332" t="str">
            <v>UN</v>
          </cell>
          <cell r="D2332">
            <v>53.29</v>
          </cell>
        </row>
        <row r="2333">
          <cell r="A2333">
            <v>84752</v>
          </cell>
          <cell r="B2333" t="str">
            <v>FLANGES AVULSOS PVC C/ FUROS P/ TUBOS DN 150</v>
          </cell>
          <cell r="C2333" t="str">
            <v>UN</v>
          </cell>
          <cell r="D2333">
            <v>53.29</v>
          </cell>
        </row>
        <row r="2334">
          <cell r="A2334">
            <v>84753</v>
          </cell>
          <cell r="B2334" t="str">
            <v>FLANGES AVULSOS PVC C/ FUROS P/ TUBOS DN 200</v>
          </cell>
          <cell r="C2334" t="str">
            <v>UN</v>
          </cell>
          <cell r="D2334">
            <v>170.88</v>
          </cell>
        </row>
        <row r="2335">
          <cell r="A2335">
            <v>84753</v>
          </cell>
          <cell r="B2335" t="str">
            <v>FLANGES AVULSOS PVC C/ FUROS P/ TUBOS DN 200</v>
          </cell>
          <cell r="C2335" t="str">
            <v>UN</v>
          </cell>
          <cell r="D2335">
            <v>170.88</v>
          </cell>
        </row>
        <row r="2336">
          <cell r="A2336">
            <v>84754</v>
          </cell>
          <cell r="B2336" t="str">
            <v>FLANGES AVULSOS PVC C/ FUROS P/ TUBOS DN 250</v>
          </cell>
          <cell r="C2336" t="str">
            <v>UN</v>
          </cell>
          <cell r="D2336">
            <v>241.39</v>
          </cell>
        </row>
        <row r="2337">
          <cell r="A2337">
            <v>84754</v>
          </cell>
          <cell r="B2337" t="str">
            <v>FLANGES AVULSOS PVC C/ FUROS P/ TUBOS DN 250</v>
          </cell>
          <cell r="C2337" t="str">
            <v>UN</v>
          </cell>
          <cell r="D2337">
            <v>241.39</v>
          </cell>
        </row>
        <row r="2338">
          <cell r="A2338">
            <v>84755</v>
          </cell>
          <cell r="B2338" t="str">
            <v>FLANGES AVULSOS PVC C/ FUROS P/ TUBOS DN 300</v>
          </cell>
          <cell r="C2338" t="str">
            <v>UN</v>
          </cell>
          <cell r="D2338">
            <v>315.29000000000002</v>
          </cell>
        </row>
        <row r="2339">
          <cell r="A2339">
            <v>84755</v>
          </cell>
          <cell r="B2339" t="str">
            <v>FLANGES AVULSOS PVC C/ FUROS P/ TUBOS DN 300</v>
          </cell>
          <cell r="C2339" t="str">
            <v>UN</v>
          </cell>
          <cell r="D2339">
            <v>315.29000000000002</v>
          </cell>
        </row>
        <row r="2340">
          <cell r="A2340">
            <v>84756</v>
          </cell>
          <cell r="B2340" t="str">
            <v>FLANGES AVULSOS PVC S/ FUROS P/ TUBOS DN 50</v>
          </cell>
          <cell r="C2340" t="str">
            <v>UN</v>
          </cell>
          <cell r="D2340">
            <v>15.66</v>
          </cell>
        </row>
        <row r="2341">
          <cell r="A2341">
            <v>84756</v>
          </cell>
          <cell r="B2341" t="str">
            <v>FLANGES AVULSOS PVC S/ FUROS P/ TUBOS DN 50</v>
          </cell>
          <cell r="C2341" t="str">
            <v>UN</v>
          </cell>
          <cell r="D2341">
            <v>15.66</v>
          </cell>
        </row>
        <row r="2342">
          <cell r="A2342">
            <v>84757</v>
          </cell>
          <cell r="B2342" t="str">
            <v>FLANGES AVULSOS PVC S/ FUROS P/ TUBOS DN 75</v>
          </cell>
          <cell r="C2342" t="str">
            <v>UN</v>
          </cell>
          <cell r="D2342">
            <v>22.98</v>
          </cell>
        </row>
        <row r="2343">
          <cell r="A2343">
            <v>84757</v>
          </cell>
          <cell r="B2343" t="str">
            <v>FLANGES AVULSOS PVC S/ FUROS P/ TUBOS DN 75</v>
          </cell>
          <cell r="C2343" t="str">
            <v>UN</v>
          </cell>
          <cell r="D2343">
            <v>22.98</v>
          </cell>
        </row>
        <row r="2344">
          <cell r="A2344">
            <v>84758</v>
          </cell>
          <cell r="B2344" t="str">
            <v>FLANGES AVULSOS PVC C/ FUROS P/ TUBOS DN 100</v>
          </cell>
          <cell r="C2344" t="str">
            <v>UN</v>
          </cell>
          <cell r="D2344">
            <v>28.92</v>
          </cell>
        </row>
        <row r="2345">
          <cell r="A2345">
            <v>84758</v>
          </cell>
          <cell r="B2345" t="str">
            <v>FLANGES AVULSOS PVC C/ FUROS P/ TUBOS DN 100</v>
          </cell>
          <cell r="C2345" t="str">
            <v>UN</v>
          </cell>
          <cell r="D2345">
            <v>28.92</v>
          </cell>
        </row>
        <row r="2346">
          <cell r="A2346">
            <v>84759</v>
          </cell>
          <cell r="B2346" t="str">
            <v>FLANGES AVULSOS PVC C/ FUROS P/ TUBOS DN 150</v>
          </cell>
          <cell r="C2346" t="str">
            <v>UN</v>
          </cell>
          <cell r="D2346">
            <v>53.29</v>
          </cell>
        </row>
        <row r="2347">
          <cell r="A2347">
            <v>84759</v>
          </cell>
          <cell r="B2347" t="str">
            <v>FLANGES AVULSOS PVC C/ FUROS P/ TUBOS DN 150</v>
          </cell>
          <cell r="C2347" t="str">
            <v>UN</v>
          </cell>
          <cell r="D2347">
            <v>53.29</v>
          </cell>
        </row>
        <row r="2348">
          <cell r="A2348">
            <v>84760</v>
          </cell>
          <cell r="B2348" t="str">
            <v>FLANGES AVULSOS PVC S/ FUROS P/ TUBOS DN 200</v>
          </cell>
          <cell r="C2348" t="str">
            <v>UN</v>
          </cell>
          <cell r="D2348">
            <v>166.26</v>
          </cell>
        </row>
        <row r="2349">
          <cell r="A2349">
            <v>84760</v>
          </cell>
          <cell r="B2349" t="str">
            <v>FLANGES AVULSOS PVC S/ FUROS P/ TUBOS DN 200</v>
          </cell>
          <cell r="C2349" t="str">
            <v>UN</v>
          </cell>
          <cell r="D2349">
            <v>166.26</v>
          </cell>
        </row>
        <row r="2350">
          <cell r="A2350">
            <v>84761</v>
          </cell>
          <cell r="B2350" t="str">
            <v>FLANGES AVULSOS PVC S/ FUROS P/ TUBOS DN 250</v>
          </cell>
          <cell r="C2350" t="str">
            <v>UN</v>
          </cell>
          <cell r="D2350">
            <v>234.46</v>
          </cell>
        </row>
        <row r="2351">
          <cell r="A2351">
            <v>84761</v>
          </cell>
          <cell r="B2351" t="str">
            <v>FLANGES AVULSOS PVC S/ FUROS P/ TUBOS DN 250</v>
          </cell>
          <cell r="C2351" t="str">
            <v>UN</v>
          </cell>
          <cell r="D2351">
            <v>234.46</v>
          </cell>
        </row>
        <row r="2352">
          <cell r="A2352">
            <v>84762</v>
          </cell>
          <cell r="B2352" t="str">
            <v>FLANGES AVULSOS PVC C/ FUROS P/ TUBOS DN 300</v>
          </cell>
          <cell r="C2352" t="str">
            <v>UN</v>
          </cell>
          <cell r="D2352">
            <v>315.29000000000002</v>
          </cell>
        </row>
        <row r="2353">
          <cell r="A2353">
            <v>84762</v>
          </cell>
          <cell r="B2353" t="str">
            <v>FLANGES AVULSOS PVC C/ FUROS P/ TUBOS DN 300</v>
          </cell>
          <cell r="C2353" t="str">
            <v>UN</v>
          </cell>
          <cell r="D2353">
            <v>315.29000000000002</v>
          </cell>
        </row>
        <row r="2354">
          <cell r="A2354">
            <v>84764</v>
          </cell>
          <cell r="B2354" t="str">
            <v>FLANGES CEGOS PVC C/ FUROS DN 50</v>
          </cell>
          <cell r="C2354" t="str">
            <v>UN</v>
          </cell>
          <cell r="D2354">
            <v>25.7</v>
          </cell>
        </row>
        <row r="2355">
          <cell r="A2355">
            <v>84764</v>
          </cell>
          <cell r="B2355" t="str">
            <v>FLANGES CEGOS PVC C/ FUROS DN 50</v>
          </cell>
          <cell r="C2355" t="str">
            <v>UN</v>
          </cell>
          <cell r="D2355">
            <v>25.7</v>
          </cell>
        </row>
        <row r="2356">
          <cell r="A2356">
            <v>84765</v>
          </cell>
          <cell r="B2356" t="str">
            <v>FLANGES CEGOS PVC C/ FUROS DN 75</v>
          </cell>
          <cell r="C2356" t="str">
            <v>UN</v>
          </cell>
          <cell r="D2356">
            <v>40.98</v>
          </cell>
        </row>
        <row r="2357">
          <cell r="A2357">
            <v>84765</v>
          </cell>
          <cell r="B2357" t="str">
            <v>FLANGES CEGOS PVC C/ FUROS DN 75</v>
          </cell>
          <cell r="C2357" t="str">
            <v>UN</v>
          </cell>
          <cell r="D2357">
            <v>40.98</v>
          </cell>
        </row>
        <row r="2358">
          <cell r="A2358">
            <v>84766</v>
          </cell>
          <cell r="B2358" t="str">
            <v>FLANGES CEGOS PVC C/ FUROS DN 100</v>
          </cell>
          <cell r="C2358" t="str">
            <v>UN</v>
          </cell>
          <cell r="D2358">
            <v>51.55</v>
          </cell>
        </row>
        <row r="2359">
          <cell r="A2359">
            <v>84766</v>
          </cell>
          <cell r="B2359" t="str">
            <v>FLANGES CEGOS PVC C/ FUROS DN 100</v>
          </cell>
          <cell r="C2359" t="str">
            <v>UN</v>
          </cell>
          <cell r="D2359">
            <v>51.55</v>
          </cell>
        </row>
        <row r="2360">
          <cell r="A2360">
            <v>84767</v>
          </cell>
          <cell r="B2360" t="str">
            <v>FLANGES CEGOS PVC C/ FUROS DN 150</v>
          </cell>
          <cell r="C2360" t="str">
            <v>UN</v>
          </cell>
          <cell r="D2360">
            <v>75.48</v>
          </cell>
        </row>
        <row r="2361">
          <cell r="A2361">
            <v>84767</v>
          </cell>
          <cell r="B2361" t="str">
            <v>FLANGES CEGOS PVC C/ FUROS DN 150</v>
          </cell>
          <cell r="C2361" t="str">
            <v>UN</v>
          </cell>
          <cell r="D2361">
            <v>75.48</v>
          </cell>
        </row>
        <row r="2362">
          <cell r="A2362">
            <v>84768</v>
          </cell>
          <cell r="B2362" t="str">
            <v>FLANGES CEGOS PVC C/ FUROS DN 200</v>
          </cell>
          <cell r="C2362" t="str">
            <v>UN</v>
          </cell>
          <cell r="D2362">
            <v>102.69</v>
          </cell>
        </row>
        <row r="2363">
          <cell r="A2363">
            <v>84768</v>
          </cell>
          <cell r="B2363" t="str">
            <v>FLANGES CEGOS PVC C/ FUROS DN 200</v>
          </cell>
          <cell r="C2363" t="str">
            <v>UN</v>
          </cell>
          <cell r="D2363">
            <v>102.69</v>
          </cell>
        </row>
        <row r="2364">
          <cell r="A2364">
            <v>84769</v>
          </cell>
          <cell r="B2364" t="str">
            <v>FLANGES CEGOS PVC C/ FUROS DN 250</v>
          </cell>
          <cell r="C2364" t="str">
            <v>UN</v>
          </cell>
          <cell r="D2364">
            <v>133.55000000000001</v>
          </cell>
        </row>
        <row r="2365">
          <cell r="A2365">
            <v>84769</v>
          </cell>
          <cell r="B2365" t="str">
            <v>FLANGES CEGOS PVC C/ FUROS DN 250</v>
          </cell>
          <cell r="C2365" t="str">
            <v>UN</v>
          </cell>
          <cell r="D2365">
            <v>133.55000000000001</v>
          </cell>
        </row>
        <row r="2366">
          <cell r="A2366">
            <v>84770</v>
          </cell>
          <cell r="B2366" t="str">
            <v>FLANGES CEGOS PVC C/ FUROS DN 300</v>
          </cell>
          <cell r="C2366" t="str">
            <v>UN</v>
          </cell>
          <cell r="D2366">
            <v>160.71</v>
          </cell>
        </row>
        <row r="2367">
          <cell r="A2367">
            <v>84770</v>
          </cell>
          <cell r="B2367" t="str">
            <v>FLANGES CEGOS PVC C/ FUROS DN 300</v>
          </cell>
          <cell r="C2367" t="str">
            <v>UN</v>
          </cell>
          <cell r="D2367">
            <v>160.71</v>
          </cell>
        </row>
        <row r="2368">
          <cell r="A2368">
            <v>84771</v>
          </cell>
          <cell r="B2368" t="str">
            <v>FLANGES CEGOS PVC S/ FUROS DN 50</v>
          </cell>
          <cell r="C2368" t="str">
            <v>UN</v>
          </cell>
          <cell r="D2368">
            <v>30.22</v>
          </cell>
        </row>
        <row r="2369">
          <cell r="A2369">
            <v>84771</v>
          </cell>
          <cell r="B2369" t="str">
            <v>FLANGES CEGOS PVC S/ FUROS DN 50</v>
          </cell>
          <cell r="C2369" t="str">
            <v>UN</v>
          </cell>
          <cell r="D2369">
            <v>30.22</v>
          </cell>
        </row>
        <row r="2370">
          <cell r="A2370">
            <v>84772</v>
          </cell>
          <cell r="B2370" t="str">
            <v>FLANGES CEGOS PVC S/ FUROS DN 75</v>
          </cell>
          <cell r="C2370" t="str">
            <v>UN</v>
          </cell>
          <cell r="D2370">
            <v>39.6</v>
          </cell>
        </row>
        <row r="2371">
          <cell r="A2371">
            <v>84772</v>
          </cell>
          <cell r="B2371" t="str">
            <v>FLANGES CEGOS PVC S/ FUROS DN 75</v>
          </cell>
          <cell r="C2371" t="str">
            <v>UN</v>
          </cell>
          <cell r="D2371">
            <v>39.6</v>
          </cell>
        </row>
        <row r="2372">
          <cell r="A2372">
            <v>84773</v>
          </cell>
          <cell r="B2372" t="str">
            <v>FLANGES CEGOS PVC S/ FUROS DN 100</v>
          </cell>
          <cell r="C2372" t="str">
            <v>UN</v>
          </cell>
          <cell r="D2372">
            <v>48.78</v>
          </cell>
        </row>
        <row r="2373">
          <cell r="A2373">
            <v>84773</v>
          </cell>
          <cell r="B2373" t="str">
            <v>FLANGES CEGOS PVC S/ FUROS DN 100</v>
          </cell>
          <cell r="C2373" t="str">
            <v>UN</v>
          </cell>
          <cell r="D2373">
            <v>48.78</v>
          </cell>
        </row>
        <row r="2374">
          <cell r="A2374">
            <v>84774</v>
          </cell>
          <cell r="B2374" t="str">
            <v>FLANGES CEGOS PVC S/ FUROS DN 150</v>
          </cell>
          <cell r="C2374" t="str">
            <v>UN</v>
          </cell>
          <cell r="D2374">
            <v>72.459999999999994</v>
          </cell>
        </row>
        <row r="2375">
          <cell r="A2375">
            <v>84774</v>
          </cell>
          <cell r="B2375" t="str">
            <v>FLANGES CEGOS PVC S/ FUROS DN 150</v>
          </cell>
          <cell r="C2375" t="str">
            <v>UN</v>
          </cell>
          <cell r="D2375">
            <v>72.459999999999994</v>
          </cell>
        </row>
        <row r="2376">
          <cell r="A2376">
            <v>84775</v>
          </cell>
          <cell r="B2376" t="str">
            <v>FLANGES CEGOS PVC S/ FUROS DN 200</v>
          </cell>
          <cell r="C2376" t="str">
            <v>UN</v>
          </cell>
          <cell r="D2376">
            <v>98.59</v>
          </cell>
        </row>
        <row r="2377">
          <cell r="A2377">
            <v>84775</v>
          </cell>
          <cell r="B2377" t="str">
            <v>FLANGES CEGOS PVC C/ FUROS DN 200</v>
          </cell>
          <cell r="C2377" t="str">
            <v>UN</v>
          </cell>
          <cell r="D2377">
            <v>102.69</v>
          </cell>
        </row>
        <row r="2378">
          <cell r="A2378">
            <v>84776</v>
          </cell>
          <cell r="B2378" t="str">
            <v>FLANGES CEGOS PVC S/ FUROS DN 250</v>
          </cell>
          <cell r="C2378" t="str">
            <v>UN</v>
          </cell>
          <cell r="D2378">
            <v>126.62</v>
          </cell>
        </row>
        <row r="2379">
          <cell r="A2379">
            <v>84776</v>
          </cell>
          <cell r="B2379" t="str">
            <v>FLANGES CEGOS PVC S/ FUROS DN 250</v>
          </cell>
          <cell r="C2379" t="str">
            <v>UN</v>
          </cell>
          <cell r="D2379">
            <v>126.62</v>
          </cell>
        </row>
        <row r="2380">
          <cell r="A2380">
            <v>84777</v>
          </cell>
          <cell r="B2380" t="str">
            <v>FLANGES CEGOS PVC S/ FUROS DN 300</v>
          </cell>
          <cell r="C2380" t="str">
            <v>UN</v>
          </cell>
          <cell r="D2380">
            <v>154.22</v>
          </cell>
        </row>
        <row r="2381">
          <cell r="A2381">
            <v>84777</v>
          </cell>
          <cell r="B2381" t="str">
            <v>FLANGES CEGOS PVC S/ FUROS DN 300</v>
          </cell>
          <cell r="C2381" t="str">
            <v>UN</v>
          </cell>
          <cell r="D2381">
            <v>154.22</v>
          </cell>
        </row>
        <row r="2382">
          <cell r="A2382">
            <v>84801</v>
          </cell>
          <cell r="B2382" t="str">
            <v>ADAPTADOR PVC X ROSCA PVC DN 50</v>
          </cell>
          <cell r="C2382" t="str">
            <v>UN</v>
          </cell>
          <cell r="D2382">
            <v>1.79</v>
          </cell>
        </row>
        <row r="2383">
          <cell r="A2383">
            <v>84801</v>
          </cell>
          <cell r="B2383" t="str">
            <v>ADAPTADOR PVC X ROSCA PVC DN 50</v>
          </cell>
          <cell r="C2383" t="str">
            <v>UN</v>
          </cell>
          <cell r="D2383">
            <v>1.79</v>
          </cell>
        </row>
        <row r="2384">
          <cell r="A2384">
            <v>84802</v>
          </cell>
          <cell r="B2384" t="str">
            <v>ADAPTADOR PVC X ROSCA PVC DN 75</v>
          </cell>
          <cell r="C2384" t="str">
            <v>UN</v>
          </cell>
          <cell r="D2384">
            <v>4.6500000000000004</v>
          </cell>
        </row>
        <row r="2385">
          <cell r="A2385">
            <v>84802</v>
          </cell>
          <cell r="B2385" t="str">
            <v>ADAPTADOR PVC X ROSCA PVC DN 75</v>
          </cell>
          <cell r="C2385" t="str">
            <v>UN</v>
          </cell>
          <cell r="D2385">
            <v>4.6500000000000004</v>
          </cell>
        </row>
        <row r="2386">
          <cell r="A2386">
            <v>84803</v>
          </cell>
          <cell r="B2386" t="str">
            <v>ADAPTADOR PVC X ROSCA PVC DN 100</v>
          </cell>
          <cell r="C2386" t="str">
            <v>UN</v>
          </cell>
          <cell r="D2386">
            <v>7.21</v>
          </cell>
        </row>
        <row r="2387">
          <cell r="A2387">
            <v>84803</v>
          </cell>
          <cell r="B2387" t="str">
            <v>TUBO PVC TE DN 75</v>
          </cell>
          <cell r="C2387" t="str">
            <v>M</v>
          </cell>
          <cell r="D2387">
            <v>6.56</v>
          </cell>
        </row>
        <row r="2388">
          <cell r="A2388">
            <v>84804</v>
          </cell>
          <cell r="B2388" t="str">
            <v>TUBO PVC TE DN 50</v>
          </cell>
          <cell r="C2388" t="str">
            <v>M</v>
          </cell>
          <cell r="D2388">
            <v>2.46</v>
          </cell>
        </row>
        <row r="2389">
          <cell r="A2389">
            <v>84805</v>
          </cell>
          <cell r="B2389" t="str">
            <v>TUBO PVC TE DN 75</v>
          </cell>
          <cell r="C2389" t="str">
            <v>M</v>
          </cell>
          <cell r="D2389">
            <v>6.56</v>
          </cell>
        </row>
        <row r="2390">
          <cell r="A2390">
            <v>84806</v>
          </cell>
          <cell r="B2390" t="str">
            <v>TUBO PVC TE DN 100</v>
          </cell>
          <cell r="C2390" t="str">
            <v>M</v>
          </cell>
          <cell r="D2390">
            <v>8.7899999999999991</v>
          </cell>
        </row>
        <row r="2391">
          <cell r="A2391">
            <v>84807</v>
          </cell>
          <cell r="B2391" t="str">
            <v>TUBO PVC VINILFORT DN 150</v>
          </cell>
          <cell r="C2391" t="str">
            <v>M</v>
          </cell>
          <cell r="D2391">
            <v>17.55</v>
          </cell>
        </row>
        <row r="2392">
          <cell r="A2392">
            <v>84808</v>
          </cell>
          <cell r="B2392" t="str">
            <v>TUBO PVC VINILFORT DN 200</v>
          </cell>
          <cell r="C2392" t="str">
            <v>M</v>
          </cell>
          <cell r="D2392">
            <v>27</v>
          </cell>
        </row>
        <row r="2393">
          <cell r="A2393">
            <v>84809</v>
          </cell>
          <cell r="B2393" t="str">
            <v>TUBO PVC VINILFORT DN 250</v>
          </cell>
          <cell r="C2393" t="str">
            <v>M</v>
          </cell>
          <cell r="D2393">
            <v>46.95</v>
          </cell>
        </row>
        <row r="2394">
          <cell r="A2394">
            <v>84810</v>
          </cell>
          <cell r="B2394" t="str">
            <v>TUBO PVC VINILFORT DN 300</v>
          </cell>
          <cell r="C2394" t="str">
            <v>M</v>
          </cell>
          <cell r="D2394">
            <v>73.709999999999994</v>
          </cell>
        </row>
        <row r="2395">
          <cell r="A2395">
            <v>84811</v>
          </cell>
          <cell r="B2395" t="str">
            <v>TUBO PVC VINILFORT DN 350</v>
          </cell>
          <cell r="C2395" t="str">
            <v>M</v>
          </cell>
          <cell r="D2395">
            <v>56.93</v>
          </cell>
        </row>
        <row r="2396">
          <cell r="A2396">
            <v>84812</v>
          </cell>
          <cell r="B2396" t="str">
            <v>TUBO PVC VINILFORT DN 400</v>
          </cell>
          <cell r="C2396" t="str">
            <v>M</v>
          </cell>
          <cell r="D2396">
            <v>72.66</v>
          </cell>
        </row>
        <row r="2397">
          <cell r="A2397">
            <v>84815</v>
          </cell>
          <cell r="B2397" t="str">
            <v>TUBO PVC JS DN 20</v>
          </cell>
          <cell r="C2397" t="str">
            <v>M</v>
          </cell>
          <cell r="D2397">
            <v>0.63</v>
          </cell>
        </row>
        <row r="2398">
          <cell r="A2398">
            <v>84816</v>
          </cell>
          <cell r="B2398" t="str">
            <v>TUBO PVC JS DN 25</v>
          </cell>
          <cell r="C2398" t="str">
            <v>M</v>
          </cell>
          <cell r="D2398">
            <v>0.88</v>
          </cell>
        </row>
        <row r="2399">
          <cell r="A2399">
            <v>84817</v>
          </cell>
          <cell r="B2399" t="str">
            <v>TUBO PVC JS DN 32</v>
          </cell>
          <cell r="C2399" t="str">
            <v>M</v>
          </cell>
          <cell r="D2399">
            <v>1.46</v>
          </cell>
        </row>
        <row r="2400">
          <cell r="A2400">
            <v>84818</v>
          </cell>
          <cell r="B2400" t="str">
            <v>TUBO PVC JS DN 40</v>
          </cell>
          <cell r="C2400" t="str">
            <v>M</v>
          </cell>
          <cell r="D2400">
            <v>2.0299999999999998</v>
          </cell>
        </row>
        <row r="2401">
          <cell r="A2401">
            <v>84819</v>
          </cell>
          <cell r="B2401" t="str">
            <v>TUBO PVC JS DN 50</v>
          </cell>
          <cell r="C2401" t="str">
            <v>M</v>
          </cell>
          <cell r="D2401">
            <v>4.6399999999999997</v>
          </cell>
        </row>
        <row r="2402">
          <cell r="A2402">
            <v>84820</v>
          </cell>
          <cell r="B2402" t="str">
            <v>TUBO PVC JS DN 75</v>
          </cell>
          <cell r="C2402" t="str">
            <v>M</v>
          </cell>
          <cell r="D2402">
            <v>8.82</v>
          </cell>
        </row>
        <row r="2403">
          <cell r="A2403">
            <v>84821</v>
          </cell>
          <cell r="B2403" t="str">
            <v>TUBO PVC JS DN 100</v>
          </cell>
          <cell r="C2403" t="str">
            <v>M</v>
          </cell>
          <cell r="D2403">
            <v>14.48</v>
          </cell>
        </row>
        <row r="2404">
          <cell r="A2404">
            <v>84822</v>
          </cell>
          <cell r="B2404" t="str">
            <v>FURADEIRA DE BANCADA</v>
          </cell>
          <cell r="C2404" t="str">
            <v>H</v>
          </cell>
          <cell r="D2404">
            <v>1.5</v>
          </cell>
        </row>
        <row r="2405">
          <cell r="B2405" t="str">
            <v>85000  MATERIAL HIDRAULICO - F0G0 - BAIXA PRESSAO</v>
          </cell>
        </row>
        <row r="2407">
          <cell r="A2407">
            <v>85001</v>
          </cell>
          <cell r="B2407" t="str">
            <v>TUBO F0G0 DN 1/2" (15MM)</v>
          </cell>
          <cell r="C2407" t="str">
            <v>M</v>
          </cell>
          <cell r="D2407">
            <v>2.5</v>
          </cell>
        </row>
        <row r="2408">
          <cell r="A2408">
            <v>85002</v>
          </cell>
          <cell r="B2408" t="str">
            <v>TUBO F0G0 DN 3/4" (20MM)</v>
          </cell>
          <cell r="C2408" t="str">
            <v>M</v>
          </cell>
          <cell r="D2408">
            <v>3.2</v>
          </cell>
        </row>
        <row r="2409">
          <cell r="A2409">
            <v>85003</v>
          </cell>
          <cell r="B2409" t="str">
            <v>TUBO F0G0 DN 1" (25MM)</v>
          </cell>
          <cell r="C2409" t="str">
            <v>M</v>
          </cell>
          <cell r="D2409">
            <v>4.5199999999999996</v>
          </cell>
        </row>
        <row r="2410">
          <cell r="A2410">
            <v>85004</v>
          </cell>
          <cell r="B2410" t="str">
            <v>TUBO F0G0 DN 1 1/4" (32MM)</v>
          </cell>
          <cell r="C2410" t="str">
            <v>M</v>
          </cell>
          <cell r="D2410">
            <v>5.81</v>
          </cell>
        </row>
        <row r="2411">
          <cell r="A2411">
            <v>85005</v>
          </cell>
          <cell r="B2411" t="str">
            <v>TUBO F0G0 DN 1 1/2" (40MM)</v>
          </cell>
          <cell r="C2411" t="str">
            <v>M</v>
          </cell>
          <cell r="D2411">
            <v>7.44</v>
          </cell>
        </row>
        <row r="2412">
          <cell r="A2412">
            <v>85006</v>
          </cell>
          <cell r="B2412" t="str">
            <v>TUBO F0G0 DN 2" (50MM)</v>
          </cell>
          <cell r="C2412" t="str">
            <v>M</v>
          </cell>
          <cell r="D2412">
            <v>9.19</v>
          </cell>
        </row>
        <row r="2413">
          <cell r="A2413">
            <v>85007</v>
          </cell>
          <cell r="B2413" t="str">
            <v>TUBO F0G0 DN 2 1/2" (65MM)</v>
          </cell>
          <cell r="C2413" t="str">
            <v>M</v>
          </cell>
          <cell r="D2413">
            <v>12.97</v>
          </cell>
        </row>
        <row r="2414">
          <cell r="A2414">
            <v>85008</v>
          </cell>
          <cell r="B2414" t="str">
            <v>TUBO F0G0 DN 3" (80MM)</v>
          </cell>
          <cell r="C2414" t="str">
            <v>M</v>
          </cell>
          <cell r="D2414">
            <v>15.1</v>
          </cell>
        </row>
        <row r="2415">
          <cell r="A2415">
            <v>85009</v>
          </cell>
          <cell r="B2415" t="str">
            <v>TUBO F0G0 DN 4" (100MM)</v>
          </cell>
          <cell r="C2415" t="str">
            <v>M</v>
          </cell>
          <cell r="D2415">
            <v>21.51</v>
          </cell>
        </row>
        <row r="2416">
          <cell r="A2416">
            <v>85010</v>
          </cell>
          <cell r="B2416" t="str">
            <v>TUBO F0G0 DN 5" (125MM)</v>
          </cell>
          <cell r="C2416" t="str">
            <v>M</v>
          </cell>
          <cell r="D2416">
            <v>41.66</v>
          </cell>
        </row>
        <row r="2417">
          <cell r="A2417">
            <v>85011</v>
          </cell>
          <cell r="B2417" t="str">
            <v>TUBO F0G0 DN 6" (150MM)</v>
          </cell>
          <cell r="C2417" t="str">
            <v>M</v>
          </cell>
          <cell r="D2417">
            <v>49.4</v>
          </cell>
        </row>
        <row r="2418">
          <cell r="A2418">
            <v>85017</v>
          </cell>
          <cell r="B2418" t="str">
            <v>CURVA F0G0 MACHO-FEMEA DN 1/4" (8MM)</v>
          </cell>
          <cell r="C2418" t="str">
            <v>UN</v>
          </cell>
          <cell r="D2418">
            <v>1.98</v>
          </cell>
        </row>
        <row r="2419">
          <cell r="A2419">
            <v>85018</v>
          </cell>
          <cell r="B2419" t="str">
            <v>CURVA F0G0 MACHO-FEMEA DN 3/8" (10MM)</v>
          </cell>
          <cell r="C2419" t="str">
            <v>UN</v>
          </cell>
          <cell r="D2419">
            <v>2.2000000000000002</v>
          </cell>
        </row>
        <row r="2420">
          <cell r="A2420">
            <v>85019</v>
          </cell>
          <cell r="B2420" t="str">
            <v>CURVA F0G0 MACHO-FEMEA DN 1/2" (15MM)</v>
          </cell>
          <cell r="C2420" t="str">
            <v>UN</v>
          </cell>
          <cell r="D2420">
            <v>2.86</v>
          </cell>
        </row>
        <row r="2421">
          <cell r="A2421">
            <v>85020</v>
          </cell>
          <cell r="B2421" t="str">
            <v>CURVA F0G0 MACHO-FEMEA DN 3/4" (20MM)</v>
          </cell>
          <cell r="C2421" t="str">
            <v>UN</v>
          </cell>
          <cell r="D2421">
            <v>3.88</v>
          </cell>
        </row>
        <row r="2422">
          <cell r="A2422">
            <v>85021</v>
          </cell>
          <cell r="B2422" t="str">
            <v>CURVA F0G0 MACHO-FEMEA DN 1" (25MM)</v>
          </cell>
          <cell r="C2422" t="str">
            <v>UN</v>
          </cell>
          <cell r="D2422">
            <v>5.97</v>
          </cell>
        </row>
        <row r="2423">
          <cell r="A2423">
            <v>85022</v>
          </cell>
          <cell r="B2423" t="str">
            <v>CURVA F0G0 MACHO-FEMEA DN 1 1/4" (32MM)</v>
          </cell>
          <cell r="C2423" t="str">
            <v>UN</v>
          </cell>
          <cell r="D2423">
            <v>9.17</v>
          </cell>
        </row>
        <row r="2424">
          <cell r="A2424">
            <v>85023</v>
          </cell>
          <cell r="B2424" t="str">
            <v>CURVA F0G0 MACHO-FEMEA DN 1 1/2" (40MM)</v>
          </cell>
          <cell r="C2424" t="str">
            <v>UN</v>
          </cell>
          <cell r="D2424">
            <v>13.13</v>
          </cell>
        </row>
        <row r="2425">
          <cell r="A2425">
            <v>85024</v>
          </cell>
          <cell r="B2425" t="str">
            <v>CURVA F0G0 MACHO-FEMEA DN 2" (50MM)</v>
          </cell>
          <cell r="C2425" t="str">
            <v>UN</v>
          </cell>
          <cell r="D2425">
            <v>19.649999999999999</v>
          </cell>
        </row>
        <row r="2426">
          <cell r="A2426">
            <v>85025</v>
          </cell>
          <cell r="B2426" t="str">
            <v>CURVA F0G0 MACH0-FEMEA DN 2 1/2" (65MM)</v>
          </cell>
          <cell r="C2426" t="str">
            <v>UN</v>
          </cell>
          <cell r="D2426">
            <v>41.39</v>
          </cell>
        </row>
        <row r="2427">
          <cell r="A2427">
            <v>85026</v>
          </cell>
          <cell r="B2427" t="str">
            <v>CURVA F0G0 MACHO-FEMEA DN 3" (80MM)</v>
          </cell>
          <cell r="C2427" t="str">
            <v>UN</v>
          </cell>
          <cell r="D2427">
            <v>60.61</v>
          </cell>
        </row>
        <row r="2428">
          <cell r="A2428">
            <v>85027</v>
          </cell>
          <cell r="B2428" t="str">
            <v>CURVA F0G0 MACH0-FEMEA DN 4" (100MM)</v>
          </cell>
          <cell r="C2428" t="str">
            <v>UN</v>
          </cell>
          <cell r="D2428">
            <v>121.05</v>
          </cell>
        </row>
        <row r="2429">
          <cell r="A2429">
            <v>85033</v>
          </cell>
          <cell r="B2429" t="str">
            <v>CURVA F0G0 MACHO FEMEA DN 1/4" (8MM)</v>
          </cell>
          <cell r="C2429" t="str">
            <v>UN</v>
          </cell>
          <cell r="D2429">
            <v>1.51</v>
          </cell>
        </row>
        <row r="2430">
          <cell r="A2430">
            <v>85034</v>
          </cell>
          <cell r="B2430" t="str">
            <v>CURVA F0G0 MACH0-FEMEA RAIO CURTO DN 3/8" (10MM)</v>
          </cell>
          <cell r="C2430" t="str">
            <v>UN</v>
          </cell>
          <cell r="D2430">
            <v>1.95</v>
          </cell>
        </row>
        <row r="2431">
          <cell r="A2431">
            <v>85035</v>
          </cell>
          <cell r="B2431" t="str">
            <v>CURVA F0G0 MACHO-FEMEA RAIO CURTO DN 1/2" (15MM)</v>
          </cell>
          <cell r="C2431" t="str">
            <v>UN</v>
          </cell>
          <cell r="D2431">
            <v>3.33</v>
          </cell>
        </row>
        <row r="2432">
          <cell r="A2432">
            <v>85036</v>
          </cell>
          <cell r="B2432" t="str">
            <v>CURVA F0G0 MACH0-FEMEA RAIO CURTO DN 3/4" (20MM)</v>
          </cell>
          <cell r="C2432" t="str">
            <v>UN</v>
          </cell>
          <cell r="D2432">
            <v>4.12</v>
          </cell>
        </row>
        <row r="2433">
          <cell r="A2433">
            <v>85037</v>
          </cell>
          <cell r="B2433" t="str">
            <v>CURVA F0G0 MACHO-FEMEA RAIO CURTO DN 1" (25MM)</v>
          </cell>
          <cell r="C2433" t="str">
            <v>UN</v>
          </cell>
          <cell r="D2433">
            <v>6.71</v>
          </cell>
        </row>
        <row r="2434">
          <cell r="A2434">
            <v>85038</v>
          </cell>
          <cell r="B2434" t="str">
            <v>CURVA F0G0 MACHO-FEMEA RAIO CURTO DN 1 1/4" (32MM)</v>
          </cell>
          <cell r="C2434" t="str">
            <v>UN</v>
          </cell>
          <cell r="D2434">
            <v>10.62</v>
          </cell>
        </row>
        <row r="2435">
          <cell r="A2435">
            <v>85044</v>
          </cell>
          <cell r="B2435" t="str">
            <v>CURVA F0G0 FEMEA DN 1/2" (15MM)</v>
          </cell>
          <cell r="C2435" t="str">
            <v>UN</v>
          </cell>
          <cell r="D2435">
            <v>3.28</v>
          </cell>
        </row>
        <row r="2436">
          <cell r="A2436">
            <v>85045</v>
          </cell>
          <cell r="B2436" t="str">
            <v>CURVA F0G0 FEMEA DN 3/4" (20MM)</v>
          </cell>
          <cell r="C2436" t="str">
            <v>UN</v>
          </cell>
          <cell r="D2436">
            <v>4.34</v>
          </cell>
        </row>
        <row r="2437">
          <cell r="A2437">
            <v>85046</v>
          </cell>
          <cell r="B2437" t="str">
            <v>CURVA F0G0 FEMEA DN 1" (25MM)</v>
          </cell>
          <cell r="C2437" t="str">
            <v>UN</v>
          </cell>
          <cell r="D2437">
            <v>6.65</v>
          </cell>
        </row>
        <row r="2438">
          <cell r="A2438">
            <v>85047</v>
          </cell>
          <cell r="B2438" t="str">
            <v>CURVA F0G0 FEMEA DN 1 1/4" (32MM)</v>
          </cell>
          <cell r="C2438" t="str">
            <v>UN</v>
          </cell>
          <cell r="D2438">
            <v>10.11</v>
          </cell>
        </row>
        <row r="2439">
          <cell r="A2439">
            <v>85048</v>
          </cell>
          <cell r="B2439" t="str">
            <v>CURVA F0G0 FEMEA DN 1 1/2" (40MM)</v>
          </cell>
          <cell r="C2439" t="str">
            <v>UN</v>
          </cell>
          <cell r="D2439">
            <v>14.46</v>
          </cell>
        </row>
        <row r="2440">
          <cell r="A2440">
            <v>85049</v>
          </cell>
          <cell r="B2440" t="str">
            <v>CURVA F0G0 FEMEA DN 2" (50MM)</v>
          </cell>
          <cell r="C2440" t="str">
            <v>UN</v>
          </cell>
          <cell r="D2440">
            <v>21.67</v>
          </cell>
        </row>
        <row r="2441">
          <cell r="A2441">
            <v>85050</v>
          </cell>
          <cell r="B2441" t="str">
            <v>CURVA F0G0 FEMEA DN 2 1/2" (65MM)</v>
          </cell>
          <cell r="C2441" t="str">
            <v>UN</v>
          </cell>
          <cell r="D2441">
            <v>44.48</v>
          </cell>
        </row>
        <row r="2442">
          <cell r="A2442">
            <v>85051</v>
          </cell>
          <cell r="B2442" t="str">
            <v>CURVA F0G0 FEMEA DN 3" (80MM)</v>
          </cell>
          <cell r="C2442" t="str">
            <v>UN</v>
          </cell>
          <cell r="D2442">
            <v>66.81</v>
          </cell>
        </row>
        <row r="2443">
          <cell r="A2443">
            <v>85052</v>
          </cell>
          <cell r="B2443" t="str">
            <v>CURVA F0G0 FEMEA DN 4" (100MM)</v>
          </cell>
          <cell r="C2443" t="str">
            <v>UN</v>
          </cell>
          <cell r="D2443">
            <v>133.35</v>
          </cell>
        </row>
        <row r="2444">
          <cell r="A2444">
            <v>85058</v>
          </cell>
          <cell r="B2444" t="str">
            <v>CURVA F0G0 FEMEA DE RAIO CURTO DN 1/4" (8MM)</v>
          </cell>
          <cell r="C2444" t="str">
            <v>UN</v>
          </cell>
          <cell r="D2444">
            <v>1.68</v>
          </cell>
        </row>
        <row r="2445">
          <cell r="A2445">
            <v>85059</v>
          </cell>
          <cell r="B2445" t="str">
            <v>CURVA F0G0 FEMEA DE RAIO CURTO DN 3/8" (10MM)</v>
          </cell>
          <cell r="C2445" t="str">
            <v>UN</v>
          </cell>
          <cell r="D2445">
            <v>2.16</v>
          </cell>
        </row>
        <row r="2446">
          <cell r="A2446">
            <v>85060</v>
          </cell>
          <cell r="B2446" t="str">
            <v>CURVA F0G0 FEMEA DE RAIO CURTO DN 1/2" (15MM)</v>
          </cell>
          <cell r="C2446" t="str">
            <v>UN</v>
          </cell>
          <cell r="D2446">
            <v>4.12</v>
          </cell>
        </row>
        <row r="2447">
          <cell r="A2447">
            <v>85061</v>
          </cell>
          <cell r="B2447" t="str">
            <v>CURVA F0G0 FEMEA DE RAIO CURTO DN 3/4" (20MM)</v>
          </cell>
          <cell r="C2447" t="str">
            <v>UN</v>
          </cell>
          <cell r="D2447">
            <v>4.96</v>
          </cell>
        </row>
        <row r="2448">
          <cell r="A2448">
            <v>85062</v>
          </cell>
          <cell r="B2448" t="str">
            <v>CURVA F0G0 FEMEA DE RAIO CURTO DN 1" (25MM)</v>
          </cell>
          <cell r="C2448" t="str">
            <v>UN</v>
          </cell>
          <cell r="D2448">
            <v>54.61</v>
          </cell>
        </row>
        <row r="2449">
          <cell r="A2449">
            <v>85063</v>
          </cell>
          <cell r="B2449" t="str">
            <v>CURVA F0G0 FEMEA DE RAIO CURTO DN 1 1/4" (32MM)</v>
          </cell>
          <cell r="C2449" t="str">
            <v>UN</v>
          </cell>
          <cell r="D2449">
            <v>11.98</v>
          </cell>
        </row>
        <row r="2450">
          <cell r="A2450">
            <v>85064</v>
          </cell>
          <cell r="B2450" t="str">
            <v>CURVA F0G0 FEMEA DE RAIO CURTO DN 1 1/2 (40MM)</v>
          </cell>
          <cell r="C2450" t="str">
            <v>UN</v>
          </cell>
          <cell r="D2450">
            <v>14.04</v>
          </cell>
        </row>
        <row r="2451">
          <cell r="A2451">
            <v>85065</v>
          </cell>
          <cell r="B2451" t="str">
            <v>CURVA F0G0 FEMEA DE RAIO CURTO DN 2" (50MM)</v>
          </cell>
          <cell r="C2451" t="str">
            <v>UN</v>
          </cell>
          <cell r="D2451">
            <v>21.72</v>
          </cell>
        </row>
        <row r="2452">
          <cell r="A2452">
            <v>85071</v>
          </cell>
          <cell r="B2452" t="str">
            <v>CURVA F0G0 MACHO DN 3/8" (10MM)</v>
          </cell>
          <cell r="C2452" t="str">
            <v>UN</v>
          </cell>
          <cell r="D2452">
            <v>2.6</v>
          </cell>
        </row>
        <row r="2453">
          <cell r="A2453">
            <v>85072</v>
          </cell>
          <cell r="B2453" t="str">
            <v>CURVA F0G0 MACHO DN 1/2" (15MM)</v>
          </cell>
          <cell r="C2453" t="str">
            <v>UN</v>
          </cell>
          <cell r="D2453">
            <v>2.79</v>
          </cell>
        </row>
        <row r="2454">
          <cell r="A2454">
            <v>85073</v>
          </cell>
          <cell r="B2454" t="str">
            <v>CURVA F0G0 MACHO DN 3/4" (20MM)</v>
          </cell>
          <cell r="C2454" t="str">
            <v>UN</v>
          </cell>
          <cell r="D2454">
            <v>3.83</v>
          </cell>
        </row>
        <row r="2455">
          <cell r="A2455">
            <v>85074</v>
          </cell>
          <cell r="B2455" t="str">
            <v>CURVA F0G0 MACHO DN 1" (25MM)</v>
          </cell>
          <cell r="C2455" t="str">
            <v>UN</v>
          </cell>
          <cell r="D2455">
            <v>6.07</v>
          </cell>
        </row>
        <row r="2456">
          <cell r="A2456">
            <v>85075</v>
          </cell>
          <cell r="B2456" t="str">
            <v>CURVA F0G0 MACHO DN 1 1/4" (32MM)</v>
          </cell>
          <cell r="C2456" t="str">
            <v>UN</v>
          </cell>
          <cell r="D2456">
            <v>9.07</v>
          </cell>
        </row>
        <row r="2457">
          <cell r="A2457">
            <v>85076</v>
          </cell>
          <cell r="B2457" t="str">
            <v>CURVA F0G0 MACHO DN 1 1/2" (40MM)</v>
          </cell>
          <cell r="C2457" t="str">
            <v>UN</v>
          </cell>
          <cell r="D2457">
            <v>12.91</v>
          </cell>
        </row>
        <row r="2458">
          <cell r="A2458">
            <v>85077</v>
          </cell>
          <cell r="B2458" t="str">
            <v>CURVA F0G0 MACHO DN 2" (50MM)</v>
          </cell>
          <cell r="C2458" t="str">
            <v>UN</v>
          </cell>
          <cell r="D2458">
            <v>18.87</v>
          </cell>
        </row>
        <row r="2459">
          <cell r="A2459">
            <v>85078</v>
          </cell>
          <cell r="B2459" t="str">
            <v>CURVA F0G0 MACH0 DN 2 1/2" (65MM)</v>
          </cell>
          <cell r="C2459" t="str">
            <v>UN</v>
          </cell>
          <cell r="D2459">
            <v>37.299999999999997</v>
          </cell>
        </row>
        <row r="2460">
          <cell r="A2460">
            <v>85079</v>
          </cell>
          <cell r="B2460" t="str">
            <v>CURVA F0G0 MACHO DN 3" (80MM)</v>
          </cell>
          <cell r="C2460" t="str">
            <v>UN</v>
          </cell>
          <cell r="D2460">
            <v>54.67</v>
          </cell>
        </row>
        <row r="2461">
          <cell r="A2461">
            <v>85090</v>
          </cell>
          <cell r="B2461" t="str">
            <v>CURVA F0G0 MACHO DN 4" (100MM)</v>
          </cell>
          <cell r="C2461" t="str">
            <v>UN</v>
          </cell>
          <cell r="D2461">
            <v>109.33</v>
          </cell>
        </row>
        <row r="2462">
          <cell r="A2462">
            <v>85091</v>
          </cell>
          <cell r="B2462" t="str">
            <v>CURVA F0G0 MACHO DN 6" (150MM)</v>
          </cell>
          <cell r="C2462" t="str">
            <v>UN</v>
          </cell>
          <cell r="D2462">
            <v>343.65</v>
          </cell>
        </row>
        <row r="2463">
          <cell r="A2463">
            <v>85097</v>
          </cell>
          <cell r="B2463" t="str">
            <v>CURVA 45G F0G0 MACHO-FEMEA DN 1/4" (8MM)</v>
          </cell>
          <cell r="C2463" t="str">
            <v>UN</v>
          </cell>
          <cell r="D2463">
            <v>1.62</v>
          </cell>
        </row>
        <row r="2464">
          <cell r="A2464">
            <v>85098</v>
          </cell>
          <cell r="B2464" t="str">
            <v>CURVA 45G F0G0 MACHO-FEMEA DN 3/8" (10MM)</v>
          </cell>
          <cell r="C2464" t="str">
            <v>UN</v>
          </cell>
          <cell r="D2464">
            <v>1.79</v>
          </cell>
        </row>
        <row r="2465">
          <cell r="A2465">
            <v>85099</v>
          </cell>
          <cell r="B2465" t="str">
            <v>CURVA 45G F0G0 MACHO-FEMEA DN 1/2" (15MM)</v>
          </cell>
          <cell r="C2465" t="str">
            <v>UN</v>
          </cell>
          <cell r="D2465">
            <v>2.35</v>
          </cell>
        </row>
        <row r="2466">
          <cell r="A2466">
            <v>85101</v>
          </cell>
          <cell r="B2466" t="str">
            <v>CURVA 45G F0G0 MACH0-FEMEA DN 3/4" (20MM)</v>
          </cell>
          <cell r="C2466" t="str">
            <v>UN</v>
          </cell>
          <cell r="D2466">
            <v>3.1</v>
          </cell>
        </row>
        <row r="2467">
          <cell r="A2467">
            <v>85102</v>
          </cell>
          <cell r="B2467" t="str">
            <v>CURVA 45G F0G0 MACHO-FEMEA DN 1" (25MM)</v>
          </cell>
          <cell r="C2467" t="str">
            <v>UN</v>
          </cell>
          <cell r="D2467">
            <v>4.68</v>
          </cell>
        </row>
        <row r="2468">
          <cell r="A2468">
            <v>85103</v>
          </cell>
          <cell r="B2468" t="str">
            <v>CURVA 45G F0G0 MACHO-FEMEA DN 1 1/4" (32MM)</v>
          </cell>
          <cell r="C2468" t="str">
            <v>UN</v>
          </cell>
          <cell r="D2468">
            <v>7.26</v>
          </cell>
        </row>
        <row r="2469">
          <cell r="A2469">
            <v>85104</v>
          </cell>
          <cell r="B2469" t="str">
            <v>CURVA 45G F0G0 MACHO-FEMEA DN 1 1/2" (40MM)</v>
          </cell>
          <cell r="C2469" t="str">
            <v>UN</v>
          </cell>
          <cell r="D2469">
            <v>10.55</v>
          </cell>
        </row>
        <row r="2470">
          <cell r="A2470">
            <v>85105</v>
          </cell>
          <cell r="B2470" t="str">
            <v>CURVA 45G F0G0 MACHO-FEMEA DN 2" (50MM)</v>
          </cell>
          <cell r="C2470" t="str">
            <v>UN</v>
          </cell>
          <cell r="D2470">
            <v>15.78</v>
          </cell>
        </row>
        <row r="2471">
          <cell r="A2471">
            <v>85106</v>
          </cell>
          <cell r="B2471" t="str">
            <v>CURVA 45G F0G0 MACH0-FEMEA DN 2 1/2" (65MM)</v>
          </cell>
          <cell r="C2471" t="str">
            <v>UN</v>
          </cell>
          <cell r="D2471">
            <v>32.82</v>
          </cell>
        </row>
        <row r="2472">
          <cell r="A2472">
            <v>85107</v>
          </cell>
          <cell r="B2472" t="str">
            <v>CURVA 45G F0G0 MACH0-FEMEA DN 3" (80MM)</v>
          </cell>
          <cell r="C2472" t="str">
            <v>UN</v>
          </cell>
          <cell r="D2472">
            <v>49.34</v>
          </cell>
        </row>
        <row r="2473">
          <cell r="A2473">
            <v>85113</v>
          </cell>
          <cell r="B2473" t="str">
            <v>CURVA 45G F0G0 FEMEA DN 1/4" (8MM)</v>
          </cell>
          <cell r="C2473" t="str">
            <v>UN</v>
          </cell>
          <cell r="D2473">
            <v>1.65</v>
          </cell>
        </row>
        <row r="2474">
          <cell r="A2474">
            <v>85114</v>
          </cell>
          <cell r="B2474" t="str">
            <v>CURVA 45G F0G0 FEMEA DN 3/8" (10MM)</v>
          </cell>
          <cell r="C2474" t="str">
            <v>UN</v>
          </cell>
          <cell r="D2474">
            <v>2.13</v>
          </cell>
        </row>
        <row r="2475">
          <cell r="A2475">
            <v>85115</v>
          </cell>
          <cell r="B2475" t="str">
            <v>CURVA 45G F0G0 FEMEA DN 1/2" (15MM)</v>
          </cell>
          <cell r="C2475" t="str">
            <v>UN</v>
          </cell>
          <cell r="D2475">
            <v>3.97</v>
          </cell>
        </row>
        <row r="2476">
          <cell r="A2476">
            <v>85116</v>
          </cell>
          <cell r="B2476" t="str">
            <v>CURVA 45G F0G0 FEMEA DN 3/4" (20MM)</v>
          </cell>
          <cell r="C2476" t="str">
            <v>UN</v>
          </cell>
          <cell r="D2476">
            <v>4.8499999999999996</v>
          </cell>
        </row>
        <row r="2477">
          <cell r="A2477">
            <v>85117</v>
          </cell>
          <cell r="B2477" t="str">
            <v>CURVA 45G F0G0 FEMEA DN 1" (25MM)</v>
          </cell>
          <cell r="C2477" t="str">
            <v>UN</v>
          </cell>
          <cell r="D2477">
            <v>7.19</v>
          </cell>
        </row>
        <row r="2478">
          <cell r="A2478">
            <v>85118</v>
          </cell>
          <cell r="B2478" t="str">
            <v>CURVA 45G F0G0 FEMEA DN 1 1/4" (32MM)</v>
          </cell>
          <cell r="C2478" t="str">
            <v>UN</v>
          </cell>
          <cell r="D2478">
            <v>11.65</v>
          </cell>
        </row>
        <row r="2479">
          <cell r="A2479">
            <v>85119</v>
          </cell>
          <cell r="B2479" t="str">
            <v>CURVA 45G F0G0 FEMEA DN 1 1/2" (40MM)</v>
          </cell>
          <cell r="C2479" t="str">
            <v>UN</v>
          </cell>
          <cell r="D2479">
            <v>13.47</v>
          </cell>
        </row>
        <row r="2480">
          <cell r="A2480">
            <v>85120</v>
          </cell>
          <cell r="B2480" t="str">
            <v>CURVA 45G F0G0 FEMEA DN 2" (50MM)</v>
          </cell>
          <cell r="C2480" t="str">
            <v>UN</v>
          </cell>
          <cell r="D2480">
            <v>21.57</v>
          </cell>
        </row>
        <row r="2481">
          <cell r="A2481">
            <v>85126</v>
          </cell>
          <cell r="B2481" t="str">
            <v>CURVA DE RETORNO F0G0 DN 1/2" (15MM)</v>
          </cell>
          <cell r="C2481" t="str">
            <v>UN</v>
          </cell>
          <cell r="D2481">
            <v>3.35</v>
          </cell>
        </row>
        <row r="2482">
          <cell r="A2482">
            <v>85127</v>
          </cell>
          <cell r="B2482" t="str">
            <v>CURVA DE RETORNO F0G0 DN 3/4" (20MM)</v>
          </cell>
          <cell r="C2482" t="str">
            <v>UN</v>
          </cell>
          <cell r="D2482">
            <v>5.04</v>
          </cell>
        </row>
        <row r="2483">
          <cell r="A2483">
            <v>85128</v>
          </cell>
          <cell r="B2483" t="str">
            <v>CURVA DE RETORNO F0G0 DN 1" (25MM)</v>
          </cell>
          <cell r="C2483" t="str">
            <v>UN</v>
          </cell>
          <cell r="D2483">
            <v>7.1</v>
          </cell>
        </row>
        <row r="2484">
          <cell r="A2484">
            <v>85129</v>
          </cell>
          <cell r="B2484" t="str">
            <v>CURVA DE RETORNO F0G0 DN 1 1/4" (32MM)</v>
          </cell>
          <cell r="C2484" t="str">
            <v>UN</v>
          </cell>
          <cell r="D2484">
            <v>10.57</v>
          </cell>
        </row>
        <row r="2485">
          <cell r="A2485">
            <v>85130</v>
          </cell>
          <cell r="B2485" t="str">
            <v>CURVA DE RETORNO F0G0 DN 1 1/2" (40MM)</v>
          </cell>
          <cell r="C2485" t="str">
            <v>UN</v>
          </cell>
          <cell r="D2485">
            <v>14.36</v>
          </cell>
        </row>
        <row r="2486">
          <cell r="A2486">
            <v>85131</v>
          </cell>
          <cell r="B2486" t="str">
            <v>CURVA DE RETORNO F0G0 DN 2" (50MM)</v>
          </cell>
          <cell r="C2486" t="str">
            <v>UN</v>
          </cell>
          <cell r="D2486">
            <v>21.49</v>
          </cell>
        </row>
        <row r="2487">
          <cell r="A2487">
            <v>85137</v>
          </cell>
          <cell r="B2487" t="str">
            <v>CURVA DE TRANSPOS.F0G0 DN 1/2" X 1/2" (15 X 15MM)</v>
          </cell>
          <cell r="C2487" t="str">
            <v>UN</v>
          </cell>
          <cell r="D2487">
            <v>5.16</v>
          </cell>
        </row>
        <row r="2488">
          <cell r="A2488">
            <v>85138</v>
          </cell>
          <cell r="B2488" t="str">
            <v>CURVA DE TRANSPOS. F0G0 DN 1/2" X 1" (15 X 20MM)</v>
          </cell>
          <cell r="C2488" t="str">
            <v>UN</v>
          </cell>
          <cell r="D2488">
            <v>5.76</v>
          </cell>
        </row>
        <row r="2489">
          <cell r="A2489">
            <v>85139</v>
          </cell>
          <cell r="B2489" t="str">
            <v>CURVA DE TRANSPOS.F0G0 DN 1/2" X 1 1/2"(15 X 40MM)</v>
          </cell>
          <cell r="C2489" t="str">
            <v>UN</v>
          </cell>
          <cell r="D2489">
            <v>8.93</v>
          </cell>
        </row>
        <row r="2490">
          <cell r="A2490">
            <v>85140</v>
          </cell>
          <cell r="B2490" t="str">
            <v>CURVA DE TRANSPOS.F0G0 DN 3/4" X 3/4"(20 X 20MM)</v>
          </cell>
          <cell r="C2490" t="str">
            <v>UN</v>
          </cell>
          <cell r="D2490">
            <v>7.19</v>
          </cell>
        </row>
        <row r="2491">
          <cell r="A2491">
            <v>85141</v>
          </cell>
          <cell r="B2491" t="str">
            <v>CURVA DE TRANSPOS. F0G0 DN 3/4" X 1" (20 X 25MM)</v>
          </cell>
          <cell r="C2491" t="str">
            <v>UN</v>
          </cell>
          <cell r="D2491">
            <v>7.81</v>
          </cell>
        </row>
        <row r="2492">
          <cell r="A2492">
            <v>85142</v>
          </cell>
          <cell r="B2492" t="str">
            <v>CURVA DE TRANSPOS.F0G0 DN 3/4" X 1 1/2"(20 X 40MM)</v>
          </cell>
          <cell r="C2492" t="str">
            <v>UN</v>
          </cell>
          <cell r="D2492">
            <v>10.06</v>
          </cell>
        </row>
        <row r="2493">
          <cell r="A2493">
            <v>85143</v>
          </cell>
          <cell r="B2493" t="str">
            <v>CURVA DE TRANSPOS.F0G0 DN 1" X 1 1/2" (25 X 40MM)</v>
          </cell>
          <cell r="C2493" t="str">
            <v>UN</v>
          </cell>
          <cell r="D2493">
            <v>11.14</v>
          </cell>
        </row>
        <row r="2494">
          <cell r="A2494">
            <v>85149</v>
          </cell>
          <cell r="B2494" t="str">
            <v>COTOVELO F0G0 DN 1/4" (8MM)</v>
          </cell>
          <cell r="C2494" t="str">
            <v>UN</v>
          </cell>
          <cell r="D2494">
            <v>1.1499999999999999</v>
          </cell>
        </row>
        <row r="2495">
          <cell r="A2495">
            <v>85150</v>
          </cell>
          <cell r="B2495" t="str">
            <v>COTOVELO F0G0 DN 3/8" (10MM)</v>
          </cell>
          <cell r="C2495" t="str">
            <v>UN</v>
          </cell>
          <cell r="D2495">
            <v>1.07</v>
          </cell>
        </row>
        <row r="2496">
          <cell r="A2496">
            <v>85151</v>
          </cell>
          <cell r="B2496" t="str">
            <v>COTOVELO F0G0 DN 1/2" (15MM)</v>
          </cell>
          <cell r="C2496" t="str">
            <v>UN</v>
          </cell>
          <cell r="D2496">
            <v>1.33</v>
          </cell>
        </row>
        <row r="2497">
          <cell r="A2497">
            <v>85152</v>
          </cell>
          <cell r="B2497" t="str">
            <v>COTOVELO F0G0 DN 3/4" (20MM)</v>
          </cell>
          <cell r="C2497" t="str">
            <v>UN</v>
          </cell>
          <cell r="D2497">
            <v>1.87</v>
          </cell>
        </row>
        <row r="2498">
          <cell r="A2498">
            <v>85153</v>
          </cell>
          <cell r="B2498" t="str">
            <v>COTOVELO F0G0 DN 1" (25MM)</v>
          </cell>
          <cell r="C2498" t="str">
            <v>UN</v>
          </cell>
          <cell r="D2498">
            <v>2.8</v>
          </cell>
        </row>
        <row r="2499">
          <cell r="A2499">
            <v>85154</v>
          </cell>
          <cell r="B2499" t="str">
            <v>COTOVELO F0G0 DN 1 1/4" (32MM)</v>
          </cell>
          <cell r="C2499" t="str">
            <v>UN</v>
          </cell>
          <cell r="D2499">
            <v>4.18</v>
          </cell>
        </row>
        <row r="2500">
          <cell r="A2500">
            <v>85155</v>
          </cell>
          <cell r="B2500" t="str">
            <v>COTOVELO F0G0 DN 1 1/2" (40MM)</v>
          </cell>
          <cell r="C2500" t="str">
            <v>UN</v>
          </cell>
          <cell r="D2500">
            <v>5.68</v>
          </cell>
        </row>
        <row r="2501">
          <cell r="A2501">
            <v>85156</v>
          </cell>
          <cell r="B2501" t="str">
            <v>COTOVELO F0G0 DN 2" (50MM)</v>
          </cell>
          <cell r="C2501" t="str">
            <v>UN</v>
          </cell>
          <cell r="D2501">
            <v>7.57</v>
          </cell>
        </row>
        <row r="2502">
          <cell r="A2502">
            <v>85157</v>
          </cell>
          <cell r="B2502" t="str">
            <v>COTOVELO F0G0 DN 2 1/2" (65MM)</v>
          </cell>
          <cell r="C2502" t="str">
            <v>UN</v>
          </cell>
          <cell r="D2502">
            <v>14.41</v>
          </cell>
        </row>
        <row r="2503">
          <cell r="A2503">
            <v>85158</v>
          </cell>
          <cell r="B2503" t="str">
            <v>COTOVELO F0G0 DN 3" (80MM)</v>
          </cell>
          <cell r="C2503" t="str">
            <v>UN</v>
          </cell>
          <cell r="D2503">
            <v>22.32</v>
          </cell>
        </row>
        <row r="2504">
          <cell r="A2504">
            <v>85159</v>
          </cell>
          <cell r="B2504" t="str">
            <v>COTOVELO F0G0 DN 4" (100MM)</v>
          </cell>
          <cell r="C2504" t="str">
            <v>UN</v>
          </cell>
          <cell r="D2504">
            <v>41.22</v>
          </cell>
        </row>
        <row r="2505">
          <cell r="A2505">
            <v>85160</v>
          </cell>
          <cell r="B2505" t="str">
            <v>COTOVELO F0G0 DN 5" (125MM)</v>
          </cell>
          <cell r="C2505" t="str">
            <v>UN</v>
          </cell>
          <cell r="D2505">
            <v>104.47</v>
          </cell>
        </row>
        <row r="2506">
          <cell r="A2506">
            <v>85161</v>
          </cell>
          <cell r="B2506" t="str">
            <v>COTOVELO F0G0 DN 6" (150MM)</v>
          </cell>
          <cell r="C2506" t="str">
            <v>UN</v>
          </cell>
          <cell r="D2506">
            <v>157.58000000000001</v>
          </cell>
        </row>
        <row r="2507">
          <cell r="A2507">
            <v>85167</v>
          </cell>
          <cell r="B2507" t="str">
            <v>COTOVELO DE RED. F0G0 DN 3/8" X 1/4" (10 X 8MM)</v>
          </cell>
          <cell r="C2507" t="str">
            <v>UN</v>
          </cell>
          <cell r="D2507">
            <v>1.35</v>
          </cell>
        </row>
        <row r="2508">
          <cell r="A2508">
            <v>85168</v>
          </cell>
          <cell r="B2508" t="str">
            <v>COTOVELO DE RED. F0G0 DN 1/2" X 3/8" (15 X 10MM)</v>
          </cell>
          <cell r="C2508" t="str">
            <v>UN</v>
          </cell>
          <cell r="D2508">
            <v>1.35</v>
          </cell>
        </row>
        <row r="2509">
          <cell r="A2509">
            <v>85169</v>
          </cell>
          <cell r="B2509" t="str">
            <v>COTOVELO DE RED. F0G0 DN 3/4" X 3/8" (20 X 10MM)</v>
          </cell>
          <cell r="C2509" t="str">
            <v>UN</v>
          </cell>
          <cell r="D2509">
            <v>1.81</v>
          </cell>
        </row>
        <row r="2510">
          <cell r="A2510">
            <v>85170</v>
          </cell>
          <cell r="B2510" t="str">
            <v>COTOVELO DE RED. F0G0 DN 3/4" X 1/2" (20 X 15MM)</v>
          </cell>
          <cell r="C2510" t="str">
            <v>UN</v>
          </cell>
          <cell r="D2510">
            <v>1.81</v>
          </cell>
        </row>
        <row r="2511">
          <cell r="A2511">
            <v>85171</v>
          </cell>
          <cell r="B2511" t="str">
            <v>COTOVELO DE RED. F0G0 DN 1" X 1/2" (25 X 15MM)</v>
          </cell>
          <cell r="C2511" t="str">
            <v>UN</v>
          </cell>
          <cell r="D2511">
            <v>2.59</v>
          </cell>
        </row>
        <row r="2512">
          <cell r="A2512">
            <v>85172</v>
          </cell>
          <cell r="B2512" t="str">
            <v>COTOVELO DE RED. F0G0 DN 1" X 3/4" (25 X 20MM)</v>
          </cell>
          <cell r="C2512" t="str">
            <v>UN</v>
          </cell>
          <cell r="D2512">
            <v>2.59</v>
          </cell>
        </row>
        <row r="2513">
          <cell r="A2513">
            <v>85173</v>
          </cell>
          <cell r="B2513" t="str">
            <v>COTOVELO DE RED.F0G0 DN 1 1/4" X 3/4" (32 X 20MM)</v>
          </cell>
          <cell r="C2513" t="str">
            <v>UN</v>
          </cell>
          <cell r="D2513">
            <v>3.97</v>
          </cell>
        </row>
        <row r="2514">
          <cell r="A2514">
            <v>85174</v>
          </cell>
          <cell r="B2514" t="str">
            <v>COTOVELO DE RED. F0G0 DN 1 1/4" X 1" (32 X 25MM)</v>
          </cell>
          <cell r="C2514" t="str">
            <v>UN</v>
          </cell>
          <cell r="D2514">
            <v>3.97</v>
          </cell>
        </row>
        <row r="2515">
          <cell r="A2515">
            <v>85175</v>
          </cell>
          <cell r="B2515" t="str">
            <v>COTOVELO DE RED.F0G0 DN 1 1/2" X 3/4" (40 X 20MM)</v>
          </cell>
          <cell r="C2515" t="str">
            <v>UN</v>
          </cell>
          <cell r="D2515">
            <v>5.39</v>
          </cell>
        </row>
        <row r="2516">
          <cell r="A2516">
            <v>85176</v>
          </cell>
          <cell r="B2516" t="str">
            <v>COTOVELO DE RED. F0G0 DN 1 1/2" X 1" (40 X 25MM)</v>
          </cell>
          <cell r="C2516" t="str">
            <v>UN</v>
          </cell>
          <cell r="D2516">
            <v>5.39</v>
          </cell>
        </row>
        <row r="2517">
          <cell r="A2517">
            <v>85177</v>
          </cell>
          <cell r="B2517" t="str">
            <v>COTOVELO RED.F0G0 DN 1 1/2" X 1 1/4" (40 X 32MM)</v>
          </cell>
          <cell r="C2517" t="str">
            <v>UN</v>
          </cell>
          <cell r="D2517">
            <v>5.39</v>
          </cell>
        </row>
        <row r="2518">
          <cell r="A2518">
            <v>85178</v>
          </cell>
          <cell r="B2518" t="str">
            <v>COTOVELO DE RED. F0G0 DN 2" X 1 1/2" (50 X 40MM)</v>
          </cell>
          <cell r="C2518" t="str">
            <v>UN</v>
          </cell>
          <cell r="D2518">
            <v>7.2</v>
          </cell>
        </row>
        <row r="2519">
          <cell r="A2519">
            <v>85179</v>
          </cell>
          <cell r="B2519" t="str">
            <v>COTOVELO DE RED. F0G0 DN 2 1/2" X 2" (65 X 50MM)</v>
          </cell>
          <cell r="C2519" t="str">
            <v>UN</v>
          </cell>
          <cell r="D2519">
            <v>14.94</v>
          </cell>
        </row>
        <row r="2520">
          <cell r="A2520">
            <v>85186</v>
          </cell>
          <cell r="B2520" t="str">
            <v>COTOVELO RZ F0G0 DN 1/2" (15MM)</v>
          </cell>
          <cell r="C2520" t="str">
            <v>UN</v>
          </cell>
          <cell r="D2520">
            <v>1.49</v>
          </cell>
        </row>
        <row r="2521">
          <cell r="A2521">
            <v>85187</v>
          </cell>
          <cell r="B2521" t="str">
            <v>COTOVELO RZ F0G0 DN 3/4" (20MM)</v>
          </cell>
          <cell r="C2521" t="str">
            <v>UN</v>
          </cell>
          <cell r="D2521">
            <v>2.08</v>
          </cell>
        </row>
        <row r="2522">
          <cell r="A2522">
            <v>85193</v>
          </cell>
          <cell r="B2522" t="str">
            <v>COTOVELO RZ RED.F0G0 DN 3/4" X 1/2" (20 X 15MM)</v>
          </cell>
          <cell r="C2522" t="str">
            <v>UN</v>
          </cell>
          <cell r="D2522">
            <v>2.0499999999999998</v>
          </cell>
        </row>
        <row r="2523">
          <cell r="A2523">
            <v>85199</v>
          </cell>
          <cell r="B2523" t="str">
            <v>COTOVELO F0G0 MACH0-FEMEA DN 1/4" (8MM)</v>
          </cell>
          <cell r="C2523" t="str">
            <v>UN</v>
          </cell>
          <cell r="D2523">
            <v>1.41</v>
          </cell>
        </row>
        <row r="2524">
          <cell r="A2524">
            <v>85201</v>
          </cell>
          <cell r="B2524" t="str">
            <v>COTOVELO F0G0 MACHO-FEMEA DN 3/8" (10MM)</v>
          </cell>
          <cell r="C2524" t="str">
            <v>UN</v>
          </cell>
          <cell r="D2524">
            <v>1.33</v>
          </cell>
        </row>
        <row r="2525">
          <cell r="A2525">
            <v>85202</v>
          </cell>
          <cell r="B2525" t="str">
            <v>COTOVELO F0G0 MACH0-FEMEA DN 1/2" (15MM)</v>
          </cell>
          <cell r="C2525" t="str">
            <v>UN</v>
          </cell>
          <cell r="D2525">
            <v>1.71</v>
          </cell>
        </row>
        <row r="2526">
          <cell r="A2526">
            <v>85203</v>
          </cell>
          <cell r="B2526" t="str">
            <v>COTOVELO F0G0 MACH0-FEMEA DN 3/4" (20MM)</v>
          </cell>
          <cell r="C2526" t="str">
            <v>UN</v>
          </cell>
          <cell r="D2526">
            <v>2.44</v>
          </cell>
        </row>
        <row r="2527">
          <cell r="A2527">
            <v>85204</v>
          </cell>
          <cell r="B2527" t="str">
            <v>COTOVELO F0G0 MACH0-FEMEA DN 1" (25MM)</v>
          </cell>
          <cell r="C2527" t="str">
            <v>UN</v>
          </cell>
          <cell r="D2527">
            <v>3.61</v>
          </cell>
        </row>
        <row r="2528">
          <cell r="A2528">
            <v>85205</v>
          </cell>
          <cell r="B2528" t="str">
            <v>COTOVELO F0G0 MACH0-FEMEA DN 1 1/4" (32MM)</v>
          </cell>
          <cell r="C2528" t="str">
            <v>UN</v>
          </cell>
          <cell r="D2528">
            <v>5.49</v>
          </cell>
        </row>
        <row r="2529">
          <cell r="A2529">
            <v>85206</v>
          </cell>
          <cell r="B2529" t="str">
            <v>COTOVELO F0G0 MACH0-FEMEA DN 1 1/2" (40MM)</v>
          </cell>
          <cell r="C2529" t="str">
            <v>UN</v>
          </cell>
          <cell r="D2529">
            <v>7.16</v>
          </cell>
        </row>
        <row r="2530">
          <cell r="A2530">
            <v>85207</v>
          </cell>
          <cell r="B2530" t="str">
            <v>COTOVELO F0G0 MACH0-FEMEA DN 2" (50MM)</v>
          </cell>
          <cell r="C2530" t="str">
            <v>UN</v>
          </cell>
          <cell r="D2530">
            <v>10.33</v>
          </cell>
        </row>
        <row r="2531">
          <cell r="A2531">
            <v>85208</v>
          </cell>
          <cell r="B2531" t="str">
            <v>COTOVELO F0G0 MACH0-FEMEA DN 2 1/2" (65MM)</v>
          </cell>
          <cell r="C2531" t="str">
            <v>UN</v>
          </cell>
          <cell r="D2531">
            <v>21.57</v>
          </cell>
        </row>
        <row r="2532">
          <cell r="A2532">
            <v>85209</v>
          </cell>
          <cell r="B2532" t="str">
            <v>COTOVELO F0G0 MACH0-FEMEA DN 3" (80MM)</v>
          </cell>
          <cell r="C2532" t="str">
            <v>UN</v>
          </cell>
          <cell r="D2532">
            <v>24.82</v>
          </cell>
        </row>
        <row r="2533">
          <cell r="A2533">
            <v>85215</v>
          </cell>
          <cell r="B2533" t="str">
            <v>COTOVELO 45G F0G0 DN 3/8" (10MM)</v>
          </cell>
          <cell r="C2533" t="str">
            <v>UN</v>
          </cell>
          <cell r="D2533">
            <v>1.4</v>
          </cell>
        </row>
        <row r="2534">
          <cell r="A2534">
            <v>85216</v>
          </cell>
          <cell r="B2534" t="str">
            <v>COTOVELO 45G F0G0 DN 1/2" (15MM)</v>
          </cell>
          <cell r="C2534" t="str">
            <v>UN</v>
          </cell>
          <cell r="D2534">
            <v>1.4</v>
          </cell>
        </row>
        <row r="2535">
          <cell r="A2535">
            <v>85217</v>
          </cell>
          <cell r="B2535" t="str">
            <v>COTOVELO 45G F0G0 DN 3/4" (20MM)</v>
          </cell>
          <cell r="C2535" t="str">
            <v>UN</v>
          </cell>
          <cell r="D2535">
            <v>1.78</v>
          </cell>
        </row>
        <row r="2536">
          <cell r="A2536">
            <v>85218</v>
          </cell>
          <cell r="B2536" t="str">
            <v>COTOVELO 45G F0G0 DN 1" (25MM)</v>
          </cell>
          <cell r="C2536" t="str">
            <v>UN</v>
          </cell>
          <cell r="D2536">
            <v>2.46</v>
          </cell>
        </row>
        <row r="2537">
          <cell r="A2537">
            <v>85219</v>
          </cell>
          <cell r="B2537" t="str">
            <v>COTOVELO 45G F0G0 DN 1 1/4" (32MM)</v>
          </cell>
          <cell r="C2537" t="str">
            <v>UN</v>
          </cell>
          <cell r="D2537">
            <v>3.81</v>
          </cell>
        </row>
        <row r="2538">
          <cell r="A2538">
            <v>85220</v>
          </cell>
          <cell r="B2538" t="str">
            <v>COTOVELO 45G F0G0 DN 1 1/2" (40MM)</v>
          </cell>
          <cell r="C2538" t="str">
            <v>UN</v>
          </cell>
          <cell r="D2538">
            <v>5.12</v>
          </cell>
        </row>
        <row r="2539">
          <cell r="A2539">
            <v>85221</v>
          </cell>
          <cell r="B2539" t="str">
            <v>COTOVELO 45G F0G0 DN 2" (50MM)</v>
          </cell>
          <cell r="C2539" t="str">
            <v>UN</v>
          </cell>
          <cell r="D2539">
            <v>7.58</v>
          </cell>
        </row>
        <row r="2540">
          <cell r="A2540">
            <v>85222</v>
          </cell>
          <cell r="B2540" t="str">
            <v>COTOVELO 45G F0G0 DN 2 1/2" (65MM)</v>
          </cell>
          <cell r="C2540" t="str">
            <v>UN</v>
          </cell>
          <cell r="D2540">
            <v>15.54</v>
          </cell>
        </row>
        <row r="2541">
          <cell r="A2541">
            <v>85223</v>
          </cell>
          <cell r="B2541" t="str">
            <v>COTOVELO 45G F0G0 DN 3" (80MM)</v>
          </cell>
          <cell r="C2541" t="str">
            <v>UN</v>
          </cell>
          <cell r="D2541">
            <v>23.96</v>
          </cell>
        </row>
        <row r="2542">
          <cell r="A2542">
            <v>85224</v>
          </cell>
          <cell r="B2542" t="str">
            <v>COTOVELO 45G F0G0 DN 4" (100MM)</v>
          </cell>
          <cell r="C2542" t="str">
            <v>UN</v>
          </cell>
          <cell r="D2542">
            <v>43.63</v>
          </cell>
        </row>
        <row r="2543">
          <cell r="A2543">
            <v>85225</v>
          </cell>
          <cell r="B2543" t="str">
            <v>COTOVELO 45G F0G0 DN 5" (125MM)</v>
          </cell>
          <cell r="C2543" t="str">
            <v>UN</v>
          </cell>
          <cell r="D2543">
            <v>109.59</v>
          </cell>
        </row>
        <row r="2544">
          <cell r="A2544">
            <v>85226</v>
          </cell>
          <cell r="B2544" t="str">
            <v>COTOVELO 45G F0G0 DN 6" (150MM)</v>
          </cell>
          <cell r="C2544" t="str">
            <v>UN</v>
          </cell>
          <cell r="D2544">
            <v>163.86</v>
          </cell>
        </row>
        <row r="2545">
          <cell r="A2545">
            <v>85232</v>
          </cell>
          <cell r="B2545" t="str">
            <v>COTOVELO F0G0 C/ SAIDA LATERAL DN 3/8" (10MM)</v>
          </cell>
          <cell r="C2545" t="str">
            <v>UN</v>
          </cell>
          <cell r="D2545">
            <v>2.67</v>
          </cell>
        </row>
        <row r="2546">
          <cell r="A2546">
            <v>85233</v>
          </cell>
          <cell r="B2546" t="str">
            <v>COTOVELO F0G0 C/ SAIDA LATERAL DN 1/2" (15MM)</v>
          </cell>
          <cell r="C2546" t="str">
            <v>UN</v>
          </cell>
          <cell r="D2546">
            <v>2.67</v>
          </cell>
        </row>
        <row r="2547">
          <cell r="A2547">
            <v>85234</v>
          </cell>
          <cell r="B2547" t="str">
            <v>COTOVELO F0G0 C/ SAIDA LATERAL DN 3/4" (20MM)</v>
          </cell>
          <cell r="C2547" t="str">
            <v>UN</v>
          </cell>
          <cell r="D2547">
            <v>3.87</v>
          </cell>
        </row>
        <row r="2548">
          <cell r="A2548">
            <v>85235</v>
          </cell>
          <cell r="B2548" t="str">
            <v>COTOVELO F0G0 C/ SAIDA LATERAL DN 1" (25MM)</v>
          </cell>
          <cell r="C2548" t="str">
            <v>UN</v>
          </cell>
          <cell r="D2548">
            <v>5.55</v>
          </cell>
        </row>
        <row r="2549">
          <cell r="A2549">
            <v>85236</v>
          </cell>
          <cell r="B2549" t="str">
            <v>COTOVELO F0G0 C/ SAIDA LATERAL DN 1 1/4" (32MM)</v>
          </cell>
          <cell r="C2549" t="str">
            <v>UN</v>
          </cell>
          <cell r="D2549">
            <v>8.44</v>
          </cell>
        </row>
        <row r="2550">
          <cell r="A2550">
            <v>85237</v>
          </cell>
          <cell r="B2550" t="str">
            <v>COTOVELO F0G0 C/ SAIDA LATERAL DN 1 1/2" (40MM)</v>
          </cell>
          <cell r="C2550" t="str">
            <v>UN</v>
          </cell>
          <cell r="D2550">
            <v>11.56</v>
          </cell>
        </row>
        <row r="2551">
          <cell r="A2551">
            <v>85238</v>
          </cell>
          <cell r="B2551" t="str">
            <v>COTOVELO F0G0 C/ SAIDA LATERAL DN 2" (50MM)</v>
          </cell>
          <cell r="C2551" t="str">
            <v>UN</v>
          </cell>
          <cell r="D2551">
            <v>15.06</v>
          </cell>
        </row>
        <row r="2552">
          <cell r="A2552">
            <v>85244</v>
          </cell>
          <cell r="B2552" t="str">
            <v>COTOVELO F0G0 PARA TUBO PEAD DN 1/2" (15MM)</v>
          </cell>
          <cell r="C2552" t="str">
            <v>UN</v>
          </cell>
          <cell r="D2552">
            <v>5</v>
          </cell>
        </row>
        <row r="2553">
          <cell r="A2553">
            <v>85245</v>
          </cell>
          <cell r="B2553" t="str">
            <v>COTOVELO F0G0 PARA TUBO PEAD DN 3/4" (20MM)</v>
          </cell>
          <cell r="C2553" t="str">
            <v>UN</v>
          </cell>
          <cell r="D2553">
            <v>6.17</v>
          </cell>
        </row>
        <row r="2554">
          <cell r="A2554">
            <v>85251</v>
          </cell>
          <cell r="B2554" t="str">
            <v>TE F0G0 DN 1/4" (8MM)</v>
          </cell>
          <cell r="C2554" t="str">
            <v>UN</v>
          </cell>
          <cell r="D2554">
            <v>1.33</v>
          </cell>
        </row>
        <row r="2555">
          <cell r="A2555">
            <v>85252</v>
          </cell>
          <cell r="B2555" t="str">
            <v>TE F0G0 DN 3/8" (10MM)</v>
          </cell>
          <cell r="C2555" t="str">
            <v>UN</v>
          </cell>
          <cell r="D2555">
            <v>1.33</v>
          </cell>
        </row>
        <row r="2556">
          <cell r="A2556">
            <v>85253</v>
          </cell>
          <cell r="B2556" t="str">
            <v>TE F0G0 DN 1/2" (15MM)</v>
          </cell>
          <cell r="C2556" t="str">
            <v>UN</v>
          </cell>
          <cell r="D2556">
            <v>1.6</v>
          </cell>
        </row>
        <row r="2557">
          <cell r="A2557">
            <v>85254</v>
          </cell>
          <cell r="B2557" t="str">
            <v>TE F0G0 DN 3/4" (20MM)</v>
          </cell>
          <cell r="C2557" t="str">
            <v>UN</v>
          </cell>
          <cell r="D2557">
            <v>2.3199999999999998</v>
          </cell>
        </row>
        <row r="2558">
          <cell r="A2558">
            <v>85255</v>
          </cell>
          <cell r="B2558" t="str">
            <v>TE F0G0 DN 1" (25MM)</v>
          </cell>
          <cell r="C2558" t="str">
            <v>UN</v>
          </cell>
          <cell r="D2558">
            <v>2.99</v>
          </cell>
        </row>
        <row r="2559">
          <cell r="A2559">
            <v>85256</v>
          </cell>
          <cell r="B2559" t="str">
            <v>TE F0G0 DN 1 1/4" (32MM)</v>
          </cell>
          <cell r="C2559" t="str">
            <v>UN</v>
          </cell>
          <cell r="D2559">
            <v>4.71</v>
          </cell>
        </row>
        <row r="2560">
          <cell r="A2560">
            <v>85257</v>
          </cell>
          <cell r="B2560" t="str">
            <v>TE F0G0 DN 1 1/2" (40MM)</v>
          </cell>
          <cell r="C2560" t="str">
            <v>UN</v>
          </cell>
          <cell r="D2560">
            <v>6.52</v>
          </cell>
        </row>
        <row r="2561">
          <cell r="A2561">
            <v>85258</v>
          </cell>
          <cell r="B2561" t="str">
            <v>TE F0G0 DN 2" (50MM)</v>
          </cell>
          <cell r="C2561" t="str">
            <v>UN</v>
          </cell>
          <cell r="D2561">
            <v>8.5299999999999994</v>
          </cell>
        </row>
        <row r="2562">
          <cell r="A2562">
            <v>85259</v>
          </cell>
          <cell r="B2562" t="str">
            <v>TE F0G0 DN 2 1/2" (65MM)</v>
          </cell>
          <cell r="C2562" t="str">
            <v>UN</v>
          </cell>
          <cell r="D2562">
            <v>19.260000000000002</v>
          </cell>
        </row>
        <row r="2563">
          <cell r="A2563">
            <v>85260</v>
          </cell>
          <cell r="B2563" t="str">
            <v>TE F0G0 DN 3" (80MM)</v>
          </cell>
          <cell r="C2563" t="str">
            <v>UN</v>
          </cell>
          <cell r="D2563">
            <v>29.47</v>
          </cell>
        </row>
        <row r="2564">
          <cell r="A2564">
            <v>85261</v>
          </cell>
          <cell r="B2564" t="str">
            <v>TE F0G0 DN 4" (100MM)</v>
          </cell>
          <cell r="C2564" t="str">
            <v>UN</v>
          </cell>
          <cell r="D2564">
            <v>54.55</v>
          </cell>
        </row>
        <row r="2565">
          <cell r="A2565">
            <v>85262</v>
          </cell>
          <cell r="B2565" t="str">
            <v>TE F0G0 DN 5" (125MM)</v>
          </cell>
          <cell r="C2565" t="str">
            <v>UN</v>
          </cell>
          <cell r="D2565">
            <v>135.80000000000001</v>
          </cell>
        </row>
        <row r="2566">
          <cell r="A2566">
            <v>85263</v>
          </cell>
          <cell r="B2566" t="str">
            <v>TE F0G0 DN 6" (150MM)</v>
          </cell>
          <cell r="C2566" t="str">
            <v>UN</v>
          </cell>
          <cell r="D2566">
            <v>199.64</v>
          </cell>
        </row>
        <row r="2567">
          <cell r="A2567">
            <v>85269</v>
          </cell>
          <cell r="B2567" t="str">
            <v>TE 45G F0G0 DN 1/2" (15MM)</v>
          </cell>
          <cell r="C2567" t="str">
            <v>UN</v>
          </cell>
          <cell r="D2567">
            <v>2.5099999999999998</v>
          </cell>
        </row>
        <row r="2568">
          <cell r="A2568">
            <v>85270</v>
          </cell>
          <cell r="B2568" t="str">
            <v>TE 45G F0G0 DN 3/4" (20MM)</v>
          </cell>
          <cell r="C2568" t="str">
            <v>UN</v>
          </cell>
          <cell r="D2568">
            <v>3.62</v>
          </cell>
        </row>
        <row r="2569">
          <cell r="A2569">
            <v>85271</v>
          </cell>
          <cell r="B2569" t="str">
            <v>TE 45G F0G0 DN 1" (25MM)</v>
          </cell>
          <cell r="C2569" t="str">
            <v>UN</v>
          </cell>
          <cell r="D2569">
            <v>5.79</v>
          </cell>
        </row>
        <row r="2570">
          <cell r="A2570">
            <v>85272</v>
          </cell>
          <cell r="B2570" t="str">
            <v>TE 45G F0G0 DN 1 1/4" (32MM)</v>
          </cell>
          <cell r="C2570" t="str">
            <v>UN</v>
          </cell>
          <cell r="D2570">
            <v>7.22</v>
          </cell>
        </row>
        <row r="2571">
          <cell r="A2571">
            <v>85273</v>
          </cell>
          <cell r="B2571" t="str">
            <v>TE 45G F0G0 DN 1 1/2" (40MM)</v>
          </cell>
          <cell r="C2571" t="str">
            <v>UN</v>
          </cell>
          <cell r="D2571">
            <v>9.99</v>
          </cell>
        </row>
        <row r="2572">
          <cell r="A2572">
            <v>85274</v>
          </cell>
          <cell r="B2572" t="str">
            <v>TE 45G F0G0 DN 2" (50MM)</v>
          </cell>
          <cell r="C2572" t="str">
            <v>UN</v>
          </cell>
          <cell r="D2572">
            <v>15.38</v>
          </cell>
        </row>
        <row r="2573">
          <cell r="A2573">
            <v>85275</v>
          </cell>
          <cell r="B2573" t="str">
            <v>TE 45G F0G0 DN 2 1/2" (65MM)</v>
          </cell>
          <cell r="C2573" t="str">
            <v>UN</v>
          </cell>
          <cell r="D2573">
            <v>28.87</v>
          </cell>
        </row>
        <row r="2574">
          <cell r="A2574">
            <v>85276</v>
          </cell>
          <cell r="B2574" t="str">
            <v>TE 45G F0G0 DN 3" (80MM)</v>
          </cell>
          <cell r="C2574" t="str">
            <v>UN</v>
          </cell>
          <cell r="D2574">
            <v>42.3</v>
          </cell>
        </row>
        <row r="2575">
          <cell r="A2575">
            <v>85277</v>
          </cell>
          <cell r="B2575" t="str">
            <v>TE 45G F0G0 DN 4" (100MM)</v>
          </cell>
          <cell r="C2575" t="str">
            <v>UN</v>
          </cell>
          <cell r="D2575">
            <v>80.569999999999993</v>
          </cell>
        </row>
        <row r="2576">
          <cell r="A2576">
            <v>85283</v>
          </cell>
          <cell r="B2576" t="str">
            <v>TE F0G0 DE CURVA DUPLA DN 1/2" (15MM)</v>
          </cell>
          <cell r="C2576" t="str">
            <v>UN</v>
          </cell>
          <cell r="D2576">
            <v>4.34</v>
          </cell>
        </row>
        <row r="2577">
          <cell r="A2577">
            <v>85284</v>
          </cell>
          <cell r="B2577" t="str">
            <v>TE F0G0 DE CURVA DUPLA DN 3/4" (20MM)</v>
          </cell>
          <cell r="C2577" t="str">
            <v>UN</v>
          </cell>
          <cell r="D2577">
            <v>6.12</v>
          </cell>
        </row>
        <row r="2578">
          <cell r="A2578">
            <v>85290</v>
          </cell>
          <cell r="B2578" t="str">
            <v>TE F0G0 P/ HIDRANTE DN 4" X 1 1/2" (100 X 65MM)</v>
          </cell>
          <cell r="C2578" t="str">
            <v>UN</v>
          </cell>
          <cell r="D2578">
            <v>50.36</v>
          </cell>
        </row>
        <row r="2579">
          <cell r="A2579">
            <v>85296</v>
          </cell>
          <cell r="B2579" t="str">
            <v>TE DE REDUCAO F0G0 DN 3/8" X 1/4" (10 X 8MM)</v>
          </cell>
          <cell r="C2579" t="str">
            <v>UN</v>
          </cell>
          <cell r="D2579">
            <v>1.54</v>
          </cell>
        </row>
        <row r="2580">
          <cell r="A2580">
            <v>85297</v>
          </cell>
          <cell r="B2580" t="str">
            <v>TE DE REDUCAO F0G0 DN 1/2" X 1/4" (15 X 8MM)</v>
          </cell>
          <cell r="C2580" t="str">
            <v>UN</v>
          </cell>
          <cell r="D2580">
            <v>1.54</v>
          </cell>
        </row>
        <row r="2581">
          <cell r="A2581">
            <v>85298</v>
          </cell>
          <cell r="B2581" t="str">
            <v>TE DE REDUCAO F0G0 DN 1/2" X 3/8" (15 X 10MM)</v>
          </cell>
          <cell r="C2581" t="str">
            <v>UN</v>
          </cell>
          <cell r="D2581">
            <v>1.54</v>
          </cell>
        </row>
        <row r="2582">
          <cell r="A2582">
            <v>85299</v>
          </cell>
          <cell r="B2582" t="str">
            <v>TE DE REDUCAO F0G0 DN 3/4" X 3/8" (25 X 10MM)</v>
          </cell>
          <cell r="C2582" t="str">
            <v>UN</v>
          </cell>
          <cell r="D2582">
            <v>2.16</v>
          </cell>
        </row>
        <row r="2583">
          <cell r="A2583">
            <v>85301</v>
          </cell>
          <cell r="B2583" t="str">
            <v>TE DE REDUCAO F0G0 DN 3/4" X 1/2" (20 X 15MM)</v>
          </cell>
          <cell r="C2583" t="str">
            <v>UN</v>
          </cell>
          <cell r="D2583">
            <v>2.16</v>
          </cell>
        </row>
        <row r="2584">
          <cell r="A2584">
            <v>85302</v>
          </cell>
          <cell r="B2584" t="str">
            <v>TE DE REDUCAO F0G0 DN 1" X 3/8" (25 X 10MM)</v>
          </cell>
          <cell r="C2584" t="str">
            <v>UN</v>
          </cell>
          <cell r="D2584">
            <v>3.19</v>
          </cell>
        </row>
        <row r="2585">
          <cell r="A2585">
            <v>85303</v>
          </cell>
          <cell r="B2585" t="str">
            <v>TE DE REDUCAO F0G0 DN 1" X 1/2" (25 X 15MM)</v>
          </cell>
          <cell r="C2585" t="str">
            <v>UN</v>
          </cell>
          <cell r="D2585">
            <v>3.19</v>
          </cell>
        </row>
        <row r="2586">
          <cell r="A2586">
            <v>85304</v>
          </cell>
          <cell r="B2586" t="str">
            <v>TE DE REDUCAO F0G0 DN 1" X 3/4" (25 X 20MM)</v>
          </cell>
          <cell r="C2586" t="str">
            <v>UN</v>
          </cell>
          <cell r="D2586">
            <v>3.19</v>
          </cell>
        </row>
        <row r="2587">
          <cell r="A2587">
            <v>85305</v>
          </cell>
          <cell r="B2587" t="str">
            <v>TE DE REDUCAO F0G0 DN 1 1/4" X 1/2" (32 X 15MM)</v>
          </cell>
          <cell r="C2587" t="str">
            <v>UN</v>
          </cell>
          <cell r="D2587">
            <v>4.83</v>
          </cell>
        </row>
        <row r="2588">
          <cell r="A2588">
            <v>85306</v>
          </cell>
          <cell r="B2588" t="str">
            <v>TE DE REDUCAO F0G0 DN 1 1/4" X 3/4" (32 X 20MM)</v>
          </cell>
          <cell r="C2588" t="str">
            <v>UN</v>
          </cell>
          <cell r="D2588">
            <v>4.83</v>
          </cell>
        </row>
        <row r="2589">
          <cell r="A2589">
            <v>85307</v>
          </cell>
          <cell r="B2589" t="str">
            <v>TE DE REDUCAO F0G0 DN 1 1/4" X 1" (32 X 25MM)</v>
          </cell>
          <cell r="C2589" t="str">
            <v>UN</v>
          </cell>
          <cell r="D2589">
            <v>4.83</v>
          </cell>
        </row>
        <row r="2590">
          <cell r="A2590">
            <v>85308</v>
          </cell>
          <cell r="B2590" t="str">
            <v>TE DE REDUCAO F0G0 DN 1 1/2" X 1/2" (40 X 15MM)</v>
          </cell>
          <cell r="C2590" t="str">
            <v>UN</v>
          </cell>
          <cell r="D2590">
            <v>6.43</v>
          </cell>
        </row>
        <row r="2591">
          <cell r="A2591">
            <v>85309</v>
          </cell>
          <cell r="B2591" t="str">
            <v>TE DE REDUCAO F0G0 DN 1 1/2" X 3/4" (40 X 20MM)</v>
          </cell>
          <cell r="C2591" t="str">
            <v>UN</v>
          </cell>
          <cell r="D2591">
            <v>6.43</v>
          </cell>
        </row>
        <row r="2592">
          <cell r="A2592">
            <v>85310</v>
          </cell>
          <cell r="B2592" t="str">
            <v>TE DE REDUCAO F0G0 DN 1 1/2" X 1" (40 X 25MM)</v>
          </cell>
          <cell r="C2592" t="str">
            <v>UN</v>
          </cell>
          <cell r="D2592">
            <v>6.43</v>
          </cell>
        </row>
        <row r="2593">
          <cell r="A2593">
            <v>85311</v>
          </cell>
          <cell r="B2593" t="str">
            <v>TE DE REDUCAO F0G0 DN 1 1/2" X 1 1/4" (40 X 32MM)</v>
          </cell>
          <cell r="C2593" t="str">
            <v>UN</v>
          </cell>
          <cell r="D2593">
            <v>6.43</v>
          </cell>
        </row>
        <row r="2594">
          <cell r="A2594">
            <v>85312</v>
          </cell>
          <cell r="B2594" t="str">
            <v>TE DE REDUCAO F0G0 DN 2" X 1/2" (50 X 15MM)</v>
          </cell>
          <cell r="C2594" t="str">
            <v>UN</v>
          </cell>
          <cell r="D2594">
            <v>9.15</v>
          </cell>
        </row>
        <row r="2595">
          <cell r="A2595">
            <v>85313</v>
          </cell>
          <cell r="B2595" t="str">
            <v>TE DE REDUCAO F0G0 DN 2" X 3/4" (50 X 20MM)</v>
          </cell>
          <cell r="C2595" t="str">
            <v>UN</v>
          </cell>
          <cell r="D2595">
            <v>9.15</v>
          </cell>
        </row>
        <row r="2596">
          <cell r="A2596">
            <v>85314</v>
          </cell>
          <cell r="B2596" t="str">
            <v>TE DE REDUCAO F0G0 DN 2" X 1" (50 X 25MM)</v>
          </cell>
          <cell r="C2596" t="str">
            <v>UN</v>
          </cell>
          <cell r="D2596">
            <v>9.15</v>
          </cell>
        </row>
        <row r="2597">
          <cell r="A2597">
            <v>85315</v>
          </cell>
          <cell r="B2597" t="str">
            <v>TE DE REDUCAO F0G0 DN 2" X 1 1/4" (50 X 32MM)</v>
          </cell>
          <cell r="C2597" t="str">
            <v>UN</v>
          </cell>
          <cell r="D2597">
            <v>9.15</v>
          </cell>
        </row>
        <row r="2598">
          <cell r="A2598">
            <v>85316</v>
          </cell>
          <cell r="B2598" t="str">
            <v>TE DE REDUCAO F0G0 DN 2" X 1 1/2" (50 X 40MM)</v>
          </cell>
          <cell r="C2598" t="str">
            <v>UN</v>
          </cell>
          <cell r="D2598">
            <v>9.15</v>
          </cell>
        </row>
        <row r="2599">
          <cell r="A2599">
            <v>85317</v>
          </cell>
          <cell r="B2599" t="str">
            <v>TE DE REDUCAO F0G0 DN 2 1/2" X 1" (65 X 25MM)</v>
          </cell>
          <cell r="C2599" t="str">
            <v>UN</v>
          </cell>
          <cell r="D2599">
            <v>19.329999999999998</v>
          </cell>
        </row>
        <row r="2600">
          <cell r="A2600">
            <v>85318</v>
          </cell>
          <cell r="B2600" t="str">
            <v>TE DE REDUCAO F0G0 DN 2 1/2" X 1 1/4" (65 X 32MM)</v>
          </cell>
          <cell r="C2600" t="str">
            <v>UN</v>
          </cell>
          <cell r="D2600">
            <v>19.329999999999998</v>
          </cell>
        </row>
        <row r="2601">
          <cell r="A2601">
            <v>85319</v>
          </cell>
          <cell r="B2601" t="str">
            <v>TE DE REDUCAO F0G0 DN 2 1/2" X 1 1/2" (65 X 40MM)</v>
          </cell>
          <cell r="C2601" t="str">
            <v>UN</v>
          </cell>
          <cell r="D2601">
            <v>19.329999999999998</v>
          </cell>
        </row>
        <row r="2602">
          <cell r="A2602">
            <v>85320</v>
          </cell>
          <cell r="B2602" t="str">
            <v>TE DE REDUCAO F0G0 DN 2 1/2" X 2" (65 X 50MM)</v>
          </cell>
          <cell r="C2602" t="str">
            <v>UN</v>
          </cell>
          <cell r="D2602">
            <v>19.329999999999998</v>
          </cell>
        </row>
        <row r="2603">
          <cell r="A2603">
            <v>85321</v>
          </cell>
          <cell r="B2603" t="str">
            <v>TE DE REDUCAO F0G0 DN 3" X 2" (80 X 50MM)</v>
          </cell>
          <cell r="C2603" t="str">
            <v>UN</v>
          </cell>
          <cell r="D2603">
            <v>29.47</v>
          </cell>
        </row>
        <row r="2604">
          <cell r="A2604">
            <v>85322</v>
          </cell>
          <cell r="B2604" t="str">
            <v>TE DE REDUCAO F0G0 DN 3" X 1 1/4" (80 X 32MM)</v>
          </cell>
          <cell r="C2604" t="str">
            <v>UN</v>
          </cell>
          <cell r="D2604">
            <v>29.47</v>
          </cell>
        </row>
        <row r="2605">
          <cell r="A2605">
            <v>85323</v>
          </cell>
          <cell r="B2605" t="str">
            <v>TE DE REDUCAO F0G0 DN 3" X 1 1/2" (80 X 40MM)</v>
          </cell>
          <cell r="C2605" t="str">
            <v>UN</v>
          </cell>
          <cell r="D2605">
            <v>29.47</v>
          </cell>
        </row>
        <row r="2606">
          <cell r="A2606">
            <v>85324</v>
          </cell>
          <cell r="B2606" t="str">
            <v>TE DE REDUCAO F0G0 DN 3" X 1" (80 X 25MM)</v>
          </cell>
          <cell r="C2606" t="str">
            <v>UN</v>
          </cell>
          <cell r="D2606">
            <v>29.47</v>
          </cell>
        </row>
        <row r="2607">
          <cell r="A2607">
            <v>85325</v>
          </cell>
          <cell r="B2607" t="str">
            <v>TE DE REDUCAO F0G0 DN 3" X 2 1/2" (80 X 65MM)</v>
          </cell>
          <cell r="C2607" t="str">
            <v>UN</v>
          </cell>
          <cell r="D2607">
            <v>29.47</v>
          </cell>
        </row>
        <row r="2608">
          <cell r="A2608">
            <v>85326</v>
          </cell>
          <cell r="B2608" t="str">
            <v>TE DE REDUCAO F0G0 DN 4" X 2" (100 X 50MM)</v>
          </cell>
          <cell r="C2608" t="str">
            <v>UN</v>
          </cell>
          <cell r="D2608">
            <v>54.55</v>
          </cell>
        </row>
        <row r="2609">
          <cell r="A2609">
            <v>85327</v>
          </cell>
          <cell r="B2609" t="str">
            <v>TE DE REDUCAO F0G0 DN 4" X 3" (100 X 80MM)</v>
          </cell>
          <cell r="C2609" t="str">
            <v>UN</v>
          </cell>
          <cell r="D2609">
            <v>54.55</v>
          </cell>
        </row>
        <row r="2610">
          <cell r="A2610">
            <v>85328</v>
          </cell>
          <cell r="B2610" t="str">
            <v>TE RED.F0G0 DN 3/4" X 1/2" X 1/2" (20 X 15 X 15MM)</v>
          </cell>
          <cell r="C2610" t="str">
            <v>UN</v>
          </cell>
          <cell r="D2610">
            <v>2.16</v>
          </cell>
        </row>
        <row r="2611">
          <cell r="A2611">
            <v>85329</v>
          </cell>
          <cell r="B2611" t="str">
            <v>TE RED.F0G0 DN 3/4" X 1" X 3/4" (20 X 25 X 20MM)</v>
          </cell>
          <cell r="C2611" t="str">
            <v>UN</v>
          </cell>
          <cell r="D2611">
            <v>3.19</v>
          </cell>
        </row>
        <row r="2612">
          <cell r="A2612">
            <v>85335</v>
          </cell>
          <cell r="B2612" t="str">
            <v>CRUZETA F0G0 DN 1/4" (8MM)</v>
          </cell>
          <cell r="C2612" t="str">
            <v>UN</v>
          </cell>
          <cell r="D2612">
            <v>2.86</v>
          </cell>
        </row>
        <row r="2613">
          <cell r="A2613">
            <v>85336</v>
          </cell>
          <cell r="B2613" t="str">
            <v>CRUZETA F0G0 DN 3/8" (10MM)</v>
          </cell>
          <cell r="C2613" t="str">
            <v>UN</v>
          </cell>
          <cell r="D2613">
            <v>2.86</v>
          </cell>
        </row>
        <row r="2614">
          <cell r="A2614">
            <v>85337</v>
          </cell>
          <cell r="B2614" t="str">
            <v>CRUZETA F0G0 DN 1/2" (15MM)</v>
          </cell>
          <cell r="C2614" t="str">
            <v>UN</v>
          </cell>
          <cell r="D2614">
            <v>3.18</v>
          </cell>
        </row>
        <row r="2615">
          <cell r="A2615">
            <v>85338</v>
          </cell>
          <cell r="B2615" t="str">
            <v>CRUZETA F0G0 DN 3/4" (20MM)</v>
          </cell>
          <cell r="C2615" t="str">
            <v>UN</v>
          </cell>
          <cell r="D2615">
            <v>4.4000000000000004</v>
          </cell>
        </row>
        <row r="2616">
          <cell r="A2616">
            <v>85339</v>
          </cell>
          <cell r="B2616" t="str">
            <v>CRUZETA F0G0 DN 1" (25MM)</v>
          </cell>
          <cell r="C2616" t="str">
            <v>UN</v>
          </cell>
          <cell r="D2616">
            <v>5.82</v>
          </cell>
        </row>
        <row r="2617">
          <cell r="A2617">
            <v>85340</v>
          </cell>
          <cell r="B2617" t="str">
            <v>CRUZETA F0G0 DN 1 1/4" (32MM)</v>
          </cell>
          <cell r="C2617" t="str">
            <v>UN</v>
          </cell>
          <cell r="D2617">
            <v>7.84</v>
          </cell>
        </row>
        <row r="2618">
          <cell r="A2618">
            <v>85341</v>
          </cell>
          <cell r="B2618" t="str">
            <v>CRUZETA F0G0 DN 1 1/2" (40MM)</v>
          </cell>
          <cell r="C2618" t="str">
            <v>UN</v>
          </cell>
          <cell r="D2618">
            <v>9.7200000000000006</v>
          </cell>
        </row>
        <row r="2619">
          <cell r="A2619">
            <v>85342</v>
          </cell>
          <cell r="B2619" t="str">
            <v>CRUZETA F0G0 DN 2" (50MM)</v>
          </cell>
          <cell r="C2619" t="str">
            <v>UN</v>
          </cell>
          <cell r="D2619">
            <v>14.49</v>
          </cell>
        </row>
        <row r="2620">
          <cell r="A2620">
            <v>85343</v>
          </cell>
          <cell r="B2620" t="str">
            <v>CRUZETA F0G0 DN 2 1/2" (65MM)</v>
          </cell>
          <cell r="C2620" t="str">
            <v>UN</v>
          </cell>
          <cell r="D2620">
            <v>26.49</v>
          </cell>
        </row>
        <row r="2621">
          <cell r="A2621">
            <v>85344</v>
          </cell>
          <cell r="B2621" t="str">
            <v>CRUZETA F0G0 DN 3" (80MM)</v>
          </cell>
          <cell r="C2621" t="str">
            <v>UN</v>
          </cell>
          <cell r="D2621">
            <v>32.479999999999997</v>
          </cell>
        </row>
        <row r="2622">
          <cell r="A2622">
            <v>85350</v>
          </cell>
          <cell r="B2622" t="str">
            <v>BUCHA DE REDUCAO F0G0 DN 3/8" X 1/4" (10 X 8MM)</v>
          </cell>
          <cell r="C2622" t="str">
            <v>UN</v>
          </cell>
          <cell r="D2622">
            <v>0.92</v>
          </cell>
        </row>
        <row r="2623">
          <cell r="A2623">
            <v>85351</v>
          </cell>
          <cell r="B2623" t="str">
            <v>BUCHA DE REDUCAO F0G0 DN 1/2" X 1/4" (15 X 8MM)</v>
          </cell>
          <cell r="C2623" t="str">
            <v>UN</v>
          </cell>
          <cell r="D2623">
            <v>0.66</v>
          </cell>
        </row>
        <row r="2624">
          <cell r="A2624">
            <v>85352</v>
          </cell>
          <cell r="B2624" t="str">
            <v>BUCHA DE REDUCAO F0G0 DN 1/2" X 3/8" (15 X 10MM)</v>
          </cell>
          <cell r="C2624" t="str">
            <v>UN</v>
          </cell>
          <cell r="D2624">
            <v>0.66</v>
          </cell>
        </row>
        <row r="2625">
          <cell r="A2625">
            <v>85353</v>
          </cell>
          <cell r="B2625" t="str">
            <v>BUCHA DE REDUCAO F0G0 DN 3/4" X 1/4" (20 X 8MM)</v>
          </cell>
          <cell r="C2625" t="str">
            <v>UN</v>
          </cell>
          <cell r="D2625">
            <v>0.88</v>
          </cell>
        </row>
        <row r="2626">
          <cell r="A2626">
            <v>85354</v>
          </cell>
          <cell r="B2626" t="str">
            <v>BUCHA DE REDUCAO F0G0 DN 3/4" X 3/8" (20 X 10MM)</v>
          </cell>
          <cell r="C2626" t="str">
            <v>UN</v>
          </cell>
          <cell r="D2626">
            <v>0.88</v>
          </cell>
        </row>
        <row r="2627">
          <cell r="A2627">
            <v>85355</v>
          </cell>
          <cell r="B2627" t="str">
            <v>BUCHA DE REDUCAO F0G0 DN 3/4" X 1/2" (20 X 15MM)</v>
          </cell>
          <cell r="C2627" t="str">
            <v>UN</v>
          </cell>
          <cell r="D2627">
            <v>0.84</v>
          </cell>
        </row>
        <row r="2628">
          <cell r="A2628">
            <v>85356</v>
          </cell>
          <cell r="B2628" t="str">
            <v>BUCHA DE REDUCAO F0G0 DN 1" X 3/8" (25 X 10MM)</v>
          </cell>
          <cell r="C2628" t="str">
            <v>UN</v>
          </cell>
          <cell r="D2628">
            <v>1.22</v>
          </cell>
        </row>
        <row r="2629">
          <cell r="A2629">
            <v>85357</v>
          </cell>
          <cell r="B2629" t="str">
            <v>BUCHA DE REDUCAO F0G0 DN 1" X 1/2" (25 X 15MM)</v>
          </cell>
          <cell r="C2629" t="str">
            <v>UN</v>
          </cell>
          <cell r="D2629">
            <v>1.22</v>
          </cell>
        </row>
        <row r="2630">
          <cell r="A2630">
            <v>85358</v>
          </cell>
          <cell r="B2630" t="str">
            <v>BUCHA DE REDUCAO F0G0 DN 1" X 3/4" (25 X 20MM)</v>
          </cell>
          <cell r="C2630" t="str">
            <v>UN</v>
          </cell>
          <cell r="D2630">
            <v>1.22</v>
          </cell>
        </row>
        <row r="2631">
          <cell r="A2631">
            <v>85359</v>
          </cell>
          <cell r="B2631" t="str">
            <v>BUCHA DE RED. F0G0 DN 1 1/4" X 1/2" (32 X 15MM)</v>
          </cell>
          <cell r="C2631" t="str">
            <v>UN</v>
          </cell>
          <cell r="D2631">
            <v>1.88</v>
          </cell>
        </row>
        <row r="2632">
          <cell r="A2632">
            <v>85360</v>
          </cell>
          <cell r="B2632" t="str">
            <v>BUCHA DE REDUCAO F0G0 DN 1 1/4" 3/4" (32 X 20MM)</v>
          </cell>
          <cell r="C2632" t="str">
            <v>UN</v>
          </cell>
          <cell r="D2632">
            <v>1.88</v>
          </cell>
        </row>
        <row r="2633">
          <cell r="A2633">
            <v>85361</v>
          </cell>
          <cell r="B2633" t="str">
            <v>BUCHA DE REDUCAO F0G0 DN 1 1/4" X 1" (32 X 25MM)</v>
          </cell>
          <cell r="C2633" t="str">
            <v>UN</v>
          </cell>
          <cell r="D2633">
            <v>1.88</v>
          </cell>
        </row>
        <row r="2634">
          <cell r="A2634">
            <v>85362</v>
          </cell>
          <cell r="B2634" t="str">
            <v>BUCHA DE RED. F0G0 DN 1 1/2" X 1/2" (40 X 15MM)</v>
          </cell>
          <cell r="C2634" t="str">
            <v>UN</v>
          </cell>
          <cell r="D2634">
            <v>2.65</v>
          </cell>
        </row>
        <row r="2635">
          <cell r="A2635">
            <v>85363</v>
          </cell>
          <cell r="B2635" t="str">
            <v>BUCHA DE RED. F0G0 DN 1 1/2" X 3/4" (40 X 20MM)</v>
          </cell>
          <cell r="C2635" t="str">
            <v>UN</v>
          </cell>
          <cell r="D2635">
            <v>2.65</v>
          </cell>
        </row>
        <row r="2636">
          <cell r="A2636">
            <v>85364</v>
          </cell>
          <cell r="B2636" t="str">
            <v>BUCHA DE REDUCAO F0G0 DN 1 1/2" X 1" (40 X 25MM)</v>
          </cell>
          <cell r="C2636" t="str">
            <v>UN</v>
          </cell>
          <cell r="D2636">
            <v>2.39</v>
          </cell>
        </row>
        <row r="2637">
          <cell r="A2637">
            <v>85365</v>
          </cell>
          <cell r="B2637" t="str">
            <v>BUCHA DE RED. F0G0 DN 1 1/2" X 1 1/4" (40 X 32MM)</v>
          </cell>
          <cell r="C2637" t="str">
            <v>UN</v>
          </cell>
          <cell r="D2637">
            <v>2.39</v>
          </cell>
        </row>
        <row r="2638">
          <cell r="A2638">
            <v>85366</v>
          </cell>
          <cell r="B2638" t="str">
            <v>BUCHA DE REDUCAO F0G0 DN 2" X 1/2" (50 X 15MM)</v>
          </cell>
          <cell r="C2638" t="str">
            <v>UN</v>
          </cell>
          <cell r="D2638">
            <v>3.61</v>
          </cell>
        </row>
        <row r="2639">
          <cell r="A2639">
            <v>85367</v>
          </cell>
          <cell r="B2639" t="str">
            <v>BUCHA DE REDUCAO F0G0 DN 2" X 1" (50 X 25MM)</v>
          </cell>
          <cell r="C2639" t="str">
            <v>UN</v>
          </cell>
          <cell r="D2639">
            <v>3.61</v>
          </cell>
        </row>
        <row r="2640">
          <cell r="A2640">
            <v>85368</v>
          </cell>
          <cell r="B2640" t="str">
            <v>BUCHA DE REDUCAO F0G0 DN 2" X 1 1/4" (50 X 32MM)</v>
          </cell>
          <cell r="C2640" t="str">
            <v>UN</v>
          </cell>
          <cell r="D2640">
            <v>3.61</v>
          </cell>
        </row>
        <row r="2641">
          <cell r="A2641">
            <v>85369</v>
          </cell>
          <cell r="B2641" t="str">
            <v>BUCHA DE REDUCAO F0G0 DN 2" X 1 1/2" (50 X 40MM)</v>
          </cell>
          <cell r="C2641" t="str">
            <v>UN</v>
          </cell>
          <cell r="D2641">
            <v>3.61</v>
          </cell>
        </row>
        <row r="2642">
          <cell r="A2642">
            <v>85370</v>
          </cell>
          <cell r="B2642" t="str">
            <v>BUCHA DE REDUCAO F0G0 DN 2 1/2" X 1" (65 X 25MM)</v>
          </cell>
          <cell r="C2642" t="str">
            <v>UN</v>
          </cell>
          <cell r="D2642">
            <v>6.4</v>
          </cell>
        </row>
        <row r="2643">
          <cell r="A2643">
            <v>85371</v>
          </cell>
          <cell r="B2643" t="str">
            <v>BUCHA DE RED. F0G0 DN 2 1/2" X 1 1/4" (65 X 32MM)</v>
          </cell>
          <cell r="C2643" t="str">
            <v>UN</v>
          </cell>
          <cell r="D2643">
            <v>6.4</v>
          </cell>
        </row>
        <row r="2644">
          <cell r="A2644">
            <v>85372</v>
          </cell>
          <cell r="B2644" t="str">
            <v>BUCHA DE RED. F0G0 DN 2 1/2" X 1 1/2" (65 X 40MM)</v>
          </cell>
          <cell r="C2644" t="str">
            <v>UN</v>
          </cell>
          <cell r="D2644">
            <v>6.4</v>
          </cell>
        </row>
        <row r="2645">
          <cell r="A2645">
            <v>85373</v>
          </cell>
          <cell r="B2645" t="str">
            <v>BUCHA DE REDUCAO F0G0 DN 2 1/2" X 2" (65 X 50MM)</v>
          </cell>
          <cell r="C2645" t="str">
            <v>UN</v>
          </cell>
          <cell r="D2645">
            <v>6.4</v>
          </cell>
        </row>
        <row r="2646">
          <cell r="A2646">
            <v>85374</v>
          </cell>
          <cell r="B2646" t="str">
            <v>BUCHA DE REDUCAO F0G0 DN 3" X 1 1/2" (80 X 40MM)</v>
          </cell>
          <cell r="C2646" t="str">
            <v>UN</v>
          </cell>
          <cell r="D2646">
            <v>9.9</v>
          </cell>
        </row>
        <row r="2647">
          <cell r="A2647">
            <v>85375</v>
          </cell>
          <cell r="B2647" t="str">
            <v>BUCHA DE REDUCAO F0G0 DN 3" X 2" (80 X 50MM)</v>
          </cell>
          <cell r="C2647" t="str">
            <v>UN</v>
          </cell>
          <cell r="D2647">
            <v>9.9</v>
          </cell>
        </row>
        <row r="2648">
          <cell r="A2648">
            <v>85376</v>
          </cell>
          <cell r="B2648" t="str">
            <v>BUCHA DE REDUCAO F0G0 DN 3" X 2 1/2" (80 X 65MM)</v>
          </cell>
          <cell r="C2648" t="str">
            <v>UN</v>
          </cell>
          <cell r="D2648">
            <v>9.9</v>
          </cell>
        </row>
        <row r="2649">
          <cell r="A2649">
            <v>85377</v>
          </cell>
          <cell r="B2649" t="str">
            <v>BUCHA DE REDUCAO F0G0 DN 4" X 2" (100 X 50MM)</v>
          </cell>
          <cell r="C2649" t="str">
            <v>UN</v>
          </cell>
          <cell r="D2649">
            <v>17.010000000000002</v>
          </cell>
        </row>
        <row r="2650">
          <cell r="A2650">
            <v>85378</v>
          </cell>
          <cell r="B2650" t="str">
            <v>BUCHA DE REDUCAO F0G0 DN 4" X 2 1/2" (100 X 65MM)</v>
          </cell>
          <cell r="C2650" t="str">
            <v>UN</v>
          </cell>
          <cell r="D2650">
            <v>17.010000000000002</v>
          </cell>
        </row>
        <row r="2651">
          <cell r="A2651">
            <v>85379</v>
          </cell>
          <cell r="B2651" t="str">
            <v>BUCHA DE REDUCAO F0G0 DN 4" X 3" (100 X 80MM)</v>
          </cell>
          <cell r="C2651" t="str">
            <v>UN</v>
          </cell>
          <cell r="D2651">
            <v>17.010000000000002</v>
          </cell>
        </row>
        <row r="2652">
          <cell r="A2652">
            <v>85380</v>
          </cell>
          <cell r="B2652" t="str">
            <v>BUCHA DE REDUCAO F0G0 DN 5" X 4" (125 X 100MM)</v>
          </cell>
          <cell r="C2652" t="str">
            <v>UN</v>
          </cell>
          <cell r="D2652">
            <v>31.09</v>
          </cell>
        </row>
        <row r="2653">
          <cell r="A2653">
            <v>85381</v>
          </cell>
          <cell r="B2653" t="str">
            <v>BUCHA DE REDUCAO F0G0 DN 6" X 4" (150 X 100MM)</v>
          </cell>
          <cell r="C2653" t="str">
            <v>UN</v>
          </cell>
          <cell r="D2653">
            <v>47.93</v>
          </cell>
        </row>
        <row r="2654">
          <cell r="A2654">
            <v>85382</v>
          </cell>
          <cell r="B2654" t="str">
            <v>BUCHA DE REDUCAO F0G0 DN 6" X 5" (150 X 125MM)</v>
          </cell>
          <cell r="C2654" t="str">
            <v>UN</v>
          </cell>
          <cell r="D2654">
            <v>47.93</v>
          </cell>
        </row>
        <row r="2655">
          <cell r="A2655">
            <v>85388</v>
          </cell>
          <cell r="B2655" t="str">
            <v>LUVA F0G0 MACHO-FEMEA RED.DN 3/8" X 1/4" (10X8MM)</v>
          </cell>
          <cell r="C2655" t="str">
            <v>UN</v>
          </cell>
          <cell r="D2655">
            <v>1.47</v>
          </cell>
        </row>
        <row r="2656">
          <cell r="A2656">
            <v>85389</v>
          </cell>
          <cell r="B2656" t="str">
            <v>LUVA F0G0 MACHO-FEMEA RED.DN 1/2" X 1/4" (15X8MM)</v>
          </cell>
          <cell r="C2656" t="str">
            <v>UN</v>
          </cell>
          <cell r="D2656">
            <v>1.47</v>
          </cell>
        </row>
        <row r="2657">
          <cell r="A2657">
            <v>85390</v>
          </cell>
          <cell r="B2657" t="str">
            <v>LUVA F0G0 MACHO-FEMEA RED.DN 1/2" X 3/8" (15X10MM)</v>
          </cell>
          <cell r="C2657" t="str">
            <v>UN</v>
          </cell>
          <cell r="D2657">
            <v>1.47</v>
          </cell>
        </row>
        <row r="2658">
          <cell r="A2658">
            <v>85391</v>
          </cell>
          <cell r="B2658" t="str">
            <v>LUVA F0G0 MACHO-FEMEA RED.DN 3/4" X 3/8" (20X10MM)</v>
          </cell>
          <cell r="C2658" t="str">
            <v>UN</v>
          </cell>
          <cell r="D2658">
            <v>1.74</v>
          </cell>
        </row>
        <row r="2659">
          <cell r="A2659">
            <v>85392</v>
          </cell>
          <cell r="B2659" t="str">
            <v>LUVA F0G0 MACHO-FEMEA RED.DN 3/4" X 1/2" (20X15MM)</v>
          </cell>
          <cell r="C2659" t="str">
            <v>UN</v>
          </cell>
          <cell r="D2659">
            <v>1.74</v>
          </cell>
        </row>
        <row r="2660">
          <cell r="A2660">
            <v>85393</v>
          </cell>
          <cell r="B2660" t="str">
            <v>LUVA F0G0 MACHO-FEMEA RED.DN 1" X 1/2" (25X15MM)</v>
          </cell>
          <cell r="C2660" t="str">
            <v>UN</v>
          </cell>
          <cell r="D2660">
            <v>2.34</v>
          </cell>
        </row>
        <row r="2661">
          <cell r="A2661">
            <v>85394</v>
          </cell>
          <cell r="B2661" t="str">
            <v>LUVA F0G0 MACHO-FEMEA RED.DN 1" X 3/4" (25X20MM)</v>
          </cell>
          <cell r="C2661" t="str">
            <v>UN</v>
          </cell>
          <cell r="D2661">
            <v>2.34</v>
          </cell>
        </row>
        <row r="2662">
          <cell r="A2662">
            <v>85395</v>
          </cell>
          <cell r="B2662" t="str">
            <v>LUVA F0G0 MAC.-FEMEA RED.DN 1 1/4" X 3/4"(32X20MM)</v>
          </cell>
          <cell r="C2662" t="str">
            <v>UN</v>
          </cell>
          <cell r="D2662">
            <v>3.71</v>
          </cell>
        </row>
        <row r="2663">
          <cell r="A2663">
            <v>85396</v>
          </cell>
          <cell r="B2663" t="str">
            <v>LUVA F0G0 MACHO-FEMEA RED.DN 1 1/4" X 1" (32X25MM)</v>
          </cell>
          <cell r="C2663" t="str">
            <v>UN</v>
          </cell>
          <cell r="D2663">
            <v>3.71</v>
          </cell>
        </row>
        <row r="2664">
          <cell r="A2664">
            <v>85397</v>
          </cell>
          <cell r="B2664" t="str">
            <v>LUVA F0G0 MACHO-FEMEA RED.DN 1 1/2" X 1" (40X25MM)</v>
          </cell>
          <cell r="C2664" t="str">
            <v>UN</v>
          </cell>
          <cell r="D2664">
            <v>5.03</v>
          </cell>
        </row>
        <row r="2665">
          <cell r="A2665">
            <v>85398</v>
          </cell>
          <cell r="B2665" t="str">
            <v>LUVA F0G0 MAC.-FEM.RED.DN 1 1/2"X 1 1/4"(40X32MM)</v>
          </cell>
          <cell r="C2665" t="str">
            <v>UN</v>
          </cell>
          <cell r="D2665">
            <v>5.03</v>
          </cell>
        </row>
        <row r="2666">
          <cell r="A2666">
            <v>85404</v>
          </cell>
          <cell r="B2666" t="str">
            <v>LUVA F0G0 DE REDUCAO DN 3/8" X 1/4" (10 X 8MM)</v>
          </cell>
          <cell r="C2666" t="str">
            <v>UN</v>
          </cell>
          <cell r="D2666">
            <v>0.74</v>
          </cell>
        </row>
        <row r="2667">
          <cell r="A2667">
            <v>85405</v>
          </cell>
          <cell r="B2667" t="str">
            <v>LUVA F0G0 DE REDUCAO DN 1/2" X 1/4" (15 X 8MM)</v>
          </cell>
          <cell r="C2667" t="str">
            <v>UN</v>
          </cell>
          <cell r="D2667">
            <v>0.74</v>
          </cell>
        </row>
        <row r="2668">
          <cell r="A2668">
            <v>85406</v>
          </cell>
          <cell r="B2668" t="str">
            <v>LUVA F0G0 DE REDUCAO DN 1/2" X 3/8" (15 X 10MM)</v>
          </cell>
          <cell r="C2668" t="str">
            <v>UN</v>
          </cell>
          <cell r="D2668">
            <v>0.74</v>
          </cell>
        </row>
        <row r="2669">
          <cell r="A2669">
            <v>85407</v>
          </cell>
          <cell r="B2669" t="str">
            <v>LUVA F0G0 DE REDUCAO DN 3/4" X 3/8" (20 X 10MM)</v>
          </cell>
          <cell r="C2669" t="str">
            <v>UN</v>
          </cell>
          <cell r="D2669">
            <v>0.99</v>
          </cell>
        </row>
        <row r="2670">
          <cell r="A2670">
            <v>85408</v>
          </cell>
          <cell r="B2670" t="str">
            <v>LUVA F0G0 DE REDUCAO DN 3/4" X 1/2" (20 X 15MM)</v>
          </cell>
          <cell r="C2670" t="str">
            <v>UN</v>
          </cell>
          <cell r="D2670">
            <v>0.99</v>
          </cell>
        </row>
        <row r="2671">
          <cell r="A2671">
            <v>85409</v>
          </cell>
          <cell r="B2671" t="str">
            <v>LUVA F0G0 DE REDUCAO DN 1" X 1/2" (25 X 15MM)</v>
          </cell>
          <cell r="C2671" t="str">
            <v>UN</v>
          </cell>
          <cell r="D2671">
            <v>1.52</v>
          </cell>
        </row>
        <row r="2672">
          <cell r="A2672">
            <v>85410</v>
          </cell>
          <cell r="B2672" t="str">
            <v>LUVA F0G0 DE REDUCAO DN 1" X 3/4" (25 X 20MM)</v>
          </cell>
          <cell r="C2672" t="str">
            <v>UN</v>
          </cell>
          <cell r="D2672">
            <v>1.52</v>
          </cell>
        </row>
        <row r="2673">
          <cell r="A2673">
            <v>85411</v>
          </cell>
          <cell r="B2673" t="str">
            <v>LUVA F0G0 DE REDUCAO DN 1 1/4" X 1/2" (32 X 15MM)</v>
          </cell>
          <cell r="C2673" t="str">
            <v>UN</v>
          </cell>
          <cell r="D2673">
            <v>2.37</v>
          </cell>
        </row>
        <row r="2674">
          <cell r="A2674">
            <v>85412</v>
          </cell>
          <cell r="B2674" t="str">
            <v>LUVA F0G0 DE REDUCAO DN 1 1/4" X 3/4" (32 X 20MM)</v>
          </cell>
          <cell r="C2674" t="str">
            <v>UN</v>
          </cell>
          <cell r="D2674">
            <v>2.37</v>
          </cell>
        </row>
        <row r="2675">
          <cell r="A2675">
            <v>85413</v>
          </cell>
          <cell r="B2675" t="str">
            <v>LUVA F0G0 DE REDUCAO DN 1 1/4" X 1" (32 X 25MM)</v>
          </cell>
          <cell r="C2675" t="str">
            <v>UN</v>
          </cell>
          <cell r="D2675">
            <v>2.37</v>
          </cell>
        </row>
        <row r="2676">
          <cell r="A2676">
            <v>85414</v>
          </cell>
          <cell r="B2676" t="str">
            <v>LUVA F0G0 DE REDUCAO DN 1 1/2" X 3/4" (40 X 20MM)</v>
          </cell>
          <cell r="C2676" t="str">
            <v>UN</v>
          </cell>
          <cell r="D2676">
            <v>3.37</v>
          </cell>
        </row>
        <row r="2677">
          <cell r="A2677">
            <v>85415</v>
          </cell>
          <cell r="B2677" t="str">
            <v>LUVA F0G0 DE REDUCAO DN 1 1/2" X 1" (40 X 25MM)</v>
          </cell>
          <cell r="C2677" t="str">
            <v>UN</v>
          </cell>
          <cell r="D2677">
            <v>3.37</v>
          </cell>
        </row>
        <row r="2678">
          <cell r="A2678">
            <v>85416</v>
          </cell>
          <cell r="B2678" t="str">
            <v>LUVA F0G0 DE REDUCAO DN 1 1/2" X 1 1/4 (40 X 32MM)</v>
          </cell>
          <cell r="C2678" t="str">
            <v>UN</v>
          </cell>
          <cell r="D2678">
            <v>3.37</v>
          </cell>
        </row>
        <row r="2679">
          <cell r="A2679">
            <v>85417</v>
          </cell>
          <cell r="B2679" t="str">
            <v>LUVA F0G0 DE REDUCAO DN 2" X 1" (50 X 25MM)</v>
          </cell>
          <cell r="C2679" t="str">
            <v>UN</v>
          </cell>
          <cell r="D2679">
            <v>4.99</v>
          </cell>
        </row>
        <row r="2680">
          <cell r="A2680">
            <v>85418</v>
          </cell>
          <cell r="B2680" t="str">
            <v>LUVA F0G0 DE REDUCAO DN 2" X 1 1/4" (50 X 32MM)</v>
          </cell>
          <cell r="C2680" t="str">
            <v>UN</v>
          </cell>
          <cell r="D2680">
            <v>4.99</v>
          </cell>
        </row>
        <row r="2681">
          <cell r="A2681">
            <v>85419</v>
          </cell>
          <cell r="B2681" t="str">
            <v>LUVA F0G0 DE REDUCAO DN 2" X 1 1/2" (50 X 40MM)</v>
          </cell>
          <cell r="C2681" t="str">
            <v>UN</v>
          </cell>
          <cell r="D2681">
            <v>4.99</v>
          </cell>
        </row>
        <row r="2682">
          <cell r="A2682">
            <v>85420</v>
          </cell>
          <cell r="B2682" t="str">
            <v>LUVA F0G0 DE RED. DN 2 1/2" X 1 1/4" (65 X 32MM)</v>
          </cell>
          <cell r="C2682" t="str">
            <v>UN</v>
          </cell>
          <cell r="D2682">
            <v>8.34</v>
          </cell>
        </row>
        <row r="2683">
          <cell r="A2683">
            <v>85421</v>
          </cell>
          <cell r="B2683" t="str">
            <v>LUVA F0G0 DE RED. DN 2 1/2" X 1 1/2" (65 X 40MM)</v>
          </cell>
          <cell r="C2683" t="str">
            <v>UN</v>
          </cell>
          <cell r="D2683">
            <v>8.34</v>
          </cell>
        </row>
        <row r="2684">
          <cell r="A2684">
            <v>85422</v>
          </cell>
          <cell r="B2684" t="str">
            <v>LUVA F0G0 DE REDUCAO DN 2 1/2" X 2" (65 X 50MM)</v>
          </cell>
          <cell r="C2684" t="str">
            <v>UN</v>
          </cell>
          <cell r="D2684">
            <v>8.34</v>
          </cell>
        </row>
        <row r="2685">
          <cell r="A2685">
            <v>85423</v>
          </cell>
          <cell r="B2685" t="str">
            <v>LUVA F0G0 DE REDUCAO DN 3" X 1 1/2" (80 X 40MM)</v>
          </cell>
          <cell r="C2685" t="str">
            <v>UN</v>
          </cell>
          <cell r="D2685">
            <v>11.47</v>
          </cell>
        </row>
        <row r="2686">
          <cell r="A2686">
            <v>85424</v>
          </cell>
          <cell r="B2686" t="str">
            <v>LUVA F0G0 DE REDUCAO DN 3" X 2" (80 X 50MM)</v>
          </cell>
          <cell r="C2686" t="str">
            <v>UN</v>
          </cell>
          <cell r="D2686">
            <v>11.47</v>
          </cell>
        </row>
        <row r="2687">
          <cell r="A2687">
            <v>85425</v>
          </cell>
          <cell r="B2687" t="str">
            <v>LUVA F0G0 DE REDUCAO DN 3" X 2 1/2" (80 X 65MM)</v>
          </cell>
          <cell r="C2687" t="str">
            <v>UN</v>
          </cell>
          <cell r="D2687">
            <v>11.47</v>
          </cell>
        </row>
        <row r="2688">
          <cell r="A2688">
            <v>85426</v>
          </cell>
          <cell r="B2688" t="str">
            <v>LUVA F0G0 DE REDUCAO DN 4" X 2" (100 X 50MM)</v>
          </cell>
          <cell r="C2688" t="str">
            <v>UN</v>
          </cell>
          <cell r="D2688">
            <v>22.79</v>
          </cell>
        </row>
        <row r="2689">
          <cell r="A2689">
            <v>85427</v>
          </cell>
          <cell r="B2689" t="str">
            <v>LUVA F0G0 DE REDUCAO DN 4" X 2 1/2" (100 X 65MM)</v>
          </cell>
          <cell r="C2689" t="str">
            <v>UN</v>
          </cell>
          <cell r="D2689">
            <v>22.79</v>
          </cell>
        </row>
        <row r="2690">
          <cell r="A2690">
            <v>85428</v>
          </cell>
          <cell r="B2690" t="str">
            <v>LUVA F0G0 DE REDUCAO DN 4" X 3" (100 X 80MM)</v>
          </cell>
          <cell r="C2690" t="str">
            <v>UN</v>
          </cell>
          <cell r="D2690">
            <v>22.79</v>
          </cell>
        </row>
        <row r="2691">
          <cell r="A2691">
            <v>85434</v>
          </cell>
          <cell r="B2691" t="str">
            <v>LUVA F0G0 DN 1/4" (8MM)</v>
          </cell>
          <cell r="C2691" t="str">
            <v>UN</v>
          </cell>
          <cell r="D2691">
            <v>0.91</v>
          </cell>
        </row>
        <row r="2692">
          <cell r="A2692">
            <v>85435</v>
          </cell>
          <cell r="B2692" t="str">
            <v>LUVA F0G0 DN 3/8" (10MM)</v>
          </cell>
          <cell r="C2692" t="str">
            <v>UN</v>
          </cell>
          <cell r="D2692">
            <v>0.91</v>
          </cell>
        </row>
        <row r="2693">
          <cell r="A2693">
            <v>85436</v>
          </cell>
          <cell r="B2693" t="str">
            <v>LUVA F0G0 DN 1/2" (15MM)</v>
          </cell>
          <cell r="C2693" t="str">
            <v>UN</v>
          </cell>
          <cell r="D2693">
            <v>0.99</v>
          </cell>
        </row>
        <row r="2694">
          <cell r="A2694">
            <v>85437</v>
          </cell>
          <cell r="B2694" t="str">
            <v>LUVA F0G0 DN 3/4" (20MM)</v>
          </cell>
          <cell r="C2694" t="str">
            <v>UN</v>
          </cell>
          <cell r="D2694">
            <v>1.31</v>
          </cell>
        </row>
        <row r="2695">
          <cell r="A2695">
            <v>85438</v>
          </cell>
          <cell r="B2695" t="str">
            <v>LUVA F0G0 DN 1" (25MM)</v>
          </cell>
          <cell r="C2695" t="str">
            <v>UN</v>
          </cell>
          <cell r="D2695">
            <v>1.89</v>
          </cell>
        </row>
        <row r="2696">
          <cell r="A2696">
            <v>85439</v>
          </cell>
          <cell r="B2696" t="str">
            <v>LUVA F0G0 DN 1 1/4" (32MM)</v>
          </cell>
          <cell r="C2696" t="str">
            <v>UN</v>
          </cell>
          <cell r="D2696">
            <v>2.66</v>
          </cell>
        </row>
        <row r="2697">
          <cell r="A2697">
            <v>85440</v>
          </cell>
          <cell r="B2697" t="str">
            <v>LUVA F0G0 DN 1 1/2" (40MM)</v>
          </cell>
          <cell r="C2697" t="str">
            <v>UN</v>
          </cell>
          <cell r="D2697">
            <v>3.71</v>
          </cell>
        </row>
        <row r="2698">
          <cell r="A2698">
            <v>85441</v>
          </cell>
          <cell r="B2698" t="str">
            <v>LUVA F0G0 DN 2" (50MM)</v>
          </cell>
          <cell r="C2698" t="str">
            <v>UN</v>
          </cell>
          <cell r="D2698">
            <v>5.38</v>
          </cell>
        </row>
        <row r="2699">
          <cell r="A2699">
            <v>85442</v>
          </cell>
          <cell r="B2699" t="str">
            <v>LUVA F0G0 DN 2 1/2" (65MM)</v>
          </cell>
          <cell r="C2699" t="str">
            <v>UN</v>
          </cell>
          <cell r="D2699">
            <v>11.72</v>
          </cell>
        </row>
        <row r="2700">
          <cell r="A2700">
            <v>85443</v>
          </cell>
          <cell r="B2700" t="str">
            <v>LUVA F0G0 DN 3" (80MM)</v>
          </cell>
          <cell r="C2700" t="str">
            <v>UN</v>
          </cell>
          <cell r="D2700">
            <v>14.78</v>
          </cell>
        </row>
        <row r="2701">
          <cell r="A2701">
            <v>85444</v>
          </cell>
          <cell r="B2701" t="str">
            <v>LUVA F0G0 DN 4" (100MM)</v>
          </cell>
          <cell r="C2701" t="str">
            <v>UN</v>
          </cell>
          <cell r="D2701">
            <v>25.35</v>
          </cell>
        </row>
        <row r="2702">
          <cell r="A2702">
            <v>85445</v>
          </cell>
          <cell r="B2702" t="str">
            <v>LUVA F0G0 DN 5" (125MM)</v>
          </cell>
          <cell r="C2702" t="str">
            <v>UN</v>
          </cell>
          <cell r="D2702">
            <v>44.58</v>
          </cell>
        </row>
        <row r="2703">
          <cell r="A2703">
            <v>85446</v>
          </cell>
          <cell r="B2703" t="str">
            <v>LUVA F0G0 DN 6" (150MM)</v>
          </cell>
          <cell r="C2703" t="str">
            <v>UN</v>
          </cell>
          <cell r="D2703">
            <v>63.81</v>
          </cell>
        </row>
        <row r="2704">
          <cell r="A2704">
            <v>85452</v>
          </cell>
          <cell r="B2704" t="str">
            <v>LUVA F0G0 C/ROSCA ESQUERDA-DIREITA DN 3/8" (10MM)</v>
          </cell>
          <cell r="C2704" t="str">
            <v>UN</v>
          </cell>
          <cell r="D2704">
            <v>1.31</v>
          </cell>
        </row>
        <row r="2705">
          <cell r="A2705">
            <v>85453</v>
          </cell>
          <cell r="B2705" t="str">
            <v>LUVA F0G0 C/ROSCA ESQUERDA-DIREITA DN 1/2" (15MM)</v>
          </cell>
          <cell r="C2705" t="str">
            <v>UN</v>
          </cell>
          <cell r="D2705">
            <v>1.37</v>
          </cell>
        </row>
        <row r="2706">
          <cell r="A2706">
            <v>85454</v>
          </cell>
          <cell r="B2706" t="str">
            <v>LUVA F0G0 C/ROSCA ESQUERDA-DIREITA DN 3/4" (20MM)</v>
          </cell>
          <cell r="C2706" t="str">
            <v>UN</v>
          </cell>
          <cell r="D2706">
            <v>1.79</v>
          </cell>
        </row>
        <row r="2707">
          <cell r="A2707">
            <v>85455</v>
          </cell>
          <cell r="B2707" t="str">
            <v>LUVA F0G0 C/ROSCA ESQUERDA-DIRETIA DN 1" (25MM)</v>
          </cell>
          <cell r="C2707" t="str">
            <v>UN</v>
          </cell>
          <cell r="D2707">
            <v>2.54</v>
          </cell>
        </row>
        <row r="2708">
          <cell r="A2708">
            <v>85456</v>
          </cell>
          <cell r="B2708" t="str">
            <v>LUVA F0G0 C/ROSCA ESQUERDA-DIR. DN 1 1/4" (32MM)</v>
          </cell>
          <cell r="C2708" t="str">
            <v>UN</v>
          </cell>
          <cell r="D2708">
            <v>3.41</v>
          </cell>
        </row>
        <row r="2709">
          <cell r="A2709">
            <v>85457</v>
          </cell>
          <cell r="B2709" t="str">
            <v>LUVA F0G0 C/ROSCA ESQUERDA-DIR. DN 1 1/2" (40MM)</v>
          </cell>
          <cell r="C2709" t="str">
            <v>UN</v>
          </cell>
          <cell r="D2709">
            <v>4.4800000000000004</v>
          </cell>
        </row>
        <row r="2710">
          <cell r="A2710">
            <v>85458</v>
          </cell>
          <cell r="B2710" t="str">
            <v>LUVA F0G0 C/ROSCA ESQUERDA-DIREITA DN 2" (50MM)</v>
          </cell>
          <cell r="C2710" t="str">
            <v>UN</v>
          </cell>
          <cell r="D2710">
            <v>6.31</v>
          </cell>
        </row>
        <row r="2711">
          <cell r="A2711">
            <v>85464</v>
          </cell>
          <cell r="B2711" t="str">
            <v>LUVA F0G0 MAC.-FEM.ALONG.DN 1/2" X 60MM (15X60MM)</v>
          </cell>
          <cell r="C2711" t="str">
            <v>UN</v>
          </cell>
          <cell r="D2711">
            <v>2.2400000000000002</v>
          </cell>
        </row>
        <row r="2712">
          <cell r="A2712">
            <v>85465</v>
          </cell>
          <cell r="B2712" t="str">
            <v>LUVA F0G0 MAC.-FEM.ALONG.DN 3/4" X 70MM (20X70MM)</v>
          </cell>
          <cell r="C2712" t="str">
            <v>UN</v>
          </cell>
          <cell r="D2712">
            <v>3.03</v>
          </cell>
        </row>
        <row r="2713">
          <cell r="A2713">
            <v>85466</v>
          </cell>
          <cell r="B2713" t="str">
            <v>LUVA F0G0 MAC.-FEM.ALONG.DN 3/4" X 90MM (20X90MM)</v>
          </cell>
          <cell r="C2713" t="str">
            <v>UN</v>
          </cell>
          <cell r="D2713">
            <v>4.25</v>
          </cell>
        </row>
        <row r="2714">
          <cell r="A2714">
            <v>85472</v>
          </cell>
          <cell r="B2714" t="str">
            <v>LUVA F0G0 MACHO-FEMEA DN 3/8" (10MM)</v>
          </cell>
          <cell r="C2714" t="str">
            <v>UN</v>
          </cell>
          <cell r="D2714">
            <v>1.31</v>
          </cell>
        </row>
        <row r="2715">
          <cell r="A2715">
            <v>85473</v>
          </cell>
          <cell r="B2715" t="str">
            <v>LUVA F0G0 MACHO-FEMEA DN 1/2" (15MM)</v>
          </cell>
          <cell r="C2715" t="str">
            <v>UN</v>
          </cell>
          <cell r="D2715">
            <v>1.75</v>
          </cell>
        </row>
        <row r="2716">
          <cell r="A2716">
            <v>85474</v>
          </cell>
          <cell r="B2716" t="str">
            <v>LUVA F0G0 MACHO-FEMEA DN 3/4" (20MM)</v>
          </cell>
          <cell r="C2716" t="str">
            <v>UN</v>
          </cell>
          <cell r="D2716">
            <v>2.34</v>
          </cell>
        </row>
        <row r="2717">
          <cell r="A2717">
            <v>85475</v>
          </cell>
          <cell r="B2717" t="str">
            <v>LUVA F0G0 MACHO-FEMEA DN 1" (25MM)</v>
          </cell>
          <cell r="C2717" t="str">
            <v>UN</v>
          </cell>
          <cell r="D2717">
            <v>3.27</v>
          </cell>
        </row>
        <row r="2718">
          <cell r="A2718">
            <v>85476</v>
          </cell>
          <cell r="B2718" t="str">
            <v>LUVA F0G0 MACHO-FEMEA DN 1 1/4" (32MM)</v>
          </cell>
          <cell r="C2718" t="str">
            <v>UN</v>
          </cell>
          <cell r="D2718">
            <v>3.87</v>
          </cell>
        </row>
        <row r="2719">
          <cell r="A2719">
            <v>85482</v>
          </cell>
          <cell r="B2719" t="str">
            <v>NIPLE F0G0 DUPLO DN 1/4" (8MM)</v>
          </cell>
          <cell r="C2719" t="str">
            <v>UN</v>
          </cell>
          <cell r="D2719">
            <v>0.81</v>
          </cell>
        </row>
        <row r="2720">
          <cell r="A2720">
            <v>85483</v>
          </cell>
          <cell r="B2720" t="str">
            <v>NIPLE F0G0 DUPLO DN 3/8" (10MM)</v>
          </cell>
          <cell r="C2720" t="str">
            <v>UN</v>
          </cell>
          <cell r="D2720">
            <v>0.81</v>
          </cell>
        </row>
        <row r="2721">
          <cell r="A2721">
            <v>85484</v>
          </cell>
          <cell r="B2721" t="str">
            <v>NIPLE F0G0 DUPLO DN 1/2" (15MM)</v>
          </cell>
          <cell r="C2721" t="str">
            <v>UN</v>
          </cell>
          <cell r="D2721">
            <v>0.86</v>
          </cell>
        </row>
        <row r="2722">
          <cell r="A2722">
            <v>85485</v>
          </cell>
          <cell r="B2722" t="str">
            <v>NIPLE F0G0 DUPLO DN 3/4" (20MM)</v>
          </cell>
          <cell r="C2722" t="str">
            <v>UN</v>
          </cell>
          <cell r="D2722">
            <v>1.19</v>
          </cell>
        </row>
        <row r="2723">
          <cell r="A2723">
            <v>85486</v>
          </cell>
          <cell r="B2723" t="str">
            <v>NIPLE F0G0 DUPLO DN 1" (25MM)</v>
          </cell>
          <cell r="C2723" t="str">
            <v>UN</v>
          </cell>
          <cell r="D2723">
            <v>1.65</v>
          </cell>
        </row>
        <row r="2724">
          <cell r="A2724">
            <v>85487</v>
          </cell>
          <cell r="B2724" t="str">
            <v>NIPLE F0G0 DUPLO DN 1 1/4" (32MM)</v>
          </cell>
          <cell r="C2724" t="str">
            <v>UN</v>
          </cell>
          <cell r="D2724">
            <v>2.4700000000000002</v>
          </cell>
        </row>
        <row r="2725">
          <cell r="A2725">
            <v>85488</v>
          </cell>
          <cell r="B2725" t="str">
            <v>NIPLE F0G0 DUPLO DN 1 1/2" (40MM)</v>
          </cell>
          <cell r="C2725" t="str">
            <v>UN</v>
          </cell>
          <cell r="D2725">
            <v>3.11</v>
          </cell>
        </row>
        <row r="2726">
          <cell r="A2726">
            <v>85489</v>
          </cell>
          <cell r="B2726" t="str">
            <v>NIPLE F0G0 DUPLO DN 2" (50MM)</v>
          </cell>
          <cell r="C2726" t="str">
            <v>UN</v>
          </cell>
          <cell r="D2726">
            <v>4.5599999999999996</v>
          </cell>
        </row>
        <row r="2727">
          <cell r="A2727">
            <v>85490</v>
          </cell>
          <cell r="B2727" t="str">
            <v>NIPLE F0G0 DUPLO DN 2 1/2" (65MM)</v>
          </cell>
          <cell r="C2727" t="str">
            <v>UN</v>
          </cell>
          <cell r="D2727">
            <v>7.7</v>
          </cell>
        </row>
        <row r="2728">
          <cell r="A2728">
            <v>85491</v>
          </cell>
          <cell r="B2728" t="str">
            <v>NIPLE F0G0 DUPLO DN  3" (80MM)</v>
          </cell>
          <cell r="C2728" t="str">
            <v>UN</v>
          </cell>
          <cell r="D2728">
            <v>12.05</v>
          </cell>
        </row>
        <row r="2729">
          <cell r="A2729">
            <v>85492</v>
          </cell>
          <cell r="B2729" t="str">
            <v>NIPLE F0G0 DUPLO DN 4" (100MM)</v>
          </cell>
          <cell r="C2729" t="str">
            <v>UN</v>
          </cell>
          <cell r="D2729">
            <v>22.19</v>
          </cell>
        </row>
        <row r="2730">
          <cell r="A2730">
            <v>85493</v>
          </cell>
          <cell r="B2730" t="str">
            <v>NIPLE F0G0 DUPLO DN 5" (125MM)</v>
          </cell>
          <cell r="C2730" t="str">
            <v>UN</v>
          </cell>
          <cell r="D2730">
            <v>43.22</v>
          </cell>
        </row>
        <row r="2731">
          <cell r="A2731">
            <v>85494</v>
          </cell>
          <cell r="B2731" t="str">
            <v>NIPLE F0G0 DUPLO DN 6" (150MM)</v>
          </cell>
          <cell r="C2731" t="str">
            <v>UN</v>
          </cell>
          <cell r="D2731">
            <v>67.39</v>
          </cell>
        </row>
        <row r="2732">
          <cell r="A2732">
            <v>85501</v>
          </cell>
          <cell r="B2732" t="str">
            <v>NIPLE F0G0 DUPLO DE RED.DN 3/8" X 1/4" (10 X 8MM)</v>
          </cell>
          <cell r="C2732" t="str">
            <v>UN</v>
          </cell>
          <cell r="D2732">
            <v>1.44</v>
          </cell>
        </row>
        <row r="2733">
          <cell r="A2733">
            <v>85502</v>
          </cell>
          <cell r="B2733" t="str">
            <v>NIPLE F0G0 DUPLO DE RED. DN 1/2" X 1/4" (15X8MM)</v>
          </cell>
          <cell r="C2733" t="str">
            <v>UN</v>
          </cell>
          <cell r="D2733">
            <v>1.44</v>
          </cell>
        </row>
        <row r="2734">
          <cell r="A2734">
            <v>85503</v>
          </cell>
          <cell r="B2734" t="str">
            <v>NIPLE F0G0 DUPLO DE RED. DN 1/2" X 3/8" (15X10MM)</v>
          </cell>
          <cell r="C2734" t="str">
            <v>UN</v>
          </cell>
          <cell r="D2734">
            <v>1.44</v>
          </cell>
        </row>
        <row r="2735">
          <cell r="A2735">
            <v>85504</v>
          </cell>
          <cell r="B2735" t="str">
            <v>NIPLE F0G0 DUPLO DE RED. DN 3/4" X 3/8" (20X10MM)</v>
          </cell>
          <cell r="C2735" t="str">
            <v>UN</v>
          </cell>
          <cell r="D2735">
            <v>1.59</v>
          </cell>
        </row>
        <row r="2736">
          <cell r="A2736">
            <v>85505</v>
          </cell>
          <cell r="B2736" t="str">
            <v>NIPLE F0G0 DUPLO DE RED. DN 3/4" X 1/2" (20X15MM)</v>
          </cell>
          <cell r="C2736" t="str">
            <v>UN</v>
          </cell>
          <cell r="D2736">
            <v>1.59</v>
          </cell>
        </row>
        <row r="2737">
          <cell r="A2737">
            <v>85506</v>
          </cell>
          <cell r="B2737" t="str">
            <v>NIPLE F0G0 DUPLO DE REDUCAO DN 1" X 1/2" (25X15MM)</v>
          </cell>
          <cell r="C2737" t="str">
            <v>UN</v>
          </cell>
          <cell r="D2737">
            <v>1.96</v>
          </cell>
        </row>
        <row r="2738">
          <cell r="A2738">
            <v>85507</v>
          </cell>
          <cell r="B2738" t="str">
            <v>NIPLE F0G0 DUPLO DE RED. DN 1" X 3/4" (25 X 20MM)</v>
          </cell>
          <cell r="C2738" t="str">
            <v>UN</v>
          </cell>
          <cell r="D2738">
            <v>1.96</v>
          </cell>
        </row>
        <row r="2739">
          <cell r="A2739">
            <v>85508</v>
          </cell>
          <cell r="B2739" t="str">
            <v>NIPLE F0G0 DUPLO RED. DN 1 1/4" X 1/2" (32X15MM)</v>
          </cell>
          <cell r="C2739" t="str">
            <v>UN</v>
          </cell>
          <cell r="D2739">
            <v>3.14</v>
          </cell>
        </row>
        <row r="2740">
          <cell r="A2740">
            <v>85509</v>
          </cell>
          <cell r="B2740" t="str">
            <v>NIPLE F0G0 DUPLO RED. DN 1 1/4" X 3/4" (32X20MM)</v>
          </cell>
          <cell r="C2740" t="str">
            <v>UN</v>
          </cell>
          <cell r="D2740">
            <v>3.14</v>
          </cell>
        </row>
        <row r="2741">
          <cell r="A2741">
            <v>85510</v>
          </cell>
          <cell r="B2741" t="str">
            <v>NIPLE F0G0 DUPLO DE RED. DN 1 1/4" X 1" (32X25MM)</v>
          </cell>
          <cell r="C2741" t="str">
            <v>UN</v>
          </cell>
          <cell r="D2741">
            <v>3.14</v>
          </cell>
        </row>
        <row r="2742">
          <cell r="A2742">
            <v>85511</v>
          </cell>
          <cell r="B2742" t="str">
            <v>NIPLE F0G0 DUPLO RED. DN 1 1/2" X 3/4" (40X20MM)</v>
          </cell>
          <cell r="C2742" t="str">
            <v>UN</v>
          </cell>
          <cell r="D2742">
            <v>4.08</v>
          </cell>
        </row>
        <row r="2743">
          <cell r="A2743">
            <v>85512</v>
          </cell>
          <cell r="B2743" t="str">
            <v>NIPLE F0G0 DUPLO DE RED. 1 1/2" X 1" (40 X 25MM)</v>
          </cell>
          <cell r="C2743" t="str">
            <v>UN</v>
          </cell>
          <cell r="D2743">
            <v>4.08</v>
          </cell>
        </row>
        <row r="2744">
          <cell r="A2744">
            <v>85513</v>
          </cell>
          <cell r="B2744" t="str">
            <v>NIPLE F0G0 DUPLO RED. 1 1/2" X 1 1/4" (40X32MM)</v>
          </cell>
          <cell r="C2744" t="str">
            <v>UN</v>
          </cell>
          <cell r="D2744">
            <v>4.08</v>
          </cell>
        </row>
        <row r="2745">
          <cell r="A2745">
            <v>85514</v>
          </cell>
          <cell r="B2745" t="str">
            <v>NIPLE F0G0 DUPLO DE REDUCAO DN 2" X 1" (50X25MM)</v>
          </cell>
          <cell r="C2745" t="str">
            <v>UN</v>
          </cell>
          <cell r="D2745">
            <v>6.96</v>
          </cell>
        </row>
        <row r="2746">
          <cell r="A2746">
            <v>85515</v>
          </cell>
          <cell r="B2746" t="str">
            <v>NIPLE F0G0 DUPLO DE RED. DN 2" X 1 1/4" (50X32MM)</v>
          </cell>
          <cell r="C2746" t="str">
            <v>UN</v>
          </cell>
          <cell r="D2746">
            <v>6.97</v>
          </cell>
        </row>
        <row r="2747">
          <cell r="A2747">
            <v>85516</v>
          </cell>
          <cell r="B2747" t="str">
            <v>NIPLE F0G0 DUPLO DE RED. DN 2" X 1 1/2" (50X40MM)</v>
          </cell>
          <cell r="C2747" t="str">
            <v>UN</v>
          </cell>
          <cell r="D2747">
            <v>6.97</v>
          </cell>
        </row>
        <row r="2748">
          <cell r="A2748">
            <v>85517</v>
          </cell>
          <cell r="B2748" t="str">
            <v>NIPLE F0G0 DUPLO RED.DN 2 1/2" X 1 1/4" (65X32MM)</v>
          </cell>
          <cell r="C2748" t="str">
            <v>UN</v>
          </cell>
          <cell r="D2748">
            <v>10.46</v>
          </cell>
        </row>
        <row r="2749">
          <cell r="A2749">
            <v>85518</v>
          </cell>
          <cell r="B2749" t="str">
            <v>NIPLE F0G0 DUPLO RED.DN 2 1/2" X 1 1/2" (65X40MM)</v>
          </cell>
          <cell r="C2749" t="str">
            <v>UN</v>
          </cell>
          <cell r="D2749">
            <v>10.46</v>
          </cell>
        </row>
        <row r="2750">
          <cell r="A2750">
            <v>85519</v>
          </cell>
          <cell r="B2750" t="str">
            <v>NIPLE F0G0 DUPLO DE RED.DN 2 1/2" X 2" (65X50MM)</v>
          </cell>
          <cell r="C2750" t="str">
            <v>UN</v>
          </cell>
          <cell r="D2750">
            <v>10.46</v>
          </cell>
        </row>
        <row r="2751">
          <cell r="A2751">
            <v>85520</v>
          </cell>
          <cell r="B2751" t="str">
            <v>NIPLE F0G0 DUPLO DE RED. DN 3" X 1 1/2" (80X40MM)</v>
          </cell>
          <cell r="C2751" t="str">
            <v>UN</v>
          </cell>
          <cell r="D2751">
            <v>16.440000000000001</v>
          </cell>
        </row>
        <row r="2752">
          <cell r="A2752">
            <v>85521</v>
          </cell>
          <cell r="B2752" t="str">
            <v>NIPLE F0G0 DUPLO DE REDUCAO DN 3" X 2" (80X50MM)</v>
          </cell>
          <cell r="C2752" t="str">
            <v>UN</v>
          </cell>
          <cell r="D2752">
            <v>16.440000000000001</v>
          </cell>
        </row>
        <row r="2753">
          <cell r="A2753">
            <v>85522</v>
          </cell>
          <cell r="B2753" t="str">
            <v>NIPLE F0G0 DUPLO DE RED. DN 3" X 2 1/2" (80X65MM)</v>
          </cell>
          <cell r="C2753" t="str">
            <v>UN</v>
          </cell>
          <cell r="D2753">
            <v>16.440000000000001</v>
          </cell>
        </row>
        <row r="2754">
          <cell r="A2754">
            <v>85528</v>
          </cell>
          <cell r="B2754" t="str">
            <v>NIPLE F0G0 DUPLO C/ROSCA ESQ.-DIR.DN 3/8" (10MM)</v>
          </cell>
          <cell r="C2754" t="str">
            <v>UN</v>
          </cell>
          <cell r="D2754">
            <v>1.01</v>
          </cell>
        </row>
        <row r="2755">
          <cell r="A2755">
            <v>85529</v>
          </cell>
          <cell r="B2755" t="str">
            <v>NIPLE F0G0 DUPLO C/ROSCA ESQ.-DIR. DN 1/2" (15MM)</v>
          </cell>
          <cell r="C2755" t="str">
            <v>UN</v>
          </cell>
          <cell r="D2755">
            <v>1.1000000000000001</v>
          </cell>
        </row>
        <row r="2756">
          <cell r="A2756">
            <v>85530</v>
          </cell>
          <cell r="B2756" t="str">
            <v>NIPLE F0G0 DUPLO C/ROSCA ESQ.-DIR. DN 3/4" (20MM)</v>
          </cell>
          <cell r="C2756" t="str">
            <v>UN</v>
          </cell>
          <cell r="D2756">
            <v>1.43</v>
          </cell>
        </row>
        <row r="2757">
          <cell r="A2757">
            <v>85531</v>
          </cell>
          <cell r="B2757" t="str">
            <v>NIPLE F0G0 DUPLO C/ROSCA ESQ.-DIR. DN 1" (25MM)</v>
          </cell>
          <cell r="C2757" t="str">
            <v>UN</v>
          </cell>
          <cell r="D2757">
            <v>1.88</v>
          </cell>
        </row>
        <row r="2758">
          <cell r="A2758">
            <v>85532</v>
          </cell>
          <cell r="B2758" t="str">
            <v>NIPLE F0G0 DUPLO C/ROSCA ESQ.-DIR.DN 1 1/4" (32MM)</v>
          </cell>
          <cell r="C2758" t="str">
            <v>UN</v>
          </cell>
          <cell r="D2758">
            <v>2.86</v>
          </cell>
        </row>
        <row r="2759">
          <cell r="A2759">
            <v>85533</v>
          </cell>
          <cell r="B2759" t="str">
            <v>NIPLE F0G0 DUPLO C/ROSCA ESQ.-DIR.DN 1 1/2 (40MM)</v>
          </cell>
          <cell r="C2759" t="str">
            <v>UN</v>
          </cell>
          <cell r="D2759">
            <v>3.74</v>
          </cell>
        </row>
        <row r="2760">
          <cell r="A2760">
            <v>85534</v>
          </cell>
          <cell r="B2760" t="str">
            <v>NIPLE F0G0 DUPLO C/ROSCA ESQ.-DIR. DN 2" (50MM)</v>
          </cell>
          <cell r="C2760" t="str">
            <v>UN</v>
          </cell>
          <cell r="D2760">
            <v>5.47</v>
          </cell>
        </row>
        <row r="2761">
          <cell r="A2761">
            <v>85540</v>
          </cell>
          <cell r="B2761" t="str">
            <v>BUJAO F0G0 DN 1/4" (8MM)</v>
          </cell>
          <cell r="C2761" t="str">
            <v>UN</v>
          </cell>
          <cell r="D2761">
            <v>0.28000000000000003</v>
          </cell>
        </row>
        <row r="2762">
          <cell r="A2762">
            <v>85541</v>
          </cell>
          <cell r="B2762" t="str">
            <v>BUJAO F0G0 DN 3/8" (10MM)</v>
          </cell>
          <cell r="C2762" t="str">
            <v>UN</v>
          </cell>
          <cell r="D2762">
            <v>0.33</v>
          </cell>
        </row>
        <row r="2763">
          <cell r="A2763">
            <v>85542</v>
          </cell>
          <cell r="B2763" t="str">
            <v>BUJAO F0G0 DN 1/2" (15MM)</v>
          </cell>
          <cell r="C2763" t="str">
            <v>UN</v>
          </cell>
          <cell r="D2763">
            <v>0.47</v>
          </cell>
        </row>
        <row r="2764">
          <cell r="A2764">
            <v>85543</v>
          </cell>
          <cell r="B2764" t="str">
            <v>BUJAO F0G0 DN 3/4" (20MM)</v>
          </cell>
          <cell r="C2764" t="str">
            <v>UN</v>
          </cell>
          <cell r="D2764">
            <v>0.72</v>
          </cell>
        </row>
        <row r="2765">
          <cell r="A2765">
            <v>85544</v>
          </cell>
          <cell r="B2765" t="str">
            <v>BUJAO F0G0 DN 1" (25MM)</v>
          </cell>
          <cell r="C2765" t="str">
            <v>UN</v>
          </cell>
          <cell r="D2765">
            <v>0.92</v>
          </cell>
        </row>
        <row r="2766">
          <cell r="A2766">
            <v>85545</v>
          </cell>
          <cell r="B2766" t="str">
            <v>BUJAO F0G0 DN 1 1/4" (32MM)</v>
          </cell>
          <cell r="C2766" t="str">
            <v>UN</v>
          </cell>
          <cell r="D2766">
            <v>1.58</v>
          </cell>
        </row>
        <row r="2767">
          <cell r="A2767">
            <v>85546</v>
          </cell>
          <cell r="B2767" t="str">
            <v>BUJAO F0G0 DN 1 1/2" (40MM)</v>
          </cell>
          <cell r="C2767" t="str">
            <v>UN</v>
          </cell>
          <cell r="D2767">
            <v>1.93</v>
          </cell>
        </row>
        <row r="2768">
          <cell r="A2768">
            <v>85547</v>
          </cell>
          <cell r="B2768" t="str">
            <v>BUJAO F0G0 DN 2" (50MM)</v>
          </cell>
          <cell r="C2768" t="str">
            <v>UN</v>
          </cell>
          <cell r="D2768">
            <v>3.12</v>
          </cell>
        </row>
        <row r="2769">
          <cell r="A2769">
            <v>85548</v>
          </cell>
          <cell r="B2769" t="str">
            <v>BUJAO F0G0 DN 2 1/2" (65MM)</v>
          </cell>
          <cell r="C2769" t="str">
            <v>UN</v>
          </cell>
          <cell r="D2769">
            <v>5.27</v>
          </cell>
        </row>
        <row r="2770">
          <cell r="A2770">
            <v>85549</v>
          </cell>
          <cell r="B2770" t="str">
            <v>BUJAO F0G0 DN 3" (80MM)</v>
          </cell>
          <cell r="C2770" t="str">
            <v>UN</v>
          </cell>
          <cell r="D2770">
            <v>8.48</v>
          </cell>
        </row>
        <row r="2771">
          <cell r="A2771">
            <v>85550</v>
          </cell>
          <cell r="B2771" t="str">
            <v>BUJAO F0G0 DN 4" (100MM)</v>
          </cell>
          <cell r="C2771" t="str">
            <v>UN</v>
          </cell>
          <cell r="D2771">
            <v>16.739999999999998</v>
          </cell>
        </row>
        <row r="2772">
          <cell r="A2772">
            <v>85556</v>
          </cell>
          <cell r="B2772" t="str">
            <v>BUJAO F0G0 C/ REBORDO DN 1/4" (8MM)</v>
          </cell>
          <cell r="C2772" t="str">
            <v>UN</v>
          </cell>
          <cell r="D2772">
            <v>0.55000000000000004</v>
          </cell>
        </row>
        <row r="2773">
          <cell r="A2773">
            <v>85557</v>
          </cell>
          <cell r="B2773" t="str">
            <v>BUJAO F0G0 C/ REBORDO DN 3/8" (10MM)</v>
          </cell>
          <cell r="C2773" t="str">
            <v>UN</v>
          </cell>
          <cell r="D2773">
            <v>0.8</v>
          </cell>
        </row>
        <row r="2774">
          <cell r="A2774">
            <v>85558</v>
          </cell>
          <cell r="B2774" t="str">
            <v>BUJAO F0G0 C/ REBORDO DN 1/2" (15MM)</v>
          </cell>
          <cell r="C2774" t="str">
            <v>UN</v>
          </cell>
          <cell r="D2774">
            <v>0.89</v>
          </cell>
        </row>
        <row r="2775">
          <cell r="A2775">
            <v>85559</v>
          </cell>
          <cell r="B2775" t="str">
            <v>BUJAO F0G0 C/ REBORDO DN 3/4" (20MM)</v>
          </cell>
          <cell r="C2775" t="str">
            <v>UN</v>
          </cell>
          <cell r="D2775">
            <v>1.1499999999999999</v>
          </cell>
        </row>
        <row r="2776">
          <cell r="A2776">
            <v>85560</v>
          </cell>
          <cell r="B2776" t="str">
            <v>BUJAO F0G0 C/ REBORDO DN 1" (25MM)</v>
          </cell>
          <cell r="C2776" t="str">
            <v>UN</v>
          </cell>
          <cell r="D2776">
            <v>1.65</v>
          </cell>
        </row>
        <row r="2777">
          <cell r="A2777">
            <v>85561</v>
          </cell>
          <cell r="B2777" t="str">
            <v>BUJAO F0G0 C/ REBORDO DN 1 1/4" (32MM)</v>
          </cell>
          <cell r="C2777" t="str">
            <v>UN</v>
          </cell>
          <cell r="D2777">
            <v>2.12</v>
          </cell>
        </row>
        <row r="2778">
          <cell r="A2778">
            <v>85562</v>
          </cell>
          <cell r="B2778" t="str">
            <v>BUJAO F0G0 C/ REBORDO DN 1 1/2" (40MM)</v>
          </cell>
          <cell r="C2778" t="str">
            <v>UN</v>
          </cell>
          <cell r="D2778">
            <v>2.83</v>
          </cell>
        </row>
        <row r="2779">
          <cell r="A2779">
            <v>85563</v>
          </cell>
          <cell r="B2779" t="str">
            <v>BUJAO F0G0 C/ REBORDO DN 2" (50MM)</v>
          </cell>
          <cell r="C2779" t="str">
            <v>UN</v>
          </cell>
          <cell r="D2779">
            <v>3.81</v>
          </cell>
        </row>
        <row r="2780">
          <cell r="A2780">
            <v>85564</v>
          </cell>
          <cell r="B2780" t="str">
            <v>BUJAO F0G0 C/ REBORDO DN 2 1/2" (65MM)</v>
          </cell>
          <cell r="C2780" t="str">
            <v>UN</v>
          </cell>
          <cell r="D2780">
            <v>7.87</v>
          </cell>
        </row>
        <row r="2781">
          <cell r="A2781">
            <v>85565</v>
          </cell>
          <cell r="B2781" t="str">
            <v>BUJAO F0G0 C/ REBORDO DN 3" (80MM)</v>
          </cell>
          <cell r="C2781" t="str">
            <v>UN</v>
          </cell>
          <cell r="D2781">
            <v>9.73</v>
          </cell>
        </row>
        <row r="2782">
          <cell r="A2782">
            <v>85571</v>
          </cell>
          <cell r="B2782" t="str">
            <v>TAMPAO F0G0 C/ SEXTAVADO DN 1/4" (8MM)</v>
          </cell>
          <cell r="C2782" t="str">
            <v>UN</v>
          </cell>
          <cell r="D2782">
            <v>0.88</v>
          </cell>
        </row>
        <row r="2783">
          <cell r="A2783">
            <v>85572</v>
          </cell>
          <cell r="B2783" t="str">
            <v>TAMPAO F0G0 C/ SEXTAVADO DN 3/8" (10MM)</v>
          </cell>
          <cell r="C2783" t="str">
            <v>UN</v>
          </cell>
          <cell r="D2783">
            <v>0.88</v>
          </cell>
        </row>
        <row r="2784">
          <cell r="A2784">
            <v>85573</v>
          </cell>
          <cell r="B2784" t="str">
            <v>TAMPAO F0G0 C/ SEXTAVADO DN 1/2" (15MM)</v>
          </cell>
          <cell r="C2784" t="str">
            <v>UN</v>
          </cell>
          <cell r="D2784">
            <v>1.04</v>
          </cell>
        </row>
        <row r="2785">
          <cell r="A2785">
            <v>85574</v>
          </cell>
          <cell r="B2785" t="str">
            <v>TAMPAO F0G0 C/ SEXTAVADO DN 3/4" (20MM)</v>
          </cell>
          <cell r="C2785" t="str">
            <v>UN</v>
          </cell>
          <cell r="D2785">
            <v>1.32</v>
          </cell>
        </row>
        <row r="2786">
          <cell r="A2786">
            <v>85575</v>
          </cell>
          <cell r="B2786" t="str">
            <v>TAMPAO F0G0 C/ SEXTAVADO DN 1" (25MM)</v>
          </cell>
          <cell r="C2786" t="str">
            <v>UN</v>
          </cell>
          <cell r="D2786">
            <v>1.57</v>
          </cell>
        </row>
        <row r="2787">
          <cell r="A2787">
            <v>85581</v>
          </cell>
          <cell r="B2787" t="str">
            <v>TAMPAO F0G0 DN 1/4" (8MM)</v>
          </cell>
          <cell r="C2787" t="str">
            <v>UN</v>
          </cell>
          <cell r="D2787">
            <v>0.69</v>
          </cell>
        </row>
        <row r="2788">
          <cell r="A2788">
            <v>85582</v>
          </cell>
          <cell r="B2788" t="str">
            <v>TAMPAO F0G0 DN 3/8" (10MM)</v>
          </cell>
          <cell r="C2788" t="str">
            <v>UN</v>
          </cell>
          <cell r="D2788">
            <v>0.69</v>
          </cell>
        </row>
        <row r="2789">
          <cell r="A2789">
            <v>85583</v>
          </cell>
          <cell r="B2789" t="str">
            <v>TAMPAO F0G0 DN 1/2" (15MM)</v>
          </cell>
          <cell r="C2789" t="str">
            <v>UN</v>
          </cell>
          <cell r="D2789">
            <v>0.69</v>
          </cell>
        </row>
        <row r="2790">
          <cell r="A2790">
            <v>85584</v>
          </cell>
          <cell r="B2790" t="str">
            <v>TAMPAO F0G0 DN 3/4" (20MM)</v>
          </cell>
          <cell r="C2790" t="str">
            <v>UN</v>
          </cell>
          <cell r="D2790">
            <v>1.1499999999999999</v>
          </cell>
        </row>
        <row r="2791">
          <cell r="A2791">
            <v>85585</v>
          </cell>
          <cell r="B2791" t="str">
            <v>TAMPAO F0G0 DN 1" (25MM)</v>
          </cell>
          <cell r="C2791" t="str">
            <v>UN</v>
          </cell>
          <cell r="D2791">
            <v>1.48</v>
          </cell>
        </row>
        <row r="2792">
          <cell r="A2792">
            <v>85586</v>
          </cell>
          <cell r="B2792" t="str">
            <v>TAMPAO F0G0 DN 1 1/4" (32MM)</v>
          </cell>
          <cell r="C2792" t="str">
            <v>UN</v>
          </cell>
          <cell r="D2792">
            <v>2.23</v>
          </cell>
        </row>
        <row r="2793">
          <cell r="A2793">
            <v>85587</v>
          </cell>
          <cell r="B2793" t="str">
            <v>TAMPAO F0G0 DN 1 1/2" (40MM)</v>
          </cell>
          <cell r="C2793" t="str">
            <v>UN</v>
          </cell>
          <cell r="D2793">
            <v>2.8</v>
          </cell>
        </row>
        <row r="2794">
          <cell r="A2794">
            <v>85588</v>
          </cell>
          <cell r="B2794" t="str">
            <v>TAMPAO F0G0 DN 2" (50MM)</v>
          </cell>
          <cell r="C2794" t="str">
            <v>UN</v>
          </cell>
          <cell r="D2794">
            <v>3.88</v>
          </cell>
        </row>
        <row r="2795">
          <cell r="A2795">
            <v>85589</v>
          </cell>
          <cell r="B2795" t="str">
            <v>TAMPAO F0G0 DN 2 1/2" (65MM)</v>
          </cell>
          <cell r="C2795" t="str">
            <v>UN</v>
          </cell>
          <cell r="D2795">
            <v>6.56</v>
          </cell>
        </row>
        <row r="2796">
          <cell r="A2796">
            <v>85590</v>
          </cell>
          <cell r="B2796" t="str">
            <v>TAMPAO F0G0 DN 3" (80MM)</v>
          </cell>
          <cell r="C2796" t="str">
            <v>UN</v>
          </cell>
          <cell r="D2796">
            <v>10.94</v>
          </cell>
        </row>
        <row r="2797">
          <cell r="A2797">
            <v>85591</v>
          </cell>
          <cell r="B2797" t="str">
            <v>TAMPAO F0G0 DN 4" (100MM)</v>
          </cell>
          <cell r="C2797" t="str">
            <v>UN</v>
          </cell>
          <cell r="D2797">
            <v>17.11</v>
          </cell>
        </row>
        <row r="2798">
          <cell r="A2798">
            <v>85597</v>
          </cell>
          <cell r="B2798" t="str">
            <v>CONTRAPORCA F0G0 DN 1/4" (8MM)</v>
          </cell>
          <cell r="C2798" t="str">
            <v>UN</v>
          </cell>
          <cell r="D2798">
            <v>0.6</v>
          </cell>
        </row>
        <row r="2799">
          <cell r="A2799">
            <v>85598</v>
          </cell>
          <cell r="B2799" t="str">
            <v>CONTRAPORCA F0G0 DN 3/8" (10MM)</v>
          </cell>
          <cell r="C2799" t="str">
            <v>UN</v>
          </cell>
          <cell r="D2799">
            <v>0.6</v>
          </cell>
        </row>
        <row r="2800">
          <cell r="A2800">
            <v>85599</v>
          </cell>
          <cell r="B2800" t="str">
            <v>CONTAPORCA F0G0 DN 1/2" (15MM)</v>
          </cell>
          <cell r="C2800" t="str">
            <v>UN</v>
          </cell>
          <cell r="D2800">
            <v>0.47</v>
          </cell>
        </row>
        <row r="2801">
          <cell r="A2801">
            <v>85601</v>
          </cell>
          <cell r="B2801" t="str">
            <v>CONTRAPORCA F0G0 DN 3/4" (20MM)</v>
          </cell>
          <cell r="C2801" t="str">
            <v>UN</v>
          </cell>
          <cell r="D2801">
            <v>0.6</v>
          </cell>
        </row>
        <row r="2802">
          <cell r="A2802">
            <v>85602</v>
          </cell>
          <cell r="B2802" t="str">
            <v>CONTRAPORCA F0G0 DN 1" (25MM)</v>
          </cell>
          <cell r="C2802" t="str">
            <v>UN</v>
          </cell>
          <cell r="D2802">
            <v>0.89</v>
          </cell>
        </row>
        <row r="2803">
          <cell r="A2803">
            <v>85603</v>
          </cell>
          <cell r="B2803" t="str">
            <v>CONTRAPORCA F0G0 DN 1 1/4" (32MM)</v>
          </cell>
          <cell r="C2803" t="str">
            <v>UN</v>
          </cell>
          <cell r="D2803">
            <v>1.47</v>
          </cell>
        </row>
        <row r="2804">
          <cell r="A2804">
            <v>85604</v>
          </cell>
          <cell r="B2804" t="str">
            <v>CONTRAPORCA F0G0 DN 1 1/2" (40MM)</v>
          </cell>
          <cell r="C2804" t="str">
            <v>UN</v>
          </cell>
          <cell r="D2804">
            <v>1.54</v>
          </cell>
        </row>
        <row r="2805">
          <cell r="A2805">
            <v>85605</v>
          </cell>
          <cell r="B2805" t="str">
            <v>CONTRAPORCA F0G0 DN 2" (50MM)</v>
          </cell>
          <cell r="C2805" t="str">
            <v>UN</v>
          </cell>
          <cell r="D2805">
            <v>2.41</v>
          </cell>
        </row>
        <row r="2806">
          <cell r="A2806">
            <v>85606</v>
          </cell>
          <cell r="B2806" t="str">
            <v>CONTRAPORCA F0G0 DN 2 1/2" (65MM)</v>
          </cell>
          <cell r="C2806" t="str">
            <v>UN</v>
          </cell>
          <cell r="D2806">
            <v>3.93</v>
          </cell>
        </row>
        <row r="2807">
          <cell r="A2807">
            <v>85607</v>
          </cell>
          <cell r="B2807" t="str">
            <v>CONTRAPORCA F0G0 DN 3" (80MM)</v>
          </cell>
          <cell r="C2807" t="str">
            <v>UN</v>
          </cell>
          <cell r="D2807">
            <v>5.9</v>
          </cell>
        </row>
        <row r="2808">
          <cell r="A2808">
            <v>85613</v>
          </cell>
          <cell r="B2808" t="str">
            <v>FLANGE F0G0 C/ SEXTAVADO DN 1/4" (8MM)</v>
          </cell>
          <cell r="C2808" t="str">
            <v>UN</v>
          </cell>
          <cell r="D2808">
            <v>2.17</v>
          </cell>
        </row>
        <row r="2809">
          <cell r="A2809">
            <v>85614</v>
          </cell>
          <cell r="B2809" t="str">
            <v>FLANGE F0G0 C/ SEXTAVADO DN 3/8" (10MM)</v>
          </cell>
          <cell r="C2809" t="str">
            <v>UN</v>
          </cell>
          <cell r="D2809">
            <v>2.17</v>
          </cell>
        </row>
        <row r="2810">
          <cell r="A2810">
            <v>85615</v>
          </cell>
          <cell r="B2810" t="str">
            <v>FLANGE F0G0 C/ SEXTAVADO DN 1/2" (15MM)</v>
          </cell>
          <cell r="C2810" t="str">
            <v>UN</v>
          </cell>
          <cell r="D2810">
            <v>2.17</v>
          </cell>
        </row>
        <row r="2811">
          <cell r="A2811">
            <v>85616</v>
          </cell>
          <cell r="B2811" t="str">
            <v>FLANGE F0G0 C/ SEXTAVADO DN 3/4" (20MM)</v>
          </cell>
          <cell r="C2811" t="str">
            <v>UN</v>
          </cell>
          <cell r="D2811">
            <v>3.11</v>
          </cell>
        </row>
        <row r="2812">
          <cell r="A2812">
            <v>85617</v>
          </cell>
          <cell r="B2812" t="str">
            <v>FLANGE F0G0 C/ SEXTAVADO DN 1" (25MM)</v>
          </cell>
          <cell r="C2812" t="str">
            <v>UN</v>
          </cell>
          <cell r="D2812">
            <v>3.48</v>
          </cell>
        </row>
        <row r="2813">
          <cell r="A2813">
            <v>85618</v>
          </cell>
          <cell r="B2813" t="str">
            <v>FLANGE F0G0 C/ SEXTAVADO DN 1 1/4" (32MM)</v>
          </cell>
          <cell r="C2813" t="str">
            <v>UN</v>
          </cell>
          <cell r="D2813">
            <v>4.38</v>
          </cell>
        </row>
        <row r="2814">
          <cell r="A2814">
            <v>85619</v>
          </cell>
          <cell r="B2814" t="str">
            <v>FLANGE F0G0 C/ SEXTAVADO DN 1 1/2" (40MM)</v>
          </cell>
          <cell r="C2814" t="str">
            <v>UN</v>
          </cell>
          <cell r="D2814">
            <v>5.48</v>
          </cell>
        </row>
        <row r="2815">
          <cell r="A2815">
            <v>85620</v>
          </cell>
          <cell r="B2815" t="str">
            <v>FLANGE F0G0 C/ SEXTAVADO DN 2" (50MM)</v>
          </cell>
          <cell r="C2815" t="str">
            <v>UN</v>
          </cell>
          <cell r="D2815">
            <v>7.09</v>
          </cell>
        </row>
        <row r="2816">
          <cell r="A2816">
            <v>85621</v>
          </cell>
          <cell r="B2816" t="str">
            <v>FLANGE F0G0 C/ SEXTAVADO DN 2 1/2" (65MM)</v>
          </cell>
          <cell r="C2816" t="str">
            <v>UN</v>
          </cell>
          <cell r="D2816">
            <v>12.18</v>
          </cell>
        </row>
        <row r="2817">
          <cell r="A2817">
            <v>85622</v>
          </cell>
          <cell r="B2817" t="str">
            <v>FLANGE F0G0 C/ SEXTAVADO DN 3" (80MM)</v>
          </cell>
          <cell r="C2817" t="str">
            <v>UN</v>
          </cell>
          <cell r="D2817">
            <v>15.68</v>
          </cell>
        </row>
        <row r="2818">
          <cell r="A2818">
            <v>85623</v>
          </cell>
          <cell r="B2818" t="str">
            <v>FLANGE F0G0 C/ SEXTAVADO DN 4" (100MM)</v>
          </cell>
          <cell r="C2818" t="str">
            <v>UN</v>
          </cell>
          <cell r="D2818">
            <v>21.86</v>
          </cell>
        </row>
        <row r="2819">
          <cell r="A2819">
            <v>85624</v>
          </cell>
          <cell r="B2819" t="str">
            <v>FLANGE F0G0 C/ SEXTAVADO DN 5" (125MM)</v>
          </cell>
          <cell r="C2819" t="str">
            <v>UN</v>
          </cell>
          <cell r="D2819">
            <v>32.520000000000003</v>
          </cell>
        </row>
        <row r="2820">
          <cell r="A2820">
            <v>85625</v>
          </cell>
          <cell r="B2820" t="str">
            <v>FLANGE F0G0 C/ SEXTAVADO DN 6" (150MM)</v>
          </cell>
          <cell r="C2820" t="str">
            <v>UN</v>
          </cell>
          <cell r="D2820">
            <v>45.68</v>
          </cell>
        </row>
        <row r="2821">
          <cell r="A2821">
            <v>85631</v>
          </cell>
          <cell r="B2821" t="str">
            <v>UNIAO F0G0 C/AS.PLANO J.NITRIPACK DN 1/4" (8MM)</v>
          </cell>
          <cell r="C2821" t="str">
            <v>UN</v>
          </cell>
          <cell r="D2821">
            <v>3.46</v>
          </cell>
        </row>
        <row r="2822">
          <cell r="A2822">
            <v>85632</v>
          </cell>
          <cell r="B2822" t="str">
            <v>UNIAO F0G0 C/AS.PLANO J.NITRIPACK DN 3/8" (10MM)</v>
          </cell>
          <cell r="C2822" t="str">
            <v>UN</v>
          </cell>
          <cell r="D2822">
            <v>3.46</v>
          </cell>
        </row>
        <row r="2823">
          <cell r="A2823">
            <v>85633</v>
          </cell>
          <cell r="B2823" t="str">
            <v>UNIAO F0G0 C/AS.PLANO J.NITRIPACK DN 1/2" (15MM)</v>
          </cell>
          <cell r="C2823" t="str">
            <v>UN</v>
          </cell>
          <cell r="D2823">
            <v>3.46</v>
          </cell>
        </row>
        <row r="2824">
          <cell r="A2824">
            <v>85634</v>
          </cell>
          <cell r="B2824" t="str">
            <v>UNIAO F0G0 C/AS. PLANO J.NITRIPACK DN 3/4" (20MM)</v>
          </cell>
          <cell r="C2824" t="str">
            <v>UN</v>
          </cell>
          <cell r="D2824">
            <v>4.29</v>
          </cell>
        </row>
        <row r="2825">
          <cell r="A2825">
            <v>85635</v>
          </cell>
          <cell r="B2825" t="str">
            <v>UNIAO F0G0 C/AS.PLANO J.NITRIPACK DN 1" (25MM)</v>
          </cell>
          <cell r="C2825" t="str">
            <v>UN</v>
          </cell>
          <cell r="D2825">
            <v>5.16</v>
          </cell>
        </row>
        <row r="2826">
          <cell r="A2826">
            <v>85636</v>
          </cell>
          <cell r="B2826" t="str">
            <v>UNIAO F0G0 AS.PLANO J.NITRIPACK DN 1 1/4" (32MM)</v>
          </cell>
          <cell r="C2826" t="str">
            <v>UN</v>
          </cell>
          <cell r="D2826">
            <v>6.89</v>
          </cell>
        </row>
        <row r="2827">
          <cell r="A2827">
            <v>85637</v>
          </cell>
          <cell r="B2827" t="str">
            <v>UNIAO F0G0 AS.PLANO J.NITRIPACK DN 1 1/2" (40MM)</v>
          </cell>
          <cell r="C2827" t="str">
            <v>UN</v>
          </cell>
          <cell r="D2827">
            <v>9.17</v>
          </cell>
        </row>
        <row r="2828">
          <cell r="A2828">
            <v>85638</v>
          </cell>
          <cell r="B2828" t="str">
            <v>UNIAO F0G0 C/AS. PLANO J. NITRIPACK DN 2" (50MM)</v>
          </cell>
          <cell r="C2828" t="str">
            <v>UN</v>
          </cell>
          <cell r="D2828">
            <v>12.92</v>
          </cell>
        </row>
        <row r="2829">
          <cell r="A2829">
            <v>85639</v>
          </cell>
          <cell r="B2829" t="str">
            <v>UNIAO F0G0 AS.PLANO J.NITRIPACK DN 2 1/2" (65MM)</v>
          </cell>
          <cell r="C2829" t="str">
            <v>UN</v>
          </cell>
          <cell r="D2829">
            <v>22.93</v>
          </cell>
        </row>
        <row r="2830">
          <cell r="A2830">
            <v>85640</v>
          </cell>
          <cell r="B2830" t="str">
            <v>UNIAO F0G0 C/AS. PLANO J. NITRIPACK DN 3" (80MM)</v>
          </cell>
          <cell r="C2830" t="str">
            <v>UN</v>
          </cell>
          <cell r="D2830">
            <v>37.299999999999997</v>
          </cell>
        </row>
        <row r="2831">
          <cell r="A2831">
            <v>85641</v>
          </cell>
          <cell r="B2831" t="str">
            <v>UNIAO F0G0 C/AS. PLANO J. NITRIPACK DN 4" (100MM)</v>
          </cell>
          <cell r="C2831" t="str">
            <v>UN</v>
          </cell>
          <cell r="D2831">
            <v>66.510000000000005</v>
          </cell>
        </row>
        <row r="2832">
          <cell r="A2832">
            <v>85646</v>
          </cell>
          <cell r="B2832" t="str">
            <v>UNIAO F0G0 C/AS. CONICO DE FERRO DN 1/4" (8MM)</v>
          </cell>
          <cell r="C2832" t="str">
            <v>UN</v>
          </cell>
          <cell r="D2832">
            <v>4.1399999999999997</v>
          </cell>
        </row>
        <row r="2833">
          <cell r="A2833">
            <v>85647</v>
          </cell>
          <cell r="B2833" t="str">
            <v>UNIAO F0G0 C/AS. CONICO DE FERRO DN 3/8" (10MM)</v>
          </cell>
          <cell r="C2833" t="str">
            <v>UN</v>
          </cell>
          <cell r="D2833">
            <v>4.1399999999999997</v>
          </cell>
        </row>
        <row r="2834">
          <cell r="A2834">
            <v>85648</v>
          </cell>
          <cell r="B2834" t="str">
            <v>UNIAO F0G0 C/ AS. CONICO DE FERRO DN 1/2" (15MM)</v>
          </cell>
          <cell r="C2834" t="str">
            <v>UN</v>
          </cell>
          <cell r="D2834">
            <v>4.1399999999999997</v>
          </cell>
        </row>
        <row r="2835">
          <cell r="A2835">
            <v>85649</v>
          </cell>
          <cell r="B2835" t="str">
            <v>UNIAO F0G0 C/ AS. CONICO DE FERRO DN 3/4" (20MM)</v>
          </cell>
          <cell r="C2835" t="str">
            <v>UN</v>
          </cell>
          <cell r="D2835">
            <v>5.16</v>
          </cell>
        </row>
        <row r="2836">
          <cell r="A2836">
            <v>85650</v>
          </cell>
          <cell r="B2836" t="str">
            <v>UNIAO F0G0 C/ASSENTO CONICO DE FERRO DN 1" (25MM)</v>
          </cell>
          <cell r="C2836" t="str">
            <v>UN</v>
          </cell>
          <cell r="D2836">
            <v>6.19</v>
          </cell>
        </row>
        <row r="2837">
          <cell r="A2837">
            <v>85651</v>
          </cell>
          <cell r="B2837" t="str">
            <v>UNIAO F0G0 C/AS.CONICO DE FERRO DN 1 1/4" (32MM)</v>
          </cell>
          <cell r="C2837" t="str">
            <v>UN</v>
          </cell>
          <cell r="D2837">
            <v>8.27</v>
          </cell>
        </row>
        <row r="2838">
          <cell r="A2838">
            <v>85652</v>
          </cell>
          <cell r="B2838" t="str">
            <v>UNIAO F0G0 C/AS.CONICO DE FERRO DN 1 1/2" (40MM)</v>
          </cell>
          <cell r="C2838" t="str">
            <v>UN</v>
          </cell>
          <cell r="D2838">
            <v>11.03</v>
          </cell>
        </row>
        <row r="2839">
          <cell r="A2839">
            <v>85653</v>
          </cell>
          <cell r="B2839" t="str">
            <v>UNIAO F0G0 C/ASSENTO CONICO DE FERRO DN 2" (50MM)</v>
          </cell>
          <cell r="C2839" t="str">
            <v>UN</v>
          </cell>
          <cell r="D2839">
            <v>15.51</v>
          </cell>
        </row>
        <row r="2840">
          <cell r="A2840">
            <v>85654</v>
          </cell>
          <cell r="B2840" t="str">
            <v>UNIAO F0G0 C/AS.CONICO DE FERRO DN 2 1/2" (65MM)</v>
          </cell>
          <cell r="C2840" t="str">
            <v>UN</v>
          </cell>
          <cell r="D2840">
            <v>27.52</v>
          </cell>
        </row>
        <row r="2841">
          <cell r="A2841">
            <v>85655</v>
          </cell>
          <cell r="B2841" t="str">
            <v>UNIAO F0G0 C/ASSENTO CONICO DE FERRO DN 3" (80MM)</v>
          </cell>
          <cell r="C2841" t="str">
            <v>UN</v>
          </cell>
          <cell r="D2841">
            <v>44.76</v>
          </cell>
        </row>
        <row r="2842">
          <cell r="A2842">
            <v>85656</v>
          </cell>
          <cell r="B2842" t="str">
            <v>UNIAO F0G0 C/AS. CONICO DE FERRO DN 4" (100MM)</v>
          </cell>
          <cell r="C2842" t="str">
            <v>UN</v>
          </cell>
          <cell r="D2842">
            <v>86.2</v>
          </cell>
        </row>
        <row r="2843">
          <cell r="A2843">
            <v>85662</v>
          </cell>
          <cell r="B2843" t="str">
            <v>UNIAO F0G0 AS.CON.FERRO MACHO-FEMEA DN 1/4" (8MM)</v>
          </cell>
          <cell r="C2843" t="str">
            <v>UN</v>
          </cell>
          <cell r="D2843">
            <v>6.47</v>
          </cell>
        </row>
        <row r="2844">
          <cell r="A2844">
            <v>85663</v>
          </cell>
          <cell r="B2844" t="str">
            <v>UNIAO F0G0 AS.CON.FERRO MACHO-FEM. DN 3/8" (10MM)</v>
          </cell>
          <cell r="C2844" t="str">
            <v>UN</v>
          </cell>
          <cell r="D2844">
            <v>6.47</v>
          </cell>
        </row>
        <row r="2845">
          <cell r="A2845">
            <v>85664</v>
          </cell>
          <cell r="B2845" t="str">
            <v>UNIAO FOGO AS.CON.FERRO MACHO-FEM. DN 1/2" (15MM)</v>
          </cell>
          <cell r="C2845" t="str">
            <v>UN</v>
          </cell>
          <cell r="D2845">
            <v>6.47</v>
          </cell>
        </row>
        <row r="2846">
          <cell r="A2846">
            <v>85665</v>
          </cell>
          <cell r="B2846" t="str">
            <v>UNIAO F0G0 AS.CON.FERRO MACHO-FEM. DN 3/4" (20MM)</v>
          </cell>
          <cell r="C2846" t="str">
            <v>UN</v>
          </cell>
          <cell r="D2846">
            <v>7.45</v>
          </cell>
        </row>
        <row r="2847">
          <cell r="A2847">
            <v>85666</v>
          </cell>
          <cell r="B2847" t="str">
            <v>UNIAO F0G0 AS.CON.FERRO MACHO-FEMEA DN 1" (25MM)</v>
          </cell>
          <cell r="C2847" t="str">
            <v>UN</v>
          </cell>
          <cell r="D2847">
            <v>9.7200000000000006</v>
          </cell>
        </row>
        <row r="2848">
          <cell r="A2848">
            <v>85667</v>
          </cell>
          <cell r="B2848" t="str">
            <v>UNIAO F0G0 AS.CON.FERRO MAC.-FEM.DN 1 1/4" (32MM)</v>
          </cell>
          <cell r="C2848" t="str">
            <v>UN</v>
          </cell>
          <cell r="D2848">
            <v>13.28</v>
          </cell>
        </row>
        <row r="2849">
          <cell r="A2849">
            <v>85668</v>
          </cell>
          <cell r="B2849" t="str">
            <v>UNIAO F0G0 AS.CON.FERRO MAC.-FEM.DN 1 1/2" (40MM)</v>
          </cell>
          <cell r="C2849" t="str">
            <v>UN</v>
          </cell>
          <cell r="D2849">
            <v>16.190000000000001</v>
          </cell>
        </row>
        <row r="2850">
          <cell r="A2850">
            <v>85669</v>
          </cell>
          <cell r="B2850" t="str">
            <v>UNIAO F0G0 AS.CON.FERRO MACHO-FEMEA DN 2" (50MM)</v>
          </cell>
          <cell r="C2850" t="str">
            <v>UN</v>
          </cell>
          <cell r="D2850">
            <v>24.27</v>
          </cell>
        </row>
        <row r="2851">
          <cell r="A2851">
            <v>85670</v>
          </cell>
          <cell r="B2851" t="str">
            <v>UNIAO F0G0 AS.CON.FERRO MAC.-FEM.DN 2 1/2" (65MM)</v>
          </cell>
          <cell r="C2851" t="str">
            <v>UN</v>
          </cell>
          <cell r="D2851">
            <v>36</v>
          </cell>
        </row>
        <row r="2852">
          <cell r="A2852">
            <v>85671</v>
          </cell>
          <cell r="B2852" t="str">
            <v>UNIAO F0G0 AS.CON.FERRO MACHO-FEMEA DN 3" (80MM)</v>
          </cell>
          <cell r="C2852" t="str">
            <v>UN</v>
          </cell>
          <cell r="D2852">
            <v>49.35</v>
          </cell>
        </row>
        <row r="2853">
          <cell r="A2853">
            <v>85672</v>
          </cell>
          <cell r="B2853" t="str">
            <v>UNIAO F0G0 AS.CON.FERRO MACHO-FEMEA DN 4" (100MM)</v>
          </cell>
          <cell r="C2853" t="str">
            <v>UN</v>
          </cell>
          <cell r="D2853">
            <v>101.52</v>
          </cell>
        </row>
        <row r="2854">
          <cell r="A2854">
            <v>85678</v>
          </cell>
          <cell r="B2854" t="str">
            <v>UNIAO F0G0 C/AS.CONICO BRONZE/FERRO DN 1/4" (8MM)</v>
          </cell>
          <cell r="C2854" t="str">
            <v>UN</v>
          </cell>
          <cell r="D2854">
            <v>6.62</v>
          </cell>
        </row>
        <row r="2855">
          <cell r="A2855">
            <v>85679</v>
          </cell>
          <cell r="B2855" t="str">
            <v>UNIAO F0G0 C/AS. CON. BRONZE/FERRO DN 3/8" (10MM)</v>
          </cell>
          <cell r="C2855" t="str">
            <v>UN</v>
          </cell>
          <cell r="D2855">
            <v>6.62</v>
          </cell>
        </row>
        <row r="2856">
          <cell r="A2856">
            <v>85680</v>
          </cell>
          <cell r="B2856" t="str">
            <v>UNIAO F0G0 C/AS. CON. BRONZE/FERRO DN 1/2" (15MM)</v>
          </cell>
          <cell r="C2856" t="str">
            <v>UN</v>
          </cell>
          <cell r="D2856">
            <v>6.62</v>
          </cell>
        </row>
        <row r="2857">
          <cell r="A2857">
            <v>85681</v>
          </cell>
          <cell r="B2857" t="str">
            <v>UNIAO F0G0 C/AS. CON. BRONZE/FERRO DN 3/4" (20MM)</v>
          </cell>
          <cell r="C2857" t="str">
            <v>UN</v>
          </cell>
          <cell r="D2857">
            <v>7.47</v>
          </cell>
        </row>
        <row r="2858">
          <cell r="A2858">
            <v>85682</v>
          </cell>
          <cell r="B2858" t="str">
            <v>UNIAO F0G0 C/ AS. CON. BRONZE/FERRO DN 1" (25MM)</v>
          </cell>
          <cell r="C2858" t="str">
            <v>UN</v>
          </cell>
          <cell r="D2858">
            <v>9.8000000000000007</v>
          </cell>
        </row>
        <row r="2859">
          <cell r="A2859">
            <v>85683</v>
          </cell>
          <cell r="B2859" t="str">
            <v>UNIAO F0G0 C/AS.CON.BRONZE/FERRO DN 1 1/4" (32MM)</v>
          </cell>
          <cell r="C2859" t="str">
            <v>UN</v>
          </cell>
          <cell r="D2859">
            <v>13.56</v>
          </cell>
        </row>
        <row r="2860">
          <cell r="A2860">
            <v>85684</v>
          </cell>
          <cell r="B2860" t="str">
            <v>UNIAO F0G0 C/AS.CON.BRONZE/FERRO DN 1 1/2" (40MM)</v>
          </cell>
          <cell r="C2860" t="str">
            <v>UN</v>
          </cell>
          <cell r="D2860">
            <v>16.420000000000002</v>
          </cell>
        </row>
        <row r="2861">
          <cell r="A2861">
            <v>85685</v>
          </cell>
          <cell r="B2861" t="str">
            <v>UNIAO F0G0 C/AS. CON. BRONZE/FERRO DN 2" (50MM)</v>
          </cell>
          <cell r="C2861" t="str">
            <v>UN</v>
          </cell>
          <cell r="D2861">
            <v>25.29</v>
          </cell>
        </row>
        <row r="2862">
          <cell r="A2862">
            <v>85686</v>
          </cell>
          <cell r="B2862" t="str">
            <v>UNIAO F0G0 C/AS.CON.BRONZE/FERRO DN 2 1/2" (65MM)</v>
          </cell>
          <cell r="C2862" t="str">
            <v>UN</v>
          </cell>
          <cell r="D2862">
            <v>42.71</v>
          </cell>
        </row>
        <row r="2863">
          <cell r="A2863">
            <v>85687</v>
          </cell>
          <cell r="B2863" t="str">
            <v>UNIAO F0G0 C/AS. CON. BRONZE/FERRO DN 3" (80MM)</v>
          </cell>
          <cell r="C2863" t="str">
            <v>UN</v>
          </cell>
          <cell r="D2863">
            <v>69.5</v>
          </cell>
        </row>
        <row r="2864">
          <cell r="A2864">
            <v>85688</v>
          </cell>
          <cell r="B2864" t="str">
            <v>UNIAO F0G0 C/AS. CON. BRONZE/FERRO DN 4" (100MM)</v>
          </cell>
          <cell r="C2864" t="str">
            <v>UN</v>
          </cell>
          <cell r="D2864">
            <v>146.5</v>
          </cell>
        </row>
        <row r="2865">
          <cell r="A2865">
            <v>85694</v>
          </cell>
          <cell r="B2865" t="str">
            <v>UNIAO F0G0 AS.PL.M.-F.J.NITRIPACK DN 3/8" (10MM)</v>
          </cell>
          <cell r="C2865" t="str">
            <v>UN</v>
          </cell>
          <cell r="D2865">
            <v>3.8</v>
          </cell>
        </row>
        <row r="2866">
          <cell r="A2866">
            <v>85695</v>
          </cell>
          <cell r="B2866" t="str">
            <v>UNIAO F0G0 AS.PL.M.-F.J.NITRIPACK DN 1/2" (15MM)</v>
          </cell>
          <cell r="C2866" t="str">
            <v>UN</v>
          </cell>
          <cell r="D2866">
            <v>3.8</v>
          </cell>
        </row>
        <row r="2867">
          <cell r="A2867">
            <v>85696</v>
          </cell>
          <cell r="B2867" t="str">
            <v>UNIAO F0G0 AS.PL.M.-F.J.NITRIPACK DN 3/4" (20MM)</v>
          </cell>
          <cell r="C2867" t="str">
            <v>UN</v>
          </cell>
          <cell r="D2867">
            <v>4.71</v>
          </cell>
        </row>
        <row r="2868">
          <cell r="A2868">
            <v>85697</v>
          </cell>
          <cell r="B2868" t="str">
            <v>UNIAO F0G0 AS.PL.M.-F.J.NITRIPACK DN 1" (25MM)</v>
          </cell>
          <cell r="C2868" t="str">
            <v>UN</v>
          </cell>
          <cell r="D2868">
            <v>5.67</v>
          </cell>
        </row>
        <row r="2869">
          <cell r="A2869">
            <v>85698</v>
          </cell>
          <cell r="B2869" t="str">
            <v>UNIAO F0G0 AS.PL.M.-F.J.NITRIPACK DN 1 1/4" (32MM)</v>
          </cell>
          <cell r="C2869" t="str">
            <v>UN</v>
          </cell>
          <cell r="D2869">
            <v>7.57</v>
          </cell>
        </row>
        <row r="2870">
          <cell r="A2870">
            <v>85699</v>
          </cell>
          <cell r="B2870" t="str">
            <v>UNIAO F0G0 AS.PL.M.-F.J.NITRIPACK DN 1 1/2" (40MM)</v>
          </cell>
          <cell r="C2870" t="str">
            <v>UN</v>
          </cell>
          <cell r="D2870">
            <v>10.1</v>
          </cell>
        </row>
        <row r="2871">
          <cell r="A2871">
            <v>85701</v>
          </cell>
          <cell r="B2871" t="str">
            <v>UNIAO F0G0 AS.PL.M.-F.J.NITRIPACK DN 2" (50MM)</v>
          </cell>
          <cell r="C2871" t="str">
            <v>UN</v>
          </cell>
          <cell r="D2871">
            <v>14.21</v>
          </cell>
        </row>
        <row r="2872">
          <cell r="A2872">
            <v>85707</v>
          </cell>
          <cell r="B2872" t="str">
            <v>UNIAO F0G0 C/AS.CON. BRONZE/BRONZE DN 1/2" (15MM)</v>
          </cell>
          <cell r="C2872" t="str">
            <v>UN</v>
          </cell>
          <cell r="D2872">
            <v>7.28</v>
          </cell>
        </row>
        <row r="2873">
          <cell r="A2873">
            <v>85708</v>
          </cell>
          <cell r="B2873" t="str">
            <v>UNIAO F0G0 C/AS.CON. BRONZE/BRONZE DN 3/4" (20MM)</v>
          </cell>
          <cell r="C2873" t="str">
            <v>UN</v>
          </cell>
          <cell r="D2873">
            <v>8.23</v>
          </cell>
        </row>
        <row r="2874">
          <cell r="A2874">
            <v>85709</v>
          </cell>
          <cell r="B2874" t="str">
            <v>UNIAO F0G0 C/AS. CON. BRONZE/BRONZE DN 1" (25MM)</v>
          </cell>
          <cell r="C2874" t="str">
            <v>UN</v>
          </cell>
          <cell r="D2874">
            <v>10.76</v>
          </cell>
        </row>
        <row r="2875">
          <cell r="A2875">
            <v>85710</v>
          </cell>
          <cell r="B2875" t="str">
            <v>UNIAO F0G0 AS.CON.BRONZE/BRONZE DN 1 1/2" (40MM)</v>
          </cell>
          <cell r="C2875" t="str">
            <v>UN</v>
          </cell>
          <cell r="D2875">
            <v>18.05</v>
          </cell>
        </row>
        <row r="2876">
          <cell r="A2876">
            <v>85711</v>
          </cell>
          <cell r="B2876" t="str">
            <v>UNIAO F0G0 C/AS. CON. BRONZE/BRONZE DN 2" (50MM)</v>
          </cell>
          <cell r="C2876" t="str">
            <v>UN</v>
          </cell>
          <cell r="D2876">
            <v>27.83</v>
          </cell>
        </row>
        <row r="2877">
          <cell r="A2877">
            <v>85717</v>
          </cell>
          <cell r="B2877" t="str">
            <v>UNIAO F0G0 C/COT. AS. CONICO FERRO DN 1/4" (8MM)</v>
          </cell>
          <cell r="C2877" t="str">
            <v>UN</v>
          </cell>
          <cell r="D2877">
            <v>6.89</v>
          </cell>
        </row>
        <row r="2878">
          <cell r="A2878">
            <v>85718</v>
          </cell>
          <cell r="B2878" t="str">
            <v>UNIAO F0G0 C/COT. AS. CONICO FERRO DN 3/8" (10MM)</v>
          </cell>
          <cell r="C2878" t="str">
            <v>UN</v>
          </cell>
          <cell r="D2878">
            <v>6.89</v>
          </cell>
        </row>
        <row r="2879">
          <cell r="A2879">
            <v>85719</v>
          </cell>
          <cell r="B2879" t="str">
            <v>UNIAO F0G0 C/COT. AS. CONICO FERRO DN 1/2" (15MM)</v>
          </cell>
          <cell r="C2879" t="str">
            <v>UN</v>
          </cell>
          <cell r="D2879">
            <v>6.89</v>
          </cell>
        </row>
        <row r="2880">
          <cell r="A2880">
            <v>85720</v>
          </cell>
          <cell r="B2880" t="str">
            <v>UNIAO F0G0 C/COT. AS. CONICO FERRO DN 3/4" (20MM)</v>
          </cell>
          <cell r="C2880" t="str">
            <v>UN</v>
          </cell>
          <cell r="D2880">
            <v>8.27</v>
          </cell>
        </row>
        <row r="2881">
          <cell r="A2881">
            <v>85721</v>
          </cell>
          <cell r="B2881" t="str">
            <v>UNIAO F0G0 C/COT. AS. CONICO FERRO DN 1" (25MM)</v>
          </cell>
          <cell r="C2881" t="str">
            <v>UN</v>
          </cell>
          <cell r="D2881">
            <v>11.24</v>
          </cell>
        </row>
        <row r="2882">
          <cell r="A2882">
            <v>85722</v>
          </cell>
          <cell r="B2882" t="str">
            <v>UNIAO F0G0 C/COT.AS.CONICO FERRO DN 1 1/4" (32MM)</v>
          </cell>
          <cell r="C2882" t="str">
            <v>UN</v>
          </cell>
          <cell r="D2882">
            <v>14.7</v>
          </cell>
        </row>
        <row r="2883">
          <cell r="A2883">
            <v>85723</v>
          </cell>
          <cell r="B2883" t="str">
            <v>UNIAO F0G0 C/COT.AS.CONICO FERRO DN 1 1/2" (40MM)</v>
          </cell>
          <cell r="C2883" t="str">
            <v>UN</v>
          </cell>
          <cell r="D2883">
            <v>18.93</v>
          </cell>
        </row>
        <row r="2884">
          <cell r="A2884">
            <v>85724</v>
          </cell>
          <cell r="B2884" t="str">
            <v>UNIAO F0G0 C/COT. AS. CONICO FERRO DN 2" (50MM)</v>
          </cell>
          <cell r="C2884" t="str">
            <v>UN</v>
          </cell>
          <cell r="D2884">
            <v>26.41</v>
          </cell>
        </row>
        <row r="2885">
          <cell r="A2885">
            <v>85725</v>
          </cell>
          <cell r="B2885" t="str">
            <v>UNIAO F0G0 C/COT.AS.CONICO FERRO DN 2 1/2" (65MM)</v>
          </cell>
          <cell r="C2885" t="str">
            <v>UN</v>
          </cell>
          <cell r="D2885">
            <v>36.15</v>
          </cell>
        </row>
        <row r="2886">
          <cell r="A2886">
            <v>85726</v>
          </cell>
          <cell r="B2886" t="str">
            <v>UNIAO F0G0 C/COT. AS. CONICO FERRO DN 3" (80MM)</v>
          </cell>
          <cell r="C2886" t="str">
            <v>UN</v>
          </cell>
          <cell r="D2886">
            <v>47.82</v>
          </cell>
        </row>
        <row r="2887">
          <cell r="A2887">
            <v>85732</v>
          </cell>
          <cell r="B2887" t="str">
            <v>UNIAO F0G0 COT.AS.CON.F.MACHO-FEMEA DN 1/4" (8MM)</v>
          </cell>
          <cell r="C2887" t="str">
            <v>UN</v>
          </cell>
          <cell r="D2887">
            <v>7.34</v>
          </cell>
        </row>
        <row r="2888">
          <cell r="A2888">
            <v>85733</v>
          </cell>
          <cell r="B2888" t="str">
            <v>UNIAO F0G0 COT.AS.CON.F.MAC.-FEMEA DN 3/8" (10MM)</v>
          </cell>
          <cell r="C2888" t="str">
            <v>UN</v>
          </cell>
          <cell r="D2888">
            <v>7.34</v>
          </cell>
        </row>
        <row r="2889">
          <cell r="A2889">
            <v>85734</v>
          </cell>
          <cell r="B2889" t="str">
            <v>UNIAO F0G0 COT.AS.CON.F.MAC.-FEMEA DN 1/2" (15MM)</v>
          </cell>
          <cell r="C2889" t="str">
            <v>UN</v>
          </cell>
          <cell r="D2889">
            <v>7.34</v>
          </cell>
        </row>
        <row r="2890">
          <cell r="A2890">
            <v>85735</v>
          </cell>
          <cell r="B2890" t="str">
            <v>UNIAO F0G0 COT.AS.CON.F.MAC.-FEMEA DN 3/4" (20MM)</v>
          </cell>
          <cell r="C2890" t="str">
            <v>UN</v>
          </cell>
          <cell r="D2890">
            <v>9.17</v>
          </cell>
        </row>
        <row r="2891">
          <cell r="A2891">
            <v>85736</v>
          </cell>
          <cell r="B2891" t="str">
            <v>UNIAO F0G0 COT.AS.CON.F.MACHO-FEMEA DN 1" (25MM)</v>
          </cell>
          <cell r="C2891" t="str">
            <v>UN</v>
          </cell>
          <cell r="D2891">
            <v>12.39</v>
          </cell>
        </row>
        <row r="2892">
          <cell r="A2892">
            <v>85737</v>
          </cell>
          <cell r="B2892" t="str">
            <v>UNIAO F0G0 COT.AS.CON.F.MAC.-FEM.DN 1 1/4" (32MM)</v>
          </cell>
          <cell r="C2892" t="str">
            <v>UN</v>
          </cell>
          <cell r="D2892">
            <v>16.760000000000002</v>
          </cell>
        </row>
        <row r="2893">
          <cell r="A2893">
            <v>85738</v>
          </cell>
          <cell r="B2893" t="str">
            <v>UNIAO F0G0 COT.AS.CON.F.MAC.-FEM.DN 1 1/2" (40MM)</v>
          </cell>
          <cell r="C2893" t="str">
            <v>UN</v>
          </cell>
          <cell r="D2893">
            <v>21.58</v>
          </cell>
        </row>
        <row r="2894">
          <cell r="A2894">
            <v>85739</v>
          </cell>
          <cell r="B2894" t="str">
            <v>UNIAO F0G0 COT.AS.CON.F.MACHO-FEMEA DN 2" (50MM)</v>
          </cell>
          <cell r="C2894" t="str">
            <v>UN</v>
          </cell>
          <cell r="D2894">
            <v>29.38</v>
          </cell>
        </row>
        <row r="2895">
          <cell r="A2895">
            <v>85740</v>
          </cell>
          <cell r="B2895" t="str">
            <v>UNIAO F0G0 COT.AS.CON.F.MAC.-FEM.DN 2 1/2" (65MM)</v>
          </cell>
          <cell r="C2895" t="str">
            <v>UN</v>
          </cell>
          <cell r="D2895">
            <v>36.51</v>
          </cell>
        </row>
        <row r="2896">
          <cell r="A2896">
            <v>85741</v>
          </cell>
          <cell r="B2896" t="str">
            <v>UNIAO F0G0 COT.AS.CON.F.MACHO-FEMEA DN 3" (80MM)</v>
          </cell>
          <cell r="C2896" t="str">
            <v>UN</v>
          </cell>
          <cell r="D2896">
            <v>49.28</v>
          </cell>
        </row>
        <row r="2897">
          <cell r="A2897">
            <v>85747</v>
          </cell>
          <cell r="B2897" t="str">
            <v>FLANGE F0G0 P/ CAIXA D'AGUA DN 1/2" (15MM)</v>
          </cell>
          <cell r="C2897" t="str">
            <v>UN</v>
          </cell>
          <cell r="D2897">
            <v>3.71</v>
          </cell>
        </row>
        <row r="2898">
          <cell r="A2898">
            <v>85748</v>
          </cell>
          <cell r="B2898" t="str">
            <v>FLANGE F0G0 P/ CAIXA D'AGUA DN 3/4" (20MM)</v>
          </cell>
          <cell r="C2898" t="str">
            <v>UN</v>
          </cell>
          <cell r="D2898">
            <v>4.28</v>
          </cell>
        </row>
        <row r="2899">
          <cell r="A2899">
            <v>85749</v>
          </cell>
          <cell r="B2899" t="str">
            <v>FLANGE F0G0 P/ CAIXA D'AGUA DN 1" (25MM)</v>
          </cell>
          <cell r="C2899" t="str">
            <v>UN</v>
          </cell>
          <cell r="D2899">
            <v>6.01</v>
          </cell>
        </row>
        <row r="2900">
          <cell r="A2900">
            <v>85750</v>
          </cell>
          <cell r="B2900" t="str">
            <v>FLANGE F0G0 P/ CAIXA D'AGUA DN 1 1/4" (32MM)</v>
          </cell>
          <cell r="C2900" t="str">
            <v>UN</v>
          </cell>
          <cell r="D2900">
            <v>7.35</v>
          </cell>
        </row>
        <row r="2901">
          <cell r="A2901">
            <v>85751</v>
          </cell>
          <cell r="B2901" t="str">
            <v>FLANGE F0G0 P/ CAIXA D'AGUA DN 1 1/2" (40MM)</v>
          </cell>
          <cell r="C2901" t="str">
            <v>UN</v>
          </cell>
          <cell r="D2901">
            <v>8.49</v>
          </cell>
        </row>
        <row r="2902">
          <cell r="A2902">
            <v>85757</v>
          </cell>
          <cell r="B2902" t="str">
            <v>ADAPT. F0G0 P/CX.D'AGUA CONC.150MM DN 2" (50MM)</v>
          </cell>
          <cell r="C2902" t="str">
            <v>UN</v>
          </cell>
          <cell r="D2902">
            <v>6.84</v>
          </cell>
        </row>
        <row r="2903">
          <cell r="A2903">
            <v>85758</v>
          </cell>
          <cell r="B2903" t="str">
            <v>ADAPT.F0G0 P/CX.D'AGUA CONC.150MM DN 2 1/2" (65MM)</v>
          </cell>
          <cell r="C2903" t="str">
            <v>UN</v>
          </cell>
          <cell r="D2903">
            <v>8.17</v>
          </cell>
        </row>
        <row r="2904">
          <cell r="A2904">
            <v>85759</v>
          </cell>
          <cell r="B2904" t="str">
            <v>ADAPT. F0G0 P/CX.D'AGUA CONC.150MM DN 3" (80MM)</v>
          </cell>
          <cell r="C2904" t="str">
            <v>UN</v>
          </cell>
          <cell r="D2904">
            <v>10.46</v>
          </cell>
        </row>
        <row r="2905">
          <cell r="A2905">
            <v>85760</v>
          </cell>
          <cell r="B2905" t="str">
            <v>ADAPT. F0G0 P/CX.D'AGUA CONC.150MM DN 4" (100MM)</v>
          </cell>
          <cell r="C2905" t="str">
            <v>UN</v>
          </cell>
          <cell r="D2905">
            <v>18.489999999999998</v>
          </cell>
        </row>
        <row r="2906">
          <cell r="A2906">
            <v>85766</v>
          </cell>
          <cell r="B2906" t="str">
            <v>ADAPT. F0G0 P/CX. D'AGUA CONC.200MM DN 2" (50MM)</v>
          </cell>
          <cell r="C2906" t="str">
            <v>UN</v>
          </cell>
          <cell r="D2906">
            <v>8.1199999999999992</v>
          </cell>
        </row>
        <row r="2907">
          <cell r="A2907">
            <v>85767</v>
          </cell>
          <cell r="B2907" t="str">
            <v>ADAPT.F0G0 P/CX.D'AGUA CONC.200MM DN 2 1/2" (65MM)</v>
          </cell>
          <cell r="C2907" t="str">
            <v>UN</v>
          </cell>
          <cell r="D2907">
            <v>11.2</v>
          </cell>
        </row>
        <row r="2908">
          <cell r="A2908">
            <v>85768</v>
          </cell>
          <cell r="B2908" t="str">
            <v>ADAPT. F0G0 P/CX.D'AGUA CONC. 200MM DN 3" (80MM)</v>
          </cell>
          <cell r="C2908" t="str">
            <v>UN</v>
          </cell>
          <cell r="D2908">
            <v>12.87</v>
          </cell>
        </row>
        <row r="2909">
          <cell r="A2909">
            <v>85769</v>
          </cell>
          <cell r="B2909" t="str">
            <v>ADAPT. F0G0 P/CX. D'AGUA CONC. DN 4" (100MM)</v>
          </cell>
          <cell r="C2909" t="str">
            <v>UN</v>
          </cell>
          <cell r="D2909">
            <v>20.77</v>
          </cell>
        </row>
        <row r="2910">
          <cell r="A2910">
            <v>85775</v>
          </cell>
          <cell r="B2910" t="str">
            <v>TUBETE F0G0 P/ HIDROMETRO DN 1/2" (15MM)</v>
          </cell>
          <cell r="C2910" t="str">
            <v>UN</v>
          </cell>
          <cell r="D2910">
            <v>2.5</v>
          </cell>
        </row>
        <row r="2911">
          <cell r="A2911">
            <v>85776</v>
          </cell>
          <cell r="B2911" t="str">
            <v>TUBETE F0G0 P/ HIDROMETRO DN 3/4" (20MM)</v>
          </cell>
          <cell r="C2911" t="str">
            <v>UN</v>
          </cell>
          <cell r="D2911">
            <v>2.85</v>
          </cell>
        </row>
        <row r="2912">
          <cell r="A2912">
            <v>85782</v>
          </cell>
          <cell r="B2912" t="str">
            <v>FLANGE F0G0 P/ HIDRANTE DN 4" (100MM)</v>
          </cell>
          <cell r="C2912" t="str">
            <v>UN</v>
          </cell>
          <cell r="D2912">
            <v>21.48</v>
          </cell>
        </row>
        <row r="2913">
          <cell r="A2913">
            <v>85783</v>
          </cell>
          <cell r="B2913" t="str">
            <v>TUBO F0G0 DN 1/2" (15MM) L= 0,10 M</v>
          </cell>
          <cell r="C2913" t="str">
            <v>UN</v>
          </cell>
          <cell r="D2913">
            <v>0.34</v>
          </cell>
        </row>
        <row r="2914">
          <cell r="A2914">
            <v>85784</v>
          </cell>
          <cell r="B2914" t="str">
            <v>TUBO F0G0 DN 1/2" (15MM) L= 0,25 M</v>
          </cell>
          <cell r="C2914" t="str">
            <v>UN</v>
          </cell>
          <cell r="D2914">
            <v>0.84</v>
          </cell>
        </row>
        <row r="2915">
          <cell r="A2915">
            <v>85785</v>
          </cell>
          <cell r="B2915" t="str">
            <v>TUBO F0G0 DN 1/2" (15MM) L= 0,50 M</v>
          </cell>
          <cell r="C2915" t="str">
            <v>UN</v>
          </cell>
          <cell r="D2915">
            <v>1.69</v>
          </cell>
        </row>
        <row r="2916">
          <cell r="A2916">
            <v>85786</v>
          </cell>
          <cell r="B2916" t="str">
            <v>TUBO F0G0 DN 1/2" (15MM) L= 0,75 M</v>
          </cell>
          <cell r="C2916" t="str">
            <v>UN</v>
          </cell>
          <cell r="D2916">
            <v>2.54</v>
          </cell>
        </row>
        <row r="2917">
          <cell r="A2917">
            <v>85787</v>
          </cell>
          <cell r="B2917" t="str">
            <v>TUBO F0G0 DN 1/2" (15MM) L= 1,00 M</v>
          </cell>
          <cell r="C2917" t="str">
            <v>UN</v>
          </cell>
          <cell r="D2917">
            <v>3.38</v>
          </cell>
        </row>
        <row r="2918">
          <cell r="A2918">
            <v>85788</v>
          </cell>
          <cell r="B2918" t="str">
            <v>TUBO F0G0 DN 1/2" (15MM) L= 1,25 M</v>
          </cell>
          <cell r="C2918" t="str">
            <v>UN</v>
          </cell>
          <cell r="D2918">
            <v>4.2300000000000004</v>
          </cell>
        </row>
        <row r="2919">
          <cell r="A2919">
            <v>85789</v>
          </cell>
          <cell r="B2919" t="str">
            <v>TUBO F0G0 DN 1/2" (15MM) L= 1,50 M</v>
          </cell>
          <cell r="C2919" t="str">
            <v>UN</v>
          </cell>
          <cell r="D2919">
            <v>5.07</v>
          </cell>
        </row>
        <row r="2920">
          <cell r="A2920">
            <v>85790</v>
          </cell>
          <cell r="B2920" t="str">
            <v>TUBO F0G0 DN 1/2" (15MM) L= 1,75 M</v>
          </cell>
          <cell r="C2920" t="str">
            <v>UN</v>
          </cell>
          <cell r="D2920">
            <v>5.93</v>
          </cell>
        </row>
        <row r="2921">
          <cell r="A2921">
            <v>85791</v>
          </cell>
          <cell r="B2921" t="str">
            <v>TUBO F0G0 DN 1/2" (15MM) L= 2,00 M</v>
          </cell>
          <cell r="C2921" t="str">
            <v>UN</v>
          </cell>
          <cell r="D2921">
            <v>6.77</v>
          </cell>
        </row>
        <row r="2922">
          <cell r="A2922">
            <v>85792</v>
          </cell>
          <cell r="B2922" t="str">
            <v>TUBO F0G0 DN 1/2" (15MM) L= 2,25 M</v>
          </cell>
          <cell r="C2922" t="str">
            <v>UN</v>
          </cell>
          <cell r="D2922">
            <v>7.61</v>
          </cell>
        </row>
        <row r="2923">
          <cell r="A2923">
            <v>85793</v>
          </cell>
          <cell r="B2923" t="str">
            <v>TUBO F0G0 DN 1/2" (15MM) L= 2,50 M</v>
          </cell>
          <cell r="C2923" t="str">
            <v>UN</v>
          </cell>
          <cell r="D2923">
            <v>8.4700000000000006</v>
          </cell>
        </row>
        <row r="2924">
          <cell r="A2924">
            <v>85794</v>
          </cell>
          <cell r="B2924" t="str">
            <v>TUBO F0G0 DN 1/2" (15MM) L= 2,75 M</v>
          </cell>
          <cell r="C2924" t="str">
            <v>UN</v>
          </cell>
          <cell r="D2924">
            <v>9.32</v>
          </cell>
        </row>
        <row r="2925">
          <cell r="A2925">
            <v>85795</v>
          </cell>
          <cell r="B2925" t="str">
            <v>TUBO F0G0 DN 1/2" (15MM) L= 3,00 M</v>
          </cell>
          <cell r="C2925" t="str">
            <v>UN</v>
          </cell>
          <cell r="D2925">
            <v>10.16</v>
          </cell>
        </row>
        <row r="2926">
          <cell r="A2926">
            <v>85796</v>
          </cell>
          <cell r="B2926" t="str">
            <v>TUBO F0G0 DN 3/4" (20MM) L= 0,10 M</v>
          </cell>
          <cell r="C2926" t="str">
            <v>UN</v>
          </cell>
          <cell r="D2926">
            <v>0.44</v>
          </cell>
        </row>
        <row r="2927">
          <cell r="A2927">
            <v>85797</v>
          </cell>
          <cell r="B2927" t="str">
            <v>TUBO F0G0 DN 3/4" (20MM) L= 0,25 M</v>
          </cell>
          <cell r="C2927" t="str">
            <v>UN</v>
          </cell>
          <cell r="D2927">
            <v>1.08</v>
          </cell>
        </row>
        <row r="2928">
          <cell r="A2928">
            <v>85798</v>
          </cell>
          <cell r="B2928" t="str">
            <v>TUBO F0G0 DN 3/4" (20MM) L= 0,50 M</v>
          </cell>
          <cell r="C2928" t="str">
            <v>UN</v>
          </cell>
          <cell r="D2928">
            <v>2.1800000000000002</v>
          </cell>
        </row>
        <row r="2929">
          <cell r="A2929">
            <v>85799</v>
          </cell>
          <cell r="B2929" t="str">
            <v>TUBO F0G0 DN 3/4" (20MM) L= 0,75 M</v>
          </cell>
          <cell r="C2929" t="str">
            <v>UN</v>
          </cell>
          <cell r="D2929">
            <v>3.26</v>
          </cell>
        </row>
        <row r="2930">
          <cell r="A2930">
            <v>85801</v>
          </cell>
          <cell r="B2930" t="str">
            <v>TUBO F0G0 DN 3/4" (20MM) L= 1,00 M</v>
          </cell>
          <cell r="C2930" t="str">
            <v>UN</v>
          </cell>
          <cell r="D2930">
            <v>4.3499999999999996</v>
          </cell>
        </row>
        <row r="2931">
          <cell r="A2931">
            <v>85802</v>
          </cell>
          <cell r="B2931" t="str">
            <v>TUBO F0G0 DN 3/4" (20MM) L= 1,25 M</v>
          </cell>
          <cell r="C2931" t="str">
            <v>UN</v>
          </cell>
          <cell r="D2931">
            <v>5.43</v>
          </cell>
        </row>
        <row r="2932">
          <cell r="A2932">
            <v>85803</v>
          </cell>
          <cell r="B2932" t="str">
            <v>TUBO F0G0 DN 3/4" (20MM) L= 1,50 M</v>
          </cell>
          <cell r="C2932" t="str">
            <v>UN</v>
          </cell>
          <cell r="D2932">
            <v>6.53</v>
          </cell>
        </row>
        <row r="2933">
          <cell r="A2933">
            <v>85804</v>
          </cell>
          <cell r="B2933" t="str">
            <v>TUBO F0G0 DN 3/4" (20MM) L= 1,75 M</v>
          </cell>
          <cell r="C2933" t="str">
            <v>UN</v>
          </cell>
          <cell r="D2933">
            <v>7.6</v>
          </cell>
        </row>
        <row r="2934">
          <cell r="A2934">
            <v>85805</v>
          </cell>
          <cell r="B2934" t="str">
            <v>TUBO F0G0 DN 3/4" (20MM) L= 2,00 M</v>
          </cell>
          <cell r="C2934" t="str">
            <v>UN</v>
          </cell>
          <cell r="D2934">
            <v>8.69</v>
          </cell>
        </row>
        <row r="2935">
          <cell r="A2935">
            <v>85806</v>
          </cell>
          <cell r="B2935" t="str">
            <v>TUBO F0G0 DN 3/4" (20MM) L= 2,25 M</v>
          </cell>
          <cell r="C2935" t="str">
            <v>UN</v>
          </cell>
          <cell r="D2935">
            <v>9.7799999999999994</v>
          </cell>
        </row>
        <row r="2936">
          <cell r="A2936">
            <v>85807</v>
          </cell>
          <cell r="B2936" t="str">
            <v>TUBO F0G0 DN 3/4" (20MM) L= 2,50 M</v>
          </cell>
          <cell r="C2936" t="str">
            <v>UN</v>
          </cell>
          <cell r="D2936">
            <v>10.87</v>
          </cell>
        </row>
        <row r="2937">
          <cell r="A2937">
            <v>85808</v>
          </cell>
          <cell r="B2937" t="str">
            <v>TUBO F0G0 DN 3/4" (20MM) L= 2,75 M</v>
          </cell>
          <cell r="C2937" t="str">
            <v>UN</v>
          </cell>
          <cell r="D2937">
            <v>11.95</v>
          </cell>
        </row>
        <row r="2938">
          <cell r="A2938">
            <v>85809</v>
          </cell>
          <cell r="B2938" t="str">
            <v>TUBO F0G0 DN 3/4" (20MM) L= 3,00 M</v>
          </cell>
          <cell r="C2938" t="str">
            <v>UN</v>
          </cell>
          <cell r="D2938">
            <v>13.04</v>
          </cell>
        </row>
        <row r="2939">
          <cell r="A2939">
            <v>85810</v>
          </cell>
          <cell r="B2939" t="str">
            <v>TUBO F0G0 DN 1" (25MM) L= 0,10 M</v>
          </cell>
          <cell r="C2939" t="str">
            <v>UN</v>
          </cell>
          <cell r="D2939">
            <v>0.61</v>
          </cell>
        </row>
        <row r="2940">
          <cell r="A2940">
            <v>85811</v>
          </cell>
          <cell r="B2940" t="str">
            <v>TUBO F0G0 DN 1" (25MM) L= 0,25 M</v>
          </cell>
          <cell r="C2940" t="str">
            <v>UN</v>
          </cell>
          <cell r="D2940">
            <v>1.54</v>
          </cell>
        </row>
        <row r="2941">
          <cell r="A2941">
            <v>85812</v>
          </cell>
          <cell r="B2941" t="str">
            <v>TUBO F0G0 DN 1" (25MM) L= 0,50 M</v>
          </cell>
          <cell r="C2941" t="str">
            <v>UN</v>
          </cell>
          <cell r="D2941">
            <v>3.07</v>
          </cell>
        </row>
        <row r="2942">
          <cell r="A2942">
            <v>85813</v>
          </cell>
          <cell r="B2942" t="str">
            <v>TUBO F0G0 DN 1" (25MM) L= 0,75 M</v>
          </cell>
          <cell r="C2942" t="str">
            <v>UN</v>
          </cell>
          <cell r="D2942">
            <v>4.6100000000000003</v>
          </cell>
        </row>
        <row r="2943">
          <cell r="A2943">
            <v>85814</v>
          </cell>
          <cell r="B2943" t="str">
            <v>TUBO F0G0 DN 1" (25MM) L= 1,00 M</v>
          </cell>
          <cell r="C2943" t="str">
            <v>UN</v>
          </cell>
          <cell r="D2943">
            <v>6.13</v>
          </cell>
        </row>
        <row r="2944">
          <cell r="A2944">
            <v>85815</v>
          </cell>
          <cell r="B2944" t="str">
            <v>TUBO F0G0 DN 1" (25MM) L= 1,25 M</v>
          </cell>
          <cell r="C2944" t="str">
            <v>UN</v>
          </cell>
          <cell r="D2944">
            <v>7.67</v>
          </cell>
        </row>
        <row r="2945">
          <cell r="A2945">
            <v>85816</v>
          </cell>
          <cell r="B2945" t="str">
            <v>TUBO F0G0 DN 1" (25MM) L= 1,50 M</v>
          </cell>
          <cell r="C2945" t="str">
            <v>UN</v>
          </cell>
          <cell r="D2945">
            <v>9.1999999999999993</v>
          </cell>
        </row>
        <row r="2946">
          <cell r="A2946">
            <v>85817</v>
          </cell>
          <cell r="B2946" t="str">
            <v>TUBO F0G0 DN 1" (25MM) L= 1,75 M</v>
          </cell>
          <cell r="C2946" t="str">
            <v>UN</v>
          </cell>
          <cell r="D2946">
            <v>10.74</v>
          </cell>
        </row>
        <row r="2947">
          <cell r="A2947">
            <v>85818</v>
          </cell>
          <cell r="B2947" t="str">
            <v>TUBO F0G0 DN 1" (25MM) L= 2,00 M</v>
          </cell>
          <cell r="C2947" t="str">
            <v>UN</v>
          </cell>
          <cell r="D2947">
            <v>12.27</v>
          </cell>
        </row>
        <row r="2948">
          <cell r="A2948">
            <v>85819</v>
          </cell>
          <cell r="B2948" t="str">
            <v>TUBO F0G0 DN 1" (25MM) L= 2,25 M</v>
          </cell>
          <cell r="C2948" t="str">
            <v>UN</v>
          </cell>
          <cell r="D2948">
            <v>13.81</v>
          </cell>
        </row>
        <row r="2949">
          <cell r="A2949">
            <v>85820</v>
          </cell>
          <cell r="B2949" t="str">
            <v>TUBO F0G0 DN 1" (25MM) L= 2,50 M</v>
          </cell>
          <cell r="C2949" t="str">
            <v>UN</v>
          </cell>
          <cell r="D2949">
            <v>15.43</v>
          </cell>
        </row>
        <row r="2950">
          <cell r="A2950">
            <v>85821</v>
          </cell>
          <cell r="B2950" t="str">
            <v>TUBO F0G0 DN 1" (25MM) L= 2,75 M</v>
          </cell>
          <cell r="C2950" t="str">
            <v>UN</v>
          </cell>
          <cell r="D2950">
            <v>16.88</v>
          </cell>
        </row>
        <row r="2951">
          <cell r="A2951">
            <v>85822</v>
          </cell>
          <cell r="B2951" t="str">
            <v>TUBO F0G0 DN 1" (25MM) L= 3,00 M</v>
          </cell>
          <cell r="C2951" t="str">
            <v>UN</v>
          </cell>
          <cell r="D2951">
            <v>18.399999999999999</v>
          </cell>
        </row>
        <row r="2952">
          <cell r="A2952">
            <v>85823</v>
          </cell>
          <cell r="B2952" t="str">
            <v>TUBO F0G0 DN 1 1/4" (32MM) L= 0,10 M</v>
          </cell>
          <cell r="C2952" t="str">
            <v>UN</v>
          </cell>
          <cell r="D2952">
            <v>0.79</v>
          </cell>
        </row>
        <row r="2953">
          <cell r="A2953">
            <v>85824</v>
          </cell>
          <cell r="B2953" t="str">
            <v>TUBO F0G0 DN 1 1/4" (32MM) L= 0,25 M</v>
          </cell>
          <cell r="C2953" t="str">
            <v>UN</v>
          </cell>
          <cell r="D2953">
            <v>1.97</v>
          </cell>
        </row>
        <row r="2954">
          <cell r="A2954">
            <v>85825</v>
          </cell>
          <cell r="B2954" t="str">
            <v>TUBO F0G0 DN 1 1/4" (32MM) L= 0,50 M</v>
          </cell>
          <cell r="C2954" t="str">
            <v>UN</v>
          </cell>
          <cell r="D2954">
            <v>3.94</v>
          </cell>
        </row>
        <row r="2955">
          <cell r="A2955">
            <v>85826</v>
          </cell>
          <cell r="B2955" t="str">
            <v>TUBO F0G0 DN 1 1/4" (32MM) L= 0,75 M</v>
          </cell>
          <cell r="C2955" t="str">
            <v>UN</v>
          </cell>
          <cell r="D2955">
            <v>5.91</v>
          </cell>
        </row>
        <row r="2956">
          <cell r="A2956">
            <v>85827</v>
          </cell>
          <cell r="B2956" t="str">
            <v>TUBO F0G0 DN 1 1/4" (32MM) L= 1,00 M</v>
          </cell>
          <cell r="C2956" t="str">
            <v>UN</v>
          </cell>
          <cell r="D2956">
            <v>7.88</v>
          </cell>
        </row>
        <row r="2957">
          <cell r="A2957">
            <v>85828</v>
          </cell>
          <cell r="B2957" t="str">
            <v>TUBO F0G0 DN 1 1/4" (32MM) L= 1,25 M</v>
          </cell>
          <cell r="C2957" t="str">
            <v>UN</v>
          </cell>
          <cell r="D2957">
            <v>9.86</v>
          </cell>
        </row>
        <row r="2958">
          <cell r="A2958">
            <v>85829</v>
          </cell>
          <cell r="B2958" t="str">
            <v>TUBO F0G0 DN 1 1/4" (32MM) L= 1,50 M</v>
          </cell>
          <cell r="C2958" t="str">
            <v>UN</v>
          </cell>
          <cell r="D2958">
            <v>11.84</v>
          </cell>
        </row>
        <row r="2959">
          <cell r="A2959">
            <v>85830</v>
          </cell>
          <cell r="B2959" t="str">
            <v>TUBO F0G0 DN 1 1/4" (32MM) L= 1,75 M</v>
          </cell>
          <cell r="C2959" t="str">
            <v>UN</v>
          </cell>
          <cell r="D2959">
            <v>13.8</v>
          </cell>
        </row>
        <row r="2960">
          <cell r="A2960">
            <v>85831</v>
          </cell>
          <cell r="B2960" t="str">
            <v>TUBO F0G0 DN 1 1/4" (32MM) L= 2,00 M</v>
          </cell>
          <cell r="C2960" t="str">
            <v>UN</v>
          </cell>
          <cell r="D2960">
            <v>15.8</v>
          </cell>
        </row>
        <row r="2961">
          <cell r="A2961">
            <v>85832</v>
          </cell>
          <cell r="B2961" t="str">
            <v>TUBO F0G0 DN 1 1/4" (32MM) L= 2,25 M</v>
          </cell>
          <cell r="C2961" t="str">
            <v>UN</v>
          </cell>
          <cell r="D2961">
            <v>17.739999999999998</v>
          </cell>
        </row>
        <row r="2962">
          <cell r="A2962">
            <v>85833</v>
          </cell>
          <cell r="B2962" t="str">
            <v>TUBO F0G0 DN 1 1/4" (32MM) L= 2,50 M</v>
          </cell>
          <cell r="C2962" t="str">
            <v>UN</v>
          </cell>
          <cell r="D2962">
            <v>19.71</v>
          </cell>
        </row>
        <row r="2963">
          <cell r="A2963">
            <v>85834</v>
          </cell>
          <cell r="B2963" t="str">
            <v>TUBO F0G0 DN 1 1/4" (32MM) L= 2,75 M</v>
          </cell>
          <cell r="C2963" t="str">
            <v>UN</v>
          </cell>
          <cell r="D2963">
            <v>21.68</v>
          </cell>
        </row>
        <row r="2964">
          <cell r="A2964">
            <v>85835</v>
          </cell>
          <cell r="B2964" t="str">
            <v>TUBO F0G0 DN 1 1/4" (32MM) L= 3,00 M</v>
          </cell>
          <cell r="C2964" t="str">
            <v>UN</v>
          </cell>
          <cell r="D2964">
            <v>21.68</v>
          </cell>
        </row>
        <row r="2965">
          <cell r="A2965">
            <v>85836</v>
          </cell>
          <cell r="B2965" t="str">
            <v>TUBO F0G0 DN 1 1/2" (40MM) L= 0,10 M</v>
          </cell>
          <cell r="C2965" t="str">
            <v>UN</v>
          </cell>
          <cell r="D2965">
            <v>1.02</v>
          </cell>
        </row>
        <row r="2966">
          <cell r="A2966">
            <v>85837</v>
          </cell>
          <cell r="B2966" t="str">
            <v>TUBO F0G0 DN 1 1/2" (40MM) L= 0,25 M</v>
          </cell>
          <cell r="C2966" t="str">
            <v>UN</v>
          </cell>
          <cell r="D2966">
            <v>2.52</v>
          </cell>
        </row>
        <row r="2967">
          <cell r="A2967">
            <v>85838</v>
          </cell>
          <cell r="B2967" t="str">
            <v>TUBO F0G0 DN 1 1/2" (40MM) L= 0,50 M</v>
          </cell>
          <cell r="C2967" t="str">
            <v>UN</v>
          </cell>
          <cell r="D2967">
            <v>5.05</v>
          </cell>
        </row>
        <row r="2968">
          <cell r="A2968">
            <v>85839</v>
          </cell>
          <cell r="B2968" t="str">
            <v>TUBO F0G0 DN 1 1/2" (40MM) L= 0,75 M</v>
          </cell>
          <cell r="C2968" t="str">
            <v>UN</v>
          </cell>
          <cell r="D2968">
            <v>7.56</v>
          </cell>
        </row>
        <row r="2969">
          <cell r="A2969">
            <v>85840</v>
          </cell>
          <cell r="B2969" t="str">
            <v>TUBO F0G0 DN 1 1/2" (40MM) L= 1,00 M</v>
          </cell>
          <cell r="C2969" t="str">
            <v>UN</v>
          </cell>
          <cell r="D2969">
            <v>10.09</v>
          </cell>
        </row>
        <row r="2970">
          <cell r="A2970">
            <v>85841</v>
          </cell>
          <cell r="B2970" t="str">
            <v>TUBO FOG0 DN 1 1/2" (40MM) L= 1,25 M</v>
          </cell>
          <cell r="C2970" t="str">
            <v>UN</v>
          </cell>
          <cell r="D2970">
            <v>12.62</v>
          </cell>
        </row>
        <row r="2971">
          <cell r="A2971">
            <v>85842</v>
          </cell>
          <cell r="B2971" t="str">
            <v>TUBO F0G0 DN 1 1/2" (40MM) L= 1,50 M</v>
          </cell>
          <cell r="C2971" t="str">
            <v>UN</v>
          </cell>
          <cell r="D2971">
            <v>15.15</v>
          </cell>
        </row>
        <row r="2972">
          <cell r="A2972">
            <v>85843</v>
          </cell>
          <cell r="B2972" t="str">
            <v>TUBO F0G0 DN 1 1/2" (40MM) L= 1,75 M</v>
          </cell>
          <cell r="C2972" t="str">
            <v>UN</v>
          </cell>
          <cell r="D2972">
            <v>18.5</v>
          </cell>
        </row>
        <row r="2973">
          <cell r="A2973">
            <v>85844</v>
          </cell>
          <cell r="B2973" t="str">
            <v>TUBO F0G0 DN 1 1/2" (40MM) L= 2,00 M</v>
          </cell>
          <cell r="C2973" t="str">
            <v>UN</v>
          </cell>
          <cell r="D2973">
            <v>20.190000000000001</v>
          </cell>
        </row>
        <row r="2974">
          <cell r="A2974">
            <v>85845</v>
          </cell>
          <cell r="B2974" t="str">
            <v>TUBO F0G0 DN 1 1/2" (40MM) L= 2,25 M</v>
          </cell>
          <cell r="C2974" t="str">
            <v>UN</v>
          </cell>
          <cell r="D2974">
            <v>22.71</v>
          </cell>
        </row>
        <row r="2975">
          <cell r="A2975">
            <v>85846</v>
          </cell>
          <cell r="B2975" t="str">
            <v>TUBO F0G0 DN 1 1/2" (40MM) L= 2,50 M</v>
          </cell>
          <cell r="C2975" t="str">
            <v>UN</v>
          </cell>
          <cell r="D2975">
            <v>25.23</v>
          </cell>
        </row>
        <row r="2976">
          <cell r="A2976">
            <v>85847</v>
          </cell>
          <cell r="B2976" t="str">
            <v>TUBO F0G0 DN 1 1/2" (40MM) L= 2,75 M</v>
          </cell>
          <cell r="C2976" t="str">
            <v>UN</v>
          </cell>
          <cell r="D2976">
            <v>27.76</v>
          </cell>
        </row>
        <row r="2977">
          <cell r="A2977">
            <v>85848</v>
          </cell>
          <cell r="B2977" t="str">
            <v>TUBO F0G0 DN 1 1/2" (40MM) L= 3,00 M</v>
          </cell>
          <cell r="C2977" t="str">
            <v>UN</v>
          </cell>
          <cell r="D2977">
            <v>30.28</v>
          </cell>
        </row>
        <row r="2978">
          <cell r="A2978">
            <v>85849</v>
          </cell>
          <cell r="B2978" t="str">
            <v>TUBO F0G0 DN 2" (50MM) L= 0,10 M</v>
          </cell>
          <cell r="C2978" t="str">
            <v>UN</v>
          </cell>
          <cell r="D2978">
            <v>1.24</v>
          </cell>
        </row>
        <row r="2979">
          <cell r="A2979">
            <v>85850</v>
          </cell>
          <cell r="B2979" t="str">
            <v>TUBO F0G0 DN 2" (50MM) L= 0,25 M</v>
          </cell>
          <cell r="C2979" t="str">
            <v>UN</v>
          </cell>
          <cell r="D2979">
            <v>3.12</v>
          </cell>
        </row>
        <row r="2980">
          <cell r="A2980">
            <v>85851</v>
          </cell>
          <cell r="B2980" t="str">
            <v>TUBO F0G0 DN 2" (50MM) L= 0,50 M</v>
          </cell>
          <cell r="C2980" t="str">
            <v>UN</v>
          </cell>
          <cell r="D2980">
            <v>6.23</v>
          </cell>
        </row>
        <row r="2981">
          <cell r="A2981">
            <v>85852</v>
          </cell>
          <cell r="B2981" t="str">
            <v>TUBO F0G0 DN 2" (50MM) L= 0,75 M</v>
          </cell>
          <cell r="C2981" t="str">
            <v>UN</v>
          </cell>
          <cell r="D2981">
            <v>9.36</v>
          </cell>
        </row>
        <row r="2982">
          <cell r="A2982">
            <v>85853</v>
          </cell>
          <cell r="B2982" t="str">
            <v>TUBO F0G0 DN 2" (50MM) L= 1,00 M</v>
          </cell>
          <cell r="C2982" t="str">
            <v>UN</v>
          </cell>
          <cell r="D2982">
            <v>12.46</v>
          </cell>
        </row>
        <row r="2983">
          <cell r="A2983">
            <v>85854</v>
          </cell>
          <cell r="B2983" t="str">
            <v>TUBO F0G0 DN 2" (50MM) L= 1,25 M</v>
          </cell>
          <cell r="C2983" t="str">
            <v>UN</v>
          </cell>
          <cell r="D2983">
            <v>15.58</v>
          </cell>
        </row>
        <row r="2984">
          <cell r="A2984">
            <v>85855</v>
          </cell>
          <cell r="B2984" t="str">
            <v>TUBO F0G0 DN 2" (50MM) L= 1,50 M</v>
          </cell>
          <cell r="C2984" t="str">
            <v>UN</v>
          </cell>
          <cell r="D2984">
            <v>18.7</v>
          </cell>
        </row>
        <row r="2985">
          <cell r="A2985">
            <v>85856</v>
          </cell>
          <cell r="B2985" t="str">
            <v>TUBO F0G0 DN 2" (50MM) L= 1,75 M</v>
          </cell>
          <cell r="C2985" t="str">
            <v>UN</v>
          </cell>
          <cell r="D2985">
            <v>21.82</v>
          </cell>
        </row>
        <row r="2986">
          <cell r="A2986">
            <v>85857</v>
          </cell>
          <cell r="B2986" t="str">
            <v>TUBO F0G0 DN 2" (50MM) L= 2,00 M</v>
          </cell>
          <cell r="C2986" t="str">
            <v>UN</v>
          </cell>
          <cell r="D2986">
            <v>24.94</v>
          </cell>
        </row>
        <row r="2987">
          <cell r="A2987">
            <v>85858</v>
          </cell>
          <cell r="B2987" t="str">
            <v>TUBO F0G0 DN 2" (50MM) L= 2,25 M</v>
          </cell>
          <cell r="C2987" t="str">
            <v>UN</v>
          </cell>
          <cell r="D2987">
            <v>28.05</v>
          </cell>
        </row>
        <row r="2988">
          <cell r="A2988">
            <v>85859</v>
          </cell>
          <cell r="B2988" t="str">
            <v>TUBO F0G0 DN 2" (50MM) L= 2,50 M</v>
          </cell>
          <cell r="C2988" t="str">
            <v>UN</v>
          </cell>
          <cell r="D2988">
            <v>31.17</v>
          </cell>
        </row>
        <row r="2989">
          <cell r="A2989">
            <v>85860</v>
          </cell>
          <cell r="B2989" t="str">
            <v>TUBO F0G0 DN 2" (50MM) L= 2,75 M</v>
          </cell>
          <cell r="C2989" t="str">
            <v>UN</v>
          </cell>
          <cell r="D2989">
            <v>34.29</v>
          </cell>
        </row>
        <row r="2990">
          <cell r="A2990">
            <v>85861</v>
          </cell>
          <cell r="B2990" t="str">
            <v>TUBO F0G0 DN 2" (50MM) L= 3,00 M</v>
          </cell>
          <cell r="C2990" t="str">
            <v>UN</v>
          </cell>
          <cell r="D2990">
            <v>37.4</v>
          </cell>
        </row>
        <row r="2991">
          <cell r="A2991">
            <v>85862</v>
          </cell>
          <cell r="B2991" t="str">
            <v>TUBO F0G0 DN 2 1/2" (65MM) L= 0,10 M</v>
          </cell>
          <cell r="C2991" t="str">
            <v>UN</v>
          </cell>
          <cell r="D2991">
            <v>1.75</v>
          </cell>
        </row>
        <row r="2992">
          <cell r="A2992">
            <v>85863</v>
          </cell>
          <cell r="B2992" t="str">
            <v>TUBO F0G0 DN 2 1/2" (65MM) L= 0,25 M</v>
          </cell>
          <cell r="C2992" t="str">
            <v>UN</v>
          </cell>
          <cell r="D2992">
            <v>4.41</v>
          </cell>
        </row>
        <row r="2993">
          <cell r="A2993">
            <v>85864</v>
          </cell>
          <cell r="B2993" t="str">
            <v>TUBO F0G0 DN 2 1/2" (65MM) L= 0,50 M</v>
          </cell>
          <cell r="C2993" t="str">
            <v>UN</v>
          </cell>
          <cell r="D2993">
            <v>8.8000000000000007</v>
          </cell>
        </row>
        <row r="2994">
          <cell r="A2994">
            <v>85865</v>
          </cell>
          <cell r="B2994" t="str">
            <v>TUBO F0G0 DN 2 1/2" (65MM) L= 0,75 M</v>
          </cell>
          <cell r="C2994" t="str">
            <v>UN</v>
          </cell>
          <cell r="D2994">
            <v>13.21</v>
          </cell>
        </row>
        <row r="2995">
          <cell r="A2995">
            <v>85866</v>
          </cell>
          <cell r="B2995" t="str">
            <v>TUBO F0G0 DN 2 1/2" (65MM) L= 1,00 M</v>
          </cell>
          <cell r="C2995" t="str">
            <v>UN</v>
          </cell>
          <cell r="D2995">
            <v>17.600000000000001</v>
          </cell>
        </row>
        <row r="2996">
          <cell r="A2996">
            <v>85867</v>
          </cell>
          <cell r="B2996" t="str">
            <v>TUBO F0G0 DN 2 1/2" (65MM) L= 1,25 M</v>
          </cell>
          <cell r="C2996" t="str">
            <v>UN</v>
          </cell>
          <cell r="D2996">
            <v>21.83</v>
          </cell>
        </row>
        <row r="2997">
          <cell r="A2997">
            <v>85868</v>
          </cell>
          <cell r="B2997" t="str">
            <v>TUBO F0G0 DN 2 1/2" (65MM) L= 1,50 M</v>
          </cell>
          <cell r="C2997" t="str">
            <v>UN</v>
          </cell>
          <cell r="D2997">
            <v>26.4</v>
          </cell>
        </row>
        <row r="2998">
          <cell r="A2998">
            <v>85869</v>
          </cell>
          <cell r="B2998" t="str">
            <v>TUBO F0G0 DN 2 1/2" (65MM) L= 1,75 M</v>
          </cell>
          <cell r="C2998" t="str">
            <v>UN</v>
          </cell>
          <cell r="D2998">
            <v>30.81</v>
          </cell>
        </row>
        <row r="2999">
          <cell r="A2999">
            <v>85870</v>
          </cell>
          <cell r="B2999" t="str">
            <v>TUBO F0G0 DN 2 1/2" (65MM) L= 2,00 M</v>
          </cell>
          <cell r="C2999" t="str">
            <v>UN</v>
          </cell>
          <cell r="D2999">
            <v>35.200000000000003</v>
          </cell>
        </row>
        <row r="3000">
          <cell r="A3000">
            <v>85871</v>
          </cell>
          <cell r="B3000" t="str">
            <v>TUBO F0G0 DN 2 1/2" (65MM) L= 2,25 M</v>
          </cell>
          <cell r="C3000" t="str">
            <v>UN</v>
          </cell>
          <cell r="D3000">
            <v>39.61</v>
          </cell>
        </row>
        <row r="3001">
          <cell r="A3001">
            <v>85872</v>
          </cell>
          <cell r="B3001" t="str">
            <v>TUBO F0G0 DN 2 1/2" (65MM) L= 2,50 M</v>
          </cell>
          <cell r="C3001" t="str">
            <v>UN</v>
          </cell>
          <cell r="D3001">
            <v>44.01</v>
          </cell>
        </row>
        <row r="3002">
          <cell r="A3002">
            <v>85873</v>
          </cell>
          <cell r="B3002" t="str">
            <v>TUBO F0G0 DN 2 1/2" (65MM) L= 2,75 M</v>
          </cell>
          <cell r="C3002" t="str">
            <v>UN</v>
          </cell>
          <cell r="D3002">
            <v>48.42</v>
          </cell>
        </row>
        <row r="3003">
          <cell r="A3003">
            <v>85874</v>
          </cell>
          <cell r="B3003" t="str">
            <v>TUBO F0G0 DN 2 1/2" (65MM) L= 3,00 M</v>
          </cell>
          <cell r="C3003" t="str">
            <v>UN</v>
          </cell>
          <cell r="D3003">
            <v>52.8</v>
          </cell>
        </row>
        <row r="3004">
          <cell r="A3004">
            <v>85875</v>
          </cell>
          <cell r="B3004" t="str">
            <v>TUBO F0G0 DN 3" (80MM) L= 0,10 M</v>
          </cell>
          <cell r="C3004" t="str">
            <v>UN</v>
          </cell>
          <cell r="D3004">
            <v>2.04</v>
          </cell>
        </row>
        <row r="3005">
          <cell r="A3005">
            <v>85876</v>
          </cell>
          <cell r="B3005" t="str">
            <v>TUBO F0G0 DN 3" (80MM) L= 0,25 M</v>
          </cell>
          <cell r="C3005" t="str">
            <v>UN</v>
          </cell>
          <cell r="D3005">
            <v>5.1100000000000003</v>
          </cell>
        </row>
        <row r="3006">
          <cell r="A3006">
            <v>85877</v>
          </cell>
          <cell r="B3006" t="str">
            <v>TUBO F0G0 DN 3' (80MM) L= 0,50 M</v>
          </cell>
          <cell r="C3006" t="str">
            <v>UN</v>
          </cell>
          <cell r="D3006">
            <v>10.24</v>
          </cell>
        </row>
        <row r="3007">
          <cell r="A3007">
            <v>85878</v>
          </cell>
          <cell r="B3007" t="str">
            <v>TUBO F0G0 DN 3" (80MM) L= 0,75 M</v>
          </cell>
          <cell r="C3007" t="str">
            <v>UN</v>
          </cell>
          <cell r="D3007">
            <v>15.35</v>
          </cell>
        </row>
        <row r="3008">
          <cell r="A3008">
            <v>85879</v>
          </cell>
          <cell r="B3008" t="str">
            <v>TUBO F0G0 DN 3" (80MM) L= 1,00 M</v>
          </cell>
          <cell r="C3008" t="str">
            <v>UN</v>
          </cell>
          <cell r="D3008">
            <v>20.47</v>
          </cell>
        </row>
        <row r="3009">
          <cell r="A3009">
            <v>85880</v>
          </cell>
          <cell r="B3009" t="str">
            <v>TUBO F0G0 DN 3" (80MM) L= 1,25 M</v>
          </cell>
          <cell r="C3009" t="str">
            <v>UN</v>
          </cell>
          <cell r="D3009">
            <v>25.59</v>
          </cell>
        </row>
        <row r="3010">
          <cell r="A3010">
            <v>85881</v>
          </cell>
          <cell r="B3010" t="str">
            <v>TUBO F0G0 DN 3" (80MM) L= 1,50 M</v>
          </cell>
          <cell r="C3010" t="str">
            <v>UN</v>
          </cell>
          <cell r="D3010">
            <v>30.71</v>
          </cell>
        </row>
        <row r="3011">
          <cell r="A3011">
            <v>85882</v>
          </cell>
          <cell r="B3011" t="str">
            <v>TUBO F0G0 DN 3" (80MM) L= 1,75 M</v>
          </cell>
          <cell r="C3011" t="str">
            <v>UN</v>
          </cell>
          <cell r="D3011">
            <v>35.83</v>
          </cell>
        </row>
        <row r="3012">
          <cell r="A3012">
            <v>85883</v>
          </cell>
          <cell r="B3012" t="str">
            <v>TUBO F0G0 DN 3" (80MM) L= 2,00 M</v>
          </cell>
          <cell r="C3012" t="str">
            <v>UN</v>
          </cell>
          <cell r="D3012">
            <v>40.96</v>
          </cell>
        </row>
        <row r="3013">
          <cell r="A3013">
            <v>85884</v>
          </cell>
          <cell r="B3013" t="str">
            <v>TUBO F0G0 DN 3" (80MM) L= 2,25 M</v>
          </cell>
          <cell r="C3013" t="str">
            <v>UN</v>
          </cell>
          <cell r="D3013">
            <v>46.07</v>
          </cell>
        </row>
        <row r="3014">
          <cell r="A3014">
            <v>85885</v>
          </cell>
          <cell r="B3014" t="str">
            <v>TUBO F0G0 DN 3" (80MM) L= 2,50 M</v>
          </cell>
          <cell r="C3014" t="str">
            <v>UN</v>
          </cell>
          <cell r="D3014">
            <v>51.19</v>
          </cell>
        </row>
        <row r="3015">
          <cell r="A3015">
            <v>85886</v>
          </cell>
          <cell r="B3015" t="str">
            <v>TUBO F0G0 DN 3" (80MM) L= 2,75 M</v>
          </cell>
          <cell r="C3015" t="str">
            <v>UN</v>
          </cell>
          <cell r="D3015">
            <v>56.31</v>
          </cell>
        </row>
        <row r="3016">
          <cell r="A3016">
            <v>85887</v>
          </cell>
          <cell r="B3016" t="str">
            <v>TUBO F0G0 DN 3" (80MM) L= 3,00 M</v>
          </cell>
          <cell r="C3016" t="str">
            <v>UN</v>
          </cell>
          <cell r="D3016">
            <v>61.43</v>
          </cell>
        </row>
        <row r="3017">
          <cell r="A3017">
            <v>85888</v>
          </cell>
          <cell r="B3017" t="str">
            <v>TUBO F0G0 DN 4" (100MM) L= 0,10 M</v>
          </cell>
          <cell r="C3017" t="str">
            <v>UN</v>
          </cell>
          <cell r="D3017">
            <v>2.92</v>
          </cell>
        </row>
        <row r="3018">
          <cell r="A3018">
            <v>85889</v>
          </cell>
          <cell r="B3018" t="str">
            <v>TUBO F0G0 DN 4" (100MM) L= 0,25 M</v>
          </cell>
          <cell r="C3018" t="str">
            <v>UN</v>
          </cell>
          <cell r="D3018">
            <v>7.29</v>
          </cell>
        </row>
        <row r="3019">
          <cell r="A3019">
            <v>85890</v>
          </cell>
          <cell r="B3019" t="str">
            <v>TUBO F0G0 DN 4" (100MM) L= 0,50 M</v>
          </cell>
          <cell r="C3019" t="str">
            <v>UN</v>
          </cell>
          <cell r="D3019">
            <v>14.6</v>
          </cell>
        </row>
        <row r="3020">
          <cell r="A3020">
            <v>85891</v>
          </cell>
          <cell r="B3020" t="str">
            <v>TUBO F0G0 DN 4" (100MM) L= 0,75 M</v>
          </cell>
          <cell r="C3020" t="str">
            <v>UN</v>
          </cell>
          <cell r="D3020">
            <v>21.89</v>
          </cell>
        </row>
        <row r="3021">
          <cell r="A3021">
            <v>85892</v>
          </cell>
          <cell r="B3021" t="str">
            <v>TUBO F0G0 DN 4" (100MM) L= 1,00 M</v>
          </cell>
          <cell r="C3021" t="str">
            <v>UN</v>
          </cell>
          <cell r="D3021">
            <v>29.18</v>
          </cell>
        </row>
        <row r="3022">
          <cell r="A3022">
            <v>85893</v>
          </cell>
          <cell r="B3022" t="str">
            <v>TUBO F0G0 DN 4" (100MM) L= 1,25 M</v>
          </cell>
          <cell r="C3022" t="str">
            <v>UN</v>
          </cell>
          <cell r="D3022">
            <v>36.479999999999997</v>
          </cell>
        </row>
        <row r="3023">
          <cell r="A3023">
            <v>85894</v>
          </cell>
          <cell r="B3023" t="str">
            <v>TUBO F0G0 DN 4" (100MM) L= 1,50 M</v>
          </cell>
          <cell r="C3023" t="str">
            <v>UN</v>
          </cell>
          <cell r="D3023">
            <v>43.78</v>
          </cell>
        </row>
        <row r="3024">
          <cell r="A3024">
            <v>85895</v>
          </cell>
          <cell r="B3024" t="str">
            <v>TUBO F0G0 DN 4" (100MM) L= 1,75 M</v>
          </cell>
          <cell r="C3024" t="str">
            <v>UN</v>
          </cell>
          <cell r="D3024">
            <v>51.07</v>
          </cell>
        </row>
        <row r="3025">
          <cell r="A3025">
            <v>85896</v>
          </cell>
          <cell r="B3025" t="str">
            <v>TUBO F0G0 DN 4" (100MM) L= 2,00 M</v>
          </cell>
          <cell r="C3025" t="str">
            <v>UN</v>
          </cell>
          <cell r="D3025">
            <v>58.37</v>
          </cell>
        </row>
        <row r="3026">
          <cell r="A3026">
            <v>85897</v>
          </cell>
          <cell r="B3026" t="str">
            <v>TUBO F0G0 DN 4" (100MM) L= 2,25 M</v>
          </cell>
          <cell r="C3026" t="str">
            <v>UN</v>
          </cell>
          <cell r="D3026">
            <v>65.66</v>
          </cell>
        </row>
        <row r="3027">
          <cell r="A3027">
            <v>85898</v>
          </cell>
          <cell r="B3027" t="str">
            <v>TUBO F0G0 DN 4" (100MM) L= 2,50 M</v>
          </cell>
          <cell r="C3027" t="str">
            <v>UN</v>
          </cell>
          <cell r="D3027">
            <v>72.959999999999994</v>
          </cell>
        </row>
        <row r="3028">
          <cell r="A3028">
            <v>85899</v>
          </cell>
          <cell r="B3028" t="str">
            <v>TUBO F0G0 DN 4" (100MM) L= 2,75 M</v>
          </cell>
          <cell r="C3028" t="str">
            <v>UN</v>
          </cell>
          <cell r="D3028">
            <v>80.25</v>
          </cell>
        </row>
        <row r="3029">
          <cell r="A3029">
            <v>85901</v>
          </cell>
          <cell r="B3029" t="str">
            <v>TUBO F0G0 DN 4" (100MM) L= 3,00 M</v>
          </cell>
          <cell r="C3029" t="str">
            <v>UN</v>
          </cell>
          <cell r="D3029">
            <v>87.55</v>
          </cell>
        </row>
        <row r="3030">
          <cell r="A3030">
            <v>85902</v>
          </cell>
          <cell r="B3030" t="str">
            <v>TUBO F0G0 DN 5" (125MM) L= 0,10 M</v>
          </cell>
          <cell r="C3030" t="str">
            <v>UN</v>
          </cell>
          <cell r="D3030">
            <v>5.65</v>
          </cell>
        </row>
        <row r="3031">
          <cell r="A3031">
            <v>85903</v>
          </cell>
          <cell r="B3031" t="str">
            <v>TUBO F0G0 DN 5" (125MM) L= 0,25 M</v>
          </cell>
          <cell r="C3031" t="str">
            <v>UN</v>
          </cell>
          <cell r="D3031">
            <v>14.13</v>
          </cell>
        </row>
        <row r="3032">
          <cell r="A3032">
            <v>85904</v>
          </cell>
          <cell r="B3032" t="str">
            <v>TUBO F0G0 DN 5" (125MM) L= 0,50 M</v>
          </cell>
          <cell r="C3032" t="str">
            <v>UN</v>
          </cell>
          <cell r="D3032">
            <v>28.26</v>
          </cell>
        </row>
        <row r="3033">
          <cell r="A3033">
            <v>85905</v>
          </cell>
          <cell r="B3033" t="str">
            <v>TUBO F0G0 DN 5" (125MM) L= 0,75 M</v>
          </cell>
          <cell r="C3033" t="str">
            <v>UN</v>
          </cell>
          <cell r="D3033">
            <v>42.38</v>
          </cell>
        </row>
        <row r="3034">
          <cell r="A3034">
            <v>85906</v>
          </cell>
          <cell r="B3034" t="str">
            <v>TUBO F0G0 DN 5" (125MM) L= 1,00 M</v>
          </cell>
          <cell r="C3034" t="str">
            <v>UN</v>
          </cell>
          <cell r="D3034">
            <v>56.51</v>
          </cell>
        </row>
        <row r="3035">
          <cell r="A3035">
            <v>85907</v>
          </cell>
          <cell r="B3035" t="str">
            <v>TUBO F0G0 DN 5" (125MM) L= 1,25 M</v>
          </cell>
          <cell r="C3035" t="str">
            <v>UN</v>
          </cell>
          <cell r="D3035">
            <v>70.64</v>
          </cell>
        </row>
        <row r="3036">
          <cell r="A3036">
            <v>85908</v>
          </cell>
          <cell r="B3036" t="str">
            <v>TUBO F0G0 DN 5" (125MM) L= 1,50 M</v>
          </cell>
          <cell r="C3036" t="str">
            <v>UN</v>
          </cell>
          <cell r="D3036">
            <v>84.77</v>
          </cell>
        </row>
        <row r="3037">
          <cell r="A3037">
            <v>85909</v>
          </cell>
          <cell r="B3037" t="str">
            <v>TUBO F0G0 DN 5" (125MM) L= 1,75 M</v>
          </cell>
          <cell r="C3037" t="str">
            <v>UN</v>
          </cell>
          <cell r="D3037">
            <v>98.9</v>
          </cell>
        </row>
        <row r="3038">
          <cell r="A3038">
            <v>85910</v>
          </cell>
          <cell r="B3038" t="str">
            <v>TUBO F0G0 DN 5" (125MM) L= 2,00 M</v>
          </cell>
          <cell r="C3038" t="str">
            <v>UN</v>
          </cell>
          <cell r="D3038">
            <v>113.02</v>
          </cell>
        </row>
        <row r="3039">
          <cell r="A3039">
            <v>85911</v>
          </cell>
          <cell r="B3039" t="str">
            <v>TUBO F0G0 DN 5" (125MM) L= 2,25 M</v>
          </cell>
          <cell r="C3039" t="str">
            <v>UN</v>
          </cell>
          <cell r="D3039">
            <v>127.15</v>
          </cell>
        </row>
        <row r="3040">
          <cell r="A3040">
            <v>85912</v>
          </cell>
          <cell r="B3040" t="str">
            <v>TUBO F0G0 DN 5" (125MM) L= 2,50 M</v>
          </cell>
          <cell r="C3040" t="str">
            <v>UN</v>
          </cell>
          <cell r="D3040">
            <v>141.28</v>
          </cell>
        </row>
        <row r="3041">
          <cell r="A3041">
            <v>85913</v>
          </cell>
          <cell r="B3041" t="str">
            <v>TUBO F0G0 DN 5" (125MM) L= 2,75 M</v>
          </cell>
          <cell r="C3041" t="str">
            <v>UN</v>
          </cell>
          <cell r="D3041">
            <v>155.41999999999999</v>
          </cell>
        </row>
        <row r="3042">
          <cell r="A3042">
            <v>85914</v>
          </cell>
          <cell r="B3042" t="str">
            <v>TUBO F0G0 DN 5" (125MM) L= 3,00 M</v>
          </cell>
          <cell r="C3042" t="str">
            <v>UN</v>
          </cell>
          <cell r="D3042">
            <v>169.55</v>
          </cell>
        </row>
        <row r="3043">
          <cell r="A3043">
            <v>85915</v>
          </cell>
          <cell r="B3043" t="str">
            <v>TUBO F0G0 DN 6" (150MM) L= 0,10 M</v>
          </cell>
          <cell r="C3043" t="str">
            <v>UN</v>
          </cell>
          <cell r="D3043">
            <v>6.7</v>
          </cell>
        </row>
        <row r="3044">
          <cell r="A3044">
            <v>85916</v>
          </cell>
          <cell r="B3044" t="str">
            <v>TUBO F0G0 DN 6" (150MM) L= 0,25 M</v>
          </cell>
          <cell r="C3044" t="str">
            <v>UN</v>
          </cell>
          <cell r="D3044">
            <v>16.75</v>
          </cell>
        </row>
        <row r="3045">
          <cell r="A3045">
            <v>85917</v>
          </cell>
          <cell r="B3045" t="str">
            <v>TUBO F0G0 DN 6" (150MM) L= 0,50 M</v>
          </cell>
          <cell r="C3045" t="str">
            <v>UN</v>
          </cell>
          <cell r="D3045">
            <v>33.51</v>
          </cell>
        </row>
        <row r="3046">
          <cell r="A3046">
            <v>85918</v>
          </cell>
          <cell r="B3046" t="str">
            <v>TUBO F0G0 DN 6" (150MM) L= 0,75 M</v>
          </cell>
          <cell r="C3046" t="str">
            <v>UN</v>
          </cell>
          <cell r="D3046">
            <v>50.26</v>
          </cell>
        </row>
        <row r="3047">
          <cell r="A3047">
            <v>85919</v>
          </cell>
          <cell r="B3047" t="str">
            <v>TUBO F0G0 DN 6" (150MM) L= 1,00 M</v>
          </cell>
          <cell r="C3047" t="str">
            <v>UN</v>
          </cell>
          <cell r="D3047">
            <v>67.010000000000005</v>
          </cell>
        </row>
        <row r="3048">
          <cell r="A3048">
            <v>85920</v>
          </cell>
          <cell r="B3048" t="str">
            <v>TUBO F0G0 DN 6" (150MM) L= 1,25 M</v>
          </cell>
          <cell r="C3048" t="str">
            <v>UN</v>
          </cell>
          <cell r="D3048">
            <v>83.77</v>
          </cell>
        </row>
        <row r="3049">
          <cell r="A3049">
            <v>85921</v>
          </cell>
          <cell r="B3049" t="str">
            <v>TUBO F0G0 DN 6" (150MM) L= 1,50 M</v>
          </cell>
          <cell r="C3049" t="str">
            <v>UN</v>
          </cell>
          <cell r="D3049">
            <v>100.52</v>
          </cell>
        </row>
        <row r="3050">
          <cell r="A3050">
            <v>85922</v>
          </cell>
          <cell r="B3050" t="str">
            <v>TUBO F0G0 DN 6" (150MM) L= 1,75 M</v>
          </cell>
          <cell r="C3050" t="str">
            <v>UN</v>
          </cell>
          <cell r="D3050">
            <v>117.28</v>
          </cell>
        </row>
        <row r="3051">
          <cell r="A3051">
            <v>85923</v>
          </cell>
          <cell r="B3051" t="str">
            <v>TUBO F0G0 DN 6" (150MM) L= 2,00 M</v>
          </cell>
          <cell r="C3051" t="str">
            <v>UN</v>
          </cell>
          <cell r="D3051">
            <v>134.02000000000001</v>
          </cell>
        </row>
        <row r="3052">
          <cell r="A3052">
            <v>85924</v>
          </cell>
          <cell r="B3052" t="str">
            <v>TUBO F0G0 DN 6" (150MM) L= 2,25 M</v>
          </cell>
          <cell r="C3052" t="str">
            <v>UN</v>
          </cell>
          <cell r="D3052">
            <v>150.78</v>
          </cell>
        </row>
        <row r="3053">
          <cell r="A3053">
            <v>85925</v>
          </cell>
          <cell r="B3053" t="str">
            <v>TUBO F0G0 DN 6" (150MM) L= 2,50 M</v>
          </cell>
          <cell r="C3053" t="str">
            <v>UN</v>
          </cell>
          <cell r="D3053">
            <v>167.53</v>
          </cell>
        </row>
        <row r="3054">
          <cell r="A3054">
            <v>85926</v>
          </cell>
          <cell r="B3054" t="str">
            <v>TUBO F0G0 DN 6" (150MM) L= 2,75 M</v>
          </cell>
          <cell r="C3054" t="str">
            <v>UN</v>
          </cell>
          <cell r="D3054">
            <v>184.29</v>
          </cell>
        </row>
        <row r="3055">
          <cell r="A3055">
            <v>85927</v>
          </cell>
          <cell r="B3055" t="str">
            <v>TUBO F0G0 DN 6" (150MM) L= 3,00 M</v>
          </cell>
          <cell r="C3055" t="str">
            <v>UN</v>
          </cell>
          <cell r="D3055">
            <v>201.03</v>
          </cell>
        </row>
        <row r="3056">
          <cell r="A3056">
            <v>85948</v>
          </cell>
          <cell r="B3056" t="str">
            <v>TORNEIRA DE BICO DE LATAO ROSCAVEL DN 1/2" (15MM)</v>
          </cell>
          <cell r="C3056" t="str">
            <v>UN</v>
          </cell>
          <cell r="D3056">
            <v>8</v>
          </cell>
        </row>
        <row r="3057">
          <cell r="A3057">
            <v>85949</v>
          </cell>
          <cell r="B3057" t="str">
            <v>VALV.SOLE.LATAO 2 VIAS NOR.FEC.ROSC.DN 3/4"(20MM)</v>
          </cell>
          <cell r="C3057" t="str">
            <v>UN</v>
          </cell>
          <cell r="D3057">
            <v>235</v>
          </cell>
        </row>
        <row r="3058">
          <cell r="A3058">
            <v>85950</v>
          </cell>
          <cell r="B3058" t="str">
            <v>REGISTRO DE GAVETA DE LATAO DN 1" (32MM)</v>
          </cell>
          <cell r="C3058" t="str">
            <v>UN</v>
          </cell>
          <cell r="D3058">
            <v>12</v>
          </cell>
        </row>
        <row r="3059">
          <cell r="A3059">
            <v>85951</v>
          </cell>
          <cell r="B3059" t="str">
            <v>REGISTRO DE GAVETA DE LATAO DN 2" (50MM)</v>
          </cell>
          <cell r="C3059" t="str">
            <v>UN</v>
          </cell>
          <cell r="D3059">
            <v>30</v>
          </cell>
        </row>
        <row r="3060">
          <cell r="A3060">
            <v>85952</v>
          </cell>
          <cell r="B3060" t="str">
            <v>REGISTRO DE GAVETA DE LATAO DN 3" (80MM)</v>
          </cell>
          <cell r="C3060" t="str">
            <v>UN</v>
          </cell>
          <cell r="D3060">
            <v>102</v>
          </cell>
        </row>
        <row r="3061">
          <cell r="A3061">
            <v>85953</v>
          </cell>
          <cell r="B3061" t="str">
            <v>REGISTRO DE GAVETA DE LATAO DN 3/4" (20 MM)</v>
          </cell>
          <cell r="C3061" t="str">
            <v>UN</v>
          </cell>
          <cell r="D3061">
            <v>9</v>
          </cell>
        </row>
        <row r="3063">
          <cell r="B3063" t="str">
            <v>86000 MATERIAL HIDRAULICO - BRONZE</v>
          </cell>
        </row>
        <row r="3065">
          <cell r="A3065">
            <v>86001</v>
          </cell>
          <cell r="B3065" t="str">
            <v>VALVULA DE GAVETA BRONZE (BRUTO) DN 1/4" (18MM)</v>
          </cell>
          <cell r="C3065" t="str">
            <v>UN</v>
          </cell>
          <cell r="D3065">
            <v>9.8699999999999992</v>
          </cell>
        </row>
        <row r="3066">
          <cell r="A3066">
            <v>86002</v>
          </cell>
          <cell r="B3066" t="str">
            <v>VALVULA DE GAVETA BRONZE (BRUTO) DN 3/8" (10MM)</v>
          </cell>
          <cell r="C3066" t="str">
            <v>UN</v>
          </cell>
          <cell r="D3066">
            <v>9.68</v>
          </cell>
        </row>
        <row r="3067">
          <cell r="A3067">
            <v>86003</v>
          </cell>
          <cell r="B3067" t="str">
            <v>VALVULA DE GAVETA BRONZE (BRUTO) DN 1/2" (15MM)</v>
          </cell>
          <cell r="C3067" t="str">
            <v>UN</v>
          </cell>
          <cell r="D3067">
            <v>6.29</v>
          </cell>
        </row>
        <row r="3068">
          <cell r="A3068">
            <v>86004</v>
          </cell>
          <cell r="B3068" t="str">
            <v>VALVULA DE GAVETA BRONZE (BRUTO) DN 3/4" (20MM)</v>
          </cell>
          <cell r="C3068" t="str">
            <v>UN</v>
          </cell>
          <cell r="D3068">
            <v>7.81</v>
          </cell>
        </row>
        <row r="3069">
          <cell r="A3069">
            <v>86005</v>
          </cell>
          <cell r="B3069" t="str">
            <v>VALVULA DE GAVETA BRONZE (BRUTO) DN 1" (25MM)</v>
          </cell>
          <cell r="C3069" t="str">
            <v>UN</v>
          </cell>
          <cell r="D3069">
            <v>10.18</v>
          </cell>
        </row>
        <row r="3070">
          <cell r="A3070">
            <v>86006</v>
          </cell>
          <cell r="B3070" t="str">
            <v>VALVULA DE GAVETA BRONZE (BRUTO) DN 1 1/4" (32MM)</v>
          </cell>
          <cell r="C3070" t="str">
            <v>UN</v>
          </cell>
          <cell r="D3070">
            <v>13.89</v>
          </cell>
        </row>
        <row r="3071">
          <cell r="A3071">
            <v>86007</v>
          </cell>
          <cell r="B3071" t="str">
            <v>VALVULA DE GAVETA BRONZE (BRUTO) DN 1 1/2" (40MM)</v>
          </cell>
          <cell r="C3071" t="str">
            <v>UN</v>
          </cell>
          <cell r="D3071">
            <v>15.76</v>
          </cell>
        </row>
        <row r="3072">
          <cell r="A3072">
            <v>86008</v>
          </cell>
          <cell r="B3072" t="str">
            <v>VALVULA DE GAVETA BRONZE (BRUTO) DN 2" (50MM)</v>
          </cell>
          <cell r="C3072" t="str">
            <v>UN</v>
          </cell>
          <cell r="D3072">
            <v>24.42</v>
          </cell>
        </row>
        <row r="3073">
          <cell r="A3073">
            <v>86009</v>
          </cell>
          <cell r="B3073" t="str">
            <v>VALVULA DE GAVETA BRONZE (BRUTO) DN 2 1/2" (65MM)</v>
          </cell>
          <cell r="C3073" t="str">
            <v>UN</v>
          </cell>
          <cell r="D3073">
            <v>44.49</v>
          </cell>
        </row>
        <row r="3074">
          <cell r="A3074">
            <v>86010</v>
          </cell>
          <cell r="B3074" t="str">
            <v>VALVULA DE GAVETA BRONZE (BRUTO) DN 3" (80MM)</v>
          </cell>
          <cell r="C3074" t="str">
            <v>UN</v>
          </cell>
          <cell r="D3074">
            <v>59.25</v>
          </cell>
        </row>
        <row r="3075">
          <cell r="A3075">
            <v>86011</v>
          </cell>
          <cell r="B3075" t="str">
            <v>VALVULA DE GAVETA BRONZE (BRUTO) DN 4" (100MM)</v>
          </cell>
          <cell r="C3075" t="str">
            <v>UN</v>
          </cell>
          <cell r="D3075">
            <v>181.95</v>
          </cell>
        </row>
        <row r="3076">
          <cell r="A3076">
            <v>86016</v>
          </cell>
          <cell r="B3076" t="str">
            <v>REG.DE PRESSAO BRONZE C/ACAB.CROM.DN 1/2" (15MM)</v>
          </cell>
          <cell r="C3076" t="str">
            <v>UN</v>
          </cell>
          <cell r="D3076">
            <v>23.25</v>
          </cell>
        </row>
        <row r="3077">
          <cell r="A3077">
            <v>86017</v>
          </cell>
          <cell r="B3077" t="str">
            <v>REG. DE PRESSAO BRONZE C/ACAB.CROM.DN 3/4" (20MM)</v>
          </cell>
          <cell r="C3077" t="str">
            <v>UN</v>
          </cell>
          <cell r="D3077">
            <v>31</v>
          </cell>
        </row>
        <row r="3078">
          <cell r="A3078">
            <v>86018</v>
          </cell>
          <cell r="B3078" t="str">
            <v>REG. DE PRESSAO BRONZE C/ACAB. CROM. DN 1" (25MM)</v>
          </cell>
          <cell r="C3078" t="str">
            <v>UN</v>
          </cell>
          <cell r="D3078">
            <v>38.75</v>
          </cell>
        </row>
        <row r="3079">
          <cell r="A3079">
            <v>86024</v>
          </cell>
          <cell r="B3079" t="str">
            <v>VALV.RET.H.BRONZE ROSCA 150 TP.ROSC.DN 1/4" (8MM)</v>
          </cell>
          <cell r="C3079" t="str">
            <v>UN</v>
          </cell>
          <cell r="D3079">
            <v>14.32</v>
          </cell>
        </row>
        <row r="3080">
          <cell r="A3080">
            <v>86030</v>
          </cell>
          <cell r="B3080" t="str">
            <v>VALV.RET.H.BRONZE ROSCA 150 TP.ROSC.DN 3/8" (10MM)</v>
          </cell>
          <cell r="C3080" t="str">
            <v>UN</v>
          </cell>
          <cell r="D3080">
            <v>15.65</v>
          </cell>
        </row>
        <row r="3081">
          <cell r="A3081">
            <v>86031</v>
          </cell>
          <cell r="B3081" t="str">
            <v>VALV.RET.H.BRONZE ROSCA 150 TP.ROSC.DN 1/2" (15MM)</v>
          </cell>
          <cell r="C3081" t="str">
            <v>UN</v>
          </cell>
          <cell r="D3081">
            <v>20.13</v>
          </cell>
        </row>
        <row r="3082">
          <cell r="A3082">
            <v>86032</v>
          </cell>
          <cell r="B3082" t="str">
            <v>VALV.RET.H.BRONZE ROSCA 150 TP.ROSC.DN 3/4" (20MM)</v>
          </cell>
          <cell r="C3082" t="str">
            <v>UN</v>
          </cell>
          <cell r="D3082">
            <v>24.07</v>
          </cell>
        </row>
        <row r="3083">
          <cell r="A3083">
            <v>86033</v>
          </cell>
          <cell r="B3083" t="str">
            <v>VALV.RET.H.BRONZE ROSCA 150 TP.ROSC.DN 1" (25MM)</v>
          </cell>
          <cell r="C3083" t="str">
            <v>UN</v>
          </cell>
          <cell r="D3083">
            <v>26.59</v>
          </cell>
        </row>
        <row r="3084">
          <cell r="A3084">
            <v>86034</v>
          </cell>
          <cell r="B3084" t="str">
            <v>VALV.RET.H.BZ.ROSCA 150 TP.ROSC.DN 1 1/4" (32MM)</v>
          </cell>
          <cell r="C3084" t="str">
            <v>UN</v>
          </cell>
          <cell r="D3084">
            <v>40.53</v>
          </cell>
        </row>
        <row r="3085">
          <cell r="A3085">
            <v>86035</v>
          </cell>
          <cell r="B3085" t="str">
            <v>VALV.RET.H.BZ.ROSCA 150 TP.ROSC.DN 1 1/2" (40MM)</v>
          </cell>
          <cell r="C3085" t="str">
            <v>UN</v>
          </cell>
          <cell r="D3085">
            <v>49.61</v>
          </cell>
        </row>
        <row r="3086">
          <cell r="A3086">
            <v>86036</v>
          </cell>
          <cell r="B3086" t="str">
            <v>VALV.RET.H.BRONZE ROSCA 150 TP.ROSC.DN 2" (50MM)</v>
          </cell>
          <cell r="C3086" t="str">
            <v>UN</v>
          </cell>
          <cell r="D3086">
            <v>73.900000000000006</v>
          </cell>
        </row>
        <row r="3087">
          <cell r="A3087">
            <v>86037</v>
          </cell>
          <cell r="B3087" t="str">
            <v>VALV.RET.H.BZ.ROSCA 150 TP.ROSC.DN 2 1/2" (65MM)</v>
          </cell>
          <cell r="C3087" t="str">
            <v>UN</v>
          </cell>
          <cell r="D3087">
            <v>113.81</v>
          </cell>
        </row>
        <row r="3088">
          <cell r="A3088">
            <v>86038</v>
          </cell>
          <cell r="B3088" t="str">
            <v>VALV.RET.H.BRONZE ROSCA 150 TP.ROSC.DN 3" (80MM)</v>
          </cell>
          <cell r="C3088" t="str">
            <v>UN</v>
          </cell>
          <cell r="D3088">
            <v>183.35</v>
          </cell>
        </row>
        <row r="3089">
          <cell r="A3089">
            <v>86044</v>
          </cell>
          <cell r="B3089" t="str">
            <v>VALV.GAV.BZ.ROSCA 125 FEC.RAP.D.CONV.DN 1/2"(15MM)</v>
          </cell>
          <cell r="C3089" t="str">
            <v>UN</v>
          </cell>
          <cell r="D3089">
            <v>24.6</v>
          </cell>
        </row>
        <row r="3090">
          <cell r="A3090">
            <v>86050</v>
          </cell>
          <cell r="B3090" t="str">
            <v>VALV.GAV.BZ.ROSCA 125 FEC.RAP.D.CONV.DN 3/4"(20MM)</v>
          </cell>
          <cell r="C3090" t="str">
            <v>UN</v>
          </cell>
          <cell r="D3090">
            <v>27.18</v>
          </cell>
        </row>
        <row r="3091">
          <cell r="A3091">
            <v>86051</v>
          </cell>
          <cell r="B3091" t="str">
            <v>VALV.GAV.BZ.ROSCA 125 FEC.RAP.D.CONV.DN 1" (25MM)</v>
          </cell>
          <cell r="C3091" t="str">
            <v>UN</v>
          </cell>
          <cell r="D3091">
            <v>30.37</v>
          </cell>
        </row>
        <row r="3092">
          <cell r="A3092">
            <v>86052</v>
          </cell>
          <cell r="B3092" t="str">
            <v>VALV.GAV.BZ.RC.125 FEC.RAP.D.CONV.DN 1 1/4" (25MM)</v>
          </cell>
          <cell r="C3092" t="str">
            <v>UN</v>
          </cell>
          <cell r="D3092">
            <v>38.24</v>
          </cell>
        </row>
        <row r="3093">
          <cell r="A3093">
            <v>86053</v>
          </cell>
          <cell r="B3093" t="str">
            <v>VALV.GAV.BZ.RC.125 FEC.RAP.D.CONV.DN 1 1/2" (40MM)</v>
          </cell>
          <cell r="C3093" t="str">
            <v>UN</v>
          </cell>
          <cell r="D3093">
            <v>48.79</v>
          </cell>
        </row>
        <row r="3094">
          <cell r="A3094">
            <v>86054</v>
          </cell>
          <cell r="B3094" t="str">
            <v>VALV.GAV.BZ.ROSCA 125 FEC.D.RAP.CONV.DN 2" (50MM)</v>
          </cell>
          <cell r="C3094" t="str">
            <v>UN</v>
          </cell>
          <cell r="D3094">
            <v>64.61</v>
          </cell>
        </row>
        <row r="3095">
          <cell r="A3095">
            <v>86055</v>
          </cell>
          <cell r="B3095" t="str">
            <v>VALV.GAV.BZ.RC.125 FEC.RAP.D.CONV.DN 2 1/2" (65MM)</v>
          </cell>
          <cell r="C3095" t="str">
            <v>UN</v>
          </cell>
          <cell r="D3095">
            <v>91.57</v>
          </cell>
        </row>
        <row r="3096">
          <cell r="A3096">
            <v>86056</v>
          </cell>
          <cell r="B3096" t="str">
            <v>VALV.GAV.BZ.ROSCA 125 FEC.RAP.D.CONV.DN 3" (80MM)</v>
          </cell>
          <cell r="C3096" t="str">
            <v>UN</v>
          </cell>
          <cell r="D3096">
            <v>101.73</v>
          </cell>
        </row>
        <row r="3097">
          <cell r="A3097">
            <v>86057</v>
          </cell>
          <cell r="B3097" t="str">
            <v>VALV.GAV.BZ.ROSCA 125 FEC.RAP.D.CONV.DN 4" (100MM)</v>
          </cell>
          <cell r="C3097" t="str">
            <v>UN</v>
          </cell>
          <cell r="D3097">
            <v>209.73</v>
          </cell>
        </row>
        <row r="3098">
          <cell r="A3098">
            <v>86062</v>
          </cell>
          <cell r="B3098" t="str">
            <v>VALVULA RETENCAO C/PORT. BRONZE ROSC.DN 2" (50MM)</v>
          </cell>
          <cell r="C3098" t="str">
            <v>UN</v>
          </cell>
          <cell r="D3098">
            <v>55</v>
          </cell>
        </row>
        <row r="3099">
          <cell r="A3099">
            <v>86063</v>
          </cell>
          <cell r="B3099" t="str">
            <v>VALVULA RETENCAO C/PORT. BRONZE ROSC.DN 3" (80MM)</v>
          </cell>
          <cell r="C3099" t="str">
            <v>UN</v>
          </cell>
          <cell r="D3099">
            <v>98</v>
          </cell>
        </row>
        <row r="3100">
          <cell r="A3100">
            <v>86068</v>
          </cell>
          <cell r="B3100" t="str">
            <v>VALVULA AGULHA BRONZE ROSCAVEL DN 3/4" (20MM)</v>
          </cell>
          <cell r="C3100" t="str">
            <v>UN</v>
          </cell>
          <cell r="D3100">
            <v>27</v>
          </cell>
        </row>
        <row r="3102">
          <cell r="B3102" t="str">
            <v>86100 MATERIAL HIDRAULICO - CONCRETO</v>
          </cell>
        </row>
        <row r="3104">
          <cell r="A3104">
            <v>86101</v>
          </cell>
          <cell r="B3104" t="str">
            <v>TUBO DE CONCRETO SIMPLES DN 200</v>
          </cell>
          <cell r="C3104" t="str">
            <v>M</v>
          </cell>
          <cell r="D3104">
            <v>9.07</v>
          </cell>
        </row>
        <row r="3105">
          <cell r="A3105">
            <v>86102</v>
          </cell>
          <cell r="B3105" t="str">
            <v>TUBO DE CONCRETO SIMPLES DN 300</v>
          </cell>
          <cell r="C3105" t="str">
            <v>M</v>
          </cell>
          <cell r="D3105">
            <v>14.43</v>
          </cell>
        </row>
        <row r="3106">
          <cell r="A3106">
            <v>86103</v>
          </cell>
          <cell r="B3106" t="str">
            <v>TUBO DE CONCRETO SIMPLES DN 400</v>
          </cell>
          <cell r="C3106" t="str">
            <v>M</v>
          </cell>
          <cell r="D3106">
            <v>16.43</v>
          </cell>
        </row>
        <row r="3107">
          <cell r="A3107">
            <v>86104</v>
          </cell>
          <cell r="B3107" t="str">
            <v>TUBO DE CONCRETO SIMPLES DN 500</v>
          </cell>
          <cell r="C3107" t="str">
            <v>M</v>
          </cell>
          <cell r="D3107">
            <v>23.03</v>
          </cell>
        </row>
        <row r="3108">
          <cell r="A3108">
            <v>86110</v>
          </cell>
          <cell r="B3108" t="str">
            <v>TUBO DE CONCRETO ARMADO DN 600</v>
          </cell>
          <cell r="C3108" t="str">
            <v>M</v>
          </cell>
          <cell r="D3108">
            <v>38.97</v>
          </cell>
        </row>
        <row r="3109">
          <cell r="A3109">
            <v>86111</v>
          </cell>
          <cell r="B3109" t="str">
            <v>TUBO DE CONCRETO ARMADO DN 800</v>
          </cell>
          <cell r="C3109" t="str">
            <v>M</v>
          </cell>
          <cell r="D3109">
            <v>67.67</v>
          </cell>
        </row>
        <row r="3110">
          <cell r="A3110">
            <v>86112</v>
          </cell>
          <cell r="B3110" t="str">
            <v>TUBO DE CONCRETO ARMADO 1000</v>
          </cell>
          <cell r="C3110" t="str">
            <v>M</v>
          </cell>
          <cell r="D3110">
            <v>93.93</v>
          </cell>
        </row>
        <row r="3111">
          <cell r="A3111">
            <v>86113</v>
          </cell>
          <cell r="B3111" t="str">
            <v>TUBO DE CONCRETO ARMADO DN 1200</v>
          </cell>
          <cell r="C3111" t="str">
            <v>M</v>
          </cell>
          <cell r="D3111">
            <v>133.33000000000001</v>
          </cell>
        </row>
        <row r="3112">
          <cell r="A3112">
            <v>86119</v>
          </cell>
          <cell r="B3112" t="str">
            <v>CANALETA DE CONCRETO SIMPLES MEIA CANA DN 300</v>
          </cell>
          <cell r="C3112" t="str">
            <v>M</v>
          </cell>
          <cell r="D3112">
            <v>8.48</v>
          </cell>
        </row>
        <row r="3113">
          <cell r="A3113">
            <v>86120</v>
          </cell>
          <cell r="B3113" t="str">
            <v>CANALETA DE CONCRETO SIMPLES MEIA CANA DN 400</v>
          </cell>
          <cell r="C3113" t="str">
            <v>M</v>
          </cell>
          <cell r="D3113">
            <v>10.9</v>
          </cell>
        </row>
        <row r="3114">
          <cell r="A3114">
            <v>86121</v>
          </cell>
          <cell r="B3114" t="str">
            <v>CANALETA DE CONCRETO SIMPLES MEIA CANA DN 600</v>
          </cell>
          <cell r="C3114" t="str">
            <v>M</v>
          </cell>
          <cell r="D3114">
            <v>16.829999999999998</v>
          </cell>
        </row>
        <row r="3115">
          <cell r="A3115">
            <v>86127</v>
          </cell>
          <cell r="B3115" t="str">
            <v>TUBO DE CONCRETO ARMADO CA-2 JE MACOPAR DN 300</v>
          </cell>
          <cell r="C3115" t="str">
            <v>M</v>
          </cell>
          <cell r="D3115">
            <v>58.89</v>
          </cell>
        </row>
        <row r="3116">
          <cell r="A3116">
            <v>86128</v>
          </cell>
          <cell r="B3116" t="str">
            <v>TUBO DE CONCRETO ARMADO CA-2 JE MACOPAR DN 350</v>
          </cell>
          <cell r="C3116" t="str">
            <v>M</v>
          </cell>
          <cell r="D3116">
            <v>67.760000000000005</v>
          </cell>
        </row>
        <row r="3117">
          <cell r="A3117">
            <v>86129</v>
          </cell>
          <cell r="B3117" t="str">
            <v>TUBO DE CONCRETO ARMADO CA-2 JE MACOPAR DN 400</v>
          </cell>
          <cell r="C3117" t="str">
            <v>M</v>
          </cell>
          <cell r="D3117">
            <v>84.7</v>
          </cell>
        </row>
        <row r="3118">
          <cell r="A3118">
            <v>86130</v>
          </cell>
          <cell r="B3118" t="str">
            <v>TUBO DE CONCRETO ARMADO CA-2 JE MACOPAR DN 450</v>
          </cell>
          <cell r="C3118" t="str">
            <v>M</v>
          </cell>
          <cell r="D3118">
            <v>93.17</v>
          </cell>
        </row>
        <row r="3119">
          <cell r="A3119">
            <v>86131</v>
          </cell>
          <cell r="B3119" t="str">
            <v>TUBO DE CONCRETO ARMADO CA-2 JE MACOPAR DN 500</v>
          </cell>
          <cell r="C3119" t="str">
            <v>M</v>
          </cell>
          <cell r="D3119">
            <v>111.32</v>
          </cell>
        </row>
        <row r="3120">
          <cell r="A3120">
            <v>86132</v>
          </cell>
          <cell r="B3120" t="str">
            <v>TUBO DE CONCRETO ARMADO CA-2 JE MACOPAR DN 600</v>
          </cell>
          <cell r="C3120" t="str">
            <v>M</v>
          </cell>
          <cell r="D3120">
            <v>139.12</v>
          </cell>
        </row>
        <row r="3121">
          <cell r="A3121">
            <v>86133</v>
          </cell>
          <cell r="B3121" t="str">
            <v>TUBO DE CONCRETO ARMADO CA-2 JE MACOPAR DN 700</v>
          </cell>
          <cell r="C3121" t="str">
            <v>M</v>
          </cell>
          <cell r="D3121">
            <v>173.03</v>
          </cell>
        </row>
        <row r="3122">
          <cell r="A3122">
            <v>86134</v>
          </cell>
          <cell r="B3122" t="str">
            <v>TUBO DE CONCRETO ARMADO CA-2 JE MACOPAR DN 800</v>
          </cell>
          <cell r="C3122" t="str">
            <v>M</v>
          </cell>
          <cell r="D3122">
            <v>219.01</v>
          </cell>
        </row>
        <row r="3123">
          <cell r="A3123">
            <v>86135</v>
          </cell>
          <cell r="B3123" t="str">
            <v>TUBO DE CONCRETO ARMADO CA-2 JE MACOPAR DN 900</v>
          </cell>
          <cell r="C3123" t="str">
            <v>M</v>
          </cell>
          <cell r="D3123">
            <v>279.51</v>
          </cell>
        </row>
        <row r="3124">
          <cell r="A3124">
            <v>86136</v>
          </cell>
          <cell r="B3124" t="str">
            <v>TUBO DE CONCRETO ARMADO CA-2 JE MACOPAR DN 1000</v>
          </cell>
          <cell r="C3124" t="str">
            <v>M</v>
          </cell>
          <cell r="D3124">
            <v>332.75</v>
          </cell>
        </row>
        <row r="3125">
          <cell r="A3125">
            <v>86137</v>
          </cell>
          <cell r="B3125" t="str">
            <v>TUBO DE CONCRETO ARMADO CA-2 JE MACOPAR DN 1100</v>
          </cell>
          <cell r="C3125" t="str">
            <v>M</v>
          </cell>
          <cell r="D3125">
            <v>385.99</v>
          </cell>
        </row>
        <row r="3126">
          <cell r="A3126">
            <v>86138</v>
          </cell>
          <cell r="B3126" t="str">
            <v>TUBO DE CONCRETO ARMADO CA-2 JE MACOPAR DN 1200</v>
          </cell>
          <cell r="C3126" t="str">
            <v>M</v>
          </cell>
          <cell r="D3126">
            <v>471.9</v>
          </cell>
        </row>
        <row r="3127">
          <cell r="A3127">
            <v>86139</v>
          </cell>
          <cell r="B3127" t="str">
            <v>TUBO DE CONCRETO ARMADO CA-2 JE MACOPAR DN 1500</v>
          </cell>
          <cell r="C3127" t="str">
            <v>M</v>
          </cell>
          <cell r="D3127">
            <v>763.31</v>
          </cell>
        </row>
        <row r="3128">
          <cell r="A3128">
            <v>86140</v>
          </cell>
          <cell r="B3128" t="str">
            <v>TUBO DE CONCRETO ARMADO CA-2 JE MACOPAR DN 1700</v>
          </cell>
          <cell r="C3128" t="str">
            <v>M</v>
          </cell>
          <cell r="D3128">
            <v>1188.22</v>
          </cell>
        </row>
        <row r="3129">
          <cell r="A3129">
            <v>86141</v>
          </cell>
          <cell r="B3129" t="str">
            <v>TUBO DE CONCRETO ARMADO CA-2 JE MACOPAR DN 2000</v>
          </cell>
          <cell r="C3129" t="str">
            <v>M</v>
          </cell>
          <cell r="D3129">
            <v>1497.98</v>
          </cell>
        </row>
        <row r="3130">
          <cell r="A3130">
            <v>86142</v>
          </cell>
          <cell r="B3130" t="str">
            <v>TUBO DE CONCRETO ARMADO CA-2 JE MACOPAR DN 2200</v>
          </cell>
          <cell r="C3130" t="str">
            <v>M</v>
          </cell>
          <cell r="D3130">
            <v>1969.88</v>
          </cell>
        </row>
        <row r="3132">
          <cell r="B3132" t="str">
            <v>86200 MATERIAL HIDRAULICO - MANILHA DE BARRO VIDRADO</v>
          </cell>
        </row>
        <row r="3134">
          <cell r="A3134">
            <v>86201</v>
          </cell>
          <cell r="B3134" t="str">
            <v>TUBO NBV DN 100</v>
          </cell>
          <cell r="C3134" t="str">
            <v>M</v>
          </cell>
          <cell r="D3134">
            <v>5.95</v>
          </cell>
        </row>
        <row r="3135">
          <cell r="A3135">
            <v>86202</v>
          </cell>
          <cell r="B3135" t="str">
            <v>TUBO MBV ND 150</v>
          </cell>
          <cell r="C3135" t="str">
            <v>M</v>
          </cell>
          <cell r="D3135">
            <v>9.49</v>
          </cell>
        </row>
        <row r="3136">
          <cell r="A3136">
            <v>86203</v>
          </cell>
          <cell r="B3136" t="str">
            <v>TUBO MBV DN 200</v>
          </cell>
          <cell r="C3136" t="str">
            <v>M</v>
          </cell>
          <cell r="D3136">
            <v>15.86</v>
          </cell>
        </row>
        <row r="3137">
          <cell r="A3137">
            <v>86204</v>
          </cell>
          <cell r="B3137" t="str">
            <v>TUBO MBV DN 250</v>
          </cell>
          <cell r="C3137" t="str">
            <v>M</v>
          </cell>
          <cell r="D3137">
            <v>29.41</v>
          </cell>
        </row>
        <row r="3138">
          <cell r="A3138">
            <v>86205</v>
          </cell>
          <cell r="B3138" t="str">
            <v>TUBO MBV DN 300</v>
          </cell>
          <cell r="C3138" t="str">
            <v>M</v>
          </cell>
          <cell r="D3138">
            <v>36.69</v>
          </cell>
        </row>
        <row r="3139">
          <cell r="A3139">
            <v>86206</v>
          </cell>
          <cell r="B3139" t="str">
            <v>TUBO MBV DN 350</v>
          </cell>
          <cell r="C3139" t="str">
            <v>M</v>
          </cell>
          <cell r="D3139">
            <v>51.82</v>
          </cell>
        </row>
        <row r="3140">
          <cell r="A3140">
            <v>86207</v>
          </cell>
          <cell r="B3140" t="str">
            <v>TUBO MBV DN 375</v>
          </cell>
          <cell r="C3140" t="str">
            <v>M</v>
          </cell>
          <cell r="D3140">
            <v>58.01</v>
          </cell>
        </row>
        <row r="3141">
          <cell r="A3141">
            <v>86208</v>
          </cell>
          <cell r="B3141" t="str">
            <v>TUBO MBV DN 400</v>
          </cell>
          <cell r="C3141" t="str">
            <v>M</v>
          </cell>
          <cell r="D3141">
            <v>76.55</v>
          </cell>
        </row>
        <row r="3142">
          <cell r="A3142">
            <v>86209</v>
          </cell>
          <cell r="B3142" t="str">
            <v>TUBO MBV DN 450</v>
          </cell>
          <cell r="C3142" t="str">
            <v>M</v>
          </cell>
          <cell r="D3142">
            <v>91</v>
          </cell>
        </row>
        <row r="3143">
          <cell r="A3143">
            <v>86215</v>
          </cell>
          <cell r="B3143" t="str">
            <v>CURVAA 45G MBV DN 100</v>
          </cell>
          <cell r="C3143" t="str">
            <v>UN</v>
          </cell>
          <cell r="D3143">
            <v>7.34</v>
          </cell>
        </row>
        <row r="3144">
          <cell r="A3144">
            <v>86216</v>
          </cell>
          <cell r="B3144" t="str">
            <v>CURVA 45G MBV DN 150</v>
          </cell>
          <cell r="C3144" t="str">
            <v>UN</v>
          </cell>
          <cell r="D3144">
            <v>9.8800000000000008</v>
          </cell>
        </row>
        <row r="3145">
          <cell r="A3145">
            <v>86217</v>
          </cell>
          <cell r="B3145" t="str">
            <v>CURVA 45G MBV DN 200</v>
          </cell>
          <cell r="C3145" t="str">
            <v>UN</v>
          </cell>
          <cell r="D3145">
            <v>17.57</v>
          </cell>
        </row>
        <row r="3146">
          <cell r="A3146">
            <v>86218</v>
          </cell>
          <cell r="B3146" t="str">
            <v>CURVA 45G MBV DN 250</v>
          </cell>
          <cell r="C3146" t="str">
            <v>UN</v>
          </cell>
          <cell r="D3146">
            <v>33.869999999999997</v>
          </cell>
        </row>
        <row r="3147">
          <cell r="A3147">
            <v>86219</v>
          </cell>
          <cell r="B3147" t="str">
            <v>CURVA 45G MBV DN 300</v>
          </cell>
          <cell r="C3147" t="str">
            <v>UN</v>
          </cell>
          <cell r="D3147">
            <v>108.88</v>
          </cell>
        </row>
        <row r="3148">
          <cell r="A3148">
            <v>86225</v>
          </cell>
          <cell r="B3148" t="str">
            <v>CURVA 90G MBV DN 100</v>
          </cell>
          <cell r="C3148" t="str">
            <v>UN</v>
          </cell>
          <cell r="D3148">
            <v>6.91</v>
          </cell>
        </row>
        <row r="3149">
          <cell r="A3149">
            <v>86226</v>
          </cell>
          <cell r="B3149" t="str">
            <v>CURVA 90G MBV DN 150</v>
          </cell>
          <cell r="C3149" t="str">
            <v>UN</v>
          </cell>
          <cell r="D3149">
            <v>10</v>
          </cell>
        </row>
        <row r="3150">
          <cell r="A3150">
            <v>86227</v>
          </cell>
          <cell r="B3150" t="str">
            <v>CURVA 90G MBV DN 200</v>
          </cell>
          <cell r="C3150" t="str">
            <v>UN</v>
          </cell>
          <cell r="D3150">
            <v>17.329999999999998</v>
          </cell>
        </row>
        <row r="3151">
          <cell r="A3151">
            <v>86228</v>
          </cell>
          <cell r="B3151" t="str">
            <v>CURVA MBV DN 250</v>
          </cell>
          <cell r="C3151" t="str">
            <v>UN</v>
          </cell>
          <cell r="D3151">
            <v>33.74</v>
          </cell>
        </row>
        <row r="3152">
          <cell r="A3152">
            <v>86229</v>
          </cell>
          <cell r="B3152" t="str">
            <v>CURVA MBV DN 300</v>
          </cell>
          <cell r="C3152" t="str">
            <v>UN</v>
          </cell>
          <cell r="D3152">
            <v>109.85</v>
          </cell>
        </row>
        <row r="3153">
          <cell r="A3153">
            <v>86235</v>
          </cell>
          <cell r="B3153" t="str">
            <v>SELIM MBV DN 150 X 100</v>
          </cell>
          <cell r="C3153" t="str">
            <v>UN</v>
          </cell>
          <cell r="D3153">
            <v>12.53</v>
          </cell>
        </row>
        <row r="3154">
          <cell r="A3154">
            <v>86236</v>
          </cell>
          <cell r="B3154" t="str">
            <v>SELIM MBV DN 200 X 100</v>
          </cell>
          <cell r="C3154" t="str">
            <v>UN</v>
          </cell>
          <cell r="D3154">
            <v>12.69</v>
          </cell>
        </row>
        <row r="3155">
          <cell r="A3155">
            <v>86237</v>
          </cell>
          <cell r="B3155" t="str">
            <v>SELIM MBV DN 250 X 100</v>
          </cell>
          <cell r="C3155" t="str">
            <v>UN</v>
          </cell>
          <cell r="D3155">
            <v>12.69</v>
          </cell>
        </row>
        <row r="3156">
          <cell r="A3156">
            <v>86238</v>
          </cell>
          <cell r="B3156" t="str">
            <v>SELIM MBV DN 300 X 100</v>
          </cell>
          <cell r="C3156" t="str">
            <v>UN</v>
          </cell>
          <cell r="D3156">
            <v>16.8</v>
          </cell>
        </row>
        <row r="3157">
          <cell r="A3157">
            <v>86239</v>
          </cell>
          <cell r="B3157" t="str">
            <v>SELIM MBV DN 200 X 150</v>
          </cell>
          <cell r="C3157" t="str">
            <v>UN</v>
          </cell>
          <cell r="D3157">
            <v>11.86</v>
          </cell>
        </row>
        <row r="3158">
          <cell r="A3158">
            <v>86240</v>
          </cell>
          <cell r="B3158" t="str">
            <v>SELIM MBV DN 250 X 150</v>
          </cell>
          <cell r="C3158" t="str">
            <v>UN</v>
          </cell>
          <cell r="D3158">
            <v>16.62</v>
          </cell>
        </row>
        <row r="3159">
          <cell r="A3159">
            <v>86241</v>
          </cell>
          <cell r="B3159" t="str">
            <v>SELIM MBV DN 300 X 150</v>
          </cell>
          <cell r="C3159" t="str">
            <v>UN</v>
          </cell>
          <cell r="D3159">
            <v>19.760000000000002</v>
          </cell>
        </row>
        <row r="3160">
          <cell r="A3160">
            <v>86246</v>
          </cell>
          <cell r="B3160" t="str">
            <v>JUNCAO MBV DN 100 X 100</v>
          </cell>
          <cell r="C3160" t="str">
            <v>UN</v>
          </cell>
          <cell r="D3160">
            <v>4.7300000000000004</v>
          </cell>
        </row>
        <row r="3161">
          <cell r="A3161">
            <v>86247</v>
          </cell>
          <cell r="B3161" t="str">
            <v>JUNCAO MBV DN 150 X 100</v>
          </cell>
          <cell r="C3161" t="str">
            <v>UN</v>
          </cell>
          <cell r="D3161">
            <v>8.32</v>
          </cell>
        </row>
        <row r="3162">
          <cell r="A3162">
            <v>86248</v>
          </cell>
          <cell r="B3162" t="str">
            <v>JUNCAO MBV DN 200 X 100</v>
          </cell>
          <cell r="C3162" t="str">
            <v>UN</v>
          </cell>
          <cell r="D3162">
            <v>7.9</v>
          </cell>
        </row>
        <row r="3163">
          <cell r="A3163">
            <v>86249</v>
          </cell>
          <cell r="B3163" t="str">
            <v>UNCAO MBV DN 250 X 100</v>
          </cell>
          <cell r="C3163" t="str">
            <v>UN</v>
          </cell>
          <cell r="D3163">
            <v>15.12</v>
          </cell>
        </row>
        <row r="3164">
          <cell r="A3164">
            <v>86250</v>
          </cell>
          <cell r="B3164" t="str">
            <v>JUNCAO MBV 300 X 100</v>
          </cell>
          <cell r="C3164" t="str">
            <v>UN</v>
          </cell>
          <cell r="D3164">
            <v>18.16</v>
          </cell>
        </row>
        <row r="3165">
          <cell r="A3165">
            <v>86251</v>
          </cell>
          <cell r="B3165" t="str">
            <v>JUNCAO MBV DN 350 X 100</v>
          </cell>
          <cell r="C3165" t="str">
            <v>UN</v>
          </cell>
          <cell r="D3165">
            <v>30.71</v>
          </cell>
        </row>
        <row r="3166">
          <cell r="A3166">
            <v>86252</v>
          </cell>
          <cell r="B3166" t="str">
            <v>JUNCAO MBV DN 375 X 100</v>
          </cell>
          <cell r="C3166" t="str">
            <v>UN</v>
          </cell>
          <cell r="D3166">
            <v>34.770000000000003</v>
          </cell>
        </row>
        <row r="3167">
          <cell r="A3167">
            <v>86253</v>
          </cell>
          <cell r="B3167" t="str">
            <v>JUNCAO MBV DN 400 X 100</v>
          </cell>
          <cell r="C3167" t="str">
            <v>UN</v>
          </cell>
          <cell r="D3167">
            <v>38.450000000000003</v>
          </cell>
        </row>
        <row r="3168">
          <cell r="A3168">
            <v>86254</v>
          </cell>
          <cell r="B3168" t="str">
            <v>JUNCAO MBV DN 450 X 100</v>
          </cell>
          <cell r="C3168" t="str">
            <v>UN</v>
          </cell>
          <cell r="D3168">
            <v>66.37</v>
          </cell>
        </row>
        <row r="3169">
          <cell r="A3169">
            <v>86255</v>
          </cell>
          <cell r="B3169" t="str">
            <v>JUNCAO MBV DN 150 X 150</v>
          </cell>
          <cell r="C3169" t="str">
            <v>UN</v>
          </cell>
          <cell r="D3169">
            <v>14.91</v>
          </cell>
        </row>
        <row r="3170">
          <cell r="A3170">
            <v>86256</v>
          </cell>
          <cell r="B3170" t="str">
            <v>JUNCAO MBV DN 200 X 150</v>
          </cell>
          <cell r="C3170" t="str">
            <v>UN</v>
          </cell>
          <cell r="D3170">
            <v>20.48</v>
          </cell>
        </row>
        <row r="3171">
          <cell r="A3171">
            <v>86257</v>
          </cell>
          <cell r="B3171" t="str">
            <v>JUNCAO MBV DN 250 X 150</v>
          </cell>
          <cell r="C3171" t="str">
            <v>UN</v>
          </cell>
          <cell r="D3171">
            <v>42.41</v>
          </cell>
        </row>
        <row r="3172">
          <cell r="A3172">
            <v>86258</v>
          </cell>
          <cell r="B3172" t="str">
            <v>JUNCAO MBV DN 300 X 150</v>
          </cell>
          <cell r="C3172" t="str">
            <v>UN</v>
          </cell>
          <cell r="D3172">
            <v>63.33</v>
          </cell>
        </row>
        <row r="3173">
          <cell r="A3173">
            <v>86259</v>
          </cell>
          <cell r="B3173" t="str">
            <v>JUNCAO MBV DN 350 X 150</v>
          </cell>
          <cell r="C3173" t="str">
            <v>UN</v>
          </cell>
          <cell r="D3173">
            <v>95.32</v>
          </cell>
        </row>
        <row r="3174">
          <cell r="A3174">
            <v>86260</v>
          </cell>
          <cell r="B3174" t="str">
            <v>JUNCAO MBV DN 375 X 150</v>
          </cell>
          <cell r="C3174" t="str">
            <v>UN</v>
          </cell>
          <cell r="D3174">
            <v>106.64</v>
          </cell>
        </row>
        <row r="3175">
          <cell r="A3175">
            <v>86261</v>
          </cell>
          <cell r="B3175" t="str">
            <v>JUNCAO MBV DN 400 X 150</v>
          </cell>
          <cell r="C3175" t="str">
            <v>UN</v>
          </cell>
          <cell r="D3175">
            <v>127.9</v>
          </cell>
        </row>
        <row r="3176">
          <cell r="A3176">
            <v>86262</v>
          </cell>
          <cell r="B3176" t="str">
            <v>JUNCAO MBV DN 450 X 150</v>
          </cell>
          <cell r="C3176" t="str">
            <v>UN</v>
          </cell>
          <cell r="D3176">
            <v>203.24</v>
          </cell>
        </row>
        <row r="3177">
          <cell r="A3177">
            <v>86263</v>
          </cell>
          <cell r="B3177" t="str">
            <v>JUNCAO MBV DN 200 X 200</v>
          </cell>
          <cell r="C3177" t="str">
            <v>UN</v>
          </cell>
          <cell r="D3177">
            <v>25.8</v>
          </cell>
        </row>
        <row r="3178">
          <cell r="A3178">
            <v>86264</v>
          </cell>
          <cell r="B3178" t="str">
            <v>JUNCAO MBV DN 250 X 200</v>
          </cell>
          <cell r="C3178" t="str">
            <v>UN</v>
          </cell>
          <cell r="D3178">
            <v>50.9</v>
          </cell>
        </row>
        <row r="3179">
          <cell r="A3179">
            <v>86265</v>
          </cell>
          <cell r="B3179" t="str">
            <v>JUNCAO MBV DN 300 X 200</v>
          </cell>
          <cell r="C3179" t="str">
            <v>UN</v>
          </cell>
          <cell r="D3179">
            <v>75.89</v>
          </cell>
        </row>
        <row r="3180">
          <cell r="A3180">
            <v>86266</v>
          </cell>
          <cell r="B3180" t="str">
            <v>JUNCAO MBV DN 350 X 200</v>
          </cell>
          <cell r="C3180" t="str">
            <v>UN</v>
          </cell>
          <cell r="D3180">
            <v>130.74</v>
          </cell>
        </row>
        <row r="3181">
          <cell r="A3181">
            <v>86267</v>
          </cell>
          <cell r="B3181" t="str">
            <v>JUNCAO MBV DN 375 X 200</v>
          </cell>
          <cell r="C3181" t="str">
            <v>UN</v>
          </cell>
          <cell r="D3181">
            <v>137.53</v>
          </cell>
        </row>
        <row r="3182">
          <cell r="A3182">
            <v>86268</v>
          </cell>
          <cell r="B3182" t="str">
            <v>JUNCAO MBV DN 400 X 200</v>
          </cell>
          <cell r="C3182" t="str">
            <v>UN</v>
          </cell>
          <cell r="D3182">
            <v>155.54</v>
          </cell>
        </row>
        <row r="3183">
          <cell r="A3183">
            <v>86269</v>
          </cell>
          <cell r="B3183" t="str">
            <v>JUNCAO MBV DN 450 X 200</v>
          </cell>
          <cell r="C3183" t="str">
            <v>UN</v>
          </cell>
          <cell r="D3183">
            <v>243.03</v>
          </cell>
        </row>
        <row r="3184">
          <cell r="A3184">
            <v>86270</v>
          </cell>
          <cell r="B3184" t="str">
            <v>JUNCAO MBV DN 250 X 250</v>
          </cell>
          <cell r="C3184" t="str">
            <v>UN</v>
          </cell>
          <cell r="D3184">
            <v>53.47</v>
          </cell>
        </row>
        <row r="3185">
          <cell r="A3185">
            <v>86271</v>
          </cell>
          <cell r="B3185" t="str">
            <v>JUNCAO MBV DN 300 X 300</v>
          </cell>
          <cell r="C3185" t="str">
            <v>UN</v>
          </cell>
          <cell r="D3185">
            <v>108.61</v>
          </cell>
        </row>
        <row r="3186">
          <cell r="A3186">
            <v>86272</v>
          </cell>
          <cell r="B3186" t="str">
            <v>JUNCAO MBV DN 350 X 350</v>
          </cell>
          <cell r="C3186" t="str">
            <v>UN</v>
          </cell>
          <cell r="D3186">
            <v>200.3</v>
          </cell>
        </row>
        <row r="3187">
          <cell r="A3187">
            <v>86273</v>
          </cell>
          <cell r="B3187" t="str">
            <v>JUNCAO MBV DN 375 X 375</v>
          </cell>
          <cell r="C3187" t="str">
            <v>UN</v>
          </cell>
          <cell r="D3187">
            <v>222.9</v>
          </cell>
        </row>
        <row r="3188">
          <cell r="A3188">
            <v>86274</v>
          </cell>
          <cell r="B3188" t="str">
            <v>JUNCAO MBV DN 400 X 400</v>
          </cell>
          <cell r="C3188" t="str">
            <v>UN</v>
          </cell>
          <cell r="D3188">
            <v>277.64</v>
          </cell>
        </row>
        <row r="3189">
          <cell r="A3189">
            <v>86275</v>
          </cell>
          <cell r="B3189" t="str">
            <v>JUNCAO MBV DN 450 X 450</v>
          </cell>
          <cell r="C3189" t="str">
            <v>UN</v>
          </cell>
          <cell r="D3189">
            <v>428.93</v>
          </cell>
        </row>
        <row r="3190">
          <cell r="A3190">
            <v>86281</v>
          </cell>
          <cell r="B3190" t="str">
            <v>TE MBV DN 100 X 100</v>
          </cell>
          <cell r="C3190" t="str">
            <v>UN</v>
          </cell>
          <cell r="D3190">
            <v>6.03</v>
          </cell>
        </row>
        <row r="3191">
          <cell r="A3191">
            <v>86282</v>
          </cell>
          <cell r="B3191" t="str">
            <v>TE MBV DN 150 X 100</v>
          </cell>
          <cell r="C3191" t="str">
            <v>UN</v>
          </cell>
          <cell r="D3191">
            <v>10.61</v>
          </cell>
        </row>
        <row r="3192">
          <cell r="A3192">
            <v>86283</v>
          </cell>
          <cell r="B3192" t="str">
            <v>TE MBV DN 200 X 100</v>
          </cell>
          <cell r="C3192" t="str">
            <v>UN</v>
          </cell>
          <cell r="D3192">
            <v>16.920000000000002</v>
          </cell>
        </row>
        <row r="3193">
          <cell r="A3193">
            <v>86284</v>
          </cell>
          <cell r="B3193" t="str">
            <v>TE MBV DN 250 X 100</v>
          </cell>
          <cell r="C3193" t="str">
            <v>UN</v>
          </cell>
          <cell r="D3193">
            <v>32.39</v>
          </cell>
        </row>
        <row r="3194">
          <cell r="A3194">
            <v>86285</v>
          </cell>
          <cell r="B3194" t="str">
            <v>TE MBV DN 300 X 100</v>
          </cell>
          <cell r="C3194" t="str">
            <v>UN</v>
          </cell>
          <cell r="D3194">
            <v>51.21</v>
          </cell>
        </row>
        <row r="3195">
          <cell r="A3195">
            <v>86286</v>
          </cell>
          <cell r="B3195" t="str">
            <v>TE MBV DN 350 X 100</v>
          </cell>
          <cell r="C3195" t="str">
            <v>UN</v>
          </cell>
          <cell r="D3195">
            <v>86.58</v>
          </cell>
        </row>
        <row r="3196">
          <cell r="A3196">
            <v>86287</v>
          </cell>
          <cell r="B3196" t="str">
            <v>TE MBV DN 375 X 100</v>
          </cell>
          <cell r="C3196" t="str">
            <v>UN</v>
          </cell>
          <cell r="D3196">
            <v>94.35</v>
          </cell>
        </row>
        <row r="3197">
          <cell r="A3197">
            <v>86288</v>
          </cell>
          <cell r="B3197" t="str">
            <v>TE MBV DN 400 X 100</v>
          </cell>
          <cell r="C3197" t="str">
            <v>UN</v>
          </cell>
          <cell r="D3197">
            <v>104.36</v>
          </cell>
        </row>
        <row r="3198">
          <cell r="A3198">
            <v>86289</v>
          </cell>
          <cell r="B3198" t="str">
            <v>TE MBV DN 450 X 100</v>
          </cell>
          <cell r="C3198" t="str">
            <v>UN</v>
          </cell>
          <cell r="D3198">
            <v>180.11</v>
          </cell>
        </row>
        <row r="3199">
          <cell r="A3199">
            <v>86290</v>
          </cell>
          <cell r="B3199" t="str">
            <v>TE MBV DN 150 X 150</v>
          </cell>
          <cell r="C3199" t="str">
            <v>UN</v>
          </cell>
          <cell r="D3199">
            <v>14.91</v>
          </cell>
        </row>
        <row r="3200">
          <cell r="A3200">
            <v>86291</v>
          </cell>
          <cell r="B3200" t="str">
            <v>TE MBV DN 200 X 150</v>
          </cell>
          <cell r="C3200" t="str">
            <v>UN</v>
          </cell>
          <cell r="D3200">
            <v>20.48</v>
          </cell>
        </row>
        <row r="3201">
          <cell r="A3201">
            <v>86292</v>
          </cell>
          <cell r="B3201" t="str">
            <v>TE MBV DN 250 X 150</v>
          </cell>
          <cell r="C3201" t="str">
            <v>UN</v>
          </cell>
          <cell r="D3201">
            <v>42.41</v>
          </cell>
        </row>
        <row r="3202">
          <cell r="A3202">
            <v>86293</v>
          </cell>
          <cell r="B3202" t="str">
            <v>TE MBV DN 300 X 150</v>
          </cell>
          <cell r="C3202" t="str">
            <v>UN</v>
          </cell>
          <cell r="D3202">
            <v>63.33</v>
          </cell>
        </row>
        <row r="3203">
          <cell r="A3203">
            <v>86294</v>
          </cell>
          <cell r="B3203" t="str">
            <v>TE MBV DN 350 X 150</v>
          </cell>
          <cell r="C3203" t="str">
            <v>UN</v>
          </cell>
          <cell r="D3203">
            <v>95.32</v>
          </cell>
        </row>
        <row r="3204">
          <cell r="A3204">
            <v>86295</v>
          </cell>
          <cell r="B3204" t="str">
            <v>TE MBV DN 375 X 150</v>
          </cell>
          <cell r="C3204" t="str">
            <v>UN</v>
          </cell>
          <cell r="D3204">
            <v>106.64</v>
          </cell>
        </row>
        <row r="3205">
          <cell r="A3205">
            <v>86296</v>
          </cell>
          <cell r="B3205" t="str">
            <v>TE MBV DN 400 X 150</v>
          </cell>
          <cell r="C3205" t="str">
            <v>UN</v>
          </cell>
          <cell r="D3205">
            <v>127.9</v>
          </cell>
        </row>
        <row r="3206">
          <cell r="A3206">
            <v>86297</v>
          </cell>
          <cell r="B3206" t="str">
            <v>TE MBV DN 450 X 150</v>
          </cell>
          <cell r="C3206" t="str">
            <v>UN</v>
          </cell>
          <cell r="D3206">
            <v>203.24</v>
          </cell>
        </row>
        <row r="3207">
          <cell r="A3207">
            <v>86298</v>
          </cell>
          <cell r="B3207" t="str">
            <v>TE MBV DN 200 X 200</v>
          </cell>
          <cell r="C3207" t="str">
            <v>UN</v>
          </cell>
          <cell r="D3207">
            <v>25.8</v>
          </cell>
        </row>
        <row r="3208">
          <cell r="A3208">
            <v>86299</v>
          </cell>
          <cell r="B3208" t="str">
            <v>TE MBV DN 250 X 200</v>
          </cell>
          <cell r="C3208" t="str">
            <v>UN</v>
          </cell>
          <cell r="D3208">
            <v>50.9</v>
          </cell>
        </row>
        <row r="3209">
          <cell r="A3209">
            <v>86301</v>
          </cell>
          <cell r="B3209" t="str">
            <v>TE MBV DN 300 X 200</v>
          </cell>
          <cell r="C3209" t="str">
            <v>UN</v>
          </cell>
          <cell r="D3209">
            <v>75.89</v>
          </cell>
        </row>
        <row r="3210">
          <cell r="A3210">
            <v>86302</v>
          </cell>
          <cell r="B3210" t="str">
            <v>TE MBV DN 350 X 200</v>
          </cell>
          <cell r="C3210" t="str">
            <v>UN</v>
          </cell>
          <cell r="D3210">
            <v>130.74</v>
          </cell>
        </row>
        <row r="3211">
          <cell r="A3211">
            <v>86303</v>
          </cell>
          <cell r="B3211" t="str">
            <v>TE MBV DN 375 X 200</v>
          </cell>
          <cell r="C3211" t="str">
            <v>UN</v>
          </cell>
          <cell r="D3211">
            <v>137.53</v>
          </cell>
        </row>
        <row r="3212">
          <cell r="A3212">
            <v>86304</v>
          </cell>
          <cell r="B3212" t="str">
            <v>TE MBV DN 400 X 200</v>
          </cell>
          <cell r="C3212" t="str">
            <v>UN</v>
          </cell>
          <cell r="D3212">
            <v>155.54</v>
          </cell>
        </row>
        <row r="3213">
          <cell r="A3213">
            <v>86305</v>
          </cell>
          <cell r="B3213" t="str">
            <v>TE MBV DN 450 X 200</v>
          </cell>
          <cell r="C3213" t="str">
            <v>UN</v>
          </cell>
          <cell r="D3213">
            <v>243.03</v>
          </cell>
        </row>
        <row r="3214">
          <cell r="A3214">
            <v>86306</v>
          </cell>
          <cell r="B3214" t="str">
            <v>TE MBV DN 250 X 250</v>
          </cell>
          <cell r="C3214" t="str">
            <v>UN</v>
          </cell>
          <cell r="D3214">
            <v>53.47</v>
          </cell>
        </row>
        <row r="3215">
          <cell r="A3215">
            <v>86307</v>
          </cell>
          <cell r="B3215" t="str">
            <v>TE MBV DN 300 X 300</v>
          </cell>
          <cell r="C3215" t="str">
            <v>UN</v>
          </cell>
          <cell r="D3215">
            <v>108.61</v>
          </cell>
        </row>
        <row r="3216">
          <cell r="A3216">
            <v>86308</v>
          </cell>
          <cell r="B3216" t="str">
            <v>TE MBV DN 350 X 350</v>
          </cell>
          <cell r="C3216" t="str">
            <v>UN</v>
          </cell>
          <cell r="D3216">
            <v>200.3</v>
          </cell>
        </row>
        <row r="3217">
          <cell r="A3217">
            <v>86309</v>
          </cell>
          <cell r="B3217" t="str">
            <v>TE MBV DN 375 X 375</v>
          </cell>
          <cell r="C3217" t="str">
            <v>UN</v>
          </cell>
          <cell r="D3217">
            <v>222.9</v>
          </cell>
        </row>
        <row r="3218">
          <cell r="A3218">
            <v>86310</v>
          </cell>
          <cell r="B3218" t="str">
            <v>TE MBV DN 400 X 400</v>
          </cell>
          <cell r="C3218" t="str">
            <v>UN</v>
          </cell>
          <cell r="D3218">
            <v>277.64</v>
          </cell>
        </row>
        <row r="3219">
          <cell r="A3219">
            <v>86311</v>
          </cell>
          <cell r="B3219" t="str">
            <v>TE MBV DN 450 X 450</v>
          </cell>
          <cell r="C3219" t="str">
            <v>UN</v>
          </cell>
          <cell r="D3219">
            <v>428.93</v>
          </cell>
        </row>
        <row r="3220">
          <cell r="A3220">
            <v>86317</v>
          </cell>
          <cell r="B3220" t="str">
            <v>CURVA 90G MBV RAIO LONGO TERM. DE LIMPEZA DN 150</v>
          </cell>
          <cell r="C3220" t="str">
            <v>UN</v>
          </cell>
          <cell r="D3220">
            <v>73.28</v>
          </cell>
        </row>
        <row r="3221">
          <cell r="A3221">
            <v>86318</v>
          </cell>
          <cell r="B3221" t="str">
            <v>CURVA 90G MBV RAIO LONGO TERM. DE LIMPEZA DN 200</v>
          </cell>
          <cell r="C3221" t="str">
            <v>UN</v>
          </cell>
          <cell r="D3221">
            <v>93.45</v>
          </cell>
        </row>
        <row r="3222">
          <cell r="A3222">
            <v>86325</v>
          </cell>
          <cell r="B3222" t="str">
            <v>LUVA MBV DN 100</v>
          </cell>
          <cell r="C3222" t="str">
            <v>UN</v>
          </cell>
          <cell r="D3222">
            <v>4.05</v>
          </cell>
        </row>
        <row r="3223">
          <cell r="A3223">
            <v>86326</v>
          </cell>
          <cell r="B3223" t="str">
            <v>LUVA MBV DN 150</v>
          </cell>
          <cell r="C3223" t="str">
            <v>UN</v>
          </cell>
          <cell r="D3223">
            <v>6.86</v>
          </cell>
        </row>
        <row r="3224">
          <cell r="A3224">
            <v>86327</v>
          </cell>
          <cell r="B3224" t="str">
            <v>LUVA MBV DN 200</v>
          </cell>
          <cell r="C3224" t="str">
            <v>UN</v>
          </cell>
          <cell r="D3224">
            <v>14.42</v>
          </cell>
        </row>
        <row r="3225">
          <cell r="A3225">
            <v>86328</v>
          </cell>
          <cell r="B3225" t="str">
            <v>LUVA MBV DN 250</v>
          </cell>
          <cell r="C3225" t="str">
            <v>UN</v>
          </cell>
          <cell r="D3225">
            <v>29.87</v>
          </cell>
        </row>
        <row r="3226">
          <cell r="A3226">
            <v>86329</v>
          </cell>
          <cell r="B3226" t="str">
            <v>LUVA MBV DN 300</v>
          </cell>
          <cell r="C3226" t="str">
            <v>UN</v>
          </cell>
          <cell r="D3226">
            <v>50.31</v>
          </cell>
        </row>
        <row r="3227">
          <cell r="A3227">
            <v>86334</v>
          </cell>
          <cell r="B3227" t="str">
            <v>REDUCAO MBV DN 150</v>
          </cell>
          <cell r="C3227" t="str">
            <v>UN</v>
          </cell>
          <cell r="D3227">
            <v>7.99</v>
          </cell>
        </row>
        <row r="3228">
          <cell r="A3228">
            <v>86335</v>
          </cell>
          <cell r="B3228" t="str">
            <v>REDUCAO MBV DN 200</v>
          </cell>
          <cell r="C3228" t="str">
            <v>UN</v>
          </cell>
          <cell r="D3228">
            <v>14.89</v>
          </cell>
        </row>
        <row r="3229">
          <cell r="A3229">
            <v>86336</v>
          </cell>
          <cell r="B3229" t="str">
            <v>REDUCAO MBV DN 250</v>
          </cell>
          <cell r="C3229" t="str">
            <v>UN</v>
          </cell>
          <cell r="D3229">
            <v>30.33</v>
          </cell>
        </row>
        <row r="3230">
          <cell r="A3230">
            <v>86337</v>
          </cell>
          <cell r="B3230" t="str">
            <v>REDUCAO MBV DN 300</v>
          </cell>
          <cell r="C3230" t="str">
            <v>UN</v>
          </cell>
          <cell r="D3230">
            <v>50.35</v>
          </cell>
        </row>
        <row r="3231">
          <cell r="A3231">
            <v>86343</v>
          </cell>
          <cell r="B3231" t="str">
            <v>AMPLIACAO MBV DN 150</v>
          </cell>
          <cell r="C3231" t="str">
            <v>UN</v>
          </cell>
          <cell r="D3231">
            <v>7.99</v>
          </cell>
        </row>
        <row r="3232">
          <cell r="A3232">
            <v>86344</v>
          </cell>
          <cell r="B3232" t="str">
            <v>AMPLIACAO MBV DN 200</v>
          </cell>
          <cell r="C3232" t="str">
            <v>UN</v>
          </cell>
          <cell r="D3232">
            <v>14.89</v>
          </cell>
        </row>
        <row r="3233">
          <cell r="A3233">
            <v>86345</v>
          </cell>
          <cell r="B3233" t="str">
            <v>AMPLIACAO MBV DN 250</v>
          </cell>
          <cell r="C3233" t="str">
            <v>UN</v>
          </cell>
          <cell r="D3233">
            <v>30.33</v>
          </cell>
        </row>
        <row r="3234">
          <cell r="A3234">
            <v>86346</v>
          </cell>
          <cell r="B3234" t="str">
            <v>AMPLIACAO MBV DN 300</v>
          </cell>
          <cell r="C3234" t="str">
            <v>UN</v>
          </cell>
          <cell r="D3234">
            <v>50.35</v>
          </cell>
        </row>
        <row r="3235">
          <cell r="A3235">
            <v>86346</v>
          </cell>
          <cell r="B3235" t="str">
            <v>AMPLIACAO MBV DN 300</v>
          </cell>
          <cell r="C3235" t="str">
            <v>UN</v>
          </cell>
          <cell r="D3235">
            <v>50.35</v>
          </cell>
        </row>
        <row r="3237">
          <cell r="B3237" t="str">
            <v>86600 EQUIPAMENTOS</v>
          </cell>
        </row>
        <row r="3239">
          <cell r="A3239">
            <v>86601</v>
          </cell>
          <cell r="B3239" t="str">
            <v>BB.DOSAD.3 OU 4 CABEC.Q=8,1 A 30,4L/H E P=4KG/CM2</v>
          </cell>
          <cell r="C3239" t="str">
            <v>UN</v>
          </cell>
          <cell r="D3239">
            <v>3280</v>
          </cell>
        </row>
        <row r="3240">
          <cell r="A3240">
            <v>86602</v>
          </cell>
          <cell r="B3240" t="str">
            <v>MISTURADOR RAPIDO EIXO VERT.BAIXA ROT.E HASTE= 1M</v>
          </cell>
          <cell r="C3240" t="str">
            <v>UN</v>
          </cell>
          <cell r="D3240">
            <v>1862</v>
          </cell>
        </row>
        <row r="3241">
          <cell r="A3241">
            <v>86603</v>
          </cell>
          <cell r="B3241" t="str">
            <v>CLORADOR FIX.PAR.C/CAP.MAX.4KG/24H (INCL.INJETOR)</v>
          </cell>
          <cell r="C3241" t="str">
            <v>UN</v>
          </cell>
          <cell r="D3241">
            <v>2934</v>
          </cell>
        </row>
        <row r="3242">
          <cell r="A3242">
            <v>86604</v>
          </cell>
          <cell r="B3242" t="str">
            <v>CILINDRO DE CLORO CARREGADO C/ CAPACIDADE DE 50KG</v>
          </cell>
          <cell r="C3242" t="str">
            <v>UN</v>
          </cell>
          <cell r="D3242">
            <v>1960</v>
          </cell>
        </row>
        <row r="3243">
          <cell r="A3243">
            <v>86605</v>
          </cell>
          <cell r="B3243" t="str">
            <v>EXAUSTOR ELET.MOTOR MONOFASICO INDUSTRIAL 0 300MM</v>
          </cell>
          <cell r="C3243" t="str">
            <v>UN</v>
          </cell>
          <cell r="D3243">
            <v>360</v>
          </cell>
        </row>
        <row r="3244">
          <cell r="A3244">
            <v>86606</v>
          </cell>
          <cell r="B3244" t="str">
            <v>BALANCA PLATAFORMA CAP.MIN.150KG C/PLAT.P/GAR.CL.</v>
          </cell>
          <cell r="C3244" t="str">
            <v>UN</v>
          </cell>
          <cell r="D3244">
            <v>421</v>
          </cell>
        </row>
        <row r="3245">
          <cell r="A3245">
            <v>86607</v>
          </cell>
          <cell r="B3245" t="str">
            <v>BALANCA PLATAFORMA CAP.MIN.200KG C/PLAT.P/GAR.CL.</v>
          </cell>
          <cell r="C3245" t="str">
            <v>UN</v>
          </cell>
          <cell r="D3245">
            <v>421</v>
          </cell>
        </row>
        <row r="3246">
          <cell r="A3246">
            <v>86608</v>
          </cell>
          <cell r="B3246" t="str">
            <v>TANQUE DE PREPARO EM FIBRA DE VIDRO CAPAC. 500 L</v>
          </cell>
          <cell r="C3246" t="str">
            <v>UN</v>
          </cell>
          <cell r="D3246">
            <v>400</v>
          </cell>
        </row>
        <row r="3247">
          <cell r="A3247">
            <v>86609</v>
          </cell>
          <cell r="B3247" t="str">
            <v>HIDRO-EJETOR NORMAL BX. PRESSAO C/VENTURI DN 1/2"</v>
          </cell>
          <cell r="C3247" t="str">
            <v>UN</v>
          </cell>
          <cell r="D3247">
            <v>1760</v>
          </cell>
        </row>
        <row r="3248">
          <cell r="A3248">
            <v>86631</v>
          </cell>
          <cell r="B3248" t="str">
            <v>RESERV.METAL.APOIADO CAP.30M3 CF.PROJ.INCL.TRANSP.</v>
          </cell>
          <cell r="C3248" t="str">
            <v>UN</v>
          </cell>
          <cell r="D3248">
            <v>7693.5</v>
          </cell>
        </row>
        <row r="3249">
          <cell r="A3249">
            <v>86632</v>
          </cell>
          <cell r="B3249" t="str">
            <v>RESERV.METAL.APOIADO CAP.50M3 CF.PROJ.INCL.TRANSP.</v>
          </cell>
          <cell r="C3249" t="str">
            <v>UN</v>
          </cell>
          <cell r="D3249">
            <v>12454.5</v>
          </cell>
        </row>
        <row r="3250">
          <cell r="A3250">
            <v>86634</v>
          </cell>
          <cell r="B3250" t="str">
            <v>RESERV.MET.APOIADO CAP.100M3 CF.PROJ.INCL.TRANSP.</v>
          </cell>
          <cell r="C3250" t="str">
            <v>UN</v>
          </cell>
          <cell r="D3250">
            <v>23000</v>
          </cell>
        </row>
        <row r="3251">
          <cell r="A3251">
            <v>86635</v>
          </cell>
          <cell r="B3251" t="str">
            <v>RESERV.MET.APOIADO CAP.200M3 CF.PROJ.INCL.TRANSP.</v>
          </cell>
          <cell r="C3251" t="str">
            <v>UN</v>
          </cell>
          <cell r="D3251">
            <v>108000</v>
          </cell>
        </row>
        <row r="3252">
          <cell r="A3252">
            <v>86636</v>
          </cell>
          <cell r="B3252" t="str">
            <v>RESERV.MET.APOIADO CAP.300M3 CF.PROJ.INCL.TRANSP.</v>
          </cell>
          <cell r="C3252" t="str">
            <v>UN</v>
          </cell>
          <cell r="D3252">
            <v>162000</v>
          </cell>
        </row>
        <row r="3253">
          <cell r="A3253">
            <v>86638</v>
          </cell>
          <cell r="B3253" t="str">
            <v>RESERV.MET.ELEV.T.8M CAP.10M3 CF.PROJ.INCL.TRANSP.</v>
          </cell>
          <cell r="C3253" t="str">
            <v>UN</v>
          </cell>
          <cell r="D3253">
            <v>4784</v>
          </cell>
        </row>
        <row r="3254">
          <cell r="A3254">
            <v>86639</v>
          </cell>
          <cell r="B3254" t="str">
            <v>RESERV.MET.ELEV.T.8M CAP.20M3 CF.PROJ.INCL.TRANSP.</v>
          </cell>
          <cell r="C3254" t="str">
            <v>UN</v>
          </cell>
          <cell r="D3254">
            <v>14000</v>
          </cell>
        </row>
        <row r="3255">
          <cell r="A3255">
            <v>86640</v>
          </cell>
          <cell r="B3255" t="str">
            <v>RESERV.MET.ELEV.T.8M CAP.30M3 CF.PROJ.INCL.TRANSP.</v>
          </cell>
          <cell r="C3255" t="str">
            <v>UN</v>
          </cell>
          <cell r="D3255">
            <v>11937</v>
          </cell>
        </row>
        <row r="3256">
          <cell r="A3256">
            <v>86641</v>
          </cell>
          <cell r="B3256" t="str">
            <v>RESERV.MET.ELEV.T.8M CAP.50M3 CF.PROJ.INCL.TRANSP.</v>
          </cell>
          <cell r="C3256" t="str">
            <v>UN</v>
          </cell>
          <cell r="D3256">
            <v>19804.96</v>
          </cell>
        </row>
        <row r="3257">
          <cell r="A3257">
            <v>86642</v>
          </cell>
          <cell r="B3257" t="str">
            <v>RESERV.METAL.ELEV.TOR.8M CAP.15M3 CF.PROJ.INC.TRAN</v>
          </cell>
          <cell r="C3257" t="str">
            <v>UN</v>
          </cell>
          <cell r="D3257">
            <v>8400.75</v>
          </cell>
        </row>
        <row r="3258">
          <cell r="A3258">
            <v>86647</v>
          </cell>
          <cell r="B3258" t="str">
            <v>RESERV.MET.ELEV.T.10M CAP.10M3 CF.PROJ.INC.TRANSP.</v>
          </cell>
          <cell r="C3258" t="str">
            <v>UN</v>
          </cell>
          <cell r="D3258">
            <v>5278.5</v>
          </cell>
        </row>
        <row r="3259">
          <cell r="A3259">
            <v>86648</v>
          </cell>
          <cell r="B3259" t="str">
            <v>RESERV.MET.ELEV.T.10M CAP.20M3 CF.PROJ.INC.TRANSP.</v>
          </cell>
          <cell r="C3259" t="str">
            <v>UN</v>
          </cell>
          <cell r="D3259">
            <v>15800</v>
          </cell>
        </row>
        <row r="3260">
          <cell r="A3260">
            <v>86649</v>
          </cell>
          <cell r="B3260" t="str">
            <v>RESERV.MET.ELEV.T.10M CAP.30M3 CF.PROJ.INC.TRANSP.</v>
          </cell>
          <cell r="C3260" t="str">
            <v>UN</v>
          </cell>
          <cell r="D3260">
            <v>13075</v>
          </cell>
        </row>
        <row r="3261">
          <cell r="A3261">
            <v>86650</v>
          </cell>
          <cell r="B3261" t="str">
            <v>RESERV.MET.ELEV.T.10M CAP.50M3 CF.PROJ.INC.TRANSP.</v>
          </cell>
          <cell r="C3261" t="str">
            <v>UN</v>
          </cell>
          <cell r="D3261">
            <v>18975</v>
          </cell>
        </row>
        <row r="3262">
          <cell r="A3262">
            <v>86651</v>
          </cell>
          <cell r="B3262" t="str">
            <v>RESERV.METAL.ELEV.TOR.10M CAP.15M3 CF.PROJ.INC.TRA</v>
          </cell>
          <cell r="C3262" t="str">
            <v>UN</v>
          </cell>
          <cell r="D3262">
            <v>9315</v>
          </cell>
        </row>
        <row r="3263">
          <cell r="A3263">
            <v>86667</v>
          </cell>
          <cell r="B3263" t="str">
            <v>FILTRO RUS.MET.PAS.LAT:R=1,5 E H=3,85 PROJ.TRANSP.</v>
          </cell>
          <cell r="C3263" t="str">
            <v>UN</v>
          </cell>
          <cell r="D3263">
            <v>13972.5</v>
          </cell>
        </row>
        <row r="3264">
          <cell r="A3264">
            <v>86668</v>
          </cell>
          <cell r="B3264" t="str">
            <v>FILTRO RUS.MET.PAS.LAT:R=2,0 E H=3,85 PROJ.TRANSP.</v>
          </cell>
          <cell r="C3264" t="str">
            <v>UN</v>
          </cell>
          <cell r="D3264">
            <v>20079</v>
          </cell>
        </row>
        <row r="3265">
          <cell r="A3265">
            <v>87001</v>
          </cell>
          <cell r="B3265" t="str">
            <v>PARTE CIVIL P/CAPTACAO POCO TUB.PROF.DN 2" OU 3"</v>
          </cell>
          <cell r="C3265" t="str">
            <v>VB</v>
          </cell>
          <cell r="D3265">
            <v>14096.25</v>
          </cell>
        </row>
        <row r="3266">
          <cell r="A3266">
            <v>87002</v>
          </cell>
          <cell r="B3266" t="str">
            <v>PARTE CIVIL P/CAPT.E CASA CLOR.SIMP.DN 2" OU 3"</v>
          </cell>
          <cell r="C3266" t="str">
            <v>VB</v>
          </cell>
          <cell r="D3266">
            <v>14652.03</v>
          </cell>
        </row>
        <row r="3267">
          <cell r="A3267">
            <v>87003</v>
          </cell>
          <cell r="B3267" t="str">
            <v>PARTE CIVIL PARA CASA DE QUIMICA PADRAO</v>
          </cell>
          <cell r="C3267" t="str">
            <v>VB</v>
          </cell>
          <cell r="D3267">
            <v>17646.87</v>
          </cell>
        </row>
        <row r="3268">
          <cell r="A3268">
            <v>87004</v>
          </cell>
          <cell r="B3268" t="str">
            <v>PARTE CIVIL PARA CASA DE CLORACAO PADRAO</v>
          </cell>
          <cell r="C3268" t="str">
            <v>VB</v>
          </cell>
          <cell r="D3268">
            <v>8582.93</v>
          </cell>
        </row>
        <row r="3269">
          <cell r="A3269">
            <v>87007</v>
          </cell>
          <cell r="B3269" t="str">
            <v>MATERIAL HIDRAULICO P/CAPTACAO POCO TUB.PROF.DN 2"</v>
          </cell>
          <cell r="C3269" t="str">
            <v>VB</v>
          </cell>
          <cell r="D3269">
            <v>1429.14</v>
          </cell>
        </row>
        <row r="3270">
          <cell r="A3270">
            <v>87008</v>
          </cell>
          <cell r="B3270" t="str">
            <v>MATERIAL HIDRAULICO P/CAPTACAO POCO TUB.PROF.DN 3"</v>
          </cell>
          <cell r="C3270" t="str">
            <v>VB</v>
          </cell>
          <cell r="D3270">
            <v>2559.21</v>
          </cell>
        </row>
        <row r="3271">
          <cell r="A3271">
            <v>87009</v>
          </cell>
          <cell r="B3271" t="str">
            <v>MATERIAL HIDRAULICO P/CAPT.E CASA CLOR.SIMP.DN 2"</v>
          </cell>
          <cell r="C3271" t="str">
            <v>VB</v>
          </cell>
          <cell r="D3271">
            <v>1627.92</v>
          </cell>
        </row>
        <row r="3272">
          <cell r="A3272">
            <v>87010</v>
          </cell>
          <cell r="B3272" t="str">
            <v>MATERIAL HIDRAULICO P/CAPT.E CASA CLOR.SIMP.DN 3"</v>
          </cell>
          <cell r="C3272" t="str">
            <v>VB</v>
          </cell>
          <cell r="D3272">
            <v>2671.09</v>
          </cell>
        </row>
        <row r="3273">
          <cell r="A3273">
            <v>87011</v>
          </cell>
          <cell r="B3273" t="str">
            <v>CONJ.M.-BOMBA SUBM:Q=26,3 M3/H,HM=123 MCA E P=20CV</v>
          </cell>
          <cell r="C3273" t="str">
            <v>CJ</v>
          </cell>
          <cell r="D3273">
            <v>3214</v>
          </cell>
        </row>
        <row r="3274">
          <cell r="A3274">
            <v>87012</v>
          </cell>
          <cell r="B3274" t="str">
            <v>CONJ.M.-BOMBA SUBM: Q=2,5 L/S, HM=79 MCA E P=75CV</v>
          </cell>
          <cell r="C3274" t="str">
            <v>CJ</v>
          </cell>
          <cell r="D3274">
            <v>1927</v>
          </cell>
        </row>
        <row r="3275">
          <cell r="A3275">
            <v>87013</v>
          </cell>
          <cell r="B3275" t="str">
            <v>FERRO FUNDIDO - TONELADA EM FUNCAO DO ACO CA-60</v>
          </cell>
          <cell r="C3275" t="str">
            <v>T</v>
          </cell>
          <cell r="D3275">
            <v>620</v>
          </cell>
        </row>
        <row r="3277">
          <cell r="B3277" t="str">
            <v>9000 TABELA DE REALINHAMENTO DE PRECOS - ANEXO</v>
          </cell>
        </row>
        <row r="3279">
          <cell r="A3279">
            <v>90001</v>
          </cell>
          <cell r="B3279" t="str">
            <v>CONE PARA SINALIZACAO</v>
          </cell>
          <cell r="C3279" t="str">
            <v>UN</v>
          </cell>
          <cell r="D3279">
            <v>33.630000000000003</v>
          </cell>
        </row>
        <row r="3280">
          <cell r="A3280">
            <v>90002</v>
          </cell>
          <cell r="B3280" t="str">
            <v>ESCAVACAO MECANIZADA 1A CATEGORIA (4 A 6M)</v>
          </cell>
          <cell r="C3280" t="str">
            <v>M3</v>
          </cell>
          <cell r="D3280">
            <v>4.1900000000000004</v>
          </cell>
        </row>
        <row r="3281">
          <cell r="A3281">
            <v>90003</v>
          </cell>
          <cell r="B3281" t="str">
            <v>ESCAVACAO MECANIZADA 2A CATEGORIA (4 A 6M)</v>
          </cell>
          <cell r="C3281" t="str">
            <v>M3</v>
          </cell>
          <cell r="D3281">
            <v>8.33</v>
          </cell>
        </row>
        <row r="3282">
          <cell r="A3282">
            <v>90004</v>
          </cell>
          <cell r="B3282" t="str">
            <v>ESCAVACAO MECANIZADA EM BARRO LAMA (4 A 6M)</v>
          </cell>
          <cell r="C3282" t="str">
            <v>M3</v>
          </cell>
          <cell r="D3282">
            <v>9.6999999999999993</v>
          </cell>
        </row>
        <row r="3283">
          <cell r="A3283">
            <v>90005</v>
          </cell>
          <cell r="B3283" t="str">
            <v>FORNECIMENTO DE MEIO-FIO (CONCRETO)</v>
          </cell>
          <cell r="C3283" t="str">
            <v>M</v>
          </cell>
          <cell r="D3283">
            <v>10.46</v>
          </cell>
        </row>
        <row r="3284">
          <cell r="A3284">
            <v>90006</v>
          </cell>
          <cell r="B3284" t="str">
            <v>ASSENTAMENTO DE MEIO-FIO (CONCRETO)</v>
          </cell>
          <cell r="C3284" t="str">
            <v>M</v>
          </cell>
          <cell r="D3284">
            <v>4.55</v>
          </cell>
        </row>
        <row r="3285">
          <cell r="A3285">
            <v>90007</v>
          </cell>
          <cell r="B3285" t="str">
            <v>REPOSICAO EM CALCADA (5CM)</v>
          </cell>
          <cell r="C3285" t="str">
            <v>M2</v>
          </cell>
          <cell r="D3285">
            <v>5.67</v>
          </cell>
        </row>
        <row r="3286">
          <cell r="A3286">
            <v>90008</v>
          </cell>
          <cell r="B3286" t="str">
            <v>UMEDECIMENTO DE MATERIAL P/FECHAMENTO DE VALA</v>
          </cell>
          <cell r="C3286" t="str">
            <v>M3</v>
          </cell>
          <cell r="D3286">
            <v>0.34</v>
          </cell>
        </row>
        <row r="3287">
          <cell r="A3287">
            <v>90009</v>
          </cell>
          <cell r="B3287" t="str">
            <v>PONTA SECA (CALCADA)</v>
          </cell>
          <cell r="C3287" t="str">
            <v>UN</v>
          </cell>
          <cell r="D3287">
            <v>37.42</v>
          </cell>
        </row>
        <row r="3288">
          <cell r="A3288">
            <v>90010</v>
          </cell>
          <cell r="B3288" t="str">
            <v>PONTA SECA (RUA)</v>
          </cell>
          <cell r="C3288" t="str">
            <v>UN</v>
          </cell>
          <cell r="D3288">
            <v>40.67</v>
          </cell>
        </row>
        <row r="3289">
          <cell r="A3289">
            <v>90011</v>
          </cell>
          <cell r="B3289" t="str">
            <v>FORNECIMENTO E ASSENTAMENTO TAMPAO (QUEIJO)</v>
          </cell>
          <cell r="C3289" t="str">
            <v>UN</v>
          </cell>
          <cell r="D3289">
            <v>2.2000000000000002</v>
          </cell>
        </row>
        <row r="3290">
          <cell r="A3290">
            <v>90012</v>
          </cell>
          <cell r="B3290" t="str">
            <v>CONFECCAO DE JUNTA ASFALTICA</v>
          </cell>
          <cell r="C3290" t="str">
            <v>UN</v>
          </cell>
          <cell r="D3290">
            <v>2.54</v>
          </cell>
        </row>
        <row r="3291">
          <cell r="A3291">
            <v>90013</v>
          </cell>
          <cell r="B3291" t="str">
            <v>TRANSPORTE TUBOS CERAMICOS</v>
          </cell>
          <cell r="C3291" t="str">
            <v>MK</v>
          </cell>
          <cell r="D3291">
            <v>0.02</v>
          </cell>
        </row>
        <row r="3292">
          <cell r="A3292">
            <v>90014</v>
          </cell>
          <cell r="B3292" t="str">
            <v>PLACA DE SINALIZACAO DE TRANSITO</v>
          </cell>
          <cell r="C3292" t="str">
            <v>M2</v>
          </cell>
          <cell r="D3292">
            <v>40.82</v>
          </cell>
        </row>
        <row r="3293">
          <cell r="A3293">
            <v>90015</v>
          </cell>
          <cell r="B3293" t="str">
            <v>ESGOTAMENTO DE VALAS 2"</v>
          </cell>
          <cell r="C3293" t="str">
            <v>HP</v>
          </cell>
          <cell r="D3293">
            <v>1.07</v>
          </cell>
        </row>
        <row r="3294">
          <cell r="A3294">
            <v>90016</v>
          </cell>
          <cell r="B3294" t="str">
            <v>DRENO DE TUBO DE CONCRETO POROSO</v>
          </cell>
          <cell r="C3294" t="str">
            <v>M</v>
          </cell>
          <cell r="D3294">
            <v>13.96</v>
          </cell>
        </row>
        <row r="3295">
          <cell r="A3295">
            <v>90017</v>
          </cell>
          <cell r="B3295" t="str">
            <v>FORNECIMENTO DE PARALELEPIPEDO</v>
          </cell>
          <cell r="C3295" t="str">
            <v>M</v>
          </cell>
          <cell r="D3295">
            <v>6.33</v>
          </cell>
        </row>
        <row r="3296">
          <cell r="A3296">
            <v>90018</v>
          </cell>
          <cell r="B3296" t="str">
            <v>ASSENTAMENTO DE PARALELEPIPEDO</v>
          </cell>
          <cell r="C3296" t="str">
            <v>M</v>
          </cell>
          <cell r="D3296">
            <v>3.58</v>
          </cell>
        </row>
        <row r="3297">
          <cell r="A3297">
            <v>90019</v>
          </cell>
          <cell r="B3297" t="str">
            <v>CONFECCAO DE SARJETAS</v>
          </cell>
          <cell r="C3297" t="str">
            <v>M3</v>
          </cell>
          <cell r="D3297">
            <v>77.75</v>
          </cell>
        </row>
        <row r="3298">
          <cell r="A3298">
            <v>90020</v>
          </cell>
          <cell r="B3298" t="str">
            <v>REATERRO DE VALAS C/MATERIAL GRANULAR</v>
          </cell>
          <cell r="C3298" t="str">
            <v>M3</v>
          </cell>
          <cell r="D3298">
            <v>24</v>
          </cell>
        </row>
        <row r="3299">
          <cell r="A3299">
            <v>90021</v>
          </cell>
          <cell r="B3299" t="str">
            <v>GALERIA AGUAS PLUVIAIS (CONST. BOCA LOBO C/H_1,5M)</v>
          </cell>
          <cell r="C3299" t="str">
            <v>UN</v>
          </cell>
          <cell r="D3299">
            <v>71.959999999999994</v>
          </cell>
        </row>
        <row r="3300">
          <cell r="A3300">
            <v>90022</v>
          </cell>
          <cell r="B3300" t="str">
            <v>ACRESCIMO DE ALTURA DA BOCA DE LOBO</v>
          </cell>
          <cell r="C3300" t="str">
            <v>M</v>
          </cell>
          <cell r="D3300">
            <v>33.619999999999997</v>
          </cell>
        </row>
        <row r="3301">
          <cell r="A3301">
            <v>90023</v>
          </cell>
          <cell r="B3301" t="str">
            <v>ASSENTAMENTO CA-2 DN 700</v>
          </cell>
          <cell r="C3301" t="str">
            <v>M</v>
          </cell>
          <cell r="D3301">
            <v>53.17</v>
          </cell>
        </row>
        <row r="3302">
          <cell r="A3302">
            <v>90024</v>
          </cell>
          <cell r="B3302" t="str">
            <v>CERCA DE ARAME FARPADO DE 4 FIOS</v>
          </cell>
          <cell r="C3302" t="str">
            <v>M</v>
          </cell>
          <cell r="D3302">
            <v>13.5</v>
          </cell>
        </row>
        <row r="3303">
          <cell r="A3303">
            <v>90025</v>
          </cell>
          <cell r="B3303" t="str">
            <v>RECOMPOSICAO DE PAV. ASFALTICO INCLUSIVE BASE</v>
          </cell>
          <cell r="C3303" t="str">
            <v>M2</v>
          </cell>
          <cell r="D3303">
            <v>19.8</v>
          </cell>
        </row>
        <row r="3304">
          <cell r="A3304">
            <v>90026</v>
          </cell>
          <cell r="B3304" t="str">
            <v>ESGOTAMENTO DE SUMIDOURO</v>
          </cell>
          <cell r="C3304" t="str">
            <v>M3</v>
          </cell>
          <cell r="D3304">
            <v>14.28</v>
          </cell>
        </row>
        <row r="3305">
          <cell r="A3305">
            <v>90027</v>
          </cell>
          <cell r="B3305" t="str">
            <v>ENTUPIMENTO DE SUMIDOURO</v>
          </cell>
          <cell r="C3305" t="str">
            <v>M3</v>
          </cell>
          <cell r="D3305">
            <v>9.11</v>
          </cell>
        </row>
        <row r="3306">
          <cell r="A3306">
            <v>90030</v>
          </cell>
          <cell r="B3306" t="str">
            <v>CONCRETO PRE-MISTURADO FCK=9,0 MPA</v>
          </cell>
          <cell r="C3306" t="str">
            <v>M3</v>
          </cell>
          <cell r="D3306">
            <v>112</v>
          </cell>
        </row>
        <row r="3307">
          <cell r="A3307">
            <v>90031</v>
          </cell>
          <cell r="B3307" t="str">
            <v>PINTURA ANTICORROSIVA PARA TUBULACAO (ZARCAO)</v>
          </cell>
          <cell r="C3307" t="str">
            <v>M2</v>
          </cell>
          <cell r="D3307">
            <v>4.38</v>
          </cell>
        </row>
        <row r="3308">
          <cell r="A3308">
            <v>90032</v>
          </cell>
          <cell r="B3308" t="str">
            <v>VIDRO CANELADO - MARTELADO</v>
          </cell>
          <cell r="C3308" t="str">
            <v>M2</v>
          </cell>
          <cell r="D3308">
            <v>12.96</v>
          </cell>
        </row>
        <row r="3309">
          <cell r="A3309">
            <v>90033</v>
          </cell>
          <cell r="B3309" t="str">
            <v>TRANSPORTE DE MATERIAL 1A OU 2A CAT.(PERIM.URBANO)</v>
          </cell>
          <cell r="C3309" t="str">
            <v>MK</v>
          </cell>
          <cell r="D3309">
            <v>0.98</v>
          </cell>
        </row>
        <row r="3310">
          <cell r="A3310">
            <v>90034</v>
          </cell>
          <cell r="B3310" t="str">
            <v>REGULARIZACAO DE RUA C/ MOTONIVELADORA</v>
          </cell>
          <cell r="C3310" t="str">
            <v>M3</v>
          </cell>
          <cell r="D3310">
            <v>0.34</v>
          </cell>
        </row>
        <row r="3311">
          <cell r="A3311">
            <v>90035</v>
          </cell>
          <cell r="B3311" t="str">
            <v>POCO VISITA EXCETO FORNEC.MAT. PRE-MOLDADO - 1,0M</v>
          </cell>
          <cell r="C3311" t="str">
            <v>UN</v>
          </cell>
          <cell r="D3311">
            <v>81.36</v>
          </cell>
        </row>
        <row r="3312">
          <cell r="A3312">
            <v>90036</v>
          </cell>
          <cell r="B3312" t="str">
            <v>POCO VISITA EXCETO FORNEC.MAT. PRE-MOLDADO - 1,5M</v>
          </cell>
          <cell r="C3312" t="str">
            <v>UN</v>
          </cell>
          <cell r="D3312">
            <v>104.14</v>
          </cell>
        </row>
        <row r="3313">
          <cell r="A3313">
            <v>90037</v>
          </cell>
          <cell r="B3313" t="str">
            <v>POCO VISITA EXCETO FORNEC.MAT. PRE-MOLDADO - 2,0M</v>
          </cell>
          <cell r="C3313" t="str">
            <v>UN</v>
          </cell>
          <cell r="D3313">
            <v>133.31</v>
          </cell>
        </row>
        <row r="3314">
          <cell r="A3314">
            <v>90038</v>
          </cell>
          <cell r="B3314" t="str">
            <v>POCO VISITA EXCETO FORNEC.MAT. PRE-MOLDADO - 2,5M</v>
          </cell>
          <cell r="C3314" t="str">
            <v>UN</v>
          </cell>
          <cell r="D3314">
            <v>170.7</v>
          </cell>
        </row>
        <row r="3315">
          <cell r="A3315">
            <v>90039</v>
          </cell>
          <cell r="B3315" t="str">
            <v>POCO VISITA EXCETO FORNEC.MAT. PRE-MOLDADO - 3,0M</v>
          </cell>
          <cell r="C3315" t="str">
            <v>UN</v>
          </cell>
          <cell r="D3315">
            <v>221.57</v>
          </cell>
        </row>
        <row r="3316">
          <cell r="A3316">
            <v>90040</v>
          </cell>
          <cell r="B3316" t="str">
            <v>POCO VISITA EXCETO FORNEC.MAT. PRE-MOLDADO - 3,5M</v>
          </cell>
          <cell r="C3316" t="str">
            <v>UN</v>
          </cell>
          <cell r="D3316">
            <v>341.38</v>
          </cell>
        </row>
        <row r="3317">
          <cell r="A3317">
            <v>90041</v>
          </cell>
          <cell r="B3317" t="str">
            <v>POCO VISITA EXCETO FORNEC.MAT. PRE-MOLDADO - 4,0M</v>
          </cell>
          <cell r="C3317" t="str">
            <v>UN</v>
          </cell>
          <cell r="D3317">
            <v>385.22</v>
          </cell>
        </row>
        <row r="3318">
          <cell r="A3318">
            <v>90042</v>
          </cell>
          <cell r="B3318" t="str">
            <v>POCO VISITA EXCETO FORNEC.MAT. PRE-MOLDADO - 4,5M</v>
          </cell>
          <cell r="C3318" t="str">
            <v>UN</v>
          </cell>
          <cell r="D3318">
            <v>428.92</v>
          </cell>
        </row>
        <row r="3319">
          <cell r="A3319">
            <v>90043</v>
          </cell>
          <cell r="B3319" t="str">
            <v>POCO VISITA EXCETO FORNEC.MAT. PRE-MOLDADO - 5,0M</v>
          </cell>
          <cell r="C3319" t="str">
            <v>UN</v>
          </cell>
          <cell r="D3319">
            <v>472.62</v>
          </cell>
        </row>
        <row r="3320">
          <cell r="A3320">
            <v>172029</v>
          </cell>
          <cell r="B3320" t="str">
            <v>BROCA AÇO RÁPIDO 5/16</v>
          </cell>
          <cell r="C3320" t="str">
            <v>UN</v>
          </cell>
          <cell r="D3320">
            <v>6.9</v>
          </cell>
        </row>
        <row r="3321">
          <cell r="A3321">
            <v>172030</v>
          </cell>
          <cell r="B3321" t="str">
            <v>BROCA AÇO RÁPIDO 1/4</v>
          </cell>
          <cell r="C3321" t="str">
            <v>UN</v>
          </cell>
          <cell r="D3321">
            <v>4.9000000000000004</v>
          </cell>
        </row>
        <row r="3322">
          <cell r="A3322">
            <v>172031</v>
          </cell>
          <cell r="B3322" t="str">
            <v>BROCA VIDEA 6,5 MM</v>
          </cell>
          <cell r="C3322" t="str">
            <v>UN</v>
          </cell>
          <cell r="D3322">
            <v>3.5</v>
          </cell>
        </row>
        <row r="3323">
          <cell r="A3323">
            <v>172032</v>
          </cell>
          <cell r="B3323" t="str">
            <v>BROCA VIDEA 8,0 MM</v>
          </cell>
          <cell r="C3323" t="str">
            <v>UN</v>
          </cell>
          <cell r="D3323">
            <v>4.9000000000000004</v>
          </cell>
        </row>
        <row r="3324">
          <cell r="A3324">
            <v>172033</v>
          </cell>
          <cell r="B3324" t="str">
            <v>BROCA MOURÃO FIX TELHAS</v>
          </cell>
          <cell r="C3324" t="str">
            <v>UN</v>
          </cell>
          <cell r="D3324">
            <v>10.25</v>
          </cell>
        </row>
        <row r="3325">
          <cell r="A3325">
            <v>172034</v>
          </cell>
          <cell r="B3325" t="str">
            <v>LÂMINA DE SERRA FLEXÍVEL</v>
          </cell>
          <cell r="C3325" t="str">
            <v>UN</v>
          </cell>
          <cell r="D3325">
            <v>9.85</v>
          </cell>
        </row>
        <row r="3326">
          <cell r="A3326">
            <v>172035</v>
          </cell>
          <cell r="B3326" t="str">
            <v>LIMA CHATA P/ ENXADA DE 8"</v>
          </cell>
          <cell r="C3326" t="str">
            <v>UN</v>
          </cell>
          <cell r="D3326">
            <v>8</v>
          </cell>
        </row>
        <row r="3327">
          <cell r="A3327">
            <v>172036</v>
          </cell>
          <cell r="B3327" t="str">
            <v>CHAVE FIXA (C) 3/8 X 7/16</v>
          </cell>
          <cell r="C3327" t="str">
            <v>UN</v>
          </cell>
          <cell r="D3327">
            <v>1.8</v>
          </cell>
        </row>
        <row r="3328">
          <cell r="A3328">
            <v>172037</v>
          </cell>
          <cell r="B3328" t="str">
            <v>CHAVE FIXA (D) 1/2 X 9/16</v>
          </cell>
          <cell r="C3328" t="str">
            <v>UN</v>
          </cell>
          <cell r="D3328">
            <v>2</v>
          </cell>
        </row>
        <row r="3329">
          <cell r="A3329">
            <v>172038</v>
          </cell>
          <cell r="B3329" t="str">
            <v>CHAVE ESTRELA (B) 3/8 X 7/16</v>
          </cell>
          <cell r="C3329" t="str">
            <v>UN</v>
          </cell>
          <cell r="D3329">
            <v>3.3</v>
          </cell>
        </row>
        <row r="3330">
          <cell r="A3330">
            <v>172039</v>
          </cell>
          <cell r="B3330" t="str">
            <v>CHAVE ESTRELA (C) 1/2 X 9/16</v>
          </cell>
          <cell r="C3330" t="str">
            <v>UN</v>
          </cell>
          <cell r="D3330">
            <v>4</v>
          </cell>
        </row>
        <row r="3331">
          <cell r="A3331">
            <v>172040</v>
          </cell>
          <cell r="B3331" t="str">
            <v>COMPORTA EM FIBRA DE VIDRO ESTRUTURADO (INCLUINDO GUIA)</v>
          </cell>
          <cell r="C3331" t="str">
            <v>M2</v>
          </cell>
          <cell r="D3331">
            <v>280</v>
          </cell>
        </row>
        <row r="3332">
          <cell r="A3332">
            <v>172042</v>
          </cell>
          <cell r="B3332" t="str">
            <v>TIJOLO MACIÇO 19X9X5 CM PARA ALV. APARENTE</v>
          </cell>
          <cell r="C3332" t="str">
            <v>UN</v>
          </cell>
          <cell r="D3332">
            <v>0.17</v>
          </cell>
        </row>
        <row r="3333">
          <cell r="A3333">
            <v>172043</v>
          </cell>
          <cell r="B3333" t="str">
            <v>PLAQUETA REFRATÁRIA 229 X 114 X 25 MM</v>
          </cell>
          <cell r="C3333" t="str">
            <v>UN</v>
          </cell>
          <cell r="D3333">
            <v>0.83</v>
          </cell>
        </row>
        <row r="3334">
          <cell r="A3334">
            <v>172044</v>
          </cell>
          <cell r="B3334" t="str">
            <v>COIFA METÁLICA 2,70 X 0,60 X 1,10M, C/ CHAMINÉ 0,25 X 0,20 C/ 1,0 M # 16</v>
          </cell>
          <cell r="C3334" t="str">
            <v>UN</v>
          </cell>
          <cell r="D3334">
            <v>602.5</v>
          </cell>
        </row>
        <row r="3335">
          <cell r="A3335">
            <v>172045</v>
          </cell>
          <cell r="B3335" t="str">
            <v>BANCADA DE MÁRMORE BRANCO E = 2,5 CM PARA PIA OU LAVATÓRIO</v>
          </cell>
          <cell r="C3335" t="str">
            <v>M2</v>
          </cell>
          <cell r="D3335">
            <v>130</v>
          </cell>
        </row>
        <row r="3336">
          <cell r="A3336">
            <v>172046</v>
          </cell>
          <cell r="B3336" t="str">
            <v>ARDÓSIA PARA PISO 40 X 40 CM</v>
          </cell>
          <cell r="C3336" t="str">
            <v>M2</v>
          </cell>
          <cell r="D3336">
            <v>5.2</v>
          </cell>
        </row>
        <row r="3337">
          <cell r="A3337">
            <v>172047</v>
          </cell>
          <cell r="B3337" t="str">
            <v>RODAPÉ DE ARDÓSIA H = 7CM</v>
          </cell>
          <cell r="C3337" t="str">
            <v>M</v>
          </cell>
          <cell r="D3337">
            <v>1.1000000000000001</v>
          </cell>
        </row>
        <row r="3338">
          <cell r="A3338">
            <v>172048</v>
          </cell>
          <cell r="B3338" t="str">
            <v>PAPELEIRA DE LOUÇA 15 X 15 CM</v>
          </cell>
          <cell r="C3338" t="str">
            <v>UN</v>
          </cell>
          <cell r="D3338">
            <v>7.82</v>
          </cell>
        </row>
        <row r="3339">
          <cell r="A3339">
            <v>172049</v>
          </cell>
          <cell r="B3339" t="str">
            <v>SABONETEIRA DE LOUÇA 15 X 15 CM</v>
          </cell>
          <cell r="C3339" t="str">
            <v>UN</v>
          </cell>
          <cell r="D3339">
            <v>7.73</v>
          </cell>
        </row>
        <row r="3340">
          <cell r="A3340">
            <v>172057</v>
          </cell>
          <cell r="B3340" t="str">
            <v>TUBO F0F0 JE CL K-9 1,00M DN 80</v>
          </cell>
          <cell r="C3340" t="str">
            <v>M</v>
          </cell>
          <cell r="D3340">
            <v>58.35</v>
          </cell>
        </row>
        <row r="3341">
          <cell r="A3341">
            <v>172071</v>
          </cell>
          <cell r="B3341" t="str">
            <v>TUBO F0F0 JE CL K-9 1,00M DN 350</v>
          </cell>
          <cell r="C3341" t="str">
            <v>M</v>
          </cell>
          <cell r="D3341">
            <v>265.94</v>
          </cell>
        </row>
        <row r="3342">
          <cell r="A3342">
            <v>172072</v>
          </cell>
          <cell r="B3342" t="str">
            <v>TUBO F0F0 JE CL K-9 1,00M DN 450</v>
          </cell>
          <cell r="C3342" t="str">
            <v>M</v>
          </cell>
          <cell r="D3342">
            <v>373.33</v>
          </cell>
        </row>
        <row r="3343">
          <cell r="A3343">
            <v>172074</v>
          </cell>
          <cell r="B3343" t="str">
            <v>TUBO F0F0 JE CL K-7 1,00M DN 350</v>
          </cell>
          <cell r="C3343" t="str">
            <v>M</v>
          </cell>
          <cell r="D3343">
            <v>217.9</v>
          </cell>
        </row>
        <row r="3344">
          <cell r="A3344">
            <v>172075</v>
          </cell>
          <cell r="B3344" t="str">
            <v>TUBO F0F0 JE CL K-7 1,00M DN 450</v>
          </cell>
          <cell r="C3344" t="str">
            <v>M</v>
          </cell>
          <cell r="D3344">
            <v>307.93</v>
          </cell>
        </row>
        <row r="3345">
          <cell r="A3345">
            <v>221720</v>
          </cell>
          <cell r="B3345" t="str">
            <v>TÊ PVC SOLDÁVEL 90° C/ REDUÇÃO 40 X 32 MM</v>
          </cell>
          <cell r="C3345" t="str">
            <v>UN</v>
          </cell>
          <cell r="D3345">
            <v>1.48</v>
          </cell>
        </row>
        <row r="3346">
          <cell r="A3346">
            <v>221721</v>
          </cell>
          <cell r="B3346" t="str">
            <v>BUCHA DE REDUÇÃO SOLDÁVEL CURTO DN 32 X 25 MM</v>
          </cell>
          <cell r="C3346" t="str">
            <v>UN</v>
          </cell>
          <cell r="D3346">
            <v>0.14000000000000001</v>
          </cell>
        </row>
        <row r="3347">
          <cell r="A3347">
            <v>221722</v>
          </cell>
          <cell r="B3347" t="str">
            <v>CURVA 90° PVC SOLDÁVEL DN 40 MM</v>
          </cell>
          <cell r="C3347" t="str">
            <v>UN</v>
          </cell>
          <cell r="D3347">
            <v>1.85</v>
          </cell>
        </row>
        <row r="3348">
          <cell r="A3348">
            <v>221723</v>
          </cell>
          <cell r="B3348" t="str">
            <v>TÊ PVC SOLDÁVEL 90°  40 MM</v>
          </cell>
          <cell r="C3348" t="str">
            <v>UN</v>
          </cell>
          <cell r="D3348">
            <v>0.56000000000000005</v>
          </cell>
        </row>
        <row r="3349">
          <cell r="A3349">
            <v>221780</v>
          </cell>
          <cell r="B3349" t="str">
            <v>CURVA 90º PVC RÍGIDO SOLDÁVEL 50MM</v>
          </cell>
          <cell r="C3349" t="str">
            <v>UN</v>
          </cell>
          <cell r="D3349">
            <v>2.1</v>
          </cell>
        </row>
        <row r="3350">
          <cell r="A3350">
            <v>221781</v>
          </cell>
          <cell r="B3350" t="str">
            <v>PLACA DE REDUÇÃO FOFO DN 250 X 200</v>
          </cell>
          <cell r="C3350" t="str">
            <v>UN</v>
          </cell>
          <cell r="D3350">
            <v>220.51</v>
          </cell>
        </row>
        <row r="3351">
          <cell r="A3351">
            <v>311350</v>
          </cell>
          <cell r="B3351" t="str">
            <v>TAMPA DE CONCRETO PARA CAIXA DE LIGACAO</v>
          </cell>
          <cell r="C3351" t="str">
            <v>UN</v>
          </cell>
          <cell r="D3351">
            <v>0</v>
          </cell>
        </row>
        <row r="3352">
          <cell r="A3352">
            <v>320000</v>
          </cell>
          <cell r="B3352" t="str">
            <v>TRANSPORTE (CAMIONETA)</v>
          </cell>
          <cell r="C3352" t="str">
            <v>H</v>
          </cell>
          <cell r="D3352">
            <v>3.88</v>
          </cell>
        </row>
        <row r="3353">
          <cell r="A3353">
            <v>32001</v>
          </cell>
          <cell r="B3353" t="str">
            <v>LIXADEIRA</v>
          </cell>
          <cell r="C3353" t="str">
            <v>H</v>
          </cell>
          <cell r="D3353">
            <v>10</v>
          </cell>
        </row>
        <row r="3354">
          <cell r="A3354">
            <v>32003</v>
          </cell>
          <cell r="B3354" t="str">
            <v>GERADOR P/ MÁQUINA DE SOLDA, COM MOTOR Á COMBUSTÃO</v>
          </cell>
          <cell r="C3354" t="str">
            <v>H</v>
          </cell>
          <cell r="D3354">
            <v>45</v>
          </cell>
        </row>
        <row r="3355">
          <cell r="A3355">
            <v>32004</v>
          </cell>
          <cell r="B3355" t="str">
            <v>PERFURATRIZ DIAMANTADA HIDRÁULICA DD-750</v>
          </cell>
          <cell r="C3355" t="str">
            <v>H</v>
          </cell>
          <cell r="D3355">
            <v>55.83</v>
          </cell>
        </row>
        <row r="3356">
          <cell r="A3356">
            <v>90000</v>
          </cell>
          <cell r="B3356" t="str">
            <v>TABELA DE REALINHAMENTO DE PRECOS - ANEXO</v>
          </cell>
          <cell r="D3356">
            <v>0</v>
          </cell>
        </row>
        <row r="3357">
          <cell r="A3357">
            <v>90001</v>
          </cell>
          <cell r="B3357" t="str">
            <v>CONE PARA SINALIZACAO</v>
          </cell>
          <cell r="C3357" t="str">
            <v>UN</v>
          </cell>
          <cell r="D3357">
            <v>33.630000000000003</v>
          </cell>
        </row>
        <row r="3358">
          <cell r="A3358">
            <v>90002</v>
          </cell>
          <cell r="B3358" t="str">
            <v>ESCAVACAO MECANIZADA 1A CATEGORIA (4 A 6M)</v>
          </cell>
          <cell r="C3358" t="str">
            <v>M3</v>
          </cell>
          <cell r="D3358">
            <v>4.1900000000000004</v>
          </cell>
        </row>
        <row r="3359">
          <cell r="A3359">
            <v>90003</v>
          </cell>
          <cell r="B3359" t="str">
            <v>ESCAVACAO MECANIZADA 2A CATEGORIA (4 A 6M)</v>
          </cell>
          <cell r="C3359" t="str">
            <v>M3</v>
          </cell>
          <cell r="D3359">
            <v>8.33</v>
          </cell>
        </row>
        <row r="3360">
          <cell r="A3360">
            <v>90004</v>
          </cell>
          <cell r="B3360" t="str">
            <v>ESCAVACAO MECANIZADA EM BARRO LAMA (4 A 6M)</v>
          </cell>
          <cell r="C3360" t="str">
            <v>M3</v>
          </cell>
          <cell r="D3360">
            <v>9.6999999999999993</v>
          </cell>
        </row>
        <row r="3361">
          <cell r="A3361">
            <v>90005</v>
          </cell>
          <cell r="B3361" t="str">
            <v>FORNECIMENTO DE MEIO-FIO (CONCRETO)</v>
          </cell>
          <cell r="C3361" t="str">
            <v>M</v>
          </cell>
          <cell r="D3361">
            <v>10.46</v>
          </cell>
        </row>
        <row r="3362">
          <cell r="A3362">
            <v>90006</v>
          </cell>
          <cell r="B3362" t="str">
            <v>ASSENTAMENTO DE MEIO-FIO (CONCRETO)</v>
          </cell>
          <cell r="C3362" t="str">
            <v>M</v>
          </cell>
          <cell r="D3362">
            <v>4.55</v>
          </cell>
        </row>
        <row r="3363">
          <cell r="A3363">
            <v>90007</v>
          </cell>
          <cell r="B3363" t="str">
            <v>REPOSICAO EM CALCADA (5CM)</v>
          </cell>
          <cell r="C3363" t="str">
            <v>M2</v>
          </cell>
          <cell r="D3363">
            <v>5.67</v>
          </cell>
        </row>
        <row r="3364">
          <cell r="A3364">
            <v>90008</v>
          </cell>
          <cell r="B3364" t="str">
            <v>UMEDECIMENTO DE MATERIAL P/FECHAMENTO DE VALA</v>
          </cell>
          <cell r="C3364" t="str">
            <v>M3</v>
          </cell>
          <cell r="D3364">
            <v>0.34</v>
          </cell>
        </row>
        <row r="3365">
          <cell r="A3365">
            <v>90009</v>
          </cell>
          <cell r="B3365" t="str">
            <v>PONTA SECA (CALCADA)</v>
          </cell>
          <cell r="C3365" t="str">
            <v>UN</v>
          </cell>
          <cell r="D3365">
            <v>37.42</v>
          </cell>
        </row>
        <row r="3366">
          <cell r="A3366">
            <v>90010</v>
          </cell>
          <cell r="B3366" t="str">
            <v>PONTA SECA (RUA)</v>
          </cell>
          <cell r="C3366" t="str">
            <v>UN</v>
          </cell>
          <cell r="D3366">
            <v>40.67</v>
          </cell>
        </row>
        <row r="3367">
          <cell r="A3367">
            <v>90011</v>
          </cell>
          <cell r="B3367" t="str">
            <v>FORNECIMENTO E ASSENTAMENTO TAMPAO (QUEIJO)</v>
          </cell>
          <cell r="C3367" t="str">
            <v>UN</v>
          </cell>
          <cell r="D3367">
            <v>2.2000000000000002</v>
          </cell>
        </row>
        <row r="3368">
          <cell r="A3368">
            <v>90012</v>
          </cell>
          <cell r="B3368" t="str">
            <v>CONFECCAO DE JUNTA ASFALTICA</v>
          </cell>
          <cell r="C3368" t="str">
            <v>UN</v>
          </cell>
          <cell r="D3368">
            <v>2.54</v>
          </cell>
        </row>
        <row r="3369">
          <cell r="A3369">
            <v>90013</v>
          </cell>
          <cell r="B3369" t="str">
            <v>TRANSPORTE TUBOS CERAMICOS</v>
          </cell>
          <cell r="C3369" t="str">
            <v>MK</v>
          </cell>
          <cell r="D3369">
            <v>0.02</v>
          </cell>
        </row>
        <row r="3370">
          <cell r="A3370">
            <v>90014</v>
          </cell>
          <cell r="B3370" t="str">
            <v>PLACA DE SINALIZACAO DE TRANSITO</v>
          </cell>
          <cell r="C3370" t="str">
            <v>M2</v>
          </cell>
          <cell r="D3370">
            <v>40.82</v>
          </cell>
        </row>
        <row r="3371">
          <cell r="A3371">
            <v>90015</v>
          </cell>
          <cell r="B3371" t="str">
            <v>ESGOTAMENTO DE VALAS 2"</v>
          </cell>
          <cell r="C3371" t="str">
            <v>HP</v>
          </cell>
          <cell r="D3371">
            <v>1.07</v>
          </cell>
        </row>
        <row r="3372">
          <cell r="A3372">
            <v>90016</v>
          </cell>
          <cell r="B3372" t="str">
            <v>DRENO DE TUBO DE CONCRETO POROSO</v>
          </cell>
          <cell r="C3372" t="str">
            <v>M</v>
          </cell>
          <cell r="D3372">
            <v>13.96</v>
          </cell>
        </row>
        <row r="3373">
          <cell r="A3373">
            <v>90017</v>
          </cell>
          <cell r="B3373" t="str">
            <v>FORNECIMENTO DE PARALELEPIPEDO</v>
          </cell>
          <cell r="C3373" t="str">
            <v>M</v>
          </cell>
          <cell r="D3373">
            <v>6.33</v>
          </cell>
        </row>
        <row r="3374">
          <cell r="A3374">
            <v>90018</v>
          </cell>
          <cell r="B3374" t="str">
            <v>ASSENTAMENTO DE PARALELEPIPEDO</v>
          </cell>
          <cell r="C3374" t="str">
            <v>M</v>
          </cell>
          <cell r="D3374">
            <v>3.58</v>
          </cell>
        </row>
        <row r="3375">
          <cell r="A3375">
            <v>90019</v>
          </cell>
          <cell r="B3375" t="str">
            <v>CONFECCAO DE SARJETAS</v>
          </cell>
          <cell r="C3375" t="str">
            <v>M3</v>
          </cell>
          <cell r="D3375">
            <v>77.75</v>
          </cell>
        </row>
        <row r="3376">
          <cell r="A3376">
            <v>90020</v>
          </cell>
          <cell r="B3376" t="str">
            <v>REATERRO DE VALAS C/MATERIAL GRANULAR</v>
          </cell>
          <cell r="C3376" t="str">
            <v>M3</v>
          </cell>
          <cell r="D3376">
            <v>24</v>
          </cell>
        </row>
        <row r="3377">
          <cell r="A3377">
            <v>90021</v>
          </cell>
          <cell r="B3377" t="str">
            <v>GALERIA AGUAS PLUVIAIS (CONST. BOCA LOBO C/H_1,5M)</v>
          </cell>
          <cell r="C3377" t="str">
            <v>UN</v>
          </cell>
          <cell r="D3377">
            <v>71.959999999999994</v>
          </cell>
        </row>
        <row r="3378">
          <cell r="A3378">
            <v>90022</v>
          </cell>
          <cell r="B3378" t="str">
            <v>ACRESCIMO DE ALTURA DA BOCA DE LOBO</v>
          </cell>
          <cell r="C3378" t="str">
            <v>M</v>
          </cell>
          <cell r="D3378">
            <v>33.619999999999997</v>
          </cell>
        </row>
        <row r="3379">
          <cell r="A3379">
            <v>90023</v>
          </cell>
          <cell r="B3379" t="str">
            <v>ASSENTAMENTO CA-2 DN 700</v>
          </cell>
          <cell r="C3379" t="str">
            <v>M</v>
          </cell>
          <cell r="D3379">
            <v>53.17</v>
          </cell>
        </row>
        <row r="3380">
          <cell r="A3380">
            <v>90024</v>
          </cell>
          <cell r="B3380" t="str">
            <v>CERCA DE ARAME FARPADO DE 4 FIOS</v>
          </cell>
          <cell r="C3380" t="str">
            <v>M</v>
          </cell>
          <cell r="D3380">
            <v>13.5</v>
          </cell>
        </row>
        <row r="3381">
          <cell r="A3381">
            <v>90025</v>
          </cell>
          <cell r="B3381" t="str">
            <v>RECOMPOSICAO DE PAV. ASFALTICO INCLUSIVE BASE</v>
          </cell>
          <cell r="C3381" t="str">
            <v>M2</v>
          </cell>
          <cell r="D3381">
            <v>19.8</v>
          </cell>
        </row>
        <row r="3382">
          <cell r="A3382">
            <v>90026</v>
          </cell>
          <cell r="B3382" t="str">
            <v>ESGOTAMENTO DE SUMIDOURO</v>
          </cell>
          <cell r="C3382" t="str">
            <v>M3</v>
          </cell>
          <cell r="D3382">
            <v>14.28</v>
          </cell>
        </row>
        <row r="3383">
          <cell r="A3383">
            <v>90027</v>
          </cell>
          <cell r="B3383" t="str">
            <v>ENTUPIMENTO DE SUMIDOURO</v>
          </cell>
          <cell r="C3383" t="str">
            <v>M3</v>
          </cell>
          <cell r="D3383">
            <v>9.11</v>
          </cell>
        </row>
        <row r="3384">
          <cell r="A3384">
            <v>90030</v>
          </cell>
          <cell r="B3384" t="str">
            <v>CONCRETO PRE-MISTURADO FCK=9,0 MPA</v>
          </cell>
          <cell r="C3384" t="str">
            <v>M3</v>
          </cell>
          <cell r="D3384">
            <v>112</v>
          </cell>
        </row>
        <row r="3385">
          <cell r="A3385">
            <v>90031</v>
          </cell>
          <cell r="B3385" t="str">
            <v>PINTURA ANTICORROSIVA PARA TUBULACAO (ZARCAO)</v>
          </cell>
          <cell r="C3385" t="str">
            <v>M2</v>
          </cell>
          <cell r="D3385">
            <v>4.38</v>
          </cell>
        </row>
        <row r="3386">
          <cell r="A3386">
            <v>90033</v>
          </cell>
          <cell r="B3386" t="str">
            <v>TRANSPORTE DE MATERIAL 1A OU 2A CAT.(PERIM.URBANO)</v>
          </cell>
          <cell r="C3386" t="str">
            <v>MK</v>
          </cell>
          <cell r="D3386">
            <v>0.98</v>
          </cell>
        </row>
        <row r="3387">
          <cell r="A3387">
            <v>90034</v>
          </cell>
          <cell r="B3387" t="str">
            <v>REGULARIZACAO DE RUA C/ MOTONIVELADORA</v>
          </cell>
          <cell r="C3387" t="str">
            <v>M3</v>
          </cell>
          <cell r="D3387">
            <v>0.34</v>
          </cell>
        </row>
        <row r="3388">
          <cell r="A3388">
            <v>90035</v>
          </cell>
          <cell r="B3388" t="str">
            <v>POCO VISITA EXCETO FORNEC.MAT. PRE-MOLDADO - 1,0M</v>
          </cell>
          <cell r="C3388" t="str">
            <v>UN</v>
          </cell>
          <cell r="D3388">
            <v>81.36</v>
          </cell>
        </row>
        <row r="3389">
          <cell r="A3389">
            <v>90036</v>
          </cell>
          <cell r="B3389" t="str">
            <v>POCO VISITA EXCETO FORNEC.MAT. PRE-MOLDADO - 1,5M</v>
          </cell>
          <cell r="C3389" t="str">
            <v>UN</v>
          </cell>
          <cell r="D3389">
            <v>104.14</v>
          </cell>
        </row>
        <row r="3390">
          <cell r="A3390">
            <v>90037</v>
          </cell>
          <cell r="B3390" t="str">
            <v>POCO VISITA EXCETO FORNEC.MAT. PRE-MOLDADO - 2,0M</v>
          </cell>
          <cell r="C3390" t="str">
            <v>UN</v>
          </cell>
          <cell r="D3390">
            <v>133.31</v>
          </cell>
        </row>
        <row r="3391">
          <cell r="A3391">
            <v>90038</v>
          </cell>
          <cell r="B3391" t="str">
            <v>POCO VISITA EXCETO FORNEC.MAT. PRE-MOLDADO - 2,5M</v>
          </cell>
          <cell r="C3391" t="str">
            <v>UN</v>
          </cell>
          <cell r="D3391">
            <v>170.7</v>
          </cell>
        </row>
        <row r="3392">
          <cell r="A3392">
            <v>90039</v>
          </cell>
          <cell r="B3392" t="str">
            <v>POCO VISITA EXCETO FORNEC.MAT. PRE-MOLDADO - 3,0M</v>
          </cell>
          <cell r="C3392" t="str">
            <v>UN</v>
          </cell>
          <cell r="D3392">
            <v>221.57</v>
          </cell>
        </row>
        <row r="3393">
          <cell r="A3393">
            <v>90040</v>
          </cell>
          <cell r="B3393" t="str">
            <v>POCO VISITA EXCETO FORNEC.MAT. PRE-MOLDADO - 3,5M</v>
          </cell>
          <cell r="C3393" t="str">
            <v>UN</v>
          </cell>
          <cell r="D3393">
            <v>341.38</v>
          </cell>
        </row>
        <row r="3394">
          <cell r="A3394">
            <v>90041</v>
          </cell>
          <cell r="B3394" t="str">
            <v>POCO VISITA EXCETO FORNEC.MAT. PRE-MOLDADO - 4,0M</v>
          </cell>
          <cell r="C3394" t="str">
            <v>UN</v>
          </cell>
          <cell r="D3394">
            <v>385.22</v>
          </cell>
        </row>
        <row r="3395">
          <cell r="A3395">
            <v>90042</v>
          </cell>
          <cell r="B3395" t="str">
            <v>POCO VISITA EXCETO FORNEC.MAT. PRE-MOLDADO - 4,5M</v>
          </cell>
          <cell r="C3395" t="str">
            <v>UN</v>
          </cell>
          <cell r="D3395">
            <v>428.92</v>
          </cell>
        </row>
        <row r="3396">
          <cell r="A3396">
            <v>90043</v>
          </cell>
          <cell r="B3396" t="str">
            <v>POCO VISITA EXCETO FORNEC.MAT. PRE-MOLDADO - 5,0M</v>
          </cell>
          <cell r="C3396" t="str">
            <v>UN</v>
          </cell>
          <cell r="D3396">
            <v>472.62</v>
          </cell>
        </row>
        <row r="3397">
          <cell r="A3397">
            <v>122111</v>
          </cell>
          <cell r="B3397" t="str">
            <v>VIDRO CANELADO - MARTELADO</v>
          </cell>
          <cell r="C3397" t="str">
            <v>m²</v>
          </cell>
          <cell r="D3397">
            <v>12.96</v>
          </cell>
        </row>
        <row r="3398">
          <cell r="A3398">
            <v>150001</v>
          </cell>
          <cell r="B3398" t="str">
            <v>COMPACTADOR CM-20</v>
          </cell>
          <cell r="C3398" t="str">
            <v>H</v>
          </cell>
          <cell r="D3398">
            <v>0</v>
          </cell>
        </row>
        <row r="3399">
          <cell r="A3399">
            <v>172001</v>
          </cell>
          <cell r="B3399" t="str">
            <v>EQUIPAMENTO ETE</v>
          </cell>
          <cell r="C3399" t="str">
            <v>un</v>
          </cell>
          <cell r="D3399">
            <v>3897350</v>
          </cell>
        </row>
        <row r="3400">
          <cell r="A3400">
            <v>172041</v>
          </cell>
          <cell r="B3400" t="str">
            <v>AQUISIÇÃO DE MATERIAL DE JAZIDA</v>
          </cell>
          <cell r="C3400" t="str">
            <v>M3</v>
          </cell>
          <cell r="D3400">
            <v>0.63</v>
          </cell>
        </row>
        <row r="3401">
          <cell r="A3401">
            <v>172056</v>
          </cell>
          <cell r="B3401" t="str">
            <v>CAMINHÃO COM GUINDASTE 16 TON.</v>
          </cell>
          <cell r="C3401" t="str">
            <v>H</v>
          </cell>
          <cell r="D3401">
            <v>23.61</v>
          </cell>
        </row>
        <row r="3402">
          <cell r="A3402">
            <v>310000</v>
          </cell>
          <cell r="B3402" t="str">
            <v>EQUIPAMENTOS</v>
          </cell>
          <cell r="C3402" t="str">
            <v>xxxxx</v>
          </cell>
          <cell r="D3402">
            <v>0</v>
          </cell>
        </row>
        <row r="3403">
          <cell r="A3403">
            <v>310100</v>
          </cell>
          <cell r="B3403" t="str">
            <v>BATE ESTACAS LEVE</v>
          </cell>
          <cell r="C3403" t="str">
            <v>H</v>
          </cell>
          <cell r="D3403">
            <v>25.57</v>
          </cell>
        </row>
        <row r="3404">
          <cell r="A3404">
            <v>310101</v>
          </cell>
          <cell r="B3404" t="str">
            <v>BATE ESTACAS LEVE</v>
          </cell>
          <cell r="C3404" t="str">
            <v>HI</v>
          </cell>
          <cell r="D3404">
            <v>10.99</v>
          </cell>
        </row>
        <row r="3405">
          <cell r="A3405">
            <v>310130</v>
          </cell>
          <cell r="B3405" t="str">
            <v>BETONEIRA 320 L</v>
          </cell>
          <cell r="C3405" t="str">
            <v>H</v>
          </cell>
          <cell r="D3405">
            <v>1.81</v>
          </cell>
        </row>
        <row r="3406">
          <cell r="A3406">
            <v>310140</v>
          </cell>
          <cell r="B3406" t="str">
            <v>BOMBA SPV 2"</v>
          </cell>
          <cell r="C3406" t="str">
            <v>H</v>
          </cell>
          <cell r="D3406">
            <v>1.77</v>
          </cell>
        </row>
        <row r="3407">
          <cell r="A3407">
            <v>310141</v>
          </cell>
          <cell r="B3407" t="str">
            <v>BOMBA SPV 3"</v>
          </cell>
          <cell r="C3407" t="str">
            <v>H</v>
          </cell>
          <cell r="D3407">
            <v>1.88</v>
          </cell>
        </row>
        <row r="3408">
          <cell r="A3408">
            <v>310150</v>
          </cell>
          <cell r="B3408" t="str">
            <v>CALDEIRA</v>
          </cell>
          <cell r="C3408" t="str">
            <v>H</v>
          </cell>
          <cell r="D3408">
            <v>10.84</v>
          </cell>
        </row>
        <row r="3409">
          <cell r="A3409">
            <v>310160</v>
          </cell>
          <cell r="B3409" t="str">
            <v>CAMINHAO BASCULANTE</v>
          </cell>
          <cell r="C3409" t="str">
            <v>H</v>
          </cell>
          <cell r="D3409">
            <v>36.979999999999997</v>
          </cell>
        </row>
        <row r="3410">
          <cell r="A3410">
            <v>310161</v>
          </cell>
          <cell r="B3410" t="str">
            <v>CAMINHAO BASCULANTE</v>
          </cell>
          <cell r="C3410" t="str">
            <v>HI</v>
          </cell>
          <cell r="D3410">
            <v>21.72</v>
          </cell>
        </row>
        <row r="3411">
          <cell r="A3411">
            <v>310162</v>
          </cell>
          <cell r="B3411" t="str">
            <v>CAMINHAO BASCULANTE 10 M3 VOLVO/SCANIA</v>
          </cell>
          <cell r="C3411" t="str">
            <v>H</v>
          </cell>
          <cell r="D3411">
            <v>68.63</v>
          </cell>
        </row>
        <row r="3412">
          <cell r="A3412">
            <v>310163</v>
          </cell>
          <cell r="B3412" t="str">
            <v>CAMINHAO BASCULANTE 22T RANDOM RK-424</v>
          </cell>
          <cell r="C3412" t="str">
            <v>H</v>
          </cell>
          <cell r="D3412">
            <v>88.22</v>
          </cell>
        </row>
        <row r="3413">
          <cell r="A3413">
            <v>310164</v>
          </cell>
          <cell r="B3413" t="str">
            <v>CAMINHAO BASCULANTE 5 M3</v>
          </cell>
          <cell r="C3413" t="str">
            <v>H</v>
          </cell>
          <cell r="D3413">
            <v>36.979999999999997</v>
          </cell>
        </row>
        <row r="3414">
          <cell r="A3414">
            <v>310165</v>
          </cell>
          <cell r="B3414" t="str">
            <v>CAMINHAO BASCULANTE 5 M3</v>
          </cell>
          <cell r="C3414" t="str">
            <v>H</v>
          </cell>
          <cell r="D3414">
            <v>21.72</v>
          </cell>
        </row>
        <row r="3415">
          <cell r="A3415">
            <v>310166</v>
          </cell>
          <cell r="B3415" t="str">
            <v>CAMINHAO BASCULANTE 6 M3 MB LK-1618/42</v>
          </cell>
          <cell r="C3415" t="str">
            <v>H</v>
          </cell>
          <cell r="D3415">
            <v>45.83</v>
          </cell>
        </row>
        <row r="3416">
          <cell r="A3416">
            <v>310167</v>
          </cell>
          <cell r="B3416" t="str">
            <v>CAMINHAO BASCULANTE MB - 1313 - 6M3</v>
          </cell>
          <cell r="C3416" t="str">
            <v>H</v>
          </cell>
          <cell r="D3416">
            <v>36.979999999999997</v>
          </cell>
        </row>
        <row r="3417">
          <cell r="A3417">
            <v>310168</v>
          </cell>
          <cell r="B3417" t="str">
            <v>CAMINHAO BASCULANTE MB - 1313 - 6M3</v>
          </cell>
          <cell r="C3417" t="str">
            <v>HI</v>
          </cell>
          <cell r="D3417">
            <v>21.72</v>
          </cell>
        </row>
        <row r="3418">
          <cell r="A3418">
            <v>310190</v>
          </cell>
          <cell r="B3418" t="str">
            <v>CAMINHAO C/MUNCK</v>
          </cell>
          <cell r="C3418" t="str">
            <v>H</v>
          </cell>
          <cell r="D3418">
            <v>55.83</v>
          </cell>
        </row>
        <row r="3419">
          <cell r="A3419">
            <v>310191</v>
          </cell>
          <cell r="B3419" t="str">
            <v>CAMINHAO C/MUNCK 2 TON</v>
          </cell>
          <cell r="C3419" t="str">
            <v>H</v>
          </cell>
          <cell r="D3419">
            <v>55.83</v>
          </cell>
        </row>
        <row r="3420">
          <cell r="A3420">
            <v>310220</v>
          </cell>
          <cell r="B3420" t="str">
            <v>CAMINHAO CARROCERIA</v>
          </cell>
          <cell r="C3420" t="str">
            <v>H</v>
          </cell>
          <cell r="D3420">
            <v>30.96</v>
          </cell>
        </row>
        <row r="3421">
          <cell r="A3421">
            <v>310221</v>
          </cell>
          <cell r="B3421" t="str">
            <v>CAMINHAO CARROCERIA (FORD F-11.000)</v>
          </cell>
          <cell r="C3421" t="str">
            <v>H</v>
          </cell>
          <cell r="D3421">
            <v>30.96</v>
          </cell>
        </row>
        <row r="3422">
          <cell r="A3422">
            <v>310222</v>
          </cell>
          <cell r="B3422" t="str">
            <v>CAMINHAO CARROCERIA (FORD F-11.000) L-1313-48</v>
          </cell>
          <cell r="C3422" t="str">
            <v>H</v>
          </cell>
          <cell r="D3422">
            <v>30.96</v>
          </cell>
        </row>
        <row r="3423">
          <cell r="A3423">
            <v>310223</v>
          </cell>
          <cell r="B3423" t="str">
            <v>CAMINHAO CARROCERIA 5 TON.</v>
          </cell>
          <cell r="C3423" t="str">
            <v>H</v>
          </cell>
          <cell r="D3423">
            <v>30.96</v>
          </cell>
        </row>
        <row r="3424">
          <cell r="A3424">
            <v>310224</v>
          </cell>
          <cell r="B3424" t="str">
            <v>CAMINHAO CARROCERIA 7 TON.</v>
          </cell>
          <cell r="C3424" t="str">
            <v>H</v>
          </cell>
          <cell r="D3424">
            <v>30.96</v>
          </cell>
        </row>
        <row r="3425">
          <cell r="A3425">
            <v>310225</v>
          </cell>
          <cell r="B3425" t="str">
            <v>CAMINHAO CARROCERIA 8 TON.</v>
          </cell>
          <cell r="C3425" t="str">
            <v>H</v>
          </cell>
          <cell r="D3425">
            <v>31.04</v>
          </cell>
        </row>
        <row r="3426">
          <cell r="A3426">
            <v>310260</v>
          </cell>
          <cell r="B3426" t="str">
            <v>CAMINHAO PIPA MB LK 1513</v>
          </cell>
          <cell r="C3426" t="str">
            <v>H</v>
          </cell>
          <cell r="D3426">
            <v>30.53</v>
          </cell>
        </row>
        <row r="3427">
          <cell r="A3427">
            <v>310261</v>
          </cell>
          <cell r="B3427" t="str">
            <v>CAMINHAO TANQUE - CAP.= 10000 LITROS</v>
          </cell>
          <cell r="C3427" t="str">
            <v>HI</v>
          </cell>
          <cell r="D3427">
            <v>13.17</v>
          </cell>
        </row>
        <row r="3428">
          <cell r="A3428">
            <v>310262</v>
          </cell>
          <cell r="B3428" t="str">
            <v>CAMINHAO TANQUE 6.000 L</v>
          </cell>
          <cell r="C3428" t="str">
            <v>H</v>
          </cell>
          <cell r="D3428">
            <v>30.53</v>
          </cell>
        </row>
        <row r="3429">
          <cell r="A3429">
            <v>310263</v>
          </cell>
          <cell r="B3429" t="str">
            <v>CAMINHAO TANQUE 6.000 L CHEVROLET D-653</v>
          </cell>
          <cell r="C3429" t="str">
            <v>H</v>
          </cell>
          <cell r="D3429">
            <v>30.53</v>
          </cell>
        </row>
        <row r="3430">
          <cell r="A3430">
            <v>310264</v>
          </cell>
          <cell r="B3430" t="str">
            <v>CAMINHAO TANQUE 6.000 L CHEVROLET D-653</v>
          </cell>
          <cell r="C3430" t="str">
            <v>HI</v>
          </cell>
          <cell r="D3430">
            <v>9.19</v>
          </cell>
        </row>
        <row r="3431">
          <cell r="A3431">
            <v>310265</v>
          </cell>
          <cell r="B3431" t="str">
            <v>CAMINHAO TANQUE P/AGUA MB-1313 10.000 PIPA</v>
          </cell>
          <cell r="C3431" t="str">
            <v>H</v>
          </cell>
          <cell r="D3431">
            <v>30.62</v>
          </cell>
        </row>
        <row r="3432">
          <cell r="A3432">
            <v>310340</v>
          </cell>
          <cell r="B3432" t="str">
            <v>CARREGADEIRA TIPO CLARK MICHIGAN 75-III</v>
          </cell>
          <cell r="C3432" t="str">
            <v>H</v>
          </cell>
          <cell r="D3432">
            <v>26.3</v>
          </cell>
        </row>
        <row r="3433">
          <cell r="A3433">
            <v>310370</v>
          </cell>
          <cell r="B3433" t="str">
            <v>CAV. MEC. C/CARRETA DE 25 TON.</v>
          </cell>
          <cell r="C3433" t="str">
            <v>H</v>
          </cell>
          <cell r="D3433">
            <v>56.35</v>
          </cell>
        </row>
        <row r="3434">
          <cell r="A3434">
            <v>310400</v>
          </cell>
          <cell r="B3434" t="str">
            <v>COMPACTADOR CLORIZONI-SAPO T.C.</v>
          </cell>
          <cell r="C3434" t="str">
            <v>H</v>
          </cell>
          <cell r="D3434">
            <v>3.08</v>
          </cell>
        </row>
        <row r="3435">
          <cell r="A3435">
            <v>310401</v>
          </cell>
          <cell r="B3435" t="str">
            <v>COMPACTADOR CM - 20</v>
          </cell>
          <cell r="C3435" t="str">
            <v>H</v>
          </cell>
          <cell r="D3435">
            <v>6.28</v>
          </cell>
        </row>
        <row r="3436">
          <cell r="A3436">
            <v>310402</v>
          </cell>
          <cell r="B3436" t="str">
            <v>COMPACTADOR CM - 20 CS - 15 AGRALE</v>
          </cell>
          <cell r="C3436" t="str">
            <v>H</v>
          </cell>
          <cell r="D3436">
            <v>5.28</v>
          </cell>
        </row>
        <row r="3437">
          <cell r="A3437">
            <v>310403</v>
          </cell>
          <cell r="B3437" t="str">
            <v>COMPACTADOR CS - 15 AGRALE</v>
          </cell>
          <cell r="C3437" t="str">
            <v>H</v>
          </cell>
          <cell r="D3437">
            <v>5.28</v>
          </cell>
        </row>
        <row r="3438">
          <cell r="A3438">
            <v>310404</v>
          </cell>
          <cell r="B3438" t="str">
            <v>COMPACTADOR DE PLACAS VIBR.</v>
          </cell>
          <cell r="C3438" t="str">
            <v>H</v>
          </cell>
          <cell r="D3438">
            <v>6.28</v>
          </cell>
        </row>
        <row r="3439">
          <cell r="A3439">
            <v>310405</v>
          </cell>
          <cell r="B3439" t="str">
            <v>COMPACTADOR DE PLACAS VIBR. CM-20</v>
          </cell>
          <cell r="C3439" t="str">
            <v>H</v>
          </cell>
          <cell r="D3439">
            <v>6.28</v>
          </cell>
        </row>
        <row r="3440">
          <cell r="A3440">
            <v>310406</v>
          </cell>
          <cell r="B3440" t="str">
            <v>COMPACTADOR MR-80</v>
          </cell>
          <cell r="C3440" t="str">
            <v>H</v>
          </cell>
          <cell r="D3440">
            <v>6.28</v>
          </cell>
        </row>
        <row r="3441">
          <cell r="A3441">
            <v>310407</v>
          </cell>
          <cell r="B3441" t="str">
            <v>COMPACTADOR MYKASA - MTR - 80</v>
          </cell>
          <cell r="C3441" t="str">
            <v>H</v>
          </cell>
          <cell r="D3441">
            <v>6.28</v>
          </cell>
        </row>
        <row r="3442">
          <cell r="A3442">
            <v>310480</v>
          </cell>
          <cell r="B3442" t="str">
            <v>COMPRESSOR</v>
          </cell>
          <cell r="C3442" t="str">
            <v>H</v>
          </cell>
          <cell r="D3442">
            <v>17.97</v>
          </cell>
        </row>
        <row r="3443">
          <cell r="A3443">
            <v>310481</v>
          </cell>
          <cell r="B3443" t="str">
            <v>COMPRESSOR 250 PCM</v>
          </cell>
          <cell r="C3443" t="str">
            <v>H</v>
          </cell>
          <cell r="D3443">
            <v>17.97</v>
          </cell>
        </row>
        <row r="3444">
          <cell r="A3444">
            <v>310482</v>
          </cell>
          <cell r="B3444" t="str">
            <v>COMPRESSOR 275 PCM</v>
          </cell>
          <cell r="C3444" t="str">
            <v>H</v>
          </cell>
          <cell r="D3444">
            <v>17.97</v>
          </cell>
        </row>
        <row r="3445">
          <cell r="A3445">
            <v>310483</v>
          </cell>
          <cell r="B3445" t="str">
            <v>COMPRESSOR 275 PCM</v>
          </cell>
          <cell r="C3445" t="str">
            <v>HI</v>
          </cell>
          <cell r="D3445">
            <v>7.73</v>
          </cell>
        </row>
        <row r="3446">
          <cell r="A3446">
            <v>310484</v>
          </cell>
          <cell r="B3446" t="str">
            <v>COMPRESSOR PORTATIL 335 PCM</v>
          </cell>
          <cell r="C3446" t="str">
            <v>HI</v>
          </cell>
          <cell r="D3446">
            <v>25.16</v>
          </cell>
        </row>
        <row r="3447">
          <cell r="A3447">
            <v>310485</v>
          </cell>
          <cell r="B3447" t="str">
            <v>COPRESSOR 250 PCH</v>
          </cell>
          <cell r="C3447" t="str">
            <v>un</v>
          </cell>
          <cell r="D3447">
            <v>26.8</v>
          </cell>
        </row>
        <row r="3448">
          <cell r="A3448">
            <v>310570</v>
          </cell>
          <cell r="B3448" t="str">
            <v>CONJ. OXIACETILENO</v>
          </cell>
          <cell r="C3448" t="str">
            <v>CJ</v>
          </cell>
          <cell r="D3448">
            <v>1.1499999999999999</v>
          </cell>
        </row>
        <row r="3449">
          <cell r="A3449">
            <v>310590</v>
          </cell>
          <cell r="B3449" t="str">
            <v>CTD (KG/M)</v>
          </cell>
          <cell r="C3449" t="str">
            <v>GM</v>
          </cell>
          <cell r="D3449">
            <v>0.01</v>
          </cell>
        </row>
        <row r="3450">
          <cell r="A3450">
            <v>310610</v>
          </cell>
          <cell r="B3450" t="str">
            <v>DOSADOR</v>
          </cell>
          <cell r="C3450" t="str">
            <v>%</v>
          </cell>
          <cell r="D3450">
            <v>0</v>
          </cell>
        </row>
        <row r="3451">
          <cell r="A3451">
            <v>310630</v>
          </cell>
          <cell r="B3451" t="str">
            <v>ESCAVADEIRA</v>
          </cell>
          <cell r="C3451" t="str">
            <v>H</v>
          </cell>
          <cell r="D3451">
            <v>0</v>
          </cell>
        </row>
        <row r="3452">
          <cell r="A3452">
            <v>310631</v>
          </cell>
          <cell r="B3452" t="str">
            <v>ESCAVADEIRA A CABO BUCYRUS 34 JC MOD 22 B</v>
          </cell>
          <cell r="C3452" t="str">
            <v>H</v>
          </cell>
          <cell r="D3452">
            <v>65.209999999999994</v>
          </cell>
        </row>
        <row r="3453">
          <cell r="A3453">
            <v>310632</v>
          </cell>
          <cell r="B3453" t="str">
            <v>ESCAVADEIRA FIAT S-90</v>
          </cell>
          <cell r="C3453" t="str">
            <v>H</v>
          </cell>
          <cell r="D3453">
            <v>62.22</v>
          </cell>
        </row>
        <row r="3454">
          <cell r="A3454">
            <v>310710</v>
          </cell>
          <cell r="B3454" t="str">
            <v>GERADOR</v>
          </cell>
          <cell r="C3454" t="str">
            <v>H</v>
          </cell>
          <cell r="D3454">
            <v>0</v>
          </cell>
        </row>
        <row r="3455">
          <cell r="A3455">
            <v>310711</v>
          </cell>
          <cell r="B3455" t="str">
            <v>GERADOR  5 KVA</v>
          </cell>
          <cell r="C3455" t="str">
            <v>H</v>
          </cell>
          <cell r="D3455">
            <v>2.88</v>
          </cell>
        </row>
        <row r="3456">
          <cell r="A3456">
            <v>310712</v>
          </cell>
          <cell r="B3456" t="str">
            <v>GERADOR 20 KVA</v>
          </cell>
          <cell r="C3456" t="str">
            <v>H</v>
          </cell>
          <cell r="D3456">
            <v>3.46</v>
          </cell>
        </row>
        <row r="3457">
          <cell r="A3457">
            <v>310713</v>
          </cell>
          <cell r="B3457" t="str">
            <v>GERADOR 40 KVA</v>
          </cell>
          <cell r="C3457" t="str">
            <v>H</v>
          </cell>
          <cell r="D3457">
            <v>6.71</v>
          </cell>
        </row>
        <row r="3458">
          <cell r="A3458">
            <v>310800</v>
          </cell>
          <cell r="B3458" t="str">
            <v>GUINCHO</v>
          </cell>
          <cell r="C3458" t="str">
            <v>H</v>
          </cell>
          <cell r="D3458">
            <v>18.8</v>
          </cell>
        </row>
        <row r="3459">
          <cell r="A3459">
            <v>310801</v>
          </cell>
          <cell r="B3459" t="str">
            <v>GUINCHO - GUINDASTE</v>
          </cell>
          <cell r="C3459" t="str">
            <v>H</v>
          </cell>
          <cell r="D3459">
            <v>18.8</v>
          </cell>
        </row>
        <row r="3460">
          <cell r="A3460">
            <v>310802</v>
          </cell>
          <cell r="B3460" t="str">
            <v>GUINCHO T</v>
          </cell>
          <cell r="C3460" t="str">
            <v>H</v>
          </cell>
          <cell r="D3460">
            <v>18.8</v>
          </cell>
        </row>
        <row r="3461">
          <cell r="A3461">
            <v>310803</v>
          </cell>
          <cell r="B3461" t="str">
            <v>GUINDASTE 9 TON</v>
          </cell>
          <cell r="C3461" t="str">
            <v>H</v>
          </cell>
          <cell r="D3461">
            <v>32.35</v>
          </cell>
        </row>
        <row r="3462">
          <cell r="A3462">
            <v>310804</v>
          </cell>
          <cell r="B3462" t="str">
            <v>GUINDASTE BANTAN 20 TON.</v>
          </cell>
          <cell r="C3462" t="str">
            <v>H</v>
          </cell>
          <cell r="D3462">
            <v>159.96</v>
          </cell>
        </row>
        <row r="3463">
          <cell r="A3463">
            <v>310805</v>
          </cell>
          <cell r="B3463" t="str">
            <v>GUINDASTE BANTAN 20 TON.</v>
          </cell>
          <cell r="C3463" t="str">
            <v>HI</v>
          </cell>
          <cell r="D3463">
            <v>33.6</v>
          </cell>
        </row>
        <row r="3464">
          <cell r="A3464">
            <v>310806</v>
          </cell>
          <cell r="B3464" t="str">
            <v>GUINDASTE GALION 15 TON.</v>
          </cell>
          <cell r="C3464" t="str">
            <v>H</v>
          </cell>
          <cell r="D3464">
            <v>137.65</v>
          </cell>
        </row>
        <row r="3465">
          <cell r="A3465">
            <v>310807</v>
          </cell>
          <cell r="B3465" t="str">
            <v>GUINDASTE GALION 15TON</v>
          </cell>
          <cell r="C3465" t="str">
            <v>HI</v>
          </cell>
          <cell r="D3465">
            <v>59.18</v>
          </cell>
        </row>
        <row r="3466">
          <cell r="A3466">
            <v>310808</v>
          </cell>
          <cell r="B3466" t="str">
            <v>GUINDASTE HWB- GALION 9 TON.</v>
          </cell>
          <cell r="C3466" t="str">
            <v>H</v>
          </cell>
          <cell r="D3466">
            <v>32.35</v>
          </cell>
        </row>
        <row r="3467">
          <cell r="A3467">
            <v>310809</v>
          </cell>
          <cell r="B3467" t="str">
            <v>GUISTANTE GALION</v>
          </cell>
          <cell r="C3467" t="str">
            <v>H</v>
          </cell>
          <cell r="D3467">
            <v>137.65</v>
          </cell>
        </row>
        <row r="3468">
          <cell r="A3468">
            <v>310890</v>
          </cell>
          <cell r="B3468" t="str">
            <v>IRRIGADEIRA</v>
          </cell>
          <cell r="C3468" t="str">
            <v>H</v>
          </cell>
          <cell r="D3468">
            <v>1.99</v>
          </cell>
        </row>
        <row r="3469">
          <cell r="A3469">
            <v>310900</v>
          </cell>
          <cell r="B3469" t="str">
            <v>JATO DE AREIA 250 L</v>
          </cell>
          <cell r="C3469" t="str">
            <v>H</v>
          </cell>
          <cell r="D3469">
            <v>1.38</v>
          </cell>
        </row>
        <row r="3470">
          <cell r="A3470">
            <v>310910</v>
          </cell>
          <cell r="B3470" t="str">
            <v>MACARICO</v>
          </cell>
          <cell r="C3470" t="str">
            <v>H</v>
          </cell>
          <cell r="D3470">
            <v>0</v>
          </cell>
        </row>
        <row r="3471">
          <cell r="A3471">
            <v>310930</v>
          </cell>
          <cell r="B3471" t="str">
            <v>MAQUINA DE CARPINTARIA</v>
          </cell>
          <cell r="C3471" t="str">
            <v>H</v>
          </cell>
          <cell r="D3471">
            <v>0.67</v>
          </cell>
        </row>
        <row r="3472">
          <cell r="A3472">
            <v>310931</v>
          </cell>
          <cell r="B3472" t="str">
            <v>MAQUINA DE CORTAR FERRO SOGEMAT 50</v>
          </cell>
          <cell r="C3472" t="str">
            <v>H</v>
          </cell>
          <cell r="D3472">
            <v>0.67</v>
          </cell>
        </row>
        <row r="3473">
          <cell r="A3473">
            <v>310932</v>
          </cell>
          <cell r="B3473" t="str">
            <v>MAQUINA DE DOBRAR NEOCONDE CA 50 1 1/2 '</v>
          </cell>
          <cell r="C3473" t="str">
            <v>H</v>
          </cell>
          <cell r="D3473">
            <v>0.67</v>
          </cell>
        </row>
        <row r="3474">
          <cell r="A3474">
            <v>310933</v>
          </cell>
          <cell r="B3474" t="str">
            <v>MAQUINA DE SOLDA 375 A</v>
          </cell>
          <cell r="C3474" t="str">
            <v>H</v>
          </cell>
          <cell r="D3474">
            <v>14.14</v>
          </cell>
        </row>
        <row r="3475">
          <cell r="A3475">
            <v>310934</v>
          </cell>
          <cell r="B3475" t="str">
            <v>MAQUINA DE SOLDA 375 A</v>
          </cell>
          <cell r="C3475" t="str">
            <v>HI</v>
          </cell>
          <cell r="D3475">
            <v>6.06</v>
          </cell>
        </row>
        <row r="3476">
          <cell r="A3476">
            <v>310940</v>
          </cell>
          <cell r="B3476" t="str">
            <v>MAQUINA DE CORTAR FERRO SOGEMAT 50</v>
          </cell>
          <cell r="C3476" t="str">
            <v>H</v>
          </cell>
          <cell r="D3476">
            <v>0.56000000000000005</v>
          </cell>
        </row>
        <row r="3477">
          <cell r="A3477">
            <v>310950</v>
          </cell>
          <cell r="B3477" t="str">
            <v>MAQUINA DE DOBRAR NEOCONDE CA 50 1 1/2</v>
          </cell>
          <cell r="C3477" t="str">
            <v>H</v>
          </cell>
          <cell r="D3477">
            <v>0.56000000000000005</v>
          </cell>
        </row>
        <row r="3478">
          <cell r="A3478">
            <v>310960</v>
          </cell>
          <cell r="B3478" t="str">
            <v>MAQUINA DE SOLDA 375 A</v>
          </cell>
          <cell r="C3478" t="str">
            <v>H</v>
          </cell>
          <cell r="D3478">
            <v>9.42</v>
          </cell>
        </row>
        <row r="3479">
          <cell r="A3479">
            <v>310970</v>
          </cell>
          <cell r="B3479" t="str">
            <v>MAQUINA DE SOLDA 375 A</v>
          </cell>
          <cell r="C3479" t="str">
            <v>HI</v>
          </cell>
          <cell r="D3479">
            <v>4.04</v>
          </cell>
        </row>
        <row r="3480">
          <cell r="A3480">
            <v>310990</v>
          </cell>
          <cell r="B3480" t="str">
            <v>MARTELETE</v>
          </cell>
          <cell r="C3480" t="str">
            <v>H</v>
          </cell>
          <cell r="D3480">
            <v>5.66</v>
          </cell>
        </row>
        <row r="3481">
          <cell r="A3481">
            <v>310991</v>
          </cell>
          <cell r="B3481" t="str">
            <v>MARTELETE TEX 21</v>
          </cell>
          <cell r="C3481" t="str">
            <v>H</v>
          </cell>
          <cell r="D3481">
            <v>5.66</v>
          </cell>
        </row>
        <row r="3482">
          <cell r="A3482">
            <v>310992</v>
          </cell>
          <cell r="B3482" t="str">
            <v>MARTELETE TEX 31</v>
          </cell>
          <cell r="C3482" t="str">
            <v>H</v>
          </cell>
          <cell r="D3482">
            <v>5.66</v>
          </cell>
        </row>
        <row r="3483">
          <cell r="A3483">
            <v>311050</v>
          </cell>
          <cell r="B3483" t="str">
            <v>MOTOESCAVOTRANSPORTADOR (MOTOESCRAPER CAT-621-R)</v>
          </cell>
          <cell r="C3483" t="str">
            <v>H</v>
          </cell>
          <cell r="D3483">
            <v>146.36000000000001</v>
          </cell>
        </row>
        <row r="3484">
          <cell r="A3484">
            <v>311051</v>
          </cell>
          <cell r="B3484" t="str">
            <v>MOTONIVELADORA</v>
          </cell>
          <cell r="C3484" t="str">
            <v>H</v>
          </cell>
          <cell r="D3484">
            <v>51.43</v>
          </cell>
        </row>
        <row r="3485">
          <cell r="A3485">
            <v>311052</v>
          </cell>
          <cell r="B3485" t="str">
            <v>MOTONIVELADORA CAT - 120</v>
          </cell>
          <cell r="C3485" t="str">
            <v>H</v>
          </cell>
          <cell r="D3485">
            <v>51.43</v>
          </cell>
        </row>
        <row r="3486">
          <cell r="A3486">
            <v>311053</v>
          </cell>
          <cell r="B3486" t="str">
            <v>MOTONIVELADORA CAT 120</v>
          </cell>
          <cell r="C3486" t="str">
            <v>HI</v>
          </cell>
          <cell r="D3486">
            <v>22.11</v>
          </cell>
        </row>
        <row r="3487">
          <cell r="A3487">
            <v>311120</v>
          </cell>
          <cell r="B3487" t="str">
            <v>MUNCK 2 TON</v>
          </cell>
          <cell r="C3487" t="str">
            <v>H</v>
          </cell>
          <cell r="D3487">
            <v>6.24</v>
          </cell>
        </row>
        <row r="3488">
          <cell r="A3488">
            <v>311121</v>
          </cell>
          <cell r="B3488" t="str">
            <v>MUNCK 2 TON</v>
          </cell>
          <cell r="C3488" t="str">
            <v>H</v>
          </cell>
          <cell r="D3488">
            <v>14.93</v>
          </cell>
        </row>
        <row r="3489">
          <cell r="A3489">
            <v>311190</v>
          </cell>
          <cell r="B3489" t="str">
            <v>PA CARREGADEIRA</v>
          </cell>
          <cell r="C3489" t="str">
            <v>H</v>
          </cell>
          <cell r="D3489">
            <v>26.3</v>
          </cell>
        </row>
        <row r="3490">
          <cell r="A3490">
            <v>311220</v>
          </cell>
          <cell r="B3490" t="str">
            <v>PERFURATRIZ SH - 21</v>
          </cell>
          <cell r="C3490" t="str">
            <v>H</v>
          </cell>
          <cell r="D3490">
            <v>2.6</v>
          </cell>
        </row>
        <row r="3491">
          <cell r="A3491">
            <v>311250</v>
          </cell>
          <cell r="B3491" t="str">
            <v>RETROESCAVADEIRA</v>
          </cell>
          <cell r="C3491" t="str">
            <v>H</v>
          </cell>
          <cell r="D3491">
            <v>31.54</v>
          </cell>
        </row>
        <row r="3492">
          <cell r="A3492">
            <v>311251</v>
          </cell>
          <cell r="B3492" t="str">
            <v>RETROESCAVADEIRA CASE 580H</v>
          </cell>
          <cell r="C3492" t="str">
            <v>H</v>
          </cell>
          <cell r="D3492">
            <v>31.54</v>
          </cell>
        </row>
        <row r="3493">
          <cell r="A3493">
            <v>311290</v>
          </cell>
          <cell r="B3493" t="str">
            <v>ROLO DE ACO VIBRATORIO</v>
          </cell>
          <cell r="C3493" t="str">
            <v>HI</v>
          </cell>
          <cell r="D3493">
            <v>15.43</v>
          </cell>
        </row>
        <row r="3494">
          <cell r="A3494">
            <v>311291</v>
          </cell>
          <cell r="B3494" t="str">
            <v>ROLO DE PNEUS</v>
          </cell>
          <cell r="C3494" t="str">
            <v>H</v>
          </cell>
          <cell r="D3494">
            <v>45.47</v>
          </cell>
        </row>
        <row r="3495">
          <cell r="A3495">
            <v>311292</v>
          </cell>
          <cell r="B3495" t="str">
            <v>ROLO PE DE CARNEIRO</v>
          </cell>
          <cell r="C3495" t="str">
            <v>H</v>
          </cell>
          <cell r="D3495">
            <v>35.86</v>
          </cell>
        </row>
        <row r="3496">
          <cell r="A3496">
            <v>311293</v>
          </cell>
          <cell r="B3496" t="str">
            <v>ROLO PE DE CARNEIRO AUTO PROP. DYNAPAC CA 25 PD</v>
          </cell>
          <cell r="C3496" t="str">
            <v>H</v>
          </cell>
          <cell r="D3496">
            <v>32.840000000000003</v>
          </cell>
        </row>
        <row r="3497">
          <cell r="A3497">
            <v>311330</v>
          </cell>
          <cell r="B3497" t="str">
            <v>ROMPEDOR TEX-31</v>
          </cell>
          <cell r="C3497" t="str">
            <v>H</v>
          </cell>
          <cell r="D3497">
            <v>5.66</v>
          </cell>
        </row>
        <row r="3498">
          <cell r="A3498">
            <v>311370</v>
          </cell>
          <cell r="B3498" t="str">
            <v>TEODOLITO LEITURA DIRETA 1",6",20" (MEDIA)</v>
          </cell>
          <cell r="C3498" t="str">
            <v>H</v>
          </cell>
          <cell r="D3498">
            <v>3.65</v>
          </cell>
        </row>
        <row r="3499">
          <cell r="A3499">
            <v>311410</v>
          </cell>
          <cell r="B3499" t="str">
            <v>TRATOR CAT - D8 LAMINA</v>
          </cell>
          <cell r="C3499" t="str">
            <v>H</v>
          </cell>
          <cell r="D3499">
            <v>160.21</v>
          </cell>
        </row>
        <row r="3500">
          <cell r="A3500">
            <v>311411</v>
          </cell>
          <cell r="B3500" t="str">
            <v>TRATOR CAT D-6</v>
          </cell>
          <cell r="C3500" t="str">
            <v>H</v>
          </cell>
          <cell r="D3500">
            <v>60.24</v>
          </cell>
        </row>
        <row r="3501">
          <cell r="A3501">
            <v>311412</v>
          </cell>
          <cell r="B3501" t="str">
            <v>TRATOR CAT D-8 - PUSHER</v>
          </cell>
          <cell r="C3501" t="str">
            <v>H</v>
          </cell>
          <cell r="D3501">
            <v>160.21</v>
          </cell>
        </row>
        <row r="3502">
          <cell r="A3502">
            <v>311413</v>
          </cell>
          <cell r="B3502" t="str">
            <v>TRATOR DE ESTEIRAS CAT D8-L - C/RIPPER</v>
          </cell>
          <cell r="C3502" t="str">
            <v>H</v>
          </cell>
          <cell r="D3502">
            <v>160.21</v>
          </cell>
        </row>
        <row r="3503">
          <cell r="A3503">
            <v>311414</v>
          </cell>
          <cell r="B3503" t="str">
            <v>TRATOR DE PNEUS E GRADE DE DISCO</v>
          </cell>
          <cell r="C3503" t="str">
            <v>H</v>
          </cell>
          <cell r="D3503">
            <v>9.77</v>
          </cell>
        </row>
        <row r="3504">
          <cell r="A3504">
            <v>311415</v>
          </cell>
          <cell r="B3504" t="str">
            <v>TRATOR DE PNEUS E GRADE DISCO  (CRT + GRADE)</v>
          </cell>
          <cell r="C3504" t="str">
            <v>H</v>
          </cell>
          <cell r="D3504">
            <v>22.72</v>
          </cell>
        </row>
        <row r="3505">
          <cell r="A3505">
            <v>311416</v>
          </cell>
          <cell r="B3505" t="str">
            <v>TRATOR DE PNEUS COM ROÇADEIRA</v>
          </cell>
          <cell r="C3505" t="str">
            <v>h</v>
          </cell>
          <cell r="D3505">
            <v>16.04</v>
          </cell>
        </row>
        <row r="3506">
          <cell r="A3506">
            <v>311490</v>
          </cell>
          <cell r="B3506" t="str">
            <v>VIBRADOR DE IMERSAO AAS - 46</v>
          </cell>
          <cell r="C3506" t="str">
            <v>H</v>
          </cell>
          <cell r="D3506">
            <v>0.84</v>
          </cell>
        </row>
        <row r="3507">
          <cell r="A3507">
            <v>319000</v>
          </cell>
          <cell r="B3507" t="str">
            <v>EQUIPAMENTOS (OBRAS LOCALIZADAS ESPECIAL)</v>
          </cell>
          <cell r="C3507" t="str">
            <v>.</v>
          </cell>
          <cell r="D3507">
            <v>0</v>
          </cell>
        </row>
        <row r="3508">
          <cell r="A3508">
            <v>319002</v>
          </cell>
          <cell r="B3508" t="str">
            <v>BATE ESTACAS LEVE (OLO)</v>
          </cell>
          <cell r="C3508" t="str">
            <v>H</v>
          </cell>
          <cell r="D3508">
            <v>25.57</v>
          </cell>
        </row>
        <row r="3509">
          <cell r="A3509">
            <v>319004</v>
          </cell>
          <cell r="B3509" t="str">
            <v>BETONEIRA 320 L (OLO)</v>
          </cell>
          <cell r="C3509" t="str">
            <v>H</v>
          </cell>
          <cell r="D3509">
            <v>0.56999999999999995</v>
          </cell>
        </row>
        <row r="3510">
          <cell r="A3510">
            <v>319006</v>
          </cell>
          <cell r="B3510" t="str">
            <v>BOMBA SPV 2" (OLO)</v>
          </cell>
          <cell r="C3510" t="str">
            <v>H</v>
          </cell>
          <cell r="D3510">
            <v>1.02</v>
          </cell>
        </row>
        <row r="3511">
          <cell r="A3511">
            <v>319008</v>
          </cell>
          <cell r="B3511" t="str">
            <v>BOMBA SPV 3" (OLO)</v>
          </cell>
          <cell r="C3511" t="str">
            <v>H</v>
          </cell>
          <cell r="D3511">
            <v>1.1399999999999999</v>
          </cell>
        </row>
        <row r="3512">
          <cell r="A3512">
            <v>319010</v>
          </cell>
          <cell r="B3512" t="str">
            <v>CAMINHAO BASCULANTE (OLO)</v>
          </cell>
          <cell r="C3512" t="str">
            <v>H</v>
          </cell>
          <cell r="D3512">
            <v>68.52</v>
          </cell>
        </row>
        <row r="3513">
          <cell r="A3513">
            <v>319012</v>
          </cell>
          <cell r="B3513" t="str">
            <v>CAMINHAO BASCULANTE (OLO)</v>
          </cell>
          <cell r="C3513" t="str">
            <v>HI</v>
          </cell>
          <cell r="D3513">
            <v>29.46</v>
          </cell>
        </row>
        <row r="3514">
          <cell r="A3514">
            <v>319014</v>
          </cell>
          <cell r="B3514" t="str">
            <v>CAMINHAO BASCULANTE MB - 1313 - 6M3 (OLO)</v>
          </cell>
          <cell r="C3514" t="str">
            <v>H</v>
          </cell>
          <cell r="D3514">
            <v>68.52</v>
          </cell>
        </row>
        <row r="3515">
          <cell r="A3515">
            <v>319016</v>
          </cell>
          <cell r="B3515" t="str">
            <v>CAMINHAO C/MUNCK (OLO)</v>
          </cell>
          <cell r="C3515" t="str">
            <v>H</v>
          </cell>
          <cell r="D3515">
            <v>70.59</v>
          </cell>
        </row>
        <row r="3516">
          <cell r="A3516">
            <v>319018</v>
          </cell>
          <cell r="B3516" t="str">
            <v>CAMINHAO CARROCEIRA 5 TON. (OLO)</v>
          </cell>
          <cell r="C3516" t="str">
            <v>H</v>
          </cell>
          <cell r="D3516">
            <v>63.03</v>
          </cell>
        </row>
        <row r="3517">
          <cell r="A3517">
            <v>319020</v>
          </cell>
          <cell r="B3517" t="str">
            <v>CAMINHAO CARROCERIA (OLO)</v>
          </cell>
          <cell r="C3517" t="str">
            <v>H</v>
          </cell>
          <cell r="D3517">
            <v>63.03</v>
          </cell>
        </row>
        <row r="3518">
          <cell r="A3518">
            <v>319022</v>
          </cell>
          <cell r="B3518" t="str">
            <v>CAMINHAO CARROCERIA 7 TON. (OLO)</v>
          </cell>
          <cell r="C3518" t="str">
            <v>H</v>
          </cell>
          <cell r="D3518">
            <v>63.03</v>
          </cell>
        </row>
        <row r="3519">
          <cell r="A3519">
            <v>319024</v>
          </cell>
          <cell r="B3519" t="str">
            <v>CAMINHAO CARROCERIA 8 TON. (OLO)</v>
          </cell>
          <cell r="C3519" t="str">
            <v>H</v>
          </cell>
          <cell r="D3519">
            <v>63.03</v>
          </cell>
        </row>
        <row r="3520">
          <cell r="A3520">
            <v>319026</v>
          </cell>
          <cell r="B3520" t="str">
            <v>CAMINHAO PIPA MB LK 1513</v>
          </cell>
          <cell r="C3520" t="str">
            <v>H</v>
          </cell>
          <cell r="D3520">
            <v>60.57</v>
          </cell>
        </row>
        <row r="3521">
          <cell r="A3521">
            <v>319028</v>
          </cell>
          <cell r="B3521" t="str">
            <v>CAMINHAO TANQUE 6.000 L (OLO)</v>
          </cell>
          <cell r="C3521" t="str">
            <v>H</v>
          </cell>
          <cell r="D3521">
            <v>60.57</v>
          </cell>
        </row>
        <row r="3522">
          <cell r="A3522">
            <v>319030</v>
          </cell>
          <cell r="B3522" t="str">
            <v>CAMINHAO TANQUE P/AGUA MB-1313 10.000 PIPA (OLO)</v>
          </cell>
          <cell r="C3522" t="str">
            <v>H</v>
          </cell>
          <cell r="D3522">
            <v>61.9</v>
          </cell>
        </row>
        <row r="3523">
          <cell r="A3523">
            <v>319032</v>
          </cell>
          <cell r="B3523" t="str">
            <v>COMPACTADOR CM - 20 (OLO)</v>
          </cell>
          <cell r="C3523" t="str">
            <v>H</v>
          </cell>
          <cell r="D3523">
            <v>10.73</v>
          </cell>
        </row>
        <row r="3524">
          <cell r="A3524">
            <v>319034</v>
          </cell>
          <cell r="B3524" t="str">
            <v>COMPRESSOR (OLO)</v>
          </cell>
          <cell r="C3524" t="str">
            <v>H</v>
          </cell>
          <cell r="D3524">
            <v>37.11</v>
          </cell>
        </row>
        <row r="3525">
          <cell r="A3525">
            <v>319036</v>
          </cell>
          <cell r="B3525" t="str">
            <v>COMPRESSOR 250 PVM (OLO)</v>
          </cell>
          <cell r="C3525" t="str">
            <v>H</v>
          </cell>
          <cell r="D3525">
            <v>37.11</v>
          </cell>
        </row>
        <row r="3526">
          <cell r="A3526">
            <v>319038</v>
          </cell>
          <cell r="B3526" t="str">
            <v>COPRESSOR 250 PCM</v>
          </cell>
          <cell r="C3526" t="str">
            <v>H</v>
          </cell>
          <cell r="D3526">
            <v>37.11</v>
          </cell>
        </row>
        <row r="3527">
          <cell r="A3527">
            <v>319040</v>
          </cell>
          <cell r="B3527" t="str">
            <v>JATO DE AREIA 250 L</v>
          </cell>
          <cell r="C3527" t="str">
            <v>H</v>
          </cell>
          <cell r="D3527">
            <v>1.38</v>
          </cell>
        </row>
        <row r="3528">
          <cell r="A3528">
            <v>319042</v>
          </cell>
          <cell r="B3528" t="str">
            <v>MAQUINA DE CARPINTARIA (OLO)</v>
          </cell>
          <cell r="C3528" t="str">
            <v>H</v>
          </cell>
          <cell r="D3528">
            <v>0.56999999999999995</v>
          </cell>
        </row>
        <row r="3529">
          <cell r="A3529">
            <v>319044</v>
          </cell>
          <cell r="B3529" t="str">
            <v>MAQUINA DE CORTAR FRRO SOGEMAT 50 (OLO)</v>
          </cell>
          <cell r="C3529" t="str">
            <v>H</v>
          </cell>
          <cell r="D3529">
            <v>0.56999999999999995</v>
          </cell>
        </row>
        <row r="3530">
          <cell r="A3530">
            <v>319046</v>
          </cell>
          <cell r="B3530" t="str">
            <v>MAQUINA DE DOBRAR NEOCONDE CA 50 1 1/2 (OLO)</v>
          </cell>
          <cell r="C3530" t="str">
            <v>H</v>
          </cell>
          <cell r="D3530">
            <v>0.56999999999999995</v>
          </cell>
        </row>
        <row r="3531">
          <cell r="A3531">
            <v>319048</v>
          </cell>
          <cell r="B3531" t="str">
            <v>MARTELETE (OLO)</v>
          </cell>
          <cell r="C3531" t="str">
            <v>H</v>
          </cell>
          <cell r="D3531">
            <v>7.85</v>
          </cell>
        </row>
        <row r="3532">
          <cell r="A3532">
            <v>319050</v>
          </cell>
          <cell r="B3532" t="str">
            <v>PA CARREGADEIRA (OLO)</v>
          </cell>
          <cell r="C3532" t="str">
            <v>H</v>
          </cell>
          <cell r="D3532">
            <v>69.12</v>
          </cell>
        </row>
        <row r="3533">
          <cell r="A3533">
            <v>319052</v>
          </cell>
          <cell r="B3533" t="str">
            <v>RETROESCAVADEIRA (OLO)</v>
          </cell>
          <cell r="C3533" t="str">
            <v>H</v>
          </cell>
          <cell r="D3533">
            <v>64.23</v>
          </cell>
        </row>
        <row r="3534">
          <cell r="A3534">
            <v>319054</v>
          </cell>
          <cell r="B3534" t="str">
            <v>RETROESCAVADEIRA CASE 580H (OLO)</v>
          </cell>
          <cell r="C3534" t="str">
            <v>H</v>
          </cell>
          <cell r="D3534">
            <v>64.23</v>
          </cell>
        </row>
        <row r="3535">
          <cell r="A3535">
            <v>319056</v>
          </cell>
          <cell r="B3535" t="str">
            <v>ROMPEDOR TEX-31 (OLO)</v>
          </cell>
          <cell r="C3535" t="str">
            <v>H</v>
          </cell>
          <cell r="D3535">
            <v>7.85</v>
          </cell>
        </row>
        <row r="3536">
          <cell r="A3536">
            <v>319058</v>
          </cell>
          <cell r="B3536" t="str">
            <v>TEODOLITO LEITURA DIRETA 1", 6", 20" (MEDIA) (OLO)</v>
          </cell>
          <cell r="C3536" t="str">
            <v>H</v>
          </cell>
          <cell r="D3536">
            <v>3.45</v>
          </cell>
        </row>
        <row r="3537">
          <cell r="A3537">
            <v>319060</v>
          </cell>
          <cell r="B3537" t="str">
            <v>TRATOR CAT D-6 (OLO)</v>
          </cell>
          <cell r="C3537" t="str">
            <v>H</v>
          </cell>
          <cell r="D3537">
            <v>132.97999999999999</v>
          </cell>
        </row>
        <row r="3538">
          <cell r="A3538">
            <v>319062</v>
          </cell>
          <cell r="B3538" t="str">
            <v>VIBRADOR DE IMERSAO AAS - 46 (OLO)</v>
          </cell>
          <cell r="C3538" t="str">
            <v>H</v>
          </cell>
          <cell r="D3538">
            <v>0.63</v>
          </cell>
        </row>
        <row r="3539">
          <cell r="A3539">
            <v>320001</v>
          </cell>
          <cell r="B3539" t="str">
            <v>PERFIL METÁLICO TIPO I CAP. 50 KG/M</v>
          </cell>
          <cell r="C3539" t="str">
            <v>KG</v>
          </cell>
          <cell r="D3539">
            <v>3.15</v>
          </cell>
        </row>
        <row r="3540">
          <cell r="A3540">
            <v>320002</v>
          </cell>
          <cell r="B3540" t="str">
            <v>SOLDA E MONTAGEM DE PERFIL METÁLICO</v>
          </cell>
          <cell r="C3540" t="str">
            <v>KG</v>
          </cell>
          <cell r="D3540">
            <v>0.16</v>
          </cell>
        </row>
        <row r="3541">
          <cell r="A3541">
            <v>320003</v>
          </cell>
          <cell r="B3541" t="str">
            <v>CARRO TROLE PARA IÇAMENTO DE BOMBAS CAP. 500 KG</v>
          </cell>
          <cell r="C3541" t="str">
            <v>UN</v>
          </cell>
          <cell r="D3541">
            <v>480</v>
          </cell>
        </row>
        <row r="3542">
          <cell r="A3542">
            <v>320004</v>
          </cell>
          <cell r="B3542" t="str">
            <v>VEÍCULO TIPO SEDAN (SUSEG)</v>
          </cell>
          <cell r="C3542" t="str">
            <v>h</v>
          </cell>
          <cell r="D3542">
            <v>3.21</v>
          </cell>
        </row>
        <row r="3543">
          <cell r="A3543">
            <v>320005</v>
          </cell>
          <cell r="B3543" t="str">
            <v>VEÍCULO TIPO UTILITÁRIO (SUSEG)</v>
          </cell>
          <cell r="C3543" t="str">
            <v>h</v>
          </cell>
          <cell r="D3543">
            <v>3.79</v>
          </cell>
        </row>
        <row r="3544">
          <cell r="A3544">
            <v>320006</v>
          </cell>
          <cell r="B3544" t="str">
            <v>CAMIONETA (SUSEG)</v>
          </cell>
          <cell r="C3544" t="str">
            <v>h</v>
          </cell>
          <cell r="D3544">
            <v>4.0199999999999996</v>
          </cell>
        </row>
        <row r="3545">
          <cell r="A3545">
            <v>320007</v>
          </cell>
          <cell r="B3545" t="str">
            <v>FURGÃO (SUSEG)</v>
          </cell>
          <cell r="C3545" t="str">
            <v>h</v>
          </cell>
          <cell r="D3545">
            <v>3.86</v>
          </cell>
        </row>
        <row r="3546">
          <cell r="A3546">
            <v>320008</v>
          </cell>
          <cell r="B3546" t="str">
            <v>CAMINHÃO 3/4" (SUSEG)</v>
          </cell>
          <cell r="C3546" t="str">
            <v>h</v>
          </cell>
          <cell r="D3546">
            <v>5.44</v>
          </cell>
        </row>
        <row r="3547">
          <cell r="A3547">
            <v>320009</v>
          </cell>
          <cell r="B3547" t="str">
            <v>CAMINHÃO TOCO (SUSEG)</v>
          </cell>
          <cell r="C3547" t="str">
            <v>h</v>
          </cell>
          <cell r="D3547">
            <v>5.39</v>
          </cell>
        </row>
        <row r="3548">
          <cell r="A3548">
            <v>320010</v>
          </cell>
          <cell r="B3548" t="str">
            <v>CAMINHÃO RETRO (SUSEG)</v>
          </cell>
          <cell r="C3548" t="str">
            <v>h</v>
          </cell>
          <cell r="D3548">
            <v>27.31</v>
          </cell>
        </row>
        <row r="3549">
          <cell r="A3549">
            <v>320011</v>
          </cell>
          <cell r="B3549" t="str">
            <v>JET WAY (SUSEG)</v>
          </cell>
          <cell r="C3549" t="str">
            <v>h</v>
          </cell>
          <cell r="D3549">
            <v>37.880000000000003</v>
          </cell>
        </row>
        <row r="3550">
          <cell r="A3550">
            <v>320012</v>
          </cell>
          <cell r="B3550" t="str">
            <v>VEÍCULO TIPO SEDAN (SUSEG)</v>
          </cell>
          <cell r="C3550" t="str">
            <v>DI</v>
          </cell>
          <cell r="D3550">
            <v>25.71</v>
          </cell>
        </row>
        <row r="3551">
          <cell r="A3551">
            <v>320013</v>
          </cell>
          <cell r="B3551" t="str">
            <v>VEÍCULO TIPO UTILITÁRIO (SUSEG)</v>
          </cell>
          <cell r="C3551" t="str">
            <v>DI</v>
          </cell>
          <cell r="D3551">
            <v>30.29</v>
          </cell>
        </row>
        <row r="3552">
          <cell r="A3552">
            <v>320014</v>
          </cell>
          <cell r="B3552" t="str">
            <v>CAMIONETA (SUSEG)</v>
          </cell>
          <cell r="C3552" t="str">
            <v>DI</v>
          </cell>
          <cell r="D3552">
            <v>32.19</v>
          </cell>
        </row>
        <row r="3553">
          <cell r="A3553">
            <v>320015</v>
          </cell>
          <cell r="B3553" t="str">
            <v>FURGÃO (SUSEG)</v>
          </cell>
          <cell r="C3553" t="str">
            <v>DI</v>
          </cell>
          <cell r="D3553">
            <v>30.5</v>
          </cell>
        </row>
        <row r="3554">
          <cell r="A3554">
            <v>320016</v>
          </cell>
          <cell r="B3554" t="str">
            <v>CAMINHÃO 3/4" (SUSEG)</v>
          </cell>
          <cell r="C3554" t="str">
            <v>DI</v>
          </cell>
          <cell r="D3554">
            <v>43.1</v>
          </cell>
        </row>
        <row r="3555">
          <cell r="A3555">
            <v>320017</v>
          </cell>
          <cell r="B3555" t="str">
            <v>CAMINHÃO TOCO (SUSEG)</v>
          </cell>
          <cell r="C3555" t="str">
            <v>DI</v>
          </cell>
          <cell r="D3555">
            <v>43.56</v>
          </cell>
        </row>
        <row r="3556">
          <cell r="A3556">
            <v>320018</v>
          </cell>
          <cell r="B3556" t="str">
            <v>CAMINHÃO RETRO (SUSEG)</v>
          </cell>
          <cell r="C3556" t="str">
            <v>DI</v>
          </cell>
          <cell r="D3556">
            <v>218.48</v>
          </cell>
        </row>
        <row r="3557">
          <cell r="A3557">
            <v>320019</v>
          </cell>
          <cell r="B3557" t="str">
            <v>JET WAY (SUSEG)</v>
          </cell>
          <cell r="C3557" t="str">
            <v>DI</v>
          </cell>
          <cell r="D3557">
            <v>303.04000000000002</v>
          </cell>
        </row>
        <row r="3558">
          <cell r="A3558">
            <v>320020</v>
          </cell>
          <cell r="B3558" t="str">
            <v>VEÍCULO TIPO SEDAN (SUSEG)</v>
          </cell>
          <cell r="C3558" t="str">
            <v>km</v>
          </cell>
          <cell r="D3558">
            <v>0.2</v>
          </cell>
        </row>
        <row r="3559">
          <cell r="A3559">
            <v>320021</v>
          </cell>
          <cell r="B3559" t="str">
            <v>VEÍCULO TIPO UTILITÁRIO (SUSEG)</v>
          </cell>
          <cell r="C3559" t="str">
            <v>km</v>
          </cell>
          <cell r="D3559">
            <v>0.24</v>
          </cell>
        </row>
        <row r="3560">
          <cell r="A3560">
            <v>320022</v>
          </cell>
          <cell r="B3560" t="str">
            <v>CAMIONETA  (SUSEG)</v>
          </cell>
          <cell r="C3560" t="str">
            <v>km</v>
          </cell>
          <cell r="D3560">
            <v>0.24</v>
          </cell>
        </row>
        <row r="3561">
          <cell r="A3561">
            <v>320023</v>
          </cell>
          <cell r="B3561" t="str">
            <v>FURGÃO (SUSEG)</v>
          </cell>
          <cell r="C3561" t="str">
            <v>km</v>
          </cell>
          <cell r="D3561">
            <v>0.26</v>
          </cell>
        </row>
        <row r="3562">
          <cell r="A3562">
            <v>320024</v>
          </cell>
          <cell r="B3562" t="str">
            <v>CAMINHÃO 3/4" (SUSEG)</v>
          </cell>
          <cell r="C3562" t="str">
            <v>km</v>
          </cell>
          <cell r="D3562">
            <v>0.33</v>
          </cell>
        </row>
        <row r="3563">
          <cell r="A3563">
            <v>320025</v>
          </cell>
          <cell r="B3563" t="str">
            <v>CAMINHÃO TOCO (SUSEG)</v>
          </cell>
          <cell r="C3563" t="str">
            <v>km</v>
          </cell>
          <cell r="D3563">
            <v>0.33</v>
          </cell>
        </row>
        <row r="3564">
          <cell r="A3564">
            <v>320026</v>
          </cell>
          <cell r="B3564" t="str">
            <v>CAMINHÃO RETRO (SUSEG)</v>
          </cell>
          <cell r="C3564" t="str">
            <v>KM</v>
          </cell>
          <cell r="D3564">
            <v>0.33</v>
          </cell>
        </row>
        <row r="3565">
          <cell r="A3565">
            <v>320027</v>
          </cell>
          <cell r="B3565" t="str">
            <v>JET WAY (SUSEG)</v>
          </cell>
          <cell r="C3565" t="str">
            <v>km</v>
          </cell>
          <cell r="D3565">
            <v>0.33</v>
          </cell>
        </row>
        <row r="3566">
          <cell r="A3566">
            <v>320028</v>
          </cell>
          <cell r="B3566" t="str">
            <v>GUINCHO MANUAL DE ARRASTE (TIFOR CAP. 3200 KG C/ 20 METROS DE CABO)</v>
          </cell>
          <cell r="C3566" t="str">
            <v>H</v>
          </cell>
          <cell r="D3566">
            <v>1.6</v>
          </cell>
        </row>
        <row r="3567">
          <cell r="A3567">
            <v>320029</v>
          </cell>
          <cell r="B3567" t="str">
            <v>TORRE METÁLICA</v>
          </cell>
          <cell r="C3567" t="str">
            <v>H</v>
          </cell>
          <cell r="D3567">
            <v>1</v>
          </cell>
        </row>
        <row r="3569">
          <cell r="B3569" t="str">
            <v>ACESCENTADO EXTON</v>
          </cell>
        </row>
        <row r="3570">
          <cell r="A3570" t="str">
            <v>EXTINS01</v>
          </cell>
          <cell r="B3570" t="str">
            <v>Saco de nilon P/ 60 L</v>
          </cell>
          <cell r="C3570" t="str">
            <v>UN</v>
          </cell>
          <cell r="D3570">
            <v>0.2</v>
          </cell>
        </row>
        <row r="3571">
          <cell r="A3571" t="str">
            <v>EXTINS02</v>
          </cell>
          <cell r="B3571" t="str">
            <v>ESTACA CE CONCRETO PRÉ - MOLDADA DN 26 CM</v>
          </cell>
          <cell r="C3571" t="str">
            <v>M</v>
          </cell>
          <cell r="D3571">
            <v>35</v>
          </cell>
        </row>
        <row r="3572">
          <cell r="A3572" t="str">
            <v>EXTINS03</v>
          </cell>
          <cell r="B3572" t="str">
            <v>CRAVAÇÃO DE ESTACA A TRADO DN 26 CM</v>
          </cell>
          <cell r="C3572" t="str">
            <v>M</v>
          </cell>
          <cell r="D3572">
            <v>15</v>
          </cell>
        </row>
        <row r="3573">
          <cell r="A3573" t="str">
            <v>EXTINS04</v>
          </cell>
          <cell r="B3573" t="str">
            <v xml:space="preserve">MOBILIZ. E DESMOB. DE EQUIPAMENTO - BATE ESTACA </v>
          </cell>
          <cell r="C3573" t="str">
            <v>KM</v>
          </cell>
          <cell r="D3573">
            <v>7.0000000000000007E-2</v>
          </cell>
        </row>
        <row r="3574">
          <cell r="A3574" t="str">
            <v>EXTINS05</v>
          </cell>
          <cell r="B3574" t="str">
            <v>TRANSPORTE DE ESTACA</v>
          </cell>
          <cell r="C3574" t="str">
            <v>KM</v>
          </cell>
          <cell r="D3574">
            <v>7.1538461538461539E-3</v>
          </cell>
        </row>
        <row r="3575">
          <cell r="A3575" t="str">
            <v>EXTINS06</v>
          </cell>
          <cell r="B3575" t="str">
            <v>PORTA LISA CEDRO P/RECEBER PINTURA VERNIZ:1,0X2,1M</v>
          </cell>
          <cell r="C3575" t="str">
            <v>UN</v>
          </cell>
          <cell r="D3575">
            <v>29</v>
          </cell>
        </row>
        <row r="3576">
          <cell r="A3576" t="str">
            <v>EXTINS07</v>
          </cell>
          <cell r="B3576" t="str">
            <v>PORTA LISA CEDRO P/PINTURA A OLEO OU PVA:1,0X2,1M</v>
          </cell>
          <cell r="C3576" t="str">
            <v>UN</v>
          </cell>
          <cell r="D3576">
            <v>45</v>
          </cell>
        </row>
        <row r="3577">
          <cell r="A3577" t="str">
            <v>EXTINS08</v>
          </cell>
          <cell r="B3577" t="str">
            <v>PORTÃO METÁLICO TIPO VENEZIANA E VIDRO</v>
          </cell>
          <cell r="C3577" t="str">
            <v>M2</v>
          </cell>
          <cell r="D3577">
            <v>101.95</v>
          </cell>
        </row>
        <row r="3578">
          <cell r="A3578" t="str">
            <v>EXTINS09</v>
          </cell>
          <cell r="B3578" t="str">
            <v>BIDIM RT 10</v>
          </cell>
          <cell r="C3578" t="str">
            <v>M2</v>
          </cell>
          <cell r="D3578">
            <v>2</v>
          </cell>
        </row>
        <row r="3579">
          <cell r="A3579" t="str">
            <v>EXTINS10</v>
          </cell>
          <cell r="B3579" t="str">
            <v>ARVORE NATURAL LOCAL EM MUDA</v>
          </cell>
          <cell r="C3579" t="str">
            <v>UN</v>
          </cell>
          <cell r="D3579">
            <v>2.5</v>
          </cell>
        </row>
        <row r="3580">
          <cell r="A3580" t="str">
            <v>EXTINS11</v>
          </cell>
          <cell r="B3580" t="str">
            <v xml:space="preserve">COMPORTA EM FIBRA DE VIDRO 0,40 X 1,30 X 0,015 M </v>
          </cell>
          <cell r="C3580" t="str">
            <v>UN</v>
          </cell>
          <cell r="D3580">
            <v>187</v>
          </cell>
        </row>
        <row r="3581">
          <cell r="A3581" t="str">
            <v>EXTINS12</v>
          </cell>
          <cell r="B3581" t="str">
            <v xml:space="preserve">COMPORTA EM FIBRA DE VIDRO 0,35 X 0,90 X 0,015 M </v>
          </cell>
          <cell r="C3581" t="str">
            <v>UN</v>
          </cell>
          <cell r="D3581">
            <v>115.5</v>
          </cell>
        </row>
        <row r="3582">
          <cell r="A3582" t="str">
            <v>EXTINS13</v>
          </cell>
          <cell r="B3582" t="str">
            <v xml:space="preserve">BRAÇADEIRA DE AÇO, TIPO D 1/4''X 11/4'' X 500 MM </v>
          </cell>
          <cell r="C3582" t="str">
            <v>UN</v>
          </cell>
          <cell r="D3582">
            <v>9.5</v>
          </cell>
        </row>
        <row r="3583">
          <cell r="A3583" t="str">
            <v>EXTINS14</v>
          </cell>
          <cell r="B3583" t="str">
            <v>PARAFUSO DE EXPANSÃO DN 1/4''</v>
          </cell>
          <cell r="C3583" t="str">
            <v>UN</v>
          </cell>
          <cell r="D3583">
            <v>1.1299999999999999</v>
          </cell>
        </row>
        <row r="3584">
          <cell r="A3584" t="str">
            <v>EXTINS15</v>
          </cell>
          <cell r="B3584" t="str">
            <v xml:space="preserve">COMPORTA EM FIBRA DE VIDRO 0,60 X 0,50 X 0,015 M </v>
          </cell>
          <cell r="C3584" t="str">
            <v>UN</v>
          </cell>
          <cell r="D3584">
            <v>115.5</v>
          </cell>
        </row>
        <row r="3585">
          <cell r="A3585" t="str">
            <v>EXTINS16</v>
          </cell>
          <cell r="B3585" t="str">
            <v>TAMPA METÁLICA 1,60 X 1,40 M C/ GUARNIÇÕES</v>
          </cell>
          <cell r="C3585" t="str">
            <v>UN</v>
          </cell>
          <cell r="D3585">
            <v>103.95</v>
          </cell>
        </row>
        <row r="3586">
          <cell r="A3586" t="str">
            <v>EXTINS17</v>
          </cell>
          <cell r="B3586" t="str">
            <v>TAMPA METÁLICA 1,20 X 0,90 M C/ GUARNIÇÕES</v>
          </cell>
          <cell r="C3586" t="str">
            <v>UN</v>
          </cell>
          <cell r="D3586">
            <v>50.12</v>
          </cell>
        </row>
        <row r="3587">
          <cell r="A3587" t="str">
            <v>EXTINS18</v>
          </cell>
          <cell r="B3587" t="str">
            <v>TAMPA METÁLICA 1,60 X 1,20 M C/ GUARNIÇÕES</v>
          </cell>
          <cell r="C3587" t="str">
            <v>UN</v>
          </cell>
          <cell r="D3587">
            <v>89.1</v>
          </cell>
        </row>
        <row r="3588">
          <cell r="A3588" t="str">
            <v>EXTINS19</v>
          </cell>
          <cell r="B3588" t="str">
            <v xml:space="preserve">PORTA TIPO VENAZIANA ARTICULADA 0,80 X 1,20 M </v>
          </cell>
          <cell r="C3588" t="str">
            <v>UN</v>
          </cell>
          <cell r="D3588">
            <v>67.2</v>
          </cell>
        </row>
        <row r="3589">
          <cell r="A3589" t="str">
            <v>EXTINS20</v>
          </cell>
          <cell r="B3589" t="str">
            <v>PASSARELA METÁLICA L=0,80 M, C/ ESTR. TRANSV. P/ REATOR.</v>
          </cell>
          <cell r="C3589" t="str">
            <v>M2</v>
          </cell>
          <cell r="D3589">
            <v>176</v>
          </cell>
        </row>
        <row r="3590">
          <cell r="A3590" t="str">
            <v>EXTINS21</v>
          </cell>
          <cell r="B3590" t="str">
            <v>VERTEDOR EM CHAPA DE FV. 1,20 X 0,65 M H = 0,15 M</v>
          </cell>
          <cell r="C3590" t="str">
            <v xml:space="preserve">UN </v>
          </cell>
          <cell r="D3590">
            <v>132</v>
          </cell>
        </row>
        <row r="3591">
          <cell r="A3591" t="str">
            <v>EXTINS22</v>
          </cell>
          <cell r="B3591" t="str">
            <v>GRADIL DE BARRA CHATA 11/2'' X 3/8'' ESP=3 CM, P/ CX DE AREIA</v>
          </cell>
          <cell r="C3591" t="str">
            <v>M2</v>
          </cell>
          <cell r="D3591">
            <v>232.5</v>
          </cell>
        </row>
        <row r="3592">
          <cell r="A3592" t="str">
            <v>EXTINS23</v>
          </cell>
          <cell r="B3592" t="str">
            <v>ESTOP LOG EM FV 0,90 X 0,98 X 0,02 M</v>
          </cell>
          <cell r="C3592" t="str">
            <v>UN</v>
          </cell>
          <cell r="D3592">
            <v>451</v>
          </cell>
        </row>
        <row r="3593">
          <cell r="A3593" t="str">
            <v>EXTINS24</v>
          </cell>
          <cell r="B3593" t="str">
            <v>ESTOP LOG EM FV 1,10 X 1,14 X 0,02 M</v>
          </cell>
          <cell r="C3593" t="str">
            <v>UN</v>
          </cell>
          <cell r="D3593">
            <v>610.5</v>
          </cell>
        </row>
        <row r="3594">
          <cell r="A3594" t="str">
            <v>EXTINS25</v>
          </cell>
          <cell r="B3594" t="str">
            <v>COMPORTA DE MADEIRA DE LEI 0,95 X 0,1,47 X 0,03 M</v>
          </cell>
          <cell r="C3594" t="str">
            <v>UN</v>
          </cell>
          <cell r="D3594">
            <v>32</v>
          </cell>
        </row>
        <row r="3595">
          <cell r="A3595" t="str">
            <v>EXTINS26</v>
          </cell>
          <cell r="B3595" t="str">
            <v>CHINCANA DE MADEIRA DE LEI 0,65 X 0,45 X 0,03 M P/ CX AREIA</v>
          </cell>
          <cell r="C3595" t="str">
            <v>UN</v>
          </cell>
          <cell r="D3595">
            <v>12</v>
          </cell>
        </row>
        <row r="3596">
          <cell r="A3596" t="str">
            <v>EXTINS27</v>
          </cell>
          <cell r="B3596" t="str">
            <v>CANALETA DE MADEIRA DE LEI PARA CHINCANA/COMPORTA 0,10 X 0,06 M</v>
          </cell>
          <cell r="C3596" t="str">
            <v>M</v>
          </cell>
          <cell r="D3596">
            <v>4.5</v>
          </cell>
        </row>
        <row r="3597">
          <cell r="A3597" t="str">
            <v>EXTINS28</v>
          </cell>
          <cell r="B3597" t="str">
            <v>PARAFUSO ZINCADO ROSCA SOBERBA, C/ BUCHA PLÁSTICA S 8</v>
          </cell>
          <cell r="C3597" t="str">
            <v>UN</v>
          </cell>
          <cell r="D3597">
            <v>0.25</v>
          </cell>
        </row>
        <row r="3598">
          <cell r="A3598" t="str">
            <v>EXTINS29</v>
          </cell>
          <cell r="B3598" t="str">
            <v>CALHA PARSHAL EM FV 9", C= 1,642 M, LEX=0,58 M, LIN=0,38 M, H=0,48 M</v>
          </cell>
          <cell r="C3598" t="str">
            <v>UN</v>
          </cell>
          <cell r="D3598">
            <v>886</v>
          </cell>
        </row>
        <row r="3599">
          <cell r="A3599" t="str">
            <v>EXTINS30</v>
          </cell>
          <cell r="B3599" t="str">
            <v>AQUIZIÇÃO DE MATERIAL DE JAZIDA</v>
          </cell>
          <cell r="C3599" t="str">
            <v>M3</v>
          </cell>
          <cell r="D3599">
            <v>0.63</v>
          </cell>
        </row>
        <row r="3600">
          <cell r="A3600" t="str">
            <v>EXTINS31</v>
          </cell>
          <cell r="B3600" t="str">
            <v>CTD DFOFO DM 400</v>
          </cell>
          <cell r="C3600" t="str">
            <v>KG</v>
          </cell>
          <cell r="D3600">
            <v>0.01</v>
          </cell>
        </row>
        <row r="3601">
          <cell r="A3601" t="str">
            <v>EXTINS32</v>
          </cell>
          <cell r="B3601" t="str">
            <v>CTD PVC+PRVFV DM 500</v>
          </cell>
          <cell r="C3601" t="str">
            <v>KG</v>
          </cell>
          <cell r="D3601">
            <v>0.01</v>
          </cell>
        </row>
        <row r="3602">
          <cell r="A3602" t="str">
            <v>EXTINS33</v>
          </cell>
          <cell r="B3602" t="str">
            <v>CHAPA EM FIBRA DE VIDRO E =20 MM</v>
          </cell>
          <cell r="C3602" t="str">
            <v>M2</v>
          </cell>
          <cell r="D3602">
            <v>479.5</v>
          </cell>
        </row>
        <row r="3603">
          <cell r="A3603" t="str">
            <v>EXTINS34</v>
          </cell>
          <cell r="B3603" t="str">
            <v>MUDA DE EUCALIPTO H = 0,20 CM</v>
          </cell>
          <cell r="C3603" t="str">
            <v>UN</v>
          </cell>
          <cell r="D3603">
            <v>1.2</v>
          </cell>
        </row>
        <row r="3604">
          <cell r="A3604" t="str">
            <v>EXTINS35</v>
          </cell>
          <cell r="B3604" t="str">
            <v>BANCADA DE ARDOSIA E= 2,0 CM</v>
          </cell>
          <cell r="C3604" t="str">
            <v>M2</v>
          </cell>
          <cell r="D3604">
            <v>90.9</v>
          </cell>
        </row>
        <row r="3605">
          <cell r="A3605" t="str">
            <v>EXTINS36</v>
          </cell>
          <cell r="B3605" t="str">
            <v>ESQUADRIA VENEZIANA EM CHAPA DOBRADA</v>
          </cell>
          <cell r="C3605" t="str">
            <v>M2</v>
          </cell>
          <cell r="D3605">
            <v>70</v>
          </cell>
        </row>
        <row r="3606">
          <cell r="A3606" t="str">
            <v>EXTINS37</v>
          </cell>
          <cell r="B3606" t="str">
            <v>ESCADA TIPO PISCINA, INOXIDÁVEL SEM PROTECAO</v>
          </cell>
          <cell r="C3606" t="str">
            <v>M</v>
          </cell>
          <cell r="D3606">
            <v>44.22</v>
          </cell>
        </row>
        <row r="3607">
          <cell r="A3607" t="str">
            <v>EXTINS38</v>
          </cell>
          <cell r="B3607" t="str">
            <v>ESCADA TIPO PISCINA INOXIDÁVEL COM PROTECAO</v>
          </cell>
          <cell r="C3607" t="str">
            <v>M</v>
          </cell>
          <cell r="D3607">
            <v>21.18</v>
          </cell>
        </row>
        <row r="3608">
          <cell r="A3608" t="str">
            <v>EXTINS39</v>
          </cell>
          <cell r="B3608" t="str">
            <v>VENTILAÇÃO PARA RESERVATÓRIO</v>
          </cell>
          <cell r="C3608" t="str">
            <v>UN</v>
          </cell>
          <cell r="D3608">
            <v>31.8</v>
          </cell>
        </row>
        <row r="3609">
          <cell r="A3609" t="str">
            <v>EXTINS40</v>
          </cell>
          <cell r="B3609" t="str">
            <v>ESCADA TIPO MARINH. COM PROT., FIXADA C/ PARAFUSO PELO FORN.</v>
          </cell>
          <cell r="C3609" t="str">
            <v>M</v>
          </cell>
          <cell r="D3609">
            <v>15.132000000000001</v>
          </cell>
        </row>
        <row r="3610">
          <cell r="A3610" t="str">
            <v>EXTINS41</v>
          </cell>
          <cell r="B3610" t="str">
            <v>TAMPA DE INSPEÇÀO METÁLICA 0,60 X 1,00 M</v>
          </cell>
          <cell r="C3610" t="str">
            <v>UN</v>
          </cell>
          <cell r="D3610">
            <v>27.85</v>
          </cell>
        </row>
        <row r="3611">
          <cell r="A3611" t="str">
            <v>EXTINS42</v>
          </cell>
          <cell r="B3611" t="str">
            <v>CADEADO PAPAIZ</v>
          </cell>
          <cell r="C3611" t="str">
            <v>UN</v>
          </cell>
          <cell r="D3611">
            <v>4.91</v>
          </cell>
        </row>
        <row r="3612">
          <cell r="A3612" t="str">
            <v>EXTINS43</v>
          </cell>
          <cell r="B3612" t="str">
            <v>GRELHA DE FERRO C/ REQUADRO EM CANTONEIRA E CHUMBADORES</v>
          </cell>
          <cell r="C3612" t="str">
            <v>M2</v>
          </cell>
          <cell r="D3612">
            <v>136.85</v>
          </cell>
        </row>
        <row r="3613">
          <cell r="A3613" t="str">
            <v>EXTINS44</v>
          </cell>
          <cell r="B3613" t="str">
            <v>APARELHO DE NEOPRENE E= 14 MM, L= 100 MM</v>
          </cell>
          <cell r="C3613" t="str">
            <v>M</v>
          </cell>
          <cell r="D3613">
            <v>63</v>
          </cell>
        </row>
        <row r="3614">
          <cell r="A3614" t="str">
            <v>EXTINS45</v>
          </cell>
          <cell r="B3614" t="str">
            <v>PERFIL METÁLICO TIPO  I, 10'' , 50 KG/M</v>
          </cell>
          <cell r="C3614" t="str">
            <v>KG</v>
          </cell>
          <cell r="D3614">
            <v>3.15</v>
          </cell>
        </row>
        <row r="3615">
          <cell r="A3615" t="str">
            <v>EXTINS46</v>
          </cell>
          <cell r="B3615" t="str">
            <v>SOLDA E MONTAGEM DE PERFIL METÁLICO</v>
          </cell>
          <cell r="C3615" t="str">
            <v>KG</v>
          </cell>
          <cell r="D3615">
            <v>0.16</v>
          </cell>
        </row>
        <row r="3616">
          <cell r="A3616" t="str">
            <v>EXTINS47</v>
          </cell>
          <cell r="B3616" t="str">
            <v>ESCORA DE EUCALIPTO DN MEDIO 10 CM H.MAX = 3,20 M</v>
          </cell>
          <cell r="C3616" t="str">
            <v>UN</v>
          </cell>
          <cell r="D3616">
            <v>3.3</v>
          </cell>
        </row>
        <row r="3617">
          <cell r="A3617" t="str">
            <v>EXTINS48</v>
          </cell>
          <cell r="B3617" t="str">
            <v>LAJE PRÉ MODADA PARA PISO 12 CM</v>
          </cell>
          <cell r="C3617" t="str">
            <v>M2</v>
          </cell>
          <cell r="D3617">
            <v>12</v>
          </cell>
        </row>
        <row r="3618">
          <cell r="A3618" t="str">
            <v>EXTINS49</v>
          </cell>
          <cell r="B3618" t="str">
            <v>LAJE PRÉ MODADA PARA FORRO 10 CM</v>
          </cell>
          <cell r="C3618" t="str">
            <v>M3</v>
          </cell>
          <cell r="D3618">
            <v>11.5</v>
          </cell>
        </row>
        <row r="3619">
          <cell r="A3619" t="str">
            <v>EXTINS50</v>
          </cell>
          <cell r="B3619" t="str">
            <v>DIVISÓRIA TIPO NAVAL COLOCADA</v>
          </cell>
          <cell r="C3619" t="str">
            <v>M2</v>
          </cell>
          <cell r="D3619">
            <v>33</v>
          </cell>
        </row>
        <row r="3620">
          <cell r="A3620" t="str">
            <v>EXTINS51</v>
          </cell>
          <cell r="B3620" t="str">
            <v>PORTA PARA DIVIS.TIPO NAVAL 0,70 X2,10 M C/ FERRAG, COLOCADA</v>
          </cell>
          <cell r="C3620" t="str">
            <v>UN</v>
          </cell>
          <cell r="D3620">
            <v>120</v>
          </cell>
        </row>
        <row r="3621">
          <cell r="A3621" t="str">
            <v>EXTINS52</v>
          </cell>
          <cell r="B3621" t="str">
            <v>PORTA ARTICULADA DE ALUMINIO, VENEZ. FALSA, 0,90 X 2,10 M</v>
          </cell>
          <cell r="C3621" t="str">
            <v>UN</v>
          </cell>
          <cell r="D3621">
            <v>396</v>
          </cell>
        </row>
        <row r="3622">
          <cell r="A3622" t="str">
            <v>EXTINS53</v>
          </cell>
          <cell r="B3622" t="str">
            <v>CORRIMÃO EM ALUMINIO TUBULAR DN 75 MM H = 1,10 M, COLOCADO</v>
          </cell>
          <cell r="C3622" t="str">
            <v>M</v>
          </cell>
          <cell r="D3622">
            <v>156</v>
          </cell>
        </row>
        <row r="3623">
          <cell r="A3623" t="str">
            <v>EXTINS54</v>
          </cell>
          <cell r="B3623" t="str">
            <v>CHAPA METÁLICA PARA RUFO L 40 CM</v>
          </cell>
          <cell r="C3623" t="str">
            <v>M</v>
          </cell>
          <cell r="D3623">
            <v>4.62</v>
          </cell>
        </row>
        <row r="3624">
          <cell r="A3624" t="str">
            <v>EXTINS55</v>
          </cell>
          <cell r="B3624" t="str">
            <v>CERÂMICA 10 X 10 CM COR AZUL</v>
          </cell>
          <cell r="C3624" t="str">
            <v>M2</v>
          </cell>
          <cell r="D3624">
            <v>26</v>
          </cell>
        </row>
        <row r="3625">
          <cell r="A3625" t="str">
            <v>EXTINS56</v>
          </cell>
          <cell r="B3625" t="str">
            <v>CERÂMICA 30 X 30 CM PI IV</v>
          </cell>
          <cell r="C3625" t="str">
            <v>M2</v>
          </cell>
          <cell r="D3625">
            <v>12</v>
          </cell>
        </row>
        <row r="3626">
          <cell r="A3626" t="str">
            <v>EXTINS57</v>
          </cell>
          <cell r="B3626" t="str">
            <v>TAMPO DE GRANITO CINZA CLARO, COM BORDOS DUPLOS, ARREDONDADOS</v>
          </cell>
          <cell r="C3626" t="str">
            <v>M2</v>
          </cell>
          <cell r="D3626">
            <v>166.67</v>
          </cell>
        </row>
        <row r="3627">
          <cell r="A3627" t="str">
            <v>EXTINS58</v>
          </cell>
          <cell r="B3627" t="str">
            <v>FORRO DE GESSO LISO, COLOCADO</v>
          </cell>
          <cell r="C3627" t="str">
            <v>M2</v>
          </cell>
          <cell r="D3627">
            <v>6.5</v>
          </cell>
        </row>
        <row r="3628">
          <cell r="A3628" t="str">
            <v>EXTINS59</v>
          </cell>
          <cell r="B3628" t="str">
            <v>CERA DE CARNAÚBA</v>
          </cell>
          <cell r="C3628" t="str">
            <v>KG</v>
          </cell>
          <cell r="D3628">
            <v>10</v>
          </cell>
        </row>
        <row r="3629">
          <cell r="A3629" t="str">
            <v>EXTINS60</v>
          </cell>
          <cell r="B3629" t="str">
            <v>DOMUS DE ACRILICO SEMICIRCULAR R = 2,10, C = 2,60 M, C/ EST. SUST. ALUM.</v>
          </cell>
          <cell r="C3629" t="str">
            <v>UN</v>
          </cell>
          <cell r="D3629">
            <v>1350</v>
          </cell>
        </row>
        <row r="3630">
          <cell r="A3630" t="str">
            <v>EXTINS61</v>
          </cell>
          <cell r="B3630" t="str">
            <v>DOMUS DE ACRILICO SEMICIRCULAR R = 2,10, C = 4,00 M, C/ EST. SUST. ALUM.</v>
          </cell>
          <cell r="C3630" t="str">
            <v>UN</v>
          </cell>
          <cell r="D3630">
            <v>1930</v>
          </cell>
        </row>
        <row r="3631">
          <cell r="A3631" t="str">
            <v>EXTINS62</v>
          </cell>
          <cell r="B3631" t="str">
            <v>PORTA LISA CEDRO P/VERNIZ OU CERA 0,80 X 2,10 M</v>
          </cell>
          <cell r="C3631" t="str">
            <v>UN</v>
          </cell>
          <cell r="D3631">
            <v>77</v>
          </cell>
        </row>
        <row r="3632">
          <cell r="A3632" t="str">
            <v>EXTINS63</v>
          </cell>
          <cell r="B3632" t="str">
            <v>PORTA LISA CEDRO P/VERNIZ OU CERA 0,70 X 2,10 M</v>
          </cell>
          <cell r="C3632" t="str">
            <v>UN</v>
          </cell>
          <cell r="D3632">
            <v>77</v>
          </cell>
        </row>
        <row r="3633">
          <cell r="A3633" t="str">
            <v>EXTINS64</v>
          </cell>
          <cell r="B3633" t="str">
            <v>PORTA LISA CEDRO P/VERNIZ OU CERA 0,60 X 2,10 M</v>
          </cell>
          <cell r="C3633" t="str">
            <v>UN</v>
          </cell>
          <cell r="D3633">
            <v>77</v>
          </cell>
        </row>
        <row r="3634">
          <cell r="A3634" t="str">
            <v>EXTINS65</v>
          </cell>
          <cell r="B3634" t="str">
            <v>BATENTE DE CEDRO PARA VERNIZ OU CERA</v>
          </cell>
          <cell r="C3634" t="str">
            <v>JG</v>
          </cell>
          <cell r="D3634">
            <v>32</v>
          </cell>
        </row>
        <row r="3635">
          <cell r="A3635" t="str">
            <v>EXTINS66</v>
          </cell>
          <cell r="B3635" t="str">
            <v>CUMEEIRA PARA TELHA TIPO K 49</v>
          </cell>
          <cell r="C3635" t="str">
            <v>PC</v>
          </cell>
          <cell r="D3635">
            <v>10</v>
          </cell>
        </row>
        <row r="3636">
          <cell r="A3636" t="str">
            <v>EXTINS67</v>
          </cell>
          <cell r="B3636" t="str">
            <v>TAMPA DE INSPEÇÀO METÁLICA 0,80 X 1,70 M</v>
          </cell>
          <cell r="C3636" t="str">
            <v>UN</v>
          </cell>
          <cell r="D3636">
            <v>67.3</v>
          </cell>
        </row>
        <row r="3637">
          <cell r="A3637" t="str">
            <v>EXTINS68</v>
          </cell>
          <cell r="B3637" t="str">
            <v>TAMPA DE INSPEÇÀO METÁLICA 0,60 X 0,60 M</v>
          </cell>
          <cell r="C3637" t="str">
            <v>UN</v>
          </cell>
          <cell r="D3637">
            <v>16.71</v>
          </cell>
        </row>
        <row r="3638">
          <cell r="A3638" t="str">
            <v>EXTINS69</v>
          </cell>
          <cell r="B3638" t="str">
            <v>TELA MILIMETRADA, C/ REQUADRO EM CANTONEIRA DE FERRO CHATO</v>
          </cell>
          <cell r="C3638" t="str">
            <v>M2</v>
          </cell>
          <cell r="D3638">
            <v>35</v>
          </cell>
        </row>
        <row r="3639">
          <cell r="A3639" t="str">
            <v>EXTINS70</v>
          </cell>
          <cell r="B3639" t="str">
            <v>CUBA DE LOUÇA BRANCA PARA BANCADA, SOLDADA NA BANCA PELA MARM.</v>
          </cell>
          <cell r="C3639" t="str">
            <v>UN</v>
          </cell>
          <cell r="D3639">
            <v>33.799999999999997</v>
          </cell>
        </row>
        <row r="3640">
          <cell r="A3640" t="str">
            <v>EXTINS71</v>
          </cell>
          <cell r="B3640" t="str">
            <v>VIDRO FANTASIA E = 4 MM COLOCADO</v>
          </cell>
          <cell r="C3640" t="str">
            <v>M2</v>
          </cell>
          <cell r="D3640">
            <v>25</v>
          </cell>
        </row>
        <row r="3641">
          <cell r="A3641" t="str">
            <v>EXTINS72</v>
          </cell>
          <cell r="B3641" t="str">
            <v>CARRO TROLE PARA IÇAMENTO DE BOMBAS CAP = 500 KG</v>
          </cell>
          <cell r="C3641" t="str">
            <v>UN</v>
          </cell>
          <cell r="D3641">
            <v>480</v>
          </cell>
        </row>
        <row r="3642">
          <cell r="A3642" t="str">
            <v>EXTINS73</v>
          </cell>
          <cell r="B3642" t="str">
            <v>TALHA PARA 500 KG</v>
          </cell>
          <cell r="C3642" t="str">
            <v>UN</v>
          </cell>
          <cell r="D3642">
            <v>400</v>
          </cell>
        </row>
        <row r="3643">
          <cell r="A3643" t="str">
            <v>EXTINS74</v>
          </cell>
          <cell r="B3643" t="str">
            <v>ALUGUEL DE ANDAIME FACHADEIRO</v>
          </cell>
          <cell r="C3643" t="str">
            <v>M2XMS</v>
          </cell>
          <cell r="D3643">
            <v>1.7</v>
          </cell>
        </row>
        <row r="3644">
          <cell r="A3644" t="str">
            <v>EXTINS75</v>
          </cell>
          <cell r="B3644" t="str">
            <v>PORTA ARTICULADA DE ALUMINIO, VENEZ. FALSA</v>
          </cell>
          <cell r="C3644" t="str">
            <v>M2</v>
          </cell>
          <cell r="D3644">
            <v>210</v>
          </cell>
        </row>
        <row r="3645">
          <cell r="A3645" t="str">
            <v>EXTINS76</v>
          </cell>
          <cell r="B3645" t="str">
            <v>ÓLEO QUEIMADO</v>
          </cell>
          <cell r="C3645" t="str">
            <v>L</v>
          </cell>
          <cell r="D3645">
            <v>0.3</v>
          </cell>
        </row>
        <row r="3646">
          <cell r="A3646" t="str">
            <v>EXTINS77</v>
          </cell>
          <cell r="B3646" t="str">
            <v>PEITORIL DE GRANITO E = 2,5 CM L= 10CM C/ BORDAS DUPLAS ARREDONDADAS</v>
          </cell>
          <cell r="C3646" t="str">
            <v>M</v>
          </cell>
          <cell r="D3646">
            <v>33.200000000000003</v>
          </cell>
        </row>
        <row r="3647">
          <cell r="A3647" t="str">
            <v>EXTINS78</v>
          </cell>
          <cell r="B3647" t="str">
            <v>PEITORIL DE GRANITO E = 2,5 CM L= 10CM C/ BORDAS ARREDONDADAS</v>
          </cell>
          <cell r="C3647" t="str">
            <v>M</v>
          </cell>
          <cell r="D3647">
            <v>16.600000000000001</v>
          </cell>
        </row>
        <row r="3648">
          <cell r="A3648" t="str">
            <v>EXTINS79</v>
          </cell>
          <cell r="B3648" t="str">
            <v>PORTA ARTICULADA METALICA EM CHAPA DOBRADA</v>
          </cell>
          <cell r="C3648" t="str">
            <v>M2</v>
          </cell>
          <cell r="D3648">
            <v>75</v>
          </cell>
        </row>
        <row r="3649">
          <cell r="A3649" t="str">
            <v>EXTINS80</v>
          </cell>
          <cell r="B3649" t="str">
            <v>TAMPA METÁLICA REVESTIDA COM FIBRA DE VIDRO</v>
          </cell>
          <cell r="C3649" t="str">
            <v>M2</v>
          </cell>
          <cell r="D3649">
            <v>238.21</v>
          </cell>
        </row>
        <row r="3650">
          <cell r="A3650" t="str">
            <v>EXTINS81</v>
          </cell>
          <cell r="B3650" t="str">
            <v>FORNECIMENTO E CRAVAÇÃO DE TUBO DE AÇO CARBONO DN 600 MM</v>
          </cell>
          <cell r="C3650" t="str">
            <v>M</v>
          </cell>
          <cell r="D3650">
            <v>1085</v>
          </cell>
        </row>
        <row r="3651">
          <cell r="A3651" t="str">
            <v>EXTINS82</v>
          </cell>
          <cell r="B3651" t="str">
            <v>FORNECIMENTO E CRAVAÇÃO DE TUBO DE AÇO CARBONO DN 500 MM</v>
          </cell>
          <cell r="C3651" t="str">
            <v>M</v>
          </cell>
        </row>
        <row r="3652">
          <cell r="A3652" t="str">
            <v>EXTINS83</v>
          </cell>
          <cell r="B3652" t="str">
            <v>FORNECIMENTO E CRAVAÇÃO DE TUBO DE AÇO CARBONO DN 400 MM</v>
          </cell>
          <cell r="C3652" t="str">
            <v>M</v>
          </cell>
          <cell r="D3652">
            <v>721</v>
          </cell>
        </row>
        <row r="3653">
          <cell r="A3653" t="str">
            <v>EXTINS84</v>
          </cell>
          <cell r="B3653" t="str">
            <v>FORNECIMENTO E CRAVAÇÃO DE TUBO DE AÇO CARBONO DN 300 MM</v>
          </cell>
          <cell r="C3653" t="str">
            <v>M</v>
          </cell>
        </row>
        <row r="3654">
          <cell r="A3654" t="str">
            <v>EXTINS85</v>
          </cell>
          <cell r="B3654" t="str">
            <v>FORNECIMENTO E CRAVAÇÃO DE TUBO DE AÇO CARBONO DN 200 MM</v>
          </cell>
          <cell r="C3654" t="str">
            <v>M</v>
          </cell>
          <cell r="D3654">
            <v>545</v>
          </cell>
        </row>
        <row r="3655">
          <cell r="A3655" t="str">
            <v>EXTINS86</v>
          </cell>
          <cell r="B3655" t="str">
            <v>PORTA LISA CEDRO P/VERNIZ OU CERA 1,00 X 2,10 M</v>
          </cell>
          <cell r="C3655" t="str">
            <v>UN</v>
          </cell>
          <cell r="D3655">
            <v>77</v>
          </cell>
        </row>
        <row r="3656">
          <cell r="A3656" t="str">
            <v>EXTINS87</v>
          </cell>
          <cell r="B3656" t="str">
            <v>TAMPA DE INSPEÇÀO METÁLICA 0,80 X 1,00 M</v>
          </cell>
          <cell r="C3656" t="str">
            <v>UN</v>
          </cell>
          <cell r="D3656">
            <v>39.6</v>
          </cell>
        </row>
        <row r="3657">
          <cell r="A3657" t="str">
            <v>EXTINS88</v>
          </cell>
          <cell r="B3657" t="str">
            <v>FORNEC. E CRAV. DE TUBO DE AÇO ARMICO DN 1000 MM, MET. NÃO DESTR.</v>
          </cell>
          <cell r="C3657" t="str">
            <v>M</v>
          </cell>
          <cell r="D3657">
            <v>1753.57</v>
          </cell>
        </row>
        <row r="3658">
          <cell r="A3658" t="str">
            <v>EXTINS89</v>
          </cell>
          <cell r="B3658" t="str">
            <v>FORNECIMENTO E CRAVAÇÃO DE ESTACA PRE MOLDADA DN 42 CM</v>
          </cell>
          <cell r="C3658" t="str">
            <v>M</v>
          </cell>
          <cell r="D3658">
            <v>102.5</v>
          </cell>
        </row>
        <row r="3659">
          <cell r="A3659" t="str">
            <v>EXTINS90</v>
          </cell>
          <cell r="B3659" t="str">
            <v>MOBILIZAÇÃO DE EQUIPAMENTO</v>
          </cell>
          <cell r="C3659" t="str">
            <v>KM/M</v>
          </cell>
          <cell r="D3659">
            <v>0.4</v>
          </cell>
        </row>
        <row r="3660">
          <cell r="A3660" t="str">
            <v>EXTINS91</v>
          </cell>
          <cell r="B3660" t="str">
            <v>ESTOP LOG EM MADEIRA DE LEI</v>
          </cell>
          <cell r="C3660" t="str">
            <v>M2</v>
          </cell>
          <cell r="D3660">
            <v>23</v>
          </cell>
        </row>
        <row r="3661">
          <cell r="A3661" t="str">
            <v>EXTINS92</v>
          </cell>
          <cell r="B3661" t="str">
            <v>PERFIL METÁLICO TIPO  I, 8'' , 27,3 KG/M</v>
          </cell>
          <cell r="C3661" t="str">
            <v>KG</v>
          </cell>
          <cell r="D3661">
            <v>3.15</v>
          </cell>
        </row>
        <row r="3662">
          <cell r="A3662" t="str">
            <v>EXTINS93</v>
          </cell>
          <cell r="B3662" t="str">
            <v>CHAPA COM CHUMBADOR 1/2'' X 15 CM X 20 CM</v>
          </cell>
          <cell r="C3662" t="str">
            <v>UN</v>
          </cell>
          <cell r="D3662">
            <v>25.2</v>
          </cell>
        </row>
        <row r="3663">
          <cell r="A3663" t="str">
            <v>EXTINS94</v>
          </cell>
          <cell r="B3663" t="str">
            <v>PARAFUSO 5/8'' X 50 MM C/ PORCA</v>
          </cell>
          <cell r="C3663" t="str">
            <v>UN</v>
          </cell>
          <cell r="D3663">
            <v>3.4</v>
          </cell>
        </row>
        <row r="3664">
          <cell r="A3664" t="str">
            <v>EXTINS95</v>
          </cell>
          <cell r="B3664" t="str">
            <v>CHAPA 1/2'' X 12 CM X 15 CM</v>
          </cell>
          <cell r="C3664" t="str">
            <v>UN</v>
          </cell>
          <cell r="D3664">
            <v>12.5</v>
          </cell>
        </row>
        <row r="3665">
          <cell r="A3665" t="str">
            <v>EXTINS96</v>
          </cell>
          <cell r="B3665" t="str">
            <v>FORNEC. E MONT. DE PLATAFORMA FLUTUANTE (BALSA) CONF. PROJETO</v>
          </cell>
          <cell r="C3665" t="str">
            <v>UN</v>
          </cell>
          <cell r="D3665">
            <v>23000</v>
          </cell>
        </row>
        <row r="3666">
          <cell r="A3666" t="str">
            <v>EXTINS97</v>
          </cell>
          <cell r="B3666" t="str">
            <v>FORNEC. E MONT. DE BRAÇADEIRA MET. P/ BOIA DE BALSA CONF. PROJETO</v>
          </cell>
          <cell r="C3666" t="str">
            <v>UN</v>
          </cell>
          <cell r="D3666">
            <v>720</v>
          </cell>
        </row>
        <row r="3667">
          <cell r="A3667" t="str">
            <v>EXTINS98</v>
          </cell>
          <cell r="B3667" t="str">
            <v>FORNEC. E MONT. DE CATRACA E CORRENTE P/ BOIA DE BALSA CONF. PROJETO</v>
          </cell>
          <cell r="C3667" t="str">
            <v>UN</v>
          </cell>
          <cell r="D3667">
            <v>1900</v>
          </cell>
        </row>
        <row r="3668">
          <cell r="A3668" t="str">
            <v>EXTINS99</v>
          </cell>
          <cell r="B3668" t="str">
            <v>FORNEC. E MONT. DE GIB CRANE P/ IÇAMENTO DE BALSA/BOMBAS CONF. PROJETO</v>
          </cell>
          <cell r="C3668" t="str">
            <v>UN</v>
          </cell>
          <cell r="D3668">
            <v>9800</v>
          </cell>
        </row>
        <row r="3669">
          <cell r="A3669" t="str">
            <v>EXTINS100</v>
          </cell>
          <cell r="B3669" t="str">
            <v>FORNEC. E MONT. DE TALHA E PERFIL I EM BALSA P/BOMBAS CONF. PROJETO</v>
          </cell>
          <cell r="C3669" t="str">
            <v>CJ</v>
          </cell>
          <cell r="D3669">
            <v>3500</v>
          </cell>
        </row>
        <row r="3670">
          <cell r="A3670" t="str">
            <v>EXTINS101</v>
          </cell>
          <cell r="B3670" t="str">
            <v>FORNEC. E EXEC. DE COBERTURA COM TELLHA DE ZINCO EM BALSA CNF. PROJETO</v>
          </cell>
          <cell r="C3670" t="str">
            <v>CJ</v>
          </cell>
          <cell r="D3670">
            <v>1740</v>
          </cell>
        </row>
        <row r="3671">
          <cell r="A3671" t="str">
            <v>EXTINS102</v>
          </cell>
          <cell r="B3671" t="str">
            <v>FORNEC. E EXEC. DE TABLADO DE MADEIRA IPÊ P/ BALSA CNF. PROJETO</v>
          </cell>
          <cell r="C3671" t="str">
            <v>CJ</v>
          </cell>
          <cell r="D3671">
            <v>480</v>
          </cell>
        </row>
        <row r="3672">
          <cell r="A3672" t="str">
            <v>EXTINS103</v>
          </cell>
          <cell r="B3672" t="str">
            <v>FORNEC. E EXEC. DE GUARDA CORPO METÁLICO MODULAR P/ BALSA CNF. PROJETO</v>
          </cell>
          <cell r="C3672" t="str">
            <v>CJ</v>
          </cell>
          <cell r="D3672">
            <v>580</v>
          </cell>
        </row>
        <row r="3673">
          <cell r="A3673" t="str">
            <v>EXTINS104</v>
          </cell>
          <cell r="B3673" t="str">
            <v xml:space="preserve">BRAÇADEIRA DE AÇO, TIPO D FERRO CHATO,  11/4'' X 300 MM </v>
          </cell>
          <cell r="C3673" t="str">
            <v>UN</v>
          </cell>
          <cell r="D3673">
            <v>5.7</v>
          </cell>
        </row>
        <row r="3674">
          <cell r="A3674" t="str">
            <v>EXTINS105</v>
          </cell>
          <cell r="B3674" t="str">
            <v>TUBO PVC RIGIDO RIB-LOC DN 600</v>
          </cell>
          <cell r="C3674" t="str">
            <v>M</v>
          </cell>
          <cell r="D3674">
            <v>92.9</v>
          </cell>
        </row>
        <row r="3675">
          <cell r="A3675" t="str">
            <v>EXTINS106</v>
          </cell>
          <cell r="B3675" t="str">
            <v>TUBO DE AÇO GALVANIZADO ARMCO DN 120</v>
          </cell>
          <cell r="C3675" t="str">
            <v>M</v>
          </cell>
          <cell r="D3675">
            <v>624</v>
          </cell>
        </row>
        <row r="3676">
          <cell r="A3676" t="str">
            <v>EXTINS107</v>
          </cell>
          <cell r="B3676" t="str">
            <v>TUBO DE AÇO GALVANIZADO ARMCO DN 140</v>
          </cell>
          <cell r="C3676" t="str">
            <v>M</v>
          </cell>
          <cell r="D3676">
            <v>736</v>
          </cell>
        </row>
        <row r="3677">
          <cell r="A3677" t="str">
            <v>EXTINS108</v>
          </cell>
          <cell r="B3677" t="str">
            <v>POSTE DE CONCRETO DT 9/150KGF</v>
          </cell>
          <cell r="C3677" t="str">
            <v>UN</v>
          </cell>
          <cell r="D3677">
            <v>138.04</v>
          </cell>
        </row>
        <row r="3678">
          <cell r="A3678" t="str">
            <v>EXTINS109</v>
          </cell>
          <cell r="B3678" t="str">
            <v>CRUZETA DE MADEIRA HORIZONTAL 12 X 15 X 5,0 M</v>
          </cell>
          <cell r="C3678" t="str">
            <v>UN</v>
          </cell>
          <cell r="D3678">
            <v>73.290000000000006</v>
          </cell>
        </row>
        <row r="3679">
          <cell r="A3679" t="str">
            <v>EXTINS110</v>
          </cell>
          <cell r="B3679" t="str">
            <v>PARAFUSO ROSCA DUPLA 16 X 550 MM</v>
          </cell>
          <cell r="C3679" t="str">
            <v>UN</v>
          </cell>
          <cell r="D3679">
            <v>3.5</v>
          </cell>
        </row>
        <row r="3680">
          <cell r="A3680" t="str">
            <v>EXTINS111</v>
          </cell>
          <cell r="B3680" t="str">
            <v>TUBO DE AÇO GALVANIZADO ARMCO DN 160</v>
          </cell>
          <cell r="C3680" t="str">
            <v>M</v>
          </cell>
          <cell r="D3680">
            <v>836.92</v>
          </cell>
        </row>
        <row r="3681">
          <cell r="A3681" t="str">
            <v>EXTINS112</v>
          </cell>
          <cell r="B3681" t="str">
            <v>COMPORTA EM FIBRA DE VIDRO ESTRUTURADO</v>
          </cell>
          <cell r="C3681" t="str">
            <v>M2</v>
          </cell>
          <cell r="D3681">
            <v>366.67</v>
          </cell>
        </row>
        <row r="3682">
          <cell r="A3682" t="str">
            <v>EXTINS113</v>
          </cell>
          <cell r="B3682" t="str">
            <v>ÁCIDO MURIÁTICO</v>
          </cell>
          <cell r="C3682" t="str">
            <v>L</v>
          </cell>
          <cell r="D3682">
            <v>2.8</v>
          </cell>
        </row>
        <row r="3683">
          <cell r="A3683" t="str">
            <v>EXTINS114</v>
          </cell>
          <cell r="B3683" t="str">
            <v>SABÃO EM PÓ</v>
          </cell>
          <cell r="C3683" t="str">
            <v>KG</v>
          </cell>
          <cell r="D3683">
            <v>2.6</v>
          </cell>
        </row>
        <row r="3684">
          <cell r="A3684" t="str">
            <v>EXTINS115</v>
          </cell>
          <cell r="B3684" t="str">
            <v>LIMPA VIDROS</v>
          </cell>
          <cell r="C3684" t="str">
            <v>LT</v>
          </cell>
          <cell r="D3684">
            <v>1.64</v>
          </cell>
        </row>
        <row r="3685">
          <cell r="A3685" t="str">
            <v>EXTINS116</v>
          </cell>
          <cell r="B3685" t="str">
            <v>FLANELA 25 X 30 CM</v>
          </cell>
          <cell r="C3685" t="str">
            <v>UN</v>
          </cell>
          <cell r="D3685">
            <v>1</v>
          </cell>
        </row>
        <row r="3686">
          <cell r="A3686" t="str">
            <v>EXTINS117</v>
          </cell>
          <cell r="B3686" t="str">
            <v>SAPOLIO EM PÓ PCT  DE 300 G</v>
          </cell>
          <cell r="C3686" t="str">
            <v>UN</v>
          </cell>
          <cell r="D3686">
            <v>1.65</v>
          </cell>
        </row>
        <row r="3687">
          <cell r="A3687" t="str">
            <v>EXTINS118</v>
          </cell>
          <cell r="B3687" t="str">
            <v>PALHA DE ACO Nº. ZERO</v>
          </cell>
          <cell r="C3687" t="str">
            <v>UN</v>
          </cell>
          <cell r="D3687">
            <v>0.4</v>
          </cell>
        </row>
        <row r="3688">
          <cell r="A3688" t="str">
            <v>EXTINS119</v>
          </cell>
          <cell r="B3688" t="str">
            <v>TAMPA METÁLICA COM SUPORTE E CHUMBADORES</v>
          </cell>
          <cell r="C3688" t="str">
            <v>M2</v>
          </cell>
          <cell r="D3688">
            <v>49.48</v>
          </cell>
        </row>
        <row r="3689">
          <cell r="A3689" t="str">
            <v>EXT120</v>
          </cell>
          <cell r="B3689" t="str">
            <v>TIJOLO MACICO 19X9X5 CM PARA ALV. APARENTE</v>
          </cell>
          <cell r="C3689" t="str">
            <v>UN</v>
          </cell>
          <cell r="D3689">
            <v>0.17</v>
          </cell>
        </row>
        <row r="3690">
          <cell r="A3690" t="str">
            <v>EXTINS121</v>
          </cell>
          <cell r="B3690" t="str">
            <v>PLAQUETA REFRATÁRIA 229 X 114 X 25 MM</v>
          </cell>
          <cell r="C3690" t="str">
            <v>UN</v>
          </cell>
          <cell r="D3690">
            <v>0.83</v>
          </cell>
        </row>
        <row r="3691">
          <cell r="A3691" t="str">
            <v>EXTINS122</v>
          </cell>
          <cell r="B3691" t="str">
            <v>COIFA METÁLICA 2,70 X 0,60 X 1,10 M, C/ CHAMINÉ 0,25 X 0,20 C/ 1,0 M # 16</v>
          </cell>
          <cell r="C3691" t="str">
            <v>UN</v>
          </cell>
          <cell r="D3691">
            <v>602.5</v>
          </cell>
        </row>
        <row r="3692">
          <cell r="A3692" t="str">
            <v>EXTINS123</v>
          </cell>
          <cell r="B3692" t="str">
            <v>BANCADA DE MÁRMORE BRANCO E= 2,5 CM PARA PIA OU LAVATÓRIO</v>
          </cell>
          <cell r="C3692" t="str">
            <v>M2</v>
          </cell>
          <cell r="D3692">
            <v>130</v>
          </cell>
        </row>
        <row r="3693">
          <cell r="A3693" t="str">
            <v>EXTINS124</v>
          </cell>
          <cell r="B3693" t="str">
            <v>ARDÓSIA PARA PISO 40 X 40 CM</v>
          </cell>
          <cell r="C3693" t="str">
            <v>M2</v>
          </cell>
          <cell r="D3693">
            <v>5.2</v>
          </cell>
        </row>
        <row r="3694">
          <cell r="A3694" t="str">
            <v>EXTINS125</v>
          </cell>
          <cell r="B3694" t="str">
            <v xml:space="preserve">RODAPÉ DE ARDÓSIA H = 7 CM </v>
          </cell>
          <cell r="C3694" t="str">
            <v>M</v>
          </cell>
          <cell r="D3694">
            <v>1.1000000000000001</v>
          </cell>
        </row>
        <row r="3695">
          <cell r="A3695" t="str">
            <v>EXTINS126</v>
          </cell>
          <cell r="B3695" t="str">
            <v>PAPELEIRA DE LOUÇA 15 X 15 CM</v>
          </cell>
          <cell r="C3695" t="str">
            <v>UN</v>
          </cell>
          <cell r="D3695">
            <v>7.82</v>
          </cell>
        </row>
        <row r="3696">
          <cell r="A3696" t="str">
            <v>EXTINS127</v>
          </cell>
          <cell r="B3696" t="str">
            <v>SABONETEIRA DE LOUÇA 15 X 15 CM</v>
          </cell>
          <cell r="C3696" t="str">
            <v>UN</v>
          </cell>
          <cell r="D3696">
            <v>7.73</v>
          </cell>
        </row>
        <row r="3697">
          <cell r="A3697" t="str">
            <v>EXTINS128</v>
          </cell>
          <cell r="B3697" t="str">
            <v>LOCAÇÃO DE CAÇAMBA CAP. 5 M3</v>
          </cell>
          <cell r="C3697" t="str">
            <v>UN</v>
          </cell>
          <cell r="D3697">
            <v>40</v>
          </cell>
        </row>
        <row r="3698">
          <cell r="A3698" t="str">
            <v>EXTINS129</v>
          </cell>
          <cell r="B3698" t="str">
            <v>ARGAMASSA EXPANSIVA DE ALTA RESISTÊNCIA INICIAL ( SICA GROUT )</v>
          </cell>
          <cell r="C3698" t="str">
            <v>KG</v>
          </cell>
          <cell r="D3698">
            <v>0.8</v>
          </cell>
        </row>
        <row r="3699">
          <cell r="A3699" t="str">
            <v>EXTINS130</v>
          </cell>
          <cell r="B3699" t="str">
            <v xml:space="preserve">TELA PARA ESTUQUE </v>
          </cell>
          <cell r="C3699" t="str">
            <v>M2</v>
          </cell>
          <cell r="D3699">
            <v>0.65</v>
          </cell>
        </row>
        <row r="3700">
          <cell r="A3700" t="str">
            <v>EXTINS131</v>
          </cell>
          <cell r="B3700" t="str">
            <v>REVISÃO EM ESQUADRIAS METÁLICAS</v>
          </cell>
          <cell r="C3700" t="str">
            <v>M2</v>
          </cell>
          <cell r="D3700">
            <v>21</v>
          </cell>
        </row>
        <row r="3701">
          <cell r="A3701" t="str">
            <v>EXTINS132</v>
          </cell>
          <cell r="B3701" t="str">
            <v>MASTRO PARA BANDEIRA FG 4'' X 6,00 M</v>
          </cell>
          <cell r="C3701" t="str">
            <v>UN</v>
          </cell>
          <cell r="D3701">
            <v>218</v>
          </cell>
        </row>
        <row r="3702">
          <cell r="A3702" t="str">
            <v>EXTINS133</v>
          </cell>
          <cell r="B3702" t="str">
            <v>MASTRO PARA BANDEIRA FG 3'' X 6,00 M</v>
          </cell>
          <cell r="C3702" t="str">
            <v>UN</v>
          </cell>
          <cell r="D3702">
            <v>192</v>
          </cell>
        </row>
        <row r="3703">
          <cell r="A3703" t="str">
            <v>EXTINS134</v>
          </cell>
          <cell r="B3703" t="str">
            <v>MASTRO PARA BANDEIRA FG 6'' X 6,00 M</v>
          </cell>
          <cell r="C3703" t="str">
            <v>UN</v>
          </cell>
          <cell r="D3703">
            <v>272</v>
          </cell>
        </row>
        <row r="3704">
          <cell r="A3704" t="str">
            <v>EXTINS135</v>
          </cell>
          <cell r="B3704" t="str">
            <v>PRAT.C/ SUP. EM METAL. 40 X 50 MM CD 0,70M, FORRO EM CHAPA,L=40CM</v>
          </cell>
          <cell r="C3704" t="str">
            <v>M2</v>
          </cell>
          <cell r="D3704">
            <v>114.32</v>
          </cell>
        </row>
        <row r="3705">
          <cell r="A3705" t="str">
            <v>EXTINS136</v>
          </cell>
          <cell r="B3705" t="str">
            <v xml:space="preserve">CORREMÃO EM TUBO INDUSTRIAL DN 11/2'' C/ SUPOR.VERT. H=1,10M </v>
          </cell>
          <cell r="C3705" t="str">
            <v>M</v>
          </cell>
          <cell r="D3705">
            <v>27.83</v>
          </cell>
        </row>
        <row r="3706">
          <cell r="A3706" t="str">
            <v>EXTINS137</v>
          </cell>
          <cell r="B3706" t="str">
            <v>VERTEDOURO EM FIBRA DE VIDRO ESTRUTURADA</v>
          </cell>
          <cell r="C3706" t="str">
            <v>M2</v>
          </cell>
          <cell r="D3706">
            <v>366.67</v>
          </cell>
        </row>
        <row r="3707">
          <cell r="A3707" t="str">
            <v>EXTINS138</v>
          </cell>
          <cell r="B3707" t="str">
            <v xml:space="preserve">GRADIL DE BARRA CHATA 3/4'' X 1/4'', C/MONTANTES.5/16''X1/4'' </v>
          </cell>
          <cell r="C3707" t="str">
            <v>M2</v>
          </cell>
          <cell r="D3707">
            <v>116.25</v>
          </cell>
        </row>
        <row r="3708">
          <cell r="A3708" t="str">
            <v>EXTINS139</v>
          </cell>
          <cell r="B3708" t="str">
            <v>IMPERMEABILIZAÇÃO DE LAGOAS C/ MANTA PEAD 1,0 MM</v>
          </cell>
          <cell r="C3708" t="str">
            <v>M2</v>
          </cell>
          <cell r="D3708">
            <v>14</v>
          </cell>
        </row>
        <row r="3709">
          <cell r="A3709" t="str">
            <v>EXTINS140</v>
          </cell>
          <cell r="B3709" t="str">
            <v>IMPERMEABILIZAÇÃO DE LAGOAS C/ MANTA PEAD 2,0 MM</v>
          </cell>
          <cell r="C3709" t="str">
            <v>M3</v>
          </cell>
          <cell r="D3709">
            <v>19</v>
          </cell>
        </row>
        <row r="3710">
          <cell r="A3710" t="str">
            <v>EXTINS141</v>
          </cell>
          <cell r="B3710" t="str">
            <v>REVESTIMENTO CERÂMICO 20 X 30 CM, COM PI V</v>
          </cell>
          <cell r="C3710" t="str">
            <v>M2</v>
          </cell>
          <cell r="D3710">
            <v>8</v>
          </cell>
        </row>
        <row r="3711">
          <cell r="A3711" t="str">
            <v>EXTINS142</v>
          </cell>
          <cell r="B3711" t="str">
            <v>PISO CERÂMICO 30 X 30 CM, COM PI V</v>
          </cell>
          <cell r="C3711" t="str">
            <v>M3</v>
          </cell>
          <cell r="D3711">
            <v>11.7</v>
          </cell>
        </row>
        <row r="3712">
          <cell r="A3712" t="str">
            <v>EXTINS143</v>
          </cell>
          <cell r="B3712" t="str">
            <v>QUADRO DE CANTONEIRA METÁLICA C/ BAGUETE P/ FIXAÇÃO DE TELA</v>
          </cell>
          <cell r="C3712" t="str">
            <v>M2</v>
          </cell>
          <cell r="D3712">
            <v>21</v>
          </cell>
        </row>
        <row r="3713">
          <cell r="A3713" t="str">
            <v>EXTINS144</v>
          </cell>
          <cell r="B3713" t="str">
            <v>TELA DE NYLON P/ MOSQUITEIRO</v>
          </cell>
          <cell r="C3713" t="str">
            <v>M2</v>
          </cell>
          <cell r="D3713">
            <v>1.75</v>
          </cell>
        </row>
        <row r="3714">
          <cell r="A3714" t="str">
            <v>EXTINS145</v>
          </cell>
          <cell r="B3714" t="str">
            <v>CALHA PARSHAL EM FV 3", C= 1,642 M, LEX=0,58 M, LIN=0,38 M, H=0,48 M</v>
          </cell>
          <cell r="C3714" t="str">
            <v>UN</v>
          </cell>
          <cell r="D3714">
            <v>588</v>
          </cell>
        </row>
        <row r="3715">
          <cell r="A3715" t="str">
            <v>EXTINS146</v>
          </cell>
          <cell r="B3715" t="str">
            <v>CERÂMICA CORRUGADA 11X24CM, TIPO TIJOLINHO</v>
          </cell>
          <cell r="C3715" t="str">
            <v>M2</v>
          </cell>
          <cell r="D3715">
            <v>14.26</v>
          </cell>
        </row>
        <row r="3716">
          <cell r="A3716" t="str">
            <v>EXTINS147</v>
          </cell>
          <cell r="B3716" t="str">
            <v>FORNECIMENTO E APLICAÇÃO DE PISO CORODUR</v>
          </cell>
          <cell r="C3716" t="str">
            <v>M2</v>
          </cell>
          <cell r="D3716">
            <v>25.1</v>
          </cell>
        </row>
        <row r="3717">
          <cell r="A3717" t="str">
            <v>EXTINS148</v>
          </cell>
          <cell r="B3717" t="str">
            <v>COMPORTA EM FIBRA DE VIDRO ESTRUTURADO COM VOLANTE 120X120CM</v>
          </cell>
          <cell r="C3717" t="str">
            <v>UN</v>
          </cell>
          <cell r="D3717">
            <v>1523.78</v>
          </cell>
        </row>
        <row r="3718">
          <cell r="A3718" t="str">
            <v>EXTINS149</v>
          </cell>
          <cell r="B3718" t="str">
            <v>COMPORTA EM FIBRA DE VIDRO ESTRUTURADO COM VOLANTE 50X60CM</v>
          </cell>
          <cell r="C3718" t="str">
            <v>UN</v>
          </cell>
          <cell r="D3718">
            <v>317.45</v>
          </cell>
        </row>
        <row r="3719">
          <cell r="A3719" t="str">
            <v>EXTINS150</v>
          </cell>
          <cell r="B3719" t="str">
            <v>ESTRUT.METÁL. P/COBERT.EM TELHA DE ALUMÍNIO VÃO MAX. 5,0 M PRONTA</v>
          </cell>
          <cell r="C3719" t="str">
            <v>M2</v>
          </cell>
          <cell r="D3719">
            <v>38</v>
          </cell>
        </row>
        <row r="3720">
          <cell r="A3720" t="str">
            <v>EXTINS151</v>
          </cell>
          <cell r="B3720" t="str">
            <v>FORNEC. E APLICAÇ.DE TELHA DE ALUMÍNIO TRAPEZ.,SOBRE EST. MET.</v>
          </cell>
          <cell r="C3720" t="str">
            <v>M3</v>
          </cell>
          <cell r="D3720">
            <v>25</v>
          </cell>
        </row>
        <row r="3721">
          <cell r="A3721" t="str">
            <v>EXTINS152</v>
          </cell>
          <cell r="B3721" t="str">
            <v xml:space="preserve">DISCO DE DESBASTE </v>
          </cell>
          <cell r="C3721" t="str">
            <v>UN</v>
          </cell>
          <cell r="D3721">
            <v>3</v>
          </cell>
        </row>
        <row r="3722">
          <cell r="A3722" t="str">
            <v>EXTINS153</v>
          </cell>
          <cell r="B3722" t="str">
            <v>DILUENTE 499  RENNER HERMANN</v>
          </cell>
          <cell r="C3722" t="str">
            <v>L</v>
          </cell>
          <cell r="D3722">
            <v>8.4600000000000009</v>
          </cell>
        </row>
        <row r="3723">
          <cell r="A3723" t="str">
            <v>EXTINS154</v>
          </cell>
          <cell r="B3723" t="str">
            <v>FUNDO EPOXI ISOCIANATO REVRAN PAA 540</v>
          </cell>
          <cell r="C3723" t="str">
            <v>L</v>
          </cell>
          <cell r="D3723">
            <v>28.78</v>
          </cell>
        </row>
        <row r="3724">
          <cell r="A3724" t="str">
            <v>EXTINS155</v>
          </cell>
          <cell r="B3724" t="str">
            <v>RECOFREN FAL 691 RENER HERMANN</v>
          </cell>
          <cell r="C3724" t="str">
            <v>L</v>
          </cell>
          <cell r="D3724">
            <v>26.99</v>
          </cell>
        </row>
        <row r="3725">
          <cell r="A3725" t="str">
            <v>EXTINS156</v>
          </cell>
          <cell r="B3725" t="str">
            <v>PARAFUSO DE EXPANSÃO DN 1/2''X15CM</v>
          </cell>
          <cell r="C3725" t="str">
            <v>UN</v>
          </cell>
          <cell r="D3725">
            <v>3.73</v>
          </cell>
        </row>
        <row r="3726">
          <cell r="A3726" t="str">
            <v>EXTINS157</v>
          </cell>
          <cell r="B3726" t="str">
            <v xml:space="preserve">BRAÇADEIRA DE AÇO, TIPO D 1/4''X 2'' X 500 MM, C/ ABAS DE 20CM </v>
          </cell>
          <cell r="C3726" t="str">
            <v>UN</v>
          </cell>
          <cell r="D3726">
            <v>13.8</v>
          </cell>
        </row>
        <row r="3727">
          <cell r="A3727" t="str">
            <v>EXTINS158</v>
          </cell>
          <cell r="B3727" t="str">
            <v xml:space="preserve">FORN. E APLICAÇÃO DE IMPERMEABILIZAÇÃO COM K11-KZ </v>
          </cell>
          <cell r="C3727" t="str">
            <v>M2</v>
          </cell>
          <cell r="D3727">
            <v>16.5</v>
          </cell>
        </row>
        <row r="3728">
          <cell r="A3728" t="str">
            <v>EXTINS159</v>
          </cell>
          <cell r="B3728" t="str">
            <v>VIAFIX</v>
          </cell>
          <cell r="C3728" t="str">
            <v>KG</v>
          </cell>
          <cell r="D3728">
            <v>8.19</v>
          </cell>
        </row>
        <row r="3729">
          <cell r="A3729">
            <v>121900326</v>
          </cell>
          <cell r="B3729" t="str">
            <v>VIAPLUS 1000</v>
          </cell>
          <cell r="C3729" t="str">
            <v>KG</v>
          </cell>
          <cell r="D3729">
            <v>2.5099999999999998</v>
          </cell>
        </row>
        <row r="3730">
          <cell r="A3730">
            <v>121900327</v>
          </cell>
          <cell r="B3730" t="str">
            <v>VIAPLUS 5000</v>
          </cell>
          <cell r="C3730" t="str">
            <v>KG</v>
          </cell>
          <cell r="D3730">
            <v>8.6</v>
          </cell>
        </row>
        <row r="3731">
          <cell r="A3731" t="str">
            <v>EXTINS162</v>
          </cell>
          <cell r="B3731" t="str">
            <v xml:space="preserve">ARBUSTO EM MUDA H = 50CM </v>
          </cell>
          <cell r="C3731" t="str">
            <v>UN</v>
          </cell>
          <cell r="D3731">
            <v>1.5</v>
          </cell>
        </row>
        <row r="3732">
          <cell r="A3732" t="str">
            <v>EXTINS163</v>
          </cell>
          <cell r="B3732" t="str">
            <v xml:space="preserve">STOP LOG  EM FIBRA DE VIDRO ESTRUTURADO </v>
          </cell>
          <cell r="C3732" t="str">
            <v>UN</v>
          </cell>
          <cell r="D3732">
            <v>95</v>
          </cell>
        </row>
        <row r="3733">
          <cell r="A3733" t="str">
            <v>EXTINS164</v>
          </cell>
          <cell r="B3733" t="str">
            <v>PEITORIL DE GRANITO E = 2,5 CM L= 15CM C/ BORDAS ARREDONDADAS</v>
          </cell>
          <cell r="C3733" t="str">
            <v>M</v>
          </cell>
          <cell r="D3733">
            <v>24.9</v>
          </cell>
        </row>
        <row r="3734">
          <cell r="A3734" t="str">
            <v>EXTINS165</v>
          </cell>
          <cell r="B3734" t="str">
            <v>CONJ.M.-BOMBA SUBM: Q=1,5 L/S, HM=45 MCA E P=1,5CV</v>
          </cell>
          <cell r="C3734" t="str">
            <v>CJ</v>
          </cell>
          <cell r="D3734">
            <v>1156.2</v>
          </cell>
        </row>
        <row r="3735">
          <cell r="A3735" t="str">
            <v>EXTINS166</v>
          </cell>
          <cell r="B3735" t="str">
            <v>CAIXA D AGUA CIMENTO AMIANTO 1000 L</v>
          </cell>
          <cell r="C3735" t="str">
            <v>UN</v>
          </cell>
          <cell r="D3735">
            <v>168.75</v>
          </cell>
        </row>
        <row r="3736">
          <cell r="A3736" t="str">
            <v>EXTINS167</v>
          </cell>
          <cell r="B3736" t="str">
            <v>ESTRUTURA DE AÇO MONTADA E PINTADA C/ TINTA ANTICORROSIVA</v>
          </cell>
          <cell r="C3736" t="str">
            <v>KG</v>
          </cell>
          <cell r="D3736">
            <v>3.85</v>
          </cell>
        </row>
        <row r="3737">
          <cell r="A3737" t="str">
            <v>EXTINS168</v>
          </cell>
          <cell r="B3737" t="str">
            <v>ESTACA MOLDADA IN LOCO TIPO ESTRAUS DN 25 CM</v>
          </cell>
          <cell r="C3737" t="str">
            <v>M</v>
          </cell>
          <cell r="D3737">
            <v>19.5</v>
          </cell>
        </row>
        <row r="3738">
          <cell r="A3738" t="str">
            <v>EXTINS169</v>
          </cell>
          <cell r="B3738" t="str">
            <v xml:space="preserve">ESCORA DE EUCALIPTO DM 12 CM </v>
          </cell>
          <cell r="C3738" t="str">
            <v>UN</v>
          </cell>
        </row>
        <row r="3739">
          <cell r="A3739" t="str">
            <v>EXTINS170</v>
          </cell>
          <cell r="B3739" t="str">
            <v>ESPELHO 4 MM COM ACESSÓRIOS DE FIXAÇÃO</v>
          </cell>
          <cell r="C3739" t="str">
            <v>M2</v>
          </cell>
          <cell r="D3739">
            <v>80</v>
          </cell>
        </row>
        <row r="3740">
          <cell r="A3740" t="str">
            <v>EXTINS171</v>
          </cell>
          <cell r="B3740" t="str">
            <v>TAMPO DE AÇO INOX LISO</v>
          </cell>
          <cell r="C3740" t="str">
            <v>M2</v>
          </cell>
          <cell r="D3740">
            <v>168.98</v>
          </cell>
        </row>
        <row r="3741">
          <cell r="A3741" t="str">
            <v>EXTINS172</v>
          </cell>
          <cell r="B3741" t="str">
            <v>TOALHEIRO METÁLICO PARA TALHA DE PAPEL</v>
          </cell>
          <cell r="C3741" t="str">
            <v>UN</v>
          </cell>
          <cell r="D3741">
            <v>23</v>
          </cell>
        </row>
        <row r="3742">
          <cell r="A3742" t="str">
            <v>EXTINS173</v>
          </cell>
          <cell r="B3742" t="str">
            <v>CABIDE DE LOUÇA SIMPLES COM UM GANCHO</v>
          </cell>
          <cell r="C3742" t="str">
            <v>UN</v>
          </cell>
          <cell r="D3742">
            <v>4.5</v>
          </cell>
        </row>
        <row r="3743">
          <cell r="A3743" t="str">
            <v>EXTINS174</v>
          </cell>
          <cell r="B3743" t="str">
            <v>SOLEIRA DE ARDOSIA L E= 2,5 CM L= 15CM</v>
          </cell>
          <cell r="C3743" t="str">
            <v>M</v>
          </cell>
          <cell r="D3743">
            <v>8.75</v>
          </cell>
        </row>
        <row r="3744">
          <cell r="A3744" t="str">
            <v>EXTINS175</v>
          </cell>
          <cell r="B3744" t="str">
            <v>PEITORIL DE ARDOSIA L E= 2,5 CM L= 15CM</v>
          </cell>
          <cell r="C3744" t="str">
            <v>M</v>
          </cell>
          <cell r="D3744">
            <v>12.5</v>
          </cell>
        </row>
        <row r="3745">
          <cell r="A3745" t="str">
            <v>EXTINS176</v>
          </cell>
          <cell r="B3745" t="str">
            <v>DIVISÓRIA DE ARDÓSIA POLIDA NAS DUS FACES</v>
          </cell>
          <cell r="C3745" t="str">
            <v>M2</v>
          </cell>
          <cell r="D3745">
            <v>88.88</v>
          </cell>
        </row>
        <row r="3746">
          <cell r="A3746" t="str">
            <v>EXTINS177</v>
          </cell>
          <cell r="B3746" t="str">
            <v>PEDRA TIPO PÉ-DE-MOLEQUE</v>
          </cell>
          <cell r="C3746" t="str">
            <v>M2</v>
          </cell>
          <cell r="D3746">
            <v>2.73</v>
          </cell>
        </row>
        <row r="3747">
          <cell r="A3747" t="str">
            <v>EXTINS178</v>
          </cell>
          <cell r="B3747" t="str">
            <v xml:space="preserve">BRAÇADEIRA DE AÇO, TIPO D 3/16'' X 700 MM, C/ ABAS DE 20CM </v>
          </cell>
          <cell r="C3747" t="str">
            <v>UN</v>
          </cell>
          <cell r="D3747">
            <v>19.32</v>
          </cell>
        </row>
        <row r="3748">
          <cell r="A3748" t="str">
            <v>EXTINS179</v>
          </cell>
          <cell r="B3748" t="str">
            <v>PLACA DE FIBRA DE VIDRO PARA DECANTADORES E= 8 MM</v>
          </cell>
          <cell r="C3748" t="str">
            <v>M2</v>
          </cell>
          <cell r="D3748">
            <v>224</v>
          </cell>
        </row>
        <row r="3749">
          <cell r="A3749" t="str">
            <v>EXTINS180</v>
          </cell>
          <cell r="B3749" t="str">
            <v>TALHA TIPO PERKRON INCL. ACESSORIOS E PARAFUSOS</v>
          </cell>
          <cell r="C3749" t="str">
            <v>M2</v>
          </cell>
          <cell r="D3749">
            <v>36.75</v>
          </cell>
        </row>
        <row r="3750">
          <cell r="A3750" t="str">
            <v>EXTINS181</v>
          </cell>
          <cell r="B3750" t="str">
            <v>FORNECIMENTO DE MATERIAL GRANULAR PARA FILTRO ICL. TRANSP. ATE GO</v>
          </cell>
          <cell r="C3750" t="str">
            <v>M3</v>
          </cell>
          <cell r="D3750">
            <v>132.5</v>
          </cell>
        </row>
        <row r="3751">
          <cell r="A3751" t="str">
            <v>EXTINS182</v>
          </cell>
          <cell r="B3751" t="str">
            <v>ALUGUEL DE MAQUINA DE DESENTUPIR TUBOS DE ESGOTO, POTENCIA DE 5 HP</v>
          </cell>
          <cell r="C3751" t="str">
            <v>HP</v>
          </cell>
          <cell r="D3751">
            <v>2.5</v>
          </cell>
        </row>
        <row r="3752">
          <cell r="A3752" t="str">
            <v>EXTINS183</v>
          </cell>
          <cell r="B3752" t="str">
            <v>TIRANTE DE AÇO DN 1'' L= 10 M</v>
          </cell>
          <cell r="C3752" t="str">
            <v>UN</v>
          </cell>
          <cell r="D3752">
            <v>22.78</v>
          </cell>
        </row>
        <row r="3753">
          <cell r="A3753" t="str">
            <v>EXTINS184</v>
          </cell>
          <cell r="B3753" t="str">
            <v xml:space="preserve">JUNTA DE DILATAÇÃO FUNGENBAND 0 - 22 CM </v>
          </cell>
          <cell r="C3753" t="str">
            <v>M</v>
          </cell>
          <cell r="D3753">
            <v>54.68</v>
          </cell>
        </row>
        <row r="3754">
          <cell r="A3754" t="str">
            <v>EXTINS185</v>
          </cell>
          <cell r="B3754" t="str">
            <v>MADEIRIT 12 MM PLASTIFICADO</v>
          </cell>
          <cell r="C3754" t="str">
            <v>M2</v>
          </cell>
          <cell r="D3754">
            <v>18.11</v>
          </cell>
        </row>
        <row r="3755">
          <cell r="A3755" t="str">
            <v>EXTINS186</v>
          </cell>
          <cell r="B3755" t="str">
            <v>LONA PLÁSTICA</v>
          </cell>
          <cell r="C3755" t="str">
            <v>M2</v>
          </cell>
          <cell r="D3755">
            <v>0.54</v>
          </cell>
        </row>
        <row r="3756">
          <cell r="A3756" t="str">
            <v>EXTINS187</v>
          </cell>
          <cell r="B3756" t="str">
            <v>MUDA DE BAMBÚ</v>
          </cell>
          <cell r="C3756" t="str">
            <v>UN</v>
          </cell>
          <cell r="D3756">
            <v>1.2</v>
          </cell>
        </row>
        <row r="3757">
          <cell r="A3757" t="str">
            <v>EXTINS188</v>
          </cell>
          <cell r="B3757" t="str">
            <v>CALHA PARSHALL EM FV 12"; C=1,642 M; L=0,58 M; LIN=0,38 M; H=0,48 M</v>
          </cell>
          <cell r="C3757" t="str">
            <v>UN</v>
          </cell>
          <cell r="D3757">
            <v>2000</v>
          </cell>
        </row>
        <row r="3758">
          <cell r="A3758" t="str">
            <v>EXTINS189</v>
          </cell>
          <cell r="B3758" t="str">
            <v>CANALETA DE CONCRETO SIMPLES MEIA CANA DN 200</v>
          </cell>
          <cell r="C3758" t="str">
            <v>M</v>
          </cell>
          <cell r="D3758">
            <v>5.56</v>
          </cell>
        </row>
        <row r="3759">
          <cell r="A3759" t="str">
            <v>EXTINS190</v>
          </cell>
          <cell r="B3759" t="str">
            <v>IMPRIMAÇÃO COM CM 30</v>
          </cell>
          <cell r="C3759" t="str">
            <v>M2</v>
          </cell>
          <cell r="D3759">
            <v>0.14000000000000001</v>
          </cell>
        </row>
        <row r="3760">
          <cell r="A3760" t="str">
            <v>EXTINS191</v>
          </cell>
          <cell r="B3760" t="str">
            <v>CHAPA EM FIBRA DE VIDRO ESTRUTURADA E =5 MM</v>
          </cell>
          <cell r="C3760" t="str">
            <v>M2</v>
          </cell>
          <cell r="D3760">
            <v>119.88</v>
          </cell>
        </row>
        <row r="3761">
          <cell r="A3761" t="str">
            <v>EXTINS192</v>
          </cell>
          <cell r="B3761" t="str">
            <v>FOSTAR P233</v>
          </cell>
          <cell r="C3761" t="str">
            <v>L</v>
          </cell>
          <cell r="D3761">
            <v>29.78</v>
          </cell>
        </row>
        <row r="3762">
          <cell r="A3762" t="str">
            <v>EXTINS193</v>
          </cell>
          <cell r="B3762" t="str">
            <v>SOLVENTE 906</v>
          </cell>
          <cell r="C3762" t="str">
            <v>L</v>
          </cell>
          <cell r="D3762">
            <v>10</v>
          </cell>
        </row>
        <row r="3763">
          <cell r="A3763" t="str">
            <v>EXTINS194</v>
          </cell>
          <cell r="B3763" t="str">
            <v>ANEL PRE-MOLDADO PARA PV</v>
          </cell>
          <cell r="C3763" t="str">
            <v>UN</v>
          </cell>
          <cell r="D3763">
            <v>23.5</v>
          </cell>
        </row>
        <row r="3764">
          <cell r="A3764" t="str">
            <v>EXTINS195</v>
          </cell>
          <cell r="B3764" t="str">
            <v>TAMPÃO PRE-MOLDADO PARA PV</v>
          </cell>
          <cell r="C3764" t="str">
            <v>UN</v>
          </cell>
          <cell r="D3764">
            <v>27.34</v>
          </cell>
        </row>
        <row r="3765">
          <cell r="A3765" t="str">
            <v>EXTINS196</v>
          </cell>
          <cell r="B3765" t="str">
            <v>COMPORTA DE MADEIRA DE LEI E= 0,03 M</v>
          </cell>
          <cell r="C3765" t="str">
            <v>UN</v>
          </cell>
          <cell r="D3765">
            <v>22.91</v>
          </cell>
        </row>
        <row r="3766">
          <cell r="A3766" t="str">
            <v>EXTINS197</v>
          </cell>
          <cell r="B3766" t="str">
            <v>SIKA TOP 107</v>
          </cell>
          <cell r="C3766" t="str">
            <v>KG</v>
          </cell>
          <cell r="D3766">
            <v>3.64</v>
          </cell>
        </row>
        <row r="3767">
          <cell r="A3767" t="str">
            <v>EXTINS198</v>
          </cell>
          <cell r="B3767" t="str">
            <v>ESCADA MARINH.ALUM. TUBO DN 40 MM, P/ FIXAÇÃO C/ PARAFUSOS L = 40 CM</v>
          </cell>
          <cell r="C3767" t="str">
            <v>M</v>
          </cell>
          <cell r="D3767">
            <v>80</v>
          </cell>
        </row>
        <row r="3768">
          <cell r="A3768" t="str">
            <v>EXTINS199</v>
          </cell>
          <cell r="B3768" t="str">
            <v>LETREIRO EM PAREDE FEITO A PINCEL</v>
          </cell>
          <cell r="C3768" t="str">
            <v>M2</v>
          </cell>
          <cell r="D3768">
            <v>28.5</v>
          </cell>
        </row>
        <row r="3769">
          <cell r="A3769" t="str">
            <v>EXTINS200</v>
          </cell>
          <cell r="B3769" t="str">
            <v>GUICHE EM CANTONEIRA COM GRADE PARA VIDRO, COLOCADO</v>
          </cell>
          <cell r="C3769" t="str">
            <v>M2</v>
          </cell>
          <cell r="D3769">
            <v>156</v>
          </cell>
        </row>
        <row r="3770">
          <cell r="A3770" t="str">
            <v>EXTINS201</v>
          </cell>
          <cell r="B3770" t="str">
            <v>BRAÇADEIRA DE AÇO, TIPO D FERRO CHATO,  5/8''</v>
          </cell>
          <cell r="C3770" t="str">
            <v>UN</v>
          </cell>
          <cell r="D3770">
            <v>5.7</v>
          </cell>
        </row>
        <row r="3771">
          <cell r="A3771" t="str">
            <v>EXTINS202</v>
          </cell>
          <cell r="B3771" t="str">
            <v>MODULAÇÃO DAS TAMPA DE CONCRETO DAS CANALETAS DE CABOS</v>
          </cell>
          <cell r="C3771" t="str">
            <v>UN</v>
          </cell>
          <cell r="D3771">
            <v>28.07</v>
          </cell>
        </row>
        <row r="3772">
          <cell r="A3772" t="str">
            <v>EXTINS203</v>
          </cell>
          <cell r="B3772" t="str">
            <v>MONT. DE ENSECADEIRA DE AÇO 3/8'' CONTRAVENTADA C/ PERFIL  I  6'' X 3/38'' E ATIR. C/ BABO DE AÇO 1/2''</v>
          </cell>
          <cell r="C3772" t="str">
            <v>UN</v>
          </cell>
          <cell r="D3772">
            <v>2116.8000000000002</v>
          </cell>
        </row>
        <row r="3773">
          <cell r="A3773" t="str">
            <v>EXTINS204</v>
          </cell>
          <cell r="B3773" t="str">
            <v>CHAPA ANTEDERRAPANTE PARA PISO E= 3 MM</v>
          </cell>
          <cell r="C3773" t="str">
            <v>M2</v>
          </cell>
          <cell r="D3773">
            <v>66.81</v>
          </cell>
        </row>
        <row r="3774">
          <cell r="A3774" t="str">
            <v>EXTINS205</v>
          </cell>
          <cell r="B3774" t="str">
            <v>CHINCANA EM MADEIRA DE LEI = 1,5CM</v>
          </cell>
          <cell r="C3774" t="str">
            <v>UN</v>
          </cell>
          <cell r="D3774">
            <v>20.51</v>
          </cell>
        </row>
        <row r="3775">
          <cell r="A3775" t="str">
            <v>EXTINS206</v>
          </cell>
          <cell r="B3775" t="str">
            <v>ANCORAGEM EM PERFIL METÁLICO CONFORME PROJETO -ELEV. ITAUÇU</v>
          </cell>
          <cell r="C3775" t="str">
            <v>UN</v>
          </cell>
          <cell r="D3775">
            <v>18</v>
          </cell>
        </row>
        <row r="3776">
          <cell r="A3776" t="str">
            <v>EXTINS207</v>
          </cell>
          <cell r="B3776" t="str">
            <v>COMPORTA METÁLICA REFORÇADA INC/ CANTONEIRAS GUIAS</v>
          </cell>
          <cell r="C3776" t="str">
            <v>M2</v>
          </cell>
          <cell r="D3776">
            <v>180</v>
          </cell>
        </row>
        <row r="3777">
          <cell r="A3777" t="str">
            <v>EXTINS208</v>
          </cell>
          <cell r="B3777" t="str">
            <v>BRAÇ. TIPO ''D'' EM CHAPA E= 5/8'', L= 21/2''; DN 800 MM, ABAS 15 CM</v>
          </cell>
          <cell r="C3777" t="str">
            <v>UN</v>
          </cell>
          <cell r="D3777">
            <v>67</v>
          </cell>
        </row>
        <row r="3778">
          <cell r="A3778" t="str">
            <v>EXTINS209</v>
          </cell>
          <cell r="B3778" t="str">
            <v>TRAVESSIA POR MÉTODO NÃO DESTRUTIVO DN 900 MM</v>
          </cell>
          <cell r="C3778" t="str">
            <v>M</v>
          </cell>
          <cell r="D3778">
            <v>1173.83</v>
          </cell>
        </row>
        <row r="3779">
          <cell r="A3779" t="str">
            <v>EXTINS210</v>
          </cell>
          <cell r="B3779" t="str">
            <v>TRAVESSIA POR MÉTODO NÃO DESTRUTIVO DN 1200 MM</v>
          </cell>
          <cell r="C3779" t="str">
            <v>M</v>
          </cell>
          <cell r="D3779">
            <v>1529</v>
          </cell>
        </row>
        <row r="3780">
          <cell r="A3780" t="str">
            <v>EXTINS211</v>
          </cell>
          <cell r="B3780" t="str">
            <v>TRAVESSIA POR MÉTODO NÃO DESTRUTIVO DN 1500 MM</v>
          </cell>
          <cell r="C3780" t="str">
            <v>M</v>
          </cell>
          <cell r="D3780">
            <v>2005</v>
          </cell>
        </row>
        <row r="3781">
          <cell r="A3781" t="str">
            <v>EXTINS212</v>
          </cell>
          <cell r="B3781" t="str">
            <v>Grelha 400x400mm, ferro de construção malha 50x50</v>
          </cell>
          <cell r="C3781" t="str">
            <v>UN</v>
          </cell>
          <cell r="D3781">
            <v>14.4</v>
          </cell>
        </row>
        <row r="3782">
          <cell r="A3782" t="str">
            <v>EXTINS213</v>
          </cell>
          <cell r="B3782" t="str">
            <v>Módulo de escada (3 degraus)</v>
          </cell>
          <cell r="C3782" t="str">
            <v>un</v>
          </cell>
          <cell r="D3782">
            <v>14.55</v>
          </cell>
        </row>
        <row r="3783">
          <cell r="A3783" t="str">
            <v>EXTINS214</v>
          </cell>
          <cell r="B3783" t="str">
            <v>Módulo de escada (2 degraus)</v>
          </cell>
          <cell r="C3783" t="str">
            <v>un</v>
          </cell>
          <cell r="D3783">
            <v>9.6999999999999993</v>
          </cell>
        </row>
        <row r="3784">
          <cell r="A3784" t="str">
            <v>EXTINS215</v>
          </cell>
          <cell r="B3784" t="str">
            <v>Tampão de rua - padrão Saneago Ø 900 mm (Ferro Dúctul)</v>
          </cell>
          <cell r="C3784" t="str">
            <v>un</v>
          </cell>
        </row>
        <row r="3785">
          <cell r="A3785" t="str">
            <v>EXTINS216</v>
          </cell>
          <cell r="B3785" t="str">
            <v xml:space="preserve">Flange cega Ø 24" chapa 1/2" c/ alças Ø 5/8" e furação PN (Aço Carbono) </v>
          </cell>
          <cell r="C3785" t="str">
            <v>un</v>
          </cell>
          <cell r="D3785">
            <v>720</v>
          </cell>
        </row>
        <row r="3786">
          <cell r="A3786" t="str">
            <v>EXTINS217</v>
          </cell>
          <cell r="B3786" t="str">
            <v>Tampão e caixa para haste de registro (Ferro Dúctil)</v>
          </cell>
          <cell r="C3786" t="str">
            <v>un</v>
          </cell>
          <cell r="D3786">
            <v>143</v>
          </cell>
        </row>
        <row r="3787">
          <cell r="A3787" t="str">
            <v>EXTINS218</v>
          </cell>
          <cell r="B3787" t="str">
            <v>Grade de ferro de construção Ø 1/2" - malha 20 x 20 mm</v>
          </cell>
          <cell r="C3787" t="str">
            <v>un</v>
          </cell>
          <cell r="D3787">
            <v>28</v>
          </cell>
        </row>
        <row r="3788">
          <cell r="A3788" t="str">
            <v>EXTINS219</v>
          </cell>
        </row>
        <row r="3789">
          <cell r="A3789" t="str">
            <v>EXTINS220</v>
          </cell>
        </row>
        <row r="3790">
          <cell r="A3790" t="str">
            <v>EXTINS221</v>
          </cell>
        </row>
      </sheetData>
      <sheetData sheetId="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CRONOGRAMA"/>
      <sheetName val="mat1ª cat (2)"/>
      <sheetName val="PORIGINAL"/>
      <sheetName val="Plan1"/>
      <sheetName val="Plan2"/>
      <sheetName val="MEMÓRIA A"/>
      <sheetName val="ORÇAMENTO A"/>
      <sheetName val="ORÇAMENTO B"/>
      <sheetName val="MEMÓRIA B"/>
      <sheetName val="mat1ª_cat_(2)"/>
      <sheetName val="MEMÓRIA_A"/>
      <sheetName val="ORÇAMENTO_A"/>
      <sheetName val="ORÇAMENTO_B"/>
      <sheetName val="MEMÓRIA_B"/>
    </sheetNames>
    <sheetDataSet>
      <sheetData sheetId="0"/>
      <sheetData sheetId="1"/>
      <sheetData sheetId="2"/>
      <sheetData sheetId="3" refreshError="1">
        <row r="1">
          <cell r="B1" t="str">
            <v xml:space="preserve">                     PREFEITURA MUNICIPAL DE GOIÂNIA</v>
          </cell>
        </row>
        <row r="2">
          <cell r="B2" t="str">
            <v xml:space="preserve">                     DEPARTAMENTO DE  ESTRADAS E RODAGEM DO MUNICÍPIO DE GOIÂNIA</v>
          </cell>
        </row>
        <row r="4">
          <cell r="C4" t="str">
            <v>ITEM</v>
          </cell>
          <cell r="D4" t="str">
            <v>DISCRIMINAÇÃO DOS SERVIÇOS</v>
          </cell>
          <cell r="E4" t="str">
            <v>UNIDADE</v>
          </cell>
          <cell r="F4" t="str">
            <v>PREÇO</v>
          </cell>
          <cell r="G4" t="str">
            <v>PREÇO</v>
          </cell>
        </row>
        <row r="5">
          <cell r="F5" t="str">
            <v>UNITÁRIO</v>
          </cell>
          <cell r="G5" t="str">
            <v>UNITÁRIO -ATUAL</v>
          </cell>
        </row>
        <row r="7">
          <cell r="C7"/>
        </row>
        <row r="8">
          <cell r="C8" t="str">
            <v>1.</v>
          </cell>
          <cell r="D8" t="str">
            <v xml:space="preserve"> TERRAPLENAGEM </v>
          </cell>
        </row>
        <row r="9">
          <cell r="C9" t="str">
            <v>1.1</v>
          </cell>
          <cell r="D9" t="str">
            <v xml:space="preserve"> Serviço topográfico e acompanhamento</v>
          </cell>
          <cell r="E9" t="str">
            <v>m²</v>
          </cell>
          <cell r="F9">
            <v>0.15</v>
          </cell>
          <cell r="G9">
            <v>0.18</v>
          </cell>
        </row>
        <row r="10">
          <cell r="C10" t="str">
            <v>1.2</v>
          </cell>
          <cell r="D10" t="str">
            <v xml:space="preserve"> Desmatamento, destocamento e limpeza  </v>
          </cell>
          <cell r="E10" t="str">
            <v>m²</v>
          </cell>
          <cell r="F10">
            <v>0.14000000000000001</v>
          </cell>
          <cell r="G10">
            <v>0.17</v>
          </cell>
        </row>
        <row r="11">
          <cell r="C11" t="str">
            <v>1.3</v>
          </cell>
          <cell r="D11" t="str">
            <v xml:space="preserve"> Transporte de material para distancia &lt;= 5 Km</v>
          </cell>
          <cell r="E11" t="str">
            <v>m³</v>
          </cell>
          <cell r="F11">
            <v>2.3199999999999998</v>
          </cell>
          <cell r="G11">
            <v>2.8</v>
          </cell>
        </row>
        <row r="12">
          <cell r="C12" t="str">
            <v>1.4</v>
          </cell>
          <cell r="D12" t="str">
            <v xml:space="preserve"> Transp. de material para distancia superior a 5 Km (DMT=10Km)</v>
          </cell>
          <cell r="E12" t="str">
            <v>m³xKm</v>
          </cell>
          <cell r="F12">
            <v>0.38</v>
          </cell>
          <cell r="G12">
            <v>0.46</v>
          </cell>
        </row>
        <row r="13">
          <cell r="C13" t="str">
            <v>1.5</v>
          </cell>
          <cell r="D13" t="str">
            <v xml:space="preserve"> Escavação  e  carga  de  material  de  1a  categoria em corte</v>
          </cell>
          <cell r="E13" t="str">
            <v>m³</v>
          </cell>
          <cell r="F13">
            <v>2.64</v>
          </cell>
          <cell r="G13">
            <v>3.18</v>
          </cell>
        </row>
        <row r="14">
          <cell r="C14" t="str">
            <v>1.6</v>
          </cell>
          <cell r="D14" t="str">
            <v xml:space="preserve"> Descarga e espalh. de mat. de 1a categ., em área de bota-fora</v>
          </cell>
          <cell r="E14" t="str">
            <v>m³</v>
          </cell>
          <cell r="F14">
            <v>0.78</v>
          </cell>
          <cell r="G14">
            <v>0.94</v>
          </cell>
        </row>
        <row r="15">
          <cell r="C15" t="str">
            <v>1.7</v>
          </cell>
          <cell r="D15" t="str">
            <v xml:space="preserve"> Escavação e carga de material jazida de 1a categ. para aterro</v>
          </cell>
          <cell r="E15" t="str">
            <v>m³</v>
          </cell>
          <cell r="F15">
            <v>2.0499999999999998</v>
          </cell>
          <cell r="G15">
            <v>2.4700000000000002</v>
          </cell>
        </row>
        <row r="16">
          <cell r="C16" t="str">
            <v>1.8</v>
          </cell>
          <cell r="D16" t="str">
            <v xml:space="preserve"> Transp. de material de jazida, com distancia de aprox. 30 Km</v>
          </cell>
          <cell r="E16" t="str">
            <v>m³xKm</v>
          </cell>
          <cell r="F16">
            <v>0.48</v>
          </cell>
          <cell r="G16">
            <v>0.57999999999999996</v>
          </cell>
        </row>
        <row r="17">
          <cell r="C17" t="str">
            <v>1.9</v>
          </cell>
          <cell r="D17" t="str">
            <v xml:space="preserve"> Aquisição de material de jazida para aterro</v>
          </cell>
          <cell r="E17" t="str">
            <v>m³</v>
          </cell>
          <cell r="F17">
            <v>1.36</v>
          </cell>
          <cell r="G17">
            <v>1.64</v>
          </cell>
        </row>
        <row r="18">
          <cell r="C18" t="str">
            <v>1.10</v>
          </cell>
          <cell r="D18" t="str">
            <v xml:space="preserve"> Espalhamento e compactação de aterros a 95% P.N.</v>
          </cell>
          <cell r="E18" t="str">
            <v>m³</v>
          </cell>
          <cell r="F18">
            <v>2.15</v>
          </cell>
          <cell r="G18">
            <v>2.59</v>
          </cell>
        </row>
        <row r="19">
          <cell r="C19" t="str">
            <v>1.11</v>
          </cell>
          <cell r="D19" t="str">
            <v xml:space="preserve"> Espalhamento e compactação de aterros a 100% P.N.</v>
          </cell>
          <cell r="E19" t="str">
            <v>m³</v>
          </cell>
          <cell r="F19">
            <v>2.4700000000000002</v>
          </cell>
          <cell r="G19">
            <v>2.98</v>
          </cell>
        </row>
        <row r="20">
          <cell r="C20" t="str">
            <v>1.12</v>
          </cell>
          <cell r="D20" t="str">
            <v xml:space="preserve"> Execução de aterros compactados c/ socadores manuais</v>
          </cell>
          <cell r="E20" t="str">
            <v>m³</v>
          </cell>
          <cell r="F20">
            <v>7.99</v>
          </cell>
          <cell r="G20">
            <v>9.6300000000000008</v>
          </cell>
        </row>
        <row r="21">
          <cell r="C21" t="str">
            <v>1.13</v>
          </cell>
          <cell r="D21" t="str">
            <v xml:space="preserve"> Execução de aterros compac. c/ compactador 95% P.N.</v>
          </cell>
          <cell r="E21" t="str">
            <v>m³</v>
          </cell>
          <cell r="F21">
            <v>3.22</v>
          </cell>
          <cell r="G21">
            <v>3.88</v>
          </cell>
        </row>
        <row r="22">
          <cell r="C22" t="str">
            <v>1.14</v>
          </cell>
          <cell r="D22" t="str">
            <v xml:space="preserve"> Execução de aterros dos canteiros e bermas, c/ mat. destinadoa bota-fora,  compact. c/ passadas do equipamento de transp.</v>
          </cell>
          <cell r="E22" t="str">
            <v>m³</v>
          </cell>
          <cell r="F22">
            <v>1.99</v>
          </cell>
          <cell r="G22">
            <v>2.4</v>
          </cell>
        </row>
        <row r="23">
          <cell r="D23" t="str">
            <v xml:space="preserve"> TOTAL DO ITEM 1.</v>
          </cell>
          <cell r="F23" t="str">
            <v>R$</v>
          </cell>
          <cell r="G23" t="str">
            <v>R$</v>
          </cell>
        </row>
        <row r="25">
          <cell r="C25" t="str">
            <v>2.</v>
          </cell>
          <cell r="D25" t="str">
            <v xml:space="preserve"> PAVIMENTAÇÃO</v>
          </cell>
        </row>
        <row r="26">
          <cell r="C26" t="str">
            <v>2.1</v>
          </cell>
          <cell r="D26" t="str">
            <v xml:space="preserve"> Regularização do sub-leito, sem fornecto. do material</v>
          </cell>
          <cell r="E26" t="str">
            <v>m²</v>
          </cell>
          <cell r="F26">
            <v>0.42</v>
          </cell>
          <cell r="G26">
            <v>0.55000000000000004</v>
          </cell>
        </row>
        <row r="27">
          <cell r="C27" t="str">
            <v>2.2</v>
          </cell>
          <cell r="D27" t="str">
            <v xml:space="preserve"> Aquisição de material de jazida, para base e sub-base </v>
          </cell>
          <cell r="E27" t="str">
            <v>m³</v>
          </cell>
          <cell r="F27">
            <v>1.85</v>
          </cell>
          <cell r="G27">
            <v>2.44</v>
          </cell>
        </row>
        <row r="28">
          <cell r="C28" t="str">
            <v>2.3</v>
          </cell>
          <cell r="D28" t="str">
            <v xml:space="preserve"> Escavação e carga de material de jazida (solo laterítico)</v>
          </cell>
          <cell r="E28" t="str">
            <v>m³</v>
          </cell>
          <cell r="F28">
            <v>2.0099999999999998</v>
          </cell>
          <cell r="G28">
            <v>2.65</v>
          </cell>
        </row>
        <row r="29">
          <cell r="C29" t="str">
            <v>2.4</v>
          </cell>
          <cell r="D29" t="str">
            <v xml:space="preserve"> Transporte de material de jazida DT = 30 Km</v>
          </cell>
          <cell r="E29" t="str">
            <v>m³xKm</v>
          </cell>
          <cell r="F29">
            <v>0.43</v>
          </cell>
          <cell r="G29">
            <v>0.56999999999999995</v>
          </cell>
        </row>
        <row r="30">
          <cell r="C30" t="str">
            <v>2.5</v>
          </cell>
          <cell r="D30" t="str">
            <v xml:space="preserve"> Base estabilizada granulometricamente com utilização de solos lateríticos</v>
          </cell>
          <cell r="E30" t="str">
            <v>m³</v>
          </cell>
          <cell r="F30">
            <v>4.0599999999999996</v>
          </cell>
          <cell r="G30">
            <v>5.35</v>
          </cell>
        </row>
        <row r="31">
          <cell r="C31" t="str">
            <v xml:space="preserve"> 2.6</v>
          </cell>
          <cell r="D31" t="str">
            <v xml:space="preserve"> Imprimacao Impermeabilizante</v>
          </cell>
          <cell r="E31" t="str">
            <v>m²</v>
          </cell>
          <cell r="F31">
            <v>0.81</v>
          </cell>
          <cell r="G31">
            <v>1.07</v>
          </cell>
        </row>
        <row r="32">
          <cell r="C32" t="str">
            <v xml:space="preserve"> 2.7</v>
          </cell>
          <cell r="D32" t="str">
            <v xml:space="preserve"> Tratamento superficial duplo, com capa selante</v>
          </cell>
          <cell r="E32" t="str">
            <v>m²</v>
          </cell>
          <cell r="F32">
            <v>2.57</v>
          </cell>
          <cell r="G32">
            <v>3.39</v>
          </cell>
        </row>
        <row r="33">
          <cell r="C33" t="str">
            <v xml:space="preserve"> 2.8</v>
          </cell>
          <cell r="D33" t="str">
            <v xml:space="preserve"> Concreto  betuminoso  usinado  a  quente </v>
          </cell>
          <cell r="E33" t="str">
            <v>m³</v>
          </cell>
          <cell r="F33">
            <v>154.13999999999999</v>
          </cell>
          <cell r="G33">
            <v>203.06</v>
          </cell>
        </row>
        <row r="34">
          <cell r="C34" t="str">
            <v xml:space="preserve"> 2.9</v>
          </cell>
          <cell r="D34" t="str">
            <v xml:space="preserve"> Transporte de CBUQ para distancia media de  25 Km</v>
          </cell>
          <cell r="E34" t="str">
            <v>tXkm</v>
          </cell>
          <cell r="F34">
            <v>0.28000000000000003</v>
          </cell>
          <cell r="G34">
            <v>0.37</v>
          </cell>
        </row>
        <row r="35">
          <cell r="C35" t="str">
            <v xml:space="preserve"> 2.10</v>
          </cell>
          <cell r="D35" t="str">
            <v xml:space="preserve"> Remendo de pavimento estabilizado</v>
          </cell>
          <cell r="E35" t="str">
            <v>m³</v>
          </cell>
          <cell r="F35">
            <v>94.41</v>
          </cell>
          <cell r="G35">
            <v>124.38</v>
          </cell>
        </row>
        <row r="36">
          <cell r="C36" t="str">
            <v xml:space="preserve"> 2.11</v>
          </cell>
          <cell r="D36" t="str">
            <v xml:space="preserve"> Remendo de capa asfáltica</v>
          </cell>
          <cell r="E36" t="str">
            <v>t</v>
          </cell>
          <cell r="F36">
            <v>91.89</v>
          </cell>
          <cell r="G36">
            <v>121.06</v>
          </cell>
        </row>
        <row r="37">
          <cell r="D37" t="str">
            <v xml:space="preserve"> TOTAL DO ITEM 2</v>
          </cell>
          <cell r="F37" t="str">
            <v>R$</v>
          </cell>
          <cell r="G37" t="str">
            <v>R$</v>
          </cell>
        </row>
        <row r="38">
          <cell r="D38">
            <v>0</v>
          </cell>
          <cell r="E38"/>
          <cell r="F38">
            <v>0</v>
          </cell>
          <cell r="G38">
            <v>0</v>
          </cell>
        </row>
        <row r="39">
          <cell r="C39" t="str">
            <v xml:space="preserve"> 3</v>
          </cell>
          <cell r="D39" t="str">
            <v xml:space="preserve"> DRENAGEM E CANALIZAÇÃO</v>
          </cell>
          <cell r="E39">
            <v>0</v>
          </cell>
          <cell r="F39">
            <v>0</v>
          </cell>
          <cell r="G39">
            <v>0</v>
          </cell>
        </row>
        <row r="40">
          <cell r="C40" t="str">
            <v xml:space="preserve"> 3.1</v>
          </cell>
          <cell r="D40" t="str">
            <v xml:space="preserve"> Limpeza da faixa do córrego</v>
          </cell>
          <cell r="E40">
            <v>0</v>
          </cell>
          <cell r="F40">
            <v>0</v>
          </cell>
          <cell r="G40">
            <v>0</v>
          </cell>
        </row>
        <row r="41">
          <cell r="C41" t="str">
            <v xml:space="preserve"> 3.1.1</v>
          </cell>
          <cell r="D41" t="str">
            <v xml:space="preserve"> Limpeza e carga</v>
          </cell>
          <cell r="E41" t="str">
            <v>m²</v>
          </cell>
          <cell r="F41">
            <v>0.49</v>
          </cell>
          <cell r="G41">
            <v>0.56999999999999995</v>
          </cell>
        </row>
        <row r="42">
          <cell r="C42" t="str">
            <v xml:space="preserve"> 3.1.2</v>
          </cell>
          <cell r="D42" t="str">
            <v xml:space="preserve"> Transporte do material resultante da limpeza com distância  de ate 5 Km (vol. médio medido pela capacidade dos caminhões)</v>
          </cell>
          <cell r="E42" t="str">
            <v>m³</v>
          </cell>
          <cell r="F42">
            <v>2.27</v>
          </cell>
          <cell r="G42">
            <v>2.65</v>
          </cell>
        </row>
        <row r="43">
          <cell r="C43" t="str">
            <v xml:space="preserve"> 3.2</v>
          </cell>
          <cell r="D43" t="str">
            <v xml:space="preserve"> Escavação do canal</v>
          </cell>
          <cell r="E43">
            <v>0</v>
          </cell>
          <cell r="F43">
            <v>0</v>
          </cell>
          <cell r="G43">
            <v>0</v>
          </cell>
        </row>
        <row r="44">
          <cell r="C44" t="str">
            <v xml:space="preserve"> 3.2.1</v>
          </cell>
          <cell r="D44" t="str">
            <v xml:space="preserve"> Escavação e carga de material de 1p categ., com profundidade  de ate 3,0m, c/ emprego de escavadeira hidráulica</v>
          </cell>
          <cell r="E44" t="str">
            <v>m³</v>
          </cell>
          <cell r="F44">
            <v>5.07</v>
          </cell>
          <cell r="G44">
            <v>5.93</v>
          </cell>
        </row>
        <row r="45">
          <cell r="C45" t="str">
            <v xml:space="preserve"> 3.2.2</v>
          </cell>
          <cell r="D45" t="str">
            <v xml:space="preserve"> Escavação e carga de material de 2p categ., com utilização de  compressor e guincho.</v>
          </cell>
          <cell r="E45" t="str">
            <v>m³</v>
          </cell>
          <cell r="F45">
            <v>36.68</v>
          </cell>
          <cell r="G45">
            <v>42.89</v>
          </cell>
        </row>
        <row r="46">
          <cell r="C46" t="str">
            <v>3.2.3</v>
          </cell>
          <cell r="D46" t="str">
            <v xml:space="preserve"> Escavação de material de 3p categoria</v>
          </cell>
          <cell r="E46" t="str">
            <v>m³</v>
          </cell>
          <cell r="F46">
            <v>94.32</v>
          </cell>
          <cell r="G46">
            <v>110.3</v>
          </cell>
        </row>
        <row r="47">
          <cell r="C47" t="str">
            <v>3.2.4</v>
          </cell>
          <cell r="D47" t="str">
            <v xml:space="preserve"> Escavação e carga de solo mole, ate a profundidade de 3,0 m,  com emprego de escavadeira hidráulica</v>
          </cell>
          <cell r="E47" t="str">
            <v>m³</v>
          </cell>
          <cell r="F47">
            <v>6.44</v>
          </cell>
          <cell r="G47">
            <v>7.53</v>
          </cell>
        </row>
        <row r="48">
          <cell r="C48" t="str">
            <v>3.2.5</v>
          </cell>
          <cell r="D48" t="str">
            <v xml:space="preserve"> Carga de material de 1p e 2p categ., quando impossibilitada a  operação conjunta de escavação e carga</v>
          </cell>
          <cell r="E48" t="str">
            <v>m³</v>
          </cell>
          <cell r="F48">
            <v>1.59</v>
          </cell>
          <cell r="G48">
            <v>1.86</v>
          </cell>
        </row>
        <row r="49">
          <cell r="C49" t="str">
            <v xml:space="preserve"> 3.2.6</v>
          </cell>
          <cell r="D49" t="str">
            <v xml:space="preserve"> Carga de material de 3p categoria</v>
          </cell>
          <cell r="E49" t="str">
            <v>m³</v>
          </cell>
          <cell r="F49">
            <v>1.78</v>
          </cell>
          <cell r="G49">
            <v>2.08</v>
          </cell>
        </row>
        <row r="50">
          <cell r="D50">
            <v>0</v>
          </cell>
          <cell r="E50">
            <v>0</v>
          </cell>
          <cell r="F50">
            <v>0</v>
          </cell>
          <cell r="G50">
            <v>0</v>
          </cell>
        </row>
        <row r="51">
          <cell r="C51" t="str">
            <v xml:space="preserve"> 3.2.7</v>
          </cell>
          <cell r="D51" t="str">
            <v xml:space="preserve"> Transporte de material de 1p e 2p categ., resultante de escavação do canal, para distancia de ate 5 Km</v>
          </cell>
          <cell r="E51" t="str">
            <v>m³</v>
          </cell>
          <cell r="F51">
            <v>2.27</v>
          </cell>
          <cell r="G51">
            <v>2.65</v>
          </cell>
        </row>
        <row r="52">
          <cell r="C52" t="str">
            <v>3.2.8</v>
          </cell>
          <cell r="D52" t="str">
            <v xml:space="preserve"> Transporte de material de 1p e 2p categ., resultante de escavação do canal, para distancia superior a 5 Km</v>
          </cell>
          <cell r="E52" t="str">
            <v>m³xKm</v>
          </cell>
          <cell r="F52">
            <v>0.37</v>
          </cell>
          <cell r="G52">
            <v>0.43</v>
          </cell>
        </row>
        <row r="53">
          <cell r="C53" t="str">
            <v>3.2.9</v>
          </cell>
          <cell r="D53" t="str">
            <v xml:space="preserve"> Descarga e espalhamento na área do bota-fora, de material  resultante da escavação do canal</v>
          </cell>
          <cell r="E53" t="str">
            <v>m³</v>
          </cell>
          <cell r="F53">
            <v>0.77</v>
          </cell>
          <cell r="G53">
            <v>0.9</v>
          </cell>
        </row>
        <row r="54">
          <cell r="C54" t="str">
            <v xml:space="preserve"> 3.3</v>
          </cell>
          <cell r="D54" t="str">
            <v xml:space="preserve"> Escavação manual de valas, em material de 1p categ.,   com  profundidade de ate 2,0 m, p/ assentamento de tubos</v>
          </cell>
          <cell r="E54" t="str">
            <v>m³</v>
          </cell>
          <cell r="F54">
            <v>6.12</v>
          </cell>
          <cell r="G54">
            <v>7.16</v>
          </cell>
        </row>
        <row r="55">
          <cell r="C55" t="str">
            <v xml:space="preserve"> 3.4</v>
          </cell>
          <cell r="D55" t="str">
            <v xml:space="preserve"> Escavação mecânica de valas, em material de 1p categ.,   com  profundidade de ate 2,0 m, p/ assentamento de tubos</v>
          </cell>
          <cell r="E55" t="str">
            <v>m³</v>
          </cell>
          <cell r="F55">
            <v>2.11</v>
          </cell>
          <cell r="G55">
            <v>2.4700000000000002</v>
          </cell>
        </row>
        <row r="56">
          <cell r="C56" t="str">
            <v xml:space="preserve"> 3.5</v>
          </cell>
          <cell r="D56" t="str">
            <v xml:space="preserve"> Esgotamento de valas e cavas, c/ utilização de bombas</v>
          </cell>
          <cell r="E56" t="str">
            <v>HpxHr</v>
          </cell>
          <cell r="F56">
            <v>5.86</v>
          </cell>
          <cell r="G56">
            <v>6.85</v>
          </cell>
        </row>
        <row r="57">
          <cell r="C57" t="str">
            <v xml:space="preserve"> 3.6</v>
          </cell>
          <cell r="D57" t="str">
            <v xml:space="preserve"> Aquisição, escavação e carga de material de jazida p/ reaterro de valas e parte do canal</v>
          </cell>
          <cell r="E57" t="str">
            <v>m³</v>
          </cell>
          <cell r="F57">
            <v>4.12</v>
          </cell>
          <cell r="G57">
            <v>4.82</v>
          </cell>
        </row>
        <row r="58">
          <cell r="C58" t="str">
            <v xml:space="preserve"> 3.7</v>
          </cell>
          <cell r="D58" t="str">
            <v xml:space="preserve"> Reaterro de valas, compactado manualmente</v>
          </cell>
          <cell r="E58" t="str">
            <v>m³</v>
          </cell>
          <cell r="F58">
            <v>6.57</v>
          </cell>
          <cell r="G58">
            <v>7.68</v>
          </cell>
        </row>
        <row r="59">
          <cell r="C59" t="str">
            <v xml:space="preserve"> 3.8</v>
          </cell>
          <cell r="D59" t="str">
            <v xml:space="preserve"> Reaterro de valas, compactadas c/ compactador ate 95% PN</v>
          </cell>
          <cell r="E59" t="str">
            <v>m³</v>
          </cell>
          <cell r="F59">
            <v>2.66</v>
          </cell>
          <cell r="G59">
            <v>3.11</v>
          </cell>
        </row>
        <row r="60">
          <cell r="C60" t="str">
            <v xml:space="preserve"> 3.9</v>
          </cell>
          <cell r="D60" t="str">
            <v xml:space="preserve"> Escoramento de valas c/ pranchas de madeira do tipo aberto  para profundidade de ate 2,5 m</v>
          </cell>
          <cell r="E60" t="str">
            <v>m²</v>
          </cell>
          <cell r="F60">
            <v>6.28</v>
          </cell>
          <cell r="G60">
            <v>7.34</v>
          </cell>
        </row>
        <row r="61">
          <cell r="C61" t="str">
            <v xml:space="preserve"> 3.10</v>
          </cell>
          <cell r="D61" t="str">
            <v xml:space="preserve"> Escoramento de valas c/ pranchas de madeira do tipo fechado  para profundidade de ate 2,5 m</v>
          </cell>
          <cell r="E61" t="str">
            <v>m²</v>
          </cell>
          <cell r="F61">
            <v>11.29</v>
          </cell>
          <cell r="G61">
            <v>13.2</v>
          </cell>
        </row>
        <row r="62">
          <cell r="C62" t="str">
            <v xml:space="preserve"> 3.11</v>
          </cell>
          <cell r="D62" t="str">
            <v xml:space="preserve"> Estaca prancha n_x0014_ 5 fornecimento e escavação. estronca,  caixão I-8 longarina I-12</v>
          </cell>
          <cell r="E62" t="str">
            <v>m³</v>
          </cell>
          <cell r="F62">
            <v>74.41</v>
          </cell>
          <cell r="G62">
            <v>87.02</v>
          </cell>
        </row>
        <row r="63">
          <cell r="C63" t="str">
            <v xml:space="preserve"> 3.12</v>
          </cell>
          <cell r="D63" t="str">
            <v xml:space="preserve"> Fornecimento, transporte e assentamento de tubos de concreto  para drenagem</v>
          </cell>
          <cell r="E63">
            <v>0</v>
          </cell>
          <cell r="F63">
            <v>0</v>
          </cell>
          <cell r="G63">
            <v>0</v>
          </cell>
        </row>
        <row r="64">
          <cell r="C64" t="str">
            <v>3.12.1</v>
          </cell>
          <cell r="D64" t="str">
            <v xml:space="preserve"> Tipo diâmetro 300 mm p/ drenos</v>
          </cell>
          <cell r="E64" t="str">
            <v>m</v>
          </cell>
          <cell r="F64">
            <v>30.07</v>
          </cell>
          <cell r="G64">
            <v>35.159999999999997</v>
          </cell>
        </row>
        <row r="65">
          <cell r="C65" t="str">
            <v xml:space="preserve"> 3.12.2</v>
          </cell>
          <cell r="D65" t="str">
            <v xml:space="preserve"> Tipo CA-1 diâmetro 400 mm</v>
          </cell>
          <cell r="E65" t="str">
            <v>m</v>
          </cell>
          <cell r="F65">
            <v>25.67</v>
          </cell>
          <cell r="G65">
            <v>30.02</v>
          </cell>
        </row>
        <row r="66">
          <cell r="C66" t="str">
            <v xml:space="preserve"> 3.12.3</v>
          </cell>
          <cell r="D66" t="str">
            <v xml:space="preserve"> Tipo CA-1 diâmetro 600 mm</v>
          </cell>
          <cell r="E66" t="str">
            <v>m</v>
          </cell>
          <cell r="F66">
            <v>60.34</v>
          </cell>
          <cell r="G66">
            <v>70.56</v>
          </cell>
        </row>
        <row r="67">
          <cell r="C67" t="str">
            <v xml:space="preserve"> 3.12.4</v>
          </cell>
          <cell r="D67" t="str">
            <v xml:space="preserve"> Tipo CA-1 diâmetro 800 mm</v>
          </cell>
          <cell r="E67" t="str">
            <v>m</v>
          </cell>
          <cell r="F67">
            <v>86.35</v>
          </cell>
          <cell r="G67">
            <v>100.98</v>
          </cell>
        </row>
        <row r="68">
          <cell r="C68" t="str">
            <v xml:space="preserve"> 3.12.5</v>
          </cell>
          <cell r="D68" t="str">
            <v xml:space="preserve"> Tipo CA-1 diâmetro 1.000 mm</v>
          </cell>
          <cell r="E68" t="str">
            <v>m</v>
          </cell>
          <cell r="F68">
            <v>105.83</v>
          </cell>
          <cell r="G68">
            <v>123.76</v>
          </cell>
        </row>
        <row r="69">
          <cell r="C69" t="str">
            <v xml:space="preserve"> 3.12.6</v>
          </cell>
          <cell r="D69" t="str">
            <v xml:space="preserve"> Tipo CA-1 diâmetro 1.200 mm</v>
          </cell>
          <cell r="E69" t="str">
            <v>m</v>
          </cell>
          <cell r="F69">
            <v>223.9</v>
          </cell>
          <cell r="G69">
            <v>261.83</v>
          </cell>
        </row>
        <row r="70">
          <cell r="C70" t="str">
            <v xml:space="preserve"> 3.12.7</v>
          </cell>
          <cell r="D70" t="str">
            <v xml:space="preserve"> Tipo CA-1 diâmetro 1.500 mm</v>
          </cell>
          <cell r="E70" t="str">
            <v>m</v>
          </cell>
          <cell r="F70">
            <v>277.86</v>
          </cell>
          <cell r="G70">
            <v>324.93</v>
          </cell>
        </row>
        <row r="71">
          <cell r="C71" t="str">
            <v xml:space="preserve"> 3.13</v>
          </cell>
          <cell r="D71" t="str">
            <v xml:space="preserve"> Poço de Visita parte fixa c/ 1,0 m de altura, em alvenaria  de tijolos, para rede</v>
          </cell>
          <cell r="E71">
            <v>0</v>
          </cell>
          <cell r="F71">
            <v>0</v>
          </cell>
          <cell r="G71">
            <v>0</v>
          </cell>
        </row>
        <row r="72">
          <cell r="C72" t="str">
            <v xml:space="preserve"> 3.13.1</v>
          </cell>
          <cell r="D72" t="str">
            <v xml:space="preserve"> De diâmetro 600 mm</v>
          </cell>
          <cell r="E72" t="str">
            <v>Un</v>
          </cell>
          <cell r="F72">
            <v>288.3</v>
          </cell>
          <cell r="G72">
            <v>337.14</v>
          </cell>
        </row>
        <row r="73">
          <cell r="C73" t="str">
            <v xml:space="preserve"> 3.13.2</v>
          </cell>
          <cell r="D73" t="str">
            <v xml:space="preserve"> De diâmetro 800 mm</v>
          </cell>
          <cell r="E73" t="str">
            <v>Un</v>
          </cell>
          <cell r="F73">
            <v>598.83000000000004</v>
          </cell>
          <cell r="G73">
            <v>700.27</v>
          </cell>
        </row>
        <row r="74">
          <cell r="C74" t="str">
            <v xml:space="preserve"> 3.13.3</v>
          </cell>
          <cell r="D74" t="str">
            <v xml:space="preserve"> De diâmetro 1.000 mm</v>
          </cell>
          <cell r="E74" t="str">
            <v>Un</v>
          </cell>
          <cell r="F74">
            <v>705.42</v>
          </cell>
          <cell r="G74">
            <v>824.92</v>
          </cell>
        </row>
        <row r="75">
          <cell r="C75" t="str">
            <v xml:space="preserve"> 3.13.4</v>
          </cell>
          <cell r="D75" t="str">
            <v xml:space="preserve"> De diâmetro 1.200 mm</v>
          </cell>
          <cell r="E75" t="str">
            <v>Un</v>
          </cell>
          <cell r="F75">
            <v>938.76</v>
          </cell>
          <cell r="G75">
            <v>1097.79</v>
          </cell>
        </row>
        <row r="76">
          <cell r="C76" t="str">
            <v xml:space="preserve"> 3.13.5</v>
          </cell>
          <cell r="D76" t="str">
            <v xml:space="preserve"> De diâmetro 1.500 mm</v>
          </cell>
          <cell r="E76" t="str">
            <v>Un</v>
          </cell>
          <cell r="F76">
            <v>1173.6099999999999</v>
          </cell>
          <cell r="G76">
            <v>1372.42</v>
          </cell>
        </row>
        <row r="77">
          <cell r="C77" t="str">
            <v xml:space="preserve"> 3.14</v>
          </cell>
          <cell r="D77" t="str">
            <v xml:space="preserve"> Acréscimo na altura de PV para rede</v>
          </cell>
          <cell r="E77">
            <v>0</v>
          </cell>
          <cell r="F77">
            <v>0</v>
          </cell>
          <cell r="G77">
            <v>0</v>
          </cell>
        </row>
        <row r="78">
          <cell r="C78" t="str">
            <v xml:space="preserve"> 3.14.1</v>
          </cell>
          <cell r="D78" t="str">
            <v xml:space="preserve"> De diâmetro 600 mm</v>
          </cell>
          <cell r="E78" t="str">
            <v>m</v>
          </cell>
          <cell r="F78">
            <v>102.08</v>
          </cell>
          <cell r="G78">
            <v>119.37</v>
          </cell>
        </row>
        <row r="79">
          <cell r="C79" t="str">
            <v xml:space="preserve"> 3.14.2</v>
          </cell>
          <cell r="D79" t="str">
            <v xml:space="preserve"> De diâmetro 800 mm</v>
          </cell>
          <cell r="E79" t="str">
            <v>m</v>
          </cell>
          <cell r="F79">
            <v>211.54</v>
          </cell>
          <cell r="G79">
            <v>247.37</v>
          </cell>
        </row>
        <row r="80">
          <cell r="C80" t="str">
            <v xml:space="preserve"> 3.14.3</v>
          </cell>
          <cell r="D80" t="str">
            <v xml:space="preserve"> De diâmetro 1.000 mm</v>
          </cell>
          <cell r="E80" t="str">
            <v>m</v>
          </cell>
          <cell r="F80">
            <v>235.62</v>
          </cell>
          <cell r="G80">
            <v>275.52999999999997</v>
          </cell>
        </row>
        <row r="81">
          <cell r="C81" t="str">
            <v xml:space="preserve"> 3.14.4</v>
          </cell>
          <cell r="D81" t="str">
            <v xml:space="preserve"> De diâmetro 1.200 mm</v>
          </cell>
          <cell r="E81" t="str">
            <v>m</v>
          </cell>
          <cell r="F81">
            <v>333.19</v>
          </cell>
          <cell r="G81">
            <v>389.63</v>
          </cell>
        </row>
        <row r="82">
          <cell r="C82" t="str">
            <v xml:space="preserve"> 3.14.5</v>
          </cell>
          <cell r="D82" t="str">
            <v xml:space="preserve"> De diâmetro 1.500 mm</v>
          </cell>
          <cell r="E82" t="str">
            <v>m</v>
          </cell>
          <cell r="F82">
            <v>386.86</v>
          </cell>
          <cell r="G82">
            <v>452.39</v>
          </cell>
        </row>
        <row r="83">
          <cell r="C83" t="str">
            <v xml:space="preserve"> 3.15</v>
          </cell>
          <cell r="D83" t="str">
            <v xml:space="preserve"> Chaminé para poço de visita, inclusive tampão modelo DER-Mu</v>
          </cell>
          <cell r="E83" t="str">
            <v>m</v>
          </cell>
          <cell r="F83">
            <v>159.19999999999999</v>
          </cell>
          <cell r="G83">
            <v>186.17</v>
          </cell>
        </row>
        <row r="84">
          <cell r="C84" t="str">
            <v xml:space="preserve"> 3.16</v>
          </cell>
          <cell r="D84" t="str">
            <v xml:space="preserve"> Lastro de brita</v>
          </cell>
          <cell r="E84" t="str">
            <v>m³</v>
          </cell>
          <cell r="F84">
            <v>29.88</v>
          </cell>
          <cell r="G84">
            <v>34.94</v>
          </cell>
        </row>
        <row r="85">
          <cell r="C85" t="str">
            <v xml:space="preserve"> 3.17</v>
          </cell>
          <cell r="D85" t="str">
            <v xml:space="preserve"> Fornecimento e execução de muros de contenção em  gabiões no canal e encostas</v>
          </cell>
          <cell r="E85" t="str">
            <v>m³</v>
          </cell>
          <cell r="F85">
            <v>142.63999999999999</v>
          </cell>
          <cell r="G85">
            <v>166.8</v>
          </cell>
        </row>
        <row r="86">
          <cell r="C86" t="str">
            <v xml:space="preserve"> 3.18</v>
          </cell>
          <cell r="D86" t="str">
            <v xml:space="preserve"> Meio-fio de concreto moldado no local padrão DER-Mu</v>
          </cell>
          <cell r="E86" t="str">
            <v>m</v>
          </cell>
          <cell r="F86">
            <v>5.9</v>
          </cell>
          <cell r="G86">
            <v>6.9</v>
          </cell>
        </row>
        <row r="87">
          <cell r="C87" t="str">
            <v xml:space="preserve"> 3.19</v>
          </cell>
          <cell r="D87" t="str">
            <v xml:space="preserve"> Meio-fio e sarjeta de concreto moldado no local padrão DER-Mu</v>
          </cell>
          <cell r="E87" t="str">
            <v>m</v>
          </cell>
          <cell r="F87">
            <v>13.92</v>
          </cell>
          <cell r="G87">
            <v>16.28</v>
          </cell>
        </row>
        <row r="88">
          <cell r="C88" t="str">
            <v xml:space="preserve"> 3.20</v>
          </cell>
          <cell r="D88" t="str">
            <v xml:space="preserve"> Boca de lobo em concreto pre-moldado, modelo DER-Mu</v>
          </cell>
          <cell r="E88" t="str">
            <v>m</v>
          </cell>
          <cell r="F88">
            <v>150.63</v>
          </cell>
          <cell r="G88">
            <v>176.15</v>
          </cell>
        </row>
        <row r="89">
          <cell r="C89" t="str">
            <v xml:space="preserve"> 3.21</v>
          </cell>
          <cell r="D89" t="str">
            <v xml:space="preserve"> Meia-cana diâmetro 400 mm, p/ drenagem superficial,  instalação e fornecimento</v>
          </cell>
          <cell r="E89" t="str">
            <v>m</v>
          </cell>
          <cell r="F89">
            <v>24.11</v>
          </cell>
          <cell r="G89">
            <v>28.19</v>
          </cell>
        </row>
        <row r="90">
          <cell r="D90" t="str">
            <v xml:space="preserve"> TOTAL DO ITEM 3</v>
          </cell>
          <cell r="F90" t="str">
            <v>R$</v>
          </cell>
          <cell r="G90" t="str">
            <v>R$</v>
          </cell>
        </row>
        <row r="91">
          <cell r="D91">
            <v>0</v>
          </cell>
          <cell r="E91">
            <v>0</v>
          </cell>
          <cell r="F91">
            <v>0</v>
          </cell>
          <cell r="G91">
            <v>0</v>
          </cell>
        </row>
        <row r="92">
          <cell r="C92" t="str">
            <v xml:space="preserve"> 4</v>
          </cell>
          <cell r="D92" t="str">
            <v xml:space="preserve"> OBRAS DE ARTE ESPECIAIS</v>
          </cell>
          <cell r="E92">
            <v>0</v>
          </cell>
          <cell r="F92">
            <v>0</v>
          </cell>
          <cell r="G92">
            <v>0</v>
          </cell>
        </row>
        <row r="93">
          <cell r="C93" t="str">
            <v xml:space="preserve"> 4.1</v>
          </cell>
          <cell r="D93" t="str">
            <v xml:space="preserve"> Bueiros celulares</v>
          </cell>
          <cell r="E93" t="str">
            <v>VB</v>
          </cell>
        </row>
        <row r="94">
          <cell r="C94" t="str">
            <v xml:space="preserve"> 4.2</v>
          </cell>
          <cell r="D94" t="str">
            <v xml:space="preserve"> Passarelas em concreto armado</v>
          </cell>
          <cell r="E94" t="str">
            <v>VB</v>
          </cell>
        </row>
        <row r="95">
          <cell r="C95" t="str">
            <v xml:space="preserve"> 4.3</v>
          </cell>
          <cell r="D95" t="str">
            <v xml:space="preserve"> Cortinas de contenção em concreto armado</v>
          </cell>
          <cell r="E95" t="str">
            <v>VB</v>
          </cell>
        </row>
        <row r="96">
          <cell r="C96" t="str">
            <v xml:space="preserve"> 4.4</v>
          </cell>
          <cell r="D96" t="str">
            <v xml:space="preserve"> Ponte</v>
          </cell>
          <cell r="E96" t="str">
            <v>m²</v>
          </cell>
        </row>
        <row r="97">
          <cell r="C97" t="str">
            <v xml:space="preserve"> 4.4.1</v>
          </cell>
          <cell r="D97" t="str">
            <v xml:space="preserve"> Ferragem depositada</v>
          </cell>
          <cell r="E97" t="str">
            <v>Kg</v>
          </cell>
          <cell r="F97">
            <v>1.7</v>
          </cell>
          <cell r="G97">
            <v>1.99</v>
          </cell>
        </row>
        <row r="98">
          <cell r="C98" t="str">
            <v xml:space="preserve"> 4.4.2</v>
          </cell>
          <cell r="D98" t="str">
            <v xml:space="preserve"> Infra-estrutura</v>
          </cell>
          <cell r="E98">
            <v>0</v>
          </cell>
          <cell r="F98">
            <v>0</v>
          </cell>
          <cell r="G98">
            <v>0</v>
          </cell>
        </row>
        <row r="99">
          <cell r="C99" t="str">
            <v xml:space="preserve"> 4.4.2.1</v>
          </cell>
          <cell r="D99" t="str">
            <v xml:space="preserve"> Tubulão a céu aberto</v>
          </cell>
          <cell r="E99">
            <v>0</v>
          </cell>
          <cell r="F99">
            <v>0</v>
          </cell>
          <cell r="G99">
            <v>0</v>
          </cell>
        </row>
        <row r="100">
          <cell r="D100" t="str">
            <v xml:space="preserve"> - Escavação em mat. de 1a. categoria</v>
          </cell>
          <cell r="E100" t="str">
            <v>m³</v>
          </cell>
          <cell r="F100">
            <v>93.96</v>
          </cell>
          <cell r="G100">
            <v>109.88</v>
          </cell>
        </row>
        <row r="101">
          <cell r="C101"/>
          <cell r="D101" t="str">
            <v xml:space="preserve"> - Escavação em mat. de 2a. categoria</v>
          </cell>
          <cell r="E101" t="str">
            <v>m³</v>
          </cell>
          <cell r="F101">
            <v>125.72</v>
          </cell>
          <cell r="G101">
            <v>147.02000000000001</v>
          </cell>
        </row>
        <row r="102">
          <cell r="C102"/>
          <cell r="D102" t="str">
            <v xml:space="preserve"> - Alargamento de base em mat.  de 2a. categoria</v>
          </cell>
          <cell r="E102" t="str">
            <v>m³</v>
          </cell>
          <cell r="F102">
            <v>251.45</v>
          </cell>
          <cell r="G102">
            <v>294.05</v>
          </cell>
        </row>
        <row r="103">
          <cell r="C103"/>
          <cell r="D103" t="str">
            <v xml:space="preserve"> - Escavação em mat. de 3a. categoria</v>
          </cell>
          <cell r="E103" t="str">
            <v>m³</v>
          </cell>
          <cell r="F103">
            <v>183.24</v>
          </cell>
          <cell r="G103">
            <v>214.28</v>
          </cell>
        </row>
        <row r="104">
          <cell r="C104"/>
          <cell r="D104" t="str">
            <v xml:space="preserve"> - Alargamento de base em mat.  de 3a. categoria</v>
          </cell>
          <cell r="E104" t="str">
            <v>m³</v>
          </cell>
          <cell r="F104">
            <v>549.70000000000005</v>
          </cell>
          <cell r="G104">
            <v>642.82000000000005</v>
          </cell>
        </row>
        <row r="105">
          <cell r="C105" t="str">
            <v xml:space="preserve"> 4.4..2.2</v>
          </cell>
          <cell r="D105" t="str">
            <v xml:space="preserve"> Tubulão a ar comprimido</v>
          </cell>
          <cell r="E105">
            <v>0</v>
          </cell>
          <cell r="G105">
            <v>0</v>
          </cell>
        </row>
        <row r="106">
          <cell r="C106"/>
          <cell r="D106" t="str">
            <v xml:space="preserve"> - Escavação em mat. de 1a. categoria</v>
          </cell>
          <cell r="E106" t="str">
            <v>m³</v>
          </cell>
          <cell r="F106">
            <v>384.94</v>
          </cell>
          <cell r="G106">
            <v>450.15</v>
          </cell>
        </row>
        <row r="107">
          <cell r="C107"/>
          <cell r="D107" t="str">
            <v xml:space="preserve"> - Alargamento de base em mat.  de 1a. categoria</v>
          </cell>
          <cell r="E107" t="str">
            <v>m³</v>
          </cell>
          <cell r="F107">
            <v>769.89</v>
          </cell>
          <cell r="G107">
            <v>900.31</v>
          </cell>
        </row>
        <row r="108">
          <cell r="C108"/>
          <cell r="D108" t="str">
            <v xml:space="preserve"> - Escavação em mat. de 2a. categoria</v>
          </cell>
          <cell r="E108" t="str">
            <v>m³</v>
          </cell>
          <cell r="F108">
            <v>513.26</v>
          </cell>
          <cell r="G108">
            <v>600.21</v>
          </cell>
        </row>
        <row r="109">
          <cell r="C109"/>
          <cell r="D109" t="str">
            <v xml:space="preserve"> - Alargamento de base em mat.  de 2a. categoria</v>
          </cell>
          <cell r="E109" t="str">
            <v>m³</v>
          </cell>
          <cell r="F109">
            <v>1026.52</v>
          </cell>
          <cell r="G109">
            <v>1200.4100000000001</v>
          </cell>
        </row>
        <row r="110">
          <cell r="C110"/>
          <cell r="D110" t="str">
            <v xml:space="preserve"> - Escavação em mat. de 3a. categoria</v>
          </cell>
          <cell r="E110" t="str">
            <v>m³</v>
          </cell>
          <cell r="F110">
            <v>668.22</v>
          </cell>
          <cell r="G110">
            <v>781.42</v>
          </cell>
        </row>
        <row r="111">
          <cell r="C111"/>
          <cell r="D111" t="str">
            <v xml:space="preserve"> - Alargamento da base em rocha</v>
          </cell>
          <cell r="E111" t="str">
            <v>m³</v>
          </cell>
          <cell r="F111">
            <v>2004.66</v>
          </cell>
          <cell r="G111">
            <v>2344.25</v>
          </cell>
        </row>
        <row r="112">
          <cell r="C112" t="str">
            <v xml:space="preserve"> 4.4.2.3</v>
          </cell>
          <cell r="D112" t="str">
            <v xml:space="preserve"> Estaca Raiz</v>
          </cell>
          <cell r="E112">
            <v>0</v>
          </cell>
          <cell r="F112">
            <v>0</v>
          </cell>
          <cell r="G112">
            <v>0</v>
          </cell>
        </row>
        <row r="113">
          <cell r="C113"/>
          <cell r="D113" t="str">
            <v xml:space="preserve"> - Perfuração de Estaca Raiz em solo comum, s/ forn. de mat.</v>
          </cell>
          <cell r="E113" t="str">
            <v>m</v>
          </cell>
          <cell r="F113">
            <v>121.83</v>
          </cell>
          <cell r="G113">
            <v>142.47</v>
          </cell>
        </row>
        <row r="114">
          <cell r="C114"/>
          <cell r="D114" t="str">
            <v xml:space="preserve"> - Perfuração de Estaca Raiz em solo rochoso, s/forn. de mat.</v>
          </cell>
          <cell r="E114" t="str">
            <v>m</v>
          </cell>
          <cell r="F114">
            <v>862.06</v>
          </cell>
          <cell r="G114">
            <v>1008.09</v>
          </cell>
        </row>
        <row r="115">
          <cell r="C115"/>
          <cell r="D115" t="str">
            <v xml:space="preserve"> - Prova de Carga em Estaca Raiz a Tração</v>
          </cell>
          <cell r="E115" t="str">
            <v>un</v>
          </cell>
          <cell r="F115">
            <v>14034.18</v>
          </cell>
          <cell r="G115">
            <v>16411.57</v>
          </cell>
        </row>
        <row r="116">
          <cell r="C116"/>
          <cell r="D116" t="str">
            <v xml:space="preserve"> - Prova de Carga em Estaca Raiz a Compresso</v>
          </cell>
          <cell r="E116" t="str">
            <v>un</v>
          </cell>
          <cell r="F116">
            <v>15634.69</v>
          </cell>
          <cell r="G116">
            <v>18283.21</v>
          </cell>
        </row>
        <row r="117">
          <cell r="C117"/>
          <cell r="D117" t="str">
            <v xml:space="preserve"> - Arrazamento de Estaca Raiz</v>
          </cell>
          <cell r="E117" t="str">
            <v>m</v>
          </cell>
          <cell r="F117">
            <v>12.89</v>
          </cell>
          <cell r="G117">
            <v>15.07</v>
          </cell>
        </row>
        <row r="118">
          <cell r="C118" t="str">
            <v xml:space="preserve"> 4.4.2.4</v>
          </cell>
          <cell r="D118" t="str">
            <v xml:space="preserve"> Forma</v>
          </cell>
          <cell r="E118" t="str">
            <v>m²</v>
          </cell>
          <cell r="F118">
            <v>35.75</v>
          </cell>
          <cell r="G118">
            <v>41.81</v>
          </cell>
        </row>
        <row r="119">
          <cell r="C119" t="str">
            <v xml:space="preserve"> 4.4.2.5</v>
          </cell>
          <cell r="D119" t="str">
            <v xml:space="preserve"> Ferragem CA-50</v>
          </cell>
          <cell r="E119" t="str">
            <v>kg</v>
          </cell>
          <cell r="F119">
            <v>0.51</v>
          </cell>
          <cell r="G119">
            <v>0.6</v>
          </cell>
        </row>
        <row r="120">
          <cell r="C120" t="str">
            <v xml:space="preserve"> 4.4.2.6</v>
          </cell>
          <cell r="D120" t="str">
            <v xml:space="preserve"> Concreto FCK 15MPa</v>
          </cell>
          <cell r="E120" t="str">
            <v>m³</v>
          </cell>
          <cell r="F120">
            <v>208.56</v>
          </cell>
          <cell r="G120">
            <v>243.89</v>
          </cell>
        </row>
        <row r="121">
          <cell r="C121" t="str">
            <v xml:space="preserve"> 4.4.2.7</v>
          </cell>
          <cell r="D121" t="str">
            <v xml:space="preserve"> Cravação de Estaca Trilho Inclusive fornecimento</v>
          </cell>
          <cell r="E121" t="str">
            <v>m</v>
          </cell>
          <cell r="F121">
            <v>216.64</v>
          </cell>
          <cell r="G121">
            <v>253.34</v>
          </cell>
        </row>
        <row r="122">
          <cell r="C122" t="str">
            <v xml:space="preserve"> 4.4.2.8</v>
          </cell>
          <cell r="D122" t="str">
            <v xml:space="preserve"> Soleira de nivelamento para Terra Armada</v>
          </cell>
          <cell r="E122" t="str">
            <v>m³</v>
          </cell>
          <cell r="F122">
            <v>285.83999999999997</v>
          </cell>
          <cell r="G122">
            <v>334.26</v>
          </cell>
        </row>
        <row r="123">
          <cell r="C123" t="str">
            <v xml:space="preserve"> 4.4.2.9</v>
          </cell>
          <cell r="D123" t="str">
            <v xml:space="preserve"> Terra Armada  aterro até 6.00m de altura</v>
          </cell>
          <cell r="E123" t="str">
            <v>m²</v>
          </cell>
          <cell r="F123">
            <v>240.3</v>
          </cell>
          <cell r="G123">
            <v>281.01</v>
          </cell>
        </row>
        <row r="124">
          <cell r="C124" t="str">
            <v xml:space="preserve"> 4.4.2.9</v>
          </cell>
          <cell r="D124" t="str">
            <v xml:space="preserve"> Terra Armada aterro de 6.00m a 9.00m de altura</v>
          </cell>
          <cell r="E124" t="str">
            <v>m²</v>
          </cell>
          <cell r="F124">
            <v>261.98</v>
          </cell>
          <cell r="G124">
            <v>306.36</v>
          </cell>
        </row>
        <row r="125">
          <cell r="C125" t="str">
            <v xml:space="preserve"> 4.4.3</v>
          </cell>
          <cell r="D125" t="str">
            <v xml:space="preserve"> Mesoestrutura</v>
          </cell>
          <cell r="E125">
            <v>0</v>
          </cell>
          <cell r="G125">
            <v>0</v>
          </cell>
        </row>
        <row r="126">
          <cell r="C126" t="str">
            <v xml:space="preserve"> 4.4.3.1</v>
          </cell>
          <cell r="D126" t="str">
            <v xml:space="preserve"> Forma</v>
          </cell>
          <cell r="E126" t="str">
            <v>m²</v>
          </cell>
          <cell r="F126">
            <v>35.75</v>
          </cell>
          <cell r="G126">
            <v>41.81</v>
          </cell>
        </row>
        <row r="127">
          <cell r="C127" t="str">
            <v xml:space="preserve"> 4.4.3.2</v>
          </cell>
          <cell r="D127" t="str">
            <v xml:space="preserve"> Ferragem CA-50</v>
          </cell>
          <cell r="E127" t="str">
            <v>kg</v>
          </cell>
          <cell r="F127">
            <v>0.51</v>
          </cell>
          <cell r="G127">
            <v>0.6</v>
          </cell>
        </row>
        <row r="128">
          <cell r="C128" t="str">
            <v xml:space="preserve"> 4.4.3.3</v>
          </cell>
          <cell r="D128" t="str">
            <v xml:space="preserve"> Concreto FCK 15MPa</v>
          </cell>
          <cell r="E128" t="str">
            <v>m³</v>
          </cell>
          <cell r="F128">
            <v>208.56</v>
          </cell>
          <cell r="G128">
            <v>243.89</v>
          </cell>
        </row>
        <row r="129">
          <cell r="C129" t="str">
            <v xml:space="preserve"> 4.4.3.4</v>
          </cell>
          <cell r="D129" t="str">
            <v xml:space="preserve"> Escoramento convencional</v>
          </cell>
          <cell r="E129" t="str">
            <v>m³</v>
          </cell>
          <cell r="F129">
            <v>25.6</v>
          </cell>
          <cell r="G129">
            <v>29.94</v>
          </cell>
        </row>
        <row r="130">
          <cell r="C130" t="str">
            <v xml:space="preserve"> 4.4.3.5</v>
          </cell>
          <cell r="D130" t="str">
            <v xml:space="preserve"> Cordoalha de aço CP - 190 RB Ø 15.2 inclusive fornecimento</v>
          </cell>
          <cell r="E130" t="str">
            <v>Kg</v>
          </cell>
          <cell r="F130">
            <v>11.68</v>
          </cell>
          <cell r="G130">
            <v>13.66</v>
          </cell>
        </row>
        <row r="131">
          <cell r="C131" t="str">
            <v xml:space="preserve"> 4.4.4</v>
          </cell>
          <cell r="D131" t="str">
            <v xml:space="preserve"> Superestrutura</v>
          </cell>
          <cell r="E131">
            <v>0</v>
          </cell>
          <cell r="F131">
            <v>0</v>
          </cell>
          <cell r="G131">
            <v>0</v>
          </cell>
        </row>
        <row r="132">
          <cell r="C132" t="str">
            <v xml:space="preserve"> 4.4.4.1</v>
          </cell>
          <cell r="D132" t="str">
            <v xml:space="preserve"> Forma</v>
          </cell>
          <cell r="E132" t="str">
            <v>m²</v>
          </cell>
          <cell r="F132">
            <v>35.75</v>
          </cell>
          <cell r="G132">
            <v>41.81</v>
          </cell>
        </row>
        <row r="133">
          <cell r="C133" t="str">
            <v xml:space="preserve"> 4.4.4.2</v>
          </cell>
          <cell r="D133" t="str">
            <v xml:space="preserve"> Ferragem CA-50</v>
          </cell>
          <cell r="E133" t="str">
            <v>kg</v>
          </cell>
          <cell r="F133">
            <v>0.51</v>
          </cell>
          <cell r="G133">
            <v>0.6</v>
          </cell>
        </row>
        <row r="134">
          <cell r="C134" t="str">
            <v xml:space="preserve"> 4.4.4.3</v>
          </cell>
          <cell r="D134" t="str">
            <v xml:space="preserve"> Concreto FCK 18MPa</v>
          </cell>
          <cell r="E134" t="str">
            <v>m³</v>
          </cell>
          <cell r="F134">
            <v>227.72</v>
          </cell>
          <cell r="G134">
            <v>266.3</v>
          </cell>
        </row>
        <row r="135">
          <cell r="C135" t="str">
            <v xml:space="preserve"> 4.4.4.4</v>
          </cell>
          <cell r="D135" t="str">
            <v xml:space="preserve"> Concreto FCK 20MPa</v>
          </cell>
          <cell r="E135" t="str">
            <v>m³</v>
          </cell>
          <cell r="F135">
            <v>256.05</v>
          </cell>
          <cell r="G135">
            <v>299.42</v>
          </cell>
        </row>
        <row r="136">
          <cell r="C136" t="str">
            <v xml:space="preserve"> 4.4.4.5</v>
          </cell>
          <cell r="D136" t="str">
            <v xml:space="preserve"> Concreto FCK 25MPa</v>
          </cell>
          <cell r="E136" t="str">
            <v>m³</v>
          </cell>
          <cell r="F136">
            <v>265.87</v>
          </cell>
          <cell r="G136">
            <v>310.91000000000003</v>
          </cell>
        </row>
        <row r="137">
          <cell r="C137" t="str">
            <v xml:space="preserve"> 4.4.4.6</v>
          </cell>
          <cell r="D137" t="str">
            <v xml:space="preserve"> Concreto FCK 30MPa</v>
          </cell>
          <cell r="E137" t="str">
            <v>m³</v>
          </cell>
          <cell r="F137">
            <v>276.56</v>
          </cell>
          <cell r="G137">
            <v>323.41000000000003</v>
          </cell>
        </row>
        <row r="138">
          <cell r="C138" t="str">
            <v xml:space="preserve"> 4.4.4.7</v>
          </cell>
          <cell r="D138" t="str">
            <v xml:space="preserve"> Concreto FCK 35MPa</v>
          </cell>
          <cell r="E138" t="str">
            <v>m³</v>
          </cell>
          <cell r="F138">
            <v>287.68</v>
          </cell>
          <cell r="G138">
            <v>336.41</v>
          </cell>
        </row>
        <row r="139">
          <cell r="C139"/>
          <cell r="D139" t="str">
            <v xml:space="preserve"> TOTAL DO ITEM 4</v>
          </cell>
          <cell r="F139" t="str">
            <v>R$</v>
          </cell>
          <cell r="G139" t="str">
            <v>R$</v>
          </cell>
        </row>
        <row r="140">
          <cell r="C140" t="str">
            <v xml:space="preserve"> 5</v>
          </cell>
          <cell r="D140" t="str">
            <v>SERVIÇOS DIVERSOS</v>
          </cell>
          <cell r="E140">
            <v>0</v>
          </cell>
          <cell r="F140">
            <v>0</v>
          </cell>
          <cell r="G140">
            <v>0</v>
          </cell>
        </row>
        <row r="141">
          <cell r="C141" t="str">
            <v xml:space="preserve"> 5.1</v>
          </cell>
          <cell r="D141" t="str">
            <v xml:space="preserve"> Demolição de estrutura de concreto armado</v>
          </cell>
          <cell r="E141" t="str">
            <v>VB (%)</v>
          </cell>
          <cell r="F141">
            <v>67144.37</v>
          </cell>
          <cell r="G141">
            <v>78518.63</v>
          </cell>
        </row>
        <row r="142">
          <cell r="C142" t="str">
            <v xml:space="preserve"> 5.2</v>
          </cell>
          <cell r="D142" t="str">
            <v xml:space="preserve"> Remoção de meio-fio de concreto</v>
          </cell>
          <cell r="E142" t="str">
            <v>m</v>
          </cell>
          <cell r="F142">
            <v>1.62</v>
          </cell>
          <cell r="G142">
            <v>1.89</v>
          </cell>
        </row>
        <row r="143">
          <cell r="C143" t="str">
            <v xml:space="preserve"> 5.3</v>
          </cell>
          <cell r="D143" t="str">
            <v xml:space="preserve"> Reposição de meio-fio de concreto</v>
          </cell>
          <cell r="E143" t="str">
            <v>m</v>
          </cell>
          <cell r="F143">
            <v>3.39</v>
          </cell>
          <cell r="G143">
            <v>3.96</v>
          </cell>
        </row>
        <row r="144">
          <cell r="C144" t="str">
            <v xml:space="preserve"> 5.4</v>
          </cell>
          <cell r="D144" t="str">
            <v xml:space="preserve"> Demolição de pavimentação em asfalto</v>
          </cell>
          <cell r="E144" t="str">
            <v>m²</v>
          </cell>
          <cell r="F144">
            <v>4.1900000000000004</v>
          </cell>
          <cell r="G144">
            <v>4.9000000000000004</v>
          </cell>
        </row>
        <row r="145">
          <cell r="C145" t="str">
            <v xml:space="preserve"> 5.5</v>
          </cell>
          <cell r="D145" t="str">
            <v xml:space="preserve"> Sinalização, proteção de valas, cavas e cercas</v>
          </cell>
          <cell r="E145" t="str">
            <v>VB (%)</v>
          </cell>
          <cell r="F145">
            <v>86169.78</v>
          </cell>
          <cell r="G145">
            <v>100766.94</v>
          </cell>
        </row>
        <row r="146">
          <cell r="C146" t="str">
            <v xml:space="preserve"> 5.6</v>
          </cell>
          <cell r="D146" t="str">
            <v xml:space="preserve"> Desmobilização geral de instalação, equipamentos, pessoal e  limpeza da área ou serviço</v>
          </cell>
          <cell r="E146" t="str">
            <v>VB (%)</v>
          </cell>
          <cell r="F146">
            <v>348406.67</v>
          </cell>
          <cell r="G146">
            <v>407426.76</v>
          </cell>
        </row>
        <row r="147">
          <cell r="C147" t="str">
            <v xml:space="preserve"> 5.7</v>
          </cell>
          <cell r="D147" t="str">
            <v xml:space="preserve"> Fornecimento e Instalação de Manta de Bidim</v>
          </cell>
          <cell r="E147" t="str">
            <v>m²</v>
          </cell>
          <cell r="F147">
            <v>3.87</v>
          </cell>
          <cell r="G147">
            <v>4.53</v>
          </cell>
        </row>
        <row r="148">
          <cell r="C148" t="str">
            <v xml:space="preserve"> 5.8</v>
          </cell>
          <cell r="D148" t="str">
            <v xml:space="preserve"> Alvenaria de Pedra e Argamassada</v>
          </cell>
          <cell r="E148" t="str">
            <v>m³</v>
          </cell>
          <cell r="F148">
            <v>68.569999999999993</v>
          </cell>
          <cell r="G148">
            <v>80.19</v>
          </cell>
        </row>
        <row r="149">
          <cell r="C149"/>
          <cell r="D149" t="str">
            <v xml:space="preserve"> TOTAL DO ITEM 5</v>
          </cell>
          <cell r="F149" t="str">
            <v>R$</v>
          </cell>
          <cell r="G149" t="str">
            <v>R$</v>
          </cell>
        </row>
        <row r="150">
          <cell r="C150"/>
          <cell r="D150">
            <v>0</v>
          </cell>
          <cell r="E150">
            <v>0</v>
          </cell>
          <cell r="F150">
            <v>0</v>
          </cell>
          <cell r="G150">
            <v>0</v>
          </cell>
        </row>
        <row r="151">
          <cell r="C151" t="str">
            <v xml:space="preserve"> 6</v>
          </cell>
          <cell r="D151" t="str">
            <v xml:space="preserve"> OBRAS COMPLEMENTARES</v>
          </cell>
          <cell r="E151">
            <v>0</v>
          </cell>
          <cell r="F151">
            <v>0</v>
          </cell>
          <cell r="G151">
            <v>0</v>
          </cell>
        </row>
        <row r="152">
          <cell r="C152" t="str">
            <v xml:space="preserve"> 6.1</v>
          </cell>
          <cell r="D152" t="str">
            <v xml:space="preserve"> Passeios em concreto simples</v>
          </cell>
          <cell r="E152" t="str">
            <v>VB (%)</v>
          </cell>
          <cell r="F152">
            <v>871480</v>
          </cell>
          <cell r="G152">
            <v>1019108.71</v>
          </cell>
        </row>
        <row r="153">
          <cell r="C153" t="str">
            <v xml:space="preserve"> 6.2</v>
          </cell>
          <cell r="D153" t="str">
            <v xml:space="preserve"> Revestimento com grama</v>
          </cell>
          <cell r="E153" t="str">
            <v>VB (%)</v>
          </cell>
          <cell r="F153">
            <v>450765.5</v>
          </cell>
          <cell r="G153">
            <v>527125.18000000005</v>
          </cell>
        </row>
        <row r="154">
          <cell r="C154" t="str">
            <v xml:space="preserve"> 6.3</v>
          </cell>
          <cell r="D154" t="str">
            <v xml:space="preserve"> Plantio de mudas</v>
          </cell>
          <cell r="E154" t="str">
            <v>VB (%)</v>
          </cell>
          <cell r="F154">
            <v>150255.18</v>
          </cell>
          <cell r="G154">
            <v>175708.41</v>
          </cell>
        </row>
        <row r="155">
          <cell r="C155" t="str">
            <v xml:space="preserve"> 6.4</v>
          </cell>
          <cell r="D155" t="str">
            <v xml:space="preserve"> Defensas metálicas</v>
          </cell>
          <cell r="E155" t="str">
            <v>VB (%)</v>
          </cell>
          <cell r="F155">
            <v>1502551.7</v>
          </cell>
          <cell r="G155">
            <v>1757083.96</v>
          </cell>
        </row>
        <row r="156">
          <cell r="C156" t="str">
            <v xml:space="preserve"> 6.5</v>
          </cell>
          <cell r="D156" t="str">
            <v xml:space="preserve"> Fornecimento de areia</v>
          </cell>
          <cell r="E156" t="str">
            <v>VB (%)</v>
          </cell>
          <cell r="F156">
            <v>30051.040000000001</v>
          </cell>
          <cell r="G156">
            <v>35141.69</v>
          </cell>
        </row>
        <row r="157">
          <cell r="C157"/>
          <cell r="D157" t="str">
            <v xml:space="preserve"> TOTAL DO ITEM 6</v>
          </cell>
          <cell r="F157" t="str">
            <v>R$</v>
          </cell>
          <cell r="G157" t="str">
            <v>R$</v>
          </cell>
        </row>
        <row r="158">
          <cell r="C158"/>
          <cell r="D158">
            <v>0</v>
          </cell>
          <cell r="E158">
            <v>0</v>
          </cell>
          <cell r="F158">
            <v>0</v>
          </cell>
          <cell r="G158">
            <v>0</v>
          </cell>
        </row>
        <row r="159">
          <cell r="C159" t="str">
            <v xml:space="preserve"> 7</v>
          </cell>
          <cell r="D159" t="str">
            <v xml:space="preserve"> SERVIÇOS PRELIMINARES</v>
          </cell>
          <cell r="E159">
            <v>0</v>
          </cell>
          <cell r="F159">
            <v>0</v>
          </cell>
          <cell r="G159">
            <v>0</v>
          </cell>
        </row>
        <row r="160">
          <cell r="C160" t="str">
            <v xml:space="preserve"> 7.1</v>
          </cell>
          <cell r="D160" t="str">
            <v xml:space="preserve"> Mobilização de maquinas, equipamentos e pessoal (verba orçada em  em 3% do valor total dos serviços)</v>
          </cell>
          <cell r="E160" t="str">
            <v>VB (%)</v>
          </cell>
          <cell r="F160">
            <v>1045220.03</v>
          </cell>
          <cell r="G160">
            <v>1222280.3</v>
          </cell>
        </row>
        <row r="161">
          <cell r="C161" t="str">
            <v xml:space="preserve"> 7.2</v>
          </cell>
          <cell r="D161" t="str">
            <v xml:space="preserve"> Instalação provisória, cercas, placas de obra, oficinas,  energizacao e instal. hidro-sanit. (2% do valor dos serviços)</v>
          </cell>
          <cell r="E161" t="str">
            <v>VB (%)</v>
          </cell>
          <cell r="F161">
            <v>696813.36</v>
          </cell>
          <cell r="G161">
            <v>814853.54</v>
          </cell>
        </row>
        <row r="162">
          <cell r="C162"/>
          <cell r="D162" t="str">
            <v xml:space="preserve"> TOTAL DO ITEM 7</v>
          </cell>
          <cell r="F162" t="str">
            <v>R$</v>
          </cell>
          <cell r="G162" t="str">
            <v>R$</v>
          </cell>
        </row>
        <row r="163">
          <cell r="C163" t="str">
            <v xml:space="preserve"> 8</v>
          </cell>
          <cell r="D163" t="str">
            <v>SERVIÇOS EXTRA PLANILHA</v>
          </cell>
          <cell r="E163">
            <v>0</v>
          </cell>
          <cell r="F163">
            <v>0</v>
          </cell>
          <cell r="G163">
            <v>0</v>
          </cell>
        </row>
        <row r="164">
          <cell r="C164" t="str">
            <v xml:space="preserve"> 8.1</v>
          </cell>
          <cell r="D164" t="str">
            <v xml:space="preserve">Fornecimento e Assentamento de Apoio Neoprene Fretado </v>
          </cell>
          <cell r="E164" t="str">
            <v>dc³</v>
          </cell>
          <cell r="F164">
            <v>71.36</v>
          </cell>
          <cell r="G164">
            <v>83.45</v>
          </cell>
        </row>
        <row r="165">
          <cell r="C165" t="str">
            <v xml:space="preserve"> 8.2</v>
          </cell>
          <cell r="D165" t="str">
            <v xml:space="preserve">Preparo de Berço, Fornecimento e Aplicação de Junta Jeene </v>
          </cell>
          <cell r="E165" t="str">
            <v>m</v>
          </cell>
          <cell r="F165">
            <v>583.53</v>
          </cell>
          <cell r="G165">
            <v>682.38</v>
          </cell>
        </row>
        <row r="166">
          <cell r="C166" t="str">
            <v xml:space="preserve"> 8.3</v>
          </cell>
          <cell r="D166" t="str">
            <v>Graut</v>
          </cell>
          <cell r="E166" t="str">
            <v>m³</v>
          </cell>
          <cell r="F166">
            <v>1252.46</v>
          </cell>
          <cell r="G166">
            <v>1464.63</v>
          </cell>
        </row>
        <row r="167">
          <cell r="C167" t="str">
            <v xml:space="preserve"> 8.4</v>
          </cell>
          <cell r="D167" t="str">
            <v>Impermeabilização de Estrutura de Concreto com Neutrol</v>
          </cell>
          <cell r="E167" t="str">
            <v>m²</v>
          </cell>
          <cell r="F167">
            <v>3.55</v>
          </cell>
          <cell r="G167">
            <v>4.1500000000000004</v>
          </cell>
        </row>
        <row r="168">
          <cell r="C168" t="str">
            <v xml:space="preserve"> 8.5</v>
          </cell>
          <cell r="D168" t="str">
            <v>Junta de Dilatação</v>
          </cell>
          <cell r="E168" t="str">
            <v>m</v>
          </cell>
          <cell r="F168">
            <v>11.18</v>
          </cell>
          <cell r="G168">
            <v>13.07</v>
          </cell>
        </row>
        <row r="169">
          <cell r="C169" t="str">
            <v xml:space="preserve"> 8.6</v>
          </cell>
          <cell r="D169" t="str">
            <v>Barbacam com Tubo de Pvc D=40 mm</v>
          </cell>
          <cell r="E169" t="str">
            <v>m</v>
          </cell>
          <cell r="F169">
            <v>23.93</v>
          </cell>
          <cell r="G169">
            <v>27.98</v>
          </cell>
        </row>
        <row r="170">
          <cell r="C170" t="str">
            <v xml:space="preserve"> 8.7</v>
          </cell>
          <cell r="D170" t="str">
            <v>Barbacam com Tubo de Pvc D=100 mm</v>
          </cell>
          <cell r="E170" t="str">
            <v>m</v>
          </cell>
          <cell r="F170">
            <v>25.57</v>
          </cell>
          <cell r="G170">
            <v>29.9</v>
          </cell>
        </row>
        <row r="171">
          <cell r="C171" t="str">
            <v xml:space="preserve"> 8.8</v>
          </cell>
          <cell r="D171" t="str">
            <v>Rede de Esgoto com tubo de Pvc D=100mm</v>
          </cell>
          <cell r="E171" t="str">
            <v>m</v>
          </cell>
          <cell r="F171">
            <v>6.47</v>
          </cell>
          <cell r="G171">
            <v>7.57</v>
          </cell>
        </row>
        <row r="172">
          <cell r="C172" t="str">
            <v xml:space="preserve"> 8.9</v>
          </cell>
          <cell r="D172" t="str">
            <v>Rede de Esgoto com tubo de Pvc D=150mm</v>
          </cell>
          <cell r="E172" t="str">
            <v>m</v>
          </cell>
          <cell r="F172">
            <v>10.6</v>
          </cell>
          <cell r="G172">
            <v>12.4</v>
          </cell>
        </row>
        <row r="173">
          <cell r="C173" t="str">
            <v xml:space="preserve"> 8.10</v>
          </cell>
          <cell r="D173" t="str">
            <v>Rede de Esgoto com tubo de Pvc D=200mm</v>
          </cell>
          <cell r="E173" t="str">
            <v>m</v>
          </cell>
          <cell r="F173">
            <v>19.48</v>
          </cell>
          <cell r="G173">
            <v>22.78</v>
          </cell>
        </row>
        <row r="174">
          <cell r="C174" t="str">
            <v xml:space="preserve"> 8.11</v>
          </cell>
          <cell r="D174" t="str">
            <v>Gabião tipo Colchão Reno</v>
          </cell>
          <cell r="E174" t="str">
            <v>m³</v>
          </cell>
          <cell r="F174">
            <v>193.82</v>
          </cell>
          <cell r="G174">
            <v>226.65</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ÇOES"/>
    </sheetNames>
    <sheetDataSet>
      <sheetData sheetId="0"/>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omments" Target="../comments10.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9.bin"/><Relationship Id="rId4" Type="http://schemas.openxmlformats.org/officeDocument/2006/relationships/comments" Target="../comments1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20.bin"/><Relationship Id="rId4" Type="http://schemas.openxmlformats.org/officeDocument/2006/relationships/comments" Target="../comments1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22.bin"/><Relationship Id="rId4" Type="http://schemas.openxmlformats.org/officeDocument/2006/relationships/comments" Target="../comments14.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24.bin"/><Relationship Id="rId4" Type="http://schemas.openxmlformats.org/officeDocument/2006/relationships/comments" Target="../comments1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26.bin"/><Relationship Id="rId4" Type="http://schemas.openxmlformats.org/officeDocument/2006/relationships/comments" Target="../comments1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0.xml"/><Relationship Id="rId1" Type="http://schemas.openxmlformats.org/officeDocument/2006/relationships/printerSettings" Target="../printerSettings/printerSettings28.bin"/><Relationship Id="rId4" Type="http://schemas.openxmlformats.org/officeDocument/2006/relationships/comments" Target="../comments1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1.xml"/><Relationship Id="rId1" Type="http://schemas.openxmlformats.org/officeDocument/2006/relationships/printerSettings" Target="../printerSettings/printerSettings29.bin"/><Relationship Id="rId4" Type="http://schemas.openxmlformats.org/officeDocument/2006/relationships/comments" Target="../comments18.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C10"/>
  <sheetViews>
    <sheetView zoomScale="115" zoomScaleNormal="100" zoomScaleSheetLayoutView="115" workbookViewId="0">
      <selection activeCell="A17" sqref="A17"/>
    </sheetView>
  </sheetViews>
  <sheetFormatPr defaultRowHeight="15"/>
  <cols>
    <col min="1" max="1" width="42.5703125" style="25" bestFit="1" customWidth="1"/>
    <col min="2" max="2" width="30.140625" style="25" bestFit="1" customWidth="1"/>
    <col min="3" max="3" width="35.28515625" style="25" bestFit="1" customWidth="1"/>
    <col min="4" max="16384" width="9.140625" style="25"/>
  </cols>
  <sheetData>
    <row r="1" spans="1:3">
      <c r="A1" s="1588" t="s">
        <v>20233</v>
      </c>
      <c r="B1" s="1589"/>
      <c r="C1" s="1590"/>
    </row>
    <row r="2" spans="1:3" ht="15.75" thickBot="1">
      <c r="A2" s="560" t="s">
        <v>14540</v>
      </c>
      <c r="B2" s="561" t="s">
        <v>20234</v>
      </c>
      <c r="C2" s="562" t="s">
        <v>20235</v>
      </c>
    </row>
    <row r="3" spans="1:3" ht="15.75" thickBot="1">
      <c r="A3" s="563" t="s">
        <v>20236</v>
      </c>
      <c r="B3" s="564">
        <v>11.2</v>
      </c>
      <c r="C3" s="565">
        <v>7.5</v>
      </c>
    </row>
    <row r="4" spans="1:3" ht="15.75" thickBot="1">
      <c r="A4" s="563" t="s">
        <v>20237</v>
      </c>
      <c r="B4" s="564">
        <v>10.199999999999999</v>
      </c>
      <c r="C4" s="565">
        <v>6.45</v>
      </c>
    </row>
    <row r="5" spans="1:3" ht="15.75" thickBot="1">
      <c r="A5" s="563" t="s">
        <v>20238</v>
      </c>
      <c r="B5" s="564">
        <v>10.6</v>
      </c>
      <c r="C5" s="565">
        <v>8</v>
      </c>
    </row>
    <row r="6" spans="1:3" ht="15.75" thickBot="1">
      <c r="A6" s="563" t="s">
        <v>20239</v>
      </c>
      <c r="B6" s="564">
        <v>9.35</v>
      </c>
      <c r="C6" s="565">
        <v>8</v>
      </c>
    </row>
    <row r="7" spans="1:3" ht="15.75" thickBot="1">
      <c r="A7" s="563" t="s">
        <v>20240</v>
      </c>
      <c r="B7" s="564">
        <v>6.25</v>
      </c>
      <c r="C7" s="565">
        <v>5.6</v>
      </c>
    </row>
    <row r="8" spans="1:3" ht="15.75" thickBot="1">
      <c r="A8" s="563" t="s">
        <v>14065</v>
      </c>
      <c r="B8" s="564">
        <v>3.7</v>
      </c>
      <c r="C8" s="565">
        <v>7.4</v>
      </c>
    </row>
    <row r="9" spans="1:3" ht="15.75" thickBot="1">
      <c r="A9" s="563" t="s">
        <v>14257</v>
      </c>
      <c r="B9" s="564">
        <v>5.4</v>
      </c>
      <c r="C9" s="565">
        <v>6.9</v>
      </c>
    </row>
    <row r="10" spans="1:3">
      <c r="A10" s="563" t="s">
        <v>20241</v>
      </c>
      <c r="B10" s="564">
        <v>7.5</v>
      </c>
      <c r="C10" s="565">
        <v>4.5999999999999996</v>
      </c>
    </row>
  </sheetData>
  <sheetProtection algorithmName="SHA-512" hashValue="2ZDiza8Al2cFNhVXGR2Aof1VaU5aF0yGiKcFkfxT6rjFgDAQQ5tc/3IlEBs4cPfB1Olsd2EHkKLt9bLo89Q4Hw==" saltValue="mxEFLNAwUTYvUh+pekxHRQ==" spinCount="100000" sheet="1" objects="1" scenarios="1"/>
  <mergeCells count="1">
    <mergeCell ref="A1:C1"/>
  </mergeCells>
  <pageMargins left="0.511811024" right="0.511811024" top="0.78740157499999996" bottom="0.78740157499999996" header="0.31496062000000002" footer="0.31496062000000002"/>
  <pageSetup paperSize="9" scale="85"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P1024"/>
  <sheetViews>
    <sheetView topLeftCell="D1" zoomScale="70" zoomScaleNormal="85" zoomScaleSheetLayoutView="70" workbookViewId="0">
      <selection activeCell="I19" sqref="I19"/>
    </sheetView>
  </sheetViews>
  <sheetFormatPr defaultRowHeight="15"/>
  <cols>
    <col min="1" max="1" width="19.140625" style="623" customWidth="1"/>
    <col min="2" max="2" width="18.5703125" style="624" customWidth="1"/>
    <col min="3" max="3" width="30.42578125" style="647" customWidth="1"/>
    <col min="4" max="4" width="15.85546875" style="624" customWidth="1"/>
    <col min="5" max="5" width="15.28515625" style="625" customWidth="1"/>
    <col min="6" max="6" width="13.7109375" style="626" customWidth="1"/>
    <col min="7" max="7" width="17" style="648" customWidth="1"/>
    <col min="8" max="8" width="21" style="648" customWidth="1"/>
    <col min="9" max="9" width="82.140625" style="649" customWidth="1"/>
    <col min="10" max="10" width="9.140625" style="648"/>
    <col min="11" max="11" width="12.7109375" style="650" customWidth="1"/>
    <col min="12" max="12" width="13.42578125" style="651" hidden="1" customWidth="1"/>
    <col min="13" max="13" width="17.42578125" style="651" customWidth="1"/>
    <col min="14" max="14" width="22.5703125" style="651" customWidth="1"/>
    <col min="15" max="15" width="17.5703125" style="651" customWidth="1"/>
    <col min="16" max="16" width="16.5703125" style="652" customWidth="1"/>
    <col min="17" max="16384" width="9.140625" style="625"/>
  </cols>
  <sheetData>
    <row r="1" spans="1:16">
      <c r="A1" s="623" t="s">
        <v>20907</v>
      </c>
      <c r="C1" s="624"/>
      <c r="G1" s="1628" t="s">
        <v>20904</v>
      </c>
      <c r="H1" s="1628"/>
      <c r="I1" s="1628"/>
      <c r="J1" s="1628"/>
      <c r="K1" s="1628"/>
      <c r="L1" s="1628"/>
      <c r="M1" s="1628"/>
      <c r="N1" s="1628"/>
      <c r="O1" s="1628"/>
      <c r="P1" s="1628"/>
    </row>
    <row r="2" spans="1:16">
      <c r="A2" s="625"/>
      <c r="B2" s="625"/>
      <c r="C2" s="625"/>
      <c r="D2" s="625"/>
      <c r="G2" s="1631" t="s">
        <v>11703</v>
      </c>
      <c r="H2" s="1633" t="s">
        <v>64</v>
      </c>
      <c r="I2" s="1635" t="s">
        <v>1268</v>
      </c>
      <c r="J2" s="1637" t="s">
        <v>1272</v>
      </c>
      <c r="K2" s="1639" t="s">
        <v>14640</v>
      </c>
      <c r="L2" s="1641" t="s">
        <v>20905</v>
      </c>
      <c r="M2" s="1641" t="s">
        <v>20906</v>
      </c>
      <c r="N2" s="1641" t="s">
        <v>20907</v>
      </c>
      <c r="O2" s="1641" t="s">
        <v>20908</v>
      </c>
      <c r="P2" s="1629" t="s">
        <v>20909</v>
      </c>
    </row>
    <row r="3" spans="1:16" ht="24.75" customHeight="1">
      <c r="A3" s="625"/>
      <c r="B3" s="625"/>
      <c r="C3" s="625"/>
      <c r="D3" s="625"/>
      <c r="G3" s="1632"/>
      <c r="H3" s="1634"/>
      <c r="I3" s="1636"/>
      <c r="J3" s="1638"/>
      <c r="K3" s="1640"/>
      <c r="L3" s="1642"/>
      <c r="M3" s="1642"/>
      <c r="N3" s="1642"/>
      <c r="O3" s="1642"/>
      <c r="P3" s="1630"/>
    </row>
    <row r="4" spans="1:16" s="630" customFormat="1" ht="25.5" customHeight="1">
      <c r="A4" s="627"/>
      <c r="B4" s="628" t="s">
        <v>14640</v>
      </c>
      <c r="C4" s="629" t="s">
        <v>20910</v>
      </c>
      <c r="D4" s="628" t="s">
        <v>11703</v>
      </c>
      <c r="F4" s="626"/>
      <c r="G4" s="631"/>
      <c r="H4" s="631"/>
      <c r="I4" s="632" t="s">
        <v>11664</v>
      </c>
      <c r="J4" s="631"/>
      <c r="K4" s="633"/>
      <c r="L4" s="634"/>
      <c r="M4" s="634"/>
      <c r="N4" s="634">
        <f>SUM(N5:N1024)</f>
        <v>10258875419.535677</v>
      </c>
      <c r="O4" s="634"/>
      <c r="P4" s="635"/>
    </row>
    <row r="5" spans="1:16">
      <c r="A5" s="627">
        <v>1099589.75</v>
      </c>
      <c r="B5" s="628">
        <v>5</v>
      </c>
      <c r="C5" s="629" t="s">
        <v>13255</v>
      </c>
      <c r="D5" s="628">
        <f>VLOOKUP(C5,ORC.AUXILIAR!I:J,2,0)</f>
        <v>0</v>
      </c>
      <c r="G5" s="636">
        <f>D5</f>
        <v>0</v>
      </c>
      <c r="H5" s="636" t="str">
        <f>C5</f>
        <v>TP.BOMBA.02</v>
      </c>
      <c r="I5" s="637" t="str">
        <f>VLOOKUP(H5,ORC.AUXILIAR!I:P,4,0)</f>
        <v>cj</v>
      </c>
      <c r="J5" s="636">
        <f>VLOOKUP(H5,ORC.AUXILIAR!I:P,5,0)</f>
        <v>5</v>
      </c>
      <c r="K5" s="638">
        <f>B5</f>
        <v>5</v>
      </c>
      <c r="L5" s="639">
        <f>VLOOKUP(H5,ORC.AUXILIAR!I:P,7,0)</f>
        <v>219917.95</v>
      </c>
      <c r="M5" s="639">
        <f>VLOOKUP(H5,ORC.AUXILIAR!I:P,8,0)</f>
        <v>1099589.75</v>
      </c>
      <c r="N5" s="639">
        <f>K5*M5</f>
        <v>5497948.75</v>
      </c>
      <c r="O5" s="639">
        <f>N5</f>
        <v>5497948.75</v>
      </c>
      <c r="P5" s="640">
        <f>O5/N$4</f>
        <v>5.3592119264168241E-4</v>
      </c>
    </row>
    <row r="6" spans="1:16">
      <c r="A6" s="627">
        <v>670378.96</v>
      </c>
      <c r="B6" s="628">
        <v>1</v>
      </c>
      <c r="C6" s="629" t="s">
        <v>14505</v>
      </c>
      <c r="D6" s="628">
        <f>VLOOKUP(C6,ORC.AUXILIAR!I:J,2,0)</f>
        <v>0</v>
      </c>
      <c r="G6" s="636">
        <f t="shared" ref="G6:G69" si="0">D6</f>
        <v>0</v>
      </c>
      <c r="H6" s="636" t="str">
        <f t="shared" ref="H6:H69" si="1">C6</f>
        <v>CT.ADM</v>
      </c>
      <c r="I6" s="637" t="str">
        <f>VLOOKUP(H6,ORC.AUXILIAR!I:P,4,0)</f>
        <v>vb.</v>
      </c>
      <c r="J6" s="636">
        <f>VLOOKUP(H6,ORC.AUXILIAR!I:P,5,0)</f>
        <v>1</v>
      </c>
      <c r="K6" s="638">
        <f t="shared" ref="K6:K69" si="2">B6</f>
        <v>1</v>
      </c>
      <c r="L6" s="639">
        <f>VLOOKUP(H6,ORC.AUXILIAR!I:P,7,0)</f>
        <v>670378.96</v>
      </c>
      <c r="M6" s="639">
        <f>VLOOKUP(H6,ORC.AUXILIAR!I:P,8,0)</f>
        <v>670378.96</v>
      </c>
      <c r="N6" s="639">
        <f>K6*M6</f>
        <v>670378.96</v>
      </c>
      <c r="O6" s="639">
        <f>N6+O5</f>
        <v>6168327.71</v>
      </c>
      <c r="P6" s="640">
        <f t="shared" ref="P6:P69" si="3">O6/N$4</f>
        <v>6.0126743504983335E-4</v>
      </c>
    </row>
    <row r="7" spans="1:16">
      <c r="A7" s="627">
        <v>652442</v>
      </c>
      <c r="B7" s="628">
        <v>2</v>
      </c>
      <c r="C7" s="629" t="s">
        <v>13274</v>
      </c>
      <c r="D7" s="628">
        <f>VLOOKUP(C7,ORC.AUXILIAR!I:J,2,0)</f>
        <v>0</v>
      </c>
      <c r="G7" s="636">
        <f t="shared" si="0"/>
        <v>0</v>
      </c>
      <c r="H7" s="636" t="str">
        <f t="shared" si="1"/>
        <v>TP.EQUI.01</v>
      </c>
      <c r="I7" s="637" t="str">
        <f>VLOOKUP(H7,ORC.AUXILIAR!I:P,4,0)</f>
        <v xml:space="preserve">cj </v>
      </c>
      <c r="J7" s="636">
        <f>VLOOKUP(H7,ORC.AUXILIAR!I:P,5,0)</f>
        <v>2</v>
      </c>
      <c r="K7" s="638">
        <f t="shared" si="2"/>
        <v>2</v>
      </c>
      <c r="L7" s="639">
        <f>VLOOKUP(H7,ORC.AUXILIAR!I:P,7,0)</f>
        <v>326221</v>
      </c>
      <c r="M7" s="639">
        <f>VLOOKUP(H7,ORC.AUXILIAR!I:P,8,0)</f>
        <v>652442</v>
      </c>
      <c r="N7" s="639">
        <f t="shared" ref="N7:N70" si="4">K7*M7</f>
        <v>1304884</v>
      </c>
      <c r="O7" s="639">
        <f t="shared" ref="O7:O70" si="5">N7+O6</f>
        <v>7473211.71</v>
      </c>
      <c r="P7" s="640">
        <f t="shared" si="3"/>
        <v>7.2846305314995649E-4</v>
      </c>
    </row>
    <row r="8" spans="1:16">
      <c r="A8" s="627">
        <v>596859.12</v>
      </c>
      <c r="B8" s="628">
        <v>9275.2000000000007</v>
      </c>
      <c r="C8" s="629" t="s">
        <v>16608</v>
      </c>
      <c r="D8" s="628">
        <f>VLOOKUP(C8,ORC.AUXILIAR!I:J,2,0)</f>
        <v>0</v>
      </c>
      <c r="G8" s="636">
        <f t="shared" si="0"/>
        <v>0</v>
      </c>
      <c r="H8" s="636" t="str">
        <f t="shared" si="1"/>
        <v>73872/2</v>
      </c>
      <c r="I8" s="637" t="str">
        <f>VLOOKUP(H8,ORC.AUXILIAR!I:P,4,0)</f>
        <v>M2</v>
      </c>
      <c r="J8" s="636">
        <f>VLOOKUP(H8,ORC.AUXILIAR!I:P,5,0)</f>
        <v>882.34</v>
      </c>
      <c r="K8" s="638">
        <f t="shared" si="2"/>
        <v>9275.2000000000007</v>
      </c>
      <c r="L8" s="639">
        <f>VLOOKUP(H8,ORC.AUXILIAR!I:P,7,0)</f>
        <v>64.349999999999994</v>
      </c>
      <c r="M8" s="639">
        <f>VLOOKUP(H8,ORC.AUXILIAR!I:P,8,0)</f>
        <v>56778.58</v>
      </c>
      <c r="N8" s="639">
        <f t="shared" si="4"/>
        <v>526632685.21600008</v>
      </c>
      <c r="O8" s="639">
        <f t="shared" si="5"/>
        <v>534105896.92600006</v>
      </c>
      <c r="P8" s="640">
        <f t="shared" si="3"/>
        <v>5.2062811476286941E-2</v>
      </c>
    </row>
    <row r="9" spans="1:16">
      <c r="A9" s="627">
        <v>455584.5</v>
      </c>
      <c r="B9" s="628">
        <v>2</v>
      </c>
      <c r="C9" s="629" t="s">
        <v>13280</v>
      </c>
      <c r="D9" s="628">
        <f>VLOOKUP(C9,ORC.AUXILIAR!I:J,2,0)</f>
        <v>0</v>
      </c>
      <c r="G9" s="636">
        <f t="shared" si="0"/>
        <v>0</v>
      </c>
      <c r="H9" s="636" t="str">
        <f t="shared" si="1"/>
        <v>TP.EQUI.06</v>
      </c>
      <c r="I9" s="637" t="str">
        <f>VLOOKUP(H9,ORC.AUXILIAR!I:P,4,0)</f>
        <v>cj</v>
      </c>
      <c r="J9" s="636">
        <f>VLOOKUP(H9,ORC.AUXILIAR!I:P,5,0)</f>
        <v>2</v>
      </c>
      <c r="K9" s="638">
        <f t="shared" si="2"/>
        <v>2</v>
      </c>
      <c r="L9" s="639">
        <f>VLOOKUP(H9,ORC.AUXILIAR!I:P,7,0)</f>
        <v>227792.25</v>
      </c>
      <c r="M9" s="639">
        <f>VLOOKUP(H9,ORC.AUXILIAR!I:P,8,0)</f>
        <v>455584.5</v>
      </c>
      <c r="N9" s="639">
        <f t="shared" si="4"/>
        <v>911169</v>
      </c>
      <c r="O9" s="639">
        <f t="shared" si="5"/>
        <v>535017065.92600006</v>
      </c>
      <c r="P9" s="640">
        <f t="shared" si="3"/>
        <v>5.2151629106167198E-2</v>
      </c>
    </row>
    <row r="10" spans="1:16">
      <c r="A10" s="627">
        <v>445467.68909999996</v>
      </c>
      <c r="B10" s="628">
        <v>5481.33</v>
      </c>
      <c r="C10" s="629" t="s">
        <v>14502</v>
      </c>
      <c r="D10" s="628">
        <f>VLOOKUP(C10,ORC.AUXILIAR!I:J,2,0)</f>
        <v>0</v>
      </c>
      <c r="G10" s="636">
        <f t="shared" si="0"/>
        <v>0</v>
      </c>
      <c r="H10" s="636" t="str">
        <f t="shared" si="1"/>
        <v>CT.CIMBRAMENTO</v>
      </c>
      <c r="I10" s="637" t="str">
        <f>VLOOKUP(H10,ORC.AUXILIAR!I:P,4,0)</f>
        <v>M³</v>
      </c>
      <c r="J10" s="636">
        <f>VLOOKUP(H10,ORC.AUXILIAR!I:P,5,0)</f>
        <v>5481.33</v>
      </c>
      <c r="K10" s="638">
        <f t="shared" si="2"/>
        <v>5481.33</v>
      </c>
      <c r="L10" s="639">
        <f>VLOOKUP(H10,ORC.AUXILIAR!I:P,7,0)</f>
        <v>81.27</v>
      </c>
      <c r="M10" s="639">
        <f>VLOOKUP(H10,ORC.AUXILIAR!I:P,8,0)</f>
        <v>445467.69</v>
      </c>
      <c r="N10" s="639">
        <f t="shared" si="4"/>
        <v>2441755413.2276998</v>
      </c>
      <c r="O10" s="639">
        <f t="shared" si="5"/>
        <v>2976772479.1536999</v>
      </c>
      <c r="P10" s="640">
        <f t="shared" si="3"/>
        <v>0.29016557443373558</v>
      </c>
    </row>
    <row r="11" spans="1:16">
      <c r="A11" s="627">
        <v>420776.7816000001</v>
      </c>
      <c r="B11" s="628">
        <v>722.19000000000017</v>
      </c>
      <c r="C11" s="629">
        <v>316</v>
      </c>
      <c r="D11" s="628">
        <f>VLOOKUP(C11,ORC.AUXILIAR!I:J,2,0)</f>
        <v>0</v>
      </c>
      <c r="G11" s="636">
        <f t="shared" si="0"/>
        <v>0</v>
      </c>
      <c r="H11" s="636">
        <f t="shared" si="1"/>
        <v>316</v>
      </c>
      <c r="I11" s="637" t="str">
        <f>VLOOKUP(H11,ORC.AUXILIAR!I:P,4,0)</f>
        <v>M3</v>
      </c>
      <c r="J11" s="636">
        <f>VLOOKUP(H11,ORC.AUXILIAR!I:P,5,0)</f>
        <v>177.27</v>
      </c>
      <c r="K11" s="638">
        <f t="shared" si="2"/>
        <v>722.19000000000017</v>
      </c>
      <c r="L11" s="639">
        <f>VLOOKUP(H11,ORC.AUXILIAR!I:P,7,0)</f>
        <v>582.64</v>
      </c>
      <c r="M11" s="639">
        <f>VLOOKUP(H11,ORC.AUXILIAR!I:P,8,0)</f>
        <v>103284.59</v>
      </c>
      <c r="N11" s="639">
        <f t="shared" si="4"/>
        <v>74591098.052100018</v>
      </c>
      <c r="O11" s="639">
        <f t="shared" si="5"/>
        <v>3051363577.2058001</v>
      </c>
      <c r="P11" s="640">
        <f t="shared" si="3"/>
        <v>0.29743645891197562</v>
      </c>
    </row>
    <row r="12" spans="1:16">
      <c r="A12" s="627">
        <v>366260.12</v>
      </c>
      <c r="B12" s="628">
        <v>2</v>
      </c>
      <c r="C12" s="629" t="s">
        <v>13249</v>
      </c>
      <c r="D12" s="628">
        <f>VLOOKUP(C12,ORC.AUXILIAR!I:J,2,0)</f>
        <v>0</v>
      </c>
      <c r="G12" s="636">
        <f t="shared" si="0"/>
        <v>0</v>
      </c>
      <c r="H12" s="636" t="str">
        <f t="shared" si="1"/>
        <v>TP.TALHA.01</v>
      </c>
      <c r="I12" s="637" t="str">
        <f>VLOOKUP(H12,ORC.AUXILIAR!I:P,4,0)</f>
        <v>cj</v>
      </c>
      <c r="J12" s="636">
        <f>VLOOKUP(H12,ORC.AUXILIAR!I:P,5,0)</f>
        <v>2</v>
      </c>
      <c r="K12" s="638">
        <f t="shared" si="2"/>
        <v>2</v>
      </c>
      <c r="L12" s="639">
        <f>VLOOKUP(H12,ORC.AUXILIAR!I:P,7,0)</f>
        <v>183130.06</v>
      </c>
      <c r="M12" s="639">
        <f>VLOOKUP(H12,ORC.AUXILIAR!I:P,8,0)</f>
        <v>366260.12</v>
      </c>
      <c r="N12" s="639">
        <f t="shared" si="4"/>
        <v>732520.24</v>
      </c>
      <c r="O12" s="639">
        <f t="shared" si="5"/>
        <v>3052096097.4457998</v>
      </c>
      <c r="P12" s="640">
        <f t="shared" si="3"/>
        <v>0.29750786247328653</v>
      </c>
    </row>
    <row r="13" spans="1:16">
      <c r="A13" s="627">
        <v>354949.84</v>
      </c>
      <c r="B13" s="628">
        <v>1432</v>
      </c>
      <c r="C13" s="629">
        <v>41934</v>
      </c>
      <c r="D13" s="628">
        <f>VLOOKUP(C13,ORC.AUXILIAR!I:J,2,0)</f>
        <v>0</v>
      </c>
      <c r="G13" s="636">
        <f t="shared" si="0"/>
        <v>0</v>
      </c>
      <c r="H13" s="636">
        <f t="shared" si="1"/>
        <v>41934</v>
      </c>
      <c r="I13" s="637" t="str">
        <f>VLOOKUP(H13,ORC.AUXILIAR!I:P,4,0)</f>
        <v>M</v>
      </c>
      <c r="J13" s="636">
        <f>VLOOKUP(H13,ORC.AUXILIAR!I:P,5,0)</f>
        <v>0</v>
      </c>
      <c r="K13" s="638">
        <f t="shared" si="2"/>
        <v>1432</v>
      </c>
      <c r="L13" s="639">
        <f>VLOOKUP(H13,ORC.AUXILIAR!I:P,7,0)</f>
        <v>247.87</v>
      </c>
      <c r="M13" s="639">
        <f>VLOOKUP(H13,ORC.AUXILIAR!I:P,8,0)</f>
        <v>0</v>
      </c>
      <c r="N13" s="639">
        <f t="shared" si="4"/>
        <v>0</v>
      </c>
      <c r="O13" s="639">
        <f t="shared" si="5"/>
        <v>3052096097.4457998</v>
      </c>
      <c r="P13" s="640">
        <f t="shared" si="3"/>
        <v>0.29750786247328653</v>
      </c>
    </row>
    <row r="14" spans="1:16">
      <c r="A14" s="627">
        <v>354927.36000000004</v>
      </c>
      <c r="B14" s="628">
        <v>544</v>
      </c>
      <c r="C14" s="629" t="s">
        <v>13105</v>
      </c>
      <c r="D14" s="628">
        <f>VLOOKUP(C14,ORC.AUXILIAR!I:J,2,0)</f>
        <v>0</v>
      </c>
      <c r="G14" s="636">
        <f t="shared" si="0"/>
        <v>0</v>
      </c>
      <c r="H14" s="636" t="str">
        <f t="shared" si="1"/>
        <v>REATOR.FB.16</v>
      </c>
      <c r="I14" s="637" t="str">
        <f>VLOOKUP(H14,ORC.AUXILIAR!I:P,4,0)</f>
        <v>un</v>
      </c>
      <c r="J14" s="636">
        <f>VLOOKUP(H14,ORC.AUXILIAR!I:P,5,0)</f>
        <v>544</v>
      </c>
      <c r="K14" s="638">
        <f t="shared" si="2"/>
        <v>544</v>
      </c>
      <c r="L14" s="639">
        <f>VLOOKUP(H14,ORC.AUXILIAR!I:P,7,0)</f>
        <v>652.44000000000005</v>
      </c>
      <c r="M14" s="639">
        <f>VLOOKUP(H14,ORC.AUXILIAR!I:P,8,0)</f>
        <v>354927.35999999999</v>
      </c>
      <c r="N14" s="639">
        <f t="shared" si="4"/>
        <v>193080483.84</v>
      </c>
      <c r="O14" s="639">
        <f t="shared" si="5"/>
        <v>3245176581.2858</v>
      </c>
      <c r="P14" s="640">
        <f t="shared" si="3"/>
        <v>0.31632868599867242</v>
      </c>
    </row>
    <row r="15" spans="1:16">
      <c r="A15" s="627">
        <v>343927.24</v>
      </c>
      <c r="B15" s="628">
        <v>29</v>
      </c>
      <c r="C15" s="629" t="s">
        <v>14180</v>
      </c>
      <c r="D15" s="628">
        <f>VLOOKUP(C15,ORC.AUXILIAR!I:J,2,0)</f>
        <v>0</v>
      </c>
      <c r="G15" s="636">
        <f t="shared" si="0"/>
        <v>0</v>
      </c>
      <c r="H15" s="636" t="str">
        <f t="shared" si="1"/>
        <v>CT.FºFº.11</v>
      </c>
      <c r="I15" s="637" t="str">
        <f>VLOOKUP(H15,ORC.AUXILIAR!I:P,4,0)</f>
        <v>un</v>
      </c>
      <c r="J15" s="636">
        <f>VLOOKUP(H15,ORC.AUXILIAR!I:P,5,0)</f>
        <v>29</v>
      </c>
      <c r="K15" s="638">
        <f t="shared" si="2"/>
        <v>29</v>
      </c>
      <c r="L15" s="639">
        <f>VLOOKUP(H15,ORC.AUXILIAR!I:P,7,0)</f>
        <v>11859.56</v>
      </c>
      <c r="M15" s="639">
        <f>VLOOKUP(H15,ORC.AUXILIAR!I:P,8,0)</f>
        <v>343927.24</v>
      </c>
      <c r="N15" s="639">
        <f t="shared" si="4"/>
        <v>9973889.959999999</v>
      </c>
      <c r="O15" s="639">
        <f t="shared" si="5"/>
        <v>3255150471.2458</v>
      </c>
      <c r="P15" s="640">
        <f t="shared" si="3"/>
        <v>0.31730090659324239</v>
      </c>
    </row>
    <row r="16" spans="1:16">
      <c r="A16" s="627">
        <v>313778.25</v>
      </c>
      <c r="B16" s="628">
        <v>75</v>
      </c>
      <c r="C16" s="629" t="s">
        <v>14429</v>
      </c>
      <c r="D16" s="628">
        <f>VLOOKUP(C16,ORC.AUXILIAR!I:J,2,0)</f>
        <v>0</v>
      </c>
      <c r="G16" s="636">
        <f t="shared" si="0"/>
        <v>0</v>
      </c>
      <c r="H16" s="636" t="str">
        <f t="shared" si="1"/>
        <v>CT_PASSARELA.REATOR</v>
      </c>
      <c r="I16" s="637" t="str">
        <f>VLOOKUP(H16,ORC.AUXILIAR!I:P,4,0)</f>
        <v>M²</v>
      </c>
      <c r="J16" s="636">
        <f>VLOOKUP(H16,ORC.AUXILIAR!I:P,5,0)</f>
        <v>75</v>
      </c>
      <c r="K16" s="638">
        <f t="shared" si="2"/>
        <v>75</v>
      </c>
      <c r="L16" s="639">
        <f>VLOOKUP(H16,ORC.AUXILIAR!I:P,7,0)</f>
        <v>4183.71</v>
      </c>
      <c r="M16" s="639">
        <f>VLOOKUP(H16,ORC.AUXILIAR!I:P,8,0)</f>
        <v>313778.25</v>
      </c>
      <c r="N16" s="639">
        <f t="shared" si="4"/>
        <v>23533368.75</v>
      </c>
      <c r="O16" s="639">
        <f t="shared" si="5"/>
        <v>3278683839.9958</v>
      </c>
      <c r="P16" s="640">
        <f t="shared" si="3"/>
        <v>0.3195948586871713</v>
      </c>
    </row>
    <row r="17" spans="1:16">
      <c r="A17" s="627">
        <v>275440</v>
      </c>
      <c r="B17" s="628">
        <v>4400</v>
      </c>
      <c r="C17" s="629">
        <v>92394</v>
      </c>
      <c r="D17" s="628">
        <f>VLOOKUP(C17,ORC.AUXILIAR!I:J,2,0)</f>
        <v>0</v>
      </c>
      <c r="G17" s="636">
        <f t="shared" si="0"/>
        <v>0</v>
      </c>
      <c r="H17" s="636">
        <f t="shared" si="1"/>
        <v>92394</v>
      </c>
      <c r="I17" s="637" t="str">
        <f>VLOOKUP(H17,ORC.AUXILIAR!I:P,4,0)</f>
        <v>M2</v>
      </c>
      <c r="J17" s="636">
        <f>VLOOKUP(H17,ORC.AUXILIAR!I:P,5,0)</f>
        <v>4400</v>
      </c>
      <c r="K17" s="638">
        <f t="shared" si="2"/>
        <v>4400</v>
      </c>
      <c r="L17" s="639">
        <f>VLOOKUP(H17,ORC.AUXILIAR!I:P,7,0)</f>
        <v>62.6</v>
      </c>
      <c r="M17" s="639">
        <f>VLOOKUP(H17,ORC.AUXILIAR!I:P,8,0)</f>
        <v>275440</v>
      </c>
      <c r="N17" s="639">
        <f t="shared" si="4"/>
        <v>1211936000</v>
      </c>
      <c r="O17" s="639">
        <f t="shared" si="5"/>
        <v>4490619839.9958</v>
      </c>
      <c r="P17" s="640">
        <f t="shared" si="3"/>
        <v>0.43773022444979143</v>
      </c>
    </row>
    <row r="18" spans="1:16">
      <c r="A18" s="627">
        <v>235273.98399999997</v>
      </c>
      <c r="B18" s="628">
        <v>550.4</v>
      </c>
      <c r="C18" s="629" t="s">
        <v>13090</v>
      </c>
      <c r="D18" s="628">
        <f>VLOOKUP(C18,ORC.AUXILIAR!I:J,2,0)</f>
        <v>0</v>
      </c>
      <c r="G18" s="636">
        <f t="shared" si="0"/>
        <v>0</v>
      </c>
      <c r="H18" s="636" t="str">
        <f t="shared" si="1"/>
        <v>REATOR.FB.02</v>
      </c>
      <c r="I18" s="637" t="str">
        <f>VLOOKUP(H18,ORC.AUXILIAR!I:P,4,0)</f>
        <v>m</v>
      </c>
      <c r="J18" s="636">
        <f>VLOOKUP(H18,ORC.AUXILIAR!I:P,5,0)</f>
        <v>550.4</v>
      </c>
      <c r="K18" s="638">
        <f t="shared" si="2"/>
        <v>550.4</v>
      </c>
      <c r="L18" s="639">
        <f>VLOOKUP(H18,ORC.AUXILIAR!I:P,7,0)</f>
        <v>427.46</v>
      </c>
      <c r="M18" s="639">
        <f>VLOOKUP(H18,ORC.AUXILIAR!I:P,8,0)</f>
        <v>235273.98</v>
      </c>
      <c r="N18" s="639">
        <f t="shared" si="4"/>
        <v>129494798.59200001</v>
      </c>
      <c r="O18" s="639">
        <f t="shared" si="5"/>
        <v>4620114638.5878</v>
      </c>
      <c r="P18" s="640">
        <f t="shared" si="3"/>
        <v>0.450352933401438</v>
      </c>
    </row>
    <row r="19" spans="1:16">
      <c r="A19" s="627">
        <v>229011.15999999997</v>
      </c>
      <c r="B19" s="628">
        <v>16357.939999999999</v>
      </c>
      <c r="C19" s="629">
        <v>92916</v>
      </c>
      <c r="D19" s="628">
        <f>VLOOKUP(C19,ORC.AUXILIAR!I:J,2,0)</f>
        <v>0</v>
      </c>
      <c r="G19" s="636">
        <f t="shared" si="0"/>
        <v>0</v>
      </c>
      <c r="H19" s="636">
        <f t="shared" si="1"/>
        <v>92916</v>
      </c>
      <c r="I19" s="637" t="str">
        <f>VLOOKUP(H19,ORC.AUXILIAR!I:P,4,0)</f>
        <v>KG</v>
      </c>
      <c r="J19" s="636">
        <f>VLOOKUP(H19,ORC.AUXILIAR!I:P,5,0)</f>
        <v>574.9</v>
      </c>
      <c r="K19" s="638">
        <f t="shared" si="2"/>
        <v>16357.939999999999</v>
      </c>
      <c r="L19" s="639">
        <f>VLOOKUP(H19,ORC.AUXILIAR!I:P,7,0)</f>
        <v>14</v>
      </c>
      <c r="M19" s="639">
        <f>VLOOKUP(H19,ORC.AUXILIAR!I:P,8,0)</f>
        <v>8048.6</v>
      </c>
      <c r="N19" s="639">
        <f t="shared" si="4"/>
        <v>131658515.88399999</v>
      </c>
      <c r="O19" s="639">
        <f t="shared" si="5"/>
        <v>4751773154.4717999</v>
      </c>
      <c r="P19" s="640">
        <f t="shared" si="3"/>
        <v>0.46318655409569914</v>
      </c>
    </row>
    <row r="20" spans="1:16">
      <c r="A20" s="627">
        <v>224829.56599999999</v>
      </c>
      <c r="B20" s="628">
        <v>2503.67</v>
      </c>
      <c r="C20" s="629">
        <v>92415</v>
      </c>
      <c r="D20" s="628">
        <f>VLOOKUP(C20,ORC.AUXILIAR!I:J,2,0)</f>
        <v>0</v>
      </c>
      <c r="G20" s="636">
        <f t="shared" si="0"/>
        <v>0</v>
      </c>
      <c r="H20" s="636">
        <f t="shared" si="1"/>
        <v>92415</v>
      </c>
      <c r="I20" s="637" t="str">
        <f>VLOOKUP(H20,ORC.AUXILIAR!I:P,4,0)</f>
        <v>M2</v>
      </c>
      <c r="J20" s="636">
        <f>VLOOKUP(H20,ORC.AUXILIAR!I:P,5,0)</f>
        <v>222.2</v>
      </c>
      <c r="K20" s="638">
        <f t="shared" si="2"/>
        <v>2503.67</v>
      </c>
      <c r="L20" s="639">
        <f>VLOOKUP(H20,ORC.AUXILIAR!I:P,7,0)</f>
        <v>89.8</v>
      </c>
      <c r="M20" s="639">
        <f>VLOOKUP(H20,ORC.AUXILIAR!I:P,8,0)</f>
        <v>19953.560000000001</v>
      </c>
      <c r="N20" s="639">
        <f t="shared" si="4"/>
        <v>49957129.565200008</v>
      </c>
      <c r="O20" s="639">
        <f t="shared" si="5"/>
        <v>4801730284.0369997</v>
      </c>
      <c r="P20" s="640">
        <f t="shared" si="3"/>
        <v>0.46805620379142193</v>
      </c>
    </row>
    <row r="21" spans="1:16">
      <c r="A21" s="627">
        <v>224775.12959999999</v>
      </c>
      <c r="B21" s="628">
        <v>16724.34</v>
      </c>
      <c r="C21" s="629">
        <v>92917</v>
      </c>
      <c r="D21" s="628">
        <f>VLOOKUP(C21,ORC.AUXILIAR!I:J,2,0)</f>
        <v>0</v>
      </c>
      <c r="G21" s="636">
        <f t="shared" si="0"/>
        <v>0</v>
      </c>
      <c r="H21" s="636">
        <f t="shared" si="1"/>
        <v>92917</v>
      </c>
      <c r="I21" s="637" t="str">
        <f>VLOOKUP(H21,ORC.AUXILIAR!I:P,4,0)</f>
        <v>KG</v>
      </c>
      <c r="J21" s="636">
        <f>VLOOKUP(H21,ORC.AUXILIAR!I:P,5,0)</f>
        <v>1617.1</v>
      </c>
      <c r="K21" s="638">
        <f t="shared" si="2"/>
        <v>16724.34</v>
      </c>
      <c r="L21" s="639">
        <f>VLOOKUP(H21,ORC.AUXILIAR!I:P,7,0)</f>
        <v>13.44</v>
      </c>
      <c r="M21" s="639">
        <f>VLOOKUP(H21,ORC.AUXILIAR!I:P,8,0)</f>
        <v>21733.82</v>
      </c>
      <c r="N21" s="639">
        <f t="shared" si="4"/>
        <v>363483795.17879999</v>
      </c>
      <c r="O21" s="639">
        <f t="shared" si="5"/>
        <v>5165214079.2157993</v>
      </c>
      <c r="P21" s="640">
        <f t="shared" si="3"/>
        <v>0.50348735782284992</v>
      </c>
    </row>
    <row r="22" spans="1:16">
      <c r="A22" s="627">
        <v>215815.67999999999</v>
      </c>
      <c r="B22" s="628">
        <v>96</v>
      </c>
      <c r="C22" s="629" t="s">
        <v>13022</v>
      </c>
      <c r="D22" s="628">
        <f>VLOOKUP(C22,ORC.AUXILIAR!I:J,2,0)</f>
        <v>0</v>
      </c>
      <c r="G22" s="636">
        <f t="shared" si="0"/>
        <v>0</v>
      </c>
      <c r="H22" s="636" t="str">
        <f t="shared" si="1"/>
        <v>RE.F°F°.48</v>
      </c>
      <c r="I22" s="637" t="str">
        <f>VLOOKUP(H22,ORC.AUXILIAR!I:P,4,0)</f>
        <v>pç</v>
      </c>
      <c r="J22" s="636">
        <f>VLOOKUP(H22,ORC.AUXILIAR!I:P,5,0)</f>
        <v>96</v>
      </c>
      <c r="K22" s="638">
        <f t="shared" si="2"/>
        <v>96</v>
      </c>
      <c r="L22" s="639">
        <f>VLOOKUP(H22,ORC.AUXILIAR!I:P,7,0)</f>
        <v>2248.08</v>
      </c>
      <c r="M22" s="639">
        <f>VLOOKUP(H22,ORC.AUXILIAR!I:P,8,0)</f>
        <v>215815.67999999999</v>
      </c>
      <c r="N22" s="639">
        <f t="shared" si="4"/>
        <v>20718305.280000001</v>
      </c>
      <c r="O22" s="639">
        <f t="shared" si="5"/>
        <v>5185932384.4957991</v>
      </c>
      <c r="P22" s="640">
        <f t="shared" si="3"/>
        <v>0.50550690718208546</v>
      </c>
    </row>
    <row r="23" spans="1:16">
      <c r="A23" s="627">
        <v>210854.75940000001</v>
      </c>
      <c r="B23" s="628">
        <v>1941.93</v>
      </c>
      <c r="C23" s="629">
        <v>92452</v>
      </c>
      <c r="D23" s="628">
        <f>VLOOKUP(C23,ORC.AUXILIAR!I:J,2,0)</f>
        <v>0</v>
      </c>
      <c r="G23" s="636">
        <f t="shared" si="0"/>
        <v>0</v>
      </c>
      <c r="H23" s="636">
        <f t="shared" si="1"/>
        <v>92452</v>
      </c>
      <c r="I23" s="637" t="str">
        <f>VLOOKUP(H23,ORC.AUXILIAR!I:P,4,0)</f>
        <v>M2</v>
      </c>
      <c r="J23" s="636">
        <f>VLOOKUP(H23,ORC.AUXILIAR!I:P,5,0)</f>
        <v>1879.52</v>
      </c>
      <c r="K23" s="638">
        <f t="shared" si="2"/>
        <v>1941.93</v>
      </c>
      <c r="L23" s="639">
        <f>VLOOKUP(H23,ORC.AUXILIAR!I:P,7,0)</f>
        <v>108.58</v>
      </c>
      <c r="M23" s="639">
        <f>VLOOKUP(H23,ORC.AUXILIAR!I:P,8,0)</f>
        <v>204078.28</v>
      </c>
      <c r="N23" s="639">
        <f t="shared" si="4"/>
        <v>396305734.28040004</v>
      </c>
      <c r="O23" s="639">
        <f t="shared" si="5"/>
        <v>5582238118.7761993</v>
      </c>
      <c r="P23" s="640">
        <f t="shared" si="3"/>
        <v>0.54413743129642711</v>
      </c>
    </row>
    <row r="24" spans="1:16">
      <c r="A24" s="627">
        <v>181540.18736026276</v>
      </c>
      <c r="B24" s="628">
        <v>10560.802057025174</v>
      </c>
      <c r="C24" s="629">
        <v>90105</v>
      </c>
      <c r="D24" s="628">
        <f>VLOOKUP(C24,ORC.AUXILIAR!I:J,2,0)</f>
        <v>0</v>
      </c>
      <c r="G24" s="636">
        <f t="shared" si="0"/>
        <v>0</v>
      </c>
      <c r="H24" s="636">
        <f t="shared" si="1"/>
        <v>90105</v>
      </c>
      <c r="I24" s="637" t="str">
        <f>VLOOKUP(H24,ORC.AUXILIAR!I:P,4,0)</f>
        <v>M3</v>
      </c>
      <c r="J24" s="636">
        <f>VLOOKUP(H24,ORC.AUXILIAR!I:P,5,0)</f>
        <v>0</v>
      </c>
      <c r="K24" s="638">
        <f t="shared" si="2"/>
        <v>10560.802057025174</v>
      </c>
      <c r="L24" s="639">
        <f>VLOOKUP(H24,ORC.AUXILIAR!I:P,7,0)</f>
        <v>17.190000000000001</v>
      </c>
      <c r="M24" s="639">
        <f>VLOOKUP(H24,ORC.AUXILIAR!I:P,8,0)</f>
        <v>0</v>
      </c>
      <c r="N24" s="639">
        <f t="shared" si="4"/>
        <v>0</v>
      </c>
      <c r="O24" s="639">
        <f t="shared" si="5"/>
        <v>5582238118.7761993</v>
      </c>
      <c r="P24" s="640">
        <f t="shared" si="3"/>
        <v>0.54413743129642711</v>
      </c>
    </row>
    <row r="25" spans="1:16">
      <c r="A25" s="627">
        <v>180448.63642621852</v>
      </c>
      <c r="B25" s="628">
        <v>3723.6615028109477</v>
      </c>
      <c r="C25" s="629" t="s">
        <v>18237</v>
      </c>
      <c r="D25" s="628">
        <f>VLOOKUP(C25,ORC.AUXILIAR!I:J,2,0)</f>
        <v>0</v>
      </c>
      <c r="G25" s="636">
        <f t="shared" si="0"/>
        <v>0</v>
      </c>
      <c r="H25" s="636" t="str">
        <f t="shared" si="1"/>
        <v>73964/6</v>
      </c>
      <c r="I25" s="637" t="str">
        <f>VLOOKUP(H25,ORC.AUXILIAR!I:P,4,0)</f>
        <v>M3</v>
      </c>
      <c r="J25" s="636">
        <f>VLOOKUP(H25,ORC.AUXILIAR!I:P,5,0)</f>
        <v>0</v>
      </c>
      <c r="K25" s="638">
        <f t="shared" si="2"/>
        <v>3723.6615028109477</v>
      </c>
      <c r="L25" s="639">
        <f>VLOOKUP(H25,ORC.AUXILIAR!I:P,7,0)</f>
        <v>48.46</v>
      </c>
      <c r="M25" s="639">
        <f>VLOOKUP(H25,ORC.AUXILIAR!I:P,8,0)</f>
        <v>0</v>
      </c>
      <c r="N25" s="639">
        <f t="shared" si="4"/>
        <v>0</v>
      </c>
      <c r="O25" s="639">
        <f t="shared" si="5"/>
        <v>5582238118.7761993</v>
      </c>
      <c r="P25" s="640">
        <f t="shared" si="3"/>
        <v>0.54413743129642711</v>
      </c>
    </row>
    <row r="26" spans="1:16">
      <c r="A26" s="627">
        <v>179841.46</v>
      </c>
      <c r="B26" s="628">
        <v>12791</v>
      </c>
      <c r="C26" s="629">
        <v>85180</v>
      </c>
      <c r="D26" s="628">
        <f>VLOOKUP(C26,ORC.AUXILIAR!I:J,2,0)</f>
        <v>0</v>
      </c>
      <c r="G26" s="636">
        <f t="shared" si="0"/>
        <v>0</v>
      </c>
      <c r="H26" s="636">
        <f t="shared" si="1"/>
        <v>85180</v>
      </c>
      <c r="I26" s="637" t="str">
        <f>VLOOKUP(H26,ORC.AUXILIAR!I:P,4,0)</f>
        <v>M2</v>
      </c>
      <c r="J26" s="636">
        <f>VLOOKUP(H26,ORC.AUXILIAR!I:P,5,0)</f>
        <v>12791</v>
      </c>
      <c r="K26" s="638">
        <f t="shared" si="2"/>
        <v>12791</v>
      </c>
      <c r="L26" s="639">
        <f>VLOOKUP(H26,ORC.AUXILIAR!I:P,7,0)</f>
        <v>14.06</v>
      </c>
      <c r="M26" s="639">
        <f>VLOOKUP(H26,ORC.AUXILIAR!I:P,8,0)</f>
        <v>179841.46</v>
      </c>
      <c r="N26" s="639">
        <f t="shared" si="4"/>
        <v>2300352114.8600001</v>
      </c>
      <c r="O26" s="639">
        <f t="shared" si="5"/>
        <v>7882590233.6362</v>
      </c>
      <c r="P26" s="640">
        <f t="shared" si="3"/>
        <v>0.76836786794638456</v>
      </c>
    </row>
    <row r="27" spans="1:16">
      <c r="A27" s="627">
        <v>169537.62</v>
      </c>
      <c r="B27" s="628">
        <v>2</v>
      </c>
      <c r="C27" s="629" t="s">
        <v>13281</v>
      </c>
      <c r="D27" s="628">
        <f>VLOOKUP(C27,ORC.AUXILIAR!I:J,2,0)</f>
        <v>0</v>
      </c>
      <c r="G27" s="636">
        <f t="shared" si="0"/>
        <v>0</v>
      </c>
      <c r="H27" s="636" t="str">
        <f t="shared" si="1"/>
        <v>TP.EQUI.07</v>
      </c>
      <c r="I27" s="637" t="str">
        <f>VLOOKUP(H27,ORC.AUXILIAR!I:P,4,0)</f>
        <v>cj</v>
      </c>
      <c r="J27" s="636">
        <f>VLOOKUP(H27,ORC.AUXILIAR!I:P,5,0)</f>
        <v>2</v>
      </c>
      <c r="K27" s="638">
        <f t="shared" si="2"/>
        <v>2</v>
      </c>
      <c r="L27" s="639">
        <f>VLOOKUP(H27,ORC.AUXILIAR!I:P,7,0)</f>
        <v>84768.81</v>
      </c>
      <c r="M27" s="639">
        <f>VLOOKUP(H27,ORC.AUXILIAR!I:P,8,0)</f>
        <v>169537.62</v>
      </c>
      <c r="N27" s="639">
        <f t="shared" si="4"/>
        <v>339075.24</v>
      </c>
      <c r="O27" s="639">
        <f t="shared" si="5"/>
        <v>7882929308.8761997</v>
      </c>
      <c r="P27" s="640">
        <f t="shared" si="3"/>
        <v>0.76840091983814984</v>
      </c>
    </row>
    <row r="28" spans="1:16">
      <c r="A28" s="627">
        <v>169424.99</v>
      </c>
      <c r="B28" s="628">
        <v>1</v>
      </c>
      <c r="C28" s="629" t="s">
        <v>12671</v>
      </c>
      <c r="D28" s="628">
        <f>VLOOKUP(C28,ORC.AUXILIAR!I:J,2,0)</f>
        <v>0</v>
      </c>
      <c r="G28" s="636">
        <f t="shared" si="0"/>
        <v>0</v>
      </c>
      <c r="H28" s="636" t="str">
        <f t="shared" si="1"/>
        <v>CP_REATOR.MAT.HIDR.</v>
      </c>
      <c r="I28" s="637" t="str">
        <f>VLOOKUP(H28,ORC.AUXILIAR!I:P,4,0)</f>
        <v>um.</v>
      </c>
      <c r="J28" s="636">
        <f>VLOOKUP(H28,ORC.AUXILIAR!I:P,5,0)</f>
        <v>1</v>
      </c>
      <c r="K28" s="638">
        <f t="shared" si="2"/>
        <v>1</v>
      </c>
      <c r="L28" s="639">
        <f>VLOOKUP(H28,ORC.AUXILIAR!I:P,7,0)</f>
        <v>169424.99</v>
      </c>
      <c r="M28" s="639">
        <f>VLOOKUP(H28,ORC.AUXILIAR!I:P,8,0)</f>
        <v>169424.99</v>
      </c>
      <c r="N28" s="639">
        <f t="shared" si="4"/>
        <v>169424.99</v>
      </c>
      <c r="O28" s="639">
        <f t="shared" si="5"/>
        <v>7883098733.8661995</v>
      </c>
      <c r="P28" s="640">
        <f t="shared" si="3"/>
        <v>0.76841743480524627</v>
      </c>
    </row>
    <row r="29" spans="1:16">
      <c r="A29" s="627">
        <v>167393.12</v>
      </c>
      <c r="B29" s="628">
        <v>8</v>
      </c>
      <c r="C29" s="629" t="s">
        <v>12703</v>
      </c>
      <c r="D29" s="628">
        <f>VLOOKUP(C29,ORC.AUXILIAR!I:J,2,0)</f>
        <v>0</v>
      </c>
      <c r="G29" s="636">
        <f t="shared" si="0"/>
        <v>0</v>
      </c>
      <c r="H29" s="636" t="str">
        <f t="shared" si="1"/>
        <v>RE.AI.04</v>
      </c>
      <c r="I29" s="637" t="str">
        <f>VLOOKUP(H29,ORC.AUXILIAR!I:P,4,0)</f>
        <v>un</v>
      </c>
      <c r="J29" s="636">
        <f>VLOOKUP(H29,ORC.AUXILIAR!I:P,5,0)</f>
        <v>8</v>
      </c>
      <c r="K29" s="638">
        <f t="shared" si="2"/>
        <v>8</v>
      </c>
      <c r="L29" s="639">
        <f>VLOOKUP(H29,ORC.AUXILIAR!I:P,7,0)</f>
        <v>20924.14</v>
      </c>
      <c r="M29" s="639">
        <f>VLOOKUP(H29,ORC.AUXILIAR!I:P,8,0)</f>
        <v>167393.12</v>
      </c>
      <c r="N29" s="639">
        <f t="shared" si="4"/>
        <v>1339144.96</v>
      </c>
      <c r="O29" s="639">
        <f t="shared" si="5"/>
        <v>7884437878.8261995</v>
      </c>
      <c r="P29" s="640">
        <f t="shared" si="3"/>
        <v>0.76854797006425235</v>
      </c>
    </row>
    <row r="30" spans="1:16">
      <c r="A30" s="627">
        <v>163700.6</v>
      </c>
      <c r="B30" s="628">
        <v>7</v>
      </c>
      <c r="C30" s="629" t="s">
        <v>13291</v>
      </c>
      <c r="D30" s="628">
        <f>VLOOKUP(C30,ORC.AUXILIAR!I:J,2,0)</f>
        <v>0</v>
      </c>
      <c r="G30" s="636">
        <f t="shared" si="0"/>
        <v>0</v>
      </c>
      <c r="H30" s="636" t="str">
        <f t="shared" si="1"/>
        <v>TP.COMPORTA.01</v>
      </c>
      <c r="I30" s="637" t="str">
        <f>VLOOKUP(H30,ORC.AUXILIAR!I:P,4,0)</f>
        <v>un</v>
      </c>
      <c r="J30" s="636">
        <f>VLOOKUP(H30,ORC.AUXILIAR!I:P,5,0)</f>
        <v>7</v>
      </c>
      <c r="K30" s="638">
        <f t="shared" si="2"/>
        <v>7</v>
      </c>
      <c r="L30" s="639">
        <f>VLOOKUP(H30,ORC.AUXILIAR!I:P,7,0)</f>
        <v>23385.8</v>
      </c>
      <c r="M30" s="639">
        <f>VLOOKUP(H30,ORC.AUXILIAR!I:P,8,0)</f>
        <v>163700.6</v>
      </c>
      <c r="N30" s="639">
        <f t="shared" si="4"/>
        <v>1145904.2</v>
      </c>
      <c r="O30" s="639">
        <f t="shared" si="5"/>
        <v>7885583783.0261993</v>
      </c>
      <c r="P30" s="640">
        <f t="shared" si="3"/>
        <v>0.76865966887656245</v>
      </c>
    </row>
    <row r="31" spans="1:16">
      <c r="A31" s="627">
        <v>153886.56</v>
      </c>
      <c r="B31" s="628">
        <v>48</v>
      </c>
      <c r="C31" s="629" t="s">
        <v>13054</v>
      </c>
      <c r="D31" s="628">
        <f>VLOOKUP(C31,ORC.AUXILIAR!I:J,2,0)</f>
        <v>0</v>
      </c>
      <c r="G31" s="636">
        <f t="shared" si="0"/>
        <v>0</v>
      </c>
      <c r="H31" s="636" t="str">
        <f t="shared" si="1"/>
        <v>RE.GR.03</v>
      </c>
      <c r="I31" s="637" t="str">
        <f>VLOOKUP(H31,ORC.AUXILIAR!I:P,4,0)</f>
        <v>pç</v>
      </c>
      <c r="J31" s="636">
        <f>VLOOKUP(H31,ORC.AUXILIAR!I:P,5,0)</f>
        <v>48</v>
      </c>
      <c r="K31" s="638">
        <f t="shared" si="2"/>
        <v>48</v>
      </c>
      <c r="L31" s="639">
        <f>VLOOKUP(H31,ORC.AUXILIAR!I:P,7,0)</f>
        <v>3205.97</v>
      </c>
      <c r="M31" s="639">
        <f>VLOOKUP(H31,ORC.AUXILIAR!I:P,8,0)</f>
        <v>153886.56</v>
      </c>
      <c r="N31" s="639">
        <f t="shared" si="4"/>
        <v>7386554.8799999999</v>
      </c>
      <c r="O31" s="639">
        <f t="shared" si="5"/>
        <v>7892970337.9061995</v>
      </c>
      <c r="P31" s="640">
        <f t="shared" si="3"/>
        <v>0.76937968491905517</v>
      </c>
    </row>
    <row r="32" spans="1:16">
      <c r="A32" s="627">
        <v>153834.53</v>
      </c>
      <c r="B32" s="628">
        <v>37</v>
      </c>
      <c r="C32" s="629" t="s">
        <v>14271</v>
      </c>
      <c r="D32" s="628">
        <f>VLOOKUP(C32,ORC.AUXILIAR!I:J,2,0)</f>
        <v>0</v>
      </c>
      <c r="G32" s="636">
        <f t="shared" si="0"/>
        <v>0</v>
      </c>
      <c r="H32" s="636" t="str">
        <f t="shared" si="1"/>
        <v>CT_TRAV.NÃO.DESTR.TUNEL LINER</v>
      </c>
      <c r="I32" s="637" t="str">
        <f>VLOOKUP(H32,ORC.AUXILIAR!I:P,4,0)</f>
        <v>M</v>
      </c>
      <c r="J32" s="636">
        <f>VLOOKUP(H32,ORC.AUXILIAR!I:P,5,0)</f>
        <v>37</v>
      </c>
      <c r="K32" s="638">
        <f t="shared" si="2"/>
        <v>37</v>
      </c>
      <c r="L32" s="639">
        <f>VLOOKUP(H32,ORC.AUXILIAR!I:P,7,0)</f>
        <v>5793.01</v>
      </c>
      <c r="M32" s="639">
        <f>VLOOKUP(H32,ORC.AUXILIAR!I:P,8,0)</f>
        <v>214341.37</v>
      </c>
      <c r="N32" s="639">
        <f t="shared" si="4"/>
        <v>7930630.6899999995</v>
      </c>
      <c r="O32" s="639">
        <f t="shared" si="5"/>
        <v>7900900968.596199</v>
      </c>
      <c r="P32" s="640">
        <f t="shared" si="3"/>
        <v>0.77015273560596553</v>
      </c>
    </row>
    <row r="33" spans="1:16">
      <c r="A33" s="627">
        <v>143860.60439999998</v>
      </c>
      <c r="B33" s="628">
        <v>1770.81</v>
      </c>
      <c r="C33" s="629" t="s">
        <v>20384</v>
      </c>
      <c r="D33" s="628">
        <f>VLOOKUP(C33,ORC.AUXILIAR!I:J,2,0)</f>
        <v>0</v>
      </c>
      <c r="G33" s="636">
        <f t="shared" si="0"/>
        <v>0</v>
      </c>
      <c r="H33" s="636" t="str">
        <f t="shared" si="1"/>
        <v>CT_ASSENT.TIJOLO</v>
      </c>
      <c r="I33" s="637" t="str">
        <f>VLOOKUP(H33,ORC.AUXILIAR!I:P,4,0)</f>
        <v>m²</v>
      </c>
      <c r="J33" s="636">
        <f>VLOOKUP(H33,ORC.AUXILIAR!I:P,5,0)</f>
        <v>1770.81</v>
      </c>
      <c r="K33" s="638">
        <f t="shared" si="2"/>
        <v>1770.81</v>
      </c>
      <c r="L33" s="639">
        <f>VLOOKUP(H33,ORC.AUXILIAR!I:P,7,0)</f>
        <v>81.239999999999995</v>
      </c>
      <c r="M33" s="639">
        <f>VLOOKUP(H33,ORC.AUXILIAR!I:P,8,0)</f>
        <v>143860.6</v>
      </c>
      <c r="N33" s="639">
        <f t="shared" si="4"/>
        <v>254749789.086</v>
      </c>
      <c r="O33" s="639">
        <f t="shared" si="5"/>
        <v>8155650757.6821995</v>
      </c>
      <c r="P33" s="640">
        <f t="shared" si="3"/>
        <v>0.7949848715534289</v>
      </c>
    </row>
    <row r="34" spans="1:16">
      <c r="A34" s="627">
        <v>130828.24</v>
      </c>
      <c r="B34" s="628">
        <v>2</v>
      </c>
      <c r="C34" s="629" t="s">
        <v>13313</v>
      </c>
      <c r="D34" s="628">
        <f>VLOOKUP(C34,ORC.AUXILIAR!I:J,2,0)</f>
        <v>0</v>
      </c>
      <c r="G34" s="636">
        <f t="shared" si="0"/>
        <v>0</v>
      </c>
      <c r="H34" s="636" t="str">
        <f t="shared" si="1"/>
        <v>TB.EQ.10</v>
      </c>
      <c r="I34" s="637" t="str">
        <f>VLOOKUP(H34,ORC.AUXILIAR!I:P,4,0)</f>
        <v>cj</v>
      </c>
      <c r="J34" s="636">
        <f>VLOOKUP(H34,ORC.AUXILIAR!I:P,5,0)</f>
        <v>2</v>
      </c>
      <c r="K34" s="638">
        <f t="shared" si="2"/>
        <v>2</v>
      </c>
      <c r="L34" s="639">
        <f>VLOOKUP(H34,ORC.AUXILIAR!I:P,7,0)</f>
        <v>65414.12</v>
      </c>
      <c r="M34" s="639">
        <f>VLOOKUP(H34,ORC.AUXILIAR!I:P,8,0)</f>
        <v>130828.24</v>
      </c>
      <c r="N34" s="639">
        <f t="shared" si="4"/>
        <v>261656.48</v>
      </c>
      <c r="O34" s="639">
        <f t="shared" si="5"/>
        <v>8155912414.162199</v>
      </c>
      <c r="P34" s="640">
        <f t="shared" si="3"/>
        <v>0.79501037692992482</v>
      </c>
    </row>
    <row r="35" spans="1:16">
      <c r="A35" s="627">
        <v>130828.24</v>
      </c>
      <c r="B35" s="628">
        <v>2</v>
      </c>
      <c r="C35" s="629" t="s">
        <v>13277</v>
      </c>
      <c r="D35" s="628">
        <f>VLOOKUP(C35,ORC.AUXILIAR!I:J,2,0)</f>
        <v>0</v>
      </c>
      <c r="G35" s="636">
        <f t="shared" si="0"/>
        <v>0</v>
      </c>
      <c r="H35" s="636" t="str">
        <f t="shared" si="1"/>
        <v>TP.EQUI.02</v>
      </c>
      <c r="I35" s="637" t="str">
        <f>VLOOKUP(H35,ORC.AUXILIAR!I:P,4,0)</f>
        <v>cj</v>
      </c>
      <c r="J35" s="636">
        <f>VLOOKUP(H35,ORC.AUXILIAR!I:P,5,0)</f>
        <v>2</v>
      </c>
      <c r="K35" s="638">
        <f t="shared" si="2"/>
        <v>2</v>
      </c>
      <c r="L35" s="639">
        <f>VLOOKUP(H35,ORC.AUXILIAR!I:P,7,0)</f>
        <v>65414.12</v>
      </c>
      <c r="M35" s="639">
        <f>VLOOKUP(H35,ORC.AUXILIAR!I:P,8,0)</f>
        <v>130828.24</v>
      </c>
      <c r="N35" s="639">
        <f t="shared" si="4"/>
        <v>261656.48</v>
      </c>
      <c r="O35" s="639">
        <f t="shared" si="5"/>
        <v>8156174070.6421986</v>
      </c>
      <c r="P35" s="640">
        <f t="shared" si="3"/>
        <v>0.79503588230642064</v>
      </c>
    </row>
    <row r="36" spans="1:16">
      <c r="A36" s="627">
        <v>127050.4412</v>
      </c>
      <c r="B36" s="628">
        <v>5822.66</v>
      </c>
      <c r="C36" s="629">
        <v>93367</v>
      </c>
      <c r="D36" s="628">
        <f>VLOOKUP(C36,ORC.AUXILIAR!I:J,2,0)</f>
        <v>0</v>
      </c>
      <c r="G36" s="636">
        <f t="shared" si="0"/>
        <v>0</v>
      </c>
      <c r="H36" s="636">
        <f t="shared" si="1"/>
        <v>93367</v>
      </c>
      <c r="I36" s="637" t="str">
        <f>VLOOKUP(H36,ORC.AUXILIAR!I:P,4,0)</f>
        <v>M3</v>
      </c>
      <c r="J36" s="636">
        <f>VLOOKUP(H36,ORC.AUXILIAR!I:P,5,0)</f>
        <v>183.1</v>
      </c>
      <c r="K36" s="638">
        <f t="shared" si="2"/>
        <v>5822.66</v>
      </c>
      <c r="L36" s="639">
        <f>VLOOKUP(H36,ORC.AUXILIAR!I:P,7,0)</f>
        <v>21.82</v>
      </c>
      <c r="M36" s="639">
        <f>VLOOKUP(H36,ORC.AUXILIAR!I:P,8,0)</f>
        <v>3995.24</v>
      </c>
      <c r="N36" s="639">
        <f t="shared" si="4"/>
        <v>23262924.1384</v>
      </c>
      <c r="O36" s="639">
        <f t="shared" si="5"/>
        <v>8179436994.7805986</v>
      </c>
      <c r="P36" s="640">
        <f t="shared" si="3"/>
        <v>0.79730347238691834</v>
      </c>
    </row>
    <row r="37" spans="1:16">
      <c r="A37" s="627">
        <v>126996.48000000001</v>
      </c>
      <c r="B37" s="628">
        <v>384</v>
      </c>
      <c r="C37" s="629" t="s">
        <v>14513</v>
      </c>
      <c r="D37" s="628">
        <f>VLOOKUP(C37,ORC.AUXILIAR!I:J,2,0)</f>
        <v>0</v>
      </c>
      <c r="G37" s="636">
        <f t="shared" si="0"/>
        <v>0</v>
      </c>
      <c r="H37" s="636" t="str">
        <f t="shared" si="1"/>
        <v>REATOR.AI.50</v>
      </c>
      <c r="I37" s="637" t="str">
        <f>VLOOKUP(H37,ORC.AUXILIAR!I:P,4,0)</f>
        <v>un</v>
      </c>
      <c r="J37" s="636">
        <f>VLOOKUP(H37,ORC.AUXILIAR!I:P,5,0)</f>
        <v>384</v>
      </c>
      <c r="K37" s="638">
        <f t="shared" si="2"/>
        <v>384</v>
      </c>
      <c r="L37" s="639">
        <f>VLOOKUP(H37,ORC.AUXILIAR!I:P,7,0)</f>
        <v>330.72</v>
      </c>
      <c r="M37" s="639">
        <f>VLOOKUP(H37,ORC.AUXILIAR!I:P,8,0)</f>
        <v>126996.48</v>
      </c>
      <c r="N37" s="639">
        <f t="shared" si="4"/>
        <v>48766648.32</v>
      </c>
      <c r="O37" s="639">
        <f t="shared" si="5"/>
        <v>8228203643.1005983</v>
      </c>
      <c r="P37" s="640">
        <f t="shared" si="3"/>
        <v>0.80205707805281179</v>
      </c>
    </row>
    <row r="38" spans="1:16">
      <c r="A38" s="627">
        <v>124189.44</v>
      </c>
      <c r="B38" s="628">
        <v>96</v>
      </c>
      <c r="C38" s="629" t="s">
        <v>13124</v>
      </c>
      <c r="D38" s="628">
        <f>VLOOKUP(C38,ORC.AUXILIAR!I:J,2,0)</f>
        <v>0</v>
      </c>
      <c r="G38" s="636">
        <f t="shared" si="0"/>
        <v>0</v>
      </c>
      <c r="H38" s="636" t="str">
        <f t="shared" si="1"/>
        <v>RE.VAL.04</v>
      </c>
      <c r="I38" s="637" t="str">
        <f>VLOOKUP(H38,ORC.AUXILIAR!I:P,4,0)</f>
        <v>pç</v>
      </c>
      <c r="J38" s="636">
        <f>VLOOKUP(H38,ORC.AUXILIAR!I:P,5,0)</f>
        <v>96</v>
      </c>
      <c r="K38" s="638">
        <f t="shared" si="2"/>
        <v>96</v>
      </c>
      <c r="L38" s="639">
        <f>VLOOKUP(H38,ORC.AUXILIAR!I:P,7,0)</f>
        <v>1293.6400000000001</v>
      </c>
      <c r="M38" s="639">
        <f>VLOOKUP(H38,ORC.AUXILIAR!I:P,8,0)</f>
        <v>124189.44</v>
      </c>
      <c r="N38" s="639">
        <f t="shared" si="4"/>
        <v>11922186.24</v>
      </c>
      <c r="O38" s="639">
        <f t="shared" si="5"/>
        <v>8240125829.3405981</v>
      </c>
      <c r="P38" s="640">
        <f t="shared" si="3"/>
        <v>0.80321921188838763</v>
      </c>
    </row>
    <row r="39" spans="1:16">
      <c r="A39" s="627">
        <v>123806.3697</v>
      </c>
      <c r="B39" s="628">
        <v>2859.93</v>
      </c>
      <c r="C39" s="629">
        <v>94273</v>
      </c>
      <c r="D39" s="628">
        <f>VLOOKUP(C39,ORC.AUXILIAR!I:J,2,0)</f>
        <v>0</v>
      </c>
      <c r="G39" s="636">
        <f t="shared" si="0"/>
        <v>0</v>
      </c>
      <c r="H39" s="636">
        <f t="shared" si="1"/>
        <v>94273</v>
      </c>
      <c r="I39" s="637" t="str">
        <f>VLOOKUP(H39,ORC.AUXILIAR!I:P,4,0)</f>
        <v>M</v>
      </c>
      <c r="J39" s="636">
        <f>VLOOKUP(H39,ORC.AUXILIAR!I:P,5,0)</f>
        <v>0</v>
      </c>
      <c r="K39" s="638">
        <f t="shared" si="2"/>
        <v>2859.93</v>
      </c>
      <c r="L39" s="639">
        <f>VLOOKUP(H39,ORC.AUXILIAR!I:P,7,0)</f>
        <v>43.29</v>
      </c>
      <c r="M39" s="639">
        <f>VLOOKUP(H39,ORC.AUXILIAR!I:P,8,0)</f>
        <v>0</v>
      </c>
      <c r="N39" s="639">
        <f t="shared" si="4"/>
        <v>0</v>
      </c>
      <c r="O39" s="639">
        <f t="shared" si="5"/>
        <v>8240125829.3405981</v>
      </c>
      <c r="P39" s="640">
        <f t="shared" si="3"/>
        <v>0.80321921188838763</v>
      </c>
    </row>
    <row r="40" spans="1:16">
      <c r="A40" s="627">
        <v>123559.67999999999</v>
      </c>
      <c r="B40" s="628">
        <v>384</v>
      </c>
      <c r="C40" s="629" t="s">
        <v>13233</v>
      </c>
      <c r="D40" s="628">
        <f>VLOOKUP(C40,ORC.AUXILIAR!I:J,2,0)</f>
        <v>0</v>
      </c>
      <c r="G40" s="636">
        <f t="shared" si="0"/>
        <v>0</v>
      </c>
      <c r="H40" s="636" t="str">
        <f t="shared" si="1"/>
        <v>RE.RPVC.25</v>
      </c>
      <c r="I40" s="637" t="str">
        <f>VLOOKUP(H40,ORC.AUXILIAR!I:P,4,0)</f>
        <v>m</v>
      </c>
      <c r="J40" s="636">
        <f>VLOOKUP(H40,ORC.AUXILIAR!I:P,5,0)</f>
        <v>384</v>
      </c>
      <c r="K40" s="638">
        <f t="shared" si="2"/>
        <v>384</v>
      </c>
      <c r="L40" s="639">
        <f>VLOOKUP(H40,ORC.AUXILIAR!I:P,7,0)</f>
        <v>321.77</v>
      </c>
      <c r="M40" s="639">
        <f>VLOOKUP(H40,ORC.AUXILIAR!I:P,8,0)</f>
        <v>123559.67999999999</v>
      </c>
      <c r="N40" s="639">
        <f t="shared" si="4"/>
        <v>47446917.119999997</v>
      </c>
      <c r="O40" s="639">
        <f t="shared" si="5"/>
        <v>8287572746.460598</v>
      </c>
      <c r="P40" s="640">
        <f t="shared" si="3"/>
        <v>0.8078441746820334</v>
      </c>
    </row>
    <row r="41" spans="1:16">
      <c r="A41" s="627">
        <v>122317.58685760001</v>
      </c>
      <c r="B41" s="628">
        <v>8889.3595100000002</v>
      </c>
      <c r="C41" s="629">
        <v>94045</v>
      </c>
      <c r="D41" s="628">
        <f>VLOOKUP(C41,ORC.AUXILIAR!I:J,2,0)</f>
        <v>0</v>
      </c>
      <c r="G41" s="636">
        <f t="shared" si="0"/>
        <v>0</v>
      </c>
      <c r="H41" s="636">
        <f t="shared" si="1"/>
        <v>94045</v>
      </c>
      <c r="I41" s="637" t="str">
        <f>VLOOKUP(H41,ORC.AUXILIAR!I:P,4,0)</f>
        <v>M2</v>
      </c>
      <c r="J41" s="636">
        <f>VLOOKUP(H41,ORC.AUXILIAR!I:P,5,0)</f>
        <v>0</v>
      </c>
      <c r="K41" s="638">
        <f t="shared" si="2"/>
        <v>8889.3595100000002</v>
      </c>
      <c r="L41" s="639">
        <f>VLOOKUP(H41,ORC.AUXILIAR!I:P,7,0)</f>
        <v>13.76</v>
      </c>
      <c r="M41" s="639">
        <f>VLOOKUP(H41,ORC.AUXILIAR!I:P,8,0)</f>
        <v>0</v>
      </c>
      <c r="N41" s="639">
        <f t="shared" si="4"/>
        <v>0</v>
      </c>
      <c r="O41" s="639">
        <f t="shared" si="5"/>
        <v>8287572746.460598</v>
      </c>
      <c r="P41" s="640">
        <f t="shared" si="3"/>
        <v>0.8078441746820334</v>
      </c>
    </row>
    <row r="42" spans="1:16">
      <c r="A42" s="627">
        <v>122272.59999999999</v>
      </c>
      <c r="B42" s="628">
        <v>380</v>
      </c>
      <c r="C42" s="629" t="s">
        <v>13207</v>
      </c>
      <c r="D42" s="628">
        <f>VLOOKUP(C42,ORC.AUXILIAR!I:J,2,0)</f>
        <v>0</v>
      </c>
      <c r="G42" s="636">
        <f t="shared" si="0"/>
        <v>0</v>
      </c>
      <c r="H42" s="636" t="str">
        <f t="shared" si="1"/>
        <v>RE.RPVC.15</v>
      </c>
      <c r="I42" s="637" t="str">
        <f>VLOOKUP(H42,ORC.AUXILIAR!I:P,4,0)</f>
        <v>m</v>
      </c>
      <c r="J42" s="636">
        <f>VLOOKUP(H42,ORC.AUXILIAR!I:P,5,0)</f>
        <v>380</v>
      </c>
      <c r="K42" s="638">
        <f t="shared" si="2"/>
        <v>380</v>
      </c>
      <c r="L42" s="639">
        <f>VLOOKUP(H42,ORC.AUXILIAR!I:P,7,0)</f>
        <v>321.77</v>
      </c>
      <c r="M42" s="639">
        <f>VLOOKUP(H42,ORC.AUXILIAR!I:P,8,0)</f>
        <v>122272.6</v>
      </c>
      <c r="N42" s="639">
        <f t="shared" si="4"/>
        <v>46463588</v>
      </c>
      <c r="O42" s="639">
        <f t="shared" si="5"/>
        <v>8334036334.460598</v>
      </c>
      <c r="P42" s="640">
        <f t="shared" si="3"/>
        <v>0.8123732859247258</v>
      </c>
    </row>
    <row r="43" spans="1:16">
      <c r="A43" s="627">
        <v>116411.55470000001</v>
      </c>
      <c r="B43" s="628">
        <v>10670.17</v>
      </c>
      <c r="C43" s="629">
        <v>92919</v>
      </c>
      <c r="D43" s="628">
        <f>VLOOKUP(C43,ORC.AUXILIAR!I:J,2,0)</f>
        <v>0</v>
      </c>
      <c r="G43" s="636">
        <f t="shared" si="0"/>
        <v>0</v>
      </c>
      <c r="H43" s="636">
        <f t="shared" si="1"/>
        <v>92919</v>
      </c>
      <c r="I43" s="637" t="str">
        <f>VLOOKUP(H43,ORC.AUXILIAR!I:P,4,0)</f>
        <v>KG</v>
      </c>
      <c r="J43" s="636">
        <f>VLOOKUP(H43,ORC.AUXILIAR!I:P,5,0)</f>
        <v>125</v>
      </c>
      <c r="K43" s="638">
        <f t="shared" si="2"/>
        <v>10670.17</v>
      </c>
      <c r="L43" s="639">
        <f>VLOOKUP(H43,ORC.AUXILIAR!I:P,7,0)</f>
        <v>10.91</v>
      </c>
      <c r="M43" s="639">
        <f>VLOOKUP(H43,ORC.AUXILIAR!I:P,8,0)</f>
        <v>1363.75</v>
      </c>
      <c r="N43" s="639">
        <f t="shared" si="4"/>
        <v>14551444.3375</v>
      </c>
      <c r="O43" s="639">
        <f t="shared" si="5"/>
        <v>8348587778.7980976</v>
      </c>
      <c r="P43" s="640">
        <f t="shared" si="3"/>
        <v>0.81379171082437807</v>
      </c>
    </row>
    <row r="44" spans="1:16">
      <c r="A44" s="627">
        <v>113783.67</v>
      </c>
      <c r="B44" s="628">
        <v>7</v>
      </c>
      <c r="C44" s="629" t="s">
        <v>13361</v>
      </c>
      <c r="D44" s="628">
        <f>VLOOKUP(C44,ORC.AUXILIAR!I:J,2,0)</f>
        <v>0</v>
      </c>
      <c r="G44" s="636">
        <f t="shared" si="0"/>
        <v>0</v>
      </c>
      <c r="H44" s="636" t="str">
        <f t="shared" si="1"/>
        <v>TP.CAÇAMBA.APOIO</v>
      </c>
      <c r="I44" s="637" t="str">
        <f>VLOOKUP(H44,ORC.AUXILIAR!I:P,4,0)</f>
        <v>UN</v>
      </c>
      <c r="J44" s="636">
        <f>VLOOKUP(H44,ORC.AUXILIAR!I:P,5,0)</f>
        <v>7</v>
      </c>
      <c r="K44" s="638">
        <f t="shared" si="2"/>
        <v>7</v>
      </c>
      <c r="L44" s="639">
        <f>VLOOKUP(H44,ORC.AUXILIAR!I:P,7,0)</f>
        <v>16254.81</v>
      </c>
      <c r="M44" s="639">
        <f>VLOOKUP(H44,ORC.AUXILIAR!I:P,8,0)</f>
        <v>113783.67</v>
      </c>
      <c r="N44" s="639">
        <f t="shared" si="4"/>
        <v>796485.69</v>
      </c>
      <c r="O44" s="639">
        <f t="shared" si="5"/>
        <v>8349384264.4880972</v>
      </c>
      <c r="P44" s="640">
        <f t="shared" si="3"/>
        <v>0.8138693495184286</v>
      </c>
    </row>
    <row r="45" spans="1:16">
      <c r="A45" s="627">
        <v>107160.6164</v>
      </c>
      <c r="B45" s="628">
        <v>11801.83</v>
      </c>
      <c r="C45" s="629">
        <v>92921</v>
      </c>
      <c r="D45" s="628">
        <f>VLOOKUP(C45,ORC.AUXILIAR!I:J,2,0)</f>
        <v>0</v>
      </c>
      <c r="G45" s="636">
        <f t="shared" si="0"/>
        <v>0</v>
      </c>
      <c r="H45" s="636">
        <f t="shared" si="1"/>
        <v>92921</v>
      </c>
      <c r="I45" s="637" t="str">
        <f>VLOOKUP(H45,ORC.AUXILIAR!I:P,4,0)</f>
        <v>KG</v>
      </c>
      <c r="J45" s="636">
        <f>VLOOKUP(H45,ORC.AUXILIAR!I:P,5,0)</f>
        <v>552</v>
      </c>
      <c r="K45" s="638">
        <f t="shared" si="2"/>
        <v>11801.83</v>
      </c>
      <c r="L45" s="639">
        <f>VLOOKUP(H45,ORC.AUXILIAR!I:P,7,0)</f>
        <v>9.08</v>
      </c>
      <c r="M45" s="639">
        <f>VLOOKUP(H45,ORC.AUXILIAR!I:P,8,0)</f>
        <v>5012.16</v>
      </c>
      <c r="N45" s="639">
        <f t="shared" si="4"/>
        <v>59152660.252799995</v>
      </c>
      <c r="O45" s="639">
        <f t="shared" si="5"/>
        <v>8408536924.7408972</v>
      </c>
      <c r="P45" s="640">
        <f t="shared" si="3"/>
        <v>0.81963534801570603</v>
      </c>
    </row>
    <row r="46" spans="1:16">
      <c r="A46" s="627">
        <v>105982.5</v>
      </c>
      <c r="B46" s="628">
        <v>3250</v>
      </c>
      <c r="C46" s="629">
        <v>92988</v>
      </c>
      <c r="D46" s="628">
        <f>VLOOKUP(C46,ORC.AUXILIAR!I:J,2,0)</f>
        <v>0</v>
      </c>
      <c r="G46" s="636">
        <f t="shared" si="0"/>
        <v>0</v>
      </c>
      <c r="H46" s="636">
        <f t="shared" si="1"/>
        <v>92988</v>
      </c>
      <c r="I46" s="637" t="str">
        <f>VLOOKUP(H46,ORC.AUXILIAR!I:P,4,0)</f>
        <v>m</v>
      </c>
      <c r="J46" s="636">
        <f>VLOOKUP(H46,ORC.AUXILIAR!I:P,5,0)</f>
        <v>2800</v>
      </c>
      <c r="K46" s="638">
        <f t="shared" si="2"/>
        <v>3250</v>
      </c>
      <c r="L46" s="639">
        <f>VLOOKUP(H46,ORC.AUXILIAR!I:P,7,0)</f>
        <v>32.61</v>
      </c>
      <c r="M46" s="639">
        <f>VLOOKUP(H46,ORC.AUXILIAR!I:P,8,0)</f>
        <v>91308</v>
      </c>
      <c r="N46" s="639">
        <f t="shared" si="4"/>
        <v>296751000</v>
      </c>
      <c r="O46" s="639">
        <f t="shared" si="5"/>
        <v>8705287924.7408981</v>
      </c>
      <c r="P46" s="640">
        <f t="shared" si="3"/>
        <v>0.84856161798823215</v>
      </c>
    </row>
    <row r="47" spans="1:16">
      <c r="A47" s="627">
        <v>103002</v>
      </c>
      <c r="B47" s="628">
        <v>8</v>
      </c>
      <c r="C47" s="629" t="s">
        <v>13717</v>
      </c>
      <c r="D47" s="628">
        <f>VLOOKUP(C47,ORC.AUXILIAR!I:J,2,0)</f>
        <v>0</v>
      </c>
      <c r="G47" s="636">
        <f t="shared" si="0"/>
        <v>0</v>
      </c>
      <c r="H47" s="636" t="str">
        <f t="shared" si="1"/>
        <v>QCM.EEE.20</v>
      </c>
      <c r="I47" s="637" t="str">
        <f>VLOOKUP(H47,ORC.AUXILIAR!I:P,4,0)</f>
        <v>Um</v>
      </c>
      <c r="J47" s="636">
        <f>VLOOKUP(H47,ORC.AUXILIAR!I:P,5,0)</f>
        <v>8</v>
      </c>
      <c r="K47" s="638">
        <f t="shared" si="2"/>
        <v>8</v>
      </c>
      <c r="L47" s="639">
        <f>VLOOKUP(H47,ORC.AUXILIAR!I:P,7,0)</f>
        <v>12701</v>
      </c>
      <c r="M47" s="639">
        <f>VLOOKUP(H47,ORC.AUXILIAR!I:P,8,0)</f>
        <v>101608</v>
      </c>
      <c r="N47" s="639">
        <f t="shared" si="4"/>
        <v>812864</v>
      </c>
      <c r="O47" s="639">
        <f t="shared" si="5"/>
        <v>8706100788.7408981</v>
      </c>
      <c r="P47" s="640">
        <f t="shared" si="3"/>
        <v>0.84864085318378313</v>
      </c>
    </row>
    <row r="48" spans="1:16">
      <c r="A48" s="627">
        <v>101021.64</v>
      </c>
      <c r="B48" s="628">
        <v>1</v>
      </c>
      <c r="C48" s="629" t="s">
        <v>13310</v>
      </c>
      <c r="D48" s="628">
        <f>VLOOKUP(C48,ORC.AUXILIAR!I:J,2,0)</f>
        <v>0</v>
      </c>
      <c r="G48" s="636">
        <f t="shared" si="0"/>
        <v>0</v>
      </c>
      <c r="H48" s="636" t="str">
        <f t="shared" si="1"/>
        <v>TB.EQ.07</v>
      </c>
      <c r="I48" s="637" t="str">
        <f>VLOOKUP(H48,ORC.AUXILIAR!I:P,4,0)</f>
        <v>cj</v>
      </c>
      <c r="J48" s="636">
        <f>VLOOKUP(H48,ORC.AUXILIAR!I:P,5,0)</f>
        <v>1</v>
      </c>
      <c r="K48" s="638">
        <f t="shared" si="2"/>
        <v>1</v>
      </c>
      <c r="L48" s="639">
        <f>VLOOKUP(H48,ORC.AUXILIAR!I:P,7,0)</f>
        <v>101021.64</v>
      </c>
      <c r="M48" s="639">
        <f>VLOOKUP(H48,ORC.AUXILIAR!I:P,8,0)</f>
        <v>101021.64</v>
      </c>
      <c r="N48" s="639">
        <f t="shared" si="4"/>
        <v>101021.64</v>
      </c>
      <c r="O48" s="639">
        <f t="shared" si="5"/>
        <v>8706201810.3808975</v>
      </c>
      <c r="P48" s="640">
        <f t="shared" si="3"/>
        <v>0.84865070042686463</v>
      </c>
    </row>
    <row r="49" spans="1:16">
      <c r="A49" s="627">
        <v>100431.36000000002</v>
      </c>
      <c r="B49" s="628">
        <v>576</v>
      </c>
      <c r="C49" s="629" t="s">
        <v>13091</v>
      </c>
      <c r="D49" s="628">
        <f>VLOOKUP(C49,ORC.AUXILIAR!I:J,2,0)</f>
        <v>0</v>
      </c>
      <c r="G49" s="636">
        <f t="shared" si="0"/>
        <v>0</v>
      </c>
      <c r="H49" s="636" t="str">
        <f t="shared" si="1"/>
        <v>REATOR.FB.03</v>
      </c>
      <c r="I49" s="637" t="str">
        <f>VLOOKUP(H49,ORC.AUXILIAR!I:P,4,0)</f>
        <v>un</v>
      </c>
      <c r="J49" s="636">
        <f>VLOOKUP(H49,ORC.AUXILIAR!I:P,5,0)</f>
        <v>576</v>
      </c>
      <c r="K49" s="638">
        <f t="shared" si="2"/>
        <v>576</v>
      </c>
      <c r="L49" s="639">
        <f>VLOOKUP(H49,ORC.AUXILIAR!I:P,7,0)</f>
        <v>174.36</v>
      </c>
      <c r="M49" s="639">
        <f>VLOOKUP(H49,ORC.AUXILIAR!I:P,8,0)</f>
        <v>100431.36</v>
      </c>
      <c r="N49" s="639">
        <f t="shared" si="4"/>
        <v>57848463.359999999</v>
      </c>
      <c r="O49" s="639">
        <f t="shared" si="5"/>
        <v>8764050273.7408981</v>
      </c>
      <c r="P49" s="640">
        <f t="shared" si="3"/>
        <v>0.85428957028289598</v>
      </c>
    </row>
    <row r="50" spans="1:16">
      <c r="A50" s="627">
        <v>97784.52</v>
      </c>
      <c r="B50" s="628">
        <v>6</v>
      </c>
      <c r="C50" s="629" t="s">
        <v>14428</v>
      </c>
      <c r="D50" s="628">
        <f>VLOOKUP(C50,ORC.AUXILIAR!I:J,2,0)</f>
        <v>0</v>
      </c>
      <c r="G50" s="636">
        <f t="shared" si="0"/>
        <v>0</v>
      </c>
      <c r="H50" s="636" t="str">
        <f t="shared" si="1"/>
        <v>CT_ESCADA.REATOR</v>
      </c>
      <c r="I50" s="637" t="str">
        <f>VLOOKUP(H50,ORC.AUXILIAR!I:P,4,0)</f>
        <v>UM</v>
      </c>
      <c r="J50" s="636">
        <f>VLOOKUP(H50,ORC.AUXILIAR!I:P,5,0)</f>
        <v>6</v>
      </c>
      <c r="K50" s="638">
        <f t="shared" si="2"/>
        <v>6</v>
      </c>
      <c r="L50" s="639">
        <f>VLOOKUP(H50,ORC.AUXILIAR!I:P,7,0)</f>
        <v>16297.42</v>
      </c>
      <c r="M50" s="639">
        <f>VLOOKUP(H50,ORC.AUXILIAR!I:P,8,0)</f>
        <v>97784.52</v>
      </c>
      <c r="N50" s="639">
        <f t="shared" si="4"/>
        <v>586707.12</v>
      </c>
      <c r="O50" s="639">
        <f t="shared" si="5"/>
        <v>8764636980.860899</v>
      </c>
      <c r="P50" s="640">
        <f t="shared" si="3"/>
        <v>0.85434676048123726</v>
      </c>
    </row>
    <row r="51" spans="1:16">
      <c r="A51" s="627">
        <v>94550.400000000009</v>
      </c>
      <c r="B51" s="628">
        <v>576</v>
      </c>
      <c r="C51" s="629" t="s">
        <v>14378</v>
      </c>
      <c r="D51" s="628">
        <f>VLOOKUP(C51,ORC.AUXILIAR!I:J,2,0)</f>
        <v>0</v>
      </c>
      <c r="G51" s="636">
        <f t="shared" si="0"/>
        <v>0</v>
      </c>
      <c r="H51" s="636" t="str">
        <f t="shared" si="1"/>
        <v>REATOR.FB.23</v>
      </c>
      <c r="I51" s="637" t="str">
        <f>VLOOKUP(H51,ORC.AUXILIAR!I:P,4,0)</f>
        <v>un</v>
      </c>
      <c r="J51" s="636">
        <f>VLOOKUP(H51,ORC.AUXILIAR!I:P,5,0)</f>
        <v>576</v>
      </c>
      <c r="K51" s="638">
        <f t="shared" si="2"/>
        <v>576</v>
      </c>
      <c r="L51" s="639">
        <f>VLOOKUP(H51,ORC.AUXILIAR!I:P,7,0)</f>
        <v>164.15</v>
      </c>
      <c r="M51" s="639">
        <f>VLOOKUP(H51,ORC.AUXILIAR!I:P,8,0)</f>
        <v>94550.399999999994</v>
      </c>
      <c r="N51" s="639">
        <f t="shared" si="4"/>
        <v>54461030.399999999</v>
      </c>
      <c r="O51" s="639">
        <f t="shared" si="5"/>
        <v>8819098011.2608986</v>
      </c>
      <c r="P51" s="640">
        <f t="shared" si="3"/>
        <v>0.85965543498724506</v>
      </c>
    </row>
    <row r="52" spans="1:16">
      <c r="A52" s="627">
        <v>92928.84</v>
      </c>
      <c r="B52" s="628">
        <v>4</v>
      </c>
      <c r="C52" s="629" t="s">
        <v>13289</v>
      </c>
      <c r="D52" s="628">
        <f>VLOOKUP(C52,ORC.AUXILIAR!I:J,2,0)</f>
        <v>0</v>
      </c>
      <c r="G52" s="636">
        <f t="shared" si="0"/>
        <v>0</v>
      </c>
      <c r="H52" s="636" t="str">
        <f t="shared" si="1"/>
        <v>CDR.EQUIP.01</v>
      </c>
      <c r="I52" s="637" t="str">
        <f>VLOOKUP(H52,ORC.AUXILIAR!I:P,4,0)</f>
        <v>pç</v>
      </c>
      <c r="J52" s="636">
        <f>VLOOKUP(H52,ORC.AUXILIAR!I:P,5,0)</f>
        <v>4</v>
      </c>
      <c r="K52" s="638">
        <f t="shared" si="2"/>
        <v>4</v>
      </c>
      <c r="L52" s="639">
        <f>VLOOKUP(H52,ORC.AUXILIAR!I:P,7,0)</f>
        <v>23232.21</v>
      </c>
      <c r="M52" s="639">
        <f>VLOOKUP(H52,ORC.AUXILIAR!I:P,8,0)</f>
        <v>92928.84</v>
      </c>
      <c r="N52" s="639">
        <f t="shared" si="4"/>
        <v>371715.36</v>
      </c>
      <c r="O52" s="639">
        <f t="shared" si="5"/>
        <v>8819469726.6208992</v>
      </c>
      <c r="P52" s="640">
        <f t="shared" si="3"/>
        <v>0.85969166852599077</v>
      </c>
    </row>
    <row r="53" spans="1:16">
      <c r="A53" s="627">
        <v>90649.38</v>
      </c>
      <c r="B53" s="628">
        <v>1</v>
      </c>
      <c r="C53" s="629" t="s">
        <v>11820</v>
      </c>
      <c r="D53" s="628">
        <f>VLOOKUP(C53,ORC.AUXILIAR!I:J,2,0)</f>
        <v>0</v>
      </c>
      <c r="G53" s="636">
        <f t="shared" si="0"/>
        <v>0</v>
      </c>
      <c r="H53" s="636" t="str">
        <f t="shared" si="1"/>
        <v>CP_TP.EQUIP.</v>
      </c>
      <c r="I53" s="637" t="str">
        <f>VLOOKUP(H53,ORC.AUXILIAR!I:P,4,0)</f>
        <v>um.</v>
      </c>
      <c r="J53" s="636">
        <f>VLOOKUP(H53,ORC.AUXILIAR!I:P,5,0)</f>
        <v>1</v>
      </c>
      <c r="K53" s="638">
        <f t="shared" si="2"/>
        <v>1</v>
      </c>
      <c r="L53" s="639">
        <f>VLOOKUP(H53,ORC.AUXILIAR!I:P,7,0)</f>
        <v>90649.38</v>
      </c>
      <c r="M53" s="639">
        <f>VLOOKUP(H53,ORC.AUXILIAR!I:P,8,0)</f>
        <v>90649.38</v>
      </c>
      <c r="N53" s="639">
        <f t="shared" si="4"/>
        <v>90649.38</v>
      </c>
      <c r="O53" s="639">
        <f t="shared" si="5"/>
        <v>8819560376.0008984</v>
      </c>
      <c r="P53" s="640">
        <f t="shared" si="3"/>
        <v>0.85970050471673209</v>
      </c>
    </row>
    <row r="54" spans="1:16">
      <c r="A54" s="627">
        <v>89107.975000000006</v>
      </c>
      <c r="B54" s="628">
        <v>432.5</v>
      </c>
      <c r="C54" s="629">
        <v>7744</v>
      </c>
      <c r="D54" s="628">
        <f>VLOOKUP(C54,ORC.AUXILIAR!I:J,2,0)</f>
        <v>0</v>
      </c>
      <c r="G54" s="636">
        <f t="shared" si="0"/>
        <v>0</v>
      </c>
      <c r="H54" s="636">
        <f t="shared" si="1"/>
        <v>7744</v>
      </c>
      <c r="I54" s="637" t="str">
        <f>VLOOKUP(H54,ORC.AUXILIAR!I:P,4,0)</f>
        <v>M</v>
      </c>
      <c r="J54" s="636">
        <f>VLOOKUP(H54,ORC.AUXILIAR!I:P,5,0)</f>
        <v>263</v>
      </c>
      <c r="K54" s="638">
        <f t="shared" si="2"/>
        <v>432.5</v>
      </c>
      <c r="L54" s="639">
        <f>VLOOKUP(H54,ORC.AUXILIAR!I:P,7,0)</f>
        <v>206.03</v>
      </c>
      <c r="M54" s="639">
        <f>VLOOKUP(H54,ORC.AUXILIAR!I:P,8,0)</f>
        <v>54185.89</v>
      </c>
      <c r="N54" s="639">
        <f t="shared" si="4"/>
        <v>23435397.425000001</v>
      </c>
      <c r="O54" s="639">
        <f t="shared" si="5"/>
        <v>8842995773.4258976</v>
      </c>
      <c r="P54" s="640">
        <f t="shared" si="3"/>
        <v>0.86198490690182661</v>
      </c>
    </row>
    <row r="55" spans="1:16">
      <c r="A55" s="627">
        <v>85518.581399999995</v>
      </c>
      <c r="B55" s="628">
        <v>738.63</v>
      </c>
      <c r="C55" s="629">
        <v>92486</v>
      </c>
      <c r="D55" s="628">
        <f>VLOOKUP(C55,ORC.AUXILIAR!I:J,2,0)</f>
        <v>0</v>
      </c>
      <c r="G55" s="636">
        <f t="shared" si="0"/>
        <v>0</v>
      </c>
      <c r="H55" s="636">
        <f t="shared" si="1"/>
        <v>92486</v>
      </c>
      <c r="I55" s="637" t="str">
        <f>VLOOKUP(H55,ORC.AUXILIAR!I:P,4,0)</f>
        <v>M2</v>
      </c>
      <c r="J55" s="636">
        <f>VLOOKUP(H55,ORC.AUXILIAR!I:P,5,0)</f>
        <v>738.63</v>
      </c>
      <c r="K55" s="638">
        <f t="shared" si="2"/>
        <v>738.63</v>
      </c>
      <c r="L55" s="639">
        <f>VLOOKUP(H55,ORC.AUXILIAR!I:P,7,0)</f>
        <v>115.78</v>
      </c>
      <c r="M55" s="639">
        <f>VLOOKUP(H55,ORC.AUXILIAR!I:P,8,0)</f>
        <v>85518.58</v>
      </c>
      <c r="N55" s="639">
        <f t="shared" si="4"/>
        <v>63166588.745400004</v>
      </c>
      <c r="O55" s="639">
        <f t="shared" si="5"/>
        <v>8906162362.1712971</v>
      </c>
      <c r="P55" s="640">
        <f t="shared" si="3"/>
        <v>0.86814216938550126</v>
      </c>
    </row>
    <row r="56" spans="1:16">
      <c r="A56" s="627">
        <v>85492.479999999996</v>
      </c>
      <c r="B56" s="628">
        <v>32</v>
      </c>
      <c r="C56" s="629" t="s">
        <v>13287</v>
      </c>
      <c r="D56" s="628">
        <f>VLOOKUP(C56,ORC.AUXILIAR!I:J,2,0)</f>
        <v>0</v>
      </c>
      <c r="G56" s="636">
        <f t="shared" si="0"/>
        <v>0</v>
      </c>
      <c r="H56" s="636" t="str">
        <f t="shared" si="1"/>
        <v>RE.EQUI.02</v>
      </c>
      <c r="I56" s="637" t="str">
        <f>VLOOKUP(H56,ORC.AUXILIAR!I:P,4,0)</f>
        <v>cj</v>
      </c>
      <c r="J56" s="636">
        <f>VLOOKUP(H56,ORC.AUXILIAR!I:P,5,0)</f>
        <v>32</v>
      </c>
      <c r="K56" s="638">
        <f t="shared" si="2"/>
        <v>32</v>
      </c>
      <c r="L56" s="639">
        <f>VLOOKUP(H56,ORC.AUXILIAR!I:P,7,0)</f>
        <v>2671.64</v>
      </c>
      <c r="M56" s="639">
        <f>VLOOKUP(H56,ORC.AUXILIAR!I:P,8,0)</f>
        <v>85492.479999999996</v>
      </c>
      <c r="N56" s="639">
        <f t="shared" si="4"/>
        <v>2735759.3599999999</v>
      </c>
      <c r="O56" s="639">
        <f t="shared" si="5"/>
        <v>8908898121.5312977</v>
      </c>
      <c r="P56" s="640">
        <f t="shared" si="3"/>
        <v>0.86840884182747191</v>
      </c>
    </row>
    <row r="57" spans="1:16">
      <c r="A57" s="627">
        <v>84218.697000000015</v>
      </c>
      <c r="B57" s="628">
        <v>352.35</v>
      </c>
      <c r="C57" s="629">
        <v>862</v>
      </c>
      <c r="D57" s="628">
        <f>VLOOKUP(C57,ORC.AUXILIAR!I:J,2,0)</f>
        <v>0</v>
      </c>
      <c r="G57" s="636">
        <f t="shared" si="0"/>
        <v>0</v>
      </c>
      <c r="H57" s="636">
        <f t="shared" si="1"/>
        <v>862</v>
      </c>
      <c r="I57" s="637" t="str">
        <f>VLOOKUP(H57,ORC.AUXILIAR!I:P,4,0)</f>
        <v>M</v>
      </c>
      <c r="J57" s="636">
        <f>VLOOKUP(H57,ORC.AUXILIAR!I:P,5,0)</f>
        <v>118</v>
      </c>
      <c r="K57" s="638">
        <f t="shared" si="2"/>
        <v>352.35</v>
      </c>
      <c r="L57" s="639">
        <f>VLOOKUP(H57,ORC.AUXILIAR!I:P,7,0)</f>
        <v>239.02</v>
      </c>
      <c r="M57" s="639">
        <f>VLOOKUP(H57,ORC.AUXILIAR!I:P,8,0)</f>
        <v>28204.36</v>
      </c>
      <c r="N57" s="639">
        <f t="shared" si="4"/>
        <v>9937806.2460000012</v>
      </c>
      <c r="O57" s="639">
        <f t="shared" si="5"/>
        <v>8918835927.777298</v>
      </c>
      <c r="P57" s="640">
        <f t="shared" si="3"/>
        <v>0.86937754510532594</v>
      </c>
    </row>
    <row r="58" spans="1:16">
      <c r="A58" s="627">
        <v>83274.076000000001</v>
      </c>
      <c r="B58" s="628">
        <v>258.8</v>
      </c>
      <c r="C58" s="629" t="s">
        <v>13231</v>
      </c>
      <c r="D58" s="628">
        <f>VLOOKUP(C58,ORC.AUXILIAR!I:J,2,0)</f>
        <v>0</v>
      </c>
      <c r="G58" s="636">
        <f t="shared" si="0"/>
        <v>0</v>
      </c>
      <c r="H58" s="636" t="str">
        <f t="shared" si="1"/>
        <v>LS.RPVC.07</v>
      </c>
      <c r="I58" s="637" t="str">
        <f>VLOOKUP(H58,ORC.AUXILIAR!I:P,4,0)</f>
        <v>m</v>
      </c>
      <c r="J58" s="636">
        <f>VLOOKUP(H58,ORC.AUXILIAR!I:P,5,0)</f>
        <v>258.8</v>
      </c>
      <c r="K58" s="638">
        <f t="shared" si="2"/>
        <v>258.8</v>
      </c>
      <c r="L58" s="639">
        <f>VLOOKUP(H58,ORC.AUXILIAR!I:P,7,0)</f>
        <v>321.77</v>
      </c>
      <c r="M58" s="639">
        <f>VLOOKUP(H58,ORC.AUXILIAR!I:P,8,0)</f>
        <v>83274.080000000002</v>
      </c>
      <c r="N58" s="639">
        <f t="shared" si="4"/>
        <v>21551331.904000003</v>
      </c>
      <c r="O58" s="639">
        <f t="shared" si="5"/>
        <v>8940387259.6812973</v>
      </c>
      <c r="P58" s="640">
        <f t="shared" si="3"/>
        <v>0.87147829504356578</v>
      </c>
    </row>
    <row r="59" spans="1:16">
      <c r="A59" s="627">
        <v>83225.31</v>
      </c>
      <c r="B59" s="628">
        <v>7</v>
      </c>
      <c r="C59" s="629" t="s">
        <v>13272</v>
      </c>
      <c r="D59" s="628">
        <f>VLOOKUP(C59,ORC.AUXILIAR!I:J,2,0)</f>
        <v>0</v>
      </c>
      <c r="G59" s="636">
        <f t="shared" si="0"/>
        <v>0</v>
      </c>
      <c r="H59" s="636" t="str">
        <f t="shared" si="1"/>
        <v>TP.CAÇAMBA</v>
      </c>
      <c r="I59" s="637" t="str">
        <f>VLOOKUP(H59,ORC.AUXILIAR!I:P,4,0)</f>
        <v>un</v>
      </c>
      <c r="J59" s="636">
        <f>VLOOKUP(H59,ORC.AUXILIAR!I:P,5,0)</f>
        <v>7</v>
      </c>
      <c r="K59" s="638">
        <f t="shared" si="2"/>
        <v>7</v>
      </c>
      <c r="L59" s="639">
        <f>VLOOKUP(H59,ORC.AUXILIAR!I:P,7,0)</f>
        <v>11889.33</v>
      </c>
      <c r="M59" s="639">
        <f>VLOOKUP(H59,ORC.AUXILIAR!I:P,8,0)</f>
        <v>83225.31</v>
      </c>
      <c r="N59" s="639">
        <f t="shared" si="4"/>
        <v>582577.16999999993</v>
      </c>
      <c r="O59" s="639">
        <f t="shared" si="5"/>
        <v>8940969836.8512974</v>
      </c>
      <c r="P59" s="640">
        <f t="shared" si="3"/>
        <v>0.87153508266854174</v>
      </c>
    </row>
    <row r="60" spans="1:16">
      <c r="A60" s="627">
        <v>75023.757900000011</v>
      </c>
      <c r="B60" s="628">
        <v>494.13</v>
      </c>
      <c r="C60" s="629">
        <v>229</v>
      </c>
      <c r="D60" s="628">
        <f>VLOOKUP(C60,ORC.AUXILIAR!I:J,2,0)</f>
        <v>0</v>
      </c>
      <c r="G60" s="636">
        <f t="shared" si="0"/>
        <v>0</v>
      </c>
      <c r="H60" s="636">
        <f t="shared" si="1"/>
        <v>229</v>
      </c>
      <c r="I60" s="637" t="str">
        <f>VLOOKUP(H60,ORC.AUXILIAR!I:P,4,0)</f>
        <v>M3</v>
      </c>
      <c r="J60" s="636">
        <f>VLOOKUP(H60,ORC.AUXILIAR!I:P,5,0)</f>
        <v>0</v>
      </c>
      <c r="K60" s="638">
        <f t="shared" si="2"/>
        <v>494.13</v>
      </c>
      <c r="L60" s="639">
        <f>VLOOKUP(H60,ORC.AUXILIAR!I:P,7,0)</f>
        <v>151.83000000000001</v>
      </c>
      <c r="M60" s="639">
        <f>VLOOKUP(H60,ORC.AUXILIAR!I:P,8,0)</f>
        <v>0</v>
      </c>
      <c r="N60" s="639">
        <f t="shared" si="4"/>
        <v>0</v>
      </c>
      <c r="O60" s="639">
        <f t="shared" si="5"/>
        <v>8940969836.8512974</v>
      </c>
      <c r="P60" s="640">
        <f t="shared" si="3"/>
        <v>0.87153508266854174</v>
      </c>
    </row>
    <row r="61" spans="1:16">
      <c r="A61" s="627">
        <v>74475.45</v>
      </c>
      <c r="B61" s="628">
        <v>2835</v>
      </c>
      <c r="C61" s="629">
        <v>4059</v>
      </c>
      <c r="D61" s="628">
        <f>VLOOKUP(C61,ORC.AUXILIAR!I:J,2,0)</f>
        <v>0</v>
      </c>
      <c r="G61" s="636">
        <f t="shared" si="0"/>
        <v>0</v>
      </c>
      <c r="H61" s="636">
        <f t="shared" si="1"/>
        <v>4059</v>
      </c>
      <c r="I61" s="637" t="str">
        <f>VLOOKUP(H61,ORC.AUXILIAR!I:P,4,0)</f>
        <v>M</v>
      </c>
      <c r="J61" s="636">
        <f>VLOOKUP(H61,ORC.AUXILIAR!I:P,5,0)</f>
        <v>2835</v>
      </c>
      <c r="K61" s="638">
        <f t="shared" si="2"/>
        <v>2835</v>
      </c>
      <c r="L61" s="639">
        <f>VLOOKUP(H61,ORC.AUXILIAR!I:P,7,0)</f>
        <v>26.27</v>
      </c>
      <c r="M61" s="639">
        <f>VLOOKUP(H61,ORC.AUXILIAR!I:P,8,0)</f>
        <v>74475.45</v>
      </c>
      <c r="N61" s="639">
        <f t="shared" si="4"/>
        <v>211137900.75</v>
      </c>
      <c r="O61" s="639">
        <f t="shared" si="5"/>
        <v>9152107737.6012974</v>
      </c>
      <c r="P61" s="640">
        <f t="shared" si="3"/>
        <v>0.89211608127857811</v>
      </c>
    </row>
    <row r="62" spans="1:16">
      <c r="A62" s="627">
        <v>72906.080000000002</v>
      </c>
      <c r="B62" s="628">
        <v>104</v>
      </c>
      <c r="C62" s="629" t="s">
        <v>13201</v>
      </c>
      <c r="D62" s="628">
        <f>VLOOKUP(C62,ORC.AUXILIAR!I:J,2,0)</f>
        <v>0</v>
      </c>
      <c r="G62" s="636">
        <f t="shared" si="0"/>
        <v>0</v>
      </c>
      <c r="H62" s="636" t="str">
        <f t="shared" si="1"/>
        <v>RE.RPVC.13</v>
      </c>
      <c r="I62" s="637" t="str">
        <f>VLOOKUP(H62,ORC.AUXILIAR!I:P,4,0)</f>
        <v>pç</v>
      </c>
      <c r="J62" s="636">
        <f>VLOOKUP(H62,ORC.AUXILIAR!I:P,5,0)</f>
        <v>104</v>
      </c>
      <c r="K62" s="638">
        <f t="shared" si="2"/>
        <v>104</v>
      </c>
      <c r="L62" s="639">
        <f>VLOOKUP(H62,ORC.AUXILIAR!I:P,7,0)</f>
        <v>701.02</v>
      </c>
      <c r="M62" s="639">
        <f>VLOOKUP(H62,ORC.AUXILIAR!I:P,8,0)</f>
        <v>72906.080000000002</v>
      </c>
      <c r="N62" s="639">
        <f t="shared" si="4"/>
        <v>7582232.3200000003</v>
      </c>
      <c r="O62" s="639">
        <f t="shared" si="5"/>
        <v>9159689969.9212971</v>
      </c>
      <c r="P62" s="640">
        <f t="shared" si="3"/>
        <v>0.89285517128697822</v>
      </c>
    </row>
    <row r="63" spans="1:16">
      <c r="A63" s="627">
        <v>71899.816924399973</v>
      </c>
      <c r="B63" s="628">
        <v>6419.6265111071407</v>
      </c>
      <c r="C63" s="629">
        <v>93381</v>
      </c>
      <c r="D63" s="628">
        <f>VLOOKUP(C63,ORC.AUXILIAR!I:J,2,0)</f>
        <v>0</v>
      </c>
      <c r="G63" s="636">
        <f t="shared" si="0"/>
        <v>0</v>
      </c>
      <c r="H63" s="636">
        <f t="shared" si="1"/>
        <v>93381</v>
      </c>
      <c r="I63" s="637" t="str">
        <f>VLOOKUP(H63,ORC.AUXILIAR!I:P,4,0)</f>
        <v>M3</v>
      </c>
      <c r="J63" s="636">
        <f>VLOOKUP(H63,ORC.AUXILIAR!I:P,5,0)</f>
        <v>0</v>
      </c>
      <c r="K63" s="638">
        <f t="shared" si="2"/>
        <v>6419.6265111071407</v>
      </c>
      <c r="L63" s="639">
        <f>VLOOKUP(H63,ORC.AUXILIAR!I:P,7,0)</f>
        <v>11.2</v>
      </c>
      <c r="M63" s="639">
        <f>VLOOKUP(H63,ORC.AUXILIAR!I:P,8,0)</f>
        <v>0</v>
      </c>
      <c r="N63" s="639">
        <f t="shared" si="4"/>
        <v>0</v>
      </c>
      <c r="O63" s="639">
        <f t="shared" si="5"/>
        <v>9159689969.9212971</v>
      </c>
      <c r="P63" s="640">
        <f t="shared" si="3"/>
        <v>0.89285517128697822</v>
      </c>
    </row>
    <row r="64" spans="1:16">
      <c r="A64" s="627">
        <v>70018</v>
      </c>
      <c r="B64" s="628">
        <v>50</v>
      </c>
      <c r="C64" s="629">
        <v>1737</v>
      </c>
      <c r="D64" s="628">
        <f>VLOOKUP(C64,ORC.AUXILIAR!I:J,2,0)</f>
        <v>0</v>
      </c>
      <c r="G64" s="636">
        <f t="shared" si="0"/>
        <v>0</v>
      </c>
      <c r="H64" s="636">
        <f t="shared" si="1"/>
        <v>1737</v>
      </c>
      <c r="I64" s="637" t="str">
        <f>VLOOKUP(H64,ORC.AUXILIAR!I:P,4,0)</f>
        <v>UN</v>
      </c>
      <c r="J64" s="636">
        <f>VLOOKUP(H64,ORC.AUXILIAR!I:P,5,0)</f>
        <v>0</v>
      </c>
      <c r="K64" s="638">
        <f t="shared" si="2"/>
        <v>50</v>
      </c>
      <c r="L64" s="639">
        <f>VLOOKUP(H64,ORC.AUXILIAR!I:P,7,0)</f>
        <v>1400.36</v>
      </c>
      <c r="M64" s="639">
        <f>VLOOKUP(H64,ORC.AUXILIAR!I:P,8,0)</f>
        <v>0</v>
      </c>
      <c r="N64" s="639">
        <f t="shared" si="4"/>
        <v>0</v>
      </c>
      <c r="O64" s="639">
        <f t="shared" si="5"/>
        <v>9159689969.9212971</v>
      </c>
      <c r="P64" s="640">
        <f t="shared" si="3"/>
        <v>0.89285517128697822</v>
      </c>
    </row>
    <row r="65" spans="1:16">
      <c r="A65" s="627">
        <v>68691.14</v>
      </c>
      <c r="B65" s="628">
        <v>1421</v>
      </c>
      <c r="C65" s="629">
        <v>94283</v>
      </c>
      <c r="D65" s="628">
        <f>VLOOKUP(C65,ORC.AUXILIAR!I:J,2,0)</f>
        <v>0</v>
      </c>
      <c r="G65" s="636">
        <f t="shared" si="0"/>
        <v>0</v>
      </c>
      <c r="H65" s="636">
        <f t="shared" si="1"/>
        <v>94283</v>
      </c>
      <c r="I65" s="637" t="str">
        <f>VLOOKUP(H65,ORC.AUXILIAR!I:P,4,0)</f>
        <v>M</v>
      </c>
      <c r="J65" s="636">
        <f>VLOOKUP(H65,ORC.AUXILIAR!I:P,5,0)</f>
        <v>1421</v>
      </c>
      <c r="K65" s="638">
        <f t="shared" si="2"/>
        <v>1421</v>
      </c>
      <c r="L65" s="639">
        <f>VLOOKUP(H65,ORC.AUXILIAR!I:P,7,0)</f>
        <v>48.34</v>
      </c>
      <c r="M65" s="639">
        <f>VLOOKUP(H65,ORC.AUXILIAR!I:P,8,0)</f>
        <v>68691.14</v>
      </c>
      <c r="N65" s="639">
        <f t="shared" si="4"/>
        <v>97610109.939999998</v>
      </c>
      <c r="O65" s="639">
        <f t="shared" si="5"/>
        <v>9257300079.8612976</v>
      </c>
      <c r="P65" s="640">
        <f t="shared" si="3"/>
        <v>0.90236987011586978</v>
      </c>
    </row>
    <row r="66" spans="1:16">
      <c r="A66" s="627">
        <v>67116</v>
      </c>
      <c r="B66" s="628">
        <v>48</v>
      </c>
      <c r="C66" s="629" t="s">
        <v>14422</v>
      </c>
      <c r="D66" s="628">
        <f>VLOOKUP(C66,ORC.AUXILIAR!I:J,2,0)</f>
        <v>0</v>
      </c>
      <c r="G66" s="636">
        <f t="shared" si="0"/>
        <v>0</v>
      </c>
      <c r="H66" s="636" t="str">
        <f t="shared" si="1"/>
        <v>REATOR.FB.45</v>
      </c>
      <c r="I66" s="637" t="str">
        <f>VLOOKUP(H66,ORC.AUXILIAR!I:P,4,0)</f>
        <v>un</v>
      </c>
      <c r="J66" s="636">
        <f>VLOOKUP(H66,ORC.AUXILIAR!I:P,5,0)</f>
        <v>48</v>
      </c>
      <c r="K66" s="638">
        <f t="shared" si="2"/>
        <v>48</v>
      </c>
      <c r="L66" s="639">
        <f>VLOOKUP(H66,ORC.AUXILIAR!I:P,7,0)</f>
        <v>1398.25</v>
      </c>
      <c r="M66" s="639">
        <f>VLOOKUP(H66,ORC.AUXILIAR!I:P,8,0)</f>
        <v>67116</v>
      </c>
      <c r="N66" s="639">
        <f t="shared" si="4"/>
        <v>3221568</v>
      </c>
      <c r="O66" s="639">
        <f t="shared" si="5"/>
        <v>9260521647.8612976</v>
      </c>
      <c r="P66" s="640">
        <f t="shared" si="3"/>
        <v>0.90268389751831435</v>
      </c>
    </row>
    <row r="67" spans="1:16">
      <c r="A67" s="627">
        <v>66594.080000000002</v>
      </c>
      <c r="B67" s="628">
        <v>2</v>
      </c>
      <c r="C67" s="629" t="s">
        <v>13308</v>
      </c>
      <c r="D67" s="628">
        <f>VLOOKUP(C67,ORC.AUXILIAR!I:J,2,0)</f>
        <v>0</v>
      </c>
      <c r="G67" s="636">
        <f t="shared" si="0"/>
        <v>0</v>
      </c>
      <c r="H67" s="636" t="str">
        <f t="shared" si="1"/>
        <v>TB.EQ.05</v>
      </c>
      <c r="I67" s="637" t="str">
        <f>VLOOKUP(H67,ORC.AUXILIAR!I:P,4,0)</f>
        <v>cj</v>
      </c>
      <c r="J67" s="636">
        <f>VLOOKUP(H67,ORC.AUXILIAR!I:P,5,0)</f>
        <v>2</v>
      </c>
      <c r="K67" s="638">
        <f t="shared" si="2"/>
        <v>2</v>
      </c>
      <c r="L67" s="639">
        <f>VLOOKUP(H67,ORC.AUXILIAR!I:P,7,0)</f>
        <v>33297.040000000001</v>
      </c>
      <c r="M67" s="639">
        <f>VLOOKUP(H67,ORC.AUXILIAR!I:P,8,0)</f>
        <v>66594.080000000002</v>
      </c>
      <c r="N67" s="639">
        <f t="shared" si="4"/>
        <v>133188.16</v>
      </c>
      <c r="O67" s="639">
        <f t="shared" si="5"/>
        <v>9260654836.0212975</v>
      </c>
      <c r="P67" s="640">
        <f t="shared" si="3"/>
        <v>0.90269688024347217</v>
      </c>
    </row>
    <row r="68" spans="1:16">
      <c r="A68" s="627">
        <v>65319.31</v>
      </c>
      <c r="B68" s="628">
        <v>203</v>
      </c>
      <c r="C68" s="629" t="s">
        <v>13225</v>
      </c>
      <c r="D68" s="628">
        <f>VLOOKUP(C68,ORC.AUXILIAR!I:J,2,0)</f>
        <v>0</v>
      </c>
      <c r="G68" s="636">
        <f t="shared" si="0"/>
        <v>0</v>
      </c>
      <c r="H68" s="636" t="str">
        <f t="shared" si="1"/>
        <v>RE.RPVC.24</v>
      </c>
      <c r="I68" s="637" t="str">
        <f>VLOOKUP(H68,ORC.AUXILIAR!I:P,4,0)</f>
        <v>m</v>
      </c>
      <c r="J68" s="636">
        <f>VLOOKUP(H68,ORC.AUXILIAR!I:P,5,0)</f>
        <v>203</v>
      </c>
      <c r="K68" s="638">
        <f t="shared" si="2"/>
        <v>203</v>
      </c>
      <c r="L68" s="639">
        <f>VLOOKUP(H68,ORC.AUXILIAR!I:P,7,0)</f>
        <v>321.77</v>
      </c>
      <c r="M68" s="639">
        <f>VLOOKUP(H68,ORC.AUXILIAR!I:P,8,0)</f>
        <v>65319.31</v>
      </c>
      <c r="N68" s="639">
        <f t="shared" si="4"/>
        <v>13259819.93</v>
      </c>
      <c r="O68" s="639">
        <f t="shared" si="5"/>
        <v>9273914655.9512978</v>
      </c>
      <c r="P68" s="640">
        <f t="shared" si="3"/>
        <v>0.9039894020246364</v>
      </c>
    </row>
    <row r="69" spans="1:16">
      <c r="A69" s="627">
        <v>64548.725699999995</v>
      </c>
      <c r="B69" s="628">
        <v>110.47</v>
      </c>
      <c r="C69" s="629">
        <v>87372</v>
      </c>
      <c r="D69" s="628">
        <f>VLOOKUP(C69,ORC.AUXILIAR!I:J,2,0)</f>
        <v>0</v>
      </c>
      <c r="G69" s="636">
        <f t="shared" si="0"/>
        <v>0</v>
      </c>
      <c r="H69" s="636">
        <f t="shared" si="1"/>
        <v>87372</v>
      </c>
      <c r="I69" s="637" t="str">
        <f>VLOOKUP(H69,ORC.AUXILIAR!I:P,4,0)</f>
        <v>M3</v>
      </c>
      <c r="J69" s="636">
        <f>VLOOKUP(H69,ORC.AUXILIAR!I:P,5,0)</f>
        <v>110.47</v>
      </c>
      <c r="K69" s="638">
        <f t="shared" si="2"/>
        <v>110.47</v>
      </c>
      <c r="L69" s="639">
        <f>VLOOKUP(H69,ORC.AUXILIAR!I:P,7,0)</f>
        <v>584.30999999999995</v>
      </c>
      <c r="M69" s="639">
        <f>VLOOKUP(H69,ORC.AUXILIAR!I:P,8,0)</f>
        <v>64548.73</v>
      </c>
      <c r="N69" s="639">
        <f t="shared" si="4"/>
        <v>7130698.2031000005</v>
      </c>
      <c r="O69" s="639">
        <f t="shared" si="5"/>
        <v>9281045354.154398</v>
      </c>
      <c r="P69" s="640">
        <f t="shared" si="3"/>
        <v>0.90468447803555296</v>
      </c>
    </row>
    <row r="70" spans="1:16">
      <c r="A70" s="627">
        <v>60246.893999999993</v>
      </c>
      <c r="B70" s="628">
        <v>339.4</v>
      </c>
      <c r="C70" s="629">
        <v>92446</v>
      </c>
      <c r="D70" s="628">
        <f>VLOOKUP(C70,ORC.AUXILIAR!I:J,2,0)</f>
        <v>0</v>
      </c>
      <c r="G70" s="636">
        <f t="shared" ref="G70:G133" si="6">D70</f>
        <v>0</v>
      </c>
      <c r="H70" s="636">
        <f t="shared" ref="H70:H133" si="7">C70</f>
        <v>92446</v>
      </c>
      <c r="I70" s="637" t="str">
        <f>VLOOKUP(H70,ORC.AUXILIAR!I:P,4,0)</f>
        <v>M2</v>
      </c>
      <c r="J70" s="636">
        <f>VLOOKUP(H70,ORC.AUXILIAR!I:P,5,0)</f>
        <v>339.4</v>
      </c>
      <c r="K70" s="638">
        <f t="shared" ref="K70:K133" si="8">B70</f>
        <v>339.4</v>
      </c>
      <c r="L70" s="639">
        <f>VLOOKUP(H70,ORC.AUXILIAR!I:P,7,0)</f>
        <v>177.51</v>
      </c>
      <c r="M70" s="639">
        <f>VLOOKUP(H70,ORC.AUXILIAR!I:P,8,0)</f>
        <v>60246.89</v>
      </c>
      <c r="N70" s="639">
        <f t="shared" si="4"/>
        <v>20447794.465999998</v>
      </c>
      <c r="O70" s="639">
        <f t="shared" si="5"/>
        <v>9301493148.6203976</v>
      </c>
      <c r="P70" s="640">
        <f t="shared" ref="P70:P133" si="9">O70/N$4</f>
        <v>0.90667765892817409</v>
      </c>
    </row>
    <row r="71" spans="1:16">
      <c r="A71" s="627">
        <v>59361.600000000006</v>
      </c>
      <c r="B71" s="628">
        <v>96</v>
      </c>
      <c r="C71" s="629" t="s">
        <v>12962</v>
      </c>
      <c r="D71" s="628">
        <f>VLOOKUP(C71,ORC.AUXILIAR!I:J,2,0)</f>
        <v>0</v>
      </c>
      <c r="G71" s="636">
        <f t="shared" si="6"/>
        <v>0</v>
      </c>
      <c r="H71" s="636" t="str">
        <f t="shared" si="7"/>
        <v>RE.F°F°.33</v>
      </c>
      <c r="I71" s="637" t="str">
        <f>VLOOKUP(H71,ORC.AUXILIAR!I:P,4,0)</f>
        <v>pç</v>
      </c>
      <c r="J71" s="636">
        <f>VLOOKUP(H71,ORC.AUXILIAR!I:P,5,0)</f>
        <v>96</v>
      </c>
      <c r="K71" s="638">
        <f t="shared" si="8"/>
        <v>96</v>
      </c>
      <c r="L71" s="639">
        <f>VLOOKUP(H71,ORC.AUXILIAR!I:P,7,0)</f>
        <v>618.35</v>
      </c>
      <c r="M71" s="639">
        <f>VLOOKUP(H71,ORC.AUXILIAR!I:P,8,0)</f>
        <v>59361.599999999999</v>
      </c>
      <c r="N71" s="639">
        <f t="shared" ref="N71:N134" si="10">K71*M71</f>
        <v>5698713.5999999996</v>
      </c>
      <c r="O71" s="639">
        <f t="shared" ref="O71:O134" si="11">N71+O70</f>
        <v>9307191862.2203979</v>
      </c>
      <c r="P71" s="640">
        <f t="shared" si="9"/>
        <v>0.90723314999000615</v>
      </c>
    </row>
    <row r="72" spans="1:16">
      <c r="A72" s="627">
        <v>59185.684999999998</v>
      </c>
      <c r="B72" s="628">
        <v>402.35</v>
      </c>
      <c r="C72" s="629">
        <v>94116</v>
      </c>
      <c r="D72" s="628">
        <f>VLOOKUP(C72,ORC.AUXILIAR!I:J,2,0)</f>
        <v>0</v>
      </c>
      <c r="G72" s="636">
        <f t="shared" si="6"/>
        <v>0</v>
      </c>
      <c r="H72" s="636">
        <f t="shared" si="7"/>
        <v>94116</v>
      </c>
      <c r="I72" s="637" t="str">
        <f>VLOOKUP(H72,ORC.AUXILIAR!I:P,4,0)</f>
        <v>M3</v>
      </c>
      <c r="J72" s="636">
        <f>VLOOKUP(H72,ORC.AUXILIAR!I:P,5,0)</f>
        <v>2.59</v>
      </c>
      <c r="K72" s="638">
        <f t="shared" si="8"/>
        <v>402.35</v>
      </c>
      <c r="L72" s="639">
        <f>VLOOKUP(H72,ORC.AUXILIAR!I:P,7,0)</f>
        <v>147.1</v>
      </c>
      <c r="M72" s="639">
        <f>VLOOKUP(H72,ORC.AUXILIAR!I:P,8,0)</f>
        <v>380.99</v>
      </c>
      <c r="N72" s="639">
        <f t="shared" si="10"/>
        <v>153291.32650000002</v>
      </c>
      <c r="O72" s="639">
        <f t="shared" si="11"/>
        <v>9307345153.5468979</v>
      </c>
      <c r="P72" s="640">
        <f t="shared" si="9"/>
        <v>0.90724809230290415</v>
      </c>
    </row>
    <row r="73" spans="1:16">
      <c r="A73" s="627">
        <v>58983.839999999997</v>
      </c>
      <c r="B73" s="628">
        <v>48</v>
      </c>
      <c r="C73" s="629" t="s">
        <v>12964</v>
      </c>
      <c r="D73" s="628">
        <f>VLOOKUP(C73,ORC.AUXILIAR!I:J,2,0)</f>
        <v>0</v>
      </c>
      <c r="G73" s="636">
        <f t="shared" si="6"/>
        <v>0</v>
      </c>
      <c r="H73" s="636" t="str">
        <f t="shared" si="7"/>
        <v>RE.F°F°.34</v>
      </c>
      <c r="I73" s="637" t="str">
        <f>VLOOKUP(H73,ORC.AUXILIAR!I:P,4,0)</f>
        <v>pç</v>
      </c>
      <c r="J73" s="636">
        <f>VLOOKUP(H73,ORC.AUXILIAR!I:P,5,0)</f>
        <v>48</v>
      </c>
      <c r="K73" s="638">
        <f t="shared" si="8"/>
        <v>48</v>
      </c>
      <c r="L73" s="639">
        <f>VLOOKUP(H73,ORC.AUXILIAR!I:P,7,0)</f>
        <v>1228.83</v>
      </c>
      <c r="M73" s="639">
        <f>VLOOKUP(H73,ORC.AUXILIAR!I:P,8,0)</f>
        <v>58983.839999999997</v>
      </c>
      <c r="N73" s="639">
        <f t="shared" si="10"/>
        <v>2831224.32</v>
      </c>
      <c r="O73" s="639">
        <f t="shared" si="11"/>
        <v>9310176377.8668976</v>
      </c>
      <c r="P73" s="640">
        <f t="shared" si="9"/>
        <v>0.90752407034184279</v>
      </c>
    </row>
    <row r="74" spans="1:16">
      <c r="A74" s="627">
        <v>58404.502800000009</v>
      </c>
      <c r="B74" s="628">
        <v>207.86</v>
      </c>
      <c r="C74" s="629">
        <v>34492</v>
      </c>
      <c r="D74" s="628">
        <f>VLOOKUP(C74,ORC.AUXILIAR!I:J,2,0)</f>
        <v>0</v>
      </c>
      <c r="G74" s="636">
        <f t="shared" si="6"/>
        <v>0</v>
      </c>
      <c r="H74" s="636">
        <f t="shared" si="7"/>
        <v>34492</v>
      </c>
      <c r="I74" s="637" t="str">
        <f>VLOOKUP(H74,ORC.AUXILIAR!I:P,4,0)</f>
        <v>M3</v>
      </c>
      <c r="J74" s="636">
        <f>VLOOKUP(H74,ORC.AUXILIAR!I:P,5,0)</f>
        <v>207.86</v>
      </c>
      <c r="K74" s="638">
        <f t="shared" si="8"/>
        <v>207.86</v>
      </c>
      <c r="L74" s="639">
        <f>VLOOKUP(H74,ORC.AUXILIAR!I:P,7,0)</f>
        <v>280.98</v>
      </c>
      <c r="M74" s="639">
        <f>VLOOKUP(H74,ORC.AUXILIAR!I:P,8,0)</f>
        <v>58404.5</v>
      </c>
      <c r="N74" s="639">
        <f t="shared" si="10"/>
        <v>12139959.370000001</v>
      </c>
      <c r="O74" s="639">
        <f t="shared" si="11"/>
        <v>9322316337.2368984</v>
      </c>
      <c r="P74" s="640">
        <f t="shared" si="9"/>
        <v>0.90870743195542503</v>
      </c>
    </row>
    <row r="75" spans="1:16">
      <c r="A75" s="627">
        <v>57369.9</v>
      </c>
      <c r="B75" s="628">
        <v>2</v>
      </c>
      <c r="C75" s="629" t="s">
        <v>13088</v>
      </c>
      <c r="D75" s="628">
        <f>VLOOKUP(C75,ORC.AUXILIAR!I:J,2,0)</f>
        <v>0</v>
      </c>
      <c r="G75" s="636">
        <f t="shared" si="6"/>
        <v>0</v>
      </c>
      <c r="H75" s="636" t="str">
        <f t="shared" si="7"/>
        <v>RE.RPVC.12</v>
      </c>
      <c r="I75" s="637" t="str">
        <f>VLOOKUP(H75,ORC.AUXILIAR!I:P,4,0)</f>
        <v>cj</v>
      </c>
      <c r="J75" s="636">
        <f>VLOOKUP(H75,ORC.AUXILIAR!I:P,5,0)</f>
        <v>2</v>
      </c>
      <c r="K75" s="638">
        <f t="shared" si="8"/>
        <v>2</v>
      </c>
      <c r="L75" s="639">
        <f>VLOOKUP(H75,ORC.AUXILIAR!I:P,7,0)</f>
        <v>28684.95</v>
      </c>
      <c r="M75" s="639">
        <f>VLOOKUP(H75,ORC.AUXILIAR!I:P,8,0)</f>
        <v>57369.9</v>
      </c>
      <c r="N75" s="639">
        <f t="shared" si="10"/>
        <v>114739.8</v>
      </c>
      <c r="O75" s="639">
        <f t="shared" si="11"/>
        <v>9322431077.0368977</v>
      </c>
      <c r="P75" s="640">
        <f t="shared" si="9"/>
        <v>0.90871861639770612</v>
      </c>
    </row>
    <row r="76" spans="1:16">
      <c r="A76" s="627">
        <v>57369.9</v>
      </c>
      <c r="B76" s="628">
        <v>2</v>
      </c>
      <c r="C76" s="629" t="s">
        <v>13086</v>
      </c>
      <c r="D76" s="628">
        <f>VLOOKUP(C76,ORC.AUXILIAR!I:J,2,0)</f>
        <v>0</v>
      </c>
      <c r="G76" s="636">
        <f t="shared" si="6"/>
        <v>0</v>
      </c>
      <c r="H76" s="636" t="str">
        <f t="shared" si="7"/>
        <v>TH.TQ.01</v>
      </c>
      <c r="I76" s="637" t="str">
        <f>VLOOKUP(H76,ORC.AUXILIAR!I:P,4,0)</f>
        <v>um</v>
      </c>
      <c r="J76" s="636">
        <f>VLOOKUP(H76,ORC.AUXILIAR!I:P,5,0)</f>
        <v>2</v>
      </c>
      <c r="K76" s="638">
        <f t="shared" si="8"/>
        <v>2</v>
      </c>
      <c r="L76" s="639">
        <f>VLOOKUP(H76,ORC.AUXILIAR!I:P,7,0)</f>
        <v>28684.95</v>
      </c>
      <c r="M76" s="639">
        <f>VLOOKUP(H76,ORC.AUXILIAR!I:P,8,0)</f>
        <v>57369.9</v>
      </c>
      <c r="N76" s="639">
        <f t="shared" si="10"/>
        <v>114739.8</v>
      </c>
      <c r="O76" s="639">
        <f t="shared" si="11"/>
        <v>9322545816.8368969</v>
      </c>
      <c r="P76" s="640">
        <f t="shared" si="9"/>
        <v>0.90872980083998733</v>
      </c>
    </row>
    <row r="77" spans="1:16">
      <c r="A77" s="627">
        <v>57254.04</v>
      </c>
      <c r="B77" s="628">
        <v>1</v>
      </c>
      <c r="C77" s="629" t="s">
        <v>13662</v>
      </c>
      <c r="D77" s="628">
        <f>VLOOKUP(C77,ORC.AUXILIAR!I:J,2,0)</f>
        <v>0</v>
      </c>
      <c r="G77" s="636">
        <f t="shared" si="6"/>
        <v>0</v>
      </c>
      <c r="H77" s="636" t="str">
        <f t="shared" si="7"/>
        <v>SUB.21</v>
      </c>
      <c r="I77" s="637" t="str">
        <f>VLOOKUP(H77,ORC.AUXILIAR!I:P,4,0)</f>
        <v>un</v>
      </c>
      <c r="J77" s="636">
        <f>VLOOKUP(H77,ORC.AUXILIAR!I:P,5,0)</f>
        <v>1</v>
      </c>
      <c r="K77" s="638">
        <f t="shared" si="8"/>
        <v>1</v>
      </c>
      <c r="L77" s="639">
        <f>VLOOKUP(H77,ORC.AUXILIAR!I:P,7,0)</f>
        <v>57254.04</v>
      </c>
      <c r="M77" s="639">
        <f>VLOOKUP(H77,ORC.AUXILIAR!I:P,8,0)</f>
        <v>57254.04</v>
      </c>
      <c r="N77" s="639">
        <f t="shared" si="10"/>
        <v>57254.04</v>
      </c>
      <c r="O77" s="639">
        <f t="shared" si="11"/>
        <v>9322603070.8768978</v>
      </c>
      <c r="P77" s="640">
        <f t="shared" si="9"/>
        <v>0.90873538176749247</v>
      </c>
    </row>
    <row r="78" spans="1:16">
      <c r="A78" s="627">
        <v>57177.185299999997</v>
      </c>
      <c r="B78" s="628">
        <v>3734.6299999999997</v>
      </c>
      <c r="C78" s="629">
        <v>92915</v>
      </c>
      <c r="D78" s="628">
        <f>VLOOKUP(C78,ORC.AUXILIAR!I:J,2,0)</f>
        <v>0</v>
      </c>
      <c r="G78" s="636">
        <f t="shared" si="6"/>
        <v>0</v>
      </c>
      <c r="H78" s="636">
        <f t="shared" si="7"/>
        <v>92915</v>
      </c>
      <c r="I78" s="637" t="str">
        <f>VLOOKUP(H78,ORC.AUXILIAR!I:P,4,0)</f>
        <v>KG</v>
      </c>
      <c r="J78" s="636">
        <f>VLOOKUP(H78,ORC.AUXILIAR!I:P,5,0)</f>
        <v>19</v>
      </c>
      <c r="K78" s="638">
        <f t="shared" si="8"/>
        <v>3734.6299999999997</v>
      </c>
      <c r="L78" s="639">
        <f>VLOOKUP(H78,ORC.AUXILIAR!I:P,7,0)</f>
        <v>15.31</v>
      </c>
      <c r="M78" s="639">
        <f>VLOOKUP(H78,ORC.AUXILIAR!I:P,8,0)</f>
        <v>290.89</v>
      </c>
      <c r="N78" s="639">
        <f t="shared" si="10"/>
        <v>1086366.5206999998</v>
      </c>
      <c r="O78" s="639">
        <f t="shared" si="11"/>
        <v>9323689437.3975983</v>
      </c>
      <c r="P78" s="640">
        <f t="shared" si="9"/>
        <v>0.90884127705096884</v>
      </c>
    </row>
    <row r="79" spans="1:16">
      <c r="A79" s="627">
        <v>56850.123599999992</v>
      </c>
      <c r="B79" s="628">
        <v>1693.4799999999998</v>
      </c>
      <c r="C79" s="629">
        <v>92510</v>
      </c>
      <c r="D79" s="628">
        <f>VLOOKUP(C79,ORC.AUXILIAR!I:J,2,0)</f>
        <v>0</v>
      </c>
      <c r="G79" s="636">
        <f t="shared" si="6"/>
        <v>0</v>
      </c>
      <c r="H79" s="636">
        <f t="shared" si="7"/>
        <v>92510</v>
      </c>
      <c r="I79" s="637" t="str">
        <f>VLOOKUP(H79,ORC.AUXILIAR!I:P,4,0)</f>
        <v>M2</v>
      </c>
      <c r="J79" s="636">
        <f>VLOOKUP(H79,ORC.AUXILIAR!I:P,5,0)</f>
        <v>21.07</v>
      </c>
      <c r="K79" s="638">
        <f t="shared" si="8"/>
        <v>1693.4799999999998</v>
      </c>
      <c r="L79" s="639">
        <f>VLOOKUP(H79,ORC.AUXILIAR!I:P,7,0)</f>
        <v>33.57</v>
      </c>
      <c r="M79" s="639">
        <f>VLOOKUP(H79,ORC.AUXILIAR!I:P,8,0)</f>
        <v>707.32</v>
      </c>
      <c r="N79" s="639">
        <f t="shared" si="10"/>
        <v>1197832.2736</v>
      </c>
      <c r="O79" s="639">
        <f t="shared" si="11"/>
        <v>9324887269.6711979</v>
      </c>
      <c r="P79" s="640">
        <f t="shared" si="9"/>
        <v>0.9089580376338412</v>
      </c>
    </row>
    <row r="80" spans="1:16">
      <c r="A80" s="627">
        <v>56582.837200000002</v>
      </c>
      <c r="B80" s="628">
        <v>93.07</v>
      </c>
      <c r="C80" s="629">
        <v>94990</v>
      </c>
      <c r="D80" s="628">
        <f>VLOOKUP(C80,ORC.AUXILIAR!I:J,2,0)</f>
        <v>0</v>
      </c>
      <c r="G80" s="636">
        <f t="shared" si="6"/>
        <v>0</v>
      </c>
      <c r="H80" s="636">
        <f t="shared" si="7"/>
        <v>94990</v>
      </c>
      <c r="I80" s="637" t="str">
        <f>VLOOKUP(H80,ORC.AUXILIAR!I:P,4,0)</f>
        <v>M3</v>
      </c>
      <c r="J80" s="636">
        <f>VLOOKUP(H80,ORC.AUXILIAR!I:P,5,0)</f>
        <v>1.8</v>
      </c>
      <c r="K80" s="638">
        <f t="shared" si="8"/>
        <v>93.07</v>
      </c>
      <c r="L80" s="639">
        <f>VLOOKUP(H80,ORC.AUXILIAR!I:P,7,0)</f>
        <v>607.96</v>
      </c>
      <c r="M80" s="639">
        <f>VLOOKUP(H80,ORC.AUXILIAR!I:P,8,0)</f>
        <v>1094.33</v>
      </c>
      <c r="N80" s="639">
        <f t="shared" si="10"/>
        <v>101849.29309999998</v>
      </c>
      <c r="O80" s="639">
        <f t="shared" si="11"/>
        <v>9324989118.9642982</v>
      </c>
      <c r="P80" s="640">
        <f t="shared" si="9"/>
        <v>0.90896796555370907</v>
      </c>
    </row>
    <row r="81" spans="1:16">
      <c r="A81" s="627">
        <v>56024.719999999994</v>
      </c>
      <c r="B81" s="628">
        <v>422</v>
      </c>
      <c r="C81" s="629">
        <v>7741</v>
      </c>
      <c r="D81" s="628">
        <f>VLOOKUP(C81,ORC.AUXILIAR!I:J,2,0)</f>
        <v>0</v>
      </c>
      <c r="G81" s="636">
        <f t="shared" si="6"/>
        <v>0</v>
      </c>
      <c r="H81" s="636">
        <f t="shared" si="7"/>
        <v>7741</v>
      </c>
      <c r="I81" s="637" t="str">
        <f>VLOOKUP(H81,ORC.AUXILIAR!I:P,4,0)</f>
        <v>M</v>
      </c>
      <c r="J81" s="636">
        <f>VLOOKUP(H81,ORC.AUXILIAR!I:P,5,0)</f>
        <v>422</v>
      </c>
      <c r="K81" s="638">
        <f t="shared" si="8"/>
        <v>422</v>
      </c>
      <c r="L81" s="639">
        <f>VLOOKUP(H81,ORC.AUXILIAR!I:P,7,0)</f>
        <v>132.76</v>
      </c>
      <c r="M81" s="639">
        <f>VLOOKUP(H81,ORC.AUXILIAR!I:P,8,0)</f>
        <v>56024.72</v>
      </c>
      <c r="N81" s="639">
        <f t="shared" si="10"/>
        <v>23642431.84</v>
      </c>
      <c r="O81" s="639">
        <f t="shared" si="11"/>
        <v>9348631550.8042984</v>
      </c>
      <c r="P81" s="640">
        <f t="shared" si="9"/>
        <v>0.9112725487436929</v>
      </c>
    </row>
    <row r="82" spans="1:16">
      <c r="A82" s="627">
        <v>54721.919999999998</v>
      </c>
      <c r="B82" s="628">
        <v>96</v>
      </c>
      <c r="C82" s="629" t="s">
        <v>12960</v>
      </c>
      <c r="D82" s="628">
        <f>VLOOKUP(C82,ORC.AUXILIAR!I:J,2,0)</f>
        <v>0</v>
      </c>
      <c r="G82" s="636">
        <f t="shared" si="6"/>
        <v>0</v>
      </c>
      <c r="H82" s="636" t="str">
        <f t="shared" si="7"/>
        <v>RE.F°F°.32</v>
      </c>
      <c r="I82" s="637" t="str">
        <f>VLOOKUP(H82,ORC.AUXILIAR!I:P,4,0)</f>
        <v>pç</v>
      </c>
      <c r="J82" s="636">
        <f>VLOOKUP(H82,ORC.AUXILIAR!I:P,5,0)</f>
        <v>96</v>
      </c>
      <c r="K82" s="638">
        <f t="shared" si="8"/>
        <v>96</v>
      </c>
      <c r="L82" s="639">
        <f>VLOOKUP(H82,ORC.AUXILIAR!I:P,7,0)</f>
        <v>570.02</v>
      </c>
      <c r="M82" s="639">
        <f>VLOOKUP(H82,ORC.AUXILIAR!I:P,8,0)</f>
        <v>54721.919999999998</v>
      </c>
      <c r="N82" s="639">
        <f t="shared" si="10"/>
        <v>5253304.3200000003</v>
      </c>
      <c r="O82" s="639">
        <f t="shared" si="11"/>
        <v>9353884855.1242981</v>
      </c>
      <c r="P82" s="640">
        <f t="shared" si="9"/>
        <v>0.91178462283614126</v>
      </c>
    </row>
    <row r="83" spans="1:16">
      <c r="A83" s="627">
        <v>54445.16</v>
      </c>
      <c r="B83" s="628">
        <v>4</v>
      </c>
      <c r="C83" s="629" t="s">
        <v>13305</v>
      </c>
      <c r="D83" s="628">
        <f>VLOOKUP(C83,ORC.AUXILIAR!I:J,2,0)</f>
        <v>0</v>
      </c>
      <c r="G83" s="636">
        <f t="shared" si="6"/>
        <v>0</v>
      </c>
      <c r="H83" s="636" t="str">
        <f t="shared" si="7"/>
        <v>TB.EQ.02</v>
      </c>
      <c r="I83" s="637" t="str">
        <f>VLOOKUP(H83,ORC.AUXILIAR!I:P,4,0)</f>
        <v>un</v>
      </c>
      <c r="J83" s="636">
        <f>VLOOKUP(H83,ORC.AUXILIAR!I:P,5,0)</f>
        <v>4</v>
      </c>
      <c r="K83" s="638">
        <f t="shared" si="8"/>
        <v>4</v>
      </c>
      <c r="L83" s="639">
        <f>VLOOKUP(H83,ORC.AUXILIAR!I:P,7,0)</f>
        <v>13611.29</v>
      </c>
      <c r="M83" s="639">
        <f>VLOOKUP(H83,ORC.AUXILIAR!I:P,8,0)</f>
        <v>54445.16</v>
      </c>
      <c r="N83" s="639">
        <f t="shared" si="10"/>
        <v>217780.64</v>
      </c>
      <c r="O83" s="639">
        <f t="shared" si="11"/>
        <v>9354102635.7642975</v>
      </c>
      <c r="P83" s="640">
        <f t="shared" si="9"/>
        <v>0.91180585134619663</v>
      </c>
    </row>
    <row r="84" spans="1:16">
      <c r="A84" s="627">
        <v>53682</v>
      </c>
      <c r="B84" s="628">
        <v>2300</v>
      </c>
      <c r="C84" s="629">
        <v>92986</v>
      </c>
      <c r="D84" s="628">
        <f>VLOOKUP(C84,ORC.AUXILIAR!I:J,2,0)</f>
        <v>0</v>
      </c>
      <c r="G84" s="636">
        <f t="shared" si="6"/>
        <v>0</v>
      </c>
      <c r="H84" s="636">
        <f t="shared" si="7"/>
        <v>92986</v>
      </c>
      <c r="I84" s="637" t="str">
        <f>VLOOKUP(H84,ORC.AUXILIAR!I:P,4,0)</f>
        <v>m</v>
      </c>
      <c r="J84" s="636">
        <f>VLOOKUP(H84,ORC.AUXILIAR!I:P,5,0)</f>
        <v>2300</v>
      </c>
      <c r="K84" s="638">
        <f t="shared" si="8"/>
        <v>2300</v>
      </c>
      <c r="L84" s="639">
        <f>VLOOKUP(H84,ORC.AUXILIAR!I:P,7,0)</f>
        <v>23.34</v>
      </c>
      <c r="M84" s="639">
        <f>VLOOKUP(H84,ORC.AUXILIAR!I:P,8,0)</f>
        <v>53682</v>
      </c>
      <c r="N84" s="639">
        <f t="shared" si="10"/>
        <v>123468600</v>
      </c>
      <c r="O84" s="639">
        <f t="shared" si="11"/>
        <v>9477571235.7642975</v>
      </c>
      <c r="P84" s="640">
        <f t="shared" si="9"/>
        <v>0.92384114712187992</v>
      </c>
    </row>
    <row r="85" spans="1:16">
      <c r="A85" s="627">
        <v>53244.479999999996</v>
      </c>
      <c r="B85" s="628">
        <v>96</v>
      </c>
      <c r="C85" s="629" t="s">
        <v>13185</v>
      </c>
      <c r="D85" s="628">
        <f>VLOOKUP(C85,ORC.AUXILIAR!I:J,2,0)</f>
        <v>0</v>
      </c>
      <c r="G85" s="636">
        <f t="shared" si="6"/>
        <v>0</v>
      </c>
      <c r="H85" s="636" t="str">
        <f t="shared" si="7"/>
        <v>RE.RPVC.07</v>
      </c>
      <c r="I85" s="637" t="str">
        <f>VLOOKUP(H85,ORC.AUXILIAR!I:P,4,0)</f>
        <v>pç</v>
      </c>
      <c r="J85" s="636">
        <f>VLOOKUP(H85,ORC.AUXILIAR!I:P,5,0)</f>
        <v>96</v>
      </c>
      <c r="K85" s="638">
        <f t="shared" si="8"/>
        <v>96</v>
      </c>
      <c r="L85" s="639">
        <f>VLOOKUP(H85,ORC.AUXILIAR!I:P,7,0)</f>
        <v>554.63</v>
      </c>
      <c r="M85" s="639">
        <f>VLOOKUP(H85,ORC.AUXILIAR!I:P,8,0)</f>
        <v>53244.480000000003</v>
      </c>
      <c r="N85" s="639">
        <f t="shared" si="10"/>
        <v>5111470.0800000001</v>
      </c>
      <c r="O85" s="639">
        <f t="shared" si="11"/>
        <v>9482682705.8442974</v>
      </c>
      <c r="P85" s="640">
        <f t="shared" si="9"/>
        <v>0.92433939569893808</v>
      </c>
    </row>
    <row r="86" spans="1:16">
      <c r="A86" s="627">
        <v>51647.164800000006</v>
      </c>
      <c r="B86" s="628">
        <v>2256.3200000000002</v>
      </c>
      <c r="C86" s="629">
        <v>95241</v>
      </c>
      <c r="D86" s="628">
        <f>VLOOKUP(C86,ORC.AUXILIAR!I:J,2,0)</f>
        <v>0</v>
      </c>
      <c r="G86" s="636">
        <f t="shared" si="6"/>
        <v>0</v>
      </c>
      <c r="H86" s="636">
        <f t="shared" si="7"/>
        <v>95241</v>
      </c>
      <c r="I86" s="637" t="str">
        <f>VLOOKUP(H86,ORC.AUXILIAR!I:P,4,0)</f>
        <v>M2</v>
      </c>
      <c r="J86" s="636">
        <f>VLOOKUP(H86,ORC.AUXILIAR!I:P,5,0)</f>
        <v>17.25</v>
      </c>
      <c r="K86" s="638">
        <f t="shared" si="8"/>
        <v>2256.3200000000002</v>
      </c>
      <c r="L86" s="639">
        <f>VLOOKUP(H86,ORC.AUXILIAR!I:P,7,0)</f>
        <v>22.89</v>
      </c>
      <c r="M86" s="639">
        <f>VLOOKUP(H86,ORC.AUXILIAR!I:P,8,0)</f>
        <v>394.85</v>
      </c>
      <c r="N86" s="639">
        <f t="shared" si="10"/>
        <v>890907.95200000016</v>
      </c>
      <c r="O86" s="639">
        <f t="shared" si="11"/>
        <v>9483573613.7962971</v>
      </c>
      <c r="P86" s="640">
        <f t="shared" si="9"/>
        <v>0.92442623835133086</v>
      </c>
    </row>
    <row r="87" spans="1:16">
      <c r="A87" s="627">
        <v>51423.579499999993</v>
      </c>
      <c r="B87" s="628">
        <v>1064.4499999999998</v>
      </c>
      <c r="C87" s="629" t="s">
        <v>18613</v>
      </c>
      <c r="D87" s="628">
        <f>VLOOKUP(C87,ORC.AUXILIAR!I:J,2,0)</f>
        <v>0</v>
      </c>
      <c r="G87" s="636">
        <f t="shared" si="6"/>
        <v>0</v>
      </c>
      <c r="H87" s="636" t="str">
        <f t="shared" si="7"/>
        <v>73923/3</v>
      </c>
      <c r="I87" s="637" t="str">
        <f>VLOOKUP(H87,ORC.AUXILIAR!I:P,4,0)</f>
        <v>M2</v>
      </c>
      <c r="J87" s="636">
        <f>VLOOKUP(H87,ORC.AUXILIAR!I:P,5,0)</f>
        <v>17.25</v>
      </c>
      <c r="K87" s="638">
        <f t="shared" si="8"/>
        <v>1064.4499999999998</v>
      </c>
      <c r="L87" s="639">
        <f>VLOOKUP(H87,ORC.AUXILIAR!I:P,7,0)</f>
        <v>48.31</v>
      </c>
      <c r="M87" s="639">
        <f>VLOOKUP(H87,ORC.AUXILIAR!I:P,8,0)</f>
        <v>833.35</v>
      </c>
      <c r="N87" s="639">
        <f t="shared" si="10"/>
        <v>887059.40749999986</v>
      </c>
      <c r="O87" s="639">
        <f t="shared" si="11"/>
        <v>9484460673.2037964</v>
      </c>
      <c r="P87" s="640">
        <f t="shared" si="9"/>
        <v>0.9245127058608017</v>
      </c>
    </row>
    <row r="88" spans="1:16">
      <c r="A88" s="627">
        <v>49449.48</v>
      </c>
      <c r="B88" s="628">
        <v>1</v>
      </c>
      <c r="C88" s="629" t="s">
        <v>13251</v>
      </c>
      <c r="D88" s="628">
        <f>VLOOKUP(C88,ORC.AUXILIAR!I:J,2,0)</f>
        <v>0</v>
      </c>
      <c r="G88" s="636">
        <f t="shared" si="6"/>
        <v>0</v>
      </c>
      <c r="H88" s="636" t="str">
        <f t="shared" si="7"/>
        <v>TP.TALHA.02</v>
      </c>
      <c r="I88" s="637" t="str">
        <f>VLOOKUP(H88,ORC.AUXILIAR!I:P,4,0)</f>
        <v>cj</v>
      </c>
      <c r="J88" s="636">
        <f>VLOOKUP(H88,ORC.AUXILIAR!I:P,5,0)</f>
        <v>1</v>
      </c>
      <c r="K88" s="638">
        <f t="shared" si="8"/>
        <v>1</v>
      </c>
      <c r="L88" s="639">
        <f>VLOOKUP(H88,ORC.AUXILIAR!I:P,7,0)</f>
        <v>49449.48</v>
      </c>
      <c r="M88" s="639">
        <f>VLOOKUP(H88,ORC.AUXILIAR!I:P,8,0)</f>
        <v>49449.48</v>
      </c>
      <c r="N88" s="639">
        <f t="shared" si="10"/>
        <v>49449.48</v>
      </c>
      <c r="O88" s="639">
        <f t="shared" si="11"/>
        <v>9484510122.6837959</v>
      </c>
      <c r="P88" s="640">
        <f t="shared" si="9"/>
        <v>0.92451752602655846</v>
      </c>
    </row>
    <row r="89" spans="1:16">
      <c r="A89" s="627">
        <v>49357.493446754997</v>
      </c>
      <c r="B89" s="628">
        <v>3403.9650652934483</v>
      </c>
      <c r="C89" s="629">
        <v>90107</v>
      </c>
      <c r="D89" s="628">
        <f>VLOOKUP(C89,ORC.AUXILIAR!I:J,2,0)</f>
        <v>0</v>
      </c>
      <c r="G89" s="636">
        <f t="shared" si="6"/>
        <v>0</v>
      </c>
      <c r="H89" s="636">
        <f t="shared" si="7"/>
        <v>90107</v>
      </c>
      <c r="I89" s="637" t="str">
        <f>VLOOKUP(H89,ORC.AUXILIAR!I:P,4,0)</f>
        <v>M3</v>
      </c>
      <c r="J89" s="636">
        <f>VLOOKUP(H89,ORC.AUXILIAR!I:P,5,0)</f>
        <v>0</v>
      </c>
      <c r="K89" s="638">
        <f t="shared" si="8"/>
        <v>3403.9650652934483</v>
      </c>
      <c r="L89" s="639">
        <f>VLOOKUP(H89,ORC.AUXILIAR!I:P,7,0)</f>
        <v>14.5</v>
      </c>
      <c r="M89" s="639">
        <f>VLOOKUP(H89,ORC.AUXILIAR!I:P,8,0)</f>
        <v>0</v>
      </c>
      <c r="N89" s="639">
        <f t="shared" si="10"/>
        <v>0</v>
      </c>
      <c r="O89" s="639">
        <f t="shared" si="11"/>
        <v>9484510122.6837959</v>
      </c>
      <c r="P89" s="640">
        <f t="shared" si="9"/>
        <v>0.92451752602655846</v>
      </c>
    </row>
    <row r="90" spans="1:16">
      <c r="A90" s="627">
        <v>47508.479999999996</v>
      </c>
      <c r="B90" s="628">
        <v>96</v>
      </c>
      <c r="C90" s="629" t="s">
        <v>12865</v>
      </c>
      <c r="D90" s="628">
        <f>VLOOKUP(C90,ORC.AUXILIAR!I:J,2,0)</f>
        <v>0</v>
      </c>
      <c r="G90" s="636">
        <f t="shared" si="6"/>
        <v>0</v>
      </c>
      <c r="H90" s="636" t="str">
        <f t="shared" si="7"/>
        <v>RE.F°F°.08</v>
      </c>
      <c r="I90" s="637" t="str">
        <f>VLOOKUP(H90,ORC.AUXILIAR!I:P,4,0)</f>
        <v>pç</v>
      </c>
      <c r="J90" s="636">
        <f>VLOOKUP(H90,ORC.AUXILIAR!I:P,5,0)</f>
        <v>96</v>
      </c>
      <c r="K90" s="638">
        <f t="shared" si="8"/>
        <v>96</v>
      </c>
      <c r="L90" s="639">
        <f>VLOOKUP(H90,ORC.AUXILIAR!I:P,7,0)</f>
        <v>494.88</v>
      </c>
      <c r="M90" s="639">
        <f>VLOOKUP(H90,ORC.AUXILIAR!I:P,8,0)</f>
        <v>47508.480000000003</v>
      </c>
      <c r="N90" s="639">
        <f t="shared" si="10"/>
        <v>4560814.0800000001</v>
      </c>
      <c r="O90" s="639">
        <f t="shared" si="11"/>
        <v>9489070936.7637959</v>
      </c>
      <c r="P90" s="640">
        <f t="shared" si="9"/>
        <v>0.92496209854484002</v>
      </c>
    </row>
    <row r="91" spans="1:16">
      <c r="A91" s="627">
        <v>47424.49490762825</v>
      </c>
      <c r="B91" s="628">
        <v>742.28353275361167</v>
      </c>
      <c r="C91" s="629">
        <v>93358</v>
      </c>
      <c r="D91" s="628">
        <f>VLOOKUP(C91,ORC.AUXILIAR!I:J,2,0)</f>
        <v>0</v>
      </c>
      <c r="G91" s="636">
        <f t="shared" si="6"/>
        <v>0</v>
      </c>
      <c r="H91" s="636">
        <f t="shared" si="7"/>
        <v>93358</v>
      </c>
      <c r="I91" s="637" t="str">
        <f>VLOOKUP(H91,ORC.AUXILIAR!I:P,4,0)</f>
        <v>M3</v>
      </c>
      <c r="J91" s="636">
        <f>VLOOKUP(H91,ORC.AUXILIAR!I:P,5,0)</f>
        <v>0</v>
      </c>
      <c r="K91" s="638">
        <f t="shared" si="8"/>
        <v>742.28353275361167</v>
      </c>
      <c r="L91" s="639">
        <f>VLOOKUP(H91,ORC.AUXILIAR!I:P,7,0)</f>
        <v>63.89</v>
      </c>
      <c r="M91" s="639">
        <f>VLOOKUP(H91,ORC.AUXILIAR!I:P,8,0)</f>
        <v>0</v>
      </c>
      <c r="N91" s="639">
        <f t="shared" si="10"/>
        <v>0</v>
      </c>
      <c r="O91" s="639">
        <f t="shared" si="11"/>
        <v>9489070936.7637959</v>
      </c>
      <c r="P91" s="640">
        <f t="shared" si="9"/>
        <v>0.92496209854484002</v>
      </c>
    </row>
    <row r="92" spans="1:16">
      <c r="A92" s="627">
        <v>46615.49</v>
      </c>
      <c r="B92" s="628">
        <v>1</v>
      </c>
      <c r="C92" s="629" t="s">
        <v>14165</v>
      </c>
      <c r="D92" s="628">
        <f>VLOOKUP(C92,ORC.AUXILIAR!I:J,2,0)</f>
        <v>0</v>
      </c>
      <c r="G92" s="636">
        <f t="shared" si="6"/>
        <v>0</v>
      </c>
      <c r="H92" s="636" t="str">
        <f t="shared" si="7"/>
        <v>CT_TRELIÇA</v>
      </c>
      <c r="I92" s="637" t="str">
        <f>VLOOKUP(H92,ORC.AUXILIAR!I:P,4,0)</f>
        <v>M</v>
      </c>
      <c r="J92" s="636">
        <f>VLOOKUP(H92,ORC.AUXILIAR!I:P,5,0)</f>
        <v>1</v>
      </c>
      <c r="K92" s="638">
        <f t="shared" si="8"/>
        <v>1</v>
      </c>
      <c r="L92" s="639">
        <f>VLOOKUP(H92,ORC.AUXILIAR!I:P,7,0)</f>
        <v>46615.49</v>
      </c>
      <c r="M92" s="639">
        <f>VLOOKUP(H92,ORC.AUXILIAR!I:P,8,0)</f>
        <v>46615.49</v>
      </c>
      <c r="N92" s="639">
        <f t="shared" si="10"/>
        <v>46615.49</v>
      </c>
      <c r="O92" s="639">
        <f t="shared" si="11"/>
        <v>9489117552.2537956</v>
      </c>
      <c r="P92" s="640">
        <f t="shared" si="9"/>
        <v>0.92496664246296878</v>
      </c>
    </row>
    <row r="93" spans="1:16">
      <c r="A93" s="627">
        <v>46219.8</v>
      </c>
      <c r="B93" s="628">
        <v>12</v>
      </c>
      <c r="C93" s="629" t="s">
        <v>14186</v>
      </c>
      <c r="D93" s="628">
        <f>VLOOKUP(C93,ORC.AUXILIAR!I:J,2,0)</f>
        <v>0</v>
      </c>
      <c r="G93" s="636">
        <f t="shared" si="6"/>
        <v>0</v>
      </c>
      <c r="H93" s="636" t="str">
        <f t="shared" si="7"/>
        <v>CT.FºFº.09</v>
      </c>
      <c r="I93" s="637" t="str">
        <f>VLOOKUP(H93,ORC.AUXILIAR!I:P,4,0)</f>
        <v>un</v>
      </c>
      <c r="J93" s="636">
        <f>VLOOKUP(H93,ORC.AUXILIAR!I:P,5,0)</f>
        <v>10</v>
      </c>
      <c r="K93" s="638">
        <f t="shared" si="8"/>
        <v>12</v>
      </c>
      <c r="L93" s="639">
        <f>VLOOKUP(H93,ORC.AUXILIAR!I:P,7,0)</f>
        <v>3851.65</v>
      </c>
      <c r="M93" s="639">
        <f>VLOOKUP(H93,ORC.AUXILIAR!I:P,8,0)</f>
        <v>38516.5</v>
      </c>
      <c r="N93" s="639">
        <f t="shared" si="10"/>
        <v>462198</v>
      </c>
      <c r="O93" s="639">
        <f t="shared" si="11"/>
        <v>9489579750.2537956</v>
      </c>
      <c r="P93" s="640">
        <f t="shared" si="9"/>
        <v>0.9250116959392124</v>
      </c>
    </row>
    <row r="94" spans="1:16">
      <c r="A94" s="627">
        <v>45648</v>
      </c>
      <c r="B94" s="628">
        <v>144</v>
      </c>
      <c r="C94" s="629" t="s">
        <v>12895</v>
      </c>
      <c r="D94" s="628">
        <f>VLOOKUP(C94,ORC.AUXILIAR!I:J,2,0)</f>
        <v>0</v>
      </c>
      <c r="G94" s="636">
        <f t="shared" si="6"/>
        <v>0</v>
      </c>
      <c r="H94" s="636" t="str">
        <f t="shared" si="7"/>
        <v>RE.F°F°.16</v>
      </c>
      <c r="I94" s="637" t="str">
        <f>VLOOKUP(H94,ORC.AUXILIAR!I:P,4,0)</f>
        <v>pç</v>
      </c>
      <c r="J94" s="636">
        <f>VLOOKUP(H94,ORC.AUXILIAR!I:P,5,0)</f>
        <v>144</v>
      </c>
      <c r="K94" s="638">
        <f t="shared" si="8"/>
        <v>144</v>
      </c>
      <c r="L94" s="639">
        <f>VLOOKUP(H94,ORC.AUXILIAR!I:P,7,0)</f>
        <v>317</v>
      </c>
      <c r="M94" s="639">
        <f>VLOOKUP(H94,ORC.AUXILIAR!I:P,8,0)</f>
        <v>45648</v>
      </c>
      <c r="N94" s="639">
        <f t="shared" si="10"/>
        <v>6573312</v>
      </c>
      <c r="O94" s="639">
        <f t="shared" si="11"/>
        <v>9496153062.2537956</v>
      </c>
      <c r="P94" s="640">
        <f t="shared" si="9"/>
        <v>0.92565243985423085</v>
      </c>
    </row>
    <row r="95" spans="1:16">
      <c r="A95" s="627">
        <v>45527.199999999997</v>
      </c>
      <c r="B95" s="628">
        <v>8</v>
      </c>
      <c r="C95" s="629" t="s">
        <v>12889</v>
      </c>
      <c r="D95" s="628">
        <f>VLOOKUP(C95,ORC.AUXILIAR!I:J,2,0)</f>
        <v>0</v>
      </c>
      <c r="G95" s="636">
        <f t="shared" si="6"/>
        <v>0</v>
      </c>
      <c r="H95" s="636" t="str">
        <f t="shared" si="7"/>
        <v>RE.F°F°.15</v>
      </c>
      <c r="I95" s="637" t="str">
        <f>VLOOKUP(H95,ORC.AUXILIAR!I:P,4,0)</f>
        <v>pç</v>
      </c>
      <c r="J95" s="636">
        <f>VLOOKUP(H95,ORC.AUXILIAR!I:P,5,0)</f>
        <v>8</v>
      </c>
      <c r="K95" s="638">
        <f t="shared" si="8"/>
        <v>8</v>
      </c>
      <c r="L95" s="639">
        <f>VLOOKUP(H95,ORC.AUXILIAR!I:P,7,0)</f>
        <v>5690.9</v>
      </c>
      <c r="M95" s="639">
        <f>VLOOKUP(H95,ORC.AUXILIAR!I:P,8,0)</f>
        <v>45527.199999999997</v>
      </c>
      <c r="N95" s="639">
        <f t="shared" si="10"/>
        <v>364217.59999999998</v>
      </c>
      <c r="O95" s="639">
        <f t="shared" si="11"/>
        <v>9496517279.853796</v>
      </c>
      <c r="P95" s="640">
        <f t="shared" si="9"/>
        <v>0.92568794253704023</v>
      </c>
    </row>
    <row r="96" spans="1:16">
      <c r="A96" s="627">
        <v>43622.090000000004</v>
      </c>
      <c r="B96" s="628">
        <v>29</v>
      </c>
      <c r="C96" s="629">
        <v>1612</v>
      </c>
      <c r="D96" s="628">
        <f>VLOOKUP(C96,ORC.AUXILIAR!I:J,2,0)</f>
        <v>0</v>
      </c>
      <c r="G96" s="636">
        <f t="shared" si="6"/>
        <v>0</v>
      </c>
      <c r="H96" s="636">
        <f t="shared" si="7"/>
        <v>1612</v>
      </c>
      <c r="I96" s="637" t="str">
        <f>VLOOKUP(H96,ORC.AUXILIAR!I:P,4,0)</f>
        <v>UN</v>
      </c>
      <c r="J96" s="636">
        <f>VLOOKUP(H96,ORC.AUXILIAR!I:P,5,0)</f>
        <v>0</v>
      </c>
      <c r="K96" s="638">
        <f t="shared" si="8"/>
        <v>29</v>
      </c>
      <c r="L96" s="639">
        <f>VLOOKUP(H96,ORC.AUXILIAR!I:P,7,0)</f>
        <v>1504.21</v>
      </c>
      <c r="M96" s="639">
        <f>VLOOKUP(H96,ORC.AUXILIAR!I:P,8,0)</f>
        <v>0</v>
      </c>
      <c r="N96" s="639">
        <f t="shared" si="10"/>
        <v>0</v>
      </c>
      <c r="O96" s="639">
        <f t="shared" si="11"/>
        <v>9496517279.853796</v>
      </c>
      <c r="P96" s="640">
        <f t="shared" si="9"/>
        <v>0.92568794253704023</v>
      </c>
    </row>
    <row r="97" spans="1:16">
      <c r="A97" s="627">
        <v>43365.23</v>
      </c>
      <c r="B97" s="628">
        <v>1</v>
      </c>
      <c r="C97" s="629" t="s">
        <v>11819</v>
      </c>
      <c r="D97" s="628">
        <f>VLOOKUP(C97,ORC.AUXILIAR!I:J,2,0)</f>
        <v>0</v>
      </c>
      <c r="G97" s="636">
        <f t="shared" si="6"/>
        <v>0</v>
      </c>
      <c r="H97" s="636" t="str">
        <f t="shared" si="7"/>
        <v>CP_TP.MAT.HIDR.</v>
      </c>
      <c r="I97" s="637" t="str">
        <f>VLOOKUP(H97,ORC.AUXILIAR!I:P,4,0)</f>
        <v>um.</v>
      </c>
      <c r="J97" s="636">
        <f>VLOOKUP(H97,ORC.AUXILIAR!I:P,5,0)</f>
        <v>1</v>
      </c>
      <c r="K97" s="638">
        <f t="shared" si="8"/>
        <v>1</v>
      </c>
      <c r="L97" s="639">
        <f>VLOOKUP(H97,ORC.AUXILIAR!I:P,7,0)</f>
        <v>43365.23</v>
      </c>
      <c r="M97" s="639">
        <f>VLOOKUP(H97,ORC.AUXILIAR!I:P,8,0)</f>
        <v>43365.23</v>
      </c>
      <c r="N97" s="639">
        <f t="shared" si="10"/>
        <v>43365.23</v>
      </c>
      <c r="O97" s="639">
        <f t="shared" si="11"/>
        <v>9496560645.0837955</v>
      </c>
      <c r="P97" s="640">
        <f t="shared" si="9"/>
        <v>0.92569216963096879</v>
      </c>
    </row>
    <row r="98" spans="1:16">
      <c r="A98" s="627">
        <v>43117.18</v>
      </c>
      <c r="B98" s="628">
        <v>134</v>
      </c>
      <c r="C98" s="629" t="s">
        <v>13205</v>
      </c>
      <c r="D98" s="628">
        <f>VLOOKUP(C98,ORC.AUXILIAR!I:J,2,0)</f>
        <v>0</v>
      </c>
      <c r="G98" s="636">
        <f t="shared" si="6"/>
        <v>0</v>
      </c>
      <c r="H98" s="636" t="str">
        <f t="shared" si="7"/>
        <v>RE.RPVC.14</v>
      </c>
      <c r="I98" s="637" t="str">
        <f>VLOOKUP(H98,ORC.AUXILIAR!I:P,4,0)</f>
        <v>m</v>
      </c>
      <c r="J98" s="636">
        <f>VLOOKUP(H98,ORC.AUXILIAR!I:P,5,0)</f>
        <v>134</v>
      </c>
      <c r="K98" s="638">
        <f t="shared" si="8"/>
        <v>134</v>
      </c>
      <c r="L98" s="639">
        <f>VLOOKUP(H98,ORC.AUXILIAR!I:P,7,0)</f>
        <v>321.77</v>
      </c>
      <c r="M98" s="639">
        <f>VLOOKUP(H98,ORC.AUXILIAR!I:P,8,0)</f>
        <v>43117.18</v>
      </c>
      <c r="N98" s="639">
        <f t="shared" si="10"/>
        <v>5777702.1200000001</v>
      </c>
      <c r="O98" s="639">
        <f t="shared" si="11"/>
        <v>9502338347.2037964</v>
      </c>
      <c r="P98" s="640">
        <f t="shared" si="9"/>
        <v>0.92625536022289257</v>
      </c>
    </row>
    <row r="99" spans="1:16">
      <c r="A99" s="627">
        <v>42878.399999999994</v>
      </c>
      <c r="B99" s="628">
        <v>96</v>
      </c>
      <c r="C99" s="629" t="s">
        <v>13177</v>
      </c>
      <c r="D99" s="628">
        <f>VLOOKUP(C99,ORC.AUXILIAR!I:J,2,0)</f>
        <v>0</v>
      </c>
      <c r="G99" s="636">
        <f t="shared" si="6"/>
        <v>0</v>
      </c>
      <c r="H99" s="636" t="str">
        <f t="shared" si="7"/>
        <v>RE.RPVC.04</v>
      </c>
      <c r="I99" s="637" t="str">
        <f>VLOOKUP(H99,ORC.AUXILIAR!I:P,4,0)</f>
        <v>pç</v>
      </c>
      <c r="J99" s="636">
        <f>VLOOKUP(H99,ORC.AUXILIAR!I:P,5,0)</f>
        <v>96</v>
      </c>
      <c r="K99" s="638">
        <f t="shared" si="8"/>
        <v>96</v>
      </c>
      <c r="L99" s="639">
        <f>VLOOKUP(H99,ORC.AUXILIAR!I:P,7,0)</f>
        <v>446.65</v>
      </c>
      <c r="M99" s="639">
        <f>VLOOKUP(H99,ORC.AUXILIAR!I:P,8,0)</f>
        <v>42878.400000000001</v>
      </c>
      <c r="N99" s="639">
        <f t="shared" si="10"/>
        <v>4116326.4000000004</v>
      </c>
      <c r="O99" s="639">
        <f t="shared" si="11"/>
        <v>9506454673.603796</v>
      </c>
      <c r="P99" s="640">
        <f t="shared" si="9"/>
        <v>0.92665660560619856</v>
      </c>
    </row>
    <row r="100" spans="1:16">
      <c r="A100" s="627">
        <v>41894.22</v>
      </c>
      <c r="B100" s="628">
        <v>3</v>
      </c>
      <c r="C100" s="629" t="s">
        <v>13257</v>
      </c>
      <c r="D100" s="628">
        <f>VLOOKUP(C100,ORC.AUXILIAR!I:J,2,0)</f>
        <v>0</v>
      </c>
      <c r="G100" s="636">
        <f t="shared" si="6"/>
        <v>0</v>
      </c>
      <c r="H100" s="636" t="str">
        <f t="shared" si="7"/>
        <v>TH.PR.01</v>
      </c>
      <c r="I100" s="637" t="str">
        <f>VLOOKUP(H100,ORC.AUXILIAR!I:P,4,0)</f>
        <v>cj</v>
      </c>
      <c r="J100" s="636">
        <f>VLOOKUP(H100,ORC.AUXILIAR!I:P,5,0)</f>
        <v>3</v>
      </c>
      <c r="K100" s="638">
        <f t="shared" si="8"/>
        <v>3</v>
      </c>
      <c r="L100" s="639">
        <f>VLOOKUP(H100,ORC.AUXILIAR!I:P,7,0)</f>
        <v>13964.74</v>
      </c>
      <c r="M100" s="639">
        <f>VLOOKUP(H100,ORC.AUXILIAR!I:P,8,0)</f>
        <v>41894.22</v>
      </c>
      <c r="N100" s="639">
        <f t="shared" si="10"/>
        <v>125682.66</v>
      </c>
      <c r="O100" s="639">
        <f t="shared" si="11"/>
        <v>9506580356.2637959</v>
      </c>
      <c r="P100" s="640">
        <f t="shared" si="9"/>
        <v>0.92666885672095134</v>
      </c>
    </row>
    <row r="101" spans="1:16">
      <c r="A101" s="627">
        <v>40833.5216</v>
      </c>
      <c r="B101" s="628">
        <v>5687.12</v>
      </c>
      <c r="C101" s="629">
        <v>92922</v>
      </c>
      <c r="D101" s="628">
        <f>VLOOKUP(C101,ORC.AUXILIAR!I:J,2,0)</f>
        <v>0</v>
      </c>
      <c r="G101" s="636">
        <f t="shared" si="6"/>
        <v>0</v>
      </c>
      <c r="H101" s="636">
        <f t="shared" si="7"/>
        <v>92922</v>
      </c>
      <c r="I101" s="637" t="str">
        <f>VLOOKUP(H101,ORC.AUXILIAR!I:P,4,0)</f>
        <v>KG</v>
      </c>
      <c r="J101" s="636">
        <f>VLOOKUP(H101,ORC.AUXILIAR!I:P,5,0)</f>
        <v>475.12</v>
      </c>
      <c r="K101" s="638">
        <f t="shared" si="8"/>
        <v>5687.12</v>
      </c>
      <c r="L101" s="639">
        <f>VLOOKUP(H101,ORC.AUXILIAR!I:P,7,0)</f>
        <v>7.18</v>
      </c>
      <c r="M101" s="639">
        <f>VLOOKUP(H101,ORC.AUXILIAR!I:P,8,0)</f>
        <v>3411.36</v>
      </c>
      <c r="N101" s="639">
        <f t="shared" si="10"/>
        <v>19400813.683200002</v>
      </c>
      <c r="O101" s="639">
        <f t="shared" si="11"/>
        <v>9525981169.9469967</v>
      </c>
      <c r="P101" s="640">
        <f t="shared" si="9"/>
        <v>0.92855998151677999</v>
      </c>
    </row>
    <row r="102" spans="1:16">
      <c r="A102" s="627">
        <v>40097.437894293471</v>
      </c>
      <c r="B102" s="628">
        <v>24599.655149873295</v>
      </c>
      <c r="C102" s="629">
        <v>95302</v>
      </c>
      <c r="D102" s="628">
        <f>VLOOKUP(C102,ORC.AUXILIAR!I:J,2,0)</f>
        <v>0</v>
      </c>
      <c r="G102" s="636">
        <f t="shared" si="6"/>
        <v>0</v>
      </c>
      <c r="H102" s="636">
        <f t="shared" si="7"/>
        <v>95302</v>
      </c>
      <c r="I102" s="637" t="str">
        <f>VLOOKUP(H102,ORC.AUXILIAR!I:P,4,0)</f>
        <v>M3XKM</v>
      </c>
      <c r="J102" s="636">
        <f>VLOOKUP(H102,ORC.AUXILIAR!I:P,5,0)</f>
        <v>0</v>
      </c>
      <c r="K102" s="638">
        <f t="shared" si="8"/>
        <v>24599.655149873295</v>
      </c>
      <c r="L102" s="639">
        <f>VLOOKUP(H102,ORC.AUXILIAR!I:P,7,0)</f>
        <v>1.63</v>
      </c>
      <c r="M102" s="639">
        <f>VLOOKUP(H102,ORC.AUXILIAR!I:P,8,0)</f>
        <v>0</v>
      </c>
      <c r="N102" s="639">
        <f t="shared" si="10"/>
        <v>0</v>
      </c>
      <c r="O102" s="639">
        <f t="shared" si="11"/>
        <v>9525981169.9469967</v>
      </c>
      <c r="P102" s="640">
        <f t="shared" si="9"/>
        <v>0.92855998151677999</v>
      </c>
    </row>
    <row r="103" spans="1:16">
      <c r="A103" s="627">
        <v>40045.440000000002</v>
      </c>
      <c r="B103" s="628">
        <v>64</v>
      </c>
      <c r="C103" s="629" t="s">
        <v>12877</v>
      </c>
      <c r="D103" s="628">
        <f>VLOOKUP(C103,ORC.AUXILIAR!I:J,2,0)</f>
        <v>0</v>
      </c>
      <c r="G103" s="636">
        <f t="shared" si="6"/>
        <v>0</v>
      </c>
      <c r="H103" s="636" t="str">
        <f t="shared" si="7"/>
        <v>RE.F°F°.11</v>
      </c>
      <c r="I103" s="637" t="str">
        <f>VLOOKUP(H103,ORC.AUXILIAR!I:P,4,0)</f>
        <v>pç</v>
      </c>
      <c r="J103" s="636">
        <f>VLOOKUP(H103,ORC.AUXILIAR!I:P,5,0)</f>
        <v>64</v>
      </c>
      <c r="K103" s="638">
        <f t="shared" si="8"/>
        <v>64</v>
      </c>
      <c r="L103" s="639">
        <f>VLOOKUP(H103,ORC.AUXILIAR!I:P,7,0)</f>
        <v>625.71</v>
      </c>
      <c r="M103" s="639">
        <f>VLOOKUP(H103,ORC.AUXILIAR!I:P,8,0)</f>
        <v>40045.440000000002</v>
      </c>
      <c r="N103" s="639">
        <f t="shared" si="10"/>
        <v>2562908.1600000001</v>
      </c>
      <c r="O103" s="639">
        <f t="shared" si="11"/>
        <v>9528544078.1069965</v>
      </c>
      <c r="P103" s="640">
        <f t="shared" si="9"/>
        <v>0.92880980501645127</v>
      </c>
    </row>
    <row r="104" spans="1:16">
      <c r="A104" s="627">
        <v>38752.800000000003</v>
      </c>
      <c r="B104" s="628">
        <v>5</v>
      </c>
      <c r="C104" s="629" t="s">
        <v>13135</v>
      </c>
      <c r="D104" s="628">
        <f>VLOOKUP(C104,ORC.AUXILIAR!I:J,2,0)</f>
        <v>0</v>
      </c>
      <c r="G104" s="636">
        <f t="shared" si="6"/>
        <v>0</v>
      </c>
      <c r="H104" s="636" t="str">
        <f t="shared" si="7"/>
        <v>TP.VAL.06</v>
      </c>
      <c r="I104" s="637" t="str">
        <f>VLOOKUP(H104,ORC.AUXILIAR!I:P,4,0)</f>
        <v>un</v>
      </c>
      <c r="J104" s="636">
        <f>VLOOKUP(H104,ORC.AUXILIAR!I:P,5,0)</f>
        <v>5</v>
      </c>
      <c r="K104" s="638">
        <f t="shared" si="8"/>
        <v>5</v>
      </c>
      <c r="L104" s="639">
        <f>VLOOKUP(H104,ORC.AUXILIAR!I:P,7,0)</f>
        <v>7750.56</v>
      </c>
      <c r="M104" s="639">
        <f>VLOOKUP(H104,ORC.AUXILIAR!I:P,8,0)</f>
        <v>38752.800000000003</v>
      </c>
      <c r="N104" s="639">
        <f t="shared" si="10"/>
        <v>193764</v>
      </c>
      <c r="O104" s="639">
        <f t="shared" si="11"/>
        <v>9528737842.1069965</v>
      </c>
      <c r="P104" s="640">
        <f t="shared" si="9"/>
        <v>0.92882869246678823</v>
      </c>
    </row>
    <row r="105" spans="1:16">
      <c r="A105" s="627">
        <v>38590.199999999997</v>
      </c>
      <c r="B105" s="628">
        <v>990</v>
      </c>
      <c r="C105" s="629">
        <v>25886</v>
      </c>
      <c r="D105" s="628">
        <f>VLOOKUP(C105,ORC.AUXILIAR!I:J,2,0)</f>
        <v>0</v>
      </c>
      <c r="G105" s="636">
        <f t="shared" si="6"/>
        <v>0</v>
      </c>
      <c r="H105" s="636">
        <f t="shared" si="7"/>
        <v>25886</v>
      </c>
      <c r="I105" s="637" t="str">
        <f>VLOOKUP(H105,ORC.AUXILIAR!I:P,4,0)</f>
        <v>m</v>
      </c>
      <c r="J105" s="636">
        <f>VLOOKUP(H105,ORC.AUXILIAR!I:P,5,0)</f>
        <v>990</v>
      </c>
      <c r="K105" s="638">
        <f t="shared" si="8"/>
        <v>990</v>
      </c>
      <c r="L105" s="639">
        <f>VLOOKUP(H105,ORC.AUXILIAR!I:P,7,0)</f>
        <v>38.979999999999997</v>
      </c>
      <c r="M105" s="639">
        <f>VLOOKUP(H105,ORC.AUXILIAR!I:P,8,0)</f>
        <v>38590.199999999997</v>
      </c>
      <c r="N105" s="639">
        <f t="shared" si="10"/>
        <v>38204298</v>
      </c>
      <c r="O105" s="639">
        <f t="shared" si="11"/>
        <v>9566942140.1069965</v>
      </c>
      <c r="P105" s="640">
        <f t="shared" si="9"/>
        <v>0.93255271643994697</v>
      </c>
    </row>
    <row r="106" spans="1:16">
      <c r="A106" s="627">
        <v>37459.199999999997</v>
      </c>
      <c r="B106" s="628">
        <v>6</v>
      </c>
      <c r="C106" s="629" t="s">
        <v>13137</v>
      </c>
      <c r="D106" s="628">
        <f>VLOOKUP(C106,ORC.AUXILIAR!I:J,2,0)</f>
        <v>0</v>
      </c>
      <c r="G106" s="636">
        <f t="shared" si="6"/>
        <v>0</v>
      </c>
      <c r="H106" s="636" t="str">
        <f t="shared" si="7"/>
        <v>RE.VAL.09</v>
      </c>
      <c r="I106" s="637" t="str">
        <f>VLOOKUP(H106,ORC.AUXILIAR!I:P,4,0)</f>
        <v>un</v>
      </c>
      <c r="J106" s="636">
        <f>VLOOKUP(H106,ORC.AUXILIAR!I:P,5,0)</f>
        <v>6</v>
      </c>
      <c r="K106" s="638">
        <f t="shared" si="8"/>
        <v>6</v>
      </c>
      <c r="L106" s="639">
        <f>VLOOKUP(H106,ORC.AUXILIAR!I:P,7,0)</f>
        <v>6243.2</v>
      </c>
      <c r="M106" s="639">
        <f>VLOOKUP(H106,ORC.AUXILIAR!I:P,8,0)</f>
        <v>37459.199999999997</v>
      </c>
      <c r="N106" s="639">
        <f t="shared" si="10"/>
        <v>224755.19999999998</v>
      </c>
      <c r="O106" s="639">
        <f t="shared" si="11"/>
        <v>9567166895.3069973</v>
      </c>
      <c r="P106" s="640">
        <f t="shared" si="9"/>
        <v>0.93257462480619668</v>
      </c>
    </row>
    <row r="107" spans="1:16">
      <c r="A107" s="627">
        <v>36582.239999999998</v>
      </c>
      <c r="B107" s="628">
        <v>48</v>
      </c>
      <c r="C107" s="629" t="s">
        <v>13020</v>
      </c>
      <c r="D107" s="628">
        <f>VLOOKUP(C107,ORC.AUXILIAR!I:J,2,0)</f>
        <v>0</v>
      </c>
      <c r="G107" s="636">
        <f t="shared" si="6"/>
        <v>0</v>
      </c>
      <c r="H107" s="636" t="str">
        <f t="shared" si="7"/>
        <v>RE.F°F°.47</v>
      </c>
      <c r="I107" s="637" t="str">
        <f>VLOOKUP(H107,ORC.AUXILIAR!I:P,4,0)</f>
        <v>pç</v>
      </c>
      <c r="J107" s="636">
        <f>VLOOKUP(H107,ORC.AUXILIAR!I:P,5,0)</f>
        <v>48</v>
      </c>
      <c r="K107" s="638">
        <f t="shared" si="8"/>
        <v>48</v>
      </c>
      <c r="L107" s="639">
        <f>VLOOKUP(H107,ORC.AUXILIAR!I:P,7,0)</f>
        <v>762.13</v>
      </c>
      <c r="M107" s="639">
        <f>VLOOKUP(H107,ORC.AUXILIAR!I:P,8,0)</f>
        <v>36582.239999999998</v>
      </c>
      <c r="N107" s="639">
        <f t="shared" si="10"/>
        <v>1755947.52</v>
      </c>
      <c r="O107" s="639">
        <f t="shared" si="11"/>
        <v>9568922842.8269978</v>
      </c>
      <c r="P107" s="640">
        <f t="shared" si="9"/>
        <v>0.93274578854960821</v>
      </c>
    </row>
    <row r="108" spans="1:16">
      <c r="A108" s="627">
        <v>35894.46</v>
      </c>
      <c r="B108" s="628">
        <v>609</v>
      </c>
      <c r="C108" s="629">
        <v>94284</v>
      </c>
      <c r="D108" s="628">
        <f>VLOOKUP(C108,ORC.AUXILIAR!I:J,2,0)</f>
        <v>0</v>
      </c>
      <c r="G108" s="636">
        <f t="shared" si="6"/>
        <v>0</v>
      </c>
      <c r="H108" s="636">
        <f t="shared" si="7"/>
        <v>94284</v>
      </c>
      <c r="I108" s="637" t="str">
        <f>VLOOKUP(H108,ORC.AUXILIAR!I:P,4,0)</f>
        <v>M</v>
      </c>
      <c r="J108" s="636">
        <f>VLOOKUP(H108,ORC.AUXILIAR!I:P,5,0)</f>
        <v>609</v>
      </c>
      <c r="K108" s="638">
        <f t="shared" si="8"/>
        <v>609</v>
      </c>
      <c r="L108" s="639">
        <f>VLOOKUP(H108,ORC.AUXILIAR!I:P,7,0)</f>
        <v>58.94</v>
      </c>
      <c r="M108" s="639">
        <f>VLOOKUP(H108,ORC.AUXILIAR!I:P,8,0)</f>
        <v>35894.46</v>
      </c>
      <c r="N108" s="639">
        <f t="shared" si="10"/>
        <v>21859726.140000001</v>
      </c>
      <c r="O108" s="639">
        <f t="shared" si="11"/>
        <v>9590782568.9669971</v>
      </c>
      <c r="P108" s="640">
        <f t="shared" si="9"/>
        <v>0.93487659970054315</v>
      </c>
    </row>
    <row r="109" spans="1:16">
      <c r="A109" s="627">
        <v>35456.400000000001</v>
      </c>
      <c r="B109" s="628">
        <v>216</v>
      </c>
      <c r="C109" s="629" t="s">
        <v>14402</v>
      </c>
      <c r="D109" s="628">
        <f>VLOOKUP(C109,ORC.AUXILIAR!I:J,2,0)</f>
        <v>0</v>
      </c>
      <c r="G109" s="636">
        <f t="shared" si="6"/>
        <v>0</v>
      </c>
      <c r="H109" s="636" t="str">
        <f t="shared" si="7"/>
        <v>REATOR.FB.35</v>
      </c>
      <c r="I109" s="637" t="str">
        <f>VLOOKUP(H109,ORC.AUXILIAR!I:P,4,0)</f>
        <v>un</v>
      </c>
      <c r="J109" s="636">
        <f>VLOOKUP(H109,ORC.AUXILIAR!I:P,5,0)</f>
        <v>216</v>
      </c>
      <c r="K109" s="638">
        <f t="shared" si="8"/>
        <v>216</v>
      </c>
      <c r="L109" s="639">
        <f>VLOOKUP(H109,ORC.AUXILIAR!I:P,7,0)</f>
        <v>164.15</v>
      </c>
      <c r="M109" s="639">
        <f>VLOOKUP(H109,ORC.AUXILIAR!I:P,8,0)</f>
        <v>35456.400000000001</v>
      </c>
      <c r="N109" s="639">
        <f t="shared" si="10"/>
        <v>7658582.4000000004</v>
      </c>
      <c r="O109" s="639">
        <f t="shared" si="11"/>
        <v>9598441151.3669968</v>
      </c>
      <c r="P109" s="640">
        <f t="shared" si="9"/>
        <v>0.93562313205295056</v>
      </c>
    </row>
    <row r="110" spans="1:16">
      <c r="A110" s="627">
        <v>35405.810000000005</v>
      </c>
      <c r="B110" s="628">
        <v>121</v>
      </c>
      <c r="C110" s="629">
        <v>38968</v>
      </c>
      <c r="D110" s="628">
        <f>VLOOKUP(C110,ORC.AUXILIAR!I:J,2,0)</f>
        <v>0</v>
      </c>
      <c r="G110" s="636">
        <f t="shared" si="6"/>
        <v>0</v>
      </c>
      <c r="H110" s="636">
        <f t="shared" si="7"/>
        <v>38968</v>
      </c>
      <c r="I110" s="637" t="str">
        <f>VLOOKUP(H110,ORC.AUXILIAR!I:P,4,0)</f>
        <v>M2</v>
      </c>
      <c r="J110" s="636">
        <f>VLOOKUP(H110,ORC.AUXILIAR!I:P,5,0)</f>
        <v>121</v>
      </c>
      <c r="K110" s="638">
        <f t="shared" si="8"/>
        <v>121</v>
      </c>
      <c r="L110" s="639">
        <f>VLOOKUP(H110,ORC.AUXILIAR!I:P,7,0)</f>
        <v>292.61</v>
      </c>
      <c r="M110" s="639">
        <f>VLOOKUP(H110,ORC.AUXILIAR!I:P,8,0)</f>
        <v>35405.81</v>
      </c>
      <c r="N110" s="639">
        <f t="shared" si="10"/>
        <v>4284103.01</v>
      </c>
      <c r="O110" s="639">
        <f t="shared" si="11"/>
        <v>9602725254.376997</v>
      </c>
      <c r="P110" s="640">
        <f t="shared" si="9"/>
        <v>0.93604073172492253</v>
      </c>
    </row>
    <row r="111" spans="1:16">
      <c r="A111" s="627">
        <v>34558.879999999997</v>
      </c>
      <c r="B111" s="628">
        <v>8</v>
      </c>
      <c r="C111" s="629" t="s">
        <v>13149</v>
      </c>
      <c r="D111" s="628">
        <f>VLOOKUP(C111,ORC.AUXILIAR!I:J,2,0)</f>
        <v>0</v>
      </c>
      <c r="G111" s="636">
        <f t="shared" si="6"/>
        <v>0</v>
      </c>
      <c r="H111" s="636" t="str">
        <f t="shared" si="7"/>
        <v>RE.AÇO.04</v>
      </c>
      <c r="I111" s="637" t="str">
        <f>VLOOKUP(H111,ORC.AUXILIAR!I:P,4,0)</f>
        <v>pç</v>
      </c>
      <c r="J111" s="636">
        <f>VLOOKUP(H111,ORC.AUXILIAR!I:P,5,0)</f>
        <v>8</v>
      </c>
      <c r="K111" s="638">
        <f t="shared" si="8"/>
        <v>8</v>
      </c>
      <c r="L111" s="639">
        <f>VLOOKUP(H111,ORC.AUXILIAR!I:P,7,0)</f>
        <v>4319.8599999999997</v>
      </c>
      <c r="M111" s="639">
        <f>VLOOKUP(H111,ORC.AUXILIAR!I:P,8,0)</f>
        <v>34558.879999999997</v>
      </c>
      <c r="N111" s="639">
        <f t="shared" si="10"/>
        <v>276471.03999999998</v>
      </c>
      <c r="O111" s="639">
        <f t="shared" si="11"/>
        <v>9603001725.4169979</v>
      </c>
      <c r="P111" s="640">
        <f t="shared" si="9"/>
        <v>0.9360676811739308</v>
      </c>
    </row>
    <row r="112" spans="1:16">
      <c r="A112" s="627">
        <v>33558</v>
      </c>
      <c r="B112" s="628">
        <v>24</v>
      </c>
      <c r="C112" s="629" t="s">
        <v>14404</v>
      </c>
      <c r="D112" s="628">
        <f>VLOOKUP(C112,ORC.AUXILIAR!I:J,2,0)</f>
        <v>0</v>
      </c>
      <c r="G112" s="636">
        <f t="shared" si="6"/>
        <v>0</v>
      </c>
      <c r="H112" s="636" t="str">
        <f t="shared" si="7"/>
        <v>REATOR.FB.36</v>
      </c>
      <c r="I112" s="637" t="str">
        <f>VLOOKUP(H112,ORC.AUXILIAR!I:P,4,0)</f>
        <v>un</v>
      </c>
      <c r="J112" s="636">
        <f>VLOOKUP(H112,ORC.AUXILIAR!I:P,5,0)</f>
        <v>24</v>
      </c>
      <c r="K112" s="638">
        <f t="shared" si="8"/>
        <v>24</v>
      </c>
      <c r="L112" s="639">
        <f>VLOOKUP(H112,ORC.AUXILIAR!I:P,7,0)</f>
        <v>1398.25</v>
      </c>
      <c r="M112" s="639">
        <f>VLOOKUP(H112,ORC.AUXILIAR!I:P,8,0)</f>
        <v>33558</v>
      </c>
      <c r="N112" s="639">
        <f t="shared" si="10"/>
        <v>805392</v>
      </c>
      <c r="O112" s="639">
        <f t="shared" si="11"/>
        <v>9603807117.4169979</v>
      </c>
      <c r="P112" s="640">
        <f t="shared" si="9"/>
        <v>0.93614618802454197</v>
      </c>
    </row>
    <row r="113" spans="1:16">
      <c r="A113" s="627">
        <v>33165.120000000003</v>
      </c>
      <c r="B113" s="628">
        <v>96</v>
      </c>
      <c r="C113" s="629" t="s">
        <v>12948</v>
      </c>
      <c r="D113" s="628">
        <f>VLOOKUP(C113,ORC.AUXILIAR!I:J,2,0)</f>
        <v>0</v>
      </c>
      <c r="G113" s="636">
        <f t="shared" si="6"/>
        <v>0</v>
      </c>
      <c r="H113" s="636" t="str">
        <f t="shared" si="7"/>
        <v>RE.F°F°.31</v>
      </c>
      <c r="I113" s="637" t="str">
        <f>VLOOKUP(H113,ORC.AUXILIAR!I:P,4,0)</f>
        <v>pç</v>
      </c>
      <c r="J113" s="636">
        <f>VLOOKUP(H113,ORC.AUXILIAR!I:P,5,0)</f>
        <v>96</v>
      </c>
      <c r="K113" s="638">
        <f t="shared" si="8"/>
        <v>96</v>
      </c>
      <c r="L113" s="639">
        <f>VLOOKUP(H113,ORC.AUXILIAR!I:P,7,0)</f>
        <v>345.47</v>
      </c>
      <c r="M113" s="639">
        <f>VLOOKUP(H113,ORC.AUXILIAR!I:P,8,0)</f>
        <v>33165.120000000003</v>
      </c>
      <c r="N113" s="639">
        <f t="shared" si="10"/>
        <v>3183851.5200000005</v>
      </c>
      <c r="O113" s="639">
        <f t="shared" si="11"/>
        <v>9606990968.9369984</v>
      </c>
      <c r="P113" s="640">
        <f t="shared" si="9"/>
        <v>0.93645653895383951</v>
      </c>
    </row>
    <row r="114" spans="1:16">
      <c r="A114" s="627">
        <v>33086.227200000001</v>
      </c>
      <c r="B114" s="628">
        <v>295.36</v>
      </c>
      <c r="C114" s="629">
        <v>94216</v>
      </c>
      <c r="D114" s="628">
        <f>VLOOKUP(C114,ORC.AUXILIAR!I:J,2,0)</f>
        <v>0</v>
      </c>
      <c r="G114" s="636">
        <f t="shared" si="6"/>
        <v>0</v>
      </c>
      <c r="H114" s="636">
        <f t="shared" si="7"/>
        <v>94216</v>
      </c>
      <c r="I114" s="637" t="str">
        <f>VLOOKUP(H114,ORC.AUXILIAR!I:P,4,0)</f>
        <v>M2</v>
      </c>
      <c r="J114" s="636">
        <f>VLOOKUP(H114,ORC.AUXILIAR!I:P,5,0)</f>
        <v>295.36</v>
      </c>
      <c r="K114" s="638">
        <f t="shared" si="8"/>
        <v>295.36</v>
      </c>
      <c r="L114" s="639">
        <f>VLOOKUP(H114,ORC.AUXILIAR!I:P,7,0)</f>
        <v>112.02</v>
      </c>
      <c r="M114" s="639">
        <f>VLOOKUP(H114,ORC.AUXILIAR!I:P,8,0)</f>
        <v>33086.230000000003</v>
      </c>
      <c r="N114" s="639">
        <f t="shared" si="10"/>
        <v>9772348.8928000014</v>
      </c>
      <c r="O114" s="639">
        <f t="shared" si="11"/>
        <v>9616763317.8297977</v>
      </c>
      <c r="P114" s="640">
        <f t="shared" si="9"/>
        <v>0.93740911401622795</v>
      </c>
    </row>
    <row r="115" spans="1:16">
      <c r="A115" s="627">
        <v>32622.1</v>
      </c>
      <c r="B115" s="628">
        <v>1</v>
      </c>
      <c r="C115" s="629" t="s">
        <v>13318</v>
      </c>
      <c r="D115" s="628">
        <f>VLOOKUP(C115,ORC.AUXILIAR!I:J,2,0)</f>
        <v>0</v>
      </c>
      <c r="G115" s="636">
        <f t="shared" si="6"/>
        <v>0</v>
      </c>
      <c r="H115" s="636" t="str">
        <f t="shared" si="7"/>
        <v>TB.EQ.15</v>
      </c>
      <c r="I115" s="637" t="str">
        <f>VLOOKUP(H115,ORC.AUXILIAR!I:P,4,0)</f>
        <v>un</v>
      </c>
      <c r="J115" s="636">
        <f>VLOOKUP(H115,ORC.AUXILIAR!I:P,5,0)</f>
        <v>1</v>
      </c>
      <c r="K115" s="638">
        <f t="shared" si="8"/>
        <v>1</v>
      </c>
      <c r="L115" s="639">
        <f>VLOOKUP(H115,ORC.AUXILIAR!I:P,7,0)</f>
        <v>32622.1</v>
      </c>
      <c r="M115" s="639">
        <f>VLOOKUP(H115,ORC.AUXILIAR!I:P,8,0)</f>
        <v>32622.1</v>
      </c>
      <c r="N115" s="639">
        <f t="shared" si="10"/>
        <v>32622.1</v>
      </c>
      <c r="O115" s="639">
        <f t="shared" si="11"/>
        <v>9616795939.9297981</v>
      </c>
      <c r="P115" s="640">
        <f t="shared" si="9"/>
        <v>0.93741229390668046</v>
      </c>
    </row>
    <row r="116" spans="1:16">
      <c r="A116" s="627">
        <v>32363.200000000001</v>
      </c>
      <c r="B116" s="628">
        <v>160</v>
      </c>
      <c r="C116" s="629" t="s">
        <v>12873</v>
      </c>
      <c r="D116" s="628">
        <f>VLOOKUP(C116,ORC.AUXILIAR!I:J,2,0)</f>
        <v>0</v>
      </c>
      <c r="G116" s="636">
        <f t="shared" si="6"/>
        <v>0</v>
      </c>
      <c r="H116" s="636" t="str">
        <f t="shared" si="7"/>
        <v>RE.F°F°.09</v>
      </c>
      <c r="I116" s="637" t="str">
        <f>VLOOKUP(H116,ORC.AUXILIAR!I:P,4,0)</f>
        <v>pç</v>
      </c>
      <c r="J116" s="636">
        <f>VLOOKUP(H116,ORC.AUXILIAR!I:P,5,0)</f>
        <v>160</v>
      </c>
      <c r="K116" s="638">
        <f t="shared" si="8"/>
        <v>160</v>
      </c>
      <c r="L116" s="639">
        <f>VLOOKUP(H116,ORC.AUXILIAR!I:P,7,0)</f>
        <v>202.27</v>
      </c>
      <c r="M116" s="639">
        <f>VLOOKUP(H116,ORC.AUXILIAR!I:P,8,0)</f>
        <v>32363.200000000001</v>
      </c>
      <c r="N116" s="639">
        <f t="shared" si="10"/>
        <v>5178112</v>
      </c>
      <c r="O116" s="639">
        <f t="shared" si="11"/>
        <v>9621974051.9297981</v>
      </c>
      <c r="P116" s="640">
        <f t="shared" si="9"/>
        <v>0.93791703850959662</v>
      </c>
    </row>
    <row r="117" spans="1:16">
      <c r="A117" s="627">
        <v>32102</v>
      </c>
      <c r="B117" s="628">
        <v>280</v>
      </c>
      <c r="C117" s="629">
        <v>92998</v>
      </c>
      <c r="D117" s="628">
        <f>VLOOKUP(C117,ORC.AUXILIAR!I:J,2,0)</f>
        <v>0</v>
      </c>
      <c r="G117" s="636">
        <f t="shared" si="6"/>
        <v>0</v>
      </c>
      <c r="H117" s="636">
        <f t="shared" si="7"/>
        <v>92998</v>
      </c>
      <c r="I117" s="637" t="str">
        <f>VLOOKUP(H117,ORC.AUXILIAR!I:P,4,0)</f>
        <v>m</v>
      </c>
      <c r="J117" s="636">
        <f>VLOOKUP(H117,ORC.AUXILIAR!I:P,5,0)</f>
        <v>200</v>
      </c>
      <c r="K117" s="638">
        <f t="shared" si="8"/>
        <v>280</v>
      </c>
      <c r="L117" s="639">
        <f>VLOOKUP(H117,ORC.AUXILIAR!I:P,7,0)</f>
        <v>114.65</v>
      </c>
      <c r="M117" s="639">
        <f>VLOOKUP(H117,ORC.AUXILIAR!I:P,8,0)</f>
        <v>22930</v>
      </c>
      <c r="N117" s="639">
        <f t="shared" si="10"/>
        <v>6420400</v>
      </c>
      <c r="O117" s="639">
        <f t="shared" si="11"/>
        <v>9628394451.9297981</v>
      </c>
      <c r="P117" s="640">
        <f t="shared" si="9"/>
        <v>0.93854287708716377</v>
      </c>
    </row>
    <row r="118" spans="1:16">
      <c r="A118" s="627">
        <v>31587.840000000004</v>
      </c>
      <c r="B118" s="628">
        <v>144</v>
      </c>
      <c r="C118" s="629" t="s">
        <v>14478</v>
      </c>
      <c r="D118" s="628">
        <f>VLOOKUP(C118,ORC.AUXILIAR!I:J,2,0)</f>
        <v>0</v>
      </c>
      <c r="G118" s="636">
        <f t="shared" si="6"/>
        <v>0</v>
      </c>
      <c r="H118" s="636" t="str">
        <f t="shared" si="7"/>
        <v>RE.VAL.14</v>
      </c>
      <c r="I118" s="637" t="str">
        <f>VLOOKUP(H118,ORC.AUXILIAR!I:P,4,0)</f>
        <v>pç</v>
      </c>
      <c r="J118" s="636">
        <f>VLOOKUP(H118,ORC.AUXILIAR!I:P,5,0)</f>
        <v>144</v>
      </c>
      <c r="K118" s="638">
        <f t="shared" si="8"/>
        <v>144</v>
      </c>
      <c r="L118" s="639">
        <f>VLOOKUP(H118,ORC.AUXILIAR!I:P,7,0)</f>
        <v>219.36</v>
      </c>
      <c r="M118" s="639">
        <f>VLOOKUP(H118,ORC.AUXILIAR!I:P,8,0)</f>
        <v>31587.84</v>
      </c>
      <c r="N118" s="639">
        <f t="shared" si="10"/>
        <v>4548648.96</v>
      </c>
      <c r="O118" s="639">
        <f t="shared" si="11"/>
        <v>9632943100.8897972</v>
      </c>
      <c r="P118" s="640">
        <f t="shared" si="9"/>
        <v>0.93898626379125971</v>
      </c>
    </row>
    <row r="119" spans="1:16">
      <c r="A119" s="627">
        <v>31293.879700000001</v>
      </c>
      <c r="B119" s="628">
        <v>5679.47</v>
      </c>
      <c r="C119" s="629">
        <v>94097</v>
      </c>
      <c r="D119" s="628">
        <f>VLOOKUP(C119,ORC.AUXILIAR!I:J,2,0)</f>
        <v>0</v>
      </c>
      <c r="G119" s="636">
        <f t="shared" si="6"/>
        <v>0</v>
      </c>
      <c r="H119" s="636">
        <f t="shared" si="7"/>
        <v>94097</v>
      </c>
      <c r="I119" s="637" t="str">
        <f>VLOOKUP(H119,ORC.AUXILIAR!I:P,4,0)</f>
        <v>M2</v>
      </c>
      <c r="J119" s="636">
        <f>VLOOKUP(H119,ORC.AUXILIAR!I:P,5,0)</f>
        <v>0</v>
      </c>
      <c r="K119" s="638">
        <f t="shared" si="8"/>
        <v>5679.47</v>
      </c>
      <c r="L119" s="639">
        <f>VLOOKUP(H119,ORC.AUXILIAR!I:P,7,0)</f>
        <v>5.51</v>
      </c>
      <c r="M119" s="639">
        <f>VLOOKUP(H119,ORC.AUXILIAR!I:P,8,0)</f>
        <v>0</v>
      </c>
      <c r="N119" s="639">
        <f t="shared" si="10"/>
        <v>0</v>
      </c>
      <c r="O119" s="639">
        <f t="shared" si="11"/>
        <v>9632943100.8897972</v>
      </c>
      <c r="P119" s="640">
        <f t="shared" si="9"/>
        <v>0.93898626379125971</v>
      </c>
    </row>
    <row r="120" spans="1:16">
      <c r="A120" s="627">
        <v>30158.59</v>
      </c>
      <c r="B120" s="628">
        <v>1</v>
      </c>
      <c r="C120" s="629" t="s">
        <v>14504</v>
      </c>
      <c r="D120" s="628">
        <f>VLOOKUP(C120,ORC.AUXILIAR!I:J,2,0)</f>
        <v>0</v>
      </c>
      <c r="G120" s="636">
        <f t="shared" si="6"/>
        <v>0</v>
      </c>
      <c r="H120" s="636" t="str">
        <f t="shared" si="7"/>
        <v>CT.CANTEIRO</v>
      </c>
      <c r="I120" s="637" t="str">
        <f>VLOOKUP(H120,ORC.AUXILIAR!I:P,4,0)</f>
        <v>vb.</v>
      </c>
      <c r="J120" s="636">
        <f>VLOOKUP(H120,ORC.AUXILIAR!I:P,5,0)</f>
        <v>1</v>
      </c>
      <c r="K120" s="638">
        <f t="shared" si="8"/>
        <v>1</v>
      </c>
      <c r="L120" s="639">
        <f>VLOOKUP(H120,ORC.AUXILIAR!I:P,7,0)</f>
        <v>30158.59</v>
      </c>
      <c r="M120" s="639">
        <f>VLOOKUP(H120,ORC.AUXILIAR!I:P,8,0)</f>
        <v>30158.59</v>
      </c>
      <c r="N120" s="639">
        <f t="shared" si="10"/>
        <v>30158.59</v>
      </c>
      <c r="O120" s="639">
        <f t="shared" si="11"/>
        <v>9632973259.4797974</v>
      </c>
      <c r="P120" s="640">
        <f t="shared" si="9"/>
        <v>0.93898920354720439</v>
      </c>
    </row>
    <row r="121" spans="1:16">
      <c r="A121" s="627">
        <v>29233.34</v>
      </c>
      <c r="B121" s="628">
        <v>2</v>
      </c>
      <c r="C121" s="629" t="s">
        <v>13268</v>
      </c>
      <c r="D121" s="628">
        <f>VLOOKUP(C121,ORC.AUXILIAR!I:J,2,0)</f>
        <v>0</v>
      </c>
      <c r="G121" s="636">
        <f t="shared" si="6"/>
        <v>0</v>
      </c>
      <c r="H121" s="636" t="str">
        <f t="shared" si="7"/>
        <v>TP.MED.02</v>
      </c>
      <c r="I121" s="637" t="str">
        <f>VLOOKUP(H121,ORC.AUXILIAR!I:P,4,0)</f>
        <v>un</v>
      </c>
      <c r="J121" s="636">
        <f>VLOOKUP(H121,ORC.AUXILIAR!I:P,5,0)</f>
        <v>2</v>
      </c>
      <c r="K121" s="638">
        <f t="shared" si="8"/>
        <v>2</v>
      </c>
      <c r="L121" s="639">
        <f>VLOOKUP(H121,ORC.AUXILIAR!I:P,7,0)</f>
        <v>14616.67</v>
      </c>
      <c r="M121" s="639">
        <f>VLOOKUP(H121,ORC.AUXILIAR!I:P,8,0)</f>
        <v>29233.34</v>
      </c>
      <c r="N121" s="639">
        <f t="shared" si="10"/>
        <v>58466.68</v>
      </c>
      <c r="O121" s="639">
        <f t="shared" si="11"/>
        <v>9633031726.1597977</v>
      </c>
      <c r="P121" s="640">
        <f t="shared" si="9"/>
        <v>0.93899490267869878</v>
      </c>
    </row>
    <row r="122" spans="1:16">
      <c r="A122" s="627">
        <v>28788.02</v>
      </c>
      <c r="B122" s="628">
        <v>2</v>
      </c>
      <c r="C122" s="629" t="s">
        <v>13595</v>
      </c>
      <c r="D122" s="628">
        <f>VLOOKUP(C122,ORC.AUXILIAR!I:J,2,0)</f>
        <v>0</v>
      </c>
      <c r="G122" s="636">
        <f t="shared" si="6"/>
        <v>0</v>
      </c>
      <c r="H122" s="636" t="str">
        <f t="shared" si="7"/>
        <v>QCM.HIP.32</v>
      </c>
      <c r="I122" s="637" t="str">
        <f>VLOOKUP(H122,ORC.AUXILIAR!I:P,4,0)</f>
        <v>um</v>
      </c>
      <c r="J122" s="636">
        <f>VLOOKUP(H122,ORC.AUXILIAR!I:P,5,0)</f>
        <v>2</v>
      </c>
      <c r="K122" s="638">
        <f t="shared" si="8"/>
        <v>2</v>
      </c>
      <c r="L122" s="639">
        <f>VLOOKUP(H122,ORC.AUXILIAR!I:P,7,0)</f>
        <v>14394.01</v>
      </c>
      <c r="M122" s="639">
        <f>VLOOKUP(H122,ORC.AUXILIAR!I:P,8,0)</f>
        <v>28788.02</v>
      </c>
      <c r="N122" s="639">
        <f t="shared" si="10"/>
        <v>57576.04</v>
      </c>
      <c r="O122" s="639">
        <f t="shared" si="11"/>
        <v>9633089302.1997986</v>
      </c>
      <c r="P122" s="640">
        <f t="shared" si="9"/>
        <v>0.93900051499365977</v>
      </c>
    </row>
    <row r="123" spans="1:16">
      <c r="A123" s="627">
        <v>28144.211979250002</v>
      </c>
      <c r="B123" s="628">
        <v>1590.9673250000001</v>
      </c>
      <c r="C123" s="629">
        <v>94043</v>
      </c>
      <c r="D123" s="628">
        <f>VLOOKUP(C123,ORC.AUXILIAR!I:J,2,0)</f>
        <v>0</v>
      </c>
      <c r="G123" s="636">
        <f t="shared" si="6"/>
        <v>0</v>
      </c>
      <c r="H123" s="636">
        <f t="shared" si="7"/>
        <v>94043</v>
      </c>
      <c r="I123" s="637" t="str">
        <f>VLOOKUP(H123,ORC.AUXILIAR!I:P,4,0)</f>
        <v>M2</v>
      </c>
      <c r="J123" s="636">
        <f>VLOOKUP(H123,ORC.AUXILIAR!I:P,5,0)</f>
        <v>0</v>
      </c>
      <c r="K123" s="638">
        <f t="shared" si="8"/>
        <v>1590.9673250000001</v>
      </c>
      <c r="L123" s="639">
        <f>VLOOKUP(H123,ORC.AUXILIAR!I:P,7,0)</f>
        <v>17.690000000000001</v>
      </c>
      <c r="M123" s="639">
        <f>VLOOKUP(H123,ORC.AUXILIAR!I:P,8,0)</f>
        <v>0</v>
      </c>
      <c r="N123" s="639">
        <f t="shared" si="10"/>
        <v>0</v>
      </c>
      <c r="O123" s="639">
        <f t="shared" si="11"/>
        <v>9633089302.1997986</v>
      </c>
      <c r="P123" s="640">
        <f t="shared" si="9"/>
        <v>0.93900051499365977</v>
      </c>
    </row>
    <row r="124" spans="1:16">
      <c r="A124" s="627">
        <v>28040.799999999999</v>
      </c>
      <c r="B124" s="628">
        <v>40</v>
      </c>
      <c r="C124" s="629" t="s">
        <v>13199</v>
      </c>
      <c r="D124" s="628">
        <f>VLOOKUP(C124,ORC.AUXILIAR!I:J,2,0)</f>
        <v>0</v>
      </c>
      <c r="G124" s="636">
        <f t="shared" si="6"/>
        <v>0</v>
      </c>
      <c r="H124" s="636" t="str">
        <f t="shared" si="7"/>
        <v>LS.RPVC.01</v>
      </c>
      <c r="I124" s="637" t="str">
        <f>VLOOKUP(H124,ORC.AUXILIAR!I:P,4,0)</f>
        <v>pç</v>
      </c>
      <c r="J124" s="636">
        <f>VLOOKUP(H124,ORC.AUXILIAR!I:P,5,0)</f>
        <v>40</v>
      </c>
      <c r="K124" s="638">
        <f t="shared" si="8"/>
        <v>40</v>
      </c>
      <c r="L124" s="639">
        <f>VLOOKUP(H124,ORC.AUXILIAR!I:P,7,0)</f>
        <v>701.02</v>
      </c>
      <c r="M124" s="639">
        <f>VLOOKUP(H124,ORC.AUXILIAR!I:P,8,0)</f>
        <v>28040.799999999999</v>
      </c>
      <c r="N124" s="639">
        <f t="shared" si="10"/>
        <v>1121632</v>
      </c>
      <c r="O124" s="639">
        <f t="shared" si="11"/>
        <v>9634210934.1997986</v>
      </c>
      <c r="P124" s="640">
        <f t="shared" si="9"/>
        <v>0.93910984783513907</v>
      </c>
    </row>
    <row r="125" spans="1:16">
      <c r="A125" s="627">
        <v>27861.439999999999</v>
      </c>
      <c r="B125" s="628">
        <v>32</v>
      </c>
      <c r="C125" s="629" t="s">
        <v>13099</v>
      </c>
      <c r="D125" s="628">
        <f>VLOOKUP(C125,ORC.AUXILIAR!I:J,2,0)</f>
        <v>0</v>
      </c>
      <c r="G125" s="636">
        <f t="shared" si="6"/>
        <v>0</v>
      </c>
      <c r="H125" s="636" t="str">
        <f t="shared" si="7"/>
        <v>REATOR.FB.10</v>
      </c>
      <c r="I125" s="637" t="str">
        <f>VLOOKUP(H125,ORC.AUXILIAR!I:P,4,0)</f>
        <v>un</v>
      </c>
      <c r="J125" s="636">
        <f>VLOOKUP(H125,ORC.AUXILIAR!I:P,5,0)</f>
        <v>32</v>
      </c>
      <c r="K125" s="638">
        <f t="shared" si="8"/>
        <v>32</v>
      </c>
      <c r="L125" s="639">
        <f>VLOOKUP(H125,ORC.AUXILIAR!I:P,7,0)</f>
        <v>870.67</v>
      </c>
      <c r="M125" s="639">
        <f>VLOOKUP(H125,ORC.AUXILIAR!I:P,8,0)</f>
        <v>27861.439999999999</v>
      </c>
      <c r="N125" s="639">
        <f t="shared" si="10"/>
        <v>891566.07999999996</v>
      </c>
      <c r="O125" s="639">
        <f t="shared" si="11"/>
        <v>9635102500.2797985</v>
      </c>
      <c r="P125" s="640">
        <f t="shared" si="9"/>
        <v>0.93919675463959273</v>
      </c>
    </row>
    <row r="126" spans="1:16">
      <c r="A126" s="627">
        <v>27861.439999999999</v>
      </c>
      <c r="B126" s="628">
        <v>32</v>
      </c>
      <c r="C126" s="629" t="s">
        <v>13104</v>
      </c>
      <c r="D126" s="628">
        <f>VLOOKUP(C126,ORC.AUXILIAR!I:J,2,0)</f>
        <v>0</v>
      </c>
      <c r="G126" s="636">
        <f t="shared" si="6"/>
        <v>0</v>
      </c>
      <c r="H126" s="636" t="str">
        <f t="shared" si="7"/>
        <v>REATOR.FB.15</v>
      </c>
      <c r="I126" s="637" t="str">
        <f>VLOOKUP(H126,ORC.AUXILIAR!I:P,4,0)</f>
        <v>un</v>
      </c>
      <c r="J126" s="636">
        <f>VLOOKUP(H126,ORC.AUXILIAR!I:P,5,0)</f>
        <v>32</v>
      </c>
      <c r="K126" s="638">
        <f t="shared" si="8"/>
        <v>32</v>
      </c>
      <c r="L126" s="639">
        <f>VLOOKUP(H126,ORC.AUXILIAR!I:P,7,0)</f>
        <v>870.67</v>
      </c>
      <c r="M126" s="639">
        <f>VLOOKUP(H126,ORC.AUXILIAR!I:P,8,0)</f>
        <v>27861.439999999999</v>
      </c>
      <c r="N126" s="639">
        <f t="shared" si="10"/>
        <v>891566.07999999996</v>
      </c>
      <c r="O126" s="639">
        <f t="shared" si="11"/>
        <v>9635994066.3597984</v>
      </c>
      <c r="P126" s="640">
        <f t="shared" si="9"/>
        <v>0.9392836614440464</v>
      </c>
    </row>
    <row r="127" spans="1:16">
      <c r="A127" s="627">
        <v>27781.600000000002</v>
      </c>
      <c r="B127" s="628">
        <v>3608</v>
      </c>
      <c r="C127" s="629" t="s">
        <v>15692</v>
      </c>
      <c r="D127" s="628">
        <f>VLOOKUP(C127,ORC.AUXILIAR!I:J,2,0)</f>
        <v>0</v>
      </c>
      <c r="G127" s="636">
        <f t="shared" si="6"/>
        <v>0</v>
      </c>
      <c r="H127" s="636" t="str">
        <f t="shared" si="7"/>
        <v>73970/2</v>
      </c>
      <c r="I127" s="637" t="str">
        <f>VLOOKUP(H127,ORC.AUXILIAR!I:P,4,0)</f>
        <v>KG</v>
      </c>
      <c r="J127" s="636">
        <f>VLOOKUP(H127,ORC.AUXILIAR!I:P,5,0)</f>
        <v>3608</v>
      </c>
      <c r="K127" s="638">
        <f t="shared" si="8"/>
        <v>3608</v>
      </c>
      <c r="L127" s="639">
        <f>VLOOKUP(H127,ORC.AUXILIAR!I:P,7,0)</f>
        <v>7.7</v>
      </c>
      <c r="M127" s="639">
        <f>VLOOKUP(H127,ORC.AUXILIAR!I:P,8,0)</f>
        <v>27781.599999999999</v>
      </c>
      <c r="N127" s="639">
        <f t="shared" si="10"/>
        <v>100236012.8</v>
      </c>
      <c r="O127" s="639">
        <f t="shared" si="11"/>
        <v>9736230079.1597977</v>
      </c>
      <c r="P127" s="640">
        <f t="shared" si="9"/>
        <v>0.94905432427996728</v>
      </c>
    </row>
    <row r="128" spans="1:16">
      <c r="A128" s="627">
        <v>27581.93738673511</v>
      </c>
      <c r="B128" s="628">
        <v>1189.3892792900003</v>
      </c>
      <c r="C128" s="629">
        <v>93379</v>
      </c>
      <c r="D128" s="628">
        <f>VLOOKUP(C128,ORC.AUXILIAR!I:J,2,0)</f>
        <v>0</v>
      </c>
      <c r="G128" s="636">
        <f t="shared" si="6"/>
        <v>0</v>
      </c>
      <c r="H128" s="636">
        <f t="shared" si="7"/>
        <v>93379</v>
      </c>
      <c r="I128" s="637" t="str">
        <f>VLOOKUP(H128,ORC.AUXILIAR!I:P,4,0)</f>
        <v>M3</v>
      </c>
      <c r="J128" s="636">
        <f>VLOOKUP(H128,ORC.AUXILIAR!I:P,5,0)</f>
        <v>0</v>
      </c>
      <c r="K128" s="638">
        <f t="shared" si="8"/>
        <v>1189.3892792900003</v>
      </c>
      <c r="L128" s="639">
        <f>VLOOKUP(H128,ORC.AUXILIAR!I:P,7,0)</f>
        <v>23.19</v>
      </c>
      <c r="M128" s="639">
        <f>VLOOKUP(H128,ORC.AUXILIAR!I:P,8,0)</f>
        <v>0</v>
      </c>
      <c r="N128" s="639">
        <f t="shared" si="10"/>
        <v>0</v>
      </c>
      <c r="O128" s="639">
        <f t="shared" si="11"/>
        <v>9736230079.1597977</v>
      </c>
      <c r="P128" s="640">
        <f t="shared" si="9"/>
        <v>0.94905432427996728</v>
      </c>
    </row>
    <row r="129" spans="1:16">
      <c r="A129" s="627">
        <v>27396.549000000003</v>
      </c>
      <c r="B129" s="628">
        <v>2254.86</v>
      </c>
      <c r="C129" s="629">
        <v>88489</v>
      </c>
      <c r="D129" s="628">
        <f>VLOOKUP(C129,ORC.AUXILIAR!I:J,2,0)</f>
        <v>0</v>
      </c>
      <c r="G129" s="636">
        <f t="shared" si="6"/>
        <v>0</v>
      </c>
      <c r="H129" s="636">
        <f t="shared" si="7"/>
        <v>88489</v>
      </c>
      <c r="I129" s="637" t="str">
        <f>VLOOKUP(H129,ORC.AUXILIAR!I:P,4,0)</f>
        <v>M2</v>
      </c>
      <c r="J129" s="636">
        <f>VLOOKUP(H129,ORC.AUXILIAR!I:P,5,0)</f>
        <v>2130.3200000000002</v>
      </c>
      <c r="K129" s="638">
        <f t="shared" si="8"/>
        <v>2254.86</v>
      </c>
      <c r="L129" s="639">
        <f>VLOOKUP(H129,ORC.AUXILIAR!I:P,7,0)</f>
        <v>12.15</v>
      </c>
      <c r="M129" s="639">
        <f>VLOOKUP(H129,ORC.AUXILIAR!I:P,8,0)</f>
        <v>25883.39</v>
      </c>
      <c r="N129" s="639">
        <f t="shared" si="10"/>
        <v>58363420.775400005</v>
      </c>
      <c r="O129" s="639">
        <f t="shared" si="11"/>
        <v>9794593499.9351978</v>
      </c>
      <c r="P129" s="640">
        <f t="shared" si="9"/>
        <v>0.95474339041915246</v>
      </c>
    </row>
    <row r="130" spans="1:16">
      <c r="A130" s="627">
        <v>27335.08</v>
      </c>
      <c r="B130" s="628">
        <v>2</v>
      </c>
      <c r="C130" s="629" t="s">
        <v>13253</v>
      </c>
      <c r="D130" s="628">
        <f>VLOOKUP(C130,ORC.AUXILIAR!I:J,2,0)</f>
        <v>0</v>
      </c>
      <c r="G130" s="636">
        <f t="shared" si="6"/>
        <v>0</v>
      </c>
      <c r="H130" s="636" t="str">
        <f t="shared" si="7"/>
        <v>TP.BOMBA.01</v>
      </c>
      <c r="I130" s="637" t="str">
        <f>VLOOKUP(H130,ORC.AUXILIAR!I:P,4,0)</f>
        <v>cj</v>
      </c>
      <c r="J130" s="636">
        <f>VLOOKUP(H130,ORC.AUXILIAR!I:P,5,0)</f>
        <v>2</v>
      </c>
      <c r="K130" s="638">
        <f t="shared" si="8"/>
        <v>2</v>
      </c>
      <c r="L130" s="639">
        <f>VLOOKUP(H130,ORC.AUXILIAR!I:P,7,0)</f>
        <v>13667.54</v>
      </c>
      <c r="M130" s="639">
        <f>VLOOKUP(H130,ORC.AUXILIAR!I:P,8,0)</f>
        <v>27335.08</v>
      </c>
      <c r="N130" s="639">
        <f t="shared" si="10"/>
        <v>54670.16</v>
      </c>
      <c r="O130" s="639">
        <f t="shared" si="11"/>
        <v>9794648170.0951977</v>
      </c>
      <c r="P130" s="640">
        <f t="shared" si="9"/>
        <v>0.95474871947889484</v>
      </c>
    </row>
    <row r="131" spans="1:16">
      <c r="A131" s="627">
        <v>26622.239999999998</v>
      </c>
      <c r="B131" s="628">
        <v>48</v>
      </c>
      <c r="C131" s="629" t="s">
        <v>13183</v>
      </c>
      <c r="D131" s="628">
        <f>VLOOKUP(C131,ORC.AUXILIAR!I:J,2,0)</f>
        <v>0</v>
      </c>
      <c r="G131" s="636">
        <f t="shared" si="6"/>
        <v>0</v>
      </c>
      <c r="H131" s="636" t="str">
        <f t="shared" si="7"/>
        <v>RE.RPVC.06</v>
      </c>
      <c r="I131" s="637" t="str">
        <f>VLOOKUP(H131,ORC.AUXILIAR!I:P,4,0)</f>
        <v>pç</v>
      </c>
      <c r="J131" s="636">
        <f>VLOOKUP(H131,ORC.AUXILIAR!I:P,5,0)</f>
        <v>48</v>
      </c>
      <c r="K131" s="638">
        <f t="shared" si="8"/>
        <v>48</v>
      </c>
      <c r="L131" s="639">
        <f>VLOOKUP(H131,ORC.AUXILIAR!I:P,7,0)</f>
        <v>554.63</v>
      </c>
      <c r="M131" s="639">
        <f>VLOOKUP(H131,ORC.AUXILIAR!I:P,8,0)</f>
        <v>26622.240000000002</v>
      </c>
      <c r="N131" s="639">
        <f t="shared" si="10"/>
        <v>1277867.52</v>
      </c>
      <c r="O131" s="639">
        <f t="shared" si="11"/>
        <v>9795926037.6151981</v>
      </c>
      <c r="P131" s="640">
        <f t="shared" si="9"/>
        <v>0.95487328162315943</v>
      </c>
    </row>
    <row r="132" spans="1:16">
      <c r="A132" s="627">
        <v>26322.800000000003</v>
      </c>
      <c r="B132" s="628">
        <v>40</v>
      </c>
      <c r="C132" s="629" t="s">
        <v>13118</v>
      </c>
      <c r="D132" s="628">
        <f>VLOOKUP(C132,ORC.AUXILIAR!I:J,2,0)</f>
        <v>0</v>
      </c>
      <c r="G132" s="636">
        <f t="shared" si="6"/>
        <v>0</v>
      </c>
      <c r="H132" s="636" t="str">
        <f t="shared" si="7"/>
        <v>LS.RE.01</v>
      </c>
      <c r="I132" s="637" t="str">
        <f>VLOOKUP(H132,ORC.AUXILIAR!I:P,4,0)</f>
        <v>pç</v>
      </c>
      <c r="J132" s="636">
        <f>VLOOKUP(H132,ORC.AUXILIAR!I:P,5,0)</f>
        <v>40</v>
      </c>
      <c r="K132" s="638">
        <f t="shared" si="8"/>
        <v>40</v>
      </c>
      <c r="L132" s="639">
        <f>VLOOKUP(H132,ORC.AUXILIAR!I:P,7,0)</f>
        <v>658.07</v>
      </c>
      <c r="M132" s="639">
        <f>VLOOKUP(H132,ORC.AUXILIAR!I:P,8,0)</f>
        <v>26322.799999999999</v>
      </c>
      <c r="N132" s="639">
        <f t="shared" si="10"/>
        <v>1052912</v>
      </c>
      <c r="O132" s="639">
        <f t="shared" si="11"/>
        <v>9796978949.6151981</v>
      </c>
      <c r="P132" s="640">
        <f t="shared" si="9"/>
        <v>0.95497591587466757</v>
      </c>
    </row>
    <row r="133" spans="1:16">
      <c r="A133" s="627">
        <v>26237.52</v>
      </c>
      <c r="B133" s="628">
        <v>36</v>
      </c>
      <c r="C133" s="629" t="s">
        <v>14408</v>
      </c>
      <c r="D133" s="628">
        <f>VLOOKUP(C133,ORC.AUXILIAR!I:J,2,0)</f>
        <v>0</v>
      </c>
      <c r="G133" s="636">
        <f t="shared" si="6"/>
        <v>0</v>
      </c>
      <c r="H133" s="636" t="str">
        <f t="shared" si="7"/>
        <v>REATOR.FB.38</v>
      </c>
      <c r="I133" s="637" t="str">
        <f>VLOOKUP(H133,ORC.AUXILIAR!I:P,4,0)</f>
        <v>un</v>
      </c>
      <c r="J133" s="636">
        <f>VLOOKUP(H133,ORC.AUXILIAR!I:P,5,0)</f>
        <v>36</v>
      </c>
      <c r="K133" s="638">
        <f t="shared" si="8"/>
        <v>36</v>
      </c>
      <c r="L133" s="639">
        <f>VLOOKUP(H133,ORC.AUXILIAR!I:P,7,0)</f>
        <v>728.82</v>
      </c>
      <c r="M133" s="639">
        <f>VLOOKUP(H133,ORC.AUXILIAR!I:P,8,0)</f>
        <v>26237.52</v>
      </c>
      <c r="N133" s="639">
        <f t="shared" si="10"/>
        <v>944550.72</v>
      </c>
      <c r="O133" s="639">
        <f t="shared" si="11"/>
        <v>9797923500.3351974</v>
      </c>
      <c r="P133" s="640">
        <f t="shared" si="9"/>
        <v>0.95506798744015331</v>
      </c>
    </row>
    <row r="134" spans="1:16">
      <c r="A134" s="627">
        <v>26071.200000000001</v>
      </c>
      <c r="B134" s="628">
        <v>540</v>
      </c>
      <c r="C134" s="629">
        <v>68333</v>
      </c>
      <c r="D134" s="628">
        <f>VLOOKUP(C134,ORC.AUXILIAR!I:J,2,0)</f>
        <v>0</v>
      </c>
      <c r="G134" s="636">
        <f t="shared" ref="G134:G197" si="12">D134</f>
        <v>0</v>
      </c>
      <c r="H134" s="636">
        <f t="shared" ref="H134:H197" si="13">C134</f>
        <v>68333</v>
      </c>
      <c r="I134" s="637" t="str">
        <f>VLOOKUP(H134,ORC.AUXILIAR!I:P,4,0)</f>
        <v>M2</v>
      </c>
      <c r="J134" s="636">
        <f>VLOOKUP(H134,ORC.AUXILIAR!I:P,5,0)</f>
        <v>540</v>
      </c>
      <c r="K134" s="638">
        <f t="shared" ref="K134:K197" si="14">B134</f>
        <v>540</v>
      </c>
      <c r="L134" s="639">
        <f>VLOOKUP(H134,ORC.AUXILIAR!I:P,7,0)</f>
        <v>48.28</v>
      </c>
      <c r="M134" s="639">
        <f>VLOOKUP(H134,ORC.AUXILIAR!I:P,8,0)</f>
        <v>26071.200000000001</v>
      </c>
      <c r="N134" s="639">
        <f t="shared" si="10"/>
        <v>14078448</v>
      </c>
      <c r="O134" s="639">
        <f t="shared" si="11"/>
        <v>9812001948.3351974</v>
      </c>
      <c r="P134" s="640">
        <f t="shared" ref="P134:P197" si="15">O134/N$4</f>
        <v>0.95644030627864807</v>
      </c>
    </row>
    <row r="135" spans="1:16">
      <c r="A135" s="627">
        <v>25987.427100000001</v>
      </c>
      <c r="B135" s="628">
        <v>393.57</v>
      </c>
      <c r="C135" s="629">
        <v>72132</v>
      </c>
      <c r="D135" s="628">
        <f>VLOOKUP(C135,ORC.AUXILIAR!I:J,2,0)</f>
        <v>0</v>
      </c>
      <c r="G135" s="636">
        <f t="shared" si="12"/>
        <v>0</v>
      </c>
      <c r="H135" s="636">
        <f t="shared" si="13"/>
        <v>72132</v>
      </c>
      <c r="I135" s="637" t="str">
        <f>VLOOKUP(H135,ORC.AUXILIAR!I:P,4,0)</f>
        <v>M2</v>
      </c>
      <c r="J135" s="636">
        <f>VLOOKUP(H135,ORC.AUXILIAR!I:P,5,0)</f>
        <v>393.57</v>
      </c>
      <c r="K135" s="638">
        <f t="shared" si="14"/>
        <v>393.57</v>
      </c>
      <c r="L135" s="639">
        <f>VLOOKUP(H135,ORC.AUXILIAR!I:P,7,0)</f>
        <v>66.03</v>
      </c>
      <c r="M135" s="639">
        <f>VLOOKUP(H135,ORC.AUXILIAR!I:P,8,0)</f>
        <v>25987.43</v>
      </c>
      <c r="N135" s="639">
        <f t="shared" ref="N135:N198" si="16">K135*M135</f>
        <v>10227872.825099999</v>
      </c>
      <c r="O135" s="639">
        <f t="shared" ref="O135:O198" si="17">N135+O134</f>
        <v>9822229821.1602974</v>
      </c>
      <c r="P135" s="640">
        <f t="shared" si="15"/>
        <v>0.957437284252045</v>
      </c>
    </row>
    <row r="136" spans="1:16">
      <c r="A136" s="627">
        <v>25750.5</v>
      </c>
      <c r="B136" s="628">
        <v>2</v>
      </c>
      <c r="C136" s="629" t="s">
        <v>13611</v>
      </c>
      <c r="D136" s="628">
        <f>VLOOKUP(C136,ORC.AUXILIAR!I:J,2,0)</f>
        <v>0</v>
      </c>
      <c r="G136" s="636">
        <f t="shared" si="12"/>
        <v>0</v>
      </c>
      <c r="H136" s="636" t="str">
        <f t="shared" si="13"/>
        <v>QCM.BIOGAS.13</v>
      </c>
      <c r="I136" s="637" t="str">
        <f>VLOOKUP(H136,ORC.AUXILIAR!I:P,4,0)</f>
        <v>um</v>
      </c>
      <c r="J136" s="636">
        <f>VLOOKUP(H136,ORC.AUXILIAR!I:P,5,0)</f>
        <v>2</v>
      </c>
      <c r="K136" s="638">
        <f t="shared" si="14"/>
        <v>2</v>
      </c>
      <c r="L136" s="639">
        <f>VLOOKUP(H136,ORC.AUXILIAR!I:P,7,0)</f>
        <v>12701</v>
      </c>
      <c r="M136" s="639">
        <f>VLOOKUP(H136,ORC.AUXILIAR!I:P,8,0)</f>
        <v>25402</v>
      </c>
      <c r="N136" s="639">
        <f t="shared" si="16"/>
        <v>50804</v>
      </c>
      <c r="O136" s="639">
        <f t="shared" si="17"/>
        <v>9822280625.1602974</v>
      </c>
      <c r="P136" s="640">
        <f t="shared" si="15"/>
        <v>0.95744223645176696</v>
      </c>
    </row>
    <row r="137" spans="1:16">
      <c r="A137" s="627">
        <v>25750.5</v>
      </c>
      <c r="B137" s="628">
        <v>2</v>
      </c>
      <c r="C137" s="629" t="s">
        <v>13775</v>
      </c>
      <c r="D137" s="628">
        <f>VLOOKUP(C137,ORC.AUXILIAR!I:J,2,0)</f>
        <v>0</v>
      </c>
      <c r="G137" s="636">
        <f t="shared" si="12"/>
        <v>0</v>
      </c>
      <c r="H137" s="636" t="str">
        <f t="shared" si="13"/>
        <v>QCM.CX.AREIA.15</v>
      </c>
      <c r="I137" s="637" t="str">
        <f>VLOOKUP(H137,ORC.AUXILIAR!I:P,4,0)</f>
        <v>Un</v>
      </c>
      <c r="J137" s="636">
        <f>VLOOKUP(H137,ORC.AUXILIAR!I:P,5,0)</f>
        <v>2</v>
      </c>
      <c r="K137" s="638">
        <f t="shared" si="14"/>
        <v>2</v>
      </c>
      <c r="L137" s="639">
        <f>VLOOKUP(H137,ORC.AUXILIAR!I:P,7,0)</f>
        <v>12701</v>
      </c>
      <c r="M137" s="639">
        <f>VLOOKUP(H137,ORC.AUXILIAR!I:P,8,0)</f>
        <v>25402</v>
      </c>
      <c r="N137" s="639">
        <f t="shared" si="16"/>
        <v>50804</v>
      </c>
      <c r="O137" s="639">
        <f t="shared" si="17"/>
        <v>9822331429.1602974</v>
      </c>
      <c r="P137" s="640">
        <f t="shared" si="15"/>
        <v>0.95744718865148892</v>
      </c>
    </row>
    <row r="138" spans="1:16">
      <c r="A138" s="627">
        <v>25402</v>
      </c>
      <c r="B138" s="628">
        <v>2</v>
      </c>
      <c r="C138" s="629" t="s">
        <v>13566</v>
      </c>
      <c r="D138" s="628">
        <f>VLOOKUP(C138,ORC.AUXILIAR!I:J,2,0)</f>
        <v>0</v>
      </c>
      <c r="G138" s="636">
        <f t="shared" si="12"/>
        <v>0</v>
      </c>
      <c r="H138" s="636" t="str">
        <f t="shared" si="13"/>
        <v>QCM.HIP.15</v>
      </c>
      <c r="I138" s="637" t="str">
        <f>VLOOKUP(H138,ORC.AUXILIAR!I:P,4,0)</f>
        <v>um</v>
      </c>
      <c r="J138" s="636">
        <f>VLOOKUP(H138,ORC.AUXILIAR!I:P,5,0)</f>
        <v>2</v>
      </c>
      <c r="K138" s="638">
        <f t="shared" si="14"/>
        <v>2</v>
      </c>
      <c r="L138" s="639">
        <f>VLOOKUP(H138,ORC.AUXILIAR!I:P,7,0)</f>
        <v>12701</v>
      </c>
      <c r="M138" s="639">
        <f>VLOOKUP(H138,ORC.AUXILIAR!I:P,8,0)</f>
        <v>25402</v>
      </c>
      <c r="N138" s="639">
        <f t="shared" si="16"/>
        <v>50804</v>
      </c>
      <c r="O138" s="639">
        <f t="shared" si="17"/>
        <v>9822382233.1602974</v>
      </c>
      <c r="P138" s="640">
        <f t="shared" si="15"/>
        <v>0.95745214085121078</v>
      </c>
    </row>
    <row r="139" spans="1:16">
      <c r="A139" s="627">
        <v>25197.759999999998</v>
      </c>
      <c r="B139" s="628">
        <v>16</v>
      </c>
      <c r="C139" s="629" t="s">
        <v>13304</v>
      </c>
      <c r="D139" s="628">
        <f>VLOOKUP(C139,ORC.AUXILIAR!I:J,2,0)</f>
        <v>0</v>
      </c>
      <c r="G139" s="636">
        <f t="shared" si="12"/>
        <v>0</v>
      </c>
      <c r="H139" s="636" t="str">
        <f t="shared" si="13"/>
        <v>TB.EQ.01</v>
      </c>
      <c r="I139" s="637" t="str">
        <f>VLOOKUP(H139,ORC.AUXILIAR!I:P,4,0)</f>
        <v>un</v>
      </c>
      <c r="J139" s="636">
        <f>VLOOKUP(H139,ORC.AUXILIAR!I:P,5,0)</f>
        <v>16</v>
      </c>
      <c r="K139" s="638">
        <f t="shared" si="14"/>
        <v>16</v>
      </c>
      <c r="L139" s="639">
        <f>VLOOKUP(H139,ORC.AUXILIAR!I:P,7,0)</f>
        <v>1574.86</v>
      </c>
      <c r="M139" s="639">
        <f>VLOOKUP(H139,ORC.AUXILIAR!I:P,8,0)</f>
        <v>25197.759999999998</v>
      </c>
      <c r="N139" s="639">
        <f t="shared" si="16"/>
        <v>403164.15999999997</v>
      </c>
      <c r="O139" s="639">
        <f t="shared" si="17"/>
        <v>9822785397.3202972</v>
      </c>
      <c r="P139" s="640">
        <f t="shared" si="15"/>
        <v>0.95749143991114793</v>
      </c>
    </row>
    <row r="140" spans="1:16">
      <c r="A140" s="627">
        <v>25106.402400000003</v>
      </c>
      <c r="B140" s="628">
        <v>354.16</v>
      </c>
      <c r="C140" s="629">
        <v>4720</v>
      </c>
      <c r="D140" s="628">
        <f>VLOOKUP(C140,ORC.AUXILIAR!I:J,2,0)</f>
        <v>0</v>
      </c>
      <c r="G140" s="636">
        <f t="shared" si="12"/>
        <v>0</v>
      </c>
      <c r="H140" s="636">
        <f t="shared" si="13"/>
        <v>4720</v>
      </c>
      <c r="I140" s="637" t="str">
        <f>VLOOKUP(H140,ORC.AUXILIAR!I:P,4,0)</f>
        <v>M3</v>
      </c>
      <c r="J140" s="636">
        <f>VLOOKUP(H140,ORC.AUXILIAR!I:P,5,0)</f>
        <v>354.16</v>
      </c>
      <c r="K140" s="638">
        <f t="shared" si="14"/>
        <v>354.16</v>
      </c>
      <c r="L140" s="639">
        <f>VLOOKUP(H140,ORC.AUXILIAR!I:P,7,0)</f>
        <v>70.89</v>
      </c>
      <c r="M140" s="639">
        <f>VLOOKUP(H140,ORC.AUXILIAR!I:P,8,0)</f>
        <v>25106.400000000001</v>
      </c>
      <c r="N140" s="639">
        <f t="shared" si="16"/>
        <v>8891682.6240000017</v>
      </c>
      <c r="O140" s="639">
        <f t="shared" si="17"/>
        <v>9831677079.9442978</v>
      </c>
      <c r="P140" s="640">
        <f t="shared" si="15"/>
        <v>0.95835817064530504</v>
      </c>
    </row>
    <row r="141" spans="1:16">
      <c r="A141" s="627">
        <v>24719.317199999998</v>
      </c>
      <c r="B141" s="628">
        <v>84.69</v>
      </c>
      <c r="C141" s="629">
        <v>34493</v>
      </c>
      <c r="D141" s="628">
        <f>VLOOKUP(C141,ORC.AUXILIAR!I:J,2,0)</f>
        <v>0</v>
      </c>
      <c r="G141" s="636">
        <f t="shared" si="12"/>
        <v>0</v>
      </c>
      <c r="H141" s="636">
        <f t="shared" si="13"/>
        <v>34493</v>
      </c>
      <c r="I141" s="637" t="str">
        <f>VLOOKUP(H141,ORC.AUXILIAR!I:P,4,0)</f>
        <v>M3</v>
      </c>
      <c r="J141" s="636">
        <f>VLOOKUP(H141,ORC.AUXILIAR!I:P,5,0)</f>
        <v>48.72</v>
      </c>
      <c r="K141" s="638">
        <f t="shared" si="14"/>
        <v>84.69</v>
      </c>
      <c r="L141" s="639">
        <f>VLOOKUP(H141,ORC.AUXILIAR!I:P,7,0)</f>
        <v>291.88</v>
      </c>
      <c r="M141" s="639">
        <f>VLOOKUP(H141,ORC.AUXILIAR!I:P,8,0)</f>
        <v>14220.39</v>
      </c>
      <c r="N141" s="639">
        <f t="shared" si="16"/>
        <v>1204324.8291</v>
      </c>
      <c r="O141" s="639">
        <f t="shared" si="17"/>
        <v>9832881404.7733974</v>
      </c>
      <c r="P141" s="640">
        <f t="shared" si="15"/>
        <v>0.95847556410022572</v>
      </c>
    </row>
    <row r="142" spans="1:16">
      <c r="A142" s="627">
        <v>24685.332000000002</v>
      </c>
      <c r="B142" s="628">
        <v>4640.1000000000004</v>
      </c>
      <c r="C142" s="629">
        <v>233</v>
      </c>
      <c r="D142" s="628">
        <f>VLOOKUP(C142,ORC.AUXILIAR!I:J,2,0)</f>
        <v>0</v>
      </c>
      <c r="G142" s="636">
        <f t="shared" si="12"/>
        <v>0</v>
      </c>
      <c r="H142" s="636">
        <f t="shared" si="13"/>
        <v>233</v>
      </c>
      <c r="I142" s="637" t="str">
        <f>VLOOKUP(H142,ORC.AUXILIAR!I:P,4,0)</f>
        <v>M3</v>
      </c>
      <c r="J142" s="636">
        <f>VLOOKUP(H142,ORC.AUXILIAR!I:P,5,0)</f>
        <v>0</v>
      </c>
      <c r="K142" s="638">
        <f t="shared" si="14"/>
        <v>4640.1000000000004</v>
      </c>
      <c r="L142" s="639">
        <f>VLOOKUP(H142,ORC.AUXILIAR!I:P,7,0)</f>
        <v>5.32</v>
      </c>
      <c r="M142" s="639">
        <f>VLOOKUP(H142,ORC.AUXILIAR!I:P,8,0)</f>
        <v>0</v>
      </c>
      <c r="N142" s="639">
        <f t="shared" si="16"/>
        <v>0</v>
      </c>
      <c r="O142" s="639">
        <f t="shared" si="17"/>
        <v>9832881404.7733974</v>
      </c>
      <c r="P142" s="640">
        <f t="shared" si="15"/>
        <v>0.95847556410022572</v>
      </c>
    </row>
    <row r="143" spans="1:16">
      <c r="A143" s="627">
        <v>24635.300000000003</v>
      </c>
      <c r="B143" s="628">
        <v>5</v>
      </c>
      <c r="C143" s="629" t="s">
        <v>13114</v>
      </c>
      <c r="D143" s="628">
        <f>VLOOKUP(C143,ORC.AUXILIAR!I:J,2,0)</f>
        <v>0</v>
      </c>
      <c r="G143" s="636">
        <f t="shared" si="12"/>
        <v>0</v>
      </c>
      <c r="H143" s="636" t="str">
        <f t="shared" si="13"/>
        <v>TP.VAL.02</v>
      </c>
      <c r="I143" s="637" t="str">
        <f>VLOOKUP(H143,ORC.AUXILIAR!I:P,4,0)</f>
        <v>un</v>
      </c>
      <c r="J143" s="636">
        <f>VLOOKUP(H143,ORC.AUXILIAR!I:P,5,0)</f>
        <v>5</v>
      </c>
      <c r="K143" s="638">
        <f t="shared" si="14"/>
        <v>5</v>
      </c>
      <c r="L143" s="639">
        <f>VLOOKUP(H143,ORC.AUXILIAR!I:P,7,0)</f>
        <v>4927.0600000000004</v>
      </c>
      <c r="M143" s="639">
        <f>VLOOKUP(H143,ORC.AUXILIAR!I:P,8,0)</f>
        <v>24635.3</v>
      </c>
      <c r="N143" s="639">
        <f t="shared" si="16"/>
        <v>123176.5</v>
      </c>
      <c r="O143" s="639">
        <f t="shared" si="17"/>
        <v>9833004581.2733974</v>
      </c>
      <c r="P143" s="640">
        <f t="shared" si="15"/>
        <v>0.95848757092309489</v>
      </c>
    </row>
    <row r="144" spans="1:16">
      <c r="A144" s="627">
        <v>24417.083500000001</v>
      </c>
      <c r="B144" s="628">
        <v>2012.9499999999998</v>
      </c>
      <c r="C144" s="629" t="s">
        <v>19263</v>
      </c>
      <c r="D144" s="628">
        <f>VLOOKUP(C144,ORC.AUXILIAR!I:J,2,0)</f>
        <v>0</v>
      </c>
      <c r="G144" s="636">
        <f t="shared" si="12"/>
        <v>0</v>
      </c>
      <c r="H144" s="636" t="str">
        <f t="shared" si="13"/>
        <v>73992/1</v>
      </c>
      <c r="I144" s="637" t="str">
        <f>VLOOKUP(H144,ORC.AUXILIAR!I:P,4,0)</f>
        <v>M2</v>
      </c>
      <c r="J144" s="636">
        <f>VLOOKUP(H144,ORC.AUXILIAR!I:P,5,0)</f>
        <v>17.25</v>
      </c>
      <c r="K144" s="638">
        <f t="shared" si="14"/>
        <v>2012.9499999999998</v>
      </c>
      <c r="L144" s="639">
        <f>VLOOKUP(H144,ORC.AUXILIAR!I:P,7,0)</f>
        <v>12.13</v>
      </c>
      <c r="M144" s="639">
        <f>VLOOKUP(H144,ORC.AUXILIAR!I:P,8,0)</f>
        <v>209.24</v>
      </c>
      <c r="N144" s="639">
        <f t="shared" si="16"/>
        <v>421189.658</v>
      </c>
      <c r="O144" s="639">
        <f t="shared" si="17"/>
        <v>9833425770.9313984</v>
      </c>
      <c r="P144" s="640">
        <f t="shared" si="15"/>
        <v>0.95852862704677089</v>
      </c>
    </row>
    <row r="145" spans="1:16">
      <c r="A145" s="627">
        <v>24229.899999999998</v>
      </c>
      <c r="B145" s="628">
        <v>10</v>
      </c>
      <c r="C145" s="629" t="s">
        <v>12893</v>
      </c>
      <c r="D145" s="628">
        <f>VLOOKUP(C145,ORC.AUXILIAR!I:J,2,0)</f>
        <v>0</v>
      </c>
      <c r="G145" s="636">
        <f t="shared" si="12"/>
        <v>0</v>
      </c>
      <c r="H145" s="636" t="str">
        <f t="shared" si="13"/>
        <v>TP.FºF°.09</v>
      </c>
      <c r="I145" s="637" t="str">
        <f>VLOOKUP(H145,ORC.AUXILIAR!I:P,4,0)</f>
        <v>pç</v>
      </c>
      <c r="J145" s="636">
        <f>VLOOKUP(H145,ORC.AUXILIAR!I:P,5,0)</f>
        <v>10</v>
      </c>
      <c r="K145" s="638">
        <f t="shared" si="14"/>
        <v>10</v>
      </c>
      <c r="L145" s="639">
        <f>VLOOKUP(H145,ORC.AUXILIAR!I:P,7,0)</f>
        <v>2422.9899999999998</v>
      </c>
      <c r="M145" s="639">
        <f>VLOOKUP(H145,ORC.AUXILIAR!I:P,8,0)</f>
        <v>24229.9</v>
      </c>
      <c r="N145" s="639">
        <f t="shared" si="16"/>
        <v>242299</v>
      </c>
      <c r="O145" s="639">
        <f t="shared" si="17"/>
        <v>9833668069.9313984</v>
      </c>
      <c r="P145" s="640">
        <f t="shared" si="15"/>
        <v>0.95855224552248985</v>
      </c>
    </row>
    <row r="146" spans="1:16">
      <c r="A146" s="627">
        <v>24116.16</v>
      </c>
      <c r="B146" s="628">
        <v>96</v>
      </c>
      <c r="C146" s="629" t="s">
        <v>12903</v>
      </c>
      <c r="D146" s="628">
        <f>VLOOKUP(C146,ORC.AUXILIAR!I:J,2,0)</f>
        <v>0</v>
      </c>
      <c r="G146" s="636">
        <f t="shared" si="12"/>
        <v>0</v>
      </c>
      <c r="H146" s="636" t="str">
        <f t="shared" si="13"/>
        <v>RE.F°F°.19</v>
      </c>
      <c r="I146" s="637" t="str">
        <f>VLOOKUP(H146,ORC.AUXILIAR!I:P,4,0)</f>
        <v>pç</v>
      </c>
      <c r="J146" s="636">
        <f>VLOOKUP(H146,ORC.AUXILIAR!I:P,5,0)</f>
        <v>96</v>
      </c>
      <c r="K146" s="638">
        <f t="shared" si="14"/>
        <v>96</v>
      </c>
      <c r="L146" s="639">
        <f>VLOOKUP(H146,ORC.AUXILIAR!I:P,7,0)</f>
        <v>251.21</v>
      </c>
      <c r="M146" s="639">
        <f>VLOOKUP(H146,ORC.AUXILIAR!I:P,8,0)</f>
        <v>24116.16</v>
      </c>
      <c r="N146" s="639">
        <f t="shared" si="16"/>
        <v>2315151.3599999999</v>
      </c>
      <c r="O146" s="639">
        <f t="shared" si="17"/>
        <v>9835983221.291399</v>
      </c>
      <c r="P146" s="640">
        <f t="shared" si="15"/>
        <v>0.95877791853881211</v>
      </c>
    </row>
    <row r="147" spans="1:16">
      <c r="A147" s="627">
        <v>23745.228999999999</v>
      </c>
      <c r="B147" s="628">
        <v>16376.02</v>
      </c>
      <c r="C147" s="629">
        <v>19314</v>
      </c>
      <c r="D147" s="628">
        <f>VLOOKUP(C147,ORC.AUXILIAR!I:J,2,0)</f>
        <v>0</v>
      </c>
      <c r="G147" s="636">
        <f t="shared" si="12"/>
        <v>0</v>
      </c>
      <c r="H147" s="636">
        <f t="shared" si="13"/>
        <v>19314</v>
      </c>
      <c r="I147" s="637" t="str">
        <f>VLOOKUP(H147,ORC.AUXILIAR!I:P,4,0)</f>
        <v>M3XKM</v>
      </c>
      <c r="J147" s="636">
        <f>VLOOKUP(H147,ORC.AUXILIAR!I:P,5,0)</f>
        <v>1035.02</v>
      </c>
      <c r="K147" s="638">
        <f t="shared" si="14"/>
        <v>16376.02</v>
      </c>
      <c r="L147" s="639">
        <f>VLOOKUP(H147,ORC.AUXILIAR!I:P,7,0)</f>
        <v>1.45</v>
      </c>
      <c r="M147" s="639">
        <f>VLOOKUP(H147,ORC.AUXILIAR!I:P,8,0)</f>
        <v>1500.78</v>
      </c>
      <c r="N147" s="639">
        <f t="shared" si="16"/>
        <v>24576803.295600001</v>
      </c>
      <c r="O147" s="639">
        <f t="shared" si="17"/>
        <v>9860560024.5869999</v>
      </c>
      <c r="P147" s="640">
        <f t="shared" si="15"/>
        <v>0.96117358105449091</v>
      </c>
    </row>
    <row r="148" spans="1:16">
      <c r="A148" s="627">
        <v>23665.32</v>
      </c>
      <c r="B148" s="628">
        <v>3</v>
      </c>
      <c r="C148" s="629" t="s">
        <v>14177</v>
      </c>
      <c r="D148" s="628">
        <f>VLOOKUP(C148,ORC.AUXILIAR!I:J,2,0)</f>
        <v>0</v>
      </c>
      <c r="G148" s="636">
        <f t="shared" si="12"/>
        <v>0</v>
      </c>
      <c r="H148" s="636" t="str">
        <f t="shared" si="13"/>
        <v>CT.FºFº.03</v>
      </c>
      <c r="I148" s="637" t="str">
        <f>VLOOKUP(H148,ORC.AUXILIAR!I:P,4,0)</f>
        <v>un</v>
      </c>
      <c r="J148" s="636">
        <f>VLOOKUP(H148,ORC.AUXILIAR!I:P,5,0)</f>
        <v>3</v>
      </c>
      <c r="K148" s="638">
        <f t="shared" si="14"/>
        <v>3</v>
      </c>
      <c r="L148" s="639">
        <f>VLOOKUP(H148,ORC.AUXILIAR!I:P,7,0)</f>
        <v>7888.44</v>
      </c>
      <c r="M148" s="639">
        <f>VLOOKUP(H148,ORC.AUXILIAR!I:P,8,0)</f>
        <v>23665.32</v>
      </c>
      <c r="N148" s="639">
        <f t="shared" si="16"/>
        <v>70995.959999999992</v>
      </c>
      <c r="O148" s="639">
        <f t="shared" si="17"/>
        <v>9860631020.546999</v>
      </c>
      <c r="P148" s="640">
        <f t="shared" si="15"/>
        <v>0.96118050149723888</v>
      </c>
    </row>
    <row r="149" spans="1:16">
      <c r="A149" s="627">
        <v>23398.080000000002</v>
      </c>
      <c r="B149" s="628">
        <v>32</v>
      </c>
      <c r="C149" s="629" t="s">
        <v>13122</v>
      </c>
      <c r="D149" s="628">
        <f>VLOOKUP(C149,ORC.AUXILIAR!I:J,2,0)</f>
        <v>0</v>
      </c>
      <c r="G149" s="636">
        <f t="shared" si="12"/>
        <v>0</v>
      </c>
      <c r="H149" s="636" t="str">
        <f t="shared" si="13"/>
        <v>RE.VAL.03</v>
      </c>
      <c r="I149" s="637" t="str">
        <f>VLOOKUP(H149,ORC.AUXILIAR!I:P,4,0)</f>
        <v>pç</v>
      </c>
      <c r="J149" s="636">
        <f>VLOOKUP(H149,ORC.AUXILIAR!I:P,5,0)</f>
        <v>32</v>
      </c>
      <c r="K149" s="638">
        <f t="shared" si="14"/>
        <v>32</v>
      </c>
      <c r="L149" s="639">
        <f>VLOOKUP(H149,ORC.AUXILIAR!I:P,7,0)</f>
        <v>731.19</v>
      </c>
      <c r="M149" s="639">
        <f>VLOOKUP(H149,ORC.AUXILIAR!I:P,8,0)</f>
        <v>23398.080000000002</v>
      </c>
      <c r="N149" s="639">
        <f t="shared" si="16"/>
        <v>748738.56000000006</v>
      </c>
      <c r="O149" s="639">
        <f t="shared" si="17"/>
        <v>9861379759.1069984</v>
      </c>
      <c r="P149" s="640">
        <f t="shared" si="15"/>
        <v>0.96125348596477356</v>
      </c>
    </row>
    <row r="150" spans="1:16">
      <c r="A150" s="627">
        <v>23240.48</v>
      </c>
      <c r="B150" s="628">
        <v>2</v>
      </c>
      <c r="C150" s="629" t="s">
        <v>14658</v>
      </c>
      <c r="D150" s="628">
        <f>VLOOKUP(C150,ORC.AUXILIAR!I:J,2,0)</f>
        <v>0</v>
      </c>
      <c r="G150" s="636">
        <f t="shared" si="12"/>
        <v>0</v>
      </c>
      <c r="H150" s="636" t="str">
        <f t="shared" si="13"/>
        <v>CT_ESCADA.CDG</v>
      </c>
      <c r="I150" s="637" t="str">
        <f>VLOOKUP(H150,ORC.AUXILIAR!I:P,4,0)</f>
        <v>UM</v>
      </c>
      <c r="J150" s="636">
        <f>VLOOKUP(H150,ORC.AUXILIAR!I:P,5,0)</f>
        <v>2</v>
      </c>
      <c r="K150" s="638">
        <f t="shared" si="14"/>
        <v>2</v>
      </c>
      <c r="L150" s="639">
        <f>VLOOKUP(H150,ORC.AUXILIAR!I:P,7,0)</f>
        <v>11620.24</v>
      </c>
      <c r="M150" s="639">
        <f>VLOOKUP(H150,ORC.AUXILIAR!I:P,8,0)</f>
        <v>23240.48</v>
      </c>
      <c r="N150" s="639">
        <f t="shared" si="16"/>
        <v>46480.959999999999</v>
      </c>
      <c r="O150" s="639">
        <f t="shared" si="17"/>
        <v>9861426240.0669975</v>
      </c>
      <c r="P150" s="640">
        <f t="shared" si="15"/>
        <v>0.96125801676937916</v>
      </c>
    </row>
    <row r="151" spans="1:16">
      <c r="A151" s="627">
        <v>22960.5</v>
      </c>
      <c r="B151" s="628">
        <v>50</v>
      </c>
      <c r="C151" s="629" t="s">
        <v>13362</v>
      </c>
      <c r="D151" s="628">
        <f>VLOOKUP(C151,ORC.AUXILIAR!I:J,2,0)</f>
        <v>0</v>
      </c>
      <c r="G151" s="636">
        <f t="shared" si="12"/>
        <v>0</v>
      </c>
      <c r="H151" s="636" t="str">
        <f t="shared" si="13"/>
        <v>TP.CAÇAMBA.TRILHO</v>
      </c>
      <c r="I151" s="637" t="str">
        <f>VLOOKUP(H151,ORC.AUXILIAR!I:P,4,0)</f>
        <v>M</v>
      </c>
      <c r="J151" s="636">
        <f>VLOOKUP(H151,ORC.AUXILIAR!I:P,5,0)</f>
        <v>50</v>
      </c>
      <c r="K151" s="638">
        <f t="shared" si="14"/>
        <v>50</v>
      </c>
      <c r="L151" s="639">
        <f>VLOOKUP(H151,ORC.AUXILIAR!I:P,7,0)</f>
        <v>459.21</v>
      </c>
      <c r="M151" s="639">
        <f>VLOOKUP(H151,ORC.AUXILIAR!I:P,8,0)</f>
        <v>22960.5</v>
      </c>
      <c r="N151" s="639">
        <f t="shared" si="16"/>
        <v>1148025</v>
      </c>
      <c r="O151" s="639">
        <f t="shared" si="17"/>
        <v>9862574265.0669975</v>
      </c>
      <c r="P151" s="640">
        <f t="shared" si="15"/>
        <v>0.96136992231000151</v>
      </c>
    </row>
    <row r="152" spans="1:16">
      <c r="A152" s="627">
        <v>22841.9</v>
      </c>
      <c r="B152" s="628">
        <v>2</v>
      </c>
      <c r="C152" s="629" t="s">
        <v>12356</v>
      </c>
      <c r="D152" s="628">
        <f>VLOOKUP(C152,ORC.AUXILIAR!I:J,2,0)</f>
        <v>0</v>
      </c>
      <c r="G152" s="636">
        <f t="shared" si="12"/>
        <v>0</v>
      </c>
      <c r="H152" s="636" t="str">
        <f t="shared" si="13"/>
        <v>CP_BIOGAS.EQUIP.</v>
      </c>
      <c r="I152" s="637" t="str">
        <f>VLOOKUP(H152,ORC.AUXILIAR!I:P,4,0)</f>
        <v>um.</v>
      </c>
      <c r="J152" s="636">
        <f>VLOOKUP(H152,ORC.AUXILIAR!I:P,5,0)</f>
        <v>1</v>
      </c>
      <c r="K152" s="638">
        <f t="shared" si="14"/>
        <v>2</v>
      </c>
      <c r="L152" s="639">
        <f>VLOOKUP(H152,ORC.AUXILIAR!I:P,7,0)</f>
        <v>11420.95</v>
      </c>
      <c r="M152" s="639">
        <f>VLOOKUP(H152,ORC.AUXILIAR!I:P,8,0)</f>
        <v>11420.95</v>
      </c>
      <c r="N152" s="639">
        <f t="shared" si="16"/>
        <v>22841.9</v>
      </c>
      <c r="O152" s="639">
        <f t="shared" si="17"/>
        <v>9862597106.9669971</v>
      </c>
      <c r="P152" s="640">
        <f t="shared" si="15"/>
        <v>0.96137214886009259</v>
      </c>
    </row>
    <row r="153" spans="1:16">
      <c r="A153" s="627">
        <v>22598.400000000001</v>
      </c>
      <c r="B153" s="628">
        <v>160</v>
      </c>
      <c r="C153" s="629" t="s">
        <v>13285</v>
      </c>
      <c r="D153" s="628">
        <f>VLOOKUP(C153,ORC.AUXILIAR!I:J,2,0)</f>
        <v>0</v>
      </c>
      <c r="G153" s="636">
        <f t="shared" si="12"/>
        <v>0</v>
      </c>
      <c r="H153" s="636" t="str">
        <f t="shared" si="13"/>
        <v>RE.EQUI.01</v>
      </c>
      <c r="I153" s="637" t="str">
        <f>VLOOKUP(H153,ORC.AUXILIAR!I:P,4,0)</f>
        <v>pç</v>
      </c>
      <c r="J153" s="636">
        <f>VLOOKUP(H153,ORC.AUXILIAR!I:P,5,0)</f>
        <v>160</v>
      </c>
      <c r="K153" s="638">
        <f t="shared" si="14"/>
        <v>160</v>
      </c>
      <c r="L153" s="639">
        <f>VLOOKUP(H153,ORC.AUXILIAR!I:P,7,0)</f>
        <v>141.24</v>
      </c>
      <c r="M153" s="639">
        <f>VLOOKUP(H153,ORC.AUXILIAR!I:P,8,0)</f>
        <v>22598.400000000001</v>
      </c>
      <c r="N153" s="639">
        <f t="shared" si="16"/>
        <v>3615744</v>
      </c>
      <c r="O153" s="639">
        <f t="shared" si="17"/>
        <v>9866212850.9669971</v>
      </c>
      <c r="P153" s="640">
        <f t="shared" si="15"/>
        <v>0.96172459918745634</v>
      </c>
    </row>
    <row r="154" spans="1:16">
      <c r="A154" s="627">
        <v>22553.279999999999</v>
      </c>
      <c r="B154" s="628">
        <v>6</v>
      </c>
      <c r="C154" s="629" t="s">
        <v>12946</v>
      </c>
      <c r="D154" s="628">
        <f>VLOOKUP(C154,ORC.AUXILIAR!I:J,2,0)</f>
        <v>0</v>
      </c>
      <c r="G154" s="636">
        <f t="shared" si="12"/>
        <v>0</v>
      </c>
      <c r="H154" s="636" t="str">
        <f t="shared" si="13"/>
        <v>TP.FºF°.19</v>
      </c>
      <c r="I154" s="637" t="str">
        <f>VLOOKUP(H154,ORC.AUXILIAR!I:P,4,0)</f>
        <v>pç</v>
      </c>
      <c r="J154" s="636">
        <f>VLOOKUP(H154,ORC.AUXILIAR!I:P,5,0)</f>
        <v>6</v>
      </c>
      <c r="K154" s="638">
        <f t="shared" si="14"/>
        <v>6</v>
      </c>
      <c r="L154" s="639">
        <f>VLOOKUP(H154,ORC.AUXILIAR!I:P,7,0)</f>
        <v>3758.88</v>
      </c>
      <c r="M154" s="639">
        <f>VLOOKUP(H154,ORC.AUXILIAR!I:P,8,0)</f>
        <v>22553.279999999999</v>
      </c>
      <c r="N154" s="639">
        <f t="shared" si="16"/>
        <v>135319.67999999999</v>
      </c>
      <c r="O154" s="639">
        <f t="shared" si="17"/>
        <v>9866348170.6469975</v>
      </c>
      <c r="P154" s="640">
        <f t="shared" si="15"/>
        <v>0.9617377896858752</v>
      </c>
    </row>
    <row r="155" spans="1:16">
      <c r="A155" s="627">
        <v>22367.199999999997</v>
      </c>
      <c r="B155" s="628">
        <v>20</v>
      </c>
      <c r="C155" s="629" t="s">
        <v>13016</v>
      </c>
      <c r="D155" s="628">
        <f>VLOOKUP(C155,ORC.AUXILIAR!I:J,2,0)</f>
        <v>0</v>
      </c>
      <c r="G155" s="636">
        <f t="shared" si="12"/>
        <v>0</v>
      </c>
      <c r="H155" s="636" t="str">
        <f t="shared" si="13"/>
        <v>RE.F°F°.46</v>
      </c>
      <c r="I155" s="637" t="str">
        <f>VLOOKUP(H155,ORC.AUXILIAR!I:P,4,0)</f>
        <v>pç</v>
      </c>
      <c r="J155" s="636">
        <f>VLOOKUP(H155,ORC.AUXILIAR!I:P,5,0)</f>
        <v>20</v>
      </c>
      <c r="K155" s="638">
        <f t="shared" si="14"/>
        <v>20</v>
      </c>
      <c r="L155" s="639">
        <f>VLOOKUP(H155,ORC.AUXILIAR!I:P,7,0)</f>
        <v>1118.3599999999999</v>
      </c>
      <c r="M155" s="639">
        <f>VLOOKUP(H155,ORC.AUXILIAR!I:P,8,0)</f>
        <v>22367.200000000001</v>
      </c>
      <c r="N155" s="639">
        <f t="shared" si="16"/>
        <v>447344</v>
      </c>
      <c r="O155" s="639">
        <f t="shared" si="17"/>
        <v>9866795514.6469975</v>
      </c>
      <c r="P155" s="640">
        <f t="shared" si="15"/>
        <v>0.96178139524513051</v>
      </c>
    </row>
    <row r="156" spans="1:16">
      <c r="A156" s="627">
        <v>22318.080000000002</v>
      </c>
      <c r="B156" s="628">
        <v>128</v>
      </c>
      <c r="C156" s="629" t="s">
        <v>13098</v>
      </c>
      <c r="D156" s="628">
        <f>VLOOKUP(C156,ORC.AUXILIAR!I:J,2,0)</f>
        <v>0</v>
      </c>
      <c r="G156" s="636">
        <f t="shared" si="12"/>
        <v>0</v>
      </c>
      <c r="H156" s="636" t="str">
        <f t="shared" si="13"/>
        <v>REATOR.FB.09</v>
      </c>
      <c r="I156" s="637" t="str">
        <f>VLOOKUP(H156,ORC.AUXILIAR!I:P,4,0)</f>
        <v>pç</v>
      </c>
      <c r="J156" s="636">
        <f>VLOOKUP(H156,ORC.AUXILIAR!I:P,5,0)</f>
        <v>128</v>
      </c>
      <c r="K156" s="638">
        <f t="shared" si="14"/>
        <v>128</v>
      </c>
      <c r="L156" s="639">
        <f>VLOOKUP(H156,ORC.AUXILIAR!I:P,7,0)</f>
        <v>174.36</v>
      </c>
      <c r="M156" s="639">
        <f>VLOOKUP(H156,ORC.AUXILIAR!I:P,8,0)</f>
        <v>22318.080000000002</v>
      </c>
      <c r="N156" s="639">
        <f t="shared" si="16"/>
        <v>2856714.2400000002</v>
      </c>
      <c r="O156" s="639">
        <f t="shared" si="17"/>
        <v>9869652228.8869972</v>
      </c>
      <c r="P156" s="640">
        <f t="shared" si="15"/>
        <v>0.96205985795407034</v>
      </c>
    </row>
    <row r="157" spans="1:16">
      <c r="A157" s="627">
        <v>21648.273400000002</v>
      </c>
      <c r="B157" s="628">
        <v>247.07</v>
      </c>
      <c r="C157" s="629">
        <v>231</v>
      </c>
      <c r="D157" s="628">
        <f>VLOOKUP(C157,ORC.AUXILIAR!I:J,2,0)</f>
        <v>0</v>
      </c>
      <c r="G157" s="636">
        <f t="shared" si="12"/>
        <v>0</v>
      </c>
      <c r="H157" s="636">
        <f t="shared" si="13"/>
        <v>231</v>
      </c>
      <c r="I157" s="637" t="str">
        <f>VLOOKUP(H157,ORC.AUXILIAR!I:P,4,0)</f>
        <v>M3</v>
      </c>
      <c r="J157" s="636">
        <f>VLOOKUP(H157,ORC.AUXILIAR!I:P,5,0)</f>
        <v>0</v>
      </c>
      <c r="K157" s="638">
        <f t="shared" si="14"/>
        <v>247.07</v>
      </c>
      <c r="L157" s="639">
        <f>VLOOKUP(H157,ORC.AUXILIAR!I:P,7,0)</f>
        <v>87.62</v>
      </c>
      <c r="M157" s="639">
        <f>VLOOKUP(H157,ORC.AUXILIAR!I:P,8,0)</f>
        <v>0</v>
      </c>
      <c r="N157" s="639">
        <f t="shared" si="16"/>
        <v>0</v>
      </c>
      <c r="O157" s="639">
        <f t="shared" si="17"/>
        <v>9869652228.8869972</v>
      </c>
      <c r="P157" s="640">
        <f t="shared" si="15"/>
        <v>0.96205985795407034</v>
      </c>
    </row>
    <row r="158" spans="1:16">
      <c r="A158" s="627">
        <v>21603.119999999999</v>
      </c>
      <c r="B158" s="628">
        <v>8</v>
      </c>
      <c r="C158" s="629" t="s">
        <v>13497</v>
      </c>
      <c r="D158" s="628">
        <f>VLOOKUP(C158,ORC.AUXILIAR!I:J,2,0)</f>
        <v>0</v>
      </c>
      <c r="G158" s="636">
        <f t="shared" si="12"/>
        <v>0</v>
      </c>
      <c r="H158" s="636" t="str">
        <f t="shared" si="13"/>
        <v>INST.CX.AREIA.30</v>
      </c>
      <c r="I158" s="637" t="str">
        <f>VLOOKUP(H158,ORC.AUXILIAR!I:P,4,0)</f>
        <v>un</v>
      </c>
      <c r="J158" s="636">
        <f>VLOOKUP(H158,ORC.AUXILIAR!I:P,5,0)</f>
        <v>8</v>
      </c>
      <c r="K158" s="638">
        <f t="shared" si="14"/>
        <v>8</v>
      </c>
      <c r="L158" s="639">
        <f>VLOOKUP(H158,ORC.AUXILIAR!I:P,7,0)</f>
        <v>613.12</v>
      </c>
      <c r="M158" s="639">
        <f>VLOOKUP(H158,ORC.AUXILIAR!I:P,8,0)</f>
        <v>4904.96</v>
      </c>
      <c r="N158" s="639">
        <f t="shared" si="16"/>
        <v>39239.68</v>
      </c>
      <c r="O158" s="639">
        <f t="shared" si="17"/>
        <v>9869691468.5669975</v>
      </c>
      <c r="P158" s="640">
        <f t="shared" si="15"/>
        <v>0.96206368290353073</v>
      </c>
    </row>
    <row r="159" spans="1:16">
      <c r="A159" s="627">
        <v>21587.199999999997</v>
      </c>
      <c r="B159" s="628">
        <v>320</v>
      </c>
      <c r="C159" s="629" t="s">
        <v>12734</v>
      </c>
      <c r="D159" s="628">
        <f>VLOOKUP(C159,ORC.AUXILIAR!I:J,2,0)</f>
        <v>0</v>
      </c>
      <c r="G159" s="636">
        <f t="shared" si="12"/>
        <v>0</v>
      </c>
      <c r="H159" s="636" t="str">
        <f t="shared" si="13"/>
        <v>RE.AI.20</v>
      </c>
      <c r="I159" s="637" t="str">
        <f>VLOOKUP(H159,ORC.AUXILIAR!I:P,4,0)</f>
        <v>pç</v>
      </c>
      <c r="J159" s="636">
        <f>VLOOKUP(H159,ORC.AUXILIAR!I:P,5,0)</f>
        <v>320</v>
      </c>
      <c r="K159" s="638">
        <f t="shared" si="14"/>
        <v>320</v>
      </c>
      <c r="L159" s="639">
        <f>VLOOKUP(H159,ORC.AUXILIAR!I:P,7,0)</f>
        <v>67.459999999999994</v>
      </c>
      <c r="M159" s="639">
        <f>VLOOKUP(H159,ORC.AUXILIAR!I:P,8,0)</f>
        <v>21587.200000000001</v>
      </c>
      <c r="N159" s="639">
        <f t="shared" si="16"/>
        <v>6907904</v>
      </c>
      <c r="O159" s="639">
        <f t="shared" si="17"/>
        <v>9876599372.5669975</v>
      </c>
      <c r="P159" s="640">
        <f t="shared" si="15"/>
        <v>0.96273704169945151</v>
      </c>
    </row>
    <row r="160" spans="1:16">
      <c r="A160" s="627">
        <v>21582.441999999999</v>
      </c>
      <c r="B160" s="628">
        <v>623.77</v>
      </c>
      <c r="C160" s="629">
        <v>1430</v>
      </c>
      <c r="D160" s="628">
        <f>VLOOKUP(C160,ORC.AUXILIAR!I:J,2,0)</f>
        <v>0</v>
      </c>
      <c r="G160" s="636">
        <f t="shared" si="12"/>
        <v>0</v>
      </c>
      <c r="H160" s="636">
        <f t="shared" si="13"/>
        <v>1430</v>
      </c>
      <c r="I160" s="637" t="str">
        <f>VLOOKUP(H160,ORC.AUXILIAR!I:P,4,0)</f>
        <v>M2</v>
      </c>
      <c r="J160" s="636">
        <f>VLOOKUP(H160,ORC.AUXILIAR!I:P,5,0)</f>
        <v>0</v>
      </c>
      <c r="K160" s="638">
        <f t="shared" si="14"/>
        <v>623.77</v>
      </c>
      <c r="L160" s="639">
        <f>VLOOKUP(H160,ORC.AUXILIAR!I:P,7,0)</f>
        <v>34.6</v>
      </c>
      <c r="M160" s="639">
        <f>VLOOKUP(H160,ORC.AUXILIAR!I:P,8,0)</f>
        <v>0</v>
      </c>
      <c r="N160" s="639">
        <f t="shared" si="16"/>
        <v>0</v>
      </c>
      <c r="O160" s="639">
        <f t="shared" si="17"/>
        <v>9876599372.5669975</v>
      </c>
      <c r="P160" s="640">
        <f t="shared" si="15"/>
        <v>0.96273704169945151</v>
      </c>
    </row>
    <row r="161" spans="1:16">
      <c r="A161" s="627">
        <v>21176.1</v>
      </c>
      <c r="B161" s="628">
        <v>1426</v>
      </c>
      <c r="C161" s="629">
        <v>90739</v>
      </c>
      <c r="D161" s="628">
        <f>VLOOKUP(C161,ORC.AUXILIAR!I:J,2,0)</f>
        <v>0</v>
      </c>
      <c r="G161" s="636">
        <f t="shared" si="12"/>
        <v>0</v>
      </c>
      <c r="H161" s="636">
        <f t="shared" si="13"/>
        <v>90739</v>
      </c>
      <c r="I161" s="637" t="str">
        <f>VLOOKUP(H161,ORC.AUXILIAR!I:P,4,0)</f>
        <v>M</v>
      </c>
      <c r="J161" s="636">
        <f>VLOOKUP(H161,ORC.AUXILIAR!I:P,5,0)</f>
        <v>0</v>
      </c>
      <c r="K161" s="638">
        <f t="shared" si="14"/>
        <v>1426</v>
      </c>
      <c r="L161" s="639">
        <f>VLOOKUP(H161,ORC.AUXILIAR!I:P,7,0)</f>
        <v>14.85</v>
      </c>
      <c r="M161" s="639">
        <f>VLOOKUP(H161,ORC.AUXILIAR!I:P,8,0)</f>
        <v>0</v>
      </c>
      <c r="N161" s="639">
        <f t="shared" si="16"/>
        <v>0</v>
      </c>
      <c r="O161" s="639">
        <f t="shared" si="17"/>
        <v>9876599372.5669975</v>
      </c>
      <c r="P161" s="640">
        <f t="shared" si="15"/>
        <v>0.96273704169945151</v>
      </c>
    </row>
    <row r="162" spans="1:16">
      <c r="A162" s="627">
        <v>20932.800000000003</v>
      </c>
      <c r="B162" s="628">
        <v>3360</v>
      </c>
      <c r="C162" s="629" t="s">
        <v>12916</v>
      </c>
      <c r="D162" s="628">
        <f>VLOOKUP(C162,ORC.AUXILIAR!I:J,2,0)</f>
        <v>0</v>
      </c>
      <c r="G162" s="636">
        <f t="shared" si="12"/>
        <v>0</v>
      </c>
      <c r="H162" s="636" t="str">
        <f t="shared" si="13"/>
        <v>RE.F°F°.22</v>
      </c>
      <c r="I162" s="637" t="str">
        <f>VLOOKUP(H162,ORC.AUXILIAR!I:P,4,0)</f>
        <v>pç</v>
      </c>
      <c r="J162" s="636">
        <f>VLOOKUP(H162,ORC.AUXILIAR!I:P,5,0)</f>
        <v>3360</v>
      </c>
      <c r="K162" s="638">
        <f t="shared" si="14"/>
        <v>3360</v>
      </c>
      <c r="L162" s="639">
        <f>VLOOKUP(H162,ORC.AUXILIAR!I:P,7,0)</f>
        <v>6.23</v>
      </c>
      <c r="M162" s="639">
        <f>VLOOKUP(H162,ORC.AUXILIAR!I:P,8,0)</f>
        <v>20932.8</v>
      </c>
      <c r="N162" s="639">
        <f t="shared" si="16"/>
        <v>70334208</v>
      </c>
      <c r="O162" s="639">
        <f t="shared" si="17"/>
        <v>9946933580.5669975</v>
      </c>
      <c r="P162" s="640">
        <f t="shared" si="15"/>
        <v>0.96959297913154718</v>
      </c>
    </row>
    <row r="163" spans="1:16">
      <c r="A163" s="627">
        <v>20793.2</v>
      </c>
      <c r="B163" s="628">
        <v>4</v>
      </c>
      <c r="C163" s="629" t="s">
        <v>12990</v>
      </c>
      <c r="D163" s="628">
        <f>VLOOKUP(C163,ORC.AUXILIAR!I:J,2,0)</f>
        <v>0</v>
      </c>
      <c r="G163" s="636">
        <f t="shared" si="12"/>
        <v>0</v>
      </c>
      <c r="H163" s="636" t="str">
        <f t="shared" si="13"/>
        <v>RE.F°F°.39</v>
      </c>
      <c r="I163" s="637" t="str">
        <f>VLOOKUP(H163,ORC.AUXILIAR!I:P,4,0)</f>
        <v>pç</v>
      </c>
      <c r="J163" s="636">
        <f>VLOOKUP(H163,ORC.AUXILIAR!I:P,5,0)</f>
        <v>4</v>
      </c>
      <c r="K163" s="638">
        <f t="shared" si="14"/>
        <v>4</v>
      </c>
      <c r="L163" s="639">
        <f>VLOOKUP(H163,ORC.AUXILIAR!I:P,7,0)</f>
        <v>5198.3</v>
      </c>
      <c r="M163" s="639">
        <f>VLOOKUP(H163,ORC.AUXILIAR!I:P,8,0)</f>
        <v>20793.2</v>
      </c>
      <c r="N163" s="639">
        <f t="shared" si="16"/>
        <v>83172.800000000003</v>
      </c>
      <c r="O163" s="639">
        <f t="shared" si="17"/>
        <v>9947016753.3669968</v>
      </c>
      <c r="P163" s="640">
        <f t="shared" si="15"/>
        <v>0.96960108653090604</v>
      </c>
    </row>
    <row r="164" spans="1:16">
      <c r="A164" s="627">
        <v>20023.22</v>
      </c>
      <c r="B164" s="628">
        <v>2</v>
      </c>
      <c r="C164" s="629" t="s">
        <v>13306</v>
      </c>
      <c r="D164" s="628">
        <f>VLOOKUP(C164,ORC.AUXILIAR!I:J,2,0)</f>
        <v>0</v>
      </c>
      <c r="G164" s="636">
        <f t="shared" si="12"/>
        <v>0</v>
      </c>
      <c r="H164" s="636" t="str">
        <f t="shared" si="13"/>
        <v>TB.EQ.03</v>
      </c>
      <c r="I164" s="637" t="str">
        <f>VLOOKUP(H164,ORC.AUXILIAR!I:P,4,0)</f>
        <v>cj</v>
      </c>
      <c r="J164" s="636">
        <f>VLOOKUP(H164,ORC.AUXILIAR!I:P,5,0)</f>
        <v>2</v>
      </c>
      <c r="K164" s="638">
        <f t="shared" si="14"/>
        <v>2</v>
      </c>
      <c r="L164" s="639">
        <f>VLOOKUP(H164,ORC.AUXILIAR!I:P,7,0)</f>
        <v>10011.61</v>
      </c>
      <c r="M164" s="639">
        <f>VLOOKUP(H164,ORC.AUXILIAR!I:P,8,0)</f>
        <v>20023.22</v>
      </c>
      <c r="N164" s="639">
        <f t="shared" si="16"/>
        <v>40046.44</v>
      </c>
      <c r="O164" s="639">
        <f t="shared" si="17"/>
        <v>9947056799.8069973</v>
      </c>
      <c r="P164" s="640">
        <f t="shared" si="15"/>
        <v>0.969604990120565</v>
      </c>
    </row>
    <row r="165" spans="1:16">
      <c r="A165" s="627">
        <v>19910.73</v>
      </c>
      <c r="B165" s="628">
        <v>3</v>
      </c>
      <c r="C165" s="629" t="s">
        <v>13068</v>
      </c>
      <c r="D165" s="628">
        <f>VLOOKUP(C165,ORC.AUXILIAR!I:J,2,0)</f>
        <v>0</v>
      </c>
      <c r="G165" s="636">
        <f t="shared" si="12"/>
        <v>0</v>
      </c>
      <c r="H165" s="636" t="str">
        <f t="shared" si="13"/>
        <v>TP.COMPORTA.05</v>
      </c>
      <c r="I165" s="637" t="str">
        <f>VLOOKUP(H165,ORC.AUXILIAR!I:P,4,0)</f>
        <v>un</v>
      </c>
      <c r="J165" s="636">
        <f>VLOOKUP(H165,ORC.AUXILIAR!I:P,5,0)</f>
        <v>3</v>
      </c>
      <c r="K165" s="638">
        <f t="shared" si="14"/>
        <v>3</v>
      </c>
      <c r="L165" s="639">
        <f>VLOOKUP(H165,ORC.AUXILIAR!I:P,7,0)</f>
        <v>6636.91</v>
      </c>
      <c r="M165" s="639">
        <f>VLOOKUP(H165,ORC.AUXILIAR!I:P,8,0)</f>
        <v>19910.73</v>
      </c>
      <c r="N165" s="639">
        <f t="shared" si="16"/>
        <v>59732.19</v>
      </c>
      <c r="O165" s="639">
        <f t="shared" si="17"/>
        <v>9947116531.9969978</v>
      </c>
      <c r="P165" s="640">
        <f t="shared" si="15"/>
        <v>0.969610812609635</v>
      </c>
    </row>
    <row r="166" spans="1:16">
      <c r="A166" s="627">
        <v>19662.963200000002</v>
      </c>
      <c r="B166" s="628">
        <v>354.16</v>
      </c>
      <c r="C166" s="629">
        <v>4718</v>
      </c>
      <c r="D166" s="628">
        <f>VLOOKUP(C166,ORC.AUXILIAR!I:J,2,0)</f>
        <v>0</v>
      </c>
      <c r="G166" s="636">
        <f t="shared" si="12"/>
        <v>0</v>
      </c>
      <c r="H166" s="636">
        <f t="shared" si="13"/>
        <v>4718</v>
      </c>
      <c r="I166" s="637" t="str">
        <f>VLOOKUP(H166,ORC.AUXILIAR!I:P,4,0)</f>
        <v>M3</v>
      </c>
      <c r="J166" s="636">
        <f>VLOOKUP(H166,ORC.AUXILIAR!I:P,5,0)</f>
        <v>354.16</v>
      </c>
      <c r="K166" s="638">
        <f t="shared" si="14"/>
        <v>354.16</v>
      </c>
      <c r="L166" s="639">
        <f>VLOOKUP(H166,ORC.AUXILIAR!I:P,7,0)</f>
        <v>55.52</v>
      </c>
      <c r="M166" s="639">
        <f>VLOOKUP(H166,ORC.AUXILIAR!I:P,8,0)</f>
        <v>19662.96</v>
      </c>
      <c r="N166" s="639">
        <f t="shared" si="16"/>
        <v>6963833.9136000006</v>
      </c>
      <c r="O166" s="639">
        <f t="shared" si="17"/>
        <v>9954080365.9105988</v>
      </c>
      <c r="P166" s="640">
        <f t="shared" si="15"/>
        <v>0.97028962326175971</v>
      </c>
    </row>
    <row r="167" spans="1:16">
      <c r="A167" s="627">
        <v>19615.64</v>
      </c>
      <c r="B167" s="628">
        <v>4</v>
      </c>
      <c r="C167" s="629" t="s">
        <v>14173</v>
      </c>
      <c r="D167" s="628">
        <f>VLOOKUP(C167,ORC.AUXILIAR!I:J,2,0)</f>
        <v>0</v>
      </c>
      <c r="G167" s="636">
        <f t="shared" si="12"/>
        <v>0</v>
      </c>
      <c r="H167" s="636" t="str">
        <f t="shared" si="13"/>
        <v>CT.FºFº.12</v>
      </c>
      <c r="I167" s="637" t="str">
        <f>VLOOKUP(H167,ORC.AUXILIAR!I:P,4,0)</f>
        <v>un</v>
      </c>
      <c r="J167" s="636">
        <f>VLOOKUP(H167,ORC.AUXILIAR!I:P,5,0)</f>
        <v>4</v>
      </c>
      <c r="K167" s="638">
        <f t="shared" si="14"/>
        <v>4</v>
      </c>
      <c r="L167" s="639">
        <f>VLOOKUP(H167,ORC.AUXILIAR!I:P,7,0)</f>
        <v>4903.91</v>
      </c>
      <c r="M167" s="639">
        <f>VLOOKUP(H167,ORC.AUXILIAR!I:P,8,0)</f>
        <v>19615.64</v>
      </c>
      <c r="N167" s="639">
        <f t="shared" si="16"/>
        <v>78462.559999999998</v>
      </c>
      <c r="O167" s="639">
        <f t="shared" si="17"/>
        <v>9954158828.4705982</v>
      </c>
      <c r="P167" s="640">
        <f t="shared" si="15"/>
        <v>0.97029727152307399</v>
      </c>
    </row>
    <row r="168" spans="1:16">
      <c r="A168" s="627">
        <v>18916.8</v>
      </c>
      <c r="B168" s="628">
        <v>160</v>
      </c>
      <c r="C168" s="629" t="s">
        <v>12774</v>
      </c>
      <c r="D168" s="628">
        <f>VLOOKUP(C168,ORC.AUXILIAR!I:J,2,0)</f>
        <v>0</v>
      </c>
      <c r="G168" s="636">
        <f t="shared" si="12"/>
        <v>0</v>
      </c>
      <c r="H168" s="636" t="str">
        <f t="shared" si="13"/>
        <v>RE.AI.40</v>
      </c>
      <c r="I168" s="637" t="str">
        <f>VLOOKUP(H168,ORC.AUXILIAR!I:P,4,0)</f>
        <v>pç</v>
      </c>
      <c r="J168" s="636">
        <f>VLOOKUP(H168,ORC.AUXILIAR!I:P,5,0)</f>
        <v>160</v>
      </c>
      <c r="K168" s="638">
        <f t="shared" si="14"/>
        <v>160</v>
      </c>
      <c r="L168" s="639">
        <f>VLOOKUP(H168,ORC.AUXILIAR!I:P,7,0)</f>
        <v>118.23</v>
      </c>
      <c r="M168" s="639">
        <f>VLOOKUP(H168,ORC.AUXILIAR!I:P,8,0)</f>
        <v>18916.8</v>
      </c>
      <c r="N168" s="639">
        <f t="shared" si="16"/>
        <v>3026688</v>
      </c>
      <c r="O168" s="639">
        <f t="shared" si="17"/>
        <v>9957185516.4705982</v>
      </c>
      <c r="P168" s="640">
        <f t="shared" si="15"/>
        <v>0.97059230269132823</v>
      </c>
    </row>
    <row r="169" spans="1:16">
      <c r="A169" s="627">
        <v>18854.14</v>
      </c>
      <c r="B169" s="628">
        <v>2</v>
      </c>
      <c r="C169" s="629" t="s">
        <v>13278</v>
      </c>
      <c r="D169" s="628">
        <f>VLOOKUP(C169,ORC.AUXILIAR!I:J,2,0)</f>
        <v>0</v>
      </c>
      <c r="G169" s="636">
        <f t="shared" si="12"/>
        <v>0</v>
      </c>
      <c r="H169" s="636" t="str">
        <f t="shared" si="13"/>
        <v>TP.EQUI.05</v>
      </c>
      <c r="I169" s="637" t="str">
        <f>VLOOKUP(H169,ORC.AUXILIAR!I:P,4,0)</f>
        <v>un</v>
      </c>
      <c r="J169" s="636">
        <f>VLOOKUP(H169,ORC.AUXILIAR!I:P,5,0)</f>
        <v>2</v>
      </c>
      <c r="K169" s="638">
        <f t="shared" si="14"/>
        <v>2</v>
      </c>
      <c r="L169" s="639">
        <f>VLOOKUP(H169,ORC.AUXILIAR!I:P,7,0)</f>
        <v>9427.07</v>
      </c>
      <c r="M169" s="639">
        <f>VLOOKUP(H169,ORC.AUXILIAR!I:P,8,0)</f>
        <v>18854.14</v>
      </c>
      <c r="N169" s="639">
        <f t="shared" si="16"/>
        <v>37708.28</v>
      </c>
      <c r="O169" s="639">
        <f t="shared" si="17"/>
        <v>9957223224.7505989</v>
      </c>
      <c r="P169" s="640">
        <f t="shared" si="15"/>
        <v>0.97059597836516753</v>
      </c>
    </row>
    <row r="170" spans="1:16">
      <c r="A170" s="627">
        <v>18631.439999999999</v>
      </c>
      <c r="B170" s="628">
        <v>1356</v>
      </c>
      <c r="C170" s="629">
        <v>9875</v>
      </c>
      <c r="D170" s="628">
        <f>VLOOKUP(C170,ORC.AUXILIAR!I:J,2,0)</f>
        <v>0</v>
      </c>
      <c r="G170" s="636">
        <f t="shared" si="12"/>
        <v>0</v>
      </c>
      <c r="H170" s="636">
        <f t="shared" si="13"/>
        <v>9875</v>
      </c>
      <c r="I170" s="637" t="str">
        <f>VLOOKUP(H170,ORC.AUXILIAR!I:P,4,0)</f>
        <v>m</v>
      </c>
      <c r="J170" s="636">
        <f>VLOOKUP(H170,ORC.AUXILIAR!I:P,5,0)</f>
        <v>186</v>
      </c>
      <c r="K170" s="638">
        <f t="shared" si="14"/>
        <v>1356</v>
      </c>
      <c r="L170" s="639">
        <f>VLOOKUP(H170,ORC.AUXILIAR!I:P,7,0)</f>
        <v>13.74</v>
      </c>
      <c r="M170" s="639">
        <f>VLOOKUP(H170,ORC.AUXILIAR!I:P,8,0)</f>
        <v>2555.64</v>
      </c>
      <c r="N170" s="639">
        <f t="shared" si="16"/>
        <v>3465447.84</v>
      </c>
      <c r="O170" s="639">
        <f t="shared" si="17"/>
        <v>9960688672.5905991</v>
      </c>
      <c r="P170" s="640">
        <f t="shared" si="15"/>
        <v>0.97093377833819394</v>
      </c>
    </row>
    <row r="171" spans="1:16">
      <c r="A171" s="627">
        <v>18350.599999999999</v>
      </c>
      <c r="B171" s="628">
        <v>10</v>
      </c>
      <c r="C171" s="629">
        <v>1614</v>
      </c>
      <c r="D171" s="628">
        <f>VLOOKUP(C171,ORC.AUXILIAR!I:J,2,0)</f>
        <v>0</v>
      </c>
      <c r="G171" s="636">
        <f t="shared" si="12"/>
        <v>0</v>
      </c>
      <c r="H171" s="636">
        <f t="shared" si="13"/>
        <v>1614</v>
      </c>
      <c r="I171" s="637" t="str">
        <f>VLOOKUP(H171,ORC.AUXILIAR!I:P,4,0)</f>
        <v>UN</v>
      </c>
      <c r="J171" s="636">
        <f>VLOOKUP(H171,ORC.AUXILIAR!I:P,5,0)</f>
        <v>0</v>
      </c>
      <c r="K171" s="638">
        <f t="shared" si="14"/>
        <v>10</v>
      </c>
      <c r="L171" s="639">
        <f>VLOOKUP(H171,ORC.AUXILIAR!I:P,7,0)</f>
        <v>1835.06</v>
      </c>
      <c r="M171" s="639">
        <f>VLOOKUP(H171,ORC.AUXILIAR!I:P,8,0)</f>
        <v>0</v>
      </c>
      <c r="N171" s="639">
        <f t="shared" si="16"/>
        <v>0</v>
      </c>
      <c r="O171" s="639">
        <f t="shared" si="17"/>
        <v>9960688672.5905991</v>
      </c>
      <c r="P171" s="640">
        <f t="shared" si="15"/>
        <v>0.97093377833819394</v>
      </c>
    </row>
    <row r="172" spans="1:16">
      <c r="A172" s="627">
        <v>17642.349999999999</v>
      </c>
      <c r="B172" s="628">
        <v>5</v>
      </c>
      <c r="C172" s="629" t="s">
        <v>13040</v>
      </c>
      <c r="D172" s="628">
        <f>VLOOKUP(C172,ORC.AUXILIAR!I:J,2,0)</f>
        <v>0</v>
      </c>
      <c r="G172" s="636">
        <f t="shared" si="12"/>
        <v>0</v>
      </c>
      <c r="H172" s="636" t="str">
        <f t="shared" si="13"/>
        <v>TP.FºF°.44</v>
      </c>
      <c r="I172" s="637" t="str">
        <f>VLOOKUP(H172,ORC.AUXILIAR!I:P,4,0)</f>
        <v>pç</v>
      </c>
      <c r="J172" s="636">
        <f>VLOOKUP(H172,ORC.AUXILIAR!I:P,5,0)</f>
        <v>5</v>
      </c>
      <c r="K172" s="638">
        <f t="shared" si="14"/>
        <v>5</v>
      </c>
      <c r="L172" s="639">
        <f>VLOOKUP(H172,ORC.AUXILIAR!I:P,7,0)</f>
        <v>3528.47</v>
      </c>
      <c r="M172" s="639">
        <f>VLOOKUP(H172,ORC.AUXILIAR!I:P,8,0)</f>
        <v>17642.349999999999</v>
      </c>
      <c r="N172" s="639">
        <f t="shared" si="16"/>
        <v>88211.75</v>
      </c>
      <c r="O172" s="639">
        <f t="shared" si="17"/>
        <v>9960776884.3405991</v>
      </c>
      <c r="P172" s="640">
        <f t="shared" si="15"/>
        <v>0.97094237691712115</v>
      </c>
    </row>
    <row r="173" spans="1:16">
      <c r="A173" s="627">
        <v>17618.16</v>
      </c>
      <c r="B173" s="628">
        <v>2</v>
      </c>
      <c r="C173" s="629" t="s">
        <v>13036</v>
      </c>
      <c r="D173" s="628">
        <f>VLOOKUP(C173,ORC.AUXILIAR!I:J,2,0)</f>
        <v>0</v>
      </c>
      <c r="G173" s="636">
        <f t="shared" si="12"/>
        <v>0</v>
      </c>
      <c r="H173" s="636" t="str">
        <f t="shared" si="13"/>
        <v>CDR.F°F°.04</v>
      </c>
      <c r="I173" s="637" t="str">
        <f>VLOOKUP(H173,ORC.AUXILIAR!I:P,4,0)</f>
        <v>pç</v>
      </c>
      <c r="J173" s="636">
        <f>VLOOKUP(H173,ORC.AUXILIAR!I:P,5,0)</f>
        <v>2</v>
      </c>
      <c r="K173" s="638">
        <f t="shared" si="14"/>
        <v>2</v>
      </c>
      <c r="L173" s="639">
        <f>VLOOKUP(H173,ORC.AUXILIAR!I:P,7,0)</f>
        <v>8809.08</v>
      </c>
      <c r="M173" s="639">
        <f>VLOOKUP(H173,ORC.AUXILIAR!I:P,8,0)</f>
        <v>17618.16</v>
      </c>
      <c r="N173" s="639">
        <f t="shared" si="16"/>
        <v>35236.32</v>
      </c>
      <c r="O173" s="639">
        <f t="shared" si="17"/>
        <v>9960812120.6605988</v>
      </c>
      <c r="P173" s="640">
        <f t="shared" si="15"/>
        <v>0.9709458116327756</v>
      </c>
    </row>
    <row r="174" spans="1:16">
      <c r="A174" s="627">
        <v>17372.88</v>
      </c>
      <c r="B174" s="628">
        <v>216</v>
      </c>
      <c r="C174" s="629" t="s">
        <v>14400</v>
      </c>
      <c r="D174" s="628">
        <f>VLOOKUP(C174,ORC.AUXILIAR!I:J,2,0)</f>
        <v>0</v>
      </c>
      <c r="G174" s="636">
        <f t="shared" si="12"/>
        <v>0</v>
      </c>
      <c r="H174" s="636" t="str">
        <f t="shared" si="13"/>
        <v>REATOR.FB.34</v>
      </c>
      <c r="I174" s="637" t="str">
        <f>VLOOKUP(H174,ORC.AUXILIAR!I:P,4,0)</f>
        <v>pç</v>
      </c>
      <c r="J174" s="636">
        <f>VLOOKUP(H174,ORC.AUXILIAR!I:P,5,0)</f>
        <v>216</v>
      </c>
      <c r="K174" s="638">
        <f t="shared" si="14"/>
        <v>216</v>
      </c>
      <c r="L174" s="639">
        <f>VLOOKUP(H174,ORC.AUXILIAR!I:P,7,0)</f>
        <v>80.430000000000007</v>
      </c>
      <c r="M174" s="639">
        <f>VLOOKUP(H174,ORC.AUXILIAR!I:P,8,0)</f>
        <v>17372.88</v>
      </c>
      <c r="N174" s="639">
        <f t="shared" si="16"/>
        <v>3752542.08</v>
      </c>
      <c r="O174" s="639">
        <f t="shared" si="17"/>
        <v>9964564662.7405987</v>
      </c>
      <c r="P174" s="640">
        <f t="shared" si="15"/>
        <v>0.97131159656792099</v>
      </c>
    </row>
    <row r="175" spans="1:16">
      <c r="A175" s="627">
        <v>17246.777099999999</v>
      </c>
      <c r="B175" s="628">
        <v>146.37</v>
      </c>
      <c r="C175" s="629">
        <v>36881</v>
      </c>
      <c r="D175" s="628">
        <f>VLOOKUP(C175,ORC.AUXILIAR!I:J,2,0)</f>
        <v>0</v>
      </c>
      <c r="G175" s="636">
        <f t="shared" si="12"/>
        <v>0</v>
      </c>
      <c r="H175" s="636">
        <f t="shared" si="13"/>
        <v>36881</v>
      </c>
      <c r="I175" s="637" t="str">
        <f>VLOOKUP(H175,ORC.AUXILIAR!I:P,4,0)</f>
        <v>M2</v>
      </c>
      <c r="J175" s="636">
        <f>VLOOKUP(H175,ORC.AUXILIAR!I:P,5,0)</f>
        <v>146.37</v>
      </c>
      <c r="K175" s="638">
        <f t="shared" si="14"/>
        <v>146.37</v>
      </c>
      <c r="L175" s="639">
        <f>VLOOKUP(H175,ORC.AUXILIAR!I:P,7,0)</f>
        <v>117.83</v>
      </c>
      <c r="M175" s="639">
        <f>VLOOKUP(H175,ORC.AUXILIAR!I:P,8,0)</f>
        <v>17246.78</v>
      </c>
      <c r="N175" s="639">
        <f t="shared" si="16"/>
        <v>2524411.1886</v>
      </c>
      <c r="O175" s="639">
        <f t="shared" si="17"/>
        <v>9967089073.9291992</v>
      </c>
      <c r="P175" s="640">
        <f t="shared" si="15"/>
        <v>0.97155766751481965</v>
      </c>
    </row>
    <row r="176" spans="1:16">
      <c r="A176" s="627">
        <v>17191.919999999998</v>
      </c>
      <c r="B176" s="628">
        <v>8</v>
      </c>
      <c r="C176" s="629" t="s">
        <v>12966</v>
      </c>
      <c r="D176" s="628">
        <f>VLOOKUP(C176,ORC.AUXILIAR!I:J,2,0)</f>
        <v>0</v>
      </c>
      <c r="G176" s="636">
        <f t="shared" si="12"/>
        <v>0</v>
      </c>
      <c r="H176" s="636" t="str">
        <f t="shared" si="13"/>
        <v>RE.F°F°.35</v>
      </c>
      <c r="I176" s="637" t="str">
        <f>VLOOKUP(H176,ORC.AUXILIAR!I:P,4,0)</f>
        <v>pç</v>
      </c>
      <c r="J176" s="636">
        <f>VLOOKUP(H176,ORC.AUXILIAR!I:P,5,0)</f>
        <v>8</v>
      </c>
      <c r="K176" s="638">
        <f t="shared" si="14"/>
        <v>8</v>
      </c>
      <c r="L176" s="639">
        <f>VLOOKUP(H176,ORC.AUXILIAR!I:P,7,0)</f>
        <v>2148.9899999999998</v>
      </c>
      <c r="M176" s="639">
        <f>VLOOKUP(H176,ORC.AUXILIAR!I:P,8,0)</f>
        <v>17191.919999999998</v>
      </c>
      <c r="N176" s="639">
        <f t="shared" si="16"/>
        <v>137535.35999999999</v>
      </c>
      <c r="O176" s="639">
        <f t="shared" si="17"/>
        <v>9967226609.2891998</v>
      </c>
      <c r="P176" s="640">
        <f t="shared" si="15"/>
        <v>0.97157107399012776</v>
      </c>
    </row>
    <row r="177" spans="1:16">
      <c r="A177" s="627">
        <v>16935.04</v>
      </c>
      <c r="B177" s="628">
        <v>64</v>
      </c>
      <c r="C177" s="629" t="s">
        <v>12885</v>
      </c>
      <c r="D177" s="628">
        <f>VLOOKUP(C177,ORC.AUXILIAR!I:J,2,0)</f>
        <v>0</v>
      </c>
      <c r="G177" s="636">
        <f t="shared" si="12"/>
        <v>0</v>
      </c>
      <c r="H177" s="636" t="str">
        <f t="shared" si="13"/>
        <v>RE.F°F°.14</v>
      </c>
      <c r="I177" s="637" t="str">
        <f>VLOOKUP(H177,ORC.AUXILIAR!I:P,4,0)</f>
        <v>pç</v>
      </c>
      <c r="J177" s="636">
        <f>VLOOKUP(H177,ORC.AUXILIAR!I:P,5,0)</f>
        <v>64</v>
      </c>
      <c r="K177" s="638">
        <f t="shared" si="14"/>
        <v>64</v>
      </c>
      <c r="L177" s="639">
        <f>VLOOKUP(H177,ORC.AUXILIAR!I:P,7,0)</f>
        <v>264.61</v>
      </c>
      <c r="M177" s="639">
        <f>VLOOKUP(H177,ORC.AUXILIAR!I:P,8,0)</f>
        <v>16935.04</v>
      </c>
      <c r="N177" s="639">
        <f t="shared" si="16"/>
        <v>1083842.5600000001</v>
      </c>
      <c r="O177" s="639">
        <f t="shared" si="17"/>
        <v>9968310451.8491993</v>
      </c>
      <c r="P177" s="640">
        <f t="shared" si="15"/>
        <v>0.97167672324656917</v>
      </c>
    </row>
    <row r="178" spans="1:16">
      <c r="A178" s="627">
        <v>16770.452999999998</v>
      </c>
      <c r="B178" s="628">
        <v>37.299999999999997</v>
      </c>
      <c r="C178" s="629">
        <v>12574</v>
      </c>
      <c r="D178" s="628">
        <f>VLOOKUP(C178,ORC.AUXILIAR!I:J,2,0)</f>
        <v>0</v>
      </c>
      <c r="G178" s="636">
        <f t="shared" si="12"/>
        <v>0</v>
      </c>
      <c r="H178" s="636">
        <f t="shared" si="13"/>
        <v>12574</v>
      </c>
      <c r="I178" s="637" t="str">
        <f>VLOOKUP(H178,ORC.AUXILIAR!I:P,4,0)</f>
        <v>M</v>
      </c>
      <c r="J178" s="636">
        <f>VLOOKUP(H178,ORC.AUXILIAR!I:P,5,0)</f>
        <v>37.299999999999997</v>
      </c>
      <c r="K178" s="638">
        <f t="shared" si="14"/>
        <v>37.299999999999997</v>
      </c>
      <c r="L178" s="639">
        <f>VLOOKUP(H178,ORC.AUXILIAR!I:P,7,0)</f>
        <v>449.61</v>
      </c>
      <c r="M178" s="639">
        <f>VLOOKUP(H178,ORC.AUXILIAR!I:P,8,0)</f>
        <v>16770.45</v>
      </c>
      <c r="N178" s="639">
        <f t="shared" si="16"/>
        <v>625537.78500000003</v>
      </c>
      <c r="O178" s="639">
        <f t="shared" si="17"/>
        <v>9968935989.6341991</v>
      </c>
      <c r="P178" s="640">
        <f t="shared" si="15"/>
        <v>0.97173769852499092</v>
      </c>
    </row>
    <row r="179" spans="1:16">
      <c r="A179" s="627">
        <v>16746.900000000001</v>
      </c>
      <c r="B179" s="628">
        <v>10</v>
      </c>
      <c r="C179" s="629">
        <v>1613</v>
      </c>
      <c r="D179" s="628">
        <f>VLOOKUP(C179,ORC.AUXILIAR!I:J,2,0)</f>
        <v>0</v>
      </c>
      <c r="G179" s="636">
        <f t="shared" si="12"/>
        <v>0</v>
      </c>
      <c r="H179" s="636">
        <f t="shared" si="13"/>
        <v>1613</v>
      </c>
      <c r="I179" s="637" t="str">
        <f>VLOOKUP(H179,ORC.AUXILIAR!I:P,4,0)</f>
        <v>UN</v>
      </c>
      <c r="J179" s="636">
        <f>VLOOKUP(H179,ORC.AUXILIAR!I:P,5,0)</f>
        <v>0</v>
      </c>
      <c r="K179" s="638">
        <f t="shared" si="14"/>
        <v>10</v>
      </c>
      <c r="L179" s="639">
        <f>VLOOKUP(H179,ORC.AUXILIAR!I:P,7,0)</f>
        <v>1674.69</v>
      </c>
      <c r="M179" s="639">
        <f>VLOOKUP(H179,ORC.AUXILIAR!I:P,8,0)</f>
        <v>0</v>
      </c>
      <c r="N179" s="639">
        <f t="shared" si="16"/>
        <v>0</v>
      </c>
      <c r="O179" s="639">
        <f t="shared" si="17"/>
        <v>9968935989.6341991</v>
      </c>
      <c r="P179" s="640">
        <f t="shared" si="15"/>
        <v>0.97173769852499092</v>
      </c>
    </row>
    <row r="180" spans="1:16">
      <c r="A180" s="627">
        <v>16648.52</v>
      </c>
      <c r="B180" s="628">
        <v>2</v>
      </c>
      <c r="C180" s="629" t="s">
        <v>13064</v>
      </c>
      <c r="D180" s="628">
        <f>VLOOKUP(C180,ORC.AUXILIAR!I:J,2,0)</f>
        <v>0</v>
      </c>
      <c r="G180" s="636">
        <f t="shared" si="12"/>
        <v>0</v>
      </c>
      <c r="H180" s="636" t="str">
        <f t="shared" si="13"/>
        <v>TP.COMPORTA.03</v>
      </c>
      <c r="I180" s="637" t="str">
        <f>VLOOKUP(H180,ORC.AUXILIAR!I:P,4,0)</f>
        <v>un</v>
      </c>
      <c r="J180" s="636">
        <f>VLOOKUP(H180,ORC.AUXILIAR!I:P,5,0)</f>
        <v>2</v>
      </c>
      <c r="K180" s="638">
        <f t="shared" si="14"/>
        <v>2</v>
      </c>
      <c r="L180" s="639">
        <f>VLOOKUP(H180,ORC.AUXILIAR!I:P,7,0)</f>
        <v>8324.26</v>
      </c>
      <c r="M180" s="639">
        <f>VLOOKUP(H180,ORC.AUXILIAR!I:P,8,0)</f>
        <v>16648.52</v>
      </c>
      <c r="N180" s="639">
        <f t="shared" si="16"/>
        <v>33297.040000000001</v>
      </c>
      <c r="O180" s="639">
        <f t="shared" si="17"/>
        <v>9968969286.6742001</v>
      </c>
      <c r="P180" s="640">
        <f t="shared" si="15"/>
        <v>0.97174094420628043</v>
      </c>
    </row>
    <row r="181" spans="1:16">
      <c r="A181" s="627">
        <v>16497</v>
      </c>
      <c r="B181" s="628">
        <v>150</v>
      </c>
      <c r="C181" s="629" t="s">
        <v>13464</v>
      </c>
      <c r="D181" s="628">
        <f>VLOOKUP(C181,ORC.AUXILIAR!I:J,2,0)</f>
        <v>0</v>
      </c>
      <c r="G181" s="636">
        <f t="shared" si="12"/>
        <v>0</v>
      </c>
      <c r="H181" s="636" t="str">
        <f t="shared" si="13"/>
        <v>INST.CX.AREIA.05</v>
      </c>
      <c r="I181" s="637" t="str">
        <f>VLOOKUP(H181,ORC.AUXILIAR!I:P,4,0)</f>
        <v>m</v>
      </c>
      <c r="J181" s="636">
        <f>VLOOKUP(H181,ORC.AUXILIAR!I:P,5,0)</f>
        <v>150</v>
      </c>
      <c r="K181" s="638">
        <f t="shared" si="14"/>
        <v>150</v>
      </c>
      <c r="L181" s="639">
        <f>VLOOKUP(H181,ORC.AUXILIAR!I:P,7,0)</f>
        <v>109.98</v>
      </c>
      <c r="M181" s="639">
        <f>VLOOKUP(H181,ORC.AUXILIAR!I:P,8,0)</f>
        <v>16497</v>
      </c>
      <c r="N181" s="639">
        <f t="shared" si="16"/>
        <v>2474550</v>
      </c>
      <c r="O181" s="639">
        <f t="shared" si="17"/>
        <v>9971443836.6742001</v>
      </c>
      <c r="P181" s="640">
        <f t="shared" si="15"/>
        <v>0.97198215485547967</v>
      </c>
    </row>
    <row r="182" spans="1:16">
      <c r="A182" s="627">
        <v>16278.4</v>
      </c>
      <c r="B182" s="628">
        <v>160</v>
      </c>
      <c r="C182" s="629" t="s">
        <v>12883</v>
      </c>
      <c r="D182" s="628">
        <f>VLOOKUP(C182,ORC.AUXILIAR!I:J,2,0)</f>
        <v>0</v>
      </c>
      <c r="G182" s="636">
        <f t="shared" si="12"/>
        <v>0</v>
      </c>
      <c r="H182" s="636" t="str">
        <f t="shared" si="13"/>
        <v>RE.F°F°.13</v>
      </c>
      <c r="I182" s="637" t="str">
        <f>VLOOKUP(H182,ORC.AUXILIAR!I:P,4,0)</f>
        <v>pç</v>
      </c>
      <c r="J182" s="636">
        <f>VLOOKUP(H182,ORC.AUXILIAR!I:P,5,0)</f>
        <v>160</v>
      </c>
      <c r="K182" s="638">
        <f t="shared" si="14"/>
        <v>160</v>
      </c>
      <c r="L182" s="639">
        <f>VLOOKUP(H182,ORC.AUXILIAR!I:P,7,0)</f>
        <v>101.74</v>
      </c>
      <c r="M182" s="639">
        <f>VLOOKUP(H182,ORC.AUXILIAR!I:P,8,0)</f>
        <v>16278.4</v>
      </c>
      <c r="N182" s="639">
        <f t="shared" si="16"/>
        <v>2604544</v>
      </c>
      <c r="O182" s="639">
        <f t="shared" si="17"/>
        <v>9974048380.6742001</v>
      </c>
      <c r="P182" s="640">
        <f t="shared" si="15"/>
        <v>0.97223603687407212</v>
      </c>
    </row>
    <row r="183" spans="1:16">
      <c r="A183" s="627">
        <v>15787.52</v>
      </c>
      <c r="B183" s="628">
        <v>28</v>
      </c>
      <c r="C183" s="629" t="s">
        <v>13004</v>
      </c>
      <c r="D183" s="628">
        <f>VLOOKUP(C183,ORC.AUXILIAR!I:J,2,0)</f>
        <v>0</v>
      </c>
      <c r="G183" s="636">
        <f t="shared" si="12"/>
        <v>0</v>
      </c>
      <c r="H183" s="636" t="str">
        <f t="shared" si="13"/>
        <v>RE.F°F°.42</v>
      </c>
      <c r="I183" s="637" t="str">
        <f>VLOOKUP(H183,ORC.AUXILIAR!I:P,4,0)</f>
        <v>pç</v>
      </c>
      <c r="J183" s="636">
        <f>VLOOKUP(H183,ORC.AUXILIAR!I:P,5,0)</f>
        <v>28</v>
      </c>
      <c r="K183" s="638">
        <f t="shared" si="14"/>
        <v>28</v>
      </c>
      <c r="L183" s="639">
        <f>VLOOKUP(H183,ORC.AUXILIAR!I:P,7,0)</f>
        <v>563.84</v>
      </c>
      <c r="M183" s="639">
        <f>VLOOKUP(H183,ORC.AUXILIAR!I:P,8,0)</f>
        <v>15787.52</v>
      </c>
      <c r="N183" s="639">
        <f t="shared" si="16"/>
        <v>442050.56</v>
      </c>
      <c r="O183" s="639">
        <f t="shared" si="17"/>
        <v>9974490431.2341995</v>
      </c>
      <c r="P183" s="640">
        <f t="shared" si="15"/>
        <v>0.97227912644694647</v>
      </c>
    </row>
    <row r="184" spans="1:16">
      <c r="A184" s="627">
        <v>15758.400000000001</v>
      </c>
      <c r="B184" s="628">
        <v>96</v>
      </c>
      <c r="C184" s="629" t="s">
        <v>14420</v>
      </c>
      <c r="D184" s="628">
        <f>VLOOKUP(C184,ORC.AUXILIAR!I:J,2,0)</f>
        <v>0</v>
      </c>
      <c r="G184" s="636">
        <f t="shared" si="12"/>
        <v>0</v>
      </c>
      <c r="H184" s="636" t="str">
        <f t="shared" si="13"/>
        <v>REATOR.FB.44</v>
      </c>
      <c r="I184" s="637" t="str">
        <f>VLOOKUP(H184,ORC.AUXILIAR!I:P,4,0)</f>
        <v>un</v>
      </c>
      <c r="J184" s="636">
        <f>VLOOKUP(H184,ORC.AUXILIAR!I:P,5,0)</f>
        <v>96</v>
      </c>
      <c r="K184" s="638">
        <f t="shared" si="14"/>
        <v>96</v>
      </c>
      <c r="L184" s="639">
        <f>VLOOKUP(H184,ORC.AUXILIAR!I:P,7,0)</f>
        <v>164.15</v>
      </c>
      <c r="M184" s="639">
        <f>VLOOKUP(H184,ORC.AUXILIAR!I:P,8,0)</f>
        <v>15758.4</v>
      </c>
      <c r="N184" s="639">
        <f t="shared" si="16"/>
        <v>1512806.3999999999</v>
      </c>
      <c r="O184" s="639">
        <f t="shared" si="17"/>
        <v>9976003237.6341991</v>
      </c>
      <c r="P184" s="640">
        <f t="shared" si="15"/>
        <v>0.97242658962766892</v>
      </c>
    </row>
    <row r="185" spans="1:16">
      <c r="A185" s="627">
        <v>15493.12</v>
      </c>
      <c r="B185" s="628">
        <v>64</v>
      </c>
      <c r="C185" s="629" t="s">
        <v>14511</v>
      </c>
      <c r="D185" s="628">
        <f>VLOOKUP(C185,ORC.AUXILIAR!I:J,2,0)</f>
        <v>0</v>
      </c>
      <c r="G185" s="636">
        <f t="shared" si="12"/>
        <v>0</v>
      </c>
      <c r="H185" s="636" t="str">
        <f t="shared" si="13"/>
        <v>REATOR.AI.48</v>
      </c>
      <c r="I185" s="637" t="str">
        <f>VLOOKUP(H185,ORC.AUXILIAR!I:P,4,0)</f>
        <v>un</v>
      </c>
      <c r="J185" s="636">
        <f>VLOOKUP(H185,ORC.AUXILIAR!I:P,5,0)</f>
        <v>64</v>
      </c>
      <c r="K185" s="638">
        <f t="shared" si="14"/>
        <v>64</v>
      </c>
      <c r="L185" s="639">
        <f>VLOOKUP(H185,ORC.AUXILIAR!I:P,7,0)</f>
        <v>242.08</v>
      </c>
      <c r="M185" s="639">
        <f>VLOOKUP(H185,ORC.AUXILIAR!I:P,8,0)</f>
        <v>15493.12</v>
      </c>
      <c r="N185" s="639">
        <f t="shared" si="16"/>
        <v>991559.68000000005</v>
      </c>
      <c r="O185" s="639">
        <f t="shared" si="17"/>
        <v>9976994797.3141994</v>
      </c>
      <c r="P185" s="640">
        <f t="shared" si="15"/>
        <v>0.97252324346538999</v>
      </c>
    </row>
    <row r="186" spans="1:16">
      <c r="A186" s="627">
        <v>15109.12</v>
      </c>
      <c r="B186" s="628">
        <v>8</v>
      </c>
      <c r="C186" s="629" t="s">
        <v>13495</v>
      </c>
      <c r="D186" s="628">
        <f>VLOOKUP(C186,ORC.AUXILIAR!I:J,2,0)</f>
        <v>0</v>
      </c>
      <c r="G186" s="636">
        <f t="shared" si="12"/>
        <v>0</v>
      </c>
      <c r="H186" s="636" t="str">
        <f t="shared" si="13"/>
        <v>INST.CX.AREIA.29</v>
      </c>
      <c r="I186" s="637" t="str">
        <f>VLOOKUP(H186,ORC.AUXILIAR!I:P,4,0)</f>
        <v>um</v>
      </c>
      <c r="J186" s="636">
        <f>VLOOKUP(H186,ORC.AUXILIAR!I:P,5,0)</f>
        <v>8</v>
      </c>
      <c r="K186" s="638">
        <f t="shared" si="14"/>
        <v>8</v>
      </c>
      <c r="L186" s="639">
        <f>VLOOKUP(H186,ORC.AUXILIAR!I:P,7,0)</f>
        <v>1888.64</v>
      </c>
      <c r="M186" s="639">
        <f>VLOOKUP(H186,ORC.AUXILIAR!I:P,8,0)</f>
        <v>15109.12</v>
      </c>
      <c r="N186" s="639">
        <f t="shared" si="16"/>
        <v>120872.96000000001</v>
      </c>
      <c r="O186" s="639">
        <f t="shared" si="17"/>
        <v>9977115670.2741985</v>
      </c>
      <c r="P186" s="640">
        <f t="shared" si="15"/>
        <v>0.97253502574707829</v>
      </c>
    </row>
    <row r="187" spans="1:16">
      <c r="A187" s="627">
        <v>15032.4</v>
      </c>
      <c r="B187" s="628">
        <v>40</v>
      </c>
      <c r="C187" s="629">
        <v>83449</v>
      </c>
      <c r="D187" s="628">
        <f>VLOOKUP(C187,ORC.AUXILIAR!I:J,2,0)</f>
        <v>0</v>
      </c>
      <c r="G187" s="636">
        <f t="shared" si="12"/>
        <v>0</v>
      </c>
      <c r="H187" s="636">
        <f t="shared" si="13"/>
        <v>83449</v>
      </c>
      <c r="I187" s="637" t="str">
        <f>VLOOKUP(H187,ORC.AUXILIAR!I:P,4,0)</f>
        <v>UN</v>
      </c>
      <c r="J187" s="636">
        <f>VLOOKUP(H187,ORC.AUXILIAR!I:P,5,0)</f>
        <v>40</v>
      </c>
      <c r="K187" s="638">
        <f t="shared" si="14"/>
        <v>40</v>
      </c>
      <c r="L187" s="639">
        <f>VLOOKUP(H187,ORC.AUXILIAR!I:P,7,0)</f>
        <v>375.81</v>
      </c>
      <c r="M187" s="639">
        <f>VLOOKUP(H187,ORC.AUXILIAR!I:P,8,0)</f>
        <v>15032.4</v>
      </c>
      <c r="N187" s="639">
        <f t="shared" si="16"/>
        <v>601296</v>
      </c>
      <c r="O187" s="639">
        <f t="shared" si="17"/>
        <v>9977716966.2741985</v>
      </c>
      <c r="P187" s="640">
        <f t="shared" si="15"/>
        <v>0.97259363801941912</v>
      </c>
    </row>
    <row r="188" spans="1:16">
      <c r="A188" s="627">
        <v>14607.81</v>
      </c>
      <c r="B188" s="628">
        <v>1</v>
      </c>
      <c r="C188" s="629" t="s">
        <v>11821</v>
      </c>
      <c r="D188" s="628">
        <f>VLOOKUP(C188,ORC.AUXILIAR!I:J,2,0)</f>
        <v>0</v>
      </c>
      <c r="G188" s="636">
        <f t="shared" si="12"/>
        <v>0</v>
      </c>
      <c r="H188" s="636" t="str">
        <f t="shared" si="13"/>
        <v>CP_TP.MAT.ELÉTR.</v>
      </c>
      <c r="I188" s="637" t="str">
        <f>VLOOKUP(H188,ORC.AUXILIAR!I:P,4,0)</f>
        <v>um.</v>
      </c>
      <c r="J188" s="636">
        <f>VLOOKUP(H188,ORC.AUXILIAR!I:P,5,0)</f>
        <v>1</v>
      </c>
      <c r="K188" s="638">
        <f t="shared" si="14"/>
        <v>1</v>
      </c>
      <c r="L188" s="639">
        <f>VLOOKUP(H188,ORC.AUXILIAR!I:P,7,0)</f>
        <v>14607.81</v>
      </c>
      <c r="M188" s="639">
        <f>VLOOKUP(H188,ORC.AUXILIAR!I:P,8,0)</f>
        <v>14607.81</v>
      </c>
      <c r="N188" s="639">
        <f t="shared" si="16"/>
        <v>14607.81</v>
      </c>
      <c r="O188" s="639">
        <f t="shared" si="17"/>
        <v>9977731574.084198</v>
      </c>
      <c r="P188" s="640">
        <f t="shared" si="15"/>
        <v>0.9725950619386502</v>
      </c>
    </row>
    <row r="189" spans="1:16">
      <c r="A189" s="627">
        <v>14511.21</v>
      </c>
      <c r="B189" s="628">
        <v>1</v>
      </c>
      <c r="C189" s="629" t="s">
        <v>13315</v>
      </c>
      <c r="D189" s="628">
        <f>VLOOKUP(C189,ORC.AUXILIAR!I:J,2,0)</f>
        <v>0</v>
      </c>
      <c r="G189" s="636">
        <f t="shared" si="12"/>
        <v>0</v>
      </c>
      <c r="H189" s="636" t="str">
        <f t="shared" si="13"/>
        <v>TB.EQ.12</v>
      </c>
      <c r="I189" s="637" t="str">
        <f>VLOOKUP(H189,ORC.AUXILIAR!I:P,4,0)</f>
        <v>un</v>
      </c>
      <c r="J189" s="636">
        <f>VLOOKUP(H189,ORC.AUXILIAR!I:P,5,0)</f>
        <v>1</v>
      </c>
      <c r="K189" s="638">
        <f t="shared" si="14"/>
        <v>1</v>
      </c>
      <c r="L189" s="639">
        <f>VLOOKUP(H189,ORC.AUXILIAR!I:P,7,0)</f>
        <v>14511.21</v>
      </c>
      <c r="M189" s="639">
        <f>VLOOKUP(H189,ORC.AUXILIAR!I:P,8,0)</f>
        <v>14511.21</v>
      </c>
      <c r="N189" s="639">
        <f t="shared" si="16"/>
        <v>14511.21</v>
      </c>
      <c r="O189" s="639">
        <f t="shared" si="17"/>
        <v>9977746085.2941971</v>
      </c>
      <c r="P189" s="640">
        <f t="shared" si="15"/>
        <v>0.97259647644164449</v>
      </c>
    </row>
    <row r="190" spans="1:16">
      <c r="A190" s="627">
        <v>14394.01</v>
      </c>
      <c r="B190" s="628">
        <v>1</v>
      </c>
      <c r="C190" s="629" t="s">
        <v>13733</v>
      </c>
      <c r="D190" s="628">
        <f>VLOOKUP(C190,ORC.AUXILIAR!I:J,2,0)</f>
        <v>0</v>
      </c>
      <c r="G190" s="636">
        <f t="shared" si="12"/>
        <v>0</v>
      </c>
      <c r="H190" s="636" t="str">
        <f t="shared" si="13"/>
        <v>QCM.EEE.31</v>
      </c>
      <c r="I190" s="637" t="str">
        <f>VLOOKUP(H190,ORC.AUXILIAR!I:P,4,0)</f>
        <v>Un</v>
      </c>
      <c r="J190" s="636">
        <f>VLOOKUP(H190,ORC.AUXILIAR!I:P,5,0)</f>
        <v>1</v>
      </c>
      <c r="K190" s="638">
        <f t="shared" si="14"/>
        <v>1</v>
      </c>
      <c r="L190" s="639">
        <f>VLOOKUP(H190,ORC.AUXILIAR!I:P,7,0)</f>
        <v>14394.01</v>
      </c>
      <c r="M190" s="639">
        <f>VLOOKUP(H190,ORC.AUXILIAR!I:P,8,0)</f>
        <v>14394.01</v>
      </c>
      <c r="N190" s="639">
        <f t="shared" si="16"/>
        <v>14394.01</v>
      </c>
      <c r="O190" s="639">
        <f t="shared" si="17"/>
        <v>9977760479.3041973</v>
      </c>
      <c r="P190" s="640">
        <f t="shared" si="15"/>
        <v>0.97259787952038479</v>
      </c>
    </row>
    <row r="191" spans="1:16">
      <c r="A191" s="627">
        <v>14373.447899999997</v>
      </c>
      <c r="B191" s="628">
        <v>36.029999999999994</v>
      </c>
      <c r="C191" s="629">
        <v>87296</v>
      </c>
      <c r="D191" s="628">
        <f>VLOOKUP(C191,ORC.AUXILIAR!I:J,2,0)</f>
        <v>0</v>
      </c>
      <c r="G191" s="636">
        <f t="shared" si="12"/>
        <v>0</v>
      </c>
      <c r="H191" s="636">
        <f t="shared" si="13"/>
        <v>87296</v>
      </c>
      <c r="I191" s="637" t="str">
        <f>VLOOKUP(H191,ORC.AUXILIAR!I:P,4,0)</f>
        <v>M3</v>
      </c>
      <c r="J191" s="636">
        <f>VLOOKUP(H191,ORC.AUXILIAR!I:P,5,0)</f>
        <v>22.86</v>
      </c>
      <c r="K191" s="638">
        <f t="shared" si="14"/>
        <v>36.029999999999994</v>
      </c>
      <c r="L191" s="639">
        <f>VLOOKUP(H191,ORC.AUXILIAR!I:P,7,0)</f>
        <v>398.93</v>
      </c>
      <c r="M191" s="639">
        <f>VLOOKUP(H191,ORC.AUXILIAR!I:P,8,0)</f>
        <v>9119.5400000000009</v>
      </c>
      <c r="N191" s="639">
        <f t="shared" si="16"/>
        <v>328577.02619999996</v>
      </c>
      <c r="O191" s="639">
        <f t="shared" si="17"/>
        <v>9978089056.3303967</v>
      </c>
      <c r="P191" s="640">
        <f t="shared" si="15"/>
        <v>0.97262990808226535</v>
      </c>
    </row>
    <row r="192" spans="1:16">
      <c r="A192" s="627">
        <v>14365.382432800001</v>
      </c>
      <c r="B192" s="628">
        <v>324.12866500000001</v>
      </c>
      <c r="C192" s="629" t="s">
        <v>16023</v>
      </c>
      <c r="D192" s="628">
        <f>VLOOKUP(C192,ORC.AUXILIAR!I:J,2,0)</f>
        <v>0</v>
      </c>
      <c r="G192" s="636">
        <f t="shared" si="12"/>
        <v>0</v>
      </c>
      <c r="H192" s="636" t="str">
        <f t="shared" si="13"/>
        <v>73877/2</v>
      </c>
      <c r="I192" s="637" t="str">
        <f>VLOOKUP(H192,ORC.AUXILIAR!I:P,4,0)</f>
        <v>M2</v>
      </c>
      <c r="J192" s="636">
        <f>VLOOKUP(H192,ORC.AUXILIAR!I:P,5,0)</f>
        <v>0</v>
      </c>
      <c r="K192" s="638">
        <f t="shared" si="14"/>
        <v>324.12866500000001</v>
      </c>
      <c r="L192" s="639">
        <f>VLOOKUP(H192,ORC.AUXILIAR!I:P,7,0)</f>
        <v>44.32</v>
      </c>
      <c r="M192" s="639">
        <f>VLOOKUP(H192,ORC.AUXILIAR!I:P,8,0)</f>
        <v>0</v>
      </c>
      <c r="N192" s="639">
        <f t="shared" si="16"/>
        <v>0</v>
      </c>
      <c r="O192" s="639">
        <f t="shared" si="17"/>
        <v>9978089056.3303967</v>
      </c>
      <c r="P192" s="640">
        <f t="shared" si="15"/>
        <v>0.97262990808226535</v>
      </c>
    </row>
    <row r="193" spans="1:16">
      <c r="A193" s="627">
        <v>13964.74</v>
      </c>
      <c r="B193" s="628">
        <v>1</v>
      </c>
      <c r="C193" s="629" t="s">
        <v>13259</v>
      </c>
      <c r="D193" s="628">
        <f>VLOOKUP(C193,ORC.AUXILIAR!I:J,2,0)</f>
        <v>0</v>
      </c>
      <c r="G193" s="636">
        <f t="shared" si="12"/>
        <v>0</v>
      </c>
      <c r="H193" s="636" t="str">
        <f t="shared" si="13"/>
        <v>TH.BB.01</v>
      </c>
      <c r="I193" s="637" t="str">
        <f>VLOOKUP(H193,ORC.AUXILIAR!I:P,4,0)</f>
        <v>cj</v>
      </c>
      <c r="J193" s="636">
        <f>VLOOKUP(H193,ORC.AUXILIAR!I:P,5,0)</f>
        <v>1</v>
      </c>
      <c r="K193" s="638">
        <f t="shared" si="14"/>
        <v>1</v>
      </c>
      <c r="L193" s="639">
        <f>VLOOKUP(H193,ORC.AUXILIAR!I:P,7,0)</f>
        <v>13964.74</v>
      </c>
      <c r="M193" s="639">
        <f>VLOOKUP(H193,ORC.AUXILIAR!I:P,8,0)</f>
        <v>13964.74</v>
      </c>
      <c r="N193" s="639">
        <f t="shared" si="16"/>
        <v>13964.74</v>
      </c>
      <c r="O193" s="639">
        <f t="shared" si="17"/>
        <v>9978103021.0703964</v>
      </c>
      <c r="P193" s="640">
        <f t="shared" si="15"/>
        <v>0.97263126931723787</v>
      </c>
    </row>
    <row r="194" spans="1:16">
      <c r="A194" s="627">
        <v>13611.29</v>
      </c>
      <c r="B194" s="628">
        <v>1</v>
      </c>
      <c r="C194" s="629" t="s">
        <v>13072</v>
      </c>
      <c r="D194" s="628">
        <f>VLOOKUP(C194,ORC.AUXILIAR!I:J,2,0)</f>
        <v>0</v>
      </c>
      <c r="G194" s="636">
        <f t="shared" si="12"/>
        <v>0</v>
      </c>
      <c r="H194" s="636" t="str">
        <f t="shared" si="13"/>
        <v>TP.COMPORTA.07</v>
      </c>
      <c r="I194" s="637" t="str">
        <f>VLOOKUP(H194,ORC.AUXILIAR!I:P,4,0)</f>
        <v>un</v>
      </c>
      <c r="J194" s="636">
        <f>VLOOKUP(H194,ORC.AUXILIAR!I:P,5,0)</f>
        <v>1</v>
      </c>
      <c r="K194" s="638">
        <f t="shared" si="14"/>
        <v>1</v>
      </c>
      <c r="L194" s="639">
        <f>VLOOKUP(H194,ORC.AUXILIAR!I:P,7,0)</f>
        <v>13611.29</v>
      </c>
      <c r="M194" s="639">
        <f>VLOOKUP(H194,ORC.AUXILIAR!I:P,8,0)</f>
        <v>13611.29</v>
      </c>
      <c r="N194" s="639">
        <f t="shared" si="16"/>
        <v>13611.29</v>
      </c>
      <c r="O194" s="639">
        <f t="shared" si="17"/>
        <v>9978116632.3603973</v>
      </c>
      <c r="P194" s="640">
        <f t="shared" si="15"/>
        <v>0.97263259609911634</v>
      </c>
    </row>
    <row r="195" spans="1:16">
      <c r="A195" s="627">
        <v>13425.092200000001</v>
      </c>
      <c r="B195" s="628">
        <v>5435.26</v>
      </c>
      <c r="C195" s="629">
        <v>9537</v>
      </c>
      <c r="D195" s="628">
        <f>VLOOKUP(C195,ORC.AUXILIAR!I:J,2,0)</f>
        <v>0</v>
      </c>
      <c r="G195" s="636">
        <f t="shared" si="12"/>
        <v>0</v>
      </c>
      <c r="H195" s="636">
        <f t="shared" si="13"/>
        <v>9537</v>
      </c>
      <c r="I195" s="637" t="str">
        <f>VLOOKUP(H195,ORC.AUXILIAR!I:P,4,0)</f>
        <v>M2</v>
      </c>
      <c r="J195" s="636">
        <f>VLOOKUP(H195,ORC.AUXILIAR!I:P,5,0)</f>
        <v>781.22</v>
      </c>
      <c r="K195" s="638">
        <f t="shared" si="14"/>
        <v>5435.26</v>
      </c>
      <c r="L195" s="639">
        <f>VLOOKUP(H195,ORC.AUXILIAR!I:P,7,0)</f>
        <v>2.4700000000000002</v>
      </c>
      <c r="M195" s="639">
        <f>VLOOKUP(H195,ORC.AUXILIAR!I:P,8,0)</f>
        <v>1929.61</v>
      </c>
      <c r="N195" s="639">
        <f t="shared" si="16"/>
        <v>10487932.048599999</v>
      </c>
      <c r="O195" s="639">
        <f t="shared" si="17"/>
        <v>9988604564.4089966</v>
      </c>
      <c r="P195" s="640">
        <f t="shared" si="15"/>
        <v>0.97365492375392226</v>
      </c>
    </row>
    <row r="196" spans="1:16">
      <c r="A196" s="627">
        <v>13370.699999999999</v>
      </c>
      <c r="B196" s="628">
        <v>10</v>
      </c>
      <c r="C196" s="629" t="s">
        <v>12861</v>
      </c>
      <c r="D196" s="628">
        <f>VLOOKUP(C196,ORC.AUXILIAR!I:J,2,0)</f>
        <v>0</v>
      </c>
      <c r="G196" s="636">
        <f t="shared" si="12"/>
        <v>0</v>
      </c>
      <c r="H196" s="636" t="str">
        <f t="shared" si="13"/>
        <v>TP.F°F°.04</v>
      </c>
      <c r="I196" s="637" t="str">
        <f>VLOOKUP(H196,ORC.AUXILIAR!I:P,4,0)</f>
        <v>pç</v>
      </c>
      <c r="J196" s="636">
        <f>VLOOKUP(H196,ORC.AUXILIAR!I:P,5,0)</f>
        <v>10</v>
      </c>
      <c r="K196" s="638">
        <f t="shared" si="14"/>
        <v>10</v>
      </c>
      <c r="L196" s="639">
        <f>VLOOKUP(H196,ORC.AUXILIAR!I:P,7,0)</f>
        <v>1337.07</v>
      </c>
      <c r="M196" s="639">
        <f>VLOOKUP(H196,ORC.AUXILIAR!I:P,8,0)</f>
        <v>13370.7</v>
      </c>
      <c r="N196" s="639">
        <f t="shared" si="16"/>
        <v>133707</v>
      </c>
      <c r="O196" s="639">
        <f t="shared" si="17"/>
        <v>9988738271.4089966</v>
      </c>
      <c r="P196" s="640">
        <f t="shared" si="15"/>
        <v>0.97366795705382425</v>
      </c>
    </row>
    <row r="197" spans="1:16">
      <c r="A197" s="627">
        <v>13281.84</v>
      </c>
      <c r="B197" s="628">
        <v>3</v>
      </c>
      <c r="C197" s="629" t="s">
        <v>13042</v>
      </c>
      <c r="D197" s="628">
        <f>VLOOKUP(C197,ORC.AUXILIAR!I:J,2,0)</f>
        <v>0</v>
      </c>
      <c r="G197" s="636">
        <f t="shared" si="12"/>
        <v>0</v>
      </c>
      <c r="H197" s="636" t="str">
        <f t="shared" si="13"/>
        <v>TP.FºF°.45</v>
      </c>
      <c r="I197" s="637" t="str">
        <f>VLOOKUP(H197,ORC.AUXILIAR!I:P,4,0)</f>
        <v>pç</v>
      </c>
      <c r="J197" s="636">
        <f>VLOOKUP(H197,ORC.AUXILIAR!I:P,5,0)</f>
        <v>3</v>
      </c>
      <c r="K197" s="638">
        <f t="shared" si="14"/>
        <v>3</v>
      </c>
      <c r="L197" s="639">
        <f>VLOOKUP(H197,ORC.AUXILIAR!I:P,7,0)</f>
        <v>4427.28</v>
      </c>
      <c r="M197" s="639">
        <f>VLOOKUP(H197,ORC.AUXILIAR!I:P,8,0)</f>
        <v>13281.84</v>
      </c>
      <c r="N197" s="639">
        <f t="shared" si="16"/>
        <v>39845.520000000004</v>
      </c>
      <c r="O197" s="639">
        <f t="shared" si="17"/>
        <v>9988778116.928997</v>
      </c>
      <c r="P197" s="640">
        <f t="shared" si="15"/>
        <v>0.97367184105849058</v>
      </c>
    </row>
    <row r="198" spans="1:16">
      <c r="A198" s="627">
        <v>13134.909</v>
      </c>
      <c r="B198" s="628">
        <v>88.54</v>
      </c>
      <c r="C198" s="629">
        <v>94115</v>
      </c>
      <c r="D198" s="628">
        <f>VLOOKUP(C198,ORC.AUXILIAR!I:J,2,0)</f>
        <v>0</v>
      </c>
      <c r="G198" s="636">
        <f t="shared" ref="G198:G261" si="18">D198</f>
        <v>0</v>
      </c>
      <c r="H198" s="636">
        <f t="shared" ref="H198:H261" si="19">C198</f>
        <v>94115</v>
      </c>
      <c r="I198" s="637" t="str">
        <f>VLOOKUP(H198,ORC.AUXILIAR!I:P,4,0)</f>
        <v>M3</v>
      </c>
      <c r="J198" s="636">
        <f>VLOOKUP(H198,ORC.AUXILIAR!I:P,5,0)</f>
        <v>88.54</v>
      </c>
      <c r="K198" s="638">
        <f t="shared" ref="K198:K261" si="20">B198</f>
        <v>88.54</v>
      </c>
      <c r="L198" s="639">
        <f>VLOOKUP(H198,ORC.AUXILIAR!I:P,7,0)</f>
        <v>148.35</v>
      </c>
      <c r="M198" s="639">
        <f>VLOOKUP(H198,ORC.AUXILIAR!I:P,8,0)</f>
        <v>13134.91</v>
      </c>
      <c r="N198" s="639">
        <f t="shared" si="16"/>
        <v>1162964.9314000001</v>
      </c>
      <c r="O198" s="639">
        <f t="shared" si="17"/>
        <v>9989941081.8603973</v>
      </c>
      <c r="P198" s="640">
        <f t="shared" ref="P198:P261" si="21">O198/N$4</f>
        <v>0.97378520289239934</v>
      </c>
    </row>
    <row r="199" spans="1:16">
      <c r="A199" s="627">
        <v>13073.58</v>
      </c>
      <c r="B199" s="628">
        <v>785.2</v>
      </c>
      <c r="C199" s="629">
        <v>36365</v>
      </c>
      <c r="D199" s="628">
        <f>VLOOKUP(C199,ORC.AUXILIAR!I:J,2,0)</f>
        <v>0</v>
      </c>
      <c r="G199" s="636">
        <f t="shared" si="18"/>
        <v>0</v>
      </c>
      <c r="H199" s="636">
        <f t="shared" si="19"/>
        <v>36365</v>
      </c>
      <c r="I199" s="637" t="str">
        <f>VLOOKUP(H199,ORC.AUXILIAR!I:P,4,0)</f>
        <v>m</v>
      </c>
      <c r="J199" s="636">
        <f>VLOOKUP(H199,ORC.AUXILIAR!I:P,5,0)</f>
        <v>101.2</v>
      </c>
      <c r="K199" s="638">
        <f t="shared" si="20"/>
        <v>785.2</v>
      </c>
      <c r="L199" s="639">
        <f>VLOOKUP(H199,ORC.AUXILIAR!I:P,7,0)</f>
        <v>16.649999999999999</v>
      </c>
      <c r="M199" s="639">
        <f>VLOOKUP(H199,ORC.AUXILIAR!I:P,8,0)</f>
        <v>1684.98</v>
      </c>
      <c r="N199" s="639">
        <f t="shared" ref="N199:N262" si="22">K199*M199</f>
        <v>1323046.2960000001</v>
      </c>
      <c r="O199" s="639">
        <f t="shared" ref="O199:O262" si="23">N199+O198</f>
        <v>9991264128.1563969</v>
      </c>
      <c r="P199" s="640">
        <f t="shared" si="21"/>
        <v>0.97391416890883808</v>
      </c>
    </row>
    <row r="200" spans="1:16">
      <c r="A200" s="627">
        <v>13009.56</v>
      </c>
      <c r="B200" s="628">
        <v>2</v>
      </c>
      <c r="C200" s="629" t="s">
        <v>12355</v>
      </c>
      <c r="D200" s="628">
        <f>VLOOKUP(C200,ORC.AUXILIAR!I:J,2,0)</f>
        <v>0</v>
      </c>
      <c r="G200" s="636">
        <f t="shared" si="18"/>
        <v>0</v>
      </c>
      <c r="H200" s="636" t="str">
        <f t="shared" si="19"/>
        <v>CP_BIOGAS.MAT.HIDR.</v>
      </c>
      <c r="I200" s="637" t="str">
        <f>VLOOKUP(H200,ORC.AUXILIAR!I:P,4,0)</f>
        <v>um.</v>
      </c>
      <c r="J200" s="636">
        <f>VLOOKUP(H200,ORC.AUXILIAR!I:P,5,0)</f>
        <v>1</v>
      </c>
      <c r="K200" s="638">
        <f t="shared" si="20"/>
        <v>2</v>
      </c>
      <c r="L200" s="639">
        <f>VLOOKUP(H200,ORC.AUXILIAR!I:P,7,0)</f>
        <v>6504.78</v>
      </c>
      <c r="M200" s="639">
        <f>VLOOKUP(H200,ORC.AUXILIAR!I:P,8,0)</f>
        <v>6504.78</v>
      </c>
      <c r="N200" s="639">
        <f t="shared" si="22"/>
        <v>13009.56</v>
      </c>
      <c r="O200" s="639">
        <f t="shared" si="23"/>
        <v>9991277137.7163963</v>
      </c>
      <c r="P200" s="640">
        <f t="shared" si="21"/>
        <v>0.97391543703613936</v>
      </c>
    </row>
    <row r="201" spans="1:16">
      <c r="A201" s="627">
        <v>12985.109999999999</v>
      </c>
      <c r="B201" s="628">
        <v>207</v>
      </c>
      <c r="C201" s="629" t="s">
        <v>14593</v>
      </c>
      <c r="D201" s="628">
        <f>VLOOKUP(C201,ORC.AUXILIAR!I:J,2,0)</f>
        <v>0</v>
      </c>
      <c r="G201" s="636">
        <f t="shared" si="18"/>
        <v>0</v>
      </c>
      <c r="H201" s="636" t="str">
        <f t="shared" si="19"/>
        <v>CT.TRAVESSIA.AEREA_AEREA</v>
      </c>
      <c r="I201" s="637" t="str">
        <f>VLOOKUP(H201,ORC.AUXILIAR!I:P,4,0)</f>
        <v>M</v>
      </c>
      <c r="J201" s="636">
        <f>VLOOKUP(H201,ORC.AUXILIAR!I:P,5,0)</f>
        <v>207</v>
      </c>
      <c r="K201" s="638">
        <f t="shared" si="20"/>
        <v>207</v>
      </c>
      <c r="L201" s="639">
        <f>VLOOKUP(H201,ORC.AUXILIAR!I:P,7,0)</f>
        <v>62.73</v>
      </c>
      <c r="M201" s="639">
        <f>VLOOKUP(H201,ORC.AUXILIAR!I:P,8,0)</f>
        <v>12985.11</v>
      </c>
      <c r="N201" s="639">
        <f t="shared" si="22"/>
        <v>2687917.77</v>
      </c>
      <c r="O201" s="639">
        <f t="shared" si="23"/>
        <v>9993965055.4863968</v>
      </c>
      <c r="P201" s="640">
        <f t="shared" si="21"/>
        <v>0.97417744604395728</v>
      </c>
    </row>
    <row r="202" spans="1:16">
      <c r="A202" s="627">
        <v>12958.84</v>
      </c>
      <c r="B202" s="628">
        <v>4</v>
      </c>
      <c r="C202" s="629" t="s">
        <v>13050</v>
      </c>
      <c r="D202" s="628">
        <f>VLOOKUP(C202,ORC.AUXILIAR!I:J,2,0)</f>
        <v>0</v>
      </c>
      <c r="G202" s="636">
        <f t="shared" si="18"/>
        <v>0</v>
      </c>
      <c r="H202" s="636" t="str">
        <f t="shared" si="19"/>
        <v>RE.GR.01</v>
      </c>
      <c r="I202" s="637" t="str">
        <f>VLOOKUP(H202,ORC.AUXILIAR!I:P,4,0)</f>
        <v>pç</v>
      </c>
      <c r="J202" s="636">
        <f>VLOOKUP(H202,ORC.AUXILIAR!I:P,5,0)</f>
        <v>4</v>
      </c>
      <c r="K202" s="638">
        <f t="shared" si="20"/>
        <v>4</v>
      </c>
      <c r="L202" s="639">
        <f>VLOOKUP(H202,ORC.AUXILIAR!I:P,7,0)</f>
        <v>3239.71</v>
      </c>
      <c r="M202" s="639">
        <f>VLOOKUP(H202,ORC.AUXILIAR!I:P,8,0)</f>
        <v>12958.84</v>
      </c>
      <c r="N202" s="639">
        <f t="shared" si="22"/>
        <v>51835.360000000001</v>
      </c>
      <c r="O202" s="639">
        <f t="shared" si="23"/>
        <v>9994016890.8463974</v>
      </c>
      <c r="P202" s="640">
        <f t="shared" si="21"/>
        <v>0.97418249877711571</v>
      </c>
    </row>
    <row r="203" spans="1:16">
      <c r="A203" s="627">
        <v>12958.84</v>
      </c>
      <c r="B203" s="628">
        <v>4</v>
      </c>
      <c r="C203" s="629" t="s">
        <v>13052</v>
      </c>
      <c r="D203" s="628">
        <f>VLOOKUP(C203,ORC.AUXILIAR!I:J,2,0)</f>
        <v>0</v>
      </c>
      <c r="G203" s="636">
        <f t="shared" si="18"/>
        <v>0</v>
      </c>
      <c r="H203" s="636" t="str">
        <f t="shared" si="19"/>
        <v>RE.GR.02</v>
      </c>
      <c r="I203" s="637" t="str">
        <f>VLOOKUP(H203,ORC.AUXILIAR!I:P,4,0)</f>
        <v>pç</v>
      </c>
      <c r="J203" s="636">
        <f>VLOOKUP(H203,ORC.AUXILIAR!I:P,5,0)</f>
        <v>4</v>
      </c>
      <c r="K203" s="638">
        <f t="shared" si="20"/>
        <v>4</v>
      </c>
      <c r="L203" s="639">
        <f>VLOOKUP(H203,ORC.AUXILIAR!I:P,7,0)</f>
        <v>3239.71</v>
      </c>
      <c r="M203" s="639">
        <f>VLOOKUP(H203,ORC.AUXILIAR!I:P,8,0)</f>
        <v>12958.84</v>
      </c>
      <c r="N203" s="639">
        <f t="shared" si="22"/>
        <v>51835.360000000001</v>
      </c>
      <c r="O203" s="639">
        <f t="shared" si="23"/>
        <v>9994068726.206398</v>
      </c>
      <c r="P203" s="640">
        <f t="shared" si="21"/>
        <v>0.97418755151027414</v>
      </c>
    </row>
    <row r="204" spans="1:16">
      <c r="A204" s="627">
        <v>12958.72</v>
      </c>
      <c r="B204" s="628">
        <v>256</v>
      </c>
      <c r="C204" s="629" t="s">
        <v>13103</v>
      </c>
      <c r="D204" s="628">
        <f>VLOOKUP(C204,ORC.AUXILIAR!I:J,2,0)</f>
        <v>0</v>
      </c>
      <c r="G204" s="636">
        <f t="shared" si="18"/>
        <v>0</v>
      </c>
      <c r="H204" s="636" t="str">
        <f t="shared" si="19"/>
        <v>REATOR.FB.14</v>
      </c>
      <c r="I204" s="637" t="str">
        <f>VLOOKUP(H204,ORC.AUXILIAR!I:P,4,0)</f>
        <v>un</v>
      </c>
      <c r="J204" s="636">
        <f>VLOOKUP(H204,ORC.AUXILIAR!I:P,5,0)</f>
        <v>256</v>
      </c>
      <c r="K204" s="638">
        <f t="shared" si="20"/>
        <v>256</v>
      </c>
      <c r="L204" s="639">
        <f>VLOOKUP(H204,ORC.AUXILIAR!I:P,7,0)</f>
        <v>50.62</v>
      </c>
      <c r="M204" s="639">
        <f>VLOOKUP(H204,ORC.AUXILIAR!I:P,8,0)</f>
        <v>12958.72</v>
      </c>
      <c r="N204" s="639">
        <f t="shared" si="22"/>
        <v>3317432.3199999998</v>
      </c>
      <c r="O204" s="639">
        <f t="shared" si="23"/>
        <v>9997386158.5263977</v>
      </c>
      <c r="P204" s="640">
        <f t="shared" si="21"/>
        <v>0.97451092343793033</v>
      </c>
    </row>
    <row r="205" spans="1:16">
      <c r="A205" s="627">
        <v>12778.079999999998</v>
      </c>
      <c r="B205" s="628">
        <v>6</v>
      </c>
      <c r="C205" s="629" t="s">
        <v>12984</v>
      </c>
      <c r="D205" s="628">
        <f>VLOOKUP(C205,ORC.AUXILIAR!I:J,2,0)</f>
        <v>0</v>
      </c>
      <c r="G205" s="636">
        <f t="shared" si="18"/>
        <v>0</v>
      </c>
      <c r="H205" s="636" t="str">
        <f t="shared" si="19"/>
        <v>TP.FºF°.31</v>
      </c>
      <c r="I205" s="637" t="str">
        <f>VLOOKUP(H205,ORC.AUXILIAR!I:P,4,0)</f>
        <v>pç</v>
      </c>
      <c r="J205" s="636">
        <f>VLOOKUP(H205,ORC.AUXILIAR!I:P,5,0)</f>
        <v>6</v>
      </c>
      <c r="K205" s="638">
        <f t="shared" si="20"/>
        <v>6</v>
      </c>
      <c r="L205" s="639">
        <f>VLOOKUP(H205,ORC.AUXILIAR!I:P,7,0)</f>
        <v>2129.6799999999998</v>
      </c>
      <c r="M205" s="639">
        <f>VLOOKUP(H205,ORC.AUXILIAR!I:P,8,0)</f>
        <v>12778.08</v>
      </c>
      <c r="N205" s="639">
        <f t="shared" si="22"/>
        <v>76668.479999999996</v>
      </c>
      <c r="O205" s="639">
        <f t="shared" si="23"/>
        <v>9997462827.0063972</v>
      </c>
      <c r="P205" s="640">
        <f t="shared" si="21"/>
        <v>0.97451839681847785</v>
      </c>
    </row>
    <row r="206" spans="1:16">
      <c r="A206" s="627">
        <v>12723.68</v>
      </c>
      <c r="B206" s="628">
        <v>1</v>
      </c>
      <c r="C206" s="629" t="s">
        <v>12996</v>
      </c>
      <c r="D206" s="628">
        <f>VLOOKUP(C206,ORC.AUXILIAR!I:J,2,0)</f>
        <v>0</v>
      </c>
      <c r="G206" s="636">
        <f t="shared" si="18"/>
        <v>0</v>
      </c>
      <c r="H206" s="636" t="str">
        <f t="shared" si="19"/>
        <v>TP.FºF°.35</v>
      </c>
      <c r="I206" s="637" t="str">
        <f>VLOOKUP(H206,ORC.AUXILIAR!I:P,4,0)</f>
        <v>pç</v>
      </c>
      <c r="J206" s="636">
        <f>VLOOKUP(H206,ORC.AUXILIAR!I:P,5,0)</f>
        <v>1</v>
      </c>
      <c r="K206" s="638">
        <f t="shared" si="20"/>
        <v>1</v>
      </c>
      <c r="L206" s="639">
        <f>VLOOKUP(H206,ORC.AUXILIAR!I:P,7,0)</f>
        <v>12723.68</v>
      </c>
      <c r="M206" s="639">
        <f>VLOOKUP(H206,ORC.AUXILIAR!I:P,8,0)</f>
        <v>12723.68</v>
      </c>
      <c r="N206" s="639">
        <f t="shared" si="22"/>
        <v>12723.68</v>
      </c>
      <c r="O206" s="639">
        <f t="shared" si="23"/>
        <v>9997475550.6863976</v>
      </c>
      <c r="P206" s="640">
        <f t="shared" si="21"/>
        <v>0.97451963707917699</v>
      </c>
    </row>
    <row r="207" spans="1:16">
      <c r="A207" s="627">
        <v>12701</v>
      </c>
      <c r="B207" s="628">
        <v>1</v>
      </c>
      <c r="C207" s="629" t="s">
        <v>11755</v>
      </c>
      <c r="D207" s="628">
        <f>VLOOKUP(C207,ORC.AUXILIAR!I:J,2,0)</f>
        <v>0</v>
      </c>
      <c r="G207" s="636">
        <f t="shared" si="18"/>
        <v>0</v>
      </c>
      <c r="H207" s="636" t="str">
        <f t="shared" si="19"/>
        <v>AT.07</v>
      </c>
      <c r="I207" s="637" t="str">
        <f>VLOOKUP(H207,ORC.AUXILIAR!I:P,4,0)</f>
        <v>um</v>
      </c>
      <c r="J207" s="636">
        <f>VLOOKUP(H207,ORC.AUXILIAR!I:P,5,0)</f>
        <v>1</v>
      </c>
      <c r="K207" s="638">
        <f t="shared" si="20"/>
        <v>1</v>
      </c>
      <c r="L207" s="639">
        <f>VLOOKUP(H207,ORC.AUXILIAR!I:P,7,0)</f>
        <v>12701</v>
      </c>
      <c r="M207" s="639">
        <f>VLOOKUP(H207,ORC.AUXILIAR!I:P,8,0)</f>
        <v>12701</v>
      </c>
      <c r="N207" s="639">
        <f t="shared" si="22"/>
        <v>12701</v>
      </c>
      <c r="O207" s="639">
        <f t="shared" si="23"/>
        <v>9997488251.6863976</v>
      </c>
      <c r="P207" s="640">
        <f t="shared" si="21"/>
        <v>0.97452087512910746</v>
      </c>
    </row>
    <row r="208" spans="1:16">
      <c r="A208" s="627">
        <v>12695.25</v>
      </c>
      <c r="B208" s="628">
        <v>15</v>
      </c>
      <c r="C208" s="629" t="s">
        <v>12952</v>
      </c>
      <c r="D208" s="628">
        <f>VLOOKUP(C208,ORC.AUXILIAR!I:J,2,0)</f>
        <v>0</v>
      </c>
      <c r="G208" s="636">
        <f t="shared" si="18"/>
        <v>0</v>
      </c>
      <c r="H208" s="636" t="str">
        <f t="shared" si="19"/>
        <v>TP.FºF°.21</v>
      </c>
      <c r="I208" s="637" t="str">
        <f>VLOOKUP(H208,ORC.AUXILIAR!I:P,4,0)</f>
        <v>pç</v>
      </c>
      <c r="J208" s="636">
        <f>VLOOKUP(H208,ORC.AUXILIAR!I:P,5,0)</f>
        <v>15</v>
      </c>
      <c r="K208" s="638">
        <f t="shared" si="20"/>
        <v>15</v>
      </c>
      <c r="L208" s="639">
        <f>VLOOKUP(H208,ORC.AUXILIAR!I:P,7,0)</f>
        <v>846.35</v>
      </c>
      <c r="M208" s="639">
        <f>VLOOKUP(H208,ORC.AUXILIAR!I:P,8,0)</f>
        <v>12695.25</v>
      </c>
      <c r="N208" s="639">
        <f t="shared" si="22"/>
        <v>190428.75</v>
      </c>
      <c r="O208" s="639">
        <f t="shared" si="23"/>
        <v>9997678680.4363976</v>
      </c>
      <c r="P208" s="640">
        <f t="shared" si="21"/>
        <v>0.97453943747071048</v>
      </c>
    </row>
    <row r="209" spans="1:16">
      <c r="A209" s="627">
        <v>12621</v>
      </c>
      <c r="B209" s="628">
        <v>300</v>
      </c>
      <c r="C209" s="629" t="s">
        <v>12766</v>
      </c>
      <c r="D209" s="628">
        <f>VLOOKUP(C209,ORC.AUXILIAR!I:J,2,0)</f>
        <v>0</v>
      </c>
      <c r="G209" s="636">
        <f t="shared" si="18"/>
        <v>0</v>
      </c>
      <c r="H209" s="636" t="str">
        <f t="shared" si="19"/>
        <v>RE.AI.36</v>
      </c>
      <c r="I209" s="637" t="str">
        <f>VLOOKUP(H209,ORC.AUXILIAR!I:P,4,0)</f>
        <v>m</v>
      </c>
      <c r="J209" s="636">
        <f>VLOOKUP(H209,ORC.AUXILIAR!I:P,5,0)</f>
        <v>300</v>
      </c>
      <c r="K209" s="638">
        <f t="shared" si="20"/>
        <v>300</v>
      </c>
      <c r="L209" s="639">
        <f>VLOOKUP(H209,ORC.AUXILIAR!I:P,7,0)</f>
        <v>42.07</v>
      </c>
      <c r="M209" s="639">
        <f>VLOOKUP(H209,ORC.AUXILIAR!I:P,8,0)</f>
        <v>12621</v>
      </c>
      <c r="N209" s="639">
        <f t="shared" si="22"/>
        <v>3786300</v>
      </c>
      <c r="O209" s="639">
        <f t="shared" si="23"/>
        <v>10001464980.436398</v>
      </c>
      <c r="P209" s="640">
        <f t="shared" si="21"/>
        <v>0.97490851301214754</v>
      </c>
    </row>
    <row r="210" spans="1:16">
      <c r="A210" s="627">
        <v>12368.880000000001</v>
      </c>
      <c r="B210" s="628">
        <v>82</v>
      </c>
      <c r="C210" s="629">
        <v>83446</v>
      </c>
      <c r="D210" s="628">
        <f>VLOOKUP(C210,ORC.AUXILIAR!I:J,2,0)</f>
        <v>0</v>
      </c>
      <c r="G210" s="636">
        <f t="shared" si="18"/>
        <v>0</v>
      </c>
      <c r="H210" s="636">
        <f t="shared" si="19"/>
        <v>83446</v>
      </c>
      <c r="I210" s="637" t="str">
        <f>VLOOKUP(H210,ORC.AUXILIAR!I:P,4,0)</f>
        <v>un</v>
      </c>
      <c r="J210" s="636">
        <f>VLOOKUP(H210,ORC.AUXILIAR!I:P,5,0)</f>
        <v>63</v>
      </c>
      <c r="K210" s="638">
        <f t="shared" si="20"/>
        <v>82</v>
      </c>
      <c r="L210" s="639">
        <f>VLOOKUP(H210,ORC.AUXILIAR!I:P,7,0)</f>
        <v>150.84</v>
      </c>
      <c r="M210" s="639">
        <f>VLOOKUP(H210,ORC.AUXILIAR!I:P,8,0)</f>
        <v>9502.92</v>
      </c>
      <c r="N210" s="639">
        <f t="shared" si="22"/>
        <v>779239.44000000006</v>
      </c>
      <c r="O210" s="639">
        <f t="shared" si="23"/>
        <v>10002244219.876398</v>
      </c>
      <c r="P210" s="640">
        <f t="shared" si="21"/>
        <v>0.97498447060088245</v>
      </c>
    </row>
    <row r="211" spans="1:16">
      <c r="A211" s="627">
        <v>12365.9</v>
      </c>
      <c r="B211" s="628">
        <v>155</v>
      </c>
      <c r="C211" s="629">
        <v>87513</v>
      </c>
      <c r="D211" s="628">
        <f>VLOOKUP(C211,ORC.AUXILIAR!I:J,2,0)</f>
        <v>0</v>
      </c>
      <c r="G211" s="636">
        <f t="shared" si="18"/>
        <v>0</v>
      </c>
      <c r="H211" s="636">
        <f t="shared" si="19"/>
        <v>87513</v>
      </c>
      <c r="I211" s="637" t="str">
        <f>VLOOKUP(H211,ORC.AUXILIAR!I:P,4,0)</f>
        <v>M2</v>
      </c>
      <c r="J211" s="636">
        <f>VLOOKUP(H211,ORC.AUXILIAR!I:P,5,0)</f>
        <v>34.369999999999997</v>
      </c>
      <c r="K211" s="638">
        <f t="shared" si="20"/>
        <v>155</v>
      </c>
      <c r="L211" s="639">
        <f>VLOOKUP(H211,ORC.AUXILIAR!I:P,7,0)</f>
        <v>79.78</v>
      </c>
      <c r="M211" s="639">
        <f>VLOOKUP(H211,ORC.AUXILIAR!I:P,8,0)</f>
        <v>2742.04</v>
      </c>
      <c r="N211" s="639">
        <f t="shared" si="22"/>
        <v>425016.2</v>
      </c>
      <c r="O211" s="639">
        <f t="shared" si="23"/>
        <v>10002669236.076399</v>
      </c>
      <c r="P211" s="640">
        <f t="shared" si="21"/>
        <v>0.975025899722752</v>
      </c>
    </row>
    <row r="212" spans="1:16">
      <c r="A212" s="627">
        <v>12074.68</v>
      </c>
      <c r="B212" s="628">
        <v>2</v>
      </c>
      <c r="C212" s="629" t="s">
        <v>12855</v>
      </c>
      <c r="D212" s="628">
        <f>VLOOKUP(C212,ORC.AUXILIAR!I:J,2,0)</f>
        <v>0</v>
      </c>
      <c r="G212" s="636">
        <f t="shared" si="18"/>
        <v>0</v>
      </c>
      <c r="H212" s="636" t="str">
        <f t="shared" si="19"/>
        <v>CDR.F°F°.01</v>
      </c>
      <c r="I212" s="637" t="str">
        <f>VLOOKUP(H212,ORC.AUXILIAR!I:P,4,0)</f>
        <v>pç</v>
      </c>
      <c r="J212" s="636">
        <f>VLOOKUP(H212,ORC.AUXILIAR!I:P,5,0)</f>
        <v>2</v>
      </c>
      <c r="K212" s="638">
        <f t="shared" si="20"/>
        <v>2</v>
      </c>
      <c r="L212" s="639">
        <f>VLOOKUP(H212,ORC.AUXILIAR!I:P,7,0)</f>
        <v>6037.34</v>
      </c>
      <c r="M212" s="639">
        <f>VLOOKUP(H212,ORC.AUXILIAR!I:P,8,0)</f>
        <v>12074.68</v>
      </c>
      <c r="N212" s="639">
        <f t="shared" si="22"/>
        <v>24149.360000000001</v>
      </c>
      <c r="O212" s="639">
        <f t="shared" si="23"/>
        <v>10002693385.436399</v>
      </c>
      <c r="P212" s="640">
        <f t="shared" si="21"/>
        <v>0.97502825371956092</v>
      </c>
    </row>
    <row r="213" spans="1:16">
      <c r="A213" s="627">
        <v>12001.44</v>
      </c>
      <c r="B213" s="628">
        <v>2</v>
      </c>
      <c r="C213" s="629" t="s">
        <v>12871</v>
      </c>
      <c r="D213" s="628">
        <f>VLOOKUP(C213,ORC.AUXILIAR!I:J,2,0)</f>
        <v>0</v>
      </c>
      <c r="G213" s="636">
        <f t="shared" si="18"/>
        <v>0</v>
      </c>
      <c r="H213" s="636" t="str">
        <f t="shared" si="19"/>
        <v>CDR.F°F°.02</v>
      </c>
      <c r="I213" s="637" t="str">
        <f>VLOOKUP(H213,ORC.AUXILIAR!I:P,4,0)</f>
        <v>pç</v>
      </c>
      <c r="J213" s="636">
        <f>VLOOKUP(H213,ORC.AUXILIAR!I:P,5,0)</f>
        <v>2</v>
      </c>
      <c r="K213" s="638">
        <f t="shared" si="20"/>
        <v>2</v>
      </c>
      <c r="L213" s="639">
        <f>VLOOKUP(H213,ORC.AUXILIAR!I:P,7,0)</f>
        <v>6000.72</v>
      </c>
      <c r="M213" s="639">
        <f>VLOOKUP(H213,ORC.AUXILIAR!I:P,8,0)</f>
        <v>12001.44</v>
      </c>
      <c r="N213" s="639">
        <f t="shared" si="22"/>
        <v>24002.880000000001</v>
      </c>
      <c r="O213" s="639">
        <f t="shared" si="23"/>
        <v>10002717388.316399</v>
      </c>
      <c r="P213" s="640">
        <f t="shared" si="21"/>
        <v>0.97503059343800158</v>
      </c>
    </row>
    <row r="214" spans="1:16">
      <c r="A214" s="627">
        <v>11990.400000000001</v>
      </c>
      <c r="B214" s="628">
        <v>96</v>
      </c>
      <c r="C214" s="629" t="s">
        <v>12879</v>
      </c>
      <c r="D214" s="628">
        <f>VLOOKUP(C214,ORC.AUXILIAR!I:J,2,0)</f>
        <v>0</v>
      </c>
      <c r="G214" s="636">
        <f t="shared" si="18"/>
        <v>0</v>
      </c>
      <c r="H214" s="636" t="str">
        <f t="shared" si="19"/>
        <v>RE.F°F°.12</v>
      </c>
      <c r="I214" s="637" t="str">
        <f>VLOOKUP(H214,ORC.AUXILIAR!I:P,4,0)</f>
        <v>pç</v>
      </c>
      <c r="J214" s="636">
        <f>VLOOKUP(H214,ORC.AUXILIAR!I:P,5,0)</f>
        <v>96</v>
      </c>
      <c r="K214" s="638">
        <f t="shared" si="20"/>
        <v>96</v>
      </c>
      <c r="L214" s="639">
        <f>VLOOKUP(H214,ORC.AUXILIAR!I:P,7,0)</f>
        <v>124.9</v>
      </c>
      <c r="M214" s="639">
        <f>VLOOKUP(H214,ORC.AUXILIAR!I:P,8,0)</f>
        <v>11990.4</v>
      </c>
      <c r="N214" s="639">
        <f t="shared" si="22"/>
        <v>1151078.3999999999</v>
      </c>
      <c r="O214" s="639">
        <f t="shared" si="23"/>
        <v>10003868466.716398</v>
      </c>
      <c r="P214" s="640">
        <f t="shared" si="21"/>
        <v>0.97514279661358627</v>
      </c>
    </row>
    <row r="215" spans="1:16">
      <c r="A215" s="627">
        <v>11867.931199999999</v>
      </c>
      <c r="B215" s="628">
        <v>14.62</v>
      </c>
      <c r="C215" s="629">
        <v>91341</v>
      </c>
      <c r="D215" s="628">
        <f>VLOOKUP(C215,ORC.AUXILIAR!I:J,2,0)</f>
        <v>0</v>
      </c>
      <c r="G215" s="636">
        <f t="shared" si="18"/>
        <v>0</v>
      </c>
      <c r="H215" s="636">
        <f t="shared" si="19"/>
        <v>91341</v>
      </c>
      <c r="I215" s="637" t="str">
        <f>VLOOKUP(H215,ORC.AUXILIAR!I:P,4,0)</f>
        <v>M2</v>
      </c>
      <c r="J215" s="636">
        <f>VLOOKUP(H215,ORC.AUXILIAR!I:P,5,0)</f>
        <v>1</v>
      </c>
      <c r="K215" s="638">
        <f t="shared" si="20"/>
        <v>14.62</v>
      </c>
      <c r="L215" s="639">
        <f>VLOOKUP(H215,ORC.AUXILIAR!I:P,7,0)</f>
        <v>811.76</v>
      </c>
      <c r="M215" s="639">
        <f>VLOOKUP(H215,ORC.AUXILIAR!I:P,8,0)</f>
        <v>811.76</v>
      </c>
      <c r="N215" s="639">
        <f t="shared" si="22"/>
        <v>11867.931199999999</v>
      </c>
      <c r="O215" s="639">
        <f t="shared" si="23"/>
        <v>10003880334.647598</v>
      </c>
      <c r="P215" s="640">
        <f t="shared" si="21"/>
        <v>0.97514395345882654</v>
      </c>
    </row>
    <row r="216" spans="1:16">
      <c r="A216" s="627">
        <v>11823.45</v>
      </c>
      <c r="B216" s="628">
        <v>15</v>
      </c>
      <c r="C216" s="629" t="s">
        <v>13024</v>
      </c>
      <c r="D216" s="628">
        <f>VLOOKUP(C216,ORC.AUXILIAR!I:J,2,0)</f>
        <v>0</v>
      </c>
      <c r="G216" s="636">
        <f t="shared" si="18"/>
        <v>0</v>
      </c>
      <c r="H216" s="636" t="str">
        <f t="shared" si="19"/>
        <v>RE.F°F°.49</v>
      </c>
      <c r="I216" s="637" t="str">
        <f>VLOOKUP(H216,ORC.AUXILIAR!I:P,4,0)</f>
        <v>pç</v>
      </c>
      <c r="J216" s="636">
        <f>VLOOKUP(H216,ORC.AUXILIAR!I:P,5,0)</f>
        <v>12</v>
      </c>
      <c r="K216" s="638">
        <f t="shared" si="20"/>
        <v>15</v>
      </c>
      <c r="L216" s="639">
        <f>VLOOKUP(H216,ORC.AUXILIAR!I:P,7,0)</f>
        <v>788.23</v>
      </c>
      <c r="M216" s="639">
        <f>VLOOKUP(H216,ORC.AUXILIAR!I:P,8,0)</f>
        <v>9458.76</v>
      </c>
      <c r="N216" s="639">
        <f t="shared" si="22"/>
        <v>141881.4</v>
      </c>
      <c r="O216" s="639">
        <f t="shared" si="23"/>
        <v>10004022216.047598</v>
      </c>
      <c r="P216" s="640">
        <f t="shared" si="21"/>
        <v>0.97515778357121197</v>
      </c>
    </row>
    <row r="217" spans="1:16">
      <c r="A217" s="627">
        <v>11682.237300000003</v>
      </c>
      <c r="B217" s="628">
        <v>104.99000000000002</v>
      </c>
      <c r="C217" s="629">
        <v>172</v>
      </c>
      <c r="D217" s="628">
        <f>VLOOKUP(C217,ORC.AUXILIAR!I:J,2,0)</f>
        <v>0</v>
      </c>
      <c r="G217" s="636">
        <f t="shared" si="18"/>
        <v>0</v>
      </c>
      <c r="H217" s="636">
        <f t="shared" si="19"/>
        <v>172</v>
      </c>
      <c r="I217" s="637" t="str">
        <f>VLOOKUP(H217,ORC.AUXILIAR!I:P,4,0)</f>
        <v>M3</v>
      </c>
      <c r="J217" s="636">
        <f>VLOOKUP(H217,ORC.AUXILIAR!I:P,5,0)</f>
        <v>0</v>
      </c>
      <c r="K217" s="638">
        <f t="shared" si="20"/>
        <v>104.99000000000002</v>
      </c>
      <c r="L217" s="639">
        <f>VLOOKUP(H217,ORC.AUXILIAR!I:P,7,0)</f>
        <v>111.27</v>
      </c>
      <c r="M217" s="639">
        <f>VLOOKUP(H217,ORC.AUXILIAR!I:P,8,0)</f>
        <v>0</v>
      </c>
      <c r="N217" s="639">
        <f t="shared" si="22"/>
        <v>0</v>
      </c>
      <c r="O217" s="639">
        <f t="shared" si="23"/>
        <v>10004022216.047598</v>
      </c>
      <c r="P217" s="640">
        <f t="shared" si="21"/>
        <v>0.97515778357121197</v>
      </c>
    </row>
    <row r="218" spans="1:16">
      <c r="A218" s="627">
        <v>11620</v>
      </c>
      <c r="B218" s="628">
        <v>1000</v>
      </c>
      <c r="C218" s="629">
        <v>868</v>
      </c>
      <c r="D218" s="628">
        <f>VLOOKUP(C218,ORC.AUXILIAR!I:J,2,0)</f>
        <v>0</v>
      </c>
      <c r="G218" s="636">
        <f t="shared" si="18"/>
        <v>0</v>
      </c>
      <c r="H218" s="636">
        <f t="shared" si="19"/>
        <v>868</v>
      </c>
      <c r="I218" s="637" t="str">
        <f>VLOOKUP(H218,ORC.AUXILIAR!I:P,4,0)</f>
        <v>m</v>
      </c>
      <c r="J218" s="636">
        <f>VLOOKUP(H218,ORC.AUXILIAR!I:P,5,0)</f>
        <v>1000</v>
      </c>
      <c r="K218" s="638">
        <f t="shared" si="20"/>
        <v>1000</v>
      </c>
      <c r="L218" s="639">
        <f>VLOOKUP(H218,ORC.AUXILIAR!I:P,7,0)</f>
        <v>11.62</v>
      </c>
      <c r="M218" s="639">
        <f>VLOOKUP(H218,ORC.AUXILIAR!I:P,8,0)</f>
        <v>11620</v>
      </c>
      <c r="N218" s="639">
        <f t="shared" si="22"/>
        <v>11620000</v>
      </c>
      <c r="O218" s="639">
        <f t="shared" si="23"/>
        <v>10015642216.047598</v>
      </c>
      <c r="P218" s="640">
        <f t="shared" si="21"/>
        <v>0.97629046132825659</v>
      </c>
    </row>
    <row r="219" spans="1:16">
      <c r="A219" s="627">
        <v>11369</v>
      </c>
      <c r="B219" s="628">
        <v>4</v>
      </c>
      <c r="C219" s="629" t="s">
        <v>12986</v>
      </c>
      <c r="D219" s="628">
        <f>VLOOKUP(C219,ORC.AUXILIAR!I:J,2,0)</f>
        <v>0</v>
      </c>
      <c r="G219" s="636">
        <f t="shared" si="18"/>
        <v>0</v>
      </c>
      <c r="H219" s="636" t="str">
        <f t="shared" si="19"/>
        <v>TP.FºF°.32</v>
      </c>
      <c r="I219" s="637" t="str">
        <f>VLOOKUP(H219,ORC.AUXILIAR!I:P,4,0)</f>
        <v>pç</v>
      </c>
      <c r="J219" s="636">
        <f>VLOOKUP(H219,ORC.AUXILIAR!I:P,5,0)</f>
        <v>4</v>
      </c>
      <c r="K219" s="638">
        <f t="shared" si="20"/>
        <v>4</v>
      </c>
      <c r="L219" s="639">
        <f>VLOOKUP(H219,ORC.AUXILIAR!I:P,7,0)</f>
        <v>2842.25</v>
      </c>
      <c r="M219" s="639">
        <f>VLOOKUP(H219,ORC.AUXILIAR!I:P,8,0)</f>
        <v>11369</v>
      </c>
      <c r="N219" s="639">
        <f t="shared" si="22"/>
        <v>45476</v>
      </c>
      <c r="O219" s="639">
        <f t="shared" si="23"/>
        <v>10015687692.047598</v>
      </c>
      <c r="P219" s="640">
        <f t="shared" si="21"/>
        <v>0.97629489417280735</v>
      </c>
    </row>
    <row r="220" spans="1:16">
      <c r="A220" s="627">
        <v>11276.800000000001</v>
      </c>
      <c r="B220" s="628">
        <v>20</v>
      </c>
      <c r="C220" s="629" t="s">
        <v>13000</v>
      </c>
      <c r="D220" s="628">
        <f>VLOOKUP(C220,ORC.AUXILIAR!I:J,2,0)</f>
        <v>0</v>
      </c>
      <c r="G220" s="636">
        <f t="shared" si="18"/>
        <v>0</v>
      </c>
      <c r="H220" s="636" t="str">
        <f t="shared" si="19"/>
        <v>RE.F°F°.40</v>
      </c>
      <c r="I220" s="637" t="str">
        <f>VLOOKUP(H220,ORC.AUXILIAR!I:P,4,0)</f>
        <v>pç</v>
      </c>
      <c r="J220" s="636">
        <f>VLOOKUP(H220,ORC.AUXILIAR!I:P,5,0)</f>
        <v>20</v>
      </c>
      <c r="K220" s="638">
        <f t="shared" si="20"/>
        <v>20</v>
      </c>
      <c r="L220" s="639">
        <f>VLOOKUP(H220,ORC.AUXILIAR!I:P,7,0)</f>
        <v>563.84</v>
      </c>
      <c r="M220" s="639">
        <f>VLOOKUP(H220,ORC.AUXILIAR!I:P,8,0)</f>
        <v>11276.8</v>
      </c>
      <c r="N220" s="639">
        <f t="shared" si="22"/>
        <v>225536</v>
      </c>
      <c r="O220" s="639">
        <f t="shared" si="23"/>
        <v>10015913228.047598</v>
      </c>
      <c r="P220" s="640">
        <f t="shared" si="21"/>
        <v>0.97631687864876371</v>
      </c>
    </row>
    <row r="221" spans="1:16">
      <c r="A221" s="627">
        <v>11136.6</v>
      </c>
      <c r="B221" s="628">
        <v>18</v>
      </c>
      <c r="C221" s="629" t="s">
        <v>12750</v>
      </c>
      <c r="D221" s="628">
        <f>VLOOKUP(C221,ORC.AUXILIAR!I:J,2,0)</f>
        <v>0</v>
      </c>
      <c r="G221" s="636">
        <f t="shared" si="18"/>
        <v>0</v>
      </c>
      <c r="H221" s="636" t="str">
        <f t="shared" si="19"/>
        <v>RE.AI.28</v>
      </c>
      <c r="I221" s="637" t="str">
        <f>VLOOKUP(H221,ORC.AUXILIAR!I:P,4,0)</f>
        <v>pç</v>
      </c>
      <c r="J221" s="636">
        <f>VLOOKUP(H221,ORC.AUXILIAR!I:P,5,0)</f>
        <v>18</v>
      </c>
      <c r="K221" s="638">
        <f t="shared" si="20"/>
        <v>18</v>
      </c>
      <c r="L221" s="639">
        <f>VLOOKUP(H221,ORC.AUXILIAR!I:P,7,0)</f>
        <v>618.70000000000005</v>
      </c>
      <c r="M221" s="639">
        <f>VLOOKUP(H221,ORC.AUXILIAR!I:P,8,0)</f>
        <v>11136.6</v>
      </c>
      <c r="N221" s="639">
        <f t="shared" si="22"/>
        <v>200458.80000000002</v>
      </c>
      <c r="O221" s="639">
        <f t="shared" si="23"/>
        <v>10016113686.847597</v>
      </c>
      <c r="P221" s="640">
        <f t="shared" si="21"/>
        <v>0.97633641868524934</v>
      </c>
    </row>
    <row r="222" spans="1:16">
      <c r="A222" s="627">
        <v>10997.0784</v>
      </c>
      <c r="B222" s="628">
        <v>125.28</v>
      </c>
      <c r="C222" s="629">
        <v>87469</v>
      </c>
      <c r="D222" s="628">
        <f>VLOOKUP(C222,ORC.AUXILIAR!I:J,2,0)</f>
        <v>0</v>
      </c>
      <c r="G222" s="636">
        <f t="shared" si="18"/>
        <v>0</v>
      </c>
      <c r="H222" s="636">
        <f t="shared" si="19"/>
        <v>87469</v>
      </c>
      <c r="I222" s="637" t="str">
        <f>VLOOKUP(H222,ORC.AUXILIAR!I:P,4,0)</f>
        <v>M2</v>
      </c>
      <c r="J222" s="636">
        <f>VLOOKUP(H222,ORC.AUXILIAR!I:P,5,0)</f>
        <v>125.28</v>
      </c>
      <c r="K222" s="638">
        <f t="shared" si="20"/>
        <v>125.28</v>
      </c>
      <c r="L222" s="639">
        <f>VLOOKUP(H222,ORC.AUXILIAR!I:P,7,0)</f>
        <v>87.78</v>
      </c>
      <c r="M222" s="639">
        <f>VLOOKUP(H222,ORC.AUXILIAR!I:P,8,0)</f>
        <v>10997.08</v>
      </c>
      <c r="N222" s="639">
        <f t="shared" si="22"/>
        <v>1377714.1824</v>
      </c>
      <c r="O222" s="639">
        <f t="shared" si="23"/>
        <v>10017491401.029997</v>
      </c>
      <c r="P222" s="640">
        <f t="shared" si="21"/>
        <v>0.97647071353980774</v>
      </c>
    </row>
    <row r="223" spans="1:16">
      <c r="A223" s="627">
        <v>10711.615240481395</v>
      </c>
      <c r="B223" s="628">
        <v>14877.243389557494</v>
      </c>
      <c r="C223" s="629" t="s">
        <v>19163</v>
      </c>
      <c r="D223" s="628">
        <f>VLOOKUP(C223,ORC.AUXILIAR!I:J,2,0)</f>
        <v>0</v>
      </c>
      <c r="G223" s="636">
        <f t="shared" si="18"/>
        <v>0</v>
      </c>
      <c r="H223" s="636" t="str">
        <f t="shared" si="19"/>
        <v>73822/2</v>
      </c>
      <c r="I223" s="637" t="str">
        <f>VLOOKUP(H223,ORC.AUXILIAR!I:P,4,0)</f>
        <v>M2</v>
      </c>
      <c r="J223" s="636">
        <f>VLOOKUP(H223,ORC.AUXILIAR!I:P,5,0)</f>
        <v>3149</v>
      </c>
      <c r="K223" s="638">
        <f t="shared" si="20"/>
        <v>14877.243389557494</v>
      </c>
      <c r="L223" s="639">
        <f>VLOOKUP(H223,ORC.AUXILIAR!I:P,7,0)</f>
        <v>0.72</v>
      </c>
      <c r="M223" s="639">
        <f>VLOOKUP(H223,ORC.AUXILIAR!I:P,8,0)</f>
        <v>2267.2800000000002</v>
      </c>
      <c r="N223" s="639">
        <f t="shared" si="22"/>
        <v>33730876.392275915</v>
      </c>
      <c r="O223" s="639">
        <f t="shared" si="23"/>
        <v>10051222277.422274</v>
      </c>
      <c r="P223" s="640">
        <f t="shared" si="21"/>
        <v>0.97975868371322894</v>
      </c>
    </row>
    <row r="224" spans="1:16">
      <c r="A224" s="627">
        <v>10462.56</v>
      </c>
      <c r="B224" s="628">
        <v>6</v>
      </c>
      <c r="C224" s="629" t="s">
        <v>12857</v>
      </c>
      <c r="D224" s="628">
        <f>VLOOKUP(C224,ORC.AUXILIAR!I:J,2,0)</f>
        <v>0</v>
      </c>
      <c r="G224" s="636">
        <f t="shared" si="18"/>
        <v>0</v>
      </c>
      <c r="H224" s="636" t="str">
        <f t="shared" si="19"/>
        <v>TP.F°F°.02</v>
      </c>
      <c r="I224" s="637" t="str">
        <f>VLOOKUP(H224,ORC.AUXILIAR!I:P,4,0)</f>
        <v>pç</v>
      </c>
      <c r="J224" s="636">
        <f>VLOOKUP(H224,ORC.AUXILIAR!I:P,5,0)</f>
        <v>6</v>
      </c>
      <c r="K224" s="638">
        <f t="shared" si="20"/>
        <v>6</v>
      </c>
      <c r="L224" s="639">
        <f>VLOOKUP(H224,ORC.AUXILIAR!I:P,7,0)</f>
        <v>1743.76</v>
      </c>
      <c r="M224" s="639">
        <f>VLOOKUP(H224,ORC.AUXILIAR!I:P,8,0)</f>
        <v>10462.56</v>
      </c>
      <c r="N224" s="639">
        <f t="shared" si="22"/>
        <v>62775.360000000001</v>
      </c>
      <c r="O224" s="639">
        <f t="shared" si="23"/>
        <v>10051285052.782274</v>
      </c>
      <c r="P224" s="640">
        <f t="shared" si="21"/>
        <v>0.97976480284007594</v>
      </c>
    </row>
    <row r="225" spans="1:16">
      <c r="A225" s="627">
        <v>10452.19</v>
      </c>
      <c r="B225" s="628">
        <v>1</v>
      </c>
      <c r="C225" s="629" t="s">
        <v>11756</v>
      </c>
      <c r="D225" s="628">
        <f>VLOOKUP(C225,ORC.AUXILIAR!I:J,2,0)</f>
        <v>0</v>
      </c>
      <c r="G225" s="636">
        <f t="shared" si="18"/>
        <v>0</v>
      </c>
      <c r="H225" s="636" t="str">
        <f t="shared" si="19"/>
        <v>AT.08</v>
      </c>
      <c r="I225" s="637" t="str">
        <f>VLOOKUP(H225,ORC.AUXILIAR!I:P,4,0)</f>
        <v>um</v>
      </c>
      <c r="J225" s="636">
        <f>VLOOKUP(H225,ORC.AUXILIAR!I:P,5,0)</f>
        <v>1</v>
      </c>
      <c r="K225" s="638">
        <f t="shared" si="20"/>
        <v>1</v>
      </c>
      <c r="L225" s="639">
        <f>VLOOKUP(H225,ORC.AUXILIAR!I:P,7,0)</f>
        <v>10452.19</v>
      </c>
      <c r="M225" s="639">
        <f>VLOOKUP(H225,ORC.AUXILIAR!I:P,8,0)</f>
        <v>10452.19</v>
      </c>
      <c r="N225" s="639">
        <f t="shared" si="22"/>
        <v>10452.19</v>
      </c>
      <c r="O225" s="639">
        <f t="shared" si="23"/>
        <v>10051295504.972275</v>
      </c>
      <c r="P225" s="640">
        <f t="shared" si="21"/>
        <v>0.97976582168371851</v>
      </c>
    </row>
    <row r="226" spans="1:16">
      <c r="A226" s="627">
        <v>10433.44</v>
      </c>
      <c r="B226" s="628">
        <v>16</v>
      </c>
      <c r="C226" s="629" t="s">
        <v>13012</v>
      </c>
      <c r="D226" s="628">
        <f>VLOOKUP(C226,ORC.AUXILIAR!I:J,2,0)</f>
        <v>0</v>
      </c>
      <c r="G226" s="636">
        <f t="shared" si="18"/>
        <v>0</v>
      </c>
      <c r="H226" s="636" t="str">
        <f t="shared" si="19"/>
        <v>RE.F°F°.45</v>
      </c>
      <c r="I226" s="637" t="str">
        <f>VLOOKUP(H226,ORC.AUXILIAR!I:P,4,0)</f>
        <v>pç</v>
      </c>
      <c r="J226" s="636">
        <f>VLOOKUP(H226,ORC.AUXILIAR!I:P,5,0)</f>
        <v>16</v>
      </c>
      <c r="K226" s="638">
        <f t="shared" si="20"/>
        <v>16</v>
      </c>
      <c r="L226" s="639">
        <f>VLOOKUP(H226,ORC.AUXILIAR!I:P,7,0)</f>
        <v>652.09</v>
      </c>
      <c r="M226" s="639">
        <f>VLOOKUP(H226,ORC.AUXILIAR!I:P,8,0)</f>
        <v>10433.44</v>
      </c>
      <c r="N226" s="639">
        <f t="shared" si="22"/>
        <v>166935.04000000001</v>
      </c>
      <c r="O226" s="639">
        <f t="shared" si="23"/>
        <v>10051462440.012276</v>
      </c>
      <c r="P226" s="640">
        <f t="shared" si="21"/>
        <v>0.9797820939390266</v>
      </c>
    </row>
    <row r="227" spans="1:16">
      <c r="A227" s="627">
        <v>10407.66</v>
      </c>
      <c r="B227" s="628">
        <v>1</v>
      </c>
      <c r="C227" s="629" t="s">
        <v>14282</v>
      </c>
      <c r="D227" s="628">
        <f>VLOOKUP(C227,ORC.AUXILIAR!I:J,2,0)</f>
        <v>0</v>
      </c>
      <c r="G227" s="636">
        <f t="shared" si="18"/>
        <v>0</v>
      </c>
      <c r="H227" s="636" t="str">
        <f t="shared" si="19"/>
        <v>CP_REATOR.EQUIP.</v>
      </c>
      <c r="I227" s="637" t="str">
        <f>VLOOKUP(H227,ORC.AUXILIAR!I:P,4,0)</f>
        <v>um.</v>
      </c>
      <c r="J227" s="636">
        <f>VLOOKUP(H227,ORC.AUXILIAR!I:P,5,0)</f>
        <v>1</v>
      </c>
      <c r="K227" s="638">
        <f t="shared" si="20"/>
        <v>1</v>
      </c>
      <c r="L227" s="639">
        <f>VLOOKUP(H227,ORC.AUXILIAR!I:P,7,0)</f>
        <v>10407.66</v>
      </c>
      <c r="M227" s="639">
        <f>VLOOKUP(H227,ORC.AUXILIAR!I:P,8,0)</f>
        <v>10407.66</v>
      </c>
      <c r="N227" s="639">
        <f t="shared" si="22"/>
        <v>10407.66</v>
      </c>
      <c r="O227" s="639">
        <f t="shared" si="23"/>
        <v>10051472847.672276</v>
      </c>
      <c r="P227" s="640">
        <f t="shared" si="21"/>
        <v>0.97978310844203731</v>
      </c>
    </row>
    <row r="228" spans="1:16">
      <c r="A228" s="627">
        <v>10349.08</v>
      </c>
      <c r="B228" s="628">
        <v>2</v>
      </c>
      <c r="C228" s="629" t="s">
        <v>13062</v>
      </c>
      <c r="D228" s="628">
        <f>VLOOKUP(C228,ORC.AUXILIAR!I:J,2,0)</f>
        <v>0</v>
      </c>
      <c r="G228" s="636">
        <f t="shared" si="18"/>
        <v>0</v>
      </c>
      <c r="H228" s="636" t="str">
        <f t="shared" si="19"/>
        <v>TP.COMPORTA.02</v>
      </c>
      <c r="I228" s="637" t="str">
        <f>VLOOKUP(H228,ORC.AUXILIAR!I:P,4,0)</f>
        <v>un</v>
      </c>
      <c r="J228" s="636">
        <f>VLOOKUP(H228,ORC.AUXILIAR!I:P,5,0)</f>
        <v>2</v>
      </c>
      <c r="K228" s="638">
        <f t="shared" si="20"/>
        <v>2</v>
      </c>
      <c r="L228" s="639">
        <f>VLOOKUP(H228,ORC.AUXILIAR!I:P,7,0)</f>
        <v>5174.54</v>
      </c>
      <c r="M228" s="639">
        <f>VLOOKUP(H228,ORC.AUXILIAR!I:P,8,0)</f>
        <v>10349.08</v>
      </c>
      <c r="N228" s="639">
        <f t="shared" si="22"/>
        <v>20698.16</v>
      </c>
      <c r="O228" s="639">
        <f t="shared" si="23"/>
        <v>10051493545.832275</v>
      </c>
      <c r="P228" s="640">
        <f t="shared" si="21"/>
        <v>0.97978512602770373</v>
      </c>
    </row>
    <row r="229" spans="1:16">
      <c r="A229" s="627">
        <v>10320.959999999999</v>
      </c>
      <c r="B229" s="628">
        <v>16</v>
      </c>
      <c r="C229" s="629" t="s">
        <v>13010</v>
      </c>
      <c r="D229" s="628">
        <f>VLOOKUP(C229,ORC.AUXILIAR!I:J,2,0)</f>
        <v>0</v>
      </c>
      <c r="G229" s="636">
        <f t="shared" si="18"/>
        <v>0</v>
      </c>
      <c r="H229" s="636" t="str">
        <f t="shared" si="19"/>
        <v>RE.F°F°.44</v>
      </c>
      <c r="I229" s="637" t="str">
        <f>VLOOKUP(H229,ORC.AUXILIAR!I:P,4,0)</f>
        <v>pç</v>
      </c>
      <c r="J229" s="636">
        <f>VLOOKUP(H229,ORC.AUXILIAR!I:P,5,0)</f>
        <v>16</v>
      </c>
      <c r="K229" s="638">
        <f t="shared" si="20"/>
        <v>16</v>
      </c>
      <c r="L229" s="639">
        <f>VLOOKUP(H229,ORC.AUXILIAR!I:P,7,0)</f>
        <v>645.05999999999995</v>
      </c>
      <c r="M229" s="639">
        <f>VLOOKUP(H229,ORC.AUXILIAR!I:P,8,0)</f>
        <v>10320.959999999999</v>
      </c>
      <c r="N229" s="639">
        <f t="shared" si="22"/>
        <v>165135.35999999999</v>
      </c>
      <c r="O229" s="639">
        <f t="shared" si="23"/>
        <v>10051658681.192276</v>
      </c>
      <c r="P229" s="640">
        <f t="shared" si="21"/>
        <v>0.97980122285637627</v>
      </c>
    </row>
    <row r="230" spans="1:16">
      <c r="A230" s="627">
        <v>10281.6</v>
      </c>
      <c r="B230" s="628">
        <v>816</v>
      </c>
      <c r="C230" s="629" t="s">
        <v>12716</v>
      </c>
      <c r="D230" s="628">
        <f>VLOOKUP(C230,ORC.AUXILIAR!I:J,2,0)</f>
        <v>0</v>
      </c>
      <c r="G230" s="636">
        <f t="shared" si="18"/>
        <v>0</v>
      </c>
      <c r="H230" s="636" t="str">
        <f t="shared" si="19"/>
        <v>RE.AI.11</v>
      </c>
      <c r="I230" s="637" t="str">
        <f>VLOOKUP(H230,ORC.AUXILIAR!I:P,4,0)</f>
        <v>pç</v>
      </c>
      <c r="J230" s="636">
        <f>VLOOKUP(H230,ORC.AUXILIAR!I:P,5,0)</f>
        <v>816</v>
      </c>
      <c r="K230" s="638">
        <f t="shared" si="20"/>
        <v>816</v>
      </c>
      <c r="L230" s="639">
        <f>VLOOKUP(H230,ORC.AUXILIAR!I:P,7,0)</f>
        <v>12.6</v>
      </c>
      <c r="M230" s="639">
        <f>VLOOKUP(H230,ORC.AUXILIAR!I:P,8,0)</f>
        <v>10281.6</v>
      </c>
      <c r="N230" s="639">
        <f t="shared" si="22"/>
        <v>8389785.5999999996</v>
      </c>
      <c r="O230" s="639">
        <f t="shared" si="23"/>
        <v>10060048466.792276</v>
      </c>
      <c r="P230" s="640">
        <f t="shared" si="21"/>
        <v>0.98061903038955123</v>
      </c>
    </row>
    <row r="231" spans="1:16">
      <c r="A231" s="627">
        <v>9997.7000000000007</v>
      </c>
      <c r="B231" s="628">
        <v>2</v>
      </c>
      <c r="C231" s="629" t="s">
        <v>12988</v>
      </c>
      <c r="D231" s="628">
        <f>VLOOKUP(C231,ORC.AUXILIAR!I:J,2,0)</f>
        <v>0</v>
      </c>
      <c r="G231" s="636">
        <f t="shared" si="18"/>
        <v>0</v>
      </c>
      <c r="H231" s="636" t="str">
        <f t="shared" si="19"/>
        <v>RE.F°F°.38</v>
      </c>
      <c r="I231" s="637" t="str">
        <f>VLOOKUP(H231,ORC.AUXILIAR!I:P,4,0)</f>
        <v>pç</v>
      </c>
      <c r="J231" s="636">
        <f>VLOOKUP(H231,ORC.AUXILIAR!I:P,5,0)</f>
        <v>2</v>
      </c>
      <c r="K231" s="638">
        <f t="shared" si="20"/>
        <v>2</v>
      </c>
      <c r="L231" s="639">
        <f>VLOOKUP(H231,ORC.AUXILIAR!I:P,7,0)</f>
        <v>4998.8500000000004</v>
      </c>
      <c r="M231" s="639">
        <f>VLOOKUP(H231,ORC.AUXILIAR!I:P,8,0)</f>
        <v>9997.7000000000007</v>
      </c>
      <c r="N231" s="639">
        <f t="shared" si="22"/>
        <v>19995.400000000001</v>
      </c>
      <c r="O231" s="639">
        <f t="shared" si="23"/>
        <v>10060068462.192276</v>
      </c>
      <c r="P231" s="640">
        <f t="shared" si="21"/>
        <v>0.98062097947258242</v>
      </c>
    </row>
    <row r="232" spans="1:16">
      <c r="A232" s="627">
        <v>9974</v>
      </c>
      <c r="B232" s="628">
        <v>1</v>
      </c>
      <c r="C232" s="629" t="s">
        <v>14332</v>
      </c>
      <c r="D232" s="628">
        <f>VLOOKUP(C232,ORC.AUXILIAR!I:J,2,0)</f>
        <v>0</v>
      </c>
      <c r="G232" s="636">
        <f t="shared" si="18"/>
        <v>0</v>
      </c>
      <c r="H232" s="636" t="str">
        <f t="shared" si="19"/>
        <v>CP_LEITO.MAT.HIDR.</v>
      </c>
      <c r="I232" s="637" t="str">
        <f>VLOOKUP(H232,ORC.AUXILIAR!I:P,4,0)</f>
        <v>um.</v>
      </c>
      <c r="J232" s="636">
        <f>VLOOKUP(H232,ORC.AUXILIAR!I:P,5,0)</f>
        <v>1</v>
      </c>
      <c r="K232" s="638">
        <f t="shared" si="20"/>
        <v>1</v>
      </c>
      <c r="L232" s="639">
        <f>VLOOKUP(H232,ORC.AUXILIAR!I:P,7,0)</f>
        <v>9974</v>
      </c>
      <c r="M232" s="639">
        <f>VLOOKUP(H232,ORC.AUXILIAR!I:P,8,0)</f>
        <v>9974</v>
      </c>
      <c r="N232" s="639">
        <f t="shared" si="22"/>
        <v>9974</v>
      </c>
      <c r="O232" s="639">
        <f t="shared" si="23"/>
        <v>10060078436.192276</v>
      </c>
      <c r="P232" s="640">
        <f t="shared" si="21"/>
        <v>0.98062195170390332</v>
      </c>
    </row>
    <row r="233" spans="1:16">
      <c r="A233" s="627">
        <v>9962.16</v>
      </c>
      <c r="B233" s="628">
        <v>24</v>
      </c>
      <c r="C233" s="629" t="s">
        <v>14515</v>
      </c>
      <c r="D233" s="628">
        <f>VLOOKUP(C233,ORC.AUXILIAR!I:J,2,0)</f>
        <v>0</v>
      </c>
      <c r="G233" s="636">
        <f t="shared" si="18"/>
        <v>0</v>
      </c>
      <c r="H233" s="636" t="str">
        <f t="shared" si="19"/>
        <v>REATOR.AI.52</v>
      </c>
      <c r="I233" s="637" t="str">
        <f>VLOOKUP(H233,ORC.AUXILIAR!I:P,4,0)</f>
        <v>un</v>
      </c>
      <c r="J233" s="636">
        <f>VLOOKUP(H233,ORC.AUXILIAR!I:P,5,0)</f>
        <v>24</v>
      </c>
      <c r="K233" s="638">
        <f t="shared" si="20"/>
        <v>24</v>
      </c>
      <c r="L233" s="639">
        <f>VLOOKUP(H233,ORC.AUXILIAR!I:P,7,0)</f>
        <v>415.09</v>
      </c>
      <c r="M233" s="639">
        <f>VLOOKUP(H233,ORC.AUXILIAR!I:P,8,0)</f>
        <v>9962.16</v>
      </c>
      <c r="N233" s="639">
        <f t="shared" si="22"/>
        <v>239091.84</v>
      </c>
      <c r="O233" s="639">
        <f t="shared" si="23"/>
        <v>10060317528.032276</v>
      </c>
      <c r="P233" s="640">
        <f t="shared" si="21"/>
        <v>0.98064525755666232</v>
      </c>
    </row>
    <row r="234" spans="1:16">
      <c r="A234" s="627">
        <v>9764.1299999999992</v>
      </c>
      <c r="B234" s="628">
        <v>1</v>
      </c>
      <c r="C234" s="629" t="s">
        <v>14471</v>
      </c>
      <c r="D234" s="628">
        <f>VLOOKUP(C234,ORC.AUXILIAR!I:J,2,0)</f>
        <v>0</v>
      </c>
      <c r="G234" s="636">
        <f t="shared" si="18"/>
        <v>0</v>
      </c>
      <c r="H234" s="636" t="str">
        <f t="shared" si="19"/>
        <v>RE.VAL.12</v>
      </c>
      <c r="I234" s="637" t="str">
        <f>VLOOKUP(H234,ORC.AUXILIAR!I:P,4,0)</f>
        <v>pç</v>
      </c>
      <c r="J234" s="636">
        <f>VLOOKUP(H234,ORC.AUXILIAR!I:P,5,0)</f>
        <v>1</v>
      </c>
      <c r="K234" s="638">
        <f t="shared" si="20"/>
        <v>1</v>
      </c>
      <c r="L234" s="639">
        <f>VLOOKUP(H234,ORC.AUXILIAR!I:P,7,0)</f>
        <v>9764.1299999999992</v>
      </c>
      <c r="M234" s="639">
        <f>VLOOKUP(H234,ORC.AUXILIAR!I:P,8,0)</f>
        <v>9764.1299999999992</v>
      </c>
      <c r="N234" s="639">
        <f t="shared" si="22"/>
        <v>9764.1299999999992</v>
      </c>
      <c r="O234" s="639">
        <f t="shared" si="23"/>
        <v>10060327292.162275</v>
      </c>
      <c r="P234" s="640">
        <f t="shared" si="21"/>
        <v>0.98064620933057511</v>
      </c>
    </row>
    <row r="235" spans="1:16">
      <c r="A235" s="627">
        <v>9640.36</v>
      </c>
      <c r="B235" s="628">
        <v>1</v>
      </c>
      <c r="C235" s="629" t="s">
        <v>14175</v>
      </c>
      <c r="D235" s="628">
        <f>VLOOKUP(C235,ORC.AUXILIAR!I:J,2,0)</f>
        <v>0</v>
      </c>
      <c r="G235" s="636">
        <f t="shared" si="18"/>
        <v>0</v>
      </c>
      <c r="H235" s="636" t="str">
        <f t="shared" si="19"/>
        <v>CT.FºFº.17</v>
      </c>
      <c r="I235" s="637" t="str">
        <f>VLOOKUP(H235,ORC.AUXILIAR!I:P,4,0)</f>
        <v>un</v>
      </c>
      <c r="J235" s="636">
        <f>VLOOKUP(H235,ORC.AUXILIAR!I:P,5,0)</f>
        <v>1</v>
      </c>
      <c r="K235" s="638">
        <f t="shared" si="20"/>
        <v>1</v>
      </c>
      <c r="L235" s="639">
        <f>VLOOKUP(H235,ORC.AUXILIAR!I:P,7,0)</f>
        <v>9640.36</v>
      </c>
      <c r="M235" s="639">
        <f>VLOOKUP(H235,ORC.AUXILIAR!I:P,8,0)</f>
        <v>9640.36</v>
      </c>
      <c r="N235" s="639">
        <f t="shared" si="22"/>
        <v>9640.36</v>
      </c>
      <c r="O235" s="639">
        <f t="shared" si="23"/>
        <v>10060336932.522276</v>
      </c>
      <c r="P235" s="640">
        <f t="shared" si="21"/>
        <v>0.98064714903981287</v>
      </c>
    </row>
    <row r="236" spans="1:16">
      <c r="A236" s="627">
        <v>9623.8320000000003</v>
      </c>
      <c r="B236" s="628">
        <v>172.1</v>
      </c>
      <c r="C236" s="629">
        <v>41930</v>
      </c>
      <c r="D236" s="628">
        <f>VLOOKUP(C236,ORC.AUXILIAR!I:J,2,0)</f>
        <v>0</v>
      </c>
      <c r="G236" s="636">
        <f t="shared" si="18"/>
        <v>0</v>
      </c>
      <c r="H236" s="636">
        <f t="shared" si="19"/>
        <v>41930</v>
      </c>
      <c r="I236" s="637" t="str">
        <f>VLOOKUP(H236,ORC.AUXILIAR!I:P,4,0)</f>
        <v>m</v>
      </c>
      <c r="J236" s="636">
        <f>VLOOKUP(H236,ORC.AUXILIAR!I:P,5,0)</f>
        <v>60</v>
      </c>
      <c r="K236" s="638">
        <f t="shared" si="20"/>
        <v>172.1</v>
      </c>
      <c r="L236" s="639">
        <f>VLOOKUP(H236,ORC.AUXILIAR!I:P,7,0)</f>
        <v>55.92</v>
      </c>
      <c r="M236" s="639">
        <f>VLOOKUP(H236,ORC.AUXILIAR!I:P,8,0)</f>
        <v>3355.2</v>
      </c>
      <c r="N236" s="639">
        <f t="shared" si="22"/>
        <v>577429.91999999993</v>
      </c>
      <c r="O236" s="639">
        <f t="shared" si="23"/>
        <v>10060914362.442276</v>
      </c>
      <c r="P236" s="640">
        <f t="shared" si="21"/>
        <v>0.98070343492850787</v>
      </c>
    </row>
    <row r="237" spans="1:16">
      <c r="A237" s="627">
        <v>9584.84</v>
      </c>
      <c r="B237" s="628">
        <v>4</v>
      </c>
      <c r="C237" s="629" t="s">
        <v>12869</v>
      </c>
      <c r="D237" s="628">
        <f>VLOOKUP(C237,ORC.AUXILIAR!I:J,2,0)</f>
        <v>0</v>
      </c>
      <c r="G237" s="636">
        <f t="shared" si="18"/>
        <v>0</v>
      </c>
      <c r="H237" s="636" t="str">
        <f t="shared" si="19"/>
        <v>CDR.F°F°.03</v>
      </c>
      <c r="I237" s="637" t="str">
        <f>VLOOKUP(H237,ORC.AUXILIAR!I:P,4,0)</f>
        <v>pç</v>
      </c>
      <c r="J237" s="636">
        <f>VLOOKUP(H237,ORC.AUXILIAR!I:P,5,0)</f>
        <v>4</v>
      </c>
      <c r="K237" s="638">
        <f t="shared" si="20"/>
        <v>4</v>
      </c>
      <c r="L237" s="639">
        <f>VLOOKUP(H237,ORC.AUXILIAR!I:P,7,0)</f>
        <v>2396.21</v>
      </c>
      <c r="M237" s="639">
        <f>VLOOKUP(H237,ORC.AUXILIAR!I:P,8,0)</f>
        <v>9584.84</v>
      </c>
      <c r="N237" s="639">
        <f t="shared" si="22"/>
        <v>38339.360000000001</v>
      </c>
      <c r="O237" s="639">
        <f t="shared" si="23"/>
        <v>10060952701.802277</v>
      </c>
      <c r="P237" s="640">
        <f t="shared" si="21"/>
        <v>0.98070717211786174</v>
      </c>
    </row>
    <row r="238" spans="1:16">
      <c r="A238" s="627">
        <v>9561.65</v>
      </c>
      <c r="B238" s="628">
        <v>1</v>
      </c>
      <c r="C238" s="629" t="s">
        <v>13066</v>
      </c>
      <c r="D238" s="628">
        <f>VLOOKUP(C238,ORC.AUXILIAR!I:J,2,0)</f>
        <v>0</v>
      </c>
      <c r="G238" s="636">
        <f t="shared" si="18"/>
        <v>0</v>
      </c>
      <c r="H238" s="636" t="str">
        <f t="shared" si="19"/>
        <v>TP.COMPORTA.04</v>
      </c>
      <c r="I238" s="637" t="str">
        <f>VLOOKUP(H238,ORC.AUXILIAR!I:P,4,0)</f>
        <v>un</v>
      </c>
      <c r="J238" s="636">
        <f>VLOOKUP(H238,ORC.AUXILIAR!I:P,5,0)</f>
        <v>1</v>
      </c>
      <c r="K238" s="638">
        <f t="shared" si="20"/>
        <v>1</v>
      </c>
      <c r="L238" s="639">
        <f>VLOOKUP(H238,ORC.AUXILIAR!I:P,7,0)</f>
        <v>9561.65</v>
      </c>
      <c r="M238" s="639">
        <f>VLOOKUP(H238,ORC.AUXILIAR!I:P,8,0)</f>
        <v>9561.65</v>
      </c>
      <c r="N238" s="639">
        <f t="shared" si="22"/>
        <v>9561.65</v>
      </c>
      <c r="O238" s="639">
        <f t="shared" si="23"/>
        <v>10060962263.452276</v>
      </c>
      <c r="P238" s="640">
        <f t="shared" si="21"/>
        <v>0.98070810415471854</v>
      </c>
    </row>
    <row r="239" spans="1:16">
      <c r="A239" s="627">
        <v>9501.16</v>
      </c>
      <c r="B239" s="628">
        <v>1</v>
      </c>
      <c r="C239" s="629" t="s">
        <v>12344</v>
      </c>
      <c r="D239" s="628">
        <f>VLOOKUP(C239,ORC.AUXILIAR!I:J,2,0)</f>
        <v>0</v>
      </c>
      <c r="G239" s="636">
        <f t="shared" si="18"/>
        <v>0</v>
      </c>
      <c r="H239" s="636" t="str">
        <f t="shared" si="19"/>
        <v>CP_SUPORTE.CARVÃO</v>
      </c>
      <c r="I239" s="637" t="str">
        <f>VLOOKUP(H239,ORC.AUXILIAR!I:P,4,0)</f>
        <v>um.</v>
      </c>
      <c r="J239" s="636">
        <f>VLOOKUP(H239,ORC.AUXILIAR!I:P,5,0)</f>
        <v>1</v>
      </c>
      <c r="K239" s="638">
        <f t="shared" si="20"/>
        <v>1</v>
      </c>
      <c r="L239" s="639">
        <f>VLOOKUP(H239,ORC.AUXILIAR!I:P,7,0)</f>
        <v>9501.16</v>
      </c>
      <c r="M239" s="639">
        <f>VLOOKUP(H239,ORC.AUXILIAR!I:P,8,0)</f>
        <v>9501.16</v>
      </c>
      <c r="N239" s="639">
        <f t="shared" si="22"/>
        <v>9501.16</v>
      </c>
      <c r="O239" s="639">
        <f t="shared" si="23"/>
        <v>10060971764.612276</v>
      </c>
      <c r="P239" s="640">
        <f t="shared" si="21"/>
        <v>0.9807090302952175</v>
      </c>
    </row>
    <row r="240" spans="1:16">
      <c r="A240" s="627">
        <v>9418.09</v>
      </c>
      <c r="B240" s="628">
        <v>1</v>
      </c>
      <c r="C240" s="629" t="s">
        <v>13270</v>
      </c>
      <c r="D240" s="628">
        <f>VLOOKUP(C240,ORC.AUXILIAR!I:J,2,0)</f>
        <v>0</v>
      </c>
      <c r="G240" s="636">
        <f t="shared" si="18"/>
        <v>0</v>
      </c>
      <c r="H240" s="636" t="str">
        <f t="shared" si="19"/>
        <v>TP.MED.03</v>
      </c>
      <c r="I240" s="637" t="str">
        <f>VLOOKUP(H240,ORC.AUXILIAR!I:P,4,0)</f>
        <v>un</v>
      </c>
      <c r="J240" s="636">
        <f>VLOOKUP(H240,ORC.AUXILIAR!I:P,5,0)</f>
        <v>1</v>
      </c>
      <c r="K240" s="638">
        <f t="shared" si="20"/>
        <v>1</v>
      </c>
      <c r="L240" s="639">
        <f>VLOOKUP(H240,ORC.AUXILIAR!I:P,7,0)</f>
        <v>9418.09</v>
      </c>
      <c r="M240" s="639">
        <f>VLOOKUP(H240,ORC.AUXILIAR!I:P,8,0)</f>
        <v>9418.09</v>
      </c>
      <c r="N240" s="639">
        <f t="shared" si="22"/>
        <v>9418.09</v>
      </c>
      <c r="O240" s="639">
        <f t="shared" si="23"/>
        <v>10060981182.702276</v>
      </c>
      <c r="P240" s="640">
        <f t="shared" si="21"/>
        <v>0.98070994833833769</v>
      </c>
    </row>
    <row r="241" spans="1:16">
      <c r="A241" s="627">
        <v>9178.7999999999993</v>
      </c>
      <c r="B241" s="628">
        <v>120</v>
      </c>
      <c r="C241" s="629" t="s">
        <v>12754</v>
      </c>
      <c r="D241" s="628">
        <f>VLOOKUP(C241,ORC.AUXILIAR!I:J,2,0)</f>
        <v>0</v>
      </c>
      <c r="G241" s="636">
        <f t="shared" si="18"/>
        <v>0</v>
      </c>
      <c r="H241" s="636" t="str">
        <f t="shared" si="19"/>
        <v>RE.AI.30</v>
      </c>
      <c r="I241" s="637" t="str">
        <f>VLOOKUP(H241,ORC.AUXILIAR!I:P,4,0)</f>
        <v>m</v>
      </c>
      <c r="J241" s="636">
        <f>VLOOKUP(H241,ORC.AUXILIAR!I:P,5,0)</f>
        <v>120</v>
      </c>
      <c r="K241" s="638">
        <f t="shared" si="20"/>
        <v>120</v>
      </c>
      <c r="L241" s="639">
        <f>VLOOKUP(H241,ORC.AUXILIAR!I:P,7,0)</f>
        <v>76.489999999999995</v>
      </c>
      <c r="M241" s="639">
        <f>VLOOKUP(H241,ORC.AUXILIAR!I:P,8,0)</f>
        <v>9178.7999999999993</v>
      </c>
      <c r="N241" s="639">
        <f t="shared" si="22"/>
        <v>1101456</v>
      </c>
      <c r="O241" s="639">
        <f t="shared" si="23"/>
        <v>10062082638.702276</v>
      </c>
      <c r="P241" s="640">
        <f t="shared" si="21"/>
        <v>0.98081731449251697</v>
      </c>
    </row>
    <row r="242" spans="1:16">
      <c r="A242" s="627">
        <v>9133.26</v>
      </c>
      <c r="B242" s="628">
        <v>2</v>
      </c>
      <c r="C242" s="629" t="s">
        <v>12942</v>
      </c>
      <c r="D242" s="628">
        <f>VLOOKUP(C242,ORC.AUXILIAR!I:J,2,0)</f>
        <v>0</v>
      </c>
      <c r="G242" s="636">
        <f t="shared" si="18"/>
        <v>0</v>
      </c>
      <c r="H242" s="636" t="str">
        <f t="shared" si="19"/>
        <v>RE.F°F°.30</v>
      </c>
      <c r="I242" s="637" t="str">
        <f>VLOOKUP(H242,ORC.AUXILIAR!I:P,4,0)</f>
        <v>pç</v>
      </c>
      <c r="J242" s="636">
        <f>VLOOKUP(H242,ORC.AUXILIAR!I:P,5,0)</f>
        <v>2</v>
      </c>
      <c r="K242" s="638">
        <f t="shared" si="20"/>
        <v>2</v>
      </c>
      <c r="L242" s="639">
        <f>VLOOKUP(H242,ORC.AUXILIAR!I:P,7,0)</f>
        <v>4566.63</v>
      </c>
      <c r="M242" s="639">
        <f>VLOOKUP(H242,ORC.AUXILIAR!I:P,8,0)</f>
        <v>9133.26</v>
      </c>
      <c r="N242" s="639">
        <f t="shared" si="22"/>
        <v>18266.52</v>
      </c>
      <c r="O242" s="639">
        <f t="shared" si="23"/>
        <v>10062100905.222277</v>
      </c>
      <c r="P242" s="640">
        <f t="shared" si="21"/>
        <v>0.98081909505025389</v>
      </c>
    </row>
    <row r="243" spans="1:16">
      <c r="A243" s="627">
        <v>9094.08</v>
      </c>
      <c r="B243" s="628">
        <v>32</v>
      </c>
      <c r="C243" s="629" t="s">
        <v>12847</v>
      </c>
      <c r="D243" s="628">
        <f>VLOOKUP(C243,ORC.AUXILIAR!I:J,2,0)</f>
        <v>0</v>
      </c>
      <c r="G243" s="636">
        <f t="shared" si="18"/>
        <v>0</v>
      </c>
      <c r="H243" s="636" t="str">
        <f t="shared" si="19"/>
        <v>RE.F°F°.05</v>
      </c>
      <c r="I243" s="637" t="str">
        <f>VLOOKUP(H243,ORC.AUXILIAR!I:P,4,0)</f>
        <v>pç</v>
      </c>
      <c r="J243" s="636">
        <f>VLOOKUP(H243,ORC.AUXILIAR!I:P,5,0)</f>
        <v>32</v>
      </c>
      <c r="K243" s="638">
        <f t="shared" si="20"/>
        <v>32</v>
      </c>
      <c r="L243" s="639">
        <f>VLOOKUP(H243,ORC.AUXILIAR!I:P,7,0)</f>
        <v>284.19</v>
      </c>
      <c r="M243" s="639">
        <f>VLOOKUP(H243,ORC.AUXILIAR!I:P,8,0)</f>
        <v>9094.08</v>
      </c>
      <c r="N243" s="639">
        <f t="shared" si="22"/>
        <v>291010.56</v>
      </c>
      <c r="O243" s="639">
        <f t="shared" si="23"/>
        <v>10062391915.782276</v>
      </c>
      <c r="P243" s="640">
        <f t="shared" si="21"/>
        <v>0.98084746176181814</v>
      </c>
    </row>
    <row r="244" spans="1:16">
      <c r="A244" s="627">
        <v>9063</v>
      </c>
      <c r="B244" s="628">
        <v>4</v>
      </c>
      <c r="C244" s="629" t="s">
        <v>13823</v>
      </c>
      <c r="D244" s="628">
        <f>VLOOKUP(C244,ORC.AUXILIAR!I:J,2,0)</f>
        <v>0</v>
      </c>
      <c r="G244" s="636">
        <f t="shared" si="18"/>
        <v>0</v>
      </c>
      <c r="H244" s="636" t="str">
        <f t="shared" si="19"/>
        <v>INST.BIOGAS.21</v>
      </c>
      <c r="I244" s="637" t="str">
        <f>VLOOKUP(H244,ORC.AUXILIAR!I:P,4,0)</f>
        <v>un</v>
      </c>
      <c r="J244" s="636">
        <f>VLOOKUP(H244,ORC.AUXILIAR!I:P,5,0)</f>
        <v>4</v>
      </c>
      <c r="K244" s="638">
        <f t="shared" si="20"/>
        <v>4</v>
      </c>
      <c r="L244" s="639">
        <f>VLOOKUP(H244,ORC.AUXILIAR!I:P,7,0)</f>
        <v>2265.75</v>
      </c>
      <c r="M244" s="639">
        <f>VLOOKUP(H244,ORC.AUXILIAR!I:P,8,0)</f>
        <v>9063</v>
      </c>
      <c r="N244" s="639">
        <f t="shared" si="22"/>
        <v>36252</v>
      </c>
      <c r="O244" s="639">
        <f t="shared" si="23"/>
        <v>10062428167.782276</v>
      </c>
      <c r="P244" s="640">
        <f t="shared" si="21"/>
        <v>0.98085099548247634</v>
      </c>
    </row>
    <row r="245" spans="1:16">
      <c r="A245" s="627">
        <v>9016</v>
      </c>
      <c r="B245" s="628">
        <v>700</v>
      </c>
      <c r="C245" s="629" t="s">
        <v>13405</v>
      </c>
      <c r="D245" s="628">
        <f>VLOOKUP(C245,ORC.AUXILIAR!I:J,2,0)</f>
        <v>0</v>
      </c>
      <c r="G245" s="636">
        <f t="shared" si="18"/>
        <v>0</v>
      </c>
      <c r="H245" s="636" t="str">
        <f t="shared" si="19"/>
        <v>INS.ELET.34</v>
      </c>
      <c r="I245" s="637" t="str">
        <f>VLOOKUP(H245,ORC.AUXILIAR!I:P,4,0)</f>
        <v>m</v>
      </c>
      <c r="J245" s="636">
        <f>VLOOKUP(H245,ORC.AUXILIAR!I:P,5,0)</f>
        <v>700</v>
      </c>
      <c r="K245" s="638">
        <f t="shared" si="20"/>
        <v>700</v>
      </c>
      <c r="L245" s="639">
        <f>VLOOKUP(H245,ORC.AUXILIAR!I:P,7,0)</f>
        <v>12.88</v>
      </c>
      <c r="M245" s="639">
        <f>VLOOKUP(H245,ORC.AUXILIAR!I:P,8,0)</f>
        <v>9016</v>
      </c>
      <c r="N245" s="639">
        <f t="shared" si="22"/>
        <v>6311200</v>
      </c>
      <c r="O245" s="639">
        <f t="shared" si="23"/>
        <v>10068739367.782276</v>
      </c>
      <c r="P245" s="640">
        <f t="shared" si="21"/>
        <v>0.98146618961847121</v>
      </c>
    </row>
    <row r="246" spans="1:16">
      <c r="A246" s="627">
        <v>8946.4735000000019</v>
      </c>
      <c r="B246" s="628">
        <v>312.05000000000007</v>
      </c>
      <c r="C246" s="629">
        <v>92874</v>
      </c>
      <c r="D246" s="628">
        <f>VLOOKUP(C246,ORC.AUXILIAR!I:J,2,0)</f>
        <v>0</v>
      </c>
      <c r="G246" s="636">
        <f t="shared" si="18"/>
        <v>0</v>
      </c>
      <c r="H246" s="636">
        <f t="shared" si="19"/>
        <v>92874</v>
      </c>
      <c r="I246" s="637" t="str">
        <f>VLOOKUP(H246,ORC.AUXILIAR!I:P,4,0)</f>
        <v>M3</v>
      </c>
      <c r="J246" s="636">
        <f>VLOOKUP(H246,ORC.AUXILIAR!I:P,5,0)</f>
        <v>24</v>
      </c>
      <c r="K246" s="638">
        <f t="shared" si="20"/>
        <v>312.05000000000007</v>
      </c>
      <c r="L246" s="639">
        <f>VLOOKUP(H246,ORC.AUXILIAR!I:P,7,0)</f>
        <v>28.67</v>
      </c>
      <c r="M246" s="639">
        <f>VLOOKUP(H246,ORC.AUXILIAR!I:P,8,0)</f>
        <v>688.08</v>
      </c>
      <c r="N246" s="639">
        <f t="shared" si="22"/>
        <v>214715.36400000006</v>
      </c>
      <c r="O246" s="639">
        <f t="shared" si="23"/>
        <v>10068954083.146276</v>
      </c>
      <c r="P246" s="640">
        <f t="shared" si="21"/>
        <v>0.98148711933593236</v>
      </c>
    </row>
    <row r="247" spans="1:16">
      <c r="A247" s="627">
        <v>8944</v>
      </c>
      <c r="B247" s="628">
        <v>400</v>
      </c>
      <c r="C247" s="629">
        <v>867</v>
      </c>
      <c r="D247" s="628">
        <f>VLOOKUP(C247,ORC.AUXILIAR!I:J,2,0)</f>
        <v>0</v>
      </c>
      <c r="G247" s="636">
        <f t="shared" si="18"/>
        <v>0</v>
      </c>
      <c r="H247" s="636">
        <f t="shared" si="19"/>
        <v>867</v>
      </c>
      <c r="I247" s="637" t="str">
        <f>VLOOKUP(H247,ORC.AUXILIAR!I:P,4,0)</f>
        <v>m</v>
      </c>
      <c r="J247" s="636">
        <f>VLOOKUP(H247,ORC.AUXILIAR!I:P,5,0)</f>
        <v>400</v>
      </c>
      <c r="K247" s="638">
        <f t="shared" si="20"/>
        <v>400</v>
      </c>
      <c r="L247" s="639">
        <f>VLOOKUP(H247,ORC.AUXILIAR!I:P,7,0)</f>
        <v>22.36</v>
      </c>
      <c r="M247" s="639">
        <f>VLOOKUP(H247,ORC.AUXILIAR!I:P,8,0)</f>
        <v>8944</v>
      </c>
      <c r="N247" s="639">
        <f t="shared" si="22"/>
        <v>3577600</v>
      </c>
      <c r="O247" s="639">
        <f t="shared" si="23"/>
        <v>10072531683.146276</v>
      </c>
      <c r="P247" s="640">
        <f t="shared" si="21"/>
        <v>0.9818358515169654</v>
      </c>
    </row>
    <row r="248" spans="1:16">
      <c r="A248" s="627">
        <v>8804</v>
      </c>
      <c r="B248" s="628">
        <v>8</v>
      </c>
      <c r="C248" s="629" t="s">
        <v>13752</v>
      </c>
      <c r="D248" s="628">
        <f>VLOOKUP(C248,ORC.AUXILIAR!I:J,2,0)</f>
        <v>0</v>
      </c>
      <c r="G248" s="636">
        <f t="shared" si="18"/>
        <v>0</v>
      </c>
      <c r="H248" s="636" t="str">
        <f t="shared" si="19"/>
        <v>QCM.EEE.42</v>
      </c>
      <c r="I248" s="637" t="str">
        <f>VLOOKUP(H248,ORC.AUXILIAR!I:P,4,0)</f>
        <v>Cj</v>
      </c>
      <c r="J248" s="636">
        <f>VLOOKUP(H248,ORC.AUXILIAR!I:P,5,0)</f>
        <v>8</v>
      </c>
      <c r="K248" s="638">
        <f t="shared" si="20"/>
        <v>8</v>
      </c>
      <c r="L248" s="639">
        <f>VLOOKUP(H248,ORC.AUXILIAR!I:P,7,0)</f>
        <v>1100.5</v>
      </c>
      <c r="M248" s="639">
        <f>VLOOKUP(H248,ORC.AUXILIAR!I:P,8,0)</f>
        <v>8804</v>
      </c>
      <c r="N248" s="639">
        <f t="shared" si="22"/>
        <v>70432</v>
      </c>
      <c r="O248" s="639">
        <f t="shared" si="23"/>
        <v>10072602115.146276</v>
      </c>
      <c r="P248" s="640">
        <f t="shared" si="21"/>
        <v>0.98184271698682624</v>
      </c>
    </row>
    <row r="249" spans="1:16">
      <c r="A249" s="627">
        <v>8730.8799999999992</v>
      </c>
      <c r="B249" s="628">
        <v>2432</v>
      </c>
      <c r="C249" s="629" t="s">
        <v>12913</v>
      </c>
      <c r="D249" s="628">
        <f>VLOOKUP(C249,ORC.AUXILIAR!I:J,2,0)</f>
        <v>0</v>
      </c>
      <c r="G249" s="636">
        <f t="shared" si="18"/>
        <v>0</v>
      </c>
      <c r="H249" s="636" t="str">
        <f t="shared" si="19"/>
        <v>RE.F°F°.20</v>
      </c>
      <c r="I249" s="637" t="str">
        <f>VLOOKUP(H249,ORC.AUXILIAR!I:P,4,0)</f>
        <v>pç</v>
      </c>
      <c r="J249" s="636">
        <f>VLOOKUP(H249,ORC.AUXILIAR!I:P,5,0)</f>
        <v>2432</v>
      </c>
      <c r="K249" s="638">
        <f t="shared" si="20"/>
        <v>2432</v>
      </c>
      <c r="L249" s="639">
        <f>VLOOKUP(H249,ORC.AUXILIAR!I:P,7,0)</f>
        <v>3.59</v>
      </c>
      <c r="M249" s="639">
        <f>VLOOKUP(H249,ORC.AUXILIAR!I:P,8,0)</f>
        <v>8730.8799999999992</v>
      </c>
      <c r="N249" s="639">
        <f t="shared" si="22"/>
        <v>21233500.159999996</v>
      </c>
      <c r="O249" s="639">
        <f t="shared" si="23"/>
        <v>10093835615.306276</v>
      </c>
      <c r="P249" s="640">
        <f t="shared" si="21"/>
        <v>0.98391248577645074</v>
      </c>
    </row>
    <row r="250" spans="1:16">
      <c r="A250" s="627">
        <v>8666.7199999999993</v>
      </c>
      <c r="B250" s="628">
        <v>2</v>
      </c>
      <c r="C250" s="629">
        <v>2394</v>
      </c>
      <c r="D250" s="628">
        <f>VLOOKUP(C250,ORC.AUXILIAR!I:J,2,0)</f>
        <v>0</v>
      </c>
      <c r="G250" s="636">
        <f t="shared" si="18"/>
        <v>0</v>
      </c>
      <c r="H250" s="636">
        <f t="shared" si="19"/>
        <v>2394</v>
      </c>
      <c r="I250" s="637" t="str">
        <f>VLOOKUP(H250,ORC.AUXILIAR!I:P,4,0)</f>
        <v>un</v>
      </c>
      <c r="J250" s="636">
        <f>VLOOKUP(H250,ORC.AUXILIAR!I:P,5,0)</f>
        <v>1</v>
      </c>
      <c r="K250" s="638">
        <f t="shared" si="20"/>
        <v>2</v>
      </c>
      <c r="L250" s="639">
        <f>VLOOKUP(H250,ORC.AUXILIAR!I:P,7,0)</f>
        <v>4333.3599999999997</v>
      </c>
      <c r="M250" s="639">
        <f>VLOOKUP(H250,ORC.AUXILIAR!I:P,8,0)</f>
        <v>4333.3599999999997</v>
      </c>
      <c r="N250" s="639">
        <f t="shared" si="22"/>
        <v>8666.7199999999993</v>
      </c>
      <c r="O250" s="639">
        <f t="shared" si="23"/>
        <v>10093844282.026276</v>
      </c>
      <c r="P250" s="640">
        <f t="shared" si="21"/>
        <v>0.98391333057859953</v>
      </c>
    </row>
    <row r="251" spans="1:16">
      <c r="A251" s="627">
        <v>8461.44</v>
      </c>
      <c r="B251" s="628">
        <v>1322.1000000000001</v>
      </c>
      <c r="C251" s="629">
        <v>87908</v>
      </c>
      <c r="D251" s="628">
        <f>VLOOKUP(C251,ORC.AUXILIAR!I:J,2,0)</f>
        <v>0</v>
      </c>
      <c r="G251" s="636">
        <f t="shared" si="18"/>
        <v>0</v>
      </c>
      <c r="H251" s="636">
        <f t="shared" si="19"/>
        <v>87908</v>
      </c>
      <c r="I251" s="637" t="str">
        <f>VLOOKUP(H251,ORC.AUXILIAR!I:P,4,0)</f>
        <v>M2</v>
      </c>
      <c r="J251" s="636">
        <f>VLOOKUP(H251,ORC.AUXILIAR!I:P,5,0)</f>
        <v>914.52</v>
      </c>
      <c r="K251" s="638">
        <f t="shared" si="20"/>
        <v>1322.1000000000001</v>
      </c>
      <c r="L251" s="639">
        <f>VLOOKUP(H251,ORC.AUXILIAR!I:P,7,0)</f>
        <v>6.4</v>
      </c>
      <c r="M251" s="639">
        <f>VLOOKUP(H251,ORC.AUXILIAR!I:P,8,0)</f>
        <v>5852.93</v>
      </c>
      <c r="N251" s="639">
        <f t="shared" si="22"/>
        <v>7738158.7530000014</v>
      </c>
      <c r="O251" s="639">
        <f t="shared" si="23"/>
        <v>10101582440.779276</v>
      </c>
      <c r="P251" s="640">
        <f t="shared" si="21"/>
        <v>0.98466761976104389</v>
      </c>
    </row>
    <row r="252" spans="1:16">
      <c r="A252" s="627">
        <v>8439.9600000000009</v>
      </c>
      <c r="B252" s="628">
        <v>61</v>
      </c>
      <c r="C252" s="629" t="s">
        <v>12790</v>
      </c>
      <c r="D252" s="628">
        <f>VLOOKUP(C252,ORC.AUXILIAR!I:J,2,0)</f>
        <v>0</v>
      </c>
      <c r="G252" s="636">
        <f t="shared" si="18"/>
        <v>0</v>
      </c>
      <c r="H252" s="636" t="str">
        <f t="shared" si="19"/>
        <v>TB.AI.05</v>
      </c>
      <c r="I252" s="637" t="str">
        <f>VLOOKUP(H252,ORC.AUXILIAR!I:P,4,0)</f>
        <v>m</v>
      </c>
      <c r="J252" s="636">
        <f>VLOOKUP(H252,ORC.AUXILIAR!I:P,5,0)</f>
        <v>61</v>
      </c>
      <c r="K252" s="638">
        <f t="shared" si="20"/>
        <v>61</v>
      </c>
      <c r="L252" s="639">
        <f>VLOOKUP(H252,ORC.AUXILIAR!I:P,7,0)</f>
        <v>138.36000000000001</v>
      </c>
      <c r="M252" s="639">
        <f>VLOOKUP(H252,ORC.AUXILIAR!I:P,8,0)</f>
        <v>8439.9599999999991</v>
      </c>
      <c r="N252" s="639">
        <f t="shared" si="22"/>
        <v>514837.55999999994</v>
      </c>
      <c r="O252" s="639">
        <f t="shared" si="23"/>
        <v>10102097278.339275</v>
      </c>
      <c r="P252" s="640">
        <f t="shared" si="21"/>
        <v>0.98471780436110434</v>
      </c>
    </row>
    <row r="253" spans="1:16">
      <c r="A253" s="627">
        <v>8370.75</v>
      </c>
      <c r="B253" s="628">
        <v>75</v>
      </c>
      <c r="C253" s="629">
        <v>94293</v>
      </c>
      <c r="D253" s="628">
        <f>VLOOKUP(C253,ORC.AUXILIAR!I:J,2,0)</f>
        <v>0</v>
      </c>
      <c r="G253" s="636">
        <f t="shared" si="18"/>
        <v>0</v>
      </c>
      <c r="H253" s="636">
        <f t="shared" si="19"/>
        <v>94293</v>
      </c>
      <c r="I253" s="637" t="str">
        <f>VLOOKUP(H253,ORC.AUXILIAR!I:P,4,0)</f>
        <v>M</v>
      </c>
      <c r="J253" s="636">
        <f>VLOOKUP(H253,ORC.AUXILIAR!I:P,5,0)</f>
        <v>75</v>
      </c>
      <c r="K253" s="638">
        <f t="shared" si="20"/>
        <v>75</v>
      </c>
      <c r="L253" s="639">
        <f>VLOOKUP(H253,ORC.AUXILIAR!I:P,7,0)</f>
        <v>111.61</v>
      </c>
      <c r="M253" s="639">
        <f>VLOOKUP(H253,ORC.AUXILIAR!I:P,8,0)</f>
        <v>8370.75</v>
      </c>
      <c r="N253" s="639">
        <f t="shared" si="22"/>
        <v>627806.25</v>
      </c>
      <c r="O253" s="639">
        <f t="shared" si="23"/>
        <v>10102725084.589275</v>
      </c>
      <c r="P253" s="640">
        <f t="shared" si="21"/>
        <v>0.98477900076171609</v>
      </c>
    </row>
    <row r="254" spans="1:16">
      <c r="A254" s="627">
        <v>8350.7199999999993</v>
      </c>
      <c r="B254" s="628">
        <v>128</v>
      </c>
      <c r="C254" s="629" t="s">
        <v>13093</v>
      </c>
      <c r="D254" s="628">
        <f>VLOOKUP(C254,ORC.AUXILIAR!I:J,2,0)</f>
        <v>0</v>
      </c>
      <c r="G254" s="636">
        <f t="shared" si="18"/>
        <v>0</v>
      </c>
      <c r="H254" s="636" t="str">
        <f t="shared" si="19"/>
        <v>REATOR.FB.04</v>
      </c>
      <c r="I254" s="637" t="str">
        <f>VLOOKUP(H254,ORC.AUXILIAR!I:P,4,0)</f>
        <v>m</v>
      </c>
      <c r="J254" s="636">
        <f>VLOOKUP(H254,ORC.AUXILIAR!I:P,5,0)</f>
        <v>128</v>
      </c>
      <c r="K254" s="638">
        <f t="shared" si="20"/>
        <v>128</v>
      </c>
      <c r="L254" s="639">
        <f>VLOOKUP(H254,ORC.AUXILIAR!I:P,7,0)</f>
        <v>65.239999999999995</v>
      </c>
      <c r="M254" s="639">
        <f>VLOOKUP(H254,ORC.AUXILIAR!I:P,8,0)</f>
        <v>8350.7199999999993</v>
      </c>
      <c r="N254" s="639">
        <f t="shared" si="22"/>
        <v>1068892.1599999999</v>
      </c>
      <c r="O254" s="639">
        <f t="shared" si="23"/>
        <v>10103793976.749275</v>
      </c>
      <c r="P254" s="640">
        <f t="shared" si="21"/>
        <v>0.98488319270442792</v>
      </c>
    </row>
    <row r="255" spans="1:16">
      <c r="A255" s="627">
        <v>8259.3780000000006</v>
      </c>
      <c r="B255" s="628">
        <v>4640.1000000000004</v>
      </c>
      <c r="C255" s="629">
        <v>232</v>
      </c>
      <c r="D255" s="628">
        <f>VLOOKUP(C255,ORC.AUXILIAR!I:J,2,0)</f>
        <v>0</v>
      </c>
      <c r="G255" s="636">
        <f t="shared" si="18"/>
        <v>0</v>
      </c>
      <c r="H255" s="636">
        <f t="shared" si="19"/>
        <v>232</v>
      </c>
      <c r="I255" s="637" t="str">
        <f>VLOOKUP(H255,ORC.AUXILIAR!I:P,4,0)</f>
        <v>M3</v>
      </c>
      <c r="J255" s="636">
        <f>VLOOKUP(H255,ORC.AUXILIAR!I:P,5,0)</f>
        <v>0</v>
      </c>
      <c r="K255" s="638">
        <f t="shared" si="20"/>
        <v>4640.1000000000004</v>
      </c>
      <c r="L255" s="639">
        <f>VLOOKUP(H255,ORC.AUXILIAR!I:P,7,0)</f>
        <v>1.78</v>
      </c>
      <c r="M255" s="639">
        <f>VLOOKUP(H255,ORC.AUXILIAR!I:P,8,0)</f>
        <v>0</v>
      </c>
      <c r="N255" s="639">
        <f t="shared" si="22"/>
        <v>0</v>
      </c>
      <c r="O255" s="639">
        <f t="shared" si="23"/>
        <v>10103793976.749275</v>
      </c>
      <c r="P255" s="640">
        <f t="shared" si="21"/>
        <v>0.98488319270442792</v>
      </c>
    </row>
    <row r="256" spans="1:16">
      <c r="A256" s="627">
        <v>8137.78</v>
      </c>
      <c r="B256" s="628">
        <v>2</v>
      </c>
      <c r="C256" s="629" t="s">
        <v>12940</v>
      </c>
      <c r="D256" s="628">
        <f>VLOOKUP(C256,ORC.AUXILIAR!I:J,2,0)</f>
        <v>0</v>
      </c>
      <c r="G256" s="636">
        <f t="shared" si="18"/>
        <v>0</v>
      </c>
      <c r="H256" s="636" t="str">
        <f t="shared" si="19"/>
        <v>TP.FºF°.12</v>
      </c>
      <c r="I256" s="637" t="str">
        <f>VLOOKUP(H256,ORC.AUXILIAR!I:P,4,0)</f>
        <v>pç</v>
      </c>
      <c r="J256" s="636">
        <f>VLOOKUP(H256,ORC.AUXILIAR!I:P,5,0)</f>
        <v>2</v>
      </c>
      <c r="K256" s="638">
        <f t="shared" si="20"/>
        <v>2</v>
      </c>
      <c r="L256" s="639">
        <f>VLOOKUP(H256,ORC.AUXILIAR!I:P,7,0)</f>
        <v>4068.89</v>
      </c>
      <c r="M256" s="639">
        <f>VLOOKUP(H256,ORC.AUXILIAR!I:P,8,0)</f>
        <v>8137.78</v>
      </c>
      <c r="N256" s="639">
        <f t="shared" si="22"/>
        <v>16275.56</v>
      </c>
      <c r="O256" s="639">
        <f t="shared" si="23"/>
        <v>10103810252.309275</v>
      </c>
      <c r="P256" s="640">
        <f t="shared" si="21"/>
        <v>0.98488477919021067</v>
      </c>
    </row>
    <row r="257" spans="1:16">
      <c r="A257" s="627">
        <v>8045.44</v>
      </c>
      <c r="B257" s="628">
        <v>16</v>
      </c>
      <c r="C257" s="629" t="s">
        <v>13294</v>
      </c>
      <c r="D257" s="628">
        <f>VLOOKUP(C257,ORC.AUXILIAR!I:J,2,0)</f>
        <v>0</v>
      </c>
      <c r="G257" s="636">
        <f t="shared" si="18"/>
        <v>0</v>
      </c>
      <c r="H257" s="636" t="str">
        <f t="shared" si="19"/>
        <v>RE.RPVC.02</v>
      </c>
      <c r="I257" s="637" t="str">
        <f>VLOOKUP(H257,ORC.AUXILIAR!I:P,4,0)</f>
        <v>pç</v>
      </c>
      <c r="J257" s="636">
        <f>VLOOKUP(H257,ORC.AUXILIAR!I:P,5,0)</f>
        <v>16</v>
      </c>
      <c r="K257" s="638">
        <f t="shared" si="20"/>
        <v>16</v>
      </c>
      <c r="L257" s="639">
        <f>VLOOKUP(H257,ORC.AUXILIAR!I:P,7,0)</f>
        <v>502.84</v>
      </c>
      <c r="M257" s="639">
        <f>VLOOKUP(H257,ORC.AUXILIAR!I:P,8,0)</f>
        <v>8045.44</v>
      </c>
      <c r="N257" s="639">
        <f t="shared" si="22"/>
        <v>128727.03999999999</v>
      </c>
      <c r="O257" s="639">
        <f t="shared" si="23"/>
        <v>10103938979.349276</v>
      </c>
      <c r="P257" s="640">
        <f t="shared" si="21"/>
        <v>0.98489732706068733</v>
      </c>
    </row>
    <row r="258" spans="1:16">
      <c r="A258" s="627">
        <v>8034.7199999999993</v>
      </c>
      <c r="B258" s="628">
        <v>48</v>
      </c>
      <c r="C258" s="629" t="s">
        <v>14512</v>
      </c>
      <c r="D258" s="628">
        <f>VLOOKUP(C258,ORC.AUXILIAR!I:J,2,0)</f>
        <v>0</v>
      </c>
      <c r="G258" s="636">
        <f t="shared" si="18"/>
        <v>0</v>
      </c>
      <c r="H258" s="636" t="str">
        <f t="shared" si="19"/>
        <v>REATOR.AI.49</v>
      </c>
      <c r="I258" s="637" t="str">
        <f>VLOOKUP(H258,ORC.AUXILIAR!I:P,4,0)</f>
        <v>un</v>
      </c>
      <c r="J258" s="636">
        <f>VLOOKUP(H258,ORC.AUXILIAR!I:P,5,0)</f>
        <v>48</v>
      </c>
      <c r="K258" s="638">
        <f t="shared" si="20"/>
        <v>48</v>
      </c>
      <c r="L258" s="639">
        <f>VLOOKUP(H258,ORC.AUXILIAR!I:P,7,0)</f>
        <v>167.39</v>
      </c>
      <c r="M258" s="639">
        <f>VLOOKUP(H258,ORC.AUXILIAR!I:P,8,0)</f>
        <v>8034.72</v>
      </c>
      <c r="N258" s="639">
        <f t="shared" si="22"/>
        <v>385666.56</v>
      </c>
      <c r="O258" s="639">
        <f t="shared" si="23"/>
        <v>10104324645.909275</v>
      </c>
      <c r="P258" s="640">
        <f t="shared" si="21"/>
        <v>0.98493492051457265</v>
      </c>
    </row>
    <row r="259" spans="1:16">
      <c r="A259" s="627">
        <v>7993.74</v>
      </c>
      <c r="B259" s="628">
        <v>1</v>
      </c>
      <c r="C259" s="629" t="s">
        <v>13273</v>
      </c>
      <c r="D259" s="628">
        <f>VLOOKUP(C259,ORC.AUXILIAR!I:J,2,0)</f>
        <v>0</v>
      </c>
      <c r="G259" s="636">
        <f t="shared" si="18"/>
        <v>0</v>
      </c>
      <c r="H259" s="636" t="str">
        <f t="shared" si="19"/>
        <v>TP.CALHA</v>
      </c>
      <c r="I259" s="637" t="str">
        <f>VLOOKUP(H259,ORC.AUXILIAR!I:P,4,0)</f>
        <v>un</v>
      </c>
      <c r="J259" s="636">
        <f>VLOOKUP(H259,ORC.AUXILIAR!I:P,5,0)</f>
        <v>1</v>
      </c>
      <c r="K259" s="638">
        <f t="shared" si="20"/>
        <v>1</v>
      </c>
      <c r="L259" s="639">
        <f>VLOOKUP(H259,ORC.AUXILIAR!I:P,7,0)</f>
        <v>7993.74</v>
      </c>
      <c r="M259" s="639">
        <f>VLOOKUP(H259,ORC.AUXILIAR!I:P,8,0)</f>
        <v>7993.74</v>
      </c>
      <c r="N259" s="639">
        <f t="shared" si="22"/>
        <v>7993.74</v>
      </c>
      <c r="O259" s="639">
        <f t="shared" si="23"/>
        <v>10104332639.649275</v>
      </c>
      <c r="P259" s="640">
        <f t="shared" si="21"/>
        <v>0.98493569971693873</v>
      </c>
    </row>
    <row r="260" spans="1:16">
      <c r="A260" s="627">
        <v>7879.2000000000007</v>
      </c>
      <c r="B260" s="628">
        <v>48</v>
      </c>
      <c r="C260" s="629" t="s">
        <v>14392</v>
      </c>
      <c r="D260" s="628">
        <f>VLOOKUP(C260,ORC.AUXILIAR!I:J,2,0)</f>
        <v>0</v>
      </c>
      <c r="G260" s="636">
        <f t="shared" si="18"/>
        <v>0</v>
      </c>
      <c r="H260" s="636" t="str">
        <f t="shared" si="19"/>
        <v>REATOR.FB.30</v>
      </c>
      <c r="I260" s="637" t="str">
        <f>VLOOKUP(H260,ORC.AUXILIAR!I:P,4,0)</f>
        <v>un</v>
      </c>
      <c r="J260" s="636">
        <f>VLOOKUP(H260,ORC.AUXILIAR!I:P,5,0)</f>
        <v>48</v>
      </c>
      <c r="K260" s="638">
        <f t="shared" si="20"/>
        <v>48</v>
      </c>
      <c r="L260" s="639">
        <f>VLOOKUP(H260,ORC.AUXILIAR!I:P,7,0)</f>
        <v>164.15</v>
      </c>
      <c r="M260" s="639">
        <f>VLOOKUP(H260,ORC.AUXILIAR!I:P,8,0)</f>
        <v>7879.2</v>
      </c>
      <c r="N260" s="639">
        <f t="shared" si="22"/>
        <v>378201.59999999998</v>
      </c>
      <c r="O260" s="639">
        <f t="shared" si="23"/>
        <v>10104710841.249275</v>
      </c>
      <c r="P260" s="640">
        <f t="shared" si="21"/>
        <v>0.98497256551211931</v>
      </c>
    </row>
    <row r="261" spans="1:16">
      <c r="A261" s="627">
        <v>7874.3</v>
      </c>
      <c r="B261" s="628">
        <v>2</v>
      </c>
      <c r="C261" s="629" t="s">
        <v>13070</v>
      </c>
      <c r="D261" s="628">
        <f>VLOOKUP(C261,ORC.AUXILIAR!I:J,2,0)</f>
        <v>0</v>
      </c>
      <c r="G261" s="636">
        <f t="shared" si="18"/>
        <v>0</v>
      </c>
      <c r="H261" s="636" t="str">
        <f t="shared" si="19"/>
        <v>TP.COMPORTA.06</v>
      </c>
      <c r="I261" s="637" t="str">
        <f>VLOOKUP(H261,ORC.AUXILIAR!I:P,4,0)</f>
        <v>un</v>
      </c>
      <c r="J261" s="636">
        <f>VLOOKUP(H261,ORC.AUXILIAR!I:P,5,0)</f>
        <v>2</v>
      </c>
      <c r="K261" s="638">
        <f t="shared" si="20"/>
        <v>2</v>
      </c>
      <c r="L261" s="639">
        <f>VLOOKUP(H261,ORC.AUXILIAR!I:P,7,0)</f>
        <v>3937.15</v>
      </c>
      <c r="M261" s="639">
        <f>VLOOKUP(H261,ORC.AUXILIAR!I:P,8,0)</f>
        <v>7874.3</v>
      </c>
      <c r="N261" s="639">
        <f t="shared" si="22"/>
        <v>15748.6</v>
      </c>
      <c r="O261" s="639">
        <f t="shared" si="23"/>
        <v>10104726589.849276</v>
      </c>
      <c r="P261" s="640">
        <f t="shared" si="21"/>
        <v>0.98497410063164814</v>
      </c>
    </row>
    <row r="262" spans="1:16">
      <c r="A262" s="627">
        <v>7855.4175999999998</v>
      </c>
      <c r="B262" s="628">
        <v>240.08</v>
      </c>
      <c r="C262" s="629">
        <v>87527</v>
      </c>
      <c r="D262" s="628">
        <f>VLOOKUP(C262,ORC.AUXILIAR!I:J,2,0)</f>
        <v>0</v>
      </c>
      <c r="G262" s="636">
        <f t="shared" ref="G262:G325" si="24">D262</f>
        <v>0</v>
      </c>
      <c r="H262" s="636">
        <f t="shared" ref="H262:H325" si="25">C262</f>
        <v>87527</v>
      </c>
      <c r="I262" s="637" t="str">
        <f>VLOOKUP(H262,ORC.AUXILIAR!I:P,4,0)</f>
        <v>M2</v>
      </c>
      <c r="J262" s="636">
        <f>VLOOKUP(H262,ORC.AUXILIAR!I:P,5,0)</f>
        <v>240.08</v>
      </c>
      <c r="K262" s="638">
        <f t="shared" ref="K262:K325" si="26">B262</f>
        <v>240.08</v>
      </c>
      <c r="L262" s="639">
        <f>VLOOKUP(H262,ORC.AUXILIAR!I:P,7,0)</f>
        <v>32.72</v>
      </c>
      <c r="M262" s="639">
        <f>VLOOKUP(H262,ORC.AUXILIAR!I:P,8,0)</f>
        <v>7855.42</v>
      </c>
      <c r="N262" s="639">
        <f t="shared" si="22"/>
        <v>1885929.2336000002</v>
      </c>
      <c r="O262" s="639">
        <f t="shared" si="23"/>
        <v>10106612519.082876</v>
      </c>
      <c r="P262" s="640">
        <f t="shared" ref="P262:P325" si="27">O262/N$4</f>
        <v>0.98515793454681677</v>
      </c>
    </row>
    <row r="263" spans="1:16">
      <c r="A263" s="627">
        <v>7744.94</v>
      </c>
      <c r="B263" s="628">
        <v>1</v>
      </c>
      <c r="C263" s="629" t="s">
        <v>13056</v>
      </c>
      <c r="D263" s="628">
        <f>VLOOKUP(C263,ORC.AUXILIAR!I:J,2,0)</f>
        <v>0</v>
      </c>
      <c r="G263" s="636">
        <f t="shared" si="24"/>
        <v>0</v>
      </c>
      <c r="H263" s="636" t="str">
        <f t="shared" si="25"/>
        <v>RE.GR.04</v>
      </c>
      <c r="I263" s="637" t="str">
        <f>VLOOKUP(H263,ORC.AUXILIAR!I:P,4,0)</f>
        <v>cj</v>
      </c>
      <c r="J263" s="636">
        <f>VLOOKUP(H263,ORC.AUXILIAR!I:P,5,0)</f>
        <v>1</v>
      </c>
      <c r="K263" s="638">
        <f t="shared" si="26"/>
        <v>1</v>
      </c>
      <c r="L263" s="639">
        <f>VLOOKUP(H263,ORC.AUXILIAR!I:P,7,0)</f>
        <v>7744.94</v>
      </c>
      <c r="M263" s="639">
        <f>VLOOKUP(H263,ORC.AUXILIAR!I:P,8,0)</f>
        <v>7744.94</v>
      </c>
      <c r="N263" s="639">
        <f t="shared" ref="N263:N326" si="28">K263*M263</f>
        <v>7744.94</v>
      </c>
      <c r="O263" s="639">
        <f t="shared" ref="O263:O326" si="29">N263+O262</f>
        <v>10106620264.022877</v>
      </c>
      <c r="P263" s="640">
        <f t="shared" si="27"/>
        <v>0.98515868949701202</v>
      </c>
    </row>
    <row r="264" spans="1:16">
      <c r="A264" s="627">
        <v>7657.65</v>
      </c>
      <c r="B264" s="628">
        <v>63</v>
      </c>
      <c r="C264" s="629" t="s">
        <v>11744</v>
      </c>
      <c r="D264" s="628">
        <f>VLOOKUP(C264,ORC.AUXILIAR!I:J,2,0)</f>
        <v>0</v>
      </c>
      <c r="G264" s="636">
        <f t="shared" si="24"/>
        <v>0</v>
      </c>
      <c r="H264" s="636" t="str">
        <f t="shared" si="25"/>
        <v>INS.ELET.16</v>
      </c>
      <c r="I264" s="637" t="str">
        <f>VLOOKUP(H264,ORC.AUXILIAR!I:P,4,0)</f>
        <v>um</v>
      </c>
      <c r="J264" s="636">
        <f>VLOOKUP(H264,ORC.AUXILIAR!I:P,5,0)</f>
        <v>63</v>
      </c>
      <c r="K264" s="638">
        <f t="shared" si="26"/>
        <v>63</v>
      </c>
      <c r="L264" s="639">
        <f>VLOOKUP(H264,ORC.AUXILIAR!I:P,7,0)</f>
        <v>121.55</v>
      </c>
      <c r="M264" s="639">
        <f>VLOOKUP(H264,ORC.AUXILIAR!I:P,8,0)</f>
        <v>7657.65</v>
      </c>
      <c r="N264" s="639">
        <f t="shared" si="28"/>
        <v>482431.94999999995</v>
      </c>
      <c r="O264" s="639">
        <f t="shared" si="29"/>
        <v>10107102695.972878</v>
      </c>
      <c r="P264" s="640">
        <f t="shared" si="27"/>
        <v>0.98520571530932299</v>
      </c>
    </row>
    <row r="265" spans="1:16">
      <c r="A265" s="627">
        <v>7548.3504000000003</v>
      </c>
      <c r="B265" s="628">
        <v>1285.92</v>
      </c>
      <c r="C265" s="629">
        <v>11421</v>
      </c>
      <c r="D265" s="628">
        <f>VLOOKUP(C265,ORC.AUXILIAR!I:J,2,0)</f>
        <v>0</v>
      </c>
      <c r="G265" s="636">
        <f t="shared" si="24"/>
        <v>0</v>
      </c>
      <c r="H265" s="636">
        <f t="shared" si="25"/>
        <v>11421</v>
      </c>
      <c r="I265" s="637" t="str">
        <f>VLOOKUP(H265,ORC.AUXILIAR!I:P,4,0)</f>
        <v>KG</v>
      </c>
      <c r="J265" s="636">
        <f>VLOOKUP(H265,ORC.AUXILIAR!I:P,5,0)</f>
        <v>1285.92</v>
      </c>
      <c r="K265" s="638">
        <f t="shared" si="26"/>
        <v>1285.92</v>
      </c>
      <c r="L265" s="639">
        <f>VLOOKUP(H265,ORC.AUXILIAR!I:P,7,0)</f>
        <v>5.87</v>
      </c>
      <c r="M265" s="639">
        <f>VLOOKUP(H265,ORC.AUXILIAR!I:P,8,0)</f>
        <v>7548.35</v>
      </c>
      <c r="N265" s="639">
        <f t="shared" si="28"/>
        <v>9706574.2320000008</v>
      </c>
      <c r="O265" s="639">
        <f t="shared" si="29"/>
        <v>10116809270.204878</v>
      </c>
      <c r="P265" s="640">
        <f t="shared" si="27"/>
        <v>0.98615187888330658</v>
      </c>
    </row>
    <row r="266" spans="1:16">
      <c r="A266" s="627">
        <v>7525.5599999999995</v>
      </c>
      <c r="B266" s="628">
        <v>6</v>
      </c>
      <c r="C266" s="629" t="s">
        <v>13108</v>
      </c>
      <c r="D266" s="628">
        <f>VLOOKUP(C266,ORC.AUXILIAR!I:J,2,0)</f>
        <v>0</v>
      </c>
      <c r="G266" s="636">
        <f t="shared" si="24"/>
        <v>0</v>
      </c>
      <c r="H266" s="636" t="str">
        <f t="shared" si="25"/>
        <v>LS.RG.01</v>
      </c>
      <c r="I266" s="637" t="str">
        <f>VLOOKUP(H266,ORC.AUXILIAR!I:P,4,0)</f>
        <v>pç</v>
      </c>
      <c r="J266" s="636">
        <f>VLOOKUP(H266,ORC.AUXILIAR!I:P,5,0)</f>
        <v>6</v>
      </c>
      <c r="K266" s="638">
        <f t="shared" si="26"/>
        <v>6</v>
      </c>
      <c r="L266" s="639">
        <f>VLOOKUP(H266,ORC.AUXILIAR!I:P,7,0)</f>
        <v>1254.26</v>
      </c>
      <c r="M266" s="639">
        <f>VLOOKUP(H266,ORC.AUXILIAR!I:P,8,0)</f>
        <v>7525.56</v>
      </c>
      <c r="N266" s="639">
        <f t="shared" si="28"/>
        <v>45153.36</v>
      </c>
      <c r="O266" s="639">
        <f t="shared" si="29"/>
        <v>10116854423.564878</v>
      </c>
      <c r="P266" s="640">
        <f t="shared" si="27"/>
        <v>0.98615628027801638</v>
      </c>
    </row>
    <row r="267" spans="1:16">
      <c r="A267" s="627">
        <v>7405.9982</v>
      </c>
      <c r="B267" s="628">
        <v>3178.54</v>
      </c>
      <c r="C267" s="629">
        <v>246</v>
      </c>
      <c r="D267" s="628">
        <f>VLOOKUP(C267,ORC.AUXILIAR!I:J,2,0)</f>
        <v>0</v>
      </c>
      <c r="G267" s="636">
        <f t="shared" si="24"/>
        <v>0</v>
      </c>
      <c r="H267" s="636">
        <f t="shared" si="25"/>
        <v>246</v>
      </c>
      <c r="I267" s="637" t="str">
        <f>VLOOKUP(H267,ORC.AUXILIAR!I:P,4,0)</f>
        <v>M3XKM</v>
      </c>
      <c r="J267" s="636">
        <f>VLOOKUP(H267,ORC.AUXILIAR!I:P,5,0)</f>
        <v>0</v>
      </c>
      <c r="K267" s="638">
        <f t="shared" si="26"/>
        <v>3178.54</v>
      </c>
      <c r="L267" s="639">
        <f>VLOOKUP(H267,ORC.AUXILIAR!I:P,7,0)</f>
        <v>2.33</v>
      </c>
      <c r="M267" s="639">
        <f>VLOOKUP(H267,ORC.AUXILIAR!I:P,8,0)</f>
        <v>0</v>
      </c>
      <c r="N267" s="639">
        <f t="shared" si="28"/>
        <v>0</v>
      </c>
      <c r="O267" s="639">
        <f t="shared" si="29"/>
        <v>10116854423.564878</v>
      </c>
      <c r="P267" s="640">
        <f t="shared" si="27"/>
        <v>0.98615628027801638</v>
      </c>
    </row>
    <row r="268" spans="1:16">
      <c r="A268" s="627">
        <v>7315.92</v>
      </c>
      <c r="B268" s="628">
        <v>24</v>
      </c>
      <c r="C268" s="629">
        <v>34494</v>
      </c>
      <c r="D268" s="628">
        <f>VLOOKUP(C268,ORC.AUXILIAR!I:J,2,0)</f>
        <v>0</v>
      </c>
      <c r="G268" s="636">
        <f t="shared" si="24"/>
        <v>0</v>
      </c>
      <c r="H268" s="636">
        <f t="shared" si="25"/>
        <v>34494</v>
      </c>
      <c r="I268" s="637" t="str">
        <f>VLOOKUP(H268,ORC.AUXILIAR!I:P,4,0)</f>
        <v>M3</v>
      </c>
      <c r="J268" s="636">
        <f>VLOOKUP(H268,ORC.AUXILIAR!I:P,5,0)</f>
        <v>24</v>
      </c>
      <c r="K268" s="638">
        <f t="shared" si="26"/>
        <v>24</v>
      </c>
      <c r="L268" s="639">
        <f>VLOOKUP(H268,ORC.AUXILIAR!I:P,7,0)</f>
        <v>304.83</v>
      </c>
      <c r="M268" s="639">
        <f>VLOOKUP(H268,ORC.AUXILIAR!I:P,8,0)</f>
        <v>7315.92</v>
      </c>
      <c r="N268" s="639">
        <f t="shared" si="28"/>
        <v>175582.08000000002</v>
      </c>
      <c r="O268" s="639">
        <f t="shared" si="29"/>
        <v>10117030005.644878</v>
      </c>
      <c r="P268" s="640">
        <f t="shared" si="27"/>
        <v>0.98617339541713445</v>
      </c>
    </row>
    <row r="269" spans="1:16">
      <c r="A269" s="627">
        <v>7199.4000000000005</v>
      </c>
      <c r="B269" s="628">
        <v>20</v>
      </c>
      <c r="C269" s="629" t="s">
        <v>13307</v>
      </c>
      <c r="D269" s="628">
        <f>VLOOKUP(C269,ORC.AUXILIAR!I:J,2,0)</f>
        <v>0</v>
      </c>
      <c r="G269" s="636">
        <f t="shared" si="24"/>
        <v>0</v>
      </c>
      <c r="H269" s="636" t="str">
        <f t="shared" si="25"/>
        <v>TB.EQ.04</v>
      </c>
      <c r="I269" s="637" t="str">
        <f>VLOOKUP(H269,ORC.AUXILIAR!I:P,4,0)</f>
        <v>cj</v>
      </c>
      <c r="J269" s="636">
        <f>VLOOKUP(H269,ORC.AUXILIAR!I:P,5,0)</f>
        <v>20</v>
      </c>
      <c r="K269" s="638">
        <f t="shared" si="26"/>
        <v>20</v>
      </c>
      <c r="L269" s="639">
        <f>VLOOKUP(H269,ORC.AUXILIAR!I:P,7,0)</f>
        <v>359.97</v>
      </c>
      <c r="M269" s="639">
        <f>VLOOKUP(H269,ORC.AUXILIAR!I:P,8,0)</f>
        <v>7199.4</v>
      </c>
      <c r="N269" s="639">
        <f t="shared" si="28"/>
        <v>143988</v>
      </c>
      <c r="O269" s="639">
        <f t="shared" si="29"/>
        <v>10117173993.644878</v>
      </c>
      <c r="P269" s="640">
        <f t="shared" si="27"/>
        <v>0.98618743087366467</v>
      </c>
    </row>
    <row r="270" spans="1:16">
      <c r="A270" s="627">
        <v>7177.36</v>
      </c>
      <c r="B270" s="628">
        <v>1</v>
      </c>
      <c r="C270" s="629" t="s">
        <v>14178</v>
      </c>
      <c r="D270" s="628">
        <f>VLOOKUP(C270,ORC.AUXILIAR!I:J,2,0)</f>
        <v>0</v>
      </c>
      <c r="G270" s="636">
        <f t="shared" si="24"/>
        <v>0</v>
      </c>
      <c r="H270" s="636" t="str">
        <f t="shared" si="25"/>
        <v>CT.FºFº.02</v>
      </c>
      <c r="I270" s="637" t="str">
        <f>VLOOKUP(H270,ORC.AUXILIAR!I:P,4,0)</f>
        <v>un</v>
      </c>
      <c r="J270" s="636">
        <f>VLOOKUP(H270,ORC.AUXILIAR!I:P,5,0)</f>
        <v>1</v>
      </c>
      <c r="K270" s="638">
        <f t="shared" si="26"/>
        <v>1</v>
      </c>
      <c r="L270" s="639">
        <f>VLOOKUP(H270,ORC.AUXILIAR!I:P,7,0)</f>
        <v>7177.36</v>
      </c>
      <c r="M270" s="639">
        <f>VLOOKUP(H270,ORC.AUXILIAR!I:P,8,0)</f>
        <v>7177.36</v>
      </c>
      <c r="N270" s="639">
        <f t="shared" si="28"/>
        <v>7177.36</v>
      </c>
      <c r="O270" s="639">
        <f t="shared" si="29"/>
        <v>10117181171.004879</v>
      </c>
      <c r="P270" s="640">
        <f t="shared" si="27"/>
        <v>0.98618813049810761</v>
      </c>
    </row>
    <row r="271" spans="1:16">
      <c r="A271" s="627">
        <v>7170.3588</v>
      </c>
      <c r="B271" s="628">
        <v>397.47</v>
      </c>
      <c r="C271" s="629">
        <v>92842</v>
      </c>
      <c r="D271" s="628">
        <f>VLOOKUP(C271,ORC.AUXILIAR!I:J,2,0)</f>
        <v>0</v>
      </c>
      <c r="G271" s="636">
        <f t="shared" si="24"/>
        <v>0</v>
      </c>
      <c r="H271" s="636">
        <f t="shared" si="25"/>
        <v>92842</v>
      </c>
      <c r="I271" s="637" t="str">
        <f>VLOOKUP(H271,ORC.AUXILIAR!I:P,4,0)</f>
        <v>M</v>
      </c>
      <c r="J271" s="636">
        <f>VLOOKUP(H271,ORC.AUXILIAR!I:P,5,0)</f>
        <v>263</v>
      </c>
      <c r="K271" s="638">
        <f t="shared" si="26"/>
        <v>397.47</v>
      </c>
      <c r="L271" s="639">
        <f>VLOOKUP(H271,ORC.AUXILIAR!I:P,7,0)</f>
        <v>18.04</v>
      </c>
      <c r="M271" s="639">
        <f>VLOOKUP(H271,ORC.AUXILIAR!I:P,8,0)</f>
        <v>4744.5200000000004</v>
      </c>
      <c r="N271" s="639">
        <f t="shared" si="28"/>
        <v>1885804.3644000003</v>
      </c>
      <c r="O271" s="639">
        <f t="shared" si="29"/>
        <v>10119066975.36928</v>
      </c>
      <c r="P271" s="640">
        <f t="shared" si="27"/>
        <v>0.9863719522414548</v>
      </c>
    </row>
    <row r="272" spans="1:16">
      <c r="A272" s="627">
        <v>7120.5499999999993</v>
      </c>
      <c r="B272" s="628">
        <v>5</v>
      </c>
      <c r="C272" s="629" t="s">
        <v>13293</v>
      </c>
      <c r="D272" s="628">
        <f>VLOOKUP(C272,ORC.AUXILIAR!I:J,2,0)</f>
        <v>0</v>
      </c>
      <c r="G272" s="636">
        <f t="shared" si="24"/>
        <v>0</v>
      </c>
      <c r="H272" s="636" t="str">
        <f t="shared" si="25"/>
        <v>RE.RPVC.01</v>
      </c>
      <c r="I272" s="637" t="str">
        <f>VLOOKUP(H272,ORC.AUXILIAR!I:P,4,0)</f>
        <v>pç</v>
      </c>
      <c r="J272" s="636">
        <f>VLOOKUP(H272,ORC.AUXILIAR!I:P,5,0)</f>
        <v>4</v>
      </c>
      <c r="K272" s="638">
        <f t="shared" si="26"/>
        <v>5</v>
      </c>
      <c r="L272" s="639">
        <f>VLOOKUP(H272,ORC.AUXILIAR!I:P,7,0)</f>
        <v>1424.11</v>
      </c>
      <c r="M272" s="639">
        <f>VLOOKUP(H272,ORC.AUXILIAR!I:P,8,0)</f>
        <v>5696.44</v>
      </c>
      <c r="N272" s="639">
        <f t="shared" si="28"/>
        <v>28482.199999999997</v>
      </c>
      <c r="O272" s="639">
        <f t="shared" si="29"/>
        <v>10119095457.569281</v>
      </c>
      <c r="P272" s="640">
        <f t="shared" si="27"/>
        <v>0.98637472858865038</v>
      </c>
    </row>
    <row r="273" spans="1:16">
      <c r="A273" s="627">
        <v>7114.5899999999992</v>
      </c>
      <c r="B273" s="628">
        <v>207</v>
      </c>
      <c r="C273" s="629" t="s">
        <v>14695</v>
      </c>
      <c r="D273" s="628">
        <f>VLOOKUP(C273,ORC.AUXILIAR!I:J,2,0)</f>
        <v>0</v>
      </c>
      <c r="G273" s="636">
        <f t="shared" si="24"/>
        <v>0</v>
      </c>
      <c r="H273" s="636" t="str">
        <f t="shared" si="25"/>
        <v>73887/12</v>
      </c>
      <c r="I273" s="637" t="str">
        <f>VLOOKUP(H273,ORC.AUXILIAR!I:P,4,0)</f>
        <v>M</v>
      </c>
      <c r="J273" s="636">
        <f>VLOOKUP(H273,ORC.AUXILIAR!I:P,5,0)</f>
        <v>207</v>
      </c>
      <c r="K273" s="638">
        <f t="shared" si="26"/>
        <v>207</v>
      </c>
      <c r="L273" s="639">
        <f>VLOOKUP(H273,ORC.AUXILIAR!I:P,7,0)</f>
        <v>34.369999999999997</v>
      </c>
      <c r="M273" s="639">
        <f>VLOOKUP(H273,ORC.AUXILIAR!I:P,8,0)</f>
        <v>7114.59</v>
      </c>
      <c r="N273" s="639">
        <f t="shared" si="28"/>
        <v>1472720.1300000001</v>
      </c>
      <c r="O273" s="639">
        <f t="shared" si="29"/>
        <v>10120568177.69928</v>
      </c>
      <c r="P273" s="640">
        <f t="shared" si="27"/>
        <v>0.98651828429722199</v>
      </c>
    </row>
    <row r="274" spans="1:16">
      <c r="A274" s="627">
        <v>7078.5</v>
      </c>
      <c r="B274" s="628">
        <v>2</v>
      </c>
      <c r="C274" s="629" t="s">
        <v>12845</v>
      </c>
      <c r="D274" s="628">
        <f>VLOOKUP(C274,ORC.AUXILIAR!I:J,2,0)</f>
        <v>0</v>
      </c>
      <c r="G274" s="636">
        <f t="shared" si="24"/>
        <v>0</v>
      </c>
      <c r="H274" s="636" t="str">
        <f t="shared" si="25"/>
        <v>RE.F°F°.04</v>
      </c>
      <c r="I274" s="637" t="str">
        <f>VLOOKUP(H274,ORC.AUXILIAR!I:P,4,0)</f>
        <v>pç</v>
      </c>
      <c r="J274" s="636">
        <f>VLOOKUP(H274,ORC.AUXILIAR!I:P,5,0)</f>
        <v>2</v>
      </c>
      <c r="K274" s="638">
        <f t="shared" si="26"/>
        <v>2</v>
      </c>
      <c r="L274" s="639">
        <f>VLOOKUP(H274,ORC.AUXILIAR!I:P,7,0)</f>
        <v>3539.25</v>
      </c>
      <c r="M274" s="639">
        <f>VLOOKUP(H274,ORC.AUXILIAR!I:P,8,0)</f>
        <v>7078.5</v>
      </c>
      <c r="N274" s="639">
        <f t="shared" si="28"/>
        <v>14157</v>
      </c>
      <c r="O274" s="639">
        <f t="shared" si="29"/>
        <v>10120582334.69928</v>
      </c>
      <c r="P274" s="640">
        <f t="shared" si="27"/>
        <v>0.98651966427304016</v>
      </c>
    </row>
    <row r="275" spans="1:16">
      <c r="A275" s="627">
        <v>7036.89</v>
      </c>
      <c r="B275" s="628">
        <v>1</v>
      </c>
      <c r="C275" s="629" t="s">
        <v>12867</v>
      </c>
      <c r="D275" s="628">
        <f>VLOOKUP(C275,ORC.AUXILIAR!I:J,2,0)</f>
        <v>0</v>
      </c>
      <c r="G275" s="636">
        <f t="shared" si="24"/>
        <v>0</v>
      </c>
      <c r="H275" s="636" t="str">
        <f t="shared" si="25"/>
        <v>TP.F°F°.06</v>
      </c>
      <c r="I275" s="637" t="str">
        <f>VLOOKUP(H275,ORC.AUXILIAR!I:P,4,0)</f>
        <v>pç</v>
      </c>
      <c r="J275" s="636">
        <f>VLOOKUP(H275,ORC.AUXILIAR!I:P,5,0)</f>
        <v>1</v>
      </c>
      <c r="K275" s="638">
        <f t="shared" si="26"/>
        <v>1</v>
      </c>
      <c r="L275" s="639">
        <f>VLOOKUP(H275,ORC.AUXILIAR!I:P,7,0)</f>
        <v>7036.89</v>
      </c>
      <c r="M275" s="639">
        <f>VLOOKUP(H275,ORC.AUXILIAR!I:P,8,0)</f>
        <v>7036.89</v>
      </c>
      <c r="N275" s="639">
        <f t="shared" si="28"/>
        <v>7036.89</v>
      </c>
      <c r="O275" s="639">
        <f t="shared" si="29"/>
        <v>10120589371.589279</v>
      </c>
      <c r="P275" s="640">
        <f t="shared" si="27"/>
        <v>0.98652035020494899</v>
      </c>
    </row>
    <row r="276" spans="1:16">
      <c r="A276" s="627">
        <v>7013.9923429636747</v>
      </c>
      <c r="B276" s="628">
        <v>3262.3220199831048</v>
      </c>
      <c r="C276" s="629" t="s">
        <v>18276</v>
      </c>
      <c r="D276" s="628">
        <f>VLOOKUP(C276,ORC.AUXILIAR!I:J,2,0)</f>
        <v>0</v>
      </c>
      <c r="G276" s="636">
        <f t="shared" si="24"/>
        <v>0</v>
      </c>
      <c r="H276" s="636" t="str">
        <f t="shared" si="25"/>
        <v>74010/1</v>
      </c>
      <c r="I276" s="637" t="str">
        <f>VLOOKUP(H276,ORC.AUXILIAR!I:P,4,0)</f>
        <v>M3</v>
      </c>
      <c r="J276" s="636">
        <f>VLOOKUP(H276,ORC.AUXILIAR!I:P,5,0)</f>
        <v>0</v>
      </c>
      <c r="K276" s="638">
        <f t="shared" si="26"/>
        <v>3262.3220199831048</v>
      </c>
      <c r="L276" s="639">
        <f>VLOOKUP(H276,ORC.AUXILIAR!I:P,7,0)</f>
        <v>2.15</v>
      </c>
      <c r="M276" s="639">
        <f>VLOOKUP(H276,ORC.AUXILIAR!I:P,8,0)</f>
        <v>0</v>
      </c>
      <c r="N276" s="639">
        <f t="shared" si="28"/>
        <v>0</v>
      </c>
      <c r="O276" s="639">
        <f t="shared" si="29"/>
        <v>10120589371.589279</v>
      </c>
      <c r="P276" s="640">
        <f t="shared" si="27"/>
        <v>0.98652035020494899</v>
      </c>
    </row>
    <row r="277" spans="1:16">
      <c r="A277" s="627">
        <v>6994.2079999999996</v>
      </c>
      <c r="B277" s="628">
        <v>50.83</v>
      </c>
      <c r="C277" s="629">
        <v>173</v>
      </c>
      <c r="D277" s="628">
        <f>VLOOKUP(C277,ORC.AUXILIAR!I:J,2,0)</f>
        <v>0</v>
      </c>
      <c r="G277" s="636">
        <f t="shared" si="24"/>
        <v>0</v>
      </c>
      <c r="H277" s="636">
        <f t="shared" si="25"/>
        <v>173</v>
      </c>
      <c r="I277" s="637" t="str">
        <f>VLOOKUP(H277,ORC.AUXILIAR!I:P,4,0)</f>
        <v>M3</v>
      </c>
      <c r="J277" s="636">
        <f>VLOOKUP(H277,ORC.AUXILIAR!I:P,5,0)</f>
        <v>0</v>
      </c>
      <c r="K277" s="638">
        <f t="shared" si="26"/>
        <v>50.83</v>
      </c>
      <c r="L277" s="639">
        <f>VLOOKUP(H277,ORC.AUXILIAR!I:P,7,0)</f>
        <v>137.6</v>
      </c>
      <c r="M277" s="639">
        <f>VLOOKUP(H277,ORC.AUXILIAR!I:P,8,0)</f>
        <v>0</v>
      </c>
      <c r="N277" s="639">
        <f t="shared" si="28"/>
        <v>0</v>
      </c>
      <c r="O277" s="639">
        <f t="shared" si="29"/>
        <v>10120589371.589279</v>
      </c>
      <c r="P277" s="640">
        <f t="shared" si="27"/>
        <v>0.98652035020494899</v>
      </c>
    </row>
    <row r="278" spans="1:16">
      <c r="A278" s="627">
        <v>6980.9803000000011</v>
      </c>
      <c r="B278" s="628">
        <v>5866.3700000000008</v>
      </c>
      <c r="C278" s="629">
        <v>73610</v>
      </c>
      <c r="D278" s="628">
        <f>VLOOKUP(C278,ORC.AUXILIAR!I:J,2,0)</f>
        <v>0</v>
      </c>
      <c r="G278" s="636">
        <f t="shared" si="24"/>
        <v>0</v>
      </c>
      <c r="H278" s="636">
        <f t="shared" si="25"/>
        <v>73610</v>
      </c>
      <c r="I278" s="637" t="str">
        <f>VLOOKUP(H278,ORC.AUXILIAR!I:P,4,0)</f>
        <v>M</v>
      </c>
      <c r="J278" s="636">
        <f>VLOOKUP(H278,ORC.AUXILIAR!I:P,5,0)</f>
        <v>0</v>
      </c>
      <c r="K278" s="638">
        <f t="shared" si="26"/>
        <v>5866.3700000000008</v>
      </c>
      <c r="L278" s="639">
        <f>VLOOKUP(H278,ORC.AUXILIAR!I:P,7,0)</f>
        <v>1.19</v>
      </c>
      <c r="M278" s="639">
        <f>VLOOKUP(H278,ORC.AUXILIAR!I:P,8,0)</f>
        <v>0</v>
      </c>
      <c r="N278" s="639">
        <f t="shared" si="28"/>
        <v>0</v>
      </c>
      <c r="O278" s="639">
        <f t="shared" si="29"/>
        <v>10120589371.589279</v>
      </c>
      <c r="P278" s="640">
        <f t="shared" si="27"/>
        <v>0.98652035020494899</v>
      </c>
    </row>
    <row r="279" spans="1:16">
      <c r="A279" s="627">
        <v>6886.7</v>
      </c>
      <c r="B279" s="628">
        <v>2</v>
      </c>
      <c r="C279" s="629" t="s">
        <v>12992</v>
      </c>
      <c r="D279" s="628">
        <f>VLOOKUP(C279,ORC.AUXILIAR!I:J,2,0)</f>
        <v>0</v>
      </c>
      <c r="G279" s="636">
        <f t="shared" si="24"/>
        <v>0</v>
      </c>
      <c r="H279" s="636" t="str">
        <f t="shared" si="25"/>
        <v>TP.FºF°.33</v>
      </c>
      <c r="I279" s="637" t="str">
        <f>VLOOKUP(H279,ORC.AUXILIAR!I:P,4,0)</f>
        <v>pç</v>
      </c>
      <c r="J279" s="636">
        <f>VLOOKUP(H279,ORC.AUXILIAR!I:P,5,0)</f>
        <v>2</v>
      </c>
      <c r="K279" s="638">
        <f t="shared" si="26"/>
        <v>2</v>
      </c>
      <c r="L279" s="639">
        <f>VLOOKUP(H279,ORC.AUXILIAR!I:P,7,0)</f>
        <v>3443.35</v>
      </c>
      <c r="M279" s="639">
        <f>VLOOKUP(H279,ORC.AUXILIAR!I:P,8,0)</f>
        <v>6886.7</v>
      </c>
      <c r="N279" s="639">
        <f t="shared" si="28"/>
        <v>13773.4</v>
      </c>
      <c r="O279" s="639">
        <f t="shared" si="29"/>
        <v>10120603144.989279</v>
      </c>
      <c r="P279" s="640">
        <f t="shared" si="27"/>
        <v>0.98652169278875435</v>
      </c>
    </row>
    <row r="280" spans="1:16">
      <c r="A280" s="627">
        <v>6869.76</v>
      </c>
      <c r="B280" s="628">
        <v>192</v>
      </c>
      <c r="C280" s="629" t="s">
        <v>12934</v>
      </c>
      <c r="D280" s="628">
        <f>VLOOKUP(C280,ORC.AUXILIAR!I:J,2,0)</f>
        <v>0</v>
      </c>
      <c r="G280" s="636">
        <f t="shared" si="24"/>
        <v>0</v>
      </c>
      <c r="H280" s="636" t="str">
        <f t="shared" si="25"/>
        <v>RE.F°F°.28</v>
      </c>
      <c r="I280" s="637" t="str">
        <f>VLOOKUP(H280,ORC.AUXILIAR!I:P,4,0)</f>
        <v>pç</v>
      </c>
      <c r="J280" s="636">
        <f>VLOOKUP(H280,ORC.AUXILIAR!I:P,5,0)</f>
        <v>192</v>
      </c>
      <c r="K280" s="638">
        <f t="shared" si="26"/>
        <v>192</v>
      </c>
      <c r="L280" s="639">
        <f>VLOOKUP(H280,ORC.AUXILIAR!I:P,7,0)</f>
        <v>35.78</v>
      </c>
      <c r="M280" s="639">
        <f>VLOOKUP(H280,ORC.AUXILIAR!I:P,8,0)</f>
        <v>6869.76</v>
      </c>
      <c r="N280" s="639">
        <f t="shared" si="28"/>
        <v>1318993.9199999999</v>
      </c>
      <c r="O280" s="639">
        <f t="shared" si="29"/>
        <v>10121922138.909279</v>
      </c>
      <c r="P280" s="640">
        <f t="shared" si="27"/>
        <v>0.98665026379347565</v>
      </c>
    </row>
    <row r="281" spans="1:16">
      <c r="A281" s="627">
        <v>6852.48</v>
      </c>
      <c r="B281" s="628">
        <v>64</v>
      </c>
      <c r="C281" s="629" t="s">
        <v>13107</v>
      </c>
      <c r="D281" s="628">
        <f>VLOOKUP(C281,ORC.AUXILIAR!I:J,2,0)</f>
        <v>0</v>
      </c>
      <c r="G281" s="636">
        <f t="shared" si="24"/>
        <v>0</v>
      </c>
      <c r="H281" s="636" t="str">
        <f t="shared" si="25"/>
        <v>REATOR.FB.17</v>
      </c>
      <c r="I281" s="637" t="str">
        <f>VLOOKUP(H281,ORC.AUXILIAR!I:P,4,0)</f>
        <v>un</v>
      </c>
      <c r="J281" s="636">
        <f>VLOOKUP(H281,ORC.AUXILIAR!I:P,5,0)</f>
        <v>64</v>
      </c>
      <c r="K281" s="638">
        <f t="shared" si="26"/>
        <v>64</v>
      </c>
      <c r="L281" s="639">
        <f>VLOOKUP(H281,ORC.AUXILIAR!I:P,7,0)</f>
        <v>107.07</v>
      </c>
      <c r="M281" s="639">
        <f>VLOOKUP(H281,ORC.AUXILIAR!I:P,8,0)</f>
        <v>6852.48</v>
      </c>
      <c r="N281" s="639">
        <f t="shared" si="28"/>
        <v>438558.71999999997</v>
      </c>
      <c r="O281" s="639">
        <f t="shared" si="29"/>
        <v>10122360697.629278</v>
      </c>
      <c r="P281" s="640">
        <f t="shared" si="27"/>
        <v>0.98669301299375978</v>
      </c>
    </row>
    <row r="282" spans="1:16">
      <c r="A282" s="627">
        <v>6797.25</v>
      </c>
      <c r="B282" s="628">
        <v>3</v>
      </c>
      <c r="C282" s="629" t="s">
        <v>13860</v>
      </c>
      <c r="D282" s="628">
        <f>VLOOKUP(C282,ORC.AUXILIAR!I:J,2,0)</f>
        <v>0</v>
      </c>
      <c r="G282" s="636">
        <f t="shared" si="24"/>
        <v>0</v>
      </c>
      <c r="H282" s="636" t="str">
        <f t="shared" si="25"/>
        <v>INST.HIPOCL.31</v>
      </c>
      <c r="I282" s="637" t="str">
        <f>VLOOKUP(H282,ORC.AUXILIAR!I:P,4,0)</f>
        <v>un</v>
      </c>
      <c r="J282" s="636">
        <f>VLOOKUP(H282,ORC.AUXILIAR!I:P,5,0)</f>
        <v>3</v>
      </c>
      <c r="K282" s="638">
        <f t="shared" si="26"/>
        <v>3</v>
      </c>
      <c r="L282" s="639">
        <f>VLOOKUP(H282,ORC.AUXILIAR!I:P,7,0)</f>
        <v>2265.75</v>
      </c>
      <c r="M282" s="639">
        <f>VLOOKUP(H282,ORC.AUXILIAR!I:P,8,0)</f>
        <v>6797.25</v>
      </c>
      <c r="N282" s="639">
        <f t="shared" si="28"/>
        <v>20391.75</v>
      </c>
      <c r="O282" s="639">
        <f t="shared" si="29"/>
        <v>10122381089.379278</v>
      </c>
      <c r="P282" s="640">
        <f t="shared" si="27"/>
        <v>0.98669500071162997</v>
      </c>
    </row>
    <row r="283" spans="1:16">
      <c r="A283" s="627">
        <v>6788.52</v>
      </c>
      <c r="B283" s="628">
        <v>6228</v>
      </c>
      <c r="C283" s="629" t="s">
        <v>14372</v>
      </c>
      <c r="D283" s="628">
        <f>VLOOKUP(C283,ORC.AUXILIAR!I:J,2,0)</f>
        <v>0</v>
      </c>
      <c r="G283" s="636">
        <f t="shared" si="24"/>
        <v>0</v>
      </c>
      <c r="H283" s="636" t="str">
        <f t="shared" si="25"/>
        <v>REATOR.FB.20</v>
      </c>
      <c r="I283" s="637" t="str">
        <f>VLOOKUP(H283,ORC.AUXILIAR!I:P,4,0)</f>
        <v>pç</v>
      </c>
      <c r="J283" s="636">
        <f>VLOOKUP(H283,ORC.AUXILIAR!I:P,5,0)</f>
        <v>6228</v>
      </c>
      <c r="K283" s="638">
        <f t="shared" si="26"/>
        <v>6228</v>
      </c>
      <c r="L283" s="639">
        <f>VLOOKUP(H283,ORC.AUXILIAR!I:P,7,0)</f>
        <v>1.0900000000000001</v>
      </c>
      <c r="M283" s="639">
        <f>VLOOKUP(H283,ORC.AUXILIAR!I:P,8,0)</f>
        <v>6788.52</v>
      </c>
      <c r="N283" s="639">
        <f t="shared" si="28"/>
        <v>42278902.560000002</v>
      </c>
      <c r="O283" s="639">
        <f t="shared" si="29"/>
        <v>10164659991.939278</v>
      </c>
      <c r="P283" s="640">
        <f t="shared" si="27"/>
        <v>0.99081620316618846</v>
      </c>
    </row>
    <row r="284" spans="1:16">
      <c r="A284" s="627">
        <v>6766.08</v>
      </c>
      <c r="B284" s="628">
        <v>12</v>
      </c>
      <c r="C284" s="629" t="s">
        <v>13002</v>
      </c>
      <c r="D284" s="628">
        <f>VLOOKUP(C284,ORC.AUXILIAR!I:J,2,0)</f>
        <v>0</v>
      </c>
      <c r="G284" s="636">
        <f t="shared" si="24"/>
        <v>0</v>
      </c>
      <c r="H284" s="636" t="str">
        <f t="shared" si="25"/>
        <v>RE.F°F°.41</v>
      </c>
      <c r="I284" s="637" t="str">
        <f>VLOOKUP(H284,ORC.AUXILIAR!I:P,4,0)</f>
        <v>pç</v>
      </c>
      <c r="J284" s="636">
        <f>VLOOKUP(H284,ORC.AUXILIAR!I:P,5,0)</f>
        <v>12</v>
      </c>
      <c r="K284" s="638">
        <f t="shared" si="26"/>
        <v>12</v>
      </c>
      <c r="L284" s="639">
        <f>VLOOKUP(H284,ORC.AUXILIAR!I:P,7,0)</f>
        <v>563.84</v>
      </c>
      <c r="M284" s="639">
        <f>VLOOKUP(H284,ORC.AUXILIAR!I:P,8,0)</f>
        <v>6766.08</v>
      </c>
      <c r="N284" s="639">
        <f t="shared" si="28"/>
        <v>81192.959999999992</v>
      </c>
      <c r="O284" s="639">
        <f t="shared" si="29"/>
        <v>10164741184.899277</v>
      </c>
      <c r="P284" s="640">
        <f t="shared" si="27"/>
        <v>0.99082411757753264</v>
      </c>
    </row>
    <row r="285" spans="1:16">
      <c r="A285" s="627">
        <v>6667.21</v>
      </c>
      <c r="B285" s="628">
        <v>1</v>
      </c>
      <c r="C285" s="629" t="s">
        <v>14176</v>
      </c>
      <c r="D285" s="628">
        <f>VLOOKUP(C285,ORC.AUXILIAR!I:J,2,0)</f>
        <v>0</v>
      </c>
      <c r="G285" s="636">
        <f t="shared" si="24"/>
        <v>0</v>
      </c>
      <c r="H285" s="636" t="str">
        <f t="shared" si="25"/>
        <v>CT.FºFº.13</v>
      </c>
      <c r="I285" s="637" t="str">
        <f>VLOOKUP(H285,ORC.AUXILIAR!I:P,4,0)</f>
        <v>un</v>
      </c>
      <c r="J285" s="636">
        <f>VLOOKUP(H285,ORC.AUXILIAR!I:P,5,0)</f>
        <v>1</v>
      </c>
      <c r="K285" s="638">
        <f t="shared" si="26"/>
        <v>1</v>
      </c>
      <c r="L285" s="639">
        <f>VLOOKUP(H285,ORC.AUXILIAR!I:P,7,0)</f>
        <v>6667.21</v>
      </c>
      <c r="M285" s="639">
        <f>VLOOKUP(H285,ORC.AUXILIAR!I:P,8,0)</f>
        <v>6667.21</v>
      </c>
      <c r="N285" s="639">
        <f t="shared" si="28"/>
        <v>6667.21</v>
      </c>
      <c r="O285" s="639">
        <f t="shared" si="29"/>
        <v>10164747852.109276</v>
      </c>
      <c r="P285" s="640">
        <f t="shared" si="27"/>
        <v>0.99082476747430259</v>
      </c>
    </row>
    <row r="286" spans="1:16">
      <c r="A286" s="627">
        <v>6561.1</v>
      </c>
      <c r="B286" s="628">
        <v>35</v>
      </c>
      <c r="C286" s="629">
        <v>93002</v>
      </c>
      <c r="D286" s="628">
        <f>VLOOKUP(C286,ORC.AUXILIAR!I:J,2,0)</f>
        <v>0</v>
      </c>
      <c r="G286" s="636">
        <f t="shared" si="24"/>
        <v>0</v>
      </c>
      <c r="H286" s="636">
        <f t="shared" si="25"/>
        <v>93002</v>
      </c>
      <c r="I286" s="637" t="str">
        <f>VLOOKUP(H286,ORC.AUXILIAR!I:P,4,0)</f>
        <v>m</v>
      </c>
      <c r="J286" s="636">
        <f>VLOOKUP(H286,ORC.AUXILIAR!I:P,5,0)</f>
        <v>35</v>
      </c>
      <c r="K286" s="638">
        <f t="shared" si="26"/>
        <v>35</v>
      </c>
      <c r="L286" s="639">
        <f>VLOOKUP(H286,ORC.AUXILIAR!I:P,7,0)</f>
        <v>187.46</v>
      </c>
      <c r="M286" s="639">
        <f>VLOOKUP(H286,ORC.AUXILIAR!I:P,8,0)</f>
        <v>6561.1</v>
      </c>
      <c r="N286" s="639">
        <f t="shared" si="28"/>
        <v>229638.5</v>
      </c>
      <c r="O286" s="639">
        <f t="shared" si="29"/>
        <v>10164977490.609276</v>
      </c>
      <c r="P286" s="640">
        <f t="shared" si="27"/>
        <v>0.99084715184789218</v>
      </c>
    </row>
    <row r="287" spans="1:16">
      <c r="A287" s="627">
        <v>6523.16</v>
      </c>
      <c r="B287" s="628">
        <v>1</v>
      </c>
      <c r="C287" s="629" t="s">
        <v>13725</v>
      </c>
      <c r="D287" s="628">
        <f>VLOOKUP(C287,ORC.AUXILIAR!I:J,2,0)</f>
        <v>0</v>
      </c>
      <c r="G287" s="636">
        <f t="shared" si="24"/>
        <v>0</v>
      </c>
      <c r="H287" s="636" t="str">
        <f t="shared" si="25"/>
        <v>QCM.EEE.25</v>
      </c>
      <c r="I287" s="637" t="str">
        <f>VLOOKUP(H287,ORC.AUXILIAR!I:P,4,0)</f>
        <v>Un</v>
      </c>
      <c r="J287" s="636">
        <f>VLOOKUP(H287,ORC.AUXILIAR!I:P,5,0)</f>
        <v>1</v>
      </c>
      <c r="K287" s="638">
        <f t="shared" si="26"/>
        <v>1</v>
      </c>
      <c r="L287" s="639">
        <f>VLOOKUP(H287,ORC.AUXILIAR!I:P,7,0)</f>
        <v>6523.16</v>
      </c>
      <c r="M287" s="639">
        <f>VLOOKUP(H287,ORC.AUXILIAR!I:P,8,0)</f>
        <v>6523.16</v>
      </c>
      <c r="N287" s="639">
        <f t="shared" si="28"/>
        <v>6523.16</v>
      </c>
      <c r="O287" s="639">
        <f t="shared" si="29"/>
        <v>10164984013.769276</v>
      </c>
      <c r="P287" s="640">
        <f t="shared" si="27"/>
        <v>0.99084778770316217</v>
      </c>
    </row>
    <row r="288" spans="1:16">
      <c r="A288" s="627">
        <v>6472.64</v>
      </c>
      <c r="B288" s="628">
        <v>32</v>
      </c>
      <c r="C288" s="629" t="s">
        <v>12875</v>
      </c>
      <c r="D288" s="628">
        <f>VLOOKUP(C288,ORC.AUXILIAR!I:J,2,0)</f>
        <v>0</v>
      </c>
      <c r="G288" s="636">
        <f t="shared" si="24"/>
        <v>0</v>
      </c>
      <c r="H288" s="636" t="str">
        <f t="shared" si="25"/>
        <v>RE.F°F°.10</v>
      </c>
      <c r="I288" s="637" t="str">
        <f>VLOOKUP(H288,ORC.AUXILIAR!I:P,4,0)</f>
        <v>pç</v>
      </c>
      <c r="J288" s="636">
        <f>VLOOKUP(H288,ORC.AUXILIAR!I:P,5,0)</f>
        <v>32</v>
      </c>
      <c r="K288" s="638">
        <f t="shared" si="26"/>
        <v>32</v>
      </c>
      <c r="L288" s="639">
        <f>VLOOKUP(H288,ORC.AUXILIAR!I:P,7,0)</f>
        <v>202.27</v>
      </c>
      <c r="M288" s="639">
        <f>VLOOKUP(H288,ORC.AUXILIAR!I:P,8,0)</f>
        <v>6472.64</v>
      </c>
      <c r="N288" s="639">
        <f t="shared" si="28"/>
        <v>207124.48000000001</v>
      </c>
      <c r="O288" s="639">
        <f t="shared" si="29"/>
        <v>10165191138.249275</v>
      </c>
      <c r="P288" s="640">
        <f t="shared" si="27"/>
        <v>0.99086797748727884</v>
      </c>
    </row>
    <row r="289" spans="1:16">
      <c r="A289" s="627">
        <v>6459.5399999999991</v>
      </c>
      <c r="B289" s="628">
        <v>6</v>
      </c>
      <c r="C289" s="629" t="s">
        <v>12956</v>
      </c>
      <c r="D289" s="628">
        <f>VLOOKUP(C289,ORC.AUXILIAR!I:J,2,0)</f>
        <v>0</v>
      </c>
      <c r="G289" s="636">
        <f t="shared" si="24"/>
        <v>0</v>
      </c>
      <c r="H289" s="636" t="str">
        <f t="shared" si="25"/>
        <v>TP.FºF°.23</v>
      </c>
      <c r="I289" s="637" t="str">
        <f>VLOOKUP(H289,ORC.AUXILIAR!I:P,4,0)</f>
        <v>pç</v>
      </c>
      <c r="J289" s="636">
        <f>VLOOKUP(H289,ORC.AUXILIAR!I:P,5,0)</f>
        <v>6</v>
      </c>
      <c r="K289" s="638">
        <f t="shared" si="26"/>
        <v>6</v>
      </c>
      <c r="L289" s="639">
        <f>VLOOKUP(H289,ORC.AUXILIAR!I:P,7,0)</f>
        <v>1076.5899999999999</v>
      </c>
      <c r="M289" s="639">
        <f>VLOOKUP(H289,ORC.AUXILIAR!I:P,8,0)</f>
        <v>6459.54</v>
      </c>
      <c r="N289" s="639">
        <f t="shared" si="28"/>
        <v>38757.24</v>
      </c>
      <c r="O289" s="639">
        <f t="shared" si="29"/>
        <v>10165229895.489275</v>
      </c>
      <c r="P289" s="640">
        <f t="shared" si="27"/>
        <v>0.99087175541014216</v>
      </c>
    </row>
    <row r="290" spans="1:16">
      <c r="A290" s="627">
        <v>6328.7999999999993</v>
      </c>
      <c r="B290" s="628">
        <v>12</v>
      </c>
      <c r="C290" s="629" t="s">
        <v>12851</v>
      </c>
      <c r="D290" s="628">
        <f>VLOOKUP(C290,ORC.AUXILIAR!I:J,2,0)</f>
        <v>0</v>
      </c>
      <c r="G290" s="636">
        <f t="shared" si="24"/>
        <v>0</v>
      </c>
      <c r="H290" s="636" t="str">
        <f t="shared" si="25"/>
        <v>RE.F°F°.06</v>
      </c>
      <c r="I290" s="637" t="str">
        <f>VLOOKUP(H290,ORC.AUXILIAR!I:P,4,0)</f>
        <v>pç</v>
      </c>
      <c r="J290" s="636">
        <f>VLOOKUP(H290,ORC.AUXILIAR!I:P,5,0)</f>
        <v>12</v>
      </c>
      <c r="K290" s="638">
        <f t="shared" si="26"/>
        <v>12</v>
      </c>
      <c r="L290" s="639">
        <f>VLOOKUP(H290,ORC.AUXILIAR!I:P,7,0)</f>
        <v>527.4</v>
      </c>
      <c r="M290" s="639">
        <f>VLOOKUP(H290,ORC.AUXILIAR!I:P,8,0)</f>
        <v>6328.8</v>
      </c>
      <c r="N290" s="639">
        <f t="shared" si="28"/>
        <v>75945.600000000006</v>
      </c>
      <c r="O290" s="639">
        <f t="shared" si="29"/>
        <v>10165305841.089275</v>
      </c>
      <c r="P290" s="640">
        <f t="shared" si="27"/>
        <v>0.99087915832682594</v>
      </c>
    </row>
    <row r="291" spans="1:16">
      <c r="A291" s="627">
        <v>6307.22</v>
      </c>
      <c r="B291" s="628">
        <v>2</v>
      </c>
      <c r="C291" s="629" t="s">
        <v>12978</v>
      </c>
      <c r="D291" s="628">
        <f>VLOOKUP(C291,ORC.AUXILIAR!I:J,2,0)</f>
        <v>0</v>
      </c>
      <c r="G291" s="636">
        <f t="shared" si="24"/>
        <v>0</v>
      </c>
      <c r="H291" s="636" t="str">
        <f t="shared" si="25"/>
        <v>TP.FºF°.30</v>
      </c>
      <c r="I291" s="637" t="str">
        <f>VLOOKUP(H291,ORC.AUXILIAR!I:P,4,0)</f>
        <v>pç</v>
      </c>
      <c r="J291" s="636">
        <f>VLOOKUP(H291,ORC.AUXILIAR!I:P,5,0)</f>
        <v>2</v>
      </c>
      <c r="K291" s="638">
        <f t="shared" si="26"/>
        <v>2</v>
      </c>
      <c r="L291" s="639">
        <f>VLOOKUP(H291,ORC.AUXILIAR!I:P,7,0)</f>
        <v>3153.61</v>
      </c>
      <c r="M291" s="639">
        <f>VLOOKUP(H291,ORC.AUXILIAR!I:P,8,0)</f>
        <v>6307.22</v>
      </c>
      <c r="N291" s="639">
        <f t="shared" si="28"/>
        <v>12614.44</v>
      </c>
      <c r="O291" s="639">
        <f t="shared" si="29"/>
        <v>10165318455.529276</v>
      </c>
      <c r="P291" s="640">
        <f t="shared" si="27"/>
        <v>0.99088038793918454</v>
      </c>
    </row>
    <row r="292" spans="1:16">
      <c r="A292" s="627">
        <v>6247.2000000000007</v>
      </c>
      <c r="B292" s="628">
        <v>285</v>
      </c>
      <c r="C292" s="629">
        <v>2500</v>
      </c>
      <c r="D292" s="628">
        <f>VLOOKUP(C292,ORC.AUXILIAR!I:J,2,0)</f>
        <v>0</v>
      </c>
      <c r="G292" s="636">
        <f t="shared" si="24"/>
        <v>0</v>
      </c>
      <c r="H292" s="636">
        <f t="shared" si="25"/>
        <v>2500</v>
      </c>
      <c r="I292" s="637" t="str">
        <f>VLOOKUP(H292,ORC.AUXILIAR!I:P,4,0)</f>
        <v>m</v>
      </c>
      <c r="J292" s="636">
        <f>VLOOKUP(H292,ORC.AUXILIAR!I:P,5,0)</f>
        <v>285</v>
      </c>
      <c r="K292" s="638">
        <f t="shared" si="26"/>
        <v>285</v>
      </c>
      <c r="L292" s="639">
        <f>VLOOKUP(H292,ORC.AUXILIAR!I:P,7,0)</f>
        <v>21.92</v>
      </c>
      <c r="M292" s="639">
        <f>VLOOKUP(H292,ORC.AUXILIAR!I:P,8,0)</f>
        <v>6247.2</v>
      </c>
      <c r="N292" s="639">
        <f t="shared" si="28"/>
        <v>1780452</v>
      </c>
      <c r="O292" s="639">
        <f t="shared" si="29"/>
        <v>10167098907.529276</v>
      </c>
      <c r="P292" s="640">
        <f t="shared" si="27"/>
        <v>0.99105394029528482</v>
      </c>
    </row>
    <row r="293" spans="1:16">
      <c r="A293" s="627">
        <v>6216.9396999999999</v>
      </c>
      <c r="B293" s="628">
        <v>642.91</v>
      </c>
      <c r="C293" s="629" t="s">
        <v>16604</v>
      </c>
      <c r="D293" s="628">
        <f>VLOOKUP(C293,ORC.AUXILIAR!I:J,2,0)</f>
        <v>0</v>
      </c>
      <c r="G293" s="636">
        <f t="shared" si="24"/>
        <v>0</v>
      </c>
      <c r="H293" s="636" t="str">
        <f t="shared" si="25"/>
        <v>74106/1</v>
      </c>
      <c r="I293" s="637" t="str">
        <f>VLOOKUP(H293,ORC.AUXILIAR!I:P,4,0)</f>
        <v>M2</v>
      </c>
      <c r="J293" s="636">
        <f>VLOOKUP(H293,ORC.AUXILIAR!I:P,5,0)</f>
        <v>121.6</v>
      </c>
      <c r="K293" s="638">
        <f t="shared" si="26"/>
        <v>642.91</v>
      </c>
      <c r="L293" s="639">
        <f>VLOOKUP(H293,ORC.AUXILIAR!I:P,7,0)</f>
        <v>9.67</v>
      </c>
      <c r="M293" s="639">
        <f>VLOOKUP(H293,ORC.AUXILIAR!I:P,8,0)</f>
        <v>1175.8699999999999</v>
      </c>
      <c r="N293" s="639">
        <f t="shared" si="28"/>
        <v>755978.58169999986</v>
      </c>
      <c r="O293" s="639">
        <f t="shared" si="29"/>
        <v>10167854886.110975</v>
      </c>
      <c r="P293" s="640">
        <f t="shared" si="27"/>
        <v>0.99112763049531005</v>
      </c>
    </row>
    <row r="294" spans="1:16">
      <c r="A294" s="627">
        <v>6201.12</v>
      </c>
      <c r="B294" s="628">
        <v>48</v>
      </c>
      <c r="C294" s="629" t="s">
        <v>13163</v>
      </c>
      <c r="D294" s="628">
        <f>VLOOKUP(C294,ORC.AUXILIAR!I:J,2,0)</f>
        <v>0</v>
      </c>
      <c r="G294" s="636">
        <f t="shared" si="24"/>
        <v>0</v>
      </c>
      <c r="H294" s="636" t="str">
        <f t="shared" si="25"/>
        <v>RE.AÇO.05</v>
      </c>
      <c r="I294" s="637" t="str">
        <f>VLOOKUP(H294,ORC.AUXILIAR!I:P,4,0)</f>
        <v>pç</v>
      </c>
      <c r="J294" s="636">
        <f>VLOOKUP(H294,ORC.AUXILIAR!I:P,5,0)</f>
        <v>48</v>
      </c>
      <c r="K294" s="638">
        <f t="shared" si="26"/>
        <v>48</v>
      </c>
      <c r="L294" s="639">
        <f>VLOOKUP(H294,ORC.AUXILIAR!I:P,7,0)</f>
        <v>129.19</v>
      </c>
      <c r="M294" s="639">
        <f>VLOOKUP(H294,ORC.AUXILIAR!I:P,8,0)</f>
        <v>6201.12</v>
      </c>
      <c r="N294" s="639">
        <f t="shared" si="28"/>
        <v>297653.76000000001</v>
      </c>
      <c r="O294" s="639">
        <f t="shared" si="29"/>
        <v>10168152539.870975</v>
      </c>
      <c r="P294" s="640">
        <f t="shared" si="27"/>
        <v>0.99115664476323195</v>
      </c>
    </row>
    <row r="295" spans="1:16">
      <c r="A295" s="627">
        <v>6119.68</v>
      </c>
      <c r="B295" s="628">
        <v>64</v>
      </c>
      <c r="C295" s="629" t="s">
        <v>14368</v>
      </c>
      <c r="D295" s="628">
        <f>VLOOKUP(C295,ORC.AUXILIAR!I:J,2,0)</f>
        <v>0</v>
      </c>
      <c r="G295" s="636">
        <f t="shared" si="24"/>
        <v>0</v>
      </c>
      <c r="H295" s="636" t="str">
        <f t="shared" si="25"/>
        <v>REATOR.FB.18</v>
      </c>
      <c r="I295" s="637" t="str">
        <f>VLOOKUP(H295,ORC.AUXILIAR!I:P,4,0)</f>
        <v>un</v>
      </c>
      <c r="J295" s="636">
        <f>VLOOKUP(H295,ORC.AUXILIAR!I:P,5,0)</f>
        <v>64</v>
      </c>
      <c r="K295" s="638">
        <f t="shared" si="26"/>
        <v>64</v>
      </c>
      <c r="L295" s="639">
        <f>VLOOKUP(H295,ORC.AUXILIAR!I:P,7,0)</f>
        <v>95.62</v>
      </c>
      <c r="M295" s="639">
        <f>VLOOKUP(H295,ORC.AUXILIAR!I:P,8,0)</f>
        <v>6119.68</v>
      </c>
      <c r="N295" s="639">
        <f t="shared" si="28"/>
        <v>391659.52000000002</v>
      </c>
      <c r="O295" s="639">
        <f t="shared" si="29"/>
        <v>10168544199.390976</v>
      </c>
      <c r="P295" s="640">
        <f t="shared" si="27"/>
        <v>0.99119482239030943</v>
      </c>
    </row>
    <row r="296" spans="1:16">
      <c r="A296" s="627">
        <v>6022.94</v>
      </c>
      <c r="B296" s="628">
        <v>22</v>
      </c>
      <c r="C296" s="629">
        <v>25880</v>
      </c>
      <c r="D296" s="628">
        <f>VLOOKUP(C296,ORC.AUXILIAR!I:J,2,0)</f>
        <v>0</v>
      </c>
      <c r="G296" s="636">
        <f t="shared" si="24"/>
        <v>0</v>
      </c>
      <c r="H296" s="636">
        <f t="shared" si="25"/>
        <v>25880</v>
      </c>
      <c r="I296" s="637" t="str">
        <f>VLOOKUP(H296,ORC.AUXILIAR!I:P,4,0)</f>
        <v>m</v>
      </c>
      <c r="J296" s="636">
        <f>VLOOKUP(H296,ORC.AUXILIAR!I:P,5,0)</f>
        <v>22</v>
      </c>
      <c r="K296" s="638">
        <f t="shared" si="26"/>
        <v>22</v>
      </c>
      <c r="L296" s="639">
        <f>VLOOKUP(H296,ORC.AUXILIAR!I:P,7,0)</f>
        <v>273.77</v>
      </c>
      <c r="M296" s="639">
        <f>VLOOKUP(H296,ORC.AUXILIAR!I:P,8,0)</f>
        <v>6022.94</v>
      </c>
      <c r="N296" s="639">
        <f t="shared" si="28"/>
        <v>132504.68</v>
      </c>
      <c r="O296" s="639">
        <f t="shared" si="29"/>
        <v>10168676704.070976</v>
      </c>
      <c r="P296" s="640">
        <f t="shared" si="27"/>
        <v>0.99120773849218036</v>
      </c>
    </row>
    <row r="297" spans="1:16">
      <c r="A297" s="627">
        <v>5985.6</v>
      </c>
      <c r="B297" s="628">
        <v>96</v>
      </c>
      <c r="C297" s="629" t="s">
        <v>12841</v>
      </c>
      <c r="D297" s="628">
        <f>VLOOKUP(C297,ORC.AUXILIAR!I:J,2,0)</f>
        <v>0</v>
      </c>
      <c r="G297" s="636">
        <f t="shared" si="24"/>
        <v>0</v>
      </c>
      <c r="H297" s="636" t="str">
        <f t="shared" si="25"/>
        <v>RE.F°F°.02</v>
      </c>
      <c r="I297" s="637" t="str">
        <f>VLOOKUP(H297,ORC.AUXILIAR!I:P,4,0)</f>
        <v>pç</v>
      </c>
      <c r="J297" s="636">
        <f>VLOOKUP(H297,ORC.AUXILIAR!I:P,5,0)</f>
        <v>96</v>
      </c>
      <c r="K297" s="638">
        <f t="shared" si="26"/>
        <v>96</v>
      </c>
      <c r="L297" s="639">
        <f>VLOOKUP(H297,ORC.AUXILIAR!I:P,7,0)</f>
        <v>62.35</v>
      </c>
      <c r="M297" s="639">
        <f>VLOOKUP(H297,ORC.AUXILIAR!I:P,8,0)</f>
        <v>5985.6</v>
      </c>
      <c r="N297" s="639">
        <f t="shared" si="28"/>
        <v>574617.60000000009</v>
      </c>
      <c r="O297" s="639">
        <f t="shared" si="29"/>
        <v>10169251321.670977</v>
      </c>
      <c r="P297" s="640">
        <f t="shared" si="27"/>
        <v>0.99126375024556479</v>
      </c>
    </row>
    <row r="298" spans="1:16">
      <c r="A298" s="627">
        <v>5954.6759999999995</v>
      </c>
      <c r="B298" s="628">
        <v>58.8</v>
      </c>
      <c r="C298" s="629">
        <v>407</v>
      </c>
      <c r="D298" s="628">
        <f>VLOOKUP(C298,ORC.AUXILIAR!I:J,2,0)</f>
        <v>0</v>
      </c>
      <c r="G298" s="636">
        <f t="shared" si="24"/>
        <v>0</v>
      </c>
      <c r="H298" s="636">
        <f t="shared" si="25"/>
        <v>407</v>
      </c>
      <c r="I298" s="637" t="str">
        <f>VLOOKUP(H298,ORC.AUXILIAR!I:P,4,0)</f>
        <v>M2</v>
      </c>
      <c r="J298" s="636">
        <f>VLOOKUP(H298,ORC.AUXILIAR!I:P,5,0)</f>
        <v>58.8</v>
      </c>
      <c r="K298" s="638">
        <f t="shared" si="26"/>
        <v>58.8</v>
      </c>
      <c r="L298" s="639">
        <f>VLOOKUP(H298,ORC.AUXILIAR!I:P,7,0)</f>
        <v>101.27</v>
      </c>
      <c r="M298" s="639">
        <f>VLOOKUP(H298,ORC.AUXILIAR!I:P,8,0)</f>
        <v>5954.68</v>
      </c>
      <c r="N298" s="639">
        <f t="shared" si="28"/>
        <v>350135.18400000001</v>
      </c>
      <c r="O298" s="639">
        <f t="shared" si="29"/>
        <v>10169601456.854977</v>
      </c>
      <c r="P298" s="640">
        <f t="shared" si="27"/>
        <v>0.99129788022274856</v>
      </c>
    </row>
    <row r="299" spans="1:16">
      <c r="A299" s="627">
        <v>5942.8883999999998</v>
      </c>
      <c r="B299" s="628">
        <v>11.59</v>
      </c>
      <c r="C299" s="629">
        <v>94570</v>
      </c>
      <c r="D299" s="628">
        <f>VLOOKUP(C299,ORC.AUXILIAR!I:J,2,0)</f>
        <v>0</v>
      </c>
      <c r="G299" s="636">
        <f t="shared" si="24"/>
        <v>0</v>
      </c>
      <c r="H299" s="636">
        <f t="shared" si="25"/>
        <v>94570</v>
      </c>
      <c r="I299" s="637" t="str">
        <f>VLOOKUP(H299,ORC.AUXILIAR!I:P,4,0)</f>
        <v>M2</v>
      </c>
      <c r="J299" s="636">
        <f>VLOOKUP(H299,ORC.AUXILIAR!I:P,5,0)</f>
        <v>6.47</v>
      </c>
      <c r="K299" s="638">
        <f t="shared" si="26"/>
        <v>11.59</v>
      </c>
      <c r="L299" s="639">
        <f>VLOOKUP(H299,ORC.AUXILIAR!I:P,7,0)</f>
        <v>512.76</v>
      </c>
      <c r="M299" s="639">
        <f>VLOOKUP(H299,ORC.AUXILIAR!I:P,8,0)</f>
        <v>3317.56</v>
      </c>
      <c r="N299" s="639">
        <f t="shared" si="28"/>
        <v>38450.520400000001</v>
      </c>
      <c r="O299" s="639">
        <f t="shared" si="29"/>
        <v>10169639907.375376</v>
      </c>
      <c r="P299" s="640">
        <f t="shared" si="27"/>
        <v>0.9913016282476369</v>
      </c>
    </row>
    <row r="300" spans="1:16">
      <c r="A300" s="627">
        <v>5940</v>
      </c>
      <c r="B300" s="628">
        <v>600</v>
      </c>
      <c r="C300" s="629" t="s">
        <v>13407</v>
      </c>
      <c r="D300" s="628">
        <f>VLOOKUP(C300,ORC.AUXILIAR!I:J,2,0)</f>
        <v>0</v>
      </c>
      <c r="G300" s="636">
        <f t="shared" si="24"/>
        <v>0</v>
      </c>
      <c r="H300" s="636" t="str">
        <f t="shared" si="25"/>
        <v>INS.ELET.35</v>
      </c>
      <c r="I300" s="637" t="str">
        <f>VLOOKUP(H300,ORC.AUXILIAR!I:P,4,0)</f>
        <v>m</v>
      </c>
      <c r="J300" s="636">
        <f>VLOOKUP(H300,ORC.AUXILIAR!I:P,5,0)</f>
        <v>600</v>
      </c>
      <c r="K300" s="638">
        <f t="shared" si="26"/>
        <v>600</v>
      </c>
      <c r="L300" s="639">
        <f>VLOOKUP(H300,ORC.AUXILIAR!I:P,7,0)</f>
        <v>9.9</v>
      </c>
      <c r="M300" s="639">
        <f>VLOOKUP(H300,ORC.AUXILIAR!I:P,8,0)</f>
        <v>5940</v>
      </c>
      <c r="N300" s="639">
        <f t="shared" si="28"/>
        <v>3564000</v>
      </c>
      <c r="O300" s="639">
        <f t="shared" si="29"/>
        <v>10173203907.375376</v>
      </c>
      <c r="P300" s="640">
        <f t="shared" si="27"/>
        <v>0.99164903474730193</v>
      </c>
    </row>
    <row r="301" spans="1:16">
      <c r="A301" s="627">
        <v>5909.4000000000005</v>
      </c>
      <c r="B301" s="628">
        <v>36</v>
      </c>
      <c r="C301" s="629" t="s">
        <v>14414</v>
      </c>
      <c r="D301" s="628">
        <f>VLOOKUP(C301,ORC.AUXILIAR!I:J,2,0)</f>
        <v>0</v>
      </c>
      <c r="G301" s="636">
        <f t="shared" si="24"/>
        <v>0</v>
      </c>
      <c r="H301" s="636" t="str">
        <f t="shared" si="25"/>
        <v>REATOR.FB.41</v>
      </c>
      <c r="I301" s="637" t="str">
        <f>VLOOKUP(H301,ORC.AUXILIAR!I:P,4,0)</f>
        <v>un</v>
      </c>
      <c r="J301" s="636">
        <f>VLOOKUP(H301,ORC.AUXILIAR!I:P,5,0)</f>
        <v>36</v>
      </c>
      <c r="K301" s="638">
        <f t="shared" si="26"/>
        <v>36</v>
      </c>
      <c r="L301" s="639">
        <f>VLOOKUP(H301,ORC.AUXILIAR!I:P,7,0)</f>
        <v>164.15</v>
      </c>
      <c r="M301" s="639">
        <f>VLOOKUP(H301,ORC.AUXILIAR!I:P,8,0)</f>
        <v>5909.4</v>
      </c>
      <c r="N301" s="639">
        <f t="shared" si="28"/>
        <v>212738.4</v>
      </c>
      <c r="O301" s="639">
        <f t="shared" si="29"/>
        <v>10173416645.775375</v>
      </c>
      <c r="P301" s="640">
        <f t="shared" si="27"/>
        <v>0.99166977175709092</v>
      </c>
    </row>
    <row r="302" spans="1:16">
      <c r="A302" s="627">
        <v>5885.33</v>
      </c>
      <c r="B302" s="628">
        <v>1</v>
      </c>
      <c r="C302" s="629" t="s">
        <v>12950</v>
      </c>
      <c r="D302" s="628">
        <f>VLOOKUP(C302,ORC.AUXILIAR!I:J,2,0)</f>
        <v>0</v>
      </c>
      <c r="G302" s="636">
        <f t="shared" si="24"/>
        <v>0</v>
      </c>
      <c r="H302" s="636" t="str">
        <f t="shared" si="25"/>
        <v>TP.FºF°.20</v>
      </c>
      <c r="I302" s="637" t="str">
        <f>VLOOKUP(H302,ORC.AUXILIAR!I:P,4,0)</f>
        <v>pç</v>
      </c>
      <c r="J302" s="636">
        <f>VLOOKUP(H302,ORC.AUXILIAR!I:P,5,0)</f>
        <v>1</v>
      </c>
      <c r="K302" s="638">
        <f t="shared" si="26"/>
        <v>1</v>
      </c>
      <c r="L302" s="639">
        <f>VLOOKUP(H302,ORC.AUXILIAR!I:P,7,0)</f>
        <v>5885.33</v>
      </c>
      <c r="M302" s="639">
        <f>VLOOKUP(H302,ORC.AUXILIAR!I:P,8,0)</f>
        <v>5885.33</v>
      </c>
      <c r="N302" s="639">
        <f t="shared" si="28"/>
        <v>5885.33</v>
      </c>
      <c r="O302" s="639">
        <f t="shared" si="29"/>
        <v>10173422531.105375</v>
      </c>
      <c r="P302" s="640">
        <f t="shared" si="27"/>
        <v>0.99167034543887955</v>
      </c>
    </row>
    <row r="303" spans="1:16">
      <c r="A303" s="627">
        <v>5732.4</v>
      </c>
      <c r="B303" s="628">
        <v>8</v>
      </c>
      <c r="C303" s="629" t="s">
        <v>13754</v>
      </c>
      <c r="D303" s="628">
        <f>VLOOKUP(C303,ORC.AUXILIAR!I:J,2,0)</f>
        <v>0</v>
      </c>
      <c r="G303" s="636">
        <f t="shared" si="24"/>
        <v>0</v>
      </c>
      <c r="H303" s="636" t="str">
        <f t="shared" si="25"/>
        <v>QCM.EEE.43</v>
      </c>
      <c r="I303" s="637" t="str">
        <f>VLOOKUP(H303,ORC.AUXILIAR!I:P,4,0)</f>
        <v>Cj</v>
      </c>
      <c r="J303" s="636">
        <f>VLOOKUP(H303,ORC.AUXILIAR!I:P,5,0)</f>
        <v>8</v>
      </c>
      <c r="K303" s="638">
        <f t="shared" si="26"/>
        <v>8</v>
      </c>
      <c r="L303" s="639">
        <f>VLOOKUP(H303,ORC.AUXILIAR!I:P,7,0)</f>
        <v>716.55</v>
      </c>
      <c r="M303" s="639">
        <f>VLOOKUP(H303,ORC.AUXILIAR!I:P,8,0)</f>
        <v>5732.4</v>
      </c>
      <c r="N303" s="639">
        <f t="shared" si="28"/>
        <v>45859.199999999997</v>
      </c>
      <c r="O303" s="639">
        <f t="shared" si="29"/>
        <v>10173468390.305376</v>
      </c>
      <c r="P303" s="640">
        <f t="shared" si="27"/>
        <v>0.99167481563645243</v>
      </c>
    </row>
    <row r="304" spans="1:16">
      <c r="A304" s="627">
        <v>5656.65</v>
      </c>
      <c r="B304" s="628">
        <v>5</v>
      </c>
      <c r="C304" s="629" t="s">
        <v>14182</v>
      </c>
      <c r="D304" s="628">
        <f>VLOOKUP(C304,ORC.AUXILIAR!I:J,2,0)</f>
        <v>0</v>
      </c>
      <c r="G304" s="636">
        <f t="shared" si="24"/>
        <v>0</v>
      </c>
      <c r="H304" s="636" t="str">
        <f t="shared" si="25"/>
        <v>CT.FºFº.01</v>
      </c>
      <c r="I304" s="637" t="str">
        <f>VLOOKUP(H304,ORC.AUXILIAR!I:P,4,0)</f>
        <v>un</v>
      </c>
      <c r="J304" s="636">
        <f>VLOOKUP(H304,ORC.AUXILIAR!I:P,5,0)</f>
        <v>3</v>
      </c>
      <c r="K304" s="638">
        <f t="shared" si="26"/>
        <v>5</v>
      </c>
      <c r="L304" s="639">
        <f>VLOOKUP(H304,ORC.AUXILIAR!I:P,7,0)</f>
        <v>1131.33</v>
      </c>
      <c r="M304" s="639">
        <f>VLOOKUP(H304,ORC.AUXILIAR!I:P,8,0)</f>
        <v>3393.99</v>
      </c>
      <c r="N304" s="639">
        <f t="shared" si="28"/>
        <v>16969.949999999997</v>
      </c>
      <c r="O304" s="639">
        <f t="shared" si="29"/>
        <v>10173485360.255377</v>
      </c>
      <c r="P304" s="640">
        <f t="shared" si="27"/>
        <v>0.99167646980899149</v>
      </c>
    </row>
    <row r="305" spans="1:16">
      <c r="A305" s="627">
        <v>5640.02</v>
      </c>
      <c r="B305" s="628">
        <v>2</v>
      </c>
      <c r="C305" s="629" t="s">
        <v>13283</v>
      </c>
      <c r="D305" s="628">
        <f>VLOOKUP(C305,ORC.AUXILIAR!I:J,2,0)</f>
        <v>0</v>
      </c>
      <c r="G305" s="636">
        <f t="shared" si="24"/>
        <v>0</v>
      </c>
      <c r="H305" s="636" t="str">
        <f t="shared" si="25"/>
        <v>TP.EQUI.08</v>
      </c>
      <c r="I305" s="637" t="str">
        <f>VLOOKUP(H305,ORC.AUXILIAR!I:P,4,0)</f>
        <v>cj</v>
      </c>
      <c r="J305" s="636">
        <f>VLOOKUP(H305,ORC.AUXILIAR!I:P,5,0)</f>
        <v>2</v>
      </c>
      <c r="K305" s="638">
        <f t="shared" si="26"/>
        <v>2</v>
      </c>
      <c r="L305" s="639">
        <f>VLOOKUP(H305,ORC.AUXILIAR!I:P,7,0)</f>
        <v>2820.01</v>
      </c>
      <c r="M305" s="639">
        <f>VLOOKUP(H305,ORC.AUXILIAR!I:P,8,0)</f>
        <v>5640.02</v>
      </c>
      <c r="N305" s="639">
        <f t="shared" si="28"/>
        <v>11280.04</v>
      </c>
      <c r="O305" s="639">
        <f t="shared" si="29"/>
        <v>10173496640.295378</v>
      </c>
      <c r="P305" s="640">
        <f t="shared" si="27"/>
        <v>0.99167756934861351</v>
      </c>
    </row>
    <row r="306" spans="1:16">
      <c r="A306" s="627">
        <v>5621.04</v>
      </c>
      <c r="B306" s="628">
        <v>422</v>
      </c>
      <c r="C306" s="629">
        <v>92838</v>
      </c>
      <c r="D306" s="628">
        <f>VLOOKUP(C306,ORC.AUXILIAR!I:J,2,0)</f>
        <v>0</v>
      </c>
      <c r="G306" s="636">
        <f t="shared" si="24"/>
        <v>0</v>
      </c>
      <c r="H306" s="636">
        <f t="shared" si="25"/>
        <v>92838</v>
      </c>
      <c r="I306" s="637" t="str">
        <f>VLOOKUP(H306,ORC.AUXILIAR!I:P,4,0)</f>
        <v>M</v>
      </c>
      <c r="J306" s="636">
        <f>VLOOKUP(H306,ORC.AUXILIAR!I:P,5,0)</f>
        <v>422</v>
      </c>
      <c r="K306" s="638">
        <f t="shared" si="26"/>
        <v>422</v>
      </c>
      <c r="L306" s="639">
        <f>VLOOKUP(H306,ORC.AUXILIAR!I:P,7,0)</f>
        <v>13.32</v>
      </c>
      <c r="M306" s="639">
        <f>VLOOKUP(H306,ORC.AUXILIAR!I:P,8,0)</f>
        <v>5621.04</v>
      </c>
      <c r="N306" s="639">
        <f t="shared" si="28"/>
        <v>2372078.88</v>
      </c>
      <c r="O306" s="639">
        <f t="shared" si="29"/>
        <v>10175868719.175377</v>
      </c>
      <c r="P306" s="640">
        <f t="shared" si="27"/>
        <v>0.99190879146439059</v>
      </c>
    </row>
    <row r="307" spans="1:16">
      <c r="A307" s="627">
        <v>5543.52</v>
      </c>
      <c r="B307" s="628">
        <v>16</v>
      </c>
      <c r="C307" s="629" t="s">
        <v>14510</v>
      </c>
      <c r="D307" s="628">
        <f>VLOOKUP(C307,ORC.AUXILIAR!I:J,2,0)</f>
        <v>0</v>
      </c>
      <c r="G307" s="636">
        <f t="shared" si="24"/>
        <v>0</v>
      </c>
      <c r="H307" s="636" t="str">
        <f t="shared" si="25"/>
        <v>REATOR.AI.47</v>
      </c>
      <c r="I307" s="637" t="str">
        <f>VLOOKUP(H307,ORC.AUXILIAR!I:P,4,0)</f>
        <v>un</v>
      </c>
      <c r="J307" s="636">
        <f>VLOOKUP(H307,ORC.AUXILIAR!I:P,5,0)</f>
        <v>16</v>
      </c>
      <c r="K307" s="638">
        <f t="shared" si="26"/>
        <v>16</v>
      </c>
      <c r="L307" s="639">
        <f>VLOOKUP(H307,ORC.AUXILIAR!I:P,7,0)</f>
        <v>346.47</v>
      </c>
      <c r="M307" s="639">
        <f>VLOOKUP(H307,ORC.AUXILIAR!I:P,8,0)</f>
        <v>5543.52</v>
      </c>
      <c r="N307" s="639">
        <f t="shared" si="28"/>
        <v>88696.320000000007</v>
      </c>
      <c r="O307" s="639">
        <f t="shared" si="29"/>
        <v>10175957415.495377</v>
      </c>
      <c r="P307" s="640">
        <f t="shared" si="27"/>
        <v>0.99191743727754</v>
      </c>
    </row>
    <row r="308" spans="1:16">
      <c r="A308" s="627">
        <v>5457.92</v>
      </c>
      <c r="B308" s="628">
        <v>32</v>
      </c>
      <c r="C308" s="629" t="s">
        <v>13102</v>
      </c>
      <c r="D308" s="628">
        <f>VLOOKUP(C308,ORC.AUXILIAR!I:J,2,0)</f>
        <v>0</v>
      </c>
      <c r="G308" s="636">
        <f t="shared" si="24"/>
        <v>0</v>
      </c>
      <c r="H308" s="636" t="str">
        <f t="shared" si="25"/>
        <v>REATOR.FB.13</v>
      </c>
      <c r="I308" s="637" t="str">
        <f>VLOOKUP(H308,ORC.AUXILIAR!I:P,4,0)</f>
        <v>un</v>
      </c>
      <c r="J308" s="636">
        <f>VLOOKUP(H308,ORC.AUXILIAR!I:P,5,0)</f>
        <v>32</v>
      </c>
      <c r="K308" s="638">
        <f t="shared" si="26"/>
        <v>32</v>
      </c>
      <c r="L308" s="639">
        <f>VLOOKUP(H308,ORC.AUXILIAR!I:P,7,0)</f>
        <v>170.56</v>
      </c>
      <c r="M308" s="639">
        <f>VLOOKUP(H308,ORC.AUXILIAR!I:P,8,0)</f>
        <v>5457.92</v>
      </c>
      <c r="N308" s="639">
        <f t="shared" si="28"/>
        <v>174653.44</v>
      </c>
      <c r="O308" s="639">
        <f t="shared" si="29"/>
        <v>10176132068.935377</v>
      </c>
      <c r="P308" s="640">
        <f t="shared" si="27"/>
        <v>0.99193446189601497</v>
      </c>
    </row>
    <row r="309" spans="1:16">
      <c r="A309" s="627">
        <v>5440.5</v>
      </c>
      <c r="B309" s="628">
        <v>1350</v>
      </c>
      <c r="C309" s="629" t="s">
        <v>19153</v>
      </c>
      <c r="D309" s="628">
        <f>VLOOKUP(C309,ORC.AUXILIAR!I:J,2,0)</f>
        <v>0</v>
      </c>
      <c r="G309" s="636">
        <f t="shared" si="24"/>
        <v>0</v>
      </c>
      <c r="H309" s="636" t="str">
        <f t="shared" si="25"/>
        <v>73948/16</v>
      </c>
      <c r="I309" s="637" t="str">
        <f>VLOOKUP(H309,ORC.AUXILIAR!I:P,4,0)</f>
        <v>M2</v>
      </c>
      <c r="J309" s="636">
        <f>VLOOKUP(H309,ORC.AUXILIAR!I:P,5,0)</f>
        <v>1350</v>
      </c>
      <c r="K309" s="638">
        <f t="shared" si="26"/>
        <v>1350</v>
      </c>
      <c r="L309" s="639">
        <f>VLOOKUP(H309,ORC.AUXILIAR!I:P,7,0)</f>
        <v>4.03</v>
      </c>
      <c r="M309" s="639">
        <f>VLOOKUP(H309,ORC.AUXILIAR!I:P,8,0)</f>
        <v>5440.5</v>
      </c>
      <c r="N309" s="639">
        <f t="shared" si="28"/>
        <v>7344675</v>
      </c>
      <c r="O309" s="639">
        <f t="shared" si="29"/>
        <v>10183476743.935377</v>
      </c>
      <c r="P309" s="640">
        <f t="shared" si="27"/>
        <v>0.99265039563140411</v>
      </c>
    </row>
    <row r="310" spans="1:16">
      <c r="A310" s="627">
        <v>5410.68</v>
      </c>
      <c r="B310" s="628">
        <v>22</v>
      </c>
      <c r="C310" s="629">
        <v>83448</v>
      </c>
      <c r="D310" s="628">
        <f>VLOOKUP(C310,ORC.AUXILIAR!I:J,2,0)</f>
        <v>0</v>
      </c>
      <c r="G310" s="636">
        <f t="shared" si="24"/>
        <v>0</v>
      </c>
      <c r="H310" s="636">
        <f t="shared" si="25"/>
        <v>83448</v>
      </c>
      <c r="I310" s="637" t="str">
        <f>VLOOKUP(H310,ORC.AUXILIAR!I:P,4,0)</f>
        <v>un</v>
      </c>
      <c r="J310" s="636">
        <f>VLOOKUP(H310,ORC.AUXILIAR!I:P,5,0)</f>
        <v>10</v>
      </c>
      <c r="K310" s="638">
        <f t="shared" si="26"/>
        <v>22</v>
      </c>
      <c r="L310" s="639">
        <f>VLOOKUP(H310,ORC.AUXILIAR!I:P,7,0)</f>
        <v>245.94</v>
      </c>
      <c r="M310" s="639">
        <f>VLOOKUP(H310,ORC.AUXILIAR!I:P,8,0)</f>
        <v>2459.4</v>
      </c>
      <c r="N310" s="639">
        <f t="shared" si="28"/>
        <v>54106.8</v>
      </c>
      <c r="O310" s="639">
        <f t="shared" si="29"/>
        <v>10183530850.735376</v>
      </c>
      <c r="P310" s="640">
        <f t="shared" si="27"/>
        <v>0.99265566977674535</v>
      </c>
    </row>
    <row r="311" spans="1:16">
      <c r="A311" s="627">
        <v>5364.567</v>
      </c>
      <c r="B311" s="628">
        <v>11.7</v>
      </c>
      <c r="C311" s="629">
        <v>92743</v>
      </c>
      <c r="D311" s="628">
        <f>VLOOKUP(C311,ORC.AUXILIAR!I:J,2,0)</f>
        <v>0</v>
      </c>
      <c r="G311" s="636">
        <f t="shared" si="24"/>
        <v>0</v>
      </c>
      <c r="H311" s="636">
        <f t="shared" si="25"/>
        <v>92743</v>
      </c>
      <c r="I311" s="637" t="str">
        <f>VLOOKUP(H311,ORC.AUXILIAR!I:P,4,0)</f>
        <v>M3</v>
      </c>
      <c r="J311" s="636">
        <f>VLOOKUP(H311,ORC.AUXILIAR!I:P,5,0)</f>
        <v>11.7</v>
      </c>
      <c r="K311" s="638">
        <f t="shared" si="26"/>
        <v>11.7</v>
      </c>
      <c r="L311" s="639">
        <f>VLOOKUP(H311,ORC.AUXILIAR!I:P,7,0)</f>
        <v>458.51</v>
      </c>
      <c r="M311" s="639">
        <f>VLOOKUP(H311,ORC.AUXILIAR!I:P,8,0)</f>
        <v>5364.57</v>
      </c>
      <c r="N311" s="639">
        <f t="shared" si="28"/>
        <v>62765.46899999999</v>
      </c>
      <c r="O311" s="639">
        <f t="shared" si="29"/>
        <v>10183593616.204376</v>
      </c>
      <c r="P311" s="640">
        <f t="shared" si="27"/>
        <v>0.99266178793945159</v>
      </c>
    </row>
    <row r="312" spans="1:16">
      <c r="A312" s="627">
        <v>5316</v>
      </c>
      <c r="B312" s="628">
        <v>200</v>
      </c>
      <c r="C312" s="629" t="s">
        <v>12742</v>
      </c>
      <c r="D312" s="628">
        <f>VLOOKUP(C312,ORC.AUXILIAR!I:J,2,0)</f>
        <v>0</v>
      </c>
      <c r="G312" s="636">
        <f t="shared" si="24"/>
        <v>0</v>
      </c>
      <c r="H312" s="636" t="str">
        <f t="shared" si="25"/>
        <v>RE.AI.24</v>
      </c>
      <c r="I312" s="637" t="str">
        <f>VLOOKUP(H312,ORC.AUXILIAR!I:P,4,0)</f>
        <v>pç</v>
      </c>
      <c r="J312" s="636">
        <f>VLOOKUP(H312,ORC.AUXILIAR!I:P,5,0)</f>
        <v>200</v>
      </c>
      <c r="K312" s="638">
        <f t="shared" si="26"/>
        <v>200</v>
      </c>
      <c r="L312" s="639">
        <f>VLOOKUP(H312,ORC.AUXILIAR!I:P,7,0)</f>
        <v>26.58</v>
      </c>
      <c r="M312" s="639">
        <f>VLOOKUP(H312,ORC.AUXILIAR!I:P,8,0)</f>
        <v>5316</v>
      </c>
      <c r="N312" s="639">
        <f t="shared" si="28"/>
        <v>1063200</v>
      </c>
      <c r="O312" s="639">
        <f t="shared" si="29"/>
        <v>10184656816.204376</v>
      </c>
      <c r="P312" s="640">
        <f t="shared" si="27"/>
        <v>0.99276542502992404</v>
      </c>
    </row>
    <row r="313" spans="1:16">
      <c r="A313" s="627">
        <v>5282.88</v>
      </c>
      <c r="B313" s="628">
        <v>12</v>
      </c>
      <c r="C313" s="629" t="s">
        <v>12899</v>
      </c>
      <c r="D313" s="628">
        <f>VLOOKUP(C313,ORC.AUXILIAR!I:J,2,0)</f>
        <v>0</v>
      </c>
      <c r="G313" s="636">
        <f t="shared" si="24"/>
        <v>0</v>
      </c>
      <c r="H313" s="636" t="str">
        <f t="shared" si="25"/>
        <v>RE.F°F°.18</v>
      </c>
      <c r="I313" s="637" t="str">
        <f>VLOOKUP(H313,ORC.AUXILIAR!I:P,4,0)</f>
        <v>pç</v>
      </c>
      <c r="J313" s="636">
        <f>VLOOKUP(H313,ORC.AUXILIAR!I:P,5,0)</f>
        <v>12</v>
      </c>
      <c r="K313" s="638">
        <f t="shared" si="26"/>
        <v>12</v>
      </c>
      <c r="L313" s="639">
        <f>VLOOKUP(H313,ORC.AUXILIAR!I:P,7,0)</f>
        <v>440.24</v>
      </c>
      <c r="M313" s="639">
        <f>VLOOKUP(H313,ORC.AUXILIAR!I:P,8,0)</f>
        <v>5282.88</v>
      </c>
      <c r="N313" s="639">
        <f t="shared" si="28"/>
        <v>63394.559999999998</v>
      </c>
      <c r="O313" s="639">
        <f t="shared" si="29"/>
        <v>10184720210.764376</v>
      </c>
      <c r="P313" s="640">
        <f t="shared" si="27"/>
        <v>0.99277160451426383</v>
      </c>
    </row>
    <row r="314" spans="1:16">
      <c r="A314" s="627">
        <v>5219.54</v>
      </c>
      <c r="B314" s="628">
        <v>1</v>
      </c>
      <c r="C314" s="629" t="s">
        <v>13060</v>
      </c>
      <c r="D314" s="628">
        <f>VLOOKUP(C314,ORC.AUXILIAR!I:J,2,0)</f>
        <v>0</v>
      </c>
      <c r="G314" s="636">
        <f t="shared" si="24"/>
        <v>0</v>
      </c>
      <c r="H314" s="636" t="str">
        <f t="shared" si="25"/>
        <v>CD.COMPORTA.02</v>
      </c>
      <c r="I314" s="637" t="str">
        <f>VLOOKUP(H314,ORC.AUXILIAR!I:P,4,0)</f>
        <v>un</v>
      </c>
      <c r="J314" s="636">
        <f>VLOOKUP(H314,ORC.AUXILIAR!I:P,5,0)</f>
        <v>1</v>
      </c>
      <c r="K314" s="638">
        <f t="shared" si="26"/>
        <v>1</v>
      </c>
      <c r="L314" s="639">
        <f>VLOOKUP(H314,ORC.AUXILIAR!I:P,7,0)</f>
        <v>5219.54</v>
      </c>
      <c r="M314" s="639">
        <f>VLOOKUP(H314,ORC.AUXILIAR!I:P,8,0)</f>
        <v>5219.54</v>
      </c>
      <c r="N314" s="639">
        <f t="shared" si="28"/>
        <v>5219.54</v>
      </c>
      <c r="O314" s="639">
        <f t="shared" si="29"/>
        <v>10184725430.304377</v>
      </c>
      <c r="P314" s="640">
        <f t="shared" si="27"/>
        <v>0.99277211329712622</v>
      </c>
    </row>
    <row r="315" spans="1:16">
      <c r="A315" s="627">
        <v>5198.95</v>
      </c>
      <c r="B315" s="628">
        <v>1</v>
      </c>
      <c r="C315" s="629" t="s">
        <v>14189</v>
      </c>
      <c r="D315" s="628">
        <f>VLOOKUP(C315,ORC.AUXILIAR!I:J,2,0)</f>
        <v>0</v>
      </c>
      <c r="G315" s="636">
        <f t="shared" si="24"/>
        <v>0</v>
      </c>
      <c r="H315" s="636" t="str">
        <f t="shared" si="25"/>
        <v>CT.FºFº.16</v>
      </c>
      <c r="I315" s="637" t="str">
        <f>VLOOKUP(H315,ORC.AUXILIAR!I:P,4,0)</f>
        <v>un</v>
      </c>
      <c r="J315" s="636">
        <f>VLOOKUP(H315,ORC.AUXILIAR!I:P,5,0)</f>
        <v>1</v>
      </c>
      <c r="K315" s="638">
        <f t="shared" si="26"/>
        <v>1</v>
      </c>
      <c r="L315" s="639">
        <f>VLOOKUP(H315,ORC.AUXILIAR!I:P,7,0)</f>
        <v>5198.95</v>
      </c>
      <c r="M315" s="639">
        <f>VLOOKUP(H315,ORC.AUXILIAR!I:P,8,0)</f>
        <v>5198.95</v>
      </c>
      <c r="N315" s="639">
        <f t="shared" si="28"/>
        <v>5198.95</v>
      </c>
      <c r="O315" s="639">
        <f t="shared" si="29"/>
        <v>10184730629.254377</v>
      </c>
      <c r="P315" s="640">
        <f t="shared" si="27"/>
        <v>0.99277262007294598</v>
      </c>
    </row>
    <row r="316" spans="1:16">
      <c r="A316" s="627">
        <v>5194.9898000000003</v>
      </c>
      <c r="B316" s="628">
        <v>3373.3700000000003</v>
      </c>
      <c r="C316" s="629">
        <v>1511</v>
      </c>
      <c r="D316" s="628">
        <f>VLOOKUP(C316,ORC.AUXILIAR!I:J,2,0)</f>
        <v>0</v>
      </c>
      <c r="G316" s="636">
        <f t="shared" si="24"/>
        <v>0</v>
      </c>
      <c r="H316" s="636">
        <f t="shared" si="25"/>
        <v>1511</v>
      </c>
      <c r="I316" s="637" t="str">
        <f>VLOOKUP(H316,ORC.AUXILIAR!I:P,4,0)</f>
        <v>M</v>
      </c>
      <c r="J316" s="636">
        <f>VLOOKUP(H316,ORC.AUXILIAR!I:P,5,0)</f>
        <v>3373.3700000000003</v>
      </c>
      <c r="K316" s="638">
        <f t="shared" si="26"/>
        <v>3373.3700000000003</v>
      </c>
      <c r="L316" s="639">
        <f>VLOOKUP(H316,ORC.AUXILIAR!I:P,7,0)</f>
        <v>1.54</v>
      </c>
      <c r="M316" s="639">
        <f>VLOOKUP(H316,ORC.AUXILIAR!I:P,8,0)</f>
        <v>5194.99</v>
      </c>
      <c r="N316" s="639">
        <f t="shared" si="28"/>
        <v>17524623.416300002</v>
      </c>
      <c r="O316" s="639">
        <f t="shared" si="29"/>
        <v>10202255252.670677</v>
      </c>
      <c r="P316" s="640">
        <f t="shared" si="27"/>
        <v>0.99448086027468663</v>
      </c>
    </row>
    <row r="317" spans="1:16">
      <c r="A317" s="627">
        <v>5175.3599999999997</v>
      </c>
      <c r="B317" s="628">
        <v>24</v>
      </c>
      <c r="C317" s="629" t="s">
        <v>14518</v>
      </c>
      <c r="D317" s="628">
        <f>VLOOKUP(C317,ORC.AUXILIAR!I:J,2,0)</f>
        <v>0</v>
      </c>
      <c r="G317" s="636">
        <f t="shared" si="24"/>
        <v>0</v>
      </c>
      <c r="H317" s="636" t="str">
        <f t="shared" si="25"/>
        <v>REATOR.AI.55</v>
      </c>
      <c r="I317" s="637" t="str">
        <f>VLOOKUP(H317,ORC.AUXILIAR!I:P,4,0)</f>
        <v>un</v>
      </c>
      <c r="J317" s="636">
        <f>VLOOKUP(H317,ORC.AUXILIAR!I:P,5,0)</f>
        <v>24</v>
      </c>
      <c r="K317" s="638">
        <f t="shared" si="26"/>
        <v>24</v>
      </c>
      <c r="L317" s="639">
        <f>VLOOKUP(H317,ORC.AUXILIAR!I:P,7,0)</f>
        <v>215.64</v>
      </c>
      <c r="M317" s="639">
        <f>VLOOKUP(H317,ORC.AUXILIAR!I:P,8,0)</f>
        <v>5175.3599999999997</v>
      </c>
      <c r="N317" s="639">
        <f t="shared" si="28"/>
        <v>124208.63999999998</v>
      </c>
      <c r="O317" s="639">
        <f t="shared" si="29"/>
        <v>10202379461.310677</v>
      </c>
      <c r="P317" s="640">
        <f t="shared" si="27"/>
        <v>0.994492967707024</v>
      </c>
    </row>
    <row r="318" spans="1:16">
      <c r="A318" s="627">
        <v>5174.5600000000004</v>
      </c>
      <c r="B318" s="628">
        <v>4</v>
      </c>
      <c r="C318" s="629" t="s">
        <v>13116</v>
      </c>
      <c r="D318" s="628">
        <f>VLOOKUP(C318,ORC.AUXILIAR!I:J,2,0)</f>
        <v>0</v>
      </c>
      <c r="G318" s="636">
        <f t="shared" si="24"/>
        <v>0</v>
      </c>
      <c r="H318" s="636" t="str">
        <f t="shared" si="25"/>
        <v>RE.VAL.02</v>
      </c>
      <c r="I318" s="637" t="str">
        <f>VLOOKUP(H318,ORC.AUXILIAR!I:P,4,0)</f>
        <v>pç</v>
      </c>
      <c r="J318" s="636">
        <f>VLOOKUP(H318,ORC.AUXILIAR!I:P,5,0)</f>
        <v>4</v>
      </c>
      <c r="K318" s="638">
        <f t="shared" si="26"/>
        <v>4</v>
      </c>
      <c r="L318" s="639">
        <f>VLOOKUP(H318,ORC.AUXILIAR!I:P,7,0)</f>
        <v>1293.6400000000001</v>
      </c>
      <c r="M318" s="639">
        <f>VLOOKUP(H318,ORC.AUXILIAR!I:P,8,0)</f>
        <v>5174.5600000000004</v>
      </c>
      <c r="N318" s="639">
        <f t="shared" si="28"/>
        <v>20698.240000000002</v>
      </c>
      <c r="O318" s="639">
        <f t="shared" si="29"/>
        <v>10202400159.550676</v>
      </c>
      <c r="P318" s="640">
        <f t="shared" si="27"/>
        <v>0.99449498530048852</v>
      </c>
    </row>
    <row r="319" spans="1:16">
      <c r="A319" s="627">
        <v>5082.67</v>
      </c>
      <c r="B319" s="628">
        <v>1</v>
      </c>
      <c r="C319" s="629" t="s">
        <v>14181</v>
      </c>
      <c r="D319" s="628">
        <f>VLOOKUP(C319,ORC.AUXILIAR!I:J,2,0)</f>
        <v>0</v>
      </c>
      <c r="G319" s="636">
        <f t="shared" si="24"/>
        <v>0</v>
      </c>
      <c r="H319" s="636" t="str">
        <f t="shared" si="25"/>
        <v>CT.FºFº.04</v>
      </c>
      <c r="I319" s="637" t="str">
        <f>VLOOKUP(H319,ORC.AUXILIAR!I:P,4,0)</f>
        <v>un</v>
      </c>
      <c r="J319" s="636">
        <f>VLOOKUP(H319,ORC.AUXILIAR!I:P,5,0)</f>
        <v>1</v>
      </c>
      <c r="K319" s="638">
        <f t="shared" si="26"/>
        <v>1</v>
      </c>
      <c r="L319" s="639">
        <f>VLOOKUP(H319,ORC.AUXILIAR!I:P,7,0)</f>
        <v>5082.67</v>
      </c>
      <c r="M319" s="639">
        <f>VLOOKUP(H319,ORC.AUXILIAR!I:P,8,0)</f>
        <v>5082.67</v>
      </c>
      <c r="N319" s="639">
        <f t="shared" si="28"/>
        <v>5082.67</v>
      </c>
      <c r="O319" s="639">
        <f t="shared" si="29"/>
        <v>10202405242.220676</v>
      </c>
      <c r="P319" s="640">
        <f t="shared" si="27"/>
        <v>0.99449548074173255</v>
      </c>
    </row>
    <row r="320" spans="1:16">
      <c r="A320" s="627">
        <v>5062.08</v>
      </c>
      <c r="B320" s="628">
        <v>6</v>
      </c>
      <c r="C320" s="629" t="s">
        <v>13139</v>
      </c>
      <c r="D320" s="628">
        <f>VLOOKUP(C320,ORC.AUXILIAR!I:J,2,0)</f>
        <v>0</v>
      </c>
      <c r="G320" s="636">
        <f t="shared" si="24"/>
        <v>0</v>
      </c>
      <c r="H320" s="636" t="str">
        <f t="shared" si="25"/>
        <v>RE.VAL.11</v>
      </c>
      <c r="I320" s="637" t="str">
        <f>VLOOKUP(H320,ORC.AUXILIAR!I:P,4,0)</f>
        <v>un</v>
      </c>
      <c r="J320" s="636">
        <f>VLOOKUP(H320,ORC.AUXILIAR!I:P,5,0)</f>
        <v>6</v>
      </c>
      <c r="K320" s="638">
        <f t="shared" si="26"/>
        <v>6</v>
      </c>
      <c r="L320" s="639">
        <f>VLOOKUP(H320,ORC.AUXILIAR!I:P,7,0)</f>
        <v>843.68</v>
      </c>
      <c r="M320" s="639">
        <f>VLOOKUP(H320,ORC.AUXILIAR!I:P,8,0)</f>
        <v>5062.08</v>
      </c>
      <c r="N320" s="639">
        <f t="shared" si="28"/>
        <v>30372.48</v>
      </c>
      <c r="O320" s="639">
        <f t="shared" si="29"/>
        <v>10202435614.700676</v>
      </c>
      <c r="P320" s="640">
        <f t="shared" si="27"/>
        <v>0.99449844134694099</v>
      </c>
    </row>
    <row r="321" spans="1:16">
      <c r="A321" s="627">
        <v>5045.6576000000005</v>
      </c>
      <c r="B321" s="628">
        <v>10.24</v>
      </c>
      <c r="C321" s="629">
        <v>87298</v>
      </c>
      <c r="D321" s="628">
        <f>VLOOKUP(C321,ORC.AUXILIAR!I:J,2,0)</f>
        <v>0</v>
      </c>
      <c r="G321" s="636">
        <f t="shared" si="24"/>
        <v>0</v>
      </c>
      <c r="H321" s="636">
        <f t="shared" si="25"/>
        <v>87298</v>
      </c>
      <c r="I321" s="637" t="str">
        <f>VLOOKUP(H321,ORC.AUXILIAR!I:P,4,0)</f>
        <v>M3</v>
      </c>
      <c r="J321" s="636">
        <f>VLOOKUP(H321,ORC.AUXILIAR!I:P,5,0)</f>
        <v>10.24</v>
      </c>
      <c r="K321" s="638">
        <f t="shared" si="26"/>
        <v>10.24</v>
      </c>
      <c r="L321" s="639">
        <f>VLOOKUP(H321,ORC.AUXILIAR!I:P,7,0)</f>
        <v>492.74</v>
      </c>
      <c r="M321" s="639">
        <f>VLOOKUP(H321,ORC.AUXILIAR!I:P,8,0)</f>
        <v>5045.66</v>
      </c>
      <c r="N321" s="639">
        <f t="shared" si="28"/>
        <v>51667.558400000002</v>
      </c>
      <c r="O321" s="639">
        <f t="shared" si="29"/>
        <v>10202487282.259075</v>
      </c>
      <c r="P321" s="640">
        <f t="shared" si="27"/>
        <v>0.99450347772337466</v>
      </c>
    </row>
    <row r="322" spans="1:16">
      <c r="A322" s="627">
        <v>5017.04</v>
      </c>
      <c r="B322" s="628">
        <v>4</v>
      </c>
      <c r="C322" s="629" t="s">
        <v>13110</v>
      </c>
      <c r="D322" s="628">
        <f>VLOOKUP(C322,ORC.AUXILIAR!I:J,2,0)</f>
        <v>0</v>
      </c>
      <c r="G322" s="636">
        <f t="shared" si="24"/>
        <v>0</v>
      </c>
      <c r="H322" s="636" t="str">
        <f t="shared" si="25"/>
        <v>RE.VAL.01</v>
      </c>
      <c r="I322" s="637" t="str">
        <f>VLOOKUP(H322,ORC.AUXILIAR!I:P,4,0)</f>
        <v>pç</v>
      </c>
      <c r="J322" s="636">
        <f>VLOOKUP(H322,ORC.AUXILIAR!I:P,5,0)</f>
        <v>4</v>
      </c>
      <c r="K322" s="638">
        <f t="shared" si="26"/>
        <v>4</v>
      </c>
      <c r="L322" s="639">
        <f>VLOOKUP(H322,ORC.AUXILIAR!I:P,7,0)</f>
        <v>1254.26</v>
      </c>
      <c r="M322" s="639">
        <f>VLOOKUP(H322,ORC.AUXILIAR!I:P,8,0)</f>
        <v>5017.04</v>
      </c>
      <c r="N322" s="639">
        <f t="shared" si="28"/>
        <v>20068.16</v>
      </c>
      <c r="O322" s="639">
        <f t="shared" si="29"/>
        <v>10202507350.419075</v>
      </c>
      <c r="P322" s="640">
        <f t="shared" si="27"/>
        <v>0.99450543389880119</v>
      </c>
    </row>
    <row r="323" spans="1:16">
      <c r="A323" s="627">
        <v>4998.3999999999996</v>
      </c>
      <c r="B323" s="628">
        <v>320</v>
      </c>
      <c r="C323" s="629" t="s">
        <v>12738</v>
      </c>
      <c r="D323" s="628">
        <f>VLOOKUP(C323,ORC.AUXILIAR!I:J,2,0)</f>
        <v>0</v>
      </c>
      <c r="G323" s="636">
        <f t="shared" si="24"/>
        <v>0</v>
      </c>
      <c r="H323" s="636" t="str">
        <f t="shared" si="25"/>
        <v>RE.AI.22</v>
      </c>
      <c r="I323" s="637" t="str">
        <f>VLOOKUP(H323,ORC.AUXILIAR!I:P,4,0)</f>
        <v>pç</v>
      </c>
      <c r="J323" s="636">
        <f>VLOOKUP(H323,ORC.AUXILIAR!I:P,5,0)</f>
        <v>320</v>
      </c>
      <c r="K323" s="638">
        <f t="shared" si="26"/>
        <v>320</v>
      </c>
      <c r="L323" s="639">
        <f>VLOOKUP(H323,ORC.AUXILIAR!I:P,7,0)</f>
        <v>15.62</v>
      </c>
      <c r="M323" s="639">
        <f>VLOOKUP(H323,ORC.AUXILIAR!I:P,8,0)</f>
        <v>4998.3999999999996</v>
      </c>
      <c r="N323" s="639">
        <f t="shared" si="28"/>
        <v>1599488</v>
      </c>
      <c r="O323" s="639">
        <f t="shared" si="29"/>
        <v>10204106838.419075</v>
      </c>
      <c r="P323" s="640">
        <f t="shared" si="27"/>
        <v>0.99466134650467553</v>
      </c>
    </row>
    <row r="324" spans="1:16">
      <c r="A324" s="627">
        <v>4990.32</v>
      </c>
      <c r="B324" s="628">
        <v>174</v>
      </c>
      <c r="C324" s="629" t="s">
        <v>12768</v>
      </c>
      <c r="D324" s="628">
        <f>VLOOKUP(C324,ORC.AUXILIAR!I:J,2,0)</f>
        <v>0</v>
      </c>
      <c r="G324" s="636">
        <f t="shared" si="24"/>
        <v>0</v>
      </c>
      <c r="H324" s="636" t="str">
        <f t="shared" si="25"/>
        <v>RE.AI.37</v>
      </c>
      <c r="I324" s="637" t="str">
        <f>VLOOKUP(H324,ORC.AUXILIAR!I:P,4,0)</f>
        <v>m</v>
      </c>
      <c r="J324" s="636">
        <f>VLOOKUP(H324,ORC.AUXILIAR!I:P,5,0)</f>
        <v>174</v>
      </c>
      <c r="K324" s="638">
        <f t="shared" si="26"/>
        <v>174</v>
      </c>
      <c r="L324" s="639">
        <f>VLOOKUP(H324,ORC.AUXILIAR!I:P,7,0)</f>
        <v>28.68</v>
      </c>
      <c r="M324" s="639">
        <f>VLOOKUP(H324,ORC.AUXILIAR!I:P,8,0)</f>
        <v>4990.32</v>
      </c>
      <c r="N324" s="639">
        <f t="shared" si="28"/>
        <v>868315.67999999993</v>
      </c>
      <c r="O324" s="639">
        <f t="shared" si="29"/>
        <v>10204975154.099075</v>
      </c>
      <c r="P324" s="640">
        <f t="shared" si="27"/>
        <v>0.99474598693985883</v>
      </c>
    </row>
    <row r="325" spans="1:16">
      <c r="A325" s="627">
        <v>4989.0210000000006</v>
      </c>
      <c r="B325" s="628">
        <v>10.050000000000001</v>
      </c>
      <c r="C325" s="629" t="s">
        <v>16108</v>
      </c>
      <c r="D325" s="628">
        <f>VLOOKUP(C325,ORC.AUXILIAR!I:J,2,0)</f>
        <v>0</v>
      </c>
      <c r="G325" s="636">
        <f t="shared" si="24"/>
        <v>0</v>
      </c>
      <c r="H325" s="636" t="str">
        <f t="shared" si="25"/>
        <v>73933/4</v>
      </c>
      <c r="I325" s="637" t="str">
        <f>VLOOKUP(H325,ORC.AUXILIAR!I:P,4,0)</f>
        <v>M2</v>
      </c>
      <c r="J325" s="636">
        <f>VLOOKUP(H325,ORC.AUXILIAR!I:P,5,0)</f>
        <v>10.050000000000001</v>
      </c>
      <c r="K325" s="638">
        <f t="shared" si="26"/>
        <v>10.050000000000001</v>
      </c>
      <c r="L325" s="639">
        <f>VLOOKUP(H325,ORC.AUXILIAR!I:P,7,0)</f>
        <v>496.42</v>
      </c>
      <c r="M325" s="639">
        <f>VLOOKUP(H325,ORC.AUXILIAR!I:P,8,0)</f>
        <v>4989.0200000000004</v>
      </c>
      <c r="N325" s="639">
        <f t="shared" si="28"/>
        <v>50139.651000000005</v>
      </c>
      <c r="O325" s="639">
        <f t="shared" si="29"/>
        <v>10205025293.750074</v>
      </c>
      <c r="P325" s="640">
        <f t="shared" si="27"/>
        <v>0.99475087438111809</v>
      </c>
    </row>
    <row r="326" spans="1:16">
      <c r="A326" s="627">
        <v>4988.2</v>
      </c>
      <c r="B326" s="628">
        <v>20</v>
      </c>
      <c r="C326" s="629">
        <v>84132</v>
      </c>
      <c r="D326" s="628">
        <f>VLOOKUP(C326,ORC.AUXILIAR!I:J,2,0)</f>
        <v>0</v>
      </c>
      <c r="G326" s="636">
        <f t="shared" ref="G326:G389" si="30">D326</f>
        <v>0</v>
      </c>
      <c r="H326" s="636">
        <f t="shared" ref="H326:H389" si="31">C326</f>
        <v>84132</v>
      </c>
      <c r="I326" s="637" t="str">
        <f>VLOOKUP(H326,ORC.AUXILIAR!I:P,4,0)</f>
        <v>M</v>
      </c>
      <c r="J326" s="636">
        <f>VLOOKUP(H326,ORC.AUXILIAR!I:P,5,0)</f>
        <v>20</v>
      </c>
      <c r="K326" s="638">
        <f t="shared" ref="K326:K389" si="32">B326</f>
        <v>20</v>
      </c>
      <c r="L326" s="639">
        <f>VLOOKUP(H326,ORC.AUXILIAR!I:P,7,0)</f>
        <v>249.41</v>
      </c>
      <c r="M326" s="639">
        <f>VLOOKUP(H326,ORC.AUXILIAR!I:P,8,0)</f>
        <v>4988.2</v>
      </c>
      <c r="N326" s="639">
        <f t="shared" si="28"/>
        <v>99764</v>
      </c>
      <c r="O326" s="639">
        <f t="shared" si="29"/>
        <v>10205125057.750074</v>
      </c>
      <c r="P326" s="640">
        <f t="shared" ref="P326:P389" si="33">O326/N$4</f>
        <v>0.99476059903376468</v>
      </c>
    </row>
    <row r="327" spans="1:16">
      <c r="A327" s="627">
        <v>4920.09</v>
      </c>
      <c r="B327" s="628">
        <v>1</v>
      </c>
      <c r="C327" s="629" t="s">
        <v>12098</v>
      </c>
      <c r="D327" s="628">
        <f>VLOOKUP(C327,ORC.AUXILIAR!I:J,2,0)</f>
        <v>0</v>
      </c>
      <c r="G327" s="636">
        <f t="shared" si="30"/>
        <v>0</v>
      </c>
      <c r="H327" s="636" t="str">
        <f t="shared" si="31"/>
        <v>CP_TOTEM</v>
      </c>
      <c r="I327" s="637" t="str">
        <f>VLOOKUP(H327,ORC.AUXILIAR!I:P,4,0)</f>
        <v>um.</v>
      </c>
      <c r="J327" s="636">
        <f>VLOOKUP(H327,ORC.AUXILIAR!I:P,5,0)</f>
        <v>1</v>
      </c>
      <c r="K327" s="638">
        <f t="shared" si="32"/>
        <v>1</v>
      </c>
      <c r="L327" s="639">
        <f>VLOOKUP(H327,ORC.AUXILIAR!I:P,7,0)</f>
        <v>4920.09</v>
      </c>
      <c r="M327" s="639">
        <f>VLOOKUP(H327,ORC.AUXILIAR!I:P,8,0)</f>
        <v>4920.09</v>
      </c>
      <c r="N327" s="639">
        <f t="shared" ref="N327:N390" si="34">K327*M327</f>
        <v>4920.09</v>
      </c>
      <c r="O327" s="639">
        <f t="shared" ref="O327:O390" si="35">N327+O326</f>
        <v>10205129977.840075</v>
      </c>
      <c r="P327" s="640">
        <f t="shared" si="33"/>
        <v>0.99476107862726781</v>
      </c>
    </row>
    <row r="328" spans="1:16">
      <c r="A328" s="627">
        <v>4915.7408000000005</v>
      </c>
      <c r="B328" s="628">
        <v>88.54</v>
      </c>
      <c r="C328" s="629">
        <v>4721</v>
      </c>
      <c r="D328" s="628">
        <f>VLOOKUP(C328,ORC.AUXILIAR!I:J,2,0)</f>
        <v>0</v>
      </c>
      <c r="G328" s="636">
        <f t="shared" si="30"/>
        <v>0</v>
      </c>
      <c r="H328" s="636">
        <f t="shared" si="31"/>
        <v>4721</v>
      </c>
      <c r="I328" s="637" t="str">
        <f>VLOOKUP(H328,ORC.AUXILIAR!I:P,4,0)</f>
        <v>M3</v>
      </c>
      <c r="J328" s="636">
        <f>VLOOKUP(H328,ORC.AUXILIAR!I:P,5,0)</f>
        <v>88.54</v>
      </c>
      <c r="K328" s="638">
        <f t="shared" si="32"/>
        <v>88.54</v>
      </c>
      <c r="L328" s="639">
        <f>VLOOKUP(H328,ORC.AUXILIAR!I:P,7,0)</f>
        <v>55.52</v>
      </c>
      <c r="M328" s="639">
        <f>VLOOKUP(H328,ORC.AUXILIAR!I:P,8,0)</f>
        <v>4915.74</v>
      </c>
      <c r="N328" s="639">
        <f t="shared" si="34"/>
        <v>435239.61960000003</v>
      </c>
      <c r="O328" s="639">
        <f t="shared" si="35"/>
        <v>10205565217.459675</v>
      </c>
      <c r="P328" s="640">
        <f t="shared" si="33"/>
        <v>0.99480350429302566</v>
      </c>
    </row>
    <row r="329" spans="1:16">
      <c r="A329" s="627">
        <v>4823.04</v>
      </c>
      <c r="B329" s="628">
        <v>768</v>
      </c>
      <c r="C329" s="629" t="s">
        <v>12921</v>
      </c>
      <c r="D329" s="628">
        <f>VLOOKUP(C329,ORC.AUXILIAR!I:J,2,0)</f>
        <v>0</v>
      </c>
      <c r="G329" s="636">
        <f t="shared" si="30"/>
        <v>0</v>
      </c>
      <c r="H329" s="636" t="str">
        <f t="shared" si="31"/>
        <v>RE.F°F°.25</v>
      </c>
      <c r="I329" s="637" t="str">
        <f>VLOOKUP(H329,ORC.AUXILIAR!I:P,4,0)</f>
        <v>pç</v>
      </c>
      <c r="J329" s="636">
        <f>VLOOKUP(H329,ORC.AUXILIAR!I:P,5,0)</f>
        <v>768</v>
      </c>
      <c r="K329" s="638">
        <f t="shared" si="32"/>
        <v>768</v>
      </c>
      <c r="L329" s="639">
        <f>VLOOKUP(H329,ORC.AUXILIAR!I:P,7,0)</f>
        <v>6.28</v>
      </c>
      <c r="M329" s="639">
        <f>VLOOKUP(H329,ORC.AUXILIAR!I:P,8,0)</f>
        <v>4823.04</v>
      </c>
      <c r="N329" s="639">
        <f t="shared" si="34"/>
        <v>3704094.7199999997</v>
      </c>
      <c r="O329" s="639">
        <f t="shared" si="35"/>
        <v>10209269312.179674</v>
      </c>
      <c r="P329" s="640">
        <f t="shared" si="33"/>
        <v>0.9951645667456358</v>
      </c>
    </row>
    <row r="330" spans="1:16">
      <c r="A330" s="627">
        <v>4822.18</v>
      </c>
      <c r="B330" s="628">
        <v>1</v>
      </c>
      <c r="C330" s="629" t="s">
        <v>14174</v>
      </c>
      <c r="D330" s="628">
        <f>VLOOKUP(C330,ORC.AUXILIAR!I:J,2,0)</f>
        <v>0</v>
      </c>
      <c r="G330" s="636">
        <f t="shared" si="30"/>
        <v>0</v>
      </c>
      <c r="H330" s="636" t="str">
        <f t="shared" si="31"/>
        <v>CT.FºFº.10</v>
      </c>
      <c r="I330" s="637" t="str">
        <f>VLOOKUP(H330,ORC.AUXILIAR!I:P,4,0)</f>
        <v>un</v>
      </c>
      <c r="J330" s="636">
        <f>VLOOKUP(H330,ORC.AUXILIAR!I:P,5,0)</f>
        <v>1</v>
      </c>
      <c r="K330" s="638">
        <f t="shared" si="32"/>
        <v>1</v>
      </c>
      <c r="L330" s="639">
        <f>VLOOKUP(H330,ORC.AUXILIAR!I:P,7,0)</f>
        <v>4822.18</v>
      </c>
      <c r="M330" s="639">
        <f>VLOOKUP(H330,ORC.AUXILIAR!I:P,8,0)</f>
        <v>4822.18</v>
      </c>
      <c r="N330" s="639">
        <f t="shared" si="34"/>
        <v>4822.18</v>
      </c>
      <c r="O330" s="639">
        <f t="shared" si="35"/>
        <v>10209274134.359674</v>
      </c>
      <c r="P330" s="640">
        <f t="shared" si="33"/>
        <v>0.99516503679520774</v>
      </c>
    </row>
    <row r="331" spans="1:16">
      <c r="A331" s="627">
        <v>4816.5600000000004</v>
      </c>
      <c r="B331" s="628">
        <v>1</v>
      </c>
      <c r="C331" s="629" t="s">
        <v>14188</v>
      </c>
      <c r="D331" s="628">
        <f>VLOOKUP(C331,ORC.AUXILIAR!I:J,2,0)</f>
        <v>0</v>
      </c>
      <c r="G331" s="636">
        <f t="shared" si="30"/>
        <v>0</v>
      </c>
      <c r="H331" s="636" t="str">
        <f t="shared" si="31"/>
        <v>CT.FºFº.15</v>
      </c>
      <c r="I331" s="637" t="str">
        <f>VLOOKUP(H331,ORC.AUXILIAR!I:P,4,0)</f>
        <v>un</v>
      </c>
      <c r="J331" s="636">
        <f>VLOOKUP(H331,ORC.AUXILIAR!I:P,5,0)</f>
        <v>1</v>
      </c>
      <c r="K331" s="638">
        <f t="shared" si="32"/>
        <v>1</v>
      </c>
      <c r="L331" s="639">
        <f>VLOOKUP(H331,ORC.AUXILIAR!I:P,7,0)</f>
        <v>4816.5600000000004</v>
      </c>
      <c r="M331" s="639">
        <f>VLOOKUP(H331,ORC.AUXILIAR!I:P,8,0)</f>
        <v>4816.5600000000004</v>
      </c>
      <c r="N331" s="639">
        <f t="shared" si="34"/>
        <v>4816.5600000000004</v>
      </c>
      <c r="O331" s="639">
        <f t="shared" si="35"/>
        <v>10209278950.919674</v>
      </c>
      <c r="P331" s="640">
        <f t="shared" si="33"/>
        <v>0.99516550629696132</v>
      </c>
    </row>
    <row r="332" spans="1:16">
      <c r="A332" s="627">
        <v>4796.8</v>
      </c>
      <c r="B332" s="628">
        <v>32</v>
      </c>
      <c r="C332" s="629" t="s">
        <v>12897</v>
      </c>
      <c r="D332" s="628">
        <f>VLOOKUP(C332,ORC.AUXILIAR!I:J,2,0)</f>
        <v>0</v>
      </c>
      <c r="G332" s="636">
        <f t="shared" si="30"/>
        <v>0</v>
      </c>
      <c r="H332" s="636" t="str">
        <f t="shared" si="31"/>
        <v>RE.F°F°.17</v>
      </c>
      <c r="I332" s="637" t="str">
        <f>VLOOKUP(H332,ORC.AUXILIAR!I:P,4,0)</f>
        <v>pç</v>
      </c>
      <c r="J332" s="636">
        <f>VLOOKUP(H332,ORC.AUXILIAR!I:P,5,0)</f>
        <v>32</v>
      </c>
      <c r="K332" s="638">
        <f t="shared" si="32"/>
        <v>32</v>
      </c>
      <c r="L332" s="639">
        <f>VLOOKUP(H332,ORC.AUXILIAR!I:P,7,0)</f>
        <v>149.9</v>
      </c>
      <c r="M332" s="639">
        <f>VLOOKUP(H332,ORC.AUXILIAR!I:P,8,0)</f>
        <v>4796.8</v>
      </c>
      <c r="N332" s="639">
        <f t="shared" si="34"/>
        <v>153497.60000000001</v>
      </c>
      <c r="O332" s="639">
        <f t="shared" si="35"/>
        <v>10209432448.519674</v>
      </c>
      <c r="P332" s="640">
        <f t="shared" si="33"/>
        <v>0.99518046871669286</v>
      </c>
    </row>
    <row r="333" spans="1:16">
      <c r="A333" s="627">
        <v>4730.25</v>
      </c>
      <c r="B333" s="628">
        <v>21</v>
      </c>
      <c r="C333" s="629">
        <v>39692</v>
      </c>
      <c r="D333" s="628">
        <f>VLOOKUP(C333,ORC.AUXILIAR!I:J,2,0)</f>
        <v>0</v>
      </c>
      <c r="G333" s="636">
        <f t="shared" si="30"/>
        <v>0</v>
      </c>
      <c r="H333" s="636">
        <f t="shared" si="31"/>
        <v>39692</v>
      </c>
      <c r="I333" s="637" t="str">
        <f>VLOOKUP(H333,ORC.AUXILIAR!I:P,4,0)</f>
        <v>un</v>
      </c>
      <c r="J333" s="636">
        <f>VLOOKUP(H333,ORC.AUXILIAR!I:P,5,0)</f>
        <v>3</v>
      </c>
      <c r="K333" s="638">
        <f t="shared" si="32"/>
        <v>21</v>
      </c>
      <c r="L333" s="639">
        <f>VLOOKUP(H333,ORC.AUXILIAR!I:P,7,0)</f>
        <v>225.25</v>
      </c>
      <c r="M333" s="639">
        <f>VLOOKUP(H333,ORC.AUXILIAR!I:P,8,0)</f>
        <v>675.75</v>
      </c>
      <c r="N333" s="639">
        <f t="shared" si="34"/>
        <v>14190.75</v>
      </c>
      <c r="O333" s="639">
        <f t="shared" si="35"/>
        <v>10209446639.269674</v>
      </c>
      <c r="P333" s="640">
        <f t="shared" si="33"/>
        <v>0.99518185198234532</v>
      </c>
    </row>
    <row r="334" spans="1:16">
      <c r="A334" s="627">
        <v>4722.0468999999994</v>
      </c>
      <c r="B334" s="628">
        <v>93.71</v>
      </c>
      <c r="C334" s="629">
        <v>87269</v>
      </c>
      <c r="D334" s="628">
        <f>VLOOKUP(C334,ORC.AUXILIAR!I:J,2,0)</f>
        <v>0</v>
      </c>
      <c r="G334" s="636">
        <f t="shared" si="30"/>
        <v>0</v>
      </c>
      <c r="H334" s="636">
        <f t="shared" si="31"/>
        <v>87269</v>
      </c>
      <c r="I334" s="637" t="str">
        <f>VLOOKUP(H334,ORC.AUXILIAR!I:P,4,0)</f>
        <v>M2</v>
      </c>
      <c r="J334" s="636">
        <f>VLOOKUP(H334,ORC.AUXILIAR!I:P,5,0)</f>
        <v>93.71</v>
      </c>
      <c r="K334" s="638">
        <f t="shared" si="32"/>
        <v>93.71</v>
      </c>
      <c r="L334" s="639">
        <f>VLOOKUP(H334,ORC.AUXILIAR!I:P,7,0)</f>
        <v>50.39</v>
      </c>
      <c r="M334" s="639">
        <f>VLOOKUP(H334,ORC.AUXILIAR!I:P,8,0)</f>
        <v>4722.05</v>
      </c>
      <c r="N334" s="639">
        <f t="shared" si="34"/>
        <v>442503.30549999996</v>
      </c>
      <c r="O334" s="639">
        <f t="shared" si="35"/>
        <v>10209889142.575174</v>
      </c>
      <c r="P334" s="640">
        <f t="shared" si="33"/>
        <v>0.99522498568729867</v>
      </c>
    </row>
    <row r="335" spans="1:16">
      <c r="A335" s="627">
        <v>4680</v>
      </c>
      <c r="B335" s="628">
        <v>160</v>
      </c>
      <c r="C335" s="629" t="s">
        <v>13131</v>
      </c>
      <c r="D335" s="628">
        <f>VLOOKUP(C335,ORC.AUXILIAR!I:J,2,0)</f>
        <v>0</v>
      </c>
      <c r="G335" s="636">
        <f t="shared" si="30"/>
        <v>0</v>
      </c>
      <c r="H335" s="636" t="str">
        <f t="shared" si="31"/>
        <v>RE.VAL.07</v>
      </c>
      <c r="I335" s="637" t="str">
        <f>VLOOKUP(H335,ORC.AUXILIAR!I:P,4,0)</f>
        <v>pç</v>
      </c>
      <c r="J335" s="636">
        <f>VLOOKUP(H335,ORC.AUXILIAR!I:P,5,0)</f>
        <v>160</v>
      </c>
      <c r="K335" s="638">
        <f t="shared" si="32"/>
        <v>160</v>
      </c>
      <c r="L335" s="639">
        <f>VLOOKUP(H335,ORC.AUXILIAR!I:P,7,0)</f>
        <v>29.25</v>
      </c>
      <c r="M335" s="639">
        <f>VLOOKUP(H335,ORC.AUXILIAR!I:P,8,0)</f>
        <v>4680</v>
      </c>
      <c r="N335" s="639">
        <f t="shared" si="34"/>
        <v>748800</v>
      </c>
      <c r="O335" s="639">
        <f t="shared" si="35"/>
        <v>10210637942.575174</v>
      </c>
      <c r="P335" s="640">
        <f t="shared" si="33"/>
        <v>0.99529797614379389</v>
      </c>
    </row>
    <row r="336" spans="1:16">
      <c r="A336" s="627">
        <v>4660.2577000000001</v>
      </c>
      <c r="B336" s="628">
        <v>413.51</v>
      </c>
      <c r="C336" s="629">
        <v>93369</v>
      </c>
      <c r="D336" s="628">
        <f>VLOOKUP(C336,ORC.AUXILIAR!I:J,2,0)</f>
        <v>0</v>
      </c>
      <c r="G336" s="636">
        <f t="shared" si="30"/>
        <v>0</v>
      </c>
      <c r="H336" s="636">
        <f t="shared" si="31"/>
        <v>93369</v>
      </c>
      <c r="I336" s="637" t="str">
        <f>VLOOKUP(H336,ORC.AUXILIAR!I:P,4,0)</f>
        <v>M3</v>
      </c>
      <c r="J336" s="636">
        <f>VLOOKUP(H336,ORC.AUXILIAR!I:P,5,0)</f>
        <v>95.7</v>
      </c>
      <c r="K336" s="638">
        <f t="shared" si="32"/>
        <v>413.51</v>
      </c>
      <c r="L336" s="639">
        <f>VLOOKUP(H336,ORC.AUXILIAR!I:P,7,0)</f>
        <v>11.27</v>
      </c>
      <c r="M336" s="639">
        <f>VLOOKUP(H336,ORC.AUXILIAR!I:P,8,0)</f>
        <v>1078.54</v>
      </c>
      <c r="N336" s="639">
        <f t="shared" si="34"/>
        <v>445987.07539999997</v>
      </c>
      <c r="O336" s="639">
        <f t="shared" si="35"/>
        <v>10211083929.650574</v>
      </c>
      <c r="P336" s="640">
        <f t="shared" si="33"/>
        <v>0.99534144943469194</v>
      </c>
    </row>
    <row r="337" spans="1:16">
      <c r="A337" s="627">
        <v>4465.8500000000004</v>
      </c>
      <c r="B337" s="628">
        <v>1</v>
      </c>
      <c r="C337" s="629" t="s">
        <v>13058</v>
      </c>
      <c r="D337" s="628">
        <f>VLOOKUP(C337,ORC.AUXILIAR!I:J,2,0)</f>
        <v>0</v>
      </c>
      <c r="G337" s="636">
        <f t="shared" si="30"/>
        <v>0</v>
      </c>
      <c r="H337" s="636" t="str">
        <f t="shared" si="31"/>
        <v>CD.COMPORTA.01</v>
      </c>
      <c r="I337" s="637" t="str">
        <f>VLOOKUP(H337,ORC.AUXILIAR!I:P,4,0)</f>
        <v>un</v>
      </c>
      <c r="J337" s="636">
        <f>VLOOKUP(H337,ORC.AUXILIAR!I:P,5,0)</f>
        <v>1</v>
      </c>
      <c r="K337" s="638">
        <f t="shared" si="32"/>
        <v>1</v>
      </c>
      <c r="L337" s="639">
        <f>VLOOKUP(H337,ORC.AUXILIAR!I:P,7,0)</f>
        <v>4465.8500000000004</v>
      </c>
      <c r="M337" s="639">
        <f>VLOOKUP(H337,ORC.AUXILIAR!I:P,8,0)</f>
        <v>4465.8500000000004</v>
      </c>
      <c r="N337" s="639">
        <f t="shared" si="34"/>
        <v>4465.8500000000004</v>
      </c>
      <c r="O337" s="639">
        <f t="shared" si="35"/>
        <v>10211088395.500574</v>
      </c>
      <c r="P337" s="640">
        <f t="shared" si="33"/>
        <v>0.99534188475043728</v>
      </c>
    </row>
    <row r="338" spans="1:16">
      <c r="A338" s="627">
        <v>4437.04</v>
      </c>
      <c r="B338" s="628">
        <v>8</v>
      </c>
      <c r="C338" s="629" t="s">
        <v>13181</v>
      </c>
      <c r="D338" s="628">
        <f>VLOOKUP(C338,ORC.AUXILIAR!I:J,2,0)</f>
        <v>0</v>
      </c>
      <c r="G338" s="636">
        <f t="shared" si="30"/>
        <v>0</v>
      </c>
      <c r="H338" s="636" t="str">
        <f t="shared" si="31"/>
        <v>RE.RPVC.05</v>
      </c>
      <c r="I338" s="637" t="str">
        <f>VLOOKUP(H338,ORC.AUXILIAR!I:P,4,0)</f>
        <v>pç</v>
      </c>
      <c r="J338" s="636">
        <f>VLOOKUP(H338,ORC.AUXILIAR!I:P,5,0)</f>
        <v>8</v>
      </c>
      <c r="K338" s="638">
        <f t="shared" si="32"/>
        <v>8</v>
      </c>
      <c r="L338" s="639">
        <f>VLOOKUP(H338,ORC.AUXILIAR!I:P,7,0)</f>
        <v>554.63</v>
      </c>
      <c r="M338" s="639">
        <f>VLOOKUP(H338,ORC.AUXILIAR!I:P,8,0)</f>
        <v>4437.04</v>
      </c>
      <c r="N338" s="639">
        <f t="shared" si="34"/>
        <v>35496.32</v>
      </c>
      <c r="O338" s="639">
        <f t="shared" si="35"/>
        <v>10211123891.820574</v>
      </c>
      <c r="P338" s="640">
        <f t="shared" si="33"/>
        <v>0.99534534481000014</v>
      </c>
    </row>
    <row r="339" spans="1:16">
      <c r="A339" s="627">
        <v>4319.84</v>
      </c>
      <c r="B339" s="628">
        <v>304</v>
      </c>
      <c r="C339" s="629" t="s">
        <v>12929</v>
      </c>
      <c r="D339" s="628">
        <f>VLOOKUP(C339,ORC.AUXILIAR!I:J,2,0)</f>
        <v>0</v>
      </c>
      <c r="G339" s="636">
        <f t="shared" si="30"/>
        <v>0</v>
      </c>
      <c r="H339" s="636" t="str">
        <f t="shared" si="31"/>
        <v>TP.FºF°.15</v>
      </c>
      <c r="I339" s="637" t="str">
        <f>VLOOKUP(H339,ORC.AUXILIAR!I:P,4,0)</f>
        <v>pç</v>
      </c>
      <c r="J339" s="636">
        <f>VLOOKUP(H339,ORC.AUXILIAR!I:P,5,0)</f>
        <v>304</v>
      </c>
      <c r="K339" s="638">
        <f t="shared" si="32"/>
        <v>304</v>
      </c>
      <c r="L339" s="639">
        <f>VLOOKUP(H339,ORC.AUXILIAR!I:P,7,0)</f>
        <v>14.21</v>
      </c>
      <c r="M339" s="639">
        <f>VLOOKUP(H339,ORC.AUXILIAR!I:P,8,0)</f>
        <v>4319.84</v>
      </c>
      <c r="N339" s="639">
        <f t="shared" si="34"/>
        <v>1313231.3600000001</v>
      </c>
      <c r="O339" s="639">
        <f t="shared" si="35"/>
        <v>10212437123.180574</v>
      </c>
      <c r="P339" s="640">
        <f t="shared" si="33"/>
        <v>0.99547335410013149</v>
      </c>
    </row>
    <row r="340" spans="1:16">
      <c r="A340" s="627">
        <v>4279.2</v>
      </c>
      <c r="B340" s="628">
        <v>80</v>
      </c>
      <c r="C340" s="629">
        <v>1828</v>
      </c>
      <c r="D340" s="628">
        <f>VLOOKUP(C340,ORC.AUXILIAR!I:J,2,0)</f>
        <v>0</v>
      </c>
      <c r="G340" s="636">
        <f t="shared" si="30"/>
        <v>0</v>
      </c>
      <c r="H340" s="636">
        <f t="shared" si="31"/>
        <v>1828</v>
      </c>
      <c r="I340" s="637" t="str">
        <f>VLOOKUP(H340,ORC.AUXILIAR!I:P,4,0)</f>
        <v>pç</v>
      </c>
      <c r="J340" s="636">
        <f>VLOOKUP(H340,ORC.AUXILIAR!I:P,5,0)</f>
        <v>80</v>
      </c>
      <c r="K340" s="638">
        <f t="shared" si="32"/>
        <v>80</v>
      </c>
      <c r="L340" s="639">
        <f>VLOOKUP(H340,ORC.AUXILIAR!I:P,7,0)</f>
        <v>53.49</v>
      </c>
      <c r="M340" s="639">
        <f>VLOOKUP(H340,ORC.AUXILIAR!I:P,8,0)</f>
        <v>4279.2</v>
      </c>
      <c r="N340" s="639">
        <f t="shared" si="34"/>
        <v>342336</v>
      </c>
      <c r="O340" s="639">
        <f t="shared" si="35"/>
        <v>10212779459.180574</v>
      </c>
      <c r="P340" s="640">
        <f t="shared" si="33"/>
        <v>0.99550672383960104</v>
      </c>
    </row>
    <row r="341" spans="1:16">
      <c r="A341" s="627">
        <v>4277.0999999999995</v>
      </c>
      <c r="B341" s="628">
        <v>30</v>
      </c>
      <c r="C341" s="629" t="s">
        <v>13466</v>
      </c>
      <c r="D341" s="628">
        <f>VLOOKUP(C341,ORC.AUXILIAR!I:J,2,0)</f>
        <v>0</v>
      </c>
      <c r="G341" s="636">
        <f t="shared" si="30"/>
        <v>0</v>
      </c>
      <c r="H341" s="636" t="str">
        <f t="shared" si="31"/>
        <v>INST.CX.AREIA.06</v>
      </c>
      <c r="I341" s="637" t="str">
        <f>VLOOKUP(H341,ORC.AUXILIAR!I:P,4,0)</f>
        <v>m</v>
      </c>
      <c r="J341" s="636">
        <f>VLOOKUP(H341,ORC.AUXILIAR!I:P,5,0)</f>
        <v>30</v>
      </c>
      <c r="K341" s="638">
        <f t="shared" si="32"/>
        <v>30</v>
      </c>
      <c r="L341" s="639">
        <f>VLOOKUP(H341,ORC.AUXILIAR!I:P,7,0)</f>
        <v>142.57</v>
      </c>
      <c r="M341" s="639">
        <f>VLOOKUP(H341,ORC.AUXILIAR!I:P,8,0)</f>
        <v>4277.1000000000004</v>
      </c>
      <c r="N341" s="639">
        <f t="shared" si="34"/>
        <v>128313.00000000001</v>
      </c>
      <c r="O341" s="639">
        <f t="shared" si="35"/>
        <v>10212907772.180574</v>
      </c>
      <c r="P341" s="640">
        <f t="shared" si="33"/>
        <v>0.99551923135087816</v>
      </c>
    </row>
    <row r="342" spans="1:16">
      <c r="A342" s="627">
        <v>4271.3599999999997</v>
      </c>
      <c r="B342" s="628">
        <v>8</v>
      </c>
      <c r="C342" s="629" t="s">
        <v>13664</v>
      </c>
      <c r="D342" s="628">
        <f>VLOOKUP(C342,ORC.AUXILIAR!I:J,2,0)</f>
        <v>0</v>
      </c>
      <c r="G342" s="636">
        <f t="shared" si="30"/>
        <v>0</v>
      </c>
      <c r="H342" s="636" t="str">
        <f t="shared" si="31"/>
        <v>SUB.22</v>
      </c>
      <c r="I342" s="637" t="str">
        <f>VLOOKUP(H342,ORC.AUXILIAR!I:P,4,0)</f>
        <v>br</v>
      </c>
      <c r="J342" s="636">
        <f>VLOOKUP(H342,ORC.AUXILIAR!I:P,5,0)</f>
        <v>8</v>
      </c>
      <c r="K342" s="638">
        <f t="shared" si="32"/>
        <v>8</v>
      </c>
      <c r="L342" s="639">
        <f>VLOOKUP(H342,ORC.AUXILIAR!I:P,7,0)</f>
        <v>533.91999999999996</v>
      </c>
      <c r="M342" s="639">
        <f>VLOOKUP(H342,ORC.AUXILIAR!I:P,8,0)</f>
        <v>4271.3599999999997</v>
      </c>
      <c r="N342" s="639">
        <f t="shared" si="34"/>
        <v>34170.879999999997</v>
      </c>
      <c r="O342" s="639">
        <f t="shared" si="35"/>
        <v>10212941943.060574</v>
      </c>
      <c r="P342" s="640">
        <f t="shared" si="33"/>
        <v>0.99552256221109447</v>
      </c>
    </row>
    <row r="343" spans="1:16">
      <c r="A343" s="627">
        <v>4227.05</v>
      </c>
      <c r="B343" s="628">
        <v>1</v>
      </c>
      <c r="C343" s="629" t="s">
        <v>14187</v>
      </c>
      <c r="D343" s="628">
        <f>VLOOKUP(C343,ORC.AUXILIAR!I:J,2,0)</f>
        <v>0</v>
      </c>
      <c r="G343" s="636">
        <f t="shared" si="30"/>
        <v>0</v>
      </c>
      <c r="H343" s="636" t="str">
        <f t="shared" si="31"/>
        <v>CT.FºFº.14</v>
      </c>
      <c r="I343" s="637" t="str">
        <f>VLOOKUP(H343,ORC.AUXILIAR!I:P,4,0)</f>
        <v>un</v>
      </c>
      <c r="J343" s="636">
        <f>VLOOKUP(H343,ORC.AUXILIAR!I:P,5,0)</f>
        <v>1</v>
      </c>
      <c r="K343" s="638">
        <f t="shared" si="32"/>
        <v>1</v>
      </c>
      <c r="L343" s="639">
        <f>VLOOKUP(H343,ORC.AUXILIAR!I:P,7,0)</f>
        <v>4227.05</v>
      </c>
      <c r="M343" s="639">
        <f>VLOOKUP(H343,ORC.AUXILIAR!I:P,8,0)</f>
        <v>4227.05</v>
      </c>
      <c r="N343" s="639">
        <f t="shared" si="34"/>
        <v>4227.05</v>
      </c>
      <c r="O343" s="639">
        <f t="shared" si="35"/>
        <v>10212946170.110573</v>
      </c>
      <c r="P343" s="640">
        <f t="shared" si="33"/>
        <v>0.99552297424943459</v>
      </c>
    </row>
    <row r="344" spans="1:16">
      <c r="A344" s="627">
        <v>4220.7120000000004</v>
      </c>
      <c r="B344" s="628">
        <v>74.400000000000006</v>
      </c>
      <c r="C344" s="629">
        <v>92341</v>
      </c>
      <c r="D344" s="628">
        <f>VLOOKUP(C344,ORC.AUXILIAR!I:J,2,0)</f>
        <v>0</v>
      </c>
      <c r="G344" s="636">
        <f t="shared" si="30"/>
        <v>0</v>
      </c>
      <c r="H344" s="636">
        <f t="shared" si="31"/>
        <v>92341</v>
      </c>
      <c r="I344" s="637" t="str">
        <f>VLOOKUP(H344,ORC.AUXILIAR!I:P,4,0)</f>
        <v>m</v>
      </c>
      <c r="J344" s="636">
        <f>VLOOKUP(H344,ORC.AUXILIAR!I:P,5,0)</f>
        <v>74.400000000000006</v>
      </c>
      <c r="K344" s="638">
        <f t="shared" si="32"/>
        <v>74.400000000000006</v>
      </c>
      <c r="L344" s="639">
        <f>VLOOKUP(H344,ORC.AUXILIAR!I:P,7,0)</f>
        <v>56.73</v>
      </c>
      <c r="M344" s="639">
        <f>VLOOKUP(H344,ORC.AUXILIAR!I:P,8,0)</f>
        <v>4220.71</v>
      </c>
      <c r="N344" s="639">
        <f t="shared" si="34"/>
        <v>314020.82400000002</v>
      </c>
      <c r="O344" s="639">
        <f t="shared" si="35"/>
        <v>10213260190.934572</v>
      </c>
      <c r="P344" s="640">
        <f t="shared" si="33"/>
        <v>0.99555358392263538</v>
      </c>
    </row>
    <row r="345" spans="1:16">
      <c r="A345" s="627">
        <v>4220.16</v>
      </c>
      <c r="B345" s="628">
        <v>672</v>
      </c>
      <c r="C345" s="629" t="s">
        <v>12925</v>
      </c>
      <c r="D345" s="628">
        <f>VLOOKUP(C345,ORC.AUXILIAR!I:J,2,0)</f>
        <v>0</v>
      </c>
      <c r="G345" s="636">
        <f t="shared" si="30"/>
        <v>0</v>
      </c>
      <c r="H345" s="636" t="str">
        <f t="shared" si="31"/>
        <v>TP.FºF°.14</v>
      </c>
      <c r="I345" s="637" t="str">
        <f>VLOOKUP(H345,ORC.AUXILIAR!I:P,4,0)</f>
        <v>pç</v>
      </c>
      <c r="J345" s="636">
        <f>VLOOKUP(H345,ORC.AUXILIAR!I:P,5,0)</f>
        <v>672</v>
      </c>
      <c r="K345" s="638">
        <f t="shared" si="32"/>
        <v>672</v>
      </c>
      <c r="L345" s="639">
        <f>VLOOKUP(H345,ORC.AUXILIAR!I:P,7,0)</f>
        <v>6.28</v>
      </c>
      <c r="M345" s="639">
        <f>VLOOKUP(H345,ORC.AUXILIAR!I:P,8,0)</f>
        <v>4220.16</v>
      </c>
      <c r="N345" s="639">
        <f t="shared" si="34"/>
        <v>2835947.52</v>
      </c>
      <c r="O345" s="639">
        <f t="shared" si="35"/>
        <v>10216096138.454573</v>
      </c>
      <c r="P345" s="640">
        <f t="shared" si="33"/>
        <v>0.99583002236291507</v>
      </c>
    </row>
    <row r="346" spans="1:16">
      <c r="A346" s="627">
        <v>4131.8879999999999</v>
      </c>
      <c r="B346" s="628">
        <v>1167.2</v>
      </c>
      <c r="C346" s="629">
        <v>9868</v>
      </c>
      <c r="D346" s="628">
        <f>VLOOKUP(C346,ORC.AUXILIAR!I:J,2,0)</f>
        <v>0</v>
      </c>
      <c r="G346" s="636">
        <f t="shared" si="30"/>
        <v>0</v>
      </c>
      <c r="H346" s="636">
        <f t="shared" si="31"/>
        <v>9868</v>
      </c>
      <c r="I346" s="637" t="str">
        <f>VLOOKUP(H346,ORC.AUXILIAR!I:P,4,0)</f>
        <v>m</v>
      </c>
      <c r="J346" s="636">
        <f>VLOOKUP(H346,ORC.AUXILIAR!I:P,5,0)</f>
        <v>18</v>
      </c>
      <c r="K346" s="638">
        <f t="shared" si="32"/>
        <v>1167.2</v>
      </c>
      <c r="L346" s="639">
        <f>VLOOKUP(H346,ORC.AUXILIAR!I:P,7,0)</f>
        <v>3.54</v>
      </c>
      <c r="M346" s="639">
        <f>VLOOKUP(H346,ORC.AUXILIAR!I:P,8,0)</f>
        <v>63.72</v>
      </c>
      <c r="N346" s="639">
        <f t="shared" si="34"/>
        <v>74373.983999999997</v>
      </c>
      <c r="O346" s="639">
        <f t="shared" si="35"/>
        <v>10216170512.438572</v>
      </c>
      <c r="P346" s="640">
        <f t="shared" si="33"/>
        <v>0.99583727208385986</v>
      </c>
    </row>
    <row r="347" spans="1:16">
      <c r="A347" s="627">
        <v>4110.1346485874228</v>
      </c>
      <c r="B347" s="628">
        <v>228.97686064553886</v>
      </c>
      <c r="C347" s="629">
        <v>93380</v>
      </c>
      <c r="D347" s="628">
        <f>VLOOKUP(C347,ORC.AUXILIAR!I:J,2,0)</f>
        <v>0</v>
      </c>
      <c r="G347" s="636">
        <f t="shared" si="30"/>
        <v>0</v>
      </c>
      <c r="H347" s="636">
        <f t="shared" si="31"/>
        <v>93380</v>
      </c>
      <c r="I347" s="637" t="str">
        <f>VLOOKUP(H347,ORC.AUXILIAR!I:P,4,0)</f>
        <v>M3</v>
      </c>
      <c r="J347" s="636">
        <f>VLOOKUP(H347,ORC.AUXILIAR!I:P,5,0)</f>
        <v>228.97686064553886</v>
      </c>
      <c r="K347" s="638">
        <f t="shared" si="32"/>
        <v>228.97686064553886</v>
      </c>
      <c r="L347" s="639">
        <f>VLOOKUP(H347,ORC.AUXILIAR!I:P,7,0)</f>
        <v>17.95</v>
      </c>
      <c r="M347" s="639">
        <f>VLOOKUP(H347,ORC.AUXILIAR!I:P,8,0)</f>
        <v>4110.13</v>
      </c>
      <c r="N347" s="639">
        <f t="shared" si="34"/>
        <v>941124.66424504865</v>
      </c>
      <c r="O347" s="639">
        <f t="shared" si="35"/>
        <v>10217111637.102818</v>
      </c>
      <c r="P347" s="640">
        <f t="shared" si="33"/>
        <v>0.99592900968917808</v>
      </c>
    </row>
    <row r="348" spans="1:16">
      <c r="A348" s="627">
        <v>4108.17</v>
      </c>
      <c r="B348" s="628">
        <v>11</v>
      </c>
      <c r="C348" s="629" t="s">
        <v>12705</v>
      </c>
      <c r="D348" s="628">
        <f>VLOOKUP(C348,ORC.AUXILIAR!I:J,2,0)</f>
        <v>0</v>
      </c>
      <c r="G348" s="636">
        <f t="shared" si="30"/>
        <v>0</v>
      </c>
      <c r="H348" s="636" t="str">
        <f t="shared" si="31"/>
        <v>RE.AI.05</v>
      </c>
      <c r="I348" s="637" t="str">
        <f>VLOOKUP(H348,ORC.AUXILIAR!I:P,4,0)</f>
        <v>pç</v>
      </c>
      <c r="J348" s="636">
        <f>VLOOKUP(H348,ORC.AUXILIAR!I:P,5,0)</f>
        <v>11</v>
      </c>
      <c r="K348" s="638">
        <f t="shared" si="32"/>
        <v>11</v>
      </c>
      <c r="L348" s="639">
        <f>VLOOKUP(H348,ORC.AUXILIAR!I:P,7,0)</f>
        <v>373.47</v>
      </c>
      <c r="M348" s="639">
        <f>VLOOKUP(H348,ORC.AUXILIAR!I:P,8,0)</f>
        <v>4108.17</v>
      </c>
      <c r="N348" s="639">
        <f t="shared" si="34"/>
        <v>45189.87</v>
      </c>
      <c r="O348" s="639">
        <f t="shared" si="35"/>
        <v>10217156826.972818</v>
      </c>
      <c r="P348" s="640">
        <f t="shared" si="33"/>
        <v>0.99593341464275753</v>
      </c>
    </row>
    <row r="349" spans="1:16">
      <c r="A349" s="627">
        <v>4077.2000000000003</v>
      </c>
      <c r="B349" s="628">
        <v>40</v>
      </c>
      <c r="C349" s="629" t="s">
        <v>19257</v>
      </c>
      <c r="D349" s="628">
        <f>VLOOKUP(C349,ORC.AUXILIAR!I:J,2,0)</f>
        <v>0</v>
      </c>
      <c r="G349" s="636">
        <f t="shared" si="30"/>
        <v>0</v>
      </c>
      <c r="H349" s="636" t="str">
        <f t="shared" si="31"/>
        <v>74022/57</v>
      </c>
      <c r="I349" s="637" t="str">
        <f>VLOOKUP(H349,ORC.AUXILIAR!I:P,4,0)</f>
        <v>UN</v>
      </c>
      <c r="J349" s="636">
        <f>VLOOKUP(H349,ORC.AUXILIAR!I:P,5,0)</f>
        <v>1</v>
      </c>
      <c r="K349" s="638">
        <f t="shared" si="32"/>
        <v>40</v>
      </c>
      <c r="L349" s="639">
        <f>VLOOKUP(H349,ORC.AUXILIAR!I:P,7,0)</f>
        <v>101.93</v>
      </c>
      <c r="M349" s="639">
        <f>VLOOKUP(H349,ORC.AUXILIAR!I:P,8,0)</f>
        <v>101.93</v>
      </c>
      <c r="N349" s="639">
        <f t="shared" si="34"/>
        <v>4077.2000000000003</v>
      </c>
      <c r="O349" s="639">
        <f t="shared" si="35"/>
        <v>10217160904.172819</v>
      </c>
      <c r="P349" s="640">
        <f t="shared" si="33"/>
        <v>0.99593381207423359</v>
      </c>
    </row>
    <row r="350" spans="1:16">
      <c r="A350" s="627">
        <v>4063.2525249788814</v>
      </c>
      <c r="B350" s="628">
        <v>3250.602019983105</v>
      </c>
      <c r="C350" s="629">
        <v>83344</v>
      </c>
      <c r="D350" s="628">
        <f>VLOOKUP(C350,ORC.AUXILIAR!I:J,2,0)</f>
        <v>0</v>
      </c>
      <c r="G350" s="636">
        <f t="shared" si="30"/>
        <v>0</v>
      </c>
      <c r="H350" s="636">
        <f t="shared" si="31"/>
        <v>83344</v>
      </c>
      <c r="I350" s="637" t="str">
        <f>VLOOKUP(H350,ORC.AUXILIAR!I:P,4,0)</f>
        <v>M3</v>
      </c>
      <c r="J350" s="636">
        <f>VLOOKUP(H350,ORC.AUXILIAR!I:P,5,0)</f>
        <v>0</v>
      </c>
      <c r="K350" s="638">
        <f t="shared" si="32"/>
        <v>3250.602019983105</v>
      </c>
      <c r="L350" s="639">
        <f>VLOOKUP(H350,ORC.AUXILIAR!I:P,7,0)</f>
        <v>1.25</v>
      </c>
      <c r="M350" s="639">
        <f>VLOOKUP(H350,ORC.AUXILIAR!I:P,8,0)</f>
        <v>0</v>
      </c>
      <c r="N350" s="639">
        <f t="shared" si="34"/>
        <v>0</v>
      </c>
      <c r="O350" s="639">
        <f t="shared" si="35"/>
        <v>10217160904.172819</v>
      </c>
      <c r="P350" s="640">
        <f t="shared" si="33"/>
        <v>0.99593381207423359</v>
      </c>
    </row>
    <row r="351" spans="1:16">
      <c r="A351" s="627">
        <v>4046.2446</v>
      </c>
      <c r="B351" s="628">
        <v>397.47</v>
      </c>
      <c r="C351" s="629">
        <v>73515</v>
      </c>
      <c r="D351" s="628">
        <f>VLOOKUP(C351,ORC.AUXILIAR!I:J,2,0)</f>
        <v>0</v>
      </c>
      <c r="G351" s="636">
        <f t="shared" si="30"/>
        <v>0</v>
      </c>
      <c r="H351" s="636">
        <f t="shared" si="31"/>
        <v>73515</v>
      </c>
      <c r="I351" s="637" t="str">
        <f>VLOOKUP(H351,ORC.AUXILIAR!I:P,4,0)</f>
        <v>M</v>
      </c>
      <c r="J351" s="636">
        <f>VLOOKUP(H351,ORC.AUXILIAR!I:P,5,0)</f>
        <v>263</v>
      </c>
      <c r="K351" s="638">
        <f t="shared" si="32"/>
        <v>397.47</v>
      </c>
      <c r="L351" s="639">
        <f>VLOOKUP(H351,ORC.AUXILIAR!I:P,7,0)</f>
        <v>10.18</v>
      </c>
      <c r="M351" s="639">
        <f>VLOOKUP(H351,ORC.AUXILIAR!I:P,8,0)</f>
        <v>2677.34</v>
      </c>
      <c r="N351" s="639">
        <f t="shared" si="34"/>
        <v>1064162.3298000002</v>
      </c>
      <c r="O351" s="639">
        <f t="shared" si="35"/>
        <v>10218225066.502619</v>
      </c>
      <c r="P351" s="640">
        <f t="shared" si="33"/>
        <v>0.99603754296931524</v>
      </c>
    </row>
    <row r="352" spans="1:16">
      <c r="A352" s="627">
        <v>4018.86</v>
      </c>
      <c r="B352" s="628">
        <v>2</v>
      </c>
      <c r="C352" s="629" t="s">
        <v>12980</v>
      </c>
      <c r="D352" s="628">
        <f>VLOOKUP(C352,ORC.AUXILIAR!I:J,2,0)</f>
        <v>0</v>
      </c>
      <c r="G352" s="636">
        <f t="shared" si="30"/>
        <v>0</v>
      </c>
      <c r="H352" s="636" t="str">
        <f t="shared" si="31"/>
        <v>RE.F°F°.36</v>
      </c>
      <c r="I352" s="637" t="str">
        <f>VLOOKUP(H352,ORC.AUXILIAR!I:P,4,0)</f>
        <v>pç</v>
      </c>
      <c r="J352" s="636">
        <f>VLOOKUP(H352,ORC.AUXILIAR!I:P,5,0)</f>
        <v>2</v>
      </c>
      <c r="K352" s="638">
        <f t="shared" si="32"/>
        <v>2</v>
      </c>
      <c r="L352" s="639">
        <f>VLOOKUP(H352,ORC.AUXILIAR!I:P,7,0)</f>
        <v>2009.43</v>
      </c>
      <c r="M352" s="639">
        <f>VLOOKUP(H352,ORC.AUXILIAR!I:P,8,0)</f>
        <v>4018.86</v>
      </c>
      <c r="N352" s="639">
        <f t="shared" si="34"/>
        <v>8037.72</v>
      </c>
      <c r="O352" s="639">
        <f t="shared" si="35"/>
        <v>10218233104.222618</v>
      </c>
      <c r="P352" s="640">
        <f t="shared" si="33"/>
        <v>0.99603832645870083</v>
      </c>
    </row>
    <row r="353" spans="1:16">
      <c r="A353" s="627">
        <v>4018.86</v>
      </c>
      <c r="B353" s="628">
        <v>2</v>
      </c>
      <c r="C353" s="629" t="s">
        <v>12982</v>
      </c>
      <c r="D353" s="628">
        <f>VLOOKUP(C353,ORC.AUXILIAR!I:J,2,0)</f>
        <v>0</v>
      </c>
      <c r="G353" s="636">
        <f t="shared" si="30"/>
        <v>0</v>
      </c>
      <c r="H353" s="636" t="str">
        <f t="shared" si="31"/>
        <v>RE.F°F°.37</v>
      </c>
      <c r="I353" s="637" t="str">
        <f>VLOOKUP(H353,ORC.AUXILIAR!I:P,4,0)</f>
        <v>pç</v>
      </c>
      <c r="J353" s="636">
        <f>VLOOKUP(H353,ORC.AUXILIAR!I:P,5,0)</f>
        <v>2</v>
      </c>
      <c r="K353" s="638">
        <f t="shared" si="32"/>
        <v>2</v>
      </c>
      <c r="L353" s="639">
        <f>VLOOKUP(H353,ORC.AUXILIAR!I:P,7,0)</f>
        <v>2009.43</v>
      </c>
      <c r="M353" s="639">
        <f>VLOOKUP(H353,ORC.AUXILIAR!I:P,8,0)</f>
        <v>4018.86</v>
      </c>
      <c r="N353" s="639">
        <f t="shared" si="34"/>
        <v>8037.72</v>
      </c>
      <c r="O353" s="639">
        <f t="shared" si="35"/>
        <v>10218241141.942617</v>
      </c>
      <c r="P353" s="640">
        <f t="shared" si="33"/>
        <v>0.99603910994808642</v>
      </c>
    </row>
    <row r="354" spans="1:16">
      <c r="A354" s="627">
        <v>3987.1350000000002</v>
      </c>
      <c r="B354" s="628">
        <v>317.7</v>
      </c>
      <c r="C354" s="629" t="s">
        <v>14715</v>
      </c>
      <c r="D354" s="628">
        <f>VLOOKUP(C354,ORC.AUXILIAR!I:J,2,0)</f>
        <v>0</v>
      </c>
      <c r="G354" s="636">
        <f t="shared" si="30"/>
        <v>0</v>
      </c>
      <c r="H354" s="636" t="str">
        <f t="shared" si="31"/>
        <v>73888/12</v>
      </c>
      <c r="I354" s="637" t="str">
        <f>VLOOKUP(H354,ORC.AUXILIAR!I:P,4,0)</f>
        <v>M</v>
      </c>
      <c r="J354" s="636">
        <f>VLOOKUP(H354,ORC.AUXILIAR!I:P,5,0)</f>
        <v>317.7</v>
      </c>
      <c r="K354" s="638">
        <f t="shared" si="32"/>
        <v>317.7</v>
      </c>
      <c r="L354" s="639">
        <f>VLOOKUP(H354,ORC.AUXILIAR!I:P,7,0)</f>
        <v>12.55</v>
      </c>
      <c r="M354" s="639">
        <f>VLOOKUP(H354,ORC.AUXILIAR!I:P,8,0)</f>
        <v>3987.14</v>
      </c>
      <c r="N354" s="639">
        <f t="shared" si="34"/>
        <v>1266714.378</v>
      </c>
      <c r="O354" s="639">
        <f t="shared" si="35"/>
        <v>10219507856.320618</v>
      </c>
      <c r="P354" s="640">
        <f t="shared" si="33"/>
        <v>0.99616258492231102</v>
      </c>
    </row>
    <row r="355" spans="1:16">
      <c r="A355" s="627">
        <v>3965.4</v>
      </c>
      <c r="B355" s="628">
        <v>5</v>
      </c>
      <c r="C355" s="629" t="s">
        <v>12938</v>
      </c>
      <c r="D355" s="628">
        <f>VLOOKUP(C355,ORC.AUXILIAR!I:J,2,0)</f>
        <v>0</v>
      </c>
      <c r="G355" s="636">
        <f t="shared" si="30"/>
        <v>0</v>
      </c>
      <c r="H355" s="636" t="str">
        <f t="shared" si="31"/>
        <v>TP.FºF°.11</v>
      </c>
      <c r="I355" s="637" t="str">
        <f>VLOOKUP(H355,ORC.AUXILIAR!I:P,4,0)</f>
        <v>pç</v>
      </c>
      <c r="J355" s="636">
        <f>VLOOKUP(H355,ORC.AUXILIAR!I:P,5,0)</f>
        <v>5</v>
      </c>
      <c r="K355" s="638">
        <f t="shared" si="32"/>
        <v>5</v>
      </c>
      <c r="L355" s="639">
        <f>VLOOKUP(H355,ORC.AUXILIAR!I:P,7,0)</f>
        <v>793.08</v>
      </c>
      <c r="M355" s="639">
        <f>VLOOKUP(H355,ORC.AUXILIAR!I:P,8,0)</f>
        <v>3965.4</v>
      </c>
      <c r="N355" s="639">
        <f t="shared" si="34"/>
        <v>19827</v>
      </c>
      <c r="O355" s="639">
        <f t="shared" si="35"/>
        <v>10219527683.320618</v>
      </c>
      <c r="P355" s="640">
        <f t="shared" si="33"/>
        <v>0.99616451759028768</v>
      </c>
    </row>
    <row r="356" spans="1:16">
      <c r="A356" s="627">
        <v>3899</v>
      </c>
      <c r="B356" s="628">
        <v>2</v>
      </c>
      <c r="C356" s="629">
        <v>1615</v>
      </c>
      <c r="D356" s="628">
        <f>VLOOKUP(C356,ORC.AUXILIAR!I:J,2,0)</f>
        <v>0</v>
      </c>
      <c r="G356" s="636">
        <f t="shared" si="30"/>
        <v>0</v>
      </c>
      <c r="H356" s="636">
        <f t="shared" si="31"/>
        <v>1615</v>
      </c>
      <c r="I356" s="637" t="str">
        <f>VLOOKUP(H356,ORC.AUXILIAR!I:P,4,0)</f>
        <v>UN</v>
      </c>
      <c r="J356" s="636">
        <f>VLOOKUP(H356,ORC.AUXILIAR!I:P,5,0)</f>
        <v>1</v>
      </c>
      <c r="K356" s="638">
        <f t="shared" si="32"/>
        <v>2</v>
      </c>
      <c r="L356" s="639">
        <f>VLOOKUP(H356,ORC.AUXILIAR!I:P,7,0)</f>
        <v>1949.5</v>
      </c>
      <c r="M356" s="639">
        <f>VLOOKUP(H356,ORC.AUXILIAR!I:P,8,0)</f>
        <v>1949.5</v>
      </c>
      <c r="N356" s="639">
        <f t="shared" si="34"/>
        <v>3899</v>
      </c>
      <c r="O356" s="639">
        <f t="shared" si="35"/>
        <v>10219531582.320618</v>
      </c>
      <c r="P356" s="640">
        <f t="shared" si="33"/>
        <v>0.99616489765143867</v>
      </c>
    </row>
    <row r="357" spans="1:16">
      <c r="A357" s="627">
        <v>3860.6400000000003</v>
      </c>
      <c r="B357" s="628">
        <v>48</v>
      </c>
      <c r="C357" s="629" t="s">
        <v>14418</v>
      </c>
      <c r="D357" s="628">
        <f>VLOOKUP(C357,ORC.AUXILIAR!I:J,2,0)</f>
        <v>0</v>
      </c>
      <c r="G357" s="636">
        <f t="shared" si="30"/>
        <v>0</v>
      </c>
      <c r="H357" s="636" t="str">
        <f t="shared" si="31"/>
        <v>REATOR.FB.43</v>
      </c>
      <c r="I357" s="637" t="str">
        <f>VLOOKUP(H357,ORC.AUXILIAR!I:P,4,0)</f>
        <v>pç</v>
      </c>
      <c r="J357" s="636">
        <f>VLOOKUP(H357,ORC.AUXILIAR!I:P,5,0)</f>
        <v>48</v>
      </c>
      <c r="K357" s="638">
        <f t="shared" si="32"/>
        <v>48</v>
      </c>
      <c r="L357" s="639">
        <f>VLOOKUP(H357,ORC.AUXILIAR!I:P,7,0)</f>
        <v>80.430000000000007</v>
      </c>
      <c r="M357" s="639">
        <f>VLOOKUP(H357,ORC.AUXILIAR!I:P,8,0)</f>
        <v>3860.64</v>
      </c>
      <c r="N357" s="639">
        <f t="shared" si="34"/>
        <v>185310.72</v>
      </c>
      <c r="O357" s="639">
        <f t="shared" si="35"/>
        <v>10219716893.040617</v>
      </c>
      <c r="P357" s="640">
        <f t="shared" si="33"/>
        <v>0.99618296110502602</v>
      </c>
    </row>
    <row r="358" spans="1:16">
      <c r="A358" s="627">
        <v>3860.6400000000003</v>
      </c>
      <c r="B358" s="628">
        <v>48</v>
      </c>
      <c r="C358" s="629" t="s">
        <v>14424</v>
      </c>
      <c r="D358" s="628">
        <f>VLOOKUP(C358,ORC.AUXILIAR!I:J,2,0)</f>
        <v>0</v>
      </c>
      <c r="G358" s="636">
        <f t="shared" si="30"/>
        <v>0</v>
      </c>
      <c r="H358" s="636" t="str">
        <f t="shared" si="31"/>
        <v>REATOR.FB.46</v>
      </c>
      <c r="I358" s="637" t="str">
        <f>VLOOKUP(H358,ORC.AUXILIAR!I:P,4,0)</f>
        <v>un</v>
      </c>
      <c r="J358" s="636">
        <f>VLOOKUP(H358,ORC.AUXILIAR!I:P,5,0)</f>
        <v>48</v>
      </c>
      <c r="K358" s="638">
        <f t="shared" si="32"/>
        <v>48</v>
      </c>
      <c r="L358" s="639">
        <f>VLOOKUP(H358,ORC.AUXILIAR!I:P,7,0)</f>
        <v>80.430000000000007</v>
      </c>
      <c r="M358" s="639">
        <f>VLOOKUP(H358,ORC.AUXILIAR!I:P,8,0)</f>
        <v>3860.64</v>
      </c>
      <c r="N358" s="639">
        <f t="shared" si="34"/>
        <v>185310.72</v>
      </c>
      <c r="O358" s="639">
        <f t="shared" si="35"/>
        <v>10219902203.760616</v>
      </c>
      <c r="P358" s="640">
        <f t="shared" si="33"/>
        <v>0.99620102455861337</v>
      </c>
    </row>
    <row r="359" spans="1:16">
      <c r="A359" s="627">
        <v>3857.76</v>
      </c>
      <c r="B359" s="628">
        <v>3</v>
      </c>
      <c r="C359" s="629">
        <v>1611</v>
      </c>
      <c r="D359" s="628">
        <f>VLOOKUP(C359,ORC.AUXILIAR!I:J,2,0)</f>
        <v>0</v>
      </c>
      <c r="G359" s="636">
        <f t="shared" si="30"/>
        <v>0</v>
      </c>
      <c r="H359" s="636">
        <f t="shared" si="31"/>
        <v>1611</v>
      </c>
      <c r="I359" s="637" t="str">
        <f>VLOOKUP(H359,ORC.AUXILIAR!I:P,4,0)</f>
        <v>UN</v>
      </c>
      <c r="J359" s="636">
        <f>VLOOKUP(H359,ORC.AUXILIAR!I:P,5,0)</f>
        <v>3</v>
      </c>
      <c r="K359" s="638">
        <f t="shared" si="32"/>
        <v>3</v>
      </c>
      <c r="L359" s="639">
        <f>VLOOKUP(H359,ORC.AUXILIAR!I:P,7,0)</f>
        <v>1285.92</v>
      </c>
      <c r="M359" s="639">
        <f>VLOOKUP(H359,ORC.AUXILIAR!I:P,8,0)</f>
        <v>3857.76</v>
      </c>
      <c r="N359" s="639">
        <f t="shared" si="34"/>
        <v>11573.28</v>
      </c>
      <c r="O359" s="639">
        <f t="shared" si="35"/>
        <v>10219913777.040617</v>
      </c>
      <c r="P359" s="640">
        <f t="shared" si="33"/>
        <v>0.99620215268226509</v>
      </c>
    </row>
    <row r="360" spans="1:16">
      <c r="A360" s="627">
        <v>3839.2200000000003</v>
      </c>
      <c r="B360" s="628">
        <v>2493</v>
      </c>
      <c r="C360" s="629">
        <v>1512</v>
      </c>
      <c r="D360" s="628">
        <f>VLOOKUP(C360,ORC.AUXILIAR!I:J,2,0)</f>
        <v>0</v>
      </c>
      <c r="G360" s="636">
        <f t="shared" si="30"/>
        <v>0</v>
      </c>
      <c r="H360" s="636">
        <f t="shared" si="31"/>
        <v>1512</v>
      </c>
      <c r="I360" s="637" t="str">
        <f>VLOOKUP(H360,ORC.AUXILIAR!I:P,4,0)</f>
        <v>M</v>
      </c>
      <c r="J360" s="636">
        <f>VLOOKUP(H360,ORC.AUXILIAR!I:P,5,0)</f>
        <v>0</v>
      </c>
      <c r="K360" s="638">
        <f t="shared" si="32"/>
        <v>2493</v>
      </c>
      <c r="L360" s="639">
        <f>VLOOKUP(H360,ORC.AUXILIAR!I:P,7,0)</f>
        <v>1.54</v>
      </c>
      <c r="M360" s="639">
        <f>VLOOKUP(H360,ORC.AUXILIAR!I:P,8,0)</f>
        <v>0</v>
      </c>
      <c r="N360" s="639">
        <f t="shared" si="34"/>
        <v>0</v>
      </c>
      <c r="O360" s="639">
        <f t="shared" si="35"/>
        <v>10219913777.040617</v>
      </c>
      <c r="P360" s="640">
        <f t="shared" si="33"/>
        <v>0.99620215268226509</v>
      </c>
    </row>
    <row r="361" spans="1:16">
      <c r="A361" s="627">
        <v>3777.28</v>
      </c>
      <c r="B361" s="628">
        <v>2</v>
      </c>
      <c r="C361" s="629" t="s">
        <v>13525</v>
      </c>
      <c r="D361" s="628">
        <f>VLOOKUP(C361,ORC.AUXILIAR!I:J,2,0)</f>
        <v>0</v>
      </c>
      <c r="G361" s="636">
        <f t="shared" si="30"/>
        <v>0</v>
      </c>
      <c r="H361" s="636" t="str">
        <f t="shared" si="31"/>
        <v>INST.CASA.CONTR.24</v>
      </c>
      <c r="I361" s="637" t="str">
        <f>VLOOKUP(H361,ORC.AUXILIAR!I:P,4,0)</f>
        <v>um</v>
      </c>
      <c r="J361" s="636">
        <f>VLOOKUP(H361,ORC.AUXILIAR!I:P,5,0)</f>
        <v>2</v>
      </c>
      <c r="K361" s="638">
        <f t="shared" si="32"/>
        <v>2</v>
      </c>
      <c r="L361" s="639">
        <f>VLOOKUP(H361,ORC.AUXILIAR!I:P,7,0)</f>
        <v>1888.64</v>
      </c>
      <c r="M361" s="639">
        <f>VLOOKUP(H361,ORC.AUXILIAR!I:P,8,0)</f>
        <v>3777.28</v>
      </c>
      <c r="N361" s="639">
        <f t="shared" si="34"/>
        <v>7554.56</v>
      </c>
      <c r="O361" s="639">
        <f t="shared" si="35"/>
        <v>10219921331.600616</v>
      </c>
      <c r="P361" s="640">
        <f t="shared" si="33"/>
        <v>0.99620288907487053</v>
      </c>
    </row>
    <row r="362" spans="1:16">
      <c r="A362" s="627">
        <v>3737.94</v>
      </c>
      <c r="B362" s="628">
        <v>2</v>
      </c>
      <c r="C362" s="629" t="s">
        <v>13625</v>
      </c>
      <c r="D362" s="628">
        <f>VLOOKUP(C362,ORC.AUXILIAR!I:J,2,0)</f>
        <v>0</v>
      </c>
      <c r="G362" s="636">
        <f t="shared" si="30"/>
        <v>0</v>
      </c>
      <c r="H362" s="636" t="str">
        <f t="shared" si="31"/>
        <v>SUB.01</v>
      </c>
      <c r="I362" s="637" t="str">
        <f>VLOOKUP(H362,ORC.AUXILIAR!I:P,4,0)</f>
        <v>un</v>
      </c>
      <c r="J362" s="636">
        <f>VLOOKUP(H362,ORC.AUXILIAR!I:P,5,0)</f>
        <v>2</v>
      </c>
      <c r="K362" s="638">
        <f t="shared" si="32"/>
        <v>2</v>
      </c>
      <c r="L362" s="639">
        <f>VLOOKUP(H362,ORC.AUXILIAR!I:P,7,0)</f>
        <v>1868.97</v>
      </c>
      <c r="M362" s="639">
        <f>VLOOKUP(H362,ORC.AUXILIAR!I:P,8,0)</f>
        <v>3737.94</v>
      </c>
      <c r="N362" s="639">
        <f t="shared" si="34"/>
        <v>7475.88</v>
      </c>
      <c r="O362" s="639">
        <f t="shared" si="35"/>
        <v>10219928807.480616</v>
      </c>
      <c r="P362" s="640">
        <f t="shared" si="33"/>
        <v>0.99620361779801947</v>
      </c>
    </row>
    <row r="363" spans="1:16">
      <c r="A363" s="627">
        <v>3735.7200000000003</v>
      </c>
      <c r="B363" s="628">
        <v>27</v>
      </c>
      <c r="C363" s="629" t="s">
        <v>12803</v>
      </c>
      <c r="D363" s="628">
        <f>VLOOKUP(C363,ORC.AUXILIAR!I:J,2,0)</f>
        <v>0</v>
      </c>
      <c r="G363" s="636">
        <f t="shared" si="30"/>
        <v>0</v>
      </c>
      <c r="H363" s="636" t="str">
        <f t="shared" si="31"/>
        <v>TB.AI.13</v>
      </c>
      <c r="I363" s="637" t="str">
        <f>VLOOKUP(H363,ORC.AUXILIAR!I:P,4,0)</f>
        <v>m</v>
      </c>
      <c r="J363" s="636">
        <f>VLOOKUP(H363,ORC.AUXILIAR!I:P,5,0)</f>
        <v>27</v>
      </c>
      <c r="K363" s="638">
        <f t="shared" si="32"/>
        <v>27</v>
      </c>
      <c r="L363" s="639">
        <f>VLOOKUP(H363,ORC.AUXILIAR!I:P,7,0)</f>
        <v>138.36000000000001</v>
      </c>
      <c r="M363" s="639">
        <f>VLOOKUP(H363,ORC.AUXILIAR!I:P,8,0)</f>
        <v>3735.72</v>
      </c>
      <c r="N363" s="639">
        <f t="shared" si="34"/>
        <v>100864.43999999999</v>
      </c>
      <c r="O363" s="639">
        <f t="shared" si="35"/>
        <v>10220029671.920616</v>
      </c>
      <c r="P363" s="640">
        <f t="shared" si="33"/>
        <v>0.99621344971778403</v>
      </c>
    </row>
    <row r="364" spans="1:16">
      <c r="A364" s="627">
        <v>3676.2</v>
      </c>
      <c r="B364" s="628">
        <v>2</v>
      </c>
      <c r="C364" s="629" t="s">
        <v>12936</v>
      </c>
      <c r="D364" s="628">
        <f>VLOOKUP(C364,ORC.AUXILIAR!I:J,2,0)</f>
        <v>0</v>
      </c>
      <c r="G364" s="636">
        <f t="shared" si="30"/>
        <v>0</v>
      </c>
      <c r="H364" s="636" t="str">
        <f t="shared" si="31"/>
        <v>RE.F°F°.29</v>
      </c>
      <c r="I364" s="637" t="str">
        <f>VLOOKUP(H364,ORC.AUXILIAR!I:P,4,0)</f>
        <v>pç</v>
      </c>
      <c r="J364" s="636">
        <f>VLOOKUP(H364,ORC.AUXILIAR!I:P,5,0)</f>
        <v>2</v>
      </c>
      <c r="K364" s="638">
        <f t="shared" si="32"/>
        <v>2</v>
      </c>
      <c r="L364" s="639">
        <f>VLOOKUP(H364,ORC.AUXILIAR!I:P,7,0)</f>
        <v>1838.1</v>
      </c>
      <c r="M364" s="639">
        <f>VLOOKUP(H364,ORC.AUXILIAR!I:P,8,0)</f>
        <v>3676.2</v>
      </c>
      <c r="N364" s="639">
        <f t="shared" si="34"/>
        <v>7352.4</v>
      </c>
      <c r="O364" s="639">
        <f t="shared" si="35"/>
        <v>10220037024.320616</v>
      </c>
      <c r="P364" s="640">
        <f t="shared" si="33"/>
        <v>0.99621416640452598</v>
      </c>
    </row>
    <row r="365" spans="1:16">
      <c r="A365" s="627">
        <v>3659.06</v>
      </c>
      <c r="B365" s="628">
        <v>1</v>
      </c>
      <c r="C365" s="629" t="s">
        <v>14263</v>
      </c>
      <c r="D365" s="628">
        <f>VLOOKUP(C365,ORC.AUXILIAR!I:J,2,0)</f>
        <v>0</v>
      </c>
      <c r="G365" s="636">
        <f t="shared" si="30"/>
        <v>0</v>
      </c>
      <c r="H365" s="636" t="str">
        <f t="shared" si="31"/>
        <v>CT.FºFº.18</v>
      </c>
      <c r="I365" s="637" t="str">
        <f>VLOOKUP(H365,ORC.AUXILIAR!I:P,4,0)</f>
        <v>un</v>
      </c>
      <c r="J365" s="636">
        <f>VLOOKUP(H365,ORC.AUXILIAR!I:P,5,0)</f>
        <v>1</v>
      </c>
      <c r="K365" s="638">
        <f t="shared" si="32"/>
        <v>1</v>
      </c>
      <c r="L365" s="639">
        <f>VLOOKUP(H365,ORC.AUXILIAR!I:P,7,0)</f>
        <v>3659.06</v>
      </c>
      <c r="M365" s="639">
        <f>VLOOKUP(H365,ORC.AUXILIAR!I:P,8,0)</f>
        <v>3659.06</v>
      </c>
      <c r="N365" s="639">
        <f t="shared" si="34"/>
        <v>3659.06</v>
      </c>
      <c r="O365" s="639">
        <f t="shared" si="35"/>
        <v>10220040683.380615</v>
      </c>
      <c r="P365" s="640">
        <f t="shared" si="33"/>
        <v>0.99621452307714842</v>
      </c>
    </row>
    <row r="366" spans="1:16">
      <c r="A366" s="627">
        <v>3647.44</v>
      </c>
      <c r="B366" s="628">
        <v>4</v>
      </c>
      <c r="C366" s="629" t="s">
        <v>13026</v>
      </c>
      <c r="D366" s="628">
        <f>VLOOKUP(C366,ORC.AUXILIAR!I:J,2,0)</f>
        <v>0</v>
      </c>
      <c r="G366" s="636">
        <f t="shared" si="30"/>
        <v>0</v>
      </c>
      <c r="H366" s="636" t="str">
        <f t="shared" si="31"/>
        <v>RE.F°F°.50</v>
      </c>
      <c r="I366" s="637" t="str">
        <f>VLOOKUP(H366,ORC.AUXILIAR!I:P,4,0)</f>
        <v>pç</v>
      </c>
      <c r="J366" s="636">
        <f>VLOOKUP(H366,ORC.AUXILIAR!I:P,5,0)</f>
        <v>4</v>
      </c>
      <c r="K366" s="638">
        <f t="shared" si="32"/>
        <v>4</v>
      </c>
      <c r="L366" s="639">
        <f>VLOOKUP(H366,ORC.AUXILIAR!I:P,7,0)</f>
        <v>911.86</v>
      </c>
      <c r="M366" s="639">
        <f>VLOOKUP(H366,ORC.AUXILIAR!I:P,8,0)</f>
        <v>3647.44</v>
      </c>
      <c r="N366" s="639">
        <f t="shared" si="34"/>
        <v>14589.76</v>
      </c>
      <c r="O366" s="639">
        <f t="shared" si="35"/>
        <v>10220055273.140615</v>
      </c>
      <c r="P366" s="640">
        <f t="shared" si="33"/>
        <v>0.99621594523692747</v>
      </c>
    </row>
    <row r="367" spans="1:16">
      <c r="A367" s="627">
        <v>3647.44</v>
      </c>
      <c r="B367" s="628">
        <v>4</v>
      </c>
      <c r="C367" s="629" t="s">
        <v>13028</v>
      </c>
      <c r="D367" s="628">
        <f>VLOOKUP(C367,ORC.AUXILIAR!I:J,2,0)</f>
        <v>0</v>
      </c>
      <c r="G367" s="636">
        <f t="shared" si="30"/>
        <v>0</v>
      </c>
      <c r="H367" s="636" t="str">
        <f t="shared" si="31"/>
        <v>RE.F°F°.51</v>
      </c>
      <c r="I367" s="637" t="str">
        <f>VLOOKUP(H367,ORC.AUXILIAR!I:P,4,0)</f>
        <v>pç</v>
      </c>
      <c r="J367" s="636">
        <f>VLOOKUP(H367,ORC.AUXILIAR!I:P,5,0)</f>
        <v>4</v>
      </c>
      <c r="K367" s="638">
        <f t="shared" si="32"/>
        <v>4</v>
      </c>
      <c r="L367" s="639">
        <f>VLOOKUP(H367,ORC.AUXILIAR!I:P,7,0)</f>
        <v>911.86</v>
      </c>
      <c r="M367" s="639">
        <f>VLOOKUP(H367,ORC.AUXILIAR!I:P,8,0)</f>
        <v>3647.44</v>
      </c>
      <c r="N367" s="639">
        <f t="shared" si="34"/>
        <v>14589.76</v>
      </c>
      <c r="O367" s="639">
        <f t="shared" si="35"/>
        <v>10220069862.900616</v>
      </c>
      <c r="P367" s="640">
        <f t="shared" si="33"/>
        <v>0.99621736739670652</v>
      </c>
    </row>
    <row r="368" spans="1:16">
      <c r="A368" s="627">
        <v>3573.2</v>
      </c>
      <c r="B368" s="628">
        <v>8</v>
      </c>
      <c r="C368" s="629" t="s">
        <v>13179</v>
      </c>
      <c r="D368" s="628">
        <f>VLOOKUP(C368,ORC.AUXILIAR!I:J,2,0)</f>
        <v>0</v>
      </c>
      <c r="G368" s="636">
        <f t="shared" si="30"/>
        <v>0</v>
      </c>
      <c r="H368" s="636" t="str">
        <f t="shared" si="31"/>
        <v>LS.RPVC.02</v>
      </c>
      <c r="I368" s="637" t="str">
        <f>VLOOKUP(H368,ORC.AUXILIAR!I:P,4,0)</f>
        <v>pç</v>
      </c>
      <c r="J368" s="636">
        <f>VLOOKUP(H368,ORC.AUXILIAR!I:P,5,0)</f>
        <v>8</v>
      </c>
      <c r="K368" s="638">
        <f t="shared" si="32"/>
        <v>8</v>
      </c>
      <c r="L368" s="639">
        <f>VLOOKUP(H368,ORC.AUXILIAR!I:P,7,0)</f>
        <v>446.65</v>
      </c>
      <c r="M368" s="639">
        <f>VLOOKUP(H368,ORC.AUXILIAR!I:P,8,0)</f>
        <v>3573.2</v>
      </c>
      <c r="N368" s="639">
        <f t="shared" si="34"/>
        <v>28585.599999999999</v>
      </c>
      <c r="O368" s="639">
        <f t="shared" si="35"/>
        <v>10220098448.500616</v>
      </c>
      <c r="P368" s="640">
        <f t="shared" si="33"/>
        <v>0.99622015382297957</v>
      </c>
    </row>
    <row r="369" spans="1:16">
      <c r="A369" s="627">
        <v>3573.2</v>
      </c>
      <c r="B369" s="628">
        <v>8</v>
      </c>
      <c r="C369" s="629" t="s">
        <v>13175</v>
      </c>
      <c r="D369" s="628">
        <f>VLOOKUP(C369,ORC.AUXILIAR!I:J,2,0)</f>
        <v>0</v>
      </c>
      <c r="G369" s="636">
        <f t="shared" si="30"/>
        <v>0</v>
      </c>
      <c r="H369" s="636" t="str">
        <f t="shared" si="31"/>
        <v>RE.RPVC.03</v>
      </c>
      <c r="I369" s="637" t="str">
        <f>VLOOKUP(H369,ORC.AUXILIAR!I:P,4,0)</f>
        <v>pç</v>
      </c>
      <c r="J369" s="636">
        <f>VLOOKUP(H369,ORC.AUXILIAR!I:P,5,0)</f>
        <v>8</v>
      </c>
      <c r="K369" s="638">
        <f t="shared" si="32"/>
        <v>8</v>
      </c>
      <c r="L369" s="639">
        <f>VLOOKUP(H369,ORC.AUXILIAR!I:P,7,0)</f>
        <v>446.65</v>
      </c>
      <c r="M369" s="639">
        <f>VLOOKUP(H369,ORC.AUXILIAR!I:P,8,0)</f>
        <v>3573.2</v>
      </c>
      <c r="N369" s="639">
        <f t="shared" si="34"/>
        <v>28585.599999999999</v>
      </c>
      <c r="O369" s="639">
        <f t="shared" si="35"/>
        <v>10220127034.100616</v>
      </c>
      <c r="P369" s="640">
        <f t="shared" si="33"/>
        <v>0.99622294024925251</v>
      </c>
    </row>
    <row r="370" spans="1:16">
      <c r="A370" s="627">
        <v>3546.9</v>
      </c>
      <c r="B370" s="628">
        <v>30</v>
      </c>
      <c r="C370" s="629" t="s">
        <v>12776</v>
      </c>
      <c r="D370" s="628">
        <f>VLOOKUP(C370,ORC.AUXILIAR!I:J,2,0)</f>
        <v>0</v>
      </c>
      <c r="G370" s="636">
        <f t="shared" si="30"/>
        <v>0</v>
      </c>
      <c r="H370" s="636" t="str">
        <f t="shared" si="31"/>
        <v>RE.AI.41</v>
      </c>
      <c r="I370" s="637" t="str">
        <f>VLOOKUP(H370,ORC.AUXILIAR!I:P,4,0)</f>
        <v>pç</v>
      </c>
      <c r="J370" s="636">
        <f>VLOOKUP(H370,ORC.AUXILIAR!I:P,5,0)</f>
        <v>30</v>
      </c>
      <c r="K370" s="638">
        <f t="shared" si="32"/>
        <v>30</v>
      </c>
      <c r="L370" s="639">
        <f>VLOOKUP(H370,ORC.AUXILIAR!I:P,7,0)</f>
        <v>118.23</v>
      </c>
      <c r="M370" s="639">
        <f>VLOOKUP(H370,ORC.AUXILIAR!I:P,8,0)</f>
        <v>3546.9</v>
      </c>
      <c r="N370" s="639">
        <f t="shared" si="34"/>
        <v>106407</v>
      </c>
      <c r="O370" s="639">
        <f t="shared" si="35"/>
        <v>10220233441.100616</v>
      </c>
      <c r="P370" s="640">
        <f t="shared" si="33"/>
        <v>0.99623331243876145</v>
      </c>
    </row>
    <row r="371" spans="1:16">
      <c r="A371" s="627">
        <v>3478.24</v>
      </c>
      <c r="B371" s="628">
        <v>16</v>
      </c>
      <c r="C371" s="629" t="s">
        <v>12843</v>
      </c>
      <c r="D371" s="628">
        <f>VLOOKUP(C371,ORC.AUXILIAR!I:J,2,0)</f>
        <v>0</v>
      </c>
      <c r="G371" s="636">
        <f t="shared" si="30"/>
        <v>0</v>
      </c>
      <c r="H371" s="636" t="str">
        <f t="shared" si="31"/>
        <v>RE.F°F°.03</v>
      </c>
      <c r="I371" s="637" t="str">
        <f>VLOOKUP(H371,ORC.AUXILIAR!I:P,4,0)</f>
        <v>pç</v>
      </c>
      <c r="J371" s="636">
        <f>VLOOKUP(H371,ORC.AUXILIAR!I:P,5,0)</f>
        <v>16</v>
      </c>
      <c r="K371" s="638">
        <f t="shared" si="32"/>
        <v>16</v>
      </c>
      <c r="L371" s="639">
        <f>VLOOKUP(H371,ORC.AUXILIAR!I:P,7,0)</f>
        <v>217.39</v>
      </c>
      <c r="M371" s="639">
        <f>VLOOKUP(H371,ORC.AUXILIAR!I:P,8,0)</f>
        <v>3478.24</v>
      </c>
      <c r="N371" s="639">
        <f t="shared" si="34"/>
        <v>55651.839999999997</v>
      </c>
      <c r="O371" s="639">
        <f t="shared" si="35"/>
        <v>10220289092.940617</v>
      </c>
      <c r="P371" s="640">
        <f t="shared" si="33"/>
        <v>0.99623873718930422</v>
      </c>
    </row>
    <row r="372" spans="1:16">
      <c r="A372" s="627">
        <v>3469.22</v>
      </c>
      <c r="B372" s="628">
        <v>2</v>
      </c>
      <c r="C372" s="629" t="s">
        <v>12357</v>
      </c>
      <c r="D372" s="628">
        <f>VLOOKUP(C372,ORC.AUXILIAR!I:J,2,0)</f>
        <v>0</v>
      </c>
      <c r="G372" s="636">
        <f t="shared" si="30"/>
        <v>0</v>
      </c>
      <c r="H372" s="636" t="str">
        <f t="shared" si="31"/>
        <v>CP_BIOGAS.MAT.ELÉTR.</v>
      </c>
      <c r="I372" s="637" t="str">
        <f>VLOOKUP(H372,ORC.AUXILIAR!I:P,4,0)</f>
        <v>um.</v>
      </c>
      <c r="J372" s="636">
        <f>VLOOKUP(H372,ORC.AUXILIAR!I:P,5,0)</f>
        <v>1</v>
      </c>
      <c r="K372" s="638">
        <f t="shared" si="32"/>
        <v>2</v>
      </c>
      <c r="L372" s="639">
        <f>VLOOKUP(H372,ORC.AUXILIAR!I:P,7,0)</f>
        <v>1734.61</v>
      </c>
      <c r="M372" s="639">
        <f>VLOOKUP(H372,ORC.AUXILIAR!I:P,8,0)</f>
        <v>1734.61</v>
      </c>
      <c r="N372" s="639">
        <f t="shared" si="34"/>
        <v>3469.22</v>
      </c>
      <c r="O372" s="639">
        <f t="shared" si="35"/>
        <v>10220292562.160616</v>
      </c>
      <c r="P372" s="640">
        <f t="shared" si="33"/>
        <v>0.99623907535697442</v>
      </c>
    </row>
    <row r="373" spans="1:16">
      <c r="A373" s="627">
        <v>3464.9200000000005</v>
      </c>
      <c r="B373" s="628">
        <v>336.40000000000003</v>
      </c>
      <c r="C373" s="629" t="s">
        <v>14713</v>
      </c>
      <c r="D373" s="628">
        <f>VLOOKUP(C373,ORC.AUXILIAR!I:J,2,0)</f>
        <v>0</v>
      </c>
      <c r="G373" s="636">
        <f t="shared" si="30"/>
        <v>0</v>
      </c>
      <c r="H373" s="636" t="str">
        <f t="shared" si="31"/>
        <v>73888/10</v>
      </c>
      <c r="I373" s="637" t="str">
        <f>VLOOKUP(H373,ORC.AUXILIAR!I:P,4,0)</f>
        <v>M</v>
      </c>
      <c r="J373" s="636">
        <f>VLOOKUP(H373,ORC.AUXILIAR!I:P,5,0)</f>
        <v>336.40000000000003</v>
      </c>
      <c r="K373" s="638">
        <f t="shared" si="32"/>
        <v>336.40000000000003</v>
      </c>
      <c r="L373" s="639">
        <f>VLOOKUP(H373,ORC.AUXILIAR!I:P,7,0)</f>
        <v>10.3</v>
      </c>
      <c r="M373" s="639">
        <f>VLOOKUP(H373,ORC.AUXILIAR!I:P,8,0)</f>
        <v>3464.92</v>
      </c>
      <c r="N373" s="639">
        <f t="shared" si="34"/>
        <v>1165599.0880000002</v>
      </c>
      <c r="O373" s="639">
        <f t="shared" si="35"/>
        <v>10221458161.248615</v>
      </c>
      <c r="P373" s="640">
        <f t="shared" si="33"/>
        <v>0.99635269395943638</v>
      </c>
    </row>
    <row r="374" spans="1:16">
      <c r="A374" s="627">
        <v>3455.76</v>
      </c>
      <c r="B374" s="628">
        <v>24</v>
      </c>
      <c r="C374" s="629" t="s">
        <v>13127</v>
      </c>
      <c r="D374" s="628">
        <f>VLOOKUP(C374,ORC.AUXILIAR!I:J,2,0)</f>
        <v>0</v>
      </c>
      <c r="G374" s="636">
        <f t="shared" si="30"/>
        <v>0</v>
      </c>
      <c r="H374" s="636" t="str">
        <f t="shared" si="31"/>
        <v>RE.VAL.05</v>
      </c>
      <c r="I374" s="637" t="str">
        <f>VLOOKUP(H374,ORC.AUXILIAR!I:P,4,0)</f>
        <v>pç</v>
      </c>
      <c r="J374" s="636">
        <f>VLOOKUP(H374,ORC.AUXILIAR!I:P,5,0)</f>
        <v>24</v>
      </c>
      <c r="K374" s="638">
        <f t="shared" si="32"/>
        <v>24</v>
      </c>
      <c r="L374" s="639">
        <f>VLOOKUP(H374,ORC.AUXILIAR!I:P,7,0)</f>
        <v>143.99</v>
      </c>
      <c r="M374" s="639">
        <f>VLOOKUP(H374,ORC.AUXILIAR!I:P,8,0)</f>
        <v>3455.76</v>
      </c>
      <c r="N374" s="639">
        <f t="shared" si="34"/>
        <v>82938.240000000005</v>
      </c>
      <c r="O374" s="639">
        <f t="shared" si="35"/>
        <v>10221541099.488615</v>
      </c>
      <c r="P374" s="640">
        <f t="shared" si="33"/>
        <v>0.99636077849469085</v>
      </c>
    </row>
    <row r="375" spans="1:16">
      <c r="A375" s="627">
        <v>3453.68</v>
      </c>
      <c r="B375" s="628">
        <v>8</v>
      </c>
      <c r="C375" s="629" t="s">
        <v>12837</v>
      </c>
      <c r="D375" s="628">
        <f>VLOOKUP(C375,ORC.AUXILIAR!I:J,2,0)</f>
        <v>0</v>
      </c>
      <c r="G375" s="636">
        <f t="shared" si="30"/>
        <v>0</v>
      </c>
      <c r="H375" s="636" t="str">
        <f t="shared" si="31"/>
        <v>RE.AR.06</v>
      </c>
      <c r="I375" s="637" t="str">
        <f>VLOOKUP(H375,ORC.AUXILIAR!I:P,4,0)</f>
        <v>pç</v>
      </c>
      <c r="J375" s="636">
        <f>VLOOKUP(H375,ORC.AUXILIAR!I:P,5,0)</f>
        <v>8</v>
      </c>
      <c r="K375" s="638">
        <f t="shared" si="32"/>
        <v>8</v>
      </c>
      <c r="L375" s="639">
        <f>VLOOKUP(H375,ORC.AUXILIAR!I:P,7,0)</f>
        <v>431.71</v>
      </c>
      <c r="M375" s="639">
        <f>VLOOKUP(H375,ORC.AUXILIAR!I:P,8,0)</f>
        <v>3453.68</v>
      </c>
      <c r="N375" s="639">
        <f t="shared" si="34"/>
        <v>27629.439999999999</v>
      </c>
      <c r="O375" s="639">
        <f t="shared" si="35"/>
        <v>10221568728.928616</v>
      </c>
      <c r="P375" s="640">
        <f t="shared" si="33"/>
        <v>0.99636347171776551</v>
      </c>
    </row>
    <row r="376" spans="1:16">
      <c r="A376" s="627">
        <v>3434.7599999999998</v>
      </c>
      <c r="B376" s="628">
        <v>1218</v>
      </c>
      <c r="C376" s="629">
        <v>90733</v>
      </c>
      <c r="D376" s="628">
        <f>VLOOKUP(C376,ORC.AUXILIAR!I:J,2,0)</f>
        <v>0</v>
      </c>
      <c r="G376" s="636">
        <f t="shared" si="30"/>
        <v>0</v>
      </c>
      <c r="H376" s="636">
        <f t="shared" si="31"/>
        <v>90733</v>
      </c>
      <c r="I376" s="637" t="str">
        <f>VLOOKUP(H376,ORC.AUXILIAR!I:P,4,0)</f>
        <v>M</v>
      </c>
      <c r="J376" s="636">
        <f>VLOOKUP(H376,ORC.AUXILIAR!I:P,5,0)</f>
        <v>1218</v>
      </c>
      <c r="K376" s="638">
        <f t="shared" si="32"/>
        <v>1218</v>
      </c>
      <c r="L376" s="639">
        <f>VLOOKUP(H376,ORC.AUXILIAR!I:P,7,0)</f>
        <v>2.82</v>
      </c>
      <c r="M376" s="639">
        <f>VLOOKUP(H376,ORC.AUXILIAR!I:P,8,0)</f>
        <v>3434.76</v>
      </c>
      <c r="N376" s="639">
        <f t="shared" si="34"/>
        <v>4183537.68</v>
      </c>
      <c r="O376" s="639">
        <f t="shared" si="35"/>
        <v>10225752266.608616</v>
      </c>
      <c r="P376" s="640">
        <f t="shared" si="33"/>
        <v>0.99677126862619014</v>
      </c>
    </row>
    <row r="377" spans="1:16">
      <c r="A377" s="627">
        <v>3262.2000000000003</v>
      </c>
      <c r="B377" s="628">
        <v>6</v>
      </c>
      <c r="C377" s="629">
        <v>104</v>
      </c>
      <c r="D377" s="628">
        <f>VLOOKUP(C377,ORC.AUXILIAR!I:J,2,0)</f>
        <v>0</v>
      </c>
      <c r="G377" s="636">
        <f t="shared" si="30"/>
        <v>0</v>
      </c>
      <c r="H377" s="636">
        <f t="shared" si="31"/>
        <v>104</v>
      </c>
      <c r="I377" s="637" t="str">
        <f>VLOOKUP(H377,ORC.AUXILIAR!I:P,4,0)</f>
        <v>UN</v>
      </c>
      <c r="J377" s="636">
        <f>VLOOKUP(H377,ORC.AUXILIAR!I:P,5,0)</f>
        <v>0</v>
      </c>
      <c r="K377" s="638">
        <f t="shared" si="32"/>
        <v>6</v>
      </c>
      <c r="L377" s="639">
        <f>VLOOKUP(H377,ORC.AUXILIAR!I:P,7,0)</f>
        <v>543.70000000000005</v>
      </c>
      <c r="M377" s="639">
        <f>VLOOKUP(H377,ORC.AUXILIAR!I:P,8,0)</f>
        <v>0</v>
      </c>
      <c r="N377" s="639">
        <f t="shared" si="34"/>
        <v>0</v>
      </c>
      <c r="O377" s="639">
        <f t="shared" si="35"/>
        <v>10225752266.608616</v>
      </c>
      <c r="P377" s="640">
        <f t="shared" si="33"/>
        <v>0.99677126862619014</v>
      </c>
    </row>
    <row r="378" spans="1:16">
      <c r="A378" s="627">
        <v>3251.2799999999997</v>
      </c>
      <c r="B378" s="628">
        <v>1426</v>
      </c>
      <c r="C378" s="629">
        <v>73509</v>
      </c>
      <c r="D378" s="628">
        <f>VLOOKUP(C378,ORC.AUXILIAR!I:J,2,0)</f>
        <v>0</v>
      </c>
      <c r="G378" s="636">
        <f t="shared" si="30"/>
        <v>0</v>
      </c>
      <c r="H378" s="636">
        <f t="shared" si="31"/>
        <v>73509</v>
      </c>
      <c r="I378" s="637" t="str">
        <f>VLOOKUP(H378,ORC.AUXILIAR!I:P,4,0)</f>
        <v>M</v>
      </c>
      <c r="J378" s="636">
        <f>VLOOKUP(H378,ORC.AUXILIAR!I:P,5,0)</f>
        <v>0</v>
      </c>
      <c r="K378" s="638">
        <f t="shared" si="32"/>
        <v>1426</v>
      </c>
      <c r="L378" s="639">
        <f>VLOOKUP(H378,ORC.AUXILIAR!I:P,7,0)</f>
        <v>2.2799999999999998</v>
      </c>
      <c r="M378" s="639">
        <f>VLOOKUP(H378,ORC.AUXILIAR!I:P,8,0)</f>
        <v>0</v>
      </c>
      <c r="N378" s="639">
        <f t="shared" si="34"/>
        <v>0</v>
      </c>
      <c r="O378" s="639">
        <f t="shared" si="35"/>
        <v>10225752266.608616</v>
      </c>
      <c r="P378" s="640">
        <f t="shared" si="33"/>
        <v>0.99677126862619014</v>
      </c>
    </row>
    <row r="379" spans="1:16">
      <c r="A379" s="627">
        <v>3241.8</v>
      </c>
      <c r="B379" s="628">
        <v>1</v>
      </c>
      <c r="C379" s="629" t="s">
        <v>14185</v>
      </c>
      <c r="D379" s="628">
        <f>VLOOKUP(C379,ORC.AUXILIAR!I:J,2,0)</f>
        <v>0</v>
      </c>
      <c r="G379" s="636">
        <f t="shared" si="30"/>
        <v>0</v>
      </c>
      <c r="H379" s="636" t="str">
        <f t="shared" si="31"/>
        <v>CT.FºFº.07</v>
      </c>
      <c r="I379" s="637" t="str">
        <f>VLOOKUP(H379,ORC.AUXILIAR!I:P,4,0)</f>
        <v>un</v>
      </c>
      <c r="J379" s="636">
        <f>VLOOKUP(H379,ORC.AUXILIAR!I:P,5,0)</f>
        <v>1</v>
      </c>
      <c r="K379" s="638">
        <f t="shared" si="32"/>
        <v>1</v>
      </c>
      <c r="L379" s="639">
        <f>VLOOKUP(H379,ORC.AUXILIAR!I:P,7,0)</f>
        <v>3241.8</v>
      </c>
      <c r="M379" s="639">
        <f>VLOOKUP(H379,ORC.AUXILIAR!I:P,8,0)</f>
        <v>3241.8</v>
      </c>
      <c r="N379" s="639">
        <f t="shared" si="34"/>
        <v>3241.8</v>
      </c>
      <c r="O379" s="639">
        <f t="shared" si="35"/>
        <v>10225755508.408615</v>
      </c>
      <c r="P379" s="640">
        <f t="shared" si="33"/>
        <v>0.99677158462573856</v>
      </c>
    </row>
    <row r="380" spans="1:16">
      <c r="A380" s="627">
        <v>3228.3999999999996</v>
      </c>
      <c r="B380" s="628">
        <v>280</v>
      </c>
      <c r="C380" s="629" t="s">
        <v>14714</v>
      </c>
      <c r="D380" s="628">
        <f>VLOOKUP(C380,ORC.AUXILIAR!I:J,2,0)</f>
        <v>0</v>
      </c>
      <c r="G380" s="636">
        <f t="shared" si="30"/>
        <v>0</v>
      </c>
      <c r="H380" s="636" t="str">
        <f t="shared" si="31"/>
        <v>73888/11</v>
      </c>
      <c r="I380" s="637" t="str">
        <f>VLOOKUP(H380,ORC.AUXILIAR!I:P,4,0)</f>
        <v>M</v>
      </c>
      <c r="J380" s="636">
        <f>VLOOKUP(H380,ORC.AUXILIAR!I:P,5,0)</f>
        <v>280</v>
      </c>
      <c r="K380" s="638">
        <f t="shared" si="32"/>
        <v>280</v>
      </c>
      <c r="L380" s="639">
        <f>VLOOKUP(H380,ORC.AUXILIAR!I:P,7,0)</f>
        <v>11.53</v>
      </c>
      <c r="M380" s="639">
        <f>VLOOKUP(H380,ORC.AUXILIAR!I:P,8,0)</f>
        <v>3228.4</v>
      </c>
      <c r="N380" s="639">
        <f t="shared" si="34"/>
        <v>903952</v>
      </c>
      <c r="O380" s="639">
        <f t="shared" si="35"/>
        <v>10226659460.408615</v>
      </c>
      <c r="P380" s="640">
        <f t="shared" si="33"/>
        <v>0.99685969876720459</v>
      </c>
    </row>
    <row r="381" spans="1:16">
      <c r="A381" s="627">
        <v>3190.53</v>
      </c>
      <c r="B381" s="628">
        <v>1</v>
      </c>
      <c r="C381" s="629" t="s">
        <v>12863</v>
      </c>
      <c r="D381" s="628">
        <f>VLOOKUP(C381,ORC.AUXILIAR!I:J,2,0)</f>
        <v>0</v>
      </c>
      <c r="G381" s="636">
        <f t="shared" si="30"/>
        <v>0</v>
      </c>
      <c r="H381" s="636" t="str">
        <f t="shared" si="31"/>
        <v>TP.F°F°.05</v>
      </c>
      <c r="I381" s="637" t="str">
        <f>VLOOKUP(H381,ORC.AUXILIAR!I:P,4,0)</f>
        <v>pç</v>
      </c>
      <c r="J381" s="636">
        <f>VLOOKUP(H381,ORC.AUXILIAR!I:P,5,0)</f>
        <v>1</v>
      </c>
      <c r="K381" s="638">
        <f t="shared" si="32"/>
        <v>1</v>
      </c>
      <c r="L381" s="639">
        <f>VLOOKUP(H381,ORC.AUXILIAR!I:P,7,0)</f>
        <v>3190.53</v>
      </c>
      <c r="M381" s="639">
        <f>VLOOKUP(H381,ORC.AUXILIAR!I:P,8,0)</f>
        <v>3190.53</v>
      </c>
      <c r="N381" s="639">
        <f t="shared" si="34"/>
        <v>3190.53</v>
      </c>
      <c r="O381" s="639">
        <f t="shared" si="35"/>
        <v>10226662650.938616</v>
      </c>
      <c r="P381" s="640">
        <f t="shared" si="33"/>
        <v>0.99686000976912936</v>
      </c>
    </row>
    <row r="382" spans="1:16">
      <c r="A382" s="627">
        <v>3188.88</v>
      </c>
      <c r="B382" s="628">
        <v>1548</v>
      </c>
      <c r="C382" s="629" t="s">
        <v>14394</v>
      </c>
      <c r="D382" s="628">
        <f>VLOOKUP(C382,ORC.AUXILIAR!I:J,2,0)</f>
        <v>0</v>
      </c>
      <c r="G382" s="636">
        <f t="shared" si="30"/>
        <v>0</v>
      </c>
      <c r="H382" s="636" t="str">
        <f t="shared" si="31"/>
        <v>REATOR.FB.31</v>
      </c>
      <c r="I382" s="637" t="str">
        <f>VLOOKUP(H382,ORC.AUXILIAR!I:P,4,0)</f>
        <v>pç</v>
      </c>
      <c r="J382" s="636">
        <f>VLOOKUP(H382,ORC.AUXILIAR!I:P,5,0)</f>
        <v>1548</v>
      </c>
      <c r="K382" s="638">
        <f t="shared" si="32"/>
        <v>1548</v>
      </c>
      <c r="L382" s="639">
        <f>VLOOKUP(H382,ORC.AUXILIAR!I:P,7,0)</f>
        <v>2.06</v>
      </c>
      <c r="M382" s="639">
        <f>VLOOKUP(H382,ORC.AUXILIAR!I:P,8,0)</f>
        <v>3188.88</v>
      </c>
      <c r="N382" s="639">
        <f t="shared" si="34"/>
        <v>4936386.24</v>
      </c>
      <c r="O382" s="639">
        <f t="shared" si="35"/>
        <v>10231599037.178616</v>
      </c>
      <c r="P382" s="640">
        <f t="shared" si="33"/>
        <v>0.99734119177379621</v>
      </c>
    </row>
    <row r="383" spans="1:16">
      <c r="A383" s="627">
        <v>3186.69</v>
      </c>
      <c r="B383" s="628">
        <v>3</v>
      </c>
      <c r="C383" s="629" t="s">
        <v>13046</v>
      </c>
      <c r="D383" s="628">
        <f>VLOOKUP(C383,ORC.AUXILIAR!I:J,2,0)</f>
        <v>0</v>
      </c>
      <c r="G383" s="636">
        <f t="shared" si="30"/>
        <v>0</v>
      </c>
      <c r="H383" s="636" t="str">
        <f t="shared" si="31"/>
        <v>TP.FºF°.47</v>
      </c>
      <c r="I383" s="637" t="str">
        <f>VLOOKUP(H383,ORC.AUXILIAR!I:P,4,0)</f>
        <v>pç</v>
      </c>
      <c r="J383" s="636">
        <f>VLOOKUP(H383,ORC.AUXILIAR!I:P,5,0)</f>
        <v>3</v>
      </c>
      <c r="K383" s="638">
        <f t="shared" si="32"/>
        <v>3</v>
      </c>
      <c r="L383" s="639">
        <f>VLOOKUP(H383,ORC.AUXILIAR!I:P,7,0)</f>
        <v>1062.23</v>
      </c>
      <c r="M383" s="639">
        <f>VLOOKUP(H383,ORC.AUXILIAR!I:P,8,0)</f>
        <v>3186.69</v>
      </c>
      <c r="N383" s="639">
        <f t="shared" si="34"/>
        <v>9560.07</v>
      </c>
      <c r="O383" s="639">
        <f t="shared" si="35"/>
        <v>10231608597.248615</v>
      </c>
      <c r="P383" s="640">
        <f t="shared" si="33"/>
        <v>0.99734212365663999</v>
      </c>
    </row>
    <row r="384" spans="1:16">
      <c r="A384" s="627">
        <v>3157.6362999999997</v>
      </c>
      <c r="B384" s="628">
        <v>4.6899999999999995</v>
      </c>
      <c r="C384" s="629" t="s">
        <v>12345</v>
      </c>
      <c r="D384" s="628">
        <f>VLOOKUP(C384,ORC.AUXILIAR!I:J,2,0)</f>
        <v>0</v>
      </c>
      <c r="G384" s="636">
        <f t="shared" si="30"/>
        <v>0</v>
      </c>
      <c r="H384" s="636" t="str">
        <f t="shared" si="31"/>
        <v>CP_GRADE.PISO</v>
      </c>
      <c r="I384" s="637" t="str">
        <f>VLOOKUP(H384,ORC.AUXILIAR!I:P,4,0)</f>
        <v>m²</v>
      </c>
      <c r="J384" s="636">
        <f>VLOOKUP(H384,ORC.AUXILIAR!I:P,5,0)</f>
        <v>4.05</v>
      </c>
      <c r="K384" s="638">
        <f t="shared" si="32"/>
        <v>4.6899999999999995</v>
      </c>
      <c r="L384" s="639">
        <f>VLOOKUP(H384,ORC.AUXILIAR!I:P,7,0)</f>
        <v>673.27</v>
      </c>
      <c r="M384" s="639">
        <f>VLOOKUP(H384,ORC.AUXILIAR!I:P,8,0)</f>
        <v>2726.74</v>
      </c>
      <c r="N384" s="639">
        <f t="shared" si="34"/>
        <v>12788.410599999997</v>
      </c>
      <c r="O384" s="639">
        <f t="shared" si="35"/>
        <v>10231621385.659216</v>
      </c>
      <c r="P384" s="640">
        <f t="shared" si="33"/>
        <v>0.9973433702270561</v>
      </c>
    </row>
    <row r="385" spans="1:16">
      <c r="A385" s="627">
        <v>3136.32</v>
      </c>
      <c r="B385" s="628">
        <v>4</v>
      </c>
      <c r="C385" s="629" t="s">
        <v>13082</v>
      </c>
      <c r="D385" s="628">
        <f>VLOOKUP(C385,ORC.AUXILIAR!I:J,2,0)</f>
        <v>0</v>
      </c>
      <c r="G385" s="636">
        <f t="shared" si="30"/>
        <v>0</v>
      </c>
      <c r="H385" s="636" t="str">
        <f t="shared" si="31"/>
        <v>CDR.GR.01</v>
      </c>
      <c r="I385" s="637" t="str">
        <f>VLOOKUP(H385,ORC.AUXILIAR!I:P,4,0)</f>
        <v>pç</v>
      </c>
      <c r="J385" s="636">
        <f>VLOOKUP(H385,ORC.AUXILIAR!I:P,5,0)</f>
        <v>4</v>
      </c>
      <c r="K385" s="638">
        <f t="shared" si="32"/>
        <v>4</v>
      </c>
      <c r="L385" s="639">
        <f>VLOOKUP(H385,ORC.AUXILIAR!I:P,7,0)</f>
        <v>784.08</v>
      </c>
      <c r="M385" s="639">
        <f>VLOOKUP(H385,ORC.AUXILIAR!I:P,8,0)</f>
        <v>3136.32</v>
      </c>
      <c r="N385" s="639">
        <f t="shared" si="34"/>
        <v>12545.28</v>
      </c>
      <c r="O385" s="639">
        <f t="shared" si="35"/>
        <v>10231633930.939217</v>
      </c>
      <c r="P385" s="640">
        <f t="shared" si="33"/>
        <v>0.99734459309793499</v>
      </c>
    </row>
    <row r="386" spans="1:16">
      <c r="A386" s="627">
        <v>3134.16</v>
      </c>
      <c r="B386" s="628">
        <v>8</v>
      </c>
      <c r="C386" s="629" t="s">
        <v>12097</v>
      </c>
      <c r="D386" s="628">
        <f>VLOOKUP(C386,ORC.AUXILIAR!I:J,2,0)</f>
        <v>0</v>
      </c>
      <c r="G386" s="636">
        <f t="shared" si="30"/>
        <v>0</v>
      </c>
      <c r="H386" s="636" t="str">
        <f t="shared" si="31"/>
        <v>CP_RN</v>
      </c>
      <c r="I386" s="637" t="str">
        <f>VLOOKUP(H386,ORC.AUXILIAR!I:P,4,0)</f>
        <v>um.</v>
      </c>
      <c r="J386" s="636">
        <f>VLOOKUP(H386,ORC.AUXILIAR!I:P,5,0)</f>
        <v>8</v>
      </c>
      <c r="K386" s="638">
        <f t="shared" si="32"/>
        <v>8</v>
      </c>
      <c r="L386" s="639">
        <f>VLOOKUP(H386,ORC.AUXILIAR!I:P,7,0)</f>
        <v>391.77</v>
      </c>
      <c r="M386" s="639">
        <f>VLOOKUP(H386,ORC.AUXILIAR!I:P,8,0)</f>
        <v>3134.16</v>
      </c>
      <c r="N386" s="639">
        <f t="shared" si="34"/>
        <v>25073.279999999999</v>
      </c>
      <c r="O386" s="639">
        <f t="shared" si="35"/>
        <v>10231659004.219217</v>
      </c>
      <c r="P386" s="640">
        <f t="shared" si="33"/>
        <v>0.99734703715529749</v>
      </c>
    </row>
    <row r="387" spans="1:16">
      <c r="A387" s="627">
        <v>3059.84</v>
      </c>
      <c r="B387" s="628">
        <v>32</v>
      </c>
      <c r="C387" s="629" t="s">
        <v>13094</v>
      </c>
      <c r="D387" s="628">
        <f>VLOOKUP(C387,ORC.AUXILIAR!I:J,2,0)</f>
        <v>0</v>
      </c>
      <c r="G387" s="636">
        <f t="shared" si="30"/>
        <v>0</v>
      </c>
      <c r="H387" s="636" t="str">
        <f t="shared" si="31"/>
        <v>REATOR.FB.05</v>
      </c>
      <c r="I387" s="637" t="str">
        <f>VLOOKUP(H387,ORC.AUXILIAR!I:P,4,0)</f>
        <v>pç</v>
      </c>
      <c r="J387" s="636">
        <f>VLOOKUP(H387,ORC.AUXILIAR!I:P,5,0)</f>
        <v>32</v>
      </c>
      <c r="K387" s="638">
        <f t="shared" si="32"/>
        <v>32</v>
      </c>
      <c r="L387" s="639">
        <f>VLOOKUP(H387,ORC.AUXILIAR!I:P,7,0)</f>
        <v>95.62</v>
      </c>
      <c r="M387" s="639">
        <f>VLOOKUP(H387,ORC.AUXILIAR!I:P,8,0)</f>
        <v>3059.84</v>
      </c>
      <c r="N387" s="639">
        <f t="shared" si="34"/>
        <v>97914.880000000005</v>
      </c>
      <c r="O387" s="639">
        <f t="shared" si="35"/>
        <v>10231756919.099216</v>
      </c>
      <c r="P387" s="640">
        <f t="shared" si="33"/>
        <v>0.99735658156206675</v>
      </c>
    </row>
    <row r="388" spans="1:16">
      <c r="A388" s="627">
        <v>3021.71</v>
      </c>
      <c r="B388" s="628">
        <v>1</v>
      </c>
      <c r="C388" s="629" t="s">
        <v>13157</v>
      </c>
      <c r="D388" s="628">
        <f>VLOOKUP(C388,ORC.AUXILIAR!I:J,2,0)</f>
        <v>0</v>
      </c>
      <c r="G388" s="636">
        <f t="shared" si="30"/>
        <v>0</v>
      </c>
      <c r="H388" s="636" t="str">
        <f t="shared" si="31"/>
        <v>TP.AÇO.08</v>
      </c>
      <c r="I388" s="637" t="str">
        <f>VLOOKUP(H388,ORC.AUXILIAR!I:P,4,0)</f>
        <v>pç</v>
      </c>
      <c r="J388" s="636">
        <f>VLOOKUP(H388,ORC.AUXILIAR!I:P,5,0)</f>
        <v>1</v>
      </c>
      <c r="K388" s="638">
        <f t="shared" si="32"/>
        <v>1</v>
      </c>
      <c r="L388" s="639">
        <f>VLOOKUP(H388,ORC.AUXILIAR!I:P,7,0)</f>
        <v>3021.71</v>
      </c>
      <c r="M388" s="639">
        <f>VLOOKUP(H388,ORC.AUXILIAR!I:P,8,0)</f>
        <v>3021.71</v>
      </c>
      <c r="N388" s="639">
        <f t="shared" si="34"/>
        <v>3021.71</v>
      </c>
      <c r="O388" s="639">
        <f t="shared" si="35"/>
        <v>10231759940.809216</v>
      </c>
      <c r="P388" s="640">
        <f t="shared" si="33"/>
        <v>0.99735687610799661</v>
      </c>
    </row>
    <row r="389" spans="1:16">
      <c r="A389" s="627">
        <v>2960.7</v>
      </c>
      <c r="B389" s="628">
        <v>6</v>
      </c>
      <c r="C389" s="629" t="s">
        <v>13785</v>
      </c>
      <c r="D389" s="628">
        <f>VLOOKUP(C389,ORC.AUXILIAR!I:J,2,0)</f>
        <v>0</v>
      </c>
      <c r="G389" s="636">
        <f t="shared" si="30"/>
        <v>0</v>
      </c>
      <c r="H389" s="636" t="str">
        <f t="shared" si="31"/>
        <v>QCM.CX.AREIA.25</v>
      </c>
      <c r="I389" s="637" t="str">
        <f>VLOOKUP(H389,ORC.AUXILIAR!I:P,4,0)</f>
        <v>Un</v>
      </c>
      <c r="J389" s="636">
        <f>VLOOKUP(H389,ORC.AUXILIAR!I:P,5,0)</f>
        <v>6</v>
      </c>
      <c r="K389" s="638">
        <f t="shared" si="32"/>
        <v>6</v>
      </c>
      <c r="L389" s="639">
        <f>VLOOKUP(H389,ORC.AUXILIAR!I:P,7,0)</f>
        <v>493.45</v>
      </c>
      <c r="M389" s="639">
        <f>VLOOKUP(H389,ORC.AUXILIAR!I:P,8,0)</f>
        <v>2960.7</v>
      </c>
      <c r="N389" s="639">
        <f t="shared" si="34"/>
        <v>17764.199999999997</v>
      </c>
      <c r="O389" s="639">
        <f t="shared" si="35"/>
        <v>10231777705.009216</v>
      </c>
      <c r="P389" s="640">
        <f t="shared" si="33"/>
        <v>0.99735860770130236</v>
      </c>
    </row>
    <row r="390" spans="1:16">
      <c r="A390" s="627">
        <v>2960.7</v>
      </c>
      <c r="B390" s="628">
        <v>6</v>
      </c>
      <c r="C390" s="629" t="s">
        <v>13745</v>
      </c>
      <c r="D390" s="628">
        <f>VLOOKUP(C390,ORC.AUXILIAR!I:J,2,0)</f>
        <v>0</v>
      </c>
      <c r="G390" s="636">
        <f t="shared" ref="G390:G453" si="36">D390</f>
        <v>0</v>
      </c>
      <c r="H390" s="636" t="str">
        <f t="shared" ref="H390:H453" si="37">C390</f>
        <v>QCM.EEE.37</v>
      </c>
      <c r="I390" s="637" t="str">
        <f>VLOOKUP(H390,ORC.AUXILIAR!I:P,4,0)</f>
        <v>Un</v>
      </c>
      <c r="J390" s="636">
        <f>VLOOKUP(H390,ORC.AUXILIAR!I:P,5,0)</f>
        <v>6</v>
      </c>
      <c r="K390" s="638">
        <f t="shared" ref="K390:K453" si="38">B390</f>
        <v>6</v>
      </c>
      <c r="L390" s="639">
        <f>VLOOKUP(H390,ORC.AUXILIAR!I:P,7,0)</f>
        <v>493.45</v>
      </c>
      <c r="M390" s="639">
        <f>VLOOKUP(H390,ORC.AUXILIAR!I:P,8,0)</f>
        <v>2960.7</v>
      </c>
      <c r="N390" s="639">
        <f t="shared" si="34"/>
        <v>17764.199999999997</v>
      </c>
      <c r="O390" s="639">
        <f t="shared" si="35"/>
        <v>10231795469.209217</v>
      </c>
      <c r="P390" s="640">
        <f t="shared" ref="P390:P453" si="39">O390/N$4</f>
        <v>0.99736033929460799</v>
      </c>
    </row>
    <row r="391" spans="1:16">
      <c r="A391" s="627">
        <v>2922.4</v>
      </c>
      <c r="B391" s="628">
        <v>80</v>
      </c>
      <c r="C391" s="629">
        <v>47</v>
      </c>
      <c r="D391" s="628">
        <f>VLOOKUP(C391,ORC.AUXILIAR!I:J,2,0)</f>
        <v>0</v>
      </c>
      <c r="G391" s="636">
        <f t="shared" si="36"/>
        <v>0</v>
      </c>
      <c r="H391" s="636">
        <f t="shared" si="37"/>
        <v>47</v>
      </c>
      <c r="I391" s="637" t="str">
        <f>VLOOKUP(H391,ORC.AUXILIAR!I:P,4,0)</f>
        <v>pç</v>
      </c>
      <c r="J391" s="636">
        <f>VLOOKUP(H391,ORC.AUXILIAR!I:P,5,0)</f>
        <v>80</v>
      </c>
      <c r="K391" s="638">
        <f t="shared" si="38"/>
        <v>80</v>
      </c>
      <c r="L391" s="639">
        <f>VLOOKUP(H391,ORC.AUXILIAR!I:P,7,0)</f>
        <v>36.53</v>
      </c>
      <c r="M391" s="639">
        <f>VLOOKUP(H391,ORC.AUXILIAR!I:P,8,0)</f>
        <v>2922.4</v>
      </c>
      <c r="N391" s="639">
        <f t="shared" ref="N391:N454" si="40">K391*M391</f>
        <v>233792</v>
      </c>
      <c r="O391" s="639">
        <f t="shared" ref="O391:O454" si="41">N391+O390</f>
        <v>10232029261.209217</v>
      </c>
      <c r="P391" s="640">
        <f t="shared" si="39"/>
        <v>0.99738312853713595</v>
      </c>
    </row>
    <row r="392" spans="1:16">
      <c r="A392" s="627">
        <v>2900</v>
      </c>
      <c r="B392" s="628">
        <v>2</v>
      </c>
      <c r="C392" s="629" t="s">
        <v>13133</v>
      </c>
      <c r="D392" s="628">
        <f>VLOOKUP(C392,ORC.AUXILIAR!I:J,2,0)</f>
        <v>0</v>
      </c>
      <c r="G392" s="636">
        <f t="shared" si="36"/>
        <v>0</v>
      </c>
      <c r="H392" s="636" t="str">
        <f t="shared" si="37"/>
        <v>TP.VAL.05</v>
      </c>
      <c r="I392" s="637" t="str">
        <f>VLOOKUP(H392,ORC.AUXILIAR!I:P,4,0)</f>
        <v>un</v>
      </c>
      <c r="J392" s="636">
        <f>VLOOKUP(H392,ORC.AUXILIAR!I:P,5,0)</f>
        <v>2</v>
      </c>
      <c r="K392" s="638">
        <f t="shared" si="38"/>
        <v>2</v>
      </c>
      <c r="L392" s="639">
        <f>VLOOKUP(H392,ORC.AUXILIAR!I:P,7,0)</f>
        <v>1450</v>
      </c>
      <c r="M392" s="639">
        <f>VLOOKUP(H392,ORC.AUXILIAR!I:P,8,0)</f>
        <v>2900</v>
      </c>
      <c r="N392" s="639">
        <f t="shared" si="40"/>
        <v>5800</v>
      </c>
      <c r="O392" s="639">
        <f t="shared" si="41"/>
        <v>10232035061.209217</v>
      </c>
      <c r="P392" s="640">
        <f t="shared" si="39"/>
        <v>0.99738369390124881</v>
      </c>
    </row>
    <row r="393" spans="1:16">
      <c r="A393" s="627">
        <v>2879.74</v>
      </c>
      <c r="B393" s="628">
        <v>2</v>
      </c>
      <c r="C393" s="629" t="s">
        <v>13125</v>
      </c>
      <c r="D393" s="628">
        <f>VLOOKUP(C393,ORC.AUXILIAR!I:J,2,0)</f>
        <v>0</v>
      </c>
      <c r="G393" s="636">
        <f t="shared" si="36"/>
        <v>0</v>
      </c>
      <c r="H393" s="636" t="str">
        <f t="shared" si="37"/>
        <v>TP.VAL.04</v>
      </c>
      <c r="I393" s="637" t="str">
        <f>VLOOKUP(H393,ORC.AUXILIAR!I:P,4,0)</f>
        <v>cj</v>
      </c>
      <c r="J393" s="636">
        <f>VLOOKUP(H393,ORC.AUXILIAR!I:P,5,0)</f>
        <v>2</v>
      </c>
      <c r="K393" s="638">
        <f t="shared" si="38"/>
        <v>2</v>
      </c>
      <c r="L393" s="639">
        <f>VLOOKUP(H393,ORC.AUXILIAR!I:P,7,0)</f>
        <v>1439.87</v>
      </c>
      <c r="M393" s="639">
        <f>VLOOKUP(H393,ORC.AUXILIAR!I:P,8,0)</f>
        <v>2879.74</v>
      </c>
      <c r="N393" s="639">
        <f t="shared" si="40"/>
        <v>5759.48</v>
      </c>
      <c r="O393" s="639">
        <f t="shared" si="41"/>
        <v>10232040820.689217</v>
      </c>
      <c r="P393" s="640">
        <f t="shared" si="39"/>
        <v>0.99738425531561092</v>
      </c>
    </row>
    <row r="394" spans="1:16">
      <c r="A394" s="627">
        <v>2776.3999999999996</v>
      </c>
      <c r="B394" s="628">
        <v>40</v>
      </c>
      <c r="C394" s="629">
        <v>51</v>
      </c>
      <c r="D394" s="628">
        <f>VLOOKUP(C394,ORC.AUXILIAR!I:J,2,0)</f>
        <v>0</v>
      </c>
      <c r="G394" s="636">
        <f t="shared" si="36"/>
        <v>0</v>
      </c>
      <c r="H394" s="636">
        <f t="shared" si="37"/>
        <v>51</v>
      </c>
      <c r="I394" s="637" t="str">
        <f>VLOOKUP(H394,ORC.AUXILIAR!I:P,4,0)</f>
        <v>pç</v>
      </c>
      <c r="J394" s="636">
        <f>VLOOKUP(H394,ORC.AUXILIAR!I:P,5,0)</f>
        <v>40</v>
      </c>
      <c r="K394" s="638">
        <f t="shared" si="38"/>
        <v>40</v>
      </c>
      <c r="L394" s="639">
        <f>VLOOKUP(H394,ORC.AUXILIAR!I:P,7,0)</f>
        <v>69.41</v>
      </c>
      <c r="M394" s="639">
        <f>VLOOKUP(H394,ORC.AUXILIAR!I:P,8,0)</f>
        <v>2776.4</v>
      </c>
      <c r="N394" s="639">
        <f t="shared" si="40"/>
        <v>111056</v>
      </c>
      <c r="O394" s="639">
        <f t="shared" si="41"/>
        <v>10232151876.689217</v>
      </c>
      <c r="P394" s="640">
        <f t="shared" si="39"/>
        <v>0.9973950806736992</v>
      </c>
    </row>
    <row r="395" spans="1:16">
      <c r="A395" s="627">
        <v>2744.58</v>
      </c>
      <c r="B395" s="628">
        <v>1</v>
      </c>
      <c r="C395" s="629" t="s">
        <v>13030</v>
      </c>
      <c r="D395" s="628">
        <f>VLOOKUP(C395,ORC.AUXILIAR!I:J,2,0)</f>
        <v>0</v>
      </c>
      <c r="G395" s="636">
        <f t="shared" si="36"/>
        <v>0</v>
      </c>
      <c r="H395" s="636" t="str">
        <f t="shared" si="37"/>
        <v>TP.FºF°.40</v>
      </c>
      <c r="I395" s="637" t="str">
        <f>VLOOKUP(H395,ORC.AUXILIAR!I:P,4,0)</f>
        <v>pç</v>
      </c>
      <c r="J395" s="636">
        <f>VLOOKUP(H395,ORC.AUXILIAR!I:P,5,0)</f>
        <v>1</v>
      </c>
      <c r="K395" s="638">
        <f t="shared" si="38"/>
        <v>1</v>
      </c>
      <c r="L395" s="639">
        <f>VLOOKUP(H395,ORC.AUXILIAR!I:P,7,0)</f>
        <v>2744.58</v>
      </c>
      <c r="M395" s="639">
        <f>VLOOKUP(H395,ORC.AUXILIAR!I:P,8,0)</f>
        <v>2744.58</v>
      </c>
      <c r="N395" s="639">
        <f t="shared" si="40"/>
        <v>2744.58</v>
      </c>
      <c r="O395" s="639">
        <f t="shared" si="41"/>
        <v>10232154621.269217</v>
      </c>
      <c r="P395" s="640">
        <f t="shared" si="39"/>
        <v>0.997395348205947</v>
      </c>
    </row>
    <row r="396" spans="1:16">
      <c r="A396" s="627">
        <v>2681.28</v>
      </c>
      <c r="B396" s="628">
        <v>152</v>
      </c>
      <c r="C396" s="629" t="s">
        <v>14687</v>
      </c>
      <c r="D396" s="628">
        <f>VLOOKUP(C396,ORC.AUXILIAR!I:J,2,0)</f>
        <v>0</v>
      </c>
      <c r="G396" s="636">
        <f t="shared" si="36"/>
        <v>0</v>
      </c>
      <c r="H396" s="636" t="str">
        <f t="shared" si="37"/>
        <v>73887/8</v>
      </c>
      <c r="I396" s="637" t="str">
        <f>VLOOKUP(H396,ORC.AUXILIAR!I:P,4,0)</f>
        <v>M</v>
      </c>
      <c r="J396" s="636">
        <f>VLOOKUP(H396,ORC.AUXILIAR!I:P,5,0)</f>
        <v>0</v>
      </c>
      <c r="K396" s="638">
        <f t="shared" si="38"/>
        <v>152</v>
      </c>
      <c r="L396" s="639">
        <f>VLOOKUP(H396,ORC.AUXILIAR!I:P,7,0)</f>
        <v>17.64</v>
      </c>
      <c r="M396" s="639">
        <f>VLOOKUP(H396,ORC.AUXILIAR!I:P,8,0)</f>
        <v>0</v>
      </c>
      <c r="N396" s="639">
        <f t="shared" si="40"/>
        <v>0</v>
      </c>
      <c r="O396" s="639">
        <f t="shared" si="41"/>
        <v>10232154621.269217</v>
      </c>
      <c r="P396" s="640">
        <f t="shared" si="39"/>
        <v>0.997395348205947</v>
      </c>
    </row>
    <row r="397" spans="1:16">
      <c r="A397" s="627">
        <v>2674.14</v>
      </c>
      <c r="B397" s="628">
        <v>2</v>
      </c>
      <c r="C397" s="629" t="s">
        <v>12853</v>
      </c>
      <c r="D397" s="628">
        <f>VLOOKUP(C397,ORC.AUXILIAR!I:J,2,0)</f>
        <v>0</v>
      </c>
      <c r="G397" s="636">
        <f t="shared" si="36"/>
        <v>0</v>
      </c>
      <c r="H397" s="636" t="str">
        <f t="shared" si="37"/>
        <v>RE.F°F°.07</v>
      </c>
      <c r="I397" s="637" t="str">
        <f>VLOOKUP(H397,ORC.AUXILIAR!I:P,4,0)</f>
        <v>pç</v>
      </c>
      <c r="J397" s="636">
        <f>VLOOKUP(H397,ORC.AUXILIAR!I:P,5,0)</f>
        <v>2</v>
      </c>
      <c r="K397" s="638">
        <f t="shared" si="38"/>
        <v>2</v>
      </c>
      <c r="L397" s="639">
        <f>VLOOKUP(H397,ORC.AUXILIAR!I:P,7,0)</f>
        <v>1337.07</v>
      </c>
      <c r="M397" s="639">
        <f>VLOOKUP(H397,ORC.AUXILIAR!I:P,8,0)</f>
        <v>2674.14</v>
      </c>
      <c r="N397" s="639">
        <f t="shared" si="40"/>
        <v>5348.28</v>
      </c>
      <c r="O397" s="639">
        <f t="shared" si="41"/>
        <v>10232159969.549217</v>
      </c>
      <c r="P397" s="640">
        <f t="shared" si="39"/>
        <v>0.99739586953794312</v>
      </c>
    </row>
    <row r="398" spans="1:16">
      <c r="A398" s="627">
        <v>2673</v>
      </c>
      <c r="B398" s="628">
        <v>180</v>
      </c>
      <c r="C398" s="629">
        <v>106</v>
      </c>
      <c r="D398" s="628">
        <f>VLOOKUP(C398,ORC.AUXILIAR!I:J,2,0)</f>
        <v>0</v>
      </c>
      <c r="G398" s="636">
        <f t="shared" si="36"/>
        <v>0</v>
      </c>
      <c r="H398" s="636">
        <f t="shared" si="37"/>
        <v>106</v>
      </c>
      <c r="I398" s="637" t="str">
        <f>VLOOKUP(H398,ORC.AUXILIAR!I:P,4,0)</f>
        <v>KG</v>
      </c>
      <c r="J398" s="636">
        <f>VLOOKUP(H398,ORC.AUXILIAR!I:P,5,0)</f>
        <v>0</v>
      </c>
      <c r="K398" s="638">
        <f t="shared" si="38"/>
        <v>180</v>
      </c>
      <c r="L398" s="639">
        <f>VLOOKUP(H398,ORC.AUXILIAR!I:P,7,0)</f>
        <v>14.85</v>
      </c>
      <c r="M398" s="639">
        <f>VLOOKUP(H398,ORC.AUXILIAR!I:P,8,0)</f>
        <v>0</v>
      </c>
      <c r="N398" s="639">
        <f t="shared" si="40"/>
        <v>0</v>
      </c>
      <c r="O398" s="639">
        <f t="shared" si="41"/>
        <v>10232159969.549217</v>
      </c>
      <c r="P398" s="640">
        <f t="shared" si="39"/>
        <v>0.99739586953794312</v>
      </c>
    </row>
    <row r="399" spans="1:16">
      <c r="A399" s="627">
        <v>2639.3</v>
      </c>
      <c r="B399" s="628">
        <v>1</v>
      </c>
      <c r="C399" s="629">
        <v>1496</v>
      </c>
      <c r="D399" s="628">
        <f>VLOOKUP(C399,ORC.AUXILIAR!I:J,2,0)</f>
        <v>0</v>
      </c>
      <c r="G399" s="636">
        <f t="shared" si="36"/>
        <v>0</v>
      </c>
      <c r="H399" s="636">
        <f t="shared" si="37"/>
        <v>1496</v>
      </c>
      <c r="I399" s="637" t="str">
        <f>VLOOKUP(H399,ORC.AUXILIAR!I:P,4,0)</f>
        <v>UN</v>
      </c>
      <c r="J399" s="636">
        <f>VLOOKUP(H399,ORC.AUXILIAR!I:P,5,0)</f>
        <v>1</v>
      </c>
      <c r="K399" s="638">
        <f t="shared" si="38"/>
        <v>1</v>
      </c>
      <c r="L399" s="639">
        <f>VLOOKUP(H399,ORC.AUXILIAR!I:P,7,0)</f>
        <v>2639.3</v>
      </c>
      <c r="M399" s="639">
        <f>VLOOKUP(H399,ORC.AUXILIAR!I:P,8,0)</f>
        <v>2639.3</v>
      </c>
      <c r="N399" s="639">
        <f t="shared" si="40"/>
        <v>2639.3</v>
      </c>
      <c r="O399" s="639">
        <f t="shared" si="41"/>
        <v>10232162608.849216</v>
      </c>
      <c r="P399" s="640">
        <f t="shared" si="39"/>
        <v>0.99739612680785728</v>
      </c>
    </row>
    <row r="400" spans="1:16">
      <c r="A400" s="627">
        <v>2631.9</v>
      </c>
      <c r="B400" s="628">
        <v>30</v>
      </c>
      <c r="C400" s="629" t="s">
        <v>12746</v>
      </c>
      <c r="D400" s="628">
        <f>VLOOKUP(C400,ORC.AUXILIAR!I:J,2,0)</f>
        <v>0</v>
      </c>
      <c r="G400" s="636">
        <f t="shared" si="36"/>
        <v>0</v>
      </c>
      <c r="H400" s="636" t="str">
        <f t="shared" si="37"/>
        <v>RE.AI.26</v>
      </c>
      <c r="I400" s="637" t="str">
        <f>VLOOKUP(H400,ORC.AUXILIAR!I:P,4,0)</f>
        <v>pç</v>
      </c>
      <c r="J400" s="636">
        <f>VLOOKUP(H400,ORC.AUXILIAR!I:P,5,0)</f>
        <v>30</v>
      </c>
      <c r="K400" s="638">
        <f t="shared" si="38"/>
        <v>30</v>
      </c>
      <c r="L400" s="639">
        <f>VLOOKUP(H400,ORC.AUXILIAR!I:P,7,0)</f>
        <v>87.73</v>
      </c>
      <c r="M400" s="639">
        <f>VLOOKUP(H400,ORC.AUXILIAR!I:P,8,0)</f>
        <v>2631.9</v>
      </c>
      <c r="N400" s="639">
        <f t="shared" si="40"/>
        <v>78957</v>
      </c>
      <c r="O400" s="639">
        <f t="shared" si="41"/>
        <v>10232241565.849216</v>
      </c>
      <c r="P400" s="640">
        <f t="shared" si="39"/>
        <v>0.99740382326548749</v>
      </c>
    </row>
    <row r="401" spans="1:16">
      <c r="A401" s="627">
        <v>2601.54</v>
      </c>
      <c r="B401" s="628">
        <v>18</v>
      </c>
      <c r="C401" s="629" t="s">
        <v>19324</v>
      </c>
      <c r="D401" s="628">
        <f>VLOOKUP(C401,ORC.AUXILIAR!I:J,2,0)</f>
        <v>0</v>
      </c>
      <c r="G401" s="636">
        <f t="shared" si="36"/>
        <v>0</v>
      </c>
      <c r="H401" s="636" t="str">
        <f t="shared" si="37"/>
        <v>73967/2</v>
      </c>
      <c r="I401" s="637" t="str">
        <f>VLOOKUP(H401,ORC.AUXILIAR!I:P,4,0)</f>
        <v>UN</v>
      </c>
      <c r="J401" s="636">
        <f>VLOOKUP(H401,ORC.AUXILIAR!I:P,5,0)</f>
        <v>18</v>
      </c>
      <c r="K401" s="638">
        <f t="shared" si="38"/>
        <v>18</v>
      </c>
      <c r="L401" s="639">
        <f>VLOOKUP(H401,ORC.AUXILIAR!I:P,7,0)</f>
        <v>144.53</v>
      </c>
      <c r="M401" s="639">
        <f>VLOOKUP(H401,ORC.AUXILIAR!I:P,8,0)</f>
        <v>2601.54</v>
      </c>
      <c r="N401" s="639">
        <f t="shared" si="40"/>
        <v>46827.72</v>
      </c>
      <c r="O401" s="639">
        <f t="shared" si="41"/>
        <v>10232288393.569216</v>
      </c>
      <c r="P401" s="640">
        <f t="shared" si="39"/>
        <v>0.997408387871069</v>
      </c>
    </row>
    <row r="402" spans="1:16">
      <c r="A402" s="627">
        <v>2580.2399999999998</v>
      </c>
      <c r="B402" s="628">
        <v>4</v>
      </c>
      <c r="C402" s="629" t="s">
        <v>13008</v>
      </c>
      <c r="D402" s="628">
        <f>VLOOKUP(C402,ORC.AUXILIAR!I:J,2,0)</f>
        <v>0</v>
      </c>
      <c r="G402" s="636">
        <f t="shared" si="36"/>
        <v>0</v>
      </c>
      <c r="H402" s="636" t="str">
        <f t="shared" si="37"/>
        <v>RE.F°F°.43</v>
      </c>
      <c r="I402" s="637" t="str">
        <f>VLOOKUP(H402,ORC.AUXILIAR!I:P,4,0)</f>
        <v>pç</v>
      </c>
      <c r="J402" s="636">
        <f>VLOOKUP(H402,ORC.AUXILIAR!I:P,5,0)</f>
        <v>4</v>
      </c>
      <c r="K402" s="638">
        <f t="shared" si="38"/>
        <v>4</v>
      </c>
      <c r="L402" s="639">
        <f>VLOOKUP(H402,ORC.AUXILIAR!I:P,7,0)</f>
        <v>645.05999999999995</v>
      </c>
      <c r="M402" s="639">
        <f>VLOOKUP(H402,ORC.AUXILIAR!I:P,8,0)</f>
        <v>2580.2399999999998</v>
      </c>
      <c r="N402" s="639">
        <f t="shared" si="40"/>
        <v>10320.959999999999</v>
      </c>
      <c r="O402" s="639">
        <f t="shared" si="41"/>
        <v>10232298714.529215</v>
      </c>
      <c r="P402" s="640">
        <f t="shared" si="39"/>
        <v>0.99740939392286088</v>
      </c>
    </row>
    <row r="403" spans="1:16">
      <c r="A403" s="627">
        <v>2512.14</v>
      </c>
      <c r="B403" s="628">
        <v>3</v>
      </c>
      <c r="C403" s="629" t="s">
        <v>13044</v>
      </c>
      <c r="D403" s="628">
        <f>VLOOKUP(C403,ORC.AUXILIAR!I:J,2,0)</f>
        <v>0</v>
      </c>
      <c r="G403" s="636">
        <f t="shared" si="36"/>
        <v>0</v>
      </c>
      <c r="H403" s="636" t="str">
        <f t="shared" si="37"/>
        <v>TP.FºF°.46</v>
      </c>
      <c r="I403" s="637" t="str">
        <f>VLOOKUP(H403,ORC.AUXILIAR!I:P,4,0)</f>
        <v>pç</v>
      </c>
      <c r="J403" s="636">
        <f>VLOOKUP(H403,ORC.AUXILIAR!I:P,5,0)</f>
        <v>3</v>
      </c>
      <c r="K403" s="638">
        <f t="shared" si="38"/>
        <v>3</v>
      </c>
      <c r="L403" s="639">
        <f>VLOOKUP(H403,ORC.AUXILIAR!I:P,7,0)</f>
        <v>837.38</v>
      </c>
      <c r="M403" s="639">
        <f>VLOOKUP(H403,ORC.AUXILIAR!I:P,8,0)</f>
        <v>2512.14</v>
      </c>
      <c r="N403" s="639">
        <f t="shared" si="40"/>
        <v>7536.42</v>
      </c>
      <c r="O403" s="639">
        <f t="shared" si="41"/>
        <v>10232306250.949215</v>
      </c>
      <c r="P403" s="640">
        <f t="shared" si="39"/>
        <v>0.99741012854724143</v>
      </c>
    </row>
    <row r="404" spans="1:16">
      <c r="A404" s="627">
        <v>2426.6</v>
      </c>
      <c r="B404" s="628">
        <v>5</v>
      </c>
      <c r="C404" s="629" t="s">
        <v>13243</v>
      </c>
      <c r="D404" s="628">
        <f>VLOOKUP(C404,ORC.AUXILIAR!I:J,2,0)</f>
        <v>0</v>
      </c>
      <c r="G404" s="636">
        <f t="shared" si="36"/>
        <v>0</v>
      </c>
      <c r="H404" s="636" t="str">
        <f t="shared" si="37"/>
        <v>TP.GR.06</v>
      </c>
      <c r="I404" s="637" t="str">
        <f>VLOOKUP(H404,ORC.AUXILIAR!I:P,4,0)</f>
        <v>un</v>
      </c>
      <c r="J404" s="636">
        <f>VLOOKUP(H404,ORC.AUXILIAR!I:P,5,0)</f>
        <v>5</v>
      </c>
      <c r="K404" s="638">
        <f t="shared" si="38"/>
        <v>5</v>
      </c>
      <c r="L404" s="639">
        <f>VLOOKUP(H404,ORC.AUXILIAR!I:P,7,0)</f>
        <v>485.32</v>
      </c>
      <c r="M404" s="639">
        <f>VLOOKUP(H404,ORC.AUXILIAR!I:P,8,0)</f>
        <v>2426.6</v>
      </c>
      <c r="N404" s="639">
        <f t="shared" si="40"/>
        <v>12133</v>
      </c>
      <c r="O404" s="639">
        <f t="shared" si="41"/>
        <v>10232318383.949215</v>
      </c>
      <c r="P404" s="640">
        <f t="shared" si="39"/>
        <v>0.99741131123047944</v>
      </c>
    </row>
    <row r="405" spans="1:16">
      <c r="A405" s="627">
        <v>2425.241</v>
      </c>
      <c r="B405" s="628">
        <v>64.33</v>
      </c>
      <c r="C405" s="629">
        <v>87247</v>
      </c>
      <c r="D405" s="628">
        <f>VLOOKUP(C405,ORC.AUXILIAR!I:J,2,0)</f>
        <v>0</v>
      </c>
      <c r="G405" s="636">
        <f t="shared" si="36"/>
        <v>0</v>
      </c>
      <c r="H405" s="636">
        <f t="shared" si="37"/>
        <v>87247</v>
      </c>
      <c r="I405" s="637" t="str">
        <f>VLOOKUP(H405,ORC.AUXILIAR!I:P,4,0)</f>
        <v>M2</v>
      </c>
      <c r="J405" s="636">
        <f>VLOOKUP(H405,ORC.AUXILIAR!I:P,5,0)</f>
        <v>18.8</v>
      </c>
      <c r="K405" s="638">
        <f t="shared" si="38"/>
        <v>64.33</v>
      </c>
      <c r="L405" s="639">
        <f>VLOOKUP(H405,ORC.AUXILIAR!I:P,7,0)</f>
        <v>37.700000000000003</v>
      </c>
      <c r="M405" s="639">
        <f>VLOOKUP(H405,ORC.AUXILIAR!I:P,8,0)</f>
        <v>708.76</v>
      </c>
      <c r="N405" s="639">
        <f t="shared" si="40"/>
        <v>45594.5308</v>
      </c>
      <c r="O405" s="639">
        <f t="shared" si="41"/>
        <v>10232363978.480015</v>
      </c>
      <c r="P405" s="640">
        <f t="shared" si="39"/>
        <v>0.9974157556290062</v>
      </c>
    </row>
    <row r="406" spans="1:16">
      <c r="A406" s="627">
        <v>2414.364</v>
      </c>
      <c r="B406" s="628">
        <v>374.32</v>
      </c>
      <c r="C406" s="629">
        <v>92923</v>
      </c>
      <c r="D406" s="628">
        <f>VLOOKUP(C406,ORC.AUXILIAR!I:J,2,0)</f>
        <v>0</v>
      </c>
      <c r="G406" s="636">
        <f t="shared" si="36"/>
        <v>0</v>
      </c>
      <c r="H406" s="636">
        <f t="shared" si="37"/>
        <v>92923</v>
      </c>
      <c r="I406" s="637" t="str">
        <f>VLOOKUP(H406,ORC.AUXILIAR!I:P,4,0)</f>
        <v>KG</v>
      </c>
      <c r="J406" s="636">
        <f>VLOOKUP(H406,ORC.AUXILIAR!I:P,5,0)</f>
        <v>374.32</v>
      </c>
      <c r="K406" s="638">
        <f t="shared" si="38"/>
        <v>374.32</v>
      </c>
      <c r="L406" s="639">
        <f>VLOOKUP(H406,ORC.AUXILIAR!I:P,7,0)</f>
        <v>6.45</v>
      </c>
      <c r="M406" s="639">
        <f>VLOOKUP(H406,ORC.AUXILIAR!I:P,8,0)</f>
        <v>2414.36</v>
      </c>
      <c r="N406" s="639">
        <f t="shared" si="40"/>
        <v>903743.2352</v>
      </c>
      <c r="O406" s="639">
        <f t="shared" si="41"/>
        <v>10233267721.715216</v>
      </c>
      <c r="P406" s="640">
        <f t="shared" si="39"/>
        <v>0.99750384942079551</v>
      </c>
    </row>
    <row r="407" spans="1:16">
      <c r="A407" s="627">
        <v>2394.9699999999998</v>
      </c>
      <c r="B407" s="628">
        <v>1</v>
      </c>
      <c r="C407" s="629" t="s">
        <v>13032</v>
      </c>
      <c r="D407" s="628">
        <f>VLOOKUP(C407,ORC.AUXILIAR!I:J,2,0)</f>
        <v>0</v>
      </c>
      <c r="G407" s="636">
        <f t="shared" si="36"/>
        <v>0</v>
      </c>
      <c r="H407" s="636" t="str">
        <f t="shared" si="37"/>
        <v>TP.FºF°.41</v>
      </c>
      <c r="I407" s="637" t="str">
        <f>VLOOKUP(H407,ORC.AUXILIAR!I:P,4,0)</f>
        <v>pç</v>
      </c>
      <c r="J407" s="636">
        <f>VLOOKUP(H407,ORC.AUXILIAR!I:P,5,0)</f>
        <v>1</v>
      </c>
      <c r="K407" s="638">
        <f t="shared" si="38"/>
        <v>1</v>
      </c>
      <c r="L407" s="639">
        <f>VLOOKUP(H407,ORC.AUXILIAR!I:P,7,0)</f>
        <v>2394.9699999999998</v>
      </c>
      <c r="M407" s="639">
        <f>VLOOKUP(H407,ORC.AUXILIAR!I:P,8,0)</f>
        <v>2394.9699999999998</v>
      </c>
      <c r="N407" s="639">
        <f t="shared" si="40"/>
        <v>2394.9699999999998</v>
      </c>
      <c r="O407" s="639">
        <f t="shared" si="41"/>
        <v>10233270116.685215</v>
      </c>
      <c r="P407" s="640">
        <f t="shared" si="39"/>
        <v>0.99750408287425907</v>
      </c>
    </row>
    <row r="408" spans="1:16">
      <c r="A408" s="627">
        <v>2381.3760000000002</v>
      </c>
      <c r="B408" s="628">
        <v>758.40000000000009</v>
      </c>
      <c r="C408" s="629">
        <v>73508</v>
      </c>
      <c r="D408" s="628">
        <f>VLOOKUP(C408,ORC.AUXILIAR!I:J,2,0)</f>
        <v>0</v>
      </c>
      <c r="G408" s="636">
        <f t="shared" si="36"/>
        <v>0</v>
      </c>
      <c r="H408" s="636">
        <f t="shared" si="37"/>
        <v>73508</v>
      </c>
      <c r="I408" s="637" t="str">
        <f>VLOOKUP(H408,ORC.AUXILIAR!I:P,4,0)</f>
        <v>M</v>
      </c>
      <c r="J408" s="636">
        <f>VLOOKUP(H408,ORC.AUXILIAR!I:P,5,0)</f>
        <v>422</v>
      </c>
      <c r="K408" s="638">
        <f t="shared" si="38"/>
        <v>758.40000000000009</v>
      </c>
      <c r="L408" s="639">
        <f>VLOOKUP(H408,ORC.AUXILIAR!I:P,7,0)</f>
        <v>3.14</v>
      </c>
      <c r="M408" s="639">
        <f>VLOOKUP(H408,ORC.AUXILIAR!I:P,8,0)</f>
        <v>1325.08</v>
      </c>
      <c r="N408" s="639">
        <f t="shared" si="40"/>
        <v>1004940.672</v>
      </c>
      <c r="O408" s="639">
        <f t="shared" si="41"/>
        <v>10234275057.357216</v>
      </c>
      <c r="P408" s="640">
        <f t="shared" si="39"/>
        <v>0.99760204104519923</v>
      </c>
    </row>
    <row r="409" spans="1:16">
      <c r="A409" s="627">
        <v>2381.1799999999998</v>
      </c>
      <c r="B409" s="628">
        <v>2</v>
      </c>
      <c r="C409" s="629">
        <v>7727</v>
      </c>
      <c r="D409" s="628">
        <f>VLOOKUP(C409,ORC.AUXILIAR!I:J,2,0)</f>
        <v>0</v>
      </c>
      <c r="G409" s="636">
        <f t="shared" si="36"/>
        <v>0</v>
      </c>
      <c r="H409" s="636">
        <f t="shared" si="37"/>
        <v>7727</v>
      </c>
      <c r="I409" s="637" t="str">
        <f>VLOOKUP(H409,ORC.AUXILIAR!I:P,4,0)</f>
        <v>m</v>
      </c>
      <c r="J409" s="636">
        <f>VLOOKUP(H409,ORC.AUXILIAR!I:P,5,0)</f>
        <v>2</v>
      </c>
      <c r="K409" s="638">
        <f t="shared" si="38"/>
        <v>2</v>
      </c>
      <c r="L409" s="639">
        <f>VLOOKUP(H409,ORC.AUXILIAR!I:P,7,0)</f>
        <v>1190.5899999999999</v>
      </c>
      <c r="M409" s="639">
        <f>VLOOKUP(H409,ORC.AUXILIAR!I:P,8,0)</f>
        <v>2381.1799999999998</v>
      </c>
      <c r="N409" s="639">
        <f t="shared" si="40"/>
        <v>4762.3599999999997</v>
      </c>
      <c r="O409" s="639">
        <f t="shared" si="41"/>
        <v>10234279819.717216</v>
      </c>
      <c r="P409" s="640">
        <f t="shared" si="39"/>
        <v>0.99760250526372274</v>
      </c>
    </row>
    <row r="410" spans="1:16">
      <c r="A410" s="627">
        <v>2373.2800000000002</v>
      </c>
      <c r="B410" s="628">
        <v>14</v>
      </c>
      <c r="C410" s="629" t="s">
        <v>13141</v>
      </c>
      <c r="D410" s="628">
        <f>VLOOKUP(C410,ORC.AUXILIAR!I:J,2,0)</f>
        <v>0</v>
      </c>
      <c r="G410" s="636">
        <f t="shared" si="36"/>
        <v>0</v>
      </c>
      <c r="H410" s="636" t="str">
        <f t="shared" si="37"/>
        <v>TP.AÇO.01</v>
      </c>
      <c r="I410" s="637" t="str">
        <f>VLOOKUP(H410,ORC.AUXILIAR!I:P,4,0)</f>
        <v>pç</v>
      </c>
      <c r="J410" s="636">
        <f>VLOOKUP(H410,ORC.AUXILIAR!I:P,5,0)</f>
        <v>14</v>
      </c>
      <c r="K410" s="638">
        <f t="shared" si="38"/>
        <v>14</v>
      </c>
      <c r="L410" s="639">
        <f>VLOOKUP(H410,ORC.AUXILIAR!I:P,7,0)</f>
        <v>169.52</v>
      </c>
      <c r="M410" s="639">
        <f>VLOOKUP(H410,ORC.AUXILIAR!I:P,8,0)</f>
        <v>2373.2800000000002</v>
      </c>
      <c r="N410" s="639">
        <f t="shared" si="40"/>
        <v>33225.920000000006</v>
      </c>
      <c r="O410" s="639">
        <f t="shared" si="41"/>
        <v>10234313045.637217</v>
      </c>
      <c r="P410" s="640">
        <f t="shared" si="39"/>
        <v>0.99760574401247848</v>
      </c>
    </row>
    <row r="411" spans="1:16">
      <c r="A411" s="627">
        <v>2342.8000000000002</v>
      </c>
      <c r="B411" s="628">
        <v>20</v>
      </c>
      <c r="C411" s="629" t="s">
        <v>19323</v>
      </c>
      <c r="D411" s="628">
        <f>VLOOKUP(C411,ORC.AUXILIAR!I:J,2,0)</f>
        <v>0</v>
      </c>
      <c r="G411" s="636">
        <f t="shared" si="36"/>
        <v>0</v>
      </c>
      <c r="H411" s="636" t="str">
        <f t="shared" si="37"/>
        <v>73967/1</v>
      </c>
      <c r="I411" s="637" t="str">
        <f>VLOOKUP(H411,ORC.AUXILIAR!I:P,4,0)</f>
        <v>UN</v>
      </c>
      <c r="J411" s="636">
        <f>VLOOKUP(H411,ORC.AUXILIAR!I:P,5,0)</f>
        <v>20</v>
      </c>
      <c r="K411" s="638">
        <f t="shared" si="38"/>
        <v>20</v>
      </c>
      <c r="L411" s="639">
        <f>VLOOKUP(H411,ORC.AUXILIAR!I:P,7,0)</f>
        <v>117.14</v>
      </c>
      <c r="M411" s="639">
        <f>VLOOKUP(H411,ORC.AUXILIAR!I:P,8,0)</f>
        <v>2342.8000000000002</v>
      </c>
      <c r="N411" s="639">
        <f t="shared" si="40"/>
        <v>46856</v>
      </c>
      <c r="O411" s="639">
        <f t="shared" si="41"/>
        <v>10234359901.637217</v>
      </c>
      <c r="P411" s="640">
        <f t="shared" si="39"/>
        <v>0.99761031137469747</v>
      </c>
    </row>
    <row r="412" spans="1:16">
      <c r="A412" s="627">
        <v>2334</v>
      </c>
      <c r="B412" s="628">
        <v>4</v>
      </c>
      <c r="C412" s="629" t="s">
        <v>13155</v>
      </c>
      <c r="D412" s="628">
        <f>VLOOKUP(C412,ORC.AUXILIAR!I:J,2,0)</f>
        <v>0</v>
      </c>
      <c r="G412" s="636">
        <f t="shared" si="36"/>
        <v>0</v>
      </c>
      <c r="H412" s="636" t="str">
        <f t="shared" si="37"/>
        <v>TP.AÇO.05</v>
      </c>
      <c r="I412" s="637" t="str">
        <f>VLOOKUP(H412,ORC.AUXILIAR!I:P,4,0)</f>
        <v>pç</v>
      </c>
      <c r="J412" s="636">
        <f>VLOOKUP(H412,ORC.AUXILIAR!I:P,5,0)</f>
        <v>4</v>
      </c>
      <c r="K412" s="638">
        <f t="shared" si="38"/>
        <v>4</v>
      </c>
      <c r="L412" s="639">
        <f>VLOOKUP(H412,ORC.AUXILIAR!I:P,7,0)</f>
        <v>583.5</v>
      </c>
      <c r="M412" s="639">
        <f>VLOOKUP(H412,ORC.AUXILIAR!I:P,8,0)</f>
        <v>2334</v>
      </c>
      <c r="N412" s="639">
        <f t="shared" si="40"/>
        <v>9336</v>
      </c>
      <c r="O412" s="639">
        <f t="shared" si="41"/>
        <v>10234369237.637217</v>
      </c>
      <c r="P412" s="640">
        <f t="shared" si="39"/>
        <v>0.99761122141596592</v>
      </c>
    </row>
    <row r="413" spans="1:16">
      <c r="A413" s="627">
        <v>2260</v>
      </c>
      <c r="B413" s="628">
        <v>500</v>
      </c>
      <c r="C413" s="629" t="s">
        <v>14508</v>
      </c>
      <c r="D413" s="628">
        <f>VLOOKUP(C413,ORC.AUXILIAR!I:J,2,0)</f>
        <v>0</v>
      </c>
      <c r="G413" s="636">
        <f t="shared" si="36"/>
        <v>0</v>
      </c>
      <c r="H413" s="636" t="str">
        <f t="shared" si="37"/>
        <v>CT.ESTRADA</v>
      </c>
      <c r="I413" s="637" t="str">
        <f>VLOOKUP(H413,ORC.AUXILIAR!I:P,4,0)</f>
        <v>M²</v>
      </c>
      <c r="J413" s="636">
        <f>VLOOKUP(H413,ORC.AUXILIAR!I:P,5,0)</f>
        <v>500</v>
      </c>
      <c r="K413" s="638">
        <f t="shared" si="38"/>
        <v>500</v>
      </c>
      <c r="L413" s="639">
        <f>VLOOKUP(H413,ORC.AUXILIAR!I:P,7,0)</f>
        <v>4.5199999999999996</v>
      </c>
      <c r="M413" s="639">
        <f>VLOOKUP(H413,ORC.AUXILIAR!I:P,8,0)</f>
        <v>2260</v>
      </c>
      <c r="N413" s="639">
        <f t="shared" si="40"/>
        <v>1130000</v>
      </c>
      <c r="O413" s="639">
        <f t="shared" si="41"/>
        <v>10235499237.637217</v>
      </c>
      <c r="P413" s="640">
        <f t="shared" si="39"/>
        <v>0.99772136994139282</v>
      </c>
    </row>
    <row r="414" spans="1:16">
      <c r="A414" s="627">
        <v>2255.96</v>
      </c>
      <c r="B414" s="628">
        <v>4</v>
      </c>
      <c r="C414" s="629" t="s">
        <v>13147</v>
      </c>
      <c r="D414" s="628">
        <f>VLOOKUP(C414,ORC.AUXILIAR!I:J,2,0)</f>
        <v>0</v>
      </c>
      <c r="G414" s="636">
        <f t="shared" si="36"/>
        <v>0</v>
      </c>
      <c r="H414" s="636" t="str">
        <f t="shared" si="37"/>
        <v>RE.AÇO.03</v>
      </c>
      <c r="I414" s="637" t="str">
        <f>VLOOKUP(H414,ORC.AUXILIAR!I:P,4,0)</f>
        <v>pç</v>
      </c>
      <c r="J414" s="636">
        <f>VLOOKUP(H414,ORC.AUXILIAR!I:P,5,0)</f>
        <v>4</v>
      </c>
      <c r="K414" s="638">
        <f t="shared" si="38"/>
        <v>4</v>
      </c>
      <c r="L414" s="639">
        <f>VLOOKUP(H414,ORC.AUXILIAR!I:P,7,0)</f>
        <v>563.99</v>
      </c>
      <c r="M414" s="639">
        <f>VLOOKUP(H414,ORC.AUXILIAR!I:P,8,0)</f>
        <v>2255.96</v>
      </c>
      <c r="N414" s="639">
        <f t="shared" si="40"/>
        <v>9023.84</v>
      </c>
      <c r="O414" s="639">
        <f t="shared" si="41"/>
        <v>10235508261.477217</v>
      </c>
      <c r="P414" s="640">
        <f t="shared" si="39"/>
        <v>0.99772224955437483</v>
      </c>
    </row>
    <row r="415" spans="1:16">
      <c r="A415" s="627">
        <v>2254.3200000000002</v>
      </c>
      <c r="B415" s="628">
        <v>6</v>
      </c>
      <c r="C415" s="629" t="s">
        <v>13730</v>
      </c>
      <c r="D415" s="628">
        <f>VLOOKUP(C415,ORC.AUXILIAR!I:J,2,0)</f>
        <v>0</v>
      </c>
      <c r="G415" s="636">
        <f t="shared" si="36"/>
        <v>0</v>
      </c>
      <c r="H415" s="636" t="str">
        <f t="shared" si="37"/>
        <v>QCM.EEE.28</v>
      </c>
      <c r="I415" s="637" t="str">
        <f>VLOOKUP(H415,ORC.AUXILIAR!I:P,4,0)</f>
        <v>Un</v>
      </c>
      <c r="J415" s="636">
        <f>VLOOKUP(H415,ORC.AUXILIAR!I:P,5,0)</f>
        <v>6</v>
      </c>
      <c r="K415" s="638">
        <f t="shared" si="38"/>
        <v>6</v>
      </c>
      <c r="L415" s="639">
        <f>VLOOKUP(H415,ORC.AUXILIAR!I:P,7,0)</f>
        <v>375.72</v>
      </c>
      <c r="M415" s="639">
        <f>VLOOKUP(H415,ORC.AUXILIAR!I:P,8,0)</f>
        <v>2254.3200000000002</v>
      </c>
      <c r="N415" s="639">
        <f t="shared" si="40"/>
        <v>13525.920000000002</v>
      </c>
      <c r="O415" s="639">
        <f t="shared" si="41"/>
        <v>10235521787.397217</v>
      </c>
      <c r="P415" s="640">
        <f t="shared" si="39"/>
        <v>0.99772356801467843</v>
      </c>
    </row>
    <row r="416" spans="1:16">
      <c r="A416" s="627">
        <v>2246.8000000000002</v>
      </c>
      <c r="B416" s="628">
        <v>1</v>
      </c>
      <c r="C416" s="629" t="s">
        <v>14264</v>
      </c>
      <c r="D416" s="628">
        <f>VLOOKUP(C416,ORC.AUXILIAR!I:J,2,0)</f>
        <v>0</v>
      </c>
      <c r="G416" s="636">
        <f t="shared" si="36"/>
        <v>0</v>
      </c>
      <c r="H416" s="636" t="str">
        <f t="shared" si="37"/>
        <v>CT.FºFº.19</v>
      </c>
      <c r="I416" s="637" t="str">
        <f>VLOOKUP(H416,ORC.AUXILIAR!I:P,4,0)</f>
        <v>un</v>
      </c>
      <c r="J416" s="636">
        <f>VLOOKUP(H416,ORC.AUXILIAR!I:P,5,0)</f>
        <v>1</v>
      </c>
      <c r="K416" s="638">
        <f t="shared" si="38"/>
        <v>1</v>
      </c>
      <c r="L416" s="639">
        <f>VLOOKUP(H416,ORC.AUXILIAR!I:P,7,0)</f>
        <v>2246.8000000000002</v>
      </c>
      <c r="M416" s="639">
        <f>VLOOKUP(H416,ORC.AUXILIAR!I:P,8,0)</f>
        <v>2246.8000000000002</v>
      </c>
      <c r="N416" s="639">
        <f t="shared" si="40"/>
        <v>2246.8000000000002</v>
      </c>
      <c r="O416" s="639">
        <f t="shared" si="41"/>
        <v>10235524034.197216</v>
      </c>
      <c r="P416" s="640">
        <f t="shared" si="39"/>
        <v>0.9977237870250385</v>
      </c>
    </row>
    <row r="417" spans="1:16">
      <c r="A417" s="627">
        <v>2243.19</v>
      </c>
      <c r="B417" s="628">
        <v>13.8</v>
      </c>
      <c r="C417" s="629" t="s">
        <v>12764</v>
      </c>
      <c r="D417" s="628">
        <f>VLOOKUP(C417,ORC.AUXILIAR!I:J,2,0)</f>
        <v>0</v>
      </c>
      <c r="G417" s="636">
        <f t="shared" si="36"/>
        <v>0</v>
      </c>
      <c r="H417" s="636" t="str">
        <f t="shared" si="37"/>
        <v>RE.AI.35</v>
      </c>
      <c r="I417" s="637" t="str">
        <f>VLOOKUP(H417,ORC.AUXILIAR!I:P,4,0)</f>
        <v>m</v>
      </c>
      <c r="J417" s="636">
        <f>VLOOKUP(H417,ORC.AUXILIAR!I:P,5,0)</f>
        <v>13.8</v>
      </c>
      <c r="K417" s="638">
        <f t="shared" si="38"/>
        <v>13.8</v>
      </c>
      <c r="L417" s="639">
        <f>VLOOKUP(H417,ORC.AUXILIAR!I:P,7,0)</f>
        <v>162.55000000000001</v>
      </c>
      <c r="M417" s="639">
        <f>VLOOKUP(H417,ORC.AUXILIAR!I:P,8,0)</f>
        <v>2243.19</v>
      </c>
      <c r="N417" s="639">
        <f t="shared" si="40"/>
        <v>30956.022000000001</v>
      </c>
      <c r="O417" s="639">
        <f t="shared" si="41"/>
        <v>10235554990.219215</v>
      </c>
      <c r="P417" s="640">
        <f t="shared" si="39"/>
        <v>0.9977268045119202</v>
      </c>
    </row>
    <row r="418" spans="1:16">
      <c r="A418" s="627">
        <v>2228.4</v>
      </c>
      <c r="B418" s="628">
        <v>360</v>
      </c>
      <c r="C418" s="629">
        <v>91846</v>
      </c>
      <c r="D418" s="628">
        <f>VLOOKUP(C418,ORC.AUXILIAR!I:J,2,0)</f>
        <v>0</v>
      </c>
      <c r="G418" s="636">
        <f t="shared" si="36"/>
        <v>0</v>
      </c>
      <c r="H418" s="636">
        <f t="shared" si="37"/>
        <v>91846</v>
      </c>
      <c r="I418" s="637" t="str">
        <f>VLOOKUP(H418,ORC.AUXILIAR!I:P,4,0)</f>
        <v>m</v>
      </c>
      <c r="J418" s="636">
        <f>VLOOKUP(H418,ORC.AUXILIAR!I:P,5,0)</f>
        <v>360</v>
      </c>
      <c r="K418" s="638">
        <f t="shared" si="38"/>
        <v>360</v>
      </c>
      <c r="L418" s="639">
        <f>VLOOKUP(H418,ORC.AUXILIAR!I:P,7,0)</f>
        <v>6.19</v>
      </c>
      <c r="M418" s="639">
        <f>VLOOKUP(H418,ORC.AUXILIAR!I:P,8,0)</f>
        <v>2228.4</v>
      </c>
      <c r="N418" s="639">
        <f t="shared" si="40"/>
        <v>802224</v>
      </c>
      <c r="O418" s="639">
        <f t="shared" si="41"/>
        <v>10236357214.219215</v>
      </c>
      <c r="P418" s="640">
        <f t="shared" si="39"/>
        <v>0.99780500255675386</v>
      </c>
    </row>
    <row r="419" spans="1:16">
      <c r="A419" s="627">
        <v>2201</v>
      </c>
      <c r="B419" s="628">
        <v>2</v>
      </c>
      <c r="C419" s="629" t="s">
        <v>13623</v>
      </c>
      <c r="D419" s="628">
        <f>VLOOKUP(C419,ORC.AUXILIAR!I:J,2,0)</f>
        <v>0</v>
      </c>
      <c r="G419" s="636">
        <f t="shared" si="36"/>
        <v>0</v>
      </c>
      <c r="H419" s="636" t="str">
        <f t="shared" si="37"/>
        <v>QCM.BIOGAS.28</v>
      </c>
      <c r="I419" s="637" t="str">
        <f>VLOOKUP(H419,ORC.AUXILIAR!I:P,4,0)</f>
        <v>um</v>
      </c>
      <c r="J419" s="636">
        <f>VLOOKUP(H419,ORC.AUXILIAR!I:P,5,0)</f>
        <v>2</v>
      </c>
      <c r="K419" s="638">
        <f t="shared" si="38"/>
        <v>2</v>
      </c>
      <c r="L419" s="639">
        <f>VLOOKUP(H419,ORC.AUXILIAR!I:P,7,0)</f>
        <v>1100.5</v>
      </c>
      <c r="M419" s="639">
        <f>VLOOKUP(H419,ORC.AUXILIAR!I:P,8,0)</f>
        <v>2201</v>
      </c>
      <c r="N419" s="639">
        <f t="shared" si="40"/>
        <v>4402</v>
      </c>
      <c r="O419" s="639">
        <f t="shared" si="41"/>
        <v>10236361616.219215</v>
      </c>
      <c r="P419" s="640">
        <f t="shared" si="39"/>
        <v>0.99780543164862012</v>
      </c>
    </row>
    <row r="420" spans="1:16">
      <c r="A420" s="627">
        <v>2201</v>
      </c>
      <c r="B420" s="628">
        <v>2</v>
      </c>
      <c r="C420" s="629" t="s">
        <v>13792</v>
      </c>
      <c r="D420" s="628">
        <f>VLOOKUP(C420,ORC.AUXILIAR!I:J,2,0)</f>
        <v>0</v>
      </c>
      <c r="G420" s="636">
        <f t="shared" si="36"/>
        <v>0</v>
      </c>
      <c r="H420" s="636" t="str">
        <f t="shared" si="37"/>
        <v>QCM.CX.AREIA.29</v>
      </c>
      <c r="I420" s="637" t="str">
        <f>VLOOKUP(H420,ORC.AUXILIAR!I:P,4,0)</f>
        <v>Cj</v>
      </c>
      <c r="J420" s="636">
        <f>VLOOKUP(H420,ORC.AUXILIAR!I:P,5,0)</f>
        <v>2</v>
      </c>
      <c r="K420" s="638">
        <f t="shared" si="38"/>
        <v>2</v>
      </c>
      <c r="L420" s="639">
        <f>VLOOKUP(H420,ORC.AUXILIAR!I:P,7,0)</f>
        <v>1100.5</v>
      </c>
      <c r="M420" s="639">
        <f>VLOOKUP(H420,ORC.AUXILIAR!I:P,8,0)</f>
        <v>2201</v>
      </c>
      <c r="N420" s="639">
        <f t="shared" si="40"/>
        <v>4402</v>
      </c>
      <c r="O420" s="639">
        <f t="shared" si="41"/>
        <v>10236366018.219215</v>
      </c>
      <c r="P420" s="640">
        <f t="shared" si="39"/>
        <v>0.99780586074048649</v>
      </c>
    </row>
    <row r="421" spans="1:16">
      <c r="A421" s="627">
        <v>2201</v>
      </c>
      <c r="B421" s="628">
        <v>2</v>
      </c>
      <c r="C421" s="629" t="s">
        <v>13591</v>
      </c>
      <c r="D421" s="628">
        <f>VLOOKUP(C421,ORC.AUXILIAR!I:J,2,0)</f>
        <v>0</v>
      </c>
      <c r="G421" s="636">
        <f t="shared" si="36"/>
        <v>0</v>
      </c>
      <c r="H421" s="636" t="str">
        <f t="shared" si="37"/>
        <v>QCM.HIP.30</v>
      </c>
      <c r="I421" s="637" t="str">
        <f>VLOOKUP(H421,ORC.AUXILIAR!I:P,4,0)</f>
        <v>um</v>
      </c>
      <c r="J421" s="636">
        <f>VLOOKUP(H421,ORC.AUXILIAR!I:P,5,0)</f>
        <v>2</v>
      </c>
      <c r="K421" s="638">
        <f t="shared" si="38"/>
        <v>2</v>
      </c>
      <c r="L421" s="639">
        <f>VLOOKUP(H421,ORC.AUXILIAR!I:P,7,0)</f>
        <v>1100.5</v>
      </c>
      <c r="M421" s="639">
        <f>VLOOKUP(H421,ORC.AUXILIAR!I:P,8,0)</f>
        <v>2201</v>
      </c>
      <c r="N421" s="639">
        <f t="shared" si="40"/>
        <v>4402</v>
      </c>
      <c r="O421" s="639">
        <f t="shared" si="41"/>
        <v>10236370420.219215</v>
      </c>
      <c r="P421" s="640">
        <f t="shared" si="39"/>
        <v>0.99780628983235276</v>
      </c>
    </row>
    <row r="422" spans="1:16">
      <c r="A422" s="627">
        <v>2183.04</v>
      </c>
      <c r="B422" s="628">
        <v>24</v>
      </c>
      <c r="C422" s="629">
        <v>286</v>
      </c>
      <c r="D422" s="628">
        <f>VLOOKUP(C422,ORC.AUXILIAR!I:J,2,0)</f>
        <v>0</v>
      </c>
      <c r="G422" s="636">
        <f t="shared" si="36"/>
        <v>0</v>
      </c>
      <c r="H422" s="636">
        <f t="shared" si="37"/>
        <v>286</v>
      </c>
      <c r="I422" s="637" t="str">
        <f>VLOOKUP(H422,ORC.AUXILIAR!I:P,4,0)</f>
        <v>M</v>
      </c>
      <c r="J422" s="636">
        <f>VLOOKUP(H422,ORC.AUXILIAR!I:P,5,0)</f>
        <v>24</v>
      </c>
      <c r="K422" s="638">
        <f t="shared" si="38"/>
        <v>24</v>
      </c>
      <c r="L422" s="639">
        <f>VLOOKUP(H422,ORC.AUXILIAR!I:P,7,0)</f>
        <v>90.96</v>
      </c>
      <c r="M422" s="639">
        <f>VLOOKUP(H422,ORC.AUXILIAR!I:P,8,0)</f>
        <v>2183.04</v>
      </c>
      <c r="N422" s="639">
        <f t="shared" si="40"/>
        <v>52392.959999999999</v>
      </c>
      <c r="O422" s="639">
        <f t="shared" si="41"/>
        <v>10236422813.179214</v>
      </c>
      <c r="P422" s="640">
        <f t="shared" si="39"/>
        <v>0.99781139691844711</v>
      </c>
    </row>
    <row r="423" spans="1:16">
      <c r="A423" s="627">
        <v>2181.1680000000001</v>
      </c>
      <c r="B423" s="628">
        <v>2.88</v>
      </c>
      <c r="C423" s="629">
        <v>94574</v>
      </c>
      <c r="D423" s="628">
        <f>VLOOKUP(C423,ORC.AUXILIAR!I:J,2,0)</f>
        <v>0</v>
      </c>
      <c r="G423" s="636">
        <f t="shared" si="36"/>
        <v>0</v>
      </c>
      <c r="H423" s="636">
        <f t="shared" si="37"/>
        <v>94574</v>
      </c>
      <c r="I423" s="637" t="str">
        <f>VLOOKUP(H423,ORC.AUXILIAR!I:P,4,0)</f>
        <v>M2</v>
      </c>
      <c r="J423" s="636">
        <f>VLOOKUP(H423,ORC.AUXILIAR!I:P,5,0)</f>
        <v>2.88</v>
      </c>
      <c r="K423" s="638">
        <f t="shared" si="38"/>
        <v>2.88</v>
      </c>
      <c r="L423" s="639">
        <f>VLOOKUP(H423,ORC.AUXILIAR!I:P,7,0)</f>
        <v>757.35</v>
      </c>
      <c r="M423" s="639">
        <f>VLOOKUP(H423,ORC.AUXILIAR!I:P,8,0)</f>
        <v>2181.17</v>
      </c>
      <c r="N423" s="639">
        <f t="shared" si="40"/>
        <v>6281.7695999999996</v>
      </c>
      <c r="O423" s="639">
        <f t="shared" si="41"/>
        <v>10236429094.948814</v>
      </c>
      <c r="P423" s="640">
        <f t="shared" si="39"/>
        <v>0.99781200924380864</v>
      </c>
    </row>
    <row r="424" spans="1:16">
      <c r="A424" s="627">
        <v>2168.1714999999999</v>
      </c>
      <c r="B424" s="628">
        <v>231.89</v>
      </c>
      <c r="C424" s="629">
        <v>192</v>
      </c>
      <c r="D424" s="628">
        <f>VLOOKUP(C424,ORC.AUXILIAR!I:J,2,0)</f>
        <v>0</v>
      </c>
      <c r="G424" s="636">
        <f t="shared" si="36"/>
        <v>0</v>
      </c>
      <c r="H424" s="636">
        <f t="shared" si="37"/>
        <v>192</v>
      </c>
      <c r="I424" s="637" t="str">
        <f>VLOOKUP(H424,ORC.AUXILIAR!I:P,4,0)</f>
        <v>M3</v>
      </c>
      <c r="J424" s="636">
        <f>VLOOKUP(H424,ORC.AUXILIAR!I:P,5,0)</f>
        <v>0</v>
      </c>
      <c r="K424" s="638">
        <f t="shared" si="38"/>
        <v>231.89</v>
      </c>
      <c r="L424" s="639">
        <f>VLOOKUP(H424,ORC.AUXILIAR!I:P,7,0)</f>
        <v>9.35</v>
      </c>
      <c r="M424" s="639">
        <f>VLOOKUP(H424,ORC.AUXILIAR!I:P,8,0)</f>
        <v>0</v>
      </c>
      <c r="N424" s="639">
        <f t="shared" si="40"/>
        <v>0</v>
      </c>
      <c r="O424" s="639">
        <f t="shared" si="41"/>
        <v>10236429094.948814</v>
      </c>
      <c r="P424" s="640">
        <f t="shared" si="39"/>
        <v>0.99781200924380864</v>
      </c>
    </row>
    <row r="425" spans="1:16">
      <c r="A425" s="627">
        <v>2150.8875000000003</v>
      </c>
      <c r="B425" s="628">
        <v>63.730000000000004</v>
      </c>
      <c r="C425" s="629">
        <v>409</v>
      </c>
      <c r="D425" s="628">
        <f>VLOOKUP(C425,ORC.AUXILIAR!I:J,2,0)</f>
        <v>0</v>
      </c>
      <c r="G425" s="636">
        <f t="shared" si="36"/>
        <v>0</v>
      </c>
      <c r="H425" s="636">
        <f t="shared" si="37"/>
        <v>409</v>
      </c>
      <c r="I425" s="637" t="str">
        <f>VLOOKUP(H425,ORC.AUXILIAR!I:P,4,0)</f>
        <v>M2</v>
      </c>
      <c r="J425" s="636">
        <f>VLOOKUP(H425,ORC.AUXILIAR!I:P,5,0)</f>
        <v>18.2</v>
      </c>
      <c r="K425" s="638">
        <f t="shared" si="38"/>
        <v>63.730000000000004</v>
      </c>
      <c r="L425" s="639">
        <f>VLOOKUP(H425,ORC.AUXILIAR!I:P,7,0)</f>
        <v>33.75</v>
      </c>
      <c r="M425" s="639">
        <f>VLOOKUP(H425,ORC.AUXILIAR!I:P,8,0)</f>
        <v>614.25</v>
      </c>
      <c r="N425" s="639">
        <f t="shared" si="40"/>
        <v>39146.152500000004</v>
      </c>
      <c r="O425" s="639">
        <f t="shared" si="41"/>
        <v>10236468241.101315</v>
      </c>
      <c r="P425" s="640">
        <f t="shared" si="39"/>
        <v>0.99781582507652899</v>
      </c>
    </row>
    <row r="426" spans="1:16">
      <c r="A426" s="627">
        <v>2149.6202999999996</v>
      </c>
      <c r="B426" s="628">
        <v>231.89</v>
      </c>
      <c r="C426" s="629">
        <v>194</v>
      </c>
      <c r="D426" s="628">
        <f>VLOOKUP(C426,ORC.AUXILIAR!I:J,2,0)</f>
        <v>0</v>
      </c>
      <c r="G426" s="636">
        <f t="shared" si="36"/>
        <v>0</v>
      </c>
      <c r="H426" s="636">
        <f t="shared" si="37"/>
        <v>194</v>
      </c>
      <c r="I426" s="637" t="str">
        <f>VLOOKUP(H426,ORC.AUXILIAR!I:P,4,0)</f>
        <v>M3</v>
      </c>
      <c r="J426" s="636">
        <f>VLOOKUP(H426,ORC.AUXILIAR!I:P,5,0)</f>
        <v>0</v>
      </c>
      <c r="K426" s="638">
        <f t="shared" si="38"/>
        <v>231.89</v>
      </c>
      <c r="L426" s="639">
        <f>VLOOKUP(H426,ORC.AUXILIAR!I:P,7,0)</f>
        <v>9.27</v>
      </c>
      <c r="M426" s="639">
        <f>VLOOKUP(H426,ORC.AUXILIAR!I:P,8,0)</f>
        <v>0</v>
      </c>
      <c r="N426" s="639">
        <f t="shared" si="40"/>
        <v>0</v>
      </c>
      <c r="O426" s="639">
        <f t="shared" si="41"/>
        <v>10236468241.101315</v>
      </c>
      <c r="P426" s="640">
        <f t="shared" si="39"/>
        <v>0.99781582507652899</v>
      </c>
    </row>
    <row r="427" spans="1:16">
      <c r="A427" s="627">
        <v>2138.38</v>
      </c>
      <c r="B427" s="628">
        <v>1</v>
      </c>
      <c r="C427" s="629" t="s">
        <v>13034</v>
      </c>
      <c r="D427" s="628">
        <f>VLOOKUP(C427,ORC.AUXILIAR!I:J,2,0)</f>
        <v>0</v>
      </c>
      <c r="G427" s="636">
        <f t="shared" si="36"/>
        <v>0</v>
      </c>
      <c r="H427" s="636" t="str">
        <f t="shared" si="37"/>
        <v>TP.FºF°.42</v>
      </c>
      <c r="I427" s="637" t="str">
        <f>VLOOKUP(H427,ORC.AUXILIAR!I:P,4,0)</f>
        <v>pç</v>
      </c>
      <c r="J427" s="636">
        <f>VLOOKUP(H427,ORC.AUXILIAR!I:P,5,0)</f>
        <v>1</v>
      </c>
      <c r="K427" s="638">
        <f t="shared" si="38"/>
        <v>1</v>
      </c>
      <c r="L427" s="639">
        <f>VLOOKUP(H427,ORC.AUXILIAR!I:P,7,0)</f>
        <v>2138.38</v>
      </c>
      <c r="M427" s="639">
        <f>VLOOKUP(H427,ORC.AUXILIAR!I:P,8,0)</f>
        <v>2138.38</v>
      </c>
      <c r="N427" s="639">
        <f t="shared" si="40"/>
        <v>2138.38</v>
      </c>
      <c r="O427" s="639">
        <f t="shared" si="41"/>
        <v>10236470379.481314</v>
      </c>
      <c r="P427" s="640">
        <f t="shared" si="39"/>
        <v>0.99781603351847925</v>
      </c>
    </row>
    <row r="428" spans="1:16">
      <c r="A428" s="627">
        <v>2134.5974999999999</v>
      </c>
      <c r="B428" s="628">
        <v>15.75</v>
      </c>
      <c r="C428" s="629" t="s">
        <v>18440</v>
      </c>
      <c r="D428" s="628">
        <f>VLOOKUP(C428,ORC.AUXILIAR!I:J,2,0)</f>
        <v>0</v>
      </c>
      <c r="G428" s="636">
        <f t="shared" si="36"/>
        <v>0</v>
      </c>
      <c r="H428" s="636" t="str">
        <f t="shared" si="37"/>
        <v>73937/1</v>
      </c>
      <c r="I428" s="637" t="str">
        <f>VLOOKUP(H428,ORC.AUXILIAR!I:P,4,0)</f>
        <v>M2</v>
      </c>
      <c r="J428" s="636">
        <f>VLOOKUP(H428,ORC.AUXILIAR!I:P,5,0)</f>
        <v>14</v>
      </c>
      <c r="K428" s="638">
        <f t="shared" si="38"/>
        <v>15.75</v>
      </c>
      <c r="L428" s="639">
        <f>VLOOKUP(H428,ORC.AUXILIAR!I:P,7,0)</f>
        <v>135.53</v>
      </c>
      <c r="M428" s="639">
        <f>VLOOKUP(H428,ORC.AUXILIAR!I:P,8,0)</f>
        <v>1897.42</v>
      </c>
      <c r="N428" s="639">
        <f t="shared" si="40"/>
        <v>29884.365000000002</v>
      </c>
      <c r="O428" s="639">
        <f t="shared" si="41"/>
        <v>10236500263.846313</v>
      </c>
      <c r="P428" s="640">
        <f t="shared" si="39"/>
        <v>0.99781894654391112</v>
      </c>
    </row>
    <row r="429" spans="1:16">
      <c r="A429" s="627">
        <v>2129.6799999999998</v>
      </c>
      <c r="B429" s="628">
        <v>1</v>
      </c>
      <c r="C429" s="629" t="s">
        <v>12994</v>
      </c>
      <c r="D429" s="628">
        <f>VLOOKUP(C429,ORC.AUXILIAR!I:J,2,0)</f>
        <v>0</v>
      </c>
      <c r="G429" s="636">
        <f t="shared" si="36"/>
        <v>0</v>
      </c>
      <c r="H429" s="636" t="str">
        <f t="shared" si="37"/>
        <v>TP.FºF°.34</v>
      </c>
      <c r="I429" s="637" t="str">
        <f>VLOOKUP(H429,ORC.AUXILIAR!I:P,4,0)</f>
        <v>pç</v>
      </c>
      <c r="J429" s="636">
        <f>VLOOKUP(H429,ORC.AUXILIAR!I:P,5,0)</f>
        <v>1</v>
      </c>
      <c r="K429" s="638">
        <f t="shared" si="38"/>
        <v>1</v>
      </c>
      <c r="L429" s="639">
        <f>VLOOKUP(H429,ORC.AUXILIAR!I:P,7,0)</f>
        <v>2129.6799999999998</v>
      </c>
      <c r="M429" s="639">
        <f>VLOOKUP(H429,ORC.AUXILIAR!I:P,8,0)</f>
        <v>2129.6799999999998</v>
      </c>
      <c r="N429" s="639">
        <f t="shared" si="40"/>
        <v>2129.6799999999998</v>
      </c>
      <c r="O429" s="639">
        <f t="shared" si="41"/>
        <v>10236502393.526314</v>
      </c>
      <c r="P429" s="640">
        <f t="shared" si="39"/>
        <v>0.9978191541378153</v>
      </c>
    </row>
    <row r="430" spans="1:16">
      <c r="A430" s="627">
        <v>2123.4</v>
      </c>
      <c r="B430" s="628">
        <v>4</v>
      </c>
      <c r="C430" s="629" t="s">
        <v>13786</v>
      </c>
      <c r="D430" s="628">
        <f>VLOOKUP(C430,ORC.AUXILIAR!I:J,2,0)</f>
        <v>0</v>
      </c>
      <c r="G430" s="636">
        <f t="shared" si="36"/>
        <v>0</v>
      </c>
      <c r="H430" s="636" t="str">
        <f t="shared" si="37"/>
        <v>QCM.CX.AREIA.26</v>
      </c>
      <c r="I430" s="637" t="str">
        <f>VLOOKUP(H430,ORC.AUXILIAR!I:P,4,0)</f>
        <v>Un</v>
      </c>
      <c r="J430" s="636">
        <f>VLOOKUP(H430,ORC.AUXILIAR!I:P,5,0)</f>
        <v>4</v>
      </c>
      <c r="K430" s="638">
        <f t="shared" si="38"/>
        <v>4</v>
      </c>
      <c r="L430" s="639">
        <f>VLOOKUP(H430,ORC.AUXILIAR!I:P,7,0)</f>
        <v>530.85</v>
      </c>
      <c r="M430" s="639">
        <f>VLOOKUP(H430,ORC.AUXILIAR!I:P,8,0)</f>
        <v>2123.4</v>
      </c>
      <c r="N430" s="639">
        <f t="shared" si="40"/>
        <v>8493.6</v>
      </c>
      <c r="O430" s="639">
        <f t="shared" si="41"/>
        <v>10236510887.126314</v>
      </c>
      <c r="P430" s="640">
        <f t="shared" si="39"/>
        <v>0.99781998206482025</v>
      </c>
    </row>
    <row r="431" spans="1:16">
      <c r="A431" s="627">
        <v>2120</v>
      </c>
      <c r="B431" s="628">
        <v>1</v>
      </c>
      <c r="C431" s="629" t="s">
        <v>20516</v>
      </c>
      <c r="D431" s="628">
        <f>VLOOKUP(C431,ORC.AUXILIAR!I:J,2,0)</f>
        <v>0</v>
      </c>
      <c r="G431" s="636">
        <f t="shared" si="36"/>
        <v>0</v>
      </c>
      <c r="H431" s="636" t="str">
        <f t="shared" si="37"/>
        <v>CT_CHUVEIRO</v>
      </c>
      <c r="I431" s="637" t="str">
        <f>VLOOKUP(H431,ORC.AUXILIAR!I:P,4,0)</f>
        <v>UM</v>
      </c>
      <c r="J431" s="636">
        <f>VLOOKUP(H431,ORC.AUXILIAR!I:P,5,0)</f>
        <v>1</v>
      </c>
      <c r="K431" s="638">
        <f t="shared" si="38"/>
        <v>1</v>
      </c>
      <c r="L431" s="639">
        <f>VLOOKUP(H431,ORC.AUXILIAR!I:P,7,0)</f>
        <v>2120</v>
      </c>
      <c r="M431" s="639">
        <f>VLOOKUP(H431,ORC.AUXILIAR!I:P,8,0)</f>
        <v>2120</v>
      </c>
      <c r="N431" s="639">
        <f t="shared" si="40"/>
        <v>2120</v>
      </c>
      <c r="O431" s="639">
        <f t="shared" si="41"/>
        <v>10236513007.126314</v>
      </c>
      <c r="P431" s="640">
        <f t="shared" si="39"/>
        <v>0.9978201887151511</v>
      </c>
    </row>
    <row r="432" spans="1:16">
      <c r="A432" s="627">
        <v>2109.85</v>
      </c>
      <c r="B432" s="628">
        <v>1</v>
      </c>
      <c r="C432" s="629">
        <v>1616</v>
      </c>
      <c r="D432" s="628">
        <f>VLOOKUP(C432,ORC.AUXILIAR!I:J,2,0)</f>
        <v>0</v>
      </c>
      <c r="G432" s="636">
        <f t="shared" si="36"/>
        <v>0</v>
      </c>
      <c r="H432" s="636">
        <f t="shared" si="37"/>
        <v>1616</v>
      </c>
      <c r="I432" s="637" t="str">
        <f>VLOOKUP(H432,ORC.AUXILIAR!I:P,4,0)</f>
        <v>UN</v>
      </c>
      <c r="J432" s="636">
        <f>VLOOKUP(H432,ORC.AUXILIAR!I:P,5,0)</f>
        <v>0</v>
      </c>
      <c r="K432" s="638">
        <f t="shared" si="38"/>
        <v>1</v>
      </c>
      <c r="L432" s="639">
        <f>VLOOKUP(H432,ORC.AUXILIAR!I:P,7,0)</f>
        <v>2109.85</v>
      </c>
      <c r="M432" s="639">
        <f>VLOOKUP(H432,ORC.AUXILIAR!I:P,8,0)</f>
        <v>0</v>
      </c>
      <c r="N432" s="639">
        <f t="shared" si="40"/>
        <v>0</v>
      </c>
      <c r="O432" s="639">
        <f t="shared" si="41"/>
        <v>10236513007.126314</v>
      </c>
      <c r="P432" s="640">
        <f t="shared" si="39"/>
        <v>0.9978201887151511</v>
      </c>
    </row>
    <row r="433" spans="1:16">
      <c r="A433" s="627">
        <v>2103.06</v>
      </c>
      <c r="B433" s="628">
        <v>3</v>
      </c>
      <c r="C433" s="629" t="s">
        <v>13203</v>
      </c>
      <c r="D433" s="628">
        <f>VLOOKUP(C433,ORC.AUXILIAR!I:J,2,0)</f>
        <v>0</v>
      </c>
      <c r="G433" s="636">
        <f t="shared" si="36"/>
        <v>0</v>
      </c>
      <c r="H433" s="636" t="str">
        <f t="shared" si="37"/>
        <v>LS.RPVC.04</v>
      </c>
      <c r="I433" s="637" t="str">
        <f>VLOOKUP(H433,ORC.AUXILIAR!I:P,4,0)</f>
        <v>pç</v>
      </c>
      <c r="J433" s="636">
        <f>VLOOKUP(H433,ORC.AUXILIAR!I:P,5,0)</f>
        <v>3</v>
      </c>
      <c r="K433" s="638">
        <f t="shared" si="38"/>
        <v>3</v>
      </c>
      <c r="L433" s="639">
        <f>VLOOKUP(H433,ORC.AUXILIAR!I:P,7,0)</f>
        <v>701.02</v>
      </c>
      <c r="M433" s="639">
        <f>VLOOKUP(H433,ORC.AUXILIAR!I:P,8,0)</f>
        <v>2103.06</v>
      </c>
      <c r="N433" s="639">
        <f t="shared" si="40"/>
        <v>6309.18</v>
      </c>
      <c r="O433" s="639">
        <f t="shared" si="41"/>
        <v>10236519316.306314</v>
      </c>
      <c r="P433" s="640">
        <f t="shared" si="39"/>
        <v>0.99782080371238446</v>
      </c>
    </row>
    <row r="434" spans="1:16">
      <c r="A434" s="627">
        <v>2102.48</v>
      </c>
      <c r="B434" s="628">
        <v>8</v>
      </c>
      <c r="C434" s="629" t="s">
        <v>12786</v>
      </c>
      <c r="D434" s="628">
        <f>VLOOKUP(C434,ORC.AUXILIAR!I:J,2,0)</f>
        <v>0</v>
      </c>
      <c r="G434" s="636">
        <f t="shared" si="36"/>
        <v>0</v>
      </c>
      <c r="H434" s="636" t="str">
        <f t="shared" si="37"/>
        <v>TB.AI.03</v>
      </c>
      <c r="I434" s="637" t="str">
        <f>VLOOKUP(H434,ORC.AUXILIAR!I:P,4,0)</f>
        <v>pç</v>
      </c>
      <c r="J434" s="636">
        <f>VLOOKUP(H434,ORC.AUXILIAR!I:P,5,0)</f>
        <v>8</v>
      </c>
      <c r="K434" s="638">
        <f t="shared" si="38"/>
        <v>8</v>
      </c>
      <c r="L434" s="639">
        <f>VLOOKUP(H434,ORC.AUXILIAR!I:P,7,0)</f>
        <v>262.81</v>
      </c>
      <c r="M434" s="639">
        <f>VLOOKUP(H434,ORC.AUXILIAR!I:P,8,0)</f>
        <v>2102.48</v>
      </c>
      <c r="N434" s="639">
        <f t="shared" si="40"/>
        <v>16819.84</v>
      </c>
      <c r="O434" s="639">
        <f t="shared" si="41"/>
        <v>10236536136.146315</v>
      </c>
      <c r="P434" s="640">
        <f t="shared" si="39"/>
        <v>0.99782244325271541</v>
      </c>
    </row>
    <row r="435" spans="1:16">
      <c r="A435" s="627">
        <v>2089.0694000000003</v>
      </c>
      <c r="B435" s="628">
        <v>63.730000000000004</v>
      </c>
      <c r="C435" s="629">
        <v>92580</v>
      </c>
      <c r="D435" s="628">
        <f>VLOOKUP(C435,ORC.AUXILIAR!I:J,2,0)</f>
        <v>0</v>
      </c>
      <c r="G435" s="636">
        <f t="shared" si="36"/>
        <v>0</v>
      </c>
      <c r="H435" s="636">
        <f t="shared" si="37"/>
        <v>92580</v>
      </c>
      <c r="I435" s="637" t="str">
        <f>VLOOKUP(H435,ORC.AUXILIAR!I:P,4,0)</f>
        <v>M2</v>
      </c>
      <c r="J435" s="636">
        <f>VLOOKUP(H435,ORC.AUXILIAR!I:P,5,0)</f>
        <v>18.2</v>
      </c>
      <c r="K435" s="638">
        <f t="shared" si="38"/>
        <v>63.730000000000004</v>
      </c>
      <c r="L435" s="639">
        <f>VLOOKUP(H435,ORC.AUXILIAR!I:P,7,0)</f>
        <v>32.78</v>
      </c>
      <c r="M435" s="639">
        <f>VLOOKUP(H435,ORC.AUXILIAR!I:P,8,0)</f>
        <v>596.6</v>
      </c>
      <c r="N435" s="639">
        <f t="shared" si="40"/>
        <v>38021.318000000007</v>
      </c>
      <c r="O435" s="639">
        <f t="shared" si="41"/>
        <v>10236574157.464315</v>
      </c>
      <c r="P435" s="640">
        <f t="shared" si="39"/>
        <v>0.99782614944042558</v>
      </c>
    </row>
    <row r="436" spans="1:16">
      <c r="A436" s="627">
        <v>2050.2000000000003</v>
      </c>
      <c r="B436" s="628">
        <v>60</v>
      </c>
      <c r="C436" s="629">
        <v>2505</v>
      </c>
      <c r="D436" s="628">
        <f>VLOOKUP(C436,ORC.AUXILIAR!I:J,2,0)</f>
        <v>0</v>
      </c>
      <c r="G436" s="636">
        <f t="shared" si="36"/>
        <v>0</v>
      </c>
      <c r="H436" s="636">
        <f t="shared" si="37"/>
        <v>2505</v>
      </c>
      <c r="I436" s="637" t="str">
        <f>VLOOKUP(H436,ORC.AUXILIAR!I:P,4,0)</f>
        <v>m</v>
      </c>
      <c r="J436" s="636">
        <f>VLOOKUP(H436,ORC.AUXILIAR!I:P,5,0)</f>
        <v>60</v>
      </c>
      <c r="K436" s="638">
        <f t="shared" si="38"/>
        <v>60</v>
      </c>
      <c r="L436" s="639">
        <f>VLOOKUP(H436,ORC.AUXILIAR!I:P,7,0)</f>
        <v>34.17</v>
      </c>
      <c r="M436" s="639">
        <f>VLOOKUP(H436,ORC.AUXILIAR!I:P,8,0)</f>
        <v>2050.1999999999998</v>
      </c>
      <c r="N436" s="639">
        <f t="shared" si="40"/>
        <v>123011.99999999999</v>
      </c>
      <c r="O436" s="639">
        <f t="shared" si="41"/>
        <v>10236697169.464315</v>
      </c>
      <c r="P436" s="640">
        <f t="shared" si="39"/>
        <v>0.9978381402283989</v>
      </c>
    </row>
    <row r="437" spans="1:16">
      <c r="A437" s="627">
        <v>2027</v>
      </c>
      <c r="B437" s="628">
        <v>1</v>
      </c>
      <c r="C437" s="629">
        <v>2376</v>
      </c>
      <c r="D437" s="628">
        <f>VLOOKUP(C437,ORC.AUXILIAR!I:J,2,0)</f>
        <v>0</v>
      </c>
      <c r="G437" s="636">
        <f t="shared" si="36"/>
        <v>0</v>
      </c>
      <c r="H437" s="636">
        <f t="shared" si="37"/>
        <v>2376</v>
      </c>
      <c r="I437" s="637" t="str">
        <f>VLOOKUP(H437,ORC.AUXILIAR!I:P,4,0)</f>
        <v>un</v>
      </c>
      <c r="J437" s="636">
        <f>VLOOKUP(H437,ORC.AUXILIAR!I:P,5,0)</f>
        <v>1</v>
      </c>
      <c r="K437" s="638">
        <f t="shared" si="38"/>
        <v>1</v>
      </c>
      <c r="L437" s="639">
        <f>VLOOKUP(H437,ORC.AUXILIAR!I:P,7,0)</f>
        <v>2027</v>
      </c>
      <c r="M437" s="639">
        <f>VLOOKUP(H437,ORC.AUXILIAR!I:P,8,0)</f>
        <v>2027</v>
      </c>
      <c r="N437" s="639">
        <f t="shared" si="40"/>
        <v>2027</v>
      </c>
      <c r="O437" s="639">
        <f t="shared" si="41"/>
        <v>10236699196.464315</v>
      </c>
      <c r="P437" s="640">
        <f t="shared" si="39"/>
        <v>0.99783833781340869</v>
      </c>
    </row>
    <row r="438" spans="1:16">
      <c r="A438" s="627">
        <v>1989.864</v>
      </c>
      <c r="B438" s="628">
        <v>13.05</v>
      </c>
      <c r="C438" s="629">
        <v>3681</v>
      </c>
      <c r="D438" s="628">
        <f>VLOOKUP(C438,ORC.AUXILIAR!I:J,2,0)</f>
        <v>0</v>
      </c>
      <c r="G438" s="636">
        <f t="shared" si="36"/>
        <v>0</v>
      </c>
      <c r="H438" s="636">
        <f t="shared" si="37"/>
        <v>3681</v>
      </c>
      <c r="I438" s="637" t="str">
        <f>VLOOKUP(H438,ORC.AUXILIAR!I:P,4,0)</f>
        <v>M</v>
      </c>
      <c r="J438" s="636">
        <f>VLOOKUP(H438,ORC.AUXILIAR!I:P,5,0)</f>
        <v>13.05</v>
      </c>
      <c r="K438" s="638">
        <f t="shared" si="38"/>
        <v>13.05</v>
      </c>
      <c r="L438" s="639">
        <f>VLOOKUP(H438,ORC.AUXILIAR!I:P,7,0)</f>
        <v>152.47999999999999</v>
      </c>
      <c r="M438" s="639">
        <f>VLOOKUP(H438,ORC.AUXILIAR!I:P,8,0)</f>
        <v>1989.86</v>
      </c>
      <c r="N438" s="639">
        <f t="shared" si="40"/>
        <v>25967.672999999999</v>
      </c>
      <c r="O438" s="639">
        <f t="shared" si="41"/>
        <v>10236725164.137316</v>
      </c>
      <c r="P438" s="640">
        <f t="shared" si="39"/>
        <v>0.99784086905313407</v>
      </c>
    </row>
    <row r="439" spans="1:16">
      <c r="A439" s="627">
        <v>1973.8</v>
      </c>
      <c r="B439" s="628">
        <v>4</v>
      </c>
      <c r="C439" s="629" t="s">
        <v>13589</v>
      </c>
      <c r="D439" s="628">
        <f>VLOOKUP(C439,ORC.AUXILIAR!I:J,2,0)</f>
        <v>0</v>
      </c>
      <c r="G439" s="636">
        <f t="shared" si="36"/>
        <v>0</v>
      </c>
      <c r="H439" s="636" t="str">
        <f t="shared" si="37"/>
        <v>QCM.HIP.29</v>
      </c>
      <c r="I439" s="637" t="str">
        <f>VLOOKUP(H439,ORC.AUXILIAR!I:P,4,0)</f>
        <v>um</v>
      </c>
      <c r="J439" s="636">
        <f>VLOOKUP(H439,ORC.AUXILIAR!I:P,5,0)</f>
        <v>4</v>
      </c>
      <c r="K439" s="638">
        <f t="shared" si="38"/>
        <v>4</v>
      </c>
      <c r="L439" s="639">
        <f>VLOOKUP(H439,ORC.AUXILIAR!I:P,7,0)</f>
        <v>493.45</v>
      </c>
      <c r="M439" s="639">
        <f>VLOOKUP(H439,ORC.AUXILIAR!I:P,8,0)</f>
        <v>1973.8</v>
      </c>
      <c r="N439" s="639">
        <f t="shared" si="40"/>
        <v>7895.2</v>
      </c>
      <c r="O439" s="639">
        <f t="shared" si="41"/>
        <v>10236733059.337317</v>
      </c>
      <c r="P439" s="640">
        <f t="shared" si="39"/>
        <v>0.99784163865015896</v>
      </c>
    </row>
    <row r="440" spans="1:16">
      <c r="A440" s="627">
        <v>1959.3600000000001</v>
      </c>
      <c r="B440" s="628">
        <v>312</v>
      </c>
      <c r="C440" s="629" t="s">
        <v>12919</v>
      </c>
      <c r="D440" s="628">
        <f>VLOOKUP(C440,ORC.AUXILIAR!I:J,2,0)</f>
        <v>0</v>
      </c>
      <c r="G440" s="636">
        <f t="shared" si="36"/>
        <v>0</v>
      </c>
      <c r="H440" s="636" t="str">
        <f t="shared" si="37"/>
        <v>RE.F°F°.24</v>
      </c>
      <c r="I440" s="637" t="str">
        <f>VLOOKUP(H440,ORC.AUXILIAR!I:P,4,0)</f>
        <v>pç</v>
      </c>
      <c r="J440" s="636">
        <f>VLOOKUP(H440,ORC.AUXILIAR!I:P,5,0)</f>
        <v>288</v>
      </c>
      <c r="K440" s="638">
        <f t="shared" si="38"/>
        <v>312</v>
      </c>
      <c r="L440" s="639">
        <f>VLOOKUP(H440,ORC.AUXILIAR!I:P,7,0)</f>
        <v>6.28</v>
      </c>
      <c r="M440" s="639">
        <f>VLOOKUP(H440,ORC.AUXILIAR!I:P,8,0)</f>
        <v>1808.64</v>
      </c>
      <c r="N440" s="639">
        <f t="shared" si="40"/>
        <v>564295.68000000005</v>
      </c>
      <c r="O440" s="639">
        <f t="shared" si="41"/>
        <v>10237297355.017317</v>
      </c>
      <c r="P440" s="640">
        <f t="shared" si="39"/>
        <v>0.99789664425817381</v>
      </c>
    </row>
    <row r="441" spans="1:16">
      <c r="A441" s="627">
        <v>1959.1499999999999</v>
      </c>
      <c r="B441" s="628">
        <v>555</v>
      </c>
      <c r="C441" s="629">
        <v>91927</v>
      </c>
      <c r="D441" s="628">
        <f>VLOOKUP(C441,ORC.AUXILIAR!I:J,2,0)</f>
        <v>0</v>
      </c>
      <c r="G441" s="636">
        <f t="shared" si="36"/>
        <v>0</v>
      </c>
      <c r="H441" s="636">
        <f t="shared" si="37"/>
        <v>91927</v>
      </c>
      <c r="I441" s="637" t="str">
        <f>VLOOKUP(H441,ORC.AUXILIAR!I:P,4,0)</f>
        <v>m</v>
      </c>
      <c r="J441" s="636">
        <f>VLOOKUP(H441,ORC.AUXILIAR!I:P,5,0)</f>
        <v>300</v>
      </c>
      <c r="K441" s="638">
        <f t="shared" si="38"/>
        <v>555</v>
      </c>
      <c r="L441" s="639">
        <f>VLOOKUP(H441,ORC.AUXILIAR!I:P,7,0)</f>
        <v>3.53</v>
      </c>
      <c r="M441" s="639">
        <f>VLOOKUP(H441,ORC.AUXILIAR!I:P,8,0)</f>
        <v>1059</v>
      </c>
      <c r="N441" s="639">
        <f t="shared" si="40"/>
        <v>587745</v>
      </c>
      <c r="O441" s="639">
        <f t="shared" si="41"/>
        <v>10237885100.017317</v>
      </c>
      <c r="P441" s="640">
        <f t="shared" si="39"/>
        <v>0.99795393562549861</v>
      </c>
    </row>
    <row r="442" spans="1:16">
      <c r="A442" s="627">
        <v>1950.24</v>
      </c>
      <c r="B442" s="628">
        <v>8</v>
      </c>
      <c r="C442" s="629" t="s">
        <v>13078</v>
      </c>
      <c r="D442" s="628">
        <f>VLOOKUP(C442,ORC.AUXILIAR!I:J,2,0)</f>
        <v>0</v>
      </c>
      <c r="G442" s="636">
        <f t="shared" si="36"/>
        <v>0</v>
      </c>
      <c r="H442" s="636" t="str">
        <f t="shared" si="37"/>
        <v>RE.GR.07</v>
      </c>
      <c r="I442" s="637" t="str">
        <f>VLOOKUP(H442,ORC.AUXILIAR!I:P,4,0)</f>
        <v>un</v>
      </c>
      <c r="J442" s="636">
        <f>VLOOKUP(H442,ORC.AUXILIAR!I:P,5,0)</f>
        <v>8</v>
      </c>
      <c r="K442" s="638">
        <f t="shared" si="38"/>
        <v>8</v>
      </c>
      <c r="L442" s="639">
        <f>VLOOKUP(H442,ORC.AUXILIAR!I:P,7,0)</f>
        <v>243.78</v>
      </c>
      <c r="M442" s="639">
        <f>VLOOKUP(H442,ORC.AUXILIAR!I:P,8,0)</f>
        <v>1950.24</v>
      </c>
      <c r="N442" s="639">
        <f t="shared" si="40"/>
        <v>15601.92</v>
      </c>
      <c r="O442" s="639">
        <f t="shared" si="41"/>
        <v>10237900701.937317</v>
      </c>
      <c r="P442" s="640">
        <f t="shared" si="39"/>
        <v>0.99795545644716388</v>
      </c>
    </row>
    <row r="443" spans="1:16">
      <c r="A443" s="627">
        <v>1930.3200000000002</v>
      </c>
      <c r="B443" s="628">
        <v>24</v>
      </c>
      <c r="C443" s="629" t="s">
        <v>14390</v>
      </c>
      <c r="D443" s="628">
        <f>VLOOKUP(C443,ORC.AUXILIAR!I:J,2,0)</f>
        <v>0</v>
      </c>
      <c r="G443" s="636">
        <f t="shared" si="36"/>
        <v>0</v>
      </c>
      <c r="H443" s="636" t="str">
        <f t="shared" si="37"/>
        <v>REATOR.FB.29</v>
      </c>
      <c r="I443" s="637" t="str">
        <f>VLOOKUP(H443,ORC.AUXILIAR!I:P,4,0)</f>
        <v>pç</v>
      </c>
      <c r="J443" s="636">
        <f>VLOOKUP(H443,ORC.AUXILIAR!I:P,5,0)</f>
        <v>24</v>
      </c>
      <c r="K443" s="638">
        <f t="shared" si="38"/>
        <v>24</v>
      </c>
      <c r="L443" s="639">
        <f>VLOOKUP(H443,ORC.AUXILIAR!I:P,7,0)</f>
        <v>80.430000000000007</v>
      </c>
      <c r="M443" s="639">
        <f>VLOOKUP(H443,ORC.AUXILIAR!I:P,8,0)</f>
        <v>1930.32</v>
      </c>
      <c r="N443" s="639">
        <f t="shared" si="40"/>
        <v>46327.68</v>
      </c>
      <c r="O443" s="639">
        <f t="shared" si="41"/>
        <v>10237947029.617317</v>
      </c>
      <c r="P443" s="640">
        <f t="shared" si="39"/>
        <v>0.99795997231056077</v>
      </c>
    </row>
    <row r="444" spans="1:16">
      <c r="A444" s="627">
        <v>1930.3200000000002</v>
      </c>
      <c r="B444" s="628">
        <v>24</v>
      </c>
      <c r="C444" s="629" t="s">
        <v>14406</v>
      </c>
      <c r="D444" s="628">
        <f>VLOOKUP(C444,ORC.AUXILIAR!I:J,2,0)</f>
        <v>0</v>
      </c>
      <c r="G444" s="636">
        <f t="shared" si="36"/>
        <v>0</v>
      </c>
      <c r="H444" s="636" t="str">
        <f t="shared" si="37"/>
        <v>REATOR.FB.37</v>
      </c>
      <c r="I444" s="637" t="str">
        <f>VLOOKUP(H444,ORC.AUXILIAR!I:P,4,0)</f>
        <v>un</v>
      </c>
      <c r="J444" s="636">
        <f>VLOOKUP(H444,ORC.AUXILIAR!I:P,5,0)</f>
        <v>24</v>
      </c>
      <c r="K444" s="638">
        <f t="shared" si="38"/>
        <v>24</v>
      </c>
      <c r="L444" s="639">
        <f>VLOOKUP(H444,ORC.AUXILIAR!I:P,7,0)</f>
        <v>80.430000000000007</v>
      </c>
      <c r="M444" s="639">
        <f>VLOOKUP(H444,ORC.AUXILIAR!I:P,8,0)</f>
        <v>1930.32</v>
      </c>
      <c r="N444" s="639">
        <f t="shared" si="40"/>
        <v>46327.68</v>
      </c>
      <c r="O444" s="639">
        <f t="shared" si="41"/>
        <v>10237993357.297318</v>
      </c>
      <c r="P444" s="640">
        <f t="shared" si="39"/>
        <v>0.99796448817395766</v>
      </c>
    </row>
    <row r="445" spans="1:16">
      <c r="A445" s="627">
        <v>1889.85</v>
      </c>
      <c r="B445" s="628">
        <v>15</v>
      </c>
      <c r="C445" s="629" t="s">
        <v>12744</v>
      </c>
      <c r="D445" s="628">
        <f>VLOOKUP(C445,ORC.AUXILIAR!I:J,2,0)</f>
        <v>0</v>
      </c>
      <c r="G445" s="636">
        <f t="shared" si="36"/>
        <v>0</v>
      </c>
      <c r="H445" s="636" t="str">
        <f t="shared" si="37"/>
        <v>RE.AI.25</v>
      </c>
      <c r="I445" s="637" t="str">
        <f>VLOOKUP(H445,ORC.AUXILIAR!I:P,4,0)</f>
        <v>pç</v>
      </c>
      <c r="J445" s="636">
        <f>VLOOKUP(H445,ORC.AUXILIAR!I:P,5,0)</f>
        <v>15</v>
      </c>
      <c r="K445" s="638">
        <f t="shared" si="38"/>
        <v>15</v>
      </c>
      <c r="L445" s="639">
        <f>VLOOKUP(H445,ORC.AUXILIAR!I:P,7,0)</f>
        <v>125.99</v>
      </c>
      <c r="M445" s="639">
        <f>VLOOKUP(H445,ORC.AUXILIAR!I:P,8,0)</f>
        <v>1889.85</v>
      </c>
      <c r="N445" s="639">
        <f t="shared" si="40"/>
        <v>28347.75</v>
      </c>
      <c r="O445" s="639">
        <f t="shared" si="41"/>
        <v>10238021705.047318</v>
      </c>
      <c r="P445" s="640">
        <f t="shared" si="39"/>
        <v>0.99796725141542819</v>
      </c>
    </row>
    <row r="446" spans="1:16">
      <c r="A446" s="627">
        <v>1889.84</v>
      </c>
      <c r="B446" s="628">
        <v>4</v>
      </c>
      <c r="C446" s="629" t="s">
        <v>14517</v>
      </c>
      <c r="D446" s="628">
        <f>VLOOKUP(C446,ORC.AUXILIAR!I:J,2,0)</f>
        <v>0</v>
      </c>
      <c r="G446" s="636">
        <f t="shared" si="36"/>
        <v>0</v>
      </c>
      <c r="H446" s="636" t="str">
        <f t="shared" si="37"/>
        <v>REATOR.AI.54</v>
      </c>
      <c r="I446" s="637" t="str">
        <f>VLOOKUP(H446,ORC.AUXILIAR!I:P,4,0)</f>
        <v>un</v>
      </c>
      <c r="J446" s="636">
        <f>VLOOKUP(H446,ORC.AUXILIAR!I:P,5,0)</f>
        <v>4</v>
      </c>
      <c r="K446" s="638">
        <f t="shared" si="38"/>
        <v>4</v>
      </c>
      <c r="L446" s="639">
        <f>VLOOKUP(H446,ORC.AUXILIAR!I:P,7,0)</f>
        <v>472.46</v>
      </c>
      <c r="M446" s="639">
        <f>VLOOKUP(H446,ORC.AUXILIAR!I:P,8,0)</f>
        <v>1889.84</v>
      </c>
      <c r="N446" s="639">
        <f t="shared" si="40"/>
        <v>7559.36</v>
      </c>
      <c r="O446" s="639">
        <f t="shared" si="41"/>
        <v>10238029264.407318</v>
      </c>
      <c r="P446" s="640">
        <f t="shared" si="39"/>
        <v>0.99796798827592137</v>
      </c>
    </row>
    <row r="447" spans="1:16">
      <c r="A447" s="627">
        <v>1879.4489000000001</v>
      </c>
      <c r="B447" s="628">
        <v>25.97</v>
      </c>
      <c r="C447" s="629">
        <v>87467</v>
      </c>
      <c r="D447" s="628">
        <f>VLOOKUP(C447,ORC.AUXILIAR!I:J,2,0)</f>
        <v>0</v>
      </c>
      <c r="G447" s="636">
        <f t="shared" si="36"/>
        <v>0</v>
      </c>
      <c r="H447" s="636">
        <f t="shared" si="37"/>
        <v>87467</v>
      </c>
      <c r="I447" s="637" t="str">
        <f>VLOOKUP(H447,ORC.AUXILIAR!I:P,4,0)</f>
        <v>M2</v>
      </c>
      <c r="J447" s="636">
        <f>VLOOKUP(H447,ORC.AUXILIAR!I:P,5,0)</f>
        <v>25.97</v>
      </c>
      <c r="K447" s="638">
        <f t="shared" si="38"/>
        <v>25.97</v>
      </c>
      <c r="L447" s="639">
        <f>VLOOKUP(H447,ORC.AUXILIAR!I:P,7,0)</f>
        <v>72.37</v>
      </c>
      <c r="M447" s="639">
        <f>VLOOKUP(H447,ORC.AUXILIAR!I:P,8,0)</f>
        <v>1879.45</v>
      </c>
      <c r="N447" s="639">
        <f t="shared" si="40"/>
        <v>48809.316500000001</v>
      </c>
      <c r="O447" s="639">
        <f t="shared" si="41"/>
        <v>10238078073.723818</v>
      </c>
      <c r="P447" s="640">
        <f t="shared" si="39"/>
        <v>0.99797274604073505</v>
      </c>
    </row>
    <row r="448" spans="1:16">
      <c r="A448" s="627">
        <v>1846.1399999999999</v>
      </c>
      <c r="B448" s="628">
        <v>6</v>
      </c>
      <c r="C448" s="629">
        <v>98</v>
      </c>
      <c r="D448" s="628">
        <f>VLOOKUP(C448,ORC.AUXILIAR!I:J,2,0)</f>
        <v>0</v>
      </c>
      <c r="G448" s="636">
        <f t="shared" si="36"/>
        <v>0</v>
      </c>
      <c r="H448" s="636">
        <f t="shared" si="37"/>
        <v>98</v>
      </c>
      <c r="I448" s="637" t="str">
        <f>VLOOKUP(H448,ORC.AUXILIAR!I:P,4,0)</f>
        <v>UN</v>
      </c>
      <c r="J448" s="636">
        <f>VLOOKUP(H448,ORC.AUXILIAR!I:P,5,0)</f>
        <v>0</v>
      </c>
      <c r="K448" s="638">
        <f t="shared" si="38"/>
        <v>6</v>
      </c>
      <c r="L448" s="639">
        <f>VLOOKUP(H448,ORC.AUXILIAR!I:P,7,0)</f>
        <v>307.69</v>
      </c>
      <c r="M448" s="639">
        <f>VLOOKUP(H448,ORC.AUXILIAR!I:P,8,0)</f>
        <v>0</v>
      </c>
      <c r="N448" s="639">
        <f t="shared" si="40"/>
        <v>0</v>
      </c>
      <c r="O448" s="639">
        <f t="shared" si="41"/>
        <v>10238078073.723818</v>
      </c>
      <c r="P448" s="640">
        <f t="shared" si="39"/>
        <v>0.99797274604073505</v>
      </c>
    </row>
    <row r="449" spans="1:16">
      <c r="A449" s="627">
        <v>1835.7599999999998</v>
      </c>
      <c r="B449" s="628">
        <v>24</v>
      </c>
      <c r="C449" s="629" t="s">
        <v>12756</v>
      </c>
      <c r="D449" s="628">
        <f>VLOOKUP(C449,ORC.AUXILIAR!I:J,2,0)</f>
        <v>0</v>
      </c>
      <c r="G449" s="636">
        <f t="shared" si="36"/>
        <v>0</v>
      </c>
      <c r="H449" s="636" t="str">
        <f t="shared" si="37"/>
        <v>RE.AI.31</v>
      </c>
      <c r="I449" s="637" t="str">
        <f>VLOOKUP(H449,ORC.AUXILIAR!I:P,4,0)</f>
        <v>pç</v>
      </c>
      <c r="J449" s="636">
        <f>VLOOKUP(H449,ORC.AUXILIAR!I:P,5,0)</f>
        <v>24</v>
      </c>
      <c r="K449" s="638">
        <f t="shared" si="38"/>
        <v>24</v>
      </c>
      <c r="L449" s="639">
        <f>VLOOKUP(H449,ORC.AUXILIAR!I:P,7,0)</f>
        <v>76.489999999999995</v>
      </c>
      <c r="M449" s="639">
        <f>VLOOKUP(H449,ORC.AUXILIAR!I:P,8,0)</f>
        <v>1835.76</v>
      </c>
      <c r="N449" s="639">
        <f t="shared" si="40"/>
        <v>44058.239999999998</v>
      </c>
      <c r="O449" s="639">
        <f t="shared" si="41"/>
        <v>10238122131.963818</v>
      </c>
      <c r="P449" s="640">
        <f t="shared" si="39"/>
        <v>0.99797704068690229</v>
      </c>
    </row>
    <row r="450" spans="1:16">
      <c r="A450" s="627">
        <v>1832.5088999999998</v>
      </c>
      <c r="B450" s="628">
        <v>6.21</v>
      </c>
      <c r="C450" s="629">
        <v>11795</v>
      </c>
      <c r="D450" s="628">
        <f>VLOOKUP(C450,ORC.AUXILIAR!I:J,2,0)</f>
        <v>0</v>
      </c>
      <c r="G450" s="636">
        <f t="shared" si="36"/>
        <v>0</v>
      </c>
      <c r="H450" s="636">
        <f t="shared" si="37"/>
        <v>11795</v>
      </c>
      <c r="I450" s="637" t="str">
        <f>VLOOKUP(H450,ORC.AUXILIAR!I:P,4,0)</f>
        <v>M2</v>
      </c>
      <c r="J450" s="636">
        <f>VLOOKUP(H450,ORC.AUXILIAR!I:P,5,0)</f>
        <v>2.25</v>
      </c>
      <c r="K450" s="638">
        <f t="shared" si="38"/>
        <v>6.21</v>
      </c>
      <c r="L450" s="639">
        <f>VLOOKUP(H450,ORC.AUXILIAR!I:P,7,0)</f>
        <v>295.08999999999997</v>
      </c>
      <c r="M450" s="639">
        <f>VLOOKUP(H450,ORC.AUXILIAR!I:P,8,0)</f>
        <v>663.95</v>
      </c>
      <c r="N450" s="639">
        <f t="shared" si="40"/>
        <v>4123.1295</v>
      </c>
      <c r="O450" s="639">
        <f t="shared" si="41"/>
        <v>10238126255.093317</v>
      </c>
      <c r="P450" s="640">
        <f t="shared" si="39"/>
        <v>0.99797744259542831</v>
      </c>
    </row>
    <row r="451" spans="1:16">
      <c r="A451" s="627">
        <v>1826.9999999999998</v>
      </c>
      <c r="B451" s="628">
        <v>420</v>
      </c>
      <c r="C451" s="629" t="s">
        <v>12821</v>
      </c>
      <c r="D451" s="628">
        <f>VLOOKUP(C451,ORC.AUXILIAR!I:J,2,0)</f>
        <v>0</v>
      </c>
      <c r="G451" s="636">
        <f t="shared" si="36"/>
        <v>0</v>
      </c>
      <c r="H451" s="636" t="str">
        <f t="shared" si="37"/>
        <v>RE.AR.02</v>
      </c>
      <c r="I451" s="637" t="str">
        <f>VLOOKUP(H451,ORC.AUXILIAR!I:P,4,0)</f>
        <v>pç</v>
      </c>
      <c r="J451" s="636">
        <f>VLOOKUP(H451,ORC.AUXILIAR!I:P,5,0)</f>
        <v>420</v>
      </c>
      <c r="K451" s="638">
        <f t="shared" si="38"/>
        <v>420</v>
      </c>
      <c r="L451" s="639">
        <f>VLOOKUP(H451,ORC.AUXILIAR!I:P,7,0)</f>
        <v>4.3499999999999996</v>
      </c>
      <c r="M451" s="639">
        <f>VLOOKUP(H451,ORC.AUXILIAR!I:P,8,0)</f>
        <v>1827</v>
      </c>
      <c r="N451" s="639">
        <f t="shared" si="40"/>
        <v>767340</v>
      </c>
      <c r="O451" s="639">
        <f t="shared" si="41"/>
        <v>10238893595.093317</v>
      </c>
      <c r="P451" s="640">
        <f t="shared" si="39"/>
        <v>0.99805224026755324</v>
      </c>
    </row>
    <row r="452" spans="1:16">
      <c r="A452" s="627">
        <v>1813.24</v>
      </c>
      <c r="B452" s="628">
        <v>572</v>
      </c>
      <c r="C452" s="629" t="s">
        <v>20411</v>
      </c>
      <c r="D452" s="628">
        <f>VLOOKUP(C452,ORC.AUXILIAR!I:J,2,0)</f>
        <v>0</v>
      </c>
      <c r="G452" s="636">
        <f t="shared" si="36"/>
        <v>0</v>
      </c>
      <c r="H452" s="636" t="str">
        <f t="shared" si="37"/>
        <v>CT_ASSENT.TUBO.PRFV.DN150</v>
      </c>
      <c r="I452" s="637" t="str">
        <f>VLOOKUP(H452,ORC.AUXILIAR!I:P,4,0)</f>
        <v>m</v>
      </c>
      <c r="J452" s="636">
        <f>VLOOKUP(H452,ORC.AUXILIAR!I:P,5,0)</f>
        <v>572</v>
      </c>
      <c r="K452" s="638">
        <f t="shared" si="38"/>
        <v>572</v>
      </c>
      <c r="L452" s="639">
        <f>VLOOKUP(H452,ORC.AUXILIAR!I:P,7,0)</f>
        <v>3.17</v>
      </c>
      <c r="M452" s="639">
        <f>VLOOKUP(H452,ORC.AUXILIAR!I:P,8,0)</f>
        <v>1813.24</v>
      </c>
      <c r="N452" s="639">
        <f t="shared" si="40"/>
        <v>1037173.28</v>
      </c>
      <c r="O452" s="639">
        <f t="shared" si="41"/>
        <v>10239930768.373318</v>
      </c>
      <c r="P452" s="640">
        <f t="shared" si="39"/>
        <v>0.99815334036260117</v>
      </c>
    </row>
    <row r="453" spans="1:16">
      <c r="A453" s="627">
        <v>1801.133</v>
      </c>
      <c r="B453" s="628">
        <v>10.1</v>
      </c>
      <c r="C453" s="629" t="s">
        <v>13227</v>
      </c>
      <c r="D453" s="628">
        <f>VLOOKUP(C453,ORC.AUXILIAR!I:J,2,0)</f>
        <v>0</v>
      </c>
      <c r="G453" s="636">
        <f t="shared" si="36"/>
        <v>0</v>
      </c>
      <c r="H453" s="636" t="str">
        <f t="shared" si="37"/>
        <v>CDR.RPVC.01</v>
      </c>
      <c r="I453" s="637" t="str">
        <f>VLOOKUP(H453,ORC.AUXILIAR!I:P,4,0)</f>
        <v>m</v>
      </c>
      <c r="J453" s="636">
        <f>VLOOKUP(H453,ORC.AUXILIAR!I:P,5,0)</f>
        <v>10.1</v>
      </c>
      <c r="K453" s="638">
        <f t="shared" si="38"/>
        <v>10.1</v>
      </c>
      <c r="L453" s="639">
        <f>VLOOKUP(H453,ORC.AUXILIAR!I:P,7,0)</f>
        <v>178.33</v>
      </c>
      <c r="M453" s="639">
        <f>VLOOKUP(H453,ORC.AUXILIAR!I:P,8,0)</f>
        <v>1801.13</v>
      </c>
      <c r="N453" s="639">
        <f t="shared" si="40"/>
        <v>18191.413</v>
      </c>
      <c r="O453" s="639">
        <f t="shared" si="41"/>
        <v>10239948959.786318</v>
      </c>
      <c r="P453" s="640">
        <f t="shared" si="39"/>
        <v>0.99815511359916531</v>
      </c>
    </row>
    <row r="454" spans="1:16">
      <c r="A454" s="627">
        <v>1793.8799999999999</v>
      </c>
      <c r="B454" s="628">
        <v>54</v>
      </c>
      <c r="C454" s="629">
        <v>93012</v>
      </c>
      <c r="D454" s="628">
        <f>VLOOKUP(C454,ORC.AUXILIAR!I:J,2,0)</f>
        <v>0</v>
      </c>
      <c r="G454" s="636">
        <f t="shared" ref="G454:G517" si="42">D454</f>
        <v>0</v>
      </c>
      <c r="H454" s="636">
        <f t="shared" ref="H454:H517" si="43">C454</f>
        <v>93012</v>
      </c>
      <c r="I454" s="637" t="str">
        <f>VLOOKUP(H454,ORC.AUXILIAR!I:P,4,0)</f>
        <v>m</v>
      </c>
      <c r="J454" s="636">
        <f>VLOOKUP(H454,ORC.AUXILIAR!I:P,5,0)</f>
        <v>54</v>
      </c>
      <c r="K454" s="638">
        <f t="shared" ref="K454:K517" si="44">B454</f>
        <v>54</v>
      </c>
      <c r="L454" s="639">
        <f>VLOOKUP(H454,ORC.AUXILIAR!I:P,7,0)</f>
        <v>33.22</v>
      </c>
      <c r="M454" s="639">
        <f>VLOOKUP(H454,ORC.AUXILIAR!I:P,8,0)</f>
        <v>1793.88</v>
      </c>
      <c r="N454" s="639">
        <f t="shared" si="40"/>
        <v>96869.52</v>
      </c>
      <c r="O454" s="639">
        <f t="shared" si="41"/>
        <v>10240045829.306318</v>
      </c>
      <c r="P454" s="640">
        <f t="shared" ref="P454:P517" si="45">O454/N$4</f>
        <v>0.99816455610782617</v>
      </c>
    </row>
    <row r="455" spans="1:16">
      <c r="A455" s="627">
        <v>1772.68</v>
      </c>
      <c r="B455" s="628">
        <v>2</v>
      </c>
      <c r="C455" s="629" t="s">
        <v>13074</v>
      </c>
      <c r="D455" s="628">
        <f>VLOOKUP(C455,ORC.AUXILIAR!I:J,2,0)</f>
        <v>0</v>
      </c>
      <c r="G455" s="636">
        <f t="shared" si="42"/>
        <v>0</v>
      </c>
      <c r="H455" s="636" t="str">
        <f t="shared" si="43"/>
        <v>CDR.GR.02</v>
      </c>
      <c r="I455" s="637" t="str">
        <f>VLOOKUP(H455,ORC.AUXILIAR!I:P,4,0)</f>
        <v>pç</v>
      </c>
      <c r="J455" s="636">
        <f>VLOOKUP(H455,ORC.AUXILIAR!I:P,5,0)</f>
        <v>2</v>
      </c>
      <c r="K455" s="638">
        <f t="shared" si="44"/>
        <v>2</v>
      </c>
      <c r="L455" s="639">
        <f>VLOOKUP(H455,ORC.AUXILIAR!I:P,7,0)</f>
        <v>886.34</v>
      </c>
      <c r="M455" s="639">
        <f>VLOOKUP(H455,ORC.AUXILIAR!I:P,8,0)</f>
        <v>1772.68</v>
      </c>
      <c r="N455" s="639">
        <f t="shared" ref="N455:N518" si="46">K455*M455</f>
        <v>3545.36</v>
      </c>
      <c r="O455" s="639">
        <f t="shared" ref="O455:O518" si="47">N455+O454</f>
        <v>10240049374.666319</v>
      </c>
      <c r="P455" s="640">
        <f t="shared" si="45"/>
        <v>0.99816490169736261</v>
      </c>
    </row>
    <row r="456" spans="1:16">
      <c r="A456" s="627">
        <v>1743.4</v>
      </c>
      <c r="B456" s="628">
        <v>230</v>
      </c>
      <c r="C456" s="629" t="s">
        <v>15726</v>
      </c>
      <c r="D456" s="628">
        <f>VLOOKUP(C456,ORC.AUXILIAR!I:J,2,0)</f>
        <v>0</v>
      </c>
      <c r="G456" s="636">
        <f t="shared" si="42"/>
        <v>0</v>
      </c>
      <c r="H456" s="636" t="str">
        <f t="shared" si="43"/>
        <v>73891/1</v>
      </c>
      <c r="I456" s="637" t="str">
        <f>VLOOKUP(H456,ORC.AUXILIAR!I:P,4,0)</f>
        <v>H</v>
      </c>
      <c r="J456" s="636">
        <f>VLOOKUP(H456,ORC.AUXILIAR!I:P,5,0)</f>
        <v>0</v>
      </c>
      <c r="K456" s="638">
        <f t="shared" si="44"/>
        <v>230</v>
      </c>
      <c r="L456" s="639">
        <f>VLOOKUP(H456,ORC.AUXILIAR!I:P,7,0)</f>
        <v>7.58</v>
      </c>
      <c r="M456" s="639">
        <f>VLOOKUP(H456,ORC.AUXILIAR!I:P,8,0)</f>
        <v>0</v>
      </c>
      <c r="N456" s="639">
        <f t="shared" si="46"/>
        <v>0</v>
      </c>
      <c r="O456" s="639">
        <f t="shared" si="47"/>
        <v>10240049374.666319</v>
      </c>
      <c r="P456" s="640">
        <f t="shared" si="45"/>
        <v>0.99816490169736261</v>
      </c>
    </row>
    <row r="457" spans="1:16">
      <c r="A457" s="627">
        <v>1742.8192175221623</v>
      </c>
      <c r="B457" s="628">
        <v>25.663660985453724</v>
      </c>
      <c r="C457" s="629">
        <v>170</v>
      </c>
      <c r="D457" s="628">
        <f>VLOOKUP(C457,ORC.AUXILIAR!I:J,2,0)</f>
        <v>0</v>
      </c>
      <c r="G457" s="636">
        <f t="shared" si="42"/>
        <v>0</v>
      </c>
      <c r="H457" s="636">
        <f t="shared" si="43"/>
        <v>170</v>
      </c>
      <c r="I457" s="637" t="str">
        <f>VLOOKUP(H457,ORC.AUXILIAR!I:P,4,0)</f>
        <v>M3</v>
      </c>
      <c r="J457" s="636">
        <f>VLOOKUP(H457,ORC.AUXILIAR!I:P,5,0)</f>
        <v>0</v>
      </c>
      <c r="K457" s="638">
        <f t="shared" si="44"/>
        <v>25.663660985453724</v>
      </c>
      <c r="L457" s="639">
        <f>VLOOKUP(H457,ORC.AUXILIAR!I:P,7,0)</f>
        <v>67.91</v>
      </c>
      <c r="M457" s="639">
        <f>VLOOKUP(H457,ORC.AUXILIAR!I:P,8,0)</f>
        <v>0</v>
      </c>
      <c r="N457" s="639">
        <f t="shared" si="46"/>
        <v>0</v>
      </c>
      <c r="O457" s="639">
        <f t="shared" si="47"/>
        <v>10240049374.666319</v>
      </c>
      <c r="P457" s="640">
        <f t="shared" si="45"/>
        <v>0.99816490169736261</v>
      </c>
    </row>
    <row r="458" spans="1:16">
      <c r="A458" s="627">
        <v>1738.28</v>
      </c>
      <c r="B458" s="628">
        <v>4</v>
      </c>
      <c r="C458" s="629" t="s">
        <v>13048</v>
      </c>
      <c r="D458" s="628">
        <f>VLOOKUP(C458,ORC.AUXILIAR!I:J,2,0)</f>
        <v>0</v>
      </c>
      <c r="G458" s="636">
        <f t="shared" si="42"/>
        <v>0</v>
      </c>
      <c r="H458" s="636" t="str">
        <f t="shared" si="43"/>
        <v>TP.FºF°.48</v>
      </c>
      <c r="I458" s="637" t="str">
        <f>VLOOKUP(H458,ORC.AUXILIAR!I:P,4,0)</f>
        <v>pç</v>
      </c>
      <c r="J458" s="636">
        <f>VLOOKUP(H458,ORC.AUXILIAR!I:P,5,0)</f>
        <v>4</v>
      </c>
      <c r="K458" s="638">
        <f t="shared" si="44"/>
        <v>4</v>
      </c>
      <c r="L458" s="639">
        <f>VLOOKUP(H458,ORC.AUXILIAR!I:P,7,0)</f>
        <v>434.57</v>
      </c>
      <c r="M458" s="639">
        <f>VLOOKUP(H458,ORC.AUXILIAR!I:P,8,0)</f>
        <v>1738.28</v>
      </c>
      <c r="N458" s="639">
        <f t="shared" si="46"/>
        <v>6953.12</v>
      </c>
      <c r="O458" s="639">
        <f t="shared" si="47"/>
        <v>10240056327.78632</v>
      </c>
      <c r="P458" s="640">
        <f t="shared" si="45"/>
        <v>0.99816557946365925</v>
      </c>
    </row>
    <row r="459" spans="1:16">
      <c r="A459" s="627">
        <v>1719.6760000000002</v>
      </c>
      <c r="B459" s="628">
        <v>3070.85</v>
      </c>
      <c r="C459" s="629">
        <v>73672</v>
      </c>
      <c r="D459" s="628">
        <f>VLOOKUP(C459,ORC.AUXILIAR!I:J,2,0)</f>
        <v>0</v>
      </c>
      <c r="G459" s="636">
        <f t="shared" si="42"/>
        <v>0</v>
      </c>
      <c r="H459" s="636">
        <f t="shared" si="43"/>
        <v>73672</v>
      </c>
      <c r="I459" s="637" t="str">
        <f>VLOOKUP(H459,ORC.AUXILIAR!I:P,4,0)</f>
        <v>M2</v>
      </c>
      <c r="J459" s="636">
        <f>VLOOKUP(H459,ORC.AUXILIAR!I:P,5,0)</f>
        <v>0</v>
      </c>
      <c r="K459" s="638">
        <f t="shared" si="44"/>
        <v>3070.85</v>
      </c>
      <c r="L459" s="639">
        <f>VLOOKUP(H459,ORC.AUXILIAR!I:P,7,0)</f>
        <v>0.56000000000000005</v>
      </c>
      <c r="M459" s="639">
        <f>VLOOKUP(H459,ORC.AUXILIAR!I:P,8,0)</f>
        <v>0</v>
      </c>
      <c r="N459" s="639">
        <f t="shared" si="46"/>
        <v>0</v>
      </c>
      <c r="O459" s="639">
        <f t="shared" si="47"/>
        <v>10240056327.78632</v>
      </c>
      <c r="P459" s="640">
        <f t="shared" si="45"/>
        <v>0.99816557946365925</v>
      </c>
    </row>
    <row r="460" spans="1:16">
      <c r="A460" s="627">
        <v>1692.8</v>
      </c>
      <c r="B460" s="628">
        <v>40</v>
      </c>
      <c r="C460" s="629">
        <v>86912</v>
      </c>
      <c r="D460" s="628">
        <f>VLOOKUP(C460,ORC.AUXILIAR!I:J,2,0)</f>
        <v>0</v>
      </c>
      <c r="G460" s="636">
        <f t="shared" si="42"/>
        <v>0</v>
      </c>
      <c r="H460" s="636">
        <f t="shared" si="43"/>
        <v>86912</v>
      </c>
      <c r="I460" s="637" t="str">
        <f>VLOOKUP(H460,ORC.AUXILIAR!I:P,4,0)</f>
        <v>pç</v>
      </c>
      <c r="J460" s="636">
        <f>VLOOKUP(H460,ORC.AUXILIAR!I:P,5,0)</f>
        <v>40</v>
      </c>
      <c r="K460" s="638">
        <f t="shared" si="44"/>
        <v>40</v>
      </c>
      <c r="L460" s="639">
        <f>VLOOKUP(H460,ORC.AUXILIAR!I:P,7,0)</f>
        <v>42.32</v>
      </c>
      <c r="M460" s="639">
        <f>VLOOKUP(H460,ORC.AUXILIAR!I:P,8,0)</f>
        <v>1692.8</v>
      </c>
      <c r="N460" s="639">
        <f t="shared" si="46"/>
        <v>67712</v>
      </c>
      <c r="O460" s="639">
        <f t="shared" si="47"/>
        <v>10240124039.78632</v>
      </c>
      <c r="P460" s="640">
        <f t="shared" si="45"/>
        <v>0.99817217979724659</v>
      </c>
    </row>
    <row r="461" spans="1:16">
      <c r="A461" s="627">
        <v>1692.72</v>
      </c>
      <c r="B461" s="628">
        <v>36</v>
      </c>
      <c r="C461" s="629" t="s">
        <v>14412</v>
      </c>
      <c r="D461" s="628">
        <f>VLOOKUP(C461,ORC.AUXILIAR!I:J,2,0)</f>
        <v>0</v>
      </c>
      <c r="G461" s="636">
        <f t="shared" si="42"/>
        <v>0</v>
      </c>
      <c r="H461" s="636" t="str">
        <f t="shared" si="43"/>
        <v>REATOR.FB.40</v>
      </c>
      <c r="I461" s="637" t="str">
        <f>VLOOKUP(H461,ORC.AUXILIAR!I:P,4,0)</f>
        <v>un</v>
      </c>
      <c r="J461" s="636">
        <f>VLOOKUP(H461,ORC.AUXILIAR!I:P,5,0)</f>
        <v>36</v>
      </c>
      <c r="K461" s="638">
        <f t="shared" si="44"/>
        <v>36</v>
      </c>
      <c r="L461" s="639">
        <f>VLOOKUP(H461,ORC.AUXILIAR!I:P,7,0)</f>
        <v>47.02</v>
      </c>
      <c r="M461" s="639">
        <f>VLOOKUP(H461,ORC.AUXILIAR!I:P,8,0)</f>
        <v>1692.72</v>
      </c>
      <c r="N461" s="639">
        <f t="shared" si="46"/>
        <v>60937.919999999998</v>
      </c>
      <c r="O461" s="639">
        <f t="shared" si="47"/>
        <v>10240184977.70632</v>
      </c>
      <c r="P461" s="640">
        <f t="shared" si="45"/>
        <v>0.99817811981674276</v>
      </c>
    </row>
    <row r="462" spans="1:16">
      <c r="A462" s="627">
        <v>1680.633</v>
      </c>
      <c r="B462" s="628">
        <v>317.7</v>
      </c>
      <c r="C462" s="629">
        <v>73506</v>
      </c>
      <c r="D462" s="628">
        <f>VLOOKUP(C462,ORC.AUXILIAR!I:J,2,0)</f>
        <v>0</v>
      </c>
      <c r="G462" s="636">
        <f t="shared" si="42"/>
        <v>0</v>
      </c>
      <c r="H462" s="636">
        <f t="shared" si="43"/>
        <v>73506</v>
      </c>
      <c r="I462" s="637" t="str">
        <f>VLOOKUP(H462,ORC.AUXILIAR!I:P,4,0)</f>
        <v>M</v>
      </c>
      <c r="J462" s="636">
        <f>VLOOKUP(H462,ORC.AUXILIAR!I:P,5,0)</f>
        <v>317.7</v>
      </c>
      <c r="K462" s="638">
        <f t="shared" si="44"/>
        <v>317.7</v>
      </c>
      <c r="L462" s="639">
        <f>VLOOKUP(H462,ORC.AUXILIAR!I:P,7,0)</f>
        <v>5.29</v>
      </c>
      <c r="M462" s="639">
        <f>VLOOKUP(H462,ORC.AUXILIAR!I:P,8,0)</f>
        <v>1680.63</v>
      </c>
      <c r="N462" s="639">
        <f t="shared" si="46"/>
        <v>533936.15100000007</v>
      </c>
      <c r="O462" s="639">
        <f t="shared" si="47"/>
        <v>10240718913.857319</v>
      </c>
      <c r="P462" s="640">
        <f t="shared" si="45"/>
        <v>0.99823016608196813</v>
      </c>
    </row>
    <row r="463" spans="1:16">
      <c r="A463" s="627">
        <v>1673.44</v>
      </c>
      <c r="B463" s="628">
        <v>4</v>
      </c>
      <c r="C463" s="629" t="s">
        <v>13790</v>
      </c>
      <c r="D463" s="628">
        <f>VLOOKUP(C463,ORC.AUXILIAR!I:J,2,0)</f>
        <v>0</v>
      </c>
      <c r="G463" s="636">
        <f t="shared" si="42"/>
        <v>0</v>
      </c>
      <c r="H463" s="636" t="str">
        <f t="shared" si="43"/>
        <v>QCM.CX.AREIA.28</v>
      </c>
      <c r="I463" s="637" t="str">
        <f>VLOOKUP(H463,ORC.AUXILIAR!I:P,4,0)</f>
        <v>Un</v>
      </c>
      <c r="J463" s="636">
        <f>VLOOKUP(H463,ORC.AUXILIAR!I:P,5,0)</f>
        <v>4</v>
      </c>
      <c r="K463" s="638">
        <f t="shared" si="44"/>
        <v>4</v>
      </c>
      <c r="L463" s="639">
        <f>VLOOKUP(H463,ORC.AUXILIAR!I:P,7,0)</f>
        <v>418.36</v>
      </c>
      <c r="M463" s="639">
        <f>VLOOKUP(H463,ORC.AUXILIAR!I:P,8,0)</f>
        <v>1673.44</v>
      </c>
      <c r="N463" s="639">
        <f t="shared" si="46"/>
        <v>6693.76</v>
      </c>
      <c r="O463" s="639">
        <f t="shared" si="47"/>
        <v>10240725607.617319</v>
      </c>
      <c r="P463" s="640">
        <f t="shared" si="45"/>
        <v>0.99823081856674123</v>
      </c>
    </row>
    <row r="464" spans="1:16">
      <c r="A464" s="627">
        <v>1670.9199999999998</v>
      </c>
      <c r="B464" s="628">
        <v>37</v>
      </c>
      <c r="C464" s="629">
        <v>72255</v>
      </c>
      <c r="D464" s="628">
        <f>VLOOKUP(C464,ORC.AUXILIAR!I:J,2,0)</f>
        <v>0</v>
      </c>
      <c r="G464" s="636">
        <f t="shared" si="42"/>
        <v>0</v>
      </c>
      <c r="H464" s="636">
        <f t="shared" si="43"/>
        <v>72255</v>
      </c>
      <c r="I464" s="637" t="str">
        <f>VLOOKUP(H464,ORC.AUXILIAR!I:P,4,0)</f>
        <v>m</v>
      </c>
      <c r="J464" s="636">
        <f>VLOOKUP(H464,ORC.AUXILIAR!I:P,5,0)</f>
        <v>37</v>
      </c>
      <c r="K464" s="638">
        <f t="shared" si="44"/>
        <v>37</v>
      </c>
      <c r="L464" s="639">
        <f>VLOOKUP(H464,ORC.AUXILIAR!I:P,7,0)</f>
        <v>45.16</v>
      </c>
      <c r="M464" s="639">
        <f>VLOOKUP(H464,ORC.AUXILIAR!I:P,8,0)</f>
        <v>1670.92</v>
      </c>
      <c r="N464" s="639">
        <f t="shared" si="46"/>
        <v>61824.04</v>
      </c>
      <c r="O464" s="639">
        <f t="shared" si="47"/>
        <v>10240787431.65732</v>
      </c>
      <c r="P464" s="640">
        <f t="shared" si="45"/>
        <v>0.99823684496217657</v>
      </c>
    </row>
    <row r="465" spans="1:16">
      <c r="A465" s="627">
        <v>1669.05</v>
      </c>
      <c r="B465" s="628">
        <v>1</v>
      </c>
      <c r="C465" s="629" t="s">
        <v>14184</v>
      </c>
      <c r="D465" s="628">
        <f>VLOOKUP(C465,ORC.AUXILIAR!I:J,2,0)</f>
        <v>0</v>
      </c>
      <c r="G465" s="636">
        <f t="shared" si="42"/>
        <v>0</v>
      </c>
      <c r="H465" s="636" t="str">
        <f t="shared" si="43"/>
        <v>CT.FºFº.06</v>
      </c>
      <c r="I465" s="637" t="str">
        <f>VLOOKUP(H465,ORC.AUXILIAR!I:P,4,0)</f>
        <v>un</v>
      </c>
      <c r="J465" s="636">
        <f>VLOOKUP(H465,ORC.AUXILIAR!I:P,5,0)</f>
        <v>1</v>
      </c>
      <c r="K465" s="638">
        <f t="shared" si="44"/>
        <v>1</v>
      </c>
      <c r="L465" s="639">
        <f>VLOOKUP(H465,ORC.AUXILIAR!I:P,7,0)</f>
        <v>1669.05</v>
      </c>
      <c r="M465" s="639">
        <f>VLOOKUP(H465,ORC.AUXILIAR!I:P,8,0)</f>
        <v>1669.05</v>
      </c>
      <c r="N465" s="639">
        <f t="shared" si="46"/>
        <v>1669.05</v>
      </c>
      <c r="O465" s="639">
        <f t="shared" si="47"/>
        <v>10240789100.707319</v>
      </c>
      <c r="P465" s="640">
        <f t="shared" si="45"/>
        <v>0.99823700765544765</v>
      </c>
    </row>
    <row r="466" spans="1:16">
      <c r="A466" s="627">
        <v>1636.02</v>
      </c>
      <c r="B466" s="628">
        <v>18</v>
      </c>
      <c r="C466" s="629" t="s">
        <v>13392</v>
      </c>
      <c r="D466" s="628">
        <f>VLOOKUP(C466,ORC.AUXILIAR!I:J,2,0)</f>
        <v>0</v>
      </c>
      <c r="G466" s="636">
        <f t="shared" si="42"/>
        <v>0</v>
      </c>
      <c r="H466" s="636" t="str">
        <f t="shared" si="43"/>
        <v>INS.ELET.26</v>
      </c>
      <c r="I466" s="637" t="str">
        <f>VLOOKUP(H466,ORC.AUXILIAR!I:P,4,0)</f>
        <v>un</v>
      </c>
      <c r="J466" s="636">
        <f>VLOOKUP(H466,ORC.AUXILIAR!I:P,5,0)</f>
        <v>18</v>
      </c>
      <c r="K466" s="638">
        <f t="shared" si="44"/>
        <v>18</v>
      </c>
      <c r="L466" s="639">
        <f>VLOOKUP(H466,ORC.AUXILIAR!I:P,7,0)</f>
        <v>90.89</v>
      </c>
      <c r="M466" s="639">
        <f>VLOOKUP(H466,ORC.AUXILIAR!I:P,8,0)</f>
        <v>1636.02</v>
      </c>
      <c r="N466" s="639">
        <f t="shared" si="46"/>
        <v>29448.36</v>
      </c>
      <c r="O466" s="639">
        <f t="shared" si="47"/>
        <v>10240818549.06732</v>
      </c>
      <c r="P466" s="640">
        <f t="shared" si="45"/>
        <v>0.99823987818060722</v>
      </c>
    </row>
    <row r="467" spans="1:16">
      <c r="A467" s="627">
        <v>1624.32</v>
      </c>
      <c r="B467" s="628">
        <v>1152</v>
      </c>
      <c r="C467" s="629" t="s">
        <v>14370</v>
      </c>
      <c r="D467" s="628">
        <f>VLOOKUP(C467,ORC.AUXILIAR!I:J,2,0)</f>
        <v>0</v>
      </c>
      <c r="G467" s="636">
        <f t="shared" si="42"/>
        <v>0</v>
      </c>
      <c r="H467" s="636" t="str">
        <f t="shared" si="43"/>
        <v>REATOR.FB.19</v>
      </c>
      <c r="I467" s="637" t="str">
        <f>VLOOKUP(H467,ORC.AUXILIAR!I:P,4,0)</f>
        <v>pç</v>
      </c>
      <c r="J467" s="636">
        <f>VLOOKUP(H467,ORC.AUXILIAR!I:P,5,0)</f>
        <v>1152</v>
      </c>
      <c r="K467" s="638">
        <f t="shared" si="44"/>
        <v>1152</v>
      </c>
      <c r="L467" s="639">
        <f>VLOOKUP(H467,ORC.AUXILIAR!I:P,7,0)</f>
        <v>1.41</v>
      </c>
      <c r="M467" s="639">
        <f>VLOOKUP(H467,ORC.AUXILIAR!I:P,8,0)</f>
        <v>1624.32</v>
      </c>
      <c r="N467" s="639">
        <f t="shared" si="46"/>
        <v>1871216.6399999999</v>
      </c>
      <c r="O467" s="639">
        <f t="shared" si="47"/>
        <v>10242689765.707319</v>
      </c>
      <c r="P467" s="640">
        <f t="shared" si="45"/>
        <v>0.99842227796259853</v>
      </c>
    </row>
    <row r="468" spans="1:16">
      <c r="A468" s="627">
        <v>1622.1599999999999</v>
      </c>
      <c r="B468" s="628">
        <v>216</v>
      </c>
      <c r="C468" s="629" t="s">
        <v>14398</v>
      </c>
      <c r="D468" s="628">
        <f>VLOOKUP(C468,ORC.AUXILIAR!I:J,2,0)</f>
        <v>0</v>
      </c>
      <c r="G468" s="636">
        <f t="shared" si="42"/>
        <v>0</v>
      </c>
      <c r="H468" s="636" t="str">
        <f t="shared" si="43"/>
        <v>REATOR.FB.33</v>
      </c>
      <c r="I468" s="637" t="str">
        <f>VLOOKUP(H468,ORC.AUXILIAR!I:P,4,0)</f>
        <v>un</v>
      </c>
      <c r="J468" s="636">
        <f>VLOOKUP(H468,ORC.AUXILIAR!I:P,5,0)</f>
        <v>216</v>
      </c>
      <c r="K468" s="638">
        <f t="shared" si="44"/>
        <v>216</v>
      </c>
      <c r="L468" s="639">
        <f>VLOOKUP(H468,ORC.AUXILIAR!I:P,7,0)</f>
        <v>7.51</v>
      </c>
      <c r="M468" s="639">
        <f>VLOOKUP(H468,ORC.AUXILIAR!I:P,8,0)</f>
        <v>1622.16</v>
      </c>
      <c r="N468" s="639">
        <f t="shared" si="46"/>
        <v>350386.56</v>
      </c>
      <c r="O468" s="639">
        <f t="shared" si="47"/>
        <v>10243040152.267319</v>
      </c>
      <c r="P468" s="640">
        <f t="shared" si="45"/>
        <v>0.99845643244305282</v>
      </c>
    </row>
    <row r="469" spans="1:16">
      <c r="A469" s="627">
        <v>1619.04</v>
      </c>
      <c r="B469" s="628">
        <v>24</v>
      </c>
      <c r="C469" s="629" t="s">
        <v>12732</v>
      </c>
      <c r="D469" s="628">
        <f>VLOOKUP(C469,ORC.AUXILIAR!I:J,2,0)</f>
        <v>0</v>
      </c>
      <c r="G469" s="636">
        <f t="shared" si="42"/>
        <v>0</v>
      </c>
      <c r="H469" s="636" t="str">
        <f t="shared" si="43"/>
        <v>RE.AI.19</v>
      </c>
      <c r="I469" s="637" t="str">
        <f>VLOOKUP(H469,ORC.AUXILIAR!I:P,4,0)</f>
        <v>pç</v>
      </c>
      <c r="J469" s="636">
        <f>VLOOKUP(H469,ORC.AUXILIAR!I:P,5,0)</f>
        <v>24</v>
      </c>
      <c r="K469" s="638">
        <f t="shared" si="44"/>
        <v>24</v>
      </c>
      <c r="L469" s="639">
        <f>VLOOKUP(H469,ORC.AUXILIAR!I:P,7,0)</f>
        <v>67.459999999999994</v>
      </c>
      <c r="M469" s="639">
        <f>VLOOKUP(H469,ORC.AUXILIAR!I:P,8,0)</f>
        <v>1619.04</v>
      </c>
      <c r="N469" s="639">
        <f t="shared" si="46"/>
        <v>38856.959999999999</v>
      </c>
      <c r="O469" s="639">
        <f t="shared" si="47"/>
        <v>10243079009.227318</v>
      </c>
      <c r="P469" s="640">
        <f t="shared" si="45"/>
        <v>0.99846022008627977</v>
      </c>
    </row>
    <row r="470" spans="1:16">
      <c r="A470" s="627">
        <v>1615.36</v>
      </c>
      <c r="B470" s="628">
        <v>4</v>
      </c>
      <c r="C470" s="629" t="s">
        <v>12728</v>
      </c>
      <c r="D470" s="628">
        <f>VLOOKUP(C470,ORC.AUXILIAR!I:J,2,0)</f>
        <v>0</v>
      </c>
      <c r="G470" s="636">
        <f t="shared" si="42"/>
        <v>0</v>
      </c>
      <c r="H470" s="636" t="str">
        <f t="shared" si="43"/>
        <v>RE.AI.17</v>
      </c>
      <c r="I470" s="637" t="str">
        <f>VLOOKUP(H470,ORC.AUXILIAR!I:P,4,0)</f>
        <v>pç</v>
      </c>
      <c r="J470" s="636">
        <f>VLOOKUP(H470,ORC.AUXILIAR!I:P,5,0)</f>
        <v>4</v>
      </c>
      <c r="K470" s="638">
        <f t="shared" si="44"/>
        <v>4</v>
      </c>
      <c r="L470" s="639">
        <f>VLOOKUP(H470,ORC.AUXILIAR!I:P,7,0)</f>
        <v>403.84</v>
      </c>
      <c r="M470" s="639">
        <f>VLOOKUP(H470,ORC.AUXILIAR!I:P,8,0)</f>
        <v>1615.36</v>
      </c>
      <c r="N470" s="639">
        <f t="shared" si="46"/>
        <v>6461.44</v>
      </c>
      <c r="O470" s="639">
        <f t="shared" si="47"/>
        <v>10243085470.667318</v>
      </c>
      <c r="P470" s="640">
        <f t="shared" si="45"/>
        <v>0.99846084992529582</v>
      </c>
    </row>
    <row r="471" spans="1:16">
      <c r="A471" s="627">
        <v>1602</v>
      </c>
      <c r="B471" s="628">
        <v>8</v>
      </c>
      <c r="C471" s="629" t="s">
        <v>13191</v>
      </c>
      <c r="D471" s="628">
        <f>VLOOKUP(C471,ORC.AUXILIAR!I:J,2,0)</f>
        <v>0</v>
      </c>
      <c r="G471" s="636">
        <f t="shared" si="42"/>
        <v>0</v>
      </c>
      <c r="H471" s="636" t="str">
        <f t="shared" si="43"/>
        <v>RE.RPVC.09</v>
      </c>
      <c r="I471" s="637" t="str">
        <f>VLOOKUP(H471,ORC.AUXILIAR!I:P,4,0)</f>
        <v>pç</v>
      </c>
      <c r="J471" s="636">
        <f>VLOOKUP(H471,ORC.AUXILIAR!I:P,5,0)</f>
        <v>8</v>
      </c>
      <c r="K471" s="638">
        <f t="shared" si="44"/>
        <v>8</v>
      </c>
      <c r="L471" s="639">
        <f>VLOOKUP(H471,ORC.AUXILIAR!I:P,7,0)</f>
        <v>200.25</v>
      </c>
      <c r="M471" s="639">
        <f>VLOOKUP(H471,ORC.AUXILIAR!I:P,8,0)</f>
        <v>1602</v>
      </c>
      <c r="N471" s="639">
        <f t="shared" si="46"/>
        <v>12816</v>
      </c>
      <c r="O471" s="639">
        <f t="shared" si="47"/>
        <v>10243098286.667318</v>
      </c>
      <c r="P471" s="640">
        <f t="shared" si="45"/>
        <v>0.99846209918503204</v>
      </c>
    </row>
    <row r="472" spans="1:16">
      <c r="A472" s="627">
        <v>1592.5500000000002</v>
      </c>
      <c r="B472" s="628">
        <v>3</v>
      </c>
      <c r="C472" s="629" t="s">
        <v>13575</v>
      </c>
      <c r="D472" s="628">
        <f>VLOOKUP(C472,ORC.AUXILIAR!I:J,2,0)</f>
        <v>0</v>
      </c>
      <c r="G472" s="636">
        <f t="shared" si="42"/>
        <v>0</v>
      </c>
      <c r="H472" s="636" t="str">
        <f t="shared" si="43"/>
        <v>QCM.HIP.22</v>
      </c>
      <c r="I472" s="637" t="str">
        <f>VLOOKUP(H472,ORC.AUXILIAR!I:P,4,0)</f>
        <v>um</v>
      </c>
      <c r="J472" s="636">
        <f>VLOOKUP(H472,ORC.AUXILIAR!I:P,5,0)</f>
        <v>3</v>
      </c>
      <c r="K472" s="638">
        <f t="shared" si="44"/>
        <v>3</v>
      </c>
      <c r="L472" s="639">
        <f>VLOOKUP(H472,ORC.AUXILIAR!I:P,7,0)</f>
        <v>530.85</v>
      </c>
      <c r="M472" s="639">
        <f>VLOOKUP(H472,ORC.AUXILIAR!I:P,8,0)</f>
        <v>1592.55</v>
      </c>
      <c r="N472" s="639">
        <f t="shared" si="46"/>
        <v>4777.6499999999996</v>
      </c>
      <c r="O472" s="639">
        <f t="shared" si="47"/>
        <v>10243103064.317318</v>
      </c>
      <c r="P472" s="640">
        <f t="shared" si="45"/>
        <v>0.99846256489397223</v>
      </c>
    </row>
    <row r="473" spans="1:16">
      <c r="A473" s="627">
        <v>1573.7036000000005</v>
      </c>
      <c r="B473" s="628">
        <v>2314.2700000000004</v>
      </c>
      <c r="C473" s="629">
        <v>79472</v>
      </c>
      <c r="D473" s="628">
        <f>VLOOKUP(C473,ORC.AUXILIAR!I:J,2,0)</f>
        <v>0</v>
      </c>
      <c r="G473" s="636">
        <f t="shared" si="42"/>
        <v>0</v>
      </c>
      <c r="H473" s="636">
        <f t="shared" si="43"/>
        <v>79472</v>
      </c>
      <c r="I473" s="637" t="str">
        <f>VLOOKUP(H473,ORC.AUXILIAR!I:P,4,0)</f>
        <v>M2</v>
      </c>
      <c r="J473" s="636">
        <f>VLOOKUP(H473,ORC.AUXILIAR!I:P,5,0)</f>
        <v>17.25</v>
      </c>
      <c r="K473" s="638">
        <f t="shared" si="44"/>
        <v>2314.2700000000004</v>
      </c>
      <c r="L473" s="639">
        <f>VLOOKUP(H473,ORC.AUXILIAR!I:P,7,0)</f>
        <v>0.68</v>
      </c>
      <c r="M473" s="639">
        <f>VLOOKUP(H473,ORC.AUXILIAR!I:P,8,0)</f>
        <v>11.73</v>
      </c>
      <c r="N473" s="639">
        <f t="shared" si="46"/>
        <v>27146.387100000007</v>
      </c>
      <c r="O473" s="639">
        <f t="shared" si="47"/>
        <v>10243130210.704418</v>
      </c>
      <c r="P473" s="640">
        <f t="shared" si="45"/>
        <v>0.99846521103070662</v>
      </c>
    </row>
    <row r="474" spans="1:16">
      <c r="A474" s="627">
        <v>1556.68</v>
      </c>
      <c r="B474" s="628">
        <v>2</v>
      </c>
      <c r="C474" s="629" t="s">
        <v>13038</v>
      </c>
      <c r="D474" s="628">
        <f>VLOOKUP(C474,ORC.AUXILIAR!I:J,2,0)</f>
        <v>0</v>
      </c>
      <c r="G474" s="636">
        <f t="shared" si="42"/>
        <v>0</v>
      </c>
      <c r="H474" s="636" t="str">
        <f t="shared" si="43"/>
        <v>TP.FºF°.43</v>
      </c>
      <c r="I474" s="637" t="str">
        <f>VLOOKUP(H474,ORC.AUXILIAR!I:P,4,0)</f>
        <v>pç</v>
      </c>
      <c r="J474" s="636">
        <f>VLOOKUP(H474,ORC.AUXILIAR!I:P,5,0)</f>
        <v>2</v>
      </c>
      <c r="K474" s="638">
        <f t="shared" si="44"/>
        <v>2</v>
      </c>
      <c r="L474" s="639">
        <f>VLOOKUP(H474,ORC.AUXILIAR!I:P,7,0)</f>
        <v>778.34</v>
      </c>
      <c r="M474" s="639">
        <f>VLOOKUP(H474,ORC.AUXILIAR!I:P,8,0)</f>
        <v>1556.68</v>
      </c>
      <c r="N474" s="639">
        <f t="shared" si="46"/>
        <v>3113.36</v>
      </c>
      <c r="O474" s="639">
        <f t="shared" si="47"/>
        <v>10243133324.064419</v>
      </c>
      <c r="P474" s="640">
        <f t="shared" si="45"/>
        <v>0.99846551451036425</v>
      </c>
    </row>
    <row r="475" spans="1:16">
      <c r="A475" s="627">
        <v>1540.66</v>
      </c>
      <c r="B475" s="628">
        <v>1</v>
      </c>
      <c r="C475" s="629" t="s">
        <v>14266</v>
      </c>
      <c r="D475" s="628">
        <f>VLOOKUP(C475,ORC.AUXILIAR!I:J,2,0)</f>
        <v>0</v>
      </c>
      <c r="G475" s="636">
        <f t="shared" si="42"/>
        <v>0</v>
      </c>
      <c r="H475" s="636" t="str">
        <f t="shared" si="43"/>
        <v>CT.FºFº.21</v>
      </c>
      <c r="I475" s="637" t="str">
        <f>VLOOKUP(H475,ORC.AUXILIAR!I:P,4,0)</f>
        <v>un</v>
      </c>
      <c r="J475" s="636">
        <f>VLOOKUP(H475,ORC.AUXILIAR!I:P,5,0)</f>
        <v>1</v>
      </c>
      <c r="K475" s="638">
        <f t="shared" si="44"/>
        <v>1</v>
      </c>
      <c r="L475" s="639">
        <f>VLOOKUP(H475,ORC.AUXILIAR!I:P,7,0)</f>
        <v>1540.66</v>
      </c>
      <c r="M475" s="639">
        <f>VLOOKUP(H475,ORC.AUXILIAR!I:P,8,0)</f>
        <v>1540.66</v>
      </c>
      <c r="N475" s="639">
        <f t="shared" si="46"/>
        <v>1540.66</v>
      </c>
      <c r="O475" s="639">
        <f t="shared" si="47"/>
        <v>10243134864.724419</v>
      </c>
      <c r="P475" s="640">
        <f t="shared" si="45"/>
        <v>0.99846566468861842</v>
      </c>
    </row>
    <row r="476" spans="1:16">
      <c r="A476" s="627">
        <v>1539.12</v>
      </c>
      <c r="B476" s="628">
        <v>8</v>
      </c>
      <c r="C476" s="629" t="s">
        <v>13715</v>
      </c>
      <c r="D476" s="628">
        <f>VLOOKUP(C476,ORC.AUXILIAR!I:J,2,0)</f>
        <v>0</v>
      </c>
      <c r="G476" s="636">
        <f t="shared" si="42"/>
        <v>0</v>
      </c>
      <c r="H476" s="636" t="str">
        <f t="shared" si="43"/>
        <v>QCM.EEE.19</v>
      </c>
      <c r="I476" s="637" t="str">
        <f>VLOOKUP(H476,ORC.AUXILIAR!I:P,4,0)</f>
        <v>Cj</v>
      </c>
      <c r="J476" s="636">
        <f>VLOOKUP(H476,ORC.AUXILIAR!I:P,5,0)</f>
        <v>8</v>
      </c>
      <c r="K476" s="638">
        <f t="shared" si="44"/>
        <v>8</v>
      </c>
      <c r="L476" s="639">
        <f>VLOOKUP(H476,ORC.AUXILIAR!I:P,7,0)</f>
        <v>192.39</v>
      </c>
      <c r="M476" s="639">
        <f>VLOOKUP(H476,ORC.AUXILIAR!I:P,8,0)</f>
        <v>1539.12</v>
      </c>
      <c r="N476" s="639">
        <f t="shared" si="46"/>
        <v>12312.96</v>
      </c>
      <c r="O476" s="639">
        <f t="shared" si="47"/>
        <v>10243147177.684418</v>
      </c>
      <c r="P476" s="640">
        <f t="shared" si="45"/>
        <v>0.99846686491374015</v>
      </c>
    </row>
    <row r="477" spans="1:16">
      <c r="A477" s="627">
        <v>1539.12</v>
      </c>
      <c r="B477" s="628">
        <v>8</v>
      </c>
      <c r="C477" s="629" t="s">
        <v>13756</v>
      </c>
      <c r="D477" s="628">
        <f>VLOOKUP(C477,ORC.AUXILIAR!I:J,2,0)</f>
        <v>0</v>
      </c>
      <c r="G477" s="636">
        <f t="shared" si="42"/>
        <v>0</v>
      </c>
      <c r="H477" s="636" t="str">
        <f t="shared" si="43"/>
        <v>QCM.EEE.44</v>
      </c>
      <c r="I477" s="637" t="str">
        <f>VLOOKUP(H477,ORC.AUXILIAR!I:P,4,0)</f>
        <v>Un</v>
      </c>
      <c r="J477" s="636">
        <f>VLOOKUP(H477,ORC.AUXILIAR!I:P,5,0)</f>
        <v>8</v>
      </c>
      <c r="K477" s="638">
        <f t="shared" si="44"/>
        <v>8</v>
      </c>
      <c r="L477" s="639">
        <f>VLOOKUP(H477,ORC.AUXILIAR!I:P,7,0)</f>
        <v>192.39</v>
      </c>
      <c r="M477" s="639">
        <f>VLOOKUP(H477,ORC.AUXILIAR!I:P,8,0)</f>
        <v>1539.12</v>
      </c>
      <c r="N477" s="639">
        <f t="shared" si="46"/>
        <v>12312.96</v>
      </c>
      <c r="O477" s="639">
        <f t="shared" si="47"/>
        <v>10243159490.644417</v>
      </c>
      <c r="P477" s="640">
        <f t="shared" si="45"/>
        <v>0.99846806513886188</v>
      </c>
    </row>
    <row r="478" spans="1:16">
      <c r="A478" s="627">
        <v>1534.4</v>
      </c>
      <c r="B478" s="628">
        <v>40</v>
      </c>
      <c r="C478" s="629">
        <v>1970</v>
      </c>
      <c r="D478" s="628">
        <f>VLOOKUP(C478,ORC.AUXILIAR!I:J,2,0)</f>
        <v>0</v>
      </c>
      <c r="G478" s="636">
        <f t="shared" si="42"/>
        <v>0</v>
      </c>
      <c r="H478" s="636">
        <f t="shared" si="43"/>
        <v>1970</v>
      </c>
      <c r="I478" s="637" t="str">
        <f>VLOOKUP(H478,ORC.AUXILIAR!I:P,4,0)</f>
        <v>pç</v>
      </c>
      <c r="J478" s="636">
        <f>VLOOKUP(H478,ORC.AUXILIAR!I:P,5,0)</f>
        <v>40</v>
      </c>
      <c r="K478" s="638">
        <f t="shared" si="44"/>
        <v>40</v>
      </c>
      <c r="L478" s="639">
        <f>VLOOKUP(H478,ORC.AUXILIAR!I:P,7,0)</f>
        <v>38.36</v>
      </c>
      <c r="M478" s="639">
        <f>VLOOKUP(H478,ORC.AUXILIAR!I:P,8,0)</f>
        <v>1534.4</v>
      </c>
      <c r="N478" s="639">
        <f t="shared" si="46"/>
        <v>61376</v>
      </c>
      <c r="O478" s="639">
        <f t="shared" si="47"/>
        <v>10243220866.644417</v>
      </c>
      <c r="P478" s="640">
        <f t="shared" si="45"/>
        <v>0.99847404786089422</v>
      </c>
    </row>
    <row r="479" spans="1:16">
      <c r="A479" s="627">
        <v>1515.08</v>
      </c>
      <c r="B479" s="628">
        <v>1</v>
      </c>
      <c r="C479" s="629" t="s">
        <v>13018</v>
      </c>
      <c r="D479" s="628">
        <f>VLOOKUP(C479,ORC.AUXILIAR!I:J,2,0)</f>
        <v>0</v>
      </c>
      <c r="G479" s="636">
        <f t="shared" si="42"/>
        <v>0</v>
      </c>
      <c r="H479" s="636" t="str">
        <f t="shared" si="43"/>
        <v>TP.FºF°.39</v>
      </c>
      <c r="I479" s="637" t="str">
        <f>VLOOKUP(H479,ORC.AUXILIAR!I:P,4,0)</f>
        <v>pç</v>
      </c>
      <c r="J479" s="636">
        <f>VLOOKUP(H479,ORC.AUXILIAR!I:P,5,0)</f>
        <v>1</v>
      </c>
      <c r="K479" s="638">
        <f t="shared" si="44"/>
        <v>1</v>
      </c>
      <c r="L479" s="639">
        <f>VLOOKUP(H479,ORC.AUXILIAR!I:P,7,0)</f>
        <v>1515.08</v>
      </c>
      <c r="M479" s="639">
        <f>VLOOKUP(H479,ORC.AUXILIAR!I:P,8,0)</f>
        <v>1515.08</v>
      </c>
      <c r="N479" s="639">
        <f t="shared" si="46"/>
        <v>1515.08</v>
      </c>
      <c r="O479" s="639">
        <f t="shared" si="47"/>
        <v>10243222381.724417</v>
      </c>
      <c r="P479" s="640">
        <f t="shared" si="45"/>
        <v>0.99847419554569772</v>
      </c>
    </row>
    <row r="480" spans="1:16">
      <c r="A480" s="627">
        <v>1506.18</v>
      </c>
      <c r="B480" s="628">
        <v>13</v>
      </c>
      <c r="C480" s="629" t="s">
        <v>12784</v>
      </c>
      <c r="D480" s="628">
        <f>VLOOKUP(C480,ORC.AUXILIAR!I:J,2,0)</f>
        <v>0</v>
      </c>
      <c r="G480" s="636">
        <f t="shared" si="42"/>
        <v>0</v>
      </c>
      <c r="H480" s="636" t="str">
        <f t="shared" si="43"/>
        <v>TB.AI.02</v>
      </c>
      <c r="I480" s="637" t="str">
        <f>VLOOKUP(H480,ORC.AUXILIAR!I:P,4,0)</f>
        <v>pç</v>
      </c>
      <c r="J480" s="636">
        <f>VLOOKUP(H480,ORC.AUXILIAR!I:P,5,0)</f>
        <v>13</v>
      </c>
      <c r="K480" s="638">
        <f t="shared" si="44"/>
        <v>13</v>
      </c>
      <c r="L480" s="639">
        <f>VLOOKUP(H480,ORC.AUXILIAR!I:P,7,0)</f>
        <v>115.86</v>
      </c>
      <c r="M480" s="639">
        <f>VLOOKUP(H480,ORC.AUXILIAR!I:P,8,0)</f>
        <v>1506.18</v>
      </c>
      <c r="N480" s="639">
        <f t="shared" si="46"/>
        <v>19580.34</v>
      </c>
      <c r="O480" s="639">
        <f t="shared" si="47"/>
        <v>10243241962.064417</v>
      </c>
      <c r="P480" s="640">
        <f t="shared" si="45"/>
        <v>0.99847610417010335</v>
      </c>
    </row>
    <row r="481" spans="1:16">
      <c r="A481" s="627">
        <v>1504.56</v>
      </c>
      <c r="B481" s="628">
        <v>4</v>
      </c>
      <c r="C481" s="629" t="s">
        <v>13187</v>
      </c>
      <c r="D481" s="628">
        <f>VLOOKUP(C481,ORC.AUXILIAR!I:J,2,0)</f>
        <v>0</v>
      </c>
      <c r="G481" s="636">
        <f t="shared" si="42"/>
        <v>0</v>
      </c>
      <c r="H481" s="636" t="str">
        <f t="shared" si="43"/>
        <v>RE.RPVC.08</v>
      </c>
      <c r="I481" s="637" t="str">
        <f>VLOOKUP(H481,ORC.AUXILIAR!I:P,4,0)</f>
        <v>pç</v>
      </c>
      <c r="J481" s="636">
        <f>VLOOKUP(H481,ORC.AUXILIAR!I:P,5,0)</f>
        <v>4</v>
      </c>
      <c r="K481" s="638">
        <f t="shared" si="44"/>
        <v>4</v>
      </c>
      <c r="L481" s="639">
        <f>VLOOKUP(H481,ORC.AUXILIAR!I:P,7,0)</f>
        <v>376.14</v>
      </c>
      <c r="M481" s="639">
        <f>VLOOKUP(H481,ORC.AUXILIAR!I:P,8,0)</f>
        <v>1504.56</v>
      </c>
      <c r="N481" s="639">
        <f t="shared" si="46"/>
        <v>6018.24</v>
      </c>
      <c r="O481" s="639">
        <f t="shared" si="47"/>
        <v>10243247980.304417</v>
      </c>
      <c r="P481" s="640">
        <f t="shared" si="45"/>
        <v>0.99847669080750301</v>
      </c>
    </row>
    <row r="482" spans="1:16">
      <c r="A482" s="627">
        <v>1485</v>
      </c>
      <c r="B482" s="628">
        <v>300</v>
      </c>
      <c r="C482" s="629">
        <v>91929</v>
      </c>
      <c r="D482" s="628">
        <f>VLOOKUP(C482,ORC.AUXILIAR!I:J,2,0)</f>
        <v>0</v>
      </c>
      <c r="G482" s="636">
        <f t="shared" si="42"/>
        <v>0</v>
      </c>
      <c r="H482" s="636">
        <f t="shared" si="43"/>
        <v>91929</v>
      </c>
      <c r="I482" s="637" t="str">
        <f>VLOOKUP(H482,ORC.AUXILIAR!I:P,4,0)</f>
        <v>m</v>
      </c>
      <c r="J482" s="636">
        <f>VLOOKUP(H482,ORC.AUXILIAR!I:P,5,0)</f>
        <v>100</v>
      </c>
      <c r="K482" s="638">
        <f t="shared" si="44"/>
        <v>300</v>
      </c>
      <c r="L482" s="639">
        <f>VLOOKUP(H482,ORC.AUXILIAR!I:P,7,0)</f>
        <v>4.95</v>
      </c>
      <c r="M482" s="639">
        <f>VLOOKUP(H482,ORC.AUXILIAR!I:P,8,0)</f>
        <v>495</v>
      </c>
      <c r="N482" s="639">
        <f t="shared" si="46"/>
        <v>148500</v>
      </c>
      <c r="O482" s="639">
        <f t="shared" si="47"/>
        <v>10243396480.304417</v>
      </c>
      <c r="P482" s="640">
        <f t="shared" si="45"/>
        <v>0.99849116607832233</v>
      </c>
    </row>
    <row r="483" spans="1:16">
      <c r="A483" s="627">
        <v>1462.9446758991103</v>
      </c>
      <c r="B483" s="628">
        <v>255.7595587236207</v>
      </c>
      <c r="C483" s="629">
        <v>184</v>
      </c>
      <c r="D483" s="628">
        <f>VLOOKUP(C483,ORC.AUXILIAR!I:J,2,0)</f>
        <v>0</v>
      </c>
      <c r="G483" s="636">
        <f t="shared" si="42"/>
        <v>0</v>
      </c>
      <c r="H483" s="636">
        <f t="shared" si="43"/>
        <v>184</v>
      </c>
      <c r="I483" s="637" t="str">
        <f>VLOOKUP(H483,ORC.AUXILIAR!I:P,4,0)</f>
        <v>M3</v>
      </c>
      <c r="J483" s="636">
        <f>VLOOKUP(H483,ORC.AUXILIAR!I:P,5,0)</f>
        <v>3.42</v>
      </c>
      <c r="K483" s="638">
        <f t="shared" si="44"/>
        <v>255.7595587236207</v>
      </c>
      <c r="L483" s="639">
        <f>VLOOKUP(H483,ORC.AUXILIAR!I:P,7,0)</f>
        <v>5.72</v>
      </c>
      <c r="M483" s="639">
        <f>VLOOKUP(H483,ORC.AUXILIAR!I:P,8,0)</f>
        <v>19.559999999999999</v>
      </c>
      <c r="N483" s="639">
        <f t="shared" si="46"/>
        <v>5002.6569686340208</v>
      </c>
      <c r="O483" s="639">
        <f t="shared" si="47"/>
        <v>10243401482.961386</v>
      </c>
      <c r="P483" s="640">
        <f t="shared" si="45"/>
        <v>0.99849165372017046</v>
      </c>
    </row>
    <row r="484" spans="1:16">
      <c r="A484" s="627">
        <v>1461.28</v>
      </c>
      <c r="B484" s="628">
        <v>8</v>
      </c>
      <c r="C484" s="629" t="s">
        <v>12849</v>
      </c>
      <c r="D484" s="628">
        <f>VLOOKUP(C484,ORC.AUXILIAR!I:J,2,0)</f>
        <v>0</v>
      </c>
      <c r="G484" s="636">
        <f t="shared" si="42"/>
        <v>0</v>
      </c>
      <c r="H484" s="636" t="str">
        <f t="shared" si="43"/>
        <v>TP.F°F°.01</v>
      </c>
      <c r="I484" s="637" t="str">
        <f>VLOOKUP(H484,ORC.AUXILIAR!I:P,4,0)</f>
        <v>pç</v>
      </c>
      <c r="J484" s="636">
        <f>VLOOKUP(H484,ORC.AUXILIAR!I:P,5,0)</f>
        <v>8</v>
      </c>
      <c r="K484" s="638">
        <f t="shared" si="44"/>
        <v>8</v>
      </c>
      <c r="L484" s="639">
        <f>VLOOKUP(H484,ORC.AUXILIAR!I:P,7,0)</f>
        <v>182.66</v>
      </c>
      <c r="M484" s="639">
        <f>VLOOKUP(H484,ORC.AUXILIAR!I:P,8,0)</f>
        <v>1461.28</v>
      </c>
      <c r="N484" s="639">
        <f t="shared" si="46"/>
        <v>11690.24</v>
      </c>
      <c r="O484" s="639">
        <f t="shared" si="47"/>
        <v>10243413173.201385</v>
      </c>
      <c r="P484" s="640">
        <f t="shared" si="45"/>
        <v>0.99849279324468188</v>
      </c>
    </row>
    <row r="485" spans="1:16">
      <c r="A485" s="627">
        <v>1460.3870803118741</v>
      </c>
      <c r="B485" s="628">
        <v>255.7595587236207</v>
      </c>
      <c r="C485" s="629">
        <v>187</v>
      </c>
      <c r="D485" s="628">
        <f>VLOOKUP(C485,ORC.AUXILIAR!I:J,2,0)</f>
        <v>0</v>
      </c>
      <c r="G485" s="636">
        <f t="shared" si="42"/>
        <v>0</v>
      </c>
      <c r="H485" s="636">
        <f t="shared" si="43"/>
        <v>187</v>
      </c>
      <c r="I485" s="637" t="str">
        <f>VLOOKUP(H485,ORC.AUXILIAR!I:P,4,0)</f>
        <v>M3</v>
      </c>
      <c r="J485" s="636">
        <f>VLOOKUP(H485,ORC.AUXILIAR!I:P,5,0)</f>
        <v>3.42</v>
      </c>
      <c r="K485" s="638">
        <f t="shared" si="44"/>
        <v>255.7595587236207</v>
      </c>
      <c r="L485" s="639">
        <f>VLOOKUP(H485,ORC.AUXILIAR!I:P,7,0)</f>
        <v>5.71</v>
      </c>
      <c r="M485" s="639">
        <f>VLOOKUP(H485,ORC.AUXILIAR!I:P,8,0)</f>
        <v>19.53</v>
      </c>
      <c r="N485" s="639">
        <f t="shared" si="46"/>
        <v>4994.9841818723125</v>
      </c>
      <c r="O485" s="639">
        <f t="shared" si="47"/>
        <v>10243418168.185568</v>
      </c>
      <c r="P485" s="640">
        <f t="shared" si="45"/>
        <v>0.99849328013861305</v>
      </c>
    </row>
    <row r="486" spans="1:16">
      <c r="A486" s="627">
        <v>1456</v>
      </c>
      <c r="B486" s="628">
        <v>64</v>
      </c>
      <c r="C486" s="629" t="s">
        <v>14691</v>
      </c>
      <c r="D486" s="628">
        <f>VLOOKUP(C486,ORC.AUXILIAR!I:J,2,0)</f>
        <v>0</v>
      </c>
      <c r="G486" s="636">
        <f t="shared" si="42"/>
        <v>0</v>
      </c>
      <c r="H486" s="636" t="str">
        <f t="shared" si="43"/>
        <v>73887/10</v>
      </c>
      <c r="I486" s="637" t="str">
        <f>VLOOKUP(H486,ORC.AUXILIAR!I:P,4,0)</f>
        <v>M</v>
      </c>
      <c r="J486" s="636">
        <f>VLOOKUP(H486,ORC.AUXILIAR!I:P,5,0)</f>
        <v>64</v>
      </c>
      <c r="K486" s="638">
        <f t="shared" si="44"/>
        <v>64</v>
      </c>
      <c r="L486" s="639">
        <f>VLOOKUP(H486,ORC.AUXILIAR!I:P,7,0)</f>
        <v>22.75</v>
      </c>
      <c r="M486" s="639">
        <f>VLOOKUP(H486,ORC.AUXILIAR!I:P,8,0)</f>
        <v>1456</v>
      </c>
      <c r="N486" s="639">
        <f t="shared" si="46"/>
        <v>93184</v>
      </c>
      <c r="O486" s="639">
        <f t="shared" si="47"/>
        <v>10243511352.185568</v>
      </c>
      <c r="P486" s="640">
        <f t="shared" si="45"/>
        <v>0.99850236339542131</v>
      </c>
    </row>
    <row r="487" spans="1:16">
      <c r="A487" s="627">
        <v>1454.4</v>
      </c>
      <c r="B487" s="628">
        <v>4</v>
      </c>
      <c r="C487" s="629" t="s">
        <v>13223</v>
      </c>
      <c r="D487" s="628">
        <f>VLOOKUP(C487,ORC.AUXILIAR!I:J,2,0)</f>
        <v>0</v>
      </c>
      <c r="G487" s="636">
        <f t="shared" si="42"/>
        <v>0</v>
      </c>
      <c r="H487" s="636" t="str">
        <f t="shared" si="43"/>
        <v>RE.RPVC.23</v>
      </c>
      <c r="I487" s="637" t="str">
        <f>VLOOKUP(H487,ORC.AUXILIAR!I:P,4,0)</f>
        <v>pç</v>
      </c>
      <c r="J487" s="636">
        <f>VLOOKUP(H487,ORC.AUXILIAR!I:P,5,0)</f>
        <v>4</v>
      </c>
      <c r="K487" s="638">
        <f t="shared" si="44"/>
        <v>4</v>
      </c>
      <c r="L487" s="639">
        <f>VLOOKUP(H487,ORC.AUXILIAR!I:P,7,0)</f>
        <v>363.6</v>
      </c>
      <c r="M487" s="639">
        <f>VLOOKUP(H487,ORC.AUXILIAR!I:P,8,0)</f>
        <v>1454.4</v>
      </c>
      <c r="N487" s="639">
        <f t="shared" si="46"/>
        <v>5817.6</v>
      </c>
      <c r="O487" s="639">
        <f t="shared" si="47"/>
        <v>10243517169.785568</v>
      </c>
      <c r="P487" s="640">
        <f t="shared" si="45"/>
        <v>0.99850293047512184</v>
      </c>
    </row>
    <row r="488" spans="1:16">
      <c r="A488" s="627">
        <v>1436.3999999999999</v>
      </c>
      <c r="B488" s="628">
        <v>14</v>
      </c>
      <c r="C488" s="629" t="s">
        <v>13683</v>
      </c>
      <c r="D488" s="628">
        <f>VLOOKUP(C488,ORC.AUXILIAR!I:J,2,0)</f>
        <v>0</v>
      </c>
      <c r="G488" s="636">
        <f t="shared" si="42"/>
        <v>0</v>
      </c>
      <c r="H488" s="636" t="str">
        <f t="shared" si="43"/>
        <v>QCM.EEE.01</v>
      </c>
      <c r="I488" s="637" t="str">
        <f>VLOOKUP(H488,ORC.AUXILIAR!I:P,4,0)</f>
        <v>Un</v>
      </c>
      <c r="J488" s="636">
        <f>VLOOKUP(H488,ORC.AUXILIAR!I:P,5,0)</f>
        <v>14</v>
      </c>
      <c r="K488" s="638">
        <f t="shared" si="44"/>
        <v>14</v>
      </c>
      <c r="L488" s="639">
        <f>VLOOKUP(H488,ORC.AUXILIAR!I:P,7,0)</f>
        <v>102.6</v>
      </c>
      <c r="M488" s="639">
        <f>VLOOKUP(H488,ORC.AUXILIAR!I:P,8,0)</f>
        <v>1436.4</v>
      </c>
      <c r="N488" s="639">
        <f t="shared" si="46"/>
        <v>20109.600000000002</v>
      </c>
      <c r="O488" s="639">
        <f t="shared" si="47"/>
        <v>10243537279.385569</v>
      </c>
      <c r="P488" s="640">
        <f t="shared" si="45"/>
        <v>0.9985048906899775</v>
      </c>
    </row>
    <row r="489" spans="1:16">
      <c r="A489" s="627">
        <v>1433.1</v>
      </c>
      <c r="B489" s="628">
        <v>2</v>
      </c>
      <c r="C489" s="629" t="s">
        <v>13624</v>
      </c>
      <c r="D489" s="628">
        <f>VLOOKUP(C489,ORC.AUXILIAR!I:J,2,0)</f>
        <v>0</v>
      </c>
      <c r="G489" s="636">
        <f t="shared" si="42"/>
        <v>0</v>
      </c>
      <c r="H489" s="636" t="str">
        <f t="shared" si="43"/>
        <v>QCM.BIOGAS.29</v>
      </c>
      <c r="I489" s="637" t="str">
        <f>VLOOKUP(H489,ORC.AUXILIAR!I:P,4,0)</f>
        <v>um</v>
      </c>
      <c r="J489" s="636">
        <f>VLOOKUP(H489,ORC.AUXILIAR!I:P,5,0)</f>
        <v>2</v>
      </c>
      <c r="K489" s="638">
        <f t="shared" si="44"/>
        <v>2</v>
      </c>
      <c r="L489" s="639">
        <f>VLOOKUP(H489,ORC.AUXILIAR!I:P,7,0)</f>
        <v>716.55</v>
      </c>
      <c r="M489" s="639">
        <f>VLOOKUP(H489,ORC.AUXILIAR!I:P,8,0)</f>
        <v>1433.1</v>
      </c>
      <c r="N489" s="639">
        <f t="shared" si="46"/>
        <v>2866.2</v>
      </c>
      <c r="O489" s="639">
        <f t="shared" si="47"/>
        <v>10243540145.585569</v>
      </c>
      <c r="P489" s="640">
        <f t="shared" si="45"/>
        <v>0.99850517007732587</v>
      </c>
    </row>
    <row r="490" spans="1:16">
      <c r="A490" s="627">
        <v>1433.1</v>
      </c>
      <c r="B490" s="628">
        <v>2</v>
      </c>
      <c r="C490" s="629" t="s">
        <v>13793</v>
      </c>
      <c r="D490" s="628">
        <f>VLOOKUP(C490,ORC.AUXILIAR!I:J,2,0)</f>
        <v>0</v>
      </c>
      <c r="G490" s="636">
        <f t="shared" si="42"/>
        <v>0</v>
      </c>
      <c r="H490" s="636" t="str">
        <f t="shared" si="43"/>
        <v>QCM.CX.AREIA.30</v>
      </c>
      <c r="I490" s="637" t="str">
        <f>VLOOKUP(H490,ORC.AUXILIAR!I:P,4,0)</f>
        <v>Cj</v>
      </c>
      <c r="J490" s="636">
        <f>VLOOKUP(H490,ORC.AUXILIAR!I:P,5,0)</f>
        <v>2</v>
      </c>
      <c r="K490" s="638">
        <f t="shared" si="44"/>
        <v>2</v>
      </c>
      <c r="L490" s="639">
        <f>VLOOKUP(H490,ORC.AUXILIAR!I:P,7,0)</f>
        <v>716.55</v>
      </c>
      <c r="M490" s="639">
        <f>VLOOKUP(H490,ORC.AUXILIAR!I:P,8,0)</f>
        <v>1433.1</v>
      </c>
      <c r="N490" s="639">
        <f t="shared" si="46"/>
        <v>2866.2</v>
      </c>
      <c r="O490" s="639">
        <f t="shared" si="47"/>
        <v>10243543011.78557</v>
      </c>
      <c r="P490" s="640">
        <f t="shared" si="45"/>
        <v>0.99850544946467434</v>
      </c>
    </row>
    <row r="491" spans="1:16">
      <c r="A491" s="627">
        <v>1433.1</v>
      </c>
      <c r="B491" s="628">
        <v>2</v>
      </c>
      <c r="C491" s="629" t="s">
        <v>13593</v>
      </c>
      <c r="D491" s="628">
        <f>VLOOKUP(C491,ORC.AUXILIAR!I:J,2,0)</f>
        <v>0</v>
      </c>
      <c r="G491" s="636">
        <f t="shared" si="42"/>
        <v>0</v>
      </c>
      <c r="H491" s="636" t="str">
        <f t="shared" si="43"/>
        <v>QCM.HIP.31</v>
      </c>
      <c r="I491" s="637" t="str">
        <f>VLOOKUP(H491,ORC.AUXILIAR!I:P,4,0)</f>
        <v>um</v>
      </c>
      <c r="J491" s="636">
        <f>VLOOKUP(H491,ORC.AUXILIAR!I:P,5,0)</f>
        <v>2</v>
      </c>
      <c r="K491" s="638">
        <f t="shared" si="44"/>
        <v>2</v>
      </c>
      <c r="L491" s="639">
        <f>VLOOKUP(H491,ORC.AUXILIAR!I:P,7,0)</f>
        <v>716.55</v>
      </c>
      <c r="M491" s="639">
        <f>VLOOKUP(H491,ORC.AUXILIAR!I:P,8,0)</f>
        <v>1433.1</v>
      </c>
      <c r="N491" s="639">
        <f t="shared" si="46"/>
        <v>2866.2</v>
      </c>
      <c r="O491" s="639">
        <f t="shared" si="47"/>
        <v>10243545877.985571</v>
      </c>
      <c r="P491" s="640">
        <f t="shared" si="45"/>
        <v>0.99850572885202271</v>
      </c>
    </row>
    <row r="492" spans="1:16">
      <c r="A492" s="627">
        <v>1409.74</v>
      </c>
      <c r="B492" s="628">
        <v>2</v>
      </c>
      <c r="C492" s="629" t="s">
        <v>20518</v>
      </c>
      <c r="D492" s="628">
        <f>VLOOKUP(C492,ORC.AUXILIAR!I:J,2,0)</f>
        <v>0</v>
      </c>
      <c r="G492" s="636">
        <f t="shared" si="42"/>
        <v>0</v>
      </c>
      <c r="H492" s="636" t="str">
        <f t="shared" si="43"/>
        <v>CT_ARMARIO</v>
      </c>
      <c r="I492" s="637" t="str">
        <f>VLOOKUP(H492,ORC.AUXILIAR!I:P,4,0)</f>
        <v>UM</v>
      </c>
      <c r="J492" s="636">
        <f>VLOOKUP(H492,ORC.AUXILIAR!I:P,5,0)</f>
        <v>1</v>
      </c>
      <c r="K492" s="638">
        <f t="shared" si="44"/>
        <v>2</v>
      </c>
      <c r="L492" s="639">
        <f>VLOOKUP(H492,ORC.AUXILIAR!I:P,7,0)</f>
        <v>704.87</v>
      </c>
      <c r="M492" s="639">
        <f>VLOOKUP(H492,ORC.AUXILIAR!I:P,8,0)</f>
        <v>704.87</v>
      </c>
      <c r="N492" s="639">
        <f t="shared" si="46"/>
        <v>1409.74</v>
      </c>
      <c r="O492" s="639">
        <f t="shared" si="47"/>
        <v>10243547287.725571</v>
      </c>
      <c r="P492" s="640">
        <f t="shared" si="45"/>
        <v>0.99850586626864413</v>
      </c>
    </row>
    <row r="493" spans="1:16">
      <c r="A493" s="627">
        <v>1390.08</v>
      </c>
      <c r="B493" s="628">
        <v>4</v>
      </c>
      <c r="C493" s="629" t="s">
        <v>13221</v>
      </c>
      <c r="D493" s="628">
        <f>VLOOKUP(C493,ORC.AUXILIAR!I:J,2,0)</f>
        <v>0</v>
      </c>
      <c r="G493" s="636">
        <f t="shared" si="42"/>
        <v>0</v>
      </c>
      <c r="H493" s="636" t="str">
        <f t="shared" si="43"/>
        <v>RE.RPVC.22</v>
      </c>
      <c r="I493" s="637" t="str">
        <f>VLOOKUP(H493,ORC.AUXILIAR!I:P,4,0)</f>
        <v>pç</v>
      </c>
      <c r="J493" s="636">
        <f>VLOOKUP(H493,ORC.AUXILIAR!I:P,5,0)</f>
        <v>4</v>
      </c>
      <c r="K493" s="638">
        <f t="shared" si="44"/>
        <v>4</v>
      </c>
      <c r="L493" s="639">
        <f>VLOOKUP(H493,ORC.AUXILIAR!I:P,7,0)</f>
        <v>347.52</v>
      </c>
      <c r="M493" s="639">
        <f>VLOOKUP(H493,ORC.AUXILIAR!I:P,8,0)</f>
        <v>1390.08</v>
      </c>
      <c r="N493" s="639">
        <f t="shared" si="46"/>
        <v>5560.32</v>
      </c>
      <c r="O493" s="639">
        <f t="shared" si="47"/>
        <v>10243552848.04557</v>
      </c>
      <c r="P493" s="640">
        <f t="shared" si="45"/>
        <v>0.99850640826957227</v>
      </c>
    </row>
    <row r="494" spans="1:16">
      <c r="A494" s="627">
        <v>1383.6000000000001</v>
      </c>
      <c r="B494" s="628">
        <v>10</v>
      </c>
      <c r="C494" s="629" t="s">
        <v>12752</v>
      </c>
      <c r="D494" s="628">
        <f>VLOOKUP(C494,ORC.AUXILIAR!I:J,2,0)</f>
        <v>0</v>
      </c>
      <c r="G494" s="636">
        <f t="shared" si="42"/>
        <v>0</v>
      </c>
      <c r="H494" s="636" t="str">
        <f t="shared" si="43"/>
        <v>RE.AI.29</v>
      </c>
      <c r="I494" s="637" t="str">
        <f>VLOOKUP(H494,ORC.AUXILIAR!I:P,4,0)</f>
        <v>m</v>
      </c>
      <c r="J494" s="636">
        <f>VLOOKUP(H494,ORC.AUXILIAR!I:P,5,0)</f>
        <v>10</v>
      </c>
      <c r="K494" s="638">
        <f t="shared" si="44"/>
        <v>10</v>
      </c>
      <c r="L494" s="639">
        <f>VLOOKUP(H494,ORC.AUXILIAR!I:P,7,0)</f>
        <v>138.36000000000001</v>
      </c>
      <c r="M494" s="639">
        <f>VLOOKUP(H494,ORC.AUXILIAR!I:P,8,0)</f>
        <v>1383.6</v>
      </c>
      <c r="N494" s="639">
        <f t="shared" si="46"/>
        <v>13836</v>
      </c>
      <c r="O494" s="639">
        <f t="shared" si="47"/>
        <v>10243566684.04557</v>
      </c>
      <c r="P494" s="640">
        <f t="shared" si="45"/>
        <v>0.99850775695541105</v>
      </c>
    </row>
    <row r="495" spans="1:16">
      <c r="A495" s="627">
        <v>1378</v>
      </c>
      <c r="B495" s="628">
        <v>130</v>
      </c>
      <c r="C495" s="629" t="s">
        <v>13702</v>
      </c>
      <c r="D495" s="628">
        <f>VLOOKUP(C495,ORC.AUXILIAR!I:J,2,0)</f>
        <v>0</v>
      </c>
      <c r="G495" s="636">
        <f t="shared" si="42"/>
        <v>0</v>
      </c>
      <c r="H495" s="636" t="str">
        <f t="shared" si="43"/>
        <v>QCM.EEE.12</v>
      </c>
      <c r="I495" s="637" t="str">
        <f>VLOOKUP(H495,ORC.AUXILIAR!I:P,4,0)</f>
        <v>Um</v>
      </c>
      <c r="J495" s="636">
        <f>VLOOKUP(H495,ORC.AUXILIAR!I:P,5,0)</f>
        <v>130</v>
      </c>
      <c r="K495" s="638">
        <f t="shared" si="44"/>
        <v>130</v>
      </c>
      <c r="L495" s="639">
        <f>VLOOKUP(H495,ORC.AUXILIAR!I:P,7,0)</f>
        <v>10.6</v>
      </c>
      <c r="M495" s="639">
        <f>VLOOKUP(H495,ORC.AUXILIAR!I:P,8,0)</f>
        <v>1378</v>
      </c>
      <c r="N495" s="639">
        <f t="shared" si="46"/>
        <v>179140</v>
      </c>
      <c r="O495" s="639">
        <f t="shared" si="47"/>
        <v>10243745824.04557</v>
      </c>
      <c r="P495" s="640">
        <f t="shared" si="45"/>
        <v>0.9985252189083712</v>
      </c>
    </row>
    <row r="496" spans="1:16">
      <c r="A496" s="627">
        <v>1376</v>
      </c>
      <c r="B496" s="628">
        <v>3200</v>
      </c>
      <c r="C496" s="629" t="s">
        <v>13097</v>
      </c>
      <c r="D496" s="628">
        <f>VLOOKUP(C496,ORC.AUXILIAR!I:J,2,0)</f>
        <v>0</v>
      </c>
      <c r="G496" s="636">
        <f t="shared" si="42"/>
        <v>0</v>
      </c>
      <c r="H496" s="636" t="str">
        <f t="shared" si="43"/>
        <v>REATOR.FB.08</v>
      </c>
      <c r="I496" s="637" t="str">
        <f>VLOOKUP(H496,ORC.AUXILIAR!I:P,4,0)</f>
        <v>pç</v>
      </c>
      <c r="J496" s="636">
        <f>VLOOKUP(H496,ORC.AUXILIAR!I:P,5,0)</f>
        <v>3200</v>
      </c>
      <c r="K496" s="638">
        <f t="shared" si="44"/>
        <v>3200</v>
      </c>
      <c r="L496" s="639">
        <f>VLOOKUP(H496,ORC.AUXILIAR!I:P,7,0)</f>
        <v>0.43</v>
      </c>
      <c r="M496" s="639">
        <f>VLOOKUP(H496,ORC.AUXILIAR!I:P,8,0)</f>
        <v>1376</v>
      </c>
      <c r="N496" s="639">
        <f t="shared" si="46"/>
        <v>4403200</v>
      </c>
      <c r="O496" s="639">
        <f t="shared" si="47"/>
        <v>10248149024.04557</v>
      </c>
      <c r="P496" s="640">
        <f t="shared" si="45"/>
        <v>0.99895442774656562</v>
      </c>
    </row>
    <row r="497" spans="1:16">
      <c r="A497" s="627">
        <v>1363.2948000000001</v>
      </c>
      <c r="B497" s="628">
        <v>3.78</v>
      </c>
      <c r="C497" s="629" t="s">
        <v>15767</v>
      </c>
      <c r="D497" s="628">
        <f>VLOOKUP(C497,ORC.AUXILIAR!I:J,2,0)</f>
        <v>0</v>
      </c>
      <c r="G497" s="636">
        <f t="shared" si="42"/>
        <v>0</v>
      </c>
      <c r="H497" s="636" t="str">
        <f t="shared" si="43"/>
        <v>73843/1</v>
      </c>
      <c r="I497" s="637" t="str">
        <f>VLOOKUP(H497,ORC.AUXILIAR!I:P,4,0)</f>
        <v>M3</v>
      </c>
      <c r="J497" s="636">
        <f>VLOOKUP(H497,ORC.AUXILIAR!I:P,5,0)</f>
        <v>3.78</v>
      </c>
      <c r="K497" s="638">
        <f t="shared" si="44"/>
        <v>3.78</v>
      </c>
      <c r="L497" s="639">
        <f>VLOOKUP(H497,ORC.AUXILIAR!I:P,7,0)</f>
        <v>360.66</v>
      </c>
      <c r="M497" s="639">
        <f>VLOOKUP(H497,ORC.AUXILIAR!I:P,8,0)</f>
        <v>1363.29</v>
      </c>
      <c r="N497" s="639">
        <f t="shared" si="46"/>
        <v>5153.2361999999994</v>
      </c>
      <c r="O497" s="639">
        <f t="shared" si="47"/>
        <v>10248154177.281771</v>
      </c>
      <c r="P497" s="640">
        <f t="shared" si="45"/>
        <v>0.99895493006636082</v>
      </c>
    </row>
    <row r="498" spans="1:16">
      <c r="A498" s="627">
        <v>1356.8000000000002</v>
      </c>
      <c r="B498" s="628">
        <v>2560</v>
      </c>
      <c r="C498" s="629" t="s">
        <v>14384</v>
      </c>
      <c r="D498" s="628">
        <f>VLOOKUP(C498,ORC.AUXILIAR!I:J,2,0)</f>
        <v>0</v>
      </c>
      <c r="G498" s="636">
        <f t="shared" si="42"/>
        <v>0</v>
      </c>
      <c r="H498" s="636" t="str">
        <f t="shared" si="43"/>
        <v>REATOR.FB.26</v>
      </c>
      <c r="I498" s="637" t="str">
        <f>VLOOKUP(H498,ORC.AUXILIAR!I:P,4,0)</f>
        <v>pç</v>
      </c>
      <c r="J498" s="636">
        <f>VLOOKUP(H498,ORC.AUXILIAR!I:P,5,0)</f>
        <v>2560</v>
      </c>
      <c r="K498" s="638">
        <f t="shared" si="44"/>
        <v>2560</v>
      </c>
      <c r="L498" s="639">
        <f>VLOOKUP(H498,ORC.AUXILIAR!I:P,7,0)</f>
        <v>0.53</v>
      </c>
      <c r="M498" s="639">
        <f>VLOOKUP(H498,ORC.AUXILIAR!I:P,8,0)</f>
        <v>1356.8</v>
      </c>
      <c r="N498" s="639">
        <f t="shared" si="46"/>
        <v>3473408</v>
      </c>
      <c r="O498" s="639">
        <f t="shared" si="47"/>
        <v>10251627585.281771</v>
      </c>
      <c r="P498" s="640">
        <f t="shared" si="45"/>
        <v>0.99929350596848998</v>
      </c>
    </row>
    <row r="499" spans="1:16">
      <c r="A499" s="627">
        <v>1341.8</v>
      </c>
      <c r="B499" s="628">
        <v>4</v>
      </c>
      <c r="C499" s="629" t="s">
        <v>12714</v>
      </c>
      <c r="D499" s="628">
        <f>VLOOKUP(C499,ORC.AUXILIAR!I:J,2,0)</f>
        <v>0</v>
      </c>
      <c r="G499" s="636">
        <f t="shared" si="42"/>
        <v>0</v>
      </c>
      <c r="H499" s="636" t="str">
        <f t="shared" si="43"/>
        <v>RE.AI.10</v>
      </c>
      <c r="I499" s="637" t="str">
        <f>VLOOKUP(H499,ORC.AUXILIAR!I:P,4,0)</f>
        <v>pç</v>
      </c>
      <c r="J499" s="636">
        <f>VLOOKUP(H499,ORC.AUXILIAR!I:P,5,0)</f>
        <v>4</v>
      </c>
      <c r="K499" s="638">
        <f t="shared" si="44"/>
        <v>4</v>
      </c>
      <c r="L499" s="639">
        <f>VLOOKUP(H499,ORC.AUXILIAR!I:P,7,0)</f>
        <v>335.45</v>
      </c>
      <c r="M499" s="639">
        <f>VLOOKUP(H499,ORC.AUXILIAR!I:P,8,0)</f>
        <v>1341.8</v>
      </c>
      <c r="N499" s="639">
        <f t="shared" si="46"/>
        <v>5367.2</v>
      </c>
      <c r="O499" s="639">
        <f t="shared" si="47"/>
        <v>10251632952.481771</v>
      </c>
      <c r="P499" s="640">
        <f t="shared" si="45"/>
        <v>0.99929402914474297</v>
      </c>
    </row>
    <row r="500" spans="1:16">
      <c r="A500" s="627">
        <v>1338.1</v>
      </c>
      <c r="B500" s="628">
        <v>1</v>
      </c>
      <c r="C500" s="629">
        <v>39693</v>
      </c>
      <c r="D500" s="628">
        <f>VLOOKUP(C500,ORC.AUXILIAR!I:J,2,0)</f>
        <v>0</v>
      </c>
      <c r="G500" s="636">
        <f t="shared" si="42"/>
        <v>0</v>
      </c>
      <c r="H500" s="636">
        <f t="shared" si="43"/>
        <v>39693</v>
      </c>
      <c r="I500" s="637" t="str">
        <f>VLOOKUP(H500,ORC.AUXILIAR!I:P,4,0)</f>
        <v>un</v>
      </c>
      <c r="J500" s="636">
        <f>VLOOKUP(H500,ORC.AUXILIAR!I:P,5,0)</f>
        <v>1</v>
      </c>
      <c r="K500" s="638">
        <f t="shared" si="44"/>
        <v>1</v>
      </c>
      <c r="L500" s="639">
        <f>VLOOKUP(H500,ORC.AUXILIAR!I:P,7,0)</f>
        <v>1338.1</v>
      </c>
      <c r="M500" s="639">
        <f>VLOOKUP(H500,ORC.AUXILIAR!I:P,8,0)</f>
        <v>1338.1</v>
      </c>
      <c r="N500" s="639">
        <f t="shared" si="46"/>
        <v>1338.1</v>
      </c>
      <c r="O500" s="639">
        <f t="shared" si="47"/>
        <v>10251634290.581772</v>
      </c>
      <c r="P500" s="640">
        <f t="shared" si="45"/>
        <v>0.99929415957814283</v>
      </c>
    </row>
    <row r="501" spans="1:16">
      <c r="A501" s="627">
        <v>1315.2</v>
      </c>
      <c r="B501" s="628">
        <v>120</v>
      </c>
      <c r="C501" s="629">
        <v>89501</v>
      </c>
      <c r="D501" s="628">
        <f>VLOOKUP(C501,ORC.AUXILIAR!I:J,2,0)</f>
        <v>0</v>
      </c>
      <c r="G501" s="636">
        <f t="shared" si="42"/>
        <v>0</v>
      </c>
      <c r="H501" s="636">
        <f t="shared" si="43"/>
        <v>89501</v>
      </c>
      <c r="I501" s="637" t="str">
        <f>VLOOKUP(H501,ORC.AUXILIAR!I:P,4,0)</f>
        <v>pç</v>
      </c>
      <c r="J501" s="636">
        <f>VLOOKUP(H501,ORC.AUXILIAR!I:P,5,0)</f>
        <v>120</v>
      </c>
      <c r="K501" s="638">
        <f t="shared" si="44"/>
        <v>120</v>
      </c>
      <c r="L501" s="639">
        <f>VLOOKUP(H501,ORC.AUXILIAR!I:P,7,0)</f>
        <v>10.96</v>
      </c>
      <c r="M501" s="639">
        <f>VLOOKUP(H501,ORC.AUXILIAR!I:P,8,0)</f>
        <v>1315.2</v>
      </c>
      <c r="N501" s="639">
        <f t="shared" si="46"/>
        <v>157824</v>
      </c>
      <c r="O501" s="639">
        <f t="shared" si="47"/>
        <v>10251792114.581772</v>
      </c>
      <c r="P501" s="640">
        <f t="shared" si="45"/>
        <v>0.99930954372051184</v>
      </c>
    </row>
    <row r="502" spans="1:16">
      <c r="A502" s="627">
        <v>1311.52</v>
      </c>
      <c r="B502" s="628">
        <v>14</v>
      </c>
      <c r="C502" s="629" t="s">
        <v>13685</v>
      </c>
      <c r="D502" s="628">
        <f>VLOOKUP(C502,ORC.AUXILIAR!I:J,2,0)</f>
        <v>0</v>
      </c>
      <c r="G502" s="636">
        <f t="shared" si="42"/>
        <v>0</v>
      </c>
      <c r="H502" s="636" t="str">
        <f t="shared" si="43"/>
        <v>QCM.EEE.02</v>
      </c>
      <c r="I502" s="637" t="str">
        <f>VLOOKUP(H502,ORC.AUXILIAR!I:P,4,0)</f>
        <v>Un</v>
      </c>
      <c r="J502" s="636">
        <f>VLOOKUP(H502,ORC.AUXILIAR!I:P,5,0)</f>
        <v>14</v>
      </c>
      <c r="K502" s="638">
        <f t="shared" si="44"/>
        <v>14</v>
      </c>
      <c r="L502" s="639">
        <f>VLOOKUP(H502,ORC.AUXILIAR!I:P,7,0)</f>
        <v>93.68</v>
      </c>
      <c r="M502" s="639">
        <f>VLOOKUP(H502,ORC.AUXILIAR!I:P,8,0)</f>
        <v>1311.52</v>
      </c>
      <c r="N502" s="639">
        <f t="shared" si="46"/>
        <v>18361.28</v>
      </c>
      <c r="O502" s="639">
        <f t="shared" si="47"/>
        <v>10251810475.861773</v>
      </c>
      <c r="P502" s="640">
        <f t="shared" si="45"/>
        <v>0.99931133351512869</v>
      </c>
    </row>
    <row r="503" spans="1:16">
      <c r="A503" s="627">
        <v>1291.0899999999999</v>
      </c>
      <c r="B503" s="628">
        <v>47</v>
      </c>
      <c r="C503" s="629" t="s">
        <v>14693</v>
      </c>
      <c r="D503" s="628">
        <f>VLOOKUP(C503,ORC.AUXILIAR!I:J,2,0)</f>
        <v>0</v>
      </c>
      <c r="G503" s="636">
        <f t="shared" si="42"/>
        <v>0</v>
      </c>
      <c r="H503" s="636" t="str">
        <f t="shared" si="43"/>
        <v>73887/11</v>
      </c>
      <c r="I503" s="637" t="str">
        <f>VLOOKUP(H503,ORC.AUXILIAR!I:P,4,0)</f>
        <v>M</v>
      </c>
      <c r="J503" s="636">
        <f>VLOOKUP(H503,ORC.AUXILIAR!I:P,5,0)</f>
        <v>47</v>
      </c>
      <c r="K503" s="638">
        <f t="shared" si="44"/>
        <v>47</v>
      </c>
      <c r="L503" s="639">
        <f>VLOOKUP(H503,ORC.AUXILIAR!I:P,7,0)</f>
        <v>27.47</v>
      </c>
      <c r="M503" s="639">
        <f>VLOOKUP(H503,ORC.AUXILIAR!I:P,8,0)</f>
        <v>1291.0899999999999</v>
      </c>
      <c r="N503" s="639">
        <f t="shared" si="46"/>
        <v>60681.229999999996</v>
      </c>
      <c r="O503" s="639">
        <f t="shared" si="47"/>
        <v>10251871157.091772</v>
      </c>
      <c r="P503" s="640">
        <f t="shared" si="45"/>
        <v>0.99931724851336368</v>
      </c>
    </row>
    <row r="504" spans="1:16">
      <c r="A504" s="627">
        <v>1282.4000000000001</v>
      </c>
      <c r="B504" s="628">
        <v>4</v>
      </c>
      <c r="C504" s="629" t="s">
        <v>14514</v>
      </c>
      <c r="D504" s="628">
        <f>VLOOKUP(C504,ORC.AUXILIAR!I:J,2,0)</f>
        <v>0</v>
      </c>
      <c r="G504" s="636">
        <f t="shared" si="42"/>
        <v>0</v>
      </c>
      <c r="H504" s="636" t="str">
        <f t="shared" si="43"/>
        <v>REATOR.AI.51</v>
      </c>
      <c r="I504" s="637" t="str">
        <f>VLOOKUP(H504,ORC.AUXILIAR!I:P,4,0)</f>
        <v>un</v>
      </c>
      <c r="J504" s="636">
        <f>VLOOKUP(H504,ORC.AUXILIAR!I:P,5,0)</f>
        <v>4</v>
      </c>
      <c r="K504" s="638">
        <f t="shared" si="44"/>
        <v>4</v>
      </c>
      <c r="L504" s="639">
        <f>VLOOKUP(H504,ORC.AUXILIAR!I:P,7,0)</f>
        <v>320.60000000000002</v>
      </c>
      <c r="M504" s="639">
        <f>VLOOKUP(H504,ORC.AUXILIAR!I:P,8,0)</f>
        <v>1282.4000000000001</v>
      </c>
      <c r="N504" s="639">
        <f t="shared" si="46"/>
        <v>5129.6000000000004</v>
      </c>
      <c r="O504" s="639">
        <f t="shared" si="47"/>
        <v>10251876286.691772</v>
      </c>
      <c r="P504" s="640">
        <f t="shared" si="45"/>
        <v>0.9993177485291832</v>
      </c>
    </row>
    <row r="505" spans="1:16">
      <c r="A505" s="627">
        <v>1265.76</v>
      </c>
      <c r="B505" s="628">
        <v>12</v>
      </c>
      <c r="C505" s="629" t="s">
        <v>13628</v>
      </c>
      <c r="D505" s="628">
        <f>VLOOKUP(C505,ORC.AUXILIAR!I:J,2,0)</f>
        <v>0</v>
      </c>
      <c r="G505" s="636">
        <f t="shared" si="42"/>
        <v>0</v>
      </c>
      <c r="H505" s="636" t="str">
        <f t="shared" si="43"/>
        <v>SUB.03</v>
      </c>
      <c r="I505" s="637" t="str">
        <f>VLOOKUP(H505,ORC.AUXILIAR!I:P,4,0)</f>
        <v>un</v>
      </c>
      <c r="J505" s="636">
        <f>VLOOKUP(H505,ORC.AUXILIAR!I:P,5,0)</f>
        <v>12</v>
      </c>
      <c r="K505" s="638">
        <f t="shared" si="44"/>
        <v>12</v>
      </c>
      <c r="L505" s="639">
        <f>VLOOKUP(H505,ORC.AUXILIAR!I:P,7,0)</f>
        <v>105.48</v>
      </c>
      <c r="M505" s="639">
        <f>VLOOKUP(H505,ORC.AUXILIAR!I:P,8,0)</f>
        <v>1265.76</v>
      </c>
      <c r="N505" s="639">
        <f t="shared" si="46"/>
        <v>15189.119999999999</v>
      </c>
      <c r="O505" s="639">
        <f t="shared" si="47"/>
        <v>10251891475.811773</v>
      </c>
      <c r="P505" s="640">
        <f t="shared" si="45"/>
        <v>0.99931922911252002</v>
      </c>
    </row>
    <row r="506" spans="1:16">
      <c r="A506" s="627">
        <v>1265.25</v>
      </c>
      <c r="B506" s="628">
        <v>75</v>
      </c>
      <c r="C506" s="629">
        <v>95750</v>
      </c>
      <c r="D506" s="628">
        <f>VLOOKUP(C506,ORC.AUXILIAR!I:J,2,0)</f>
        <v>0</v>
      </c>
      <c r="G506" s="636">
        <f t="shared" si="42"/>
        <v>0</v>
      </c>
      <c r="H506" s="636">
        <f t="shared" si="43"/>
        <v>95750</v>
      </c>
      <c r="I506" s="637" t="str">
        <f>VLOOKUP(H506,ORC.AUXILIAR!I:P,4,0)</f>
        <v>m</v>
      </c>
      <c r="J506" s="636">
        <f>VLOOKUP(H506,ORC.AUXILIAR!I:P,5,0)</f>
        <v>60</v>
      </c>
      <c r="K506" s="638">
        <f t="shared" si="44"/>
        <v>75</v>
      </c>
      <c r="L506" s="639">
        <f>VLOOKUP(H506,ORC.AUXILIAR!I:P,7,0)</f>
        <v>16.87</v>
      </c>
      <c r="M506" s="639">
        <f>VLOOKUP(H506,ORC.AUXILIAR!I:P,8,0)</f>
        <v>1012.2</v>
      </c>
      <c r="N506" s="639">
        <f t="shared" si="46"/>
        <v>75915</v>
      </c>
      <c r="O506" s="639">
        <f t="shared" si="47"/>
        <v>10251967390.811773</v>
      </c>
      <c r="P506" s="640">
        <f t="shared" si="45"/>
        <v>0.99932662904642078</v>
      </c>
    </row>
    <row r="507" spans="1:16">
      <c r="A507" s="627">
        <v>1261.68</v>
      </c>
      <c r="B507" s="628">
        <v>1</v>
      </c>
      <c r="C507" s="629" t="s">
        <v>12998</v>
      </c>
      <c r="D507" s="628">
        <f>VLOOKUP(C507,ORC.AUXILIAR!I:J,2,0)</f>
        <v>0</v>
      </c>
      <c r="G507" s="636">
        <f t="shared" si="42"/>
        <v>0</v>
      </c>
      <c r="H507" s="636" t="str">
        <f t="shared" si="43"/>
        <v>TP.FºF°.36</v>
      </c>
      <c r="I507" s="637" t="str">
        <f>VLOOKUP(H507,ORC.AUXILIAR!I:P,4,0)</f>
        <v>pç</v>
      </c>
      <c r="J507" s="636">
        <f>VLOOKUP(H507,ORC.AUXILIAR!I:P,5,0)</f>
        <v>1</v>
      </c>
      <c r="K507" s="638">
        <f t="shared" si="44"/>
        <v>1</v>
      </c>
      <c r="L507" s="639">
        <f>VLOOKUP(H507,ORC.AUXILIAR!I:P,7,0)</f>
        <v>1261.68</v>
      </c>
      <c r="M507" s="639">
        <f>VLOOKUP(H507,ORC.AUXILIAR!I:P,8,0)</f>
        <v>1261.68</v>
      </c>
      <c r="N507" s="639">
        <f t="shared" si="46"/>
        <v>1261.68</v>
      </c>
      <c r="O507" s="639">
        <f t="shared" si="47"/>
        <v>10251968652.491774</v>
      </c>
      <c r="P507" s="640">
        <f t="shared" si="45"/>
        <v>0.99932675203066113</v>
      </c>
    </row>
    <row r="508" spans="1:16">
      <c r="A508" s="627">
        <v>1260</v>
      </c>
      <c r="B508" s="628">
        <v>40</v>
      </c>
      <c r="C508" s="629">
        <v>864</v>
      </c>
      <c r="D508" s="628">
        <f>VLOOKUP(C508,ORC.AUXILIAR!I:J,2,0)</f>
        <v>0</v>
      </c>
      <c r="G508" s="636">
        <f t="shared" si="42"/>
        <v>0</v>
      </c>
      <c r="H508" s="636">
        <f t="shared" si="43"/>
        <v>864</v>
      </c>
      <c r="I508" s="637" t="str">
        <f>VLOOKUP(H508,ORC.AUXILIAR!I:P,4,0)</f>
        <v>m</v>
      </c>
      <c r="J508" s="636">
        <f>VLOOKUP(H508,ORC.AUXILIAR!I:P,5,0)</f>
        <v>40</v>
      </c>
      <c r="K508" s="638">
        <f t="shared" si="44"/>
        <v>40</v>
      </c>
      <c r="L508" s="639">
        <f>VLOOKUP(H508,ORC.AUXILIAR!I:P,7,0)</f>
        <v>31.5</v>
      </c>
      <c r="M508" s="639">
        <f>VLOOKUP(H508,ORC.AUXILIAR!I:P,8,0)</f>
        <v>1260</v>
      </c>
      <c r="N508" s="639">
        <f t="shared" si="46"/>
        <v>50400</v>
      </c>
      <c r="O508" s="639">
        <f t="shared" si="47"/>
        <v>10252019052.491774</v>
      </c>
      <c r="P508" s="640">
        <f t="shared" si="45"/>
        <v>0.99933166484984826</v>
      </c>
    </row>
    <row r="509" spans="1:16">
      <c r="A509" s="627">
        <v>1237.3900000000001</v>
      </c>
      <c r="B509" s="628">
        <v>1</v>
      </c>
      <c r="C509" s="629" t="s">
        <v>13309</v>
      </c>
      <c r="D509" s="628">
        <f>VLOOKUP(C509,ORC.AUXILIAR!I:J,2,0)</f>
        <v>0</v>
      </c>
      <c r="G509" s="636">
        <f t="shared" si="42"/>
        <v>0</v>
      </c>
      <c r="H509" s="636" t="str">
        <f t="shared" si="43"/>
        <v>TB.EQ.06</v>
      </c>
      <c r="I509" s="637" t="str">
        <f>VLOOKUP(H509,ORC.AUXILIAR!I:P,4,0)</f>
        <v>pç</v>
      </c>
      <c r="J509" s="636">
        <f>VLOOKUP(H509,ORC.AUXILIAR!I:P,5,0)</f>
        <v>1</v>
      </c>
      <c r="K509" s="638">
        <f t="shared" si="44"/>
        <v>1</v>
      </c>
      <c r="L509" s="639">
        <f>VLOOKUP(H509,ORC.AUXILIAR!I:P,7,0)</f>
        <v>1237.3900000000001</v>
      </c>
      <c r="M509" s="639">
        <f>VLOOKUP(H509,ORC.AUXILIAR!I:P,8,0)</f>
        <v>1237.3900000000001</v>
      </c>
      <c r="N509" s="639">
        <f t="shared" si="46"/>
        <v>1237.3900000000001</v>
      </c>
      <c r="O509" s="639">
        <f t="shared" si="47"/>
        <v>10252020289.881773</v>
      </c>
      <c r="P509" s="640">
        <f t="shared" si="45"/>
        <v>0.99933178546638257</v>
      </c>
    </row>
    <row r="510" spans="1:16">
      <c r="A510" s="627">
        <v>1226.24</v>
      </c>
      <c r="B510" s="628">
        <v>2</v>
      </c>
      <c r="C510" s="629" t="s">
        <v>13527</v>
      </c>
      <c r="D510" s="628">
        <f>VLOOKUP(C510,ORC.AUXILIAR!I:J,2,0)</f>
        <v>0</v>
      </c>
      <c r="G510" s="636">
        <f t="shared" si="42"/>
        <v>0</v>
      </c>
      <c r="H510" s="636" t="str">
        <f t="shared" si="43"/>
        <v>INST.CASA.CONTR.25</v>
      </c>
      <c r="I510" s="637" t="str">
        <f>VLOOKUP(H510,ORC.AUXILIAR!I:P,4,0)</f>
        <v>um</v>
      </c>
      <c r="J510" s="636">
        <f>VLOOKUP(H510,ORC.AUXILIAR!I:P,5,0)</f>
        <v>2</v>
      </c>
      <c r="K510" s="638">
        <f t="shared" si="44"/>
        <v>2</v>
      </c>
      <c r="L510" s="639">
        <f>VLOOKUP(H510,ORC.AUXILIAR!I:P,7,0)</f>
        <v>613.12</v>
      </c>
      <c r="M510" s="639">
        <f>VLOOKUP(H510,ORC.AUXILIAR!I:P,8,0)</f>
        <v>1226.24</v>
      </c>
      <c r="N510" s="639">
        <f t="shared" si="46"/>
        <v>2452.48</v>
      </c>
      <c r="O510" s="639">
        <f t="shared" si="47"/>
        <v>10252022742.361773</v>
      </c>
      <c r="P510" s="640">
        <f t="shared" si="45"/>
        <v>0.99933202452572378</v>
      </c>
    </row>
    <row r="511" spans="1:16">
      <c r="A511" s="627">
        <v>1216.73</v>
      </c>
      <c r="B511" s="628">
        <v>4.33</v>
      </c>
      <c r="C511" s="629">
        <v>94962</v>
      </c>
      <c r="D511" s="628">
        <f>VLOOKUP(C511,ORC.AUXILIAR!I:J,2,0)</f>
        <v>0</v>
      </c>
      <c r="G511" s="636">
        <f t="shared" si="42"/>
        <v>0</v>
      </c>
      <c r="H511" s="636">
        <f t="shared" si="43"/>
        <v>94962</v>
      </c>
      <c r="I511" s="637" t="str">
        <f>VLOOKUP(H511,ORC.AUXILIAR!I:P,4,0)</f>
        <v>M3</v>
      </c>
      <c r="J511" s="636">
        <f>VLOOKUP(H511,ORC.AUXILIAR!I:P,5,0)</f>
        <v>3.29</v>
      </c>
      <c r="K511" s="638">
        <f t="shared" si="44"/>
        <v>4.33</v>
      </c>
      <c r="L511" s="639">
        <f>VLOOKUP(H511,ORC.AUXILIAR!I:P,7,0)</f>
        <v>281</v>
      </c>
      <c r="M511" s="639">
        <f>VLOOKUP(H511,ORC.AUXILIAR!I:P,8,0)</f>
        <v>924.49</v>
      </c>
      <c r="N511" s="639">
        <f t="shared" si="46"/>
        <v>4003.0417000000002</v>
      </c>
      <c r="O511" s="639">
        <f t="shared" si="47"/>
        <v>10252026745.403473</v>
      </c>
      <c r="P511" s="640">
        <f t="shared" si="45"/>
        <v>0.99933241472850309</v>
      </c>
    </row>
    <row r="512" spans="1:16">
      <c r="A512" s="627">
        <v>1211.07</v>
      </c>
      <c r="B512" s="628">
        <v>21</v>
      </c>
      <c r="C512" s="629" t="s">
        <v>13167</v>
      </c>
      <c r="D512" s="628">
        <f>VLOOKUP(C512,ORC.AUXILIAR!I:J,2,0)</f>
        <v>0</v>
      </c>
      <c r="G512" s="636">
        <f t="shared" si="42"/>
        <v>0</v>
      </c>
      <c r="H512" s="636" t="str">
        <f t="shared" si="43"/>
        <v>TP.AÇO.11</v>
      </c>
      <c r="I512" s="637" t="str">
        <f>VLOOKUP(H512,ORC.AUXILIAR!I:P,4,0)</f>
        <v>m</v>
      </c>
      <c r="J512" s="636">
        <f>VLOOKUP(H512,ORC.AUXILIAR!I:P,5,0)</f>
        <v>21</v>
      </c>
      <c r="K512" s="638">
        <f t="shared" si="44"/>
        <v>21</v>
      </c>
      <c r="L512" s="639">
        <f>VLOOKUP(H512,ORC.AUXILIAR!I:P,7,0)</f>
        <v>57.67</v>
      </c>
      <c r="M512" s="639">
        <f>VLOOKUP(H512,ORC.AUXILIAR!I:P,8,0)</f>
        <v>1211.07</v>
      </c>
      <c r="N512" s="639">
        <f t="shared" si="46"/>
        <v>25432.469999999998</v>
      </c>
      <c r="O512" s="639">
        <f t="shared" si="47"/>
        <v>10252052177.873472</v>
      </c>
      <c r="P512" s="640">
        <f t="shared" si="45"/>
        <v>0.99933489379847507</v>
      </c>
    </row>
    <row r="513" spans="1:16">
      <c r="A513" s="627">
        <v>1205.76</v>
      </c>
      <c r="B513" s="628">
        <v>192</v>
      </c>
      <c r="C513" s="629" t="s">
        <v>12923</v>
      </c>
      <c r="D513" s="628">
        <f>VLOOKUP(C513,ORC.AUXILIAR!I:J,2,0)</f>
        <v>0</v>
      </c>
      <c r="G513" s="636">
        <f t="shared" si="42"/>
        <v>0</v>
      </c>
      <c r="H513" s="636" t="str">
        <f t="shared" si="43"/>
        <v>RE.F°F°.26</v>
      </c>
      <c r="I513" s="637" t="str">
        <f>VLOOKUP(H513,ORC.AUXILIAR!I:P,4,0)</f>
        <v>pç</v>
      </c>
      <c r="J513" s="636">
        <f>VLOOKUP(H513,ORC.AUXILIAR!I:P,5,0)</f>
        <v>192</v>
      </c>
      <c r="K513" s="638">
        <f t="shared" si="44"/>
        <v>192</v>
      </c>
      <c r="L513" s="639">
        <f>VLOOKUP(H513,ORC.AUXILIAR!I:P,7,0)</f>
        <v>6.28</v>
      </c>
      <c r="M513" s="639">
        <f>VLOOKUP(H513,ORC.AUXILIAR!I:P,8,0)</f>
        <v>1205.76</v>
      </c>
      <c r="N513" s="639">
        <f t="shared" si="46"/>
        <v>231505.91999999998</v>
      </c>
      <c r="O513" s="639">
        <f t="shared" si="47"/>
        <v>10252283683.793472</v>
      </c>
      <c r="P513" s="640">
        <f t="shared" si="45"/>
        <v>0.99935746020176319</v>
      </c>
    </row>
    <row r="514" spans="1:16">
      <c r="A514" s="627">
        <v>1198.29</v>
      </c>
      <c r="B514" s="628">
        <v>1</v>
      </c>
      <c r="C514" s="629" t="s">
        <v>13735</v>
      </c>
      <c r="D514" s="628">
        <f>VLOOKUP(C514,ORC.AUXILIAR!I:J,2,0)</f>
        <v>0</v>
      </c>
      <c r="G514" s="636">
        <f t="shared" si="42"/>
        <v>0</v>
      </c>
      <c r="H514" s="636" t="str">
        <f t="shared" si="43"/>
        <v>QCM.EEE.32</v>
      </c>
      <c r="I514" s="637" t="str">
        <f>VLOOKUP(H514,ORC.AUXILIAR!I:P,4,0)</f>
        <v>Un</v>
      </c>
      <c r="J514" s="636">
        <f>VLOOKUP(H514,ORC.AUXILIAR!I:P,5,0)</f>
        <v>1</v>
      </c>
      <c r="K514" s="638">
        <f t="shared" si="44"/>
        <v>1</v>
      </c>
      <c r="L514" s="639">
        <f>VLOOKUP(H514,ORC.AUXILIAR!I:P,7,0)</f>
        <v>1198.29</v>
      </c>
      <c r="M514" s="639">
        <f>VLOOKUP(H514,ORC.AUXILIAR!I:P,8,0)</f>
        <v>1198.29</v>
      </c>
      <c r="N514" s="639">
        <f t="shared" si="46"/>
        <v>1198.29</v>
      </c>
      <c r="O514" s="639">
        <f t="shared" si="47"/>
        <v>10252284882.083473</v>
      </c>
      <c r="P514" s="640">
        <f t="shared" si="45"/>
        <v>0.99935757700696382</v>
      </c>
    </row>
    <row r="515" spans="1:16">
      <c r="A515" s="627">
        <v>1190.52</v>
      </c>
      <c r="B515" s="628">
        <v>18</v>
      </c>
      <c r="C515" s="629" t="s">
        <v>12722</v>
      </c>
      <c r="D515" s="628">
        <f>VLOOKUP(C515,ORC.AUXILIAR!I:J,2,0)</f>
        <v>0</v>
      </c>
      <c r="G515" s="636">
        <f t="shared" si="42"/>
        <v>0</v>
      </c>
      <c r="H515" s="636" t="str">
        <f t="shared" si="43"/>
        <v>RE.AI.14</v>
      </c>
      <c r="I515" s="637" t="str">
        <f>VLOOKUP(H515,ORC.AUXILIAR!I:P,4,0)</f>
        <v>pç</v>
      </c>
      <c r="J515" s="636">
        <f>VLOOKUP(H515,ORC.AUXILIAR!I:P,5,0)</f>
        <v>18</v>
      </c>
      <c r="K515" s="638">
        <f t="shared" si="44"/>
        <v>18</v>
      </c>
      <c r="L515" s="639">
        <f>VLOOKUP(H515,ORC.AUXILIAR!I:P,7,0)</f>
        <v>66.14</v>
      </c>
      <c r="M515" s="639">
        <f>VLOOKUP(H515,ORC.AUXILIAR!I:P,8,0)</f>
        <v>1190.52</v>
      </c>
      <c r="N515" s="639">
        <f t="shared" si="46"/>
        <v>21429.360000000001</v>
      </c>
      <c r="O515" s="639">
        <f t="shared" si="47"/>
        <v>10252306311.443474</v>
      </c>
      <c r="P515" s="640">
        <f t="shared" si="45"/>
        <v>0.99935966586749914</v>
      </c>
    </row>
    <row r="516" spans="1:16">
      <c r="A516" s="627">
        <v>1184.3399999999999</v>
      </c>
      <c r="B516" s="628">
        <v>3</v>
      </c>
      <c r="C516" s="629">
        <v>4273</v>
      </c>
      <c r="D516" s="628">
        <f>VLOOKUP(C516,ORC.AUXILIAR!I:J,2,0)</f>
        <v>0</v>
      </c>
      <c r="G516" s="636">
        <f t="shared" si="42"/>
        <v>0</v>
      </c>
      <c r="H516" s="636">
        <f t="shared" si="43"/>
        <v>4273</v>
      </c>
      <c r="I516" s="637" t="str">
        <f>VLOOKUP(H516,ORC.AUXILIAR!I:P,4,0)</f>
        <v>un</v>
      </c>
      <c r="J516" s="636">
        <f>VLOOKUP(H516,ORC.AUXILIAR!I:P,5,0)</f>
        <v>3</v>
      </c>
      <c r="K516" s="638">
        <f t="shared" si="44"/>
        <v>3</v>
      </c>
      <c r="L516" s="639">
        <f>VLOOKUP(H516,ORC.AUXILIAR!I:P,7,0)</f>
        <v>394.78</v>
      </c>
      <c r="M516" s="639">
        <f>VLOOKUP(H516,ORC.AUXILIAR!I:P,8,0)</f>
        <v>1184.3399999999999</v>
      </c>
      <c r="N516" s="639">
        <f t="shared" si="46"/>
        <v>3553.0199999999995</v>
      </c>
      <c r="O516" s="639">
        <f t="shared" si="47"/>
        <v>10252309864.463474</v>
      </c>
      <c r="P516" s="640">
        <f t="shared" si="45"/>
        <v>0.99936001220370607</v>
      </c>
    </row>
    <row r="517" spans="1:16">
      <c r="A517" s="627">
        <v>1167</v>
      </c>
      <c r="B517" s="628">
        <v>2</v>
      </c>
      <c r="C517" s="629" t="s">
        <v>13151</v>
      </c>
      <c r="D517" s="628">
        <f>VLOOKUP(C517,ORC.AUXILIAR!I:J,2,0)</f>
        <v>0</v>
      </c>
      <c r="G517" s="636">
        <f t="shared" si="42"/>
        <v>0</v>
      </c>
      <c r="H517" s="636" t="str">
        <f t="shared" si="43"/>
        <v>TP.AÇO.03</v>
      </c>
      <c r="I517" s="637" t="str">
        <f>VLOOKUP(H517,ORC.AUXILIAR!I:P,4,0)</f>
        <v>un</v>
      </c>
      <c r="J517" s="636">
        <f>VLOOKUP(H517,ORC.AUXILIAR!I:P,5,0)</f>
        <v>2</v>
      </c>
      <c r="K517" s="638">
        <f t="shared" si="44"/>
        <v>2</v>
      </c>
      <c r="L517" s="639">
        <f>VLOOKUP(H517,ORC.AUXILIAR!I:P,7,0)</f>
        <v>583.5</v>
      </c>
      <c r="M517" s="639">
        <f>VLOOKUP(H517,ORC.AUXILIAR!I:P,8,0)</f>
        <v>1167</v>
      </c>
      <c r="N517" s="639">
        <f t="shared" si="46"/>
        <v>2334</v>
      </c>
      <c r="O517" s="639">
        <f t="shared" si="47"/>
        <v>10252312198.463474</v>
      </c>
      <c r="P517" s="640">
        <f t="shared" si="45"/>
        <v>0.99936023971402321</v>
      </c>
    </row>
    <row r="518" spans="1:16">
      <c r="A518" s="627">
        <v>1167</v>
      </c>
      <c r="B518" s="628">
        <v>2</v>
      </c>
      <c r="C518" s="629" t="s">
        <v>13153</v>
      </c>
      <c r="D518" s="628">
        <f>VLOOKUP(C518,ORC.AUXILIAR!I:J,2,0)</f>
        <v>0</v>
      </c>
      <c r="G518" s="636">
        <f t="shared" ref="G518:G581" si="48">D518</f>
        <v>0</v>
      </c>
      <c r="H518" s="636" t="str">
        <f t="shared" ref="H518:H581" si="49">C518</f>
        <v>TP.AÇO.04</v>
      </c>
      <c r="I518" s="637" t="str">
        <f>VLOOKUP(H518,ORC.AUXILIAR!I:P,4,0)</f>
        <v>un</v>
      </c>
      <c r="J518" s="636">
        <f>VLOOKUP(H518,ORC.AUXILIAR!I:P,5,0)</f>
        <v>2</v>
      </c>
      <c r="K518" s="638">
        <f t="shared" ref="K518:K581" si="50">B518</f>
        <v>2</v>
      </c>
      <c r="L518" s="639">
        <f>VLOOKUP(H518,ORC.AUXILIAR!I:P,7,0)</f>
        <v>583.5</v>
      </c>
      <c r="M518" s="639">
        <f>VLOOKUP(H518,ORC.AUXILIAR!I:P,8,0)</f>
        <v>1167</v>
      </c>
      <c r="N518" s="639">
        <f t="shared" si="46"/>
        <v>2334</v>
      </c>
      <c r="O518" s="639">
        <f t="shared" si="47"/>
        <v>10252314532.463474</v>
      </c>
      <c r="P518" s="640">
        <f t="shared" ref="P518:P581" si="51">O518/N$4</f>
        <v>0.99936046722434035</v>
      </c>
    </row>
    <row r="519" spans="1:16">
      <c r="A519" s="627">
        <v>1159.1999999999998</v>
      </c>
      <c r="B519" s="628">
        <v>280</v>
      </c>
      <c r="C519" s="629">
        <v>73507</v>
      </c>
      <c r="D519" s="628">
        <f>VLOOKUP(C519,ORC.AUXILIAR!I:J,2,0)</f>
        <v>0</v>
      </c>
      <c r="G519" s="636">
        <f t="shared" si="48"/>
        <v>0</v>
      </c>
      <c r="H519" s="636">
        <f t="shared" si="49"/>
        <v>73507</v>
      </c>
      <c r="I519" s="637" t="str">
        <f>VLOOKUP(H519,ORC.AUXILIAR!I:P,4,0)</f>
        <v>M</v>
      </c>
      <c r="J519" s="636">
        <f>VLOOKUP(H519,ORC.AUXILIAR!I:P,5,0)</f>
        <v>280</v>
      </c>
      <c r="K519" s="638">
        <f t="shared" si="50"/>
        <v>280</v>
      </c>
      <c r="L519" s="639">
        <f>VLOOKUP(H519,ORC.AUXILIAR!I:P,7,0)</f>
        <v>4.1399999999999997</v>
      </c>
      <c r="M519" s="639">
        <f>VLOOKUP(H519,ORC.AUXILIAR!I:P,8,0)</f>
        <v>1159.2</v>
      </c>
      <c r="N519" s="639">
        <f t="shared" ref="N519:N582" si="52">K519*M519</f>
        <v>324576</v>
      </c>
      <c r="O519" s="639">
        <f t="shared" ref="O519:O582" si="53">N519+O518</f>
        <v>10252639108.463474</v>
      </c>
      <c r="P519" s="640">
        <f t="shared" si="51"/>
        <v>0.99939210577990578</v>
      </c>
    </row>
    <row r="520" spans="1:16">
      <c r="A520" s="627">
        <v>1157.8912</v>
      </c>
      <c r="B520" s="628">
        <v>38.96</v>
      </c>
      <c r="C520" s="629">
        <v>1418</v>
      </c>
      <c r="D520" s="628">
        <f>VLOOKUP(C520,ORC.AUXILIAR!I:J,2,0)</f>
        <v>0</v>
      </c>
      <c r="G520" s="636">
        <f t="shared" si="48"/>
        <v>0</v>
      </c>
      <c r="H520" s="636">
        <f t="shared" si="49"/>
        <v>1418</v>
      </c>
      <c r="I520" s="637" t="str">
        <f>VLOOKUP(H520,ORC.AUXILIAR!I:P,4,0)</f>
        <v>M3</v>
      </c>
      <c r="J520" s="636">
        <f>VLOOKUP(H520,ORC.AUXILIAR!I:P,5,0)</f>
        <v>0</v>
      </c>
      <c r="K520" s="638">
        <f t="shared" si="50"/>
        <v>38.96</v>
      </c>
      <c r="L520" s="639">
        <f>VLOOKUP(H520,ORC.AUXILIAR!I:P,7,0)</f>
        <v>29.72</v>
      </c>
      <c r="M520" s="639">
        <f>VLOOKUP(H520,ORC.AUXILIAR!I:P,8,0)</f>
        <v>0</v>
      </c>
      <c r="N520" s="639">
        <f t="shared" si="52"/>
        <v>0</v>
      </c>
      <c r="O520" s="639">
        <f t="shared" si="53"/>
        <v>10252639108.463474</v>
      </c>
      <c r="P520" s="640">
        <f t="shared" si="51"/>
        <v>0.99939210577990578</v>
      </c>
    </row>
    <row r="521" spans="1:16">
      <c r="A521" s="627">
        <v>1157.2</v>
      </c>
      <c r="B521" s="628">
        <v>11</v>
      </c>
      <c r="C521" s="629">
        <v>7740</v>
      </c>
      <c r="D521" s="628">
        <f>VLOOKUP(C521,ORC.AUXILIAR!I:J,2,0)</f>
        <v>0</v>
      </c>
      <c r="G521" s="636">
        <f t="shared" si="48"/>
        <v>0</v>
      </c>
      <c r="H521" s="636">
        <f t="shared" si="49"/>
        <v>7740</v>
      </c>
      <c r="I521" s="637" t="str">
        <f>VLOOKUP(H521,ORC.AUXILIAR!I:P,4,0)</f>
        <v>m</v>
      </c>
      <c r="J521" s="636">
        <f>VLOOKUP(H521,ORC.AUXILIAR!I:P,5,0)</f>
        <v>11</v>
      </c>
      <c r="K521" s="638">
        <f t="shared" si="50"/>
        <v>11</v>
      </c>
      <c r="L521" s="639">
        <f>VLOOKUP(H521,ORC.AUXILIAR!I:P,7,0)</f>
        <v>105.2</v>
      </c>
      <c r="M521" s="639">
        <f>VLOOKUP(H521,ORC.AUXILIAR!I:P,8,0)</f>
        <v>1157.2</v>
      </c>
      <c r="N521" s="639">
        <f t="shared" si="52"/>
        <v>12729.2</v>
      </c>
      <c r="O521" s="639">
        <f t="shared" si="53"/>
        <v>10252651837.663475</v>
      </c>
      <c r="P521" s="640">
        <f t="shared" si="51"/>
        <v>0.99939334657867562</v>
      </c>
    </row>
    <row r="522" spans="1:16">
      <c r="A522" s="627">
        <v>1138.428240868752</v>
      </c>
      <c r="B522" s="628">
        <v>19.453660985453723</v>
      </c>
      <c r="C522" s="629">
        <v>176</v>
      </c>
      <c r="D522" s="628">
        <f>VLOOKUP(C522,ORC.AUXILIAR!I:J,2,0)</f>
        <v>0</v>
      </c>
      <c r="G522" s="636">
        <f t="shared" si="48"/>
        <v>0</v>
      </c>
      <c r="H522" s="636">
        <f t="shared" si="49"/>
        <v>176</v>
      </c>
      <c r="I522" s="637" t="str">
        <f>VLOOKUP(H522,ORC.AUXILIAR!I:P,4,0)</f>
        <v>M3</v>
      </c>
      <c r="J522" s="636">
        <f>VLOOKUP(H522,ORC.AUXILIAR!I:P,5,0)</f>
        <v>0</v>
      </c>
      <c r="K522" s="638">
        <f t="shared" si="50"/>
        <v>19.453660985453723</v>
      </c>
      <c r="L522" s="639">
        <f>VLOOKUP(H522,ORC.AUXILIAR!I:P,7,0)</f>
        <v>58.52</v>
      </c>
      <c r="M522" s="639">
        <f>VLOOKUP(H522,ORC.AUXILIAR!I:P,8,0)</f>
        <v>0</v>
      </c>
      <c r="N522" s="639">
        <f t="shared" si="52"/>
        <v>0</v>
      </c>
      <c r="O522" s="639">
        <f t="shared" si="53"/>
        <v>10252651837.663475</v>
      </c>
      <c r="P522" s="640">
        <f t="shared" si="51"/>
        <v>0.99939334657867562</v>
      </c>
    </row>
    <row r="523" spans="1:16">
      <c r="A523" s="627">
        <v>1129.5</v>
      </c>
      <c r="B523" s="628">
        <v>150</v>
      </c>
      <c r="C523" s="629">
        <v>857</v>
      </c>
      <c r="D523" s="628">
        <f>VLOOKUP(C523,ORC.AUXILIAR!I:J,2,0)</f>
        <v>0</v>
      </c>
      <c r="G523" s="636">
        <f t="shared" si="48"/>
        <v>0</v>
      </c>
      <c r="H523" s="636">
        <f t="shared" si="49"/>
        <v>857</v>
      </c>
      <c r="I523" s="637" t="str">
        <f>VLOOKUP(H523,ORC.AUXILIAR!I:P,4,0)</f>
        <v>m</v>
      </c>
      <c r="J523" s="636">
        <f>VLOOKUP(H523,ORC.AUXILIAR!I:P,5,0)</f>
        <v>150</v>
      </c>
      <c r="K523" s="638">
        <f t="shared" si="50"/>
        <v>150</v>
      </c>
      <c r="L523" s="639">
        <f>VLOOKUP(H523,ORC.AUXILIAR!I:P,7,0)</f>
        <v>7.53</v>
      </c>
      <c r="M523" s="639">
        <f>VLOOKUP(H523,ORC.AUXILIAR!I:P,8,0)</f>
        <v>1129.5</v>
      </c>
      <c r="N523" s="639">
        <f t="shared" si="52"/>
        <v>169425</v>
      </c>
      <c r="O523" s="639">
        <f t="shared" si="53"/>
        <v>10252821262.663475</v>
      </c>
      <c r="P523" s="640">
        <f t="shared" si="51"/>
        <v>0.99940986154674682</v>
      </c>
    </row>
    <row r="524" spans="1:16">
      <c r="A524" s="627">
        <v>1129.08</v>
      </c>
      <c r="B524" s="628">
        <v>4</v>
      </c>
      <c r="C524" s="629" t="s">
        <v>13671</v>
      </c>
      <c r="D524" s="628">
        <f>VLOOKUP(C524,ORC.AUXILIAR!I:J,2,0)</f>
        <v>0</v>
      </c>
      <c r="G524" s="636">
        <f t="shared" si="48"/>
        <v>0</v>
      </c>
      <c r="H524" s="636" t="str">
        <f t="shared" si="49"/>
        <v>SUB.28</v>
      </c>
      <c r="I524" s="637" t="str">
        <f>VLOOKUP(H524,ORC.AUXILIAR!I:P,4,0)</f>
        <v>un</v>
      </c>
      <c r="J524" s="636">
        <f>VLOOKUP(H524,ORC.AUXILIAR!I:P,5,0)</f>
        <v>4</v>
      </c>
      <c r="K524" s="638">
        <f t="shared" si="50"/>
        <v>4</v>
      </c>
      <c r="L524" s="639">
        <f>VLOOKUP(H524,ORC.AUXILIAR!I:P,7,0)</f>
        <v>282.27</v>
      </c>
      <c r="M524" s="639">
        <f>VLOOKUP(H524,ORC.AUXILIAR!I:P,8,0)</f>
        <v>1129.08</v>
      </c>
      <c r="N524" s="639">
        <f t="shared" si="52"/>
        <v>4516.32</v>
      </c>
      <c r="O524" s="639">
        <f t="shared" si="53"/>
        <v>10252825778.983475</v>
      </c>
      <c r="P524" s="640">
        <f t="shared" si="51"/>
        <v>0.99941030178213475</v>
      </c>
    </row>
    <row r="525" spans="1:16">
      <c r="A525" s="627">
        <v>1127.1600000000001</v>
      </c>
      <c r="B525" s="628">
        <v>3</v>
      </c>
      <c r="C525" s="629" t="s">
        <v>13633</v>
      </c>
      <c r="D525" s="628">
        <f>VLOOKUP(C525,ORC.AUXILIAR!I:J,2,0)</f>
        <v>0</v>
      </c>
      <c r="G525" s="636">
        <f t="shared" si="48"/>
        <v>0</v>
      </c>
      <c r="H525" s="636" t="str">
        <f t="shared" si="49"/>
        <v>SUB.06</v>
      </c>
      <c r="I525" s="637" t="str">
        <f>VLOOKUP(H525,ORC.AUXILIAR!I:P,4,0)</f>
        <v>un</v>
      </c>
      <c r="J525" s="636">
        <f>VLOOKUP(H525,ORC.AUXILIAR!I:P,5,0)</f>
        <v>3</v>
      </c>
      <c r="K525" s="638">
        <f t="shared" si="50"/>
        <v>3</v>
      </c>
      <c r="L525" s="639">
        <f>VLOOKUP(H525,ORC.AUXILIAR!I:P,7,0)</f>
        <v>375.72</v>
      </c>
      <c r="M525" s="639">
        <f>VLOOKUP(H525,ORC.AUXILIAR!I:P,8,0)</f>
        <v>1127.1600000000001</v>
      </c>
      <c r="N525" s="639">
        <f t="shared" si="52"/>
        <v>3381.4800000000005</v>
      </c>
      <c r="O525" s="639">
        <f t="shared" si="53"/>
        <v>10252829160.463474</v>
      </c>
      <c r="P525" s="640">
        <f t="shared" si="51"/>
        <v>0.99941063139721054</v>
      </c>
    </row>
    <row r="526" spans="1:16">
      <c r="A526" s="627">
        <v>1127.1600000000001</v>
      </c>
      <c r="B526" s="628">
        <v>3</v>
      </c>
      <c r="C526" s="629" t="s">
        <v>13635</v>
      </c>
      <c r="D526" s="628">
        <f>VLOOKUP(C526,ORC.AUXILIAR!I:J,2,0)</f>
        <v>0</v>
      </c>
      <c r="G526" s="636">
        <f t="shared" si="48"/>
        <v>0</v>
      </c>
      <c r="H526" s="636" t="str">
        <f t="shared" si="49"/>
        <v>SUB.07</v>
      </c>
      <c r="I526" s="637" t="str">
        <f>VLOOKUP(H526,ORC.AUXILIAR!I:P,4,0)</f>
        <v>un</v>
      </c>
      <c r="J526" s="636">
        <f>VLOOKUP(H526,ORC.AUXILIAR!I:P,5,0)</f>
        <v>3</v>
      </c>
      <c r="K526" s="638">
        <f t="shared" si="50"/>
        <v>3</v>
      </c>
      <c r="L526" s="639">
        <f>VLOOKUP(H526,ORC.AUXILIAR!I:P,7,0)</f>
        <v>375.72</v>
      </c>
      <c r="M526" s="639">
        <f>VLOOKUP(H526,ORC.AUXILIAR!I:P,8,0)</f>
        <v>1127.1600000000001</v>
      </c>
      <c r="N526" s="639">
        <f t="shared" si="52"/>
        <v>3381.4800000000005</v>
      </c>
      <c r="O526" s="639">
        <f t="shared" si="53"/>
        <v>10252832541.943474</v>
      </c>
      <c r="P526" s="640">
        <f t="shared" si="51"/>
        <v>0.99941096101228644</v>
      </c>
    </row>
    <row r="527" spans="1:16">
      <c r="A527" s="627">
        <v>1124.9000000000001</v>
      </c>
      <c r="B527" s="628">
        <v>2</v>
      </c>
      <c r="C527" s="629" t="s">
        <v>13120</v>
      </c>
      <c r="D527" s="628">
        <f>VLOOKUP(C527,ORC.AUXILIAR!I:J,2,0)</f>
        <v>0</v>
      </c>
      <c r="G527" s="636">
        <f t="shared" si="48"/>
        <v>0</v>
      </c>
      <c r="H527" s="636" t="str">
        <f t="shared" si="49"/>
        <v>TP.VAL.03</v>
      </c>
      <c r="I527" s="637" t="str">
        <f>VLOOKUP(H527,ORC.AUXILIAR!I:P,4,0)</f>
        <v>un</v>
      </c>
      <c r="J527" s="636">
        <f>VLOOKUP(H527,ORC.AUXILIAR!I:P,5,0)</f>
        <v>2</v>
      </c>
      <c r="K527" s="638">
        <f t="shared" si="50"/>
        <v>2</v>
      </c>
      <c r="L527" s="639">
        <f>VLOOKUP(H527,ORC.AUXILIAR!I:P,7,0)</f>
        <v>562.45000000000005</v>
      </c>
      <c r="M527" s="639">
        <f>VLOOKUP(H527,ORC.AUXILIAR!I:P,8,0)</f>
        <v>1124.9000000000001</v>
      </c>
      <c r="N527" s="639">
        <f t="shared" si="52"/>
        <v>2249.8000000000002</v>
      </c>
      <c r="O527" s="639">
        <f t="shared" si="53"/>
        <v>10252834791.743473</v>
      </c>
      <c r="P527" s="640">
        <f t="shared" si="51"/>
        <v>0.99941118031507614</v>
      </c>
    </row>
    <row r="528" spans="1:16">
      <c r="A528" s="627">
        <v>1120.1232</v>
      </c>
      <c r="B528" s="628">
        <v>3.71</v>
      </c>
      <c r="C528" s="629">
        <v>94969</v>
      </c>
      <c r="D528" s="628">
        <f>VLOOKUP(C528,ORC.AUXILIAR!I:J,2,0)</f>
        <v>0</v>
      </c>
      <c r="G528" s="636">
        <f t="shared" si="48"/>
        <v>0</v>
      </c>
      <c r="H528" s="636">
        <f t="shared" si="49"/>
        <v>94969</v>
      </c>
      <c r="I528" s="637" t="str">
        <f>VLOOKUP(H528,ORC.AUXILIAR!I:P,4,0)</f>
        <v>M3</v>
      </c>
      <c r="J528" s="636">
        <f>VLOOKUP(H528,ORC.AUXILIAR!I:P,5,0)</f>
        <v>0.41</v>
      </c>
      <c r="K528" s="638">
        <f t="shared" si="50"/>
        <v>3.71</v>
      </c>
      <c r="L528" s="639">
        <f>VLOOKUP(H528,ORC.AUXILIAR!I:P,7,0)</f>
        <v>301.92</v>
      </c>
      <c r="M528" s="639">
        <f>VLOOKUP(H528,ORC.AUXILIAR!I:P,8,0)</f>
        <v>123.79</v>
      </c>
      <c r="N528" s="639">
        <f t="shared" si="52"/>
        <v>459.26089999999999</v>
      </c>
      <c r="O528" s="639">
        <f t="shared" si="53"/>
        <v>10252835251.004374</v>
      </c>
      <c r="P528" s="640">
        <f t="shared" si="51"/>
        <v>0.999411225082254</v>
      </c>
    </row>
    <row r="529" spans="1:16">
      <c r="A529" s="627">
        <v>1117.74</v>
      </c>
      <c r="B529" s="628">
        <v>78</v>
      </c>
      <c r="C529" s="629" t="s">
        <v>12828</v>
      </c>
      <c r="D529" s="628">
        <f>VLOOKUP(C529,ORC.AUXILIAR!I:J,2,0)</f>
        <v>0</v>
      </c>
      <c r="G529" s="636">
        <f t="shared" si="48"/>
        <v>0</v>
      </c>
      <c r="H529" s="636" t="str">
        <f t="shared" si="49"/>
        <v>TP.AR.02</v>
      </c>
      <c r="I529" s="637" t="str">
        <f>VLOOKUP(H529,ORC.AUXILIAR!I:P,4,0)</f>
        <v>pç</v>
      </c>
      <c r="J529" s="636">
        <f>VLOOKUP(H529,ORC.AUXILIAR!I:P,5,0)</f>
        <v>78</v>
      </c>
      <c r="K529" s="638">
        <f t="shared" si="50"/>
        <v>78</v>
      </c>
      <c r="L529" s="639">
        <f>VLOOKUP(H529,ORC.AUXILIAR!I:P,7,0)</f>
        <v>14.33</v>
      </c>
      <c r="M529" s="639">
        <f>VLOOKUP(H529,ORC.AUXILIAR!I:P,8,0)</f>
        <v>1117.74</v>
      </c>
      <c r="N529" s="639">
        <f t="shared" si="52"/>
        <v>87183.72</v>
      </c>
      <c r="O529" s="639">
        <f t="shared" si="53"/>
        <v>10252922434.724373</v>
      </c>
      <c r="P529" s="640">
        <f t="shared" si="51"/>
        <v>0.99941972345234176</v>
      </c>
    </row>
    <row r="530" spans="1:16">
      <c r="A530" s="627">
        <v>1115.56</v>
      </c>
      <c r="B530" s="628">
        <v>2</v>
      </c>
      <c r="C530" s="629" t="s">
        <v>12972</v>
      </c>
      <c r="D530" s="628">
        <f>VLOOKUP(C530,ORC.AUXILIAR!I:J,2,0)</f>
        <v>0</v>
      </c>
      <c r="G530" s="636">
        <f t="shared" si="48"/>
        <v>0</v>
      </c>
      <c r="H530" s="636" t="str">
        <f t="shared" si="49"/>
        <v>TP.FºF°.27</v>
      </c>
      <c r="I530" s="637" t="str">
        <f>VLOOKUP(H530,ORC.AUXILIAR!I:P,4,0)</f>
        <v>pç</v>
      </c>
      <c r="J530" s="636">
        <f>VLOOKUP(H530,ORC.AUXILIAR!I:P,5,0)</f>
        <v>2</v>
      </c>
      <c r="K530" s="638">
        <f t="shared" si="50"/>
        <v>2</v>
      </c>
      <c r="L530" s="639">
        <f>VLOOKUP(H530,ORC.AUXILIAR!I:P,7,0)</f>
        <v>557.78</v>
      </c>
      <c r="M530" s="639">
        <f>VLOOKUP(H530,ORC.AUXILIAR!I:P,8,0)</f>
        <v>1115.56</v>
      </c>
      <c r="N530" s="639">
        <f t="shared" si="52"/>
        <v>2231.12</v>
      </c>
      <c r="O530" s="639">
        <f t="shared" si="53"/>
        <v>10252924665.844374</v>
      </c>
      <c r="P530" s="640">
        <f t="shared" si="51"/>
        <v>0.99941994093426934</v>
      </c>
    </row>
    <row r="531" spans="1:16">
      <c r="A531" s="627">
        <v>1095.72</v>
      </c>
      <c r="B531" s="628">
        <v>794</v>
      </c>
      <c r="C531" s="629">
        <v>939</v>
      </c>
      <c r="D531" s="628">
        <f>VLOOKUP(C531,ORC.AUXILIAR!I:J,2,0)</f>
        <v>0</v>
      </c>
      <c r="G531" s="636">
        <f t="shared" si="48"/>
        <v>0</v>
      </c>
      <c r="H531" s="636">
        <f t="shared" si="49"/>
        <v>939</v>
      </c>
      <c r="I531" s="637" t="str">
        <f>VLOOKUP(H531,ORC.AUXILIAR!I:P,4,0)</f>
        <v>rl</v>
      </c>
      <c r="J531" s="636">
        <f>VLOOKUP(H531,ORC.AUXILIAR!I:P,5,0)</f>
        <v>1</v>
      </c>
      <c r="K531" s="638">
        <f t="shared" si="50"/>
        <v>794</v>
      </c>
      <c r="L531" s="639">
        <f>VLOOKUP(H531,ORC.AUXILIAR!I:P,7,0)</f>
        <v>1.38</v>
      </c>
      <c r="M531" s="639">
        <f>VLOOKUP(H531,ORC.AUXILIAR!I:P,8,0)</f>
        <v>1.38</v>
      </c>
      <c r="N531" s="639">
        <f t="shared" si="52"/>
        <v>1095.72</v>
      </c>
      <c r="O531" s="639">
        <f t="shared" si="53"/>
        <v>10252925761.564373</v>
      </c>
      <c r="P531" s="640">
        <f t="shared" si="51"/>
        <v>0.99942004774129778</v>
      </c>
    </row>
    <row r="532" spans="1:16">
      <c r="A532" s="627">
        <v>1083.6500000000001</v>
      </c>
      <c r="B532" s="628">
        <v>1</v>
      </c>
      <c r="C532" s="629" t="s">
        <v>13741</v>
      </c>
      <c r="D532" s="628">
        <f>VLOOKUP(C532,ORC.AUXILIAR!I:J,2,0)</f>
        <v>0</v>
      </c>
      <c r="G532" s="636">
        <f t="shared" si="48"/>
        <v>0</v>
      </c>
      <c r="H532" s="636" t="str">
        <f t="shared" si="49"/>
        <v>QCM.EEE.35</v>
      </c>
      <c r="I532" s="637" t="str">
        <f>VLOOKUP(H532,ORC.AUXILIAR!I:P,4,0)</f>
        <v>Un</v>
      </c>
      <c r="J532" s="636">
        <f>VLOOKUP(H532,ORC.AUXILIAR!I:P,5,0)</f>
        <v>1</v>
      </c>
      <c r="K532" s="638">
        <f t="shared" si="50"/>
        <v>1</v>
      </c>
      <c r="L532" s="639">
        <f>VLOOKUP(H532,ORC.AUXILIAR!I:P,7,0)</f>
        <v>1083.6500000000001</v>
      </c>
      <c r="M532" s="639">
        <f>VLOOKUP(H532,ORC.AUXILIAR!I:P,8,0)</f>
        <v>1083.6500000000001</v>
      </c>
      <c r="N532" s="639">
        <f t="shared" si="52"/>
        <v>1083.6500000000001</v>
      </c>
      <c r="O532" s="639">
        <f t="shared" si="53"/>
        <v>10252926845.214373</v>
      </c>
      <c r="P532" s="640">
        <f t="shared" si="51"/>
        <v>0.99942015337178414</v>
      </c>
    </row>
    <row r="533" spans="1:16">
      <c r="A533" s="627">
        <v>1082.8</v>
      </c>
      <c r="B533" s="628">
        <v>8</v>
      </c>
      <c r="C533" s="629" t="s">
        <v>13143</v>
      </c>
      <c r="D533" s="628">
        <f>VLOOKUP(C533,ORC.AUXILIAR!I:J,2,0)</f>
        <v>0</v>
      </c>
      <c r="G533" s="636">
        <f t="shared" si="48"/>
        <v>0</v>
      </c>
      <c r="H533" s="636" t="str">
        <f t="shared" si="49"/>
        <v>RE.AÇO.01</v>
      </c>
      <c r="I533" s="637" t="str">
        <f>VLOOKUP(H533,ORC.AUXILIAR!I:P,4,0)</f>
        <v>pç</v>
      </c>
      <c r="J533" s="636">
        <f>VLOOKUP(H533,ORC.AUXILIAR!I:P,5,0)</f>
        <v>8</v>
      </c>
      <c r="K533" s="638">
        <f t="shared" si="50"/>
        <v>8</v>
      </c>
      <c r="L533" s="639">
        <f>VLOOKUP(H533,ORC.AUXILIAR!I:P,7,0)</f>
        <v>135.35</v>
      </c>
      <c r="M533" s="639">
        <f>VLOOKUP(H533,ORC.AUXILIAR!I:P,8,0)</f>
        <v>1082.8</v>
      </c>
      <c r="N533" s="639">
        <f t="shared" si="52"/>
        <v>8662.4</v>
      </c>
      <c r="O533" s="639">
        <f t="shared" si="53"/>
        <v>10252935507.614372</v>
      </c>
      <c r="P533" s="640">
        <f t="shared" si="51"/>
        <v>0.99942099775283422</v>
      </c>
    </row>
    <row r="534" spans="1:16">
      <c r="A534" s="627">
        <v>1079.49</v>
      </c>
      <c r="B534" s="628">
        <v>3</v>
      </c>
      <c r="C534" s="629">
        <v>91011</v>
      </c>
      <c r="D534" s="628">
        <f>VLOOKUP(C534,ORC.AUXILIAR!I:J,2,0)</f>
        <v>0</v>
      </c>
      <c r="G534" s="636">
        <f t="shared" si="48"/>
        <v>0</v>
      </c>
      <c r="H534" s="636">
        <f t="shared" si="49"/>
        <v>91011</v>
      </c>
      <c r="I534" s="637" t="str">
        <f>VLOOKUP(H534,ORC.AUXILIAR!I:P,4,0)</f>
        <v>UN</v>
      </c>
      <c r="J534" s="636">
        <f>VLOOKUP(H534,ORC.AUXILIAR!I:P,5,0)</f>
        <v>1</v>
      </c>
      <c r="K534" s="638">
        <f t="shared" si="50"/>
        <v>3</v>
      </c>
      <c r="L534" s="639">
        <f>VLOOKUP(H534,ORC.AUXILIAR!I:P,7,0)</f>
        <v>359.83</v>
      </c>
      <c r="M534" s="639">
        <f>VLOOKUP(H534,ORC.AUXILIAR!I:P,8,0)</f>
        <v>359.83</v>
      </c>
      <c r="N534" s="639">
        <f t="shared" si="52"/>
        <v>1079.49</v>
      </c>
      <c r="O534" s="639">
        <f t="shared" si="53"/>
        <v>10252936587.104372</v>
      </c>
      <c r="P534" s="640">
        <f t="shared" si="51"/>
        <v>0.99942110297781805</v>
      </c>
    </row>
    <row r="535" spans="1:16">
      <c r="A535" s="627">
        <v>1071.2520000000002</v>
      </c>
      <c r="B535" s="628">
        <v>15.600000000000001</v>
      </c>
      <c r="C535" s="629">
        <v>73665</v>
      </c>
      <c r="D535" s="628">
        <f>VLOOKUP(C535,ORC.AUXILIAR!I:J,2,0)</f>
        <v>0</v>
      </c>
      <c r="G535" s="636">
        <f t="shared" si="48"/>
        <v>0</v>
      </c>
      <c r="H535" s="636">
        <f t="shared" si="49"/>
        <v>73665</v>
      </c>
      <c r="I535" s="637" t="str">
        <f>VLOOKUP(H535,ORC.AUXILIAR!I:P,4,0)</f>
        <v>M</v>
      </c>
      <c r="J535" s="636">
        <f>VLOOKUP(H535,ORC.AUXILIAR!I:P,5,0)</f>
        <v>12.3</v>
      </c>
      <c r="K535" s="638">
        <f t="shared" si="50"/>
        <v>15.600000000000001</v>
      </c>
      <c r="L535" s="639">
        <f>VLOOKUP(H535,ORC.AUXILIAR!I:P,7,0)</f>
        <v>68.67</v>
      </c>
      <c r="M535" s="639">
        <f>VLOOKUP(H535,ORC.AUXILIAR!I:P,8,0)</f>
        <v>844.64</v>
      </c>
      <c r="N535" s="639">
        <f t="shared" si="52"/>
        <v>13176.384000000002</v>
      </c>
      <c r="O535" s="639">
        <f t="shared" si="53"/>
        <v>10252949763.488373</v>
      </c>
      <c r="P535" s="640">
        <f t="shared" si="51"/>
        <v>0.99942238736655087</v>
      </c>
    </row>
    <row r="536" spans="1:16">
      <c r="A536" s="627">
        <v>1064.8799999999999</v>
      </c>
      <c r="B536" s="628">
        <v>24</v>
      </c>
      <c r="C536" s="629">
        <v>92344</v>
      </c>
      <c r="D536" s="628">
        <f>VLOOKUP(C536,ORC.AUXILIAR!I:J,2,0)</f>
        <v>0</v>
      </c>
      <c r="G536" s="636">
        <f t="shared" si="48"/>
        <v>0</v>
      </c>
      <c r="H536" s="636">
        <f t="shared" si="49"/>
        <v>92344</v>
      </c>
      <c r="I536" s="637" t="str">
        <f>VLOOKUP(H536,ORC.AUXILIAR!I:P,4,0)</f>
        <v>pç</v>
      </c>
      <c r="J536" s="636">
        <f>VLOOKUP(H536,ORC.AUXILIAR!I:P,5,0)</f>
        <v>24</v>
      </c>
      <c r="K536" s="638">
        <f t="shared" si="50"/>
        <v>24</v>
      </c>
      <c r="L536" s="639">
        <f>VLOOKUP(H536,ORC.AUXILIAR!I:P,7,0)</f>
        <v>44.37</v>
      </c>
      <c r="M536" s="639">
        <f>VLOOKUP(H536,ORC.AUXILIAR!I:P,8,0)</f>
        <v>1064.8800000000001</v>
      </c>
      <c r="N536" s="639">
        <f t="shared" si="52"/>
        <v>25557.120000000003</v>
      </c>
      <c r="O536" s="639">
        <f t="shared" si="53"/>
        <v>10252975320.608374</v>
      </c>
      <c r="P536" s="640">
        <f t="shared" si="51"/>
        <v>0.99942487858697771</v>
      </c>
    </row>
    <row r="537" spans="1:16">
      <c r="A537" s="627">
        <v>1061.7</v>
      </c>
      <c r="B537" s="628">
        <v>2</v>
      </c>
      <c r="C537" s="629" t="s">
        <v>13861</v>
      </c>
      <c r="D537" s="628">
        <f>VLOOKUP(C537,ORC.AUXILIAR!I:J,2,0)</f>
        <v>0</v>
      </c>
      <c r="G537" s="636">
        <f t="shared" si="48"/>
        <v>0</v>
      </c>
      <c r="H537" s="636" t="str">
        <f t="shared" si="49"/>
        <v>INST.HIPOCL.32</v>
      </c>
      <c r="I537" s="637" t="str">
        <f>VLOOKUP(H537,ORC.AUXILIAR!I:P,4,0)</f>
        <v>un</v>
      </c>
      <c r="J537" s="636">
        <f>VLOOKUP(H537,ORC.AUXILIAR!I:P,5,0)</f>
        <v>2</v>
      </c>
      <c r="K537" s="638">
        <f t="shared" si="50"/>
        <v>2</v>
      </c>
      <c r="L537" s="639">
        <f>VLOOKUP(H537,ORC.AUXILIAR!I:P,7,0)</f>
        <v>530.85</v>
      </c>
      <c r="M537" s="639">
        <f>VLOOKUP(H537,ORC.AUXILIAR!I:P,8,0)</f>
        <v>1061.7</v>
      </c>
      <c r="N537" s="639">
        <f t="shared" si="52"/>
        <v>2123.4</v>
      </c>
      <c r="O537" s="639">
        <f t="shared" si="53"/>
        <v>10252977444.008373</v>
      </c>
      <c r="P537" s="640">
        <f t="shared" si="51"/>
        <v>0.99942508556872889</v>
      </c>
    </row>
    <row r="538" spans="1:16">
      <c r="A538" s="627">
        <v>1061.7</v>
      </c>
      <c r="B538" s="628">
        <v>2</v>
      </c>
      <c r="C538" s="629" t="s">
        <v>13615</v>
      </c>
      <c r="D538" s="628">
        <f>VLOOKUP(C538,ORC.AUXILIAR!I:J,2,0)</f>
        <v>0</v>
      </c>
      <c r="G538" s="636">
        <f t="shared" si="48"/>
        <v>0</v>
      </c>
      <c r="H538" s="636" t="str">
        <f t="shared" si="49"/>
        <v>QCM.BIOGAS.21</v>
      </c>
      <c r="I538" s="637" t="str">
        <f>VLOOKUP(H538,ORC.AUXILIAR!I:P,4,0)</f>
        <v>um</v>
      </c>
      <c r="J538" s="636">
        <f>VLOOKUP(H538,ORC.AUXILIAR!I:P,5,0)</f>
        <v>2</v>
      </c>
      <c r="K538" s="638">
        <f t="shared" si="50"/>
        <v>2</v>
      </c>
      <c r="L538" s="639">
        <f>VLOOKUP(H538,ORC.AUXILIAR!I:P,7,0)</f>
        <v>530.85</v>
      </c>
      <c r="M538" s="639">
        <f>VLOOKUP(H538,ORC.AUXILIAR!I:P,8,0)</f>
        <v>1061.7</v>
      </c>
      <c r="N538" s="639">
        <f t="shared" si="52"/>
        <v>2123.4</v>
      </c>
      <c r="O538" s="639">
        <f t="shared" si="53"/>
        <v>10252979567.408373</v>
      </c>
      <c r="P538" s="640">
        <f t="shared" si="51"/>
        <v>0.99942529255048007</v>
      </c>
    </row>
    <row r="539" spans="1:16">
      <c r="A539" s="627">
        <v>1060</v>
      </c>
      <c r="B539" s="628">
        <v>100</v>
      </c>
      <c r="C539" s="629" t="s">
        <v>13768</v>
      </c>
      <c r="D539" s="628">
        <f>VLOOKUP(C539,ORC.AUXILIAR!I:J,2,0)</f>
        <v>0</v>
      </c>
      <c r="G539" s="636">
        <f t="shared" si="48"/>
        <v>0</v>
      </c>
      <c r="H539" s="636" t="str">
        <f t="shared" si="49"/>
        <v>QCM.CX.AREIA.08</v>
      </c>
      <c r="I539" s="637" t="str">
        <f>VLOOKUP(H539,ORC.AUXILIAR!I:P,4,0)</f>
        <v>Un</v>
      </c>
      <c r="J539" s="636">
        <f>VLOOKUP(H539,ORC.AUXILIAR!I:P,5,0)</f>
        <v>100</v>
      </c>
      <c r="K539" s="638">
        <f t="shared" si="50"/>
        <v>100</v>
      </c>
      <c r="L539" s="639">
        <f>VLOOKUP(H539,ORC.AUXILIAR!I:P,7,0)</f>
        <v>10.6</v>
      </c>
      <c r="M539" s="639">
        <f>VLOOKUP(H539,ORC.AUXILIAR!I:P,8,0)</f>
        <v>1060</v>
      </c>
      <c r="N539" s="639">
        <f t="shared" si="52"/>
        <v>106000</v>
      </c>
      <c r="O539" s="639">
        <f t="shared" si="53"/>
        <v>10253085567.408373</v>
      </c>
      <c r="P539" s="640">
        <f t="shared" si="51"/>
        <v>0.99943562506702455</v>
      </c>
    </row>
    <row r="540" spans="1:16">
      <c r="A540" s="627">
        <v>1058.04</v>
      </c>
      <c r="B540" s="628">
        <v>2</v>
      </c>
      <c r="C540" s="629">
        <v>73658</v>
      </c>
      <c r="D540" s="628">
        <f>VLOOKUP(C540,ORC.AUXILIAR!I:J,2,0)</f>
        <v>0</v>
      </c>
      <c r="G540" s="636">
        <f t="shared" si="48"/>
        <v>0</v>
      </c>
      <c r="H540" s="636">
        <f t="shared" si="49"/>
        <v>73658</v>
      </c>
      <c r="I540" s="637" t="str">
        <f>VLOOKUP(H540,ORC.AUXILIAR!I:P,4,0)</f>
        <v>pç</v>
      </c>
      <c r="J540" s="636">
        <f>VLOOKUP(H540,ORC.AUXILIAR!I:P,5,0)</f>
        <v>2</v>
      </c>
      <c r="K540" s="638">
        <f t="shared" si="50"/>
        <v>2</v>
      </c>
      <c r="L540" s="639">
        <f>VLOOKUP(H540,ORC.AUXILIAR!I:P,7,0)</f>
        <v>529.02</v>
      </c>
      <c r="M540" s="639">
        <f>VLOOKUP(H540,ORC.AUXILIAR!I:P,8,0)</f>
        <v>1058.04</v>
      </c>
      <c r="N540" s="639">
        <f t="shared" si="52"/>
        <v>2116.08</v>
      </c>
      <c r="O540" s="639">
        <f t="shared" si="53"/>
        <v>10253087683.488373</v>
      </c>
      <c r="P540" s="640">
        <f t="shared" si="51"/>
        <v>0.99943583133524727</v>
      </c>
    </row>
    <row r="541" spans="1:16">
      <c r="A541" s="627">
        <v>1047.02</v>
      </c>
      <c r="B541" s="628">
        <v>1</v>
      </c>
      <c r="C541" s="629" t="s">
        <v>12968</v>
      </c>
      <c r="D541" s="628">
        <f>VLOOKUP(C541,ORC.AUXILIAR!I:J,2,0)</f>
        <v>0</v>
      </c>
      <c r="G541" s="636">
        <f t="shared" si="48"/>
        <v>0</v>
      </c>
      <c r="H541" s="636" t="str">
        <f t="shared" si="49"/>
        <v>TP.FºF°.25</v>
      </c>
      <c r="I541" s="637" t="str">
        <f>VLOOKUP(H541,ORC.AUXILIAR!I:P,4,0)</f>
        <v>pç</v>
      </c>
      <c r="J541" s="636">
        <f>VLOOKUP(H541,ORC.AUXILIAR!I:P,5,0)</f>
        <v>1</v>
      </c>
      <c r="K541" s="638">
        <f t="shared" si="50"/>
        <v>1</v>
      </c>
      <c r="L541" s="639">
        <f>VLOOKUP(H541,ORC.AUXILIAR!I:P,7,0)</f>
        <v>1047.02</v>
      </c>
      <c r="M541" s="639">
        <f>VLOOKUP(H541,ORC.AUXILIAR!I:P,8,0)</f>
        <v>1047.02</v>
      </c>
      <c r="N541" s="639">
        <f t="shared" si="52"/>
        <v>1047.02</v>
      </c>
      <c r="O541" s="639">
        <f t="shared" si="53"/>
        <v>10253088730.508373</v>
      </c>
      <c r="P541" s="640">
        <f t="shared" si="51"/>
        <v>0.9994359333951669</v>
      </c>
    </row>
    <row r="542" spans="1:16">
      <c r="A542" s="627">
        <v>1046.1600000000001</v>
      </c>
      <c r="B542" s="628">
        <v>8</v>
      </c>
      <c r="C542" s="629" t="s">
        <v>14516</v>
      </c>
      <c r="D542" s="628">
        <f>VLOOKUP(C542,ORC.AUXILIAR!I:J,2,0)</f>
        <v>0</v>
      </c>
      <c r="G542" s="636">
        <f t="shared" si="48"/>
        <v>0</v>
      </c>
      <c r="H542" s="636" t="str">
        <f t="shared" si="49"/>
        <v>REATOR.AI.53</v>
      </c>
      <c r="I542" s="637" t="str">
        <f>VLOOKUP(H542,ORC.AUXILIAR!I:P,4,0)</f>
        <v>un</v>
      </c>
      <c r="J542" s="636">
        <f>VLOOKUP(H542,ORC.AUXILIAR!I:P,5,0)</f>
        <v>8</v>
      </c>
      <c r="K542" s="638">
        <f t="shared" si="50"/>
        <v>8</v>
      </c>
      <c r="L542" s="639">
        <f>VLOOKUP(H542,ORC.AUXILIAR!I:P,7,0)</f>
        <v>130.77000000000001</v>
      </c>
      <c r="M542" s="639">
        <f>VLOOKUP(H542,ORC.AUXILIAR!I:P,8,0)</f>
        <v>1046.1600000000001</v>
      </c>
      <c r="N542" s="639">
        <f t="shared" si="52"/>
        <v>8369.2800000000007</v>
      </c>
      <c r="O542" s="639">
        <f t="shared" si="53"/>
        <v>10253097099.788374</v>
      </c>
      <c r="P542" s="640">
        <f t="shared" si="51"/>
        <v>0.99943674920388448</v>
      </c>
    </row>
    <row r="543" spans="1:16">
      <c r="A543" s="627">
        <v>1037.76</v>
      </c>
      <c r="B543" s="628">
        <v>736</v>
      </c>
      <c r="C543" s="629" t="s">
        <v>13095</v>
      </c>
      <c r="D543" s="628">
        <f>VLOOKUP(C543,ORC.AUXILIAR!I:J,2,0)</f>
        <v>0</v>
      </c>
      <c r="G543" s="636">
        <f t="shared" si="48"/>
        <v>0</v>
      </c>
      <c r="H543" s="636" t="str">
        <f t="shared" si="49"/>
        <v>REATOR.FB.06</v>
      </c>
      <c r="I543" s="637" t="str">
        <f>VLOOKUP(H543,ORC.AUXILIAR!I:P,4,0)</f>
        <v>pç</v>
      </c>
      <c r="J543" s="636">
        <f>VLOOKUP(H543,ORC.AUXILIAR!I:P,5,0)</f>
        <v>736</v>
      </c>
      <c r="K543" s="638">
        <f t="shared" si="50"/>
        <v>736</v>
      </c>
      <c r="L543" s="639">
        <f>VLOOKUP(H543,ORC.AUXILIAR!I:P,7,0)</f>
        <v>1.41</v>
      </c>
      <c r="M543" s="639">
        <f>VLOOKUP(H543,ORC.AUXILIAR!I:P,8,0)</f>
        <v>1037.76</v>
      </c>
      <c r="N543" s="639">
        <f t="shared" si="52"/>
        <v>763791.35999999999</v>
      </c>
      <c r="O543" s="639">
        <f t="shared" si="53"/>
        <v>10253860891.148375</v>
      </c>
      <c r="P543" s="640">
        <f t="shared" si="51"/>
        <v>0.99951120096674984</v>
      </c>
    </row>
    <row r="544" spans="1:16">
      <c r="A544" s="627">
        <v>1030.96</v>
      </c>
      <c r="B544" s="628">
        <v>4</v>
      </c>
      <c r="C544" s="629" t="s">
        <v>13637</v>
      </c>
      <c r="D544" s="628">
        <f>VLOOKUP(C544,ORC.AUXILIAR!I:J,2,0)</f>
        <v>0</v>
      </c>
      <c r="G544" s="636">
        <f t="shared" si="48"/>
        <v>0</v>
      </c>
      <c r="H544" s="636" t="str">
        <f t="shared" si="49"/>
        <v>SUB.08</v>
      </c>
      <c r="I544" s="637" t="str">
        <f>VLOOKUP(H544,ORC.AUXILIAR!I:P,4,0)</f>
        <v>un</v>
      </c>
      <c r="J544" s="636">
        <f>VLOOKUP(H544,ORC.AUXILIAR!I:P,5,0)</f>
        <v>4</v>
      </c>
      <c r="K544" s="638">
        <f t="shared" si="50"/>
        <v>4</v>
      </c>
      <c r="L544" s="639">
        <f>VLOOKUP(H544,ORC.AUXILIAR!I:P,7,0)</f>
        <v>257.74</v>
      </c>
      <c r="M544" s="639">
        <f>VLOOKUP(H544,ORC.AUXILIAR!I:P,8,0)</f>
        <v>1030.96</v>
      </c>
      <c r="N544" s="639">
        <f t="shared" si="52"/>
        <v>4123.84</v>
      </c>
      <c r="O544" s="639">
        <f t="shared" si="53"/>
        <v>10253865014.988375</v>
      </c>
      <c r="P544" s="640">
        <f t="shared" si="51"/>
        <v>0.99951160294453312</v>
      </c>
    </row>
    <row r="545" spans="1:16">
      <c r="A545" s="627">
        <v>1030.5899999999999</v>
      </c>
      <c r="B545" s="628">
        <v>3</v>
      </c>
      <c r="C545" s="629" t="s">
        <v>13300</v>
      </c>
      <c r="D545" s="628">
        <f>VLOOKUP(C545,ORC.AUXILIAR!I:J,2,0)</f>
        <v>0</v>
      </c>
      <c r="G545" s="636">
        <f t="shared" si="48"/>
        <v>0</v>
      </c>
      <c r="H545" s="636" t="str">
        <f t="shared" si="49"/>
        <v>CD.PEAD.02</v>
      </c>
      <c r="I545" s="637" t="str">
        <f>VLOOKUP(H545,ORC.AUXILIAR!I:P,4,0)</f>
        <v>pç</v>
      </c>
      <c r="J545" s="636">
        <f>VLOOKUP(H545,ORC.AUXILIAR!I:P,5,0)</f>
        <v>3</v>
      </c>
      <c r="K545" s="638">
        <f t="shared" si="50"/>
        <v>3</v>
      </c>
      <c r="L545" s="639">
        <f>VLOOKUP(H545,ORC.AUXILIAR!I:P,7,0)</f>
        <v>343.53</v>
      </c>
      <c r="M545" s="639">
        <f>VLOOKUP(H545,ORC.AUXILIAR!I:P,8,0)</f>
        <v>1030.5899999999999</v>
      </c>
      <c r="N545" s="639">
        <f t="shared" si="52"/>
        <v>3091.7699999999995</v>
      </c>
      <c r="O545" s="639">
        <f t="shared" si="53"/>
        <v>10253868106.758375</v>
      </c>
      <c r="P545" s="640">
        <f t="shared" si="51"/>
        <v>0.99951190431967163</v>
      </c>
    </row>
    <row r="546" spans="1:16">
      <c r="A546" s="627">
        <v>1028.5506</v>
      </c>
      <c r="B546" s="628">
        <v>19.91</v>
      </c>
      <c r="C546" s="629">
        <v>93196</v>
      </c>
      <c r="D546" s="628">
        <f>VLOOKUP(C546,ORC.AUXILIAR!I:J,2,0)</f>
        <v>0</v>
      </c>
      <c r="G546" s="636">
        <f t="shared" si="48"/>
        <v>0</v>
      </c>
      <c r="H546" s="636">
        <f t="shared" si="49"/>
        <v>93196</v>
      </c>
      <c r="I546" s="637" t="str">
        <f>VLOOKUP(H546,ORC.AUXILIAR!I:P,4,0)</f>
        <v>M</v>
      </c>
      <c r="J546" s="636">
        <f>VLOOKUP(H546,ORC.AUXILIAR!I:P,5,0)</f>
        <v>4.5999999999999996</v>
      </c>
      <c r="K546" s="638">
        <f t="shared" si="50"/>
        <v>19.91</v>
      </c>
      <c r="L546" s="639">
        <f>VLOOKUP(H546,ORC.AUXILIAR!I:P,7,0)</f>
        <v>51.66</v>
      </c>
      <c r="M546" s="639">
        <f>VLOOKUP(H546,ORC.AUXILIAR!I:P,8,0)</f>
        <v>237.64</v>
      </c>
      <c r="N546" s="639">
        <f t="shared" si="52"/>
        <v>4731.4124000000002</v>
      </c>
      <c r="O546" s="639">
        <f t="shared" si="53"/>
        <v>10253872838.170774</v>
      </c>
      <c r="P546" s="640">
        <f t="shared" si="51"/>
        <v>0.99951236552152922</v>
      </c>
    </row>
    <row r="547" spans="1:16">
      <c r="A547" s="627">
        <v>1024.24</v>
      </c>
      <c r="B547" s="628">
        <v>6.2</v>
      </c>
      <c r="C547" s="629">
        <v>95939</v>
      </c>
      <c r="D547" s="628">
        <f>VLOOKUP(C547,ORC.AUXILIAR!I:J,2,0)</f>
        <v>0</v>
      </c>
      <c r="G547" s="636">
        <f t="shared" si="48"/>
        <v>0</v>
      </c>
      <c r="H547" s="636">
        <f t="shared" si="49"/>
        <v>95939</v>
      </c>
      <c r="I547" s="637" t="str">
        <f>VLOOKUP(H547,ORC.AUXILIAR!I:P,4,0)</f>
        <v>M2</v>
      </c>
      <c r="J547" s="636">
        <f>VLOOKUP(H547,ORC.AUXILIAR!I:P,5,0)</f>
        <v>6.2</v>
      </c>
      <c r="K547" s="638">
        <f t="shared" si="50"/>
        <v>6.2</v>
      </c>
      <c r="L547" s="639">
        <f>VLOOKUP(H547,ORC.AUXILIAR!I:P,7,0)</f>
        <v>165.2</v>
      </c>
      <c r="M547" s="639">
        <f>VLOOKUP(H547,ORC.AUXILIAR!I:P,8,0)</f>
        <v>1024.24</v>
      </c>
      <c r="N547" s="639">
        <f t="shared" si="52"/>
        <v>6350.2880000000005</v>
      </c>
      <c r="O547" s="639">
        <f t="shared" si="53"/>
        <v>10253879188.458775</v>
      </c>
      <c r="P547" s="640">
        <f t="shared" si="51"/>
        <v>0.99951298452582937</v>
      </c>
    </row>
    <row r="548" spans="1:16">
      <c r="A548" s="627">
        <v>1020.3799999999999</v>
      </c>
      <c r="B548" s="628">
        <v>313</v>
      </c>
      <c r="C548" s="629" t="s">
        <v>12819</v>
      </c>
      <c r="D548" s="628">
        <f>VLOOKUP(C548,ORC.AUXILIAR!I:J,2,0)</f>
        <v>0</v>
      </c>
      <c r="G548" s="636">
        <f t="shared" si="48"/>
        <v>0</v>
      </c>
      <c r="H548" s="636" t="str">
        <f t="shared" si="49"/>
        <v>TP.AR.01</v>
      </c>
      <c r="I548" s="637" t="str">
        <f>VLOOKUP(H548,ORC.AUXILIAR!I:P,4,0)</f>
        <v>pç</v>
      </c>
      <c r="J548" s="636">
        <f>VLOOKUP(H548,ORC.AUXILIAR!I:P,5,0)</f>
        <v>5</v>
      </c>
      <c r="K548" s="638">
        <f t="shared" si="50"/>
        <v>313</v>
      </c>
      <c r="L548" s="639">
        <f>VLOOKUP(H548,ORC.AUXILIAR!I:P,7,0)</f>
        <v>3.26</v>
      </c>
      <c r="M548" s="639">
        <f>VLOOKUP(H548,ORC.AUXILIAR!I:P,8,0)</f>
        <v>16.3</v>
      </c>
      <c r="N548" s="639">
        <f t="shared" si="52"/>
        <v>5101.9000000000005</v>
      </c>
      <c r="O548" s="639">
        <f t="shared" si="53"/>
        <v>10253884290.358774</v>
      </c>
      <c r="P548" s="640">
        <f t="shared" si="51"/>
        <v>0.99951348184154787</v>
      </c>
    </row>
    <row r="549" spans="1:16">
      <c r="A549" s="627">
        <v>1015.92</v>
      </c>
      <c r="B549" s="628">
        <v>12</v>
      </c>
      <c r="C549" s="629">
        <v>3915</v>
      </c>
      <c r="D549" s="628">
        <f>VLOOKUP(C549,ORC.AUXILIAR!I:J,2,0)</f>
        <v>0</v>
      </c>
      <c r="G549" s="636">
        <f t="shared" si="48"/>
        <v>0</v>
      </c>
      <c r="H549" s="636">
        <f t="shared" si="49"/>
        <v>3915</v>
      </c>
      <c r="I549" s="637" t="str">
        <f>VLOOKUP(H549,ORC.AUXILIAR!I:P,4,0)</f>
        <v>un</v>
      </c>
      <c r="J549" s="636">
        <f>VLOOKUP(H549,ORC.AUXILIAR!I:P,5,0)</f>
        <v>12</v>
      </c>
      <c r="K549" s="638">
        <f t="shared" si="50"/>
        <v>12</v>
      </c>
      <c r="L549" s="639">
        <f>VLOOKUP(H549,ORC.AUXILIAR!I:P,7,0)</f>
        <v>84.66</v>
      </c>
      <c r="M549" s="639">
        <f>VLOOKUP(H549,ORC.AUXILIAR!I:P,8,0)</f>
        <v>1015.92</v>
      </c>
      <c r="N549" s="639">
        <f t="shared" si="52"/>
        <v>12191.039999999999</v>
      </c>
      <c r="O549" s="639">
        <f t="shared" si="53"/>
        <v>10253896481.398775</v>
      </c>
      <c r="P549" s="640">
        <f t="shared" si="51"/>
        <v>0.9995146701823262</v>
      </c>
    </row>
    <row r="550" spans="1:16">
      <c r="A550" s="627">
        <v>1015.84</v>
      </c>
      <c r="B550" s="628">
        <v>14</v>
      </c>
      <c r="C550" s="629" t="s">
        <v>12807</v>
      </c>
      <c r="D550" s="628">
        <f>VLOOKUP(C550,ORC.AUXILIAR!I:J,2,0)</f>
        <v>0</v>
      </c>
      <c r="G550" s="636">
        <f t="shared" si="48"/>
        <v>0</v>
      </c>
      <c r="H550" s="636" t="str">
        <f t="shared" si="49"/>
        <v>TB.AI.15</v>
      </c>
      <c r="I550" s="637" t="str">
        <f>VLOOKUP(H550,ORC.AUXILIAR!I:P,4,0)</f>
        <v>pç</v>
      </c>
      <c r="J550" s="636">
        <f>VLOOKUP(H550,ORC.AUXILIAR!I:P,5,0)</f>
        <v>14</v>
      </c>
      <c r="K550" s="638">
        <f t="shared" si="50"/>
        <v>14</v>
      </c>
      <c r="L550" s="639">
        <f>VLOOKUP(H550,ORC.AUXILIAR!I:P,7,0)</f>
        <v>72.56</v>
      </c>
      <c r="M550" s="639">
        <f>VLOOKUP(H550,ORC.AUXILIAR!I:P,8,0)</f>
        <v>1015.84</v>
      </c>
      <c r="N550" s="639">
        <f t="shared" si="52"/>
        <v>14221.76</v>
      </c>
      <c r="O550" s="639">
        <f t="shared" si="53"/>
        <v>10253910703.158775</v>
      </c>
      <c r="P550" s="640">
        <f t="shared" si="51"/>
        <v>0.99951605647072705</v>
      </c>
    </row>
    <row r="551" spans="1:16">
      <c r="A551" s="627">
        <v>1010</v>
      </c>
      <c r="B551" s="628">
        <v>50</v>
      </c>
      <c r="C551" s="629" t="s">
        <v>11743</v>
      </c>
      <c r="D551" s="628">
        <f>VLOOKUP(C551,ORC.AUXILIAR!I:J,2,0)</f>
        <v>0</v>
      </c>
      <c r="G551" s="636">
        <f t="shared" si="48"/>
        <v>0</v>
      </c>
      <c r="H551" s="636" t="str">
        <f t="shared" si="49"/>
        <v>INS.ELET.07</v>
      </c>
      <c r="I551" s="637" t="str">
        <f>VLOOKUP(H551,ORC.AUXILIAR!I:P,4,0)</f>
        <v>m</v>
      </c>
      <c r="J551" s="636">
        <f>VLOOKUP(H551,ORC.AUXILIAR!I:P,5,0)</f>
        <v>50</v>
      </c>
      <c r="K551" s="638">
        <f t="shared" si="50"/>
        <v>50</v>
      </c>
      <c r="L551" s="639">
        <f>VLOOKUP(H551,ORC.AUXILIAR!I:P,7,0)</f>
        <v>20.2</v>
      </c>
      <c r="M551" s="639">
        <f>VLOOKUP(H551,ORC.AUXILIAR!I:P,8,0)</f>
        <v>1010</v>
      </c>
      <c r="N551" s="639">
        <f t="shared" si="52"/>
        <v>50500</v>
      </c>
      <c r="O551" s="639">
        <f t="shared" si="53"/>
        <v>10253961203.158775</v>
      </c>
      <c r="P551" s="640">
        <f t="shared" si="51"/>
        <v>0.99952097903757131</v>
      </c>
    </row>
    <row r="552" spans="1:16">
      <c r="A552" s="627">
        <v>1006.84</v>
      </c>
      <c r="B552" s="628">
        <v>4</v>
      </c>
      <c r="C552" s="629" t="s">
        <v>12302</v>
      </c>
      <c r="D552" s="628">
        <f>VLOOKUP(C552,ORC.AUXILIAR!I:J,2,0)</f>
        <v>0</v>
      </c>
      <c r="G552" s="636">
        <f t="shared" si="48"/>
        <v>0</v>
      </c>
      <c r="H552" s="636" t="str">
        <f t="shared" si="49"/>
        <v>CP_APOIO FLANGE</v>
      </c>
      <c r="I552" s="637" t="str">
        <f>VLOOKUP(H552,ORC.AUXILIAR!I:P,4,0)</f>
        <v>um.</v>
      </c>
      <c r="J552" s="636">
        <f>VLOOKUP(H552,ORC.AUXILIAR!I:P,5,0)</f>
        <v>4</v>
      </c>
      <c r="K552" s="638">
        <f t="shared" si="50"/>
        <v>4</v>
      </c>
      <c r="L552" s="639">
        <f>VLOOKUP(H552,ORC.AUXILIAR!I:P,7,0)</f>
        <v>251.71</v>
      </c>
      <c r="M552" s="639">
        <f>VLOOKUP(H552,ORC.AUXILIAR!I:P,8,0)</f>
        <v>1006.84</v>
      </c>
      <c r="N552" s="639">
        <f t="shared" si="52"/>
        <v>4027.36</v>
      </c>
      <c r="O552" s="639">
        <f t="shared" si="53"/>
        <v>10253965230.518776</v>
      </c>
      <c r="P552" s="640">
        <f t="shared" si="51"/>
        <v>0.99952137161081511</v>
      </c>
    </row>
    <row r="553" spans="1:16">
      <c r="A553" s="627">
        <v>1001.48</v>
      </c>
      <c r="B553" s="628">
        <v>2</v>
      </c>
      <c r="C553" s="629">
        <v>14055</v>
      </c>
      <c r="D553" s="628">
        <f>VLOOKUP(C553,ORC.AUXILIAR!I:J,2,0)</f>
        <v>0</v>
      </c>
      <c r="G553" s="636">
        <f t="shared" si="48"/>
        <v>0</v>
      </c>
      <c r="H553" s="636">
        <f t="shared" si="49"/>
        <v>14055</v>
      </c>
      <c r="I553" s="637" t="str">
        <f>VLOOKUP(H553,ORC.AUXILIAR!I:P,4,0)</f>
        <v>un</v>
      </c>
      <c r="J553" s="636">
        <f>VLOOKUP(H553,ORC.AUXILIAR!I:P,5,0)</f>
        <v>1</v>
      </c>
      <c r="K553" s="638">
        <f t="shared" si="50"/>
        <v>2</v>
      </c>
      <c r="L553" s="639">
        <f>VLOOKUP(H553,ORC.AUXILIAR!I:P,7,0)</f>
        <v>500.74</v>
      </c>
      <c r="M553" s="639">
        <f>VLOOKUP(H553,ORC.AUXILIAR!I:P,8,0)</f>
        <v>500.74</v>
      </c>
      <c r="N553" s="639">
        <f t="shared" si="52"/>
        <v>1001.48</v>
      </c>
      <c r="O553" s="639">
        <f t="shared" si="53"/>
        <v>10253966231.998775</v>
      </c>
      <c r="P553" s="640">
        <f t="shared" si="51"/>
        <v>0.99952146923165153</v>
      </c>
    </row>
    <row r="554" spans="1:16">
      <c r="A554" s="627">
        <v>992.2</v>
      </c>
      <c r="B554" s="628">
        <v>4</v>
      </c>
      <c r="C554" s="629" t="s">
        <v>12300</v>
      </c>
      <c r="D554" s="628">
        <f>VLOOKUP(C554,ORC.AUXILIAR!I:J,2,0)</f>
        <v>0</v>
      </c>
      <c r="G554" s="636">
        <f t="shared" si="48"/>
        <v>0</v>
      </c>
      <c r="H554" s="636" t="str">
        <f t="shared" si="49"/>
        <v>CP_SUPORTE 1</v>
      </c>
      <c r="I554" s="637" t="str">
        <f>VLOOKUP(H554,ORC.AUXILIAR!I:P,4,0)</f>
        <v>um.</v>
      </c>
      <c r="J554" s="636">
        <f>VLOOKUP(H554,ORC.AUXILIAR!I:P,5,0)</f>
        <v>4</v>
      </c>
      <c r="K554" s="638">
        <f t="shared" si="50"/>
        <v>4</v>
      </c>
      <c r="L554" s="639">
        <f>VLOOKUP(H554,ORC.AUXILIAR!I:P,7,0)</f>
        <v>248.05</v>
      </c>
      <c r="M554" s="639">
        <f>VLOOKUP(H554,ORC.AUXILIAR!I:P,8,0)</f>
        <v>992.2</v>
      </c>
      <c r="N554" s="639">
        <f t="shared" si="52"/>
        <v>3968.8</v>
      </c>
      <c r="O554" s="639">
        <f t="shared" si="53"/>
        <v>10253970200.798775</v>
      </c>
      <c r="P554" s="640">
        <f t="shared" si="51"/>
        <v>0.99952185609666711</v>
      </c>
    </row>
    <row r="555" spans="1:16">
      <c r="A555" s="627">
        <v>992.2</v>
      </c>
      <c r="B555" s="628">
        <v>4</v>
      </c>
      <c r="C555" s="629" t="s">
        <v>12301</v>
      </c>
      <c r="D555" s="628">
        <f>VLOOKUP(C555,ORC.AUXILIAR!I:J,2,0)</f>
        <v>0</v>
      </c>
      <c r="G555" s="636">
        <f t="shared" si="48"/>
        <v>0</v>
      </c>
      <c r="H555" s="636" t="str">
        <f t="shared" si="49"/>
        <v>CP_SUPORTE 2</v>
      </c>
      <c r="I555" s="637" t="str">
        <f>VLOOKUP(H555,ORC.AUXILIAR!I:P,4,0)</f>
        <v>um.</v>
      </c>
      <c r="J555" s="636">
        <f>VLOOKUP(H555,ORC.AUXILIAR!I:P,5,0)</f>
        <v>4</v>
      </c>
      <c r="K555" s="638">
        <f t="shared" si="50"/>
        <v>4</v>
      </c>
      <c r="L555" s="639">
        <f>VLOOKUP(H555,ORC.AUXILIAR!I:P,7,0)</f>
        <v>248.05</v>
      </c>
      <c r="M555" s="639">
        <f>VLOOKUP(H555,ORC.AUXILIAR!I:P,8,0)</f>
        <v>992.2</v>
      </c>
      <c r="N555" s="639">
        <f t="shared" si="52"/>
        <v>3968.8</v>
      </c>
      <c r="O555" s="639">
        <f t="shared" si="53"/>
        <v>10253974169.598774</v>
      </c>
      <c r="P555" s="640">
        <f t="shared" si="51"/>
        <v>0.99952224296168279</v>
      </c>
    </row>
    <row r="556" spans="1:16">
      <c r="A556" s="627">
        <v>991.72</v>
      </c>
      <c r="B556" s="628">
        <v>2</v>
      </c>
      <c r="C556" s="629" t="s">
        <v>13239</v>
      </c>
      <c r="D556" s="628">
        <f>VLOOKUP(C556,ORC.AUXILIAR!I:J,2,0)</f>
        <v>0</v>
      </c>
      <c r="G556" s="636">
        <f t="shared" si="48"/>
        <v>0</v>
      </c>
      <c r="H556" s="636" t="str">
        <f t="shared" si="49"/>
        <v>TP.GR.03</v>
      </c>
      <c r="I556" s="637" t="str">
        <f>VLOOKUP(H556,ORC.AUXILIAR!I:P,4,0)</f>
        <v>un</v>
      </c>
      <c r="J556" s="636">
        <f>VLOOKUP(H556,ORC.AUXILIAR!I:P,5,0)</f>
        <v>2</v>
      </c>
      <c r="K556" s="638">
        <f t="shared" si="50"/>
        <v>2</v>
      </c>
      <c r="L556" s="639">
        <f>VLOOKUP(H556,ORC.AUXILIAR!I:P,7,0)</f>
        <v>495.86</v>
      </c>
      <c r="M556" s="639">
        <f>VLOOKUP(H556,ORC.AUXILIAR!I:P,8,0)</f>
        <v>991.72</v>
      </c>
      <c r="N556" s="639">
        <f t="shared" si="52"/>
        <v>1983.44</v>
      </c>
      <c r="O556" s="639">
        <f t="shared" si="53"/>
        <v>10253976153.038774</v>
      </c>
      <c r="P556" s="640">
        <f t="shared" si="51"/>
        <v>0.9995224363006131</v>
      </c>
    </row>
    <row r="557" spans="1:16">
      <c r="A557" s="627">
        <v>989.28</v>
      </c>
      <c r="B557" s="628">
        <v>4</v>
      </c>
      <c r="C557" s="629" t="s">
        <v>13197</v>
      </c>
      <c r="D557" s="628">
        <f>VLOOKUP(C557,ORC.AUXILIAR!I:J,2,0)</f>
        <v>0</v>
      </c>
      <c r="G557" s="636">
        <f t="shared" si="48"/>
        <v>0</v>
      </c>
      <c r="H557" s="636" t="str">
        <f t="shared" si="49"/>
        <v>RE.RPVC.11</v>
      </c>
      <c r="I557" s="637" t="str">
        <f>VLOOKUP(H557,ORC.AUXILIAR!I:P,4,0)</f>
        <v>pç</v>
      </c>
      <c r="J557" s="636">
        <f>VLOOKUP(H557,ORC.AUXILIAR!I:P,5,0)</f>
        <v>4</v>
      </c>
      <c r="K557" s="638">
        <f t="shared" si="50"/>
        <v>4</v>
      </c>
      <c r="L557" s="639">
        <f>VLOOKUP(H557,ORC.AUXILIAR!I:P,7,0)</f>
        <v>247.32</v>
      </c>
      <c r="M557" s="639">
        <f>VLOOKUP(H557,ORC.AUXILIAR!I:P,8,0)</f>
        <v>989.28</v>
      </c>
      <c r="N557" s="639">
        <f t="shared" si="52"/>
        <v>3957.12</v>
      </c>
      <c r="O557" s="639">
        <f t="shared" si="53"/>
        <v>10253980110.158775</v>
      </c>
      <c r="P557" s="640">
        <f t="shared" si="51"/>
        <v>0.99952282202710252</v>
      </c>
    </row>
    <row r="558" spans="1:16">
      <c r="A558" s="627">
        <v>988.80000000000007</v>
      </c>
      <c r="B558" s="628">
        <v>480</v>
      </c>
      <c r="C558" s="629" t="s">
        <v>14374</v>
      </c>
      <c r="D558" s="628">
        <f>VLOOKUP(C558,ORC.AUXILIAR!I:J,2,0)</f>
        <v>0</v>
      </c>
      <c r="G558" s="636">
        <f t="shared" si="48"/>
        <v>0</v>
      </c>
      <c r="H558" s="636" t="str">
        <f t="shared" si="49"/>
        <v>REATOR.FB.21</v>
      </c>
      <c r="I558" s="637" t="str">
        <f>VLOOKUP(H558,ORC.AUXILIAR!I:P,4,0)</f>
        <v>pç</v>
      </c>
      <c r="J558" s="636">
        <f>VLOOKUP(H558,ORC.AUXILIAR!I:P,5,0)</f>
        <v>480</v>
      </c>
      <c r="K558" s="638">
        <f t="shared" si="50"/>
        <v>480</v>
      </c>
      <c r="L558" s="639">
        <f>VLOOKUP(H558,ORC.AUXILIAR!I:P,7,0)</f>
        <v>2.06</v>
      </c>
      <c r="M558" s="639">
        <f>VLOOKUP(H558,ORC.AUXILIAR!I:P,8,0)</f>
        <v>988.8</v>
      </c>
      <c r="N558" s="639">
        <f t="shared" si="52"/>
        <v>474624</v>
      </c>
      <c r="O558" s="639">
        <f t="shared" si="53"/>
        <v>10254454734.158775</v>
      </c>
      <c r="P558" s="640">
        <f t="shared" si="51"/>
        <v>0.99956908674721956</v>
      </c>
    </row>
    <row r="559" spans="1:16">
      <c r="A559" s="627">
        <v>986.9</v>
      </c>
      <c r="B559" s="628">
        <v>2</v>
      </c>
      <c r="C559" s="629" t="s">
        <v>13622</v>
      </c>
      <c r="D559" s="628">
        <f>VLOOKUP(C559,ORC.AUXILIAR!I:J,2,0)</f>
        <v>0</v>
      </c>
      <c r="G559" s="636">
        <f t="shared" si="48"/>
        <v>0</v>
      </c>
      <c r="H559" s="636" t="str">
        <f t="shared" si="49"/>
        <v>QCM.BIOGAS.27</v>
      </c>
      <c r="I559" s="637" t="str">
        <f>VLOOKUP(H559,ORC.AUXILIAR!I:P,4,0)</f>
        <v>um</v>
      </c>
      <c r="J559" s="636">
        <f>VLOOKUP(H559,ORC.AUXILIAR!I:P,5,0)</f>
        <v>2</v>
      </c>
      <c r="K559" s="638">
        <f t="shared" si="50"/>
        <v>2</v>
      </c>
      <c r="L559" s="639">
        <f>VLOOKUP(H559,ORC.AUXILIAR!I:P,7,0)</f>
        <v>493.45</v>
      </c>
      <c r="M559" s="639">
        <f>VLOOKUP(H559,ORC.AUXILIAR!I:P,8,0)</f>
        <v>986.9</v>
      </c>
      <c r="N559" s="639">
        <f t="shared" si="52"/>
        <v>1973.8</v>
      </c>
      <c r="O559" s="639">
        <f t="shared" si="53"/>
        <v>10254456707.958775</v>
      </c>
      <c r="P559" s="640">
        <f t="shared" si="51"/>
        <v>0.99956927914647564</v>
      </c>
    </row>
    <row r="560" spans="1:16">
      <c r="A560" s="627">
        <v>980.01</v>
      </c>
      <c r="B560" s="628">
        <v>3</v>
      </c>
      <c r="C560" s="629" t="s">
        <v>13299</v>
      </c>
      <c r="D560" s="628">
        <f>VLOOKUP(C560,ORC.AUXILIAR!I:J,2,0)</f>
        <v>0</v>
      </c>
      <c r="G560" s="636">
        <f t="shared" si="48"/>
        <v>0</v>
      </c>
      <c r="H560" s="636" t="str">
        <f t="shared" si="49"/>
        <v>CD.PEAD.01</v>
      </c>
      <c r="I560" s="637" t="str">
        <f>VLOOKUP(H560,ORC.AUXILIAR!I:P,4,0)</f>
        <v>pç</v>
      </c>
      <c r="J560" s="636">
        <f>VLOOKUP(H560,ORC.AUXILIAR!I:P,5,0)</f>
        <v>3</v>
      </c>
      <c r="K560" s="638">
        <f t="shared" si="50"/>
        <v>3</v>
      </c>
      <c r="L560" s="639">
        <f>VLOOKUP(H560,ORC.AUXILIAR!I:P,7,0)</f>
        <v>326.67</v>
      </c>
      <c r="M560" s="639">
        <f>VLOOKUP(H560,ORC.AUXILIAR!I:P,8,0)</f>
        <v>980.01</v>
      </c>
      <c r="N560" s="639">
        <f t="shared" si="52"/>
        <v>2940.0299999999997</v>
      </c>
      <c r="O560" s="639">
        <f t="shared" si="53"/>
        <v>10254459647.988775</v>
      </c>
      <c r="P560" s="640">
        <f t="shared" si="51"/>
        <v>0.99956956573051925</v>
      </c>
    </row>
    <row r="561" spans="1:16">
      <c r="A561" s="627">
        <v>974.49</v>
      </c>
      <c r="B561" s="628">
        <v>11</v>
      </c>
      <c r="C561" s="629" t="s">
        <v>12303</v>
      </c>
      <c r="D561" s="628">
        <f>VLOOKUP(C561,ORC.AUXILIAR!I:J,2,0)</f>
        <v>0</v>
      </c>
      <c r="G561" s="636">
        <f t="shared" si="48"/>
        <v>0</v>
      </c>
      <c r="H561" s="636" t="str">
        <f t="shared" si="49"/>
        <v>CP_APOIO TUBO</v>
      </c>
      <c r="I561" s="637" t="str">
        <f>VLOOKUP(H561,ORC.AUXILIAR!I:P,4,0)</f>
        <v>um.</v>
      </c>
      <c r="J561" s="636">
        <f>VLOOKUP(H561,ORC.AUXILIAR!I:P,5,0)</f>
        <v>4</v>
      </c>
      <c r="K561" s="638">
        <f t="shared" si="50"/>
        <v>11</v>
      </c>
      <c r="L561" s="639">
        <f>VLOOKUP(H561,ORC.AUXILIAR!I:P,7,0)</f>
        <v>88.59</v>
      </c>
      <c r="M561" s="639">
        <f>VLOOKUP(H561,ORC.AUXILIAR!I:P,8,0)</f>
        <v>354.36</v>
      </c>
      <c r="N561" s="639">
        <f t="shared" si="52"/>
        <v>3897.96</v>
      </c>
      <c r="O561" s="639">
        <f t="shared" si="53"/>
        <v>10254463545.948774</v>
      </c>
      <c r="P561" s="640">
        <f t="shared" si="51"/>
        <v>0.99956994569029456</v>
      </c>
    </row>
    <row r="562" spans="1:16">
      <c r="A562" s="627">
        <v>963.2</v>
      </c>
      <c r="B562" s="628">
        <v>2</v>
      </c>
      <c r="C562" s="629" t="s">
        <v>13241</v>
      </c>
      <c r="D562" s="628">
        <f>VLOOKUP(C562,ORC.AUXILIAR!I:J,2,0)</f>
        <v>0</v>
      </c>
      <c r="G562" s="636">
        <f t="shared" si="48"/>
        <v>0</v>
      </c>
      <c r="H562" s="636" t="str">
        <f t="shared" si="49"/>
        <v>TP.GR.05</v>
      </c>
      <c r="I562" s="637" t="str">
        <f>VLOOKUP(H562,ORC.AUXILIAR!I:P,4,0)</f>
        <v>un</v>
      </c>
      <c r="J562" s="636">
        <f>VLOOKUP(H562,ORC.AUXILIAR!I:P,5,0)</f>
        <v>2</v>
      </c>
      <c r="K562" s="638">
        <f t="shared" si="50"/>
        <v>2</v>
      </c>
      <c r="L562" s="639">
        <f>VLOOKUP(H562,ORC.AUXILIAR!I:P,7,0)</f>
        <v>481.6</v>
      </c>
      <c r="M562" s="639">
        <f>VLOOKUP(H562,ORC.AUXILIAR!I:P,8,0)</f>
        <v>963.2</v>
      </c>
      <c r="N562" s="639">
        <f t="shared" si="52"/>
        <v>1926.4</v>
      </c>
      <c r="O562" s="639">
        <f t="shared" si="53"/>
        <v>10254465472.348774</v>
      </c>
      <c r="P562" s="640">
        <f t="shared" si="51"/>
        <v>0.99957013346916124</v>
      </c>
    </row>
    <row r="563" spans="1:16">
      <c r="A563" s="627">
        <v>962.91</v>
      </c>
      <c r="B563" s="628">
        <v>1</v>
      </c>
      <c r="C563" s="629" t="s">
        <v>14265</v>
      </c>
      <c r="D563" s="628">
        <f>VLOOKUP(C563,ORC.AUXILIAR!I:J,2,0)</f>
        <v>0</v>
      </c>
      <c r="G563" s="636">
        <f t="shared" si="48"/>
        <v>0</v>
      </c>
      <c r="H563" s="636" t="str">
        <f t="shared" si="49"/>
        <v>CT.FºFº.20</v>
      </c>
      <c r="I563" s="637" t="str">
        <f>VLOOKUP(H563,ORC.AUXILIAR!I:P,4,0)</f>
        <v>un</v>
      </c>
      <c r="J563" s="636">
        <f>VLOOKUP(H563,ORC.AUXILIAR!I:P,5,0)</f>
        <v>1</v>
      </c>
      <c r="K563" s="638">
        <f t="shared" si="50"/>
        <v>1</v>
      </c>
      <c r="L563" s="639">
        <f>VLOOKUP(H563,ORC.AUXILIAR!I:P,7,0)</f>
        <v>962.91</v>
      </c>
      <c r="M563" s="639">
        <f>VLOOKUP(H563,ORC.AUXILIAR!I:P,8,0)</f>
        <v>962.91</v>
      </c>
      <c r="N563" s="639">
        <f t="shared" si="52"/>
        <v>962.91</v>
      </c>
      <c r="O563" s="639">
        <f t="shared" si="53"/>
        <v>10254466435.258774</v>
      </c>
      <c r="P563" s="640">
        <f t="shared" si="51"/>
        <v>0.99957022733032641</v>
      </c>
    </row>
    <row r="564" spans="1:16">
      <c r="A564" s="627">
        <v>960.8</v>
      </c>
      <c r="B564" s="628">
        <v>40</v>
      </c>
      <c r="C564" s="629" t="s">
        <v>12909</v>
      </c>
      <c r="D564" s="628">
        <f>VLOOKUP(C564,ORC.AUXILIAR!I:J,2,0)</f>
        <v>0</v>
      </c>
      <c r="G564" s="636">
        <f t="shared" si="48"/>
        <v>0</v>
      </c>
      <c r="H564" s="636" t="str">
        <f t="shared" si="49"/>
        <v>PAR.F°F°.02</v>
      </c>
      <c r="I564" s="637" t="str">
        <f>VLOOKUP(H564,ORC.AUXILIAR!I:P,4,0)</f>
        <v>pç</v>
      </c>
      <c r="J564" s="636">
        <f>VLOOKUP(H564,ORC.AUXILIAR!I:P,5,0)</f>
        <v>40</v>
      </c>
      <c r="K564" s="638">
        <f t="shared" si="50"/>
        <v>40</v>
      </c>
      <c r="L564" s="639">
        <f>VLOOKUP(H564,ORC.AUXILIAR!I:P,7,0)</f>
        <v>24.02</v>
      </c>
      <c r="M564" s="639">
        <f>VLOOKUP(H564,ORC.AUXILIAR!I:P,8,0)</f>
        <v>960.8</v>
      </c>
      <c r="N564" s="639">
        <f t="shared" si="52"/>
        <v>38432</v>
      </c>
      <c r="O564" s="639">
        <f t="shared" si="53"/>
        <v>10254504867.258774</v>
      </c>
      <c r="P564" s="640">
        <f t="shared" si="51"/>
        <v>0.99957397354990973</v>
      </c>
    </row>
    <row r="565" spans="1:16">
      <c r="A565" s="627">
        <v>960.8</v>
      </c>
      <c r="B565" s="628">
        <v>40</v>
      </c>
      <c r="C565" s="629" t="s">
        <v>12931</v>
      </c>
      <c r="D565" s="628">
        <f>VLOOKUP(C565,ORC.AUXILIAR!I:J,2,0)</f>
        <v>0</v>
      </c>
      <c r="G565" s="636">
        <f t="shared" si="48"/>
        <v>0</v>
      </c>
      <c r="H565" s="636" t="str">
        <f t="shared" si="49"/>
        <v>TP.FºF°.16</v>
      </c>
      <c r="I565" s="637" t="str">
        <f>VLOOKUP(H565,ORC.AUXILIAR!I:P,4,0)</f>
        <v>pç</v>
      </c>
      <c r="J565" s="636">
        <f>VLOOKUP(H565,ORC.AUXILIAR!I:P,5,0)</f>
        <v>40</v>
      </c>
      <c r="K565" s="638">
        <f t="shared" si="50"/>
        <v>40</v>
      </c>
      <c r="L565" s="639">
        <f>VLOOKUP(H565,ORC.AUXILIAR!I:P,7,0)</f>
        <v>24.02</v>
      </c>
      <c r="M565" s="639">
        <f>VLOOKUP(H565,ORC.AUXILIAR!I:P,8,0)</f>
        <v>960.8</v>
      </c>
      <c r="N565" s="639">
        <f t="shared" si="52"/>
        <v>38432</v>
      </c>
      <c r="O565" s="639">
        <f t="shared" si="53"/>
        <v>10254543299.258774</v>
      </c>
      <c r="P565" s="640">
        <f t="shared" si="51"/>
        <v>0.99957771976949306</v>
      </c>
    </row>
    <row r="566" spans="1:16">
      <c r="A566" s="627">
        <v>950.40000000000009</v>
      </c>
      <c r="B566" s="628">
        <v>360</v>
      </c>
      <c r="C566" s="629">
        <v>91925</v>
      </c>
      <c r="D566" s="628">
        <f>VLOOKUP(C566,ORC.AUXILIAR!I:J,2,0)</f>
        <v>0</v>
      </c>
      <c r="G566" s="636">
        <f t="shared" si="48"/>
        <v>0</v>
      </c>
      <c r="H566" s="636">
        <f t="shared" si="49"/>
        <v>91925</v>
      </c>
      <c r="I566" s="637" t="str">
        <f>VLOOKUP(H566,ORC.AUXILIAR!I:P,4,0)</f>
        <v>m</v>
      </c>
      <c r="J566" s="636">
        <f>VLOOKUP(H566,ORC.AUXILIAR!I:P,5,0)</f>
        <v>40</v>
      </c>
      <c r="K566" s="638">
        <f t="shared" si="50"/>
        <v>360</v>
      </c>
      <c r="L566" s="639">
        <f>VLOOKUP(H566,ORC.AUXILIAR!I:P,7,0)</f>
        <v>2.64</v>
      </c>
      <c r="M566" s="639">
        <f>VLOOKUP(H566,ORC.AUXILIAR!I:P,8,0)</f>
        <v>105.6</v>
      </c>
      <c r="N566" s="639">
        <f t="shared" si="52"/>
        <v>38016</v>
      </c>
      <c r="O566" s="639">
        <f t="shared" si="53"/>
        <v>10254581315.258774</v>
      </c>
      <c r="P566" s="640">
        <f t="shared" si="51"/>
        <v>0.99958142543882289</v>
      </c>
    </row>
    <row r="567" spans="1:16">
      <c r="A567" s="627">
        <v>949.44</v>
      </c>
      <c r="B567" s="628">
        <v>96</v>
      </c>
      <c r="C567" s="629" t="s">
        <v>12927</v>
      </c>
      <c r="D567" s="628">
        <f>VLOOKUP(C567,ORC.AUXILIAR!I:J,2,0)</f>
        <v>0</v>
      </c>
      <c r="G567" s="636">
        <f t="shared" si="48"/>
        <v>0</v>
      </c>
      <c r="H567" s="636" t="str">
        <f t="shared" si="49"/>
        <v>RE.F°F°.27</v>
      </c>
      <c r="I567" s="637" t="str">
        <f>VLOOKUP(H567,ORC.AUXILIAR!I:P,4,0)</f>
        <v>pç</v>
      </c>
      <c r="J567" s="636">
        <f>VLOOKUP(H567,ORC.AUXILIAR!I:P,5,0)</f>
        <v>96</v>
      </c>
      <c r="K567" s="638">
        <f t="shared" si="50"/>
        <v>96</v>
      </c>
      <c r="L567" s="639">
        <f>VLOOKUP(H567,ORC.AUXILIAR!I:P,7,0)</f>
        <v>9.89</v>
      </c>
      <c r="M567" s="639">
        <f>VLOOKUP(H567,ORC.AUXILIAR!I:P,8,0)</f>
        <v>949.44</v>
      </c>
      <c r="N567" s="639">
        <f t="shared" si="52"/>
        <v>91146.240000000005</v>
      </c>
      <c r="O567" s="639">
        <f t="shared" si="53"/>
        <v>10254672461.498774</v>
      </c>
      <c r="P567" s="640">
        <f t="shared" si="51"/>
        <v>0.99959031006177346</v>
      </c>
    </row>
    <row r="568" spans="1:16">
      <c r="A568" s="627">
        <v>946.7700000000001</v>
      </c>
      <c r="B568" s="628">
        <v>209</v>
      </c>
      <c r="C568" s="629">
        <v>91844</v>
      </c>
      <c r="D568" s="628">
        <f>VLOOKUP(C568,ORC.AUXILIAR!I:J,2,0)</f>
        <v>0</v>
      </c>
      <c r="G568" s="636">
        <f t="shared" si="48"/>
        <v>0</v>
      </c>
      <c r="H568" s="636">
        <f t="shared" si="49"/>
        <v>91844</v>
      </c>
      <c r="I568" s="637" t="str">
        <f>VLOOKUP(H568,ORC.AUXILIAR!I:P,4,0)</f>
        <v>m</v>
      </c>
      <c r="J568" s="636">
        <f>VLOOKUP(H568,ORC.AUXILIAR!I:P,5,0)</f>
        <v>180</v>
      </c>
      <c r="K568" s="638">
        <f t="shared" si="50"/>
        <v>209</v>
      </c>
      <c r="L568" s="639">
        <f>VLOOKUP(H568,ORC.AUXILIAR!I:P,7,0)</f>
        <v>4.53</v>
      </c>
      <c r="M568" s="639">
        <f>VLOOKUP(H568,ORC.AUXILIAR!I:P,8,0)</f>
        <v>815.4</v>
      </c>
      <c r="N568" s="639">
        <f t="shared" si="52"/>
        <v>170418.6</v>
      </c>
      <c r="O568" s="639">
        <f t="shared" si="53"/>
        <v>10254842880.098774</v>
      </c>
      <c r="P568" s="640">
        <f t="shared" si="51"/>
        <v>0.99960692188256584</v>
      </c>
    </row>
    <row r="569" spans="1:16">
      <c r="A569" s="627">
        <v>933.8</v>
      </c>
      <c r="B569" s="628">
        <v>140</v>
      </c>
      <c r="C569" s="629">
        <v>91931</v>
      </c>
      <c r="D569" s="628">
        <f>VLOOKUP(C569,ORC.AUXILIAR!I:J,2,0)</f>
        <v>0</v>
      </c>
      <c r="G569" s="636">
        <f t="shared" si="48"/>
        <v>0</v>
      </c>
      <c r="H569" s="636">
        <f t="shared" si="49"/>
        <v>91931</v>
      </c>
      <c r="I569" s="637" t="str">
        <f>VLOOKUP(H569,ORC.AUXILIAR!I:P,4,0)</f>
        <v>m</v>
      </c>
      <c r="J569" s="636">
        <f>VLOOKUP(H569,ORC.AUXILIAR!I:P,5,0)</f>
        <v>140</v>
      </c>
      <c r="K569" s="638">
        <f t="shared" si="50"/>
        <v>140</v>
      </c>
      <c r="L569" s="639">
        <f>VLOOKUP(H569,ORC.AUXILIAR!I:P,7,0)</f>
        <v>6.67</v>
      </c>
      <c r="M569" s="639">
        <f>VLOOKUP(H569,ORC.AUXILIAR!I:P,8,0)</f>
        <v>933.8</v>
      </c>
      <c r="N569" s="639">
        <f t="shared" si="52"/>
        <v>130732</v>
      </c>
      <c r="O569" s="639">
        <f t="shared" si="53"/>
        <v>10254973612.098774</v>
      </c>
      <c r="P569" s="640">
        <f t="shared" si="51"/>
        <v>0.9996196651896686</v>
      </c>
    </row>
    <row r="570" spans="1:16">
      <c r="A570" s="627">
        <v>929.52900000000011</v>
      </c>
      <c r="B570" s="628">
        <v>25.950000000000003</v>
      </c>
      <c r="C570" s="629">
        <v>41936</v>
      </c>
      <c r="D570" s="628">
        <f>VLOOKUP(C570,ORC.AUXILIAR!I:J,2,0)</f>
        <v>0</v>
      </c>
      <c r="G570" s="636">
        <f t="shared" si="48"/>
        <v>0</v>
      </c>
      <c r="H570" s="636">
        <f t="shared" si="49"/>
        <v>41936</v>
      </c>
      <c r="I570" s="637" t="str">
        <f>VLOOKUP(H570,ORC.AUXILIAR!I:P,4,0)</f>
        <v>m</v>
      </c>
      <c r="J570" s="636">
        <f>VLOOKUP(H570,ORC.AUXILIAR!I:P,5,0)</f>
        <v>5.15</v>
      </c>
      <c r="K570" s="638">
        <f t="shared" si="50"/>
        <v>25.950000000000003</v>
      </c>
      <c r="L570" s="639">
        <f>VLOOKUP(H570,ORC.AUXILIAR!I:P,7,0)</f>
        <v>35.82</v>
      </c>
      <c r="M570" s="639">
        <f>VLOOKUP(H570,ORC.AUXILIAR!I:P,8,0)</f>
        <v>184.47</v>
      </c>
      <c r="N570" s="639">
        <f t="shared" si="52"/>
        <v>4786.9965000000002</v>
      </c>
      <c r="O570" s="639">
        <f t="shared" si="53"/>
        <v>10254978399.095274</v>
      </c>
      <c r="P570" s="640">
        <f t="shared" si="51"/>
        <v>0.99962013180967357</v>
      </c>
    </row>
    <row r="571" spans="1:16">
      <c r="A571" s="627">
        <v>921.3</v>
      </c>
      <c r="B571" s="628">
        <v>5</v>
      </c>
      <c r="C571" s="629" t="s">
        <v>12772</v>
      </c>
      <c r="D571" s="628">
        <f>VLOOKUP(C571,ORC.AUXILIAR!I:J,2,0)</f>
        <v>0</v>
      </c>
      <c r="G571" s="636">
        <f t="shared" si="48"/>
        <v>0</v>
      </c>
      <c r="H571" s="636" t="str">
        <f t="shared" si="49"/>
        <v>RE.AI.39</v>
      </c>
      <c r="I571" s="637" t="str">
        <f>VLOOKUP(H571,ORC.AUXILIAR!I:P,4,0)</f>
        <v>pç</v>
      </c>
      <c r="J571" s="636">
        <f>VLOOKUP(H571,ORC.AUXILIAR!I:P,5,0)</f>
        <v>5</v>
      </c>
      <c r="K571" s="638">
        <f t="shared" si="50"/>
        <v>5</v>
      </c>
      <c r="L571" s="639">
        <f>VLOOKUP(H571,ORC.AUXILIAR!I:P,7,0)</f>
        <v>184.26</v>
      </c>
      <c r="M571" s="639">
        <f>VLOOKUP(H571,ORC.AUXILIAR!I:P,8,0)</f>
        <v>921.3</v>
      </c>
      <c r="N571" s="639">
        <f t="shared" si="52"/>
        <v>4606.5</v>
      </c>
      <c r="O571" s="639">
        <f t="shared" si="53"/>
        <v>10254983005.595274</v>
      </c>
      <c r="P571" s="640">
        <f t="shared" si="51"/>
        <v>0.99962058083549876</v>
      </c>
    </row>
    <row r="572" spans="1:16">
      <c r="A572" s="627">
        <v>920.6400000000001</v>
      </c>
      <c r="B572" s="628">
        <v>21</v>
      </c>
      <c r="C572" s="629">
        <v>36377</v>
      </c>
      <c r="D572" s="628">
        <f>VLOOKUP(C572,ORC.AUXILIAR!I:J,2,0)</f>
        <v>0</v>
      </c>
      <c r="G572" s="636">
        <f t="shared" si="48"/>
        <v>0</v>
      </c>
      <c r="H572" s="636">
        <f t="shared" si="49"/>
        <v>36377</v>
      </c>
      <c r="I572" s="637" t="str">
        <f>VLOOKUP(H572,ORC.AUXILIAR!I:P,4,0)</f>
        <v>m</v>
      </c>
      <c r="J572" s="636">
        <f>VLOOKUP(H572,ORC.AUXILIAR!I:P,5,0)</f>
        <v>21</v>
      </c>
      <c r="K572" s="638">
        <f t="shared" si="50"/>
        <v>21</v>
      </c>
      <c r="L572" s="639">
        <f>VLOOKUP(H572,ORC.AUXILIAR!I:P,7,0)</f>
        <v>43.84</v>
      </c>
      <c r="M572" s="639">
        <f>VLOOKUP(H572,ORC.AUXILIAR!I:P,8,0)</f>
        <v>920.64</v>
      </c>
      <c r="N572" s="639">
        <f t="shared" si="52"/>
        <v>19333.439999999999</v>
      </c>
      <c r="O572" s="639">
        <f t="shared" si="53"/>
        <v>10255002339.035275</v>
      </c>
      <c r="P572" s="640">
        <f t="shared" si="51"/>
        <v>0.99962246539293897</v>
      </c>
    </row>
    <row r="573" spans="1:16">
      <c r="A573" s="627">
        <v>917.18400000000008</v>
      </c>
      <c r="B573" s="628">
        <v>224.8</v>
      </c>
      <c r="C573" s="629">
        <v>90735</v>
      </c>
      <c r="D573" s="628">
        <f>VLOOKUP(C573,ORC.AUXILIAR!I:J,2,0)</f>
        <v>0</v>
      </c>
      <c r="G573" s="636">
        <f t="shared" si="48"/>
        <v>0</v>
      </c>
      <c r="H573" s="636">
        <f t="shared" si="49"/>
        <v>90735</v>
      </c>
      <c r="I573" s="637" t="str">
        <f>VLOOKUP(H573,ORC.AUXILIAR!I:P,4,0)</f>
        <v>M</v>
      </c>
      <c r="J573" s="636">
        <f>VLOOKUP(H573,ORC.AUXILIAR!I:P,5,0)</f>
        <v>224.8</v>
      </c>
      <c r="K573" s="638">
        <f t="shared" si="50"/>
        <v>224.8</v>
      </c>
      <c r="L573" s="639">
        <f>VLOOKUP(H573,ORC.AUXILIAR!I:P,7,0)</f>
        <v>4.08</v>
      </c>
      <c r="M573" s="639">
        <f>VLOOKUP(H573,ORC.AUXILIAR!I:P,8,0)</f>
        <v>917.18</v>
      </c>
      <c r="N573" s="639">
        <f t="shared" si="52"/>
        <v>206182.06400000001</v>
      </c>
      <c r="O573" s="639">
        <f t="shared" si="53"/>
        <v>10255208521.099274</v>
      </c>
      <c r="P573" s="640">
        <f t="shared" si="51"/>
        <v>0.99964256331357526</v>
      </c>
    </row>
    <row r="574" spans="1:16">
      <c r="A574" s="627">
        <v>909.44</v>
      </c>
      <c r="B574" s="628">
        <v>64</v>
      </c>
      <c r="C574" s="629" t="s">
        <v>12907</v>
      </c>
      <c r="D574" s="628">
        <f>VLOOKUP(C574,ORC.AUXILIAR!I:J,2,0)</f>
        <v>0</v>
      </c>
      <c r="G574" s="636">
        <f t="shared" si="48"/>
        <v>0</v>
      </c>
      <c r="H574" s="636" t="str">
        <f t="shared" si="49"/>
        <v>PAR.F°F°.01</v>
      </c>
      <c r="I574" s="637" t="str">
        <f>VLOOKUP(H574,ORC.AUXILIAR!I:P,4,0)</f>
        <v>pç</v>
      </c>
      <c r="J574" s="636">
        <f>VLOOKUP(H574,ORC.AUXILIAR!I:P,5,0)</f>
        <v>64</v>
      </c>
      <c r="K574" s="638">
        <f t="shared" si="50"/>
        <v>64</v>
      </c>
      <c r="L574" s="639">
        <f>VLOOKUP(H574,ORC.AUXILIAR!I:P,7,0)</f>
        <v>14.21</v>
      </c>
      <c r="M574" s="639">
        <f>VLOOKUP(H574,ORC.AUXILIAR!I:P,8,0)</f>
        <v>909.44</v>
      </c>
      <c r="N574" s="639">
        <f t="shared" si="52"/>
        <v>58204.160000000003</v>
      </c>
      <c r="O574" s="639">
        <f t="shared" si="53"/>
        <v>10255266725.259274</v>
      </c>
      <c r="P574" s="640">
        <f t="shared" si="51"/>
        <v>0.99964823685552007</v>
      </c>
    </row>
    <row r="575" spans="1:16">
      <c r="A575" s="627">
        <v>903.89</v>
      </c>
      <c r="B575" s="628">
        <v>1</v>
      </c>
      <c r="C575" s="629" t="s">
        <v>12970</v>
      </c>
      <c r="D575" s="628">
        <f>VLOOKUP(C575,ORC.AUXILIAR!I:J,2,0)</f>
        <v>0</v>
      </c>
      <c r="G575" s="636">
        <f t="shared" si="48"/>
        <v>0</v>
      </c>
      <c r="H575" s="636" t="str">
        <f t="shared" si="49"/>
        <v>TP.FºF°.26</v>
      </c>
      <c r="I575" s="637" t="str">
        <f>VLOOKUP(H575,ORC.AUXILIAR!I:P,4,0)</f>
        <v>pç</v>
      </c>
      <c r="J575" s="636">
        <f>VLOOKUP(H575,ORC.AUXILIAR!I:P,5,0)</f>
        <v>1</v>
      </c>
      <c r="K575" s="638">
        <f t="shared" si="50"/>
        <v>1</v>
      </c>
      <c r="L575" s="639">
        <f>VLOOKUP(H575,ORC.AUXILIAR!I:P,7,0)</f>
        <v>903.89</v>
      </c>
      <c r="M575" s="639">
        <f>VLOOKUP(H575,ORC.AUXILIAR!I:P,8,0)</f>
        <v>903.89</v>
      </c>
      <c r="N575" s="639">
        <f t="shared" si="52"/>
        <v>903.89</v>
      </c>
      <c r="O575" s="639">
        <f t="shared" si="53"/>
        <v>10255267629.149273</v>
      </c>
      <c r="P575" s="640">
        <f t="shared" si="51"/>
        <v>0.999648324963618</v>
      </c>
    </row>
    <row r="576" spans="1:16">
      <c r="A576" s="627">
        <v>903.83999999999992</v>
      </c>
      <c r="B576" s="628">
        <v>24</v>
      </c>
      <c r="C576" s="629" t="s">
        <v>12730</v>
      </c>
      <c r="D576" s="628">
        <f>VLOOKUP(C576,ORC.AUXILIAR!I:J,2,0)</f>
        <v>0</v>
      </c>
      <c r="G576" s="636">
        <f t="shared" si="48"/>
        <v>0</v>
      </c>
      <c r="H576" s="636" t="str">
        <f t="shared" si="49"/>
        <v>RE.AI.18</v>
      </c>
      <c r="I576" s="637" t="str">
        <f>VLOOKUP(H576,ORC.AUXILIAR!I:P,4,0)</f>
        <v>pç</v>
      </c>
      <c r="J576" s="636">
        <f>VLOOKUP(H576,ORC.AUXILIAR!I:P,5,0)</f>
        <v>24</v>
      </c>
      <c r="K576" s="638">
        <f t="shared" si="50"/>
        <v>24</v>
      </c>
      <c r="L576" s="639">
        <f>VLOOKUP(H576,ORC.AUXILIAR!I:P,7,0)</f>
        <v>37.659999999999997</v>
      </c>
      <c r="M576" s="639">
        <f>VLOOKUP(H576,ORC.AUXILIAR!I:P,8,0)</f>
        <v>903.84</v>
      </c>
      <c r="N576" s="639">
        <f t="shared" si="52"/>
        <v>21692.16</v>
      </c>
      <c r="O576" s="639">
        <f t="shared" si="53"/>
        <v>10255289321.309273</v>
      </c>
      <c r="P576" s="640">
        <f t="shared" si="51"/>
        <v>0.99965043944099607</v>
      </c>
    </row>
    <row r="577" spans="1:16">
      <c r="A577" s="627">
        <v>898.72</v>
      </c>
      <c r="B577" s="628">
        <v>1</v>
      </c>
      <c r="C577" s="629" t="s">
        <v>14183</v>
      </c>
      <c r="D577" s="628">
        <f>VLOOKUP(C577,ORC.AUXILIAR!I:J,2,0)</f>
        <v>0</v>
      </c>
      <c r="G577" s="636">
        <f t="shared" si="48"/>
        <v>0</v>
      </c>
      <c r="H577" s="636" t="str">
        <f t="shared" si="49"/>
        <v>CT.FºFº.05</v>
      </c>
      <c r="I577" s="637" t="str">
        <f>VLOOKUP(H577,ORC.AUXILIAR!I:P,4,0)</f>
        <v>un</v>
      </c>
      <c r="J577" s="636">
        <f>VLOOKUP(H577,ORC.AUXILIAR!I:P,5,0)</f>
        <v>1</v>
      </c>
      <c r="K577" s="638">
        <f t="shared" si="50"/>
        <v>1</v>
      </c>
      <c r="L577" s="639">
        <f>VLOOKUP(H577,ORC.AUXILIAR!I:P,7,0)</f>
        <v>898.72</v>
      </c>
      <c r="M577" s="639">
        <f>VLOOKUP(H577,ORC.AUXILIAR!I:P,8,0)</f>
        <v>898.72</v>
      </c>
      <c r="N577" s="639">
        <f t="shared" si="52"/>
        <v>898.72</v>
      </c>
      <c r="O577" s="639">
        <f t="shared" si="53"/>
        <v>10255290220.029272</v>
      </c>
      <c r="P577" s="640">
        <f t="shared" si="51"/>
        <v>0.99965052704514012</v>
      </c>
    </row>
    <row r="578" spans="1:16">
      <c r="A578" s="627">
        <v>893.3</v>
      </c>
      <c r="B578" s="628">
        <v>2</v>
      </c>
      <c r="C578" s="629" t="s">
        <v>13193</v>
      </c>
      <c r="D578" s="628">
        <f>VLOOKUP(C578,ORC.AUXILIAR!I:J,2,0)</f>
        <v>0</v>
      </c>
      <c r="G578" s="636">
        <f t="shared" si="48"/>
        <v>0</v>
      </c>
      <c r="H578" s="636" t="str">
        <f t="shared" si="49"/>
        <v>LS.RPVC.06</v>
      </c>
      <c r="I578" s="637" t="str">
        <f>VLOOKUP(H578,ORC.AUXILIAR!I:P,4,0)</f>
        <v>pç</v>
      </c>
      <c r="J578" s="636">
        <f>VLOOKUP(H578,ORC.AUXILIAR!I:P,5,0)</f>
        <v>2</v>
      </c>
      <c r="K578" s="638">
        <f t="shared" si="50"/>
        <v>2</v>
      </c>
      <c r="L578" s="639">
        <f>VLOOKUP(H578,ORC.AUXILIAR!I:P,7,0)</f>
        <v>446.65</v>
      </c>
      <c r="M578" s="639">
        <f>VLOOKUP(H578,ORC.AUXILIAR!I:P,8,0)</f>
        <v>893.3</v>
      </c>
      <c r="N578" s="639">
        <f t="shared" si="52"/>
        <v>1786.6</v>
      </c>
      <c r="O578" s="639">
        <f t="shared" si="53"/>
        <v>10255292006.629272</v>
      </c>
      <c r="P578" s="640">
        <f t="shared" si="51"/>
        <v>0.99965070119678223</v>
      </c>
    </row>
    <row r="579" spans="1:16">
      <c r="A579" s="627">
        <v>889.92</v>
      </c>
      <c r="B579" s="628">
        <v>96</v>
      </c>
      <c r="C579" s="629">
        <v>89536</v>
      </c>
      <c r="D579" s="628">
        <f>VLOOKUP(C579,ORC.AUXILIAR!I:J,2,0)</f>
        <v>0</v>
      </c>
      <c r="G579" s="636">
        <f t="shared" si="48"/>
        <v>0</v>
      </c>
      <c r="H579" s="636">
        <f t="shared" si="49"/>
        <v>89536</v>
      </c>
      <c r="I579" s="637" t="str">
        <f>VLOOKUP(H579,ORC.AUXILIAR!I:P,4,0)</f>
        <v>pç</v>
      </c>
      <c r="J579" s="636">
        <f>VLOOKUP(H579,ORC.AUXILIAR!I:P,5,0)</f>
        <v>96</v>
      </c>
      <c r="K579" s="638">
        <f t="shared" si="50"/>
        <v>96</v>
      </c>
      <c r="L579" s="639">
        <f>VLOOKUP(H579,ORC.AUXILIAR!I:P,7,0)</f>
        <v>9.27</v>
      </c>
      <c r="M579" s="639">
        <f>VLOOKUP(H579,ORC.AUXILIAR!I:P,8,0)</f>
        <v>889.92</v>
      </c>
      <c r="N579" s="639">
        <f t="shared" si="52"/>
        <v>85432.319999999992</v>
      </c>
      <c r="O579" s="639">
        <f t="shared" si="53"/>
        <v>10255377438.949272</v>
      </c>
      <c r="P579" s="640">
        <f t="shared" si="51"/>
        <v>0.99965902884640323</v>
      </c>
    </row>
    <row r="580" spans="1:16">
      <c r="A580" s="627">
        <v>870.1</v>
      </c>
      <c r="B580" s="628">
        <v>7</v>
      </c>
      <c r="C580" s="629" t="s">
        <v>12762</v>
      </c>
      <c r="D580" s="628">
        <f>VLOOKUP(C580,ORC.AUXILIAR!I:J,2,0)</f>
        <v>0</v>
      </c>
      <c r="G580" s="636">
        <f t="shared" si="48"/>
        <v>0</v>
      </c>
      <c r="H580" s="636" t="str">
        <f t="shared" si="49"/>
        <v>RE.AI.34</v>
      </c>
      <c r="I580" s="637" t="str">
        <f>VLOOKUP(H580,ORC.AUXILIAR!I:P,4,0)</f>
        <v>m</v>
      </c>
      <c r="J580" s="636">
        <f>VLOOKUP(H580,ORC.AUXILIAR!I:P,5,0)</f>
        <v>7</v>
      </c>
      <c r="K580" s="638">
        <f t="shared" si="50"/>
        <v>7</v>
      </c>
      <c r="L580" s="639">
        <f>VLOOKUP(H580,ORC.AUXILIAR!I:P,7,0)</f>
        <v>124.3</v>
      </c>
      <c r="M580" s="639">
        <f>VLOOKUP(H580,ORC.AUXILIAR!I:P,8,0)</f>
        <v>870.1</v>
      </c>
      <c r="N580" s="639">
        <f t="shared" si="52"/>
        <v>6090.7</v>
      </c>
      <c r="O580" s="639">
        <f t="shared" si="53"/>
        <v>10255383529.649273</v>
      </c>
      <c r="P580" s="640">
        <f t="shared" si="51"/>
        <v>0.99965962254695528</v>
      </c>
    </row>
    <row r="581" spans="1:16">
      <c r="A581" s="627">
        <v>869.16</v>
      </c>
      <c r="B581" s="628">
        <v>4</v>
      </c>
      <c r="C581" s="629" t="s">
        <v>13195</v>
      </c>
      <c r="D581" s="628">
        <f>VLOOKUP(C581,ORC.AUXILIAR!I:J,2,0)</f>
        <v>0</v>
      </c>
      <c r="G581" s="636">
        <f t="shared" si="48"/>
        <v>0</v>
      </c>
      <c r="H581" s="636" t="str">
        <f t="shared" si="49"/>
        <v>RE.RPVC.10</v>
      </c>
      <c r="I581" s="637" t="str">
        <f>VLOOKUP(H581,ORC.AUXILIAR!I:P,4,0)</f>
        <v>pç</v>
      </c>
      <c r="J581" s="636">
        <f>VLOOKUP(H581,ORC.AUXILIAR!I:P,5,0)</f>
        <v>4</v>
      </c>
      <c r="K581" s="638">
        <f t="shared" si="50"/>
        <v>4</v>
      </c>
      <c r="L581" s="639">
        <f>VLOOKUP(H581,ORC.AUXILIAR!I:P,7,0)</f>
        <v>217.29</v>
      </c>
      <c r="M581" s="639">
        <f>VLOOKUP(H581,ORC.AUXILIAR!I:P,8,0)</f>
        <v>869.16</v>
      </c>
      <c r="N581" s="639">
        <f t="shared" si="52"/>
        <v>3476.64</v>
      </c>
      <c r="O581" s="639">
        <f t="shared" si="53"/>
        <v>10255387006.289272</v>
      </c>
      <c r="P581" s="640">
        <f t="shared" si="51"/>
        <v>0.9996599614379017</v>
      </c>
    </row>
    <row r="582" spans="1:16">
      <c r="A582" s="627">
        <v>866.88000000000011</v>
      </c>
      <c r="B582" s="628">
        <v>1548</v>
      </c>
      <c r="C582" s="629" t="s">
        <v>14396</v>
      </c>
      <c r="D582" s="628">
        <f>VLOOKUP(C582,ORC.AUXILIAR!I:J,2,0)</f>
        <v>0</v>
      </c>
      <c r="G582" s="636">
        <f t="shared" ref="G582:G645" si="54">D582</f>
        <v>0</v>
      </c>
      <c r="H582" s="636" t="str">
        <f t="shared" ref="H582:H645" si="55">C582</f>
        <v>REATOR.FB.32</v>
      </c>
      <c r="I582" s="637" t="str">
        <f>VLOOKUP(H582,ORC.AUXILIAR!I:P,4,0)</f>
        <v>pç</v>
      </c>
      <c r="J582" s="636">
        <f>VLOOKUP(H582,ORC.AUXILIAR!I:P,5,0)</f>
        <v>1548</v>
      </c>
      <c r="K582" s="638">
        <f t="shared" ref="K582:K645" si="56">B582</f>
        <v>1548</v>
      </c>
      <c r="L582" s="639">
        <f>VLOOKUP(H582,ORC.AUXILIAR!I:P,7,0)</f>
        <v>0.56000000000000005</v>
      </c>
      <c r="M582" s="639">
        <f>VLOOKUP(H582,ORC.AUXILIAR!I:P,8,0)</f>
        <v>866.88</v>
      </c>
      <c r="N582" s="639">
        <f t="shared" si="52"/>
        <v>1341930.24</v>
      </c>
      <c r="O582" s="639">
        <f t="shared" si="53"/>
        <v>10256728936.529272</v>
      </c>
      <c r="P582" s="640">
        <f t="shared" ref="P582:P645" si="57">O582/N$4</f>
        <v>0.99979076819645185</v>
      </c>
    </row>
    <row r="583" spans="1:16">
      <c r="A583" s="627">
        <v>857.12260000000003</v>
      </c>
      <c r="B583" s="628">
        <v>89.47</v>
      </c>
      <c r="C583" s="629">
        <v>88487</v>
      </c>
      <c r="D583" s="628">
        <f>VLOOKUP(C583,ORC.AUXILIAR!I:J,2,0)</f>
        <v>0</v>
      </c>
      <c r="G583" s="636">
        <f t="shared" si="54"/>
        <v>0</v>
      </c>
      <c r="H583" s="636">
        <f t="shared" si="55"/>
        <v>88487</v>
      </c>
      <c r="I583" s="637" t="str">
        <f>VLOOKUP(H583,ORC.AUXILIAR!I:P,4,0)</f>
        <v>M2</v>
      </c>
      <c r="J583" s="636">
        <f>VLOOKUP(H583,ORC.AUXILIAR!I:P,5,0)</f>
        <v>13.24</v>
      </c>
      <c r="K583" s="638">
        <f t="shared" si="56"/>
        <v>89.47</v>
      </c>
      <c r="L583" s="639">
        <f>VLOOKUP(H583,ORC.AUXILIAR!I:P,7,0)</f>
        <v>9.58</v>
      </c>
      <c r="M583" s="639">
        <f>VLOOKUP(H583,ORC.AUXILIAR!I:P,8,0)</f>
        <v>126.84</v>
      </c>
      <c r="N583" s="639">
        <f t="shared" ref="N583:N646" si="58">K583*M583</f>
        <v>11348.3748</v>
      </c>
      <c r="O583" s="639">
        <f t="shared" ref="O583:O646" si="59">N583+O582</f>
        <v>10256740284.904072</v>
      </c>
      <c r="P583" s="640">
        <f t="shared" si="57"/>
        <v>0.99979187439711581</v>
      </c>
    </row>
    <row r="584" spans="1:16">
      <c r="A584" s="627">
        <v>855.6</v>
      </c>
      <c r="B584" s="628">
        <v>2</v>
      </c>
      <c r="C584" s="629" t="s">
        <v>13237</v>
      </c>
      <c r="D584" s="628">
        <f>VLOOKUP(C584,ORC.AUXILIAR!I:J,2,0)</f>
        <v>0</v>
      </c>
      <c r="G584" s="636">
        <f t="shared" si="54"/>
        <v>0</v>
      </c>
      <c r="H584" s="636" t="str">
        <f t="shared" si="55"/>
        <v>TP.GR.02</v>
      </c>
      <c r="I584" s="637" t="str">
        <f>VLOOKUP(H584,ORC.AUXILIAR!I:P,4,0)</f>
        <v>un</v>
      </c>
      <c r="J584" s="636">
        <f>VLOOKUP(H584,ORC.AUXILIAR!I:P,5,0)</f>
        <v>2</v>
      </c>
      <c r="K584" s="638">
        <f t="shared" si="56"/>
        <v>2</v>
      </c>
      <c r="L584" s="639">
        <f>VLOOKUP(H584,ORC.AUXILIAR!I:P,7,0)</f>
        <v>427.8</v>
      </c>
      <c r="M584" s="639">
        <f>VLOOKUP(H584,ORC.AUXILIAR!I:P,8,0)</f>
        <v>855.6</v>
      </c>
      <c r="N584" s="639">
        <f t="shared" si="58"/>
        <v>1711.2</v>
      </c>
      <c r="O584" s="639">
        <f t="shared" si="59"/>
        <v>10256741996.104073</v>
      </c>
      <c r="P584" s="640">
        <f t="shared" si="57"/>
        <v>0.99979204119902443</v>
      </c>
    </row>
    <row r="585" spans="1:16">
      <c r="A585" s="627">
        <v>854.92</v>
      </c>
      <c r="B585" s="628">
        <v>1</v>
      </c>
      <c r="C585" s="629" t="s">
        <v>13084</v>
      </c>
      <c r="D585" s="628">
        <f>VLOOKUP(C585,ORC.AUXILIAR!I:J,2,0)</f>
        <v>0</v>
      </c>
      <c r="G585" s="636">
        <f t="shared" si="54"/>
        <v>0</v>
      </c>
      <c r="H585" s="636" t="str">
        <f t="shared" si="55"/>
        <v>TP.GR.12</v>
      </c>
      <c r="I585" s="637" t="str">
        <f>VLOOKUP(H585,ORC.AUXILIAR!I:P,4,0)</f>
        <v>un</v>
      </c>
      <c r="J585" s="636">
        <f>VLOOKUP(H585,ORC.AUXILIAR!I:P,5,0)</f>
        <v>1</v>
      </c>
      <c r="K585" s="638">
        <f t="shared" si="56"/>
        <v>1</v>
      </c>
      <c r="L585" s="639">
        <f>VLOOKUP(H585,ORC.AUXILIAR!I:P,7,0)</f>
        <v>854.92</v>
      </c>
      <c r="M585" s="639">
        <f>VLOOKUP(H585,ORC.AUXILIAR!I:P,8,0)</f>
        <v>854.92</v>
      </c>
      <c r="N585" s="639">
        <f t="shared" si="58"/>
        <v>854.92</v>
      </c>
      <c r="O585" s="639">
        <f t="shared" si="59"/>
        <v>10256742851.024073</v>
      </c>
      <c r="P585" s="640">
        <f t="shared" si="57"/>
        <v>0.9997921245336947</v>
      </c>
    </row>
    <row r="586" spans="1:16">
      <c r="A586" s="627">
        <v>843.08</v>
      </c>
      <c r="B586" s="628">
        <v>4</v>
      </c>
      <c r="C586" s="629" t="s">
        <v>13795</v>
      </c>
      <c r="D586" s="628">
        <f>VLOOKUP(C586,ORC.AUXILIAR!I:J,2,0)</f>
        <v>0</v>
      </c>
      <c r="G586" s="636">
        <f t="shared" si="54"/>
        <v>0</v>
      </c>
      <c r="H586" s="636" t="str">
        <f t="shared" si="55"/>
        <v>QCM.CX.AREIA.32</v>
      </c>
      <c r="I586" s="637" t="str">
        <f>VLOOKUP(H586,ORC.AUXILIAR!I:P,4,0)</f>
        <v>Un</v>
      </c>
      <c r="J586" s="636">
        <f>VLOOKUP(H586,ORC.AUXILIAR!I:P,5,0)</f>
        <v>4</v>
      </c>
      <c r="K586" s="638">
        <f t="shared" si="56"/>
        <v>4</v>
      </c>
      <c r="L586" s="639">
        <f>VLOOKUP(H586,ORC.AUXILIAR!I:P,7,0)</f>
        <v>210.77</v>
      </c>
      <c r="M586" s="639">
        <f>VLOOKUP(H586,ORC.AUXILIAR!I:P,8,0)</f>
        <v>843.08</v>
      </c>
      <c r="N586" s="639">
        <f t="shared" si="58"/>
        <v>3372.32</v>
      </c>
      <c r="O586" s="639">
        <f t="shared" si="59"/>
        <v>10256746223.344072</v>
      </c>
      <c r="P586" s="640">
        <f t="shared" si="57"/>
        <v>0.99979245325588517</v>
      </c>
    </row>
    <row r="587" spans="1:16">
      <c r="A587" s="627">
        <v>836.72</v>
      </c>
      <c r="B587" s="628">
        <v>2</v>
      </c>
      <c r="C587" s="629" t="s">
        <v>13788</v>
      </c>
      <c r="D587" s="628">
        <f>VLOOKUP(C587,ORC.AUXILIAR!I:J,2,0)</f>
        <v>0</v>
      </c>
      <c r="G587" s="636">
        <f t="shared" si="54"/>
        <v>0</v>
      </c>
      <c r="H587" s="636" t="str">
        <f t="shared" si="55"/>
        <v>QCM.CX.AREIA.27</v>
      </c>
      <c r="I587" s="637" t="str">
        <f>VLOOKUP(H587,ORC.AUXILIAR!I:P,4,0)</f>
        <v>Un</v>
      </c>
      <c r="J587" s="636">
        <f>VLOOKUP(H587,ORC.AUXILIAR!I:P,5,0)</f>
        <v>2</v>
      </c>
      <c r="K587" s="638">
        <f t="shared" si="56"/>
        <v>2</v>
      </c>
      <c r="L587" s="639">
        <f>VLOOKUP(H587,ORC.AUXILIAR!I:P,7,0)</f>
        <v>418.36</v>
      </c>
      <c r="M587" s="639">
        <f>VLOOKUP(H587,ORC.AUXILIAR!I:P,8,0)</f>
        <v>836.72</v>
      </c>
      <c r="N587" s="639">
        <f t="shared" si="58"/>
        <v>1673.44</v>
      </c>
      <c r="O587" s="639">
        <f t="shared" si="59"/>
        <v>10256747896.784073</v>
      </c>
      <c r="P587" s="640">
        <f t="shared" si="57"/>
        <v>0.9997926163770785</v>
      </c>
    </row>
    <row r="588" spans="1:16">
      <c r="A588" s="627">
        <v>806.68000000000006</v>
      </c>
      <c r="B588" s="628">
        <v>75.25</v>
      </c>
      <c r="C588" s="629">
        <v>88486</v>
      </c>
      <c r="D588" s="628">
        <f>VLOOKUP(C588,ORC.AUXILIAR!I:J,2,0)</f>
        <v>0</v>
      </c>
      <c r="G588" s="636">
        <f t="shared" si="54"/>
        <v>0</v>
      </c>
      <c r="H588" s="636">
        <f t="shared" si="55"/>
        <v>88486</v>
      </c>
      <c r="I588" s="637" t="str">
        <f>VLOOKUP(H588,ORC.AUXILIAR!I:P,4,0)</f>
        <v>M2</v>
      </c>
      <c r="J588" s="636">
        <f>VLOOKUP(H588,ORC.AUXILIAR!I:P,5,0)</f>
        <v>8.3699999999999992</v>
      </c>
      <c r="K588" s="638">
        <f t="shared" si="56"/>
        <v>75.25</v>
      </c>
      <c r="L588" s="639">
        <f>VLOOKUP(H588,ORC.AUXILIAR!I:P,7,0)</f>
        <v>10.72</v>
      </c>
      <c r="M588" s="639">
        <f>VLOOKUP(H588,ORC.AUXILIAR!I:P,8,0)</f>
        <v>89.73</v>
      </c>
      <c r="N588" s="639">
        <f t="shared" si="58"/>
        <v>6752.1824999999999</v>
      </c>
      <c r="O588" s="639">
        <f t="shared" si="59"/>
        <v>10256754648.966574</v>
      </c>
      <c r="P588" s="640">
        <f t="shared" si="57"/>
        <v>0.99979327455667655</v>
      </c>
    </row>
    <row r="589" spans="1:16">
      <c r="A589" s="627">
        <v>803.91421124978046</v>
      </c>
      <c r="B589" s="628">
        <v>7.7793130564135904</v>
      </c>
      <c r="C589" s="629">
        <v>171</v>
      </c>
      <c r="D589" s="628">
        <f>VLOOKUP(C589,ORC.AUXILIAR!I:J,2,0)</f>
        <v>0</v>
      </c>
      <c r="G589" s="636">
        <f t="shared" si="54"/>
        <v>0</v>
      </c>
      <c r="H589" s="636">
        <f t="shared" si="55"/>
        <v>171</v>
      </c>
      <c r="I589" s="637" t="str">
        <f>VLOOKUP(H589,ORC.AUXILIAR!I:P,4,0)</f>
        <v>M3</v>
      </c>
      <c r="J589" s="636">
        <f>VLOOKUP(H589,ORC.AUXILIAR!I:P,5,0)</f>
        <v>0</v>
      </c>
      <c r="K589" s="638">
        <f t="shared" si="56"/>
        <v>7.7793130564135904</v>
      </c>
      <c r="L589" s="639">
        <f>VLOOKUP(H589,ORC.AUXILIAR!I:P,7,0)</f>
        <v>103.34</v>
      </c>
      <c r="M589" s="639">
        <f>VLOOKUP(H589,ORC.AUXILIAR!I:P,8,0)</f>
        <v>0</v>
      </c>
      <c r="N589" s="639">
        <f t="shared" si="58"/>
        <v>0</v>
      </c>
      <c r="O589" s="639">
        <f t="shared" si="59"/>
        <v>10256754648.966574</v>
      </c>
      <c r="P589" s="640">
        <f t="shared" si="57"/>
        <v>0.99979327455667655</v>
      </c>
    </row>
    <row r="590" spans="1:16">
      <c r="A590" s="627">
        <v>798.34999999999991</v>
      </c>
      <c r="B590" s="628">
        <v>35</v>
      </c>
      <c r="C590" s="629">
        <v>92701</v>
      </c>
      <c r="D590" s="628">
        <f>VLOOKUP(C590,ORC.AUXILIAR!I:J,2,0)</f>
        <v>0</v>
      </c>
      <c r="G590" s="636">
        <f t="shared" si="54"/>
        <v>0</v>
      </c>
      <c r="H590" s="636">
        <f t="shared" si="55"/>
        <v>92701</v>
      </c>
      <c r="I590" s="637" t="str">
        <f>VLOOKUP(H590,ORC.AUXILIAR!I:P,4,0)</f>
        <v>pç</v>
      </c>
      <c r="J590" s="636">
        <f>VLOOKUP(H590,ORC.AUXILIAR!I:P,5,0)</f>
        <v>35</v>
      </c>
      <c r="K590" s="638">
        <f t="shared" si="56"/>
        <v>35</v>
      </c>
      <c r="L590" s="639">
        <f>VLOOKUP(H590,ORC.AUXILIAR!I:P,7,0)</f>
        <v>22.81</v>
      </c>
      <c r="M590" s="639">
        <f>VLOOKUP(H590,ORC.AUXILIAR!I:P,8,0)</f>
        <v>798.35</v>
      </c>
      <c r="N590" s="639">
        <f t="shared" si="58"/>
        <v>27942.25</v>
      </c>
      <c r="O590" s="639">
        <f t="shared" si="59"/>
        <v>10256782591.216574</v>
      </c>
      <c r="P590" s="640">
        <f t="shared" si="57"/>
        <v>0.99979599827139742</v>
      </c>
    </row>
    <row r="591" spans="1:16">
      <c r="A591" s="627">
        <v>794.96</v>
      </c>
      <c r="B591" s="628">
        <v>38</v>
      </c>
      <c r="C591" s="629" t="s">
        <v>11748</v>
      </c>
      <c r="D591" s="628">
        <f>VLOOKUP(C591,ORC.AUXILIAR!I:J,2,0)</f>
        <v>0</v>
      </c>
      <c r="G591" s="636">
        <f t="shared" si="54"/>
        <v>0</v>
      </c>
      <c r="H591" s="636" t="str">
        <f t="shared" si="55"/>
        <v>INS.ELET.20</v>
      </c>
      <c r="I591" s="637" t="str">
        <f>VLOOKUP(H591,ORC.AUXILIAR!I:P,4,0)</f>
        <v>un un</v>
      </c>
      <c r="J591" s="636">
        <f>VLOOKUP(H591,ORC.AUXILIAR!I:P,5,0)</f>
        <v>38</v>
      </c>
      <c r="K591" s="638">
        <f t="shared" si="56"/>
        <v>38</v>
      </c>
      <c r="L591" s="639">
        <f>VLOOKUP(H591,ORC.AUXILIAR!I:P,7,0)</f>
        <v>20.92</v>
      </c>
      <c r="M591" s="639">
        <f>VLOOKUP(H591,ORC.AUXILIAR!I:P,8,0)</f>
        <v>794.96</v>
      </c>
      <c r="N591" s="639">
        <f t="shared" si="58"/>
        <v>30208.480000000003</v>
      </c>
      <c r="O591" s="639">
        <f t="shared" si="59"/>
        <v>10256812799.696573</v>
      </c>
      <c r="P591" s="640">
        <f t="shared" si="57"/>
        <v>0.99979894289044824</v>
      </c>
    </row>
    <row r="592" spans="1:16">
      <c r="A592" s="627">
        <v>789.79349999999999</v>
      </c>
      <c r="B592" s="628">
        <v>27.15</v>
      </c>
      <c r="C592" s="629">
        <v>20231</v>
      </c>
      <c r="D592" s="628">
        <f>VLOOKUP(C592,ORC.AUXILIAR!I:J,2,0)</f>
        <v>0</v>
      </c>
      <c r="G592" s="636">
        <f t="shared" si="54"/>
        <v>0</v>
      </c>
      <c r="H592" s="636">
        <f t="shared" si="55"/>
        <v>20231</v>
      </c>
      <c r="I592" s="637" t="str">
        <f>VLOOKUP(H592,ORC.AUXILIAR!I:P,4,0)</f>
        <v>M</v>
      </c>
      <c r="J592" s="636">
        <f>VLOOKUP(H592,ORC.AUXILIAR!I:P,5,0)</f>
        <v>19.75</v>
      </c>
      <c r="K592" s="638">
        <f t="shared" si="56"/>
        <v>27.15</v>
      </c>
      <c r="L592" s="639">
        <f>VLOOKUP(H592,ORC.AUXILIAR!I:P,7,0)</f>
        <v>29.09</v>
      </c>
      <c r="M592" s="639">
        <f>VLOOKUP(H592,ORC.AUXILIAR!I:P,8,0)</f>
        <v>574.53</v>
      </c>
      <c r="N592" s="639">
        <f t="shared" si="58"/>
        <v>15598.489499999998</v>
      </c>
      <c r="O592" s="639">
        <f t="shared" si="59"/>
        <v>10256828398.186073</v>
      </c>
      <c r="P592" s="640">
        <f t="shared" si="57"/>
        <v>0.99980046337772022</v>
      </c>
    </row>
    <row r="593" spans="1:16">
      <c r="A593" s="627">
        <v>785.26</v>
      </c>
      <c r="B593" s="628">
        <v>14</v>
      </c>
      <c r="C593" s="629" t="s">
        <v>12748</v>
      </c>
      <c r="D593" s="628">
        <f>VLOOKUP(C593,ORC.AUXILIAR!I:J,2,0)</f>
        <v>0</v>
      </c>
      <c r="G593" s="636">
        <f t="shared" si="54"/>
        <v>0</v>
      </c>
      <c r="H593" s="636" t="str">
        <f t="shared" si="55"/>
        <v>RE.AI.27</v>
      </c>
      <c r="I593" s="637" t="str">
        <f>VLOOKUP(H593,ORC.AUXILIAR!I:P,4,0)</f>
        <v>pç</v>
      </c>
      <c r="J593" s="636">
        <f>VLOOKUP(H593,ORC.AUXILIAR!I:P,5,0)</f>
        <v>14</v>
      </c>
      <c r="K593" s="638">
        <f t="shared" si="56"/>
        <v>14</v>
      </c>
      <c r="L593" s="639">
        <f>VLOOKUP(H593,ORC.AUXILIAR!I:P,7,0)</f>
        <v>56.09</v>
      </c>
      <c r="M593" s="639">
        <f>VLOOKUP(H593,ORC.AUXILIAR!I:P,8,0)</f>
        <v>785.26</v>
      </c>
      <c r="N593" s="639">
        <f t="shared" si="58"/>
        <v>10993.64</v>
      </c>
      <c r="O593" s="639">
        <f t="shared" si="59"/>
        <v>10256839391.826073</v>
      </c>
      <c r="P593" s="640">
        <f t="shared" si="57"/>
        <v>0.99980153500005209</v>
      </c>
    </row>
    <row r="594" spans="1:16">
      <c r="A594" s="627">
        <v>779.04</v>
      </c>
      <c r="B594" s="628">
        <v>24</v>
      </c>
      <c r="C594" s="629">
        <v>3452</v>
      </c>
      <c r="D594" s="628">
        <f>VLOOKUP(C594,ORC.AUXILIAR!I:J,2,0)</f>
        <v>0</v>
      </c>
      <c r="G594" s="636">
        <f t="shared" si="54"/>
        <v>0</v>
      </c>
      <c r="H594" s="636">
        <f t="shared" si="55"/>
        <v>3452</v>
      </c>
      <c r="I594" s="637" t="str">
        <f>VLOOKUP(H594,ORC.AUXILIAR!I:P,4,0)</f>
        <v>pç</v>
      </c>
      <c r="J594" s="636">
        <f>VLOOKUP(H594,ORC.AUXILIAR!I:P,5,0)</f>
        <v>24</v>
      </c>
      <c r="K594" s="638">
        <f t="shared" si="56"/>
        <v>24</v>
      </c>
      <c r="L594" s="639">
        <f>VLOOKUP(H594,ORC.AUXILIAR!I:P,7,0)</f>
        <v>32.46</v>
      </c>
      <c r="M594" s="639">
        <f>VLOOKUP(H594,ORC.AUXILIAR!I:P,8,0)</f>
        <v>779.04</v>
      </c>
      <c r="N594" s="639">
        <f t="shared" si="58"/>
        <v>18696.96</v>
      </c>
      <c r="O594" s="639">
        <f t="shared" si="59"/>
        <v>10256858088.786072</v>
      </c>
      <c r="P594" s="640">
        <f t="shared" si="57"/>
        <v>0.99980335751560412</v>
      </c>
    </row>
    <row r="595" spans="1:16">
      <c r="A595" s="627">
        <v>770.81999999999994</v>
      </c>
      <c r="B595" s="628">
        <v>6</v>
      </c>
      <c r="C595" s="629">
        <v>39682</v>
      </c>
      <c r="D595" s="628">
        <f>VLOOKUP(C595,ORC.AUXILIAR!I:J,2,0)</f>
        <v>0</v>
      </c>
      <c r="G595" s="636">
        <f t="shared" si="54"/>
        <v>0</v>
      </c>
      <c r="H595" s="636">
        <f t="shared" si="55"/>
        <v>39682</v>
      </c>
      <c r="I595" s="637" t="str">
        <f>VLOOKUP(H595,ORC.AUXILIAR!I:P,4,0)</f>
        <v>Um</v>
      </c>
      <c r="J595" s="636">
        <f>VLOOKUP(H595,ORC.AUXILIAR!I:P,5,0)</f>
        <v>6</v>
      </c>
      <c r="K595" s="638">
        <f t="shared" si="56"/>
        <v>6</v>
      </c>
      <c r="L595" s="639">
        <f>VLOOKUP(H595,ORC.AUXILIAR!I:P,7,0)</f>
        <v>128.47</v>
      </c>
      <c r="M595" s="639">
        <f>VLOOKUP(H595,ORC.AUXILIAR!I:P,8,0)</f>
        <v>770.82</v>
      </c>
      <c r="N595" s="639">
        <f t="shared" si="58"/>
        <v>4624.92</v>
      </c>
      <c r="O595" s="639">
        <f t="shared" si="59"/>
        <v>10256862713.706072</v>
      </c>
      <c r="P595" s="640">
        <f t="shared" si="57"/>
        <v>0.99980380833694771</v>
      </c>
    </row>
    <row r="596" spans="1:16">
      <c r="A596" s="627">
        <v>768.96</v>
      </c>
      <c r="B596" s="628">
        <v>24</v>
      </c>
      <c r="C596" s="629">
        <v>89594</v>
      </c>
      <c r="D596" s="628">
        <f>VLOOKUP(C596,ORC.AUXILIAR!I:J,2,0)</f>
        <v>0</v>
      </c>
      <c r="G596" s="636">
        <f t="shared" si="54"/>
        <v>0</v>
      </c>
      <c r="H596" s="636">
        <f t="shared" si="55"/>
        <v>89594</v>
      </c>
      <c r="I596" s="637" t="str">
        <f>VLOOKUP(H596,ORC.AUXILIAR!I:P,4,0)</f>
        <v>pç</v>
      </c>
      <c r="J596" s="636">
        <f>VLOOKUP(H596,ORC.AUXILIAR!I:P,5,0)</f>
        <v>24</v>
      </c>
      <c r="K596" s="638">
        <f t="shared" si="56"/>
        <v>24</v>
      </c>
      <c r="L596" s="639">
        <f>VLOOKUP(H596,ORC.AUXILIAR!I:P,7,0)</f>
        <v>32.04</v>
      </c>
      <c r="M596" s="639">
        <f>VLOOKUP(H596,ORC.AUXILIAR!I:P,8,0)</f>
        <v>768.96</v>
      </c>
      <c r="N596" s="639">
        <f t="shared" si="58"/>
        <v>18455.04</v>
      </c>
      <c r="O596" s="639">
        <f t="shared" si="59"/>
        <v>10256881168.746073</v>
      </c>
      <c r="P596" s="640">
        <f t="shared" si="57"/>
        <v>0.9998056072709679</v>
      </c>
    </row>
    <row r="597" spans="1:16">
      <c r="A597" s="627">
        <v>760.4</v>
      </c>
      <c r="B597" s="628">
        <v>2</v>
      </c>
      <c r="C597" s="629" t="s">
        <v>13660</v>
      </c>
      <c r="D597" s="628">
        <f>VLOOKUP(C597,ORC.AUXILIAR!I:J,2,0)</f>
        <v>0</v>
      </c>
      <c r="G597" s="636">
        <f t="shared" si="54"/>
        <v>0</v>
      </c>
      <c r="H597" s="636" t="str">
        <f t="shared" si="55"/>
        <v>SUB.20</v>
      </c>
      <c r="I597" s="637" t="str">
        <f>VLOOKUP(H597,ORC.AUXILIAR!I:P,4,0)</f>
        <v>un</v>
      </c>
      <c r="J597" s="636">
        <f>VLOOKUP(H597,ORC.AUXILIAR!I:P,5,0)</f>
        <v>2</v>
      </c>
      <c r="K597" s="638">
        <f t="shared" si="56"/>
        <v>2</v>
      </c>
      <c r="L597" s="639">
        <f>VLOOKUP(H597,ORC.AUXILIAR!I:P,7,0)</f>
        <v>380.2</v>
      </c>
      <c r="M597" s="639">
        <f>VLOOKUP(H597,ORC.AUXILIAR!I:P,8,0)</f>
        <v>760.4</v>
      </c>
      <c r="N597" s="639">
        <f t="shared" si="58"/>
        <v>1520.8</v>
      </c>
      <c r="O597" s="639">
        <f t="shared" si="59"/>
        <v>10256882689.546072</v>
      </c>
      <c r="P597" s="640">
        <f t="shared" si="57"/>
        <v>0.99980575551333728</v>
      </c>
    </row>
    <row r="598" spans="1:16">
      <c r="A598" s="627">
        <v>751.44</v>
      </c>
      <c r="B598" s="628">
        <v>2</v>
      </c>
      <c r="C598" s="629" t="s">
        <v>13782</v>
      </c>
      <c r="D598" s="628">
        <f>VLOOKUP(C598,ORC.AUXILIAR!I:J,2,0)</f>
        <v>0</v>
      </c>
      <c r="G598" s="636">
        <f t="shared" si="54"/>
        <v>0</v>
      </c>
      <c r="H598" s="636" t="str">
        <f t="shared" si="55"/>
        <v>QCM.CX.AREIA.22</v>
      </c>
      <c r="I598" s="637" t="str">
        <f>VLOOKUP(H598,ORC.AUXILIAR!I:P,4,0)</f>
        <v>Un</v>
      </c>
      <c r="J598" s="636">
        <f>VLOOKUP(H598,ORC.AUXILIAR!I:P,5,0)</f>
        <v>2</v>
      </c>
      <c r="K598" s="638">
        <f t="shared" si="56"/>
        <v>2</v>
      </c>
      <c r="L598" s="639">
        <f>VLOOKUP(H598,ORC.AUXILIAR!I:P,7,0)</f>
        <v>375.72</v>
      </c>
      <c r="M598" s="639">
        <f>VLOOKUP(H598,ORC.AUXILIAR!I:P,8,0)</f>
        <v>751.44</v>
      </c>
      <c r="N598" s="639">
        <f t="shared" si="58"/>
        <v>1502.88</v>
      </c>
      <c r="O598" s="639">
        <f t="shared" si="59"/>
        <v>10256884192.426071</v>
      </c>
      <c r="P598" s="640">
        <f t="shared" si="57"/>
        <v>0.99980590200892649</v>
      </c>
    </row>
    <row r="599" spans="1:16">
      <c r="A599" s="627">
        <v>750.79</v>
      </c>
      <c r="B599" s="628">
        <v>1</v>
      </c>
      <c r="C599" s="629" t="s">
        <v>12891</v>
      </c>
      <c r="D599" s="628">
        <f>VLOOKUP(C599,ORC.AUXILIAR!I:J,2,0)</f>
        <v>0</v>
      </c>
      <c r="G599" s="636">
        <f t="shared" si="54"/>
        <v>0</v>
      </c>
      <c r="H599" s="636" t="str">
        <f t="shared" si="55"/>
        <v>TP.FºF°.08</v>
      </c>
      <c r="I599" s="637" t="str">
        <f>VLOOKUP(H599,ORC.AUXILIAR!I:P,4,0)</f>
        <v>pç</v>
      </c>
      <c r="J599" s="636">
        <f>VLOOKUP(H599,ORC.AUXILIAR!I:P,5,0)</f>
        <v>1</v>
      </c>
      <c r="K599" s="638">
        <f t="shared" si="56"/>
        <v>1</v>
      </c>
      <c r="L599" s="639">
        <f>VLOOKUP(H599,ORC.AUXILIAR!I:P,7,0)</f>
        <v>750.79</v>
      </c>
      <c r="M599" s="639">
        <f>VLOOKUP(H599,ORC.AUXILIAR!I:P,8,0)</f>
        <v>750.79</v>
      </c>
      <c r="N599" s="639">
        <f t="shared" si="58"/>
        <v>750.79</v>
      </c>
      <c r="O599" s="639">
        <f t="shared" si="59"/>
        <v>10256884943.216072</v>
      </c>
      <c r="P599" s="640">
        <f t="shared" si="57"/>
        <v>0.99980597519336145</v>
      </c>
    </row>
    <row r="600" spans="1:16">
      <c r="A600" s="627">
        <v>744.84</v>
      </c>
      <c r="B600" s="628">
        <v>36</v>
      </c>
      <c r="C600" s="629">
        <v>1725</v>
      </c>
      <c r="D600" s="628">
        <f>VLOOKUP(C600,ORC.AUXILIAR!I:J,2,0)</f>
        <v>0</v>
      </c>
      <c r="G600" s="636">
        <f t="shared" si="54"/>
        <v>0</v>
      </c>
      <c r="H600" s="636">
        <f t="shared" si="55"/>
        <v>1725</v>
      </c>
      <c r="I600" s="637" t="str">
        <f>VLOOKUP(H600,ORC.AUXILIAR!I:P,4,0)</f>
        <v>pç</v>
      </c>
      <c r="J600" s="636">
        <f>VLOOKUP(H600,ORC.AUXILIAR!I:P,5,0)</f>
        <v>35</v>
      </c>
      <c r="K600" s="638">
        <f t="shared" si="56"/>
        <v>36</v>
      </c>
      <c r="L600" s="639">
        <f>VLOOKUP(H600,ORC.AUXILIAR!I:P,7,0)</f>
        <v>20.69</v>
      </c>
      <c r="M600" s="639">
        <f>VLOOKUP(H600,ORC.AUXILIAR!I:P,8,0)</f>
        <v>724.15</v>
      </c>
      <c r="N600" s="639">
        <f t="shared" si="58"/>
        <v>26069.399999999998</v>
      </c>
      <c r="O600" s="639">
        <f t="shared" si="59"/>
        <v>10256911012.616072</v>
      </c>
      <c r="P600" s="640">
        <f t="shared" si="57"/>
        <v>0.99980851634908596</v>
      </c>
    </row>
    <row r="601" spans="1:16">
      <c r="A601" s="627">
        <v>740.08</v>
      </c>
      <c r="B601" s="628">
        <v>2</v>
      </c>
      <c r="C601" s="629" t="s">
        <v>13211</v>
      </c>
      <c r="D601" s="628">
        <f>VLOOKUP(C601,ORC.AUXILIAR!I:J,2,0)</f>
        <v>0</v>
      </c>
      <c r="G601" s="636">
        <f t="shared" si="54"/>
        <v>0</v>
      </c>
      <c r="H601" s="636" t="str">
        <f t="shared" si="55"/>
        <v>RE.RPVC.17</v>
      </c>
      <c r="I601" s="637" t="str">
        <f>VLOOKUP(H601,ORC.AUXILIAR!I:P,4,0)</f>
        <v>pç</v>
      </c>
      <c r="J601" s="636">
        <f>VLOOKUP(H601,ORC.AUXILIAR!I:P,5,0)</f>
        <v>2</v>
      </c>
      <c r="K601" s="638">
        <f t="shared" si="56"/>
        <v>2</v>
      </c>
      <c r="L601" s="639">
        <f>VLOOKUP(H601,ORC.AUXILIAR!I:P,7,0)</f>
        <v>370.04</v>
      </c>
      <c r="M601" s="639">
        <f>VLOOKUP(H601,ORC.AUXILIAR!I:P,8,0)</f>
        <v>740.08</v>
      </c>
      <c r="N601" s="639">
        <f t="shared" si="58"/>
        <v>1480.16</v>
      </c>
      <c r="O601" s="639">
        <f t="shared" si="59"/>
        <v>10256912492.776072</v>
      </c>
      <c r="P601" s="640">
        <f t="shared" si="57"/>
        <v>0.99980866063000751</v>
      </c>
    </row>
    <row r="602" spans="1:16">
      <c r="A602" s="627">
        <v>736.74</v>
      </c>
      <c r="B602" s="628">
        <v>6</v>
      </c>
      <c r="C602" s="629" t="s">
        <v>16819</v>
      </c>
      <c r="D602" s="628">
        <f>VLOOKUP(C602,ORC.AUXILIAR!I:J,2,0)</f>
        <v>0</v>
      </c>
      <c r="G602" s="636">
        <f t="shared" si="54"/>
        <v>0</v>
      </c>
      <c r="H602" s="636" t="str">
        <f t="shared" si="55"/>
        <v>74130/5</v>
      </c>
      <c r="I602" s="637" t="str">
        <f>VLOOKUP(H602,ORC.AUXILIAR!I:P,4,0)</f>
        <v>Un</v>
      </c>
      <c r="J602" s="636">
        <f>VLOOKUP(H602,ORC.AUXILIAR!I:P,5,0)</f>
        <v>6</v>
      </c>
      <c r="K602" s="638">
        <f t="shared" si="56"/>
        <v>6</v>
      </c>
      <c r="L602" s="639">
        <f>VLOOKUP(H602,ORC.AUXILIAR!I:P,7,0)</f>
        <v>122.79</v>
      </c>
      <c r="M602" s="639">
        <f>VLOOKUP(H602,ORC.AUXILIAR!I:P,8,0)</f>
        <v>736.74</v>
      </c>
      <c r="N602" s="639">
        <f t="shared" si="58"/>
        <v>4420.4400000000005</v>
      </c>
      <c r="O602" s="639">
        <f t="shared" si="59"/>
        <v>10256916913.216072</v>
      </c>
      <c r="P602" s="640">
        <f t="shared" si="57"/>
        <v>0.99980909151934183</v>
      </c>
    </row>
    <row r="603" spans="1:16">
      <c r="A603" s="627">
        <v>734.55520000000001</v>
      </c>
      <c r="B603" s="628">
        <v>62.89</v>
      </c>
      <c r="C603" s="629">
        <v>193</v>
      </c>
      <c r="D603" s="628">
        <f>VLOOKUP(C603,ORC.AUXILIAR!I:J,2,0)</f>
        <v>0</v>
      </c>
      <c r="G603" s="636">
        <f t="shared" si="54"/>
        <v>0</v>
      </c>
      <c r="H603" s="636">
        <f t="shared" si="55"/>
        <v>193</v>
      </c>
      <c r="I603" s="637" t="str">
        <f>VLOOKUP(H603,ORC.AUXILIAR!I:P,4,0)</f>
        <v>M3</v>
      </c>
      <c r="J603" s="636">
        <f>VLOOKUP(H603,ORC.AUXILIAR!I:P,5,0)</f>
        <v>0</v>
      </c>
      <c r="K603" s="638">
        <f t="shared" si="56"/>
        <v>62.89</v>
      </c>
      <c r="L603" s="639">
        <f>VLOOKUP(H603,ORC.AUXILIAR!I:P,7,0)</f>
        <v>11.68</v>
      </c>
      <c r="M603" s="639">
        <f>VLOOKUP(H603,ORC.AUXILIAR!I:P,8,0)</f>
        <v>0</v>
      </c>
      <c r="N603" s="639">
        <f t="shared" si="58"/>
        <v>0</v>
      </c>
      <c r="O603" s="639">
        <f t="shared" si="59"/>
        <v>10256916913.216072</v>
      </c>
      <c r="P603" s="640">
        <f t="shared" si="57"/>
        <v>0.99980909151934183</v>
      </c>
    </row>
    <row r="604" spans="1:16">
      <c r="A604" s="627">
        <v>734.44</v>
      </c>
      <c r="B604" s="628">
        <v>2</v>
      </c>
      <c r="C604" s="629">
        <v>6012</v>
      </c>
      <c r="D604" s="628">
        <f>VLOOKUP(C604,ORC.AUXILIAR!I:J,2,0)</f>
        <v>0</v>
      </c>
      <c r="G604" s="636">
        <f t="shared" si="54"/>
        <v>0</v>
      </c>
      <c r="H604" s="636">
        <f t="shared" si="55"/>
        <v>6012</v>
      </c>
      <c r="I604" s="637" t="str">
        <f>VLOOKUP(H604,ORC.AUXILIAR!I:P,4,0)</f>
        <v>un</v>
      </c>
      <c r="J604" s="636">
        <f>VLOOKUP(H604,ORC.AUXILIAR!I:P,5,0)</f>
        <v>2</v>
      </c>
      <c r="K604" s="638">
        <f t="shared" si="56"/>
        <v>2</v>
      </c>
      <c r="L604" s="639">
        <f>VLOOKUP(H604,ORC.AUXILIAR!I:P,7,0)</f>
        <v>367.22</v>
      </c>
      <c r="M604" s="639">
        <f>VLOOKUP(H604,ORC.AUXILIAR!I:P,8,0)</f>
        <v>734.44</v>
      </c>
      <c r="N604" s="639">
        <f t="shared" si="58"/>
        <v>1468.88</v>
      </c>
      <c r="O604" s="639">
        <f t="shared" si="59"/>
        <v>10256918382.096071</v>
      </c>
      <c r="P604" s="640">
        <f t="shared" si="57"/>
        <v>0.99980923470072758</v>
      </c>
    </row>
    <row r="605" spans="1:16">
      <c r="A605" s="627">
        <v>734.28</v>
      </c>
      <c r="B605" s="628">
        <v>12</v>
      </c>
      <c r="C605" s="629" t="s">
        <v>12770</v>
      </c>
      <c r="D605" s="628">
        <f>VLOOKUP(C605,ORC.AUXILIAR!I:J,2,0)</f>
        <v>0</v>
      </c>
      <c r="G605" s="636">
        <f t="shared" si="54"/>
        <v>0</v>
      </c>
      <c r="H605" s="636" t="str">
        <f t="shared" si="55"/>
        <v>RE.AI.38</v>
      </c>
      <c r="I605" s="637" t="str">
        <f>VLOOKUP(H605,ORC.AUXILIAR!I:P,4,0)</f>
        <v>m</v>
      </c>
      <c r="J605" s="636">
        <f>VLOOKUP(H605,ORC.AUXILIAR!I:P,5,0)</f>
        <v>12</v>
      </c>
      <c r="K605" s="638">
        <f t="shared" si="56"/>
        <v>12</v>
      </c>
      <c r="L605" s="639">
        <f>VLOOKUP(H605,ORC.AUXILIAR!I:P,7,0)</f>
        <v>61.19</v>
      </c>
      <c r="M605" s="639">
        <f>VLOOKUP(H605,ORC.AUXILIAR!I:P,8,0)</f>
        <v>734.28</v>
      </c>
      <c r="N605" s="639">
        <f t="shared" si="58"/>
        <v>8811.36</v>
      </c>
      <c r="O605" s="639">
        <f t="shared" si="59"/>
        <v>10256927193.456072</v>
      </c>
      <c r="P605" s="640">
        <f t="shared" si="57"/>
        <v>0.99981009360188788</v>
      </c>
    </row>
    <row r="606" spans="1:16">
      <c r="A606" s="627">
        <v>731.19</v>
      </c>
      <c r="B606" s="628">
        <v>1</v>
      </c>
      <c r="C606" s="629" t="s">
        <v>13112</v>
      </c>
      <c r="D606" s="628">
        <f>VLOOKUP(C606,ORC.AUXILIAR!I:J,2,0)</f>
        <v>0</v>
      </c>
      <c r="G606" s="636">
        <f t="shared" si="54"/>
        <v>0</v>
      </c>
      <c r="H606" s="636" t="str">
        <f t="shared" si="55"/>
        <v>TP.VAL.01</v>
      </c>
      <c r="I606" s="637" t="str">
        <f>VLOOKUP(H606,ORC.AUXILIAR!I:P,4,0)</f>
        <v>un</v>
      </c>
      <c r="J606" s="636">
        <f>VLOOKUP(H606,ORC.AUXILIAR!I:P,5,0)</f>
        <v>1</v>
      </c>
      <c r="K606" s="638">
        <f t="shared" si="56"/>
        <v>1</v>
      </c>
      <c r="L606" s="639">
        <f>VLOOKUP(H606,ORC.AUXILIAR!I:P,7,0)</f>
        <v>731.19</v>
      </c>
      <c r="M606" s="639">
        <f>VLOOKUP(H606,ORC.AUXILIAR!I:P,8,0)</f>
        <v>731.19</v>
      </c>
      <c r="N606" s="639">
        <f t="shared" si="58"/>
        <v>731.19</v>
      </c>
      <c r="O606" s="639">
        <f t="shared" si="59"/>
        <v>10256927924.646072</v>
      </c>
      <c r="P606" s="640">
        <f t="shared" si="57"/>
        <v>0.999810164875782</v>
      </c>
    </row>
    <row r="607" spans="1:16">
      <c r="A607" s="627">
        <v>730.78179999999998</v>
      </c>
      <c r="B607" s="628">
        <v>62.89</v>
      </c>
      <c r="C607" s="629">
        <v>195</v>
      </c>
      <c r="D607" s="628">
        <f>VLOOKUP(C607,ORC.AUXILIAR!I:J,2,0)</f>
        <v>0</v>
      </c>
      <c r="G607" s="636">
        <f t="shared" si="54"/>
        <v>0</v>
      </c>
      <c r="H607" s="636">
        <f t="shared" si="55"/>
        <v>195</v>
      </c>
      <c r="I607" s="637" t="str">
        <f>VLOOKUP(H607,ORC.AUXILIAR!I:P,4,0)</f>
        <v>M3</v>
      </c>
      <c r="J607" s="636">
        <f>VLOOKUP(H607,ORC.AUXILIAR!I:P,5,0)</f>
        <v>0</v>
      </c>
      <c r="K607" s="638">
        <f t="shared" si="56"/>
        <v>62.89</v>
      </c>
      <c r="L607" s="639">
        <f>VLOOKUP(H607,ORC.AUXILIAR!I:P,7,0)</f>
        <v>11.62</v>
      </c>
      <c r="M607" s="639">
        <f>VLOOKUP(H607,ORC.AUXILIAR!I:P,8,0)</f>
        <v>0</v>
      </c>
      <c r="N607" s="639">
        <f t="shared" si="58"/>
        <v>0</v>
      </c>
      <c r="O607" s="639">
        <f t="shared" si="59"/>
        <v>10256927924.646072</v>
      </c>
      <c r="P607" s="640">
        <f t="shared" si="57"/>
        <v>0.999810164875782</v>
      </c>
    </row>
    <row r="608" spans="1:16">
      <c r="A608" s="627">
        <v>723.37</v>
      </c>
      <c r="B608" s="628">
        <v>1</v>
      </c>
      <c r="C608" s="629" t="s">
        <v>13748</v>
      </c>
      <c r="D608" s="628">
        <f>VLOOKUP(C608,ORC.AUXILIAR!I:J,2,0)</f>
        <v>0</v>
      </c>
      <c r="G608" s="636">
        <f t="shared" si="54"/>
        <v>0</v>
      </c>
      <c r="H608" s="636" t="str">
        <f t="shared" si="55"/>
        <v>QCM.EEE.40</v>
      </c>
      <c r="I608" s="637" t="str">
        <f>VLOOKUP(H608,ORC.AUXILIAR!I:P,4,0)</f>
        <v>Un</v>
      </c>
      <c r="J608" s="636">
        <f>VLOOKUP(H608,ORC.AUXILIAR!I:P,5,0)</f>
        <v>1</v>
      </c>
      <c r="K608" s="638">
        <f t="shared" si="56"/>
        <v>1</v>
      </c>
      <c r="L608" s="639">
        <f>VLOOKUP(H608,ORC.AUXILIAR!I:P,7,0)</f>
        <v>723.37</v>
      </c>
      <c r="M608" s="639">
        <f>VLOOKUP(H608,ORC.AUXILIAR!I:P,8,0)</f>
        <v>723.37</v>
      </c>
      <c r="N608" s="639">
        <f t="shared" si="58"/>
        <v>723.37</v>
      </c>
      <c r="O608" s="639">
        <f t="shared" si="59"/>
        <v>10256928648.016073</v>
      </c>
      <c r="P608" s="640">
        <f t="shared" si="57"/>
        <v>0.99981023538740932</v>
      </c>
    </row>
    <row r="609" spans="1:16">
      <c r="A609" s="627">
        <v>720.96</v>
      </c>
      <c r="B609" s="628">
        <v>96</v>
      </c>
      <c r="C609" s="629" t="s">
        <v>14416</v>
      </c>
      <c r="D609" s="628">
        <f>VLOOKUP(C609,ORC.AUXILIAR!I:J,2,0)</f>
        <v>0</v>
      </c>
      <c r="G609" s="636">
        <f t="shared" si="54"/>
        <v>0</v>
      </c>
      <c r="H609" s="636" t="str">
        <f t="shared" si="55"/>
        <v>REATOR.FB.42</v>
      </c>
      <c r="I609" s="637" t="str">
        <f>VLOOKUP(H609,ORC.AUXILIAR!I:P,4,0)</f>
        <v>un</v>
      </c>
      <c r="J609" s="636">
        <f>VLOOKUP(H609,ORC.AUXILIAR!I:P,5,0)</f>
        <v>96</v>
      </c>
      <c r="K609" s="638">
        <f t="shared" si="56"/>
        <v>96</v>
      </c>
      <c r="L609" s="639">
        <f>VLOOKUP(H609,ORC.AUXILIAR!I:P,7,0)</f>
        <v>7.51</v>
      </c>
      <c r="M609" s="639">
        <f>VLOOKUP(H609,ORC.AUXILIAR!I:P,8,0)</f>
        <v>720.96</v>
      </c>
      <c r="N609" s="639">
        <f t="shared" si="58"/>
        <v>69212.160000000003</v>
      </c>
      <c r="O609" s="639">
        <f t="shared" si="59"/>
        <v>10256997860.176073</v>
      </c>
      <c r="P609" s="640">
        <f t="shared" si="57"/>
        <v>0.99981698195144975</v>
      </c>
    </row>
    <row r="610" spans="1:16">
      <c r="A610" s="627">
        <v>718.29269999999997</v>
      </c>
      <c r="B610" s="628">
        <v>14.009999999999998</v>
      </c>
      <c r="C610" s="629">
        <v>93188</v>
      </c>
      <c r="D610" s="628">
        <f>VLOOKUP(C610,ORC.AUXILIAR!I:J,2,0)</f>
        <v>0</v>
      </c>
      <c r="G610" s="636">
        <f t="shared" si="54"/>
        <v>0</v>
      </c>
      <c r="H610" s="636">
        <f t="shared" si="55"/>
        <v>93188</v>
      </c>
      <c r="I610" s="637" t="str">
        <f>VLOOKUP(H610,ORC.AUXILIAR!I:P,4,0)</f>
        <v>M</v>
      </c>
      <c r="J610" s="636">
        <f>VLOOKUP(H610,ORC.AUXILIAR!I:P,5,0)</f>
        <v>4.5999999999999996</v>
      </c>
      <c r="K610" s="638">
        <f t="shared" si="56"/>
        <v>14.009999999999998</v>
      </c>
      <c r="L610" s="639">
        <f>VLOOKUP(H610,ORC.AUXILIAR!I:P,7,0)</f>
        <v>51.27</v>
      </c>
      <c r="M610" s="639">
        <f>VLOOKUP(H610,ORC.AUXILIAR!I:P,8,0)</f>
        <v>235.84</v>
      </c>
      <c r="N610" s="639">
        <f t="shared" si="58"/>
        <v>3304.1183999999994</v>
      </c>
      <c r="O610" s="639">
        <f t="shared" si="59"/>
        <v>10257001164.294474</v>
      </c>
      <c r="P610" s="640">
        <f t="shared" si="57"/>
        <v>0.99981730402558211</v>
      </c>
    </row>
    <row r="611" spans="1:16">
      <c r="A611" s="627">
        <v>715.52</v>
      </c>
      <c r="B611" s="628">
        <v>2</v>
      </c>
      <c r="C611" s="629" t="s">
        <v>13076</v>
      </c>
      <c r="D611" s="628">
        <f>VLOOKUP(C611,ORC.AUXILIAR!I:J,2,0)</f>
        <v>0</v>
      </c>
      <c r="G611" s="636">
        <f t="shared" si="54"/>
        <v>0</v>
      </c>
      <c r="H611" s="636" t="str">
        <f t="shared" si="55"/>
        <v>RE.GR.05</v>
      </c>
      <c r="I611" s="637" t="str">
        <f>VLOOKUP(H611,ORC.AUXILIAR!I:P,4,0)</f>
        <v>un</v>
      </c>
      <c r="J611" s="636">
        <f>VLOOKUP(H611,ORC.AUXILIAR!I:P,5,0)</f>
        <v>2</v>
      </c>
      <c r="K611" s="638">
        <f t="shared" si="56"/>
        <v>2</v>
      </c>
      <c r="L611" s="639">
        <f>VLOOKUP(H611,ORC.AUXILIAR!I:P,7,0)</f>
        <v>357.76</v>
      </c>
      <c r="M611" s="639">
        <f>VLOOKUP(H611,ORC.AUXILIAR!I:P,8,0)</f>
        <v>715.52</v>
      </c>
      <c r="N611" s="639">
        <f t="shared" si="58"/>
        <v>1431.04</v>
      </c>
      <c r="O611" s="639">
        <f t="shared" si="59"/>
        <v>10257002595.334475</v>
      </c>
      <c r="P611" s="640">
        <f t="shared" si="57"/>
        <v>0.9998174435184547</v>
      </c>
    </row>
    <row r="612" spans="1:16">
      <c r="A612" s="627">
        <v>695.34300000000007</v>
      </c>
      <c r="B612" s="628">
        <v>31.35</v>
      </c>
      <c r="C612" s="629">
        <v>1109</v>
      </c>
      <c r="D612" s="628">
        <f>VLOOKUP(C612,ORC.AUXILIAR!I:J,2,0)</f>
        <v>0</v>
      </c>
      <c r="G612" s="636">
        <f t="shared" si="54"/>
        <v>0</v>
      </c>
      <c r="H612" s="636">
        <f t="shared" si="55"/>
        <v>1109</v>
      </c>
      <c r="I612" s="637" t="str">
        <f>VLOOKUP(H612,ORC.AUXILIAR!I:P,4,0)</f>
        <v>M</v>
      </c>
      <c r="J612" s="636">
        <f>VLOOKUP(H612,ORC.AUXILIAR!I:P,5,0)</f>
        <v>7</v>
      </c>
      <c r="K612" s="638">
        <f t="shared" si="56"/>
        <v>31.35</v>
      </c>
      <c r="L612" s="639">
        <f>VLOOKUP(H612,ORC.AUXILIAR!I:P,7,0)</f>
        <v>22.18</v>
      </c>
      <c r="M612" s="639">
        <f>VLOOKUP(H612,ORC.AUXILIAR!I:P,8,0)</f>
        <v>155.26</v>
      </c>
      <c r="N612" s="639">
        <f t="shared" si="58"/>
        <v>4867.4009999999998</v>
      </c>
      <c r="O612" s="639">
        <f t="shared" si="59"/>
        <v>10257007462.735474</v>
      </c>
      <c r="P612" s="640">
        <f t="shared" si="57"/>
        <v>0.9998179179760146</v>
      </c>
    </row>
    <row r="613" spans="1:16">
      <c r="A613" s="627">
        <v>689.28</v>
      </c>
      <c r="B613" s="628">
        <v>192</v>
      </c>
      <c r="C613" s="629" t="s">
        <v>12932</v>
      </c>
      <c r="D613" s="628">
        <f>VLOOKUP(C613,ORC.AUXILIAR!I:J,2,0)</f>
        <v>0</v>
      </c>
      <c r="G613" s="636">
        <f t="shared" si="54"/>
        <v>0</v>
      </c>
      <c r="H613" s="636" t="str">
        <f t="shared" si="55"/>
        <v>TP.FºF°.17</v>
      </c>
      <c r="I613" s="637" t="str">
        <f>VLOOKUP(H613,ORC.AUXILIAR!I:P,4,0)</f>
        <v>pç</v>
      </c>
      <c r="J613" s="636">
        <f>VLOOKUP(H613,ORC.AUXILIAR!I:P,5,0)</f>
        <v>192</v>
      </c>
      <c r="K613" s="638">
        <f t="shared" si="56"/>
        <v>192</v>
      </c>
      <c r="L613" s="639">
        <f>VLOOKUP(H613,ORC.AUXILIAR!I:P,7,0)</f>
        <v>3.59</v>
      </c>
      <c r="M613" s="639">
        <f>VLOOKUP(H613,ORC.AUXILIAR!I:P,8,0)</f>
        <v>689.28</v>
      </c>
      <c r="N613" s="639">
        <f t="shared" si="58"/>
        <v>132341.76000000001</v>
      </c>
      <c r="O613" s="639">
        <f t="shared" si="59"/>
        <v>10257139804.495474</v>
      </c>
      <c r="P613" s="640">
        <f t="shared" si="57"/>
        <v>0.99983081819700259</v>
      </c>
    </row>
    <row r="614" spans="1:16">
      <c r="A614" s="627">
        <v>689.04</v>
      </c>
      <c r="B614" s="628">
        <v>4</v>
      </c>
      <c r="C614" s="629" t="s">
        <v>13145</v>
      </c>
      <c r="D614" s="628">
        <f>VLOOKUP(C614,ORC.AUXILIAR!I:J,2,0)</f>
        <v>0</v>
      </c>
      <c r="G614" s="636">
        <f t="shared" si="54"/>
        <v>0</v>
      </c>
      <c r="H614" s="636" t="str">
        <f t="shared" si="55"/>
        <v>RE.AÇO.02</v>
      </c>
      <c r="I614" s="637" t="str">
        <f>VLOOKUP(H614,ORC.AUXILIAR!I:P,4,0)</f>
        <v>pç</v>
      </c>
      <c r="J614" s="636">
        <f>VLOOKUP(H614,ORC.AUXILIAR!I:P,5,0)</f>
        <v>4</v>
      </c>
      <c r="K614" s="638">
        <f t="shared" si="56"/>
        <v>4</v>
      </c>
      <c r="L614" s="639">
        <f>VLOOKUP(H614,ORC.AUXILIAR!I:P,7,0)</f>
        <v>172.26</v>
      </c>
      <c r="M614" s="639">
        <f>VLOOKUP(H614,ORC.AUXILIAR!I:P,8,0)</f>
        <v>689.04</v>
      </c>
      <c r="N614" s="639">
        <f t="shared" si="58"/>
        <v>2756.16</v>
      </c>
      <c r="O614" s="639">
        <f t="shared" si="59"/>
        <v>10257142560.655474</v>
      </c>
      <c r="P614" s="640">
        <f t="shared" si="57"/>
        <v>0.99983108685802891</v>
      </c>
    </row>
    <row r="615" spans="1:16">
      <c r="A615" s="627">
        <v>688.68899999999996</v>
      </c>
      <c r="B615" s="628">
        <v>31.05</v>
      </c>
      <c r="C615" s="629">
        <v>1113</v>
      </c>
      <c r="D615" s="628">
        <f>VLOOKUP(C615,ORC.AUXILIAR!I:J,2,0)</f>
        <v>0</v>
      </c>
      <c r="G615" s="636">
        <f t="shared" si="54"/>
        <v>0</v>
      </c>
      <c r="H615" s="636">
        <f t="shared" si="55"/>
        <v>1113</v>
      </c>
      <c r="I615" s="637" t="str">
        <f>VLOOKUP(H615,ORC.AUXILIAR!I:P,4,0)</f>
        <v>M</v>
      </c>
      <c r="J615" s="636">
        <f>VLOOKUP(H615,ORC.AUXILIAR!I:P,5,0)</f>
        <v>12.5</v>
      </c>
      <c r="K615" s="638">
        <f t="shared" si="56"/>
        <v>31.05</v>
      </c>
      <c r="L615" s="639">
        <f>VLOOKUP(H615,ORC.AUXILIAR!I:P,7,0)</f>
        <v>22.18</v>
      </c>
      <c r="M615" s="639">
        <f>VLOOKUP(H615,ORC.AUXILIAR!I:P,8,0)</f>
        <v>277.25</v>
      </c>
      <c r="N615" s="639">
        <f t="shared" si="58"/>
        <v>8608.6125000000011</v>
      </c>
      <c r="O615" s="639">
        <f t="shared" si="59"/>
        <v>10257151169.267973</v>
      </c>
      <c r="P615" s="640">
        <f t="shared" si="57"/>
        <v>0.99983192599605797</v>
      </c>
    </row>
    <row r="616" spans="1:16">
      <c r="A616" s="627">
        <v>683.65</v>
      </c>
      <c r="B616" s="628">
        <v>5.5</v>
      </c>
      <c r="C616" s="629" t="s">
        <v>12758</v>
      </c>
      <c r="D616" s="628">
        <f>VLOOKUP(C616,ORC.AUXILIAR!I:J,2,0)</f>
        <v>0</v>
      </c>
      <c r="G616" s="636">
        <f t="shared" si="54"/>
        <v>0</v>
      </c>
      <c r="H616" s="636" t="str">
        <f t="shared" si="55"/>
        <v>RE.AI.32</v>
      </c>
      <c r="I616" s="637" t="str">
        <f>VLOOKUP(H616,ORC.AUXILIAR!I:P,4,0)</f>
        <v>m</v>
      </c>
      <c r="J616" s="636">
        <f>VLOOKUP(H616,ORC.AUXILIAR!I:P,5,0)</f>
        <v>5.5</v>
      </c>
      <c r="K616" s="638">
        <f t="shared" si="56"/>
        <v>5.5</v>
      </c>
      <c r="L616" s="639">
        <f>VLOOKUP(H616,ORC.AUXILIAR!I:P,7,0)</f>
        <v>124.3</v>
      </c>
      <c r="M616" s="639">
        <f>VLOOKUP(H616,ORC.AUXILIAR!I:P,8,0)</f>
        <v>683.65</v>
      </c>
      <c r="N616" s="639">
        <f t="shared" si="58"/>
        <v>3760.0749999999998</v>
      </c>
      <c r="O616" s="639">
        <f t="shared" si="59"/>
        <v>10257154929.342974</v>
      </c>
      <c r="P616" s="640">
        <f t="shared" si="57"/>
        <v>0.99983229251527639</v>
      </c>
    </row>
    <row r="617" spans="1:16">
      <c r="A617" s="627">
        <v>678.30700000000013</v>
      </c>
      <c r="B617" s="628">
        <v>138.43</v>
      </c>
      <c r="C617" s="629">
        <v>90094</v>
      </c>
      <c r="D617" s="628">
        <f>VLOOKUP(C617,ORC.AUXILIAR!I:J,2,0)</f>
        <v>0</v>
      </c>
      <c r="G617" s="636">
        <f t="shared" si="54"/>
        <v>0</v>
      </c>
      <c r="H617" s="636">
        <f t="shared" si="55"/>
        <v>90094</v>
      </c>
      <c r="I617" s="637" t="str">
        <f>VLOOKUP(H617,ORC.AUXILIAR!I:P,4,0)</f>
        <v>M3</v>
      </c>
      <c r="J617" s="636">
        <f>VLOOKUP(H617,ORC.AUXILIAR!I:P,5,0)</f>
        <v>16.52</v>
      </c>
      <c r="K617" s="638">
        <f t="shared" si="56"/>
        <v>138.43</v>
      </c>
      <c r="L617" s="639">
        <f>VLOOKUP(H617,ORC.AUXILIAR!I:P,7,0)</f>
        <v>4.9000000000000004</v>
      </c>
      <c r="M617" s="639">
        <f>VLOOKUP(H617,ORC.AUXILIAR!I:P,8,0)</f>
        <v>80.95</v>
      </c>
      <c r="N617" s="639">
        <f t="shared" si="58"/>
        <v>11205.908500000001</v>
      </c>
      <c r="O617" s="639">
        <f t="shared" si="59"/>
        <v>10257166135.251474</v>
      </c>
      <c r="P617" s="640">
        <f t="shared" si="57"/>
        <v>0.9998333848288139</v>
      </c>
    </row>
    <row r="618" spans="1:16">
      <c r="A618" s="627">
        <v>676.84</v>
      </c>
      <c r="B618" s="628">
        <v>1</v>
      </c>
      <c r="C618" s="629" t="s">
        <v>12974</v>
      </c>
      <c r="D618" s="628">
        <f>VLOOKUP(C618,ORC.AUXILIAR!I:J,2,0)</f>
        <v>0</v>
      </c>
      <c r="G618" s="636">
        <f t="shared" si="54"/>
        <v>0</v>
      </c>
      <c r="H618" s="636" t="str">
        <f t="shared" si="55"/>
        <v>TP.FºF°.28</v>
      </c>
      <c r="I618" s="637" t="str">
        <f>VLOOKUP(H618,ORC.AUXILIAR!I:P,4,0)</f>
        <v>pç</v>
      </c>
      <c r="J618" s="636">
        <f>VLOOKUP(H618,ORC.AUXILIAR!I:P,5,0)</f>
        <v>1</v>
      </c>
      <c r="K618" s="638">
        <f t="shared" si="56"/>
        <v>1</v>
      </c>
      <c r="L618" s="639">
        <f>VLOOKUP(H618,ORC.AUXILIAR!I:P,7,0)</f>
        <v>676.84</v>
      </c>
      <c r="M618" s="639">
        <f>VLOOKUP(H618,ORC.AUXILIAR!I:P,8,0)</f>
        <v>676.84</v>
      </c>
      <c r="N618" s="639">
        <f t="shared" si="58"/>
        <v>676.84</v>
      </c>
      <c r="O618" s="639">
        <f t="shared" si="59"/>
        <v>10257166812.091475</v>
      </c>
      <c r="P618" s="640">
        <f t="shared" si="57"/>
        <v>0.99983345080485642</v>
      </c>
    </row>
    <row r="619" spans="1:16">
      <c r="A619" s="627">
        <v>676.84</v>
      </c>
      <c r="B619" s="628">
        <v>1</v>
      </c>
      <c r="C619" s="629" t="s">
        <v>12976</v>
      </c>
      <c r="D619" s="628">
        <f>VLOOKUP(C619,ORC.AUXILIAR!I:J,2,0)</f>
        <v>0</v>
      </c>
      <c r="G619" s="636">
        <f t="shared" si="54"/>
        <v>0</v>
      </c>
      <c r="H619" s="636" t="str">
        <f t="shared" si="55"/>
        <v>TP.FºF°.29</v>
      </c>
      <c r="I619" s="637" t="str">
        <f>VLOOKUP(H619,ORC.AUXILIAR!I:P,4,0)</f>
        <v>pç</v>
      </c>
      <c r="J619" s="636">
        <f>VLOOKUP(H619,ORC.AUXILIAR!I:P,5,0)</f>
        <v>1</v>
      </c>
      <c r="K619" s="638">
        <f t="shared" si="56"/>
        <v>1</v>
      </c>
      <c r="L619" s="639">
        <f>VLOOKUP(H619,ORC.AUXILIAR!I:P,7,0)</f>
        <v>676.84</v>
      </c>
      <c r="M619" s="639">
        <f>VLOOKUP(H619,ORC.AUXILIAR!I:P,8,0)</f>
        <v>676.84</v>
      </c>
      <c r="N619" s="639">
        <f t="shared" si="58"/>
        <v>676.84</v>
      </c>
      <c r="O619" s="639">
        <f t="shared" si="59"/>
        <v>10257167488.931475</v>
      </c>
      <c r="P619" s="640">
        <f t="shared" si="57"/>
        <v>0.99983351678089882</v>
      </c>
    </row>
    <row r="620" spans="1:16">
      <c r="A620" s="627">
        <v>669.19</v>
      </c>
      <c r="B620" s="628">
        <v>1</v>
      </c>
      <c r="C620" s="629" t="s">
        <v>13014</v>
      </c>
      <c r="D620" s="628">
        <f>VLOOKUP(C620,ORC.AUXILIAR!I:J,2,0)</f>
        <v>0</v>
      </c>
      <c r="G620" s="636">
        <f t="shared" si="54"/>
        <v>0</v>
      </c>
      <c r="H620" s="636" t="str">
        <f t="shared" si="55"/>
        <v>TP.FºF°.38</v>
      </c>
      <c r="I620" s="637" t="str">
        <f>VLOOKUP(H620,ORC.AUXILIAR!I:P,4,0)</f>
        <v>pç</v>
      </c>
      <c r="J620" s="636">
        <f>VLOOKUP(H620,ORC.AUXILIAR!I:P,5,0)</f>
        <v>1</v>
      </c>
      <c r="K620" s="638">
        <f t="shared" si="56"/>
        <v>1</v>
      </c>
      <c r="L620" s="639">
        <f>VLOOKUP(H620,ORC.AUXILIAR!I:P,7,0)</f>
        <v>669.19</v>
      </c>
      <c r="M620" s="639">
        <f>VLOOKUP(H620,ORC.AUXILIAR!I:P,8,0)</f>
        <v>669.19</v>
      </c>
      <c r="N620" s="639">
        <f t="shared" si="58"/>
        <v>669.19</v>
      </c>
      <c r="O620" s="639">
        <f t="shared" si="59"/>
        <v>10257168158.121475</v>
      </c>
      <c r="P620" s="640">
        <f t="shared" si="57"/>
        <v>0.9998335820112455</v>
      </c>
    </row>
    <row r="621" spans="1:16">
      <c r="A621" s="627">
        <v>659.83</v>
      </c>
      <c r="B621" s="628">
        <v>1</v>
      </c>
      <c r="C621" s="629">
        <v>1495</v>
      </c>
      <c r="D621" s="628">
        <f>VLOOKUP(C621,ORC.AUXILIAR!I:J,2,0)</f>
        <v>0</v>
      </c>
      <c r="G621" s="636">
        <f t="shared" si="54"/>
        <v>0</v>
      </c>
      <c r="H621" s="636">
        <f t="shared" si="55"/>
        <v>1495</v>
      </c>
      <c r="I621" s="637" t="str">
        <f>VLOOKUP(H621,ORC.AUXILIAR!I:P,4,0)</f>
        <v>UN</v>
      </c>
      <c r="J621" s="636">
        <f>VLOOKUP(H621,ORC.AUXILIAR!I:P,5,0)</f>
        <v>1</v>
      </c>
      <c r="K621" s="638">
        <f t="shared" si="56"/>
        <v>1</v>
      </c>
      <c r="L621" s="639">
        <f>VLOOKUP(H621,ORC.AUXILIAR!I:P,7,0)</f>
        <v>659.83</v>
      </c>
      <c r="M621" s="639">
        <f>VLOOKUP(H621,ORC.AUXILIAR!I:P,8,0)</f>
        <v>659.83</v>
      </c>
      <c r="N621" s="639">
        <f t="shared" si="58"/>
        <v>659.83</v>
      </c>
      <c r="O621" s="639">
        <f t="shared" si="59"/>
        <v>10257168817.951475</v>
      </c>
      <c r="P621" s="640">
        <f t="shared" si="57"/>
        <v>0.99983364632921146</v>
      </c>
    </row>
    <row r="622" spans="1:16">
      <c r="A622" s="627">
        <v>645.40000000000009</v>
      </c>
      <c r="B622" s="628">
        <v>10</v>
      </c>
      <c r="C622" s="629" t="s">
        <v>13474</v>
      </c>
      <c r="D622" s="628">
        <f>VLOOKUP(C622,ORC.AUXILIAR!I:J,2,0)</f>
        <v>0</v>
      </c>
      <c r="G622" s="636">
        <f t="shared" si="54"/>
        <v>0</v>
      </c>
      <c r="H622" s="636" t="str">
        <f t="shared" si="55"/>
        <v>INST.CX.AREIA.10</v>
      </c>
      <c r="I622" s="637" t="str">
        <f>VLOOKUP(H622,ORC.AUXILIAR!I:P,4,0)</f>
        <v>um</v>
      </c>
      <c r="J622" s="636">
        <f>VLOOKUP(H622,ORC.AUXILIAR!I:P,5,0)</f>
        <v>10</v>
      </c>
      <c r="K622" s="638">
        <f t="shared" si="56"/>
        <v>10</v>
      </c>
      <c r="L622" s="639">
        <f>VLOOKUP(H622,ORC.AUXILIAR!I:P,7,0)</f>
        <v>64.540000000000006</v>
      </c>
      <c r="M622" s="639">
        <f>VLOOKUP(H622,ORC.AUXILIAR!I:P,8,0)</f>
        <v>645.4</v>
      </c>
      <c r="N622" s="639">
        <f t="shared" si="58"/>
        <v>6454</v>
      </c>
      <c r="O622" s="639">
        <f t="shared" si="59"/>
        <v>10257175271.951475</v>
      </c>
      <c r="P622" s="640">
        <f t="shared" si="57"/>
        <v>0.99983427544300185</v>
      </c>
    </row>
    <row r="623" spans="1:16">
      <c r="A623" s="627">
        <v>644.14350000000002</v>
      </c>
      <c r="B623" s="628">
        <v>21.45</v>
      </c>
      <c r="C623" s="629">
        <v>7219</v>
      </c>
      <c r="D623" s="628">
        <f>VLOOKUP(C623,ORC.AUXILIAR!I:J,2,0)</f>
        <v>0</v>
      </c>
      <c r="G623" s="636">
        <f t="shared" si="54"/>
        <v>0</v>
      </c>
      <c r="H623" s="636">
        <f t="shared" si="55"/>
        <v>7219</v>
      </c>
      <c r="I623" s="637" t="str">
        <f>VLOOKUP(H623,ORC.AUXILIAR!I:P,4,0)</f>
        <v>UN</v>
      </c>
      <c r="J623" s="636">
        <f>VLOOKUP(H623,ORC.AUXILIAR!I:P,5,0)</f>
        <v>7</v>
      </c>
      <c r="K623" s="638">
        <f t="shared" si="56"/>
        <v>21.45</v>
      </c>
      <c r="L623" s="639">
        <f>VLOOKUP(H623,ORC.AUXILIAR!I:P,7,0)</f>
        <v>30.03</v>
      </c>
      <c r="M623" s="639">
        <f>VLOOKUP(H623,ORC.AUXILIAR!I:P,8,0)</f>
        <v>210.21</v>
      </c>
      <c r="N623" s="639">
        <f t="shared" si="58"/>
        <v>4509.0045</v>
      </c>
      <c r="O623" s="639">
        <f t="shared" si="59"/>
        <v>10257179780.955975</v>
      </c>
      <c r="P623" s="640">
        <f t="shared" si="57"/>
        <v>0.99983471496529985</v>
      </c>
    </row>
    <row r="624" spans="1:16">
      <c r="A624" s="627">
        <v>643.54</v>
      </c>
      <c r="B624" s="628">
        <v>2</v>
      </c>
      <c r="C624" s="629" t="s">
        <v>13209</v>
      </c>
      <c r="D624" s="628">
        <f>VLOOKUP(C624,ORC.AUXILIAR!I:J,2,0)</f>
        <v>0</v>
      </c>
      <c r="G624" s="636">
        <f t="shared" si="54"/>
        <v>0</v>
      </c>
      <c r="H624" s="636" t="str">
        <f t="shared" si="55"/>
        <v>RE.RPVC.16</v>
      </c>
      <c r="I624" s="637" t="str">
        <f>VLOOKUP(H624,ORC.AUXILIAR!I:P,4,0)</f>
        <v>pç</v>
      </c>
      <c r="J624" s="636">
        <f>VLOOKUP(H624,ORC.AUXILIAR!I:P,5,0)</f>
        <v>2</v>
      </c>
      <c r="K624" s="638">
        <f t="shared" si="56"/>
        <v>2</v>
      </c>
      <c r="L624" s="639">
        <f>VLOOKUP(H624,ORC.AUXILIAR!I:P,7,0)</f>
        <v>321.77</v>
      </c>
      <c r="M624" s="639">
        <f>VLOOKUP(H624,ORC.AUXILIAR!I:P,8,0)</f>
        <v>643.54</v>
      </c>
      <c r="N624" s="639">
        <f t="shared" si="58"/>
        <v>1287.08</v>
      </c>
      <c r="O624" s="639">
        <f t="shared" si="59"/>
        <v>10257181068.035975</v>
      </c>
      <c r="P624" s="640">
        <f t="shared" si="57"/>
        <v>0.99983484042544513</v>
      </c>
    </row>
    <row r="625" spans="1:16">
      <c r="A625" s="627">
        <v>637.91999999999996</v>
      </c>
      <c r="B625" s="628">
        <v>1</v>
      </c>
      <c r="C625" s="629" t="s">
        <v>13235</v>
      </c>
      <c r="D625" s="628">
        <f>VLOOKUP(C625,ORC.AUXILIAR!I:J,2,0)</f>
        <v>0</v>
      </c>
      <c r="G625" s="636">
        <f t="shared" si="54"/>
        <v>0</v>
      </c>
      <c r="H625" s="636" t="str">
        <f t="shared" si="55"/>
        <v>TP.GR.01</v>
      </c>
      <c r="I625" s="637" t="str">
        <f>VLOOKUP(H625,ORC.AUXILIAR!I:P,4,0)</f>
        <v>un</v>
      </c>
      <c r="J625" s="636">
        <f>VLOOKUP(H625,ORC.AUXILIAR!I:P,5,0)</f>
        <v>1</v>
      </c>
      <c r="K625" s="638">
        <f t="shared" si="56"/>
        <v>1</v>
      </c>
      <c r="L625" s="639">
        <f>VLOOKUP(H625,ORC.AUXILIAR!I:P,7,0)</f>
        <v>637.91999999999996</v>
      </c>
      <c r="M625" s="639">
        <f>VLOOKUP(H625,ORC.AUXILIAR!I:P,8,0)</f>
        <v>637.91999999999996</v>
      </c>
      <c r="N625" s="639">
        <f t="shared" si="58"/>
        <v>637.91999999999996</v>
      </c>
      <c r="O625" s="639">
        <f t="shared" si="59"/>
        <v>10257181705.955975</v>
      </c>
      <c r="P625" s="640">
        <f t="shared" si="57"/>
        <v>0.99983490260769936</v>
      </c>
    </row>
    <row r="626" spans="1:16">
      <c r="A626" s="627">
        <v>636.24</v>
      </c>
      <c r="B626" s="628">
        <v>24</v>
      </c>
      <c r="C626" s="629">
        <v>95752</v>
      </c>
      <c r="D626" s="628">
        <f>VLOOKUP(C626,ORC.AUXILIAR!I:J,2,0)</f>
        <v>0</v>
      </c>
      <c r="G626" s="636">
        <f t="shared" si="54"/>
        <v>0</v>
      </c>
      <c r="H626" s="636">
        <f t="shared" si="55"/>
        <v>95752</v>
      </c>
      <c r="I626" s="637" t="str">
        <f>VLOOKUP(H626,ORC.AUXILIAR!I:P,4,0)</f>
        <v>m</v>
      </c>
      <c r="J626" s="636">
        <f>VLOOKUP(H626,ORC.AUXILIAR!I:P,5,0)</f>
        <v>9</v>
      </c>
      <c r="K626" s="638">
        <f t="shared" si="56"/>
        <v>24</v>
      </c>
      <c r="L626" s="639">
        <f>VLOOKUP(H626,ORC.AUXILIAR!I:P,7,0)</f>
        <v>26.51</v>
      </c>
      <c r="M626" s="639">
        <f>VLOOKUP(H626,ORC.AUXILIAR!I:P,8,0)</f>
        <v>238.59</v>
      </c>
      <c r="N626" s="639">
        <f t="shared" si="58"/>
        <v>5726.16</v>
      </c>
      <c r="O626" s="639">
        <f t="shared" si="59"/>
        <v>10257187432.115974</v>
      </c>
      <c r="P626" s="640">
        <f t="shared" si="57"/>
        <v>0.9998354607741422</v>
      </c>
    </row>
    <row r="627" spans="1:16">
      <c r="A627" s="627">
        <v>636</v>
      </c>
      <c r="B627" s="628">
        <v>60</v>
      </c>
      <c r="C627" s="629" t="s">
        <v>13558</v>
      </c>
      <c r="D627" s="628">
        <f>VLOOKUP(C627,ORC.AUXILIAR!I:J,2,0)</f>
        <v>0</v>
      </c>
      <c r="G627" s="636">
        <f t="shared" si="54"/>
        <v>0</v>
      </c>
      <c r="H627" s="636" t="str">
        <f t="shared" si="55"/>
        <v>QCM.HIP.11</v>
      </c>
      <c r="I627" s="637" t="str">
        <f>VLOOKUP(H627,ORC.AUXILIAR!I:P,4,0)</f>
        <v>um</v>
      </c>
      <c r="J627" s="636">
        <f>VLOOKUP(H627,ORC.AUXILIAR!I:P,5,0)</f>
        <v>60</v>
      </c>
      <c r="K627" s="638">
        <f t="shared" si="56"/>
        <v>60</v>
      </c>
      <c r="L627" s="639">
        <f>VLOOKUP(H627,ORC.AUXILIAR!I:P,7,0)</f>
        <v>10.6</v>
      </c>
      <c r="M627" s="639">
        <f>VLOOKUP(H627,ORC.AUXILIAR!I:P,8,0)</f>
        <v>636</v>
      </c>
      <c r="N627" s="639">
        <f t="shared" si="58"/>
        <v>38160</v>
      </c>
      <c r="O627" s="639">
        <f t="shared" si="59"/>
        <v>10257225592.115974</v>
      </c>
      <c r="P627" s="640">
        <f t="shared" si="57"/>
        <v>0.99983918048009812</v>
      </c>
    </row>
    <row r="628" spans="1:16">
      <c r="A628" s="627">
        <v>635.32000000000005</v>
      </c>
      <c r="B628" s="628">
        <v>1</v>
      </c>
      <c r="C628" s="629" t="s">
        <v>12887</v>
      </c>
      <c r="D628" s="628">
        <f>VLOOKUP(C628,ORC.AUXILIAR!I:J,2,0)</f>
        <v>0</v>
      </c>
      <c r="G628" s="636">
        <f t="shared" si="54"/>
        <v>0</v>
      </c>
      <c r="H628" s="636" t="str">
        <f t="shared" si="55"/>
        <v>TP.F°F°.07</v>
      </c>
      <c r="I628" s="637" t="str">
        <f>VLOOKUP(H628,ORC.AUXILIAR!I:P,4,0)</f>
        <v>pç</v>
      </c>
      <c r="J628" s="636">
        <f>VLOOKUP(H628,ORC.AUXILIAR!I:P,5,0)</f>
        <v>1</v>
      </c>
      <c r="K628" s="638">
        <f t="shared" si="56"/>
        <v>1</v>
      </c>
      <c r="L628" s="639">
        <f>VLOOKUP(H628,ORC.AUXILIAR!I:P,7,0)</f>
        <v>635.32000000000005</v>
      </c>
      <c r="M628" s="639">
        <f>VLOOKUP(H628,ORC.AUXILIAR!I:P,8,0)</f>
        <v>635.32000000000005</v>
      </c>
      <c r="N628" s="639">
        <f t="shared" si="58"/>
        <v>635.32000000000005</v>
      </c>
      <c r="O628" s="639">
        <f t="shared" si="59"/>
        <v>10257226227.435974</v>
      </c>
      <c r="P628" s="640">
        <f t="shared" si="57"/>
        <v>0.99983924240891331</v>
      </c>
    </row>
    <row r="629" spans="1:16">
      <c r="A629" s="627">
        <v>629.02</v>
      </c>
      <c r="B629" s="628">
        <v>14</v>
      </c>
      <c r="C629" s="629">
        <v>92005</v>
      </c>
      <c r="D629" s="628">
        <f>VLOOKUP(C629,ORC.AUXILIAR!I:J,2,0)</f>
        <v>0</v>
      </c>
      <c r="G629" s="636">
        <f t="shared" si="54"/>
        <v>0</v>
      </c>
      <c r="H629" s="636">
        <f t="shared" si="55"/>
        <v>92005</v>
      </c>
      <c r="I629" s="637" t="str">
        <f>VLOOKUP(H629,ORC.AUXILIAR!I:P,4,0)</f>
        <v>un</v>
      </c>
      <c r="J629" s="636">
        <f>VLOOKUP(H629,ORC.AUXILIAR!I:P,5,0)</f>
        <v>14</v>
      </c>
      <c r="K629" s="638">
        <f t="shared" si="56"/>
        <v>14</v>
      </c>
      <c r="L629" s="639">
        <f>VLOOKUP(H629,ORC.AUXILIAR!I:P,7,0)</f>
        <v>44.93</v>
      </c>
      <c r="M629" s="639">
        <f>VLOOKUP(H629,ORC.AUXILIAR!I:P,8,0)</f>
        <v>629.02</v>
      </c>
      <c r="N629" s="639">
        <f t="shared" si="58"/>
        <v>8806.2799999999988</v>
      </c>
      <c r="O629" s="639">
        <f t="shared" si="59"/>
        <v>10257235033.715975</v>
      </c>
      <c r="P629" s="640">
        <f t="shared" si="57"/>
        <v>0.99984010081489261</v>
      </c>
    </row>
    <row r="630" spans="1:16">
      <c r="A630" s="627">
        <v>619.82000000000005</v>
      </c>
      <c r="B630" s="628">
        <v>1</v>
      </c>
      <c r="C630" s="629" t="s">
        <v>13245</v>
      </c>
      <c r="D630" s="628">
        <f>VLOOKUP(C630,ORC.AUXILIAR!I:J,2,0)</f>
        <v>0</v>
      </c>
      <c r="G630" s="636">
        <f t="shared" si="54"/>
        <v>0</v>
      </c>
      <c r="H630" s="636" t="str">
        <f t="shared" si="55"/>
        <v>TP.GR.07</v>
      </c>
      <c r="I630" s="637" t="str">
        <f>VLOOKUP(H630,ORC.AUXILIAR!I:P,4,0)</f>
        <v>un</v>
      </c>
      <c r="J630" s="636">
        <f>VLOOKUP(H630,ORC.AUXILIAR!I:P,5,0)</f>
        <v>1</v>
      </c>
      <c r="K630" s="638">
        <f t="shared" si="56"/>
        <v>1</v>
      </c>
      <c r="L630" s="639">
        <f>VLOOKUP(H630,ORC.AUXILIAR!I:P,7,0)</f>
        <v>619.82000000000005</v>
      </c>
      <c r="M630" s="639">
        <f>VLOOKUP(H630,ORC.AUXILIAR!I:P,8,0)</f>
        <v>619.82000000000005</v>
      </c>
      <c r="N630" s="639">
        <f t="shared" si="58"/>
        <v>619.82000000000005</v>
      </c>
      <c r="O630" s="639">
        <f t="shared" si="59"/>
        <v>10257235653.535975</v>
      </c>
      <c r="P630" s="640">
        <f t="shared" si="57"/>
        <v>0.99984016123282093</v>
      </c>
    </row>
    <row r="631" spans="1:16">
      <c r="A631" s="627">
        <v>615.36</v>
      </c>
      <c r="B631" s="628">
        <v>96</v>
      </c>
      <c r="C631" s="629">
        <v>4179</v>
      </c>
      <c r="D631" s="628">
        <f>VLOOKUP(C631,ORC.AUXILIAR!I:J,2,0)</f>
        <v>0</v>
      </c>
      <c r="G631" s="636">
        <f t="shared" si="54"/>
        <v>0</v>
      </c>
      <c r="H631" s="636">
        <f t="shared" si="55"/>
        <v>4179</v>
      </c>
      <c r="I631" s="637" t="str">
        <f>VLOOKUP(H631,ORC.AUXILIAR!I:P,4,0)</f>
        <v>pç</v>
      </c>
      <c r="J631" s="636">
        <f>VLOOKUP(H631,ORC.AUXILIAR!I:P,5,0)</f>
        <v>96</v>
      </c>
      <c r="K631" s="638">
        <f t="shared" si="56"/>
        <v>96</v>
      </c>
      <c r="L631" s="639">
        <f>VLOOKUP(H631,ORC.AUXILIAR!I:P,7,0)</f>
        <v>6.41</v>
      </c>
      <c r="M631" s="639">
        <f>VLOOKUP(H631,ORC.AUXILIAR!I:P,8,0)</f>
        <v>615.36</v>
      </c>
      <c r="N631" s="639">
        <f t="shared" si="58"/>
        <v>59074.559999999998</v>
      </c>
      <c r="O631" s="639">
        <f t="shared" si="59"/>
        <v>10257294728.095974</v>
      </c>
      <c r="P631" s="640">
        <f t="shared" si="57"/>
        <v>0.99984591961837332</v>
      </c>
    </row>
    <row r="632" spans="1:16">
      <c r="A632" s="627">
        <v>601.84</v>
      </c>
      <c r="B632" s="628">
        <v>4</v>
      </c>
      <c r="C632" s="629" t="s">
        <v>13189</v>
      </c>
      <c r="D632" s="628">
        <f>VLOOKUP(C632,ORC.AUXILIAR!I:J,2,0)</f>
        <v>0</v>
      </c>
      <c r="G632" s="636">
        <f t="shared" si="54"/>
        <v>0</v>
      </c>
      <c r="H632" s="636" t="str">
        <f t="shared" si="55"/>
        <v>LS.RPVC.03</v>
      </c>
      <c r="I632" s="637" t="str">
        <f>VLOOKUP(H632,ORC.AUXILIAR!I:P,4,0)</f>
        <v>pç</v>
      </c>
      <c r="J632" s="636">
        <f>VLOOKUP(H632,ORC.AUXILIAR!I:P,5,0)</f>
        <v>4</v>
      </c>
      <c r="K632" s="638">
        <f t="shared" si="56"/>
        <v>4</v>
      </c>
      <c r="L632" s="639">
        <f>VLOOKUP(H632,ORC.AUXILIAR!I:P,7,0)</f>
        <v>150.46</v>
      </c>
      <c r="M632" s="639">
        <f>VLOOKUP(H632,ORC.AUXILIAR!I:P,8,0)</f>
        <v>601.84</v>
      </c>
      <c r="N632" s="639">
        <f t="shared" si="58"/>
        <v>2407.36</v>
      </c>
      <c r="O632" s="639">
        <f t="shared" si="59"/>
        <v>10257297135.455975</v>
      </c>
      <c r="P632" s="640">
        <f t="shared" si="57"/>
        <v>0.99984615427957169</v>
      </c>
    </row>
    <row r="633" spans="1:16">
      <c r="A633" s="627">
        <v>595.19999999999993</v>
      </c>
      <c r="B633" s="628">
        <v>155</v>
      </c>
      <c r="C633" s="629" t="s">
        <v>14673</v>
      </c>
      <c r="D633" s="628">
        <f>VLOOKUP(C633,ORC.AUXILIAR!I:J,2,0)</f>
        <v>0</v>
      </c>
      <c r="G633" s="636">
        <f t="shared" si="54"/>
        <v>0</v>
      </c>
      <c r="H633" s="636" t="str">
        <f t="shared" si="55"/>
        <v>73887/1</v>
      </c>
      <c r="I633" s="637" t="str">
        <f>VLOOKUP(H633,ORC.AUXILIAR!I:P,4,0)</f>
        <v>M</v>
      </c>
      <c r="J633" s="636">
        <f>VLOOKUP(H633,ORC.AUXILIAR!I:P,5,0)</f>
        <v>155</v>
      </c>
      <c r="K633" s="638">
        <f t="shared" si="56"/>
        <v>155</v>
      </c>
      <c r="L633" s="639">
        <f>VLOOKUP(H633,ORC.AUXILIAR!I:P,7,0)</f>
        <v>3.84</v>
      </c>
      <c r="M633" s="639">
        <f>VLOOKUP(H633,ORC.AUXILIAR!I:P,8,0)</f>
        <v>595.20000000000005</v>
      </c>
      <c r="N633" s="639">
        <f t="shared" si="58"/>
        <v>92256</v>
      </c>
      <c r="O633" s="639">
        <f t="shared" si="59"/>
        <v>10257389391.455975</v>
      </c>
      <c r="P633" s="640">
        <f t="shared" si="57"/>
        <v>0.99985514707812195</v>
      </c>
    </row>
    <row r="634" spans="1:16">
      <c r="A634" s="627">
        <v>594.21</v>
      </c>
      <c r="B634" s="628">
        <v>3</v>
      </c>
      <c r="C634" s="629" t="s">
        <v>13548</v>
      </c>
      <c r="D634" s="628">
        <f>VLOOKUP(C634,ORC.AUXILIAR!I:J,2,0)</f>
        <v>0</v>
      </c>
      <c r="G634" s="636">
        <f t="shared" si="54"/>
        <v>0</v>
      </c>
      <c r="H634" s="636" t="str">
        <f t="shared" si="55"/>
        <v>QCM.HIP.06</v>
      </c>
      <c r="I634" s="637" t="str">
        <f>VLOOKUP(H634,ORC.AUXILIAR!I:P,4,0)</f>
        <v>un</v>
      </c>
      <c r="J634" s="636">
        <f>VLOOKUP(H634,ORC.AUXILIAR!I:P,5,0)</f>
        <v>3</v>
      </c>
      <c r="K634" s="638">
        <f t="shared" si="56"/>
        <v>3</v>
      </c>
      <c r="L634" s="639">
        <f>VLOOKUP(H634,ORC.AUXILIAR!I:P,7,0)</f>
        <v>198.07</v>
      </c>
      <c r="M634" s="639">
        <f>VLOOKUP(H634,ORC.AUXILIAR!I:P,8,0)</f>
        <v>594.21</v>
      </c>
      <c r="N634" s="639">
        <f t="shared" si="58"/>
        <v>1782.63</v>
      </c>
      <c r="O634" s="639">
        <f t="shared" si="59"/>
        <v>10257391174.085974</v>
      </c>
      <c r="P634" s="640">
        <f t="shared" si="57"/>
        <v>0.99985532084278195</v>
      </c>
    </row>
    <row r="635" spans="1:16">
      <c r="A635" s="627">
        <v>587.46</v>
      </c>
      <c r="B635" s="628">
        <v>6</v>
      </c>
      <c r="C635" s="629" t="s">
        <v>13476</v>
      </c>
      <c r="D635" s="628">
        <f>VLOOKUP(C635,ORC.AUXILIAR!I:J,2,0)</f>
        <v>0</v>
      </c>
      <c r="G635" s="636">
        <f t="shared" si="54"/>
        <v>0</v>
      </c>
      <c r="H635" s="636" t="str">
        <f t="shared" si="55"/>
        <v>INST.CX.AREIA.11</v>
      </c>
      <c r="I635" s="637" t="str">
        <f>VLOOKUP(H635,ORC.AUXILIAR!I:P,4,0)</f>
        <v>um</v>
      </c>
      <c r="J635" s="636">
        <f>VLOOKUP(H635,ORC.AUXILIAR!I:P,5,0)</f>
        <v>6</v>
      </c>
      <c r="K635" s="638">
        <f t="shared" si="56"/>
        <v>6</v>
      </c>
      <c r="L635" s="639">
        <f>VLOOKUP(H635,ORC.AUXILIAR!I:P,7,0)</f>
        <v>97.91</v>
      </c>
      <c r="M635" s="639">
        <f>VLOOKUP(H635,ORC.AUXILIAR!I:P,8,0)</f>
        <v>587.46</v>
      </c>
      <c r="N635" s="639">
        <f t="shared" si="58"/>
        <v>3524.76</v>
      </c>
      <c r="O635" s="639">
        <f t="shared" si="59"/>
        <v>10257394698.845974</v>
      </c>
      <c r="P635" s="640">
        <f t="shared" si="57"/>
        <v>0.99985566442430096</v>
      </c>
    </row>
    <row r="636" spans="1:16">
      <c r="A636" s="627">
        <v>584.59500000000003</v>
      </c>
      <c r="B636" s="628">
        <v>3.3</v>
      </c>
      <c r="C636" s="629">
        <v>92873</v>
      </c>
      <c r="D636" s="628">
        <f>VLOOKUP(C636,ORC.AUXILIAR!I:J,2,0)</f>
        <v>0</v>
      </c>
      <c r="G636" s="636">
        <f t="shared" si="54"/>
        <v>0</v>
      </c>
      <c r="H636" s="636">
        <f t="shared" si="55"/>
        <v>92873</v>
      </c>
      <c r="I636" s="637" t="str">
        <f>VLOOKUP(H636,ORC.AUXILIAR!I:P,4,0)</f>
        <v>M3</v>
      </c>
      <c r="J636" s="636">
        <f>VLOOKUP(H636,ORC.AUXILIAR!I:P,5,0)</f>
        <v>3.3</v>
      </c>
      <c r="K636" s="638">
        <f t="shared" si="56"/>
        <v>3.3</v>
      </c>
      <c r="L636" s="639">
        <f>VLOOKUP(H636,ORC.AUXILIAR!I:P,7,0)</f>
        <v>177.15</v>
      </c>
      <c r="M636" s="639">
        <f>VLOOKUP(H636,ORC.AUXILIAR!I:P,8,0)</f>
        <v>584.6</v>
      </c>
      <c r="N636" s="639">
        <f t="shared" si="58"/>
        <v>1929.18</v>
      </c>
      <c r="O636" s="639">
        <f t="shared" si="59"/>
        <v>10257396628.025974</v>
      </c>
      <c r="P636" s="640">
        <f t="shared" si="57"/>
        <v>0.99985585247415265</v>
      </c>
    </row>
    <row r="637" spans="1:16">
      <c r="A637" s="627">
        <v>584.17999999999995</v>
      </c>
      <c r="B637" s="628">
        <v>1</v>
      </c>
      <c r="C637" s="629" t="s">
        <v>13247</v>
      </c>
      <c r="D637" s="628">
        <f>VLOOKUP(C637,ORC.AUXILIAR!I:J,2,0)</f>
        <v>0</v>
      </c>
      <c r="G637" s="636">
        <f t="shared" si="54"/>
        <v>0</v>
      </c>
      <c r="H637" s="636" t="str">
        <f t="shared" si="55"/>
        <v>TP.GR.08</v>
      </c>
      <c r="I637" s="637" t="str">
        <f>VLOOKUP(H637,ORC.AUXILIAR!I:P,4,0)</f>
        <v>un</v>
      </c>
      <c r="J637" s="636">
        <f>VLOOKUP(H637,ORC.AUXILIAR!I:P,5,0)</f>
        <v>1</v>
      </c>
      <c r="K637" s="638">
        <f t="shared" si="56"/>
        <v>1</v>
      </c>
      <c r="L637" s="639">
        <f>VLOOKUP(H637,ORC.AUXILIAR!I:P,7,0)</f>
        <v>584.17999999999995</v>
      </c>
      <c r="M637" s="639">
        <f>VLOOKUP(H637,ORC.AUXILIAR!I:P,8,0)</f>
        <v>584.17999999999995</v>
      </c>
      <c r="N637" s="639">
        <f t="shared" si="58"/>
        <v>584.17999999999995</v>
      </c>
      <c r="O637" s="639">
        <f t="shared" si="59"/>
        <v>10257397212.205975</v>
      </c>
      <c r="P637" s="640">
        <f t="shared" si="57"/>
        <v>0.99985590941801594</v>
      </c>
    </row>
    <row r="638" spans="1:16">
      <c r="A638" s="627">
        <v>578.54999999999995</v>
      </c>
      <c r="B638" s="628">
        <v>5</v>
      </c>
      <c r="C638" s="629" t="s">
        <v>20200</v>
      </c>
      <c r="D638" s="628">
        <f>VLOOKUP(C638,ORC.AUXILIAR!I:J,2,0)</f>
        <v>0</v>
      </c>
      <c r="G638" s="636">
        <f t="shared" si="54"/>
        <v>0</v>
      </c>
      <c r="H638" s="636" t="str">
        <f t="shared" si="55"/>
        <v>i1057</v>
      </c>
      <c r="I638" s="637" t="str">
        <f>VLOOKUP(H638,ORC.AUXILIAR!I:P,4,0)</f>
        <v>UM</v>
      </c>
      <c r="J638" s="636">
        <f>VLOOKUP(H638,ORC.AUXILIAR!I:P,5,0)</f>
        <v>5</v>
      </c>
      <c r="K638" s="638">
        <f t="shared" si="56"/>
        <v>5</v>
      </c>
      <c r="L638" s="639">
        <f>VLOOKUP(H638,ORC.AUXILIAR!I:P,7,0)</f>
        <v>115.71</v>
      </c>
      <c r="M638" s="639">
        <f>VLOOKUP(H638,ORC.AUXILIAR!I:P,8,0)</f>
        <v>578.54999999999995</v>
      </c>
      <c r="N638" s="639">
        <f t="shared" si="58"/>
        <v>2892.75</v>
      </c>
      <c r="O638" s="639">
        <f t="shared" si="59"/>
        <v>10257400104.955975</v>
      </c>
      <c r="P638" s="640">
        <f t="shared" si="57"/>
        <v>0.99985619139336723</v>
      </c>
    </row>
    <row r="639" spans="1:16">
      <c r="A639" s="627">
        <v>574.56000000000006</v>
      </c>
      <c r="B639" s="628">
        <v>6</v>
      </c>
      <c r="C639" s="629">
        <v>6028</v>
      </c>
      <c r="D639" s="628">
        <f>VLOOKUP(C639,ORC.AUXILIAR!I:J,2,0)</f>
        <v>0</v>
      </c>
      <c r="G639" s="636">
        <f t="shared" si="54"/>
        <v>0</v>
      </c>
      <c r="H639" s="636">
        <f t="shared" si="55"/>
        <v>6028</v>
      </c>
      <c r="I639" s="637" t="str">
        <f>VLOOKUP(H639,ORC.AUXILIAR!I:P,4,0)</f>
        <v>un</v>
      </c>
      <c r="J639" s="636">
        <f>VLOOKUP(H639,ORC.AUXILIAR!I:P,5,0)</f>
        <v>6</v>
      </c>
      <c r="K639" s="638">
        <f t="shared" si="56"/>
        <v>6</v>
      </c>
      <c r="L639" s="639">
        <f>VLOOKUP(H639,ORC.AUXILIAR!I:P,7,0)</f>
        <v>95.76</v>
      </c>
      <c r="M639" s="639">
        <f>VLOOKUP(H639,ORC.AUXILIAR!I:P,8,0)</f>
        <v>574.55999999999995</v>
      </c>
      <c r="N639" s="639">
        <f t="shared" si="58"/>
        <v>3447.3599999999997</v>
      </c>
      <c r="O639" s="639">
        <f t="shared" si="59"/>
        <v>10257403552.315975</v>
      </c>
      <c r="P639" s="640">
        <f t="shared" si="57"/>
        <v>0.9998565274301997</v>
      </c>
    </row>
    <row r="640" spans="1:16">
      <c r="A640" s="627">
        <v>568.31999999999994</v>
      </c>
      <c r="B640" s="628">
        <v>12</v>
      </c>
      <c r="C640" s="629">
        <v>11063</v>
      </c>
      <c r="D640" s="628">
        <f>VLOOKUP(C640,ORC.AUXILIAR!I:J,2,0)</f>
        <v>0</v>
      </c>
      <c r="G640" s="636">
        <f t="shared" si="54"/>
        <v>0</v>
      </c>
      <c r="H640" s="636">
        <f t="shared" si="55"/>
        <v>11063</v>
      </c>
      <c r="I640" s="637" t="str">
        <f>VLOOKUP(H640,ORC.AUXILIAR!I:P,4,0)</f>
        <v>M2</v>
      </c>
      <c r="J640" s="636">
        <f>VLOOKUP(H640,ORC.AUXILIAR!I:P,5,0)</f>
        <v>12</v>
      </c>
      <c r="K640" s="638">
        <f t="shared" si="56"/>
        <v>12</v>
      </c>
      <c r="L640" s="639">
        <f>VLOOKUP(H640,ORC.AUXILIAR!I:P,7,0)</f>
        <v>47.36</v>
      </c>
      <c r="M640" s="639">
        <f>VLOOKUP(H640,ORC.AUXILIAR!I:P,8,0)</f>
        <v>568.32000000000005</v>
      </c>
      <c r="N640" s="639">
        <f t="shared" si="58"/>
        <v>6819.84</v>
      </c>
      <c r="O640" s="639">
        <f t="shared" si="59"/>
        <v>10257410372.155975</v>
      </c>
      <c r="P640" s="640">
        <f t="shared" si="57"/>
        <v>0.99985719220481883</v>
      </c>
    </row>
    <row r="641" spans="1:16">
      <c r="A641" s="627">
        <v>566.02</v>
      </c>
      <c r="B641" s="628">
        <v>311</v>
      </c>
      <c r="C641" s="629">
        <v>85323</v>
      </c>
      <c r="D641" s="628">
        <f>VLOOKUP(C641,ORC.AUXILIAR!I:J,2,0)</f>
        <v>0</v>
      </c>
      <c r="G641" s="636">
        <f t="shared" si="54"/>
        <v>0</v>
      </c>
      <c r="H641" s="636">
        <f t="shared" si="55"/>
        <v>85323</v>
      </c>
      <c r="I641" s="637" t="str">
        <f>VLOOKUP(H641,ORC.AUXILIAR!I:P,4,0)</f>
        <v>M</v>
      </c>
      <c r="J641" s="636">
        <f>VLOOKUP(H641,ORC.AUXILIAR!I:P,5,0)</f>
        <v>104</v>
      </c>
      <c r="K641" s="638">
        <f t="shared" si="56"/>
        <v>311</v>
      </c>
      <c r="L641" s="639">
        <f>VLOOKUP(H641,ORC.AUXILIAR!I:P,7,0)</f>
        <v>1.82</v>
      </c>
      <c r="M641" s="639">
        <f>VLOOKUP(H641,ORC.AUXILIAR!I:P,8,0)</f>
        <v>189.28</v>
      </c>
      <c r="N641" s="639">
        <f t="shared" si="58"/>
        <v>58866.080000000002</v>
      </c>
      <c r="O641" s="639">
        <f t="shared" si="59"/>
        <v>10257469238.235975</v>
      </c>
      <c r="P641" s="640">
        <f t="shared" si="57"/>
        <v>0.99986293026845574</v>
      </c>
    </row>
    <row r="642" spans="1:16">
      <c r="A642" s="627">
        <v>565.65</v>
      </c>
      <c r="B642" s="628">
        <v>27</v>
      </c>
      <c r="C642" s="629">
        <v>11831</v>
      </c>
      <c r="D642" s="628">
        <f>VLOOKUP(C642,ORC.AUXILIAR!I:J,2,0)</f>
        <v>0</v>
      </c>
      <c r="G642" s="636">
        <f t="shared" si="54"/>
        <v>0</v>
      </c>
      <c r="H642" s="636">
        <f t="shared" si="55"/>
        <v>11831</v>
      </c>
      <c r="I642" s="637" t="str">
        <f>VLOOKUP(H642,ORC.AUXILIAR!I:P,4,0)</f>
        <v>pç</v>
      </c>
      <c r="J642" s="636">
        <f>VLOOKUP(H642,ORC.AUXILIAR!I:P,5,0)</f>
        <v>27</v>
      </c>
      <c r="K642" s="638">
        <f t="shared" si="56"/>
        <v>27</v>
      </c>
      <c r="L642" s="639">
        <f>VLOOKUP(H642,ORC.AUXILIAR!I:P,7,0)</f>
        <v>20.95</v>
      </c>
      <c r="M642" s="639">
        <f>VLOOKUP(H642,ORC.AUXILIAR!I:P,8,0)</f>
        <v>565.65</v>
      </c>
      <c r="N642" s="639">
        <f t="shared" si="58"/>
        <v>15272.55</v>
      </c>
      <c r="O642" s="639">
        <f t="shared" si="59"/>
        <v>10257484510.785975</v>
      </c>
      <c r="P642" s="640">
        <f t="shared" si="57"/>
        <v>0.99986441898426281</v>
      </c>
    </row>
    <row r="643" spans="1:16">
      <c r="A643" s="627">
        <v>565.05999999999995</v>
      </c>
      <c r="B643" s="628">
        <v>38</v>
      </c>
      <c r="C643" s="629" t="s">
        <v>13420</v>
      </c>
      <c r="D643" s="628">
        <f>VLOOKUP(C643,ORC.AUXILIAR!I:J,2,0)</f>
        <v>0</v>
      </c>
      <c r="G643" s="636">
        <f t="shared" si="54"/>
        <v>0</v>
      </c>
      <c r="H643" s="636" t="str">
        <f t="shared" si="55"/>
        <v>INS.ELET.43</v>
      </c>
      <c r="I643" s="637" t="str">
        <f>VLOOKUP(H643,ORC.AUXILIAR!I:P,4,0)</f>
        <v>un</v>
      </c>
      <c r="J643" s="636">
        <f>VLOOKUP(H643,ORC.AUXILIAR!I:P,5,0)</f>
        <v>38</v>
      </c>
      <c r="K643" s="638">
        <f t="shared" si="56"/>
        <v>38</v>
      </c>
      <c r="L643" s="639">
        <f>VLOOKUP(H643,ORC.AUXILIAR!I:P,7,0)</f>
        <v>14.87</v>
      </c>
      <c r="M643" s="639">
        <f>VLOOKUP(H643,ORC.AUXILIAR!I:P,8,0)</f>
        <v>565.05999999999995</v>
      </c>
      <c r="N643" s="639">
        <f t="shared" si="58"/>
        <v>21472.28</v>
      </c>
      <c r="O643" s="639">
        <f t="shared" si="59"/>
        <v>10257505983.065975</v>
      </c>
      <c r="P643" s="640">
        <f t="shared" si="57"/>
        <v>0.99986651202849253</v>
      </c>
    </row>
    <row r="644" spans="1:16">
      <c r="A644" s="627">
        <v>564.5</v>
      </c>
      <c r="B644" s="628">
        <v>25</v>
      </c>
      <c r="C644" s="629" t="s">
        <v>12831</v>
      </c>
      <c r="D644" s="628">
        <f>VLOOKUP(C644,ORC.AUXILIAR!I:J,2,0)</f>
        <v>0</v>
      </c>
      <c r="G644" s="636">
        <f t="shared" si="54"/>
        <v>0</v>
      </c>
      <c r="H644" s="636" t="str">
        <f t="shared" si="55"/>
        <v>TP.AR.03</v>
      </c>
      <c r="I644" s="637" t="str">
        <f>VLOOKUP(H644,ORC.AUXILIAR!I:P,4,0)</f>
        <v>pç</v>
      </c>
      <c r="J644" s="636">
        <f>VLOOKUP(H644,ORC.AUXILIAR!I:P,5,0)</f>
        <v>19</v>
      </c>
      <c r="K644" s="638">
        <f t="shared" si="56"/>
        <v>25</v>
      </c>
      <c r="L644" s="639">
        <f>VLOOKUP(H644,ORC.AUXILIAR!I:P,7,0)</f>
        <v>22.58</v>
      </c>
      <c r="M644" s="639">
        <f>VLOOKUP(H644,ORC.AUXILIAR!I:P,8,0)</f>
        <v>429.02</v>
      </c>
      <c r="N644" s="639">
        <f t="shared" si="58"/>
        <v>10725.5</v>
      </c>
      <c r="O644" s="639">
        <f t="shared" si="59"/>
        <v>10257516708.565975</v>
      </c>
      <c r="P644" s="640">
        <f t="shared" si="57"/>
        <v>0.99986755751345668</v>
      </c>
    </row>
    <row r="645" spans="1:16">
      <c r="A645" s="627">
        <v>563.85</v>
      </c>
      <c r="B645" s="628">
        <v>7</v>
      </c>
      <c r="C645" s="629" t="s">
        <v>13696</v>
      </c>
      <c r="D645" s="628">
        <f>VLOOKUP(C645,ORC.AUXILIAR!I:J,2,0)</f>
        <v>0</v>
      </c>
      <c r="G645" s="636">
        <f t="shared" si="54"/>
        <v>0</v>
      </c>
      <c r="H645" s="636" t="str">
        <f t="shared" si="55"/>
        <v>QCM.EEE.08</v>
      </c>
      <c r="I645" s="637" t="str">
        <f>VLOOKUP(H645,ORC.AUXILIAR!I:P,4,0)</f>
        <v>Um</v>
      </c>
      <c r="J645" s="636">
        <f>VLOOKUP(H645,ORC.AUXILIAR!I:P,5,0)</f>
        <v>7</v>
      </c>
      <c r="K645" s="638">
        <f t="shared" si="56"/>
        <v>7</v>
      </c>
      <c r="L645" s="639">
        <f>VLOOKUP(H645,ORC.AUXILIAR!I:P,7,0)</f>
        <v>80.55</v>
      </c>
      <c r="M645" s="639">
        <f>VLOOKUP(H645,ORC.AUXILIAR!I:P,8,0)</f>
        <v>563.85</v>
      </c>
      <c r="N645" s="639">
        <f t="shared" si="58"/>
        <v>3946.9500000000003</v>
      </c>
      <c r="O645" s="639">
        <f t="shared" si="59"/>
        <v>10257520655.515976</v>
      </c>
      <c r="P645" s="640">
        <f t="shared" si="57"/>
        <v>0.99986794224860931</v>
      </c>
    </row>
    <row r="646" spans="1:16">
      <c r="A646" s="627">
        <v>563.85</v>
      </c>
      <c r="B646" s="628">
        <v>7</v>
      </c>
      <c r="C646" s="629" t="s">
        <v>13697</v>
      </c>
      <c r="D646" s="628">
        <f>VLOOKUP(C646,ORC.AUXILIAR!I:J,2,0)</f>
        <v>0</v>
      </c>
      <c r="G646" s="636">
        <f t="shared" ref="G646:G709" si="60">D646</f>
        <v>0</v>
      </c>
      <c r="H646" s="636" t="str">
        <f t="shared" ref="H646:H709" si="61">C646</f>
        <v>QCM.EEE.09</v>
      </c>
      <c r="I646" s="637" t="str">
        <f>VLOOKUP(H646,ORC.AUXILIAR!I:P,4,0)</f>
        <v>Um</v>
      </c>
      <c r="J646" s="636">
        <f>VLOOKUP(H646,ORC.AUXILIAR!I:P,5,0)</f>
        <v>7</v>
      </c>
      <c r="K646" s="638">
        <f t="shared" ref="K646:K709" si="62">B646</f>
        <v>7</v>
      </c>
      <c r="L646" s="639">
        <f>VLOOKUP(H646,ORC.AUXILIAR!I:P,7,0)</f>
        <v>80.55</v>
      </c>
      <c r="M646" s="639">
        <f>VLOOKUP(H646,ORC.AUXILIAR!I:P,8,0)</f>
        <v>563.85</v>
      </c>
      <c r="N646" s="639">
        <f t="shared" si="58"/>
        <v>3946.9500000000003</v>
      </c>
      <c r="O646" s="639">
        <f t="shared" si="59"/>
        <v>10257524602.465977</v>
      </c>
      <c r="P646" s="640">
        <f t="shared" ref="P646:P709" si="63">O646/N$4</f>
        <v>0.99986832698376193</v>
      </c>
    </row>
    <row r="647" spans="1:16">
      <c r="A647" s="627">
        <v>563.84</v>
      </c>
      <c r="B647" s="628">
        <v>1</v>
      </c>
      <c r="C647" s="629" t="s">
        <v>13006</v>
      </c>
      <c r="D647" s="628">
        <f>VLOOKUP(C647,ORC.AUXILIAR!I:J,2,0)</f>
        <v>0</v>
      </c>
      <c r="G647" s="636">
        <f t="shared" si="60"/>
        <v>0</v>
      </c>
      <c r="H647" s="636" t="str">
        <f t="shared" si="61"/>
        <v>TP.FºF°.37</v>
      </c>
      <c r="I647" s="637" t="str">
        <f>VLOOKUP(H647,ORC.AUXILIAR!I:P,4,0)</f>
        <v>pç</v>
      </c>
      <c r="J647" s="636">
        <f>VLOOKUP(H647,ORC.AUXILIAR!I:P,5,0)</f>
        <v>1</v>
      </c>
      <c r="K647" s="638">
        <f t="shared" si="62"/>
        <v>1</v>
      </c>
      <c r="L647" s="639">
        <f>VLOOKUP(H647,ORC.AUXILIAR!I:P,7,0)</f>
        <v>563.84</v>
      </c>
      <c r="M647" s="639">
        <f>VLOOKUP(H647,ORC.AUXILIAR!I:P,8,0)</f>
        <v>563.84</v>
      </c>
      <c r="N647" s="639">
        <f t="shared" ref="N647:N710" si="64">K647*M647</f>
        <v>563.84</v>
      </c>
      <c r="O647" s="639">
        <f t="shared" ref="O647:O710" si="65">N647+O646</f>
        <v>10257525166.305977</v>
      </c>
      <c r="P647" s="640">
        <f t="shared" si="63"/>
        <v>0.99986838194495187</v>
      </c>
    </row>
    <row r="648" spans="1:16">
      <c r="A648" s="627">
        <v>562.08000000000004</v>
      </c>
      <c r="B648" s="628">
        <v>6</v>
      </c>
      <c r="C648" s="629" t="s">
        <v>13687</v>
      </c>
      <c r="D648" s="628">
        <f>VLOOKUP(C648,ORC.AUXILIAR!I:J,2,0)</f>
        <v>0</v>
      </c>
      <c r="G648" s="636">
        <f t="shared" si="60"/>
        <v>0</v>
      </c>
      <c r="H648" s="636" t="str">
        <f t="shared" si="61"/>
        <v>QCM.EEE.03</v>
      </c>
      <c r="I648" s="637" t="str">
        <f>VLOOKUP(H648,ORC.AUXILIAR!I:P,4,0)</f>
        <v>Un</v>
      </c>
      <c r="J648" s="636">
        <f>VLOOKUP(H648,ORC.AUXILIAR!I:P,5,0)</f>
        <v>6</v>
      </c>
      <c r="K648" s="638">
        <f t="shared" si="62"/>
        <v>6</v>
      </c>
      <c r="L648" s="639">
        <f>VLOOKUP(H648,ORC.AUXILIAR!I:P,7,0)</f>
        <v>93.68</v>
      </c>
      <c r="M648" s="639">
        <f>VLOOKUP(H648,ORC.AUXILIAR!I:P,8,0)</f>
        <v>562.08000000000004</v>
      </c>
      <c r="N648" s="639">
        <f t="shared" si="64"/>
        <v>3372.4800000000005</v>
      </c>
      <c r="O648" s="639">
        <f t="shared" si="65"/>
        <v>10257528538.785976</v>
      </c>
      <c r="P648" s="640">
        <f t="shared" si="63"/>
        <v>0.99986871068273864</v>
      </c>
    </row>
    <row r="649" spans="1:16">
      <c r="A649" s="627">
        <v>561.55999999999995</v>
      </c>
      <c r="B649" s="628">
        <v>4</v>
      </c>
      <c r="C649" s="629" t="s">
        <v>12720</v>
      </c>
      <c r="D649" s="628">
        <f>VLOOKUP(C649,ORC.AUXILIAR!I:J,2,0)</f>
        <v>0</v>
      </c>
      <c r="G649" s="636">
        <f t="shared" si="60"/>
        <v>0</v>
      </c>
      <c r="H649" s="636" t="str">
        <f t="shared" si="61"/>
        <v>RE.AI.13</v>
      </c>
      <c r="I649" s="637" t="str">
        <f>VLOOKUP(H649,ORC.AUXILIAR!I:P,4,0)</f>
        <v>pç</v>
      </c>
      <c r="J649" s="636">
        <f>VLOOKUP(H649,ORC.AUXILIAR!I:P,5,0)</f>
        <v>4</v>
      </c>
      <c r="K649" s="638">
        <f t="shared" si="62"/>
        <v>4</v>
      </c>
      <c r="L649" s="639">
        <f>VLOOKUP(H649,ORC.AUXILIAR!I:P,7,0)</f>
        <v>140.38999999999999</v>
      </c>
      <c r="M649" s="639">
        <f>VLOOKUP(H649,ORC.AUXILIAR!I:P,8,0)</f>
        <v>561.55999999999995</v>
      </c>
      <c r="N649" s="639">
        <f t="shared" si="64"/>
        <v>2246.2399999999998</v>
      </c>
      <c r="O649" s="639">
        <f t="shared" si="65"/>
        <v>10257530785.025976</v>
      </c>
      <c r="P649" s="640">
        <f t="shared" si="63"/>
        <v>0.99986892963851182</v>
      </c>
    </row>
    <row r="650" spans="1:16">
      <c r="A650" s="627">
        <v>555.84</v>
      </c>
      <c r="B650" s="628">
        <v>18</v>
      </c>
      <c r="C650" s="629">
        <v>93017</v>
      </c>
      <c r="D650" s="628">
        <f>VLOOKUP(C650,ORC.AUXILIAR!I:J,2,0)</f>
        <v>0</v>
      </c>
      <c r="G650" s="636">
        <f t="shared" si="60"/>
        <v>0</v>
      </c>
      <c r="H650" s="636">
        <f t="shared" si="61"/>
        <v>93017</v>
      </c>
      <c r="I650" s="637" t="str">
        <f>VLOOKUP(H650,ORC.AUXILIAR!I:P,4,0)</f>
        <v>un</v>
      </c>
      <c r="J650" s="636">
        <f>VLOOKUP(H650,ORC.AUXILIAR!I:P,5,0)</f>
        <v>18</v>
      </c>
      <c r="K650" s="638">
        <f t="shared" si="62"/>
        <v>18</v>
      </c>
      <c r="L650" s="639">
        <f>VLOOKUP(H650,ORC.AUXILIAR!I:P,7,0)</f>
        <v>30.88</v>
      </c>
      <c r="M650" s="639">
        <f>VLOOKUP(H650,ORC.AUXILIAR!I:P,8,0)</f>
        <v>555.84</v>
      </c>
      <c r="N650" s="639">
        <f t="shared" si="64"/>
        <v>10005.120000000001</v>
      </c>
      <c r="O650" s="639">
        <f t="shared" si="65"/>
        <v>10257540790.145977</v>
      </c>
      <c r="P650" s="640">
        <f t="shared" si="63"/>
        <v>0.99986990490330374</v>
      </c>
    </row>
    <row r="651" spans="1:16">
      <c r="A651" s="627">
        <v>550.21</v>
      </c>
      <c r="B651" s="628">
        <v>1</v>
      </c>
      <c r="C651" s="629" t="s">
        <v>13679</v>
      </c>
      <c r="D651" s="628">
        <f>VLOOKUP(C651,ORC.AUXILIAR!I:J,2,0)</f>
        <v>0</v>
      </c>
      <c r="G651" s="636">
        <f t="shared" si="60"/>
        <v>0</v>
      </c>
      <c r="H651" s="636" t="str">
        <f t="shared" si="61"/>
        <v>SUB.35</v>
      </c>
      <c r="I651" s="637" t="str">
        <f>VLOOKUP(H651,ORC.AUXILIAR!I:P,4,0)</f>
        <v>un</v>
      </c>
      <c r="J651" s="636">
        <f>VLOOKUP(H651,ORC.AUXILIAR!I:P,5,0)</f>
        <v>1</v>
      </c>
      <c r="K651" s="638">
        <f t="shared" si="62"/>
        <v>1</v>
      </c>
      <c r="L651" s="639">
        <f>VLOOKUP(H651,ORC.AUXILIAR!I:P,7,0)</f>
        <v>550.21</v>
      </c>
      <c r="M651" s="639">
        <f>VLOOKUP(H651,ORC.AUXILIAR!I:P,8,0)</f>
        <v>550.21</v>
      </c>
      <c r="N651" s="639">
        <f t="shared" si="64"/>
        <v>550.21</v>
      </c>
      <c r="O651" s="639">
        <f t="shared" si="65"/>
        <v>10257541340.355976</v>
      </c>
      <c r="P651" s="640">
        <f t="shared" si="63"/>
        <v>0.99986995853588778</v>
      </c>
    </row>
    <row r="652" spans="1:16">
      <c r="A652" s="627">
        <v>549.9</v>
      </c>
      <c r="B652" s="628">
        <v>5</v>
      </c>
      <c r="C652" s="629" t="s">
        <v>13827</v>
      </c>
      <c r="D652" s="628">
        <f>VLOOKUP(C652,ORC.AUXILIAR!I:J,2,0)</f>
        <v>0</v>
      </c>
      <c r="G652" s="636">
        <f t="shared" si="60"/>
        <v>0</v>
      </c>
      <c r="H652" s="636" t="str">
        <f t="shared" si="61"/>
        <v>INST.HIPOCL.05</v>
      </c>
      <c r="I652" s="637" t="str">
        <f>VLOOKUP(H652,ORC.AUXILIAR!I:P,4,0)</f>
        <v>m</v>
      </c>
      <c r="J652" s="636">
        <f>VLOOKUP(H652,ORC.AUXILIAR!I:P,5,0)</f>
        <v>5</v>
      </c>
      <c r="K652" s="638">
        <f t="shared" si="62"/>
        <v>5</v>
      </c>
      <c r="L652" s="639">
        <f>VLOOKUP(H652,ORC.AUXILIAR!I:P,7,0)</f>
        <v>109.98</v>
      </c>
      <c r="M652" s="639">
        <f>VLOOKUP(H652,ORC.AUXILIAR!I:P,8,0)</f>
        <v>549.9</v>
      </c>
      <c r="N652" s="639">
        <f t="shared" si="64"/>
        <v>2749.5</v>
      </c>
      <c r="O652" s="639">
        <f t="shared" si="65"/>
        <v>10257544089.855976</v>
      </c>
      <c r="P652" s="640">
        <f t="shared" si="63"/>
        <v>0.99987022654772029</v>
      </c>
    </row>
    <row r="653" spans="1:16">
      <c r="A653" s="627">
        <v>548.40000000000009</v>
      </c>
      <c r="B653" s="628">
        <v>3</v>
      </c>
      <c r="C653" s="629" t="s">
        <v>12711</v>
      </c>
      <c r="D653" s="628">
        <f>VLOOKUP(C653,ORC.AUXILIAR!I:J,2,0)</f>
        <v>0</v>
      </c>
      <c r="G653" s="636">
        <f t="shared" si="60"/>
        <v>0</v>
      </c>
      <c r="H653" s="636" t="str">
        <f t="shared" si="61"/>
        <v>RE.AI.08</v>
      </c>
      <c r="I653" s="637" t="str">
        <f>VLOOKUP(H653,ORC.AUXILIAR!I:P,4,0)</f>
        <v>pç</v>
      </c>
      <c r="J653" s="636">
        <f>VLOOKUP(H653,ORC.AUXILIAR!I:P,5,0)</f>
        <v>3</v>
      </c>
      <c r="K653" s="638">
        <f t="shared" si="62"/>
        <v>3</v>
      </c>
      <c r="L653" s="639">
        <f>VLOOKUP(H653,ORC.AUXILIAR!I:P,7,0)</f>
        <v>182.8</v>
      </c>
      <c r="M653" s="639">
        <f>VLOOKUP(H653,ORC.AUXILIAR!I:P,8,0)</f>
        <v>548.4</v>
      </c>
      <c r="N653" s="639">
        <f t="shared" si="64"/>
        <v>1645.1999999999998</v>
      </c>
      <c r="O653" s="639">
        <f t="shared" si="65"/>
        <v>10257545735.055977</v>
      </c>
      <c r="P653" s="640">
        <f t="shared" si="63"/>
        <v>0.99987038691617525</v>
      </c>
    </row>
    <row r="654" spans="1:16">
      <c r="A654" s="627">
        <v>545.34</v>
      </c>
      <c r="B654" s="628">
        <v>6</v>
      </c>
      <c r="C654" s="629" t="s">
        <v>13390</v>
      </c>
      <c r="D654" s="628">
        <f>VLOOKUP(C654,ORC.AUXILIAR!I:J,2,0)</f>
        <v>0</v>
      </c>
      <c r="G654" s="636">
        <f t="shared" si="60"/>
        <v>0</v>
      </c>
      <c r="H654" s="636" t="str">
        <f t="shared" si="61"/>
        <v>INS.ELET.25</v>
      </c>
      <c r="I654" s="637" t="str">
        <f>VLOOKUP(H654,ORC.AUXILIAR!I:P,4,0)</f>
        <v>un</v>
      </c>
      <c r="J654" s="636">
        <f>VLOOKUP(H654,ORC.AUXILIAR!I:P,5,0)</f>
        <v>6</v>
      </c>
      <c r="K654" s="638">
        <f t="shared" si="62"/>
        <v>6</v>
      </c>
      <c r="L654" s="639">
        <f>VLOOKUP(H654,ORC.AUXILIAR!I:P,7,0)</f>
        <v>90.89</v>
      </c>
      <c r="M654" s="639">
        <f>VLOOKUP(H654,ORC.AUXILIAR!I:P,8,0)</f>
        <v>545.34</v>
      </c>
      <c r="N654" s="639">
        <f t="shared" si="64"/>
        <v>3272.04</v>
      </c>
      <c r="O654" s="639">
        <f t="shared" si="65"/>
        <v>10257549007.095978</v>
      </c>
      <c r="P654" s="640">
        <f t="shared" si="63"/>
        <v>0.99987070586341531</v>
      </c>
    </row>
    <row r="655" spans="1:16">
      <c r="A655" s="627">
        <v>540.6</v>
      </c>
      <c r="B655" s="628">
        <v>4</v>
      </c>
      <c r="C655" s="629" t="s">
        <v>13217</v>
      </c>
      <c r="D655" s="628">
        <f>VLOOKUP(C655,ORC.AUXILIAR!I:J,2,0)</f>
        <v>0</v>
      </c>
      <c r="G655" s="636">
        <f t="shared" si="60"/>
        <v>0</v>
      </c>
      <c r="H655" s="636" t="str">
        <f t="shared" si="61"/>
        <v>RE.RPVC.20</v>
      </c>
      <c r="I655" s="637" t="str">
        <f>VLOOKUP(H655,ORC.AUXILIAR!I:P,4,0)</f>
        <v>pç</v>
      </c>
      <c r="J655" s="636">
        <f>VLOOKUP(H655,ORC.AUXILIAR!I:P,5,0)</f>
        <v>4</v>
      </c>
      <c r="K655" s="638">
        <f t="shared" si="62"/>
        <v>4</v>
      </c>
      <c r="L655" s="639">
        <f>VLOOKUP(H655,ORC.AUXILIAR!I:P,7,0)</f>
        <v>135.15</v>
      </c>
      <c r="M655" s="639">
        <f>VLOOKUP(H655,ORC.AUXILIAR!I:P,8,0)</f>
        <v>540.6</v>
      </c>
      <c r="N655" s="639">
        <f t="shared" si="64"/>
        <v>2162.4</v>
      </c>
      <c r="O655" s="639">
        <f t="shared" si="65"/>
        <v>10257551169.495977</v>
      </c>
      <c r="P655" s="640">
        <f t="shared" si="63"/>
        <v>0.99987091664675276</v>
      </c>
    </row>
    <row r="656" spans="1:16">
      <c r="A656" s="627">
        <v>530.85</v>
      </c>
      <c r="B656" s="628">
        <v>1</v>
      </c>
      <c r="C656" s="629" t="s">
        <v>13863</v>
      </c>
      <c r="D656" s="628">
        <f>VLOOKUP(C656,ORC.AUXILIAR!I:J,2,0)</f>
        <v>0</v>
      </c>
      <c r="G656" s="636">
        <f t="shared" si="60"/>
        <v>0</v>
      </c>
      <c r="H656" s="636" t="str">
        <f t="shared" si="61"/>
        <v>INST.HIPOCL.33</v>
      </c>
      <c r="I656" s="637" t="str">
        <f>VLOOKUP(H656,ORC.AUXILIAR!I:P,4,0)</f>
        <v>un</v>
      </c>
      <c r="J656" s="636">
        <f>VLOOKUP(H656,ORC.AUXILIAR!I:P,5,0)</f>
        <v>1</v>
      </c>
      <c r="K656" s="638">
        <f t="shared" si="62"/>
        <v>1</v>
      </c>
      <c r="L656" s="639">
        <f>VLOOKUP(H656,ORC.AUXILIAR!I:P,7,0)</f>
        <v>530.85</v>
      </c>
      <c r="M656" s="639">
        <f>VLOOKUP(H656,ORC.AUXILIAR!I:P,8,0)</f>
        <v>530.85</v>
      </c>
      <c r="N656" s="639">
        <f t="shared" si="64"/>
        <v>530.85</v>
      </c>
      <c r="O656" s="639">
        <f t="shared" si="65"/>
        <v>10257551700.345978</v>
      </c>
      <c r="P656" s="640">
        <f t="shared" si="63"/>
        <v>0.99987096839219058</v>
      </c>
    </row>
    <row r="657" spans="1:16">
      <c r="A657" s="627">
        <v>530.85</v>
      </c>
      <c r="B657" s="628">
        <v>1</v>
      </c>
      <c r="C657" s="629" t="s">
        <v>13865</v>
      </c>
      <c r="D657" s="628">
        <f>VLOOKUP(C657,ORC.AUXILIAR!I:J,2,0)</f>
        <v>0</v>
      </c>
      <c r="G657" s="636">
        <f t="shared" si="60"/>
        <v>0</v>
      </c>
      <c r="H657" s="636" t="str">
        <f t="shared" si="61"/>
        <v>INST.HIPOCL.34</v>
      </c>
      <c r="I657" s="637" t="str">
        <f>VLOOKUP(H657,ORC.AUXILIAR!I:P,4,0)</f>
        <v>un</v>
      </c>
      <c r="J657" s="636">
        <f>VLOOKUP(H657,ORC.AUXILIAR!I:P,5,0)</f>
        <v>1</v>
      </c>
      <c r="K657" s="638">
        <f t="shared" si="62"/>
        <v>1</v>
      </c>
      <c r="L657" s="639">
        <f>VLOOKUP(H657,ORC.AUXILIAR!I:P,7,0)</f>
        <v>530.85</v>
      </c>
      <c r="M657" s="639">
        <f>VLOOKUP(H657,ORC.AUXILIAR!I:P,8,0)</f>
        <v>530.85</v>
      </c>
      <c r="N657" s="639">
        <f t="shared" si="64"/>
        <v>530.85</v>
      </c>
      <c r="O657" s="639">
        <f t="shared" si="65"/>
        <v>10257552231.195978</v>
      </c>
      <c r="P657" s="640">
        <f t="shared" si="63"/>
        <v>0.99987102013762841</v>
      </c>
    </row>
    <row r="658" spans="1:16">
      <c r="A658" s="627">
        <v>530.85</v>
      </c>
      <c r="B658" s="628">
        <v>1</v>
      </c>
      <c r="C658" s="629" t="s">
        <v>13577</v>
      </c>
      <c r="D658" s="628">
        <f>VLOOKUP(C658,ORC.AUXILIAR!I:J,2,0)</f>
        <v>0</v>
      </c>
      <c r="G658" s="636">
        <f t="shared" si="60"/>
        <v>0</v>
      </c>
      <c r="H658" s="636" t="str">
        <f t="shared" si="61"/>
        <v>QCM.HIP.23</v>
      </c>
      <c r="I658" s="637" t="str">
        <f>VLOOKUP(H658,ORC.AUXILIAR!I:P,4,0)</f>
        <v>un</v>
      </c>
      <c r="J658" s="636">
        <f>VLOOKUP(H658,ORC.AUXILIAR!I:P,5,0)</f>
        <v>1</v>
      </c>
      <c r="K658" s="638">
        <f t="shared" si="62"/>
        <v>1</v>
      </c>
      <c r="L658" s="639">
        <f>VLOOKUP(H658,ORC.AUXILIAR!I:P,7,0)</f>
        <v>530.85</v>
      </c>
      <c r="M658" s="639">
        <f>VLOOKUP(H658,ORC.AUXILIAR!I:P,8,0)</f>
        <v>530.85</v>
      </c>
      <c r="N658" s="639">
        <f t="shared" si="64"/>
        <v>530.85</v>
      </c>
      <c r="O658" s="639">
        <f t="shared" si="65"/>
        <v>10257552762.045979</v>
      </c>
      <c r="P658" s="640">
        <f t="shared" si="63"/>
        <v>0.99987107188306623</v>
      </c>
    </row>
    <row r="659" spans="1:16">
      <c r="A659" s="627">
        <v>529.38</v>
      </c>
      <c r="B659" s="628">
        <v>9</v>
      </c>
      <c r="C659" s="629" t="s">
        <v>19171</v>
      </c>
      <c r="D659" s="628">
        <f>VLOOKUP(C659,ORC.AUXILIAR!I:J,2,0)</f>
        <v>0</v>
      </c>
      <c r="G659" s="636">
        <f t="shared" si="60"/>
        <v>0</v>
      </c>
      <c r="H659" s="636" t="str">
        <f t="shared" si="61"/>
        <v>74219/1</v>
      </c>
      <c r="I659" s="637" t="str">
        <f>VLOOKUP(H659,ORC.AUXILIAR!I:P,4,0)</f>
        <v>M2</v>
      </c>
      <c r="J659" s="636">
        <f>VLOOKUP(H659,ORC.AUXILIAR!I:P,5,0)</f>
        <v>0</v>
      </c>
      <c r="K659" s="638">
        <f t="shared" si="62"/>
        <v>9</v>
      </c>
      <c r="L659" s="639">
        <f>VLOOKUP(H659,ORC.AUXILIAR!I:P,7,0)</f>
        <v>58.82</v>
      </c>
      <c r="M659" s="639">
        <f>VLOOKUP(H659,ORC.AUXILIAR!I:P,8,0)</f>
        <v>0</v>
      </c>
      <c r="N659" s="639">
        <f t="shared" si="64"/>
        <v>0</v>
      </c>
      <c r="O659" s="639">
        <f t="shared" si="65"/>
        <v>10257552762.045979</v>
      </c>
      <c r="P659" s="640">
        <f t="shared" si="63"/>
        <v>0.99987107188306623</v>
      </c>
    </row>
    <row r="660" spans="1:16">
      <c r="A660" s="627">
        <v>528</v>
      </c>
      <c r="B660" s="628">
        <v>64</v>
      </c>
      <c r="C660" s="629" t="s">
        <v>12826</v>
      </c>
      <c r="D660" s="628">
        <f>VLOOKUP(C660,ORC.AUXILIAR!I:J,2,0)</f>
        <v>0</v>
      </c>
      <c r="G660" s="636">
        <f t="shared" si="60"/>
        <v>0</v>
      </c>
      <c r="H660" s="636" t="str">
        <f t="shared" si="61"/>
        <v>RE.AR.04</v>
      </c>
      <c r="I660" s="637" t="str">
        <f>VLOOKUP(H660,ORC.AUXILIAR!I:P,4,0)</f>
        <v>pç</v>
      </c>
      <c r="J660" s="636">
        <f>VLOOKUP(H660,ORC.AUXILIAR!I:P,5,0)</f>
        <v>64</v>
      </c>
      <c r="K660" s="638">
        <f t="shared" si="62"/>
        <v>64</v>
      </c>
      <c r="L660" s="639">
        <f>VLOOKUP(H660,ORC.AUXILIAR!I:P,7,0)</f>
        <v>8.25</v>
      </c>
      <c r="M660" s="639">
        <f>VLOOKUP(H660,ORC.AUXILIAR!I:P,8,0)</f>
        <v>528</v>
      </c>
      <c r="N660" s="639">
        <f t="shared" si="64"/>
        <v>33792</v>
      </c>
      <c r="O660" s="639">
        <f t="shared" si="65"/>
        <v>10257586554.045979</v>
      </c>
      <c r="P660" s="640">
        <f t="shared" si="63"/>
        <v>0.99987436581135936</v>
      </c>
    </row>
    <row r="661" spans="1:16">
      <c r="A661" s="627">
        <v>526.5</v>
      </c>
      <c r="B661" s="628">
        <v>10</v>
      </c>
      <c r="C661" s="629" t="s">
        <v>12778</v>
      </c>
      <c r="D661" s="628">
        <f>VLOOKUP(C661,ORC.AUXILIAR!I:J,2,0)</f>
        <v>0</v>
      </c>
      <c r="G661" s="636">
        <f t="shared" si="60"/>
        <v>0</v>
      </c>
      <c r="H661" s="636" t="str">
        <f t="shared" si="61"/>
        <v>TH.AI.01</v>
      </c>
      <c r="I661" s="637" t="str">
        <f>VLOOKUP(H661,ORC.AUXILIAR!I:P,4,0)</f>
        <v>pç</v>
      </c>
      <c r="J661" s="636">
        <f>VLOOKUP(H661,ORC.AUXILIAR!I:P,5,0)</f>
        <v>2</v>
      </c>
      <c r="K661" s="638">
        <f t="shared" si="62"/>
        <v>10</v>
      </c>
      <c r="L661" s="639">
        <f>VLOOKUP(H661,ORC.AUXILIAR!I:P,7,0)</f>
        <v>52.65</v>
      </c>
      <c r="M661" s="639">
        <f>VLOOKUP(H661,ORC.AUXILIAR!I:P,8,0)</f>
        <v>105.3</v>
      </c>
      <c r="N661" s="639">
        <f t="shared" si="64"/>
        <v>1053</v>
      </c>
      <c r="O661" s="639">
        <f t="shared" si="65"/>
        <v>10257587607.045979</v>
      </c>
      <c r="P661" s="640">
        <f t="shared" si="63"/>
        <v>0.99987446845418881</v>
      </c>
    </row>
    <row r="662" spans="1:16">
      <c r="A662" s="627">
        <v>522.65</v>
      </c>
      <c r="B662" s="628">
        <v>5</v>
      </c>
      <c r="C662" s="629" t="s">
        <v>13394</v>
      </c>
      <c r="D662" s="628">
        <f>VLOOKUP(C662,ORC.AUXILIAR!I:J,2,0)</f>
        <v>0</v>
      </c>
      <c r="G662" s="636">
        <f t="shared" si="60"/>
        <v>0</v>
      </c>
      <c r="H662" s="636" t="str">
        <f t="shared" si="61"/>
        <v>INS.ELET.27</v>
      </c>
      <c r="I662" s="637" t="str">
        <f>VLOOKUP(H662,ORC.AUXILIAR!I:P,4,0)</f>
        <v>un</v>
      </c>
      <c r="J662" s="636">
        <f>VLOOKUP(H662,ORC.AUXILIAR!I:P,5,0)</f>
        <v>5</v>
      </c>
      <c r="K662" s="638">
        <f t="shared" si="62"/>
        <v>5</v>
      </c>
      <c r="L662" s="639">
        <f>VLOOKUP(H662,ORC.AUXILIAR!I:P,7,0)</f>
        <v>104.53</v>
      </c>
      <c r="M662" s="639">
        <f>VLOOKUP(H662,ORC.AUXILIAR!I:P,8,0)</f>
        <v>522.65</v>
      </c>
      <c r="N662" s="639">
        <f t="shared" si="64"/>
        <v>2613.25</v>
      </c>
      <c r="O662" s="639">
        <f t="shared" si="65"/>
        <v>10257590220.295979</v>
      </c>
      <c r="P662" s="640">
        <f t="shared" si="63"/>
        <v>0.9998747231848385</v>
      </c>
    </row>
    <row r="663" spans="1:16">
      <c r="A663" s="627">
        <v>516.83999999999992</v>
      </c>
      <c r="B663" s="628">
        <v>219</v>
      </c>
      <c r="C663" s="629">
        <v>944</v>
      </c>
      <c r="D663" s="628">
        <f>VLOOKUP(C663,ORC.AUXILIAR!I:J,2,0)</f>
        <v>0</v>
      </c>
      <c r="G663" s="636">
        <f t="shared" si="60"/>
        <v>0</v>
      </c>
      <c r="H663" s="636">
        <f t="shared" si="61"/>
        <v>944</v>
      </c>
      <c r="I663" s="637" t="str">
        <f>VLOOKUP(H663,ORC.AUXILIAR!I:P,4,0)</f>
        <v>m</v>
      </c>
      <c r="J663" s="636">
        <f>VLOOKUP(H663,ORC.AUXILIAR!I:P,5,0)</f>
        <v>18</v>
      </c>
      <c r="K663" s="638">
        <f t="shared" si="62"/>
        <v>219</v>
      </c>
      <c r="L663" s="639">
        <f>VLOOKUP(H663,ORC.AUXILIAR!I:P,7,0)</f>
        <v>2.36</v>
      </c>
      <c r="M663" s="639">
        <f>VLOOKUP(H663,ORC.AUXILIAR!I:P,8,0)</f>
        <v>42.48</v>
      </c>
      <c r="N663" s="639">
        <f t="shared" si="64"/>
        <v>9303.119999999999</v>
      </c>
      <c r="O663" s="639">
        <f t="shared" si="65"/>
        <v>10257599523.415979</v>
      </c>
      <c r="P663" s="640">
        <f t="shared" si="63"/>
        <v>0.99987563002107738</v>
      </c>
    </row>
    <row r="664" spans="1:16">
      <c r="A664" s="627">
        <v>516.76</v>
      </c>
      <c r="B664" s="628">
        <v>4</v>
      </c>
      <c r="C664" s="629" t="s">
        <v>13165</v>
      </c>
      <c r="D664" s="628">
        <f>VLOOKUP(C664,ORC.AUXILIAR!I:J,2,0)</f>
        <v>0</v>
      </c>
      <c r="G664" s="636">
        <f t="shared" si="60"/>
        <v>0</v>
      </c>
      <c r="H664" s="636" t="str">
        <f t="shared" si="61"/>
        <v>RE.AÇO.06</v>
      </c>
      <c r="I664" s="637" t="str">
        <f>VLOOKUP(H664,ORC.AUXILIAR!I:P,4,0)</f>
        <v>pç</v>
      </c>
      <c r="J664" s="636">
        <f>VLOOKUP(H664,ORC.AUXILIAR!I:P,5,0)</f>
        <v>4</v>
      </c>
      <c r="K664" s="638">
        <f t="shared" si="62"/>
        <v>4</v>
      </c>
      <c r="L664" s="639">
        <f>VLOOKUP(H664,ORC.AUXILIAR!I:P,7,0)</f>
        <v>129.19</v>
      </c>
      <c r="M664" s="639">
        <f>VLOOKUP(H664,ORC.AUXILIAR!I:P,8,0)</f>
        <v>516.76</v>
      </c>
      <c r="N664" s="639">
        <f t="shared" si="64"/>
        <v>2067.04</v>
      </c>
      <c r="O664" s="639">
        <f t="shared" si="65"/>
        <v>10257601590.45598</v>
      </c>
      <c r="P664" s="640">
        <f t="shared" si="63"/>
        <v>0.99987583150904913</v>
      </c>
    </row>
    <row r="665" spans="1:16">
      <c r="A665" s="627">
        <v>515.48</v>
      </c>
      <c r="B665" s="628">
        <v>2</v>
      </c>
      <c r="C665" s="629" t="s">
        <v>13641</v>
      </c>
      <c r="D665" s="628">
        <f>VLOOKUP(C665,ORC.AUXILIAR!I:J,2,0)</f>
        <v>0</v>
      </c>
      <c r="G665" s="636">
        <f t="shared" si="60"/>
        <v>0</v>
      </c>
      <c r="H665" s="636" t="str">
        <f t="shared" si="61"/>
        <v>SUB.10</v>
      </c>
      <c r="I665" s="637" t="str">
        <f>VLOOKUP(H665,ORC.AUXILIAR!I:P,4,0)</f>
        <v>un</v>
      </c>
      <c r="J665" s="636">
        <f>VLOOKUP(H665,ORC.AUXILIAR!I:P,5,0)</f>
        <v>2</v>
      </c>
      <c r="K665" s="638">
        <f t="shared" si="62"/>
        <v>2</v>
      </c>
      <c r="L665" s="639">
        <f>VLOOKUP(H665,ORC.AUXILIAR!I:P,7,0)</f>
        <v>257.74</v>
      </c>
      <c r="M665" s="639">
        <f>VLOOKUP(H665,ORC.AUXILIAR!I:P,8,0)</f>
        <v>515.48</v>
      </c>
      <c r="N665" s="639">
        <f t="shared" si="64"/>
        <v>1030.96</v>
      </c>
      <c r="O665" s="639">
        <f t="shared" si="65"/>
        <v>10257602621.415979</v>
      </c>
      <c r="P665" s="640">
        <f t="shared" si="63"/>
        <v>0.99987593200349489</v>
      </c>
    </row>
    <row r="666" spans="1:16">
      <c r="A666" s="627">
        <v>514.84</v>
      </c>
      <c r="B666" s="628">
        <v>4</v>
      </c>
      <c r="C666" s="629" t="s">
        <v>13229</v>
      </c>
      <c r="D666" s="628">
        <f>VLOOKUP(C666,ORC.AUXILIAR!I:J,2,0)</f>
        <v>0</v>
      </c>
      <c r="G666" s="636">
        <f t="shared" si="60"/>
        <v>0</v>
      </c>
      <c r="H666" s="636" t="str">
        <f t="shared" si="61"/>
        <v>LS.RPVC.08</v>
      </c>
      <c r="I666" s="637" t="str">
        <f>VLOOKUP(H666,ORC.AUXILIAR!I:P,4,0)</f>
        <v>pç</v>
      </c>
      <c r="J666" s="636">
        <f>VLOOKUP(H666,ORC.AUXILIAR!I:P,5,0)</f>
        <v>4</v>
      </c>
      <c r="K666" s="638">
        <f t="shared" si="62"/>
        <v>4</v>
      </c>
      <c r="L666" s="639">
        <f>VLOOKUP(H666,ORC.AUXILIAR!I:P,7,0)</f>
        <v>128.71</v>
      </c>
      <c r="M666" s="639">
        <f>VLOOKUP(H666,ORC.AUXILIAR!I:P,8,0)</f>
        <v>514.84</v>
      </c>
      <c r="N666" s="639">
        <f t="shared" si="64"/>
        <v>2059.36</v>
      </c>
      <c r="O666" s="639">
        <f t="shared" si="65"/>
        <v>10257604680.77598</v>
      </c>
      <c r="P666" s="640">
        <f t="shared" si="63"/>
        <v>0.99987613274284659</v>
      </c>
    </row>
    <row r="667" spans="1:16">
      <c r="A667" s="627">
        <v>512.26760000000002</v>
      </c>
      <c r="B667" s="628">
        <v>20.54</v>
      </c>
      <c r="C667" s="629">
        <v>220</v>
      </c>
      <c r="D667" s="628">
        <f>VLOOKUP(C667,ORC.AUXILIAR!I:J,2,0)</f>
        <v>0</v>
      </c>
      <c r="G667" s="636">
        <f t="shared" si="60"/>
        <v>0</v>
      </c>
      <c r="H667" s="636">
        <f t="shared" si="61"/>
        <v>220</v>
      </c>
      <c r="I667" s="637" t="str">
        <f>VLOOKUP(H667,ORC.AUXILIAR!I:P,4,0)</f>
        <v>M3</v>
      </c>
      <c r="J667" s="636">
        <f>VLOOKUP(H667,ORC.AUXILIAR!I:P,5,0)</f>
        <v>20.54</v>
      </c>
      <c r="K667" s="638">
        <f t="shared" si="62"/>
        <v>20.54</v>
      </c>
      <c r="L667" s="639">
        <f>VLOOKUP(H667,ORC.AUXILIAR!I:P,7,0)</f>
        <v>24.94</v>
      </c>
      <c r="M667" s="639">
        <f>VLOOKUP(H667,ORC.AUXILIAR!I:P,8,0)</f>
        <v>512.27</v>
      </c>
      <c r="N667" s="639">
        <f t="shared" si="64"/>
        <v>10522.025799999999</v>
      </c>
      <c r="O667" s="639">
        <f t="shared" si="65"/>
        <v>10257615202.801781</v>
      </c>
      <c r="P667" s="640">
        <f t="shared" si="63"/>
        <v>0.99987715839384339</v>
      </c>
    </row>
    <row r="668" spans="1:16">
      <c r="A668" s="627">
        <v>508.8</v>
      </c>
      <c r="B668" s="628">
        <v>40</v>
      </c>
      <c r="C668" s="629">
        <v>72295</v>
      </c>
      <c r="D668" s="628">
        <f>VLOOKUP(C668,ORC.AUXILIAR!I:J,2,0)</f>
        <v>0</v>
      </c>
      <c r="G668" s="636">
        <f t="shared" si="60"/>
        <v>0</v>
      </c>
      <c r="H668" s="636">
        <f t="shared" si="61"/>
        <v>72295</v>
      </c>
      <c r="I668" s="637" t="str">
        <f>VLOOKUP(H668,ORC.AUXILIAR!I:P,4,0)</f>
        <v>pç</v>
      </c>
      <c r="J668" s="636">
        <f>VLOOKUP(H668,ORC.AUXILIAR!I:P,5,0)</f>
        <v>40</v>
      </c>
      <c r="K668" s="638">
        <f t="shared" si="62"/>
        <v>40</v>
      </c>
      <c r="L668" s="639">
        <f>VLOOKUP(H668,ORC.AUXILIAR!I:P,7,0)</f>
        <v>12.72</v>
      </c>
      <c r="M668" s="639">
        <f>VLOOKUP(H668,ORC.AUXILIAR!I:P,8,0)</f>
        <v>508.8</v>
      </c>
      <c r="N668" s="639">
        <f t="shared" si="64"/>
        <v>20352</v>
      </c>
      <c r="O668" s="639">
        <f t="shared" si="65"/>
        <v>10257635554.801781</v>
      </c>
      <c r="P668" s="640">
        <f t="shared" si="63"/>
        <v>0.9998791422370199</v>
      </c>
    </row>
    <row r="669" spans="1:16">
      <c r="A669" s="627">
        <v>508.6</v>
      </c>
      <c r="B669" s="628">
        <v>4</v>
      </c>
      <c r="C669" s="629" t="s">
        <v>12881</v>
      </c>
      <c r="D669" s="628">
        <f>VLOOKUP(C669,ORC.AUXILIAR!I:J,2,0)</f>
        <v>0</v>
      </c>
      <c r="G669" s="636">
        <f t="shared" si="60"/>
        <v>0</v>
      </c>
      <c r="H669" s="636" t="str">
        <f t="shared" si="61"/>
        <v>LS.F°F°.01</v>
      </c>
      <c r="I669" s="637" t="str">
        <f>VLOOKUP(H669,ORC.AUXILIAR!I:P,4,0)</f>
        <v>pç</v>
      </c>
      <c r="J669" s="636">
        <f>VLOOKUP(H669,ORC.AUXILIAR!I:P,5,0)</f>
        <v>4</v>
      </c>
      <c r="K669" s="638">
        <f t="shared" si="62"/>
        <v>4</v>
      </c>
      <c r="L669" s="639">
        <f>VLOOKUP(H669,ORC.AUXILIAR!I:P,7,0)</f>
        <v>127.15</v>
      </c>
      <c r="M669" s="639">
        <f>VLOOKUP(H669,ORC.AUXILIAR!I:P,8,0)</f>
        <v>508.6</v>
      </c>
      <c r="N669" s="639">
        <f t="shared" si="64"/>
        <v>2034.4</v>
      </c>
      <c r="O669" s="639">
        <f t="shared" si="65"/>
        <v>10257637589.20178</v>
      </c>
      <c r="P669" s="640">
        <f t="shared" si="63"/>
        <v>0.99987934054335625</v>
      </c>
    </row>
    <row r="670" spans="1:16">
      <c r="A670" s="627">
        <v>498.8</v>
      </c>
      <c r="B670" s="628">
        <v>8</v>
      </c>
      <c r="C670" s="629" t="s">
        <v>12839</v>
      </c>
      <c r="D670" s="628">
        <f>VLOOKUP(C670,ORC.AUXILIAR!I:J,2,0)</f>
        <v>0</v>
      </c>
      <c r="G670" s="636">
        <f t="shared" si="60"/>
        <v>0</v>
      </c>
      <c r="H670" s="636" t="str">
        <f t="shared" si="61"/>
        <v>RE.F°F°.01</v>
      </c>
      <c r="I670" s="637" t="str">
        <f>VLOOKUP(H670,ORC.AUXILIAR!I:P,4,0)</f>
        <v>pç</v>
      </c>
      <c r="J670" s="636">
        <f>VLOOKUP(H670,ORC.AUXILIAR!I:P,5,0)</f>
        <v>8</v>
      </c>
      <c r="K670" s="638">
        <f t="shared" si="62"/>
        <v>8</v>
      </c>
      <c r="L670" s="639">
        <f>VLOOKUP(H670,ORC.AUXILIAR!I:P,7,0)</f>
        <v>62.35</v>
      </c>
      <c r="M670" s="639">
        <f>VLOOKUP(H670,ORC.AUXILIAR!I:P,8,0)</f>
        <v>498.8</v>
      </c>
      <c r="N670" s="639">
        <f t="shared" si="64"/>
        <v>3990.4</v>
      </c>
      <c r="O670" s="639">
        <f t="shared" si="65"/>
        <v>10257641579.60178</v>
      </c>
      <c r="P670" s="640">
        <f t="shared" si="63"/>
        <v>0.99987972951386583</v>
      </c>
    </row>
    <row r="671" spans="1:16">
      <c r="A671" s="627">
        <v>490.90000000000003</v>
      </c>
      <c r="B671" s="628">
        <v>10</v>
      </c>
      <c r="C671" s="629" t="s">
        <v>12707</v>
      </c>
      <c r="D671" s="628">
        <f>VLOOKUP(C671,ORC.AUXILIAR!I:J,2,0)</f>
        <v>0</v>
      </c>
      <c r="G671" s="636">
        <f t="shared" si="60"/>
        <v>0</v>
      </c>
      <c r="H671" s="636" t="str">
        <f t="shared" si="61"/>
        <v>RE.AI.06</v>
      </c>
      <c r="I671" s="637" t="str">
        <f>VLOOKUP(H671,ORC.AUXILIAR!I:P,4,0)</f>
        <v>pç</v>
      </c>
      <c r="J671" s="636">
        <f>VLOOKUP(H671,ORC.AUXILIAR!I:P,5,0)</f>
        <v>10</v>
      </c>
      <c r="K671" s="638">
        <f t="shared" si="62"/>
        <v>10</v>
      </c>
      <c r="L671" s="639">
        <f>VLOOKUP(H671,ORC.AUXILIAR!I:P,7,0)</f>
        <v>49.09</v>
      </c>
      <c r="M671" s="639">
        <f>VLOOKUP(H671,ORC.AUXILIAR!I:P,8,0)</f>
        <v>490.9</v>
      </c>
      <c r="N671" s="639">
        <f t="shared" si="64"/>
        <v>4909</v>
      </c>
      <c r="O671" s="639">
        <f t="shared" si="65"/>
        <v>10257646488.60178</v>
      </c>
      <c r="P671" s="640">
        <f t="shared" si="63"/>
        <v>0.9998802080263538</v>
      </c>
    </row>
    <row r="672" spans="1:16">
      <c r="A672" s="627">
        <v>487.77</v>
      </c>
      <c r="B672" s="628">
        <v>53.25</v>
      </c>
      <c r="C672" s="629">
        <v>93371</v>
      </c>
      <c r="D672" s="628">
        <f>VLOOKUP(C672,ORC.AUXILIAR!I:J,2,0)</f>
        <v>0</v>
      </c>
      <c r="G672" s="636">
        <f t="shared" si="60"/>
        <v>0</v>
      </c>
      <c r="H672" s="636">
        <f t="shared" si="61"/>
        <v>93371</v>
      </c>
      <c r="I672" s="637" t="str">
        <f>VLOOKUP(H672,ORC.AUXILIAR!I:P,4,0)</f>
        <v>M3</v>
      </c>
      <c r="J672" s="636">
        <f>VLOOKUP(H672,ORC.AUXILIAR!I:P,5,0)</f>
        <v>13.66</v>
      </c>
      <c r="K672" s="638">
        <f t="shared" si="62"/>
        <v>53.25</v>
      </c>
      <c r="L672" s="639">
        <f>VLOOKUP(H672,ORC.AUXILIAR!I:P,7,0)</f>
        <v>9.16</v>
      </c>
      <c r="M672" s="639">
        <f>VLOOKUP(H672,ORC.AUXILIAR!I:P,8,0)</f>
        <v>125.13</v>
      </c>
      <c r="N672" s="639">
        <f t="shared" si="64"/>
        <v>6663.1724999999997</v>
      </c>
      <c r="O672" s="639">
        <f t="shared" si="65"/>
        <v>10257653151.774281</v>
      </c>
      <c r="P672" s="640">
        <f t="shared" si="63"/>
        <v>0.99988085752956224</v>
      </c>
    </row>
    <row r="673" spans="1:16">
      <c r="A673" s="627">
        <v>483.29999999999995</v>
      </c>
      <c r="B673" s="628">
        <v>6</v>
      </c>
      <c r="C673" s="629" t="s">
        <v>13763</v>
      </c>
      <c r="D673" s="628">
        <f>VLOOKUP(C673,ORC.AUXILIAR!I:J,2,0)</f>
        <v>0</v>
      </c>
      <c r="G673" s="636">
        <f t="shared" si="60"/>
        <v>0</v>
      </c>
      <c r="H673" s="636" t="str">
        <f t="shared" si="61"/>
        <v>QCM.CX.AREIA.04</v>
      </c>
      <c r="I673" s="637" t="str">
        <f>VLOOKUP(H673,ORC.AUXILIAR!I:P,4,0)</f>
        <v>Un</v>
      </c>
      <c r="J673" s="636">
        <f>VLOOKUP(H673,ORC.AUXILIAR!I:P,5,0)</f>
        <v>6</v>
      </c>
      <c r="K673" s="638">
        <f t="shared" si="62"/>
        <v>6</v>
      </c>
      <c r="L673" s="639">
        <f>VLOOKUP(H673,ORC.AUXILIAR!I:P,7,0)</f>
        <v>80.55</v>
      </c>
      <c r="M673" s="639">
        <f>VLOOKUP(H673,ORC.AUXILIAR!I:P,8,0)</f>
        <v>483.3</v>
      </c>
      <c r="N673" s="639">
        <f t="shared" si="64"/>
        <v>2899.8</v>
      </c>
      <c r="O673" s="639">
        <f t="shared" si="65"/>
        <v>10257656051.57428</v>
      </c>
      <c r="P673" s="640">
        <f t="shared" si="63"/>
        <v>0.99988114019212326</v>
      </c>
    </row>
    <row r="674" spans="1:16">
      <c r="A674" s="627">
        <v>483.29999999999995</v>
      </c>
      <c r="B674" s="628">
        <v>6</v>
      </c>
      <c r="C674" s="629" t="s">
        <v>13764</v>
      </c>
      <c r="D674" s="628">
        <f>VLOOKUP(C674,ORC.AUXILIAR!I:J,2,0)</f>
        <v>0</v>
      </c>
      <c r="G674" s="636">
        <f t="shared" si="60"/>
        <v>0</v>
      </c>
      <c r="H674" s="636" t="str">
        <f t="shared" si="61"/>
        <v>QCM.CX.AREIA.05</v>
      </c>
      <c r="I674" s="637" t="str">
        <f>VLOOKUP(H674,ORC.AUXILIAR!I:P,4,0)</f>
        <v>Un</v>
      </c>
      <c r="J674" s="636">
        <f>VLOOKUP(H674,ORC.AUXILIAR!I:P,5,0)</f>
        <v>6</v>
      </c>
      <c r="K674" s="638">
        <f t="shared" si="62"/>
        <v>6</v>
      </c>
      <c r="L674" s="639">
        <f>VLOOKUP(H674,ORC.AUXILIAR!I:P,7,0)</f>
        <v>80.55</v>
      </c>
      <c r="M674" s="639">
        <f>VLOOKUP(H674,ORC.AUXILIAR!I:P,8,0)</f>
        <v>483.3</v>
      </c>
      <c r="N674" s="639">
        <f t="shared" si="64"/>
        <v>2899.8</v>
      </c>
      <c r="O674" s="639">
        <f t="shared" si="65"/>
        <v>10257658951.374279</v>
      </c>
      <c r="P674" s="640">
        <f t="shared" si="63"/>
        <v>0.99988142285468429</v>
      </c>
    </row>
    <row r="675" spans="1:16">
      <c r="A675" s="627">
        <v>482.64</v>
      </c>
      <c r="B675" s="628">
        <v>2</v>
      </c>
      <c r="C675" s="629" t="s">
        <v>13219</v>
      </c>
      <c r="D675" s="628">
        <f>VLOOKUP(C675,ORC.AUXILIAR!I:J,2,0)</f>
        <v>0</v>
      </c>
      <c r="G675" s="636">
        <f t="shared" si="60"/>
        <v>0</v>
      </c>
      <c r="H675" s="636" t="str">
        <f t="shared" si="61"/>
        <v>RE.RPVC.21</v>
      </c>
      <c r="I675" s="637" t="str">
        <f>VLOOKUP(H675,ORC.AUXILIAR!I:P,4,0)</f>
        <v>pç</v>
      </c>
      <c r="J675" s="636">
        <f>VLOOKUP(H675,ORC.AUXILIAR!I:P,5,0)</f>
        <v>2</v>
      </c>
      <c r="K675" s="638">
        <f t="shared" si="62"/>
        <v>2</v>
      </c>
      <c r="L675" s="639">
        <f>VLOOKUP(H675,ORC.AUXILIAR!I:P,7,0)</f>
        <v>241.32</v>
      </c>
      <c r="M675" s="639">
        <f>VLOOKUP(H675,ORC.AUXILIAR!I:P,8,0)</f>
        <v>482.64</v>
      </c>
      <c r="N675" s="639">
        <f t="shared" si="64"/>
        <v>965.28</v>
      </c>
      <c r="O675" s="639">
        <f t="shared" si="65"/>
        <v>10257659916.65428</v>
      </c>
      <c r="P675" s="640">
        <f t="shared" si="63"/>
        <v>0.999881516946869</v>
      </c>
    </row>
    <row r="676" spans="1:16">
      <c r="A676" s="627">
        <v>482.59999999999997</v>
      </c>
      <c r="B676" s="628">
        <v>19</v>
      </c>
      <c r="C676" s="629" t="s">
        <v>11746</v>
      </c>
      <c r="D676" s="628">
        <f>VLOOKUP(C676,ORC.AUXILIAR!I:J,2,0)</f>
        <v>0</v>
      </c>
      <c r="G676" s="636">
        <f t="shared" si="60"/>
        <v>0</v>
      </c>
      <c r="H676" s="636" t="str">
        <f t="shared" si="61"/>
        <v>INS.ELET.18</v>
      </c>
      <c r="I676" s="637" t="str">
        <f>VLOOKUP(H676,ORC.AUXILIAR!I:P,4,0)</f>
        <v>un</v>
      </c>
      <c r="J676" s="636">
        <f>VLOOKUP(H676,ORC.AUXILIAR!I:P,5,0)</f>
        <v>19</v>
      </c>
      <c r="K676" s="638">
        <f t="shared" si="62"/>
        <v>19</v>
      </c>
      <c r="L676" s="639">
        <f>VLOOKUP(H676,ORC.AUXILIAR!I:P,7,0)</f>
        <v>25.4</v>
      </c>
      <c r="M676" s="639">
        <f>VLOOKUP(H676,ORC.AUXILIAR!I:P,8,0)</f>
        <v>482.6</v>
      </c>
      <c r="N676" s="639">
        <f t="shared" si="64"/>
        <v>9169.4</v>
      </c>
      <c r="O676" s="639">
        <f t="shared" si="65"/>
        <v>10257669086.054279</v>
      </c>
      <c r="P676" s="640">
        <f t="shared" si="63"/>
        <v>0.99988241074854067</v>
      </c>
    </row>
    <row r="677" spans="1:16">
      <c r="A677" s="627">
        <v>477.75</v>
      </c>
      <c r="B677" s="628">
        <v>1</v>
      </c>
      <c r="C677" s="629">
        <v>13396</v>
      </c>
      <c r="D677" s="628">
        <f>VLOOKUP(C677,ORC.AUXILIAR!I:J,2,0)</f>
        <v>0</v>
      </c>
      <c r="G677" s="636">
        <f t="shared" si="60"/>
        <v>0</v>
      </c>
      <c r="H677" s="636">
        <f t="shared" si="61"/>
        <v>13396</v>
      </c>
      <c r="I677" s="637" t="str">
        <f>VLOOKUP(H677,ORC.AUXILIAR!I:P,4,0)</f>
        <v>un</v>
      </c>
      <c r="J677" s="636">
        <f>VLOOKUP(H677,ORC.AUXILIAR!I:P,5,0)</f>
        <v>1</v>
      </c>
      <c r="K677" s="638">
        <f t="shared" si="62"/>
        <v>1</v>
      </c>
      <c r="L677" s="639">
        <f>VLOOKUP(H677,ORC.AUXILIAR!I:P,7,0)</f>
        <v>477.75</v>
      </c>
      <c r="M677" s="639">
        <f>VLOOKUP(H677,ORC.AUXILIAR!I:P,8,0)</f>
        <v>477.75</v>
      </c>
      <c r="N677" s="639">
        <f t="shared" si="64"/>
        <v>477.75</v>
      </c>
      <c r="O677" s="639">
        <f t="shared" si="65"/>
        <v>10257669563.804279</v>
      </c>
      <c r="P677" s="640">
        <f t="shared" si="63"/>
        <v>0.99988245731797254</v>
      </c>
    </row>
    <row r="678" spans="1:16">
      <c r="A678" s="627">
        <v>475</v>
      </c>
      <c r="B678" s="628">
        <v>20</v>
      </c>
      <c r="C678" s="629" t="s">
        <v>13689</v>
      </c>
      <c r="D678" s="628">
        <f>VLOOKUP(C678,ORC.AUXILIAR!I:J,2,0)</f>
        <v>0</v>
      </c>
      <c r="G678" s="636">
        <f t="shared" si="60"/>
        <v>0</v>
      </c>
      <c r="H678" s="636" t="str">
        <f t="shared" si="61"/>
        <v>QCM.EEE.04</v>
      </c>
      <c r="I678" s="637" t="str">
        <f>VLOOKUP(H678,ORC.AUXILIAR!I:P,4,0)</f>
        <v>Um</v>
      </c>
      <c r="J678" s="636">
        <f>VLOOKUP(H678,ORC.AUXILIAR!I:P,5,0)</f>
        <v>20</v>
      </c>
      <c r="K678" s="638">
        <f t="shared" si="62"/>
        <v>20</v>
      </c>
      <c r="L678" s="639">
        <f>VLOOKUP(H678,ORC.AUXILIAR!I:P,7,0)</f>
        <v>23.75</v>
      </c>
      <c r="M678" s="639">
        <f>VLOOKUP(H678,ORC.AUXILIAR!I:P,8,0)</f>
        <v>475</v>
      </c>
      <c r="N678" s="639">
        <f t="shared" si="64"/>
        <v>9500</v>
      </c>
      <c r="O678" s="639">
        <f t="shared" si="65"/>
        <v>10257679063.804279</v>
      </c>
      <c r="P678" s="640">
        <f t="shared" si="63"/>
        <v>0.99988338334539872</v>
      </c>
    </row>
    <row r="679" spans="1:16">
      <c r="A679" s="627">
        <v>469.79999999999995</v>
      </c>
      <c r="B679" s="628">
        <v>45</v>
      </c>
      <c r="C679" s="629">
        <v>91933</v>
      </c>
      <c r="D679" s="628">
        <f>VLOOKUP(C679,ORC.AUXILIAR!I:J,2,0)</f>
        <v>0</v>
      </c>
      <c r="G679" s="636">
        <f t="shared" si="60"/>
        <v>0</v>
      </c>
      <c r="H679" s="636">
        <f t="shared" si="61"/>
        <v>91933</v>
      </c>
      <c r="I679" s="637" t="str">
        <f>VLOOKUP(H679,ORC.AUXILIAR!I:P,4,0)</f>
        <v>m</v>
      </c>
      <c r="J679" s="636">
        <f>VLOOKUP(H679,ORC.AUXILIAR!I:P,5,0)</f>
        <v>20</v>
      </c>
      <c r="K679" s="638">
        <f t="shared" si="62"/>
        <v>45</v>
      </c>
      <c r="L679" s="639">
        <f>VLOOKUP(H679,ORC.AUXILIAR!I:P,7,0)</f>
        <v>10.44</v>
      </c>
      <c r="M679" s="639">
        <f>VLOOKUP(H679,ORC.AUXILIAR!I:P,8,0)</f>
        <v>208.8</v>
      </c>
      <c r="N679" s="639">
        <f t="shared" si="64"/>
        <v>9396</v>
      </c>
      <c r="O679" s="639">
        <f t="shared" si="65"/>
        <v>10257688459.804279</v>
      </c>
      <c r="P679" s="640">
        <f t="shared" si="63"/>
        <v>0.99988429923526145</v>
      </c>
    </row>
    <row r="680" spans="1:16">
      <c r="A680" s="627">
        <v>469.43999999999994</v>
      </c>
      <c r="B680" s="628">
        <v>96</v>
      </c>
      <c r="C680" s="629" t="s">
        <v>12726</v>
      </c>
      <c r="D680" s="628">
        <f>VLOOKUP(C680,ORC.AUXILIAR!I:J,2,0)</f>
        <v>0</v>
      </c>
      <c r="G680" s="636">
        <f t="shared" si="60"/>
        <v>0</v>
      </c>
      <c r="H680" s="636" t="str">
        <f t="shared" si="61"/>
        <v>RE.AI.16</v>
      </c>
      <c r="I680" s="637" t="str">
        <f>VLOOKUP(H680,ORC.AUXILIAR!I:P,4,0)</f>
        <v>pç</v>
      </c>
      <c r="J680" s="636">
        <f>VLOOKUP(H680,ORC.AUXILIAR!I:P,5,0)</f>
        <v>96</v>
      </c>
      <c r="K680" s="638">
        <f t="shared" si="62"/>
        <v>96</v>
      </c>
      <c r="L680" s="639">
        <f>VLOOKUP(H680,ORC.AUXILIAR!I:P,7,0)</f>
        <v>4.8899999999999997</v>
      </c>
      <c r="M680" s="639">
        <f>VLOOKUP(H680,ORC.AUXILIAR!I:P,8,0)</f>
        <v>469.44</v>
      </c>
      <c r="N680" s="639">
        <f t="shared" si="64"/>
        <v>45066.239999999998</v>
      </c>
      <c r="O680" s="639">
        <f t="shared" si="65"/>
        <v>10257733526.044279</v>
      </c>
      <c r="P680" s="640">
        <f t="shared" si="63"/>
        <v>0.9998886921378124</v>
      </c>
    </row>
    <row r="681" spans="1:16">
      <c r="A681" s="627">
        <v>464.68</v>
      </c>
      <c r="B681" s="628">
        <v>1</v>
      </c>
      <c r="C681" s="629" t="s">
        <v>13739</v>
      </c>
      <c r="D681" s="628">
        <f>VLOOKUP(C681,ORC.AUXILIAR!I:J,2,0)</f>
        <v>0</v>
      </c>
      <c r="G681" s="636">
        <f t="shared" si="60"/>
        <v>0</v>
      </c>
      <c r="H681" s="636" t="str">
        <f t="shared" si="61"/>
        <v>QCM.EEE.34</v>
      </c>
      <c r="I681" s="637" t="str">
        <f>VLOOKUP(H681,ORC.AUXILIAR!I:P,4,0)</f>
        <v>Un</v>
      </c>
      <c r="J681" s="636">
        <f>VLOOKUP(H681,ORC.AUXILIAR!I:P,5,0)</f>
        <v>1</v>
      </c>
      <c r="K681" s="638">
        <f t="shared" si="62"/>
        <v>1</v>
      </c>
      <c r="L681" s="639">
        <f>VLOOKUP(H681,ORC.AUXILIAR!I:P,7,0)</f>
        <v>464.68</v>
      </c>
      <c r="M681" s="639">
        <f>VLOOKUP(H681,ORC.AUXILIAR!I:P,8,0)</f>
        <v>464.68</v>
      </c>
      <c r="N681" s="639">
        <f t="shared" si="64"/>
        <v>464.68</v>
      </c>
      <c r="O681" s="639">
        <f t="shared" si="65"/>
        <v>10257733990.724279</v>
      </c>
      <c r="P681" s="640">
        <f t="shared" si="63"/>
        <v>0.99988873743322548</v>
      </c>
    </row>
    <row r="682" spans="1:16">
      <c r="A682" s="627">
        <v>454.45</v>
      </c>
      <c r="B682" s="628">
        <v>5</v>
      </c>
      <c r="C682" s="629" t="s">
        <v>13388</v>
      </c>
      <c r="D682" s="628">
        <f>VLOOKUP(C682,ORC.AUXILIAR!I:J,2,0)</f>
        <v>0</v>
      </c>
      <c r="G682" s="636">
        <f t="shared" si="60"/>
        <v>0</v>
      </c>
      <c r="H682" s="636" t="str">
        <f t="shared" si="61"/>
        <v>INS.ELET.24</v>
      </c>
      <c r="I682" s="637" t="str">
        <f>VLOOKUP(H682,ORC.AUXILIAR!I:P,4,0)</f>
        <v>un</v>
      </c>
      <c r="J682" s="636">
        <f>VLOOKUP(H682,ORC.AUXILIAR!I:P,5,0)</f>
        <v>5</v>
      </c>
      <c r="K682" s="638">
        <f t="shared" si="62"/>
        <v>5</v>
      </c>
      <c r="L682" s="639">
        <f>VLOOKUP(H682,ORC.AUXILIAR!I:P,7,0)</f>
        <v>90.89</v>
      </c>
      <c r="M682" s="639">
        <f>VLOOKUP(H682,ORC.AUXILIAR!I:P,8,0)</f>
        <v>454.45</v>
      </c>
      <c r="N682" s="639">
        <f t="shared" si="64"/>
        <v>2272.25</v>
      </c>
      <c r="O682" s="639">
        <f t="shared" si="65"/>
        <v>10257736262.974279</v>
      </c>
      <c r="P682" s="640">
        <f t="shared" si="63"/>
        <v>0.99988895892436436</v>
      </c>
    </row>
    <row r="683" spans="1:16">
      <c r="A683" s="627">
        <v>445.79999999999995</v>
      </c>
      <c r="B683" s="628">
        <v>6</v>
      </c>
      <c r="C683" s="629">
        <v>93671</v>
      </c>
      <c r="D683" s="628">
        <f>VLOOKUP(C683,ORC.AUXILIAR!I:J,2,0)</f>
        <v>0</v>
      </c>
      <c r="G683" s="636">
        <f t="shared" si="60"/>
        <v>0</v>
      </c>
      <c r="H683" s="636">
        <f t="shared" si="61"/>
        <v>93671</v>
      </c>
      <c r="I683" s="637" t="str">
        <f>VLOOKUP(H683,ORC.AUXILIAR!I:P,4,0)</f>
        <v>un</v>
      </c>
      <c r="J683" s="636">
        <f>VLOOKUP(H683,ORC.AUXILIAR!I:P,5,0)</f>
        <v>2</v>
      </c>
      <c r="K683" s="638">
        <f t="shared" si="62"/>
        <v>6</v>
      </c>
      <c r="L683" s="639">
        <f>VLOOKUP(H683,ORC.AUXILIAR!I:P,7,0)</f>
        <v>74.3</v>
      </c>
      <c r="M683" s="639">
        <f>VLOOKUP(H683,ORC.AUXILIAR!I:P,8,0)</f>
        <v>148.6</v>
      </c>
      <c r="N683" s="639">
        <f t="shared" si="64"/>
        <v>891.59999999999991</v>
      </c>
      <c r="O683" s="639">
        <f t="shared" si="65"/>
        <v>10257737154.57428</v>
      </c>
      <c r="P683" s="640">
        <f t="shared" si="63"/>
        <v>0.99988904583447524</v>
      </c>
    </row>
    <row r="684" spans="1:16">
      <c r="A684" s="627">
        <v>433.09</v>
      </c>
      <c r="B684" s="628">
        <v>7</v>
      </c>
      <c r="C684" s="629" t="s">
        <v>12805</v>
      </c>
      <c r="D684" s="628">
        <f>VLOOKUP(C684,ORC.AUXILIAR!I:J,2,0)</f>
        <v>0</v>
      </c>
      <c r="G684" s="636">
        <f t="shared" si="60"/>
        <v>0</v>
      </c>
      <c r="H684" s="636" t="str">
        <f t="shared" si="61"/>
        <v>TB.AI.14</v>
      </c>
      <c r="I684" s="637" t="str">
        <f>VLOOKUP(H684,ORC.AUXILIAR!I:P,4,0)</f>
        <v>pç</v>
      </c>
      <c r="J684" s="636">
        <f>VLOOKUP(H684,ORC.AUXILIAR!I:P,5,0)</f>
        <v>7</v>
      </c>
      <c r="K684" s="638">
        <f t="shared" si="62"/>
        <v>7</v>
      </c>
      <c r="L684" s="639">
        <f>VLOOKUP(H684,ORC.AUXILIAR!I:P,7,0)</f>
        <v>61.87</v>
      </c>
      <c r="M684" s="639">
        <f>VLOOKUP(H684,ORC.AUXILIAR!I:P,8,0)</f>
        <v>433.09</v>
      </c>
      <c r="N684" s="639">
        <f t="shared" si="64"/>
        <v>3031.6299999999997</v>
      </c>
      <c r="O684" s="639">
        <f t="shared" si="65"/>
        <v>10257740186.204279</v>
      </c>
      <c r="P684" s="640">
        <f t="shared" si="63"/>
        <v>0.99988934134737262</v>
      </c>
    </row>
    <row r="685" spans="1:16">
      <c r="A685" s="627">
        <v>431.79999999999995</v>
      </c>
      <c r="B685" s="628">
        <v>17</v>
      </c>
      <c r="C685" s="629" t="s">
        <v>11745</v>
      </c>
      <c r="D685" s="628">
        <f>VLOOKUP(C685,ORC.AUXILIAR!I:J,2,0)</f>
        <v>0</v>
      </c>
      <c r="G685" s="636">
        <f t="shared" si="60"/>
        <v>0</v>
      </c>
      <c r="H685" s="636" t="str">
        <f t="shared" si="61"/>
        <v>INS.ELET.17</v>
      </c>
      <c r="I685" s="637" t="str">
        <f>VLOOKUP(H685,ORC.AUXILIAR!I:P,4,0)</f>
        <v>un</v>
      </c>
      <c r="J685" s="636">
        <f>VLOOKUP(H685,ORC.AUXILIAR!I:P,5,0)</f>
        <v>17</v>
      </c>
      <c r="K685" s="638">
        <f t="shared" si="62"/>
        <v>17</v>
      </c>
      <c r="L685" s="639">
        <f>VLOOKUP(H685,ORC.AUXILIAR!I:P,7,0)</f>
        <v>25.4</v>
      </c>
      <c r="M685" s="639">
        <f>VLOOKUP(H685,ORC.AUXILIAR!I:P,8,0)</f>
        <v>431.8</v>
      </c>
      <c r="N685" s="639">
        <f t="shared" si="64"/>
        <v>7340.6</v>
      </c>
      <c r="O685" s="639">
        <f t="shared" si="65"/>
        <v>10257747526.804279</v>
      </c>
      <c r="P685" s="640">
        <f t="shared" si="63"/>
        <v>0.99989005688389099</v>
      </c>
    </row>
    <row r="686" spans="1:16">
      <c r="A686" s="627">
        <v>423.53549999999996</v>
      </c>
      <c r="B686" s="628">
        <v>6.85</v>
      </c>
      <c r="C686" s="629">
        <v>93187</v>
      </c>
      <c r="D686" s="628">
        <f>VLOOKUP(C686,ORC.AUXILIAR!I:J,2,0)</f>
        <v>0</v>
      </c>
      <c r="G686" s="636">
        <f t="shared" si="60"/>
        <v>0</v>
      </c>
      <c r="H686" s="636">
        <f t="shared" si="61"/>
        <v>93187</v>
      </c>
      <c r="I686" s="637" t="str">
        <f>VLOOKUP(H686,ORC.AUXILIAR!I:P,4,0)</f>
        <v>M</v>
      </c>
      <c r="J686" s="636">
        <f>VLOOKUP(H686,ORC.AUXILIAR!I:P,5,0)</f>
        <v>3.65</v>
      </c>
      <c r="K686" s="638">
        <f t="shared" si="62"/>
        <v>6.85</v>
      </c>
      <c r="L686" s="639">
        <f>VLOOKUP(H686,ORC.AUXILIAR!I:P,7,0)</f>
        <v>61.83</v>
      </c>
      <c r="M686" s="639">
        <f>VLOOKUP(H686,ORC.AUXILIAR!I:P,8,0)</f>
        <v>225.68</v>
      </c>
      <c r="N686" s="639">
        <f t="shared" si="64"/>
        <v>1545.9079999999999</v>
      </c>
      <c r="O686" s="639">
        <f t="shared" si="65"/>
        <v>10257749072.71228</v>
      </c>
      <c r="P686" s="640">
        <f t="shared" si="63"/>
        <v>0.99989020757370228</v>
      </c>
    </row>
    <row r="687" spans="1:16">
      <c r="A687" s="627">
        <v>421.68</v>
      </c>
      <c r="B687" s="628">
        <v>2</v>
      </c>
      <c r="C687" s="629" t="s">
        <v>12958</v>
      </c>
      <c r="D687" s="628">
        <f>VLOOKUP(C687,ORC.AUXILIAR!I:J,2,0)</f>
        <v>0</v>
      </c>
      <c r="G687" s="636">
        <f t="shared" si="60"/>
        <v>0</v>
      </c>
      <c r="H687" s="636" t="str">
        <f t="shared" si="61"/>
        <v>TP.FºF°.24</v>
      </c>
      <c r="I687" s="637" t="str">
        <f>VLOOKUP(H687,ORC.AUXILIAR!I:P,4,0)</f>
        <v>pç</v>
      </c>
      <c r="J687" s="636">
        <f>VLOOKUP(H687,ORC.AUXILIAR!I:P,5,0)</f>
        <v>2</v>
      </c>
      <c r="K687" s="638">
        <f t="shared" si="62"/>
        <v>2</v>
      </c>
      <c r="L687" s="639">
        <f>VLOOKUP(H687,ORC.AUXILIAR!I:P,7,0)</f>
        <v>210.84</v>
      </c>
      <c r="M687" s="639">
        <f>VLOOKUP(H687,ORC.AUXILIAR!I:P,8,0)</f>
        <v>421.68</v>
      </c>
      <c r="N687" s="639">
        <f t="shared" si="64"/>
        <v>843.36</v>
      </c>
      <c r="O687" s="639">
        <f t="shared" si="65"/>
        <v>10257749916.072281</v>
      </c>
      <c r="P687" s="640">
        <f t="shared" si="63"/>
        <v>0.99989028978154337</v>
      </c>
    </row>
    <row r="688" spans="1:16">
      <c r="A688" s="627">
        <v>421.54</v>
      </c>
      <c r="B688" s="628">
        <v>2</v>
      </c>
      <c r="C688" s="629" t="s">
        <v>13597</v>
      </c>
      <c r="D688" s="628">
        <f>VLOOKUP(C688,ORC.AUXILIAR!I:J,2,0)</f>
        <v>0</v>
      </c>
      <c r="G688" s="636">
        <f t="shared" si="60"/>
        <v>0</v>
      </c>
      <c r="H688" s="636" t="str">
        <f t="shared" si="61"/>
        <v>QCM.BIOGAS.01</v>
      </c>
      <c r="I688" s="637" t="str">
        <f>VLOOKUP(H688,ORC.AUXILIAR!I:P,4,0)</f>
        <v>un</v>
      </c>
      <c r="J688" s="636">
        <f>VLOOKUP(H688,ORC.AUXILIAR!I:P,5,0)</f>
        <v>2</v>
      </c>
      <c r="K688" s="638">
        <f t="shared" si="62"/>
        <v>2</v>
      </c>
      <c r="L688" s="639">
        <f>VLOOKUP(H688,ORC.AUXILIAR!I:P,7,0)</f>
        <v>210.77</v>
      </c>
      <c r="M688" s="639">
        <f>VLOOKUP(H688,ORC.AUXILIAR!I:P,8,0)</f>
        <v>421.54</v>
      </c>
      <c r="N688" s="639">
        <f t="shared" si="64"/>
        <v>843.08</v>
      </c>
      <c r="O688" s="639">
        <f t="shared" si="65"/>
        <v>10257750759.152281</v>
      </c>
      <c r="P688" s="640">
        <f t="shared" si="63"/>
        <v>0.99989037196209107</v>
      </c>
    </row>
    <row r="689" spans="1:16">
      <c r="A689" s="627">
        <v>420.67363161962288</v>
      </c>
      <c r="B689" s="628">
        <v>5.8893130564135916</v>
      </c>
      <c r="C689" s="629">
        <v>177</v>
      </c>
      <c r="D689" s="628">
        <f>VLOOKUP(C689,ORC.AUXILIAR!I:J,2,0)</f>
        <v>0</v>
      </c>
      <c r="G689" s="636">
        <f t="shared" si="60"/>
        <v>0</v>
      </c>
      <c r="H689" s="636">
        <f t="shared" si="61"/>
        <v>177</v>
      </c>
      <c r="I689" s="637" t="str">
        <f>VLOOKUP(H689,ORC.AUXILIAR!I:P,4,0)</f>
        <v>M3</v>
      </c>
      <c r="J689" s="636">
        <f>VLOOKUP(H689,ORC.AUXILIAR!I:P,5,0)</f>
        <v>0</v>
      </c>
      <c r="K689" s="638">
        <f t="shared" si="62"/>
        <v>5.8893130564135916</v>
      </c>
      <c r="L689" s="639">
        <f>VLOOKUP(H689,ORC.AUXILIAR!I:P,7,0)</f>
        <v>71.430000000000007</v>
      </c>
      <c r="M689" s="639">
        <f>VLOOKUP(H689,ORC.AUXILIAR!I:P,8,0)</f>
        <v>0</v>
      </c>
      <c r="N689" s="639">
        <f t="shared" si="64"/>
        <v>0</v>
      </c>
      <c r="O689" s="639">
        <f t="shared" si="65"/>
        <v>10257750759.152281</v>
      </c>
      <c r="P689" s="640">
        <f t="shared" si="63"/>
        <v>0.99989037196209107</v>
      </c>
    </row>
    <row r="690" spans="1:16">
      <c r="A690" s="627">
        <v>409.14</v>
      </c>
      <c r="B690" s="628">
        <v>18</v>
      </c>
      <c r="C690" s="629">
        <v>9862</v>
      </c>
      <c r="D690" s="628">
        <f>VLOOKUP(C690,ORC.AUXILIAR!I:J,2,0)</f>
        <v>0</v>
      </c>
      <c r="G690" s="636">
        <f t="shared" si="60"/>
        <v>0</v>
      </c>
      <c r="H690" s="636">
        <f t="shared" si="61"/>
        <v>9862</v>
      </c>
      <c r="I690" s="637" t="str">
        <f>VLOOKUP(H690,ORC.AUXILIAR!I:P,4,0)</f>
        <v>pç</v>
      </c>
      <c r="J690" s="636">
        <f>VLOOKUP(H690,ORC.AUXILIAR!I:P,5,0)</f>
        <v>2</v>
      </c>
      <c r="K690" s="638">
        <f t="shared" si="62"/>
        <v>18</v>
      </c>
      <c r="L690" s="639">
        <f>VLOOKUP(H690,ORC.AUXILIAR!I:P,7,0)</f>
        <v>22.73</v>
      </c>
      <c r="M690" s="639">
        <f>VLOOKUP(H690,ORC.AUXILIAR!I:P,8,0)</f>
        <v>45.46</v>
      </c>
      <c r="N690" s="639">
        <f t="shared" si="64"/>
        <v>818.28</v>
      </c>
      <c r="O690" s="639">
        <f t="shared" si="65"/>
        <v>10257751577.432281</v>
      </c>
      <c r="P690" s="640">
        <f t="shared" si="63"/>
        <v>0.99989045172521973</v>
      </c>
    </row>
    <row r="691" spans="1:16">
      <c r="A691" s="627">
        <v>401.92</v>
      </c>
      <c r="B691" s="628">
        <v>64</v>
      </c>
      <c r="C691" s="629" t="s">
        <v>12905</v>
      </c>
      <c r="D691" s="628">
        <f>VLOOKUP(C691,ORC.AUXILIAR!I:J,2,0)</f>
        <v>0</v>
      </c>
      <c r="G691" s="636">
        <f t="shared" si="60"/>
        <v>0</v>
      </c>
      <c r="H691" s="636" t="str">
        <f t="shared" si="61"/>
        <v>LS.PAR.01</v>
      </c>
      <c r="I691" s="637" t="str">
        <f>VLOOKUP(H691,ORC.AUXILIAR!I:P,4,0)</f>
        <v>pç</v>
      </c>
      <c r="J691" s="636">
        <f>VLOOKUP(H691,ORC.AUXILIAR!I:P,5,0)</f>
        <v>64</v>
      </c>
      <c r="K691" s="638">
        <f t="shared" si="62"/>
        <v>64</v>
      </c>
      <c r="L691" s="639">
        <f>VLOOKUP(H691,ORC.AUXILIAR!I:P,7,0)</f>
        <v>6.28</v>
      </c>
      <c r="M691" s="639">
        <f>VLOOKUP(H691,ORC.AUXILIAR!I:P,8,0)</f>
        <v>401.92</v>
      </c>
      <c r="N691" s="639">
        <f t="shared" si="64"/>
        <v>25722.880000000001</v>
      </c>
      <c r="O691" s="639">
        <f t="shared" si="65"/>
        <v>10257777300.312281</v>
      </c>
      <c r="P691" s="640">
        <f t="shared" si="63"/>
        <v>0.99989295910336284</v>
      </c>
    </row>
    <row r="692" spans="1:16">
      <c r="A692" s="627">
        <v>392.96370000000002</v>
      </c>
      <c r="B692" s="628">
        <v>0.71</v>
      </c>
      <c r="C692" s="629">
        <v>73549</v>
      </c>
      <c r="D692" s="628">
        <f>VLOOKUP(C692,ORC.AUXILIAR!I:J,2,0)</f>
        <v>0</v>
      </c>
      <c r="G692" s="636">
        <f t="shared" si="60"/>
        <v>0</v>
      </c>
      <c r="H692" s="636">
        <f t="shared" si="61"/>
        <v>73549</v>
      </c>
      <c r="I692" s="637" t="str">
        <f>VLOOKUP(H692,ORC.AUXILIAR!I:P,4,0)</f>
        <v>M3</v>
      </c>
      <c r="J692" s="636">
        <f>VLOOKUP(H692,ORC.AUXILIAR!I:P,5,0)</f>
        <v>0.19</v>
      </c>
      <c r="K692" s="638">
        <f t="shared" si="62"/>
        <v>0.71</v>
      </c>
      <c r="L692" s="639">
        <f>VLOOKUP(H692,ORC.AUXILIAR!I:P,7,0)</f>
        <v>553.47</v>
      </c>
      <c r="M692" s="639">
        <f>VLOOKUP(H692,ORC.AUXILIAR!I:P,8,0)</f>
        <v>105.16</v>
      </c>
      <c r="N692" s="639">
        <f t="shared" si="64"/>
        <v>74.663599999999988</v>
      </c>
      <c r="O692" s="639">
        <f t="shared" si="65"/>
        <v>10257777374.975882</v>
      </c>
      <c r="P692" s="640">
        <f t="shared" si="63"/>
        <v>0.99989296638131464</v>
      </c>
    </row>
    <row r="693" spans="1:16">
      <c r="A693" s="627">
        <v>391.95699999999999</v>
      </c>
      <c r="B693" s="628">
        <v>6.85</v>
      </c>
      <c r="C693" s="629">
        <v>93197</v>
      </c>
      <c r="D693" s="628">
        <f>VLOOKUP(C693,ORC.AUXILIAR!I:J,2,0)</f>
        <v>0</v>
      </c>
      <c r="G693" s="636">
        <f t="shared" si="60"/>
        <v>0</v>
      </c>
      <c r="H693" s="636">
        <f t="shared" si="61"/>
        <v>93197</v>
      </c>
      <c r="I693" s="637" t="str">
        <f>VLOOKUP(H693,ORC.AUXILIAR!I:P,4,0)</f>
        <v>M</v>
      </c>
      <c r="J693" s="636">
        <f>VLOOKUP(H693,ORC.AUXILIAR!I:P,5,0)</f>
        <v>3.65</v>
      </c>
      <c r="K693" s="638">
        <f t="shared" si="62"/>
        <v>6.85</v>
      </c>
      <c r="L693" s="639">
        <f>VLOOKUP(H693,ORC.AUXILIAR!I:P,7,0)</f>
        <v>57.22</v>
      </c>
      <c r="M693" s="639">
        <f>VLOOKUP(H693,ORC.AUXILIAR!I:P,8,0)</f>
        <v>208.85</v>
      </c>
      <c r="N693" s="639">
        <f t="shared" si="64"/>
        <v>1430.6224999999999</v>
      </c>
      <c r="O693" s="639">
        <f t="shared" si="65"/>
        <v>10257778805.598381</v>
      </c>
      <c r="P693" s="640">
        <f t="shared" si="63"/>
        <v>0.99989310583349056</v>
      </c>
    </row>
    <row r="694" spans="1:16">
      <c r="A694" s="627">
        <v>387.36</v>
      </c>
      <c r="B694" s="628">
        <v>6</v>
      </c>
      <c r="C694" s="629" t="s">
        <v>16916</v>
      </c>
      <c r="D694" s="628">
        <f>VLOOKUP(C694,ORC.AUXILIAR!I:J,2,0)</f>
        <v>0</v>
      </c>
      <c r="G694" s="636">
        <f t="shared" si="60"/>
        <v>0</v>
      </c>
      <c r="H694" s="636" t="str">
        <f t="shared" si="61"/>
        <v>74041/2</v>
      </c>
      <c r="I694" s="637" t="str">
        <f>VLOOKUP(H694,ORC.AUXILIAR!I:P,4,0)</f>
        <v>un</v>
      </c>
      <c r="J694" s="636">
        <f>VLOOKUP(H694,ORC.AUXILIAR!I:P,5,0)</f>
        <v>6</v>
      </c>
      <c r="K694" s="638">
        <f t="shared" si="62"/>
        <v>6</v>
      </c>
      <c r="L694" s="639">
        <f>VLOOKUP(H694,ORC.AUXILIAR!I:P,7,0)</f>
        <v>64.56</v>
      </c>
      <c r="M694" s="639">
        <f>VLOOKUP(H694,ORC.AUXILIAR!I:P,8,0)</f>
        <v>387.36</v>
      </c>
      <c r="N694" s="639">
        <f t="shared" si="64"/>
        <v>2324.16</v>
      </c>
      <c r="O694" s="639">
        <f t="shared" si="65"/>
        <v>10257781129.758381</v>
      </c>
      <c r="P694" s="640">
        <f t="shared" si="63"/>
        <v>0.99989333238463818</v>
      </c>
    </row>
    <row r="695" spans="1:16">
      <c r="A695" s="627">
        <v>384.78</v>
      </c>
      <c r="B695" s="628">
        <v>2</v>
      </c>
      <c r="C695" s="629" t="s">
        <v>13610</v>
      </c>
      <c r="D695" s="628">
        <f>VLOOKUP(C695,ORC.AUXILIAR!I:J,2,0)</f>
        <v>0</v>
      </c>
      <c r="G695" s="636">
        <f t="shared" si="60"/>
        <v>0</v>
      </c>
      <c r="H695" s="636" t="str">
        <f t="shared" si="61"/>
        <v>QCM.BIOGAS.12</v>
      </c>
      <c r="I695" s="637" t="str">
        <f>VLOOKUP(H695,ORC.AUXILIAR!I:P,4,0)</f>
        <v>cj</v>
      </c>
      <c r="J695" s="636">
        <f>VLOOKUP(H695,ORC.AUXILIAR!I:P,5,0)</f>
        <v>2</v>
      </c>
      <c r="K695" s="638">
        <f t="shared" si="62"/>
        <v>2</v>
      </c>
      <c r="L695" s="639">
        <f>VLOOKUP(H695,ORC.AUXILIAR!I:P,7,0)</f>
        <v>192.39</v>
      </c>
      <c r="M695" s="639">
        <f>VLOOKUP(H695,ORC.AUXILIAR!I:P,8,0)</f>
        <v>384.78</v>
      </c>
      <c r="N695" s="639">
        <f t="shared" si="64"/>
        <v>769.56</v>
      </c>
      <c r="O695" s="639">
        <f t="shared" si="65"/>
        <v>10257781899.31838</v>
      </c>
      <c r="P695" s="640">
        <f t="shared" si="63"/>
        <v>0.99989340739870824</v>
      </c>
    </row>
    <row r="696" spans="1:16">
      <c r="A696" s="627">
        <v>384.78</v>
      </c>
      <c r="B696" s="628">
        <v>2</v>
      </c>
      <c r="C696" s="629" t="s">
        <v>13774</v>
      </c>
      <c r="D696" s="628">
        <f>VLOOKUP(C696,ORC.AUXILIAR!I:J,2,0)</f>
        <v>0</v>
      </c>
      <c r="G696" s="636">
        <f t="shared" si="60"/>
        <v>0</v>
      </c>
      <c r="H696" s="636" t="str">
        <f t="shared" si="61"/>
        <v>QCM.CX.AREIA.14</v>
      </c>
      <c r="I696" s="637" t="str">
        <f>VLOOKUP(H696,ORC.AUXILIAR!I:P,4,0)</f>
        <v>Cj</v>
      </c>
      <c r="J696" s="636">
        <f>VLOOKUP(H696,ORC.AUXILIAR!I:P,5,0)</f>
        <v>2</v>
      </c>
      <c r="K696" s="638">
        <f t="shared" si="62"/>
        <v>2</v>
      </c>
      <c r="L696" s="639">
        <f>VLOOKUP(H696,ORC.AUXILIAR!I:P,7,0)</f>
        <v>192.39</v>
      </c>
      <c r="M696" s="639">
        <f>VLOOKUP(H696,ORC.AUXILIAR!I:P,8,0)</f>
        <v>384.78</v>
      </c>
      <c r="N696" s="639">
        <f t="shared" si="64"/>
        <v>769.56</v>
      </c>
      <c r="O696" s="639">
        <f t="shared" si="65"/>
        <v>10257782668.87838</v>
      </c>
      <c r="P696" s="640">
        <f t="shared" si="63"/>
        <v>0.99989348241277831</v>
      </c>
    </row>
    <row r="697" spans="1:16">
      <c r="A697" s="627">
        <v>384.78</v>
      </c>
      <c r="B697" s="628">
        <v>2</v>
      </c>
      <c r="C697" s="629" t="s">
        <v>13794</v>
      </c>
      <c r="D697" s="628">
        <f>VLOOKUP(C697,ORC.AUXILIAR!I:J,2,0)</f>
        <v>0</v>
      </c>
      <c r="G697" s="636">
        <f t="shared" si="60"/>
        <v>0</v>
      </c>
      <c r="H697" s="636" t="str">
        <f t="shared" si="61"/>
        <v>QCM.CX.AREIA.31</v>
      </c>
      <c r="I697" s="637" t="str">
        <f>VLOOKUP(H697,ORC.AUXILIAR!I:P,4,0)</f>
        <v>Un</v>
      </c>
      <c r="J697" s="636">
        <f>VLOOKUP(H697,ORC.AUXILIAR!I:P,5,0)</f>
        <v>2</v>
      </c>
      <c r="K697" s="638">
        <f t="shared" si="62"/>
        <v>2</v>
      </c>
      <c r="L697" s="639">
        <f>VLOOKUP(H697,ORC.AUXILIAR!I:P,7,0)</f>
        <v>192.39</v>
      </c>
      <c r="M697" s="639">
        <f>VLOOKUP(H697,ORC.AUXILIAR!I:P,8,0)</f>
        <v>384.78</v>
      </c>
      <c r="N697" s="639">
        <f t="shared" si="64"/>
        <v>769.56</v>
      </c>
      <c r="O697" s="639">
        <f t="shared" si="65"/>
        <v>10257783438.438379</v>
      </c>
      <c r="P697" s="640">
        <f t="shared" si="63"/>
        <v>0.99989355742684838</v>
      </c>
    </row>
    <row r="698" spans="1:16">
      <c r="A698" s="627">
        <v>384.78</v>
      </c>
      <c r="B698" s="628">
        <v>2</v>
      </c>
      <c r="C698" s="629" t="s">
        <v>13564</v>
      </c>
      <c r="D698" s="628">
        <f>VLOOKUP(C698,ORC.AUXILIAR!I:J,2,0)</f>
        <v>0</v>
      </c>
      <c r="G698" s="636">
        <f t="shared" si="60"/>
        <v>0</v>
      </c>
      <c r="H698" s="636" t="str">
        <f t="shared" si="61"/>
        <v>QCM.HIP.14</v>
      </c>
      <c r="I698" s="637" t="str">
        <f>VLOOKUP(H698,ORC.AUXILIAR!I:P,4,0)</f>
        <v>cj</v>
      </c>
      <c r="J698" s="636">
        <f>VLOOKUP(H698,ORC.AUXILIAR!I:P,5,0)</f>
        <v>2</v>
      </c>
      <c r="K698" s="638">
        <f t="shared" si="62"/>
        <v>2</v>
      </c>
      <c r="L698" s="639">
        <f>VLOOKUP(H698,ORC.AUXILIAR!I:P,7,0)</f>
        <v>192.39</v>
      </c>
      <c r="M698" s="639">
        <f>VLOOKUP(H698,ORC.AUXILIAR!I:P,8,0)</f>
        <v>384.78</v>
      </c>
      <c r="N698" s="639">
        <f t="shared" si="64"/>
        <v>769.56</v>
      </c>
      <c r="O698" s="639">
        <f t="shared" si="65"/>
        <v>10257784207.998379</v>
      </c>
      <c r="P698" s="640">
        <f t="shared" si="63"/>
        <v>0.99989363244091845</v>
      </c>
    </row>
    <row r="699" spans="1:16">
      <c r="A699" s="627">
        <v>372.96</v>
      </c>
      <c r="B699" s="628">
        <v>48</v>
      </c>
      <c r="C699" s="629">
        <v>7094</v>
      </c>
      <c r="D699" s="628">
        <f>VLOOKUP(C699,ORC.AUXILIAR!I:J,2,0)</f>
        <v>0</v>
      </c>
      <c r="G699" s="636">
        <f t="shared" si="60"/>
        <v>0</v>
      </c>
      <c r="H699" s="636">
        <f t="shared" si="61"/>
        <v>7094</v>
      </c>
      <c r="I699" s="637" t="str">
        <f>VLOOKUP(H699,ORC.AUXILIAR!I:P,4,0)</f>
        <v>pç</v>
      </c>
      <c r="J699" s="636">
        <f>VLOOKUP(H699,ORC.AUXILIAR!I:P,5,0)</f>
        <v>48</v>
      </c>
      <c r="K699" s="638">
        <f t="shared" si="62"/>
        <v>48</v>
      </c>
      <c r="L699" s="639">
        <f>VLOOKUP(H699,ORC.AUXILIAR!I:P,7,0)</f>
        <v>7.77</v>
      </c>
      <c r="M699" s="639">
        <f>VLOOKUP(H699,ORC.AUXILIAR!I:P,8,0)</f>
        <v>372.96</v>
      </c>
      <c r="N699" s="639">
        <f t="shared" si="64"/>
        <v>17902.079999999998</v>
      </c>
      <c r="O699" s="639">
        <f t="shared" si="65"/>
        <v>10257802110.078379</v>
      </c>
      <c r="P699" s="640">
        <f t="shared" si="63"/>
        <v>0.99989537747429369</v>
      </c>
    </row>
    <row r="700" spans="1:16">
      <c r="A700" s="627">
        <v>363.13100000000003</v>
      </c>
      <c r="B700" s="628">
        <v>86.050000000000011</v>
      </c>
      <c r="C700" s="629">
        <v>87882</v>
      </c>
      <c r="D700" s="628">
        <f>VLOOKUP(C700,ORC.AUXILIAR!I:J,2,0)</f>
        <v>0</v>
      </c>
      <c r="G700" s="636">
        <f t="shared" si="60"/>
        <v>0</v>
      </c>
      <c r="H700" s="636">
        <f t="shared" si="61"/>
        <v>87882</v>
      </c>
      <c r="I700" s="637" t="str">
        <f>VLOOKUP(H700,ORC.AUXILIAR!I:P,4,0)</f>
        <v>M2</v>
      </c>
      <c r="J700" s="636">
        <f>VLOOKUP(H700,ORC.AUXILIAR!I:P,5,0)</f>
        <v>10.8</v>
      </c>
      <c r="K700" s="638">
        <f t="shared" si="62"/>
        <v>86.050000000000011</v>
      </c>
      <c r="L700" s="639">
        <f>VLOOKUP(H700,ORC.AUXILIAR!I:P,7,0)</f>
        <v>4.22</v>
      </c>
      <c r="M700" s="639">
        <f>VLOOKUP(H700,ORC.AUXILIAR!I:P,8,0)</f>
        <v>45.58</v>
      </c>
      <c r="N700" s="639">
        <f t="shared" si="64"/>
        <v>3922.1590000000006</v>
      </c>
      <c r="O700" s="639">
        <f t="shared" si="65"/>
        <v>10257806032.237379</v>
      </c>
      <c r="P700" s="640">
        <f t="shared" si="63"/>
        <v>0.99989575979290468</v>
      </c>
    </row>
    <row r="701" spans="1:16">
      <c r="A701" s="627">
        <v>362.94</v>
      </c>
      <c r="B701" s="628">
        <v>3</v>
      </c>
      <c r="C701" s="629" t="s">
        <v>13868</v>
      </c>
      <c r="D701" s="628">
        <f>VLOOKUP(C701,ORC.AUXILIAR!I:J,2,0)</f>
        <v>0</v>
      </c>
      <c r="G701" s="636">
        <f t="shared" si="60"/>
        <v>0</v>
      </c>
      <c r="H701" s="636" t="str">
        <f t="shared" si="61"/>
        <v>INST.HIPOCL.36</v>
      </c>
      <c r="I701" s="637" t="str">
        <f>VLOOKUP(H701,ORC.AUXILIAR!I:P,4,0)</f>
        <v>un</v>
      </c>
      <c r="J701" s="636">
        <f>VLOOKUP(H701,ORC.AUXILIAR!I:P,5,0)</f>
        <v>3</v>
      </c>
      <c r="K701" s="638">
        <f t="shared" si="62"/>
        <v>3</v>
      </c>
      <c r="L701" s="639">
        <f>VLOOKUP(H701,ORC.AUXILIAR!I:P,7,0)</f>
        <v>120.98</v>
      </c>
      <c r="M701" s="639">
        <f>VLOOKUP(H701,ORC.AUXILIAR!I:P,8,0)</f>
        <v>362.94</v>
      </c>
      <c r="N701" s="639">
        <f t="shared" si="64"/>
        <v>1088.82</v>
      </c>
      <c r="O701" s="639">
        <f t="shared" si="65"/>
        <v>10257807121.057379</v>
      </c>
      <c r="P701" s="640">
        <f t="shared" si="63"/>
        <v>0.99989586592734481</v>
      </c>
    </row>
    <row r="702" spans="1:16">
      <c r="A702" s="627">
        <v>362.94</v>
      </c>
      <c r="B702" s="628">
        <v>3</v>
      </c>
      <c r="C702" s="629" t="s">
        <v>13609</v>
      </c>
      <c r="D702" s="628">
        <f>VLOOKUP(C702,ORC.AUXILIAR!I:J,2,0)</f>
        <v>0</v>
      </c>
      <c r="G702" s="636">
        <f t="shared" si="60"/>
        <v>0</v>
      </c>
      <c r="H702" s="636" t="str">
        <f t="shared" si="61"/>
        <v>QCM.BIOGAS.11</v>
      </c>
      <c r="I702" s="637" t="str">
        <f>VLOOKUP(H702,ORC.AUXILIAR!I:P,4,0)</f>
        <v>un</v>
      </c>
      <c r="J702" s="636">
        <f>VLOOKUP(H702,ORC.AUXILIAR!I:P,5,0)</f>
        <v>3</v>
      </c>
      <c r="K702" s="638">
        <f t="shared" si="62"/>
        <v>3</v>
      </c>
      <c r="L702" s="639">
        <f>VLOOKUP(H702,ORC.AUXILIAR!I:P,7,0)</f>
        <v>120.98</v>
      </c>
      <c r="M702" s="639">
        <f>VLOOKUP(H702,ORC.AUXILIAR!I:P,8,0)</f>
        <v>362.94</v>
      </c>
      <c r="N702" s="639">
        <f t="shared" si="64"/>
        <v>1088.82</v>
      </c>
      <c r="O702" s="639">
        <f t="shared" si="65"/>
        <v>10257808209.877378</v>
      </c>
      <c r="P702" s="640">
        <f t="shared" si="63"/>
        <v>0.99989597206178504</v>
      </c>
    </row>
    <row r="703" spans="1:16">
      <c r="A703" s="627">
        <v>362.94</v>
      </c>
      <c r="B703" s="628">
        <v>3</v>
      </c>
      <c r="C703" s="629" t="s">
        <v>13771</v>
      </c>
      <c r="D703" s="628">
        <f>VLOOKUP(C703,ORC.AUXILIAR!I:J,2,0)</f>
        <v>0</v>
      </c>
      <c r="G703" s="636">
        <f t="shared" si="60"/>
        <v>0</v>
      </c>
      <c r="H703" s="636" t="str">
        <f t="shared" si="61"/>
        <v>QCM.CX.AREIA.11</v>
      </c>
      <c r="I703" s="637" t="str">
        <f>VLOOKUP(H703,ORC.AUXILIAR!I:P,4,0)</f>
        <v>Un</v>
      </c>
      <c r="J703" s="636">
        <f>VLOOKUP(H703,ORC.AUXILIAR!I:P,5,0)</f>
        <v>3</v>
      </c>
      <c r="K703" s="638">
        <f t="shared" si="62"/>
        <v>3</v>
      </c>
      <c r="L703" s="639">
        <f>VLOOKUP(H703,ORC.AUXILIAR!I:P,7,0)</f>
        <v>120.98</v>
      </c>
      <c r="M703" s="639">
        <f>VLOOKUP(H703,ORC.AUXILIAR!I:P,8,0)</f>
        <v>362.94</v>
      </c>
      <c r="N703" s="639">
        <f t="shared" si="64"/>
        <v>1088.82</v>
      </c>
      <c r="O703" s="639">
        <f t="shared" si="65"/>
        <v>10257809298.697378</v>
      </c>
      <c r="P703" s="640">
        <f t="shared" si="63"/>
        <v>0.99989607819622528</v>
      </c>
    </row>
    <row r="704" spans="1:16">
      <c r="A704" s="627">
        <v>362.94</v>
      </c>
      <c r="B704" s="628">
        <v>3</v>
      </c>
      <c r="C704" s="629" t="s">
        <v>13708</v>
      </c>
      <c r="D704" s="628">
        <f>VLOOKUP(C704,ORC.AUXILIAR!I:J,2,0)</f>
        <v>0</v>
      </c>
      <c r="G704" s="636">
        <f t="shared" si="60"/>
        <v>0</v>
      </c>
      <c r="H704" s="636" t="str">
        <f t="shared" si="61"/>
        <v>QCM.EEE.15</v>
      </c>
      <c r="I704" s="637" t="str">
        <f>VLOOKUP(H704,ORC.AUXILIAR!I:P,4,0)</f>
        <v>Um</v>
      </c>
      <c r="J704" s="636">
        <f>VLOOKUP(H704,ORC.AUXILIAR!I:P,5,0)</f>
        <v>3</v>
      </c>
      <c r="K704" s="638">
        <f t="shared" si="62"/>
        <v>3</v>
      </c>
      <c r="L704" s="639">
        <f>VLOOKUP(H704,ORC.AUXILIAR!I:P,7,0)</f>
        <v>120.98</v>
      </c>
      <c r="M704" s="639">
        <f>VLOOKUP(H704,ORC.AUXILIAR!I:P,8,0)</f>
        <v>362.94</v>
      </c>
      <c r="N704" s="639">
        <f t="shared" si="64"/>
        <v>1088.82</v>
      </c>
      <c r="O704" s="639">
        <f t="shared" si="65"/>
        <v>10257810387.517378</v>
      </c>
      <c r="P704" s="640">
        <f t="shared" si="63"/>
        <v>0.99989618433066541</v>
      </c>
    </row>
    <row r="705" spans="1:16">
      <c r="A705" s="627">
        <v>362.94</v>
      </c>
      <c r="B705" s="628">
        <v>3</v>
      </c>
      <c r="C705" s="629" t="s">
        <v>13562</v>
      </c>
      <c r="D705" s="628">
        <f>VLOOKUP(C705,ORC.AUXILIAR!I:J,2,0)</f>
        <v>0</v>
      </c>
      <c r="G705" s="636">
        <f t="shared" si="60"/>
        <v>0</v>
      </c>
      <c r="H705" s="636" t="str">
        <f t="shared" si="61"/>
        <v>QCM.HIP.13</v>
      </c>
      <c r="I705" s="637" t="str">
        <f>VLOOKUP(H705,ORC.AUXILIAR!I:P,4,0)</f>
        <v>un</v>
      </c>
      <c r="J705" s="636">
        <f>VLOOKUP(H705,ORC.AUXILIAR!I:P,5,0)</f>
        <v>3</v>
      </c>
      <c r="K705" s="638">
        <f t="shared" si="62"/>
        <v>3</v>
      </c>
      <c r="L705" s="639">
        <f>VLOOKUP(H705,ORC.AUXILIAR!I:P,7,0)</f>
        <v>120.98</v>
      </c>
      <c r="M705" s="639">
        <f>VLOOKUP(H705,ORC.AUXILIAR!I:P,8,0)</f>
        <v>362.94</v>
      </c>
      <c r="N705" s="639">
        <f t="shared" si="64"/>
        <v>1088.82</v>
      </c>
      <c r="O705" s="639">
        <f t="shared" si="65"/>
        <v>10257811476.337378</v>
      </c>
      <c r="P705" s="640">
        <f t="shared" si="63"/>
        <v>0.99989629046510564</v>
      </c>
    </row>
    <row r="706" spans="1:16">
      <c r="A706" s="627">
        <v>360.48</v>
      </c>
      <c r="B706" s="628">
        <v>48</v>
      </c>
      <c r="C706" s="629" t="s">
        <v>14388</v>
      </c>
      <c r="D706" s="628">
        <f>VLOOKUP(C706,ORC.AUXILIAR!I:J,2,0)</f>
        <v>0</v>
      </c>
      <c r="G706" s="636">
        <f t="shared" si="60"/>
        <v>0</v>
      </c>
      <c r="H706" s="636" t="str">
        <f t="shared" si="61"/>
        <v>REATOR.FB.28</v>
      </c>
      <c r="I706" s="637" t="str">
        <f>VLOOKUP(H706,ORC.AUXILIAR!I:P,4,0)</f>
        <v>un</v>
      </c>
      <c r="J706" s="636">
        <f>VLOOKUP(H706,ORC.AUXILIAR!I:P,5,0)</f>
        <v>48</v>
      </c>
      <c r="K706" s="638">
        <f t="shared" si="62"/>
        <v>48</v>
      </c>
      <c r="L706" s="639">
        <f>VLOOKUP(H706,ORC.AUXILIAR!I:P,7,0)</f>
        <v>7.51</v>
      </c>
      <c r="M706" s="639">
        <f>VLOOKUP(H706,ORC.AUXILIAR!I:P,8,0)</f>
        <v>360.48</v>
      </c>
      <c r="N706" s="639">
        <f t="shared" si="64"/>
        <v>17303.04</v>
      </c>
      <c r="O706" s="639">
        <f t="shared" si="65"/>
        <v>10257828779.377378</v>
      </c>
      <c r="P706" s="640">
        <f t="shared" si="63"/>
        <v>0.99989797710611583</v>
      </c>
    </row>
    <row r="707" spans="1:16">
      <c r="A707" s="627">
        <v>357.84</v>
      </c>
      <c r="B707" s="628">
        <v>36</v>
      </c>
      <c r="C707" s="629">
        <v>89395</v>
      </c>
      <c r="D707" s="628">
        <f>VLOOKUP(C707,ORC.AUXILIAR!I:J,2,0)</f>
        <v>0</v>
      </c>
      <c r="G707" s="636">
        <f t="shared" si="60"/>
        <v>0</v>
      </c>
      <c r="H707" s="636">
        <f t="shared" si="61"/>
        <v>89395</v>
      </c>
      <c r="I707" s="637" t="str">
        <f>VLOOKUP(H707,ORC.AUXILIAR!I:P,4,0)</f>
        <v>pç</v>
      </c>
      <c r="J707" s="636">
        <f>VLOOKUP(H707,ORC.AUXILIAR!I:P,5,0)</f>
        <v>6</v>
      </c>
      <c r="K707" s="638">
        <f t="shared" si="62"/>
        <v>36</v>
      </c>
      <c r="L707" s="639">
        <f>VLOOKUP(H707,ORC.AUXILIAR!I:P,7,0)</f>
        <v>9.94</v>
      </c>
      <c r="M707" s="639">
        <f>VLOOKUP(H707,ORC.AUXILIAR!I:P,8,0)</f>
        <v>59.64</v>
      </c>
      <c r="N707" s="639">
        <f t="shared" si="64"/>
        <v>2147.04</v>
      </c>
      <c r="O707" s="639">
        <f t="shared" si="65"/>
        <v>10257830926.417379</v>
      </c>
      <c r="P707" s="640">
        <f t="shared" si="63"/>
        <v>0.99989818639221328</v>
      </c>
    </row>
    <row r="708" spans="1:16">
      <c r="A708" s="627">
        <v>353.28000000000003</v>
      </c>
      <c r="B708" s="628">
        <v>96</v>
      </c>
      <c r="C708" s="629">
        <v>89481</v>
      </c>
      <c r="D708" s="628">
        <f>VLOOKUP(C708,ORC.AUXILIAR!I:J,2,0)</f>
        <v>0</v>
      </c>
      <c r="G708" s="636">
        <f t="shared" si="60"/>
        <v>0</v>
      </c>
      <c r="H708" s="636">
        <f t="shared" si="61"/>
        <v>89481</v>
      </c>
      <c r="I708" s="637" t="str">
        <f>VLOOKUP(H708,ORC.AUXILIAR!I:P,4,0)</f>
        <v>pç</v>
      </c>
      <c r="J708" s="636">
        <f>VLOOKUP(H708,ORC.AUXILIAR!I:P,5,0)</f>
        <v>96</v>
      </c>
      <c r="K708" s="638">
        <f t="shared" si="62"/>
        <v>96</v>
      </c>
      <c r="L708" s="639">
        <f>VLOOKUP(H708,ORC.AUXILIAR!I:P,7,0)</f>
        <v>3.68</v>
      </c>
      <c r="M708" s="639">
        <f>VLOOKUP(H708,ORC.AUXILIAR!I:P,8,0)</f>
        <v>353.28</v>
      </c>
      <c r="N708" s="639">
        <f t="shared" si="64"/>
        <v>33914.879999999997</v>
      </c>
      <c r="O708" s="639">
        <f t="shared" si="65"/>
        <v>10257864841.297379</v>
      </c>
      <c r="P708" s="640">
        <f t="shared" si="63"/>
        <v>0.9999014922984274</v>
      </c>
    </row>
    <row r="709" spans="1:16">
      <c r="A709" s="627">
        <v>351.39</v>
      </c>
      <c r="B709" s="628">
        <v>1</v>
      </c>
      <c r="C709" s="629" t="s">
        <v>16821</v>
      </c>
      <c r="D709" s="628">
        <f>VLOOKUP(C709,ORC.AUXILIAR!I:J,2,0)</f>
        <v>0</v>
      </c>
      <c r="G709" s="636">
        <f t="shared" si="60"/>
        <v>0</v>
      </c>
      <c r="H709" s="636" t="str">
        <f t="shared" si="61"/>
        <v>74130/6</v>
      </c>
      <c r="I709" s="637" t="str">
        <f>VLOOKUP(H709,ORC.AUXILIAR!I:P,4,0)</f>
        <v>Un</v>
      </c>
      <c r="J709" s="636">
        <f>VLOOKUP(H709,ORC.AUXILIAR!I:P,5,0)</f>
        <v>1</v>
      </c>
      <c r="K709" s="638">
        <f t="shared" si="62"/>
        <v>1</v>
      </c>
      <c r="L709" s="639">
        <f>VLOOKUP(H709,ORC.AUXILIAR!I:P,7,0)</f>
        <v>351.39</v>
      </c>
      <c r="M709" s="639">
        <f>VLOOKUP(H709,ORC.AUXILIAR!I:P,8,0)</f>
        <v>351.39</v>
      </c>
      <c r="N709" s="639">
        <f t="shared" si="64"/>
        <v>351.39</v>
      </c>
      <c r="O709" s="639">
        <f t="shared" si="65"/>
        <v>10257865192.687378</v>
      </c>
      <c r="P709" s="640">
        <f t="shared" si="63"/>
        <v>0.99990152655071962</v>
      </c>
    </row>
    <row r="710" spans="1:16">
      <c r="A710" s="627">
        <v>347.82</v>
      </c>
      <c r="B710" s="628">
        <v>1</v>
      </c>
      <c r="C710" s="629">
        <v>83475</v>
      </c>
      <c r="D710" s="628">
        <f>VLOOKUP(C710,ORC.AUXILIAR!I:J,2,0)</f>
        <v>0</v>
      </c>
      <c r="G710" s="636">
        <f t="shared" ref="G710:G773" si="66">D710</f>
        <v>0</v>
      </c>
      <c r="H710" s="636">
        <f t="shared" ref="H710:H773" si="67">C710</f>
        <v>83475</v>
      </c>
      <c r="I710" s="637" t="str">
        <f>VLOOKUP(H710,ORC.AUXILIAR!I:P,4,0)</f>
        <v>un</v>
      </c>
      <c r="J710" s="636">
        <f>VLOOKUP(H710,ORC.AUXILIAR!I:P,5,0)</f>
        <v>1</v>
      </c>
      <c r="K710" s="638">
        <f t="shared" ref="K710:K773" si="68">B710</f>
        <v>1</v>
      </c>
      <c r="L710" s="639">
        <f>VLOOKUP(H710,ORC.AUXILIAR!I:P,7,0)</f>
        <v>347.82</v>
      </c>
      <c r="M710" s="639">
        <f>VLOOKUP(H710,ORC.AUXILIAR!I:P,8,0)</f>
        <v>347.82</v>
      </c>
      <c r="N710" s="639">
        <f t="shared" si="64"/>
        <v>347.82</v>
      </c>
      <c r="O710" s="639">
        <f t="shared" si="65"/>
        <v>10257865540.507378</v>
      </c>
      <c r="P710" s="640">
        <f t="shared" ref="P710:P773" si="69">O710/N$4</f>
        <v>0.99990156045502065</v>
      </c>
    </row>
    <row r="711" spans="1:16">
      <c r="A711" s="627">
        <v>341.6</v>
      </c>
      <c r="B711" s="628">
        <v>2</v>
      </c>
      <c r="C711" s="629" t="s">
        <v>13171</v>
      </c>
      <c r="D711" s="628">
        <f>VLOOKUP(C711,ORC.AUXILIAR!I:J,2,0)</f>
        <v>0</v>
      </c>
      <c r="G711" s="636">
        <f t="shared" si="66"/>
        <v>0</v>
      </c>
      <c r="H711" s="636" t="str">
        <f t="shared" si="67"/>
        <v>TP.AÇO.13</v>
      </c>
      <c r="I711" s="637" t="str">
        <f>VLOOKUP(H711,ORC.AUXILIAR!I:P,4,0)</f>
        <v>pç</v>
      </c>
      <c r="J711" s="636">
        <f>VLOOKUP(H711,ORC.AUXILIAR!I:P,5,0)</f>
        <v>2</v>
      </c>
      <c r="K711" s="638">
        <f t="shared" si="68"/>
        <v>2</v>
      </c>
      <c r="L711" s="639">
        <f>VLOOKUP(H711,ORC.AUXILIAR!I:P,7,0)</f>
        <v>170.8</v>
      </c>
      <c r="M711" s="639">
        <f>VLOOKUP(H711,ORC.AUXILIAR!I:P,8,0)</f>
        <v>341.6</v>
      </c>
      <c r="N711" s="639">
        <f t="shared" ref="N711:N774" si="70">K711*M711</f>
        <v>683.2</v>
      </c>
      <c r="O711" s="639">
        <f t="shared" ref="O711:O774" si="71">N711+O710</f>
        <v>10257866223.707378</v>
      </c>
      <c r="P711" s="640">
        <f t="shared" si="69"/>
        <v>0.99990162705101415</v>
      </c>
    </row>
    <row r="712" spans="1:16">
      <c r="A712" s="627">
        <v>340.92</v>
      </c>
      <c r="B712" s="628">
        <v>12</v>
      </c>
      <c r="C712" s="629">
        <v>13244</v>
      </c>
      <c r="D712" s="628">
        <f>VLOOKUP(C712,ORC.AUXILIAR!I:J,2,0)</f>
        <v>0</v>
      </c>
      <c r="G712" s="636">
        <f t="shared" si="66"/>
        <v>0</v>
      </c>
      <c r="H712" s="636">
        <f t="shared" si="67"/>
        <v>13244</v>
      </c>
      <c r="I712" s="637" t="str">
        <f>VLOOKUP(H712,ORC.AUXILIAR!I:P,4,0)</f>
        <v>UN</v>
      </c>
      <c r="J712" s="636">
        <f>VLOOKUP(H712,ORC.AUXILIAR!I:P,5,0)</f>
        <v>0</v>
      </c>
      <c r="K712" s="638">
        <f t="shared" si="68"/>
        <v>12</v>
      </c>
      <c r="L712" s="639">
        <f>VLOOKUP(H712,ORC.AUXILIAR!I:P,7,0)</f>
        <v>28.41</v>
      </c>
      <c r="M712" s="639">
        <f>VLOOKUP(H712,ORC.AUXILIAR!I:P,8,0)</f>
        <v>0</v>
      </c>
      <c r="N712" s="639">
        <f t="shared" si="70"/>
        <v>0</v>
      </c>
      <c r="O712" s="639">
        <f t="shared" si="71"/>
        <v>10257866223.707378</v>
      </c>
      <c r="P712" s="640">
        <f t="shared" si="69"/>
        <v>0.99990162705101415</v>
      </c>
    </row>
    <row r="713" spans="1:16">
      <c r="A713" s="627">
        <v>338.3</v>
      </c>
      <c r="B713" s="628">
        <v>2</v>
      </c>
      <c r="C713" s="629" t="s">
        <v>13850</v>
      </c>
      <c r="D713" s="628">
        <f>VLOOKUP(C713,ORC.AUXILIAR!I:J,2,0)</f>
        <v>0</v>
      </c>
      <c r="G713" s="636">
        <f t="shared" si="66"/>
        <v>0</v>
      </c>
      <c r="H713" s="636" t="str">
        <f t="shared" si="67"/>
        <v>INST.HIPOCL.18</v>
      </c>
      <c r="I713" s="637" t="str">
        <f>VLOOKUP(H713,ORC.AUXILIAR!I:P,4,0)</f>
        <v>un</v>
      </c>
      <c r="J713" s="636">
        <f>VLOOKUP(H713,ORC.AUXILIAR!I:P,5,0)</f>
        <v>2</v>
      </c>
      <c r="K713" s="638">
        <f t="shared" si="68"/>
        <v>2</v>
      </c>
      <c r="L713" s="639">
        <f>VLOOKUP(H713,ORC.AUXILIAR!I:P,7,0)</f>
        <v>169.15</v>
      </c>
      <c r="M713" s="639">
        <f>VLOOKUP(H713,ORC.AUXILIAR!I:P,8,0)</f>
        <v>338.3</v>
      </c>
      <c r="N713" s="639">
        <f t="shared" si="70"/>
        <v>676.6</v>
      </c>
      <c r="O713" s="639">
        <f t="shared" si="71"/>
        <v>10257866900.307379</v>
      </c>
      <c r="P713" s="640">
        <f t="shared" si="69"/>
        <v>0.99990169300366216</v>
      </c>
    </row>
    <row r="714" spans="1:16">
      <c r="A714" s="627">
        <v>336.04</v>
      </c>
      <c r="B714" s="628">
        <v>1</v>
      </c>
      <c r="C714" s="629">
        <v>2391</v>
      </c>
      <c r="D714" s="628">
        <f>VLOOKUP(C714,ORC.AUXILIAR!I:J,2,0)</f>
        <v>0</v>
      </c>
      <c r="G714" s="636">
        <f t="shared" si="66"/>
        <v>0</v>
      </c>
      <c r="H714" s="636">
        <f t="shared" si="67"/>
        <v>2391</v>
      </c>
      <c r="I714" s="637" t="str">
        <f>VLOOKUP(H714,ORC.AUXILIAR!I:P,4,0)</f>
        <v>un</v>
      </c>
      <c r="J714" s="636">
        <f>VLOOKUP(H714,ORC.AUXILIAR!I:P,5,0)</f>
        <v>1</v>
      </c>
      <c r="K714" s="638">
        <f t="shared" si="68"/>
        <v>1</v>
      </c>
      <c r="L714" s="639">
        <f>VLOOKUP(H714,ORC.AUXILIAR!I:P,7,0)</f>
        <v>336.04</v>
      </c>
      <c r="M714" s="639">
        <f>VLOOKUP(H714,ORC.AUXILIAR!I:P,8,0)</f>
        <v>336.04</v>
      </c>
      <c r="N714" s="639">
        <f t="shared" si="70"/>
        <v>336.04</v>
      </c>
      <c r="O714" s="639">
        <f t="shared" si="71"/>
        <v>10257867236.34738</v>
      </c>
      <c r="P714" s="640">
        <f t="shared" si="69"/>
        <v>0.99990172575968927</v>
      </c>
    </row>
    <row r="715" spans="1:16">
      <c r="A715" s="627">
        <v>332.8152</v>
      </c>
      <c r="B715" s="628">
        <v>8.08</v>
      </c>
      <c r="C715" s="629">
        <v>20232</v>
      </c>
      <c r="D715" s="628">
        <f>VLOOKUP(C715,ORC.AUXILIAR!I:J,2,0)</f>
        <v>0</v>
      </c>
      <c r="G715" s="636">
        <f t="shared" si="66"/>
        <v>0</v>
      </c>
      <c r="H715" s="636">
        <f t="shared" si="67"/>
        <v>20232</v>
      </c>
      <c r="I715" s="637" t="str">
        <f>VLOOKUP(H715,ORC.AUXILIAR!I:P,4,0)</f>
        <v>M</v>
      </c>
      <c r="J715" s="636">
        <f>VLOOKUP(H715,ORC.AUXILIAR!I:P,5,0)</f>
        <v>0.8</v>
      </c>
      <c r="K715" s="638">
        <f t="shared" si="68"/>
        <v>8.08</v>
      </c>
      <c r="L715" s="639">
        <f>VLOOKUP(H715,ORC.AUXILIAR!I:P,7,0)</f>
        <v>41.19</v>
      </c>
      <c r="M715" s="639">
        <f>VLOOKUP(H715,ORC.AUXILIAR!I:P,8,0)</f>
        <v>32.950000000000003</v>
      </c>
      <c r="N715" s="639">
        <f t="shared" si="70"/>
        <v>266.23600000000005</v>
      </c>
      <c r="O715" s="639">
        <f t="shared" si="71"/>
        <v>10257867502.58338</v>
      </c>
      <c r="P715" s="640">
        <f t="shared" si="69"/>
        <v>0.99990175171146167</v>
      </c>
    </row>
    <row r="716" spans="1:16">
      <c r="A716" s="627">
        <v>330.96</v>
      </c>
      <c r="B716" s="628">
        <v>2</v>
      </c>
      <c r="C716" s="629" t="s">
        <v>12817</v>
      </c>
      <c r="D716" s="628">
        <f>VLOOKUP(C716,ORC.AUXILIAR!I:J,2,0)</f>
        <v>0</v>
      </c>
      <c r="G716" s="636">
        <f t="shared" si="66"/>
        <v>0</v>
      </c>
      <c r="H716" s="636" t="str">
        <f t="shared" si="67"/>
        <v>CDR.AR.02</v>
      </c>
      <c r="I716" s="637" t="str">
        <f>VLOOKUP(H716,ORC.AUXILIAR!I:P,4,0)</f>
        <v>pç</v>
      </c>
      <c r="J716" s="636">
        <f>VLOOKUP(H716,ORC.AUXILIAR!I:P,5,0)</f>
        <v>2</v>
      </c>
      <c r="K716" s="638">
        <f t="shared" si="68"/>
        <v>2</v>
      </c>
      <c r="L716" s="639">
        <f>VLOOKUP(H716,ORC.AUXILIAR!I:P,7,0)</f>
        <v>165.48</v>
      </c>
      <c r="M716" s="639">
        <f>VLOOKUP(H716,ORC.AUXILIAR!I:P,8,0)</f>
        <v>330.96</v>
      </c>
      <c r="N716" s="639">
        <f t="shared" si="70"/>
        <v>661.92</v>
      </c>
      <c r="O716" s="639">
        <f t="shared" si="71"/>
        <v>10257868164.50338</v>
      </c>
      <c r="P716" s="640">
        <f t="shared" si="69"/>
        <v>0.99990181623315366</v>
      </c>
    </row>
    <row r="717" spans="1:16">
      <c r="A717" s="627">
        <v>330.96</v>
      </c>
      <c r="B717" s="628">
        <v>2</v>
      </c>
      <c r="C717" s="629" t="s">
        <v>12833</v>
      </c>
      <c r="D717" s="628">
        <f>VLOOKUP(C717,ORC.AUXILIAR!I:J,2,0)</f>
        <v>0</v>
      </c>
      <c r="G717" s="636">
        <f t="shared" si="66"/>
        <v>0</v>
      </c>
      <c r="H717" s="636" t="str">
        <f t="shared" si="67"/>
        <v>TP.AR.04</v>
      </c>
      <c r="I717" s="637" t="str">
        <f>VLOOKUP(H717,ORC.AUXILIAR!I:P,4,0)</f>
        <v>pç</v>
      </c>
      <c r="J717" s="636">
        <f>VLOOKUP(H717,ORC.AUXILIAR!I:P,5,0)</f>
        <v>2</v>
      </c>
      <c r="K717" s="638">
        <f t="shared" si="68"/>
        <v>2</v>
      </c>
      <c r="L717" s="639">
        <f>VLOOKUP(H717,ORC.AUXILIAR!I:P,7,0)</f>
        <v>165.48</v>
      </c>
      <c r="M717" s="639">
        <f>VLOOKUP(H717,ORC.AUXILIAR!I:P,8,0)</f>
        <v>330.96</v>
      </c>
      <c r="N717" s="639">
        <f t="shared" si="70"/>
        <v>661.92</v>
      </c>
      <c r="O717" s="639">
        <f t="shared" si="71"/>
        <v>10257868826.42338</v>
      </c>
      <c r="P717" s="640">
        <f t="shared" si="69"/>
        <v>0.99990188075484565</v>
      </c>
    </row>
    <row r="718" spans="1:16">
      <c r="A718" s="627">
        <v>329.58</v>
      </c>
      <c r="B718" s="628">
        <v>6</v>
      </c>
      <c r="C718" s="629" t="s">
        <v>13765</v>
      </c>
      <c r="D718" s="628">
        <f>VLOOKUP(C718,ORC.AUXILIAR!I:J,2,0)</f>
        <v>0</v>
      </c>
      <c r="G718" s="636">
        <f t="shared" si="66"/>
        <v>0</v>
      </c>
      <c r="H718" s="636" t="str">
        <f t="shared" si="67"/>
        <v>QCM.CX.AREIA.06</v>
      </c>
      <c r="I718" s="637" t="str">
        <f>VLOOKUP(H718,ORC.AUXILIAR!I:P,4,0)</f>
        <v>Un</v>
      </c>
      <c r="J718" s="636">
        <f>VLOOKUP(H718,ORC.AUXILIAR!I:P,5,0)</f>
        <v>6</v>
      </c>
      <c r="K718" s="638">
        <f t="shared" si="68"/>
        <v>6</v>
      </c>
      <c r="L718" s="639">
        <f>VLOOKUP(H718,ORC.AUXILIAR!I:P,7,0)</f>
        <v>54.93</v>
      </c>
      <c r="M718" s="639">
        <f>VLOOKUP(H718,ORC.AUXILIAR!I:P,8,0)</f>
        <v>329.58</v>
      </c>
      <c r="N718" s="639">
        <f t="shared" si="70"/>
        <v>1977.48</v>
      </c>
      <c r="O718" s="639">
        <f t="shared" si="71"/>
        <v>10257870803.903379</v>
      </c>
      <c r="P718" s="640">
        <f t="shared" si="69"/>
        <v>0.99990207351281557</v>
      </c>
    </row>
    <row r="719" spans="1:16">
      <c r="A719" s="627">
        <v>329.58</v>
      </c>
      <c r="B719" s="628">
        <v>6</v>
      </c>
      <c r="C719" s="629" t="s">
        <v>13766</v>
      </c>
      <c r="D719" s="628">
        <f>VLOOKUP(C719,ORC.AUXILIAR!I:J,2,0)</f>
        <v>0</v>
      </c>
      <c r="G719" s="636">
        <f t="shared" si="66"/>
        <v>0</v>
      </c>
      <c r="H719" s="636" t="str">
        <f t="shared" si="67"/>
        <v>QCM.CX.AREIA.07</v>
      </c>
      <c r="I719" s="637" t="str">
        <f>VLOOKUP(H719,ORC.AUXILIAR!I:P,4,0)</f>
        <v>Un</v>
      </c>
      <c r="J719" s="636">
        <f>VLOOKUP(H719,ORC.AUXILIAR!I:P,5,0)</f>
        <v>6</v>
      </c>
      <c r="K719" s="638">
        <f t="shared" si="68"/>
        <v>6</v>
      </c>
      <c r="L719" s="639">
        <f>VLOOKUP(H719,ORC.AUXILIAR!I:P,7,0)</f>
        <v>54.93</v>
      </c>
      <c r="M719" s="639">
        <f>VLOOKUP(H719,ORC.AUXILIAR!I:P,8,0)</f>
        <v>329.58</v>
      </c>
      <c r="N719" s="639">
        <f t="shared" si="70"/>
        <v>1977.48</v>
      </c>
      <c r="O719" s="639">
        <f t="shared" si="71"/>
        <v>10257872781.383379</v>
      </c>
      <c r="P719" s="640">
        <f t="shared" si="69"/>
        <v>0.99990226627078549</v>
      </c>
    </row>
    <row r="720" spans="1:16">
      <c r="A720" s="627">
        <v>329.58</v>
      </c>
      <c r="B720" s="628">
        <v>6</v>
      </c>
      <c r="C720" s="629" t="s">
        <v>13698</v>
      </c>
      <c r="D720" s="628">
        <f>VLOOKUP(C720,ORC.AUXILIAR!I:J,2,0)</f>
        <v>0</v>
      </c>
      <c r="G720" s="636">
        <f t="shared" si="66"/>
        <v>0</v>
      </c>
      <c r="H720" s="636" t="str">
        <f t="shared" si="67"/>
        <v>QCM.EEE.10</v>
      </c>
      <c r="I720" s="637" t="str">
        <f>VLOOKUP(H720,ORC.AUXILIAR!I:P,4,0)</f>
        <v>Um</v>
      </c>
      <c r="J720" s="636">
        <f>VLOOKUP(H720,ORC.AUXILIAR!I:P,5,0)</f>
        <v>6</v>
      </c>
      <c r="K720" s="638">
        <f t="shared" si="68"/>
        <v>6</v>
      </c>
      <c r="L720" s="639">
        <f>VLOOKUP(H720,ORC.AUXILIAR!I:P,7,0)</f>
        <v>54.93</v>
      </c>
      <c r="M720" s="639">
        <f>VLOOKUP(H720,ORC.AUXILIAR!I:P,8,0)</f>
        <v>329.58</v>
      </c>
      <c r="N720" s="639">
        <f t="shared" si="70"/>
        <v>1977.48</v>
      </c>
      <c r="O720" s="639">
        <f t="shared" si="71"/>
        <v>10257874758.863379</v>
      </c>
      <c r="P720" s="640">
        <f t="shared" si="69"/>
        <v>0.99990245902875541</v>
      </c>
    </row>
    <row r="721" spans="1:16">
      <c r="A721" s="627">
        <v>329.58</v>
      </c>
      <c r="B721" s="628">
        <v>6</v>
      </c>
      <c r="C721" s="629" t="s">
        <v>13700</v>
      </c>
      <c r="D721" s="628">
        <f>VLOOKUP(C721,ORC.AUXILIAR!I:J,2,0)</f>
        <v>0</v>
      </c>
      <c r="G721" s="636">
        <f t="shared" si="66"/>
        <v>0</v>
      </c>
      <c r="H721" s="636" t="str">
        <f t="shared" si="67"/>
        <v>QCM.EEE.11</v>
      </c>
      <c r="I721" s="637" t="str">
        <f>VLOOKUP(H721,ORC.AUXILIAR!I:P,4,0)</f>
        <v>Un</v>
      </c>
      <c r="J721" s="636">
        <f>VLOOKUP(H721,ORC.AUXILIAR!I:P,5,0)</f>
        <v>6</v>
      </c>
      <c r="K721" s="638">
        <f t="shared" si="68"/>
        <v>6</v>
      </c>
      <c r="L721" s="639">
        <f>VLOOKUP(H721,ORC.AUXILIAR!I:P,7,0)</f>
        <v>54.93</v>
      </c>
      <c r="M721" s="639">
        <f>VLOOKUP(H721,ORC.AUXILIAR!I:P,8,0)</f>
        <v>329.58</v>
      </c>
      <c r="N721" s="639">
        <f t="shared" si="70"/>
        <v>1977.48</v>
      </c>
      <c r="O721" s="639">
        <f t="shared" si="71"/>
        <v>10257876736.343378</v>
      </c>
      <c r="P721" s="640">
        <f t="shared" si="69"/>
        <v>0.99990265178672533</v>
      </c>
    </row>
    <row r="722" spans="1:16">
      <c r="A722" s="627">
        <v>328.79999999999995</v>
      </c>
      <c r="B722" s="628">
        <v>12</v>
      </c>
      <c r="C722" s="629" t="s">
        <v>13470</v>
      </c>
      <c r="D722" s="628">
        <f>VLOOKUP(C722,ORC.AUXILIAR!I:J,2,0)</f>
        <v>0</v>
      </c>
      <c r="G722" s="636">
        <f t="shared" si="66"/>
        <v>0</v>
      </c>
      <c r="H722" s="636" t="str">
        <f t="shared" si="67"/>
        <v>INST.CX.AREIA.08</v>
      </c>
      <c r="I722" s="637" t="str">
        <f>VLOOKUP(H722,ORC.AUXILIAR!I:P,4,0)</f>
        <v>m</v>
      </c>
      <c r="J722" s="636">
        <f>VLOOKUP(H722,ORC.AUXILIAR!I:P,5,0)</f>
        <v>12</v>
      </c>
      <c r="K722" s="638">
        <f t="shared" si="68"/>
        <v>12</v>
      </c>
      <c r="L722" s="639">
        <f>VLOOKUP(H722,ORC.AUXILIAR!I:P,7,0)</f>
        <v>27.4</v>
      </c>
      <c r="M722" s="639">
        <f>VLOOKUP(H722,ORC.AUXILIAR!I:P,8,0)</f>
        <v>328.8</v>
      </c>
      <c r="N722" s="639">
        <f t="shared" si="70"/>
        <v>3945.6000000000004</v>
      </c>
      <c r="O722" s="639">
        <f t="shared" si="71"/>
        <v>10257880681.943378</v>
      </c>
      <c r="P722" s="640">
        <f t="shared" si="69"/>
        <v>0.99990303639028466</v>
      </c>
    </row>
    <row r="723" spans="1:16">
      <c r="A723" s="627">
        <v>327.52</v>
      </c>
      <c r="B723" s="628">
        <v>16</v>
      </c>
      <c r="C723" s="629" t="s">
        <v>12712</v>
      </c>
      <c r="D723" s="628">
        <f>VLOOKUP(C723,ORC.AUXILIAR!I:J,2,0)</f>
        <v>0</v>
      </c>
      <c r="G723" s="636">
        <f t="shared" si="66"/>
        <v>0</v>
      </c>
      <c r="H723" s="636" t="str">
        <f t="shared" si="67"/>
        <v>RE.AI.09</v>
      </c>
      <c r="I723" s="637" t="str">
        <f>VLOOKUP(H723,ORC.AUXILIAR!I:P,4,0)</f>
        <v>pç</v>
      </c>
      <c r="J723" s="636">
        <f>VLOOKUP(H723,ORC.AUXILIAR!I:P,5,0)</f>
        <v>16</v>
      </c>
      <c r="K723" s="638">
        <f t="shared" si="68"/>
        <v>16</v>
      </c>
      <c r="L723" s="639">
        <f>VLOOKUP(H723,ORC.AUXILIAR!I:P,7,0)</f>
        <v>20.47</v>
      </c>
      <c r="M723" s="639">
        <f>VLOOKUP(H723,ORC.AUXILIAR!I:P,8,0)</f>
        <v>327.52</v>
      </c>
      <c r="N723" s="639">
        <f t="shared" si="70"/>
        <v>5240.32</v>
      </c>
      <c r="O723" s="639">
        <f t="shared" si="71"/>
        <v>10257885922.263378</v>
      </c>
      <c r="P723" s="640">
        <f t="shared" si="69"/>
        <v>0.99990354719871</v>
      </c>
    </row>
    <row r="724" spans="1:16">
      <c r="A724" s="627">
        <v>324.66000000000003</v>
      </c>
      <c r="B724" s="628">
        <v>2</v>
      </c>
      <c r="C724" s="629" t="s">
        <v>12901</v>
      </c>
      <c r="D724" s="628">
        <f>VLOOKUP(C724,ORC.AUXILIAR!I:J,2,0)</f>
        <v>0</v>
      </c>
      <c r="G724" s="636">
        <f t="shared" si="66"/>
        <v>0</v>
      </c>
      <c r="H724" s="636" t="str">
        <f t="shared" si="67"/>
        <v>TP.FºF°.10</v>
      </c>
      <c r="I724" s="637" t="str">
        <f>VLOOKUP(H724,ORC.AUXILIAR!I:P,4,0)</f>
        <v>pç</v>
      </c>
      <c r="J724" s="636">
        <f>VLOOKUP(H724,ORC.AUXILIAR!I:P,5,0)</f>
        <v>2</v>
      </c>
      <c r="K724" s="638">
        <f t="shared" si="68"/>
        <v>2</v>
      </c>
      <c r="L724" s="639">
        <f>VLOOKUP(H724,ORC.AUXILIAR!I:P,7,0)</f>
        <v>162.33000000000001</v>
      </c>
      <c r="M724" s="639">
        <f>VLOOKUP(H724,ORC.AUXILIAR!I:P,8,0)</f>
        <v>324.66000000000003</v>
      </c>
      <c r="N724" s="639">
        <f t="shared" si="70"/>
        <v>649.32000000000005</v>
      </c>
      <c r="O724" s="639">
        <f t="shared" si="71"/>
        <v>10257886571.583378</v>
      </c>
      <c r="P724" s="640">
        <f t="shared" si="69"/>
        <v>0.99990361049219723</v>
      </c>
    </row>
    <row r="725" spans="1:16">
      <c r="A725" s="627">
        <v>322.2</v>
      </c>
      <c r="B725" s="628">
        <v>4</v>
      </c>
      <c r="C725" s="629" t="s">
        <v>13550</v>
      </c>
      <c r="D725" s="628">
        <f>VLOOKUP(C725,ORC.AUXILIAR!I:J,2,0)</f>
        <v>0</v>
      </c>
      <c r="G725" s="636">
        <f t="shared" si="66"/>
        <v>0</v>
      </c>
      <c r="H725" s="636" t="str">
        <f t="shared" si="67"/>
        <v>QCM.HIP.07</v>
      </c>
      <c r="I725" s="637" t="str">
        <f>VLOOKUP(H725,ORC.AUXILIAR!I:P,4,0)</f>
        <v>um</v>
      </c>
      <c r="J725" s="636">
        <f>VLOOKUP(H725,ORC.AUXILIAR!I:P,5,0)</f>
        <v>4</v>
      </c>
      <c r="K725" s="638">
        <f t="shared" si="68"/>
        <v>4</v>
      </c>
      <c r="L725" s="639">
        <f>VLOOKUP(H725,ORC.AUXILIAR!I:P,7,0)</f>
        <v>80.55</v>
      </c>
      <c r="M725" s="639">
        <f>VLOOKUP(H725,ORC.AUXILIAR!I:P,8,0)</f>
        <v>322.2</v>
      </c>
      <c r="N725" s="639">
        <f t="shared" si="70"/>
        <v>1288.8</v>
      </c>
      <c r="O725" s="639">
        <f t="shared" si="71"/>
        <v>10257887860.383377</v>
      </c>
      <c r="P725" s="640">
        <f t="shared" si="69"/>
        <v>0.99990373612000205</v>
      </c>
    </row>
    <row r="726" spans="1:16">
      <c r="A726" s="627">
        <v>322.2</v>
      </c>
      <c r="B726" s="628">
        <v>4</v>
      </c>
      <c r="C726" s="629" t="s">
        <v>13552</v>
      </c>
      <c r="D726" s="628">
        <f>VLOOKUP(C726,ORC.AUXILIAR!I:J,2,0)</f>
        <v>0</v>
      </c>
      <c r="G726" s="636">
        <f t="shared" si="66"/>
        <v>0</v>
      </c>
      <c r="H726" s="636" t="str">
        <f t="shared" si="67"/>
        <v>QCM.HIP.08</v>
      </c>
      <c r="I726" s="637" t="str">
        <f>VLOOKUP(H726,ORC.AUXILIAR!I:P,4,0)</f>
        <v>um</v>
      </c>
      <c r="J726" s="636">
        <f>VLOOKUP(H726,ORC.AUXILIAR!I:P,5,0)</f>
        <v>4</v>
      </c>
      <c r="K726" s="638">
        <f t="shared" si="68"/>
        <v>4</v>
      </c>
      <c r="L726" s="639">
        <f>VLOOKUP(H726,ORC.AUXILIAR!I:P,7,0)</f>
        <v>80.55</v>
      </c>
      <c r="M726" s="639">
        <f>VLOOKUP(H726,ORC.AUXILIAR!I:P,8,0)</f>
        <v>322.2</v>
      </c>
      <c r="N726" s="639">
        <f t="shared" si="70"/>
        <v>1288.8</v>
      </c>
      <c r="O726" s="639">
        <f t="shared" si="71"/>
        <v>10257889149.183376</v>
      </c>
      <c r="P726" s="640">
        <f t="shared" si="69"/>
        <v>0.99990386174780688</v>
      </c>
    </row>
    <row r="727" spans="1:16">
      <c r="A727" s="627">
        <v>319.21999999999997</v>
      </c>
      <c r="B727" s="628">
        <v>11</v>
      </c>
      <c r="C727" s="629" t="s">
        <v>11749</v>
      </c>
      <c r="D727" s="628">
        <f>VLOOKUP(C727,ORC.AUXILIAR!I:J,2,0)</f>
        <v>0</v>
      </c>
      <c r="G727" s="636">
        <f t="shared" si="66"/>
        <v>0</v>
      </c>
      <c r="H727" s="636" t="str">
        <f t="shared" si="67"/>
        <v>INS.ELET.21</v>
      </c>
      <c r="I727" s="637" t="str">
        <f>VLOOKUP(H727,ORC.AUXILIAR!I:P,4,0)</f>
        <v>un</v>
      </c>
      <c r="J727" s="636">
        <f>VLOOKUP(H727,ORC.AUXILIAR!I:P,5,0)</f>
        <v>11</v>
      </c>
      <c r="K727" s="638">
        <f t="shared" si="68"/>
        <v>11</v>
      </c>
      <c r="L727" s="639">
        <f>VLOOKUP(H727,ORC.AUXILIAR!I:P,7,0)</f>
        <v>29.02</v>
      </c>
      <c r="M727" s="639">
        <f>VLOOKUP(H727,ORC.AUXILIAR!I:P,8,0)</f>
        <v>319.22000000000003</v>
      </c>
      <c r="N727" s="639">
        <f t="shared" si="70"/>
        <v>3511.42</v>
      </c>
      <c r="O727" s="639">
        <f t="shared" si="71"/>
        <v>10257892660.603376</v>
      </c>
      <c r="P727" s="640">
        <f t="shared" si="69"/>
        <v>0.9999042040289885</v>
      </c>
    </row>
    <row r="728" spans="1:16">
      <c r="A728" s="627">
        <v>318.24</v>
      </c>
      <c r="B728" s="628">
        <v>4</v>
      </c>
      <c r="C728" s="629">
        <v>93672</v>
      </c>
      <c r="D728" s="628">
        <f>VLOOKUP(C728,ORC.AUXILIAR!I:J,2,0)</f>
        <v>0</v>
      </c>
      <c r="G728" s="636">
        <f t="shared" si="66"/>
        <v>0</v>
      </c>
      <c r="H728" s="636">
        <f t="shared" si="67"/>
        <v>93672</v>
      </c>
      <c r="I728" s="637" t="str">
        <f>VLOOKUP(H728,ORC.AUXILIAR!I:P,4,0)</f>
        <v>un</v>
      </c>
      <c r="J728" s="636">
        <f>VLOOKUP(H728,ORC.AUXILIAR!I:P,5,0)</f>
        <v>1</v>
      </c>
      <c r="K728" s="638">
        <f t="shared" si="68"/>
        <v>4</v>
      </c>
      <c r="L728" s="639">
        <f>VLOOKUP(H728,ORC.AUXILIAR!I:P,7,0)</f>
        <v>79.56</v>
      </c>
      <c r="M728" s="639">
        <f>VLOOKUP(H728,ORC.AUXILIAR!I:P,8,0)</f>
        <v>79.56</v>
      </c>
      <c r="N728" s="639">
        <f t="shared" si="70"/>
        <v>318.24</v>
      </c>
      <c r="O728" s="639">
        <f t="shared" si="71"/>
        <v>10257892978.843376</v>
      </c>
      <c r="P728" s="640">
        <f t="shared" si="69"/>
        <v>0.99990423504993242</v>
      </c>
    </row>
    <row r="729" spans="1:16">
      <c r="A729" s="627">
        <v>318</v>
      </c>
      <c r="B729" s="628">
        <v>30</v>
      </c>
      <c r="C729" s="629" t="s">
        <v>13607</v>
      </c>
      <c r="D729" s="628">
        <f>VLOOKUP(C729,ORC.AUXILIAR!I:J,2,0)</f>
        <v>0</v>
      </c>
      <c r="G729" s="636">
        <f t="shared" si="66"/>
        <v>0</v>
      </c>
      <c r="H729" s="636" t="str">
        <f t="shared" si="67"/>
        <v>QCM.BIOGAS.09</v>
      </c>
      <c r="I729" s="637" t="str">
        <f>VLOOKUP(H729,ORC.AUXILIAR!I:P,4,0)</f>
        <v>um</v>
      </c>
      <c r="J729" s="636">
        <f>VLOOKUP(H729,ORC.AUXILIAR!I:P,5,0)</f>
        <v>30</v>
      </c>
      <c r="K729" s="638">
        <f t="shared" si="68"/>
        <v>30</v>
      </c>
      <c r="L729" s="639">
        <f>VLOOKUP(H729,ORC.AUXILIAR!I:P,7,0)</f>
        <v>10.6</v>
      </c>
      <c r="M729" s="639">
        <f>VLOOKUP(H729,ORC.AUXILIAR!I:P,8,0)</f>
        <v>318</v>
      </c>
      <c r="N729" s="639">
        <f t="shared" si="70"/>
        <v>9540</v>
      </c>
      <c r="O729" s="639">
        <f t="shared" si="71"/>
        <v>10257902518.843376</v>
      </c>
      <c r="P729" s="640">
        <f t="shared" si="69"/>
        <v>0.99990516497642146</v>
      </c>
    </row>
    <row r="730" spans="1:16">
      <c r="A730" s="627">
        <v>317.17</v>
      </c>
      <c r="B730" s="628">
        <v>1</v>
      </c>
      <c r="C730" s="629">
        <v>91009</v>
      </c>
      <c r="D730" s="628">
        <f>VLOOKUP(C730,ORC.AUXILIAR!I:J,2,0)</f>
        <v>0</v>
      </c>
      <c r="G730" s="636">
        <f t="shared" si="66"/>
        <v>0</v>
      </c>
      <c r="H730" s="636">
        <f t="shared" si="67"/>
        <v>91009</v>
      </c>
      <c r="I730" s="637" t="str">
        <f>VLOOKUP(H730,ORC.AUXILIAR!I:P,4,0)</f>
        <v>UN</v>
      </c>
      <c r="J730" s="636">
        <f>VLOOKUP(H730,ORC.AUXILIAR!I:P,5,0)</f>
        <v>1</v>
      </c>
      <c r="K730" s="638">
        <f t="shared" si="68"/>
        <v>1</v>
      </c>
      <c r="L730" s="639">
        <f>VLOOKUP(H730,ORC.AUXILIAR!I:P,7,0)</f>
        <v>317.17</v>
      </c>
      <c r="M730" s="639">
        <f>VLOOKUP(H730,ORC.AUXILIAR!I:P,8,0)</f>
        <v>317.17</v>
      </c>
      <c r="N730" s="639">
        <f t="shared" si="70"/>
        <v>317.17</v>
      </c>
      <c r="O730" s="639">
        <f t="shared" si="71"/>
        <v>10257902836.013376</v>
      </c>
      <c r="P730" s="640">
        <f t="shared" si="69"/>
        <v>0.99990519589306559</v>
      </c>
    </row>
    <row r="731" spans="1:16">
      <c r="A731" s="627">
        <v>316.88900000000001</v>
      </c>
      <c r="B731" s="628">
        <v>5.9</v>
      </c>
      <c r="C731" s="629">
        <v>93186</v>
      </c>
      <c r="D731" s="628">
        <f>VLOOKUP(C731,ORC.AUXILIAR!I:J,2,0)</f>
        <v>0</v>
      </c>
      <c r="G731" s="636">
        <f t="shared" si="66"/>
        <v>0</v>
      </c>
      <c r="H731" s="636">
        <f t="shared" si="67"/>
        <v>93186</v>
      </c>
      <c r="I731" s="637" t="str">
        <f>VLOOKUP(H731,ORC.AUXILIAR!I:P,4,0)</f>
        <v>M</v>
      </c>
      <c r="J731" s="636">
        <f>VLOOKUP(H731,ORC.AUXILIAR!I:P,5,0)</f>
        <v>1.1000000000000001</v>
      </c>
      <c r="K731" s="638">
        <f t="shared" si="68"/>
        <v>5.9</v>
      </c>
      <c r="L731" s="639">
        <f>VLOOKUP(H731,ORC.AUXILIAR!I:P,7,0)</f>
        <v>53.71</v>
      </c>
      <c r="M731" s="639">
        <f>VLOOKUP(H731,ORC.AUXILIAR!I:P,8,0)</f>
        <v>59.08</v>
      </c>
      <c r="N731" s="639">
        <f t="shared" si="70"/>
        <v>348.572</v>
      </c>
      <c r="O731" s="639">
        <f t="shared" si="71"/>
        <v>10257903184.585377</v>
      </c>
      <c r="P731" s="640">
        <f t="shared" si="69"/>
        <v>0.99990522987066899</v>
      </c>
    </row>
    <row r="732" spans="1:16">
      <c r="A732" s="627">
        <v>314.50667871378636</v>
      </c>
      <c r="B732" s="628">
        <v>43.98694807185823</v>
      </c>
      <c r="C732" s="629">
        <v>185</v>
      </c>
      <c r="D732" s="628">
        <f>VLOOKUP(C732,ORC.AUXILIAR!I:J,2,0)</f>
        <v>0</v>
      </c>
      <c r="G732" s="636">
        <f t="shared" si="66"/>
        <v>0</v>
      </c>
      <c r="H732" s="636">
        <f t="shared" si="67"/>
        <v>185</v>
      </c>
      <c r="I732" s="637" t="str">
        <f>VLOOKUP(H732,ORC.AUXILIAR!I:P,4,0)</f>
        <v>M3</v>
      </c>
      <c r="J732" s="636">
        <f>VLOOKUP(H732,ORC.AUXILIAR!I:P,5,0)</f>
        <v>35.136948071858228</v>
      </c>
      <c r="K732" s="638">
        <f t="shared" si="68"/>
        <v>43.98694807185823</v>
      </c>
      <c r="L732" s="639">
        <f>VLOOKUP(H732,ORC.AUXILIAR!I:P,7,0)</f>
        <v>7.15</v>
      </c>
      <c r="M732" s="639">
        <f>VLOOKUP(H732,ORC.AUXILIAR!I:P,8,0)</f>
        <v>251.23</v>
      </c>
      <c r="N732" s="639">
        <f t="shared" si="70"/>
        <v>11050.840964092942</v>
      </c>
      <c r="O732" s="639">
        <f t="shared" si="71"/>
        <v>10257914235.42634</v>
      </c>
      <c r="P732" s="640">
        <f t="shared" si="69"/>
        <v>0.99990630706875472</v>
      </c>
    </row>
    <row r="733" spans="1:16">
      <c r="A733" s="627">
        <v>313.92</v>
      </c>
      <c r="B733" s="628">
        <v>288</v>
      </c>
      <c r="C733" s="629" t="s">
        <v>13096</v>
      </c>
      <c r="D733" s="628">
        <f>VLOOKUP(C733,ORC.AUXILIAR!I:J,2,0)</f>
        <v>0</v>
      </c>
      <c r="G733" s="636">
        <f t="shared" si="66"/>
        <v>0</v>
      </c>
      <c r="H733" s="636" t="str">
        <f t="shared" si="67"/>
        <v>REATOR.FB.07</v>
      </c>
      <c r="I733" s="637" t="str">
        <f>VLOOKUP(H733,ORC.AUXILIAR!I:P,4,0)</f>
        <v>pç</v>
      </c>
      <c r="J733" s="636">
        <f>VLOOKUP(H733,ORC.AUXILIAR!I:P,5,0)</f>
        <v>288</v>
      </c>
      <c r="K733" s="638">
        <f t="shared" si="68"/>
        <v>288</v>
      </c>
      <c r="L733" s="639">
        <f>VLOOKUP(H733,ORC.AUXILIAR!I:P,7,0)</f>
        <v>1.0900000000000001</v>
      </c>
      <c r="M733" s="639">
        <f>VLOOKUP(H733,ORC.AUXILIAR!I:P,8,0)</f>
        <v>313.92</v>
      </c>
      <c r="N733" s="639">
        <f t="shared" si="70"/>
        <v>90408.960000000006</v>
      </c>
      <c r="O733" s="639">
        <f t="shared" si="71"/>
        <v>10258004644.386339</v>
      </c>
      <c r="P733" s="640">
        <f t="shared" si="69"/>
        <v>0.9999151198241788</v>
      </c>
    </row>
    <row r="734" spans="1:16">
      <c r="A734" s="627">
        <v>313</v>
      </c>
      <c r="B734" s="628">
        <v>4</v>
      </c>
      <c r="C734" s="629">
        <v>4183</v>
      </c>
      <c r="D734" s="628">
        <f>VLOOKUP(C734,ORC.AUXILIAR!I:J,2,0)</f>
        <v>0</v>
      </c>
      <c r="G734" s="636">
        <f t="shared" si="66"/>
        <v>0</v>
      </c>
      <c r="H734" s="636">
        <f t="shared" si="67"/>
        <v>4183</v>
      </c>
      <c r="I734" s="637" t="str">
        <f>VLOOKUP(H734,ORC.AUXILIAR!I:P,4,0)</f>
        <v>un</v>
      </c>
      <c r="J734" s="636">
        <f>VLOOKUP(H734,ORC.AUXILIAR!I:P,5,0)</f>
        <v>4</v>
      </c>
      <c r="K734" s="638">
        <f t="shared" si="68"/>
        <v>4</v>
      </c>
      <c r="L734" s="639">
        <f>VLOOKUP(H734,ORC.AUXILIAR!I:P,7,0)</f>
        <v>78.25</v>
      </c>
      <c r="M734" s="639">
        <f>VLOOKUP(H734,ORC.AUXILIAR!I:P,8,0)</f>
        <v>313</v>
      </c>
      <c r="N734" s="639">
        <f t="shared" si="70"/>
        <v>1252</v>
      </c>
      <c r="O734" s="639">
        <f t="shared" si="71"/>
        <v>10258005896.386339</v>
      </c>
      <c r="P734" s="640">
        <f t="shared" si="69"/>
        <v>0.99991524186484593</v>
      </c>
    </row>
    <row r="735" spans="1:16">
      <c r="A735" s="627">
        <v>312.30733131019343</v>
      </c>
      <c r="B735" s="628">
        <v>43.98694807185823</v>
      </c>
      <c r="C735" s="629">
        <v>188</v>
      </c>
      <c r="D735" s="628">
        <f>VLOOKUP(C735,ORC.AUXILIAR!I:J,2,0)</f>
        <v>0</v>
      </c>
      <c r="G735" s="636">
        <f t="shared" si="66"/>
        <v>0</v>
      </c>
      <c r="H735" s="636">
        <f t="shared" si="67"/>
        <v>188</v>
      </c>
      <c r="I735" s="637" t="str">
        <f>VLOOKUP(H735,ORC.AUXILIAR!I:P,4,0)</f>
        <v>M3</v>
      </c>
      <c r="J735" s="636">
        <f>VLOOKUP(H735,ORC.AUXILIAR!I:P,5,0)</f>
        <v>35.136948071858228</v>
      </c>
      <c r="K735" s="638">
        <f t="shared" si="68"/>
        <v>43.98694807185823</v>
      </c>
      <c r="L735" s="639">
        <f>VLOOKUP(H735,ORC.AUXILIAR!I:P,7,0)</f>
        <v>7.1</v>
      </c>
      <c r="M735" s="639">
        <f>VLOOKUP(H735,ORC.AUXILIAR!I:P,8,0)</f>
        <v>249.47</v>
      </c>
      <c r="N735" s="639">
        <f t="shared" si="70"/>
        <v>10973.423935486473</v>
      </c>
      <c r="O735" s="639">
        <f t="shared" si="71"/>
        <v>10258016869.810274</v>
      </c>
      <c r="P735" s="640">
        <f t="shared" si="69"/>
        <v>0.99991631151658511</v>
      </c>
    </row>
    <row r="736" spans="1:16">
      <c r="A736" s="627">
        <v>307.79999999999995</v>
      </c>
      <c r="B736" s="628">
        <v>3</v>
      </c>
      <c r="C736" s="629" t="s">
        <v>13540</v>
      </c>
      <c r="D736" s="628">
        <f>VLOOKUP(C736,ORC.AUXILIAR!I:J,2,0)</f>
        <v>0</v>
      </c>
      <c r="G736" s="636">
        <f t="shared" si="66"/>
        <v>0</v>
      </c>
      <c r="H736" s="636" t="str">
        <f t="shared" si="67"/>
        <v>QCM.HIP.02</v>
      </c>
      <c r="I736" s="637" t="str">
        <f>VLOOKUP(H736,ORC.AUXILIAR!I:P,4,0)</f>
        <v>un</v>
      </c>
      <c r="J736" s="636">
        <f>VLOOKUP(H736,ORC.AUXILIAR!I:P,5,0)</f>
        <v>3</v>
      </c>
      <c r="K736" s="638">
        <f t="shared" si="68"/>
        <v>3</v>
      </c>
      <c r="L736" s="639">
        <f>VLOOKUP(H736,ORC.AUXILIAR!I:P,7,0)</f>
        <v>102.6</v>
      </c>
      <c r="M736" s="639">
        <f>VLOOKUP(H736,ORC.AUXILIAR!I:P,8,0)</f>
        <v>307.8</v>
      </c>
      <c r="N736" s="639">
        <f t="shared" si="70"/>
        <v>923.40000000000009</v>
      </c>
      <c r="O736" s="639">
        <f t="shared" si="71"/>
        <v>10258017793.210274</v>
      </c>
      <c r="P736" s="640">
        <f t="shared" si="69"/>
        <v>0.99991640152645089</v>
      </c>
    </row>
    <row r="737" spans="1:16">
      <c r="A737" s="627">
        <v>305.15999999999997</v>
      </c>
      <c r="B737" s="628">
        <v>12</v>
      </c>
      <c r="C737" s="629">
        <v>12601</v>
      </c>
      <c r="D737" s="628">
        <f>VLOOKUP(C737,ORC.AUXILIAR!I:J,2,0)</f>
        <v>0</v>
      </c>
      <c r="G737" s="636">
        <f t="shared" si="66"/>
        <v>0</v>
      </c>
      <c r="H737" s="636">
        <f t="shared" si="67"/>
        <v>12601</v>
      </c>
      <c r="I737" s="637" t="str">
        <f>VLOOKUP(H737,ORC.AUXILIAR!I:P,4,0)</f>
        <v>m</v>
      </c>
      <c r="J737" s="636">
        <f>VLOOKUP(H737,ORC.AUXILIAR!I:P,5,0)</f>
        <v>12</v>
      </c>
      <c r="K737" s="638">
        <f t="shared" si="68"/>
        <v>12</v>
      </c>
      <c r="L737" s="639">
        <f>VLOOKUP(H737,ORC.AUXILIAR!I:P,7,0)</f>
        <v>25.43</v>
      </c>
      <c r="M737" s="639">
        <f>VLOOKUP(H737,ORC.AUXILIAR!I:P,8,0)</f>
        <v>305.16000000000003</v>
      </c>
      <c r="N737" s="639">
        <f t="shared" si="70"/>
        <v>3661.92</v>
      </c>
      <c r="O737" s="639">
        <f t="shared" si="71"/>
        <v>10258021455.130274</v>
      </c>
      <c r="P737" s="640">
        <f t="shared" si="69"/>
        <v>0.99991675847785644</v>
      </c>
    </row>
    <row r="738" spans="1:16">
      <c r="A738" s="627">
        <v>305.08</v>
      </c>
      <c r="B738" s="628">
        <v>29</v>
      </c>
      <c r="C738" s="629" t="s">
        <v>13422</v>
      </c>
      <c r="D738" s="628">
        <f>VLOOKUP(C738,ORC.AUXILIAR!I:J,2,0)</f>
        <v>0</v>
      </c>
      <c r="G738" s="636">
        <f t="shared" si="66"/>
        <v>0</v>
      </c>
      <c r="H738" s="636" t="str">
        <f t="shared" si="67"/>
        <v>INS.ELET.44</v>
      </c>
      <c r="I738" s="637" t="str">
        <f>VLOOKUP(H738,ORC.AUXILIAR!I:P,4,0)</f>
        <v>un</v>
      </c>
      <c r="J738" s="636">
        <f>VLOOKUP(H738,ORC.AUXILIAR!I:P,5,0)</f>
        <v>29</v>
      </c>
      <c r="K738" s="638">
        <f t="shared" si="68"/>
        <v>29</v>
      </c>
      <c r="L738" s="639">
        <f>VLOOKUP(H738,ORC.AUXILIAR!I:P,7,0)</f>
        <v>10.52</v>
      </c>
      <c r="M738" s="639">
        <f>VLOOKUP(H738,ORC.AUXILIAR!I:P,8,0)</f>
        <v>305.08</v>
      </c>
      <c r="N738" s="639">
        <f t="shared" si="70"/>
        <v>8847.32</v>
      </c>
      <c r="O738" s="639">
        <f t="shared" si="71"/>
        <v>10258030302.450274</v>
      </c>
      <c r="P738" s="640">
        <f t="shared" si="69"/>
        <v>0.99991762088427416</v>
      </c>
    </row>
    <row r="739" spans="1:16">
      <c r="A739" s="627">
        <v>301.92</v>
      </c>
      <c r="B739" s="628">
        <v>12</v>
      </c>
      <c r="C739" s="629">
        <v>95751</v>
      </c>
      <c r="D739" s="628">
        <f>VLOOKUP(C739,ORC.AUXILIAR!I:J,2,0)</f>
        <v>0</v>
      </c>
      <c r="G739" s="636">
        <f t="shared" si="66"/>
        <v>0</v>
      </c>
      <c r="H739" s="636">
        <f t="shared" si="67"/>
        <v>95751</v>
      </c>
      <c r="I739" s="637" t="str">
        <f>VLOOKUP(H739,ORC.AUXILIAR!I:P,4,0)</f>
        <v>m</v>
      </c>
      <c r="J739" s="636">
        <f>VLOOKUP(H739,ORC.AUXILIAR!I:P,5,0)</f>
        <v>6</v>
      </c>
      <c r="K739" s="638">
        <f t="shared" si="68"/>
        <v>12</v>
      </c>
      <c r="L739" s="639">
        <f>VLOOKUP(H739,ORC.AUXILIAR!I:P,7,0)</f>
        <v>25.16</v>
      </c>
      <c r="M739" s="639">
        <f>VLOOKUP(H739,ORC.AUXILIAR!I:P,8,0)</f>
        <v>150.96</v>
      </c>
      <c r="N739" s="639">
        <f t="shared" si="70"/>
        <v>1811.52</v>
      </c>
      <c r="O739" s="639">
        <f t="shared" si="71"/>
        <v>10258032113.970274</v>
      </c>
      <c r="P739" s="640">
        <f t="shared" si="69"/>
        <v>0.9999177974650324</v>
      </c>
    </row>
    <row r="740" spans="1:16">
      <c r="A740" s="627">
        <v>299.94</v>
      </c>
      <c r="B740" s="628">
        <v>1</v>
      </c>
      <c r="C740" s="629" t="s">
        <v>13620</v>
      </c>
      <c r="D740" s="628">
        <f>VLOOKUP(C740,ORC.AUXILIAR!I:J,2,0)</f>
        <v>0</v>
      </c>
      <c r="G740" s="636">
        <f t="shared" si="66"/>
        <v>0</v>
      </c>
      <c r="H740" s="636" t="str">
        <f t="shared" si="67"/>
        <v>QCM.BIOGAS.25</v>
      </c>
      <c r="I740" s="637" t="str">
        <f>VLOOKUP(H740,ORC.AUXILIAR!I:P,4,0)</f>
        <v>un</v>
      </c>
      <c r="J740" s="636">
        <f>VLOOKUP(H740,ORC.AUXILIAR!I:P,5,0)</f>
        <v>1</v>
      </c>
      <c r="K740" s="638">
        <f t="shared" si="68"/>
        <v>1</v>
      </c>
      <c r="L740" s="639">
        <f>VLOOKUP(H740,ORC.AUXILIAR!I:P,7,0)</f>
        <v>299.94</v>
      </c>
      <c r="M740" s="639">
        <f>VLOOKUP(H740,ORC.AUXILIAR!I:P,8,0)</f>
        <v>299.94</v>
      </c>
      <c r="N740" s="639">
        <f t="shared" si="70"/>
        <v>299.94</v>
      </c>
      <c r="O740" s="639">
        <f t="shared" si="71"/>
        <v>10258032413.910275</v>
      </c>
      <c r="P740" s="640">
        <f t="shared" si="69"/>
        <v>0.99991782670215512</v>
      </c>
    </row>
    <row r="741" spans="1:16">
      <c r="A741" s="627">
        <v>299.94</v>
      </c>
      <c r="B741" s="628">
        <v>1</v>
      </c>
      <c r="C741" s="629" t="s">
        <v>13772</v>
      </c>
      <c r="D741" s="628">
        <f>VLOOKUP(C741,ORC.AUXILIAR!I:J,2,0)</f>
        <v>0</v>
      </c>
      <c r="G741" s="636">
        <f t="shared" si="66"/>
        <v>0</v>
      </c>
      <c r="H741" s="636" t="str">
        <f t="shared" si="67"/>
        <v>QCM.CX.AREIA.12</v>
      </c>
      <c r="I741" s="637" t="str">
        <f>VLOOKUP(H741,ORC.AUXILIAR!I:P,4,0)</f>
        <v>Un</v>
      </c>
      <c r="J741" s="636">
        <f>VLOOKUP(H741,ORC.AUXILIAR!I:P,5,0)</f>
        <v>1</v>
      </c>
      <c r="K741" s="638">
        <f t="shared" si="68"/>
        <v>1</v>
      </c>
      <c r="L741" s="639">
        <f>VLOOKUP(H741,ORC.AUXILIAR!I:P,7,0)</f>
        <v>299.94</v>
      </c>
      <c r="M741" s="639">
        <f>VLOOKUP(H741,ORC.AUXILIAR!I:P,8,0)</f>
        <v>299.94</v>
      </c>
      <c r="N741" s="639">
        <f t="shared" si="70"/>
        <v>299.94</v>
      </c>
      <c r="O741" s="639">
        <f t="shared" si="71"/>
        <v>10258032713.850275</v>
      </c>
      <c r="P741" s="640">
        <f t="shared" si="69"/>
        <v>0.99991785593927796</v>
      </c>
    </row>
    <row r="742" spans="1:16">
      <c r="A742" s="627">
        <v>299.94</v>
      </c>
      <c r="B742" s="628">
        <v>1</v>
      </c>
      <c r="C742" s="629" t="s">
        <v>13710</v>
      </c>
      <c r="D742" s="628">
        <f>VLOOKUP(C742,ORC.AUXILIAR!I:J,2,0)</f>
        <v>0</v>
      </c>
      <c r="G742" s="636">
        <f t="shared" si="66"/>
        <v>0</v>
      </c>
      <c r="H742" s="636" t="str">
        <f t="shared" si="67"/>
        <v>QCM.EEE.16</v>
      </c>
      <c r="I742" s="637" t="str">
        <f>VLOOKUP(H742,ORC.AUXILIAR!I:P,4,0)</f>
        <v>Um</v>
      </c>
      <c r="J742" s="636">
        <f>VLOOKUP(H742,ORC.AUXILIAR!I:P,5,0)</f>
        <v>1</v>
      </c>
      <c r="K742" s="638">
        <f t="shared" si="68"/>
        <v>1</v>
      </c>
      <c r="L742" s="639">
        <f>VLOOKUP(H742,ORC.AUXILIAR!I:P,7,0)</f>
        <v>299.94</v>
      </c>
      <c r="M742" s="639">
        <f>VLOOKUP(H742,ORC.AUXILIAR!I:P,8,0)</f>
        <v>299.94</v>
      </c>
      <c r="N742" s="639">
        <f t="shared" si="70"/>
        <v>299.94</v>
      </c>
      <c r="O742" s="639">
        <f t="shared" si="71"/>
        <v>10258033013.790276</v>
      </c>
      <c r="P742" s="640">
        <f t="shared" si="69"/>
        <v>0.99991788517640079</v>
      </c>
    </row>
    <row r="743" spans="1:16">
      <c r="A743" s="627">
        <v>299.94</v>
      </c>
      <c r="B743" s="628">
        <v>1</v>
      </c>
      <c r="C743" s="629" t="s">
        <v>13585</v>
      </c>
      <c r="D743" s="628">
        <f>VLOOKUP(C743,ORC.AUXILIAR!I:J,2,0)</f>
        <v>0</v>
      </c>
      <c r="G743" s="636">
        <f t="shared" si="66"/>
        <v>0</v>
      </c>
      <c r="H743" s="636" t="str">
        <f t="shared" si="67"/>
        <v>QCM.HIP.27</v>
      </c>
      <c r="I743" s="637" t="str">
        <f>VLOOKUP(H743,ORC.AUXILIAR!I:P,4,0)</f>
        <v>un</v>
      </c>
      <c r="J743" s="636">
        <f>VLOOKUP(H743,ORC.AUXILIAR!I:P,5,0)</f>
        <v>1</v>
      </c>
      <c r="K743" s="638">
        <f t="shared" si="68"/>
        <v>1</v>
      </c>
      <c r="L743" s="639">
        <f>VLOOKUP(H743,ORC.AUXILIAR!I:P,7,0)</f>
        <v>299.94</v>
      </c>
      <c r="M743" s="639">
        <f>VLOOKUP(H743,ORC.AUXILIAR!I:P,8,0)</f>
        <v>299.94</v>
      </c>
      <c r="N743" s="639">
        <f t="shared" si="70"/>
        <v>299.94</v>
      </c>
      <c r="O743" s="639">
        <f t="shared" si="71"/>
        <v>10258033313.730276</v>
      </c>
      <c r="P743" s="640">
        <f t="shared" si="69"/>
        <v>0.99991791441352362</v>
      </c>
    </row>
    <row r="744" spans="1:16">
      <c r="A744" s="627">
        <v>298.08</v>
      </c>
      <c r="B744" s="628">
        <v>8</v>
      </c>
      <c r="C744" s="629">
        <v>92892</v>
      </c>
      <c r="D744" s="628">
        <f>VLOOKUP(C744,ORC.AUXILIAR!I:J,2,0)</f>
        <v>0</v>
      </c>
      <c r="G744" s="636">
        <f t="shared" si="66"/>
        <v>0</v>
      </c>
      <c r="H744" s="636">
        <f t="shared" si="67"/>
        <v>92892</v>
      </c>
      <c r="I744" s="637" t="str">
        <f>VLOOKUP(H744,ORC.AUXILIAR!I:P,4,0)</f>
        <v>pç</v>
      </c>
      <c r="J744" s="636">
        <f>VLOOKUP(H744,ORC.AUXILIAR!I:P,5,0)</f>
        <v>8</v>
      </c>
      <c r="K744" s="638">
        <f t="shared" si="68"/>
        <v>8</v>
      </c>
      <c r="L744" s="639">
        <f>VLOOKUP(H744,ORC.AUXILIAR!I:P,7,0)</f>
        <v>37.26</v>
      </c>
      <c r="M744" s="639">
        <f>VLOOKUP(H744,ORC.AUXILIAR!I:P,8,0)</f>
        <v>298.08</v>
      </c>
      <c r="N744" s="639">
        <f t="shared" si="70"/>
        <v>2384.64</v>
      </c>
      <c r="O744" s="639">
        <f t="shared" si="71"/>
        <v>10258035698.370275</v>
      </c>
      <c r="P744" s="640">
        <f t="shared" si="69"/>
        <v>0.9999181468600542</v>
      </c>
    </row>
    <row r="745" spans="1:16">
      <c r="A745" s="627">
        <v>297.51</v>
      </c>
      <c r="B745" s="628">
        <v>1</v>
      </c>
      <c r="C745" s="629" t="s">
        <v>13080</v>
      </c>
      <c r="D745" s="628">
        <f>VLOOKUP(C745,ORC.AUXILIAR!I:J,2,0)</f>
        <v>0</v>
      </c>
      <c r="G745" s="636">
        <f t="shared" si="66"/>
        <v>0</v>
      </c>
      <c r="H745" s="636" t="str">
        <f t="shared" si="67"/>
        <v>CD.GRADE.01</v>
      </c>
      <c r="I745" s="637" t="str">
        <f>VLOOKUP(H745,ORC.AUXILIAR!I:P,4,0)</f>
        <v>un</v>
      </c>
      <c r="J745" s="636">
        <f>VLOOKUP(H745,ORC.AUXILIAR!I:P,5,0)</f>
        <v>1</v>
      </c>
      <c r="K745" s="638">
        <f t="shared" si="68"/>
        <v>1</v>
      </c>
      <c r="L745" s="639">
        <f>VLOOKUP(H745,ORC.AUXILIAR!I:P,7,0)</f>
        <v>297.51</v>
      </c>
      <c r="M745" s="639">
        <f>VLOOKUP(H745,ORC.AUXILIAR!I:P,8,0)</f>
        <v>297.51</v>
      </c>
      <c r="N745" s="639">
        <f t="shared" si="70"/>
        <v>297.51</v>
      </c>
      <c r="O745" s="639">
        <f t="shared" si="71"/>
        <v>10258035995.880276</v>
      </c>
      <c r="P745" s="640">
        <f t="shared" si="69"/>
        <v>0.99991817586030896</v>
      </c>
    </row>
    <row r="746" spans="1:16">
      <c r="A746" s="627">
        <v>293.04000000000002</v>
      </c>
      <c r="B746" s="628">
        <v>12</v>
      </c>
      <c r="C746" s="629" t="s">
        <v>13468</v>
      </c>
      <c r="D746" s="628">
        <f>VLOOKUP(C746,ORC.AUXILIAR!I:J,2,0)</f>
        <v>0</v>
      </c>
      <c r="G746" s="636">
        <f t="shared" si="66"/>
        <v>0</v>
      </c>
      <c r="H746" s="636" t="str">
        <f t="shared" si="67"/>
        <v>INST.CX.AREIA.07</v>
      </c>
      <c r="I746" s="637" t="str">
        <f>VLOOKUP(H746,ORC.AUXILIAR!I:P,4,0)</f>
        <v>m</v>
      </c>
      <c r="J746" s="636">
        <f>VLOOKUP(H746,ORC.AUXILIAR!I:P,5,0)</f>
        <v>12</v>
      </c>
      <c r="K746" s="638">
        <f t="shared" si="68"/>
        <v>12</v>
      </c>
      <c r="L746" s="639">
        <f>VLOOKUP(H746,ORC.AUXILIAR!I:P,7,0)</f>
        <v>24.42</v>
      </c>
      <c r="M746" s="639">
        <f>VLOOKUP(H746,ORC.AUXILIAR!I:P,8,0)</f>
        <v>293.04000000000002</v>
      </c>
      <c r="N746" s="639">
        <f t="shared" si="70"/>
        <v>3516.4800000000005</v>
      </c>
      <c r="O746" s="639">
        <f t="shared" si="71"/>
        <v>10258039512.360275</v>
      </c>
      <c r="P746" s="640">
        <f t="shared" si="69"/>
        <v>0.99991851863472192</v>
      </c>
    </row>
    <row r="747" spans="1:16">
      <c r="A747" s="627">
        <v>289.92</v>
      </c>
      <c r="B747" s="628">
        <v>24</v>
      </c>
      <c r="C747" s="629">
        <v>89502</v>
      </c>
      <c r="D747" s="628">
        <f>VLOOKUP(C747,ORC.AUXILIAR!I:J,2,0)</f>
        <v>0</v>
      </c>
      <c r="G747" s="636">
        <f t="shared" si="66"/>
        <v>0</v>
      </c>
      <c r="H747" s="636">
        <f t="shared" si="67"/>
        <v>89502</v>
      </c>
      <c r="I747" s="637" t="str">
        <f>VLOOKUP(H747,ORC.AUXILIAR!I:P,4,0)</f>
        <v>pç</v>
      </c>
      <c r="J747" s="636">
        <f>VLOOKUP(H747,ORC.AUXILIAR!I:P,5,0)</f>
        <v>24</v>
      </c>
      <c r="K747" s="638">
        <f t="shared" si="68"/>
        <v>24</v>
      </c>
      <c r="L747" s="639">
        <f>VLOOKUP(H747,ORC.AUXILIAR!I:P,7,0)</f>
        <v>12.08</v>
      </c>
      <c r="M747" s="639">
        <f>VLOOKUP(H747,ORC.AUXILIAR!I:P,8,0)</f>
        <v>289.92</v>
      </c>
      <c r="N747" s="639">
        <f t="shared" si="70"/>
        <v>6958.08</v>
      </c>
      <c r="O747" s="639">
        <f t="shared" si="71"/>
        <v>10258046470.440275</v>
      </c>
      <c r="P747" s="640">
        <f t="shared" si="69"/>
        <v>0.99991919688450226</v>
      </c>
    </row>
    <row r="748" spans="1:16">
      <c r="A748" s="627">
        <v>287.98</v>
      </c>
      <c r="B748" s="628">
        <v>2</v>
      </c>
      <c r="C748" s="629" t="s">
        <v>13129</v>
      </c>
      <c r="D748" s="628">
        <f>VLOOKUP(C748,ORC.AUXILIAR!I:J,2,0)</f>
        <v>0</v>
      </c>
      <c r="G748" s="636">
        <f t="shared" si="66"/>
        <v>0</v>
      </c>
      <c r="H748" s="636" t="str">
        <f t="shared" si="67"/>
        <v>RE.VAL.06</v>
      </c>
      <c r="I748" s="637" t="str">
        <f>VLOOKUP(H748,ORC.AUXILIAR!I:P,4,0)</f>
        <v>un</v>
      </c>
      <c r="J748" s="636">
        <f>VLOOKUP(H748,ORC.AUXILIAR!I:P,5,0)</f>
        <v>2</v>
      </c>
      <c r="K748" s="638">
        <f t="shared" si="68"/>
        <v>2</v>
      </c>
      <c r="L748" s="639">
        <f>VLOOKUP(H748,ORC.AUXILIAR!I:P,7,0)</f>
        <v>143.99</v>
      </c>
      <c r="M748" s="639">
        <f>VLOOKUP(H748,ORC.AUXILIAR!I:P,8,0)</f>
        <v>287.98</v>
      </c>
      <c r="N748" s="639">
        <f t="shared" si="70"/>
        <v>575.96</v>
      </c>
      <c r="O748" s="639">
        <f t="shared" si="71"/>
        <v>10258047046.400274</v>
      </c>
      <c r="P748" s="640">
        <f t="shared" si="69"/>
        <v>0.99991925302710805</v>
      </c>
    </row>
    <row r="749" spans="1:16">
      <c r="A749" s="627">
        <v>284.32</v>
      </c>
      <c r="B749" s="628">
        <v>4</v>
      </c>
      <c r="C749" s="629">
        <v>93669</v>
      </c>
      <c r="D749" s="628">
        <f>VLOOKUP(C749,ORC.AUXILIAR!I:J,2,0)</f>
        <v>0</v>
      </c>
      <c r="G749" s="636">
        <f t="shared" si="66"/>
        <v>0</v>
      </c>
      <c r="H749" s="636">
        <f t="shared" si="67"/>
        <v>93669</v>
      </c>
      <c r="I749" s="637" t="str">
        <f>VLOOKUP(H749,ORC.AUXILIAR!I:P,4,0)</f>
        <v>un</v>
      </c>
      <c r="J749" s="636">
        <f>VLOOKUP(H749,ORC.AUXILIAR!I:P,5,0)</f>
        <v>3</v>
      </c>
      <c r="K749" s="638">
        <f t="shared" si="68"/>
        <v>4</v>
      </c>
      <c r="L749" s="639">
        <f>VLOOKUP(H749,ORC.AUXILIAR!I:P,7,0)</f>
        <v>71.08</v>
      </c>
      <c r="M749" s="639">
        <f>VLOOKUP(H749,ORC.AUXILIAR!I:P,8,0)</f>
        <v>213.24</v>
      </c>
      <c r="N749" s="639">
        <f t="shared" si="70"/>
        <v>852.96</v>
      </c>
      <c r="O749" s="639">
        <f t="shared" si="71"/>
        <v>10258047899.360273</v>
      </c>
      <c r="P749" s="640">
        <f t="shared" si="69"/>
        <v>0.99991933617072415</v>
      </c>
    </row>
    <row r="750" spans="1:16">
      <c r="A750" s="627">
        <v>272.23</v>
      </c>
      <c r="B750" s="628">
        <v>1</v>
      </c>
      <c r="C750" s="629" t="s">
        <v>13338</v>
      </c>
      <c r="D750" s="628">
        <f>VLOOKUP(C750,ORC.AUXILIAR!I:J,2,0)</f>
        <v>0</v>
      </c>
      <c r="G750" s="636">
        <f t="shared" si="66"/>
        <v>0</v>
      </c>
      <c r="H750" s="636" t="str">
        <f t="shared" si="67"/>
        <v>TH.PVC.02</v>
      </c>
      <c r="I750" s="637" t="str">
        <f>VLOOKUP(H750,ORC.AUXILIAR!I:P,4,0)</f>
        <v>pç</v>
      </c>
      <c r="J750" s="636">
        <f>VLOOKUP(H750,ORC.AUXILIAR!I:P,5,0)</f>
        <v>1</v>
      </c>
      <c r="K750" s="638">
        <f t="shared" si="68"/>
        <v>1</v>
      </c>
      <c r="L750" s="639">
        <f>VLOOKUP(H750,ORC.AUXILIAR!I:P,7,0)</f>
        <v>272.23</v>
      </c>
      <c r="M750" s="639">
        <f>VLOOKUP(H750,ORC.AUXILIAR!I:P,8,0)</f>
        <v>272.23</v>
      </c>
      <c r="N750" s="639">
        <f t="shared" si="70"/>
        <v>272.23</v>
      </c>
      <c r="O750" s="639">
        <f t="shared" si="71"/>
        <v>10258048171.590273</v>
      </c>
      <c r="P750" s="640">
        <f t="shared" si="69"/>
        <v>0.99991936270677106</v>
      </c>
    </row>
    <row r="751" spans="1:16">
      <c r="A751" s="627">
        <v>272.23</v>
      </c>
      <c r="B751" s="628">
        <v>1</v>
      </c>
      <c r="C751" s="629" t="s">
        <v>13339</v>
      </c>
      <c r="D751" s="628">
        <f>VLOOKUP(C751,ORC.AUXILIAR!I:J,2,0)</f>
        <v>0</v>
      </c>
      <c r="G751" s="636">
        <f t="shared" si="66"/>
        <v>0</v>
      </c>
      <c r="H751" s="636" t="str">
        <f t="shared" si="67"/>
        <v>TH.PVC.03</v>
      </c>
      <c r="I751" s="637" t="str">
        <f>VLOOKUP(H751,ORC.AUXILIAR!I:P,4,0)</f>
        <v>pç</v>
      </c>
      <c r="J751" s="636">
        <f>VLOOKUP(H751,ORC.AUXILIAR!I:P,5,0)</f>
        <v>1</v>
      </c>
      <c r="K751" s="638">
        <f t="shared" si="68"/>
        <v>1</v>
      </c>
      <c r="L751" s="639">
        <f>VLOOKUP(H751,ORC.AUXILIAR!I:P,7,0)</f>
        <v>272.23</v>
      </c>
      <c r="M751" s="639">
        <f>VLOOKUP(H751,ORC.AUXILIAR!I:P,8,0)</f>
        <v>272.23</v>
      </c>
      <c r="N751" s="639">
        <f t="shared" si="70"/>
        <v>272.23</v>
      </c>
      <c r="O751" s="639">
        <f t="shared" si="71"/>
        <v>10258048443.820272</v>
      </c>
      <c r="P751" s="640">
        <f t="shared" si="69"/>
        <v>0.99991938924281798</v>
      </c>
    </row>
    <row r="752" spans="1:16">
      <c r="A752" s="627">
        <v>271.36</v>
      </c>
      <c r="B752" s="628">
        <v>512</v>
      </c>
      <c r="C752" s="629" t="s">
        <v>14386</v>
      </c>
      <c r="D752" s="628">
        <f>VLOOKUP(C752,ORC.AUXILIAR!I:J,2,0)</f>
        <v>0</v>
      </c>
      <c r="G752" s="636">
        <f t="shared" si="66"/>
        <v>0</v>
      </c>
      <c r="H752" s="636" t="str">
        <f t="shared" si="67"/>
        <v>REATOR.FB.27</v>
      </c>
      <c r="I752" s="637" t="str">
        <f>VLOOKUP(H752,ORC.AUXILIAR!I:P,4,0)</f>
        <v>pç</v>
      </c>
      <c r="J752" s="636">
        <f>VLOOKUP(H752,ORC.AUXILIAR!I:P,5,0)</f>
        <v>512</v>
      </c>
      <c r="K752" s="638">
        <f t="shared" si="68"/>
        <v>512</v>
      </c>
      <c r="L752" s="639">
        <f>VLOOKUP(H752,ORC.AUXILIAR!I:P,7,0)</f>
        <v>0.53</v>
      </c>
      <c r="M752" s="639">
        <f>VLOOKUP(H752,ORC.AUXILIAR!I:P,8,0)</f>
        <v>271.36</v>
      </c>
      <c r="N752" s="639">
        <f t="shared" si="70"/>
        <v>138936.32000000001</v>
      </c>
      <c r="O752" s="639">
        <f t="shared" si="71"/>
        <v>10258187380.140272</v>
      </c>
      <c r="P752" s="640">
        <f t="shared" si="69"/>
        <v>0.99993293227890312</v>
      </c>
    </row>
    <row r="753" spans="1:16">
      <c r="A753" s="627">
        <v>270.36</v>
      </c>
      <c r="B753" s="628">
        <v>36</v>
      </c>
      <c r="C753" s="629" t="s">
        <v>14410</v>
      </c>
      <c r="D753" s="628">
        <f>VLOOKUP(C753,ORC.AUXILIAR!I:J,2,0)</f>
        <v>0</v>
      </c>
      <c r="G753" s="636">
        <f t="shared" si="66"/>
        <v>0</v>
      </c>
      <c r="H753" s="636" t="str">
        <f t="shared" si="67"/>
        <v>REATOR.FB.39</v>
      </c>
      <c r="I753" s="637" t="str">
        <f>VLOOKUP(H753,ORC.AUXILIAR!I:P,4,0)</f>
        <v>un</v>
      </c>
      <c r="J753" s="636">
        <f>VLOOKUP(H753,ORC.AUXILIAR!I:P,5,0)</f>
        <v>36</v>
      </c>
      <c r="K753" s="638">
        <f t="shared" si="68"/>
        <v>36</v>
      </c>
      <c r="L753" s="639">
        <f>VLOOKUP(H753,ORC.AUXILIAR!I:P,7,0)</f>
        <v>7.51</v>
      </c>
      <c r="M753" s="639">
        <f>VLOOKUP(H753,ORC.AUXILIAR!I:P,8,0)</f>
        <v>270.36</v>
      </c>
      <c r="N753" s="639">
        <f t="shared" si="70"/>
        <v>9732.9600000000009</v>
      </c>
      <c r="O753" s="639">
        <f t="shared" si="71"/>
        <v>10258197113.100271</v>
      </c>
      <c r="P753" s="640">
        <f t="shared" si="69"/>
        <v>0.99993388101447123</v>
      </c>
    </row>
    <row r="754" spans="1:16">
      <c r="A754" s="627">
        <v>269.95999999999998</v>
      </c>
      <c r="B754" s="628">
        <v>1</v>
      </c>
      <c r="C754" s="629" t="s">
        <v>13826</v>
      </c>
      <c r="D754" s="628">
        <f>VLOOKUP(C754,ORC.AUXILIAR!I:J,2,0)</f>
        <v>0</v>
      </c>
      <c r="G754" s="636">
        <f t="shared" si="66"/>
        <v>0</v>
      </c>
      <c r="H754" s="636" t="str">
        <f t="shared" si="67"/>
        <v>INST.HIPOCL.04</v>
      </c>
      <c r="I754" s="637" t="str">
        <f>VLOOKUP(H754,ORC.AUXILIAR!I:P,4,0)</f>
        <v>br</v>
      </c>
      <c r="J754" s="636">
        <f>VLOOKUP(H754,ORC.AUXILIAR!I:P,5,0)</f>
        <v>1</v>
      </c>
      <c r="K754" s="638">
        <f t="shared" si="68"/>
        <v>1</v>
      </c>
      <c r="L754" s="639">
        <f>VLOOKUP(H754,ORC.AUXILIAR!I:P,7,0)</f>
        <v>269.95999999999998</v>
      </c>
      <c r="M754" s="639">
        <f>VLOOKUP(H754,ORC.AUXILIAR!I:P,8,0)</f>
        <v>269.95999999999998</v>
      </c>
      <c r="N754" s="639">
        <f t="shared" si="70"/>
        <v>269.95999999999998</v>
      </c>
      <c r="O754" s="639">
        <f t="shared" si="71"/>
        <v>10258197383.06027</v>
      </c>
      <c r="P754" s="640">
        <f t="shared" si="69"/>
        <v>0.99993390732924625</v>
      </c>
    </row>
    <row r="755" spans="1:16">
      <c r="A755" s="627">
        <v>263.12</v>
      </c>
      <c r="B755" s="628">
        <v>572</v>
      </c>
      <c r="C755" s="629" t="s">
        <v>20417</v>
      </c>
      <c r="D755" s="628">
        <f>VLOOKUP(C755,ORC.AUXILIAR!I:J,2,0)</f>
        <v>0</v>
      </c>
      <c r="G755" s="636">
        <f t="shared" si="66"/>
        <v>0</v>
      </c>
      <c r="H755" s="636" t="str">
        <f t="shared" si="67"/>
        <v>CT_TRANSP.TUBO.PRFV.DN150</v>
      </c>
      <c r="I755" s="637" t="str">
        <f>VLOOKUP(H755,ORC.AUXILIAR!I:P,4,0)</f>
        <v>m</v>
      </c>
      <c r="J755" s="636">
        <f>VLOOKUP(H755,ORC.AUXILIAR!I:P,5,0)</f>
        <v>572</v>
      </c>
      <c r="K755" s="638">
        <f t="shared" si="68"/>
        <v>572</v>
      </c>
      <c r="L755" s="639">
        <f>VLOOKUP(H755,ORC.AUXILIAR!I:P,7,0)</f>
        <v>0.46</v>
      </c>
      <c r="M755" s="639">
        <f>VLOOKUP(H755,ORC.AUXILIAR!I:P,8,0)</f>
        <v>263.12</v>
      </c>
      <c r="N755" s="639">
        <f t="shared" si="70"/>
        <v>150504.64000000001</v>
      </c>
      <c r="O755" s="639">
        <f t="shared" si="71"/>
        <v>10258347887.70027</v>
      </c>
      <c r="P755" s="640">
        <f t="shared" si="69"/>
        <v>0.9999485780054993</v>
      </c>
    </row>
    <row r="756" spans="1:16">
      <c r="A756" s="627">
        <v>258.95999999999998</v>
      </c>
      <c r="B756" s="628">
        <v>39</v>
      </c>
      <c r="C756" s="629" t="s">
        <v>12813</v>
      </c>
      <c r="D756" s="628">
        <f>VLOOKUP(C756,ORC.AUXILIAR!I:J,2,0)</f>
        <v>0</v>
      </c>
      <c r="G756" s="636">
        <f t="shared" si="66"/>
        <v>0</v>
      </c>
      <c r="H756" s="636" t="str">
        <f t="shared" si="67"/>
        <v>RE.AR.01</v>
      </c>
      <c r="I756" s="637" t="str">
        <f>VLOOKUP(H756,ORC.AUXILIAR!I:P,4,0)</f>
        <v>pç</v>
      </c>
      <c r="J756" s="636">
        <f>VLOOKUP(H756,ORC.AUXILIAR!I:P,5,0)</f>
        <v>36</v>
      </c>
      <c r="K756" s="638">
        <f t="shared" si="68"/>
        <v>39</v>
      </c>
      <c r="L756" s="639">
        <f>VLOOKUP(H756,ORC.AUXILIAR!I:P,7,0)</f>
        <v>6.64</v>
      </c>
      <c r="M756" s="639">
        <f>VLOOKUP(H756,ORC.AUXILIAR!I:P,8,0)</f>
        <v>239.04</v>
      </c>
      <c r="N756" s="639">
        <f t="shared" si="70"/>
        <v>9322.56</v>
      </c>
      <c r="O756" s="639">
        <f t="shared" si="71"/>
        <v>10258357210.260269</v>
      </c>
      <c r="P756" s="640">
        <f t="shared" si="69"/>
        <v>0.9999494867366826</v>
      </c>
    </row>
    <row r="757" spans="1:16">
      <c r="A757" s="627">
        <v>257.44</v>
      </c>
      <c r="B757" s="628">
        <v>4</v>
      </c>
      <c r="C757" s="629" t="s">
        <v>13213</v>
      </c>
      <c r="D757" s="628">
        <f>VLOOKUP(C757,ORC.AUXILIAR!I:J,2,0)</f>
        <v>0</v>
      </c>
      <c r="G757" s="636">
        <f t="shared" si="66"/>
        <v>0</v>
      </c>
      <c r="H757" s="636" t="str">
        <f t="shared" si="67"/>
        <v>RE.RPVC.18</v>
      </c>
      <c r="I757" s="637" t="str">
        <f>VLOOKUP(H757,ORC.AUXILIAR!I:P,4,0)</f>
        <v>pç</v>
      </c>
      <c r="J757" s="636">
        <f>VLOOKUP(H757,ORC.AUXILIAR!I:P,5,0)</f>
        <v>4</v>
      </c>
      <c r="K757" s="638">
        <f t="shared" si="68"/>
        <v>4</v>
      </c>
      <c r="L757" s="639">
        <f>VLOOKUP(H757,ORC.AUXILIAR!I:P,7,0)</f>
        <v>64.36</v>
      </c>
      <c r="M757" s="639">
        <f>VLOOKUP(H757,ORC.AUXILIAR!I:P,8,0)</f>
        <v>257.44</v>
      </c>
      <c r="N757" s="639">
        <f t="shared" si="70"/>
        <v>1029.76</v>
      </c>
      <c r="O757" s="639">
        <f t="shared" si="71"/>
        <v>10258358240.020269</v>
      </c>
      <c r="P757" s="640">
        <f t="shared" si="69"/>
        <v>0.99994958711415649</v>
      </c>
    </row>
    <row r="758" spans="1:16">
      <c r="A758" s="627">
        <v>255.07999999999998</v>
      </c>
      <c r="B758" s="628">
        <v>7</v>
      </c>
      <c r="C758" s="629">
        <v>11672</v>
      </c>
      <c r="D758" s="628">
        <f>VLOOKUP(C758,ORC.AUXILIAR!I:J,2,0)</f>
        <v>0</v>
      </c>
      <c r="G758" s="636">
        <f t="shared" si="66"/>
        <v>0</v>
      </c>
      <c r="H758" s="636">
        <f t="shared" si="67"/>
        <v>11672</v>
      </c>
      <c r="I758" s="637" t="str">
        <f>VLOOKUP(H758,ORC.AUXILIAR!I:P,4,0)</f>
        <v>un</v>
      </c>
      <c r="J758" s="636">
        <f>VLOOKUP(H758,ORC.AUXILIAR!I:P,5,0)</f>
        <v>7</v>
      </c>
      <c r="K758" s="638">
        <f t="shared" si="68"/>
        <v>7</v>
      </c>
      <c r="L758" s="639">
        <f>VLOOKUP(H758,ORC.AUXILIAR!I:P,7,0)</f>
        <v>36.44</v>
      </c>
      <c r="M758" s="639">
        <f>VLOOKUP(H758,ORC.AUXILIAR!I:P,8,0)</f>
        <v>255.08</v>
      </c>
      <c r="N758" s="639">
        <f t="shared" si="70"/>
        <v>1785.5600000000002</v>
      </c>
      <c r="O758" s="639">
        <f t="shared" si="71"/>
        <v>10258360025.580269</v>
      </c>
      <c r="P758" s="640">
        <f t="shared" si="69"/>
        <v>0.99994976116442291</v>
      </c>
    </row>
    <row r="759" spans="1:16">
      <c r="A759" s="627">
        <v>254.84999999999997</v>
      </c>
      <c r="B759" s="628">
        <v>15</v>
      </c>
      <c r="C759" s="629" t="s">
        <v>13828</v>
      </c>
      <c r="D759" s="628">
        <f>VLOOKUP(C759,ORC.AUXILIAR!I:J,2,0)</f>
        <v>0</v>
      </c>
      <c r="G759" s="636">
        <f t="shared" si="66"/>
        <v>0</v>
      </c>
      <c r="H759" s="636" t="str">
        <f t="shared" si="67"/>
        <v>INST.HIPOCL.06</v>
      </c>
      <c r="I759" s="637" t="str">
        <f>VLOOKUP(H759,ORC.AUXILIAR!I:P,4,0)</f>
        <v>m</v>
      </c>
      <c r="J759" s="636">
        <f>VLOOKUP(H759,ORC.AUXILIAR!I:P,5,0)</f>
        <v>15</v>
      </c>
      <c r="K759" s="638">
        <f t="shared" si="68"/>
        <v>15</v>
      </c>
      <c r="L759" s="639">
        <f>VLOOKUP(H759,ORC.AUXILIAR!I:P,7,0)</f>
        <v>16.989999999999998</v>
      </c>
      <c r="M759" s="639">
        <f>VLOOKUP(H759,ORC.AUXILIAR!I:P,8,0)</f>
        <v>254.85</v>
      </c>
      <c r="N759" s="639">
        <f t="shared" si="70"/>
        <v>3822.75</v>
      </c>
      <c r="O759" s="639">
        <f t="shared" si="71"/>
        <v>10258363848.330269</v>
      </c>
      <c r="P759" s="640">
        <f t="shared" si="69"/>
        <v>0.99995013379298536</v>
      </c>
    </row>
    <row r="760" spans="1:16">
      <c r="A760" s="627">
        <v>254</v>
      </c>
      <c r="B760" s="628">
        <v>10</v>
      </c>
      <c r="C760" s="629" t="s">
        <v>11747</v>
      </c>
      <c r="D760" s="628">
        <f>VLOOKUP(C760,ORC.AUXILIAR!I:J,2,0)</f>
        <v>0</v>
      </c>
      <c r="G760" s="636">
        <f t="shared" si="66"/>
        <v>0</v>
      </c>
      <c r="H760" s="636" t="str">
        <f t="shared" si="67"/>
        <v>INS.ELET.19</v>
      </c>
      <c r="I760" s="637" t="str">
        <f>VLOOKUP(H760,ORC.AUXILIAR!I:P,4,0)</f>
        <v>un un</v>
      </c>
      <c r="J760" s="636">
        <f>VLOOKUP(H760,ORC.AUXILIAR!I:P,5,0)</f>
        <v>10</v>
      </c>
      <c r="K760" s="638">
        <f t="shared" si="68"/>
        <v>10</v>
      </c>
      <c r="L760" s="639">
        <f>VLOOKUP(H760,ORC.AUXILIAR!I:P,7,0)</f>
        <v>25.4</v>
      </c>
      <c r="M760" s="639">
        <f>VLOOKUP(H760,ORC.AUXILIAR!I:P,8,0)</f>
        <v>254</v>
      </c>
      <c r="N760" s="639">
        <f t="shared" si="70"/>
        <v>2540</v>
      </c>
      <c r="O760" s="639">
        <f t="shared" si="71"/>
        <v>10258366388.330269</v>
      </c>
      <c r="P760" s="640">
        <f t="shared" si="69"/>
        <v>0.99995038138347614</v>
      </c>
    </row>
    <row r="761" spans="1:16">
      <c r="A761" s="627">
        <v>252.47</v>
      </c>
      <c r="B761" s="628">
        <v>1</v>
      </c>
      <c r="C761" s="629" t="s">
        <v>12944</v>
      </c>
      <c r="D761" s="628">
        <f>VLOOKUP(C761,ORC.AUXILIAR!I:J,2,0)</f>
        <v>0</v>
      </c>
      <c r="G761" s="636">
        <f t="shared" si="66"/>
        <v>0</v>
      </c>
      <c r="H761" s="636" t="str">
        <f t="shared" si="67"/>
        <v>TP.FºF°.18</v>
      </c>
      <c r="I761" s="637" t="str">
        <f>VLOOKUP(H761,ORC.AUXILIAR!I:P,4,0)</f>
        <v>pç</v>
      </c>
      <c r="J761" s="636">
        <f>VLOOKUP(H761,ORC.AUXILIAR!I:P,5,0)</f>
        <v>1</v>
      </c>
      <c r="K761" s="638">
        <f t="shared" si="68"/>
        <v>1</v>
      </c>
      <c r="L761" s="639">
        <f>VLOOKUP(H761,ORC.AUXILIAR!I:P,7,0)</f>
        <v>252.47</v>
      </c>
      <c r="M761" s="639">
        <f>VLOOKUP(H761,ORC.AUXILIAR!I:P,8,0)</f>
        <v>252.47</v>
      </c>
      <c r="N761" s="639">
        <f t="shared" si="70"/>
        <v>252.47</v>
      </c>
      <c r="O761" s="639">
        <f t="shared" si="71"/>
        <v>10258366640.800268</v>
      </c>
      <c r="P761" s="640">
        <f t="shared" si="69"/>
        <v>0.99995040599338603</v>
      </c>
    </row>
    <row r="762" spans="1:16">
      <c r="A762" s="627">
        <v>244.8</v>
      </c>
      <c r="B762" s="628">
        <v>8</v>
      </c>
      <c r="C762" s="629" t="s">
        <v>13727</v>
      </c>
      <c r="D762" s="628">
        <f>VLOOKUP(C762,ORC.AUXILIAR!I:J,2,0)</f>
        <v>0</v>
      </c>
      <c r="G762" s="636">
        <f t="shared" si="66"/>
        <v>0</v>
      </c>
      <c r="H762" s="636" t="str">
        <f t="shared" si="67"/>
        <v>QCM.EEE.26</v>
      </c>
      <c r="I762" s="637" t="str">
        <f>VLOOKUP(H762,ORC.AUXILIAR!I:P,4,0)</f>
        <v>Un</v>
      </c>
      <c r="J762" s="636">
        <f>VLOOKUP(H762,ORC.AUXILIAR!I:P,5,0)</f>
        <v>8</v>
      </c>
      <c r="K762" s="638">
        <f t="shared" si="68"/>
        <v>8</v>
      </c>
      <c r="L762" s="639">
        <f>VLOOKUP(H762,ORC.AUXILIAR!I:P,7,0)</f>
        <v>30.6</v>
      </c>
      <c r="M762" s="639">
        <f>VLOOKUP(H762,ORC.AUXILIAR!I:P,8,0)</f>
        <v>244.8</v>
      </c>
      <c r="N762" s="639">
        <f t="shared" si="70"/>
        <v>1958.4</v>
      </c>
      <c r="O762" s="639">
        <f t="shared" si="71"/>
        <v>10258368599.200268</v>
      </c>
      <c r="P762" s="640">
        <f t="shared" si="69"/>
        <v>0.9999505968915029</v>
      </c>
    </row>
    <row r="763" spans="1:16">
      <c r="A763" s="627">
        <v>240.32</v>
      </c>
      <c r="B763" s="628">
        <v>32</v>
      </c>
      <c r="C763" s="629" t="s">
        <v>13100</v>
      </c>
      <c r="D763" s="628">
        <f>VLOOKUP(C763,ORC.AUXILIAR!I:J,2,0)</f>
        <v>0</v>
      </c>
      <c r="G763" s="636">
        <f t="shared" si="66"/>
        <v>0</v>
      </c>
      <c r="H763" s="636" t="str">
        <f t="shared" si="67"/>
        <v>REATOR.FB.11</v>
      </c>
      <c r="I763" s="637" t="str">
        <f>VLOOKUP(H763,ORC.AUXILIAR!I:P,4,0)</f>
        <v>un</v>
      </c>
      <c r="J763" s="636">
        <f>VLOOKUP(H763,ORC.AUXILIAR!I:P,5,0)</f>
        <v>32</v>
      </c>
      <c r="K763" s="638">
        <f t="shared" si="68"/>
        <v>32</v>
      </c>
      <c r="L763" s="639">
        <f>VLOOKUP(H763,ORC.AUXILIAR!I:P,7,0)</f>
        <v>7.51</v>
      </c>
      <c r="M763" s="639">
        <f>VLOOKUP(H763,ORC.AUXILIAR!I:P,8,0)</f>
        <v>240.32</v>
      </c>
      <c r="N763" s="639">
        <f t="shared" si="70"/>
        <v>7690.24</v>
      </c>
      <c r="O763" s="639">
        <f t="shared" si="71"/>
        <v>10258376289.440268</v>
      </c>
      <c r="P763" s="640">
        <f t="shared" si="69"/>
        <v>0.99995134650972961</v>
      </c>
    </row>
    <row r="764" spans="1:16">
      <c r="A764" s="627">
        <v>240.32</v>
      </c>
      <c r="B764" s="628">
        <v>32</v>
      </c>
      <c r="C764" s="629" t="s">
        <v>13101</v>
      </c>
      <c r="D764" s="628">
        <f>VLOOKUP(C764,ORC.AUXILIAR!I:J,2,0)</f>
        <v>0</v>
      </c>
      <c r="G764" s="636">
        <f t="shared" si="66"/>
        <v>0</v>
      </c>
      <c r="H764" s="636" t="str">
        <f t="shared" si="67"/>
        <v>REATOR.FB.12</v>
      </c>
      <c r="I764" s="637" t="str">
        <f>VLOOKUP(H764,ORC.AUXILIAR!I:P,4,0)</f>
        <v>un</v>
      </c>
      <c r="J764" s="636">
        <f>VLOOKUP(H764,ORC.AUXILIAR!I:P,5,0)</f>
        <v>32</v>
      </c>
      <c r="K764" s="638">
        <f t="shared" si="68"/>
        <v>32</v>
      </c>
      <c r="L764" s="639">
        <f>VLOOKUP(H764,ORC.AUXILIAR!I:P,7,0)</f>
        <v>7.51</v>
      </c>
      <c r="M764" s="639">
        <f>VLOOKUP(H764,ORC.AUXILIAR!I:P,8,0)</f>
        <v>240.32</v>
      </c>
      <c r="N764" s="639">
        <f t="shared" si="70"/>
        <v>7690.24</v>
      </c>
      <c r="O764" s="639">
        <f t="shared" si="71"/>
        <v>10258383979.680267</v>
      </c>
      <c r="P764" s="640">
        <f t="shared" si="69"/>
        <v>0.99995209612795632</v>
      </c>
    </row>
    <row r="765" spans="1:16">
      <c r="A765" s="627">
        <v>240.32</v>
      </c>
      <c r="B765" s="628">
        <v>32</v>
      </c>
      <c r="C765" s="629" t="s">
        <v>14376</v>
      </c>
      <c r="D765" s="628">
        <f>VLOOKUP(C765,ORC.AUXILIAR!I:J,2,0)</f>
        <v>0</v>
      </c>
      <c r="G765" s="636">
        <f t="shared" si="66"/>
        <v>0</v>
      </c>
      <c r="H765" s="636" t="str">
        <f t="shared" si="67"/>
        <v>REATOR.FB.22</v>
      </c>
      <c r="I765" s="637" t="str">
        <f>VLOOKUP(H765,ORC.AUXILIAR!I:P,4,0)</f>
        <v>un</v>
      </c>
      <c r="J765" s="636">
        <f>VLOOKUP(H765,ORC.AUXILIAR!I:P,5,0)</f>
        <v>32</v>
      </c>
      <c r="K765" s="638">
        <f t="shared" si="68"/>
        <v>32</v>
      </c>
      <c r="L765" s="639">
        <f>VLOOKUP(H765,ORC.AUXILIAR!I:P,7,0)</f>
        <v>7.51</v>
      </c>
      <c r="M765" s="639">
        <f>VLOOKUP(H765,ORC.AUXILIAR!I:P,8,0)</f>
        <v>240.32</v>
      </c>
      <c r="N765" s="639">
        <f t="shared" si="70"/>
        <v>7690.24</v>
      </c>
      <c r="O765" s="639">
        <f t="shared" si="71"/>
        <v>10258391669.920267</v>
      </c>
      <c r="P765" s="640">
        <f t="shared" si="69"/>
        <v>0.99995284574618304</v>
      </c>
    </row>
    <row r="766" spans="1:16">
      <c r="A766" s="627">
        <v>234.48</v>
      </c>
      <c r="B766" s="628">
        <v>12</v>
      </c>
      <c r="C766" s="629">
        <v>9841</v>
      </c>
      <c r="D766" s="628">
        <f>VLOOKUP(C766,ORC.AUXILIAR!I:J,2,0)</f>
        <v>0</v>
      </c>
      <c r="G766" s="636">
        <f t="shared" si="66"/>
        <v>0</v>
      </c>
      <c r="H766" s="636">
        <f t="shared" si="67"/>
        <v>9841</v>
      </c>
      <c r="I766" s="637" t="str">
        <f>VLOOKUP(H766,ORC.AUXILIAR!I:P,4,0)</f>
        <v>m</v>
      </c>
      <c r="J766" s="636">
        <f>VLOOKUP(H766,ORC.AUXILIAR!I:P,5,0)</f>
        <v>12</v>
      </c>
      <c r="K766" s="638">
        <f t="shared" si="68"/>
        <v>12</v>
      </c>
      <c r="L766" s="639">
        <f>VLOOKUP(H766,ORC.AUXILIAR!I:P,7,0)</f>
        <v>19.54</v>
      </c>
      <c r="M766" s="639">
        <f>VLOOKUP(H766,ORC.AUXILIAR!I:P,8,0)</f>
        <v>234.48</v>
      </c>
      <c r="N766" s="639">
        <f t="shared" si="70"/>
        <v>2813.7599999999998</v>
      </c>
      <c r="O766" s="639">
        <f t="shared" si="71"/>
        <v>10258394483.680267</v>
      </c>
      <c r="P766" s="640">
        <f t="shared" si="69"/>
        <v>0.99995312002185988</v>
      </c>
    </row>
    <row r="767" spans="1:16">
      <c r="A767" s="627">
        <v>232.16</v>
      </c>
      <c r="B767" s="628">
        <v>8</v>
      </c>
      <c r="C767" s="629" t="s">
        <v>11750</v>
      </c>
      <c r="D767" s="628">
        <f>VLOOKUP(C767,ORC.AUXILIAR!I:J,2,0)</f>
        <v>0</v>
      </c>
      <c r="G767" s="636">
        <f t="shared" si="66"/>
        <v>0</v>
      </c>
      <c r="H767" s="636" t="str">
        <f t="shared" si="67"/>
        <v>INS.ELET.22</v>
      </c>
      <c r="I767" s="637" t="str">
        <f>VLOOKUP(H767,ORC.AUXILIAR!I:P,4,0)</f>
        <v>un</v>
      </c>
      <c r="J767" s="636">
        <f>VLOOKUP(H767,ORC.AUXILIAR!I:P,5,0)</f>
        <v>8</v>
      </c>
      <c r="K767" s="638">
        <f t="shared" si="68"/>
        <v>8</v>
      </c>
      <c r="L767" s="639">
        <f>VLOOKUP(H767,ORC.AUXILIAR!I:P,7,0)</f>
        <v>29.02</v>
      </c>
      <c r="M767" s="639">
        <f>VLOOKUP(H767,ORC.AUXILIAR!I:P,8,0)</f>
        <v>232.16</v>
      </c>
      <c r="N767" s="639">
        <f t="shared" si="70"/>
        <v>1857.28</v>
      </c>
      <c r="O767" s="639">
        <f t="shared" si="71"/>
        <v>10258396340.960268</v>
      </c>
      <c r="P767" s="640">
        <f t="shared" si="69"/>
        <v>0.99995330106314606</v>
      </c>
    </row>
    <row r="768" spans="1:16">
      <c r="A768" s="627">
        <v>231.0581</v>
      </c>
      <c r="B768" s="628">
        <v>0.91</v>
      </c>
      <c r="C768" s="629">
        <v>83623</v>
      </c>
      <c r="D768" s="628">
        <f>VLOOKUP(C768,ORC.AUXILIAR!I:J,2,0)</f>
        <v>0</v>
      </c>
      <c r="G768" s="636">
        <f t="shared" si="66"/>
        <v>0</v>
      </c>
      <c r="H768" s="636">
        <f t="shared" si="67"/>
        <v>83623</v>
      </c>
      <c r="I768" s="637" t="str">
        <f>VLOOKUP(H768,ORC.AUXILIAR!I:P,4,0)</f>
        <v>M</v>
      </c>
      <c r="J768" s="636">
        <f>VLOOKUP(H768,ORC.AUXILIAR!I:P,5,0)</f>
        <v>0.4</v>
      </c>
      <c r="K768" s="638">
        <f t="shared" si="68"/>
        <v>0.91</v>
      </c>
      <c r="L768" s="639">
        <f>VLOOKUP(H768,ORC.AUXILIAR!I:P,7,0)</f>
        <v>253.91</v>
      </c>
      <c r="M768" s="639">
        <f>VLOOKUP(H768,ORC.AUXILIAR!I:P,8,0)</f>
        <v>101.56</v>
      </c>
      <c r="N768" s="639">
        <f t="shared" si="70"/>
        <v>92.419600000000003</v>
      </c>
      <c r="O768" s="639">
        <f t="shared" si="71"/>
        <v>10258396433.379868</v>
      </c>
      <c r="P768" s="640">
        <f t="shared" si="69"/>
        <v>0.99995331007189181</v>
      </c>
    </row>
    <row r="769" spans="1:16">
      <c r="A769" s="627">
        <v>229.28</v>
      </c>
      <c r="B769" s="628">
        <v>16</v>
      </c>
      <c r="C769" s="629" t="s">
        <v>12830</v>
      </c>
      <c r="D769" s="628">
        <f>VLOOKUP(C769,ORC.AUXILIAR!I:J,2,0)</f>
        <v>0</v>
      </c>
      <c r="G769" s="636">
        <f t="shared" si="66"/>
        <v>0</v>
      </c>
      <c r="H769" s="636" t="str">
        <f t="shared" si="67"/>
        <v>RE.AR.05</v>
      </c>
      <c r="I769" s="637" t="str">
        <f>VLOOKUP(H769,ORC.AUXILIAR!I:P,4,0)</f>
        <v>pç</v>
      </c>
      <c r="J769" s="636">
        <f>VLOOKUP(H769,ORC.AUXILIAR!I:P,5,0)</f>
        <v>16</v>
      </c>
      <c r="K769" s="638">
        <f t="shared" si="68"/>
        <v>16</v>
      </c>
      <c r="L769" s="639">
        <f>VLOOKUP(H769,ORC.AUXILIAR!I:P,7,0)</f>
        <v>14.33</v>
      </c>
      <c r="M769" s="639">
        <f>VLOOKUP(H769,ORC.AUXILIAR!I:P,8,0)</f>
        <v>229.28</v>
      </c>
      <c r="N769" s="639">
        <f t="shared" si="70"/>
        <v>3668.48</v>
      </c>
      <c r="O769" s="639">
        <f t="shared" si="71"/>
        <v>10258400101.859867</v>
      </c>
      <c r="P769" s="640">
        <f t="shared" si="69"/>
        <v>0.99995366766274352</v>
      </c>
    </row>
    <row r="770" spans="1:16">
      <c r="A770" s="627">
        <v>222.72</v>
      </c>
      <c r="B770" s="628">
        <v>4</v>
      </c>
      <c r="C770" s="629" t="s">
        <v>13330</v>
      </c>
      <c r="D770" s="628">
        <f>VLOOKUP(C770,ORC.AUXILIAR!I:J,2,0)</f>
        <v>0</v>
      </c>
      <c r="G770" s="636">
        <f t="shared" si="66"/>
        <v>0</v>
      </c>
      <c r="H770" s="636" t="str">
        <f t="shared" si="67"/>
        <v>TH.AP.02</v>
      </c>
      <c r="I770" s="637" t="str">
        <f>VLOOKUP(H770,ORC.AUXILIAR!I:P,4,0)</f>
        <v>pç</v>
      </c>
      <c r="J770" s="636">
        <f>VLOOKUP(H770,ORC.AUXILIAR!I:P,5,0)</f>
        <v>4</v>
      </c>
      <c r="K770" s="638">
        <f t="shared" si="68"/>
        <v>4</v>
      </c>
      <c r="L770" s="639">
        <f>VLOOKUP(H770,ORC.AUXILIAR!I:P,7,0)</f>
        <v>55.68</v>
      </c>
      <c r="M770" s="639">
        <f>VLOOKUP(H770,ORC.AUXILIAR!I:P,8,0)</f>
        <v>222.72</v>
      </c>
      <c r="N770" s="639">
        <f t="shared" si="70"/>
        <v>890.88</v>
      </c>
      <c r="O770" s="639">
        <f t="shared" si="71"/>
        <v>10258400992.739866</v>
      </c>
      <c r="P770" s="640">
        <f t="shared" si="69"/>
        <v>0.99995375450267121</v>
      </c>
    </row>
    <row r="771" spans="1:16">
      <c r="A771" s="627">
        <v>219.72</v>
      </c>
      <c r="B771" s="628">
        <v>4</v>
      </c>
      <c r="C771" s="629" t="s">
        <v>13554</v>
      </c>
      <c r="D771" s="628">
        <f>VLOOKUP(C771,ORC.AUXILIAR!I:J,2,0)</f>
        <v>0</v>
      </c>
      <c r="G771" s="636">
        <f t="shared" si="66"/>
        <v>0</v>
      </c>
      <c r="H771" s="636" t="str">
        <f t="shared" si="67"/>
        <v>QCM.HIP.09</v>
      </c>
      <c r="I771" s="637" t="str">
        <f>VLOOKUP(H771,ORC.AUXILIAR!I:P,4,0)</f>
        <v>um</v>
      </c>
      <c r="J771" s="636">
        <f>VLOOKUP(H771,ORC.AUXILIAR!I:P,5,0)</f>
        <v>4</v>
      </c>
      <c r="K771" s="638">
        <f t="shared" si="68"/>
        <v>4</v>
      </c>
      <c r="L771" s="639">
        <f>VLOOKUP(H771,ORC.AUXILIAR!I:P,7,0)</f>
        <v>54.93</v>
      </c>
      <c r="M771" s="639">
        <f>VLOOKUP(H771,ORC.AUXILIAR!I:P,8,0)</f>
        <v>219.72</v>
      </c>
      <c r="N771" s="639">
        <f t="shared" si="70"/>
        <v>878.88</v>
      </c>
      <c r="O771" s="639">
        <f t="shared" si="71"/>
        <v>10258401871.619865</v>
      </c>
      <c r="P771" s="640">
        <f t="shared" si="69"/>
        <v>0.99995384017288003</v>
      </c>
    </row>
    <row r="772" spans="1:16">
      <c r="A772" s="627">
        <v>219.72</v>
      </c>
      <c r="B772" s="628">
        <v>4</v>
      </c>
      <c r="C772" s="629" t="s">
        <v>13556</v>
      </c>
      <c r="D772" s="628">
        <f>VLOOKUP(C772,ORC.AUXILIAR!I:J,2,0)</f>
        <v>0</v>
      </c>
      <c r="G772" s="636">
        <f t="shared" si="66"/>
        <v>0</v>
      </c>
      <c r="H772" s="636" t="str">
        <f t="shared" si="67"/>
        <v>QCM.HIP.10</v>
      </c>
      <c r="I772" s="637" t="str">
        <f>VLOOKUP(H772,ORC.AUXILIAR!I:P,4,0)</f>
        <v>un</v>
      </c>
      <c r="J772" s="636">
        <f>VLOOKUP(H772,ORC.AUXILIAR!I:P,5,0)</f>
        <v>4</v>
      </c>
      <c r="K772" s="638">
        <f t="shared" si="68"/>
        <v>4</v>
      </c>
      <c r="L772" s="639">
        <f>VLOOKUP(H772,ORC.AUXILIAR!I:P,7,0)</f>
        <v>54.93</v>
      </c>
      <c r="M772" s="639">
        <f>VLOOKUP(H772,ORC.AUXILIAR!I:P,8,0)</f>
        <v>219.72</v>
      </c>
      <c r="N772" s="639">
        <f t="shared" si="70"/>
        <v>878.88</v>
      </c>
      <c r="O772" s="639">
        <f t="shared" si="71"/>
        <v>10258402750.499865</v>
      </c>
      <c r="P772" s="640">
        <f t="shared" si="69"/>
        <v>0.99995392584308873</v>
      </c>
    </row>
    <row r="773" spans="1:16">
      <c r="A773" s="627">
        <v>219.09</v>
      </c>
      <c r="B773" s="628">
        <v>3</v>
      </c>
      <c r="C773" s="629" t="s">
        <v>13630</v>
      </c>
      <c r="D773" s="628">
        <f>VLOOKUP(C773,ORC.AUXILIAR!I:J,2,0)</f>
        <v>0</v>
      </c>
      <c r="G773" s="636">
        <f t="shared" si="66"/>
        <v>0</v>
      </c>
      <c r="H773" s="636" t="str">
        <f t="shared" si="67"/>
        <v>SUB.04</v>
      </c>
      <c r="I773" s="637" t="str">
        <f>VLOOKUP(H773,ORC.AUXILIAR!I:P,4,0)</f>
        <v>un</v>
      </c>
      <c r="J773" s="636">
        <f>VLOOKUP(H773,ORC.AUXILIAR!I:P,5,0)</f>
        <v>3</v>
      </c>
      <c r="K773" s="638">
        <f t="shared" si="68"/>
        <v>3</v>
      </c>
      <c r="L773" s="639">
        <f>VLOOKUP(H773,ORC.AUXILIAR!I:P,7,0)</f>
        <v>73.03</v>
      </c>
      <c r="M773" s="639">
        <f>VLOOKUP(H773,ORC.AUXILIAR!I:P,8,0)</f>
        <v>219.09</v>
      </c>
      <c r="N773" s="639">
        <f t="shared" si="70"/>
        <v>657.27</v>
      </c>
      <c r="O773" s="639">
        <f t="shared" si="71"/>
        <v>10258403407.769865</v>
      </c>
      <c r="P773" s="640">
        <f t="shared" si="69"/>
        <v>0.99995398991151474</v>
      </c>
    </row>
    <row r="774" spans="1:16">
      <c r="A774" s="627">
        <v>218.13</v>
      </c>
      <c r="B774" s="628">
        <v>1</v>
      </c>
      <c r="C774" s="629" t="s">
        <v>12954</v>
      </c>
      <c r="D774" s="628">
        <f>VLOOKUP(C774,ORC.AUXILIAR!I:J,2,0)</f>
        <v>0</v>
      </c>
      <c r="G774" s="636">
        <f t="shared" ref="G774:G837" si="72">D774</f>
        <v>0</v>
      </c>
      <c r="H774" s="636" t="str">
        <f t="shared" ref="H774:H837" si="73">C774</f>
        <v>TP.FºF°.22</v>
      </c>
      <c r="I774" s="637" t="str">
        <f>VLOOKUP(H774,ORC.AUXILIAR!I:P,4,0)</f>
        <v>pç</v>
      </c>
      <c r="J774" s="636">
        <f>VLOOKUP(H774,ORC.AUXILIAR!I:P,5,0)</f>
        <v>1</v>
      </c>
      <c r="K774" s="638">
        <f t="shared" ref="K774:K837" si="74">B774</f>
        <v>1</v>
      </c>
      <c r="L774" s="639">
        <f>VLOOKUP(H774,ORC.AUXILIAR!I:P,7,0)</f>
        <v>218.13</v>
      </c>
      <c r="M774" s="639">
        <f>VLOOKUP(H774,ORC.AUXILIAR!I:P,8,0)</f>
        <v>218.13</v>
      </c>
      <c r="N774" s="639">
        <f t="shared" si="70"/>
        <v>218.13</v>
      </c>
      <c r="O774" s="639">
        <f t="shared" si="71"/>
        <v>10258403625.899864</v>
      </c>
      <c r="P774" s="640">
        <f t="shared" ref="P774:P837" si="75">O774/N$4</f>
        <v>0.99995401117407912</v>
      </c>
    </row>
    <row r="775" spans="1:16">
      <c r="A775" s="627">
        <v>217.75</v>
      </c>
      <c r="B775" s="628">
        <v>13</v>
      </c>
      <c r="C775" s="629">
        <v>37426</v>
      </c>
      <c r="D775" s="628">
        <f>VLOOKUP(C775,ORC.AUXILIAR!I:J,2,0)</f>
        <v>0</v>
      </c>
      <c r="G775" s="636">
        <f t="shared" si="72"/>
        <v>0</v>
      </c>
      <c r="H775" s="636">
        <f t="shared" si="73"/>
        <v>37426</v>
      </c>
      <c r="I775" s="637" t="str">
        <f>VLOOKUP(H775,ORC.AUXILIAR!I:P,4,0)</f>
        <v>un</v>
      </c>
      <c r="J775" s="636">
        <f>VLOOKUP(H775,ORC.AUXILIAR!I:P,5,0)</f>
        <v>7</v>
      </c>
      <c r="K775" s="638">
        <f t="shared" si="74"/>
        <v>13</v>
      </c>
      <c r="L775" s="639">
        <f>VLOOKUP(H775,ORC.AUXILIAR!I:P,7,0)</f>
        <v>16.75</v>
      </c>
      <c r="M775" s="639">
        <f>VLOOKUP(H775,ORC.AUXILIAR!I:P,8,0)</f>
        <v>117.25</v>
      </c>
      <c r="N775" s="639">
        <f t="shared" ref="N775:N838" si="76">K775*M775</f>
        <v>1524.25</v>
      </c>
      <c r="O775" s="639">
        <f t="shared" ref="O775:O838" si="77">N775+O774</f>
        <v>10258405150.149864</v>
      </c>
      <c r="P775" s="640">
        <f t="shared" si="75"/>
        <v>0.99995415975274271</v>
      </c>
    </row>
    <row r="776" spans="1:16">
      <c r="A776" s="627">
        <v>214.34</v>
      </c>
      <c r="B776" s="628">
        <v>7</v>
      </c>
      <c r="C776" s="629">
        <v>86886</v>
      </c>
      <c r="D776" s="628">
        <f>VLOOKUP(C776,ORC.AUXILIAR!I:J,2,0)</f>
        <v>0</v>
      </c>
      <c r="G776" s="636">
        <f t="shared" si="72"/>
        <v>0</v>
      </c>
      <c r="H776" s="636">
        <f t="shared" si="73"/>
        <v>86886</v>
      </c>
      <c r="I776" s="637" t="str">
        <f>VLOOKUP(H776,ORC.AUXILIAR!I:P,4,0)</f>
        <v>pç</v>
      </c>
      <c r="J776" s="636">
        <f>VLOOKUP(H776,ORC.AUXILIAR!I:P,5,0)</f>
        <v>7</v>
      </c>
      <c r="K776" s="638">
        <f t="shared" si="74"/>
        <v>7</v>
      </c>
      <c r="L776" s="639">
        <f>VLOOKUP(H776,ORC.AUXILIAR!I:P,7,0)</f>
        <v>30.62</v>
      </c>
      <c r="M776" s="639">
        <f>VLOOKUP(H776,ORC.AUXILIAR!I:P,8,0)</f>
        <v>214.34</v>
      </c>
      <c r="N776" s="639">
        <f t="shared" si="76"/>
        <v>1500.38</v>
      </c>
      <c r="O776" s="639">
        <f t="shared" si="77"/>
        <v>10258406650.529863</v>
      </c>
      <c r="P776" s="640">
        <f t="shared" si="75"/>
        <v>0.99995430600464053</v>
      </c>
    </row>
    <row r="777" spans="1:16">
      <c r="A777" s="627">
        <v>212</v>
      </c>
      <c r="B777" s="628">
        <v>20</v>
      </c>
      <c r="C777" s="629" t="s">
        <v>13769</v>
      </c>
      <c r="D777" s="628">
        <f>VLOOKUP(C777,ORC.AUXILIAR!I:J,2,0)</f>
        <v>0</v>
      </c>
      <c r="G777" s="636">
        <f t="shared" si="72"/>
        <v>0</v>
      </c>
      <c r="H777" s="636" t="str">
        <f t="shared" si="73"/>
        <v>QCM.CX.AREIA.09</v>
      </c>
      <c r="I777" s="637" t="str">
        <f>VLOOKUP(H777,ORC.AUXILIAR!I:P,4,0)</f>
        <v>Un</v>
      </c>
      <c r="J777" s="636">
        <f>VLOOKUP(H777,ORC.AUXILIAR!I:P,5,0)</f>
        <v>20</v>
      </c>
      <c r="K777" s="638">
        <f t="shared" si="74"/>
        <v>20</v>
      </c>
      <c r="L777" s="639">
        <f>VLOOKUP(H777,ORC.AUXILIAR!I:P,7,0)</f>
        <v>10.6</v>
      </c>
      <c r="M777" s="639">
        <f>VLOOKUP(H777,ORC.AUXILIAR!I:P,8,0)</f>
        <v>212</v>
      </c>
      <c r="N777" s="639">
        <f t="shared" si="76"/>
        <v>4240</v>
      </c>
      <c r="O777" s="639">
        <f t="shared" si="77"/>
        <v>10258410890.529863</v>
      </c>
      <c r="P777" s="640">
        <f t="shared" si="75"/>
        <v>0.99995471930530233</v>
      </c>
    </row>
    <row r="778" spans="1:16">
      <c r="A778" s="627">
        <v>210.77</v>
      </c>
      <c r="B778" s="628">
        <v>1</v>
      </c>
      <c r="C778" s="629" t="s">
        <v>13538</v>
      </c>
      <c r="D778" s="628">
        <f>VLOOKUP(C778,ORC.AUXILIAR!I:J,2,0)</f>
        <v>0</v>
      </c>
      <c r="G778" s="636">
        <f t="shared" si="72"/>
        <v>0</v>
      </c>
      <c r="H778" s="636" t="str">
        <f t="shared" si="73"/>
        <v>QCM.HIP.01</v>
      </c>
      <c r="I778" s="637" t="str">
        <f>VLOOKUP(H778,ORC.AUXILIAR!I:P,4,0)</f>
        <v>un</v>
      </c>
      <c r="J778" s="636">
        <f>VLOOKUP(H778,ORC.AUXILIAR!I:P,5,0)</f>
        <v>1</v>
      </c>
      <c r="K778" s="638">
        <f t="shared" si="74"/>
        <v>1</v>
      </c>
      <c r="L778" s="639">
        <f>VLOOKUP(H778,ORC.AUXILIAR!I:P,7,0)</f>
        <v>210.77</v>
      </c>
      <c r="M778" s="639">
        <f>VLOOKUP(H778,ORC.AUXILIAR!I:P,8,0)</f>
        <v>210.77</v>
      </c>
      <c r="N778" s="639">
        <f t="shared" si="76"/>
        <v>210.77</v>
      </c>
      <c r="O778" s="639">
        <f t="shared" si="77"/>
        <v>10258411101.299864</v>
      </c>
      <c r="P778" s="640">
        <f t="shared" si="75"/>
        <v>0.99995473985043926</v>
      </c>
    </row>
    <row r="779" spans="1:16">
      <c r="A779" s="627">
        <v>209.06</v>
      </c>
      <c r="B779" s="628">
        <v>2</v>
      </c>
      <c r="C779" s="629" t="s">
        <v>13398</v>
      </c>
      <c r="D779" s="628">
        <f>VLOOKUP(C779,ORC.AUXILIAR!I:J,2,0)</f>
        <v>0</v>
      </c>
      <c r="G779" s="636">
        <f t="shared" si="72"/>
        <v>0</v>
      </c>
      <c r="H779" s="636" t="str">
        <f t="shared" si="73"/>
        <v>INS.ELET.29</v>
      </c>
      <c r="I779" s="637" t="str">
        <f>VLOOKUP(H779,ORC.AUXILIAR!I:P,4,0)</f>
        <v>un</v>
      </c>
      <c r="J779" s="636">
        <f>VLOOKUP(H779,ORC.AUXILIAR!I:P,5,0)</f>
        <v>2</v>
      </c>
      <c r="K779" s="638">
        <f t="shared" si="74"/>
        <v>2</v>
      </c>
      <c r="L779" s="639">
        <f>VLOOKUP(H779,ORC.AUXILIAR!I:P,7,0)</f>
        <v>104.53</v>
      </c>
      <c r="M779" s="639">
        <f>VLOOKUP(H779,ORC.AUXILIAR!I:P,8,0)</f>
        <v>209.06</v>
      </c>
      <c r="N779" s="639">
        <f t="shared" si="76"/>
        <v>418.12</v>
      </c>
      <c r="O779" s="639">
        <f t="shared" si="77"/>
        <v>10258411519.419865</v>
      </c>
      <c r="P779" s="640">
        <f t="shared" si="75"/>
        <v>0.99995478060734333</v>
      </c>
    </row>
    <row r="780" spans="1:16">
      <c r="A780" s="627">
        <v>202</v>
      </c>
      <c r="B780" s="628">
        <v>10</v>
      </c>
      <c r="C780" s="629" t="s">
        <v>13403</v>
      </c>
      <c r="D780" s="628">
        <f>VLOOKUP(C780,ORC.AUXILIAR!I:J,2,0)</f>
        <v>0</v>
      </c>
      <c r="G780" s="636">
        <f t="shared" si="72"/>
        <v>0</v>
      </c>
      <c r="H780" s="636" t="str">
        <f t="shared" si="73"/>
        <v>INS.ELET.33</v>
      </c>
      <c r="I780" s="637" t="str">
        <f>VLOOKUP(H780,ORC.AUXILIAR!I:P,4,0)</f>
        <v>m</v>
      </c>
      <c r="J780" s="636">
        <f>VLOOKUP(H780,ORC.AUXILIAR!I:P,5,0)</f>
        <v>10</v>
      </c>
      <c r="K780" s="638">
        <f t="shared" si="74"/>
        <v>10</v>
      </c>
      <c r="L780" s="639">
        <f>VLOOKUP(H780,ORC.AUXILIAR!I:P,7,0)</f>
        <v>20.2</v>
      </c>
      <c r="M780" s="639">
        <f>VLOOKUP(H780,ORC.AUXILIAR!I:P,8,0)</f>
        <v>202</v>
      </c>
      <c r="N780" s="639">
        <f t="shared" si="76"/>
        <v>2020</v>
      </c>
      <c r="O780" s="639">
        <f t="shared" si="77"/>
        <v>10258413539.419865</v>
      </c>
      <c r="P780" s="640">
        <f t="shared" si="75"/>
        <v>0.99995497751001705</v>
      </c>
    </row>
    <row r="781" spans="1:16">
      <c r="A781" s="627">
        <v>200.36</v>
      </c>
      <c r="B781" s="628">
        <v>4</v>
      </c>
      <c r="C781" s="629">
        <v>93026</v>
      </c>
      <c r="D781" s="628">
        <f>VLOOKUP(C781,ORC.AUXILIAR!I:J,2,0)</f>
        <v>0</v>
      </c>
      <c r="G781" s="636">
        <f t="shared" si="72"/>
        <v>0</v>
      </c>
      <c r="H781" s="636">
        <f t="shared" si="73"/>
        <v>93026</v>
      </c>
      <c r="I781" s="637" t="str">
        <f>VLOOKUP(H781,ORC.AUXILIAR!I:P,4,0)</f>
        <v>un</v>
      </c>
      <c r="J781" s="636">
        <f>VLOOKUP(H781,ORC.AUXILIAR!I:P,5,0)</f>
        <v>4</v>
      </c>
      <c r="K781" s="638">
        <f t="shared" si="74"/>
        <v>4</v>
      </c>
      <c r="L781" s="639">
        <f>VLOOKUP(H781,ORC.AUXILIAR!I:P,7,0)</f>
        <v>50.09</v>
      </c>
      <c r="M781" s="639">
        <f>VLOOKUP(H781,ORC.AUXILIAR!I:P,8,0)</f>
        <v>200.36</v>
      </c>
      <c r="N781" s="639">
        <f t="shared" si="76"/>
        <v>801.44</v>
      </c>
      <c r="O781" s="639">
        <f t="shared" si="77"/>
        <v>10258414340.859865</v>
      </c>
      <c r="P781" s="640">
        <f t="shared" si="75"/>
        <v>0.99995505563164033</v>
      </c>
    </row>
    <row r="782" spans="1:16">
      <c r="A782" s="627">
        <v>199.36</v>
      </c>
      <c r="B782" s="628">
        <v>32</v>
      </c>
      <c r="C782" s="629" t="s">
        <v>12914</v>
      </c>
      <c r="D782" s="628">
        <f>VLOOKUP(C782,ORC.AUXILIAR!I:J,2,0)</f>
        <v>0</v>
      </c>
      <c r="G782" s="636">
        <f t="shared" si="72"/>
        <v>0</v>
      </c>
      <c r="H782" s="636" t="str">
        <f t="shared" si="73"/>
        <v>RE.F°F°.21</v>
      </c>
      <c r="I782" s="637" t="str">
        <f>VLOOKUP(H782,ORC.AUXILIAR!I:P,4,0)</f>
        <v>pç</v>
      </c>
      <c r="J782" s="636">
        <f>VLOOKUP(H782,ORC.AUXILIAR!I:P,5,0)</f>
        <v>32</v>
      </c>
      <c r="K782" s="638">
        <f t="shared" si="74"/>
        <v>32</v>
      </c>
      <c r="L782" s="639">
        <f>VLOOKUP(H782,ORC.AUXILIAR!I:P,7,0)</f>
        <v>6.23</v>
      </c>
      <c r="M782" s="639">
        <f>VLOOKUP(H782,ORC.AUXILIAR!I:P,8,0)</f>
        <v>199.36</v>
      </c>
      <c r="N782" s="639">
        <f t="shared" si="76"/>
        <v>6379.52</v>
      </c>
      <c r="O782" s="639">
        <f t="shared" si="77"/>
        <v>10258420720.379866</v>
      </c>
      <c r="P782" s="640">
        <f t="shared" si="75"/>
        <v>0.99995567748537573</v>
      </c>
    </row>
    <row r="783" spans="1:16">
      <c r="A783" s="627">
        <v>198.72</v>
      </c>
      <c r="B783" s="628">
        <v>8</v>
      </c>
      <c r="C783" s="629" t="s">
        <v>13418</v>
      </c>
      <c r="D783" s="628">
        <f>VLOOKUP(C783,ORC.AUXILIAR!I:J,2,0)</f>
        <v>0</v>
      </c>
      <c r="G783" s="636">
        <f t="shared" si="72"/>
        <v>0</v>
      </c>
      <c r="H783" s="636" t="str">
        <f t="shared" si="73"/>
        <v>INS.ELET.42</v>
      </c>
      <c r="I783" s="637" t="str">
        <f>VLOOKUP(H783,ORC.AUXILIAR!I:P,4,0)</f>
        <v>un</v>
      </c>
      <c r="J783" s="636">
        <f>VLOOKUP(H783,ORC.AUXILIAR!I:P,5,0)</f>
        <v>8</v>
      </c>
      <c r="K783" s="638">
        <f t="shared" si="74"/>
        <v>8</v>
      </c>
      <c r="L783" s="639">
        <f>VLOOKUP(H783,ORC.AUXILIAR!I:P,7,0)</f>
        <v>24.84</v>
      </c>
      <c r="M783" s="639">
        <f>VLOOKUP(H783,ORC.AUXILIAR!I:P,8,0)</f>
        <v>198.72</v>
      </c>
      <c r="N783" s="639">
        <f t="shared" si="76"/>
        <v>1589.76</v>
      </c>
      <c r="O783" s="639">
        <f t="shared" si="77"/>
        <v>10258422310.139866</v>
      </c>
      <c r="P783" s="640">
        <f t="shared" si="75"/>
        <v>0.99995583244972952</v>
      </c>
    </row>
    <row r="784" spans="1:16">
      <c r="A784" s="627">
        <v>198.07</v>
      </c>
      <c r="B784" s="628">
        <v>1</v>
      </c>
      <c r="C784" s="629" t="s">
        <v>13600</v>
      </c>
      <c r="D784" s="628">
        <f>VLOOKUP(C784,ORC.AUXILIAR!I:J,2,0)</f>
        <v>0</v>
      </c>
      <c r="G784" s="636">
        <f t="shared" si="72"/>
        <v>0</v>
      </c>
      <c r="H784" s="636" t="str">
        <f t="shared" si="73"/>
        <v>QCM.BIOGAS.04</v>
      </c>
      <c r="I784" s="637" t="str">
        <f>VLOOKUP(H784,ORC.AUXILIAR!I:P,4,0)</f>
        <v>un</v>
      </c>
      <c r="J784" s="636">
        <f>VLOOKUP(H784,ORC.AUXILIAR!I:P,5,0)</f>
        <v>1</v>
      </c>
      <c r="K784" s="638">
        <f t="shared" si="74"/>
        <v>1</v>
      </c>
      <c r="L784" s="639">
        <f>VLOOKUP(H784,ORC.AUXILIAR!I:P,7,0)</f>
        <v>198.07</v>
      </c>
      <c r="M784" s="639">
        <f>VLOOKUP(H784,ORC.AUXILIAR!I:P,8,0)</f>
        <v>198.07</v>
      </c>
      <c r="N784" s="639">
        <f t="shared" si="76"/>
        <v>198.07</v>
      </c>
      <c r="O784" s="639">
        <f t="shared" si="77"/>
        <v>10258422508.209866</v>
      </c>
      <c r="P784" s="640">
        <f t="shared" si="75"/>
        <v>0.99995585175691393</v>
      </c>
    </row>
    <row r="785" spans="1:16">
      <c r="A785" s="627">
        <v>198.07</v>
      </c>
      <c r="B785" s="628">
        <v>1</v>
      </c>
      <c r="C785" s="629" t="s">
        <v>13621</v>
      </c>
      <c r="D785" s="628">
        <f>VLOOKUP(C785,ORC.AUXILIAR!I:J,2,0)</f>
        <v>0</v>
      </c>
      <c r="G785" s="636">
        <f t="shared" si="72"/>
        <v>0</v>
      </c>
      <c r="H785" s="636" t="str">
        <f t="shared" si="73"/>
        <v>QCM.BIOGAS.26</v>
      </c>
      <c r="I785" s="637" t="str">
        <f>VLOOKUP(H785,ORC.AUXILIAR!I:P,4,0)</f>
        <v>un</v>
      </c>
      <c r="J785" s="636">
        <f>VLOOKUP(H785,ORC.AUXILIAR!I:P,5,0)</f>
        <v>1</v>
      </c>
      <c r="K785" s="638">
        <f t="shared" si="74"/>
        <v>1</v>
      </c>
      <c r="L785" s="639">
        <f>VLOOKUP(H785,ORC.AUXILIAR!I:P,7,0)</f>
        <v>198.07</v>
      </c>
      <c r="M785" s="639">
        <f>VLOOKUP(H785,ORC.AUXILIAR!I:P,8,0)</f>
        <v>198.07</v>
      </c>
      <c r="N785" s="639">
        <f t="shared" si="76"/>
        <v>198.07</v>
      </c>
      <c r="O785" s="639">
        <f t="shared" si="77"/>
        <v>10258422706.279865</v>
      </c>
      <c r="P785" s="640">
        <f t="shared" si="75"/>
        <v>0.99995587106409833</v>
      </c>
    </row>
    <row r="786" spans="1:16">
      <c r="A786" s="627">
        <v>198.07</v>
      </c>
      <c r="B786" s="628">
        <v>1</v>
      </c>
      <c r="C786" s="629" t="s">
        <v>13762</v>
      </c>
      <c r="D786" s="628">
        <f>VLOOKUP(C786,ORC.AUXILIAR!I:J,2,0)</f>
        <v>0</v>
      </c>
      <c r="G786" s="636">
        <f t="shared" si="72"/>
        <v>0</v>
      </c>
      <c r="H786" s="636" t="str">
        <f t="shared" si="73"/>
        <v>QCM.CX.AREIA.03</v>
      </c>
      <c r="I786" s="637" t="str">
        <f>VLOOKUP(H786,ORC.AUXILIAR!I:P,4,0)</f>
        <v>Un</v>
      </c>
      <c r="J786" s="636">
        <f>VLOOKUP(H786,ORC.AUXILIAR!I:P,5,0)</f>
        <v>1</v>
      </c>
      <c r="K786" s="638">
        <f t="shared" si="74"/>
        <v>1</v>
      </c>
      <c r="L786" s="639">
        <f>VLOOKUP(H786,ORC.AUXILIAR!I:P,7,0)</f>
        <v>198.07</v>
      </c>
      <c r="M786" s="639">
        <f>VLOOKUP(H786,ORC.AUXILIAR!I:P,8,0)</f>
        <v>198.07</v>
      </c>
      <c r="N786" s="639">
        <f t="shared" si="76"/>
        <v>198.07</v>
      </c>
      <c r="O786" s="639">
        <f t="shared" si="77"/>
        <v>10258422904.349865</v>
      </c>
      <c r="P786" s="640">
        <f t="shared" si="75"/>
        <v>0.99995589037128274</v>
      </c>
    </row>
    <row r="787" spans="1:16">
      <c r="A787" s="627">
        <v>198.07</v>
      </c>
      <c r="B787" s="628">
        <v>1</v>
      </c>
      <c r="C787" s="629" t="s">
        <v>13773</v>
      </c>
      <c r="D787" s="628">
        <f>VLOOKUP(C787,ORC.AUXILIAR!I:J,2,0)</f>
        <v>0</v>
      </c>
      <c r="G787" s="636">
        <f t="shared" si="72"/>
        <v>0</v>
      </c>
      <c r="H787" s="636" t="str">
        <f t="shared" si="73"/>
        <v>QCM.CX.AREIA.13</v>
      </c>
      <c r="I787" s="637" t="str">
        <f>VLOOKUP(H787,ORC.AUXILIAR!I:P,4,0)</f>
        <v>Un</v>
      </c>
      <c r="J787" s="636">
        <f>VLOOKUP(H787,ORC.AUXILIAR!I:P,5,0)</f>
        <v>1</v>
      </c>
      <c r="K787" s="638">
        <f t="shared" si="74"/>
        <v>1</v>
      </c>
      <c r="L787" s="639">
        <f>VLOOKUP(H787,ORC.AUXILIAR!I:P,7,0)</f>
        <v>198.07</v>
      </c>
      <c r="M787" s="639">
        <f>VLOOKUP(H787,ORC.AUXILIAR!I:P,8,0)</f>
        <v>198.07</v>
      </c>
      <c r="N787" s="639">
        <f t="shared" si="76"/>
        <v>198.07</v>
      </c>
      <c r="O787" s="639">
        <f t="shared" si="77"/>
        <v>10258423102.419865</v>
      </c>
      <c r="P787" s="640">
        <f t="shared" si="75"/>
        <v>0.99995590967846715</v>
      </c>
    </row>
    <row r="788" spans="1:16">
      <c r="A788" s="627">
        <v>198.07</v>
      </c>
      <c r="B788" s="628">
        <v>1</v>
      </c>
      <c r="C788" s="629" t="s">
        <v>13694</v>
      </c>
      <c r="D788" s="628">
        <f>VLOOKUP(C788,ORC.AUXILIAR!I:J,2,0)</f>
        <v>0</v>
      </c>
      <c r="G788" s="636">
        <f t="shared" si="72"/>
        <v>0</v>
      </c>
      <c r="H788" s="636" t="str">
        <f t="shared" si="73"/>
        <v>QCM.EEE.07</v>
      </c>
      <c r="I788" s="637" t="str">
        <f>VLOOKUP(H788,ORC.AUXILIAR!I:P,4,0)</f>
        <v>Un</v>
      </c>
      <c r="J788" s="636">
        <f>VLOOKUP(H788,ORC.AUXILIAR!I:P,5,0)</f>
        <v>1</v>
      </c>
      <c r="K788" s="638">
        <f t="shared" si="74"/>
        <v>1</v>
      </c>
      <c r="L788" s="639">
        <f>VLOOKUP(H788,ORC.AUXILIAR!I:P,7,0)</f>
        <v>198.07</v>
      </c>
      <c r="M788" s="639">
        <f>VLOOKUP(H788,ORC.AUXILIAR!I:P,8,0)</f>
        <v>198.07</v>
      </c>
      <c r="N788" s="639">
        <f t="shared" si="76"/>
        <v>198.07</v>
      </c>
      <c r="O788" s="639">
        <f t="shared" si="77"/>
        <v>10258423300.489864</v>
      </c>
      <c r="P788" s="640">
        <f t="shared" si="75"/>
        <v>0.99995592898565167</v>
      </c>
    </row>
    <row r="789" spans="1:16">
      <c r="A789" s="627">
        <v>198.07</v>
      </c>
      <c r="B789" s="628">
        <v>1</v>
      </c>
      <c r="C789" s="629" t="s">
        <v>13713</v>
      </c>
      <c r="D789" s="628">
        <f>VLOOKUP(C789,ORC.AUXILIAR!I:J,2,0)</f>
        <v>0</v>
      </c>
      <c r="G789" s="636">
        <f t="shared" si="72"/>
        <v>0</v>
      </c>
      <c r="H789" s="636" t="str">
        <f t="shared" si="73"/>
        <v>QCM.EEE.18</v>
      </c>
      <c r="I789" s="637" t="str">
        <f>VLOOKUP(H789,ORC.AUXILIAR!I:P,4,0)</f>
        <v>Um</v>
      </c>
      <c r="J789" s="636">
        <f>VLOOKUP(H789,ORC.AUXILIAR!I:P,5,0)</f>
        <v>1</v>
      </c>
      <c r="K789" s="638">
        <f t="shared" si="74"/>
        <v>1</v>
      </c>
      <c r="L789" s="639">
        <f>VLOOKUP(H789,ORC.AUXILIAR!I:P,7,0)</f>
        <v>198.07</v>
      </c>
      <c r="M789" s="639">
        <f>VLOOKUP(H789,ORC.AUXILIAR!I:P,8,0)</f>
        <v>198.07</v>
      </c>
      <c r="N789" s="639">
        <f t="shared" si="76"/>
        <v>198.07</v>
      </c>
      <c r="O789" s="639">
        <f t="shared" si="77"/>
        <v>10258423498.559864</v>
      </c>
      <c r="P789" s="640">
        <f t="shared" si="75"/>
        <v>0.99995594829283607</v>
      </c>
    </row>
    <row r="790" spans="1:16">
      <c r="A790" s="627">
        <v>198.07</v>
      </c>
      <c r="B790" s="628">
        <v>1</v>
      </c>
      <c r="C790" s="629" t="s">
        <v>13587</v>
      </c>
      <c r="D790" s="628">
        <f>VLOOKUP(C790,ORC.AUXILIAR!I:J,2,0)</f>
        <v>0</v>
      </c>
      <c r="G790" s="636">
        <f t="shared" si="72"/>
        <v>0</v>
      </c>
      <c r="H790" s="636" t="str">
        <f t="shared" si="73"/>
        <v>QCM.HIP.28</v>
      </c>
      <c r="I790" s="637" t="str">
        <f>VLOOKUP(H790,ORC.AUXILIAR!I:P,4,0)</f>
        <v>un</v>
      </c>
      <c r="J790" s="636">
        <f>VLOOKUP(H790,ORC.AUXILIAR!I:P,5,0)</f>
        <v>1</v>
      </c>
      <c r="K790" s="638">
        <f t="shared" si="74"/>
        <v>1</v>
      </c>
      <c r="L790" s="639">
        <f>VLOOKUP(H790,ORC.AUXILIAR!I:P,7,0)</f>
        <v>198.07</v>
      </c>
      <c r="M790" s="639">
        <f>VLOOKUP(H790,ORC.AUXILIAR!I:P,8,0)</f>
        <v>198.07</v>
      </c>
      <c r="N790" s="639">
        <f t="shared" si="76"/>
        <v>198.07</v>
      </c>
      <c r="O790" s="639">
        <f t="shared" si="77"/>
        <v>10258423696.629864</v>
      </c>
      <c r="P790" s="640">
        <f t="shared" si="75"/>
        <v>0.99995596760002048</v>
      </c>
    </row>
    <row r="791" spans="1:16">
      <c r="A791" s="627">
        <v>193.62</v>
      </c>
      <c r="B791" s="628">
        <v>3</v>
      </c>
      <c r="C791" s="629" t="s">
        <v>13842</v>
      </c>
      <c r="D791" s="628">
        <f>VLOOKUP(C791,ORC.AUXILIAR!I:J,2,0)</f>
        <v>0</v>
      </c>
      <c r="G791" s="636">
        <f t="shared" si="72"/>
        <v>0</v>
      </c>
      <c r="H791" s="636" t="str">
        <f t="shared" si="73"/>
        <v>INST.HIPOCL.14</v>
      </c>
      <c r="I791" s="637" t="str">
        <f>VLOOKUP(H791,ORC.AUXILIAR!I:P,4,0)</f>
        <v>un</v>
      </c>
      <c r="J791" s="636">
        <f>VLOOKUP(H791,ORC.AUXILIAR!I:P,5,0)</f>
        <v>3</v>
      </c>
      <c r="K791" s="638">
        <f t="shared" si="74"/>
        <v>3</v>
      </c>
      <c r="L791" s="639">
        <f>VLOOKUP(H791,ORC.AUXILIAR!I:P,7,0)</f>
        <v>64.540000000000006</v>
      </c>
      <c r="M791" s="639">
        <f>VLOOKUP(H791,ORC.AUXILIAR!I:P,8,0)</f>
        <v>193.62</v>
      </c>
      <c r="N791" s="639">
        <f t="shared" si="76"/>
        <v>580.86</v>
      </c>
      <c r="O791" s="639">
        <f t="shared" si="77"/>
        <v>10258424277.489864</v>
      </c>
      <c r="P791" s="640">
        <f t="shared" si="75"/>
        <v>0.99995602422026164</v>
      </c>
    </row>
    <row r="792" spans="1:16">
      <c r="A792" s="627">
        <v>191.24</v>
      </c>
      <c r="B792" s="628">
        <v>2</v>
      </c>
      <c r="C792" s="629" t="s">
        <v>16909</v>
      </c>
      <c r="D792" s="628">
        <f>VLOOKUP(C792,ORC.AUXILIAR!I:J,2,0)</f>
        <v>0</v>
      </c>
      <c r="G792" s="636">
        <f t="shared" si="72"/>
        <v>0</v>
      </c>
      <c r="H792" s="636" t="str">
        <f t="shared" si="73"/>
        <v>73953/6</v>
      </c>
      <c r="I792" s="637" t="str">
        <f>VLOOKUP(H792,ORC.AUXILIAR!I:P,4,0)</f>
        <v>um</v>
      </c>
      <c r="J792" s="636">
        <f>VLOOKUP(H792,ORC.AUXILIAR!I:P,5,0)</f>
        <v>2</v>
      </c>
      <c r="K792" s="638">
        <f t="shared" si="74"/>
        <v>2</v>
      </c>
      <c r="L792" s="639">
        <f>VLOOKUP(H792,ORC.AUXILIAR!I:P,7,0)</f>
        <v>95.62</v>
      </c>
      <c r="M792" s="639">
        <f>VLOOKUP(H792,ORC.AUXILIAR!I:P,8,0)</f>
        <v>191.24</v>
      </c>
      <c r="N792" s="639">
        <f t="shared" si="76"/>
        <v>382.48</v>
      </c>
      <c r="O792" s="639">
        <f t="shared" si="77"/>
        <v>10258424659.969864</v>
      </c>
      <c r="P792" s="640">
        <f t="shared" si="75"/>
        <v>0.99995606150310057</v>
      </c>
    </row>
    <row r="793" spans="1:16">
      <c r="A793" s="627">
        <v>189.75</v>
      </c>
      <c r="B793" s="628">
        <v>1265</v>
      </c>
      <c r="C793" s="629">
        <v>91108</v>
      </c>
      <c r="D793" s="628">
        <f>VLOOKUP(C793,ORC.AUXILIAR!I:J,2,0)</f>
        <v>0</v>
      </c>
      <c r="G793" s="636">
        <f t="shared" si="72"/>
        <v>0</v>
      </c>
      <c r="H793" s="636">
        <f t="shared" si="73"/>
        <v>91108</v>
      </c>
      <c r="I793" s="637" t="str">
        <f>VLOOKUP(H793,ORC.AUXILIAR!I:P,4,0)</f>
        <v>M</v>
      </c>
      <c r="J793" s="636">
        <f>VLOOKUP(H793,ORC.AUXILIAR!I:P,5,0)</f>
        <v>1265</v>
      </c>
      <c r="K793" s="638">
        <f t="shared" si="74"/>
        <v>1265</v>
      </c>
      <c r="L793" s="639">
        <f>VLOOKUP(H793,ORC.AUXILIAR!I:P,7,0)</f>
        <v>0.15</v>
      </c>
      <c r="M793" s="639">
        <f>VLOOKUP(H793,ORC.AUXILIAR!I:P,8,0)</f>
        <v>189.75</v>
      </c>
      <c r="N793" s="639">
        <f t="shared" si="76"/>
        <v>240033.75</v>
      </c>
      <c r="O793" s="639">
        <f t="shared" si="77"/>
        <v>10258664693.719864</v>
      </c>
      <c r="P793" s="640">
        <f t="shared" si="75"/>
        <v>0.99997945917001663</v>
      </c>
    </row>
    <row r="794" spans="1:16">
      <c r="A794" s="627">
        <v>189.3</v>
      </c>
      <c r="B794" s="628">
        <v>6</v>
      </c>
      <c r="C794" s="629">
        <v>3298</v>
      </c>
      <c r="D794" s="628">
        <f>VLOOKUP(C794,ORC.AUXILIAR!I:J,2,0)</f>
        <v>0</v>
      </c>
      <c r="G794" s="636">
        <f t="shared" si="72"/>
        <v>0</v>
      </c>
      <c r="H794" s="636">
        <f t="shared" si="73"/>
        <v>3298</v>
      </c>
      <c r="I794" s="637" t="str">
        <f>VLOOKUP(H794,ORC.AUXILIAR!I:P,4,0)</f>
        <v>Un</v>
      </c>
      <c r="J794" s="636">
        <f>VLOOKUP(H794,ORC.AUXILIAR!I:P,5,0)</f>
        <v>6</v>
      </c>
      <c r="K794" s="638">
        <f t="shared" si="74"/>
        <v>6</v>
      </c>
      <c r="L794" s="639">
        <f>VLOOKUP(H794,ORC.AUXILIAR!I:P,7,0)</f>
        <v>31.55</v>
      </c>
      <c r="M794" s="639">
        <f>VLOOKUP(H794,ORC.AUXILIAR!I:P,8,0)</f>
        <v>189.3</v>
      </c>
      <c r="N794" s="639">
        <f t="shared" si="76"/>
        <v>1135.8000000000002</v>
      </c>
      <c r="O794" s="639">
        <f t="shared" si="77"/>
        <v>10258665829.519863</v>
      </c>
      <c r="P794" s="640">
        <f t="shared" si="75"/>
        <v>0.99997956988390613</v>
      </c>
    </row>
    <row r="795" spans="1:16">
      <c r="A795" s="627">
        <v>186.16</v>
      </c>
      <c r="B795" s="628">
        <v>1</v>
      </c>
      <c r="C795" s="629">
        <v>13393</v>
      </c>
      <c r="D795" s="628">
        <f>VLOOKUP(C795,ORC.AUXILIAR!I:J,2,0)</f>
        <v>0</v>
      </c>
      <c r="G795" s="636">
        <f t="shared" si="72"/>
        <v>0</v>
      </c>
      <c r="H795" s="636">
        <f t="shared" si="73"/>
        <v>13393</v>
      </c>
      <c r="I795" s="637" t="str">
        <f>VLOOKUP(H795,ORC.AUXILIAR!I:P,4,0)</f>
        <v>un</v>
      </c>
      <c r="J795" s="636">
        <f>VLOOKUP(H795,ORC.AUXILIAR!I:P,5,0)</f>
        <v>1</v>
      </c>
      <c r="K795" s="638">
        <f t="shared" si="74"/>
        <v>1</v>
      </c>
      <c r="L795" s="639">
        <f>VLOOKUP(H795,ORC.AUXILIAR!I:P,7,0)</f>
        <v>186.16</v>
      </c>
      <c r="M795" s="639">
        <f>VLOOKUP(H795,ORC.AUXILIAR!I:P,8,0)</f>
        <v>186.16</v>
      </c>
      <c r="N795" s="639">
        <f t="shared" si="76"/>
        <v>186.16</v>
      </c>
      <c r="O795" s="639">
        <f t="shared" si="77"/>
        <v>10258666015.679863</v>
      </c>
      <c r="P795" s="640">
        <f t="shared" si="75"/>
        <v>0.99997958803014464</v>
      </c>
    </row>
    <row r="796" spans="1:16">
      <c r="A796" s="627">
        <v>184.26</v>
      </c>
      <c r="B796" s="628">
        <v>1</v>
      </c>
      <c r="C796" s="629" t="s">
        <v>12796</v>
      </c>
      <c r="D796" s="628">
        <f>VLOOKUP(C796,ORC.AUXILIAR!I:J,2,0)</f>
        <v>0</v>
      </c>
      <c r="G796" s="636">
        <f t="shared" si="72"/>
        <v>0</v>
      </c>
      <c r="H796" s="636" t="str">
        <f t="shared" si="73"/>
        <v>TB.AI.08</v>
      </c>
      <c r="I796" s="637" t="str">
        <f>VLOOKUP(H796,ORC.AUXILIAR!I:P,4,0)</f>
        <v>un</v>
      </c>
      <c r="J796" s="636">
        <f>VLOOKUP(H796,ORC.AUXILIAR!I:P,5,0)</f>
        <v>1</v>
      </c>
      <c r="K796" s="638">
        <f t="shared" si="74"/>
        <v>1</v>
      </c>
      <c r="L796" s="639">
        <f>VLOOKUP(H796,ORC.AUXILIAR!I:P,7,0)</f>
        <v>184.26</v>
      </c>
      <c r="M796" s="639">
        <f>VLOOKUP(H796,ORC.AUXILIAR!I:P,8,0)</f>
        <v>184.26</v>
      </c>
      <c r="N796" s="639">
        <f t="shared" si="76"/>
        <v>184.26</v>
      </c>
      <c r="O796" s="639">
        <f t="shared" si="77"/>
        <v>10258666199.939863</v>
      </c>
      <c r="P796" s="640">
        <f t="shared" si="75"/>
        <v>0.99997960599117763</v>
      </c>
    </row>
    <row r="797" spans="1:16">
      <c r="A797" s="627">
        <v>184.20000000000002</v>
      </c>
      <c r="B797" s="628">
        <v>20</v>
      </c>
      <c r="C797" s="629">
        <v>91902</v>
      </c>
      <c r="D797" s="628">
        <f>VLOOKUP(C797,ORC.AUXILIAR!I:J,2,0)</f>
        <v>0</v>
      </c>
      <c r="G797" s="636">
        <f t="shared" si="72"/>
        <v>0</v>
      </c>
      <c r="H797" s="636">
        <f t="shared" si="73"/>
        <v>91902</v>
      </c>
      <c r="I797" s="637" t="str">
        <f>VLOOKUP(H797,ORC.AUXILIAR!I:P,4,0)</f>
        <v>um</v>
      </c>
      <c r="J797" s="636">
        <f>VLOOKUP(H797,ORC.AUXILIAR!I:P,5,0)</f>
        <v>20</v>
      </c>
      <c r="K797" s="638">
        <f t="shared" si="74"/>
        <v>20</v>
      </c>
      <c r="L797" s="639">
        <f>VLOOKUP(H797,ORC.AUXILIAR!I:P,7,0)</f>
        <v>9.2100000000000009</v>
      </c>
      <c r="M797" s="639">
        <f>VLOOKUP(H797,ORC.AUXILIAR!I:P,8,0)</f>
        <v>184.2</v>
      </c>
      <c r="N797" s="639">
        <f t="shared" si="76"/>
        <v>3684</v>
      </c>
      <c r="O797" s="639">
        <f t="shared" si="77"/>
        <v>10258669883.939863</v>
      </c>
      <c r="P797" s="640">
        <f t="shared" si="75"/>
        <v>0.99997996509486586</v>
      </c>
    </row>
    <row r="798" spans="1:16">
      <c r="A798" s="627">
        <v>183.38</v>
      </c>
      <c r="B798" s="628">
        <v>2</v>
      </c>
      <c r="C798" s="629">
        <v>10510</v>
      </c>
      <c r="D798" s="628">
        <f>VLOOKUP(C798,ORC.AUXILIAR!I:J,2,0)</f>
        <v>0</v>
      </c>
      <c r="G798" s="636">
        <f t="shared" si="72"/>
        <v>0</v>
      </c>
      <c r="H798" s="636">
        <f t="shared" si="73"/>
        <v>10510</v>
      </c>
      <c r="I798" s="637" t="str">
        <f>VLOOKUP(H798,ORC.AUXILIAR!I:P,4,0)</f>
        <v>un</v>
      </c>
      <c r="J798" s="636">
        <f>VLOOKUP(H798,ORC.AUXILIAR!I:P,5,0)</f>
        <v>2</v>
      </c>
      <c r="K798" s="638">
        <f t="shared" si="74"/>
        <v>2</v>
      </c>
      <c r="L798" s="639">
        <f>VLOOKUP(H798,ORC.AUXILIAR!I:P,7,0)</f>
        <v>91.69</v>
      </c>
      <c r="M798" s="639">
        <f>VLOOKUP(H798,ORC.AUXILIAR!I:P,8,0)</f>
        <v>183.38</v>
      </c>
      <c r="N798" s="639">
        <f t="shared" si="76"/>
        <v>366.76</v>
      </c>
      <c r="O798" s="639">
        <f t="shared" si="77"/>
        <v>10258670250.699863</v>
      </c>
      <c r="P798" s="640">
        <f t="shared" si="75"/>
        <v>0.99998000084537308</v>
      </c>
    </row>
    <row r="799" spans="1:16">
      <c r="A799" s="627">
        <v>182.9862</v>
      </c>
      <c r="B799" s="628">
        <v>24.93</v>
      </c>
      <c r="C799" s="629">
        <v>1424</v>
      </c>
      <c r="D799" s="628">
        <f>VLOOKUP(C799,ORC.AUXILIAR!I:J,2,0)</f>
        <v>0</v>
      </c>
      <c r="G799" s="636">
        <f t="shared" si="72"/>
        <v>0</v>
      </c>
      <c r="H799" s="636">
        <f t="shared" si="73"/>
        <v>1424</v>
      </c>
      <c r="I799" s="637" t="str">
        <f>VLOOKUP(H799,ORC.AUXILIAR!I:P,4,0)</f>
        <v>M</v>
      </c>
      <c r="J799" s="636">
        <f>VLOOKUP(H799,ORC.AUXILIAR!I:P,5,0)</f>
        <v>0</v>
      </c>
      <c r="K799" s="638">
        <f t="shared" si="74"/>
        <v>24.93</v>
      </c>
      <c r="L799" s="639">
        <f>VLOOKUP(H799,ORC.AUXILIAR!I:P,7,0)</f>
        <v>7.34</v>
      </c>
      <c r="M799" s="639">
        <f>VLOOKUP(H799,ORC.AUXILIAR!I:P,8,0)</f>
        <v>0</v>
      </c>
      <c r="N799" s="639">
        <f t="shared" si="76"/>
        <v>0</v>
      </c>
      <c r="O799" s="639">
        <f t="shared" si="77"/>
        <v>10258670250.699863</v>
      </c>
      <c r="P799" s="640">
        <f t="shared" si="75"/>
        <v>0.99998000084537308</v>
      </c>
    </row>
    <row r="800" spans="1:16">
      <c r="A800" s="627">
        <v>182.8</v>
      </c>
      <c r="B800" s="628">
        <v>1</v>
      </c>
      <c r="C800" s="629" t="s">
        <v>12709</v>
      </c>
      <c r="D800" s="628">
        <f>VLOOKUP(C800,ORC.AUXILIAR!I:J,2,0)</f>
        <v>0</v>
      </c>
      <c r="G800" s="636">
        <f t="shared" si="72"/>
        <v>0</v>
      </c>
      <c r="H800" s="636" t="str">
        <f t="shared" si="73"/>
        <v>RE.AI.07</v>
      </c>
      <c r="I800" s="637" t="str">
        <f>VLOOKUP(H800,ORC.AUXILIAR!I:P,4,0)</f>
        <v>pç</v>
      </c>
      <c r="J800" s="636">
        <f>VLOOKUP(H800,ORC.AUXILIAR!I:P,5,0)</f>
        <v>1</v>
      </c>
      <c r="K800" s="638">
        <f t="shared" si="74"/>
        <v>1</v>
      </c>
      <c r="L800" s="639">
        <f>VLOOKUP(H800,ORC.AUXILIAR!I:P,7,0)</f>
        <v>182.8</v>
      </c>
      <c r="M800" s="639">
        <f>VLOOKUP(H800,ORC.AUXILIAR!I:P,8,0)</f>
        <v>182.8</v>
      </c>
      <c r="N800" s="639">
        <f t="shared" si="76"/>
        <v>182.8</v>
      </c>
      <c r="O800" s="639">
        <f t="shared" si="77"/>
        <v>10258670433.499863</v>
      </c>
      <c r="P800" s="640">
        <f t="shared" si="75"/>
        <v>0.99998001866409025</v>
      </c>
    </row>
    <row r="801" spans="1:16">
      <c r="A801" s="627">
        <v>182.78</v>
      </c>
      <c r="B801" s="628">
        <v>26</v>
      </c>
      <c r="C801" s="629">
        <v>9859</v>
      </c>
      <c r="D801" s="628">
        <f>VLOOKUP(C801,ORC.AUXILIAR!I:J,2,0)</f>
        <v>0</v>
      </c>
      <c r="G801" s="636">
        <f t="shared" si="72"/>
        <v>0</v>
      </c>
      <c r="H801" s="636">
        <f t="shared" si="73"/>
        <v>9859</v>
      </c>
      <c r="I801" s="637" t="str">
        <f>VLOOKUP(H801,ORC.AUXILIAR!I:P,4,0)</f>
        <v>m</v>
      </c>
      <c r="J801" s="636">
        <f>VLOOKUP(H801,ORC.AUXILIAR!I:P,5,0)</f>
        <v>8</v>
      </c>
      <c r="K801" s="638">
        <f t="shared" si="74"/>
        <v>26</v>
      </c>
      <c r="L801" s="639">
        <f>VLOOKUP(H801,ORC.AUXILIAR!I:P,7,0)</f>
        <v>7.03</v>
      </c>
      <c r="M801" s="639">
        <f>VLOOKUP(H801,ORC.AUXILIAR!I:P,8,0)</f>
        <v>56.24</v>
      </c>
      <c r="N801" s="639">
        <f t="shared" si="76"/>
        <v>1462.24</v>
      </c>
      <c r="O801" s="639">
        <f t="shared" si="77"/>
        <v>10258671895.739862</v>
      </c>
      <c r="P801" s="640">
        <f t="shared" si="75"/>
        <v>0.99998016119823163</v>
      </c>
    </row>
    <row r="802" spans="1:16">
      <c r="A802" s="627">
        <v>182.25</v>
      </c>
      <c r="B802" s="628">
        <v>5</v>
      </c>
      <c r="C802" s="629" t="s">
        <v>12760</v>
      </c>
      <c r="D802" s="628">
        <f>VLOOKUP(C802,ORC.AUXILIAR!I:J,2,0)</f>
        <v>0</v>
      </c>
      <c r="G802" s="636">
        <f t="shared" si="72"/>
        <v>0</v>
      </c>
      <c r="H802" s="636" t="str">
        <f t="shared" si="73"/>
        <v>RE.AI.33</v>
      </c>
      <c r="I802" s="637" t="str">
        <f>VLOOKUP(H802,ORC.AUXILIAR!I:P,4,0)</f>
        <v>m</v>
      </c>
      <c r="J802" s="636">
        <f>VLOOKUP(H802,ORC.AUXILIAR!I:P,5,0)</f>
        <v>5</v>
      </c>
      <c r="K802" s="638">
        <f t="shared" si="74"/>
        <v>5</v>
      </c>
      <c r="L802" s="639">
        <f>VLOOKUP(H802,ORC.AUXILIAR!I:P,7,0)</f>
        <v>36.450000000000003</v>
      </c>
      <c r="M802" s="639">
        <f>VLOOKUP(H802,ORC.AUXILIAR!I:P,8,0)</f>
        <v>182.25</v>
      </c>
      <c r="N802" s="639">
        <f t="shared" si="76"/>
        <v>911.25</v>
      </c>
      <c r="O802" s="639">
        <f t="shared" si="77"/>
        <v>10258672806.989862</v>
      </c>
      <c r="P802" s="640">
        <f t="shared" si="75"/>
        <v>0.99998025002375712</v>
      </c>
    </row>
    <row r="803" spans="1:16">
      <c r="A803" s="627">
        <v>181.79999999999998</v>
      </c>
      <c r="B803" s="628">
        <v>30</v>
      </c>
      <c r="C803" s="629">
        <v>91867</v>
      </c>
      <c r="D803" s="628">
        <f>VLOOKUP(C803,ORC.AUXILIAR!I:J,2,0)</f>
        <v>0</v>
      </c>
      <c r="G803" s="636">
        <f t="shared" si="72"/>
        <v>0</v>
      </c>
      <c r="H803" s="636">
        <f t="shared" si="73"/>
        <v>91867</v>
      </c>
      <c r="I803" s="637" t="str">
        <f>VLOOKUP(H803,ORC.AUXILIAR!I:P,4,0)</f>
        <v>m</v>
      </c>
      <c r="J803" s="636">
        <f>VLOOKUP(H803,ORC.AUXILIAR!I:P,5,0)</f>
        <v>30</v>
      </c>
      <c r="K803" s="638">
        <f t="shared" si="74"/>
        <v>30</v>
      </c>
      <c r="L803" s="639">
        <f>VLOOKUP(H803,ORC.AUXILIAR!I:P,7,0)</f>
        <v>6.06</v>
      </c>
      <c r="M803" s="639">
        <f>VLOOKUP(H803,ORC.AUXILIAR!I:P,8,0)</f>
        <v>181.8</v>
      </c>
      <c r="N803" s="639">
        <f t="shared" si="76"/>
        <v>5454</v>
      </c>
      <c r="O803" s="639">
        <f t="shared" si="77"/>
        <v>10258678260.989862</v>
      </c>
      <c r="P803" s="640">
        <f t="shared" si="75"/>
        <v>0.99998078166097626</v>
      </c>
    </row>
    <row r="804" spans="1:16">
      <c r="A804" s="627">
        <v>179.10000000000002</v>
      </c>
      <c r="B804" s="628">
        <v>6</v>
      </c>
      <c r="C804" s="629">
        <v>1824</v>
      </c>
      <c r="D804" s="628">
        <f>VLOOKUP(C804,ORC.AUXILIAR!I:J,2,0)</f>
        <v>0</v>
      </c>
      <c r="G804" s="636">
        <f t="shared" si="72"/>
        <v>0</v>
      </c>
      <c r="H804" s="636">
        <f t="shared" si="73"/>
        <v>1824</v>
      </c>
      <c r="I804" s="637" t="str">
        <f>VLOOKUP(H804,ORC.AUXILIAR!I:P,4,0)</f>
        <v>pç</v>
      </c>
      <c r="J804" s="636">
        <f>VLOOKUP(H804,ORC.AUXILIAR!I:P,5,0)</f>
        <v>6</v>
      </c>
      <c r="K804" s="638">
        <f t="shared" si="74"/>
        <v>6</v>
      </c>
      <c r="L804" s="639">
        <f>VLOOKUP(H804,ORC.AUXILIAR!I:P,7,0)</f>
        <v>29.85</v>
      </c>
      <c r="M804" s="639">
        <f>VLOOKUP(H804,ORC.AUXILIAR!I:P,8,0)</f>
        <v>179.1</v>
      </c>
      <c r="N804" s="639">
        <f t="shared" si="76"/>
        <v>1074.5999999999999</v>
      </c>
      <c r="O804" s="639">
        <f t="shared" si="77"/>
        <v>10258679335.589863</v>
      </c>
      <c r="P804" s="640">
        <f t="shared" si="75"/>
        <v>0.99998088640929972</v>
      </c>
    </row>
    <row r="805" spans="1:16">
      <c r="A805" s="627">
        <v>176.8</v>
      </c>
      <c r="B805" s="628">
        <v>16</v>
      </c>
      <c r="C805" s="629" t="s">
        <v>12699</v>
      </c>
      <c r="D805" s="628">
        <f>VLOOKUP(C805,ORC.AUXILIAR!I:J,2,0)</f>
        <v>0</v>
      </c>
      <c r="G805" s="636">
        <f t="shared" si="72"/>
        <v>0</v>
      </c>
      <c r="H805" s="636" t="str">
        <f t="shared" si="73"/>
        <v>RE.AI.02</v>
      </c>
      <c r="I805" s="637" t="str">
        <f>VLOOKUP(H805,ORC.AUXILIAR!I:P,4,0)</f>
        <v>pç</v>
      </c>
      <c r="J805" s="636">
        <f>VLOOKUP(H805,ORC.AUXILIAR!I:P,5,0)</f>
        <v>16</v>
      </c>
      <c r="K805" s="638">
        <f t="shared" si="74"/>
        <v>16</v>
      </c>
      <c r="L805" s="639">
        <f>VLOOKUP(H805,ORC.AUXILIAR!I:P,7,0)</f>
        <v>11.05</v>
      </c>
      <c r="M805" s="639">
        <f>VLOOKUP(H805,ORC.AUXILIAR!I:P,8,0)</f>
        <v>176.8</v>
      </c>
      <c r="N805" s="639">
        <f t="shared" si="76"/>
        <v>2828.8</v>
      </c>
      <c r="O805" s="639">
        <f t="shared" si="77"/>
        <v>10258682164.389862</v>
      </c>
      <c r="P805" s="640">
        <f t="shared" si="75"/>
        <v>0.99998116215102417</v>
      </c>
    </row>
    <row r="806" spans="1:16">
      <c r="A806" s="627">
        <v>175.23</v>
      </c>
      <c r="B806" s="628">
        <v>11</v>
      </c>
      <c r="C806" s="629">
        <v>6032</v>
      </c>
      <c r="D806" s="628">
        <f>VLOOKUP(C806,ORC.AUXILIAR!I:J,2,0)</f>
        <v>0</v>
      </c>
      <c r="G806" s="636">
        <f t="shared" si="72"/>
        <v>0</v>
      </c>
      <c r="H806" s="636">
        <f t="shared" si="73"/>
        <v>6032</v>
      </c>
      <c r="I806" s="637" t="str">
        <f>VLOOKUP(H806,ORC.AUXILIAR!I:P,4,0)</f>
        <v>un</v>
      </c>
      <c r="J806" s="636">
        <f>VLOOKUP(H806,ORC.AUXILIAR!I:P,5,0)</f>
        <v>11</v>
      </c>
      <c r="K806" s="638">
        <f t="shared" si="74"/>
        <v>11</v>
      </c>
      <c r="L806" s="639">
        <f>VLOOKUP(H806,ORC.AUXILIAR!I:P,7,0)</f>
        <v>15.93</v>
      </c>
      <c r="M806" s="639">
        <f>VLOOKUP(H806,ORC.AUXILIAR!I:P,8,0)</f>
        <v>175.23</v>
      </c>
      <c r="N806" s="639">
        <f t="shared" si="76"/>
        <v>1927.53</v>
      </c>
      <c r="O806" s="639">
        <f t="shared" si="77"/>
        <v>10258684091.919863</v>
      </c>
      <c r="P806" s="640">
        <f t="shared" si="75"/>
        <v>0.99998135004003952</v>
      </c>
    </row>
    <row r="807" spans="1:16">
      <c r="A807" s="627">
        <v>172.44</v>
      </c>
      <c r="B807" s="628">
        <v>2</v>
      </c>
      <c r="C807" s="629" t="s">
        <v>13721</v>
      </c>
      <c r="D807" s="628">
        <f>VLOOKUP(C807,ORC.AUXILIAR!I:J,2,0)</f>
        <v>0</v>
      </c>
      <c r="G807" s="636">
        <f t="shared" si="72"/>
        <v>0</v>
      </c>
      <c r="H807" s="636" t="str">
        <f t="shared" si="73"/>
        <v>QCM.EEE.22</v>
      </c>
      <c r="I807" s="637" t="str">
        <f>VLOOKUP(H807,ORC.AUXILIAR!I:P,4,0)</f>
        <v>Un</v>
      </c>
      <c r="J807" s="636">
        <f>VLOOKUP(H807,ORC.AUXILIAR!I:P,5,0)</f>
        <v>2</v>
      </c>
      <c r="K807" s="638">
        <f t="shared" si="74"/>
        <v>2</v>
      </c>
      <c r="L807" s="639">
        <f>VLOOKUP(H807,ORC.AUXILIAR!I:P,7,0)</f>
        <v>86.22</v>
      </c>
      <c r="M807" s="639">
        <f>VLOOKUP(H807,ORC.AUXILIAR!I:P,8,0)</f>
        <v>172.44</v>
      </c>
      <c r="N807" s="639">
        <f t="shared" si="76"/>
        <v>344.88</v>
      </c>
      <c r="O807" s="639">
        <f t="shared" si="77"/>
        <v>10258684436.799862</v>
      </c>
      <c r="P807" s="640">
        <f t="shared" si="75"/>
        <v>0.99998138365775924</v>
      </c>
    </row>
    <row r="808" spans="1:16">
      <c r="A808" s="627">
        <v>169.60000000000002</v>
      </c>
      <c r="B808" s="628">
        <v>320</v>
      </c>
      <c r="C808" s="629" t="s">
        <v>14380</v>
      </c>
      <c r="D808" s="628">
        <f>VLOOKUP(C808,ORC.AUXILIAR!I:J,2,0)</f>
        <v>0</v>
      </c>
      <c r="G808" s="636">
        <f t="shared" si="72"/>
        <v>0</v>
      </c>
      <c r="H808" s="636" t="str">
        <f t="shared" si="73"/>
        <v>REATOR.FB.24</v>
      </c>
      <c r="I808" s="637" t="str">
        <f>VLOOKUP(H808,ORC.AUXILIAR!I:P,4,0)</f>
        <v>pç</v>
      </c>
      <c r="J808" s="636">
        <f>VLOOKUP(H808,ORC.AUXILIAR!I:P,5,0)</f>
        <v>320</v>
      </c>
      <c r="K808" s="638">
        <f t="shared" si="74"/>
        <v>320</v>
      </c>
      <c r="L808" s="639">
        <f>VLOOKUP(H808,ORC.AUXILIAR!I:P,7,0)</f>
        <v>0.53</v>
      </c>
      <c r="M808" s="639">
        <f>VLOOKUP(H808,ORC.AUXILIAR!I:P,8,0)</f>
        <v>169.6</v>
      </c>
      <c r="N808" s="639">
        <f t="shared" si="76"/>
        <v>54272</v>
      </c>
      <c r="O808" s="639">
        <f t="shared" si="77"/>
        <v>10258738708.799862</v>
      </c>
      <c r="P808" s="640">
        <f t="shared" si="75"/>
        <v>0.99998667390623008</v>
      </c>
    </row>
    <row r="809" spans="1:16">
      <c r="A809" s="627">
        <v>169.6</v>
      </c>
      <c r="B809" s="628">
        <v>16</v>
      </c>
      <c r="C809" s="629" t="s">
        <v>13770</v>
      </c>
      <c r="D809" s="628">
        <f>VLOOKUP(C809,ORC.AUXILIAR!I:J,2,0)</f>
        <v>0</v>
      </c>
      <c r="G809" s="636">
        <f t="shared" si="72"/>
        <v>0</v>
      </c>
      <c r="H809" s="636" t="str">
        <f t="shared" si="73"/>
        <v>QCM.CX.AREIA.10</v>
      </c>
      <c r="I809" s="637" t="str">
        <f>VLOOKUP(H809,ORC.AUXILIAR!I:P,4,0)</f>
        <v>Un</v>
      </c>
      <c r="J809" s="636">
        <f>VLOOKUP(H809,ORC.AUXILIAR!I:P,5,0)</f>
        <v>16</v>
      </c>
      <c r="K809" s="638">
        <f t="shared" si="74"/>
        <v>16</v>
      </c>
      <c r="L809" s="639">
        <f>VLOOKUP(H809,ORC.AUXILIAR!I:P,7,0)</f>
        <v>10.6</v>
      </c>
      <c r="M809" s="639">
        <f>VLOOKUP(H809,ORC.AUXILIAR!I:P,8,0)</f>
        <v>169.6</v>
      </c>
      <c r="N809" s="639">
        <f t="shared" si="76"/>
        <v>2713.6</v>
      </c>
      <c r="O809" s="639">
        <f t="shared" si="77"/>
        <v>10258741422.399862</v>
      </c>
      <c r="P809" s="640">
        <f t="shared" si="75"/>
        <v>0.9999869384186536</v>
      </c>
    </row>
    <row r="810" spans="1:16">
      <c r="A810" s="627">
        <v>169.6</v>
      </c>
      <c r="B810" s="628">
        <v>16</v>
      </c>
      <c r="C810" s="629" t="s">
        <v>13706</v>
      </c>
      <c r="D810" s="628">
        <f>VLOOKUP(C810,ORC.AUXILIAR!I:J,2,0)</f>
        <v>0</v>
      </c>
      <c r="G810" s="636">
        <f t="shared" si="72"/>
        <v>0</v>
      </c>
      <c r="H810" s="636" t="str">
        <f t="shared" si="73"/>
        <v>QCM.EEE.14</v>
      </c>
      <c r="I810" s="637" t="str">
        <f>VLOOKUP(H810,ORC.AUXILIAR!I:P,4,0)</f>
        <v>Un</v>
      </c>
      <c r="J810" s="636">
        <f>VLOOKUP(H810,ORC.AUXILIAR!I:P,5,0)</f>
        <v>16</v>
      </c>
      <c r="K810" s="638">
        <f t="shared" si="74"/>
        <v>16</v>
      </c>
      <c r="L810" s="639">
        <f>VLOOKUP(H810,ORC.AUXILIAR!I:P,7,0)</f>
        <v>10.6</v>
      </c>
      <c r="M810" s="639">
        <f>VLOOKUP(H810,ORC.AUXILIAR!I:P,8,0)</f>
        <v>169.6</v>
      </c>
      <c r="N810" s="639">
        <f t="shared" si="76"/>
        <v>2713.6</v>
      </c>
      <c r="O810" s="639">
        <f t="shared" si="77"/>
        <v>10258744135.999863</v>
      </c>
      <c r="P810" s="640">
        <f t="shared" si="75"/>
        <v>0.99998720293107723</v>
      </c>
    </row>
    <row r="811" spans="1:16">
      <c r="A811" s="627">
        <v>169.2</v>
      </c>
      <c r="B811" s="628">
        <v>24</v>
      </c>
      <c r="C811" s="629" t="s">
        <v>13654</v>
      </c>
      <c r="D811" s="628">
        <f>VLOOKUP(C811,ORC.AUXILIAR!I:J,2,0)</f>
        <v>0</v>
      </c>
      <c r="G811" s="636">
        <f t="shared" si="72"/>
        <v>0</v>
      </c>
      <c r="H811" s="636" t="str">
        <f t="shared" si="73"/>
        <v>SUB.17</v>
      </c>
      <c r="I811" s="637" t="str">
        <f>VLOOKUP(H811,ORC.AUXILIAR!I:P,4,0)</f>
        <v>m</v>
      </c>
      <c r="J811" s="636">
        <f>VLOOKUP(H811,ORC.AUXILIAR!I:P,5,0)</f>
        <v>24</v>
      </c>
      <c r="K811" s="638">
        <f t="shared" si="74"/>
        <v>24</v>
      </c>
      <c r="L811" s="639">
        <f>VLOOKUP(H811,ORC.AUXILIAR!I:P,7,0)</f>
        <v>7.05</v>
      </c>
      <c r="M811" s="639">
        <f>VLOOKUP(H811,ORC.AUXILIAR!I:P,8,0)</f>
        <v>169.2</v>
      </c>
      <c r="N811" s="639">
        <f t="shared" si="76"/>
        <v>4060.7999999999997</v>
      </c>
      <c r="O811" s="639">
        <f t="shared" si="77"/>
        <v>10258748196.799862</v>
      </c>
      <c r="P811" s="640">
        <f t="shared" si="75"/>
        <v>0.99998759876393739</v>
      </c>
    </row>
    <row r="812" spans="1:16">
      <c r="A812" s="627">
        <v>167.04</v>
      </c>
      <c r="B812" s="628">
        <v>3</v>
      </c>
      <c r="C812" s="629" t="s">
        <v>13329</v>
      </c>
      <c r="D812" s="628">
        <f>VLOOKUP(C812,ORC.AUXILIAR!I:J,2,0)</f>
        <v>0</v>
      </c>
      <c r="G812" s="636">
        <f t="shared" si="72"/>
        <v>0</v>
      </c>
      <c r="H812" s="636" t="str">
        <f t="shared" si="73"/>
        <v>TH.AP.01</v>
      </c>
      <c r="I812" s="637" t="str">
        <f>VLOOKUP(H812,ORC.AUXILIAR!I:P,4,0)</f>
        <v>pç</v>
      </c>
      <c r="J812" s="636">
        <f>VLOOKUP(H812,ORC.AUXILIAR!I:P,5,0)</f>
        <v>3</v>
      </c>
      <c r="K812" s="638">
        <f t="shared" si="74"/>
        <v>3</v>
      </c>
      <c r="L812" s="639">
        <f>VLOOKUP(H812,ORC.AUXILIAR!I:P,7,0)</f>
        <v>55.68</v>
      </c>
      <c r="M812" s="639">
        <f>VLOOKUP(H812,ORC.AUXILIAR!I:P,8,0)</f>
        <v>167.04</v>
      </c>
      <c r="N812" s="639">
        <f t="shared" si="76"/>
        <v>501.12</v>
      </c>
      <c r="O812" s="639">
        <f t="shared" si="77"/>
        <v>10258748697.919863</v>
      </c>
      <c r="P812" s="640">
        <f t="shared" si="75"/>
        <v>0.9999876476113968</v>
      </c>
    </row>
    <row r="813" spans="1:16">
      <c r="A813" s="627">
        <v>165.2</v>
      </c>
      <c r="B813" s="628">
        <v>5</v>
      </c>
      <c r="C813" s="629">
        <v>89353</v>
      </c>
      <c r="D813" s="628">
        <f>VLOOKUP(C813,ORC.AUXILIAR!I:J,2,0)</f>
        <v>0</v>
      </c>
      <c r="G813" s="636">
        <f t="shared" si="72"/>
        <v>0</v>
      </c>
      <c r="H813" s="636">
        <f t="shared" si="73"/>
        <v>89353</v>
      </c>
      <c r="I813" s="637" t="str">
        <f>VLOOKUP(H813,ORC.AUXILIAR!I:P,4,0)</f>
        <v>pç</v>
      </c>
      <c r="J813" s="636">
        <f>VLOOKUP(H813,ORC.AUXILIAR!I:P,5,0)</f>
        <v>5</v>
      </c>
      <c r="K813" s="638">
        <f t="shared" si="74"/>
        <v>5</v>
      </c>
      <c r="L813" s="639">
        <f>VLOOKUP(H813,ORC.AUXILIAR!I:P,7,0)</f>
        <v>33.04</v>
      </c>
      <c r="M813" s="639">
        <f>VLOOKUP(H813,ORC.AUXILIAR!I:P,8,0)</f>
        <v>165.2</v>
      </c>
      <c r="N813" s="639">
        <f t="shared" si="76"/>
        <v>826</v>
      </c>
      <c r="O813" s="639">
        <f t="shared" si="77"/>
        <v>10258749523.919863</v>
      </c>
      <c r="P813" s="640">
        <f t="shared" si="75"/>
        <v>0.99998772812704462</v>
      </c>
    </row>
    <row r="814" spans="1:16">
      <c r="A814" s="627">
        <v>163.18</v>
      </c>
      <c r="B814" s="628">
        <v>2</v>
      </c>
      <c r="C814" s="629">
        <v>83470</v>
      </c>
      <c r="D814" s="628">
        <f>VLOOKUP(C814,ORC.AUXILIAR!I:J,2,0)</f>
        <v>0</v>
      </c>
      <c r="G814" s="636">
        <f t="shared" si="72"/>
        <v>0</v>
      </c>
      <c r="H814" s="636">
        <f t="shared" si="73"/>
        <v>83470</v>
      </c>
      <c r="I814" s="637" t="str">
        <f>VLOOKUP(H814,ORC.AUXILIAR!I:P,4,0)</f>
        <v>un</v>
      </c>
      <c r="J814" s="636">
        <f>VLOOKUP(H814,ORC.AUXILIAR!I:P,5,0)</f>
        <v>2</v>
      </c>
      <c r="K814" s="638">
        <f t="shared" si="74"/>
        <v>2</v>
      </c>
      <c r="L814" s="639">
        <f>VLOOKUP(H814,ORC.AUXILIAR!I:P,7,0)</f>
        <v>81.59</v>
      </c>
      <c r="M814" s="639">
        <f>VLOOKUP(H814,ORC.AUXILIAR!I:P,8,0)</f>
        <v>163.18</v>
      </c>
      <c r="N814" s="639">
        <f t="shared" si="76"/>
        <v>326.36</v>
      </c>
      <c r="O814" s="639">
        <f t="shared" si="77"/>
        <v>10258749850.279863</v>
      </c>
      <c r="P814" s="640">
        <f t="shared" si="75"/>
        <v>0.9999877599394984</v>
      </c>
    </row>
    <row r="815" spans="1:16">
      <c r="A815" s="627">
        <v>161.91999999999999</v>
      </c>
      <c r="B815" s="628">
        <v>1</v>
      </c>
      <c r="C815" s="629" t="s">
        <v>12859</v>
      </c>
      <c r="D815" s="628">
        <f>VLOOKUP(C815,ORC.AUXILIAR!I:J,2,0)</f>
        <v>0</v>
      </c>
      <c r="G815" s="636">
        <f t="shared" si="72"/>
        <v>0</v>
      </c>
      <c r="H815" s="636" t="str">
        <f t="shared" si="73"/>
        <v>TP.F°F°.03</v>
      </c>
      <c r="I815" s="637" t="str">
        <f>VLOOKUP(H815,ORC.AUXILIAR!I:P,4,0)</f>
        <v>pç</v>
      </c>
      <c r="J815" s="636">
        <f>VLOOKUP(H815,ORC.AUXILIAR!I:P,5,0)</f>
        <v>1</v>
      </c>
      <c r="K815" s="638">
        <f t="shared" si="74"/>
        <v>1</v>
      </c>
      <c r="L815" s="639">
        <f>VLOOKUP(H815,ORC.AUXILIAR!I:P,7,0)</f>
        <v>161.91999999999999</v>
      </c>
      <c r="M815" s="639">
        <f>VLOOKUP(H815,ORC.AUXILIAR!I:P,8,0)</f>
        <v>161.91999999999999</v>
      </c>
      <c r="N815" s="639">
        <f t="shared" si="76"/>
        <v>161.91999999999999</v>
      </c>
      <c r="O815" s="639">
        <f t="shared" si="77"/>
        <v>10258750012.199863</v>
      </c>
      <c r="P815" s="640">
        <f t="shared" si="75"/>
        <v>0.99998777572290476</v>
      </c>
    </row>
    <row r="816" spans="1:16">
      <c r="A816" s="627">
        <v>161.21</v>
      </c>
      <c r="B816" s="628">
        <v>47</v>
      </c>
      <c r="C816" s="629">
        <v>90734</v>
      </c>
      <c r="D816" s="628">
        <f>VLOOKUP(C816,ORC.AUXILIAR!I:J,2,0)</f>
        <v>0</v>
      </c>
      <c r="G816" s="636">
        <f t="shared" si="72"/>
        <v>0</v>
      </c>
      <c r="H816" s="636">
        <f t="shared" si="73"/>
        <v>90734</v>
      </c>
      <c r="I816" s="637" t="str">
        <f>VLOOKUP(H816,ORC.AUXILIAR!I:P,4,0)</f>
        <v>M</v>
      </c>
      <c r="J816" s="636">
        <f>VLOOKUP(H816,ORC.AUXILIAR!I:P,5,0)</f>
        <v>47</v>
      </c>
      <c r="K816" s="638">
        <f t="shared" si="74"/>
        <v>47</v>
      </c>
      <c r="L816" s="639">
        <f>VLOOKUP(H816,ORC.AUXILIAR!I:P,7,0)</f>
        <v>3.43</v>
      </c>
      <c r="M816" s="639">
        <f>VLOOKUP(H816,ORC.AUXILIAR!I:P,8,0)</f>
        <v>161.21</v>
      </c>
      <c r="N816" s="639">
        <f t="shared" si="76"/>
        <v>7576.8700000000008</v>
      </c>
      <c r="O816" s="639">
        <f t="shared" si="77"/>
        <v>10258757589.069864</v>
      </c>
      <c r="P816" s="640">
        <f t="shared" si="75"/>
        <v>0.99998851429021274</v>
      </c>
    </row>
    <row r="817" spans="1:16">
      <c r="A817" s="627">
        <v>161.1</v>
      </c>
      <c r="B817" s="628">
        <v>2</v>
      </c>
      <c r="C817" s="629" t="s">
        <v>13601</v>
      </c>
      <c r="D817" s="628">
        <f>VLOOKUP(C817,ORC.AUXILIAR!I:J,2,0)</f>
        <v>0</v>
      </c>
      <c r="G817" s="636">
        <f t="shared" si="72"/>
        <v>0</v>
      </c>
      <c r="H817" s="636" t="str">
        <f t="shared" si="73"/>
        <v>QCM.BIOGAS.05</v>
      </c>
      <c r="I817" s="637" t="str">
        <f>VLOOKUP(H817,ORC.AUXILIAR!I:P,4,0)</f>
        <v>um</v>
      </c>
      <c r="J817" s="636">
        <f>VLOOKUP(H817,ORC.AUXILIAR!I:P,5,0)</f>
        <v>2</v>
      </c>
      <c r="K817" s="638">
        <f t="shared" si="74"/>
        <v>2</v>
      </c>
      <c r="L817" s="639">
        <f>VLOOKUP(H817,ORC.AUXILIAR!I:P,7,0)</f>
        <v>80.55</v>
      </c>
      <c r="M817" s="639">
        <f>VLOOKUP(H817,ORC.AUXILIAR!I:P,8,0)</f>
        <v>161.1</v>
      </c>
      <c r="N817" s="639">
        <f t="shared" si="76"/>
        <v>322.2</v>
      </c>
      <c r="O817" s="639">
        <f t="shared" si="77"/>
        <v>10258757911.269865</v>
      </c>
      <c r="P817" s="640">
        <f t="shared" si="75"/>
        <v>0.999988545697164</v>
      </c>
    </row>
    <row r="818" spans="1:16">
      <c r="A818" s="627">
        <v>161.1</v>
      </c>
      <c r="B818" s="628">
        <v>2</v>
      </c>
      <c r="C818" s="629" t="s">
        <v>13603</v>
      </c>
      <c r="D818" s="628">
        <f>VLOOKUP(C818,ORC.AUXILIAR!I:J,2,0)</f>
        <v>0</v>
      </c>
      <c r="G818" s="636">
        <f t="shared" si="72"/>
        <v>0</v>
      </c>
      <c r="H818" s="636" t="str">
        <f t="shared" si="73"/>
        <v>QCM.BIOGAS.06</v>
      </c>
      <c r="I818" s="637" t="str">
        <f>VLOOKUP(H818,ORC.AUXILIAR!I:P,4,0)</f>
        <v>um</v>
      </c>
      <c r="J818" s="636">
        <f>VLOOKUP(H818,ORC.AUXILIAR!I:P,5,0)</f>
        <v>2</v>
      </c>
      <c r="K818" s="638">
        <f t="shared" si="74"/>
        <v>2</v>
      </c>
      <c r="L818" s="639">
        <f>VLOOKUP(H818,ORC.AUXILIAR!I:P,7,0)</f>
        <v>80.55</v>
      </c>
      <c r="M818" s="639">
        <f>VLOOKUP(H818,ORC.AUXILIAR!I:P,8,0)</f>
        <v>161.1</v>
      </c>
      <c r="N818" s="639">
        <f t="shared" si="76"/>
        <v>322.2</v>
      </c>
      <c r="O818" s="639">
        <f t="shared" si="77"/>
        <v>10258758233.469866</v>
      </c>
      <c r="P818" s="640">
        <f t="shared" si="75"/>
        <v>0.99998857710411537</v>
      </c>
    </row>
    <row r="819" spans="1:16">
      <c r="A819" s="627">
        <v>160.88</v>
      </c>
      <c r="B819" s="628">
        <v>2</v>
      </c>
      <c r="C819" s="629" t="s">
        <v>13215</v>
      </c>
      <c r="D819" s="628">
        <f>VLOOKUP(C819,ORC.AUXILIAR!I:J,2,0)</f>
        <v>0</v>
      </c>
      <c r="G819" s="636">
        <f t="shared" si="72"/>
        <v>0</v>
      </c>
      <c r="H819" s="636" t="str">
        <f t="shared" si="73"/>
        <v>RE.RPVC.19</v>
      </c>
      <c r="I819" s="637" t="str">
        <f>VLOOKUP(H819,ORC.AUXILIAR!I:P,4,0)</f>
        <v>pç</v>
      </c>
      <c r="J819" s="636">
        <f>VLOOKUP(H819,ORC.AUXILIAR!I:P,5,0)</f>
        <v>2</v>
      </c>
      <c r="K819" s="638">
        <f t="shared" si="74"/>
        <v>2</v>
      </c>
      <c r="L819" s="639">
        <f>VLOOKUP(H819,ORC.AUXILIAR!I:P,7,0)</f>
        <v>80.44</v>
      </c>
      <c r="M819" s="639">
        <f>VLOOKUP(H819,ORC.AUXILIAR!I:P,8,0)</f>
        <v>160.88</v>
      </c>
      <c r="N819" s="639">
        <f t="shared" si="76"/>
        <v>321.76</v>
      </c>
      <c r="O819" s="639">
        <f t="shared" si="77"/>
        <v>10258758555.229866</v>
      </c>
      <c r="P819" s="640">
        <f t="shared" si="75"/>
        <v>0.99998860846817694</v>
      </c>
    </row>
    <row r="820" spans="1:16">
      <c r="A820" s="627">
        <v>160.30000000000001</v>
      </c>
      <c r="B820" s="628">
        <v>35</v>
      </c>
      <c r="C820" s="629">
        <v>3909</v>
      </c>
      <c r="D820" s="628">
        <f>VLOOKUP(C820,ORC.AUXILIAR!I:J,2,0)</f>
        <v>0</v>
      </c>
      <c r="G820" s="636">
        <f t="shared" si="72"/>
        <v>0</v>
      </c>
      <c r="H820" s="636">
        <f t="shared" si="73"/>
        <v>3909</v>
      </c>
      <c r="I820" s="637" t="str">
        <f>VLOOKUP(H820,ORC.AUXILIAR!I:P,4,0)</f>
        <v>pç</v>
      </c>
      <c r="J820" s="636">
        <f>VLOOKUP(H820,ORC.AUXILIAR!I:P,5,0)</f>
        <v>35</v>
      </c>
      <c r="K820" s="638">
        <f t="shared" si="74"/>
        <v>35</v>
      </c>
      <c r="L820" s="639">
        <f>VLOOKUP(H820,ORC.AUXILIAR!I:P,7,0)</f>
        <v>4.58</v>
      </c>
      <c r="M820" s="639">
        <f>VLOOKUP(H820,ORC.AUXILIAR!I:P,8,0)</f>
        <v>160.30000000000001</v>
      </c>
      <c r="N820" s="639">
        <f t="shared" si="76"/>
        <v>5610.5</v>
      </c>
      <c r="O820" s="639">
        <f t="shared" si="77"/>
        <v>10258764165.729866</v>
      </c>
      <c r="P820" s="640">
        <f t="shared" si="75"/>
        <v>0.9999891553604795</v>
      </c>
    </row>
    <row r="821" spans="1:16">
      <c r="A821" s="627">
        <v>159.9</v>
      </c>
      <c r="B821" s="628">
        <v>15</v>
      </c>
      <c r="C821" s="629" t="s">
        <v>13453</v>
      </c>
      <c r="D821" s="628">
        <f>VLOOKUP(C821,ORC.AUXILIAR!I:J,2,0)</f>
        <v>0</v>
      </c>
      <c r="G821" s="636">
        <f t="shared" si="72"/>
        <v>0</v>
      </c>
      <c r="H821" s="636" t="str">
        <f t="shared" si="73"/>
        <v>AT.31</v>
      </c>
      <c r="I821" s="637" t="str">
        <f>VLOOKUP(H821,ORC.AUXILIAR!I:P,4,0)</f>
        <v>um</v>
      </c>
      <c r="J821" s="636">
        <f>VLOOKUP(H821,ORC.AUXILIAR!I:P,5,0)</f>
        <v>15</v>
      </c>
      <c r="K821" s="638">
        <f t="shared" si="74"/>
        <v>15</v>
      </c>
      <c r="L821" s="639">
        <f>VLOOKUP(H821,ORC.AUXILIAR!I:P,7,0)</f>
        <v>10.66</v>
      </c>
      <c r="M821" s="639">
        <f>VLOOKUP(H821,ORC.AUXILIAR!I:P,8,0)</f>
        <v>159.9</v>
      </c>
      <c r="N821" s="639">
        <f t="shared" si="76"/>
        <v>2398.5</v>
      </c>
      <c r="O821" s="639">
        <f t="shared" si="77"/>
        <v>10258766564.229866</v>
      </c>
      <c r="P821" s="640">
        <f t="shared" si="75"/>
        <v>0.99998938915803548</v>
      </c>
    </row>
    <row r="822" spans="1:16">
      <c r="A822" s="627">
        <v>158.4</v>
      </c>
      <c r="B822" s="628">
        <v>63.36</v>
      </c>
      <c r="C822" s="629">
        <v>88415</v>
      </c>
      <c r="D822" s="628">
        <f>VLOOKUP(C822,ORC.AUXILIAR!I:J,2,0)</f>
        <v>0</v>
      </c>
      <c r="G822" s="636">
        <f t="shared" si="72"/>
        <v>0</v>
      </c>
      <c r="H822" s="636">
        <f t="shared" si="73"/>
        <v>88415</v>
      </c>
      <c r="I822" s="637" t="str">
        <f>VLOOKUP(H822,ORC.AUXILIAR!I:P,4,0)</f>
        <v>M2</v>
      </c>
      <c r="J822" s="636">
        <f>VLOOKUP(H822,ORC.AUXILIAR!I:P,5,0)</f>
        <v>63.36</v>
      </c>
      <c r="K822" s="638">
        <f t="shared" si="74"/>
        <v>63.36</v>
      </c>
      <c r="L822" s="639">
        <f>VLOOKUP(H822,ORC.AUXILIAR!I:P,7,0)</f>
        <v>2.5</v>
      </c>
      <c r="M822" s="639">
        <f>VLOOKUP(H822,ORC.AUXILIAR!I:P,8,0)</f>
        <v>158.4</v>
      </c>
      <c r="N822" s="639">
        <f t="shared" si="76"/>
        <v>10036.224</v>
      </c>
      <c r="O822" s="639">
        <f t="shared" si="77"/>
        <v>10258776600.453867</v>
      </c>
      <c r="P822" s="640">
        <f t="shared" si="75"/>
        <v>0.99999036745473857</v>
      </c>
    </row>
    <row r="823" spans="1:16">
      <c r="A823" s="627">
        <v>156.16</v>
      </c>
      <c r="B823" s="628">
        <v>8</v>
      </c>
      <c r="C823" s="629">
        <v>4181</v>
      </c>
      <c r="D823" s="628">
        <f>VLOOKUP(C823,ORC.AUXILIAR!I:J,2,0)</f>
        <v>0</v>
      </c>
      <c r="G823" s="636">
        <f t="shared" si="72"/>
        <v>0</v>
      </c>
      <c r="H823" s="636">
        <f t="shared" si="73"/>
        <v>4181</v>
      </c>
      <c r="I823" s="637" t="str">
        <f>VLOOKUP(H823,ORC.AUXILIAR!I:P,4,0)</f>
        <v>pç</v>
      </c>
      <c r="J823" s="636">
        <f>VLOOKUP(H823,ORC.AUXILIAR!I:P,5,0)</f>
        <v>8</v>
      </c>
      <c r="K823" s="638">
        <f t="shared" si="74"/>
        <v>8</v>
      </c>
      <c r="L823" s="639">
        <f>VLOOKUP(H823,ORC.AUXILIAR!I:P,7,0)</f>
        <v>19.52</v>
      </c>
      <c r="M823" s="639">
        <f>VLOOKUP(H823,ORC.AUXILIAR!I:P,8,0)</f>
        <v>156.16</v>
      </c>
      <c r="N823" s="639">
        <f t="shared" si="76"/>
        <v>1249.28</v>
      </c>
      <c r="O823" s="639">
        <f t="shared" si="77"/>
        <v>10258777849.733868</v>
      </c>
      <c r="P823" s="640">
        <f t="shared" si="75"/>
        <v>0.99999048923026945</v>
      </c>
    </row>
    <row r="824" spans="1:16">
      <c r="A824" s="627">
        <v>153.12</v>
      </c>
      <c r="B824" s="628">
        <v>1</v>
      </c>
      <c r="C824" s="629">
        <v>39377</v>
      </c>
      <c r="D824" s="628">
        <f>VLOOKUP(C824,ORC.AUXILIAR!I:J,2,0)</f>
        <v>0</v>
      </c>
      <c r="G824" s="636">
        <f t="shared" si="72"/>
        <v>0</v>
      </c>
      <c r="H824" s="636">
        <f t="shared" si="73"/>
        <v>39377</v>
      </c>
      <c r="I824" s="637" t="str">
        <f>VLOOKUP(H824,ORC.AUXILIAR!I:P,4,0)</f>
        <v>un</v>
      </c>
      <c r="J824" s="636">
        <f>VLOOKUP(H824,ORC.AUXILIAR!I:P,5,0)</f>
        <v>1</v>
      </c>
      <c r="K824" s="638">
        <f t="shared" si="74"/>
        <v>1</v>
      </c>
      <c r="L824" s="639">
        <f>VLOOKUP(H824,ORC.AUXILIAR!I:P,7,0)</f>
        <v>153.12</v>
      </c>
      <c r="M824" s="639">
        <f>VLOOKUP(H824,ORC.AUXILIAR!I:P,8,0)</f>
        <v>153.12</v>
      </c>
      <c r="N824" s="639">
        <f t="shared" si="76"/>
        <v>153.12</v>
      </c>
      <c r="O824" s="639">
        <f t="shared" si="77"/>
        <v>10258778002.853868</v>
      </c>
      <c r="P824" s="640">
        <f t="shared" si="75"/>
        <v>0.99999050415588209</v>
      </c>
    </row>
    <row r="825" spans="1:16">
      <c r="A825" s="627">
        <v>151.19999999999999</v>
      </c>
      <c r="B825" s="628">
        <v>2</v>
      </c>
      <c r="C825" s="629">
        <v>12359</v>
      </c>
      <c r="D825" s="628">
        <f>VLOOKUP(C825,ORC.AUXILIAR!I:J,2,0)</f>
        <v>0</v>
      </c>
      <c r="G825" s="636">
        <f t="shared" si="72"/>
        <v>0</v>
      </c>
      <c r="H825" s="636">
        <f t="shared" si="73"/>
        <v>12359</v>
      </c>
      <c r="I825" s="637" t="str">
        <f>VLOOKUP(H825,ORC.AUXILIAR!I:P,4,0)</f>
        <v>Un</v>
      </c>
      <c r="J825" s="636">
        <f>VLOOKUP(H825,ORC.AUXILIAR!I:P,5,0)</f>
        <v>1</v>
      </c>
      <c r="K825" s="638">
        <f t="shared" si="74"/>
        <v>2</v>
      </c>
      <c r="L825" s="639">
        <f>VLOOKUP(H825,ORC.AUXILIAR!I:P,7,0)</f>
        <v>75.599999999999994</v>
      </c>
      <c r="M825" s="639">
        <f>VLOOKUP(H825,ORC.AUXILIAR!I:P,8,0)</f>
        <v>75.599999999999994</v>
      </c>
      <c r="N825" s="639">
        <f t="shared" si="76"/>
        <v>151.19999999999999</v>
      </c>
      <c r="O825" s="639">
        <f t="shared" si="77"/>
        <v>10258778154.053869</v>
      </c>
      <c r="P825" s="640">
        <f t="shared" si="75"/>
        <v>0.99999051889433976</v>
      </c>
    </row>
    <row r="826" spans="1:16">
      <c r="A826" s="627">
        <v>150.96</v>
      </c>
      <c r="B826" s="628">
        <v>2</v>
      </c>
      <c r="C826" s="629" t="s">
        <v>16907</v>
      </c>
      <c r="D826" s="628">
        <f>VLOOKUP(C826,ORC.AUXILIAR!I:J,2,0)</f>
        <v>0</v>
      </c>
      <c r="G826" s="636">
        <f t="shared" si="72"/>
        <v>0</v>
      </c>
      <c r="H826" s="636" t="str">
        <f t="shared" si="73"/>
        <v>73953/5</v>
      </c>
      <c r="I826" s="637" t="str">
        <f>VLOOKUP(H826,ORC.AUXILIAR!I:P,4,0)</f>
        <v>um</v>
      </c>
      <c r="J826" s="636">
        <f>VLOOKUP(H826,ORC.AUXILIAR!I:P,5,0)</f>
        <v>2</v>
      </c>
      <c r="K826" s="638">
        <f t="shared" si="74"/>
        <v>2</v>
      </c>
      <c r="L826" s="639">
        <f>VLOOKUP(H826,ORC.AUXILIAR!I:P,7,0)</f>
        <v>75.48</v>
      </c>
      <c r="M826" s="639">
        <f>VLOOKUP(H826,ORC.AUXILIAR!I:P,8,0)</f>
        <v>150.96</v>
      </c>
      <c r="N826" s="639">
        <f t="shared" si="76"/>
        <v>301.92</v>
      </c>
      <c r="O826" s="639">
        <f t="shared" si="77"/>
        <v>10258778455.973869</v>
      </c>
      <c r="P826" s="640">
        <f t="shared" si="75"/>
        <v>0.9999905483244661</v>
      </c>
    </row>
    <row r="827" spans="1:16">
      <c r="A827" s="627">
        <v>147.12</v>
      </c>
      <c r="B827" s="628">
        <v>4</v>
      </c>
      <c r="C827" s="629" t="s">
        <v>12718</v>
      </c>
      <c r="D827" s="628">
        <f>VLOOKUP(C827,ORC.AUXILIAR!I:J,2,0)</f>
        <v>0</v>
      </c>
      <c r="G827" s="636">
        <f t="shared" si="72"/>
        <v>0</v>
      </c>
      <c r="H827" s="636" t="str">
        <f t="shared" si="73"/>
        <v>RE.AI.12</v>
      </c>
      <c r="I827" s="637" t="str">
        <f>VLOOKUP(H827,ORC.AUXILIAR!I:P,4,0)</f>
        <v>pç</v>
      </c>
      <c r="J827" s="636">
        <f>VLOOKUP(H827,ORC.AUXILIAR!I:P,5,0)</f>
        <v>4</v>
      </c>
      <c r="K827" s="638">
        <f t="shared" si="74"/>
        <v>4</v>
      </c>
      <c r="L827" s="639">
        <f>VLOOKUP(H827,ORC.AUXILIAR!I:P,7,0)</f>
        <v>36.78</v>
      </c>
      <c r="M827" s="639">
        <f>VLOOKUP(H827,ORC.AUXILIAR!I:P,8,0)</f>
        <v>147.12</v>
      </c>
      <c r="N827" s="639">
        <f t="shared" si="76"/>
        <v>588.48</v>
      </c>
      <c r="O827" s="639">
        <f t="shared" si="77"/>
        <v>10258779044.453869</v>
      </c>
      <c r="P827" s="640">
        <f t="shared" si="75"/>
        <v>0.99999060568747866</v>
      </c>
    </row>
    <row r="828" spans="1:16">
      <c r="A828" s="627">
        <v>137.79999999999998</v>
      </c>
      <c r="B828" s="628">
        <v>13</v>
      </c>
      <c r="C828" s="629" t="s">
        <v>13658</v>
      </c>
      <c r="D828" s="628">
        <f>VLOOKUP(C828,ORC.AUXILIAR!I:J,2,0)</f>
        <v>0</v>
      </c>
      <c r="G828" s="636">
        <f t="shared" si="72"/>
        <v>0</v>
      </c>
      <c r="H828" s="636" t="str">
        <f t="shared" si="73"/>
        <v>SUB.19</v>
      </c>
      <c r="I828" s="637" t="str">
        <f>VLOOKUP(H828,ORC.AUXILIAR!I:P,4,0)</f>
        <v>un</v>
      </c>
      <c r="J828" s="636">
        <f>VLOOKUP(H828,ORC.AUXILIAR!I:P,5,0)</f>
        <v>13</v>
      </c>
      <c r="K828" s="638">
        <f t="shared" si="74"/>
        <v>13</v>
      </c>
      <c r="L828" s="639">
        <f>VLOOKUP(H828,ORC.AUXILIAR!I:P,7,0)</f>
        <v>10.6</v>
      </c>
      <c r="M828" s="639">
        <f>VLOOKUP(H828,ORC.AUXILIAR!I:P,8,0)</f>
        <v>137.80000000000001</v>
      </c>
      <c r="N828" s="639">
        <f t="shared" si="76"/>
        <v>1791.4</v>
      </c>
      <c r="O828" s="639">
        <f t="shared" si="77"/>
        <v>10258780835.853868</v>
      </c>
      <c r="P828" s="640">
        <f t="shared" si="75"/>
        <v>0.99999078030700828</v>
      </c>
    </row>
    <row r="829" spans="1:16">
      <c r="A829" s="627">
        <v>136.80000000000001</v>
      </c>
      <c r="B829" s="628">
        <v>12</v>
      </c>
      <c r="C829" s="629">
        <v>38191</v>
      </c>
      <c r="D829" s="628">
        <f>VLOOKUP(C829,ORC.AUXILIAR!I:J,2,0)</f>
        <v>0</v>
      </c>
      <c r="G829" s="636">
        <f t="shared" si="72"/>
        <v>0</v>
      </c>
      <c r="H829" s="636">
        <f t="shared" si="73"/>
        <v>38191</v>
      </c>
      <c r="I829" s="637" t="str">
        <f>VLOOKUP(H829,ORC.AUXILIAR!I:P,4,0)</f>
        <v>un</v>
      </c>
      <c r="J829" s="636">
        <f>VLOOKUP(H829,ORC.AUXILIAR!I:P,5,0)</f>
        <v>2</v>
      </c>
      <c r="K829" s="638">
        <f t="shared" si="74"/>
        <v>12</v>
      </c>
      <c r="L829" s="639">
        <f>VLOOKUP(H829,ORC.AUXILIAR!I:P,7,0)</f>
        <v>11.4</v>
      </c>
      <c r="M829" s="639">
        <f>VLOOKUP(H829,ORC.AUXILIAR!I:P,8,0)</f>
        <v>22.8</v>
      </c>
      <c r="N829" s="639">
        <f t="shared" si="76"/>
        <v>273.60000000000002</v>
      </c>
      <c r="O829" s="639">
        <f t="shared" si="77"/>
        <v>10258781109.453869</v>
      </c>
      <c r="P829" s="640">
        <f t="shared" si="75"/>
        <v>0.99999080697659815</v>
      </c>
    </row>
    <row r="830" spans="1:16">
      <c r="A830" s="627">
        <v>130.62</v>
      </c>
      <c r="B830" s="628">
        <v>14</v>
      </c>
      <c r="C830" s="629">
        <v>20068</v>
      </c>
      <c r="D830" s="628">
        <f>VLOOKUP(C830,ORC.AUXILIAR!I:J,2,0)</f>
        <v>0</v>
      </c>
      <c r="G830" s="636">
        <f t="shared" si="72"/>
        <v>0</v>
      </c>
      <c r="H830" s="636">
        <f t="shared" si="73"/>
        <v>20068</v>
      </c>
      <c r="I830" s="637" t="str">
        <f>VLOOKUP(H830,ORC.AUXILIAR!I:P,4,0)</f>
        <v>m</v>
      </c>
      <c r="J830" s="636">
        <f>VLOOKUP(H830,ORC.AUXILIAR!I:P,5,0)</f>
        <v>14</v>
      </c>
      <c r="K830" s="638">
        <f t="shared" si="74"/>
        <v>14</v>
      </c>
      <c r="L830" s="639">
        <f>VLOOKUP(H830,ORC.AUXILIAR!I:P,7,0)</f>
        <v>9.33</v>
      </c>
      <c r="M830" s="639">
        <f>VLOOKUP(H830,ORC.AUXILIAR!I:P,8,0)</f>
        <v>130.62</v>
      </c>
      <c r="N830" s="639">
        <f t="shared" si="76"/>
        <v>1828.68</v>
      </c>
      <c r="O830" s="639">
        <f t="shared" si="77"/>
        <v>10258782938.133869</v>
      </c>
      <c r="P830" s="640">
        <f t="shared" si="75"/>
        <v>0.99999098523005436</v>
      </c>
    </row>
    <row r="831" spans="1:16">
      <c r="A831" s="627">
        <v>129.24</v>
      </c>
      <c r="B831" s="628">
        <v>36</v>
      </c>
      <c r="C831" s="629" t="s">
        <v>12917</v>
      </c>
      <c r="D831" s="628">
        <f>VLOOKUP(C831,ORC.AUXILIAR!I:J,2,0)</f>
        <v>0</v>
      </c>
      <c r="G831" s="636">
        <f t="shared" si="72"/>
        <v>0</v>
      </c>
      <c r="H831" s="636" t="str">
        <f t="shared" si="73"/>
        <v>RE.F°F°.23</v>
      </c>
      <c r="I831" s="637" t="str">
        <f>VLOOKUP(H831,ORC.AUXILIAR!I:P,4,0)</f>
        <v>pç</v>
      </c>
      <c r="J831" s="636">
        <f>VLOOKUP(H831,ORC.AUXILIAR!I:P,5,0)</f>
        <v>36</v>
      </c>
      <c r="K831" s="638">
        <f t="shared" si="74"/>
        <v>36</v>
      </c>
      <c r="L831" s="639">
        <f>VLOOKUP(H831,ORC.AUXILIAR!I:P,7,0)</f>
        <v>3.59</v>
      </c>
      <c r="M831" s="639">
        <f>VLOOKUP(H831,ORC.AUXILIAR!I:P,8,0)</f>
        <v>129.24</v>
      </c>
      <c r="N831" s="639">
        <f t="shared" si="76"/>
        <v>4652.6400000000003</v>
      </c>
      <c r="O831" s="639">
        <f t="shared" si="77"/>
        <v>10258787590.773869</v>
      </c>
      <c r="P831" s="640">
        <f t="shared" si="75"/>
        <v>0.99999143875344843</v>
      </c>
    </row>
    <row r="832" spans="1:16">
      <c r="A832" s="627">
        <v>125.99</v>
      </c>
      <c r="B832" s="628">
        <v>1</v>
      </c>
      <c r="C832" s="629" t="s">
        <v>12794</v>
      </c>
      <c r="D832" s="628">
        <f>VLOOKUP(C832,ORC.AUXILIAR!I:J,2,0)</f>
        <v>0</v>
      </c>
      <c r="G832" s="636">
        <f t="shared" si="72"/>
        <v>0</v>
      </c>
      <c r="H832" s="636" t="str">
        <f t="shared" si="73"/>
        <v>TB.AI.07</v>
      </c>
      <c r="I832" s="637" t="str">
        <f>VLOOKUP(H832,ORC.AUXILIAR!I:P,4,0)</f>
        <v>pç</v>
      </c>
      <c r="J832" s="636">
        <f>VLOOKUP(H832,ORC.AUXILIAR!I:P,5,0)</f>
        <v>1</v>
      </c>
      <c r="K832" s="638">
        <f t="shared" si="74"/>
        <v>1</v>
      </c>
      <c r="L832" s="639">
        <f>VLOOKUP(H832,ORC.AUXILIAR!I:P,7,0)</f>
        <v>125.99</v>
      </c>
      <c r="M832" s="639">
        <f>VLOOKUP(H832,ORC.AUXILIAR!I:P,8,0)</f>
        <v>125.99</v>
      </c>
      <c r="N832" s="639">
        <f t="shared" si="76"/>
        <v>125.99</v>
      </c>
      <c r="O832" s="639">
        <f t="shared" si="77"/>
        <v>10258787716.763868</v>
      </c>
      <c r="P832" s="640">
        <f t="shared" si="75"/>
        <v>0.99999145103452158</v>
      </c>
    </row>
    <row r="833" spans="1:16">
      <c r="A833" s="627">
        <v>125.99</v>
      </c>
      <c r="B833" s="628">
        <v>1</v>
      </c>
      <c r="C833" s="629" t="s">
        <v>12798</v>
      </c>
      <c r="D833" s="628">
        <f>VLOOKUP(C833,ORC.AUXILIAR!I:J,2,0)</f>
        <v>0</v>
      </c>
      <c r="G833" s="636">
        <f t="shared" si="72"/>
        <v>0</v>
      </c>
      <c r="H833" s="636" t="str">
        <f t="shared" si="73"/>
        <v>TB.AI.09</v>
      </c>
      <c r="I833" s="637" t="str">
        <f>VLOOKUP(H833,ORC.AUXILIAR!I:P,4,0)</f>
        <v>m</v>
      </c>
      <c r="J833" s="636">
        <f>VLOOKUP(H833,ORC.AUXILIAR!I:P,5,0)</f>
        <v>1</v>
      </c>
      <c r="K833" s="638">
        <f t="shared" si="74"/>
        <v>1</v>
      </c>
      <c r="L833" s="639">
        <f>VLOOKUP(H833,ORC.AUXILIAR!I:P,7,0)</f>
        <v>125.99</v>
      </c>
      <c r="M833" s="639">
        <f>VLOOKUP(H833,ORC.AUXILIAR!I:P,8,0)</f>
        <v>125.99</v>
      </c>
      <c r="N833" s="639">
        <f t="shared" si="76"/>
        <v>125.99</v>
      </c>
      <c r="O833" s="639">
        <f t="shared" si="77"/>
        <v>10258787842.753868</v>
      </c>
      <c r="P833" s="640">
        <f t="shared" si="75"/>
        <v>0.99999146331559485</v>
      </c>
    </row>
    <row r="834" spans="1:16">
      <c r="A834" s="627">
        <v>122.58</v>
      </c>
      <c r="B834" s="628">
        <v>9</v>
      </c>
      <c r="C834" s="629">
        <v>93009</v>
      </c>
      <c r="D834" s="628">
        <f>VLOOKUP(C834,ORC.AUXILIAR!I:J,2,0)</f>
        <v>0</v>
      </c>
      <c r="G834" s="636">
        <f t="shared" si="72"/>
        <v>0</v>
      </c>
      <c r="H834" s="636">
        <f t="shared" si="73"/>
        <v>93009</v>
      </c>
      <c r="I834" s="637" t="str">
        <f>VLOOKUP(H834,ORC.AUXILIAR!I:P,4,0)</f>
        <v>m</v>
      </c>
      <c r="J834" s="636">
        <f>VLOOKUP(H834,ORC.AUXILIAR!I:P,5,0)</f>
        <v>9</v>
      </c>
      <c r="K834" s="638">
        <f t="shared" si="74"/>
        <v>9</v>
      </c>
      <c r="L834" s="639">
        <f>VLOOKUP(H834,ORC.AUXILIAR!I:P,7,0)</f>
        <v>13.62</v>
      </c>
      <c r="M834" s="639">
        <f>VLOOKUP(H834,ORC.AUXILIAR!I:P,8,0)</f>
        <v>122.58</v>
      </c>
      <c r="N834" s="639">
        <f t="shared" si="76"/>
        <v>1103.22</v>
      </c>
      <c r="O834" s="639">
        <f t="shared" si="77"/>
        <v>10258788945.973867</v>
      </c>
      <c r="P834" s="640">
        <f t="shared" si="75"/>
        <v>0.99999157085369761</v>
      </c>
    </row>
    <row r="835" spans="1:16">
      <c r="A835" s="627">
        <v>121.99</v>
      </c>
      <c r="B835" s="628">
        <v>11</v>
      </c>
      <c r="C835" s="629">
        <v>92836</v>
      </c>
      <c r="D835" s="628">
        <f>VLOOKUP(C835,ORC.AUXILIAR!I:J,2,0)</f>
        <v>0</v>
      </c>
      <c r="G835" s="636">
        <f t="shared" si="72"/>
        <v>0</v>
      </c>
      <c r="H835" s="636">
        <f t="shared" si="73"/>
        <v>92836</v>
      </c>
      <c r="I835" s="637" t="str">
        <f>VLOOKUP(H835,ORC.AUXILIAR!I:P,4,0)</f>
        <v>M</v>
      </c>
      <c r="J835" s="636">
        <f>VLOOKUP(H835,ORC.AUXILIAR!I:P,5,0)</f>
        <v>11</v>
      </c>
      <c r="K835" s="638">
        <f t="shared" si="74"/>
        <v>11</v>
      </c>
      <c r="L835" s="639">
        <f>VLOOKUP(H835,ORC.AUXILIAR!I:P,7,0)</f>
        <v>11.09</v>
      </c>
      <c r="M835" s="639">
        <f>VLOOKUP(H835,ORC.AUXILIAR!I:P,8,0)</f>
        <v>121.99</v>
      </c>
      <c r="N835" s="639">
        <f t="shared" si="76"/>
        <v>1341.8899999999999</v>
      </c>
      <c r="O835" s="639">
        <f t="shared" si="77"/>
        <v>10258790287.863867</v>
      </c>
      <c r="P835" s="640">
        <f t="shared" si="75"/>
        <v>0.99999170165653362</v>
      </c>
    </row>
    <row r="836" spans="1:16">
      <c r="A836" s="627">
        <v>120.98</v>
      </c>
      <c r="B836" s="628">
        <v>1</v>
      </c>
      <c r="C836" s="629" t="s">
        <v>13508</v>
      </c>
      <c r="D836" s="628">
        <f>VLOOKUP(C836,ORC.AUXILIAR!I:J,2,0)</f>
        <v>0</v>
      </c>
      <c r="G836" s="636">
        <f t="shared" si="72"/>
        <v>0</v>
      </c>
      <c r="H836" s="636" t="str">
        <f t="shared" si="73"/>
        <v>INST.CASA.CONTR.07</v>
      </c>
      <c r="I836" s="637" t="str">
        <f>VLOOKUP(H836,ORC.AUXILIAR!I:P,4,0)</f>
        <v>un</v>
      </c>
      <c r="J836" s="636">
        <f>VLOOKUP(H836,ORC.AUXILIAR!I:P,5,0)</f>
        <v>1</v>
      </c>
      <c r="K836" s="638">
        <f t="shared" si="74"/>
        <v>1</v>
      </c>
      <c r="L836" s="639">
        <f>VLOOKUP(H836,ORC.AUXILIAR!I:P,7,0)</f>
        <v>120.98</v>
      </c>
      <c r="M836" s="639">
        <f>VLOOKUP(H836,ORC.AUXILIAR!I:P,8,0)</f>
        <v>120.98</v>
      </c>
      <c r="N836" s="639">
        <f t="shared" si="76"/>
        <v>120.98</v>
      </c>
      <c r="O836" s="639">
        <f t="shared" si="77"/>
        <v>10258790408.843866</v>
      </c>
      <c r="P836" s="640">
        <f t="shared" si="75"/>
        <v>0.9999917134492492</v>
      </c>
    </row>
    <row r="837" spans="1:16">
      <c r="A837" s="627">
        <v>120.98</v>
      </c>
      <c r="B837" s="628">
        <v>1</v>
      </c>
      <c r="C837" s="629" t="s">
        <v>13737</v>
      </c>
      <c r="D837" s="628">
        <f>VLOOKUP(C837,ORC.AUXILIAR!I:J,2,0)</f>
        <v>0</v>
      </c>
      <c r="G837" s="636">
        <f t="shared" si="72"/>
        <v>0</v>
      </c>
      <c r="H837" s="636" t="str">
        <f t="shared" si="73"/>
        <v>QCM.EEE.33</v>
      </c>
      <c r="I837" s="637" t="str">
        <f>VLOOKUP(H837,ORC.AUXILIAR!I:P,4,0)</f>
        <v>Un</v>
      </c>
      <c r="J837" s="636">
        <f>VLOOKUP(H837,ORC.AUXILIAR!I:P,5,0)</f>
        <v>1</v>
      </c>
      <c r="K837" s="638">
        <f t="shared" si="74"/>
        <v>1</v>
      </c>
      <c r="L837" s="639">
        <f>VLOOKUP(H837,ORC.AUXILIAR!I:P,7,0)</f>
        <v>120.98</v>
      </c>
      <c r="M837" s="639">
        <f>VLOOKUP(H837,ORC.AUXILIAR!I:P,8,0)</f>
        <v>120.98</v>
      </c>
      <c r="N837" s="639">
        <f t="shared" si="76"/>
        <v>120.98</v>
      </c>
      <c r="O837" s="639">
        <f t="shared" si="77"/>
        <v>10258790529.823866</v>
      </c>
      <c r="P837" s="640">
        <f t="shared" si="75"/>
        <v>0.99999172524196467</v>
      </c>
    </row>
    <row r="838" spans="1:16">
      <c r="A838" s="627">
        <v>120.26</v>
      </c>
      <c r="B838" s="628">
        <v>2</v>
      </c>
      <c r="C838" s="629" t="s">
        <v>13853</v>
      </c>
      <c r="D838" s="628">
        <f>VLOOKUP(C838,ORC.AUXILIAR!I:J,2,0)</f>
        <v>0</v>
      </c>
      <c r="G838" s="636">
        <f t="shared" ref="G838:G901" si="78">D838</f>
        <v>0</v>
      </c>
      <c r="H838" s="636" t="str">
        <f t="shared" ref="H838:H901" si="79">C838</f>
        <v>INST.HIPOCL.20</v>
      </c>
      <c r="I838" s="637" t="str">
        <f>VLOOKUP(H838,ORC.AUXILIAR!I:P,4,0)</f>
        <v>un</v>
      </c>
      <c r="J838" s="636">
        <f>VLOOKUP(H838,ORC.AUXILIAR!I:P,5,0)</f>
        <v>2</v>
      </c>
      <c r="K838" s="638">
        <f t="shared" ref="K838:K901" si="80">B838</f>
        <v>2</v>
      </c>
      <c r="L838" s="639">
        <f>VLOOKUP(H838,ORC.AUXILIAR!I:P,7,0)</f>
        <v>60.13</v>
      </c>
      <c r="M838" s="639">
        <f>VLOOKUP(H838,ORC.AUXILIAR!I:P,8,0)</f>
        <v>120.26</v>
      </c>
      <c r="N838" s="639">
        <f t="shared" si="76"/>
        <v>240.52</v>
      </c>
      <c r="O838" s="639">
        <f t="shared" si="77"/>
        <v>10258790770.343866</v>
      </c>
      <c r="P838" s="640">
        <f t="shared" ref="P838:P901" si="81">O838/N$4</f>
        <v>0.99999174868702967</v>
      </c>
    </row>
    <row r="839" spans="1:16">
      <c r="A839" s="627">
        <v>118.48</v>
      </c>
      <c r="B839" s="628">
        <v>8</v>
      </c>
      <c r="C839" s="629">
        <v>7602</v>
      </c>
      <c r="D839" s="628">
        <f>VLOOKUP(C839,ORC.AUXILIAR!I:J,2,0)</f>
        <v>0</v>
      </c>
      <c r="G839" s="636">
        <f t="shared" si="78"/>
        <v>0</v>
      </c>
      <c r="H839" s="636">
        <f t="shared" si="79"/>
        <v>7602</v>
      </c>
      <c r="I839" s="637" t="str">
        <f>VLOOKUP(H839,ORC.AUXILIAR!I:P,4,0)</f>
        <v>pç</v>
      </c>
      <c r="J839" s="636">
        <f>VLOOKUP(H839,ORC.AUXILIAR!I:P,5,0)</f>
        <v>8</v>
      </c>
      <c r="K839" s="638">
        <f t="shared" si="80"/>
        <v>8</v>
      </c>
      <c r="L839" s="639">
        <f>VLOOKUP(H839,ORC.AUXILIAR!I:P,7,0)</f>
        <v>14.81</v>
      </c>
      <c r="M839" s="639">
        <f>VLOOKUP(H839,ORC.AUXILIAR!I:P,8,0)</f>
        <v>118.48</v>
      </c>
      <c r="N839" s="639">
        <f t="shared" ref="N839:N901" si="82">K839*M839</f>
        <v>947.84</v>
      </c>
      <c r="O839" s="639">
        <f t="shared" ref="O839:O901" si="83">N839+O838</f>
        <v>10258791718.183867</v>
      </c>
      <c r="P839" s="640">
        <f t="shared" si="81"/>
        <v>0.9999918410792229</v>
      </c>
    </row>
    <row r="840" spans="1:16">
      <c r="A840" s="627">
        <v>116.46000000000001</v>
      </c>
      <c r="B840" s="628">
        <v>3</v>
      </c>
      <c r="C840" s="629" t="s">
        <v>13758</v>
      </c>
      <c r="D840" s="628">
        <f>VLOOKUP(C840,ORC.AUXILIAR!I:J,2,0)</f>
        <v>0</v>
      </c>
      <c r="G840" s="636">
        <f t="shared" si="78"/>
        <v>0</v>
      </c>
      <c r="H840" s="636" t="str">
        <f t="shared" si="79"/>
        <v>QCM.EEE.45</v>
      </c>
      <c r="I840" s="637" t="str">
        <f>VLOOKUP(H840,ORC.AUXILIAR!I:P,4,0)</f>
        <v>Un</v>
      </c>
      <c r="J840" s="636">
        <f>VLOOKUP(H840,ORC.AUXILIAR!I:P,5,0)</f>
        <v>3</v>
      </c>
      <c r="K840" s="638">
        <f t="shared" si="80"/>
        <v>3</v>
      </c>
      <c r="L840" s="639">
        <f>VLOOKUP(H840,ORC.AUXILIAR!I:P,7,0)</f>
        <v>38.82</v>
      </c>
      <c r="M840" s="639">
        <f>VLOOKUP(H840,ORC.AUXILIAR!I:P,8,0)</f>
        <v>116.46</v>
      </c>
      <c r="N840" s="639">
        <f t="shared" si="82"/>
        <v>349.38</v>
      </c>
      <c r="O840" s="639">
        <f t="shared" si="83"/>
        <v>10258792067.563866</v>
      </c>
      <c r="P840" s="640">
        <f t="shared" si="81"/>
        <v>0.99999187513558718</v>
      </c>
    </row>
    <row r="841" spans="1:16">
      <c r="A841" s="627">
        <v>116.25</v>
      </c>
      <c r="B841" s="628">
        <v>155</v>
      </c>
      <c r="C841" s="629">
        <v>73598</v>
      </c>
      <c r="D841" s="628">
        <f>VLOOKUP(C841,ORC.AUXILIAR!I:J,2,0)</f>
        <v>0</v>
      </c>
      <c r="G841" s="636">
        <f t="shared" si="78"/>
        <v>0</v>
      </c>
      <c r="H841" s="636">
        <f t="shared" si="79"/>
        <v>73598</v>
      </c>
      <c r="I841" s="637" t="str">
        <f>VLOOKUP(H841,ORC.AUXILIAR!I:P,4,0)</f>
        <v>M</v>
      </c>
      <c r="J841" s="636">
        <f>VLOOKUP(H841,ORC.AUXILIAR!I:P,5,0)</f>
        <v>155</v>
      </c>
      <c r="K841" s="638">
        <f t="shared" si="80"/>
        <v>155</v>
      </c>
      <c r="L841" s="639">
        <f>VLOOKUP(H841,ORC.AUXILIAR!I:P,7,0)</f>
        <v>0.75</v>
      </c>
      <c r="M841" s="639">
        <f>VLOOKUP(H841,ORC.AUXILIAR!I:P,8,0)</f>
        <v>116.25</v>
      </c>
      <c r="N841" s="639">
        <f t="shared" si="82"/>
        <v>18018.75</v>
      </c>
      <c r="O841" s="639">
        <f t="shared" si="83"/>
        <v>10258810086.313866</v>
      </c>
      <c r="P841" s="640">
        <f t="shared" si="81"/>
        <v>0.99999363154155407</v>
      </c>
    </row>
    <row r="842" spans="1:16">
      <c r="A842" s="627">
        <v>116.08</v>
      </c>
      <c r="B842" s="628">
        <v>4</v>
      </c>
      <c r="C842" s="629" t="s">
        <v>11751</v>
      </c>
      <c r="D842" s="628">
        <f>VLOOKUP(C842,ORC.AUXILIAR!I:J,2,0)</f>
        <v>0</v>
      </c>
      <c r="G842" s="636">
        <f t="shared" si="78"/>
        <v>0</v>
      </c>
      <c r="H842" s="636" t="str">
        <f t="shared" si="79"/>
        <v>INS.ELET.23</v>
      </c>
      <c r="I842" s="637" t="str">
        <f>VLOOKUP(H842,ORC.AUXILIAR!I:P,4,0)</f>
        <v>un</v>
      </c>
      <c r="J842" s="636">
        <f>VLOOKUP(H842,ORC.AUXILIAR!I:P,5,0)</f>
        <v>4</v>
      </c>
      <c r="K842" s="638">
        <f t="shared" si="80"/>
        <v>4</v>
      </c>
      <c r="L842" s="639">
        <f>VLOOKUP(H842,ORC.AUXILIAR!I:P,7,0)</f>
        <v>29.02</v>
      </c>
      <c r="M842" s="639">
        <f>VLOOKUP(H842,ORC.AUXILIAR!I:P,8,0)</f>
        <v>116.08</v>
      </c>
      <c r="N842" s="639">
        <f t="shared" si="82"/>
        <v>464.32</v>
      </c>
      <c r="O842" s="639">
        <f t="shared" si="83"/>
        <v>10258810550.633865</v>
      </c>
      <c r="P842" s="640">
        <f t="shared" si="81"/>
        <v>0.99999367680187556</v>
      </c>
    </row>
    <row r="843" spans="1:16">
      <c r="A843" s="627">
        <v>115.68</v>
      </c>
      <c r="B843" s="628">
        <v>3</v>
      </c>
      <c r="C843" s="629" t="s">
        <v>13801</v>
      </c>
      <c r="D843" s="628">
        <f>VLOOKUP(C843,ORC.AUXILIAR!I:J,2,0)</f>
        <v>0</v>
      </c>
      <c r="G843" s="636">
        <f t="shared" si="78"/>
        <v>0</v>
      </c>
      <c r="H843" s="636" t="str">
        <f t="shared" si="79"/>
        <v>INST.BIOGAS.06</v>
      </c>
      <c r="I843" s="637" t="str">
        <f>VLOOKUP(H843,ORC.AUXILIAR!I:P,4,0)</f>
        <v>un</v>
      </c>
      <c r="J843" s="636">
        <f>VLOOKUP(H843,ORC.AUXILIAR!I:P,5,0)</f>
        <v>3</v>
      </c>
      <c r="K843" s="638">
        <f t="shared" si="80"/>
        <v>3</v>
      </c>
      <c r="L843" s="639">
        <f>VLOOKUP(H843,ORC.AUXILIAR!I:P,7,0)</f>
        <v>38.56</v>
      </c>
      <c r="M843" s="639">
        <f>VLOOKUP(H843,ORC.AUXILIAR!I:P,8,0)</f>
        <v>115.68</v>
      </c>
      <c r="N843" s="639">
        <f t="shared" si="82"/>
        <v>347.04</v>
      </c>
      <c r="O843" s="639">
        <f t="shared" si="83"/>
        <v>10258810897.673866</v>
      </c>
      <c r="P843" s="640">
        <f t="shared" si="81"/>
        <v>0.99999371063014497</v>
      </c>
    </row>
    <row r="844" spans="1:16">
      <c r="A844" s="627">
        <v>115.63</v>
      </c>
      <c r="B844" s="628">
        <v>1</v>
      </c>
      <c r="C844" s="629">
        <v>1062</v>
      </c>
      <c r="D844" s="628">
        <f>VLOOKUP(C844,ORC.AUXILIAR!I:J,2,0)</f>
        <v>0</v>
      </c>
      <c r="G844" s="636">
        <f t="shared" si="78"/>
        <v>0</v>
      </c>
      <c r="H844" s="636">
        <f t="shared" si="79"/>
        <v>1062</v>
      </c>
      <c r="I844" s="637" t="str">
        <f>VLOOKUP(H844,ORC.AUXILIAR!I:P,4,0)</f>
        <v>um</v>
      </c>
      <c r="J844" s="636">
        <f>VLOOKUP(H844,ORC.AUXILIAR!I:P,5,0)</f>
        <v>1</v>
      </c>
      <c r="K844" s="638">
        <f t="shared" si="80"/>
        <v>1</v>
      </c>
      <c r="L844" s="639">
        <f>VLOOKUP(H844,ORC.AUXILIAR!I:P,7,0)</f>
        <v>115.63</v>
      </c>
      <c r="M844" s="639">
        <f>VLOOKUP(H844,ORC.AUXILIAR!I:P,8,0)</f>
        <v>115.63</v>
      </c>
      <c r="N844" s="639">
        <f t="shared" si="82"/>
        <v>115.63</v>
      </c>
      <c r="O844" s="639">
        <f t="shared" si="83"/>
        <v>10258811013.303865</v>
      </c>
      <c r="P844" s="640">
        <f t="shared" si="81"/>
        <v>0.99999372190136071</v>
      </c>
    </row>
    <row r="845" spans="1:16">
      <c r="A845" s="627">
        <v>109.86</v>
      </c>
      <c r="B845" s="628">
        <v>2</v>
      </c>
      <c r="C845" s="629" t="s">
        <v>13605</v>
      </c>
      <c r="D845" s="628">
        <f>VLOOKUP(C845,ORC.AUXILIAR!I:J,2,0)</f>
        <v>0</v>
      </c>
      <c r="G845" s="636">
        <f t="shared" si="78"/>
        <v>0</v>
      </c>
      <c r="H845" s="636" t="str">
        <f t="shared" si="79"/>
        <v>QCM.BIOGAS.07</v>
      </c>
      <c r="I845" s="637" t="str">
        <f>VLOOKUP(H845,ORC.AUXILIAR!I:P,4,0)</f>
        <v>um</v>
      </c>
      <c r="J845" s="636">
        <f>VLOOKUP(H845,ORC.AUXILIAR!I:P,5,0)</f>
        <v>2</v>
      </c>
      <c r="K845" s="638">
        <f t="shared" si="80"/>
        <v>2</v>
      </c>
      <c r="L845" s="639">
        <f>VLOOKUP(H845,ORC.AUXILIAR!I:P,7,0)</f>
        <v>54.93</v>
      </c>
      <c r="M845" s="639">
        <f>VLOOKUP(H845,ORC.AUXILIAR!I:P,8,0)</f>
        <v>109.86</v>
      </c>
      <c r="N845" s="639">
        <f t="shared" si="82"/>
        <v>219.72</v>
      </c>
      <c r="O845" s="639">
        <f t="shared" si="83"/>
        <v>10258811233.023865</v>
      </c>
      <c r="P845" s="640">
        <f t="shared" si="81"/>
        <v>0.99999374331891289</v>
      </c>
    </row>
    <row r="846" spans="1:16">
      <c r="A846" s="627">
        <v>109.86</v>
      </c>
      <c r="B846" s="628">
        <v>2</v>
      </c>
      <c r="C846" s="629" t="s">
        <v>13606</v>
      </c>
      <c r="D846" s="628">
        <f>VLOOKUP(C846,ORC.AUXILIAR!I:J,2,0)</f>
        <v>0</v>
      </c>
      <c r="G846" s="636">
        <f t="shared" si="78"/>
        <v>0</v>
      </c>
      <c r="H846" s="636" t="str">
        <f t="shared" si="79"/>
        <v>QCM.BIOGAS.08</v>
      </c>
      <c r="I846" s="637" t="str">
        <f>VLOOKUP(H846,ORC.AUXILIAR!I:P,4,0)</f>
        <v>un</v>
      </c>
      <c r="J846" s="636">
        <f>VLOOKUP(H846,ORC.AUXILIAR!I:P,5,0)</f>
        <v>2</v>
      </c>
      <c r="K846" s="638">
        <f t="shared" si="80"/>
        <v>2</v>
      </c>
      <c r="L846" s="639">
        <f>VLOOKUP(H846,ORC.AUXILIAR!I:P,7,0)</f>
        <v>54.93</v>
      </c>
      <c r="M846" s="639">
        <f>VLOOKUP(H846,ORC.AUXILIAR!I:P,8,0)</f>
        <v>109.86</v>
      </c>
      <c r="N846" s="639">
        <f t="shared" si="82"/>
        <v>219.72</v>
      </c>
      <c r="O846" s="639">
        <f t="shared" si="83"/>
        <v>10258811452.743864</v>
      </c>
      <c r="P846" s="640">
        <f t="shared" si="81"/>
        <v>0.99999376473646506</v>
      </c>
    </row>
    <row r="847" spans="1:16">
      <c r="A847" s="627">
        <v>107.28</v>
      </c>
      <c r="B847" s="628">
        <v>9</v>
      </c>
      <c r="C847" s="629">
        <v>93655</v>
      </c>
      <c r="D847" s="628">
        <f>VLOOKUP(C847,ORC.AUXILIAR!I:J,2,0)</f>
        <v>0</v>
      </c>
      <c r="G847" s="636">
        <f t="shared" si="78"/>
        <v>0</v>
      </c>
      <c r="H847" s="636">
        <f t="shared" si="79"/>
        <v>93655</v>
      </c>
      <c r="I847" s="637" t="str">
        <f>VLOOKUP(H847,ORC.AUXILIAR!I:P,4,0)</f>
        <v>un</v>
      </c>
      <c r="J847" s="636">
        <f>VLOOKUP(H847,ORC.AUXILIAR!I:P,5,0)</f>
        <v>6</v>
      </c>
      <c r="K847" s="638">
        <f t="shared" si="80"/>
        <v>9</v>
      </c>
      <c r="L847" s="639">
        <f>VLOOKUP(H847,ORC.AUXILIAR!I:P,7,0)</f>
        <v>11.92</v>
      </c>
      <c r="M847" s="639">
        <f>VLOOKUP(H847,ORC.AUXILIAR!I:P,8,0)</f>
        <v>71.52</v>
      </c>
      <c r="N847" s="639">
        <f t="shared" si="82"/>
        <v>643.67999999999995</v>
      </c>
      <c r="O847" s="639">
        <f t="shared" si="83"/>
        <v>10258812096.423864</v>
      </c>
      <c r="P847" s="640">
        <f t="shared" si="81"/>
        <v>0.99999382748018439</v>
      </c>
    </row>
    <row r="848" spans="1:16">
      <c r="A848" s="627">
        <v>106.64999999999999</v>
      </c>
      <c r="B848" s="628">
        <v>9</v>
      </c>
      <c r="C848" s="629">
        <v>90373</v>
      </c>
      <c r="D848" s="628">
        <f>VLOOKUP(C848,ORC.AUXILIAR!I:J,2,0)</f>
        <v>0</v>
      </c>
      <c r="G848" s="636">
        <f t="shared" si="78"/>
        <v>0</v>
      </c>
      <c r="H848" s="636">
        <f t="shared" si="79"/>
        <v>90373</v>
      </c>
      <c r="I848" s="637" t="str">
        <f>VLOOKUP(H848,ORC.AUXILIAR!I:P,4,0)</f>
        <v>pç</v>
      </c>
      <c r="J848" s="636">
        <f>VLOOKUP(H848,ORC.AUXILIAR!I:P,5,0)</f>
        <v>9</v>
      </c>
      <c r="K848" s="638">
        <f t="shared" si="80"/>
        <v>9</v>
      </c>
      <c r="L848" s="639">
        <f>VLOOKUP(H848,ORC.AUXILIAR!I:P,7,0)</f>
        <v>11.85</v>
      </c>
      <c r="M848" s="639">
        <f>VLOOKUP(H848,ORC.AUXILIAR!I:P,8,0)</f>
        <v>106.65</v>
      </c>
      <c r="N848" s="639">
        <f t="shared" si="82"/>
        <v>959.85</v>
      </c>
      <c r="O848" s="639">
        <f t="shared" si="83"/>
        <v>10258813056.273865</v>
      </c>
      <c r="P848" s="640">
        <f t="shared" si="81"/>
        <v>0.99999392104307128</v>
      </c>
    </row>
    <row r="849" spans="1:16">
      <c r="A849" s="627">
        <v>106</v>
      </c>
      <c r="B849" s="628">
        <v>10</v>
      </c>
      <c r="C849" s="629" t="s">
        <v>13608</v>
      </c>
      <c r="D849" s="628">
        <f>VLOOKUP(C849,ORC.AUXILIAR!I:J,2,0)</f>
        <v>0</v>
      </c>
      <c r="G849" s="636">
        <f t="shared" si="78"/>
        <v>0</v>
      </c>
      <c r="H849" s="636" t="str">
        <f t="shared" si="79"/>
        <v>QCM.BIOGAS.10</v>
      </c>
      <c r="I849" s="637" t="str">
        <f>VLOOKUP(H849,ORC.AUXILIAR!I:P,4,0)</f>
        <v>un</v>
      </c>
      <c r="J849" s="636">
        <f>VLOOKUP(H849,ORC.AUXILIAR!I:P,5,0)</f>
        <v>10</v>
      </c>
      <c r="K849" s="638">
        <f t="shared" si="80"/>
        <v>10</v>
      </c>
      <c r="L849" s="639">
        <f>VLOOKUP(H849,ORC.AUXILIAR!I:P,7,0)</f>
        <v>10.6</v>
      </c>
      <c r="M849" s="639">
        <f>VLOOKUP(H849,ORC.AUXILIAR!I:P,8,0)</f>
        <v>106</v>
      </c>
      <c r="N849" s="639">
        <f t="shared" si="82"/>
        <v>1060</v>
      </c>
      <c r="O849" s="639">
        <f t="shared" si="83"/>
        <v>10258814116.273865</v>
      </c>
      <c r="P849" s="640">
        <f t="shared" si="81"/>
        <v>0.9999940243682367</v>
      </c>
    </row>
    <row r="850" spans="1:16">
      <c r="A850" s="627">
        <v>106</v>
      </c>
      <c r="B850" s="628">
        <v>10</v>
      </c>
      <c r="C850" s="629" t="s">
        <v>13704</v>
      </c>
      <c r="D850" s="628">
        <f>VLOOKUP(C850,ORC.AUXILIAR!I:J,2,0)</f>
        <v>0</v>
      </c>
      <c r="G850" s="636">
        <f t="shared" si="78"/>
        <v>0</v>
      </c>
      <c r="H850" s="636" t="str">
        <f t="shared" si="79"/>
        <v>QCM.EEE.13</v>
      </c>
      <c r="I850" s="637" t="str">
        <f>VLOOKUP(H850,ORC.AUXILIAR!I:P,4,0)</f>
        <v>Un</v>
      </c>
      <c r="J850" s="636">
        <f>VLOOKUP(H850,ORC.AUXILIAR!I:P,5,0)</f>
        <v>10</v>
      </c>
      <c r="K850" s="638">
        <f t="shared" si="80"/>
        <v>10</v>
      </c>
      <c r="L850" s="639">
        <f>VLOOKUP(H850,ORC.AUXILIAR!I:P,7,0)</f>
        <v>10.6</v>
      </c>
      <c r="M850" s="639">
        <f>VLOOKUP(H850,ORC.AUXILIAR!I:P,8,0)</f>
        <v>106</v>
      </c>
      <c r="N850" s="639">
        <f t="shared" si="82"/>
        <v>1060</v>
      </c>
      <c r="O850" s="639">
        <f t="shared" si="83"/>
        <v>10258815176.273865</v>
      </c>
      <c r="P850" s="640">
        <f t="shared" si="81"/>
        <v>0.99999412769340223</v>
      </c>
    </row>
    <row r="851" spans="1:16">
      <c r="A851" s="627">
        <v>106</v>
      </c>
      <c r="B851" s="628">
        <v>10</v>
      </c>
      <c r="C851" s="629" t="s">
        <v>13560</v>
      </c>
      <c r="D851" s="628">
        <f>VLOOKUP(C851,ORC.AUXILIAR!I:J,2,0)</f>
        <v>0</v>
      </c>
      <c r="G851" s="636">
        <f t="shared" si="78"/>
        <v>0</v>
      </c>
      <c r="H851" s="636" t="str">
        <f t="shared" si="79"/>
        <v>QCM.HIP.12</v>
      </c>
      <c r="I851" s="637" t="str">
        <f>VLOOKUP(H851,ORC.AUXILIAR!I:P,4,0)</f>
        <v>un</v>
      </c>
      <c r="J851" s="636">
        <f>VLOOKUP(H851,ORC.AUXILIAR!I:P,5,0)</f>
        <v>10</v>
      </c>
      <c r="K851" s="638">
        <f t="shared" si="80"/>
        <v>10</v>
      </c>
      <c r="L851" s="639">
        <f>VLOOKUP(H851,ORC.AUXILIAR!I:P,7,0)</f>
        <v>10.6</v>
      </c>
      <c r="M851" s="639">
        <f>VLOOKUP(H851,ORC.AUXILIAR!I:P,8,0)</f>
        <v>106</v>
      </c>
      <c r="N851" s="639">
        <f t="shared" si="82"/>
        <v>1060</v>
      </c>
      <c r="O851" s="639">
        <f t="shared" si="83"/>
        <v>10258816236.273865</v>
      </c>
      <c r="P851" s="640">
        <f t="shared" si="81"/>
        <v>0.99999423101856766</v>
      </c>
    </row>
    <row r="852" spans="1:16">
      <c r="A852" s="627">
        <v>105.35</v>
      </c>
      <c r="B852" s="628">
        <v>1</v>
      </c>
      <c r="C852" s="629" t="s">
        <v>13334</v>
      </c>
      <c r="D852" s="628">
        <f>VLOOKUP(C852,ORC.AUXILIAR!I:J,2,0)</f>
        <v>0</v>
      </c>
      <c r="G852" s="636">
        <f t="shared" si="78"/>
        <v>0</v>
      </c>
      <c r="H852" s="636" t="str">
        <f t="shared" si="79"/>
        <v>TH.ENG.02</v>
      </c>
      <c r="I852" s="637" t="str">
        <f>VLOOKUP(H852,ORC.AUXILIAR!I:P,4,0)</f>
        <v>un</v>
      </c>
      <c r="J852" s="636">
        <f>VLOOKUP(H852,ORC.AUXILIAR!I:P,5,0)</f>
        <v>1</v>
      </c>
      <c r="K852" s="638">
        <f t="shared" si="80"/>
        <v>1</v>
      </c>
      <c r="L852" s="639">
        <f>VLOOKUP(H852,ORC.AUXILIAR!I:P,7,0)</f>
        <v>105.35</v>
      </c>
      <c r="M852" s="639">
        <f>VLOOKUP(H852,ORC.AUXILIAR!I:P,8,0)</f>
        <v>105.35</v>
      </c>
      <c r="N852" s="639">
        <f t="shared" si="82"/>
        <v>105.35</v>
      </c>
      <c r="O852" s="639">
        <f t="shared" si="83"/>
        <v>10258816341.623865</v>
      </c>
      <c r="P852" s="640">
        <f t="shared" si="81"/>
        <v>0.99999424128772441</v>
      </c>
    </row>
    <row r="853" spans="1:16">
      <c r="A853" s="627">
        <v>105.3</v>
      </c>
      <c r="B853" s="628">
        <v>2</v>
      </c>
      <c r="C853" s="629" t="s">
        <v>12780</v>
      </c>
      <c r="D853" s="628">
        <f>VLOOKUP(C853,ORC.AUXILIAR!I:J,2,0)</f>
        <v>0</v>
      </c>
      <c r="G853" s="636">
        <f t="shared" si="78"/>
        <v>0</v>
      </c>
      <c r="H853" s="636" t="str">
        <f t="shared" si="79"/>
        <v>TH.AI.02</v>
      </c>
      <c r="I853" s="637" t="str">
        <f>VLOOKUP(H853,ORC.AUXILIAR!I:P,4,0)</f>
        <v>pç</v>
      </c>
      <c r="J853" s="636">
        <f>VLOOKUP(H853,ORC.AUXILIAR!I:P,5,0)</f>
        <v>2</v>
      </c>
      <c r="K853" s="638">
        <f t="shared" si="80"/>
        <v>2</v>
      </c>
      <c r="L853" s="639">
        <f>VLOOKUP(H853,ORC.AUXILIAR!I:P,7,0)</f>
        <v>52.65</v>
      </c>
      <c r="M853" s="639">
        <f>VLOOKUP(H853,ORC.AUXILIAR!I:P,8,0)</f>
        <v>105.3</v>
      </c>
      <c r="N853" s="639">
        <f t="shared" si="82"/>
        <v>210.6</v>
      </c>
      <c r="O853" s="639">
        <f t="shared" si="83"/>
        <v>10258816552.223866</v>
      </c>
      <c r="P853" s="640">
        <f t="shared" si="81"/>
        <v>0.99999426181629036</v>
      </c>
    </row>
    <row r="854" spans="1:16">
      <c r="A854" s="627">
        <v>103.48139999999999</v>
      </c>
      <c r="B854" s="628">
        <v>0.33</v>
      </c>
      <c r="C854" s="629">
        <v>84152</v>
      </c>
      <c r="D854" s="628">
        <f>VLOOKUP(C854,ORC.AUXILIAR!I:J,2,0)</f>
        <v>0</v>
      </c>
      <c r="G854" s="636">
        <f t="shared" si="78"/>
        <v>0</v>
      </c>
      <c r="H854" s="636">
        <f t="shared" si="79"/>
        <v>84152</v>
      </c>
      <c r="I854" s="637" t="str">
        <f>VLOOKUP(H854,ORC.AUXILIAR!I:P,4,0)</f>
        <v>M3</v>
      </c>
      <c r="J854" s="636">
        <f>VLOOKUP(H854,ORC.AUXILIAR!I:P,5,0)</f>
        <v>0.33</v>
      </c>
      <c r="K854" s="638">
        <f t="shared" si="80"/>
        <v>0.33</v>
      </c>
      <c r="L854" s="639">
        <f>VLOOKUP(H854,ORC.AUXILIAR!I:P,7,0)</f>
        <v>313.58</v>
      </c>
      <c r="M854" s="639">
        <f>VLOOKUP(H854,ORC.AUXILIAR!I:P,8,0)</f>
        <v>103.48</v>
      </c>
      <c r="N854" s="639">
        <f t="shared" si="82"/>
        <v>34.148400000000002</v>
      </c>
      <c r="O854" s="639">
        <f t="shared" si="83"/>
        <v>10258816586.372265</v>
      </c>
      <c r="P854" s="640">
        <f t="shared" si="81"/>
        <v>0.99999426514495926</v>
      </c>
    </row>
    <row r="855" spans="1:16">
      <c r="A855" s="627">
        <v>103.40800000000002</v>
      </c>
      <c r="B855" s="628">
        <v>224.8</v>
      </c>
      <c r="C855" s="629">
        <v>73590</v>
      </c>
      <c r="D855" s="628">
        <f>VLOOKUP(C855,ORC.AUXILIAR!I:J,2,0)</f>
        <v>0</v>
      </c>
      <c r="G855" s="636">
        <f t="shared" si="78"/>
        <v>0</v>
      </c>
      <c r="H855" s="636">
        <f t="shared" si="79"/>
        <v>73590</v>
      </c>
      <c r="I855" s="637" t="str">
        <f>VLOOKUP(H855,ORC.AUXILIAR!I:P,4,0)</f>
        <v>M</v>
      </c>
      <c r="J855" s="636">
        <f>VLOOKUP(H855,ORC.AUXILIAR!I:P,5,0)</f>
        <v>224.8</v>
      </c>
      <c r="K855" s="638">
        <f t="shared" si="80"/>
        <v>224.8</v>
      </c>
      <c r="L855" s="639">
        <f>VLOOKUP(H855,ORC.AUXILIAR!I:P,7,0)</f>
        <v>0.46</v>
      </c>
      <c r="M855" s="639">
        <f>VLOOKUP(H855,ORC.AUXILIAR!I:P,8,0)</f>
        <v>103.41</v>
      </c>
      <c r="N855" s="639">
        <f t="shared" si="82"/>
        <v>23246.567999999999</v>
      </c>
      <c r="O855" s="639">
        <f t="shared" si="83"/>
        <v>10258839832.940266</v>
      </c>
      <c r="P855" s="640">
        <f t="shared" si="81"/>
        <v>0.99999653114069953</v>
      </c>
    </row>
    <row r="856" spans="1:16">
      <c r="A856" s="627">
        <v>102.80159999999999</v>
      </c>
      <c r="B856" s="628">
        <v>0.33</v>
      </c>
      <c r="C856" s="629">
        <v>90278</v>
      </c>
      <c r="D856" s="628">
        <f>VLOOKUP(C856,ORC.AUXILIAR!I:J,2,0)</f>
        <v>0</v>
      </c>
      <c r="G856" s="636">
        <f t="shared" si="78"/>
        <v>0</v>
      </c>
      <c r="H856" s="636">
        <f t="shared" si="79"/>
        <v>90278</v>
      </c>
      <c r="I856" s="637" t="str">
        <f>VLOOKUP(H856,ORC.AUXILIAR!I:P,4,0)</f>
        <v>M3</v>
      </c>
      <c r="J856" s="636">
        <f>VLOOKUP(H856,ORC.AUXILIAR!I:P,5,0)</f>
        <v>0.33</v>
      </c>
      <c r="K856" s="638">
        <f t="shared" si="80"/>
        <v>0.33</v>
      </c>
      <c r="L856" s="639">
        <f>VLOOKUP(H856,ORC.AUXILIAR!I:P,7,0)</f>
        <v>311.52</v>
      </c>
      <c r="M856" s="639">
        <f>VLOOKUP(H856,ORC.AUXILIAR!I:P,8,0)</f>
        <v>102.8</v>
      </c>
      <c r="N856" s="639">
        <f t="shared" si="82"/>
        <v>33.923999999999999</v>
      </c>
      <c r="O856" s="639">
        <f t="shared" si="83"/>
        <v>10258839866.864265</v>
      </c>
      <c r="P856" s="640">
        <f t="shared" si="81"/>
        <v>0.9999965344474947</v>
      </c>
    </row>
    <row r="857" spans="1:16">
      <c r="A857" s="627">
        <v>100.08</v>
      </c>
      <c r="B857" s="628">
        <v>24</v>
      </c>
      <c r="C857" s="629">
        <v>3863</v>
      </c>
      <c r="D857" s="628">
        <f>VLOOKUP(C857,ORC.AUXILIAR!I:J,2,0)</f>
        <v>0</v>
      </c>
      <c r="G857" s="636">
        <f t="shared" si="78"/>
        <v>0</v>
      </c>
      <c r="H857" s="636">
        <f t="shared" si="79"/>
        <v>3863</v>
      </c>
      <c r="I857" s="637" t="str">
        <f>VLOOKUP(H857,ORC.AUXILIAR!I:P,4,0)</f>
        <v>pç</v>
      </c>
      <c r="J857" s="636">
        <f>VLOOKUP(H857,ORC.AUXILIAR!I:P,5,0)</f>
        <v>24</v>
      </c>
      <c r="K857" s="638">
        <f t="shared" si="80"/>
        <v>24</v>
      </c>
      <c r="L857" s="639">
        <f>VLOOKUP(H857,ORC.AUXILIAR!I:P,7,0)</f>
        <v>4.17</v>
      </c>
      <c r="M857" s="639">
        <f>VLOOKUP(H857,ORC.AUXILIAR!I:P,8,0)</f>
        <v>100.08</v>
      </c>
      <c r="N857" s="639">
        <f t="shared" si="82"/>
        <v>2401.92</v>
      </c>
      <c r="O857" s="639">
        <f t="shared" si="83"/>
        <v>10258842268.784266</v>
      </c>
      <c r="P857" s="640">
        <f t="shared" si="81"/>
        <v>0.99999676857842057</v>
      </c>
    </row>
    <row r="858" spans="1:16">
      <c r="A858" s="627">
        <v>99.89</v>
      </c>
      <c r="B858" s="628">
        <v>7</v>
      </c>
      <c r="C858" s="629" t="s">
        <v>13414</v>
      </c>
      <c r="D858" s="628">
        <f>VLOOKUP(C858,ORC.AUXILIAR!I:J,2,0)</f>
        <v>0</v>
      </c>
      <c r="G858" s="636">
        <f t="shared" si="78"/>
        <v>0</v>
      </c>
      <c r="H858" s="636" t="str">
        <f t="shared" si="79"/>
        <v>INS.ELET.40</v>
      </c>
      <c r="I858" s="637" t="str">
        <f>VLOOKUP(H858,ORC.AUXILIAR!I:P,4,0)</f>
        <v>un</v>
      </c>
      <c r="J858" s="636">
        <f>VLOOKUP(H858,ORC.AUXILIAR!I:P,5,0)</f>
        <v>7</v>
      </c>
      <c r="K858" s="638">
        <f t="shared" si="80"/>
        <v>7</v>
      </c>
      <c r="L858" s="639">
        <f>VLOOKUP(H858,ORC.AUXILIAR!I:P,7,0)</f>
        <v>14.27</v>
      </c>
      <c r="M858" s="639">
        <f>VLOOKUP(H858,ORC.AUXILIAR!I:P,8,0)</f>
        <v>99.89</v>
      </c>
      <c r="N858" s="639">
        <f t="shared" si="82"/>
        <v>699.23</v>
      </c>
      <c r="O858" s="639">
        <f t="shared" si="83"/>
        <v>10258842968.014265</v>
      </c>
      <c r="P858" s="640">
        <f t="shared" si="81"/>
        <v>0.99999683673696338</v>
      </c>
    </row>
    <row r="859" spans="1:16">
      <c r="A859" s="627">
        <v>99.1</v>
      </c>
      <c r="B859" s="628">
        <v>10</v>
      </c>
      <c r="C859" s="629">
        <v>3481</v>
      </c>
      <c r="D859" s="628">
        <f>VLOOKUP(C859,ORC.AUXILIAR!I:J,2,0)</f>
        <v>0</v>
      </c>
      <c r="G859" s="636">
        <f t="shared" si="78"/>
        <v>0</v>
      </c>
      <c r="H859" s="636">
        <f t="shared" si="79"/>
        <v>3481</v>
      </c>
      <c r="I859" s="637" t="str">
        <f>VLOOKUP(H859,ORC.AUXILIAR!I:P,4,0)</f>
        <v>pç</v>
      </c>
      <c r="J859" s="636">
        <f>VLOOKUP(H859,ORC.AUXILIAR!I:P,5,0)</f>
        <v>10</v>
      </c>
      <c r="K859" s="638">
        <f t="shared" si="80"/>
        <v>10</v>
      </c>
      <c r="L859" s="639">
        <f>VLOOKUP(H859,ORC.AUXILIAR!I:P,7,0)</f>
        <v>9.91</v>
      </c>
      <c r="M859" s="639">
        <f>VLOOKUP(H859,ORC.AUXILIAR!I:P,8,0)</f>
        <v>99.1</v>
      </c>
      <c r="N859" s="639">
        <f t="shared" si="82"/>
        <v>991</v>
      </c>
      <c r="O859" s="639">
        <f t="shared" si="83"/>
        <v>10258843959.014265</v>
      </c>
      <c r="P859" s="640">
        <f t="shared" si="81"/>
        <v>0.9999969333362454</v>
      </c>
    </row>
    <row r="860" spans="1:16">
      <c r="A860" s="627">
        <v>98.16</v>
      </c>
      <c r="B860" s="628">
        <v>12</v>
      </c>
      <c r="C860" s="629">
        <v>91868</v>
      </c>
      <c r="D860" s="628">
        <f>VLOOKUP(C860,ORC.AUXILIAR!I:J,2,0)</f>
        <v>0</v>
      </c>
      <c r="G860" s="636">
        <f t="shared" si="78"/>
        <v>0</v>
      </c>
      <c r="H860" s="636">
        <f t="shared" si="79"/>
        <v>91868</v>
      </c>
      <c r="I860" s="637" t="str">
        <f>VLOOKUP(H860,ORC.AUXILIAR!I:P,4,0)</f>
        <v>m</v>
      </c>
      <c r="J860" s="636">
        <f>VLOOKUP(H860,ORC.AUXILIAR!I:P,5,0)</f>
        <v>12</v>
      </c>
      <c r="K860" s="638">
        <f t="shared" si="80"/>
        <v>12</v>
      </c>
      <c r="L860" s="639">
        <f>VLOOKUP(H860,ORC.AUXILIAR!I:P,7,0)</f>
        <v>8.18</v>
      </c>
      <c r="M860" s="639">
        <f>VLOOKUP(H860,ORC.AUXILIAR!I:P,8,0)</f>
        <v>98.16</v>
      </c>
      <c r="N860" s="639">
        <f t="shared" si="82"/>
        <v>1177.92</v>
      </c>
      <c r="O860" s="639">
        <f t="shared" si="83"/>
        <v>10258845136.934265</v>
      </c>
      <c r="P860" s="640">
        <f t="shared" si="81"/>
        <v>0.99999704815584811</v>
      </c>
    </row>
    <row r="861" spans="1:16">
      <c r="A861" s="627">
        <v>97.26</v>
      </c>
      <c r="B861" s="628">
        <v>2</v>
      </c>
      <c r="C861" s="629" t="s">
        <v>13811</v>
      </c>
      <c r="D861" s="628">
        <f>VLOOKUP(C861,ORC.AUXILIAR!I:J,2,0)</f>
        <v>0</v>
      </c>
      <c r="G861" s="636">
        <f t="shared" si="78"/>
        <v>0</v>
      </c>
      <c r="H861" s="636" t="str">
        <f t="shared" si="79"/>
        <v>INST.BIOGAS.11</v>
      </c>
      <c r="I861" s="637" t="str">
        <f>VLOOKUP(H861,ORC.AUXILIAR!I:P,4,0)</f>
        <v>un</v>
      </c>
      <c r="J861" s="636">
        <f>VLOOKUP(H861,ORC.AUXILIAR!I:P,5,0)</f>
        <v>2</v>
      </c>
      <c r="K861" s="638">
        <f t="shared" si="80"/>
        <v>2</v>
      </c>
      <c r="L861" s="639">
        <f>VLOOKUP(H861,ORC.AUXILIAR!I:P,7,0)</f>
        <v>48.63</v>
      </c>
      <c r="M861" s="639">
        <f>VLOOKUP(H861,ORC.AUXILIAR!I:P,8,0)</f>
        <v>97.26</v>
      </c>
      <c r="N861" s="639">
        <f t="shared" si="82"/>
        <v>194.52</v>
      </c>
      <c r="O861" s="639">
        <f t="shared" si="83"/>
        <v>10258845331.454266</v>
      </c>
      <c r="P861" s="640">
        <f t="shared" si="81"/>
        <v>0.99999706711699077</v>
      </c>
    </row>
    <row r="862" spans="1:16">
      <c r="A862" s="627">
        <v>97.26</v>
      </c>
      <c r="B862" s="628">
        <v>2</v>
      </c>
      <c r="C862" s="629" t="s">
        <v>13852</v>
      </c>
      <c r="D862" s="628">
        <f>VLOOKUP(C862,ORC.AUXILIAR!I:J,2,0)</f>
        <v>0</v>
      </c>
      <c r="G862" s="636">
        <f t="shared" si="78"/>
        <v>0</v>
      </c>
      <c r="H862" s="636" t="str">
        <f t="shared" si="79"/>
        <v>INST.HIPOCL.19</v>
      </c>
      <c r="I862" s="637" t="str">
        <f>VLOOKUP(H862,ORC.AUXILIAR!I:P,4,0)</f>
        <v>un</v>
      </c>
      <c r="J862" s="636">
        <f>VLOOKUP(H862,ORC.AUXILIAR!I:P,5,0)</f>
        <v>2</v>
      </c>
      <c r="K862" s="638">
        <f t="shared" si="80"/>
        <v>2</v>
      </c>
      <c r="L862" s="639">
        <f>VLOOKUP(H862,ORC.AUXILIAR!I:P,7,0)</f>
        <v>48.63</v>
      </c>
      <c r="M862" s="639">
        <f>VLOOKUP(H862,ORC.AUXILIAR!I:P,8,0)</f>
        <v>97.26</v>
      </c>
      <c r="N862" s="639">
        <f t="shared" si="82"/>
        <v>194.52</v>
      </c>
      <c r="O862" s="639">
        <f t="shared" si="83"/>
        <v>10258845525.974266</v>
      </c>
      <c r="P862" s="640">
        <f t="shared" si="81"/>
        <v>0.99999708607813342</v>
      </c>
    </row>
    <row r="863" spans="1:16">
      <c r="A863" s="627">
        <v>94.581999999999994</v>
      </c>
      <c r="B863" s="628">
        <v>14.44</v>
      </c>
      <c r="C863" s="629" t="s">
        <v>18313</v>
      </c>
      <c r="D863" s="628">
        <f>VLOOKUP(C863,ORC.AUXILIAR!I:J,2,0)</f>
        <v>0</v>
      </c>
      <c r="G863" s="636">
        <f t="shared" si="78"/>
        <v>0</v>
      </c>
      <c r="H863" s="636" t="str">
        <f t="shared" si="79"/>
        <v>74005/2</v>
      </c>
      <c r="I863" s="637" t="str">
        <f>VLOOKUP(H863,ORC.AUXILIAR!I:P,4,0)</f>
        <v>M3</v>
      </c>
      <c r="J863" s="636">
        <f>VLOOKUP(H863,ORC.AUXILIAR!I:P,5,0)</f>
        <v>14.44</v>
      </c>
      <c r="K863" s="638">
        <f t="shared" si="80"/>
        <v>14.44</v>
      </c>
      <c r="L863" s="639">
        <f>VLOOKUP(H863,ORC.AUXILIAR!I:P,7,0)</f>
        <v>6.55</v>
      </c>
      <c r="M863" s="639">
        <f>VLOOKUP(H863,ORC.AUXILIAR!I:P,8,0)</f>
        <v>94.58</v>
      </c>
      <c r="N863" s="639">
        <f t="shared" si="82"/>
        <v>1365.7351999999998</v>
      </c>
      <c r="O863" s="639">
        <f t="shared" si="83"/>
        <v>10258846891.709467</v>
      </c>
      <c r="P863" s="640">
        <f t="shared" si="81"/>
        <v>0.99999721920531803</v>
      </c>
    </row>
    <row r="864" spans="1:16">
      <c r="A864" s="627">
        <v>93.76</v>
      </c>
      <c r="B864" s="628">
        <v>16</v>
      </c>
      <c r="C864" s="629">
        <v>39182</v>
      </c>
      <c r="D864" s="628">
        <f>VLOOKUP(C864,ORC.AUXILIAR!I:J,2,0)</f>
        <v>0</v>
      </c>
      <c r="G864" s="636">
        <f t="shared" si="78"/>
        <v>0</v>
      </c>
      <c r="H864" s="636">
        <f t="shared" si="79"/>
        <v>39182</v>
      </c>
      <c r="I864" s="637" t="str">
        <f>VLOOKUP(H864,ORC.AUXILIAR!I:P,4,0)</f>
        <v>un</v>
      </c>
      <c r="J864" s="636">
        <f>VLOOKUP(H864,ORC.AUXILIAR!I:P,5,0)</f>
        <v>16</v>
      </c>
      <c r="K864" s="638">
        <f t="shared" si="80"/>
        <v>16</v>
      </c>
      <c r="L864" s="639">
        <f>VLOOKUP(H864,ORC.AUXILIAR!I:P,7,0)</f>
        <v>5.86</v>
      </c>
      <c r="M864" s="639">
        <f>VLOOKUP(H864,ORC.AUXILIAR!I:P,8,0)</f>
        <v>93.76</v>
      </c>
      <c r="N864" s="639">
        <f t="shared" si="82"/>
        <v>1500.16</v>
      </c>
      <c r="O864" s="639">
        <f t="shared" si="83"/>
        <v>10258848391.869467</v>
      </c>
      <c r="P864" s="640">
        <f t="shared" si="81"/>
        <v>0.999997365435771</v>
      </c>
    </row>
    <row r="865" spans="1:16">
      <c r="A865" s="627">
        <v>93.68</v>
      </c>
      <c r="B865" s="628">
        <v>1</v>
      </c>
      <c r="C865" s="629" t="s">
        <v>13542</v>
      </c>
      <c r="D865" s="628">
        <f>VLOOKUP(C865,ORC.AUXILIAR!I:J,2,0)</f>
        <v>0</v>
      </c>
      <c r="G865" s="636">
        <f t="shared" si="78"/>
        <v>0</v>
      </c>
      <c r="H865" s="636" t="str">
        <f t="shared" si="79"/>
        <v>QCM.HIP.03</v>
      </c>
      <c r="I865" s="637" t="str">
        <f>VLOOKUP(H865,ORC.AUXILIAR!I:P,4,0)</f>
        <v>un</v>
      </c>
      <c r="J865" s="636">
        <f>VLOOKUP(H865,ORC.AUXILIAR!I:P,5,0)</f>
        <v>1</v>
      </c>
      <c r="K865" s="638">
        <f t="shared" si="80"/>
        <v>1</v>
      </c>
      <c r="L865" s="639">
        <f>VLOOKUP(H865,ORC.AUXILIAR!I:P,7,0)</f>
        <v>93.68</v>
      </c>
      <c r="M865" s="639">
        <f>VLOOKUP(H865,ORC.AUXILIAR!I:P,8,0)</f>
        <v>93.68</v>
      </c>
      <c r="N865" s="639">
        <f t="shared" si="82"/>
        <v>93.68</v>
      </c>
      <c r="O865" s="639">
        <f t="shared" si="83"/>
        <v>10258848485.549467</v>
      </c>
      <c r="P865" s="640">
        <f t="shared" si="81"/>
        <v>0.99999737456737625</v>
      </c>
    </row>
    <row r="866" spans="1:16">
      <c r="A866" s="627">
        <v>90.89</v>
      </c>
      <c r="B866" s="628">
        <v>1</v>
      </c>
      <c r="C866" s="629" t="s">
        <v>13396</v>
      </c>
      <c r="D866" s="628">
        <f>VLOOKUP(C866,ORC.AUXILIAR!I:J,2,0)</f>
        <v>0</v>
      </c>
      <c r="G866" s="636">
        <f t="shared" si="78"/>
        <v>0</v>
      </c>
      <c r="H866" s="636" t="str">
        <f t="shared" si="79"/>
        <v>INS.ELET.28</v>
      </c>
      <c r="I866" s="637" t="str">
        <f>VLOOKUP(H866,ORC.AUXILIAR!I:P,4,0)</f>
        <v>un</v>
      </c>
      <c r="J866" s="636">
        <f>VLOOKUP(H866,ORC.AUXILIAR!I:P,5,0)</f>
        <v>1</v>
      </c>
      <c r="K866" s="638">
        <f t="shared" si="80"/>
        <v>1</v>
      </c>
      <c r="L866" s="639">
        <f>VLOOKUP(H866,ORC.AUXILIAR!I:P,7,0)</f>
        <v>90.89</v>
      </c>
      <c r="M866" s="639">
        <f>VLOOKUP(H866,ORC.AUXILIAR!I:P,8,0)</f>
        <v>90.89</v>
      </c>
      <c r="N866" s="639">
        <f t="shared" si="82"/>
        <v>90.89</v>
      </c>
      <c r="O866" s="639">
        <f t="shared" si="83"/>
        <v>10258848576.439466</v>
      </c>
      <c r="P866" s="640">
        <f t="shared" si="81"/>
        <v>0.99999738342702171</v>
      </c>
    </row>
    <row r="867" spans="1:16">
      <c r="A867" s="627">
        <v>90.32</v>
      </c>
      <c r="B867" s="628">
        <v>4</v>
      </c>
      <c r="C867" s="629" t="s">
        <v>12815</v>
      </c>
      <c r="D867" s="628">
        <f>VLOOKUP(C867,ORC.AUXILIAR!I:J,2,0)</f>
        <v>0</v>
      </c>
      <c r="G867" s="636">
        <f t="shared" si="78"/>
        <v>0</v>
      </c>
      <c r="H867" s="636" t="str">
        <f t="shared" si="79"/>
        <v>CDR.AR.01</v>
      </c>
      <c r="I867" s="637" t="str">
        <f>VLOOKUP(H867,ORC.AUXILIAR!I:P,4,0)</f>
        <v>pç</v>
      </c>
      <c r="J867" s="636">
        <f>VLOOKUP(H867,ORC.AUXILIAR!I:P,5,0)</f>
        <v>4</v>
      </c>
      <c r="K867" s="638">
        <f t="shared" si="80"/>
        <v>4</v>
      </c>
      <c r="L867" s="639">
        <f>VLOOKUP(H867,ORC.AUXILIAR!I:P,7,0)</f>
        <v>22.58</v>
      </c>
      <c r="M867" s="639">
        <f>VLOOKUP(H867,ORC.AUXILIAR!I:P,8,0)</f>
        <v>90.32</v>
      </c>
      <c r="N867" s="639">
        <f t="shared" si="82"/>
        <v>361.28</v>
      </c>
      <c r="O867" s="639">
        <f t="shared" si="83"/>
        <v>10258848937.719467</v>
      </c>
      <c r="P867" s="640">
        <f t="shared" si="81"/>
        <v>0.99999741864335745</v>
      </c>
    </row>
    <row r="868" spans="1:16">
      <c r="A868" s="627">
        <v>86.22</v>
      </c>
      <c r="B868" s="628">
        <v>1</v>
      </c>
      <c r="C868" s="629">
        <v>93673</v>
      </c>
      <c r="D868" s="628">
        <f>VLOOKUP(C868,ORC.AUXILIAR!I:J,2,0)</f>
        <v>0</v>
      </c>
      <c r="G868" s="636">
        <f t="shared" si="78"/>
        <v>0</v>
      </c>
      <c r="H868" s="636">
        <f t="shared" si="79"/>
        <v>93673</v>
      </c>
      <c r="I868" s="637" t="str">
        <f>VLOOKUP(H868,ORC.AUXILIAR!I:P,4,0)</f>
        <v>Un</v>
      </c>
      <c r="J868" s="636">
        <f>VLOOKUP(H868,ORC.AUXILIAR!I:P,5,0)</f>
        <v>1</v>
      </c>
      <c r="K868" s="638">
        <f t="shared" si="80"/>
        <v>1</v>
      </c>
      <c r="L868" s="639">
        <f>VLOOKUP(H868,ORC.AUXILIAR!I:P,7,0)</f>
        <v>86.22</v>
      </c>
      <c r="M868" s="639">
        <f>VLOOKUP(H868,ORC.AUXILIAR!I:P,8,0)</f>
        <v>86.22</v>
      </c>
      <c r="N868" s="639">
        <f t="shared" si="82"/>
        <v>86.22</v>
      </c>
      <c r="O868" s="639">
        <f t="shared" si="83"/>
        <v>10258849023.939466</v>
      </c>
      <c r="P868" s="640">
        <f t="shared" si="81"/>
        <v>0.99999742704778727</v>
      </c>
    </row>
    <row r="869" spans="1:16">
      <c r="A869" s="627">
        <v>86.16</v>
      </c>
      <c r="B869" s="628">
        <v>24</v>
      </c>
      <c r="C869" s="629" t="s">
        <v>12911</v>
      </c>
      <c r="D869" s="628">
        <f>VLOOKUP(C869,ORC.AUXILIAR!I:J,2,0)</f>
        <v>0</v>
      </c>
      <c r="G869" s="636">
        <f t="shared" si="78"/>
        <v>0</v>
      </c>
      <c r="H869" s="636" t="str">
        <f t="shared" si="79"/>
        <v>TP.FºF°.13</v>
      </c>
      <c r="I869" s="637" t="str">
        <f>VLOOKUP(H869,ORC.AUXILIAR!I:P,4,0)</f>
        <v>pç</v>
      </c>
      <c r="J869" s="636">
        <f>VLOOKUP(H869,ORC.AUXILIAR!I:P,5,0)</f>
        <v>24</v>
      </c>
      <c r="K869" s="638">
        <f t="shared" si="80"/>
        <v>24</v>
      </c>
      <c r="L869" s="639">
        <f>VLOOKUP(H869,ORC.AUXILIAR!I:P,7,0)</f>
        <v>3.59</v>
      </c>
      <c r="M869" s="639">
        <f>VLOOKUP(H869,ORC.AUXILIAR!I:P,8,0)</f>
        <v>86.16</v>
      </c>
      <c r="N869" s="639">
        <f t="shared" si="82"/>
        <v>2067.84</v>
      </c>
      <c r="O869" s="639">
        <f t="shared" si="83"/>
        <v>10258851091.779467</v>
      </c>
      <c r="P869" s="640">
        <f t="shared" si="81"/>
        <v>0.99999762861374031</v>
      </c>
    </row>
    <row r="870" spans="1:16">
      <c r="A870" s="627">
        <v>84.949999999999989</v>
      </c>
      <c r="B870" s="628">
        <v>5</v>
      </c>
      <c r="C870" s="629" t="s">
        <v>13797</v>
      </c>
      <c r="D870" s="628">
        <f>VLOOKUP(C870,ORC.AUXILIAR!I:J,2,0)</f>
        <v>0</v>
      </c>
      <c r="G870" s="636">
        <f t="shared" si="78"/>
        <v>0</v>
      </c>
      <c r="H870" s="636" t="str">
        <f t="shared" si="79"/>
        <v>INST.BIOGAS.04</v>
      </c>
      <c r="I870" s="637" t="str">
        <f>VLOOKUP(H870,ORC.AUXILIAR!I:P,4,0)</f>
        <v>m</v>
      </c>
      <c r="J870" s="636">
        <f>VLOOKUP(H870,ORC.AUXILIAR!I:P,5,0)</f>
        <v>5</v>
      </c>
      <c r="K870" s="638">
        <f t="shared" si="80"/>
        <v>5</v>
      </c>
      <c r="L870" s="639">
        <f>VLOOKUP(H870,ORC.AUXILIAR!I:P,7,0)</f>
        <v>16.989999999999998</v>
      </c>
      <c r="M870" s="639">
        <f>VLOOKUP(H870,ORC.AUXILIAR!I:P,8,0)</f>
        <v>84.95</v>
      </c>
      <c r="N870" s="639">
        <f t="shared" si="82"/>
        <v>424.75</v>
      </c>
      <c r="O870" s="639">
        <f t="shared" si="83"/>
        <v>10258851516.529467</v>
      </c>
      <c r="P870" s="640">
        <f t="shared" si="81"/>
        <v>0.99999767001691386</v>
      </c>
    </row>
    <row r="871" spans="1:16">
      <c r="A871" s="627">
        <v>84.72</v>
      </c>
      <c r="B871" s="628">
        <v>6</v>
      </c>
      <c r="C871" s="629">
        <v>3297</v>
      </c>
      <c r="D871" s="628">
        <f>VLOOKUP(C871,ORC.AUXILIAR!I:J,2,0)</f>
        <v>0</v>
      </c>
      <c r="G871" s="636">
        <f t="shared" si="78"/>
        <v>0</v>
      </c>
      <c r="H871" s="636">
        <f t="shared" si="79"/>
        <v>3297</v>
      </c>
      <c r="I871" s="637" t="str">
        <f>VLOOKUP(H871,ORC.AUXILIAR!I:P,4,0)</f>
        <v>Un</v>
      </c>
      <c r="J871" s="636">
        <f>VLOOKUP(H871,ORC.AUXILIAR!I:P,5,0)</f>
        <v>6</v>
      </c>
      <c r="K871" s="638">
        <f t="shared" si="80"/>
        <v>6</v>
      </c>
      <c r="L871" s="639">
        <f>VLOOKUP(H871,ORC.AUXILIAR!I:P,7,0)</f>
        <v>14.12</v>
      </c>
      <c r="M871" s="639">
        <f>VLOOKUP(H871,ORC.AUXILIAR!I:P,8,0)</f>
        <v>84.72</v>
      </c>
      <c r="N871" s="639">
        <f t="shared" si="82"/>
        <v>508.32</v>
      </c>
      <c r="O871" s="639">
        <f t="shared" si="83"/>
        <v>10258852024.849466</v>
      </c>
      <c r="P871" s="640">
        <f t="shared" si="81"/>
        <v>0.99999771956620453</v>
      </c>
    </row>
    <row r="872" spans="1:16">
      <c r="A872" s="627">
        <v>83.13</v>
      </c>
      <c r="B872" s="628">
        <v>1</v>
      </c>
      <c r="C872" s="629" t="s">
        <v>13614</v>
      </c>
      <c r="D872" s="628">
        <f>VLOOKUP(C872,ORC.AUXILIAR!I:J,2,0)</f>
        <v>0</v>
      </c>
      <c r="G872" s="636">
        <f t="shared" si="78"/>
        <v>0</v>
      </c>
      <c r="H872" s="636" t="str">
        <f t="shared" si="79"/>
        <v>QCM.BIOGAS.20</v>
      </c>
      <c r="I872" s="637" t="str">
        <f>VLOOKUP(H872,ORC.AUXILIAR!I:P,4,0)</f>
        <v>un</v>
      </c>
      <c r="J872" s="636">
        <f>VLOOKUP(H872,ORC.AUXILIAR!I:P,5,0)</f>
        <v>1</v>
      </c>
      <c r="K872" s="638">
        <f t="shared" si="80"/>
        <v>1</v>
      </c>
      <c r="L872" s="639">
        <f>VLOOKUP(H872,ORC.AUXILIAR!I:P,7,0)</f>
        <v>73.42</v>
      </c>
      <c r="M872" s="639">
        <f>VLOOKUP(H872,ORC.AUXILIAR!I:P,8,0)</f>
        <v>73.42</v>
      </c>
      <c r="N872" s="639">
        <f t="shared" si="82"/>
        <v>73.42</v>
      </c>
      <c r="O872" s="639">
        <f t="shared" si="83"/>
        <v>10258852098.269466</v>
      </c>
      <c r="P872" s="640">
        <f t="shared" si="81"/>
        <v>0.9999977267229343</v>
      </c>
    </row>
    <row r="873" spans="1:16">
      <c r="A873" s="627">
        <v>83.13</v>
      </c>
      <c r="B873" s="628">
        <v>1</v>
      </c>
      <c r="C873" s="629" t="s">
        <v>13573</v>
      </c>
      <c r="D873" s="628">
        <f>VLOOKUP(C873,ORC.AUXILIAR!I:J,2,0)</f>
        <v>0</v>
      </c>
      <c r="G873" s="636">
        <f t="shared" si="78"/>
        <v>0</v>
      </c>
      <c r="H873" s="636" t="str">
        <f t="shared" si="79"/>
        <v>QCM.HIP.21</v>
      </c>
      <c r="I873" s="637" t="str">
        <f>VLOOKUP(H873,ORC.AUXILIAR!I:P,4,0)</f>
        <v>un</v>
      </c>
      <c r="J873" s="636">
        <f>VLOOKUP(H873,ORC.AUXILIAR!I:P,5,0)</f>
        <v>1</v>
      </c>
      <c r="K873" s="638">
        <f t="shared" si="80"/>
        <v>1</v>
      </c>
      <c r="L873" s="639">
        <f>VLOOKUP(H873,ORC.AUXILIAR!I:P,7,0)</f>
        <v>73.42</v>
      </c>
      <c r="M873" s="639">
        <f>VLOOKUP(H873,ORC.AUXILIAR!I:P,8,0)</f>
        <v>73.42</v>
      </c>
      <c r="N873" s="639">
        <f t="shared" si="82"/>
        <v>73.42</v>
      </c>
      <c r="O873" s="639">
        <f t="shared" si="83"/>
        <v>10258852171.689466</v>
      </c>
      <c r="P873" s="640">
        <f t="shared" si="81"/>
        <v>0.99999773387966417</v>
      </c>
    </row>
    <row r="874" spans="1:16">
      <c r="A874" s="627">
        <v>81.36</v>
      </c>
      <c r="B874" s="628">
        <v>3</v>
      </c>
      <c r="C874" s="629" t="s">
        <v>13799</v>
      </c>
      <c r="D874" s="628">
        <f>VLOOKUP(C874,ORC.AUXILIAR!I:J,2,0)</f>
        <v>0</v>
      </c>
      <c r="G874" s="636">
        <f t="shared" si="78"/>
        <v>0</v>
      </c>
      <c r="H874" s="636" t="str">
        <f t="shared" si="79"/>
        <v>INST.BIOGAS.05</v>
      </c>
      <c r="I874" s="637" t="str">
        <f>VLOOKUP(H874,ORC.AUXILIAR!I:P,4,0)</f>
        <v>un</v>
      </c>
      <c r="J874" s="636">
        <f>VLOOKUP(H874,ORC.AUXILIAR!I:P,5,0)</f>
        <v>3</v>
      </c>
      <c r="K874" s="638">
        <f t="shared" si="80"/>
        <v>3</v>
      </c>
      <c r="L874" s="639">
        <f>VLOOKUP(H874,ORC.AUXILIAR!I:P,7,0)</f>
        <v>27.12</v>
      </c>
      <c r="M874" s="639">
        <f>VLOOKUP(H874,ORC.AUXILIAR!I:P,8,0)</f>
        <v>81.36</v>
      </c>
      <c r="N874" s="639">
        <f t="shared" si="82"/>
        <v>244.07999999999998</v>
      </c>
      <c r="O874" s="639">
        <f t="shared" si="83"/>
        <v>10258852415.769466</v>
      </c>
      <c r="P874" s="640">
        <f t="shared" si="81"/>
        <v>0.9999977576717457</v>
      </c>
    </row>
    <row r="875" spans="1:16">
      <c r="A875" s="627">
        <v>81</v>
      </c>
      <c r="B875" s="628">
        <v>6</v>
      </c>
      <c r="C875" s="629" t="s">
        <v>13743</v>
      </c>
      <c r="D875" s="628">
        <f>VLOOKUP(C875,ORC.AUXILIAR!I:J,2,0)</f>
        <v>0</v>
      </c>
      <c r="G875" s="636">
        <f t="shared" si="78"/>
        <v>0</v>
      </c>
      <c r="H875" s="636" t="str">
        <f t="shared" si="79"/>
        <v>QCM.EEE.36</v>
      </c>
      <c r="I875" s="637" t="str">
        <f>VLOOKUP(H875,ORC.AUXILIAR!I:P,4,0)</f>
        <v>Un</v>
      </c>
      <c r="J875" s="636">
        <f>VLOOKUP(H875,ORC.AUXILIAR!I:P,5,0)</f>
        <v>6</v>
      </c>
      <c r="K875" s="638">
        <f t="shared" si="80"/>
        <v>6</v>
      </c>
      <c r="L875" s="639">
        <f>VLOOKUP(H875,ORC.AUXILIAR!I:P,7,0)</f>
        <v>13.5</v>
      </c>
      <c r="M875" s="639">
        <f>VLOOKUP(H875,ORC.AUXILIAR!I:P,8,0)</f>
        <v>81</v>
      </c>
      <c r="N875" s="639">
        <f t="shared" si="82"/>
        <v>486</v>
      </c>
      <c r="O875" s="639">
        <f t="shared" si="83"/>
        <v>10258852901.769466</v>
      </c>
      <c r="P875" s="640">
        <f t="shared" si="81"/>
        <v>0.99999780504535929</v>
      </c>
    </row>
    <row r="876" spans="1:16">
      <c r="A876" s="627">
        <v>80.36</v>
      </c>
      <c r="B876" s="628">
        <v>4</v>
      </c>
      <c r="C876" s="629">
        <v>94694</v>
      </c>
      <c r="D876" s="628">
        <f>VLOOKUP(C876,ORC.AUXILIAR!I:J,2,0)</f>
        <v>0</v>
      </c>
      <c r="G876" s="636">
        <f t="shared" si="78"/>
        <v>0</v>
      </c>
      <c r="H876" s="636">
        <f t="shared" si="79"/>
        <v>94694</v>
      </c>
      <c r="I876" s="637" t="str">
        <f>VLOOKUP(H876,ORC.AUXILIAR!I:P,4,0)</f>
        <v>pç</v>
      </c>
      <c r="J876" s="636">
        <f>VLOOKUP(H876,ORC.AUXILIAR!I:P,5,0)</f>
        <v>4</v>
      </c>
      <c r="K876" s="638">
        <f t="shared" si="80"/>
        <v>4</v>
      </c>
      <c r="L876" s="639">
        <f>VLOOKUP(H876,ORC.AUXILIAR!I:P,7,0)</f>
        <v>20.09</v>
      </c>
      <c r="M876" s="639">
        <f>VLOOKUP(H876,ORC.AUXILIAR!I:P,8,0)</f>
        <v>80.36</v>
      </c>
      <c r="N876" s="639">
        <f t="shared" si="82"/>
        <v>321.44</v>
      </c>
      <c r="O876" s="639">
        <f t="shared" si="83"/>
        <v>10258853223.209467</v>
      </c>
      <c r="P876" s="640">
        <f t="shared" si="81"/>
        <v>0.99999783637822837</v>
      </c>
    </row>
    <row r="877" spans="1:16">
      <c r="A877" s="627">
        <v>79.48</v>
      </c>
      <c r="B877" s="628">
        <v>2</v>
      </c>
      <c r="C877" s="629">
        <v>12216</v>
      </c>
      <c r="D877" s="628">
        <f>VLOOKUP(C877,ORC.AUXILIAR!I:J,2,0)</f>
        <v>0</v>
      </c>
      <c r="G877" s="636">
        <f t="shared" si="78"/>
        <v>0</v>
      </c>
      <c r="H877" s="636">
        <f t="shared" si="79"/>
        <v>12216</v>
      </c>
      <c r="I877" s="637" t="str">
        <f>VLOOKUP(H877,ORC.AUXILIAR!I:P,4,0)</f>
        <v>um</v>
      </c>
      <c r="J877" s="636">
        <f>VLOOKUP(H877,ORC.AUXILIAR!I:P,5,0)</f>
        <v>2</v>
      </c>
      <c r="K877" s="638">
        <f t="shared" si="80"/>
        <v>2</v>
      </c>
      <c r="L877" s="639">
        <f>VLOOKUP(H877,ORC.AUXILIAR!I:P,7,0)</f>
        <v>39.74</v>
      </c>
      <c r="M877" s="639">
        <f>VLOOKUP(H877,ORC.AUXILIAR!I:P,8,0)</f>
        <v>79.48</v>
      </c>
      <c r="N877" s="639">
        <f t="shared" si="82"/>
        <v>158.96</v>
      </c>
      <c r="O877" s="639">
        <f t="shared" si="83"/>
        <v>10258853382.169466</v>
      </c>
      <c r="P877" s="640">
        <f t="shared" si="81"/>
        <v>0.99999785187310408</v>
      </c>
    </row>
    <row r="878" spans="1:16">
      <c r="A878" s="627">
        <v>79.44</v>
      </c>
      <c r="B878" s="628">
        <v>2</v>
      </c>
      <c r="C878" s="629">
        <v>6157</v>
      </c>
      <c r="D878" s="628">
        <f>VLOOKUP(C878,ORC.AUXILIAR!I:J,2,0)</f>
        <v>0</v>
      </c>
      <c r="G878" s="636">
        <f t="shared" si="78"/>
        <v>0</v>
      </c>
      <c r="H878" s="636">
        <f t="shared" si="79"/>
        <v>6157</v>
      </c>
      <c r="I878" s="637" t="str">
        <f>VLOOKUP(H878,ORC.AUXILIAR!I:P,4,0)</f>
        <v>pç</v>
      </c>
      <c r="J878" s="636">
        <f>VLOOKUP(H878,ORC.AUXILIAR!I:P,5,0)</f>
        <v>2</v>
      </c>
      <c r="K878" s="638">
        <f t="shared" si="80"/>
        <v>2</v>
      </c>
      <c r="L878" s="639">
        <f>VLOOKUP(H878,ORC.AUXILIAR!I:P,7,0)</f>
        <v>39.72</v>
      </c>
      <c r="M878" s="639">
        <f>VLOOKUP(H878,ORC.AUXILIAR!I:P,8,0)</f>
        <v>79.44</v>
      </c>
      <c r="N878" s="639">
        <f t="shared" si="82"/>
        <v>158.88</v>
      </c>
      <c r="O878" s="639">
        <f t="shared" si="83"/>
        <v>10258853541.049465</v>
      </c>
      <c r="P878" s="640">
        <f t="shared" si="81"/>
        <v>0.99999786736018159</v>
      </c>
    </row>
    <row r="879" spans="1:16">
      <c r="A879" s="627">
        <v>77.12</v>
      </c>
      <c r="B879" s="628">
        <v>2</v>
      </c>
      <c r="C879" s="629" t="s">
        <v>13829</v>
      </c>
      <c r="D879" s="628">
        <f>VLOOKUP(C879,ORC.AUXILIAR!I:J,2,0)</f>
        <v>0</v>
      </c>
      <c r="G879" s="636">
        <f t="shared" si="78"/>
        <v>0</v>
      </c>
      <c r="H879" s="636" t="str">
        <f t="shared" si="79"/>
        <v>INST.HIPOCL.07</v>
      </c>
      <c r="I879" s="637" t="str">
        <f>VLOOKUP(H879,ORC.AUXILIAR!I:P,4,0)</f>
        <v>un</v>
      </c>
      <c r="J879" s="636">
        <f>VLOOKUP(H879,ORC.AUXILIAR!I:P,5,0)</f>
        <v>2</v>
      </c>
      <c r="K879" s="638">
        <f t="shared" si="80"/>
        <v>2</v>
      </c>
      <c r="L879" s="639">
        <f>VLOOKUP(H879,ORC.AUXILIAR!I:P,7,0)</f>
        <v>38.56</v>
      </c>
      <c r="M879" s="639">
        <f>VLOOKUP(H879,ORC.AUXILIAR!I:P,8,0)</f>
        <v>77.12</v>
      </c>
      <c r="N879" s="639">
        <f t="shared" si="82"/>
        <v>154.24</v>
      </c>
      <c r="O879" s="639">
        <f t="shared" si="83"/>
        <v>10258853695.289465</v>
      </c>
      <c r="P879" s="640">
        <f t="shared" si="81"/>
        <v>0.9999978823949679</v>
      </c>
    </row>
    <row r="880" spans="1:16">
      <c r="A880" s="627">
        <v>75.84</v>
      </c>
      <c r="B880" s="628">
        <v>16</v>
      </c>
      <c r="C880" s="629">
        <v>39216</v>
      </c>
      <c r="D880" s="628">
        <f>VLOOKUP(C880,ORC.AUXILIAR!I:J,2,0)</f>
        <v>0</v>
      </c>
      <c r="G880" s="636">
        <f t="shared" si="78"/>
        <v>0</v>
      </c>
      <c r="H880" s="636">
        <f t="shared" si="79"/>
        <v>39216</v>
      </c>
      <c r="I880" s="637" t="str">
        <f>VLOOKUP(H880,ORC.AUXILIAR!I:P,4,0)</f>
        <v>un</v>
      </c>
      <c r="J880" s="636">
        <f>VLOOKUP(H880,ORC.AUXILIAR!I:P,5,0)</f>
        <v>16</v>
      </c>
      <c r="K880" s="638">
        <f t="shared" si="80"/>
        <v>16</v>
      </c>
      <c r="L880" s="639">
        <f>VLOOKUP(H880,ORC.AUXILIAR!I:P,7,0)</f>
        <v>4.74</v>
      </c>
      <c r="M880" s="639">
        <f>VLOOKUP(H880,ORC.AUXILIAR!I:P,8,0)</f>
        <v>75.84</v>
      </c>
      <c r="N880" s="639">
        <f t="shared" si="82"/>
        <v>1213.44</v>
      </c>
      <c r="O880" s="639">
        <f t="shared" si="83"/>
        <v>10258854908.729465</v>
      </c>
      <c r="P880" s="640">
        <f t="shared" si="81"/>
        <v>0.99999800067693845</v>
      </c>
    </row>
    <row r="881" spans="1:16">
      <c r="A881" s="627">
        <v>75.37</v>
      </c>
      <c r="B881" s="628">
        <v>1</v>
      </c>
      <c r="C881" s="629" t="s">
        <v>12701</v>
      </c>
      <c r="D881" s="628">
        <f>VLOOKUP(C881,ORC.AUXILIAR!I:J,2,0)</f>
        <v>0</v>
      </c>
      <c r="G881" s="636">
        <f t="shared" si="78"/>
        <v>0</v>
      </c>
      <c r="H881" s="636" t="str">
        <f t="shared" si="79"/>
        <v>RE.AI.03</v>
      </c>
      <c r="I881" s="637" t="str">
        <f>VLOOKUP(H881,ORC.AUXILIAR!I:P,4,0)</f>
        <v>pç</v>
      </c>
      <c r="J881" s="636">
        <f>VLOOKUP(H881,ORC.AUXILIAR!I:P,5,0)</f>
        <v>1</v>
      </c>
      <c r="K881" s="638">
        <f t="shared" si="80"/>
        <v>1</v>
      </c>
      <c r="L881" s="639">
        <f>VLOOKUP(H881,ORC.AUXILIAR!I:P,7,0)</f>
        <v>75.37</v>
      </c>
      <c r="M881" s="639">
        <f>VLOOKUP(H881,ORC.AUXILIAR!I:P,8,0)</f>
        <v>75.37</v>
      </c>
      <c r="N881" s="639">
        <f t="shared" si="82"/>
        <v>75.37</v>
      </c>
      <c r="O881" s="639">
        <f t="shared" si="83"/>
        <v>10258854984.099466</v>
      </c>
      <c r="P881" s="640">
        <f t="shared" si="81"/>
        <v>0.99999800802374772</v>
      </c>
    </row>
    <row r="882" spans="1:16">
      <c r="A882" s="627">
        <v>73.58</v>
      </c>
      <c r="B882" s="628">
        <v>1</v>
      </c>
      <c r="C882" s="629">
        <v>34714</v>
      </c>
      <c r="D882" s="628">
        <f>VLOOKUP(C882,ORC.AUXILIAR!I:J,2,0)</f>
        <v>0</v>
      </c>
      <c r="G882" s="636">
        <f t="shared" si="78"/>
        <v>0</v>
      </c>
      <c r="H882" s="636">
        <f t="shared" si="79"/>
        <v>34714</v>
      </c>
      <c r="I882" s="637" t="str">
        <f>VLOOKUP(H882,ORC.AUXILIAR!I:P,4,0)</f>
        <v>un</v>
      </c>
      <c r="J882" s="636">
        <f>VLOOKUP(H882,ORC.AUXILIAR!I:P,5,0)</f>
        <v>1</v>
      </c>
      <c r="K882" s="638">
        <f t="shared" si="80"/>
        <v>1</v>
      </c>
      <c r="L882" s="639">
        <f>VLOOKUP(H882,ORC.AUXILIAR!I:P,7,0)</f>
        <v>73.58</v>
      </c>
      <c r="M882" s="639">
        <f>VLOOKUP(H882,ORC.AUXILIAR!I:P,8,0)</f>
        <v>73.58</v>
      </c>
      <c r="N882" s="639">
        <f t="shared" si="82"/>
        <v>73.58</v>
      </c>
      <c r="O882" s="639">
        <f t="shared" si="83"/>
        <v>10258855057.679466</v>
      </c>
      <c r="P882" s="640">
        <f t="shared" si="81"/>
        <v>0.99999801519607379</v>
      </c>
    </row>
    <row r="883" spans="1:16">
      <c r="A883" s="627">
        <v>71.790000000000006</v>
      </c>
      <c r="B883" s="628">
        <v>1</v>
      </c>
      <c r="C883" s="629" t="s">
        <v>13333</v>
      </c>
      <c r="D883" s="628">
        <f>VLOOKUP(C883,ORC.AUXILIAR!I:J,2,0)</f>
        <v>0</v>
      </c>
      <c r="G883" s="636">
        <f t="shared" si="78"/>
        <v>0</v>
      </c>
      <c r="H883" s="636" t="str">
        <f t="shared" si="79"/>
        <v>TH.ENG.01</v>
      </c>
      <c r="I883" s="637" t="str">
        <f>VLOOKUP(H883,ORC.AUXILIAR!I:P,4,0)</f>
        <v>un</v>
      </c>
      <c r="J883" s="636">
        <f>VLOOKUP(H883,ORC.AUXILIAR!I:P,5,0)</f>
        <v>1</v>
      </c>
      <c r="K883" s="638">
        <f t="shared" si="80"/>
        <v>1</v>
      </c>
      <c r="L883" s="639">
        <f>VLOOKUP(H883,ORC.AUXILIAR!I:P,7,0)</f>
        <v>71.790000000000006</v>
      </c>
      <c r="M883" s="639">
        <f>VLOOKUP(H883,ORC.AUXILIAR!I:P,8,0)</f>
        <v>71.790000000000006</v>
      </c>
      <c r="N883" s="639">
        <f t="shared" si="82"/>
        <v>71.790000000000006</v>
      </c>
      <c r="O883" s="639">
        <f t="shared" si="83"/>
        <v>10258855129.469467</v>
      </c>
      <c r="P883" s="640">
        <f t="shared" si="81"/>
        <v>0.99999802219391698</v>
      </c>
    </row>
    <row r="884" spans="1:16">
      <c r="A884" s="627">
        <v>70.099999999999994</v>
      </c>
      <c r="B884" s="628">
        <v>10</v>
      </c>
      <c r="C884" s="629">
        <v>20067</v>
      </c>
      <c r="D884" s="628">
        <f>VLOOKUP(C884,ORC.AUXILIAR!I:J,2,0)</f>
        <v>0</v>
      </c>
      <c r="G884" s="636">
        <f t="shared" si="78"/>
        <v>0</v>
      </c>
      <c r="H884" s="636">
        <f t="shared" si="79"/>
        <v>20067</v>
      </c>
      <c r="I884" s="637" t="str">
        <f>VLOOKUP(H884,ORC.AUXILIAR!I:P,4,0)</f>
        <v>m</v>
      </c>
      <c r="J884" s="636">
        <f>VLOOKUP(H884,ORC.AUXILIAR!I:P,5,0)</f>
        <v>10</v>
      </c>
      <c r="K884" s="638">
        <f t="shared" si="80"/>
        <v>10</v>
      </c>
      <c r="L884" s="639">
        <f>VLOOKUP(H884,ORC.AUXILIAR!I:P,7,0)</f>
        <v>7.01</v>
      </c>
      <c r="M884" s="639">
        <f>VLOOKUP(H884,ORC.AUXILIAR!I:P,8,0)</f>
        <v>70.099999999999994</v>
      </c>
      <c r="N884" s="639">
        <f t="shared" si="82"/>
        <v>701</v>
      </c>
      <c r="O884" s="639">
        <f t="shared" si="83"/>
        <v>10258855830.469467</v>
      </c>
      <c r="P884" s="640">
        <f t="shared" si="81"/>
        <v>0.99999809052499333</v>
      </c>
    </row>
    <row r="885" spans="1:16">
      <c r="A885" s="627">
        <v>69.84</v>
      </c>
      <c r="B885" s="628">
        <v>6</v>
      </c>
      <c r="C885" s="629" t="s">
        <v>13416</v>
      </c>
      <c r="D885" s="628">
        <f>VLOOKUP(C885,ORC.AUXILIAR!I:J,2,0)</f>
        <v>0</v>
      </c>
      <c r="G885" s="636">
        <f t="shared" si="78"/>
        <v>0</v>
      </c>
      <c r="H885" s="636" t="str">
        <f t="shared" si="79"/>
        <v>INS.ELET.41</v>
      </c>
      <c r="I885" s="637" t="str">
        <f>VLOOKUP(H885,ORC.AUXILIAR!I:P,4,0)</f>
        <v>un</v>
      </c>
      <c r="J885" s="636">
        <f>VLOOKUP(H885,ORC.AUXILIAR!I:P,5,0)</f>
        <v>6</v>
      </c>
      <c r="K885" s="638">
        <f t="shared" si="80"/>
        <v>6</v>
      </c>
      <c r="L885" s="639">
        <f>VLOOKUP(H885,ORC.AUXILIAR!I:P,7,0)</f>
        <v>11.64</v>
      </c>
      <c r="M885" s="639">
        <f>VLOOKUP(H885,ORC.AUXILIAR!I:P,8,0)</f>
        <v>69.84</v>
      </c>
      <c r="N885" s="639">
        <f t="shared" si="82"/>
        <v>419.04</v>
      </c>
      <c r="O885" s="639">
        <f t="shared" si="83"/>
        <v>10258856249.509468</v>
      </c>
      <c r="P885" s="640">
        <f t="shared" si="81"/>
        <v>0.99999813137157589</v>
      </c>
    </row>
    <row r="886" spans="1:16">
      <c r="A886" s="627">
        <v>69.400000000000006</v>
      </c>
      <c r="B886" s="628">
        <v>2</v>
      </c>
      <c r="C886" s="629">
        <v>11669</v>
      </c>
      <c r="D886" s="628">
        <f>VLOOKUP(C886,ORC.AUXILIAR!I:J,2,0)</f>
        <v>0</v>
      </c>
      <c r="G886" s="636">
        <f t="shared" si="78"/>
        <v>0</v>
      </c>
      <c r="H886" s="636">
        <f t="shared" si="79"/>
        <v>11669</v>
      </c>
      <c r="I886" s="637" t="str">
        <f>VLOOKUP(H886,ORC.AUXILIAR!I:P,4,0)</f>
        <v>un</v>
      </c>
      <c r="J886" s="636">
        <f>VLOOKUP(H886,ORC.AUXILIAR!I:P,5,0)</f>
        <v>2</v>
      </c>
      <c r="K886" s="638">
        <f t="shared" si="80"/>
        <v>2</v>
      </c>
      <c r="L886" s="639">
        <f>VLOOKUP(H886,ORC.AUXILIAR!I:P,7,0)</f>
        <v>34.700000000000003</v>
      </c>
      <c r="M886" s="639">
        <f>VLOOKUP(H886,ORC.AUXILIAR!I:P,8,0)</f>
        <v>69.400000000000006</v>
      </c>
      <c r="N886" s="639">
        <f t="shared" si="82"/>
        <v>138.80000000000001</v>
      </c>
      <c r="O886" s="639">
        <f t="shared" si="83"/>
        <v>10258856388.309467</v>
      </c>
      <c r="P886" s="640">
        <f t="shared" si="81"/>
        <v>0.99999814490132388</v>
      </c>
    </row>
    <row r="887" spans="1:16">
      <c r="A887" s="627">
        <v>68.48</v>
      </c>
      <c r="B887" s="628">
        <v>1</v>
      </c>
      <c r="C887" s="629">
        <v>93668</v>
      </c>
      <c r="D887" s="628">
        <f>VLOOKUP(C887,ORC.AUXILIAR!I:J,2,0)</f>
        <v>0</v>
      </c>
      <c r="G887" s="636">
        <f t="shared" si="78"/>
        <v>0</v>
      </c>
      <c r="H887" s="636">
        <f t="shared" si="79"/>
        <v>93668</v>
      </c>
      <c r="I887" s="637" t="str">
        <f>VLOOKUP(H887,ORC.AUXILIAR!I:P,4,0)</f>
        <v>un</v>
      </c>
      <c r="J887" s="636">
        <f>VLOOKUP(H887,ORC.AUXILIAR!I:P,5,0)</f>
        <v>1</v>
      </c>
      <c r="K887" s="638">
        <f t="shared" si="80"/>
        <v>1</v>
      </c>
      <c r="L887" s="639">
        <f>VLOOKUP(H887,ORC.AUXILIAR!I:P,7,0)</f>
        <v>68.48</v>
      </c>
      <c r="M887" s="639">
        <f>VLOOKUP(H887,ORC.AUXILIAR!I:P,8,0)</f>
        <v>68.48</v>
      </c>
      <c r="N887" s="639">
        <f t="shared" si="82"/>
        <v>68.48</v>
      </c>
      <c r="O887" s="639">
        <f t="shared" si="83"/>
        <v>10258856456.789467</v>
      </c>
      <c r="P887" s="640">
        <f t="shared" si="81"/>
        <v>0.99999815157651939</v>
      </c>
    </row>
    <row r="888" spans="1:16">
      <c r="A888" s="627">
        <v>66.88</v>
      </c>
      <c r="B888" s="628">
        <v>8</v>
      </c>
      <c r="C888" s="629" t="s">
        <v>13649</v>
      </c>
      <c r="D888" s="628">
        <f>VLOOKUP(C888,ORC.AUXILIAR!I:J,2,0)</f>
        <v>0</v>
      </c>
      <c r="G888" s="636">
        <f t="shared" si="78"/>
        <v>0</v>
      </c>
      <c r="H888" s="636" t="str">
        <f t="shared" si="79"/>
        <v>SUB.14</v>
      </c>
      <c r="I888" s="637" t="str">
        <f>VLOOKUP(H888,ORC.AUXILIAR!I:P,4,0)</f>
        <v>un</v>
      </c>
      <c r="J888" s="636">
        <f>VLOOKUP(H888,ORC.AUXILIAR!I:P,5,0)</f>
        <v>8</v>
      </c>
      <c r="K888" s="638">
        <f t="shared" si="80"/>
        <v>8</v>
      </c>
      <c r="L888" s="639">
        <f>VLOOKUP(H888,ORC.AUXILIAR!I:P,7,0)</f>
        <v>8.36</v>
      </c>
      <c r="M888" s="639">
        <f>VLOOKUP(H888,ORC.AUXILIAR!I:P,8,0)</f>
        <v>66.88</v>
      </c>
      <c r="N888" s="639">
        <f t="shared" si="82"/>
        <v>535.04</v>
      </c>
      <c r="O888" s="639">
        <f t="shared" si="83"/>
        <v>10258856991.829468</v>
      </c>
      <c r="P888" s="640">
        <f t="shared" si="81"/>
        <v>0.99999820373038417</v>
      </c>
    </row>
    <row r="889" spans="1:16">
      <c r="A889" s="627">
        <v>66.239999999999995</v>
      </c>
      <c r="B889" s="628">
        <v>24</v>
      </c>
      <c r="C889" s="629" t="s">
        <v>12835</v>
      </c>
      <c r="D889" s="628">
        <f>VLOOKUP(C889,ORC.AUXILIAR!I:J,2,0)</f>
        <v>0</v>
      </c>
      <c r="G889" s="636">
        <f t="shared" si="78"/>
        <v>0</v>
      </c>
      <c r="H889" s="636" t="str">
        <f t="shared" si="79"/>
        <v>TP.AR.05</v>
      </c>
      <c r="I889" s="637" t="str">
        <f>VLOOKUP(H889,ORC.AUXILIAR!I:P,4,0)</f>
        <v>pç</v>
      </c>
      <c r="J889" s="636">
        <f>VLOOKUP(H889,ORC.AUXILIAR!I:P,5,0)</f>
        <v>24</v>
      </c>
      <c r="K889" s="638">
        <f t="shared" si="80"/>
        <v>24</v>
      </c>
      <c r="L889" s="639">
        <f>VLOOKUP(H889,ORC.AUXILIAR!I:P,7,0)</f>
        <v>2.76</v>
      </c>
      <c r="M889" s="639">
        <f>VLOOKUP(H889,ORC.AUXILIAR!I:P,8,0)</f>
        <v>66.239999999999995</v>
      </c>
      <c r="N889" s="639">
        <f t="shared" si="82"/>
        <v>1589.7599999999998</v>
      </c>
      <c r="O889" s="639">
        <f t="shared" si="83"/>
        <v>10258858581.589468</v>
      </c>
      <c r="P889" s="640">
        <f t="shared" si="81"/>
        <v>0.99999835869473797</v>
      </c>
    </row>
    <row r="890" spans="1:16">
      <c r="A890" s="627">
        <v>66.2</v>
      </c>
      <c r="B890" s="628">
        <v>4</v>
      </c>
      <c r="C890" s="629">
        <v>89627</v>
      </c>
      <c r="D890" s="628">
        <f>VLOOKUP(C890,ORC.AUXILIAR!I:J,2,0)</f>
        <v>0</v>
      </c>
      <c r="G890" s="636">
        <f t="shared" si="78"/>
        <v>0</v>
      </c>
      <c r="H890" s="636">
        <f t="shared" si="79"/>
        <v>89627</v>
      </c>
      <c r="I890" s="637" t="str">
        <f>VLOOKUP(H890,ORC.AUXILIAR!I:P,4,0)</f>
        <v>pç</v>
      </c>
      <c r="J890" s="636">
        <f>VLOOKUP(H890,ORC.AUXILIAR!I:P,5,0)</f>
        <v>4</v>
      </c>
      <c r="K890" s="638">
        <f t="shared" si="80"/>
        <v>4</v>
      </c>
      <c r="L890" s="639">
        <f>VLOOKUP(H890,ORC.AUXILIAR!I:P,7,0)</f>
        <v>16.55</v>
      </c>
      <c r="M890" s="639">
        <f>VLOOKUP(H890,ORC.AUXILIAR!I:P,8,0)</f>
        <v>66.2</v>
      </c>
      <c r="N890" s="639">
        <f t="shared" si="82"/>
        <v>264.8</v>
      </c>
      <c r="O890" s="639">
        <f t="shared" si="83"/>
        <v>10258858846.389467</v>
      </c>
      <c r="P890" s="640">
        <f t="shared" si="81"/>
        <v>0.99999838450653389</v>
      </c>
    </row>
    <row r="891" spans="1:16">
      <c r="A891" s="627">
        <v>64.540000000000006</v>
      </c>
      <c r="B891" s="628">
        <v>1</v>
      </c>
      <c r="C891" s="629" t="s">
        <v>13803</v>
      </c>
      <c r="D891" s="628">
        <f>VLOOKUP(C891,ORC.AUXILIAR!I:J,2,0)</f>
        <v>0</v>
      </c>
      <c r="G891" s="636">
        <f t="shared" si="78"/>
        <v>0</v>
      </c>
      <c r="H891" s="636" t="str">
        <f t="shared" si="79"/>
        <v>INST.BIOGAS.07</v>
      </c>
      <c r="I891" s="637" t="str">
        <f>VLOOKUP(H891,ORC.AUXILIAR!I:P,4,0)</f>
        <v>un</v>
      </c>
      <c r="J891" s="636">
        <f>VLOOKUP(H891,ORC.AUXILIAR!I:P,5,0)</f>
        <v>1</v>
      </c>
      <c r="K891" s="638">
        <f t="shared" si="80"/>
        <v>1</v>
      </c>
      <c r="L891" s="639">
        <f>VLOOKUP(H891,ORC.AUXILIAR!I:P,7,0)</f>
        <v>64.540000000000006</v>
      </c>
      <c r="M891" s="639">
        <f>VLOOKUP(H891,ORC.AUXILIAR!I:P,8,0)</f>
        <v>64.540000000000006</v>
      </c>
      <c r="N891" s="639">
        <f t="shared" si="82"/>
        <v>64.540000000000006</v>
      </c>
      <c r="O891" s="639">
        <f t="shared" si="83"/>
        <v>10258858910.929468</v>
      </c>
      <c r="P891" s="640">
        <f t="shared" si="81"/>
        <v>0.99999839079767194</v>
      </c>
    </row>
    <row r="892" spans="1:16">
      <c r="A892" s="627">
        <v>64.540000000000006</v>
      </c>
      <c r="B892" s="628">
        <v>1</v>
      </c>
      <c r="C892" s="629" t="s">
        <v>13805</v>
      </c>
      <c r="D892" s="628">
        <f>VLOOKUP(C892,ORC.AUXILIAR!I:J,2,0)</f>
        <v>0</v>
      </c>
      <c r="G892" s="636">
        <f t="shared" si="78"/>
        <v>0</v>
      </c>
      <c r="H892" s="636" t="str">
        <f t="shared" si="79"/>
        <v>INST.BIOGAS.08</v>
      </c>
      <c r="I892" s="637" t="str">
        <f>VLOOKUP(H892,ORC.AUXILIAR!I:P,4,0)</f>
        <v>un</v>
      </c>
      <c r="J892" s="636">
        <f>VLOOKUP(H892,ORC.AUXILIAR!I:P,5,0)</f>
        <v>1</v>
      </c>
      <c r="K892" s="638">
        <f t="shared" si="80"/>
        <v>1</v>
      </c>
      <c r="L892" s="639">
        <f>VLOOKUP(H892,ORC.AUXILIAR!I:P,7,0)</f>
        <v>64.540000000000006</v>
      </c>
      <c r="M892" s="639">
        <f>VLOOKUP(H892,ORC.AUXILIAR!I:P,8,0)</f>
        <v>64.540000000000006</v>
      </c>
      <c r="N892" s="639">
        <f t="shared" si="82"/>
        <v>64.540000000000006</v>
      </c>
      <c r="O892" s="639">
        <f t="shared" si="83"/>
        <v>10258858975.469469</v>
      </c>
      <c r="P892" s="640">
        <f t="shared" si="81"/>
        <v>0.99999839708880989</v>
      </c>
    </row>
    <row r="893" spans="1:16">
      <c r="A893" s="627">
        <v>64.540000000000006</v>
      </c>
      <c r="B893" s="628">
        <v>1</v>
      </c>
      <c r="C893" s="629" t="s">
        <v>13807</v>
      </c>
      <c r="D893" s="628">
        <f>VLOOKUP(C893,ORC.AUXILIAR!I:J,2,0)</f>
        <v>0</v>
      </c>
      <c r="G893" s="636">
        <f t="shared" si="78"/>
        <v>0</v>
      </c>
      <c r="H893" s="636" t="str">
        <f t="shared" si="79"/>
        <v>INST.BIOGAS.09</v>
      </c>
      <c r="I893" s="637" t="str">
        <f>VLOOKUP(H893,ORC.AUXILIAR!I:P,4,0)</f>
        <v>un</v>
      </c>
      <c r="J893" s="636">
        <f>VLOOKUP(H893,ORC.AUXILIAR!I:P,5,0)</f>
        <v>1</v>
      </c>
      <c r="K893" s="638">
        <f t="shared" si="80"/>
        <v>1</v>
      </c>
      <c r="L893" s="639">
        <f>VLOOKUP(H893,ORC.AUXILIAR!I:P,7,0)</f>
        <v>64.540000000000006</v>
      </c>
      <c r="M893" s="639">
        <f>VLOOKUP(H893,ORC.AUXILIAR!I:P,8,0)</f>
        <v>64.540000000000006</v>
      </c>
      <c r="N893" s="639">
        <f t="shared" si="82"/>
        <v>64.540000000000006</v>
      </c>
      <c r="O893" s="639">
        <f t="shared" si="83"/>
        <v>10258859040.00947</v>
      </c>
      <c r="P893" s="640">
        <f t="shared" si="81"/>
        <v>0.99999840337994783</v>
      </c>
    </row>
    <row r="894" spans="1:16">
      <c r="A894" s="627">
        <v>64.540000000000006</v>
      </c>
      <c r="B894" s="628">
        <v>1</v>
      </c>
      <c r="C894" s="629" t="s">
        <v>13844</v>
      </c>
      <c r="D894" s="628">
        <f>VLOOKUP(C894,ORC.AUXILIAR!I:J,2,0)</f>
        <v>0</v>
      </c>
      <c r="G894" s="636">
        <f t="shared" si="78"/>
        <v>0</v>
      </c>
      <c r="H894" s="636" t="str">
        <f t="shared" si="79"/>
        <v>INST.HIPOCL.15</v>
      </c>
      <c r="I894" s="637" t="str">
        <f>VLOOKUP(H894,ORC.AUXILIAR!I:P,4,0)</f>
        <v>un</v>
      </c>
      <c r="J894" s="636">
        <f>VLOOKUP(H894,ORC.AUXILIAR!I:P,5,0)</f>
        <v>1</v>
      </c>
      <c r="K894" s="638">
        <f t="shared" si="80"/>
        <v>1</v>
      </c>
      <c r="L894" s="639">
        <f>VLOOKUP(H894,ORC.AUXILIAR!I:P,7,0)</f>
        <v>64.540000000000006</v>
      </c>
      <c r="M894" s="639">
        <f>VLOOKUP(H894,ORC.AUXILIAR!I:P,8,0)</f>
        <v>64.540000000000006</v>
      </c>
      <c r="N894" s="639">
        <f t="shared" si="82"/>
        <v>64.540000000000006</v>
      </c>
      <c r="O894" s="639">
        <f t="shared" si="83"/>
        <v>10258859104.549471</v>
      </c>
      <c r="P894" s="640">
        <f t="shared" si="81"/>
        <v>0.99999840967108589</v>
      </c>
    </row>
    <row r="895" spans="1:16">
      <c r="A895" s="627">
        <v>64.540000000000006</v>
      </c>
      <c r="B895" s="628">
        <v>1</v>
      </c>
      <c r="C895" s="629" t="s">
        <v>13846</v>
      </c>
      <c r="D895" s="628">
        <f>VLOOKUP(C895,ORC.AUXILIAR!I:J,2,0)</f>
        <v>0</v>
      </c>
      <c r="G895" s="636">
        <f t="shared" si="78"/>
        <v>0</v>
      </c>
      <c r="H895" s="636" t="str">
        <f t="shared" si="79"/>
        <v>INST.HIPOCL.16</v>
      </c>
      <c r="I895" s="637" t="str">
        <f>VLOOKUP(H895,ORC.AUXILIAR!I:P,4,0)</f>
        <v>un</v>
      </c>
      <c r="J895" s="636">
        <f>VLOOKUP(H895,ORC.AUXILIAR!I:P,5,0)</f>
        <v>1</v>
      </c>
      <c r="K895" s="638">
        <f t="shared" si="80"/>
        <v>1</v>
      </c>
      <c r="L895" s="639">
        <f>VLOOKUP(H895,ORC.AUXILIAR!I:P,7,0)</f>
        <v>64.540000000000006</v>
      </c>
      <c r="M895" s="639">
        <f>VLOOKUP(H895,ORC.AUXILIAR!I:P,8,0)</f>
        <v>64.540000000000006</v>
      </c>
      <c r="N895" s="639">
        <f t="shared" si="82"/>
        <v>64.540000000000006</v>
      </c>
      <c r="O895" s="639">
        <f t="shared" si="83"/>
        <v>10258859169.089472</v>
      </c>
      <c r="P895" s="640">
        <f t="shared" si="81"/>
        <v>0.99999841596222383</v>
      </c>
    </row>
    <row r="896" spans="1:16">
      <c r="A896" s="627">
        <v>64.540000000000006</v>
      </c>
      <c r="B896" s="628">
        <v>1</v>
      </c>
      <c r="C896" s="629" t="s">
        <v>13848</v>
      </c>
      <c r="D896" s="628">
        <f>VLOOKUP(C896,ORC.AUXILIAR!I:J,2,0)</f>
        <v>0</v>
      </c>
      <c r="G896" s="636">
        <f t="shared" si="78"/>
        <v>0</v>
      </c>
      <c r="H896" s="636" t="str">
        <f t="shared" si="79"/>
        <v>INST.HIPOCL.17</v>
      </c>
      <c r="I896" s="637" t="str">
        <f>VLOOKUP(H896,ORC.AUXILIAR!I:P,4,0)</f>
        <v>un</v>
      </c>
      <c r="J896" s="636">
        <f>VLOOKUP(H896,ORC.AUXILIAR!I:P,5,0)</f>
        <v>1</v>
      </c>
      <c r="K896" s="638">
        <f t="shared" si="80"/>
        <v>1</v>
      </c>
      <c r="L896" s="639">
        <f>VLOOKUP(H896,ORC.AUXILIAR!I:P,7,0)</f>
        <v>64.540000000000006</v>
      </c>
      <c r="M896" s="639">
        <f>VLOOKUP(H896,ORC.AUXILIAR!I:P,8,0)</f>
        <v>64.540000000000006</v>
      </c>
      <c r="N896" s="639">
        <f t="shared" si="82"/>
        <v>64.540000000000006</v>
      </c>
      <c r="O896" s="639">
        <f t="shared" si="83"/>
        <v>10258859233.629473</v>
      </c>
      <c r="P896" s="640">
        <f t="shared" si="81"/>
        <v>0.99999842225336188</v>
      </c>
    </row>
    <row r="897" spans="1:16">
      <c r="A897" s="627">
        <v>63.949999999999996</v>
      </c>
      <c r="B897" s="628">
        <v>5</v>
      </c>
      <c r="C897" s="629">
        <v>1845</v>
      </c>
      <c r="D897" s="628">
        <f>VLOOKUP(C897,ORC.AUXILIAR!I:J,2,0)</f>
        <v>0</v>
      </c>
      <c r="G897" s="636">
        <f t="shared" si="78"/>
        <v>0</v>
      </c>
      <c r="H897" s="636">
        <f t="shared" si="79"/>
        <v>1845</v>
      </c>
      <c r="I897" s="637" t="str">
        <f>VLOOKUP(H897,ORC.AUXILIAR!I:P,4,0)</f>
        <v>pç</v>
      </c>
      <c r="J897" s="636">
        <f>VLOOKUP(H897,ORC.AUXILIAR!I:P,5,0)</f>
        <v>1</v>
      </c>
      <c r="K897" s="638">
        <f t="shared" si="80"/>
        <v>5</v>
      </c>
      <c r="L897" s="639">
        <f>VLOOKUP(H897,ORC.AUXILIAR!I:P,7,0)</f>
        <v>12.79</v>
      </c>
      <c r="M897" s="639">
        <f>VLOOKUP(H897,ORC.AUXILIAR!I:P,8,0)</f>
        <v>12.79</v>
      </c>
      <c r="N897" s="639">
        <f t="shared" si="82"/>
        <v>63.949999999999996</v>
      </c>
      <c r="O897" s="639">
        <f t="shared" si="83"/>
        <v>10258859297.579473</v>
      </c>
      <c r="P897" s="640">
        <f t="shared" si="81"/>
        <v>0.99999842848698861</v>
      </c>
    </row>
    <row r="898" spans="1:16">
      <c r="A898" s="627">
        <v>63.570000000000007</v>
      </c>
      <c r="B898" s="628">
        <v>3</v>
      </c>
      <c r="C898" s="629" t="s">
        <v>13598</v>
      </c>
      <c r="D898" s="628">
        <f>VLOOKUP(C898,ORC.AUXILIAR!I:J,2,0)</f>
        <v>0</v>
      </c>
      <c r="G898" s="636">
        <f t="shared" si="78"/>
        <v>0</v>
      </c>
      <c r="H898" s="636" t="str">
        <f t="shared" si="79"/>
        <v>QCM.BIOGAS.02</v>
      </c>
      <c r="I898" s="637" t="str">
        <f>VLOOKUP(H898,ORC.AUXILIAR!I:P,4,0)</f>
        <v>um</v>
      </c>
      <c r="J898" s="636">
        <f>VLOOKUP(H898,ORC.AUXILIAR!I:P,5,0)</f>
        <v>3</v>
      </c>
      <c r="K898" s="638">
        <f t="shared" si="80"/>
        <v>3</v>
      </c>
      <c r="L898" s="639">
        <f>VLOOKUP(H898,ORC.AUXILIAR!I:P,7,0)</f>
        <v>2.33</v>
      </c>
      <c r="M898" s="639">
        <f>VLOOKUP(H898,ORC.AUXILIAR!I:P,8,0)</f>
        <v>6.99</v>
      </c>
      <c r="N898" s="639">
        <f t="shared" si="82"/>
        <v>20.97</v>
      </c>
      <c r="O898" s="639">
        <f t="shared" si="83"/>
        <v>10258859318.549473</v>
      </c>
      <c r="P898" s="640">
        <f t="shared" si="81"/>
        <v>0.99999843053107229</v>
      </c>
    </row>
    <row r="899" spans="1:16">
      <c r="A899" s="627">
        <v>63.570000000000007</v>
      </c>
      <c r="B899" s="628">
        <v>3</v>
      </c>
      <c r="C899" s="629" t="s">
        <v>13544</v>
      </c>
      <c r="D899" s="628">
        <f>VLOOKUP(C899,ORC.AUXILIAR!I:J,2,0)</f>
        <v>0</v>
      </c>
      <c r="G899" s="636">
        <f t="shared" si="78"/>
        <v>0</v>
      </c>
      <c r="H899" s="636" t="str">
        <f t="shared" si="79"/>
        <v>QCM.HIP.04</v>
      </c>
      <c r="I899" s="637" t="str">
        <f>VLOOKUP(H899,ORC.AUXILIAR!I:P,4,0)</f>
        <v>um</v>
      </c>
      <c r="J899" s="636">
        <f>VLOOKUP(H899,ORC.AUXILIAR!I:P,5,0)</f>
        <v>3</v>
      </c>
      <c r="K899" s="638">
        <f t="shared" si="80"/>
        <v>3</v>
      </c>
      <c r="L899" s="639">
        <f>VLOOKUP(H899,ORC.AUXILIAR!I:P,7,0)</f>
        <v>2.33</v>
      </c>
      <c r="M899" s="639">
        <f>VLOOKUP(H899,ORC.AUXILIAR!I:P,8,0)</f>
        <v>6.99</v>
      </c>
      <c r="N899" s="639">
        <f t="shared" si="82"/>
        <v>20.97</v>
      </c>
      <c r="O899" s="639">
        <f t="shared" si="83"/>
        <v>10258859339.519472</v>
      </c>
      <c r="P899" s="640">
        <f t="shared" si="81"/>
        <v>0.99999843257515597</v>
      </c>
    </row>
    <row r="900" spans="1:16">
      <c r="A900" s="627">
        <v>61.2</v>
      </c>
      <c r="B900" s="628">
        <v>2</v>
      </c>
      <c r="C900" s="629" t="s">
        <v>13781</v>
      </c>
      <c r="D900" s="628">
        <f>VLOOKUP(C900,ORC.AUXILIAR!I:J,2,0)</f>
        <v>0</v>
      </c>
      <c r="G900" s="636">
        <f t="shared" si="78"/>
        <v>0</v>
      </c>
      <c r="H900" s="636" t="str">
        <f t="shared" si="79"/>
        <v>QCM.CX.AREIA.20</v>
      </c>
      <c r="I900" s="637" t="str">
        <f>VLOOKUP(H900,ORC.AUXILIAR!I:P,4,0)</f>
        <v>Un</v>
      </c>
      <c r="J900" s="636">
        <f>VLOOKUP(H900,ORC.AUXILIAR!I:P,5,0)</f>
        <v>2</v>
      </c>
      <c r="K900" s="638">
        <f t="shared" si="80"/>
        <v>2</v>
      </c>
      <c r="L900" s="639">
        <f>VLOOKUP(H900,ORC.AUXILIAR!I:P,7,0)</f>
        <v>30.6</v>
      </c>
      <c r="M900" s="639">
        <f>VLOOKUP(H900,ORC.AUXILIAR!I:P,8,0)</f>
        <v>61.2</v>
      </c>
      <c r="N900" s="639">
        <f t="shared" si="82"/>
        <v>122.4</v>
      </c>
      <c r="O900" s="639">
        <f t="shared" si="83"/>
        <v>10258859461.919472</v>
      </c>
      <c r="P900" s="640">
        <f t="shared" si="81"/>
        <v>0.99999844450628816</v>
      </c>
    </row>
    <row r="901" spans="1:16">
      <c r="A901" s="627">
        <v>60.599999999999994</v>
      </c>
      <c r="B901" s="628">
        <v>10</v>
      </c>
      <c r="C901" s="629" t="s">
        <v>13647</v>
      </c>
      <c r="D901" s="628">
        <f>VLOOKUP(C901,ORC.AUXILIAR!I:J,2,0)</f>
        <v>0</v>
      </c>
      <c r="G901" s="636">
        <f t="shared" si="78"/>
        <v>0</v>
      </c>
      <c r="H901" s="636" t="str">
        <f t="shared" si="79"/>
        <v>SUB.13</v>
      </c>
      <c r="I901" s="637" t="str">
        <f>VLOOKUP(H901,ORC.AUXILIAR!I:P,4,0)</f>
        <v>un</v>
      </c>
      <c r="J901" s="636">
        <f>VLOOKUP(H901,ORC.AUXILIAR!I:P,5,0)</f>
        <v>10</v>
      </c>
      <c r="K901" s="638">
        <f t="shared" si="80"/>
        <v>10</v>
      </c>
      <c r="L901" s="639">
        <f>VLOOKUP(H901,ORC.AUXILIAR!I:P,7,0)</f>
        <v>6.06</v>
      </c>
      <c r="M901" s="639">
        <f>VLOOKUP(H901,ORC.AUXILIAR!I:P,8,0)</f>
        <v>60.6</v>
      </c>
      <c r="N901" s="639">
        <f t="shared" si="82"/>
        <v>606</v>
      </c>
      <c r="O901" s="639">
        <f t="shared" si="83"/>
        <v>10258860067.919472</v>
      </c>
      <c r="P901" s="640">
        <f t="shared" si="81"/>
        <v>0.9999985035770903</v>
      </c>
    </row>
    <row r="902" spans="1:16">
      <c r="A902" s="627">
        <v>60.58</v>
      </c>
      <c r="B902" s="628">
        <v>1</v>
      </c>
      <c r="C902" s="629" t="s">
        <v>12740</v>
      </c>
      <c r="D902" s="628">
        <f>VLOOKUP(C902,ORC.AUXILIAR!I:J,2,0)</f>
        <v>0</v>
      </c>
      <c r="G902" s="636">
        <f t="shared" ref="G902:G965" si="84">D902</f>
        <v>0</v>
      </c>
      <c r="H902" s="636" t="str">
        <f t="shared" ref="H902:H965" si="85">C902</f>
        <v>RE.AI.23</v>
      </c>
      <c r="I902" s="637" t="str">
        <f>VLOOKUP(H902,ORC.AUXILIAR!I:P,4,0)</f>
        <v>pç</v>
      </c>
      <c r="J902" s="636">
        <f>VLOOKUP(H902,ORC.AUXILIAR!I:P,5,0)</f>
        <v>1</v>
      </c>
      <c r="K902" s="638">
        <f t="shared" ref="K902:K965" si="86">B902</f>
        <v>1</v>
      </c>
      <c r="L902" s="639">
        <f>VLOOKUP(H902,ORC.AUXILIAR!I:P,7,0)</f>
        <v>60.58</v>
      </c>
      <c r="M902" s="639">
        <f>VLOOKUP(H902,ORC.AUXILIAR!I:P,8,0)</f>
        <v>60.58</v>
      </c>
      <c r="N902" s="639">
        <f t="shared" ref="N902:N965" si="87">K902*M902</f>
        <v>60.58</v>
      </c>
      <c r="O902" s="639">
        <f t="shared" ref="O902:O965" si="88">N902+O901</f>
        <v>10258860128.499472</v>
      </c>
      <c r="P902" s="640">
        <f t="shared" ref="P902:P965" si="89">O902/N$4</f>
        <v>0.99999850948222102</v>
      </c>
    </row>
    <row r="903" spans="1:16">
      <c r="A903" s="627">
        <v>60.13</v>
      </c>
      <c r="B903" s="628">
        <v>1</v>
      </c>
      <c r="C903" s="629" t="s">
        <v>13813</v>
      </c>
      <c r="D903" s="628">
        <f>VLOOKUP(C903,ORC.AUXILIAR!I:J,2,0)</f>
        <v>0</v>
      </c>
      <c r="G903" s="636">
        <f t="shared" si="84"/>
        <v>0</v>
      </c>
      <c r="H903" s="636" t="str">
        <f t="shared" si="85"/>
        <v>INST.BIOGAS.12</v>
      </c>
      <c r="I903" s="637" t="str">
        <f>VLOOKUP(H903,ORC.AUXILIAR!I:P,4,0)</f>
        <v>un</v>
      </c>
      <c r="J903" s="636">
        <f>VLOOKUP(H903,ORC.AUXILIAR!I:P,5,0)</f>
        <v>1</v>
      </c>
      <c r="K903" s="638">
        <f t="shared" si="86"/>
        <v>1</v>
      </c>
      <c r="L903" s="639">
        <f>VLOOKUP(H903,ORC.AUXILIAR!I:P,7,0)</f>
        <v>60.13</v>
      </c>
      <c r="M903" s="639">
        <f>VLOOKUP(H903,ORC.AUXILIAR!I:P,8,0)</f>
        <v>60.13</v>
      </c>
      <c r="N903" s="639">
        <f t="shared" si="87"/>
        <v>60.13</v>
      </c>
      <c r="O903" s="639">
        <f t="shared" si="88"/>
        <v>10258860188.629471</v>
      </c>
      <c r="P903" s="640">
        <f t="shared" si="89"/>
        <v>0.99999851534348716</v>
      </c>
    </row>
    <row r="904" spans="1:16">
      <c r="A904" s="627">
        <v>60</v>
      </c>
      <c r="B904" s="628">
        <v>3</v>
      </c>
      <c r="C904" s="629" t="s">
        <v>13639</v>
      </c>
      <c r="D904" s="628">
        <f>VLOOKUP(C904,ORC.AUXILIAR!I:J,2,0)</f>
        <v>0</v>
      </c>
      <c r="G904" s="636">
        <f t="shared" si="84"/>
        <v>0</v>
      </c>
      <c r="H904" s="636" t="str">
        <f t="shared" si="85"/>
        <v>SUB.09</v>
      </c>
      <c r="I904" s="637" t="str">
        <f>VLOOKUP(H904,ORC.AUXILIAR!I:P,4,0)</f>
        <v>un</v>
      </c>
      <c r="J904" s="636">
        <f>VLOOKUP(H904,ORC.AUXILIAR!I:P,5,0)</f>
        <v>3</v>
      </c>
      <c r="K904" s="638">
        <f t="shared" si="86"/>
        <v>3</v>
      </c>
      <c r="L904" s="639">
        <f>VLOOKUP(H904,ORC.AUXILIAR!I:P,7,0)</f>
        <v>20</v>
      </c>
      <c r="M904" s="639">
        <f>VLOOKUP(H904,ORC.AUXILIAR!I:P,8,0)</f>
        <v>60</v>
      </c>
      <c r="N904" s="639">
        <f t="shared" si="87"/>
        <v>180</v>
      </c>
      <c r="O904" s="639">
        <f t="shared" si="88"/>
        <v>10258860368.629471</v>
      </c>
      <c r="P904" s="640">
        <f t="shared" si="89"/>
        <v>0.99999853288926999</v>
      </c>
    </row>
    <row r="905" spans="1:16">
      <c r="A905" s="627">
        <v>59.6</v>
      </c>
      <c r="B905" s="628">
        <v>1</v>
      </c>
      <c r="C905" s="629" t="s">
        <v>13776</v>
      </c>
      <c r="D905" s="628">
        <f>VLOOKUP(C905,ORC.AUXILIAR!I:J,2,0)</f>
        <v>0</v>
      </c>
      <c r="G905" s="636">
        <f t="shared" si="84"/>
        <v>0</v>
      </c>
      <c r="H905" s="636" t="str">
        <f t="shared" si="85"/>
        <v>QCM.CX.AREIA.16</v>
      </c>
      <c r="I905" s="637" t="str">
        <f>VLOOKUP(H905,ORC.AUXILIAR!I:P,4,0)</f>
        <v>Un</v>
      </c>
      <c r="J905" s="636">
        <f>VLOOKUP(H905,ORC.AUXILIAR!I:P,5,0)</f>
        <v>1</v>
      </c>
      <c r="K905" s="638">
        <f t="shared" si="86"/>
        <v>1</v>
      </c>
      <c r="L905" s="639">
        <f>VLOOKUP(H905,ORC.AUXILIAR!I:P,7,0)</f>
        <v>59.6</v>
      </c>
      <c r="M905" s="639">
        <f>VLOOKUP(H905,ORC.AUXILIAR!I:P,8,0)</f>
        <v>59.6</v>
      </c>
      <c r="N905" s="639">
        <f t="shared" si="87"/>
        <v>59.6</v>
      </c>
      <c r="O905" s="639">
        <f t="shared" si="88"/>
        <v>10258860428.229471</v>
      </c>
      <c r="P905" s="640">
        <f t="shared" si="89"/>
        <v>0.99999853869887367</v>
      </c>
    </row>
    <row r="906" spans="1:16">
      <c r="A906" s="627">
        <v>59.6</v>
      </c>
      <c r="B906" s="628">
        <v>1</v>
      </c>
      <c r="C906" s="629" t="s">
        <v>13719</v>
      </c>
      <c r="D906" s="628">
        <f>VLOOKUP(C906,ORC.AUXILIAR!I:J,2,0)</f>
        <v>0</v>
      </c>
      <c r="G906" s="636">
        <f t="shared" si="84"/>
        <v>0</v>
      </c>
      <c r="H906" s="636" t="str">
        <f t="shared" si="85"/>
        <v>QCM.EEE.21</v>
      </c>
      <c r="I906" s="637" t="str">
        <f>VLOOKUP(H906,ORC.AUXILIAR!I:P,4,0)</f>
        <v>Un</v>
      </c>
      <c r="J906" s="636">
        <f>VLOOKUP(H906,ORC.AUXILIAR!I:P,5,0)</f>
        <v>1</v>
      </c>
      <c r="K906" s="638">
        <f t="shared" si="86"/>
        <v>1</v>
      </c>
      <c r="L906" s="639">
        <f>VLOOKUP(H906,ORC.AUXILIAR!I:P,7,0)</f>
        <v>59.6</v>
      </c>
      <c r="M906" s="639">
        <f>VLOOKUP(H906,ORC.AUXILIAR!I:P,8,0)</f>
        <v>59.6</v>
      </c>
      <c r="N906" s="639">
        <f t="shared" si="87"/>
        <v>59.6</v>
      </c>
      <c r="O906" s="639">
        <f t="shared" si="88"/>
        <v>10258860487.829472</v>
      </c>
      <c r="P906" s="640">
        <f t="shared" si="89"/>
        <v>0.99999854450847736</v>
      </c>
    </row>
    <row r="907" spans="1:16">
      <c r="A907" s="627">
        <v>59.6</v>
      </c>
      <c r="B907" s="628">
        <v>1</v>
      </c>
      <c r="C907" s="629" t="s">
        <v>13568</v>
      </c>
      <c r="D907" s="628">
        <f>VLOOKUP(C907,ORC.AUXILIAR!I:J,2,0)</f>
        <v>0</v>
      </c>
      <c r="G907" s="636">
        <f t="shared" si="84"/>
        <v>0</v>
      </c>
      <c r="H907" s="636" t="str">
        <f t="shared" si="85"/>
        <v>QCM.HIP.16</v>
      </c>
      <c r="I907" s="637" t="str">
        <f>VLOOKUP(H907,ORC.AUXILIAR!I:P,4,0)</f>
        <v>un</v>
      </c>
      <c r="J907" s="636">
        <f>VLOOKUP(H907,ORC.AUXILIAR!I:P,5,0)</f>
        <v>1</v>
      </c>
      <c r="K907" s="638">
        <f t="shared" si="86"/>
        <v>1</v>
      </c>
      <c r="L907" s="639">
        <f>VLOOKUP(H907,ORC.AUXILIAR!I:P,7,0)</f>
        <v>59.6</v>
      </c>
      <c r="M907" s="639">
        <f>VLOOKUP(H907,ORC.AUXILIAR!I:P,8,0)</f>
        <v>59.6</v>
      </c>
      <c r="N907" s="639">
        <f t="shared" si="87"/>
        <v>59.6</v>
      </c>
      <c r="O907" s="639">
        <f t="shared" si="88"/>
        <v>10258860547.429472</v>
      </c>
      <c r="P907" s="640">
        <f t="shared" si="89"/>
        <v>0.99999855031808105</v>
      </c>
    </row>
    <row r="908" spans="1:16">
      <c r="A908" s="627">
        <v>59.32</v>
      </c>
      <c r="B908" s="628">
        <v>2</v>
      </c>
      <c r="C908" s="629">
        <v>9901</v>
      </c>
      <c r="D908" s="628">
        <f>VLOOKUP(C908,ORC.AUXILIAR!I:J,2,0)</f>
        <v>0</v>
      </c>
      <c r="G908" s="636">
        <f t="shared" si="84"/>
        <v>0</v>
      </c>
      <c r="H908" s="636">
        <f t="shared" si="85"/>
        <v>9901</v>
      </c>
      <c r="I908" s="637" t="str">
        <f>VLOOKUP(H908,ORC.AUXILIAR!I:P,4,0)</f>
        <v>pç</v>
      </c>
      <c r="J908" s="636">
        <f>VLOOKUP(H908,ORC.AUXILIAR!I:P,5,0)</f>
        <v>2</v>
      </c>
      <c r="K908" s="638">
        <f t="shared" si="86"/>
        <v>2</v>
      </c>
      <c r="L908" s="639">
        <f>VLOOKUP(H908,ORC.AUXILIAR!I:P,7,0)</f>
        <v>29.66</v>
      </c>
      <c r="M908" s="639">
        <f>VLOOKUP(H908,ORC.AUXILIAR!I:P,8,0)</f>
        <v>59.32</v>
      </c>
      <c r="N908" s="639">
        <f t="shared" si="87"/>
        <v>118.64</v>
      </c>
      <c r="O908" s="639">
        <f t="shared" si="88"/>
        <v>10258860666.069471</v>
      </c>
      <c r="P908" s="640">
        <f t="shared" si="89"/>
        <v>0.99999856188270131</v>
      </c>
    </row>
    <row r="909" spans="1:16">
      <c r="A909" s="627">
        <v>58.82</v>
      </c>
      <c r="B909" s="628">
        <v>1</v>
      </c>
      <c r="C909" s="629">
        <v>1650</v>
      </c>
      <c r="D909" s="628">
        <f>VLOOKUP(C909,ORC.AUXILIAR!I:J,2,0)</f>
        <v>0</v>
      </c>
      <c r="G909" s="636">
        <f t="shared" si="84"/>
        <v>0</v>
      </c>
      <c r="H909" s="636">
        <f t="shared" si="85"/>
        <v>1650</v>
      </c>
      <c r="I909" s="637" t="str">
        <f>VLOOKUP(H909,ORC.AUXILIAR!I:P,4,0)</f>
        <v>un</v>
      </c>
      <c r="J909" s="636">
        <f>VLOOKUP(H909,ORC.AUXILIAR!I:P,5,0)</f>
        <v>1</v>
      </c>
      <c r="K909" s="638">
        <f t="shared" si="86"/>
        <v>1</v>
      </c>
      <c r="L909" s="639">
        <f>VLOOKUP(H909,ORC.AUXILIAR!I:P,7,0)</f>
        <v>58.82</v>
      </c>
      <c r="M909" s="639">
        <f>VLOOKUP(H909,ORC.AUXILIAR!I:P,8,0)</f>
        <v>58.82</v>
      </c>
      <c r="N909" s="639">
        <f t="shared" si="87"/>
        <v>58.82</v>
      </c>
      <c r="O909" s="639">
        <f t="shared" si="88"/>
        <v>10258860724.889471</v>
      </c>
      <c r="P909" s="640">
        <f t="shared" si="89"/>
        <v>0.99999856761627326</v>
      </c>
    </row>
    <row r="910" spans="1:16">
      <c r="A910" s="627">
        <v>58.643999999999998</v>
      </c>
      <c r="B910" s="628">
        <v>0.27</v>
      </c>
      <c r="C910" s="629">
        <v>1419</v>
      </c>
      <c r="D910" s="628">
        <f>VLOOKUP(C910,ORC.AUXILIAR!I:J,2,0)</f>
        <v>0</v>
      </c>
      <c r="G910" s="636">
        <f t="shared" si="84"/>
        <v>0</v>
      </c>
      <c r="H910" s="636">
        <f t="shared" si="85"/>
        <v>1419</v>
      </c>
      <c r="I910" s="637" t="str">
        <f>VLOOKUP(H910,ORC.AUXILIAR!I:P,4,0)</f>
        <v>M3</v>
      </c>
      <c r="J910" s="636">
        <f>VLOOKUP(H910,ORC.AUXILIAR!I:P,5,0)</f>
        <v>0.27</v>
      </c>
      <c r="K910" s="638">
        <f t="shared" si="86"/>
        <v>0.27</v>
      </c>
      <c r="L910" s="639">
        <f>VLOOKUP(H910,ORC.AUXILIAR!I:P,7,0)</f>
        <v>217.2</v>
      </c>
      <c r="M910" s="639">
        <f>VLOOKUP(H910,ORC.AUXILIAR!I:P,8,0)</f>
        <v>58.64</v>
      </c>
      <c r="N910" s="639">
        <f t="shared" si="87"/>
        <v>15.832800000000001</v>
      </c>
      <c r="O910" s="639">
        <f t="shared" si="88"/>
        <v>10258860740.722271</v>
      </c>
      <c r="P910" s="640">
        <f t="shared" si="89"/>
        <v>0.99999856915960028</v>
      </c>
    </row>
    <row r="911" spans="1:16">
      <c r="A911" s="627">
        <v>58.16</v>
      </c>
      <c r="B911" s="628">
        <v>2</v>
      </c>
      <c r="C911" s="629">
        <v>38643</v>
      </c>
      <c r="D911" s="628">
        <f>VLOOKUP(C911,ORC.AUXILIAR!I:J,2,0)</f>
        <v>0</v>
      </c>
      <c r="G911" s="636">
        <f t="shared" si="84"/>
        <v>0</v>
      </c>
      <c r="H911" s="636">
        <f t="shared" si="85"/>
        <v>38643</v>
      </c>
      <c r="I911" s="637" t="str">
        <f>VLOOKUP(H911,ORC.AUXILIAR!I:P,4,0)</f>
        <v>pç</v>
      </c>
      <c r="J911" s="636">
        <f>VLOOKUP(H911,ORC.AUXILIAR!I:P,5,0)</f>
        <v>2</v>
      </c>
      <c r="K911" s="638">
        <f t="shared" si="86"/>
        <v>2</v>
      </c>
      <c r="L911" s="639">
        <f>VLOOKUP(H911,ORC.AUXILIAR!I:P,7,0)</f>
        <v>29.08</v>
      </c>
      <c r="M911" s="639">
        <f>VLOOKUP(H911,ORC.AUXILIAR!I:P,8,0)</f>
        <v>58.16</v>
      </c>
      <c r="N911" s="639">
        <f t="shared" si="87"/>
        <v>116.32</v>
      </c>
      <c r="O911" s="639">
        <f t="shared" si="88"/>
        <v>10258860857.042271</v>
      </c>
      <c r="P911" s="640">
        <f t="shared" si="89"/>
        <v>0.999998580498075</v>
      </c>
    </row>
    <row r="912" spans="1:16">
      <c r="A912" s="627">
        <v>57.66</v>
      </c>
      <c r="B912" s="628">
        <v>6</v>
      </c>
      <c r="C912" s="629">
        <v>93008</v>
      </c>
      <c r="D912" s="628">
        <f>VLOOKUP(C912,ORC.AUXILIAR!I:J,2,0)</f>
        <v>0</v>
      </c>
      <c r="G912" s="636">
        <f t="shared" si="84"/>
        <v>0</v>
      </c>
      <c r="H912" s="636">
        <f t="shared" si="85"/>
        <v>93008</v>
      </c>
      <c r="I912" s="637" t="str">
        <f>VLOOKUP(H912,ORC.AUXILIAR!I:P,4,0)</f>
        <v>m</v>
      </c>
      <c r="J912" s="636">
        <f>VLOOKUP(H912,ORC.AUXILIAR!I:P,5,0)</f>
        <v>6</v>
      </c>
      <c r="K912" s="638">
        <f t="shared" si="86"/>
        <v>6</v>
      </c>
      <c r="L912" s="639">
        <f>VLOOKUP(H912,ORC.AUXILIAR!I:P,7,0)</f>
        <v>9.61</v>
      </c>
      <c r="M912" s="639">
        <f>VLOOKUP(H912,ORC.AUXILIAR!I:P,8,0)</f>
        <v>57.66</v>
      </c>
      <c r="N912" s="639">
        <f t="shared" si="87"/>
        <v>345.96</v>
      </c>
      <c r="O912" s="639">
        <f t="shared" si="88"/>
        <v>10258861203.00227</v>
      </c>
      <c r="P912" s="640">
        <f t="shared" si="89"/>
        <v>0.9999986142210695</v>
      </c>
    </row>
    <row r="913" spans="1:16">
      <c r="A913" s="627">
        <v>57.03</v>
      </c>
      <c r="B913" s="628">
        <v>1</v>
      </c>
      <c r="C913" s="629" t="s">
        <v>13809</v>
      </c>
      <c r="D913" s="628">
        <f>VLOOKUP(C913,ORC.AUXILIAR!I:J,2,0)</f>
        <v>0</v>
      </c>
      <c r="G913" s="636">
        <f t="shared" si="84"/>
        <v>0</v>
      </c>
      <c r="H913" s="636" t="str">
        <f t="shared" si="85"/>
        <v>INST.BIOGAS.10</v>
      </c>
      <c r="I913" s="637" t="str">
        <f>VLOOKUP(H913,ORC.AUXILIAR!I:P,4,0)</f>
        <v>un</v>
      </c>
      <c r="J913" s="636">
        <f>VLOOKUP(H913,ORC.AUXILIAR!I:P,5,0)</f>
        <v>1</v>
      </c>
      <c r="K913" s="638">
        <f t="shared" si="86"/>
        <v>1</v>
      </c>
      <c r="L913" s="639">
        <f>VLOOKUP(H913,ORC.AUXILIAR!I:P,7,0)</f>
        <v>57.03</v>
      </c>
      <c r="M913" s="639">
        <f>VLOOKUP(H913,ORC.AUXILIAR!I:P,8,0)</f>
        <v>57.03</v>
      </c>
      <c r="N913" s="639">
        <f t="shared" si="87"/>
        <v>57.03</v>
      </c>
      <c r="O913" s="639">
        <f t="shared" si="88"/>
        <v>10258861260.03227</v>
      </c>
      <c r="P913" s="640">
        <f t="shared" si="89"/>
        <v>0.99999861978015836</v>
      </c>
    </row>
    <row r="914" spans="1:16">
      <c r="A914" s="627">
        <v>56.62</v>
      </c>
      <c r="B914" s="628">
        <v>1</v>
      </c>
      <c r="C914" s="629">
        <v>93663</v>
      </c>
      <c r="D914" s="628">
        <f>VLOOKUP(C914,ORC.AUXILIAR!I:J,2,0)</f>
        <v>0</v>
      </c>
      <c r="G914" s="636">
        <f t="shared" si="84"/>
        <v>0</v>
      </c>
      <c r="H914" s="636">
        <f t="shared" si="85"/>
        <v>93663</v>
      </c>
      <c r="I914" s="637" t="str">
        <f>VLOOKUP(H914,ORC.AUXILIAR!I:P,4,0)</f>
        <v>um</v>
      </c>
      <c r="J914" s="636">
        <f>VLOOKUP(H914,ORC.AUXILIAR!I:P,5,0)</f>
        <v>1</v>
      </c>
      <c r="K914" s="638">
        <f t="shared" si="86"/>
        <v>1</v>
      </c>
      <c r="L914" s="639">
        <f>VLOOKUP(H914,ORC.AUXILIAR!I:P,7,0)</f>
        <v>56.62</v>
      </c>
      <c r="M914" s="639">
        <f>VLOOKUP(H914,ORC.AUXILIAR!I:P,8,0)</f>
        <v>56.62</v>
      </c>
      <c r="N914" s="639">
        <f t="shared" si="87"/>
        <v>56.62</v>
      </c>
      <c r="O914" s="639">
        <f t="shared" si="88"/>
        <v>10258861316.652271</v>
      </c>
      <c r="P914" s="640">
        <f t="shared" si="89"/>
        <v>0.99999862529928196</v>
      </c>
    </row>
    <row r="915" spans="1:16">
      <c r="A915" s="627">
        <v>55.08</v>
      </c>
      <c r="B915" s="628">
        <v>3</v>
      </c>
      <c r="C915" s="629">
        <v>72252</v>
      </c>
      <c r="D915" s="628">
        <f>VLOOKUP(C915,ORC.AUXILIAR!I:J,2,0)</f>
        <v>0</v>
      </c>
      <c r="G915" s="636">
        <f t="shared" si="84"/>
        <v>0</v>
      </c>
      <c r="H915" s="636">
        <f t="shared" si="85"/>
        <v>72252</v>
      </c>
      <c r="I915" s="637" t="str">
        <f>VLOOKUP(H915,ORC.AUXILIAR!I:P,4,0)</f>
        <v>m</v>
      </c>
      <c r="J915" s="636">
        <f>VLOOKUP(H915,ORC.AUXILIAR!I:P,5,0)</f>
        <v>3</v>
      </c>
      <c r="K915" s="638">
        <f t="shared" si="86"/>
        <v>3</v>
      </c>
      <c r="L915" s="639">
        <f>VLOOKUP(H915,ORC.AUXILIAR!I:P,7,0)</f>
        <v>18.36</v>
      </c>
      <c r="M915" s="639">
        <f>VLOOKUP(H915,ORC.AUXILIAR!I:P,8,0)</f>
        <v>55.08</v>
      </c>
      <c r="N915" s="639">
        <f t="shared" si="87"/>
        <v>165.24</v>
      </c>
      <c r="O915" s="639">
        <f t="shared" si="88"/>
        <v>10258861481.892271</v>
      </c>
      <c r="P915" s="640">
        <f t="shared" si="89"/>
        <v>0.99999864140631056</v>
      </c>
    </row>
    <row r="916" spans="1:16">
      <c r="A916" s="627">
        <v>54.84</v>
      </c>
      <c r="B916" s="628">
        <v>3</v>
      </c>
      <c r="C916" s="629">
        <v>9861</v>
      </c>
      <c r="D916" s="628">
        <f>VLOOKUP(C916,ORC.AUXILIAR!I:J,2,0)</f>
        <v>0</v>
      </c>
      <c r="G916" s="636">
        <f t="shared" si="84"/>
        <v>0</v>
      </c>
      <c r="H916" s="636">
        <f t="shared" si="85"/>
        <v>9861</v>
      </c>
      <c r="I916" s="637" t="str">
        <f>VLOOKUP(H916,ORC.AUXILIAR!I:P,4,0)</f>
        <v>pç</v>
      </c>
      <c r="J916" s="636">
        <f>VLOOKUP(H916,ORC.AUXILIAR!I:P,5,0)</f>
        <v>1</v>
      </c>
      <c r="K916" s="638">
        <f t="shared" si="86"/>
        <v>3</v>
      </c>
      <c r="L916" s="639">
        <f>VLOOKUP(H916,ORC.AUXILIAR!I:P,7,0)</f>
        <v>18.28</v>
      </c>
      <c r="M916" s="639">
        <f>VLOOKUP(H916,ORC.AUXILIAR!I:P,8,0)</f>
        <v>18.28</v>
      </c>
      <c r="N916" s="639">
        <f t="shared" si="87"/>
        <v>54.84</v>
      </c>
      <c r="O916" s="639">
        <f t="shared" si="88"/>
        <v>10258861536.732271</v>
      </c>
      <c r="P916" s="640">
        <f t="shared" si="89"/>
        <v>0.99999864675192573</v>
      </c>
    </row>
    <row r="917" spans="1:16">
      <c r="A917" s="627">
        <v>54.24</v>
      </c>
      <c r="B917" s="628">
        <v>2</v>
      </c>
      <c r="C917" s="629" t="s">
        <v>13472</v>
      </c>
      <c r="D917" s="628">
        <f>VLOOKUP(C917,ORC.AUXILIAR!I:J,2,0)</f>
        <v>0</v>
      </c>
      <c r="G917" s="636">
        <f t="shared" si="84"/>
        <v>0</v>
      </c>
      <c r="H917" s="636" t="str">
        <f t="shared" si="85"/>
        <v>INST.CX.AREIA.09</v>
      </c>
      <c r="I917" s="637" t="str">
        <f>VLOOKUP(H917,ORC.AUXILIAR!I:P,4,0)</f>
        <v>um</v>
      </c>
      <c r="J917" s="636">
        <f>VLOOKUP(H917,ORC.AUXILIAR!I:P,5,0)</f>
        <v>2</v>
      </c>
      <c r="K917" s="638">
        <f t="shared" si="86"/>
        <v>2</v>
      </c>
      <c r="L917" s="639">
        <f>VLOOKUP(H917,ORC.AUXILIAR!I:P,7,0)</f>
        <v>27.12</v>
      </c>
      <c r="M917" s="639">
        <f>VLOOKUP(H917,ORC.AUXILIAR!I:P,8,0)</f>
        <v>54.24</v>
      </c>
      <c r="N917" s="639">
        <f t="shared" si="87"/>
        <v>108.48</v>
      </c>
      <c r="O917" s="639">
        <f t="shared" si="88"/>
        <v>10258861645.212271</v>
      </c>
      <c r="P917" s="640">
        <f t="shared" si="89"/>
        <v>0.99999865732618409</v>
      </c>
    </row>
    <row r="918" spans="1:16">
      <c r="A918" s="627">
        <v>54.24</v>
      </c>
      <c r="B918" s="628">
        <v>2</v>
      </c>
      <c r="C918" s="629" t="s">
        <v>13833</v>
      </c>
      <c r="D918" s="628">
        <f>VLOOKUP(C918,ORC.AUXILIAR!I:J,2,0)</f>
        <v>0</v>
      </c>
      <c r="G918" s="636">
        <f t="shared" si="84"/>
        <v>0</v>
      </c>
      <c r="H918" s="636" t="str">
        <f t="shared" si="85"/>
        <v>INST.HIPOCL.09</v>
      </c>
      <c r="I918" s="637" t="str">
        <f>VLOOKUP(H918,ORC.AUXILIAR!I:P,4,0)</f>
        <v>un</v>
      </c>
      <c r="J918" s="636">
        <f>VLOOKUP(H918,ORC.AUXILIAR!I:P,5,0)</f>
        <v>2</v>
      </c>
      <c r="K918" s="638">
        <f t="shared" si="86"/>
        <v>2</v>
      </c>
      <c r="L918" s="639">
        <f>VLOOKUP(H918,ORC.AUXILIAR!I:P,7,0)</f>
        <v>27.12</v>
      </c>
      <c r="M918" s="639">
        <f>VLOOKUP(H918,ORC.AUXILIAR!I:P,8,0)</f>
        <v>54.24</v>
      </c>
      <c r="N918" s="639">
        <f t="shared" si="87"/>
        <v>108.48</v>
      </c>
      <c r="O918" s="639">
        <f t="shared" si="88"/>
        <v>10258861753.69227</v>
      </c>
      <c r="P918" s="640">
        <f t="shared" si="89"/>
        <v>0.99999866790044256</v>
      </c>
    </row>
    <row r="919" spans="1:16">
      <c r="A919" s="627">
        <v>54.24</v>
      </c>
      <c r="B919" s="628">
        <v>2</v>
      </c>
      <c r="C919" s="629" t="s">
        <v>13841</v>
      </c>
      <c r="D919" s="628">
        <f>VLOOKUP(C919,ORC.AUXILIAR!I:J,2,0)</f>
        <v>0</v>
      </c>
      <c r="G919" s="636">
        <f t="shared" si="84"/>
        <v>0</v>
      </c>
      <c r="H919" s="636" t="str">
        <f t="shared" si="85"/>
        <v>INST.HIPOCL.13</v>
      </c>
      <c r="I919" s="637" t="str">
        <f>VLOOKUP(H919,ORC.AUXILIAR!I:P,4,0)</f>
        <v>un</v>
      </c>
      <c r="J919" s="636">
        <f>VLOOKUP(H919,ORC.AUXILIAR!I:P,5,0)</f>
        <v>2</v>
      </c>
      <c r="K919" s="638">
        <f t="shared" si="86"/>
        <v>2</v>
      </c>
      <c r="L919" s="639">
        <f>VLOOKUP(H919,ORC.AUXILIAR!I:P,7,0)</f>
        <v>27.12</v>
      </c>
      <c r="M919" s="639">
        <f>VLOOKUP(H919,ORC.AUXILIAR!I:P,8,0)</f>
        <v>54.24</v>
      </c>
      <c r="N919" s="639">
        <f t="shared" si="87"/>
        <v>108.48</v>
      </c>
      <c r="O919" s="639">
        <f t="shared" si="88"/>
        <v>10258861862.17227</v>
      </c>
      <c r="P919" s="640">
        <f t="shared" si="89"/>
        <v>0.99999867847470092</v>
      </c>
    </row>
    <row r="920" spans="1:16">
      <c r="A920" s="627">
        <v>53.830000000000005</v>
      </c>
      <c r="B920" s="628">
        <v>7</v>
      </c>
      <c r="C920" s="629">
        <v>92865</v>
      </c>
      <c r="D920" s="628">
        <f>VLOOKUP(C920,ORC.AUXILIAR!I:J,2,0)</f>
        <v>0</v>
      </c>
      <c r="G920" s="636">
        <f t="shared" si="84"/>
        <v>0</v>
      </c>
      <c r="H920" s="636">
        <f t="shared" si="85"/>
        <v>92865</v>
      </c>
      <c r="I920" s="637" t="str">
        <f>VLOOKUP(H920,ORC.AUXILIAR!I:P,4,0)</f>
        <v>um</v>
      </c>
      <c r="J920" s="636">
        <f>VLOOKUP(H920,ORC.AUXILIAR!I:P,5,0)</f>
        <v>7</v>
      </c>
      <c r="K920" s="638">
        <f t="shared" si="86"/>
        <v>7</v>
      </c>
      <c r="L920" s="639">
        <f>VLOOKUP(H920,ORC.AUXILIAR!I:P,7,0)</f>
        <v>7.69</v>
      </c>
      <c r="M920" s="639">
        <f>VLOOKUP(H920,ORC.AUXILIAR!I:P,8,0)</f>
        <v>53.83</v>
      </c>
      <c r="N920" s="639">
        <f t="shared" si="87"/>
        <v>376.81</v>
      </c>
      <c r="O920" s="639">
        <f t="shared" si="88"/>
        <v>10258862238.982269</v>
      </c>
      <c r="P920" s="640">
        <f t="shared" si="89"/>
        <v>0.99999871520484762</v>
      </c>
    </row>
    <row r="921" spans="1:16">
      <c r="A921" s="627">
        <v>52.95</v>
      </c>
      <c r="B921" s="628">
        <v>5</v>
      </c>
      <c r="C921" s="629" t="s">
        <v>13451</v>
      </c>
      <c r="D921" s="628">
        <f>VLOOKUP(C921,ORC.AUXILIAR!I:J,2,0)</f>
        <v>0</v>
      </c>
      <c r="G921" s="636">
        <f t="shared" si="84"/>
        <v>0</v>
      </c>
      <c r="H921" s="636" t="str">
        <f t="shared" si="85"/>
        <v>AT.30</v>
      </c>
      <c r="I921" s="637" t="str">
        <f>VLOOKUP(H921,ORC.AUXILIAR!I:P,4,0)</f>
        <v>um</v>
      </c>
      <c r="J921" s="636">
        <f>VLOOKUP(H921,ORC.AUXILIAR!I:P,5,0)</f>
        <v>5</v>
      </c>
      <c r="K921" s="638">
        <f t="shared" si="86"/>
        <v>5</v>
      </c>
      <c r="L921" s="639">
        <f>VLOOKUP(H921,ORC.AUXILIAR!I:P,7,0)</f>
        <v>10.59</v>
      </c>
      <c r="M921" s="639">
        <f>VLOOKUP(H921,ORC.AUXILIAR!I:P,8,0)</f>
        <v>52.95</v>
      </c>
      <c r="N921" s="639">
        <f t="shared" si="87"/>
        <v>264.75</v>
      </c>
      <c r="O921" s="639">
        <f t="shared" si="88"/>
        <v>10258862503.732269</v>
      </c>
      <c r="P921" s="640">
        <f t="shared" si="89"/>
        <v>0.99999874101176989</v>
      </c>
    </row>
    <row r="922" spans="1:16">
      <c r="A922" s="627">
        <v>52</v>
      </c>
      <c r="B922" s="628">
        <v>4</v>
      </c>
      <c r="C922" s="629">
        <v>38780</v>
      </c>
      <c r="D922" s="628">
        <f>VLOOKUP(C922,ORC.AUXILIAR!I:J,2,0)</f>
        <v>0</v>
      </c>
      <c r="G922" s="636">
        <f t="shared" si="84"/>
        <v>0</v>
      </c>
      <c r="H922" s="636">
        <f t="shared" si="85"/>
        <v>38780</v>
      </c>
      <c r="I922" s="637" t="str">
        <f>VLOOKUP(H922,ORC.AUXILIAR!I:P,4,0)</f>
        <v>un</v>
      </c>
      <c r="J922" s="636">
        <f>VLOOKUP(H922,ORC.AUXILIAR!I:P,5,0)</f>
        <v>4</v>
      </c>
      <c r="K922" s="638">
        <f t="shared" si="86"/>
        <v>4</v>
      </c>
      <c r="L922" s="639">
        <f>VLOOKUP(H922,ORC.AUXILIAR!I:P,7,0)</f>
        <v>13</v>
      </c>
      <c r="M922" s="639">
        <f>VLOOKUP(H922,ORC.AUXILIAR!I:P,8,0)</f>
        <v>52</v>
      </c>
      <c r="N922" s="639">
        <f t="shared" si="87"/>
        <v>208</v>
      </c>
      <c r="O922" s="639">
        <f t="shared" si="88"/>
        <v>10258862711.732269</v>
      </c>
      <c r="P922" s="640">
        <f t="shared" si="89"/>
        <v>0.99999876128689669</v>
      </c>
    </row>
    <row r="923" spans="1:16">
      <c r="A923" s="627">
        <v>51.8</v>
      </c>
      <c r="B923" s="628">
        <v>2</v>
      </c>
      <c r="C923" s="629" t="s">
        <v>12697</v>
      </c>
      <c r="D923" s="628">
        <f>VLOOKUP(C923,ORC.AUXILIAR!I:J,2,0)</f>
        <v>0</v>
      </c>
      <c r="G923" s="636">
        <f t="shared" si="84"/>
        <v>0</v>
      </c>
      <c r="H923" s="636" t="str">
        <f t="shared" si="85"/>
        <v>RE.AI.01</v>
      </c>
      <c r="I923" s="637" t="str">
        <f>VLOOKUP(H923,ORC.AUXILIAR!I:P,4,0)</f>
        <v>pç</v>
      </c>
      <c r="J923" s="636">
        <f>VLOOKUP(H923,ORC.AUXILIAR!I:P,5,0)</f>
        <v>2</v>
      </c>
      <c r="K923" s="638">
        <f t="shared" si="86"/>
        <v>2</v>
      </c>
      <c r="L923" s="639">
        <f>VLOOKUP(H923,ORC.AUXILIAR!I:P,7,0)</f>
        <v>25.9</v>
      </c>
      <c r="M923" s="639">
        <f>VLOOKUP(H923,ORC.AUXILIAR!I:P,8,0)</f>
        <v>51.8</v>
      </c>
      <c r="N923" s="639">
        <f t="shared" si="87"/>
        <v>103.6</v>
      </c>
      <c r="O923" s="639">
        <f t="shared" si="88"/>
        <v>10258862815.33227</v>
      </c>
      <c r="P923" s="640">
        <f t="shared" si="89"/>
        <v>0.99999877138546944</v>
      </c>
    </row>
    <row r="924" spans="1:16">
      <c r="A924" s="627">
        <v>49.09</v>
      </c>
      <c r="B924" s="628">
        <v>1</v>
      </c>
      <c r="C924" s="629" t="s">
        <v>12788</v>
      </c>
      <c r="D924" s="628">
        <f>VLOOKUP(C924,ORC.AUXILIAR!I:J,2,0)</f>
        <v>0</v>
      </c>
      <c r="G924" s="636">
        <f t="shared" si="84"/>
        <v>0</v>
      </c>
      <c r="H924" s="636" t="str">
        <f t="shared" si="85"/>
        <v>TB.AI.04</v>
      </c>
      <c r="I924" s="637" t="str">
        <f>VLOOKUP(H924,ORC.AUXILIAR!I:P,4,0)</f>
        <v>pç</v>
      </c>
      <c r="J924" s="636">
        <f>VLOOKUP(H924,ORC.AUXILIAR!I:P,5,0)</f>
        <v>1</v>
      </c>
      <c r="K924" s="638">
        <f t="shared" si="86"/>
        <v>1</v>
      </c>
      <c r="L924" s="639">
        <f>VLOOKUP(H924,ORC.AUXILIAR!I:P,7,0)</f>
        <v>49.09</v>
      </c>
      <c r="M924" s="639">
        <f>VLOOKUP(H924,ORC.AUXILIAR!I:P,8,0)</f>
        <v>49.09</v>
      </c>
      <c r="N924" s="639">
        <f t="shared" si="87"/>
        <v>49.09</v>
      </c>
      <c r="O924" s="639">
        <f t="shared" si="88"/>
        <v>10258862864.42227</v>
      </c>
      <c r="P924" s="640">
        <f t="shared" si="89"/>
        <v>0.99999877617059441</v>
      </c>
    </row>
    <row r="925" spans="1:16">
      <c r="A925" s="627">
        <v>48.63</v>
      </c>
      <c r="B925" s="628">
        <v>1</v>
      </c>
      <c r="C925" s="629" t="s">
        <v>13835</v>
      </c>
      <c r="D925" s="628">
        <f>VLOOKUP(C925,ORC.AUXILIAR!I:J,2,0)</f>
        <v>0</v>
      </c>
      <c r="G925" s="636">
        <f t="shared" si="84"/>
        <v>0</v>
      </c>
      <c r="H925" s="636" t="str">
        <f t="shared" si="85"/>
        <v>INST.HIPOCL.10</v>
      </c>
      <c r="I925" s="637" t="str">
        <f>VLOOKUP(H925,ORC.AUXILIAR!I:P,4,0)</f>
        <v>un</v>
      </c>
      <c r="J925" s="636">
        <f>VLOOKUP(H925,ORC.AUXILIAR!I:P,5,0)</f>
        <v>1</v>
      </c>
      <c r="K925" s="638">
        <f t="shared" si="86"/>
        <v>1</v>
      </c>
      <c r="L925" s="639">
        <f>VLOOKUP(H925,ORC.AUXILIAR!I:P,7,0)</f>
        <v>48.63</v>
      </c>
      <c r="M925" s="639">
        <f>VLOOKUP(H925,ORC.AUXILIAR!I:P,8,0)</f>
        <v>48.63</v>
      </c>
      <c r="N925" s="639">
        <f t="shared" si="87"/>
        <v>48.63</v>
      </c>
      <c r="O925" s="639">
        <f t="shared" si="88"/>
        <v>10258862913.052269</v>
      </c>
      <c r="P925" s="640">
        <f t="shared" si="89"/>
        <v>0.9999987809108799</v>
      </c>
    </row>
    <row r="926" spans="1:16">
      <c r="A926" s="627">
        <v>48.6</v>
      </c>
      <c r="B926" s="628">
        <v>2</v>
      </c>
      <c r="C926" s="629">
        <v>11717</v>
      </c>
      <c r="D926" s="628">
        <f>VLOOKUP(C926,ORC.AUXILIAR!I:J,2,0)</f>
        <v>0</v>
      </c>
      <c r="G926" s="636">
        <f t="shared" si="84"/>
        <v>0</v>
      </c>
      <c r="H926" s="636">
        <f t="shared" si="85"/>
        <v>11717</v>
      </c>
      <c r="I926" s="637" t="str">
        <f>VLOOKUP(H926,ORC.AUXILIAR!I:P,4,0)</f>
        <v>pç</v>
      </c>
      <c r="J926" s="636">
        <f>VLOOKUP(H926,ORC.AUXILIAR!I:P,5,0)</f>
        <v>2</v>
      </c>
      <c r="K926" s="638">
        <f t="shared" si="86"/>
        <v>2</v>
      </c>
      <c r="L926" s="639">
        <f>VLOOKUP(H926,ORC.AUXILIAR!I:P,7,0)</f>
        <v>24.3</v>
      </c>
      <c r="M926" s="639">
        <f>VLOOKUP(H926,ORC.AUXILIAR!I:P,8,0)</f>
        <v>48.6</v>
      </c>
      <c r="N926" s="639">
        <f t="shared" si="87"/>
        <v>97.2</v>
      </c>
      <c r="O926" s="639">
        <f t="shared" si="88"/>
        <v>10258863010.25227</v>
      </c>
      <c r="P926" s="640">
        <f t="shared" si="89"/>
        <v>0.99999879038560269</v>
      </c>
    </row>
    <row r="927" spans="1:16">
      <c r="A927" s="627">
        <v>48.54</v>
      </c>
      <c r="B927" s="628">
        <v>3</v>
      </c>
      <c r="C927" s="629">
        <v>93062</v>
      </c>
      <c r="D927" s="628">
        <f>VLOOKUP(C927,ORC.AUXILIAR!I:J,2,0)</f>
        <v>0</v>
      </c>
      <c r="G927" s="636">
        <f t="shared" si="84"/>
        <v>0</v>
      </c>
      <c r="H927" s="636">
        <f t="shared" si="85"/>
        <v>93062</v>
      </c>
      <c r="I927" s="637" t="str">
        <f>VLOOKUP(H927,ORC.AUXILIAR!I:P,4,0)</f>
        <v>um</v>
      </c>
      <c r="J927" s="636">
        <f>VLOOKUP(H927,ORC.AUXILIAR!I:P,5,0)</f>
        <v>3</v>
      </c>
      <c r="K927" s="638">
        <f t="shared" si="86"/>
        <v>3</v>
      </c>
      <c r="L927" s="639">
        <f>VLOOKUP(H927,ORC.AUXILIAR!I:P,7,0)</f>
        <v>16.18</v>
      </c>
      <c r="M927" s="639">
        <f>VLOOKUP(H927,ORC.AUXILIAR!I:P,8,0)</f>
        <v>48.54</v>
      </c>
      <c r="N927" s="639">
        <f t="shared" si="87"/>
        <v>145.62</v>
      </c>
      <c r="O927" s="639">
        <f t="shared" si="88"/>
        <v>10258863155.872271</v>
      </c>
      <c r="P927" s="640">
        <f t="shared" si="89"/>
        <v>0.99999880458014112</v>
      </c>
    </row>
    <row r="928" spans="1:16">
      <c r="A928" s="627">
        <v>43.93</v>
      </c>
      <c r="B928" s="628">
        <v>1</v>
      </c>
      <c r="C928" s="629" t="s">
        <v>13337</v>
      </c>
      <c r="D928" s="628">
        <f>VLOOKUP(C928,ORC.AUXILIAR!I:J,2,0)</f>
        <v>0</v>
      </c>
      <c r="G928" s="636">
        <f t="shared" si="84"/>
        <v>0</v>
      </c>
      <c r="H928" s="636" t="str">
        <f t="shared" si="85"/>
        <v>TH.PVC.01</v>
      </c>
      <c r="I928" s="637" t="str">
        <f>VLOOKUP(H928,ORC.AUXILIAR!I:P,4,0)</f>
        <v>pç</v>
      </c>
      <c r="J928" s="636">
        <f>VLOOKUP(H928,ORC.AUXILIAR!I:P,5,0)</f>
        <v>1</v>
      </c>
      <c r="K928" s="638">
        <f t="shared" si="86"/>
        <v>1</v>
      </c>
      <c r="L928" s="639">
        <f>VLOOKUP(H928,ORC.AUXILIAR!I:P,7,0)</f>
        <v>43.93</v>
      </c>
      <c r="M928" s="639">
        <f>VLOOKUP(H928,ORC.AUXILIAR!I:P,8,0)</f>
        <v>43.93</v>
      </c>
      <c r="N928" s="639">
        <f t="shared" si="87"/>
        <v>43.93</v>
      </c>
      <c r="O928" s="639">
        <f t="shared" si="88"/>
        <v>10258863199.802271</v>
      </c>
      <c r="P928" s="640">
        <f t="shared" si="89"/>
        <v>0.99999880886228687</v>
      </c>
    </row>
    <row r="929" spans="1:16">
      <c r="A929" s="627">
        <v>42.78</v>
      </c>
      <c r="B929" s="628">
        <v>23</v>
      </c>
      <c r="C929" s="629" t="s">
        <v>11754</v>
      </c>
      <c r="D929" s="628">
        <f>VLOOKUP(C929,ORC.AUXILIAR!I:J,2,0)</f>
        <v>0</v>
      </c>
      <c r="G929" s="636">
        <f t="shared" si="84"/>
        <v>0</v>
      </c>
      <c r="H929" s="636" t="str">
        <f t="shared" si="85"/>
        <v>AT.01</v>
      </c>
      <c r="I929" s="637" t="str">
        <f>VLOOKUP(H929,ORC.AUXILIAR!I:P,4,0)</f>
        <v>um</v>
      </c>
      <c r="J929" s="636">
        <f>VLOOKUP(H929,ORC.AUXILIAR!I:P,5,0)</f>
        <v>23</v>
      </c>
      <c r="K929" s="638">
        <f t="shared" si="86"/>
        <v>23</v>
      </c>
      <c r="L929" s="639">
        <f>VLOOKUP(H929,ORC.AUXILIAR!I:P,7,0)</f>
        <v>1.86</v>
      </c>
      <c r="M929" s="639">
        <f>VLOOKUP(H929,ORC.AUXILIAR!I:P,8,0)</f>
        <v>42.78</v>
      </c>
      <c r="N929" s="639">
        <f t="shared" si="87"/>
        <v>983.94</v>
      </c>
      <c r="O929" s="639">
        <f t="shared" si="88"/>
        <v>10258864183.742271</v>
      </c>
      <c r="P929" s="640">
        <f t="shared" si="89"/>
        <v>0.99999890477338438</v>
      </c>
    </row>
    <row r="930" spans="1:16">
      <c r="A930" s="627">
        <v>42.38</v>
      </c>
      <c r="B930" s="628">
        <v>2</v>
      </c>
      <c r="C930" s="629" t="s">
        <v>13599</v>
      </c>
      <c r="D930" s="628">
        <f>VLOOKUP(C930,ORC.AUXILIAR!I:J,2,0)</f>
        <v>0</v>
      </c>
      <c r="G930" s="636">
        <f t="shared" si="84"/>
        <v>0</v>
      </c>
      <c r="H930" s="636" t="str">
        <f t="shared" si="85"/>
        <v>QCM.BIOGAS.03</v>
      </c>
      <c r="I930" s="637" t="str">
        <f>VLOOKUP(H930,ORC.AUXILIAR!I:P,4,0)</f>
        <v>un</v>
      </c>
      <c r="J930" s="636">
        <f>VLOOKUP(H930,ORC.AUXILIAR!I:P,5,0)</f>
        <v>2</v>
      </c>
      <c r="K930" s="638">
        <f t="shared" si="86"/>
        <v>2</v>
      </c>
      <c r="L930" s="639">
        <f>VLOOKUP(H930,ORC.AUXILIAR!I:P,7,0)</f>
        <v>21.19</v>
      </c>
      <c r="M930" s="639">
        <f>VLOOKUP(H930,ORC.AUXILIAR!I:P,8,0)</f>
        <v>42.38</v>
      </c>
      <c r="N930" s="639">
        <f t="shared" si="87"/>
        <v>84.76</v>
      </c>
      <c r="O930" s="639">
        <f t="shared" si="88"/>
        <v>10258864268.502272</v>
      </c>
      <c r="P930" s="640">
        <f t="shared" si="89"/>
        <v>0.99999891303549859</v>
      </c>
    </row>
    <row r="931" spans="1:16">
      <c r="A931" s="627">
        <v>42.38</v>
      </c>
      <c r="B931" s="628">
        <v>2</v>
      </c>
      <c r="C931" s="629" t="s">
        <v>13546</v>
      </c>
      <c r="D931" s="628">
        <f>VLOOKUP(C931,ORC.AUXILIAR!I:J,2,0)</f>
        <v>0</v>
      </c>
      <c r="G931" s="636">
        <f t="shared" si="84"/>
        <v>0</v>
      </c>
      <c r="H931" s="636" t="str">
        <f t="shared" si="85"/>
        <v>QCM.HIP.05</v>
      </c>
      <c r="I931" s="637" t="str">
        <f>VLOOKUP(H931,ORC.AUXILIAR!I:P,4,0)</f>
        <v>un</v>
      </c>
      <c r="J931" s="636">
        <f>VLOOKUP(H931,ORC.AUXILIAR!I:P,5,0)</f>
        <v>2</v>
      </c>
      <c r="K931" s="638">
        <f t="shared" si="86"/>
        <v>2</v>
      </c>
      <c r="L931" s="639">
        <f>VLOOKUP(H931,ORC.AUXILIAR!I:P,7,0)</f>
        <v>21.19</v>
      </c>
      <c r="M931" s="639">
        <f>VLOOKUP(H931,ORC.AUXILIAR!I:P,8,0)</f>
        <v>42.38</v>
      </c>
      <c r="N931" s="639">
        <f t="shared" si="87"/>
        <v>84.76</v>
      </c>
      <c r="O931" s="639">
        <f t="shared" si="88"/>
        <v>10258864353.262272</v>
      </c>
      <c r="P931" s="640">
        <f t="shared" si="89"/>
        <v>0.99999892129761281</v>
      </c>
    </row>
    <row r="932" spans="1:16">
      <c r="A932" s="627">
        <v>42.34</v>
      </c>
      <c r="B932" s="628">
        <v>2</v>
      </c>
      <c r="C932" s="629" t="s">
        <v>13529</v>
      </c>
      <c r="D932" s="628">
        <f>VLOOKUP(C932,ORC.AUXILIAR!I:J,2,0)</f>
        <v>0</v>
      </c>
      <c r="G932" s="636">
        <f t="shared" si="84"/>
        <v>0</v>
      </c>
      <c r="H932" s="636" t="str">
        <f t="shared" si="85"/>
        <v>INST.CASA.CONTR.27</v>
      </c>
      <c r="I932" s="637" t="str">
        <f>VLOOKUP(H932,ORC.AUXILIAR!I:P,4,0)</f>
        <v>un</v>
      </c>
      <c r="J932" s="636">
        <f>VLOOKUP(H932,ORC.AUXILIAR!I:P,5,0)</f>
        <v>2</v>
      </c>
      <c r="K932" s="638">
        <f t="shared" si="86"/>
        <v>2</v>
      </c>
      <c r="L932" s="639">
        <f>VLOOKUP(H932,ORC.AUXILIAR!I:P,7,0)</f>
        <v>21.17</v>
      </c>
      <c r="M932" s="639">
        <f>VLOOKUP(H932,ORC.AUXILIAR!I:P,8,0)</f>
        <v>42.34</v>
      </c>
      <c r="N932" s="639">
        <f t="shared" si="87"/>
        <v>84.68</v>
      </c>
      <c r="O932" s="639">
        <f t="shared" si="88"/>
        <v>10258864437.942272</v>
      </c>
      <c r="P932" s="640">
        <f t="shared" si="89"/>
        <v>0.99999892955192893</v>
      </c>
    </row>
    <row r="933" spans="1:16">
      <c r="A933" s="627">
        <v>42.32</v>
      </c>
      <c r="B933" s="628">
        <v>1</v>
      </c>
      <c r="C933" s="629">
        <v>86911</v>
      </c>
      <c r="D933" s="628">
        <f>VLOOKUP(C933,ORC.AUXILIAR!I:J,2,0)</f>
        <v>0</v>
      </c>
      <c r="G933" s="636">
        <f t="shared" si="84"/>
        <v>0</v>
      </c>
      <c r="H933" s="636">
        <f t="shared" si="85"/>
        <v>86911</v>
      </c>
      <c r="I933" s="637" t="str">
        <f>VLOOKUP(H933,ORC.AUXILIAR!I:P,4,0)</f>
        <v>pç</v>
      </c>
      <c r="J933" s="636">
        <f>VLOOKUP(H933,ORC.AUXILIAR!I:P,5,0)</f>
        <v>1</v>
      </c>
      <c r="K933" s="638">
        <f t="shared" si="86"/>
        <v>1</v>
      </c>
      <c r="L933" s="639">
        <f>VLOOKUP(H933,ORC.AUXILIAR!I:P,7,0)</f>
        <v>42.32</v>
      </c>
      <c r="M933" s="639">
        <f>VLOOKUP(H933,ORC.AUXILIAR!I:P,8,0)</f>
        <v>42.32</v>
      </c>
      <c r="N933" s="639">
        <f t="shared" si="87"/>
        <v>42.32</v>
      </c>
      <c r="O933" s="639">
        <f t="shared" si="88"/>
        <v>10258864480.262272</v>
      </c>
      <c r="P933" s="640">
        <f t="shared" si="89"/>
        <v>0.99999893367713732</v>
      </c>
    </row>
    <row r="934" spans="1:16">
      <c r="A934" s="627">
        <v>41.724000000000004</v>
      </c>
      <c r="B934" s="628">
        <v>1.8</v>
      </c>
      <c r="C934" s="629" t="s">
        <v>13617</v>
      </c>
      <c r="D934" s="628">
        <f>VLOOKUP(C934,ORC.AUXILIAR!I:J,2,0)</f>
        <v>0</v>
      </c>
      <c r="G934" s="636">
        <f t="shared" si="84"/>
        <v>0</v>
      </c>
      <c r="H934" s="636" t="str">
        <f t="shared" si="85"/>
        <v>QCM.BIOGAS.22</v>
      </c>
      <c r="I934" s="637" t="str">
        <f>VLOOKUP(H934,ORC.AUXILIAR!I:P,4,0)</f>
        <v>m</v>
      </c>
      <c r="J934" s="636">
        <f>VLOOKUP(H934,ORC.AUXILIAR!I:P,5,0)</f>
        <v>1.8</v>
      </c>
      <c r="K934" s="638">
        <f t="shared" si="86"/>
        <v>1.8</v>
      </c>
      <c r="L934" s="639">
        <f>VLOOKUP(H934,ORC.AUXILIAR!I:P,7,0)</f>
        <v>23.18</v>
      </c>
      <c r="M934" s="639">
        <f>VLOOKUP(H934,ORC.AUXILIAR!I:P,8,0)</f>
        <v>41.72</v>
      </c>
      <c r="N934" s="639">
        <f t="shared" si="87"/>
        <v>75.096000000000004</v>
      </c>
      <c r="O934" s="639">
        <f t="shared" si="88"/>
        <v>10258864555.358273</v>
      </c>
      <c r="P934" s="640">
        <f t="shared" si="89"/>
        <v>0.99999894099723796</v>
      </c>
    </row>
    <row r="935" spans="1:16">
      <c r="A935" s="627">
        <v>41.724000000000004</v>
      </c>
      <c r="B935" s="628">
        <v>1.8</v>
      </c>
      <c r="C935" s="629" t="s">
        <v>13579</v>
      </c>
      <c r="D935" s="628">
        <f>VLOOKUP(C935,ORC.AUXILIAR!I:J,2,0)</f>
        <v>0</v>
      </c>
      <c r="G935" s="636">
        <f t="shared" si="84"/>
        <v>0</v>
      </c>
      <c r="H935" s="636" t="str">
        <f t="shared" si="85"/>
        <v>QCM.HIP.24</v>
      </c>
      <c r="I935" s="637" t="str">
        <f>VLOOKUP(H935,ORC.AUXILIAR!I:P,4,0)</f>
        <v>m</v>
      </c>
      <c r="J935" s="636">
        <f>VLOOKUP(H935,ORC.AUXILIAR!I:P,5,0)</f>
        <v>1.8</v>
      </c>
      <c r="K935" s="638">
        <f t="shared" si="86"/>
        <v>1.8</v>
      </c>
      <c r="L935" s="639">
        <f>VLOOKUP(H935,ORC.AUXILIAR!I:P,7,0)</f>
        <v>23.18</v>
      </c>
      <c r="M935" s="639">
        <f>VLOOKUP(H935,ORC.AUXILIAR!I:P,8,0)</f>
        <v>41.72</v>
      </c>
      <c r="N935" s="639">
        <f t="shared" si="87"/>
        <v>75.096000000000004</v>
      </c>
      <c r="O935" s="639">
        <f t="shared" si="88"/>
        <v>10258864630.454273</v>
      </c>
      <c r="P935" s="640">
        <f t="shared" si="89"/>
        <v>0.9999989483173386</v>
      </c>
    </row>
    <row r="936" spans="1:16">
      <c r="A936" s="627">
        <v>41.699999999999996</v>
      </c>
      <c r="B936" s="628">
        <v>30</v>
      </c>
      <c r="C936" s="629" t="s">
        <v>17072</v>
      </c>
      <c r="D936" s="628">
        <f>VLOOKUP(C936,ORC.AUXILIAR!I:J,2,0)</f>
        <v>0</v>
      </c>
      <c r="G936" s="636">
        <f t="shared" si="84"/>
        <v>0</v>
      </c>
      <c r="H936" s="636" t="str">
        <f t="shared" si="85"/>
        <v>73768/10</v>
      </c>
      <c r="I936" s="637" t="str">
        <f>VLOOKUP(H936,ORC.AUXILIAR!I:P,4,0)</f>
        <v>m</v>
      </c>
      <c r="J936" s="636">
        <f>VLOOKUP(H936,ORC.AUXILIAR!I:P,5,0)</f>
        <v>30</v>
      </c>
      <c r="K936" s="638">
        <f t="shared" si="86"/>
        <v>30</v>
      </c>
      <c r="L936" s="639">
        <f>VLOOKUP(H936,ORC.AUXILIAR!I:P,7,0)</f>
        <v>1.39</v>
      </c>
      <c r="M936" s="639">
        <f>VLOOKUP(H936,ORC.AUXILIAR!I:P,8,0)</f>
        <v>41.7</v>
      </c>
      <c r="N936" s="639">
        <f t="shared" si="87"/>
        <v>1251</v>
      </c>
      <c r="O936" s="639">
        <f t="shared" si="88"/>
        <v>10258865881.454273</v>
      </c>
      <c r="P936" s="640">
        <f t="shared" si="89"/>
        <v>0.99999907026052914</v>
      </c>
    </row>
    <row r="937" spans="1:16">
      <c r="A937" s="627">
        <v>40.92</v>
      </c>
      <c r="B937" s="628">
        <v>22</v>
      </c>
      <c r="C937" s="629" t="s">
        <v>13501</v>
      </c>
      <c r="D937" s="628">
        <f>VLOOKUP(C937,ORC.AUXILIAR!I:J,2,0)</f>
        <v>0</v>
      </c>
      <c r="G937" s="636">
        <f t="shared" si="84"/>
        <v>0</v>
      </c>
      <c r="H937" s="636" t="str">
        <f t="shared" si="85"/>
        <v>INST.CASA.CONTR.01</v>
      </c>
      <c r="I937" s="637" t="str">
        <f>VLOOKUP(H937,ORC.AUXILIAR!I:P,4,0)</f>
        <v>un</v>
      </c>
      <c r="J937" s="636">
        <f>VLOOKUP(H937,ORC.AUXILIAR!I:P,5,0)</f>
        <v>22</v>
      </c>
      <c r="K937" s="638">
        <f t="shared" si="86"/>
        <v>22</v>
      </c>
      <c r="L937" s="639">
        <f>VLOOKUP(H937,ORC.AUXILIAR!I:P,7,0)</f>
        <v>1.86</v>
      </c>
      <c r="M937" s="639">
        <f>VLOOKUP(H937,ORC.AUXILIAR!I:P,8,0)</f>
        <v>40.92</v>
      </c>
      <c r="N937" s="639">
        <f t="shared" si="87"/>
        <v>900.24</v>
      </c>
      <c r="O937" s="639">
        <f t="shared" si="88"/>
        <v>10258866781.694273</v>
      </c>
      <c r="P937" s="640">
        <f t="shared" si="89"/>
        <v>0.99999915801283756</v>
      </c>
    </row>
    <row r="938" spans="1:16">
      <c r="A938" s="627">
        <v>39.96</v>
      </c>
      <c r="B938" s="628">
        <v>1</v>
      </c>
      <c r="C938" s="629">
        <v>37427</v>
      </c>
      <c r="D938" s="628">
        <f>VLOOKUP(C938,ORC.AUXILIAR!I:J,2,0)</f>
        <v>0</v>
      </c>
      <c r="G938" s="636">
        <f t="shared" si="84"/>
        <v>0</v>
      </c>
      <c r="H938" s="636">
        <f t="shared" si="85"/>
        <v>37427</v>
      </c>
      <c r="I938" s="637" t="str">
        <f>VLOOKUP(H938,ORC.AUXILIAR!I:P,4,0)</f>
        <v>un</v>
      </c>
      <c r="J938" s="636">
        <f>VLOOKUP(H938,ORC.AUXILIAR!I:P,5,0)</f>
        <v>1</v>
      </c>
      <c r="K938" s="638">
        <f t="shared" si="86"/>
        <v>1</v>
      </c>
      <c r="L938" s="639">
        <f>VLOOKUP(H938,ORC.AUXILIAR!I:P,7,0)</f>
        <v>39.96</v>
      </c>
      <c r="M938" s="639">
        <f>VLOOKUP(H938,ORC.AUXILIAR!I:P,8,0)</f>
        <v>39.96</v>
      </c>
      <c r="N938" s="639">
        <f t="shared" si="87"/>
        <v>39.96</v>
      </c>
      <c r="O938" s="639">
        <f t="shared" si="88"/>
        <v>10258866821.654272</v>
      </c>
      <c r="P938" s="640">
        <f t="shared" si="89"/>
        <v>0.99999916190800131</v>
      </c>
    </row>
    <row r="939" spans="1:16">
      <c r="A939" s="627">
        <v>39.9</v>
      </c>
      <c r="B939" s="628">
        <v>57</v>
      </c>
      <c r="C939" s="629">
        <v>3529</v>
      </c>
      <c r="D939" s="628">
        <f>VLOOKUP(C939,ORC.AUXILIAR!I:J,2,0)</f>
        <v>0</v>
      </c>
      <c r="G939" s="636">
        <f t="shared" si="84"/>
        <v>0</v>
      </c>
      <c r="H939" s="636">
        <f t="shared" si="85"/>
        <v>3529</v>
      </c>
      <c r="I939" s="637" t="str">
        <f>VLOOKUP(H939,ORC.AUXILIAR!I:P,4,0)</f>
        <v>pç</v>
      </c>
      <c r="J939" s="636">
        <f>VLOOKUP(H939,ORC.AUXILIAR!I:P,5,0)</f>
        <v>14</v>
      </c>
      <c r="K939" s="638">
        <f t="shared" si="86"/>
        <v>57</v>
      </c>
      <c r="L939" s="639">
        <f>VLOOKUP(H939,ORC.AUXILIAR!I:P,7,0)</f>
        <v>0.7</v>
      </c>
      <c r="M939" s="639">
        <f>VLOOKUP(H939,ORC.AUXILIAR!I:P,8,0)</f>
        <v>9.8000000000000007</v>
      </c>
      <c r="N939" s="639">
        <f t="shared" si="87"/>
        <v>558.6</v>
      </c>
      <c r="O939" s="639">
        <f t="shared" si="88"/>
        <v>10258867380.254272</v>
      </c>
      <c r="P939" s="640">
        <f t="shared" si="89"/>
        <v>0.99999921635841393</v>
      </c>
    </row>
    <row r="940" spans="1:16">
      <c r="A940" s="627">
        <v>39.79</v>
      </c>
      <c r="B940" s="628">
        <v>1</v>
      </c>
      <c r="C940" s="629" t="s">
        <v>13837</v>
      </c>
      <c r="D940" s="628">
        <f>VLOOKUP(C940,ORC.AUXILIAR!I:J,2,0)</f>
        <v>0</v>
      </c>
      <c r="G940" s="636">
        <f t="shared" si="84"/>
        <v>0</v>
      </c>
      <c r="H940" s="636" t="str">
        <f t="shared" si="85"/>
        <v>INST.HIPOCL.11</v>
      </c>
      <c r="I940" s="637" t="str">
        <f>VLOOKUP(H940,ORC.AUXILIAR!I:P,4,0)</f>
        <v>un</v>
      </c>
      <c r="J940" s="636">
        <f>VLOOKUP(H940,ORC.AUXILIAR!I:P,5,0)</f>
        <v>1</v>
      </c>
      <c r="K940" s="638">
        <f t="shared" si="86"/>
        <v>1</v>
      </c>
      <c r="L940" s="639">
        <f>VLOOKUP(H940,ORC.AUXILIAR!I:P,7,0)</f>
        <v>39.79</v>
      </c>
      <c r="M940" s="639">
        <f>VLOOKUP(H940,ORC.AUXILIAR!I:P,8,0)</f>
        <v>39.79</v>
      </c>
      <c r="N940" s="639">
        <f t="shared" si="87"/>
        <v>39.79</v>
      </c>
      <c r="O940" s="639">
        <f t="shared" si="88"/>
        <v>10258867420.044273</v>
      </c>
      <c r="P940" s="640">
        <f t="shared" si="89"/>
        <v>0.99999922023700683</v>
      </c>
    </row>
    <row r="941" spans="1:16">
      <c r="A941" s="627">
        <v>39.79</v>
      </c>
      <c r="B941" s="628">
        <v>1</v>
      </c>
      <c r="C941" s="629" t="s">
        <v>13839</v>
      </c>
      <c r="D941" s="628">
        <f>VLOOKUP(C941,ORC.AUXILIAR!I:J,2,0)</f>
        <v>0</v>
      </c>
      <c r="G941" s="636">
        <f t="shared" si="84"/>
        <v>0</v>
      </c>
      <c r="H941" s="636" t="str">
        <f t="shared" si="85"/>
        <v>INST.HIPOCL.12</v>
      </c>
      <c r="I941" s="637" t="str">
        <f>VLOOKUP(H941,ORC.AUXILIAR!I:P,4,0)</f>
        <v>un</v>
      </c>
      <c r="J941" s="636">
        <f>VLOOKUP(H941,ORC.AUXILIAR!I:P,5,0)</f>
        <v>1</v>
      </c>
      <c r="K941" s="638">
        <f t="shared" si="86"/>
        <v>1</v>
      </c>
      <c r="L941" s="639">
        <f>VLOOKUP(H941,ORC.AUXILIAR!I:P,7,0)</f>
        <v>39.79</v>
      </c>
      <c r="M941" s="639">
        <f>VLOOKUP(H941,ORC.AUXILIAR!I:P,8,0)</f>
        <v>39.79</v>
      </c>
      <c r="N941" s="639">
        <f t="shared" si="87"/>
        <v>39.79</v>
      </c>
      <c r="O941" s="639">
        <f t="shared" si="88"/>
        <v>10258867459.834274</v>
      </c>
      <c r="P941" s="640">
        <f t="shared" si="89"/>
        <v>0.99999922411559972</v>
      </c>
    </row>
    <row r="942" spans="1:16">
      <c r="A942" s="627">
        <v>39.1</v>
      </c>
      <c r="B942" s="628">
        <v>46</v>
      </c>
      <c r="C942" s="629">
        <v>65</v>
      </c>
      <c r="D942" s="628">
        <f>VLOOKUP(C942,ORC.AUXILIAR!I:J,2,0)</f>
        <v>0</v>
      </c>
      <c r="G942" s="636">
        <f t="shared" si="84"/>
        <v>0</v>
      </c>
      <c r="H942" s="636">
        <f t="shared" si="85"/>
        <v>65</v>
      </c>
      <c r="I942" s="637" t="str">
        <f>VLOOKUP(H942,ORC.AUXILIAR!I:P,4,0)</f>
        <v>pç</v>
      </c>
      <c r="J942" s="636">
        <f>VLOOKUP(H942,ORC.AUXILIAR!I:P,5,0)</f>
        <v>11</v>
      </c>
      <c r="K942" s="638">
        <f t="shared" si="86"/>
        <v>46</v>
      </c>
      <c r="L942" s="639">
        <f>VLOOKUP(H942,ORC.AUXILIAR!I:P,7,0)</f>
        <v>0.85</v>
      </c>
      <c r="M942" s="639">
        <f>VLOOKUP(H942,ORC.AUXILIAR!I:P,8,0)</f>
        <v>9.35</v>
      </c>
      <c r="N942" s="639">
        <f t="shared" si="87"/>
        <v>430.09999999999997</v>
      </c>
      <c r="O942" s="639">
        <f t="shared" si="88"/>
        <v>10258867889.934275</v>
      </c>
      <c r="P942" s="640">
        <f t="shared" si="89"/>
        <v>0.999999266040273</v>
      </c>
    </row>
    <row r="943" spans="1:16">
      <c r="A943" s="627">
        <v>37.980000000000004</v>
      </c>
      <c r="B943" s="628">
        <v>3</v>
      </c>
      <c r="C943" s="629">
        <v>93014</v>
      </c>
      <c r="D943" s="628">
        <f>VLOOKUP(C943,ORC.AUXILIAR!I:J,2,0)</f>
        <v>0</v>
      </c>
      <c r="G943" s="636">
        <f t="shared" si="84"/>
        <v>0</v>
      </c>
      <c r="H943" s="636">
        <f t="shared" si="85"/>
        <v>93014</v>
      </c>
      <c r="I943" s="637" t="str">
        <f>VLOOKUP(H943,ORC.AUXILIAR!I:P,4,0)</f>
        <v>un</v>
      </c>
      <c r="J943" s="636">
        <f>VLOOKUP(H943,ORC.AUXILIAR!I:P,5,0)</f>
        <v>3</v>
      </c>
      <c r="K943" s="638">
        <f t="shared" si="86"/>
        <v>3</v>
      </c>
      <c r="L943" s="639">
        <f>VLOOKUP(H943,ORC.AUXILIAR!I:P,7,0)</f>
        <v>12.66</v>
      </c>
      <c r="M943" s="639">
        <f>VLOOKUP(H943,ORC.AUXILIAR!I:P,8,0)</f>
        <v>37.979999999999997</v>
      </c>
      <c r="N943" s="639">
        <f t="shared" si="87"/>
        <v>113.94</v>
      </c>
      <c r="O943" s="639">
        <f t="shared" si="88"/>
        <v>10258868003.874275</v>
      </c>
      <c r="P943" s="640">
        <f t="shared" si="89"/>
        <v>0.99999927714675352</v>
      </c>
    </row>
    <row r="944" spans="1:16">
      <c r="A944" s="627">
        <v>36.72</v>
      </c>
      <c r="B944" s="628">
        <v>4</v>
      </c>
      <c r="C944" s="629">
        <v>93057</v>
      </c>
      <c r="D944" s="628">
        <f>VLOOKUP(C944,ORC.AUXILIAR!I:J,2,0)</f>
        <v>0</v>
      </c>
      <c r="G944" s="636">
        <f t="shared" si="84"/>
        <v>0</v>
      </c>
      <c r="H944" s="636">
        <f t="shared" si="85"/>
        <v>93057</v>
      </c>
      <c r="I944" s="637" t="str">
        <f>VLOOKUP(H944,ORC.AUXILIAR!I:P,4,0)</f>
        <v>um</v>
      </c>
      <c r="J944" s="636">
        <f>VLOOKUP(H944,ORC.AUXILIAR!I:P,5,0)</f>
        <v>4</v>
      </c>
      <c r="K944" s="638">
        <f t="shared" si="86"/>
        <v>4</v>
      </c>
      <c r="L944" s="639">
        <f>VLOOKUP(H944,ORC.AUXILIAR!I:P,7,0)</f>
        <v>9.18</v>
      </c>
      <c r="M944" s="639">
        <f>VLOOKUP(H944,ORC.AUXILIAR!I:P,8,0)</f>
        <v>36.72</v>
      </c>
      <c r="N944" s="639">
        <f t="shared" si="87"/>
        <v>146.88</v>
      </c>
      <c r="O944" s="639">
        <f t="shared" si="88"/>
        <v>10258868150.754274</v>
      </c>
      <c r="P944" s="640">
        <f t="shared" si="89"/>
        <v>0.99999929146411226</v>
      </c>
    </row>
    <row r="945" spans="1:16">
      <c r="A945" s="627">
        <v>35.83</v>
      </c>
      <c r="B945" s="628">
        <v>1</v>
      </c>
      <c r="C945" s="629">
        <v>93068</v>
      </c>
      <c r="D945" s="628">
        <f>VLOOKUP(C945,ORC.AUXILIAR!I:J,2,0)</f>
        <v>0</v>
      </c>
      <c r="G945" s="636">
        <f t="shared" si="84"/>
        <v>0</v>
      </c>
      <c r="H945" s="636">
        <f t="shared" si="85"/>
        <v>93068</v>
      </c>
      <c r="I945" s="637" t="str">
        <f>VLOOKUP(H945,ORC.AUXILIAR!I:P,4,0)</f>
        <v>um</v>
      </c>
      <c r="J945" s="636">
        <f>VLOOKUP(H945,ORC.AUXILIAR!I:P,5,0)</f>
        <v>1</v>
      </c>
      <c r="K945" s="638">
        <f t="shared" si="86"/>
        <v>1</v>
      </c>
      <c r="L945" s="639">
        <f>VLOOKUP(H945,ORC.AUXILIAR!I:P,7,0)</f>
        <v>35.83</v>
      </c>
      <c r="M945" s="639">
        <f>VLOOKUP(H945,ORC.AUXILIAR!I:P,8,0)</f>
        <v>35.83</v>
      </c>
      <c r="N945" s="639">
        <f t="shared" si="87"/>
        <v>35.83</v>
      </c>
      <c r="O945" s="639">
        <f t="shared" si="88"/>
        <v>10258868186.584274</v>
      </c>
      <c r="P945" s="640">
        <f t="shared" si="89"/>
        <v>0.99999929495669782</v>
      </c>
    </row>
    <row r="946" spans="1:16">
      <c r="A946" s="627">
        <v>34.950000000000003</v>
      </c>
      <c r="B946" s="628">
        <v>1</v>
      </c>
      <c r="C946" s="629">
        <v>92373</v>
      </c>
      <c r="D946" s="628">
        <f>VLOOKUP(C946,ORC.AUXILIAR!I:J,2,0)</f>
        <v>0</v>
      </c>
      <c r="G946" s="636">
        <f t="shared" si="84"/>
        <v>0</v>
      </c>
      <c r="H946" s="636">
        <f t="shared" si="85"/>
        <v>92373</v>
      </c>
      <c r="I946" s="637" t="str">
        <f>VLOOKUP(H946,ORC.AUXILIAR!I:P,4,0)</f>
        <v>un</v>
      </c>
      <c r="J946" s="636">
        <f>VLOOKUP(H946,ORC.AUXILIAR!I:P,5,0)</f>
        <v>1</v>
      </c>
      <c r="K946" s="638">
        <f t="shared" si="86"/>
        <v>1</v>
      </c>
      <c r="L946" s="639">
        <f>VLOOKUP(H946,ORC.AUXILIAR!I:P,7,0)</f>
        <v>34.950000000000003</v>
      </c>
      <c r="M946" s="639">
        <f>VLOOKUP(H946,ORC.AUXILIAR!I:P,8,0)</f>
        <v>34.950000000000003</v>
      </c>
      <c r="N946" s="639">
        <f t="shared" si="87"/>
        <v>34.950000000000003</v>
      </c>
      <c r="O946" s="639">
        <f t="shared" si="88"/>
        <v>10258868221.534275</v>
      </c>
      <c r="P946" s="640">
        <f t="shared" si="89"/>
        <v>0.99999929836350399</v>
      </c>
    </row>
    <row r="947" spans="1:16">
      <c r="A947" s="627">
        <v>34.799999999999997</v>
      </c>
      <c r="B947" s="628">
        <v>8</v>
      </c>
      <c r="C947" s="629" t="s">
        <v>12823</v>
      </c>
      <c r="D947" s="628">
        <f>VLOOKUP(C947,ORC.AUXILIAR!I:J,2,0)</f>
        <v>0</v>
      </c>
      <c r="G947" s="636">
        <f t="shared" si="84"/>
        <v>0</v>
      </c>
      <c r="H947" s="636" t="str">
        <f t="shared" si="85"/>
        <v>LS.AR.01</v>
      </c>
      <c r="I947" s="637" t="str">
        <f>VLOOKUP(H947,ORC.AUXILIAR!I:P,4,0)</f>
        <v>pç</v>
      </c>
      <c r="J947" s="636">
        <f>VLOOKUP(H947,ORC.AUXILIAR!I:P,5,0)</f>
        <v>8</v>
      </c>
      <c r="K947" s="638">
        <f t="shared" si="86"/>
        <v>8</v>
      </c>
      <c r="L947" s="639">
        <f>VLOOKUP(H947,ORC.AUXILIAR!I:P,7,0)</f>
        <v>4.3499999999999996</v>
      </c>
      <c r="M947" s="639">
        <f>VLOOKUP(H947,ORC.AUXILIAR!I:P,8,0)</f>
        <v>34.799999999999997</v>
      </c>
      <c r="N947" s="639">
        <f t="shared" si="87"/>
        <v>278.39999999999998</v>
      </c>
      <c r="O947" s="639">
        <f t="shared" si="88"/>
        <v>10258868499.934275</v>
      </c>
      <c r="P947" s="640">
        <f t="shared" si="89"/>
        <v>0.99999932550098136</v>
      </c>
    </row>
    <row r="948" spans="1:16">
      <c r="A948" s="627">
        <v>34.44</v>
      </c>
      <c r="B948" s="628">
        <v>6</v>
      </c>
      <c r="C948" s="629" t="s">
        <v>13656</v>
      </c>
      <c r="D948" s="628">
        <f>VLOOKUP(C948,ORC.AUXILIAR!I:J,2,0)</f>
        <v>0</v>
      </c>
      <c r="G948" s="636">
        <f t="shared" si="84"/>
        <v>0</v>
      </c>
      <c r="H948" s="636" t="str">
        <f t="shared" si="85"/>
        <v>SUB.18</v>
      </c>
      <c r="I948" s="637" t="str">
        <f>VLOOKUP(H948,ORC.AUXILIAR!I:P,4,0)</f>
        <v>m</v>
      </c>
      <c r="J948" s="636">
        <f>VLOOKUP(H948,ORC.AUXILIAR!I:P,5,0)</f>
        <v>6</v>
      </c>
      <c r="K948" s="638">
        <f t="shared" si="86"/>
        <v>6</v>
      </c>
      <c r="L948" s="639">
        <f>VLOOKUP(H948,ORC.AUXILIAR!I:P,7,0)</f>
        <v>5.74</v>
      </c>
      <c r="M948" s="639">
        <f>VLOOKUP(H948,ORC.AUXILIAR!I:P,8,0)</f>
        <v>34.44</v>
      </c>
      <c r="N948" s="639">
        <f t="shared" si="87"/>
        <v>206.64</v>
      </c>
      <c r="O948" s="639">
        <f t="shared" si="88"/>
        <v>10258868706.574274</v>
      </c>
      <c r="P948" s="640">
        <f t="shared" si="89"/>
        <v>0.99999934564353998</v>
      </c>
    </row>
    <row r="949" spans="1:16">
      <c r="A949" s="627">
        <v>34.4</v>
      </c>
      <c r="B949" s="628">
        <v>2</v>
      </c>
      <c r="C949" s="629">
        <v>89597</v>
      </c>
      <c r="D949" s="628">
        <f>VLOOKUP(C949,ORC.AUXILIAR!I:J,2,0)</f>
        <v>0</v>
      </c>
      <c r="G949" s="636">
        <f t="shared" si="84"/>
        <v>0</v>
      </c>
      <c r="H949" s="636">
        <f t="shared" si="85"/>
        <v>89597</v>
      </c>
      <c r="I949" s="637" t="str">
        <f>VLOOKUP(H949,ORC.AUXILIAR!I:P,4,0)</f>
        <v>pç</v>
      </c>
      <c r="J949" s="636">
        <f>VLOOKUP(H949,ORC.AUXILIAR!I:P,5,0)</f>
        <v>2</v>
      </c>
      <c r="K949" s="638">
        <f t="shared" si="86"/>
        <v>2</v>
      </c>
      <c r="L949" s="639">
        <f>VLOOKUP(H949,ORC.AUXILIAR!I:P,7,0)</f>
        <v>17.2</v>
      </c>
      <c r="M949" s="639">
        <f>VLOOKUP(H949,ORC.AUXILIAR!I:P,8,0)</f>
        <v>34.4</v>
      </c>
      <c r="N949" s="639">
        <f t="shared" si="87"/>
        <v>68.8</v>
      </c>
      <c r="O949" s="639">
        <f t="shared" si="88"/>
        <v>10258868775.374273</v>
      </c>
      <c r="P949" s="640">
        <f t="shared" si="89"/>
        <v>0.99999935234992809</v>
      </c>
    </row>
    <row r="950" spans="1:16">
      <c r="A950" s="627">
        <v>33.92</v>
      </c>
      <c r="B950" s="628">
        <v>64</v>
      </c>
      <c r="C950" s="629" t="s">
        <v>14382</v>
      </c>
      <c r="D950" s="628">
        <f>VLOOKUP(C950,ORC.AUXILIAR!I:J,2,0)</f>
        <v>0</v>
      </c>
      <c r="G950" s="636">
        <f t="shared" si="84"/>
        <v>0</v>
      </c>
      <c r="H950" s="636" t="str">
        <f t="shared" si="85"/>
        <v>REATOR.FB.25</v>
      </c>
      <c r="I950" s="637" t="str">
        <f>VLOOKUP(H950,ORC.AUXILIAR!I:P,4,0)</f>
        <v>pç</v>
      </c>
      <c r="J950" s="636">
        <f>VLOOKUP(H950,ORC.AUXILIAR!I:P,5,0)</f>
        <v>64</v>
      </c>
      <c r="K950" s="638">
        <f t="shared" si="86"/>
        <v>64</v>
      </c>
      <c r="L950" s="639">
        <f>VLOOKUP(H950,ORC.AUXILIAR!I:P,7,0)</f>
        <v>0.53</v>
      </c>
      <c r="M950" s="639">
        <f>VLOOKUP(H950,ORC.AUXILIAR!I:P,8,0)</f>
        <v>33.92</v>
      </c>
      <c r="N950" s="639">
        <f t="shared" si="87"/>
        <v>2170.88</v>
      </c>
      <c r="O950" s="639">
        <f t="shared" si="88"/>
        <v>10258870946.254272</v>
      </c>
      <c r="P950" s="640">
        <f t="shared" si="89"/>
        <v>0.99999956395986678</v>
      </c>
    </row>
    <row r="951" spans="1:16">
      <c r="A951" s="627">
        <v>33.380000000000003</v>
      </c>
      <c r="B951" s="628">
        <v>2</v>
      </c>
      <c r="C951" s="629">
        <v>1966</v>
      </c>
      <c r="D951" s="628">
        <f>VLOOKUP(C951,ORC.AUXILIAR!I:J,2,0)</f>
        <v>0</v>
      </c>
      <c r="G951" s="636">
        <f t="shared" si="84"/>
        <v>0</v>
      </c>
      <c r="H951" s="636">
        <f t="shared" si="85"/>
        <v>1966</v>
      </c>
      <c r="I951" s="637" t="str">
        <f>VLOOKUP(H951,ORC.AUXILIAR!I:P,4,0)</f>
        <v>pç</v>
      </c>
      <c r="J951" s="636">
        <f>VLOOKUP(H951,ORC.AUXILIAR!I:P,5,0)</f>
        <v>2</v>
      </c>
      <c r="K951" s="638">
        <f t="shared" si="86"/>
        <v>2</v>
      </c>
      <c r="L951" s="639">
        <f>VLOOKUP(H951,ORC.AUXILIAR!I:P,7,0)</f>
        <v>16.690000000000001</v>
      </c>
      <c r="M951" s="639">
        <f>VLOOKUP(H951,ORC.AUXILIAR!I:P,8,0)</f>
        <v>33.380000000000003</v>
      </c>
      <c r="N951" s="639">
        <f t="shared" si="87"/>
        <v>66.760000000000005</v>
      </c>
      <c r="O951" s="639">
        <f t="shared" si="88"/>
        <v>10258871013.014273</v>
      </c>
      <c r="P951" s="640">
        <f t="shared" si="89"/>
        <v>0.99999957046740273</v>
      </c>
    </row>
    <row r="952" spans="1:16">
      <c r="A952" s="627">
        <v>33.21</v>
      </c>
      <c r="B952" s="628">
        <v>3</v>
      </c>
      <c r="C952" s="629">
        <v>93654</v>
      </c>
      <c r="D952" s="628">
        <f>VLOOKUP(C952,ORC.AUXILIAR!I:J,2,0)</f>
        <v>0</v>
      </c>
      <c r="G952" s="636">
        <f t="shared" si="84"/>
        <v>0</v>
      </c>
      <c r="H952" s="636">
        <f t="shared" si="85"/>
        <v>93654</v>
      </c>
      <c r="I952" s="637" t="str">
        <f>VLOOKUP(H952,ORC.AUXILIAR!I:P,4,0)</f>
        <v>un</v>
      </c>
      <c r="J952" s="636">
        <f>VLOOKUP(H952,ORC.AUXILIAR!I:P,5,0)</f>
        <v>1</v>
      </c>
      <c r="K952" s="638">
        <f t="shared" si="86"/>
        <v>3</v>
      </c>
      <c r="L952" s="639">
        <f>VLOOKUP(H952,ORC.AUXILIAR!I:P,7,0)</f>
        <v>11.07</v>
      </c>
      <c r="M952" s="639">
        <f>VLOOKUP(H952,ORC.AUXILIAR!I:P,8,0)</f>
        <v>11.07</v>
      </c>
      <c r="N952" s="639">
        <f t="shared" si="87"/>
        <v>33.21</v>
      </c>
      <c r="O952" s="639">
        <f t="shared" si="88"/>
        <v>10258871046.224272</v>
      </c>
      <c r="P952" s="640">
        <f t="shared" si="89"/>
        <v>0.99999957370459958</v>
      </c>
    </row>
    <row r="953" spans="1:16">
      <c r="A953" s="627">
        <v>32.700000000000003</v>
      </c>
      <c r="B953" s="628">
        <v>10</v>
      </c>
      <c r="C953" s="629">
        <v>940</v>
      </c>
      <c r="D953" s="628">
        <f>VLOOKUP(C953,ORC.AUXILIAR!I:J,2,0)</f>
        <v>0</v>
      </c>
      <c r="G953" s="636">
        <f t="shared" si="84"/>
        <v>0</v>
      </c>
      <c r="H953" s="636">
        <f t="shared" si="85"/>
        <v>940</v>
      </c>
      <c r="I953" s="637" t="str">
        <f>VLOOKUP(H953,ORC.AUXILIAR!I:P,4,0)</f>
        <v>m</v>
      </c>
      <c r="J953" s="636">
        <f>VLOOKUP(H953,ORC.AUXILIAR!I:P,5,0)</f>
        <v>6</v>
      </c>
      <c r="K953" s="638">
        <f t="shared" si="86"/>
        <v>10</v>
      </c>
      <c r="L953" s="639">
        <f>VLOOKUP(H953,ORC.AUXILIAR!I:P,7,0)</f>
        <v>3.27</v>
      </c>
      <c r="M953" s="639">
        <f>VLOOKUP(H953,ORC.AUXILIAR!I:P,8,0)</f>
        <v>19.62</v>
      </c>
      <c r="N953" s="639">
        <f t="shared" si="87"/>
        <v>196.20000000000002</v>
      </c>
      <c r="O953" s="639">
        <f t="shared" si="88"/>
        <v>10258871242.424273</v>
      </c>
      <c r="P953" s="640">
        <f t="shared" si="89"/>
        <v>0.9999995928295029</v>
      </c>
    </row>
    <row r="954" spans="1:16">
      <c r="A954" s="627">
        <v>32.629999999999995</v>
      </c>
      <c r="B954" s="628">
        <v>13</v>
      </c>
      <c r="C954" s="629">
        <v>3505</v>
      </c>
      <c r="D954" s="628">
        <f>VLOOKUP(C954,ORC.AUXILIAR!I:J,2,0)</f>
        <v>0</v>
      </c>
      <c r="G954" s="636">
        <f t="shared" si="84"/>
        <v>0</v>
      </c>
      <c r="H954" s="636">
        <f t="shared" si="85"/>
        <v>3505</v>
      </c>
      <c r="I954" s="637" t="str">
        <f>VLOOKUP(H954,ORC.AUXILIAR!I:P,4,0)</f>
        <v>pç</v>
      </c>
      <c r="J954" s="636">
        <f>VLOOKUP(H954,ORC.AUXILIAR!I:P,5,0)</f>
        <v>13</v>
      </c>
      <c r="K954" s="638">
        <f t="shared" si="86"/>
        <v>13</v>
      </c>
      <c r="L954" s="639">
        <f>VLOOKUP(H954,ORC.AUXILIAR!I:P,7,0)</f>
        <v>2.5099999999999998</v>
      </c>
      <c r="M954" s="639">
        <f>VLOOKUP(H954,ORC.AUXILIAR!I:P,8,0)</f>
        <v>32.630000000000003</v>
      </c>
      <c r="N954" s="639">
        <f t="shared" si="87"/>
        <v>424.19000000000005</v>
      </c>
      <c r="O954" s="639">
        <f t="shared" si="88"/>
        <v>10258871666.614273</v>
      </c>
      <c r="P954" s="640">
        <f t="shared" si="89"/>
        <v>0.99999963417808968</v>
      </c>
    </row>
    <row r="955" spans="1:16">
      <c r="A955" s="627">
        <v>32.519999999999996</v>
      </c>
      <c r="B955" s="628">
        <v>6</v>
      </c>
      <c r="C955" s="629">
        <v>89489</v>
      </c>
      <c r="D955" s="628">
        <f>VLOOKUP(C955,ORC.AUXILIAR!I:J,2,0)</f>
        <v>0</v>
      </c>
      <c r="G955" s="636">
        <f t="shared" si="84"/>
        <v>0</v>
      </c>
      <c r="H955" s="636">
        <f t="shared" si="85"/>
        <v>89489</v>
      </c>
      <c r="I955" s="637" t="str">
        <f>VLOOKUP(H955,ORC.AUXILIAR!I:P,4,0)</f>
        <v>pç</v>
      </c>
      <c r="J955" s="636">
        <f>VLOOKUP(H955,ORC.AUXILIAR!I:P,5,0)</f>
        <v>6</v>
      </c>
      <c r="K955" s="638">
        <f t="shared" si="86"/>
        <v>6</v>
      </c>
      <c r="L955" s="639">
        <f>VLOOKUP(H955,ORC.AUXILIAR!I:P,7,0)</f>
        <v>5.42</v>
      </c>
      <c r="M955" s="639">
        <f>VLOOKUP(H955,ORC.AUXILIAR!I:P,8,0)</f>
        <v>32.520000000000003</v>
      </c>
      <c r="N955" s="639">
        <f t="shared" si="87"/>
        <v>195.12</v>
      </c>
      <c r="O955" s="639">
        <f t="shared" si="88"/>
        <v>10258871861.734274</v>
      </c>
      <c r="P955" s="640">
        <f t="shared" si="89"/>
        <v>0.99999965319771833</v>
      </c>
    </row>
    <row r="956" spans="1:16">
      <c r="A956" s="627">
        <v>32.49</v>
      </c>
      <c r="B956" s="628">
        <v>1</v>
      </c>
      <c r="C956" s="629" t="s">
        <v>13340</v>
      </c>
      <c r="D956" s="628">
        <f>VLOOKUP(C956,ORC.AUXILIAR!I:J,2,0)</f>
        <v>0</v>
      </c>
      <c r="G956" s="636">
        <f t="shared" si="84"/>
        <v>0</v>
      </c>
      <c r="H956" s="636" t="str">
        <f t="shared" si="85"/>
        <v>TH.VAL.01</v>
      </c>
      <c r="I956" s="637" t="str">
        <f>VLOOKUP(H956,ORC.AUXILIAR!I:P,4,0)</f>
        <v>un</v>
      </c>
      <c r="J956" s="636">
        <f>VLOOKUP(H956,ORC.AUXILIAR!I:P,5,0)</f>
        <v>1</v>
      </c>
      <c r="K956" s="638">
        <f t="shared" si="86"/>
        <v>1</v>
      </c>
      <c r="L956" s="639">
        <f>VLOOKUP(H956,ORC.AUXILIAR!I:P,7,0)</f>
        <v>32.49</v>
      </c>
      <c r="M956" s="639">
        <f>VLOOKUP(H956,ORC.AUXILIAR!I:P,8,0)</f>
        <v>32.49</v>
      </c>
      <c r="N956" s="639">
        <f t="shared" si="87"/>
        <v>32.49</v>
      </c>
      <c r="O956" s="639">
        <f t="shared" si="88"/>
        <v>10258871894.224274</v>
      </c>
      <c r="P956" s="640">
        <f t="shared" si="89"/>
        <v>0.99999965636473209</v>
      </c>
    </row>
    <row r="957" spans="1:16">
      <c r="A957" s="627">
        <v>31.77</v>
      </c>
      <c r="B957" s="628">
        <v>3</v>
      </c>
      <c r="C957" s="629" t="s">
        <v>13528</v>
      </c>
      <c r="D957" s="628">
        <f>VLOOKUP(C957,ORC.AUXILIAR!I:J,2,0)</f>
        <v>0</v>
      </c>
      <c r="G957" s="636">
        <f t="shared" si="84"/>
        <v>0</v>
      </c>
      <c r="H957" s="636" t="str">
        <f t="shared" si="85"/>
        <v>INST.CASA.CONTR.26</v>
      </c>
      <c r="I957" s="637" t="str">
        <f>VLOOKUP(H957,ORC.AUXILIAR!I:P,4,0)</f>
        <v>un</v>
      </c>
      <c r="J957" s="636">
        <f>VLOOKUP(H957,ORC.AUXILIAR!I:P,5,0)</f>
        <v>3</v>
      </c>
      <c r="K957" s="638">
        <f t="shared" si="86"/>
        <v>3</v>
      </c>
      <c r="L957" s="639">
        <f>VLOOKUP(H957,ORC.AUXILIAR!I:P,7,0)</f>
        <v>10.59</v>
      </c>
      <c r="M957" s="639">
        <f>VLOOKUP(H957,ORC.AUXILIAR!I:P,8,0)</f>
        <v>31.77</v>
      </c>
      <c r="N957" s="639">
        <f t="shared" si="87"/>
        <v>95.31</v>
      </c>
      <c r="O957" s="639">
        <f t="shared" si="88"/>
        <v>10258871989.534273</v>
      </c>
      <c r="P957" s="640">
        <f t="shared" si="89"/>
        <v>0.99999966565522402</v>
      </c>
    </row>
    <row r="958" spans="1:16">
      <c r="A958" s="627">
        <v>31.24</v>
      </c>
      <c r="B958" s="628">
        <v>2</v>
      </c>
      <c r="C958" s="629" t="s">
        <v>12736</v>
      </c>
      <c r="D958" s="628">
        <f>VLOOKUP(C958,ORC.AUXILIAR!I:J,2,0)</f>
        <v>0</v>
      </c>
      <c r="G958" s="636">
        <f t="shared" si="84"/>
        <v>0</v>
      </c>
      <c r="H958" s="636" t="str">
        <f t="shared" si="85"/>
        <v>RE.AI.21</v>
      </c>
      <c r="I958" s="637" t="str">
        <f>VLOOKUP(H958,ORC.AUXILIAR!I:P,4,0)</f>
        <v>pç</v>
      </c>
      <c r="J958" s="636">
        <f>VLOOKUP(H958,ORC.AUXILIAR!I:P,5,0)</f>
        <v>2</v>
      </c>
      <c r="K958" s="638">
        <f t="shared" si="86"/>
        <v>2</v>
      </c>
      <c r="L958" s="639">
        <f>VLOOKUP(H958,ORC.AUXILIAR!I:P,7,0)</f>
        <v>15.62</v>
      </c>
      <c r="M958" s="639">
        <f>VLOOKUP(H958,ORC.AUXILIAR!I:P,8,0)</f>
        <v>31.24</v>
      </c>
      <c r="N958" s="639">
        <f t="shared" si="87"/>
        <v>62.48</v>
      </c>
      <c r="O958" s="639">
        <f t="shared" si="88"/>
        <v>10258872052.014273</v>
      </c>
      <c r="P958" s="640">
        <f t="shared" si="89"/>
        <v>0.99999967174556015</v>
      </c>
    </row>
    <row r="959" spans="1:16">
      <c r="A959" s="627">
        <v>31.14</v>
      </c>
      <c r="B959" s="628">
        <v>2</v>
      </c>
      <c r="C959" s="629" t="s">
        <v>13161</v>
      </c>
      <c r="D959" s="628">
        <f>VLOOKUP(C959,ORC.AUXILIAR!I:J,2,0)</f>
        <v>0</v>
      </c>
      <c r="G959" s="636">
        <f t="shared" si="84"/>
        <v>0</v>
      </c>
      <c r="H959" s="636" t="str">
        <f t="shared" si="85"/>
        <v>TP.AÇO.10</v>
      </c>
      <c r="I959" s="637" t="str">
        <f>VLOOKUP(H959,ORC.AUXILIAR!I:P,4,0)</f>
        <v>pç</v>
      </c>
      <c r="J959" s="636">
        <f>VLOOKUP(H959,ORC.AUXILIAR!I:P,5,0)</f>
        <v>2</v>
      </c>
      <c r="K959" s="638">
        <f t="shared" si="86"/>
        <v>2</v>
      </c>
      <c r="L959" s="639">
        <f>VLOOKUP(H959,ORC.AUXILIAR!I:P,7,0)</f>
        <v>15.57</v>
      </c>
      <c r="M959" s="639">
        <f>VLOOKUP(H959,ORC.AUXILIAR!I:P,8,0)</f>
        <v>31.14</v>
      </c>
      <c r="N959" s="639">
        <f t="shared" si="87"/>
        <v>62.28</v>
      </c>
      <c r="O959" s="639">
        <f t="shared" si="88"/>
        <v>10258872114.294273</v>
      </c>
      <c r="P959" s="640">
        <f t="shared" si="89"/>
        <v>0.99999967781640109</v>
      </c>
    </row>
    <row r="960" spans="1:16">
      <c r="A960" s="627">
        <v>30.88</v>
      </c>
      <c r="B960" s="628">
        <v>16</v>
      </c>
      <c r="C960" s="629">
        <v>37458</v>
      </c>
      <c r="D960" s="628">
        <f>VLOOKUP(C960,ORC.AUXILIAR!I:J,2,0)</f>
        <v>0</v>
      </c>
      <c r="G960" s="636">
        <f t="shared" si="84"/>
        <v>0</v>
      </c>
      <c r="H960" s="636">
        <f t="shared" si="85"/>
        <v>37458</v>
      </c>
      <c r="I960" s="637" t="str">
        <f>VLOOKUP(H960,ORC.AUXILIAR!I:P,4,0)</f>
        <v>m</v>
      </c>
      <c r="J960" s="636">
        <f>VLOOKUP(H960,ORC.AUXILIAR!I:P,5,0)</f>
        <v>16</v>
      </c>
      <c r="K960" s="638">
        <f t="shared" si="86"/>
        <v>16</v>
      </c>
      <c r="L960" s="639">
        <f>VLOOKUP(H960,ORC.AUXILIAR!I:P,7,0)</f>
        <v>1.93</v>
      </c>
      <c r="M960" s="639">
        <f>VLOOKUP(H960,ORC.AUXILIAR!I:P,8,0)</f>
        <v>30.88</v>
      </c>
      <c r="N960" s="639">
        <f t="shared" si="87"/>
        <v>494.08</v>
      </c>
      <c r="O960" s="639">
        <f t="shared" si="88"/>
        <v>10258872608.374273</v>
      </c>
      <c r="P960" s="640">
        <f t="shared" si="89"/>
        <v>0.99999972597762532</v>
      </c>
    </row>
    <row r="961" spans="1:16">
      <c r="A961" s="627">
        <v>30.23</v>
      </c>
      <c r="B961" s="628">
        <v>1</v>
      </c>
      <c r="C961" s="629">
        <v>11714</v>
      </c>
      <c r="D961" s="628">
        <f>VLOOKUP(C961,ORC.AUXILIAR!I:J,2,0)</f>
        <v>0</v>
      </c>
      <c r="G961" s="636">
        <f t="shared" si="84"/>
        <v>0</v>
      </c>
      <c r="H961" s="636">
        <f t="shared" si="85"/>
        <v>11714</v>
      </c>
      <c r="I961" s="637" t="str">
        <f>VLOOKUP(H961,ORC.AUXILIAR!I:P,4,0)</f>
        <v>pç</v>
      </c>
      <c r="J961" s="636">
        <f>VLOOKUP(H961,ORC.AUXILIAR!I:P,5,0)</f>
        <v>1</v>
      </c>
      <c r="K961" s="638">
        <f t="shared" si="86"/>
        <v>1</v>
      </c>
      <c r="L961" s="639">
        <f>VLOOKUP(H961,ORC.AUXILIAR!I:P,7,0)</f>
        <v>30.23</v>
      </c>
      <c r="M961" s="639">
        <f>VLOOKUP(H961,ORC.AUXILIAR!I:P,8,0)</f>
        <v>30.23</v>
      </c>
      <c r="N961" s="639">
        <f t="shared" si="87"/>
        <v>30.23</v>
      </c>
      <c r="O961" s="639">
        <f t="shared" si="88"/>
        <v>10258872638.604273</v>
      </c>
      <c r="P961" s="640">
        <f t="shared" si="89"/>
        <v>0.99999972892434208</v>
      </c>
    </row>
    <row r="962" spans="1:16">
      <c r="A962" s="627">
        <v>29.25</v>
      </c>
      <c r="B962" s="628">
        <v>1</v>
      </c>
      <c r="C962" s="629" t="s">
        <v>14477</v>
      </c>
      <c r="D962" s="628">
        <f>VLOOKUP(C962,ORC.AUXILIAR!I:J,2,0)</f>
        <v>0</v>
      </c>
      <c r="G962" s="636">
        <f t="shared" si="84"/>
        <v>0</v>
      </c>
      <c r="H962" s="636" t="str">
        <f t="shared" si="85"/>
        <v>RE.VAL.13</v>
      </c>
      <c r="I962" s="637" t="str">
        <f>VLOOKUP(H962,ORC.AUXILIAR!I:P,4,0)</f>
        <v>un</v>
      </c>
      <c r="J962" s="636">
        <f>VLOOKUP(H962,ORC.AUXILIAR!I:P,5,0)</f>
        <v>1</v>
      </c>
      <c r="K962" s="638">
        <f t="shared" si="86"/>
        <v>1</v>
      </c>
      <c r="L962" s="639">
        <f>VLOOKUP(H962,ORC.AUXILIAR!I:P,7,0)</f>
        <v>29.25</v>
      </c>
      <c r="M962" s="639">
        <f>VLOOKUP(H962,ORC.AUXILIAR!I:P,8,0)</f>
        <v>29.25</v>
      </c>
      <c r="N962" s="639">
        <f t="shared" si="87"/>
        <v>29.25</v>
      </c>
      <c r="O962" s="639">
        <f t="shared" si="88"/>
        <v>10258872667.854273</v>
      </c>
      <c r="P962" s="640">
        <f t="shared" si="89"/>
        <v>0.99999973177553181</v>
      </c>
    </row>
    <row r="963" spans="1:16">
      <c r="A963" s="627">
        <v>28.9</v>
      </c>
      <c r="B963" s="628">
        <v>2</v>
      </c>
      <c r="C963" s="629" t="s">
        <v>13535</v>
      </c>
      <c r="D963" s="628">
        <f>VLOOKUP(C963,ORC.AUXILIAR!I:J,2,0)</f>
        <v>0</v>
      </c>
      <c r="G963" s="636">
        <f t="shared" si="84"/>
        <v>0</v>
      </c>
      <c r="H963" s="636" t="str">
        <f t="shared" si="85"/>
        <v>INST.CASA.CONTR.31</v>
      </c>
      <c r="I963" s="637" t="str">
        <f>VLOOKUP(H963,ORC.AUXILIAR!I:P,4,0)</f>
        <v>un</v>
      </c>
      <c r="J963" s="636">
        <f>VLOOKUP(H963,ORC.AUXILIAR!I:P,5,0)</f>
        <v>2</v>
      </c>
      <c r="K963" s="638">
        <f t="shared" si="86"/>
        <v>2</v>
      </c>
      <c r="L963" s="639">
        <f>VLOOKUP(H963,ORC.AUXILIAR!I:P,7,0)</f>
        <v>14.45</v>
      </c>
      <c r="M963" s="639">
        <f>VLOOKUP(H963,ORC.AUXILIAR!I:P,8,0)</f>
        <v>28.9</v>
      </c>
      <c r="N963" s="639">
        <f t="shared" si="87"/>
        <v>57.8</v>
      </c>
      <c r="O963" s="639">
        <f t="shared" si="88"/>
        <v>10258872725.654272</v>
      </c>
      <c r="P963" s="640">
        <f t="shared" si="89"/>
        <v>0.99999973740967751</v>
      </c>
    </row>
    <row r="964" spans="1:16">
      <c r="A964" s="627">
        <v>28.2</v>
      </c>
      <c r="B964" s="628">
        <v>4</v>
      </c>
      <c r="C964" s="629" t="s">
        <v>13652</v>
      </c>
      <c r="D964" s="628">
        <f>VLOOKUP(C964,ORC.AUXILIAR!I:J,2,0)</f>
        <v>0</v>
      </c>
      <c r="G964" s="636">
        <f t="shared" si="84"/>
        <v>0</v>
      </c>
      <c r="H964" s="636" t="str">
        <f t="shared" si="85"/>
        <v>SUB.16</v>
      </c>
      <c r="I964" s="637" t="str">
        <f>VLOOKUP(H964,ORC.AUXILIAR!I:P,4,0)</f>
        <v>m</v>
      </c>
      <c r="J964" s="636">
        <f>VLOOKUP(H964,ORC.AUXILIAR!I:P,5,0)</f>
        <v>4</v>
      </c>
      <c r="K964" s="638">
        <f t="shared" si="86"/>
        <v>4</v>
      </c>
      <c r="L964" s="639">
        <f>VLOOKUP(H964,ORC.AUXILIAR!I:P,7,0)</f>
        <v>7.05</v>
      </c>
      <c r="M964" s="639">
        <f>VLOOKUP(H964,ORC.AUXILIAR!I:P,8,0)</f>
        <v>28.2</v>
      </c>
      <c r="N964" s="639">
        <f t="shared" si="87"/>
        <v>112.8</v>
      </c>
      <c r="O964" s="639">
        <f t="shared" si="88"/>
        <v>10258872838.454271</v>
      </c>
      <c r="P964" s="640">
        <f t="shared" si="89"/>
        <v>0.99999974840503469</v>
      </c>
    </row>
    <row r="965" spans="1:16">
      <c r="A965" s="627">
        <v>28.03</v>
      </c>
      <c r="B965" s="628">
        <v>1</v>
      </c>
      <c r="C965" s="629">
        <v>89351</v>
      </c>
      <c r="D965" s="628">
        <f>VLOOKUP(C965,ORC.AUXILIAR!I:J,2,0)</f>
        <v>0</v>
      </c>
      <c r="G965" s="636">
        <f t="shared" si="84"/>
        <v>0</v>
      </c>
      <c r="H965" s="636">
        <f t="shared" si="85"/>
        <v>89351</v>
      </c>
      <c r="I965" s="637" t="str">
        <f>VLOOKUP(H965,ORC.AUXILIAR!I:P,4,0)</f>
        <v>pç</v>
      </c>
      <c r="J965" s="636">
        <f>VLOOKUP(H965,ORC.AUXILIAR!I:P,5,0)</f>
        <v>1</v>
      </c>
      <c r="K965" s="638">
        <f t="shared" si="86"/>
        <v>1</v>
      </c>
      <c r="L965" s="639">
        <f>VLOOKUP(H965,ORC.AUXILIAR!I:P,7,0)</f>
        <v>28.03</v>
      </c>
      <c r="M965" s="639">
        <f>VLOOKUP(H965,ORC.AUXILIAR!I:P,8,0)</f>
        <v>28.03</v>
      </c>
      <c r="N965" s="639">
        <f t="shared" si="87"/>
        <v>28.03</v>
      </c>
      <c r="O965" s="639">
        <f t="shared" si="88"/>
        <v>10258872866.484272</v>
      </c>
      <c r="P965" s="640">
        <f t="shared" si="89"/>
        <v>0.99999975113730299</v>
      </c>
    </row>
    <row r="966" spans="1:16">
      <c r="A966" s="627">
        <v>26.96</v>
      </c>
      <c r="B966" s="628">
        <v>1</v>
      </c>
      <c r="C966" s="629" t="s">
        <v>13831</v>
      </c>
      <c r="D966" s="628">
        <f>VLOOKUP(C966,ORC.AUXILIAR!I:J,2,0)</f>
        <v>0</v>
      </c>
      <c r="G966" s="636">
        <f t="shared" ref="G966:G1024" si="90">D966</f>
        <v>0</v>
      </c>
      <c r="H966" s="636" t="str">
        <f t="shared" ref="H966:H1024" si="91">C966</f>
        <v>INST.HIPOCL.08</v>
      </c>
      <c r="I966" s="637" t="str">
        <f>VLOOKUP(H966,ORC.AUXILIAR!I:P,4,0)</f>
        <v>un</v>
      </c>
      <c r="J966" s="636">
        <f>VLOOKUP(H966,ORC.AUXILIAR!I:P,5,0)</f>
        <v>1</v>
      </c>
      <c r="K966" s="638">
        <f t="shared" ref="K966:K1024" si="92">B966</f>
        <v>1</v>
      </c>
      <c r="L966" s="639">
        <f>VLOOKUP(H966,ORC.AUXILIAR!I:P,7,0)</f>
        <v>26.96</v>
      </c>
      <c r="M966" s="639">
        <f>VLOOKUP(H966,ORC.AUXILIAR!I:P,8,0)</f>
        <v>26.96</v>
      </c>
      <c r="N966" s="639">
        <f t="shared" ref="N966:N1023" si="93">K966*M966</f>
        <v>26.96</v>
      </c>
      <c r="O966" s="639">
        <f t="shared" ref="O966:O1023" si="94">N966+O965</f>
        <v>10258872893.444271</v>
      </c>
      <c r="P966" s="640">
        <f t="shared" ref="P966:P1024" si="95">O966/N$4</f>
        <v>0.99999975376527128</v>
      </c>
    </row>
    <row r="967" spans="1:16">
      <c r="A967" s="627">
        <v>26.31</v>
      </c>
      <c r="B967" s="628">
        <v>3</v>
      </c>
      <c r="C967" s="629">
        <v>34653</v>
      </c>
      <c r="D967" s="628">
        <f>VLOOKUP(C967,ORC.AUXILIAR!I:J,2,0)</f>
        <v>0</v>
      </c>
      <c r="G967" s="636">
        <f t="shared" si="90"/>
        <v>0</v>
      </c>
      <c r="H967" s="636">
        <f t="shared" si="91"/>
        <v>34653</v>
      </c>
      <c r="I967" s="637" t="str">
        <f>VLOOKUP(H967,ORC.AUXILIAR!I:P,4,0)</f>
        <v>un</v>
      </c>
      <c r="J967" s="636">
        <f>VLOOKUP(H967,ORC.AUXILIAR!I:P,5,0)</f>
        <v>1</v>
      </c>
      <c r="K967" s="638">
        <f t="shared" si="92"/>
        <v>3</v>
      </c>
      <c r="L967" s="639">
        <f>VLOOKUP(H967,ORC.AUXILIAR!I:P,7,0)</f>
        <v>8.77</v>
      </c>
      <c r="M967" s="639">
        <f>VLOOKUP(H967,ORC.AUXILIAR!I:P,8,0)</f>
        <v>8.77</v>
      </c>
      <c r="N967" s="639">
        <f t="shared" si="93"/>
        <v>26.31</v>
      </c>
      <c r="O967" s="639">
        <f t="shared" si="94"/>
        <v>10258872919.754271</v>
      </c>
      <c r="P967" s="640">
        <f t="shared" si="95"/>
        <v>0.99999975632987981</v>
      </c>
    </row>
    <row r="968" spans="1:16">
      <c r="A968" s="627">
        <v>25.92</v>
      </c>
      <c r="B968" s="628">
        <v>3</v>
      </c>
      <c r="C968" s="629">
        <v>89731</v>
      </c>
      <c r="D968" s="628">
        <f>VLOOKUP(C968,ORC.AUXILIAR!I:J,2,0)</f>
        <v>0</v>
      </c>
      <c r="G968" s="636">
        <f t="shared" si="90"/>
        <v>0</v>
      </c>
      <c r="H968" s="636">
        <f t="shared" si="91"/>
        <v>89731</v>
      </c>
      <c r="I968" s="637" t="str">
        <f>VLOOKUP(H968,ORC.AUXILIAR!I:P,4,0)</f>
        <v>pç</v>
      </c>
      <c r="J968" s="636">
        <f>VLOOKUP(H968,ORC.AUXILIAR!I:P,5,0)</f>
        <v>2</v>
      </c>
      <c r="K968" s="638">
        <f t="shared" si="92"/>
        <v>3</v>
      </c>
      <c r="L968" s="639">
        <f>VLOOKUP(H968,ORC.AUXILIAR!I:P,7,0)</f>
        <v>8.64</v>
      </c>
      <c r="M968" s="639">
        <f>VLOOKUP(H968,ORC.AUXILIAR!I:P,8,0)</f>
        <v>17.28</v>
      </c>
      <c r="N968" s="639">
        <f t="shared" si="93"/>
        <v>51.84</v>
      </c>
      <c r="O968" s="639">
        <f t="shared" si="94"/>
        <v>10258872971.594271</v>
      </c>
      <c r="P968" s="640">
        <f t="shared" si="95"/>
        <v>0.99999976138306523</v>
      </c>
    </row>
    <row r="969" spans="1:16">
      <c r="A969" s="627">
        <v>25.92</v>
      </c>
      <c r="B969" s="628">
        <v>1</v>
      </c>
      <c r="C969" s="629">
        <v>91942</v>
      </c>
      <c r="D969" s="628">
        <f>VLOOKUP(C969,ORC.AUXILIAR!I:J,2,0)</f>
        <v>0</v>
      </c>
      <c r="G969" s="636">
        <f t="shared" si="90"/>
        <v>0</v>
      </c>
      <c r="H969" s="636">
        <f t="shared" si="91"/>
        <v>91942</v>
      </c>
      <c r="I969" s="637" t="str">
        <f>VLOOKUP(H969,ORC.AUXILIAR!I:P,4,0)</f>
        <v>um</v>
      </c>
      <c r="J969" s="636">
        <f>VLOOKUP(H969,ORC.AUXILIAR!I:P,5,0)</f>
        <v>1</v>
      </c>
      <c r="K969" s="638">
        <f t="shared" si="92"/>
        <v>1</v>
      </c>
      <c r="L969" s="639">
        <f>VLOOKUP(H969,ORC.AUXILIAR!I:P,7,0)</f>
        <v>25.92</v>
      </c>
      <c r="M969" s="639">
        <f>VLOOKUP(H969,ORC.AUXILIAR!I:P,8,0)</f>
        <v>25.92</v>
      </c>
      <c r="N969" s="639">
        <f t="shared" si="93"/>
        <v>25.92</v>
      </c>
      <c r="O969" s="639">
        <f t="shared" si="94"/>
        <v>10258872997.514271</v>
      </c>
      <c r="P969" s="640">
        <f t="shared" si="95"/>
        <v>0.99999976390965806</v>
      </c>
    </row>
    <row r="970" spans="1:16">
      <c r="A970" s="627">
        <v>25.54</v>
      </c>
      <c r="B970" s="628">
        <v>1</v>
      </c>
      <c r="C970" s="629">
        <v>9896</v>
      </c>
      <c r="D970" s="628">
        <f>VLOOKUP(C970,ORC.AUXILIAR!I:J,2,0)</f>
        <v>0</v>
      </c>
      <c r="G970" s="636">
        <f t="shared" si="90"/>
        <v>0</v>
      </c>
      <c r="H970" s="636">
        <f t="shared" si="91"/>
        <v>9896</v>
      </c>
      <c r="I970" s="637" t="str">
        <f>VLOOKUP(H970,ORC.AUXILIAR!I:P,4,0)</f>
        <v>pç</v>
      </c>
      <c r="J970" s="636">
        <f>VLOOKUP(H970,ORC.AUXILIAR!I:P,5,0)</f>
        <v>1</v>
      </c>
      <c r="K970" s="638">
        <f t="shared" si="92"/>
        <v>1</v>
      </c>
      <c r="L970" s="639">
        <f>VLOOKUP(H970,ORC.AUXILIAR!I:P,7,0)</f>
        <v>25.54</v>
      </c>
      <c r="M970" s="639">
        <f>VLOOKUP(H970,ORC.AUXILIAR!I:P,8,0)</f>
        <v>25.54</v>
      </c>
      <c r="N970" s="639">
        <f t="shared" si="93"/>
        <v>25.54</v>
      </c>
      <c r="O970" s="639">
        <f t="shared" si="94"/>
        <v>10258873023.054272</v>
      </c>
      <c r="P970" s="640">
        <f t="shared" si="95"/>
        <v>0.99999976639920973</v>
      </c>
    </row>
    <row r="971" spans="1:16">
      <c r="A971" s="627">
        <v>25.52</v>
      </c>
      <c r="B971" s="628">
        <v>4</v>
      </c>
      <c r="C971" s="629">
        <v>89724</v>
      </c>
      <c r="D971" s="628">
        <f>VLOOKUP(C971,ORC.AUXILIAR!I:J,2,0)</f>
        <v>0</v>
      </c>
      <c r="G971" s="636">
        <f t="shared" si="90"/>
        <v>0</v>
      </c>
      <c r="H971" s="636">
        <f t="shared" si="91"/>
        <v>89724</v>
      </c>
      <c r="I971" s="637" t="str">
        <f>VLOOKUP(H971,ORC.AUXILIAR!I:P,4,0)</f>
        <v>pç</v>
      </c>
      <c r="J971" s="636">
        <f>VLOOKUP(H971,ORC.AUXILIAR!I:P,5,0)</f>
        <v>1</v>
      </c>
      <c r="K971" s="638">
        <f t="shared" si="92"/>
        <v>4</v>
      </c>
      <c r="L971" s="639">
        <f>VLOOKUP(H971,ORC.AUXILIAR!I:P,7,0)</f>
        <v>6.38</v>
      </c>
      <c r="M971" s="639">
        <f>VLOOKUP(H971,ORC.AUXILIAR!I:P,8,0)</f>
        <v>6.38</v>
      </c>
      <c r="N971" s="639">
        <f t="shared" si="93"/>
        <v>25.52</v>
      </c>
      <c r="O971" s="639">
        <f t="shared" si="94"/>
        <v>10258873048.574272</v>
      </c>
      <c r="P971" s="640">
        <f t="shared" si="95"/>
        <v>0.99999976888681186</v>
      </c>
    </row>
    <row r="972" spans="1:16">
      <c r="A972" s="627">
        <v>25.08</v>
      </c>
      <c r="B972" s="628">
        <v>3</v>
      </c>
      <c r="C972" s="629" t="s">
        <v>13645</v>
      </c>
      <c r="D972" s="628">
        <f>VLOOKUP(C972,ORC.AUXILIAR!I:J,2,0)</f>
        <v>0</v>
      </c>
      <c r="G972" s="636">
        <f t="shared" si="90"/>
        <v>0</v>
      </c>
      <c r="H972" s="636" t="str">
        <f t="shared" si="91"/>
        <v>SUB.12</v>
      </c>
      <c r="I972" s="637" t="str">
        <f>VLOOKUP(H972,ORC.AUXILIAR!I:P,4,0)</f>
        <v>un</v>
      </c>
      <c r="J972" s="636">
        <f>VLOOKUP(H972,ORC.AUXILIAR!I:P,5,0)</f>
        <v>3</v>
      </c>
      <c r="K972" s="638">
        <f t="shared" si="92"/>
        <v>3</v>
      </c>
      <c r="L972" s="639">
        <f>VLOOKUP(H972,ORC.AUXILIAR!I:P,7,0)</f>
        <v>8.36</v>
      </c>
      <c r="M972" s="639">
        <f>VLOOKUP(H972,ORC.AUXILIAR!I:P,8,0)</f>
        <v>25.08</v>
      </c>
      <c r="N972" s="639">
        <f t="shared" si="93"/>
        <v>75.239999999999995</v>
      </c>
      <c r="O972" s="639">
        <f t="shared" si="94"/>
        <v>10258873123.814272</v>
      </c>
      <c r="P972" s="640">
        <f t="shared" si="95"/>
        <v>0.99999977622094904</v>
      </c>
    </row>
    <row r="973" spans="1:16">
      <c r="A973" s="627">
        <v>24.599999999999998</v>
      </c>
      <c r="B973" s="628">
        <v>3</v>
      </c>
      <c r="C973" s="629">
        <v>89709</v>
      </c>
      <c r="D973" s="628">
        <f>VLOOKUP(C973,ORC.AUXILIAR!I:J,2,0)</f>
        <v>0</v>
      </c>
      <c r="G973" s="636">
        <f t="shared" si="90"/>
        <v>0</v>
      </c>
      <c r="H973" s="636">
        <f t="shared" si="91"/>
        <v>89709</v>
      </c>
      <c r="I973" s="637" t="str">
        <f>VLOOKUP(H973,ORC.AUXILIAR!I:P,4,0)</f>
        <v>pç</v>
      </c>
      <c r="J973" s="636">
        <f>VLOOKUP(H973,ORC.AUXILIAR!I:P,5,0)</f>
        <v>3</v>
      </c>
      <c r="K973" s="638">
        <f t="shared" si="92"/>
        <v>3</v>
      </c>
      <c r="L973" s="639">
        <f>VLOOKUP(H973,ORC.AUXILIAR!I:P,7,0)</f>
        <v>8.1999999999999993</v>
      </c>
      <c r="M973" s="639">
        <f>VLOOKUP(H973,ORC.AUXILIAR!I:P,8,0)</f>
        <v>24.6</v>
      </c>
      <c r="N973" s="639">
        <f t="shared" si="93"/>
        <v>73.800000000000011</v>
      </c>
      <c r="O973" s="639">
        <f t="shared" si="94"/>
        <v>10258873197.614271</v>
      </c>
      <c r="P973" s="640">
        <f t="shared" si="95"/>
        <v>0.99999978341471996</v>
      </c>
    </row>
    <row r="974" spans="1:16">
      <c r="A974" s="627">
        <v>23.36</v>
      </c>
      <c r="B974" s="628">
        <v>2</v>
      </c>
      <c r="C974" s="629">
        <v>1831</v>
      </c>
      <c r="D974" s="628">
        <f>VLOOKUP(C974,ORC.AUXILIAR!I:J,2,0)</f>
        <v>0</v>
      </c>
      <c r="G974" s="636">
        <f t="shared" si="90"/>
        <v>0</v>
      </c>
      <c r="H974" s="636">
        <f t="shared" si="91"/>
        <v>1831</v>
      </c>
      <c r="I974" s="637" t="str">
        <f>VLOOKUP(H974,ORC.AUXILIAR!I:P,4,0)</f>
        <v>pç</v>
      </c>
      <c r="J974" s="636">
        <f>VLOOKUP(H974,ORC.AUXILIAR!I:P,5,0)</f>
        <v>2</v>
      </c>
      <c r="K974" s="638">
        <f t="shared" si="92"/>
        <v>2</v>
      </c>
      <c r="L974" s="639">
        <f>VLOOKUP(H974,ORC.AUXILIAR!I:P,7,0)</f>
        <v>11.68</v>
      </c>
      <c r="M974" s="639">
        <f>VLOOKUP(H974,ORC.AUXILIAR!I:P,8,0)</f>
        <v>23.36</v>
      </c>
      <c r="N974" s="639">
        <f t="shared" si="93"/>
        <v>46.72</v>
      </c>
      <c r="O974" s="639">
        <f t="shared" si="94"/>
        <v>10258873244.33427</v>
      </c>
      <c r="P974" s="640">
        <f t="shared" si="95"/>
        <v>0.99999978796882527</v>
      </c>
    </row>
    <row r="975" spans="1:16">
      <c r="A975" s="627">
        <v>23.3</v>
      </c>
      <c r="B975" s="628">
        <v>10</v>
      </c>
      <c r="C975" s="629">
        <v>12344</v>
      </c>
      <c r="D975" s="628">
        <f>VLOOKUP(C975,ORC.AUXILIAR!I:J,2,0)</f>
        <v>0</v>
      </c>
      <c r="G975" s="636">
        <f t="shared" si="90"/>
        <v>0</v>
      </c>
      <c r="H975" s="636">
        <f t="shared" si="91"/>
        <v>12344</v>
      </c>
      <c r="I975" s="637" t="str">
        <f>VLOOKUP(H975,ORC.AUXILIAR!I:P,4,0)</f>
        <v>Um</v>
      </c>
      <c r="J975" s="636">
        <f>VLOOKUP(H975,ORC.AUXILIAR!I:P,5,0)</f>
        <v>3</v>
      </c>
      <c r="K975" s="638">
        <f t="shared" si="92"/>
        <v>10</v>
      </c>
      <c r="L975" s="639">
        <f>VLOOKUP(H975,ORC.AUXILIAR!I:P,7,0)</f>
        <v>2.33</v>
      </c>
      <c r="M975" s="639">
        <f>VLOOKUP(H975,ORC.AUXILIAR!I:P,8,0)</f>
        <v>6.99</v>
      </c>
      <c r="N975" s="639">
        <f t="shared" si="93"/>
        <v>69.900000000000006</v>
      </c>
      <c r="O975" s="639">
        <f t="shared" si="94"/>
        <v>10258873314.23427</v>
      </c>
      <c r="P975" s="640">
        <f t="shared" si="95"/>
        <v>0.99999979478243761</v>
      </c>
    </row>
    <row r="976" spans="1:16">
      <c r="A976" s="627">
        <v>22.77</v>
      </c>
      <c r="B976" s="628">
        <v>9</v>
      </c>
      <c r="C976" s="629">
        <v>3496</v>
      </c>
      <c r="D976" s="628">
        <f>VLOOKUP(C976,ORC.AUXILIAR!I:J,2,0)</f>
        <v>0</v>
      </c>
      <c r="G976" s="636">
        <f t="shared" si="90"/>
        <v>0</v>
      </c>
      <c r="H976" s="636">
        <f t="shared" si="91"/>
        <v>3496</v>
      </c>
      <c r="I976" s="637" t="str">
        <f>VLOOKUP(H976,ORC.AUXILIAR!I:P,4,0)</f>
        <v>pç</v>
      </c>
      <c r="J976" s="636">
        <f>VLOOKUP(H976,ORC.AUXILIAR!I:P,5,0)</f>
        <v>9</v>
      </c>
      <c r="K976" s="638">
        <f t="shared" si="92"/>
        <v>9</v>
      </c>
      <c r="L976" s="639">
        <f>VLOOKUP(H976,ORC.AUXILIAR!I:P,7,0)</f>
        <v>2.5299999999999998</v>
      </c>
      <c r="M976" s="639">
        <f>VLOOKUP(H976,ORC.AUXILIAR!I:P,8,0)</f>
        <v>22.77</v>
      </c>
      <c r="N976" s="639">
        <f t="shared" si="93"/>
        <v>204.93</v>
      </c>
      <c r="O976" s="639">
        <f t="shared" si="94"/>
        <v>10258873519.16427</v>
      </c>
      <c r="P976" s="640">
        <f t="shared" si="95"/>
        <v>0.99999981475831135</v>
      </c>
    </row>
    <row r="977" spans="1:16">
      <c r="A977" s="627">
        <v>22.04</v>
      </c>
      <c r="B977" s="628">
        <v>2</v>
      </c>
      <c r="C977" s="629" t="s">
        <v>13169</v>
      </c>
      <c r="D977" s="628">
        <f>VLOOKUP(C977,ORC.AUXILIAR!I:J,2,0)</f>
        <v>0</v>
      </c>
      <c r="G977" s="636">
        <f t="shared" si="90"/>
        <v>0</v>
      </c>
      <c r="H977" s="636" t="str">
        <f t="shared" si="91"/>
        <v>TP.AÇO.12</v>
      </c>
      <c r="I977" s="637" t="str">
        <f>VLOOKUP(H977,ORC.AUXILIAR!I:P,4,0)</f>
        <v>pç</v>
      </c>
      <c r="J977" s="636">
        <f>VLOOKUP(H977,ORC.AUXILIAR!I:P,5,0)</f>
        <v>2</v>
      </c>
      <c r="K977" s="638">
        <f t="shared" si="92"/>
        <v>2</v>
      </c>
      <c r="L977" s="639">
        <f>VLOOKUP(H977,ORC.AUXILIAR!I:P,7,0)</f>
        <v>11.02</v>
      </c>
      <c r="M977" s="639">
        <f>VLOOKUP(H977,ORC.AUXILIAR!I:P,8,0)</f>
        <v>22.04</v>
      </c>
      <c r="N977" s="639">
        <f t="shared" si="93"/>
        <v>44.08</v>
      </c>
      <c r="O977" s="639">
        <f t="shared" si="94"/>
        <v>10258873563.24427</v>
      </c>
      <c r="P977" s="640">
        <f t="shared" si="95"/>
        <v>0.99999981905507862</v>
      </c>
    </row>
    <row r="978" spans="1:16">
      <c r="A978" s="627">
        <v>21.672000000000001</v>
      </c>
      <c r="B978" s="628">
        <v>1.72</v>
      </c>
      <c r="C978" s="629">
        <v>95305</v>
      </c>
      <c r="D978" s="628">
        <f>VLOOKUP(C978,ORC.AUXILIAR!I:J,2,0)</f>
        <v>0</v>
      </c>
      <c r="G978" s="636">
        <f t="shared" si="90"/>
        <v>0</v>
      </c>
      <c r="H978" s="636">
        <f t="shared" si="91"/>
        <v>95305</v>
      </c>
      <c r="I978" s="637" t="str">
        <f>VLOOKUP(H978,ORC.AUXILIAR!I:P,4,0)</f>
        <v>M2</v>
      </c>
      <c r="J978" s="636">
        <f>VLOOKUP(H978,ORC.AUXILIAR!I:P,5,0)</f>
        <v>1.72</v>
      </c>
      <c r="K978" s="638">
        <f t="shared" si="92"/>
        <v>1.72</v>
      </c>
      <c r="L978" s="639">
        <f>VLOOKUP(H978,ORC.AUXILIAR!I:P,7,0)</f>
        <v>12.6</v>
      </c>
      <c r="M978" s="639">
        <f>VLOOKUP(H978,ORC.AUXILIAR!I:P,8,0)</f>
        <v>21.67</v>
      </c>
      <c r="N978" s="639">
        <f t="shared" si="93"/>
        <v>37.272400000000005</v>
      </c>
      <c r="O978" s="639">
        <f t="shared" si="94"/>
        <v>10258873600.51667</v>
      </c>
      <c r="P978" s="640">
        <f t="shared" si="95"/>
        <v>0.99999982268826437</v>
      </c>
    </row>
    <row r="979" spans="1:16">
      <c r="A979" s="627">
        <v>21.32</v>
      </c>
      <c r="B979" s="628">
        <v>2</v>
      </c>
      <c r="C979" s="629" t="s">
        <v>13458</v>
      </c>
      <c r="D979" s="628">
        <f>VLOOKUP(C979,ORC.AUXILIAR!I:J,2,0)</f>
        <v>0</v>
      </c>
      <c r="G979" s="636">
        <f t="shared" si="90"/>
        <v>0</v>
      </c>
      <c r="H979" s="636" t="str">
        <f t="shared" si="91"/>
        <v>AT.35</v>
      </c>
      <c r="I979" s="637" t="str">
        <f>VLOOKUP(H979,ORC.AUXILIAR!I:P,4,0)</f>
        <v>um</v>
      </c>
      <c r="J979" s="636">
        <f>VLOOKUP(H979,ORC.AUXILIAR!I:P,5,0)</f>
        <v>2</v>
      </c>
      <c r="K979" s="638">
        <f t="shared" si="92"/>
        <v>2</v>
      </c>
      <c r="L979" s="639">
        <f>VLOOKUP(H979,ORC.AUXILIAR!I:P,7,0)</f>
        <v>10.66</v>
      </c>
      <c r="M979" s="639">
        <f>VLOOKUP(H979,ORC.AUXILIAR!I:P,8,0)</f>
        <v>21.32</v>
      </c>
      <c r="N979" s="639">
        <f t="shared" si="93"/>
        <v>42.64</v>
      </c>
      <c r="O979" s="639">
        <f t="shared" si="94"/>
        <v>10258873643.15667</v>
      </c>
      <c r="P979" s="640">
        <f t="shared" si="95"/>
        <v>0.99999982684466526</v>
      </c>
    </row>
    <row r="980" spans="1:16">
      <c r="A980" s="627">
        <v>21</v>
      </c>
      <c r="B980" s="628">
        <v>1</v>
      </c>
      <c r="C980" s="629">
        <v>1787</v>
      </c>
      <c r="D980" s="628">
        <f>VLOOKUP(C980,ORC.AUXILIAR!I:J,2,0)</f>
        <v>0</v>
      </c>
      <c r="G980" s="636">
        <f t="shared" si="90"/>
        <v>0</v>
      </c>
      <c r="H980" s="636">
        <f t="shared" si="91"/>
        <v>1787</v>
      </c>
      <c r="I980" s="637" t="str">
        <f>VLOOKUP(H980,ORC.AUXILIAR!I:P,4,0)</f>
        <v>un</v>
      </c>
      <c r="J980" s="636">
        <f>VLOOKUP(H980,ORC.AUXILIAR!I:P,5,0)</f>
        <v>1</v>
      </c>
      <c r="K980" s="638">
        <f t="shared" si="92"/>
        <v>1</v>
      </c>
      <c r="L980" s="639">
        <f>VLOOKUP(H980,ORC.AUXILIAR!I:P,7,0)</f>
        <v>21</v>
      </c>
      <c r="M980" s="639">
        <f>VLOOKUP(H980,ORC.AUXILIAR!I:P,8,0)</f>
        <v>21</v>
      </c>
      <c r="N980" s="639">
        <f t="shared" si="93"/>
        <v>21</v>
      </c>
      <c r="O980" s="639">
        <f t="shared" si="94"/>
        <v>10258873664.15667</v>
      </c>
      <c r="P980" s="640">
        <f t="shared" si="95"/>
        <v>0.99999982889167327</v>
      </c>
    </row>
    <row r="981" spans="1:16">
      <c r="A981" s="627">
        <v>20.76</v>
      </c>
      <c r="B981" s="628">
        <v>2</v>
      </c>
      <c r="C981" s="629" t="s">
        <v>13159</v>
      </c>
      <c r="D981" s="628">
        <f>VLOOKUP(C981,ORC.AUXILIAR!I:J,2,0)</f>
        <v>0</v>
      </c>
      <c r="G981" s="636">
        <f t="shared" si="90"/>
        <v>0</v>
      </c>
      <c r="H981" s="636" t="str">
        <f t="shared" si="91"/>
        <v>TP.AÇO.09</v>
      </c>
      <c r="I981" s="637" t="str">
        <f>VLOOKUP(H981,ORC.AUXILIAR!I:P,4,0)</f>
        <v>pç</v>
      </c>
      <c r="J981" s="636">
        <f>VLOOKUP(H981,ORC.AUXILIAR!I:P,5,0)</f>
        <v>2</v>
      </c>
      <c r="K981" s="638">
        <f t="shared" si="92"/>
        <v>2</v>
      </c>
      <c r="L981" s="639">
        <f>VLOOKUP(H981,ORC.AUXILIAR!I:P,7,0)</f>
        <v>10.38</v>
      </c>
      <c r="M981" s="639">
        <f>VLOOKUP(H981,ORC.AUXILIAR!I:P,8,0)</f>
        <v>20.76</v>
      </c>
      <c r="N981" s="639">
        <f t="shared" si="93"/>
        <v>41.52</v>
      </c>
      <c r="O981" s="639">
        <f t="shared" si="94"/>
        <v>10258873705.67667</v>
      </c>
      <c r="P981" s="640">
        <f t="shared" si="95"/>
        <v>0.99999983293890049</v>
      </c>
    </row>
    <row r="982" spans="1:16">
      <c r="A982" s="627">
        <v>20.53</v>
      </c>
      <c r="B982" s="628">
        <v>1</v>
      </c>
      <c r="C982" s="629" t="s">
        <v>13412</v>
      </c>
      <c r="D982" s="628">
        <f>VLOOKUP(C982,ORC.AUXILIAR!I:J,2,0)</f>
        <v>0</v>
      </c>
      <c r="G982" s="636">
        <f t="shared" si="90"/>
        <v>0</v>
      </c>
      <c r="H982" s="636" t="str">
        <f t="shared" si="91"/>
        <v>INS.ELET.39</v>
      </c>
      <c r="I982" s="637" t="str">
        <f>VLOOKUP(H982,ORC.AUXILIAR!I:P,4,0)</f>
        <v>un</v>
      </c>
      <c r="J982" s="636">
        <f>VLOOKUP(H982,ORC.AUXILIAR!I:P,5,0)</f>
        <v>1</v>
      </c>
      <c r="K982" s="638">
        <f t="shared" si="92"/>
        <v>1</v>
      </c>
      <c r="L982" s="639">
        <f>VLOOKUP(H982,ORC.AUXILIAR!I:P,7,0)</f>
        <v>20.53</v>
      </c>
      <c r="M982" s="639">
        <f>VLOOKUP(H982,ORC.AUXILIAR!I:P,8,0)</f>
        <v>20.53</v>
      </c>
      <c r="N982" s="639">
        <f t="shared" si="93"/>
        <v>20.53</v>
      </c>
      <c r="O982" s="639">
        <f t="shared" si="94"/>
        <v>10258873726.206671</v>
      </c>
      <c r="P982" s="640">
        <f t="shared" si="95"/>
        <v>0.99999983494009459</v>
      </c>
    </row>
    <row r="983" spans="1:16">
      <c r="A983" s="627">
        <v>19.829999999999998</v>
      </c>
      <c r="B983" s="628">
        <v>1</v>
      </c>
      <c r="C983" s="629">
        <v>93020</v>
      </c>
      <c r="D983" s="628">
        <f>VLOOKUP(C983,ORC.AUXILIAR!I:J,2,0)</f>
        <v>0</v>
      </c>
      <c r="G983" s="636">
        <f t="shared" si="90"/>
        <v>0</v>
      </c>
      <c r="H983" s="636">
        <f t="shared" si="91"/>
        <v>93020</v>
      </c>
      <c r="I983" s="637" t="str">
        <f>VLOOKUP(H983,ORC.AUXILIAR!I:P,4,0)</f>
        <v>un</v>
      </c>
      <c r="J983" s="636">
        <f>VLOOKUP(H983,ORC.AUXILIAR!I:P,5,0)</f>
        <v>1</v>
      </c>
      <c r="K983" s="638">
        <f t="shared" si="92"/>
        <v>1</v>
      </c>
      <c r="L983" s="639">
        <f>VLOOKUP(H983,ORC.AUXILIAR!I:P,7,0)</f>
        <v>19.829999999999998</v>
      </c>
      <c r="M983" s="639">
        <f>VLOOKUP(H983,ORC.AUXILIAR!I:P,8,0)</f>
        <v>19.829999999999998</v>
      </c>
      <c r="N983" s="639">
        <f t="shared" si="93"/>
        <v>19.829999999999998</v>
      </c>
      <c r="O983" s="639">
        <f t="shared" si="94"/>
        <v>10258873746.036671</v>
      </c>
      <c r="P983" s="640">
        <f t="shared" si="95"/>
        <v>0.99999983687305505</v>
      </c>
    </row>
    <row r="984" spans="1:16">
      <c r="A984" s="627">
        <v>19.72</v>
      </c>
      <c r="B984" s="628">
        <v>4</v>
      </c>
      <c r="C984" s="629">
        <v>14543</v>
      </c>
      <c r="D984" s="628">
        <f>VLOOKUP(C984,ORC.AUXILIAR!I:J,2,0)</f>
        <v>0</v>
      </c>
      <c r="G984" s="636">
        <f t="shared" si="90"/>
        <v>0</v>
      </c>
      <c r="H984" s="636">
        <f t="shared" si="91"/>
        <v>14543</v>
      </c>
      <c r="I984" s="637" t="str">
        <f>VLOOKUP(H984,ORC.AUXILIAR!I:P,4,0)</f>
        <v>un</v>
      </c>
      <c r="J984" s="636">
        <f>VLOOKUP(H984,ORC.AUXILIAR!I:P,5,0)</f>
        <v>2</v>
      </c>
      <c r="K984" s="638">
        <f t="shared" si="92"/>
        <v>4</v>
      </c>
      <c r="L984" s="639">
        <f>VLOOKUP(H984,ORC.AUXILIAR!I:P,7,0)</f>
        <v>4.93</v>
      </c>
      <c r="M984" s="639">
        <f>VLOOKUP(H984,ORC.AUXILIAR!I:P,8,0)</f>
        <v>9.86</v>
      </c>
      <c r="N984" s="639">
        <f t="shared" si="93"/>
        <v>39.44</v>
      </c>
      <c r="O984" s="639">
        <f t="shared" si="94"/>
        <v>10258873785.476671</v>
      </c>
      <c r="P984" s="640">
        <f t="shared" si="95"/>
        <v>0.99999984071753101</v>
      </c>
    </row>
    <row r="985" spans="1:16">
      <c r="A985" s="627">
        <v>19.559999999999999</v>
      </c>
      <c r="B985" s="628">
        <v>4</v>
      </c>
      <c r="C985" s="629" t="s">
        <v>12724</v>
      </c>
      <c r="D985" s="628">
        <f>VLOOKUP(C985,ORC.AUXILIAR!I:J,2,0)</f>
        <v>0</v>
      </c>
      <c r="G985" s="636">
        <f t="shared" si="90"/>
        <v>0</v>
      </c>
      <c r="H985" s="636" t="str">
        <f t="shared" si="91"/>
        <v>RE.AI.15</v>
      </c>
      <c r="I985" s="637" t="str">
        <f>VLOOKUP(H985,ORC.AUXILIAR!I:P,4,0)</f>
        <v>pç</v>
      </c>
      <c r="J985" s="636">
        <f>VLOOKUP(H985,ORC.AUXILIAR!I:P,5,0)</f>
        <v>4</v>
      </c>
      <c r="K985" s="638">
        <f t="shared" si="92"/>
        <v>4</v>
      </c>
      <c r="L985" s="639">
        <f>VLOOKUP(H985,ORC.AUXILIAR!I:P,7,0)</f>
        <v>4.8899999999999997</v>
      </c>
      <c r="M985" s="639">
        <f>VLOOKUP(H985,ORC.AUXILIAR!I:P,8,0)</f>
        <v>19.559999999999999</v>
      </c>
      <c r="N985" s="639">
        <f t="shared" si="93"/>
        <v>78.239999999999995</v>
      </c>
      <c r="O985" s="639">
        <f t="shared" si="94"/>
        <v>10258873863.716671</v>
      </c>
      <c r="P985" s="640">
        <f t="shared" si="95"/>
        <v>0.99999984834409794</v>
      </c>
    </row>
    <row r="986" spans="1:16">
      <c r="A986" s="627">
        <v>19.22</v>
      </c>
      <c r="B986" s="628">
        <v>1</v>
      </c>
      <c r="C986" s="629" t="s">
        <v>13173</v>
      </c>
      <c r="D986" s="628">
        <f>VLOOKUP(C986,ORC.AUXILIAR!I:J,2,0)</f>
        <v>0</v>
      </c>
      <c r="G986" s="636">
        <f t="shared" si="90"/>
        <v>0</v>
      </c>
      <c r="H986" s="636" t="str">
        <f t="shared" si="91"/>
        <v>TH.AÇO.01</v>
      </c>
      <c r="I986" s="637" t="str">
        <f>VLOOKUP(H986,ORC.AUXILIAR!I:P,4,0)</f>
        <v>pç</v>
      </c>
      <c r="J986" s="636">
        <f>VLOOKUP(H986,ORC.AUXILIAR!I:P,5,0)</f>
        <v>1</v>
      </c>
      <c r="K986" s="638">
        <f t="shared" si="92"/>
        <v>1</v>
      </c>
      <c r="L986" s="639">
        <f>VLOOKUP(H986,ORC.AUXILIAR!I:P,7,0)</f>
        <v>19.22</v>
      </c>
      <c r="M986" s="639">
        <f>VLOOKUP(H986,ORC.AUXILIAR!I:P,8,0)</f>
        <v>19.22</v>
      </c>
      <c r="N986" s="639">
        <f t="shared" si="93"/>
        <v>19.22</v>
      </c>
      <c r="O986" s="639">
        <f t="shared" si="94"/>
        <v>10258873882.93667</v>
      </c>
      <c r="P986" s="640">
        <f t="shared" si="95"/>
        <v>0.99999985021759752</v>
      </c>
    </row>
    <row r="987" spans="1:16">
      <c r="A987" s="627">
        <v>18.670000000000002</v>
      </c>
      <c r="B987" s="628">
        <v>1</v>
      </c>
      <c r="C987" s="629" t="s">
        <v>13355</v>
      </c>
      <c r="D987" s="628">
        <f>VLOOKUP(C987,ORC.AUXILIAR!I:J,2,0)</f>
        <v>0</v>
      </c>
      <c r="G987" s="636">
        <f t="shared" si="90"/>
        <v>0</v>
      </c>
      <c r="H987" s="636" t="str">
        <f t="shared" si="91"/>
        <v>CC.SIF.02</v>
      </c>
      <c r="I987" s="637" t="str">
        <f>VLOOKUP(H987,ORC.AUXILIAR!I:P,4,0)</f>
        <v>pç</v>
      </c>
      <c r="J987" s="636">
        <f>VLOOKUP(H987,ORC.AUXILIAR!I:P,5,0)</f>
        <v>1</v>
      </c>
      <c r="K987" s="638">
        <f t="shared" si="92"/>
        <v>1</v>
      </c>
      <c r="L987" s="639">
        <f>VLOOKUP(H987,ORC.AUXILIAR!I:P,7,0)</f>
        <v>18.670000000000002</v>
      </c>
      <c r="M987" s="639">
        <f>VLOOKUP(H987,ORC.AUXILIAR!I:P,8,0)</f>
        <v>18.670000000000002</v>
      </c>
      <c r="N987" s="639">
        <f t="shared" si="93"/>
        <v>18.670000000000002</v>
      </c>
      <c r="O987" s="639">
        <f t="shared" si="94"/>
        <v>10258873901.60667</v>
      </c>
      <c r="P987" s="640">
        <f t="shared" si="95"/>
        <v>0.9999998520374852</v>
      </c>
    </row>
    <row r="988" spans="1:16">
      <c r="A988" s="627">
        <v>17.805</v>
      </c>
      <c r="B988" s="628">
        <v>1.5</v>
      </c>
      <c r="C988" s="629">
        <v>9839</v>
      </c>
      <c r="D988" s="628">
        <f>VLOOKUP(C988,ORC.AUXILIAR!I:J,2,0)</f>
        <v>0</v>
      </c>
      <c r="G988" s="636">
        <f t="shared" si="90"/>
        <v>0</v>
      </c>
      <c r="H988" s="636">
        <f t="shared" si="91"/>
        <v>9839</v>
      </c>
      <c r="I988" s="637" t="str">
        <f>VLOOKUP(H988,ORC.AUXILIAR!I:P,4,0)</f>
        <v>m</v>
      </c>
      <c r="J988" s="636">
        <f>VLOOKUP(H988,ORC.AUXILIAR!I:P,5,0)</f>
        <v>1.5</v>
      </c>
      <c r="K988" s="638">
        <f t="shared" si="92"/>
        <v>1.5</v>
      </c>
      <c r="L988" s="639">
        <f>VLOOKUP(H988,ORC.AUXILIAR!I:P,7,0)</f>
        <v>11.87</v>
      </c>
      <c r="M988" s="639">
        <f>VLOOKUP(H988,ORC.AUXILIAR!I:P,8,0)</f>
        <v>17.809999999999999</v>
      </c>
      <c r="N988" s="639">
        <f t="shared" si="93"/>
        <v>26.714999999999996</v>
      </c>
      <c r="O988" s="639">
        <f t="shared" si="94"/>
        <v>10258873928.321671</v>
      </c>
      <c r="P988" s="640">
        <f t="shared" si="95"/>
        <v>0.99999985464157182</v>
      </c>
    </row>
    <row r="989" spans="1:16">
      <c r="A989" s="627">
        <v>17.36</v>
      </c>
      <c r="B989" s="628">
        <v>28</v>
      </c>
      <c r="C989" s="629">
        <v>379</v>
      </c>
      <c r="D989" s="628">
        <f>VLOOKUP(C989,ORC.AUXILIAR!I:J,2,0)</f>
        <v>0</v>
      </c>
      <c r="G989" s="636">
        <f t="shared" si="90"/>
        <v>0</v>
      </c>
      <c r="H989" s="636">
        <f t="shared" si="91"/>
        <v>379</v>
      </c>
      <c r="I989" s="637" t="str">
        <f>VLOOKUP(H989,ORC.AUXILIAR!I:P,4,0)</f>
        <v>un</v>
      </c>
      <c r="J989" s="636">
        <f>VLOOKUP(H989,ORC.AUXILIAR!I:P,5,0)</f>
        <v>28</v>
      </c>
      <c r="K989" s="638">
        <f t="shared" si="92"/>
        <v>28</v>
      </c>
      <c r="L989" s="639">
        <f>VLOOKUP(H989,ORC.AUXILIAR!I:P,7,0)</f>
        <v>0.62</v>
      </c>
      <c r="M989" s="639">
        <f>VLOOKUP(H989,ORC.AUXILIAR!I:P,8,0)</f>
        <v>17.36</v>
      </c>
      <c r="N989" s="639">
        <f t="shared" si="93"/>
        <v>486.08</v>
      </c>
      <c r="O989" s="639">
        <f t="shared" si="94"/>
        <v>10258874414.40167</v>
      </c>
      <c r="P989" s="640">
        <f t="shared" si="95"/>
        <v>0.9999999020229835</v>
      </c>
    </row>
    <row r="990" spans="1:16">
      <c r="A990" s="627">
        <v>17.079999999999998</v>
      </c>
      <c r="B990" s="628">
        <v>2</v>
      </c>
      <c r="C990" s="629">
        <v>89421</v>
      </c>
      <c r="D990" s="628">
        <f>VLOOKUP(C990,ORC.AUXILIAR!I:J,2,0)</f>
        <v>0</v>
      </c>
      <c r="G990" s="636">
        <f t="shared" si="90"/>
        <v>0</v>
      </c>
      <c r="H990" s="636">
        <f t="shared" si="91"/>
        <v>89421</v>
      </c>
      <c r="I990" s="637" t="str">
        <f>VLOOKUP(H990,ORC.AUXILIAR!I:P,4,0)</f>
        <v>un</v>
      </c>
      <c r="J990" s="636">
        <f>VLOOKUP(H990,ORC.AUXILIAR!I:P,5,0)</f>
        <v>2</v>
      </c>
      <c r="K990" s="638">
        <f t="shared" si="92"/>
        <v>2</v>
      </c>
      <c r="L990" s="639">
        <f>VLOOKUP(H990,ORC.AUXILIAR!I:P,7,0)</f>
        <v>8.5399999999999991</v>
      </c>
      <c r="M990" s="639">
        <f>VLOOKUP(H990,ORC.AUXILIAR!I:P,8,0)</f>
        <v>17.079999999999998</v>
      </c>
      <c r="N990" s="639">
        <f t="shared" si="93"/>
        <v>34.159999999999997</v>
      </c>
      <c r="O990" s="639">
        <f t="shared" si="94"/>
        <v>10258874448.56167</v>
      </c>
      <c r="P990" s="640">
        <f t="shared" si="95"/>
        <v>0.99999990535278316</v>
      </c>
    </row>
    <row r="991" spans="1:16">
      <c r="A991" s="627">
        <v>16.940000000000001</v>
      </c>
      <c r="B991" s="628">
        <v>2</v>
      </c>
      <c r="C991" s="629">
        <v>9899</v>
      </c>
      <c r="D991" s="628">
        <f>VLOOKUP(C991,ORC.AUXILIAR!I:J,2,0)</f>
        <v>0</v>
      </c>
      <c r="G991" s="636">
        <f t="shared" si="90"/>
        <v>0</v>
      </c>
      <c r="H991" s="636">
        <f t="shared" si="91"/>
        <v>9899</v>
      </c>
      <c r="I991" s="637" t="str">
        <f>VLOOKUP(H991,ORC.AUXILIAR!I:P,4,0)</f>
        <v>pç</v>
      </c>
      <c r="J991" s="636">
        <f>VLOOKUP(H991,ORC.AUXILIAR!I:P,5,0)</f>
        <v>2</v>
      </c>
      <c r="K991" s="638">
        <f t="shared" si="92"/>
        <v>2</v>
      </c>
      <c r="L991" s="639">
        <f>VLOOKUP(H991,ORC.AUXILIAR!I:P,7,0)</f>
        <v>8.4700000000000006</v>
      </c>
      <c r="M991" s="639">
        <f>VLOOKUP(H991,ORC.AUXILIAR!I:P,8,0)</f>
        <v>16.940000000000001</v>
      </c>
      <c r="N991" s="639">
        <f t="shared" si="93"/>
        <v>33.880000000000003</v>
      </c>
      <c r="O991" s="639">
        <f t="shared" si="94"/>
        <v>10258874482.441669</v>
      </c>
      <c r="P991" s="640">
        <f t="shared" si="95"/>
        <v>0.99999990865528932</v>
      </c>
    </row>
    <row r="992" spans="1:16">
      <c r="A992" s="627">
        <v>16.72</v>
      </c>
      <c r="B992" s="628">
        <v>2</v>
      </c>
      <c r="C992" s="629" t="s">
        <v>13643</v>
      </c>
      <c r="D992" s="628">
        <f>VLOOKUP(C992,ORC.AUXILIAR!I:J,2,0)</f>
        <v>0</v>
      </c>
      <c r="G992" s="636">
        <f t="shared" si="90"/>
        <v>0</v>
      </c>
      <c r="H992" s="636" t="str">
        <f t="shared" si="91"/>
        <v>SUB.11</v>
      </c>
      <c r="I992" s="637" t="str">
        <f>VLOOKUP(H992,ORC.AUXILIAR!I:P,4,0)</f>
        <v>m</v>
      </c>
      <c r="J992" s="636">
        <f>VLOOKUP(H992,ORC.AUXILIAR!I:P,5,0)</f>
        <v>2</v>
      </c>
      <c r="K992" s="638">
        <f t="shared" si="92"/>
        <v>2</v>
      </c>
      <c r="L992" s="639">
        <f>VLOOKUP(H992,ORC.AUXILIAR!I:P,7,0)</f>
        <v>8.36</v>
      </c>
      <c r="M992" s="639">
        <f>VLOOKUP(H992,ORC.AUXILIAR!I:P,8,0)</f>
        <v>16.72</v>
      </c>
      <c r="N992" s="639">
        <f t="shared" si="93"/>
        <v>33.44</v>
      </c>
      <c r="O992" s="639">
        <f t="shared" si="94"/>
        <v>10258874515.88167</v>
      </c>
      <c r="P992" s="640">
        <f t="shared" si="95"/>
        <v>0.99999991191490589</v>
      </c>
    </row>
    <row r="993" spans="1:16">
      <c r="A993" s="627">
        <v>16.560000000000002</v>
      </c>
      <c r="B993" s="628">
        <v>9</v>
      </c>
      <c r="C993" s="629" t="s">
        <v>12824</v>
      </c>
      <c r="D993" s="628">
        <f>VLOOKUP(C993,ORC.AUXILIAR!I:J,2,0)</f>
        <v>0</v>
      </c>
      <c r="G993" s="636">
        <f t="shared" si="90"/>
        <v>0</v>
      </c>
      <c r="H993" s="636" t="str">
        <f t="shared" si="91"/>
        <v>RE.AR.03</v>
      </c>
      <c r="I993" s="637" t="str">
        <f>VLOOKUP(H993,ORC.AUXILIAR!I:P,4,0)</f>
        <v>pç</v>
      </c>
      <c r="J993" s="636">
        <f>VLOOKUP(H993,ORC.AUXILIAR!I:P,5,0)</f>
        <v>9</v>
      </c>
      <c r="K993" s="638">
        <f t="shared" si="92"/>
        <v>9</v>
      </c>
      <c r="L993" s="639">
        <f>VLOOKUP(H993,ORC.AUXILIAR!I:P,7,0)</f>
        <v>1.84</v>
      </c>
      <c r="M993" s="639">
        <f>VLOOKUP(H993,ORC.AUXILIAR!I:P,8,0)</f>
        <v>16.559999999999999</v>
      </c>
      <c r="N993" s="639">
        <f t="shared" si="93"/>
        <v>149.04</v>
      </c>
      <c r="O993" s="639">
        <f t="shared" si="94"/>
        <v>10258874664.921671</v>
      </c>
      <c r="P993" s="640">
        <f t="shared" si="95"/>
        <v>0.9999999264428141</v>
      </c>
    </row>
    <row r="994" spans="1:16">
      <c r="A994" s="627">
        <v>15.84</v>
      </c>
      <c r="B994" s="628">
        <v>22</v>
      </c>
      <c r="C994" s="629">
        <v>392</v>
      </c>
      <c r="D994" s="628">
        <f>VLOOKUP(C994,ORC.AUXILIAR!I:J,2,0)</f>
        <v>0</v>
      </c>
      <c r="G994" s="636">
        <f t="shared" si="90"/>
        <v>0</v>
      </c>
      <c r="H994" s="636">
        <f t="shared" si="91"/>
        <v>392</v>
      </c>
      <c r="I994" s="637" t="str">
        <f>VLOOKUP(H994,ORC.AUXILIAR!I:P,4,0)</f>
        <v>pç</v>
      </c>
      <c r="J994" s="636">
        <f>VLOOKUP(H994,ORC.AUXILIAR!I:P,5,0)</f>
        <v>22</v>
      </c>
      <c r="K994" s="638">
        <f t="shared" si="92"/>
        <v>22</v>
      </c>
      <c r="L994" s="639">
        <f>VLOOKUP(H994,ORC.AUXILIAR!I:P,7,0)</f>
        <v>0.72</v>
      </c>
      <c r="M994" s="639">
        <f>VLOOKUP(H994,ORC.AUXILIAR!I:P,8,0)</f>
        <v>15.84</v>
      </c>
      <c r="N994" s="639">
        <f t="shared" si="93"/>
        <v>348.48</v>
      </c>
      <c r="O994" s="639">
        <f t="shared" si="94"/>
        <v>10258875013.40167</v>
      </c>
      <c r="P994" s="640">
        <f t="shared" si="95"/>
        <v>0.99999996041144956</v>
      </c>
    </row>
    <row r="995" spans="1:16">
      <c r="A995" s="627">
        <v>15.02</v>
      </c>
      <c r="B995" s="628">
        <v>2</v>
      </c>
      <c r="C995" s="629">
        <v>83468</v>
      </c>
      <c r="D995" s="628">
        <f>VLOOKUP(C995,ORC.AUXILIAR!I:J,2,0)</f>
        <v>0</v>
      </c>
      <c r="G995" s="636">
        <f t="shared" si="90"/>
        <v>0</v>
      </c>
      <c r="H995" s="636">
        <f t="shared" si="91"/>
        <v>83468</v>
      </c>
      <c r="I995" s="637" t="str">
        <f>VLOOKUP(H995,ORC.AUXILIAR!I:P,4,0)</f>
        <v>Un</v>
      </c>
      <c r="J995" s="636">
        <f>VLOOKUP(H995,ORC.AUXILIAR!I:P,5,0)</f>
        <v>2</v>
      </c>
      <c r="K995" s="638">
        <f t="shared" si="92"/>
        <v>2</v>
      </c>
      <c r="L995" s="639">
        <f>VLOOKUP(H995,ORC.AUXILIAR!I:P,7,0)</f>
        <v>7.51</v>
      </c>
      <c r="M995" s="639">
        <f>VLOOKUP(H995,ORC.AUXILIAR!I:P,8,0)</f>
        <v>15.02</v>
      </c>
      <c r="N995" s="639">
        <f t="shared" si="93"/>
        <v>30.04</v>
      </c>
      <c r="O995" s="639">
        <f t="shared" si="94"/>
        <v>10258875043.441671</v>
      </c>
      <c r="P995" s="640">
        <f t="shared" si="95"/>
        <v>0.99999996333964591</v>
      </c>
    </row>
    <row r="996" spans="1:16">
      <c r="A996" s="627">
        <v>14.79</v>
      </c>
      <c r="B996" s="628">
        <v>3</v>
      </c>
      <c r="C996" s="629">
        <v>89490</v>
      </c>
      <c r="D996" s="628">
        <f>VLOOKUP(C996,ORC.AUXILIAR!I:J,2,0)</f>
        <v>0</v>
      </c>
      <c r="G996" s="636">
        <f t="shared" si="90"/>
        <v>0</v>
      </c>
      <c r="H996" s="636">
        <f t="shared" si="91"/>
        <v>89490</v>
      </c>
      <c r="I996" s="637" t="str">
        <f>VLOOKUP(H996,ORC.AUXILIAR!I:P,4,0)</f>
        <v>pç</v>
      </c>
      <c r="J996" s="636">
        <f>VLOOKUP(H996,ORC.AUXILIAR!I:P,5,0)</f>
        <v>1</v>
      </c>
      <c r="K996" s="638">
        <f t="shared" si="92"/>
        <v>3</v>
      </c>
      <c r="L996" s="639">
        <f>VLOOKUP(H996,ORC.AUXILIAR!I:P,7,0)</f>
        <v>4.93</v>
      </c>
      <c r="M996" s="639">
        <f>VLOOKUP(H996,ORC.AUXILIAR!I:P,8,0)</f>
        <v>4.93</v>
      </c>
      <c r="N996" s="639">
        <f t="shared" si="93"/>
        <v>14.79</v>
      </c>
      <c r="O996" s="639">
        <f t="shared" si="94"/>
        <v>10258875058.231672</v>
      </c>
      <c r="P996" s="640">
        <f t="shared" si="95"/>
        <v>0.99999996478132447</v>
      </c>
    </row>
    <row r="997" spans="1:16">
      <c r="A997" s="627">
        <v>14.28</v>
      </c>
      <c r="B997" s="628">
        <v>4</v>
      </c>
      <c r="C997" s="629" t="s">
        <v>13335</v>
      </c>
      <c r="D997" s="628">
        <f>VLOOKUP(C997,ORC.AUXILIAR!I:J,2,0)</f>
        <v>0</v>
      </c>
      <c r="G997" s="636">
        <f t="shared" si="90"/>
        <v>0</v>
      </c>
      <c r="H997" s="636" t="str">
        <f t="shared" si="91"/>
        <v>TH.PAR.01</v>
      </c>
      <c r="I997" s="637" t="str">
        <f>VLOOKUP(H997,ORC.AUXILIAR!I:P,4,0)</f>
        <v>pç</v>
      </c>
      <c r="J997" s="636">
        <f>VLOOKUP(H997,ORC.AUXILIAR!I:P,5,0)</f>
        <v>4</v>
      </c>
      <c r="K997" s="638">
        <f t="shared" si="92"/>
        <v>4</v>
      </c>
      <c r="L997" s="639">
        <f>VLOOKUP(H997,ORC.AUXILIAR!I:P,7,0)</f>
        <v>3.57</v>
      </c>
      <c r="M997" s="639">
        <f>VLOOKUP(H997,ORC.AUXILIAR!I:P,8,0)</f>
        <v>14.28</v>
      </c>
      <c r="N997" s="639">
        <f t="shared" si="93"/>
        <v>57.12</v>
      </c>
      <c r="O997" s="639">
        <f t="shared" si="94"/>
        <v>10258875115.351673</v>
      </c>
      <c r="P997" s="640">
        <f t="shared" si="95"/>
        <v>0.99999997034918631</v>
      </c>
    </row>
    <row r="998" spans="1:16">
      <c r="A998" s="627">
        <v>14.28</v>
      </c>
      <c r="B998" s="628">
        <v>4</v>
      </c>
      <c r="C998" s="629" t="s">
        <v>13336</v>
      </c>
      <c r="D998" s="628">
        <f>VLOOKUP(C998,ORC.AUXILIAR!I:J,2,0)</f>
        <v>0</v>
      </c>
      <c r="G998" s="636">
        <f t="shared" si="90"/>
        <v>0</v>
      </c>
      <c r="H998" s="636" t="str">
        <f t="shared" si="91"/>
        <v>TH.PAR.02</v>
      </c>
      <c r="I998" s="637" t="str">
        <f>VLOOKUP(H998,ORC.AUXILIAR!I:P,4,0)</f>
        <v>pç</v>
      </c>
      <c r="J998" s="636">
        <f>VLOOKUP(H998,ORC.AUXILIAR!I:P,5,0)</f>
        <v>4</v>
      </c>
      <c r="K998" s="638">
        <f t="shared" si="92"/>
        <v>4</v>
      </c>
      <c r="L998" s="639">
        <f>VLOOKUP(H998,ORC.AUXILIAR!I:P,7,0)</f>
        <v>3.57</v>
      </c>
      <c r="M998" s="639">
        <f>VLOOKUP(H998,ORC.AUXILIAR!I:P,8,0)</f>
        <v>14.28</v>
      </c>
      <c r="N998" s="639">
        <f t="shared" si="93"/>
        <v>57.12</v>
      </c>
      <c r="O998" s="639">
        <f t="shared" si="94"/>
        <v>10258875172.471674</v>
      </c>
      <c r="P998" s="640">
        <f t="shared" si="95"/>
        <v>0.99999997591704815</v>
      </c>
    </row>
    <row r="999" spans="1:16">
      <c r="A999" s="627">
        <v>13.907999999999999</v>
      </c>
      <c r="B999" s="628">
        <v>0.6</v>
      </c>
      <c r="C999" s="629" t="s">
        <v>13618</v>
      </c>
      <c r="D999" s="628">
        <f>VLOOKUP(C999,ORC.AUXILIAR!I:J,2,0)</f>
        <v>0</v>
      </c>
      <c r="G999" s="636">
        <f t="shared" si="90"/>
        <v>0</v>
      </c>
      <c r="H999" s="636" t="str">
        <f t="shared" si="91"/>
        <v>QCM.BIOGAS.23</v>
      </c>
      <c r="I999" s="637" t="str">
        <f>VLOOKUP(H999,ORC.AUXILIAR!I:P,4,0)</f>
        <v>m</v>
      </c>
      <c r="J999" s="636">
        <f>VLOOKUP(H999,ORC.AUXILIAR!I:P,5,0)</f>
        <v>0.6</v>
      </c>
      <c r="K999" s="638">
        <f t="shared" si="92"/>
        <v>0.6</v>
      </c>
      <c r="L999" s="639">
        <f>VLOOKUP(H999,ORC.AUXILIAR!I:P,7,0)</f>
        <v>23.18</v>
      </c>
      <c r="M999" s="639">
        <f>VLOOKUP(H999,ORC.AUXILIAR!I:P,8,0)</f>
        <v>13.91</v>
      </c>
      <c r="N999" s="639">
        <f t="shared" si="93"/>
        <v>8.3460000000000001</v>
      </c>
      <c r="O999" s="639">
        <f t="shared" si="94"/>
        <v>10258875180.817675</v>
      </c>
      <c r="P999" s="640">
        <f t="shared" si="95"/>
        <v>0.9999999767305876</v>
      </c>
    </row>
    <row r="1000" spans="1:16">
      <c r="A1000" s="627">
        <v>13.907999999999999</v>
      </c>
      <c r="B1000" s="628">
        <v>0.6</v>
      </c>
      <c r="C1000" s="629" t="s">
        <v>13619</v>
      </c>
      <c r="D1000" s="628">
        <f>VLOOKUP(C1000,ORC.AUXILIAR!I:J,2,0)</f>
        <v>0</v>
      </c>
      <c r="G1000" s="636">
        <f t="shared" si="90"/>
        <v>0</v>
      </c>
      <c r="H1000" s="636" t="str">
        <f t="shared" si="91"/>
        <v>QCM.BIOGAS.24</v>
      </c>
      <c r="I1000" s="637" t="str">
        <f>VLOOKUP(H1000,ORC.AUXILIAR!I:P,4,0)</f>
        <v>m</v>
      </c>
      <c r="J1000" s="636">
        <f>VLOOKUP(H1000,ORC.AUXILIAR!I:P,5,0)</f>
        <v>0.6</v>
      </c>
      <c r="K1000" s="638">
        <f t="shared" si="92"/>
        <v>0.6</v>
      </c>
      <c r="L1000" s="639">
        <f>VLOOKUP(H1000,ORC.AUXILIAR!I:P,7,0)</f>
        <v>23.18</v>
      </c>
      <c r="M1000" s="639">
        <f>VLOOKUP(H1000,ORC.AUXILIAR!I:P,8,0)</f>
        <v>13.91</v>
      </c>
      <c r="N1000" s="639">
        <f t="shared" si="93"/>
        <v>8.3460000000000001</v>
      </c>
      <c r="O1000" s="639">
        <f t="shared" si="94"/>
        <v>10258875189.163675</v>
      </c>
      <c r="P1000" s="640">
        <f t="shared" si="95"/>
        <v>0.99999997754412717</v>
      </c>
    </row>
    <row r="1001" spans="1:16">
      <c r="A1001" s="627">
        <v>13.907999999999999</v>
      </c>
      <c r="B1001" s="628">
        <v>0.6</v>
      </c>
      <c r="C1001" s="629" t="s">
        <v>13581</v>
      </c>
      <c r="D1001" s="628">
        <f>VLOOKUP(C1001,ORC.AUXILIAR!I:J,2,0)</f>
        <v>0</v>
      </c>
      <c r="G1001" s="636">
        <f t="shared" si="90"/>
        <v>0</v>
      </c>
      <c r="H1001" s="636" t="str">
        <f t="shared" si="91"/>
        <v>QCM.HIP.25</v>
      </c>
      <c r="I1001" s="637" t="str">
        <f>VLOOKUP(H1001,ORC.AUXILIAR!I:P,4,0)</f>
        <v>m</v>
      </c>
      <c r="J1001" s="636">
        <f>VLOOKUP(H1001,ORC.AUXILIAR!I:P,5,0)</f>
        <v>0.6</v>
      </c>
      <c r="K1001" s="638">
        <f t="shared" si="92"/>
        <v>0.6</v>
      </c>
      <c r="L1001" s="639">
        <f>VLOOKUP(H1001,ORC.AUXILIAR!I:P,7,0)</f>
        <v>23.18</v>
      </c>
      <c r="M1001" s="639">
        <f>VLOOKUP(H1001,ORC.AUXILIAR!I:P,8,0)</f>
        <v>13.91</v>
      </c>
      <c r="N1001" s="639">
        <f t="shared" si="93"/>
        <v>8.3460000000000001</v>
      </c>
      <c r="O1001" s="639">
        <f t="shared" si="94"/>
        <v>10258875197.509676</v>
      </c>
      <c r="P1001" s="640">
        <f t="shared" si="95"/>
        <v>0.99999997835766674</v>
      </c>
    </row>
    <row r="1002" spans="1:16">
      <c r="A1002" s="627">
        <v>13.907999999999999</v>
      </c>
      <c r="B1002" s="628">
        <v>0.6</v>
      </c>
      <c r="C1002" s="629" t="s">
        <v>13583</v>
      </c>
      <c r="D1002" s="628">
        <f>VLOOKUP(C1002,ORC.AUXILIAR!I:J,2,0)</f>
        <v>0</v>
      </c>
      <c r="G1002" s="636">
        <f t="shared" si="90"/>
        <v>0</v>
      </c>
      <c r="H1002" s="636" t="str">
        <f t="shared" si="91"/>
        <v>QCM.HIP.26</v>
      </c>
      <c r="I1002" s="637" t="str">
        <f>VLOOKUP(H1002,ORC.AUXILIAR!I:P,4,0)</f>
        <v>m</v>
      </c>
      <c r="J1002" s="636">
        <f>VLOOKUP(H1002,ORC.AUXILIAR!I:P,5,0)</f>
        <v>0.6</v>
      </c>
      <c r="K1002" s="638">
        <f t="shared" si="92"/>
        <v>0.6</v>
      </c>
      <c r="L1002" s="639">
        <f>VLOOKUP(H1002,ORC.AUXILIAR!I:P,7,0)</f>
        <v>23.18</v>
      </c>
      <c r="M1002" s="639">
        <f>VLOOKUP(H1002,ORC.AUXILIAR!I:P,8,0)</f>
        <v>13.91</v>
      </c>
      <c r="N1002" s="639">
        <f t="shared" si="93"/>
        <v>8.3460000000000001</v>
      </c>
      <c r="O1002" s="639">
        <f t="shared" si="94"/>
        <v>10258875205.855677</v>
      </c>
      <c r="P1002" s="640">
        <f t="shared" si="95"/>
        <v>0.9999999791712062</v>
      </c>
    </row>
    <row r="1003" spans="1:16">
      <c r="A1003" s="627">
        <v>13.69</v>
      </c>
      <c r="B1003" s="628">
        <v>1</v>
      </c>
      <c r="C1003" s="629">
        <v>38075</v>
      </c>
      <c r="D1003" s="628">
        <f>VLOOKUP(C1003,ORC.AUXILIAR!I:J,2,0)</f>
        <v>0</v>
      </c>
      <c r="G1003" s="636">
        <f t="shared" si="90"/>
        <v>0</v>
      </c>
      <c r="H1003" s="636">
        <f t="shared" si="91"/>
        <v>38075</v>
      </c>
      <c r="I1003" s="637" t="str">
        <f>VLOOKUP(H1003,ORC.AUXILIAR!I:P,4,0)</f>
        <v>um</v>
      </c>
      <c r="J1003" s="636">
        <f>VLOOKUP(H1003,ORC.AUXILIAR!I:P,5,0)</f>
        <v>1</v>
      </c>
      <c r="K1003" s="638">
        <f t="shared" si="92"/>
        <v>1</v>
      </c>
      <c r="L1003" s="639">
        <f>VLOOKUP(H1003,ORC.AUXILIAR!I:P,7,0)</f>
        <v>13.69</v>
      </c>
      <c r="M1003" s="639">
        <f>VLOOKUP(H1003,ORC.AUXILIAR!I:P,8,0)</f>
        <v>13.69</v>
      </c>
      <c r="N1003" s="639">
        <f t="shared" si="93"/>
        <v>13.69</v>
      </c>
      <c r="O1003" s="639">
        <f t="shared" si="94"/>
        <v>10258875219.545677</v>
      </c>
      <c r="P1003" s="640">
        <f t="shared" si="95"/>
        <v>0.99999998050566052</v>
      </c>
    </row>
    <row r="1004" spans="1:16">
      <c r="A1004" s="627">
        <v>13.5</v>
      </c>
      <c r="B1004" s="628">
        <v>1</v>
      </c>
      <c r="C1004" s="629" t="s">
        <v>13750</v>
      </c>
      <c r="D1004" s="628">
        <f>VLOOKUP(C1004,ORC.AUXILIAR!I:J,2,0)</f>
        <v>0</v>
      </c>
      <c r="G1004" s="636">
        <f t="shared" si="90"/>
        <v>0</v>
      </c>
      <c r="H1004" s="636" t="str">
        <f t="shared" si="91"/>
        <v>QCM.EEE.41</v>
      </c>
      <c r="I1004" s="637" t="str">
        <f>VLOOKUP(H1004,ORC.AUXILIAR!I:P,4,0)</f>
        <v>Un</v>
      </c>
      <c r="J1004" s="636">
        <f>VLOOKUP(H1004,ORC.AUXILIAR!I:P,5,0)</f>
        <v>1</v>
      </c>
      <c r="K1004" s="638">
        <f t="shared" si="92"/>
        <v>1</v>
      </c>
      <c r="L1004" s="639">
        <f>VLOOKUP(H1004,ORC.AUXILIAR!I:P,7,0)</f>
        <v>13.5</v>
      </c>
      <c r="M1004" s="639">
        <f>VLOOKUP(H1004,ORC.AUXILIAR!I:P,8,0)</f>
        <v>13.5</v>
      </c>
      <c r="N1004" s="639">
        <f t="shared" si="93"/>
        <v>13.5</v>
      </c>
      <c r="O1004" s="639">
        <f t="shared" si="94"/>
        <v>10258875233.045677</v>
      </c>
      <c r="P1004" s="640">
        <f t="shared" si="95"/>
        <v>0.99999998182159422</v>
      </c>
    </row>
    <row r="1005" spans="1:16">
      <c r="A1005" s="627">
        <v>12.69</v>
      </c>
      <c r="B1005" s="628">
        <v>1</v>
      </c>
      <c r="C1005" s="629">
        <v>1795</v>
      </c>
      <c r="D1005" s="628">
        <f>VLOOKUP(C1005,ORC.AUXILIAR!I:J,2,0)</f>
        <v>0</v>
      </c>
      <c r="G1005" s="636">
        <f t="shared" si="90"/>
        <v>0</v>
      </c>
      <c r="H1005" s="636">
        <f t="shared" si="91"/>
        <v>1795</v>
      </c>
      <c r="I1005" s="637" t="str">
        <f>VLOOKUP(H1005,ORC.AUXILIAR!I:P,4,0)</f>
        <v>un</v>
      </c>
      <c r="J1005" s="636">
        <f>VLOOKUP(H1005,ORC.AUXILIAR!I:P,5,0)</f>
        <v>1</v>
      </c>
      <c r="K1005" s="638">
        <f t="shared" si="92"/>
        <v>1</v>
      </c>
      <c r="L1005" s="639">
        <f>VLOOKUP(H1005,ORC.AUXILIAR!I:P,7,0)</f>
        <v>12.69</v>
      </c>
      <c r="M1005" s="639">
        <f>VLOOKUP(H1005,ORC.AUXILIAR!I:P,8,0)</f>
        <v>12.69</v>
      </c>
      <c r="N1005" s="639">
        <f t="shared" si="93"/>
        <v>12.69</v>
      </c>
      <c r="O1005" s="639">
        <f t="shared" si="94"/>
        <v>10258875245.735678</v>
      </c>
      <c r="P1005" s="640">
        <f t="shared" si="95"/>
        <v>0.99999998305857196</v>
      </c>
    </row>
    <row r="1006" spans="1:16">
      <c r="A1006" s="627">
        <v>11.92</v>
      </c>
      <c r="B1006" s="628">
        <v>1</v>
      </c>
      <c r="C1006" s="629">
        <v>93656</v>
      </c>
      <c r="D1006" s="628">
        <f>VLOOKUP(C1006,ORC.AUXILIAR!I:J,2,0)</f>
        <v>0</v>
      </c>
      <c r="G1006" s="636">
        <f t="shared" si="90"/>
        <v>0</v>
      </c>
      <c r="H1006" s="636">
        <f t="shared" si="91"/>
        <v>93656</v>
      </c>
      <c r="I1006" s="637" t="str">
        <f>VLOOKUP(H1006,ORC.AUXILIAR!I:P,4,0)</f>
        <v>un</v>
      </c>
      <c r="J1006" s="636">
        <f>VLOOKUP(H1006,ORC.AUXILIAR!I:P,5,0)</f>
        <v>1</v>
      </c>
      <c r="K1006" s="638">
        <f t="shared" si="92"/>
        <v>1</v>
      </c>
      <c r="L1006" s="639">
        <f>VLOOKUP(H1006,ORC.AUXILIAR!I:P,7,0)</f>
        <v>11.92</v>
      </c>
      <c r="M1006" s="639">
        <f>VLOOKUP(H1006,ORC.AUXILIAR!I:P,8,0)</f>
        <v>11.92</v>
      </c>
      <c r="N1006" s="639">
        <f t="shared" si="93"/>
        <v>11.92</v>
      </c>
      <c r="O1006" s="639">
        <f t="shared" si="94"/>
        <v>10258875257.655678</v>
      </c>
      <c r="P1006" s="640">
        <f t="shared" si="95"/>
        <v>0.99999998422049274</v>
      </c>
    </row>
    <row r="1007" spans="1:16">
      <c r="A1007" s="627">
        <v>11.1</v>
      </c>
      <c r="B1007" s="628">
        <v>1</v>
      </c>
      <c r="C1007" s="629">
        <v>89381</v>
      </c>
      <c r="D1007" s="628">
        <f>VLOOKUP(C1007,ORC.AUXILIAR!I:J,2,0)</f>
        <v>0</v>
      </c>
      <c r="G1007" s="636">
        <f t="shared" si="90"/>
        <v>0</v>
      </c>
      <c r="H1007" s="636">
        <f t="shared" si="91"/>
        <v>89381</v>
      </c>
      <c r="I1007" s="637" t="str">
        <f>VLOOKUP(H1007,ORC.AUXILIAR!I:P,4,0)</f>
        <v>pç</v>
      </c>
      <c r="J1007" s="636">
        <f>VLOOKUP(H1007,ORC.AUXILIAR!I:P,5,0)</f>
        <v>1</v>
      </c>
      <c r="K1007" s="638">
        <f t="shared" si="92"/>
        <v>1</v>
      </c>
      <c r="L1007" s="639">
        <f>VLOOKUP(H1007,ORC.AUXILIAR!I:P,7,0)</f>
        <v>11.1</v>
      </c>
      <c r="M1007" s="639">
        <f>VLOOKUP(H1007,ORC.AUXILIAR!I:P,8,0)</f>
        <v>11.1</v>
      </c>
      <c r="N1007" s="639">
        <f t="shared" si="93"/>
        <v>11.1</v>
      </c>
      <c r="O1007" s="639">
        <f t="shared" si="94"/>
        <v>10258875268.755678</v>
      </c>
      <c r="P1007" s="640">
        <f t="shared" si="95"/>
        <v>0.99999998530248269</v>
      </c>
    </row>
    <row r="1008" spans="1:16">
      <c r="A1008" s="627">
        <v>10.199999999999999</v>
      </c>
      <c r="B1008" s="628">
        <v>2</v>
      </c>
      <c r="C1008" s="629">
        <v>39319</v>
      </c>
      <c r="D1008" s="628">
        <f>VLOOKUP(C1008,ORC.AUXILIAR!I:J,2,0)</f>
        <v>0</v>
      </c>
      <c r="G1008" s="636">
        <f t="shared" si="90"/>
        <v>0</v>
      </c>
      <c r="H1008" s="636">
        <f t="shared" si="91"/>
        <v>39319</v>
      </c>
      <c r="I1008" s="637" t="str">
        <f>VLOOKUP(H1008,ORC.AUXILIAR!I:P,4,0)</f>
        <v>pç</v>
      </c>
      <c r="J1008" s="636">
        <f>VLOOKUP(H1008,ORC.AUXILIAR!I:P,5,0)</f>
        <v>2</v>
      </c>
      <c r="K1008" s="638">
        <f t="shared" si="92"/>
        <v>2</v>
      </c>
      <c r="L1008" s="639">
        <f>VLOOKUP(H1008,ORC.AUXILIAR!I:P,7,0)</f>
        <v>5.0999999999999996</v>
      </c>
      <c r="M1008" s="639">
        <f>VLOOKUP(H1008,ORC.AUXILIAR!I:P,8,0)</f>
        <v>10.199999999999999</v>
      </c>
      <c r="N1008" s="639">
        <f t="shared" si="93"/>
        <v>20.399999999999999</v>
      </c>
      <c r="O1008" s="639">
        <f t="shared" si="94"/>
        <v>10258875289.155678</v>
      </c>
      <c r="P1008" s="640">
        <f t="shared" si="95"/>
        <v>0.9999999872910047</v>
      </c>
    </row>
    <row r="1009" spans="1:16">
      <c r="A1009" s="627">
        <v>9.6</v>
      </c>
      <c r="B1009" s="628">
        <v>1</v>
      </c>
      <c r="C1009" s="629">
        <v>5103</v>
      </c>
      <c r="D1009" s="628">
        <f>VLOOKUP(C1009,ORC.AUXILIAR!I:J,2,0)</f>
        <v>0</v>
      </c>
      <c r="G1009" s="636">
        <f t="shared" si="90"/>
        <v>0</v>
      </c>
      <c r="H1009" s="636">
        <f t="shared" si="91"/>
        <v>5103</v>
      </c>
      <c r="I1009" s="637" t="str">
        <f>VLOOKUP(H1009,ORC.AUXILIAR!I:P,4,0)</f>
        <v>pç</v>
      </c>
      <c r="J1009" s="636">
        <f>VLOOKUP(H1009,ORC.AUXILIAR!I:P,5,0)</f>
        <v>1</v>
      </c>
      <c r="K1009" s="638">
        <f t="shared" si="92"/>
        <v>1</v>
      </c>
      <c r="L1009" s="639">
        <f>VLOOKUP(H1009,ORC.AUXILIAR!I:P,7,0)</f>
        <v>9.6</v>
      </c>
      <c r="M1009" s="639">
        <f>VLOOKUP(H1009,ORC.AUXILIAR!I:P,8,0)</f>
        <v>9.6</v>
      </c>
      <c r="N1009" s="639">
        <f t="shared" si="93"/>
        <v>9.6</v>
      </c>
      <c r="O1009" s="639">
        <f t="shared" si="94"/>
        <v>10258875298.755678</v>
      </c>
      <c r="P1009" s="640">
        <f t="shared" si="95"/>
        <v>0.99999998822677982</v>
      </c>
    </row>
    <row r="1010" spans="1:16">
      <c r="A1010" s="627">
        <v>9.5399999999999991</v>
      </c>
      <c r="B1010" s="628">
        <v>2</v>
      </c>
      <c r="C1010" s="629" t="s">
        <v>13353</v>
      </c>
      <c r="D1010" s="628">
        <f>VLOOKUP(C1010,ORC.AUXILIAR!I:J,2,0)</f>
        <v>0</v>
      </c>
      <c r="G1010" s="636">
        <f t="shared" si="90"/>
        <v>0</v>
      </c>
      <c r="H1010" s="636" t="str">
        <f t="shared" si="91"/>
        <v>CC.SIF.01</v>
      </c>
      <c r="I1010" s="637" t="str">
        <f>VLOOKUP(H1010,ORC.AUXILIAR!I:P,4,0)</f>
        <v>pç</v>
      </c>
      <c r="J1010" s="636">
        <f>VLOOKUP(H1010,ORC.AUXILIAR!I:P,5,0)</f>
        <v>2</v>
      </c>
      <c r="K1010" s="638">
        <f t="shared" si="92"/>
        <v>2</v>
      </c>
      <c r="L1010" s="639">
        <f>VLOOKUP(H1010,ORC.AUXILIAR!I:P,7,0)</f>
        <v>4.7699999999999996</v>
      </c>
      <c r="M1010" s="639">
        <f>VLOOKUP(H1010,ORC.AUXILIAR!I:P,8,0)</f>
        <v>9.5399999999999991</v>
      </c>
      <c r="N1010" s="639">
        <f t="shared" si="93"/>
        <v>19.079999999999998</v>
      </c>
      <c r="O1010" s="639">
        <f t="shared" si="94"/>
        <v>10258875317.835678</v>
      </c>
      <c r="P1010" s="640">
        <f t="shared" si="95"/>
        <v>0.99999999008663287</v>
      </c>
    </row>
    <row r="1011" spans="1:16">
      <c r="A1011" s="627">
        <v>8.6999999999999993</v>
      </c>
      <c r="B1011" s="628">
        <v>1</v>
      </c>
      <c r="C1011" s="629">
        <v>3510</v>
      </c>
      <c r="D1011" s="628">
        <f>VLOOKUP(C1011,ORC.AUXILIAR!I:J,2,0)</f>
        <v>0</v>
      </c>
      <c r="G1011" s="636">
        <f t="shared" si="90"/>
        <v>0</v>
      </c>
      <c r="H1011" s="636">
        <f t="shared" si="91"/>
        <v>3510</v>
      </c>
      <c r="I1011" s="637" t="str">
        <f>VLOOKUP(H1011,ORC.AUXILIAR!I:P,4,0)</f>
        <v>pç</v>
      </c>
      <c r="J1011" s="636">
        <f>VLOOKUP(H1011,ORC.AUXILIAR!I:P,5,0)</f>
        <v>1</v>
      </c>
      <c r="K1011" s="638">
        <f t="shared" si="92"/>
        <v>1</v>
      </c>
      <c r="L1011" s="639">
        <f>VLOOKUP(H1011,ORC.AUXILIAR!I:P,7,0)</f>
        <v>8.6999999999999993</v>
      </c>
      <c r="M1011" s="639">
        <f>VLOOKUP(H1011,ORC.AUXILIAR!I:P,8,0)</f>
        <v>8.6999999999999993</v>
      </c>
      <c r="N1011" s="639">
        <f t="shared" si="93"/>
        <v>8.6999999999999993</v>
      </c>
      <c r="O1011" s="639">
        <f t="shared" si="94"/>
        <v>10258875326.535679</v>
      </c>
      <c r="P1011" s="640">
        <f t="shared" si="95"/>
        <v>0.99999999093467906</v>
      </c>
    </row>
    <row r="1012" spans="1:16">
      <c r="A1012" s="627">
        <v>7.03</v>
      </c>
      <c r="B1012" s="628">
        <v>1</v>
      </c>
      <c r="C1012" s="629" t="s">
        <v>13531</v>
      </c>
      <c r="D1012" s="628">
        <f>VLOOKUP(C1012,ORC.AUXILIAR!I:J,2,0)</f>
        <v>0</v>
      </c>
      <c r="G1012" s="636">
        <f t="shared" si="90"/>
        <v>0</v>
      </c>
      <c r="H1012" s="636" t="str">
        <f t="shared" si="91"/>
        <v>INST.CASA.CONTR.28</v>
      </c>
      <c r="I1012" s="637" t="str">
        <f>VLOOKUP(H1012,ORC.AUXILIAR!I:P,4,0)</f>
        <v>un</v>
      </c>
      <c r="J1012" s="636">
        <f>VLOOKUP(H1012,ORC.AUXILIAR!I:P,5,0)</f>
        <v>1</v>
      </c>
      <c r="K1012" s="638">
        <f t="shared" si="92"/>
        <v>1</v>
      </c>
      <c r="L1012" s="639">
        <f>VLOOKUP(H1012,ORC.AUXILIAR!I:P,7,0)</f>
        <v>7.03</v>
      </c>
      <c r="M1012" s="639">
        <f>VLOOKUP(H1012,ORC.AUXILIAR!I:P,8,0)</f>
        <v>7.03</v>
      </c>
      <c r="N1012" s="639">
        <f t="shared" si="93"/>
        <v>7.03</v>
      </c>
      <c r="O1012" s="639">
        <f t="shared" si="94"/>
        <v>10258875333.56568</v>
      </c>
      <c r="P1012" s="640">
        <f t="shared" si="95"/>
        <v>0.99999999161993947</v>
      </c>
    </row>
    <row r="1013" spans="1:16">
      <c r="A1013" s="627">
        <v>6.25</v>
      </c>
      <c r="B1013" s="628">
        <v>5</v>
      </c>
      <c r="C1013" s="629">
        <v>3500</v>
      </c>
      <c r="D1013" s="628">
        <f>VLOOKUP(C1013,ORC.AUXILIAR!I:J,2,0)</f>
        <v>0</v>
      </c>
      <c r="G1013" s="636">
        <f t="shared" si="90"/>
        <v>0</v>
      </c>
      <c r="H1013" s="636">
        <f t="shared" si="91"/>
        <v>3500</v>
      </c>
      <c r="I1013" s="637" t="str">
        <f>VLOOKUP(H1013,ORC.AUXILIAR!I:P,4,0)</f>
        <v>pç</v>
      </c>
      <c r="J1013" s="636">
        <f>VLOOKUP(H1013,ORC.AUXILIAR!I:P,5,0)</f>
        <v>1</v>
      </c>
      <c r="K1013" s="638">
        <f t="shared" si="92"/>
        <v>5</v>
      </c>
      <c r="L1013" s="639">
        <f>VLOOKUP(H1013,ORC.AUXILIAR!I:P,7,0)</f>
        <v>1.25</v>
      </c>
      <c r="M1013" s="639">
        <f>VLOOKUP(H1013,ORC.AUXILIAR!I:P,8,0)</f>
        <v>1.25</v>
      </c>
      <c r="N1013" s="639">
        <f t="shared" si="93"/>
        <v>6.25</v>
      </c>
      <c r="O1013" s="639">
        <f t="shared" si="94"/>
        <v>10258875339.81568</v>
      </c>
      <c r="P1013" s="640">
        <f t="shared" si="95"/>
        <v>0.99999999222916802</v>
      </c>
    </row>
    <row r="1014" spans="1:16">
      <c r="A1014" s="627">
        <v>6.08</v>
      </c>
      <c r="B1014" s="628">
        <v>8</v>
      </c>
      <c r="C1014" s="629">
        <v>39128</v>
      </c>
      <c r="D1014" s="628">
        <f>VLOOKUP(C1014,ORC.AUXILIAR!I:J,2,0)</f>
        <v>0</v>
      </c>
      <c r="G1014" s="636">
        <f t="shared" si="90"/>
        <v>0</v>
      </c>
      <c r="H1014" s="636">
        <f t="shared" si="91"/>
        <v>39128</v>
      </c>
      <c r="I1014" s="637" t="str">
        <f>VLOOKUP(H1014,ORC.AUXILIAR!I:P,4,0)</f>
        <v>pç</v>
      </c>
      <c r="J1014" s="636">
        <f>VLOOKUP(H1014,ORC.AUXILIAR!I:P,5,0)</f>
        <v>8</v>
      </c>
      <c r="K1014" s="638">
        <f t="shared" si="92"/>
        <v>8</v>
      </c>
      <c r="L1014" s="639">
        <f>VLOOKUP(H1014,ORC.AUXILIAR!I:P,7,0)</f>
        <v>0.76</v>
      </c>
      <c r="M1014" s="639">
        <f>VLOOKUP(H1014,ORC.AUXILIAR!I:P,8,0)</f>
        <v>6.08</v>
      </c>
      <c r="N1014" s="639">
        <f t="shared" si="93"/>
        <v>48.64</v>
      </c>
      <c r="O1014" s="639">
        <f t="shared" si="94"/>
        <v>10258875388.455679</v>
      </c>
      <c r="P1014" s="640">
        <f t="shared" si="95"/>
        <v>0.99999999697042841</v>
      </c>
    </row>
    <row r="1015" spans="1:16">
      <c r="A1015" s="627">
        <v>5.84</v>
      </c>
      <c r="B1015" s="628">
        <v>1</v>
      </c>
      <c r="C1015" s="629">
        <v>1194</v>
      </c>
      <c r="D1015" s="628">
        <f>VLOOKUP(C1015,ORC.AUXILIAR!I:J,2,0)</f>
        <v>0</v>
      </c>
      <c r="G1015" s="636">
        <f t="shared" si="90"/>
        <v>0</v>
      </c>
      <c r="H1015" s="636">
        <f t="shared" si="91"/>
        <v>1194</v>
      </c>
      <c r="I1015" s="637" t="str">
        <f>VLOOKUP(H1015,ORC.AUXILIAR!I:P,4,0)</f>
        <v>pç</v>
      </c>
      <c r="J1015" s="636">
        <f>VLOOKUP(H1015,ORC.AUXILIAR!I:P,5,0)</f>
        <v>1</v>
      </c>
      <c r="K1015" s="638">
        <f t="shared" si="92"/>
        <v>1</v>
      </c>
      <c r="L1015" s="639">
        <f>VLOOKUP(H1015,ORC.AUXILIAR!I:P,7,0)</f>
        <v>5.84</v>
      </c>
      <c r="M1015" s="639">
        <f>VLOOKUP(H1015,ORC.AUXILIAR!I:P,8,0)</f>
        <v>5.84</v>
      </c>
      <c r="N1015" s="639">
        <f t="shared" si="93"/>
        <v>5.84</v>
      </c>
      <c r="O1015" s="639">
        <f t="shared" si="94"/>
        <v>10258875394.295679</v>
      </c>
      <c r="P1015" s="640">
        <f t="shared" si="95"/>
        <v>0.9999999975396916</v>
      </c>
    </row>
    <row r="1016" spans="1:16">
      <c r="A1016" s="627">
        <v>5.39</v>
      </c>
      <c r="B1016" s="628">
        <v>1</v>
      </c>
      <c r="C1016" s="629">
        <v>20147</v>
      </c>
      <c r="D1016" s="628">
        <f>VLOOKUP(C1016,ORC.AUXILIAR!I:J,2,0)</f>
        <v>0</v>
      </c>
      <c r="G1016" s="636">
        <f t="shared" si="90"/>
        <v>0</v>
      </c>
      <c r="H1016" s="636">
        <f t="shared" si="91"/>
        <v>20147</v>
      </c>
      <c r="I1016" s="637" t="str">
        <f>VLOOKUP(H1016,ORC.AUXILIAR!I:P,4,0)</f>
        <v>pç</v>
      </c>
      <c r="J1016" s="636">
        <f>VLOOKUP(H1016,ORC.AUXILIAR!I:P,5,0)</f>
        <v>1</v>
      </c>
      <c r="K1016" s="638">
        <f t="shared" si="92"/>
        <v>1</v>
      </c>
      <c r="L1016" s="639">
        <f>VLOOKUP(H1016,ORC.AUXILIAR!I:P,7,0)</f>
        <v>5.39</v>
      </c>
      <c r="M1016" s="639">
        <f>VLOOKUP(H1016,ORC.AUXILIAR!I:P,8,0)</f>
        <v>5.39</v>
      </c>
      <c r="N1016" s="639">
        <f t="shared" si="93"/>
        <v>5.39</v>
      </c>
      <c r="O1016" s="639">
        <f t="shared" si="94"/>
        <v>10258875399.685678</v>
      </c>
      <c r="P1016" s="640">
        <f t="shared" si="95"/>
        <v>0.99999999806509021</v>
      </c>
    </row>
    <row r="1017" spans="1:16">
      <c r="A1017" s="627">
        <v>3.87</v>
      </c>
      <c r="B1017" s="628">
        <v>1</v>
      </c>
      <c r="C1017" s="629">
        <v>1163</v>
      </c>
      <c r="D1017" s="628">
        <f>VLOOKUP(C1017,ORC.AUXILIAR!I:J,2,0)</f>
        <v>0</v>
      </c>
      <c r="G1017" s="636">
        <f t="shared" si="90"/>
        <v>0</v>
      </c>
      <c r="H1017" s="636">
        <f t="shared" si="91"/>
        <v>1163</v>
      </c>
      <c r="I1017" s="637" t="str">
        <f>VLOOKUP(H1017,ORC.AUXILIAR!I:P,4,0)</f>
        <v>un</v>
      </c>
      <c r="J1017" s="636">
        <f>VLOOKUP(H1017,ORC.AUXILIAR!I:P,5,0)</f>
        <v>1</v>
      </c>
      <c r="K1017" s="638">
        <f t="shared" si="92"/>
        <v>1</v>
      </c>
      <c r="L1017" s="639">
        <f>VLOOKUP(H1017,ORC.AUXILIAR!I:P,7,0)</f>
        <v>3.87</v>
      </c>
      <c r="M1017" s="639">
        <f>VLOOKUP(H1017,ORC.AUXILIAR!I:P,8,0)</f>
        <v>3.87</v>
      </c>
      <c r="N1017" s="639">
        <f t="shared" si="93"/>
        <v>3.87</v>
      </c>
      <c r="O1017" s="639">
        <f t="shared" si="94"/>
        <v>10258875403.555679</v>
      </c>
      <c r="P1017" s="640">
        <f t="shared" si="95"/>
        <v>0.99999999844232468</v>
      </c>
    </row>
    <row r="1018" spans="1:16">
      <c r="A1018" s="627">
        <v>3.75</v>
      </c>
      <c r="B1018" s="628">
        <v>1</v>
      </c>
      <c r="C1018" s="629">
        <v>11927</v>
      </c>
      <c r="D1018" s="628">
        <f>VLOOKUP(C1018,ORC.AUXILIAR!I:J,2,0)</f>
        <v>0</v>
      </c>
      <c r="G1018" s="636">
        <f t="shared" si="90"/>
        <v>0</v>
      </c>
      <c r="H1018" s="636">
        <f t="shared" si="91"/>
        <v>11927</v>
      </c>
      <c r="I1018" s="637" t="str">
        <f>VLOOKUP(H1018,ORC.AUXILIAR!I:P,4,0)</f>
        <v>pç</v>
      </c>
      <c r="J1018" s="636">
        <f>VLOOKUP(H1018,ORC.AUXILIAR!I:P,5,0)</f>
        <v>1</v>
      </c>
      <c r="K1018" s="638">
        <f t="shared" si="92"/>
        <v>1</v>
      </c>
      <c r="L1018" s="639">
        <f>VLOOKUP(H1018,ORC.AUXILIAR!I:P,7,0)</f>
        <v>3.75</v>
      </c>
      <c r="M1018" s="639">
        <f>VLOOKUP(H1018,ORC.AUXILIAR!I:P,8,0)</f>
        <v>3.75</v>
      </c>
      <c r="N1018" s="639">
        <f t="shared" si="93"/>
        <v>3.75</v>
      </c>
      <c r="O1018" s="639">
        <f t="shared" si="94"/>
        <v>10258875407.305679</v>
      </c>
      <c r="P1018" s="640">
        <f t="shared" si="95"/>
        <v>0.99999999880786172</v>
      </c>
    </row>
    <row r="1019" spans="1:16">
      <c r="A1019" s="627">
        <v>3.18</v>
      </c>
      <c r="B1019" s="628">
        <v>1</v>
      </c>
      <c r="C1019" s="629" t="s">
        <v>13533</v>
      </c>
      <c r="D1019" s="628">
        <f>VLOOKUP(C1019,ORC.AUXILIAR!I:J,2,0)</f>
        <v>0</v>
      </c>
      <c r="G1019" s="636">
        <f t="shared" si="90"/>
        <v>0</v>
      </c>
      <c r="H1019" s="636" t="str">
        <f t="shared" si="91"/>
        <v>INST.CASA.CONTR.29</v>
      </c>
      <c r="I1019" s="637" t="str">
        <f>VLOOKUP(H1019,ORC.AUXILIAR!I:P,4,0)</f>
        <v>un</v>
      </c>
      <c r="J1019" s="636">
        <f>VLOOKUP(H1019,ORC.AUXILIAR!I:P,5,0)</f>
        <v>1</v>
      </c>
      <c r="K1019" s="638">
        <f t="shared" si="92"/>
        <v>1</v>
      </c>
      <c r="L1019" s="639">
        <f>VLOOKUP(H1019,ORC.AUXILIAR!I:P,7,0)</f>
        <v>3.18</v>
      </c>
      <c r="M1019" s="639">
        <f>VLOOKUP(H1019,ORC.AUXILIAR!I:P,8,0)</f>
        <v>3.18</v>
      </c>
      <c r="N1019" s="639">
        <f t="shared" si="93"/>
        <v>3.18</v>
      </c>
      <c r="O1019" s="639">
        <f t="shared" si="94"/>
        <v>10258875410.48568</v>
      </c>
      <c r="P1019" s="640">
        <f t="shared" si="95"/>
        <v>0.99999999911783732</v>
      </c>
    </row>
    <row r="1020" spans="1:16">
      <c r="A1020" s="627">
        <v>2.81</v>
      </c>
      <c r="B1020" s="628">
        <v>1</v>
      </c>
      <c r="C1020" s="629">
        <v>3518</v>
      </c>
      <c r="D1020" s="628">
        <f>VLOOKUP(C1020,ORC.AUXILIAR!I:J,2,0)</f>
        <v>0</v>
      </c>
      <c r="G1020" s="636">
        <f t="shared" si="90"/>
        <v>0</v>
      </c>
      <c r="H1020" s="636">
        <f t="shared" si="91"/>
        <v>3518</v>
      </c>
      <c r="I1020" s="637" t="str">
        <f>VLOOKUP(H1020,ORC.AUXILIAR!I:P,4,0)</f>
        <v>pç</v>
      </c>
      <c r="J1020" s="636">
        <f>VLOOKUP(H1020,ORC.AUXILIAR!I:P,5,0)</f>
        <v>1</v>
      </c>
      <c r="K1020" s="638">
        <f t="shared" si="92"/>
        <v>1</v>
      </c>
      <c r="L1020" s="639">
        <f>VLOOKUP(H1020,ORC.AUXILIAR!I:P,7,0)</f>
        <v>2.81</v>
      </c>
      <c r="M1020" s="639">
        <f>VLOOKUP(H1020,ORC.AUXILIAR!I:P,8,0)</f>
        <v>2.81</v>
      </c>
      <c r="N1020" s="639">
        <f t="shared" si="93"/>
        <v>2.81</v>
      </c>
      <c r="O1020" s="639">
        <f t="shared" si="94"/>
        <v>10258875413.295679</v>
      </c>
      <c r="P1020" s="640">
        <f t="shared" si="95"/>
        <v>0.99999999939174644</v>
      </c>
    </row>
    <row r="1021" spans="1:16">
      <c r="A1021" s="627">
        <v>1.74</v>
      </c>
      <c r="B1021" s="628">
        <v>1</v>
      </c>
      <c r="C1021" s="629">
        <v>3543</v>
      </c>
      <c r="D1021" s="628">
        <f>VLOOKUP(C1021,ORC.AUXILIAR!I:J,2,0)</f>
        <v>0</v>
      </c>
      <c r="G1021" s="636">
        <f t="shared" si="90"/>
        <v>0</v>
      </c>
      <c r="H1021" s="636">
        <f t="shared" si="91"/>
        <v>3543</v>
      </c>
      <c r="I1021" s="637" t="str">
        <f>VLOOKUP(H1021,ORC.AUXILIAR!I:P,4,0)</f>
        <v>pç</v>
      </c>
      <c r="J1021" s="636">
        <f>VLOOKUP(H1021,ORC.AUXILIAR!I:P,5,0)</f>
        <v>1</v>
      </c>
      <c r="K1021" s="638">
        <f t="shared" si="92"/>
        <v>1</v>
      </c>
      <c r="L1021" s="639">
        <f>VLOOKUP(H1021,ORC.AUXILIAR!I:P,7,0)</f>
        <v>1.74</v>
      </c>
      <c r="M1021" s="639">
        <f>VLOOKUP(H1021,ORC.AUXILIAR!I:P,8,0)</f>
        <v>1.74</v>
      </c>
      <c r="N1021" s="639">
        <f t="shared" si="93"/>
        <v>1.74</v>
      </c>
      <c r="O1021" s="639">
        <f t="shared" si="94"/>
        <v>10258875415.035679</v>
      </c>
      <c r="P1021" s="640">
        <f t="shared" si="95"/>
        <v>0.99999999956135566</v>
      </c>
    </row>
    <row r="1022" spans="1:16">
      <c r="A1022" s="627">
        <v>1.63</v>
      </c>
      <c r="B1022" s="628">
        <v>1</v>
      </c>
      <c r="C1022" s="629" t="s">
        <v>13331</v>
      </c>
      <c r="D1022" s="628">
        <f>VLOOKUP(C1022,ORC.AUXILIAR!I:J,2,0)</f>
        <v>0</v>
      </c>
      <c r="G1022" s="636">
        <f t="shared" si="90"/>
        <v>0</v>
      </c>
      <c r="H1022" s="636" t="str">
        <f t="shared" si="91"/>
        <v>TH.AR.01</v>
      </c>
      <c r="I1022" s="637" t="str">
        <f>VLOOKUP(H1022,ORC.AUXILIAR!I:P,4,0)</f>
        <v>pç</v>
      </c>
      <c r="J1022" s="636">
        <f>VLOOKUP(H1022,ORC.AUXILIAR!I:P,5,0)</f>
        <v>1</v>
      </c>
      <c r="K1022" s="638">
        <f t="shared" si="92"/>
        <v>1</v>
      </c>
      <c r="L1022" s="639">
        <f>VLOOKUP(H1022,ORC.AUXILIAR!I:P,7,0)</f>
        <v>1.63</v>
      </c>
      <c r="M1022" s="639">
        <f>VLOOKUP(H1022,ORC.AUXILIAR!I:P,8,0)</f>
        <v>1.63</v>
      </c>
      <c r="N1022" s="639">
        <f t="shared" si="93"/>
        <v>1.63</v>
      </c>
      <c r="O1022" s="639">
        <f t="shared" si="94"/>
        <v>10258875416.665678</v>
      </c>
      <c r="P1022" s="640">
        <f t="shared" si="95"/>
        <v>0.99999999972024234</v>
      </c>
    </row>
    <row r="1023" spans="1:16">
      <c r="A1023" s="627">
        <v>1.63</v>
      </c>
      <c r="B1023" s="628">
        <v>1</v>
      </c>
      <c r="C1023" s="629" t="s">
        <v>13332</v>
      </c>
      <c r="D1023" s="628">
        <f>VLOOKUP(C1023,ORC.AUXILIAR!I:J,2,0)</f>
        <v>0</v>
      </c>
      <c r="G1023" s="636">
        <f t="shared" si="90"/>
        <v>0</v>
      </c>
      <c r="H1023" s="636" t="str">
        <f t="shared" si="91"/>
        <v>TH.AR.02</v>
      </c>
      <c r="I1023" s="637" t="str">
        <f>VLOOKUP(H1023,ORC.AUXILIAR!I:P,4,0)</f>
        <v>pç</v>
      </c>
      <c r="J1023" s="636">
        <f>VLOOKUP(H1023,ORC.AUXILIAR!I:P,5,0)</f>
        <v>1</v>
      </c>
      <c r="K1023" s="638">
        <f t="shared" si="92"/>
        <v>1</v>
      </c>
      <c r="L1023" s="639">
        <f>VLOOKUP(H1023,ORC.AUXILIAR!I:P,7,0)</f>
        <v>1.63</v>
      </c>
      <c r="M1023" s="639">
        <f>VLOOKUP(H1023,ORC.AUXILIAR!I:P,8,0)</f>
        <v>1.63</v>
      </c>
      <c r="N1023" s="639">
        <f t="shared" si="93"/>
        <v>1.63</v>
      </c>
      <c r="O1023" s="639">
        <f t="shared" si="94"/>
        <v>10258875418.295677</v>
      </c>
      <c r="P1023" s="640">
        <f t="shared" si="95"/>
        <v>0.99999999987912902</v>
      </c>
    </row>
    <row r="1024" spans="1:16">
      <c r="A1024" s="627">
        <v>1.18</v>
      </c>
      <c r="B1024" s="628">
        <v>1</v>
      </c>
      <c r="C1024" s="629">
        <v>7139</v>
      </c>
      <c r="D1024" s="628">
        <f>VLOOKUP(C1024,ORC.AUXILIAR!I:J,2,0)</f>
        <v>0</v>
      </c>
      <c r="F1024" s="641"/>
      <c r="G1024" s="642">
        <f t="shared" si="90"/>
        <v>0</v>
      </c>
      <c r="H1024" s="642">
        <f t="shared" si="91"/>
        <v>7139</v>
      </c>
      <c r="I1024" s="643" t="str">
        <f>VLOOKUP(H1024,ORC.AUXILIAR!I:P,4,0)</f>
        <v>pç</v>
      </c>
      <c r="J1024" s="642">
        <f>VLOOKUP(H1024,ORC.AUXILIAR!I:P,5,0)</f>
        <v>1</v>
      </c>
      <c r="K1024" s="644">
        <f t="shared" si="92"/>
        <v>1</v>
      </c>
      <c r="L1024" s="645">
        <f>VLOOKUP(H1024,ORC.AUXILIAR!I:P,7,0)</f>
        <v>1.18</v>
      </c>
      <c r="M1024" s="645">
        <f>VLOOKUP(H1024,ORC.AUXILIAR!I:P,8,0)</f>
        <v>1.18</v>
      </c>
      <c r="N1024" s="645">
        <f>K1024*M1024+0.06</f>
        <v>1.24</v>
      </c>
      <c r="O1024" s="645">
        <f>N1024+O1023</f>
        <v>10258875419.535677</v>
      </c>
      <c r="P1024" s="646">
        <f t="shared" si="95"/>
        <v>1</v>
      </c>
    </row>
  </sheetData>
  <mergeCells count="11">
    <mergeCell ref="G1:P1"/>
    <mergeCell ref="P2:P3"/>
    <mergeCell ref="G2:G3"/>
    <mergeCell ref="H2:H3"/>
    <mergeCell ref="I2:I3"/>
    <mergeCell ref="J2:J3"/>
    <mergeCell ref="K2:K3"/>
    <mergeCell ref="L2:L3"/>
    <mergeCell ref="M2:M3"/>
    <mergeCell ref="N2:N3"/>
    <mergeCell ref="O2:O3"/>
  </mergeCells>
  <pageMargins left="0.51181102362204722" right="0.51181102362204722" top="0.78740157480314965" bottom="0.78740157480314965" header="0.31496062992125984" footer="0.31496062992125984"/>
  <pageSetup paperSize="9" scale="42"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403"/>
  <sheetViews>
    <sheetView topLeftCell="A1460" zoomScale="70" zoomScaleNormal="70" workbookViewId="0">
      <selection activeCell="K1493" sqref="K1493"/>
    </sheetView>
  </sheetViews>
  <sheetFormatPr defaultRowHeight="15"/>
  <cols>
    <col min="10" max="10" width="9.140625" style="25"/>
    <col min="13" max="13" width="14.85546875" bestFit="1" customWidth="1"/>
    <col min="16" max="16" width="16.140625" customWidth="1"/>
    <col min="20" max="20" width="14.85546875" style="25" bestFit="1" customWidth="1"/>
  </cols>
  <sheetData>
    <row r="1" spans="1:18">
      <c r="H1" t="s">
        <v>1276</v>
      </c>
    </row>
    <row r="5" spans="1:18">
      <c r="L5" t="s">
        <v>74</v>
      </c>
      <c r="O5" t="s">
        <v>12673</v>
      </c>
    </row>
    <row r="6" spans="1:18">
      <c r="H6" t="s">
        <v>0</v>
      </c>
      <c r="I6" t="s">
        <v>14560</v>
      </c>
      <c r="L6" t="s">
        <v>75</v>
      </c>
      <c r="O6">
        <v>0.22189999999999999</v>
      </c>
    </row>
    <row r="7" spans="1:18">
      <c r="H7" t="s">
        <v>2</v>
      </c>
      <c r="I7" t="s">
        <v>13879</v>
      </c>
      <c r="L7" t="s">
        <v>76</v>
      </c>
      <c r="O7">
        <v>0.1249</v>
      </c>
    </row>
    <row r="8" spans="1:18">
      <c r="H8" t="s">
        <v>11707</v>
      </c>
      <c r="I8" t="s">
        <v>14268</v>
      </c>
      <c r="L8" t="s">
        <v>77</v>
      </c>
      <c r="O8" t="s">
        <v>20911</v>
      </c>
    </row>
    <row r="10" spans="1:18">
      <c r="H10" t="s">
        <v>1277</v>
      </c>
      <c r="O10" t="s">
        <v>78</v>
      </c>
      <c r="P10">
        <v>17993477.469999988</v>
      </c>
      <c r="Q10">
        <v>22781623.079999946</v>
      </c>
      <c r="R10">
        <v>-4788145.6099999584</v>
      </c>
    </row>
    <row r="12" spans="1:18">
      <c r="H12" t="s">
        <v>11980</v>
      </c>
      <c r="I12" t="s">
        <v>11708</v>
      </c>
      <c r="O12" t="s">
        <v>78</v>
      </c>
      <c r="P12">
        <v>7687693.6099999985</v>
      </c>
    </row>
    <row r="13" spans="1:18">
      <c r="A13" t="s">
        <v>14038</v>
      </c>
      <c r="B13" t="s">
        <v>14039</v>
      </c>
    </row>
    <row r="14" spans="1:18">
      <c r="C14">
        <v>1</v>
      </c>
      <c r="D14">
        <v>0</v>
      </c>
      <c r="E14">
        <v>0</v>
      </c>
      <c r="F14" t="s">
        <v>11708</v>
      </c>
      <c r="H14" t="s">
        <v>20651</v>
      </c>
      <c r="I14" t="s">
        <v>11727</v>
      </c>
      <c r="O14" t="s">
        <v>11702</v>
      </c>
      <c r="P14">
        <v>700537.54999999993</v>
      </c>
    </row>
    <row r="15" spans="1:18">
      <c r="C15">
        <v>1</v>
      </c>
      <c r="D15">
        <v>0</v>
      </c>
      <c r="E15">
        <v>0</v>
      </c>
      <c r="F15" t="s">
        <v>11708</v>
      </c>
    </row>
    <row r="16" spans="1:18">
      <c r="A16">
        <v>1</v>
      </c>
      <c r="C16">
        <v>1</v>
      </c>
      <c r="D16">
        <v>1</v>
      </c>
      <c r="E16">
        <v>0</v>
      </c>
      <c r="F16" t="s">
        <v>11708</v>
      </c>
      <c r="H16" t="s">
        <v>14543</v>
      </c>
      <c r="I16" t="s">
        <v>14040</v>
      </c>
      <c r="O16" t="s">
        <v>11702</v>
      </c>
      <c r="P16">
        <v>700537.54999999993</v>
      </c>
    </row>
    <row r="17" spans="1:16">
      <c r="C17">
        <v>1</v>
      </c>
      <c r="D17">
        <v>1</v>
      </c>
      <c r="E17">
        <v>0</v>
      </c>
      <c r="F17" t="s">
        <v>11708</v>
      </c>
    </row>
    <row r="18" spans="1:16">
      <c r="B18">
        <v>1</v>
      </c>
      <c r="C18">
        <v>1</v>
      </c>
      <c r="D18">
        <v>1</v>
      </c>
      <c r="E18">
        <v>1</v>
      </c>
      <c r="F18" t="s">
        <v>11708</v>
      </c>
      <c r="H18" t="s">
        <v>11703</v>
      </c>
      <c r="I18" t="s">
        <v>64</v>
      </c>
      <c r="J18" s="25" t="s">
        <v>20652</v>
      </c>
      <c r="K18" t="s">
        <v>11709</v>
      </c>
      <c r="L18" t="s">
        <v>25</v>
      </c>
      <c r="M18" t="s">
        <v>11704</v>
      </c>
      <c r="N18" t="s">
        <v>11705</v>
      </c>
      <c r="O18" t="s">
        <v>11706</v>
      </c>
      <c r="P18" t="s">
        <v>27</v>
      </c>
    </row>
    <row r="19" spans="1:16">
      <c r="C19">
        <v>1</v>
      </c>
      <c r="D19">
        <v>1</v>
      </c>
      <c r="E19">
        <v>1</v>
      </c>
      <c r="F19" t="s">
        <v>11708</v>
      </c>
    </row>
    <row r="20" spans="1:16">
      <c r="C20">
        <v>1</v>
      </c>
      <c r="D20">
        <v>1</v>
      </c>
      <c r="E20">
        <v>1</v>
      </c>
      <c r="F20" t="s">
        <v>11708</v>
      </c>
      <c r="H20" t="s">
        <v>13957</v>
      </c>
      <c r="I20" t="s">
        <v>14504</v>
      </c>
      <c r="K20" t="s">
        <v>11728</v>
      </c>
      <c r="L20" t="s">
        <v>11716</v>
      </c>
      <c r="M20">
        <v>1</v>
      </c>
      <c r="N20">
        <v>24681.72</v>
      </c>
      <c r="O20">
        <v>30158.59</v>
      </c>
      <c r="P20">
        <v>30158.59</v>
      </c>
    </row>
    <row r="21" spans="1:16">
      <c r="C21">
        <v>1</v>
      </c>
      <c r="D21">
        <v>1</v>
      </c>
      <c r="E21">
        <v>1</v>
      </c>
      <c r="F21" t="s">
        <v>11708</v>
      </c>
      <c r="H21" t="s">
        <v>13957</v>
      </c>
      <c r="I21" t="s">
        <v>14505</v>
      </c>
      <c r="K21" t="s">
        <v>11729</v>
      </c>
      <c r="L21" t="s">
        <v>11716</v>
      </c>
      <c r="M21">
        <v>1</v>
      </c>
      <c r="N21">
        <v>548636.52</v>
      </c>
      <c r="O21">
        <v>670378.96</v>
      </c>
      <c r="P21">
        <v>670378.96</v>
      </c>
    </row>
    <row r="22" spans="1:16">
      <c r="C22">
        <v>1</v>
      </c>
      <c r="D22">
        <v>1</v>
      </c>
      <c r="E22">
        <v>1</v>
      </c>
      <c r="F22" t="s">
        <v>11708</v>
      </c>
    </row>
    <row r="23" spans="1:16">
      <c r="C23">
        <v>1</v>
      </c>
      <c r="D23">
        <v>1</v>
      </c>
      <c r="E23">
        <v>1</v>
      </c>
      <c r="F23" t="s">
        <v>11708</v>
      </c>
      <c r="H23" t="s">
        <v>20653</v>
      </c>
      <c r="P23">
        <v>700537.54999999993</v>
      </c>
    </row>
    <row r="24" spans="1:16">
      <c r="C24">
        <v>1</v>
      </c>
      <c r="D24">
        <v>1</v>
      </c>
      <c r="E24">
        <v>1</v>
      </c>
      <c r="F24" t="s">
        <v>11708</v>
      </c>
    </row>
    <row r="25" spans="1:16">
      <c r="C25">
        <v>2</v>
      </c>
      <c r="D25">
        <v>0</v>
      </c>
      <c r="E25">
        <v>0</v>
      </c>
      <c r="F25" t="s">
        <v>11708</v>
      </c>
      <c r="H25">
        <v>2</v>
      </c>
      <c r="I25" t="s">
        <v>14626</v>
      </c>
      <c r="O25" t="s">
        <v>78</v>
      </c>
      <c r="P25">
        <v>290112.3</v>
      </c>
    </row>
    <row r="26" spans="1:16">
      <c r="C26">
        <v>2</v>
      </c>
      <c r="D26">
        <v>0</v>
      </c>
      <c r="E26">
        <v>0</v>
      </c>
      <c r="F26" t="s">
        <v>11708</v>
      </c>
    </row>
    <row r="27" spans="1:16">
      <c r="A27">
        <v>1</v>
      </c>
      <c r="C27">
        <v>2</v>
      </c>
      <c r="D27">
        <v>0</v>
      </c>
      <c r="E27">
        <v>0</v>
      </c>
      <c r="F27" t="s">
        <v>11708</v>
      </c>
      <c r="H27" t="s">
        <v>20912</v>
      </c>
      <c r="I27" t="s">
        <v>14627</v>
      </c>
      <c r="O27" t="s">
        <v>11702</v>
      </c>
      <c r="P27">
        <v>0</v>
      </c>
    </row>
    <row r="28" spans="1:16">
      <c r="C28">
        <v>2</v>
      </c>
      <c r="D28">
        <v>0</v>
      </c>
      <c r="E28">
        <v>0</v>
      </c>
      <c r="F28" t="s">
        <v>11708</v>
      </c>
    </row>
    <row r="29" spans="1:16">
      <c r="B29">
        <v>1</v>
      </c>
      <c r="C29">
        <v>2</v>
      </c>
      <c r="D29">
        <v>0</v>
      </c>
      <c r="E29">
        <v>1</v>
      </c>
      <c r="F29" t="s">
        <v>11708</v>
      </c>
      <c r="H29" t="s">
        <v>11703</v>
      </c>
      <c r="I29" t="s">
        <v>64</v>
      </c>
      <c r="J29" s="25" t="s">
        <v>20913</v>
      </c>
      <c r="K29" t="s">
        <v>14041</v>
      </c>
      <c r="L29" t="s">
        <v>25</v>
      </c>
      <c r="M29" t="s">
        <v>11704</v>
      </c>
      <c r="N29" t="s">
        <v>11705</v>
      </c>
      <c r="O29" t="s">
        <v>11706</v>
      </c>
      <c r="P29" t="s">
        <v>27</v>
      </c>
    </row>
    <row r="30" spans="1:16">
      <c r="C30">
        <v>2</v>
      </c>
      <c r="D30">
        <v>0</v>
      </c>
      <c r="E30">
        <v>1</v>
      </c>
      <c r="F30" t="s">
        <v>11708</v>
      </c>
    </row>
    <row r="31" spans="1:16">
      <c r="C31">
        <v>2</v>
      </c>
      <c r="D31">
        <v>0</v>
      </c>
      <c r="E31">
        <v>1</v>
      </c>
      <c r="F31" t="s">
        <v>11708</v>
      </c>
      <c r="G31" t="s">
        <v>20242</v>
      </c>
      <c r="H31" t="s">
        <v>70</v>
      </c>
      <c r="I31">
        <v>73610</v>
      </c>
      <c r="K31" t="s">
        <v>1102</v>
      </c>
      <c r="L31" t="s">
        <v>71</v>
      </c>
      <c r="M31">
        <v>0</v>
      </c>
      <c r="N31">
        <v>0.97</v>
      </c>
      <c r="O31">
        <v>1.19</v>
      </c>
      <c r="P31">
        <v>0</v>
      </c>
    </row>
    <row r="32" spans="1:16">
      <c r="C32">
        <v>2</v>
      </c>
      <c r="D32">
        <v>0</v>
      </c>
      <c r="E32">
        <v>1</v>
      </c>
      <c r="F32" t="s">
        <v>11708</v>
      </c>
      <c r="G32" t="s">
        <v>20243</v>
      </c>
      <c r="H32" t="s">
        <v>1</v>
      </c>
      <c r="I32">
        <v>1512</v>
      </c>
      <c r="K32" t="s">
        <v>19813</v>
      </c>
      <c r="L32" t="s">
        <v>71</v>
      </c>
      <c r="M32">
        <v>0</v>
      </c>
      <c r="N32">
        <v>1.26</v>
      </c>
      <c r="O32">
        <v>1.54</v>
      </c>
      <c r="P32">
        <v>0</v>
      </c>
    </row>
    <row r="33" spans="2:16">
      <c r="C33">
        <v>2</v>
      </c>
      <c r="D33">
        <v>0</v>
      </c>
      <c r="E33">
        <v>1</v>
      </c>
      <c r="F33" t="s">
        <v>11708</v>
      </c>
    </row>
    <row r="34" spans="2:16">
      <c r="C34">
        <v>2</v>
      </c>
      <c r="D34">
        <v>0</v>
      </c>
      <c r="E34">
        <v>1</v>
      </c>
      <c r="F34" t="s">
        <v>11708</v>
      </c>
      <c r="H34" t="s">
        <v>20914</v>
      </c>
      <c r="P34">
        <v>0</v>
      </c>
    </row>
    <row r="35" spans="2:16">
      <c r="C35">
        <v>2</v>
      </c>
      <c r="D35">
        <v>0</v>
      </c>
      <c r="E35">
        <v>1</v>
      </c>
      <c r="F35" t="s">
        <v>11708</v>
      </c>
    </row>
    <row r="36" spans="2:16">
      <c r="B36">
        <v>1</v>
      </c>
      <c r="C36">
        <v>2</v>
      </c>
      <c r="D36">
        <v>0</v>
      </c>
      <c r="E36">
        <v>2</v>
      </c>
      <c r="F36" t="s">
        <v>11708</v>
      </c>
      <c r="H36" t="s">
        <v>11703</v>
      </c>
      <c r="I36" t="s">
        <v>64</v>
      </c>
      <c r="J36" s="25" t="s">
        <v>20915</v>
      </c>
      <c r="K36" t="s">
        <v>14042</v>
      </c>
      <c r="L36" t="s">
        <v>25</v>
      </c>
      <c r="M36" t="s">
        <v>11704</v>
      </c>
      <c r="N36" t="s">
        <v>11705</v>
      </c>
      <c r="O36" t="s">
        <v>11706</v>
      </c>
      <c r="P36" t="s">
        <v>27</v>
      </c>
    </row>
    <row r="37" spans="2:16">
      <c r="C37">
        <v>2</v>
      </c>
      <c r="D37">
        <v>0</v>
      </c>
      <c r="E37">
        <v>2</v>
      </c>
      <c r="F37" t="s">
        <v>11708</v>
      </c>
    </row>
    <row r="38" spans="2:16">
      <c r="C38">
        <v>2</v>
      </c>
      <c r="D38">
        <v>0</v>
      </c>
      <c r="E38">
        <v>2</v>
      </c>
      <c r="F38" t="s">
        <v>11708</v>
      </c>
      <c r="G38" t="s">
        <v>20244</v>
      </c>
      <c r="H38" t="s">
        <v>1</v>
      </c>
      <c r="I38">
        <v>98</v>
      </c>
      <c r="K38" t="s">
        <v>19814</v>
      </c>
      <c r="L38" t="s">
        <v>65</v>
      </c>
      <c r="M38">
        <v>0</v>
      </c>
      <c r="N38">
        <v>251.81</v>
      </c>
      <c r="O38">
        <v>307.69</v>
      </c>
      <c r="P38">
        <v>0</v>
      </c>
    </row>
    <row r="39" spans="2:16">
      <c r="C39">
        <v>2</v>
      </c>
      <c r="D39">
        <v>0</v>
      </c>
      <c r="E39">
        <v>2</v>
      </c>
      <c r="F39" t="s">
        <v>11708</v>
      </c>
      <c r="G39" t="s">
        <v>20245</v>
      </c>
      <c r="H39" t="s">
        <v>70</v>
      </c>
      <c r="I39">
        <v>13244</v>
      </c>
      <c r="K39" t="s">
        <v>3863</v>
      </c>
      <c r="L39" t="s">
        <v>65</v>
      </c>
      <c r="M39">
        <v>0</v>
      </c>
      <c r="N39">
        <v>23.25</v>
      </c>
      <c r="O39">
        <v>28.41</v>
      </c>
      <c r="P39">
        <v>0</v>
      </c>
    </row>
    <row r="40" spans="2:16">
      <c r="C40">
        <v>2</v>
      </c>
      <c r="D40">
        <v>0</v>
      </c>
      <c r="E40">
        <v>2</v>
      </c>
      <c r="F40" t="s">
        <v>11708</v>
      </c>
      <c r="G40" t="s">
        <v>20246</v>
      </c>
      <c r="H40" t="s">
        <v>1</v>
      </c>
      <c r="I40">
        <v>104</v>
      </c>
      <c r="K40" t="s">
        <v>1217</v>
      </c>
      <c r="L40" t="s">
        <v>65</v>
      </c>
      <c r="M40">
        <v>0</v>
      </c>
      <c r="N40">
        <v>444.96</v>
      </c>
      <c r="O40">
        <v>543.70000000000005</v>
      </c>
      <c r="P40">
        <v>0</v>
      </c>
    </row>
    <row r="41" spans="2:16">
      <c r="C41">
        <v>2</v>
      </c>
      <c r="D41">
        <v>0</v>
      </c>
      <c r="E41">
        <v>2</v>
      </c>
      <c r="F41" t="s">
        <v>11708</v>
      </c>
      <c r="G41" t="s">
        <v>20247</v>
      </c>
      <c r="H41" t="s">
        <v>70</v>
      </c>
      <c r="I41" t="s">
        <v>19171</v>
      </c>
      <c r="K41" t="s">
        <v>7844</v>
      </c>
      <c r="L41" t="s">
        <v>256</v>
      </c>
      <c r="M41">
        <v>0</v>
      </c>
      <c r="N41">
        <v>48.14</v>
      </c>
      <c r="O41">
        <v>58.82</v>
      </c>
      <c r="P41">
        <v>0</v>
      </c>
    </row>
    <row r="42" spans="2:16">
      <c r="C42">
        <v>2</v>
      </c>
      <c r="D42">
        <v>0</v>
      </c>
      <c r="E42">
        <v>2</v>
      </c>
      <c r="F42" t="s">
        <v>11708</v>
      </c>
      <c r="G42" t="s">
        <v>20248</v>
      </c>
      <c r="H42" t="s">
        <v>1</v>
      </c>
      <c r="I42">
        <v>106</v>
      </c>
      <c r="K42" t="s">
        <v>19815</v>
      </c>
      <c r="L42" t="s">
        <v>90</v>
      </c>
      <c r="M42">
        <v>0</v>
      </c>
      <c r="N42">
        <v>12.15</v>
      </c>
      <c r="O42">
        <v>14.85</v>
      </c>
      <c r="P42">
        <v>0</v>
      </c>
    </row>
    <row r="43" spans="2:16">
      <c r="C43">
        <v>2</v>
      </c>
      <c r="D43">
        <v>0</v>
      </c>
      <c r="E43">
        <v>2</v>
      </c>
      <c r="F43" t="s">
        <v>11708</v>
      </c>
    </row>
    <row r="44" spans="2:16">
      <c r="C44">
        <v>2</v>
      </c>
      <c r="D44">
        <v>0</v>
      </c>
      <c r="E44">
        <v>2</v>
      </c>
      <c r="F44" t="s">
        <v>11708</v>
      </c>
      <c r="H44" t="s">
        <v>20916</v>
      </c>
      <c r="P44">
        <v>0</v>
      </c>
    </row>
    <row r="45" spans="2:16">
      <c r="C45">
        <v>2</v>
      </c>
      <c r="D45">
        <v>0</v>
      </c>
      <c r="E45">
        <v>2</v>
      </c>
      <c r="F45" t="s">
        <v>11708</v>
      </c>
    </row>
    <row r="46" spans="2:16">
      <c r="B46">
        <v>1</v>
      </c>
      <c r="C46">
        <v>2</v>
      </c>
      <c r="D46">
        <v>0</v>
      </c>
      <c r="E46">
        <v>3</v>
      </c>
      <c r="F46" t="s">
        <v>11708</v>
      </c>
      <c r="H46" t="s">
        <v>11703</v>
      </c>
      <c r="I46" t="s">
        <v>64</v>
      </c>
      <c r="J46" s="25" t="s">
        <v>20917</v>
      </c>
      <c r="K46" t="s">
        <v>11709</v>
      </c>
      <c r="L46" t="s">
        <v>25</v>
      </c>
      <c r="M46" t="s">
        <v>11704</v>
      </c>
      <c r="N46" t="s">
        <v>11705</v>
      </c>
      <c r="O46" t="s">
        <v>11706</v>
      </c>
      <c r="P46" t="s">
        <v>27</v>
      </c>
    </row>
    <row r="47" spans="2:16">
      <c r="C47">
        <v>2</v>
      </c>
      <c r="D47">
        <v>0</v>
      </c>
      <c r="E47">
        <v>3</v>
      </c>
      <c r="F47" t="s">
        <v>11708</v>
      </c>
    </row>
    <row r="48" spans="2:16">
      <c r="C48">
        <v>2</v>
      </c>
      <c r="D48">
        <v>0</v>
      </c>
      <c r="E48">
        <v>3</v>
      </c>
      <c r="F48" t="s">
        <v>11708</v>
      </c>
      <c r="G48" t="s">
        <v>20249</v>
      </c>
      <c r="H48" t="s">
        <v>70</v>
      </c>
      <c r="I48">
        <v>73672</v>
      </c>
      <c r="K48" t="s">
        <v>19162</v>
      </c>
      <c r="L48" t="s">
        <v>256</v>
      </c>
      <c r="M48">
        <v>0</v>
      </c>
      <c r="N48">
        <v>0.46</v>
      </c>
      <c r="O48">
        <v>0.56000000000000005</v>
      </c>
      <c r="P48">
        <v>0</v>
      </c>
    </row>
    <row r="49" spans="2:16">
      <c r="C49">
        <v>2</v>
      </c>
      <c r="D49">
        <v>0</v>
      </c>
      <c r="E49">
        <v>3</v>
      </c>
      <c r="F49" t="s">
        <v>11708</v>
      </c>
    </row>
    <row r="50" spans="2:16">
      <c r="C50">
        <v>2</v>
      </c>
      <c r="D50">
        <v>0</v>
      </c>
      <c r="E50">
        <v>3</v>
      </c>
      <c r="F50" t="s">
        <v>11708</v>
      </c>
      <c r="H50" t="s">
        <v>20918</v>
      </c>
      <c r="P50">
        <v>0</v>
      </c>
    </row>
    <row r="51" spans="2:16">
      <c r="C51">
        <v>2</v>
      </c>
      <c r="D51">
        <v>0</v>
      </c>
      <c r="E51">
        <v>3</v>
      </c>
      <c r="F51" t="s">
        <v>11708</v>
      </c>
    </row>
    <row r="52" spans="2:16">
      <c r="B52">
        <v>1</v>
      </c>
      <c r="C52">
        <v>2</v>
      </c>
      <c r="D52">
        <v>0</v>
      </c>
      <c r="E52">
        <v>4</v>
      </c>
      <c r="F52" t="s">
        <v>11708</v>
      </c>
      <c r="H52" t="s">
        <v>11703</v>
      </c>
      <c r="I52" t="s">
        <v>64</v>
      </c>
      <c r="J52" s="25" t="s">
        <v>20919</v>
      </c>
      <c r="K52" t="s">
        <v>11710</v>
      </c>
      <c r="L52" t="s">
        <v>25</v>
      </c>
      <c r="M52" t="s">
        <v>11704</v>
      </c>
      <c r="N52" t="s">
        <v>11705</v>
      </c>
      <c r="O52" t="s">
        <v>11706</v>
      </c>
      <c r="P52" t="s">
        <v>27</v>
      </c>
    </row>
    <row r="53" spans="2:16">
      <c r="C53">
        <v>2</v>
      </c>
      <c r="D53">
        <v>0</v>
      </c>
      <c r="E53">
        <v>4</v>
      </c>
      <c r="F53" t="s">
        <v>11708</v>
      </c>
    </row>
    <row r="54" spans="2:16">
      <c r="C54">
        <v>2</v>
      </c>
      <c r="D54">
        <v>0</v>
      </c>
      <c r="E54">
        <v>4</v>
      </c>
      <c r="F54" t="s">
        <v>11708</v>
      </c>
      <c r="G54" t="s">
        <v>20250</v>
      </c>
      <c r="H54" t="s">
        <v>70</v>
      </c>
      <c r="I54">
        <v>90105</v>
      </c>
      <c r="K54" t="s">
        <v>18214</v>
      </c>
      <c r="L54" t="s">
        <v>255</v>
      </c>
      <c r="M54">
        <v>0</v>
      </c>
      <c r="N54">
        <v>14.07</v>
      </c>
      <c r="O54">
        <v>17.190000000000001</v>
      </c>
      <c r="P54">
        <v>0</v>
      </c>
    </row>
    <row r="55" spans="2:16">
      <c r="C55">
        <v>2</v>
      </c>
      <c r="D55">
        <v>0</v>
      </c>
      <c r="E55">
        <v>4</v>
      </c>
      <c r="F55" t="s">
        <v>11708</v>
      </c>
      <c r="G55" t="s">
        <v>20251</v>
      </c>
      <c r="H55" t="s">
        <v>70</v>
      </c>
      <c r="I55">
        <v>90107</v>
      </c>
      <c r="K55" t="s">
        <v>18216</v>
      </c>
      <c r="L55" t="s">
        <v>255</v>
      </c>
      <c r="M55">
        <v>0</v>
      </c>
      <c r="N55">
        <v>11.87</v>
      </c>
      <c r="O55">
        <v>14.5</v>
      </c>
      <c r="P55">
        <v>0</v>
      </c>
    </row>
    <row r="56" spans="2:16">
      <c r="C56">
        <v>2</v>
      </c>
      <c r="D56">
        <v>0</v>
      </c>
      <c r="E56">
        <v>4</v>
      </c>
      <c r="F56" t="s">
        <v>11708</v>
      </c>
      <c r="G56" t="s">
        <v>20252</v>
      </c>
      <c r="H56" t="s">
        <v>1</v>
      </c>
      <c r="I56">
        <v>192</v>
      </c>
      <c r="K56" t="s">
        <v>19816</v>
      </c>
      <c r="L56" t="s">
        <v>255</v>
      </c>
      <c r="M56">
        <v>0</v>
      </c>
      <c r="N56">
        <v>7.65</v>
      </c>
      <c r="O56">
        <v>9.35</v>
      </c>
      <c r="P56">
        <v>0</v>
      </c>
    </row>
    <row r="57" spans="2:16">
      <c r="C57">
        <v>2</v>
      </c>
      <c r="D57">
        <v>0</v>
      </c>
      <c r="E57">
        <v>4</v>
      </c>
      <c r="F57" t="s">
        <v>11708</v>
      </c>
      <c r="G57" t="s">
        <v>20281</v>
      </c>
      <c r="H57" t="s">
        <v>1</v>
      </c>
      <c r="I57">
        <v>193</v>
      </c>
      <c r="K57" t="s">
        <v>19817</v>
      </c>
      <c r="L57" t="s">
        <v>255</v>
      </c>
      <c r="M57">
        <v>0</v>
      </c>
      <c r="N57">
        <v>9.56</v>
      </c>
      <c r="O57">
        <v>11.68</v>
      </c>
      <c r="P57">
        <v>0</v>
      </c>
    </row>
    <row r="58" spans="2:16">
      <c r="C58">
        <v>2</v>
      </c>
      <c r="D58">
        <v>0</v>
      </c>
      <c r="E58">
        <v>4</v>
      </c>
      <c r="F58" t="s">
        <v>11708</v>
      </c>
      <c r="G58" t="s">
        <v>20253</v>
      </c>
      <c r="H58" t="s">
        <v>1</v>
      </c>
      <c r="I58">
        <v>194</v>
      </c>
      <c r="K58" t="s">
        <v>19819</v>
      </c>
      <c r="L58" t="s">
        <v>255</v>
      </c>
      <c r="M58">
        <v>0</v>
      </c>
      <c r="N58">
        <v>7.59</v>
      </c>
      <c r="O58">
        <v>9.27</v>
      </c>
      <c r="P58">
        <v>0</v>
      </c>
    </row>
    <row r="59" spans="2:16">
      <c r="C59">
        <v>2</v>
      </c>
      <c r="D59">
        <v>0</v>
      </c>
      <c r="E59">
        <v>4</v>
      </c>
      <c r="F59" t="s">
        <v>11708</v>
      </c>
      <c r="G59" t="s">
        <v>20282</v>
      </c>
      <c r="H59" t="s">
        <v>1</v>
      </c>
      <c r="I59">
        <v>195</v>
      </c>
      <c r="K59" t="s">
        <v>19820</v>
      </c>
      <c r="L59" t="s">
        <v>255</v>
      </c>
      <c r="M59">
        <v>0</v>
      </c>
      <c r="N59">
        <v>9.51</v>
      </c>
      <c r="O59">
        <v>11.62</v>
      </c>
      <c r="P59">
        <v>0</v>
      </c>
    </row>
    <row r="60" spans="2:16">
      <c r="C60">
        <v>2</v>
      </c>
      <c r="D60">
        <v>0</v>
      </c>
      <c r="E60">
        <v>4</v>
      </c>
      <c r="F60" t="s">
        <v>11708</v>
      </c>
      <c r="G60" t="s">
        <v>20254</v>
      </c>
      <c r="H60" t="s">
        <v>70</v>
      </c>
      <c r="I60">
        <v>93358</v>
      </c>
      <c r="K60" t="s">
        <v>826</v>
      </c>
      <c r="L60" t="s">
        <v>255</v>
      </c>
      <c r="M60">
        <v>0</v>
      </c>
      <c r="N60">
        <v>52.29</v>
      </c>
      <c r="O60">
        <v>63.89</v>
      </c>
      <c r="P60">
        <v>0</v>
      </c>
    </row>
    <row r="61" spans="2:16">
      <c r="C61">
        <v>2</v>
      </c>
      <c r="D61">
        <v>0</v>
      </c>
      <c r="E61">
        <v>4</v>
      </c>
      <c r="F61" t="s">
        <v>11708</v>
      </c>
      <c r="G61" t="s">
        <v>20255</v>
      </c>
      <c r="H61" t="s">
        <v>1</v>
      </c>
      <c r="I61">
        <v>170</v>
      </c>
      <c r="K61" t="s">
        <v>19822</v>
      </c>
      <c r="L61" t="s">
        <v>255</v>
      </c>
      <c r="M61">
        <v>0</v>
      </c>
      <c r="N61">
        <v>55.58</v>
      </c>
      <c r="O61">
        <v>67.91</v>
      </c>
      <c r="P61">
        <v>0</v>
      </c>
    </row>
    <row r="62" spans="2:16">
      <c r="C62">
        <v>2</v>
      </c>
      <c r="D62">
        <v>0</v>
      </c>
      <c r="E62">
        <v>4</v>
      </c>
      <c r="F62" t="s">
        <v>11708</v>
      </c>
      <c r="G62" t="s">
        <v>20256</v>
      </c>
      <c r="H62" t="s">
        <v>1</v>
      </c>
      <c r="I62">
        <v>171</v>
      </c>
      <c r="K62" t="s">
        <v>19823</v>
      </c>
      <c r="L62" t="s">
        <v>255</v>
      </c>
      <c r="M62">
        <v>0</v>
      </c>
      <c r="N62">
        <v>84.57</v>
      </c>
      <c r="O62">
        <v>103.34</v>
      </c>
      <c r="P62">
        <v>0</v>
      </c>
    </row>
    <row r="63" spans="2:16">
      <c r="C63">
        <v>2</v>
      </c>
      <c r="D63">
        <v>0</v>
      </c>
      <c r="E63">
        <v>4</v>
      </c>
      <c r="F63" t="s">
        <v>11708</v>
      </c>
      <c r="G63" t="s">
        <v>20257</v>
      </c>
      <c r="H63" t="s">
        <v>1</v>
      </c>
      <c r="I63">
        <v>172</v>
      </c>
      <c r="K63" t="s">
        <v>19824</v>
      </c>
      <c r="L63" t="s">
        <v>255</v>
      </c>
      <c r="M63">
        <v>0</v>
      </c>
      <c r="N63">
        <v>91.06</v>
      </c>
      <c r="O63">
        <v>111.27</v>
      </c>
      <c r="P63">
        <v>0</v>
      </c>
    </row>
    <row r="64" spans="2:16">
      <c r="C64">
        <v>2</v>
      </c>
      <c r="D64">
        <v>0</v>
      </c>
      <c r="E64">
        <v>4</v>
      </c>
      <c r="F64" t="s">
        <v>11708</v>
      </c>
      <c r="G64" t="s">
        <v>20258</v>
      </c>
      <c r="H64" t="s">
        <v>1</v>
      </c>
      <c r="I64">
        <v>173</v>
      </c>
      <c r="K64" t="s">
        <v>19825</v>
      </c>
      <c r="L64" t="s">
        <v>255</v>
      </c>
      <c r="M64">
        <v>0</v>
      </c>
      <c r="N64">
        <v>112.61</v>
      </c>
      <c r="O64">
        <v>137.6</v>
      </c>
      <c r="P64">
        <v>0</v>
      </c>
    </row>
    <row r="65" spans="2:16">
      <c r="C65">
        <v>2</v>
      </c>
      <c r="D65">
        <v>0</v>
      </c>
      <c r="E65">
        <v>4</v>
      </c>
      <c r="F65" t="s">
        <v>11708</v>
      </c>
      <c r="G65" t="s">
        <v>20259</v>
      </c>
      <c r="H65" t="s">
        <v>1</v>
      </c>
      <c r="I65">
        <v>176</v>
      </c>
      <c r="K65" t="s">
        <v>19826</v>
      </c>
      <c r="L65" t="s">
        <v>255</v>
      </c>
      <c r="M65">
        <v>0</v>
      </c>
      <c r="N65">
        <v>47.89</v>
      </c>
      <c r="O65">
        <v>58.52</v>
      </c>
      <c r="P65">
        <v>0</v>
      </c>
    </row>
    <row r="66" spans="2:16">
      <c r="C66">
        <v>2</v>
      </c>
      <c r="D66">
        <v>0</v>
      </c>
      <c r="E66">
        <v>4</v>
      </c>
      <c r="F66" t="s">
        <v>11708</v>
      </c>
      <c r="G66" t="s">
        <v>20260</v>
      </c>
      <c r="H66" t="s">
        <v>1</v>
      </c>
      <c r="I66">
        <v>177</v>
      </c>
      <c r="K66" t="s">
        <v>19827</v>
      </c>
      <c r="L66" t="s">
        <v>255</v>
      </c>
      <c r="M66">
        <v>0</v>
      </c>
      <c r="N66">
        <v>58.46</v>
      </c>
      <c r="O66">
        <v>71.430000000000007</v>
      </c>
      <c r="P66">
        <v>0</v>
      </c>
    </row>
    <row r="67" spans="2:16">
      <c r="C67">
        <v>2</v>
      </c>
      <c r="D67">
        <v>0</v>
      </c>
      <c r="E67">
        <v>4</v>
      </c>
      <c r="F67" t="s">
        <v>11708</v>
      </c>
      <c r="G67" t="s">
        <v>20261</v>
      </c>
      <c r="H67" t="s">
        <v>70</v>
      </c>
      <c r="I67">
        <v>94097</v>
      </c>
      <c r="K67" t="s">
        <v>18292</v>
      </c>
      <c r="L67" t="s">
        <v>256</v>
      </c>
      <c r="M67">
        <v>0</v>
      </c>
      <c r="N67">
        <v>4.51</v>
      </c>
      <c r="O67">
        <v>5.51</v>
      </c>
      <c r="P67">
        <v>0</v>
      </c>
    </row>
    <row r="68" spans="2:16">
      <c r="C68">
        <v>2</v>
      </c>
      <c r="D68">
        <v>0</v>
      </c>
      <c r="E68">
        <v>4</v>
      </c>
      <c r="F68" t="s">
        <v>11708</v>
      </c>
      <c r="G68" t="s">
        <v>20262</v>
      </c>
      <c r="H68" t="s">
        <v>70</v>
      </c>
      <c r="I68" t="s">
        <v>18237</v>
      </c>
      <c r="K68" t="s">
        <v>829</v>
      </c>
      <c r="L68" t="s">
        <v>255</v>
      </c>
      <c r="M68">
        <v>0</v>
      </c>
      <c r="N68">
        <v>39.659999999999997</v>
      </c>
      <c r="O68">
        <v>48.46</v>
      </c>
      <c r="P68">
        <v>0</v>
      </c>
    </row>
    <row r="69" spans="2:16">
      <c r="C69">
        <v>2</v>
      </c>
      <c r="D69">
        <v>0</v>
      </c>
      <c r="E69">
        <v>4</v>
      </c>
      <c r="F69" t="s">
        <v>11708</v>
      </c>
      <c r="G69" t="s">
        <v>20263</v>
      </c>
      <c r="H69" t="s">
        <v>70</v>
      </c>
      <c r="I69">
        <v>93379</v>
      </c>
      <c r="K69" t="s">
        <v>18257</v>
      </c>
      <c r="L69" t="s">
        <v>255</v>
      </c>
      <c r="M69">
        <v>0</v>
      </c>
      <c r="N69">
        <v>18.98</v>
      </c>
      <c r="O69">
        <v>23.19</v>
      </c>
      <c r="P69">
        <v>0</v>
      </c>
    </row>
    <row r="70" spans="2:16">
      <c r="C70">
        <v>2</v>
      </c>
      <c r="D70">
        <v>0</v>
      </c>
      <c r="E70">
        <v>4</v>
      </c>
      <c r="F70" t="s">
        <v>11708</v>
      </c>
      <c r="G70" t="s">
        <v>20264</v>
      </c>
      <c r="H70" t="s">
        <v>70</v>
      </c>
      <c r="I70">
        <v>93381</v>
      </c>
      <c r="K70" t="s">
        <v>18259</v>
      </c>
      <c r="L70" t="s">
        <v>255</v>
      </c>
      <c r="M70">
        <v>0</v>
      </c>
      <c r="N70">
        <v>9.17</v>
      </c>
      <c r="O70">
        <v>11.2</v>
      </c>
      <c r="P70">
        <v>0</v>
      </c>
    </row>
    <row r="71" spans="2:16">
      <c r="C71">
        <v>2</v>
      </c>
      <c r="D71">
        <v>0</v>
      </c>
      <c r="E71">
        <v>4</v>
      </c>
      <c r="F71" t="s">
        <v>11708</v>
      </c>
    </row>
    <row r="72" spans="2:16">
      <c r="C72">
        <v>2</v>
      </c>
      <c r="D72">
        <v>0</v>
      </c>
      <c r="E72">
        <v>4</v>
      </c>
      <c r="F72" t="s">
        <v>11708</v>
      </c>
      <c r="H72" t="s">
        <v>20920</v>
      </c>
      <c r="P72">
        <v>0</v>
      </c>
    </row>
    <row r="73" spans="2:16">
      <c r="C73">
        <v>2</v>
      </c>
      <c r="D73">
        <v>0</v>
      </c>
      <c r="E73">
        <v>4</v>
      </c>
      <c r="F73" t="s">
        <v>11708</v>
      </c>
    </row>
    <row r="74" spans="2:16">
      <c r="B74">
        <v>1</v>
      </c>
      <c r="C74">
        <v>2</v>
      </c>
      <c r="D74">
        <v>0</v>
      </c>
      <c r="E74">
        <v>5</v>
      </c>
      <c r="F74" t="s">
        <v>11708</v>
      </c>
      <c r="H74" t="s">
        <v>11703</v>
      </c>
      <c r="I74" t="s">
        <v>64</v>
      </c>
      <c r="J74" s="25" t="s">
        <v>20921</v>
      </c>
      <c r="K74" t="s">
        <v>14074</v>
      </c>
      <c r="L74" t="s">
        <v>25</v>
      </c>
      <c r="M74" t="s">
        <v>11704</v>
      </c>
      <c r="N74" t="s">
        <v>11705</v>
      </c>
      <c r="O74" t="s">
        <v>11706</v>
      </c>
      <c r="P74" t="s">
        <v>27</v>
      </c>
    </row>
    <row r="75" spans="2:16">
      <c r="C75">
        <v>2</v>
      </c>
      <c r="D75">
        <v>0</v>
      </c>
      <c r="E75">
        <v>5</v>
      </c>
      <c r="F75" t="s">
        <v>11708</v>
      </c>
    </row>
    <row r="76" spans="2:16">
      <c r="C76">
        <v>2</v>
      </c>
      <c r="D76">
        <v>0</v>
      </c>
      <c r="E76">
        <v>5</v>
      </c>
      <c r="F76" t="s">
        <v>11708</v>
      </c>
      <c r="G76" t="s">
        <v>20274</v>
      </c>
      <c r="H76" t="s">
        <v>1</v>
      </c>
      <c r="I76">
        <v>229</v>
      </c>
      <c r="K76" t="s">
        <v>1258</v>
      </c>
      <c r="L76" t="s">
        <v>255</v>
      </c>
      <c r="M76">
        <v>0</v>
      </c>
      <c r="N76">
        <v>124.26</v>
      </c>
      <c r="O76">
        <v>151.83000000000001</v>
      </c>
      <c r="P76">
        <v>0</v>
      </c>
    </row>
    <row r="77" spans="2:16">
      <c r="C77">
        <v>2</v>
      </c>
      <c r="D77">
        <v>0</v>
      </c>
      <c r="E77">
        <v>5</v>
      </c>
      <c r="F77" t="s">
        <v>11708</v>
      </c>
      <c r="G77" t="s">
        <v>20284</v>
      </c>
      <c r="H77" t="s">
        <v>1</v>
      </c>
      <c r="I77">
        <v>231</v>
      </c>
      <c r="K77" t="s">
        <v>518</v>
      </c>
      <c r="L77" t="s">
        <v>255</v>
      </c>
      <c r="M77">
        <v>0</v>
      </c>
      <c r="N77">
        <v>71.709999999999994</v>
      </c>
      <c r="O77">
        <v>87.62</v>
      </c>
      <c r="P77">
        <v>0</v>
      </c>
    </row>
    <row r="78" spans="2:16">
      <c r="C78">
        <v>2</v>
      </c>
      <c r="D78">
        <v>0</v>
      </c>
      <c r="E78">
        <v>5</v>
      </c>
      <c r="F78" t="s">
        <v>11708</v>
      </c>
    </row>
    <row r="79" spans="2:16">
      <c r="C79">
        <v>2</v>
      </c>
      <c r="D79">
        <v>0</v>
      </c>
      <c r="E79">
        <v>5</v>
      </c>
      <c r="F79" t="s">
        <v>11708</v>
      </c>
      <c r="H79" t="s">
        <v>20922</v>
      </c>
      <c r="P79">
        <v>0</v>
      </c>
    </row>
    <row r="80" spans="2:16">
      <c r="C80">
        <v>2</v>
      </c>
      <c r="D80">
        <v>0</v>
      </c>
      <c r="E80">
        <v>5</v>
      </c>
      <c r="F80" t="s">
        <v>11708</v>
      </c>
    </row>
    <row r="81" spans="2:16">
      <c r="B81">
        <v>1</v>
      </c>
      <c r="C81">
        <v>2</v>
      </c>
      <c r="D81">
        <v>0</v>
      </c>
      <c r="E81">
        <v>6</v>
      </c>
      <c r="F81" t="s">
        <v>11708</v>
      </c>
      <c r="H81" t="s">
        <v>11703</v>
      </c>
      <c r="I81" t="s">
        <v>64</v>
      </c>
      <c r="J81" s="25" t="s">
        <v>20923</v>
      </c>
      <c r="K81" t="s">
        <v>13981</v>
      </c>
      <c r="L81" t="s">
        <v>25</v>
      </c>
      <c r="M81" t="s">
        <v>11704</v>
      </c>
      <c r="N81" t="s">
        <v>11705</v>
      </c>
      <c r="O81" t="s">
        <v>11706</v>
      </c>
      <c r="P81" t="s">
        <v>27</v>
      </c>
    </row>
    <row r="82" spans="2:16">
      <c r="C82">
        <v>2</v>
      </c>
      <c r="D82">
        <v>0</v>
      </c>
      <c r="E82">
        <v>6</v>
      </c>
      <c r="F82" t="s">
        <v>11708</v>
      </c>
    </row>
    <row r="83" spans="2:16">
      <c r="C83">
        <v>2</v>
      </c>
      <c r="D83">
        <v>0</v>
      </c>
      <c r="E83">
        <v>6</v>
      </c>
      <c r="F83" t="s">
        <v>11708</v>
      </c>
      <c r="G83" t="s">
        <v>20283</v>
      </c>
      <c r="H83" t="s">
        <v>70</v>
      </c>
      <c r="I83" t="s">
        <v>18276</v>
      </c>
      <c r="K83" t="s">
        <v>18277</v>
      </c>
      <c r="L83" t="s">
        <v>255</v>
      </c>
      <c r="M83">
        <v>0</v>
      </c>
      <c r="N83">
        <v>1.76</v>
      </c>
      <c r="O83">
        <v>2.15</v>
      </c>
      <c r="P83">
        <v>0</v>
      </c>
    </row>
    <row r="84" spans="2:16">
      <c r="C84">
        <v>2</v>
      </c>
      <c r="D84">
        <v>0</v>
      </c>
      <c r="E84">
        <v>6</v>
      </c>
      <c r="F84" t="s">
        <v>11708</v>
      </c>
      <c r="G84" t="s">
        <v>20265</v>
      </c>
      <c r="H84" t="s">
        <v>70</v>
      </c>
      <c r="I84">
        <v>95302</v>
      </c>
      <c r="K84" t="s">
        <v>9866</v>
      </c>
      <c r="L84" t="s">
        <v>9853</v>
      </c>
      <c r="M84">
        <v>0</v>
      </c>
      <c r="N84">
        <v>1.33</v>
      </c>
      <c r="O84">
        <v>1.63</v>
      </c>
      <c r="P84">
        <v>0</v>
      </c>
    </row>
    <row r="85" spans="2:16">
      <c r="C85">
        <v>2</v>
      </c>
      <c r="D85">
        <v>0</v>
      </c>
      <c r="E85">
        <v>6</v>
      </c>
      <c r="F85" t="s">
        <v>11708</v>
      </c>
      <c r="G85" t="s">
        <v>20266</v>
      </c>
      <c r="H85" t="s">
        <v>70</v>
      </c>
      <c r="I85">
        <v>83344</v>
      </c>
      <c r="K85" t="s">
        <v>18317</v>
      </c>
      <c r="L85" t="s">
        <v>255</v>
      </c>
      <c r="M85">
        <v>0</v>
      </c>
      <c r="N85">
        <v>1.02</v>
      </c>
      <c r="O85">
        <v>1.25</v>
      </c>
      <c r="P85">
        <v>0</v>
      </c>
    </row>
    <row r="86" spans="2:16">
      <c r="C86">
        <v>2</v>
      </c>
      <c r="D86">
        <v>0</v>
      </c>
      <c r="E86">
        <v>6</v>
      </c>
      <c r="F86" t="s">
        <v>11708</v>
      </c>
    </row>
    <row r="87" spans="2:16">
      <c r="C87">
        <v>2</v>
      </c>
      <c r="D87">
        <v>0</v>
      </c>
      <c r="E87">
        <v>6</v>
      </c>
      <c r="F87" t="s">
        <v>11708</v>
      </c>
      <c r="H87" t="s">
        <v>20924</v>
      </c>
      <c r="P87">
        <v>0</v>
      </c>
    </row>
    <row r="88" spans="2:16">
      <c r="C88">
        <v>2</v>
      </c>
      <c r="D88">
        <v>0</v>
      </c>
      <c r="E88">
        <v>6</v>
      </c>
      <c r="F88" t="s">
        <v>11708</v>
      </c>
    </row>
    <row r="89" spans="2:16">
      <c r="B89">
        <v>1</v>
      </c>
      <c r="C89">
        <v>2</v>
      </c>
      <c r="D89">
        <v>0</v>
      </c>
      <c r="E89">
        <v>7</v>
      </c>
      <c r="F89" t="s">
        <v>11708</v>
      </c>
      <c r="H89" t="s">
        <v>11703</v>
      </c>
      <c r="I89" t="s">
        <v>64</v>
      </c>
      <c r="J89" s="25" t="s">
        <v>20925</v>
      </c>
      <c r="K89" t="s">
        <v>14043</v>
      </c>
      <c r="L89" t="s">
        <v>25</v>
      </c>
      <c r="M89" t="s">
        <v>11704</v>
      </c>
      <c r="N89" t="s">
        <v>11705</v>
      </c>
      <c r="O89" t="s">
        <v>11706</v>
      </c>
      <c r="P89" t="s">
        <v>27</v>
      </c>
    </row>
    <row r="90" spans="2:16">
      <c r="C90">
        <v>2</v>
      </c>
      <c r="D90">
        <v>0</v>
      </c>
      <c r="E90">
        <v>7</v>
      </c>
      <c r="F90" t="s">
        <v>11708</v>
      </c>
    </row>
    <row r="91" spans="2:16">
      <c r="C91">
        <v>2</v>
      </c>
      <c r="D91">
        <v>0</v>
      </c>
      <c r="E91">
        <v>7</v>
      </c>
      <c r="F91" t="s">
        <v>11708</v>
      </c>
      <c r="G91" t="s">
        <v>20267</v>
      </c>
      <c r="H91" t="s">
        <v>1</v>
      </c>
      <c r="I91">
        <v>232</v>
      </c>
      <c r="K91" t="s">
        <v>19828</v>
      </c>
      <c r="L91" t="s">
        <v>255</v>
      </c>
      <c r="M91">
        <v>0</v>
      </c>
      <c r="N91">
        <v>1.46</v>
      </c>
      <c r="O91">
        <v>1.78</v>
      </c>
      <c r="P91">
        <v>0</v>
      </c>
    </row>
    <row r="92" spans="2:16">
      <c r="C92">
        <v>2</v>
      </c>
      <c r="D92">
        <v>0</v>
      </c>
      <c r="E92">
        <v>7</v>
      </c>
      <c r="F92" t="s">
        <v>11708</v>
      </c>
      <c r="G92" t="s">
        <v>20268</v>
      </c>
      <c r="H92" t="s">
        <v>1</v>
      </c>
      <c r="I92">
        <v>233</v>
      </c>
      <c r="K92" t="s">
        <v>19829</v>
      </c>
      <c r="L92" t="s">
        <v>255</v>
      </c>
      <c r="M92">
        <v>0</v>
      </c>
      <c r="N92">
        <v>4.3499999999999996</v>
      </c>
      <c r="O92">
        <v>5.32</v>
      </c>
      <c r="P92">
        <v>0</v>
      </c>
    </row>
    <row r="93" spans="2:16">
      <c r="C93">
        <v>2</v>
      </c>
      <c r="D93">
        <v>0</v>
      </c>
      <c r="E93">
        <v>7</v>
      </c>
      <c r="F93" t="s">
        <v>11708</v>
      </c>
      <c r="G93" t="s">
        <v>20269</v>
      </c>
      <c r="H93" t="s">
        <v>1</v>
      </c>
      <c r="I93">
        <v>246</v>
      </c>
      <c r="K93" t="s">
        <v>19830</v>
      </c>
      <c r="L93" t="s">
        <v>9853</v>
      </c>
      <c r="M93">
        <v>0</v>
      </c>
      <c r="N93">
        <v>1.91</v>
      </c>
      <c r="O93">
        <v>2.33</v>
      </c>
      <c r="P93">
        <v>0</v>
      </c>
    </row>
    <row r="94" spans="2:16">
      <c r="C94">
        <v>2</v>
      </c>
      <c r="D94">
        <v>0</v>
      </c>
      <c r="E94">
        <v>7</v>
      </c>
      <c r="F94" t="s">
        <v>11708</v>
      </c>
    </row>
    <row r="95" spans="2:16">
      <c r="C95">
        <v>2</v>
      </c>
      <c r="D95">
        <v>0</v>
      </c>
      <c r="E95">
        <v>7</v>
      </c>
      <c r="F95" t="s">
        <v>11708</v>
      </c>
      <c r="H95" t="s">
        <v>20926</v>
      </c>
      <c r="P95">
        <v>0</v>
      </c>
    </row>
    <row r="96" spans="2:16">
      <c r="C96">
        <v>2</v>
      </c>
      <c r="D96">
        <v>0</v>
      </c>
      <c r="E96">
        <v>7</v>
      </c>
      <c r="F96" t="s">
        <v>11708</v>
      </c>
    </row>
    <row r="97" spans="2:16">
      <c r="B97">
        <v>1</v>
      </c>
      <c r="C97">
        <v>2</v>
      </c>
      <c r="D97">
        <v>0</v>
      </c>
      <c r="E97">
        <v>8</v>
      </c>
      <c r="F97" t="s">
        <v>11708</v>
      </c>
      <c r="H97" t="s">
        <v>11703</v>
      </c>
      <c r="I97" t="s">
        <v>64</v>
      </c>
      <c r="J97" s="25" t="s">
        <v>20927</v>
      </c>
      <c r="K97" t="s">
        <v>13990</v>
      </c>
      <c r="L97" t="s">
        <v>25</v>
      </c>
      <c r="M97" t="s">
        <v>11704</v>
      </c>
      <c r="N97" t="s">
        <v>11705</v>
      </c>
      <c r="O97" t="s">
        <v>11706</v>
      </c>
      <c r="P97" t="s">
        <v>27</v>
      </c>
    </row>
    <row r="98" spans="2:16">
      <c r="C98">
        <v>2</v>
      </c>
      <c r="D98">
        <v>0</v>
      </c>
      <c r="E98">
        <v>8</v>
      </c>
      <c r="F98" t="s">
        <v>11708</v>
      </c>
    </row>
    <row r="99" spans="2:16">
      <c r="C99">
        <v>2</v>
      </c>
      <c r="D99">
        <v>0</v>
      </c>
      <c r="E99">
        <v>8</v>
      </c>
      <c r="F99" t="s">
        <v>11708</v>
      </c>
      <c r="G99" t="s">
        <v>20270</v>
      </c>
      <c r="H99" t="s">
        <v>70</v>
      </c>
      <c r="I99">
        <v>94043</v>
      </c>
      <c r="K99" t="s">
        <v>16005</v>
      </c>
      <c r="L99" t="s">
        <v>256</v>
      </c>
      <c r="M99">
        <v>0</v>
      </c>
      <c r="N99">
        <v>14.48</v>
      </c>
      <c r="O99">
        <v>17.690000000000001</v>
      </c>
      <c r="P99">
        <v>0</v>
      </c>
    </row>
    <row r="100" spans="2:16">
      <c r="C100">
        <v>2</v>
      </c>
      <c r="D100">
        <v>0</v>
      </c>
      <c r="E100">
        <v>8</v>
      </c>
      <c r="F100" t="s">
        <v>11708</v>
      </c>
      <c r="G100" t="s">
        <v>20271</v>
      </c>
      <c r="H100" t="s">
        <v>70</v>
      </c>
      <c r="I100">
        <v>94045</v>
      </c>
      <c r="K100" t="s">
        <v>16007</v>
      </c>
      <c r="L100" t="s">
        <v>256</v>
      </c>
      <c r="M100">
        <v>0</v>
      </c>
      <c r="N100">
        <v>11.26</v>
      </c>
      <c r="O100">
        <v>13.76</v>
      </c>
      <c r="P100">
        <v>0</v>
      </c>
    </row>
    <row r="101" spans="2:16">
      <c r="C101">
        <v>2</v>
      </c>
      <c r="D101">
        <v>0</v>
      </c>
      <c r="E101">
        <v>8</v>
      </c>
      <c r="F101" t="s">
        <v>11708</v>
      </c>
      <c r="G101" t="s">
        <v>20272</v>
      </c>
      <c r="H101" t="s">
        <v>70</v>
      </c>
      <c r="I101" t="s">
        <v>16023</v>
      </c>
      <c r="K101" t="s">
        <v>5240</v>
      </c>
      <c r="L101" t="s">
        <v>256</v>
      </c>
      <c r="M101">
        <v>0</v>
      </c>
      <c r="N101">
        <v>36.270000000000003</v>
      </c>
      <c r="O101">
        <v>44.32</v>
      </c>
      <c r="P101">
        <v>0</v>
      </c>
    </row>
    <row r="102" spans="2:16">
      <c r="C102">
        <v>2</v>
      </c>
      <c r="D102">
        <v>0</v>
      </c>
      <c r="E102">
        <v>8</v>
      </c>
      <c r="F102" t="s">
        <v>11708</v>
      </c>
    </row>
    <row r="103" spans="2:16">
      <c r="C103">
        <v>2</v>
      </c>
      <c r="D103">
        <v>0</v>
      </c>
      <c r="E103">
        <v>8</v>
      </c>
      <c r="F103" t="s">
        <v>11708</v>
      </c>
      <c r="H103" t="s">
        <v>20928</v>
      </c>
      <c r="P103">
        <v>0</v>
      </c>
    </row>
    <row r="104" spans="2:16">
      <c r="C104">
        <v>2</v>
      </c>
      <c r="D104">
        <v>0</v>
      </c>
      <c r="E104">
        <v>8</v>
      </c>
      <c r="F104" t="s">
        <v>11708</v>
      </c>
    </row>
    <row r="105" spans="2:16">
      <c r="B105">
        <v>1</v>
      </c>
      <c r="C105">
        <v>2</v>
      </c>
      <c r="D105">
        <v>0</v>
      </c>
      <c r="E105">
        <v>9</v>
      </c>
      <c r="F105" t="s">
        <v>11708</v>
      </c>
      <c r="H105" t="s">
        <v>11703</v>
      </c>
      <c r="I105" t="s">
        <v>64</v>
      </c>
      <c r="J105" s="25" t="s">
        <v>20929</v>
      </c>
      <c r="K105" t="s">
        <v>13996</v>
      </c>
      <c r="L105" t="s">
        <v>25</v>
      </c>
      <c r="M105" t="s">
        <v>11704</v>
      </c>
      <c r="N105" t="s">
        <v>11705</v>
      </c>
      <c r="O105" t="s">
        <v>11706</v>
      </c>
      <c r="P105" t="s">
        <v>27</v>
      </c>
    </row>
    <row r="106" spans="2:16">
      <c r="C106">
        <v>2</v>
      </c>
      <c r="D106">
        <v>0</v>
      </c>
      <c r="E106">
        <v>9</v>
      </c>
      <c r="F106" t="s">
        <v>11708</v>
      </c>
    </row>
    <row r="107" spans="2:16">
      <c r="C107">
        <v>2</v>
      </c>
      <c r="D107">
        <v>0</v>
      </c>
      <c r="E107">
        <v>9</v>
      </c>
      <c r="F107" t="s">
        <v>11708</v>
      </c>
      <c r="G107" t="s">
        <v>20273</v>
      </c>
      <c r="H107" t="s">
        <v>70</v>
      </c>
      <c r="I107" t="s">
        <v>15726</v>
      </c>
      <c r="K107" t="s">
        <v>350</v>
      </c>
      <c r="L107" t="s">
        <v>57</v>
      </c>
      <c r="M107">
        <v>0</v>
      </c>
      <c r="N107">
        <v>6.2</v>
      </c>
      <c r="O107">
        <v>7.58</v>
      </c>
      <c r="P107">
        <v>0</v>
      </c>
    </row>
    <row r="108" spans="2:16">
      <c r="C108">
        <v>2</v>
      </c>
      <c r="D108">
        <v>0</v>
      </c>
      <c r="E108">
        <v>9</v>
      </c>
      <c r="F108" t="s">
        <v>11708</v>
      </c>
    </row>
    <row r="109" spans="2:16">
      <c r="C109">
        <v>2</v>
      </c>
      <c r="D109">
        <v>0</v>
      </c>
      <c r="E109">
        <v>9</v>
      </c>
      <c r="F109" t="s">
        <v>11708</v>
      </c>
      <c r="H109" t="s">
        <v>20930</v>
      </c>
      <c r="P109">
        <v>0</v>
      </c>
    </row>
    <row r="110" spans="2:16">
      <c r="C110">
        <v>2</v>
      </c>
      <c r="D110">
        <v>0</v>
      </c>
      <c r="E110">
        <v>9</v>
      </c>
      <c r="F110" t="s">
        <v>11708</v>
      </c>
    </row>
    <row r="111" spans="2:16">
      <c r="B111">
        <v>1</v>
      </c>
      <c r="C111">
        <v>2</v>
      </c>
      <c r="D111">
        <v>0</v>
      </c>
      <c r="E111">
        <v>10</v>
      </c>
      <c r="F111" t="s">
        <v>11708</v>
      </c>
      <c r="H111" t="s">
        <v>11703</v>
      </c>
      <c r="I111" t="s">
        <v>64</v>
      </c>
      <c r="J111" s="25" t="s">
        <v>20931</v>
      </c>
      <c r="K111" t="s">
        <v>12681</v>
      </c>
      <c r="L111" t="s">
        <v>25</v>
      </c>
      <c r="M111" t="s">
        <v>11704</v>
      </c>
      <c r="N111" t="s">
        <v>11705</v>
      </c>
      <c r="O111" t="s">
        <v>11706</v>
      </c>
      <c r="P111" t="s">
        <v>27</v>
      </c>
    </row>
    <row r="112" spans="2:16">
      <c r="C112">
        <v>2</v>
      </c>
      <c r="D112">
        <v>0</v>
      </c>
      <c r="E112">
        <v>10</v>
      </c>
      <c r="F112" t="s">
        <v>11708</v>
      </c>
    </row>
    <row r="113" spans="2:16">
      <c r="C113">
        <v>2</v>
      </c>
      <c r="D113">
        <v>0</v>
      </c>
      <c r="E113">
        <v>10</v>
      </c>
      <c r="F113" t="s">
        <v>11708</v>
      </c>
      <c r="G113" t="s">
        <v>20285</v>
      </c>
      <c r="H113" t="s">
        <v>70</v>
      </c>
      <c r="I113">
        <v>90739</v>
      </c>
      <c r="K113" t="s">
        <v>14748</v>
      </c>
      <c r="L113" t="s">
        <v>71</v>
      </c>
      <c r="M113">
        <v>0</v>
      </c>
      <c r="N113">
        <v>12.15</v>
      </c>
      <c r="O113">
        <v>14.85</v>
      </c>
      <c r="P113">
        <v>0</v>
      </c>
    </row>
    <row r="114" spans="2:16">
      <c r="C114">
        <v>2</v>
      </c>
      <c r="D114">
        <v>0</v>
      </c>
      <c r="E114">
        <v>10</v>
      </c>
      <c r="F114" t="s">
        <v>11708</v>
      </c>
      <c r="G114" t="s">
        <v>20275</v>
      </c>
      <c r="H114" t="s">
        <v>70</v>
      </c>
      <c r="I114">
        <v>73509</v>
      </c>
      <c r="K114" t="s">
        <v>9926</v>
      </c>
      <c r="L114" t="s">
        <v>71</v>
      </c>
      <c r="M114">
        <v>0</v>
      </c>
      <c r="N114">
        <v>1.87</v>
      </c>
      <c r="O114">
        <v>2.2799999999999998</v>
      </c>
      <c r="P114">
        <v>0</v>
      </c>
    </row>
    <row r="115" spans="2:16">
      <c r="C115">
        <v>2</v>
      </c>
      <c r="D115">
        <v>0</v>
      </c>
      <c r="E115">
        <v>10</v>
      </c>
      <c r="F115" t="s">
        <v>11708</v>
      </c>
      <c r="G115" t="s">
        <v>20276</v>
      </c>
      <c r="H115" t="s">
        <v>70</v>
      </c>
      <c r="I115" t="s">
        <v>14687</v>
      </c>
      <c r="K115" t="s">
        <v>14688</v>
      </c>
      <c r="L115" t="s">
        <v>71</v>
      </c>
      <c r="M115">
        <v>0</v>
      </c>
      <c r="N115">
        <v>14.44</v>
      </c>
      <c r="O115">
        <v>17.64</v>
      </c>
      <c r="P115">
        <v>0</v>
      </c>
    </row>
    <row r="116" spans="2:16">
      <c r="C116">
        <v>2</v>
      </c>
      <c r="D116">
        <v>0</v>
      </c>
      <c r="E116">
        <v>10</v>
      </c>
      <c r="F116" t="s">
        <v>11708</v>
      </c>
    </row>
    <row r="117" spans="2:16">
      <c r="C117">
        <v>2</v>
      </c>
      <c r="D117">
        <v>0</v>
      </c>
      <c r="E117">
        <v>10</v>
      </c>
      <c r="F117" t="s">
        <v>11708</v>
      </c>
      <c r="H117" t="s">
        <v>20932</v>
      </c>
      <c r="P117">
        <v>0</v>
      </c>
    </row>
    <row r="118" spans="2:16">
      <c r="C118">
        <v>2</v>
      </c>
      <c r="D118">
        <v>0</v>
      </c>
      <c r="E118">
        <v>10</v>
      </c>
      <c r="F118" t="s">
        <v>11708</v>
      </c>
    </row>
    <row r="119" spans="2:16">
      <c r="B119">
        <v>1</v>
      </c>
      <c r="C119">
        <v>2</v>
      </c>
      <c r="D119">
        <v>0</v>
      </c>
      <c r="E119">
        <v>11</v>
      </c>
      <c r="F119" t="s">
        <v>11708</v>
      </c>
      <c r="H119" t="s">
        <v>11703</v>
      </c>
      <c r="I119" t="s">
        <v>64</v>
      </c>
      <c r="J119" s="25" t="s">
        <v>20933</v>
      </c>
      <c r="K119" t="s">
        <v>14629</v>
      </c>
      <c r="L119" t="s">
        <v>25</v>
      </c>
      <c r="M119" t="s">
        <v>11704</v>
      </c>
      <c r="N119" t="s">
        <v>11705</v>
      </c>
      <c r="O119" t="s">
        <v>11706</v>
      </c>
      <c r="P119" t="s">
        <v>27</v>
      </c>
    </row>
    <row r="120" spans="2:16">
      <c r="C120">
        <v>2</v>
      </c>
      <c r="D120">
        <v>0</v>
      </c>
      <c r="E120">
        <v>11</v>
      </c>
      <c r="F120" t="s">
        <v>11708</v>
      </c>
    </row>
    <row r="121" spans="2:16">
      <c r="C121">
        <v>2</v>
      </c>
      <c r="D121">
        <v>0</v>
      </c>
      <c r="E121">
        <v>11</v>
      </c>
      <c r="F121" t="s">
        <v>11708</v>
      </c>
      <c r="G121" t="s">
        <v>20277</v>
      </c>
      <c r="H121" t="s">
        <v>1</v>
      </c>
      <c r="I121">
        <v>1418</v>
      </c>
      <c r="K121" t="s">
        <v>19832</v>
      </c>
      <c r="L121" t="s">
        <v>255</v>
      </c>
      <c r="M121">
        <v>0</v>
      </c>
      <c r="N121">
        <v>24.32</v>
      </c>
      <c r="O121">
        <v>29.72</v>
      </c>
      <c r="P121">
        <v>0</v>
      </c>
    </row>
    <row r="122" spans="2:16">
      <c r="C122">
        <v>2</v>
      </c>
      <c r="D122">
        <v>0</v>
      </c>
      <c r="E122">
        <v>11</v>
      </c>
      <c r="F122" t="s">
        <v>11708</v>
      </c>
      <c r="G122" t="s">
        <v>20278</v>
      </c>
      <c r="H122" t="s">
        <v>1</v>
      </c>
      <c r="I122">
        <v>1430</v>
      </c>
      <c r="K122" t="s">
        <v>19834</v>
      </c>
      <c r="L122" t="s">
        <v>256</v>
      </c>
      <c r="M122">
        <v>0</v>
      </c>
      <c r="N122">
        <v>28.32</v>
      </c>
      <c r="O122">
        <v>34.6</v>
      </c>
      <c r="P122">
        <v>0</v>
      </c>
    </row>
    <row r="123" spans="2:16">
      <c r="C123">
        <v>2</v>
      </c>
      <c r="D123">
        <v>0</v>
      </c>
      <c r="E123">
        <v>11</v>
      </c>
      <c r="F123" t="s">
        <v>11708</v>
      </c>
      <c r="G123" t="s">
        <v>20279</v>
      </c>
      <c r="H123" t="s">
        <v>1</v>
      </c>
      <c r="I123">
        <v>1424</v>
      </c>
      <c r="K123" t="s">
        <v>1264</v>
      </c>
      <c r="L123" t="s">
        <v>71</v>
      </c>
      <c r="M123">
        <v>0</v>
      </c>
      <c r="N123">
        <v>6.01</v>
      </c>
      <c r="O123">
        <v>7.34</v>
      </c>
      <c r="P123">
        <v>0</v>
      </c>
    </row>
    <row r="124" spans="2:16">
      <c r="C124">
        <v>2</v>
      </c>
      <c r="D124">
        <v>0</v>
      </c>
      <c r="E124">
        <v>11</v>
      </c>
      <c r="F124" t="s">
        <v>11708</v>
      </c>
      <c r="G124" t="s">
        <v>20286</v>
      </c>
      <c r="H124" t="s">
        <v>70</v>
      </c>
      <c r="I124">
        <v>94273</v>
      </c>
      <c r="K124" t="s">
        <v>15983</v>
      </c>
      <c r="L124" t="s">
        <v>71</v>
      </c>
      <c r="M124">
        <v>0</v>
      </c>
      <c r="N124">
        <v>35.43</v>
      </c>
      <c r="O124">
        <v>43.29</v>
      </c>
      <c r="P124">
        <v>0</v>
      </c>
    </row>
    <row r="125" spans="2:16">
      <c r="C125">
        <v>2</v>
      </c>
      <c r="D125">
        <v>0</v>
      </c>
      <c r="E125">
        <v>11</v>
      </c>
      <c r="F125" t="s">
        <v>11708</v>
      </c>
    </row>
    <row r="126" spans="2:16">
      <c r="C126">
        <v>2</v>
      </c>
      <c r="D126">
        <v>0</v>
      </c>
      <c r="E126">
        <v>11</v>
      </c>
      <c r="F126" t="s">
        <v>11708</v>
      </c>
      <c r="H126" t="s">
        <v>20934</v>
      </c>
      <c r="P126">
        <v>0</v>
      </c>
    </row>
    <row r="127" spans="2:16">
      <c r="C127">
        <v>2</v>
      </c>
      <c r="D127">
        <v>0</v>
      </c>
      <c r="E127">
        <v>11</v>
      </c>
      <c r="F127" t="s">
        <v>11708</v>
      </c>
    </row>
    <row r="128" spans="2:16">
      <c r="B128">
        <v>1</v>
      </c>
      <c r="C128">
        <v>2</v>
      </c>
      <c r="D128">
        <v>0</v>
      </c>
      <c r="E128">
        <v>12</v>
      </c>
      <c r="F128" t="s">
        <v>11708</v>
      </c>
      <c r="H128" t="s">
        <v>11703</v>
      </c>
      <c r="I128" t="s">
        <v>64</v>
      </c>
      <c r="J128" s="25" t="s">
        <v>20935</v>
      </c>
      <c r="K128" t="s">
        <v>14045</v>
      </c>
      <c r="L128" t="s">
        <v>25</v>
      </c>
      <c r="M128" t="s">
        <v>11704</v>
      </c>
      <c r="N128" t="s">
        <v>11705</v>
      </c>
      <c r="O128" t="s">
        <v>11706</v>
      </c>
      <c r="P128" t="s">
        <v>27</v>
      </c>
    </row>
    <row r="129" spans="2:16">
      <c r="C129">
        <v>2</v>
      </c>
      <c r="D129">
        <v>0</v>
      </c>
      <c r="E129">
        <v>12</v>
      </c>
      <c r="F129" t="s">
        <v>11708</v>
      </c>
    </row>
    <row r="130" spans="2:16">
      <c r="C130">
        <v>2</v>
      </c>
      <c r="D130">
        <v>0</v>
      </c>
      <c r="E130">
        <v>12</v>
      </c>
      <c r="F130" t="s">
        <v>11708</v>
      </c>
      <c r="G130" t="s">
        <v>20280</v>
      </c>
      <c r="H130" t="s">
        <v>1</v>
      </c>
      <c r="I130">
        <v>232</v>
      </c>
      <c r="K130" t="s">
        <v>19828</v>
      </c>
      <c r="L130" t="s">
        <v>255</v>
      </c>
      <c r="M130">
        <v>0</v>
      </c>
      <c r="N130">
        <v>1.46</v>
      </c>
      <c r="O130">
        <v>1.78</v>
      </c>
      <c r="P130">
        <v>0</v>
      </c>
    </row>
    <row r="131" spans="2:16">
      <c r="C131">
        <v>2</v>
      </c>
      <c r="D131">
        <v>0</v>
      </c>
      <c r="E131">
        <v>12</v>
      </c>
      <c r="F131" t="s">
        <v>11708</v>
      </c>
      <c r="G131" t="s">
        <v>20287</v>
      </c>
      <c r="H131" t="s">
        <v>1</v>
      </c>
      <c r="I131">
        <v>233</v>
      </c>
      <c r="K131" t="s">
        <v>19829</v>
      </c>
      <c r="L131" t="s">
        <v>255</v>
      </c>
      <c r="M131">
        <v>0</v>
      </c>
      <c r="N131">
        <v>4.3499999999999996</v>
      </c>
      <c r="O131">
        <v>5.32</v>
      </c>
      <c r="P131">
        <v>0</v>
      </c>
    </row>
    <row r="132" spans="2:16">
      <c r="C132">
        <v>2</v>
      </c>
      <c r="D132">
        <v>0</v>
      </c>
      <c r="E132">
        <v>12</v>
      </c>
      <c r="F132" t="s">
        <v>11708</v>
      </c>
      <c r="G132" t="s">
        <v>20288</v>
      </c>
      <c r="H132" t="s">
        <v>1</v>
      </c>
      <c r="I132">
        <v>246</v>
      </c>
      <c r="K132" t="s">
        <v>19830</v>
      </c>
      <c r="L132" t="s">
        <v>9853</v>
      </c>
      <c r="M132">
        <v>0</v>
      </c>
      <c r="N132">
        <v>1.91</v>
      </c>
      <c r="O132">
        <v>2.33</v>
      </c>
      <c r="P132">
        <v>0</v>
      </c>
    </row>
    <row r="133" spans="2:16">
      <c r="C133">
        <v>2</v>
      </c>
      <c r="D133">
        <v>0</v>
      </c>
      <c r="E133">
        <v>12</v>
      </c>
      <c r="F133" t="s">
        <v>11708</v>
      </c>
    </row>
    <row r="134" spans="2:16">
      <c r="C134">
        <v>2</v>
      </c>
      <c r="D134">
        <v>0</v>
      </c>
      <c r="E134">
        <v>12</v>
      </c>
      <c r="F134" t="s">
        <v>11708</v>
      </c>
      <c r="H134" t="s">
        <v>20936</v>
      </c>
      <c r="P134">
        <v>0</v>
      </c>
    </row>
    <row r="135" spans="2:16">
      <c r="C135">
        <v>2</v>
      </c>
      <c r="D135">
        <v>0</v>
      </c>
      <c r="E135">
        <v>12</v>
      </c>
      <c r="F135" t="s">
        <v>11708</v>
      </c>
    </row>
    <row r="136" spans="2:16">
      <c r="B136">
        <v>1</v>
      </c>
      <c r="C136">
        <v>2</v>
      </c>
      <c r="D136">
        <v>0</v>
      </c>
      <c r="E136">
        <v>13</v>
      </c>
      <c r="F136" t="s">
        <v>11708</v>
      </c>
      <c r="H136" t="s">
        <v>11703</v>
      </c>
      <c r="I136" t="s">
        <v>64</v>
      </c>
      <c r="J136" s="25" t="s">
        <v>20937</v>
      </c>
      <c r="K136" t="s">
        <v>14046</v>
      </c>
      <c r="L136" t="s">
        <v>25</v>
      </c>
      <c r="M136" t="s">
        <v>11704</v>
      </c>
      <c r="N136" t="s">
        <v>11705</v>
      </c>
      <c r="O136" t="s">
        <v>11706</v>
      </c>
      <c r="P136" t="s">
        <v>27</v>
      </c>
    </row>
    <row r="137" spans="2:16">
      <c r="C137">
        <v>2</v>
      </c>
      <c r="D137">
        <v>0</v>
      </c>
      <c r="E137">
        <v>13</v>
      </c>
      <c r="F137" t="s">
        <v>11708</v>
      </c>
    </row>
    <row r="138" spans="2:16">
      <c r="C138">
        <v>2</v>
      </c>
      <c r="D138">
        <v>0</v>
      </c>
      <c r="E138">
        <v>13</v>
      </c>
      <c r="F138" t="s">
        <v>11708</v>
      </c>
      <c r="G138" t="s">
        <v>20289</v>
      </c>
      <c r="H138" t="s">
        <v>70</v>
      </c>
      <c r="I138" t="s">
        <v>18276</v>
      </c>
      <c r="K138" t="s">
        <v>18277</v>
      </c>
      <c r="L138" t="s">
        <v>255</v>
      </c>
      <c r="M138">
        <v>0</v>
      </c>
      <c r="N138">
        <v>1.76</v>
      </c>
      <c r="O138">
        <v>2.15</v>
      </c>
      <c r="P138">
        <v>0</v>
      </c>
    </row>
    <row r="139" spans="2:16">
      <c r="C139">
        <v>2</v>
      </c>
      <c r="D139">
        <v>0</v>
      </c>
      <c r="E139">
        <v>13</v>
      </c>
      <c r="F139" t="s">
        <v>11708</v>
      </c>
      <c r="G139" t="s">
        <v>20290</v>
      </c>
      <c r="H139" t="s">
        <v>70</v>
      </c>
      <c r="I139">
        <v>95302</v>
      </c>
      <c r="K139" t="s">
        <v>9866</v>
      </c>
      <c r="L139" t="s">
        <v>9853</v>
      </c>
      <c r="M139">
        <v>0</v>
      </c>
      <c r="N139">
        <v>1.33</v>
      </c>
      <c r="O139">
        <v>1.63</v>
      </c>
      <c r="P139">
        <v>0</v>
      </c>
    </row>
    <row r="140" spans="2:16">
      <c r="C140">
        <v>2</v>
      </c>
      <c r="D140">
        <v>0</v>
      </c>
      <c r="E140">
        <v>13</v>
      </c>
      <c r="F140" t="s">
        <v>11708</v>
      </c>
      <c r="G140" t="s">
        <v>20291</v>
      </c>
      <c r="H140" t="s">
        <v>70</v>
      </c>
      <c r="I140">
        <v>83344</v>
      </c>
      <c r="K140" t="s">
        <v>18317</v>
      </c>
      <c r="L140" t="s">
        <v>255</v>
      </c>
      <c r="M140">
        <v>0</v>
      </c>
      <c r="N140">
        <v>1.02</v>
      </c>
      <c r="O140">
        <v>1.25</v>
      </c>
      <c r="P140">
        <v>0</v>
      </c>
    </row>
    <row r="141" spans="2:16">
      <c r="C141">
        <v>2</v>
      </c>
      <c r="D141">
        <v>0</v>
      </c>
      <c r="E141">
        <v>13</v>
      </c>
      <c r="F141" t="s">
        <v>11708</v>
      </c>
    </row>
    <row r="142" spans="2:16">
      <c r="C142">
        <v>2</v>
      </c>
      <c r="D142">
        <v>0</v>
      </c>
      <c r="E142">
        <v>13</v>
      </c>
      <c r="F142" t="s">
        <v>11708</v>
      </c>
      <c r="H142" t="s">
        <v>20938</v>
      </c>
      <c r="P142">
        <v>0</v>
      </c>
    </row>
    <row r="143" spans="2:16">
      <c r="C143">
        <v>2</v>
      </c>
      <c r="D143">
        <v>0</v>
      </c>
      <c r="E143">
        <v>13</v>
      </c>
      <c r="F143" t="s">
        <v>11708</v>
      </c>
    </row>
    <row r="144" spans="2:16">
      <c r="B144">
        <v>1</v>
      </c>
      <c r="C144">
        <v>2</v>
      </c>
      <c r="D144">
        <v>0</v>
      </c>
      <c r="E144">
        <v>14</v>
      </c>
      <c r="F144" t="s">
        <v>11708</v>
      </c>
      <c r="H144" t="s">
        <v>11703</v>
      </c>
      <c r="I144" t="s">
        <v>64</v>
      </c>
      <c r="J144" s="25" t="s">
        <v>20939</v>
      </c>
      <c r="K144" t="s">
        <v>14047</v>
      </c>
      <c r="L144" t="s">
        <v>25</v>
      </c>
      <c r="M144" t="s">
        <v>11704</v>
      </c>
      <c r="N144" t="s">
        <v>11705</v>
      </c>
      <c r="O144" t="s">
        <v>11706</v>
      </c>
      <c r="P144" t="s">
        <v>27</v>
      </c>
    </row>
    <row r="145" spans="1:16">
      <c r="C145">
        <v>2</v>
      </c>
      <c r="D145">
        <v>0</v>
      </c>
      <c r="E145">
        <v>14</v>
      </c>
      <c r="F145" t="s">
        <v>11708</v>
      </c>
    </row>
    <row r="146" spans="1:16">
      <c r="C146">
        <v>2</v>
      </c>
      <c r="D146">
        <v>0</v>
      </c>
      <c r="E146">
        <v>14</v>
      </c>
      <c r="F146" t="s">
        <v>11708</v>
      </c>
      <c r="G146" t="s">
        <v>20292</v>
      </c>
      <c r="H146" t="s">
        <v>1</v>
      </c>
      <c r="I146">
        <v>1737</v>
      </c>
      <c r="K146" t="s">
        <v>19835</v>
      </c>
      <c r="L146" t="s">
        <v>65</v>
      </c>
      <c r="M146">
        <v>0</v>
      </c>
      <c r="N146">
        <v>1146.05</v>
      </c>
      <c r="O146">
        <v>1400.36</v>
      </c>
      <c r="P146">
        <v>0</v>
      </c>
    </row>
    <row r="147" spans="1:16">
      <c r="C147">
        <v>2</v>
      </c>
      <c r="D147">
        <v>0</v>
      </c>
      <c r="E147">
        <v>14</v>
      </c>
      <c r="F147" t="s">
        <v>11708</v>
      </c>
      <c r="G147" t="s">
        <v>20293</v>
      </c>
      <c r="H147" t="s">
        <v>1</v>
      </c>
      <c r="I147">
        <v>1612</v>
      </c>
      <c r="K147" t="s">
        <v>19836</v>
      </c>
      <c r="L147" t="s">
        <v>65</v>
      </c>
      <c r="M147">
        <v>0</v>
      </c>
      <c r="N147">
        <v>1231.04</v>
      </c>
      <c r="O147">
        <v>1504.21</v>
      </c>
      <c r="P147">
        <v>0</v>
      </c>
    </row>
    <row r="148" spans="1:16">
      <c r="C148">
        <v>2</v>
      </c>
      <c r="D148">
        <v>0</v>
      </c>
      <c r="E148">
        <v>14</v>
      </c>
      <c r="F148" t="s">
        <v>11708</v>
      </c>
      <c r="G148" t="s">
        <v>20294</v>
      </c>
      <c r="H148" t="s">
        <v>1</v>
      </c>
      <c r="I148">
        <v>1613</v>
      </c>
      <c r="K148" t="s">
        <v>19837</v>
      </c>
      <c r="L148" t="s">
        <v>65</v>
      </c>
      <c r="M148">
        <v>0</v>
      </c>
      <c r="N148">
        <v>1370.56</v>
      </c>
      <c r="O148">
        <v>1674.69</v>
      </c>
      <c r="P148">
        <v>0</v>
      </c>
    </row>
    <row r="149" spans="1:16">
      <c r="C149">
        <v>2</v>
      </c>
      <c r="D149">
        <v>0</v>
      </c>
      <c r="E149">
        <v>14</v>
      </c>
      <c r="F149" t="s">
        <v>11708</v>
      </c>
      <c r="G149" t="s">
        <v>20295</v>
      </c>
      <c r="H149" t="s">
        <v>1</v>
      </c>
      <c r="I149">
        <v>1614</v>
      </c>
      <c r="K149" t="s">
        <v>19838</v>
      </c>
      <c r="L149" t="s">
        <v>65</v>
      </c>
      <c r="M149">
        <v>0</v>
      </c>
      <c r="N149">
        <v>1501.81</v>
      </c>
      <c r="O149">
        <v>1835.06</v>
      </c>
      <c r="P149">
        <v>0</v>
      </c>
    </row>
    <row r="150" spans="1:16">
      <c r="C150">
        <v>2</v>
      </c>
      <c r="D150">
        <v>0</v>
      </c>
      <c r="E150">
        <v>14</v>
      </c>
      <c r="F150" t="s">
        <v>11708</v>
      </c>
      <c r="G150" t="s">
        <v>20296</v>
      </c>
      <c r="H150" t="s">
        <v>1</v>
      </c>
      <c r="I150">
        <v>1616</v>
      </c>
      <c r="K150" t="s">
        <v>19840</v>
      </c>
      <c r="L150" t="s">
        <v>65</v>
      </c>
      <c r="M150">
        <v>0</v>
      </c>
      <c r="N150">
        <v>1726.7</v>
      </c>
      <c r="O150">
        <v>2109.85</v>
      </c>
      <c r="P150">
        <v>0</v>
      </c>
    </row>
    <row r="151" spans="1:16">
      <c r="C151">
        <v>2</v>
      </c>
      <c r="D151">
        <v>0</v>
      </c>
      <c r="E151">
        <v>14</v>
      </c>
      <c r="F151" t="s">
        <v>11708</v>
      </c>
    </row>
    <row r="152" spans="1:16">
      <c r="C152">
        <v>2</v>
      </c>
      <c r="D152">
        <v>0</v>
      </c>
      <c r="E152">
        <v>14</v>
      </c>
      <c r="F152" t="s">
        <v>11708</v>
      </c>
      <c r="H152" t="s">
        <v>20940</v>
      </c>
      <c r="P152">
        <v>0</v>
      </c>
    </row>
    <row r="153" spans="1:16">
      <c r="C153">
        <v>2</v>
      </c>
      <c r="D153">
        <v>0</v>
      </c>
      <c r="E153">
        <v>14</v>
      </c>
      <c r="F153" t="s">
        <v>11708</v>
      </c>
    </row>
    <row r="154" spans="1:16">
      <c r="A154">
        <v>1</v>
      </c>
      <c r="C154">
        <v>2</v>
      </c>
      <c r="D154">
        <v>1</v>
      </c>
      <c r="E154">
        <v>0</v>
      </c>
      <c r="F154" t="s">
        <v>11708</v>
      </c>
      <c r="H154" t="s">
        <v>14556</v>
      </c>
      <c r="I154" t="s">
        <v>14628</v>
      </c>
      <c r="O154" t="s">
        <v>11702</v>
      </c>
      <c r="P154">
        <v>290112.3</v>
      </c>
    </row>
    <row r="155" spans="1:16">
      <c r="C155">
        <v>2</v>
      </c>
      <c r="D155">
        <v>1</v>
      </c>
      <c r="E155">
        <v>0</v>
      </c>
      <c r="F155" t="s">
        <v>11708</v>
      </c>
    </row>
    <row r="156" spans="1:16">
      <c r="C156">
        <v>2</v>
      </c>
      <c r="D156">
        <v>1</v>
      </c>
      <c r="E156">
        <v>1</v>
      </c>
      <c r="F156" t="s">
        <v>11708</v>
      </c>
      <c r="H156" t="s">
        <v>11703</v>
      </c>
      <c r="I156" t="s">
        <v>64</v>
      </c>
      <c r="J156" s="25" t="s">
        <v>20654</v>
      </c>
      <c r="K156" t="s">
        <v>11709</v>
      </c>
      <c r="L156" t="s">
        <v>25</v>
      </c>
      <c r="M156" t="s">
        <v>11704</v>
      </c>
      <c r="N156" t="s">
        <v>11705</v>
      </c>
      <c r="O156" t="s">
        <v>11706</v>
      </c>
      <c r="P156" t="s">
        <v>27</v>
      </c>
    </row>
    <row r="157" spans="1:16">
      <c r="C157">
        <v>2</v>
      </c>
      <c r="D157">
        <v>1</v>
      </c>
      <c r="E157">
        <v>1</v>
      </c>
      <c r="F157" t="s">
        <v>11708</v>
      </c>
    </row>
    <row r="158" spans="1:16">
      <c r="C158">
        <v>2</v>
      </c>
      <c r="D158">
        <v>1</v>
      </c>
      <c r="E158">
        <v>1</v>
      </c>
      <c r="F158" t="s">
        <v>11708</v>
      </c>
      <c r="G158" t="s">
        <v>14597</v>
      </c>
      <c r="H158" t="s">
        <v>70</v>
      </c>
      <c r="I158" t="s">
        <v>19263</v>
      </c>
      <c r="K158" t="s">
        <v>19264</v>
      </c>
      <c r="L158" t="s">
        <v>256</v>
      </c>
      <c r="M158">
        <v>17.25</v>
      </c>
      <c r="N158">
        <v>9.93</v>
      </c>
      <c r="O158">
        <v>12.13</v>
      </c>
      <c r="P158">
        <v>209.24</v>
      </c>
    </row>
    <row r="159" spans="1:16">
      <c r="C159">
        <v>2</v>
      </c>
      <c r="D159">
        <v>1</v>
      </c>
      <c r="E159">
        <v>1</v>
      </c>
      <c r="F159" t="s">
        <v>11708</v>
      </c>
      <c r="G159" t="s">
        <v>14598</v>
      </c>
      <c r="H159" t="s">
        <v>70</v>
      </c>
      <c r="I159">
        <v>85323</v>
      </c>
      <c r="K159" t="s">
        <v>19269</v>
      </c>
      <c r="L159" t="s">
        <v>71</v>
      </c>
      <c r="M159">
        <v>104</v>
      </c>
      <c r="N159">
        <v>1.49</v>
      </c>
      <c r="O159">
        <v>1.82</v>
      </c>
      <c r="P159">
        <v>189.28</v>
      </c>
    </row>
    <row r="160" spans="1:16">
      <c r="C160">
        <v>2</v>
      </c>
      <c r="D160">
        <v>1</v>
      </c>
      <c r="E160">
        <v>1</v>
      </c>
      <c r="F160" t="s">
        <v>11708</v>
      </c>
    </row>
    <row r="161" spans="2:16">
      <c r="C161">
        <v>2</v>
      </c>
      <c r="D161">
        <v>1</v>
      </c>
      <c r="E161">
        <v>1</v>
      </c>
      <c r="F161" t="s">
        <v>11708</v>
      </c>
      <c r="H161" t="s">
        <v>20941</v>
      </c>
      <c r="P161">
        <v>398.52</v>
      </c>
    </row>
    <row r="162" spans="2:16">
      <c r="C162">
        <v>2</v>
      </c>
      <c r="D162">
        <v>1</v>
      </c>
      <c r="E162">
        <v>1</v>
      </c>
    </row>
    <row r="163" spans="2:16">
      <c r="B163">
        <v>1</v>
      </c>
      <c r="C163">
        <v>2</v>
      </c>
      <c r="D163">
        <v>1</v>
      </c>
      <c r="E163">
        <v>2</v>
      </c>
      <c r="F163" t="s">
        <v>11708</v>
      </c>
      <c r="H163" t="s">
        <v>11703</v>
      </c>
      <c r="I163" t="s">
        <v>64</v>
      </c>
      <c r="J163" s="25" t="s">
        <v>20655</v>
      </c>
      <c r="K163" t="s">
        <v>11710</v>
      </c>
      <c r="L163" t="s">
        <v>25</v>
      </c>
      <c r="M163" t="s">
        <v>11704</v>
      </c>
      <c r="N163" t="s">
        <v>11705</v>
      </c>
      <c r="O163" t="s">
        <v>11706</v>
      </c>
      <c r="P163" t="s">
        <v>27</v>
      </c>
    </row>
    <row r="164" spans="2:16">
      <c r="C164">
        <v>2</v>
      </c>
      <c r="D164">
        <v>1</v>
      </c>
      <c r="E164">
        <v>2</v>
      </c>
      <c r="F164" t="s">
        <v>11708</v>
      </c>
    </row>
    <row r="165" spans="2:16">
      <c r="C165">
        <v>2</v>
      </c>
      <c r="D165">
        <v>1</v>
      </c>
      <c r="E165">
        <v>2</v>
      </c>
      <c r="F165" t="s">
        <v>11708</v>
      </c>
      <c r="G165" t="s">
        <v>14599</v>
      </c>
      <c r="H165" t="s">
        <v>70</v>
      </c>
      <c r="I165">
        <v>90105</v>
      </c>
      <c r="K165" t="s">
        <v>18214</v>
      </c>
      <c r="L165" t="s">
        <v>255</v>
      </c>
      <c r="M165">
        <v>196.07</v>
      </c>
      <c r="N165">
        <v>14.07</v>
      </c>
      <c r="O165">
        <v>17.190000000000001</v>
      </c>
      <c r="P165">
        <v>3370.44</v>
      </c>
    </row>
    <row r="166" spans="2:16">
      <c r="C166">
        <v>2</v>
      </c>
      <c r="D166">
        <v>1</v>
      </c>
      <c r="E166">
        <v>2</v>
      </c>
      <c r="F166" t="s">
        <v>11708</v>
      </c>
      <c r="G166" t="s">
        <v>14600</v>
      </c>
      <c r="H166" t="s">
        <v>70</v>
      </c>
      <c r="I166">
        <v>90107</v>
      </c>
      <c r="K166" t="s">
        <v>18216</v>
      </c>
      <c r="L166" t="s">
        <v>255</v>
      </c>
      <c r="M166">
        <v>109.5</v>
      </c>
      <c r="N166">
        <v>11.87</v>
      </c>
      <c r="O166">
        <v>14.5</v>
      </c>
      <c r="P166">
        <v>1587.75</v>
      </c>
    </row>
    <row r="167" spans="2:16">
      <c r="C167">
        <v>2</v>
      </c>
      <c r="D167">
        <v>1</v>
      </c>
      <c r="E167">
        <v>2</v>
      </c>
      <c r="F167" t="s">
        <v>11708</v>
      </c>
      <c r="G167" t="s">
        <v>14601</v>
      </c>
      <c r="H167" t="s">
        <v>70</v>
      </c>
      <c r="I167">
        <v>90094</v>
      </c>
      <c r="K167" t="s">
        <v>18206</v>
      </c>
      <c r="L167" t="s">
        <v>255</v>
      </c>
      <c r="M167">
        <v>16.52</v>
      </c>
      <c r="N167">
        <v>4.01</v>
      </c>
      <c r="O167">
        <v>4.9000000000000004</v>
      </c>
      <c r="P167">
        <v>80.95</v>
      </c>
    </row>
    <row r="168" spans="2:16">
      <c r="C168">
        <v>2</v>
      </c>
      <c r="D168">
        <v>1</v>
      </c>
      <c r="E168">
        <v>2</v>
      </c>
      <c r="F168" t="s">
        <v>11708</v>
      </c>
      <c r="G168" t="s">
        <v>14602</v>
      </c>
      <c r="H168" t="s">
        <v>1</v>
      </c>
      <c r="I168">
        <v>192</v>
      </c>
      <c r="K168" t="s">
        <v>19816</v>
      </c>
      <c r="L168" t="s">
        <v>255</v>
      </c>
      <c r="M168">
        <v>10.89</v>
      </c>
      <c r="N168">
        <v>7.65</v>
      </c>
      <c r="O168">
        <v>9.35</v>
      </c>
      <c r="P168">
        <v>101.82</v>
      </c>
    </row>
    <row r="169" spans="2:16">
      <c r="C169">
        <v>2</v>
      </c>
      <c r="D169">
        <v>1</v>
      </c>
      <c r="E169">
        <v>2</v>
      </c>
      <c r="F169" t="s">
        <v>11708</v>
      </c>
      <c r="G169" t="s">
        <v>14603</v>
      </c>
      <c r="H169" t="s">
        <v>1</v>
      </c>
      <c r="I169">
        <v>193</v>
      </c>
      <c r="K169" t="s">
        <v>19817</v>
      </c>
      <c r="L169" t="s">
        <v>255</v>
      </c>
      <c r="M169">
        <v>7</v>
      </c>
      <c r="N169">
        <v>9.56</v>
      </c>
      <c r="O169">
        <v>11.68</v>
      </c>
      <c r="P169">
        <v>81.760000000000005</v>
      </c>
    </row>
    <row r="170" spans="2:16">
      <c r="C170">
        <v>2</v>
      </c>
      <c r="D170">
        <v>1</v>
      </c>
      <c r="E170">
        <v>2</v>
      </c>
      <c r="F170" t="s">
        <v>11708</v>
      </c>
      <c r="G170" t="s">
        <v>14604</v>
      </c>
      <c r="H170" t="s">
        <v>1</v>
      </c>
      <c r="I170">
        <v>194</v>
      </c>
      <c r="K170" t="s">
        <v>19819</v>
      </c>
      <c r="L170" t="s">
        <v>255</v>
      </c>
      <c r="M170">
        <v>10.89</v>
      </c>
      <c r="N170">
        <v>7.59</v>
      </c>
      <c r="O170">
        <v>9.27</v>
      </c>
      <c r="P170">
        <v>100.95</v>
      </c>
    </row>
    <row r="171" spans="2:16">
      <c r="C171">
        <v>2</v>
      </c>
      <c r="D171">
        <v>1</v>
      </c>
      <c r="E171">
        <v>2</v>
      </c>
      <c r="F171" t="s">
        <v>11708</v>
      </c>
      <c r="G171" t="s">
        <v>14605</v>
      </c>
      <c r="H171" t="s">
        <v>1</v>
      </c>
      <c r="I171">
        <v>195</v>
      </c>
      <c r="K171" t="s">
        <v>19820</v>
      </c>
      <c r="L171" t="s">
        <v>255</v>
      </c>
      <c r="M171">
        <v>7</v>
      </c>
      <c r="N171">
        <v>9.51</v>
      </c>
      <c r="O171">
        <v>11.62</v>
      </c>
      <c r="P171">
        <v>81.34</v>
      </c>
    </row>
    <row r="172" spans="2:16">
      <c r="C172">
        <v>2</v>
      </c>
      <c r="D172">
        <v>1</v>
      </c>
      <c r="E172">
        <v>2</v>
      </c>
      <c r="F172" t="s">
        <v>11708</v>
      </c>
      <c r="G172" t="s">
        <v>14606</v>
      </c>
      <c r="H172" t="s">
        <v>70</v>
      </c>
      <c r="I172">
        <v>93358</v>
      </c>
      <c r="K172" t="s">
        <v>826</v>
      </c>
      <c r="L172" t="s">
        <v>255</v>
      </c>
      <c r="M172">
        <v>16.95</v>
      </c>
      <c r="N172">
        <v>52.29</v>
      </c>
      <c r="O172">
        <v>63.89</v>
      </c>
      <c r="P172">
        <v>1082.94</v>
      </c>
    </row>
    <row r="173" spans="2:16">
      <c r="C173">
        <v>2</v>
      </c>
      <c r="D173">
        <v>1</v>
      </c>
      <c r="E173">
        <v>2</v>
      </c>
      <c r="F173" t="s">
        <v>11708</v>
      </c>
      <c r="G173" t="s">
        <v>14607</v>
      </c>
      <c r="H173" t="s">
        <v>1</v>
      </c>
      <c r="I173">
        <v>170</v>
      </c>
      <c r="K173" t="s">
        <v>19822</v>
      </c>
      <c r="L173" t="s">
        <v>255</v>
      </c>
      <c r="M173">
        <v>0.56999999999999995</v>
      </c>
      <c r="N173">
        <v>55.58</v>
      </c>
      <c r="O173">
        <v>67.91</v>
      </c>
      <c r="P173">
        <v>38.71</v>
      </c>
    </row>
    <row r="174" spans="2:16">
      <c r="C174">
        <v>2</v>
      </c>
      <c r="D174">
        <v>1</v>
      </c>
      <c r="E174">
        <v>2</v>
      </c>
      <c r="F174" t="s">
        <v>11708</v>
      </c>
      <c r="G174" t="s">
        <v>14608</v>
      </c>
      <c r="H174" t="s">
        <v>1</v>
      </c>
      <c r="I174">
        <v>171</v>
      </c>
      <c r="K174" t="s">
        <v>19823</v>
      </c>
      <c r="L174" t="s">
        <v>255</v>
      </c>
      <c r="M174">
        <v>0.37</v>
      </c>
      <c r="N174">
        <v>84.57</v>
      </c>
      <c r="O174">
        <v>103.34</v>
      </c>
      <c r="P174">
        <v>38.24</v>
      </c>
    </row>
    <row r="175" spans="2:16">
      <c r="C175">
        <v>2</v>
      </c>
      <c r="D175">
        <v>1</v>
      </c>
      <c r="E175">
        <v>2</v>
      </c>
      <c r="F175" t="s">
        <v>11708</v>
      </c>
      <c r="G175" t="s">
        <v>14609</v>
      </c>
      <c r="H175" t="s">
        <v>1</v>
      </c>
      <c r="I175">
        <v>176</v>
      </c>
      <c r="K175" t="s">
        <v>19826</v>
      </c>
      <c r="L175" t="s">
        <v>255</v>
      </c>
      <c r="M175">
        <v>0.56999999999999995</v>
      </c>
      <c r="N175">
        <v>47.89</v>
      </c>
      <c r="O175">
        <v>58.52</v>
      </c>
      <c r="P175">
        <v>33.36</v>
      </c>
    </row>
    <row r="176" spans="2:16">
      <c r="C176">
        <v>2</v>
      </c>
      <c r="D176">
        <v>1</v>
      </c>
      <c r="E176">
        <v>2</v>
      </c>
      <c r="F176" t="s">
        <v>11708</v>
      </c>
      <c r="G176" t="s">
        <v>14610</v>
      </c>
      <c r="H176" t="s">
        <v>1</v>
      </c>
      <c r="I176">
        <v>177</v>
      </c>
      <c r="K176" t="s">
        <v>19827</v>
      </c>
      <c r="L176" t="s">
        <v>255</v>
      </c>
      <c r="M176">
        <v>0.37</v>
      </c>
      <c r="N176">
        <v>58.46</v>
      </c>
      <c r="O176">
        <v>71.430000000000007</v>
      </c>
      <c r="P176">
        <v>26.43</v>
      </c>
    </row>
    <row r="177" spans="2:16">
      <c r="C177">
        <v>2</v>
      </c>
      <c r="D177">
        <v>1</v>
      </c>
      <c r="E177">
        <v>2</v>
      </c>
      <c r="F177" t="s">
        <v>11708</v>
      </c>
      <c r="G177" t="s">
        <v>14611</v>
      </c>
      <c r="H177" t="s">
        <v>70</v>
      </c>
      <c r="I177" t="s">
        <v>15726</v>
      </c>
      <c r="K177" t="s">
        <v>350</v>
      </c>
      <c r="L177" t="s">
        <v>57</v>
      </c>
      <c r="M177">
        <v>5</v>
      </c>
      <c r="N177">
        <v>6.2</v>
      </c>
      <c r="O177">
        <v>7.58</v>
      </c>
      <c r="P177">
        <v>37.9</v>
      </c>
    </row>
    <row r="178" spans="2:16">
      <c r="C178">
        <v>2</v>
      </c>
      <c r="D178">
        <v>1</v>
      </c>
      <c r="E178">
        <v>2</v>
      </c>
      <c r="F178" t="s">
        <v>11708</v>
      </c>
      <c r="G178" t="s">
        <v>20301</v>
      </c>
      <c r="H178" t="s">
        <v>70</v>
      </c>
      <c r="I178">
        <v>93367</v>
      </c>
      <c r="K178" t="s">
        <v>18245</v>
      </c>
      <c r="L178" t="s">
        <v>255</v>
      </c>
      <c r="M178">
        <v>183.1</v>
      </c>
      <c r="N178">
        <v>17.86</v>
      </c>
      <c r="O178">
        <v>21.82</v>
      </c>
      <c r="P178">
        <v>3995.24</v>
      </c>
    </row>
    <row r="179" spans="2:16">
      <c r="C179">
        <v>2</v>
      </c>
      <c r="D179">
        <v>1</v>
      </c>
      <c r="E179">
        <v>2</v>
      </c>
      <c r="F179" t="s">
        <v>11708</v>
      </c>
      <c r="G179" t="s">
        <v>20302</v>
      </c>
      <c r="H179" t="s">
        <v>70</v>
      </c>
      <c r="I179">
        <v>93369</v>
      </c>
      <c r="K179" t="s">
        <v>18247</v>
      </c>
      <c r="L179" t="s">
        <v>255</v>
      </c>
      <c r="M179">
        <v>95.7</v>
      </c>
      <c r="N179">
        <v>9.2200000000000006</v>
      </c>
      <c r="O179">
        <v>11.27</v>
      </c>
      <c r="P179">
        <v>1078.54</v>
      </c>
    </row>
    <row r="180" spans="2:16">
      <c r="C180">
        <v>2</v>
      </c>
      <c r="D180">
        <v>1</v>
      </c>
      <c r="E180">
        <v>2</v>
      </c>
      <c r="F180" t="s">
        <v>11708</v>
      </c>
      <c r="G180" t="s">
        <v>20303</v>
      </c>
      <c r="H180" t="s">
        <v>70</v>
      </c>
      <c r="I180">
        <v>93371</v>
      </c>
      <c r="K180" t="s">
        <v>18249</v>
      </c>
      <c r="L180" t="s">
        <v>255</v>
      </c>
      <c r="M180">
        <v>13.66</v>
      </c>
      <c r="N180">
        <v>7.5</v>
      </c>
      <c r="O180">
        <v>9.16</v>
      </c>
      <c r="P180">
        <v>125.13</v>
      </c>
    </row>
    <row r="181" spans="2:16">
      <c r="C181">
        <v>2</v>
      </c>
      <c r="D181">
        <v>1</v>
      </c>
      <c r="E181">
        <v>2</v>
      </c>
      <c r="F181" t="s">
        <v>11708</v>
      </c>
      <c r="G181" t="s">
        <v>14612</v>
      </c>
      <c r="H181" t="s">
        <v>70</v>
      </c>
      <c r="I181" t="s">
        <v>18237</v>
      </c>
      <c r="K181" t="s">
        <v>829</v>
      </c>
      <c r="L181" t="s">
        <v>255</v>
      </c>
      <c r="M181">
        <v>32.5</v>
      </c>
      <c r="N181">
        <v>39.659999999999997</v>
      </c>
      <c r="O181">
        <v>48.46</v>
      </c>
      <c r="P181">
        <v>1574.95</v>
      </c>
    </row>
    <row r="182" spans="2:16">
      <c r="C182">
        <v>2</v>
      </c>
      <c r="D182">
        <v>1</v>
      </c>
      <c r="E182">
        <v>2</v>
      </c>
      <c r="F182" t="s">
        <v>11708</v>
      </c>
    </row>
    <row r="183" spans="2:16">
      <c r="C183">
        <v>2</v>
      </c>
      <c r="D183">
        <v>1</v>
      </c>
      <c r="E183">
        <v>2</v>
      </c>
      <c r="F183" t="s">
        <v>11708</v>
      </c>
      <c r="H183" t="s">
        <v>20942</v>
      </c>
      <c r="P183">
        <v>13436.449999999999</v>
      </c>
    </row>
    <row r="184" spans="2:16">
      <c r="C184">
        <v>2</v>
      </c>
      <c r="D184">
        <v>1</v>
      </c>
      <c r="E184">
        <v>2</v>
      </c>
      <c r="F184" t="s">
        <v>11708</v>
      </c>
    </row>
    <row r="185" spans="2:16">
      <c r="B185">
        <v>1</v>
      </c>
      <c r="C185">
        <v>2</v>
      </c>
      <c r="D185">
        <v>1</v>
      </c>
      <c r="E185">
        <v>3</v>
      </c>
      <c r="F185" t="s">
        <v>11708</v>
      </c>
      <c r="H185" t="s">
        <v>11703</v>
      </c>
      <c r="I185" t="s">
        <v>64</v>
      </c>
      <c r="J185" s="25" t="s">
        <v>20656</v>
      </c>
      <c r="K185" t="s">
        <v>11713</v>
      </c>
      <c r="L185" t="s">
        <v>25</v>
      </c>
      <c r="M185" t="s">
        <v>11704</v>
      </c>
      <c r="N185" t="s">
        <v>11705</v>
      </c>
      <c r="O185" t="s">
        <v>11706</v>
      </c>
      <c r="P185" t="s">
        <v>27</v>
      </c>
    </row>
    <row r="186" spans="2:16">
      <c r="C186">
        <v>2</v>
      </c>
      <c r="D186">
        <v>1</v>
      </c>
      <c r="E186">
        <v>3</v>
      </c>
      <c r="F186" t="s">
        <v>11708</v>
      </c>
    </row>
    <row r="187" spans="2:16">
      <c r="C187">
        <v>2</v>
      </c>
      <c r="D187">
        <v>1</v>
      </c>
      <c r="E187">
        <v>3</v>
      </c>
      <c r="F187" t="s">
        <v>11708</v>
      </c>
      <c r="G187" t="s">
        <v>14616</v>
      </c>
      <c r="H187" t="s">
        <v>70</v>
      </c>
      <c r="I187" t="s">
        <v>18276</v>
      </c>
      <c r="K187" t="s">
        <v>18277</v>
      </c>
      <c r="L187" t="s">
        <v>255</v>
      </c>
      <c r="M187">
        <v>51.75</v>
      </c>
      <c r="N187">
        <v>1.76</v>
      </c>
      <c r="O187">
        <v>2.15</v>
      </c>
      <c r="P187">
        <v>111.26</v>
      </c>
    </row>
    <row r="188" spans="2:16">
      <c r="C188">
        <v>2</v>
      </c>
      <c r="D188">
        <v>1</v>
      </c>
      <c r="E188">
        <v>3</v>
      </c>
      <c r="F188" t="s">
        <v>11708</v>
      </c>
      <c r="G188" t="s">
        <v>14617</v>
      </c>
      <c r="H188" t="s">
        <v>70</v>
      </c>
      <c r="I188">
        <v>93590</v>
      </c>
      <c r="K188" t="s">
        <v>19275</v>
      </c>
      <c r="L188" t="s">
        <v>9853</v>
      </c>
      <c r="M188">
        <v>414</v>
      </c>
      <c r="N188">
        <v>0.74</v>
      </c>
      <c r="O188">
        <v>0.9</v>
      </c>
      <c r="P188">
        <v>372.6</v>
      </c>
    </row>
    <row r="189" spans="2:16">
      <c r="C189">
        <v>2</v>
      </c>
      <c r="D189">
        <v>1</v>
      </c>
      <c r="E189">
        <v>3</v>
      </c>
      <c r="F189" t="s">
        <v>11708</v>
      </c>
      <c r="G189" t="s">
        <v>14618</v>
      </c>
      <c r="H189" t="s">
        <v>70</v>
      </c>
      <c r="I189">
        <v>83344</v>
      </c>
      <c r="K189" t="s">
        <v>18317</v>
      </c>
      <c r="L189" t="s">
        <v>255</v>
      </c>
      <c r="M189">
        <v>51.75</v>
      </c>
      <c r="N189">
        <v>1.02</v>
      </c>
      <c r="O189">
        <v>1.25</v>
      </c>
      <c r="P189">
        <v>64.69</v>
      </c>
    </row>
    <row r="190" spans="2:16">
      <c r="C190">
        <v>2</v>
      </c>
      <c r="D190">
        <v>1</v>
      </c>
      <c r="E190">
        <v>3</v>
      </c>
      <c r="F190" t="s">
        <v>11708</v>
      </c>
    </row>
    <row r="191" spans="2:16">
      <c r="C191">
        <v>2</v>
      </c>
      <c r="D191">
        <v>1</v>
      </c>
      <c r="E191">
        <v>3</v>
      </c>
      <c r="F191" t="s">
        <v>11708</v>
      </c>
      <c r="H191" t="s">
        <v>20943</v>
      </c>
      <c r="P191">
        <v>548.54999999999995</v>
      </c>
    </row>
    <row r="192" spans="2:16">
      <c r="C192">
        <v>2</v>
      </c>
      <c r="D192">
        <v>1</v>
      </c>
      <c r="E192">
        <v>3</v>
      </c>
    </row>
    <row r="193" spans="2:16">
      <c r="B193">
        <v>1</v>
      </c>
      <c r="C193">
        <v>2</v>
      </c>
      <c r="D193">
        <v>1</v>
      </c>
      <c r="E193">
        <v>4</v>
      </c>
      <c r="F193" t="s">
        <v>11708</v>
      </c>
      <c r="H193" t="s">
        <v>11703</v>
      </c>
      <c r="I193" t="s">
        <v>64</v>
      </c>
      <c r="J193" s="25" t="s">
        <v>20657</v>
      </c>
      <c r="K193" t="s">
        <v>14252</v>
      </c>
      <c r="L193" t="s">
        <v>25</v>
      </c>
      <c r="M193" t="s">
        <v>11704</v>
      </c>
      <c r="N193" t="s">
        <v>11705</v>
      </c>
      <c r="O193" t="s">
        <v>11706</v>
      </c>
      <c r="P193" t="s">
        <v>27</v>
      </c>
    </row>
    <row r="194" spans="2:16">
      <c r="C194">
        <v>2</v>
      </c>
      <c r="D194">
        <v>1</v>
      </c>
      <c r="E194">
        <v>4</v>
      </c>
      <c r="F194" t="s">
        <v>11708</v>
      </c>
    </row>
    <row r="195" spans="2:16">
      <c r="C195">
        <v>2</v>
      </c>
      <c r="D195">
        <v>1</v>
      </c>
      <c r="E195">
        <v>4</v>
      </c>
      <c r="F195" t="s">
        <v>11708</v>
      </c>
      <c r="G195" t="s">
        <v>14613</v>
      </c>
      <c r="H195" t="s">
        <v>70</v>
      </c>
      <c r="I195">
        <v>79472</v>
      </c>
      <c r="K195" t="s">
        <v>8710</v>
      </c>
      <c r="L195" t="s">
        <v>256</v>
      </c>
      <c r="M195">
        <v>17.25</v>
      </c>
      <c r="N195">
        <v>0.56000000000000005</v>
      </c>
      <c r="O195">
        <v>0.68</v>
      </c>
      <c r="P195">
        <v>11.73</v>
      </c>
    </row>
    <row r="196" spans="2:16">
      <c r="C196">
        <v>2</v>
      </c>
      <c r="D196">
        <v>1</v>
      </c>
      <c r="E196">
        <v>4</v>
      </c>
      <c r="F196" t="s">
        <v>11708</v>
      </c>
      <c r="G196" t="s">
        <v>14614</v>
      </c>
      <c r="H196" t="s">
        <v>70</v>
      </c>
      <c r="I196">
        <v>94116</v>
      </c>
      <c r="K196" t="s">
        <v>18309</v>
      </c>
      <c r="L196" t="s">
        <v>255</v>
      </c>
      <c r="M196">
        <v>2.59</v>
      </c>
      <c r="N196">
        <v>120.39</v>
      </c>
      <c r="O196">
        <v>147.1</v>
      </c>
      <c r="P196">
        <v>380.99</v>
      </c>
    </row>
    <row r="197" spans="2:16">
      <c r="C197">
        <v>2</v>
      </c>
      <c r="D197">
        <v>1</v>
      </c>
      <c r="E197">
        <v>4</v>
      </c>
      <c r="F197" t="s">
        <v>11708</v>
      </c>
      <c r="G197" t="s">
        <v>14615</v>
      </c>
      <c r="H197" t="s">
        <v>70</v>
      </c>
      <c r="I197">
        <v>95241</v>
      </c>
      <c r="K197" t="s">
        <v>6694</v>
      </c>
      <c r="L197" t="s">
        <v>256</v>
      </c>
      <c r="M197">
        <v>17.25</v>
      </c>
      <c r="N197">
        <v>18.73</v>
      </c>
      <c r="O197">
        <v>22.89</v>
      </c>
      <c r="P197">
        <v>394.85</v>
      </c>
    </row>
    <row r="198" spans="2:16">
      <c r="C198">
        <v>2</v>
      </c>
      <c r="D198">
        <v>1</v>
      </c>
      <c r="E198">
        <v>4</v>
      </c>
      <c r="F198" t="s">
        <v>11708</v>
      </c>
    </row>
    <row r="199" spans="2:16">
      <c r="C199">
        <v>2</v>
      </c>
      <c r="D199">
        <v>1</v>
      </c>
      <c r="E199">
        <v>4</v>
      </c>
      <c r="F199" t="s">
        <v>11708</v>
      </c>
      <c r="H199" t="s">
        <v>20944</v>
      </c>
      <c r="P199">
        <v>787.57</v>
      </c>
    </row>
    <row r="200" spans="2:16">
      <c r="C200">
        <v>2</v>
      </c>
      <c r="D200">
        <v>1</v>
      </c>
      <c r="E200">
        <v>4</v>
      </c>
    </row>
    <row r="201" spans="2:16">
      <c r="C201">
        <v>2</v>
      </c>
      <c r="D201">
        <v>1</v>
      </c>
      <c r="E201">
        <v>4</v>
      </c>
      <c r="F201" t="s">
        <v>11708</v>
      </c>
    </row>
    <row r="202" spans="2:16">
      <c r="B202">
        <v>1</v>
      </c>
      <c r="C202">
        <v>2</v>
      </c>
      <c r="D202">
        <v>1</v>
      </c>
      <c r="E202">
        <v>5</v>
      </c>
      <c r="F202" t="s">
        <v>11708</v>
      </c>
      <c r="H202" t="s">
        <v>11703</v>
      </c>
      <c r="I202" t="s">
        <v>64</v>
      </c>
      <c r="J202" s="25" t="s">
        <v>20658</v>
      </c>
      <c r="K202" t="s">
        <v>11714</v>
      </c>
      <c r="L202" t="s">
        <v>25</v>
      </c>
      <c r="M202" t="s">
        <v>11704</v>
      </c>
      <c r="N202" t="s">
        <v>11705</v>
      </c>
      <c r="O202" t="s">
        <v>11706</v>
      </c>
      <c r="P202" t="s">
        <v>27</v>
      </c>
    </row>
    <row r="203" spans="2:16">
      <c r="C203">
        <v>2</v>
      </c>
      <c r="D203">
        <v>1</v>
      </c>
      <c r="E203">
        <v>5</v>
      </c>
      <c r="F203" t="s">
        <v>11708</v>
      </c>
    </row>
    <row r="204" spans="2:16">
      <c r="C204">
        <v>2</v>
      </c>
      <c r="D204">
        <v>1</v>
      </c>
      <c r="E204">
        <v>5</v>
      </c>
      <c r="F204" t="s">
        <v>11708</v>
      </c>
      <c r="G204" t="s">
        <v>20347</v>
      </c>
      <c r="H204" t="s">
        <v>70</v>
      </c>
      <c r="I204">
        <v>92415</v>
      </c>
      <c r="K204" t="s">
        <v>16234</v>
      </c>
      <c r="L204" t="s">
        <v>256</v>
      </c>
      <c r="M204">
        <v>222.2</v>
      </c>
      <c r="N204">
        <v>73.489999999999995</v>
      </c>
      <c r="O204">
        <v>89.8</v>
      </c>
      <c r="P204">
        <v>19953.560000000001</v>
      </c>
    </row>
    <row r="205" spans="2:16">
      <c r="C205">
        <v>2</v>
      </c>
      <c r="D205">
        <v>1</v>
      </c>
      <c r="E205">
        <v>5</v>
      </c>
      <c r="F205" t="s">
        <v>11708</v>
      </c>
      <c r="G205" t="s">
        <v>20348</v>
      </c>
      <c r="H205" t="s">
        <v>70</v>
      </c>
      <c r="I205">
        <v>92510</v>
      </c>
      <c r="K205" t="s">
        <v>16326</v>
      </c>
      <c r="L205" t="s">
        <v>256</v>
      </c>
      <c r="M205">
        <v>21.07</v>
      </c>
      <c r="N205">
        <v>27.47</v>
      </c>
      <c r="O205">
        <v>33.57</v>
      </c>
      <c r="P205">
        <v>707.32</v>
      </c>
    </row>
    <row r="206" spans="2:16">
      <c r="C206">
        <v>2</v>
      </c>
      <c r="D206">
        <v>1</v>
      </c>
      <c r="E206">
        <v>5</v>
      </c>
      <c r="F206" t="s">
        <v>11708</v>
      </c>
      <c r="G206" t="s">
        <v>14619</v>
      </c>
      <c r="H206" t="s">
        <v>70</v>
      </c>
      <c r="I206">
        <v>34494</v>
      </c>
      <c r="K206" t="s">
        <v>3785</v>
      </c>
      <c r="L206" t="s">
        <v>255</v>
      </c>
      <c r="M206">
        <v>24</v>
      </c>
      <c r="N206">
        <v>249.47</v>
      </c>
      <c r="O206">
        <v>304.83</v>
      </c>
      <c r="P206">
        <v>7315.92</v>
      </c>
    </row>
    <row r="207" spans="2:16">
      <c r="C207">
        <v>2</v>
      </c>
      <c r="D207">
        <v>1</v>
      </c>
      <c r="E207">
        <v>5</v>
      </c>
      <c r="F207" t="s">
        <v>11708</v>
      </c>
      <c r="G207" t="s">
        <v>20332</v>
      </c>
      <c r="H207" t="s">
        <v>70</v>
      </c>
      <c r="I207">
        <v>92874</v>
      </c>
      <c r="K207" t="s">
        <v>16528</v>
      </c>
      <c r="L207" t="s">
        <v>255</v>
      </c>
      <c r="M207">
        <v>24</v>
      </c>
      <c r="N207">
        <v>23.46</v>
      </c>
      <c r="O207">
        <v>28.67</v>
      </c>
      <c r="P207">
        <v>688.08</v>
      </c>
    </row>
    <row r="208" spans="2:16">
      <c r="C208">
        <v>2</v>
      </c>
      <c r="D208">
        <v>1</v>
      </c>
      <c r="E208">
        <v>5</v>
      </c>
      <c r="F208" t="s">
        <v>11708</v>
      </c>
      <c r="G208" t="s">
        <v>20305</v>
      </c>
      <c r="H208" t="s">
        <v>70</v>
      </c>
      <c r="I208">
        <v>92915</v>
      </c>
      <c r="K208" t="s">
        <v>16452</v>
      </c>
      <c r="L208" t="s">
        <v>90</v>
      </c>
      <c r="M208">
        <v>19</v>
      </c>
      <c r="N208">
        <v>12.53</v>
      </c>
      <c r="O208">
        <v>15.31</v>
      </c>
      <c r="P208">
        <v>290.89</v>
      </c>
    </row>
    <row r="209" spans="2:16">
      <c r="C209">
        <v>2</v>
      </c>
      <c r="D209">
        <v>1</v>
      </c>
      <c r="E209">
        <v>5</v>
      </c>
      <c r="F209" t="s">
        <v>11708</v>
      </c>
      <c r="G209" t="s">
        <v>20306</v>
      </c>
      <c r="H209" t="s">
        <v>70</v>
      </c>
      <c r="I209">
        <v>92917</v>
      </c>
      <c r="K209" t="s">
        <v>16454</v>
      </c>
      <c r="L209" t="s">
        <v>90</v>
      </c>
      <c r="M209">
        <v>1617.1</v>
      </c>
      <c r="N209">
        <v>11</v>
      </c>
      <c r="O209">
        <v>13.44</v>
      </c>
      <c r="P209">
        <v>21733.82</v>
      </c>
    </row>
    <row r="210" spans="2:16">
      <c r="C210">
        <v>2</v>
      </c>
      <c r="D210">
        <v>1</v>
      </c>
      <c r="E210">
        <v>5</v>
      </c>
      <c r="F210" t="s">
        <v>11708</v>
      </c>
      <c r="G210" t="s">
        <v>20307</v>
      </c>
      <c r="H210" t="s">
        <v>70</v>
      </c>
      <c r="I210">
        <v>92919</v>
      </c>
      <c r="K210" t="s">
        <v>16455</v>
      </c>
      <c r="L210" t="s">
        <v>90</v>
      </c>
      <c r="M210">
        <v>125</v>
      </c>
      <c r="N210">
        <v>8.93</v>
      </c>
      <c r="O210">
        <v>10.91</v>
      </c>
      <c r="P210">
        <v>1363.75</v>
      </c>
    </row>
    <row r="211" spans="2:16">
      <c r="C211">
        <v>2</v>
      </c>
      <c r="D211">
        <v>1</v>
      </c>
      <c r="E211">
        <v>5</v>
      </c>
      <c r="F211" t="s">
        <v>11708</v>
      </c>
      <c r="G211" t="s">
        <v>20308</v>
      </c>
      <c r="H211" t="s">
        <v>70</v>
      </c>
      <c r="I211">
        <v>92921</v>
      </c>
      <c r="K211" t="s">
        <v>16456</v>
      </c>
      <c r="L211" t="s">
        <v>90</v>
      </c>
      <c r="M211">
        <v>552</v>
      </c>
      <c r="N211">
        <v>7.43</v>
      </c>
      <c r="O211">
        <v>9.08</v>
      </c>
      <c r="P211">
        <v>5012.16</v>
      </c>
    </row>
    <row r="212" spans="2:16">
      <c r="C212">
        <v>2</v>
      </c>
      <c r="D212">
        <v>1</v>
      </c>
      <c r="E212">
        <v>5</v>
      </c>
      <c r="F212" t="s">
        <v>11708</v>
      </c>
      <c r="G212" t="s">
        <v>20304</v>
      </c>
      <c r="H212" t="s">
        <v>70</v>
      </c>
      <c r="I212" t="s">
        <v>19257</v>
      </c>
      <c r="K212" t="s">
        <v>5042</v>
      </c>
      <c r="L212" t="s">
        <v>65</v>
      </c>
      <c r="M212">
        <v>1</v>
      </c>
      <c r="N212">
        <v>83.42</v>
      </c>
      <c r="O212">
        <v>101.93</v>
      </c>
      <c r="P212">
        <v>101.93</v>
      </c>
    </row>
    <row r="213" spans="2:16">
      <c r="C213">
        <v>2</v>
      </c>
      <c r="D213">
        <v>1</v>
      </c>
      <c r="E213">
        <v>5</v>
      </c>
      <c r="F213" t="s">
        <v>11708</v>
      </c>
      <c r="G213" t="s">
        <v>14620</v>
      </c>
      <c r="H213" t="s">
        <v>1</v>
      </c>
      <c r="I213" t="s">
        <v>20200</v>
      </c>
      <c r="K213" t="s">
        <v>20201</v>
      </c>
      <c r="L213" t="s">
        <v>14339</v>
      </c>
      <c r="M213">
        <v>5</v>
      </c>
      <c r="N213">
        <v>94.7</v>
      </c>
      <c r="O213">
        <v>115.71</v>
      </c>
      <c r="P213">
        <v>578.54999999999995</v>
      </c>
    </row>
    <row r="214" spans="2:16">
      <c r="C214">
        <v>2</v>
      </c>
      <c r="D214">
        <v>1</v>
      </c>
      <c r="E214">
        <v>5</v>
      </c>
      <c r="F214" t="s">
        <v>11708</v>
      </c>
    </row>
    <row r="215" spans="2:16">
      <c r="C215">
        <v>2</v>
      </c>
      <c r="D215">
        <v>1</v>
      </c>
      <c r="E215">
        <v>5</v>
      </c>
      <c r="F215" t="s">
        <v>11708</v>
      </c>
      <c r="H215" t="s">
        <v>20945</v>
      </c>
      <c r="P215">
        <v>57745.98</v>
      </c>
    </row>
    <row r="216" spans="2:16">
      <c r="C216">
        <v>2</v>
      </c>
      <c r="D216">
        <v>1</v>
      </c>
      <c r="E216">
        <v>5</v>
      </c>
      <c r="F216" t="s">
        <v>11708</v>
      </c>
    </row>
    <row r="217" spans="2:16">
      <c r="B217">
        <v>1</v>
      </c>
      <c r="C217">
        <v>2</v>
      </c>
      <c r="D217">
        <v>1</v>
      </c>
      <c r="E217">
        <v>6</v>
      </c>
      <c r="F217" t="s">
        <v>11708</v>
      </c>
      <c r="H217" t="s">
        <v>11703</v>
      </c>
      <c r="I217" t="s">
        <v>64</v>
      </c>
      <c r="J217" s="25" t="s">
        <v>20659</v>
      </c>
      <c r="K217" t="s">
        <v>14253</v>
      </c>
      <c r="L217" t="s">
        <v>25</v>
      </c>
      <c r="M217" t="s">
        <v>11704</v>
      </c>
      <c r="N217" t="s">
        <v>11705</v>
      </c>
      <c r="O217" t="s">
        <v>11706</v>
      </c>
      <c r="P217" t="s">
        <v>27</v>
      </c>
    </row>
    <row r="218" spans="2:16">
      <c r="C218">
        <v>2</v>
      </c>
      <c r="D218">
        <v>1</v>
      </c>
      <c r="E218">
        <v>6</v>
      </c>
      <c r="F218" t="s">
        <v>11708</v>
      </c>
    </row>
    <row r="219" spans="2:16">
      <c r="C219">
        <v>2</v>
      </c>
      <c r="D219">
        <v>1</v>
      </c>
      <c r="E219">
        <v>6</v>
      </c>
      <c r="F219" t="s">
        <v>11708</v>
      </c>
      <c r="G219" t="s">
        <v>14621</v>
      </c>
      <c r="H219" t="s">
        <v>13957</v>
      </c>
      <c r="I219" t="s">
        <v>14271</v>
      </c>
      <c r="K219" t="s">
        <v>14255</v>
      </c>
      <c r="L219" t="s">
        <v>71</v>
      </c>
      <c r="M219">
        <v>37</v>
      </c>
      <c r="N219">
        <v>4740.9865726315802</v>
      </c>
      <c r="O219">
        <v>5793.01</v>
      </c>
      <c r="P219">
        <v>214341.37</v>
      </c>
    </row>
    <row r="220" spans="2:16">
      <c r="C220">
        <v>2</v>
      </c>
      <c r="D220">
        <v>1</v>
      </c>
      <c r="E220">
        <v>6</v>
      </c>
      <c r="F220" t="s">
        <v>11708</v>
      </c>
    </row>
    <row r="221" spans="2:16">
      <c r="C221">
        <v>2</v>
      </c>
      <c r="D221">
        <v>1</v>
      </c>
      <c r="E221">
        <v>6</v>
      </c>
      <c r="F221" t="s">
        <v>11708</v>
      </c>
      <c r="H221" t="s">
        <v>20946</v>
      </c>
      <c r="P221">
        <v>214341.37</v>
      </c>
    </row>
    <row r="222" spans="2:16">
      <c r="C222">
        <v>2</v>
      </c>
      <c r="D222">
        <v>1</v>
      </c>
      <c r="E222">
        <v>6</v>
      </c>
      <c r="F222" t="s">
        <v>11708</v>
      </c>
    </row>
    <row r="223" spans="2:16">
      <c r="B223">
        <v>1</v>
      </c>
      <c r="C223">
        <v>2</v>
      </c>
      <c r="D223">
        <v>1</v>
      </c>
      <c r="E223">
        <v>7</v>
      </c>
      <c r="F223" t="s">
        <v>11708</v>
      </c>
      <c r="H223" t="s">
        <v>11703</v>
      </c>
      <c r="I223" t="s">
        <v>64</v>
      </c>
      <c r="J223" s="25" t="s">
        <v>20660</v>
      </c>
      <c r="K223" t="s">
        <v>11717</v>
      </c>
      <c r="L223" t="s">
        <v>25</v>
      </c>
      <c r="M223" t="s">
        <v>11704</v>
      </c>
      <c r="N223" t="s">
        <v>11705</v>
      </c>
      <c r="O223" t="s">
        <v>11706</v>
      </c>
      <c r="P223" t="s">
        <v>27</v>
      </c>
    </row>
    <row r="224" spans="2:16">
      <c r="C224">
        <v>2</v>
      </c>
      <c r="D224">
        <v>1</v>
      </c>
      <c r="E224">
        <v>7</v>
      </c>
      <c r="F224" t="s">
        <v>11708</v>
      </c>
    </row>
    <row r="225" spans="2:16">
      <c r="C225">
        <v>2</v>
      </c>
      <c r="D225">
        <v>1</v>
      </c>
      <c r="E225">
        <v>7</v>
      </c>
      <c r="F225" t="s">
        <v>11708</v>
      </c>
      <c r="G225" t="s">
        <v>20357</v>
      </c>
      <c r="H225" t="s">
        <v>70</v>
      </c>
      <c r="I225">
        <v>73665</v>
      </c>
      <c r="K225" t="s">
        <v>16123</v>
      </c>
      <c r="L225" t="s">
        <v>71</v>
      </c>
      <c r="M225">
        <v>12.3</v>
      </c>
      <c r="N225">
        <v>56.2</v>
      </c>
      <c r="O225">
        <v>68.67</v>
      </c>
      <c r="P225">
        <v>844.64</v>
      </c>
    </row>
    <row r="226" spans="2:16">
      <c r="C226">
        <v>2</v>
      </c>
      <c r="D226">
        <v>1</v>
      </c>
      <c r="E226">
        <v>7</v>
      </c>
      <c r="F226" t="s">
        <v>11708</v>
      </c>
    </row>
    <row r="227" spans="2:16">
      <c r="C227">
        <v>2</v>
      </c>
      <c r="D227">
        <v>1</v>
      </c>
      <c r="E227">
        <v>7</v>
      </c>
      <c r="F227" t="s">
        <v>11708</v>
      </c>
      <c r="H227" t="s">
        <v>20947</v>
      </c>
      <c r="P227">
        <v>844.64</v>
      </c>
    </row>
    <row r="228" spans="2:16">
      <c r="C228">
        <v>2</v>
      </c>
      <c r="D228">
        <v>1</v>
      </c>
      <c r="E228">
        <v>7</v>
      </c>
      <c r="F228" t="s">
        <v>11708</v>
      </c>
    </row>
    <row r="229" spans="2:16">
      <c r="B229">
        <v>1</v>
      </c>
      <c r="C229">
        <v>2</v>
      </c>
      <c r="D229">
        <v>1</v>
      </c>
      <c r="E229">
        <v>8</v>
      </c>
      <c r="F229" t="s">
        <v>11708</v>
      </c>
      <c r="H229" t="s">
        <v>11703</v>
      </c>
      <c r="I229" t="s">
        <v>64</v>
      </c>
      <c r="J229" s="25" t="s">
        <v>20661</v>
      </c>
      <c r="K229" t="s">
        <v>14254</v>
      </c>
      <c r="L229" t="s">
        <v>25</v>
      </c>
      <c r="M229" t="s">
        <v>11704</v>
      </c>
      <c r="N229" t="s">
        <v>11705</v>
      </c>
      <c r="O229" t="s">
        <v>11706</v>
      </c>
      <c r="P229" t="s">
        <v>27</v>
      </c>
    </row>
    <row r="230" spans="2:16">
      <c r="C230">
        <v>2</v>
      </c>
      <c r="D230">
        <v>1</v>
      </c>
      <c r="E230">
        <v>8</v>
      </c>
      <c r="F230" t="s">
        <v>11708</v>
      </c>
    </row>
    <row r="231" spans="2:16">
      <c r="C231">
        <v>2</v>
      </c>
      <c r="D231">
        <v>1</v>
      </c>
      <c r="E231">
        <v>8</v>
      </c>
      <c r="F231" t="s">
        <v>11708</v>
      </c>
      <c r="G231" t="s">
        <v>14622</v>
      </c>
      <c r="H231" t="s">
        <v>70</v>
      </c>
      <c r="I231" t="s">
        <v>16604</v>
      </c>
      <c r="K231" t="s">
        <v>6022</v>
      </c>
      <c r="L231" t="s">
        <v>256</v>
      </c>
      <c r="M231">
        <v>121.6</v>
      </c>
      <c r="N231">
        <v>7.91</v>
      </c>
      <c r="O231">
        <v>9.67</v>
      </c>
      <c r="P231">
        <v>1175.8699999999999</v>
      </c>
    </row>
    <row r="232" spans="2:16">
      <c r="C232">
        <v>2</v>
      </c>
      <c r="D232">
        <v>1</v>
      </c>
      <c r="E232">
        <v>8</v>
      </c>
      <c r="F232" t="s">
        <v>11708</v>
      </c>
    </row>
    <row r="233" spans="2:16">
      <c r="C233">
        <v>2</v>
      </c>
      <c r="D233">
        <v>1</v>
      </c>
      <c r="E233">
        <v>8</v>
      </c>
      <c r="F233" t="s">
        <v>11708</v>
      </c>
      <c r="H233" t="s">
        <v>20948</v>
      </c>
      <c r="P233">
        <v>1175.8699999999999</v>
      </c>
    </row>
    <row r="234" spans="2:16">
      <c r="C234">
        <v>2</v>
      </c>
      <c r="D234">
        <v>1</v>
      </c>
      <c r="E234">
        <v>8</v>
      </c>
      <c r="F234" t="s">
        <v>11708</v>
      </c>
    </row>
    <row r="235" spans="2:16">
      <c r="B235">
        <v>1</v>
      </c>
      <c r="C235">
        <v>2</v>
      </c>
      <c r="D235">
        <v>1</v>
      </c>
      <c r="E235">
        <v>9</v>
      </c>
      <c r="F235" t="s">
        <v>11708</v>
      </c>
      <c r="H235" t="s">
        <v>11703</v>
      </c>
      <c r="I235" t="s">
        <v>64</v>
      </c>
      <c r="J235" s="25" t="s">
        <v>20662</v>
      </c>
      <c r="K235" t="s">
        <v>20203</v>
      </c>
      <c r="L235" t="s">
        <v>25</v>
      </c>
      <c r="M235" t="s">
        <v>11704</v>
      </c>
      <c r="N235" t="s">
        <v>11705</v>
      </c>
      <c r="O235" t="s">
        <v>11706</v>
      </c>
      <c r="P235" t="s">
        <v>27</v>
      </c>
    </row>
    <row r="236" spans="2:16">
      <c r="C236">
        <v>2</v>
      </c>
      <c r="D236">
        <v>1</v>
      </c>
      <c r="E236">
        <v>9</v>
      </c>
      <c r="F236" t="s">
        <v>11708</v>
      </c>
    </row>
    <row r="237" spans="2:16">
      <c r="C237">
        <v>2</v>
      </c>
      <c r="D237">
        <v>1</v>
      </c>
      <c r="E237">
        <v>9</v>
      </c>
      <c r="F237" t="s">
        <v>11708</v>
      </c>
      <c r="G237" t="s">
        <v>14623</v>
      </c>
      <c r="H237" t="s">
        <v>70</v>
      </c>
      <c r="I237" t="s">
        <v>18613</v>
      </c>
      <c r="K237" t="s">
        <v>18614</v>
      </c>
      <c r="L237" t="s">
        <v>256</v>
      </c>
      <c r="M237">
        <v>17.25</v>
      </c>
      <c r="N237">
        <v>39.54</v>
      </c>
      <c r="O237">
        <v>48.31</v>
      </c>
      <c r="P237">
        <v>833.35</v>
      </c>
    </row>
    <row r="238" spans="2:16">
      <c r="C238">
        <v>2</v>
      </c>
      <c r="D238">
        <v>1</v>
      </c>
      <c r="E238">
        <v>9</v>
      </c>
      <c r="F238" t="s">
        <v>11708</v>
      </c>
    </row>
    <row r="239" spans="2:16">
      <c r="C239">
        <v>2</v>
      </c>
      <c r="D239">
        <v>1</v>
      </c>
      <c r="E239">
        <v>9</v>
      </c>
      <c r="F239" t="s">
        <v>11708</v>
      </c>
      <c r="H239" t="s">
        <v>20949</v>
      </c>
      <c r="P239">
        <v>833.35</v>
      </c>
    </row>
    <row r="240" spans="2:16">
      <c r="C240">
        <v>2</v>
      </c>
      <c r="D240">
        <v>1</v>
      </c>
      <c r="E240">
        <v>9</v>
      </c>
      <c r="F240" t="s">
        <v>11708</v>
      </c>
    </row>
    <row r="241" spans="1:16">
      <c r="C241">
        <v>5</v>
      </c>
      <c r="D241">
        <v>0</v>
      </c>
      <c r="E241">
        <v>0</v>
      </c>
      <c r="F241" t="s">
        <v>11708</v>
      </c>
      <c r="H241">
        <v>5</v>
      </c>
      <c r="I241" t="s">
        <v>14630</v>
      </c>
      <c r="O241" t="s">
        <v>78</v>
      </c>
      <c r="P241">
        <v>530431.94999999995</v>
      </c>
    </row>
    <row r="242" spans="1:16">
      <c r="C242">
        <v>5</v>
      </c>
      <c r="D242">
        <v>0</v>
      </c>
      <c r="E242">
        <v>0</v>
      </c>
      <c r="F242" t="s">
        <v>11708</v>
      </c>
    </row>
    <row r="243" spans="1:16">
      <c r="A243">
        <v>1</v>
      </c>
      <c r="C243">
        <v>5</v>
      </c>
      <c r="D243">
        <v>1</v>
      </c>
      <c r="E243">
        <v>0</v>
      </c>
      <c r="F243" t="s">
        <v>11708</v>
      </c>
      <c r="H243" t="s">
        <v>14552</v>
      </c>
      <c r="I243" t="s">
        <v>14631</v>
      </c>
      <c r="O243" t="s">
        <v>11702</v>
      </c>
      <c r="P243">
        <v>372954.80000000016</v>
      </c>
    </row>
    <row r="244" spans="1:16">
      <c r="C244">
        <v>5</v>
      </c>
      <c r="D244">
        <v>1</v>
      </c>
      <c r="E244">
        <v>0</v>
      </c>
      <c r="F244" t="s">
        <v>11708</v>
      </c>
    </row>
    <row r="245" spans="1:16">
      <c r="B245">
        <v>1</v>
      </c>
      <c r="C245">
        <v>5</v>
      </c>
      <c r="D245">
        <v>1</v>
      </c>
      <c r="E245">
        <v>1</v>
      </c>
      <c r="F245" t="s">
        <v>11708</v>
      </c>
      <c r="H245" t="s">
        <v>11703</v>
      </c>
      <c r="I245" t="s">
        <v>64</v>
      </c>
      <c r="J245" s="25" t="s">
        <v>20663</v>
      </c>
      <c r="K245" t="s">
        <v>14041</v>
      </c>
      <c r="L245" t="s">
        <v>25</v>
      </c>
      <c r="M245" t="s">
        <v>11704</v>
      </c>
      <c r="N245" t="s">
        <v>11705</v>
      </c>
      <c r="O245" t="s">
        <v>11706</v>
      </c>
      <c r="P245" t="s">
        <v>27</v>
      </c>
    </row>
    <row r="246" spans="1:16">
      <c r="C246">
        <v>5</v>
      </c>
      <c r="D246">
        <v>1</v>
      </c>
      <c r="E246">
        <v>1</v>
      </c>
      <c r="F246" t="s">
        <v>11708</v>
      </c>
    </row>
    <row r="247" spans="1:16">
      <c r="C247">
        <v>5</v>
      </c>
      <c r="D247">
        <v>1</v>
      </c>
      <c r="E247">
        <v>1</v>
      </c>
      <c r="F247" t="s">
        <v>11708</v>
      </c>
      <c r="G247" t="s">
        <v>14078</v>
      </c>
      <c r="H247" t="s">
        <v>70</v>
      </c>
      <c r="I247">
        <v>73610</v>
      </c>
      <c r="K247" t="s">
        <v>1102</v>
      </c>
      <c r="L247" t="s">
        <v>71</v>
      </c>
      <c r="M247">
        <v>1474</v>
      </c>
      <c r="N247">
        <v>0.97</v>
      </c>
      <c r="O247">
        <v>1.19</v>
      </c>
      <c r="P247">
        <v>1754.06</v>
      </c>
    </row>
    <row r="248" spans="1:16">
      <c r="C248">
        <v>5</v>
      </c>
      <c r="D248">
        <v>1</v>
      </c>
      <c r="E248">
        <v>1</v>
      </c>
      <c r="F248" t="s">
        <v>11708</v>
      </c>
      <c r="G248" t="s">
        <v>14079</v>
      </c>
      <c r="H248" t="s">
        <v>1</v>
      </c>
      <c r="I248">
        <v>1512</v>
      </c>
      <c r="K248" t="s">
        <v>19813</v>
      </c>
      <c r="L248" t="s">
        <v>71</v>
      </c>
      <c r="M248">
        <v>1474</v>
      </c>
      <c r="N248">
        <v>1.26</v>
      </c>
      <c r="O248">
        <v>1.54</v>
      </c>
      <c r="P248">
        <v>2269.96</v>
      </c>
    </row>
    <row r="249" spans="1:16">
      <c r="C249">
        <v>5</v>
      </c>
      <c r="D249">
        <v>1</v>
      </c>
      <c r="E249">
        <v>1</v>
      </c>
      <c r="F249" t="s">
        <v>11708</v>
      </c>
    </row>
    <row r="250" spans="1:16">
      <c r="C250">
        <v>5</v>
      </c>
      <c r="D250">
        <v>1</v>
      </c>
      <c r="E250">
        <v>1</v>
      </c>
      <c r="F250" t="s">
        <v>11708</v>
      </c>
      <c r="H250" t="s">
        <v>20664</v>
      </c>
      <c r="P250">
        <v>4024.02</v>
      </c>
    </row>
    <row r="251" spans="1:16">
      <c r="C251">
        <v>5</v>
      </c>
      <c r="D251">
        <v>1</v>
      </c>
      <c r="E251">
        <v>1</v>
      </c>
      <c r="F251" t="s">
        <v>11708</v>
      </c>
    </row>
    <row r="252" spans="1:16">
      <c r="B252">
        <v>1</v>
      </c>
      <c r="C252">
        <v>5</v>
      </c>
      <c r="D252">
        <v>1</v>
      </c>
      <c r="E252">
        <v>2</v>
      </c>
      <c r="F252" t="s">
        <v>11708</v>
      </c>
      <c r="H252" t="s">
        <v>11703</v>
      </c>
      <c r="I252" t="s">
        <v>64</v>
      </c>
      <c r="J252" s="25" t="s">
        <v>20665</v>
      </c>
      <c r="K252" t="s">
        <v>14042</v>
      </c>
      <c r="L252" t="s">
        <v>25</v>
      </c>
      <c r="M252" t="s">
        <v>11704</v>
      </c>
      <c r="N252" t="s">
        <v>11705</v>
      </c>
      <c r="O252" t="s">
        <v>11706</v>
      </c>
      <c r="P252" t="s">
        <v>27</v>
      </c>
    </row>
    <row r="253" spans="1:16">
      <c r="C253">
        <v>5</v>
      </c>
      <c r="D253">
        <v>1</v>
      </c>
      <c r="E253">
        <v>2</v>
      </c>
      <c r="F253" t="s">
        <v>11708</v>
      </c>
    </row>
    <row r="254" spans="1:16">
      <c r="C254">
        <v>5</v>
      </c>
      <c r="D254">
        <v>1</v>
      </c>
      <c r="E254">
        <v>2</v>
      </c>
      <c r="F254" t="s">
        <v>11708</v>
      </c>
      <c r="G254" t="s">
        <v>14080</v>
      </c>
      <c r="H254" t="s">
        <v>1</v>
      </c>
      <c r="I254">
        <v>98</v>
      </c>
      <c r="K254" t="s">
        <v>19814</v>
      </c>
      <c r="L254" t="s">
        <v>65</v>
      </c>
      <c r="M254">
        <v>4</v>
      </c>
      <c r="N254">
        <v>251.81</v>
      </c>
      <c r="O254">
        <v>307.69</v>
      </c>
      <c r="P254">
        <v>1230.76</v>
      </c>
    </row>
    <row r="255" spans="1:16">
      <c r="C255">
        <v>5</v>
      </c>
      <c r="D255">
        <v>1</v>
      </c>
      <c r="E255">
        <v>2</v>
      </c>
      <c r="F255" t="s">
        <v>11708</v>
      </c>
      <c r="G255" t="s">
        <v>14081</v>
      </c>
      <c r="H255" t="s">
        <v>70</v>
      </c>
      <c r="I255">
        <v>13244</v>
      </c>
      <c r="K255" t="s">
        <v>3863</v>
      </c>
      <c r="L255" t="s">
        <v>65</v>
      </c>
      <c r="M255">
        <v>8</v>
      </c>
      <c r="N255">
        <v>23.25</v>
      </c>
      <c r="O255">
        <v>28.41</v>
      </c>
      <c r="P255">
        <v>227.28</v>
      </c>
    </row>
    <row r="256" spans="1:16">
      <c r="C256">
        <v>5</v>
      </c>
      <c r="D256">
        <v>1</v>
      </c>
      <c r="E256">
        <v>2</v>
      </c>
      <c r="F256" t="s">
        <v>11708</v>
      </c>
      <c r="G256" t="s">
        <v>14082</v>
      </c>
      <c r="H256" t="s">
        <v>1</v>
      </c>
      <c r="I256">
        <v>104</v>
      </c>
      <c r="K256" t="s">
        <v>1217</v>
      </c>
      <c r="L256" t="s">
        <v>65</v>
      </c>
      <c r="M256">
        <v>4</v>
      </c>
      <c r="N256">
        <v>444.96</v>
      </c>
      <c r="O256">
        <v>543.70000000000005</v>
      </c>
      <c r="P256">
        <v>2174.8000000000002</v>
      </c>
    </row>
    <row r="257" spans="2:16">
      <c r="C257">
        <v>5</v>
      </c>
      <c r="D257">
        <v>1</v>
      </c>
      <c r="E257">
        <v>2</v>
      </c>
      <c r="F257" t="s">
        <v>11708</v>
      </c>
      <c r="G257" t="s">
        <v>14083</v>
      </c>
      <c r="H257" t="s">
        <v>70</v>
      </c>
      <c r="I257" t="s">
        <v>19171</v>
      </c>
      <c r="K257" t="s">
        <v>7844</v>
      </c>
      <c r="L257" t="s">
        <v>256</v>
      </c>
      <c r="M257">
        <v>6</v>
      </c>
      <c r="N257">
        <v>48.14</v>
      </c>
      <c r="O257">
        <v>58.82</v>
      </c>
      <c r="P257">
        <v>352.92</v>
      </c>
    </row>
    <row r="258" spans="2:16">
      <c r="C258">
        <v>5</v>
      </c>
      <c r="D258">
        <v>1</v>
      </c>
      <c r="E258">
        <v>2</v>
      </c>
      <c r="F258" t="s">
        <v>11708</v>
      </c>
      <c r="G258" t="s">
        <v>14084</v>
      </c>
      <c r="H258" t="s">
        <v>1</v>
      </c>
      <c r="I258">
        <v>106</v>
      </c>
      <c r="K258" t="s">
        <v>19815</v>
      </c>
      <c r="L258" t="s">
        <v>90</v>
      </c>
      <c r="M258">
        <v>120</v>
      </c>
      <c r="N258">
        <v>12.15</v>
      </c>
      <c r="O258">
        <v>14.85</v>
      </c>
      <c r="P258">
        <v>1782</v>
      </c>
    </row>
    <row r="259" spans="2:16">
      <c r="C259">
        <v>5</v>
      </c>
      <c r="D259">
        <v>1</v>
      </c>
      <c r="E259">
        <v>2</v>
      </c>
      <c r="F259" t="s">
        <v>11708</v>
      </c>
    </row>
    <row r="260" spans="2:16">
      <c r="C260">
        <v>5</v>
      </c>
      <c r="D260">
        <v>1</v>
      </c>
      <c r="E260">
        <v>2</v>
      </c>
      <c r="F260" t="s">
        <v>11708</v>
      </c>
      <c r="H260" t="s">
        <v>20666</v>
      </c>
      <c r="P260">
        <v>5767.76</v>
      </c>
    </row>
    <row r="261" spans="2:16">
      <c r="C261">
        <v>5</v>
      </c>
      <c r="D261">
        <v>1</v>
      </c>
      <c r="E261">
        <v>2</v>
      </c>
      <c r="F261" t="s">
        <v>11708</v>
      </c>
    </row>
    <row r="262" spans="2:16">
      <c r="B262">
        <v>1</v>
      </c>
      <c r="C262">
        <v>5</v>
      </c>
      <c r="D262">
        <v>1</v>
      </c>
      <c r="E262">
        <v>3</v>
      </c>
      <c r="F262" t="s">
        <v>11708</v>
      </c>
      <c r="H262" t="s">
        <v>11703</v>
      </c>
      <c r="I262" t="s">
        <v>64</v>
      </c>
      <c r="J262" s="25" t="s">
        <v>20667</v>
      </c>
      <c r="K262" t="s">
        <v>11709</v>
      </c>
      <c r="L262" t="s">
        <v>25</v>
      </c>
      <c r="M262" t="s">
        <v>11704</v>
      </c>
      <c r="N262" t="s">
        <v>11705</v>
      </c>
      <c r="O262" t="s">
        <v>11706</v>
      </c>
      <c r="P262" t="s">
        <v>27</v>
      </c>
    </row>
    <row r="263" spans="2:16">
      <c r="C263">
        <v>5</v>
      </c>
      <c r="D263">
        <v>1</v>
      </c>
      <c r="E263">
        <v>3</v>
      </c>
      <c r="F263" t="s">
        <v>11708</v>
      </c>
    </row>
    <row r="264" spans="2:16">
      <c r="C264">
        <v>5</v>
      </c>
      <c r="D264">
        <v>1</v>
      </c>
      <c r="E264">
        <v>3</v>
      </c>
      <c r="F264" t="s">
        <v>11708</v>
      </c>
      <c r="G264" t="s">
        <v>14085</v>
      </c>
      <c r="H264" t="s">
        <v>70</v>
      </c>
      <c r="I264">
        <v>73672</v>
      </c>
      <c r="K264" t="s">
        <v>19162</v>
      </c>
      <c r="L264" t="s">
        <v>256</v>
      </c>
      <c r="M264">
        <v>1180.0999999999999</v>
      </c>
      <c r="N264">
        <v>0.46</v>
      </c>
      <c r="O264">
        <v>0.56000000000000005</v>
      </c>
      <c r="P264">
        <v>660.86</v>
      </c>
    </row>
    <row r="265" spans="2:16">
      <c r="C265">
        <v>5</v>
      </c>
      <c r="D265">
        <v>1</v>
      </c>
      <c r="E265">
        <v>3</v>
      </c>
      <c r="F265" t="s">
        <v>11708</v>
      </c>
    </row>
    <row r="266" spans="2:16">
      <c r="C266">
        <v>5</v>
      </c>
      <c r="D266">
        <v>1</v>
      </c>
      <c r="E266">
        <v>3</v>
      </c>
      <c r="F266" t="s">
        <v>11708</v>
      </c>
      <c r="H266" t="s">
        <v>20668</v>
      </c>
      <c r="P266">
        <v>660.86</v>
      </c>
    </row>
    <row r="267" spans="2:16">
      <c r="C267">
        <v>5</v>
      </c>
      <c r="D267">
        <v>1</v>
      </c>
      <c r="E267">
        <v>3</v>
      </c>
      <c r="F267" t="s">
        <v>11708</v>
      </c>
    </row>
    <row r="268" spans="2:16">
      <c r="B268">
        <v>1</v>
      </c>
      <c r="C268">
        <v>5</v>
      </c>
      <c r="D268">
        <v>1</v>
      </c>
      <c r="E268">
        <v>4</v>
      </c>
      <c r="F268" t="s">
        <v>11708</v>
      </c>
      <c r="H268" t="s">
        <v>11703</v>
      </c>
      <c r="I268" t="s">
        <v>64</v>
      </c>
      <c r="J268" s="25" t="s">
        <v>20669</v>
      </c>
      <c r="K268" t="s">
        <v>11710</v>
      </c>
      <c r="L268" t="s">
        <v>25</v>
      </c>
      <c r="M268" t="s">
        <v>11704</v>
      </c>
      <c r="N268" t="s">
        <v>11705</v>
      </c>
      <c r="O268" t="s">
        <v>11706</v>
      </c>
      <c r="P268" t="s">
        <v>27</v>
      </c>
    </row>
    <row r="269" spans="2:16">
      <c r="C269">
        <v>5</v>
      </c>
      <c r="D269">
        <v>1</v>
      </c>
      <c r="E269">
        <v>4</v>
      </c>
      <c r="F269" t="s">
        <v>11708</v>
      </c>
    </row>
    <row r="270" spans="2:16">
      <c r="C270">
        <v>5</v>
      </c>
      <c r="D270">
        <v>1</v>
      </c>
      <c r="E270">
        <v>4</v>
      </c>
      <c r="F270" t="s">
        <v>11708</v>
      </c>
      <c r="G270" t="s">
        <v>14086</v>
      </c>
      <c r="H270" t="s">
        <v>70</v>
      </c>
      <c r="I270">
        <v>90105</v>
      </c>
      <c r="K270" t="s">
        <v>18214</v>
      </c>
      <c r="L270" t="s">
        <v>255</v>
      </c>
      <c r="M270">
        <v>1735.9</v>
      </c>
      <c r="N270">
        <v>14.07</v>
      </c>
      <c r="O270">
        <v>17.190000000000001</v>
      </c>
      <c r="P270">
        <v>29840.12</v>
      </c>
    </row>
    <row r="271" spans="2:16">
      <c r="C271">
        <v>5</v>
      </c>
      <c r="D271">
        <v>1</v>
      </c>
      <c r="E271">
        <v>4</v>
      </c>
      <c r="F271" t="s">
        <v>11708</v>
      </c>
      <c r="G271" t="s">
        <v>14087</v>
      </c>
      <c r="H271" t="s">
        <v>70</v>
      </c>
      <c r="I271">
        <v>90107</v>
      </c>
      <c r="K271" t="s">
        <v>18216</v>
      </c>
      <c r="L271" t="s">
        <v>255</v>
      </c>
      <c r="M271">
        <v>1233.48</v>
      </c>
      <c r="N271">
        <v>11.87</v>
      </c>
      <c r="O271">
        <v>14.5</v>
      </c>
      <c r="P271">
        <v>17885.46</v>
      </c>
    </row>
    <row r="272" spans="2:16">
      <c r="C272">
        <v>5</v>
      </c>
      <c r="D272">
        <v>1</v>
      </c>
      <c r="E272">
        <v>4</v>
      </c>
      <c r="F272" t="s">
        <v>11708</v>
      </c>
      <c r="G272" t="s">
        <v>14088</v>
      </c>
      <c r="H272" t="s">
        <v>1</v>
      </c>
      <c r="I272">
        <v>192</v>
      </c>
      <c r="K272" t="s">
        <v>19816</v>
      </c>
      <c r="L272" t="s">
        <v>255</v>
      </c>
      <c r="M272">
        <v>56.61</v>
      </c>
      <c r="N272">
        <v>7.65</v>
      </c>
      <c r="O272">
        <v>9.35</v>
      </c>
      <c r="P272">
        <v>529.29999999999995</v>
      </c>
    </row>
    <row r="273" spans="2:16">
      <c r="C273">
        <v>5</v>
      </c>
      <c r="D273">
        <v>1</v>
      </c>
      <c r="E273">
        <v>4</v>
      </c>
      <c r="F273" t="s">
        <v>11708</v>
      </c>
      <c r="G273" t="s">
        <v>14089</v>
      </c>
      <c r="H273" t="s">
        <v>1</v>
      </c>
      <c r="I273">
        <v>194</v>
      </c>
      <c r="K273" t="s">
        <v>19819</v>
      </c>
      <c r="L273" t="s">
        <v>255</v>
      </c>
      <c r="M273">
        <v>56.61</v>
      </c>
      <c r="N273">
        <v>7.59</v>
      </c>
      <c r="O273">
        <v>9.27</v>
      </c>
      <c r="P273">
        <v>524.77</v>
      </c>
    </row>
    <row r="274" spans="2:16">
      <c r="C274">
        <v>5</v>
      </c>
      <c r="D274">
        <v>1</v>
      </c>
      <c r="E274">
        <v>4</v>
      </c>
      <c r="F274" t="s">
        <v>11708</v>
      </c>
      <c r="G274" t="s">
        <v>14090</v>
      </c>
      <c r="H274" t="s">
        <v>70</v>
      </c>
      <c r="I274">
        <v>93358</v>
      </c>
      <c r="K274" t="s">
        <v>826</v>
      </c>
      <c r="L274" t="s">
        <v>255</v>
      </c>
      <c r="M274">
        <v>156.28</v>
      </c>
      <c r="N274">
        <v>52.29</v>
      </c>
      <c r="O274">
        <v>63.89</v>
      </c>
      <c r="P274">
        <v>9984.73</v>
      </c>
    </row>
    <row r="275" spans="2:16">
      <c r="C275">
        <v>5</v>
      </c>
      <c r="D275">
        <v>1</v>
      </c>
      <c r="E275">
        <v>4</v>
      </c>
      <c r="F275" t="s">
        <v>11708</v>
      </c>
      <c r="G275" t="s">
        <v>14091</v>
      </c>
      <c r="H275" t="s">
        <v>1</v>
      </c>
      <c r="I275">
        <v>170</v>
      </c>
      <c r="K275" t="s">
        <v>19822</v>
      </c>
      <c r="L275" t="s">
        <v>255</v>
      </c>
      <c r="M275">
        <v>2.98</v>
      </c>
      <c r="N275">
        <v>55.58</v>
      </c>
      <c r="O275">
        <v>67.91</v>
      </c>
      <c r="P275">
        <v>202.37</v>
      </c>
    </row>
    <row r="276" spans="2:16">
      <c r="C276">
        <v>5</v>
      </c>
      <c r="D276">
        <v>1</v>
      </c>
      <c r="E276">
        <v>4</v>
      </c>
      <c r="F276" t="s">
        <v>11708</v>
      </c>
      <c r="G276" t="s">
        <v>14092</v>
      </c>
      <c r="H276" t="s">
        <v>1</v>
      </c>
      <c r="I276">
        <v>171</v>
      </c>
      <c r="K276" t="s">
        <v>19823</v>
      </c>
      <c r="L276" t="s">
        <v>255</v>
      </c>
      <c r="M276">
        <v>2.12</v>
      </c>
      <c r="N276">
        <v>84.57</v>
      </c>
      <c r="O276">
        <v>103.34</v>
      </c>
      <c r="P276">
        <v>219.08</v>
      </c>
    </row>
    <row r="277" spans="2:16">
      <c r="C277">
        <v>5</v>
      </c>
      <c r="D277">
        <v>1</v>
      </c>
      <c r="E277">
        <v>4</v>
      </c>
      <c r="F277" t="s">
        <v>11708</v>
      </c>
      <c r="G277" t="s">
        <v>14093</v>
      </c>
      <c r="H277" t="s">
        <v>1</v>
      </c>
      <c r="I277">
        <v>172</v>
      </c>
      <c r="K277" t="s">
        <v>19824</v>
      </c>
      <c r="L277" t="s">
        <v>255</v>
      </c>
      <c r="M277">
        <v>39.72</v>
      </c>
      <c r="N277">
        <v>91.06</v>
      </c>
      <c r="O277">
        <v>111.27</v>
      </c>
      <c r="P277">
        <v>4419.6400000000003</v>
      </c>
    </row>
    <row r="278" spans="2:16">
      <c r="C278">
        <v>5</v>
      </c>
      <c r="D278">
        <v>1</v>
      </c>
      <c r="E278">
        <v>4</v>
      </c>
      <c r="F278" t="s">
        <v>11708</v>
      </c>
      <c r="G278" t="s">
        <v>14094</v>
      </c>
      <c r="H278" t="s">
        <v>1</v>
      </c>
      <c r="I278">
        <v>173</v>
      </c>
      <c r="K278" t="s">
        <v>19825</v>
      </c>
      <c r="L278" t="s">
        <v>255</v>
      </c>
      <c r="M278">
        <v>28.23</v>
      </c>
      <c r="N278">
        <v>112.61</v>
      </c>
      <c r="O278">
        <v>137.6</v>
      </c>
      <c r="P278">
        <v>3884.45</v>
      </c>
    </row>
    <row r="279" spans="2:16">
      <c r="C279">
        <v>5</v>
      </c>
      <c r="D279">
        <v>1</v>
      </c>
      <c r="E279">
        <v>4</v>
      </c>
      <c r="F279" t="s">
        <v>11708</v>
      </c>
      <c r="G279" t="s">
        <v>14095</v>
      </c>
      <c r="H279" t="s">
        <v>1</v>
      </c>
      <c r="I279">
        <v>176</v>
      </c>
      <c r="K279" t="s">
        <v>19826</v>
      </c>
      <c r="L279" t="s">
        <v>255</v>
      </c>
      <c r="M279">
        <v>2.98</v>
      </c>
      <c r="N279">
        <v>47.89</v>
      </c>
      <c r="O279">
        <v>58.52</v>
      </c>
      <c r="P279">
        <v>174.39</v>
      </c>
    </row>
    <row r="280" spans="2:16">
      <c r="C280">
        <v>5</v>
      </c>
      <c r="D280">
        <v>1</v>
      </c>
      <c r="E280">
        <v>4</v>
      </c>
      <c r="F280" t="s">
        <v>11708</v>
      </c>
      <c r="G280" t="s">
        <v>14096</v>
      </c>
      <c r="H280" t="s">
        <v>1</v>
      </c>
      <c r="I280">
        <v>177</v>
      </c>
      <c r="K280" t="s">
        <v>19827</v>
      </c>
      <c r="L280" t="s">
        <v>255</v>
      </c>
      <c r="M280">
        <v>2.12</v>
      </c>
      <c r="N280">
        <v>58.46</v>
      </c>
      <c r="O280">
        <v>71.430000000000007</v>
      </c>
      <c r="P280">
        <v>151.43</v>
      </c>
    </row>
    <row r="281" spans="2:16">
      <c r="C281">
        <v>5</v>
      </c>
      <c r="D281">
        <v>1</v>
      </c>
      <c r="E281">
        <v>4</v>
      </c>
      <c r="F281" t="s">
        <v>11708</v>
      </c>
      <c r="G281" t="s">
        <v>14097</v>
      </c>
      <c r="H281" t="s">
        <v>70</v>
      </c>
      <c r="I281">
        <v>94097</v>
      </c>
      <c r="K281" t="s">
        <v>18292</v>
      </c>
      <c r="L281" t="s">
        <v>256</v>
      </c>
      <c r="M281">
        <v>1324.1</v>
      </c>
      <c r="N281">
        <v>4.51</v>
      </c>
      <c r="O281">
        <v>5.51</v>
      </c>
      <c r="P281">
        <v>7295.79</v>
      </c>
    </row>
    <row r="282" spans="2:16">
      <c r="C282">
        <v>5</v>
      </c>
      <c r="D282">
        <v>1</v>
      </c>
      <c r="E282">
        <v>4</v>
      </c>
      <c r="F282" t="s">
        <v>11708</v>
      </c>
      <c r="G282" t="s">
        <v>14098</v>
      </c>
      <c r="H282" t="s">
        <v>70</v>
      </c>
      <c r="I282" t="s">
        <v>18237</v>
      </c>
      <c r="K282" t="s">
        <v>829</v>
      </c>
      <c r="L282" t="s">
        <v>255</v>
      </c>
      <c r="M282">
        <v>694.28</v>
      </c>
      <c r="N282">
        <v>39.659999999999997</v>
      </c>
      <c r="O282">
        <v>48.46</v>
      </c>
      <c r="P282">
        <v>33644.81</v>
      </c>
    </row>
    <row r="283" spans="2:16">
      <c r="C283">
        <v>5</v>
      </c>
      <c r="D283">
        <v>1</v>
      </c>
      <c r="E283">
        <v>4</v>
      </c>
      <c r="F283" t="s">
        <v>11708</v>
      </c>
      <c r="G283" t="s">
        <v>14099</v>
      </c>
      <c r="H283" t="s">
        <v>70</v>
      </c>
      <c r="I283">
        <v>93379</v>
      </c>
      <c r="K283" t="s">
        <v>18257</v>
      </c>
      <c r="L283" t="s">
        <v>255</v>
      </c>
      <c r="M283">
        <v>173.36</v>
      </c>
      <c r="N283">
        <v>18.98</v>
      </c>
      <c r="O283">
        <v>23.19</v>
      </c>
      <c r="P283">
        <v>4020.22</v>
      </c>
    </row>
    <row r="284" spans="2:16">
      <c r="C284">
        <v>5</v>
      </c>
      <c r="D284">
        <v>1</v>
      </c>
      <c r="E284">
        <v>4</v>
      </c>
      <c r="F284" t="s">
        <v>11708</v>
      </c>
      <c r="G284" t="s">
        <v>14100</v>
      </c>
      <c r="H284" t="s">
        <v>70</v>
      </c>
      <c r="I284">
        <v>93381</v>
      </c>
      <c r="K284" t="s">
        <v>18259</v>
      </c>
      <c r="L284" t="s">
        <v>255</v>
      </c>
      <c r="M284">
        <v>1768.21</v>
      </c>
      <c r="N284">
        <v>9.17</v>
      </c>
      <c r="O284">
        <v>11.2</v>
      </c>
      <c r="P284">
        <v>19803.95</v>
      </c>
    </row>
    <row r="285" spans="2:16">
      <c r="C285">
        <v>5</v>
      </c>
      <c r="D285">
        <v>1</v>
      </c>
      <c r="E285">
        <v>4</v>
      </c>
      <c r="F285" t="s">
        <v>11708</v>
      </c>
    </row>
    <row r="286" spans="2:16">
      <c r="C286">
        <v>5</v>
      </c>
      <c r="D286">
        <v>1</v>
      </c>
      <c r="E286">
        <v>4</v>
      </c>
      <c r="F286" t="s">
        <v>11708</v>
      </c>
      <c r="H286" t="s">
        <v>20670</v>
      </c>
      <c r="P286">
        <v>132580.51</v>
      </c>
    </row>
    <row r="287" spans="2:16">
      <c r="C287">
        <v>5</v>
      </c>
      <c r="D287">
        <v>1</v>
      </c>
      <c r="E287">
        <v>4</v>
      </c>
      <c r="F287" t="s">
        <v>11708</v>
      </c>
    </row>
    <row r="288" spans="2:16">
      <c r="B288">
        <v>1</v>
      </c>
      <c r="C288">
        <v>5</v>
      </c>
      <c r="D288">
        <v>1</v>
      </c>
      <c r="E288">
        <v>5</v>
      </c>
      <c r="F288" t="s">
        <v>11708</v>
      </c>
      <c r="H288" t="s">
        <v>11703</v>
      </c>
      <c r="I288" t="s">
        <v>64</v>
      </c>
      <c r="J288" s="25" t="s">
        <v>20671</v>
      </c>
      <c r="K288" t="s">
        <v>14074</v>
      </c>
      <c r="L288" t="s">
        <v>25</v>
      </c>
      <c r="M288" t="s">
        <v>11704</v>
      </c>
      <c r="N288" t="s">
        <v>11705</v>
      </c>
      <c r="O288" t="s">
        <v>11706</v>
      </c>
      <c r="P288" t="s">
        <v>27</v>
      </c>
    </row>
    <row r="289" spans="2:16">
      <c r="C289">
        <v>5</v>
      </c>
      <c r="D289">
        <v>1</v>
      </c>
      <c r="E289">
        <v>5</v>
      </c>
      <c r="F289" t="s">
        <v>11708</v>
      </c>
    </row>
    <row r="290" spans="2:16">
      <c r="C290">
        <v>5</v>
      </c>
      <c r="D290">
        <v>1</v>
      </c>
      <c r="E290">
        <v>5</v>
      </c>
      <c r="F290" t="s">
        <v>11708</v>
      </c>
      <c r="G290" t="s">
        <v>14110</v>
      </c>
      <c r="H290" t="s">
        <v>1</v>
      </c>
      <c r="I290">
        <v>229</v>
      </c>
      <c r="K290" t="s">
        <v>1258</v>
      </c>
      <c r="L290" t="s">
        <v>255</v>
      </c>
      <c r="M290">
        <v>384.33</v>
      </c>
      <c r="N290">
        <v>124.26</v>
      </c>
      <c r="O290">
        <v>151.83000000000001</v>
      </c>
      <c r="P290">
        <v>58352.82</v>
      </c>
    </row>
    <row r="291" spans="2:16">
      <c r="C291">
        <v>5</v>
      </c>
      <c r="D291">
        <v>1</v>
      </c>
      <c r="E291">
        <v>5</v>
      </c>
      <c r="F291" t="s">
        <v>11708</v>
      </c>
      <c r="G291" t="s">
        <v>14111</v>
      </c>
      <c r="H291" t="s">
        <v>1</v>
      </c>
      <c r="I291">
        <v>231</v>
      </c>
      <c r="K291" t="s">
        <v>518</v>
      </c>
      <c r="L291" t="s">
        <v>255</v>
      </c>
      <c r="M291">
        <v>192.17</v>
      </c>
      <c r="N291">
        <v>71.709999999999994</v>
      </c>
      <c r="O291">
        <v>87.62</v>
      </c>
      <c r="P291">
        <v>16837.939999999999</v>
      </c>
    </row>
    <row r="292" spans="2:16">
      <c r="C292">
        <v>5</v>
      </c>
      <c r="D292">
        <v>1</v>
      </c>
      <c r="E292">
        <v>5</v>
      </c>
      <c r="F292" t="s">
        <v>11708</v>
      </c>
    </row>
    <row r="293" spans="2:16">
      <c r="C293">
        <v>5</v>
      </c>
      <c r="D293">
        <v>1</v>
      </c>
      <c r="E293">
        <v>5</v>
      </c>
      <c r="F293" t="s">
        <v>11708</v>
      </c>
      <c r="H293" t="s">
        <v>20672</v>
      </c>
      <c r="P293">
        <v>75190.759999999995</v>
      </c>
    </row>
    <row r="294" spans="2:16">
      <c r="C294">
        <v>5</v>
      </c>
      <c r="D294">
        <v>1</v>
      </c>
      <c r="E294">
        <v>5</v>
      </c>
      <c r="F294" t="s">
        <v>11708</v>
      </c>
    </row>
    <row r="295" spans="2:16">
      <c r="B295">
        <v>1</v>
      </c>
      <c r="C295">
        <v>5</v>
      </c>
      <c r="D295">
        <v>1</v>
      </c>
      <c r="E295">
        <v>6</v>
      </c>
      <c r="F295" t="s">
        <v>11708</v>
      </c>
      <c r="H295" t="s">
        <v>11703</v>
      </c>
      <c r="I295" t="s">
        <v>64</v>
      </c>
      <c r="J295" s="25" t="s">
        <v>20673</v>
      </c>
      <c r="K295" t="s">
        <v>13981</v>
      </c>
      <c r="L295" t="s">
        <v>25</v>
      </c>
      <c r="M295" t="s">
        <v>11704</v>
      </c>
      <c r="N295" t="s">
        <v>11705</v>
      </c>
      <c r="O295" t="s">
        <v>11706</v>
      </c>
      <c r="P295" t="s">
        <v>27</v>
      </c>
    </row>
    <row r="296" spans="2:16">
      <c r="C296">
        <v>5</v>
      </c>
      <c r="D296">
        <v>1</v>
      </c>
      <c r="E296">
        <v>6</v>
      </c>
      <c r="F296" t="s">
        <v>11708</v>
      </c>
    </row>
    <row r="297" spans="2:16">
      <c r="C297">
        <v>5</v>
      </c>
      <c r="D297">
        <v>1</v>
      </c>
      <c r="E297">
        <v>6</v>
      </c>
      <c r="F297" t="s">
        <v>11708</v>
      </c>
      <c r="G297" t="s">
        <v>20310</v>
      </c>
      <c r="H297" t="s">
        <v>70</v>
      </c>
      <c r="I297" t="s">
        <v>18276</v>
      </c>
      <c r="K297" t="s">
        <v>18277</v>
      </c>
      <c r="L297" t="s">
        <v>255</v>
      </c>
      <c r="M297">
        <v>271.8</v>
      </c>
      <c r="N297">
        <v>1.76</v>
      </c>
      <c r="O297">
        <v>2.15</v>
      </c>
      <c r="P297">
        <v>584.37</v>
      </c>
    </row>
    <row r="298" spans="2:16">
      <c r="C298">
        <v>5</v>
      </c>
      <c r="D298">
        <v>1</v>
      </c>
      <c r="E298">
        <v>6</v>
      </c>
      <c r="F298" t="s">
        <v>11708</v>
      </c>
      <c r="G298" t="s">
        <v>14101</v>
      </c>
      <c r="H298" t="s">
        <v>70</v>
      </c>
      <c r="I298">
        <v>93590</v>
      </c>
      <c r="K298" t="s">
        <v>19275</v>
      </c>
      <c r="L298" t="s">
        <v>9853</v>
      </c>
      <c r="M298">
        <v>1978.23</v>
      </c>
      <c r="N298">
        <v>0.74</v>
      </c>
      <c r="O298">
        <v>0.9</v>
      </c>
      <c r="P298">
        <v>1780.41</v>
      </c>
    </row>
    <row r="299" spans="2:16">
      <c r="C299">
        <v>5</v>
      </c>
      <c r="D299">
        <v>1</v>
      </c>
      <c r="E299">
        <v>6</v>
      </c>
      <c r="F299" t="s">
        <v>11708</v>
      </c>
      <c r="G299" t="s">
        <v>14102</v>
      </c>
      <c r="H299" t="s">
        <v>70</v>
      </c>
      <c r="I299">
        <v>83344</v>
      </c>
      <c r="K299" t="s">
        <v>18317</v>
      </c>
      <c r="L299" t="s">
        <v>255</v>
      </c>
      <c r="M299">
        <v>271.8</v>
      </c>
      <c r="N299">
        <v>1.02</v>
      </c>
      <c r="O299">
        <v>1.25</v>
      </c>
      <c r="P299">
        <v>339.75</v>
      </c>
    </row>
    <row r="300" spans="2:16">
      <c r="C300">
        <v>5</v>
      </c>
      <c r="D300">
        <v>1</v>
      </c>
      <c r="E300">
        <v>6</v>
      </c>
      <c r="F300" t="s">
        <v>11708</v>
      </c>
    </row>
    <row r="301" spans="2:16">
      <c r="C301">
        <v>5</v>
      </c>
      <c r="D301">
        <v>1</v>
      </c>
      <c r="E301">
        <v>6</v>
      </c>
      <c r="F301" t="s">
        <v>11708</v>
      </c>
      <c r="H301" t="s">
        <v>20674</v>
      </c>
      <c r="P301">
        <v>2704.53</v>
      </c>
    </row>
    <row r="302" spans="2:16">
      <c r="C302">
        <v>5</v>
      </c>
      <c r="D302">
        <v>1</v>
      </c>
      <c r="E302">
        <v>6</v>
      </c>
      <c r="F302" t="s">
        <v>11708</v>
      </c>
    </row>
    <row r="303" spans="2:16">
      <c r="B303">
        <v>1</v>
      </c>
      <c r="C303">
        <v>5</v>
      </c>
      <c r="D303">
        <v>1</v>
      </c>
      <c r="E303">
        <v>7</v>
      </c>
      <c r="F303" t="s">
        <v>11708</v>
      </c>
      <c r="H303" t="s">
        <v>11703</v>
      </c>
      <c r="I303" t="s">
        <v>64</v>
      </c>
      <c r="J303" s="25" t="s">
        <v>20675</v>
      </c>
      <c r="K303" t="s">
        <v>14043</v>
      </c>
      <c r="L303" t="s">
        <v>25</v>
      </c>
      <c r="M303" t="s">
        <v>11704</v>
      </c>
      <c r="N303" t="s">
        <v>11705</v>
      </c>
      <c r="O303" t="s">
        <v>11706</v>
      </c>
      <c r="P303" t="s">
        <v>27</v>
      </c>
    </row>
    <row r="304" spans="2:16">
      <c r="C304">
        <v>5</v>
      </c>
      <c r="D304">
        <v>1</v>
      </c>
      <c r="E304">
        <v>7</v>
      </c>
      <c r="F304" t="s">
        <v>11708</v>
      </c>
    </row>
    <row r="305" spans="2:16">
      <c r="C305">
        <v>5</v>
      </c>
      <c r="D305">
        <v>1</v>
      </c>
      <c r="E305">
        <v>7</v>
      </c>
      <c r="F305" t="s">
        <v>11708</v>
      </c>
      <c r="G305" t="s">
        <v>14103</v>
      </c>
      <c r="H305" t="s">
        <v>1</v>
      </c>
      <c r="I305">
        <v>232</v>
      </c>
      <c r="K305" t="s">
        <v>19828</v>
      </c>
      <c r="L305" t="s">
        <v>255</v>
      </c>
      <c r="M305">
        <v>123.84</v>
      </c>
      <c r="N305">
        <v>1.46</v>
      </c>
      <c r="O305">
        <v>1.78</v>
      </c>
      <c r="P305">
        <v>220.44</v>
      </c>
    </row>
    <row r="306" spans="2:16">
      <c r="C306">
        <v>5</v>
      </c>
      <c r="D306">
        <v>1</v>
      </c>
      <c r="E306">
        <v>7</v>
      </c>
      <c r="F306" t="s">
        <v>11708</v>
      </c>
      <c r="G306" t="s">
        <v>14104</v>
      </c>
      <c r="H306" t="s">
        <v>1</v>
      </c>
      <c r="I306">
        <v>233</v>
      </c>
      <c r="K306" t="s">
        <v>19829</v>
      </c>
      <c r="L306" t="s">
        <v>255</v>
      </c>
      <c r="M306">
        <v>123.84</v>
      </c>
      <c r="N306">
        <v>4.3499999999999996</v>
      </c>
      <c r="O306">
        <v>5.32</v>
      </c>
      <c r="P306">
        <v>658.83</v>
      </c>
    </row>
    <row r="307" spans="2:16">
      <c r="C307">
        <v>5</v>
      </c>
      <c r="D307">
        <v>1</v>
      </c>
      <c r="E307">
        <v>7</v>
      </c>
      <c r="F307" t="s">
        <v>11708</v>
      </c>
      <c r="G307" t="s">
        <v>14105</v>
      </c>
      <c r="H307" t="s">
        <v>1</v>
      </c>
      <c r="I307">
        <v>246</v>
      </c>
      <c r="K307" t="s">
        <v>19830</v>
      </c>
      <c r="L307" t="s">
        <v>9853</v>
      </c>
      <c r="M307">
        <v>570.64</v>
      </c>
      <c r="N307">
        <v>1.91</v>
      </c>
      <c r="O307">
        <v>2.33</v>
      </c>
      <c r="P307">
        <v>1329.59</v>
      </c>
    </row>
    <row r="308" spans="2:16">
      <c r="C308">
        <v>5</v>
      </c>
      <c r="D308">
        <v>1</v>
      </c>
      <c r="E308">
        <v>7</v>
      </c>
      <c r="F308" t="s">
        <v>11708</v>
      </c>
    </row>
    <row r="309" spans="2:16">
      <c r="C309">
        <v>5</v>
      </c>
      <c r="D309">
        <v>1</v>
      </c>
      <c r="E309">
        <v>7</v>
      </c>
      <c r="F309" t="s">
        <v>11708</v>
      </c>
      <c r="H309" t="s">
        <v>20676</v>
      </c>
      <c r="P309">
        <v>2208.8599999999997</v>
      </c>
    </row>
    <row r="310" spans="2:16">
      <c r="C310">
        <v>5</v>
      </c>
      <c r="D310">
        <v>1</v>
      </c>
      <c r="E310">
        <v>7</v>
      </c>
      <c r="F310" t="s">
        <v>11708</v>
      </c>
    </row>
    <row r="311" spans="2:16">
      <c r="B311">
        <v>1</v>
      </c>
      <c r="C311">
        <v>5</v>
      </c>
      <c r="D311">
        <v>1</v>
      </c>
      <c r="E311">
        <v>8</v>
      </c>
      <c r="F311" t="s">
        <v>11708</v>
      </c>
      <c r="H311" t="s">
        <v>11703</v>
      </c>
      <c r="I311" t="s">
        <v>64</v>
      </c>
      <c r="J311" s="25" t="s">
        <v>20677</v>
      </c>
      <c r="K311" t="s">
        <v>13990</v>
      </c>
      <c r="L311" t="s">
        <v>25</v>
      </c>
      <c r="M311" t="s">
        <v>11704</v>
      </c>
      <c r="N311" t="s">
        <v>11705</v>
      </c>
      <c r="O311" t="s">
        <v>11706</v>
      </c>
      <c r="P311" t="s">
        <v>27</v>
      </c>
    </row>
    <row r="312" spans="2:16">
      <c r="C312">
        <v>5</v>
      </c>
      <c r="D312">
        <v>1</v>
      </c>
      <c r="E312">
        <v>8</v>
      </c>
      <c r="F312" t="s">
        <v>11708</v>
      </c>
    </row>
    <row r="313" spans="2:16">
      <c r="C313">
        <v>5</v>
      </c>
      <c r="D313">
        <v>1</v>
      </c>
      <c r="E313">
        <v>8</v>
      </c>
      <c r="F313" t="s">
        <v>11708</v>
      </c>
      <c r="G313" t="s">
        <v>14106</v>
      </c>
      <c r="H313" t="s">
        <v>70</v>
      </c>
      <c r="I313">
        <v>94043</v>
      </c>
      <c r="K313" t="s">
        <v>16005</v>
      </c>
      <c r="L313" t="s">
        <v>256</v>
      </c>
      <c r="M313">
        <v>573.27</v>
      </c>
      <c r="N313">
        <v>14.48</v>
      </c>
      <c r="O313">
        <v>17.690000000000001</v>
      </c>
      <c r="P313">
        <v>10141.15</v>
      </c>
    </row>
    <row r="314" spans="2:16">
      <c r="C314">
        <v>5</v>
      </c>
      <c r="D314">
        <v>1</v>
      </c>
      <c r="E314">
        <v>8</v>
      </c>
      <c r="F314" t="s">
        <v>11708</v>
      </c>
      <c r="G314" t="s">
        <v>14107</v>
      </c>
      <c r="H314" t="s">
        <v>70</v>
      </c>
      <c r="I314">
        <v>94045</v>
      </c>
      <c r="K314" t="s">
        <v>16007</v>
      </c>
      <c r="L314" t="s">
        <v>256</v>
      </c>
      <c r="M314">
        <v>4559.1499999999996</v>
      </c>
      <c r="N314">
        <v>11.26</v>
      </c>
      <c r="O314">
        <v>13.76</v>
      </c>
      <c r="P314">
        <v>62733.9</v>
      </c>
    </row>
    <row r="315" spans="2:16">
      <c r="C315">
        <v>5</v>
      </c>
      <c r="D315">
        <v>1</v>
      </c>
      <c r="E315">
        <v>8</v>
      </c>
      <c r="F315" t="s">
        <v>11708</v>
      </c>
      <c r="G315" t="s">
        <v>14108</v>
      </c>
      <c r="H315" t="s">
        <v>70</v>
      </c>
      <c r="I315" t="s">
        <v>16023</v>
      </c>
      <c r="K315" t="s">
        <v>5240</v>
      </c>
      <c r="L315" t="s">
        <v>256</v>
      </c>
      <c r="M315">
        <v>158.72999999999999</v>
      </c>
      <c r="N315">
        <v>36.270000000000003</v>
      </c>
      <c r="O315">
        <v>44.32</v>
      </c>
      <c r="P315">
        <v>7034.91</v>
      </c>
    </row>
    <row r="316" spans="2:16">
      <c r="C316">
        <v>5</v>
      </c>
      <c r="D316">
        <v>1</v>
      </c>
      <c r="E316">
        <v>8</v>
      </c>
      <c r="F316" t="s">
        <v>11708</v>
      </c>
    </row>
    <row r="317" spans="2:16">
      <c r="C317">
        <v>5</v>
      </c>
      <c r="D317">
        <v>1</v>
      </c>
      <c r="E317">
        <v>8</v>
      </c>
      <c r="F317" t="s">
        <v>11708</v>
      </c>
      <c r="H317" t="s">
        <v>20678</v>
      </c>
      <c r="P317">
        <v>79909.960000000006</v>
      </c>
    </row>
    <row r="318" spans="2:16">
      <c r="C318">
        <v>5</v>
      </c>
      <c r="D318">
        <v>1</v>
      </c>
      <c r="E318">
        <v>8</v>
      </c>
      <c r="F318" t="s">
        <v>11708</v>
      </c>
    </row>
    <row r="319" spans="2:16">
      <c r="B319">
        <v>1</v>
      </c>
      <c r="C319">
        <v>5</v>
      </c>
      <c r="D319">
        <v>1</v>
      </c>
      <c r="E319">
        <v>9</v>
      </c>
      <c r="F319" t="s">
        <v>11708</v>
      </c>
      <c r="H319" t="s">
        <v>11703</v>
      </c>
      <c r="I319" t="s">
        <v>64</v>
      </c>
      <c r="J319" s="25" t="s">
        <v>20679</v>
      </c>
      <c r="K319" t="s">
        <v>13996</v>
      </c>
      <c r="L319" t="s">
        <v>25</v>
      </c>
      <c r="M319" t="s">
        <v>11704</v>
      </c>
      <c r="N319" t="s">
        <v>11705</v>
      </c>
      <c r="O319" t="s">
        <v>11706</v>
      </c>
      <c r="P319" t="s">
        <v>27</v>
      </c>
    </row>
    <row r="320" spans="2:16">
      <c r="C320">
        <v>5</v>
      </c>
      <c r="D320">
        <v>1</v>
      </c>
      <c r="E320">
        <v>9</v>
      </c>
      <c r="F320" t="s">
        <v>11708</v>
      </c>
    </row>
    <row r="321" spans="2:16">
      <c r="C321">
        <v>5</v>
      </c>
      <c r="D321">
        <v>1</v>
      </c>
      <c r="E321">
        <v>9</v>
      </c>
      <c r="F321" t="s">
        <v>11708</v>
      </c>
      <c r="G321" t="s">
        <v>14109</v>
      </c>
      <c r="H321" t="s">
        <v>70</v>
      </c>
      <c r="I321" t="s">
        <v>15726</v>
      </c>
      <c r="K321" t="s">
        <v>350</v>
      </c>
      <c r="L321" t="s">
        <v>57</v>
      </c>
      <c r="M321">
        <v>60</v>
      </c>
      <c r="N321">
        <v>6.2</v>
      </c>
      <c r="O321">
        <v>7.58</v>
      </c>
      <c r="P321">
        <v>454.8</v>
      </c>
    </row>
    <row r="322" spans="2:16">
      <c r="C322">
        <v>5</v>
      </c>
      <c r="D322">
        <v>1</v>
      </c>
      <c r="E322">
        <v>9</v>
      </c>
      <c r="F322" t="s">
        <v>11708</v>
      </c>
    </row>
    <row r="323" spans="2:16">
      <c r="C323">
        <v>5</v>
      </c>
      <c r="D323">
        <v>1</v>
      </c>
      <c r="E323">
        <v>9</v>
      </c>
      <c r="F323" t="s">
        <v>11708</v>
      </c>
      <c r="H323" t="s">
        <v>20680</v>
      </c>
      <c r="P323">
        <v>454.8</v>
      </c>
    </row>
    <row r="324" spans="2:16">
      <c r="C324">
        <v>5</v>
      </c>
      <c r="D324">
        <v>1</v>
      </c>
      <c r="E324">
        <v>9</v>
      </c>
      <c r="F324" t="s">
        <v>11708</v>
      </c>
    </row>
    <row r="325" spans="2:16">
      <c r="B325">
        <v>1</v>
      </c>
      <c r="C325">
        <v>5</v>
      </c>
      <c r="D325">
        <v>1</v>
      </c>
      <c r="E325">
        <v>10</v>
      </c>
      <c r="F325" t="s">
        <v>11708</v>
      </c>
      <c r="H325" t="s">
        <v>11703</v>
      </c>
      <c r="I325" t="s">
        <v>64</v>
      </c>
      <c r="J325" s="25" t="s">
        <v>20681</v>
      </c>
      <c r="K325" t="s">
        <v>12681</v>
      </c>
      <c r="L325" t="s">
        <v>25</v>
      </c>
      <c r="M325" t="s">
        <v>11704</v>
      </c>
      <c r="N325" t="s">
        <v>11705</v>
      </c>
      <c r="O325" t="s">
        <v>11706</v>
      </c>
      <c r="P325" t="s">
        <v>27</v>
      </c>
    </row>
    <row r="326" spans="2:16">
      <c r="C326">
        <v>5</v>
      </c>
      <c r="D326">
        <v>1</v>
      </c>
      <c r="E326">
        <v>10</v>
      </c>
      <c r="F326" t="s">
        <v>11708</v>
      </c>
    </row>
    <row r="327" spans="2:16">
      <c r="C327">
        <v>5</v>
      </c>
      <c r="D327">
        <v>1</v>
      </c>
      <c r="E327">
        <v>10</v>
      </c>
      <c r="F327" t="s">
        <v>11708</v>
      </c>
      <c r="G327" t="s">
        <v>14112</v>
      </c>
      <c r="H327" t="s">
        <v>70</v>
      </c>
      <c r="I327">
        <v>90739</v>
      </c>
      <c r="K327" t="s">
        <v>14748</v>
      </c>
      <c r="L327" t="s">
        <v>71</v>
      </c>
      <c r="M327">
        <v>512</v>
      </c>
      <c r="N327">
        <v>12.15</v>
      </c>
      <c r="O327">
        <v>14.85</v>
      </c>
      <c r="P327">
        <v>7603.2</v>
      </c>
    </row>
    <row r="328" spans="2:16">
      <c r="C328">
        <v>5</v>
      </c>
      <c r="D328">
        <v>1</v>
      </c>
      <c r="E328">
        <v>10</v>
      </c>
      <c r="F328" t="s">
        <v>11708</v>
      </c>
      <c r="G328" t="s">
        <v>14113</v>
      </c>
      <c r="H328" t="s">
        <v>70</v>
      </c>
      <c r="I328">
        <v>73509</v>
      </c>
      <c r="K328" t="s">
        <v>9926</v>
      </c>
      <c r="L328" t="s">
        <v>71</v>
      </c>
      <c r="M328">
        <v>512</v>
      </c>
      <c r="N328">
        <v>1.87</v>
      </c>
      <c r="O328">
        <v>2.2799999999999998</v>
      </c>
      <c r="P328">
        <v>1167.3599999999999</v>
      </c>
    </row>
    <row r="329" spans="2:16">
      <c r="C329">
        <v>5</v>
      </c>
      <c r="D329">
        <v>1</v>
      </c>
      <c r="E329">
        <v>10</v>
      </c>
      <c r="F329" t="s">
        <v>11708</v>
      </c>
      <c r="G329" t="s">
        <v>14114</v>
      </c>
      <c r="H329" t="s">
        <v>70</v>
      </c>
      <c r="I329">
        <v>92838</v>
      </c>
      <c r="K329" t="s">
        <v>14805</v>
      </c>
      <c r="L329" t="s">
        <v>71</v>
      </c>
      <c r="M329">
        <v>422</v>
      </c>
      <c r="N329">
        <v>10.9</v>
      </c>
      <c r="O329">
        <v>13.32</v>
      </c>
      <c r="P329">
        <v>5621.04</v>
      </c>
    </row>
    <row r="330" spans="2:16">
      <c r="C330">
        <v>5</v>
      </c>
      <c r="D330">
        <v>1</v>
      </c>
      <c r="E330">
        <v>10</v>
      </c>
      <c r="F330" t="s">
        <v>11708</v>
      </c>
      <c r="G330" t="s">
        <v>14115</v>
      </c>
      <c r="H330" t="s">
        <v>70</v>
      </c>
      <c r="I330">
        <v>73508</v>
      </c>
      <c r="K330" t="s">
        <v>9927</v>
      </c>
      <c r="L330" t="s">
        <v>71</v>
      </c>
      <c r="M330">
        <v>422</v>
      </c>
      <c r="N330">
        <v>2.57</v>
      </c>
      <c r="O330">
        <v>3.14</v>
      </c>
      <c r="P330">
        <v>1325.08</v>
      </c>
    </row>
    <row r="331" spans="2:16">
      <c r="C331">
        <v>5</v>
      </c>
      <c r="D331">
        <v>1</v>
      </c>
      <c r="E331">
        <v>10</v>
      </c>
      <c r="F331" t="s">
        <v>11708</v>
      </c>
      <c r="G331" t="s">
        <v>14116</v>
      </c>
      <c r="H331" t="s">
        <v>70</v>
      </c>
      <c r="I331" t="s">
        <v>14687</v>
      </c>
      <c r="K331" t="s">
        <v>14688</v>
      </c>
      <c r="L331" t="s">
        <v>71</v>
      </c>
      <c r="M331">
        <v>6</v>
      </c>
      <c r="N331">
        <v>14.44</v>
      </c>
      <c r="O331">
        <v>17.64</v>
      </c>
      <c r="P331">
        <v>105.84</v>
      </c>
    </row>
    <row r="332" spans="2:16">
      <c r="C332">
        <v>5</v>
      </c>
      <c r="D332">
        <v>1</v>
      </c>
      <c r="E332">
        <v>10</v>
      </c>
      <c r="F332" t="s">
        <v>11708</v>
      </c>
      <c r="G332" t="s">
        <v>14117</v>
      </c>
      <c r="H332" t="s">
        <v>70</v>
      </c>
      <c r="I332" t="s">
        <v>14691</v>
      </c>
      <c r="K332" t="s">
        <v>14692</v>
      </c>
      <c r="L332" t="s">
        <v>71</v>
      </c>
      <c r="M332">
        <v>64</v>
      </c>
      <c r="N332">
        <v>18.62</v>
      </c>
      <c r="O332">
        <v>22.75</v>
      </c>
      <c r="P332">
        <v>1456</v>
      </c>
    </row>
    <row r="333" spans="2:16">
      <c r="C333">
        <v>5</v>
      </c>
      <c r="D333">
        <v>1</v>
      </c>
      <c r="E333">
        <v>10</v>
      </c>
      <c r="F333" t="s">
        <v>11708</v>
      </c>
      <c r="G333" t="s">
        <v>14118</v>
      </c>
      <c r="H333" t="s">
        <v>70</v>
      </c>
      <c r="I333" t="s">
        <v>14695</v>
      </c>
      <c r="K333" t="s">
        <v>14696</v>
      </c>
      <c r="L333" t="s">
        <v>71</v>
      </c>
      <c r="M333">
        <v>207</v>
      </c>
      <c r="N333">
        <v>28.13</v>
      </c>
      <c r="O333">
        <v>34.369999999999997</v>
      </c>
      <c r="P333">
        <v>7114.59</v>
      </c>
    </row>
    <row r="334" spans="2:16">
      <c r="C334">
        <v>5</v>
      </c>
      <c r="D334">
        <v>1</v>
      </c>
      <c r="E334">
        <v>10</v>
      </c>
      <c r="F334" t="s">
        <v>11708</v>
      </c>
      <c r="G334" t="s">
        <v>14119</v>
      </c>
      <c r="H334" t="s">
        <v>70</v>
      </c>
      <c r="I334">
        <v>92842</v>
      </c>
      <c r="K334" t="s">
        <v>14809</v>
      </c>
      <c r="L334" t="s">
        <v>71</v>
      </c>
      <c r="M334">
        <v>263</v>
      </c>
      <c r="N334">
        <v>14.76</v>
      </c>
      <c r="O334">
        <v>18.04</v>
      </c>
      <c r="P334">
        <v>4744.5200000000004</v>
      </c>
    </row>
    <row r="335" spans="2:16">
      <c r="C335">
        <v>5</v>
      </c>
      <c r="D335">
        <v>1</v>
      </c>
      <c r="E335">
        <v>10</v>
      </c>
      <c r="F335" t="s">
        <v>11708</v>
      </c>
      <c r="G335" t="s">
        <v>14120</v>
      </c>
      <c r="H335" t="s">
        <v>70</v>
      </c>
      <c r="I335">
        <v>73515</v>
      </c>
      <c r="K335" t="s">
        <v>9917</v>
      </c>
      <c r="L335" t="s">
        <v>71</v>
      </c>
      <c r="M335">
        <v>263</v>
      </c>
      <c r="N335">
        <v>8.33</v>
      </c>
      <c r="O335">
        <v>10.18</v>
      </c>
      <c r="P335">
        <v>2677.34</v>
      </c>
    </row>
    <row r="336" spans="2:16">
      <c r="C336">
        <v>5</v>
      </c>
      <c r="D336">
        <v>1</v>
      </c>
      <c r="E336">
        <v>10</v>
      </c>
      <c r="F336" t="s">
        <v>11708</v>
      </c>
    </row>
    <row r="337" spans="2:16">
      <c r="C337">
        <v>5</v>
      </c>
      <c r="D337">
        <v>1</v>
      </c>
      <c r="E337">
        <v>10</v>
      </c>
      <c r="F337" t="s">
        <v>11708</v>
      </c>
      <c r="H337" t="s">
        <v>20682</v>
      </c>
      <c r="P337">
        <v>31814.969999999998</v>
      </c>
    </row>
    <row r="338" spans="2:16">
      <c r="C338">
        <v>5</v>
      </c>
      <c r="D338">
        <v>1</v>
      </c>
      <c r="E338">
        <v>10</v>
      </c>
      <c r="F338" t="s">
        <v>11708</v>
      </c>
    </row>
    <row r="339" spans="2:16">
      <c r="B339">
        <v>1</v>
      </c>
      <c r="C339">
        <v>5</v>
      </c>
      <c r="D339">
        <v>1</v>
      </c>
      <c r="E339">
        <v>11</v>
      </c>
      <c r="F339" t="s">
        <v>11708</v>
      </c>
      <c r="H339" t="s">
        <v>11703</v>
      </c>
      <c r="I339" t="s">
        <v>64</v>
      </c>
      <c r="J339" s="25" t="s">
        <v>20683</v>
      </c>
      <c r="K339" t="s">
        <v>14044</v>
      </c>
      <c r="L339" t="s">
        <v>25</v>
      </c>
      <c r="M339" t="s">
        <v>11704</v>
      </c>
      <c r="N339" t="s">
        <v>11705</v>
      </c>
      <c r="O339" t="s">
        <v>11706</v>
      </c>
      <c r="P339" t="s">
        <v>27</v>
      </c>
    </row>
    <row r="340" spans="2:16">
      <c r="C340">
        <v>5</v>
      </c>
      <c r="D340">
        <v>1</v>
      </c>
      <c r="E340">
        <v>11</v>
      </c>
      <c r="F340" t="s">
        <v>11708</v>
      </c>
    </row>
    <row r="341" spans="2:16">
      <c r="C341">
        <v>5</v>
      </c>
      <c r="D341">
        <v>1</v>
      </c>
      <c r="E341">
        <v>11</v>
      </c>
      <c r="F341" t="s">
        <v>11708</v>
      </c>
      <c r="G341" t="s">
        <v>14121</v>
      </c>
      <c r="H341" t="s">
        <v>1</v>
      </c>
      <c r="I341">
        <v>1418</v>
      </c>
      <c r="K341" t="s">
        <v>19832</v>
      </c>
      <c r="L341" t="s">
        <v>255</v>
      </c>
      <c r="M341">
        <v>8.3699999999999992</v>
      </c>
      <c r="N341">
        <v>24.32</v>
      </c>
      <c r="O341">
        <v>29.72</v>
      </c>
      <c r="P341">
        <v>248.76</v>
      </c>
    </row>
    <row r="342" spans="2:16">
      <c r="C342">
        <v>5</v>
      </c>
      <c r="D342">
        <v>1</v>
      </c>
      <c r="E342">
        <v>11</v>
      </c>
      <c r="F342" t="s">
        <v>11708</v>
      </c>
      <c r="G342" t="s">
        <v>14122</v>
      </c>
      <c r="H342" t="s">
        <v>1</v>
      </c>
      <c r="I342">
        <v>1419</v>
      </c>
      <c r="K342" t="s">
        <v>19833</v>
      </c>
      <c r="L342" t="s">
        <v>255</v>
      </c>
      <c r="M342">
        <v>0.27</v>
      </c>
      <c r="N342">
        <v>177.76</v>
      </c>
      <c r="O342">
        <v>217.2</v>
      </c>
      <c r="P342">
        <v>58.64</v>
      </c>
    </row>
    <row r="343" spans="2:16">
      <c r="C343">
        <v>5</v>
      </c>
      <c r="D343">
        <v>1</v>
      </c>
      <c r="E343">
        <v>11</v>
      </c>
      <c r="F343" t="s">
        <v>11708</v>
      </c>
      <c r="G343" t="s">
        <v>14123</v>
      </c>
      <c r="H343" t="s">
        <v>1</v>
      </c>
      <c r="I343">
        <v>1430</v>
      </c>
      <c r="K343" t="s">
        <v>19834</v>
      </c>
      <c r="L343" t="s">
        <v>256</v>
      </c>
      <c r="M343">
        <v>114</v>
      </c>
      <c r="N343">
        <v>28.32</v>
      </c>
      <c r="O343">
        <v>34.6</v>
      </c>
      <c r="P343">
        <v>3944.4</v>
      </c>
    </row>
    <row r="344" spans="2:16">
      <c r="C344">
        <v>5</v>
      </c>
      <c r="D344">
        <v>1</v>
      </c>
      <c r="E344">
        <v>11</v>
      </c>
      <c r="F344" t="s">
        <v>11708</v>
      </c>
      <c r="G344" t="s">
        <v>14273</v>
      </c>
      <c r="H344" t="s">
        <v>70</v>
      </c>
      <c r="I344">
        <v>94990</v>
      </c>
      <c r="K344" t="s">
        <v>18684</v>
      </c>
      <c r="L344" t="s">
        <v>255</v>
      </c>
      <c r="M344">
        <v>1.8</v>
      </c>
      <c r="N344">
        <v>497.55</v>
      </c>
      <c r="O344">
        <v>607.96</v>
      </c>
      <c r="P344">
        <v>1094.33</v>
      </c>
    </row>
    <row r="345" spans="2:16">
      <c r="C345">
        <v>5</v>
      </c>
      <c r="D345">
        <v>1</v>
      </c>
      <c r="E345">
        <v>11</v>
      </c>
      <c r="F345" t="s">
        <v>11708</v>
      </c>
      <c r="G345" t="s">
        <v>20311</v>
      </c>
      <c r="H345" t="s">
        <v>1</v>
      </c>
      <c r="I345">
        <v>1424</v>
      </c>
      <c r="K345" t="s">
        <v>1264</v>
      </c>
      <c r="L345" t="s">
        <v>71</v>
      </c>
      <c r="M345">
        <v>14.74</v>
      </c>
      <c r="N345">
        <v>6.01</v>
      </c>
      <c r="O345">
        <v>7.34</v>
      </c>
      <c r="P345">
        <v>108.19</v>
      </c>
    </row>
    <row r="346" spans="2:16">
      <c r="C346">
        <v>5</v>
      </c>
      <c r="D346">
        <v>1</v>
      </c>
      <c r="E346">
        <v>11</v>
      </c>
      <c r="F346" t="s">
        <v>11708</v>
      </c>
      <c r="G346" t="s">
        <v>20312</v>
      </c>
      <c r="H346" t="s">
        <v>70</v>
      </c>
      <c r="I346">
        <v>94273</v>
      </c>
      <c r="K346" t="s">
        <v>15983</v>
      </c>
      <c r="L346" t="s">
        <v>71</v>
      </c>
      <c r="M346">
        <v>14.74</v>
      </c>
      <c r="N346">
        <v>35.43</v>
      </c>
      <c r="O346">
        <v>43.29</v>
      </c>
      <c r="P346">
        <v>638.09</v>
      </c>
    </row>
    <row r="347" spans="2:16">
      <c r="C347">
        <v>5</v>
      </c>
      <c r="D347">
        <v>1</v>
      </c>
      <c r="E347">
        <v>11</v>
      </c>
      <c r="F347" t="s">
        <v>11708</v>
      </c>
    </row>
    <row r="348" spans="2:16">
      <c r="C348">
        <v>5</v>
      </c>
      <c r="D348">
        <v>1</v>
      </c>
      <c r="E348">
        <v>11</v>
      </c>
      <c r="F348" t="s">
        <v>11708</v>
      </c>
      <c r="H348" t="s">
        <v>20684</v>
      </c>
      <c r="P348">
        <v>6092.41</v>
      </c>
    </row>
    <row r="349" spans="2:16">
      <c r="C349">
        <v>5</v>
      </c>
      <c r="D349">
        <v>1</v>
      </c>
      <c r="E349">
        <v>11</v>
      </c>
      <c r="F349" t="s">
        <v>11708</v>
      </c>
    </row>
    <row r="350" spans="2:16">
      <c r="B350">
        <v>1</v>
      </c>
      <c r="C350">
        <v>5</v>
      </c>
      <c r="D350">
        <v>1</v>
      </c>
      <c r="E350">
        <v>12</v>
      </c>
      <c r="F350" t="s">
        <v>11708</v>
      </c>
      <c r="H350" t="s">
        <v>11703</v>
      </c>
      <c r="I350" t="s">
        <v>64</v>
      </c>
      <c r="J350" s="25" t="s">
        <v>20685</v>
      </c>
      <c r="K350" t="s">
        <v>14045</v>
      </c>
      <c r="L350" t="s">
        <v>25</v>
      </c>
      <c r="M350" t="s">
        <v>11704</v>
      </c>
      <c r="N350" t="s">
        <v>11705</v>
      </c>
      <c r="O350" t="s">
        <v>11706</v>
      </c>
      <c r="P350" t="s">
        <v>27</v>
      </c>
    </row>
    <row r="351" spans="2:16">
      <c r="C351">
        <v>5</v>
      </c>
      <c r="D351">
        <v>1</v>
      </c>
      <c r="E351">
        <v>12</v>
      </c>
      <c r="F351" t="s">
        <v>11708</v>
      </c>
    </row>
    <row r="352" spans="2:16">
      <c r="C352">
        <v>5</v>
      </c>
      <c r="D352">
        <v>1</v>
      </c>
      <c r="E352">
        <v>12</v>
      </c>
      <c r="F352" t="s">
        <v>11708</v>
      </c>
      <c r="G352" t="s">
        <v>20316</v>
      </c>
      <c r="H352" t="s">
        <v>1</v>
      </c>
      <c r="I352">
        <v>232</v>
      </c>
      <c r="K352" t="s">
        <v>19828</v>
      </c>
      <c r="L352" t="s">
        <v>255</v>
      </c>
      <c r="M352">
        <v>17.100000000000001</v>
      </c>
      <c r="N352">
        <v>1.46</v>
      </c>
      <c r="O352">
        <v>1.78</v>
      </c>
      <c r="P352">
        <v>30.44</v>
      </c>
    </row>
    <row r="353" spans="2:16">
      <c r="C353">
        <v>5</v>
      </c>
      <c r="D353">
        <v>1</v>
      </c>
      <c r="E353">
        <v>12</v>
      </c>
      <c r="F353" t="s">
        <v>11708</v>
      </c>
      <c r="G353" t="s">
        <v>20317</v>
      </c>
      <c r="H353" t="s">
        <v>1</v>
      </c>
      <c r="I353">
        <v>233</v>
      </c>
      <c r="K353" t="s">
        <v>19829</v>
      </c>
      <c r="L353" t="s">
        <v>255</v>
      </c>
      <c r="M353">
        <v>17.100000000000001</v>
      </c>
      <c r="N353">
        <v>4.3499999999999996</v>
      </c>
      <c r="O353">
        <v>5.32</v>
      </c>
      <c r="P353">
        <v>90.97</v>
      </c>
    </row>
    <row r="354" spans="2:16">
      <c r="C354">
        <v>5</v>
      </c>
      <c r="D354">
        <v>1</v>
      </c>
      <c r="E354">
        <v>12</v>
      </c>
      <c r="F354" t="s">
        <v>11708</v>
      </c>
      <c r="G354" t="s">
        <v>20318</v>
      </c>
      <c r="H354" t="s">
        <v>1</v>
      </c>
      <c r="I354">
        <v>246</v>
      </c>
      <c r="K354" t="s">
        <v>19830</v>
      </c>
      <c r="L354" t="s">
        <v>9853</v>
      </c>
      <c r="M354">
        <v>63.27</v>
      </c>
      <c r="N354">
        <v>1.91</v>
      </c>
      <c r="O354">
        <v>2.33</v>
      </c>
      <c r="P354">
        <v>147.41999999999999</v>
      </c>
    </row>
    <row r="355" spans="2:16">
      <c r="C355">
        <v>5</v>
      </c>
      <c r="D355">
        <v>1</v>
      </c>
      <c r="E355">
        <v>12</v>
      </c>
      <c r="F355" t="s">
        <v>11708</v>
      </c>
    </row>
    <row r="356" spans="2:16">
      <c r="C356">
        <v>5</v>
      </c>
      <c r="D356">
        <v>1</v>
      </c>
      <c r="E356">
        <v>12</v>
      </c>
      <c r="F356" t="s">
        <v>11708</v>
      </c>
      <c r="H356" t="s">
        <v>20686</v>
      </c>
      <c r="P356">
        <v>268.83</v>
      </c>
    </row>
    <row r="357" spans="2:16">
      <c r="C357">
        <v>5</v>
      </c>
      <c r="D357">
        <v>1</v>
      </c>
      <c r="E357">
        <v>12</v>
      </c>
      <c r="F357" t="s">
        <v>11708</v>
      </c>
    </row>
    <row r="358" spans="2:16">
      <c r="B358">
        <v>1</v>
      </c>
      <c r="C358">
        <v>5</v>
      </c>
      <c r="D358">
        <v>1</v>
      </c>
      <c r="E358">
        <v>13</v>
      </c>
      <c r="F358" t="s">
        <v>11708</v>
      </c>
      <c r="H358" t="s">
        <v>11703</v>
      </c>
      <c r="I358" t="s">
        <v>64</v>
      </c>
      <c r="J358" s="25" t="s">
        <v>20687</v>
      </c>
      <c r="K358" t="s">
        <v>14046</v>
      </c>
      <c r="L358" t="s">
        <v>25</v>
      </c>
      <c r="M358" t="s">
        <v>11704</v>
      </c>
      <c r="N358" t="s">
        <v>11705</v>
      </c>
      <c r="O358" t="s">
        <v>11706</v>
      </c>
      <c r="P358" t="s">
        <v>27</v>
      </c>
    </row>
    <row r="359" spans="2:16">
      <c r="C359">
        <v>5</v>
      </c>
      <c r="D359">
        <v>1</v>
      </c>
      <c r="E359">
        <v>13</v>
      </c>
      <c r="F359" t="s">
        <v>11708</v>
      </c>
    </row>
    <row r="360" spans="2:16">
      <c r="C360">
        <v>5</v>
      </c>
      <c r="D360">
        <v>1</v>
      </c>
      <c r="E360">
        <v>13</v>
      </c>
      <c r="F360" t="s">
        <v>11708</v>
      </c>
      <c r="G360" t="s">
        <v>20313</v>
      </c>
      <c r="H360" t="s">
        <v>70</v>
      </c>
      <c r="I360" t="s">
        <v>18276</v>
      </c>
      <c r="K360" t="s">
        <v>18277</v>
      </c>
      <c r="L360" t="s">
        <v>255</v>
      </c>
      <c r="M360">
        <v>6.84</v>
      </c>
      <c r="N360">
        <v>1.76</v>
      </c>
      <c r="O360">
        <v>2.15</v>
      </c>
      <c r="P360">
        <v>14.71</v>
      </c>
    </row>
    <row r="361" spans="2:16">
      <c r="C361">
        <v>5</v>
      </c>
      <c r="D361">
        <v>1</v>
      </c>
      <c r="E361">
        <v>13</v>
      </c>
      <c r="F361" t="s">
        <v>11708</v>
      </c>
      <c r="G361" t="s">
        <v>20314</v>
      </c>
      <c r="H361" t="s">
        <v>70</v>
      </c>
      <c r="I361">
        <v>93590</v>
      </c>
      <c r="K361" t="s">
        <v>19275</v>
      </c>
      <c r="L361" t="s">
        <v>9853</v>
      </c>
      <c r="M361">
        <v>25.31</v>
      </c>
      <c r="N361">
        <v>0.74</v>
      </c>
      <c r="O361">
        <v>0.9</v>
      </c>
      <c r="P361">
        <v>22.78</v>
      </c>
    </row>
    <row r="362" spans="2:16">
      <c r="C362">
        <v>5</v>
      </c>
      <c r="D362">
        <v>1</v>
      </c>
      <c r="E362">
        <v>13</v>
      </c>
      <c r="F362" t="s">
        <v>11708</v>
      </c>
      <c r="G362" t="s">
        <v>20315</v>
      </c>
      <c r="H362" t="s">
        <v>70</v>
      </c>
      <c r="I362">
        <v>83344</v>
      </c>
      <c r="K362" t="s">
        <v>18317</v>
      </c>
      <c r="L362" t="s">
        <v>255</v>
      </c>
      <c r="M362">
        <v>6.84</v>
      </c>
      <c r="N362">
        <v>1.02</v>
      </c>
      <c r="O362">
        <v>1.25</v>
      </c>
      <c r="P362">
        <v>8.5500000000000007</v>
      </c>
    </row>
    <row r="363" spans="2:16">
      <c r="C363">
        <v>5</v>
      </c>
      <c r="D363">
        <v>1</v>
      </c>
      <c r="E363">
        <v>13</v>
      </c>
      <c r="F363" t="s">
        <v>11708</v>
      </c>
    </row>
    <row r="364" spans="2:16">
      <c r="C364">
        <v>5</v>
      </c>
      <c r="D364">
        <v>1</v>
      </c>
      <c r="E364">
        <v>13</v>
      </c>
      <c r="F364" t="s">
        <v>11708</v>
      </c>
      <c r="H364" t="s">
        <v>20688</v>
      </c>
      <c r="P364">
        <v>46.040000000000006</v>
      </c>
    </row>
    <row r="365" spans="2:16">
      <c r="C365">
        <v>5</v>
      </c>
      <c r="D365">
        <v>1</v>
      </c>
      <c r="E365">
        <v>13</v>
      </c>
      <c r="F365" t="s">
        <v>11708</v>
      </c>
    </row>
    <row r="366" spans="2:16">
      <c r="B366">
        <v>1</v>
      </c>
      <c r="C366">
        <v>5</v>
      </c>
      <c r="D366">
        <v>1</v>
      </c>
      <c r="E366">
        <v>14</v>
      </c>
      <c r="F366" t="s">
        <v>11708</v>
      </c>
      <c r="H366" t="s">
        <v>11703</v>
      </c>
      <c r="I366" t="s">
        <v>64</v>
      </c>
      <c r="J366" s="25" t="s">
        <v>20689</v>
      </c>
      <c r="K366" t="s">
        <v>14047</v>
      </c>
      <c r="L366" t="s">
        <v>25</v>
      </c>
      <c r="M366" t="s">
        <v>11704</v>
      </c>
      <c r="N366" t="s">
        <v>11705</v>
      </c>
      <c r="O366" t="s">
        <v>11706</v>
      </c>
      <c r="P366" t="s">
        <v>27</v>
      </c>
    </row>
    <row r="367" spans="2:16">
      <c r="C367">
        <v>5</v>
      </c>
      <c r="D367">
        <v>1</v>
      </c>
      <c r="E367">
        <v>14</v>
      </c>
      <c r="F367" t="s">
        <v>11708</v>
      </c>
    </row>
    <row r="368" spans="2:16">
      <c r="C368">
        <v>5</v>
      </c>
      <c r="D368">
        <v>1</v>
      </c>
      <c r="E368">
        <v>14</v>
      </c>
      <c r="F368" t="s">
        <v>11708</v>
      </c>
      <c r="G368" t="s">
        <v>20319</v>
      </c>
      <c r="H368" t="s">
        <v>1</v>
      </c>
      <c r="I368">
        <v>1737</v>
      </c>
      <c r="K368" t="s">
        <v>19835</v>
      </c>
      <c r="L368" t="s">
        <v>65</v>
      </c>
      <c r="M368">
        <v>3</v>
      </c>
      <c r="N368">
        <v>1146.05</v>
      </c>
      <c r="O368">
        <v>1400.36</v>
      </c>
      <c r="P368">
        <v>4201.08</v>
      </c>
    </row>
    <row r="369" spans="1:16">
      <c r="C369">
        <v>5</v>
      </c>
      <c r="D369">
        <v>1</v>
      </c>
      <c r="E369">
        <v>14</v>
      </c>
      <c r="F369" t="s">
        <v>11708</v>
      </c>
      <c r="G369" t="s">
        <v>20320</v>
      </c>
      <c r="H369" t="s">
        <v>1</v>
      </c>
      <c r="I369">
        <v>1612</v>
      </c>
      <c r="K369" t="s">
        <v>19836</v>
      </c>
      <c r="L369" t="s">
        <v>65</v>
      </c>
      <c r="M369">
        <v>4</v>
      </c>
      <c r="N369">
        <v>1231.04</v>
      </c>
      <c r="O369">
        <v>1504.21</v>
      </c>
      <c r="P369">
        <v>6016.84</v>
      </c>
    </row>
    <row r="370" spans="1:16">
      <c r="C370">
        <v>5</v>
      </c>
      <c r="D370">
        <v>1</v>
      </c>
      <c r="E370">
        <v>14</v>
      </c>
      <c r="F370" t="s">
        <v>11708</v>
      </c>
      <c r="G370" t="s">
        <v>20321</v>
      </c>
      <c r="H370" t="s">
        <v>1</v>
      </c>
      <c r="I370">
        <v>1613</v>
      </c>
      <c r="K370" t="s">
        <v>19837</v>
      </c>
      <c r="L370" t="s">
        <v>65</v>
      </c>
      <c r="M370">
        <v>7</v>
      </c>
      <c r="N370">
        <v>1370.56</v>
      </c>
      <c r="O370">
        <v>1674.69</v>
      </c>
      <c r="P370">
        <v>11722.83</v>
      </c>
    </row>
    <row r="371" spans="1:16">
      <c r="C371">
        <v>5</v>
      </c>
      <c r="D371">
        <v>1</v>
      </c>
      <c r="E371">
        <v>14</v>
      </c>
      <c r="F371" t="s">
        <v>11708</v>
      </c>
      <c r="G371" t="s">
        <v>20322</v>
      </c>
      <c r="H371" t="s">
        <v>1</v>
      </c>
      <c r="I371">
        <v>1614</v>
      </c>
      <c r="K371" t="s">
        <v>19838</v>
      </c>
      <c r="L371" t="s">
        <v>65</v>
      </c>
      <c r="M371">
        <v>4</v>
      </c>
      <c r="N371">
        <v>1501.81</v>
      </c>
      <c r="O371">
        <v>1835.06</v>
      </c>
      <c r="P371">
        <v>7340.24</v>
      </c>
    </row>
    <row r="372" spans="1:16">
      <c r="C372">
        <v>5</v>
      </c>
      <c r="D372">
        <v>1</v>
      </c>
      <c r="E372">
        <v>14</v>
      </c>
      <c r="F372" t="s">
        <v>11708</v>
      </c>
      <c r="G372" t="s">
        <v>20323</v>
      </c>
      <c r="H372" t="s">
        <v>1</v>
      </c>
      <c r="I372">
        <v>1615</v>
      </c>
      <c r="K372" t="s">
        <v>19839</v>
      </c>
      <c r="L372" t="s">
        <v>65</v>
      </c>
      <c r="M372">
        <v>1</v>
      </c>
      <c r="N372">
        <v>1595.47</v>
      </c>
      <c r="O372">
        <v>1949.5</v>
      </c>
      <c r="P372">
        <v>1949.5</v>
      </c>
    </row>
    <row r="373" spans="1:16">
      <c r="C373">
        <v>5</v>
      </c>
      <c r="D373">
        <v>1</v>
      </c>
      <c r="E373">
        <v>14</v>
      </c>
      <c r="F373" t="s">
        <v>11708</v>
      </c>
    </row>
    <row r="374" spans="1:16">
      <c r="C374">
        <v>5</v>
      </c>
      <c r="D374">
        <v>1</v>
      </c>
      <c r="E374">
        <v>14</v>
      </c>
      <c r="F374" t="s">
        <v>11708</v>
      </c>
      <c r="H374" t="s">
        <v>20690</v>
      </c>
      <c r="P374">
        <v>31230.489999999998</v>
      </c>
    </row>
    <row r="375" spans="1:16">
      <c r="C375">
        <v>5</v>
      </c>
      <c r="D375">
        <v>1</v>
      </c>
      <c r="E375">
        <v>14</v>
      </c>
      <c r="F375" t="s">
        <v>11708</v>
      </c>
    </row>
    <row r="376" spans="1:16">
      <c r="A376">
        <v>1</v>
      </c>
      <c r="C376">
        <v>5</v>
      </c>
      <c r="D376">
        <v>2</v>
      </c>
      <c r="E376">
        <v>0</v>
      </c>
      <c r="F376" t="s">
        <v>11708</v>
      </c>
      <c r="H376" t="s">
        <v>14553</v>
      </c>
      <c r="I376" t="s">
        <v>14632</v>
      </c>
      <c r="O376" t="s">
        <v>11702</v>
      </c>
      <c r="P376">
        <v>157477.15000000002</v>
      </c>
    </row>
    <row r="377" spans="1:16">
      <c r="C377">
        <v>5</v>
      </c>
      <c r="D377">
        <v>2</v>
      </c>
      <c r="E377">
        <v>0</v>
      </c>
      <c r="F377" t="s">
        <v>11708</v>
      </c>
    </row>
    <row r="378" spans="1:16">
      <c r="C378">
        <v>5</v>
      </c>
      <c r="D378">
        <v>2</v>
      </c>
      <c r="E378">
        <v>1</v>
      </c>
      <c r="F378" t="s">
        <v>11708</v>
      </c>
      <c r="H378" t="s">
        <v>11703</v>
      </c>
      <c r="I378" t="s">
        <v>64</v>
      </c>
      <c r="J378" s="25" t="s">
        <v>20691</v>
      </c>
      <c r="K378" t="s">
        <v>11709</v>
      </c>
      <c r="L378" t="s">
        <v>25</v>
      </c>
      <c r="M378" t="s">
        <v>11704</v>
      </c>
      <c r="N378" t="s">
        <v>11705</v>
      </c>
      <c r="O378" t="s">
        <v>11706</v>
      </c>
      <c r="P378" t="s">
        <v>27</v>
      </c>
    </row>
    <row r="379" spans="1:16">
      <c r="C379">
        <v>5</v>
      </c>
      <c r="D379">
        <v>2</v>
      </c>
      <c r="E379">
        <v>1</v>
      </c>
      <c r="F379" t="s">
        <v>11708</v>
      </c>
    </row>
    <row r="380" spans="1:16">
      <c r="C380">
        <v>5</v>
      </c>
      <c r="D380">
        <v>2</v>
      </c>
      <c r="E380">
        <v>1</v>
      </c>
      <c r="F380" t="s">
        <v>11708</v>
      </c>
      <c r="G380" t="s">
        <v>14563</v>
      </c>
      <c r="H380" t="s">
        <v>70</v>
      </c>
      <c r="I380">
        <v>85323</v>
      </c>
      <c r="K380" t="s">
        <v>19269</v>
      </c>
      <c r="L380" t="s">
        <v>71</v>
      </c>
      <c r="M380">
        <v>207</v>
      </c>
      <c r="N380">
        <v>1.49</v>
      </c>
      <c r="O380">
        <v>1.82</v>
      </c>
      <c r="P380">
        <v>376.74</v>
      </c>
    </row>
    <row r="381" spans="1:16">
      <c r="C381">
        <v>5</v>
      </c>
      <c r="D381">
        <v>2</v>
      </c>
      <c r="E381">
        <v>1</v>
      </c>
      <c r="F381" t="s">
        <v>11708</v>
      </c>
      <c r="G381" t="s">
        <v>14564</v>
      </c>
      <c r="H381" t="s">
        <v>13957</v>
      </c>
      <c r="I381" t="s">
        <v>14508</v>
      </c>
      <c r="K381" t="s">
        <v>14509</v>
      </c>
      <c r="L381" t="s">
        <v>69</v>
      </c>
      <c r="M381">
        <v>500</v>
      </c>
      <c r="N381">
        <v>3.7</v>
      </c>
      <c r="O381">
        <v>4.5199999999999996</v>
      </c>
      <c r="P381">
        <v>2260</v>
      </c>
    </row>
    <row r="382" spans="1:16">
      <c r="C382">
        <v>5</v>
      </c>
      <c r="D382">
        <v>2</v>
      </c>
      <c r="E382">
        <v>1</v>
      </c>
      <c r="F382" t="s">
        <v>11708</v>
      </c>
    </row>
    <row r="383" spans="1:16">
      <c r="C383">
        <v>5</v>
      </c>
      <c r="D383">
        <v>2</v>
      </c>
      <c r="E383">
        <v>1</v>
      </c>
      <c r="F383" t="s">
        <v>11708</v>
      </c>
      <c r="H383" t="s">
        <v>20692</v>
      </c>
      <c r="P383">
        <v>2636.74</v>
      </c>
    </row>
    <row r="384" spans="1:16">
      <c r="C384">
        <v>5</v>
      </c>
      <c r="D384">
        <v>2</v>
      </c>
      <c r="E384">
        <v>1</v>
      </c>
    </row>
    <row r="385" spans="2:16">
      <c r="B385">
        <v>1</v>
      </c>
      <c r="C385">
        <v>5</v>
      </c>
      <c r="D385">
        <v>2</v>
      </c>
      <c r="E385">
        <v>2</v>
      </c>
      <c r="F385" t="s">
        <v>11708</v>
      </c>
      <c r="H385" t="s">
        <v>11703</v>
      </c>
      <c r="I385" t="s">
        <v>64</v>
      </c>
      <c r="J385" s="25" t="s">
        <v>20693</v>
      </c>
      <c r="K385" t="s">
        <v>11710</v>
      </c>
      <c r="L385" t="s">
        <v>25</v>
      </c>
      <c r="M385" t="s">
        <v>11704</v>
      </c>
      <c r="N385" t="s">
        <v>11705</v>
      </c>
      <c r="O385" t="s">
        <v>11706</v>
      </c>
      <c r="P385" t="s">
        <v>27</v>
      </c>
    </row>
    <row r="386" spans="2:16">
      <c r="C386">
        <v>5</v>
      </c>
      <c r="D386">
        <v>2</v>
      </c>
      <c r="E386">
        <v>2</v>
      </c>
      <c r="F386" t="s">
        <v>11708</v>
      </c>
    </row>
    <row r="387" spans="2:16">
      <c r="C387">
        <v>5</v>
      </c>
      <c r="D387">
        <v>2</v>
      </c>
      <c r="E387">
        <v>2</v>
      </c>
      <c r="F387" t="s">
        <v>11708</v>
      </c>
      <c r="G387" t="s">
        <v>14565</v>
      </c>
      <c r="H387" t="s">
        <v>70</v>
      </c>
      <c r="I387">
        <v>90105</v>
      </c>
      <c r="K387" t="s">
        <v>18214</v>
      </c>
      <c r="L387" t="s">
        <v>255</v>
      </c>
      <c r="M387">
        <v>208.98</v>
      </c>
      <c r="N387">
        <v>14.07</v>
      </c>
      <c r="O387">
        <v>17.190000000000001</v>
      </c>
      <c r="P387">
        <v>3592.37</v>
      </c>
    </row>
    <row r="388" spans="2:16">
      <c r="C388">
        <v>5</v>
      </c>
      <c r="D388">
        <v>2</v>
      </c>
      <c r="E388">
        <v>2</v>
      </c>
      <c r="F388" t="s">
        <v>11708</v>
      </c>
      <c r="G388" t="s">
        <v>14567</v>
      </c>
      <c r="H388" t="s">
        <v>1</v>
      </c>
      <c r="I388">
        <v>192</v>
      </c>
      <c r="K388" t="s">
        <v>19816</v>
      </c>
      <c r="L388" t="s">
        <v>255</v>
      </c>
      <c r="M388">
        <v>11.61</v>
      </c>
      <c r="N388">
        <v>7.65</v>
      </c>
      <c r="O388">
        <v>9.35</v>
      </c>
      <c r="P388">
        <v>108.55</v>
      </c>
    </row>
    <row r="389" spans="2:16">
      <c r="C389">
        <v>5</v>
      </c>
      <c r="D389">
        <v>2</v>
      </c>
      <c r="E389">
        <v>2</v>
      </c>
      <c r="F389" t="s">
        <v>11708</v>
      </c>
      <c r="G389" t="s">
        <v>14569</v>
      </c>
      <c r="H389" t="s">
        <v>1</v>
      </c>
      <c r="I389">
        <v>194</v>
      </c>
      <c r="K389" t="s">
        <v>19819</v>
      </c>
      <c r="L389" t="s">
        <v>255</v>
      </c>
      <c r="M389">
        <v>11.61</v>
      </c>
      <c r="N389">
        <v>7.59</v>
      </c>
      <c r="O389">
        <v>9.27</v>
      </c>
      <c r="P389">
        <v>107.62</v>
      </c>
    </row>
    <row r="390" spans="2:16">
      <c r="C390">
        <v>5</v>
      </c>
      <c r="D390">
        <v>2</v>
      </c>
      <c r="E390">
        <v>2</v>
      </c>
      <c r="F390" t="s">
        <v>11708</v>
      </c>
      <c r="G390" t="s">
        <v>14571</v>
      </c>
      <c r="H390" t="s">
        <v>70</v>
      </c>
      <c r="I390">
        <v>93358</v>
      </c>
      <c r="K390" t="s">
        <v>826</v>
      </c>
      <c r="L390" t="s">
        <v>255</v>
      </c>
      <c r="M390">
        <v>11</v>
      </c>
      <c r="N390">
        <v>52.29</v>
      </c>
      <c r="O390">
        <v>63.89</v>
      </c>
      <c r="P390">
        <v>702.79</v>
      </c>
    </row>
    <row r="391" spans="2:16">
      <c r="C391">
        <v>5</v>
      </c>
      <c r="D391">
        <v>2</v>
      </c>
      <c r="E391">
        <v>2</v>
      </c>
      <c r="F391" t="s">
        <v>11708</v>
      </c>
      <c r="G391" t="s">
        <v>14573</v>
      </c>
      <c r="H391" t="s">
        <v>1</v>
      </c>
      <c r="I391">
        <v>170</v>
      </c>
      <c r="K391" t="s">
        <v>19822</v>
      </c>
      <c r="L391" t="s">
        <v>255</v>
      </c>
      <c r="M391">
        <v>0.61</v>
      </c>
      <c r="N391">
        <v>55.58</v>
      </c>
      <c r="O391">
        <v>67.91</v>
      </c>
      <c r="P391">
        <v>41.43</v>
      </c>
    </row>
    <row r="392" spans="2:16">
      <c r="C392">
        <v>5</v>
      </c>
      <c r="D392">
        <v>2</v>
      </c>
      <c r="E392">
        <v>2</v>
      </c>
      <c r="F392" t="s">
        <v>11708</v>
      </c>
      <c r="G392" t="s">
        <v>14575</v>
      </c>
      <c r="H392" t="s">
        <v>1</v>
      </c>
      <c r="I392">
        <v>176</v>
      </c>
      <c r="K392" t="s">
        <v>19826</v>
      </c>
      <c r="L392" t="s">
        <v>255</v>
      </c>
      <c r="M392">
        <v>0.61</v>
      </c>
      <c r="N392">
        <v>47.89</v>
      </c>
      <c r="O392">
        <v>58.52</v>
      </c>
      <c r="P392">
        <v>35.700000000000003</v>
      </c>
    </row>
    <row r="393" spans="2:16">
      <c r="C393">
        <v>5</v>
      </c>
      <c r="D393">
        <v>2</v>
      </c>
      <c r="E393">
        <v>2</v>
      </c>
      <c r="F393" t="s">
        <v>11708</v>
      </c>
      <c r="G393" t="s">
        <v>14577</v>
      </c>
      <c r="H393" t="s">
        <v>70</v>
      </c>
      <c r="I393" t="s">
        <v>15726</v>
      </c>
      <c r="K393" t="s">
        <v>350</v>
      </c>
      <c r="L393" t="s">
        <v>57</v>
      </c>
      <c r="M393">
        <v>5</v>
      </c>
      <c r="N393">
        <v>6.2</v>
      </c>
      <c r="O393">
        <v>7.58</v>
      </c>
      <c r="P393">
        <v>37.9</v>
      </c>
    </row>
    <row r="394" spans="2:16">
      <c r="C394">
        <v>5</v>
      </c>
      <c r="D394">
        <v>2</v>
      </c>
      <c r="E394">
        <v>2</v>
      </c>
      <c r="F394" t="s">
        <v>11708</v>
      </c>
      <c r="G394" t="s">
        <v>14578</v>
      </c>
      <c r="H394" t="s">
        <v>70</v>
      </c>
      <c r="I394">
        <v>93367</v>
      </c>
      <c r="K394" t="s">
        <v>18245</v>
      </c>
      <c r="L394" t="s">
        <v>255</v>
      </c>
      <c r="M394">
        <v>184.85</v>
      </c>
      <c r="N394">
        <v>17.86</v>
      </c>
      <c r="O394">
        <v>21.82</v>
      </c>
      <c r="P394">
        <v>4033.43</v>
      </c>
    </row>
    <row r="395" spans="2:16">
      <c r="C395">
        <v>5</v>
      </c>
      <c r="D395">
        <v>2</v>
      </c>
      <c r="E395">
        <v>2</v>
      </c>
      <c r="F395" t="s">
        <v>11708</v>
      </c>
      <c r="G395" t="s">
        <v>14579</v>
      </c>
      <c r="H395" t="s">
        <v>1</v>
      </c>
      <c r="I395">
        <v>220</v>
      </c>
      <c r="K395" t="s">
        <v>19999</v>
      </c>
      <c r="L395" t="s">
        <v>255</v>
      </c>
      <c r="M395">
        <v>20.54</v>
      </c>
      <c r="N395">
        <v>20.41</v>
      </c>
      <c r="O395">
        <v>24.94</v>
      </c>
      <c r="P395">
        <v>512.27</v>
      </c>
    </row>
    <row r="396" spans="2:16">
      <c r="C396">
        <v>5</v>
      </c>
      <c r="D396">
        <v>2</v>
      </c>
      <c r="E396">
        <v>2</v>
      </c>
      <c r="F396" t="s">
        <v>11708</v>
      </c>
    </row>
    <row r="397" spans="2:16">
      <c r="C397">
        <v>5</v>
      </c>
      <c r="D397">
        <v>2</v>
      </c>
      <c r="E397">
        <v>2</v>
      </c>
      <c r="F397" t="s">
        <v>11708</v>
      </c>
      <c r="H397" t="s">
        <v>20694</v>
      </c>
      <c r="P397">
        <v>9172.06</v>
      </c>
    </row>
    <row r="398" spans="2:16">
      <c r="C398">
        <v>5</v>
      </c>
      <c r="D398">
        <v>2</v>
      </c>
      <c r="E398">
        <v>2</v>
      </c>
      <c r="F398" t="s">
        <v>11708</v>
      </c>
    </row>
    <row r="399" spans="2:16">
      <c r="B399">
        <v>1</v>
      </c>
      <c r="C399">
        <v>5</v>
      </c>
      <c r="D399">
        <v>2</v>
      </c>
      <c r="E399">
        <v>3</v>
      </c>
      <c r="F399" t="s">
        <v>11708</v>
      </c>
      <c r="H399" t="s">
        <v>11703</v>
      </c>
      <c r="I399" t="s">
        <v>64</v>
      </c>
      <c r="J399" s="25" t="s">
        <v>20695</v>
      </c>
      <c r="K399" t="s">
        <v>11713</v>
      </c>
      <c r="L399" t="s">
        <v>25</v>
      </c>
      <c r="M399" t="s">
        <v>11704</v>
      </c>
      <c r="N399" t="s">
        <v>11705</v>
      </c>
      <c r="O399" t="s">
        <v>11706</v>
      </c>
      <c r="P399" t="s">
        <v>27</v>
      </c>
    </row>
    <row r="400" spans="2:16">
      <c r="C400">
        <v>5</v>
      </c>
      <c r="D400">
        <v>2</v>
      </c>
      <c r="E400">
        <v>3</v>
      </c>
      <c r="F400" t="s">
        <v>11708</v>
      </c>
    </row>
    <row r="401" spans="2:16">
      <c r="C401">
        <v>5</v>
      </c>
      <c r="D401">
        <v>2</v>
      </c>
      <c r="E401">
        <v>3</v>
      </c>
      <c r="F401" t="s">
        <v>11708</v>
      </c>
      <c r="G401" t="s">
        <v>14581</v>
      </c>
      <c r="H401" t="s">
        <v>70</v>
      </c>
      <c r="I401" t="s">
        <v>18276</v>
      </c>
      <c r="K401" t="s">
        <v>18277</v>
      </c>
      <c r="L401" t="s">
        <v>255</v>
      </c>
      <c r="M401">
        <v>39.03</v>
      </c>
      <c r="N401">
        <v>1.76</v>
      </c>
      <c r="O401">
        <v>2.15</v>
      </c>
      <c r="P401">
        <v>83.91</v>
      </c>
    </row>
    <row r="402" spans="2:16">
      <c r="C402">
        <v>5</v>
      </c>
      <c r="D402">
        <v>2</v>
      </c>
      <c r="E402">
        <v>3</v>
      </c>
      <c r="F402" t="s">
        <v>11708</v>
      </c>
      <c r="G402" t="s">
        <v>14582</v>
      </c>
      <c r="H402" t="s">
        <v>70</v>
      </c>
      <c r="I402">
        <v>93590</v>
      </c>
      <c r="K402" t="s">
        <v>19275</v>
      </c>
      <c r="L402" t="s">
        <v>9853</v>
      </c>
      <c r="M402">
        <v>269.31</v>
      </c>
      <c r="N402">
        <v>0.74</v>
      </c>
      <c r="O402">
        <v>0.9</v>
      </c>
      <c r="P402">
        <v>242.38</v>
      </c>
    </row>
    <row r="403" spans="2:16">
      <c r="C403">
        <v>5</v>
      </c>
      <c r="D403">
        <v>2</v>
      </c>
      <c r="E403">
        <v>3</v>
      </c>
      <c r="F403" t="s">
        <v>11708</v>
      </c>
      <c r="G403" t="s">
        <v>14583</v>
      </c>
      <c r="H403" t="s">
        <v>70</v>
      </c>
      <c r="I403">
        <v>83344</v>
      </c>
      <c r="K403" t="s">
        <v>18317</v>
      </c>
      <c r="L403" t="s">
        <v>255</v>
      </c>
      <c r="M403">
        <v>39.03</v>
      </c>
      <c r="N403">
        <v>1.02</v>
      </c>
      <c r="O403">
        <v>1.25</v>
      </c>
      <c r="P403">
        <v>48.79</v>
      </c>
    </row>
    <row r="404" spans="2:16">
      <c r="C404">
        <v>5</v>
      </c>
      <c r="D404">
        <v>2</v>
      </c>
      <c r="E404">
        <v>3</v>
      </c>
      <c r="F404" t="s">
        <v>11708</v>
      </c>
    </row>
    <row r="405" spans="2:16">
      <c r="C405">
        <v>5</v>
      </c>
      <c r="D405">
        <v>2</v>
      </c>
      <c r="E405">
        <v>3</v>
      </c>
      <c r="F405" t="s">
        <v>11708</v>
      </c>
      <c r="H405" t="s">
        <v>20696</v>
      </c>
      <c r="P405">
        <v>375.08</v>
      </c>
    </row>
    <row r="406" spans="2:16">
      <c r="C406">
        <v>5</v>
      </c>
      <c r="D406">
        <v>2</v>
      </c>
      <c r="E406">
        <v>3</v>
      </c>
    </row>
    <row r="407" spans="2:16">
      <c r="B407">
        <v>1</v>
      </c>
      <c r="C407">
        <v>5</v>
      </c>
      <c r="D407">
        <v>2</v>
      </c>
      <c r="E407">
        <v>4</v>
      </c>
      <c r="F407" t="s">
        <v>11708</v>
      </c>
      <c r="H407" t="s">
        <v>11703</v>
      </c>
      <c r="I407" t="s">
        <v>64</v>
      </c>
      <c r="J407" s="25" t="s">
        <v>20697</v>
      </c>
      <c r="K407" t="s">
        <v>14252</v>
      </c>
      <c r="L407" t="s">
        <v>25</v>
      </c>
      <c r="M407" t="s">
        <v>11704</v>
      </c>
      <c r="N407" t="s">
        <v>11705</v>
      </c>
      <c r="O407" t="s">
        <v>11706</v>
      </c>
      <c r="P407" t="s">
        <v>27</v>
      </c>
    </row>
    <row r="408" spans="2:16">
      <c r="C408">
        <v>5</v>
      </c>
      <c r="D408">
        <v>2</v>
      </c>
      <c r="E408">
        <v>4</v>
      </c>
      <c r="F408" t="s">
        <v>11708</v>
      </c>
    </row>
    <row r="409" spans="2:16">
      <c r="C409">
        <v>5</v>
      </c>
      <c r="D409">
        <v>2</v>
      </c>
      <c r="E409">
        <v>4</v>
      </c>
      <c r="F409" t="s">
        <v>11708</v>
      </c>
      <c r="G409" t="s">
        <v>14580</v>
      </c>
      <c r="H409" t="s">
        <v>70</v>
      </c>
      <c r="I409">
        <v>79472</v>
      </c>
      <c r="K409" t="s">
        <v>8710</v>
      </c>
      <c r="L409" t="s">
        <v>256</v>
      </c>
      <c r="M409">
        <v>10.94</v>
      </c>
      <c r="N409">
        <v>0.56000000000000005</v>
      </c>
      <c r="O409">
        <v>0.68</v>
      </c>
      <c r="P409">
        <v>7.44</v>
      </c>
    </row>
    <row r="410" spans="2:16">
      <c r="C410">
        <v>5</v>
      </c>
      <c r="D410">
        <v>2</v>
      </c>
      <c r="E410">
        <v>4</v>
      </c>
      <c r="F410" t="s">
        <v>11708</v>
      </c>
    </row>
    <row r="411" spans="2:16">
      <c r="C411">
        <v>5</v>
      </c>
      <c r="D411">
        <v>2</v>
      </c>
      <c r="E411">
        <v>4</v>
      </c>
      <c r="F411" t="s">
        <v>11708</v>
      </c>
      <c r="H411" t="s">
        <v>20698</v>
      </c>
      <c r="P411">
        <v>7.44</v>
      </c>
    </row>
    <row r="412" spans="2:16">
      <c r="C412">
        <v>5</v>
      </c>
      <c r="D412">
        <v>2</v>
      </c>
      <c r="E412">
        <v>4</v>
      </c>
    </row>
    <row r="413" spans="2:16">
      <c r="C413">
        <v>5</v>
      </c>
      <c r="D413">
        <v>2</v>
      </c>
      <c r="E413">
        <v>4</v>
      </c>
      <c r="F413" t="s">
        <v>11708</v>
      </c>
    </row>
    <row r="414" spans="2:16">
      <c r="B414">
        <v>1</v>
      </c>
      <c r="C414">
        <v>5</v>
      </c>
      <c r="D414">
        <v>2</v>
      </c>
      <c r="E414">
        <v>5</v>
      </c>
      <c r="F414" t="s">
        <v>11708</v>
      </c>
      <c r="H414" t="s">
        <v>11703</v>
      </c>
      <c r="I414" t="s">
        <v>64</v>
      </c>
      <c r="J414" s="25" t="s">
        <v>20699</v>
      </c>
      <c r="K414" t="s">
        <v>11714</v>
      </c>
      <c r="L414" t="s">
        <v>25</v>
      </c>
      <c r="M414" t="s">
        <v>11704</v>
      </c>
      <c r="N414" t="s">
        <v>11705</v>
      </c>
      <c r="O414" t="s">
        <v>11706</v>
      </c>
      <c r="P414" t="s">
        <v>27</v>
      </c>
    </row>
    <row r="415" spans="2:16">
      <c r="C415">
        <v>5</v>
      </c>
      <c r="D415">
        <v>2</v>
      </c>
      <c r="E415">
        <v>5</v>
      </c>
      <c r="F415" t="s">
        <v>11708</v>
      </c>
    </row>
    <row r="416" spans="2:16">
      <c r="C416">
        <v>5</v>
      </c>
      <c r="D416">
        <v>2</v>
      </c>
      <c r="E416">
        <v>5</v>
      </c>
      <c r="F416" t="s">
        <v>11708</v>
      </c>
      <c r="G416" t="s">
        <v>14584</v>
      </c>
      <c r="H416" t="s">
        <v>70</v>
      </c>
      <c r="I416">
        <v>92415</v>
      </c>
      <c r="K416" t="s">
        <v>16234</v>
      </c>
      <c r="L416" t="s">
        <v>256</v>
      </c>
      <c r="M416">
        <v>280.43</v>
      </c>
      <c r="N416">
        <v>73.489999999999995</v>
      </c>
      <c r="O416">
        <v>89.8</v>
      </c>
      <c r="P416">
        <v>25182.61</v>
      </c>
    </row>
    <row r="417" spans="2:16">
      <c r="C417">
        <v>5</v>
      </c>
      <c r="D417">
        <v>2</v>
      </c>
      <c r="E417">
        <v>5</v>
      </c>
      <c r="F417" t="s">
        <v>11708</v>
      </c>
      <c r="G417" t="s">
        <v>14585</v>
      </c>
      <c r="H417" t="s">
        <v>70</v>
      </c>
      <c r="I417">
        <v>34493</v>
      </c>
      <c r="K417" t="s">
        <v>3781</v>
      </c>
      <c r="L417" t="s">
        <v>255</v>
      </c>
      <c r="M417">
        <v>48.72</v>
      </c>
      <c r="N417">
        <v>238.87</v>
      </c>
      <c r="O417">
        <v>291.88</v>
      </c>
      <c r="P417">
        <v>14220.39</v>
      </c>
    </row>
    <row r="418" spans="2:16">
      <c r="C418">
        <v>5</v>
      </c>
      <c r="D418">
        <v>2</v>
      </c>
      <c r="E418">
        <v>5</v>
      </c>
      <c r="F418" t="s">
        <v>11708</v>
      </c>
      <c r="G418" t="s">
        <v>20333</v>
      </c>
      <c r="H418" t="s">
        <v>70</v>
      </c>
      <c r="I418">
        <v>92874</v>
      </c>
      <c r="K418" t="s">
        <v>16528</v>
      </c>
      <c r="L418" t="s">
        <v>255</v>
      </c>
      <c r="M418">
        <v>48.72</v>
      </c>
      <c r="N418">
        <v>23.46</v>
      </c>
      <c r="O418">
        <v>28.67</v>
      </c>
      <c r="P418">
        <v>1396.8</v>
      </c>
    </row>
    <row r="419" spans="2:16">
      <c r="C419">
        <v>5</v>
      </c>
      <c r="D419">
        <v>2</v>
      </c>
      <c r="E419">
        <v>5</v>
      </c>
      <c r="F419" t="s">
        <v>11708</v>
      </c>
      <c r="G419" t="s">
        <v>20328</v>
      </c>
      <c r="H419" t="s">
        <v>70</v>
      </c>
      <c r="I419">
        <v>92916</v>
      </c>
      <c r="K419" t="s">
        <v>16453</v>
      </c>
      <c r="L419" t="s">
        <v>90</v>
      </c>
      <c r="M419">
        <v>574.9</v>
      </c>
      <c r="N419">
        <v>11.46</v>
      </c>
      <c r="O419">
        <v>14</v>
      </c>
      <c r="P419">
        <v>8048.6</v>
      </c>
    </row>
    <row r="420" spans="2:16">
      <c r="C420">
        <v>5</v>
      </c>
      <c r="D420">
        <v>2</v>
      </c>
      <c r="E420">
        <v>5</v>
      </c>
      <c r="F420" t="s">
        <v>11708</v>
      </c>
      <c r="G420" t="s">
        <v>20329</v>
      </c>
      <c r="H420" t="s">
        <v>70</v>
      </c>
      <c r="I420">
        <v>92917</v>
      </c>
      <c r="K420" t="s">
        <v>16454</v>
      </c>
      <c r="L420" t="s">
        <v>90</v>
      </c>
      <c r="M420">
        <v>347.32</v>
      </c>
      <c r="N420">
        <v>11</v>
      </c>
      <c r="O420">
        <v>13.44</v>
      </c>
      <c r="P420">
        <v>4667.9799999999996</v>
      </c>
    </row>
    <row r="421" spans="2:16">
      <c r="C421">
        <v>5</v>
      </c>
      <c r="D421">
        <v>2</v>
      </c>
      <c r="E421">
        <v>5</v>
      </c>
      <c r="F421" t="s">
        <v>11708</v>
      </c>
      <c r="G421" t="s">
        <v>20330</v>
      </c>
      <c r="H421" t="s">
        <v>70</v>
      </c>
      <c r="I421">
        <v>92919</v>
      </c>
      <c r="K421" t="s">
        <v>16455</v>
      </c>
      <c r="L421" t="s">
        <v>90</v>
      </c>
      <c r="M421">
        <v>959.72</v>
      </c>
      <c r="N421">
        <v>8.93</v>
      </c>
      <c r="O421">
        <v>10.91</v>
      </c>
      <c r="P421">
        <v>10470.549999999999</v>
      </c>
    </row>
    <row r="422" spans="2:16">
      <c r="C422">
        <v>5</v>
      </c>
      <c r="D422">
        <v>2</v>
      </c>
      <c r="E422">
        <v>5</v>
      </c>
      <c r="F422" t="s">
        <v>11708</v>
      </c>
      <c r="G422" t="s">
        <v>20331</v>
      </c>
      <c r="H422" t="s">
        <v>70</v>
      </c>
      <c r="I422">
        <v>92921</v>
      </c>
      <c r="K422" t="s">
        <v>16456</v>
      </c>
      <c r="L422" t="s">
        <v>90</v>
      </c>
      <c r="M422">
        <v>975.06</v>
      </c>
      <c r="N422">
        <v>7.43</v>
      </c>
      <c r="O422">
        <v>9.08</v>
      </c>
      <c r="P422">
        <v>8853.5400000000009</v>
      </c>
    </row>
    <row r="423" spans="2:16">
      <c r="C423">
        <v>5</v>
      </c>
      <c r="D423">
        <v>2</v>
      </c>
      <c r="E423">
        <v>5</v>
      </c>
      <c r="F423" t="s">
        <v>11708</v>
      </c>
      <c r="G423" t="s">
        <v>14586</v>
      </c>
      <c r="H423" t="s">
        <v>70</v>
      </c>
      <c r="I423" t="s">
        <v>19257</v>
      </c>
      <c r="K423" t="s">
        <v>5042</v>
      </c>
      <c r="L423" t="s">
        <v>65</v>
      </c>
      <c r="M423">
        <v>1</v>
      </c>
      <c r="N423">
        <v>83.42</v>
      </c>
      <c r="O423">
        <v>101.93</v>
      </c>
      <c r="P423">
        <v>101.93</v>
      </c>
    </row>
    <row r="424" spans="2:16">
      <c r="C424">
        <v>5</v>
      </c>
      <c r="D424">
        <v>2</v>
      </c>
      <c r="E424">
        <v>5</v>
      </c>
      <c r="F424" t="s">
        <v>11708</v>
      </c>
      <c r="G424" t="s">
        <v>14587</v>
      </c>
      <c r="H424" t="s">
        <v>70</v>
      </c>
      <c r="I424">
        <v>11421</v>
      </c>
      <c r="K424" t="s">
        <v>11143</v>
      </c>
      <c r="L424" t="s">
        <v>90</v>
      </c>
      <c r="M424">
        <v>1285.92</v>
      </c>
      <c r="N424">
        <v>4.8</v>
      </c>
      <c r="O424">
        <v>5.87</v>
      </c>
      <c r="P424">
        <v>7548.35</v>
      </c>
    </row>
    <row r="425" spans="2:16">
      <c r="C425">
        <v>5</v>
      </c>
      <c r="D425">
        <v>2</v>
      </c>
      <c r="E425">
        <v>5</v>
      </c>
      <c r="F425" t="s">
        <v>11708</v>
      </c>
      <c r="G425" t="s">
        <v>14588</v>
      </c>
      <c r="H425" t="s">
        <v>70</v>
      </c>
      <c r="I425">
        <v>84132</v>
      </c>
      <c r="K425" t="s">
        <v>19157</v>
      </c>
      <c r="L425" t="s">
        <v>71</v>
      </c>
      <c r="M425">
        <v>20</v>
      </c>
      <c r="N425">
        <v>204.12</v>
      </c>
      <c r="O425">
        <v>249.41</v>
      </c>
      <c r="P425">
        <v>4988.2</v>
      </c>
    </row>
    <row r="426" spans="2:16">
      <c r="C426">
        <v>5</v>
      </c>
      <c r="D426">
        <v>2</v>
      </c>
      <c r="E426">
        <v>5</v>
      </c>
      <c r="F426" t="s">
        <v>11708</v>
      </c>
      <c r="G426" t="s">
        <v>14589</v>
      </c>
      <c r="H426" t="s">
        <v>11722</v>
      </c>
      <c r="I426" t="s">
        <v>14165</v>
      </c>
      <c r="K426" t="s">
        <v>14278</v>
      </c>
      <c r="L426" t="s">
        <v>71</v>
      </c>
      <c r="M426">
        <v>1</v>
      </c>
      <c r="N426">
        <v>38150</v>
      </c>
      <c r="O426">
        <v>46615.49</v>
      </c>
      <c r="P426">
        <v>46615.49</v>
      </c>
    </row>
    <row r="427" spans="2:16">
      <c r="C427">
        <v>5</v>
      </c>
      <c r="D427">
        <v>2</v>
      </c>
      <c r="E427">
        <v>5</v>
      </c>
      <c r="F427" t="s">
        <v>11708</v>
      </c>
    </row>
    <row r="428" spans="2:16">
      <c r="C428">
        <v>5</v>
      </c>
      <c r="D428">
        <v>2</v>
      </c>
      <c r="E428">
        <v>5</v>
      </c>
      <c r="F428" t="s">
        <v>11708</v>
      </c>
      <c r="H428" t="s">
        <v>20700</v>
      </c>
      <c r="P428">
        <v>132094.44</v>
      </c>
    </row>
    <row r="429" spans="2:16">
      <c r="C429">
        <v>5</v>
      </c>
      <c r="D429">
        <v>2</v>
      </c>
      <c r="E429">
        <v>5</v>
      </c>
      <c r="F429" t="s">
        <v>11708</v>
      </c>
    </row>
    <row r="430" spans="2:16">
      <c r="B430">
        <v>1</v>
      </c>
      <c r="C430">
        <v>5</v>
      </c>
      <c r="D430">
        <v>2</v>
      </c>
      <c r="E430">
        <v>6</v>
      </c>
      <c r="F430" t="s">
        <v>11708</v>
      </c>
      <c r="H430" t="s">
        <v>11703</v>
      </c>
      <c r="I430" t="s">
        <v>64</v>
      </c>
      <c r="J430" s="25" t="s">
        <v>20701</v>
      </c>
      <c r="K430" t="s">
        <v>14171</v>
      </c>
      <c r="L430" t="s">
        <v>25</v>
      </c>
      <c r="M430" t="s">
        <v>11704</v>
      </c>
      <c r="N430" t="s">
        <v>11705</v>
      </c>
      <c r="O430" t="s">
        <v>11706</v>
      </c>
      <c r="P430" t="s">
        <v>27</v>
      </c>
    </row>
    <row r="431" spans="2:16">
      <c r="C431">
        <v>5</v>
      </c>
      <c r="D431">
        <v>2</v>
      </c>
      <c r="E431">
        <v>6</v>
      </c>
      <c r="F431" t="s">
        <v>11708</v>
      </c>
    </row>
    <row r="432" spans="2:16">
      <c r="C432">
        <v>5</v>
      </c>
      <c r="D432">
        <v>2</v>
      </c>
      <c r="E432">
        <v>6</v>
      </c>
      <c r="F432" t="s">
        <v>11708</v>
      </c>
      <c r="G432" t="s">
        <v>14590</v>
      </c>
      <c r="H432" t="s">
        <v>70</v>
      </c>
      <c r="I432">
        <v>84152</v>
      </c>
      <c r="K432" t="s">
        <v>19179</v>
      </c>
      <c r="L432" t="s">
        <v>255</v>
      </c>
      <c r="M432">
        <v>0.33</v>
      </c>
      <c r="N432">
        <v>256.63</v>
      </c>
      <c r="O432">
        <v>313.58</v>
      </c>
      <c r="P432">
        <v>103.48</v>
      </c>
    </row>
    <row r="433" spans="1:16">
      <c r="C433">
        <v>5</v>
      </c>
      <c r="D433">
        <v>2</v>
      </c>
      <c r="E433">
        <v>6</v>
      </c>
      <c r="F433" t="s">
        <v>11708</v>
      </c>
      <c r="G433" t="s">
        <v>14591</v>
      </c>
      <c r="H433" t="s">
        <v>70</v>
      </c>
      <c r="I433">
        <v>90278</v>
      </c>
      <c r="K433" t="s">
        <v>16487</v>
      </c>
      <c r="L433" t="s">
        <v>255</v>
      </c>
      <c r="M433">
        <v>0.33</v>
      </c>
      <c r="N433">
        <v>254.95</v>
      </c>
      <c r="O433">
        <v>311.52</v>
      </c>
      <c r="P433">
        <v>102.8</v>
      </c>
    </row>
    <row r="434" spans="1:16">
      <c r="C434">
        <v>5</v>
      </c>
      <c r="D434">
        <v>2</v>
      </c>
      <c r="E434">
        <v>6</v>
      </c>
      <c r="F434" t="s">
        <v>11708</v>
      </c>
    </row>
    <row r="435" spans="1:16">
      <c r="C435">
        <v>5</v>
      </c>
      <c r="D435">
        <v>2</v>
      </c>
      <c r="E435">
        <v>6</v>
      </c>
      <c r="F435" t="s">
        <v>11708</v>
      </c>
      <c r="H435" t="s">
        <v>20702</v>
      </c>
      <c r="P435">
        <v>206.28</v>
      </c>
    </row>
    <row r="436" spans="1:16">
      <c r="C436">
        <v>5</v>
      </c>
      <c r="D436">
        <v>2</v>
      </c>
      <c r="E436">
        <v>6</v>
      </c>
      <c r="F436" t="s">
        <v>11708</v>
      </c>
    </row>
    <row r="437" spans="1:16">
      <c r="B437">
        <v>1</v>
      </c>
      <c r="C437">
        <v>5</v>
      </c>
      <c r="D437">
        <v>2</v>
      </c>
      <c r="E437">
        <v>7</v>
      </c>
      <c r="F437" t="s">
        <v>11708</v>
      </c>
      <c r="H437" t="s">
        <v>11703</v>
      </c>
      <c r="I437" t="s">
        <v>64</v>
      </c>
      <c r="J437" s="25" t="s">
        <v>20703</v>
      </c>
      <c r="K437" t="s">
        <v>14500</v>
      </c>
      <c r="L437" t="s">
        <v>25</v>
      </c>
      <c r="M437" t="s">
        <v>11704</v>
      </c>
      <c r="N437" t="s">
        <v>11705</v>
      </c>
      <c r="O437" t="s">
        <v>11706</v>
      </c>
      <c r="P437" t="s">
        <v>27</v>
      </c>
    </row>
    <row r="438" spans="1:16">
      <c r="C438">
        <v>5</v>
      </c>
      <c r="D438">
        <v>2</v>
      </c>
      <c r="E438">
        <v>7</v>
      </c>
      <c r="F438" t="s">
        <v>11708</v>
      </c>
    </row>
    <row r="439" spans="1:16">
      <c r="C439">
        <v>5</v>
      </c>
      <c r="D439">
        <v>2</v>
      </c>
      <c r="E439">
        <v>7</v>
      </c>
      <c r="F439" t="s">
        <v>11708</v>
      </c>
      <c r="G439" t="s">
        <v>14592</v>
      </c>
      <c r="H439" t="s">
        <v>13957</v>
      </c>
      <c r="I439" t="s">
        <v>14593</v>
      </c>
      <c r="K439" t="s">
        <v>14507</v>
      </c>
      <c r="L439" t="s">
        <v>71</v>
      </c>
      <c r="M439">
        <v>207</v>
      </c>
      <c r="N439">
        <v>51.34</v>
      </c>
      <c r="O439">
        <v>62.73</v>
      </c>
      <c r="P439">
        <v>12985.11</v>
      </c>
    </row>
    <row r="440" spans="1:16">
      <c r="C440">
        <v>5</v>
      </c>
      <c r="D440">
        <v>2</v>
      </c>
      <c r="E440">
        <v>7</v>
      </c>
      <c r="F440" t="s">
        <v>11708</v>
      </c>
    </row>
    <row r="441" spans="1:16">
      <c r="C441">
        <v>5</v>
      </c>
      <c r="D441">
        <v>2</v>
      </c>
      <c r="E441">
        <v>7</v>
      </c>
      <c r="F441" t="s">
        <v>11708</v>
      </c>
      <c r="H441" t="s">
        <v>20704</v>
      </c>
      <c r="P441">
        <v>12985.11</v>
      </c>
    </row>
    <row r="442" spans="1:16">
      <c r="C442">
        <v>5</v>
      </c>
      <c r="D442">
        <v>2</v>
      </c>
      <c r="E442">
        <v>7</v>
      </c>
      <c r="F442" t="s">
        <v>11708</v>
      </c>
    </row>
    <row r="443" spans="1:16">
      <c r="C443">
        <v>5</v>
      </c>
      <c r="D443">
        <v>2</v>
      </c>
      <c r="E443">
        <v>7</v>
      </c>
      <c r="F443" t="s">
        <v>11708</v>
      </c>
    </row>
    <row r="444" spans="1:16">
      <c r="C444">
        <v>6</v>
      </c>
      <c r="D444">
        <v>0</v>
      </c>
      <c r="E444">
        <v>0</v>
      </c>
      <c r="F444" t="s">
        <v>11708</v>
      </c>
      <c r="H444" t="s">
        <v>20705</v>
      </c>
      <c r="I444" t="s">
        <v>14037</v>
      </c>
      <c r="O444" t="s">
        <v>11702</v>
      </c>
      <c r="P444">
        <v>6166611.8099999996</v>
      </c>
    </row>
    <row r="445" spans="1:16">
      <c r="C445">
        <v>6</v>
      </c>
      <c r="D445">
        <v>0</v>
      </c>
      <c r="E445">
        <v>0</v>
      </c>
      <c r="F445" t="s">
        <v>11708</v>
      </c>
    </row>
    <row r="446" spans="1:16">
      <c r="A446">
        <v>1</v>
      </c>
      <c r="B446">
        <v>1</v>
      </c>
      <c r="C446">
        <v>6</v>
      </c>
      <c r="D446">
        <v>1</v>
      </c>
      <c r="E446">
        <v>1</v>
      </c>
      <c r="F446" t="s">
        <v>11708</v>
      </c>
      <c r="H446" t="s">
        <v>14636</v>
      </c>
      <c r="I446" t="s">
        <v>11760</v>
      </c>
      <c r="O446" t="s">
        <v>11702</v>
      </c>
      <c r="P446">
        <v>931189.11999999976</v>
      </c>
    </row>
    <row r="447" spans="1:16">
      <c r="C447">
        <v>6</v>
      </c>
      <c r="D447">
        <v>1</v>
      </c>
      <c r="E447">
        <v>1</v>
      </c>
      <c r="F447" t="s">
        <v>11708</v>
      </c>
    </row>
    <row r="448" spans="1:16">
      <c r="B448">
        <v>1</v>
      </c>
      <c r="C448">
        <v>6</v>
      </c>
      <c r="D448">
        <v>1</v>
      </c>
      <c r="E448">
        <v>2</v>
      </c>
      <c r="F448" t="s">
        <v>11708</v>
      </c>
      <c r="H448" t="s">
        <v>11703</v>
      </c>
      <c r="I448" t="s">
        <v>64</v>
      </c>
      <c r="J448" s="25" t="s">
        <v>20706</v>
      </c>
      <c r="K448" t="s">
        <v>11709</v>
      </c>
      <c r="L448" t="s">
        <v>25</v>
      </c>
      <c r="M448" t="s">
        <v>11704</v>
      </c>
      <c r="N448" t="s">
        <v>11705</v>
      </c>
      <c r="O448" t="s">
        <v>11706</v>
      </c>
      <c r="P448" t="s">
        <v>27</v>
      </c>
    </row>
    <row r="449" spans="2:16">
      <c r="C449">
        <v>6</v>
      </c>
      <c r="D449">
        <v>1</v>
      </c>
      <c r="E449">
        <v>2</v>
      </c>
      <c r="F449" t="s">
        <v>11708</v>
      </c>
    </row>
    <row r="450" spans="2:16">
      <c r="C450">
        <v>6</v>
      </c>
      <c r="D450">
        <v>1</v>
      </c>
      <c r="E450">
        <v>2</v>
      </c>
      <c r="F450" t="s">
        <v>11708</v>
      </c>
      <c r="G450" t="s">
        <v>14190</v>
      </c>
      <c r="H450" t="s">
        <v>70</v>
      </c>
      <c r="I450" t="s">
        <v>19163</v>
      </c>
      <c r="K450" t="s">
        <v>19164</v>
      </c>
      <c r="L450" t="s">
        <v>256</v>
      </c>
      <c r="M450">
        <v>3149</v>
      </c>
      <c r="N450">
        <v>0.59</v>
      </c>
      <c r="O450">
        <v>0.72</v>
      </c>
      <c r="P450">
        <v>2267.2800000000002</v>
      </c>
    </row>
    <row r="451" spans="2:16">
      <c r="C451">
        <v>6</v>
      </c>
      <c r="D451">
        <v>1</v>
      </c>
      <c r="E451">
        <v>2</v>
      </c>
      <c r="F451" t="s">
        <v>11708</v>
      </c>
      <c r="G451" t="s">
        <v>14191</v>
      </c>
      <c r="H451" t="s">
        <v>70</v>
      </c>
      <c r="I451" t="s">
        <v>19263</v>
      </c>
      <c r="K451" t="s">
        <v>19264</v>
      </c>
      <c r="L451" t="s">
        <v>256</v>
      </c>
      <c r="M451">
        <v>781.22</v>
      </c>
      <c r="N451">
        <v>9.93</v>
      </c>
      <c r="O451">
        <v>12.13</v>
      </c>
      <c r="P451">
        <v>9476.2000000000007</v>
      </c>
    </row>
    <row r="452" spans="2:16">
      <c r="C452">
        <v>6</v>
      </c>
      <c r="D452">
        <v>1</v>
      </c>
      <c r="E452">
        <v>2</v>
      </c>
      <c r="F452" t="s">
        <v>11708</v>
      </c>
    </row>
    <row r="453" spans="2:16">
      <c r="C453">
        <v>6</v>
      </c>
      <c r="D453">
        <v>1</v>
      </c>
      <c r="E453">
        <v>2</v>
      </c>
      <c r="F453" t="s">
        <v>11708</v>
      </c>
      <c r="H453" t="s">
        <v>20707</v>
      </c>
      <c r="P453">
        <v>11743.480000000001</v>
      </c>
    </row>
    <row r="454" spans="2:16">
      <c r="C454">
        <v>6</v>
      </c>
      <c r="D454">
        <v>1</v>
      </c>
      <c r="E454">
        <v>2</v>
      </c>
      <c r="F454" t="s">
        <v>11708</v>
      </c>
    </row>
    <row r="455" spans="2:16">
      <c r="B455">
        <v>1</v>
      </c>
      <c r="C455">
        <v>6</v>
      </c>
      <c r="D455">
        <v>1</v>
      </c>
      <c r="E455">
        <v>3</v>
      </c>
      <c r="F455" t="s">
        <v>11708</v>
      </c>
      <c r="H455" t="s">
        <v>11703</v>
      </c>
      <c r="I455" t="s">
        <v>64</v>
      </c>
      <c r="J455" s="25" t="s">
        <v>20708</v>
      </c>
      <c r="K455" t="s">
        <v>11710</v>
      </c>
      <c r="L455" t="s">
        <v>25</v>
      </c>
      <c r="M455" t="s">
        <v>11704</v>
      </c>
      <c r="N455" t="s">
        <v>11705</v>
      </c>
      <c r="O455" t="s">
        <v>11706</v>
      </c>
      <c r="P455" t="s">
        <v>27</v>
      </c>
    </row>
    <row r="456" spans="2:16">
      <c r="C456">
        <v>6</v>
      </c>
      <c r="D456">
        <v>1</v>
      </c>
      <c r="E456">
        <v>3</v>
      </c>
      <c r="F456" t="s">
        <v>11708</v>
      </c>
    </row>
    <row r="457" spans="2:16">
      <c r="C457">
        <v>6</v>
      </c>
      <c r="D457">
        <v>1</v>
      </c>
      <c r="E457">
        <v>3</v>
      </c>
      <c r="F457" t="s">
        <v>11708</v>
      </c>
      <c r="G457" t="s">
        <v>14192</v>
      </c>
      <c r="H457" t="s">
        <v>70</v>
      </c>
      <c r="I457">
        <v>90105</v>
      </c>
      <c r="K457" t="s">
        <v>18214</v>
      </c>
      <c r="L457" t="s">
        <v>255</v>
      </c>
      <c r="M457">
        <v>1235.1300000000001</v>
      </c>
      <c r="N457">
        <v>14.07</v>
      </c>
      <c r="O457">
        <v>17.190000000000001</v>
      </c>
      <c r="P457">
        <v>21231.88</v>
      </c>
    </row>
    <row r="458" spans="2:16">
      <c r="C458">
        <v>6</v>
      </c>
      <c r="D458">
        <v>1</v>
      </c>
      <c r="E458">
        <v>3</v>
      </c>
      <c r="F458" t="s">
        <v>11708</v>
      </c>
      <c r="G458" t="s">
        <v>14193</v>
      </c>
      <c r="H458" t="s">
        <v>70</v>
      </c>
      <c r="I458">
        <v>90107</v>
      </c>
      <c r="K458" t="s">
        <v>18216</v>
      </c>
      <c r="L458" t="s">
        <v>255</v>
      </c>
      <c r="M458">
        <v>364.18</v>
      </c>
      <c r="N458">
        <v>11.87</v>
      </c>
      <c r="O458">
        <v>14.5</v>
      </c>
      <c r="P458">
        <v>5280.61</v>
      </c>
    </row>
    <row r="459" spans="2:16">
      <c r="C459">
        <v>6</v>
      </c>
      <c r="D459">
        <v>1</v>
      </c>
      <c r="E459">
        <v>3</v>
      </c>
      <c r="F459" t="s">
        <v>11708</v>
      </c>
      <c r="G459" t="s">
        <v>14194</v>
      </c>
      <c r="H459" t="s">
        <v>70</v>
      </c>
      <c r="I459">
        <v>90094</v>
      </c>
      <c r="K459" t="s">
        <v>18206</v>
      </c>
      <c r="L459" t="s">
        <v>255</v>
      </c>
      <c r="M459">
        <v>110.68</v>
      </c>
      <c r="N459">
        <v>4.01</v>
      </c>
      <c r="O459">
        <v>4.9000000000000004</v>
      </c>
      <c r="P459">
        <v>542.33000000000004</v>
      </c>
    </row>
    <row r="460" spans="2:16">
      <c r="C460">
        <v>6</v>
      </c>
      <c r="D460">
        <v>1</v>
      </c>
      <c r="E460">
        <v>3</v>
      </c>
      <c r="F460" t="s">
        <v>11708</v>
      </c>
      <c r="G460" t="s">
        <v>14195</v>
      </c>
      <c r="H460" t="s">
        <v>10852</v>
      </c>
      <c r="I460">
        <v>192</v>
      </c>
      <c r="K460" t="s">
        <v>19816</v>
      </c>
      <c r="L460" t="s">
        <v>255</v>
      </c>
      <c r="M460">
        <v>68.62</v>
      </c>
      <c r="N460">
        <v>7.65</v>
      </c>
      <c r="O460">
        <v>9.35</v>
      </c>
      <c r="P460">
        <v>641.6</v>
      </c>
    </row>
    <row r="461" spans="2:16">
      <c r="C461">
        <v>6</v>
      </c>
      <c r="D461">
        <v>1</v>
      </c>
      <c r="E461">
        <v>3</v>
      </c>
      <c r="F461" t="s">
        <v>11708</v>
      </c>
      <c r="G461" t="s">
        <v>14196</v>
      </c>
      <c r="H461" t="s">
        <v>10852</v>
      </c>
      <c r="I461">
        <v>193</v>
      </c>
      <c r="K461" t="s">
        <v>19817</v>
      </c>
      <c r="L461" t="s">
        <v>255</v>
      </c>
      <c r="M461">
        <v>26.38</v>
      </c>
      <c r="N461">
        <v>9.56</v>
      </c>
      <c r="O461">
        <v>11.68</v>
      </c>
      <c r="P461">
        <v>308.12</v>
      </c>
    </row>
    <row r="462" spans="2:16">
      <c r="C462">
        <v>6</v>
      </c>
      <c r="D462">
        <v>1</v>
      </c>
      <c r="E462">
        <v>3</v>
      </c>
      <c r="F462" t="s">
        <v>11708</v>
      </c>
      <c r="G462" t="s">
        <v>14197</v>
      </c>
      <c r="H462" t="s">
        <v>10852</v>
      </c>
      <c r="I462">
        <v>194</v>
      </c>
      <c r="K462" t="s">
        <v>19819</v>
      </c>
      <c r="L462" t="s">
        <v>255</v>
      </c>
      <c r="M462">
        <v>68.62</v>
      </c>
      <c r="N462">
        <v>7.59</v>
      </c>
      <c r="O462">
        <v>9.27</v>
      </c>
      <c r="P462">
        <v>636.11</v>
      </c>
    </row>
    <row r="463" spans="2:16">
      <c r="C463">
        <v>6</v>
      </c>
      <c r="D463">
        <v>1</v>
      </c>
      <c r="E463">
        <v>3</v>
      </c>
      <c r="F463" t="s">
        <v>11708</v>
      </c>
      <c r="G463" t="s">
        <v>20337</v>
      </c>
      <c r="H463" t="s">
        <v>10852</v>
      </c>
      <c r="I463">
        <v>195</v>
      </c>
      <c r="K463" t="s">
        <v>19820</v>
      </c>
      <c r="L463" t="s">
        <v>255</v>
      </c>
      <c r="M463">
        <v>26.38</v>
      </c>
      <c r="N463">
        <v>9.51</v>
      </c>
      <c r="O463">
        <v>11.62</v>
      </c>
      <c r="P463">
        <v>306.54000000000002</v>
      </c>
    </row>
    <row r="464" spans="2:16">
      <c r="C464">
        <v>6</v>
      </c>
      <c r="D464">
        <v>1</v>
      </c>
      <c r="E464">
        <v>3</v>
      </c>
      <c r="F464" t="s">
        <v>11708</v>
      </c>
      <c r="G464" t="s">
        <v>14198</v>
      </c>
      <c r="H464" t="s">
        <v>70</v>
      </c>
      <c r="I464">
        <v>93358</v>
      </c>
      <c r="K464" t="s">
        <v>826</v>
      </c>
      <c r="L464" t="s">
        <v>255</v>
      </c>
      <c r="M464">
        <v>90</v>
      </c>
      <c r="N464">
        <v>52.29</v>
      </c>
      <c r="O464">
        <v>63.89</v>
      </c>
      <c r="P464">
        <v>5750.1</v>
      </c>
    </row>
    <row r="465" spans="2:16">
      <c r="C465">
        <v>6</v>
      </c>
      <c r="D465">
        <v>1</v>
      </c>
      <c r="E465">
        <v>3</v>
      </c>
      <c r="F465" t="s">
        <v>11708</v>
      </c>
      <c r="G465" t="s">
        <v>14199</v>
      </c>
      <c r="H465" t="s">
        <v>10852</v>
      </c>
      <c r="I465">
        <v>170</v>
      </c>
      <c r="K465" t="s">
        <v>19822</v>
      </c>
      <c r="L465" t="s">
        <v>255</v>
      </c>
      <c r="M465">
        <v>3.61</v>
      </c>
      <c r="N465">
        <v>55.58</v>
      </c>
      <c r="O465">
        <v>67.91</v>
      </c>
      <c r="P465">
        <v>245.16</v>
      </c>
    </row>
    <row r="466" spans="2:16">
      <c r="C466">
        <v>6</v>
      </c>
      <c r="D466">
        <v>1</v>
      </c>
      <c r="E466">
        <v>3</v>
      </c>
      <c r="F466" t="s">
        <v>11708</v>
      </c>
      <c r="G466" t="s">
        <v>14200</v>
      </c>
      <c r="H466" t="s">
        <v>10852</v>
      </c>
      <c r="I466">
        <v>171</v>
      </c>
      <c r="K466" t="s">
        <v>19823</v>
      </c>
      <c r="L466" t="s">
        <v>255</v>
      </c>
      <c r="M466">
        <v>1.39</v>
      </c>
      <c r="N466">
        <v>84.57</v>
      </c>
      <c r="O466">
        <v>103.34</v>
      </c>
      <c r="P466">
        <v>143.63999999999999</v>
      </c>
    </row>
    <row r="467" spans="2:16">
      <c r="C467">
        <v>6</v>
      </c>
      <c r="D467">
        <v>1</v>
      </c>
      <c r="E467">
        <v>3</v>
      </c>
      <c r="F467" t="s">
        <v>11708</v>
      </c>
      <c r="G467" t="s">
        <v>14201</v>
      </c>
      <c r="H467" t="s">
        <v>10852</v>
      </c>
      <c r="I467">
        <v>172</v>
      </c>
      <c r="K467" t="s">
        <v>19824</v>
      </c>
      <c r="L467" t="s">
        <v>255</v>
      </c>
      <c r="M467">
        <v>3.61</v>
      </c>
      <c r="N467">
        <v>91.06</v>
      </c>
      <c r="O467">
        <v>111.27</v>
      </c>
      <c r="P467">
        <v>401.68</v>
      </c>
    </row>
    <row r="468" spans="2:16">
      <c r="C468">
        <v>6</v>
      </c>
      <c r="D468">
        <v>1</v>
      </c>
      <c r="E468">
        <v>3</v>
      </c>
      <c r="F468" t="s">
        <v>11708</v>
      </c>
      <c r="G468" t="s">
        <v>14202</v>
      </c>
      <c r="H468" t="s">
        <v>10852</v>
      </c>
      <c r="I468">
        <v>173</v>
      </c>
      <c r="K468" t="s">
        <v>19825</v>
      </c>
      <c r="L468" t="s">
        <v>255</v>
      </c>
      <c r="M468">
        <v>1.39</v>
      </c>
      <c r="N468">
        <v>112.61</v>
      </c>
      <c r="O468">
        <v>137.6</v>
      </c>
      <c r="P468">
        <v>191.26</v>
      </c>
    </row>
    <row r="469" spans="2:16">
      <c r="C469">
        <v>6</v>
      </c>
      <c r="D469">
        <v>1</v>
      </c>
      <c r="E469">
        <v>3</v>
      </c>
      <c r="F469" t="s">
        <v>11708</v>
      </c>
      <c r="G469" t="s">
        <v>14203</v>
      </c>
      <c r="H469" t="s">
        <v>70</v>
      </c>
      <c r="I469" t="s">
        <v>15726</v>
      </c>
      <c r="K469" t="s">
        <v>350</v>
      </c>
      <c r="L469" t="s">
        <v>57</v>
      </c>
      <c r="M469">
        <v>30</v>
      </c>
      <c r="N469">
        <v>6.2</v>
      </c>
      <c r="O469">
        <v>7.58</v>
      </c>
      <c r="P469">
        <v>227.4</v>
      </c>
    </row>
    <row r="470" spans="2:16">
      <c r="C470">
        <v>6</v>
      </c>
      <c r="D470">
        <v>1</v>
      </c>
      <c r="E470">
        <v>3</v>
      </c>
      <c r="F470" t="s">
        <v>11708</v>
      </c>
      <c r="G470" t="s">
        <v>14204</v>
      </c>
      <c r="H470" t="s">
        <v>70</v>
      </c>
      <c r="I470">
        <v>79472</v>
      </c>
      <c r="K470" t="s">
        <v>8710</v>
      </c>
      <c r="L470" t="s">
        <v>256</v>
      </c>
      <c r="M470">
        <v>313.60000000000002</v>
      </c>
      <c r="N470">
        <v>0.56000000000000005</v>
      </c>
      <c r="O470">
        <v>0.68</v>
      </c>
      <c r="P470">
        <v>213.25</v>
      </c>
    </row>
    <row r="471" spans="2:16">
      <c r="C471">
        <v>6</v>
      </c>
      <c r="D471">
        <v>1</v>
      </c>
      <c r="E471">
        <v>3</v>
      </c>
      <c r="F471" t="s">
        <v>11708</v>
      </c>
      <c r="G471" t="s">
        <v>20342</v>
      </c>
      <c r="H471" t="s">
        <v>70</v>
      </c>
      <c r="I471">
        <v>93367</v>
      </c>
      <c r="K471" t="s">
        <v>18245</v>
      </c>
      <c r="L471" t="s">
        <v>255</v>
      </c>
      <c r="M471">
        <v>1755.1</v>
      </c>
      <c r="N471">
        <v>17.86</v>
      </c>
      <c r="O471">
        <v>21.82</v>
      </c>
      <c r="P471">
        <v>38296.28</v>
      </c>
    </row>
    <row r="472" spans="2:16">
      <c r="C472">
        <v>6</v>
      </c>
      <c r="D472">
        <v>1</v>
      </c>
      <c r="E472">
        <v>3</v>
      </c>
      <c r="F472" t="s">
        <v>11708</v>
      </c>
      <c r="G472" t="s">
        <v>20343</v>
      </c>
      <c r="H472" t="s">
        <v>70</v>
      </c>
      <c r="I472">
        <v>93369</v>
      </c>
      <c r="K472" t="s">
        <v>18247</v>
      </c>
      <c r="L472" t="s">
        <v>255</v>
      </c>
      <c r="M472">
        <v>168.08</v>
      </c>
      <c r="N472">
        <v>9.2200000000000006</v>
      </c>
      <c r="O472">
        <v>11.27</v>
      </c>
      <c r="P472">
        <v>1894.26</v>
      </c>
    </row>
    <row r="473" spans="2:16">
      <c r="C473">
        <v>6</v>
      </c>
      <c r="D473">
        <v>1</v>
      </c>
      <c r="E473">
        <v>3</v>
      </c>
      <c r="F473" t="s">
        <v>11708</v>
      </c>
      <c r="G473" t="s">
        <v>20344</v>
      </c>
      <c r="H473" t="s">
        <v>70</v>
      </c>
      <c r="I473">
        <v>93371</v>
      </c>
      <c r="K473" t="s">
        <v>18249</v>
      </c>
      <c r="L473" t="s">
        <v>255</v>
      </c>
      <c r="M473">
        <v>28.76</v>
      </c>
      <c r="N473">
        <v>7.5</v>
      </c>
      <c r="O473">
        <v>9.16</v>
      </c>
      <c r="P473">
        <v>263.44</v>
      </c>
    </row>
    <row r="474" spans="2:16">
      <c r="C474">
        <v>6</v>
      </c>
      <c r="D474">
        <v>1</v>
      </c>
      <c r="E474">
        <v>3</v>
      </c>
      <c r="F474" t="s">
        <v>11708</v>
      </c>
    </row>
    <row r="475" spans="2:16">
      <c r="C475">
        <v>6</v>
      </c>
      <c r="D475">
        <v>1</v>
      </c>
      <c r="E475">
        <v>3</v>
      </c>
      <c r="F475" t="s">
        <v>11708</v>
      </c>
      <c r="H475" t="s">
        <v>20709</v>
      </c>
      <c r="P475">
        <v>76573.66</v>
      </c>
    </row>
    <row r="476" spans="2:16">
      <c r="C476">
        <v>6</v>
      </c>
      <c r="D476">
        <v>1</v>
      </c>
      <c r="E476">
        <v>3</v>
      </c>
      <c r="F476" t="s">
        <v>11708</v>
      </c>
    </row>
    <row r="477" spans="2:16">
      <c r="B477">
        <v>1</v>
      </c>
      <c r="C477">
        <v>6</v>
      </c>
      <c r="D477">
        <v>1</v>
      </c>
      <c r="E477">
        <v>4</v>
      </c>
      <c r="F477" t="s">
        <v>11708</v>
      </c>
      <c r="H477" t="s">
        <v>11703</v>
      </c>
      <c r="I477" t="s">
        <v>64</v>
      </c>
      <c r="J477" s="25" t="s">
        <v>20710</v>
      </c>
      <c r="K477" t="s">
        <v>12674</v>
      </c>
      <c r="L477" t="s">
        <v>25</v>
      </c>
      <c r="M477" t="s">
        <v>11704</v>
      </c>
      <c r="N477" t="s">
        <v>11705</v>
      </c>
      <c r="O477" t="s">
        <v>11706</v>
      </c>
      <c r="P477" t="s">
        <v>27</v>
      </c>
    </row>
    <row r="478" spans="2:16">
      <c r="C478">
        <v>6</v>
      </c>
      <c r="D478">
        <v>1</v>
      </c>
      <c r="E478">
        <v>4</v>
      </c>
      <c r="F478" t="s">
        <v>11708</v>
      </c>
    </row>
    <row r="479" spans="2:16">
      <c r="C479">
        <v>6</v>
      </c>
      <c r="D479">
        <v>1</v>
      </c>
      <c r="E479">
        <v>4</v>
      </c>
      <c r="F479" t="s">
        <v>11708</v>
      </c>
      <c r="G479" t="s">
        <v>14205</v>
      </c>
      <c r="H479" t="s">
        <v>70</v>
      </c>
      <c r="I479" t="s">
        <v>18276</v>
      </c>
      <c r="K479" t="s">
        <v>18277</v>
      </c>
      <c r="L479" t="s">
        <v>255</v>
      </c>
      <c r="M479">
        <v>1775.8</v>
      </c>
      <c r="N479">
        <v>1.76</v>
      </c>
      <c r="O479">
        <v>2.15</v>
      </c>
      <c r="P479">
        <v>3817.97</v>
      </c>
    </row>
    <row r="480" spans="2:16">
      <c r="C480">
        <v>6</v>
      </c>
      <c r="D480">
        <v>1</v>
      </c>
      <c r="E480">
        <v>4</v>
      </c>
      <c r="F480" t="s">
        <v>11708</v>
      </c>
      <c r="G480" t="s">
        <v>14206</v>
      </c>
      <c r="H480" t="s">
        <v>70</v>
      </c>
      <c r="I480">
        <v>93590</v>
      </c>
      <c r="K480" t="s">
        <v>19275</v>
      </c>
      <c r="L480" t="s">
        <v>9853</v>
      </c>
      <c r="M480">
        <v>13318.51</v>
      </c>
      <c r="N480">
        <v>0.74</v>
      </c>
      <c r="O480">
        <v>0.9</v>
      </c>
      <c r="P480">
        <v>11986.66</v>
      </c>
    </row>
    <row r="481" spans="2:16">
      <c r="C481">
        <v>6</v>
      </c>
      <c r="D481">
        <v>1</v>
      </c>
      <c r="E481">
        <v>4</v>
      </c>
      <c r="F481" t="s">
        <v>11708</v>
      </c>
      <c r="G481" t="s">
        <v>14207</v>
      </c>
      <c r="H481" t="s">
        <v>70</v>
      </c>
      <c r="I481">
        <v>83344</v>
      </c>
      <c r="K481" t="s">
        <v>18317</v>
      </c>
      <c r="L481" t="s">
        <v>255</v>
      </c>
      <c r="M481">
        <v>1775.8</v>
      </c>
      <c r="N481">
        <v>1.02</v>
      </c>
      <c r="O481">
        <v>1.25</v>
      </c>
      <c r="P481">
        <v>2219.75</v>
      </c>
    </row>
    <row r="482" spans="2:16">
      <c r="C482">
        <v>6</v>
      </c>
      <c r="D482">
        <v>1</v>
      </c>
      <c r="E482">
        <v>4</v>
      </c>
      <c r="F482" t="s">
        <v>11708</v>
      </c>
      <c r="G482" t="s">
        <v>11770</v>
      </c>
      <c r="H482" t="s">
        <v>10852</v>
      </c>
      <c r="I482">
        <v>232</v>
      </c>
      <c r="K482" t="s">
        <v>19828</v>
      </c>
      <c r="L482" t="s">
        <v>255</v>
      </c>
      <c r="M482">
        <v>225</v>
      </c>
      <c r="N482">
        <v>1.46</v>
      </c>
      <c r="O482">
        <v>1.78</v>
      </c>
      <c r="P482">
        <v>400.5</v>
      </c>
    </row>
    <row r="483" spans="2:16">
      <c r="C483">
        <v>6</v>
      </c>
      <c r="D483">
        <v>1</v>
      </c>
      <c r="E483">
        <v>4</v>
      </c>
      <c r="F483" t="s">
        <v>11708</v>
      </c>
      <c r="G483" t="s">
        <v>11769</v>
      </c>
      <c r="H483" t="s">
        <v>10852</v>
      </c>
      <c r="I483">
        <v>233</v>
      </c>
      <c r="K483" t="s">
        <v>19829</v>
      </c>
      <c r="L483" t="s">
        <v>255</v>
      </c>
      <c r="M483">
        <v>225</v>
      </c>
      <c r="N483">
        <v>4.3499999999999996</v>
      </c>
      <c r="O483">
        <v>5.32</v>
      </c>
      <c r="P483">
        <v>1197</v>
      </c>
    </row>
    <row r="484" spans="2:16">
      <c r="C484">
        <v>6</v>
      </c>
      <c r="D484">
        <v>1</v>
      </c>
      <c r="E484">
        <v>4</v>
      </c>
      <c r="F484" t="s">
        <v>11708</v>
      </c>
      <c r="G484" t="s">
        <v>11771</v>
      </c>
      <c r="H484" t="s">
        <v>10852</v>
      </c>
      <c r="I484">
        <v>19314</v>
      </c>
      <c r="K484" t="s">
        <v>20056</v>
      </c>
      <c r="L484" t="s">
        <v>9853</v>
      </c>
      <c r="M484">
        <v>1035.02</v>
      </c>
      <c r="N484">
        <v>1.19</v>
      </c>
      <c r="O484">
        <v>1.45</v>
      </c>
      <c r="P484">
        <v>1500.78</v>
      </c>
    </row>
    <row r="485" spans="2:16">
      <c r="C485">
        <v>6</v>
      </c>
      <c r="D485">
        <v>1</v>
      </c>
      <c r="E485">
        <v>4</v>
      </c>
      <c r="F485" t="s">
        <v>11708</v>
      </c>
    </row>
    <row r="486" spans="2:16">
      <c r="C486">
        <v>6</v>
      </c>
      <c r="D486">
        <v>1</v>
      </c>
      <c r="E486">
        <v>4</v>
      </c>
      <c r="F486" t="s">
        <v>11708</v>
      </c>
      <c r="H486" t="s">
        <v>20711</v>
      </c>
      <c r="P486">
        <v>21122.659999999996</v>
      </c>
    </row>
    <row r="487" spans="2:16">
      <c r="C487">
        <v>6</v>
      </c>
      <c r="D487">
        <v>1</v>
      </c>
      <c r="E487">
        <v>4</v>
      </c>
      <c r="F487" t="s">
        <v>11708</v>
      </c>
    </row>
    <row r="488" spans="2:16">
      <c r="B488">
        <v>1</v>
      </c>
      <c r="C488">
        <v>6</v>
      </c>
      <c r="D488">
        <v>1</v>
      </c>
      <c r="E488">
        <v>5</v>
      </c>
      <c r="F488" t="s">
        <v>11708</v>
      </c>
      <c r="H488" t="s">
        <v>11703</v>
      </c>
      <c r="I488" t="s">
        <v>64</v>
      </c>
      <c r="J488" s="25" t="s">
        <v>20712</v>
      </c>
      <c r="K488" t="s">
        <v>14353</v>
      </c>
      <c r="L488" t="s">
        <v>25</v>
      </c>
      <c r="M488" t="s">
        <v>11704</v>
      </c>
      <c r="N488" t="s">
        <v>11705</v>
      </c>
      <c r="O488" t="s">
        <v>11706</v>
      </c>
      <c r="P488" t="s">
        <v>27</v>
      </c>
    </row>
    <row r="489" spans="2:16">
      <c r="C489">
        <v>6</v>
      </c>
      <c r="D489">
        <v>1</v>
      </c>
      <c r="E489">
        <v>5</v>
      </c>
      <c r="F489" t="s">
        <v>11708</v>
      </c>
    </row>
    <row r="490" spans="2:16">
      <c r="C490">
        <v>6</v>
      </c>
      <c r="D490">
        <v>1</v>
      </c>
      <c r="E490">
        <v>5</v>
      </c>
      <c r="F490" t="s">
        <v>11708</v>
      </c>
      <c r="G490" t="s">
        <v>14208</v>
      </c>
      <c r="H490" t="s">
        <v>70</v>
      </c>
      <c r="I490">
        <v>95241</v>
      </c>
      <c r="K490" t="s">
        <v>6694</v>
      </c>
      <c r="L490" t="s">
        <v>256</v>
      </c>
      <c r="M490">
        <v>318.68</v>
      </c>
      <c r="N490">
        <v>18.73</v>
      </c>
      <c r="O490">
        <v>22.89</v>
      </c>
      <c r="P490">
        <v>7294.59</v>
      </c>
    </row>
    <row r="491" spans="2:16">
      <c r="C491">
        <v>6</v>
      </c>
      <c r="D491">
        <v>1</v>
      </c>
      <c r="E491">
        <v>5</v>
      </c>
      <c r="F491" t="s">
        <v>11708</v>
      </c>
      <c r="G491" t="s">
        <v>14209</v>
      </c>
      <c r="H491" t="s">
        <v>70</v>
      </c>
      <c r="I491">
        <v>94116</v>
      </c>
      <c r="K491" t="s">
        <v>18309</v>
      </c>
      <c r="L491" t="s">
        <v>255</v>
      </c>
      <c r="M491">
        <v>318.68</v>
      </c>
      <c r="N491">
        <v>120.39</v>
      </c>
      <c r="O491">
        <v>147.1</v>
      </c>
      <c r="P491">
        <v>46877.83</v>
      </c>
    </row>
    <row r="492" spans="2:16">
      <c r="C492">
        <v>6</v>
      </c>
      <c r="D492">
        <v>1</v>
      </c>
      <c r="E492">
        <v>5</v>
      </c>
      <c r="F492" t="s">
        <v>11708</v>
      </c>
      <c r="G492" t="s">
        <v>14210</v>
      </c>
      <c r="H492" t="s">
        <v>70</v>
      </c>
      <c r="I492">
        <v>92486</v>
      </c>
      <c r="K492" t="s">
        <v>16302</v>
      </c>
      <c r="L492" t="s">
        <v>256</v>
      </c>
      <c r="M492">
        <v>738.63</v>
      </c>
      <c r="N492">
        <v>94.75</v>
      </c>
      <c r="O492">
        <v>115.78</v>
      </c>
      <c r="P492">
        <v>85518.58</v>
      </c>
    </row>
    <row r="493" spans="2:16">
      <c r="C493">
        <v>6</v>
      </c>
      <c r="D493">
        <v>1</v>
      </c>
      <c r="E493">
        <v>5</v>
      </c>
      <c r="F493" t="s">
        <v>11708</v>
      </c>
      <c r="G493" t="s">
        <v>14211</v>
      </c>
      <c r="H493" t="s">
        <v>10852</v>
      </c>
      <c r="I493">
        <v>316</v>
      </c>
      <c r="K493" t="s">
        <v>20713</v>
      </c>
      <c r="L493" t="s">
        <v>255</v>
      </c>
      <c r="M493">
        <v>177.27</v>
      </c>
      <c r="N493">
        <v>476.83</v>
      </c>
      <c r="O493">
        <v>582.64</v>
      </c>
      <c r="P493">
        <v>103284.59</v>
      </c>
    </row>
    <row r="494" spans="2:16">
      <c r="C494">
        <v>6</v>
      </c>
      <c r="D494">
        <v>1</v>
      </c>
      <c r="E494">
        <v>5</v>
      </c>
      <c r="F494" t="s">
        <v>11708</v>
      </c>
      <c r="G494" t="s">
        <v>20365</v>
      </c>
      <c r="H494" t="s">
        <v>70</v>
      </c>
      <c r="I494">
        <v>92915</v>
      </c>
      <c r="K494" t="s">
        <v>16452</v>
      </c>
      <c r="L494" t="s">
        <v>90</v>
      </c>
      <c r="M494">
        <v>127.89</v>
      </c>
      <c r="N494">
        <v>12.53</v>
      </c>
      <c r="O494">
        <v>15.31</v>
      </c>
      <c r="P494">
        <v>1958</v>
      </c>
    </row>
    <row r="495" spans="2:16">
      <c r="C495">
        <v>6</v>
      </c>
      <c r="D495">
        <v>1</v>
      </c>
      <c r="E495">
        <v>5</v>
      </c>
      <c r="F495" t="s">
        <v>11708</v>
      </c>
      <c r="G495" t="s">
        <v>20366</v>
      </c>
      <c r="H495" t="s">
        <v>70</v>
      </c>
      <c r="I495">
        <v>92916</v>
      </c>
      <c r="K495" t="s">
        <v>16453</v>
      </c>
      <c r="L495" t="s">
        <v>90</v>
      </c>
      <c r="M495">
        <v>2600.63</v>
      </c>
      <c r="N495">
        <v>11.46</v>
      </c>
      <c r="O495">
        <v>14</v>
      </c>
      <c r="P495">
        <v>36408.82</v>
      </c>
    </row>
    <row r="496" spans="2:16">
      <c r="C496">
        <v>6</v>
      </c>
      <c r="D496">
        <v>1</v>
      </c>
      <c r="E496">
        <v>5</v>
      </c>
      <c r="F496" t="s">
        <v>11708</v>
      </c>
      <c r="G496" t="s">
        <v>20367</v>
      </c>
      <c r="H496" t="s">
        <v>70</v>
      </c>
      <c r="I496">
        <v>92917</v>
      </c>
      <c r="K496" t="s">
        <v>16454</v>
      </c>
      <c r="L496" t="s">
        <v>90</v>
      </c>
      <c r="M496">
        <v>7453.84</v>
      </c>
      <c r="N496">
        <v>11</v>
      </c>
      <c r="O496">
        <v>13.44</v>
      </c>
      <c r="P496">
        <v>100179.61</v>
      </c>
    </row>
    <row r="497" spans="2:16">
      <c r="C497">
        <v>6</v>
      </c>
      <c r="D497">
        <v>1</v>
      </c>
      <c r="E497">
        <v>5</v>
      </c>
      <c r="F497" t="s">
        <v>11708</v>
      </c>
      <c r="G497" t="s">
        <v>20368</v>
      </c>
      <c r="H497" t="s">
        <v>70</v>
      </c>
      <c r="I497">
        <v>92919</v>
      </c>
      <c r="K497" t="s">
        <v>16455</v>
      </c>
      <c r="L497" t="s">
        <v>90</v>
      </c>
      <c r="M497">
        <v>3480.31</v>
      </c>
      <c r="N497">
        <v>8.93</v>
      </c>
      <c r="O497">
        <v>10.91</v>
      </c>
      <c r="P497">
        <v>37970.18</v>
      </c>
    </row>
    <row r="498" spans="2:16">
      <c r="C498">
        <v>6</v>
      </c>
      <c r="D498">
        <v>1</v>
      </c>
      <c r="E498">
        <v>5</v>
      </c>
      <c r="F498" t="s">
        <v>11708</v>
      </c>
      <c r="G498" t="s">
        <v>20369</v>
      </c>
      <c r="H498" t="s">
        <v>70</v>
      </c>
      <c r="I498">
        <v>92921</v>
      </c>
      <c r="K498" t="s">
        <v>16456</v>
      </c>
      <c r="L498" t="s">
        <v>90</v>
      </c>
      <c r="M498">
        <v>1313.7</v>
      </c>
      <c r="N498">
        <v>7.43</v>
      </c>
      <c r="O498">
        <v>9.08</v>
      </c>
      <c r="P498">
        <v>11928.4</v>
      </c>
    </row>
    <row r="499" spans="2:16">
      <c r="C499">
        <v>6</v>
      </c>
      <c r="D499">
        <v>1</v>
      </c>
      <c r="E499">
        <v>5</v>
      </c>
      <c r="F499" t="s">
        <v>11708</v>
      </c>
      <c r="G499" t="s">
        <v>20370</v>
      </c>
      <c r="H499" t="s">
        <v>70</v>
      </c>
      <c r="I499">
        <v>92922</v>
      </c>
      <c r="K499" t="s">
        <v>16457</v>
      </c>
      <c r="L499" t="s">
        <v>90</v>
      </c>
      <c r="M499">
        <v>475.12</v>
      </c>
      <c r="N499">
        <v>5.88</v>
      </c>
      <c r="O499">
        <v>7.18</v>
      </c>
      <c r="P499">
        <v>3411.36</v>
      </c>
    </row>
    <row r="500" spans="2:16">
      <c r="C500">
        <v>6</v>
      </c>
      <c r="D500">
        <v>1</v>
      </c>
      <c r="E500">
        <v>5</v>
      </c>
      <c r="F500" t="s">
        <v>11708</v>
      </c>
      <c r="G500" t="s">
        <v>14212</v>
      </c>
      <c r="H500" t="s">
        <v>11644</v>
      </c>
      <c r="I500">
        <v>3681</v>
      </c>
      <c r="K500" t="s">
        <v>6559</v>
      </c>
      <c r="L500" t="s">
        <v>71</v>
      </c>
      <c r="M500">
        <v>13.05</v>
      </c>
      <c r="N500">
        <v>124.79</v>
      </c>
      <c r="O500">
        <v>152.47999999999999</v>
      </c>
      <c r="P500">
        <v>1989.86</v>
      </c>
    </row>
    <row r="501" spans="2:16">
      <c r="C501">
        <v>6</v>
      </c>
      <c r="D501">
        <v>1</v>
      </c>
      <c r="E501">
        <v>5</v>
      </c>
      <c r="F501" t="s">
        <v>11708</v>
      </c>
      <c r="G501" t="s">
        <v>14213</v>
      </c>
      <c r="H501" t="s">
        <v>70</v>
      </c>
      <c r="I501" t="s">
        <v>19257</v>
      </c>
      <c r="K501" t="s">
        <v>5042</v>
      </c>
      <c r="L501" t="s">
        <v>65</v>
      </c>
      <c r="M501">
        <v>4</v>
      </c>
      <c r="N501">
        <v>83.42</v>
      </c>
      <c r="O501">
        <v>101.93</v>
      </c>
      <c r="P501">
        <v>407.72</v>
      </c>
    </row>
    <row r="502" spans="2:16">
      <c r="C502">
        <v>6</v>
      </c>
      <c r="D502">
        <v>1</v>
      </c>
      <c r="E502">
        <v>5</v>
      </c>
      <c r="F502" t="s">
        <v>11708</v>
      </c>
    </row>
    <row r="503" spans="2:16">
      <c r="C503">
        <v>6</v>
      </c>
      <c r="D503">
        <v>1</v>
      </c>
      <c r="E503">
        <v>5</v>
      </c>
      <c r="F503" t="s">
        <v>11708</v>
      </c>
      <c r="H503" t="s">
        <v>20714</v>
      </c>
      <c r="P503">
        <v>437229.53999999992</v>
      </c>
    </row>
    <row r="504" spans="2:16">
      <c r="C504">
        <v>6</v>
      </c>
      <c r="D504">
        <v>1</v>
      </c>
      <c r="E504">
        <v>5</v>
      </c>
      <c r="F504" t="s">
        <v>11708</v>
      </c>
    </row>
    <row r="505" spans="2:16">
      <c r="B505">
        <v>1</v>
      </c>
      <c r="C505">
        <v>6</v>
      </c>
      <c r="D505">
        <v>1</v>
      </c>
      <c r="E505">
        <v>6</v>
      </c>
      <c r="F505" t="s">
        <v>11708</v>
      </c>
      <c r="H505" t="s">
        <v>11703</v>
      </c>
      <c r="I505" t="s">
        <v>64</v>
      </c>
      <c r="J505" s="25" t="s">
        <v>20715</v>
      </c>
      <c r="K505" t="s">
        <v>1231</v>
      </c>
      <c r="L505" t="s">
        <v>25</v>
      </c>
      <c r="M505" t="s">
        <v>11704</v>
      </c>
      <c r="N505" t="s">
        <v>11705</v>
      </c>
      <c r="O505" t="s">
        <v>11706</v>
      </c>
      <c r="P505" t="s">
        <v>27</v>
      </c>
    </row>
    <row r="506" spans="2:16">
      <c r="C506">
        <v>6</v>
      </c>
      <c r="D506">
        <v>1</v>
      </c>
      <c r="E506">
        <v>6</v>
      </c>
      <c r="F506" t="s">
        <v>11708</v>
      </c>
    </row>
    <row r="507" spans="2:16">
      <c r="C507">
        <v>6</v>
      </c>
      <c r="D507">
        <v>1</v>
      </c>
      <c r="E507">
        <v>6</v>
      </c>
      <c r="F507" t="s">
        <v>11708</v>
      </c>
      <c r="G507" t="s">
        <v>14214</v>
      </c>
      <c r="H507" t="s">
        <v>10852</v>
      </c>
      <c r="I507">
        <v>862</v>
      </c>
      <c r="K507" t="s">
        <v>19954</v>
      </c>
      <c r="L507" t="s">
        <v>71</v>
      </c>
      <c r="M507">
        <v>118</v>
      </c>
      <c r="N507">
        <v>195.61</v>
      </c>
      <c r="O507">
        <v>239.02</v>
      </c>
      <c r="P507">
        <v>28204.36</v>
      </c>
    </row>
    <row r="508" spans="2:16">
      <c r="C508">
        <v>6</v>
      </c>
      <c r="D508">
        <v>1</v>
      </c>
      <c r="E508">
        <v>6</v>
      </c>
      <c r="F508" t="s">
        <v>11708</v>
      </c>
      <c r="G508" t="s">
        <v>14215</v>
      </c>
      <c r="H508" t="s">
        <v>70</v>
      </c>
      <c r="I508">
        <v>73665</v>
      </c>
      <c r="K508" t="s">
        <v>16123</v>
      </c>
      <c r="L508" t="s">
        <v>71</v>
      </c>
      <c r="M508">
        <v>1.8</v>
      </c>
      <c r="N508">
        <v>56.2</v>
      </c>
      <c r="O508">
        <v>68.67</v>
      </c>
      <c r="P508">
        <v>123.61</v>
      </c>
    </row>
    <row r="509" spans="2:16">
      <c r="C509">
        <v>6</v>
      </c>
      <c r="D509">
        <v>1</v>
      </c>
      <c r="E509">
        <v>6</v>
      </c>
      <c r="F509" t="s">
        <v>11708</v>
      </c>
      <c r="G509" t="s">
        <v>14217</v>
      </c>
      <c r="H509" t="s">
        <v>11722</v>
      </c>
      <c r="I509" t="s">
        <v>12303</v>
      </c>
      <c r="K509" t="s">
        <v>20505</v>
      </c>
      <c r="L509" t="s">
        <v>1274</v>
      </c>
      <c r="M509">
        <v>4</v>
      </c>
      <c r="N509">
        <v>72.5</v>
      </c>
      <c r="O509">
        <v>88.59</v>
      </c>
      <c r="P509">
        <v>354.36</v>
      </c>
    </row>
    <row r="510" spans="2:16">
      <c r="C510">
        <v>6</v>
      </c>
      <c r="D510">
        <v>1</v>
      </c>
      <c r="E510">
        <v>6</v>
      </c>
      <c r="F510" t="s">
        <v>11708</v>
      </c>
      <c r="G510" t="s">
        <v>14218</v>
      </c>
      <c r="H510" t="s">
        <v>11722</v>
      </c>
      <c r="I510" t="s">
        <v>12300</v>
      </c>
      <c r="K510" t="s">
        <v>20506</v>
      </c>
      <c r="L510" t="s">
        <v>1274</v>
      </c>
      <c r="M510">
        <v>4</v>
      </c>
      <c r="N510">
        <v>203</v>
      </c>
      <c r="O510">
        <v>248.05</v>
      </c>
      <c r="P510">
        <v>992.2</v>
      </c>
    </row>
    <row r="511" spans="2:16">
      <c r="C511">
        <v>6</v>
      </c>
      <c r="D511">
        <v>1</v>
      </c>
      <c r="E511">
        <v>6</v>
      </c>
      <c r="F511" t="s">
        <v>11708</v>
      </c>
      <c r="G511" t="s">
        <v>14219</v>
      </c>
      <c r="H511" t="s">
        <v>11722</v>
      </c>
      <c r="I511" t="s">
        <v>12301</v>
      </c>
      <c r="K511" t="s">
        <v>20507</v>
      </c>
      <c r="L511" t="s">
        <v>1274</v>
      </c>
      <c r="M511">
        <v>4</v>
      </c>
      <c r="N511">
        <v>203</v>
      </c>
      <c r="O511">
        <v>248.05</v>
      </c>
      <c r="P511">
        <v>992.2</v>
      </c>
    </row>
    <row r="512" spans="2:16">
      <c r="C512">
        <v>6</v>
      </c>
      <c r="D512">
        <v>1</v>
      </c>
      <c r="E512">
        <v>6</v>
      </c>
      <c r="F512" t="s">
        <v>11708</v>
      </c>
      <c r="G512" t="s">
        <v>14220</v>
      </c>
      <c r="H512" t="s">
        <v>11722</v>
      </c>
      <c r="I512" t="s">
        <v>12302</v>
      </c>
      <c r="K512" t="s">
        <v>20508</v>
      </c>
      <c r="L512" t="s">
        <v>1274</v>
      </c>
      <c r="M512">
        <v>4</v>
      </c>
      <c r="N512">
        <v>206</v>
      </c>
      <c r="O512">
        <v>251.71</v>
      </c>
      <c r="P512">
        <v>1006.84</v>
      </c>
    </row>
    <row r="513" spans="2:16">
      <c r="C513">
        <v>6</v>
      </c>
      <c r="D513">
        <v>1</v>
      </c>
      <c r="E513">
        <v>6</v>
      </c>
      <c r="F513" t="s">
        <v>11708</v>
      </c>
    </row>
    <row r="514" spans="2:16">
      <c r="C514">
        <v>6</v>
      </c>
      <c r="D514">
        <v>1</v>
      </c>
      <c r="E514">
        <v>6</v>
      </c>
      <c r="F514" t="s">
        <v>11708</v>
      </c>
      <c r="H514" t="s">
        <v>20716</v>
      </c>
      <c r="P514">
        <v>31673.570000000003</v>
      </c>
    </row>
    <row r="515" spans="2:16">
      <c r="C515">
        <v>6</v>
      </c>
      <c r="D515">
        <v>1</v>
      </c>
      <c r="E515">
        <v>6</v>
      </c>
      <c r="F515" t="s">
        <v>11708</v>
      </c>
    </row>
    <row r="516" spans="2:16">
      <c r="B516">
        <v>1</v>
      </c>
      <c r="C516">
        <v>6</v>
      </c>
      <c r="D516">
        <v>1</v>
      </c>
      <c r="E516">
        <v>7</v>
      </c>
      <c r="F516" t="s">
        <v>11708</v>
      </c>
      <c r="H516" t="s">
        <v>11703</v>
      </c>
      <c r="I516" t="s">
        <v>64</v>
      </c>
      <c r="J516" s="25" t="s">
        <v>20717</v>
      </c>
      <c r="K516" t="s">
        <v>11715</v>
      </c>
      <c r="L516" t="s">
        <v>25</v>
      </c>
      <c r="M516" t="s">
        <v>11704</v>
      </c>
      <c r="N516" t="s">
        <v>11705</v>
      </c>
      <c r="O516" t="s">
        <v>11706</v>
      </c>
      <c r="P516" t="s">
        <v>27</v>
      </c>
    </row>
    <row r="517" spans="2:16">
      <c r="C517">
        <v>6</v>
      </c>
      <c r="D517">
        <v>1</v>
      </c>
      <c r="E517">
        <v>7</v>
      </c>
      <c r="F517" t="s">
        <v>11708</v>
      </c>
    </row>
    <row r="518" spans="2:16">
      <c r="C518">
        <v>6</v>
      </c>
      <c r="D518">
        <v>1</v>
      </c>
      <c r="E518">
        <v>7</v>
      </c>
      <c r="F518" t="s">
        <v>11708</v>
      </c>
      <c r="G518" t="s">
        <v>14221</v>
      </c>
      <c r="H518" t="s">
        <v>70</v>
      </c>
      <c r="I518" t="s">
        <v>16604</v>
      </c>
      <c r="K518" t="s">
        <v>6022</v>
      </c>
      <c r="L518" t="s">
        <v>256</v>
      </c>
      <c r="M518">
        <v>437.59</v>
      </c>
      <c r="N518">
        <v>7.91</v>
      </c>
      <c r="O518">
        <v>9.67</v>
      </c>
      <c r="P518">
        <v>4231.5</v>
      </c>
    </row>
    <row r="519" spans="2:16">
      <c r="C519">
        <v>6</v>
      </c>
      <c r="D519">
        <v>1</v>
      </c>
      <c r="E519">
        <v>7</v>
      </c>
      <c r="F519" t="s">
        <v>11708</v>
      </c>
      <c r="G519" t="s">
        <v>14284</v>
      </c>
      <c r="H519" t="s">
        <v>11644</v>
      </c>
      <c r="I519" t="s">
        <v>16608</v>
      </c>
      <c r="K519" t="s">
        <v>16609</v>
      </c>
      <c r="L519" t="s">
        <v>256</v>
      </c>
      <c r="M519">
        <v>882.34</v>
      </c>
      <c r="N519">
        <v>52.66</v>
      </c>
      <c r="O519">
        <v>64.349999999999994</v>
      </c>
      <c r="P519">
        <v>56778.58</v>
      </c>
    </row>
    <row r="520" spans="2:16">
      <c r="C520">
        <v>6</v>
      </c>
      <c r="D520">
        <v>1</v>
      </c>
      <c r="E520">
        <v>7</v>
      </c>
      <c r="F520" t="s">
        <v>11708</v>
      </c>
      <c r="G520" t="s">
        <v>14222</v>
      </c>
      <c r="H520" t="s">
        <v>11644</v>
      </c>
      <c r="I520">
        <v>87372</v>
      </c>
      <c r="K520" t="s">
        <v>19030</v>
      </c>
      <c r="L520" t="s">
        <v>255</v>
      </c>
      <c r="M520">
        <v>110.47</v>
      </c>
      <c r="N520">
        <v>478.2</v>
      </c>
      <c r="O520">
        <v>584.30999999999995</v>
      </c>
      <c r="P520">
        <v>64548.73</v>
      </c>
    </row>
    <row r="521" spans="2:16">
      <c r="C521">
        <v>6</v>
      </c>
      <c r="D521">
        <v>1</v>
      </c>
      <c r="E521">
        <v>7</v>
      </c>
      <c r="F521" t="s">
        <v>11708</v>
      </c>
    </row>
    <row r="522" spans="2:16">
      <c r="C522">
        <v>6</v>
      </c>
      <c r="D522">
        <v>1</v>
      </c>
      <c r="E522">
        <v>7</v>
      </c>
      <c r="F522" t="s">
        <v>11708</v>
      </c>
      <c r="H522" t="s">
        <v>20718</v>
      </c>
      <c r="P522">
        <v>125558.81</v>
      </c>
    </row>
    <row r="523" spans="2:16">
      <c r="C523">
        <v>6</v>
      </c>
      <c r="D523">
        <v>1</v>
      </c>
      <c r="E523">
        <v>7</v>
      </c>
      <c r="F523" t="s">
        <v>11708</v>
      </c>
    </row>
    <row r="524" spans="2:16">
      <c r="B524">
        <v>1</v>
      </c>
      <c r="C524">
        <v>6</v>
      </c>
      <c r="D524">
        <v>1</v>
      </c>
      <c r="E524">
        <v>8</v>
      </c>
      <c r="F524" t="s">
        <v>11708</v>
      </c>
      <c r="H524" t="s">
        <v>11703</v>
      </c>
      <c r="I524" t="s">
        <v>64</v>
      </c>
      <c r="J524" s="25" t="s">
        <v>20719</v>
      </c>
      <c r="K524" t="s">
        <v>20203</v>
      </c>
      <c r="L524" t="s">
        <v>25</v>
      </c>
      <c r="M524" t="s">
        <v>11704</v>
      </c>
      <c r="N524" t="s">
        <v>11705</v>
      </c>
      <c r="O524" t="s">
        <v>11706</v>
      </c>
      <c r="P524" t="s">
        <v>27</v>
      </c>
    </row>
    <row r="525" spans="2:16">
      <c r="C525">
        <v>6</v>
      </c>
      <c r="D525">
        <v>1</v>
      </c>
      <c r="E525">
        <v>8</v>
      </c>
      <c r="F525" t="s">
        <v>11708</v>
      </c>
    </row>
    <row r="526" spans="2:16">
      <c r="C526">
        <v>6</v>
      </c>
      <c r="D526">
        <v>1</v>
      </c>
      <c r="E526">
        <v>8</v>
      </c>
      <c r="F526" t="s">
        <v>11708</v>
      </c>
      <c r="G526" t="s">
        <v>14303</v>
      </c>
      <c r="H526" t="s">
        <v>70</v>
      </c>
      <c r="I526" t="s">
        <v>18613</v>
      </c>
      <c r="K526" t="s">
        <v>18614</v>
      </c>
      <c r="L526" t="s">
        <v>256</v>
      </c>
      <c r="M526">
        <v>201.6</v>
      </c>
      <c r="N526">
        <v>39.54</v>
      </c>
      <c r="O526">
        <v>48.31</v>
      </c>
      <c r="P526">
        <v>9739.2999999999993</v>
      </c>
    </row>
    <row r="527" spans="2:16">
      <c r="C527">
        <v>6</v>
      </c>
      <c r="D527">
        <v>1</v>
      </c>
      <c r="E527">
        <v>8</v>
      </c>
      <c r="F527" t="s">
        <v>11708</v>
      </c>
      <c r="G527" t="s">
        <v>14304</v>
      </c>
      <c r="H527" t="s">
        <v>70</v>
      </c>
      <c r="I527">
        <v>94990</v>
      </c>
      <c r="K527" t="s">
        <v>18684</v>
      </c>
      <c r="L527" t="s">
        <v>255</v>
      </c>
      <c r="M527">
        <v>10.08</v>
      </c>
      <c r="N527">
        <v>497.55</v>
      </c>
      <c r="O527">
        <v>607.96</v>
      </c>
      <c r="P527">
        <v>6128.24</v>
      </c>
    </row>
    <row r="528" spans="2:16">
      <c r="C528">
        <v>6</v>
      </c>
      <c r="D528">
        <v>1</v>
      </c>
      <c r="E528">
        <v>8</v>
      </c>
      <c r="F528" t="s">
        <v>11708</v>
      </c>
    </row>
    <row r="529" spans="2:16">
      <c r="C529">
        <v>6</v>
      </c>
      <c r="D529">
        <v>1</v>
      </c>
      <c r="E529">
        <v>8</v>
      </c>
      <c r="F529" t="s">
        <v>11708</v>
      </c>
      <c r="H529" t="s">
        <v>20720</v>
      </c>
      <c r="P529">
        <v>15867.539999999999</v>
      </c>
    </row>
    <row r="530" spans="2:16">
      <c r="C530">
        <v>6</v>
      </c>
      <c r="D530">
        <v>1</v>
      </c>
      <c r="E530">
        <v>8</v>
      </c>
      <c r="F530" t="s">
        <v>11708</v>
      </c>
    </row>
    <row r="531" spans="2:16">
      <c r="B531">
        <v>1</v>
      </c>
      <c r="C531">
        <v>6</v>
      </c>
      <c r="D531">
        <v>1</v>
      </c>
      <c r="E531">
        <v>9</v>
      </c>
      <c r="F531" t="s">
        <v>11708</v>
      </c>
      <c r="H531" t="s">
        <v>11703</v>
      </c>
      <c r="I531" t="s">
        <v>64</v>
      </c>
      <c r="J531" s="25" t="s">
        <v>20721</v>
      </c>
      <c r="K531" t="s">
        <v>11718</v>
      </c>
      <c r="L531" t="s">
        <v>25</v>
      </c>
      <c r="M531" t="s">
        <v>11704</v>
      </c>
      <c r="N531" t="s">
        <v>11705</v>
      </c>
      <c r="O531" t="s">
        <v>11706</v>
      </c>
      <c r="P531" t="s">
        <v>27</v>
      </c>
    </row>
    <row r="532" spans="2:16">
      <c r="C532">
        <v>6</v>
      </c>
      <c r="D532">
        <v>1</v>
      </c>
      <c r="E532">
        <v>9</v>
      </c>
      <c r="F532" t="s">
        <v>11708</v>
      </c>
    </row>
    <row r="533" spans="2:16">
      <c r="C533">
        <v>6</v>
      </c>
      <c r="D533">
        <v>1</v>
      </c>
      <c r="E533">
        <v>9</v>
      </c>
      <c r="F533" t="s">
        <v>11708</v>
      </c>
      <c r="G533" t="s">
        <v>14223</v>
      </c>
      <c r="H533" t="s">
        <v>11644</v>
      </c>
      <c r="I533">
        <v>94216</v>
      </c>
      <c r="K533" t="s">
        <v>15672</v>
      </c>
      <c r="L533" t="s">
        <v>256</v>
      </c>
      <c r="M533">
        <v>295.36</v>
      </c>
      <c r="N533">
        <v>91.68</v>
      </c>
      <c r="O533">
        <v>112.02</v>
      </c>
      <c r="P533">
        <v>33086.230000000003</v>
      </c>
    </row>
    <row r="534" spans="2:16">
      <c r="C534">
        <v>6</v>
      </c>
      <c r="D534">
        <v>1</v>
      </c>
      <c r="E534">
        <v>9</v>
      </c>
      <c r="F534" t="s">
        <v>11708</v>
      </c>
      <c r="G534" t="s">
        <v>14224</v>
      </c>
      <c r="H534" t="s">
        <v>11644</v>
      </c>
      <c r="I534" t="s">
        <v>15692</v>
      </c>
      <c r="K534" t="s">
        <v>15693</v>
      </c>
      <c r="L534" t="s">
        <v>90</v>
      </c>
      <c r="M534">
        <v>3608</v>
      </c>
      <c r="N534">
        <v>6.3</v>
      </c>
      <c r="O534">
        <v>7.7</v>
      </c>
      <c r="P534">
        <v>27781.599999999999</v>
      </c>
    </row>
    <row r="535" spans="2:16">
      <c r="C535">
        <v>6</v>
      </c>
      <c r="D535">
        <v>1</v>
      </c>
      <c r="E535">
        <v>9</v>
      </c>
      <c r="F535" t="s">
        <v>11708</v>
      </c>
    </row>
    <row r="536" spans="2:16">
      <c r="C536">
        <v>6</v>
      </c>
      <c r="D536">
        <v>1</v>
      </c>
      <c r="E536">
        <v>9</v>
      </c>
      <c r="F536" t="s">
        <v>11708</v>
      </c>
      <c r="H536" t="s">
        <v>20722</v>
      </c>
      <c r="P536">
        <v>60867.83</v>
      </c>
    </row>
    <row r="537" spans="2:16">
      <c r="C537">
        <v>6</v>
      </c>
      <c r="D537">
        <v>1</v>
      </c>
      <c r="E537">
        <v>9</v>
      </c>
      <c r="F537" t="s">
        <v>11708</v>
      </c>
    </row>
    <row r="538" spans="2:16">
      <c r="B538">
        <v>1</v>
      </c>
      <c r="C538">
        <v>6</v>
      </c>
      <c r="D538">
        <v>1</v>
      </c>
      <c r="E538">
        <v>10</v>
      </c>
      <c r="F538" t="s">
        <v>11708</v>
      </c>
      <c r="H538" t="s">
        <v>11703</v>
      </c>
      <c r="I538" t="s">
        <v>64</v>
      </c>
      <c r="J538" s="25" t="s">
        <v>20723</v>
      </c>
      <c r="K538" t="s">
        <v>11738</v>
      </c>
      <c r="L538" t="s">
        <v>25</v>
      </c>
      <c r="M538" t="s">
        <v>11704</v>
      </c>
      <c r="N538" t="s">
        <v>11705</v>
      </c>
      <c r="O538" t="s">
        <v>11706</v>
      </c>
      <c r="P538" t="s">
        <v>27</v>
      </c>
    </row>
    <row r="539" spans="2:16">
      <c r="C539">
        <v>6</v>
      </c>
      <c r="D539">
        <v>1</v>
      </c>
      <c r="E539">
        <v>10</v>
      </c>
      <c r="F539" t="s">
        <v>11708</v>
      </c>
    </row>
    <row r="540" spans="2:16">
      <c r="C540">
        <v>6</v>
      </c>
      <c r="D540">
        <v>1</v>
      </c>
      <c r="E540">
        <v>10</v>
      </c>
      <c r="F540" t="s">
        <v>11708</v>
      </c>
      <c r="G540" t="s">
        <v>14302</v>
      </c>
      <c r="H540" t="s">
        <v>11644</v>
      </c>
      <c r="I540">
        <v>9537</v>
      </c>
      <c r="K540" t="s">
        <v>966</v>
      </c>
      <c r="L540" t="s">
        <v>256</v>
      </c>
      <c r="M540">
        <v>781.22</v>
      </c>
      <c r="N540">
        <v>2.02</v>
      </c>
      <c r="O540">
        <v>2.4700000000000002</v>
      </c>
      <c r="P540">
        <v>1929.61</v>
      </c>
    </row>
    <row r="541" spans="2:16">
      <c r="C541">
        <v>6</v>
      </c>
      <c r="D541">
        <v>1</v>
      </c>
      <c r="E541">
        <v>10</v>
      </c>
      <c r="F541" t="s">
        <v>11708</v>
      </c>
      <c r="G541" t="s">
        <v>14225</v>
      </c>
      <c r="H541" t="s">
        <v>11720</v>
      </c>
      <c r="I541" t="s">
        <v>11819</v>
      </c>
      <c r="K541" t="s">
        <v>20500</v>
      </c>
      <c r="L541" t="s">
        <v>1274</v>
      </c>
      <c r="M541">
        <v>1</v>
      </c>
      <c r="N541">
        <v>35490</v>
      </c>
      <c r="O541">
        <v>43365.23</v>
      </c>
      <c r="P541">
        <v>43365.23</v>
      </c>
    </row>
    <row r="542" spans="2:16">
      <c r="C542">
        <v>6</v>
      </c>
      <c r="D542">
        <v>1</v>
      </c>
      <c r="E542">
        <v>10</v>
      </c>
      <c r="F542" t="s">
        <v>11708</v>
      </c>
      <c r="G542" t="s">
        <v>14226</v>
      </c>
      <c r="H542" t="s">
        <v>11720</v>
      </c>
      <c r="I542" t="s">
        <v>11820</v>
      </c>
      <c r="K542" t="s">
        <v>20501</v>
      </c>
      <c r="L542" t="s">
        <v>1274</v>
      </c>
      <c r="M542">
        <v>1</v>
      </c>
      <c r="N542">
        <v>74187.23</v>
      </c>
      <c r="O542">
        <v>90649.38</v>
      </c>
      <c r="P542">
        <v>90649.38</v>
      </c>
    </row>
    <row r="543" spans="2:16">
      <c r="C543">
        <v>6</v>
      </c>
      <c r="D543">
        <v>1</v>
      </c>
      <c r="E543">
        <v>10</v>
      </c>
      <c r="F543" t="s">
        <v>11708</v>
      </c>
      <c r="G543" t="s">
        <v>14227</v>
      </c>
      <c r="H543" t="s">
        <v>11720</v>
      </c>
      <c r="I543" t="s">
        <v>11821</v>
      </c>
      <c r="K543" t="s">
        <v>20502</v>
      </c>
      <c r="L543" t="s">
        <v>1274</v>
      </c>
      <c r="M543">
        <v>1</v>
      </c>
      <c r="N543">
        <v>11955</v>
      </c>
      <c r="O543">
        <v>14607.81</v>
      </c>
      <c r="P543">
        <v>14607.81</v>
      </c>
    </row>
    <row r="544" spans="2:16">
      <c r="C544">
        <v>6</v>
      </c>
      <c r="D544">
        <v>1</v>
      </c>
      <c r="E544">
        <v>10</v>
      </c>
      <c r="F544" t="s">
        <v>11708</v>
      </c>
    </row>
    <row r="545" spans="1:16">
      <c r="C545">
        <v>6</v>
      </c>
      <c r="D545">
        <v>1</v>
      </c>
      <c r="E545">
        <v>10</v>
      </c>
      <c r="F545" t="s">
        <v>11708</v>
      </c>
      <c r="H545" t="s">
        <v>20724</v>
      </c>
      <c r="P545">
        <v>150552.03</v>
      </c>
    </row>
    <row r="546" spans="1:16">
      <c r="C546">
        <v>6</v>
      </c>
      <c r="D546">
        <v>1</v>
      </c>
      <c r="E546">
        <v>10</v>
      </c>
      <c r="F546" t="s">
        <v>11708</v>
      </c>
    </row>
    <row r="547" spans="1:16">
      <c r="A547">
        <v>1</v>
      </c>
      <c r="C547">
        <v>6</v>
      </c>
      <c r="D547">
        <v>2</v>
      </c>
      <c r="E547">
        <v>0</v>
      </c>
      <c r="F547" t="s">
        <v>11708</v>
      </c>
      <c r="H547" t="s">
        <v>14637</v>
      </c>
      <c r="I547" t="s">
        <v>14279</v>
      </c>
      <c r="O547" t="s">
        <v>11702</v>
      </c>
      <c r="P547">
        <v>2768992.88</v>
      </c>
    </row>
    <row r="548" spans="1:16">
      <c r="C548">
        <v>6</v>
      </c>
      <c r="D548">
        <v>2</v>
      </c>
      <c r="E548">
        <v>0</v>
      </c>
      <c r="F548" t="s">
        <v>11708</v>
      </c>
    </row>
    <row r="549" spans="1:16">
      <c r="B549">
        <v>1</v>
      </c>
      <c r="C549">
        <v>6</v>
      </c>
      <c r="D549">
        <v>2</v>
      </c>
      <c r="E549">
        <v>1</v>
      </c>
      <c r="F549" t="s">
        <v>11708</v>
      </c>
      <c r="H549" t="s">
        <v>11703</v>
      </c>
      <c r="I549" t="s">
        <v>64</v>
      </c>
      <c r="J549" s="25" t="s">
        <v>20725</v>
      </c>
      <c r="K549" t="s">
        <v>11709</v>
      </c>
      <c r="L549" t="s">
        <v>25</v>
      </c>
      <c r="M549" t="s">
        <v>11704</v>
      </c>
      <c r="N549" t="s">
        <v>11705</v>
      </c>
      <c r="O549" t="s">
        <v>11706</v>
      </c>
      <c r="P549" t="s">
        <v>27</v>
      </c>
    </row>
    <row r="550" spans="1:16">
      <c r="C550">
        <v>6</v>
      </c>
      <c r="D550">
        <v>2</v>
      </c>
      <c r="E550">
        <v>1</v>
      </c>
      <c r="F550" t="s">
        <v>11708</v>
      </c>
    </row>
    <row r="551" spans="1:16">
      <c r="C551">
        <v>6</v>
      </c>
      <c r="D551">
        <v>2</v>
      </c>
      <c r="E551">
        <v>1</v>
      </c>
      <c r="F551" t="s">
        <v>11708</v>
      </c>
      <c r="G551" t="s">
        <v>12540</v>
      </c>
      <c r="H551" t="s">
        <v>70</v>
      </c>
      <c r="I551" t="s">
        <v>19163</v>
      </c>
      <c r="K551" t="s">
        <v>19164</v>
      </c>
      <c r="L551" t="s">
        <v>256</v>
      </c>
      <c r="M551">
        <v>825</v>
      </c>
      <c r="N551">
        <v>0.59</v>
      </c>
      <c r="O551">
        <v>0.72</v>
      </c>
      <c r="P551">
        <v>594</v>
      </c>
    </row>
    <row r="552" spans="1:16">
      <c r="C552">
        <v>6</v>
      </c>
      <c r="D552">
        <v>2</v>
      </c>
      <c r="E552">
        <v>1</v>
      </c>
      <c r="F552" t="s">
        <v>11708</v>
      </c>
    </row>
    <row r="553" spans="1:16">
      <c r="C553">
        <v>6</v>
      </c>
      <c r="D553">
        <v>2</v>
      </c>
      <c r="E553">
        <v>1</v>
      </c>
      <c r="F553" t="s">
        <v>11708</v>
      </c>
      <c r="H553" t="s">
        <v>20726</v>
      </c>
      <c r="P553">
        <v>594</v>
      </c>
    </row>
    <row r="554" spans="1:16">
      <c r="C554">
        <v>6</v>
      </c>
      <c r="D554">
        <v>2</v>
      </c>
      <c r="E554">
        <v>1</v>
      </c>
      <c r="F554" t="s">
        <v>11708</v>
      </c>
    </row>
    <row r="555" spans="1:16">
      <c r="C555">
        <v>6</v>
      </c>
      <c r="D555">
        <v>2</v>
      </c>
      <c r="E555">
        <v>1</v>
      </c>
      <c r="F555" t="s">
        <v>11708</v>
      </c>
    </row>
    <row r="556" spans="1:16">
      <c r="B556">
        <v>1</v>
      </c>
      <c r="C556">
        <v>6</v>
      </c>
      <c r="D556">
        <v>2</v>
      </c>
      <c r="E556">
        <v>2</v>
      </c>
      <c r="F556" t="s">
        <v>11708</v>
      </c>
      <c r="H556" t="s">
        <v>11703</v>
      </c>
      <c r="I556" t="s">
        <v>64</v>
      </c>
      <c r="J556" s="25" t="s">
        <v>20727</v>
      </c>
      <c r="K556" t="s">
        <v>11714</v>
      </c>
      <c r="L556" t="s">
        <v>25</v>
      </c>
      <c r="M556" t="s">
        <v>11704</v>
      </c>
      <c r="N556" t="s">
        <v>11705</v>
      </c>
      <c r="O556" t="s">
        <v>11706</v>
      </c>
      <c r="P556" t="s">
        <v>27</v>
      </c>
    </row>
    <row r="557" spans="1:16">
      <c r="C557">
        <v>6</v>
      </c>
      <c r="D557">
        <v>2</v>
      </c>
      <c r="E557">
        <v>2</v>
      </c>
      <c r="F557" t="s">
        <v>11708</v>
      </c>
    </row>
    <row r="558" spans="1:16">
      <c r="C558">
        <v>6</v>
      </c>
      <c r="D558">
        <v>2</v>
      </c>
      <c r="E558">
        <v>2</v>
      </c>
      <c r="F558" t="s">
        <v>11708</v>
      </c>
      <c r="G558" t="s">
        <v>20362</v>
      </c>
      <c r="H558" t="s">
        <v>70</v>
      </c>
      <c r="I558">
        <v>92415</v>
      </c>
      <c r="K558" t="s">
        <v>16234</v>
      </c>
      <c r="L558" t="s">
        <v>256</v>
      </c>
      <c r="M558">
        <v>1485.8</v>
      </c>
      <c r="N558">
        <v>73.489999999999995</v>
      </c>
      <c r="O558">
        <v>89.8</v>
      </c>
      <c r="P558">
        <v>133424.84</v>
      </c>
    </row>
    <row r="559" spans="1:16">
      <c r="C559">
        <v>6</v>
      </c>
      <c r="D559">
        <v>2</v>
      </c>
      <c r="E559">
        <v>2</v>
      </c>
      <c r="F559" t="s">
        <v>11708</v>
      </c>
      <c r="G559" t="s">
        <v>20363</v>
      </c>
      <c r="H559" t="s">
        <v>70</v>
      </c>
      <c r="I559">
        <v>92452</v>
      </c>
      <c r="K559" t="s">
        <v>16271</v>
      </c>
      <c r="L559" t="s">
        <v>256</v>
      </c>
      <c r="M559">
        <v>1879.52</v>
      </c>
      <c r="N559">
        <v>88.86</v>
      </c>
      <c r="O559">
        <v>108.58</v>
      </c>
      <c r="P559">
        <v>204078.28</v>
      </c>
    </row>
    <row r="560" spans="1:16">
      <c r="C560">
        <v>6</v>
      </c>
      <c r="D560">
        <v>2</v>
      </c>
      <c r="E560">
        <v>2</v>
      </c>
      <c r="F560" t="s">
        <v>11708</v>
      </c>
      <c r="G560" t="s">
        <v>20371</v>
      </c>
      <c r="H560" t="s">
        <v>70</v>
      </c>
      <c r="I560">
        <v>92510</v>
      </c>
      <c r="K560" t="s">
        <v>16326</v>
      </c>
      <c r="L560" t="s">
        <v>256</v>
      </c>
      <c r="M560">
        <v>1229.3</v>
      </c>
      <c r="N560">
        <v>27.47</v>
      </c>
      <c r="O560">
        <v>33.57</v>
      </c>
      <c r="P560">
        <v>41267.599999999999</v>
      </c>
    </row>
    <row r="561" spans="2:16">
      <c r="C561">
        <v>6</v>
      </c>
      <c r="D561">
        <v>2</v>
      </c>
      <c r="E561">
        <v>2</v>
      </c>
      <c r="F561" t="s">
        <v>11708</v>
      </c>
      <c r="G561" t="s">
        <v>14306</v>
      </c>
      <c r="H561" t="s">
        <v>13957</v>
      </c>
      <c r="I561" t="s">
        <v>14502</v>
      </c>
      <c r="K561" t="s">
        <v>14501</v>
      </c>
      <c r="L561" t="s">
        <v>104</v>
      </c>
      <c r="M561">
        <v>5481.33</v>
      </c>
      <c r="N561">
        <v>66.510000000000005</v>
      </c>
      <c r="O561">
        <v>81.27</v>
      </c>
      <c r="P561">
        <v>445467.69</v>
      </c>
    </row>
    <row r="562" spans="2:16">
      <c r="C562">
        <v>6</v>
      </c>
      <c r="D562">
        <v>2</v>
      </c>
      <c r="E562">
        <v>2</v>
      </c>
      <c r="F562" t="s">
        <v>11708</v>
      </c>
      <c r="G562" t="s">
        <v>14307</v>
      </c>
      <c r="H562" t="s">
        <v>10852</v>
      </c>
      <c r="I562">
        <v>286</v>
      </c>
      <c r="K562" t="s">
        <v>19868</v>
      </c>
      <c r="L562" t="s">
        <v>71</v>
      </c>
      <c r="M562">
        <v>24</v>
      </c>
      <c r="N562">
        <v>74.44</v>
      </c>
      <c r="O562">
        <v>90.96</v>
      </c>
      <c r="P562">
        <v>2183.04</v>
      </c>
    </row>
    <row r="563" spans="2:16">
      <c r="C563">
        <v>6</v>
      </c>
      <c r="D563">
        <v>2</v>
      </c>
      <c r="E563">
        <v>2</v>
      </c>
      <c r="F563" t="s">
        <v>11708</v>
      </c>
      <c r="G563" t="s">
        <v>12675</v>
      </c>
      <c r="H563" t="s">
        <v>10852</v>
      </c>
      <c r="I563">
        <v>316</v>
      </c>
      <c r="K563" t="s">
        <v>20713</v>
      </c>
      <c r="L563" t="s">
        <v>255</v>
      </c>
      <c r="M563">
        <v>476.58</v>
      </c>
      <c r="N563">
        <v>476.83</v>
      </c>
      <c r="O563">
        <v>582.64</v>
      </c>
      <c r="P563">
        <v>277674.57</v>
      </c>
    </row>
    <row r="564" spans="2:16">
      <c r="C564">
        <v>6</v>
      </c>
      <c r="D564">
        <v>2</v>
      </c>
      <c r="E564">
        <v>2</v>
      </c>
      <c r="F564" t="s">
        <v>11708</v>
      </c>
      <c r="G564" t="s">
        <v>20372</v>
      </c>
      <c r="H564" t="s">
        <v>70</v>
      </c>
      <c r="I564">
        <v>92915</v>
      </c>
      <c r="K564" t="s">
        <v>16452</v>
      </c>
      <c r="L564" t="s">
        <v>90</v>
      </c>
      <c r="M564">
        <v>1262</v>
      </c>
      <c r="N564">
        <v>12.53</v>
      </c>
      <c r="O564">
        <v>15.31</v>
      </c>
      <c r="P564">
        <v>19321.22</v>
      </c>
    </row>
    <row r="565" spans="2:16">
      <c r="C565">
        <v>6</v>
      </c>
      <c r="D565">
        <v>2</v>
      </c>
      <c r="E565">
        <v>2</v>
      </c>
      <c r="F565" t="s">
        <v>11708</v>
      </c>
      <c r="G565" t="s">
        <v>20373</v>
      </c>
      <c r="H565" t="s">
        <v>70</v>
      </c>
      <c r="I565">
        <v>92916</v>
      </c>
      <c r="K565" t="s">
        <v>16453</v>
      </c>
      <c r="L565" t="s">
        <v>90</v>
      </c>
      <c r="M565">
        <v>9101.0400000000009</v>
      </c>
      <c r="N565">
        <v>11.46</v>
      </c>
      <c r="O565">
        <v>14</v>
      </c>
      <c r="P565">
        <v>127414.56</v>
      </c>
    </row>
    <row r="566" spans="2:16">
      <c r="C566">
        <v>6</v>
      </c>
      <c r="D566">
        <v>2</v>
      </c>
      <c r="E566">
        <v>2</v>
      </c>
      <c r="F566" t="s">
        <v>11708</v>
      </c>
      <c r="G566" t="s">
        <v>20374</v>
      </c>
      <c r="H566" t="s">
        <v>70</v>
      </c>
      <c r="I566">
        <v>92917</v>
      </c>
      <c r="K566" t="s">
        <v>16454</v>
      </c>
      <c r="L566" t="s">
        <v>90</v>
      </c>
      <c r="M566">
        <v>4484.1000000000004</v>
      </c>
      <c r="N566">
        <v>11</v>
      </c>
      <c r="O566">
        <v>13.44</v>
      </c>
      <c r="P566">
        <v>60266.3</v>
      </c>
    </row>
    <row r="567" spans="2:16">
      <c r="C567">
        <v>6</v>
      </c>
      <c r="D567">
        <v>2</v>
      </c>
      <c r="E567">
        <v>2</v>
      </c>
      <c r="F567" t="s">
        <v>11708</v>
      </c>
      <c r="G567" t="s">
        <v>20375</v>
      </c>
      <c r="H567" t="s">
        <v>70</v>
      </c>
      <c r="I567">
        <v>92919</v>
      </c>
      <c r="K567" t="s">
        <v>16455</v>
      </c>
      <c r="L567" t="s">
        <v>90</v>
      </c>
      <c r="M567">
        <v>1906.5</v>
      </c>
      <c r="N567">
        <v>8.93</v>
      </c>
      <c r="O567">
        <v>10.91</v>
      </c>
      <c r="P567">
        <v>20799.919999999998</v>
      </c>
    </row>
    <row r="568" spans="2:16">
      <c r="C568">
        <v>6</v>
      </c>
      <c r="D568">
        <v>2</v>
      </c>
      <c r="E568">
        <v>2</v>
      </c>
      <c r="F568" t="s">
        <v>11708</v>
      </c>
      <c r="G568" t="s">
        <v>20376</v>
      </c>
      <c r="H568" t="s">
        <v>70</v>
      </c>
      <c r="I568">
        <v>92921</v>
      </c>
      <c r="K568" t="s">
        <v>16456</v>
      </c>
      <c r="L568" t="s">
        <v>90</v>
      </c>
      <c r="M568">
        <v>8724.86</v>
      </c>
      <c r="N568">
        <v>7.43</v>
      </c>
      <c r="O568">
        <v>9.08</v>
      </c>
      <c r="P568">
        <v>79221.73</v>
      </c>
    </row>
    <row r="569" spans="2:16">
      <c r="C569">
        <v>6</v>
      </c>
      <c r="D569">
        <v>2</v>
      </c>
      <c r="E569">
        <v>2</v>
      </c>
      <c r="F569" t="s">
        <v>11708</v>
      </c>
      <c r="G569" t="s">
        <v>20377</v>
      </c>
      <c r="H569" t="s">
        <v>70</v>
      </c>
      <c r="I569">
        <v>92922</v>
      </c>
      <c r="K569" t="s">
        <v>16457</v>
      </c>
      <c r="L569" t="s">
        <v>90</v>
      </c>
      <c r="M569">
        <v>5212</v>
      </c>
      <c r="N569">
        <v>5.88</v>
      </c>
      <c r="O569">
        <v>7.18</v>
      </c>
      <c r="P569">
        <v>37422.160000000003</v>
      </c>
    </row>
    <row r="570" spans="2:16">
      <c r="C570">
        <v>6</v>
      </c>
      <c r="D570">
        <v>2</v>
      </c>
      <c r="E570">
        <v>2</v>
      </c>
      <c r="F570" t="s">
        <v>11708</v>
      </c>
      <c r="G570" t="s">
        <v>20378</v>
      </c>
      <c r="H570" t="s">
        <v>70</v>
      </c>
      <c r="I570">
        <v>92923</v>
      </c>
      <c r="K570" t="s">
        <v>16458</v>
      </c>
      <c r="L570" t="s">
        <v>90</v>
      </c>
      <c r="M570">
        <v>374.32</v>
      </c>
      <c r="N570">
        <v>5.28</v>
      </c>
      <c r="O570">
        <v>6.45</v>
      </c>
      <c r="P570">
        <v>2414.36</v>
      </c>
    </row>
    <row r="571" spans="2:16">
      <c r="C571">
        <v>6</v>
      </c>
      <c r="D571">
        <v>2</v>
      </c>
      <c r="E571">
        <v>2</v>
      </c>
      <c r="F571" t="s">
        <v>11708</v>
      </c>
      <c r="G571" t="s">
        <v>12566</v>
      </c>
      <c r="H571" t="s">
        <v>70</v>
      </c>
      <c r="I571" t="s">
        <v>19257</v>
      </c>
      <c r="K571" t="s">
        <v>5042</v>
      </c>
      <c r="L571" t="s">
        <v>65</v>
      </c>
      <c r="M571">
        <v>10</v>
      </c>
      <c r="N571">
        <v>83.42</v>
      </c>
      <c r="O571">
        <v>101.93</v>
      </c>
      <c r="P571">
        <v>1019.3</v>
      </c>
    </row>
    <row r="572" spans="2:16">
      <c r="C572">
        <v>6</v>
      </c>
      <c r="D572">
        <v>2</v>
      </c>
      <c r="E572">
        <v>2</v>
      </c>
      <c r="F572" t="s">
        <v>11708</v>
      </c>
    </row>
    <row r="573" spans="2:16">
      <c r="C573">
        <v>6</v>
      </c>
      <c r="D573">
        <v>2</v>
      </c>
      <c r="E573">
        <v>2</v>
      </c>
      <c r="F573" t="s">
        <v>11708</v>
      </c>
      <c r="H573" t="s">
        <v>20728</v>
      </c>
      <c r="P573">
        <v>1451975.57</v>
      </c>
    </row>
    <row r="574" spans="2:16">
      <c r="C574">
        <v>6</v>
      </c>
      <c r="D574">
        <v>2</v>
      </c>
      <c r="E574">
        <v>2</v>
      </c>
      <c r="F574" t="s">
        <v>11708</v>
      </c>
    </row>
    <row r="575" spans="2:16">
      <c r="B575">
        <v>1</v>
      </c>
      <c r="C575">
        <v>6</v>
      </c>
      <c r="D575">
        <v>2</v>
      </c>
      <c r="E575">
        <v>3</v>
      </c>
      <c r="F575" t="s">
        <v>11708</v>
      </c>
      <c r="H575" t="s">
        <v>11703</v>
      </c>
      <c r="I575" t="s">
        <v>64</v>
      </c>
      <c r="J575" s="25" t="s">
        <v>20729</v>
      </c>
      <c r="K575" t="s">
        <v>55</v>
      </c>
      <c r="L575" t="s">
        <v>25</v>
      </c>
      <c r="M575" t="s">
        <v>11704</v>
      </c>
      <c r="N575" t="s">
        <v>11705</v>
      </c>
      <c r="O575" t="s">
        <v>11706</v>
      </c>
      <c r="P575" t="s">
        <v>27</v>
      </c>
    </row>
    <row r="576" spans="2:16">
      <c r="C576">
        <v>6</v>
      </c>
      <c r="D576">
        <v>2</v>
      </c>
      <c r="E576">
        <v>3</v>
      </c>
      <c r="F576" t="s">
        <v>11708</v>
      </c>
    </row>
    <row r="577" spans="2:16">
      <c r="C577">
        <v>6</v>
      </c>
      <c r="D577">
        <v>2</v>
      </c>
      <c r="E577">
        <v>3</v>
      </c>
      <c r="F577" t="s">
        <v>11708</v>
      </c>
      <c r="G577" t="s">
        <v>12676</v>
      </c>
      <c r="H577" t="s">
        <v>11644</v>
      </c>
      <c r="I577" t="s">
        <v>16608</v>
      </c>
      <c r="K577" t="s">
        <v>16609</v>
      </c>
      <c r="L577" t="s">
        <v>256</v>
      </c>
      <c r="M577">
        <v>8362.6200000000008</v>
      </c>
      <c r="N577">
        <v>52.66</v>
      </c>
      <c r="O577">
        <v>64.349999999999994</v>
      </c>
      <c r="P577">
        <v>538134.6</v>
      </c>
    </row>
    <row r="578" spans="2:16">
      <c r="C578">
        <v>6</v>
      </c>
      <c r="D578">
        <v>2</v>
      </c>
      <c r="E578">
        <v>3</v>
      </c>
      <c r="F578" t="s">
        <v>11708</v>
      </c>
      <c r="G578" t="s">
        <v>14322</v>
      </c>
      <c r="H578" t="s">
        <v>11644</v>
      </c>
      <c r="I578">
        <v>88489</v>
      </c>
      <c r="K578" t="s">
        <v>870</v>
      </c>
      <c r="L578" t="s">
        <v>256</v>
      </c>
      <c r="M578">
        <v>2130.3200000000002</v>
      </c>
      <c r="N578">
        <v>9.94</v>
      </c>
      <c r="O578">
        <v>12.15</v>
      </c>
      <c r="P578">
        <v>25883.39</v>
      </c>
    </row>
    <row r="579" spans="2:16">
      <c r="C579">
        <v>6</v>
      </c>
      <c r="D579">
        <v>2</v>
      </c>
      <c r="E579">
        <v>3</v>
      </c>
      <c r="F579" t="s">
        <v>11708</v>
      </c>
    </row>
    <row r="580" spans="2:16">
      <c r="C580">
        <v>6</v>
      </c>
      <c r="D580">
        <v>2</v>
      </c>
      <c r="E580">
        <v>3</v>
      </c>
      <c r="F580" t="s">
        <v>11708</v>
      </c>
      <c r="H580" t="s">
        <v>20730</v>
      </c>
      <c r="P580">
        <v>564017.99</v>
      </c>
    </row>
    <row r="581" spans="2:16">
      <c r="C581">
        <v>6</v>
      </c>
      <c r="D581">
        <v>2</v>
      </c>
      <c r="E581">
        <v>3</v>
      </c>
      <c r="F581" t="s">
        <v>11708</v>
      </c>
    </row>
    <row r="582" spans="2:16">
      <c r="B582">
        <v>1</v>
      </c>
      <c r="C582">
        <v>6</v>
      </c>
      <c r="D582">
        <v>2</v>
      </c>
      <c r="E582">
        <v>4</v>
      </c>
      <c r="F582" t="s">
        <v>11708</v>
      </c>
      <c r="H582" t="s">
        <v>11703</v>
      </c>
      <c r="I582" t="s">
        <v>64</v>
      </c>
      <c r="J582" s="25" t="s">
        <v>20731</v>
      </c>
      <c r="K582" t="s">
        <v>20203</v>
      </c>
      <c r="L582" t="s">
        <v>25</v>
      </c>
      <c r="M582" t="s">
        <v>11704</v>
      </c>
      <c r="N582" t="s">
        <v>11705</v>
      </c>
      <c r="O582" t="s">
        <v>11706</v>
      </c>
      <c r="P582" t="s">
        <v>27</v>
      </c>
    </row>
    <row r="583" spans="2:16">
      <c r="C583">
        <v>6</v>
      </c>
      <c r="D583">
        <v>2</v>
      </c>
      <c r="E583">
        <v>4</v>
      </c>
      <c r="F583" t="s">
        <v>11708</v>
      </c>
    </row>
    <row r="584" spans="2:16">
      <c r="C584">
        <v>6</v>
      </c>
      <c r="D584">
        <v>2</v>
      </c>
      <c r="E584">
        <v>4</v>
      </c>
      <c r="F584" t="s">
        <v>11708</v>
      </c>
      <c r="G584" t="s">
        <v>14320</v>
      </c>
      <c r="H584" t="s">
        <v>70</v>
      </c>
      <c r="I584" t="s">
        <v>18613</v>
      </c>
      <c r="K584" t="s">
        <v>18614</v>
      </c>
      <c r="L584" t="s">
        <v>256</v>
      </c>
      <c r="M584">
        <v>707.04</v>
      </c>
      <c r="N584">
        <v>39.54</v>
      </c>
      <c r="O584">
        <v>48.31</v>
      </c>
      <c r="P584">
        <v>34157.1</v>
      </c>
    </row>
    <row r="585" spans="2:16">
      <c r="C585">
        <v>6</v>
      </c>
      <c r="D585">
        <v>2</v>
      </c>
      <c r="E585">
        <v>4</v>
      </c>
      <c r="F585" t="s">
        <v>11708</v>
      </c>
      <c r="G585" t="s">
        <v>14318</v>
      </c>
      <c r="H585" t="s">
        <v>70</v>
      </c>
      <c r="I585">
        <v>94990</v>
      </c>
      <c r="K585" t="s">
        <v>18684</v>
      </c>
      <c r="L585" t="s">
        <v>255</v>
      </c>
      <c r="M585">
        <v>28.74</v>
      </c>
      <c r="N585">
        <v>497.55</v>
      </c>
      <c r="O585">
        <v>607.96</v>
      </c>
      <c r="P585">
        <v>17472.77</v>
      </c>
    </row>
    <row r="586" spans="2:16">
      <c r="C586">
        <v>6</v>
      </c>
      <c r="D586">
        <v>2</v>
      </c>
      <c r="E586">
        <v>4</v>
      </c>
      <c r="F586" t="s">
        <v>11708</v>
      </c>
    </row>
    <row r="587" spans="2:16">
      <c r="C587">
        <v>6</v>
      </c>
      <c r="D587">
        <v>2</v>
      </c>
      <c r="E587">
        <v>4</v>
      </c>
      <c r="F587" t="s">
        <v>11708</v>
      </c>
      <c r="H587" t="s">
        <v>20732</v>
      </c>
      <c r="P587">
        <v>51629.869999999995</v>
      </c>
    </row>
    <row r="588" spans="2:16">
      <c r="C588">
        <v>6</v>
      </c>
      <c r="D588">
        <v>2</v>
      </c>
      <c r="E588">
        <v>4</v>
      </c>
      <c r="F588" t="s">
        <v>11708</v>
      </c>
    </row>
    <row r="589" spans="2:16">
      <c r="B589">
        <v>1</v>
      </c>
      <c r="C589">
        <v>6</v>
      </c>
      <c r="D589">
        <v>2</v>
      </c>
      <c r="E589">
        <v>5</v>
      </c>
      <c r="F589" t="s">
        <v>11708</v>
      </c>
      <c r="H589" t="s">
        <v>11703</v>
      </c>
      <c r="I589" t="s">
        <v>64</v>
      </c>
      <c r="J589" s="25" t="s">
        <v>20733</v>
      </c>
      <c r="K589" t="s">
        <v>11717</v>
      </c>
      <c r="L589" t="s">
        <v>25</v>
      </c>
      <c r="M589" t="s">
        <v>11704</v>
      </c>
      <c r="N589" t="s">
        <v>11705</v>
      </c>
      <c r="O589" t="s">
        <v>11706</v>
      </c>
      <c r="P589" t="s">
        <v>27</v>
      </c>
    </row>
    <row r="590" spans="2:16">
      <c r="C590">
        <v>6</v>
      </c>
      <c r="D590">
        <v>2</v>
      </c>
      <c r="E590">
        <v>5</v>
      </c>
      <c r="F590" t="s">
        <v>11708</v>
      </c>
    </row>
    <row r="591" spans="2:16">
      <c r="C591">
        <v>6</v>
      </c>
      <c r="D591">
        <v>2</v>
      </c>
      <c r="E591">
        <v>5</v>
      </c>
      <c r="F591" t="s">
        <v>11708</v>
      </c>
      <c r="G591" t="s">
        <v>14326</v>
      </c>
      <c r="H591" t="s">
        <v>10852</v>
      </c>
      <c r="I591">
        <v>862</v>
      </c>
      <c r="K591" t="s">
        <v>19954</v>
      </c>
      <c r="L591" t="s">
        <v>71</v>
      </c>
      <c r="M591">
        <v>193</v>
      </c>
      <c r="N591">
        <v>195.61</v>
      </c>
      <c r="O591">
        <v>239.02</v>
      </c>
      <c r="P591">
        <v>46130.86</v>
      </c>
    </row>
    <row r="592" spans="2:16">
      <c r="C592">
        <v>6</v>
      </c>
      <c r="D592">
        <v>2</v>
      </c>
      <c r="E592">
        <v>5</v>
      </c>
      <c r="F592" t="s">
        <v>11708</v>
      </c>
      <c r="G592" t="s">
        <v>14325</v>
      </c>
      <c r="H592" t="s">
        <v>11722</v>
      </c>
      <c r="I592" t="s">
        <v>14428</v>
      </c>
      <c r="K592" t="s">
        <v>20520</v>
      </c>
      <c r="L592" t="s">
        <v>14339</v>
      </c>
      <c r="M592">
        <v>6</v>
      </c>
      <c r="N592">
        <v>13337.77</v>
      </c>
      <c r="O592">
        <v>16297.42</v>
      </c>
      <c r="P592">
        <v>97784.52</v>
      </c>
    </row>
    <row r="593" spans="2:16">
      <c r="C593">
        <v>6</v>
      </c>
      <c r="D593">
        <v>2</v>
      </c>
      <c r="E593">
        <v>5</v>
      </c>
      <c r="F593" t="s">
        <v>11708</v>
      </c>
      <c r="G593" t="s">
        <v>14659</v>
      </c>
      <c r="H593" t="s">
        <v>11722</v>
      </c>
      <c r="I593" t="s">
        <v>14658</v>
      </c>
      <c r="K593" t="s">
        <v>20521</v>
      </c>
      <c r="L593" t="s">
        <v>14339</v>
      </c>
      <c r="M593">
        <v>2</v>
      </c>
      <c r="N593">
        <v>9509.98</v>
      </c>
      <c r="O593">
        <v>11620.24</v>
      </c>
      <c r="P593">
        <v>23240.48</v>
      </c>
    </row>
    <row r="594" spans="2:16">
      <c r="C594">
        <v>6</v>
      </c>
      <c r="D594">
        <v>2</v>
      </c>
      <c r="E594">
        <v>5</v>
      </c>
      <c r="F594" t="s">
        <v>11708</v>
      </c>
      <c r="G594" t="s">
        <v>14327</v>
      </c>
      <c r="H594" t="s">
        <v>11722</v>
      </c>
      <c r="I594" t="s">
        <v>14429</v>
      </c>
      <c r="K594" t="s">
        <v>14328</v>
      </c>
      <c r="L594" t="s">
        <v>69</v>
      </c>
      <c r="M594">
        <v>75</v>
      </c>
      <c r="N594">
        <v>3423.94</v>
      </c>
      <c r="O594">
        <v>4183.71</v>
      </c>
      <c r="P594">
        <v>313778.25</v>
      </c>
    </row>
    <row r="595" spans="2:16">
      <c r="C595">
        <v>6</v>
      </c>
      <c r="D595">
        <v>2</v>
      </c>
      <c r="E595">
        <v>5</v>
      </c>
      <c r="F595" t="s">
        <v>11708</v>
      </c>
    </row>
    <row r="596" spans="2:16">
      <c r="C596">
        <v>6</v>
      </c>
      <c r="D596">
        <v>2</v>
      </c>
      <c r="E596">
        <v>5</v>
      </c>
      <c r="F596" t="s">
        <v>11708</v>
      </c>
      <c r="H596" t="s">
        <v>20734</v>
      </c>
      <c r="P596">
        <v>480934.11</v>
      </c>
    </row>
    <row r="597" spans="2:16">
      <c r="C597">
        <v>6</v>
      </c>
      <c r="D597">
        <v>2</v>
      </c>
      <c r="E597">
        <v>5</v>
      </c>
      <c r="F597" t="s">
        <v>11708</v>
      </c>
    </row>
    <row r="598" spans="2:16">
      <c r="C598">
        <v>6</v>
      </c>
      <c r="D598">
        <v>2</v>
      </c>
      <c r="E598">
        <v>5</v>
      </c>
      <c r="F598" t="s">
        <v>11708</v>
      </c>
    </row>
    <row r="599" spans="2:16">
      <c r="B599">
        <v>1</v>
      </c>
      <c r="C599">
        <v>6</v>
      </c>
      <c r="D599">
        <v>2</v>
      </c>
      <c r="E599">
        <v>6</v>
      </c>
      <c r="F599" t="s">
        <v>11708</v>
      </c>
      <c r="H599" t="s">
        <v>11703</v>
      </c>
      <c r="I599" t="s">
        <v>64</v>
      </c>
      <c r="J599" s="25" t="s">
        <v>20735</v>
      </c>
      <c r="K599" t="s">
        <v>11738</v>
      </c>
      <c r="L599" t="s">
        <v>25</v>
      </c>
      <c r="M599" t="s">
        <v>11704</v>
      </c>
      <c r="N599" t="s">
        <v>11705</v>
      </c>
      <c r="O599" t="s">
        <v>11706</v>
      </c>
      <c r="P599" t="s">
        <v>27</v>
      </c>
    </row>
    <row r="600" spans="2:16">
      <c r="C600">
        <v>6</v>
      </c>
      <c r="D600">
        <v>2</v>
      </c>
      <c r="E600">
        <v>6</v>
      </c>
      <c r="F600" t="s">
        <v>11708</v>
      </c>
    </row>
    <row r="601" spans="2:16">
      <c r="C601">
        <v>6</v>
      </c>
      <c r="D601">
        <v>2</v>
      </c>
      <c r="E601">
        <v>6</v>
      </c>
      <c r="F601" t="s">
        <v>11708</v>
      </c>
      <c r="G601" t="s">
        <v>14481</v>
      </c>
      <c r="H601" t="s">
        <v>10852</v>
      </c>
      <c r="I601">
        <v>1737</v>
      </c>
      <c r="K601" t="s">
        <v>19835</v>
      </c>
      <c r="L601" t="s">
        <v>65</v>
      </c>
      <c r="M601">
        <v>22</v>
      </c>
      <c r="N601">
        <v>1146.05</v>
      </c>
      <c r="O601">
        <v>1400.36</v>
      </c>
      <c r="P601">
        <v>30807.919999999998</v>
      </c>
    </row>
    <row r="602" spans="2:16">
      <c r="C602">
        <v>6</v>
      </c>
      <c r="D602">
        <v>2</v>
      </c>
      <c r="E602">
        <v>6</v>
      </c>
      <c r="F602" t="s">
        <v>11708</v>
      </c>
      <c r="G602" t="s">
        <v>14482</v>
      </c>
      <c r="H602" t="s">
        <v>10852</v>
      </c>
      <c r="I602">
        <v>1612</v>
      </c>
      <c r="K602" t="s">
        <v>19836</v>
      </c>
      <c r="L602" t="s">
        <v>65</v>
      </c>
      <c r="M602">
        <v>4</v>
      </c>
      <c r="N602">
        <v>1231.04</v>
      </c>
      <c r="O602">
        <v>1504.21</v>
      </c>
      <c r="P602">
        <v>6016.84</v>
      </c>
    </row>
    <row r="603" spans="2:16">
      <c r="C603">
        <v>6</v>
      </c>
      <c r="D603">
        <v>2</v>
      </c>
      <c r="E603">
        <v>6</v>
      </c>
      <c r="F603" t="s">
        <v>11708</v>
      </c>
      <c r="G603" t="s">
        <v>12672</v>
      </c>
      <c r="H603" t="s">
        <v>11644</v>
      </c>
      <c r="I603">
        <v>9537</v>
      </c>
      <c r="K603" t="s">
        <v>966</v>
      </c>
      <c r="L603" t="s">
        <v>256</v>
      </c>
      <c r="M603">
        <v>1289.04</v>
      </c>
      <c r="N603">
        <v>2.02</v>
      </c>
      <c r="O603">
        <v>2.4700000000000002</v>
      </c>
      <c r="P603">
        <v>3183.93</v>
      </c>
    </row>
    <row r="604" spans="2:16">
      <c r="C604">
        <v>6</v>
      </c>
      <c r="D604">
        <v>2</v>
      </c>
      <c r="E604">
        <v>6</v>
      </c>
      <c r="F604" t="s">
        <v>11708</v>
      </c>
      <c r="G604" t="s">
        <v>12568</v>
      </c>
      <c r="H604" t="s">
        <v>11720</v>
      </c>
      <c r="I604" t="s">
        <v>12671</v>
      </c>
      <c r="K604" t="s">
        <v>20514</v>
      </c>
      <c r="L604" t="s">
        <v>1274</v>
      </c>
      <c r="M604">
        <v>1</v>
      </c>
      <c r="N604">
        <v>138657</v>
      </c>
      <c r="O604">
        <v>169424.99</v>
      </c>
      <c r="P604">
        <v>169424.99</v>
      </c>
    </row>
    <row r="605" spans="2:16">
      <c r="C605">
        <v>6</v>
      </c>
      <c r="D605">
        <v>2</v>
      </c>
      <c r="E605">
        <v>6</v>
      </c>
      <c r="F605" t="s">
        <v>11708</v>
      </c>
      <c r="G605" t="s">
        <v>14283</v>
      </c>
      <c r="H605" t="s">
        <v>11720</v>
      </c>
      <c r="I605" t="s">
        <v>14282</v>
      </c>
      <c r="K605" t="s">
        <v>20515</v>
      </c>
      <c r="L605" t="s">
        <v>1274</v>
      </c>
      <c r="M605">
        <v>1</v>
      </c>
      <c r="N605">
        <v>8517.6</v>
      </c>
      <c r="O605">
        <v>10407.66</v>
      </c>
      <c r="P605">
        <v>10407.66</v>
      </c>
    </row>
    <row r="606" spans="2:16">
      <c r="C606">
        <v>6</v>
      </c>
      <c r="D606">
        <v>2</v>
      </c>
      <c r="E606">
        <v>6</v>
      </c>
      <c r="F606" t="s">
        <v>11708</v>
      </c>
    </row>
    <row r="607" spans="2:16">
      <c r="C607">
        <v>6</v>
      </c>
      <c r="D607">
        <v>2</v>
      </c>
      <c r="E607">
        <v>6</v>
      </c>
      <c r="F607" t="s">
        <v>11708</v>
      </c>
      <c r="H607" t="s">
        <v>20736</v>
      </c>
      <c r="P607">
        <v>219841.34</v>
      </c>
    </row>
    <row r="608" spans="2:16">
      <c r="C608">
        <v>6</v>
      </c>
      <c r="D608">
        <v>2</v>
      </c>
      <c r="E608">
        <v>6</v>
      </c>
      <c r="F608" t="s">
        <v>11708</v>
      </c>
    </row>
    <row r="609" spans="1:16">
      <c r="A609">
        <v>1</v>
      </c>
      <c r="C609">
        <v>6</v>
      </c>
      <c r="D609">
        <v>3</v>
      </c>
      <c r="E609">
        <v>0</v>
      </c>
      <c r="F609" t="s">
        <v>11708</v>
      </c>
      <c r="H609" t="s">
        <v>12633</v>
      </c>
      <c r="I609" t="s">
        <v>14485</v>
      </c>
      <c r="O609" t="s">
        <v>11702</v>
      </c>
      <c r="P609">
        <v>695925.03</v>
      </c>
    </row>
    <row r="610" spans="1:16">
      <c r="C610">
        <v>6</v>
      </c>
      <c r="D610">
        <v>3</v>
      </c>
      <c r="E610">
        <v>0</v>
      </c>
      <c r="F610" t="s">
        <v>11708</v>
      </c>
    </row>
    <row r="611" spans="1:16">
      <c r="B611">
        <v>1</v>
      </c>
      <c r="C611">
        <v>6</v>
      </c>
      <c r="D611">
        <v>3</v>
      </c>
      <c r="E611">
        <v>1</v>
      </c>
      <c r="F611" t="s">
        <v>11708</v>
      </c>
      <c r="H611" t="s">
        <v>11703</v>
      </c>
      <c r="I611" t="s">
        <v>64</v>
      </c>
      <c r="J611" s="25" t="s">
        <v>20737</v>
      </c>
      <c r="K611" t="s">
        <v>11709</v>
      </c>
      <c r="L611" t="s">
        <v>25</v>
      </c>
      <c r="M611" t="s">
        <v>11704</v>
      </c>
      <c r="N611" t="s">
        <v>11705</v>
      </c>
      <c r="O611" t="s">
        <v>11706</v>
      </c>
      <c r="P611" t="s">
        <v>27</v>
      </c>
    </row>
    <row r="612" spans="1:16">
      <c r="C612">
        <v>6</v>
      </c>
      <c r="D612">
        <v>3</v>
      </c>
      <c r="E612">
        <v>1</v>
      </c>
      <c r="F612" t="s">
        <v>11708</v>
      </c>
    </row>
    <row r="613" spans="1:16">
      <c r="C613">
        <v>6</v>
      </c>
      <c r="D613">
        <v>3</v>
      </c>
      <c r="E613">
        <v>1</v>
      </c>
      <c r="F613" t="s">
        <v>11708</v>
      </c>
      <c r="G613" t="s">
        <v>14330</v>
      </c>
      <c r="H613" t="s">
        <v>70</v>
      </c>
      <c r="I613" t="s">
        <v>19163</v>
      </c>
      <c r="K613" t="s">
        <v>19164</v>
      </c>
      <c r="L613" t="s">
        <v>256</v>
      </c>
      <c r="M613">
        <v>1350</v>
      </c>
      <c r="N613">
        <v>0.59</v>
      </c>
      <c r="O613">
        <v>0.72</v>
      </c>
      <c r="P613">
        <v>972</v>
      </c>
    </row>
    <row r="614" spans="1:16">
      <c r="C614">
        <v>6</v>
      </c>
      <c r="D614">
        <v>3</v>
      </c>
      <c r="E614">
        <v>1</v>
      </c>
      <c r="F614" t="s">
        <v>11708</v>
      </c>
      <c r="G614" t="s">
        <v>14331</v>
      </c>
      <c r="H614" t="s">
        <v>70</v>
      </c>
      <c r="I614" t="s">
        <v>19153</v>
      </c>
      <c r="K614" t="s">
        <v>978</v>
      </c>
      <c r="L614" t="s">
        <v>256</v>
      </c>
      <c r="M614">
        <v>1350</v>
      </c>
      <c r="N614">
        <v>3.3</v>
      </c>
      <c r="O614">
        <v>4.03</v>
      </c>
      <c r="P614">
        <v>5440.5</v>
      </c>
    </row>
    <row r="615" spans="1:16">
      <c r="C615">
        <v>6</v>
      </c>
      <c r="D615">
        <v>3</v>
      </c>
      <c r="E615">
        <v>1</v>
      </c>
      <c r="F615" t="s">
        <v>11708</v>
      </c>
      <c r="G615" t="s">
        <v>12491</v>
      </c>
      <c r="H615" t="s">
        <v>70</v>
      </c>
      <c r="I615" t="s">
        <v>19263</v>
      </c>
      <c r="K615" t="s">
        <v>19264</v>
      </c>
      <c r="L615" t="s">
        <v>256</v>
      </c>
      <c r="M615">
        <v>880</v>
      </c>
      <c r="N615">
        <v>9.93</v>
      </c>
      <c r="O615">
        <v>12.13</v>
      </c>
      <c r="P615">
        <v>10674.4</v>
      </c>
    </row>
    <row r="616" spans="1:16">
      <c r="C616">
        <v>6</v>
      </c>
      <c r="D616">
        <v>3</v>
      </c>
      <c r="E616">
        <v>1</v>
      </c>
      <c r="F616" t="s">
        <v>11708</v>
      </c>
    </row>
    <row r="617" spans="1:16">
      <c r="C617">
        <v>6</v>
      </c>
      <c r="D617">
        <v>3</v>
      </c>
      <c r="E617">
        <v>1</v>
      </c>
      <c r="F617" t="s">
        <v>11708</v>
      </c>
      <c r="H617" t="s">
        <v>20738</v>
      </c>
      <c r="P617">
        <v>17086.900000000001</v>
      </c>
    </row>
    <row r="618" spans="1:16">
      <c r="C618">
        <v>6</v>
      </c>
      <c r="D618">
        <v>3</v>
      </c>
      <c r="E618">
        <v>1</v>
      </c>
      <c r="F618" t="s">
        <v>11708</v>
      </c>
    </row>
    <row r="619" spans="1:16">
      <c r="B619">
        <v>1</v>
      </c>
      <c r="C619">
        <v>6</v>
      </c>
      <c r="D619">
        <v>3</v>
      </c>
      <c r="E619">
        <v>2</v>
      </c>
      <c r="F619" t="s">
        <v>11708</v>
      </c>
      <c r="H619" t="s">
        <v>11703</v>
      </c>
      <c r="I619" t="s">
        <v>64</v>
      </c>
      <c r="J619" s="25" t="s">
        <v>20739</v>
      </c>
      <c r="K619" t="s">
        <v>11710</v>
      </c>
      <c r="L619" t="s">
        <v>25</v>
      </c>
      <c r="M619" t="s">
        <v>11704</v>
      </c>
      <c r="N619" t="s">
        <v>11705</v>
      </c>
      <c r="O619" t="s">
        <v>11706</v>
      </c>
      <c r="P619" t="s">
        <v>27</v>
      </c>
    </row>
    <row r="620" spans="1:16">
      <c r="C620">
        <v>6</v>
      </c>
      <c r="D620">
        <v>3</v>
      </c>
      <c r="E620">
        <v>2</v>
      </c>
      <c r="F620" t="s">
        <v>11708</v>
      </c>
    </row>
    <row r="621" spans="1:16">
      <c r="C621">
        <v>6</v>
      </c>
      <c r="D621">
        <v>3</v>
      </c>
      <c r="E621">
        <v>2</v>
      </c>
      <c r="F621" t="s">
        <v>11708</v>
      </c>
      <c r="G621" t="s">
        <v>12492</v>
      </c>
      <c r="H621" t="s">
        <v>70</v>
      </c>
      <c r="I621">
        <v>90105</v>
      </c>
      <c r="K621" t="s">
        <v>18214</v>
      </c>
      <c r="L621" t="s">
        <v>255</v>
      </c>
      <c r="M621">
        <v>61.56</v>
      </c>
      <c r="N621">
        <v>14.07</v>
      </c>
      <c r="O621">
        <v>17.190000000000001</v>
      </c>
      <c r="P621">
        <v>1058.22</v>
      </c>
    </row>
    <row r="622" spans="1:16">
      <c r="C622">
        <v>6</v>
      </c>
      <c r="D622">
        <v>3</v>
      </c>
      <c r="E622">
        <v>2</v>
      </c>
      <c r="F622" t="s">
        <v>11708</v>
      </c>
      <c r="G622" t="s">
        <v>12494</v>
      </c>
      <c r="H622" t="s">
        <v>10852</v>
      </c>
      <c r="I622">
        <v>184</v>
      </c>
      <c r="K622" t="s">
        <v>20740</v>
      </c>
      <c r="L622" t="s">
        <v>255</v>
      </c>
      <c r="M622">
        <v>3.42</v>
      </c>
      <c r="N622">
        <v>4.68</v>
      </c>
      <c r="O622">
        <v>5.72</v>
      </c>
      <c r="P622">
        <v>19.559999999999999</v>
      </c>
    </row>
    <row r="623" spans="1:16">
      <c r="C623">
        <v>6</v>
      </c>
      <c r="D623">
        <v>3</v>
      </c>
      <c r="E623">
        <v>2</v>
      </c>
      <c r="F623" t="s">
        <v>11708</v>
      </c>
      <c r="G623" t="s">
        <v>12496</v>
      </c>
      <c r="H623" t="s">
        <v>10852</v>
      </c>
      <c r="I623">
        <v>187</v>
      </c>
      <c r="K623" t="s">
        <v>20741</v>
      </c>
      <c r="L623" t="s">
        <v>255</v>
      </c>
      <c r="M623">
        <v>3.42</v>
      </c>
      <c r="N623">
        <v>4.67</v>
      </c>
      <c r="O623">
        <v>5.71</v>
      </c>
      <c r="P623">
        <v>19.53</v>
      </c>
    </row>
    <row r="624" spans="1:16">
      <c r="C624">
        <v>6</v>
      </c>
      <c r="D624">
        <v>3</v>
      </c>
      <c r="E624">
        <v>2</v>
      </c>
      <c r="F624" t="s">
        <v>11708</v>
      </c>
      <c r="G624" t="s">
        <v>12498</v>
      </c>
      <c r="H624" t="s">
        <v>70</v>
      </c>
      <c r="I624">
        <v>93358</v>
      </c>
      <c r="K624" t="s">
        <v>826</v>
      </c>
      <c r="L624" t="s">
        <v>255</v>
      </c>
      <c r="M624">
        <v>3.24</v>
      </c>
      <c r="N624">
        <v>52.29</v>
      </c>
      <c r="O624">
        <v>63.89</v>
      </c>
      <c r="P624">
        <v>207</v>
      </c>
    </row>
    <row r="625" spans="2:16">
      <c r="C625">
        <v>6</v>
      </c>
      <c r="D625">
        <v>3</v>
      </c>
      <c r="E625">
        <v>2</v>
      </c>
      <c r="F625" t="s">
        <v>11708</v>
      </c>
      <c r="G625" t="s">
        <v>12500</v>
      </c>
      <c r="H625" t="s">
        <v>10852</v>
      </c>
      <c r="I625">
        <v>170</v>
      </c>
      <c r="K625" t="s">
        <v>19822</v>
      </c>
      <c r="L625" t="s">
        <v>255</v>
      </c>
      <c r="M625">
        <v>0.18</v>
      </c>
      <c r="N625">
        <v>55.58</v>
      </c>
      <c r="O625">
        <v>67.91</v>
      </c>
      <c r="P625">
        <v>12.22</v>
      </c>
    </row>
    <row r="626" spans="2:16">
      <c r="C626">
        <v>6</v>
      </c>
      <c r="D626">
        <v>3</v>
      </c>
      <c r="E626">
        <v>2</v>
      </c>
      <c r="F626" t="s">
        <v>11708</v>
      </c>
      <c r="G626" t="s">
        <v>12502</v>
      </c>
      <c r="H626" t="s">
        <v>10852</v>
      </c>
      <c r="I626">
        <v>172</v>
      </c>
      <c r="K626" t="s">
        <v>19824</v>
      </c>
      <c r="L626" t="s">
        <v>255</v>
      </c>
      <c r="M626">
        <v>0.18</v>
      </c>
      <c r="N626">
        <v>91.06</v>
      </c>
      <c r="O626">
        <v>111.27</v>
      </c>
      <c r="P626">
        <v>20.03</v>
      </c>
    </row>
    <row r="627" spans="2:16">
      <c r="C627">
        <v>6</v>
      </c>
      <c r="D627">
        <v>3</v>
      </c>
      <c r="E627">
        <v>2</v>
      </c>
      <c r="F627" t="s">
        <v>11708</v>
      </c>
      <c r="G627" t="s">
        <v>12505</v>
      </c>
      <c r="H627" t="s">
        <v>70</v>
      </c>
      <c r="I627">
        <v>79472</v>
      </c>
      <c r="K627" t="s">
        <v>8710</v>
      </c>
      <c r="L627" t="s">
        <v>256</v>
      </c>
      <c r="M627">
        <v>1760</v>
      </c>
      <c r="N627">
        <v>0.56000000000000005</v>
      </c>
      <c r="O627">
        <v>0.68</v>
      </c>
      <c r="P627">
        <v>1196.8</v>
      </c>
    </row>
    <row r="628" spans="2:16">
      <c r="C628">
        <v>6</v>
      </c>
      <c r="D628">
        <v>3</v>
      </c>
      <c r="E628">
        <v>2</v>
      </c>
      <c r="F628" t="s">
        <v>11708</v>
      </c>
      <c r="G628" t="s">
        <v>12506</v>
      </c>
      <c r="H628" t="s">
        <v>70</v>
      </c>
      <c r="I628">
        <v>93367</v>
      </c>
      <c r="K628" t="s">
        <v>18245</v>
      </c>
      <c r="L628" t="s">
        <v>255</v>
      </c>
      <c r="M628">
        <v>3001.5</v>
      </c>
      <c r="N628">
        <v>17.86</v>
      </c>
      <c r="O628">
        <v>21.82</v>
      </c>
      <c r="P628">
        <v>65492.73</v>
      </c>
    </row>
    <row r="629" spans="2:16">
      <c r="C629">
        <v>6</v>
      </c>
      <c r="D629">
        <v>3</v>
      </c>
      <c r="E629">
        <v>2</v>
      </c>
      <c r="F629" t="s">
        <v>11708</v>
      </c>
      <c r="G629" t="s">
        <v>12507</v>
      </c>
      <c r="H629" t="s">
        <v>70</v>
      </c>
      <c r="I629" t="s">
        <v>18237</v>
      </c>
      <c r="K629" t="s">
        <v>829</v>
      </c>
      <c r="L629" t="s">
        <v>255</v>
      </c>
      <c r="M629">
        <v>333.5</v>
      </c>
      <c r="N629">
        <v>39.659999999999997</v>
      </c>
      <c r="O629">
        <v>48.46</v>
      </c>
      <c r="P629">
        <v>16161.41</v>
      </c>
    </row>
    <row r="630" spans="2:16">
      <c r="C630">
        <v>6</v>
      </c>
      <c r="D630">
        <v>3</v>
      </c>
      <c r="E630">
        <v>2</v>
      </c>
      <c r="F630" t="s">
        <v>11708</v>
      </c>
    </row>
    <row r="631" spans="2:16">
      <c r="C631">
        <v>6</v>
      </c>
      <c r="D631">
        <v>3</v>
      </c>
      <c r="E631">
        <v>2</v>
      </c>
      <c r="F631" t="s">
        <v>11708</v>
      </c>
      <c r="H631" t="s">
        <v>20742</v>
      </c>
      <c r="P631">
        <v>84187.5</v>
      </c>
    </row>
    <row r="632" spans="2:16">
      <c r="C632">
        <v>6</v>
      </c>
      <c r="D632">
        <v>3</v>
      </c>
      <c r="E632">
        <v>2</v>
      </c>
      <c r="F632" t="s">
        <v>11708</v>
      </c>
    </row>
    <row r="633" spans="2:16">
      <c r="B633">
        <v>1</v>
      </c>
      <c r="C633">
        <v>6</v>
      </c>
      <c r="D633">
        <v>3</v>
      </c>
      <c r="E633">
        <v>3</v>
      </c>
      <c r="F633" t="s">
        <v>11708</v>
      </c>
      <c r="H633" t="s">
        <v>11703</v>
      </c>
      <c r="I633" t="s">
        <v>64</v>
      </c>
      <c r="J633" s="25" t="s">
        <v>20743</v>
      </c>
      <c r="K633" t="s">
        <v>20392</v>
      </c>
      <c r="L633" t="s">
        <v>25</v>
      </c>
      <c r="M633" t="s">
        <v>11704</v>
      </c>
      <c r="N633" t="s">
        <v>11705</v>
      </c>
      <c r="O633" t="s">
        <v>11706</v>
      </c>
      <c r="P633" t="s">
        <v>27</v>
      </c>
    </row>
    <row r="634" spans="2:16">
      <c r="C634">
        <v>6</v>
      </c>
      <c r="D634">
        <v>3</v>
      </c>
      <c r="E634">
        <v>3</v>
      </c>
      <c r="F634" t="s">
        <v>11708</v>
      </c>
    </row>
    <row r="635" spans="2:16">
      <c r="C635">
        <v>6</v>
      </c>
      <c r="D635">
        <v>3</v>
      </c>
      <c r="E635">
        <v>3</v>
      </c>
      <c r="F635" t="s">
        <v>11708</v>
      </c>
      <c r="G635" t="s">
        <v>20381</v>
      </c>
      <c r="H635" t="s">
        <v>10852</v>
      </c>
      <c r="I635">
        <v>232</v>
      </c>
      <c r="K635" t="s">
        <v>19828</v>
      </c>
      <c r="L635" t="s">
        <v>255</v>
      </c>
      <c r="M635">
        <v>4002</v>
      </c>
      <c r="N635">
        <v>1.46</v>
      </c>
      <c r="O635">
        <v>1.78</v>
      </c>
      <c r="P635">
        <v>7123.56</v>
      </c>
    </row>
    <row r="636" spans="2:16">
      <c r="C636">
        <v>6</v>
      </c>
      <c r="D636">
        <v>3</v>
      </c>
      <c r="E636">
        <v>3</v>
      </c>
      <c r="F636" t="s">
        <v>11708</v>
      </c>
      <c r="G636" t="s">
        <v>20382</v>
      </c>
      <c r="H636" t="s">
        <v>10852</v>
      </c>
      <c r="I636">
        <v>233</v>
      </c>
      <c r="K636" t="s">
        <v>19829</v>
      </c>
      <c r="L636" t="s">
        <v>255</v>
      </c>
      <c r="M636">
        <v>4002</v>
      </c>
      <c r="N636">
        <v>4.3499999999999996</v>
      </c>
      <c r="O636">
        <v>5.32</v>
      </c>
      <c r="P636">
        <v>21290.639999999999</v>
      </c>
    </row>
    <row r="637" spans="2:16">
      <c r="C637">
        <v>6</v>
      </c>
      <c r="D637">
        <v>3</v>
      </c>
      <c r="E637">
        <v>3</v>
      </c>
      <c r="F637" t="s">
        <v>11708</v>
      </c>
      <c r="G637" t="s">
        <v>20383</v>
      </c>
      <c r="H637" t="s">
        <v>10852</v>
      </c>
      <c r="I637">
        <v>19314</v>
      </c>
      <c r="K637" t="s">
        <v>20056</v>
      </c>
      <c r="L637" t="s">
        <v>9853</v>
      </c>
      <c r="M637">
        <v>15341</v>
      </c>
      <c r="N637">
        <v>1.19</v>
      </c>
      <c r="O637">
        <v>1.45</v>
      </c>
      <c r="P637">
        <v>22244.45</v>
      </c>
    </row>
    <row r="638" spans="2:16">
      <c r="C638">
        <v>6</v>
      </c>
      <c r="D638">
        <v>3</v>
      </c>
      <c r="E638">
        <v>3</v>
      </c>
      <c r="F638" t="s">
        <v>11708</v>
      </c>
    </row>
    <row r="639" spans="2:16">
      <c r="C639">
        <v>6</v>
      </c>
      <c r="D639">
        <v>3</v>
      </c>
      <c r="E639">
        <v>3</v>
      </c>
      <c r="F639" t="s">
        <v>11708</v>
      </c>
      <c r="H639" t="s">
        <v>20744</v>
      </c>
      <c r="P639">
        <v>50658.65</v>
      </c>
    </row>
    <row r="640" spans="2:16">
      <c r="C640">
        <v>6</v>
      </c>
      <c r="D640">
        <v>3</v>
      </c>
      <c r="E640">
        <v>3</v>
      </c>
      <c r="F640" t="s">
        <v>11708</v>
      </c>
    </row>
    <row r="641" spans="2:16">
      <c r="B641">
        <v>1</v>
      </c>
      <c r="C641">
        <v>6</v>
      </c>
      <c r="D641">
        <v>3</v>
      </c>
      <c r="E641">
        <v>4</v>
      </c>
      <c r="F641" t="s">
        <v>11708</v>
      </c>
      <c r="H641" t="s">
        <v>11703</v>
      </c>
      <c r="I641" t="s">
        <v>64</v>
      </c>
      <c r="J641" s="25" t="s">
        <v>20745</v>
      </c>
      <c r="K641" t="s">
        <v>12517</v>
      </c>
      <c r="L641" t="s">
        <v>25</v>
      </c>
      <c r="M641" t="s">
        <v>11704</v>
      </c>
      <c r="N641" t="s">
        <v>11705</v>
      </c>
      <c r="O641" t="s">
        <v>11706</v>
      </c>
      <c r="P641" t="s">
        <v>27</v>
      </c>
    </row>
    <row r="642" spans="2:16">
      <c r="C642">
        <v>6</v>
      </c>
      <c r="D642">
        <v>3</v>
      </c>
      <c r="E642">
        <v>4</v>
      </c>
      <c r="F642" t="s">
        <v>11708</v>
      </c>
    </row>
    <row r="643" spans="2:16">
      <c r="C643">
        <v>6</v>
      </c>
      <c r="D643">
        <v>3</v>
      </c>
      <c r="E643">
        <v>4</v>
      </c>
      <c r="F643" t="s">
        <v>11708</v>
      </c>
      <c r="G643" t="s">
        <v>12525</v>
      </c>
      <c r="H643" t="s">
        <v>70</v>
      </c>
      <c r="I643">
        <v>94116</v>
      </c>
      <c r="K643" t="s">
        <v>18309</v>
      </c>
      <c r="L643" t="s">
        <v>255</v>
      </c>
      <c r="M643">
        <v>53.12</v>
      </c>
      <c r="N643">
        <v>120.39</v>
      </c>
      <c r="O643">
        <v>147.1</v>
      </c>
      <c r="P643">
        <v>7813.95</v>
      </c>
    </row>
    <row r="644" spans="2:16">
      <c r="C644">
        <v>6</v>
      </c>
      <c r="D644">
        <v>3</v>
      </c>
      <c r="E644">
        <v>4</v>
      </c>
      <c r="F644" t="s">
        <v>11708</v>
      </c>
      <c r="G644" t="s">
        <v>12523</v>
      </c>
      <c r="H644" t="s">
        <v>70</v>
      </c>
      <c r="I644">
        <v>95241</v>
      </c>
      <c r="K644" t="s">
        <v>6694</v>
      </c>
      <c r="L644" t="s">
        <v>256</v>
      </c>
      <c r="M644">
        <v>1770.81</v>
      </c>
      <c r="N644">
        <v>18.73</v>
      </c>
      <c r="O644">
        <v>22.89</v>
      </c>
      <c r="P644">
        <v>40533.839999999997</v>
      </c>
    </row>
    <row r="645" spans="2:16">
      <c r="C645">
        <v>6</v>
      </c>
      <c r="D645">
        <v>3</v>
      </c>
      <c r="E645">
        <v>4</v>
      </c>
      <c r="F645" t="s">
        <v>11708</v>
      </c>
      <c r="G645" t="s">
        <v>12521</v>
      </c>
      <c r="H645" t="s">
        <v>11644</v>
      </c>
      <c r="I645">
        <v>4718</v>
      </c>
      <c r="K645" t="s">
        <v>7880</v>
      </c>
      <c r="L645" t="s">
        <v>255</v>
      </c>
      <c r="M645">
        <v>354.16</v>
      </c>
      <c r="N645">
        <v>45.44</v>
      </c>
      <c r="O645">
        <v>55.52</v>
      </c>
      <c r="P645">
        <v>19662.96</v>
      </c>
    </row>
    <row r="646" spans="2:16">
      <c r="C646">
        <v>6</v>
      </c>
      <c r="D646">
        <v>3</v>
      </c>
      <c r="E646">
        <v>4</v>
      </c>
      <c r="F646" t="s">
        <v>11708</v>
      </c>
      <c r="G646" t="s">
        <v>12678</v>
      </c>
      <c r="H646" t="s">
        <v>11644</v>
      </c>
      <c r="I646">
        <v>4721</v>
      </c>
      <c r="K646" t="s">
        <v>7879</v>
      </c>
      <c r="L646" t="s">
        <v>255</v>
      </c>
      <c r="M646">
        <v>88.54</v>
      </c>
      <c r="N646">
        <v>45.44</v>
      </c>
      <c r="O646">
        <v>55.52</v>
      </c>
      <c r="P646">
        <v>4915.74</v>
      </c>
    </row>
    <row r="647" spans="2:16">
      <c r="C647">
        <v>6</v>
      </c>
      <c r="D647">
        <v>3</v>
      </c>
      <c r="E647">
        <v>4</v>
      </c>
      <c r="F647" t="s">
        <v>11708</v>
      </c>
      <c r="G647" t="s">
        <v>12522</v>
      </c>
      <c r="H647" t="s">
        <v>11644</v>
      </c>
      <c r="I647">
        <v>4720</v>
      </c>
      <c r="K647" t="s">
        <v>7878</v>
      </c>
      <c r="L647" t="s">
        <v>255</v>
      </c>
      <c r="M647">
        <v>354.16</v>
      </c>
      <c r="N647">
        <v>58.02</v>
      </c>
      <c r="O647">
        <v>70.89</v>
      </c>
      <c r="P647">
        <v>25106.400000000001</v>
      </c>
    </row>
    <row r="648" spans="2:16">
      <c r="C648">
        <v>6</v>
      </c>
      <c r="D648">
        <v>3</v>
      </c>
      <c r="E648">
        <v>4</v>
      </c>
      <c r="F648" t="s">
        <v>11708</v>
      </c>
      <c r="G648" t="s">
        <v>12524</v>
      </c>
      <c r="H648" t="s">
        <v>11644</v>
      </c>
      <c r="I648">
        <v>94115</v>
      </c>
      <c r="K648" t="s">
        <v>18308</v>
      </c>
      <c r="L648" t="s">
        <v>255</v>
      </c>
      <c r="M648">
        <v>88.54</v>
      </c>
      <c r="N648">
        <v>121.41</v>
      </c>
      <c r="O648">
        <v>148.35</v>
      </c>
      <c r="P648">
        <v>13134.91</v>
      </c>
    </row>
    <row r="649" spans="2:16">
      <c r="C649">
        <v>6</v>
      </c>
      <c r="D649">
        <v>3</v>
      </c>
      <c r="E649">
        <v>4</v>
      </c>
      <c r="F649" t="s">
        <v>11708</v>
      </c>
      <c r="G649" t="s">
        <v>14469</v>
      </c>
      <c r="H649" t="s">
        <v>13957</v>
      </c>
      <c r="I649" t="s">
        <v>20384</v>
      </c>
      <c r="K649" t="s">
        <v>20385</v>
      </c>
      <c r="L649" t="s">
        <v>21</v>
      </c>
      <c r="M649">
        <v>1770.81</v>
      </c>
      <c r="N649">
        <v>66.490000000000009</v>
      </c>
      <c r="O649">
        <v>81.239999999999995</v>
      </c>
      <c r="P649">
        <v>143860.6</v>
      </c>
    </row>
    <row r="651" spans="2:16">
      <c r="C651">
        <v>6</v>
      </c>
      <c r="D651">
        <v>3</v>
      </c>
      <c r="E651">
        <v>4</v>
      </c>
      <c r="F651" t="s">
        <v>11708</v>
      </c>
      <c r="H651" t="s">
        <v>20746</v>
      </c>
      <c r="P651">
        <v>255028.40000000002</v>
      </c>
    </row>
    <row r="652" spans="2:16">
      <c r="C652">
        <v>6</v>
      </c>
      <c r="D652">
        <v>3</v>
      </c>
      <c r="E652">
        <v>4</v>
      </c>
      <c r="F652" t="s">
        <v>11708</v>
      </c>
    </row>
    <row r="653" spans="2:16">
      <c r="B653">
        <v>1</v>
      </c>
      <c r="C653">
        <v>6</v>
      </c>
      <c r="D653">
        <v>3</v>
      </c>
      <c r="E653">
        <v>5</v>
      </c>
      <c r="F653" t="s">
        <v>11708</v>
      </c>
      <c r="H653" t="s">
        <v>11703</v>
      </c>
      <c r="I653" t="s">
        <v>64</v>
      </c>
      <c r="J653" s="25" t="s">
        <v>20747</v>
      </c>
      <c r="K653" t="s">
        <v>11714</v>
      </c>
      <c r="L653" t="s">
        <v>25</v>
      </c>
      <c r="M653" t="s">
        <v>11704</v>
      </c>
      <c r="N653" t="s">
        <v>11705</v>
      </c>
      <c r="O653" t="s">
        <v>11706</v>
      </c>
      <c r="P653" t="s">
        <v>27</v>
      </c>
    </row>
    <row r="654" spans="2:16">
      <c r="C654">
        <v>6</v>
      </c>
      <c r="D654">
        <v>3</v>
      </c>
      <c r="E654">
        <v>5</v>
      </c>
      <c r="F654" t="s">
        <v>11708</v>
      </c>
    </row>
    <row r="655" spans="2:16">
      <c r="C655">
        <v>6</v>
      </c>
      <c r="D655">
        <v>3</v>
      </c>
      <c r="E655">
        <v>5</v>
      </c>
      <c r="F655" t="s">
        <v>11708</v>
      </c>
      <c r="G655" t="s">
        <v>20386</v>
      </c>
      <c r="H655" t="s">
        <v>70</v>
      </c>
      <c r="I655">
        <v>92415</v>
      </c>
      <c r="K655" t="s">
        <v>16234</v>
      </c>
      <c r="L655" t="s">
        <v>256</v>
      </c>
      <c r="M655">
        <v>228.48</v>
      </c>
      <c r="N655">
        <v>73.489999999999995</v>
      </c>
      <c r="O655">
        <v>89.8</v>
      </c>
      <c r="P655">
        <v>20517.5</v>
      </c>
    </row>
    <row r="656" spans="2:16">
      <c r="C656">
        <v>6</v>
      </c>
      <c r="D656">
        <v>3</v>
      </c>
      <c r="E656">
        <v>5</v>
      </c>
      <c r="F656" t="s">
        <v>11708</v>
      </c>
      <c r="G656" t="s">
        <v>20387</v>
      </c>
      <c r="H656" t="s">
        <v>70</v>
      </c>
      <c r="I656">
        <v>92446</v>
      </c>
      <c r="K656" t="s">
        <v>16265</v>
      </c>
      <c r="L656" t="s">
        <v>256</v>
      </c>
      <c r="M656">
        <v>339.4</v>
      </c>
      <c r="N656">
        <v>145.27000000000001</v>
      </c>
      <c r="O656">
        <v>177.51</v>
      </c>
      <c r="P656">
        <v>60246.89</v>
      </c>
    </row>
    <row r="657" spans="2:16">
      <c r="C657">
        <v>6</v>
      </c>
      <c r="D657">
        <v>3</v>
      </c>
      <c r="E657">
        <v>5</v>
      </c>
      <c r="F657" t="s">
        <v>11708</v>
      </c>
      <c r="G657" t="s">
        <v>20389</v>
      </c>
      <c r="H657" t="s">
        <v>70</v>
      </c>
      <c r="I657">
        <v>34492</v>
      </c>
      <c r="K657" t="s">
        <v>3776</v>
      </c>
      <c r="L657" t="s">
        <v>255</v>
      </c>
      <c r="M657">
        <v>207.86</v>
      </c>
      <c r="N657">
        <v>229.95</v>
      </c>
      <c r="O657">
        <v>280.98</v>
      </c>
      <c r="P657">
        <v>58404.5</v>
      </c>
    </row>
    <row r="658" spans="2:16">
      <c r="C658">
        <v>6</v>
      </c>
      <c r="D658">
        <v>3</v>
      </c>
      <c r="E658">
        <v>5</v>
      </c>
      <c r="F658" t="s">
        <v>11708</v>
      </c>
      <c r="G658" t="s">
        <v>20388</v>
      </c>
      <c r="H658" t="s">
        <v>70</v>
      </c>
      <c r="I658">
        <v>92874</v>
      </c>
      <c r="K658" t="s">
        <v>16528</v>
      </c>
      <c r="L658" t="s">
        <v>255</v>
      </c>
      <c r="M658">
        <v>207.86</v>
      </c>
      <c r="N658">
        <v>23.46</v>
      </c>
      <c r="O658">
        <v>28.67</v>
      </c>
      <c r="P658">
        <v>5959.35</v>
      </c>
    </row>
    <row r="659" spans="2:16">
      <c r="C659">
        <v>6</v>
      </c>
      <c r="D659">
        <v>3</v>
      </c>
      <c r="E659">
        <v>5</v>
      </c>
      <c r="F659" t="s">
        <v>11708</v>
      </c>
      <c r="G659" t="s">
        <v>20390</v>
      </c>
      <c r="H659" t="s">
        <v>70</v>
      </c>
      <c r="I659">
        <v>92915</v>
      </c>
      <c r="K659" t="s">
        <v>16452</v>
      </c>
      <c r="L659" t="s">
        <v>90</v>
      </c>
      <c r="M659">
        <v>1684.55</v>
      </c>
      <c r="N659">
        <v>12.53</v>
      </c>
      <c r="O659">
        <v>15.31</v>
      </c>
      <c r="P659">
        <v>25790.46</v>
      </c>
    </row>
    <row r="660" spans="2:16">
      <c r="C660">
        <v>6</v>
      </c>
      <c r="D660">
        <v>3</v>
      </c>
      <c r="E660">
        <v>5</v>
      </c>
      <c r="F660" t="s">
        <v>11708</v>
      </c>
      <c r="G660" t="s">
        <v>20391</v>
      </c>
      <c r="H660" t="s">
        <v>70</v>
      </c>
      <c r="I660">
        <v>92917</v>
      </c>
      <c r="K660" t="s">
        <v>16454</v>
      </c>
      <c r="L660" t="s">
        <v>90</v>
      </c>
      <c r="M660">
        <v>407.99</v>
      </c>
      <c r="N660">
        <v>11</v>
      </c>
      <c r="O660">
        <v>13.44</v>
      </c>
      <c r="P660">
        <v>5483.39</v>
      </c>
    </row>
    <row r="661" spans="2:16">
      <c r="C661">
        <v>6</v>
      </c>
      <c r="D661">
        <v>3</v>
      </c>
      <c r="E661">
        <v>5</v>
      </c>
      <c r="F661" t="s">
        <v>11708</v>
      </c>
      <c r="G661" t="s">
        <v>12508</v>
      </c>
      <c r="H661" t="s">
        <v>70</v>
      </c>
      <c r="I661" t="s">
        <v>19257</v>
      </c>
      <c r="K661" t="s">
        <v>5042</v>
      </c>
      <c r="L661" t="s">
        <v>65</v>
      </c>
      <c r="M661">
        <v>5</v>
      </c>
      <c r="N661">
        <v>83.42</v>
      </c>
      <c r="O661">
        <v>101.93</v>
      </c>
      <c r="P661">
        <v>509.65</v>
      </c>
    </row>
    <row r="662" spans="2:16">
      <c r="C662">
        <v>6</v>
      </c>
      <c r="D662">
        <v>3</v>
      </c>
      <c r="E662">
        <v>5</v>
      </c>
      <c r="F662" t="s">
        <v>11708</v>
      </c>
      <c r="G662" t="s">
        <v>14483</v>
      </c>
      <c r="H662" t="s">
        <v>11644</v>
      </c>
      <c r="I662">
        <v>11063</v>
      </c>
      <c r="K662" t="s">
        <v>8104</v>
      </c>
      <c r="L662" t="s">
        <v>256</v>
      </c>
      <c r="M662">
        <v>12</v>
      </c>
      <c r="N662">
        <v>38.76</v>
      </c>
      <c r="O662">
        <v>47.36</v>
      </c>
      <c r="P662">
        <v>568.32000000000005</v>
      </c>
    </row>
    <row r="663" spans="2:16">
      <c r="C663">
        <v>6</v>
      </c>
      <c r="D663">
        <v>3</v>
      </c>
      <c r="E663">
        <v>5</v>
      </c>
    </row>
    <row r="664" spans="2:16">
      <c r="C664">
        <v>6</v>
      </c>
      <c r="D664">
        <v>3</v>
      </c>
      <c r="E664">
        <v>5</v>
      </c>
      <c r="F664" t="s">
        <v>11708</v>
      </c>
      <c r="H664" t="s">
        <v>20748</v>
      </c>
      <c r="P664">
        <v>177480.06000000003</v>
      </c>
    </row>
    <row r="665" spans="2:16">
      <c r="C665">
        <v>6</v>
      </c>
      <c r="D665">
        <v>3</v>
      </c>
      <c r="E665">
        <v>5</v>
      </c>
      <c r="F665" t="s">
        <v>11708</v>
      </c>
    </row>
    <row r="666" spans="2:16">
      <c r="B666">
        <v>1</v>
      </c>
      <c r="C666">
        <v>6</v>
      </c>
      <c r="D666">
        <v>3</v>
      </c>
      <c r="E666">
        <v>6</v>
      </c>
      <c r="F666" t="s">
        <v>11708</v>
      </c>
      <c r="H666" t="s">
        <v>11703</v>
      </c>
      <c r="I666" t="s">
        <v>64</v>
      </c>
      <c r="J666" s="25" t="s">
        <v>20749</v>
      </c>
      <c r="K666" t="s">
        <v>11739</v>
      </c>
      <c r="L666" t="s">
        <v>25</v>
      </c>
      <c r="M666" t="s">
        <v>11704</v>
      </c>
      <c r="N666" t="s">
        <v>11705</v>
      </c>
      <c r="O666" t="s">
        <v>11706</v>
      </c>
      <c r="P666" t="s">
        <v>27</v>
      </c>
    </row>
    <row r="667" spans="2:16">
      <c r="C667">
        <v>6</v>
      </c>
      <c r="D667">
        <v>3</v>
      </c>
      <c r="E667">
        <v>6</v>
      </c>
      <c r="F667" t="s">
        <v>11708</v>
      </c>
    </row>
    <row r="668" spans="2:16">
      <c r="C668">
        <v>6</v>
      </c>
      <c r="D668">
        <v>3</v>
      </c>
      <c r="E668">
        <v>6</v>
      </c>
      <c r="F668" t="s">
        <v>11708</v>
      </c>
      <c r="G668" t="s">
        <v>12509</v>
      </c>
      <c r="H668" t="s">
        <v>11644</v>
      </c>
      <c r="I668">
        <v>72132</v>
      </c>
      <c r="K668" t="s">
        <v>18319</v>
      </c>
      <c r="L668" t="s">
        <v>256</v>
      </c>
      <c r="M668">
        <v>393.57</v>
      </c>
      <c r="N668">
        <v>54.04</v>
      </c>
      <c r="O668">
        <v>66.03</v>
      </c>
      <c r="P668">
        <v>25987.43</v>
      </c>
    </row>
    <row r="669" spans="2:16">
      <c r="C669">
        <v>6</v>
      </c>
      <c r="D669">
        <v>3</v>
      </c>
      <c r="E669">
        <v>6</v>
      </c>
      <c r="F669" t="s">
        <v>11708</v>
      </c>
    </row>
    <row r="670" spans="2:16">
      <c r="C670">
        <v>6</v>
      </c>
      <c r="D670">
        <v>3</v>
      </c>
      <c r="E670">
        <v>6</v>
      </c>
      <c r="F670" t="s">
        <v>11708</v>
      </c>
      <c r="H670" t="s">
        <v>20750</v>
      </c>
      <c r="P670">
        <v>25987.43</v>
      </c>
    </row>
    <row r="671" spans="2:16">
      <c r="C671">
        <v>6</v>
      </c>
      <c r="D671">
        <v>3</v>
      </c>
      <c r="E671">
        <v>6</v>
      </c>
      <c r="F671" t="s">
        <v>11708</v>
      </c>
      <c r="G671" t="s">
        <v>12508</v>
      </c>
    </row>
    <row r="672" spans="2:16">
      <c r="B672">
        <v>1</v>
      </c>
      <c r="C672">
        <v>6</v>
      </c>
      <c r="D672">
        <v>3</v>
      </c>
      <c r="E672">
        <v>7</v>
      </c>
      <c r="F672" t="s">
        <v>11708</v>
      </c>
      <c r="H672" t="s">
        <v>11703</v>
      </c>
      <c r="I672" t="s">
        <v>64</v>
      </c>
      <c r="J672" s="25" t="s">
        <v>20751</v>
      </c>
      <c r="K672" t="s">
        <v>11715</v>
      </c>
      <c r="L672" t="s">
        <v>25</v>
      </c>
      <c r="M672" t="s">
        <v>11704</v>
      </c>
      <c r="N672" t="s">
        <v>11705</v>
      </c>
      <c r="O672" t="s">
        <v>11706</v>
      </c>
      <c r="P672" t="s">
        <v>27</v>
      </c>
    </row>
    <row r="673" spans="2:16">
      <c r="C673">
        <v>6</v>
      </c>
      <c r="D673">
        <v>3</v>
      </c>
      <c r="E673">
        <v>7</v>
      </c>
      <c r="F673" t="s">
        <v>11708</v>
      </c>
    </row>
    <row r="674" spans="2:16">
      <c r="C674">
        <v>6</v>
      </c>
      <c r="D674">
        <v>3</v>
      </c>
      <c r="E674">
        <v>7</v>
      </c>
      <c r="F674" t="s">
        <v>11708</v>
      </c>
      <c r="G674" t="s">
        <v>12510</v>
      </c>
      <c r="H674" t="s">
        <v>11644</v>
      </c>
      <c r="I674">
        <v>87908</v>
      </c>
      <c r="K674" t="s">
        <v>3536</v>
      </c>
      <c r="L674" t="s">
        <v>256</v>
      </c>
      <c r="M674">
        <v>914.52</v>
      </c>
      <c r="N674">
        <v>5.24</v>
      </c>
      <c r="O674">
        <v>6.4</v>
      </c>
      <c r="P674">
        <v>5852.93</v>
      </c>
    </row>
    <row r="675" spans="2:16">
      <c r="C675">
        <v>6</v>
      </c>
      <c r="D675">
        <v>3</v>
      </c>
      <c r="E675">
        <v>7</v>
      </c>
      <c r="F675" t="s">
        <v>11708</v>
      </c>
      <c r="G675" t="s">
        <v>12511</v>
      </c>
      <c r="H675" t="s">
        <v>11644</v>
      </c>
      <c r="I675">
        <v>87296</v>
      </c>
      <c r="K675" t="s">
        <v>18965</v>
      </c>
      <c r="L675" t="s">
        <v>255</v>
      </c>
      <c r="M675">
        <v>22.86</v>
      </c>
      <c r="N675">
        <v>326.48</v>
      </c>
      <c r="O675">
        <v>398.93</v>
      </c>
      <c r="P675">
        <v>9119.5400000000009</v>
      </c>
    </row>
    <row r="676" spans="2:16">
      <c r="C676">
        <v>6</v>
      </c>
      <c r="D676">
        <v>3</v>
      </c>
      <c r="E676">
        <v>7</v>
      </c>
      <c r="F676" t="s">
        <v>11708</v>
      </c>
    </row>
    <row r="677" spans="2:16">
      <c r="C677">
        <v>6</v>
      </c>
      <c r="D677">
        <v>3</v>
      </c>
      <c r="E677">
        <v>7</v>
      </c>
      <c r="F677" t="s">
        <v>11708</v>
      </c>
      <c r="H677" t="s">
        <v>20752</v>
      </c>
      <c r="P677">
        <v>14972.470000000001</v>
      </c>
    </row>
    <row r="678" spans="2:16">
      <c r="C678">
        <v>6</v>
      </c>
      <c r="D678">
        <v>3</v>
      </c>
      <c r="E678">
        <v>7</v>
      </c>
      <c r="F678" t="s">
        <v>11708</v>
      </c>
    </row>
    <row r="679" spans="2:16">
      <c r="B679">
        <v>1</v>
      </c>
      <c r="C679">
        <v>6</v>
      </c>
      <c r="D679">
        <v>3</v>
      </c>
      <c r="E679">
        <v>8</v>
      </c>
      <c r="F679" t="s">
        <v>11708</v>
      </c>
      <c r="H679" t="s">
        <v>11703</v>
      </c>
      <c r="I679" t="s">
        <v>64</v>
      </c>
      <c r="J679" s="25" t="s">
        <v>20753</v>
      </c>
      <c r="K679" t="s">
        <v>11738</v>
      </c>
      <c r="L679" t="s">
        <v>25</v>
      </c>
      <c r="M679" t="s">
        <v>11704</v>
      </c>
      <c r="N679" t="s">
        <v>11705</v>
      </c>
      <c r="O679" t="s">
        <v>11706</v>
      </c>
      <c r="P679" t="s">
        <v>27</v>
      </c>
    </row>
    <row r="680" spans="2:16">
      <c r="C680">
        <v>6</v>
      </c>
      <c r="D680">
        <v>3</v>
      </c>
      <c r="E680">
        <v>8</v>
      </c>
      <c r="F680" t="s">
        <v>11708</v>
      </c>
    </row>
    <row r="681" spans="2:16">
      <c r="C681">
        <v>6</v>
      </c>
      <c r="D681">
        <v>3</v>
      </c>
      <c r="E681">
        <v>8</v>
      </c>
      <c r="F681" t="s">
        <v>11708</v>
      </c>
      <c r="G681" t="s">
        <v>12537</v>
      </c>
      <c r="H681" t="s">
        <v>10852</v>
      </c>
      <c r="I681">
        <v>1737</v>
      </c>
      <c r="K681" t="s">
        <v>19835</v>
      </c>
      <c r="L681" t="s">
        <v>65</v>
      </c>
      <c r="M681">
        <v>17</v>
      </c>
      <c r="N681">
        <v>1146.05</v>
      </c>
      <c r="O681">
        <v>1400.36</v>
      </c>
      <c r="P681">
        <v>23806.12</v>
      </c>
    </row>
    <row r="682" spans="2:16">
      <c r="C682">
        <v>6</v>
      </c>
      <c r="D682">
        <v>3</v>
      </c>
      <c r="E682">
        <v>8</v>
      </c>
      <c r="F682" t="s">
        <v>11708</v>
      </c>
      <c r="G682" t="s">
        <v>12538</v>
      </c>
      <c r="H682" t="s">
        <v>10852</v>
      </c>
      <c r="I682">
        <v>1612</v>
      </c>
      <c r="K682" t="s">
        <v>19836</v>
      </c>
      <c r="L682" t="s">
        <v>65</v>
      </c>
      <c r="M682">
        <v>10</v>
      </c>
      <c r="N682">
        <v>1231.04</v>
      </c>
      <c r="O682">
        <v>1504.21</v>
      </c>
      <c r="P682">
        <v>15042.1</v>
      </c>
    </row>
    <row r="683" spans="2:16">
      <c r="C683">
        <v>6</v>
      </c>
      <c r="D683">
        <v>3</v>
      </c>
      <c r="E683">
        <v>8</v>
      </c>
      <c r="F683" t="s">
        <v>11708</v>
      </c>
      <c r="G683" t="s">
        <v>12539</v>
      </c>
      <c r="H683" t="s">
        <v>11644</v>
      </c>
      <c r="I683">
        <v>83449</v>
      </c>
      <c r="K683" t="s">
        <v>3058</v>
      </c>
      <c r="L683" t="s">
        <v>65</v>
      </c>
      <c r="M683">
        <v>40</v>
      </c>
      <c r="N683">
        <v>307.56</v>
      </c>
      <c r="O683">
        <v>375.81</v>
      </c>
      <c r="P683">
        <v>15032.4</v>
      </c>
    </row>
    <row r="684" spans="2:16">
      <c r="C684">
        <v>6</v>
      </c>
      <c r="D684">
        <v>3</v>
      </c>
      <c r="E684">
        <v>8</v>
      </c>
      <c r="F684" t="s">
        <v>11708</v>
      </c>
      <c r="G684" t="s">
        <v>12512</v>
      </c>
      <c r="H684" t="s">
        <v>11720</v>
      </c>
      <c r="I684" t="s">
        <v>14332</v>
      </c>
      <c r="K684" t="s">
        <v>20510</v>
      </c>
      <c r="L684" t="s">
        <v>1274</v>
      </c>
      <c r="M684">
        <v>1</v>
      </c>
      <c r="N684">
        <v>8162.7</v>
      </c>
      <c r="O684">
        <v>9974</v>
      </c>
      <c r="P684">
        <v>9974</v>
      </c>
    </row>
    <row r="685" spans="2:16">
      <c r="C685">
        <v>6</v>
      </c>
      <c r="D685">
        <v>3</v>
      </c>
      <c r="E685">
        <v>8</v>
      </c>
      <c r="F685" t="s">
        <v>11708</v>
      </c>
      <c r="G685" t="s">
        <v>14340</v>
      </c>
      <c r="H685" t="s">
        <v>11644</v>
      </c>
      <c r="I685">
        <v>9537</v>
      </c>
      <c r="K685" t="s">
        <v>966</v>
      </c>
      <c r="L685" t="s">
        <v>256</v>
      </c>
      <c r="M685">
        <v>2700</v>
      </c>
      <c r="N685">
        <v>2.02</v>
      </c>
      <c r="O685">
        <v>2.4700000000000002</v>
      </c>
      <c r="P685">
        <v>6669</v>
      </c>
    </row>
    <row r="686" spans="2:16">
      <c r="C686">
        <v>6</v>
      </c>
      <c r="D686">
        <v>3</v>
      </c>
      <c r="E686">
        <v>8</v>
      </c>
      <c r="F686" t="s">
        <v>11708</v>
      </c>
    </row>
    <row r="687" spans="2:16">
      <c r="C687">
        <v>6</v>
      </c>
      <c r="D687">
        <v>3</v>
      </c>
      <c r="E687">
        <v>8</v>
      </c>
      <c r="F687" t="s">
        <v>11708</v>
      </c>
      <c r="H687" t="s">
        <v>20754</v>
      </c>
      <c r="P687">
        <v>70523.62</v>
      </c>
    </row>
    <row r="688" spans="2:16">
      <c r="C688">
        <v>6</v>
      </c>
      <c r="D688">
        <v>3</v>
      </c>
      <c r="E688">
        <v>8</v>
      </c>
      <c r="F688" t="s">
        <v>11708</v>
      </c>
    </row>
    <row r="689" spans="1:16">
      <c r="A689">
        <v>1</v>
      </c>
      <c r="C689">
        <v>6</v>
      </c>
      <c r="D689">
        <v>4</v>
      </c>
      <c r="E689">
        <v>8</v>
      </c>
      <c r="F689" t="s">
        <v>11708</v>
      </c>
      <c r="H689" t="s">
        <v>14638</v>
      </c>
      <c r="I689" t="s">
        <v>14333</v>
      </c>
      <c r="O689" t="s">
        <v>11702</v>
      </c>
      <c r="P689">
        <v>373717.83000000025</v>
      </c>
    </row>
    <row r="690" spans="1:16">
      <c r="C690">
        <v>6</v>
      </c>
      <c r="D690">
        <v>4</v>
      </c>
      <c r="E690">
        <v>8</v>
      </c>
      <c r="F690" t="s">
        <v>11708</v>
      </c>
    </row>
    <row r="691" spans="1:16">
      <c r="B691">
        <v>1</v>
      </c>
      <c r="C691">
        <v>6</v>
      </c>
      <c r="D691">
        <v>4</v>
      </c>
      <c r="E691">
        <v>9</v>
      </c>
      <c r="F691" t="s">
        <v>11708</v>
      </c>
      <c r="H691" t="s">
        <v>11703</v>
      </c>
      <c r="I691" t="s">
        <v>64</v>
      </c>
      <c r="J691" s="25" t="s">
        <v>20755</v>
      </c>
      <c r="K691" t="s">
        <v>11709</v>
      </c>
      <c r="L691" t="s">
        <v>25</v>
      </c>
      <c r="M691" t="s">
        <v>11704</v>
      </c>
      <c r="N691" t="s">
        <v>11705</v>
      </c>
      <c r="O691" t="s">
        <v>11706</v>
      </c>
      <c r="P691" t="s">
        <v>27</v>
      </c>
    </row>
    <row r="692" spans="1:16">
      <c r="C692">
        <v>6</v>
      </c>
      <c r="D692">
        <v>4</v>
      </c>
      <c r="E692">
        <v>9</v>
      </c>
      <c r="F692" t="s">
        <v>11708</v>
      </c>
    </row>
    <row r="693" spans="1:16">
      <c r="C693">
        <v>6</v>
      </c>
      <c r="D693">
        <v>4</v>
      </c>
      <c r="E693">
        <v>9</v>
      </c>
      <c r="F693" t="s">
        <v>11708</v>
      </c>
      <c r="G693" t="s">
        <v>12031</v>
      </c>
      <c r="H693" t="s">
        <v>70</v>
      </c>
      <c r="I693">
        <v>73610</v>
      </c>
      <c r="K693" t="s">
        <v>1102</v>
      </c>
      <c r="L693" t="s">
        <v>71</v>
      </c>
      <c r="M693">
        <v>3373.3700000000003</v>
      </c>
      <c r="N693">
        <v>0.97</v>
      </c>
      <c r="O693">
        <v>1.19</v>
      </c>
      <c r="P693">
        <v>4014.31</v>
      </c>
    </row>
    <row r="694" spans="1:16">
      <c r="C694">
        <v>6</v>
      </c>
      <c r="D694">
        <v>4</v>
      </c>
      <c r="E694">
        <v>9</v>
      </c>
      <c r="F694" t="s">
        <v>11708</v>
      </c>
      <c r="G694" t="s">
        <v>12032</v>
      </c>
      <c r="H694" t="s">
        <v>70</v>
      </c>
      <c r="I694" t="s">
        <v>19163</v>
      </c>
      <c r="K694" t="s">
        <v>19164</v>
      </c>
      <c r="L694" t="s">
        <v>256</v>
      </c>
      <c r="M694">
        <v>3942.9333895574923</v>
      </c>
      <c r="N694">
        <v>0.59</v>
      </c>
      <c r="O694">
        <v>0.72</v>
      </c>
      <c r="P694">
        <v>2838.91</v>
      </c>
    </row>
    <row r="695" spans="1:16">
      <c r="C695">
        <v>6</v>
      </c>
      <c r="D695">
        <v>4</v>
      </c>
      <c r="E695">
        <v>9</v>
      </c>
      <c r="F695" t="s">
        <v>11708</v>
      </c>
      <c r="G695" t="s">
        <v>12679</v>
      </c>
      <c r="H695" t="s">
        <v>10852</v>
      </c>
      <c r="I695">
        <v>1511</v>
      </c>
      <c r="K695" t="s">
        <v>1254</v>
      </c>
      <c r="L695" t="s">
        <v>71</v>
      </c>
      <c r="M695">
        <v>3373.3700000000003</v>
      </c>
      <c r="N695">
        <v>1.26</v>
      </c>
      <c r="O695">
        <v>1.54</v>
      </c>
      <c r="P695">
        <v>5194.99</v>
      </c>
    </row>
    <row r="696" spans="1:16">
      <c r="C696">
        <v>6</v>
      </c>
      <c r="D696">
        <v>4</v>
      </c>
      <c r="E696">
        <v>9</v>
      </c>
      <c r="F696" t="s">
        <v>11708</v>
      </c>
    </row>
    <row r="697" spans="1:16">
      <c r="C697">
        <v>6</v>
      </c>
      <c r="D697">
        <v>4</v>
      </c>
      <c r="E697">
        <v>9</v>
      </c>
      <c r="F697" t="s">
        <v>11708</v>
      </c>
      <c r="H697" t="s">
        <v>20756</v>
      </c>
      <c r="P697">
        <v>12048.21</v>
      </c>
    </row>
    <row r="698" spans="1:16">
      <c r="C698">
        <v>6</v>
      </c>
      <c r="D698">
        <v>4</v>
      </c>
      <c r="E698">
        <v>9</v>
      </c>
      <c r="F698" t="s">
        <v>11708</v>
      </c>
    </row>
    <row r="699" spans="1:16">
      <c r="B699">
        <v>1</v>
      </c>
      <c r="C699">
        <v>6</v>
      </c>
      <c r="D699">
        <v>4</v>
      </c>
      <c r="E699">
        <v>10</v>
      </c>
      <c r="F699" t="s">
        <v>11708</v>
      </c>
      <c r="H699" t="s">
        <v>11703</v>
      </c>
      <c r="I699" t="s">
        <v>64</v>
      </c>
      <c r="J699" s="25" t="s">
        <v>20757</v>
      </c>
      <c r="K699" t="s">
        <v>11710</v>
      </c>
      <c r="L699" t="s">
        <v>25</v>
      </c>
      <c r="M699" t="s">
        <v>11704</v>
      </c>
      <c r="N699" t="s">
        <v>11705</v>
      </c>
      <c r="O699" t="s">
        <v>11706</v>
      </c>
      <c r="P699" t="s">
        <v>27</v>
      </c>
    </row>
    <row r="700" spans="1:16">
      <c r="C700">
        <v>6</v>
      </c>
      <c r="D700">
        <v>4</v>
      </c>
      <c r="E700">
        <v>10</v>
      </c>
      <c r="F700" t="s">
        <v>11708</v>
      </c>
    </row>
    <row r="701" spans="1:16">
      <c r="C701">
        <v>6</v>
      </c>
      <c r="D701">
        <v>4</v>
      </c>
      <c r="E701">
        <v>10</v>
      </c>
      <c r="F701" t="s">
        <v>11708</v>
      </c>
      <c r="G701" t="s">
        <v>12033</v>
      </c>
      <c r="H701" t="s">
        <v>70</v>
      </c>
      <c r="I701">
        <v>90105</v>
      </c>
      <c r="K701" t="s">
        <v>18214</v>
      </c>
      <c r="L701" t="s">
        <v>255</v>
      </c>
      <c r="M701">
        <v>3715.3720570251726</v>
      </c>
      <c r="N701">
        <v>14.07</v>
      </c>
      <c r="O701">
        <v>17.190000000000001</v>
      </c>
      <c r="P701">
        <v>63867.25</v>
      </c>
    </row>
    <row r="702" spans="1:16">
      <c r="C702">
        <v>6</v>
      </c>
      <c r="D702">
        <v>4</v>
      </c>
      <c r="E702">
        <v>10</v>
      </c>
      <c r="F702" t="s">
        <v>11708</v>
      </c>
      <c r="G702" t="s">
        <v>12034</v>
      </c>
      <c r="H702" t="s">
        <v>70</v>
      </c>
      <c r="I702">
        <v>90107</v>
      </c>
      <c r="K702" t="s">
        <v>18216</v>
      </c>
      <c r="L702" t="s">
        <v>255</v>
      </c>
      <c r="M702">
        <v>632.46506529344811</v>
      </c>
      <c r="N702">
        <v>11.87</v>
      </c>
      <c r="O702">
        <v>14.5</v>
      </c>
      <c r="P702">
        <v>9170.74</v>
      </c>
    </row>
    <row r="703" spans="1:16">
      <c r="C703">
        <v>6</v>
      </c>
      <c r="D703">
        <v>4</v>
      </c>
      <c r="E703">
        <v>10</v>
      </c>
      <c r="F703" t="s">
        <v>11708</v>
      </c>
      <c r="G703" t="s">
        <v>12035</v>
      </c>
      <c r="H703" t="s">
        <v>1</v>
      </c>
      <c r="I703">
        <v>184</v>
      </c>
      <c r="K703" t="s">
        <v>20740</v>
      </c>
      <c r="L703" t="s">
        <v>255</v>
      </c>
      <c r="M703">
        <v>206.40955872362071</v>
      </c>
      <c r="N703">
        <v>4.68</v>
      </c>
      <c r="O703">
        <v>5.72</v>
      </c>
      <c r="P703">
        <v>1180.6600000000001</v>
      </c>
    </row>
    <row r="704" spans="1:16">
      <c r="C704">
        <v>6</v>
      </c>
      <c r="D704">
        <v>4</v>
      </c>
      <c r="E704">
        <v>10</v>
      </c>
      <c r="F704" t="s">
        <v>11708</v>
      </c>
      <c r="G704" t="s">
        <v>12036</v>
      </c>
      <c r="H704" t="s">
        <v>1</v>
      </c>
      <c r="I704">
        <v>185</v>
      </c>
      <c r="K704" t="s">
        <v>20758</v>
      </c>
      <c r="L704" t="s">
        <v>255</v>
      </c>
      <c r="M704">
        <v>35.136948071858228</v>
      </c>
      <c r="N704">
        <v>5.85</v>
      </c>
      <c r="O704">
        <v>7.15</v>
      </c>
      <c r="P704">
        <v>251.23</v>
      </c>
    </row>
    <row r="705" spans="3:16">
      <c r="C705">
        <v>6</v>
      </c>
      <c r="D705">
        <v>4</v>
      </c>
      <c r="E705">
        <v>10</v>
      </c>
      <c r="F705" t="s">
        <v>11708</v>
      </c>
      <c r="G705" t="s">
        <v>12037</v>
      </c>
      <c r="H705" t="s">
        <v>1</v>
      </c>
      <c r="I705">
        <v>187</v>
      </c>
      <c r="K705" t="s">
        <v>20741</v>
      </c>
      <c r="L705" t="s">
        <v>255</v>
      </c>
      <c r="M705">
        <v>206.40955872362071</v>
      </c>
      <c r="N705">
        <v>4.67</v>
      </c>
      <c r="O705">
        <v>5.71</v>
      </c>
      <c r="P705">
        <v>1178.5999999999999</v>
      </c>
    </row>
    <row r="706" spans="3:16">
      <c r="C706">
        <v>6</v>
      </c>
      <c r="D706">
        <v>4</v>
      </c>
      <c r="E706">
        <v>10</v>
      </c>
      <c r="F706" t="s">
        <v>11708</v>
      </c>
      <c r="G706" t="s">
        <v>12038</v>
      </c>
      <c r="H706" t="s">
        <v>1</v>
      </c>
      <c r="I706">
        <v>188</v>
      </c>
      <c r="K706" t="s">
        <v>20759</v>
      </c>
      <c r="L706" t="s">
        <v>255</v>
      </c>
      <c r="M706">
        <v>35.136948071858228</v>
      </c>
      <c r="N706">
        <v>5.81</v>
      </c>
      <c r="O706">
        <v>7.1</v>
      </c>
      <c r="P706">
        <v>249.47</v>
      </c>
    </row>
    <row r="707" spans="3:16">
      <c r="C707">
        <v>6</v>
      </c>
      <c r="D707">
        <v>4</v>
      </c>
      <c r="E707">
        <v>10</v>
      </c>
      <c r="F707" t="s">
        <v>11708</v>
      </c>
      <c r="G707" t="s">
        <v>12039</v>
      </c>
      <c r="H707" t="s">
        <v>70</v>
      </c>
      <c r="I707">
        <v>93358</v>
      </c>
      <c r="K707" t="s">
        <v>826</v>
      </c>
      <c r="L707" t="s">
        <v>255</v>
      </c>
      <c r="M707">
        <v>228.83353275361162</v>
      </c>
      <c r="N707">
        <v>52.29</v>
      </c>
      <c r="O707">
        <v>63.89</v>
      </c>
      <c r="P707">
        <v>14620.17</v>
      </c>
    </row>
    <row r="708" spans="3:16">
      <c r="C708">
        <v>6</v>
      </c>
      <c r="D708">
        <v>4</v>
      </c>
      <c r="E708">
        <v>10</v>
      </c>
      <c r="F708" t="s">
        <v>11708</v>
      </c>
      <c r="G708" t="s">
        <v>12040</v>
      </c>
      <c r="H708" t="s">
        <v>1</v>
      </c>
      <c r="I708">
        <v>170</v>
      </c>
      <c r="K708" t="s">
        <v>19822</v>
      </c>
      <c r="L708" t="s">
        <v>255</v>
      </c>
      <c r="M708">
        <v>10.863660985453722</v>
      </c>
      <c r="N708">
        <v>55.58</v>
      </c>
      <c r="O708">
        <v>67.91</v>
      </c>
      <c r="P708">
        <v>737.75</v>
      </c>
    </row>
    <row r="709" spans="3:16">
      <c r="C709">
        <v>6</v>
      </c>
      <c r="D709">
        <v>4</v>
      </c>
      <c r="E709">
        <v>10</v>
      </c>
      <c r="F709" t="s">
        <v>11708</v>
      </c>
      <c r="G709" t="s">
        <v>12041</v>
      </c>
      <c r="H709" t="s">
        <v>1</v>
      </c>
      <c r="I709">
        <v>171</v>
      </c>
      <c r="K709" t="s">
        <v>19823</v>
      </c>
      <c r="L709" t="s">
        <v>255</v>
      </c>
      <c r="M709">
        <v>1.8493130564135911</v>
      </c>
      <c r="N709">
        <v>84.57</v>
      </c>
      <c r="O709">
        <v>103.34</v>
      </c>
      <c r="P709">
        <v>191.11</v>
      </c>
    </row>
    <row r="710" spans="3:16">
      <c r="C710">
        <v>6</v>
      </c>
      <c r="D710">
        <v>4</v>
      </c>
      <c r="E710">
        <v>10</v>
      </c>
      <c r="F710" t="s">
        <v>11708</v>
      </c>
      <c r="G710" t="s">
        <v>12042</v>
      </c>
      <c r="H710" t="s">
        <v>1</v>
      </c>
      <c r="I710">
        <v>176</v>
      </c>
      <c r="K710" t="s">
        <v>19826</v>
      </c>
      <c r="L710" t="s">
        <v>255</v>
      </c>
      <c r="M710">
        <v>10.863660985453722</v>
      </c>
      <c r="N710">
        <v>47.89</v>
      </c>
      <c r="O710">
        <v>58.52</v>
      </c>
      <c r="P710">
        <v>635.74</v>
      </c>
    </row>
    <row r="711" spans="3:16">
      <c r="C711">
        <v>6</v>
      </c>
      <c r="D711">
        <v>4</v>
      </c>
      <c r="E711">
        <v>10</v>
      </c>
      <c r="F711" t="s">
        <v>11708</v>
      </c>
      <c r="G711" t="s">
        <v>12043</v>
      </c>
      <c r="H711" t="s">
        <v>1</v>
      </c>
      <c r="I711">
        <v>177</v>
      </c>
      <c r="K711" t="s">
        <v>19827</v>
      </c>
      <c r="L711" t="s">
        <v>255</v>
      </c>
      <c r="M711">
        <v>1.8493130564135911</v>
      </c>
      <c r="N711">
        <v>58.46</v>
      </c>
      <c r="O711">
        <v>71.430000000000007</v>
      </c>
      <c r="P711">
        <v>132.1</v>
      </c>
    </row>
    <row r="712" spans="3:16">
      <c r="C712">
        <v>6</v>
      </c>
      <c r="D712">
        <v>4</v>
      </c>
      <c r="E712">
        <v>10</v>
      </c>
      <c r="F712" t="s">
        <v>11708</v>
      </c>
      <c r="G712" t="s">
        <v>12044</v>
      </c>
      <c r="H712" t="s">
        <v>70</v>
      </c>
      <c r="I712" t="s">
        <v>15726</v>
      </c>
      <c r="K712" t="s">
        <v>350</v>
      </c>
      <c r="L712" t="s">
        <v>57</v>
      </c>
      <c r="M712">
        <v>20</v>
      </c>
      <c r="N712">
        <v>6.2</v>
      </c>
      <c r="O712">
        <v>7.58</v>
      </c>
      <c r="P712">
        <v>151.6</v>
      </c>
    </row>
    <row r="713" spans="3:16">
      <c r="C713">
        <v>6</v>
      </c>
      <c r="D713">
        <v>4</v>
      </c>
      <c r="E713">
        <v>10</v>
      </c>
      <c r="F713" t="s">
        <v>11708</v>
      </c>
      <c r="G713" t="s">
        <v>12045</v>
      </c>
      <c r="H713" t="s">
        <v>70</v>
      </c>
      <c r="I713">
        <v>94097</v>
      </c>
      <c r="K713" t="s">
        <v>18292</v>
      </c>
      <c r="L713" t="s">
        <v>256</v>
      </c>
      <c r="M713">
        <v>3373.3700000000003</v>
      </c>
      <c r="N713">
        <v>4.51</v>
      </c>
      <c r="O713">
        <v>5.51</v>
      </c>
      <c r="P713">
        <v>18587.27</v>
      </c>
    </row>
    <row r="714" spans="3:16">
      <c r="C714">
        <v>6</v>
      </c>
      <c r="D714">
        <v>4</v>
      </c>
      <c r="E714">
        <v>10</v>
      </c>
      <c r="F714" t="s">
        <v>11708</v>
      </c>
      <c r="G714" t="s">
        <v>12053</v>
      </c>
      <c r="H714" t="s">
        <v>70</v>
      </c>
      <c r="I714">
        <v>93380</v>
      </c>
      <c r="K714" t="s">
        <v>18258</v>
      </c>
      <c r="L714" t="s">
        <v>255</v>
      </c>
      <c r="M714">
        <v>228.97686064553886</v>
      </c>
      <c r="N714">
        <v>14.69</v>
      </c>
      <c r="O714">
        <v>17.95</v>
      </c>
      <c r="P714">
        <v>4110.13</v>
      </c>
    </row>
    <row r="715" spans="3:16">
      <c r="C715">
        <v>6</v>
      </c>
      <c r="D715">
        <v>4</v>
      </c>
      <c r="E715">
        <v>10</v>
      </c>
      <c r="F715" t="s">
        <v>11708</v>
      </c>
      <c r="G715" t="s">
        <v>12054</v>
      </c>
      <c r="H715" t="s">
        <v>70</v>
      </c>
      <c r="I715">
        <v>93379</v>
      </c>
      <c r="K715" t="s">
        <v>18257</v>
      </c>
      <c r="L715" t="s">
        <v>255</v>
      </c>
      <c r="M715">
        <v>874.4292792900003</v>
      </c>
      <c r="N715">
        <v>18.98</v>
      </c>
      <c r="O715">
        <v>23.19</v>
      </c>
      <c r="P715">
        <v>20278.009999999998</v>
      </c>
    </row>
    <row r="716" spans="3:16">
      <c r="C716">
        <v>6</v>
      </c>
      <c r="D716">
        <v>4</v>
      </c>
      <c r="E716">
        <v>10</v>
      </c>
      <c r="F716" t="s">
        <v>11708</v>
      </c>
      <c r="G716" t="s">
        <v>20420</v>
      </c>
      <c r="H716" t="s">
        <v>70</v>
      </c>
      <c r="I716">
        <v>93381</v>
      </c>
      <c r="K716" t="s">
        <v>18259</v>
      </c>
      <c r="L716" t="s">
        <v>255</v>
      </c>
      <c r="M716">
        <v>1641.2365111071417</v>
      </c>
      <c r="N716">
        <v>9.17</v>
      </c>
      <c r="O716">
        <v>11.2</v>
      </c>
      <c r="P716">
        <v>18381.849999999999</v>
      </c>
    </row>
    <row r="717" spans="3:16">
      <c r="C717">
        <v>6</v>
      </c>
      <c r="D717">
        <v>4</v>
      </c>
      <c r="E717">
        <v>10</v>
      </c>
      <c r="F717" t="s">
        <v>11708</v>
      </c>
      <c r="G717" t="s">
        <v>20421</v>
      </c>
      <c r="H717" t="s">
        <v>70</v>
      </c>
      <c r="I717" t="s">
        <v>18237</v>
      </c>
      <c r="K717" t="s">
        <v>829</v>
      </c>
      <c r="L717" t="s">
        <v>255</v>
      </c>
      <c r="M717">
        <v>1988.5015028109476</v>
      </c>
      <c r="N717">
        <v>39.659999999999997</v>
      </c>
      <c r="O717">
        <v>48.46</v>
      </c>
      <c r="P717">
        <v>96362.78</v>
      </c>
    </row>
    <row r="718" spans="3:16">
      <c r="C718">
        <v>6</v>
      </c>
      <c r="D718">
        <v>4</v>
      </c>
      <c r="E718">
        <v>10</v>
      </c>
      <c r="F718" t="s">
        <v>11708</v>
      </c>
    </row>
    <row r="719" spans="3:16">
      <c r="C719">
        <v>6</v>
      </c>
      <c r="D719">
        <v>4</v>
      </c>
      <c r="E719">
        <v>10</v>
      </c>
      <c r="F719" t="s">
        <v>11708</v>
      </c>
      <c r="H719" t="s">
        <v>20760</v>
      </c>
      <c r="P719">
        <v>250086.46000000005</v>
      </c>
    </row>
    <row r="720" spans="3:16">
      <c r="C720">
        <v>6</v>
      </c>
      <c r="D720">
        <v>4</v>
      </c>
      <c r="E720">
        <v>10</v>
      </c>
      <c r="F720" t="s">
        <v>11708</v>
      </c>
    </row>
    <row r="721" spans="2:16">
      <c r="B721">
        <v>1</v>
      </c>
      <c r="C721">
        <v>6</v>
      </c>
      <c r="D721">
        <v>4</v>
      </c>
      <c r="E721">
        <v>11</v>
      </c>
      <c r="F721" t="s">
        <v>11708</v>
      </c>
      <c r="H721" t="s">
        <v>11703</v>
      </c>
      <c r="I721" t="s">
        <v>64</v>
      </c>
      <c r="J721" s="25" t="s">
        <v>20761</v>
      </c>
      <c r="K721" t="s">
        <v>11713</v>
      </c>
      <c r="L721" t="s">
        <v>25</v>
      </c>
      <c r="M721" t="s">
        <v>11704</v>
      </c>
      <c r="N721" t="s">
        <v>11705</v>
      </c>
      <c r="O721" t="s">
        <v>11706</v>
      </c>
      <c r="P721" t="s">
        <v>27</v>
      </c>
    </row>
    <row r="722" spans="2:16">
      <c r="C722">
        <v>6</v>
      </c>
      <c r="D722">
        <v>4</v>
      </c>
      <c r="E722">
        <v>11</v>
      </c>
      <c r="F722" t="s">
        <v>11708</v>
      </c>
    </row>
    <row r="723" spans="2:16">
      <c r="C723">
        <v>6</v>
      </c>
      <c r="D723">
        <v>4</v>
      </c>
      <c r="E723">
        <v>11</v>
      </c>
      <c r="F723" t="s">
        <v>11708</v>
      </c>
      <c r="G723" t="s">
        <v>12046</v>
      </c>
      <c r="H723" t="s">
        <v>70</v>
      </c>
      <c r="I723" t="s">
        <v>18276</v>
      </c>
      <c r="K723" t="s">
        <v>18277</v>
      </c>
      <c r="L723" t="s">
        <v>255</v>
      </c>
      <c r="M723">
        <v>439.02201998310517</v>
      </c>
      <c r="N723">
        <v>1.76</v>
      </c>
      <c r="O723">
        <v>2.15</v>
      </c>
      <c r="P723">
        <v>943.9</v>
      </c>
    </row>
    <row r="724" spans="2:16">
      <c r="C724">
        <v>6</v>
      </c>
      <c r="D724">
        <v>4</v>
      </c>
      <c r="E724">
        <v>11</v>
      </c>
      <c r="F724" t="s">
        <v>11708</v>
      </c>
      <c r="G724" t="s">
        <v>12047</v>
      </c>
      <c r="H724" t="s">
        <v>70</v>
      </c>
      <c r="I724">
        <v>93590</v>
      </c>
      <c r="K724" t="s">
        <v>19275</v>
      </c>
      <c r="L724" t="s">
        <v>9853</v>
      </c>
      <c r="M724">
        <v>3292.6651498732886</v>
      </c>
      <c r="N724">
        <v>0.74</v>
      </c>
      <c r="O724">
        <v>0.9</v>
      </c>
      <c r="P724">
        <v>2963.4</v>
      </c>
    </row>
    <row r="725" spans="2:16">
      <c r="C725">
        <v>6</v>
      </c>
      <c r="D725">
        <v>4</v>
      </c>
      <c r="E725">
        <v>11</v>
      </c>
      <c r="F725" t="s">
        <v>11708</v>
      </c>
      <c r="G725" t="s">
        <v>12048</v>
      </c>
      <c r="H725" t="s">
        <v>70</v>
      </c>
      <c r="I725">
        <v>83344</v>
      </c>
      <c r="K725" t="s">
        <v>18317</v>
      </c>
      <c r="L725" t="s">
        <v>255</v>
      </c>
      <c r="M725">
        <v>439.02201998310517</v>
      </c>
      <c r="N725">
        <v>1.02</v>
      </c>
      <c r="O725">
        <v>1.25</v>
      </c>
      <c r="P725">
        <v>548.78</v>
      </c>
    </row>
    <row r="726" spans="2:16">
      <c r="C726">
        <v>6</v>
      </c>
      <c r="D726">
        <v>4</v>
      </c>
      <c r="E726">
        <v>11</v>
      </c>
      <c r="F726" t="s">
        <v>11708</v>
      </c>
    </row>
    <row r="727" spans="2:16">
      <c r="C727">
        <v>6</v>
      </c>
      <c r="D727">
        <v>4</v>
      </c>
      <c r="E727">
        <v>11</v>
      </c>
      <c r="F727" t="s">
        <v>11708</v>
      </c>
      <c r="H727" t="s">
        <v>20762</v>
      </c>
      <c r="P727">
        <v>4456.08</v>
      </c>
    </row>
    <row r="728" spans="2:16">
      <c r="C728">
        <v>6</v>
      </c>
      <c r="D728">
        <v>4</v>
      </c>
      <c r="E728">
        <v>11</v>
      </c>
      <c r="F728" t="s">
        <v>11708</v>
      </c>
    </row>
    <row r="729" spans="2:16">
      <c r="B729">
        <v>1</v>
      </c>
      <c r="C729">
        <v>6</v>
      </c>
      <c r="D729">
        <v>4</v>
      </c>
      <c r="E729">
        <v>12</v>
      </c>
      <c r="F729" t="s">
        <v>11708</v>
      </c>
      <c r="H729" t="s">
        <v>11703</v>
      </c>
      <c r="I729" t="s">
        <v>64</v>
      </c>
      <c r="J729" s="25" t="s">
        <v>20763</v>
      </c>
      <c r="K729" t="s">
        <v>11711</v>
      </c>
      <c r="L729" t="s">
        <v>25</v>
      </c>
      <c r="M729" t="s">
        <v>11704</v>
      </c>
      <c r="N729" t="s">
        <v>11705</v>
      </c>
      <c r="O729" t="s">
        <v>11706</v>
      </c>
      <c r="P729" t="s">
        <v>27</v>
      </c>
    </row>
    <row r="730" spans="2:16">
      <c r="C730">
        <v>6</v>
      </c>
      <c r="D730">
        <v>4</v>
      </c>
      <c r="E730">
        <v>12</v>
      </c>
      <c r="F730" t="s">
        <v>11708</v>
      </c>
    </row>
    <row r="731" spans="2:16">
      <c r="C731">
        <v>6</v>
      </c>
      <c r="D731">
        <v>4</v>
      </c>
      <c r="E731">
        <v>12</v>
      </c>
      <c r="F731" t="s">
        <v>11708</v>
      </c>
      <c r="G731" t="s">
        <v>20406</v>
      </c>
      <c r="H731" t="s">
        <v>70</v>
      </c>
      <c r="I731">
        <v>94043</v>
      </c>
      <c r="K731" t="s">
        <v>16005</v>
      </c>
      <c r="L731" t="s">
        <v>256</v>
      </c>
      <c r="M731">
        <v>540.45732499999997</v>
      </c>
      <c r="N731">
        <v>14.48</v>
      </c>
      <c r="O731">
        <v>17.690000000000001</v>
      </c>
      <c r="P731">
        <v>9560.69</v>
      </c>
    </row>
    <row r="732" spans="2:16">
      <c r="C732">
        <v>6</v>
      </c>
      <c r="D732">
        <v>4</v>
      </c>
      <c r="E732">
        <v>12</v>
      </c>
      <c r="F732" t="s">
        <v>11708</v>
      </c>
      <c r="G732" t="s">
        <v>20407</v>
      </c>
      <c r="H732" t="s">
        <v>70</v>
      </c>
      <c r="I732">
        <v>94045</v>
      </c>
      <c r="K732" t="s">
        <v>16007</v>
      </c>
      <c r="L732" t="s">
        <v>256</v>
      </c>
      <c r="M732">
        <v>3258.9895099999999</v>
      </c>
      <c r="N732">
        <v>11.26</v>
      </c>
      <c r="O732">
        <v>13.76</v>
      </c>
      <c r="P732">
        <v>44843.7</v>
      </c>
    </row>
    <row r="733" spans="2:16">
      <c r="C733">
        <v>6</v>
      </c>
      <c r="D733">
        <v>4</v>
      </c>
      <c r="E733">
        <v>12</v>
      </c>
      <c r="F733" t="s">
        <v>11708</v>
      </c>
      <c r="G733" t="s">
        <v>12680</v>
      </c>
      <c r="H733" t="s">
        <v>70</v>
      </c>
      <c r="I733" t="s">
        <v>16023</v>
      </c>
      <c r="K733" t="s">
        <v>5240</v>
      </c>
      <c r="L733" t="s">
        <v>256</v>
      </c>
      <c r="M733">
        <v>117.50866499999999</v>
      </c>
      <c r="N733">
        <v>36.270000000000003</v>
      </c>
      <c r="O733">
        <v>44.32</v>
      </c>
      <c r="P733">
        <v>5207.9799999999996</v>
      </c>
    </row>
    <row r="734" spans="2:16">
      <c r="C734">
        <v>6</v>
      </c>
      <c r="D734">
        <v>4</v>
      </c>
      <c r="E734">
        <v>12</v>
      </c>
      <c r="F734" t="s">
        <v>11708</v>
      </c>
    </row>
    <row r="735" spans="2:16">
      <c r="C735">
        <v>6</v>
      </c>
      <c r="D735">
        <v>4</v>
      </c>
      <c r="E735">
        <v>12</v>
      </c>
      <c r="F735" t="s">
        <v>11708</v>
      </c>
      <c r="H735" t="s">
        <v>20764</v>
      </c>
      <c r="P735">
        <v>59612.369999999995</v>
      </c>
    </row>
    <row r="736" spans="2:16">
      <c r="C736">
        <v>6</v>
      </c>
      <c r="D736">
        <v>4</v>
      </c>
      <c r="E736">
        <v>12</v>
      </c>
      <c r="F736" t="s">
        <v>11708</v>
      </c>
    </row>
    <row r="737" spans="2:16">
      <c r="B737">
        <v>1</v>
      </c>
      <c r="C737">
        <v>6</v>
      </c>
      <c r="D737">
        <v>4</v>
      </c>
      <c r="E737">
        <v>13</v>
      </c>
      <c r="F737" t="s">
        <v>11708</v>
      </c>
      <c r="H737" t="s">
        <v>11703</v>
      </c>
      <c r="I737" t="s">
        <v>64</v>
      </c>
      <c r="J737" s="25" t="s">
        <v>20765</v>
      </c>
      <c r="K737" t="s">
        <v>12681</v>
      </c>
      <c r="L737" t="s">
        <v>25</v>
      </c>
      <c r="M737" t="s">
        <v>11704</v>
      </c>
      <c r="N737" t="s">
        <v>11705</v>
      </c>
      <c r="O737" t="s">
        <v>11706</v>
      </c>
      <c r="P737" t="s">
        <v>27</v>
      </c>
    </row>
    <row r="738" spans="2:16">
      <c r="C738">
        <v>6</v>
      </c>
      <c r="D738">
        <v>4</v>
      </c>
      <c r="E738">
        <v>13</v>
      </c>
      <c r="F738" t="s">
        <v>11708</v>
      </c>
    </row>
    <row r="739" spans="2:16">
      <c r="C739">
        <v>6</v>
      </c>
      <c r="D739">
        <v>4</v>
      </c>
      <c r="E739">
        <v>13</v>
      </c>
      <c r="F739" t="s">
        <v>11708</v>
      </c>
      <c r="G739" t="s">
        <v>12057</v>
      </c>
      <c r="H739" t="s">
        <v>70</v>
      </c>
      <c r="I739">
        <v>92842</v>
      </c>
      <c r="K739" t="s">
        <v>14809</v>
      </c>
      <c r="L739" t="s">
        <v>71</v>
      </c>
      <c r="M739">
        <v>134.47</v>
      </c>
      <c r="N739">
        <v>14.76</v>
      </c>
      <c r="O739">
        <v>18.04</v>
      </c>
      <c r="P739">
        <v>2425.84</v>
      </c>
    </row>
    <row r="740" spans="2:16">
      <c r="C740">
        <v>6</v>
      </c>
      <c r="D740">
        <v>4</v>
      </c>
      <c r="E740">
        <v>13</v>
      </c>
      <c r="F740" t="s">
        <v>11708</v>
      </c>
      <c r="G740" t="s">
        <v>20408</v>
      </c>
      <c r="H740" t="s">
        <v>70</v>
      </c>
      <c r="I740">
        <v>73515</v>
      </c>
      <c r="K740" t="s">
        <v>9917</v>
      </c>
      <c r="L740" t="s">
        <v>71</v>
      </c>
      <c r="M740">
        <v>134.47</v>
      </c>
      <c r="N740">
        <v>8.33</v>
      </c>
      <c r="O740">
        <v>10.18</v>
      </c>
      <c r="P740">
        <v>1368.9</v>
      </c>
    </row>
    <row r="741" spans="2:16">
      <c r="C741">
        <v>6</v>
      </c>
      <c r="D741">
        <v>4</v>
      </c>
      <c r="E741">
        <v>13</v>
      </c>
      <c r="F741" t="s">
        <v>11708</v>
      </c>
      <c r="G741" t="s">
        <v>12058</v>
      </c>
      <c r="H741" t="s">
        <v>70</v>
      </c>
      <c r="I741" t="s">
        <v>14687</v>
      </c>
      <c r="K741" t="s">
        <v>14688</v>
      </c>
      <c r="L741" t="s">
        <v>71</v>
      </c>
      <c r="M741">
        <v>41</v>
      </c>
      <c r="N741">
        <v>14.44</v>
      </c>
      <c r="O741">
        <v>17.64</v>
      </c>
      <c r="P741">
        <v>723.24</v>
      </c>
    </row>
    <row r="742" spans="2:16">
      <c r="C742">
        <v>6</v>
      </c>
      <c r="D742">
        <v>4</v>
      </c>
      <c r="E742">
        <v>13</v>
      </c>
      <c r="F742" t="s">
        <v>11708</v>
      </c>
      <c r="G742" t="s">
        <v>12059</v>
      </c>
      <c r="H742" t="s">
        <v>70</v>
      </c>
      <c r="I742" t="s">
        <v>14693</v>
      </c>
      <c r="K742" t="s">
        <v>14694</v>
      </c>
      <c r="L742" t="s">
        <v>71</v>
      </c>
      <c r="M742">
        <v>47</v>
      </c>
      <c r="N742">
        <v>22.48</v>
      </c>
      <c r="O742">
        <v>27.47</v>
      </c>
      <c r="P742">
        <v>1291.0899999999999</v>
      </c>
    </row>
    <row r="743" spans="2:16">
      <c r="C743">
        <v>6</v>
      </c>
      <c r="D743">
        <v>4</v>
      </c>
      <c r="E743">
        <v>13</v>
      </c>
      <c r="F743" t="s">
        <v>11708</v>
      </c>
      <c r="G743" t="s">
        <v>12060</v>
      </c>
      <c r="H743" t="s">
        <v>70</v>
      </c>
      <c r="I743">
        <v>90733</v>
      </c>
      <c r="K743" t="s">
        <v>14742</v>
      </c>
      <c r="L743" t="s">
        <v>71</v>
      </c>
      <c r="M743">
        <v>1218</v>
      </c>
      <c r="N743">
        <v>2.31</v>
      </c>
      <c r="O743">
        <v>2.82</v>
      </c>
      <c r="P743">
        <v>3434.76</v>
      </c>
    </row>
    <row r="744" spans="2:16">
      <c r="C744">
        <v>6</v>
      </c>
      <c r="D744">
        <v>4</v>
      </c>
      <c r="E744">
        <v>13</v>
      </c>
      <c r="F744" t="s">
        <v>11708</v>
      </c>
      <c r="G744" t="s">
        <v>12049</v>
      </c>
      <c r="H744" t="s">
        <v>70</v>
      </c>
      <c r="I744">
        <v>90734</v>
      </c>
      <c r="K744" t="s">
        <v>14743</v>
      </c>
      <c r="L744" t="s">
        <v>71</v>
      </c>
      <c r="M744">
        <v>47</v>
      </c>
      <c r="N744">
        <v>2.81</v>
      </c>
      <c r="O744">
        <v>3.43</v>
      </c>
      <c r="P744">
        <v>161.21</v>
      </c>
    </row>
    <row r="745" spans="2:16">
      <c r="C745">
        <v>6</v>
      </c>
      <c r="D745">
        <v>4</v>
      </c>
      <c r="E745">
        <v>13</v>
      </c>
      <c r="F745" t="s">
        <v>11708</v>
      </c>
      <c r="G745" t="s">
        <v>20409</v>
      </c>
      <c r="H745" t="s">
        <v>70</v>
      </c>
      <c r="I745">
        <v>91108</v>
      </c>
      <c r="K745" t="s">
        <v>19093</v>
      </c>
      <c r="L745" t="s">
        <v>71</v>
      </c>
      <c r="M745">
        <v>1265</v>
      </c>
      <c r="N745">
        <v>0.12</v>
      </c>
      <c r="O745">
        <v>0.15</v>
      </c>
      <c r="P745">
        <v>189.75</v>
      </c>
    </row>
    <row r="746" spans="2:16">
      <c r="C746">
        <v>6</v>
      </c>
      <c r="D746">
        <v>4</v>
      </c>
      <c r="E746">
        <v>13</v>
      </c>
      <c r="F746" t="s">
        <v>11708</v>
      </c>
      <c r="G746" t="s">
        <v>12061</v>
      </c>
      <c r="H746" t="s">
        <v>70</v>
      </c>
      <c r="I746">
        <v>90735</v>
      </c>
      <c r="K746" t="s">
        <v>14744</v>
      </c>
      <c r="L746" t="s">
        <v>71</v>
      </c>
      <c r="M746">
        <v>224.8</v>
      </c>
      <c r="N746">
        <v>3.34</v>
      </c>
      <c r="O746">
        <v>4.08</v>
      </c>
      <c r="P746">
        <v>917.18</v>
      </c>
    </row>
    <row r="747" spans="2:16">
      <c r="C747">
        <v>6</v>
      </c>
      <c r="D747">
        <v>4</v>
      </c>
      <c r="E747">
        <v>13</v>
      </c>
      <c r="F747" t="s">
        <v>11708</v>
      </c>
      <c r="G747" t="s">
        <v>20410</v>
      </c>
      <c r="H747" t="s">
        <v>70</v>
      </c>
      <c r="I747">
        <v>73590</v>
      </c>
      <c r="K747" t="s">
        <v>9922</v>
      </c>
      <c r="L747" t="s">
        <v>71</v>
      </c>
      <c r="M747">
        <v>224.8</v>
      </c>
      <c r="N747">
        <v>0.38</v>
      </c>
      <c r="O747">
        <v>0.46</v>
      </c>
      <c r="P747">
        <v>103.41</v>
      </c>
    </row>
    <row r="748" spans="2:16">
      <c r="C748">
        <v>6</v>
      </c>
      <c r="D748">
        <v>4</v>
      </c>
      <c r="E748">
        <v>13</v>
      </c>
      <c r="F748" t="s">
        <v>11708</v>
      </c>
      <c r="G748" t="s">
        <v>12062</v>
      </c>
      <c r="H748" t="s">
        <v>70</v>
      </c>
      <c r="I748" t="s">
        <v>14714</v>
      </c>
      <c r="K748" t="s">
        <v>2334</v>
      </c>
      <c r="L748" t="s">
        <v>71</v>
      </c>
      <c r="M748">
        <v>280</v>
      </c>
      <c r="N748">
        <v>9.44</v>
      </c>
      <c r="O748">
        <v>11.53</v>
      </c>
      <c r="P748">
        <v>3228.4</v>
      </c>
    </row>
    <row r="749" spans="2:16">
      <c r="C749">
        <v>6</v>
      </c>
      <c r="D749">
        <v>4</v>
      </c>
      <c r="E749">
        <v>13</v>
      </c>
      <c r="F749" t="s">
        <v>11708</v>
      </c>
      <c r="G749" t="s">
        <v>20413</v>
      </c>
      <c r="H749" t="s">
        <v>70</v>
      </c>
      <c r="I749">
        <v>73507</v>
      </c>
      <c r="K749" t="s">
        <v>9928</v>
      </c>
      <c r="L749" t="s">
        <v>71</v>
      </c>
      <c r="M749">
        <v>280</v>
      </c>
      <c r="N749">
        <v>3.39</v>
      </c>
      <c r="O749">
        <v>4.1399999999999997</v>
      </c>
      <c r="P749">
        <v>1159.2</v>
      </c>
    </row>
    <row r="750" spans="2:16">
      <c r="C750">
        <v>6</v>
      </c>
      <c r="D750">
        <v>4</v>
      </c>
      <c r="E750">
        <v>13</v>
      </c>
      <c r="F750" t="s">
        <v>11708</v>
      </c>
      <c r="G750" t="s">
        <v>12063</v>
      </c>
      <c r="H750" t="s">
        <v>13957</v>
      </c>
      <c r="I750" t="s">
        <v>20411</v>
      </c>
      <c r="K750" t="s">
        <v>20412</v>
      </c>
      <c r="L750" t="s">
        <v>18</v>
      </c>
      <c r="M750">
        <v>572</v>
      </c>
      <c r="N750">
        <v>2.5910000000000002</v>
      </c>
      <c r="O750">
        <v>3.17</v>
      </c>
      <c r="P750">
        <v>1813.24</v>
      </c>
    </row>
    <row r="751" spans="2:16">
      <c r="C751">
        <v>6</v>
      </c>
      <c r="D751">
        <v>4</v>
      </c>
      <c r="E751">
        <v>13</v>
      </c>
      <c r="F751" t="s">
        <v>11708</v>
      </c>
      <c r="G751" t="s">
        <v>20416</v>
      </c>
      <c r="H751" t="s">
        <v>13957</v>
      </c>
      <c r="I751" t="s">
        <v>20417</v>
      </c>
      <c r="K751" t="s">
        <v>20418</v>
      </c>
      <c r="L751" t="s">
        <v>18</v>
      </c>
      <c r="M751">
        <v>572</v>
      </c>
      <c r="N751">
        <v>0.38</v>
      </c>
      <c r="O751">
        <v>0.46</v>
      </c>
      <c r="P751">
        <v>263.12</v>
      </c>
    </row>
    <row r="752" spans="2:16">
      <c r="C752">
        <v>6</v>
      </c>
      <c r="D752">
        <v>4</v>
      </c>
      <c r="E752">
        <v>13</v>
      </c>
      <c r="F752" t="s">
        <v>11708</v>
      </c>
      <c r="G752" t="s">
        <v>12064</v>
      </c>
      <c r="H752" t="s">
        <v>70</v>
      </c>
      <c r="I752" t="s">
        <v>14715</v>
      </c>
      <c r="K752" t="s">
        <v>2335</v>
      </c>
      <c r="L752" t="s">
        <v>71</v>
      </c>
      <c r="M752">
        <v>317.7</v>
      </c>
      <c r="N752">
        <v>10.27</v>
      </c>
      <c r="O752">
        <v>12.55</v>
      </c>
      <c r="P752">
        <v>3987.14</v>
      </c>
    </row>
    <row r="753" spans="2:16">
      <c r="C753">
        <v>6</v>
      </c>
      <c r="D753">
        <v>4</v>
      </c>
      <c r="E753">
        <v>13</v>
      </c>
      <c r="F753" t="s">
        <v>11708</v>
      </c>
      <c r="G753" t="s">
        <v>20414</v>
      </c>
      <c r="H753" t="s">
        <v>70</v>
      </c>
      <c r="I753">
        <v>73506</v>
      </c>
      <c r="K753" t="s">
        <v>9929</v>
      </c>
      <c r="L753" t="s">
        <v>71</v>
      </c>
      <c r="M753">
        <v>317.7</v>
      </c>
      <c r="N753">
        <v>4.33</v>
      </c>
      <c r="O753">
        <v>5.29</v>
      </c>
      <c r="P753">
        <v>1680.63</v>
      </c>
    </row>
    <row r="754" spans="2:16">
      <c r="C754">
        <v>6</v>
      </c>
      <c r="D754">
        <v>4</v>
      </c>
      <c r="E754">
        <v>13</v>
      </c>
      <c r="F754" t="s">
        <v>11708</v>
      </c>
      <c r="G754" t="s">
        <v>12065</v>
      </c>
      <c r="H754" t="s">
        <v>70</v>
      </c>
      <c r="I754" t="s">
        <v>14713</v>
      </c>
      <c r="K754" t="s">
        <v>2333</v>
      </c>
      <c r="L754" t="s">
        <v>71</v>
      </c>
      <c r="M754">
        <v>336.40000000000003</v>
      </c>
      <c r="N754">
        <v>8.43</v>
      </c>
      <c r="O754">
        <v>10.3</v>
      </c>
      <c r="P754">
        <v>3464.92</v>
      </c>
    </row>
    <row r="755" spans="2:16">
      <c r="C755">
        <v>6</v>
      </c>
      <c r="D755">
        <v>4</v>
      </c>
      <c r="E755">
        <v>13</v>
      </c>
      <c r="F755" t="s">
        <v>11708</v>
      </c>
      <c r="G755" t="s">
        <v>20415</v>
      </c>
      <c r="H755" t="s">
        <v>70</v>
      </c>
      <c r="I755">
        <v>73508</v>
      </c>
      <c r="K755" t="s">
        <v>9927</v>
      </c>
      <c r="L755" t="s">
        <v>71</v>
      </c>
      <c r="M755">
        <v>336.40000000000003</v>
      </c>
      <c r="N755">
        <v>2.57</v>
      </c>
      <c r="O755">
        <v>3.14</v>
      </c>
      <c r="P755">
        <v>1056.3</v>
      </c>
    </row>
    <row r="756" spans="2:16">
      <c r="C756">
        <v>6</v>
      </c>
      <c r="D756">
        <v>4</v>
      </c>
      <c r="E756">
        <v>13</v>
      </c>
      <c r="F756" t="s">
        <v>11708</v>
      </c>
      <c r="G756" t="s">
        <v>12366</v>
      </c>
      <c r="H756" t="s">
        <v>70</v>
      </c>
      <c r="I756" t="s">
        <v>14673</v>
      </c>
      <c r="K756" t="s">
        <v>14674</v>
      </c>
      <c r="L756" t="s">
        <v>71</v>
      </c>
      <c r="M756">
        <v>155</v>
      </c>
      <c r="N756">
        <v>3.14</v>
      </c>
      <c r="O756">
        <v>3.84</v>
      </c>
      <c r="P756">
        <v>595.20000000000005</v>
      </c>
    </row>
    <row r="757" spans="2:16">
      <c r="C757">
        <v>6</v>
      </c>
      <c r="D757">
        <v>4</v>
      </c>
      <c r="E757">
        <v>13</v>
      </c>
      <c r="F757" t="s">
        <v>11708</v>
      </c>
      <c r="G757" t="s">
        <v>20419</v>
      </c>
      <c r="H757" t="s">
        <v>70</v>
      </c>
      <c r="I757">
        <v>73598</v>
      </c>
      <c r="K757" t="s">
        <v>9918</v>
      </c>
      <c r="L757" t="s">
        <v>71</v>
      </c>
      <c r="M757">
        <v>155</v>
      </c>
      <c r="N757">
        <v>0.61</v>
      </c>
      <c r="O757">
        <v>0.75</v>
      </c>
      <c r="P757">
        <v>116.25</v>
      </c>
    </row>
    <row r="758" spans="2:16">
      <c r="C758">
        <v>6</v>
      </c>
      <c r="D758">
        <v>4</v>
      </c>
      <c r="E758">
        <v>13</v>
      </c>
      <c r="F758" t="s">
        <v>11708</v>
      </c>
    </row>
    <row r="759" spans="2:16">
      <c r="C759">
        <v>6</v>
      </c>
      <c r="D759">
        <v>4</v>
      </c>
      <c r="E759">
        <v>13</v>
      </c>
      <c r="F759" t="s">
        <v>11708</v>
      </c>
      <c r="H759" t="s">
        <v>20766</v>
      </c>
      <c r="P759">
        <v>27979.78</v>
      </c>
    </row>
    <row r="760" spans="2:16">
      <c r="C760">
        <v>6</v>
      </c>
      <c r="D760">
        <v>4</v>
      </c>
      <c r="E760">
        <v>13</v>
      </c>
      <c r="F760" t="s">
        <v>11708</v>
      </c>
    </row>
    <row r="761" spans="2:16">
      <c r="B761">
        <v>1</v>
      </c>
      <c r="C761">
        <v>6</v>
      </c>
      <c r="D761">
        <v>4</v>
      </c>
      <c r="E761">
        <v>14</v>
      </c>
      <c r="F761" t="s">
        <v>11708</v>
      </c>
      <c r="H761" t="s">
        <v>11703</v>
      </c>
      <c r="I761" t="s">
        <v>64</v>
      </c>
      <c r="J761" s="25" t="s">
        <v>20767</v>
      </c>
      <c r="K761" t="s">
        <v>11698</v>
      </c>
      <c r="L761" t="s">
        <v>25</v>
      </c>
      <c r="M761" t="s">
        <v>11704</v>
      </c>
      <c r="N761" t="s">
        <v>11705</v>
      </c>
      <c r="O761" t="s">
        <v>11706</v>
      </c>
      <c r="P761" t="s">
        <v>27</v>
      </c>
    </row>
    <row r="762" spans="2:16">
      <c r="C762">
        <v>6</v>
      </c>
      <c r="D762">
        <v>4</v>
      </c>
      <c r="E762">
        <v>14</v>
      </c>
      <c r="F762" t="s">
        <v>11708</v>
      </c>
    </row>
    <row r="763" spans="2:16">
      <c r="C763">
        <v>6</v>
      </c>
      <c r="D763">
        <v>4</v>
      </c>
      <c r="E763">
        <v>14</v>
      </c>
      <c r="F763" t="s">
        <v>11708</v>
      </c>
      <c r="G763" t="s">
        <v>12066</v>
      </c>
      <c r="H763" t="s">
        <v>1</v>
      </c>
      <c r="I763">
        <v>1611</v>
      </c>
      <c r="K763" t="s">
        <v>20768</v>
      </c>
      <c r="L763" t="s">
        <v>65</v>
      </c>
      <c r="M763">
        <v>3</v>
      </c>
      <c r="N763">
        <v>1052.3900000000001</v>
      </c>
      <c r="O763">
        <v>1285.92</v>
      </c>
      <c r="P763">
        <v>3857.76</v>
      </c>
    </row>
    <row r="764" spans="2:16">
      <c r="C764">
        <v>6</v>
      </c>
      <c r="D764">
        <v>4</v>
      </c>
      <c r="E764">
        <v>14</v>
      </c>
      <c r="F764" t="s">
        <v>11708</v>
      </c>
      <c r="G764" t="s">
        <v>12067</v>
      </c>
      <c r="H764" t="s">
        <v>1</v>
      </c>
      <c r="I764">
        <v>1737</v>
      </c>
      <c r="K764" t="s">
        <v>19835</v>
      </c>
      <c r="L764" t="s">
        <v>65</v>
      </c>
      <c r="M764">
        <v>3</v>
      </c>
      <c r="N764">
        <v>1146.05</v>
      </c>
      <c r="O764">
        <v>1400.36</v>
      </c>
      <c r="P764">
        <v>4201.08</v>
      </c>
    </row>
    <row r="765" spans="2:16">
      <c r="C765">
        <v>6</v>
      </c>
      <c r="D765">
        <v>4</v>
      </c>
      <c r="E765">
        <v>14</v>
      </c>
      <c r="F765" t="s">
        <v>11708</v>
      </c>
      <c r="G765" t="s">
        <v>12050</v>
      </c>
      <c r="H765" t="s">
        <v>1</v>
      </c>
      <c r="I765">
        <v>1612</v>
      </c>
      <c r="K765" t="s">
        <v>19836</v>
      </c>
      <c r="L765" t="s">
        <v>65</v>
      </c>
      <c r="M765">
        <v>4</v>
      </c>
      <c r="N765">
        <v>1231.04</v>
      </c>
      <c r="O765">
        <v>1504.21</v>
      </c>
      <c r="P765">
        <v>6016.84</v>
      </c>
    </row>
    <row r="766" spans="2:16">
      <c r="C766">
        <v>6</v>
      </c>
      <c r="D766">
        <v>4</v>
      </c>
      <c r="E766">
        <v>14</v>
      </c>
      <c r="F766" t="s">
        <v>11708</v>
      </c>
      <c r="G766" t="s">
        <v>12052</v>
      </c>
      <c r="H766" t="s">
        <v>1</v>
      </c>
      <c r="I766">
        <v>1613</v>
      </c>
      <c r="K766" t="s">
        <v>19837</v>
      </c>
      <c r="L766" t="s">
        <v>65</v>
      </c>
      <c r="M766">
        <v>1</v>
      </c>
      <c r="N766">
        <v>1370.56</v>
      </c>
      <c r="O766">
        <v>1674.69</v>
      </c>
      <c r="P766">
        <v>1674.69</v>
      </c>
    </row>
    <row r="767" spans="2:16">
      <c r="C767">
        <v>6</v>
      </c>
      <c r="D767">
        <v>4</v>
      </c>
      <c r="E767">
        <v>14</v>
      </c>
      <c r="F767" t="s">
        <v>11708</v>
      </c>
      <c r="G767" t="s">
        <v>12051</v>
      </c>
      <c r="H767" t="s">
        <v>1</v>
      </c>
      <c r="I767">
        <v>1614</v>
      </c>
      <c r="K767" t="s">
        <v>19838</v>
      </c>
      <c r="L767" t="s">
        <v>65</v>
      </c>
      <c r="M767">
        <v>1</v>
      </c>
      <c r="N767">
        <v>1501.81</v>
      </c>
      <c r="O767">
        <v>1835.06</v>
      </c>
      <c r="P767">
        <v>1835.06</v>
      </c>
    </row>
    <row r="768" spans="2:16">
      <c r="C768">
        <v>6</v>
      </c>
      <c r="D768">
        <v>4</v>
      </c>
      <c r="E768">
        <v>14</v>
      </c>
      <c r="F768" t="s">
        <v>11708</v>
      </c>
      <c r="G768" t="s">
        <v>12068</v>
      </c>
      <c r="H768" t="s">
        <v>1</v>
      </c>
      <c r="I768">
        <v>1615</v>
      </c>
      <c r="K768" t="s">
        <v>19839</v>
      </c>
      <c r="L768" t="s">
        <v>65</v>
      </c>
      <c r="M768">
        <v>1</v>
      </c>
      <c r="N768">
        <v>1595.47</v>
      </c>
      <c r="O768">
        <v>1949.5</v>
      </c>
      <c r="P768">
        <v>1949.5</v>
      </c>
    </row>
    <row r="769" spans="1:16">
      <c r="C769">
        <v>6</v>
      </c>
      <c r="D769">
        <v>4</v>
      </c>
      <c r="E769">
        <v>14</v>
      </c>
      <c r="F769" t="s">
        <v>11708</v>
      </c>
    </row>
    <row r="770" spans="1:16">
      <c r="C770">
        <v>6</v>
      </c>
      <c r="D770">
        <v>4</v>
      </c>
      <c r="E770">
        <v>14</v>
      </c>
      <c r="F770" t="s">
        <v>11708</v>
      </c>
      <c r="H770" t="s">
        <v>20769</v>
      </c>
      <c r="P770">
        <v>19534.93</v>
      </c>
    </row>
    <row r="771" spans="1:16">
      <c r="C771">
        <v>6</v>
      </c>
      <c r="D771">
        <v>4</v>
      </c>
      <c r="E771">
        <v>14</v>
      </c>
      <c r="F771" t="s">
        <v>11708</v>
      </c>
    </row>
    <row r="772" spans="1:16">
      <c r="A772">
        <v>1</v>
      </c>
      <c r="C772">
        <v>6</v>
      </c>
      <c r="D772">
        <v>5</v>
      </c>
      <c r="E772">
        <v>0</v>
      </c>
      <c r="F772" t="s">
        <v>11708</v>
      </c>
      <c r="H772" t="s">
        <v>20770</v>
      </c>
      <c r="I772" t="s">
        <v>14336</v>
      </c>
      <c r="O772" t="s">
        <v>11702</v>
      </c>
      <c r="P772">
        <v>197348.17000000004</v>
      </c>
    </row>
    <row r="773" spans="1:16">
      <c r="C773">
        <v>6</v>
      </c>
      <c r="D773">
        <v>5</v>
      </c>
      <c r="E773">
        <v>0</v>
      </c>
      <c r="F773" t="s">
        <v>11708</v>
      </c>
    </row>
    <row r="774" spans="1:16">
      <c r="B774">
        <v>1</v>
      </c>
      <c r="C774">
        <v>6</v>
      </c>
      <c r="D774">
        <v>5</v>
      </c>
      <c r="E774">
        <v>1</v>
      </c>
      <c r="F774" t="s">
        <v>11708</v>
      </c>
      <c r="H774" t="s">
        <v>11703</v>
      </c>
      <c r="I774" t="s">
        <v>64</v>
      </c>
      <c r="J774" s="25" t="s">
        <v>20771</v>
      </c>
      <c r="K774" t="s">
        <v>11709</v>
      </c>
      <c r="L774" t="s">
        <v>25</v>
      </c>
      <c r="M774" t="s">
        <v>11704</v>
      </c>
      <c r="N774" t="s">
        <v>11705</v>
      </c>
      <c r="O774" t="s">
        <v>11706</v>
      </c>
      <c r="P774" t="s">
        <v>27</v>
      </c>
    </row>
    <row r="775" spans="1:16">
      <c r="C775">
        <v>6</v>
      </c>
      <c r="D775">
        <v>5</v>
      </c>
      <c r="E775">
        <v>1</v>
      </c>
      <c r="F775" t="s">
        <v>11708</v>
      </c>
    </row>
    <row r="776" spans="1:16">
      <c r="C776">
        <v>6</v>
      </c>
      <c r="D776">
        <v>5</v>
      </c>
      <c r="E776">
        <v>1</v>
      </c>
      <c r="F776" t="s">
        <v>11708</v>
      </c>
      <c r="G776" t="s">
        <v>14335</v>
      </c>
      <c r="H776" t="s">
        <v>70</v>
      </c>
      <c r="I776" t="s">
        <v>19163</v>
      </c>
      <c r="K776" t="s">
        <v>19164</v>
      </c>
      <c r="L776" t="s">
        <v>256</v>
      </c>
      <c r="M776">
        <v>149.91</v>
      </c>
      <c r="N776">
        <v>0.59</v>
      </c>
      <c r="O776">
        <v>0.72</v>
      </c>
      <c r="P776">
        <v>107.94</v>
      </c>
    </row>
    <row r="777" spans="1:16">
      <c r="C777">
        <v>6</v>
      </c>
      <c r="D777">
        <v>5</v>
      </c>
      <c r="E777">
        <v>1</v>
      </c>
      <c r="F777" t="s">
        <v>11708</v>
      </c>
      <c r="G777" t="s">
        <v>11844</v>
      </c>
      <c r="H777" t="s">
        <v>70</v>
      </c>
      <c r="I777" t="s">
        <v>19263</v>
      </c>
      <c r="K777" t="s">
        <v>19264</v>
      </c>
      <c r="L777" t="s">
        <v>256</v>
      </c>
      <c r="M777">
        <v>59.6</v>
      </c>
      <c r="N777">
        <v>9.93</v>
      </c>
      <c r="O777">
        <v>12.13</v>
      </c>
      <c r="P777">
        <v>722.95</v>
      </c>
    </row>
    <row r="778" spans="1:16">
      <c r="C778">
        <v>6</v>
      </c>
      <c r="D778">
        <v>5</v>
      </c>
      <c r="E778">
        <v>1</v>
      </c>
      <c r="F778" t="s">
        <v>11708</v>
      </c>
    </row>
    <row r="779" spans="1:16">
      <c r="C779">
        <v>6</v>
      </c>
      <c r="D779">
        <v>5</v>
      </c>
      <c r="E779">
        <v>1</v>
      </c>
      <c r="F779" t="s">
        <v>11708</v>
      </c>
      <c r="H779" t="s">
        <v>20772</v>
      </c>
      <c r="P779">
        <v>830.8900000000001</v>
      </c>
    </row>
    <row r="780" spans="1:16">
      <c r="C780">
        <v>6</v>
      </c>
      <c r="D780">
        <v>5</v>
      </c>
      <c r="E780">
        <v>1</v>
      </c>
      <c r="F780" t="s">
        <v>11708</v>
      </c>
    </row>
    <row r="781" spans="1:16">
      <c r="B781">
        <v>1</v>
      </c>
      <c r="C781">
        <v>6</v>
      </c>
      <c r="D781">
        <v>5</v>
      </c>
      <c r="E781">
        <v>2</v>
      </c>
      <c r="F781" t="s">
        <v>11708</v>
      </c>
      <c r="H781" t="s">
        <v>11703</v>
      </c>
      <c r="I781" t="s">
        <v>64</v>
      </c>
      <c r="J781" s="25" t="s">
        <v>20773</v>
      </c>
      <c r="K781" t="s">
        <v>14470</v>
      </c>
      <c r="L781" t="s">
        <v>25</v>
      </c>
      <c r="M781" t="s">
        <v>11704</v>
      </c>
      <c r="N781" t="s">
        <v>11705</v>
      </c>
      <c r="O781" t="s">
        <v>11706</v>
      </c>
      <c r="P781" t="s">
        <v>27</v>
      </c>
    </row>
    <row r="782" spans="1:16">
      <c r="C782">
        <v>6</v>
      </c>
      <c r="D782">
        <v>5</v>
      </c>
      <c r="E782">
        <v>2</v>
      </c>
      <c r="F782" t="s">
        <v>11708</v>
      </c>
    </row>
    <row r="783" spans="1:16">
      <c r="C783">
        <v>6</v>
      </c>
      <c r="D783">
        <v>5</v>
      </c>
      <c r="E783">
        <v>2</v>
      </c>
      <c r="F783" t="s">
        <v>11708</v>
      </c>
      <c r="G783" t="s">
        <v>11845</v>
      </c>
      <c r="H783" t="s">
        <v>70</v>
      </c>
      <c r="I783">
        <v>79472</v>
      </c>
      <c r="K783" t="s">
        <v>8710</v>
      </c>
      <c r="L783" t="s">
        <v>256</v>
      </c>
      <c r="M783">
        <v>60.44</v>
      </c>
      <c r="N783">
        <v>0.56000000000000005</v>
      </c>
      <c r="O783">
        <v>0.68</v>
      </c>
      <c r="P783">
        <v>41.1</v>
      </c>
    </row>
    <row r="784" spans="1:16">
      <c r="C784">
        <v>6</v>
      </c>
      <c r="D784">
        <v>5</v>
      </c>
      <c r="E784">
        <v>2</v>
      </c>
      <c r="F784" t="s">
        <v>11708</v>
      </c>
      <c r="G784" t="s">
        <v>11846</v>
      </c>
      <c r="H784" t="s">
        <v>70</v>
      </c>
      <c r="I784" t="s">
        <v>18313</v>
      </c>
      <c r="K784" t="s">
        <v>18314</v>
      </c>
      <c r="L784" t="s">
        <v>255</v>
      </c>
      <c r="M784">
        <v>14.44</v>
      </c>
      <c r="N784">
        <v>5.36</v>
      </c>
      <c r="O784">
        <v>6.55</v>
      </c>
      <c r="P784">
        <v>94.58</v>
      </c>
    </row>
    <row r="785" spans="2:16">
      <c r="C785">
        <v>6</v>
      </c>
      <c r="D785">
        <v>5</v>
      </c>
      <c r="E785">
        <v>2</v>
      </c>
      <c r="F785" t="s">
        <v>11708</v>
      </c>
      <c r="G785" t="s">
        <v>11847</v>
      </c>
      <c r="H785" t="s">
        <v>70</v>
      </c>
      <c r="I785">
        <v>94116</v>
      </c>
      <c r="K785" t="s">
        <v>18309</v>
      </c>
      <c r="L785" t="s">
        <v>255</v>
      </c>
      <c r="M785">
        <v>8.66</v>
      </c>
      <c r="N785">
        <v>120.39</v>
      </c>
      <c r="O785">
        <v>147.1</v>
      </c>
      <c r="P785">
        <v>1273.8900000000001</v>
      </c>
    </row>
    <row r="786" spans="2:16">
      <c r="C786">
        <v>6</v>
      </c>
      <c r="D786">
        <v>5</v>
      </c>
      <c r="E786">
        <v>2</v>
      </c>
      <c r="F786" t="s">
        <v>11708</v>
      </c>
      <c r="G786" t="s">
        <v>11848</v>
      </c>
      <c r="H786" t="s">
        <v>70</v>
      </c>
      <c r="I786">
        <v>95241</v>
      </c>
      <c r="K786" t="s">
        <v>6694</v>
      </c>
      <c r="L786" t="s">
        <v>256</v>
      </c>
      <c r="M786">
        <v>2.89</v>
      </c>
      <c r="N786">
        <v>18.73</v>
      </c>
      <c r="O786">
        <v>22.89</v>
      </c>
      <c r="P786">
        <v>66.150000000000006</v>
      </c>
    </row>
    <row r="787" spans="2:16">
      <c r="C787">
        <v>6</v>
      </c>
      <c r="D787">
        <v>5</v>
      </c>
      <c r="E787">
        <v>2</v>
      </c>
      <c r="F787" t="s">
        <v>11708</v>
      </c>
    </row>
    <row r="788" spans="2:16">
      <c r="C788">
        <v>6</v>
      </c>
      <c r="D788">
        <v>5</v>
      </c>
      <c r="E788">
        <v>2</v>
      </c>
      <c r="F788" t="s">
        <v>11708</v>
      </c>
      <c r="H788" t="s">
        <v>20774</v>
      </c>
      <c r="P788">
        <v>1475.7200000000003</v>
      </c>
    </row>
    <row r="789" spans="2:16">
      <c r="C789">
        <v>6</v>
      </c>
      <c r="D789">
        <v>5</v>
      </c>
      <c r="E789">
        <v>2</v>
      </c>
      <c r="F789" t="s">
        <v>11708</v>
      </c>
    </row>
    <row r="790" spans="2:16">
      <c r="B790">
        <v>1</v>
      </c>
      <c r="C790">
        <v>6</v>
      </c>
      <c r="D790">
        <v>5</v>
      </c>
      <c r="E790">
        <v>3</v>
      </c>
      <c r="F790" t="s">
        <v>11708</v>
      </c>
      <c r="H790" t="s">
        <v>11703</v>
      </c>
      <c r="I790" t="s">
        <v>64</v>
      </c>
      <c r="J790" s="25" t="s">
        <v>20775</v>
      </c>
      <c r="K790" t="s">
        <v>11710</v>
      </c>
      <c r="L790" t="s">
        <v>25</v>
      </c>
      <c r="M790" t="s">
        <v>11704</v>
      </c>
      <c r="N790" t="s">
        <v>11705</v>
      </c>
      <c r="O790" t="s">
        <v>11706</v>
      </c>
      <c r="P790" t="s">
        <v>27</v>
      </c>
    </row>
    <row r="791" spans="2:16">
      <c r="C791">
        <v>6</v>
      </c>
      <c r="D791">
        <v>5</v>
      </c>
      <c r="E791">
        <v>3</v>
      </c>
      <c r="F791" t="s">
        <v>11708</v>
      </c>
    </row>
    <row r="792" spans="2:16">
      <c r="C792">
        <v>6</v>
      </c>
      <c r="D792">
        <v>5</v>
      </c>
      <c r="E792">
        <v>3</v>
      </c>
      <c r="F792" t="s">
        <v>11708</v>
      </c>
      <c r="G792" t="s">
        <v>11849</v>
      </c>
      <c r="H792" t="s">
        <v>70</v>
      </c>
      <c r="I792">
        <v>90105</v>
      </c>
      <c r="K792" t="s">
        <v>18214</v>
      </c>
      <c r="L792" t="s">
        <v>255</v>
      </c>
      <c r="M792">
        <v>468.51</v>
      </c>
      <c r="N792">
        <v>14.07</v>
      </c>
      <c r="O792">
        <v>17.190000000000001</v>
      </c>
      <c r="P792">
        <v>8053.69</v>
      </c>
    </row>
    <row r="793" spans="2:16">
      <c r="C793">
        <v>6</v>
      </c>
      <c r="D793">
        <v>5</v>
      </c>
      <c r="E793">
        <v>3</v>
      </c>
      <c r="F793" t="s">
        <v>11708</v>
      </c>
      <c r="G793" t="s">
        <v>11850</v>
      </c>
      <c r="H793" t="s">
        <v>70</v>
      </c>
      <c r="I793">
        <v>90107</v>
      </c>
      <c r="K793" t="s">
        <v>18216</v>
      </c>
      <c r="L793" t="s">
        <v>255</v>
      </c>
      <c r="M793">
        <v>159.36000000000001</v>
      </c>
      <c r="N793">
        <v>11.87</v>
      </c>
      <c r="O793">
        <v>14.5</v>
      </c>
      <c r="P793">
        <v>2310.7199999999998</v>
      </c>
    </row>
    <row r="794" spans="2:16">
      <c r="C794">
        <v>6</v>
      </c>
      <c r="D794">
        <v>5</v>
      </c>
      <c r="E794">
        <v>3</v>
      </c>
      <c r="F794" t="s">
        <v>11708</v>
      </c>
      <c r="G794" t="s">
        <v>11851</v>
      </c>
      <c r="H794" t="s">
        <v>70</v>
      </c>
      <c r="I794">
        <v>90094</v>
      </c>
      <c r="K794" t="s">
        <v>18206</v>
      </c>
      <c r="L794" t="s">
        <v>255</v>
      </c>
      <c r="M794">
        <v>11.23</v>
      </c>
      <c r="N794">
        <v>4.01</v>
      </c>
      <c r="O794">
        <v>4.9000000000000004</v>
      </c>
      <c r="P794">
        <v>55.03</v>
      </c>
    </row>
    <row r="795" spans="2:16">
      <c r="C795">
        <v>6</v>
      </c>
      <c r="D795">
        <v>5</v>
      </c>
      <c r="E795">
        <v>3</v>
      </c>
      <c r="F795" t="s">
        <v>11708</v>
      </c>
      <c r="G795" t="s">
        <v>11852</v>
      </c>
      <c r="H795" t="s">
        <v>10852</v>
      </c>
      <c r="I795">
        <v>184</v>
      </c>
      <c r="K795" t="s">
        <v>20740</v>
      </c>
      <c r="L795" t="s">
        <v>255</v>
      </c>
      <c r="M795">
        <v>26.03</v>
      </c>
      <c r="N795">
        <v>4.68</v>
      </c>
      <c r="O795">
        <v>5.72</v>
      </c>
      <c r="P795">
        <v>148.88999999999999</v>
      </c>
    </row>
    <row r="796" spans="2:16">
      <c r="C796">
        <v>6</v>
      </c>
      <c r="D796">
        <v>5</v>
      </c>
      <c r="E796">
        <v>3</v>
      </c>
      <c r="F796" t="s">
        <v>11708</v>
      </c>
      <c r="G796" t="s">
        <v>11853</v>
      </c>
      <c r="H796" t="s">
        <v>10852</v>
      </c>
      <c r="I796">
        <v>185</v>
      </c>
      <c r="K796" t="s">
        <v>20758</v>
      </c>
      <c r="L796" t="s">
        <v>255</v>
      </c>
      <c r="M796">
        <v>8.85</v>
      </c>
      <c r="N796">
        <v>5.85</v>
      </c>
      <c r="O796">
        <v>7.15</v>
      </c>
      <c r="P796">
        <v>63.28</v>
      </c>
    </row>
    <row r="797" spans="2:16">
      <c r="C797">
        <v>6</v>
      </c>
      <c r="D797">
        <v>5</v>
      </c>
      <c r="E797">
        <v>3</v>
      </c>
      <c r="F797" t="s">
        <v>11708</v>
      </c>
      <c r="G797" t="s">
        <v>11854</v>
      </c>
      <c r="H797" t="s">
        <v>10852</v>
      </c>
      <c r="I797">
        <v>187</v>
      </c>
      <c r="K797" t="s">
        <v>20741</v>
      </c>
      <c r="L797" t="s">
        <v>255</v>
      </c>
      <c r="M797">
        <v>26.03</v>
      </c>
      <c r="N797">
        <v>4.67</v>
      </c>
      <c r="O797">
        <v>5.71</v>
      </c>
      <c r="P797">
        <v>148.63</v>
      </c>
    </row>
    <row r="798" spans="2:16">
      <c r="C798">
        <v>6</v>
      </c>
      <c r="D798">
        <v>5</v>
      </c>
      <c r="E798">
        <v>3</v>
      </c>
      <c r="F798" t="s">
        <v>11708</v>
      </c>
      <c r="G798" t="s">
        <v>20448</v>
      </c>
      <c r="H798" t="s">
        <v>10852</v>
      </c>
      <c r="I798">
        <v>188</v>
      </c>
      <c r="K798" t="s">
        <v>20759</v>
      </c>
      <c r="L798" t="s">
        <v>255</v>
      </c>
      <c r="M798">
        <v>8.85</v>
      </c>
      <c r="N798">
        <v>5.81</v>
      </c>
      <c r="O798">
        <v>7.1</v>
      </c>
      <c r="P798">
        <v>62.84</v>
      </c>
    </row>
    <row r="799" spans="2:16">
      <c r="C799">
        <v>6</v>
      </c>
      <c r="D799">
        <v>5</v>
      </c>
      <c r="E799">
        <v>3</v>
      </c>
      <c r="F799" t="s">
        <v>11708</v>
      </c>
      <c r="G799" t="s">
        <v>11855</v>
      </c>
      <c r="H799" t="s">
        <v>70</v>
      </c>
      <c r="I799">
        <v>93358</v>
      </c>
      <c r="K799" t="s">
        <v>826</v>
      </c>
      <c r="L799" t="s">
        <v>255</v>
      </c>
      <c r="M799">
        <v>33.64</v>
      </c>
      <c r="N799">
        <v>52.29</v>
      </c>
      <c r="O799">
        <v>63.89</v>
      </c>
      <c r="P799">
        <v>2149.2600000000002</v>
      </c>
    </row>
    <row r="800" spans="2:16">
      <c r="C800">
        <v>6</v>
      </c>
      <c r="D800">
        <v>5</v>
      </c>
      <c r="E800">
        <v>3</v>
      </c>
      <c r="F800" t="s">
        <v>11708</v>
      </c>
      <c r="G800" t="s">
        <v>11856</v>
      </c>
      <c r="H800" t="s">
        <v>10852</v>
      </c>
      <c r="I800">
        <v>170</v>
      </c>
      <c r="K800" t="s">
        <v>19822</v>
      </c>
      <c r="L800" t="s">
        <v>255</v>
      </c>
      <c r="M800">
        <v>1.37</v>
      </c>
      <c r="N800">
        <v>55.58</v>
      </c>
      <c r="O800">
        <v>67.91</v>
      </c>
      <c r="P800">
        <v>93.04</v>
      </c>
    </row>
    <row r="801" spans="2:16">
      <c r="C801">
        <v>6</v>
      </c>
      <c r="D801">
        <v>5</v>
      </c>
      <c r="E801">
        <v>3</v>
      </c>
      <c r="F801" t="s">
        <v>11708</v>
      </c>
      <c r="G801" t="s">
        <v>11857</v>
      </c>
      <c r="H801" t="s">
        <v>10852</v>
      </c>
      <c r="I801">
        <v>171</v>
      </c>
      <c r="K801" t="s">
        <v>19823</v>
      </c>
      <c r="L801" t="s">
        <v>255</v>
      </c>
      <c r="M801">
        <v>0.5</v>
      </c>
      <c r="N801">
        <v>84.57</v>
      </c>
      <c r="O801">
        <v>103.34</v>
      </c>
      <c r="P801">
        <v>51.67</v>
      </c>
    </row>
    <row r="802" spans="2:16">
      <c r="C802">
        <v>6</v>
      </c>
      <c r="D802">
        <v>5</v>
      </c>
      <c r="E802">
        <v>3</v>
      </c>
      <c r="F802" t="s">
        <v>11708</v>
      </c>
      <c r="G802" t="s">
        <v>11858</v>
      </c>
      <c r="H802" t="s">
        <v>10852</v>
      </c>
      <c r="I802">
        <v>172</v>
      </c>
      <c r="K802" t="s">
        <v>19824</v>
      </c>
      <c r="L802" t="s">
        <v>255</v>
      </c>
      <c r="M802">
        <v>1.37</v>
      </c>
      <c r="N802">
        <v>91.06</v>
      </c>
      <c r="O802">
        <v>111.27</v>
      </c>
      <c r="P802">
        <v>152.44</v>
      </c>
    </row>
    <row r="803" spans="2:16">
      <c r="C803">
        <v>6</v>
      </c>
      <c r="D803">
        <v>5</v>
      </c>
      <c r="E803">
        <v>3</v>
      </c>
      <c r="F803" t="s">
        <v>11708</v>
      </c>
      <c r="G803" t="s">
        <v>11859</v>
      </c>
      <c r="H803" t="s">
        <v>10852</v>
      </c>
      <c r="I803">
        <v>173</v>
      </c>
      <c r="K803" t="s">
        <v>19825</v>
      </c>
      <c r="L803" t="s">
        <v>255</v>
      </c>
      <c r="M803">
        <v>0.5</v>
      </c>
      <c r="N803">
        <v>112.61</v>
      </c>
      <c r="O803">
        <v>137.6</v>
      </c>
      <c r="P803">
        <v>68.8</v>
      </c>
    </row>
    <row r="804" spans="2:16">
      <c r="C804">
        <v>6</v>
      </c>
      <c r="D804">
        <v>5</v>
      </c>
      <c r="E804">
        <v>3</v>
      </c>
      <c r="F804" t="s">
        <v>11708</v>
      </c>
      <c r="G804" t="s">
        <v>11860</v>
      </c>
      <c r="H804" t="s">
        <v>70</v>
      </c>
      <c r="I804" t="s">
        <v>15726</v>
      </c>
      <c r="K804" t="s">
        <v>350</v>
      </c>
      <c r="L804" t="s">
        <v>57</v>
      </c>
      <c r="M804">
        <v>20</v>
      </c>
      <c r="N804">
        <v>6.2</v>
      </c>
      <c r="O804">
        <v>7.58</v>
      </c>
      <c r="P804">
        <v>151.6</v>
      </c>
    </row>
    <row r="805" spans="2:16">
      <c r="C805">
        <v>6</v>
      </c>
      <c r="D805">
        <v>5</v>
      </c>
      <c r="E805">
        <v>3</v>
      </c>
      <c r="F805" t="s">
        <v>11708</v>
      </c>
      <c r="G805" t="s">
        <v>20449</v>
      </c>
      <c r="H805" t="s">
        <v>70</v>
      </c>
      <c r="I805">
        <v>93367</v>
      </c>
      <c r="K805" t="s">
        <v>18245</v>
      </c>
      <c r="L805" t="s">
        <v>255</v>
      </c>
      <c r="M805">
        <v>429.96</v>
      </c>
      <c r="N805">
        <v>17.86</v>
      </c>
      <c r="O805">
        <v>21.82</v>
      </c>
      <c r="P805">
        <v>9381.73</v>
      </c>
    </row>
    <row r="806" spans="2:16">
      <c r="C806">
        <v>6</v>
      </c>
      <c r="D806">
        <v>5</v>
      </c>
      <c r="E806">
        <v>3</v>
      </c>
      <c r="F806" t="s">
        <v>11708</v>
      </c>
      <c r="G806" t="s">
        <v>20450</v>
      </c>
      <c r="H806" t="s">
        <v>70</v>
      </c>
      <c r="I806">
        <v>93369</v>
      </c>
      <c r="K806" t="s">
        <v>18247</v>
      </c>
      <c r="L806" t="s">
        <v>255</v>
      </c>
      <c r="M806">
        <v>149.72999999999999</v>
      </c>
      <c r="N806">
        <v>9.2200000000000006</v>
      </c>
      <c r="O806">
        <v>11.27</v>
      </c>
      <c r="P806">
        <v>1687.46</v>
      </c>
    </row>
    <row r="807" spans="2:16">
      <c r="C807">
        <v>6</v>
      </c>
      <c r="D807">
        <v>5</v>
      </c>
      <c r="E807">
        <v>3</v>
      </c>
      <c r="F807" t="s">
        <v>11708</v>
      </c>
      <c r="G807" t="s">
        <v>20451</v>
      </c>
      <c r="H807" t="s">
        <v>70</v>
      </c>
      <c r="I807">
        <v>93371</v>
      </c>
      <c r="K807" t="s">
        <v>18249</v>
      </c>
      <c r="L807" t="s">
        <v>255</v>
      </c>
      <c r="M807">
        <v>10.83</v>
      </c>
      <c r="N807">
        <v>7.5</v>
      </c>
      <c r="O807">
        <v>9.16</v>
      </c>
      <c r="P807">
        <v>99.2</v>
      </c>
    </row>
    <row r="808" spans="2:16">
      <c r="C808">
        <v>6</v>
      </c>
      <c r="D808">
        <v>5</v>
      </c>
      <c r="E808">
        <v>3</v>
      </c>
      <c r="F808" t="s">
        <v>11708</v>
      </c>
      <c r="G808" t="s">
        <v>11861</v>
      </c>
      <c r="H808" t="s">
        <v>70</v>
      </c>
      <c r="I808" t="s">
        <v>18237</v>
      </c>
      <c r="K808" t="s">
        <v>829</v>
      </c>
      <c r="L808" t="s">
        <v>255</v>
      </c>
      <c r="M808">
        <v>65.61</v>
      </c>
      <c r="N808">
        <v>39.659999999999997</v>
      </c>
      <c r="O808">
        <v>48.46</v>
      </c>
      <c r="P808">
        <v>3179.46</v>
      </c>
    </row>
    <row r="809" spans="2:16">
      <c r="C809">
        <v>6</v>
      </c>
      <c r="D809">
        <v>5</v>
      </c>
      <c r="E809">
        <v>3</v>
      </c>
      <c r="F809" t="s">
        <v>11708</v>
      </c>
    </row>
    <row r="810" spans="2:16">
      <c r="C810">
        <v>6</v>
      </c>
      <c r="D810">
        <v>5</v>
      </c>
      <c r="E810">
        <v>3</v>
      </c>
      <c r="F810" t="s">
        <v>11708</v>
      </c>
      <c r="H810" t="s">
        <v>20776</v>
      </c>
      <c r="P810">
        <v>27857.74</v>
      </c>
    </row>
    <row r="811" spans="2:16">
      <c r="C811">
        <v>6</v>
      </c>
      <c r="D811">
        <v>5</v>
      </c>
      <c r="E811">
        <v>3</v>
      </c>
      <c r="F811" t="s">
        <v>11708</v>
      </c>
    </row>
    <row r="812" spans="2:16">
      <c r="B812">
        <v>1</v>
      </c>
      <c r="C812">
        <v>6</v>
      </c>
      <c r="D812">
        <v>5</v>
      </c>
      <c r="E812">
        <v>4</v>
      </c>
      <c r="F812" t="s">
        <v>11708</v>
      </c>
      <c r="H812" t="s">
        <v>11703</v>
      </c>
      <c r="I812" t="s">
        <v>64</v>
      </c>
      <c r="J812" s="25" t="s">
        <v>20777</v>
      </c>
      <c r="K812" t="s">
        <v>11712</v>
      </c>
      <c r="L812" t="s">
        <v>25</v>
      </c>
      <c r="M812" t="s">
        <v>11704</v>
      </c>
      <c r="N812" t="s">
        <v>11705</v>
      </c>
      <c r="O812" t="s">
        <v>11706</v>
      </c>
      <c r="P812" t="s">
        <v>27</v>
      </c>
    </row>
    <row r="813" spans="2:16">
      <c r="C813">
        <v>6</v>
      </c>
      <c r="D813">
        <v>5</v>
      </c>
      <c r="E813">
        <v>4</v>
      </c>
      <c r="F813" t="s">
        <v>11708</v>
      </c>
    </row>
    <row r="814" spans="2:16">
      <c r="C814">
        <v>6</v>
      </c>
      <c r="D814">
        <v>5</v>
      </c>
      <c r="E814">
        <v>4</v>
      </c>
      <c r="F814" t="s">
        <v>11708</v>
      </c>
      <c r="G814" t="s">
        <v>11862</v>
      </c>
      <c r="H814" t="s">
        <v>70</v>
      </c>
      <c r="I814" t="s">
        <v>18276</v>
      </c>
      <c r="K814" t="s">
        <v>18277</v>
      </c>
      <c r="L814" t="s">
        <v>255</v>
      </c>
      <c r="M814">
        <v>185.2</v>
      </c>
      <c r="N814">
        <v>1.76</v>
      </c>
      <c r="O814">
        <v>2.15</v>
      </c>
      <c r="P814">
        <v>398.18</v>
      </c>
    </row>
    <row r="815" spans="2:16">
      <c r="C815">
        <v>6</v>
      </c>
      <c r="D815">
        <v>5</v>
      </c>
      <c r="E815">
        <v>4</v>
      </c>
      <c r="F815" t="s">
        <v>11708</v>
      </c>
      <c r="G815" t="s">
        <v>11863</v>
      </c>
      <c r="H815" t="s">
        <v>70</v>
      </c>
      <c r="I815">
        <v>93590</v>
      </c>
      <c r="K815" t="s">
        <v>19275</v>
      </c>
      <c r="L815" t="s">
        <v>9853</v>
      </c>
      <c r="M815">
        <v>1388.99</v>
      </c>
      <c r="N815">
        <v>0.74</v>
      </c>
      <c r="O815">
        <v>0.9</v>
      </c>
      <c r="P815">
        <v>1250.0899999999999</v>
      </c>
    </row>
    <row r="816" spans="2:16">
      <c r="C816">
        <v>6</v>
      </c>
      <c r="D816">
        <v>5</v>
      </c>
      <c r="E816">
        <v>4</v>
      </c>
      <c r="F816" t="s">
        <v>11708</v>
      </c>
      <c r="G816" t="s">
        <v>11864</v>
      </c>
      <c r="H816" t="s">
        <v>70</v>
      </c>
      <c r="I816">
        <v>83344</v>
      </c>
      <c r="K816" t="s">
        <v>18317</v>
      </c>
      <c r="L816" t="s">
        <v>255</v>
      </c>
      <c r="M816">
        <v>177.48</v>
      </c>
      <c r="N816">
        <v>1.02</v>
      </c>
      <c r="O816">
        <v>1.25</v>
      </c>
      <c r="P816">
        <v>221.85</v>
      </c>
    </row>
    <row r="817" spans="2:16">
      <c r="C817">
        <v>6</v>
      </c>
      <c r="D817">
        <v>5</v>
      </c>
      <c r="E817">
        <v>4</v>
      </c>
      <c r="F817" t="s">
        <v>11708</v>
      </c>
    </row>
    <row r="818" spans="2:16">
      <c r="C818">
        <v>6</v>
      </c>
      <c r="D818">
        <v>5</v>
      </c>
      <c r="E818">
        <v>4</v>
      </c>
      <c r="F818" t="s">
        <v>11708</v>
      </c>
      <c r="H818" t="s">
        <v>20778</v>
      </c>
      <c r="P818">
        <v>1870.12</v>
      </c>
    </row>
    <row r="819" spans="2:16">
      <c r="C819">
        <v>6</v>
      </c>
      <c r="D819">
        <v>5</v>
      </c>
      <c r="E819">
        <v>4</v>
      </c>
      <c r="F819" t="s">
        <v>11708</v>
      </c>
    </row>
    <row r="820" spans="2:16">
      <c r="B820">
        <v>1</v>
      </c>
      <c r="C820">
        <v>6</v>
      </c>
      <c r="D820">
        <v>5</v>
      </c>
      <c r="E820">
        <v>5</v>
      </c>
      <c r="F820" t="s">
        <v>11708</v>
      </c>
      <c r="H820" t="s">
        <v>11703</v>
      </c>
      <c r="I820" t="s">
        <v>64</v>
      </c>
      <c r="J820" s="25" t="s">
        <v>20779</v>
      </c>
      <c r="K820" t="s">
        <v>1225</v>
      </c>
      <c r="L820" t="s">
        <v>25</v>
      </c>
      <c r="M820" t="s">
        <v>11704</v>
      </c>
      <c r="N820" t="s">
        <v>11705</v>
      </c>
      <c r="O820" t="s">
        <v>11706</v>
      </c>
      <c r="P820" t="s">
        <v>27</v>
      </c>
    </row>
    <row r="821" spans="2:16">
      <c r="C821">
        <v>6</v>
      </c>
      <c r="D821">
        <v>5</v>
      </c>
      <c r="E821">
        <v>5</v>
      </c>
      <c r="F821" t="s">
        <v>11708</v>
      </c>
    </row>
    <row r="822" spans="2:16">
      <c r="C822">
        <v>6</v>
      </c>
      <c r="D822">
        <v>5</v>
      </c>
      <c r="E822">
        <v>5</v>
      </c>
      <c r="F822" t="s">
        <v>11708</v>
      </c>
      <c r="G822" t="s">
        <v>20434</v>
      </c>
      <c r="H822" t="s">
        <v>70</v>
      </c>
      <c r="I822">
        <v>92415</v>
      </c>
      <c r="K822" t="s">
        <v>16234</v>
      </c>
      <c r="L822" t="s">
        <v>256</v>
      </c>
      <c r="M822">
        <v>50.76</v>
      </c>
      <c r="N822">
        <v>73.489999999999995</v>
      </c>
      <c r="O822">
        <v>89.8</v>
      </c>
      <c r="P822">
        <v>4558.25</v>
      </c>
    </row>
    <row r="823" spans="2:16">
      <c r="C823">
        <v>6</v>
      </c>
      <c r="D823">
        <v>5</v>
      </c>
      <c r="E823">
        <v>5</v>
      </c>
      <c r="F823" t="s">
        <v>11708</v>
      </c>
      <c r="G823" t="s">
        <v>20435</v>
      </c>
      <c r="H823" t="s">
        <v>70</v>
      </c>
      <c r="I823">
        <v>92510</v>
      </c>
      <c r="K823" t="s">
        <v>16326</v>
      </c>
      <c r="L823" t="s">
        <v>256</v>
      </c>
      <c r="M823">
        <v>324.05</v>
      </c>
      <c r="N823">
        <v>27.47</v>
      </c>
      <c r="O823">
        <v>33.57</v>
      </c>
      <c r="P823">
        <v>10878.36</v>
      </c>
    </row>
    <row r="824" spans="2:16">
      <c r="C824">
        <v>6</v>
      </c>
      <c r="D824">
        <v>5</v>
      </c>
      <c r="E824">
        <v>5</v>
      </c>
      <c r="F824" t="s">
        <v>11708</v>
      </c>
      <c r="G824" t="s">
        <v>11950</v>
      </c>
      <c r="H824" t="s">
        <v>10852</v>
      </c>
      <c r="I824">
        <v>316</v>
      </c>
      <c r="K824" t="s">
        <v>20713</v>
      </c>
      <c r="L824" t="s">
        <v>255</v>
      </c>
      <c r="M824">
        <v>39.81</v>
      </c>
      <c r="N824">
        <v>476.83</v>
      </c>
      <c r="O824">
        <v>582.64</v>
      </c>
      <c r="P824">
        <v>23194.9</v>
      </c>
    </row>
    <row r="825" spans="2:16">
      <c r="C825">
        <v>6</v>
      </c>
      <c r="D825">
        <v>5</v>
      </c>
      <c r="E825">
        <v>5</v>
      </c>
      <c r="F825" t="s">
        <v>11708</v>
      </c>
      <c r="G825" t="s">
        <v>20436</v>
      </c>
      <c r="H825" t="s">
        <v>70</v>
      </c>
      <c r="I825">
        <v>34493</v>
      </c>
      <c r="K825" t="s">
        <v>3781</v>
      </c>
      <c r="L825" t="s">
        <v>255</v>
      </c>
      <c r="M825">
        <v>13.15</v>
      </c>
      <c r="N825">
        <v>238.87</v>
      </c>
      <c r="O825">
        <v>291.88</v>
      </c>
      <c r="P825">
        <v>3838.22</v>
      </c>
    </row>
    <row r="826" spans="2:16">
      <c r="C826">
        <v>6</v>
      </c>
      <c r="D826">
        <v>5</v>
      </c>
      <c r="E826">
        <v>5</v>
      </c>
      <c r="F826" t="s">
        <v>11708</v>
      </c>
      <c r="G826" t="s">
        <v>20437</v>
      </c>
      <c r="H826" t="s">
        <v>70</v>
      </c>
      <c r="I826">
        <v>92874</v>
      </c>
      <c r="K826" t="s">
        <v>16528</v>
      </c>
      <c r="L826" t="s">
        <v>255</v>
      </c>
      <c r="M826">
        <v>13.15</v>
      </c>
      <c r="N826">
        <v>23.46</v>
      </c>
      <c r="O826">
        <v>28.67</v>
      </c>
      <c r="P826">
        <v>377.01</v>
      </c>
    </row>
    <row r="827" spans="2:16">
      <c r="C827">
        <v>6</v>
      </c>
      <c r="D827">
        <v>5</v>
      </c>
      <c r="E827">
        <v>5</v>
      </c>
      <c r="F827" t="s">
        <v>11708</v>
      </c>
      <c r="G827" t="s">
        <v>20443</v>
      </c>
      <c r="H827" t="s">
        <v>70</v>
      </c>
      <c r="I827">
        <v>92915</v>
      </c>
      <c r="K827" t="s">
        <v>16452</v>
      </c>
      <c r="L827" t="s">
        <v>90</v>
      </c>
      <c r="M827">
        <v>35.130000000000003</v>
      </c>
      <c r="N827">
        <v>12.53</v>
      </c>
      <c r="O827">
        <v>15.31</v>
      </c>
      <c r="P827">
        <v>537.84</v>
      </c>
    </row>
    <row r="828" spans="2:16">
      <c r="C828">
        <v>6</v>
      </c>
      <c r="D828">
        <v>5</v>
      </c>
      <c r="E828">
        <v>5</v>
      </c>
      <c r="F828" t="s">
        <v>11708</v>
      </c>
      <c r="G828" t="s">
        <v>20444</v>
      </c>
      <c r="H828" t="s">
        <v>70</v>
      </c>
      <c r="I828">
        <v>92916</v>
      </c>
      <c r="K828" t="s">
        <v>16453</v>
      </c>
      <c r="L828" t="s">
        <v>90</v>
      </c>
      <c r="M828">
        <v>2508.4499999999998</v>
      </c>
      <c r="N828">
        <v>11.46</v>
      </c>
      <c r="O828">
        <v>14</v>
      </c>
      <c r="P828">
        <v>35118.300000000003</v>
      </c>
    </row>
    <row r="829" spans="2:16">
      <c r="C829">
        <v>6</v>
      </c>
      <c r="D829">
        <v>5</v>
      </c>
      <c r="E829">
        <v>5</v>
      </c>
      <c r="F829" t="s">
        <v>11708</v>
      </c>
      <c r="G829" t="s">
        <v>20445</v>
      </c>
      <c r="H829" t="s">
        <v>70</v>
      </c>
      <c r="I829">
        <v>92917</v>
      </c>
      <c r="K829" t="s">
        <v>16454</v>
      </c>
      <c r="L829" t="s">
        <v>90</v>
      </c>
      <c r="M829">
        <v>1722.99</v>
      </c>
      <c r="N829">
        <v>11</v>
      </c>
      <c r="O829">
        <v>13.44</v>
      </c>
      <c r="P829">
        <v>23156.99</v>
      </c>
    </row>
    <row r="830" spans="2:16">
      <c r="C830">
        <v>6</v>
      </c>
      <c r="D830">
        <v>5</v>
      </c>
      <c r="E830">
        <v>5</v>
      </c>
      <c r="F830" t="s">
        <v>11708</v>
      </c>
      <c r="G830" t="s">
        <v>20446</v>
      </c>
      <c r="H830" t="s">
        <v>70</v>
      </c>
      <c r="I830">
        <v>92919</v>
      </c>
      <c r="K830" t="s">
        <v>16455</v>
      </c>
      <c r="L830" t="s">
        <v>90</v>
      </c>
      <c r="M830">
        <v>2561.46</v>
      </c>
      <c r="N830">
        <v>8.93</v>
      </c>
      <c r="O830">
        <v>10.91</v>
      </c>
      <c r="P830">
        <v>27945.53</v>
      </c>
    </row>
    <row r="831" spans="2:16">
      <c r="C831">
        <v>6</v>
      </c>
      <c r="D831">
        <v>5</v>
      </c>
      <c r="E831">
        <v>5</v>
      </c>
      <c r="F831" t="s">
        <v>11708</v>
      </c>
      <c r="G831" t="s">
        <v>20447</v>
      </c>
      <c r="H831" t="s">
        <v>70</v>
      </c>
      <c r="I831">
        <v>92921</v>
      </c>
      <c r="K831" t="s">
        <v>16456</v>
      </c>
      <c r="L831" t="s">
        <v>90</v>
      </c>
      <c r="M831">
        <v>209.75</v>
      </c>
      <c r="N831">
        <v>7.43</v>
      </c>
      <c r="O831">
        <v>9.08</v>
      </c>
      <c r="P831">
        <v>1904.53</v>
      </c>
    </row>
    <row r="832" spans="2:16">
      <c r="C832">
        <v>6</v>
      </c>
      <c r="D832">
        <v>5</v>
      </c>
      <c r="E832">
        <v>5</v>
      </c>
      <c r="F832" t="s">
        <v>11708</v>
      </c>
      <c r="G832" t="s">
        <v>11865</v>
      </c>
      <c r="H832" t="s">
        <v>70</v>
      </c>
      <c r="I832" t="s">
        <v>19257</v>
      </c>
      <c r="K832" t="s">
        <v>5042</v>
      </c>
      <c r="L832" t="s">
        <v>65</v>
      </c>
      <c r="M832">
        <v>14</v>
      </c>
      <c r="N832">
        <v>83.42</v>
      </c>
      <c r="O832">
        <v>101.93</v>
      </c>
      <c r="P832">
        <v>1427.02</v>
      </c>
    </row>
    <row r="833" spans="2:16">
      <c r="C833">
        <v>6</v>
      </c>
      <c r="D833">
        <v>5</v>
      </c>
      <c r="E833">
        <v>5</v>
      </c>
      <c r="F833" t="s">
        <v>11708</v>
      </c>
    </row>
    <row r="834" spans="2:16">
      <c r="C834">
        <v>6</v>
      </c>
      <c r="D834">
        <v>5</v>
      </c>
      <c r="E834">
        <v>5</v>
      </c>
      <c r="F834" t="s">
        <v>11708</v>
      </c>
      <c r="H834" t="s">
        <v>20780</v>
      </c>
      <c r="P834">
        <v>132936.95000000001</v>
      </c>
    </row>
    <row r="835" spans="2:16">
      <c r="C835">
        <v>6</v>
      </c>
      <c r="D835">
        <v>5</v>
      </c>
      <c r="E835">
        <v>5</v>
      </c>
      <c r="F835" t="s">
        <v>11708</v>
      </c>
    </row>
    <row r="836" spans="2:16">
      <c r="B836">
        <v>1</v>
      </c>
      <c r="C836">
        <v>6</v>
      </c>
      <c r="D836">
        <v>5</v>
      </c>
      <c r="E836">
        <v>6</v>
      </c>
      <c r="F836" t="s">
        <v>11708</v>
      </c>
      <c r="H836" t="s">
        <v>11703</v>
      </c>
      <c r="I836" t="s">
        <v>64</v>
      </c>
      <c r="J836" s="25" t="s">
        <v>20781</v>
      </c>
      <c r="K836" t="s">
        <v>11717</v>
      </c>
      <c r="L836" t="s">
        <v>25</v>
      </c>
      <c r="M836" t="s">
        <v>11704</v>
      </c>
      <c r="N836" t="s">
        <v>11705</v>
      </c>
      <c r="O836" t="s">
        <v>11706</v>
      </c>
      <c r="P836" t="s">
        <v>27</v>
      </c>
    </row>
    <row r="837" spans="2:16">
      <c r="C837">
        <v>6</v>
      </c>
      <c r="D837">
        <v>5</v>
      </c>
      <c r="E837">
        <v>6</v>
      </c>
      <c r="F837" t="s">
        <v>11708</v>
      </c>
    </row>
    <row r="838" spans="2:16">
      <c r="C838">
        <v>6</v>
      </c>
      <c r="D838">
        <v>5</v>
      </c>
      <c r="E838">
        <v>6</v>
      </c>
      <c r="F838" t="s">
        <v>11708</v>
      </c>
      <c r="G838" t="s">
        <v>11866</v>
      </c>
      <c r="H838" t="s">
        <v>70</v>
      </c>
      <c r="I838">
        <v>73665</v>
      </c>
      <c r="K838" t="s">
        <v>16123</v>
      </c>
      <c r="L838" t="s">
        <v>71</v>
      </c>
      <c r="M838">
        <v>1.5</v>
      </c>
      <c r="N838">
        <v>56.2</v>
      </c>
      <c r="O838">
        <v>68.67</v>
      </c>
      <c r="P838">
        <v>103.01</v>
      </c>
    </row>
    <row r="839" spans="2:16">
      <c r="C839">
        <v>6</v>
      </c>
      <c r="D839">
        <v>5</v>
      </c>
      <c r="E839">
        <v>6</v>
      </c>
      <c r="F839" t="s">
        <v>11708</v>
      </c>
      <c r="G839" t="s">
        <v>11867</v>
      </c>
      <c r="H839" t="s">
        <v>10852</v>
      </c>
      <c r="I839">
        <v>862</v>
      </c>
      <c r="K839" t="s">
        <v>19954</v>
      </c>
      <c r="L839" t="s">
        <v>71</v>
      </c>
      <c r="M839">
        <v>29.75</v>
      </c>
      <c r="N839">
        <v>195.61</v>
      </c>
      <c r="O839">
        <v>239.02</v>
      </c>
      <c r="P839">
        <v>7110.85</v>
      </c>
    </row>
    <row r="840" spans="2:16">
      <c r="C840">
        <v>6</v>
      </c>
      <c r="D840">
        <v>5</v>
      </c>
      <c r="E840">
        <v>6</v>
      </c>
      <c r="F840" t="s">
        <v>11708</v>
      </c>
      <c r="G840" t="s">
        <v>11949</v>
      </c>
      <c r="H840" t="s">
        <v>70</v>
      </c>
      <c r="I840">
        <v>91341</v>
      </c>
      <c r="K840" t="s">
        <v>16129</v>
      </c>
      <c r="L840" t="s">
        <v>256</v>
      </c>
      <c r="M840">
        <v>1</v>
      </c>
      <c r="N840">
        <v>664.34</v>
      </c>
      <c r="O840">
        <v>811.76</v>
      </c>
      <c r="P840">
        <v>811.76</v>
      </c>
    </row>
    <row r="841" spans="2:16">
      <c r="C841">
        <v>6</v>
      </c>
      <c r="D841">
        <v>5</v>
      </c>
      <c r="E841">
        <v>6</v>
      </c>
      <c r="F841" t="s">
        <v>11708</v>
      </c>
    </row>
    <row r="842" spans="2:16">
      <c r="C842">
        <v>6</v>
      </c>
      <c r="D842">
        <v>5</v>
      </c>
      <c r="E842">
        <v>6</v>
      </c>
      <c r="F842" t="s">
        <v>11708</v>
      </c>
      <c r="H842" t="s">
        <v>20782</v>
      </c>
      <c r="P842">
        <v>8025.6200000000008</v>
      </c>
    </row>
    <row r="843" spans="2:16">
      <c r="C843">
        <v>6</v>
      </c>
      <c r="D843">
        <v>5</v>
      </c>
      <c r="E843">
        <v>6</v>
      </c>
      <c r="F843" t="s">
        <v>11708</v>
      </c>
    </row>
    <row r="844" spans="2:16">
      <c r="B844">
        <v>1</v>
      </c>
      <c r="C844">
        <v>6</v>
      </c>
      <c r="D844">
        <v>5</v>
      </c>
      <c r="E844">
        <v>7</v>
      </c>
      <c r="F844" t="s">
        <v>11708</v>
      </c>
      <c r="H844" t="s">
        <v>11703</v>
      </c>
      <c r="I844" t="s">
        <v>64</v>
      </c>
      <c r="J844" s="25" t="s">
        <v>20783</v>
      </c>
      <c r="K844" t="s">
        <v>11739</v>
      </c>
      <c r="L844" t="s">
        <v>25</v>
      </c>
      <c r="M844" t="s">
        <v>11704</v>
      </c>
      <c r="N844" t="s">
        <v>11705</v>
      </c>
      <c r="O844" t="s">
        <v>11706</v>
      </c>
      <c r="P844" t="s">
        <v>27</v>
      </c>
    </row>
    <row r="845" spans="2:16">
      <c r="C845">
        <v>6</v>
      </c>
      <c r="D845">
        <v>5</v>
      </c>
      <c r="E845">
        <v>7</v>
      </c>
      <c r="F845" t="s">
        <v>11708</v>
      </c>
    </row>
    <row r="846" spans="2:16">
      <c r="C846">
        <v>6</v>
      </c>
      <c r="D846">
        <v>5</v>
      </c>
      <c r="E846">
        <v>7</v>
      </c>
      <c r="F846" t="s">
        <v>11708</v>
      </c>
      <c r="G846" t="s">
        <v>11928</v>
      </c>
      <c r="H846" t="s">
        <v>70</v>
      </c>
      <c r="I846">
        <v>87469</v>
      </c>
      <c r="K846" t="s">
        <v>18435</v>
      </c>
      <c r="L846" t="s">
        <v>256</v>
      </c>
      <c r="M846">
        <v>125.28</v>
      </c>
      <c r="N846">
        <v>71.84</v>
      </c>
      <c r="O846">
        <v>87.78</v>
      </c>
      <c r="P846">
        <v>10997.08</v>
      </c>
    </row>
    <row r="847" spans="2:16">
      <c r="C847">
        <v>6</v>
      </c>
      <c r="D847">
        <v>5</v>
      </c>
      <c r="E847">
        <v>7</v>
      </c>
      <c r="F847" t="s">
        <v>11708</v>
      </c>
      <c r="G847" t="s">
        <v>11948</v>
      </c>
      <c r="H847" t="s">
        <v>70</v>
      </c>
      <c r="I847" t="s">
        <v>18440</v>
      </c>
      <c r="K847" t="s">
        <v>18441</v>
      </c>
      <c r="L847" t="s">
        <v>256</v>
      </c>
      <c r="M847">
        <v>14</v>
      </c>
      <c r="N847">
        <v>110.92</v>
      </c>
      <c r="O847">
        <v>135.53</v>
      </c>
      <c r="P847">
        <v>1897.42</v>
      </c>
    </row>
    <row r="848" spans="2:16">
      <c r="C848">
        <v>6</v>
      </c>
      <c r="D848">
        <v>5</v>
      </c>
      <c r="E848">
        <v>7</v>
      </c>
      <c r="F848" t="s">
        <v>11708</v>
      </c>
      <c r="G848" t="s">
        <v>11947</v>
      </c>
      <c r="H848" t="s">
        <v>70</v>
      </c>
      <c r="I848">
        <v>87513</v>
      </c>
      <c r="K848" t="s">
        <v>18362</v>
      </c>
      <c r="L848" t="s">
        <v>256</v>
      </c>
      <c r="M848">
        <v>34.369999999999997</v>
      </c>
      <c r="N848">
        <v>65.290000000000006</v>
      </c>
      <c r="O848">
        <v>79.78</v>
      </c>
      <c r="P848">
        <v>2742.04</v>
      </c>
    </row>
    <row r="849" spans="2:16">
      <c r="C849">
        <v>6</v>
      </c>
      <c r="D849">
        <v>5</v>
      </c>
      <c r="E849">
        <v>7</v>
      </c>
      <c r="F849" t="s">
        <v>11708</v>
      </c>
    </row>
    <row r="850" spans="2:16">
      <c r="C850">
        <v>6</v>
      </c>
      <c r="D850">
        <v>5</v>
      </c>
      <c r="E850">
        <v>7</v>
      </c>
      <c r="F850" t="s">
        <v>11708</v>
      </c>
      <c r="H850" t="s">
        <v>20784</v>
      </c>
      <c r="P850">
        <v>15636.54</v>
      </c>
    </row>
    <row r="851" spans="2:16">
      <c r="C851">
        <v>6</v>
      </c>
      <c r="D851">
        <v>5</v>
      </c>
      <c r="E851">
        <v>7</v>
      </c>
      <c r="F851" t="s">
        <v>11708</v>
      </c>
    </row>
    <row r="852" spans="2:16">
      <c r="B852">
        <v>1</v>
      </c>
      <c r="C852">
        <v>6</v>
      </c>
      <c r="D852">
        <v>5</v>
      </c>
      <c r="E852">
        <v>8</v>
      </c>
      <c r="F852" t="s">
        <v>11708</v>
      </c>
      <c r="H852" t="s">
        <v>11703</v>
      </c>
      <c r="I852" t="s">
        <v>64</v>
      </c>
      <c r="J852" s="25" t="s">
        <v>20785</v>
      </c>
      <c r="K852" t="s">
        <v>11715</v>
      </c>
      <c r="L852" t="s">
        <v>25</v>
      </c>
      <c r="M852" t="s">
        <v>11704</v>
      </c>
      <c r="N852" t="s">
        <v>11705</v>
      </c>
      <c r="O852" t="s">
        <v>11706</v>
      </c>
      <c r="P852" t="s">
        <v>27</v>
      </c>
    </row>
    <row r="853" spans="2:16">
      <c r="C853">
        <v>6</v>
      </c>
      <c r="D853">
        <v>5</v>
      </c>
      <c r="E853">
        <v>8</v>
      </c>
      <c r="F853" t="s">
        <v>11708</v>
      </c>
    </row>
    <row r="854" spans="2:16">
      <c r="C854">
        <v>6</v>
      </c>
      <c r="D854">
        <v>5</v>
      </c>
      <c r="E854">
        <v>8</v>
      </c>
      <c r="F854" t="s">
        <v>11708</v>
      </c>
      <c r="G854" t="s">
        <v>11944</v>
      </c>
      <c r="H854" t="s">
        <v>70</v>
      </c>
      <c r="I854">
        <v>87908</v>
      </c>
      <c r="K854" t="s">
        <v>3536</v>
      </c>
      <c r="L854" t="s">
        <v>256</v>
      </c>
      <c r="M854">
        <v>68.739999999999995</v>
      </c>
      <c r="N854">
        <v>5.24</v>
      </c>
      <c r="O854">
        <v>6.4</v>
      </c>
      <c r="P854">
        <v>439.94</v>
      </c>
    </row>
    <row r="855" spans="2:16">
      <c r="C855">
        <v>6</v>
      </c>
      <c r="D855">
        <v>5</v>
      </c>
      <c r="E855">
        <v>8</v>
      </c>
      <c r="F855" t="s">
        <v>11708</v>
      </c>
      <c r="G855" t="s">
        <v>11945</v>
      </c>
      <c r="H855" t="s">
        <v>70</v>
      </c>
      <c r="I855">
        <v>87882</v>
      </c>
      <c r="K855" t="s">
        <v>18759</v>
      </c>
      <c r="L855" t="s">
        <v>256</v>
      </c>
      <c r="M855">
        <v>10.8</v>
      </c>
      <c r="N855">
        <v>3.45</v>
      </c>
      <c r="O855">
        <v>4.22</v>
      </c>
      <c r="P855">
        <v>45.58</v>
      </c>
    </row>
    <row r="856" spans="2:16">
      <c r="C856">
        <v>6</v>
      </c>
      <c r="D856">
        <v>5</v>
      </c>
      <c r="E856">
        <v>8</v>
      </c>
      <c r="F856" t="s">
        <v>11708</v>
      </c>
      <c r="G856" t="s">
        <v>11946</v>
      </c>
      <c r="H856" t="s">
        <v>70</v>
      </c>
      <c r="I856">
        <v>87296</v>
      </c>
      <c r="K856" t="s">
        <v>18965</v>
      </c>
      <c r="L856" t="s">
        <v>255</v>
      </c>
      <c r="M856">
        <v>3.44</v>
      </c>
      <c r="N856">
        <v>326.48</v>
      </c>
      <c r="O856">
        <v>398.93</v>
      </c>
      <c r="P856">
        <v>1372.32</v>
      </c>
    </row>
    <row r="857" spans="2:16">
      <c r="C857">
        <v>6</v>
      </c>
      <c r="D857">
        <v>5</v>
      </c>
      <c r="E857">
        <v>8</v>
      </c>
      <c r="F857" t="s">
        <v>11708</v>
      </c>
      <c r="G857" t="s">
        <v>11939</v>
      </c>
      <c r="H857" t="s">
        <v>70</v>
      </c>
      <c r="I857">
        <v>88489</v>
      </c>
      <c r="K857" t="s">
        <v>870</v>
      </c>
      <c r="L857" t="s">
        <v>256</v>
      </c>
      <c r="M857">
        <v>1.72</v>
      </c>
      <c r="N857">
        <v>9.94</v>
      </c>
      <c r="O857">
        <v>12.15</v>
      </c>
      <c r="P857">
        <v>20.9</v>
      </c>
    </row>
    <row r="858" spans="2:16">
      <c r="C858">
        <v>6</v>
      </c>
      <c r="D858">
        <v>5</v>
      </c>
      <c r="E858">
        <v>8</v>
      </c>
      <c r="F858" t="s">
        <v>11708</v>
      </c>
      <c r="G858" t="s">
        <v>11940</v>
      </c>
      <c r="H858" t="s">
        <v>70</v>
      </c>
      <c r="I858">
        <v>95305</v>
      </c>
      <c r="K858" t="s">
        <v>9665</v>
      </c>
      <c r="L858" t="s">
        <v>256</v>
      </c>
      <c r="M858">
        <v>1.72</v>
      </c>
      <c r="N858">
        <v>10.31</v>
      </c>
      <c r="O858">
        <v>12.6</v>
      </c>
      <c r="P858">
        <v>21.67</v>
      </c>
    </row>
    <row r="859" spans="2:16">
      <c r="C859">
        <v>6</v>
      </c>
      <c r="D859">
        <v>5</v>
      </c>
      <c r="E859">
        <v>8</v>
      </c>
      <c r="F859" t="s">
        <v>11708</v>
      </c>
      <c r="G859" t="s">
        <v>11868</v>
      </c>
      <c r="H859" t="s">
        <v>70</v>
      </c>
      <c r="I859" t="s">
        <v>16604</v>
      </c>
      <c r="K859" t="s">
        <v>6022</v>
      </c>
      <c r="L859" t="s">
        <v>256</v>
      </c>
      <c r="M859">
        <v>63.2</v>
      </c>
      <c r="N859">
        <v>7.91</v>
      </c>
      <c r="O859">
        <v>9.67</v>
      </c>
      <c r="P859">
        <v>611.14</v>
      </c>
    </row>
    <row r="860" spans="2:16">
      <c r="C860">
        <v>6</v>
      </c>
      <c r="D860">
        <v>5</v>
      </c>
      <c r="E860">
        <v>8</v>
      </c>
      <c r="F860" t="s">
        <v>11708</v>
      </c>
      <c r="G860" t="s">
        <v>11941</v>
      </c>
      <c r="H860" t="s">
        <v>70</v>
      </c>
      <c r="I860">
        <v>87298</v>
      </c>
      <c r="K860" t="s">
        <v>18966</v>
      </c>
      <c r="L860" t="s">
        <v>255</v>
      </c>
      <c r="M860">
        <v>10.24</v>
      </c>
      <c r="N860">
        <v>403.26</v>
      </c>
      <c r="O860">
        <v>492.74</v>
      </c>
      <c r="P860">
        <v>5045.66</v>
      </c>
    </row>
    <row r="861" spans="2:16">
      <c r="C861">
        <v>6</v>
      </c>
      <c r="D861">
        <v>5</v>
      </c>
      <c r="E861">
        <v>8</v>
      </c>
      <c r="F861" t="s">
        <v>11708</v>
      </c>
    </row>
    <row r="862" spans="2:16">
      <c r="C862">
        <v>6</v>
      </c>
      <c r="D862">
        <v>5</v>
      </c>
      <c r="E862">
        <v>8</v>
      </c>
      <c r="F862" t="s">
        <v>11708</v>
      </c>
      <c r="H862" t="s">
        <v>20786</v>
      </c>
      <c r="P862">
        <v>7557.21</v>
      </c>
    </row>
    <row r="863" spans="2:16">
      <c r="C863">
        <v>6</v>
      </c>
      <c r="D863">
        <v>5</v>
      </c>
      <c r="E863">
        <v>8</v>
      </c>
      <c r="F863" t="s">
        <v>11708</v>
      </c>
    </row>
    <row r="864" spans="2:16">
      <c r="B864">
        <v>1</v>
      </c>
      <c r="C864">
        <v>6</v>
      </c>
      <c r="D864">
        <v>5</v>
      </c>
      <c r="E864">
        <v>9</v>
      </c>
      <c r="F864" t="s">
        <v>11708</v>
      </c>
      <c r="H864" t="s">
        <v>11703</v>
      </c>
      <c r="I864" t="s">
        <v>64</v>
      </c>
      <c r="J864" s="25" t="s">
        <v>20787</v>
      </c>
      <c r="K864" t="s">
        <v>20203</v>
      </c>
      <c r="L864" t="s">
        <v>25</v>
      </c>
      <c r="M864" t="s">
        <v>11704</v>
      </c>
      <c r="N864" t="s">
        <v>11705</v>
      </c>
      <c r="O864" t="s">
        <v>11706</v>
      </c>
      <c r="P864" t="s">
        <v>27</v>
      </c>
    </row>
    <row r="865" spans="1:16">
      <c r="C865">
        <v>6</v>
      </c>
      <c r="D865">
        <v>5</v>
      </c>
      <c r="E865">
        <v>9</v>
      </c>
      <c r="F865" t="s">
        <v>11708</v>
      </c>
    </row>
    <row r="866" spans="1:16">
      <c r="C866">
        <v>6</v>
      </c>
      <c r="D866">
        <v>5</v>
      </c>
      <c r="E866">
        <v>9</v>
      </c>
      <c r="F866" t="s">
        <v>11708</v>
      </c>
      <c r="G866" t="s">
        <v>11869</v>
      </c>
      <c r="H866" t="s">
        <v>70</v>
      </c>
      <c r="I866" t="s">
        <v>18613</v>
      </c>
      <c r="K866" t="s">
        <v>18614</v>
      </c>
      <c r="L866" t="s">
        <v>256</v>
      </c>
      <c r="M866">
        <v>8.2799999999999994</v>
      </c>
      <c r="N866">
        <v>39.54</v>
      </c>
      <c r="O866">
        <v>48.31</v>
      </c>
      <c r="P866">
        <v>400.01</v>
      </c>
    </row>
    <row r="867" spans="1:16">
      <c r="C867">
        <v>6</v>
      </c>
      <c r="D867">
        <v>5</v>
      </c>
      <c r="E867">
        <v>9</v>
      </c>
      <c r="F867" t="s">
        <v>11708</v>
      </c>
      <c r="G867" t="s">
        <v>11942</v>
      </c>
      <c r="H867" t="s">
        <v>70</v>
      </c>
      <c r="I867">
        <v>94990</v>
      </c>
      <c r="K867" t="s">
        <v>18684</v>
      </c>
      <c r="L867" t="s">
        <v>255</v>
      </c>
      <c r="M867">
        <v>0.8</v>
      </c>
      <c r="N867">
        <v>497.55</v>
      </c>
      <c r="O867">
        <v>607.96</v>
      </c>
      <c r="P867">
        <v>486.37</v>
      </c>
    </row>
    <row r="868" spans="1:16">
      <c r="C868">
        <v>6</v>
      </c>
      <c r="D868">
        <v>5</v>
      </c>
      <c r="E868">
        <v>9</v>
      </c>
      <c r="F868" t="s">
        <v>11708</v>
      </c>
      <c r="G868" t="s">
        <v>11943</v>
      </c>
      <c r="H868" t="s">
        <v>70</v>
      </c>
      <c r="I868">
        <v>94969</v>
      </c>
      <c r="K868" t="s">
        <v>16535</v>
      </c>
      <c r="L868" t="s">
        <v>255</v>
      </c>
      <c r="M868">
        <v>0.41</v>
      </c>
      <c r="N868">
        <v>247.09</v>
      </c>
      <c r="O868">
        <v>301.92</v>
      </c>
      <c r="P868">
        <v>123.79</v>
      </c>
    </row>
    <row r="869" spans="1:16">
      <c r="C869">
        <v>6</v>
      </c>
      <c r="D869">
        <v>5</v>
      </c>
      <c r="E869">
        <v>9</v>
      </c>
      <c r="F869" t="s">
        <v>11708</v>
      </c>
      <c r="G869" t="s">
        <v>14334</v>
      </c>
      <c r="H869" t="s">
        <v>70</v>
      </c>
      <c r="I869">
        <v>9537</v>
      </c>
      <c r="K869" t="s">
        <v>966</v>
      </c>
      <c r="L869" t="s">
        <v>256</v>
      </c>
      <c r="M869">
        <v>59.6</v>
      </c>
      <c r="N869">
        <v>2.02</v>
      </c>
      <c r="O869">
        <v>2.4700000000000002</v>
      </c>
      <c r="P869">
        <v>147.21</v>
      </c>
    </row>
    <row r="870" spans="1:16">
      <c r="C870">
        <v>6</v>
      </c>
      <c r="D870">
        <v>5</v>
      </c>
      <c r="E870">
        <v>9</v>
      </c>
      <c r="F870" t="s">
        <v>11708</v>
      </c>
    </row>
    <row r="871" spans="1:16">
      <c r="C871">
        <v>6</v>
      </c>
      <c r="D871">
        <v>5</v>
      </c>
      <c r="E871">
        <v>9</v>
      </c>
      <c r="F871" t="s">
        <v>11708</v>
      </c>
      <c r="H871" t="s">
        <v>20788</v>
      </c>
      <c r="P871">
        <v>1157.3799999999999</v>
      </c>
    </row>
    <row r="872" spans="1:16">
      <c r="C872">
        <v>6</v>
      </c>
      <c r="D872">
        <v>5</v>
      </c>
      <c r="E872">
        <v>9</v>
      </c>
      <c r="F872" t="s">
        <v>11708</v>
      </c>
    </row>
    <row r="873" spans="1:16">
      <c r="A873">
        <v>1</v>
      </c>
      <c r="C873">
        <v>6</v>
      </c>
      <c r="D873">
        <v>6</v>
      </c>
      <c r="E873">
        <v>0</v>
      </c>
      <c r="F873" t="s">
        <v>11708</v>
      </c>
      <c r="H873" t="s">
        <v>20789</v>
      </c>
      <c r="I873" t="s">
        <v>12682</v>
      </c>
      <c r="O873" t="s">
        <v>11702</v>
      </c>
      <c r="P873">
        <v>129320.66</v>
      </c>
    </row>
    <row r="874" spans="1:16">
      <c r="C874">
        <v>6</v>
      </c>
      <c r="D874">
        <v>6</v>
      </c>
      <c r="E874">
        <v>0</v>
      </c>
      <c r="F874" t="s">
        <v>11708</v>
      </c>
    </row>
    <row r="875" spans="1:16">
      <c r="B875">
        <v>1</v>
      </c>
      <c r="C875">
        <v>6</v>
      </c>
      <c r="D875">
        <v>6</v>
      </c>
      <c r="E875">
        <v>1</v>
      </c>
      <c r="F875" t="s">
        <v>11708</v>
      </c>
      <c r="H875" t="s">
        <v>11703</v>
      </c>
      <c r="I875" t="s">
        <v>64</v>
      </c>
      <c r="J875" s="25" t="s">
        <v>20790</v>
      </c>
      <c r="K875" t="s">
        <v>11709</v>
      </c>
      <c r="L875" t="s">
        <v>25</v>
      </c>
      <c r="M875" t="s">
        <v>11704</v>
      </c>
      <c r="N875" t="s">
        <v>11705</v>
      </c>
      <c r="O875" t="s">
        <v>11706</v>
      </c>
      <c r="P875" t="s">
        <v>27</v>
      </c>
    </row>
    <row r="876" spans="1:16">
      <c r="C876">
        <v>6</v>
      </c>
      <c r="D876">
        <v>6</v>
      </c>
      <c r="E876">
        <v>1</v>
      </c>
      <c r="F876" t="s">
        <v>11708</v>
      </c>
    </row>
    <row r="877" spans="1:16">
      <c r="C877">
        <v>6</v>
      </c>
      <c r="D877">
        <v>6</v>
      </c>
      <c r="E877">
        <v>1</v>
      </c>
      <c r="F877" t="s">
        <v>11708</v>
      </c>
      <c r="G877" t="s">
        <v>12306</v>
      </c>
      <c r="H877" t="s">
        <v>70</v>
      </c>
      <c r="I877" t="s">
        <v>19163</v>
      </c>
      <c r="K877" t="s">
        <v>19164</v>
      </c>
      <c r="L877" t="s">
        <v>256</v>
      </c>
      <c r="M877">
        <v>342.76</v>
      </c>
      <c r="N877">
        <v>0.59</v>
      </c>
      <c r="O877">
        <v>0.72</v>
      </c>
      <c r="P877">
        <v>246.79</v>
      </c>
    </row>
    <row r="878" spans="1:16">
      <c r="C878">
        <v>6</v>
      </c>
      <c r="D878">
        <v>6</v>
      </c>
      <c r="E878">
        <v>1</v>
      </c>
      <c r="F878" t="s">
        <v>11708</v>
      </c>
      <c r="G878" t="s">
        <v>12307</v>
      </c>
      <c r="H878" t="s">
        <v>70</v>
      </c>
      <c r="I878" t="s">
        <v>19263</v>
      </c>
      <c r="K878" t="s">
        <v>19264</v>
      </c>
      <c r="L878" t="s">
        <v>256</v>
      </c>
      <c r="M878">
        <v>204.82</v>
      </c>
      <c r="N878">
        <v>9.93</v>
      </c>
      <c r="O878">
        <v>12.13</v>
      </c>
      <c r="P878">
        <v>2484.4699999999998</v>
      </c>
    </row>
    <row r="879" spans="1:16">
      <c r="C879">
        <v>6</v>
      </c>
      <c r="D879">
        <v>6</v>
      </c>
      <c r="E879">
        <v>1</v>
      </c>
      <c r="F879" t="s">
        <v>11708</v>
      </c>
    </row>
    <row r="880" spans="1:16">
      <c r="C880">
        <v>6</v>
      </c>
      <c r="D880">
        <v>6</v>
      </c>
      <c r="E880">
        <v>1</v>
      </c>
      <c r="F880" t="s">
        <v>11708</v>
      </c>
      <c r="H880" t="s">
        <v>20791</v>
      </c>
      <c r="P880">
        <v>2731.2599999999998</v>
      </c>
    </row>
    <row r="881" spans="2:16">
      <c r="C881">
        <v>6</v>
      </c>
      <c r="D881">
        <v>6</v>
      </c>
      <c r="E881">
        <v>1</v>
      </c>
      <c r="F881" t="s">
        <v>11708</v>
      </c>
    </row>
    <row r="882" spans="2:16">
      <c r="B882">
        <v>1</v>
      </c>
      <c r="C882">
        <v>6</v>
      </c>
      <c r="D882">
        <v>6</v>
      </c>
      <c r="E882">
        <v>2</v>
      </c>
      <c r="F882" t="s">
        <v>11708</v>
      </c>
      <c r="H882" t="s">
        <v>11703</v>
      </c>
      <c r="I882" t="s">
        <v>64</v>
      </c>
      <c r="J882" s="25" t="s">
        <v>20792</v>
      </c>
      <c r="K882" t="s">
        <v>11710</v>
      </c>
      <c r="L882" t="s">
        <v>25</v>
      </c>
      <c r="M882" t="s">
        <v>11704</v>
      </c>
      <c r="N882" t="s">
        <v>11705</v>
      </c>
      <c r="O882" t="s">
        <v>11706</v>
      </c>
      <c r="P882" t="s">
        <v>27</v>
      </c>
    </row>
    <row r="883" spans="2:16">
      <c r="C883">
        <v>6</v>
      </c>
      <c r="D883">
        <v>6</v>
      </c>
      <c r="E883">
        <v>2</v>
      </c>
      <c r="F883" t="s">
        <v>11708</v>
      </c>
    </row>
    <row r="884" spans="2:16">
      <c r="C884">
        <v>6</v>
      </c>
      <c r="D884">
        <v>6</v>
      </c>
      <c r="E884">
        <v>2</v>
      </c>
      <c r="F884" t="s">
        <v>11708</v>
      </c>
      <c r="G884" t="s">
        <v>12308</v>
      </c>
      <c r="H884" t="s">
        <v>70</v>
      </c>
      <c r="I884">
        <v>90105</v>
      </c>
      <c r="K884" t="s">
        <v>18214</v>
      </c>
      <c r="L884" t="s">
        <v>255</v>
      </c>
      <c r="M884">
        <v>174.9</v>
      </c>
      <c r="N884">
        <v>14.07</v>
      </c>
      <c r="O884">
        <v>17.190000000000001</v>
      </c>
      <c r="P884">
        <v>3006.53</v>
      </c>
    </row>
    <row r="885" spans="2:16">
      <c r="C885">
        <v>6</v>
      </c>
      <c r="D885">
        <v>6</v>
      </c>
      <c r="E885">
        <v>2</v>
      </c>
      <c r="F885" t="s">
        <v>11708</v>
      </c>
      <c r="G885" t="s">
        <v>12310</v>
      </c>
      <c r="H885" t="s">
        <v>10852</v>
      </c>
      <c r="I885">
        <v>184</v>
      </c>
      <c r="K885" t="s">
        <v>20740</v>
      </c>
      <c r="L885" t="s">
        <v>255</v>
      </c>
      <c r="M885">
        <v>9.7200000000000006</v>
      </c>
      <c r="N885">
        <v>4.68</v>
      </c>
      <c r="O885">
        <v>5.72</v>
      </c>
      <c r="P885">
        <v>55.6</v>
      </c>
    </row>
    <row r="886" spans="2:16">
      <c r="C886">
        <v>6</v>
      </c>
      <c r="D886">
        <v>6</v>
      </c>
      <c r="E886">
        <v>2</v>
      </c>
      <c r="F886" t="s">
        <v>11708</v>
      </c>
      <c r="G886" t="s">
        <v>12312</v>
      </c>
      <c r="H886" t="s">
        <v>10852</v>
      </c>
      <c r="I886">
        <v>187</v>
      </c>
      <c r="K886" t="s">
        <v>20741</v>
      </c>
      <c r="L886" t="s">
        <v>255</v>
      </c>
      <c r="M886">
        <v>9.7200000000000006</v>
      </c>
      <c r="N886">
        <v>4.67</v>
      </c>
      <c r="O886">
        <v>5.71</v>
      </c>
      <c r="P886">
        <v>55.5</v>
      </c>
    </row>
    <row r="887" spans="2:16">
      <c r="C887">
        <v>6</v>
      </c>
      <c r="D887">
        <v>6</v>
      </c>
      <c r="E887">
        <v>2</v>
      </c>
      <c r="F887" t="s">
        <v>11708</v>
      </c>
      <c r="G887" t="s">
        <v>12314</v>
      </c>
      <c r="H887" t="s">
        <v>70</v>
      </c>
      <c r="I887">
        <v>93358</v>
      </c>
      <c r="K887" t="s">
        <v>826</v>
      </c>
      <c r="L887" t="s">
        <v>255</v>
      </c>
      <c r="M887">
        <v>9.2100000000000009</v>
      </c>
      <c r="N887">
        <v>52.29</v>
      </c>
      <c r="O887">
        <v>63.89</v>
      </c>
      <c r="P887">
        <v>588.42999999999995</v>
      </c>
    </row>
    <row r="888" spans="2:16">
      <c r="C888">
        <v>6</v>
      </c>
      <c r="D888">
        <v>6</v>
      </c>
      <c r="E888">
        <v>2</v>
      </c>
      <c r="F888" t="s">
        <v>11708</v>
      </c>
      <c r="G888" t="s">
        <v>12316</v>
      </c>
      <c r="H888" t="s">
        <v>10852</v>
      </c>
      <c r="I888">
        <v>170</v>
      </c>
      <c r="K888" t="s">
        <v>19822</v>
      </c>
      <c r="L888" t="s">
        <v>255</v>
      </c>
      <c r="M888">
        <v>0.51</v>
      </c>
      <c r="N888">
        <v>55.58</v>
      </c>
      <c r="O888">
        <v>67.91</v>
      </c>
      <c r="P888">
        <v>34.630000000000003</v>
      </c>
    </row>
    <row r="889" spans="2:16">
      <c r="C889">
        <v>6</v>
      </c>
      <c r="D889">
        <v>6</v>
      </c>
      <c r="E889">
        <v>2</v>
      </c>
      <c r="F889" t="s">
        <v>11708</v>
      </c>
      <c r="G889" t="s">
        <v>12318</v>
      </c>
      <c r="H889" t="s">
        <v>10852</v>
      </c>
      <c r="I889">
        <v>172</v>
      </c>
      <c r="K889" t="s">
        <v>19824</v>
      </c>
      <c r="L889" t="s">
        <v>255</v>
      </c>
      <c r="M889">
        <v>0.51</v>
      </c>
      <c r="N889">
        <v>91.06</v>
      </c>
      <c r="O889">
        <v>111.27</v>
      </c>
      <c r="P889">
        <v>56.75</v>
      </c>
    </row>
    <row r="890" spans="2:16">
      <c r="C890">
        <v>6</v>
      </c>
      <c r="D890">
        <v>6</v>
      </c>
      <c r="E890">
        <v>2</v>
      </c>
      <c r="F890" t="s">
        <v>11708</v>
      </c>
      <c r="G890" t="s">
        <v>12320</v>
      </c>
      <c r="H890" t="s">
        <v>70</v>
      </c>
      <c r="I890" t="s">
        <v>15726</v>
      </c>
      <c r="K890" t="s">
        <v>350</v>
      </c>
      <c r="L890" t="s">
        <v>57</v>
      </c>
      <c r="M890">
        <v>10</v>
      </c>
      <c r="N890">
        <v>6.2</v>
      </c>
      <c r="O890">
        <v>7.58</v>
      </c>
      <c r="P890">
        <v>75.8</v>
      </c>
    </row>
    <row r="891" spans="2:16">
      <c r="C891">
        <v>6</v>
      </c>
      <c r="D891">
        <v>6</v>
      </c>
      <c r="E891">
        <v>2</v>
      </c>
      <c r="F891" t="s">
        <v>11708</v>
      </c>
      <c r="G891" t="s">
        <v>12321</v>
      </c>
      <c r="H891" t="s">
        <v>70</v>
      </c>
      <c r="I891">
        <v>79472</v>
      </c>
      <c r="K891" t="s">
        <v>8710</v>
      </c>
      <c r="L891" t="s">
        <v>256</v>
      </c>
      <c r="M891">
        <v>91.06</v>
      </c>
      <c r="N891">
        <v>0.56000000000000005</v>
      </c>
      <c r="O891">
        <v>0.68</v>
      </c>
      <c r="P891">
        <v>61.92</v>
      </c>
    </row>
    <row r="892" spans="2:16">
      <c r="C892">
        <v>6</v>
      </c>
      <c r="D892">
        <v>6</v>
      </c>
      <c r="E892">
        <v>2</v>
      </c>
      <c r="F892" t="s">
        <v>11708</v>
      </c>
      <c r="G892" t="s">
        <v>12322</v>
      </c>
      <c r="H892" t="s">
        <v>70</v>
      </c>
      <c r="I892">
        <v>93367</v>
      </c>
      <c r="K892" t="s">
        <v>18245</v>
      </c>
      <c r="L892" t="s">
        <v>255</v>
      </c>
      <c r="M892">
        <v>112.15</v>
      </c>
      <c r="N892">
        <v>17.86</v>
      </c>
      <c r="O892">
        <v>21.82</v>
      </c>
      <c r="P892">
        <v>2447.11</v>
      </c>
    </row>
    <row r="893" spans="2:16">
      <c r="C893">
        <v>6</v>
      </c>
      <c r="D893">
        <v>6</v>
      </c>
      <c r="E893">
        <v>2</v>
      </c>
      <c r="F893" t="s">
        <v>11708</v>
      </c>
      <c r="G893" t="s">
        <v>12323</v>
      </c>
      <c r="H893" t="s">
        <v>70</v>
      </c>
      <c r="I893" t="s">
        <v>18237</v>
      </c>
      <c r="K893" t="s">
        <v>829</v>
      </c>
      <c r="L893" t="s">
        <v>255</v>
      </c>
      <c r="M893">
        <v>12.46</v>
      </c>
      <c r="N893">
        <v>39.659999999999997</v>
      </c>
      <c r="O893">
        <v>48.46</v>
      </c>
      <c r="P893">
        <v>603.80999999999995</v>
      </c>
    </row>
    <row r="894" spans="2:16">
      <c r="C894">
        <v>6</v>
      </c>
      <c r="D894">
        <v>6</v>
      </c>
      <c r="E894">
        <v>2</v>
      </c>
      <c r="F894" t="s">
        <v>11708</v>
      </c>
      <c r="G894" t="s">
        <v>12323</v>
      </c>
      <c r="H894" t="s">
        <v>70</v>
      </c>
      <c r="I894" t="s">
        <v>18237</v>
      </c>
      <c r="K894" t="s">
        <v>829</v>
      </c>
      <c r="L894" t="s">
        <v>255</v>
      </c>
      <c r="M894">
        <v>12.46</v>
      </c>
      <c r="N894">
        <v>39.659999999999997</v>
      </c>
      <c r="O894">
        <v>48.46</v>
      </c>
      <c r="P894">
        <v>603.80999999999995</v>
      </c>
    </row>
    <row r="895" spans="2:16">
      <c r="C895">
        <v>6</v>
      </c>
      <c r="D895">
        <v>6</v>
      </c>
      <c r="E895">
        <v>2</v>
      </c>
      <c r="F895" t="s">
        <v>11708</v>
      </c>
    </row>
    <row r="896" spans="2:16">
      <c r="C896">
        <v>6</v>
      </c>
      <c r="D896">
        <v>6</v>
      </c>
      <c r="E896">
        <v>2</v>
      </c>
      <c r="F896" t="s">
        <v>11708</v>
      </c>
      <c r="H896" t="s">
        <v>20793</v>
      </c>
      <c r="P896">
        <v>7589.8899999999994</v>
      </c>
    </row>
    <row r="897" spans="2:16">
      <c r="C897">
        <v>6</v>
      </c>
      <c r="D897">
        <v>6</v>
      </c>
      <c r="E897">
        <v>2</v>
      </c>
      <c r="F897" t="s">
        <v>11708</v>
      </c>
    </row>
    <row r="898" spans="2:16">
      <c r="B898">
        <v>1</v>
      </c>
      <c r="C898">
        <v>6</v>
      </c>
      <c r="D898">
        <v>6</v>
      </c>
      <c r="E898">
        <v>3</v>
      </c>
      <c r="F898" t="s">
        <v>11708</v>
      </c>
      <c r="H898" t="s">
        <v>11703</v>
      </c>
      <c r="I898" t="s">
        <v>64</v>
      </c>
      <c r="J898" s="25" t="s">
        <v>20794</v>
      </c>
      <c r="K898" t="s">
        <v>11712</v>
      </c>
      <c r="L898" t="s">
        <v>25</v>
      </c>
      <c r="M898" t="s">
        <v>11704</v>
      </c>
      <c r="N898" t="s">
        <v>11705</v>
      </c>
      <c r="O898" t="s">
        <v>11706</v>
      </c>
      <c r="P898" t="s">
        <v>27</v>
      </c>
    </row>
    <row r="899" spans="2:16">
      <c r="C899">
        <v>6</v>
      </c>
      <c r="D899">
        <v>6</v>
      </c>
      <c r="E899">
        <v>3</v>
      </c>
      <c r="F899" t="s">
        <v>11708</v>
      </c>
    </row>
    <row r="900" spans="2:16">
      <c r="C900">
        <v>6</v>
      </c>
      <c r="D900">
        <v>6</v>
      </c>
      <c r="E900">
        <v>3</v>
      </c>
      <c r="F900" t="s">
        <v>11708</v>
      </c>
      <c r="G900" t="s">
        <v>12324</v>
      </c>
      <c r="H900" t="s">
        <v>70</v>
      </c>
      <c r="I900" t="s">
        <v>18276</v>
      </c>
      <c r="K900" t="s">
        <v>18277</v>
      </c>
      <c r="L900" t="s">
        <v>255</v>
      </c>
      <c r="M900">
        <v>95.95</v>
      </c>
      <c r="N900">
        <v>1.76</v>
      </c>
      <c r="O900">
        <v>2.15</v>
      </c>
      <c r="P900">
        <v>206.29</v>
      </c>
    </row>
    <row r="901" spans="2:16">
      <c r="C901">
        <v>6</v>
      </c>
      <c r="D901">
        <v>6</v>
      </c>
      <c r="E901">
        <v>3</v>
      </c>
      <c r="F901" t="s">
        <v>11708</v>
      </c>
      <c r="G901" t="s">
        <v>12325</v>
      </c>
      <c r="H901" t="s">
        <v>70</v>
      </c>
      <c r="I901">
        <v>93590</v>
      </c>
      <c r="K901" t="s">
        <v>19275</v>
      </c>
      <c r="L901" t="s">
        <v>9853</v>
      </c>
      <c r="M901">
        <v>719.6</v>
      </c>
      <c r="N901">
        <v>0.74</v>
      </c>
      <c r="O901">
        <v>0.9</v>
      </c>
      <c r="P901">
        <v>647.64</v>
      </c>
    </row>
    <row r="902" spans="2:16">
      <c r="C902">
        <v>6</v>
      </c>
      <c r="D902">
        <v>6</v>
      </c>
      <c r="E902">
        <v>3</v>
      </c>
      <c r="F902" t="s">
        <v>11708</v>
      </c>
      <c r="G902" t="s">
        <v>12326</v>
      </c>
      <c r="H902" t="s">
        <v>70</v>
      </c>
      <c r="I902">
        <v>83344</v>
      </c>
      <c r="K902" t="s">
        <v>18317</v>
      </c>
      <c r="L902" t="s">
        <v>255</v>
      </c>
      <c r="M902">
        <v>91.95</v>
      </c>
      <c r="N902">
        <v>1.02</v>
      </c>
      <c r="O902">
        <v>1.25</v>
      </c>
      <c r="P902">
        <v>114.94</v>
      </c>
    </row>
    <row r="903" spans="2:16">
      <c r="C903">
        <v>6</v>
      </c>
      <c r="D903">
        <v>6</v>
      </c>
      <c r="E903">
        <v>3</v>
      </c>
      <c r="F903" t="s">
        <v>11708</v>
      </c>
    </row>
    <row r="904" spans="2:16">
      <c r="C904">
        <v>6</v>
      </c>
      <c r="D904">
        <v>6</v>
      </c>
      <c r="E904">
        <v>3</v>
      </c>
      <c r="F904" t="s">
        <v>11708</v>
      </c>
      <c r="H904" t="s">
        <v>20795</v>
      </c>
      <c r="P904">
        <v>968.86999999999989</v>
      </c>
    </row>
    <row r="905" spans="2:16">
      <c r="C905">
        <v>6</v>
      </c>
      <c r="D905">
        <v>6</v>
      </c>
      <c r="E905">
        <v>3</v>
      </c>
      <c r="F905" t="s">
        <v>11708</v>
      </c>
    </row>
    <row r="906" spans="2:16">
      <c r="B906">
        <v>1</v>
      </c>
      <c r="C906">
        <v>6</v>
      </c>
      <c r="D906">
        <v>6</v>
      </c>
      <c r="E906">
        <v>4</v>
      </c>
      <c r="F906" t="s">
        <v>11708</v>
      </c>
      <c r="H906" t="s">
        <v>11703</v>
      </c>
      <c r="I906" t="s">
        <v>64</v>
      </c>
      <c r="J906" s="25" t="s">
        <v>20796</v>
      </c>
      <c r="K906" t="s">
        <v>1225</v>
      </c>
      <c r="L906" t="s">
        <v>25</v>
      </c>
      <c r="M906" t="s">
        <v>11704</v>
      </c>
      <c r="N906" t="s">
        <v>11705</v>
      </c>
      <c r="O906" t="s">
        <v>11706</v>
      </c>
      <c r="P906" t="s">
        <v>27</v>
      </c>
    </row>
    <row r="907" spans="2:16">
      <c r="C907">
        <v>6</v>
      </c>
      <c r="D907">
        <v>6</v>
      </c>
      <c r="E907">
        <v>4</v>
      </c>
      <c r="F907" t="s">
        <v>11708</v>
      </c>
    </row>
    <row r="908" spans="2:16">
      <c r="C908">
        <v>6</v>
      </c>
      <c r="D908">
        <v>6</v>
      </c>
      <c r="E908">
        <v>4</v>
      </c>
      <c r="F908" t="s">
        <v>11708</v>
      </c>
      <c r="G908" t="s">
        <v>12342</v>
      </c>
      <c r="H908" t="s">
        <v>70</v>
      </c>
      <c r="I908">
        <v>94116</v>
      </c>
      <c r="K908" t="s">
        <v>18309</v>
      </c>
      <c r="L908" t="s">
        <v>255</v>
      </c>
      <c r="M908">
        <v>11.22</v>
      </c>
      <c r="N908">
        <v>120.39</v>
      </c>
      <c r="O908">
        <v>147.1</v>
      </c>
      <c r="P908">
        <v>1650.46</v>
      </c>
    </row>
    <row r="909" spans="2:16">
      <c r="C909">
        <v>6</v>
      </c>
      <c r="D909">
        <v>6</v>
      </c>
      <c r="E909">
        <v>4</v>
      </c>
      <c r="F909" t="s">
        <v>11708</v>
      </c>
      <c r="G909" t="s">
        <v>12343</v>
      </c>
      <c r="H909" t="s">
        <v>70</v>
      </c>
      <c r="I909">
        <v>95241</v>
      </c>
      <c r="K909" t="s">
        <v>6694</v>
      </c>
      <c r="L909" t="s">
        <v>256</v>
      </c>
      <c r="M909">
        <v>85.42</v>
      </c>
      <c r="N909">
        <v>18.73</v>
      </c>
      <c r="O909">
        <v>22.89</v>
      </c>
      <c r="P909">
        <v>1955.26</v>
      </c>
    </row>
    <row r="910" spans="2:16">
      <c r="C910">
        <v>6</v>
      </c>
      <c r="D910">
        <v>6</v>
      </c>
      <c r="E910">
        <v>4</v>
      </c>
      <c r="F910" t="s">
        <v>11708</v>
      </c>
      <c r="G910" t="s">
        <v>12327</v>
      </c>
      <c r="H910" t="s">
        <v>70</v>
      </c>
      <c r="I910">
        <v>92415</v>
      </c>
      <c r="K910" t="s">
        <v>16234</v>
      </c>
      <c r="L910" t="s">
        <v>256</v>
      </c>
      <c r="M910">
        <v>88.42</v>
      </c>
      <c r="N910">
        <v>73.489999999999995</v>
      </c>
      <c r="O910">
        <v>89.8</v>
      </c>
      <c r="P910">
        <v>7940.12</v>
      </c>
    </row>
    <row r="911" spans="2:16">
      <c r="C911">
        <v>6</v>
      </c>
      <c r="D911">
        <v>6</v>
      </c>
      <c r="E911">
        <v>4</v>
      </c>
      <c r="F911" t="s">
        <v>11708</v>
      </c>
      <c r="G911" t="s">
        <v>12352</v>
      </c>
      <c r="H911" t="s">
        <v>70</v>
      </c>
      <c r="I911">
        <v>34493</v>
      </c>
      <c r="K911" t="s">
        <v>3781</v>
      </c>
      <c r="L911" t="s">
        <v>255</v>
      </c>
      <c r="M911">
        <v>8.8000000000000007</v>
      </c>
      <c r="N911">
        <v>238.87</v>
      </c>
      <c r="O911">
        <v>291.88</v>
      </c>
      <c r="P911">
        <v>2568.54</v>
      </c>
    </row>
    <row r="912" spans="2:16">
      <c r="C912">
        <v>6</v>
      </c>
      <c r="D912">
        <v>6</v>
      </c>
      <c r="E912">
        <v>4</v>
      </c>
      <c r="F912" t="s">
        <v>11708</v>
      </c>
      <c r="G912" t="s">
        <v>20452</v>
      </c>
      <c r="H912" t="s">
        <v>70</v>
      </c>
      <c r="I912">
        <v>92874</v>
      </c>
      <c r="K912" t="s">
        <v>16528</v>
      </c>
      <c r="L912" t="s">
        <v>255</v>
      </c>
      <c r="M912">
        <v>8.8000000000000007</v>
      </c>
      <c r="N912">
        <v>23.46</v>
      </c>
      <c r="O912">
        <v>28.67</v>
      </c>
      <c r="P912">
        <v>252.3</v>
      </c>
    </row>
    <row r="913" spans="2:16">
      <c r="C913">
        <v>6</v>
      </c>
      <c r="D913">
        <v>6</v>
      </c>
      <c r="E913">
        <v>4</v>
      </c>
      <c r="F913" t="s">
        <v>11708</v>
      </c>
      <c r="G913" t="s">
        <v>12353</v>
      </c>
      <c r="H913" t="s">
        <v>10852</v>
      </c>
      <c r="I913">
        <v>316</v>
      </c>
      <c r="K913" t="s">
        <v>20713</v>
      </c>
      <c r="L913" t="s">
        <v>255</v>
      </c>
      <c r="M913">
        <v>3.74</v>
      </c>
      <c r="N913">
        <v>476.83</v>
      </c>
      <c r="O913">
        <v>582.64</v>
      </c>
      <c r="P913">
        <v>2179.0700000000002</v>
      </c>
    </row>
    <row r="914" spans="2:16">
      <c r="C914">
        <v>6</v>
      </c>
      <c r="D914">
        <v>6</v>
      </c>
      <c r="E914">
        <v>4</v>
      </c>
      <c r="F914" t="s">
        <v>11708</v>
      </c>
      <c r="G914" t="s">
        <v>20453</v>
      </c>
      <c r="H914" t="s">
        <v>70</v>
      </c>
      <c r="I914">
        <v>94969</v>
      </c>
      <c r="K914" t="s">
        <v>16535</v>
      </c>
      <c r="L914" t="s">
        <v>255</v>
      </c>
      <c r="M914">
        <v>3.3</v>
      </c>
      <c r="N914">
        <v>247.09</v>
      </c>
      <c r="O914">
        <v>301.92</v>
      </c>
      <c r="P914">
        <v>996.34</v>
      </c>
    </row>
    <row r="915" spans="2:16">
      <c r="C915">
        <v>6</v>
      </c>
      <c r="D915">
        <v>6</v>
      </c>
      <c r="E915">
        <v>4</v>
      </c>
      <c r="F915" t="s">
        <v>11708</v>
      </c>
      <c r="G915" t="s">
        <v>20454</v>
      </c>
      <c r="H915" t="s">
        <v>70</v>
      </c>
      <c r="I915">
        <v>92873</v>
      </c>
      <c r="K915" t="s">
        <v>542</v>
      </c>
      <c r="L915" t="s">
        <v>255</v>
      </c>
      <c r="M915">
        <v>3.3</v>
      </c>
      <c r="N915">
        <v>144.97999999999999</v>
      </c>
      <c r="O915">
        <v>177.15</v>
      </c>
      <c r="P915">
        <v>584.6</v>
      </c>
    </row>
    <row r="916" spans="2:16">
      <c r="C916">
        <v>6</v>
      </c>
      <c r="D916">
        <v>6</v>
      </c>
      <c r="E916">
        <v>4</v>
      </c>
      <c r="F916" t="s">
        <v>11708</v>
      </c>
      <c r="G916" t="s">
        <v>20459</v>
      </c>
      <c r="H916" t="s">
        <v>70</v>
      </c>
      <c r="I916">
        <v>92915</v>
      </c>
      <c r="K916" t="s">
        <v>16452</v>
      </c>
      <c r="L916" t="s">
        <v>90</v>
      </c>
      <c r="M916">
        <v>141.83000000000001</v>
      </c>
      <c r="N916">
        <v>12.53</v>
      </c>
      <c r="O916">
        <v>15.31</v>
      </c>
      <c r="P916">
        <v>2171.42</v>
      </c>
    </row>
    <row r="917" spans="2:16">
      <c r="C917">
        <v>6</v>
      </c>
      <c r="D917">
        <v>6</v>
      </c>
      <c r="E917">
        <v>4</v>
      </c>
      <c r="F917" t="s">
        <v>11708</v>
      </c>
      <c r="G917" t="s">
        <v>20460</v>
      </c>
      <c r="H917" t="s">
        <v>70</v>
      </c>
      <c r="I917">
        <v>92916</v>
      </c>
      <c r="K917" t="s">
        <v>16453</v>
      </c>
      <c r="L917" t="s">
        <v>90</v>
      </c>
      <c r="M917">
        <v>628.99</v>
      </c>
      <c r="N917">
        <v>11.46</v>
      </c>
      <c r="O917">
        <v>14</v>
      </c>
      <c r="P917">
        <v>8805.86</v>
      </c>
    </row>
    <row r="918" spans="2:16">
      <c r="C918">
        <v>6</v>
      </c>
      <c r="D918">
        <v>6</v>
      </c>
      <c r="E918">
        <v>4</v>
      </c>
      <c r="F918" t="s">
        <v>11708</v>
      </c>
      <c r="G918" t="s">
        <v>20461</v>
      </c>
      <c r="H918" t="s">
        <v>70</v>
      </c>
      <c r="I918">
        <v>92917</v>
      </c>
      <c r="K918" t="s">
        <v>16454</v>
      </c>
      <c r="L918" t="s">
        <v>90</v>
      </c>
      <c r="M918">
        <v>169.93</v>
      </c>
      <c r="N918">
        <v>11</v>
      </c>
      <c r="O918">
        <v>13.44</v>
      </c>
      <c r="P918">
        <v>2283.86</v>
      </c>
    </row>
    <row r="919" spans="2:16">
      <c r="C919">
        <v>6</v>
      </c>
      <c r="D919">
        <v>6</v>
      </c>
      <c r="E919">
        <v>4</v>
      </c>
      <c r="F919" t="s">
        <v>11708</v>
      </c>
      <c r="G919" t="s">
        <v>20462</v>
      </c>
      <c r="H919" t="s">
        <v>70</v>
      </c>
      <c r="I919">
        <v>92919</v>
      </c>
      <c r="K919" t="s">
        <v>16455</v>
      </c>
      <c r="L919" t="s">
        <v>90</v>
      </c>
      <c r="M919">
        <v>445.61</v>
      </c>
      <c r="N919">
        <v>8.93</v>
      </c>
      <c r="O919">
        <v>10.91</v>
      </c>
      <c r="P919">
        <v>4861.6099999999997</v>
      </c>
    </row>
    <row r="920" spans="2:16">
      <c r="C920">
        <v>6</v>
      </c>
      <c r="D920">
        <v>6</v>
      </c>
      <c r="E920">
        <v>4</v>
      </c>
      <c r="F920" t="s">
        <v>11708</v>
      </c>
      <c r="G920" t="s">
        <v>12328</v>
      </c>
      <c r="H920" t="s">
        <v>70</v>
      </c>
      <c r="I920" t="s">
        <v>19257</v>
      </c>
      <c r="K920" t="s">
        <v>5042</v>
      </c>
      <c r="L920" t="s">
        <v>65</v>
      </c>
      <c r="M920">
        <v>1</v>
      </c>
      <c r="N920">
        <v>83.42</v>
      </c>
      <c r="O920">
        <v>101.93</v>
      </c>
      <c r="P920">
        <v>101.93</v>
      </c>
    </row>
    <row r="921" spans="2:16">
      <c r="C921">
        <v>6</v>
      </c>
      <c r="D921">
        <v>6</v>
      </c>
      <c r="E921">
        <v>4</v>
      </c>
      <c r="F921" t="s">
        <v>11708</v>
      </c>
    </row>
    <row r="922" spans="2:16">
      <c r="C922">
        <v>6</v>
      </c>
      <c r="D922">
        <v>6</v>
      </c>
      <c r="E922">
        <v>4</v>
      </c>
      <c r="F922" t="s">
        <v>11708</v>
      </c>
      <c r="H922" t="s">
        <v>20797</v>
      </c>
      <c r="P922">
        <v>36351.370000000003</v>
      </c>
    </row>
    <row r="923" spans="2:16">
      <c r="C923">
        <v>6</v>
      </c>
      <c r="D923">
        <v>6</v>
      </c>
      <c r="E923">
        <v>4</v>
      </c>
      <c r="F923" t="s">
        <v>11708</v>
      </c>
    </row>
    <row r="924" spans="2:16">
      <c r="B924">
        <v>1</v>
      </c>
      <c r="C924">
        <v>6</v>
      </c>
      <c r="D924">
        <v>6</v>
      </c>
      <c r="E924">
        <v>5</v>
      </c>
      <c r="F924" t="s">
        <v>11708</v>
      </c>
      <c r="H924" t="s">
        <v>11703</v>
      </c>
      <c r="I924" t="s">
        <v>64</v>
      </c>
      <c r="J924" s="25" t="s">
        <v>20798</v>
      </c>
      <c r="K924" t="s">
        <v>12683</v>
      </c>
      <c r="L924" t="s">
        <v>25</v>
      </c>
      <c r="M924" t="s">
        <v>11704</v>
      </c>
      <c r="N924" t="s">
        <v>11705</v>
      </c>
      <c r="O924" t="s">
        <v>11706</v>
      </c>
      <c r="P924" t="s">
        <v>27</v>
      </c>
    </row>
    <row r="925" spans="2:16">
      <c r="C925">
        <v>6</v>
      </c>
      <c r="D925">
        <v>6</v>
      </c>
      <c r="E925">
        <v>5</v>
      </c>
      <c r="F925" t="s">
        <v>11708</v>
      </c>
    </row>
    <row r="926" spans="2:16">
      <c r="C926">
        <v>6</v>
      </c>
      <c r="D926">
        <v>6</v>
      </c>
      <c r="E926">
        <v>5</v>
      </c>
      <c r="F926" t="s">
        <v>11708</v>
      </c>
      <c r="G926" t="s">
        <v>12329</v>
      </c>
      <c r="H926" t="s">
        <v>10852</v>
      </c>
      <c r="I926">
        <v>862</v>
      </c>
      <c r="K926" t="s">
        <v>19954</v>
      </c>
      <c r="L926" t="s">
        <v>71</v>
      </c>
      <c r="M926">
        <v>3.6</v>
      </c>
      <c r="N926">
        <v>195.61</v>
      </c>
      <c r="O926">
        <v>239.02</v>
      </c>
      <c r="P926">
        <v>860.47</v>
      </c>
    </row>
    <row r="927" spans="2:16">
      <c r="C927">
        <v>6</v>
      </c>
      <c r="D927">
        <v>6</v>
      </c>
      <c r="E927">
        <v>5</v>
      </c>
      <c r="F927" t="s">
        <v>11708</v>
      </c>
      <c r="G927" t="s">
        <v>12346</v>
      </c>
      <c r="H927" t="s">
        <v>11720</v>
      </c>
      <c r="I927" t="s">
        <v>12344</v>
      </c>
      <c r="K927" t="s">
        <v>20509</v>
      </c>
      <c r="L927" t="s">
        <v>1274</v>
      </c>
      <c r="M927">
        <v>1</v>
      </c>
      <c r="N927">
        <v>7775.7243999999992</v>
      </c>
      <c r="O927">
        <v>9501.16</v>
      </c>
      <c r="P927">
        <v>9501.16</v>
      </c>
    </row>
    <row r="928" spans="2:16">
      <c r="C928">
        <v>6</v>
      </c>
      <c r="D928">
        <v>6</v>
      </c>
      <c r="E928">
        <v>5</v>
      </c>
      <c r="F928" t="s">
        <v>11708</v>
      </c>
      <c r="G928" t="s">
        <v>12347</v>
      </c>
      <c r="H928" t="s">
        <v>11722</v>
      </c>
      <c r="I928" t="s">
        <v>12345</v>
      </c>
      <c r="K928" t="s">
        <v>20517</v>
      </c>
      <c r="L928" t="s">
        <v>21</v>
      </c>
      <c r="M928">
        <v>4.05</v>
      </c>
      <c r="N928">
        <v>551</v>
      </c>
      <c r="O928">
        <v>673.27</v>
      </c>
      <c r="P928">
        <v>2726.74</v>
      </c>
    </row>
    <row r="929" spans="2:16">
      <c r="C929">
        <v>6</v>
      </c>
      <c r="D929">
        <v>6</v>
      </c>
      <c r="E929">
        <v>5</v>
      </c>
      <c r="F929" t="s">
        <v>11708</v>
      </c>
      <c r="G929" t="s">
        <v>12348</v>
      </c>
      <c r="H929" t="s">
        <v>11644</v>
      </c>
      <c r="I929">
        <v>38968</v>
      </c>
      <c r="K929" t="s">
        <v>5792</v>
      </c>
      <c r="L929" t="s">
        <v>256</v>
      </c>
      <c r="M929">
        <v>121</v>
      </c>
      <c r="N929">
        <v>239.47</v>
      </c>
      <c r="O929">
        <v>292.61</v>
      </c>
      <c r="P929">
        <v>35405.81</v>
      </c>
    </row>
    <row r="930" spans="2:16">
      <c r="C930">
        <v>6</v>
      </c>
      <c r="D930">
        <v>6</v>
      </c>
      <c r="E930">
        <v>5</v>
      </c>
      <c r="F930" t="s">
        <v>11708</v>
      </c>
      <c r="G930" t="s">
        <v>12403</v>
      </c>
      <c r="H930" t="s">
        <v>10852</v>
      </c>
      <c r="I930">
        <v>1495</v>
      </c>
      <c r="K930" t="s">
        <v>19964</v>
      </c>
      <c r="L930" t="s">
        <v>65</v>
      </c>
      <c r="M930">
        <v>1</v>
      </c>
      <c r="N930">
        <v>540</v>
      </c>
      <c r="O930">
        <v>659.83</v>
      </c>
      <c r="P930">
        <v>659.83</v>
      </c>
    </row>
    <row r="931" spans="2:16">
      <c r="C931">
        <v>6</v>
      </c>
      <c r="D931">
        <v>6</v>
      </c>
      <c r="E931">
        <v>5</v>
      </c>
      <c r="F931" t="s">
        <v>11708</v>
      </c>
      <c r="G931" t="s">
        <v>12404</v>
      </c>
      <c r="H931" t="s">
        <v>11644</v>
      </c>
      <c r="I931">
        <v>83623</v>
      </c>
      <c r="K931" t="s">
        <v>14874</v>
      </c>
      <c r="L931" t="s">
        <v>71</v>
      </c>
      <c r="M931">
        <v>0.4</v>
      </c>
      <c r="N931">
        <v>207.8</v>
      </c>
      <c r="O931">
        <v>253.91</v>
      </c>
      <c r="P931">
        <v>101.56</v>
      </c>
    </row>
    <row r="932" spans="2:16">
      <c r="C932">
        <v>6</v>
      </c>
      <c r="D932">
        <v>6</v>
      </c>
      <c r="E932">
        <v>5</v>
      </c>
      <c r="F932" t="s">
        <v>11708</v>
      </c>
    </row>
    <row r="933" spans="2:16">
      <c r="C933">
        <v>6</v>
      </c>
      <c r="D933">
        <v>6</v>
      </c>
      <c r="E933">
        <v>5</v>
      </c>
      <c r="F933" t="s">
        <v>11708</v>
      </c>
      <c r="H933" t="s">
        <v>20799</v>
      </c>
      <c r="P933">
        <v>49255.569999999992</v>
      </c>
    </row>
    <row r="934" spans="2:16">
      <c r="C934">
        <v>6</v>
      </c>
      <c r="D934">
        <v>6</v>
      </c>
      <c r="E934">
        <v>5</v>
      </c>
      <c r="F934" t="s">
        <v>11708</v>
      </c>
    </row>
    <row r="935" spans="2:16">
      <c r="B935">
        <v>1</v>
      </c>
      <c r="C935">
        <v>6</v>
      </c>
      <c r="D935">
        <v>6</v>
      </c>
      <c r="E935">
        <v>6</v>
      </c>
      <c r="F935" t="s">
        <v>11708</v>
      </c>
      <c r="H935" t="s">
        <v>11703</v>
      </c>
      <c r="I935" t="s">
        <v>64</v>
      </c>
      <c r="J935" s="25" t="s">
        <v>20800</v>
      </c>
      <c r="K935" t="s">
        <v>11739</v>
      </c>
      <c r="L935" t="s">
        <v>25</v>
      </c>
      <c r="M935" t="s">
        <v>11704</v>
      </c>
      <c r="N935" t="s">
        <v>11705</v>
      </c>
      <c r="O935" t="s">
        <v>11706</v>
      </c>
      <c r="P935" t="s">
        <v>27</v>
      </c>
    </row>
    <row r="936" spans="2:16">
      <c r="C936">
        <v>6</v>
      </c>
      <c r="D936">
        <v>6</v>
      </c>
      <c r="E936">
        <v>6</v>
      </c>
      <c r="F936" t="s">
        <v>11708</v>
      </c>
    </row>
    <row r="937" spans="2:16">
      <c r="C937">
        <v>6</v>
      </c>
      <c r="D937">
        <v>6</v>
      </c>
      <c r="E937">
        <v>6</v>
      </c>
      <c r="F937" t="s">
        <v>11708</v>
      </c>
      <c r="G937" t="s">
        <v>12351</v>
      </c>
      <c r="H937" t="s">
        <v>11644</v>
      </c>
      <c r="I937">
        <v>87467</v>
      </c>
      <c r="K937" t="s">
        <v>18433</v>
      </c>
      <c r="L937" t="s">
        <v>256</v>
      </c>
      <c r="M937">
        <v>25.97</v>
      </c>
      <c r="N937">
        <v>59.23</v>
      </c>
      <c r="O937">
        <v>72.37</v>
      </c>
      <c r="P937">
        <v>1879.45</v>
      </c>
    </row>
    <row r="938" spans="2:16">
      <c r="C938">
        <v>6</v>
      </c>
      <c r="D938">
        <v>6</v>
      </c>
      <c r="E938">
        <v>6</v>
      </c>
      <c r="F938" t="s">
        <v>11708</v>
      </c>
    </row>
    <row r="939" spans="2:16">
      <c r="C939">
        <v>6</v>
      </c>
      <c r="D939">
        <v>6</v>
      </c>
      <c r="E939">
        <v>6</v>
      </c>
      <c r="F939" t="s">
        <v>11708</v>
      </c>
      <c r="H939" t="s">
        <v>20801</v>
      </c>
      <c r="P939">
        <v>1879.45</v>
      </c>
    </row>
    <row r="940" spans="2:16">
      <c r="C940">
        <v>6</v>
      </c>
      <c r="D940">
        <v>6</v>
      </c>
      <c r="E940">
        <v>6</v>
      </c>
      <c r="F940" t="s">
        <v>11708</v>
      </c>
    </row>
    <row r="941" spans="2:16">
      <c r="B941">
        <v>1</v>
      </c>
      <c r="C941">
        <v>6</v>
      </c>
      <c r="D941">
        <v>6</v>
      </c>
      <c r="E941">
        <v>7</v>
      </c>
      <c r="F941" t="s">
        <v>11708</v>
      </c>
      <c r="H941" t="s">
        <v>11703</v>
      </c>
      <c r="I941" t="s">
        <v>64</v>
      </c>
      <c r="J941" s="25" t="s">
        <v>20802</v>
      </c>
      <c r="K941" t="s">
        <v>11715</v>
      </c>
      <c r="L941" t="s">
        <v>25</v>
      </c>
      <c r="M941" t="s">
        <v>11704</v>
      </c>
      <c r="N941" t="s">
        <v>11705</v>
      </c>
      <c r="O941" t="s">
        <v>11706</v>
      </c>
      <c r="P941" t="s">
        <v>27</v>
      </c>
    </row>
    <row r="942" spans="2:16">
      <c r="C942">
        <v>6</v>
      </c>
      <c r="D942">
        <v>6</v>
      </c>
      <c r="E942">
        <v>7</v>
      </c>
      <c r="F942" t="s">
        <v>11708</v>
      </c>
    </row>
    <row r="943" spans="2:16">
      <c r="C943">
        <v>6</v>
      </c>
      <c r="D943">
        <v>6</v>
      </c>
      <c r="E943">
        <v>7</v>
      </c>
      <c r="F943" t="s">
        <v>11708</v>
      </c>
      <c r="G943" t="s">
        <v>12330</v>
      </c>
      <c r="H943" t="s">
        <v>11644</v>
      </c>
      <c r="I943">
        <v>88489</v>
      </c>
      <c r="K943" t="s">
        <v>870</v>
      </c>
      <c r="L943" t="s">
        <v>256</v>
      </c>
      <c r="M943">
        <v>25.97</v>
      </c>
      <c r="N943">
        <v>9.94</v>
      </c>
      <c r="O943">
        <v>12.15</v>
      </c>
      <c r="P943">
        <v>315.54000000000002</v>
      </c>
    </row>
    <row r="944" spans="2:16">
      <c r="C944">
        <v>6</v>
      </c>
      <c r="D944">
        <v>6</v>
      </c>
      <c r="E944">
        <v>7</v>
      </c>
      <c r="F944" t="s">
        <v>11708</v>
      </c>
    </row>
    <row r="945" spans="2:16">
      <c r="C945">
        <v>6</v>
      </c>
      <c r="D945">
        <v>6</v>
      </c>
      <c r="E945">
        <v>7</v>
      </c>
      <c r="F945" t="s">
        <v>11708</v>
      </c>
      <c r="H945" t="s">
        <v>20803</v>
      </c>
      <c r="P945">
        <v>315.54000000000002</v>
      </c>
    </row>
    <row r="946" spans="2:16">
      <c r="C946">
        <v>6</v>
      </c>
      <c r="D946">
        <v>6</v>
      </c>
      <c r="E946">
        <v>7</v>
      </c>
      <c r="F946" t="s">
        <v>11708</v>
      </c>
    </row>
    <row r="947" spans="2:16">
      <c r="B947">
        <v>1</v>
      </c>
      <c r="C947">
        <v>6</v>
      </c>
      <c r="D947">
        <v>6</v>
      </c>
      <c r="E947">
        <v>8</v>
      </c>
      <c r="F947" t="s">
        <v>11708</v>
      </c>
      <c r="H947" t="s">
        <v>11703</v>
      </c>
      <c r="I947" t="s">
        <v>64</v>
      </c>
      <c r="J947" s="25" t="s">
        <v>20804</v>
      </c>
      <c r="K947" t="s">
        <v>20203</v>
      </c>
      <c r="L947" t="s">
        <v>25</v>
      </c>
      <c r="M947" t="s">
        <v>11704</v>
      </c>
      <c r="N947" t="s">
        <v>11705</v>
      </c>
      <c r="O947" t="s">
        <v>11706</v>
      </c>
      <c r="P947" t="s">
        <v>27</v>
      </c>
    </row>
    <row r="948" spans="2:16">
      <c r="C948">
        <v>6</v>
      </c>
      <c r="D948">
        <v>6</v>
      </c>
      <c r="E948">
        <v>8</v>
      </c>
      <c r="F948" t="s">
        <v>11708</v>
      </c>
    </row>
    <row r="949" spans="2:16">
      <c r="C949">
        <v>6</v>
      </c>
      <c r="D949">
        <v>6</v>
      </c>
      <c r="E949">
        <v>8</v>
      </c>
      <c r="F949" t="s">
        <v>11708</v>
      </c>
      <c r="G949" t="s">
        <v>12331</v>
      </c>
      <c r="H949" t="s">
        <v>70</v>
      </c>
      <c r="I949">
        <v>94990</v>
      </c>
      <c r="K949" t="s">
        <v>18684</v>
      </c>
      <c r="L949" t="s">
        <v>255</v>
      </c>
      <c r="M949">
        <v>5.88</v>
      </c>
      <c r="N949">
        <v>497.55</v>
      </c>
      <c r="O949">
        <v>607.96</v>
      </c>
      <c r="P949">
        <v>3574.8</v>
      </c>
    </row>
    <row r="950" spans="2:16">
      <c r="C950">
        <v>6</v>
      </c>
      <c r="D950">
        <v>6</v>
      </c>
      <c r="E950">
        <v>8</v>
      </c>
      <c r="F950" t="s">
        <v>11708</v>
      </c>
      <c r="G950" t="s">
        <v>12405</v>
      </c>
      <c r="H950" t="s">
        <v>70</v>
      </c>
      <c r="I950" t="s">
        <v>18613</v>
      </c>
      <c r="K950" t="s">
        <v>18614</v>
      </c>
      <c r="L950" t="s">
        <v>256</v>
      </c>
      <c r="M950">
        <v>3.98</v>
      </c>
      <c r="N950">
        <v>39.54</v>
      </c>
      <c r="O950">
        <v>48.31</v>
      </c>
      <c r="P950">
        <v>192.27</v>
      </c>
    </row>
    <row r="951" spans="2:16">
      <c r="C951">
        <v>6</v>
      </c>
      <c r="D951">
        <v>6</v>
      </c>
      <c r="E951">
        <v>8</v>
      </c>
      <c r="F951" t="s">
        <v>11708</v>
      </c>
    </row>
    <row r="952" spans="2:16">
      <c r="C952">
        <v>6</v>
      </c>
      <c r="D952">
        <v>6</v>
      </c>
      <c r="E952">
        <v>8</v>
      </c>
      <c r="F952" t="s">
        <v>11708</v>
      </c>
      <c r="H952" t="s">
        <v>20805</v>
      </c>
      <c r="P952">
        <v>3767.07</v>
      </c>
    </row>
    <row r="953" spans="2:16">
      <c r="C953">
        <v>6</v>
      </c>
      <c r="D953">
        <v>6</v>
      </c>
      <c r="E953">
        <v>8</v>
      </c>
      <c r="F953" t="s">
        <v>11708</v>
      </c>
    </row>
    <row r="954" spans="2:16">
      <c r="B954">
        <v>1</v>
      </c>
      <c r="C954">
        <v>6</v>
      </c>
      <c r="D954">
        <v>6</v>
      </c>
      <c r="E954">
        <v>9</v>
      </c>
      <c r="F954" t="s">
        <v>11708</v>
      </c>
      <c r="H954" t="s">
        <v>11703</v>
      </c>
      <c r="I954" t="s">
        <v>64</v>
      </c>
      <c r="J954" s="25" t="s">
        <v>20806</v>
      </c>
      <c r="K954" t="s">
        <v>11718</v>
      </c>
      <c r="L954" t="s">
        <v>25</v>
      </c>
      <c r="M954" t="s">
        <v>11704</v>
      </c>
      <c r="N954" t="s">
        <v>11705</v>
      </c>
      <c r="O954" t="s">
        <v>11706</v>
      </c>
      <c r="P954" t="s">
        <v>27</v>
      </c>
    </row>
    <row r="955" spans="2:16">
      <c r="C955">
        <v>6</v>
      </c>
      <c r="D955">
        <v>6</v>
      </c>
      <c r="E955">
        <v>9</v>
      </c>
      <c r="F955" t="s">
        <v>11708</v>
      </c>
    </row>
    <row r="956" spans="2:16">
      <c r="C956">
        <v>6</v>
      </c>
      <c r="D956">
        <v>6</v>
      </c>
      <c r="E956">
        <v>9</v>
      </c>
      <c r="F956" t="s">
        <v>11708</v>
      </c>
      <c r="G956" t="s">
        <v>12354</v>
      </c>
      <c r="H956" t="s">
        <v>10852</v>
      </c>
      <c r="I956">
        <v>407</v>
      </c>
      <c r="K956" t="s">
        <v>19923</v>
      </c>
      <c r="L956" t="s">
        <v>256</v>
      </c>
      <c r="M956">
        <v>58.8</v>
      </c>
      <c r="N956">
        <v>82.88</v>
      </c>
      <c r="O956">
        <v>101.27</v>
      </c>
      <c r="P956">
        <v>5954.68</v>
      </c>
    </row>
    <row r="957" spans="2:16">
      <c r="C957">
        <v>6</v>
      </c>
      <c r="D957">
        <v>6</v>
      </c>
      <c r="E957">
        <v>9</v>
      </c>
      <c r="F957" t="s">
        <v>11708</v>
      </c>
    </row>
    <row r="958" spans="2:16">
      <c r="C958">
        <v>6</v>
      </c>
      <c r="D958">
        <v>6</v>
      </c>
      <c r="E958">
        <v>9</v>
      </c>
      <c r="F958" t="s">
        <v>11708</v>
      </c>
      <c r="H958" t="s">
        <v>20807</v>
      </c>
      <c r="P958">
        <v>5954.68</v>
      </c>
    </row>
    <row r="959" spans="2:16">
      <c r="C959">
        <v>6</v>
      </c>
      <c r="D959">
        <v>6</v>
      </c>
      <c r="E959">
        <v>9</v>
      </c>
      <c r="F959" t="s">
        <v>11708</v>
      </c>
    </row>
    <row r="960" spans="2:16">
      <c r="B960">
        <v>1</v>
      </c>
      <c r="C960">
        <v>6</v>
      </c>
      <c r="D960">
        <v>6</v>
      </c>
      <c r="E960">
        <v>10</v>
      </c>
      <c r="F960" t="s">
        <v>11708</v>
      </c>
      <c r="H960" t="s">
        <v>11703</v>
      </c>
      <c r="I960" t="s">
        <v>64</v>
      </c>
      <c r="J960" s="25" t="s">
        <v>20808</v>
      </c>
      <c r="K960" t="s">
        <v>11738</v>
      </c>
      <c r="L960" t="s">
        <v>25</v>
      </c>
      <c r="M960" t="s">
        <v>11704</v>
      </c>
      <c r="N960" t="s">
        <v>11705</v>
      </c>
      <c r="O960" t="s">
        <v>11706</v>
      </c>
      <c r="P960" t="s">
        <v>27</v>
      </c>
    </row>
    <row r="961" spans="1:16">
      <c r="C961">
        <v>6</v>
      </c>
      <c r="D961">
        <v>6</v>
      </c>
      <c r="E961">
        <v>10</v>
      </c>
      <c r="F961" t="s">
        <v>11708</v>
      </c>
    </row>
    <row r="962" spans="1:16">
      <c r="C962">
        <v>6</v>
      </c>
      <c r="D962">
        <v>6</v>
      </c>
      <c r="E962">
        <v>10</v>
      </c>
      <c r="F962" t="s">
        <v>11708</v>
      </c>
      <c r="G962" t="s">
        <v>12358</v>
      </c>
      <c r="H962" t="s">
        <v>11720</v>
      </c>
      <c r="I962" t="s">
        <v>12355</v>
      </c>
      <c r="K962" t="s">
        <v>20511</v>
      </c>
      <c r="L962" t="s">
        <v>1274</v>
      </c>
      <c r="M962">
        <v>1</v>
      </c>
      <c r="N962">
        <v>5323.5</v>
      </c>
      <c r="O962">
        <v>6504.78</v>
      </c>
      <c r="P962">
        <v>6504.78</v>
      </c>
    </row>
    <row r="963" spans="1:16">
      <c r="C963">
        <v>6</v>
      </c>
      <c r="D963">
        <v>6</v>
      </c>
      <c r="E963">
        <v>10</v>
      </c>
      <c r="F963" t="s">
        <v>11708</v>
      </c>
      <c r="G963" t="s">
        <v>12359</v>
      </c>
      <c r="H963" t="s">
        <v>11720</v>
      </c>
      <c r="I963" t="s">
        <v>12356</v>
      </c>
      <c r="K963" t="s">
        <v>20512</v>
      </c>
      <c r="L963" t="s">
        <v>1274</v>
      </c>
      <c r="M963">
        <v>1</v>
      </c>
      <c r="N963">
        <v>9346.880000000001</v>
      </c>
      <c r="O963">
        <v>11420.95</v>
      </c>
      <c r="P963">
        <v>11420.95</v>
      </c>
    </row>
    <row r="964" spans="1:16">
      <c r="C964">
        <v>6</v>
      </c>
      <c r="D964">
        <v>6</v>
      </c>
      <c r="E964">
        <v>10</v>
      </c>
      <c r="F964" t="s">
        <v>11708</v>
      </c>
      <c r="G964" t="s">
        <v>12360</v>
      </c>
      <c r="H964" t="s">
        <v>11720</v>
      </c>
      <c r="I964" t="s">
        <v>12357</v>
      </c>
      <c r="K964" t="s">
        <v>20513</v>
      </c>
      <c r="L964" t="s">
        <v>1274</v>
      </c>
      <c r="M964">
        <v>1</v>
      </c>
      <c r="N964">
        <v>1419.6</v>
      </c>
      <c r="O964">
        <v>1734.61</v>
      </c>
      <c r="P964">
        <v>1734.61</v>
      </c>
    </row>
    <row r="965" spans="1:16">
      <c r="C965">
        <v>6</v>
      </c>
      <c r="D965">
        <v>6</v>
      </c>
      <c r="E965">
        <v>10</v>
      </c>
      <c r="F965" t="s">
        <v>11708</v>
      </c>
      <c r="G965" t="s">
        <v>14341</v>
      </c>
      <c r="H965" t="s">
        <v>70</v>
      </c>
      <c r="I965">
        <v>9537</v>
      </c>
      <c r="K965" t="s">
        <v>966</v>
      </c>
      <c r="L965" t="s">
        <v>256</v>
      </c>
      <c r="M965">
        <v>342.76</v>
      </c>
      <c r="N965">
        <v>2.02</v>
      </c>
      <c r="O965">
        <v>2.4700000000000002</v>
      </c>
      <c r="P965">
        <v>846.62</v>
      </c>
    </row>
    <row r="966" spans="1:16">
      <c r="C966">
        <v>6</v>
      </c>
      <c r="D966">
        <v>6</v>
      </c>
      <c r="E966">
        <v>10</v>
      </c>
      <c r="F966" t="s">
        <v>11708</v>
      </c>
    </row>
    <row r="967" spans="1:16">
      <c r="C967">
        <v>6</v>
      </c>
      <c r="D967">
        <v>6</v>
      </c>
      <c r="E967">
        <v>10</v>
      </c>
      <c r="F967" t="s">
        <v>11708</v>
      </c>
      <c r="H967" t="s">
        <v>20809</v>
      </c>
      <c r="P967">
        <v>20506.96</v>
      </c>
    </row>
    <row r="968" spans="1:16">
      <c r="C968">
        <v>6</v>
      </c>
      <c r="D968">
        <v>6</v>
      </c>
      <c r="E968">
        <v>10</v>
      </c>
      <c r="F968" t="s">
        <v>11708</v>
      </c>
    </row>
    <row r="969" spans="1:16">
      <c r="A969">
        <v>1</v>
      </c>
      <c r="C969">
        <v>6</v>
      </c>
      <c r="D969">
        <v>7</v>
      </c>
      <c r="E969">
        <v>0</v>
      </c>
      <c r="F969" t="s">
        <v>11708</v>
      </c>
      <c r="H969" t="s">
        <v>20810</v>
      </c>
      <c r="I969" t="s">
        <v>12685</v>
      </c>
      <c r="O969" t="s">
        <v>11702</v>
      </c>
      <c r="P969">
        <v>99102.799999999988</v>
      </c>
    </row>
    <row r="970" spans="1:16">
      <c r="C970">
        <v>6</v>
      </c>
      <c r="D970">
        <v>7</v>
      </c>
      <c r="E970">
        <v>0</v>
      </c>
      <c r="F970" t="s">
        <v>11708</v>
      </c>
    </row>
    <row r="971" spans="1:16">
      <c r="B971">
        <v>1</v>
      </c>
      <c r="C971">
        <v>6</v>
      </c>
      <c r="D971">
        <v>7</v>
      </c>
      <c r="E971">
        <v>1</v>
      </c>
      <c r="F971" t="s">
        <v>11708</v>
      </c>
      <c r="H971" t="s">
        <v>11703</v>
      </c>
      <c r="I971" t="s">
        <v>64</v>
      </c>
      <c r="J971" s="25" t="s">
        <v>20811</v>
      </c>
      <c r="K971" t="s">
        <v>11709</v>
      </c>
      <c r="L971" t="s">
        <v>25</v>
      </c>
      <c r="M971" t="s">
        <v>11704</v>
      </c>
      <c r="N971" t="s">
        <v>11705</v>
      </c>
      <c r="O971" t="s">
        <v>11706</v>
      </c>
      <c r="P971" t="s">
        <v>27</v>
      </c>
    </row>
    <row r="972" spans="1:16">
      <c r="C972">
        <v>6</v>
      </c>
      <c r="D972">
        <v>7</v>
      </c>
      <c r="E972">
        <v>1</v>
      </c>
      <c r="F972" t="s">
        <v>11708</v>
      </c>
    </row>
    <row r="973" spans="1:16">
      <c r="C973">
        <v>6</v>
      </c>
      <c r="D973">
        <v>7</v>
      </c>
      <c r="E973">
        <v>1</v>
      </c>
      <c r="F973" t="s">
        <v>11708</v>
      </c>
      <c r="G973" t="s">
        <v>12369</v>
      </c>
      <c r="H973" t="s">
        <v>70</v>
      </c>
      <c r="I973" t="s">
        <v>19163</v>
      </c>
      <c r="K973" t="s">
        <v>19164</v>
      </c>
      <c r="L973" t="s">
        <v>256</v>
      </c>
      <c r="M973">
        <v>108.9</v>
      </c>
      <c r="N973">
        <v>0.59</v>
      </c>
      <c r="O973">
        <v>0.72</v>
      </c>
      <c r="P973">
        <v>78.41</v>
      </c>
    </row>
    <row r="974" spans="1:16">
      <c r="C974">
        <v>6</v>
      </c>
      <c r="D974">
        <v>7</v>
      </c>
      <c r="E974">
        <v>1</v>
      </c>
      <c r="F974" t="s">
        <v>11708</v>
      </c>
      <c r="G974" t="s">
        <v>12370</v>
      </c>
      <c r="H974" t="s">
        <v>70</v>
      </c>
      <c r="I974" t="s">
        <v>19263</v>
      </c>
      <c r="K974" t="s">
        <v>19264</v>
      </c>
      <c r="L974" t="s">
        <v>256</v>
      </c>
      <c r="M974">
        <v>41.3</v>
      </c>
      <c r="N974">
        <v>9.93</v>
      </c>
      <c r="O974">
        <v>12.13</v>
      </c>
      <c r="P974">
        <v>500.97</v>
      </c>
    </row>
    <row r="975" spans="1:16">
      <c r="C975">
        <v>6</v>
      </c>
      <c r="D975">
        <v>7</v>
      </c>
      <c r="E975">
        <v>1</v>
      </c>
      <c r="F975" t="s">
        <v>11708</v>
      </c>
    </row>
    <row r="976" spans="1:16">
      <c r="C976">
        <v>6</v>
      </c>
      <c r="D976">
        <v>7</v>
      </c>
      <c r="E976">
        <v>1</v>
      </c>
      <c r="F976" t="s">
        <v>11708</v>
      </c>
      <c r="H976" t="s">
        <v>20812</v>
      </c>
      <c r="P976">
        <v>579.38</v>
      </c>
    </row>
    <row r="977" spans="2:16">
      <c r="C977">
        <v>6</v>
      </c>
      <c r="D977">
        <v>7</v>
      </c>
      <c r="E977">
        <v>1</v>
      </c>
      <c r="F977" t="s">
        <v>11708</v>
      </c>
    </row>
    <row r="978" spans="2:16">
      <c r="B978">
        <v>1</v>
      </c>
      <c r="C978">
        <v>6</v>
      </c>
      <c r="D978">
        <v>7</v>
      </c>
      <c r="E978">
        <v>2</v>
      </c>
      <c r="F978" t="s">
        <v>11708</v>
      </c>
      <c r="H978" t="s">
        <v>11703</v>
      </c>
      <c r="I978" t="s">
        <v>64</v>
      </c>
      <c r="J978" s="25" t="s">
        <v>20813</v>
      </c>
      <c r="K978" t="s">
        <v>11710</v>
      </c>
      <c r="L978" t="s">
        <v>25</v>
      </c>
      <c r="M978" t="s">
        <v>11704</v>
      </c>
      <c r="N978" t="s">
        <v>11705</v>
      </c>
      <c r="O978" t="s">
        <v>11706</v>
      </c>
      <c r="P978" t="s">
        <v>27</v>
      </c>
    </row>
    <row r="979" spans="2:16">
      <c r="C979">
        <v>6</v>
      </c>
      <c r="D979">
        <v>7</v>
      </c>
      <c r="E979">
        <v>2</v>
      </c>
      <c r="F979" t="s">
        <v>11708</v>
      </c>
    </row>
    <row r="980" spans="2:16">
      <c r="C980">
        <v>6</v>
      </c>
      <c r="D980">
        <v>7</v>
      </c>
      <c r="E980">
        <v>2</v>
      </c>
      <c r="F980" t="s">
        <v>11708</v>
      </c>
      <c r="G980" t="s">
        <v>12371</v>
      </c>
      <c r="H980" t="s">
        <v>70</v>
      </c>
      <c r="I980">
        <v>90105</v>
      </c>
      <c r="K980" t="s">
        <v>18214</v>
      </c>
      <c r="L980" t="s">
        <v>255</v>
      </c>
      <c r="M980">
        <v>101.23</v>
      </c>
      <c r="N980">
        <v>14.07</v>
      </c>
      <c r="O980">
        <v>17.190000000000001</v>
      </c>
      <c r="P980">
        <v>1740.14</v>
      </c>
    </row>
    <row r="981" spans="2:16">
      <c r="C981">
        <v>6</v>
      </c>
      <c r="D981">
        <v>7</v>
      </c>
      <c r="E981">
        <v>2</v>
      </c>
      <c r="F981" t="s">
        <v>11708</v>
      </c>
      <c r="G981" t="s">
        <v>12373</v>
      </c>
      <c r="H981" t="s">
        <v>10852</v>
      </c>
      <c r="I981">
        <v>184</v>
      </c>
      <c r="K981" t="s">
        <v>20740</v>
      </c>
      <c r="L981" t="s">
        <v>255</v>
      </c>
      <c r="M981">
        <v>5.62</v>
      </c>
      <c r="N981">
        <v>4.68</v>
      </c>
      <c r="O981">
        <v>5.72</v>
      </c>
      <c r="P981">
        <v>32.15</v>
      </c>
    </row>
    <row r="982" spans="2:16">
      <c r="C982">
        <v>6</v>
      </c>
      <c r="D982">
        <v>7</v>
      </c>
      <c r="E982">
        <v>2</v>
      </c>
      <c r="F982" t="s">
        <v>11708</v>
      </c>
      <c r="G982" t="s">
        <v>12375</v>
      </c>
      <c r="H982" t="s">
        <v>10852</v>
      </c>
      <c r="I982">
        <v>187</v>
      </c>
      <c r="K982" t="s">
        <v>20741</v>
      </c>
      <c r="L982" t="s">
        <v>255</v>
      </c>
      <c r="M982">
        <v>5.62</v>
      </c>
      <c r="N982">
        <v>4.67</v>
      </c>
      <c r="O982">
        <v>5.71</v>
      </c>
      <c r="P982">
        <v>32.090000000000003</v>
      </c>
    </row>
    <row r="983" spans="2:16">
      <c r="C983">
        <v>6</v>
      </c>
      <c r="D983">
        <v>7</v>
      </c>
      <c r="E983">
        <v>2</v>
      </c>
      <c r="F983" t="s">
        <v>11708</v>
      </c>
      <c r="G983" t="s">
        <v>12377</v>
      </c>
      <c r="H983" t="s">
        <v>70</v>
      </c>
      <c r="I983">
        <v>93358</v>
      </c>
      <c r="K983" t="s">
        <v>826</v>
      </c>
      <c r="L983" t="s">
        <v>255</v>
      </c>
      <c r="M983">
        <v>5.33</v>
      </c>
      <c r="N983">
        <v>52.29</v>
      </c>
      <c r="O983">
        <v>63.89</v>
      </c>
      <c r="P983">
        <v>340.53</v>
      </c>
    </row>
    <row r="984" spans="2:16">
      <c r="C984">
        <v>6</v>
      </c>
      <c r="D984">
        <v>7</v>
      </c>
      <c r="E984">
        <v>2</v>
      </c>
      <c r="F984" t="s">
        <v>11708</v>
      </c>
      <c r="G984" t="s">
        <v>12379</v>
      </c>
      <c r="H984" t="s">
        <v>10852</v>
      </c>
      <c r="I984">
        <v>170</v>
      </c>
      <c r="K984" t="s">
        <v>19822</v>
      </c>
      <c r="L984" t="s">
        <v>255</v>
      </c>
      <c r="M984">
        <v>0.3</v>
      </c>
      <c r="N984">
        <v>55.58</v>
      </c>
      <c r="O984">
        <v>67.91</v>
      </c>
      <c r="P984">
        <v>20.37</v>
      </c>
    </row>
    <row r="985" spans="2:16">
      <c r="C985">
        <v>6</v>
      </c>
      <c r="D985">
        <v>7</v>
      </c>
      <c r="E985">
        <v>2</v>
      </c>
      <c r="F985" t="s">
        <v>11708</v>
      </c>
      <c r="G985" t="s">
        <v>12381</v>
      </c>
      <c r="H985" t="s">
        <v>10852</v>
      </c>
      <c r="I985">
        <v>172</v>
      </c>
      <c r="K985" t="s">
        <v>19824</v>
      </c>
      <c r="L985" t="s">
        <v>255</v>
      </c>
      <c r="M985">
        <v>0.3</v>
      </c>
      <c r="N985">
        <v>91.06</v>
      </c>
      <c r="O985">
        <v>111.27</v>
      </c>
      <c r="P985">
        <v>33.380000000000003</v>
      </c>
    </row>
    <row r="986" spans="2:16">
      <c r="C986">
        <v>6</v>
      </c>
      <c r="D986">
        <v>7</v>
      </c>
      <c r="E986">
        <v>2</v>
      </c>
      <c r="F986" t="s">
        <v>11708</v>
      </c>
      <c r="G986" t="s">
        <v>12383</v>
      </c>
      <c r="H986" t="s">
        <v>70</v>
      </c>
      <c r="I986" t="s">
        <v>15726</v>
      </c>
      <c r="K986" t="s">
        <v>350</v>
      </c>
      <c r="L986" t="s">
        <v>57</v>
      </c>
      <c r="M986">
        <v>5</v>
      </c>
      <c r="N986">
        <v>6.2</v>
      </c>
      <c r="O986">
        <v>7.58</v>
      </c>
      <c r="P986">
        <v>37.9</v>
      </c>
    </row>
    <row r="987" spans="2:16">
      <c r="C987">
        <v>6</v>
      </c>
      <c r="D987">
        <v>7</v>
      </c>
      <c r="E987">
        <v>2</v>
      </c>
      <c r="F987" t="s">
        <v>11708</v>
      </c>
      <c r="G987" t="s">
        <v>12384</v>
      </c>
      <c r="H987" t="s">
        <v>70</v>
      </c>
      <c r="I987">
        <v>79472</v>
      </c>
      <c r="K987" t="s">
        <v>8710</v>
      </c>
      <c r="L987" t="s">
        <v>256</v>
      </c>
      <c r="M987">
        <v>46.8</v>
      </c>
      <c r="N987">
        <v>0.56000000000000005</v>
      </c>
      <c r="O987">
        <v>0.68</v>
      </c>
      <c r="P987">
        <v>31.82</v>
      </c>
    </row>
    <row r="988" spans="2:16">
      <c r="C988">
        <v>6</v>
      </c>
      <c r="D988">
        <v>7</v>
      </c>
      <c r="E988">
        <v>2</v>
      </c>
      <c r="F988" t="s">
        <v>11708</v>
      </c>
      <c r="G988" t="s">
        <v>12385</v>
      </c>
      <c r="H988" t="s">
        <v>70</v>
      </c>
      <c r="I988">
        <v>93367</v>
      </c>
      <c r="K988" t="s">
        <v>18245</v>
      </c>
      <c r="L988" t="s">
        <v>255</v>
      </c>
      <c r="M988">
        <v>88.67</v>
      </c>
      <c r="N988">
        <v>17.86</v>
      </c>
      <c r="O988">
        <v>21.82</v>
      </c>
      <c r="P988">
        <v>1934.78</v>
      </c>
    </row>
    <row r="989" spans="2:16">
      <c r="C989">
        <v>6</v>
      </c>
      <c r="D989">
        <v>7</v>
      </c>
      <c r="E989">
        <v>2</v>
      </c>
      <c r="F989" t="s">
        <v>11708</v>
      </c>
      <c r="G989" t="s">
        <v>12386</v>
      </c>
      <c r="H989" t="s">
        <v>70</v>
      </c>
      <c r="I989" t="s">
        <v>18237</v>
      </c>
      <c r="K989" t="s">
        <v>829</v>
      </c>
      <c r="L989" t="s">
        <v>255</v>
      </c>
      <c r="M989">
        <v>9.85</v>
      </c>
      <c r="N989">
        <v>39.659999999999997</v>
      </c>
      <c r="O989">
        <v>48.46</v>
      </c>
      <c r="P989">
        <v>477.33</v>
      </c>
    </row>
    <row r="990" spans="2:16">
      <c r="C990">
        <v>6</v>
      </c>
      <c r="D990">
        <v>7</v>
      </c>
      <c r="E990">
        <v>2</v>
      </c>
      <c r="F990" t="s">
        <v>11708</v>
      </c>
    </row>
    <row r="991" spans="2:16">
      <c r="C991">
        <v>6</v>
      </c>
      <c r="D991">
        <v>7</v>
      </c>
      <c r="E991">
        <v>2</v>
      </c>
      <c r="F991" t="s">
        <v>11708</v>
      </c>
      <c r="H991" t="s">
        <v>20814</v>
      </c>
      <c r="P991">
        <v>4680.49</v>
      </c>
    </row>
    <row r="992" spans="2:16">
      <c r="C992">
        <v>6</v>
      </c>
      <c r="D992">
        <v>7</v>
      </c>
      <c r="E992">
        <v>2</v>
      </c>
      <c r="F992" t="s">
        <v>11708</v>
      </c>
    </row>
    <row r="993" spans="2:16">
      <c r="B993">
        <v>1</v>
      </c>
      <c r="C993">
        <v>6</v>
      </c>
      <c r="D993">
        <v>7</v>
      </c>
      <c r="E993">
        <v>3</v>
      </c>
      <c r="F993" t="s">
        <v>11708</v>
      </c>
      <c r="H993" t="s">
        <v>11703</v>
      </c>
      <c r="I993" t="s">
        <v>64</v>
      </c>
      <c r="J993" s="25" t="s">
        <v>20815</v>
      </c>
      <c r="K993" t="s">
        <v>11712</v>
      </c>
      <c r="L993" t="s">
        <v>25</v>
      </c>
      <c r="M993" t="s">
        <v>11704</v>
      </c>
      <c r="N993" t="s">
        <v>11705</v>
      </c>
      <c r="O993" t="s">
        <v>11706</v>
      </c>
      <c r="P993" t="s">
        <v>27</v>
      </c>
    </row>
    <row r="994" spans="2:16">
      <c r="C994">
        <v>6</v>
      </c>
      <c r="D994">
        <v>7</v>
      </c>
      <c r="E994">
        <v>3</v>
      </c>
      <c r="F994" t="s">
        <v>11708</v>
      </c>
    </row>
    <row r="995" spans="2:16">
      <c r="C995">
        <v>6</v>
      </c>
      <c r="D995">
        <v>7</v>
      </c>
      <c r="E995">
        <v>3</v>
      </c>
      <c r="F995" t="s">
        <v>11708</v>
      </c>
      <c r="G995" t="s">
        <v>12387</v>
      </c>
      <c r="H995" t="s">
        <v>70</v>
      </c>
      <c r="I995" t="s">
        <v>18276</v>
      </c>
      <c r="K995" t="s">
        <v>18277</v>
      </c>
      <c r="L995" t="s">
        <v>255</v>
      </c>
      <c r="M995">
        <v>22.85</v>
      </c>
      <c r="N995">
        <v>1.76</v>
      </c>
      <c r="O995">
        <v>2.15</v>
      </c>
      <c r="P995">
        <v>49.13</v>
      </c>
    </row>
    <row r="996" spans="2:16">
      <c r="C996">
        <v>6</v>
      </c>
      <c r="D996">
        <v>7</v>
      </c>
      <c r="E996">
        <v>3</v>
      </c>
      <c r="F996" t="s">
        <v>11708</v>
      </c>
      <c r="G996" t="s">
        <v>12388</v>
      </c>
      <c r="H996" t="s">
        <v>70</v>
      </c>
      <c r="I996">
        <v>93590</v>
      </c>
      <c r="K996" t="s">
        <v>19275</v>
      </c>
      <c r="L996" t="s">
        <v>9853</v>
      </c>
      <c r="M996">
        <v>171.4</v>
      </c>
      <c r="N996">
        <v>0.74</v>
      </c>
      <c r="O996">
        <v>0.9</v>
      </c>
      <c r="P996">
        <v>154.26</v>
      </c>
    </row>
    <row r="997" spans="2:16">
      <c r="C997">
        <v>6</v>
      </c>
      <c r="D997">
        <v>7</v>
      </c>
      <c r="E997">
        <v>3</v>
      </c>
      <c r="F997" t="s">
        <v>11708</v>
      </c>
      <c r="G997" t="s">
        <v>12389</v>
      </c>
      <c r="H997" t="s">
        <v>70</v>
      </c>
      <c r="I997">
        <v>83344</v>
      </c>
      <c r="K997" t="s">
        <v>18317</v>
      </c>
      <c r="L997" t="s">
        <v>255</v>
      </c>
      <c r="M997">
        <v>22.85</v>
      </c>
      <c r="N997">
        <v>1.02</v>
      </c>
      <c r="O997">
        <v>1.25</v>
      </c>
      <c r="P997">
        <v>28.56</v>
      </c>
    </row>
    <row r="998" spans="2:16">
      <c r="C998">
        <v>6</v>
      </c>
      <c r="D998">
        <v>7</v>
      </c>
      <c r="E998">
        <v>3</v>
      </c>
      <c r="F998" t="s">
        <v>11708</v>
      </c>
    </row>
    <row r="999" spans="2:16">
      <c r="C999">
        <v>6</v>
      </c>
      <c r="D999">
        <v>7</v>
      </c>
      <c r="E999">
        <v>3</v>
      </c>
      <c r="F999" t="s">
        <v>11708</v>
      </c>
      <c r="H999" t="s">
        <v>20816</v>
      </c>
      <c r="P999">
        <v>231.95</v>
      </c>
    </row>
    <row r="1000" spans="2:16">
      <c r="C1000">
        <v>6</v>
      </c>
      <c r="D1000">
        <v>7</v>
      </c>
      <c r="E1000">
        <v>3</v>
      </c>
      <c r="F1000" t="s">
        <v>11708</v>
      </c>
    </row>
    <row r="1001" spans="2:16">
      <c r="B1001">
        <v>1</v>
      </c>
      <c r="C1001">
        <v>6</v>
      </c>
      <c r="D1001">
        <v>7</v>
      </c>
      <c r="E1001">
        <v>4</v>
      </c>
      <c r="F1001" t="s">
        <v>11708</v>
      </c>
      <c r="H1001" t="s">
        <v>11703</v>
      </c>
      <c r="I1001" t="s">
        <v>64</v>
      </c>
      <c r="J1001" s="25" t="s">
        <v>20817</v>
      </c>
      <c r="K1001" t="s">
        <v>1225</v>
      </c>
      <c r="L1001" t="s">
        <v>25</v>
      </c>
      <c r="M1001" t="s">
        <v>11704</v>
      </c>
      <c r="N1001" t="s">
        <v>11705</v>
      </c>
      <c r="O1001" t="s">
        <v>11706</v>
      </c>
      <c r="P1001" t="s">
        <v>27</v>
      </c>
    </row>
    <row r="1002" spans="2:16">
      <c r="C1002">
        <v>6</v>
      </c>
      <c r="D1002">
        <v>7</v>
      </c>
      <c r="E1002">
        <v>4</v>
      </c>
      <c r="F1002" t="s">
        <v>11708</v>
      </c>
    </row>
    <row r="1003" spans="2:16">
      <c r="C1003">
        <v>6</v>
      </c>
      <c r="D1003">
        <v>7</v>
      </c>
      <c r="E1003">
        <v>4</v>
      </c>
      <c r="F1003" t="s">
        <v>11708</v>
      </c>
      <c r="G1003" t="s">
        <v>12408</v>
      </c>
      <c r="H1003" t="s">
        <v>70</v>
      </c>
      <c r="I1003">
        <v>94116</v>
      </c>
      <c r="K1003" t="s">
        <v>18309</v>
      </c>
      <c r="L1003" t="s">
        <v>255</v>
      </c>
      <c r="M1003">
        <v>7.02</v>
      </c>
      <c r="N1003">
        <v>120.39</v>
      </c>
      <c r="O1003">
        <v>147.1</v>
      </c>
      <c r="P1003">
        <v>1032.6400000000001</v>
      </c>
    </row>
    <row r="1004" spans="2:16">
      <c r="C1004">
        <v>6</v>
      </c>
      <c r="D1004">
        <v>7</v>
      </c>
      <c r="E1004">
        <v>4</v>
      </c>
      <c r="F1004" t="s">
        <v>11708</v>
      </c>
      <c r="G1004" t="s">
        <v>12409</v>
      </c>
      <c r="H1004" t="s">
        <v>70</v>
      </c>
      <c r="I1004">
        <v>95241</v>
      </c>
      <c r="K1004" t="s">
        <v>6694</v>
      </c>
      <c r="L1004" t="s">
        <v>256</v>
      </c>
      <c r="M1004">
        <v>46.8</v>
      </c>
      <c r="N1004">
        <v>18.73</v>
      </c>
      <c r="O1004">
        <v>22.89</v>
      </c>
      <c r="P1004">
        <v>1071.25</v>
      </c>
    </row>
    <row r="1005" spans="2:16">
      <c r="C1005">
        <v>6</v>
      </c>
      <c r="D1005">
        <v>7</v>
      </c>
      <c r="E1005">
        <v>4</v>
      </c>
      <c r="F1005" t="s">
        <v>11708</v>
      </c>
      <c r="G1005" t="s">
        <v>20467</v>
      </c>
      <c r="H1005" t="s">
        <v>70</v>
      </c>
      <c r="I1005">
        <v>92415</v>
      </c>
      <c r="K1005" t="s">
        <v>16234</v>
      </c>
      <c r="L1005" t="s">
        <v>256</v>
      </c>
      <c r="M1005">
        <v>78.08</v>
      </c>
      <c r="N1005">
        <v>73.489999999999995</v>
      </c>
      <c r="O1005">
        <v>89.8</v>
      </c>
      <c r="P1005">
        <v>7011.58</v>
      </c>
    </row>
    <row r="1006" spans="2:16">
      <c r="C1006">
        <v>6</v>
      </c>
      <c r="D1006">
        <v>7</v>
      </c>
      <c r="E1006">
        <v>4</v>
      </c>
      <c r="F1006" t="s">
        <v>11708</v>
      </c>
      <c r="G1006" t="s">
        <v>20468</v>
      </c>
      <c r="H1006" t="s">
        <v>70</v>
      </c>
      <c r="I1006">
        <v>92452</v>
      </c>
      <c r="K1006" t="s">
        <v>16271</v>
      </c>
      <c r="L1006" t="s">
        <v>256</v>
      </c>
      <c r="M1006">
        <v>11.04</v>
      </c>
      <c r="N1006">
        <v>88.86</v>
      </c>
      <c r="O1006">
        <v>108.58</v>
      </c>
      <c r="P1006">
        <v>1198.72</v>
      </c>
    </row>
    <row r="1007" spans="2:16">
      <c r="C1007">
        <v>6</v>
      </c>
      <c r="D1007">
        <v>7</v>
      </c>
      <c r="E1007">
        <v>4</v>
      </c>
      <c r="F1007" t="s">
        <v>11708</v>
      </c>
      <c r="G1007" t="s">
        <v>20469</v>
      </c>
      <c r="H1007" t="s">
        <v>70</v>
      </c>
      <c r="I1007">
        <v>92510</v>
      </c>
      <c r="K1007" t="s">
        <v>16326</v>
      </c>
      <c r="L1007" t="s">
        <v>256</v>
      </c>
      <c r="M1007">
        <v>6.83</v>
      </c>
      <c r="N1007">
        <v>27.47</v>
      </c>
      <c r="O1007">
        <v>33.57</v>
      </c>
      <c r="P1007">
        <v>229.28</v>
      </c>
    </row>
    <row r="1008" spans="2:16">
      <c r="C1008">
        <v>6</v>
      </c>
      <c r="D1008">
        <v>7</v>
      </c>
      <c r="E1008">
        <v>4</v>
      </c>
      <c r="F1008" t="s">
        <v>11708</v>
      </c>
      <c r="G1008" t="s">
        <v>20470</v>
      </c>
      <c r="H1008" t="s">
        <v>70</v>
      </c>
      <c r="I1008">
        <v>95939</v>
      </c>
      <c r="K1008" t="s">
        <v>16360</v>
      </c>
      <c r="L1008" t="s">
        <v>256</v>
      </c>
      <c r="M1008">
        <v>6.2</v>
      </c>
      <c r="N1008">
        <v>135.19999999999999</v>
      </c>
      <c r="O1008">
        <v>165.2</v>
      </c>
      <c r="P1008">
        <v>1024.24</v>
      </c>
    </row>
    <row r="1009" spans="2:16">
      <c r="C1009">
        <v>6</v>
      </c>
      <c r="D1009">
        <v>7</v>
      </c>
      <c r="E1009">
        <v>4</v>
      </c>
      <c r="F1009" t="s">
        <v>11708</v>
      </c>
      <c r="G1009" t="s">
        <v>20477</v>
      </c>
      <c r="H1009" t="s">
        <v>10852</v>
      </c>
      <c r="I1009">
        <v>316</v>
      </c>
      <c r="K1009" t="s">
        <v>20713</v>
      </c>
      <c r="L1009" t="s">
        <v>255</v>
      </c>
      <c r="M1009">
        <v>18.690000000000001</v>
      </c>
      <c r="N1009">
        <v>476.83</v>
      </c>
      <c r="O1009">
        <v>582.64</v>
      </c>
      <c r="P1009">
        <v>10889.54</v>
      </c>
    </row>
    <row r="1010" spans="2:16">
      <c r="C1010">
        <v>6</v>
      </c>
      <c r="D1010">
        <v>7</v>
      </c>
      <c r="E1010">
        <v>4</v>
      </c>
      <c r="F1010" t="s">
        <v>11708</v>
      </c>
      <c r="G1010" t="s">
        <v>12410</v>
      </c>
      <c r="H1010" t="s">
        <v>70</v>
      </c>
      <c r="I1010">
        <v>34493</v>
      </c>
      <c r="K1010" t="s">
        <v>3781</v>
      </c>
      <c r="L1010" t="s">
        <v>255</v>
      </c>
      <c r="M1010">
        <v>0.72</v>
      </c>
      <c r="N1010">
        <v>238.87</v>
      </c>
      <c r="O1010">
        <v>291.88</v>
      </c>
      <c r="P1010">
        <v>210.15</v>
      </c>
    </row>
    <row r="1011" spans="2:16">
      <c r="C1011">
        <v>6</v>
      </c>
      <c r="D1011">
        <v>7</v>
      </c>
      <c r="E1011">
        <v>4</v>
      </c>
      <c r="F1011" t="s">
        <v>11708</v>
      </c>
      <c r="G1011" t="s">
        <v>20471</v>
      </c>
      <c r="H1011" t="s">
        <v>70</v>
      </c>
      <c r="I1011">
        <v>92874</v>
      </c>
      <c r="K1011" t="s">
        <v>16528</v>
      </c>
      <c r="L1011" t="s">
        <v>255</v>
      </c>
      <c r="M1011">
        <v>0.72</v>
      </c>
      <c r="N1011">
        <v>23.46</v>
      </c>
      <c r="O1011">
        <v>28.67</v>
      </c>
      <c r="P1011">
        <v>20.64</v>
      </c>
    </row>
    <row r="1012" spans="2:16">
      <c r="C1012">
        <v>6</v>
      </c>
      <c r="D1012">
        <v>7</v>
      </c>
      <c r="E1012">
        <v>4</v>
      </c>
      <c r="F1012" t="s">
        <v>11708</v>
      </c>
      <c r="G1012" t="s">
        <v>20473</v>
      </c>
      <c r="H1012" t="s">
        <v>70</v>
      </c>
      <c r="I1012">
        <v>92915</v>
      </c>
      <c r="K1012" t="s">
        <v>16452</v>
      </c>
      <c r="L1012" t="s">
        <v>90</v>
      </c>
      <c r="M1012">
        <v>252.25</v>
      </c>
      <c r="N1012">
        <v>12.53</v>
      </c>
      <c r="O1012">
        <v>15.31</v>
      </c>
      <c r="P1012">
        <v>3861.95</v>
      </c>
    </row>
    <row r="1013" spans="2:16">
      <c r="C1013">
        <v>6</v>
      </c>
      <c r="D1013">
        <v>7</v>
      </c>
      <c r="E1013">
        <v>4</v>
      </c>
      <c r="F1013" t="s">
        <v>11708</v>
      </c>
      <c r="G1013" t="s">
        <v>20474</v>
      </c>
      <c r="H1013" t="s">
        <v>70</v>
      </c>
      <c r="I1013">
        <v>92916</v>
      </c>
      <c r="K1013" t="s">
        <v>16453</v>
      </c>
      <c r="L1013" t="s">
        <v>90</v>
      </c>
      <c r="M1013">
        <v>369.96</v>
      </c>
      <c r="N1013">
        <v>11.46</v>
      </c>
      <c r="O1013">
        <v>14</v>
      </c>
      <c r="P1013">
        <v>5179.4399999999996</v>
      </c>
    </row>
    <row r="1014" spans="2:16">
      <c r="C1014">
        <v>6</v>
      </c>
      <c r="D1014">
        <v>7</v>
      </c>
      <c r="E1014">
        <v>4</v>
      </c>
      <c r="F1014" t="s">
        <v>11708</v>
      </c>
      <c r="G1014" t="s">
        <v>20475</v>
      </c>
      <c r="H1014" t="s">
        <v>70</v>
      </c>
      <c r="I1014">
        <v>92917</v>
      </c>
      <c r="K1014" t="s">
        <v>16454</v>
      </c>
      <c r="L1014" t="s">
        <v>90</v>
      </c>
      <c r="M1014">
        <v>285.88</v>
      </c>
      <c r="N1014">
        <v>11</v>
      </c>
      <c r="O1014">
        <v>13.44</v>
      </c>
      <c r="P1014">
        <v>3842.23</v>
      </c>
    </row>
    <row r="1015" spans="2:16">
      <c r="C1015">
        <v>6</v>
      </c>
      <c r="D1015">
        <v>7</v>
      </c>
      <c r="E1015">
        <v>4</v>
      </c>
      <c r="F1015" t="s">
        <v>11708</v>
      </c>
      <c r="G1015" t="s">
        <v>20476</v>
      </c>
      <c r="H1015" t="s">
        <v>70</v>
      </c>
      <c r="I1015">
        <v>92919</v>
      </c>
      <c r="K1015" t="s">
        <v>16455</v>
      </c>
      <c r="L1015" t="s">
        <v>90</v>
      </c>
      <c r="M1015">
        <v>756.74</v>
      </c>
      <c r="N1015">
        <v>8.93</v>
      </c>
      <c r="O1015">
        <v>10.91</v>
      </c>
      <c r="P1015">
        <v>8256.0300000000007</v>
      </c>
    </row>
    <row r="1016" spans="2:16">
      <c r="C1016">
        <v>6</v>
      </c>
      <c r="D1016">
        <v>7</v>
      </c>
      <c r="E1016">
        <v>4</v>
      </c>
      <c r="F1016" t="s">
        <v>11708</v>
      </c>
      <c r="G1016" t="s">
        <v>12390</v>
      </c>
      <c r="H1016" t="s">
        <v>70</v>
      </c>
      <c r="I1016" t="s">
        <v>19257</v>
      </c>
      <c r="K1016" t="s">
        <v>5042</v>
      </c>
      <c r="L1016" t="s">
        <v>65</v>
      </c>
      <c r="M1016">
        <v>1</v>
      </c>
      <c r="N1016">
        <v>83.42</v>
      </c>
      <c r="O1016">
        <v>101.93</v>
      </c>
      <c r="P1016">
        <v>101.93</v>
      </c>
    </row>
    <row r="1017" spans="2:16">
      <c r="C1017">
        <v>6</v>
      </c>
      <c r="D1017">
        <v>7</v>
      </c>
      <c r="E1017">
        <v>4</v>
      </c>
      <c r="F1017" t="s">
        <v>11708</v>
      </c>
    </row>
    <row r="1018" spans="2:16">
      <c r="C1018">
        <v>6</v>
      </c>
      <c r="D1018">
        <v>7</v>
      </c>
      <c r="E1018">
        <v>4</v>
      </c>
      <c r="F1018" t="s">
        <v>11708</v>
      </c>
      <c r="H1018" t="s">
        <v>20818</v>
      </c>
      <c r="P1018">
        <v>43929.62</v>
      </c>
    </row>
    <row r="1019" spans="2:16">
      <c r="C1019">
        <v>6</v>
      </c>
      <c r="D1019">
        <v>7</v>
      </c>
      <c r="E1019">
        <v>4</v>
      </c>
      <c r="F1019" t="s">
        <v>11708</v>
      </c>
    </row>
    <row r="1020" spans="2:16">
      <c r="B1020">
        <v>1</v>
      </c>
      <c r="C1020">
        <v>6</v>
      </c>
      <c r="D1020">
        <v>7</v>
      </c>
      <c r="E1020">
        <v>5</v>
      </c>
      <c r="F1020" t="s">
        <v>11708</v>
      </c>
      <c r="H1020" t="s">
        <v>11703</v>
      </c>
      <c r="I1020" t="s">
        <v>64</v>
      </c>
      <c r="J1020" s="25" t="s">
        <v>20819</v>
      </c>
      <c r="K1020" t="s">
        <v>12683</v>
      </c>
      <c r="L1020" t="s">
        <v>25</v>
      </c>
      <c r="M1020" t="s">
        <v>11704</v>
      </c>
      <c r="N1020" t="s">
        <v>11705</v>
      </c>
      <c r="O1020" t="s">
        <v>11706</v>
      </c>
      <c r="P1020" t="s">
        <v>27</v>
      </c>
    </row>
    <row r="1021" spans="2:16">
      <c r="C1021">
        <v>6</v>
      </c>
      <c r="D1021">
        <v>7</v>
      </c>
      <c r="E1021">
        <v>5</v>
      </c>
      <c r="F1021" t="s">
        <v>11708</v>
      </c>
    </row>
    <row r="1022" spans="2:16">
      <c r="C1022">
        <v>6</v>
      </c>
      <c r="D1022">
        <v>7</v>
      </c>
      <c r="E1022">
        <v>5</v>
      </c>
      <c r="F1022" t="s">
        <v>11708</v>
      </c>
      <c r="G1022" t="s">
        <v>12391</v>
      </c>
      <c r="H1022" t="s">
        <v>10852</v>
      </c>
      <c r="I1022">
        <v>862</v>
      </c>
      <c r="K1022" t="s">
        <v>19954</v>
      </c>
      <c r="L1022" t="s">
        <v>71</v>
      </c>
      <c r="M1022">
        <v>8</v>
      </c>
      <c r="N1022">
        <v>195.61</v>
      </c>
      <c r="O1022">
        <v>239.02</v>
      </c>
      <c r="P1022">
        <v>1912.16</v>
      </c>
    </row>
    <row r="1023" spans="2:16">
      <c r="C1023">
        <v>6</v>
      </c>
      <c r="D1023">
        <v>7</v>
      </c>
      <c r="E1023">
        <v>5</v>
      </c>
      <c r="F1023" t="s">
        <v>11708</v>
      </c>
      <c r="G1023" t="s">
        <v>12411</v>
      </c>
      <c r="H1023" t="s">
        <v>11722</v>
      </c>
      <c r="I1023" t="s">
        <v>12303</v>
      </c>
      <c r="K1023" t="s">
        <v>20505</v>
      </c>
      <c r="L1023" t="s">
        <v>1274</v>
      </c>
      <c r="M1023">
        <v>7</v>
      </c>
      <c r="N1023">
        <v>72.5</v>
      </c>
      <c r="O1023">
        <v>88.59</v>
      </c>
      <c r="P1023">
        <v>620.13</v>
      </c>
    </row>
    <row r="1024" spans="2:16">
      <c r="C1024">
        <v>6</v>
      </c>
      <c r="D1024">
        <v>7</v>
      </c>
      <c r="E1024">
        <v>5</v>
      </c>
      <c r="F1024" t="s">
        <v>11708</v>
      </c>
      <c r="G1024" t="s">
        <v>12412</v>
      </c>
      <c r="H1024" t="s">
        <v>11722</v>
      </c>
      <c r="I1024" t="s">
        <v>12345</v>
      </c>
      <c r="K1024" t="s">
        <v>20517</v>
      </c>
      <c r="L1024" t="s">
        <v>21</v>
      </c>
      <c r="M1024">
        <v>0.64</v>
      </c>
      <c r="N1024">
        <v>551</v>
      </c>
      <c r="O1024">
        <v>673.27</v>
      </c>
      <c r="P1024">
        <v>430.89</v>
      </c>
    </row>
    <row r="1025" spans="2:16">
      <c r="C1025">
        <v>6</v>
      </c>
      <c r="D1025">
        <v>7</v>
      </c>
      <c r="E1025">
        <v>5</v>
      </c>
      <c r="F1025" t="s">
        <v>11708</v>
      </c>
      <c r="G1025" t="s">
        <v>12413</v>
      </c>
      <c r="H1025" t="s">
        <v>70</v>
      </c>
      <c r="I1025">
        <v>91341</v>
      </c>
      <c r="K1025" t="s">
        <v>16129</v>
      </c>
      <c r="L1025" t="s">
        <v>256</v>
      </c>
      <c r="M1025">
        <v>9.1999999999999993</v>
      </c>
      <c r="N1025">
        <v>664.34</v>
      </c>
      <c r="O1025">
        <v>811.76</v>
      </c>
      <c r="P1025">
        <v>7468.19</v>
      </c>
    </row>
    <row r="1026" spans="2:16">
      <c r="C1026">
        <v>6</v>
      </c>
      <c r="D1026">
        <v>7</v>
      </c>
      <c r="E1026">
        <v>5</v>
      </c>
      <c r="F1026" t="s">
        <v>11708</v>
      </c>
      <c r="G1026" t="s">
        <v>12434</v>
      </c>
      <c r="H1026" t="s">
        <v>70</v>
      </c>
      <c r="I1026">
        <v>93188</v>
      </c>
      <c r="K1026" t="s">
        <v>16561</v>
      </c>
      <c r="L1026" t="s">
        <v>71</v>
      </c>
      <c r="M1026">
        <v>4.5999999999999996</v>
      </c>
      <c r="N1026">
        <v>41.96</v>
      </c>
      <c r="O1026">
        <v>51.27</v>
      </c>
      <c r="P1026">
        <v>235.84</v>
      </c>
    </row>
    <row r="1027" spans="2:16">
      <c r="C1027">
        <v>6</v>
      </c>
      <c r="D1027">
        <v>7</v>
      </c>
      <c r="E1027">
        <v>5</v>
      </c>
      <c r="F1027" t="s">
        <v>11708</v>
      </c>
      <c r="G1027" t="s">
        <v>12435</v>
      </c>
      <c r="H1027" t="s">
        <v>70</v>
      </c>
      <c r="I1027">
        <v>93196</v>
      </c>
      <c r="K1027" t="s">
        <v>16569</v>
      </c>
      <c r="L1027" t="s">
        <v>71</v>
      </c>
      <c r="M1027">
        <v>4.5999999999999996</v>
      </c>
      <c r="N1027">
        <v>42.28</v>
      </c>
      <c r="O1027">
        <v>51.66</v>
      </c>
      <c r="P1027">
        <v>237.64</v>
      </c>
    </row>
    <row r="1028" spans="2:16">
      <c r="C1028">
        <v>6</v>
      </c>
      <c r="D1028">
        <v>7</v>
      </c>
      <c r="E1028">
        <v>5</v>
      </c>
      <c r="F1028" t="s">
        <v>11708</v>
      </c>
      <c r="G1028" t="s">
        <v>12392</v>
      </c>
      <c r="H1028" t="s">
        <v>70</v>
      </c>
      <c r="I1028">
        <v>83623</v>
      </c>
      <c r="K1028" t="s">
        <v>14874</v>
      </c>
      <c r="L1028" t="s">
        <v>71</v>
      </c>
      <c r="M1028">
        <v>0.51</v>
      </c>
      <c r="N1028">
        <v>207.8</v>
      </c>
      <c r="O1028">
        <v>253.91</v>
      </c>
      <c r="P1028">
        <v>129.49</v>
      </c>
    </row>
    <row r="1029" spans="2:16">
      <c r="C1029">
        <v>6</v>
      </c>
      <c r="D1029">
        <v>7</v>
      </c>
      <c r="E1029">
        <v>5</v>
      </c>
      <c r="F1029" t="s">
        <v>11708</v>
      </c>
      <c r="G1029" t="s">
        <v>12449</v>
      </c>
      <c r="H1029" t="s">
        <v>11722</v>
      </c>
      <c r="I1029" t="s">
        <v>20516</v>
      </c>
      <c r="K1029" t="s">
        <v>12450</v>
      </c>
      <c r="L1029" t="s">
        <v>14339</v>
      </c>
      <c r="M1029">
        <v>1</v>
      </c>
      <c r="N1029">
        <v>1735</v>
      </c>
      <c r="O1029">
        <v>2120</v>
      </c>
      <c r="P1029">
        <v>2120</v>
      </c>
    </row>
    <row r="1030" spans="2:16">
      <c r="C1030">
        <v>6</v>
      </c>
      <c r="D1030">
        <v>7</v>
      </c>
      <c r="E1030">
        <v>5</v>
      </c>
      <c r="F1030" t="s">
        <v>11708</v>
      </c>
    </row>
    <row r="1031" spans="2:16">
      <c r="C1031">
        <v>6</v>
      </c>
      <c r="D1031">
        <v>7</v>
      </c>
      <c r="E1031">
        <v>5</v>
      </c>
      <c r="F1031" t="s">
        <v>11708</v>
      </c>
      <c r="H1031" t="s">
        <v>20820</v>
      </c>
      <c r="P1031">
        <v>13154.339999999998</v>
      </c>
    </row>
    <row r="1032" spans="2:16">
      <c r="C1032">
        <v>6</v>
      </c>
      <c r="D1032">
        <v>7</v>
      </c>
      <c r="E1032">
        <v>5</v>
      </c>
      <c r="F1032" t="s">
        <v>11708</v>
      </c>
    </row>
    <row r="1033" spans="2:16">
      <c r="B1033">
        <v>1</v>
      </c>
      <c r="C1033">
        <v>6</v>
      </c>
      <c r="D1033">
        <v>7</v>
      </c>
      <c r="E1033">
        <v>6</v>
      </c>
      <c r="F1033" t="s">
        <v>11708</v>
      </c>
      <c r="H1033" t="s">
        <v>11703</v>
      </c>
      <c r="I1033" t="s">
        <v>64</v>
      </c>
      <c r="J1033" s="25" t="s">
        <v>20821</v>
      </c>
      <c r="K1033" t="s">
        <v>11739</v>
      </c>
      <c r="L1033" t="s">
        <v>25</v>
      </c>
      <c r="M1033" t="s">
        <v>11704</v>
      </c>
      <c r="N1033" t="s">
        <v>11705</v>
      </c>
      <c r="O1033" t="s">
        <v>11706</v>
      </c>
      <c r="P1033" t="s">
        <v>27</v>
      </c>
    </row>
    <row r="1034" spans="2:16">
      <c r="C1034">
        <v>6</v>
      </c>
      <c r="D1034">
        <v>7</v>
      </c>
      <c r="E1034">
        <v>6</v>
      </c>
      <c r="F1034" t="s">
        <v>11708</v>
      </c>
    </row>
    <row r="1035" spans="2:16">
      <c r="C1035">
        <v>6</v>
      </c>
      <c r="D1035">
        <v>7</v>
      </c>
      <c r="E1035">
        <v>6</v>
      </c>
      <c r="F1035" t="s">
        <v>11708</v>
      </c>
      <c r="G1035" t="s">
        <v>12393</v>
      </c>
      <c r="H1035" t="s">
        <v>70</v>
      </c>
      <c r="I1035" t="s">
        <v>18440</v>
      </c>
      <c r="K1035" t="s">
        <v>18441</v>
      </c>
      <c r="L1035" t="s">
        <v>256</v>
      </c>
      <c r="M1035">
        <v>1.75</v>
      </c>
      <c r="N1035">
        <v>110.92</v>
      </c>
      <c r="O1035">
        <v>135.53</v>
      </c>
      <c r="P1035">
        <v>237.18</v>
      </c>
    </row>
    <row r="1036" spans="2:16">
      <c r="C1036">
        <v>6</v>
      </c>
      <c r="D1036">
        <v>7</v>
      </c>
      <c r="E1036">
        <v>6</v>
      </c>
      <c r="F1036" t="s">
        <v>11708</v>
      </c>
      <c r="G1036" t="s">
        <v>12446</v>
      </c>
      <c r="H1036" t="s">
        <v>70</v>
      </c>
      <c r="I1036">
        <v>87513</v>
      </c>
      <c r="K1036" t="s">
        <v>18362</v>
      </c>
      <c r="L1036" t="s">
        <v>256</v>
      </c>
      <c r="M1036">
        <v>28.44</v>
      </c>
      <c r="N1036">
        <v>65.290000000000006</v>
      </c>
      <c r="O1036">
        <v>79.78</v>
      </c>
      <c r="P1036">
        <v>2268.94</v>
      </c>
    </row>
    <row r="1037" spans="2:16">
      <c r="C1037">
        <v>6</v>
      </c>
      <c r="D1037">
        <v>7</v>
      </c>
      <c r="E1037">
        <v>6</v>
      </c>
      <c r="F1037" t="s">
        <v>11708</v>
      </c>
    </row>
    <row r="1038" spans="2:16">
      <c r="C1038">
        <v>6</v>
      </c>
      <c r="D1038">
        <v>7</v>
      </c>
      <c r="E1038">
        <v>6</v>
      </c>
      <c r="F1038" t="s">
        <v>11708</v>
      </c>
      <c r="H1038" t="s">
        <v>20822</v>
      </c>
      <c r="P1038">
        <v>2506.12</v>
      </c>
    </row>
    <row r="1039" spans="2:16">
      <c r="C1039">
        <v>6</v>
      </c>
      <c r="D1039">
        <v>7</v>
      </c>
      <c r="E1039">
        <v>6</v>
      </c>
      <c r="F1039" t="s">
        <v>11708</v>
      </c>
    </row>
    <row r="1040" spans="2:16">
      <c r="B1040">
        <v>1</v>
      </c>
      <c r="C1040">
        <v>6</v>
      </c>
      <c r="D1040">
        <v>7</v>
      </c>
      <c r="E1040">
        <v>7</v>
      </c>
      <c r="F1040" t="s">
        <v>11708</v>
      </c>
      <c r="H1040" t="s">
        <v>11703</v>
      </c>
      <c r="I1040" t="s">
        <v>64</v>
      </c>
      <c r="J1040" s="25" t="s">
        <v>20823</v>
      </c>
      <c r="K1040" t="s">
        <v>11715</v>
      </c>
      <c r="L1040" t="s">
        <v>25</v>
      </c>
      <c r="M1040" t="s">
        <v>11704</v>
      </c>
      <c r="N1040" t="s">
        <v>11705</v>
      </c>
      <c r="O1040" t="s">
        <v>11706</v>
      </c>
      <c r="P1040" t="s">
        <v>27</v>
      </c>
    </row>
    <row r="1041" spans="2:16">
      <c r="C1041">
        <v>6</v>
      </c>
      <c r="D1041">
        <v>7</v>
      </c>
      <c r="E1041">
        <v>7</v>
      </c>
      <c r="F1041" t="s">
        <v>11708</v>
      </c>
    </row>
    <row r="1042" spans="2:16">
      <c r="C1042">
        <v>6</v>
      </c>
      <c r="D1042">
        <v>7</v>
      </c>
      <c r="E1042">
        <v>7</v>
      </c>
      <c r="F1042" t="s">
        <v>11708</v>
      </c>
      <c r="G1042" t="s">
        <v>12394</v>
      </c>
      <c r="H1042" t="s">
        <v>70</v>
      </c>
      <c r="I1042">
        <v>87908</v>
      </c>
      <c r="K1042" t="s">
        <v>3536</v>
      </c>
      <c r="L1042" t="s">
        <v>256</v>
      </c>
      <c r="M1042">
        <v>56.88</v>
      </c>
      <c r="N1042">
        <v>5.24</v>
      </c>
      <c r="O1042">
        <v>6.4</v>
      </c>
      <c r="P1042">
        <v>364.03</v>
      </c>
    </row>
    <row r="1043" spans="2:16">
      <c r="C1043">
        <v>6</v>
      </c>
      <c r="D1043">
        <v>7</v>
      </c>
      <c r="E1043">
        <v>7</v>
      </c>
      <c r="F1043" t="s">
        <v>11708</v>
      </c>
      <c r="G1043" t="s">
        <v>12395</v>
      </c>
      <c r="H1043" t="s">
        <v>70</v>
      </c>
      <c r="I1043">
        <v>87882</v>
      </c>
      <c r="K1043" t="s">
        <v>18759</v>
      </c>
      <c r="L1043" t="s">
        <v>256</v>
      </c>
      <c r="M1043">
        <v>8.3699999999999992</v>
      </c>
      <c r="N1043">
        <v>3.45</v>
      </c>
      <c r="O1043">
        <v>4.22</v>
      </c>
      <c r="P1043">
        <v>35.32</v>
      </c>
    </row>
    <row r="1044" spans="2:16">
      <c r="C1044">
        <v>6</v>
      </c>
      <c r="D1044">
        <v>7</v>
      </c>
      <c r="E1044">
        <v>7</v>
      </c>
      <c r="F1044" t="s">
        <v>11708</v>
      </c>
      <c r="G1044" t="s">
        <v>12396</v>
      </c>
      <c r="H1044" t="s">
        <v>70</v>
      </c>
      <c r="I1044">
        <v>87296</v>
      </c>
      <c r="K1044" t="s">
        <v>18965</v>
      </c>
      <c r="L1044" t="s">
        <v>255</v>
      </c>
      <c r="M1044">
        <v>2.84</v>
      </c>
      <c r="N1044">
        <v>326.48</v>
      </c>
      <c r="O1044">
        <v>398.93</v>
      </c>
      <c r="P1044">
        <v>1132.96</v>
      </c>
    </row>
    <row r="1045" spans="2:16">
      <c r="C1045">
        <v>6</v>
      </c>
      <c r="D1045">
        <v>7</v>
      </c>
      <c r="E1045">
        <v>7</v>
      </c>
      <c r="F1045" t="s">
        <v>11708</v>
      </c>
      <c r="G1045" t="s">
        <v>12397</v>
      </c>
      <c r="H1045" t="s">
        <v>70</v>
      </c>
      <c r="I1045">
        <v>88487</v>
      </c>
      <c r="K1045" t="s">
        <v>18558</v>
      </c>
      <c r="L1045" t="s">
        <v>256</v>
      </c>
      <c r="M1045">
        <v>13.24</v>
      </c>
      <c r="N1045">
        <v>7.84</v>
      </c>
      <c r="O1045">
        <v>9.58</v>
      </c>
      <c r="P1045">
        <v>126.84</v>
      </c>
    </row>
    <row r="1046" spans="2:16">
      <c r="C1046">
        <v>6</v>
      </c>
      <c r="D1046">
        <v>7</v>
      </c>
      <c r="E1046">
        <v>7</v>
      </c>
      <c r="F1046" t="s">
        <v>11708</v>
      </c>
      <c r="G1046" t="s">
        <v>12398</v>
      </c>
      <c r="H1046" t="s">
        <v>70</v>
      </c>
      <c r="I1046">
        <v>88489</v>
      </c>
      <c r="K1046" t="s">
        <v>870</v>
      </c>
      <c r="L1046" t="s">
        <v>256</v>
      </c>
      <c r="M1046">
        <v>6.84</v>
      </c>
      <c r="N1046">
        <v>9.94</v>
      </c>
      <c r="O1046">
        <v>12.15</v>
      </c>
      <c r="P1046">
        <v>83.11</v>
      </c>
    </row>
    <row r="1047" spans="2:16">
      <c r="C1047">
        <v>6</v>
      </c>
      <c r="D1047">
        <v>7</v>
      </c>
      <c r="E1047">
        <v>7</v>
      </c>
      <c r="F1047" t="s">
        <v>11708</v>
      </c>
      <c r="G1047" t="s">
        <v>12439</v>
      </c>
      <c r="H1047" t="s">
        <v>70</v>
      </c>
      <c r="I1047">
        <v>88486</v>
      </c>
      <c r="K1047" t="s">
        <v>869</v>
      </c>
      <c r="L1047" t="s">
        <v>256</v>
      </c>
      <c r="M1047">
        <v>8.3699999999999992</v>
      </c>
      <c r="N1047">
        <v>8.77</v>
      </c>
      <c r="O1047">
        <v>10.72</v>
      </c>
      <c r="P1047">
        <v>89.73</v>
      </c>
    </row>
    <row r="1048" spans="2:16">
      <c r="C1048">
        <v>6</v>
      </c>
      <c r="D1048">
        <v>7</v>
      </c>
      <c r="E1048">
        <v>7</v>
      </c>
      <c r="F1048" t="s">
        <v>11708</v>
      </c>
      <c r="G1048" t="s">
        <v>12399</v>
      </c>
      <c r="H1048" t="s">
        <v>70</v>
      </c>
      <c r="I1048">
        <v>88415</v>
      </c>
      <c r="K1048" t="s">
        <v>18549</v>
      </c>
      <c r="L1048" t="s">
        <v>256</v>
      </c>
      <c r="M1048">
        <v>63.36</v>
      </c>
      <c r="N1048">
        <v>2.0499999999999998</v>
      </c>
      <c r="O1048">
        <v>2.5</v>
      </c>
      <c r="P1048">
        <v>158.4</v>
      </c>
    </row>
    <row r="1049" spans="2:16">
      <c r="C1049">
        <v>6</v>
      </c>
      <c r="D1049">
        <v>7</v>
      </c>
      <c r="E1049">
        <v>7</v>
      </c>
      <c r="F1049" t="s">
        <v>11708</v>
      </c>
    </row>
    <row r="1050" spans="2:16">
      <c r="C1050">
        <v>6</v>
      </c>
      <c r="D1050">
        <v>7</v>
      </c>
      <c r="E1050">
        <v>7</v>
      </c>
      <c r="F1050" t="s">
        <v>11708</v>
      </c>
      <c r="H1050" t="s">
        <v>20824</v>
      </c>
      <c r="P1050">
        <v>1990.3899999999999</v>
      </c>
    </row>
    <row r="1051" spans="2:16">
      <c r="C1051">
        <v>6</v>
      </c>
      <c r="D1051">
        <v>7</v>
      </c>
      <c r="E1051">
        <v>7</v>
      </c>
      <c r="F1051" t="s">
        <v>11708</v>
      </c>
    </row>
    <row r="1052" spans="2:16">
      <c r="B1052">
        <v>1</v>
      </c>
      <c r="C1052">
        <v>6</v>
      </c>
      <c r="D1052">
        <v>7</v>
      </c>
      <c r="E1052">
        <v>8</v>
      </c>
      <c r="F1052" t="s">
        <v>11708</v>
      </c>
      <c r="H1052" t="s">
        <v>11703</v>
      </c>
      <c r="I1052" t="s">
        <v>64</v>
      </c>
      <c r="J1052" s="25" t="s">
        <v>20825</v>
      </c>
      <c r="K1052" t="s">
        <v>20204</v>
      </c>
      <c r="L1052" t="s">
        <v>25</v>
      </c>
      <c r="M1052" t="s">
        <v>11704</v>
      </c>
      <c r="N1052" t="s">
        <v>11705</v>
      </c>
      <c r="O1052" t="s">
        <v>11706</v>
      </c>
      <c r="P1052" t="s">
        <v>27</v>
      </c>
    </row>
    <row r="1053" spans="2:16">
      <c r="C1053">
        <v>6</v>
      </c>
      <c r="D1053">
        <v>7</v>
      </c>
      <c r="E1053">
        <v>8</v>
      </c>
      <c r="F1053" t="s">
        <v>11708</v>
      </c>
    </row>
    <row r="1054" spans="2:16">
      <c r="C1054">
        <v>6</v>
      </c>
      <c r="D1054">
        <v>7</v>
      </c>
      <c r="E1054">
        <v>8</v>
      </c>
      <c r="F1054" t="s">
        <v>11708</v>
      </c>
      <c r="G1054" t="s">
        <v>12414</v>
      </c>
      <c r="H1054" t="s">
        <v>70</v>
      </c>
      <c r="I1054">
        <v>94962</v>
      </c>
      <c r="K1054" t="s">
        <v>16529</v>
      </c>
      <c r="L1054" t="s">
        <v>255</v>
      </c>
      <c r="M1054">
        <v>3.29</v>
      </c>
      <c r="N1054">
        <v>229.97</v>
      </c>
      <c r="O1054">
        <v>281</v>
      </c>
      <c r="P1054">
        <v>924.49</v>
      </c>
    </row>
    <row r="1055" spans="2:16">
      <c r="C1055">
        <v>6</v>
      </c>
      <c r="D1055">
        <v>7</v>
      </c>
      <c r="E1055">
        <v>8</v>
      </c>
      <c r="F1055" t="s">
        <v>11708</v>
      </c>
      <c r="G1055" t="s">
        <v>12415</v>
      </c>
      <c r="H1055" t="s">
        <v>70</v>
      </c>
      <c r="I1055" t="s">
        <v>18613</v>
      </c>
      <c r="K1055" t="s">
        <v>18614</v>
      </c>
      <c r="L1055" t="s">
        <v>256</v>
      </c>
      <c r="M1055">
        <v>55.17</v>
      </c>
      <c r="N1055">
        <v>39.54</v>
      </c>
      <c r="O1055">
        <v>48.31</v>
      </c>
      <c r="P1055">
        <v>2665.26</v>
      </c>
    </row>
    <row r="1056" spans="2:16">
      <c r="C1056">
        <v>6</v>
      </c>
      <c r="D1056">
        <v>7</v>
      </c>
      <c r="E1056">
        <v>8</v>
      </c>
      <c r="F1056" t="s">
        <v>11708</v>
      </c>
      <c r="G1056" t="s">
        <v>12445</v>
      </c>
      <c r="H1056" t="s">
        <v>70</v>
      </c>
      <c r="I1056">
        <v>94990</v>
      </c>
      <c r="K1056" t="s">
        <v>18684</v>
      </c>
      <c r="L1056" t="s">
        <v>255</v>
      </c>
      <c r="M1056">
        <v>14</v>
      </c>
      <c r="N1056">
        <v>497.55</v>
      </c>
      <c r="O1056">
        <v>607.96</v>
      </c>
      <c r="P1056">
        <v>8511.44</v>
      </c>
    </row>
    <row r="1057" spans="1:16">
      <c r="C1057">
        <v>6</v>
      </c>
      <c r="D1057">
        <v>7</v>
      </c>
      <c r="E1057">
        <v>8</v>
      </c>
      <c r="F1057" t="s">
        <v>11708</v>
      </c>
    </row>
    <row r="1058" spans="1:16">
      <c r="C1058">
        <v>6</v>
      </c>
      <c r="D1058">
        <v>7</v>
      </c>
      <c r="E1058">
        <v>8</v>
      </c>
      <c r="F1058" t="s">
        <v>11708</v>
      </c>
      <c r="H1058" t="s">
        <v>20826</v>
      </c>
      <c r="P1058">
        <v>12101.19</v>
      </c>
    </row>
    <row r="1059" spans="1:16">
      <c r="C1059">
        <v>6</v>
      </c>
      <c r="D1059">
        <v>7</v>
      </c>
      <c r="E1059">
        <v>8</v>
      </c>
      <c r="F1059" t="s">
        <v>11708</v>
      </c>
    </row>
    <row r="1060" spans="1:16">
      <c r="B1060">
        <v>1</v>
      </c>
      <c r="C1060">
        <v>6</v>
      </c>
      <c r="D1060">
        <v>7</v>
      </c>
      <c r="E1060">
        <v>9</v>
      </c>
      <c r="F1060" t="s">
        <v>11708</v>
      </c>
      <c r="H1060" t="s">
        <v>11703</v>
      </c>
      <c r="I1060" t="s">
        <v>64</v>
      </c>
      <c r="J1060" s="25" t="s">
        <v>20827</v>
      </c>
      <c r="K1060" t="s">
        <v>11738</v>
      </c>
      <c r="L1060" t="s">
        <v>25</v>
      </c>
      <c r="M1060" t="s">
        <v>11704</v>
      </c>
      <c r="N1060" t="s">
        <v>11705</v>
      </c>
      <c r="O1060" t="s">
        <v>11706</v>
      </c>
      <c r="P1060" t="s">
        <v>27</v>
      </c>
    </row>
    <row r="1061" spans="1:16">
      <c r="C1061">
        <v>6</v>
      </c>
      <c r="D1061">
        <v>7</v>
      </c>
      <c r="E1061">
        <v>9</v>
      </c>
      <c r="F1061" t="s">
        <v>11708</v>
      </c>
    </row>
    <row r="1062" spans="1:16">
      <c r="C1062">
        <v>6</v>
      </c>
      <c r="D1062">
        <v>7</v>
      </c>
      <c r="E1062">
        <v>9</v>
      </c>
      <c r="F1062" t="s">
        <v>11708</v>
      </c>
      <c r="G1062" t="s">
        <v>12400</v>
      </c>
      <c r="H1062" t="s">
        <v>11720</v>
      </c>
      <c r="I1062" t="s">
        <v>12355</v>
      </c>
      <c r="K1062" t="s">
        <v>20511</v>
      </c>
      <c r="L1062" t="s">
        <v>1274</v>
      </c>
      <c r="M1062">
        <v>1</v>
      </c>
      <c r="N1062">
        <v>5323.5</v>
      </c>
      <c r="O1062">
        <v>6504.78</v>
      </c>
      <c r="P1062">
        <v>6504.78</v>
      </c>
    </row>
    <row r="1063" spans="1:16">
      <c r="C1063">
        <v>6</v>
      </c>
      <c r="D1063">
        <v>7</v>
      </c>
      <c r="E1063">
        <v>9</v>
      </c>
      <c r="F1063" t="s">
        <v>11708</v>
      </c>
      <c r="G1063" t="s">
        <v>12401</v>
      </c>
      <c r="H1063" t="s">
        <v>11720</v>
      </c>
      <c r="I1063" t="s">
        <v>12356</v>
      </c>
      <c r="K1063" t="s">
        <v>20512</v>
      </c>
      <c r="L1063" t="s">
        <v>1274</v>
      </c>
      <c r="M1063">
        <v>1</v>
      </c>
      <c r="N1063">
        <v>9346.880000000001</v>
      </c>
      <c r="O1063">
        <v>11420.95</v>
      </c>
      <c r="P1063">
        <v>11420.95</v>
      </c>
    </row>
    <row r="1064" spans="1:16">
      <c r="C1064">
        <v>6</v>
      </c>
      <c r="D1064">
        <v>7</v>
      </c>
      <c r="E1064">
        <v>9</v>
      </c>
      <c r="F1064" t="s">
        <v>11708</v>
      </c>
      <c r="G1064" t="s">
        <v>12402</v>
      </c>
      <c r="H1064" t="s">
        <v>11720</v>
      </c>
      <c r="I1064" t="s">
        <v>12357</v>
      </c>
      <c r="K1064" t="s">
        <v>20513</v>
      </c>
      <c r="L1064" t="s">
        <v>1274</v>
      </c>
      <c r="M1064">
        <v>1</v>
      </c>
      <c r="N1064">
        <v>1419.6</v>
      </c>
      <c r="O1064">
        <v>1734.61</v>
      </c>
      <c r="P1064">
        <v>1734.61</v>
      </c>
    </row>
    <row r="1065" spans="1:16">
      <c r="C1065">
        <v>6</v>
      </c>
      <c r="D1065">
        <v>7</v>
      </c>
      <c r="E1065">
        <v>9</v>
      </c>
      <c r="F1065" t="s">
        <v>11708</v>
      </c>
      <c r="G1065" t="s">
        <v>14342</v>
      </c>
      <c r="H1065" t="s">
        <v>70</v>
      </c>
      <c r="I1065">
        <v>9537</v>
      </c>
      <c r="K1065" t="s">
        <v>966</v>
      </c>
      <c r="L1065" t="s">
        <v>256</v>
      </c>
      <c r="M1065">
        <v>108.9</v>
      </c>
      <c r="N1065">
        <v>2.02</v>
      </c>
      <c r="O1065">
        <v>2.4700000000000002</v>
      </c>
      <c r="P1065">
        <v>268.98</v>
      </c>
    </row>
    <row r="1066" spans="1:16">
      <c r="C1066">
        <v>6</v>
      </c>
      <c r="D1066">
        <v>7</v>
      </c>
      <c r="E1066">
        <v>9</v>
      </c>
      <c r="F1066" t="s">
        <v>11708</v>
      </c>
    </row>
    <row r="1067" spans="1:16">
      <c r="C1067">
        <v>6</v>
      </c>
      <c r="D1067">
        <v>7</v>
      </c>
      <c r="E1067">
        <v>9</v>
      </c>
      <c r="F1067" t="s">
        <v>11708</v>
      </c>
      <c r="H1067" t="s">
        <v>20828</v>
      </c>
      <c r="P1067">
        <v>19929.32</v>
      </c>
    </row>
    <row r="1068" spans="1:16">
      <c r="C1068">
        <v>6</v>
      </c>
      <c r="D1068">
        <v>7</v>
      </c>
      <c r="E1068">
        <v>9</v>
      </c>
      <c r="F1068" t="s">
        <v>11708</v>
      </c>
    </row>
    <row r="1069" spans="1:16">
      <c r="A1069">
        <v>1</v>
      </c>
      <c r="C1069">
        <v>6</v>
      </c>
      <c r="D1069">
        <v>8</v>
      </c>
      <c r="E1069">
        <v>0</v>
      </c>
      <c r="F1069" t="s">
        <v>11708</v>
      </c>
      <c r="H1069" t="s">
        <v>20829</v>
      </c>
      <c r="I1069" t="s">
        <v>12687</v>
      </c>
      <c r="O1069" t="s">
        <v>11702</v>
      </c>
      <c r="P1069">
        <v>29913.549999999996</v>
      </c>
    </row>
    <row r="1070" spans="1:16">
      <c r="C1070">
        <v>6</v>
      </c>
      <c r="D1070">
        <v>8</v>
      </c>
      <c r="E1070">
        <v>0</v>
      </c>
      <c r="F1070" t="s">
        <v>11708</v>
      </c>
    </row>
    <row r="1071" spans="1:16">
      <c r="B1071">
        <v>1</v>
      </c>
      <c r="C1071">
        <v>6</v>
      </c>
      <c r="D1071">
        <v>8</v>
      </c>
      <c r="E1071">
        <v>1</v>
      </c>
      <c r="F1071" t="s">
        <v>11708</v>
      </c>
      <c r="H1071" t="s">
        <v>11703</v>
      </c>
      <c r="I1071" t="s">
        <v>64</v>
      </c>
      <c r="J1071" s="25" t="s">
        <v>20830</v>
      </c>
      <c r="K1071" t="s">
        <v>11709</v>
      </c>
      <c r="L1071" t="s">
        <v>25</v>
      </c>
      <c r="M1071" t="s">
        <v>11704</v>
      </c>
      <c r="N1071" t="s">
        <v>11705</v>
      </c>
      <c r="O1071" t="s">
        <v>11706</v>
      </c>
      <c r="P1071" t="s">
        <v>27</v>
      </c>
    </row>
    <row r="1072" spans="1:16">
      <c r="C1072">
        <v>6</v>
      </c>
      <c r="D1072">
        <v>8</v>
      </c>
      <c r="E1072">
        <v>1</v>
      </c>
      <c r="F1072" t="s">
        <v>11708</v>
      </c>
    </row>
    <row r="1073" spans="2:16">
      <c r="C1073">
        <v>6</v>
      </c>
      <c r="D1073">
        <v>8</v>
      </c>
      <c r="E1073">
        <v>1</v>
      </c>
      <c r="F1073" t="s">
        <v>11708</v>
      </c>
      <c r="G1073" t="s">
        <v>12229</v>
      </c>
      <c r="H1073" t="s">
        <v>70</v>
      </c>
      <c r="I1073" t="s">
        <v>19163</v>
      </c>
      <c r="K1073" t="s">
        <v>19164</v>
      </c>
      <c r="L1073" t="s">
        <v>256</v>
      </c>
      <c r="M1073">
        <v>46.54</v>
      </c>
      <c r="N1073">
        <v>0.59</v>
      </c>
      <c r="O1073">
        <v>0.72</v>
      </c>
      <c r="P1073">
        <v>33.51</v>
      </c>
    </row>
    <row r="1074" spans="2:16">
      <c r="C1074">
        <v>6</v>
      </c>
      <c r="D1074">
        <v>8</v>
      </c>
      <c r="E1074">
        <v>1</v>
      </c>
      <c r="F1074" t="s">
        <v>11708</v>
      </c>
      <c r="G1074" t="s">
        <v>12230</v>
      </c>
      <c r="H1074" t="s">
        <v>70</v>
      </c>
      <c r="I1074" t="s">
        <v>19263</v>
      </c>
      <c r="K1074" t="s">
        <v>19264</v>
      </c>
      <c r="L1074" t="s">
        <v>256</v>
      </c>
      <c r="M1074">
        <v>21.96</v>
      </c>
      <c r="N1074">
        <v>9.93</v>
      </c>
      <c r="O1074">
        <v>12.13</v>
      </c>
      <c r="P1074">
        <v>266.37</v>
      </c>
    </row>
    <row r="1075" spans="2:16">
      <c r="C1075">
        <v>6</v>
      </c>
      <c r="D1075">
        <v>8</v>
      </c>
      <c r="E1075">
        <v>1</v>
      </c>
      <c r="F1075" t="s">
        <v>11708</v>
      </c>
    </row>
    <row r="1076" spans="2:16">
      <c r="C1076">
        <v>6</v>
      </c>
      <c r="D1076">
        <v>8</v>
      </c>
      <c r="E1076">
        <v>1</v>
      </c>
      <c r="F1076" t="s">
        <v>11708</v>
      </c>
      <c r="H1076" t="s">
        <v>20831</v>
      </c>
      <c r="P1076">
        <v>299.88</v>
      </c>
    </row>
    <row r="1077" spans="2:16">
      <c r="C1077">
        <v>6</v>
      </c>
      <c r="D1077">
        <v>8</v>
      </c>
      <c r="E1077">
        <v>1</v>
      </c>
      <c r="F1077" t="s">
        <v>11708</v>
      </c>
    </row>
    <row r="1078" spans="2:16">
      <c r="B1078">
        <v>1</v>
      </c>
      <c r="C1078">
        <v>6</v>
      </c>
      <c r="D1078">
        <v>8</v>
      </c>
      <c r="E1078">
        <v>2</v>
      </c>
      <c r="F1078" t="s">
        <v>11708</v>
      </c>
      <c r="H1078" t="s">
        <v>11703</v>
      </c>
      <c r="I1078" t="s">
        <v>64</v>
      </c>
      <c r="J1078" s="25" t="s">
        <v>20832</v>
      </c>
      <c r="K1078" t="s">
        <v>11710</v>
      </c>
      <c r="L1078" t="s">
        <v>25</v>
      </c>
      <c r="M1078" t="s">
        <v>11704</v>
      </c>
      <c r="N1078" t="s">
        <v>11705</v>
      </c>
      <c r="O1078" t="s">
        <v>11706</v>
      </c>
      <c r="P1078" t="s">
        <v>27</v>
      </c>
    </row>
    <row r="1079" spans="2:16">
      <c r="C1079">
        <v>6</v>
      </c>
      <c r="D1079">
        <v>8</v>
      </c>
      <c r="E1079">
        <v>2</v>
      </c>
      <c r="F1079" t="s">
        <v>11708</v>
      </c>
    </row>
    <row r="1080" spans="2:16">
      <c r="C1080">
        <v>6</v>
      </c>
      <c r="D1080">
        <v>8</v>
      </c>
      <c r="E1080">
        <v>2</v>
      </c>
      <c r="F1080" t="s">
        <v>11708</v>
      </c>
      <c r="G1080" t="s">
        <v>12231</v>
      </c>
      <c r="H1080" t="s">
        <v>70</v>
      </c>
      <c r="I1080">
        <v>90105</v>
      </c>
      <c r="K1080" t="s">
        <v>18214</v>
      </c>
      <c r="L1080" t="s">
        <v>255</v>
      </c>
      <c r="M1080">
        <v>30.59</v>
      </c>
      <c r="N1080">
        <v>14.07</v>
      </c>
      <c r="O1080">
        <v>17.190000000000001</v>
      </c>
      <c r="P1080">
        <v>525.84</v>
      </c>
    </row>
    <row r="1081" spans="2:16">
      <c r="C1081">
        <v>6</v>
      </c>
      <c r="D1081">
        <v>8</v>
      </c>
      <c r="E1081">
        <v>2</v>
      </c>
      <c r="F1081" t="s">
        <v>11708</v>
      </c>
      <c r="G1081" t="s">
        <v>12233</v>
      </c>
      <c r="H1081" t="s">
        <v>10852</v>
      </c>
      <c r="I1081">
        <v>184</v>
      </c>
      <c r="K1081" t="s">
        <v>20740</v>
      </c>
      <c r="L1081" t="s">
        <v>255</v>
      </c>
      <c r="M1081">
        <v>1.7</v>
      </c>
      <c r="N1081">
        <v>4.68</v>
      </c>
      <c r="O1081">
        <v>5.72</v>
      </c>
      <c r="P1081">
        <v>9.7200000000000006</v>
      </c>
    </row>
    <row r="1082" spans="2:16">
      <c r="C1082">
        <v>6</v>
      </c>
      <c r="D1082">
        <v>8</v>
      </c>
      <c r="E1082">
        <v>2</v>
      </c>
      <c r="F1082" t="s">
        <v>11708</v>
      </c>
      <c r="G1082" t="s">
        <v>12235</v>
      </c>
      <c r="H1082" t="s">
        <v>10852</v>
      </c>
      <c r="I1082">
        <v>187</v>
      </c>
      <c r="K1082" t="s">
        <v>20741</v>
      </c>
      <c r="L1082" t="s">
        <v>255</v>
      </c>
      <c r="M1082">
        <v>1.7</v>
      </c>
      <c r="N1082">
        <v>4.67</v>
      </c>
      <c r="O1082">
        <v>5.71</v>
      </c>
      <c r="P1082">
        <v>9.7100000000000009</v>
      </c>
    </row>
    <row r="1083" spans="2:16">
      <c r="C1083">
        <v>6</v>
      </c>
      <c r="D1083">
        <v>8</v>
      </c>
      <c r="E1083">
        <v>2</v>
      </c>
      <c r="F1083" t="s">
        <v>11708</v>
      </c>
      <c r="G1083" t="s">
        <v>12237</v>
      </c>
      <c r="H1083" t="s">
        <v>70</v>
      </c>
      <c r="I1083">
        <v>93358</v>
      </c>
      <c r="K1083" t="s">
        <v>826</v>
      </c>
      <c r="L1083" t="s">
        <v>255</v>
      </c>
      <c r="M1083">
        <v>1.61</v>
      </c>
      <c r="N1083">
        <v>52.29</v>
      </c>
      <c r="O1083">
        <v>63.89</v>
      </c>
      <c r="P1083">
        <v>102.86</v>
      </c>
    </row>
    <row r="1084" spans="2:16">
      <c r="C1084">
        <v>6</v>
      </c>
      <c r="D1084">
        <v>8</v>
      </c>
      <c r="E1084">
        <v>2</v>
      </c>
      <c r="F1084" t="s">
        <v>11708</v>
      </c>
      <c r="G1084" t="s">
        <v>12239</v>
      </c>
      <c r="H1084" t="s">
        <v>10852</v>
      </c>
      <c r="I1084">
        <v>170</v>
      </c>
      <c r="K1084" t="s">
        <v>19822</v>
      </c>
      <c r="L1084" t="s">
        <v>255</v>
      </c>
      <c r="M1084">
        <v>0.09</v>
      </c>
      <c r="N1084">
        <v>55.58</v>
      </c>
      <c r="O1084">
        <v>67.91</v>
      </c>
      <c r="P1084">
        <v>6.11</v>
      </c>
    </row>
    <row r="1085" spans="2:16">
      <c r="C1085">
        <v>6</v>
      </c>
      <c r="D1085">
        <v>8</v>
      </c>
      <c r="E1085">
        <v>2</v>
      </c>
      <c r="F1085" t="s">
        <v>11708</v>
      </c>
      <c r="G1085" t="s">
        <v>12241</v>
      </c>
      <c r="H1085" t="s">
        <v>10852</v>
      </c>
      <c r="I1085">
        <v>172</v>
      </c>
      <c r="K1085" t="s">
        <v>19824</v>
      </c>
      <c r="L1085" t="s">
        <v>255</v>
      </c>
      <c r="M1085">
        <v>0.09</v>
      </c>
      <c r="N1085">
        <v>91.06</v>
      </c>
      <c r="O1085">
        <v>111.27</v>
      </c>
      <c r="P1085">
        <v>10.01</v>
      </c>
    </row>
    <row r="1086" spans="2:16">
      <c r="C1086">
        <v>6</v>
      </c>
      <c r="D1086">
        <v>8</v>
      </c>
      <c r="E1086">
        <v>2</v>
      </c>
      <c r="F1086" t="s">
        <v>11708</v>
      </c>
      <c r="G1086" t="s">
        <v>12243</v>
      </c>
      <c r="H1086" t="s">
        <v>70</v>
      </c>
      <c r="I1086" t="s">
        <v>15726</v>
      </c>
      <c r="K1086" t="s">
        <v>350</v>
      </c>
      <c r="L1086" t="s">
        <v>57</v>
      </c>
      <c r="M1086">
        <v>5</v>
      </c>
      <c r="N1086">
        <v>6.2</v>
      </c>
      <c r="O1086">
        <v>7.58</v>
      </c>
      <c r="P1086">
        <v>37.9</v>
      </c>
    </row>
    <row r="1087" spans="2:16">
      <c r="C1087">
        <v>6</v>
      </c>
      <c r="D1087">
        <v>8</v>
      </c>
      <c r="E1087">
        <v>2</v>
      </c>
      <c r="F1087" t="s">
        <v>11708</v>
      </c>
      <c r="G1087" t="s">
        <v>12244</v>
      </c>
      <c r="H1087" t="s">
        <v>70</v>
      </c>
      <c r="I1087">
        <v>79472</v>
      </c>
      <c r="K1087" t="s">
        <v>8710</v>
      </c>
      <c r="L1087" t="s">
        <v>256</v>
      </c>
      <c r="M1087">
        <v>7.38</v>
      </c>
      <c r="N1087">
        <v>0.56000000000000005</v>
      </c>
      <c r="O1087">
        <v>0.68</v>
      </c>
      <c r="P1087">
        <v>5.0199999999999996</v>
      </c>
    </row>
    <row r="1088" spans="2:16">
      <c r="C1088">
        <v>6</v>
      </c>
      <c r="D1088">
        <v>8</v>
      </c>
      <c r="E1088">
        <v>2</v>
      </c>
      <c r="F1088" t="s">
        <v>11708</v>
      </c>
      <c r="G1088" t="s">
        <v>12245</v>
      </c>
      <c r="H1088" t="s">
        <v>70</v>
      </c>
      <c r="I1088">
        <v>93367</v>
      </c>
      <c r="K1088" t="s">
        <v>18245</v>
      </c>
      <c r="L1088" t="s">
        <v>255</v>
      </c>
      <c r="M1088">
        <v>29.77</v>
      </c>
      <c r="N1088">
        <v>17.86</v>
      </c>
      <c r="O1088">
        <v>21.82</v>
      </c>
      <c r="P1088">
        <v>649.58000000000004</v>
      </c>
    </row>
    <row r="1089" spans="2:16">
      <c r="C1089">
        <v>6</v>
      </c>
      <c r="D1089">
        <v>8</v>
      </c>
      <c r="E1089">
        <v>2</v>
      </c>
      <c r="F1089" t="s">
        <v>11708</v>
      </c>
      <c r="G1089" t="s">
        <v>12246</v>
      </c>
      <c r="H1089" t="s">
        <v>70</v>
      </c>
      <c r="I1089" t="s">
        <v>18237</v>
      </c>
      <c r="K1089" t="s">
        <v>829</v>
      </c>
      <c r="L1089" t="s">
        <v>255</v>
      </c>
      <c r="M1089">
        <v>3.31</v>
      </c>
      <c r="N1089">
        <v>39.659999999999997</v>
      </c>
      <c r="O1089">
        <v>48.46</v>
      </c>
      <c r="P1089">
        <v>160.4</v>
      </c>
    </row>
    <row r="1090" spans="2:16">
      <c r="C1090">
        <v>6</v>
      </c>
      <c r="D1090">
        <v>8</v>
      </c>
      <c r="E1090">
        <v>2</v>
      </c>
      <c r="F1090" t="s">
        <v>11708</v>
      </c>
    </row>
    <row r="1091" spans="2:16">
      <c r="C1091">
        <v>6</v>
      </c>
      <c r="D1091">
        <v>8</v>
      </c>
      <c r="E1091">
        <v>2</v>
      </c>
      <c r="F1091" t="s">
        <v>11708</v>
      </c>
      <c r="H1091" t="s">
        <v>20833</v>
      </c>
      <c r="P1091">
        <v>1517.15</v>
      </c>
    </row>
    <row r="1092" spans="2:16">
      <c r="C1092">
        <v>6</v>
      </c>
      <c r="D1092">
        <v>8</v>
      </c>
      <c r="E1092">
        <v>2</v>
      </c>
      <c r="F1092" t="s">
        <v>11708</v>
      </c>
    </row>
    <row r="1093" spans="2:16">
      <c r="B1093">
        <v>1</v>
      </c>
      <c r="C1093">
        <v>6</v>
      </c>
      <c r="D1093">
        <v>8</v>
      </c>
      <c r="E1093">
        <v>3</v>
      </c>
      <c r="F1093" t="s">
        <v>11708</v>
      </c>
      <c r="H1093" t="s">
        <v>11703</v>
      </c>
      <c r="I1093" t="s">
        <v>64</v>
      </c>
      <c r="J1093" s="25" t="s">
        <v>20834</v>
      </c>
      <c r="K1093" t="s">
        <v>11712</v>
      </c>
      <c r="L1093" t="s">
        <v>25</v>
      </c>
      <c r="M1093" t="s">
        <v>11704</v>
      </c>
      <c r="N1093" t="s">
        <v>11705</v>
      </c>
      <c r="O1093" t="s">
        <v>11706</v>
      </c>
      <c r="P1093" t="s">
        <v>27</v>
      </c>
    </row>
    <row r="1094" spans="2:16">
      <c r="C1094">
        <v>6</v>
      </c>
      <c r="D1094">
        <v>8</v>
      </c>
      <c r="E1094">
        <v>3</v>
      </c>
      <c r="F1094" t="s">
        <v>11708</v>
      </c>
    </row>
    <row r="1095" spans="2:16">
      <c r="C1095">
        <v>6</v>
      </c>
      <c r="D1095">
        <v>8</v>
      </c>
      <c r="E1095">
        <v>3</v>
      </c>
      <c r="F1095" t="s">
        <v>11708</v>
      </c>
      <c r="G1095" t="s">
        <v>12247</v>
      </c>
      <c r="H1095" t="s">
        <v>70</v>
      </c>
      <c r="I1095" t="s">
        <v>18276</v>
      </c>
      <c r="K1095" t="s">
        <v>18277</v>
      </c>
      <c r="L1095" t="s">
        <v>255</v>
      </c>
      <c r="M1095">
        <v>3.1</v>
      </c>
      <c r="N1095">
        <v>1.76</v>
      </c>
      <c r="O1095">
        <v>2.15</v>
      </c>
      <c r="P1095">
        <v>6.67</v>
      </c>
    </row>
    <row r="1096" spans="2:16">
      <c r="C1096">
        <v>6</v>
      </c>
      <c r="D1096">
        <v>8</v>
      </c>
      <c r="E1096">
        <v>3</v>
      </c>
      <c r="F1096" t="s">
        <v>11708</v>
      </c>
      <c r="G1096" t="s">
        <v>12248</v>
      </c>
      <c r="H1096" t="s">
        <v>70</v>
      </c>
      <c r="I1096">
        <v>93590</v>
      </c>
      <c r="K1096" t="s">
        <v>19275</v>
      </c>
      <c r="L1096" t="s">
        <v>9853</v>
      </c>
      <c r="M1096">
        <v>23.22</v>
      </c>
      <c r="N1096">
        <v>0.74</v>
      </c>
      <c r="O1096">
        <v>0.9</v>
      </c>
      <c r="P1096">
        <v>20.9</v>
      </c>
    </row>
    <row r="1097" spans="2:16">
      <c r="C1097">
        <v>6</v>
      </c>
      <c r="D1097">
        <v>8</v>
      </c>
      <c r="E1097">
        <v>3</v>
      </c>
      <c r="F1097" t="s">
        <v>11708</v>
      </c>
      <c r="G1097" t="s">
        <v>12249</v>
      </c>
      <c r="H1097" t="s">
        <v>70</v>
      </c>
      <c r="I1097">
        <v>83344</v>
      </c>
      <c r="K1097" t="s">
        <v>18317</v>
      </c>
      <c r="L1097" t="s">
        <v>255</v>
      </c>
      <c r="M1097">
        <v>3.1</v>
      </c>
      <c r="N1097">
        <v>1.02</v>
      </c>
      <c r="O1097">
        <v>1.25</v>
      </c>
      <c r="P1097">
        <v>3.88</v>
      </c>
    </row>
    <row r="1098" spans="2:16">
      <c r="C1098">
        <v>6</v>
      </c>
      <c r="D1098">
        <v>8</v>
      </c>
      <c r="E1098">
        <v>3</v>
      </c>
      <c r="F1098" t="s">
        <v>11708</v>
      </c>
    </row>
    <row r="1099" spans="2:16">
      <c r="C1099">
        <v>6</v>
      </c>
      <c r="D1099">
        <v>8</v>
      </c>
      <c r="E1099">
        <v>3</v>
      </c>
      <c r="F1099" t="s">
        <v>11708</v>
      </c>
      <c r="H1099" t="s">
        <v>20835</v>
      </c>
      <c r="P1099">
        <v>31.45</v>
      </c>
    </row>
    <row r="1100" spans="2:16">
      <c r="C1100">
        <v>6</v>
      </c>
      <c r="D1100">
        <v>8</v>
      </c>
      <c r="E1100">
        <v>3</v>
      </c>
      <c r="F1100" t="s">
        <v>11708</v>
      </c>
    </row>
    <row r="1101" spans="2:16">
      <c r="B1101">
        <v>1</v>
      </c>
      <c r="C1101">
        <v>6</v>
      </c>
      <c r="D1101">
        <v>8</v>
      </c>
      <c r="E1101">
        <v>4</v>
      </c>
      <c r="F1101" t="s">
        <v>11708</v>
      </c>
      <c r="H1101" t="s">
        <v>11703</v>
      </c>
      <c r="I1101" t="s">
        <v>64</v>
      </c>
      <c r="J1101" s="25" t="s">
        <v>20836</v>
      </c>
      <c r="K1101" t="s">
        <v>1225</v>
      </c>
      <c r="L1101" t="s">
        <v>25</v>
      </c>
      <c r="M1101" t="s">
        <v>11704</v>
      </c>
      <c r="N1101" t="s">
        <v>11705</v>
      </c>
      <c r="O1101" t="s">
        <v>11706</v>
      </c>
      <c r="P1101" t="s">
        <v>27</v>
      </c>
    </row>
    <row r="1102" spans="2:16">
      <c r="C1102">
        <v>6</v>
      </c>
      <c r="D1102">
        <v>8</v>
      </c>
      <c r="E1102">
        <v>4</v>
      </c>
      <c r="F1102" t="s">
        <v>11708</v>
      </c>
    </row>
    <row r="1103" spans="2:16">
      <c r="C1103">
        <v>6</v>
      </c>
      <c r="D1103">
        <v>8</v>
      </c>
      <c r="E1103">
        <v>4</v>
      </c>
      <c r="F1103" t="s">
        <v>11708</v>
      </c>
      <c r="G1103" t="s">
        <v>14338</v>
      </c>
      <c r="H1103" t="s">
        <v>70</v>
      </c>
      <c r="I1103">
        <v>95241</v>
      </c>
      <c r="K1103" t="s">
        <v>6694</v>
      </c>
      <c r="L1103" t="s">
        <v>256</v>
      </c>
      <c r="M1103">
        <v>7.38</v>
      </c>
      <c r="N1103">
        <v>18.73</v>
      </c>
      <c r="O1103">
        <v>22.89</v>
      </c>
      <c r="P1103">
        <v>168.93</v>
      </c>
    </row>
    <row r="1104" spans="2:16">
      <c r="C1104">
        <v>6</v>
      </c>
      <c r="D1104">
        <v>8</v>
      </c>
      <c r="E1104">
        <v>4</v>
      </c>
      <c r="F1104" t="s">
        <v>11708</v>
      </c>
      <c r="G1104" t="s">
        <v>20478</v>
      </c>
      <c r="H1104" t="s">
        <v>70</v>
      </c>
      <c r="I1104">
        <v>92415</v>
      </c>
      <c r="K1104" t="s">
        <v>16234</v>
      </c>
      <c r="L1104" t="s">
        <v>256</v>
      </c>
      <c r="M1104">
        <v>12.54</v>
      </c>
      <c r="N1104">
        <v>73.489999999999995</v>
      </c>
      <c r="O1104">
        <v>89.8</v>
      </c>
      <c r="P1104">
        <v>1126.0899999999999</v>
      </c>
    </row>
    <row r="1105" spans="2:16">
      <c r="C1105">
        <v>6</v>
      </c>
      <c r="D1105">
        <v>8</v>
      </c>
      <c r="E1105">
        <v>4</v>
      </c>
      <c r="F1105" t="s">
        <v>11708</v>
      </c>
      <c r="G1105" t="s">
        <v>20479</v>
      </c>
      <c r="H1105" t="s">
        <v>70</v>
      </c>
      <c r="I1105">
        <v>92452</v>
      </c>
      <c r="K1105" t="s">
        <v>16271</v>
      </c>
      <c r="L1105" t="s">
        <v>256</v>
      </c>
      <c r="M1105">
        <v>9.41</v>
      </c>
      <c r="N1105">
        <v>88.86</v>
      </c>
      <c r="O1105">
        <v>108.58</v>
      </c>
      <c r="P1105">
        <v>1021.74</v>
      </c>
    </row>
    <row r="1106" spans="2:16">
      <c r="C1106">
        <v>6</v>
      </c>
      <c r="D1106">
        <v>8</v>
      </c>
      <c r="E1106">
        <v>4</v>
      </c>
      <c r="F1106" t="s">
        <v>11708</v>
      </c>
      <c r="G1106" t="s">
        <v>20480</v>
      </c>
      <c r="H1106" t="s">
        <v>70</v>
      </c>
      <c r="I1106">
        <v>92510</v>
      </c>
      <c r="K1106" t="s">
        <v>16326</v>
      </c>
      <c r="L1106" t="s">
        <v>256</v>
      </c>
      <c r="M1106">
        <v>40.76</v>
      </c>
      <c r="N1106">
        <v>27.47</v>
      </c>
      <c r="O1106">
        <v>33.57</v>
      </c>
      <c r="P1106">
        <v>1368.31</v>
      </c>
    </row>
    <row r="1107" spans="2:16">
      <c r="C1107">
        <v>6</v>
      </c>
      <c r="D1107">
        <v>8</v>
      </c>
      <c r="E1107">
        <v>4</v>
      </c>
      <c r="F1107" t="s">
        <v>11708</v>
      </c>
      <c r="G1107" t="s">
        <v>20481</v>
      </c>
      <c r="H1107" t="s">
        <v>70</v>
      </c>
      <c r="I1107">
        <v>34493</v>
      </c>
      <c r="K1107" t="s">
        <v>3781</v>
      </c>
      <c r="L1107" t="s">
        <v>255</v>
      </c>
      <c r="M1107">
        <v>4.5</v>
      </c>
      <c r="N1107">
        <v>238.87</v>
      </c>
      <c r="O1107">
        <v>291.88</v>
      </c>
      <c r="P1107">
        <v>1313.46</v>
      </c>
    </row>
    <row r="1108" spans="2:16">
      <c r="D1108">
        <v>8</v>
      </c>
      <c r="E1108">
        <v>4</v>
      </c>
      <c r="F1108" t="s">
        <v>11708</v>
      </c>
      <c r="G1108" t="s">
        <v>20482</v>
      </c>
    </row>
    <row r="1109" spans="2:16">
      <c r="C1109">
        <v>6</v>
      </c>
      <c r="D1109">
        <v>8</v>
      </c>
      <c r="E1109">
        <v>4</v>
      </c>
      <c r="F1109" t="s">
        <v>11708</v>
      </c>
      <c r="G1109" t="s">
        <v>20473</v>
      </c>
      <c r="H1109" t="s">
        <v>70</v>
      </c>
      <c r="I1109">
        <v>92915</v>
      </c>
      <c r="K1109" t="s">
        <v>16452</v>
      </c>
      <c r="L1109" t="s">
        <v>90</v>
      </c>
      <c r="M1109">
        <v>66.05</v>
      </c>
      <c r="N1109">
        <v>12.53</v>
      </c>
      <c r="O1109">
        <v>15.31</v>
      </c>
      <c r="P1109">
        <v>1011.23</v>
      </c>
    </row>
    <row r="1110" spans="2:16">
      <c r="D1110">
        <v>8</v>
      </c>
      <c r="E1110">
        <v>4</v>
      </c>
      <c r="F1110" t="s">
        <v>11708</v>
      </c>
      <c r="G1110" t="s">
        <v>20474</v>
      </c>
      <c r="H1110" t="s">
        <v>70</v>
      </c>
      <c r="I1110">
        <v>92916</v>
      </c>
      <c r="K1110" t="s">
        <v>16453</v>
      </c>
      <c r="L1110" t="s">
        <v>90</v>
      </c>
      <c r="M1110">
        <v>102.11</v>
      </c>
      <c r="N1110">
        <v>11.46</v>
      </c>
      <c r="O1110">
        <v>14</v>
      </c>
      <c r="P1110">
        <v>1429.54</v>
      </c>
    </row>
    <row r="1111" spans="2:16">
      <c r="D1111">
        <v>8</v>
      </c>
      <c r="E1111">
        <v>4</v>
      </c>
      <c r="F1111" t="s">
        <v>11708</v>
      </c>
      <c r="G1111" t="s">
        <v>20475</v>
      </c>
      <c r="H1111" t="s">
        <v>70</v>
      </c>
      <c r="I1111">
        <v>92917</v>
      </c>
      <c r="K1111" t="s">
        <v>16454</v>
      </c>
      <c r="L1111" t="s">
        <v>90</v>
      </c>
      <c r="M1111">
        <v>94.67</v>
      </c>
      <c r="N1111">
        <v>11</v>
      </c>
      <c r="O1111">
        <v>13.44</v>
      </c>
      <c r="P1111">
        <v>1272.3599999999999</v>
      </c>
    </row>
    <row r="1112" spans="2:16">
      <c r="D1112">
        <v>8</v>
      </c>
      <c r="E1112">
        <v>4</v>
      </c>
      <c r="F1112" t="s">
        <v>11708</v>
      </c>
      <c r="G1112" t="s">
        <v>20476</v>
      </c>
      <c r="H1112" t="s">
        <v>70</v>
      </c>
      <c r="I1112">
        <v>92919</v>
      </c>
      <c r="K1112" t="s">
        <v>16455</v>
      </c>
      <c r="L1112" t="s">
        <v>90</v>
      </c>
      <c r="M1112">
        <v>87.15</v>
      </c>
      <c r="N1112">
        <v>8.93</v>
      </c>
      <c r="O1112">
        <v>10.91</v>
      </c>
      <c r="P1112">
        <v>950.81</v>
      </c>
    </row>
    <row r="1113" spans="2:16">
      <c r="C1113">
        <v>6</v>
      </c>
      <c r="D1113">
        <v>8</v>
      </c>
      <c r="E1113">
        <v>4</v>
      </c>
      <c r="F1113" t="s">
        <v>11708</v>
      </c>
      <c r="G1113" t="s">
        <v>12250</v>
      </c>
      <c r="H1113" t="s">
        <v>70</v>
      </c>
      <c r="I1113" t="s">
        <v>19257</v>
      </c>
      <c r="K1113" t="s">
        <v>5042</v>
      </c>
      <c r="L1113" t="s">
        <v>65</v>
      </c>
      <c r="M1113">
        <v>1</v>
      </c>
      <c r="N1113">
        <v>83.42</v>
      </c>
      <c r="O1113">
        <v>101.93</v>
      </c>
      <c r="P1113">
        <v>101.93</v>
      </c>
    </row>
    <row r="1114" spans="2:16">
      <c r="C1114">
        <v>6</v>
      </c>
      <c r="D1114">
        <v>8</v>
      </c>
      <c r="E1114">
        <v>4</v>
      </c>
      <c r="F1114" t="s">
        <v>11708</v>
      </c>
    </row>
    <row r="1115" spans="2:16">
      <c r="C1115">
        <v>6</v>
      </c>
      <c r="D1115">
        <v>8</v>
      </c>
      <c r="E1115">
        <v>4</v>
      </c>
      <c r="F1115" t="s">
        <v>11708</v>
      </c>
      <c r="H1115" t="s">
        <v>20837</v>
      </c>
      <c r="P1115">
        <v>9764.4</v>
      </c>
    </row>
    <row r="1116" spans="2:16">
      <c r="C1116">
        <v>6</v>
      </c>
      <c r="D1116">
        <v>8</v>
      </c>
      <c r="E1116">
        <v>4</v>
      </c>
      <c r="F1116" t="s">
        <v>11708</v>
      </c>
    </row>
    <row r="1117" spans="2:16">
      <c r="B1117">
        <v>1</v>
      </c>
      <c r="C1117">
        <v>6</v>
      </c>
      <c r="D1117">
        <v>8</v>
      </c>
      <c r="E1117">
        <v>5</v>
      </c>
      <c r="F1117" t="s">
        <v>11708</v>
      </c>
      <c r="H1117" t="s">
        <v>11703</v>
      </c>
      <c r="I1117" t="s">
        <v>64</v>
      </c>
      <c r="J1117" s="25" t="s">
        <v>20838</v>
      </c>
      <c r="K1117" t="s">
        <v>11717</v>
      </c>
      <c r="L1117" t="s">
        <v>25</v>
      </c>
      <c r="M1117" t="s">
        <v>11704</v>
      </c>
      <c r="N1117" t="s">
        <v>11705</v>
      </c>
      <c r="O1117" t="s">
        <v>11706</v>
      </c>
      <c r="P1117" t="s">
        <v>27</v>
      </c>
    </row>
    <row r="1118" spans="2:16">
      <c r="C1118">
        <v>6</v>
      </c>
      <c r="D1118">
        <v>8</v>
      </c>
      <c r="E1118">
        <v>5</v>
      </c>
      <c r="F1118" t="s">
        <v>11708</v>
      </c>
    </row>
    <row r="1119" spans="2:16">
      <c r="C1119">
        <v>6</v>
      </c>
      <c r="D1119">
        <v>8</v>
      </c>
      <c r="E1119">
        <v>5</v>
      </c>
      <c r="F1119" t="s">
        <v>11708</v>
      </c>
      <c r="G1119" t="s">
        <v>12251</v>
      </c>
      <c r="H1119" t="s">
        <v>70</v>
      </c>
      <c r="I1119">
        <v>91011</v>
      </c>
      <c r="K1119" t="s">
        <v>16058</v>
      </c>
      <c r="L1119" t="s">
        <v>65</v>
      </c>
      <c r="M1119">
        <v>1</v>
      </c>
      <c r="N1119">
        <v>294.48</v>
      </c>
      <c r="O1119">
        <v>359.83</v>
      </c>
      <c r="P1119">
        <v>359.83</v>
      </c>
    </row>
    <row r="1120" spans="2:16">
      <c r="C1120">
        <v>6</v>
      </c>
      <c r="D1120">
        <v>8</v>
      </c>
      <c r="E1120">
        <v>5</v>
      </c>
      <c r="F1120" t="s">
        <v>11708</v>
      </c>
      <c r="G1120" t="s">
        <v>12252</v>
      </c>
      <c r="H1120" t="s">
        <v>70</v>
      </c>
      <c r="I1120">
        <v>93188</v>
      </c>
      <c r="K1120" t="s">
        <v>16561</v>
      </c>
      <c r="L1120" t="s">
        <v>71</v>
      </c>
      <c r="M1120">
        <v>0.8</v>
      </c>
      <c r="N1120">
        <v>41.96</v>
      </c>
      <c r="O1120">
        <v>51.27</v>
      </c>
      <c r="P1120">
        <v>41.02</v>
      </c>
    </row>
    <row r="1121" spans="2:16">
      <c r="C1121">
        <v>6</v>
      </c>
      <c r="D1121">
        <v>8</v>
      </c>
      <c r="E1121">
        <v>5</v>
      </c>
      <c r="F1121" t="s">
        <v>11708</v>
      </c>
      <c r="G1121" t="s">
        <v>12253</v>
      </c>
      <c r="H1121" t="s">
        <v>70</v>
      </c>
      <c r="I1121">
        <v>93196</v>
      </c>
      <c r="K1121" t="s">
        <v>16569</v>
      </c>
      <c r="L1121" t="s">
        <v>71</v>
      </c>
      <c r="M1121">
        <v>0.8</v>
      </c>
      <c r="N1121">
        <v>42.28</v>
      </c>
      <c r="O1121">
        <v>51.66</v>
      </c>
      <c r="P1121">
        <v>41.33</v>
      </c>
    </row>
    <row r="1122" spans="2:16">
      <c r="C1122">
        <v>6</v>
      </c>
      <c r="D1122">
        <v>8</v>
      </c>
      <c r="E1122">
        <v>5</v>
      </c>
      <c r="F1122" t="s">
        <v>11708</v>
      </c>
      <c r="G1122" t="s">
        <v>12282</v>
      </c>
      <c r="H1122" t="s">
        <v>70</v>
      </c>
      <c r="I1122">
        <v>94570</v>
      </c>
      <c r="K1122" t="s">
        <v>16157</v>
      </c>
      <c r="L1122" t="s">
        <v>256</v>
      </c>
      <c r="M1122">
        <v>6.47</v>
      </c>
      <c r="N1122">
        <v>419.64</v>
      </c>
      <c r="O1122">
        <v>512.76</v>
      </c>
      <c r="P1122">
        <v>3317.56</v>
      </c>
    </row>
    <row r="1123" spans="2:16">
      <c r="C1123">
        <v>6</v>
      </c>
      <c r="D1123">
        <v>8</v>
      </c>
      <c r="E1123">
        <v>5</v>
      </c>
      <c r="F1123" t="s">
        <v>11708</v>
      </c>
      <c r="G1123" t="s">
        <v>12283</v>
      </c>
      <c r="H1123" t="s">
        <v>70</v>
      </c>
      <c r="I1123">
        <v>93186</v>
      </c>
      <c r="K1123" t="s">
        <v>16559</v>
      </c>
      <c r="L1123" t="s">
        <v>71</v>
      </c>
      <c r="M1123">
        <v>1.1000000000000001</v>
      </c>
      <c r="N1123">
        <v>43.96</v>
      </c>
      <c r="O1123">
        <v>53.71</v>
      </c>
      <c r="P1123">
        <v>59.08</v>
      </c>
    </row>
    <row r="1124" spans="2:16">
      <c r="C1124">
        <v>6</v>
      </c>
      <c r="D1124">
        <v>8</v>
      </c>
      <c r="E1124">
        <v>5</v>
      </c>
      <c r="F1124" t="s">
        <v>11708</v>
      </c>
      <c r="G1124" t="s">
        <v>12284</v>
      </c>
      <c r="H1124" t="s">
        <v>70</v>
      </c>
      <c r="I1124">
        <v>93187</v>
      </c>
      <c r="K1124" t="s">
        <v>16560</v>
      </c>
      <c r="L1124" t="s">
        <v>71</v>
      </c>
      <c r="M1124">
        <v>3.65</v>
      </c>
      <c r="N1124">
        <v>50.6</v>
      </c>
      <c r="O1124">
        <v>61.83</v>
      </c>
      <c r="P1124">
        <v>225.68</v>
      </c>
    </row>
    <row r="1125" spans="2:16">
      <c r="C1125">
        <v>6</v>
      </c>
      <c r="D1125">
        <v>8</v>
      </c>
      <c r="E1125">
        <v>5</v>
      </c>
      <c r="F1125" t="s">
        <v>11708</v>
      </c>
      <c r="G1125" t="s">
        <v>12254</v>
      </c>
      <c r="H1125" t="s">
        <v>70</v>
      </c>
      <c r="I1125">
        <v>93196</v>
      </c>
      <c r="K1125" t="s">
        <v>16569</v>
      </c>
      <c r="L1125" t="s">
        <v>71</v>
      </c>
      <c r="M1125">
        <v>1.1000000000000001</v>
      </c>
      <c r="N1125">
        <v>42.28</v>
      </c>
      <c r="O1125">
        <v>51.66</v>
      </c>
      <c r="P1125">
        <v>56.83</v>
      </c>
    </row>
    <row r="1126" spans="2:16">
      <c r="C1126">
        <v>6</v>
      </c>
      <c r="D1126">
        <v>8</v>
      </c>
      <c r="E1126">
        <v>5</v>
      </c>
      <c r="F1126" t="s">
        <v>11708</v>
      </c>
      <c r="G1126" t="s">
        <v>12285</v>
      </c>
      <c r="H1126" t="s">
        <v>70</v>
      </c>
      <c r="I1126">
        <v>93197</v>
      </c>
      <c r="K1126" t="s">
        <v>4057</v>
      </c>
      <c r="L1126" t="s">
        <v>71</v>
      </c>
      <c r="M1126">
        <v>3.65</v>
      </c>
      <c r="N1126">
        <v>46.83</v>
      </c>
      <c r="O1126">
        <v>57.22</v>
      </c>
      <c r="P1126">
        <v>208.85</v>
      </c>
    </row>
    <row r="1127" spans="2:16">
      <c r="C1127">
        <v>6</v>
      </c>
      <c r="D1127">
        <v>8</v>
      </c>
      <c r="E1127">
        <v>5</v>
      </c>
      <c r="F1127" t="s">
        <v>11708</v>
      </c>
    </row>
    <row r="1128" spans="2:16">
      <c r="C1128">
        <v>6</v>
      </c>
      <c r="D1128">
        <v>8</v>
      </c>
      <c r="E1128">
        <v>5</v>
      </c>
      <c r="F1128" t="s">
        <v>11708</v>
      </c>
      <c r="H1128" t="s">
        <v>20839</v>
      </c>
      <c r="P1128">
        <v>4310.18</v>
      </c>
    </row>
    <row r="1129" spans="2:16">
      <c r="C1129">
        <v>6</v>
      </c>
      <c r="D1129">
        <v>8</v>
      </c>
      <c r="E1129">
        <v>5</v>
      </c>
      <c r="F1129" t="s">
        <v>11708</v>
      </c>
    </row>
    <row r="1130" spans="2:16">
      <c r="B1130">
        <v>1</v>
      </c>
      <c r="C1130">
        <v>6</v>
      </c>
      <c r="D1130">
        <v>8</v>
      </c>
      <c r="E1130">
        <v>6</v>
      </c>
      <c r="F1130" t="s">
        <v>11708</v>
      </c>
      <c r="H1130" t="s">
        <v>11703</v>
      </c>
      <c r="I1130" t="s">
        <v>64</v>
      </c>
      <c r="J1130" s="25" t="s">
        <v>20840</v>
      </c>
      <c r="K1130" t="s">
        <v>11739</v>
      </c>
      <c r="L1130" t="s">
        <v>25</v>
      </c>
      <c r="M1130" t="s">
        <v>11704</v>
      </c>
      <c r="N1130" t="s">
        <v>11705</v>
      </c>
      <c r="O1130" t="s">
        <v>11706</v>
      </c>
      <c r="P1130" t="s">
        <v>27</v>
      </c>
    </row>
    <row r="1131" spans="2:16">
      <c r="C1131">
        <v>6</v>
      </c>
      <c r="D1131">
        <v>8</v>
      </c>
      <c r="E1131">
        <v>6</v>
      </c>
      <c r="F1131" t="s">
        <v>11708</v>
      </c>
    </row>
    <row r="1132" spans="2:16">
      <c r="C1132">
        <v>6</v>
      </c>
      <c r="D1132">
        <v>8</v>
      </c>
      <c r="E1132">
        <v>6</v>
      </c>
      <c r="F1132" t="s">
        <v>11708</v>
      </c>
      <c r="G1132" t="s">
        <v>12255</v>
      </c>
      <c r="H1132" t="s">
        <v>70</v>
      </c>
      <c r="I1132">
        <v>87513</v>
      </c>
      <c r="K1132" t="s">
        <v>18362</v>
      </c>
      <c r="L1132" t="s">
        <v>256</v>
      </c>
      <c r="M1132">
        <v>48.75</v>
      </c>
      <c r="N1132">
        <v>65.290000000000006</v>
      </c>
      <c r="O1132">
        <v>79.78</v>
      </c>
      <c r="P1132">
        <v>3889.28</v>
      </c>
    </row>
    <row r="1133" spans="2:16">
      <c r="C1133">
        <v>6</v>
      </c>
      <c r="D1133">
        <v>8</v>
      </c>
      <c r="E1133">
        <v>6</v>
      </c>
      <c r="F1133" t="s">
        <v>11708</v>
      </c>
    </row>
    <row r="1134" spans="2:16">
      <c r="C1134">
        <v>6</v>
      </c>
      <c r="D1134">
        <v>8</v>
      </c>
      <c r="E1134">
        <v>6</v>
      </c>
      <c r="F1134" t="s">
        <v>11708</v>
      </c>
      <c r="H1134" t="s">
        <v>20841</v>
      </c>
      <c r="P1134">
        <v>3889.28</v>
      </c>
    </row>
    <row r="1135" spans="2:16">
      <c r="C1135">
        <v>6</v>
      </c>
      <c r="D1135">
        <v>8</v>
      </c>
      <c r="E1135">
        <v>6</v>
      </c>
      <c r="F1135" t="s">
        <v>11708</v>
      </c>
    </row>
    <row r="1136" spans="2:16">
      <c r="B1136">
        <v>1</v>
      </c>
      <c r="C1136">
        <v>6</v>
      </c>
      <c r="D1136">
        <v>8</v>
      </c>
      <c r="E1136">
        <v>7</v>
      </c>
      <c r="F1136" t="s">
        <v>11708</v>
      </c>
      <c r="H1136" t="s">
        <v>11703</v>
      </c>
      <c r="I1136" t="s">
        <v>64</v>
      </c>
      <c r="J1136" s="25" t="s">
        <v>20842</v>
      </c>
      <c r="K1136" t="s">
        <v>11715</v>
      </c>
      <c r="L1136" t="s">
        <v>25</v>
      </c>
      <c r="M1136" t="s">
        <v>11704</v>
      </c>
      <c r="N1136" t="s">
        <v>11705</v>
      </c>
      <c r="O1136" t="s">
        <v>11706</v>
      </c>
      <c r="P1136" t="s">
        <v>27</v>
      </c>
    </row>
    <row r="1137" spans="2:16">
      <c r="C1137">
        <v>6</v>
      </c>
      <c r="D1137">
        <v>8</v>
      </c>
      <c r="E1137">
        <v>7</v>
      </c>
      <c r="F1137" t="s">
        <v>11708</v>
      </c>
    </row>
    <row r="1138" spans="2:16">
      <c r="C1138">
        <v>6</v>
      </c>
      <c r="D1138">
        <v>8</v>
      </c>
      <c r="E1138">
        <v>7</v>
      </c>
      <c r="F1138" t="s">
        <v>11708</v>
      </c>
      <c r="G1138" t="s">
        <v>12256</v>
      </c>
      <c r="H1138" t="s">
        <v>70</v>
      </c>
      <c r="I1138">
        <v>87908</v>
      </c>
      <c r="K1138" t="s">
        <v>3536</v>
      </c>
      <c r="L1138" t="s">
        <v>256</v>
      </c>
      <c r="M1138">
        <v>95.41</v>
      </c>
      <c r="N1138">
        <v>5.24</v>
      </c>
      <c r="O1138">
        <v>6.4</v>
      </c>
      <c r="P1138">
        <v>610.62</v>
      </c>
    </row>
    <row r="1139" spans="2:16">
      <c r="C1139">
        <v>6</v>
      </c>
      <c r="D1139">
        <v>8</v>
      </c>
      <c r="E1139">
        <v>7</v>
      </c>
      <c r="F1139" t="s">
        <v>11708</v>
      </c>
      <c r="G1139" t="s">
        <v>12257</v>
      </c>
      <c r="H1139" t="s">
        <v>70</v>
      </c>
      <c r="I1139">
        <v>87882</v>
      </c>
      <c r="K1139" t="s">
        <v>18759</v>
      </c>
      <c r="L1139" t="s">
        <v>256</v>
      </c>
      <c r="M1139">
        <v>21.35</v>
      </c>
      <c r="N1139">
        <v>3.45</v>
      </c>
      <c r="O1139">
        <v>4.22</v>
      </c>
      <c r="P1139">
        <v>90.1</v>
      </c>
    </row>
    <row r="1140" spans="2:16">
      <c r="C1140">
        <v>6</v>
      </c>
      <c r="D1140">
        <v>8</v>
      </c>
      <c r="E1140">
        <v>7</v>
      </c>
      <c r="F1140" t="s">
        <v>11708</v>
      </c>
      <c r="G1140" t="s">
        <v>12258</v>
      </c>
      <c r="H1140" t="s">
        <v>70</v>
      </c>
      <c r="I1140">
        <v>87296</v>
      </c>
      <c r="K1140" t="s">
        <v>18965</v>
      </c>
      <c r="L1140" t="s">
        <v>255</v>
      </c>
      <c r="M1140">
        <v>4.7699999999999996</v>
      </c>
      <c r="N1140">
        <v>326.48</v>
      </c>
      <c r="O1140">
        <v>398.93</v>
      </c>
      <c r="P1140">
        <v>1902.9</v>
      </c>
    </row>
    <row r="1141" spans="2:16">
      <c r="C1141">
        <v>6</v>
      </c>
      <c r="D1141">
        <v>8</v>
      </c>
      <c r="E1141">
        <v>7</v>
      </c>
      <c r="F1141" t="s">
        <v>11708</v>
      </c>
      <c r="G1141" t="s">
        <v>12294</v>
      </c>
      <c r="H1141" t="s">
        <v>70</v>
      </c>
      <c r="I1141">
        <v>88487</v>
      </c>
      <c r="K1141" t="s">
        <v>18558</v>
      </c>
      <c r="L1141" t="s">
        <v>256</v>
      </c>
      <c r="M1141">
        <v>54.96</v>
      </c>
      <c r="N1141">
        <v>7.84</v>
      </c>
      <c r="O1141">
        <v>9.58</v>
      </c>
      <c r="P1141">
        <v>526.52</v>
      </c>
    </row>
    <row r="1142" spans="2:16">
      <c r="C1142">
        <v>6</v>
      </c>
      <c r="D1142">
        <v>8</v>
      </c>
      <c r="E1142">
        <v>7</v>
      </c>
      <c r="F1142" t="s">
        <v>11708</v>
      </c>
      <c r="G1142" t="s">
        <v>12259</v>
      </c>
      <c r="H1142" t="s">
        <v>70</v>
      </c>
      <c r="I1142">
        <v>88489</v>
      </c>
      <c r="K1142" t="s">
        <v>870</v>
      </c>
      <c r="L1142" t="s">
        <v>256</v>
      </c>
      <c r="M1142">
        <v>40.46</v>
      </c>
      <c r="N1142">
        <v>9.94</v>
      </c>
      <c r="O1142">
        <v>12.15</v>
      </c>
      <c r="P1142">
        <v>491.59</v>
      </c>
    </row>
    <row r="1143" spans="2:16">
      <c r="C1143">
        <v>6</v>
      </c>
      <c r="D1143">
        <v>8</v>
      </c>
      <c r="E1143">
        <v>7</v>
      </c>
      <c r="F1143" t="s">
        <v>11708</v>
      </c>
      <c r="G1143" t="s">
        <v>12296</v>
      </c>
      <c r="H1143" t="s">
        <v>70</v>
      </c>
      <c r="I1143">
        <v>88486</v>
      </c>
      <c r="K1143" t="s">
        <v>869</v>
      </c>
      <c r="L1143" t="s">
        <v>256</v>
      </c>
      <c r="M1143">
        <v>21.35</v>
      </c>
      <c r="N1143">
        <v>8.77</v>
      </c>
      <c r="O1143">
        <v>10.72</v>
      </c>
      <c r="P1143">
        <v>228.87</v>
      </c>
    </row>
    <row r="1144" spans="2:16">
      <c r="C1144">
        <v>6</v>
      </c>
      <c r="D1144">
        <v>8</v>
      </c>
      <c r="E1144">
        <v>7</v>
      </c>
      <c r="F1144" t="s">
        <v>11708</v>
      </c>
    </row>
    <row r="1145" spans="2:16">
      <c r="C1145">
        <v>6</v>
      </c>
      <c r="D1145">
        <v>8</v>
      </c>
      <c r="E1145">
        <v>7</v>
      </c>
      <c r="F1145" t="s">
        <v>11708</v>
      </c>
      <c r="H1145" t="s">
        <v>20843</v>
      </c>
      <c r="P1145">
        <v>3850.6</v>
      </c>
    </row>
    <row r="1146" spans="2:16">
      <c r="C1146">
        <v>6</v>
      </c>
      <c r="D1146">
        <v>8</v>
      </c>
      <c r="E1146">
        <v>7</v>
      </c>
      <c r="F1146" t="s">
        <v>11708</v>
      </c>
    </row>
    <row r="1147" spans="2:16">
      <c r="B1147">
        <v>1</v>
      </c>
      <c r="C1147">
        <v>6</v>
      </c>
      <c r="D1147">
        <v>8</v>
      </c>
      <c r="E1147">
        <v>8</v>
      </c>
      <c r="F1147" t="s">
        <v>11708</v>
      </c>
      <c r="H1147" t="s">
        <v>11703</v>
      </c>
      <c r="I1147" t="s">
        <v>64</v>
      </c>
      <c r="J1147" s="25" t="s">
        <v>20844</v>
      </c>
      <c r="K1147" t="s">
        <v>20203</v>
      </c>
      <c r="L1147" t="s">
        <v>25</v>
      </c>
      <c r="M1147" t="s">
        <v>11704</v>
      </c>
      <c r="N1147" t="s">
        <v>11705</v>
      </c>
      <c r="O1147" t="s">
        <v>11706</v>
      </c>
      <c r="P1147" t="s">
        <v>27</v>
      </c>
    </row>
    <row r="1148" spans="2:16">
      <c r="C1148">
        <v>6</v>
      </c>
      <c r="D1148">
        <v>8</v>
      </c>
      <c r="E1148">
        <v>8</v>
      </c>
      <c r="F1148" t="s">
        <v>11708</v>
      </c>
    </row>
    <row r="1149" spans="2:16">
      <c r="C1149">
        <v>6</v>
      </c>
      <c r="D1149">
        <v>8</v>
      </c>
      <c r="E1149">
        <v>8</v>
      </c>
      <c r="F1149" t="s">
        <v>11708</v>
      </c>
      <c r="G1149" t="s">
        <v>12260</v>
      </c>
      <c r="H1149" t="s">
        <v>70</v>
      </c>
      <c r="I1149" t="s">
        <v>18613</v>
      </c>
      <c r="K1149" t="s">
        <v>18614</v>
      </c>
      <c r="L1149" t="s">
        <v>256</v>
      </c>
      <c r="M1149">
        <v>18.8</v>
      </c>
      <c r="N1149">
        <v>39.54</v>
      </c>
      <c r="O1149">
        <v>48.31</v>
      </c>
      <c r="P1149">
        <v>908.23</v>
      </c>
    </row>
    <row r="1150" spans="2:16">
      <c r="C1150">
        <v>6</v>
      </c>
      <c r="D1150">
        <v>8</v>
      </c>
      <c r="E1150">
        <v>8</v>
      </c>
      <c r="F1150" t="s">
        <v>11708</v>
      </c>
      <c r="G1150" t="s">
        <v>12261</v>
      </c>
      <c r="H1150" t="s">
        <v>70</v>
      </c>
      <c r="I1150">
        <v>87247</v>
      </c>
      <c r="K1150" t="s">
        <v>18644</v>
      </c>
      <c r="L1150" t="s">
        <v>256</v>
      </c>
      <c r="M1150">
        <v>18.8</v>
      </c>
      <c r="N1150">
        <v>30.85</v>
      </c>
      <c r="O1150">
        <v>37.700000000000003</v>
      </c>
      <c r="P1150">
        <v>708.76</v>
      </c>
    </row>
    <row r="1151" spans="2:16">
      <c r="C1151">
        <v>6</v>
      </c>
      <c r="D1151">
        <v>8</v>
      </c>
      <c r="E1151">
        <v>8</v>
      </c>
      <c r="F1151" t="s">
        <v>11708</v>
      </c>
      <c r="G1151" t="s">
        <v>12262</v>
      </c>
      <c r="H1151" t="s">
        <v>70</v>
      </c>
      <c r="I1151">
        <v>94990</v>
      </c>
      <c r="K1151" t="s">
        <v>18684</v>
      </c>
      <c r="L1151" t="s">
        <v>255</v>
      </c>
      <c r="M1151">
        <v>0.96</v>
      </c>
      <c r="N1151">
        <v>497.55</v>
      </c>
      <c r="O1151">
        <v>607.96</v>
      </c>
      <c r="P1151">
        <v>583.64</v>
      </c>
    </row>
    <row r="1152" spans="2:16">
      <c r="C1152">
        <v>6</v>
      </c>
      <c r="D1152">
        <v>8</v>
      </c>
      <c r="E1152">
        <v>8</v>
      </c>
      <c r="F1152" t="s">
        <v>11708</v>
      </c>
      <c r="G1152" t="s">
        <v>12263</v>
      </c>
      <c r="H1152" t="s">
        <v>70</v>
      </c>
      <c r="I1152">
        <v>20231</v>
      </c>
      <c r="K1152" t="s">
        <v>19716</v>
      </c>
      <c r="L1152" t="s">
        <v>71</v>
      </c>
      <c r="M1152">
        <v>19.75</v>
      </c>
      <c r="N1152">
        <v>23.81</v>
      </c>
      <c r="O1152">
        <v>29.09</v>
      </c>
      <c r="P1152">
        <v>574.53</v>
      </c>
    </row>
    <row r="1153" spans="2:16">
      <c r="C1153">
        <v>6</v>
      </c>
      <c r="D1153">
        <v>8</v>
      </c>
      <c r="E1153">
        <v>8</v>
      </c>
      <c r="F1153" t="s">
        <v>11708</v>
      </c>
      <c r="G1153" t="s">
        <v>12264</v>
      </c>
      <c r="H1153" t="s">
        <v>70</v>
      </c>
      <c r="I1153">
        <v>20232</v>
      </c>
      <c r="K1153" t="s">
        <v>19723</v>
      </c>
      <c r="L1153" t="s">
        <v>71</v>
      </c>
      <c r="M1153">
        <v>0.8</v>
      </c>
      <c r="N1153">
        <v>33.71</v>
      </c>
      <c r="O1153">
        <v>41.19</v>
      </c>
      <c r="P1153">
        <v>32.950000000000003</v>
      </c>
    </row>
    <row r="1154" spans="2:16">
      <c r="C1154">
        <v>6</v>
      </c>
      <c r="D1154">
        <v>8</v>
      </c>
      <c r="E1154">
        <v>8</v>
      </c>
      <c r="F1154" t="s">
        <v>11708</v>
      </c>
    </row>
    <row r="1155" spans="2:16">
      <c r="C1155">
        <v>6</v>
      </c>
      <c r="D1155">
        <v>8</v>
      </c>
      <c r="E1155">
        <v>8</v>
      </c>
      <c r="F1155" t="s">
        <v>11708</v>
      </c>
      <c r="H1155" t="s">
        <v>20845</v>
      </c>
      <c r="P1155">
        <v>2808.1099999999997</v>
      </c>
    </row>
    <row r="1156" spans="2:16">
      <c r="C1156">
        <v>6</v>
      </c>
      <c r="D1156">
        <v>8</v>
      </c>
      <c r="E1156">
        <v>8</v>
      </c>
      <c r="F1156" t="s">
        <v>11708</v>
      </c>
    </row>
    <row r="1157" spans="2:16">
      <c r="B1157">
        <v>1</v>
      </c>
      <c r="C1157">
        <v>6</v>
      </c>
      <c r="D1157">
        <v>8</v>
      </c>
      <c r="E1157">
        <v>9</v>
      </c>
      <c r="F1157" t="s">
        <v>11708</v>
      </c>
      <c r="H1157" t="s">
        <v>11703</v>
      </c>
      <c r="I1157" t="s">
        <v>64</v>
      </c>
      <c r="J1157" s="25" t="s">
        <v>20846</v>
      </c>
      <c r="K1157" t="s">
        <v>11738</v>
      </c>
      <c r="L1157" t="s">
        <v>25</v>
      </c>
      <c r="M1157" t="s">
        <v>11704</v>
      </c>
      <c r="N1157" t="s">
        <v>11705</v>
      </c>
      <c r="O1157" t="s">
        <v>11706</v>
      </c>
      <c r="P1157" t="s">
        <v>27</v>
      </c>
    </row>
    <row r="1158" spans="2:16">
      <c r="C1158">
        <v>6</v>
      </c>
      <c r="D1158">
        <v>8</v>
      </c>
      <c r="E1158">
        <v>9</v>
      </c>
      <c r="F1158" t="s">
        <v>11708</v>
      </c>
    </row>
    <row r="1159" spans="2:16">
      <c r="C1159">
        <v>6</v>
      </c>
      <c r="D1159">
        <v>8</v>
      </c>
      <c r="E1159">
        <v>9</v>
      </c>
      <c r="F1159" t="s">
        <v>11708</v>
      </c>
      <c r="G1159" t="s">
        <v>12265</v>
      </c>
      <c r="H1159" t="s">
        <v>10852</v>
      </c>
      <c r="I1159">
        <v>409</v>
      </c>
      <c r="K1159" t="s">
        <v>19925</v>
      </c>
      <c r="L1159" t="s">
        <v>256</v>
      </c>
      <c r="M1159">
        <v>18.2</v>
      </c>
      <c r="N1159">
        <v>27.62</v>
      </c>
      <c r="O1159">
        <v>33.75</v>
      </c>
      <c r="P1159">
        <v>614.25</v>
      </c>
    </row>
    <row r="1160" spans="2:16">
      <c r="C1160">
        <v>6</v>
      </c>
      <c r="D1160">
        <v>8</v>
      </c>
      <c r="E1160">
        <v>9</v>
      </c>
      <c r="F1160" t="s">
        <v>11708</v>
      </c>
      <c r="G1160" t="s">
        <v>12266</v>
      </c>
      <c r="H1160" t="s">
        <v>70</v>
      </c>
      <c r="I1160">
        <v>92580</v>
      </c>
      <c r="K1160" t="s">
        <v>15703</v>
      </c>
      <c r="L1160" t="s">
        <v>256</v>
      </c>
      <c r="M1160">
        <v>18.2</v>
      </c>
      <c r="N1160">
        <v>26.83</v>
      </c>
      <c r="O1160">
        <v>32.78</v>
      </c>
      <c r="P1160">
        <v>596.6</v>
      </c>
    </row>
    <row r="1161" spans="2:16">
      <c r="C1161">
        <v>6</v>
      </c>
      <c r="D1161">
        <v>8</v>
      </c>
      <c r="E1161">
        <v>9</v>
      </c>
      <c r="F1161" t="s">
        <v>11708</v>
      </c>
      <c r="G1161" t="s">
        <v>12267</v>
      </c>
      <c r="H1161" t="s">
        <v>70</v>
      </c>
      <c r="I1161">
        <v>1109</v>
      </c>
      <c r="K1161" t="s">
        <v>3165</v>
      </c>
      <c r="L1161" t="s">
        <v>71</v>
      </c>
      <c r="M1161">
        <v>7</v>
      </c>
      <c r="N1161">
        <v>18.149999999999999</v>
      </c>
      <c r="O1161">
        <v>22.18</v>
      </c>
      <c r="P1161">
        <v>155.26</v>
      </c>
    </row>
    <row r="1162" spans="2:16">
      <c r="C1162">
        <v>6</v>
      </c>
      <c r="D1162">
        <v>8</v>
      </c>
      <c r="E1162">
        <v>9</v>
      </c>
      <c r="F1162" t="s">
        <v>11708</v>
      </c>
      <c r="G1162" t="s">
        <v>12268</v>
      </c>
      <c r="H1162" t="s">
        <v>70</v>
      </c>
      <c r="I1162">
        <v>7219</v>
      </c>
      <c r="K1162" t="s">
        <v>4248</v>
      </c>
      <c r="L1162" t="s">
        <v>65</v>
      </c>
      <c r="M1162">
        <v>7</v>
      </c>
      <c r="N1162">
        <v>24.58</v>
      </c>
      <c r="O1162">
        <v>30.03</v>
      </c>
      <c r="P1162">
        <v>210.21</v>
      </c>
    </row>
    <row r="1163" spans="2:16">
      <c r="C1163">
        <v>6</v>
      </c>
      <c r="D1163">
        <v>8</v>
      </c>
      <c r="E1163">
        <v>9</v>
      </c>
      <c r="F1163" t="s">
        <v>11708</v>
      </c>
      <c r="G1163" t="s">
        <v>12269</v>
      </c>
      <c r="H1163" t="s">
        <v>70</v>
      </c>
      <c r="I1163">
        <v>1113</v>
      </c>
      <c r="K1163" t="s">
        <v>11516</v>
      </c>
      <c r="L1163" t="s">
        <v>71</v>
      </c>
      <c r="M1163">
        <v>12.5</v>
      </c>
      <c r="N1163">
        <v>18.149999999999999</v>
      </c>
      <c r="O1163">
        <v>22.18</v>
      </c>
      <c r="P1163">
        <v>277.25</v>
      </c>
    </row>
    <row r="1164" spans="2:16">
      <c r="C1164">
        <v>6</v>
      </c>
      <c r="D1164">
        <v>8</v>
      </c>
      <c r="E1164">
        <v>9</v>
      </c>
      <c r="F1164" t="s">
        <v>11708</v>
      </c>
      <c r="G1164" t="s">
        <v>12270</v>
      </c>
      <c r="H1164" t="s">
        <v>70</v>
      </c>
      <c r="I1164">
        <v>73549</v>
      </c>
      <c r="K1164" t="s">
        <v>2071</v>
      </c>
      <c r="L1164" t="s">
        <v>255</v>
      </c>
      <c r="M1164">
        <v>0.19</v>
      </c>
      <c r="N1164">
        <v>452.96</v>
      </c>
      <c r="O1164">
        <v>553.47</v>
      </c>
      <c r="P1164">
        <v>105.16</v>
      </c>
    </row>
    <row r="1165" spans="2:16">
      <c r="C1165">
        <v>6</v>
      </c>
      <c r="D1165">
        <v>8</v>
      </c>
      <c r="E1165">
        <v>9</v>
      </c>
      <c r="F1165" t="s">
        <v>11708</v>
      </c>
    </row>
    <row r="1166" spans="2:16">
      <c r="C1166">
        <v>6</v>
      </c>
      <c r="D1166">
        <v>8</v>
      </c>
      <c r="E1166">
        <v>9</v>
      </c>
      <c r="F1166" t="s">
        <v>11708</v>
      </c>
      <c r="H1166" t="s">
        <v>20847</v>
      </c>
      <c r="P1166">
        <v>1958.73</v>
      </c>
    </row>
    <row r="1167" spans="2:16">
      <c r="C1167">
        <v>6</v>
      </c>
      <c r="D1167">
        <v>8</v>
      </c>
      <c r="E1167">
        <v>9</v>
      </c>
      <c r="F1167" t="s">
        <v>11708</v>
      </c>
    </row>
    <row r="1168" spans="2:16">
      <c r="B1168">
        <v>1</v>
      </c>
      <c r="C1168">
        <v>6</v>
      </c>
      <c r="D1168">
        <v>8</v>
      </c>
      <c r="E1168">
        <v>10</v>
      </c>
      <c r="F1168" t="s">
        <v>11708</v>
      </c>
      <c r="H1168" t="s">
        <v>11703</v>
      </c>
      <c r="I1168" t="s">
        <v>64</v>
      </c>
      <c r="J1168" s="25" t="s">
        <v>20848</v>
      </c>
      <c r="K1168" t="s">
        <v>11738</v>
      </c>
      <c r="L1168" t="s">
        <v>25</v>
      </c>
      <c r="M1168" t="s">
        <v>11704</v>
      </c>
      <c r="N1168" t="s">
        <v>11705</v>
      </c>
      <c r="O1168" t="s">
        <v>11706</v>
      </c>
      <c r="P1168" t="s">
        <v>27</v>
      </c>
    </row>
    <row r="1169" spans="1:16">
      <c r="C1169">
        <v>6</v>
      </c>
      <c r="D1169">
        <v>8</v>
      </c>
      <c r="E1169">
        <v>10</v>
      </c>
      <c r="F1169" t="s">
        <v>11708</v>
      </c>
    </row>
    <row r="1170" spans="1:16">
      <c r="C1170">
        <v>6</v>
      </c>
      <c r="D1170">
        <v>8</v>
      </c>
      <c r="E1170">
        <v>10</v>
      </c>
      <c r="F1170" t="s">
        <v>11708</v>
      </c>
      <c r="G1170" t="s">
        <v>12271</v>
      </c>
      <c r="H1170" t="s">
        <v>70</v>
      </c>
      <c r="I1170">
        <v>11795</v>
      </c>
      <c r="K1170" t="s">
        <v>19573</v>
      </c>
      <c r="L1170" t="s">
        <v>256</v>
      </c>
      <c r="M1170">
        <v>2.25</v>
      </c>
      <c r="N1170">
        <v>241.5</v>
      </c>
      <c r="O1170">
        <v>295.08999999999997</v>
      </c>
      <c r="P1170">
        <v>663.95</v>
      </c>
    </row>
    <row r="1171" spans="1:16">
      <c r="C1171">
        <v>6</v>
      </c>
      <c r="D1171">
        <v>8</v>
      </c>
      <c r="E1171">
        <v>10</v>
      </c>
      <c r="F1171" t="s">
        <v>11708</v>
      </c>
      <c r="G1171" t="s">
        <v>12298</v>
      </c>
      <c r="H1171" t="s">
        <v>11722</v>
      </c>
      <c r="I1171" t="s">
        <v>20518</v>
      </c>
      <c r="K1171" t="s">
        <v>20519</v>
      </c>
      <c r="L1171" t="s">
        <v>14339</v>
      </c>
      <c r="M1171">
        <v>1</v>
      </c>
      <c r="N1171">
        <v>576.86</v>
      </c>
      <c r="O1171">
        <v>704.87</v>
      </c>
      <c r="P1171">
        <v>704.87</v>
      </c>
    </row>
    <row r="1172" spans="1:16">
      <c r="C1172">
        <v>6</v>
      </c>
      <c r="D1172">
        <v>8</v>
      </c>
      <c r="E1172">
        <v>10</v>
      </c>
      <c r="F1172" t="s">
        <v>11708</v>
      </c>
      <c r="G1172" t="s">
        <v>14343</v>
      </c>
      <c r="H1172" t="s">
        <v>70</v>
      </c>
      <c r="I1172">
        <v>9537</v>
      </c>
      <c r="K1172" t="s">
        <v>966</v>
      </c>
      <c r="L1172" t="s">
        <v>256</v>
      </c>
      <c r="M1172">
        <v>46.54</v>
      </c>
      <c r="N1172">
        <v>2.02</v>
      </c>
      <c r="O1172">
        <v>2.4700000000000002</v>
      </c>
      <c r="P1172">
        <v>114.95</v>
      </c>
    </row>
    <row r="1173" spans="1:16">
      <c r="C1173">
        <v>6</v>
      </c>
      <c r="D1173">
        <v>8</v>
      </c>
      <c r="E1173">
        <v>10</v>
      </c>
      <c r="F1173" t="s">
        <v>11708</v>
      </c>
    </row>
    <row r="1174" spans="1:16">
      <c r="C1174">
        <v>6</v>
      </c>
      <c r="D1174">
        <v>8</v>
      </c>
      <c r="E1174">
        <v>10</v>
      </c>
      <c r="F1174" t="s">
        <v>11708</v>
      </c>
      <c r="H1174" t="s">
        <v>20849</v>
      </c>
      <c r="P1174">
        <v>1483.7700000000002</v>
      </c>
    </row>
    <row r="1175" spans="1:16">
      <c r="C1175">
        <v>6</v>
      </c>
      <c r="D1175">
        <v>8</v>
      </c>
      <c r="E1175">
        <v>10</v>
      </c>
      <c r="F1175" t="s">
        <v>11708</v>
      </c>
    </row>
    <row r="1176" spans="1:16">
      <c r="A1176">
        <v>1</v>
      </c>
      <c r="C1176">
        <v>6</v>
      </c>
      <c r="D1176">
        <v>9</v>
      </c>
      <c r="E1176">
        <v>0</v>
      </c>
      <c r="F1176" t="s">
        <v>11708</v>
      </c>
      <c r="H1176" t="s">
        <v>20850</v>
      </c>
      <c r="I1176" t="s">
        <v>13357</v>
      </c>
      <c r="O1176" t="s">
        <v>11702</v>
      </c>
      <c r="P1176">
        <v>81607.399999999994</v>
      </c>
    </row>
    <row r="1177" spans="1:16">
      <c r="C1177">
        <v>6</v>
      </c>
      <c r="D1177">
        <v>9</v>
      </c>
      <c r="E1177">
        <v>0</v>
      </c>
      <c r="F1177" t="s">
        <v>11708</v>
      </c>
    </row>
    <row r="1178" spans="1:16">
      <c r="B1178">
        <v>1</v>
      </c>
      <c r="C1178">
        <v>6</v>
      </c>
      <c r="D1178">
        <v>9</v>
      </c>
      <c r="E1178">
        <v>1</v>
      </c>
      <c r="F1178" t="s">
        <v>11708</v>
      </c>
      <c r="H1178" t="s">
        <v>11703</v>
      </c>
      <c r="I1178" t="s">
        <v>64</v>
      </c>
      <c r="J1178" s="25" t="s">
        <v>20851</v>
      </c>
      <c r="K1178" t="s">
        <v>1225</v>
      </c>
      <c r="L1178" t="s">
        <v>25</v>
      </c>
      <c r="M1178" t="s">
        <v>11704</v>
      </c>
      <c r="N1178" t="s">
        <v>11705</v>
      </c>
      <c r="O1178" t="s">
        <v>11706</v>
      </c>
      <c r="P1178" t="s">
        <v>27</v>
      </c>
    </row>
    <row r="1179" spans="1:16">
      <c r="C1179">
        <v>6</v>
      </c>
      <c r="D1179">
        <v>9</v>
      </c>
      <c r="E1179">
        <v>1</v>
      </c>
      <c r="F1179" t="s">
        <v>11708</v>
      </c>
    </row>
    <row r="1180" spans="1:16">
      <c r="C1180">
        <v>6</v>
      </c>
      <c r="D1180">
        <v>9</v>
      </c>
      <c r="E1180">
        <v>1</v>
      </c>
      <c r="F1180" t="s">
        <v>11708</v>
      </c>
      <c r="G1180" t="s">
        <v>20483</v>
      </c>
      <c r="H1180" t="s">
        <v>70</v>
      </c>
      <c r="I1180">
        <v>92452</v>
      </c>
      <c r="K1180" t="s">
        <v>16271</v>
      </c>
      <c r="L1180" t="s">
        <v>256</v>
      </c>
      <c r="M1180">
        <v>41.96</v>
      </c>
      <c r="N1180">
        <v>88.86</v>
      </c>
      <c r="O1180">
        <v>108.58</v>
      </c>
      <c r="P1180">
        <v>4556.0200000000004</v>
      </c>
    </row>
    <row r="1181" spans="1:16">
      <c r="C1181">
        <v>6</v>
      </c>
      <c r="D1181">
        <v>9</v>
      </c>
      <c r="E1181">
        <v>1</v>
      </c>
      <c r="F1181" t="s">
        <v>11708</v>
      </c>
      <c r="G1181" t="s">
        <v>20484</v>
      </c>
      <c r="H1181" t="s">
        <v>70</v>
      </c>
      <c r="I1181">
        <v>92510</v>
      </c>
      <c r="K1181" t="s">
        <v>16326</v>
      </c>
      <c r="L1181" t="s">
        <v>256</v>
      </c>
      <c r="M1181">
        <v>69.19</v>
      </c>
      <c r="N1181">
        <v>27.47</v>
      </c>
      <c r="O1181">
        <v>33.57</v>
      </c>
      <c r="P1181">
        <v>2322.71</v>
      </c>
    </row>
    <row r="1182" spans="1:16">
      <c r="C1182">
        <v>6</v>
      </c>
      <c r="D1182">
        <v>9</v>
      </c>
      <c r="E1182">
        <v>1</v>
      </c>
      <c r="F1182" t="s">
        <v>11708</v>
      </c>
      <c r="G1182" t="s">
        <v>12122</v>
      </c>
      <c r="H1182" t="s">
        <v>70</v>
      </c>
      <c r="I1182">
        <v>34493</v>
      </c>
      <c r="K1182" t="s">
        <v>3781</v>
      </c>
      <c r="L1182" t="s">
        <v>255</v>
      </c>
      <c r="M1182">
        <v>8.8000000000000007</v>
      </c>
      <c r="N1182">
        <v>238.87</v>
      </c>
      <c r="O1182">
        <v>291.88</v>
      </c>
      <c r="P1182">
        <v>2568.54</v>
      </c>
    </row>
    <row r="1183" spans="1:16">
      <c r="C1183">
        <v>6</v>
      </c>
      <c r="D1183">
        <v>9</v>
      </c>
      <c r="E1183">
        <v>1</v>
      </c>
      <c r="F1183" t="s">
        <v>11708</v>
      </c>
      <c r="G1183" t="s">
        <v>20487</v>
      </c>
      <c r="H1183" t="s">
        <v>70</v>
      </c>
      <c r="I1183">
        <v>92874</v>
      </c>
      <c r="K1183" t="s">
        <v>16528</v>
      </c>
      <c r="L1183" t="s">
        <v>255</v>
      </c>
      <c r="M1183">
        <v>8.8000000000000007</v>
      </c>
      <c r="N1183">
        <v>23.46</v>
      </c>
      <c r="O1183">
        <v>28.67</v>
      </c>
      <c r="P1183">
        <v>252.3</v>
      </c>
    </row>
    <row r="1184" spans="1:16">
      <c r="C1184">
        <v>6</v>
      </c>
      <c r="D1184">
        <v>9</v>
      </c>
      <c r="E1184">
        <v>1</v>
      </c>
      <c r="F1184" t="s">
        <v>11708</v>
      </c>
      <c r="G1184" t="s">
        <v>20473</v>
      </c>
      <c r="H1184" t="s">
        <v>70</v>
      </c>
      <c r="I1184">
        <v>92915</v>
      </c>
      <c r="K1184" t="s">
        <v>16452</v>
      </c>
      <c r="L1184" t="s">
        <v>90</v>
      </c>
      <c r="M1184">
        <v>45.21</v>
      </c>
      <c r="N1184">
        <v>12.53</v>
      </c>
      <c r="O1184">
        <v>15.31</v>
      </c>
      <c r="P1184">
        <v>692.17</v>
      </c>
    </row>
    <row r="1185" spans="2:16">
      <c r="C1185">
        <v>6</v>
      </c>
      <c r="D1185">
        <v>9</v>
      </c>
      <c r="E1185">
        <v>1</v>
      </c>
      <c r="F1185" t="s">
        <v>11708</v>
      </c>
      <c r="G1185" t="s">
        <v>20474</v>
      </c>
      <c r="H1185" t="s">
        <v>70</v>
      </c>
      <c r="I1185">
        <v>92916</v>
      </c>
      <c r="K1185" t="s">
        <v>16453</v>
      </c>
      <c r="L1185" t="s">
        <v>90</v>
      </c>
      <c r="M1185">
        <v>324.14</v>
      </c>
      <c r="N1185">
        <v>11.46</v>
      </c>
      <c r="O1185">
        <v>14</v>
      </c>
      <c r="P1185">
        <v>4537.96</v>
      </c>
    </row>
    <row r="1186" spans="2:16">
      <c r="C1186">
        <v>6</v>
      </c>
      <c r="D1186">
        <v>9</v>
      </c>
      <c r="E1186">
        <v>1</v>
      </c>
      <c r="F1186" t="s">
        <v>11708</v>
      </c>
      <c r="G1186" t="s">
        <v>20475</v>
      </c>
      <c r="H1186" t="s">
        <v>70</v>
      </c>
      <c r="I1186">
        <v>92917</v>
      </c>
      <c r="K1186" t="s">
        <v>16454</v>
      </c>
      <c r="L1186" t="s">
        <v>90</v>
      </c>
      <c r="M1186">
        <v>26.38</v>
      </c>
      <c r="N1186">
        <v>11</v>
      </c>
      <c r="O1186">
        <v>13.44</v>
      </c>
      <c r="P1186">
        <v>354.55</v>
      </c>
    </row>
    <row r="1187" spans="2:16">
      <c r="C1187">
        <v>6</v>
      </c>
      <c r="D1187">
        <v>9</v>
      </c>
      <c r="E1187">
        <v>1</v>
      </c>
      <c r="F1187" t="s">
        <v>11708</v>
      </c>
      <c r="G1187" t="s">
        <v>20476</v>
      </c>
      <c r="H1187" t="s">
        <v>70</v>
      </c>
      <c r="I1187">
        <v>92919</v>
      </c>
      <c r="K1187" t="s">
        <v>16455</v>
      </c>
      <c r="L1187" t="s">
        <v>90</v>
      </c>
      <c r="M1187">
        <v>45.53</v>
      </c>
      <c r="N1187">
        <v>8.93</v>
      </c>
      <c r="O1187">
        <v>10.91</v>
      </c>
      <c r="P1187">
        <v>496.73</v>
      </c>
    </row>
    <row r="1188" spans="2:16">
      <c r="C1188">
        <v>6</v>
      </c>
      <c r="D1188">
        <v>9</v>
      </c>
      <c r="E1188">
        <v>1</v>
      </c>
      <c r="F1188" t="s">
        <v>11708</v>
      </c>
      <c r="G1188" t="s">
        <v>20486</v>
      </c>
      <c r="H1188" t="s">
        <v>70</v>
      </c>
      <c r="I1188">
        <v>92921</v>
      </c>
      <c r="K1188" t="s">
        <v>16456</v>
      </c>
      <c r="L1188" t="s">
        <v>90</v>
      </c>
      <c r="M1188">
        <v>26.46</v>
      </c>
      <c r="N1188">
        <v>7.43</v>
      </c>
      <c r="O1188">
        <v>9.08</v>
      </c>
      <c r="P1188">
        <v>240.26</v>
      </c>
    </row>
    <row r="1189" spans="2:16">
      <c r="C1189">
        <v>6</v>
      </c>
      <c r="D1189">
        <v>9</v>
      </c>
      <c r="E1189">
        <v>1</v>
      </c>
      <c r="F1189" t="s">
        <v>11708</v>
      </c>
      <c r="G1189" t="s">
        <v>12123</v>
      </c>
      <c r="H1189" t="s">
        <v>70</v>
      </c>
      <c r="I1189" t="s">
        <v>19257</v>
      </c>
      <c r="K1189" t="s">
        <v>5042</v>
      </c>
      <c r="L1189" t="s">
        <v>65</v>
      </c>
      <c r="M1189">
        <v>1</v>
      </c>
      <c r="N1189">
        <v>83.42</v>
      </c>
      <c r="O1189">
        <v>101.93</v>
      </c>
      <c r="P1189">
        <v>101.93</v>
      </c>
    </row>
    <row r="1190" spans="2:16">
      <c r="C1190">
        <v>6</v>
      </c>
      <c r="D1190">
        <v>9</v>
      </c>
      <c r="E1190">
        <v>1</v>
      </c>
      <c r="F1190" t="s">
        <v>11708</v>
      </c>
    </row>
    <row r="1191" spans="2:16">
      <c r="C1191">
        <v>6</v>
      </c>
      <c r="D1191">
        <v>9</v>
      </c>
      <c r="E1191">
        <v>1</v>
      </c>
      <c r="F1191" t="s">
        <v>11708</v>
      </c>
      <c r="H1191" t="s">
        <v>20852</v>
      </c>
      <c r="P1191">
        <v>16123.17</v>
      </c>
    </row>
    <row r="1192" spans="2:16">
      <c r="C1192">
        <v>6</v>
      </c>
      <c r="D1192">
        <v>9</v>
      </c>
      <c r="E1192">
        <v>1</v>
      </c>
      <c r="F1192" t="s">
        <v>11708</v>
      </c>
    </row>
    <row r="1193" spans="2:16">
      <c r="B1193">
        <v>1</v>
      </c>
      <c r="C1193">
        <v>6</v>
      </c>
      <c r="D1193">
        <v>9</v>
      </c>
      <c r="E1193">
        <v>2</v>
      </c>
      <c r="F1193" t="s">
        <v>11708</v>
      </c>
      <c r="H1193" t="s">
        <v>11703</v>
      </c>
      <c r="I1193" t="s">
        <v>64</v>
      </c>
      <c r="J1193" s="25" t="s">
        <v>20853</v>
      </c>
      <c r="K1193" t="s">
        <v>11717</v>
      </c>
      <c r="L1193" t="s">
        <v>25</v>
      </c>
      <c r="M1193" t="s">
        <v>11704</v>
      </c>
      <c r="N1193" t="s">
        <v>11705</v>
      </c>
      <c r="O1193" t="s">
        <v>11706</v>
      </c>
      <c r="P1193" t="s">
        <v>27</v>
      </c>
    </row>
    <row r="1194" spans="2:16">
      <c r="C1194">
        <v>6</v>
      </c>
      <c r="D1194">
        <v>9</v>
      </c>
      <c r="E1194">
        <v>2</v>
      </c>
      <c r="F1194" t="s">
        <v>11708</v>
      </c>
    </row>
    <row r="1195" spans="2:16">
      <c r="C1195">
        <v>6</v>
      </c>
      <c r="D1195">
        <v>9</v>
      </c>
      <c r="E1195">
        <v>2</v>
      </c>
      <c r="F1195" t="s">
        <v>11708</v>
      </c>
      <c r="G1195" t="s">
        <v>12152</v>
      </c>
      <c r="H1195" t="s">
        <v>70</v>
      </c>
      <c r="I1195">
        <v>91341</v>
      </c>
      <c r="K1195" t="s">
        <v>16129</v>
      </c>
      <c r="L1195" t="s">
        <v>256</v>
      </c>
      <c r="M1195">
        <v>4.42</v>
      </c>
      <c r="N1195">
        <v>664.34</v>
      </c>
      <c r="O1195">
        <v>811.76</v>
      </c>
      <c r="P1195">
        <v>3587.98</v>
      </c>
    </row>
    <row r="1196" spans="2:16">
      <c r="C1196">
        <v>6</v>
      </c>
      <c r="D1196">
        <v>9</v>
      </c>
      <c r="E1196">
        <v>2</v>
      </c>
      <c r="F1196" t="s">
        <v>11708</v>
      </c>
      <c r="G1196" t="s">
        <v>12124</v>
      </c>
      <c r="H1196" t="s">
        <v>70</v>
      </c>
      <c r="I1196">
        <v>91011</v>
      </c>
      <c r="K1196" t="s">
        <v>16058</v>
      </c>
      <c r="L1196" t="s">
        <v>65</v>
      </c>
      <c r="M1196">
        <v>2</v>
      </c>
      <c r="N1196">
        <v>294.48</v>
      </c>
      <c r="O1196">
        <v>359.83</v>
      </c>
      <c r="P1196">
        <v>719.66</v>
      </c>
    </row>
    <row r="1197" spans="2:16">
      <c r="C1197">
        <v>6</v>
      </c>
      <c r="D1197">
        <v>9</v>
      </c>
      <c r="E1197">
        <v>2</v>
      </c>
      <c r="F1197" t="s">
        <v>11708</v>
      </c>
      <c r="G1197" t="s">
        <v>12160</v>
      </c>
      <c r="H1197" t="s">
        <v>70</v>
      </c>
      <c r="I1197">
        <v>91009</v>
      </c>
      <c r="K1197" t="s">
        <v>16056</v>
      </c>
      <c r="L1197" t="s">
        <v>65</v>
      </c>
      <c r="M1197">
        <v>1</v>
      </c>
      <c r="N1197">
        <v>259.57</v>
      </c>
      <c r="O1197">
        <v>317.17</v>
      </c>
      <c r="P1197">
        <v>317.17</v>
      </c>
    </row>
    <row r="1198" spans="2:16">
      <c r="C1198">
        <v>6</v>
      </c>
      <c r="D1198">
        <v>9</v>
      </c>
      <c r="E1198">
        <v>2</v>
      </c>
      <c r="F1198" t="s">
        <v>11708</v>
      </c>
      <c r="G1198" t="s">
        <v>12161</v>
      </c>
      <c r="H1198" t="s">
        <v>70</v>
      </c>
      <c r="I1198" t="s">
        <v>16108</v>
      </c>
      <c r="K1198" t="s">
        <v>16109</v>
      </c>
      <c r="L1198" t="s">
        <v>256</v>
      </c>
      <c r="M1198">
        <v>10.050000000000001</v>
      </c>
      <c r="N1198">
        <v>406.27</v>
      </c>
      <c r="O1198">
        <v>496.42</v>
      </c>
      <c r="P1198">
        <v>4989.0200000000004</v>
      </c>
    </row>
    <row r="1199" spans="2:16">
      <c r="C1199">
        <v>6</v>
      </c>
      <c r="D1199">
        <v>9</v>
      </c>
      <c r="E1199">
        <v>2</v>
      </c>
      <c r="F1199" t="s">
        <v>11708</v>
      </c>
      <c r="G1199" t="s">
        <v>12162</v>
      </c>
      <c r="H1199" t="s">
        <v>70</v>
      </c>
      <c r="I1199">
        <v>93188</v>
      </c>
      <c r="K1199" t="s">
        <v>16561</v>
      </c>
      <c r="L1199" t="s">
        <v>71</v>
      </c>
      <c r="M1199">
        <v>8.61</v>
      </c>
      <c r="N1199">
        <v>41.96</v>
      </c>
      <c r="O1199">
        <v>51.27</v>
      </c>
      <c r="P1199">
        <v>441.43</v>
      </c>
    </row>
    <row r="1200" spans="2:16">
      <c r="C1200">
        <v>6</v>
      </c>
      <c r="D1200">
        <v>9</v>
      </c>
      <c r="E1200">
        <v>2</v>
      </c>
      <c r="F1200" t="s">
        <v>11708</v>
      </c>
      <c r="G1200" t="s">
        <v>12163</v>
      </c>
      <c r="H1200" t="s">
        <v>70</v>
      </c>
      <c r="I1200">
        <v>93196</v>
      </c>
      <c r="K1200" t="s">
        <v>16569</v>
      </c>
      <c r="L1200" t="s">
        <v>71</v>
      </c>
      <c r="M1200">
        <v>8.61</v>
      </c>
      <c r="N1200">
        <v>42.28</v>
      </c>
      <c r="O1200">
        <v>51.66</v>
      </c>
      <c r="P1200">
        <v>444.79</v>
      </c>
    </row>
    <row r="1201" spans="2:16">
      <c r="C1201">
        <v>6</v>
      </c>
      <c r="D1201">
        <v>9</v>
      </c>
      <c r="E1201">
        <v>2</v>
      </c>
      <c r="F1201" t="s">
        <v>11708</v>
      </c>
      <c r="G1201" t="s">
        <v>12276</v>
      </c>
      <c r="H1201" t="s">
        <v>70</v>
      </c>
      <c r="I1201">
        <v>94570</v>
      </c>
      <c r="K1201" t="s">
        <v>16157</v>
      </c>
      <c r="L1201" t="s">
        <v>256</v>
      </c>
      <c r="M1201">
        <v>5.12</v>
      </c>
      <c r="N1201">
        <v>419.64</v>
      </c>
      <c r="O1201">
        <v>512.76</v>
      </c>
      <c r="P1201">
        <v>2625.33</v>
      </c>
    </row>
    <row r="1202" spans="2:16">
      <c r="C1202">
        <v>6</v>
      </c>
      <c r="D1202">
        <v>9</v>
      </c>
      <c r="E1202">
        <v>2</v>
      </c>
      <c r="F1202" t="s">
        <v>11708</v>
      </c>
      <c r="G1202" t="s">
        <v>12277</v>
      </c>
      <c r="H1202" t="s">
        <v>70</v>
      </c>
      <c r="I1202">
        <v>94574</v>
      </c>
      <c r="K1202" t="s">
        <v>16160</v>
      </c>
      <c r="L1202" t="s">
        <v>256</v>
      </c>
      <c r="M1202">
        <v>2.88</v>
      </c>
      <c r="N1202">
        <v>619.80999999999995</v>
      </c>
      <c r="O1202">
        <v>757.35</v>
      </c>
      <c r="P1202">
        <v>2181.17</v>
      </c>
    </row>
    <row r="1203" spans="2:16">
      <c r="C1203">
        <v>6</v>
      </c>
      <c r="D1203">
        <v>9</v>
      </c>
      <c r="E1203">
        <v>2</v>
      </c>
      <c r="F1203" t="s">
        <v>11708</v>
      </c>
      <c r="G1203" t="s">
        <v>12279</v>
      </c>
      <c r="H1203" t="s">
        <v>70</v>
      </c>
      <c r="I1203">
        <v>93186</v>
      </c>
      <c r="K1203" t="s">
        <v>16559</v>
      </c>
      <c r="L1203" t="s">
        <v>71</v>
      </c>
      <c r="M1203">
        <v>4.8</v>
      </c>
      <c r="N1203">
        <v>43.96</v>
      </c>
      <c r="O1203">
        <v>53.71</v>
      </c>
      <c r="P1203">
        <v>257.81</v>
      </c>
    </row>
    <row r="1204" spans="2:16">
      <c r="C1204">
        <v>6</v>
      </c>
      <c r="D1204">
        <v>9</v>
      </c>
      <c r="E1204">
        <v>2</v>
      </c>
      <c r="F1204" t="s">
        <v>11708</v>
      </c>
      <c r="G1204" t="s">
        <v>12280</v>
      </c>
      <c r="H1204" t="s">
        <v>70</v>
      </c>
      <c r="I1204">
        <v>93187</v>
      </c>
      <c r="K1204" t="s">
        <v>16560</v>
      </c>
      <c r="L1204" t="s">
        <v>71</v>
      </c>
      <c r="M1204">
        <v>3.2</v>
      </c>
      <c r="N1204">
        <v>50.6</v>
      </c>
      <c r="O1204">
        <v>61.83</v>
      </c>
      <c r="P1204">
        <v>197.86</v>
      </c>
    </row>
    <row r="1205" spans="2:16">
      <c r="C1205">
        <v>6</v>
      </c>
      <c r="D1205">
        <v>9</v>
      </c>
      <c r="E1205">
        <v>2</v>
      </c>
      <c r="F1205" t="s">
        <v>11708</v>
      </c>
      <c r="G1205" t="s">
        <v>12278</v>
      </c>
      <c r="H1205" t="s">
        <v>70</v>
      </c>
      <c r="I1205">
        <v>93196</v>
      </c>
      <c r="K1205" t="s">
        <v>16569</v>
      </c>
      <c r="L1205" t="s">
        <v>71</v>
      </c>
      <c r="M1205">
        <v>4.8</v>
      </c>
      <c r="N1205">
        <v>42.28</v>
      </c>
      <c r="O1205">
        <v>51.66</v>
      </c>
      <c r="P1205">
        <v>247.97</v>
      </c>
    </row>
    <row r="1206" spans="2:16">
      <c r="C1206">
        <v>6</v>
      </c>
      <c r="D1206">
        <v>9</v>
      </c>
      <c r="E1206">
        <v>2</v>
      </c>
      <c r="F1206" t="s">
        <v>11708</v>
      </c>
      <c r="G1206" t="s">
        <v>12281</v>
      </c>
      <c r="H1206" t="s">
        <v>70</v>
      </c>
      <c r="I1206">
        <v>93197</v>
      </c>
      <c r="K1206" t="s">
        <v>4057</v>
      </c>
      <c r="L1206" t="s">
        <v>71</v>
      </c>
      <c r="M1206">
        <v>3.2</v>
      </c>
      <c r="N1206">
        <v>46.83</v>
      </c>
      <c r="O1206">
        <v>57.22</v>
      </c>
      <c r="P1206">
        <v>183.1</v>
      </c>
    </row>
    <row r="1207" spans="2:16">
      <c r="C1207">
        <v>6</v>
      </c>
      <c r="D1207">
        <v>9</v>
      </c>
      <c r="E1207">
        <v>2</v>
      </c>
      <c r="F1207" t="s">
        <v>11708</v>
      </c>
    </row>
    <row r="1208" spans="2:16">
      <c r="C1208">
        <v>6</v>
      </c>
      <c r="D1208">
        <v>9</v>
      </c>
      <c r="E1208">
        <v>2</v>
      </c>
      <c r="F1208" t="s">
        <v>11708</v>
      </c>
      <c r="H1208" t="s">
        <v>20854</v>
      </c>
      <c r="P1208">
        <v>16193.290000000003</v>
      </c>
    </row>
    <row r="1209" spans="2:16">
      <c r="C1209">
        <v>6</v>
      </c>
      <c r="D1209">
        <v>9</v>
      </c>
      <c r="E1209">
        <v>2</v>
      </c>
      <c r="F1209" t="s">
        <v>11708</v>
      </c>
    </row>
    <row r="1210" spans="2:16">
      <c r="B1210">
        <v>1</v>
      </c>
      <c r="C1210">
        <v>6</v>
      </c>
      <c r="D1210">
        <v>9</v>
      </c>
      <c r="E1210">
        <v>3</v>
      </c>
      <c r="F1210" t="s">
        <v>11708</v>
      </c>
      <c r="H1210" t="s">
        <v>11703</v>
      </c>
      <c r="I1210" t="s">
        <v>64</v>
      </c>
      <c r="J1210" s="25" t="s">
        <v>20855</v>
      </c>
      <c r="K1210" t="s">
        <v>11739</v>
      </c>
      <c r="L1210" t="s">
        <v>25</v>
      </c>
      <c r="M1210" t="s">
        <v>11704</v>
      </c>
      <c r="N1210" t="s">
        <v>11705</v>
      </c>
      <c r="O1210" t="s">
        <v>11706</v>
      </c>
      <c r="P1210" t="s">
        <v>27</v>
      </c>
    </row>
    <row r="1211" spans="2:16">
      <c r="C1211">
        <v>6</v>
      </c>
      <c r="D1211">
        <v>9</v>
      </c>
      <c r="E1211">
        <v>3</v>
      </c>
      <c r="F1211" t="s">
        <v>11708</v>
      </c>
    </row>
    <row r="1212" spans="2:16">
      <c r="C1212">
        <v>6</v>
      </c>
      <c r="D1212">
        <v>9</v>
      </c>
      <c r="E1212">
        <v>3</v>
      </c>
      <c r="F1212" t="s">
        <v>11708</v>
      </c>
      <c r="G1212" t="s">
        <v>12126</v>
      </c>
      <c r="H1212" t="s">
        <v>70</v>
      </c>
      <c r="I1212">
        <v>87513</v>
      </c>
      <c r="K1212" t="s">
        <v>18362</v>
      </c>
      <c r="L1212" t="s">
        <v>256</v>
      </c>
      <c r="M1212">
        <v>43.44</v>
      </c>
      <c r="N1212">
        <v>65.290000000000006</v>
      </c>
      <c r="O1212">
        <v>79.78</v>
      </c>
      <c r="P1212">
        <v>3465.64</v>
      </c>
    </row>
    <row r="1213" spans="2:16">
      <c r="C1213">
        <v>6</v>
      </c>
      <c r="D1213">
        <v>9</v>
      </c>
      <c r="E1213">
        <v>3</v>
      </c>
      <c r="F1213" t="s">
        <v>11708</v>
      </c>
    </row>
    <row r="1214" spans="2:16">
      <c r="C1214">
        <v>6</v>
      </c>
      <c r="D1214">
        <v>9</v>
      </c>
      <c r="E1214">
        <v>3</v>
      </c>
      <c r="F1214" t="s">
        <v>11708</v>
      </c>
      <c r="H1214" t="s">
        <v>20856</v>
      </c>
      <c r="P1214">
        <v>3465.64</v>
      </c>
    </row>
    <row r="1215" spans="2:16">
      <c r="C1215">
        <v>6</v>
      </c>
      <c r="D1215">
        <v>9</v>
      </c>
      <c r="E1215">
        <v>3</v>
      </c>
      <c r="F1215" t="s">
        <v>11708</v>
      </c>
    </row>
    <row r="1216" spans="2:16">
      <c r="B1216">
        <v>1</v>
      </c>
      <c r="C1216">
        <v>6</v>
      </c>
      <c r="D1216">
        <v>9</v>
      </c>
      <c r="E1216">
        <v>4</v>
      </c>
      <c r="F1216" t="s">
        <v>11708</v>
      </c>
      <c r="H1216" t="s">
        <v>11703</v>
      </c>
      <c r="I1216" t="s">
        <v>64</v>
      </c>
      <c r="J1216" s="25" t="s">
        <v>20857</v>
      </c>
      <c r="K1216" t="s">
        <v>11715</v>
      </c>
      <c r="L1216" t="s">
        <v>25</v>
      </c>
      <c r="M1216" t="s">
        <v>11704</v>
      </c>
      <c r="N1216" t="s">
        <v>11705</v>
      </c>
      <c r="O1216" t="s">
        <v>11706</v>
      </c>
      <c r="P1216" t="s">
        <v>27</v>
      </c>
    </row>
    <row r="1217" spans="2:16">
      <c r="C1217">
        <v>6</v>
      </c>
      <c r="D1217">
        <v>9</v>
      </c>
      <c r="E1217">
        <v>4</v>
      </c>
      <c r="F1217" t="s">
        <v>11708</v>
      </c>
    </row>
    <row r="1218" spans="2:16">
      <c r="C1218">
        <v>6</v>
      </c>
      <c r="D1218">
        <v>9</v>
      </c>
      <c r="E1218">
        <v>4</v>
      </c>
      <c r="F1218" t="s">
        <v>11708</v>
      </c>
      <c r="G1218" t="s">
        <v>12127</v>
      </c>
      <c r="H1218" t="s">
        <v>70</v>
      </c>
      <c r="I1218">
        <v>87908</v>
      </c>
      <c r="K1218" t="s">
        <v>3536</v>
      </c>
      <c r="L1218" t="s">
        <v>256</v>
      </c>
      <c r="M1218">
        <v>186.55</v>
      </c>
      <c r="N1218">
        <v>5.24</v>
      </c>
      <c r="O1218">
        <v>6.4</v>
      </c>
      <c r="P1218">
        <v>1193.92</v>
      </c>
    </row>
    <row r="1219" spans="2:16">
      <c r="C1219">
        <v>6</v>
      </c>
      <c r="D1219">
        <v>9</v>
      </c>
      <c r="E1219">
        <v>4</v>
      </c>
      <c r="F1219" t="s">
        <v>11708</v>
      </c>
      <c r="G1219" t="s">
        <v>12128</v>
      </c>
      <c r="H1219" t="s">
        <v>70</v>
      </c>
      <c r="I1219">
        <v>87882</v>
      </c>
      <c r="K1219" t="s">
        <v>18759</v>
      </c>
      <c r="L1219" t="s">
        <v>256</v>
      </c>
      <c r="M1219">
        <v>45.53</v>
      </c>
      <c r="N1219">
        <v>3.45</v>
      </c>
      <c r="O1219">
        <v>4.22</v>
      </c>
      <c r="P1219">
        <v>192.14</v>
      </c>
    </row>
    <row r="1220" spans="2:16">
      <c r="C1220">
        <v>6</v>
      </c>
      <c r="D1220">
        <v>9</v>
      </c>
      <c r="E1220">
        <v>4</v>
      </c>
      <c r="F1220" t="s">
        <v>11708</v>
      </c>
      <c r="G1220" t="s">
        <v>12129</v>
      </c>
      <c r="H1220" t="s">
        <v>70</v>
      </c>
      <c r="I1220">
        <v>87527</v>
      </c>
      <c r="K1220" t="s">
        <v>18803</v>
      </c>
      <c r="L1220" t="s">
        <v>256</v>
      </c>
      <c r="M1220">
        <v>240.08</v>
      </c>
      <c r="N1220">
        <v>26.78</v>
      </c>
      <c r="O1220">
        <v>32.72</v>
      </c>
      <c r="P1220">
        <v>7855.42</v>
      </c>
    </row>
    <row r="1221" spans="2:16">
      <c r="C1221">
        <v>6</v>
      </c>
      <c r="D1221">
        <v>9</v>
      </c>
      <c r="E1221">
        <v>4</v>
      </c>
      <c r="F1221" t="s">
        <v>11708</v>
      </c>
      <c r="G1221" t="s">
        <v>12130</v>
      </c>
      <c r="H1221" t="s">
        <v>70</v>
      </c>
      <c r="I1221">
        <v>87296</v>
      </c>
      <c r="K1221" t="s">
        <v>18965</v>
      </c>
      <c r="L1221" t="s">
        <v>255</v>
      </c>
      <c r="M1221">
        <v>2.12</v>
      </c>
      <c r="N1221">
        <v>326.48</v>
      </c>
      <c r="O1221">
        <v>398.93</v>
      </c>
      <c r="P1221">
        <v>845.73</v>
      </c>
    </row>
    <row r="1222" spans="2:16">
      <c r="C1222">
        <v>6</v>
      </c>
      <c r="D1222">
        <v>9</v>
      </c>
      <c r="E1222">
        <v>4</v>
      </c>
      <c r="F1222" t="s">
        <v>11708</v>
      </c>
      <c r="G1222" t="s">
        <v>12131</v>
      </c>
      <c r="H1222" t="s">
        <v>70</v>
      </c>
      <c r="I1222">
        <v>88487</v>
      </c>
      <c r="K1222" t="s">
        <v>18558</v>
      </c>
      <c r="L1222" t="s">
        <v>256</v>
      </c>
      <c r="M1222">
        <v>21.27</v>
      </c>
      <c r="N1222">
        <v>7.84</v>
      </c>
      <c r="O1222">
        <v>9.58</v>
      </c>
      <c r="P1222">
        <v>203.77</v>
      </c>
    </row>
    <row r="1223" spans="2:16">
      <c r="C1223">
        <v>6</v>
      </c>
      <c r="D1223">
        <v>9</v>
      </c>
      <c r="E1223">
        <v>4</v>
      </c>
      <c r="F1223" t="s">
        <v>11708</v>
      </c>
      <c r="G1223" t="s">
        <v>12212</v>
      </c>
      <c r="H1223" t="s">
        <v>70</v>
      </c>
      <c r="I1223">
        <v>88489</v>
      </c>
      <c r="K1223" t="s">
        <v>870</v>
      </c>
      <c r="L1223" t="s">
        <v>256</v>
      </c>
      <c r="M1223">
        <v>49.55</v>
      </c>
      <c r="N1223">
        <v>9.94</v>
      </c>
      <c r="O1223">
        <v>12.15</v>
      </c>
      <c r="P1223">
        <v>602.03</v>
      </c>
    </row>
    <row r="1224" spans="2:16">
      <c r="C1224">
        <v>6</v>
      </c>
      <c r="D1224">
        <v>9</v>
      </c>
      <c r="E1224">
        <v>4</v>
      </c>
      <c r="F1224" t="s">
        <v>11708</v>
      </c>
      <c r="G1224" t="s">
        <v>12213</v>
      </c>
      <c r="H1224" t="s">
        <v>70</v>
      </c>
      <c r="I1224">
        <v>36881</v>
      </c>
      <c r="K1224" t="s">
        <v>7855</v>
      </c>
      <c r="L1224" t="s">
        <v>256</v>
      </c>
      <c r="M1224">
        <v>146.37</v>
      </c>
      <c r="N1224">
        <v>96.43</v>
      </c>
      <c r="O1224">
        <v>117.83</v>
      </c>
      <c r="P1224">
        <v>17246.78</v>
      </c>
    </row>
    <row r="1225" spans="2:16">
      <c r="C1225">
        <v>6</v>
      </c>
      <c r="D1225">
        <v>9</v>
      </c>
      <c r="E1225">
        <v>4</v>
      </c>
      <c r="F1225" t="s">
        <v>11708</v>
      </c>
      <c r="G1225" t="s">
        <v>12214</v>
      </c>
      <c r="H1225" t="s">
        <v>70</v>
      </c>
      <c r="I1225">
        <v>87269</v>
      </c>
      <c r="K1225" t="s">
        <v>18911</v>
      </c>
      <c r="L1225" t="s">
        <v>256</v>
      </c>
      <c r="M1225">
        <v>93.71</v>
      </c>
      <c r="N1225">
        <v>41.24</v>
      </c>
      <c r="O1225">
        <v>50.39</v>
      </c>
      <c r="P1225">
        <v>4722.05</v>
      </c>
    </row>
    <row r="1226" spans="2:16">
      <c r="C1226">
        <v>6</v>
      </c>
      <c r="D1226">
        <v>9</v>
      </c>
      <c r="E1226">
        <v>4</v>
      </c>
      <c r="F1226" t="s">
        <v>11708</v>
      </c>
      <c r="G1226" t="s">
        <v>12297</v>
      </c>
      <c r="H1226" t="s">
        <v>70</v>
      </c>
      <c r="I1226">
        <v>88486</v>
      </c>
      <c r="K1226" t="s">
        <v>869</v>
      </c>
      <c r="L1226" t="s">
        <v>256</v>
      </c>
      <c r="M1226">
        <v>45.53</v>
      </c>
      <c r="N1226">
        <v>8.77</v>
      </c>
      <c r="O1226">
        <v>10.72</v>
      </c>
      <c r="P1226">
        <v>488.08</v>
      </c>
    </row>
    <row r="1227" spans="2:16">
      <c r="C1227">
        <v>6</v>
      </c>
      <c r="D1227">
        <v>9</v>
      </c>
      <c r="E1227">
        <v>4</v>
      </c>
      <c r="F1227" t="s">
        <v>11708</v>
      </c>
    </row>
    <row r="1228" spans="2:16">
      <c r="C1228">
        <v>6</v>
      </c>
      <c r="D1228">
        <v>9</v>
      </c>
      <c r="E1228">
        <v>4</v>
      </c>
      <c r="F1228" t="s">
        <v>11708</v>
      </c>
      <c r="H1228" t="s">
        <v>20858</v>
      </c>
      <c r="P1228">
        <v>33349.920000000006</v>
      </c>
    </row>
    <row r="1229" spans="2:16">
      <c r="C1229">
        <v>6</v>
      </c>
      <c r="D1229">
        <v>9</v>
      </c>
      <c r="E1229">
        <v>4</v>
      </c>
      <c r="F1229" t="s">
        <v>11708</v>
      </c>
    </row>
    <row r="1230" spans="2:16">
      <c r="B1230">
        <v>1</v>
      </c>
      <c r="C1230">
        <v>6</v>
      </c>
      <c r="D1230">
        <v>9</v>
      </c>
      <c r="E1230">
        <v>5</v>
      </c>
      <c r="F1230" t="s">
        <v>11708</v>
      </c>
      <c r="H1230" t="s">
        <v>11703</v>
      </c>
      <c r="I1230" t="s">
        <v>64</v>
      </c>
      <c r="J1230" s="25" t="s">
        <v>20859</v>
      </c>
      <c r="K1230" t="s">
        <v>20204</v>
      </c>
      <c r="L1230" t="s">
        <v>25</v>
      </c>
      <c r="M1230" t="s">
        <v>11704</v>
      </c>
      <c r="N1230" t="s">
        <v>11705</v>
      </c>
      <c r="O1230" t="s">
        <v>11706</v>
      </c>
      <c r="P1230" t="s">
        <v>27</v>
      </c>
    </row>
    <row r="1231" spans="2:16">
      <c r="C1231">
        <v>6</v>
      </c>
      <c r="D1231">
        <v>9</v>
      </c>
      <c r="E1231">
        <v>5</v>
      </c>
      <c r="F1231" t="s">
        <v>11708</v>
      </c>
    </row>
    <row r="1232" spans="2:16">
      <c r="C1232">
        <v>6</v>
      </c>
      <c r="D1232">
        <v>9</v>
      </c>
      <c r="E1232">
        <v>5</v>
      </c>
      <c r="F1232" t="s">
        <v>11708</v>
      </c>
      <c r="G1232" t="s">
        <v>12221</v>
      </c>
      <c r="H1232" t="s">
        <v>70</v>
      </c>
      <c r="I1232" t="s">
        <v>18613</v>
      </c>
      <c r="K1232" t="s">
        <v>18614</v>
      </c>
      <c r="L1232" t="s">
        <v>256</v>
      </c>
      <c r="M1232">
        <v>45.53</v>
      </c>
      <c r="N1232">
        <v>39.54</v>
      </c>
      <c r="O1232">
        <v>48.31</v>
      </c>
      <c r="P1232">
        <v>2199.5500000000002</v>
      </c>
    </row>
    <row r="1233" spans="2:16">
      <c r="C1233">
        <v>6</v>
      </c>
      <c r="D1233">
        <v>9</v>
      </c>
      <c r="E1233">
        <v>5</v>
      </c>
      <c r="F1233" t="s">
        <v>11708</v>
      </c>
      <c r="G1233" t="s">
        <v>12222</v>
      </c>
      <c r="H1233" t="s">
        <v>70</v>
      </c>
      <c r="I1233">
        <v>87247</v>
      </c>
      <c r="K1233" t="s">
        <v>18644</v>
      </c>
      <c r="L1233" t="s">
        <v>256</v>
      </c>
      <c r="M1233">
        <v>45.53</v>
      </c>
      <c r="N1233">
        <v>30.85</v>
      </c>
      <c r="O1233">
        <v>37.700000000000003</v>
      </c>
      <c r="P1233">
        <v>1716.48</v>
      </c>
    </row>
    <row r="1234" spans="2:16">
      <c r="C1234">
        <v>6</v>
      </c>
      <c r="D1234">
        <v>9</v>
      </c>
      <c r="E1234">
        <v>5</v>
      </c>
      <c r="F1234" t="s">
        <v>11708</v>
      </c>
      <c r="G1234" t="s">
        <v>12223</v>
      </c>
      <c r="H1234" t="s">
        <v>70</v>
      </c>
      <c r="I1234">
        <v>94990</v>
      </c>
      <c r="K1234" t="s">
        <v>18684</v>
      </c>
      <c r="L1234" t="s">
        <v>255</v>
      </c>
      <c r="M1234">
        <v>2.0699999999999998</v>
      </c>
      <c r="N1234">
        <v>497.55</v>
      </c>
      <c r="O1234">
        <v>607.96</v>
      </c>
      <c r="P1234">
        <v>1258.48</v>
      </c>
    </row>
    <row r="1235" spans="2:16">
      <c r="C1235">
        <v>6</v>
      </c>
      <c r="D1235">
        <v>9</v>
      </c>
      <c r="E1235">
        <v>5</v>
      </c>
      <c r="F1235" t="s">
        <v>11708</v>
      </c>
      <c r="G1235" t="s">
        <v>12224</v>
      </c>
      <c r="H1235" t="s">
        <v>70</v>
      </c>
      <c r="I1235">
        <v>20231</v>
      </c>
      <c r="K1235" t="s">
        <v>19716</v>
      </c>
      <c r="L1235" t="s">
        <v>71</v>
      </c>
      <c r="M1235">
        <v>7.4</v>
      </c>
      <c r="N1235">
        <v>23.81</v>
      </c>
      <c r="O1235">
        <v>29.09</v>
      </c>
      <c r="P1235">
        <v>215.27</v>
      </c>
    </row>
    <row r="1236" spans="2:16">
      <c r="C1236">
        <v>6</v>
      </c>
      <c r="D1236">
        <v>9</v>
      </c>
      <c r="E1236">
        <v>5</v>
      </c>
      <c r="F1236" t="s">
        <v>11708</v>
      </c>
      <c r="G1236" t="s">
        <v>12225</v>
      </c>
      <c r="H1236" t="s">
        <v>70</v>
      </c>
      <c r="I1236">
        <v>20232</v>
      </c>
      <c r="K1236" t="s">
        <v>19723</v>
      </c>
      <c r="L1236" t="s">
        <v>71</v>
      </c>
      <c r="M1236">
        <v>7.28</v>
      </c>
      <c r="N1236">
        <v>33.71</v>
      </c>
      <c r="O1236">
        <v>41.19</v>
      </c>
      <c r="P1236">
        <v>299.86</v>
      </c>
    </row>
    <row r="1237" spans="2:16">
      <c r="C1237">
        <v>6</v>
      </c>
      <c r="D1237">
        <v>9</v>
      </c>
      <c r="E1237">
        <v>5</v>
      </c>
      <c r="F1237" t="s">
        <v>11708</v>
      </c>
    </row>
    <row r="1238" spans="2:16">
      <c r="C1238">
        <v>6</v>
      </c>
      <c r="D1238">
        <v>9</v>
      </c>
      <c r="E1238">
        <v>5</v>
      </c>
      <c r="F1238" t="s">
        <v>11708</v>
      </c>
      <c r="H1238" t="s">
        <v>20860</v>
      </c>
      <c r="P1238">
        <v>5689.64</v>
      </c>
    </row>
    <row r="1239" spans="2:16">
      <c r="C1239">
        <v>6</v>
      </c>
      <c r="D1239">
        <v>9</v>
      </c>
      <c r="E1239">
        <v>5</v>
      </c>
      <c r="F1239" t="s">
        <v>11708</v>
      </c>
    </row>
    <row r="1240" spans="2:16">
      <c r="B1240">
        <v>1</v>
      </c>
      <c r="C1240">
        <v>6</v>
      </c>
      <c r="D1240">
        <v>9</v>
      </c>
      <c r="E1240">
        <v>6</v>
      </c>
      <c r="F1240" t="s">
        <v>11708</v>
      </c>
      <c r="H1240" t="s">
        <v>11703</v>
      </c>
      <c r="I1240" t="s">
        <v>64</v>
      </c>
      <c r="J1240" s="25" t="s">
        <v>20861</v>
      </c>
      <c r="K1240" t="s">
        <v>11738</v>
      </c>
      <c r="L1240" t="s">
        <v>25</v>
      </c>
      <c r="M1240" t="s">
        <v>11704</v>
      </c>
      <c r="N1240" t="s">
        <v>11705</v>
      </c>
      <c r="O1240" t="s">
        <v>11706</v>
      </c>
      <c r="P1240" t="s">
        <v>27</v>
      </c>
    </row>
    <row r="1241" spans="2:16">
      <c r="C1241">
        <v>6</v>
      </c>
      <c r="D1241">
        <v>9</v>
      </c>
      <c r="E1241">
        <v>6</v>
      </c>
      <c r="F1241" t="s">
        <v>11708</v>
      </c>
    </row>
    <row r="1242" spans="2:16">
      <c r="C1242">
        <v>6</v>
      </c>
      <c r="D1242">
        <v>9</v>
      </c>
      <c r="E1242">
        <v>6</v>
      </c>
      <c r="F1242" t="s">
        <v>11708</v>
      </c>
      <c r="G1242" t="s">
        <v>12133</v>
      </c>
      <c r="H1242" t="s">
        <v>1</v>
      </c>
      <c r="I1242">
        <v>409</v>
      </c>
      <c r="K1242" t="s">
        <v>19925</v>
      </c>
      <c r="L1242" t="s">
        <v>256</v>
      </c>
      <c r="M1242">
        <v>45.53</v>
      </c>
      <c r="N1242">
        <v>27.62</v>
      </c>
      <c r="O1242">
        <v>33.75</v>
      </c>
      <c r="P1242">
        <v>1536.64</v>
      </c>
    </row>
    <row r="1243" spans="2:16">
      <c r="C1243">
        <v>6</v>
      </c>
      <c r="D1243">
        <v>9</v>
      </c>
      <c r="E1243">
        <v>6</v>
      </c>
      <c r="F1243" t="s">
        <v>11708</v>
      </c>
      <c r="G1243" t="s">
        <v>12134</v>
      </c>
      <c r="H1243" t="s">
        <v>70</v>
      </c>
      <c r="I1243">
        <v>92580</v>
      </c>
      <c r="K1243" t="s">
        <v>15703</v>
      </c>
      <c r="L1243" t="s">
        <v>256</v>
      </c>
      <c r="M1243">
        <v>45.53</v>
      </c>
      <c r="N1243">
        <v>26.83</v>
      </c>
      <c r="O1243">
        <v>32.78</v>
      </c>
      <c r="P1243">
        <v>1492.47</v>
      </c>
    </row>
    <row r="1244" spans="2:16">
      <c r="C1244">
        <v>6</v>
      </c>
      <c r="D1244">
        <v>9</v>
      </c>
      <c r="E1244">
        <v>6</v>
      </c>
      <c r="F1244" t="s">
        <v>11708</v>
      </c>
      <c r="G1244" t="s">
        <v>12135</v>
      </c>
      <c r="H1244" t="s">
        <v>70</v>
      </c>
      <c r="I1244">
        <v>1109</v>
      </c>
      <c r="K1244" t="s">
        <v>3165</v>
      </c>
      <c r="L1244" t="s">
        <v>71</v>
      </c>
      <c r="M1244">
        <v>24.35</v>
      </c>
      <c r="N1244">
        <v>18.149999999999999</v>
      </c>
      <c r="O1244">
        <v>22.18</v>
      </c>
      <c r="P1244">
        <v>540.08000000000004</v>
      </c>
    </row>
    <row r="1245" spans="2:16">
      <c r="C1245">
        <v>6</v>
      </c>
      <c r="D1245">
        <v>9</v>
      </c>
      <c r="E1245">
        <v>6</v>
      </c>
      <c r="F1245" t="s">
        <v>11708</v>
      </c>
      <c r="G1245" t="s">
        <v>12136</v>
      </c>
      <c r="H1245" t="s">
        <v>70</v>
      </c>
      <c r="I1245">
        <v>7219</v>
      </c>
      <c r="K1245" t="s">
        <v>4248</v>
      </c>
      <c r="L1245" t="s">
        <v>65</v>
      </c>
      <c r="M1245">
        <v>14.45</v>
      </c>
      <c r="N1245">
        <v>24.58</v>
      </c>
      <c r="O1245">
        <v>30.03</v>
      </c>
      <c r="P1245">
        <v>433.93</v>
      </c>
    </row>
    <row r="1246" spans="2:16">
      <c r="C1246">
        <v>6</v>
      </c>
      <c r="D1246">
        <v>9</v>
      </c>
      <c r="E1246">
        <v>6</v>
      </c>
      <c r="F1246" t="s">
        <v>11708</v>
      </c>
      <c r="G1246" t="s">
        <v>12137</v>
      </c>
      <c r="H1246" t="s">
        <v>70</v>
      </c>
      <c r="I1246">
        <v>1113</v>
      </c>
      <c r="K1246" t="s">
        <v>11516</v>
      </c>
      <c r="L1246" t="s">
        <v>71</v>
      </c>
      <c r="M1246">
        <v>18.55</v>
      </c>
      <c r="N1246">
        <v>18.149999999999999</v>
      </c>
      <c r="O1246">
        <v>22.18</v>
      </c>
      <c r="P1246">
        <v>411.44</v>
      </c>
    </row>
    <row r="1247" spans="2:16">
      <c r="C1247">
        <v>6</v>
      </c>
      <c r="D1247">
        <v>9</v>
      </c>
      <c r="E1247">
        <v>6</v>
      </c>
      <c r="F1247" t="s">
        <v>11708</v>
      </c>
      <c r="G1247" t="s">
        <v>12138</v>
      </c>
      <c r="H1247" t="s">
        <v>70</v>
      </c>
      <c r="I1247">
        <v>73549</v>
      </c>
      <c r="K1247" t="s">
        <v>2071</v>
      </c>
      <c r="L1247" t="s">
        <v>255</v>
      </c>
      <c r="M1247">
        <v>0.52</v>
      </c>
      <c r="N1247">
        <v>452.96</v>
      </c>
      <c r="O1247">
        <v>553.47</v>
      </c>
      <c r="P1247">
        <v>287.8</v>
      </c>
    </row>
    <row r="1248" spans="2:16">
      <c r="C1248">
        <v>6</v>
      </c>
      <c r="D1248">
        <v>9</v>
      </c>
      <c r="E1248">
        <v>6</v>
      </c>
      <c r="F1248" t="s">
        <v>11708</v>
      </c>
    </row>
    <row r="1249" spans="1:16">
      <c r="C1249">
        <v>6</v>
      </c>
      <c r="D1249">
        <v>9</v>
      </c>
      <c r="E1249">
        <v>6</v>
      </c>
      <c r="F1249" t="s">
        <v>11708</v>
      </c>
      <c r="H1249" t="s">
        <v>20862</v>
      </c>
      <c r="P1249">
        <v>4702.3599999999997</v>
      </c>
    </row>
    <row r="1250" spans="1:16">
      <c r="C1250">
        <v>6</v>
      </c>
      <c r="D1250">
        <v>9</v>
      </c>
      <c r="E1250">
        <v>6</v>
      </c>
      <c r="F1250" t="s">
        <v>11708</v>
      </c>
    </row>
    <row r="1251" spans="1:16">
      <c r="B1251">
        <v>1</v>
      </c>
      <c r="C1251">
        <v>6</v>
      </c>
      <c r="D1251">
        <v>9</v>
      </c>
      <c r="E1251">
        <v>7</v>
      </c>
      <c r="F1251" t="s">
        <v>11708</v>
      </c>
      <c r="H1251" t="s">
        <v>11703</v>
      </c>
      <c r="I1251" t="s">
        <v>64</v>
      </c>
      <c r="J1251" s="25" t="s">
        <v>20863</v>
      </c>
      <c r="K1251" t="s">
        <v>11738</v>
      </c>
      <c r="L1251" t="s">
        <v>25</v>
      </c>
      <c r="M1251" t="s">
        <v>11704</v>
      </c>
      <c r="N1251" t="s">
        <v>11705</v>
      </c>
      <c r="O1251" t="s">
        <v>11706</v>
      </c>
      <c r="P1251" t="s">
        <v>27</v>
      </c>
    </row>
    <row r="1252" spans="1:16">
      <c r="C1252">
        <v>6</v>
      </c>
      <c r="D1252">
        <v>9</v>
      </c>
      <c r="E1252">
        <v>7</v>
      </c>
      <c r="F1252" t="s">
        <v>11708</v>
      </c>
    </row>
    <row r="1253" spans="1:16">
      <c r="C1253">
        <v>6</v>
      </c>
      <c r="D1253">
        <v>9</v>
      </c>
      <c r="E1253">
        <v>7</v>
      </c>
      <c r="F1253" t="s">
        <v>11708</v>
      </c>
      <c r="G1253" t="s">
        <v>12226</v>
      </c>
      <c r="H1253" t="s">
        <v>70</v>
      </c>
      <c r="I1253">
        <v>11795</v>
      </c>
      <c r="K1253" t="s">
        <v>19573</v>
      </c>
      <c r="L1253" t="s">
        <v>256</v>
      </c>
      <c r="M1253">
        <v>3.96</v>
      </c>
      <c r="N1253">
        <v>241.5</v>
      </c>
      <c r="O1253">
        <v>295.08999999999997</v>
      </c>
      <c r="P1253">
        <v>1168.56</v>
      </c>
    </row>
    <row r="1254" spans="1:16">
      <c r="C1254">
        <v>6</v>
      </c>
      <c r="D1254">
        <v>9</v>
      </c>
      <c r="E1254">
        <v>7</v>
      </c>
      <c r="F1254" t="s">
        <v>11708</v>
      </c>
      <c r="G1254" t="s">
        <v>12299</v>
      </c>
      <c r="H1254" t="s">
        <v>11722</v>
      </c>
      <c r="I1254" t="s">
        <v>20518</v>
      </c>
      <c r="K1254" t="s">
        <v>20519</v>
      </c>
      <c r="L1254" t="s">
        <v>14339</v>
      </c>
      <c r="M1254">
        <v>1</v>
      </c>
      <c r="N1254">
        <v>576.86</v>
      </c>
      <c r="O1254">
        <v>704.87</v>
      </c>
      <c r="P1254">
        <v>704.87</v>
      </c>
    </row>
    <row r="1255" spans="1:16">
      <c r="C1255">
        <v>6</v>
      </c>
      <c r="D1255">
        <v>9</v>
      </c>
      <c r="E1255">
        <v>7</v>
      </c>
      <c r="F1255" t="s">
        <v>11708</v>
      </c>
      <c r="G1255" t="s">
        <v>14344</v>
      </c>
      <c r="H1255" t="s">
        <v>70</v>
      </c>
      <c r="I1255">
        <v>9537</v>
      </c>
      <c r="K1255" t="s">
        <v>966</v>
      </c>
      <c r="L1255" t="s">
        <v>256</v>
      </c>
      <c r="M1255">
        <v>85</v>
      </c>
      <c r="N1255">
        <v>2.02</v>
      </c>
      <c r="O1255">
        <v>2.4700000000000002</v>
      </c>
      <c r="P1255">
        <v>209.95</v>
      </c>
    </row>
    <row r="1256" spans="1:16">
      <c r="C1256">
        <v>6</v>
      </c>
      <c r="D1256">
        <v>9</v>
      </c>
      <c r="E1256">
        <v>7</v>
      </c>
      <c r="F1256" t="s">
        <v>11708</v>
      </c>
    </row>
    <row r="1257" spans="1:16">
      <c r="C1257">
        <v>6</v>
      </c>
      <c r="D1257">
        <v>9</v>
      </c>
      <c r="E1257">
        <v>7</v>
      </c>
      <c r="F1257" t="s">
        <v>11708</v>
      </c>
      <c r="H1257" t="s">
        <v>20864</v>
      </c>
      <c r="P1257">
        <v>2083.3799999999997</v>
      </c>
    </row>
    <row r="1258" spans="1:16">
      <c r="C1258">
        <v>6</v>
      </c>
      <c r="D1258">
        <v>9</v>
      </c>
      <c r="E1258">
        <v>7</v>
      </c>
      <c r="F1258" t="s">
        <v>11708</v>
      </c>
    </row>
    <row r="1259" spans="1:16">
      <c r="A1259">
        <v>1</v>
      </c>
      <c r="C1259">
        <v>6</v>
      </c>
      <c r="D1259">
        <v>10</v>
      </c>
      <c r="E1259">
        <v>0</v>
      </c>
      <c r="F1259" t="s">
        <v>11708</v>
      </c>
      <c r="H1259" t="s">
        <v>20865</v>
      </c>
      <c r="I1259" t="s">
        <v>12686</v>
      </c>
      <c r="O1259" t="s">
        <v>11702</v>
      </c>
      <c r="P1259">
        <v>27648.25</v>
      </c>
    </row>
    <row r="1260" spans="1:16">
      <c r="C1260">
        <v>6</v>
      </c>
      <c r="D1260">
        <v>10</v>
      </c>
      <c r="E1260">
        <v>0</v>
      </c>
      <c r="F1260" t="s">
        <v>11708</v>
      </c>
    </row>
    <row r="1261" spans="1:16">
      <c r="B1261">
        <v>1</v>
      </c>
      <c r="C1261">
        <v>6</v>
      </c>
      <c r="D1261">
        <v>10</v>
      </c>
      <c r="E1261">
        <v>1</v>
      </c>
      <c r="F1261" t="s">
        <v>11708</v>
      </c>
      <c r="H1261" t="s">
        <v>11703</v>
      </c>
      <c r="I1261" t="s">
        <v>64</v>
      </c>
      <c r="J1261" s="25" t="s">
        <v>20866</v>
      </c>
      <c r="K1261" t="s">
        <v>11709</v>
      </c>
      <c r="L1261" t="s">
        <v>25</v>
      </c>
      <c r="M1261" t="s">
        <v>11704</v>
      </c>
      <c r="N1261" t="s">
        <v>11705</v>
      </c>
      <c r="O1261" t="s">
        <v>11706</v>
      </c>
      <c r="P1261" t="s">
        <v>27</v>
      </c>
    </row>
    <row r="1262" spans="1:16">
      <c r="C1262">
        <v>6</v>
      </c>
      <c r="D1262">
        <v>10</v>
      </c>
      <c r="E1262">
        <v>1</v>
      </c>
      <c r="F1262" t="s">
        <v>11708</v>
      </c>
    </row>
    <row r="1263" spans="1:16">
      <c r="C1263">
        <v>6</v>
      </c>
      <c r="D1263">
        <v>10</v>
      </c>
      <c r="E1263">
        <v>1</v>
      </c>
      <c r="F1263" t="s">
        <v>11708</v>
      </c>
      <c r="G1263" t="s">
        <v>12453</v>
      </c>
      <c r="H1263" t="s">
        <v>70</v>
      </c>
      <c r="I1263" t="s">
        <v>19163</v>
      </c>
      <c r="K1263" t="s">
        <v>19164</v>
      </c>
      <c r="L1263" t="s">
        <v>256</v>
      </c>
      <c r="M1263">
        <v>22.2</v>
      </c>
      <c r="N1263">
        <v>0.59</v>
      </c>
      <c r="O1263">
        <v>0.72</v>
      </c>
      <c r="P1263">
        <v>15.98</v>
      </c>
    </row>
    <row r="1264" spans="1:16">
      <c r="C1264">
        <v>6</v>
      </c>
      <c r="D1264">
        <v>10</v>
      </c>
      <c r="E1264">
        <v>1</v>
      </c>
      <c r="F1264" t="s">
        <v>11708</v>
      </c>
      <c r="G1264" t="s">
        <v>12454</v>
      </c>
      <c r="H1264" t="s">
        <v>70</v>
      </c>
      <c r="I1264" t="s">
        <v>19263</v>
      </c>
      <c r="K1264" t="s">
        <v>19264</v>
      </c>
      <c r="L1264" t="s">
        <v>256</v>
      </c>
      <c r="M1264">
        <v>6.8</v>
      </c>
      <c r="N1264">
        <v>9.93</v>
      </c>
      <c r="O1264">
        <v>12.13</v>
      </c>
      <c r="P1264">
        <v>82.48</v>
      </c>
    </row>
    <row r="1265" spans="2:16">
      <c r="C1265">
        <v>6</v>
      </c>
      <c r="D1265">
        <v>10</v>
      </c>
      <c r="E1265">
        <v>1</v>
      </c>
      <c r="F1265" t="s">
        <v>11708</v>
      </c>
    </row>
    <row r="1266" spans="2:16">
      <c r="C1266">
        <v>6</v>
      </c>
      <c r="D1266">
        <v>10</v>
      </c>
      <c r="E1266">
        <v>1</v>
      </c>
      <c r="F1266" t="s">
        <v>11708</v>
      </c>
      <c r="H1266" t="s">
        <v>20867</v>
      </c>
      <c r="P1266">
        <v>98.460000000000008</v>
      </c>
    </row>
    <row r="1267" spans="2:16">
      <c r="C1267">
        <v>6</v>
      </c>
      <c r="D1267">
        <v>10</v>
      </c>
      <c r="E1267">
        <v>1</v>
      </c>
      <c r="F1267" t="s">
        <v>11708</v>
      </c>
    </row>
    <row r="1268" spans="2:16">
      <c r="B1268">
        <v>1</v>
      </c>
      <c r="C1268">
        <v>6</v>
      </c>
      <c r="D1268">
        <v>10</v>
      </c>
      <c r="E1268">
        <v>2</v>
      </c>
      <c r="F1268" t="s">
        <v>11708</v>
      </c>
      <c r="H1268" t="s">
        <v>11703</v>
      </c>
      <c r="I1268" t="s">
        <v>64</v>
      </c>
      <c r="J1268" s="25" t="s">
        <v>20868</v>
      </c>
      <c r="K1268" t="s">
        <v>11710</v>
      </c>
      <c r="L1268" t="s">
        <v>25</v>
      </c>
      <c r="M1268" t="s">
        <v>11704</v>
      </c>
      <c r="N1268" t="s">
        <v>11705</v>
      </c>
      <c r="O1268" t="s">
        <v>11706</v>
      </c>
      <c r="P1268" t="s">
        <v>27</v>
      </c>
    </row>
    <row r="1269" spans="2:16">
      <c r="C1269">
        <v>6</v>
      </c>
      <c r="D1269">
        <v>10</v>
      </c>
      <c r="E1269">
        <v>2</v>
      </c>
      <c r="F1269" t="s">
        <v>11708</v>
      </c>
    </row>
    <row r="1270" spans="2:16">
      <c r="C1270">
        <v>6</v>
      </c>
      <c r="D1270">
        <v>10</v>
      </c>
      <c r="E1270">
        <v>2</v>
      </c>
      <c r="F1270" t="s">
        <v>11708</v>
      </c>
      <c r="G1270" t="s">
        <v>12455</v>
      </c>
      <c r="H1270" t="s">
        <v>70</v>
      </c>
      <c r="I1270">
        <v>90105</v>
      </c>
      <c r="K1270" t="s">
        <v>18214</v>
      </c>
      <c r="L1270" t="s">
        <v>255</v>
      </c>
      <c r="M1270">
        <v>51.51</v>
      </c>
      <c r="N1270">
        <v>14.07</v>
      </c>
      <c r="O1270">
        <v>17.190000000000001</v>
      </c>
      <c r="P1270">
        <v>885.46</v>
      </c>
    </row>
    <row r="1271" spans="2:16">
      <c r="C1271">
        <v>6</v>
      </c>
      <c r="D1271">
        <v>10</v>
      </c>
      <c r="E1271">
        <v>2</v>
      </c>
      <c r="F1271" t="s">
        <v>11708</v>
      </c>
      <c r="G1271" t="s">
        <v>12457</v>
      </c>
      <c r="H1271" t="s">
        <v>1</v>
      </c>
      <c r="I1271">
        <v>184</v>
      </c>
      <c r="K1271" t="s">
        <v>20740</v>
      </c>
      <c r="L1271" t="s">
        <v>255</v>
      </c>
      <c r="M1271">
        <v>2.86</v>
      </c>
      <c r="N1271">
        <v>4.68</v>
      </c>
      <c r="O1271">
        <v>5.72</v>
      </c>
      <c r="P1271">
        <v>16.36</v>
      </c>
    </row>
    <row r="1272" spans="2:16">
      <c r="C1272">
        <v>6</v>
      </c>
      <c r="D1272">
        <v>10</v>
      </c>
      <c r="E1272">
        <v>2</v>
      </c>
      <c r="F1272" t="s">
        <v>11708</v>
      </c>
      <c r="G1272" t="s">
        <v>12459</v>
      </c>
      <c r="H1272" t="s">
        <v>1</v>
      </c>
      <c r="I1272">
        <v>187</v>
      </c>
      <c r="K1272" t="s">
        <v>20741</v>
      </c>
      <c r="L1272" t="s">
        <v>255</v>
      </c>
      <c r="M1272">
        <v>2.86</v>
      </c>
      <c r="N1272">
        <v>4.67</v>
      </c>
      <c r="O1272">
        <v>5.71</v>
      </c>
      <c r="P1272">
        <v>16.329999999999998</v>
      </c>
    </row>
    <row r="1273" spans="2:16">
      <c r="C1273">
        <v>6</v>
      </c>
      <c r="D1273">
        <v>10</v>
      </c>
      <c r="E1273">
        <v>2</v>
      </c>
      <c r="F1273" t="s">
        <v>11708</v>
      </c>
      <c r="G1273" t="s">
        <v>12461</v>
      </c>
      <c r="H1273" t="s">
        <v>70</v>
      </c>
      <c r="I1273">
        <v>93358</v>
      </c>
      <c r="K1273" t="s">
        <v>826</v>
      </c>
      <c r="L1273" t="s">
        <v>255</v>
      </c>
      <c r="M1273">
        <v>2.71</v>
      </c>
      <c r="N1273">
        <v>52.29</v>
      </c>
      <c r="O1273">
        <v>63.89</v>
      </c>
      <c r="P1273">
        <v>173.14</v>
      </c>
    </row>
    <row r="1274" spans="2:16">
      <c r="C1274">
        <v>6</v>
      </c>
      <c r="D1274">
        <v>10</v>
      </c>
      <c r="E1274">
        <v>2</v>
      </c>
      <c r="F1274" t="s">
        <v>11708</v>
      </c>
      <c r="G1274" t="s">
        <v>12463</v>
      </c>
      <c r="H1274" t="s">
        <v>1</v>
      </c>
      <c r="I1274">
        <v>170</v>
      </c>
      <c r="K1274" t="s">
        <v>19822</v>
      </c>
      <c r="L1274" t="s">
        <v>255</v>
      </c>
      <c r="M1274">
        <v>0.15</v>
      </c>
      <c r="N1274">
        <v>55.58</v>
      </c>
      <c r="O1274">
        <v>67.91</v>
      </c>
      <c r="P1274">
        <v>10.19</v>
      </c>
    </row>
    <row r="1275" spans="2:16">
      <c r="C1275">
        <v>6</v>
      </c>
      <c r="D1275">
        <v>10</v>
      </c>
      <c r="E1275">
        <v>2</v>
      </c>
      <c r="F1275" t="s">
        <v>11708</v>
      </c>
      <c r="G1275" t="s">
        <v>12465</v>
      </c>
      <c r="H1275" t="s">
        <v>1</v>
      </c>
      <c r="I1275">
        <v>172</v>
      </c>
      <c r="K1275" t="s">
        <v>19824</v>
      </c>
      <c r="L1275" t="s">
        <v>255</v>
      </c>
      <c r="M1275">
        <v>0.15</v>
      </c>
      <c r="N1275">
        <v>91.06</v>
      </c>
      <c r="O1275">
        <v>111.27</v>
      </c>
      <c r="P1275">
        <v>16.690000000000001</v>
      </c>
    </row>
    <row r="1276" spans="2:16">
      <c r="C1276">
        <v>6</v>
      </c>
      <c r="D1276">
        <v>10</v>
      </c>
      <c r="E1276">
        <v>2</v>
      </c>
      <c r="F1276" t="s">
        <v>11708</v>
      </c>
      <c r="G1276" t="s">
        <v>12467</v>
      </c>
      <c r="H1276" t="s">
        <v>70</v>
      </c>
      <c r="I1276" t="s">
        <v>15726</v>
      </c>
      <c r="K1276" t="s">
        <v>350</v>
      </c>
      <c r="L1276" t="s">
        <v>57</v>
      </c>
      <c r="M1276">
        <v>10</v>
      </c>
      <c r="N1276">
        <v>6.2</v>
      </c>
      <c r="O1276">
        <v>7.58</v>
      </c>
      <c r="P1276">
        <v>75.8</v>
      </c>
    </row>
    <row r="1277" spans="2:16">
      <c r="C1277">
        <v>6</v>
      </c>
      <c r="D1277">
        <v>10</v>
      </c>
      <c r="E1277">
        <v>2</v>
      </c>
      <c r="F1277" t="s">
        <v>11708</v>
      </c>
      <c r="G1277" t="s">
        <v>12468</v>
      </c>
      <c r="H1277" t="s">
        <v>70</v>
      </c>
      <c r="I1277">
        <v>79472</v>
      </c>
      <c r="K1277" t="s">
        <v>8710</v>
      </c>
      <c r="L1277" t="s">
        <v>256</v>
      </c>
      <c r="M1277">
        <v>6.8</v>
      </c>
      <c r="N1277">
        <v>0.56000000000000005</v>
      </c>
      <c r="O1277">
        <v>0.68</v>
      </c>
      <c r="P1277">
        <v>4.62</v>
      </c>
    </row>
    <row r="1278" spans="2:16">
      <c r="C1278">
        <v>6</v>
      </c>
      <c r="D1278">
        <v>10</v>
      </c>
      <c r="E1278">
        <v>2</v>
      </c>
      <c r="F1278" t="s">
        <v>11708</v>
      </c>
      <c r="G1278" t="s">
        <v>12469</v>
      </c>
      <c r="H1278" t="s">
        <v>70</v>
      </c>
      <c r="I1278">
        <v>93367</v>
      </c>
      <c r="K1278" t="s">
        <v>18245</v>
      </c>
      <c r="L1278" t="s">
        <v>255</v>
      </c>
      <c r="M1278">
        <v>37.56</v>
      </c>
      <c r="N1278">
        <v>17.86</v>
      </c>
      <c r="O1278">
        <v>21.82</v>
      </c>
      <c r="P1278">
        <v>819.56</v>
      </c>
    </row>
    <row r="1279" spans="2:16">
      <c r="C1279">
        <v>6</v>
      </c>
      <c r="D1279">
        <v>10</v>
      </c>
      <c r="E1279">
        <v>2</v>
      </c>
      <c r="F1279" t="s">
        <v>11708</v>
      </c>
      <c r="G1279" t="s">
        <v>12470</v>
      </c>
      <c r="H1279" t="s">
        <v>70</v>
      </c>
      <c r="I1279" t="s">
        <v>18237</v>
      </c>
      <c r="K1279" t="s">
        <v>829</v>
      </c>
      <c r="L1279" t="s">
        <v>255</v>
      </c>
      <c r="M1279">
        <v>4.17</v>
      </c>
      <c r="N1279">
        <v>39.659999999999997</v>
      </c>
      <c r="O1279">
        <v>48.46</v>
      </c>
      <c r="P1279">
        <v>202.08</v>
      </c>
    </row>
    <row r="1280" spans="2:16">
      <c r="C1280">
        <v>6</v>
      </c>
      <c r="D1280">
        <v>10</v>
      </c>
      <c r="E1280">
        <v>2</v>
      </c>
      <c r="F1280" t="s">
        <v>11708</v>
      </c>
    </row>
    <row r="1281" spans="2:16">
      <c r="C1281">
        <v>6</v>
      </c>
      <c r="D1281">
        <v>10</v>
      </c>
      <c r="E1281">
        <v>2</v>
      </c>
      <c r="F1281" t="s">
        <v>11708</v>
      </c>
      <c r="H1281" t="s">
        <v>20869</v>
      </c>
      <c r="P1281">
        <v>2220.23</v>
      </c>
    </row>
    <row r="1282" spans="2:16">
      <c r="C1282">
        <v>6</v>
      </c>
      <c r="D1282">
        <v>10</v>
      </c>
      <c r="E1282">
        <v>2</v>
      </c>
      <c r="F1282" t="s">
        <v>11708</v>
      </c>
    </row>
    <row r="1283" spans="2:16">
      <c r="B1283">
        <v>1</v>
      </c>
      <c r="C1283">
        <v>6</v>
      </c>
      <c r="D1283">
        <v>10</v>
      </c>
      <c r="E1283">
        <v>3</v>
      </c>
      <c r="F1283" t="s">
        <v>11708</v>
      </c>
      <c r="H1283" t="s">
        <v>11703</v>
      </c>
      <c r="I1283" t="s">
        <v>64</v>
      </c>
      <c r="J1283" s="25" t="s">
        <v>20870</v>
      </c>
      <c r="K1283" t="s">
        <v>11712</v>
      </c>
      <c r="L1283" t="s">
        <v>25</v>
      </c>
      <c r="M1283" t="s">
        <v>11704</v>
      </c>
      <c r="N1283" t="s">
        <v>11705</v>
      </c>
      <c r="O1283" t="s">
        <v>11706</v>
      </c>
      <c r="P1283" t="s">
        <v>27</v>
      </c>
    </row>
    <row r="1284" spans="2:16">
      <c r="C1284">
        <v>6</v>
      </c>
      <c r="D1284">
        <v>10</v>
      </c>
      <c r="E1284">
        <v>3</v>
      </c>
      <c r="F1284" t="s">
        <v>11708</v>
      </c>
    </row>
    <row r="1285" spans="2:16">
      <c r="C1285">
        <v>6</v>
      </c>
      <c r="D1285">
        <v>10</v>
      </c>
      <c r="E1285">
        <v>3</v>
      </c>
      <c r="F1285" t="s">
        <v>11708</v>
      </c>
      <c r="G1285" t="s">
        <v>12471</v>
      </c>
      <c r="H1285" t="s">
        <v>70</v>
      </c>
      <c r="I1285" t="s">
        <v>18276</v>
      </c>
      <c r="K1285" t="s">
        <v>18277</v>
      </c>
      <c r="L1285" t="s">
        <v>255</v>
      </c>
      <c r="M1285">
        <v>21.3</v>
      </c>
      <c r="N1285">
        <v>1.76</v>
      </c>
      <c r="O1285">
        <v>2.15</v>
      </c>
      <c r="P1285">
        <v>45.8</v>
      </c>
    </row>
    <row r="1286" spans="2:16">
      <c r="C1286">
        <v>6</v>
      </c>
      <c r="D1286">
        <v>10</v>
      </c>
      <c r="E1286">
        <v>3</v>
      </c>
      <c r="F1286" t="s">
        <v>11708</v>
      </c>
      <c r="G1286" t="s">
        <v>12472</v>
      </c>
      <c r="H1286" t="s">
        <v>70</v>
      </c>
      <c r="I1286">
        <v>93590</v>
      </c>
      <c r="K1286" t="s">
        <v>19275</v>
      </c>
      <c r="L1286" t="s">
        <v>9853</v>
      </c>
      <c r="M1286">
        <v>159.74</v>
      </c>
      <c r="N1286">
        <v>0.74</v>
      </c>
      <c r="O1286">
        <v>0.9</v>
      </c>
      <c r="P1286">
        <v>143.77000000000001</v>
      </c>
    </row>
    <row r="1287" spans="2:16">
      <c r="C1287">
        <v>6</v>
      </c>
      <c r="D1287">
        <v>10</v>
      </c>
      <c r="E1287">
        <v>3</v>
      </c>
      <c r="F1287" t="s">
        <v>11708</v>
      </c>
      <c r="G1287" t="s">
        <v>12473</v>
      </c>
      <c r="H1287" t="s">
        <v>70</v>
      </c>
      <c r="I1287">
        <v>83344</v>
      </c>
      <c r="K1287" t="s">
        <v>18317</v>
      </c>
      <c r="L1287" t="s">
        <v>255</v>
      </c>
      <c r="M1287">
        <v>21.3</v>
      </c>
      <c r="N1287">
        <v>1.02</v>
      </c>
      <c r="O1287">
        <v>1.25</v>
      </c>
      <c r="P1287">
        <v>26.63</v>
      </c>
    </row>
    <row r="1288" spans="2:16">
      <c r="C1288">
        <v>6</v>
      </c>
      <c r="D1288">
        <v>10</v>
      </c>
      <c r="E1288">
        <v>3</v>
      </c>
      <c r="F1288" t="s">
        <v>11708</v>
      </c>
    </row>
    <row r="1289" spans="2:16">
      <c r="C1289">
        <v>6</v>
      </c>
      <c r="D1289">
        <v>10</v>
      </c>
      <c r="E1289">
        <v>3</v>
      </c>
      <c r="F1289" t="s">
        <v>11708</v>
      </c>
      <c r="H1289" t="s">
        <v>20871</v>
      </c>
      <c r="P1289">
        <v>216.2</v>
      </c>
    </row>
    <row r="1290" spans="2:16">
      <c r="C1290">
        <v>6</v>
      </c>
      <c r="D1290">
        <v>10</v>
      </c>
      <c r="E1290">
        <v>3</v>
      </c>
      <c r="F1290" t="s">
        <v>11708</v>
      </c>
    </row>
    <row r="1291" spans="2:16">
      <c r="B1291">
        <v>1</v>
      </c>
      <c r="C1291">
        <v>6</v>
      </c>
      <c r="D1291">
        <v>10</v>
      </c>
      <c r="E1291">
        <v>4</v>
      </c>
      <c r="F1291" t="s">
        <v>11708</v>
      </c>
      <c r="H1291" t="s">
        <v>11703</v>
      </c>
      <c r="I1291" t="s">
        <v>64</v>
      </c>
      <c r="J1291" s="25" t="s">
        <v>20872</v>
      </c>
      <c r="K1291" t="s">
        <v>1225</v>
      </c>
      <c r="L1291" t="s">
        <v>25</v>
      </c>
      <c r="M1291" t="s">
        <v>11704</v>
      </c>
      <c r="N1291" t="s">
        <v>11705</v>
      </c>
      <c r="O1291" t="s">
        <v>11706</v>
      </c>
      <c r="P1291" t="s">
        <v>27</v>
      </c>
    </row>
    <row r="1292" spans="2:16">
      <c r="C1292">
        <v>6</v>
      </c>
      <c r="D1292">
        <v>10</v>
      </c>
      <c r="E1292">
        <v>4</v>
      </c>
      <c r="F1292" t="s">
        <v>11708</v>
      </c>
    </row>
    <row r="1293" spans="2:16">
      <c r="C1293">
        <v>6</v>
      </c>
      <c r="D1293">
        <v>10</v>
      </c>
      <c r="E1293">
        <v>4</v>
      </c>
      <c r="F1293" t="s">
        <v>11708</v>
      </c>
      <c r="G1293" t="s">
        <v>12474</v>
      </c>
      <c r="H1293" t="s">
        <v>70</v>
      </c>
      <c r="I1293">
        <v>94116</v>
      </c>
      <c r="K1293" t="s">
        <v>18309</v>
      </c>
      <c r="L1293" t="s">
        <v>255</v>
      </c>
      <c r="M1293">
        <v>1.06</v>
      </c>
      <c r="N1293">
        <v>120.39</v>
      </c>
      <c r="O1293">
        <v>147.1</v>
      </c>
      <c r="P1293">
        <v>155.93</v>
      </c>
    </row>
    <row r="1294" spans="2:16">
      <c r="C1294">
        <v>6</v>
      </c>
      <c r="D1294">
        <v>10</v>
      </c>
      <c r="E1294">
        <v>4</v>
      </c>
      <c r="F1294" t="s">
        <v>11708</v>
      </c>
      <c r="G1294" t="s">
        <v>12475</v>
      </c>
      <c r="H1294" t="s">
        <v>70</v>
      </c>
      <c r="I1294">
        <v>95241</v>
      </c>
      <c r="K1294" t="s">
        <v>6694</v>
      </c>
      <c r="L1294" t="s">
        <v>256</v>
      </c>
      <c r="M1294">
        <v>7.09</v>
      </c>
      <c r="N1294">
        <v>18.73</v>
      </c>
      <c r="O1294">
        <v>22.89</v>
      </c>
      <c r="P1294">
        <v>162.29</v>
      </c>
    </row>
    <row r="1295" spans="2:16">
      <c r="C1295">
        <v>6</v>
      </c>
      <c r="D1295">
        <v>10</v>
      </c>
      <c r="E1295">
        <v>4</v>
      </c>
      <c r="F1295" t="s">
        <v>11708</v>
      </c>
      <c r="G1295" t="s">
        <v>20488</v>
      </c>
      <c r="H1295" t="s">
        <v>70</v>
      </c>
      <c r="I1295">
        <v>92415</v>
      </c>
      <c r="K1295" t="s">
        <v>16234</v>
      </c>
      <c r="L1295" t="s">
        <v>256</v>
      </c>
      <c r="M1295">
        <v>34.56</v>
      </c>
      <c r="N1295">
        <v>73.489999999999995</v>
      </c>
      <c r="O1295">
        <v>89.8</v>
      </c>
      <c r="P1295">
        <v>3103.49</v>
      </c>
    </row>
    <row r="1296" spans="2:16">
      <c r="C1296">
        <v>6</v>
      </c>
      <c r="D1296">
        <v>10</v>
      </c>
      <c r="E1296">
        <v>4</v>
      </c>
      <c r="F1296" t="s">
        <v>11708</v>
      </c>
      <c r="G1296" t="s">
        <v>20489</v>
      </c>
      <c r="H1296" t="s">
        <v>70</v>
      </c>
      <c r="I1296">
        <v>92510</v>
      </c>
      <c r="K1296" t="s">
        <v>16326</v>
      </c>
      <c r="L1296" t="s">
        <v>256</v>
      </c>
      <c r="M1296">
        <v>2.2799999999999998</v>
      </c>
      <c r="N1296">
        <v>27.47</v>
      </c>
      <c r="O1296">
        <v>33.57</v>
      </c>
      <c r="P1296">
        <v>76.540000000000006</v>
      </c>
    </row>
    <row r="1297" spans="2:16">
      <c r="C1297">
        <v>6</v>
      </c>
      <c r="D1297">
        <v>10</v>
      </c>
      <c r="E1297">
        <v>4</v>
      </c>
      <c r="F1297" t="s">
        <v>11708</v>
      </c>
      <c r="G1297" t="s">
        <v>20493</v>
      </c>
      <c r="H1297" t="s">
        <v>1</v>
      </c>
      <c r="I1297">
        <v>316</v>
      </c>
      <c r="K1297" t="s">
        <v>20713</v>
      </c>
      <c r="L1297" t="s">
        <v>255</v>
      </c>
      <c r="M1297">
        <v>6.1</v>
      </c>
      <c r="N1297">
        <v>476.83</v>
      </c>
      <c r="O1297">
        <v>582.64</v>
      </c>
      <c r="P1297">
        <v>3554.1</v>
      </c>
    </row>
    <row r="1298" spans="2:16">
      <c r="C1298">
        <v>6</v>
      </c>
      <c r="D1298">
        <v>10</v>
      </c>
      <c r="E1298">
        <v>4</v>
      </c>
      <c r="F1298" t="s">
        <v>11708</v>
      </c>
      <c r="G1298" t="s">
        <v>20494</v>
      </c>
      <c r="H1298" t="s">
        <v>70</v>
      </c>
      <c r="I1298">
        <v>92915</v>
      </c>
      <c r="K1298" t="s">
        <v>16452</v>
      </c>
      <c r="L1298" t="s">
        <v>90</v>
      </c>
      <c r="M1298">
        <v>100.72</v>
      </c>
      <c r="N1298">
        <v>12.53</v>
      </c>
      <c r="O1298">
        <v>15.31</v>
      </c>
      <c r="P1298">
        <v>1542.02</v>
      </c>
    </row>
    <row r="1299" spans="2:16">
      <c r="C1299">
        <v>6</v>
      </c>
      <c r="D1299">
        <v>10</v>
      </c>
      <c r="E1299">
        <v>4</v>
      </c>
      <c r="F1299" t="s">
        <v>11708</v>
      </c>
      <c r="G1299" t="s">
        <v>20495</v>
      </c>
      <c r="H1299" t="s">
        <v>70</v>
      </c>
      <c r="I1299">
        <v>92916</v>
      </c>
      <c r="K1299" t="s">
        <v>16453</v>
      </c>
      <c r="L1299" t="s">
        <v>90</v>
      </c>
      <c r="M1299">
        <v>147.72</v>
      </c>
      <c r="N1299">
        <v>11.46</v>
      </c>
      <c r="O1299">
        <v>14</v>
      </c>
      <c r="P1299">
        <v>2068.08</v>
      </c>
    </row>
    <row r="1300" spans="2:16">
      <c r="C1300">
        <v>6</v>
      </c>
      <c r="D1300">
        <v>10</v>
      </c>
      <c r="E1300">
        <v>4</v>
      </c>
      <c r="F1300" t="s">
        <v>11708</v>
      </c>
      <c r="G1300" t="s">
        <v>20496</v>
      </c>
      <c r="H1300" t="s">
        <v>70</v>
      </c>
      <c r="I1300">
        <v>92917</v>
      </c>
      <c r="K1300" t="s">
        <v>16454</v>
      </c>
      <c r="L1300" t="s">
        <v>90</v>
      </c>
      <c r="M1300">
        <v>114.14</v>
      </c>
      <c r="N1300">
        <v>11</v>
      </c>
      <c r="O1300">
        <v>13.44</v>
      </c>
      <c r="P1300">
        <v>1534.04</v>
      </c>
    </row>
    <row r="1301" spans="2:16">
      <c r="C1301">
        <v>6</v>
      </c>
      <c r="D1301">
        <v>10</v>
      </c>
      <c r="E1301">
        <v>4</v>
      </c>
      <c r="F1301" t="s">
        <v>11708</v>
      </c>
      <c r="G1301" t="s">
        <v>20497</v>
      </c>
      <c r="H1301" t="s">
        <v>70</v>
      </c>
      <c r="I1301">
        <v>92919</v>
      </c>
      <c r="K1301" t="s">
        <v>16455</v>
      </c>
      <c r="L1301" t="s">
        <v>90</v>
      </c>
      <c r="M1301">
        <v>302.14999999999998</v>
      </c>
      <c r="N1301">
        <v>8.93</v>
      </c>
      <c r="O1301">
        <v>10.91</v>
      </c>
      <c r="P1301">
        <v>3296.46</v>
      </c>
    </row>
    <row r="1302" spans="2:16">
      <c r="C1302">
        <v>6</v>
      </c>
      <c r="D1302">
        <v>10</v>
      </c>
      <c r="E1302">
        <v>4</v>
      </c>
      <c r="F1302" t="s">
        <v>11708</v>
      </c>
      <c r="G1302" t="s">
        <v>12476</v>
      </c>
      <c r="H1302" t="s">
        <v>70</v>
      </c>
      <c r="I1302" t="s">
        <v>19257</v>
      </c>
      <c r="K1302" t="s">
        <v>5042</v>
      </c>
      <c r="L1302" t="s">
        <v>65</v>
      </c>
      <c r="M1302">
        <v>1</v>
      </c>
      <c r="N1302">
        <v>83.42</v>
      </c>
      <c r="O1302">
        <v>101.93</v>
      </c>
      <c r="P1302">
        <v>101.93</v>
      </c>
    </row>
    <row r="1303" spans="2:16">
      <c r="C1303">
        <v>6</v>
      </c>
      <c r="D1303">
        <v>10</v>
      </c>
      <c r="E1303">
        <v>4</v>
      </c>
      <c r="F1303" t="s">
        <v>11708</v>
      </c>
    </row>
    <row r="1304" spans="2:16">
      <c r="C1304">
        <v>6</v>
      </c>
      <c r="D1304">
        <v>10</v>
      </c>
      <c r="E1304">
        <v>4</v>
      </c>
      <c r="F1304" t="s">
        <v>11708</v>
      </c>
      <c r="H1304" t="s">
        <v>20873</v>
      </c>
      <c r="P1304">
        <v>15594.880000000001</v>
      </c>
    </row>
    <row r="1305" spans="2:16">
      <c r="C1305">
        <v>6</v>
      </c>
      <c r="D1305">
        <v>10</v>
      </c>
      <c r="E1305">
        <v>4</v>
      </c>
      <c r="F1305" t="s">
        <v>11708</v>
      </c>
    </row>
    <row r="1306" spans="2:16">
      <c r="B1306">
        <v>1</v>
      </c>
      <c r="C1306">
        <v>6</v>
      </c>
      <c r="D1306">
        <v>10</v>
      </c>
      <c r="E1306">
        <v>5</v>
      </c>
      <c r="F1306" t="s">
        <v>11708</v>
      </c>
      <c r="H1306" t="s">
        <v>11703</v>
      </c>
      <c r="I1306" t="s">
        <v>64</v>
      </c>
      <c r="J1306" s="25" t="s">
        <v>20874</v>
      </c>
      <c r="K1306" t="s">
        <v>12688</v>
      </c>
      <c r="L1306" t="s">
        <v>25</v>
      </c>
      <c r="M1306" t="s">
        <v>11704</v>
      </c>
      <c r="N1306" t="s">
        <v>11705</v>
      </c>
      <c r="O1306" t="s">
        <v>11706</v>
      </c>
      <c r="P1306" t="s">
        <v>27</v>
      </c>
    </row>
    <row r="1307" spans="2:16">
      <c r="C1307">
        <v>6</v>
      </c>
      <c r="D1307">
        <v>10</v>
      </c>
      <c r="E1307">
        <v>5</v>
      </c>
      <c r="F1307" t="s">
        <v>11708</v>
      </c>
    </row>
    <row r="1308" spans="2:16">
      <c r="C1308">
        <v>6</v>
      </c>
      <c r="D1308">
        <v>10</v>
      </c>
      <c r="E1308">
        <v>5</v>
      </c>
      <c r="F1308" t="s">
        <v>11708</v>
      </c>
      <c r="G1308" t="s">
        <v>12484</v>
      </c>
      <c r="H1308" t="s">
        <v>70</v>
      </c>
      <c r="I1308">
        <v>92743</v>
      </c>
      <c r="K1308" t="s">
        <v>373</v>
      </c>
      <c r="L1308" t="s">
        <v>255</v>
      </c>
      <c r="M1308">
        <v>11.7</v>
      </c>
      <c r="N1308">
        <v>375.24</v>
      </c>
      <c r="O1308">
        <v>458.51</v>
      </c>
      <c r="P1308">
        <v>5364.57</v>
      </c>
    </row>
    <row r="1309" spans="2:16">
      <c r="C1309">
        <v>6</v>
      </c>
      <c r="D1309">
        <v>10</v>
      </c>
      <c r="E1309">
        <v>5</v>
      </c>
      <c r="F1309" t="s">
        <v>11708</v>
      </c>
    </row>
    <row r="1310" spans="2:16">
      <c r="C1310">
        <v>6</v>
      </c>
      <c r="D1310">
        <v>10</v>
      </c>
      <c r="E1310">
        <v>5</v>
      </c>
      <c r="F1310" t="s">
        <v>11708</v>
      </c>
      <c r="H1310" t="s">
        <v>20875</v>
      </c>
      <c r="P1310">
        <v>5364.57</v>
      </c>
    </row>
    <row r="1311" spans="2:16">
      <c r="C1311">
        <v>6</v>
      </c>
      <c r="D1311">
        <v>10</v>
      </c>
      <c r="E1311">
        <v>5</v>
      </c>
      <c r="F1311" t="s">
        <v>11708</v>
      </c>
    </row>
    <row r="1312" spans="2:16">
      <c r="B1312">
        <v>1</v>
      </c>
      <c r="C1312">
        <v>6</v>
      </c>
      <c r="D1312">
        <v>10</v>
      </c>
      <c r="E1312">
        <v>6</v>
      </c>
      <c r="F1312" t="s">
        <v>11708</v>
      </c>
      <c r="H1312" t="s">
        <v>11703</v>
      </c>
      <c r="I1312" t="s">
        <v>64</v>
      </c>
      <c r="J1312" s="25" t="s">
        <v>20876</v>
      </c>
      <c r="K1312" t="s">
        <v>12689</v>
      </c>
      <c r="L1312" t="s">
        <v>25</v>
      </c>
      <c r="M1312" t="s">
        <v>11704</v>
      </c>
      <c r="N1312" t="s">
        <v>11705</v>
      </c>
      <c r="O1312" t="s">
        <v>11706</v>
      </c>
      <c r="P1312" t="s">
        <v>27</v>
      </c>
    </row>
    <row r="1313" spans="2:16">
      <c r="C1313">
        <v>6</v>
      </c>
      <c r="D1313">
        <v>10</v>
      </c>
      <c r="E1313">
        <v>6</v>
      </c>
      <c r="F1313" t="s">
        <v>11708</v>
      </c>
    </row>
    <row r="1314" spans="2:16">
      <c r="C1314">
        <v>6</v>
      </c>
      <c r="D1314">
        <v>10</v>
      </c>
      <c r="E1314">
        <v>6</v>
      </c>
      <c r="F1314" t="s">
        <v>11708</v>
      </c>
      <c r="G1314" t="s">
        <v>14349</v>
      </c>
      <c r="H1314" t="s">
        <v>70</v>
      </c>
      <c r="I1314">
        <v>92836</v>
      </c>
      <c r="K1314" t="s">
        <v>14803</v>
      </c>
      <c r="L1314" t="s">
        <v>71</v>
      </c>
      <c r="M1314">
        <v>11</v>
      </c>
      <c r="N1314">
        <v>9.08</v>
      </c>
      <c r="O1314">
        <v>11.09</v>
      </c>
      <c r="P1314">
        <v>121.99</v>
      </c>
    </row>
    <row r="1315" spans="2:16">
      <c r="C1315">
        <v>6</v>
      </c>
      <c r="D1315">
        <v>10</v>
      </c>
      <c r="E1315">
        <v>6</v>
      </c>
      <c r="F1315" t="s">
        <v>11708</v>
      </c>
    </row>
    <row r="1316" spans="2:16">
      <c r="C1316">
        <v>6</v>
      </c>
      <c r="D1316">
        <v>10</v>
      </c>
      <c r="E1316">
        <v>6</v>
      </c>
      <c r="F1316" t="s">
        <v>11708</v>
      </c>
      <c r="H1316" t="s">
        <v>20877</v>
      </c>
      <c r="P1316">
        <v>121.99</v>
      </c>
    </row>
    <row r="1317" spans="2:16">
      <c r="D1317">
        <v>10</v>
      </c>
      <c r="E1317">
        <v>6</v>
      </c>
      <c r="F1317" t="s">
        <v>11708</v>
      </c>
    </row>
    <row r="1318" spans="2:16">
      <c r="B1318">
        <v>1</v>
      </c>
      <c r="C1318">
        <v>0</v>
      </c>
      <c r="D1318">
        <v>10</v>
      </c>
      <c r="E1318">
        <v>7</v>
      </c>
      <c r="F1318" t="s">
        <v>11708</v>
      </c>
      <c r="H1318" t="s">
        <v>11703</v>
      </c>
      <c r="I1318" t="s">
        <v>64</v>
      </c>
      <c r="J1318" s="25" t="s">
        <v>20878</v>
      </c>
      <c r="K1318" t="s">
        <v>20205</v>
      </c>
      <c r="L1318" t="s">
        <v>25</v>
      </c>
      <c r="M1318" t="s">
        <v>11704</v>
      </c>
      <c r="N1318" t="s">
        <v>11705</v>
      </c>
      <c r="O1318" t="s">
        <v>11706</v>
      </c>
      <c r="P1318" t="s">
        <v>27</v>
      </c>
    </row>
    <row r="1319" spans="2:16">
      <c r="C1319">
        <v>0</v>
      </c>
      <c r="D1319">
        <v>10</v>
      </c>
      <c r="E1319">
        <v>7</v>
      </c>
      <c r="F1319" t="s">
        <v>11708</v>
      </c>
    </row>
    <row r="1320" spans="2:16">
      <c r="C1320">
        <v>0</v>
      </c>
      <c r="D1320">
        <v>10</v>
      </c>
      <c r="E1320">
        <v>7</v>
      </c>
      <c r="F1320" t="s">
        <v>11708</v>
      </c>
      <c r="G1320" t="s">
        <v>14350</v>
      </c>
      <c r="H1320" t="s">
        <v>70</v>
      </c>
      <c r="I1320" t="s">
        <v>16604</v>
      </c>
      <c r="K1320" t="s">
        <v>6022</v>
      </c>
      <c r="L1320" t="s">
        <v>256</v>
      </c>
      <c r="M1320">
        <v>20.52</v>
      </c>
      <c r="N1320">
        <v>7.91</v>
      </c>
      <c r="O1320">
        <v>9.67</v>
      </c>
      <c r="P1320">
        <v>198.43</v>
      </c>
    </row>
    <row r="1321" spans="2:16">
      <c r="D1321">
        <v>10</v>
      </c>
      <c r="E1321">
        <v>7</v>
      </c>
      <c r="F1321" t="s">
        <v>11708</v>
      </c>
      <c r="G1321" t="s">
        <v>14351</v>
      </c>
      <c r="H1321" t="s">
        <v>70</v>
      </c>
      <c r="I1321" t="s">
        <v>16608</v>
      </c>
      <c r="K1321" t="s">
        <v>16609</v>
      </c>
      <c r="L1321" t="s">
        <v>256</v>
      </c>
      <c r="M1321">
        <v>30.24</v>
      </c>
      <c r="N1321">
        <v>52.66</v>
      </c>
      <c r="O1321">
        <v>64.349999999999994</v>
      </c>
      <c r="P1321">
        <v>1945.94</v>
      </c>
    </row>
    <row r="1322" spans="2:16">
      <c r="C1322">
        <v>0</v>
      </c>
      <c r="D1322">
        <v>10</v>
      </c>
      <c r="E1322">
        <v>7</v>
      </c>
      <c r="F1322" t="s">
        <v>11708</v>
      </c>
    </row>
    <row r="1323" spans="2:16">
      <c r="C1323">
        <v>0</v>
      </c>
      <c r="D1323">
        <v>10</v>
      </c>
      <c r="E1323">
        <v>7</v>
      </c>
      <c r="F1323" t="s">
        <v>11708</v>
      </c>
      <c r="H1323" t="s">
        <v>20879</v>
      </c>
      <c r="P1323">
        <v>2144.37</v>
      </c>
    </row>
    <row r="1324" spans="2:16">
      <c r="C1324">
        <v>6</v>
      </c>
      <c r="D1324">
        <v>10</v>
      </c>
      <c r="E1324">
        <v>7</v>
      </c>
      <c r="F1324" t="s">
        <v>11708</v>
      </c>
    </row>
    <row r="1325" spans="2:16">
      <c r="B1325">
        <v>1</v>
      </c>
      <c r="C1325">
        <v>6</v>
      </c>
      <c r="D1325">
        <v>10</v>
      </c>
      <c r="E1325">
        <v>8</v>
      </c>
      <c r="F1325" t="s">
        <v>11708</v>
      </c>
      <c r="H1325" t="s">
        <v>11703</v>
      </c>
      <c r="I1325" t="s">
        <v>64</v>
      </c>
      <c r="J1325" s="25" t="s">
        <v>20880</v>
      </c>
      <c r="K1325" t="s">
        <v>20204</v>
      </c>
      <c r="L1325" t="s">
        <v>25</v>
      </c>
      <c r="M1325" t="s">
        <v>11704</v>
      </c>
      <c r="N1325" t="s">
        <v>11705</v>
      </c>
      <c r="O1325" t="s">
        <v>11706</v>
      </c>
      <c r="P1325" t="s">
        <v>27</v>
      </c>
    </row>
    <row r="1326" spans="2:16">
      <c r="C1326">
        <v>6</v>
      </c>
      <c r="D1326">
        <v>10</v>
      </c>
      <c r="E1326">
        <v>8</v>
      </c>
      <c r="F1326" t="s">
        <v>11708</v>
      </c>
    </row>
    <row r="1327" spans="2:16">
      <c r="C1327">
        <v>6</v>
      </c>
      <c r="D1327">
        <v>10</v>
      </c>
      <c r="E1327">
        <v>8</v>
      </c>
      <c r="F1327" t="s">
        <v>11708</v>
      </c>
      <c r="G1327" t="s">
        <v>12477</v>
      </c>
      <c r="H1327" t="s">
        <v>70</v>
      </c>
      <c r="I1327" t="s">
        <v>18613</v>
      </c>
      <c r="K1327" t="s">
        <v>18614</v>
      </c>
      <c r="L1327" t="s">
        <v>256</v>
      </c>
      <c r="M1327">
        <v>6.8</v>
      </c>
      <c r="N1327">
        <v>39.54</v>
      </c>
      <c r="O1327">
        <v>48.31</v>
      </c>
      <c r="P1327">
        <v>328.51</v>
      </c>
    </row>
    <row r="1328" spans="2:16">
      <c r="C1328">
        <v>6</v>
      </c>
      <c r="D1328">
        <v>10</v>
      </c>
      <c r="E1328">
        <v>8</v>
      </c>
      <c r="F1328" t="s">
        <v>11708</v>
      </c>
    </row>
    <row r="1329" spans="1:16">
      <c r="C1329">
        <v>6</v>
      </c>
      <c r="D1329">
        <v>10</v>
      </c>
      <c r="E1329">
        <v>8</v>
      </c>
      <c r="F1329" t="s">
        <v>11708</v>
      </c>
      <c r="H1329" t="s">
        <v>20881</v>
      </c>
      <c r="P1329">
        <v>328.51</v>
      </c>
    </row>
    <row r="1330" spans="1:16">
      <c r="C1330">
        <v>6</v>
      </c>
      <c r="D1330">
        <v>10</v>
      </c>
      <c r="E1330">
        <v>8</v>
      </c>
      <c r="F1330" t="s">
        <v>11708</v>
      </c>
    </row>
    <row r="1331" spans="1:16">
      <c r="B1331">
        <v>1</v>
      </c>
      <c r="C1331">
        <v>6</v>
      </c>
      <c r="D1331">
        <v>10</v>
      </c>
      <c r="E1331">
        <v>9</v>
      </c>
      <c r="F1331" t="s">
        <v>11708</v>
      </c>
      <c r="H1331" t="s">
        <v>11703</v>
      </c>
      <c r="I1331" t="s">
        <v>64</v>
      </c>
      <c r="J1331" s="25" t="s">
        <v>20882</v>
      </c>
      <c r="K1331" t="s">
        <v>11738</v>
      </c>
      <c r="L1331" t="s">
        <v>25</v>
      </c>
      <c r="M1331" t="s">
        <v>11704</v>
      </c>
      <c r="N1331" t="s">
        <v>11705</v>
      </c>
      <c r="O1331" t="s">
        <v>11706</v>
      </c>
      <c r="P1331" t="s">
        <v>27</v>
      </c>
    </row>
    <row r="1332" spans="1:16">
      <c r="C1332">
        <v>6</v>
      </c>
      <c r="D1332">
        <v>10</v>
      </c>
      <c r="E1332">
        <v>9</v>
      </c>
      <c r="F1332" t="s">
        <v>11708</v>
      </c>
    </row>
    <row r="1333" spans="1:16">
      <c r="C1333">
        <v>6</v>
      </c>
      <c r="D1333">
        <v>10</v>
      </c>
      <c r="E1333">
        <v>9</v>
      </c>
      <c r="F1333" t="s">
        <v>11708</v>
      </c>
      <c r="G1333" t="s">
        <v>12489</v>
      </c>
      <c r="H1333" t="s">
        <v>1</v>
      </c>
      <c r="I1333">
        <v>1612</v>
      </c>
      <c r="K1333" t="s">
        <v>19836</v>
      </c>
      <c r="L1333" t="s">
        <v>65</v>
      </c>
      <c r="M1333">
        <v>1</v>
      </c>
      <c r="N1333">
        <v>1231.04</v>
      </c>
      <c r="O1333">
        <v>1504.21</v>
      </c>
      <c r="P1333">
        <v>1504.21</v>
      </c>
    </row>
    <row r="1334" spans="1:16">
      <c r="C1334">
        <v>6</v>
      </c>
      <c r="D1334">
        <v>10</v>
      </c>
      <c r="E1334">
        <v>9</v>
      </c>
      <c r="F1334" t="s">
        <v>11708</v>
      </c>
      <c r="G1334" t="s">
        <v>14345</v>
      </c>
      <c r="H1334" t="s">
        <v>70</v>
      </c>
      <c r="I1334">
        <v>9537</v>
      </c>
      <c r="K1334" t="s">
        <v>966</v>
      </c>
      <c r="L1334" t="s">
        <v>256</v>
      </c>
      <c r="M1334">
        <v>22.2</v>
      </c>
      <c r="N1334">
        <v>2.02</v>
      </c>
      <c r="O1334">
        <v>2.4700000000000002</v>
      </c>
      <c r="P1334">
        <v>54.83</v>
      </c>
    </row>
    <row r="1335" spans="1:16">
      <c r="C1335">
        <v>6</v>
      </c>
      <c r="D1335">
        <v>10</v>
      </c>
      <c r="E1335">
        <v>9</v>
      </c>
      <c r="F1335" t="s">
        <v>11708</v>
      </c>
    </row>
    <row r="1336" spans="1:16">
      <c r="C1336">
        <v>6</v>
      </c>
      <c r="D1336">
        <v>10</v>
      </c>
      <c r="E1336">
        <v>9</v>
      </c>
      <c r="F1336" t="s">
        <v>11708</v>
      </c>
      <c r="H1336" t="s">
        <v>20883</v>
      </c>
      <c r="P1336">
        <v>1559.04</v>
      </c>
    </row>
    <row r="1337" spans="1:16">
      <c r="C1337">
        <v>6</v>
      </c>
      <c r="D1337">
        <v>10</v>
      </c>
      <c r="E1337">
        <v>9</v>
      </c>
      <c r="F1337" t="s">
        <v>11708</v>
      </c>
    </row>
    <row r="1338" spans="1:16">
      <c r="A1338">
        <v>1</v>
      </c>
      <c r="C1338">
        <v>6</v>
      </c>
      <c r="D1338">
        <v>11</v>
      </c>
      <c r="E1338">
        <v>0</v>
      </c>
      <c r="F1338" t="s">
        <v>11708</v>
      </c>
      <c r="H1338" t="s">
        <v>20884</v>
      </c>
      <c r="I1338" t="s">
        <v>11719</v>
      </c>
      <c r="O1338" t="s">
        <v>11702</v>
      </c>
      <c r="P1338">
        <v>831846.12000000011</v>
      </c>
    </row>
    <row r="1339" spans="1:16">
      <c r="C1339">
        <v>6</v>
      </c>
      <c r="D1339">
        <v>11</v>
      </c>
      <c r="E1339">
        <v>0</v>
      </c>
      <c r="F1339" t="s">
        <v>11708</v>
      </c>
    </row>
    <row r="1340" spans="1:16">
      <c r="B1340">
        <v>1</v>
      </c>
      <c r="C1340">
        <v>6</v>
      </c>
      <c r="D1340">
        <v>11</v>
      </c>
      <c r="E1340">
        <v>1</v>
      </c>
      <c r="F1340" t="s">
        <v>11708</v>
      </c>
      <c r="H1340" t="s">
        <v>11703</v>
      </c>
      <c r="I1340" t="s">
        <v>64</v>
      </c>
      <c r="J1340" s="25" t="s">
        <v>20885</v>
      </c>
      <c r="K1340" t="s">
        <v>12690</v>
      </c>
      <c r="L1340" t="s">
        <v>25</v>
      </c>
      <c r="M1340" t="s">
        <v>11704</v>
      </c>
      <c r="N1340" t="s">
        <v>11705</v>
      </c>
      <c r="O1340" t="s">
        <v>11706</v>
      </c>
      <c r="P1340" t="s">
        <v>27</v>
      </c>
    </row>
    <row r="1341" spans="1:16">
      <c r="C1341">
        <v>6</v>
      </c>
      <c r="D1341">
        <v>11</v>
      </c>
      <c r="E1341">
        <v>1</v>
      </c>
      <c r="F1341" t="s">
        <v>11708</v>
      </c>
    </row>
    <row r="1342" spans="1:16">
      <c r="C1342">
        <v>6</v>
      </c>
      <c r="D1342">
        <v>11</v>
      </c>
      <c r="E1342">
        <v>1</v>
      </c>
      <c r="F1342" t="s">
        <v>11708</v>
      </c>
      <c r="G1342" t="s">
        <v>12075</v>
      </c>
      <c r="H1342" t="s">
        <v>70</v>
      </c>
      <c r="I1342">
        <v>92415</v>
      </c>
      <c r="K1342" t="s">
        <v>16234</v>
      </c>
      <c r="L1342" t="s">
        <v>256</v>
      </c>
      <c r="M1342">
        <v>22.4</v>
      </c>
      <c r="N1342">
        <v>73.489999999999995</v>
      </c>
      <c r="O1342">
        <v>89.8</v>
      </c>
      <c r="P1342">
        <v>2011.52</v>
      </c>
    </row>
    <row r="1343" spans="1:16">
      <c r="C1343">
        <v>6</v>
      </c>
      <c r="D1343">
        <v>11</v>
      </c>
      <c r="E1343">
        <v>1</v>
      </c>
      <c r="F1343" t="s">
        <v>11708</v>
      </c>
      <c r="G1343" t="s">
        <v>12076</v>
      </c>
      <c r="H1343" t="s">
        <v>70</v>
      </c>
      <c r="I1343">
        <v>94962</v>
      </c>
      <c r="K1343" t="s">
        <v>16529</v>
      </c>
      <c r="L1343" t="s">
        <v>255</v>
      </c>
      <c r="M1343">
        <v>1.04</v>
      </c>
      <c r="N1343">
        <v>229.97</v>
      </c>
      <c r="O1343">
        <v>281</v>
      </c>
      <c r="P1343">
        <v>292.24</v>
      </c>
    </row>
    <row r="1344" spans="1:16">
      <c r="C1344">
        <v>6</v>
      </c>
      <c r="D1344">
        <v>11</v>
      </c>
      <c r="E1344">
        <v>1</v>
      </c>
      <c r="F1344" t="s">
        <v>11708</v>
      </c>
    </row>
    <row r="1345" spans="2:16">
      <c r="C1345">
        <v>6</v>
      </c>
      <c r="D1345">
        <v>11</v>
      </c>
      <c r="E1345">
        <v>1</v>
      </c>
      <c r="F1345" t="s">
        <v>11708</v>
      </c>
      <c r="H1345" t="s">
        <v>20886</v>
      </c>
      <c r="P1345">
        <v>2303.7600000000002</v>
      </c>
    </row>
    <row r="1346" spans="2:16">
      <c r="C1346">
        <v>6</v>
      </c>
      <c r="D1346">
        <v>11</v>
      </c>
      <c r="E1346">
        <v>1</v>
      </c>
      <c r="F1346" t="s">
        <v>11708</v>
      </c>
    </row>
    <row r="1347" spans="2:16">
      <c r="B1347">
        <v>1</v>
      </c>
      <c r="C1347">
        <v>6</v>
      </c>
      <c r="D1347">
        <v>11</v>
      </c>
      <c r="E1347">
        <v>2</v>
      </c>
      <c r="F1347" t="s">
        <v>11708</v>
      </c>
      <c r="H1347" t="s">
        <v>11703</v>
      </c>
      <c r="I1347" t="s">
        <v>64</v>
      </c>
      <c r="J1347" s="25" t="s">
        <v>20887</v>
      </c>
      <c r="K1347" t="s">
        <v>12691</v>
      </c>
      <c r="L1347" t="s">
        <v>25</v>
      </c>
      <c r="M1347" t="s">
        <v>11704</v>
      </c>
      <c r="N1347" t="s">
        <v>11705</v>
      </c>
      <c r="O1347" t="s">
        <v>11706</v>
      </c>
      <c r="P1347" t="s">
        <v>27</v>
      </c>
    </row>
    <row r="1348" spans="2:16">
      <c r="C1348">
        <v>6</v>
      </c>
      <c r="D1348">
        <v>11</v>
      </c>
      <c r="E1348">
        <v>2</v>
      </c>
      <c r="F1348" t="s">
        <v>11708</v>
      </c>
    </row>
    <row r="1349" spans="2:16">
      <c r="C1349">
        <v>6</v>
      </c>
      <c r="D1349">
        <v>11</v>
      </c>
      <c r="E1349">
        <v>2</v>
      </c>
      <c r="F1349" t="s">
        <v>11708</v>
      </c>
      <c r="G1349" t="s">
        <v>12139</v>
      </c>
      <c r="H1349" t="s">
        <v>70</v>
      </c>
      <c r="I1349" t="s">
        <v>19163</v>
      </c>
      <c r="K1349" t="s">
        <v>19164</v>
      </c>
      <c r="L1349" t="s">
        <v>256</v>
      </c>
      <c r="M1349">
        <v>4940</v>
      </c>
      <c r="N1349">
        <v>0.59</v>
      </c>
      <c r="O1349">
        <v>0.72</v>
      </c>
      <c r="P1349">
        <v>3556.8</v>
      </c>
    </row>
    <row r="1350" spans="2:16">
      <c r="C1350">
        <v>6</v>
      </c>
      <c r="D1350">
        <v>11</v>
      </c>
      <c r="E1350">
        <v>2</v>
      </c>
      <c r="F1350" t="s">
        <v>11708</v>
      </c>
      <c r="G1350" t="s">
        <v>12085</v>
      </c>
      <c r="H1350" t="s">
        <v>70</v>
      </c>
      <c r="I1350">
        <v>92394</v>
      </c>
      <c r="K1350" t="s">
        <v>5376</v>
      </c>
      <c r="L1350" t="s">
        <v>256</v>
      </c>
      <c r="M1350">
        <v>4400</v>
      </c>
      <c r="N1350">
        <v>51.23</v>
      </c>
      <c r="O1350">
        <v>62.6</v>
      </c>
      <c r="P1350">
        <v>275440</v>
      </c>
    </row>
    <row r="1351" spans="2:16">
      <c r="C1351">
        <v>6</v>
      </c>
      <c r="D1351">
        <v>11</v>
      </c>
      <c r="E1351">
        <v>2</v>
      </c>
      <c r="F1351" t="s">
        <v>11708</v>
      </c>
      <c r="G1351" t="s">
        <v>12086</v>
      </c>
      <c r="H1351" t="s">
        <v>70</v>
      </c>
      <c r="I1351">
        <v>68333</v>
      </c>
      <c r="K1351" t="s">
        <v>18681</v>
      </c>
      <c r="L1351" t="s">
        <v>256</v>
      </c>
      <c r="M1351">
        <v>540</v>
      </c>
      <c r="N1351">
        <v>39.51</v>
      </c>
      <c r="O1351">
        <v>48.28</v>
      </c>
      <c r="P1351">
        <v>26071.200000000001</v>
      </c>
    </row>
    <row r="1352" spans="2:16">
      <c r="C1352">
        <v>6</v>
      </c>
      <c r="D1352">
        <v>11</v>
      </c>
      <c r="E1352">
        <v>2</v>
      </c>
      <c r="F1352" t="s">
        <v>11708</v>
      </c>
      <c r="G1352" t="s">
        <v>12077</v>
      </c>
      <c r="H1352" t="s">
        <v>70</v>
      </c>
      <c r="I1352">
        <v>4059</v>
      </c>
      <c r="K1352" t="s">
        <v>7377</v>
      </c>
      <c r="L1352" t="s">
        <v>71</v>
      </c>
      <c r="M1352">
        <v>2835</v>
      </c>
      <c r="N1352">
        <v>21.5</v>
      </c>
      <c r="O1352">
        <v>26.27</v>
      </c>
      <c r="P1352">
        <v>74475.45</v>
      </c>
    </row>
    <row r="1353" spans="2:16">
      <c r="C1353">
        <v>6</v>
      </c>
      <c r="D1353">
        <v>11</v>
      </c>
      <c r="E1353">
        <v>2</v>
      </c>
      <c r="F1353" t="s">
        <v>11708</v>
      </c>
      <c r="G1353" t="s">
        <v>20498</v>
      </c>
      <c r="H1353" t="s">
        <v>70</v>
      </c>
      <c r="I1353">
        <v>94273</v>
      </c>
      <c r="K1353" t="s">
        <v>15983</v>
      </c>
      <c r="L1353" t="s">
        <v>71</v>
      </c>
      <c r="M1353">
        <v>2835</v>
      </c>
      <c r="N1353">
        <v>35.43</v>
      </c>
      <c r="O1353">
        <v>43.29</v>
      </c>
      <c r="P1353">
        <v>122727.15</v>
      </c>
    </row>
    <row r="1354" spans="2:16">
      <c r="C1354">
        <v>6</v>
      </c>
      <c r="D1354">
        <v>11</v>
      </c>
      <c r="E1354">
        <v>2</v>
      </c>
      <c r="F1354" t="s">
        <v>11708</v>
      </c>
      <c r="G1354" t="s">
        <v>12087</v>
      </c>
      <c r="H1354" t="s">
        <v>70</v>
      </c>
      <c r="I1354">
        <v>94283</v>
      </c>
      <c r="K1354" t="s">
        <v>15989</v>
      </c>
      <c r="L1354" t="s">
        <v>71</v>
      </c>
      <c r="M1354">
        <v>1421</v>
      </c>
      <c r="N1354">
        <v>39.56</v>
      </c>
      <c r="O1354">
        <v>48.34</v>
      </c>
      <c r="P1354">
        <v>68691.14</v>
      </c>
    </row>
    <row r="1355" spans="2:16">
      <c r="C1355">
        <v>6</v>
      </c>
      <c r="D1355">
        <v>11</v>
      </c>
      <c r="E1355">
        <v>2</v>
      </c>
      <c r="F1355" t="s">
        <v>11708</v>
      </c>
      <c r="G1355" t="s">
        <v>12088</v>
      </c>
      <c r="H1355" t="s">
        <v>70</v>
      </c>
      <c r="I1355">
        <v>94284</v>
      </c>
      <c r="K1355" t="s">
        <v>15990</v>
      </c>
      <c r="L1355" t="s">
        <v>71</v>
      </c>
      <c r="M1355">
        <v>609</v>
      </c>
      <c r="N1355">
        <v>48.24</v>
      </c>
      <c r="O1355">
        <v>58.94</v>
      </c>
      <c r="P1355">
        <v>35894.46</v>
      </c>
    </row>
    <row r="1356" spans="2:16">
      <c r="C1356">
        <v>6</v>
      </c>
      <c r="D1356">
        <v>11</v>
      </c>
      <c r="E1356">
        <v>2</v>
      </c>
      <c r="F1356" t="s">
        <v>11708</v>
      </c>
      <c r="G1356" t="s">
        <v>12089</v>
      </c>
      <c r="H1356" t="s">
        <v>70</v>
      </c>
      <c r="I1356">
        <v>94293</v>
      </c>
      <c r="K1356" t="s">
        <v>5428</v>
      </c>
      <c r="L1356" t="s">
        <v>71</v>
      </c>
      <c r="M1356">
        <v>75</v>
      </c>
      <c r="N1356">
        <v>91.34</v>
      </c>
      <c r="O1356">
        <v>111.61</v>
      </c>
      <c r="P1356">
        <v>8370.75</v>
      </c>
    </row>
    <row r="1357" spans="2:16">
      <c r="C1357">
        <v>6</v>
      </c>
      <c r="D1357">
        <v>11</v>
      </c>
      <c r="E1357">
        <v>2</v>
      </c>
      <c r="F1357" t="s">
        <v>11708</v>
      </c>
      <c r="G1357" t="s">
        <v>12078</v>
      </c>
      <c r="H1357" t="s">
        <v>70</v>
      </c>
      <c r="I1357">
        <v>94990</v>
      </c>
      <c r="K1357" t="s">
        <v>18684</v>
      </c>
      <c r="L1357" t="s">
        <v>255</v>
      </c>
      <c r="M1357">
        <v>28.74</v>
      </c>
      <c r="N1357">
        <v>497.55</v>
      </c>
      <c r="O1357">
        <v>607.96</v>
      </c>
      <c r="P1357">
        <v>17472.77</v>
      </c>
    </row>
    <row r="1358" spans="2:16">
      <c r="C1358">
        <v>6</v>
      </c>
      <c r="D1358">
        <v>11</v>
      </c>
      <c r="E1358">
        <v>2</v>
      </c>
      <c r="F1358" t="s">
        <v>11708</v>
      </c>
    </row>
    <row r="1359" spans="2:16">
      <c r="C1359">
        <v>6</v>
      </c>
      <c r="D1359">
        <v>11</v>
      </c>
      <c r="E1359">
        <v>2</v>
      </c>
      <c r="F1359" t="s">
        <v>11708</v>
      </c>
      <c r="H1359" t="s">
        <v>20888</v>
      </c>
      <c r="P1359">
        <v>632699.72</v>
      </c>
    </row>
    <row r="1360" spans="2:16">
      <c r="C1360">
        <v>6</v>
      </c>
      <c r="D1360">
        <v>11</v>
      </c>
      <c r="E1360">
        <v>2</v>
      </c>
      <c r="F1360" t="s">
        <v>11708</v>
      </c>
    </row>
    <row r="1361" spans="2:16">
      <c r="B1361">
        <v>1</v>
      </c>
      <c r="C1361">
        <v>6</v>
      </c>
      <c r="D1361">
        <v>11</v>
      </c>
      <c r="E1361">
        <v>3</v>
      </c>
      <c r="F1361" t="s">
        <v>11708</v>
      </c>
      <c r="H1361" t="s">
        <v>11703</v>
      </c>
      <c r="I1361" t="s">
        <v>64</v>
      </c>
      <c r="J1361" s="25" t="s">
        <v>20889</v>
      </c>
      <c r="K1361" t="s">
        <v>12692</v>
      </c>
      <c r="L1361" t="s">
        <v>25</v>
      </c>
      <c r="M1361" t="s">
        <v>11704</v>
      </c>
      <c r="N1361" t="s">
        <v>11705</v>
      </c>
      <c r="O1361" t="s">
        <v>11706</v>
      </c>
      <c r="P1361" t="s">
        <v>27</v>
      </c>
    </row>
    <row r="1362" spans="2:16">
      <c r="C1362">
        <v>6</v>
      </c>
      <c r="D1362">
        <v>11</v>
      </c>
      <c r="E1362">
        <v>3</v>
      </c>
      <c r="F1362" t="s">
        <v>11708</v>
      </c>
    </row>
    <row r="1363" spans="2:16">
      <c r="C1363">
        <v>6</v>
      </c>
      <c r="D1363">
        <v>11</v>
      </c>
      <c r="E1363">
        <v>3</v>
      </c>
      <c r="F1363" t="s">
        <v>11708</v>
      </c>
      <c r="G1363" t="s">
        <v>12074</v>
      </c>
      <c r="H1363" t="s">
        <v>70</v>
      </c>
      <c r="I1363">
        <v>85180</v>
      </c>
      <c r="K1363" t="s">
        <v>1129</v>
      </c>
      <c r="L1363" t="s">
        <v>256</v>
      </c>
      <c r="M1363">
        <v>12791</v>
      </c>
      <c r="N1363">
        <v>11.51</v>
      </c>
      <c r="O1363">
        <v>14.06</v>
      </c>
      <c r="P1363">
        <v>179841.46</v>
      </c>
    </row>
    <row r="1364" spans="2:16">
      <c r="C1364">
        <v>6</v>
      </c>
      <c r="D1364">
        <v>11</v>
      </c>
      <c r="E1364">
        <v>3</v>
      </c>
      <c r="F1364" t="s">
        <v>11708</v>
      </c>
      <c r="G1364" t="s">
        <v>12090</v>
      </c>
      <c r="H1364" t="s">
        <v>70</v>
      </c>
      <c r="I1364" t="s">
        <v>19323</v>
      </c>
      <c r="K1364" t="s">
        <v>8134</v>
      </c>
      <c r="L1364" t="s">
        <v>65</v>
      </c>
      <c r="M1364">
        <v>20</v>
      </c>
      <c r="N1364">
        <v>95.87</v>
      </c>
      <c r="O1364">
        <v>117.14</v>
      </c>
      <c r="P1364">
        <v>2342.8000000000002</v>
      </c>
    </row>
    <row r="1365" spans="2:16">
      <c r="C1365">
        <v>6</v>
      </c>
      <c r="D1365">
        <v>11</v>
      </c>
      <c r="E1365">
        <v>3</v>
      </c>
      <c r="F1365" t="s">
        <v>11708</v>
      </c>
      <c r="G1365" t="s">
        <v>12091</v>
      </c>
      <c r="H1365" t="s">
        <v>70</v>
      </c>
      <c r="I1365" t="s">
        <v>19324</v>
      </c>
      <c r="K1365" t="s">
        <v>19325</v>
      </c>
      <c r="L1365" t="s">
        <v>65</v>
      </c>
      <c r="M1365">
        <v>18</v>
      </c>
      <c r="N1365">
        <v>118.28</v>
      </c>
      <c r="O1365">
        <v>144.53</v>
      </c>
      <c r="P1365">
        <v>2601.54</v>
      </c>
    </row>
    <row r="1366" spans="2:16">
      <c r="C1366">
        <v>6</v>
      </c>
      <c r="D1366">
        <v>11</v>
      </c>
      <c r="E1366">
        <v>3</v>
      </c>
      <c r="F1366" t="s">
        <v>11708</v>
      </c>
    </row>
    <row r="1367" spans="2:16">
      <c r="C1367">
        <v>6</v>
      </c>
      <c r="D1367">
        <v>11</v>
      </c>
      <c r="E1367">
        <v>3</v>
      </c>
      <c r="F1367" t="s">
        <v>11708</v>
      </c>
      <c r="H1367" t="s">
        <v>20890</v>
      </c>
      <c r="P1367">
        <v>184785.8</v>
      </c>
    </row>
    <row r="1368" spans="2:16">
      <c r="C1368">
        <v>6</v>
      </c>
      <c r="D1368">
        <v>11</v>
      </c>
      <c r="E1368">
        <v>3</v>
      </c>
      <c r="F1368" t="s">
        <v>11708</v>
      </c>
    </row>
    <row r="1369" spans="2:16">
      <c r="B1369">
        <v>1</v>
      </c>
      <c r="C1369">
        <v>6</v>
      </c>
      <c r="D1369">
        <v>11</v>
      </c>
      <c r="E1369">
        <v>4</v>
      </c>
      <c r="F1369" t="s">
        <v>11708</v>
      </c>
      <c r="H1369" t="s">
        <v>11703</v>
      </c>
      <c r="I1369" t="s">
        <v>64</v>
      </c>
      <c r="J1369" s="25" t="s">
        <v>20891</v>
      </c>
      <c r="K1369" t="s">
        <v>12693</v>
      </c>
      <c r="L1369" t="s">
        <v>25</v>
      </c>
      <c r="M1369" t="s">
        <v>11704</v>
      </c>
      <c r="N1369" t="s">
        <v>11705</v>
      </c>
      <c r="O1369" t="s">
        <v>11706</v>
      </c>
      <c r="P1369" t="s">
        <v>27</v>
      </c>
    </row>
    <row r="1370" spans="2:16">
      <c r="C1370">
        <v>6</v>
      </c>
      <c r="D1370">
        <v>11</v>
      </c>
      <c r="E1370">
        <v>4</v>
      </c>
      <c r="F1370" t="s">
        <v>11708</v>
      </c>
    </row>
    <row r="1371" spans="2:16">
      <c r="C1371">
        <v>6</v>
      </c>
      <c r="D1371">
        <v>11</v>
      </c>
      <c r="E1371">
        <v>4</v>
      </c>
      <c r="F1371" t="s">
        <v>11708</v>
      </c>
      <c r="G1371" t="s">
        <v>12092</v>
      </c>
      <c r="H1371" t="s">
        <v>70</v>
      </c>
      <c r="I1371" t="s">
        <v>15767</v>
      </c>
      <c r="K1371" t="s">
        <v>7644</v>
      </c>
      <c r="L1371" t="s">
        <v>255</v>
      </c>
      <c r="M1371">
        <v>3.78</v>
      </c>
      <c r="N1371">
        <v>295.16000000000003</v>
      </c>
      <c r="O1371">
        <v>360.66</v>
      </c>
      <c r="P1371">
        <v>1363.29</v>
      </c>
    </row>
    <row r="1372" spans="2:16">
      <c r="C1372">
        <v>6</v>
      </c>
      <c r="D1372">
        <v>11</v>
      </c>
      <c r="E1372">
        <v>4</v>
      </c>
      <c r="F1372" t="s">
        <v>11708</v>
      </c>
    </row>
    <row r="1373" spans="2:16">
      <c r="C1373">
        <v>6</v>
      </c>
      <c r="D1373">
        <v>11</v>
      </c>
      <c r="E1373">
        <v>4</v>
      </c>
      <c r="F1373" t="s">
        <v>11708</v>
      </c>
      <c r="H1373" t="s">
        <v>20892</v>
      </c>
      <c r="P1373">
        <v>1363.29</v>
      </c>
    </row>
    <row r="1374" spans="2:16">
      <c r="C1374">
        <v>6</v>
      </c>
      <c r="D1374">
        <v>11</v>
      </c>
      <c r="E1374">
        <v>4</v>
      </c>
      <c r="F1374" t="s">
        <v>11708</v>
      </c>
    </row>
    <row r="1375" spans="2:16">
      <c r="B1375">
        <v>1</v>
      </c>
      <c r="C1375">
        <v>6</v>
      </c>
      <c r="D1375">
        <v>11</v>
      </c>
      <c r="E1375">
        <v>5</v>
      </c>
      <c r="F1375" t="s">
        <v>11708</v>
      </c>
      <c r="H1375" t="s">
        <v>11703</v>
      </c>
      <c r="I1375" t="s">
        <v>64</v>
      </c>
      <c r="J1375" s="25" t="s">
        <v>20893</v>
      </c>
      <c r="K1375" t="s">
        <v>11738</v>
      </c>
      <c r="L1375" t="s">
        <v>25</v>
      </c>
      <c r="M1375" t="s">
        <v>11704</v>
      </c>
      <c r="N1375" t="s">
        <v>11705</v>
      </c>
      <c r="O1375" t="s">
        <v>11706</v>
      </c>
      <c r="P1375" t="s">
        <v>27</v>
      </c>
    </row>
    <row r="1376" spans="2:16">
      <c r="C1376">
        <v>6</v>
      </c>
      <c r="D1376">
        <v>11</v>
      </c>
      <c r="E1376">
        <v>5</v>
      </c>
      <c r="F1376" t="s">
        <v>11708</v>
      </c>
    </row>
    <row r="1377" spans="3:16">
      <c r="C1377">
        <v>6</v>
      </c>
      <c r="D1377">
        <v>11</v>
      </c>
      <c r="E1377">
        <v>5</v>
      </c>
      <c r="F1377" t="s">
        <v>11708</v>
      </c>
      <c r="G1377" t="s">
        <v>12094</v>
      </c>
      <c r="H1377" t="s">
        <v>10852</v>
      </c>
      <c r="I1377">
        <v>1496</v>
      </c>
      <c r="K1377" t="s">
        <v>19965</v>
      </c>
      <c r="L1377" t="s">
        <v>65</v>
      </c>
      <c r="M1377">
        <v>1</v>
      </c>
      <c r="N1377">
        <v>2160</v>
      </c>
      <c r="O1377">
        <v>2639.3</v>
      </c>
      <c r="P1377">
        <v>2639.3</v>
      </c>
    </row>
    <row r="1378" spans="3:16">
      <c r="C1378">
        <v>6</v>
      </c>
      <c r="D1378">
        <v>11</v>
      </c>
      <c r="E1378">
        <v>5</v>
      </c>
      <c r="F1378" t="s">
        <v>11708</v>
      </c>
      <c r="G1378" t="s">
        <v>12095</v>
      </c>
      <c r="H1378" t="s">
        <v>11720</v>
      </c>
      <c r="I1378" t="s">
        <v>12097</v>
      </c>
      <c r="K1378" t="s">
        <v>20503</v>
      </c>
      <c r="L1378" t="s">
        <v>1274</v>
      </c>
      <c r="M1378">
        <v>8</v>
      </c>
      <c r="N1378">
        <v>320.62</v>
      </c>
      <c r="O1378">
        <v>391.77</v>
      </c>
      <c r="P1378">
        <v>3134.16</v>
      </c>
    </row>
    <row r="1379" spans="3:16">
      <c r="C1379">
        <v>6</v>
      </c>
      <c r="D1379">
        <v>11</v>
      </c>
      <c r="E1379">
        <v>5</v>
      </c>
      <c r="F1379" t="s">
        <v>11708</v>
      </c>
      <c r="G1379" t="s">
        <v>12096</v>
      </c>
      <c r="H1379" t="s">
        <v>11720</v>
      </c>
      <c r="I1379" t="s">
        <v>12098</v>
      </c>
      <c r="K1379" t="s">
        <v>20504</v>
      </c>
      <c r="L1379" t="s">
        <v>1274</v>
      </c>
      <c r="M1379">
        <v>1</v>
      </c>
      <c r="N1379">
        <v>4026.5900000000006</v>
      </c>
      <c r="O1379">
        <v>4920.09</v>
      </c>
      <c r="P1379">
        <v>4920.09</v>
      </c>
    </row>
    <row r="1380" spans="3:16">
      <c r="C1380">
        <v>6</v>
      </c>
      <c r="D1380">
        <v>11</v>
      </c>
      <c r="E1380">
        <v>5</v>
      </c>
      <c r="F1380" t="s">
        <v>11708</v>
      </c>
    </row>
    <row r="1381" spans="3:16">
      <c r="C1381">
        <v>6</v>
      </c>
      <c r="D1381">
        <v>11</v>
      </c>
      <c r="E1381">
        <v>5</v>
      </c>
      <c r="F1381" t="s">
        <v>11708</v>
      </c>
      <c r="H1381" t="s">
        <v>20894</v>
      </c>
      <c r="P1381">
        <v>10693.55</v>
      </c>
    </row>
    <row r="1383" spans="3:16">
      <c r="F1383" t="s">
        <v>11724</v>
      </c>
      <c r="H1383" t="s">
        <v>11633</v>
      </c>
      <c r="I1383" t="s">
        <v>11721</v>
      </c>
      <c r="O1383" t="s">
        <v>78</v>
      </c>
      <c r="P1383">
        <v>5631749.5200000014</v>
      </c>
    </row>
    <row r="1385" spans="3:16">
      <c r="C1385">
        <v>1</v>
      </c>
      <c r="D1385">
        <v>0</v>
      </c>
      <c r="F1385" t="s">
        <v>11724</v>
      </c>
      <c r="H1385">
        <v>1</v>
      </c>
      <c r="I1385" t="s">
        <v>14634</v>
      </c>
      <c r="O1385" t="s">
        <v>11702</v>
      </c>
      <c r="P1385">
        <v>93256.810000000012</v>
      </c>
    </row>
    <row r="1386" spans="3:16">
      <c r="C1386">
        <v>1</v>
      </c>
      <c r="D1386">
        <v>0</v>
      </c>
      <c r="F1386" t="s">
        <v>11724</v>
      </c>
    </row>
    <row r="1387" spans="3:16">
      <c r="C1387">
        <v>1</v>
      </c>
      <c r="D1387">
        <v>1</v>
      </c>
      <c r="F1387" t="s">
        <v>11724</v>
      </c>
      <c r="H1387" t="s">
        <v>14543</v>
      </c>
      <c r="I1387" t="s">
        <v>14259</v>
      </c>
      <c r="L1387" t="s">
        <v>25</v>
      </c>
      <c r="M1387" t="s">
        <v>11704</v>
      </c>
      <c r="N1387" t="s">
        <v>11705</v>
      </c>
      <c r="O1387" t="s">
        <v>11706</v>
      </c>
      <c r="P1387">
        <v>93256.810000000012</v>
      </c>
    </row>
    <row r="1388" spans="3:16">
      <c r="C1388">
        <v>1</v>
      </c>
      <c r="D1388">
        <v>1</v>
      </c>
      <c r="F1388" t="s">
        <v>11724</v>
      </c>
    </row>
    <row r="1389" spans="3:16">
      <c r="C1389">
        <v>1</v>
      </c>
      <c r="D1389">
        <v>1</v>
      </c>
      <c r="F1389" t="s">
        <v>11724</v>
      </c>
      <c r="K1389" t="s">
        <v>14260</v>
      </c>
    </row>
    <row r="1390" spans="3:16">
      <c r="C1390">
        <v>1</v>
      </c>
      <c r="D1390">
        <v>1</v>
      </c>
      <c r="F1390" t="s">
        <v>11724</v>
      </c>
      <c r="H1390" t="s">
        <v>70</v>
      </c>
      <c r="I1390">
        <v>41934</v>
      </c>
      <c r="K1390" t="s">
        <v>19746</v>
      </c>
      <c r="L1390" t="s">
        <v>71</v>
      </c>
      <c r="N1390">
        <v>220.35</v>
      </c>
      <c r="O1390">
        <v>247.87</v>
      </c>
      <c r="P1390">
        <v>0</v>
      </c>
    </row>
    <row r="1391" spans="3:16">
      <c r="C1391">
        <v>1</v>
      </c>
      <c r="D1391">
        <v>1</v>
      </c>
      <c r="F1391" t="s">
        <v>11724</v>
      </c>
      <c r="K1391" t="s">
        <v>14261</v>
      </c>
    </row>
    <row r="1392" spans="3:16">
      <c r="C1392">
        <v>1</v>
      </c>
      <c r="D1392">
        <v>1</v>
      </c>
      <c r="F1392" t="s">
        <v>11724</v>
      </c>
      <c r="H1392" t="s">
        <v>11722</v>
      </c>
      <c r="I1392" t="s">
        <v>14186</v>
      </c>
      <c r="K1392" t="s">
        <v>14447</v>
      </c>
      <c r="L1392" t="s">
        <v>10854</v>
      </c>
      <c r="M1392">
        <v>10</v>
      </c>
      <c r="N1392">
        <v>3423.99</v>
      </c>
      <c r="O1392">
        <v>3851.65</v>
      </c>
      <c r="P1392">
        <v>38516.5</v>
      </c>
    </row>
    <row r="1393" spans="3:16">
      <c r="C1393">
        <v>1</v>
      </c>
      <c r="D1393">
        <v>1</v>
      </c>
      <c r="F1393" t="s">
        <v>11724</v>
      </c>
      <c r="H1393" t="s">
        <v>11722</v>
      </c>
      <c r="I1393" t="s">
        <v>14183</v>
      </c>
      <c r="K1393" t="s">
        <v>14444</v>
      </c>
      <c r="L1393" t="s">
        <v>10854</v>
      </c>
      <c r="M1393">
        <v>1</v>
      </c>
      <c r="N1393">
        <v>798.93</v>
      </c>
      <c r="O1393">
        <v>898.72</v>
      </c>
      <c r="P1393">
        <v>898.72</v>
      </c>
    </row>
    <row r="1394" spans="3:16">
      <c r="C1394">
        <v>1</v>
      </c>
      <c r="D1394">
        <v>1</v>
      </c>
      <c r="F1394" t="s">
        <v>11724</v>
      </c>
      <c r="H1394" t="s">
        <v>11722</v>
      </c>
      <c r="I1394" t="s">
        <v>14184</v>
      </c>
      <c r="K1394" t="s">
        <v>14445</v>
      </c>
      <c r="L1394" t="s">
        <v>10854</v>
      </c>
      <c r="M1394">
        <v>1</v>
      </c>
      <c r="N1394">
        <v>1483.73</v>
      </c>
      <c r="O1394">
        <v>1669.05</v>
      </c>
      <c r="P1394">
        <v>1669.05</v>
      </c>
    </row>
    <row r="1395" spans="3:16">
      <c r="C1395">
        <v>1</v>
      </c>
      <c r="D1395">
        <v>1</v>
      </c>
      <c r="F1395" t="s">
        <v>11724</v>
      </c>
      <c r="H1395" t="s">
        <v>11722</v>
      </c>
      <c r="I1395" t="s">
        <v>14185</v>
      </c>
      <c r="K1395" t="s">
        <v>14446</v>
      </c>
      <c r="L1395" t="s">
        <v>10854</v>
      </c>
      <c r="M1395">
        <v>1</v>
      </c>
      <c r="N1395">
        <v>2881.86</v>
      </c>
      <c r="O1395">
        <v>3241.8</v>
      </c>
      <c r="P1395">
        <v>3241.8</v>
      </c>
    </row>
    <row r="1396" spans="3:16">
      <c r="C1396">
        <v>1</v>
      </c>
      <c r="D1396">
        <v>1</v>
      </c>
      <c r="F1396" t="s">
        <v>11724</v>
      </c>
      <c r="H1396" t="s">
        <v>11722</v>
      </c>
      <c r="I1396" t="s">
        <v>14189</v>
      </c>
      <c r="K1396" t="s">
        <v>14454</v>
      </c>
      <c r="L1396" t="s">
        <v>10854</v>
      </c>
      <c r="M1396">
        <v>1</v>
      </c>
      <c r="N1396">
        <v>4621.7</v>
      </c>
      <c r="O1396">
        <v>5198.95</v>
      </c>
      <c r="P1396">
        <v>5198.95</v>
      </c>
    </row>
    <row r="1397" spans="3:16">
      <c r="C1397">
        <v>1</v>
      </c>
      <c r="D1397">
        <v>1</v>
      </c>
      <c r="F1397" t="s">
        <v>11724</v>
      </c>
      <c r="H1397" t="s">
        <v>11722</v>
      </c>
      <c r="I1397" t="s">
        <v>14188</v>
      </c>
      <c r="K1397" t="s">
        <v>14453</v>
      </c>
      <c r="L1397" t="s">
        <v>10854</v>
      </c>
      <c r="M1397">
        <v>1</v>
      </c>
      <c r="N1397">
        <v>4281.7700000000004</v>
      </c>
      <c r="O1397">
        <v>4816.5600000000004</v>
      </c>
      <c r="P1397">
        <v>4816.5600000000004</v>
      </c>
    </row>
    <row r="1398" spans="3:16">
      <c r="C1398">
        <v>1</v>
      </c>
      <c r="D1398">
        <v>1</v>
      </c>
      <c r="F1398" t="s">
        <v>11724</v>
      </c>
      <c r="H1398" t="s">
        <v>11722</v>
      </c>
      <c r="I1398" t="s">
        <v>14187</v>
      </c>
      <c r="K1398" t="s">
        <v>14452</v>
      </c>
      <c r="L1398" t="s">
        <v>10854</v>
      </c>
      <c r="M1398">
        <v>1</v>
      </c>
      <c r="N1398">
        <v>3757.71</v>
      </c>
      <c r="O1398">
        <v>4227.05</v>
      </c>
      <c r="P1398">
        <v>4227.05</v>
      </c>
    </row>
    <row r="1399" spans="3:16">
      <c r="C1399">
        <v>1</v>
      </c>
      <c r="D1399">
        <v>1</v>
      </c>
      <c r="F1399" t="s">
        <v>11724</v>
      </c>
      <c r="H1399" t="s">
        <v>11722</v>
      </c>
      <c r="I1399" t="s">
        <v>14182</v>
      </c>
      <c r="K1399" t="s">
        <v>14440</v>
      </c>
      <c r="L1399" t="s">
        <v>10854</v>
      </c>
      <c r="M1399">
        <v>3</v>
      </c>
      <c r="N1399">
        <v>1005.72</v>
      </c>
      <c r="O1399">
        <v>1131.33</v>
      </c>
      <c r="P1399">
        <v>3393.99</v>
      </c>
    </row>
    <row r="1400" spans="3:16">
      <c r="C1400">
        <v>1</v>
      </c>
      <c r="D1400">
        <v>1</v>
      </c>
      <c r="F1400" t="s">
        <v>11724</v>
      </c>
      <c r="H1400" t="s">
        <v>70</v>
      </c>
      <c r="I1400">
        <v>12574</v>
      </c>
      <c r="K1400" t="s">
        <v>10212</v>
      </c>
      <c r="L1400" t="s">
        <v>71</v>
      </c>
      <c r="M1400">
        <v>37.299999999999997</v>
      </c>
      <c r="N1400">
        <v>399.69</v>
      </c>
      <c r="O1400">
        <v>449.61</v>
      </c>
      <c r="P1400">
        <v>16770.45</v>
      </c>
    </row>
    <row r="1401" spans="3:16">
      <c r="C1401">
        <v>1</v>
      </c>
      <c r="D1401">
        <v>1</v>
      </c>
      <c r="F1401" t="s">
        <v>11724</v>
      </c>
      <c r="K1401" t="s">
        <v>14262</v>
      </c>
    </row>
    <row r="1402" spans="3:16">
      <c r="C1402">
        <v>1</v>
      </c>
      <c r="D1402">
        <v>1</v>
      </c>
      <c r="F1402" t="s">
        <v>11724</v>
      </c>
      <c r="H1402" t="s">
        <v>11722</v>
      </c>
      <c r="I1402" t="s">
        <v>14186</v>
      </c>
      <c r="K1402" t="s">
        <v>14447</v>
      </c>
      <c r="L1402" t="s">
        <v>10854</v>
      </c>
      <c r="M1402">
        <v>1</v>
      </c>
      <c r="N1402">
        <v>3423.99</v>
      </c>
      <c r="O1402">
        <v>3851.65</v>
      </c>
      <c r="P1402">
        <v>3851.65</v>
      </c>
    </row>
    <row r="1403" spans="3:16">
      <c r="C1403">
        <v>1</v>
      </c>
      <c r="D1403">
        <v>1</v>
      </c>
      <c r="F1403" t="s">
        <v>11724</v>
      </c>
      <c r="H1403" t="s">
        <v>11722</v>
      </c>
      <c r="I1403" t="s">
        <v>14263</v>
      </c>
      <c r="K1403" t="s">
        <v>14456</v>
      </c>
      <c r="L1403" t="s">
        <v>10854</v>
      </c>
      <c r="M1403">
        <v>1</v>
      </c>
      <c r="N1403">
        <v>3252.79</v>
      </c>
      <c r="O1403">
        <v>3659.06</v>
      </c>
      <c r="P1403">
        <v>3659.06</v>
      </c>
    </row>
    <row r="1404" spans="3:16">
      <c r="C1404">
        <v>1</v>
      </c>
      <c r="D1404">
        <v>1</v>
      </c>
      <c r="F1404" t="s">
        <v>11724</v>
      </c>
      <c r="H1404" t="s">
        <v>11722</v>
      </c>
      <c r="I1404" t="s">
        <v>14264</v>
      </c>
      <c r="K1404" t="s">
        <v>14457</v>
      </c>
      <c r="L1404" t="s">
        <v>10854</v>
      </c>
      <c r="M1404">
        <v>1</v>
      </c>
      <c r="N1404">
        <v>1997.33</v>
      </c>
      <c r="O1404">
        <v>2246.8000000000002</v>
      </c>
      <c r="P1404">
        <v>2246.8000000000002</v>
      </c>
    </row>
    <row r="1405" spans="3:16">
      <c r="C1405">
        <v>1</v>
      </c>
      <c r="D1405">
        <v>1</v>
      </c>
      <c r="F1405" t="s">
        <v>11724</v>
      </c>
      <c r="H1405" t="s">
        <v>11722</v>
      </c>
      <c r="I1405" t="s">
        <v>14265</v>
      </c>
      <c r="K1405" t="s">
        <v>14458</v>
      </c>
      <c r="L1405" t="s">
        <v>10854</v>
      </c>
      <c r="M1405">
        <v>1</v>
      </c>
      <c r="N1405">
        <v>856</v>
      </c>
      <c r="O1405">
        <v>962.91</v>
      </c>
      <c r="P1405">
        <v>962.91</v>
      </c>
    </row>
    <row r="1406" spans="3:16">
      <c r="C1406">
        <v>1</v>
      </c>
      <c r="D1406">
        <v>1</v>
      </c>
      <c r="F1406" t="s">
        <v>11724</v>
      </c>
      <c r="H1406" t="s">
        <v>11722</v>
      </c>
      <c r="I1406" t="s">
        <v>14266</v>
      </c>
      <c r="K1406" t="s">
        <v>14459</v>
      </c>
      <c r="L1406" t="s">
        <v>10854</v>
      </c>
      <c r="M1406">
        <v>1</v>
      </c>
      <c r="N1406">
        <v>1369.6</v>
      </c>
      <c r="O1406">
        <v>1540.66</v>
      </c>
      <c r="P1406">
        <v>1540.66</v>
      </c>
    </row>
    <row r="1407" spans="3:16">
      <c r="C1407">
        <v>1</v>
      </c>
      <c r="D1407">
        <v>1</v>
      </c>
      <c r="F1407" t="s">
        <v>11724</v>
      </c>
      <c r="H1407" t="s">
        <v>11722</v>
      </c>
      <c r="I1407" t="s">
        <v>14182</v>
      </c>
      <c r="K1407" t="s">
        <v>14440</v>
      </c>
      <c r="L1407" t="s">
        <v>10854</v>
      </c>
      <c r="M1407">
        <v>2</v>
      </c>
      <c r="N1407">
        <v>1005.72</v>
      </c>
      <c r="O1407">
        <v>1131.33</v>
      </c>
      <c r="P1407">
        <v>2262.66</v>
      </c>
    </row>
    <row r="1408" spans="3:16">
      <c r="C1408">
        <v>1</v>
      </c>
      <c r="D1408">
        <v>1</v>
      </c>
      <c r="F1408" t="s">
        <v>11724</v>
      </c>
    </row>
    <row r="1409" spans="3:16">
      <c r="C1409">
        <v>1</v>
      </c>
      <c r="D1409">
        <v>1</v>
      </c>
      <c r="F1409" t="s">
        <v>11724</v>
      </c>
    </row>
    <row r="1410" spans="3:16">
      <c r="C1410">
        <v>2</v>
      </c>
      <c r="D1410">
        <v>0</v>
      </c>
      <c r="F1410" t="s">
        <v>11724</v>
      </c>
      <c r="H1410">
        <v>2</v>
      </c>
      <c r="I1410" t="s">
        <v>14063</v>
      </c>
      <c r="O1410" t="s">
        <v>11702</v>
      </c>
      <c r="P1410">
        <v>663056.9</v>
      </c>
    </row>
    <row r="1411" spans="3:16">
      <c r="C1411">
        <v>2</v>
      </c>
      <c r="D1411">
        <v>0</v>
      </c>
      <c r="F1411" t="s">
        <v>11724</v>
      </c>
    </row>
    <row r="1412" spans="3:16">
      <c r="C1412">
        <v>2</v>
      </c>
      <c r="D1412">
        <v>1</v>
      </c>
      <c r="F1412" t="s">
        <v>11724</v>
      </c>
      <c r="H1412" t="s">
        <v>14556</v>
      </c>
      <c r="I1412" t="s">
        <v>14172</v>
      </c>
      <c r="L1412" t="s">
        <v>25</v>
      </c>
      <c r="M1412" t="s">
        <v>11704</v>
      </c>
      <c r="N1412" t="s">
        <v>11705</v>
      </c>
      <c r="O1412" t="s">
        <v>11706</v>
      </c>
      <c r="P1412">
        <v>259861.09999999998</v>
      </c>
    </row>
    <row r="1413" spans="3:16">
      <c r="C1413">
        <v>2</v>
      </c>
      <c r="D1413">
        <v>1</v>
      </c>
      <c r="F1413" t="s">
        <v>11724</v>
      </c>
    </row>
    <row r="1414" spans="3:16">
      <c r="C1414">
        <v>2</v>
      </c>
      <c r="D1414">
        <v>1</v>
      </c>
      <c r="F1414" t="s">
        <v>11724</v>
      </c>
      <c r="K1414" t="s">
        <v>14267</v>
      </c>
    </row>
    <row r="1415" spans="3:16">
      <c r="C1415">
        <v>2</v>
      </c>
      <c r="D1415">
        <v>1</v>
      </c>
      <c r="F1415" t="s">
        <v>11724</v>
      </c>
      <c r="H1415" t="s">
        <v>70</v>
      </c>
      <c r="I1415">
        <v>41934</v>
      </c>
      <c r="K1415" t="s">
        <v>19746</v>
      </c>
      <c r="L1415" t="s">
        <v>71</v>
      </c>
      <c r="M1415">
        <v>518</v>
      </c>
      <c r="N1415">
        <v>220.35</v>
      </c>
      <c r="O1415">
        <v>247.87</v>
      </c>
      <c r="P1415">
        <v>128396.66</v>
      </c>
    </row>
    <row r="1416" spans="3:16">
      <c r="C1416">
        <v>2</v>
      </c>
      <c r="D1416">
        <v>1</v>
      </c>
      <c r="F1416" t="s">
        <v>11724</v>
      </c>
      <c r="H1416" t="s">
        <v>70</v>
      </c>
      <c r="I1416">
        <v>7741</v>
      </c>
      <c r="K1416" t="s">
        <v>10175</v>
      </c>
      <c r="L1416" t="s">
        <v>71</v>
      </c>
      <c r="M1416">
        <v>422</v>
      </c>
      <c r="N1416">
        <v>118.02</v>
      </c>
      <c r="O1416">
        <v>132.76</v>
      </c>
      <c r="P1416">
        <v>56024.72</v>
      </c>
    </row>
    <row r="1417" spans="3:16">
      <c r="C1417">
        <v>2</v>
      </c>
      <c r="D1417">
        <v>1</v>
      </c>
      <c r="F1417" t="s">
        <v>11724</v>
      </c>
      <c r="K1417" t="s">
        <v>14256</v>
      </c>
    </row>
    <row r="1418" spans="3:16">
      <c r="C1418">
        <v>2</v>
      </c>
      <c r="D1418">
        <v>1</v>
      </c>
      <c r="F1418" t="s">
        <v>11724</v>
      </c>
      <c r="H1418" t="s">
        <v>11722</v>
      </c>
      <c r="I1418" t="s">
        <v>14173</v>
      </c>
      <c r="K1418" t="s">
        <v>14450</v>
      </c>
      <c r="L1418" t="s">
        <v>10854</v>
      </c>
      <c r="M1418">
        <v>4</v>
      </c>
      <c r="N1418">
        <v>4359.42</v>
      </c>
      <c r="O1418">
        <v>4903.91</v>
      </c>
      <c r="P1418">
        <v>19615.64</v>
      </c>
    </row>
    <row r="1419" spans="3:16">
      <c r="C1419">
        <v>2</v>
      </c>
      <c r="D1419">
        <v>1</v>
      </c>
      <c r="F1419" t="s">
        <v>11724</v>
      </c>
      <c r="H1419" t="s">
        <v>11722</v>
      </c>
      <c r="I1419" t="s">
        <v>14174</v>
      </c>
      <c r="K1419" t="s">
        <v>14448</v>
      </c>
      <c r="L1419" t="s">
        <v>10854</v>
      </c>
      <c r="M1419">
        <v>1</v>
      </c>
      <c r="N1419">
        <v>4286.76</v>
      </c>
      <c r="O1419">
        <v>4822.18</v>
      </c>
      <c r="P1419">
        <v>4822.18</v>
      </c>
    </row>
    <row r="1420" spans="3:16">
      <c r="C1420">
        <v>2</v>
      </c>
      <c r="D1420">
        <v>1</v>
      </c>
      <c r="F1420" t="s">
        <v>11724</v>
      </c>
      <c r="H1420" t="s">
        <v>11722</v>
      </c>
      <c r="I1420" t="s">
        <v>14175</v>
      </c>
      <c r="K1420" t="s">
        <v>14455</v>
      </c>
      <c r="L1420" t="s">
        <v>10854</v>
      </c>
      <c r="M1420">
        <v>1</v>
      </c>
      <c r="N1420">
        <v>8569.9699999999993</v>
      </c>
      <c r="O1420">
        <v>9640.36</v>
      </c>
      <c r="P1420">
        <v>9640.36</v>
      </c>
    </row>
    <row r="1421" spans="3:16">
      <c r="C1421">
        <v>2</v>
      </c>
      <c r="D1421">
        <v>1</v>
      </c>
      <c r="F1421" t="s">
        <v>11724</v>
      </c>
      <c r="H1421" t="s">
        <v>11722</v>
      </c>
      <c r="I1421" t="s">
        <v>14186</v>
      </c>
      <c r="K1421" t="s">
        <v>14447</v>
      </c>
      <c r="L1421" t="s">
        <v>10854</v>
      </c>
      <c r="M1421">
        <v>1</v>
      </c>
      <c r="N1421">
        <v>3423.99</v>
      </c>
      <c r="O1421">
        <v>3851.65</v>
      </c>
      <c r="P1421">
        <v>3851.65</v>
      </c>
    </row>
    <row r="1422" spans="3:16">
      <c r="C1422">
        <v>2</v>
      </c>
      <c r="D1422">
        <v>1</v>
      </c>
      <c r="F1422" t="s">
        <v>11724</v>
      </c>
      <c r="H1422" t="s">
        <v>11722</v>
      </c>
      <c r="I1422" t="s">
        <v>14176</v>
      </c>
      <c r="K1422" t="s">
        <v>14451</v>
      </c>
      <c r="L1422" t="s">
        <v>10854</v>
      </c>
      <c r="M1422">
        <v>1</v>
      </c>
      <c r="N1422">
        <v>5926.94</v>
      </c>
      <c r="O1422">
        <v>6667.21</v>
      </c>
      <c r="P1422">
        <v>6667.21</v>
      </c>
    </row>
    <row r="1423" spans="3:16">
      <c r="C1423">
        <v>2</v>
      </c>
      <c r="D1423">
        <v>1</v>
      </c>
      <c r="F1423" t="s">
        <v>11724</v>
      </c>
      <c r="H1423" t="s">
        <v>11722</v>
      </c>
      <c r="I1423" t="s">
        <v>14177</v>
      </c>
      <c r="K1423" t="s">
        <v>14442</v>
      </c>
      <c r="L1423" t="s">
        <v>10854</v>
      </c>
      <c r="M1423">
        <v>3</v>
      </c>
      <c r="N1423">
        <v>7012.57</v>
      </c>
      <c r="O1423">
        <v>7888.44</v>
      </c>
      <c r="P1423">
        <v>23665.32</v>
      </c>
    </row>
    <row r="1424" spans="3:16">
      <c r="C1424">
        <v>2</v>
      </c>
      <c r="D1424">
        <v>1</v>
      </c>
      <c r="F1424" t="s">
        <v>11724</v>
      </c>
      <c r="H1424" t="s">
        <v>11722</v>
      </c>
      <c r="I1424" t="s">
        <v>14178</v>
      </c>
      <c r="K1424" t="s">
        <v>14441</v>
      </c>
      <c r="L1424" t="s">
        <v>10854</v>
      </c>
      <c r="M1424">
        <v>1</v>
      </c>
      <c r="N1424">
        <v>6380.44</v>
      </c>
      <c r="O1424">
        <v>7177.36</v>
      </c>
      <c r="P1424">
        <v>7177.36</v>
      </c>
    </row>
    <row r="1425" spans="2:16">
      <c r="C1425">
        <v>2</v>
      </c>
      <c r="D1425">
        <v>1</v>
      </c>
      <c r="F1425" t="s">
        <v>11724</v>
      </c>
    </row>
    <row r="1426" spans="2:16">
      <c r="C1426">
        <v>2</v>
      </c>
      <c r="D1426">
        <v>2</v>
      </c>
      <c r="F1426" t="s">
        <v>11724</v>
      </c>
      <c r="H1426" t="s">
        <v>14544</v>
      </c>
      <c r="I1426" t="s">
        <v>14179</v>
      </c>
      <c r="L1426" t="s">
        <v>25</v>
      </c>
      <c r="M1426" t="s">
        <v>11704</v>
      </c>
      <c r="N1426" t="s">
        <v>11705</v>
      </c>
      <c r="O1426" t="s">
        <v>11706</v>
      </c>
      <c r="P1426">
        <v>403195.8</v>
      </c>
    </row>
    <row r="1427" spans="2:16">
      <c r="C1427">
        <v>2</v>
      </c>
      <c r="D1427">
        <v>2</v>
      </c>
      <c r="F1427" t="s">
        <v>11724</v>
      </c>
    </row>
    <row r="1428" spans="2:16">
      <c r="C1428">
        <v>2</v>
      </c>
      <c r="D1428">
        <v>2</v>
      </c>
      <c r="F1428" t="s">
        <v>11724</v>
      </c>
      <c r="K1428" t="s">
        <v>14257</v>
      </c>
    </row>
    <row r="1429" spans="2:16">
      <c r="C1429">
        <v>2</v>
      </c>
      <c r="D1429">
        <v>2</v>
      </c>
      <c r="F1429" t="s">
        <v>11724</v>
      </c>
      <c r="H1429" t="s">
        <v>70</v>
      </c>
      <c r="I1429">
        <v>7744</v>
      </c>
      <c r="K1429" t="s">
        <v>10177</v>
      </c>
      <c r="L1429" t="s">
        <v>71</v>
      </c>
      <c r="M1429">
        <v>263</v>
      </c>
      <c r="N1429">
        <v>183.15</v>
      </c>
      <c r="O1429">
        <v>206.03</v>
      </c>
      <c r="P1429">
        <v>54185.89</v>
      </c>
    </row>
    <row r="1430" spans="2:16">
      <c r="C1430">
        <v>2</v>
      </c>
      <c r="D1430">
        <v>2</v>
      </c>
      <c r="F1430" t="s">
        <v>11724</v>
      </c>
      <c r="K1430" t="s">
        <v>14258</v>
      </c>
    </row>
    <row r="1431" spans="2:16">
      <c r="C1431">
        <v>2</v>
      </c>
      <c r="D1431">
        <v>2</v>
      </c>
      <c r="F1431" t="s">
        <v>11724</v>
      </c>
      <c r="H1431" t="s">
        <v>11722</v>
      </c>
      <c r="I1431" t="s">
        <v>14180</v>
      </c>
      <c r="K1431" t="s">
        <v>14449</v>
      </c>
      <c r="L1431" t="s">
        <v>10854</v>
      </c>
      <c r="M1431">
        <v>29</v>
      </c>
      <c r="N1431">
        <v>10542.77</v>
      </c>
      <c r="O1431">
        <v>11859.56</v>
      </c>
      <c r="P1431">
        <v>343927.24</v>
      </c>
    </row>
    <row r="1432" spans="2:16">
      <c r="C1432">
        <v>2</v>
      </c>
      <c r="D1432">
        <v>2</v>
      </c>
      <c r="F1432" t="s">
        <v>11724</v>
      </c>
      <c r="H1432" t="s">
        <v>11722</v>
      </c>
      <c r="I1432" t="s">
        <v>14181</v>
      </c>
      <c r="K1432" t="s">
        <v>14443</v>
      </c>
      <c r="L1432" t="s">
        <v>10854</v>
      </c>
      <c r="M1432">
        <v>1</v>
      </c>
      <c r="N1432">
        <v>4518.33</v>
      </c>
      <c r="O1432">
        <v>5082.67</v>
      </c>
      <c r="P1432">
        <v>5082.67</v>
      </c>
    </row>
    <row r="1433" spans="2:16">
      <c r="C1433">
        <v>2</v>
      </c>
      <c r="D1433">
        <v>2</v>
      </c>
      <c r="F1433" t="s">
        <v>11724</v>
      </c>
    </row>
    <row r="1434" spans="2:16">
      <c r="C1434">
        <v>3</v>
      </c>
      <c r="D1434">
        <v>0</v>
      </c>
      <c r="F1434" t="s">
        <v>11724</v>
      </c>
      <c r="H1434">
        <v>3</v>
      </c>
      <c r="I1434" t="s">
        <v>14037</v>
      </c>
      <c r="O1434" t="s">
        <v>11702</v>
      </c>
      <c r="P1434">
        <v>4875435.8099999968</v>
      </c>
    </row>
    <row r="1435" spans="2:16">
      <c r="C1435">
        <v>3</v>
      </c>
      <c r="D1435">
        <v>0</v>
      </c>
      <c r="F1435" t="s">
        <v>11724</v>
      </c>
    </row>
    <row r="1436" spans="2:16">
      <c r="B1436">
        <v>1</v>
      </c>
      <c r="C1436">
        <v>3</v>
      </c>
      <c r="D1436">
        <v>1</v>
      </c>
      <c r="F1436" t="s">
        <v>11724</v>
      </c>
      <c r="H1436" t="s">
        <v>14546</v>
      </c>
      <c r="I1436" t="s">
        <v>12696</v>
      </c>
      <c r="L1436" t="s">
        <v>25</v>
      </c>
      <c r="M1436" t="s">
        <v>11704</v>
      </c>
      <c r="N1436" t="s">
        <v>11705</v>
      </c>
      <c r="O1436" t="s">
        <v>11706</v>
      </c>
      <c r="P1436">
        <v>827002.01999999979</v>
      </c>
    </row>
    <row r="1437" spans="2:16">
      <c r="C1437">
        <v>3</v>
      </c>
      <c r="D1437">
        <v>1</v>
      </c>
      <c r="F1437" t="s">
        <v>11724</v>
      </c>
    </row>
    <row r="1438" spans="2:16">
      <c r="C1438">
        <v>3</v>
      </c>
      <c r="D1438">
        <v>1</v>
      </c>
      <c r="F1438" t="s">
        <v>11724</v>
      </c>
      <c r="H1438" t="s">
        <v>11722</v>
      </c>
      <c r="I1438" t="s">
        <v>12819</v>
      </c>
      <c r="K1438" t="s">
        <v>12820</v>
      </c>
      <c r="L1438" t="s">
        <v>1270</v>
      </c>
      <c r="M1438">
        <v>5</v>
      </c>
      <c r="N1438">
        <v>2.9</v>
      </c>
      <c r="O1438">
        <v>3.26</v>
      </c>
      <c r="P1438">
        <v>16.3</v>
      </c>
    </row>
    <row r="1439" spans="2:16">
      <c r="C1439">
        <v>3</v>
      </c>
      <c r="D1439">
        <v>1</v>
      </c>
      <c r="F1439" t="s">
        <v>11724</v>
      </c>
      <c r="H1439" t="s">
        <v>11722</v>
      </c>
      <c r="I1439" t="s">
        <v>12828</v>
      </c>
      <c r="K1439" t="s">
        <v>12829</v>
      </c>
      <c r="L1439" t="s">
        <v>1270</v>
      </c>
      <c r="M1439">
        <v>78</v>
      </c>
      <c r="N1439">
        <v>12.74</v>
      </c>
      <c r="O1439">
        <v>14.33</v>
      </c>
      <c r="P1439">
        <v>1117.74</v>
      </c>
    </row>
    <row r="1440" spans="2:16">
      <c r="C1440">
        <v>3</v>
      </c>
      <c r="D1440">
        <v>1</v>
      </c>
      <c r="F1440" t="s">
        <v>11724</v>
      </c>
      <c r="H1440" t="s">
        <v>11722</v>
      </c>
      <c r="I1440" t="s">
        <v>12831</v>
      </c>
      <c r="K1440" t="s">
        <v>12832</v>
      </c>
      <c r="L1440" t="s">
        <v>1270</v>
      </c>
      <c r="M1440">
        <v>19</v>
      </c>
      <c r="N1440">
        <v>20.07</v>
      </c>
      <c r="O1440">
        <v>22.58</v>
      </c>
      <c r="P1440">
        <v>429.02</v>
      </c>
    </row>
    <row r="1441" spans="3:16">
      <c r="C1441">
        <v>3</v>
      </c>
      <c r="D1441">
        <v>1</v>
      </c>
      <c r="F1441" t="s">
        <v>11724</v>
      </c>
      <c r="H1441" t="s">
        <v>11722</v>
      </c>
      <c r="I1441" t="s">
        <v>12833</v>
      </c>
      <c r="K1441" t="s">
        <v>12834</v>
      </c>
      <c r="L1441" t="s">
        <v>1270</v>
      </c>
      <c r="M1441">
        <v>2</v>
      </c>
      <c r="N1441">
        <v>147.11000000000001</v>
      </c>
      <c r="O1441">
        <v>165.48</v>
      </c>
      <c r="P1441">
        <v>330.96</v>
      </c>
    </row>
    <row r="1442" spans="3:16">
      <c r="C1442">
        <v>3</v>
      </c>
      <c r="D1442">
        <v>1</v>
      </c>
      <c r="F1442" t="s">
        <v>11724</v>
      </c>
      <c r="H1442" t="s">
        <v>11722</v>
      </c>
      <c r="I1442" t="s">
        <v>12835</v>
      </c>
      <c r="K1442" t="s">
        <v>12836</v>
      </c>
      <c r="L1442" t="s">
        <v>1270</v>
      </c>
      <c r="M1442">
        <v>24</v>
      </c>
      <c r="N1442">
        <v>2.4500000000000002</v>
      </c>
      <c r="O1442">
        <v>2.76</v>
      </c>
      <c r="P1442">
        <v>66.239999999999995</v>
      </c>
    </row>
    <row r="1443" spans="3:16">
      <c r="C1443">
        <v>3</v>
      </c>
      <c r="D1443">
        <v>1</v>
      </c>
      <c r="F1443" t="s">
        <v>11724</v>
      </c>
      <c r="H1443" t="s">
        <v>70</v>
      </c>
      <c r="I1443">
        <v>11927</v>
      </c>
      <c r="K1443" t="s">
        <v>1446</v>
      </c>
      <c r="L1443" t="s">
        <v>1270</v>
      </c>
      <c r="M1443">
        <v>1</v>
      </c>
      <c r="N1443">
        <v>3.33</v>
      </c>
      <c r="O1443">
        <v>3.75</v>
      </c>
      <c r="P1443">
        <v>3.75</v>
      </c>
    </row>
    <row r="1444" spans="3:16">
      <c r="C1444">
        <v>3</v>
      </c>
      <c r="D1444">
        <v>1</v>
      </c>
      <c r="F1444" t="s">
        <v>11724</v>
      </c>
      <c r="H1444" t="s">
        <v>11722</v>
      </c>
      <c r="I1444" t="s">
        <v>13141</v>
      </c>
      <c r="K1444" t="s">
        <v>13142</v>
      </c>
      <c r="L1444" t="s">
        <v>1270</v>
      </c>
      <c r="M1444">
        <v>14</v>
      </c>
      <c r="N1444">
        <v>150.69999999999999</v>
      </c>
      <c r="O1444">
        <v>169.52</v>
      </c>
      <c r="P1444">
        <v>2373.2800000000002</v>
      </c>
    </row>
    <row r="1445" spans="3:16">
      <c r="C1445">
        <v>3</v>
      </c>
      <c r="D1445">
        <v>1</v>
      </c>
      <c r="F1445" t="s">
        <v>11724</v>
      </c>
      <c r="H1445" t="s">
        <v>11722</v>
      </c>
      <c r="I1445" t="s">
        <v>12849</v>
      </c>
      <c r="K1445" t="s">
        <v>12850</v>
      </c>
      <c r="L1445" t="s">
        <v>1270</v>
      </c>
      <c r="M1445">
        <v>8</v>
      </c>
      <c r="N1445">
        <v>162.38</v>
      </c>
      <c r="O1445">
        <v>182.66</v>
      </c>
      <c r="P1445">
        <v>1461.28</v>
      </c>
    </row>
    <row r="1446" spans="3:16">
      <c r="C1446">
        <v>3</v>
      </c>
      <c r="D1446">
        <v>1</v>
      </c>
      <c r="F1446" t="s">
        <v>11724</v>
      </c>
      <c r="H1446" t="s">
        <v>11722</v>
      </c>
      <c r="I1446" t="s">
        <v>12857</v>
      </c>
      <c r="K1446" t="s">
        <v>12858</v>
      </c>
      <c r="L1446" t="s">
        <v>1270</v>
      </c>
      <c r="M1446">
        <v>6</v>
      </c>
      <c r="N1446">
        <v>1550.15</v>
      </c>
      <c r="O1446">
        <v>1743.76</v>
      </c>
      <c r="P1446">
        <v>10462.56</v>
      </c>
    </row>
    <row r="1447" spans="3:16">
      <c r="C1447">
        <v>3</v>
      </c>
      <c r="D1447">
        <v>1</v>
      </c>
      <c r="F1447" t="s">
        <v>11724</v>
      </c>
      <c r="H1447" t="s">
        <v>11722</v>
      </c>
      <c r="I1447" t="s">
        <v>12859</v>
      </c>
      <c r="K1447" t="s">
        <v>12860</v>
      </c>
      <c r="L1447" t="s">
        <v>1270</v>
      </c>
      <c r="M1447">
        <v>1</v>
      </c>
      <c r="N1447">
        <v>143.94</v>
      </c>
      <c r="O1447">
        <v>161.91999999999999</v>
      </c>
      <c r="P1447">
        <v>161.91999999999999</v>
      </c>
    </row>
    <row r="1448" spans="3:16">
      <c r="C1448">
        <v>3</v>
      </c>
      <c r="D1448">
        <v>1</v>
      </c>
      <c r="F1448" t="s">
        <v>11724</v>
      </c>
      <c r="H1448" t="s">
        <v>11722</v>
      </c>
      <c r="I1448" t="s">
        <v>12861</v>
      </c>
      <c r="K1448" t="s">
        <v>12862</v>
      </c>
      <c r="L1448" t="s">
        <v>1270</v>
      </c>
      <c r="M1448">
        <v>10</v>
      </c>
      <c r="N1448">
        <v>1188.6099999999999</v>
      </c>
      <c r="O1448">
        <v>1337.07</v>
      </c>
      <c r="P1448">
        <v>13370.7</v>
      </c>
    </row>
    <row r="1449" spans="3:16">
      <c r="C1449">
        <v>3</v>
      </c>
      <c r="D1449">
        <v>1</v>
      </c>
      <c r="F1449" t="s">
        <v>11724</v>
      </c>
      <c r="H1449" t="s">
        <v>11722</v>
      </c>
      <c r="I1449" t="s">
        <v>12863</v>
      </c>
      <c r="K1449" t="s">
        <v>12864</v>
      </c>
      <c r="L1449" t="s">
        <v>1270</v>
      </c>
      <c r="M1449">
        <v>1</v>
      </c>
      <c r="N1449">
        <v>2836.28</v>
      </c>
      <c r="O1449">
        <v>3190.53</v>
      </c>
      <c r="P1449">
        <v>3190.53</v>
      </c>
    </row>
    <row r="1450" spans="3:16">
      <c r="C1450">
        <v>3</v>
      </c>
      <c r="D1450">
        <v>1</v>
      </c>
      <c r="F1450" t="s">
        <v>11724</v>
      </c>
      <c r="H1450" t="s">
        <v>11722</v>
      </c>
      <c r="I1450" t="s">
        <v>12867</v>
      </c>
      <c r="K1450" t="s">
        <v>12868</v>
      </c>
      <c r="L1450" t="s">
        <v>1270</v>
      </c>
      <c r="M1450">
        <v>1</v>
      </c>
      <c r="N1450">
        <v>6255.57</v>
      </c>
      <c r="O1450">
        <v>7036.89</v>
      </c>
      <c r="P1450">
        <v>7036.89</v>
      </c>
    </row>
    <row r="1451" spans="3:16">
      <c r="C1451">
        <v>3</v>
      </c>
      <c r="D1451">
        <v>1</v>
      </c>
      <c r="F1451" t="s">
        <v>11724</v>
      </c>
      <c r="H1451" t="s">
        <v>11722</v>
      </c>
      <c r="I1451" t="s">
        <v>12887</v>
      </c>
      <c r="K1451" t="s">
        <v>12888</v>
      </c>
      <c r="L1451" t="s">
        <v>1270</v>
      </c>
      <c r="M1451">
        <v>1</v>
      </c>
      <c r="N1451">
        <v>564.78</v>
      </c>
      <c r="O1451">
        <v>635.32000000000005</v>
      </c>
      <c r="P1451">
        <v>635.32000000000005</v>
      </c>
    </row>
    <row r="1452" spans="3:16">
      <c r="C1452">
        <v>3</v>
      </c>
      <c r="D1452">
        <v>1</v>
      </c>
      <c r="F1452" t="s">
        <v>11724</v>
      </c>
      <c r="H1452" t="s">
        <v>11722</v>
      </c>
      <c r="I1452" t="s">
        <v>13235</v>
      </c>
      <c r="K1452" t="s">
        <v>13236</v>
      </c>
      <c r="L1452" t="s">
        <v>10854</v>
      </c>
      <c r="M1452">
        <v>1</v>
      </c>
      <c r="N1452">
        <v>567.09</v>
      </c>
      <c r="O1452">
        <v>637.91999999999996</v>
      </c>
      <c r="P1452">
        <v>637.91999999999996</v>
      </c>
    </row>
    <row r="1453" spans="3:16">
      <c r="C1453">
        <v>3</v>
      </c>
      <c r="D1453">
        <v>1</v>
      </c>
      <c r="F1453" t="s">
        <v>11724</v>
      </c>
      <c r="H1453" t="s">
        <v>11722</v>
      </c>
      <c r="I1453" t="s">
        <v>13237</v>
      </c>
      <c r="K1453" t="s">
        <v>13238</v>
      </c>
      <c r="L1453" t="s">
        <v>10854</v>
      </c>
      <c r="M1453">
        <v>2</v>
      </c>
      <c r="N1453">
        <v>380.3</v>
      </c>
      <c r="O1453">
        <v>427.8</v>
      </c>
      <c r="P1453">
        <v>855.6</v>
      </c>
    </row>
    <row r="1454" spans="3:16">
      <c r="C1454">
        <v>3</v>
      </c>
      <c r="D1454">
        <v>1</v>
      </c>
      <c r="F1454" t="s">
        <v>11724</v>
      </c>
      <c r="H1454" t="s">
        <v>11722</v>
      </c>
      <c r="I1454" t="s">
        <v>13239</v>
      </c>
      <c r="K1454" t="s">
        <v>13240</v>
      </c>
      <c r="L1454" t="s">
        <v>10854</v>
      </c>
      <c r="M1454">
        <v>2</v>
      </c>
      <c r="N1454">
        <v>440.8</v>
      </c>
      <c r="O1454">
        <v>495.86</v>
      </c>
      <c r="P1454">
        <v>991.72</v>
      </c>
    </row>
    <row r="1455" spans="3:16">
      <c r="C1455">
        <v>3</v>
      </c>
      <c r="D1455">
        <v>1</v>
      </c>
      <c r="F1455" t="s">
        <v>11724</v>
      </c>
      <c r="H1455" t="s">
        <v>11722</v>
      </c>
      <c r="I1455" t="s">
        <v>13241</v>
      </c>
      <c r="K1455" t="s">
        <v>13242</v>
      </c>
      <c r="L1455" t="s">
        <v>10854</v>
      </c>
      <c r="M1455">
        <v>2</v>
      </c>
      <c r="N1455">
        <v>428.13</v>
      </c>
      <c r="O1455">
        <v>481.6</v>
      </c>
      <c r="P1455">
        <v>963.2</v>
      </c>
    </row>
    <row r="1456" spans="3:16">
      <c r="C1456">
        <v>3</v>
      </c>
      <c r="D1456">
        <v>1</v>
      </c>
      <c r="F1456" t="s">
        <v>11724</v>
      </c>
      <c r="H1456" t="s">
        <v>11722</v>
      </c>
      <c r="I1456" t="s">
        <v>13243</v>
      </c>
      <c r="K1456" t="s">
        <v>13244</v>
      </c>
      <c r="L1456" t="s">
        <v>10854</v>
      </c>
      <c r="M1456">
        <v>5</v>
      </c>
      <c r="N1456">
        <v>431.43</v>
      </c>
      <c r="O1456">
        <v>485.32</v>
      </c>
      <c r="P1456">
        <v>2426.6</v>
      </c>
    </row>
    <row r="1457" spans="3:16">
      <c r="C1457">
        <v>3</v>
      </c>
      <c r="D1457">
        <v>1</v>
      </c>
      <c r="F1457" t="s">
        <v>11724</v>
      </c>
      <c r="H1457" t="s">
        <v>11722</v>
      </c>
      <c r="I1457" t="s">
        <v>13245</v>
      </c>
      <c r="K1457" t="s">
        <v>13246</v>
      </c>
      <c r="L1457" t="s">
        <v>10854</v>
      </c>
      <c r="M1457">
        <v>1</v>
      </c>
      <c r="N1457">
        <v>551</v>
      </c>
      <c r="O1457">
        <v>619.82000000000005</v>
      </c>
      <c r="P1457">
        <v>619.82000000000005</v>
      </c>
    </row>
    <row r="1458" spans="3:16">
      <c r="C1458">
        <v>3</v>
      </c>
      <c r="D1458">
        <v>1</v>
      </c>
      <c r="F1458" t="s">
        <v>11724</v>
      </c>
      <c r="H1458" t="s">
        <v>11722</v>
      </c>
      <c r="I1458" t="s">
        <v>13247</v>
      </c>
      <c r="K1458" t="s">
        <v>13248</v>
      </c>
      <c r="L1458" t="s">
        <v>10854</v>
      </c>
      <c r="M1458">
        <v>1</v>
      </c>
      <c r="N1458">
        <v>519.32000000000005</v>
      </c>
      <c r="O1458">
        <v>584.17999999999995</v>
      </c>
      <c r="P1458">
        <v>584.17999999999995</v>
      </c>
    </row>
    <row r="1459" spans="3:16">
      <c r="C1459">
        <v>3</v>
      </c>
      <c r="D1459">
        <v>1</v>
      </c>
      <c r="F1459" t="s">
        <v>11724</v>
      </c>
      <c r="H1459" t="s">
        <v>11722</v>
      </c>
      <c r="I1459" t="s">
        <v>12891</v>
      </c>
      <c r="K1459" t="s">
        <v>12892</v>
      </c>
      <c r="L1459" t="s">
        <v>1270</v>
      </c>
      <c r="M1459">
        <v>1</v>
      </c>
      <c r="N1459">
        <v>667.43</v>
      </c>
      <c r="O1459">
        <v>750.79</v>
      </c>
      <c r="P1459">
        <v>750.79</v>
      </c>
    </row>
    <row r="1460" spans="3:16">
      <c r="C1460">
        <v>3</v>
      </c>
      <c r="D1460">
        <v>1</v>
      </c>
      <c r="F1460" t="s">
        <v>11724</v>
      </c>
      <c r="H1460" t="s">
        <v>11722</v>
      </c>
      <c r="I1460" t="s">
        <v>12893</v>
      </c>
      <c r="K1460" t="s">
        <v>12894</v>
      </c>
      <c r="L1460" t="s">
        <v>1270</v>
      </c>
      <c r="M1460">
        <v>10</v>
      </c>
      <c r="N1460">
        <v>2153.96</v>
      </c>
      <c r="O1460">
        <v>2422.9899999999998</v>
      </c>
      <c r="P1460">
        <v>24229.9</v>
      </c>
    </row>
    <row r="1461" spans="3:16">
      <c r="C1461">
        <v>3</v>
      </c>
      <c r="D1461">
        <v>1</v>
      </c>
      <c r="F1461" t="s">
        <v>11724</v>
      </c>
      <c r="H1461" t="s">
        <v>11722</v>
      </c>
      <c r="I1461" t="s">
        <v>12901</v>
      </c>
      <c r="K1461" t="s">
        <v>12902</v>
      </c>
      <c r="L1461" t="s">
        <v>1270</v>
      </c>
      <c r="M1461">
        <v>2</v>
      </c>
      <c r="N1461">
        <v>144.31</v>
      </c>
      <c r="O1461">
        <v>162.33000000000001</v>
      </c>
      <c r="P1461">
        <v>324.66000000000003</v>
      </c>
    </row>
    <row r="1462" spans="3:16">
      <c r="C1462">
        <v>3</v>
      </c>
      <c r="D1462">
        <v>1</v>
      </c>
      <c r="F1462" t="s">
        <v>11724</v>
      </c>
      <c r="H1462" t="s">
        <v>70</v>
      </c>
      <c r="I1462">
        <v>89597</v>
      </c>
      <c r="K1462" t="s">
        <v>17320</v>
      </c>
      <c r="L1462" t="s">
        <v>1270</v>
      </c>
      <c r="M1462">
        <v>2</v>
      </c>
      <c r="N1462">
        <v>15.29</v>
      </c>
      <c r="O1462">
        <v>17.2</v>
      </c>
      <c r="P1462">
        <v>34.4</v>
      </c>
    </row>
    <row r="1463" spans="3:16">
      <c r="C1463">
        <v>3</v>
      </c>
      <c r="D1463">
        <v>1</v>
      </c>
      <c r="F1463" t="s">
        <v>11724</v>
      </c>
      <c r="H1463" t="s">
        <v>11722</v>
      </c>
      <c r="I1463" t="s">
        <v>12938</v>
      </c>
      <c r="K1463" t="s">
        <v>12939</v>
      </c>
      <c r="L1463" t="s">
        <v>1270</v>
      </c>
      <c r="M1463">
        <v>5</v>
      </c>
      <c r="N1463">
        <v>705.02</v>
      </c>
      <c r="O1463">
        <v>793.08</v>
      </c>
      <c r="P1463">
        <v>3965.4</v>
      </c>
    </row>
    <row r="1464" spans="3:16">
      <c r="C1464">
        <v>3</v>
      </c>
      <c r="D1464">
        <v>1</v>
      </c>
      <c r="F1464" t="s">
        <v>11724</v>
      </c>
      <c r="H1464" t="s">
        <v>11722</v>
      </c>
      <c r="I1464" t="s">
        <v>12940</v>
      </c>
      <c r="K1464" t="s">
        <v>12941</v>
      </c>
      <c r="L1464" t="s">
        <v>1270</v>
      </c>
      <c r="M1464">
        <v>2</v>
      </c>
      <c r="N1464">
        <v>3617.11</v>
      </c>
      <c r="O1464">
        <v>4068.89</v>
      </c>
      <c r="P1464">
        <v>8137.78</v>
      </c>
    </row>
    <row r="1465" spans="3:16">
      <c r="C1465">
        <v>3</v>
      </c>
      <c r="D1465">
        <v>1</v>
      </c>
      <c r="F1465" t="s">
        <v>11724</v>
      </c>
      <c r="H1465" t="s">
        <v>11722</v>
      </c>
      <c r="I1465" t="s">
        <v>12911</v>
      </c>
      <c r="K1465" t="s">
        <v>12912</v>
      </c>
      <c r="L1465" t="s">
        <v>1270</v>
      </c>
      <c r="M1465">
        <v>24</v>
      </c>
      <c r="N1465">
        <v>3.19</v>
      </c>
      <c r="O1465">
        <v>3.59</v>
      </c>
      <c r="P1465">
        <v>86.16</v>
      </c>
    </row>
    <row r="1466" spans="3:16">
      <c r="C1466">
        <v>3</v>
      </c>
      <c r="D1466">
        <v>1</v>
      </c>
      <c r="F1466" t="s">
        <v>11724</v>
      </c>
      <c r="H1466" t="s">
        <v>11722</v>
      </c>
      <c r="I1466" t="s">
        <v>12925</v>
      </c>
      <c r="K1466" t="s">
        <v>12926</v>
      </c>
      <c r="L1466" t="s">
        <v>1270</v>
      </c>
      <c r="M1466">
        <v>672</v>
      </c>
      <c r="N1466">
        <v>5.58</v>
      </c>
      <c r="O1466">
        <v>6.28</v>
      </c>
      <c r="P1466">
        <v>4220.16</v>
      </c>
    </row>
    <row r="1467" spans="3:16">
      <c r="C1467">
        <v>3</v>
      </c>
      <c r="D1467">
        <v>1</v>
      </c>
      <c r="F1467" t="s">
        <v>11724</v>
      </c>
      <c r="H1467" t="s">
        <v>11722</v>
      </c>
      <c r="I1467" t="s">
        <v>12929</v>
      </c>
      <c r="K1467" t="s">
        <v>12930</v>
      </c>
      <c r="L1467" t="s">
        <v>1270</v>
      </c>
      <c r="M1467">
        <v>304</v>
      </c>
      <c r="N1467">
        <v>12.63</v>
      </c>
      <c r="O1467">
        <v>14.21</v>
      </c>
      <c r="P1467">
        <v>4319.84</v>
      </c>
    </row>
    <row r="1468" spans="3:16">
      <c r="C1468">
        <v>3</v>
      </c>
      <c r="D1468">
        <v>1</v>
      </c>
      <c r="F1468" t="s">
        <v>11724</v>
      </c>
      <c r="H1468" t="s">
        <v>11722</v>
      </c>
      <c r="I1468" t="s">
        <v>12931</v>
      </c>
      <c r="K1468" t="s">
        <v>11741</v>
      </c>
      <c r="L1468" t="s">
        <v>1270</v>
      </c>
      <c r="M1468">
        <v>40</v>
      </c>
      <c r="N1468">
        <v>21.35</v>
      </c>
      <c r="O1468">
        <v>24.02</v>
      </c>
      <c r="P1468">
        <v>960.8</v>
      </c>
    </row>
    <row r="1469" spans="3:16">
      <c r="C1469">
        <v>3</v>
      </c>
      <c r="D1469">
        <v>1</v>
      </c>
      <c r="F1469" t="s">
        <v>11724</v>
      </c>
      <c r="H1469" t="s">
        <v>11722</v>
      </c>
      <c r="I1469" t="s">
        <v>12932</v>
      </c>
      <c r="K1469" t="s">
        <v>12933</v>
      </c>
      <c r="L1469" t="s">
        <v>1270</v>
      </c>
      <c r="M1469">
        <v>192</v>
      </c>
      <c r="N1469">
        <v>3.19</v>
      </c>
      <c r="O1469">
        <v>3.59</v>
      </c>
      <c r="P1469">
        <v>689.28</v>
      </c>
    </row>
    <row r="1470" spans="3:16">
      <c r="C1470">
        <v>3</v>
      </c>
      <c r="D1470">
        <v>1</v>
      </c>
      <c r="F1470" t="s">
        <v>11724</v>
      </c>
      <c r="H1470" t="s">
        <v>11722</v>
      </c>
      <c r="I1470" t="s">
        <v>13280</v>
      </c>
      <c r="K1470" t="s">
        <v>14427</v>
      </c>
      <c r="L1470" t="s">
        <v>11723</v>
      </c>
      <c r="M1470">
        <v>2</v>
      </c>
      <c r="N1470">
        <v>202500</v>
      </c>
      <c r="O1470">
        <v>227792.25</v>
      </c>
      <c r="P1470">
        <v>455584.5</v>
      </c>
    </row>
    <row r="1471" spans="3:16">
      <c r="C1471">
        <v>3</v>
      </c>
      <c r="D1471">
        <v>1</v>
      </c>
      <c r="F1471" t="s">
        <v>11724</v>
      </c>
      <c r="H1471" t="s">
        <v>11722</v>
      </c>
      <c r="I1471" t="s">
        <v>13151</v>
      </c>
      <c r="K1471" t="s">
        <v>13152</v>
      </c>
      <c r="L1471" t="s">
        <v>10854</v>
      </c>
      <c r="M1471">
        <v>2</v>
      </c>
      <c r="N1471">
        <v>518.71</v>
      </c>
      <c r="O1471">
        <v>583.5</v>
      </c>
      <c r="P1471">
        <v>1167</v>
      </c>
    </row>
    <row r="1472" spans="3:16">
      <c r="C1472">
        <v>3</v>
      </c>
      <c r="D1472">
        <v>1</v>
      </c>
      <c r="F1472" t="s">
        <v>11724</v>
      </c>
      <c r="H1472" t="s">
        <v>11722</v>
      </c>
      <c r="I1472" t="s">
        <v>13153</v>
      </c>
      <c r="K1472" t="s">
        <v>13154</v>
      </c>
      <c r="L1472" t="s">
        <v>10854</v>
      </c>
      <c r="M1472">
        <v>2</v>
      </c>
      <c r="N1472">
        <v>518.71</v>
      </c>
      <c r="O1472">
        <v>583.5</v>
      </c>
      <c r="P1472">
        <v>1167</v>
      </c>
    </row>
    <row r="1473" spans="3:16">
      <c r="C1473">
        <v>3</v>
      </c>
      <c r="D1473">
        <v>1</v>
      </c>
      <c r="F1473" t="s">
        <v>11724</v>
      </c>
      <c r="H1473" t="s">
        <v>11722</v>
      </c>
      <c r="I1473" t="s">
        <v>13155</v>
      </c>
      <c r="K1473" t="s">
        <v>13156</v>
      </c>
      <c r="L1473" t="s">
        <v>1270</v>
      </c>
      <c r="M1473">
        <v>4</v>
      </c>
      <c r="N1473">
        <v>518.71</v>
      </c>
      <c r="O1473">
        <v>583.5</v>
      </c>
      <c r="P1473">
        <v>2334</v>
      </c>
    </row>
    <row r="1474" spans="3:16">
      <c r="C1474">
        <v>3</v>
      </c>
      <c r="D1474">
        <v>1</v>
      </c>
      <c r="F1474" t="s">
        <v>11724</v>
      </c>
      <c r="H1474" t="s">
        <v>11722</v>
      </c>
      <c r="I1474" t="s">
        <v>13157</v>
      </c>
      <c r="K1474" t="s">
        <v>13158</v>
      </c>
      <c r="L1474" t="s">
        <v>1270</v>
      </c>
      <c r="M1474">
        <v>1</v>
      </c>
      <c r="N1474">
        <v>2686.2</v>
      </c>
      <c r="O1474">
        <v>3021.71</v>
      </c>
      <c r="P1474">
        <v>3021.71</v>
      </c>
    </row>
    <row r="1475" spans="3:16">
      <c r="C1475">
        <v>3</v>
      </c>
      <c r="D1475">
        <v>1</v>
      </c>
      <c r="F1475" t="s">
        <v>11724</v>
      </c>
      <c r="H1475" t="s">
        <v>11722</v>
      </c>
      <c r="I1475" t="s">
        <v>13112</v>
      </c>
      <c r="K1475" t="s">
        <v>13113</v>
      </c>
      <c r="L1475" t="s">
        <v>10854</v>
      </c>
      <c r="M1475">
        <v>1</v>
      </c>
      <c r="N1475">
        <v>650</v>
      </c>
      <c r="O1475">
        <v>731.19</v>
      </c>
      <c r="P1475">
        <v>731.19</v>
      </c>
    </row>
    <row r="1476" spans="3:16">
      <c r="C1476">
        <v>3</v>
      </c>
      <c r="D1476">
        <v>1</v>
      </c>
      <c r="F1476" t="s">
        <v>11724</v>
      </c>
      <c r="H1476" t="s">
        <v>11722</v>
      </c>
      <c r="I1476" t="s">
        <v>13114</v>
      </c>
      <c r="K1476" t="s">
        <v>13115</v>
      </c>
      <c r="L1476" t="s">
        <v>10854</v>
      </c>
      <c r="M1476">
        <v>5</v>
      </c>
      <c r="N1476">
        <v>4380</v>
      </c>
      <c r="O1476">
        <v>4927.0600000000004</v>
      </c>
      <c r="P1476">
        <v>24635.3</v>
      </c>
    </row>
    <row r="1477" spans="3:16">
      <c r="C1477">
        <v>3</v>
      </c>
      <c r="D1477">
        <v>1</v>
      </c>
      <c r="F1477" t="s">
        <v>11724</v>
      </c>
      <c r="H1477" t="s">
        <v>11722</v>
      </c>
      <c r="I1477" t="s">
        <v>13120</v>
      </c>
      <c r="K1477" t="s">
        <v>13121</v>
      </c>
      <c r="L1477" t="s">
        <v>10854</v>
      </c>
      <c r="M1477">
        <v>2</v>
      </c>
      <c r="N1477">
        <v>500</v>
      </c>
      <c r="O1477">
        <v>562.45000000000005</v>
      </c>
      <c r="P1477">
        <v>1124.9000000000001</v>
      </c>
    </row>
    <row r="1478" spans="3:16">
      <c r="C1478">
        <v>3</v>
      </c>
      <c r="D1478">
        <v>1</v>
      </c>
      <c r="F1478" t="s">
        <v>11724</v>
      </c>
      <c r="H1478" t="s">
        <v>11722</v>
      </c>
      <c r="I1478" t="s">
        <v>13084</v>
      </c>
      <c r="K1478" t="s">
        <v>13085</v>
      </c>
      <c r="L1478" t="s">
        <v>10854</v>
      </c>
      <c r="M1478">
        <v>1</v>
      </c>
      <c r="N1478">
        <v>760</v>
      </c>
      <c r="O1478">
        <v>854.92</v>
      </c>
      <c r="P1478">
        <v>854.92</v>
      </c>
    </row>
    <row r="1479" spans="3:16">
      <c r="C1479">
        <v>3</v>
      </c>
      <c r="D1479">
        <v>1</v>
      </c>
      <c r="F1479" t="s">
        <v>11724</v>
      </c>
      <c r="H1479" t="s">
        <v>11722</v>
      </c>
      <c r="I1479" t="s">
        <v>12944</v>
      </c>
      <c r="K1479" t="s">
        <v>12945</v>
      </c>
      <c r="L1479" t="s">
        <v>1270</v>
      </c>
      <c r="M1479">
        <v>1</v>
      </c>
      <c r="N1479">
        <v>224.44</v>
      </c>
      <c r="O1479">
        <v>252.47</v>
      </c>
      <c r="P1479">
        <v>252.47</v>
      </c>
    </row>
    <row r="1480" spans="3:16">
      <c r="C1480">
        <v>3</v>
      </c>
      <c r="D1480">
        <v>1</v>
      </c>
      <c r="F1480" t="s">
        <v>11724</v>
      </c>
      <c r="H1480" t="s">
        <v>11722</v>
      </c>
      <c r="I1480" t="s">
        <v>12946</v>
      </c>
      <c r="K1480" t="s">
        <v>12947</v>
      </c>
      <c r="L1480" t="s">
        <v>1270</v>
      </c>
      <c r="M1480">
        <v>6</v>
      </c>
      <c r="N1480">
        <v>3341.52</v>
      </c>
      <c r="O1480">
        <v>3758.88</v>
      </c>
      <c r="P1480">
        <v>22553.279999999999</v>
      </c>
    </row>
    <row r="1481" spans="3:16">
      <c r="C1481">
        <v>3</v>
      </c>
      <c r="D1481">
        <v>1</v>
      </c>
      <c r="F1481" t="s">
        <v>11724</v>
      </c>
      <c r="H1481" t="s">
        <v>11722</v>
      </c>
      <c r="I1481" t="s">
        <v>12950</v>
      </c>
      <c r="K1481" t="s">
        <v>12951</v>
      </c>
      <c r="L1481" t="s">
        <v>1270</v>
      </c>
      <c r="M1481">
        <v>1</v>
      </c>
      <c r="N1481">
        <v>5231.87</v>
      </c>
      <c r="O1481">
        <v>5885.33</v>
      </c>
      <c r="P1481">
        <v>5885.33</v>
      </c>
    </row>
    <row r="1482" spans="3:16">
      <c r="C1482">
        <v>3</v>
      </c>
      <c r="D1482">
        <v>1</v>
      </c>
      <c r="F1482" t="s">
        <v>11724</v>
      </c>
      <c r="H1482" t="s">
        <v>11722</v>
      </c>
      <c r="I1482" t="s">
        <v>12952</v>
      </c>
      <c r="K1482" t="s">
        <v>12953</v>
      </c>
      <c r="L1482" t="s">
        <v>1270</v>
      </c>
      <c r="M1482">
        <v>15</v>
      </c>
      <c r="N1482">
        <v>752.38</v>
      </c>
      <c r="O1482">
        <v>846.35</v>
      </c>
      <c r="P1482">
        <v>12695.25</v>
      </c>
    </row>
    <row r="1483" spans="3:16">
      <c r="C1483">
        <v>3</v>
      </c>
      <c r="D1483">
        <v>1</v>
      </c>
      <c r="F1483" t="s">
        <v>11724</v>
      </c>
      <c r="H1483" t="s">
        <v>11722</v>
      </c>
      <c r="I1483" t="s">
        <v>12954</v>
      </c>
      <c r="K1483" t="s">
        <v>12955</v>
      </c>
      <c r="L1483" t="s">
        <v>1270</v>
      </c>
      <c r="M1483">
        <v>1</v>
      </c>
      <c r="N1483">
        <v>193.91</v>
      </c>
      <c r="O1483">
        <v>218.13</v>
      </c>
      <c r="P1483">
        <v>218.13</v>
      </c>
    </row>
    <row r="1484" spans="3:16">
      <c r="C1484">
        <v>3</v>
      </c>
      <c r="D1484">
        <v>1</v>
      </c>
      <c r="F1484" t="s">
        <v>11724</v>
      </c>
      <c r="H1484" t="s">
        <v>11722</v>
      </c>
      <c r="I1484" t="s">
        <v>12956</v>
      </c>
      <c r="K1484" t="s">
        <v>12957</v>
      </c>
      <c r="L1484" t="s">
        <v>1270</v>
      </c>
      <c r="M1484">
        <v>6</v>
      </c>
      <c r="N1484">
        <v>957.05</v>
      </c>
      <c r="O1484">
        <v>1076.5899999999999</v>
      </c>
      <c r="P1484">
        <v>6459.54</v>
      </c>
    </row>
    <row r="1485" spans="3:16">
      <c r="C1485">
        <v>3</v>
      </c>
      <c r="D1485">
        <v>1</v>
      </c>
      <c r="F1485" t="s">
        <v>11724</v>
      </c>
      <c r="H1485" t="s">
        <v>11722</v>
      </c>
      <c r="I1485" t="s">
        <v>12958</v>
      </c>
      <c r="K1485" t="s">
        <v>12959</v>
      </c>
      <c r="L1485" t="s">
        <v>1270</v>
      </c>
      <c r="M1485">
        <v>2</v>
      </c>
      <c r="N1485">
        <v>187.43</v>
      </c>
      <c r="O1485">
        <v>210.84</v>
      </c>
      <c r="P1485">
        <v>421.68</v>
      </c>
    </row>
    <row r="1486" spans="3:16">
      <c r="C1486">
        <v>3</v>
      </c>
      <c r="D1486">
        <v>1</v>
      </c>
      <c r="F1486" t="s">
        <v>11724</v>
      </c>
      <c r="H1486" t="s">
        <v>70</v>
      </c>
      <c r="I1486">
        <v>41930</v>
      </c>
      <c r="K1486" t="s">
        <v>19742</v>
      </c>
      <c r="L1486" t="s">
        <v>18</v>
      </c>
      <c r="M1486">
        <v>60</v>
      </c>
      <c r="N1486">
        <v>49.71</v>
      </c>
      <c r="O1486">
        <v>55.92</v>
      </c>
      <c r="P1486">
        <v>3355.2</v>
      </c>
    </row>
    <row r="1487" spans="3:16">
      <c r="C1487">
        <v>3</v>
      </c>
      <c r="D1487">
        <v>1</v>
      </c>
      <c r="F1487" t="s">
        <v>11724</v>
      </c>
      <c r="H1487" t="s">
        <v>70</v>
      </c>
      <c r="I1487">
        <v>41936</v>
      </c>
      <c r="K1487" t="s">
        <v>19747</v>
      </c>
      <c r="L1487" t="s">
        <v>18</v>
      </c>
      <c r="M1487">
        <v>5.15</v>
      </c>
      <c r="N1487">
        <v>31.84</v>
      </c>
      <c r="O1487">
        <v>35.82</v>
      </c>
      <c r="P1487">
        <v>184.47</v>
      </c>
    </row>
    <row r="1488" spans="3:16">
      <c r="C1488">
        <v>3</v>
      </c>
      <c r="D1488">
        <v>1</v>
      </c>
      <c r="F1488" t="s">
        <v>11724</v>
      </c>
      <c r="H1488" t="s">
        <v>11722</v>
      </c>
      <c r="I1488" t="s">
        <v>13159</v>
      </c>
      <c r="K1488" t="s">
        <v>13160</v>
      </c>
      <c r="L1488" t="s">
        <v>1270</v>
      </c>
      <c r="M1488">
        <v>2</v>
      </c>
      <c r="N1488">
        <v>9.23</v>
      </c>
      <c r="O1488">
        <v>10.38</v>
      </c>
      <c r="P1488">
        <v>20.76</v>
      </c>
    </row>
    <row r="1489" spans="3:16">
      <c r="C1489">
        <v>3</v>
      </c>
      <c r="D1489">
        <v>1</v>
      </c>
      <c r="F1489" t="s">
        <v>11724</v>
      </c>
      <c r="H1489" t="s">
        <v>11722</v>
      </c>
      <c r="I1489" t="s">
        <v>13161</v>
      </c>
      <c r="K1489" t="s">
        <v>13162</v>
      </c>
      <c r="L1489" t="s">
        <v>1270</v>
      </c>
      <c r="M1489">
        <v>2</v>
      </c>
      <c r="N1489">
        <v>13.84</v>
      </c>
      <c r="O1489">
        <v>15.57</v>
      </c>
      <c r="P1489">
        <v>31.14</v>
      </c>
    </row>
    <row r="1490" spans="3:16">
      <c r="C1490">
        <v>3</v>
      </c>
      <c r="D1490">
        <v>1</v>
      </c>
      <c r="F1490" t="s">
        <v>11724</v>
      </c>
      <c r="H1490" t="s">
        <v>11722</v>
      </c>
      <c r="I1490" t="s">
        <v>13167</v>
      </c>
      <c r="K1490" t="s">
        <v>13168</v>
      </c>
      <c r="L1490" t="s">
        <v>18</v>
      </c>
      <c r="M1490">
        <v>21</v>
      </c>
      <c r="N1490">
        <v>51.27</v>
      </c>
      <c r="O1490">
        <v>57.67</v>
      </c>
      <c r="P1490">
        <v>1211.07</v>
      </c>
    </row>
    <row r="1491" spans="3:16">
      <c r="C1491">
        <v>3</v>
      </c>
      <c r="D1491">
        <v>1</v>
      </c>
      <c r="F1491" t="s">
        <v>11724</v>
      </c>
      <c r="H1491" t="s">
        <v>11722</v>
      </c>
      <c r="I1491" t="s">
        <v>13169</v>
      </c>
      <c r="K1491" t="s">
        <v>13170</v>
      </c>
      <c r="L1491" t="s">
        <v>1270</v>
      </c>
      <c r="M1491">
        <v>2</v>
      </c>
      <c r="N1491">
        <v>9.8000000000000007</v>
      </c>
      <c r="O1491">
        <v>11.02</v>
      </c>
      <c r="P1491">
        <v>22.04</v>
      </c>
    </row>
    <row r="1492" spans="3:16">
      <c r="C1492">
        <v>3</v>
      </c>
      <c r="D1492">
        <v>1</v>
      </c>
      <c r="F1492" t="s">
        <v>11724</v>
      </c>
      <c r="H1492" t="s">
        <v>11722</v>
      </c>
      <c r="I1492" t="s">
        <v>13171</v>
      </c>
      <c r="K1492" t="s">
        <v>13172</v>
      </c>
      <c r="L1492" t="s">
        <v>1270</v>
      </c>
      <c r="M1492">
        <v>2</v>
      </c>
      <c r="N1492">
        <v>151.84</v>
      </c>
      <c r="O1492">
        <v>170.8</v>
      </c>
      <c r="P1492">
        <v>341.6</v>
      </c>
    </row>
    <row r="1493" spans="3:16">
      <c r="C1493">
        <v>3</v>
      </c>
      <c r="D1493">
        <v>1</v>
      </c>
      <c r="F1493" t="s">
        <v>11724</v>
      </c>
      <c r="H1493" t="s">
        <v>70</v>
      </c>
      <c r="I1493">
        <v>7744</v>
      </c>
      <c r="K1493" t="s">
        <v>10177</v>
      </c>
      <c r="L1493" t="s">
        <v>18</v>
      </c>
      <c r="M1493">
        <v>169.5</v>
      </c>
      <c r="N1493">
        <v>183.15</v>
      </c>
      <c r="O1493">
        <v>206.03</v>
      </c>
      <c r="P1493">
        <v>34922.089999999997</v>
      </c>
    </row>
    <row r="1494" spans="3:16">
      <c r="C1494">
        <v>3</v>
      </c>
      <c r="D1494">
        <v>1</v>
      </c>
      <c r="F1494" t="s">
        <v>11724</v>
      </c>
      <c r="H1494" t="s">
        <v>11722</v>
      </c>
      <c r="I1494" t="s">
        <v>12968</v>
      </c>
      <c r="K1494" t="s">
        <v>12969</v>
      </c>
      <c r="L1494" t="s">
        <v>1270</v>
      </c>
      <c r="M1494">
        <v>1</v>
      </c>
      <c r="N1494">
        <v>930.77</v>
      </c>
      <c r="O1494">
        <v>1047.02</v>
      </c>
      <c r="P1494">
        <v>1047.02</v>
      </c>
    </row>
    <row r="1495" spans="3:16">
      <c r="C1495">
        <v>3</v>
      </c>
      <c r="D1495">
        <v>1</v>
      </c>
      <c r="F1495" t="s">
        <v>11724</v>
      </c>
      <c r="H1495" t="s">
        <v>11722</v>
      </c>
      <c r="I1495" t="s">
        <v>12970</v>
      </c>
      <c r="K1495" t="s">
        <v>12971</v>
      </c>
      <c r="L1495" t="s">
        <v>1270</v>
      </c>
      <c r="M1495">
        <v>1</v>
      </c>
      <c r="N1495">
        <v>803.53</v>
      </c>
      <c r="O1495">
        <v>903.89</v>
      </c>
      <c r="P1495">
        <v>903.89</v>
      </c>
    </row>
    <row r="1496" spans="3:16">
      <c r="C1496">
        <v>3</v>
      </c>
      <c r="D1496">
        <v>1</v>
      </c>
      <c r="F1496" t="s">
        <v>11724</v>
      </c>
      <c r="H1496" t="s">
        <v>11722</v>
      </c>
      <c r="I1496" t="s">
        <v>12972</v>
      </c>
      <c r="K1496" t="s">
        <v>12973</v>
      </c>
      <c r="L1496" t="s">
        <v>1270</v>
      </c>
      <c r="M1496">
        <v>2</v>
      </c>
      <c r="N1496">
        <v>495.85</v>
      </c>
      <c r="O1496">
        <v>557.78</v>
      </c>
      <c r="P1496">
        <v>1115.56</v>
      </c>
    </row>
    <row r="1497" spans="3:16">
      <c r="C1497">
        <v>3</v>
      </c>
      <c r="D1497">
        <v>1</v>
      </c>
      <c r="F1497" t="s">
        <v>11724</v>
      </c>
      <c r="H1497" t="s">
        <v>11722</v>
      </c>
      <c r="I1497" t="s">
        <v>12974</v>
      </c>
      <c r="K1497" t="s">
        <v>12975</v>
      </c>
      <c r="L1497" t="s">
        <v>1270</v>
      </c>
      <c r="M1497">
        <v>1</v>
      </c>
      <c r="N1497">
        <v>601.69000000000005</v>
      </c>
      <c r="O1497">
        <v>676.84</v>
      </c>
      <c r="P1497">
        <v>676.84</v>
      </c>
    </row>
    <row r="1498" spans="3:16">
      <c r="C1498">
        <v>3</v>
      </c>
      <c r="D1498">
        <v>1</v>
      </c>
      <c r="F1498" t="s">
        <v>11724</v>
      </c>
      <c r="H1498" t="s">
        <v>11722</v>
      </c>
      <c r="I1498" t="s">
        <v>12976</v>
      </c>
      <c r="K1498" t="s">
        <v>12977</v>
      </c>
      <c r="L1498" t="s">
        <v>1270</v>
      </c>
      <c r="M1498">
        <v>1</v>
      </c>
      <c r="N1498">
        <v>601.69000000000005</v>
      </c>
      <c r="O1498">
        <v>676.84</v>
      </c>
      <c r="P1498">
        <v>676.84</v>
      </c>
    </row>
    <row r="1499" spans="3:16">
      <c r="C1499">
        <v>3</v>
      </c>
      <c r="D1499">
        <v>1</v>
      </c>
      <c r="F1499" t="s">
        <v>11724</v>
      </c>
      <c r="H1499" t="s">
        <v>11722</v>
      </c>
      <c r="I1499" t="s">
        <v>12978</v>
      </c>
      <c r="K1499" t="s">
        <v>12979</v>
      </c>
      <c r="L1499" t="s">
        <v>1270</v>
      </c>
      <c r="M1499">
        <v>2</v>
      </c>
      <c r="N1499">
        <v>2803.46</v>
      </c>
      <c r="O1499">
        <v>3153.61</v>
      </c>
      <c r="P1499">
        <v>6307.22</v>
      </c>
    </row>
    <row r="1500" spans="3:16">
      <c r="C1500">
        <v>3</v>
      </c>
      <c r="D1500">
        <v>1</v>
      </c>
      <c r="F1500" t="s">
        <v>11724</v>
      </c>
      <c r="H1500" t="s">
        <v>11722</v>
      </c>
      <c r="I1500" t="s">
        <v>12984</v>
      </c>
      <c r="K1500" t="s">
        <v>12985</v>
      </c>
      <c r="L1500" t="s">
        <v>1270</v>
      </c>
      <c r="M1500">
        <v>6</v>
      </c>
      <c r="N1500">
        <v>1893.22</v>
      </c>
      <c r="O1500">
        <v>2129.6799999999998</v>
      </c>
      <c r="P1500">
        <v>12778.08</v>
      </c>
    </row>
    <row r="1501" spans="3:16">
      <c r="C1501">
        <v>3</v>
      </c>
      <c r="D1501">
        <v>1</v>
      </c>
      <c r="F1501" t="s">
        <v>11724</v>
      </c>
      <c r="H1501" t="s">
        <v>11722</v>
      </c>
      <c r="I1501" t="s">
        <v>12986</v>
      </c>
      <c r="K1501" t="s">
        <v>12987</v>
      </c>
      <c r="L1501" t="s">
        <v>1270</v>
      </c>
      <c r="M1501">
        <v>4</v>
      </c>
      <c r="N1501">
        <v>2526.67</v>
      </c>
      <c r="O1501">
        <v>2842.25</v>
      </c>
      <c r="P1501">
        <v>11369</v>
      </c>
    </row>
    <row r="1502" spans="3:16">
      <c r="C1502">
        <v>3</v>
      </c>
      <c r="D1502">
        <v>1</v>
      </c>
      <c r="F1502" t="s">
        <v>11724</v>
      </c>
      <c r="H1502" t="s">
        <v>11722</v>
      </c>
      <c r="I1502" t="s">
        <v>12992</v>
      </c>
      <c r="K1502" t="s">
        <v>12993</v>
      </c>
      <c r="L1502" t="s">
        <v>1270</v>
      </c>
      <c r="M1502">
        <v>2</v>
      </c>
      <c r="N1502">
        <v>3061.03</v>
      </c>
      <c r="O1502">
        <v>3443.35</v>
      </c>
      <c r="P1502">
        <v>6886.7</v>
      </c>
    </row>
    <row r="1503" spans="3:16">
      <c r="C1503">
        <v>3</v>
      </c>
      <c r="D1503">
        <v>1</v>
      </c>
      <c r="F1503" t="s">
        <v>11724</v>
      </c>
      <c r="H1503" t="s">
        <v>11722</v>
      </c>
      <c r="I1503" t="s">
        <v>12994</v>
      </c>
      <c r="K1503" t="s">
        <v>12995</v>
      </c>
      <c r="L1503" t="s">
        <v>1270</v>
      </c>
      <c r="M1503">
        <v>1</v>
      </c>
      <c r="N1503">
        <v>1893.22</v>
      </c>
      <c r="O1503">
        <v>2129.6799999999998</v>
      </c>
      <c r="P1503">
        <v>2129.6799999999998</v>
      </c>
    </row>
    <row r="1504" spans="3:16">
      <c r="C1504">
        <v>3</v>
      </c>
      <c r="D1504">
        <v>1</v>
      </c>
      <c r="F1504" t="s">
        <v>11724</v>
      </c>
      <c r="H1504" t="s">
        <v>11722</v>
      </c>
      <c r="I1504" t="s">
        <v>12996</v>
      </c>
      <c r="K1504" t="s">
        <v>12997</v>
      </c>
      <c r="L1504" t="s">
        <v>1270</v>
      </c>
      <c r="M1504">
        <v>1</v>
      </c>
      <c r="N1504">
        <v>11310.94</v>
      </c>
      <c r="O1504">
        <v>12723.68</v>
      </c>
      <c r="P1504">
        <v>12723.68</v>
      </c>
    </row>
    <row r="1505" spans="3:16">
      <c r="C1505">
        <v>3</v>
      </c>
      <c r="D1505">
        <v>1</v>
      </c>
      <c r="F1505" t="s">
        <v>11724</v>
      </c>
      <c r="H1505" t="s">
        <v>11722</v>
      </c>
      <c r="I1505" t="s">
        <v>12998</v>
      </c>
      <c r="K1505" t="s">
        <v>12999</v>
      </c>
      <c r="L1505" t="s">
        <v>1270</v>
      </c>
      <c r="M1505">
        <v>1</v>
      </c>
      <c r="N1505">
        <v>1121.5899999999999</v>
      </c>
      <c r="O1505">
        <v>1261.68</v>
      </c>
      <c r="P1505">
        <v>1261.68</v>
      </c>
    </row>
    <row r="1506" spans="3:16">
      <c r="C1506">
        <v>3</v>
      </c>
      <c r="D1506">
        <v>1</v>
      </c>
      <c r="F1506" t="s">
        <v>11724</v>
      </c>
      <c r="H1506" t="s">
        <v>11722</v>
      </c>
      <c r="I1506" t="s">
        <v>13006</v>
      </c>
      <c r="K1506" t="s">
        <v>13007</v>
      </c>
      <c r="L1506" t="s">
        <v>1270</v>
      </c>
      <c r="M1506">
        <v>1</v>
      </c>
      <c r="N1506">
        <v>501.24</v>
      </c>
      <c r="O1506">
        <v>563.84</v>
      </c>
      <c r="P1506">
        <v>563.84</v>
      </c>
    </row>
    <row r="1507" spans="3:16">
      <c r="C1507">
        <v>3</v>
      </c>
      <c r="D1507">
        <v>1</v>
      </c>
      <c r="F1507" t="s">
        <v>11724</v>
      </c>
      <c r="H1507" t="s">
        <v>11722</v>
      </c>
      <c r="I1507" t="s">
        <v>13014</v>
      </c>
      <c r="K1507" t="s">
        <v>13015</v>
      </c>
      <c r="L1507" t="s">
        <v>1270</v>
      </c>
      <c r="M1507">
        <v>1</v>
      </c>
      <c r="N1507">
        <v>594.89</v>
      </c>
      <c r="O1507">
        <v>669.19</v>
      </c>
      <c r="P1507">
        <v>669.19</v>
      </c>
    </row>
    <row r="1508" spans="3:16">
      <c r="C1508">
        <v>3</v>
      </c>
      <c r="D1508">
        <v>1</v>
      </c>
      <c r="F1508" t="s">
        <v>11724</v>
      </c>
      <c r="H1508" t="s">
        <v>11722</v>
      </c>
      <c r="I1508" t="s">
        <v>13018</v>
      </c>
      <c r="K1508" t="s">
        <v>13019</v>
      </c>
      <c r="L1508" t="s">
        <v>1270</v>
      </c>
      <c r="M1508">
        <v>1</v>
      </c>
      <c r="N1508">
        <v>1346.86</v>
      </c>
      <c r="O1508">
        <v>1515.08</v>
      </c>
      <c r="P1508">
        <v>1515.08</v>
      </c>
    </row>
    <row r="1509" spans="3:16">
      <c r="C1509">
        <v>3</v>
      </c>
      <c r="D1509">
        <v>1</v>
      </c>
      <c r="F1509" t="s">
        <v>11724</v>
      </c>
      <c r="H1509" t="s">
        <v>11722</v>
      </c>
      <c r="I1509" t="s">
        <v>13030</v>
      </c>
      <c r="K1509" t="s">
        <v>13031</v>
      </c>
      <c r="L1509" t="s">
        <v>1270</v>
      </c>
      <c r="M1509">
        <v>1</v>
      </c>
      <c r="N1509">
        <v>2439.84</v>
      </c>
      <c r="O1509">
        <v>2744.58</v>
      </c>
      <c r="P1509">
        <v>2744.58</v>
      </c>
    </row>
    <row r="1510" spans="3:16">
      <c r="C1510">
        <v>3</v>
      </c>
      <c r="D1510">
        <v>1</v>
      </c>
      <c r="F1510" t="s">
        <v>11724</v>
      </c>
      <c r="H1510" t="s">
        <v>11722</v>
      </c>
      <c r="I1510" t="s">
        <v>13032</v>
      </c>
      <c r="K1510" t="s">
        <v>13033</v>
      </c>
      <c r="L1510" t="s">
        <v>1270</v>
      </c>
      <c r="M1510">
        <v>1</v>
      </c>
      <c r="N1510">
        <v>2129.0500000000002</v>
      </c>
      <c r="O1510">
        <v>2394.9699999999998</v>
      </c>
      <c r="P1510">
        <v>2394.9699999999998</v>
      </c>
    </row>
    <row r="1511" spans="3:16">
      <c r="C1511">
        <v>3</v>
      </c>
      <c r="D1511">
        <v>1</v>
      </c>
      <c r="F1511" t="s">
        <v>11724</v>
      </c>
      <c r="H1511" t="s">
        <v>11722</v>
      </c>
      <c r="I1511" t="s">
        <v>13034</v>
      </c>
      <c r="K1511" t="s">
        <v>13035</v>
      </c>
      <c r="L1511" t="s">
        <v>1270</v>
      </c>
      <c r="M1511">
        <v>1</v>
      </c>
      <c r="N1511">
        <v>1900.95</v>
      </c>
      <c r="O1511">
        <v>2138.38</v>
      </c>
      <c r="P1511">
        <v>2138.38</v>
      </c>
    </row>
    <row r="1512" spans="3:16">
      <c r="C1512">
        <v>3</v>
      </c>
      <c r="D1512">
        <v>1</v>
      </c>
      <c r="F1512" t="s">
        <v>11724</v>
      </c>
      <c r="H1512" t="s">
        <v>11722</v>
      </c>
      <c r="I1512" t="s">
        <v>13038</v>
      </c>
      <c r="K1512" t="s">
        <v>13039</v>
      </c>
      <c r="L1512" t="s">
        <v>1270</v>
      </c>
      <c r="M1512">
        <v>2</v>
      </c>
      <c r="N1512">
        <v>691.92</v>
      </c>
      <c r="O1512">
        <v>778.34</v>
      </c>
      <c r="P1512">
        <v>1556.68</v>
      </c>
    </row>
    <row r="1513" spans="3:16">
      <c r="C1513">
        <v>3</v>
      </c>
      <c r="D1513">
        <v>1</v>
      </c>
      <c r="F1513" t="s">
        <v>11724</v>
      </c>
      <c r="H1513" t="s">
        <v>11722</v>
      </c>
      <c r="I1513" t="s">
        <v>13040</v>
      </c>
      <c r="K1513" t="s">
        <v>13041</v>
      </c>
      <c r="L1513" t="s">
        <v>1270</v>
      </c>
      <c r="M1513">
        <v>5</v>
      </c>
      <c r="N1513">
        <v>3136.7</v>
      </c>
      <c r="O1513">
        <v>3528.47</v>
      </c>
      <c r="P1513">
        <v>17642.349999999999</v>
      </c>
    </row>
    <row r="1514" spans="3:16">
      <c r="C1514">
        <v>3</v>
      </c>
      <c r="D1514">
        <v>1</v>
      </c>
      <c r="F1514" t="s">
        <v>11724</v>
      </c>
      <c r="H1514" t="s">
        <v>11722</v>
      </c>
      <c r="I1514" t="s">
        <v>13042</v>
      </c>
      <c r="K1514" t="s">
        <v>13043</v>
      </c>
      <c r="L1514" t="s">
        <v>1270</v>
      </c>
      <c r="M1514">
        <v>3</v>
      </c>
      <c r="N1514">
        <v>3935.71</v>
      </c>
      <c r="O1514">
        <v>4427.28</v>
      </c>
      <c r="P1514">
        <v>13281.84</v>
      </c>
    </row>
    <row r="1515" spans="3:16">
      <c r="C1515">
        <v>3</v>
      </c>
      <c r="D1515">
        <v>1</v>
      </c>
      <c r="F1515" t="s">
        <v>11724</v>
      </c>
      <c r="H1515" t="s">
        <v>11722</v>
      </c>
      <c r="I1515" t="s">
        <v>13044</v>
      </c>
      <c r="K1515" t="s">
        <v>13045</v>
      </c>
      <c r="L1515" t="s">
        <v>1270</v>
      </c>
      <c r="M1515">
        <v>3</v>
      </c>
      <c r="N1515">
        <v>744.4</v>
      </c>
      <c r="O1515">
        <v>837.38</v>
      </c>
      <c r="P1515">
        <v>2512.14</v>
      </c>
    </row>
    <row r="1516" spans="3:16">
      <c r="C1516">
        <v>3</v>
      </c>
      <c r="D1516">
        <v>1</v>
      </c>
      <c r="F1516" t="s">
        <v>11724</v>
      </c>
      <c r="H1516" t="s">
        <v>11722</v>
      </c>
      <c r="I1516" t="s">
        <v>13046</v>
      </c>
      <c r="K1516" t="s">
        <v>13047</v>
      </c>
      <c r="L1516" t="s">
        <v>1270</v>
      </c>
      <c r="M1516">
        <v>3</v>
      </c>
      <c r="N1516">
        <v>944.29</v>
      </c>
      <c r="O1516">
        <v>1062.23</v>
      </c>
      <c r="P1516">
        <v>3186.69</v>
      </c>
    </row>
    <row r="1517" spans="3:16">
      <c r="C1517">
        <v>3</v>
      </c>
      <c r="D1517">
        <v>1</v>
      </c>
      <c r="F1517" t="s">
        <v>11724</v>
      </c>
      <c r="H1517" t="s">
        <v>11722</v>
      </c>
      <c r="I1517" t="s">
        <v>13048</v>
      </c>
      <c r="K1517" t="s">
        <v>13049</v>
      </c>
      <c r="L1517" t="s">
        <v>1270</v>
      </c>
      <c r="M1517">
        <v>4</v>
      </c>
      <c r="N1517">
        <v>386.32</v>
      </c>
      <c r="O1517">
        <v>434.57</v>
      </c>
      <c r="P1517">
        <v>1738.28</v>
      </c>
    </row>
    <row r="1518" spans="3:16">
      <c r="C1518">
        <v>3</v>
      </c>
      <c r="D1518">
        <v>1</v>
      </c>
      <c r="F1518" t="s">
        <v>11724</v>
      </c>
      <c r="H1518" t="s">
        <v>11722</v>
      </c>
      <c r="I1518" t="s">
        <v>13125</v>
      </c>
      <c r="K1518" t="s">
        <v>13126</v>
      </c>
      <c r="L1518" t="s">
        <v>11723</v>
      </c>
      <c r="M1518">
        <v>2</v>
      </c>
      <c r="N1518">
        <v>1280</v>
      </c>
      <c r="O1518">
        <v>1439.87</v>
      </c>
      <c r="P1518">
        <v>2879.74</v>
      </c>
    </row>
    <row r="1519" spans="3:16">
      <c r="C1519">
        <v>3</v>
      </c>
      <c r="D1519">
        <v>1</v>
      </c>
      <c r="F1519" t="s">
        <v>11724</v>
      </c>
      <c r="H1519" t="s">
        <v>11722</v>
      </c>
      <c r="I1519" t="s">
        <v>13133</v>
      </c>
      <c r="K1519" t="s">
        <v>13134</v>
      </c>
      <c r="L1519" t="s">
        <v>10854</v>
      </c>
      <c r="M1519">
        <v>2</v>
      </c>
      <c r="N1519">
        <v>1289</v>
      </c>
      <c r="O1519">
        <v>1450</v>
      </c>
      <c r="P1519">
        <v>2900</v>
      </c>
    </row>
    <row r="1520" spans="3:16">
      <c r="C1520">
        <v>3</v>
      </c>
      <c r="D1520">
        <v>1</v>
      </c>
      <c r="F1520" t="s">
        <v>11724</v>
      </c>
      <c r="H1520" t="s">
        <v>11722</v>
      </c>
      <c r="I1520" t="s">
        <v>13135</v>
      </c>
      <c r="K1520" t="s">
        <v>13136</v>
      </c>
      <c r="L1520" t="s">
        <v>10854</v>
      </c>
      <c r="M1520">
        <v>5</v>
      </c>
      <c r="N1520">
        <v>6890</v>
      </c>
      <c r="O1520">
        <v>7750.56</v>
      </c>
      <c r="P1520">
        <v>38752.800000000003</v>
      </c>
    </row>
    <row r="1521" spans="2:16">
      <c r="C1521">
        <v>3</v>
      </c>
      <c r="D1521">
        <v>1</v>
      </c>
      <c r="F1521" t="s">
        <v>11724</v>
      </c>
    </row>
    <row r="1522" spans="2:16">
      <c r="B1522">
        <v>1</v>
      </c>
      <c r="C1522">
        <v>3</v>
      </c>
      <c r="D1522">
        <v>2</v>
      </c>
      <c r="F1522" t="s">
        <v>11724</v>
      </c>
      <c r="H1522" t="s">
        <v>14547</v>
      </c>
      <c r="I1522" t="s">
        <v>13292</v>
      </c>
      <c r="L1522" t="s">
        <v>25</v>
      </c>
      <c r="M1522" t="s">
        <v>11704</v>
      </c>
      <c r="N1522" t="s">
        <v>11705</v>
      </c>
      <c r="O1522" t="s">
        <v>11706</v>
      </c>
      <c r="P1522">
        <v>3601929.0299999989</v>
      </c>
    </row>
    <row r="1523" spans="2:16">
      <c r="C1523">
        <v>3</v>
      </c>
      <c r="D1523">
        <v>2</v>
      </c>
      <c r="F1523" t="s">
        <v>11724</v>
      </c>
    </row>
    <row r="1524" spans="2:16">
      <c r="C1524">
        <v>3</v>
      </c>
      <c r="D1524">
        <v>2</v>
      </c>
      <c r="F1524" t="s">
        <v>11724</v>
      </c>
      <c r="H1524" t="s">
        <v>11722</v>
      </c>
      <c r="I1524" t="s">
        <v>12813</v>
      </c>
      <c r="K1524" t="s">
        <v>12814</v>
      </c>
      <c r="L1524" t="s">
        <v>1270</v>
      </c>
      <c r="M1524">
        <v>36</v>
      </c>
      <c r="N1524">
        <v>5.9</v>
      </c>
      <c r="O1524">
        <v>6.64</v>
      </c>
      <c r="P1524">
        <v>239.04</v>
      </c>
    </row>
    <row r="1525" spans="2:16">
      <c r="C1525">
        <v>3</v>
      </c>
      <c r="D1525">
        <v>2</v>
      </c>
      <c r="F1525" t="s">
        <v>11724</v>
      </c>
      <c r="H1525" t="s">
        <v>11722</v>
      </c>
      <c r="I1525" t="s">
        <v>12819</v>
      </c>
      <c r="K1525" t="s">
        <v>12820</v>
      </c>
      <c r="L1525" t="s">
        <v>1270</v>
      </c>
      <c r="M1525">
        <v>308</v>
      </c>
      <c r="N1525">
        <v>2.9</v>
      </c>
      <c r="O1525">
        <v>3.26</v>
      </c>
      <c r="P1525">
        <v>1004.08</v>
      </c>
    </row>
    <row r="1526" spans="2:16">
      <c r="C1526">
        <v>3</v>
      </c>
      <c r="D1526">
        <v>2</v>
      </c>
      <c r="F1526" t="s">
        <v>11724</v>
      </c>
      <c r="H1526" t="s">
        <v>11722</v>
      </c>
      <c r="I1526" t="s">
        <v>12821</v>
      </c>
      <c r="K1526" t="s">
        <v>12822</v>
      </c>
      <c r="L1526" t="s">
        <v>1270</v>
      </c>
      <c r="M1526">
        <v>420</v>
      </c>
      <c r="N1526">
        <v>3.87</v>
      </c>
      <c r="O1526">
        <v>4.3499999999999996</v>
      </c>
      <c r="P1526">
        <v>1827</v>
      </c>
    </row>
    <row r="1527" spans="2:16">
      <c r="C1527">
        <v>3</v>
      </c>
      <c r="D1527">
        <v>2</v>
      </c>
      <c r="F1527" t="s">
        <v>11724</v>
      </c>
      <c r="H1527" t="s">
        <v>11722</v>
      </c>
      <c r="I1527" t="s">
        <v>12824</v>
      </c>
      <c r="K1527" t="s">
        <v>12825</v>
      </c>
      <c r="L1527" t="s">
        <v>1270</v>
      </c>
      <c r="M1527">
        <v>9</v>
      </c>
      <c r="N1527">
        <v>1.64</v>
      </c>
      <c r="O1527">
        <v>1.84</v>
      </c>
      <c r="P1527">
        <v>16.559999999999999</v>
      </c>
    </row>
    <row r="1528" spans="2:16">
      <c r="C1528">
        <v>3</v>
      </c>
      <c r="D1528">
        <v>2</v>
      </c>
      <c r="F1528" t="s">
        <v>11724</v>
      </c>
      <c r="H1528" t="s">
        <v>11722</v>
      </c>
      <c r="I1528" t="s">
        <v>12826</v>
      </c>
      <c r="K1528" t="s">
        <v>12827</v>
      </c>
      <c r="L1528" t="s">
        <v>1270</v>
      </c>
      <c r="M1528">
        <v>64</v>
      </c>
      <c r="N1528">
        <v>7.33</v>
      </c>
      <c r="O1528">
        <v>8.25</v>
      </c>
      <c r="P1528">
        <v>528</v>
      </c>
    </row>
    <row r="1529" spans="2:16">
      <c r="C1529">
        <v>3</v>
      </c>
      <c r="D1529">
        <v>2</v>
      </c>
      <c r="F1529" t="s">
        <v>11724</v>
      </c>
      <c r="H1529" t="s">
        <v>11722</v>
      </c>
      <c r="I1529" t="s">
        <v>12830</v>
      </c>
      <c r="K1529" t="s">
        <v>12829</v>
      </c>
      <c r="L1529" t="s">
        <v>1270</v>
      </c>
      <c r="M1529">
        <v>16</v>
      </c>
      <c r="N1529">
        <v>12.74</v>
      </c>
      <c r="O1529">
        <v>14.33</v>
      </c>
      <c r="P1529">
        <v>229.28</v>
      </c>
    </row>
    <row r="1530" spans="2:16">
      <c r="C1530">
        <v>3</v>
      </c>
      <c r="D1530">
        <v>2</v>
      </c>
      <c r="F1530" t="s">
        <v>11724</v>
      </c>
      <c r="H1530" t="s">
        <v>11722</v>
      </c>
      <c r="I1530" t="s">
        <v>12831</v>
      </c>
      <c r="K1530" t="s">
        <v>12832</v>
      </c>
      <c r="L1530" t="s">
        <v>1270</v>
      </c>
      <c r="M1530">
        <v>6</v>
      </c>
      <c r="N1530">
        <v>20.07</v>
      </c>
      <c r="O1530">
        <v>22.58</v>
      </c>
      <c r="P1530">
        <v>135.47999999999999</v>
      </c>
    </row>
    <row r="1531" spans="2:16">
      <c r="C1531">
        <v>3</v>
      </c>
      <c r="D1531">
        <v>2</v>
      </c>
      <c r="F1531" t="s">
        <v>11724</v>
      </c>
      <c r="H1531" t="s">
        <v>11722</v>
      </c>
      <c r="I1531" t="s">
        <v>12837</v>
      </c>
      <c r="K1531" t="s">
        <v>12838</v>
      </c>
      <c r="L1531" t="s">
        <v>1270</v>
      </c>
      <c r="M1531">
        <v>8</v>
      </c>
      <c r="N1531">
        <v>383.78</v>
      </c>
      <c r="O1531">
        <v>431.71</v>
      </c>
      <c r="P1531">
        <v>3453.68</v>
      </c>
    </row>
    <row r="1532" spans="2:16">
      <c r="C1532">
        <v>3</v>
      </c>
      <c r="D1532">
        <v>2</v>
      </c>
      <c r="F1532" t="s">
        <v>11724</v>
      </c>
      <c r="H1532" t="s">
        <v>11722</v>
      </c>
      <c r="I1532" t="s">
        <v>13285</v>
      </c>
      <c r="K1532" t="s">
        <v>13286</v>
      </c>
      <c r="L1532" t="s">
        <v>1270</v>
      </c>
      <c r="M1532">
        <v>160</v>
      </c>
      <c r="N1532">
        <v>125.56</v>
      </c>
      <c r="O1532">
        <v>141.24</v>
      </c>
      <c r="P1532">
        <v>22598.400000000001</v>
      </c>
    </row>
    <row r="1533" spans="2:16">
      <c r="C1533">
        <v>3</v>
      </c>
      <c r="D1533">
        <v>2</v>
      </c>
      <c r="F1533" t="s">
        <v>11724</v>
      </c>
      <c r="H1533" t="s">
        <v>11722</v>
      </c>
      <c r="I1533" t="s">
        <v>12697</v>
      </c>
      <c r="K1533" t="s">
        <v>12698</v>
      </c>
      <c r="L1533" t="s">
        <v>1270</v>
      </c>
      <c r="M1533">
        <v>2</v>
      </c>
      <c r="N1533">
        <v>23.02</v>
      </c>
      <c r="O1533">
        <v>25.9</v>
      </c>
      <c r="P1533">
        <v>51.8</v>
      </c>
    </row>
    <row r="1534" spans="2:16">
      <c r="C1534">
        <v>3</v>
      </c>
      <c r="D1534">
        <v>2</v>
      </c>
      <c r="F1534" t="s">
        <v>11724</v>
      </c>
      <c r="H1534" t="s">
        <v>11722</v>
      </c>
      <c r="I1534" t="s">
        <v>12699</v>
      </c>
      <c r="K1534" t="s">
        <v>12700</v>
      </c>
      <c r="L1534" t="s">
        <v>1270</v>
      </c>
      <c r="M1534">
        <v>16</v>
      </c>
      <c r="N1534">
        <v>9.82</v>
      </c>
      <c r="O1534">
        <v>11.05</v>
      </c>
      <c r="P1534">
        <v>176.8</v>
      </c>
    </row>
    <row r="1535" spans="2:16">
      <c r="C1535">
        <v>3</v>
      </c>
      <c r="D1535">
        <v>2</v>
      </c>
      <c r="F1535" t="s">
        <v>11724</v>
      </c>
      <c r="H1535" t="s">
        <v>11722</v>
      </c>
      <c r="I1535" t="s">
        <v>13050</v>
      </c>
      <c r="K1535" t="s">
        <v>13051</v>
      </c>
      <c r="L1535" t="s">
        <v>1270</v>
      </c>
      <c r="M1535">
        <v>4</v>
      </c>
      <c r="N1535">
        <v>2880</v>
      </c>
      <c r="O1535">
        <v>3239.71</v>
      </c>
      <c r="P1535">
        <v>12958.84</v>
      </c>
    </row>
    <row r="1536" spans="2:16">
      <c r="C1536">
        <v>3</v>
      </c>
      <c r="D1536">
        <v>2</v>
      </c>
      <c r="F1536" t="s">
        <v>11724</v>
      </c>
      <c r="H1536" t="s">
        <v>11722</v>
      </c>
      <c r="I1536" t="s">
        <v>13052</v>
      </c>
      <c r="K1536" t="s">
        <v>13053</v>
      </c>
      <c r="L1536" t="s">
        <v>1270</v>
      </c>
      <c r="M1536">
        <v>4</v>
      </c>
      <c r="N1536">
        <v>2880</v>
      </c>
      <c r="O1536">
        <v>3239.71</v>
      </c>
      <c r="P1536">
        <v>12958.84</v>
      </c>
    </row>
    <row r="1537" spans="3:16">
      <c r="C1537">
        <v>3</v>
      </c>
      <c r="D1537">
        <v>2</v>
      </c>
      <c r="F1537" t="s">
        <v>11724</v>
      </c>
      <c r="H1537" t="s">
        <v>11722</v>
      </c>
      <c r="I1537" t="s">
        <v>13054</v>
      </c>
      <c r="K1537" t="s">
        <v>13055</v>
      </c>
      <c r="L1537" t="s">
        <v>1270</v>
      </c>
      <c r="M1537">
        <v>48</v>
      </c>
      <c r="N1537">
        <v>2850</v>
      </c>
      <c r="O1537">
        <v>3205.97</v>
      </c>
      <c r="P1537">
        <v>153886.56</v>
      </c>
    </row>
    <row r="1538" spans="3:16">
      <c r="C1538">
        <v>3</v>
      </c>
      <c r="D1538">
        <v>2</v>
      </c>
      <c r="F1538" t="s">
        <v>11724</v>
      </c>
      <c r="H1538" t="s">
        <v>11722</v>
      </c>
      <c r="I1538" t="s">
        <v>13056</v>
      </c>
      <c r="K1538" t="s">
        <v>13057</v>
      </c>
      <c r="L1538" t="s">
        <v>11723</v>
      </c>
      <c r="M1538">
        <v>1</v>
      </c>
      <c r="N1538">
        <v>6885</v>
      </c>
      <c r="O1538">
        <v>7744.94</v>
      </c>
      <c r="P1538">
        <v>7744.94</v>
      </c>
    </row>
    <row r="1539" spans="3:16">
      <c r="C1539">
        <v>3</v>
      </c>
      <c r="D1539">
        <v>2</v>
      </c>
      <c r="F1539" t="s">
        <v>11724</v>
      </c>
      <c r="H1539" t="s">
        <v>11722</v>
      </c>
      <c r="I1539" t="s">
        <v>12701</v>
      </c>
      <c r="K1539" t="s">
        <v>12702</v>
      </c>
      <c r="L1539" t="s">
        <v>1270</v>
      </c>
      <c r="M1539">
        <v>1</v>
      </c>
      <c r="N1539">
        <v>67</v>
      </c>
      <c r="O1539">
        <v>75.37</v>
      </c>
      <c r="P1539">
        <v>75.37</v>
      </c>
    </row>
    <row r="1540" spans="3:16">
      <c r="C1540">
        <v>3</v>
      </c>
      <c r="D1540">
        <v>2</v>
      </c>
      <c r="F1540" t="s">
        <v>11724</v>
      </c>
      <c r="H1540" t="s">
        <v>70</v>
      </c>
      <c r="I1540">
        <v>1163</v>
      </c>
      <c r="K1540" t="s">
        <v>3354</v>
      </c>
      <c r="L1540" t="s">
        <v>10854</v>
      </c>
      <c r="M1540">
        <v>1</v>
      </c>
      <c r="N1540">
        <v>3.44</v>
      </c>
      <c r="O1540">
        <v>3.87</v>
      </c>
      <c r="P1540">
        <v>3.87</v>
      </c>
    </row>
    <row r="1541" spans="3:16">
      <c r="C1541">
        <v>3</v>
      </c>
      <c r="D1541">
        <v>2</v>
      </c>
      <c r="F1541" t="s">
        <v>11724</v>
      </c>
      <c r="H1541" t="s">
        <v>11722</v>
      </c>
      <c r="I1541" t="s">
        <v>12839</v>
      </c>
      <c r="K1541" t="s">
        <v>12840</v>
      </c>
      <c r="L1541" t="s">
        <v>1270</v>
      </c>
      <c r="M1541">
        <v>8</v>
      </c>
      <c r="N1541">
        <v>55.43</v>
      </c>
      <c r="O1541">
        <v>62.35</v>
      </c>
      <c r="P1541">
        <v>498.8</v>
      </c>
    </row>
    <row r="1542" spans="3:16">
      <c r="C1542">
        <v>3</v>
      </c>
      <c r="D1542">
        <v>2</v>
      </c>
      <c r="F1542" t="s">
        <v>11724</v>
      </c>
      <c r="H1542" t="s">
        <v>11722</v>
      </c>
      <c r="I1542" t="s">
        <v>12841</v>
      </c>
      <c r="K1542" t="s">
        <v>12842</v>
      </c>
      <c r="L1542" t="s">
        <v>1270</v>
      </c>
      <c r="M1542">
        <v>96</v>
      </c>
      <c r="N1542">
        <v>55.43</v>
      </c>
      <c r="O1542">
        <v>62.35</v>
      </c>
      <c r="P1542">
        <v>5985.6</v>
      </c>
    </row>
    <row r="1543" spans="3:16">
      <c r="C1543">
        <v>3</v>
      </c>
      <c r="D1543">
        <v>2</v>
      </c>
      <c r="F1543" t="s">
        <v>11724</v>
      </c>
      <c r="H1543" t="s">
        <v>70</v>
      </c>
      <c r="I1543">
        <v>3452</v>
      </c>
      <c r="K1543" t="s">
        <v>4139</v>
      </c>
      <c r="L1543" t="s">
        <v>1270</v>
      </c>
      <c r="M1543">
        <v>24</v>
      </c>
      <c r="N1543">
        <v>28.86</v>
      </c>
      <c r="O1543">
        <v>32.46</v>
      </c>
      <c r="P1543">
        <v>779.04</v>
      </c>
    </row>
    <row r="1544" spans="3:16">
      <c r="C1544">
        <v>3</v>
      </c>
      <c r="D1544">
        <v>2</v>
      </c>
      <c r="F1544" t="s">
        <v>11724</v>
      </c>
      <c r="H1544" t="s">
        <v>11722</v>
      </c>
      <c r="I1544" t="s">
        <v>12705</v>
      </c>
      <c r="K1544" t="s">
        <v>12706</v>
      </c>
      <c r="L1544" t="s">
        <v>1270</v>
      </c>
      <c r="M1544">
        <v>11</v>
      </c>
      <c r="N1544">
        <v>332</v>
      </c>
      <c r="O1544">
        <v>373.47</v>
      </c>
      <c r="P1544">
        <v>4108.17</v>
      </c>
    </row>
    <row r="1545" spans="3:16">
      <c r="C1545">
        <v>3</v>
      </c>
      <c r="D1545">
        <v>2</v>
      </c>
      <c r="F1545" t="s">
        <v>11724</v>
      </c>
      <c r="H1545" t="s">
        <v>70</v>
      </c>
      <c r="I1545">
        <v>1650</v>
      </c>
      <c r="K1545" t="s">
        <v>4213</v>
      </c>
      <c r="L1545" t="s">
        <v>10854</v>
      </c>
      <c r="M1545">
        <v>1</v>
      </c>
      <c r="N1545">
        <v>52.29</v>
      </c>
      <c r="O1545">
        <v>58.82</v>
      </c>
      <c r="P1545">
        <v>58.82</v>
      </c>
    </row>
    <row r="1546" spans="3:16">
      <c r="C1546">
        <v>3</v>
      </c>
      <c r="D1546">
        <v>2</v>
      </c>
      <c r="F1546" t="s">
        <v>11724</v>
      </c>
      <c r="H1546" t="s">
        <v>11722</v>
      </c>
      <c r="I1546" t="s">
        <v>13293</v>
      </c>
      <c r="K1546" t="s">
        <v>13295</v>
      </c>
      <c r="L1546" t="s">
        <v>1270</v>
      </c>
      <c r="M1546">
        <v>4</v>
      </c>
      <c r="N1546">
        <v>1265.99</v>
      </c>
      <c r="O1546">
        <v>1424.11</v>
      </c>
      <c r="P1546">
        <v>5696.44</v>
      </c>
    </row>
    <row r="1547" spans="3:16">
      <c r="C1547">
        <v>3</v>
      </c>
      <c r="D1547">
        <v>2</v>
      </c>
      <c r="F1547" t="s">
        <v>11724</v>
      </c>
      <c r="H1547" t="s">
        <v>11722</v>
      </c>
      <c r="I1547" t="s">
        <v>13294</v>
      </c>
      <c r="K1547" t="s">
        <v>13296</v>
      </c>
      <c r="L1547" t="s">
        <v>1270</v>
      </c>
      <c r="M1547">
        <v>16</v>
      </c>
      <c r="N1547">
        <v>447.01</v>
      </c>
      <c r="O1547">
        <v>502.84</v>
      </c>
      <c r="P1547">
        <v>8045.44</v>
      </c>
    </row>
    <row r="1548" spans="3:16">
      <c r="C1548">
        <v>3</v>
      </c>
      <c r="D1548">
        <v>2</v>
      </c>
      <c r="F1548" t="s">
        <v>11724</v>
      </c>
      <c r="H1548" t="s">
        <v>11722</v>
      </c>
      <c r="I1548" t="s">
        <v>12707</v>
      </c>
      <c r="K1548" t="s">
        <v>12708</v>
      </c>
      <c r="L1548" t="s">
        <v>1270</v>
      </c>
      <c r="M1548">
        <v>10</v>
      </c>
      <c r="N1548">
        <v>43.64</v>
      </c>
      <c r="O1548">
        <v>49.09</v>
      </c>
      <c r="P1548">
        <v>490.9</v>
      </c>
    </row>
    <row r="1549" spans="3:16">
      <c r="C1549">
        <v>3</v>
      </c>
      <c r="D1549">
        <v>2</v>
      </c>
      <c r="F1549" t="s">
        <v>11724</v>
      </c>
      <c r="H1549" t="s">
        <v>11722</v>
      </c>
      <c r="I1549" t="s">
        <v>12843</v>
      </c>
      <c r="K1549" t="s">
        <v>12844</v>
      </c>
      <c r="L1549" t="s">
        <v>1270</v>
      </c>
      <c r="M1549">
        <v>16</v>
      </c>
      <c r="N1549">
        <v>193.25</v>
      </c>
      <c r="O1549">
        <v>217.39</v>
      </c>
      <c r="P1549">
        <v>3478.24</v>
      </c>
    </row>
    <row r="1550" spans="3:16">
      <c r="C1550">
        <v>3</v>
      </c>
      <c r="D1550">
        <v>2</v>
      </c>
      <c r="F1550" t="s">
        <v>11724</v>
      </c>
      <c r="H1550" t="s">
        <v>11722</v>
      </c>
      <c r="I1550" t="s">
        <v>13175</v>
      </c>
      <c r="K1550" t="s">
        <v>13176</v>
      </c>
      <c r="L1550" t="s">
        <v>1270</v>
      </c>
      <c r="M1550">
        <v>8</v>
      </c>
      <c r="N1550">
        <v>397.06</v>
      </c>
      <c r="O1550">
        <v>446.65</v>
      </c>
      <c r="P1550">
        <v>3573.2</v>
      </c>
    </row>
    <row r="1551" spans="3:16">
      <c r="C1551">
        <v>3</v>
      </c>
      <c r="D1551">
        <v>2</v>
      </c>
      <c r="F1551" t="s">
        <v>11724</v>
      </c>
      <c r="H1551" t="s">
        <v>11722</v>
      </c>
      <c r="I1551" t="s">
        <v>13177</v>
      </c>
      <c r="K1551" t="s">
        <v>13178</v>
      </c>
      <c r="L1551" t="s">
        <v>1270</v>
      </c>
      <c r="M1551">
        <v>96</v>
      </c>
      <c r="N1551">
        <v>397.06</v>
      </c>
      <c r="O1551">
        <v>446.65</v>
      </c>
      <c r="P1551">
        <v>42878.400000000001</v>
      </c>
    </row>
    <row r="1552" spans="3:16">
      <c r="C1552">
        <v>3</v>
      </c>
      <c r="D1552">
        <v>2</v>
      </c>
      <c r="F1552" t="s">
        <v>11724</v>
      </c>
      <c r="H1552" t="s">
        <v>11722</v>
      </c>
      <c r="I1552" t="s">
        <v>12845</v>
      </c>
      <c r="K1552" t="s">
        <v>12846</v>
      </c>
      <c r="L1552" t="s">
        <v>1270</v>
      </c>
      <c r="M1552">
        <v>2</v>
      </c>
      <c r="N1552">
        <v>3146.28</v>
      </c>
      <c r="O1552">
        <v>3539.25</v>
      </c>
      <c r="P1552">
        <v>7078.5</v>
      </c>
    </row>
    <row r="1553" spans="3:16">
      <c r="C1553">
        <v>3</v>
      </c>
      <c r="D1553">
        <v>2</v>
      </c>
      <c r="F1553" t="s">
        <v>11724</v>
      </c>
      <c r="H1553" t="s">
        <v>11722</v>
      </c>
      <c r="I1553" t="s">
        <v>12709</v>
      </c>
      <c r="K1553" t="s">
        <v>12710</v>
      </c>
      <c r="L1553" t="s">
        <v>1270</v>
      </c>
      <c r="M1553">
        <v>1</v>
      </c>
      <c r="N1553">
        <v>162.5</v>
      </c>
      <c r="O1553">
        <v>182.8</v>
      </c>
      <c r="P1553">
        <v>182.8</v>
      </c>
    </row>
    <row r="1554" spans="3:16">
      <c r="C1554">
        <v>3</v>
      </c>
      <c r="D1554">
        <v>2</v>
      </c>
      <c r="F1554" t="s">
        <v>11724</v>
      </c>
      <c r="H1554" t="s">
        <v>11722</v>
      </c>
      <c r="I1554" t="s">
        <v>12711</v>
      </c>
      <c r="K1554" t="s">
        <v>12710</v>
      </c>
      <c r="L1554" t="s">
        <v>1270</v>
      </c>
      <c r="M1554">
        <v>3</v>
      </c>
      <c r="N1554">
        <v>162.5</v>
      </c>
      <c r="O1554">
        <v>182.8</v>
      </c>
      <c r="P1554">
        <v>548.4</v>
      </c>
    </row>
    <row r="1555" spans="3:16">
      <c r="C1555">
        <v>3</v>
      </c>
      <c r="D1555">
        <v>2</v>
      </c>
      <c r="F1555" t="s">
        <v>11724</v>
      </c>
      <c r="H1555" t="s">
        <v>11722</v>
      </c>
      <c r="I1555" t="s">
        <v>12712</v>
      </c>
      <c r="K1555" t="s">
        <v>12713</v>
      </c>
      <c r="L1555" t="s">
        <v>1270</v>
      </c>
      <c r="M1555">
        <v>16</v>
      </c>
      <c r="N1555">
        <v>18.2</v>
      </c>
      <c r="O1555">
        <v>20.47</v>
      </c>
      <c r="P1555">
        <v>327.52</v>
      </c>
    </row>
    <row r="1556" spans="3:16">
      <c r="C1556">
        <v>3</v>
      </c>
      <c r="D1556">
        <v>2</v>
      </c>
      <c r="F1556" t="s">
        <v>11724</v>
      </c>
      <c r="H1556" t="s">
        <v>11722</v>
      </c>
      <c r="I1556" t="s">
        <v>12714</v>
      </c>
      <c r="K1556" t="s">
        <v>12715</v>
      </c>
      <c r="L1556" t="s">
        <v>1270</v>
      </c>
      <c r="M1556">
        <v>4</v>
      </c>
      <c r="N1556">
        <v>298.2</v>
      </c>
      <c r="O1556">
        <v>335.45</v>
      </c>
      <c r="P1556">
        <v>1341.8</v>
      </c>
    </row>
    <row r="1557" spans="3:16">
      <c r="C1557">
        <v>3</v>
      </c>
      <c r="D1557">
        <v>2</v>
      </c>
      <c r="F1557" t="s">
        <v>11724</v>
      </c>
      <c r="H1557" t="s">
        <v>11722</v>
      </c>
      <c r="I1557" t="s">
        <v>12847</v>
      </c>
      <c r="K1557" t="s">
        <v>12848</v>
      </c>
      <c r="L1557" t="s">
        <v>1270</v>
      </c>
      <c r="M1557">
        <v>32</v>
      </c>
      <c r="N1557">
        <v>252.64</v>
      </c>
      <c r="O1557">
        <v>284.19</v>
      </c>
      <c r="P1557">
        <v>9094.08</v>
      </c>
    </row>
    <row r="1558" spans="3:16">
      <c r="C1558">
        <v>3</v>
      </c>
      <c r="D1558">
        <v>2</v>
      </c>
      <c r="F1558" t="s">
        <v>11724</v>
      </c>
      <c r="H1558" t="s">
        <v>11722</v>
      </c>
      <c r="I1558" t="s">
        <v>12851</v>
      </c>
      <c r="K1558" t="s">
        <v>12852</v>
      </c>
      <c r="L1558" t="s">
        <v>1270</v>
      </c>
      <c r="M1558">
        <v>12</v>
      </c>
      <c r="N1558">
        <v>468.84</v>
      </c>
      <c r="O1558">
        <v>527.4</v>
      </c>
      <c r="P1558">
        <v>6328.8</v>
      </c>
    </row>
    <row r="1559" spans="3:16">
      <c r="C1559">
        <v>3</v>
      </c>
      <c r="D1559">
        <v>2</v>
      </c>
      <c r="F1559" t="s">
        <v>11724</v>
      </c>
      <c r="H1559" t="s">
        <v>11722</v>
      </c>
      <c r="I1559" t="s">
        <v>12853</v>
      </c>
      <c r="K1559" t="s">
        <v>12854</v>
      </c>
      <c r="L1559" t="s">
        <v>1270</v>
      </c>
      <c r="M1559">
        <v>2</v>
      </c>
      <c r="N1559">
        <v>1188.6099999999999</v>
      </c>
      <c r="O1559">
        <v>1337.07</v>
      </c>
      <c r="P1559">
        <v>2674.14</v>
      </c>
    </row>
    <row r="1560" spans="3:16">
      <c r="C1560">
        <v>3</v>
      </c>
      <c r="D1560">
        <v>2</v>
      </c>
      <c r="F1560" t="s">
        <v>11724</v>
      </c>
      <c r="H1560" t="s">
        <v>70</v>
      </c>
      <c r="I1560">
        <v>1824</v>
      </c>
      <c r="K1560" t="s">
        <v>4629</v>
      </c>
      <c r="L1560" t="s">
        <v>1270</v>
      </c>
      <c r="M1560">
        <v>6</v>
      </c>
      <c r="N1560">
        <v>26.54</v>
      </c>
      <c r="O1560">
        <v>29.85</v>
      </c>
      <c r="P1560">
        <v>179.1</v>
      </c>
    </row>
    <row r="1561" spans="3:16">
      <c r="C1561">
        <v>3</v>
      </c>
      <c r="D1561">
        <v>2</v>
      </c>
      <c r="F1561" t="s">
        <v>11724</v>
      </c>
      <c r="H1561" t="s">
        <v>11722</v>
      </c>
      <c r="I1561" t="s">
        <v>13181</v>
      </c>
      <c r="K1561" t="s">
        <v>13182</v>
      </c>
      <c r="L1561" t="s">
        <v>1270</v>
      </c>
      <c r="M1561">
        <v>8</v>
      </c>
      <c r="N1561">
        <v>493.05</v>
      </c>
      <c r="O1561">
        <v>554.63</v>
      </c>
      <c r="P1561">
        <v>4437.04</v>
      </c>
    </row>
    <row r="1562" spans="3:16">
      <c r="C1562">
        <v>3</v>
      </c>
      <c r="D1562">
        <v>2</v>
      </c>
      <c r="F1562" t="s">
        <v>11724</v>
      </c>
      <c r="H1562" t="s">
        <v>11722</v>
      </c>
      <c r="I1562" t="s">
        <v>13183</v>
      </c>
      <c r="K1562" t="s">
        <v>13184</v>
      </c>
      <c r="L1562" t="s">
        <v>1270</v>
      </c>
      <c r="M1562">
        <v>48</v>
      </c>
      <c r="N1562">
        <v>493.05</v>
      </c>
      <c r="O1562">
        <v>554.63</v>
      </c>
      <c r="P1562">
        <v>26622.240000000002</v>
      </c>
    </row>
    <row r="1563" spans="3:16">
      <c r="C1563">
        <v>3</v>
      </c>
      <c r="D1563">
        <v>2</v>
      </c>
      <c r="F1563" t="s">
        <v>11724</v>
      </c>
      <c r="H1563" t="s">
        <v>11722</v>
      </c>
      <c r="I1563" t="s">
        <v>12716</v>
      </c>
      <c r="K1563" t="s">
        <v>12717</v>
      </c>
      <c r="L1563" t="s">
        <v>1270</v>
      </c>
      <c r="M1563">
        <v>816</v>
      </c>
      <c r="N1563">
        <v>11.2</v>
      </c>
      <c r="O1563">
        <v>12.6</v>
      </c>
      <c r="P1563">
        <v>10281.6</v>
      </c>
    </row>
    <row r="1564" spans="3:16">
      <c r="C1564">
        <v>3</v>
      </c>
      <c r="D1564">
        <v>2</v>
      </c>
      <c r="F1564" t="s">
        <v>11724</v>
      </c>
      <c r="H1564" t="s">
        <v>11722</v>
      </c>
      <c r="I1564" t="s">
        <v>12718</v>
      </c>
      <c r="K1564" t="s">
        <v>12719</v>
      </c>
      <c r="L1564" t="s">
        <v>1270</v>
      </c>
      <c r="M1564">
        <v>4</v>
      </c>
      <c r="N1564">
        <v>32.700000000000003</v>
      </c>
      <c r="O1564">
        <v>36.78</v>
      </c>
      <c r="P1564">
        <v>147.12</v>
      </c>
    </row>
    <row r="1565" spans="3:16">
      <c r="C1565">
        <v>3</v>
      </c>
      <c r="D1565">
        <v>2</v>
      </c>
      <c r="F1565" t="s">
        <v>11724</v>
      </c>
      <c r="H1565" t="s">
        <v>70</v>
      </c>
      <c r="I1565">
        <v>1795</v>
      </c>
      <c r="K1565" t="s">
        <v>4443</v>
      </c>
      <c r="L1565" t="s">
        <v>10854</v>
      </c>
      <c r="M1565">
        <v>1</v>
      </c>
      <c r="N1565">
        <v>11.28</v>
      </c>
      <c r="O1565">
        <v>12.69</v>
      </c>
      <c r="P1565">
        <v>12.69</v>
      </c>
    </row>
    <row r="1566" spans="3:16">
      <c r="C1566">
        <v>3</v>
      </c>
      <c r="D1566">
        <v>2</v>
      </c>
      <c r="F1566" t="s">
        <v>11724</v>
      </c>
      <c r="H1566" t="s">
        <v>70</v>
      </c>
      <c r="I1566">
        <v>1787</v>
      </c>
      <c r="K1566" t="s">
        <v>4429</v>
      </c>
      <c r="L1566" t="s">
        <v>10854</v>
      </c>
      <c r="M1566">
        <v>1</v>
      </c>
      <c r="N1566">
        <v>18.670000000000002</v>
      </c>
      <c r="O1566">
        <v>21</v>
      </c>
      <c r="P1566">
        <v>21</v>
      </c>
    </row>
    <row r="1567" spans="3:16">
      <c r="C1567">
        <v>3</v>
      </c>
      <c r="D1567">
        <v>2</v>
      </c>
      <c r="F1567" t="s">
        <v>11724</v>
      </c>
      <c r="H1567" t="s">
        <v>11722</v>
      </c>
      <c r="I1567" t="s">
        <v>13185</v>
      </c>
      <c r="K1567" t="s">
        <v>13186</v>
      </c>
      <c r="L1567" t="s">
        <v>1270</v>
      </c>
      <c r="M1567">
        <v>96</v>
      </c>
      <c r="N1567">
        <v>493.05</v>
      </c>
      <c r="O1567">
        <v>554.63</v>
      </c>
      <c r="P1567">
        <v>53244.480000000003</v>
      </c>
    </row>
    <row r="1568" spans="3:16">
      <c r="C1568">
        <v>3</v>
      </c>
      <c r="D1568">
        <v>2</v>
      </c>
      <c r="F1568" t="s">
        <v>11724</v>
      </c>
      <c r="H1568" t="s">
        <v>11722</v>
      </c>
      <c r="I1568" t="s">
        <v>12720</v>
      </c>
      <c r="K1568" t="s">
        <v>12721</v>
      </c>
      <c r="L1568" t="s">
        <v>1270</v>
      </c>
      <c r="M1568">
        <v>4</v>
      </c>
      <c r="N1568">
        <v>124.8</v>
      </c>
      <c r="O1568">
        <v>140.38999999999999</v>
      </c>
      <c r="P1568">
        <v>561.55999999999995</v>
      </c>
    </row>
    <row r="1569" spans="3:16">
      <c r="C1569">
        <v>3</v>
      </c>
      <c r="D1569">
        <v>2</v>
      </c>
      <c r="F1569" t="s">
        <v>11724</v>
      </c>
      <c r="H1569" t="s">
        <v>11722</v>
      </c>
      <c r="I1569" t="s">
        <v>12722</v>
      </c>
      <c r="K1569" t="s">
        <v>12723</v>
      </c>
      <c r="L1569" t="s">
        <v>1270</v>
      </c>
      <c r="M1569">
        <v>18</v>
      </c>
      <c r="N1569">
        <v>58.8</v>
      </c>
      <c r="O1569">
        <v>66.14</v>
      </c>
      <c r="P1569">
        <v>1190.52</v>
      </c>
    </row>
    <row r="1570" spans="3:16">
      <c r="C1570">
        <v>3</v>
      </c>
      <c r="D1570">
        <v>2</v>
      </c>
      <c r="F1570" t="s">
        <v>11724</v>
      </c>
      <c r="H1570" t="s">
        <v>11722</v>
      </c>
      <c r="I1570" t="s">
        <v>12724</v>
      </c>
      <c r="K1570" t="s">
        <v>12725</v>
      </c>
      <c r="L1570" t="s">
        <v>1270</v>
      </c>
      <c r="M1570">
        <v>4</v>
      </c>
      <c r="N1570">
        <v>4.3499999999999996</v>
      </c>
      <c r="O1570">
        <v>4.8899999999999997</v>
      </c>
      <c r="P1570">
        <v>19.559999999999999</v>
      </c>
    </row>
    <row r="1571" spans="3:16">
      <c r="C1571">
        <v>3</v>
      </c>
      <c r="D1571">
        <v>2</v>
      </c>
      <c r="F1571" t="s">
        <v>11724</v>
      </c>
      <c r="H1571" t="s">
        <v>11722</v>
      </c>
      <c r="I1571" t="s">
        <v>12726</v>
      </c>
      <c r="K1571" t="s">
        <v>12727</v>
      </c>
      <c r="L1571" t="s">
        <v>1270</v>
      </c>
      <c r="M1571">
        <v>96</v>
      </c>
      <c r="N1571">
        <v>4.3499999999999996</v>
      </c>
      <c r="O1571">
        <v>4.8899999999999997</v>
      </c>
      <c r="P1571">
        <v>469.44</v>
      </c>
    </row>
    <row r="1572" spans="3:16">
      <c r="C1572">
        <v>3</v>
      </c>
      <c r="D1572">
        <v>2</v>
      </c>
      <c r="F1572" t="s">
        <v>11724</v>
      </c>
      <c r="H1572" t="s">
        <v>11722</v>
      </c>
      <c r="I1572" t="s">
        <v>13143</v>
      </c>
      <c r="K1572" t="s">
        <v>13144</v>
      </c>
      <c r="L1572" t="s">
        <v>1270</v>
      </c>
      <c r="M1572">
        <v>8</v>
      </c>
      <c r="N1572">
        <v>120.32</v>
      </c>
      <c r="O1572">
        <v>135.35</v>
      </c>
      <c r="P1572">
        <v>1082.8</v>
      </c>
    </row>
    <row r="1573" spans="3:16">
      <c r="C1573">
        <v>3</v>
      </c>
      <c r="D1573">
        <v>2</v>
      </c>
      <c r="F1573" t="s">
        <v>11724</v>
      </c>
      <c r="H1573" t="s">
        <v>11722</v>
      </c>
      <c r="I1573" t="s">
        <v>13145</v>
      </c>
      <c r="K1573" t="s">
        <v>13146</v>
      </c>
      <c r="L1573" t="s">
        <v>1270</v>
      </c>
      <c r="M1573">
        <v>4</v>
      </c>
      <c r="N1573">
        <v>153.13</v>
      </c>
      <c r="O1573">
        <v>172.26</v>
      </c>
      <c r="P1573">
        <v>689.04</v>
      </c>
    </row>
    <row r="1574" spans="3:16">
      <c r="C1574">
        <v>3</v>
      </c>
      <c r="D1574">
        <v>2</v>
      </c>
      <c r="F1574" t="s">
        <v>11724</v>
      </c>
      <c r="H1574" t="s">
        <v>11722</v>
      </c>
      <c r="I1574" t="s">
        <v>13147</v>
      </c>
      <c r="K1574" t="s">
        <v>13148</v>
      </c>
      <c r="L1574" t="s">
        <v>1270</v>
      </c>
      <c r="M1574">
        <v>4</v>
      </c>
      <c r="N1574">
        <v>501.37</v>
      </c>
      <c r="O1574">
        <v>563.99</v>
      </c>
      <c r="P1574">
        <v>2255.96</v>
      </c>
    </row>
    <row r="1575" spans="3:16">
      <c r="C1575">
        <v>3</v>
      </c>
      <c r="D1575">
        <v>2</v>
      </c>
      <c r="F1575" t="s">
        <v>11724</v>
      </c>
      <c r="H1575" t="s">
        <v>11722</v>
      </c>
      <c r="I1575" t="s">
        <v>13149</v>
      </c>
      <c r="K1575" t="s">
        <v>13150</v>
      </c>
      <c r="L1575" t="s">
        <v>1270</v>
      </c>
      <c r="M1575">
        <v>8</v>
      </c>
      <c r="N1575">
        <v>3840.22</v>
      </c>
      <c r="O1575">
        <v>4319.8599999999997</v>
      </c>
      <c r="P1575">
        <v>34558.879999999997</v>
      </c>
    </row>
    <row r="1576" spans="3:16">
      <c r="C1576">
        <v>3</v>
      </c>
      <c r="D1576">
        <v>2</v>
      </c>
      <c r="F1576" t="s">
        <v>11724</v>
      </c>
      <c r="H1576" t="s">
        <v>11722</v>
      </c>
      <c r="I1576" t="s">
        <v>12865</v>
      </c>
      <c r="K1576" t="s">
        <v>12866</v>
      </c>
      <c r="L1576" t="s">
        <v>1270</v>
      </c>
      <c r="M1576">
        <v>96</v>
      </c>
      <c r="N1576">
        <v>439.93</v>
      </c>
      <c r="O1576">
        <v>494.88</v>
      </c>
      <c r="P1576">
        <v>47508.480000000003</v>
      </c>
    </row>
    <row r="1577" spans="3:16">
      <c r="C1577">
        <v>3</v>
      </c>
      <c r="D1577">
        <v>2</v>
      </c>
      <c r="F1577" t="s">
        <v>11724</v>
      </c>
      <c r="H1577" t="s">
        <v>11722</v>
      </c>
      <c r="I1577" t="s">
        <v>12873</v>
      </c>
      <c r="K1577" t="s">
        <v>12874</v>
      </c>
      <c r="L1577" t="s">
        <v>1270</v>
      </c>
      <c r="M1577">
        <v>160</v>
      </c>
      <c r="N1577">
        <v>179.81</v>
      </c>
      <c r="O1577">
        <v>202.27</v>
      </c>
      <c r="P1577">
        <v>32363.200000000001</v>
      </c>
    </row>
    <row r="1578" spans="3:16">
      <c r="C1578">
        <v>3</v>
      </c>
      <c r="D1578">
        <v>2</v>
      </c>
      <c r="F1578" t="s">
        <v>11724</v>
      </c>
      <c r="H1578" t="s">
        <v>11722</v>
      </c>
      <c r="I1578" t="s">
        <v>12875</v>
      </c>
      <c r="K1578" t="s">
        <v>12876</v>
      </c>
      <c r="L1578" t="s">
        <v>1270</v>
      </c>
      <c r="M1578">
        <v>32</v>
      </c>
      <c r="N1578">
        <v>179.81</v>
      </c>
      <c r="O1578">
        <v>202.27</v>
      </c>
      <c r="P1578">
        <v>6472.64</v>
      </c>
    </row>
    <row r="1579" spans="3:16">
      <c r="C1579">
        <v>3</v>
      </c>
      <c r="D1579">
        <v>2</v>
      </c>
      <c r="F1579" t="s">
        <v>11724</v>
      </c>
      <c r="H1579" t="s">
        <v>11722</v>
      </c>
      <c r="I1579" t="s">
        <v>13187</v>
      </c>
      <c r="K1579" t="s">
        <v>13188</v>
      </c>
      <c r="L1579" t="s">
        <v>1270</v>
      </c>
      <c r="M1579">
        <v>4</v>
      </c>
      <c r="N1579">
        <v>334.38</v>
      </c>
      <c r="O1579">
        <v>376.14</v>
      </c>
      <c r="P1579">
        <v>1504.56</v>
      </c>
    </row>
    <row r="1580" spans="3:16">
      <c r="C1580">
        <v>3</v>
      </c>
      <c r="D1580">
        <v>2</v>
      </c>
      <c r="F1580" t="s">
        <v>11724</v>
      </c>
      <c r="H1580" t="s">
        <v>11722</v>
      </c>
      <c r="I1580" t="s">
        <v>12877</v>
      </c>
      <c r="K1580" t="s">
        <v>12878</v>
      </c>
      <c r="L1580" t="s">
        <v>1270</v>
      </c>
      <c r="M1580">
        <v>64</v>
      </c>
      <c r="N1580">
        <v>556.24</v>
      </c>
      <c r="O1580">
        <v>625.71</v>
      </c>
      <c r="P1580">
        <v>40045.440000000002</v>
      </c>
    </row>
    <row r="1581" spans="3:16">
      <c r="C1581">
        <v>3</v>
      </c>
      <c r="D1581">
        <v>2</v>
      </c>
      <c r="F1581" t="s">
        <v>11724</v>
      </c>
      <c r="H1581" t="s">
        <v>11722</v>
      </c>
      <c r="I1581" t="s">
        <v>12728</v>
      </c>
      <c r="K1581" t="s">
        <v>12729</v>
      </c>
      <c r="L1581" t="s">
        <v>1270</v>
      </c>
      <c r="M1581">
        <v>4</v>
      </c>
      <c r="N1581">
        <v>359</v>
      </c>
      <c r="O1581">
        <v>403.84</v>
      </c>
      <c r="P1581">
        <v>1615.36</v>
      </c>
    </row>
    <row r="1582" spans="3:16">
      <c r="C1582">
        <v>3</v>
      </c>
      <c r="D1582">
        <v>2</v>
      </c>
      <c r="F1582" t="s">
        <v>11724</v>
      </c>
      <c r="H1582" t="s">
        <v>11722</v>
      </c>
      <c r="I1582" t="s">
        <v>12879</v>
      </c>
      <c r="K1582" t="s">
        <v>12880</v>
      </c>
      <c r="L1582" t="s">
        <v>1270</v>
      </c>
      <c r="M1582">
        <v>96</v>
      </c>
      <c r="N1582">
        <v>111.03</v>
      </c>
      <c r="O1582">
        <v>124.9</v>
      </c>
      <c r="P1582">
        <v>11990.4</v>
      </c>
    </row>
    <row r="1583" spans="3:16">
      <c r="C1583">
        <v>3</v>
      </c>
      <c r="D1583">
        <v>2</v>
      </c>
      <c r="F1583" t="s">
        <v>11724</v>
      </c>
      <c r="H1583" t="s">
        <v>11722</v>
      </c>
      <c r="I1583" t="s">
        <v>12883</v>
      </c>
      <c r="K1583" t="s">
        <v>12884</v>
      </c>
      <c r="L1583" t="s">
        <v>1270</v>
      </c>
      <c r="M1583">
        <v>160</v>
      </c>
      <c r="N1583">
        <v>90.44</v>
      </c>
      <c r="O1583">
        <v>101.74</v>
      </c>
      <c r="P1583">
        <v>16278.4</v>
      </c>
    </row>
    <row r="1584" spans="3:16">
      <c r="C1584">
        <v>3</v>
      </c>
      <c r="D1584">
        <v>2</v>
      </c>
      <c r="F1584" t="s">
        <v>11724</v>
      </c>
      <c r="H1584" t="s">
        <v>11722</v>
      </c>
      <c r="I1584" t="s">
        <v>12885</v>
      </c>
      <c r="K1584" t="s">
        <v>12886</v>
      </c>
      <c r="L1584" t="s">
        <v>1270</v>
      </c>
      <c r="M1584">
        <v>64</v>
      </c>
      <c r="N1584">
        <v>235.23</v>
      </c>
      <c r="O1584">
        <v>264.61</v>
      </c>
      <c r="P1584">
        <v>16935.04</v>
      </c>
    </row>
    <row r="1585" spans="3:16">
      <c r="C1585">
        <v>3</v>
      </c>
      <c r="D1585">
        <v>2</v>
      </c>
      <c r="F1585" t="s">
        <v>11724</v>
      </c>
      <c r="H1585" t="s">
        <v>11722</v>
      </c>
      <c r="I1585" t="s">
        <v>12889</v>
      </c>
      <c r="K1585" t="s">
        <v>12890</v>
      </c>
      <c r="L1585" t="s">
        <v>1270</v>
      </c>
      <c r="M1585">
        <v>8</v>
      </c>
      <c r="N1585">
        <v>5059.03</v>
      </c>
      <c r="O1585">
        <v>5690.9</v>
      </c>
      <c r="P1585">
        <v>45527.199999999997</v>
      </c>
    </row>
    <row r="1586" spans="3:16">
      <c r="C1586">
        <v>3</v>
      </c>
      <c r="D1586">
        <v>2</v>
      </c>
      <c r="F1586" t="s">
        <v>11724</v>
      </c>
      <c r="H1586" t="s">
        <v>11722</v>
      </c>
      <c r="I1586" t="s">
        <v>13191</v>
      </c>
      <c r="K1586" t="s">
        <v>13192</v>
      </c>
      <c r="L1586" t="s">
        <v>1270</v>
      </c>
      <c r="M1586">
        <v>8</v>
      </c>
      <c r="N1586">
        <v>178.02</v>
      </c>
      <c r="O1586">
        <v>200.25</v>
      </c>
      <c r="P1586">
        <v>1602</v>
      </c>
    </row>
    <row r="1587" spans="3:16">
      <c r="C1587">
        <v>3</v>
      </c>
      <c r="D1587">
        <v>2</v>
      </c>
      <c r="F1587" t="s">
        <v>11724</v>
      </c>
      <c r="H1587" t="s">
        <v>70</v>
      </c>
      <c r="I1587">
        <v>89502</v>
      </c>
      <c r="K1587" t="s">
        <v>6292</v>
      </c>
      <c r="L1587" t="s">
        <v>1270</v>
      </c>
      <c r="M1587">
        <v>24</v>
      </c>
      <c r="N1587">
        <v>10.74</v>
      </c>
      <c r="O1587">
        <v>12.08</v>
      </c>
      <c r="P1587">
        <v>289.92</v>
      </c>
    </row>
    <row r="1588" spans="3:16">
      <c r="C1588">
        <v>3</v>
      </c>
      <c r="D1588">
        <v>2</v>
      </c>
      <c r="F1588" t="s">
        <v>11724</v>
      </c>
      <c r="H1588" t="s">
        <v>70</v>
      </c>
      <c r="I1588">
        <v>89481</v>
      </c>
      <c r="K1588" t="s">
        <v>6354</v>
      </c>
      <c r="L1588" t="s">
        <v>1270</v>
      </c>
      <c r="M1588">
        <v>96</v>
      </c>
      <c r="N1588">
        <v>3.27</v>
      </c>
      <c r="O1588">
        <v>3.68</v>
      </c>
      <c r="P1588">
        <v>353.28</v>
      </c>
    </row>
    <row r="1589" spans="3:16">
      <c r="C1589">
        <v>3</v>
      </c>
      <c r="D1589">
        <v>2</v>
      </c>
      <c r="F1589" t="s">
        <v>11724</v>
      </c>
      <c r="H1589" t="s">
        <v>70</v>
      </c>
      <c r="I1589">
        <v>89501</v>
      </c>
      <c r="K1589" t="s">
        <v>6365</v>
      </c>
      <c r="L1589" t="s">
        <v>1270</v>
      </c>
      <c r="M1589">
        <v>120</v>
      </c>
      <c r="N1589">
        <v>9.74</v>
      </c>
      <c r="O1589">
        <v>10.96</v>
      </c>
      <c r="P1589">
        <v>1315.2</v>
      </c>
    </row>
    <row r="1590" spans="3:16">
      <c r="C1590">
        <v>3</v>
      </c>
      <c r="D1590">
        <v>2</v>
      </c>
      <c r="F1590" t="s">
        <v>11724</v>
      </c>
      <c r="H1590" t="s">
        <v>11722</v>
      </c>
      <c r="I1590" t="s">
        <v>12895</v>
      </c>
      <c r="K1590" t="s">
        <v>12896</v>
      </c>
      <c r="L1590" t="s">
        <v>1270</v>
      </c>
      <c r="M1590">
        <v>144</v>
      </c>
      <c r="N1590">
        <v>281.8</v>
      </c>
      <c r="O1590">
        <v>317</v>
      </c>
      <c r="P1590">
        <v>45648</v>
      </c>
    </row>
    <row r="1591" spans="3:16">
      <c r="C1591">
        <v>3</v>
      </c>
      <c r="D1591">
        <v>2</v>
      </c>
      <c r="F1591" t="s">
        <v>11724</v>
      </c>
      <c r="H1591" t="s">
        <v>11722</v>
      </c>
      <c r="I1591" t="s">
        <v>12897</v>
      </c>
      <c r="K1591" t="s">
        <v>12898</v>
      </c>
      <c r="L1591" t="s">
        <v>1270</v>
      </c>
      <c r="M1591">
        <v>32</v>
      </c>
      <c r="N1591">
        <v>133.26</v>
      </c>
      <c r="O1591">
        <v>149.9</v>
      </c>
      <c r="P1591">
        <v>4796.8</v>
      </c>
    </row>
    <row r="1592" spans="3:16">
      <c r="C1592">
        <v>3</v>
      </c>
      <c r="D1592">
        <v>2</v>
      </c>
      <c r="F1592" t="s">
        <v>11724</v>
      </c>
      <c r="H1592" t="s">
        <v>11722</v>
      </c>
      <c r="I1592" t="s">
        <v>12899</v>
      </c>
      <c r="K1592" t="s">
        <v>12900</v>
      </c>
      <c r="L1592" t="s">
        <v>1270</v>
      </c>
      <c r="M1592">
        <v>12</v>
      </c>
      <c r="N1592">
        <v>391.36</v>
      </c>
      <c r="O1592">
        <v>440.24</v>
      </c>
      <c r="P1592">
        <v>5282.88</v>
      </c>
    </row>
    <row r="1593" spans="3:16">
      <c r="C1593">
        <v>3</v>
      </c>
      <c r="D1593">
        <v>2</v>
      </c>
      <c r="F1593" t="s">
        <v>11724</v>
      </c>
      <c r="H1593" t="s">
        <v>11722</v>
      </c>
      <c r="I1593" t="s">
        <v>13195</v>
      </c>
      <c r="K1593" t="s">
        <v>13196</v>
      </c>
      <c r="L1593" t="s">
        <v>1270</v>
      </c>
      <c r="M1593">
        <v>4</v>
      </c>
      <c r="N1593">
        <v>193.16</v>
      </c>
      <c r="O1593">
        <v>217.29</v>
      </c>
      <c r="P1593">
        <v>869.16</v>
      </c>
    </row>
    <row r="1594" spans="3:16">
      <c r="C1594">
        <v>3</v>
      </c>
      <c r="D1594">
        <v>2</v>
      </c>
      <c r="F1594" t="s">
        <v>11724</v>
      </c>
      <c r="H1594" t="s">
        <v>11722</v>
      </c>
      <c r="I1594" t="s">
        <v>12730</v>
      </c>
      <c r="K1594" t="s">
        <v>12731</v>
      </c>
      <c r="L1594" t="s">
        <v>1270</v>
      </c>
      <c r="M1594">
        <v>24</v>
      </c>
      <c r="N1594">
        <v>33.479999999999997</v>
      </c>
      <c r="O1594">
        <v>37.659999999999997</v>
      </c>
      <c r="P1594">
        <v>903.84</v>
      </c>
    </row>
    <row r="1595" spans="3:16">
      <c r="C1595">
        <v>3</v>
      </c>
      <c r="D1595">
        <v>2</v>
      </c>
      <c r="F1595" t="s">
        <v>11724</v>
      </c>
      <c r="H1595" t="s">
        <v>11722</v>
      </c>
      <c r="I1595" t="s">
        <v>12903</v>
      </c>
      <c r="K1595" t="s">
        <v>12904</v>
      </c>
      <c r="L1595" t="s">
        <v>1270</v>
      </c>
      <c r="M1595">
        <v>96</v>
      </c>
      <c r="N1595">
        <v>223.32</v>
      </c>
      <c r="O1595">
        <v>251.21</v>
      </c>
      <c r="P1595">
        <v>24116.16</v>
      </c>
    </row>
    <row r="1596" spans="3:16">
      <c r="C1596">
        <v>3</v>
      </c>
      <c r="D1596">
        <v>2</v>
      </c>
      <c r="F1596" t="s">
        <v>11724</v>
      </c>
      <c r="H1596" t="s">
        <v>70</v>
      </c>
      <c r="I1596">
        <v>3863</v>
      </c>
      <c r="K1596" t="s">
        <v>7057</v>
      </c>
      <c r="L1596" t="s">
        <v>1270</v>
      </c>
      <c r="M1596">
        <v>24</v>
      </c>
      <c r="N1596">
        <v>3.71</v>
      </c>
      <c r="O1596">
        <v>4.17</v>
      </c>
      <c r="P1596">
        <v>100.08</v>
      </c>
    </row>
    <row r="1597" spans="3:16">
      <c r="C1597">
        <v>3</v>
      </c>
      <c r="D1597">
        <v>2</v>
      </c>
      <c r="F1597" t="s">
        <v>11724</v>
      </c>
      <c r="H1597" t="s">
        <v>11722</v>
      </c>
      <c r="I1597" t="s">
        <v>13197</v>
      </c>
      <c r="K1597" t="s">
        <v>13198</v>
      </c>
      <c r="L1597" t="s">
        <v>1270</v>
      </c>
      <c r="M1597">
        <v>4</v>
      </c>
      <c r="N1597">
        <v>219.86</v>
      </c>
      <c r="O1597">
        <v>247.32</v>
      </c>
      <c r="P1597">
        <v>989.28</v>
      </c>
    </row>
    <row r="1598" spans="3:16">
      <c r="C1598">
        <v>3</v>
      </c>
      <c r="D1598">
        <v>2</v>
      </c>
      <c r="F1598" t="s">
        <v>11724</v>
      </c>
      <c r="H1598" t="s">
        <v>11722</v>
      </c>
      <c r="I1598" t="s">
        <v>12732</v>
      </c>
      <c r="K1598" t="s">
        <v>12733</v>
      </c>
      <c r="L1598" t="s">
        <v>1270</v>
      </c>
      <c r="M1598">
        <v>24</v>
      </c>
      <c r="N1598">
        <v>59.97</v>
      </c>
      <c r="O1598">
        <v>67.459999999999994</v>
      </c>
      <c r="P1598">
        <v>1619.04</v>
      </c>
    </row>
    <row r="1599" spans="3:16">
      <c r="C1599">
        <v>3</v>
      </c>
      <c r="D1599">
        <v>2</v>
      </c>
      <c r="F1599" t="s">
        <v>11724</v>
      </c>
      <c r="H1599" t="s">
        <v>11722</v>
      </c>
      <c r="I1599" t="s">
        <v>12734</v>
      </c>
      <c r="K1599" t="s">
        <v>12735</v>
      </c>
      <c r="L1599" t="s">
        <v>1270</v>
      </c>
      <c r="M1599">
        <v>320</v>
      </c>
      <c r="N1599">
        <v>59.97</v>
      </c>
      <c r="O1599">
        <v>67.459999999999994</v>
      </c>
      <c r="P1599">
        <v>21587.200000000001</v>
      </c>
    </row>
    <row r="1600" spans="3:16">
      <c r="C1600">
        <v>3</v>
      </c>
      <c r="D1600">
        <v>2</v>
      </c>
      <c r="F1600" t="s">
        <v>11724</v>
      </c>
      <c r="H1600" t="s">
        <v>11722</v>
      </c>
      <c r="I1600" t="s">
        <v>12736</v>
      </c>
      <c r="K1600" t="s">
        <v>12737</v>
      </c>
      <c r="L1600" t="s">
        <v>1270</v>
      </c>
      <c r="M1600">
        <v>2</v>
      </c>
      <c r="N1600">
        <v>13.89</v>
      </c>
      <c r="O1600">
        <v>15.62</v>
      </c>
      <c r="P1600">
        <v>31.24</v>
      </c>
    </row>
    <row r="1601" spans="3:16">
      <c r="C1601">
        <v>3</v>
      </c>
      <c r="D1601">
        <v>2</v>
      </c>
      <c r="F1601" t="s">
        <v>11724</v>
      </c>
      <c r="H1601" t="s">
        <v>11722</v>
      </c>
      <c r="I1601" t="s">
        <v>12738</v>
      </c>
      <c r="K1601" t="s">
        <v>12739</v>
      </c>
      <c r="L1601" t="s">
        <v>1270</v>
      </c>
      <c r="M1601">
        <v>320</v>
      </c>
      <c r="N1601">
        <v>13.89</v>
      </c>
      <c r="O1601">
        <v>15.62</v>
      </c>
      <c r="P1601">
        <v>4998.3999999999996</v>
      </c>
    </row>
    <row r="1602" spans="3:16">
      <c r="C1602">
        <v>3</v>
      </c>
      <c r="D1602">
        <v>2</v>
      </c>
      <c r="F1602" t="s">
        <v>11724</v>
      </c>
      <c r="H1602" t="s">
        <v>70</v>
      </c>
      <c r="I1602">
        <v>4181</v>
      </c>
      <c r="K1602" t="s">
        <v>7665</v>
      </c>
      <c r="L1602" t="s">
        <v>1270</v>
      </c>
      <c r="M1602">
        <v>8</v>
      </c>
      <c r="N1602">
        <v>17.350000000000001</v>
      </c>
      <c r="O1602">
        <v>19.52</v>
      </c>
      <c r="P1602">
        <v>156.16</v>
      </c>
    </row>
    <row r="1603" spans="3:16">
      <c r="C1603">
        <v>3</v>
      </c>
      <c r="D1603">
        <v>2</v>
      </c>
      <c r="F1603" t="s">
        <v>11724</v>
      </c>
      <c r="H1603" t="s">
        <v>70</v>
      </c>
      <c r="I1603">
        <v>4179</v>
      </c>
      <c r="K1603" t="s">
        <v>7662</v>
      </c>
      <c r="L1603" t="s">
        <v>1270</v>
      </c>
      <c r="M1603">
        <v>96</v>
      </c>
      <c r="N1603">
        <v>5.7</v>
      </c>
      <c r="O1603">
        <v>6.41</v>
      </c>
      <c r="P1603">
        <v>615.36</v>
      </c>
    </row>
    <row r="1604" spans="3:16">
      <c r="C1604">
        <v>3</v>
      </c>
      <c r="D1604">
        <v>2</v>
      </c>
      <c r="F1604" t="s">
        <v>11724</v>
      </c>
      <c r="H1604" t="s">
        <v>70</v>
      </c>
      <c r="I1604">
        <v>92344</v>
      </c>
      <c r="K1604" t="s">
        <v>703</v>
      </c>
      <c r="L1604" t="s">
        <v>1270</v>
      </c>
      <c r="M1604">
        <v>24</v>
      </c>
      <c r="N1604">
        <v>39.44</v>
      </c>
      <c r="O1604">
        <v>44.37</v>
      </c>
      <c r="P1604">
        <v>1064.8800000000001</v>
      </c>
    </row>
    <row r="1605" spans="3:16">
      <c r="C1605">
        <v>3</v>
      </c>
      <c r="D1605">
        <v>2</v>
      </c>
      <c r="F1605" t="s">
        <v>11724</v>
      </c>
      <c r="H1605" t="s">
        <v>11722</v>
      </c>
      <c r="I1605" t="s">
        <v>12913</v>
      </c>
      <c r="K1605" t="s">
        <v>12912</v>
      </c>
      <c r="L1605" t="s">
        <v>1270</v>
      </c>
      <c r="M1605">
        <v>2432</v>
      </c>
      <c r="N1605">
        <v>3.19</v>
      </c>
      <c r="O1605">
        <v>3.59</v>
      </c>
      <c r="P1605">
        <v>8730.8799999999992</v>
      </c>
    </row>
    <row r="1606" spans="3:16">
      <c r="C1606">
        <v>3</v>
      </c>
      <c r="D1606">
        <v>2</v>
      </c>
      <c r="F1606" t="s">
        <v>11724</v>
      </c>
      <c r="H1606" t="s">
        <v>11722</v>
      </c>
      <c r="I1606" t="s">
        <v>12914</v>
      </c>
      <c r="K1606" t="s">
        <v>12915</v>
      </c>
      <c r="L1606" t="s">
        <v>1270</v>
      </c>
      <c r="M1606">
        <v>32</v>
      </c>
      <c r="N1606">
        <v>5.54</v>
      </c>
      <c r="O1606">
        <v>6.23</v>
      </c>
      <c r="P1606">
        <v>199.36</v>
      </c>
    </row>
    <row r="1607" spans="3:16">
      <c r="C1607">
        <v>3</v>
      </c>
      <c r="D1607">
        <v>2</v>
      </c>
      <c r="F1607" t="s">
        <v>11724</v>
      </c>
      <c r="H1607" t="s">
        <v>11722</v>
      </c>
      <c r="I1607" t="s">
        <v>12916</v>
      </c>
      <c r="K1607" t="s">
        <v>11740</v>
      </c>
      <c r="L1607" t="s">
        <v>1270</v>
      </c>
      <c r="M1607">
        <v>3360</v>
      </c>
      <c r="N1607">
        <v>5.54</v>
      </c>
      <c r="O1607">
        <v>6.23</v>
      </c>
      <c r="P1607">
        <v>20932.8</v>
      </c>
    </row>
    <row r="1608" spans="3:16">
      <c r="C1608">
        <v>3</v>
      </c>
      <c r="D1608">
        <v>2</v>
      </c>
      <c r="F1608" t="s">
        <v>11724</v>
      </c>
      <c r="H1608" t="s">
        <v>11722</v>
      </c>
      <c r="I1608" t="s">
        <v>12917</v>
      </c>
      <c r="K1608" t="s">
        <v>12918</v>
      </c>
      <c r="L1608" t="s">
        <v>1270</v>
      </c>
      <c r="M1608">
        <v>36</v>
      </c>
      <c r="N1608">
        <v>3.19</v>
      </c>
      <c r="O1608">
        <v>3.59</v>
      </c>
      <c r="P1608">
        <v>129.24</v>
      </c>
    </row>
    <row r="1609" spans="3:16">
      <c r="C1609">
        <v>3</v>
      </c>
      <c r="D1609">
        <v>2</v>
      </c>
      <c r="F1609" t="s">
        <v>11724</v>
      </c>
      <c r="H1609" t="s">
        <v>11722</v>
      </c>
      <c r="I1609" t="s">
        <v>12919</v>
      </c>
      <c r="K1609" t="s">
        <v>12920</v>
      </c>
      <c r="L1609" t="s">
        <v>1270</v>
      </c>
      <c r="M1609">
        <v>288</v>
      </c>
      <c r="N1609">
        <v>5.58</v>
      </c>
      <c r="O1609">
        <v>6.28</v>
      </c>
      <c r="P1609">
        <v>1808.64</v>
      </c>
    </row>
    <row r="1610" spans="3:16">
      <c r="C1610">
        <v>3</v>
      </c>
      <c r="D1610">
        <v>2</v>
      </c>
      <c r="F1610" t="s">
        <v>11724</v>
      </c>
      <c r="H1610" t="s">
        <v>11722</v>
      </c>
      <c r="I1610" t="s">
        <v>12921</v>
      </c>
      <c r="K1610" t="s">
        <v>12922</v>
      </c>
      <c r="L1610" t="s">
        <v>1270</v>
      </c>
      <c r="M1610">
        <v>768</v>
      </c>
      <c r="N1610">
        <v>5.58</v>
      </c>
      <c r="O1610">
        <v>6.28</v>
      </c>
      <c r="P1610">
        <v>4823.04</v>
      </c>
    </row>
    <row r="1611" spans="3:16">
      <c r="C1611">
        <v>3</v>
      </c>
      <c r="D1611">
        <v>2</v>
      </c>
      <c r="F1611" t="s">
        <v>11724</v>
      </c>
      <c r="H1611" t="s">
        <v>11722</v>
      </c>
      <c r="I1611" t="s">
        <v>12923</v>
      </c>
      <c r="K1611" t="s">
        <v>12924</v>
      </c>
      <c r="L1611" t="s">
        <v>1270</v>
      </c>
      <c r="M1611">
        <v>192</v>
      </c>
      <c r="N1611">
        <v>5.58</v>
      </c>
      <c r="O1611">
        <v>6.28</v>
      </c>
      <c r="P1611">
        <v>1205.76</v>
      </c>
    </row>
    <row r="1612" spans="3:16">
      <c r="C1612">
        <v>3</v>
      </c>
      <c r="D1612">
        <v>2</v>
      </c>
      <c r="F1612" t="s">
        <v>11724</v>
      </c>
      <c r="H1612" t="s">
        <v>11722</v>
      </c>
      <c r="I1612" t="s">
        <v>12927</v>
      </c>
      <c r="K1612" t="s">
        <v>12928</v>
      </c>
      <c r="L1612" t="s">
        <v>1270</v>
      </c>
      <c r="M1612">
        <v>96</v>
      </c>
      <c r="N1612">
        <v>8.7899999999999991</v>
      </c>
      <c r="O1612">
        <v>9.89</v>
      </c>
      <c r="P1612">
        <v>949.44</v>
      </c>
    </row>
    <row r="1613" spans="3:16">
      <c r="C1613">
        <v>3</v>
      </c>
      <c r="D1613">
        <v>2</v>
      </c>
      <c r="F1613" t="s">
        <v>11724</v>
      </c>
      <c r="H1613" t="s">
        <v>11722</v>
      </c>
      <c r="I1613" t="s">
        <v>12934</v>
      </c>
      <c r="K1613" t="s">
        <v>12935</v>
      </c>
      <c r="L1613" t="s">
        <v>1270</v>
      </c>
      <c r="M1613">
        <v>192</v>
      </c>
      <c r="N1613">
        <v>31.81</v>
      </c>
      <c r="O1613">
        <v>35.78</v>
      </c>
      <c r="P1613">
        <v>6869.76</v>
      </c>
    </row>
    <row r="1614" spans="3:16">
      <c r="C1614">
        <v>3</v>
      </c>
      <c r="D1614">
        <v>2</v>
      </c>
      <c r="F1614" t="s">
        <v>11724</v>
      </c>
      <c r="H1614" t="s">
        <v>11722</v>
      </c>
      <c r="I1614" t="s">
        <v>12936</v>
      </c>
      <c r="K1614" t="s">
        <v>12937</v>
      </c>
      <c r="L1614" t="s">
        <v>1270</v>
      </c>
      <c r="M1614">
        <v>2</v>
      </c>
      <c r="N1614">
        <v>1634.01</v>
      </c>
      <c r="O1614">
        <v>1838.1</v>
      </c>
      <c r="P1614">
        <v>3676.2</v>
      </c>
    </row>
    <row r="1615" spans="3:16">
      <c r="C1615">
        <v>3</v>
      </c>
      <c r="D1615">
        <v>2</v>
      </c>
      <c r="F1615" t="s">
        <v>11724</v>
      </c>
      <c r="H1615" t="s">
        <v>11722</v>
      </c>
      <c r="I1615" t="s">
        <v>12740</v>
      </c>
      <c r="K1615" t="s">
        <v>12741</v>
      </c>
      <c r="L1615" t="s">
        <v>1270</v>
      </c>
      <c r="M1615">
        <v>1</v>
      </c>
      <c r="N1615">
        <v>53.85</v>
      </c>
      <c r="O1615">
        <v>60.58</v>
      </c>
      <c r="P1615">
        <v>60.58</v>
      </c>
    </row>
    <row r="1616" spans="3:16">
      <c r="C1616">
        <v>3</v>
      </c>
      <c r="D1616">
        <v>2</v>
      </c>
      <c r="F1616" t="s">
        <v>11724</v>
      </c>
      <c r="H1616" t="s">
        <v>11722</v>
      </c>
      <c r="I1616" t="s">
        <v>13110</v>
      </c>
      <c r="K1616" t="s">
        <v>13111</v>
      </c>
      <c r="L1616" t="s">
        <v>1270</v>
      </c>
      <c r="M1616">
        <v>4</v>
      </c>
      <c r="N1616">
        <v>1115</v>
      </c>
      <c r="O1616">
        <v>1254.26</v>
      </c>
      <c r="P1616">
        <v>5017.04</v>
      </c>
    </row>
    <row r="1617" spans="3:16">
      <c r="C1617">
        <v>3</v>
      </c>
      <c r="D1617">
        <v>2</v>
      </c>
      <c r="F1617" t="s">
        <v>11724</v>
      </c>
      <c r="H1617" t="s">
        <v>11722</v>
      </c>
      <c r="I1617" t="s">
        <v>13116</v>
      </c>
      <c r="K1617" t="s">
        <v>13117</v>
      </c>
      <c r="L1617" t="s">
        <v>1270</v>
      </c>
      <c r="M1617">
        <v>4</v>
      </c>
      <c r="N1617">
        <v>1150</v>
      </c>
      <c r="O1617">
        <v>1293.6400000000001</v>
      </c>
      <c r="P1617">
        <v>5174.5600000000004</v>
      </c>
    </row>
    <row r="1618" spans="3:16">
      <c r="C1618">
        <v>3</v>
      </c>
      <c r="D1618">
        <v>2</v>
      </c>
      <c r="F1618" t="s">
        <v>11724</v>
      </c>
      <c r="H1618" t="s">
        <v>11722</v>
      </c>
      <c r="I1618" t="s">
        <v>14477</v>
      </c>
      <c r="K1618" t="s">
        <v>14479</v>
      </c>
      <c r="L1618" t="s">
        <v>10854</v>
      </c>
      <c r="M1618">
        <v>1</v>
      </c>
      <c r="N1618">
        <v>26</v>
      </c>
      <c r="O1618">
        <v>29.25</v>
      </c>
      <c r="P1618">
        <v>29.25</v>
      </c>
    </row>
    <row r="1619" spans="3:16">
      <c r="C1619">
        <v>3</v>
      </c>
      <c r="D1619">
        <v>2</v>
      </c>
      <c r="F1619" t="s">
        <v>11724</v>
      </c>
      <c r="H1619" t="s">
        <v>11722</v>
      </c>
      <c r="I1619" t="s">
        <v>14478</v>
      </c>
      <c r="K1619" t="s">
        <v>14480</v>
      </c>
      <c r="L1619" t="s">
        <v>1270</v>
      </c>
      <c r="M1619">
        <v>144</v>
      </c>
      <c r="N1619">
        <v>195</v>
      </c>
      <c r="O1619">
        <v>219.36</v>
      </c>
      <c r="P1619">
        <v>31587.84</v>
      </c>
    </row>
    <row r="1620" spans="3:16">
      <c r="C1620">
        <v>3</v>
      </c>
      <c r="D1620">
        <v>2</v>
      </c>
      <c r="F1620" t="s">
        <v>11724</v>
      </c>
      <c r="H1620" t="s">
        <v>11722</v>
      </c>
      <c r="I1620" t="s">
        <v>13127</v>
      </c>
      <c r="K1620" t="s">
        <v>14472</v>
      </c>
      <c r="L1620" t="s">
        <v>1270</v>
      </c>
      <c r="M1620">
        <v>24</v>
      </c>
      <c r="N1620">
        <v>128</v>
      </c>
      <c r="O1620">
        <v>143.99</v>
      </c>
      <c r="P1620">
        <v>3455.76</v>
      </c>
    </row>
    <row r="1621" spans="3:16">
      <c r="C1621">
        <v>3</v>
      </c>
      <c r="D1621">
        <v>2</v>
      </c>
      <c r="F1621" t="s">
        <v>11724</v>
      </c>
      <c r="H1621" t="s">
        <v>11722</v>
      </c>
      <c r="I1621" t="s">
        <v>13122</v>
      </c>
      <c r="K1621" t="s">
        <v>13123</v>
      </c>
      <c r="L1621" t="s">
        <v>1270</v>
      </c>
      <c r="M1621">
        <v>32</v>
      </c>
      <c r="N1621">
        <v>650</v>
      </c>
      <c r="O1621">
        <v>731.19</v>
      </c>
      <c r="P1621">
        <v>23398.080000000002</v>
      </c>
    </row>
    <row r="1622" spans="3:16">
      <c r="C1622">
        <v>3</v>
      </c>
      <c r="D1622">
        <v>2</v>
      </c>
      <c r="F1622" t="s">
        <v>11724</v>
      </c>
      <c r="H1622" t="s">
        <v>70</v>
      </c>
      <c r="I1622">
        <v>6028</v>
      </c>
      <c r="K1622" t="s">
        <v>8683</v>
      </c>
      <c r="L1622" t="s">
        <v>10854</v>
      </c>
      <c r="M1622">
        <v>6</v>
      </c>
      <c r="N1622">
        <v>85.13</v>
      </c>
      <c r="O1622">
        <v>95.76</v>
      </c>
      <c r="P1622">
        <v>574.55999999999995</v>
      </c>
    </row>
    <row r="1623" spans="3:16">
      <c r="C1623">
        <v>3</v>
      </c>
      <c r="D1623">
        <v>2</v>
      </c>
      <c r="F1623" t="s">
        <v>11724</v>
      </c>
      <c r="H1623" t="s">
        <v>70</v>
      </c>
      <c r="I1623">
        <v>6012</v>
      </c>
      <c r="K1623" t="s">
        <v>8685</v>
      </c>
      <c r="L1623" t="s">
        <v>10854</v>
      </c>
      <c r="M1623">
        <v>2</v>
      </c>
      <c r="N1623">
        <v>326.45</v>
      </c>
      <c r="O1623">
        <v>367.22</v>
      </c>
      <c r="P1623">
        <v>734.44</v>
      </c>
    </row>
    <row r="1624" spans="3:16">
      <c r="C1624">
        <v>3</v>
      </c>
      <c r="D1624">
        <v>2</v>
      </c>
      <c r="F1624" t="s">
        <v>11724</v>
      </c>
      <c r="H1624" t="s">
        <v>11722</v>
      </c>
      <c r="I1624" t="s">
        <v>13124</v>
      </c>
      <c r="K1624" t="s">
        <v>14462</v>
      </c>
      <c r="L1624" t="s">
        <v>1270</v>
      </c>
      <c r="M1624">
        <v>96</v>
      </c>
      <c r="N1624">
        <v>1150</v>
      </c>
      <c r="O1624">
        <v>1293.6400000000001</v>
      </c>
      <c r="P1624">
        <v>124189.44</v>
      </c>
    </row>
    <row r="1625" spans="3:16">
      <c r="C1625">
        <v>3</v>
      </c>
      <c r="D1625">
        <v>2</v>
      </c>
      <c r="F1625" t="s">
        <v>11724</v>
      </c>
      <c r="H1625" t="s">
        <v>11722</v>
      </c>
      <c r="I1625" t="s">
        <v>12942</v>
      </c>
      <c r="K1625" t="s">
        <v>12943</v>
      </c>
      <c r="L1625" t="s">
        <v>1270</v>
      </c>
      <c r="M1625">
        <v>2</v>
      </c>
      <c r="N1625">
        <v>4059.59</v>
      </c>
      <c r="O1625">
        <v>4566.63</v>
      </c>
      <c r="P1625">
        <v>9133.26</v>
      </c>
    </row>
    <row r="1626" spans="3:16">
      <c r="C1626">
        <v>3</v>
      </c>
      <c r="D1626">
        <v>2</v>
      </c>
      <c r="F1626" t="s">
        <v>11724</v>
      </c>
      <c r="H1626" t="s">
        <v>11722</v>
      </c>
      <c r="I1626" t="s">
        <v>12742</v>
      </c>
      <c r="K1626" t="s">
        <v>12743</v>
      </c>
      <c r="L1626" t="s">
        <v>1270</v>
      </c>
      <c r="M1626">
        <v>200</v>
      </c>
      <c r="N1626">
        <v>23.63</v>
      </c>
      <c r="O1626">
        <v>26.58</v>
      </c>
      <c r="P1626">
        <v>5316</v>
      </c>
    </row>
    <row r="1627" spans="3:16">
      <c r="C1627">
        <v>3</v>
      </c>
      <c r="D1627">
        <v>2</v>
      </c>
      <c r="F1627" t="s">
        <v>11724</v>
      </c>
      <c r="H1627" t="s">
        <v>11722</v>
      </c>
      <c r="I1627" t="s">
        <v>12744</v>
      </c>
      <c r="K1627" t="s">
        <v>12745</v>
      </c>
      <c r="L1627" t="s">
        <v>1270</v>
      </c>
      <c r="M1627">
        <v>15</v>
      </c>
      <c r="N1627">
        <v>112</v>
      </c>
      <c r="O1627">
        <v>125.99</v>
      </c>
      <c r="P1627">
        <v>1889.85</v>
      </c>
    </row>
    <row r="1628" spans="3:16">
      <c r="C1628">
        <v>3</v>
      </c>
      <c r="D1628">
        <v>2</v>
      </c>
      <c r="F1628" t="s">
        <v>11724</v>
      </c>
      <c r="H1628" t="s">
        <v>11722</v>
      </c>
      <c r="I1628" t="s">
        <v>12746</v>
      </c>
      <c r="K1628" t="s">
        <v>12747</v>
      </c>
      <c r="L1628" t="s">
        <v>1270</v>
      </c>
      <c r="M1628">
        <v>30</v>
      </c>
      <c r="N1628">
        <v>77.989999999999995</v>
      </c>
      <c r="O1628">
        <v>87.73</v>
      </c>
      <c r="P1628">
        <v>2631.9</v>
      </c>
    </row>
    <row r="1629" spans="3:16">
      <c r="C1629">
        <v>3</v>
      </c>
      <c r="D1629">
        <v>2</v>
      </c>
      <c r="F1629" t="s">
        <v>11724</v>
      </c>
      <c r="H1629" t="s">
        <v>11722</v>
      </c>
      <c r="I1629" t="s">
        <v>12948</v>
      </c>
      <c r="K1629" t="s">
        <v>12949</v>
      </c>
      <c r="L1629" t="s">
        <v>1270</v>
      </c>
      <c r="M1629">
        <v>96</v>
      </c>
      <c r="N1629">
        <v>307.11</v>
      </c>
      <c r="O1629">
        <v>345.47</v>
      </c>
      <c r="P1629">
        <v>33165.120000000003</v>
      </c>
    </row>
    <row r="1630" spans="3:16">
      <c r="C1630">
        <v>3</v>
      </c>
      <c r="D1630">
        <v>2</v>
      </c>
      <c r="F1630" t="s">
        <v>11724</v>
      </c>
      <c r="H1630" t="s">
        <v>70</v>
      </c>
      <c r="I1630">
        <v>7094</v>
      </c>
      <c r="K1630" t="s">
        <v>9359</v>
      </c>
      <c r="L1630" t="s">
        <v>1270</v>
      </c>
      <c r="M1630">
        <v>48</v>
      </c>
      <c r="N1630">
        <v>6.91</v>
      </c>
      <c r="O1630">
        <v>7.77</v>
      </c>
      <c r="P1630">
        <v>372.96</v>
      </c>
    </row>
    <row r="1631" spans="3:16">
      <c r="C1631">
        <v>3</v>
      </c>
      <c r="D1631">
        <v>2</v>
      </c>
      <c r="F1631" t="s">
        <v>11724</v>
      </c>
      <c r="H1631" t="s">
        <v>11722</v>
      </c>
      <c r="I1631" t="s">
        <v>13201</v>
      </c>
      <c r="K1631" t="s">
        <v>13202</v>
      </c>
      <c r="L1631" t="s">
        <v>1270</v>
      </c>
      <c r="M1631">
        <v>104</v>
      </c>
      <c r="N1631">
        <v>623.17999999999995</v>
      </c>
      <c r="O1631">
        <v>701.02</v>
      </c>
      <c r="P1631">
        <v>72906.080000000002</v>
      </c>
    </row>
    <row r="1632" spans="3:16">
      <c r="C1632">
        <v>3</v>
      </c>
      <c r="D1632">
        <v>2</v>
      </c>
      <c r="F1632" t="s">
        <v>11724</v>
      </c>
      <c r="H1632" t="s">
        <v>11722</v>
      </c>
      <c r="I1632" t="s">
        <v>12748</v>
      </c>
      <c r="K1632" t="s">
        <v>12749</v>
      </c>
      <c r="L1632" t="s">
        <v>1270</v>
      </c>
      <c r="M1632">
        <v>14</v>
      </c>
      <c r="N1632">
        <v>49.86</v>
      </c>
      <c r="O1632">
        <v>56.09</v>
      </c>
      <c r="P1632">
        <v>785.26</v>
      </c>
    </row>
    <row r="1633" spans="3:16">
      <c r="C1633">
        <v>3</v>
      </c>
      <c r="D1633">
        <v>2</v>
      </c>
      <c r="F1633" t="s">
        <v>11724</v>
      </c>
      <c r="H1633" t="s">
        <v>70</v>
      </c>
      <c r="I1633">
        <v>86912</v>
      </c>
      <c r="K1633" t="s">
        <v>9776</v>
      </c>
      <c r="L1633" t="s">
        <v>1270</v>
      </c>
      <c r="M1633">
        <v>40</v>
      </c>
      <c r="N1633">
        <v>37.619999999999997</v>
      </c>
      <c r="O1633">
        <v>42.32</v>
      </c>
      <c r="P1633">
        <v>1692.8</v>
      </c>
    </row>
    <row r="1634" spans="3:16">
      <c r="C1634">
        <v>3</v>
      </c>
      <c r="D1634">
        <v>2</v>
      </c>
      <c r="F1634" t="s">
        <v>11724</v>
      </c>
      <c r="H1634" t="s">
        <v>70</v>
      </c>
      <c r="I1634">
        <v>36365</v>
      </c>
      <c r="K1634" t="s">
        <v>19741</v>
      </c>
      <c r="L1634" t="s">
        <v>18</v>
      </c>
      <c r="M1634">
        <v>101.2</v>
      </c>
      <c r="N1634">
        <v>14.8</v>
      </c>
      <c r="O1634">
        <v>16.649999999999999</v>
      </c>
      <c r="P1634">
        <v>1684.98</v>
      </c>
    </row>
    <row r="1635" spans="3:16">
      <c r="C1635">
        <v>3</v>
      </c>
      <c r="D1635">
        <v>2</v>
      </c>
      <c r="F1635" t="s">
        <v>11724</v>
      </c>
      <c r="H1635" t="s">
        <v>70</v>
      </c>
      <c r="I1635">
        <v>41936</v>
      </c>
      <c r="K1635" t="s">
        <v>19747</v>
      </c>
      <c r="L1635" t="s">
        <v>18</v>
      </c>
      <c r="M1635">
        <v>20.8</v>
      </c>
      <c r="N1635">
        <v>31.84</v>
      </c>
      <c r="O1635">
        <v>35.82</v>
      </c>
      <c r="P1635">
        <v>745.06</v>
      </c>
    </row>
    <row r="1636" spans="3:16">
      <c r="C1636">
        <v>3</v>
      </c>
      <c r="D1636">
        <v>2</v>
      </c>
      <c r="F1636" t="s">
        <v>11724</v>
      </c>
      <c r="H1636" t="s">
        <v>11722</v>
      </c>
      <c r="I1636" t="s">
        <v>13205</v>
      </c>
      <c r="K1636" t="s">
        <v>13206</v>
      </c>
      <c r="L1636" t="s">
        <v>18</v>
      </c>
      <c r="M1636">
        <v>134</v>
      </c>
      <c r="N1636">
        <v>286.04000000000002</v>
      </c>
      <c r="O1636">
        <v>321.77</v>
      </c>
      <c r="P1636">
        <v>43117.18</v>
      </c>
    </row>
    <row r="1637" spans="3:16">
      <c r="C1637">
        <v>3</v>
      </c>
      <c r="D1637">
        <v>2</v>
      </c>
      <c r="F1637" t="s">
        <v>11724</v>
      </c>
      <c r="H1637" t="s">
        <v>11722</v>
      </c>
      <c r="I1637" t="s">
        <v>13207</v>
      </c>
      <c r="K1637" t="s">
        <v>13208</v>
      </c>
      <c r="L1637" t="s">
        <v>18</v>
      </c>
      <c r="M1637">
        <v>380</v>
      </c>
      <c r="N1637">
        <v>286.04000000000002</v>
      </c>
      <c r="O1637">
        <v>321.77</v>
      </c>
      <c r="P1637">
        <v>122272.6</v>
      </c>
    </row>
    <row r="1638" spans="3:16">
      <c r="C1638">
        <v>3</v>
      </c>
      <c r="D1638">
        <v>2</v>
      </c>
      <c r="F1638" t="s">
        <v>11724</v>
      </c>
      <c r="H1638" t="s">
        <v>11722</v>
      </c>
      <c r="I1638" t="s">
        <v>13163</v>
      </c>
      <c r="K1638" t="s">
        <v>13164</v>
      </c>
      <c r="L1638" t="s">
        <v>1270</v>
      </c>
      <c r="M1638">
        <v>48</v>
      </c>
      <c r="N1638">
        <v>114.85</v>
      </c>
      <c r="O1638">
        <v>129.19</v>
      </c>
      <c r="P1638">
        <v>6201.12</v>
      </c>
    </row>
    <row r="1639" spans="3:16">
      <c r="C1639">
        <v>3</v>
      </c>
      <c r="D1639">
        <v>2</v>
      </c>
      <c r="F1639" t="s">
        <v>11724</v>
      </c>
      <c r="H1639" t="s">
        <v>11722</v>
      </c>
      <c r="I1639" t="s">
        <v>13165</v>
      </c>
      <c r="K1639" t="s">
        <v>13166</v>
      </c>
      <c r="L1639" t="s">
        <v>1270</v>
      </c>
      <c r="M1639">
        <v>4</v>
      </c>
      <c r="N1639">
        <v>114.85</v>
      </c>
      <c r="O1639">
        <v>129.19</v>
      </c>
      <c r="P1639">
        <v>516.76</v>
      </c>
    </row>
    <row r="1640" spans="3:16">
      <c r="C1640">
        <v>3</v>
      </c>
      <c r="D1640">
        <v>2</v>
      </c>
      <c r="F1640" t="s">
        <v>11724</v>
      </c>
      <c r="H1640" t="s">
        <v>11722</v>
      </c>
      <c r="I1640" t="s">
        <v>12750</v>
      </c>
      <c r="K1640" t="s">
        <v>12751</v>
      </c>
      <c r="L1640" t="s">
        <v>1270</v>
      </c>
      <c r="M1640">
        <v>18</v>
      </c>
      <c r="N1640">
        <v>550</v>
      </c>
      <c r="O1640">
        <v>618.70000000000005</v>
      </c>
      <c r="P1640">
        <v>11136.6</v>
      </c>
    </row>
    <row r="1641" spans="3:16">
      <c r="C1641">
        <v>3</v>
      </c>
      <c r="D1641">
        <v>2</v>
      </c>
      <c r="F1641" t="s">
        <v>11724</v>
      </c>
      <c r="H1641" t="s">
        <v>11722</v>
      </c>
      <c r="I1641" t="s">
        <v>12752</v>
      </c>
      <c r="K1641" t="s">
        <v>12753</v>
      </c>
      <c r="L1641" t="s">
        <v>18</v>
      </c>
      <c r="M1641">
        <v>10</v>
      </c>
      <c r="N1641">
        <v>123</v>
      </c>
      <c r="O1641">
        <v>138.36000000000001</v>
      </c>
      <c r="P1641">
        <v>1383.6</v>
      </c>
    </row>
    <row r="1642" spans="3:16">
      <c r="C1642">
        <v>3</v>
      </c>
      <c r="D1642">
        <v>2</v>
      </c>
      <c r="F1642" t="s">
        <v>11724</v>
      </c>
      <c r="H1642" t="s">
        <v>11722</v>
      </c>
      <c r="I1642" t="s">
        <v>12754</v>
      </c>
      <c r="K1642" t="s">
        <v>12755</v>
      </c>
      <c r="L1642" t="s">
        <v>18</v>
      </c>
      <c r="M1642">
        <v>120</v>
      </c>
      <c r="N1642">
        <v>68</v>
      </c>
      <c r="O1642">
        <v>76.489999999999995</v>
      </c>
      <c r="P1642">
        <v>9178.7999999999993</v>
      </c>
    </row>
    <row r="1643" spans="3:16">
      <c r="C1643">
        <v>3</v>
      </c>
      <c r="D1643">
        <v>2</v>
      </c>
      <c r="F1643" t="s">
        <v>11724</v>
      </c>
      <c r="H1643" t="s">
        <v>11722</v>
      </c>
      <c r="I1643" t="s">
        <v>12756</v>
      </c>
      <c r="K1643" t="s">
        <v>12757</v>
      </c>
      <c r="L1643" t="s">
        <v>1270</v>
      </c>
      <c r="M1643">
        <v>24</v>
      </c>
      <c r="N1643">
        <v>68</v>
      </c>
      <c r="O1643">
        <v>76.489999999999995</v>
      </c>
      <c r="P1643">
        <v>1835.76</v>
      </c>
    </row>
    <row r="1644" spans="3:16">
      <c r="C1644">
        <v>3</v>
      </c>
      <c r="D1644">
        <v>2</v>
      </c>
      <c r="F1644" t="s">
        <v>11724</v>
      </c>
      <c r="H1644" t="s">
        <v>11722</v>
      </c>
      <c r="I1644" t="s">
        <v>12758</v>
      </c>
      <c r="K1644" t="s">
        <v>12759</v>
      </c>
      <c r="L1644" t="s">
        <v>18</v>
      </c>
      <c r="M1644">
        <v>5.5</v>
      </c>
      <c r="N1644">
        <v>110.5</v>
      </c>
      <c r="O1644">
        <v>124.3</v>
      </c>
      <c r="P1644">
        <v>683.65</v>
      </c>
    </row>
    <row r="1645" spans="3:16">
      <c r="C1645">
        <v>3</v>
      </c>
      <c r="D1645">
        <v>2</v>
      </c>
      <c r="F1645" t="s">
        <v>11724</v>
      </c>
      <c r="H1645" t="s">
        <v>11722</v>
      </c>
      <c r="I1645" t="s">
        <v>12760</v>
      </c>
      <c r="K1645" t="s">
        <v>12761</v>
      </c>
      <c r="L1645" t="s">
        <v>18</v>
      </c>
      <c r="M1645">
        <v>5</v>
      </c>
      <c r="N1645">
        <v>32.4</v>
      </c>
      <c r="O1645">
        <v>36.450000000000003</v>
      </c>
      <c r="P1645">
        <v>182.25</v>
      </c>
    </row>
    <row r="1646" spans="3:16">
      <c r="C1646">
        <v>3</v>
      </c>
      <c r="D1646">
        <v>2</v>
      </c>
      <c r="F1646" t="s">
        <v>11724</v>
      </c>
      <c r="H1646" t="s">
        <v>11722</v>
      </c>
      <c r="I1646" t="s">
        <v>12762</v>
      </c>
      <c r="K1646" t="s">
        <v>12763</v>
      </c>
      <c r="L1646" t="s">
        <v>18</v>
      </c>
      <c r="M1646">
        <v>7</v>
      </c>
      <c r="N1646">
        <v>110.5</v>
      </c>
      <c r="O1646">
        <v>124.3</v>
      </c>
      <c r="P1646">
        <v>870.1</v>
      </c>
    </row>
    <row r="1647" spans="3:16">
      <c r="C1647">
        <v>3</v>
      </c>
      <c r="D1647">
        <v>2</v>
      </c>
      <c r="F1647" t="s">
        <v>11724</v>
      </c>
      <c r="H1647" t="s">
        <v>11722</v>
      </c>
      <c r="I1647" t="s">
        <v>12764</v>
      </c>
      <c r="K1647" t="s">
        <v>12765</v>
      </c>
      <c r="L1647" t="s">
        <v>18</v>
      </c>
      <c r="M1647">
        <v>13.8</v>
      </c>
      <c r="N1647">
        <v>144.5</v>
      </c>
      <c r="O1647">
        <v>162.55000000000001</v>
      </c>
      <c r="P1647">
        <v>2243.19</v>
      </c>
    </row>
    <row r="1648" spans="3:16">
      <c r="C1648">
        <v>3</v>
      </c>
      <c r="D1648">
        <v>2</v>
      </c>
      <c r="F1648" t="s">
        <v>11724</v>
      </c>
      <c r="H1648" t="s">
        <v>11722</v>
      </c>
      <c r="I1648" t="s">
        <v>12960</v>
      </c>
      <c r="K1648" t="s">
        <v>12961</v>
      </c>
      <c r="L1648" t="s">
        <v>1270</v>
      </c>
      <c r="M1648">
        <v>96</v>
      </c>
      <c r="N1648">
        <v>506.73</v>
      </c>
      <c r="O1648">
        <v>570.02</v>
      </c>
      <c r="P1648">
        <v>54721.919999999998</v>
      </c>
    </row>
    <row r="1649" spans="3:16">
      <c r="C1649">
        <v>3</v>
      </c>
      <c r="D1649">
        <v>2</v>
      </c>
      <c r="F1649" t="s">
        <v>11724</v>
      </c>
      <c r="H1649" t="s">
        <v>11722</v>
      </c>
      <c r="I1649" t="s">
        <v>12962</v>
      </c>
      <c r="K1649" t="s">
        <v>12963</v>
      </c>
      <c r="L1649" t="s">
        <v>1270</v>
      </c>
      <c r="M1649">
        <v>96</v>
      </c>
      <c r="N1649">
        <v>549.69000000000005</v>
      </c>
      <c r="O1649">
        <v>618.35</v>
      </c>
      <c r="P1649">
        <v>59361.599999999999</v>
      </c>
    </row>
    <row r="1650" spans="3:16">
      <c r="C1650">
        <v>3</v>
      </c>
      <c r="D1650">
        <v>2</v>
      </c>
      <c r="F1650" t="s">
        <v>11724</v>
      </c>
      <c r="H1650" t="s">
        <v>11722</v>
      </c>
      <c r="I1650" t="s">
        <v>12964</v>
      </c>
      <c r="K1650" t="s">
        <v>12965</v>
      </c>
      <c r="L1650" t="s">
        <v>1270</v>
      </c>
      <c r="M1650">
        <v>48</v>
      </c>
      <c r="N1650">
        <v>1092.3900000000001</v>
      </c>
      <c r="O1650">
        <v>1228.83</v>
      </c>
      <c r="P1650">
        <v>58983.839999999997</v>
      </c>
    </row>
    <row r="1651" spans="3:16">
      <c r="C1651">
        <v>3</v>
      </c>
      <c r="D1651">
        <v>2</v>
      </c>
      <c r="F1651" t="s">
        <v>11724</v>
      </c>
      <c r="H1651" t="s">
        <v>11722</v>
      </c>
      <c r="I1651" t="s">
        <v>12966</v>
      </c>
      <c r="K1651" t="s">
        <v>12967</v>
      </c>
      <c r="L1651" t="s">
        <v>1270</v>
      </c>
      <c r="M1651">
        <v>8</v>
      </c>
      <c r="N1651">
        <v>1910.38</v>
      </c>
      <c r="O1651">
        <v>2148.9899999999998</v>
      </c>
      <c r="P1651">
        <v>17191.919999999998</v>
      </c>
    </row>
    <row r="1652" spans="3:16">
      <c r="C1652">
        <v>3</v>
      </c>
      <c r="D1652">
        <v>2</v>
      </c>
      <c r="F1652" t="s">
        <v>11724</v>
      </c>
      <c r="H1652" t="s">
        <v>11722</v>
      </c>
      <c r="I1652" t="s">
        <v>12980</v>
      </c>
      <c r="K1652" t="s">
        <v>12981</v>
      </c>
      <c r="L1652" t="s">
        <v>1270</v>
      </c>
      <c r="M1652">
        <v>2</v>
      </c>
      <c r="N1652">
        <v>1786.32</v>
      </c>
      <c r="O1652">
        <v>2009.43</v>
      </c>
      <c r="P1652">
        <v>4018.86</v>
      </c>
    </row>
    <row r="1653" spans="3:16">
      <c r="C1653">
        <v>3</v>
      </c>
      <c r="D1653">
        <v>2</v>
      </c>
      <c r="F1653" t="s">
        <v>11724</v>
      </c>
      <c r="H1653" t="s">
        <v>11722</v>
      </c>
      <c r="I1653" t="s">
        <v>12982</v>
      </c>
      <c r="K1653" t="s">
        <v>12983</v>
      </c>
      <c r="L1653" t="s">
        <v>1270</v>
      </c>
      <c r="M1653">
        <v>2</v>
      </c>
      <c r="N1653">
        <v>1786.32</v>
      </c>
      <c r="O1653">
        <v>2009.43</v>
      </c>
      <c r="P1653">
        <v>4018.86</v>
      </c>
    </row>
    <row r="1654" spans="3:16">
      <c r="C1654">
        <v>3</v>
      </c>
      <c r="D1654">
        <v>2</v>
      </c>
      <c r="F1654" t="s">
        <v>11724</v>
      </c>
      <c r="H1654" t="s">
        <v>11722</v>
      </c>
      <c r="I1654" t="s">
        <v>12988</v>
      </c>
      <c r="K1654" t="s">
        <v>12989</v>
      </c>
      <c r="L1654" t="s">
        <v>1270</v>
      </c>
      <c r="M1654">
        <v>2</v>
      </c>
      <c r="N1654">
        <v>4443.82</v>
      </c>
      <c r="O1654">
        <v>4998.8500000000004</v>
      </c>
      <c r="P1654">
        <v>9997.7000000000007</v>
      </c>
    </row>
    <row r="1655" spans="3:16">
      <c r="C1655">
        <v>3</v>
      </c>
      <c r="D1655">
        <v>2</v>
      </c>
      <c r="F1655" t="s">
        <v>11724</v>
      </c>
      <c r="H1655" t="s">
        <v>11722</v>
      </c>
      <c r="I1655" t="s">
        <v>12990</v>
      </c>
      <c r="K1655" t="s">
        <v>12991</v>
      </c>
      <c r="L1655" t="s">
        <v>1270</v>
      </c>
      <c r="M1655">
        <v>4</v>
      </c>
      <c r="N1655">
        <v>4621.12</v>
      </c>
      <c r="O1655">
        <v>5198.3</v>
      </c>
      <c r="P1655">
        <v>20793.2</v>
      </c>
    </row>
    <row r="1656" spans="3:16">
      <c r="C1656">
        <v>3</v>
      </c>
      <c r="D1656">
        <v>2</v>
      </c>
      <c r="F1656" t="s">
        <v>11724</v>
      </c>
      <c r="H1656" t="s">
        <v>11722</v>
      </c>
      <c r="I1656" t="s">
        <v>13000</v>
      </c>
      <c r="K1656" t="s">
        <v>13001</v>
      </c>
      <c r="L1656" t="s">
        <v>1270</v>
      </c>
      <c r="M1656">
        <v>20</v>
      </c>
      <c r="N1656">
        <v>501.24</v>
      </c>
      <c r="O1656">
        <v>563.84</v>
      </c>
      <c r="P1656">
        <v>11276.8</v>
      </c>
    </row>
    <row r="1657" spans="3:16">
      <c r="C1657">
        <v>3</v>
      </c>
      <c r="D1657">
        <v>2</v>
      </c>
      <c r="F1657" t="s">
        <v>11724</v>
      </c>
      <c r="H1657" t="s">
        <v>11722</v>
      </c>
      <c r="I1657" t="s">
        <v>13002</v>
      </c>
      <c r="K1657" t="s">
        <v>13003</v>
      </c>
      <c r="L1657" t="s">
        <v>1270</v>
      </c>
      <c r="M1657">
        <v>12</v>
      </c>
      <c r="N1657">
        <v>501.24</v>
      </c>
      <c r="O1657">
        <v>563.84</v>
      </c>
      <c r="P1657">
        <v>6766.08</v>
      </c>
    </row>
    <row r="1658" spans="3:16">
      <c r="C1658">
        <v>3</v>
      </c>
      <c r="D1658">
        <v>2</v>
      </c>
      <c r="F1658" t="s">
        <v>11724</v>
      </c>
      <c r="H1658" t="s">
        <v>11722</v>
      </c>
      <c r="I1658" t="s">
        <v>13004</v>
      </c>
      <c r="K1658" t="s">
        <v>13005</v>
      </c>
      <c r="L1658" t="s">
        <v>1270</v>
      </c>
      <c r="M1658">
        <v>28</v>
      </c>
      <c r="N1658">
        <v>501.24</v>
      </c>
      <c r="O1658">
        <v>563.84</v>
      </c>
      <c r="P1658">
        <v>15787.52</v>
      </c>
    </row>
    <row r="1659" spans="3:16">
      <c r="C1659">
        <v>3</v>
      </c>
      <c r="D1659">
        <v>2</v>
      </c>
      <c r="F1659" t="s">
        <v>11724</v>
      </c>
      <c r="H1659" t="s">
        <v>11722</v>
      </c>
      <c r="I1659" t="s">
        <v>13008</v>
      </c>
      <c r="K1659" t="s">
        <v>13009</v>
      </c>
      <c r="L1659" t="s">
        <v>1270</v>
      </c>
      <c r="M1659">
        <v>4</v>
      </c>
      <c r="N1659">
        <v>573.44000000000005</v>
      </c>
      <c r="O1659">
        <v>645.05999999999995</v>
      </c>
      <c r="P1659">
        <v>2580.2399999999998</v>
      </c>
    </row>
    <row r="1660" spans="3:16">
      <c r="C1660">
        <v>3</v>
      </c>
      <c r="D1660">
        <v>2</v>
      </c>
      <c r="F1660" t="s">
        <v>11724</v>
      </c>
      <c r="H1660" t="s">
        <v>11722</v>
      </c>
      <c r="I1660" t="s">
        <v>13010</v>
      </c>
      <c r="K1660" t="s">
        <v>13011</v>
      </c>
      <c r="L1660" t="s">
        <v>1270</v>
      </c>
      <c r="M1660">
        <v>16</v>
      </c>
      <c r="N1660">
        <v>573.44000000000005</v>
      </c>
      <c r="O1660">
        <v>645.05999999999995</v>
      </c>
      <c r="P1660">
        <v>10320.959999999999</v>
      </c>
    </row>
    <row r="1661" spans="3:16">
      <c r="C1661">
        <v>3</v>
      </c>
      <c r="D1661">
        <v>2</v>
      </c>
      <c r="F1661" t="s">
        <v>11724</v>
      </c>
      <c r="H1661" t="s">
        <v>11722</v>
      </c>
      <c r="I1661" t="s">
        <v>13012</v>
      </c>
      <c r="K1661" t="s">
        <v>13013</v>
      </c>
      <c r="L1661" t="s">
        <v>1270</v>
      </c>
      <c r="M1661">
        <v>16</v>
      </c>
      <c r="N1661">
        <v>579.69000000000005</v>
      </c>
      <c r="O1661">
        <v>652.09</v>
      </c>
      <c r="P1661">
        <v>10433.44</v>
      </c>
    </row>
    <row r="1662" spans="3:16">
      <c r="C1662">
        <v>3</v>
      </c>
      <c r="D1662">
        <v>2</v>
      </c>
      <c r="F1662" t="s">
        <v>11724</v>
      </c>
      <c r="H1662" t="s">
        <v>11722</v>
      </c>
      <c r="I1662" t="s">
        <v>13016</v>
      </c>
      <c r="K1662" t="s">
        <v>13017</v>
      </c>
      <c r="L1662" t="s">
        <v>1270</v>
      </c>
      <c r="M1662">
        <v>20</v>
      </c>
      <c r="N1662">
        <v>994.19</v>
      </c>
      <c r="O1662">
        <v>1118.3599999999999</v>
      </c>
      <c r="P1662">
        <v>22367.200000000001</v>
      </c>
    </row>
    <row r="1663" spans="3:16">
      <c r="C1663">
        <v>3</v>
      </c>
      <c r="D1663">
        <v>2</v>
      </c>
      <c r="F1663" t="s">
        <v>11724</v>
      </c>
      <c r="H1663" t="s">
        <v>11722</v>
      </c>
      <c r="I1663" t="s">
        <v>13020</v>
      </c>
      <c r="K1663" t="s">
        <v>13021</v>
      </c>
      <c r="L1663" t="s">
        <v>1270</v>
      </c>
      <c r="M1663">
        <v>48</v>
      </c>
      <c r="N1663">
        <v>677.51</v>
      </c>
      <c r="O1663">
        <v>762.13</v>
      </c>
      <c r="P1663">
        <v>36582.239999999998</v>
      </c>
    </row>
    <row r="1664" spans="3:16">
      <c r="C1664">
        <v>3</v>
      </c>
      <c r="D1664">
        <v>2</v>
      </c>
      <c r="F1664" t="s">
        <v>11724</v>
      </c>
      <c r="H1664" t="s">
        <v>11722</v>
      </c>
      <c r="I1664" t="s">
        <v>13022</v>
      </c>
      <c r="K1664" t="s">
        <v>13023</v>
      </c>
      <c r="L1664" t="s">
        <v>1270</v>
      </c>
      <c r="M1664">
        <v>96</v>
      </c>
      <c r="N1664">
        <v>1998.47</v>
      </c>
      <c r="O1664">
        <v>2248.08</v>
      </c>
      <c r="P1664">
        <v>215815.67999999999</v>
      </c>
    </row>
    <row r="1665" spans="3:16">
      <c r="C1665">
        <v>3</v>
      </c>
      <c r="D1665">
        <v>2</v>
      </c>
      <c r="F1665" t="s">
        <v>11724</v>
      </c>
      <c r="H1665" t="s">
        <v>11722</v>
      </c>
      <c r="I1665" t="s">
        <v>13024</v>
      </c>
      <c r="K1665" t="s">
        <v>13025</v>
      </c>
      <c r="L1665" t="s">
        <v>1270</v>
      </c>
      <c r="M1665">
        <v>12</v>
      </c>
      <c r="N1665">
        <v>700.71</v>
      </c>
      <c r="O1665">
        <v>788.23</v>
      </c>
      <c r="P1665">
        <v>9458.76</v>
      </c>
    </row>
    <row r="1666" spans="3:16">
      <c r="C1666">
        <v>3</v>
      </c>
      <c r="D1666">
        <v>2</v>
      </c>
      <c r="F1666" t="s">
        <v>11724</v>
      </c>
      <c r="H1666" t="s">
        <v>11722</v>
      </c>
      <c r="I1666" t="s">
        <v>13026</v>
      </c>
      <c r="K1666" t="s">
        <v>13027</v>
      </c>
      <c r="L1666" t="s">
        <v>1270</v>
      </c>
      <c r="M1666">
        <v>4</v>
      </c>
      <c r="N1666">
        <v>810.61</v>
      </c>
      <c r="O1666">
        <v>911.86</v>
      </c>
      <c r="P1666">
        <v>3647.44</v>
      </c>
    </row>
    <row r="1667" spans="3:16">
      <c r="C1667">
        <v>3</v>
      </c>
      <c r="D1667">
        <v>2</v>
      </c>
      <c r="F1667" t="s">
        <v>11724</v>
      </c>
      <c r="H1667" t="s">
        <v>11722</v>
      </c>
      <c r="I1667" t="s">
        <v>13028</v>
      </c>
      <c r="K1667" t="s">
        <v>13029</v>
      </c>
      <c r="L1667" t="s">
        <v>1270</v>
      </c>
      <c r="M1667">
        <v>4</v>
      </c>
      <c r="N1667">
        <v>810.61</v>
      </c>
      <c r="O1667">
        <v>911.86</v>
      </c>
      <c r="P1667">
        <v>3647.44</v>
      </c>
    </row>
    <row r="1668" spans="3:16">
      <c r="C1668">
        <v>3</v>
      </c>
      <c r="D1668">
        <v>2</v>
      </c>
      <c r="F1668" t="s">
        <v>11724</v>
      </c>
      <c r="H1668" t="s">
        <v>70</v>
      </c>
      <c r="I1668">
        <v>92341</v>
      </c>
      <c r="K1668" t="s">
        <v>17163</v>
      </c>
      <c r="L1668" t="s">
        <v>18</v>
      </c>
      <c r="M1668">
        <v>74.400000000000006</v>
      </c>
      <c r="N1668">
        <v>50.43</v>
      </c>
      <c r="O1668">
        <v>56.73</v>
      </c>
      <c r="P1668">
        <v>4220.71</v>
      </c>
    </row>
    <row r="1669" spans="3:16">
      <c r="C1669">
        <v>3</v>
      </c>
      <c r="D1669">
        <v>2</v>
      </c>
      <c r="F1669" t="s">
        <v>11724</v>
      </c>
      <c r="H1669" t="s">
        <v>70</v>
      </c>
      <c r="I1669">
        <v>25886</v>
      </c>
      <c r="K1669" t="s">
        <v>11594</v>
      </c>
      <c r="L1669" t="s">
        <v>18</v>
      </c>
      <c r="M1669">
        <v>990</v>
      </c>
      <c r="N1669">
        <v>34.65</v>
      </c>
      <c r="O1669">
        <v>38.979999999999997</v>
      </c>
      <c r="P1669">
        <v>38590.199999999997</v>
      </c>
    </row>
    <row r="1670" spans="3:16">
      <c r="C1670">
        <v>3</v>
      </c>
      <c r="D1670">
        <v>2</v>
      </c>
      <c r="F1670" t="s">
        <v>11724</v>
      </c>
      <c r="H1670" t="s">
        <v>70</v>
      </c>
      <c r="I1670">
        <v>12601</v>
      </c>
      <c r="K1670" t="s">
        <v>10453</v>
      </c>
      <c r="L1670" t="s">
        <v>18</v>
      </c>
      <c r="M1670">
        <v>12</v>
      </c>
      <c r="N1670">
        <v>22.61</v>
      </c>
      <c r="O1670">
        <v>25.43</v>
      </c>
      <c r="P1670">
        <v>305.16000000000003</v>
      </c>
    </row>
    <row r="1671" spans="3:16">
      <c r="C1671">
        <v>3</v>
      </c>
      <c r="D1671">
        <v>2</v>
      </c>
      <c r="F1671" t="s">
        <v>11724</v>
      </c>
      <c r="H1671" t="s">
        <v>70</v>
      </c>
      <c r="I1671">
        <v>9859</v>
      </c>
      <c r="K1671" t="s">
        <v>10457</v>
      </c>
      <c r="L1671" t="s">
        <v>18</v>
      </c>
      <c r="M1671">
        <v>8</v>
      </c>
      <c r="N1671">
        <v>6.25</v>
      </c>
      <c r="O1671">
        <v>7.03</v>
      </c>
      <c r="P1671">
        <v>56.24</v>
      </c>
    </row>
    <row r="1672" spans="3:16">
      <c r="C1672">
        <v>3</v>
      </c>
      <c r="D1672">
        <v>2</v>
      </c>
      <c r="F1672" t="s">
        <v>11724</v>
      </c>
      <c r="H1672" t="s">
        <v>70</v>
      </c>
      <c r="I1672">
        <v>9868</v>
      </c>
      <c r="K1672" t="s">
        <v>10502</v>
      </c>
      <c r="L1672" t="s">
        <v>18</v>
      </c>
      <c r="M1672">
        <v>18</v>
      </c>
      <c r="N1672">
        <v>3.15</v>
      </c>
      <c r="O1672">
        <v>3.54</v>
      </c>
      <c r="P1672">
        <v>63.72</v>
      </c>
    </row>
    <row r="1673" spans="3:16">
      <c r="C1673">
        <v>3</v>
      </c>
      <c r="D1673">
        <v>2</v>
      </c>
      <c r="F1673" t="s">
        <v>11724</v>
      </c>
      <c r="H1673" t="s">
        <v>70</v>
      </c>
      <c r="I1673">
        <v>9875</v>
      </c>
      <c r="K1673" t="s">
        <v>10505</v>
      </c>
      <c r="L1673" t="s">
        <v>18</v>
      </c>
      <c r="M1673">
        <v>186</v>
      </c>
      <c r="N1673">
        <v>12.21</v>
      </c>
      <c r="O1673">
        <v>13.74</v>
      </c>
      <c r="P1673">
        <v>2555.64</v>
      </c>
    </row>
    <row r="1674" spans="3:16">
      <c r="C1674">
        <v>3</v>
      </c>
      <c r="D1674">
        <v>2</v>
      </c>
      <c r="F1674" t="s">
        <v>11724</v>
      </c>
      <c r="H1674" t="s">
        <v>11722</v>
      </c>
      <c r="I1674" t="s">
        <v>13209</v>
      </c>
      <c r="K1674" t="s">
        <v>13210</v>
      </c>
      <c r="L1674" t="s">
        <v>1270</v>
      </c>
      <c r="M1674">
        <v>2</v>
      </c>
      <c r="N1674">
        <v>286.04000000000002</v>
      </c>
      <c r="O1674">
        <v>321.77</v>
      </c>
      <c r="P1674">
        <v>643.54</v>
      </c>
    </row>
    <row r="1675" spans="3:16">
      <c r="C1675">
        <v>3</v>
      </c>
      <c r="D1675">
        <v>2</v>
      </c>
      <c r="F1675" t="s">
        <v>11724</v>
      </c>
      <c r="H1675" t="s">
        <v>11722</v>
      </c>
      <c r="I1675" t="s">
        <v>13211</v>
      </c>
      <c r="K1675" t="s">
        <v>13212</v>
      </c>
      <c r="L1675" t="s">
        <v>1270</v>
      </c>
      <c r="M1675">
        <v>2</v>
      </c>
      <c r="N1675">
        <v>328.95</v>
      </c>
      <c r="O1675">
        <v>370.04</v>
      </c>
      <c r="P1675">
        <v>740.08</v>
      </c>
    </row>
    <row r="1676" spans="3:16">
      <c r="C1676">
        <v>3</v>
      </c>
      <c r="D1676">
        <v>2</v>
      </c>
      <c r="F1676" t="s">
        <v>11724</v>
      </c>
      <c r="H1676" t="s">
        <v>11722</v>
      </c>
      <c r="I1676" t="s">
        <v>13213</v>
      </c>
      <c r="K1676" t="s">
        <v>13214</v>
      </c>
      <c r="L1676" t="s">
        <v>1270</v>
      </c>
      <c r="M1676">
        <v>4</v>
      </c>
      <c r="N1676">
        <v>57.21</v>
      </c>
      <c r="O1676">
        <v>64.36</v>
      </c>
      <c r="P1676">
        <v>257.44</v>
      </c>
    </row>
    <row r="1677" spans="3:16">
      <c r="C1677">
        <v>3</v>
      </c>
      <c r="D1677">
        <v>2</v>
      </c>
      <c r="F1677" t="s">
        <v>11724</v>
      </c>
      <c r="H1677" t="s">
        <v>11722</v>
      </c>
      <c r="I1677" t="s">
        <v>13215</v>
      </c>
      <c r="K1677" t="s">
        <v>13216</v>
      </c>
      <c r="L1677" t="s">
        <v>1270</v>
      </c>
      <c r="M1677">
        <v>2</v>
      </c>
      <c r="N1677">
        <v>71.510000000000005</v>
      </c>
      <c r="O1677">
        <v>80.44</v>
      </c>
      <c r="P1677">
        <v>160.88</v>
      </c>
    </row>
    <row r="1678" spans="3:16">
      <c r="C1678">
        <v>3</v>
      </c>
      <c r="D1678">
        <v>2</v>
      </c>
      <c r="F1678" t="s">
        <v>11724</v>
      </c>
      <c r="H1678" t="s">
        <v>11722</v>
      </c>
      <c r="I1678" t="s">
        <v>13217</v>
      </c>
      <c r="K1678" t="s">
        <v>13218</v>
      </c>
      <c r="L1678" t="s">
        <v>1270</v>
      </c>
      <c r="M1678">
        <v>4</v>
      </c>
      <c r="N1678">
        <v>120.14</v>
      </c>
      <c r="O1678">
        <v>135.15</v>
      </c>
      <c r="P1678">
        <v>540.6</v>
      </c>
    </row>
    <row r="1679" spans="3:16">
      <c r="C1679">
        <v>3</v>
      </c>
      <c r="D1679">
        <v>2</v>
      </c>
      <c r="F1679" t="s">
        <v>11724</v>
      </c>
      <c r="H1679" t="s">
        <v>11722</v>
      </c>
      <c r="I1679" t="s">
        <v>13219</v>
      </c>
      <c r="K1679" t="s">
        <v>13220</v>
      </c>
      <c r="L1679" t="s">
        <v>1270</v>
      </c>
      <c r="M1679">
        <v>2</v>
      </c>
      <c r="N1679">
        <v>214.53</v>
      </c>
      <c r="O1679">
        <v>241.32</v>
      </c>
      <c r="P1679">
        <v>482.64</v>
      </c>
    </row>
    <row r="1680" spans="3:16">
      <c r="C1680">
        <v>3</v>
      </c>
      <c r="D1680">
        <v>2</v>
      </c>
      <c r="F1680" t="s">
        <v>11724</v>
      </c>
      <c r="H1680" t="s">
        <v>11722</v>
      </c>
      <c r="I1680" t="s">
        <v>13221</v>
      </c>
      <c r="K1680" t="s">
        <v>13222</v>
      </c>
      <c r="L1680" t="s">
        <v>1270</v>
      </c>
      <c r="M1680">
        <v>4</v>
      </c>
      <c r="N1680">
        <v>308.93</v>
      </c>
      <c r="O1680">
        <v>347.52</v>
      </c>
      <c r="P1680">
        <v>1390.08</v>
      </c>
    </row>
    <row r="1681" spans="3:16">
      <c r="C1681">
        <v>3</v>
      </c>
      <c r="D1681">
        <v>2</v>
      </c>
      <c r="F1681" t="s">
        <v>11724</v>
      </c>
      <c r="H1681" t="s">
        <v>11722</v>
      </c>
      <c r="I1681" t="s">
        <v>13223</v>
      </c>
      <c r="K1681" t="s">
        <v>13224</v>
      </c>
      <c r="L1681" t="s">
        <v>1270</v>
      </c>
      <c r="M1681">
        <v>4</v>
      </c>
      <c r="N1681">
        <v>323.23</v>
      </c>
      <c r="O1681">
        <v>363.6</v>
      </c>
      <c r="P1681">
        <v>1454.4</v>
      </c>
    </row>
    <row r="1682" spans="3:16">
      <c r="C1682">
        <v>3</v>
      </c>
      <c r="D1682">
        <v>2</v>
      </c>
      <c r="F1682" t="s">
        <v>11724</v>
      </c>
      <c r="H1682" t="s">
        <v>11722</v>
      </c>
      <c r="I1682" t="s">
        <v>13225</v>
      </c>
      <c r="K1682" t="s">
        <v>13226</v>
      </c>
      <c r="L1682" t="s">
        <v>18</v>
      </c>
      <c r="M1682">
        <v>203</v>
      </c>
      <c r="N1682">
        <v>286.04000000000002</v>
      </c>
      <c r="O1682">
        <v>321.77</v>
      </c>
      <c r="P1682">
        <v>65319.31</v>
      </c>
    </row>
    <row r="1683" spans="3:16">
      <c r="C1683">
        <v>3</v>
      </c>
      <c r="D1683">
        <v>2</v>
      </c>
      <c r="F1683" t="s">
        <v>11724</v>
      </c>
      <c r="H1683" t="s">
        <v>11722</v>
      </c>
      <c r="I1683" t="s">
        <v>12766</v>
      </c>
      <c r="K1683" t="s">
        <v>12767</v>
      </c>
      <c r="L1683" t="s">
        <v>18</v>
      </c>
      <c r="M1683">
        <v>300</v>
      </c>
      <c r="N1683">
        <v>37.4</v>
      </c>
      <c r="O1683">
        <v>42.07</v>
      </c>
      <c r="P1683">
        <v>12621</v>
      </c>
    </row>
    <row r="1684" spans="3:16">
      <c r="C1684">
        <v>3</v>
      </c>
      <c r="D1684">
        <v>2</v>
      </c>
      <c r="F1684" t="s">
        <v>11724</v>
      </c>
      <c r="H1684" t="s">
        <v>11722</v>
      </c>
      <c r="I1684" t="s">
        <v>12768</v>
      </c>
      <c r="K1684" t="s">
        <v>12769</v>
      </c>
      <c r="L1684" t="s">
        <v>18</v>
      </c>
      <c r="M1684">
        <v>174</v>
      </c>
      <c r="N1684">
        <v>25.5</v>
      </c>
      <c r="O1684">
        <v>28.68</v>
      </c>
      <c r="P1684">
        <v>4990.32</v>
      </c>
    </row>
    <row r="1685" spans="3:16">
      <c r="C1685">
        <v>3</v>
      </c>
      <c r="D1685">
        <v>2</v>
      </c>
      <c r="F1685" t="s">
        <v>11724</v>
      </c>
      <c r="H1685" t="s">
        <v>11722</v>
      </c>
      <c r="I1685" t="s">
        <v>12770</v>
      </c>
      <c r="K1685" t="s">
        <v>12771</v>
      </c>
      <c r="L1685" t="s">
        <v>18</v>
      </c>
      <c r="M1685">
        <v>12</v>
      </c>
      <c r="N1685">
        <v>54.4</v>
      </c>
      <c r="O1685">
        <v>61.19</v>
      </c>
      <c r="P1685">
        <v>734.28</v>
      </c>
    </row>
    <row r="1686" spans="3:16">
      <c r="C1686">
        <v>3</v>
      </c>
      <c r="D1686">
        <v>2</v>
      </c>
      <c r="F1686" t="s">
        <v>11724</v>
      </c>
      <c r="H1686" t="s">
        <v>11722</v>
      </c>
      <c r="I1686" t="s">
        <v>13233</v>
      </c>
      <c r="K1686" t="s">
        <v>13234</v>
      </c>
      <c r="L1686" t="s">
        <v>18</v>
      </c>
      <c r="M1686">
        <v>384</v>
      </c>
      <c r="N1686">
        <v>286.04000000000002</v>
      </c>
      <c r="O1686">
        <v>321.77</v>
      </c>
      <c r="P1686">
        <v>123559.67999999999</v>
      </c>
    </row>
    <row r="1687" spans="3:16">
      <c r="C1687">
        <v>3</v>
      </c>
      <c r="D1687">
        <v>2</v>
      </c>
      <c r="F1687" t="s">
        <v>11724</v>
      </c>
      <c r="H1687" t="s">
        <v>11722</v>
      </c>
      <c r="I1687" t="s">
        <v>12772</v>
      </c>
      <c r="K1687" t="s">
        <v>12773</v>
      </c>
      <c r="L1687" t="s">
        <v>1270</v>
      </c>
      <c r="M1687">
        <v>5</v>
      </c>
      <c r="N1687">
        <v>163.80000000000001</v>
      </c>
      <c r="O1687">
        <v>184.26</v>
      </c>
      <c r="P1687">
        <v>921.3</v>
      </c>
    </row>
    <row r="1688" spans="3:16">
      <c r="C1688">
        <v>3</v>
      </c>
      <c r="D1688">
        <v>2</v>
      </c>
      <c r="F1688" t="s">
        <v>11724</v>
      </c>
      <c r="H1688" t="s">
        <v>11722</v>
      </c>
      <c r="I1688" t="s">
        <v>12774</v>
      </c>
      <c r="K1688" t="s">
        <v>12775</v>
      </c>
      <c r="L1688" t="s">
        <v>1270</v>
      </c>
      <c r="M1688">
        <v>160</v>
      </c>
      <c r="N1688">
        <v>105.1</v>
      </c>
      <c r="O1688">
        <v>118.23</v>
      </c>
      <c r="P1688">
        <v>18916.8</v>
      </c>
    </row>
    <row r="1689" spans="3:16">
      <c r="C1689">
        <v>3</v>
      </c>
      <c r="D1689">
        <v>2</v>
      </c>
      <c r="F1689" t="s">
        <v>11724</v>
      </c>
      <c r="H1689" t="s">
        <v>11722</v>
      </c>
      <c r="I1689" t="s">
        <v>12776</v>
      </c>
      <c r="K1689" t="s">
        <v>12777</v>
      </c>
      <c r="L1689" t="s">
        <v>1270</v>
      </c>
      <c r="M1689">
        <v>30</v>
      </c>
      <c r="N1689">
        <v>105.1</v>
      </c>
      <c r="O1689">
        <v>118.23</v>
      </c>
      <c r="P1689">
        <v>3546.9</v>
      </c>
    </row>
    <row r="1690" spans="3:16">
      <c r="C1690">
        <v>3</v>
      </c>
      <c r="D1690">
        <v>2</v>
      </c>
      <c r="F1690" t="s">
        <v>11724</v>
      </c>
      <c r="H1690" t="s">
        <v>70</v>
      </c>
      <c r="I1690">
        <v>89421</v>
      </c>
      <c r="K1690" t="s">
        <v>17253</v>
      </c>
      <c r="L1690" t="s">
        <v>10854</v>
      </c>
      <c r="M1690">
        <v>2</v>
      </c>
      <c r="N1690">
        <v>7.59</v>
      </c>
      <c r="O1690">
        <v>8.5399999999999991</v>
      </c>
      <c r="P1690">
        <v>17.079999999999998</v>
      </c>
    </row>
    <row r="1691" spans="3:16">
      <c r="C1691">
        <v>3</v>
      </c>
      <c r="D1691">
        <v>2</v>
      </c>
      <c r="F1691" t="s">
        <v>11724</v>
      </c>
      <c r="H1691" t="s">
        <v>70</v>
      </c>
      <c r="I1691">
        <v>89594</v>
      </c>
      <c r="K1691" t="s">
        <v>17317</v>
      </c>
      <c r="L1691" t="s">
        <v>1270</v>
      </c>
      <c r="M1691">
        <v>24</v>
      </c>
      <c r="N1691">
        <v>28.48</v>
      </c>
      <c r="O1691">
        <v>32.04</v>
      </c>
      <c r="P1691">
        <v>768.96</v>
      </c>
    </row>
    <row r="1692" spans="3:16">
      <c r="C1692">
        <v>3</v>
      </c>
      <c r="D1692">
        <v>2</v>
      </c>
      <c r="F1692" t="s">
        <v>11724</v>
      </c>
      <c r="H1692" t="s">
        <v>70</v>
      </c>
      <c r="I1692">
        <v>89536</v>
      </c>
      <c r="K1692" t="s">
        <v>17280</v>
      </c>
      <c r="L1692" t="s">
        <v>1270</v>
      </c>
      <c r="M1692">
        <v>96</v>
      </c>
      <c r="N1692">
        <v>8.24</v>
      </c>
      <c r="O1692">
        <v>9.27</v>
      </c>
      <c r="P1692">
        <v>889.92</v>
      </c>
    </row>
    <row r="1693" spans="3:16">
      <c r="C1693">
        <v>3</v>
      </c>
      <c r="D1693">
        <v>2</v>
      </c>
      <c r="F1693" t="s">
        <v>11724</v>
      </c>
      <c r="H1693" t="s">
        <v>70</v>
      </c>
      <c r="I1693">
        <v>92892</v>
      </c>
      <c r="K1693" t="s">
        <v>17640</v>
      </c>
      <c r="L1693" t="s">
        <v>1270</v>
      </c>
      <c r="M1693">
        <v>8</v>
      </c>
      <c r="N1693">
        <v>33.119999999999997</v>
      </c>
      <c r="O1693">
        <v>37.26</v>
      </c>
      <c r="P1693">
        <v>298.08</v>
      </c>
    </row>
    <row r="1694" spans="3:16">
      <c r="C1694">
        <v>3</v>
      </c>
      <c r="D1694">
        <v>2</v>
      </c>
      <c r="F1694" t="s">
        <v>11724</v>
      </c>
      <c r="H1694" t="s">
        <v>11722</v>
      </c>
      <c r="I1694" t="s">
        <v>13129</v>
      </c>
      <c r="K1694" t="s">
        <v>13130</v>
      </c>
      <c r="L1694" t="s">
        <v>10854</v>
      </c>
      <c r="M1694">
        <v>2</v>
      </c>
      <c r="N1694">
        <v>128</v>
      </c>
      <c r="O1694">
        <v>143.99</v>
      </c>
      <c r="P1694">
        <v>287.98</v>
      </c>
    </row>
    <row r="1695" spans="3:16">
      <c r="C1695">
        <v>3</v>
      </c>
      <c r="D1695">
        <v>2</v>
      </c>
      <c r="F1695" t="s">
        <v>11724</v>
      </c>
      <c r="H1695" t="s">
        <v>11722</v>
      </c>
      <c r="I1695" t="s">
        <v>13131</v>
      </c>
      <c r="K1695" t="s">
        <v>13132</v>
      </c>
      <c r="L1695" t="s">
        <v>1270</v>
      </c>
      <c r="M1695">
        <v>160</v>
      </c>
      <c r="N1695">
        <v>26</v>
      </c>
      <c r="O1695">
        <v>29.25</v>
      </c>
      <c r="P1695">
        <v>4680</v>
      </c>
    </row>
    <row r="1696" spans="3:16">
      <c r="C1696">
        <v>3</v>
      </c>
      <c r="D1696">
        <v>2</v>
      </c>
      <c r="F1696" t="s">
        <v>11724</v>
      </c>
      <c r="H1696" t="s">
        <v>11722</v>
      </c>
      <c r="I1696" t="s">
        <v>13137</v>
      </c>
      <c r="K1696" t="s">
        <v>13138</v>
      </c>
      <c r="L1696" t="s">
        <v>10854</v>
      </c>
      <c r="M1696">
        <v>6</v>
      </c>
      <c r="N1696">
        <v>5550</v>
      </c>
      <c r="O1696">
        <v>6243.2</v>
      </c>
      <c r="P1696">
        <v>37459.199999999997</v>
      </c>
    </row>
    <row r="1697" spans="3:16">
      <c r="C1697">
        <v>3</v>
      </c>
      <c r="D1697">
        <v>2</v>
      </c>
      <c r="F1697" t="s">
        <v>11724</v>
      </c>
      <c r="H1697" t="s">
        <v>11722</v>
      </c>
      <c r="I1697" t="s">
        <v>13139</v>
      </c>
      <c r="K1697" t="s">
        <v>13140</v>
      </c>
      <c r="L1697" t="s">
        <v>10854</v>
      </c>
      <c r="M1697">
        <v>6</v>
      </c>
      <c r="N1697">
        <v>750</v>
      </c>
      <c r="O1697">
        <v>843.68</v>
      </c>
      <c r="P1697">
        <v>5062.08</v>
      </c>
    </row>
    <row r="1698" spans="3:16">
      <c r="C1698">
        <v>3</v>
      </c>
      <c r="D1698">
        <v>2</v>
      </c>
      <c r="F1698" t="s">
        <v>11724</v>
      </c>
      <c r="K1698" t="s">
        <v>14473</v>
      </c>
    </row>
    <row r="1699" spans="3:16">
      <c r="C1699">
        <v>3</v>
      </c>
      <c r="D1699">
        <v>2</v>
      </c>
      <c r="F1699" t="s">
        <v>11724</v>
      </c>
      <c r="H1699" t="s">
        <v>11722</v>
      </c>
      <c r="I1699" t="s">
        <v>13090</v>
      </c>
      <c r="K1699" t="s">
        <v>14354</v>
      </c>
      <c r="L1699" t="s">
        <v>18</v>
      </c>
      <c r="M1699">
        <v>550.4</v>
      </c>
      <c r="N1699">
        <v>380</v>
      </c>
      <c r="O1699">
        <v>427.46</v>
      </c>
      <c r="P1699">
        <v>235273.98</v>
      </c>
    </row>
    <row r="1700" spans="3:16">
      <c r="C1700">
        <v>3</v>
      </c>
      <c r="D1700">
        <v>2</v>
      </c>
      <c r="F1700" t="s">
        <v>11724</v>
      </c>
      <c r="H1700" t="s">
        <v>11722</v>
      </c>
      <c r="I1700" t="s">
        <v>13091</v>
      </c>
      <c r="K1700" t="s">
        <v>14355</v>
      </c>
      <c r="L1700" t="s">
        <v>10854</v>
      </c>
      <c r="M1700">
        <v>576</v>
      </c>
      <c r="N1700">
        <v>155</v>
      </c>
      <c r="O1700">
        <v>174.36</v>
      </c>
      <c r="P1700">
        <v>100431.36</v>
      </c>
    </row>
    <row r="1701" spans="3:16">
      <c r="C1701">
        <v>3</v>
      </c>
      <c r="D1701">
        <v>2</v>
      </c>
      <c r="F1701" t="s">
        <v>11724</v>
      </c>
      <c r="H1701" t="s">
        <v>11722</v>
      </c>
      <c r="I1701" t="s">
        <v>13093</v>
      </c>
      <c r="K1701" t="s">
        <v>13092</v>
      </c>
      <c r="L1701" t="s">
        <v>18</v>
      </c>
      <c r="M1701">
        <v>128</v>
      </c>
      <c r="N1701">
        <v>58</v>
      </c>
      <c r="O1701">
        <v>65.239999999999995</v>
      </c>
      <c r="P1701">
        <v>8350.7199999999993</v>
      </c>
    </row>
    <row r="1702" spans="3:16">
      <c r="C1702">
        <v>3</v>
      </c>
      <c r="D1702">
        <v>2</v>
      </c>
      <c r="F1702" t="s">
        <v>11724</v>
      </c>
      <c r="H1702" t="s">
        <v>11722</v>
      </c>
      <c r="I1702" t="s">
        <v>13094</v>
      </c>
      <c r="K1702" t="s">
        <v>14356</v>
      </c>
      <c r="L1702" t="s">
        <v>1270</v>
      </c>
      <c r="M1702">
        <v>32</v>
      </c>
      <c r="N1702">
        <v>85</v>
      </c>
      <c r="O1702">
        <v>95.62</v>
      </c>
      <c r="P1702">
        <v>3059.84</v>
      </c>
    </row>
    <row r="1703" spans="3:16">
      <c r="C1703">
        <v>3</v>
      </c>
      <c r="D1703">
        <v>2</v>
      </c>
      <c r="F1703" t="s">
        <v>11724</v>
      </c>
      <c r="H1703" t="s">
        <v>11722</v>
      </c>
      <c r="I1703" t="s">
        <v>13095</v>
      </c>
      <c r="K1703" t="s">
        <v>14357</v>
      </c>
      <c r="L1703" t="s">
        <v>1270</v>
      </c>
      <c r="M1703">
        <v>736</v>
      </c>
      <c r="N1703">
        <v>1.25</v>
      </c>
      <c r="O1703">
        <v>1.41</v>
      </c>
      <c r="P1703">
        <v>1037.76</v>
      </c>
    </row>
    <row r="1704" spans="3:16">
      <c r="C1704">
        <v>3</v>
      </c>
      <c r="D1704">
        <v>2</v>
      </c>
      <c r="F1704" t="s">
        <v>11724</v>
      </c>
      <c r="H1704" t="s">
        <v>11722</v>
      </c>
      <c r="I1704" t="s">
        <v>13096</v>
      </c>
      <c r="K1704" t="s">
        <v>14358</v>
      </c>
      <c r="L1704" t="s">
        <v>1270</v>
      </c>
      <c r="M1704">
        <v>288</v>
      </c>
      <c r="N1704">
        <v>0.97</v>
      </c>
      <c r="O1704">
        <v>1.0900000000000001</v>
      </c>
      <c r="P1704">
        <v>313.92</v>
      </c>
    </row>
    <row r="1705" spans="3:16">
      <c r="C1705">
        <v>3</v>
      </c>
      <c r="D1705">
        <v>2</v>
      </c>
      <c r="F1705" t="s">
        <v>11724</v>
      </c>
      <c r="H1705" t="s">
        <v>11722</v>
      </c>
      <c r="I1705" t="s">
        <v>13097</v>
      </c>
      <c r="K1705" t="s">
        <v>14359</v>
      </c>
      <c r="L1705" t="s">
        <v>1270</v>
      </c>
      <c r="M1705">
        <v>3200</v>
      </c>
      <c r="N1705">
        <v>0.38</v>
      </c>
      <c r="O1705">
        <v>0.43</v>
      </c>
      <c r="P1705">
        <v>1376</v>
      </c>
    </row>
    <row r="1706" spans="3:16">
      <c r="C1706">
        <v>3</v>
      </c>
      <c r="D1706">
        <v>2</v>
      </c>
      <c r="F1706" t="s">
        <v>11724</v>
      </c>
      <c r="K1706" t="s">
        <v>14476</v>
      </c>
    </row>
    <row r="1707" spans="3:16">
      <c r="C1707">
        <v>3</v>
      </c>
      <c r="D1707">
        <v>2</v>
      </c>
      <c r="F1707" t="s">
        <v>11724</v>
      </c>
      <c r="H1707" t="s">
        <v>11722</v>
      </c>
      <c r="I1707" t="s">
        <v>13098</v>
      </c>
      <c r="K1707" t="s">
        <v>13106</v>
      </c>
      <c r="L1707" t="s">
        <v>1270</v>
      </c>
      <c r="M1707">
        <v>128</v>
      </c>
      <c r="N1707">
        <v>155</v>
      </c>
      <c r="O1707">
        <v>174.36</v>
      </c>
      <c r="P1707">
        <v>22318.080000000002</v>
      </c>
    </row>
    <row r="1708" spans="3:16">
      <c r="C1708">
        <v>3</v>
      </c>
      <c r="D1708">
        <v>2</v>
      </c>
      <c r="F1708" t="s">
        <v>11724</v>
      </c>
      <c r="K1708" t="s">
        <v>14474</v>
      </c>
    </row>
    <row r="1709" spans="3:16">
      <c r="C1709">
        <v>3</v>
      </c>
      <c r="D1709">
        <v>2</v>
      </c>
      <c r="F1709" t="s">
        <v>11724</v>
      </c>
      <c r="H1709" t="s">
        <v>11722</v>
      </c>
      <c r="I1709" t="s">
        <v>13099</v>
      </c>
      <c r="K1709" t="s">
        <v>14360</v>
      </c>
      <c r="L1709" t="s">
        <v>10854</v>
      </c>
      <c r="M1709">
        <v>32</v>
      </c>
      <c r="N1709">
        <v>774</v>
      </c>
      <c r="O1709">
        <v>870.67</v>
      </c>
      <c r="P1709">
        <v>27861.439999999999</v>
      </c>
    </row>
    <row r="1710" spans="3:16">
      <c r="C1710">
        <v>3</v>
      </c>
      <c r="D1710">
        <v>2</v>
      </c>
      <c r="F1710" t="s">
        <v>11724</v>
      </c>
      <c r="H1710" t="s">
        <v>11722</v>
      </c>
      <c r="I1710" t="s">
        <v>13100</v>
      </c>
      <c r="K1710" t="s">
        <v>14361</v>
      </c>
      <c r="L1710" t="s">
        <v>10854</v>
      </c>
      <c r="M1710">
        <v>32</v>
      </c>
      <c r="N1710">
        <v>6.68</v>
      </c>
      <c r="O1710">
        <v>7.51</v>
      </c>
      <c r="P1710">
        <v>240.32</v>
      </c>
    </row>
    <row r="1711" spans="3:16">
      <c r="C1711">
        <v>3</v>
      </c>
      <c r="D1711">
        <v>2</v>
      </c>
      <c r="F1711" t="s">
        <v>11724</v>
      </c>
      <c r="H1711" t="s">
        <v>11722</v>
      </c>
      <c r="I1711" t="s">
        <v>13101</v>
      </c>
      <c r="K1711" t="s">
        <v>14362</v>
      </c>
      <c r="L1711" t="s">
        <v>10854</v>
      </c>
      <c r="M1711">
        <v>32</v>
      </c>
      <c r="N1711">
        <v>6.68</v>
      </c>
      <c r="O1711">
        <v>7.51</v>
      </c>
      <c r="P1711">
        <v>240.32</v>
      </c>
    </row>
    <row r="1712" spans="3:16">
      <c r="C1712">
        <v>3</v>
      </c>
      <c r="D1712">
        <v>2</v>
      </c>
      <c r="F1712" t="s">
        <v>11724</v>
      </c>
      <c r="H1712" t="s">
        <v>11722</v>
      </c>
      <c r="I1712" t="s">
        <v>13102</v>
      </c>
      <c r="K1712" t="s">
        <v>14363</v>
      </c>
      <c r="L1712" t="s">
        <v>10854</v>
      </c>
      <c r="M1712">
        <v>32</v>
      </c>
      <c r="N1712">
        <v>151.62</v>
      </c>
      <c r="O1712">
        <v>170.56</v>
      </c>
      <c r="P1712">
        <v>5457.92</v>
      </c>
    </row>
    <row r="1713" spans="3:16">
      <c r="C1713">
        <v>3</v>
      </c>
      <c r="D1713">
        <v>2</v>
      </c>
      <c r="F1713" t="s">
        <v>11724</v>
      </c>
      <c r="H1713" t="s">
        <v>11722</v>
      </c>
      <c r="I1713" t="s">
        <v>13103</v>
      </c>
      <c r="K1713" t="s">
        <v>14364</v>
      </c>
      <c r="L1713" t="s">
        <v>10854</v>
      </c>
      <c r="M1713">
        <v>256</v>
      </c>
      <c r="N1713">
        <v>45</v>
      </c>
      <c r="O1713">
        <v>50.62</v>
      </c>
      <c r="P1713">
        <v>12958.72</v>
      </c>
    </row>
    <row r="1714" spans="3:16">
      <c r="C1714">
        <v>3</v>
      </c>
      <c r="D1714">
        <v>2</v>
      </c>
      <c r="F1714" t="s">
        <v>11724</v>
      </c>
      <c r="H1714" t="s">
        <v>11722</v>
      </c>
      <c r="I1714" t="s">
        <v>13104</v>
      </c>
      <c r="K1714" t="s">
        <v>14365</v>
      </c>
      <c r="L1714" t="s">
        <v>10854</v>
      </c>
      <c r="M1714">
        <v>32</v>
      </c>
      <c r="N1714">
        <v>774</v>
      </c>
      <c r="O1714">
        <v>870.67</v>
      </c>
      <c r="P1714">
        <v>27861.439999999999</v>
      </c>
    </row>
    <row r="1715" spans="3:16">
      <c r="C1715">
        <v>3</v>
      </c>
      <c r="D1715">
        <v>2</v>
      </c>
      <c r="F1715" t="s">
        <v>11724</v>
      </c>
      <c r="H1715" t="s">
        <v>11722</v>
      </c>
      <c r="I1715" t="s">
        <v>13105</v>
      </c>
      <c r="K1715" t="s">
        <v>14366</v>
      </c>
      <c r="L1715" t="s">
        <v>10854</v>
      </c>
      <c r="M1715">
        <v>544</v>
      </c>
      <c r="N1715">
        <v>580</v>
      </c>
      <c r="O1715">
        <v>652.44000000000005</v>
      </c>
      <c r="P1715">
        <v>354927.35999999999</v>
      </c>
    </row>
    <row r="1716" spans="3:16">
      <c r="C1716">
        <v>3</v>
      </c>
      <c r="D1716">
        <v>2</v>
      </c>
      <c r="F1716" t="s">
        <v>11724</v>
      </c>
      <c r="H1716" t="s">
        <v>11722</v>
      </c>
      <c r="I1716" t="s">
        <v>13107</v>
      </c>
      <c r="K1716" t="s">
        <v>14367</v>
      </c>
      <c r="L1716" t="s">
        <v>10854</v>
      </c>
      <c r="M1716">
        <v>64</v>
      </c>
      <c r="N1716">
        <v>95.18</v>
      </c>
      <c r="O1716">
        <v>107.07</v>
      </c>
      <c r="P1716">
        <v>6852.48</v>
      </c>
    </row>
    <row r="1717" spans="3:16">
      <c r="C1717">
        <v>3</v>
      </c>
      <c r="D1717">
        <v>2</v>
      </c>
      <c r="F1717" t="s">
        <v>11724</v>
      </c>
      <c r="H1717" t="s">
        <v>11722</v>
      </c>
      <c r="I1717" t="s">
        <v>14368</v>
      </c>
      <c r="K1717" t="s">
        <v>14369</v>
      </c>
      <c r="L1717" t="s">
        <v>10854</v>
      </c>
      <c r="M1717">
        <v>64</v>
      </c>
      <c r="N1717">
        <v>85</v>
      </c>
      <c r="O1717">
        <v>95.62</v>
      </c>
      <c r="P1717">
        <v>6119.68</v>
      </c>
    </row>
    <row r="1718" spans="3:16">
      <c r="C1718">
        <v>3</v>
      </c>
      <c r="D1718">
        <v>2</v>
      </c>
      <c r="F1718" t="s">
        <v>11724</v>
      </c>
      <c r="H1718" t="s">
        <v>11722</v>
      </c>
      <c r="I1718" t="s">
        <v>14370</v>
      </c>
      <c r="K1718" t="s">
        <v>14371</v>
      </c>
      <c r="L1718" t="s">
        <v>1270</v>
      </c>
      <c r="M1718">
        <v>1152</v>
      </c>
      <c r="N1718">
        <v>1.25</v>
      </c>
      <c r="O1718">
        <v>1.41</v>
      </c>
      <c r="P1718">
        <v>1624.32</v>
      </c>
    </row>
    <row r="1719" spans="3:16">
      <c r="C1719">
        <v>3</v>
      </c>
      <c r="D1719">
        <v>2</v>
      </c>
      <c r="F1719" t="s">
        <v>11724</v>
      </c>
      <c r="H1719" t="s">
        <v>11722</v>
      </c>
      <c r="I1719" t="s">
        <v>14372</v>
      </c>
      <c r="K1719" t="s">
        <v>14373</v>
      </c>
      <c r="L1719" t="s">
        <v>1270</v>
      </c>
      <c r="M1719">
        <v>6228</v>
      </c>
      <c r="N1719">
        <v>0.97</v>
      </c>
      <c r="O1719">
        <v>1.0900000000000001</v>
      </c>
      <c r="P1719">
        <v>6788.52</v>
      </c>
    </row>
    <row r="1720" spans="3:16">
      <c r="C1720">
        <v>3</v>
      </c>
      <c r="D1720">
        <v>2</v>
      </c>
      <c r="F1720" t="s">
        <v>11724</v>
      </c>
      <c r="H1720" t="s">
        <v>11722</v>
      </c>
      <c r="I1720" t="s">
        <v>14374</v>
      </c>
      <c r="K1720" t="s">
        <v>14375</v>
      </c>
      <c r="L1720" t="s">
        <v>1270</v>
      </c>
      <c r="M1720">
        <v>480</v>
      </c>
      <c r="N1720">
        <v>1.83</v>
      </c>
      <c r="O1720">
        <v>2.06</v>
      </c>
      <c r="P1720">
        <v>988.8</v>
      </c>
    </row>
    <row r="1721" spans="3:16">
      <c r="C1721">
        <v>3</v>
      </c>
      <c r="D1721">
        <v>2</v>
      </c>
      <c r="F1721" t="s">
        <v>11724</v>
      </c>
      <c r="H1721" t="s">
        <v>11722</v>
      </c>
      <c r="I1721" t="s">
        <v>14376</v>
      </c>
      <c r="K1721" t="s">
        <v>14377</v>
      </c>
      <c r="L1721" t="s">
        <v>10854</v>
      </c>
      <c r="M1721">
        <v>32</v>
      </c>
      <c r="N1721">
        <v>6.68</v>
      </c>
      <c r="O1721">
        <v>7.51</v>
      </c>
      <c r="P1721">
        <v>240.32</v>
      </c>
    </row>
    <row r="1722" spans="3:16">
      <c r="C1722">
        <v>3</v>
      </c>
      <c r="D1722">
        <v>2</v>
      </c>
      <c r="F1722" t="s">
        <v>11724</v>
      </c>
      <c r="H1722" t="s">
        <v>11722</v>
      </c>
      <c r="I1722" t="s">
        <v>14378</v>
      </c>
      <c r="K1722" t="s">
        <v>14379</v>
      </c>
      <c r="L1722" t="s">
        <v>10854</v>
      </c>
      <c r="M1722">
        <v>576</v>
      </c>
      <c r="N1722">
        <v>145.91999999999999</v>
      </c>
      <c r="O1722">
        <v>164.15</v>
      </c>
      <c r="P1722">
        <v>94550.399999999994</v>
      </c>
    </row>
    <row r="1723" spans="3:16">
      <c r="C1723">
        <v>3</v>
      </c>
      <c r="D1723">
        <v>2</v>
      </c>
      <c r="F1723" t="s">
        <v>11724</v>
      </c>
      <c r="H1723" t="s">
        <v>11722</v>
      </c>
      <c r="I1723" t="s">
        <v>14380</v>
      </c>
      <c r="K1723" t="s">
        <v>14381</v>
      </c>
      <c r="L1723" t="s">
        <v>1270</v>
      </c>
      <c r="M1723">
        <v>320</v>
      </c>
      <c r="N1723">
        <v>0.47</v>
      </c>
      <c r="O1723">
        <v>0.53</v>
      </c>
      <c r="P1723">
        <v>169.6</v>
      </c>
    </row>
    <row r="1724" spans="3:16">
      <c r="C1724">
        <v>3</v>
      </c>
      <c r="D1724">
        <v>2</v>
      </c>
      <c r="F1724" t="s">
        <v>11724</v>
      </c>
      <c r="H1724" t="s">
        <v>11722</v>
      </c>
      <c r="I1724" t="s">
        <v>14382</v>
      </c>
      <c r="K1724" t="s">
        <v>14383</v>
      </c>
      <c r="L1724" t="s">
        <v>1270</v>
      </c>
      <c r="M1724">
        <v>64</v>
      </c>
      <c r="N1724">
        <v>0.47</v>
      </c>
      <c r="O1724">
        <v>0.53</v>
      </c>
      <c r="P1724">
        <v>33.92</v>
      </c>
    </row>
    <row r="1725" spans="3:16">
      <c r="C1725">
        <v>3</v>
      </c>
      <c r="D1725">
        <v>2</v>
      </c>
      <c r="F1725" t="s">
        <v>11724</v>
      </c>
      <c r="H1725" t="s">
        <v>11722</v>
      </c>
      <c r="I1725" t="s">
        <v>14384</v>
      </c>
      <c r="K1725" t="s">
        <v>14385</v>
      </c>
      <c r="L1725" t="s">
        <v>1270</v>
      </c>
      <c r="M1725">
        <v>2560</v>
      </c>
      <c r="N1725">
        <v>0.47</v>
      </c>
      <c r="O1725">
        <v>0.53</v>
      </c>
      <c r="P1725">
        <v>1356.8</v>
      </c>
    </row>
    <row r="1726" spans="3:16">
      <c r="C1726">
        <v>3</v>
      </c>
      <c r="D1726">
        <v>2</v>
      </c>
      <c r="F1726" t="s">
        <v>11724</v>
      </c>
      <c r="H1726" t="s">
        <v>11722</v>
      </c>
      <c r="I1726" t="s">
        <v>14386</v>
      </c>
      <c r="K1726" t="s">
        <v>14387</v>
      </c>
      <c r="L1726" t="s">
        <v>1270</v>
      </c>
      <c r="M1726">
        <v>512</v>
      </c>
      <c r="N1726">
        <v>0.47</v>
      </c>
      <c r="O1726">
        <v>0.53</v>
      </c>
      <c r="P1726">
        <v>271.36</v>
      </c>
    </row>
    <row r="1727" spans="3:16">
      <c r="C1727">
        <v>3</v>
      </c>
      <c r="D1727">
        <v>2</v>
      </c>
      <c r="F1727" t="s">
        <v>11724</v>
      </c>
      <c r="K1727" t="s">
        <v>14475</v>
      </c>
    </row>
    <row r="1728" spans="3:16">
      <c r="C1728">
        <v>3</v>
      </c>
      <c r="D1728">
        <v>2</v>
      </c>
      <c r="F1728" t="s">
        <v>11724</v>
      </c>
      <c r="H1728" t="s">
        <v>11722</v>
      </c>
      <c r="I1728" t="s">
        <v>14388</v>
      </c>
      <c r="K1728" t="s">
        <v>14389</v>
      </c>
      <c r="L1728" t="s">
        <v>10854</v>
      </c>
      <c r="M1728">
        <v>48</v>
      </c>
      <c r="N1728">
        <v>6.68</v>
      </c>
      <c r="O1728">
        <v>7.51</v>
      </c>
      <c r="P1728">
        <v>360.48</v>
      </c>
    </row>
    <row r="1729" spans="3:16">
      <c r="C1729">
        <v>3</v>
      </c>
      <c r="D1729">
        <v>2</v>
      </c>
      <c r="F1729" t="s">
        <v>11724</v>
      </c>
      <c r="H1729" t="s">
        <v>11722</v>
      </c>
      <c r="I1729" t="s">
        <v>14390</v>
      </c>
      <c r="K1729" t="s">
        <v>14391</v>
      </c>
      <c r="L1729" t="s">
        <v>1270</v>
      </c>
      <c r="M1729">
        <v>24</v>
      </c>
      <c r="N1729">
        <v>71.5</v>
      </c>
      <c r="O1729">
        <v>80.430000000000007</v>
      </c>
      <c r="P1729">
        <v>1930.32</v>
      </c>
    </row>
    <row r="1730" spans="3:16">
      <c r="C1730">
        <v>3</v>
      </c>
      <c r="D1730">
        <v>2</v>
      </c>
      <c r="F1730" t="s">
        <v>11724</v>
      </c>
      <c r="H1730" t="s">
        <v>11722</v>
      </c>
      <c r="I1730" t="s">
        <v>14392</v>
      </c>
      <c r="K1730" t="s">
        <v>14393</v>
      </c>
      <c r="L1730" t="s">
        <v>10854</v>
      </c>
      <c r="M1730">
        <v>48</v>
      </c>
      <c r="N1730">
        <v>145.91999999999999</v>
      </c>
      <c r="O1730">
        <v>164.15</v>
      </c>
      <c r="P1730">
        <v>7879.2</v>
      </c>
    </row>
    <row r="1731" spans="3:16">
      <c r="C1731">
        <v>3</v>
      </c>
      <c r="D1731">
        <v>2</v>
      </c>
      <c r="F1731" t="s">
        <v>11724</v>
      </c>
      <c r="H1731" t="s">
        <v>11722</v>
      </c>
      <c r="I1731" t="s">
        <v>14394</v>
      </c>
      <c r="K1731" t="s">
        <v>14395</v>
      </c>
      <c r="L1731" t="s">
        <v>1270</v>
      </c>
      <c r="M1731">
        <v>1548</v>
      </c>
      <c r="N1731">
        <v>1.83</v>
      </c>
      <c r="O1731">
        <v>2.06</v>
      </c>
      <c r="P1731">
        <v>3188.88</v>
      </c>
    </row>
    <row r="1732" spans="3:16">
      <c r="C1732">
        <v>3</v>
      </c>
      <c r="D1732">
        <v>2</v>
      </c>
      <c r="F1732" t="s">
        <v>11724</v>
      </c>
      <c r="H1732" t="s">
        <v>11722</v>
      </c>
      <c r="I1732" t="s">
        <v>14396</v>
      </c>
      <c r="K1732" t="s">
        <v>14397</v>
      </c>
      <c r="L1732" t="s">
        <v>1270</v>
      </c>
      <c r="M1732">
        <v>1548</v>
      </c>
      <c r="N1732">
        <v>0.5</v>
      </c>
      <c r="O1732">
        <v>0.56000000000000005</v>
      </c>
      <c r="P1732">
        <v>866.88</v>
      </c>
    </row>
    <row r="1733" spans="3:16">
      <c r="C1733">
        <v>3</v>
      </c>
      <c r="D1733">
        <v>2</v>
      </c>
      <c r="F1733" t="s">
        <v>11724</v>
      </c>
      <c r="H1733" t="s">
        <v>11722</v>
      </c>
      <c r="I1733" t="s">
        <v>14398</v>
      </c>
      <c r="K1733" t="s">
        <v>14399</v>
      </c>
      <c r="L1733" t="s">
        <v>10854</v>
      </c>
      <c r="M1733">
        <v>216</v>
      </c>
      <c r="N1733">
        <v>6.68</v>
      </c>
      <c r="O1733">
        <v>7.51</v>
      </c>
      <c r="P1733">
        <v>1622.16</v>
      </c>
    </row>
    <row r="1734" spans="3:16">
      <c r="C1734">
        <v>3</v>
      </c>
      <c r="D1734">
        <v>2</v>
      </c>
      <c r="F1734" t="s">
        <v>11724</v>
      </c>
      <c r="H1734" t="s">
        <v>11722</v>
      </c>
      <c r="I1734" t="s">
        <v>14400</v>
      </c>
      <c r="K1734" t="s">
        <v>14401</v>
      </c>
      <c r="L1734" t="s">
        <v>1270</v>
      </c>
      <c r="M1734">
        <v>216</v>
      </c>
      <c r="N1734">
        <v>71.5</v>
      </c>
      <c r="O1734">
        <v>80.430000000000007</v>
      </c>
      <c r="P1734">
        <v>17372.88</v>
      </c>
    </row>
    <row r="1735" spans="3:16">
      <c r="C1735">
        <v>3</v>
      </c>
      <c r="D1735">
        <v>2</v>
      </c>
      <c r="F1735" t="s">
        <v>11724</v>
      </c>
      <c r="H1735" t="s">
        <v>11722</v>
      </c>
      <c r="I1735" t="s">
        <v>14402</v>
      </c>
      <c r="K1735" t="s">
        <v>14403</v>
      </c>
      <c r="L1735" t="s">
        <v>10854</v>
      </c>
      <c r="M1735">
        <v>216</v>
      </c>
      <c r="N1735">
        <v>145.91999999999999</v>
      </c>
      <c r="O1735">
        <v>164.15</v>
      </c>
      <c r="P1735">
        <v>35456.400000000001</v>
      </c>
    </row>
    <row r="1736" spans="3:16">
      <c r="C1736">
        <v>3</v>
      </c>
      <c r="D1736">
        <v>2</v>
      </c>
      <c r="F1736" t="s">
        <v>11724</v>
      </c>
      <c r="H1736" t="s">
        <v>11722</v>
      </c>
      <c r="I1736" t="s">
        <v>14404</v>
      </c>
      <c r="K1736" t="s">
        <v>14405</v>
      </c>
      <c r="L1736" t="s">
        <v>10854</v>
      </c>
      <c r="M1736">
        <v>24</v>
      </c>
      <c r="N1736">
        <v>1243</v>
      </c>
      <c r="O1736">
        <v>1398.25</v>
      </c>
      <c r="P1736">
        <v>33558</v>
      </c>
    </row>
    <row r="1737" spans="3:16">
      <c r="C1737">
        <v>3</v>
      </c>
      <c r="D1737">
        <v>2</v>
      </c>
      <c r="F1737" t="s">
        <v>11724</v>
      </c>
      <c r="H1737" t="s">
        <v>11722</v>
      </c>
      <c r="I1737" t="s">
        <v>14406</v>
      </c>
      <c r="K1737" t="s">
        <v>14407</v>
      </c>
      <c r="L1737" t="s">
        <v>10854</v>
      </c>
      <c r="M1737">
        <v>24</v>
      </c>
      <c r="N1737">
        <v>71.5</v>
      </c>
      <c r="O1737">
        <v>80.430000000000007</v>
      </c>
      <c r="P1737">
        <v>1930.32</v>
      </c>
    </row>
    <row r="1738" spans="3:16">
      <c r="C1738">
        <v>3</v>
      </c>
      <c r="D1738">
        <v>2</v>
      </c>
      <c r="F1738" t="s">
        <v>11724</v>
      </c>
      <c r="H1738" t="s">
        <v>11722</v>
      </c>
      <c r="I1738" t="s">
        <v>14408</v>
      </c>
      <c r="K1738" t="s">
        <v>14409</v>
      </c>
      <c r="L1738" t="s">
        <v>10854</v>
      </c>
      <c r="M1738">
        <v>36</v>
      </c>
      <c r="N1738">
        <v>647.9</v>
      </c>
      <c r="O1738">
        <v>728.82</v>
      </c>
      <c r="P1738">
        <v>26237.52</v>
      </c>
    </row>
    <row r="1739" spans="3:16">
      <c r="C1739">
        <v>3</v>
      </c>
      <c r="D1739">
        <v>2</v>
      </c>
      <c r="F1739" t="s">
        <v>11724</v>
      </c>
      <c r="H1739" t="s">
        <v>11722</v>
      </c>
      <c r="I1739" t="s">
        <v>14410</v>
      </c>
      <c r="K1739" t="s">
        <v>14411</v>
      </c>
      <c r="L1739" t="s">
        <v>10854</v>
      </c>
      <c r="M1739">
        <v>36</v>
      </c>
      <c r="N1739">
        <v>6.68</v>
      </c>
      <c r="O1739">
        <v>7.51</v>
      </c>
      <c r="P1739">
        <v>270.36</v>
      </c>
    </row>
    <row r="1740" spans="3:16">
      <c r="C1740">
        <v>3</v>
      </c>
      <c r="D1740">
        <v>2</v>
      </c>
      <c r="F1740" t="s">
        <v>11724</v>
      </c>
      <c r="H1740" t="s">
        <v>11722</v>
      </c>
      <c r="I1740" t="s">
        <v>14412</v>
      </c>
      <c r="K1740" t="s">
        <v>14413</v>
      </c>
      <c r="L1740" t="s">
        <v>10854</v>
      </c>
      <c r="M1740">
        <v>36</v>
      </c>
      <c r="N1740">
        <v>41.8</v>
      </c>
      <c r="O1740">
        <v>47.02</v>
      </c>
      <c r="P1740">
        <v>1692.72</v>
      </c>
    </row>
    <row r="1741" spans="3:16">
      <c r="C1741">
        <v>3</v>
      </c>
      <c r="D1741">
        <v>2</v>
      </c>
      <c r="F1741" t="s">
        <v>11724</v>
      </c>
      <c r="H1741" t="s">
        <v>11722</v>
      </c>
      <c r="I1741" t="s">
        <v>14414</v>
      </c>
      <c r="K1741" t="s">
        <v>14415</v>
      </c>
      <c r="L1741" t="s">
        <v>10854</v>
      </c>
      <c r="M1741">
        <v>36</v>
      </c>
      <c r="N1741">
        <v>145.91999999999999</v>
      </c>
      <c r="O1741">
        <v>164.15</v>
      </c>
      <c r="P1741">
        <v>5909.4</v>
      </c>
    </row>
    <row r="1742" spans="3:16">
      <c r="C1742">
        <v>3</v>
      </c>
      <c r="D1742">
        <v>2</v>
      </c>
      <c r="F1742" t="s">
        <v>11724</v>
      </c>
      <c r="H1742" t="s">
        <v>11722</v>
      </c>
      <c r="I1742" t="s">
        <v>14416</v>
      </c>
      <c r="K1742" t="s">
        <v>14417</v>
      </c>
      <c r="L1742" t="s">
        <v>10854</v>
      </c>
      <c r="M1742">
        <v>96</v>
      </c>
      <c r="N1742">
        <v>6.68</v>
      </c>
      <c r="O1742">
        <v>7.51</v>
      </c>
      <c r="P1742">
        <v>720.96</v>
      </c>
    </row>
    <row r="1743" spans="3:16">
      <c r="C1743">
        <v>3</v>
      </c>
      <c r="D1743">
        <v>2</v>
      </c>
      <c r="F1743" t="s">
        <v>11724</v>
      </c>
      <c r="H1743" t="s">
        <v>11722</v>
      </c>
      <c r="I1743" t="s">
        <v>14418</v>
      </c>
      <c r="K1743" t="s">
        <v>14419</v>
      </c>
      <c r="L1743" t="s">
        <v>1270</v>
      </c>
      <c r="M1743">
        <v>48</v>
      </c>
      <c r="N1743">
        <v>71.5</v>
      </c>
      <c r="O1743">
        <v>80.430000000000007</v>
      </c>
      <c r="P1743">
        <v>3860.64</v>
      </c>
    </row>
    <row r="1744" spans="3:16">
      <c r="C1744">
        <v>3</v>
      </c>
      <c r="D1744">
        <v>2</v>
      </c>
      <c r="F1744" t="s">
        <v>11724</v>
      </c>
      <c r="H1744" t="s">
        <v>11722</v>
      </c>
      <c r="I1744" t="s">
        <v>14420</v>
      </c>
      <c r="K1744" t="s">
        <v>14421</v>
      </c>
      <c r="L1744" t="s">
        <v>10854</v>
      </c>
      <c r="M1744">
        <v>96</v>
      </c>
      <c r="N1744">
        <v>145.91999999999999</v>
      </c>
      <c r="O1744">
        <v>164.15</v>
      </c>
      <c r="P1744">
        <v>15758.4</v>
      </c>
    </row>
    <row r="1745" spans="2:16">
      <c r="C1745">
        <v>3</v>
      </c>
      <c r="D1745">
        <v>2</v>
      </c>
      <c r="F1745" t="s">
        <v>11724</v>
      </c>
      <c r="H1745" t="s">
        <v>11722</v>
      </c>
      <c r="I1745" t="s">
        <v>14422</v>
      </c>
      <c r="K1745" t="s">
        <v>14423</v>
      </c>
      <c r="L1745" t="s">
        <v>10854</v>
      </c>
      <c r="M1745">
        <v>48</v>
      </c>
      <c r="N1745">
        <v>1243</v>
      </c>
      <c r="O1745">
        <v>1398.25</v>
      </c>
      <c r="P1745">
        <v>67116</v>
      </c>
    </row>
    <row r="1746" spans="2:16">
      <c r="C1746">
        <v>3</v>
      </c>
      <c r="D1746">
        <v>2</v>
      </c>
      <c r="F1746" t="s">
        <v>11724</v>
      </c>
      <c r="H1746" t="s">
        <v>11722</v>
      </c>
      <c r="I1746" t="s">
        <v>14424</v>
      </c>
      <c r="K1746" t="s">
        <v>14425</v>
      </c>
      <c r="L1746" t="s">
        <v>10854</v>
      </c>
      <c r="M1746">
        <v>48</v>
      </c>
      <c r="N1746">
        <v>71.5</v>
      </c>
      <c r="O1746">
        <v>80.430000000000007</v>
      </c>
      <c r="P1746">
        <v>3860.64</v>
      </c>
    </row>
    <row r="1747" spans="2:16">
      <c r="C1747">
        <v>3</v>
      </c>
      <c r="D1747">
        <v>2</v>
      </c>
      <c r="F1747" t="s">
        <v>11724</v>
      </c>
      <c r="K1747" t="s">
        <v>14528</v>
      </c>
    </row>
    <row r="1748" spans="2:16">
      <c r="C1748">
        <v>3</v>
      </c>
      <c r="D1748">
        <v>2</v>
      </c>
      <c r="F1748" t="s">
        <v>11724</v>
      </c>
      <c r="H1748" t="s">
        <v>11722</v>
      </c>
      <c r="I1748" t="s">
        <v>14510</v>
      </c>
      <c r="K1748" t="s">
        <v>14519</v>
      </c>
      <c r="L1748" t="s">
        <v>10854</v>
      </c>
      <c r="M1748">
        <v>16</v>
      </c>
      <c r="N1748">
        <v>308</v>
      </c>
      <c r="O1748">
        <v>346.47</v>
      </c>
      <c r="P1748">
        <v>5543.52</v>
      </c>
    </row>
    <row r="1749" spans="2:16">
      <c r="C1749">
        <v>3</v>
      </c>
      <c r="D1749">
        <v>2</v>
      </c>
      <c r="F1749" t="s">
        <v>11724</v>
      </c>
      <c r="H1749" t="s">
        <v>11722</v>
      </c>
      <c r="I1749" t="s">
        <v>14511</v>
      </c>
      <c r="K1749" t="s">
        <v>14520</v>
      </c>
      <c r="L1749" t="s">
        <v>10854</v>
      </c>
      <c r="M1749">
        <v>64</v>
      </c>
      <c r="N1749">
        <v>215.2</v>
      </c>
      <c r="O1749">
        <v>242.08</v>
      </c>
      <c r="P1749">
        <v>15493.12</v>
      </c>
    </row>
    <row r="1750" spans="2:16">
      <c r="C1750">
        <v>3</v>
      </c>
      <c r="D1750">
        <v>2</v>
      </c>
      <c r="F1750" t="s">
        <v>11724</v>
      </c>
      <c r="H1750" t="s">
        <v>11722</v>
      </c>
      <c r="I1750" t="s">
        <v>14512</v>
      </c>
      <c r="K1750" t="s">
        <v>14521</v>
      </c>
      <c r="L1750" t="s">
        <v>10854</v>
      </c>
      <c r="M1750">
        <v>48</v>
      </c>
      <c r="N1750">
        <v>148.80000000000001</v>
      </c>
      <c r="O1750">
        <v>167.39</v>
      </c>
      <c r="P1750">
        <v>8034.72</v>
      </c>
    </row>
    <row r="1751" spans="2:16">
      <c r="C1751">
        <v>3</v>
      </c>
      <c r="D1751">
        <v>2</v>
      </c>
      <c r="F1751" t="s">
        <v>11724</v>
      </c>
      <c r="H1751" t="s">
        <v>11722</v>
      </c>
      <c r="I1751" t="s">
        <v>14513</v>
      </c>
      <c r="K1751" t="s">
        <v>14522</v>
      </c>
      <c r="L1751" t="s">
        <v>10854</v>
      </c>
      <c r="M1751">
        <v>384</v>
      </c>
      <c r="N1751">
        <v>294</v>
      </c>
      <c r="O1751">
        <v>330.72</v>
      </c>
      <c r="P1751">
        <v>126996.48</v>
      </c>
    </row>
    <row r="1752" spans="2:16">
      <c r="C1752">
        <v>3</v>
      </c>
      <c r="D1752">
        <v>2</v>
      </c>
      <c r="F1752" t="s">
        <v>11724</v>
      </c>
      <c r="H1752" t="s">
        <v>11722</v>
      </c>
      <c r="I1752" t="s">
        <v>14514</v>
      </c>
      <c r="K1752" t="s">
        <v>14523</v>
      </c>
      <c r="L1752" t="s">
        <v>10854</v>
      </c>
      <c r="M1752">
        <v>4</v>
      </c>
      <c r="N1752">
        <v>285</v>
      </c>
      <c r="O1752">
        <v>320.60000000000002</v>
      </c>
      <c r="P1752">
        <v>1282.4000000000001</v>
      </c>
    </row>
    <row r="1753" spans="2:16">
      <c r="C1753">
        <v>3</v>
      </c>
      <c r="D1753">
        <v>2</v>
      </c>
      <c r="F1753" t="s">
        <v>11724</v>
      </c>
      <c r="H1753" t="s">
        <v>11722</v>
      </c>
      <c r="I1753" t="s">
        <v>14515</v>
      </c>
      <c r="K1753" t="s">
        <v>14524</v>
      </c>
      <c r="L1753" t="s">
        <v>10854</v>
      </c>
      <c r="M1753">
        <v>24</v>
      </c>
      <c r="N1753">
        <v>369</v>
      </c>
      <c r="O1753">
        <v>415.09</v>
      </c>
      <c r="P1753">
        <v>9962.16</v>
      </c>
    </row>
    <row r="1754" spans="2:16">
      <c r="C1754">
        <v>3</v>
      </c>
      <c r="D1754">
        <v>2</v>
      </c>
      <c r="F1754" t="s">
        <v>11724</v>
      </c>
      <c r="H1754" t="s">
        <v>11722</v>
      </c>
      <c r="I1754" t="s">
        <v>14516</v>
      </c>
      <c r="K1754" t="s">
        <v>14525</v>
      </c>
      <c r="L1754" t="s">
        <v>10854</v>
      </c>
      <c r="M1754">
        <v>8</v>
      </c>
      <c r="N1754">
        <v>116.25</v>
      </c>
      <c r="O1754">
        <v>130.77000000000001</v>
      </c>
      <c r="P1754">
        <v>1046.1600000000001</v>
      </c>
    </row>
    <row r="1755" spans="2:16">
      <c r="C1755">
        <v>3</v>
      </c>
      <c r="D1755">
        <v>2</v>
      </c>
      <c r="F1755" t="s">
        <v>11724</v>
      </c>
      <c r="H1755" t="s">
        <v>11722</v>
      </c>
      <c r="I1755" t="s">
        <v>14517</v>
      </c>
      <c r="K1755" t="s">
        <v>14526</v>
      </c>
      <c r="L1755" t="s">
        <v>10854</v>
      </c>
      <c r="M1755">
        <v>4</v>
      </c>
      <c r="N1755">
        <v>420</v>
      </c>
      <c r="O1755">
        <v>472.46</v>
      </c>
      <c r="P1755">
        <v>1889.84</v>
      </c>
    </row>
    <row r="1756" spans="2:16">
      <c r="C1756">
        <v>3</v>
      </c>
      <c r="D1756">
        <v>2</v>
      </c>
      <c r="F1756" t="s">
        <v>11724</v>
      </c>
      <c r="H1756" t="s">
        <v>11722</v>
      </c>
      <c r="I1756" t="s">
        <v>14518</v>
      </c>
      <c r="K1756" t="s">
        <v>14527</v>
      </c>
      <c r="L1756" t="s">
        <v>10854</v>
      </c>
      <c r="M1756">
        <v>24</v>
      </c>
      <c r="N1756">
        <v>191.7</v>
      </c>
      <c r="O1756">
        <v>215.64</v>
      </c>
      <c r="P1756">
        <v>5175.3599999999997</v>
      </c>
    </row>
    <row r="1757" spans="2:16">
      <c r="C1757">
        <v>3</v>
      </c>
      <c r="D1757">
        <v>2</v>
      </c>
      <c r="F1757" t="s">
        <v>11724</v>
      </c>
    </row>
    <row r="1758" spans="2:16">
      <c r="B1758">
        <v>1</v>
      </c>
      <c r="C1758">
        <v>3</v>
      </c>
      <c r="D1758">
        <v>3</v>
      </c>
      <c r="F1758" t="s">
        <v>11724</v>
      </c>
      <c r="H1758" t="s">
        <v>20895</v>
      </c>
      <c r="I1758" t="s">
        <v>13297</v>
      </c>
      <c r="L1758" t="s">
        <v>25</v>
      </c>
      <c r="M1758" t="s">
        <v>11704</v>
      </c>
      <c r="N1758" t="s">
        <v>11705</v>
      </c>
      <c r="O1758" t="s">
        <v>11706</v>
      </c>
      <c r="P1758">
        <v>185651.48</v>
      </c>
    </row>
    <row r="1759" spans="2:16">
      <c r="C1759">
        <v>3</v>
      </c>
      <c r="D1759">
        <v>3</v>
      </c>
      <c r="F1759" t="s">
        <v>11724</v>
      </c>
    </row>
    <row r="1760" spans="2:16">
      <c r="C1760">
        <v>3</v>
      </c>
      <c r="D1760">
        <v>3</v>
      </c>
      <c r="F1760" t="s">
        <v>11724</v>
      </c>
      <c r="H1760" t="s">
        <v>70</v>
      </c>
      <c r="I1760">
        <v>51</v>
      </c>
      <c r="K1760" t="s">
        <v>1589</v>
      </c>
      <c r="L1760" t="s">
        <v>1270</v>
      </c>
      <c r="M1760">
        <v>40</v>
      </c>
      <c r="N1760">
        <v>61.7</v>
      </c>
      <c r="O1760">
        <v>69.41</v>
      </c>
      <c r="P1760">
        <v>2776.4</v>
      </c>
    </row>
    <row r="1761" spans="3:16">
      <c r="C1761">
        <v>3</v>
      </c>
      <c r="D1761">
        <v>3</v>
      </c>
      <c r="F1761" t="s">
        <v>11724</v>
      </c>
      <c r="H1761" t="s">
        <v>70</v>
      </c>
      <c r="I1761">
        <v>1828</v>
      </c>
      <c r="K1761" t="s">
        <v>4627</v>
      </c>
      <c r="L1761" t="s">
        <v>1270</v>
      </c>
      <c r="M1761">
        <v>80</v>
      </c>
      <c r="N1761">
        <v>47.55</v>
      </c>
      <c r="O1761">
        <v>53.49</v>
      </c>
      <c r="P1761">
        <v>4279.2</v>
      </c>
    </row>
    <row r="1762" spans="3:16">
      <c r="C1762">
        <v>3</v>
      </c>
      <c r="D1762">
        <v>3</v>
      </c>
      <c r="F1762" t="s">
        <v>11724</v>
      </c>
      <c r="H1762" t="s">
        <v>70</v>
      </c>
      <c r="I1762">
        <v>47</v>
      </c>
      <c r="K1762" t="s">
        <v>1594</v>
      </c>
      <c r="L1762" t="s">
        <v>1270</v>
      </c>
      <c r="M1762">
        <v>80</v>
      </c>
      <c r="N1762">
        <v>32.47</v>
      </c>
      <c r="O1762">
        <v>36.53</v>
      </c>
      <c r="P1762">
        <v>2922.4</v>
      </c>
    </row>
    <row r="1763" spans="3:16">
      <c r="C1763">
        <v>3</v>
      </c>
      <c r="D1763">
        <v>3</v>
      </c>
      <c r="F1763" t="s">
        <v>11724</v>
      </c>
      <c r="H1763" t="s">
        <v>70</v>
      </c>
      <c r="I1763">
        <v>1970</v>
      </c>
      <c r="K1763" t="s">
        <v>4616</v>
      </c>
      <c r="L1763" t="s">
        <v>1270</v>
      </c>
      <c r="M1763">
        <v>40</v>
      </c>
      <c r="N1763">
        <v>34.1</v>
      </c>
      <c r="O1763">
        <v>38.36</v>
      </c>
      <c r="P1763">
        <v>1534.4</v>
      </c>
    </row>
    <row r="1764" spans="3:16">
      <c r="C1764">
        <v>3</v>
      </c>
      <c r="D1764">
        <v>3</v>
      </c>
      <c r="F1764" t="s">
        <v>11724</v>
      </c>
      <c r="H1764" t="s">
        <v>70</v>
      </c>
      <c r="I1764">
        <v>72295</v>
      </c>
      <c r="K1764" t="s">
        <v>699</v>
      </c>
      <c r="L1764" t="s">
        <v>1270</v>
      </c>
      <c r="M1764">
        <v>40</v>
      </c>
      <c r="N1764">
        <v>11.31</v>
      </c>
      <c r="O1764">
        <v>12.72</v>
      </c>
      <c r="P1764">
        <v>508.8</v>
      </c>
    </row>
    <row r="1765" spans="3:16">
      <c r="C1765">
        <v>3</v>
      </c>
      <c r="D1765">
        <v>3</v>
      </c>
      <c r="F1765" t="s">
        <v>11724</v>
      </c>
      <c r="H1765" t="s">
        <v>11722</v>
      </c>
      <c r="I1765" t="s">
        <v>13199</v>
      </c>
      <c r="K1765" t="s">
        <v>13200</v>
      </c>
      <c r="L1765" t="s">
        <v>1270</v>
      </c>
      <c r="M1765">
        <v>40</v>
      </c>
      <c r="N1765">
        <v>623.17999999999995</v>
      </c>
      <c r="O1765">
        <v>701.02</v>
      </c>
      <c r="P1765">
        <v>28040.799999999999</v>
      </c>
    </row>
    <row r="1766" spans="3:16">
      <c r="C1766">
        <v>3</v>
      </c>
      <c r="D1766">
        <v>3</v>
      </c>
      <c r="F1766" t="s">
        <v>11724</v>
      </c>
      <c r="H1766" t="s">
        <v>11722</v>
      </c>
      <c r="I1766" t="s">
        <v>13179</v>
      </c>
      <c r="K1766" t="s">
        <v>13180</v>
      </c>
      <c r="L1766" t="s">
        <v>1270</v>
      </c>
      <c r="M1766">
        <v>8</v>
      </c>
      <c r="N1766">
        <v>397.06</v>
      </c>
      <c r="O1766">
        <v>446.65</v>
      </c>
      <c r="P1766">
        <v>3573.2</v>
      </c>
    </row>
    <row r="1767" spans="3:16">
      <c r="C1767">
        <v>3</v>
      </c>
      <c r="D1767">
        <v>3</v>
      </c>
      <c r="F1767" t="s">
        <v>11724</v>
      </c>
      <c r="H1767" t="s">
        <v>11722</v>
      </c>
      <c r="I1767" t="s">
        <v>13189</v>
      </c>
      <c r="K1767" t="s">
        <v>13190</v>
      </c>
      <c r="L1767" t="s">
        <v>1270</v>
      </c>
      <c r="M1767">
        <v>4</v>
      </c>
      <c r="N1767">
        <v>133.75</v>
      </c>
      <c r="O1767">
        <v>150.46</v>
      </c>
      <c r="P1767">
        <v>601.84</v>
      </c>
    </row>
    <row r="1768" spans="3:16">
      <c r="C1768">
        <v>3</v>
      </c>
      <c r="D1768">
        <v>3</v>
      </c>
      <c r="F1768" t="s">
        <v>11724</v>
      </c>
      <c r="H1768" t="s">
        <v>11722</v>
      </c>
      <c r="I1768" t="s">
        <v>13203</v>
      </c>
      <c r="K1768" t="s">
        <v>13204</v>
      </c>
      <c r="L1768" t="s">
        <v>1270</v>
      </c>
      <c r="M1768">
        <v>3</v>
      </c>
      <c r="N1768">
        <v>623.17999999999995</v>
      </c>
      <c r="O1768">
        <v>701.02</v>
      </c>
      <c r="P1768">
        <v>2103.06</v>
      </c>
    </row>
    <row r="1769" spans="3:16">
      <c r="C1769">
        <v>3</v>
      </c>
      <c r="D1769">
        <v>3</v>
      </c>
      <c r="F1769" t="s">
        <v>11724</v>
      </c>
      <c r="H1769" t="s">
        <v>11722</v>
      </c>
      <c r="I1769" t="s">
        <v>13293</v>
      </c>
      <c r="K1769" t="s">
        <v>13295</v>
      </c>
      <c r="L1769" t="s">
        <v>1270</v>
      </c>
      <c r="M1769">
        <v>1</v>
      </c>
      <c r="N1769">
        <v>1265.99</v>
      </c>
      <c r="O1769">
        <v>1424.11</v>
      </c>
      <c r="P1769">
        <v>1424.11</v>
      </c>
    </row>
    <row r="1770" spans="3:16">
      <c r="C1770">
        <v>3</v>
      </c>
      <c r="D1770">
        <v>3</v>
      </c>
      <c r="F1770" t="s">
        <v>11724</v>
      </c>
      <c r="H1770" t="s">
        <v>11722</v>
      </c>
      <c r="I1770" t="s">
        <v>13193</v>
      </c>
      <c r="K1770" t="s">
        <v>13194</v>
      </c>
      <c r="L1770" t="s">
        <v>1270</v>
      </c>
      <c r="M1770">
        <v>2</v>
      </c>
      <c r="N1770">
        <v>397.06</v>
      </c>
      <c r="O1770">
        <v>446.65</v>
      </c>
      <c r="P1770">
        <v>893.3</v>
      </c>
    </row>
    <row r="1771" spans="3:16">
      <c r="C1771">
        <v>3</v>
      </c>
      <c r="D1771">
        <v>3</v>
      </c>
      <c r="F1771" t="s">
        <v>11724</v>
      </c>
      <c r="H1771" t="s">
        <v>11722</v>
      </c>
      <c r="I1771" t="s">
        <v>12881</v>
      </c>
      <c r="K1771" t="s">
        <v>12882</v>
      </c>
      <c r="L1771" t="s">
        <v>1270</v>
      </c>
      <c r="M1771">
        <v>4</v>
      </c>
      <c r="N1771">
        <v>113.03</v>
      </c>
      <c r="O1771">
        <v>127.15</v>
      </c>
      <c r="P1771">
        <v>508.6</v>
      </c>
    </row>
    <row r="1772" spans="3:16">
      <c r="C1772">
        <v>3</v>
      </c>
      <c r="D1772">
        <v>3</v>
      </c>
      <c r="F1772" t="s">
        <v>11724</v>
      </c>
      <c r="H1772" t="s">
        <v>11722</v>
      </c>
      <c r="I1772" t="s">
        <v>13231</v>
      </c>
      <c r="K1772" t="s">
        <v>13232</v>
      </c>
      <c r="L1772" t="s">
        <v>18</v>
      </c>
      <c r="M1772">
        <v>258.8</v>
      </c>
      <c r="N1772">
        <v>286.04000000000002</v>
      </c>
      <c r="O1772">
        <v>321.77</v>
      </c>
      <c r="P1772">
        <v>83274.080000000002</v>
      </c>
    </row>
    <row r="1773" spans="3:16">
      <c r="C1773">
        <v>3</v>
      </c>
      <c r="D1773">
        <v>3</v>
      </c>
      <c r="F1773" t="s">
        <v>11724</v>
      </c>
      <c r="H1773" t="s">
        <v>11722</v>
      </c>
      <c r="I1773" t="s">
        <v>13229</v>
      </c>
      <c r="K1773" t="s">
        <v>13230</v>
      </c>
      <c r="L1773" t="s">
        <v>1270</v>
      </c>
      <c r="M1773">
        <v>4</v>
      </c>
      <c r="N1773">
        <v>114.42</v>
      </c>
      <c r="O1773">
        <v>128.71</v>
      </c>
      <c r="P1773">
        <v>514.84</v>
      </c>
    </row>
    <row r="1774" spans="3:16">
      <c r="C1774">
        <v>3</v>
      </c>
      <c r="D1774">
        <v>3</v>
      </c>
      <c r="F1774" t="s">
        <v>11724</v>
      </c>
      <c r="H1774" t="s">
        <v>70</v>
      </c>
      <c r="I1774">
        <v>36365</v>
      </c>
      <c r="K1774" t="s">
        <v>19741</v>
      </c>
      <c r="L1774" t="s">
        <v>1270</v>
      </c>
      <c r="M1774">
        <v>674</v>
      </c>
      <c r="N1774">
        <v>14.8</v>
      </c>
      <c r="O1774">
        <v>16.649999999999999</v>
      </c>
      <c r="P1774">
        <v>11222.1</v>
      </c>
    </row>
    <row r="1775" spans="3:16">
      <c r="C1775">
        <v>3</v>
      </c>
      <c r="D1775">
        <v>3</v>
      </c>
      <c r="F1775" t="s">
        <v>11724</v>
      </c>
      <c r="H1775" t="s">
        <v>70</v>
      </c>
      <c r="I1775">
        <v>41930</v>
      </c>
      <c r="K1775" t="s">
        <v>19742</v>
      </c>
      <c r="L1775" t="s">
        <v>18</v>
      </c>
      <c r="M1775">
        <v>112.1</v>
      </c>
      <c r="N1775">
        <v>49.71</v>
      </c>
      <c r="O1775">
        <v>55.92</v>
      </c>
      <c r="P1775">
        <v>6268.63</v>
      </c>
    </row>
    <row r="1776" spans="3:16">
      <c r="C1776">
        <v>3</v>
      </c>
      <c r="D1776">
        <v>3</v>
      </c>
      <c r="F1776" t="s">
        <v>11724</v>
      </c>
      <c r="H1776" t="s">
        <v>70</v>
      </c>
      <c r="I1776">
        <v>36377</v>
      </c>
      <c r="K1776" t="s">
        <v>10442</v>
      </c>
      <c r="L1776" t="s">
        <v>18</v>
      </c>
      <c r="M1776">
        <v>21</v>
      </c>
      <c r="N1776">
        <v>38.97</v>
      </c>
      <c r="O1776">
        <v>43.84</v>
      </c>
      <c r="P1776">
        <v>920.64</v>
      </c>
    </row>
    <row r="1777" spans="2:16">
      <c r="C1777">
        <v>3</v>
      </c>
      <c r="D1777">
        <v>3</v>
      </c>
      <c r="F1777" t="s">
        <v>11724</v>
      </c>
      <c r="H1777" t="s">
        <v>11722</v>
      </c>
      <c r="I1777" t="s">
        <v>13108</v>
      </c>
      <c r="K1777" t="s">
        <v>13109</v>
      </c>
      <c r="L1777" t="s">
        <v>1270</v>
      </c>
      <c r="M1777">
        <v>6</v>
      </c>
      <c r="N1777">
        <v>1115</v>
      </c>
      <c r="O1777">
        <v>1254.26</v>
      </c>
      <c r="P1777">
        <v>7525.56</v>
      </c>
    </row>
    <row r="1778" spans="2:16">
      <c r="C1778">
        <v>3</v>
      </c>
      <c r="D1778">
        <v>3</v>
      </c>
      <c r="F1778" t="s">
        <v>11724</v>
      </c>
      <c r="H1778" t="s">
        <v>11722</v>
      </c>
      <c r="I1778" t="s">
        <v>13118</v>
      </c>
      <c r="K1778" t="s">
        <v>13119</v>
      </c>
      <c r="L1778" t="s">
        <v>1270</v>
      </c>
      <c r="M1778">
        <v>40</v>
      </c>
      <c r="N1778">
        <v>585</v>
      </c>
      <c r="O1778">
        <v>658.07</v>
      </c>
      <c r="P1778">
        <v>26322.799999999999</v>
      </c>
    </row>
    <row r="1779" spans="2:16">
      <c r="C1779">
        <v>3</v>
      </c>
      <c r="D1779">
        <v>3</v>
      </c>
      <c r="F1779" t="s">
        <v>11724</v>
      </c>
      <c r="H1779" t="s">
        <v>11722</v>
      </c>
      <c r="I1779" t="s">
        <v>12823</v>
      </c>
      <c r="K1779" t="s">
        <v>12822</v>
      </c>
      <c r="L1779" t="s">
        <v>1270</v>
      </c>
      <c r="M1779">
        <v>8</v>
      </c>
      <c r="N1779">
        <v>3.87</v>
      </c>
      <c r="O1779">
        <v>4.3499999999999996</v>
      </c>
      <c r="P1779">
        <v>34.799999999999997</v>
      </c>
    </row>
    <row r="1780" spans="2:16">
      <c r="C1780">
        <v>3</v>
      </c>
      <c r="D1780">
        <v>3</v>
      </c>
      <c r="F1780" t="s">
        <v>11724</v>
      </c>
      <c r="H1780" t="s">
        <v>11722</v>
      </c>
      <c r="I1780" t="s">
        <v>12905</v>
      </c>
      <c r="K1780" t="s">
        <v>12906</v>
      </c>
      <c r="L1780" t="s">
        <v>1270</v>
      </c>
      <c r="M1780">
        <v>64</v>
      </c>
      <c r="N1780">
        <v>5.58</v>
      </c>
      <c r="O1780">
        <v>6.28</v>
      </c>
      <c r="P1780">
        <v>401.92</v>
      </c>
    </row>
    <row r="1781" spans="2:16">
      <c r="C1781">
        <v>3</v>
      </c>
      <c r="D1781">
        <v>3</v>
      </c>
      <c r="F1781" t="s">
        <v>11724</v>
      </c>
    </row>
    <row r="1782" spans="2:16">
      <c r="B1782">
        <v>1</v>
      </c>
      <c r="C1782">
        <v>3</v>
      </c>
      <c r="D1782">
        <v>4</v>
      </c>
      <c r="F1782" t="s">
        <v>11724</v>
      </c>
      <c r="H1782" t="s">
        <v>20896</v>
      </c>
      <c r="I1782" t="s">
        <v>11929</v>
      </c>
      <c r="L1782" t="s">
        <v>25</v>
      </c>
      <c r="M1782" t="s">
        <v>11704</v>
      </c>
      <c r="N1782" t="s">
        <v>11705</v>
      </c>
      <c r="O1782" t="s">
        <v>11706</v>
      </c>
      <c r="P1782">
        <v>55371.770000000011</v>
      </c>
    </row>
    <row r="1783" spans="2:16">
      <c r="C1783">
        <v>3</v>
      </c>
      <c r="D1783">
        <v>4</v>
      </c>
      <c r="F1783" t="s">
        <v>11724</v>
      </c>
    </row>
    <row r="1784" spans="2:16">
      <c r="C1784">
        <v>3</v>
      </c>
      <c r="D1784">
        <v>4</v>
      </c>
      <c r="F1784" t="s">
        <v>11724</v>
      </c>
      <c r="H1784" t="s">
        <v>11722</v>
      </c>
      <c r="I1784" t="s">
        <v>12855</v>
      </c>
      <c r="K1784" t="s">
        <v>12856</v>
      </c>
      <c r="L1784" t="s">
        <v>1270</v>
      </c>
      <c r="M1784">
        <v>2</v>
      </c>
      <c r="N1784">
        <v>5367</v>
      </c>
      <c r="O1784">
        <v>6037.34</v>
      </c>
      <c r="P1784">
        <v>12074.68</v>
      </c>
    </row>
    <row r="1785" spans="2:16">
      <c r="C1785">
        <v>3</v>
      </c>
      <c r="D1785">
        <v>4</v>
      </c>
      <c r="F1785" t="s">
        <v>11724</v>
      </c>
      <c r="H1785" t="s">
        <v>11722</v>
      </c>
      <c r="I1785" t="s">
        <v>12871</v>
      </c>
      <c r="K1785" t="s">
        <v>12872</v>
      </c>
      <c r="L1785" t="s">
        <v>1270</v>
      </c>
      <c r="M1785">
        <v>2</v>
      </c>
      <c r="N1785">
        <v>5334.45</v>
      </c>
      <c r="O1785">
        <v>6000.72</v>
      </c>
      <c r="P1785">
        <v>12001.44</v>
      </c>
    </row>
    <row r="1786" spans="2:16">
      <c r="C1786">
        <v>3</v>
      </c>
      <c r="D1786">
        <v>4</v>
      </c>
      <c r="F1786" t="s">
        <v>11724</v>
      </c>
      <c r="H1786" t="s">
        <v>11722</v>
      </c>
      <c r="I1786" t="s">
        <v>12869</v>
      </c>
      <c r="K1786" t="s">
        <v>12870</v>
      </c>
      <c r="L1786" t="s">
        <v>1270</v>
      </c>
      <c r="M1786">
        <v>4</v>
      </c>
      <c r="N1786">
        <v>2130.15</v>
      </c>
      <c r="O1786">
        <v>2396.21</v>
      </c>
      <c r="P1786">
        <v>9584.84</v>
      </c>
    </row>
    <row r="1787" spans="2:16">
      <c r="C1787">
        <v>3</v>
      </c>
      <c r="D1787">
        <v>4</v>
      </c>
      <c r="F1787" t="s">
        <v>11724</v>
      </c>
      <c r="H1787" t="s">
        <v>11722</v>
      </c>
      <c r="I1787" t="s">
        <v>13036</v>
      </c>
      <c r="K1787" t="s">
        <v>13037</v>
      </c>
      <c r="L1787" t="s">
        <v>1270</v>
      </c>
      <c r="M1787">
        <v>2</v>
      </c>
      <c r="N1787">
        <v>7830.99</v>
      </c>
      <c r="O1787">
        <v>8809.08</v>
      </c>
      <c r="P1787">
        <v>17618.16</v>
      </c>
    </row>
    <row r="1788" spans="2:16">
      <c r="C1788">
        <v>3</v>
      </c>
      <c r="D1788">
        <v>4</v>
      </c>
      <c r="F1788" t="s">
        <v>11724</v>
      </c>
      <c r="H1788" t="s">
        <v>11722</v>
      </c>
      <c r="I1788" t="s">
        <v>13227</v>
      </c>
      <c r="K1788" t="s">
        <v>13228</v>
      </c>
      <c r="L1788" t="s">
        <v>18</v>
      </c>
      <c r="M1788">
        <v>10.1</v>
      </c>
      <c r="N1788">
        <v>158.53</v>
      </c>
      <c r="O1788">
        <v>178.33</v>
      </c>
      <c r="P1788">
        <v>1801.13</v>
      </c>
    </row>
    <row r="1789" spans="2:16">
      <c r="C1789">
        <v>3</v>
      </c>
      <c r="D1789">
        <v>4</v>
      </c>
      <c r="F1789" t="s">
        <v>11724</v>
      </c>
      <c r="H1789" t="s">
        <v>11722</v>
      </c>
      <c r="I1789" t="s">
        <v>12815</v>
      </c>
      <c r="K1789" t="s">
        <v>12816</v>
      </c>
      <c r="L1789" t="s">
        <v>1270</v>
      </c>
      <c r="M1789">
        <v>4</v>
      </c>
      <c r="N1789">
        <v>20.07</v>
      </c>
      <c r="O1789">
        <v>22.58</v>
      </c>
      <c r="P1789">
        <v>90.32</v>
      </c>
    </row>
    <row r="1790" spans="2:16">
      <c r="C1790">
        <v>3</v>
      </c>
      <c r="D1790">
        <v>4</v>
      </c>
      <c r="F1790" t="s">
        <v>11724</v>
      </c>
      <c r="H1790" t="s">
        <v>11722</v>
      </c>
      <c r="I1790" t="s">
        <v>12817</v>
      </c>
      <c r="K1790" t="s">
        <v>12818</v>
      </c>
      <c r="L1790" t="s">
        <v>1270</v>
      </c>
      <c r="M1790">
        <v>2</v>
      </c>
      <c r="N1790">
        <v>147.11000000000001</v>
      </c>
      <c r="O1790">
        <v>165.48</v>
      </c>
      <c r="P1790">
        <v>330.96</v>
      </c>
    </row>
    <row r="1791" spans="2:16">
      <c r="C1791">
        <v>3</v>
      </c>
      <c r="D1791">
        <v>4</v>
      </c>
      <c r="F1791" t="s">
        <v>11724</v>
      </c>
      <c r="H1791" t="s">
        <v>11722</v>
      </c>
      <c r="I1791" t="s">
        <v>12907</v>
      </c>
      <c r="K1791" t="s">
        <v>12908</v>
      </c>
      <c r="L1791" t="s">
        <v>1270</v>
      </c>
      <c r="M1791">
        <v>64</v>
      </c>
      <c r="N1791">
        <v>12.63</v>
      </c>
      <c r="O1791">
        <v>14.21</v>
      </c>
      <c r="P1791">
        <v>909.44</v>
      </c>
    </row>
    <row r="1792" spans="2:16">
      <c r="C1792">
        <v>3</v>
      </c>
      <c r="D1792">
        <v>4</v>
      </c>
      <c r="F1792" t="s">
        <v>11724</v>
      </c>
      <c r="H1792" t="s">
        <v>11722</v>
      </c>
      <c r="I1792" t="s">
        <v>12909</v>
      </c>
      <c r="K1792" t="s">
        <v>12910</v>
      </c>
      <c r="L1792" t="s">
        <v>1270</v>
      </c>
      <c r="M1792">
        <v>40</v>
      </c>
      <c r="N1792">
        <v>21.35</v>
      </c>
      <c r="O1792">
        <v>24.02</v>
      </c>
      <c r="P1792">
        <v>960.8</v>
      </c>
    </row>
    <row r="1793" spans="2:16">
      <c r="C1793">
        <v>3</v>
      </c>
      <c r="D1793">
        <v>4</v>
      </c>
      <c r="F1793" t="s">
        <v>11724</v>
      </c>
    </row>
    <row r="1794" spans="2:16">
      <c r="B1794">
        <v>1</v>
      </c>
      <c r="C1794">
        <v>3</v>
      </c>
      <c r="D1794">
        <v>5</v>
      </c>
      <c r="F1794" t="s">
        <v>11724</v>
      </c>
      <c r="H1794" t="s">
        <v>20897</v>
      </c>
      <c r="I1794" t="s">
        <v>13298</v>
      </c>
      <c r="L1794" t="s">
        <v>25</v>
      </c>
      <c r="M1794" t="s">
        <v>11704</v>
      </c>
      <c r="N1794" t="s">
        <v>11705</v>
      </c>
      <c r="O1794" t="s">
        <v>11706</v>
      </c>
      <c r="P1794">
        <v>10568.869999999999</v>
      </c>
    </row>
    <row r="1795" spans="2:16">
      <c r="C1795">
        <v>3</v>
      </c>
      <c r="D1795">
        <v>5</v>
      </c>
      <c r="F1795" t="s">
        <v>11724</v>
      </c>
    </row>
    <row r="1796" spans="2:16">
      <c r="C1796">
        <v>3</v>
      </c>
      <c r="D1796">
        <v>5</v>
      </c>
      <c r="F1796" t="s">
        <v>11724</v>
      </c>
      <c r="H1796" t="s">
        <v>11722</v>
      </c>
      <c r="I1796" t="s">
        <v>13299</v>
      </c>
      <c r="K1796" t="s">
        <v>13301</v>
      </c>
      <c r="L1796" t="s">
        <v>1270</v>
      </c>
      <c r="M1796">
        <v>3</v>
      </c>
      <c r="N1796">
        <v>290.39999999999998</v>
      </c>
      <c r="O1796">
        <v>326.67</v>
      </c>
      <c r="P1796">
        <v>980.01</v>
      </c>
    </row>
    <row r="1797" spans="2:16">
      <c r="C1797">
        <v>3</v>
      </c>
      <c r="D1797">
        <v>5</v>
      </c>
      <c r="F1797" t="s">
        <v>11724</v>
      </c>
      <c r="H1797" t="s">
        <v>11722</v>
      </c>
      <c r="I1797" t="s">
        <v>13300</v>
      </c>
      <c r="K1797" t="s">
        <v>13302</v>
      </c>
      <c r="L1797" t="s">
        <v>1270</v>
      </c>
      <c r="M1797">
        <v>3</v>
      </c>
      <c r="N1797">
        <v>305.39</v>
      </c>
      <c r="O1797">
        <v>343.53</v>
      </c>
      <c r="P1797">
        <v>1030.5899999999999</v>
      </c>
    </row>
    <row r="1798" spans="2:16">
      <c r="C1798">
        <v>3</v>
      </c>
      <c r="D1798">
        <v>5</v>
      </c>
      <c r="F1798" t="s">
        <v>11724</v>
      </c>
      <c r="H1798" t="s">
        <v>11722</v>
      </c>
      <c r="I1798" t="s">
        <v>13024</v>
      </c>
      <c r="K1798" t="s">
        <v>13025</v>
      </c>
      <c r="L1798" t="s">
        <v>1270</v>
      </c>
      <c r="M1798">
        <v>3</v>
      </c>
      <c r="N1798">
        <v>700.71</v>
      </c>
      <c r="O1798">
        <v>788.23</v>
      </c>
      <c r="P1798">
        <v>2364.69</v>
      </c>
    </row>
    <row r="1799" spans="2:16">
      <c r="C1799">
        <v>3</v>
      </c>
      <c r="D1799">
        <v>5</v>
      </c>
      <c r="F1799" t="s">
        <v>11724</v>
      </c>
      <c r="H1799" t="s">
        <v>70</v>
      </c>
      <c r="I1799">
        <v>25880</v>
      </c>
      <c r="K1799" t="s">
        <v>11587</v>
      </c>
      <c r="L1799" t="s">
        <v>18</v>
      </c>
      <c r="M1799">
        <v>22</v>
      </c>
      <c r="N1799">
        <v>243.37</v>
      </c>
      <c r="O1799">
        <v>273.77</v>
      </c>
      <c r="P1799">
        <v>6022.94</v>
      </c>
    </row>
    <row r="1800" spans="2:16">
      <c r="C1800">
        <v>3</v>
      </c>
      <c r="D1800">
        <v>5</v>
      </c>
      <c r="F1800" t="s">
        <v>11724</v>
      </c>
      <c r="H1800" t="s">
        <v>11722</v>
      </c>
      <c r="I1800" t="s">
        <v>12813</v>
      </c>
      <c r="K1800" t="s">
        <v>12814</v>
      </c>
      <c r="L1800" t="s">
        <v>1270</v>
      </c>
      <c r="M1800">
        <v>3</v>
      </c>
      <c r="N1800">
        <v>5.9</v>
      </c>
      <c r="O1800">
        <v>6.64</v>
      </c>
      <c r="P1800">
        <v>19.920000000000002</v>
      </c>
    </row>
    <row r="1801" spans="2:16">
      <c r="C1801">
        <v>3</v>
      </c>
      <c r="D1801">
        <v>5</v>
      </c>
      <c r="F1801" t="s">
        <v>11724</v>
      </c>
      <c r="H1801" t="s">
        <v>11722</v>
      </c>
      <c r="I1801" t="s">
        <v>12919</v>
      </c>
      <c r="K1801" t="s">
        <v>12920</v>
      </c>
      <c r="L1801" t="s">
        <v>18</v>
      </c>
      <c r="M1801">
        <v>24</v>
      </c>
      <c r="N1801">
        <v>5.58</v>
      </c>
      <c r="O1801">
        <v>6.28</v>
      </c>
      <c r="P1801">
        <v>150.72</v>
      </c>
    </row>
    <row r="1802" spans="2:16">
      <c r="C1802">
        <v>3</v>
      </c>
      <c r="D1802">
        <v>5</v>
      </c>
      <c r="F1802" t="s">
        <v>11724</v>
      </c>
    </row>
    <row r="1803" spans="2:16">
      <c r="B1803">
        <v>1</v>
      </c>
      <c r="C1803">
        <v>3</v>
      </c>
      <c r="D1803">
        <v>6</v>
      </c>
      <c r="F1803" t="s">
        <v>11724</v>
      </c>
      <c r="H1803" t="s">
        <v>20898</v>
      </c>
      <c r="I1803" t="s">
        <v>13303</v>
      </c>
      <c r="L1803" t="s">
        <v>25</v>
      </c>
      <c r="M1803" t="s">
        <v>11704</v>
      </c>
      <c r="N1803" t="s">
        <v>11705</v>
      </c>
      <c r="O1803" t="s">
        <v>11706</v>
      </c>
      <c r="P1803">
        <v>122690.69999999998</v>
      </c>
    </row>
    <row r="1804" spans="2:16">
      <c r="C1804">
        <v>3</v>
      </c>
      <c r="D1804">
        <v>6</v>
      </c>
      <c r="F1804" t="s">
        <v>11724</v>
      </c>
    </row>
    <row r="1805" spans="2:16">
      <c r="C1805">
        <v>3</v>
      </c>
      <c r="D1805">
        <v>6</v>
      </c>
      <c r="F1805" t="s">
        <v>11724</v>
      </c>
      <c r="H1805" t="s">
        <v>11722</v>
      </c>
      <c r="I1805" t="s">
        <v>12788</v>
      </c>
      <c r="K1805" t="s">
        <v>12789</v>
      </c>
      <c r="L1805" t="s">
        <v>1270</v>
      </c>
      <c r="M1805">
        <v>1</v>
      </c>
      <c r="N1805">
        <v>43.64</v>
      </c>
      <c r="O1805">
        <v>49.09</v>
      </c>
      <c r="P1805">
        <v>49.09</v>
      </c>
    </row>
    <row r="1806" spans="2:16">
      <c r="C1806">
        <v>3</v>
      </c>
      <c r="D1806">
        <v>6</v>
      </c>
      <c r="F1806" t="s">
        <v>11724</v>
      </c>
      <c r="H1806" t="s">
        <v>11722</v>
      </c>
      <c r="I1806" t="s">
        <v>12807</v>
      </c>
      <c r="K1806" t="s">
        <v>12808</v>
      </c>
      <c r="L1806" t="s">
        <v>1270</v>
      </c>
      <c r="M1806">
        <v>14</v>
      </c>
      <c r="N1806">
        <v>64.5</v>
      </c>
      <c r="O1806">
        <v>72.56</v>
      </c>
      <c r="P1806">
        <v>1015.84</v>
      </c>
    </row>
    <row r="1807" spans="2:16">
      <c r="C1807">
        <v>3</v>
      </c>
      <c r="D1807">
        <v>6</v>
      </c>
      <c r="F1807" t="s">
        <v>11724</v>
      </c>
      <c r="H1807" t="s">
        <v>11722</v>
      </c>
      <c r="I1807" t="s">
        <v>13307</v>
      </c>
      <c r="K1807" t="s">
        <v>13322</v>
      </c>
      <c r="L1807" t="s">
        <v>11723</v>
      </c>
      <c r="M1807">
        <v>20</v>
      </c>
      <c r="N1807">
        <v>320</v>
      </c>
      <c r="O1807">
        <v>359.97</v>
      </c>
      <c r="P1807">
        <v>7199.4</v>
      </c>
    </row>
    <row r="1808" spans="2:16">
      <c r="C1808">
        <v>3</v>
      </c>
      <c r="D1808">
        <v>6</v>
      </c>
      <c r="F1808" t="s">
        <v>11724</v>
      </c>
      <c r="H1808" t="s">
        <v>11722</v>
      </c>
      <c r="I1808" t="s">
        <v>12794</v>
      </c>
      <c r="K1808" t="s">
        <v>12795</v>
      </c>
      <c r="L1808" t="s">
        <v>1270</v>
      </c>
      <c r="M1808">
        <v>1</v>
      </c>
      <c r="N1808">
        <v>112</v>
      </c>
      <c r="O1808">
        <v>125.99</v>
      </c>
      <c r="P1808">
        <v>125.99</v>
      </c>
    </row>
    <row r="1809" spans="2:16">
      <c r="C1809">
        <v>3</v>
      </c>
      <c r="D1809">
        <v>6</v>
      </c>
      <c r="F1809" t="s">
        <v>11724</v>
      </c>
      <c r="H1809" t="s">
        <v>11722</v>
      </c>
      <c r="I1809" t="s">
        <v>12784</v>
      </c>
      <c r="K1809" t="s">
        <v>12785</v>
      </c>
      <c r="L1809" t="s">
        <v>1270</v>
      </c>
      <c r="M1809">
        <v>13</v>
      </c>
      <c r="N1809">
        <v>103</v>
      </c>
      <c r="O1809">
        <v>115.86</v>
      </c>
      <c r="P1809">
        <v>1506.18</v>
      </c>
    </row>
    <row r="1810" spans="2:16">
      <c r="C1810">
        <v>3</v>
      </c>
      <c r="D1810">
        <v>6</v>
      </c>
      <c r="F1810" t="s">
        <v>11724</v>
      </c>
      <c r="H1810" t="s">
        <v>11722</v>
      </c>
      <c r="I1810" t="s">
        <v>12790</v>
      </c>
      <c r="K1810" t="s">
        <v>12791</v>
      </c>
      <c r="L1810" t="s">
        <v>18</v>
      </c>
      <c r="M1810">
        <v>61</v>
      </c>
      <c r="N1810">
        <v>123</v>
      </c>
      <c r="O1810">
        <v>138.36000000000001</v>
      </c>
      <c r="P1810">
        <v>8439.9599999999991</v>
      </c>
    </row>
    <row r="1811" spans="2:16">
      <c r="C1811">
        <v>3</v>
      </c>
      <c r="D1811">
        <v>6</v>
      </c>
      <c r="F1811" t="s">
        <v>11724</v>
      </c>
      <c r="H1811" t="s">
        <v>11722</v>
      </c>
      <c r="I1811" t="s">
        <v>12798</v>
      </c>
      <c r="K1811" t="s">
        <v>12799</v>
      </c>
      <c r="L1811" t="s">
        <v>18</v>
      </c>
      <c r="M1811">
        <v>1</v>
      </c>
      <c r="N1811">
        <v>112</v>
      </c>
      <c r="O1811">
        <v>125.99</v>
      </c>
      <c r="P1811">
        <v>125.99</v>
      </c>
    </row>
    <row r="1812" spans="2:16">
      <c r="C1812">
        <v>3</v>
      </c>
      <c r="D1812">
        <v>6</v>
      </c>
      <c r="F1812" t="s">
        <v>11724</v>
      </c>
      <c r="H1812" t="s">
        <v>11722</v>
      </c>
      <c r="I1812" t="s">
        <v>12803</v>
      </c>
      <c r="K1812" t="s">
        <v>12804</v>
      </c>
      <c r="L1812" t="s">
        <v>18</v>
      </c>
      <c r="M1812">
        <v>27</v>
      </c>
      <c r="N1812">
        <v>123</v>
      </c>
      <c r="O1812">
        <v>138.36000000000001</v>
      </c>
      <c r="P1812">
        <v>3735.72</v>
      </c>
    </row>
    <row r="1813" spans="2:16">
      <c r="C1813">
        <v>3</v>
      </c>
      <c r="D1813">
        <v>6</v>
      </c>
      <c r="F1813" t="s">
        <v>11724</v>
      </c>
      <c r="H1813" t="s">
        <v>70</v>
      </c>
      <c r="I1813">
        <v>7727</v>
      </c>
      <c r="K1813" t="s">
        <v>19748</v>
      </c>
      <c r="L1813" t="s">
        <v>18</v>
      </c>
      <c r="M1813">
        <v>2</v>
      </c>
      <c r="N1813">
        <v>1058.4000000000001</v>
      </c>
      <c r="O1813">
        <v>1190.5899999999999</v>
      </c>
      <c r="P1813">
        <v>2381.1799999999998</v>
      </c>
    </row>
    <row r="1814" spans="2:16">
      <c r="C1814">
        <v>3</v>
      </c>
      <c r="D1814">
        <v>6</v>
      </c>
      <c r="F1814" t="s">
        <v>11724</v>
      </c>
      <c r="H1814" t="s">
        <v>11722</v>
      </c>
      <c r="I1814" t="s">
        <v>12805</v>
      </c>
      <c r="K1814" t="s">
        <v>12806</v>
      </c>
      <c r="L1814" t="s">
        <v>1270</v>
      </c>
      <c r="M1814">
        <v>7</v>
      </c>
      <c r="N1814">
        <v>55</v>
      </c>
      <c r="O1814">
        <v>61.87</v>
      </c>
      <c r="P1814">
        <v>433.09</v>
      </c>
    </row>
    <row r="1815" spans="2:16">
      <c r="C1815">
        <v>3</v>
      </c>
      <c r="D1815">
        <v>6</v>
      </c>
      <c r="F1815" t="s">
        <v>11724</v>
      </c>
      <c r="H1815" t="s">
        <v>11722</v>
      </c>
      <c r="I1815" t="s">
        <v>12796</v>
      </c>
      <c r="K1815" t="s">
        <v>12797</v>
      </c>
      <c r="L1815" t="s">
        <v>10854</v>
      </c>
      <c r="M1815">
        <v>1</v>
      </c>
      <c r="N1815">
        <v>163.80000000000001</v>
      </c>
      <c r="O1815">
        <v>184.26</v>
      </c>
      <c r="P1815">
        <v>184.26</v>
      </c>
    </row>
    <row r="1816" spans="2:16">
      <c r="C1816">
        <v>3</v>
      </c>
      <c r="D1816">
        <v>6</v>
      </c>
      <c r="F1816" t="s">
        <v>11724</v>
      </c>
      <c r="H1816" t="s">
        <v>11722</v>
      </c>
      <c r="I1816" t="s">
        <v>12786</v>
      </c>
      <c r="K1816" t="s">
        <v>12787</v>
      </c>
      <c r="L1816" t="s">
        <v>1270</v>
      </c>
      <c r="M1816">
        <v>8</v>
      </c>
      <c r="N1816">
        <v>233.63</v>
      </c>
      <c r="O1816">
        <v>262.81</v>
      </c>
      <c r="P1816">
        <v>2102.48</v>
      </c>
    </row>
    <row r="1817" spans="2:16">
      <c r="C1817">
        <v>3</v>
      </c>
      <c r="D1817">
        <v>6</v>
      </c>
      <c r="F1817" t="s">
        <v>11724</v>
      </c>
      <c r="H1817" t="s">
        <v>11722</v>
      </c>
      <c r="I1817" t="s">
        <v>13305</v>
      </c>
      <c r="K1817" t="s">
        <v>13320</v>
      </c>
      <c r="L1817" t="s">
        <v>10854</v>
      </c>
      <c r="M1817">
        <v>4</v>
      </c>
      <c r="N1817">
        <v>12100</v>
      </c>
      <c r="O1817">
        <v>13611.29</v>
      </c>
      <c r="P1817">
        <v>54445.16</v>
      </c>
    </row>
    <row r="1818" spans="2:16">
      <c r="C1818">
        <v>3</v>
      </c>
      <c r="D1818">
        <v>6</v>
      </c>
      <c r="F1818" t="s">
        <v>11724</v>
      </c>
      <c r="H1818" t="s">
        <v>11722</v>
      </c>
      <c r="I1818" t="s">
        <v>13309</v>
      </c>
      <c r="K1818" t="s">
        <v>13323</v>
      </c>
      <c r="L1818" t="s">
        <v>1270</v>
      </c>
      <c r="M1818">
        <v>1</v>
      </c>
      <c r="N1818">
        <v>1100</v>
      </c>
      <c r="O1818">
        <v>1237.3900000000001</v>
      </c>
      <c r="P1818">
        <v>1237.3900000000001</v>
      </c>
    </row>
    <row r="1819" spans="2:16">
      <c r="C1819">
        <v>3</v>
      </c>
      <c r="D1819">
        <v>6</v>
      </c>
      <c r="F1819" t="s">
        <v>11724</v>
      </c>
      <c r="H1819" t="s">
        <v>11722</v>
      </c>
      <c r="I1819" t="s">
        <v>13304</v>
      </c>
      <c r="K1819" t="s">
        <v>13319</v>
      </c>
      <c r="L1819" t="s">
        <v>10854</v>
      </c>
      <c r="M1819">
        <v>16</v>
      </c>
      <c r="N1819">
        <v>1400</v>
      </c>
      <c r="O1819">
        <v>1574.86</v>
      </c>
      <c r="P1819">
        <v>25197.759999999998</v>
      </c>
    </row>
    <row r="1820" spans="2:16">
      <c r="C1820">
        <v>3</v>
      </c>
      <c r="D1820">
        <v>6</v>
      </c>
      <c r="F1820" t="s">
        <v>11724</v>
      </c>
      <c r="H1820" t="s">
        <v>11722</v>
      </c>
      <c r="I1820" t="s">
        <v>13315</v>
      </c>
      <c r="K1820" t="s">
        <v>13326</v>
      </c>
      <c r="L1820" t="s">
        <v>10854</v>
      </c>
      <c r="M1820">
        <v>1</v>
      </c>
      <c r="N1820">
        <v>12900</v>
      </c>
      <c r="O1820">
        <v>14511.21</v>
      </c>
      <c r="P1820">
        <v>14511.21</v>
      </c>
    </row>
    <row r="1821" spans="2:16">
      <c r="C1821">
        <v>3</v>
      </c>
      <c r="D1821">
        <v>6</v>
      </c>
      <c r="F1821" t="s">
        <v>11724</v>
      </c>
    </row>
    <row r="1822" spans="2:16">
      <c r="B1822">
        <v>1</v>
      </c>
      <c r="C1822">
        <v>3</v>
      </c>
      <c r="D1822">
        <v>7</v>
      </c>
      <c r="F1822" t="s">
        <v>11724</v>
      </c>
      <c r="H1822" t="s">
        <v>20899</v>
      </c>
      <c r="I1822" t="s">
        <v>13328</v>
      </c>
      <c r="L1822" t="s">
        <v>25</v>
      </c>
      <c r="M1822" t="s">
        <v>11704</v>
      </c>
      <c r="N1822" t="s">
        <v>11705</v>
      </c>
      <c r="O1822" t="s">
        <v>11706</v>
      </c>
      <c r="P1822">
        <v>45405.41</v>
      </c>
    </row>
    <row r="1823" spans="2:16">
      <c r="C1823">
        <v>3</v>
      </c>
      <c r="D1823">
        <v>7</v>
      </c>
      <c r="F1823" t="s">
        <v>11724</v>
      </c>
    </row>
    <row r="1824" spans="2:16">
      <c r="C1824">
        <v>3</v>
      </c>
      <c r="D1824">
        <v>7</v>
      </c>
      <c r="F1824" t="s">
        <v>11724</v>
      </c>
      <c r="H1824" t="s">
        <v>70</v>
      </c>
      <c r="I1824">
        <v>3481</v>
      </c>
      <c r="K1824" t="s">
        <v>6409</v>
      </c>
      <c r="L1824" t="s">
        <v>1270</v>
      </c>
      <c r="M1824">
        <v>10</v>
      </c>
      <c r="N1824">
        <v>8.81</v>
      </c>
      <c r="O1824">
        <v>9.91</v>
      </c>
      <c r="P1824">
        <v>99.1</v>
      </c>
    </row>
    <row r="1825" spans="3:16">
      <c r="C1825">
        <v>3</v>
      </c>
      <c r="D1825">
        <v>7</v>
      </c>
      <c r="F1825" t="s">
        <v>11724</v>
      </c>
      <c r="H1825" t="s">
        <v>70</v>
      </c>
      <c r="I1825">
        <v>3496</v>
      </c>
      <c r="K1825" t="s">
        <v>6393</v>
      </c>
      <c r="L1825" t="s">
        <v>1270</v>
      </c>
      <c r="M1825">
        <v>9</v>
      </c>
      <c r="N1825">
        <v>2.25</v>
      </c>
      <c r="O1825">
        <v>2.5299999999999998</v>
      </c>
      <c r="P1825">
        <v>22.77</v>
      </c>
    </row>
    <row r="1826" spans="3:16">
      <c r="C1826">
        <v>3</v>
      </c>
      <c r="D1826">
        <v>7</v>
      </c>
      <c r="F1826" t="s">
        <v>11724</v>
      </c>
      <c r="H1826" t="s">
        <v>70</v>
      </c>
      <c r="I1826">
        <v>3500</v>
      </c>
      <c r="K1826" t="s">
        <v>6456</v>
      </c>
      <c r="L1826" t="s">
        <v>1270</v>
      </c>
      <c r="M1826">
        <v>1</v>
      </c>
      <c r="N1826">
        <v>1.1100000000000001</v>
      </c>
      <c r="O1826">
        <v>1.25</v>
      </c>
      <c r="P1826">
        <v>1.25</v>
      </c>
    </row>
    <row r="1827" spans="3:16">
      <c r="C1827">
        <v>3</v>
      </c>
      <c r="D1827">
        <v>7</v>
      </c>
      <c r="F1827" t="s">
        <v>11724</v>
      </c>
      <c r="H1827" t="s">
        <v>70</v>
      </c>
      <c r="I1827">
        <v>3505</v>
      </c>
      <c r="K1827" t="s">
        <v>6418</v>
      </c>
      <c r="L1827" t="s">
        <v>1270</v>
      </c>
      <c r="M1827">
        <v>13</v>
      </c>
      <c r="N1827">
        <v>2.23</v>
      </c>
      <c r="O1827">
        <v>2.5099999999999998</v>
      </c>
      <c r="P1827">
        <v>32.630000000000003</v>
      </c>
    </row>
    <row r="1828" spans="3:16">
      <c r="C1828">
        <v>3</v>
      </c>
      <c r="D1828">
        <v>7</v>
      </c>
      <c r="F1828" t="s">
        <v>11724</v>
      </c>
      <c r="H1828" t="s">
        <v>70</v>
      </c>
      <c r="I1828">
        <v>3510</v>
      </c>
      <c r="K1828" t="s">
        <v>6410</v>
      </c>
      <c r="L1828" t="s">
        <v>1270</v>
      </c>
      <c r="M1828">
        <v>1</v>
      </c>
      <c r="N1828">
        <v>7.73</v>
      </c>
      <c r="O1828">
        <v>8.6999999999999993</v>
      </c>
      <c r="P1828">
        <v>8.6999999999999993</v>
      </c>
    </row>
    <row r="1829" spans="3:16">
      <c r="C1829">
        <v>3</v>
      </c>
      <c r="D1829">
        <v>7</v>
      </c>
      <c r="F1829" t="s">
        <v>11724</v>
      </c>
      <c r="H1829" t="s">
        <v>70</v>
      </c>
      <c r="I1829">
        <v>3543</v>
      </c>
      <c r="K1829" t="s">
        <v>6417</v>
      </c>
      <c r="L1829" t="s">
        <v>1270</v>
      </c>
      <c r="M1829">
        <v>1</v>
      </c>
      <c r="N1829">
        <v>1.55</v>
      </c>
      <c r="O1829">
        <v>1.74</v>
      </c>
      <c r="P1829">
        <v>1.74</v>
      </c>
    </row>
    <row r="1830" spans="3:16">
      <c r="C1830">
        <v>3</v>
      </c>
      <c r="D1830">
        <v>7</v>
      </c>
      <c r="F1830" t="s">
        <v>11724</v>
      </c>
      <c r="H1830" t="s">
        <v>70</v>
      </c>
      <c r="I1830">
        <v>6032</v>
      </c>
      <c r="K1830" t="s">
        <v>8645</v>
      </c>
      <c r="L1830" t="s">
        <v>10854</v>
      </c>
      <c r="M1830">
        <v>11</v>
      </c>
      <c r="N1830">
        <v>14.16</v>
      </c>
      <c r="O1830">
        <v>15.93</v>
      </c>
      <c r="P1830">
        <v>175.23</v>
      </c>
    </row>
    <row r="1831" spans="3:16">
      <c r="C1831">
        <v>3</v>
      </c>
      <c r="D1831">
        <v>7</v>
      </c>
      <c r="F1831" t="s">
        <v>11724</v>
      </c>
      <c r="H1831" t="s">
        <v>70</v>
      </c>
      <c r="I1831">
        <v>7139</v>
      </c>
      <c r="K1831" t="s">
        <v>9385</v>
      </c>
      <c r="L1831" t="s">
        <v>1270</v>
      </c>
      <c r="M1831">
        <v>1</v>
      </c>
      <c r="N1831">
        <v>1.05</v>
      </c>
      <c r="O1831">
        <v>1.18</v>
      </c>
      <c r="P1831">
        <v>1.18</v>
      </c>
    </row>
    <row r="1832" spans="3:16">
      <c r="C1832">
        <v>3</v>
      </c>
      <c r="D1832">
        <v>7</v>
      </c>
      <c r="F1832" t="s">
        <v>11724</v>
      </c>
      <c r="H1832" t="s">
        <v>70</v>
      </c>
      <c r="I1832">
        <v>9859</v>
      </c>
      <c r="K1832" t="s">
        <v>10457</v>
      </c>
      <c r="L1832" t="s">
        <v>1270</v>
      </c>
      <c r="M1832">
        <v>6</v>
      </c>
      <c r="N1832">
        <v>6.25</v>
      </c>
      <c r="O1832">
        <v>7.03</v>
      </c>
      <c r="P1832">
        <v>42.18</v>
      </c>
    </row>
    <row r="1833" spans="3:16">
      <c r="C1833">
        <v>3</v>
      </c>
      <c r="D1833">
        <v>7</v>
      </c>
      <c r="F1833" t="s">
        <v>11724</v>
      </c>
      <c r="H1833" t="s">
        <v>70</v>
      </c>
      <c r="I1833">
        <v>9859</v>
      </c>
      <c r="K1833" t="s">
        <v>10457</v>
      </c>
      <c r="L1833" t="s">
        <v>18</v>
      </c>
      <c r="M1833">
        <v>12</v>
      </c>
      <c r="N1833">
        <v>6.25</v>
      </c>
      <c r="O1833">
        <v>7.03</v>
      </c>
      <c r="P1833">
        <v>84.36</v>
      </c>
    </row>
    <row r="1834" spans="3:16">
      <c r="C1834">
        <v>3</v>
      </c>
      <c r="D1834">
        <v>7</v>
      </c>
      <c r="F1834" t="s">
        <v>11724</v>
      </c>
      <c r="H1834" t="s">
        <v>70</v>
      </c>
      <c r="I1834">
        <v>9861</v>
      </c>
      <c r="K1834" t="s">
        <v>10477</v>
      </c>
      <c r="L1834" t="s">
        <v>1270</v>
      </c>
      <c r="M1834">
        <v>1</v>
      </c>
      <c r="N1834">
        <v>16.25</v>
      </c>
      <c r="O1834">
        <v>18.28</v>
      </c>
      <c r="P1834">
        <v>18.28</v>
      </c>
    </row>
    <row r="1835" spans="3:16">
      <c r="C1835">
        <v>3</v>
      </c>
      <c r="D1835">
        <v>7</v>
      </c>
      <c r="F1835" t="s">
        <v>11724</v>
      </c>
      <c r="H1835" t="s">
        <v>70</v>
      </c>
      <c r="I1835">
        <v>9861</v>
      </c>
      <c r="K1835" t="s">
        <v>10477</v>
      </c>
      <c r="L1835" t="s">
        <v>18</v>
      </c>
      <c r="M1835">
        <v>2</v>
      </c>
      <c r="N1835">
        <v>16.25</v>
      </c>
      <c r="O1835">
        <v>18.28</v>
      </c>
      <c r="P1835">
        <v>36.56</v>
      </c>
    </row>
    <row r="1836" spans="3:16">
      <c r="C1836">
        <v>3</v>
      </c>
      <c r="D1836">
        <v>7</v>
      </c>
      <c r="F1836" t="s">
        <v>11724</v>
      </c>
      <c r="H1836" t="s">
        <v>70</v>
      </c>
      <c r="I1836">
        <v>9862</v>
      </c>
      <c r="K1836" t="s">
        <v>10476</v>
      </c>
      <c r="L1836" t="s">
        <v>1270</v>
      </c>
      <c r="M1836">
        <v>2</v>
      </c>
      <c r="N1836">
        <v>20.21</v>
      </c>
      <c r="O1836">
        <v>22.73</v>
      </c>
      <c r="P1836">
        <v>45.46</v>
      </c>
    </row>
    <row r="1837" spans="3:16">
      <c r="C1837">
        <v>3</v>
      </c>
      <c r="D1837">
        <v>7</v>
      </c>
      <c r="F1837" t="s">
        <v>11724</v>
      </c>
      <c r="H1837" t="s">
        <v>70</v>
      </c>
      <c r="I1837">
        <v>9862</v>
      </c>
      <c r="K1837" t="s">
        <v>10476</v>
      </c>
      <c r="L1837" t="s">
        <v>18</v>
      </c>
      <c r="M1837">
        <v>16</v>
      </c>
      <c r="N1837">
        <v>20.21</v>
      </c>
      <c r="O1837">
        <v>22.73</v>
      </c>
      <c r="P1837">
        <v>363.68</v>
      </c>
    </row>
    <row r="1838" spans="3:16">
      <c r="C1838">
        <v>3</v>
      </c>
      <c r="D1838">
        <v>7</v>
      </c>
      <c r="F1838" t="s">
        <v>11724</v>
      </c>
      <c r="H1838" t="s">
        <v>70</v>
      </c>
      <c r="I1838">
        <v>9868</v>
      </c>
      <c r="K1838" t="s">
        <v>10502</v>
      </c>
      <c r="L1838" t="s">
        <v>18</v>
      </c>
      <c r="M1838">
        <v>4</v>
      </c>
      <c r="N1838">
        <v>3.15</v>
      </c>
      <c r="O1838">
        <v>3.54</v>
      </c>
      <c r="P1838">
        <v>14.16</v>
      </c>
    </row>
    <row r="1839" spans="3:16">
      <c r="C1839">
        <v>3</v>
      </c>
      <c r="D1839">
        <v>7</v>
      </c>
      <c r="F1839" t="s">
        <v>11724</v>
      </c>
      <c r="H1839" t="s">
        <v>70</v>
      </c>
      <c r="I1839">
        <v>9896</v>
      </c>
      <c r="K1839" t="s">
        <v>10566</v>
      </c>
      <c r="L1839" t="s">
        <v>1270</v>
      </c>
      <c r="M1839">
        <v>1</v>
      </c>
      <c r="N1839">
        <v>22.7</v>
      </c>
      <c r="O1839">
        <v>25.54</v>
      </c>
      <c r="P1839">
        <v>25.54</v>
      </c>
    </row>
    <row r="1840" spans="3:16">
      <c r="C1840">
        <v>3</v>
      </c>
      <c r="D1840">
        <v>7</v>
      </c>
      <c r="F1840" t="s">
        <v>11724</v>
      </c>
      <c r="H1840" t="s">
        <v>70</v>
      </c>
      <c r="I1840">
        <v>9899</v>
      </c>
      <c r="K1840" t="s">
        <v>10570</v>
      </c>
      <c r="L1840" t="s">
        <v>1270</v>
      </c>
      <c r="M1840">
        <v>2</v>
      </c>
      <c r="N1840">
        <v>7.53</v>
      </c>
      <c r="O1840">
        <v>8.4700000000000006</v>
      </c>
      <c r="P1840">
        <v>16.940000000000001</v>
      </c>
    </row>
    <row r="1841" spans="3:16">
      <c r="C1841">
        <v>3</v>
      </c>
      <c r="D1841">
        <v>7</v>
      </c>
      <c r="F1841" t="s">
        <v>11724</v>
      </c>
      <c r="H1841" t="s">
        <v>70</v>
      </c>
      <c r="I1841">
        <v>9901</v>
      </c>
      <c r="K1841" t="s">
        <v>10565</v>
      </c>
      <c r="L1841" t="s">
        <v>1270</v>
      </c>
      <c r="M1841">
        <v>2</v>
      </c>
      <c r="N1841">
        <v>26.37</v>
      </c>
      <c r="O1841">
        <v>29.66</v>
      </c>
      <c r="P1841">
        <v>59.32</v>
      </c>
    </row>
    <row r="1842" spans="3:16">
      <c r="C1842">
        <v>3</v>
      </c>
      <c r="D1842">
        <v>7</v>
      </c>
      <c r="F1842" t="s">
        <v>11724</v>
      </c>
      <c r="H1842" t="s">
        <v>70</v>
      </c>
      <c r="I1842">
        <v>11669</v>
      </c>
      <c r="K1842" t="s">
        <v>8641</v>
      </c>
      <c r="L1842" t="s">
        <v>10854</v>
      </c>
      <c r="M1842">
        <v>2</v>
      </c>
      <c r="N1842">
        <v>30.85</v>
      </c>
      <c r="O1842">
        <v>34.700000000000003</v>
      </c>
      <c r="P1842">
        <v>69.400000000000006</v>
      </c>
    </row>
    <row r="1843" spans="3:16">
      <c r="C1843">
        <v>3</v>
      </c>
      <c r="D1843">
        <v>7</v>
      </c>
      <c r="F1843" t="s">
        <v>11724</v>
      </c>
      <c r="H1843" t="s">
        <v>70</v>
      </c>
      <c r="I1843">
        <v>11672</v>
      </c>
      <c r="K1843" t="s">
        <v>8640</v>
      </c>
      <c r="L1843" t="s">
        <v>10854</v>
      </c>
      <c r="M1843">
        <v>7</v>
      </c>
      <c r="N1843">
        <v>32.39</v>
      </c>
      <c r="O1843">
        <v>36.44</v>
      </c>
      <c r="P1843">
        <v>255.08</v>
      </c>
    </row>
    <row r="1844" spans="3:16">
      <c r="C1844">
        <v>3</v>
      </c>
      <c r="D1844">
        <v>7</v>
      </c>
      <c r="F1844" t="s">
        <v>11724</v>
      </c>
      <c r="H1844" t="s">
        <v>70</v>
      </c>
      <c r="I1844">
        <v>20147</v>
      </c>
      <c r="K1844" t="s">
        <v>6430</v>
      </c>
      <c r="L1844" t="s">
        <v>1270</v>
      </c>
      <c r="M1844">
        <v>1</v>
      </c>
      <c r="N1844">
        <v>4.79</v>
      </c>
      <c r="O1844">
        <v>5.39</v>
      </c>
      <c r="P1844">
        <v>5.39</v>
      </c>
    </row>
    <row r="1845" spans="3:16">
      <c r="C1845">
        <v>3</v>
      </c>
      <c r="D1845">
        <v>7</v>
      </c>
      <c r="F1845" t="s">
        <v>11724</v>
      </c>
      <c r="H1845" t="s">
        <v>70</v>
      </c>
      <c r="I1845">
        <v>36365</v>
      </c>
      <c r="K1845" t="s">
        <v>19741</v>
      </c>
      <c r="L1845" t="s">
        <v>18</v>
      </c>
      <c r="M1845">
        <v>10</v>
      </c>
      <c r="N1845">
        <v>14.8</v>
      </c>
      <c r="O1845">
        <v>16.649999999999999</v>
      </c>
      <c r="P1845">
        <v>166.5</v>
      </c>
    </row>
    <row r="1846" spans="3:16">
      <c r="C1846">
        <v>3</v>
      </c>
      <c r="D1846">
        <v>7</v>
      </c>
      <c r="F1846" t="s">
        <v>11724</v>
      </c>
      <c r="H1846" t="s">
        <v>70</v>
      </c>
      <c r="I1846">
        <v>37458</v>
      </c>
      <c r="K1846" t="s">
        <v>7214</v>
      </c>
      <c r="L1846" t="s">
        <v>18</v>
      </c>
      <c r="M1846">
        <v>16</v>
      </c>
      <c r="N1846">
        <v>1.72</v>
      </c>
      <c r="O1846">
        <v>1.93</v>
      </c>
      <c r="P1846">
        <v>30.88</v>
      </c>
    </row>
    <row r="1847" spans="3:16">
      <c r="C1847">
        <v>3</v>
      </c>
      <c r="D1847">
        <v>7</v>
      </c>
      <c r="F1847" t="s">
        <v>11724</v>
      </c>
      <c r="H1847" t="s">
        <v>70</v>
      </c>
      <c r="I1847">
        <v>392</v>
      </c>
      <c r="K1847" t="s">
        <v>1393</v>
      </c>
      <c r="L1847" t="s">
        <v>1270</v>
      </c>
      <c r="M1847">
        <v>22</v>
      </c>
      <c r="N1847">
        <v>0.64</v>
      </c>
      <c r="O1847">
        <v>0.72</v>
      </c>
      <c r="P1847">
        <v>15.84</v>
      </c>
    </row>
    <row r="1848" spans="3:16">
      <c r="C1848">
        <v>3</v>
      </c>
      <c r="D1848">
        <v>7</v>
      </c>
      <c r="F1848" t="s">
        <v>11724</v>
      </c>
      <c r="H1848" t="s">
        <v>70</v>
      </c>
      <c r="I1848">
        <v>39128</v>
      </c>
      <c r="K1848" t="s">
        <v>1401</v>
      </c>
      <c r="L1848" t="s">
        <v>1270</v>
      </c>
      <c r="M1848">
        <v>8</v>
      </c>
      <c r="N1848">
        <v>0.68</v>
      </c>
      <c r="O1848">
        <v>0.76</v>
      </c>
      <c r="P1848">
        <v>6.08</v>
      </c>
    </row>
    <row r="1849" spans="3:16">
      <c r="C1849">
        <v>3</v>
      </c>
      <c r="D1849">
        <v>7</v>
      </c>
      <c r="F1849" t="s">
        <v>11724</v>
      </c>
      <c r="H1849" t="s">
        <v>70</v>
      </c>
      <c r="I1849">
        <v>86911</v>
      </c>
      <c r="K1849" t="s">
        <v>734</v>
      </c>
      <c r="L1849" t="s">
        <v>1270</v>
      </c>
      <c r="M1849">
        <v>1</v>
      </c>
      <c r="N1849">
        <v>37.619999999999997</v>
      </c>
      <c r="O1849">
        <v>42.32</v>
      </c>
      <c r="P1849">
        <v>42.32</v>
      </c>
    </row>
    <row r="1850" spans="3:16">
      <c r="C1850">
        <v>3</v>
      </c>
      <c r="D1850">
        <v>7</v>
      </c>
      <c r="F1850" t="s">
        <v>11724</v>
      </c>
      <c r="H1850" t="s">
        <v>11722</v>
      </c>
      <c r="I1850" t="s">
        <v>13173</v>
      </c>
      <c r="K1850" t="s">
        <v>13174</v>
      </c>
      <c r="L1850" t="s">
        <v>1270</v>
      </c>
      <c r="M1850">
        <v>1</v>
      </c>
      <c r="N1850">
        <v>17.09</v>
      </c>
      <c r="O1850">
        <v>19.22</v>
      </c>
      <c r="P1850">
        <v>19.22</v>
      </c>
    </row>
    <row r="1851" spans="3:16">
      <c r="C1851">
        <v>3</v>
      </c>
      <c r="D1851">
        <v>7</v>
      </c>
      <c r="F1851" t="s">
        <v>11724</v>
      </c>
      <c r="H1851" t="s">
        <v>11722</v>
      </c>
      <c r="I1851" t="s">
        <v>12778</v>
      </c>
      <c r="K1851" t="s">
        <v>12779</v>
      </c>
      <c r="L1851" t="s">
        <v>1270</v>
      </c>
      <c r="M1851">
        <v>2</v>
      </c>
      <c r="N1851">
        <v>46.8</v>
      </c>
      <c r="O1851">
        <v>52.65</v>
      </c>
      <c r="P1851">
        <v>105.3</v>
      </c>
    </row>
    <row r="1852" spans="3:16">
      <c r="C1852">
        <v>3</v>
      </c>
      <c r="D1852">
        <v>7</v>
      </c>
      <c r="F1852" t="s">
        <v>11724</v>
      </c>
      <c r="H1852" t="s">
        <v>11722</v>
      </c>
      <c r="I1852" t="s">
        <v>12778</v>
      </c>
      <c r="K1852" t="s">
        <v>12779</v>
      </c>
      <c r="L1852" t="s">
        <v>1270</v>
      </c>
      <c r="M1852">
        <v>8</v>
      </c>
      <c r="N1852">
        <v>46.8</v>
      </c>
      <c r="O1852">
        <v>52.65</v>
      </c>
      <c r="P1852">
        <v>421.2</v>
      </c>
    </row>
    <row r="1853" spans="3:16">
      <c r="C1853">
        <v>3</v>
      </c>
      <c r="D1853">
        <v>7</v>
      </c>
      <c r="F1853" t="s">
        <v>11724</v>
      </c>
      <c r="H1853" t="s">
        <v>11722</v>
      </c>
      <c r="I1853" t="s">
        <v>12780</v>
      </c>
      <c r="K1853" t="s">
        <v>12781</v>
      </c>
      <c r="L1853" t="s">
        <v>1270</v>
      </c>
      <c r="M1853">
        <v>2</v>
      </c>
      <c r="N1853">
        <v>46.8</v>
      </c>
      <c r="O1853">
        <v>52.65</v>
      </c>
      <c r="P1853">
        <v>105.3</v>
      </c>
    </row>
    <row r="1854" spans="3:16">
      <c r="C1854">
        <v>3</v>
      </c>
      <c r="D1854">
        <v>7</v>
      </c>
      <c r="F1854" t="s">
        <v>11724</v>
      </c>
      <c r="H1854" t="s">
        <v>11722</v>
      </c>
      <c r="I1854" t="s">
        <v>13329</v>
      </c>
      <c r="K1854" t="s">
        <v>13345</v>
      </c>
      <c r="L1854" t="s">
        <v>1270</v>
      </c>
      <c r="M1854">
        <v>3</v>
      </c>
      <c r="N1854">
        <v>49.5</v>
      </c>
      <c r="O1854">
        <v>55.68</v>
      </c>
      <c r="P1854">
        <v>167.04</v>
      </c>
    </row>
    <row r="1855" spans="3:16">
      <c r="C1855">
        <v>3</v>
      </c>
      <c r="D1855">
        <v>7</v>
      </c>
      <c r="F1855" t="s">
        <v>11724</v>
      </c>
      <c r="H1855" t="s">
        <v>11722</v>
      </c>
      <c r="I1855" t="s">
        <v>13330</v>
      </c>
      <c r="K1855" t="s">
        <v>13346</v>
      </c>
      <c r="L1855" t="s">
        <v>1270</v>
      </c>
      <c r="M1855">
        <v>4</v>
      </c>
      <c r="N1855">
        <v>49.5</v>
      </c>
      <c r="O1855">
        <v>55.68</v>
      </c>
      <c r="P1855">
        <v>222.72</v>
      </c>
    </row>
    <row r="1856" spans="3:16">
      <c r="C1856">
        <v>3</v>
      </c>
      <c r="D1856">
        <v>7</v>
      </c>
      <c r="F1856" t="s">
        <v>11724</v>
      </c>
      <c r="H1856" t="s">
        <v>11722</v>
      </c>
      <c r="I1856" t="s">
        <v>13331</v>
      </c>
      <c r="K1856" t="s">
        <v>13341</v>
      </c>
      <c r="L1856" t="s">
        <v>1270</v>
      </c>
      <c r="M1856">
        <v>1</v>
      </c>
      <c r="N1856">
        <v>1.45</v>
      </c>
      <c r="O1856">
        <v>1.63</v>
      </c>
      <c r="P1856">
        <v>1.63</v>
      </c>
    </row>
    <row r="1857" spans="2:16">
      <c r="C1857">
        <v>3</v>
      </c>
      <c r="D1857">
        <v>7</v>
      </c>
      <c r="F1857" t="s">
        <v>11724</v>
      </c>
      <c r="H1857" t="s">
        <v>11722</v>
      </c>
      <c r="I1857" t="s">
        <v>13332</v>
      </c>
      <c r="K1857" t="s">
        <v>13342</v>
      </c>
      <c r="L1857" t="s">
        <v>1270</v>
      </c>
      <c r="M1857">
        <v>1</v>
      </c>
      <c r="N1857">
        <v>1.45</v>
      </c>
      <c r="O1857">
        <v>1.63</v>
      </c>
      <c r="P1857">
        <v>1.63</v>
      </c>
    </row>
    <row r="1858" spans="2:16">
      <c r="C1858">
        <v>3</v>
      </c>
      <c r="D1858">
        <v>7</v>
      </c>
      <c r="F1858" t="s">
        <v>11724</v>
      </c>
      <c r="H1858" t="s">
        <v>11722</v>
      </c>
      <c r="I1858" t="s">
        <v>13333</v>
      </c>
      <c r="K1858" t="s">
        <v>13348</v>
      </c>
      <c r="L1858" t="s">
        <v>10854</v>
      </c>
      <c r="M1858">
        <v>1</v>
      </c>
      <c r="N1858">
        <v>63.82</v>
      </c>
      <c r="O1858">
        <v>71.790000000000006</v>
      </c>
      <c r="P1858">
        <v>71.790000000000006</v>
      </c>
    </row>
    <row r="1859" spans="2:16">
      <c r="C1859">
        <v>3</v>
      </c>
      <c r="D1859">
        <v>7</v>
      </c>
      <c r="F1859" t="s">
        <v>11724</v>
      </c>
      <c r="H1859" t="s">
        <v>11722</v>
      </c>
      <c r="I1859" t="s">
        <v>13334</v>
      </c>
      <c r="K1859" t="s">
        <v>13349</v>
      </c>
      <c r="L1859" t="s">
        <v>10854</v>
      </c>
      <c r="M1859">
        <v>1</v>
      </c>
      <c r="N1859">
        <v>93.65</v>
      </c>
      <c r="O1859">
        <v>105.35</v>
      </c>
      <c r="P1859">
        <v>105.35</v>
      </c>
    </row>
    <row r="1860" spans="2:16">
      <c r="C1860">
        <v>3</v>
      </c>
      <c r="D1860">
        <v>7</v>
      </c>
      <c r="F1860" t="s">
        <v>11724</v>
      </c>
      <c r="H1860" t="s">
        <v>11722</v>
      </c>
      <c r="I1860" t="s">
        <v>13335</v>
      </c>
      <c r="K1860" t="s">
        <v>13343</v>
      </c>
      <c r="L1860" t="s">
        <v>1270</v>
      </c>
      <c r="M1860">
        <v>4</v>
      </c>
      <c r="N1860">
        <v>3.17</v>
      </c>
      <c r="O1860">
        <v>3.57</v>
      </c>
      <c r="P1860">
        <v>14.28</v>
      </c>
    </row>
    <row r="1861" spans="2:16">
      <c r="C1861">
        <v>3</v>
      </c>
      <c r="D1861">
        <v>7</v>
      </c>
      <c r="F1861" t="s">
        <v>11724</v>
      </c>
      <c r="H1861" t="s">
        <v>11722</v>
      </c>
      <c r="I1861" t="s">
        <v>13336</v>
      </c>
      <c r="K1861" t="s">
        <v>13344</v>
      </c>
      <c r="L1861" t="s">
        <v>1270</v>
      </c>
      <c r="M1861">
        <v>4</v>
      </c>
      <c r="N1861">
        <v>3.17</v>
      </c>
      <c r="O1861">
        <v>3.57</v>
      </c>
      <c r="P1861">
        <v>14.28</v>
      </c>
    </row>
    <row r="1862" spans="2:16">
      <c r="C1862">
        <v>3</v>
      </c>
      <c r="D1862">
        <v>7</v>
      </c>
      <c r="F1862" t="s">
        <v>11724</v>
      </c>
      <c r="H1862" t="s">
        <v>11722</v>
      </c>
      <c r="I1862" t="s">
        <v>13257</v>
      </c>
      <c r="K1862" t="s">
        <v>13258</v>
      </c>
      <c r="L1862" t="s">
        <v>11723</v>
      </c>
      <c r="M1862">
        <v>3</v>
      </c>
      <c r="N1862">
        <v>12414.21</v>
      </c>
      <c r="O1862">
        <v>13964.74</v>
      </c>
      <c r="P1862">
        <v>41894.22</v>
      </c>
    </row>
    <row r="1863" spans="2:16">
      <c r="C1863">
        <v>3</v>
      </c>
      <c r="D1863">
        <v>7</v>
      </c>
      <c r="F1863" t="s">
        <v>11724</v>
      </c>
      <c r="H1863" t="s">
        <v>11722</v>
      </c>
      <c r="I1863" t="s">
        <v>13337</v>
      </c>
      <c r="K1863" t="s">
        <v>13350</v>
      </c>
      <c r="L1863" t="s">
        <v>1270</v>
      </c>
      <c r="M1863">
        <v>1</v>
      </c>
      <c r="N1863">
        <v>39.049999999999997</v>
      </c>
      <c r="O1863">
        <v>43.93</v>
      </c>
      <c r="P1863">
        <v>43.93</v>
      </c>
    </row>
    <row r="1864" spans="2:16">
      <c r="C1864">
        <v>3</v>
      </c>
      <c r="D1864">
        <v>7</v>
      </c>
      <c r="F1864" t="s">
        <v>11724</v>
      </c>
      <c r="H1864" t="s">
        <v>11722</v>
      </c>
      <c r="I1864" t="s">
        <v>13338</v>
      </c>
      <c r="K1864" t="s">
        <v>13351</v>
      </c>
      <c r="L1864" t="s">
        <v>1270</v>
      </c>
      <c r="M1864">
        <v>1</v>
      </c>
      <c r="N1864">
        <v>242</v>
      </c>
      <c r="O1864">
        <v>272.23</v>
      </c>
      <c r="P1864">
        <v>272.23</v>
      </c>
    </row>
    <row r="1865" spans="2:16">
      <c r="C1865">
        <v>3</v>
      </c>
      <c r="D1865">
        <v>7</v>
      </c>
      <c r="F1865" t="s">
        <v>11724</v>
      </c>
      <c r="H1865" t="s">
        <v>11722</v>
      </c>
      <c r="I1865" t="s">
        <v>13339</v>
      </c>
      <c r="K1865" t="s">
        <v>13352</v>
      </c>
      <c r="L1865" t="s">
        <v>1270</v>
      </c>
      <c r="M1865">
        <v>1</v>
      </c>
      <c r="N1865">
        <v>242</v>
      </c>
      <c r="O1865">
        <v>272.23</v>
      </c>
      <c r="P1865">
        <v>272.23</v>
      </c>
    </row>
    <row r="1866" spans="2:16">
      <c r="C1866">
        <v>3</v>
      </c>
      <c r="D1866">
        <v>7</v>
      </c>
      <c r="F1866" t="s">
        <v>11724</v>
      </c>
      <c r="H1866" t="s">
        <v>11722</v>
      </c>
      <c r="I1866" t="s">
        <v>13340</v>
      </c>
      <c r="K1866" t="s">
        <v>13347</v>
      </c>
      <c r="L1866" t="s">
        <v>10854</v>
      </c>
      <c r="M1866">
        <v>1</v>
      </c>
      <c r="N1866">
        <v>28.88</v>
      </c>
      <c r="O1866">
        <v>32.49</v>
      </c>
      <c r="P1866">
        <v>32.49</v>
      </c>
    </row>
    <row r="1867" spans="2:16">
      <c r="C1867">
        <v>3</v>
      </c>
      <c r="D1867">
        <v>7</v>
      </c>
      <c r="F1867" t="s">
        <v>11724</v>
      </c>
    </row>
    <row r="1868" spans="2:16">
      <c r="B1868">
        <v>1</v>
      </c>
      <c r="C1868">
        <v>3</v>
      </c>
      <c r="D1868">
        <v>8</v>
      </c>
      <c r="F1868" t="s">
        <v>11724</v>
      </c>
      <c r="H1868" t="s">
        <v>20900</v>
      </c>
      <c r="I1868" t="s">
        <v>13357</v>
      </c>
      <c r="L1868" t="s">
        <v>25</v>
      </c>
      <c r="M1868" t="s">
        <v>11704</v>
      </c>
      <c r="N1868" t="s">
        <v>11705</v>
      </c>
      <c r="O1868" t="s">
        <v>11706</v>
      </c>
      <c r="P1868">
        <v>2635.0699999999997</v>
      </c>
    </row>
    <row r="1869" spans="2:16">
      <c r="C1869">
        <v>3</v>
      </c>
      <c r="D1869">
        <v>8</v>
      </c>
      <c r="F1869" t="s">
        <v>11724</v>
      </c>
    </row>
    <row r="1870" spans="2:16">
      <c r="C1870">
        <v>3</v>
      </c>
      <c r="D1870">
        <v>8</v>
      </c>
      <c r="F1870" t="s">
        <v>11724</v>
      </c>
      <c r="H1870" t="s">
        <v>70</v>
      </c>
      <c r="I1870">
        <v>65</v>
      </c>
      <c r="K1870" t="s">
        <v>1544</v>
      </c>
      <c r="L1870" t="s">
        <v>1270</v>
      </c>
      <c r="M1870">
        <v>11</v>
      </c>
      <c r="N1870">
        <v>0.76</v>
      </c>
      <c r="O1870">
        <v>0.85</v>
      </c>
      <c r="P1870">
        <v>9.35</v>
      </c>
    </row>
    <row r="1871" spans="2:16">
      <c r="C1871">
        <v>3</v>
      </c>
      <c r="D1871">
        <v>8</v>
      </c>
      <c r="F1871" t="s">
        <v>11724</v>
      </c>
      <c r="H1871" t="s">
        <v>70</v>
      </c>
      <c r="I1871">
        <v>1831</v>
      </c>
      <c r="K1871" t="s">
        <v>4625</v>
      </c>
      <c r="L1871" t="s">
        <v>1270</v>
      </c>
      <c r="M1871">
        <v>2</v>
      </c>
      <c r="N1871">
        <v>10.38</v>
      </c>
      <c r="O1871">
        <v>11.68</v>
      </c>
      <c r="P1871">
        <v>23.36</v>
      </c>
    </row>
    <row r="1872" spans="2:16">
      <c r="C1872">
        <v>3</v>
      </c>
      <c r="D1872">
        <v>8</v>
      </c>
      <c r="F1872" t="s">
        <v>11724</v>
      </c>
      <c r="H1872" t="s">
        <v>70</v>
      </c>
      <c r="I1872">
        <v>1845</v>
      </c>
      <c r="K1872" t="s">
        <v>4628</v>
      </c>
      <c r="L1872" t="s">
        <v>1270</v>
      </c>
      <c r="M1872">
        <v>1</v>
      </c>
      <c r="N1872">
        <v>11.37</v>
      </c>
      <c r="O1872">
        <v>12.79</v>
      </c>
      <c r="P1872">
        <v>12.79</v>
      </c>
    </row>
    <row r="1873" spans="3:16">
      <c r="C1873">
        <v>3</v>
      </c>
      <c r="D1873">
        <v>8</v>
      </c>
      <c r="F1873" t="s">
        <v>11724</v>
      </c>
      <c r="H1873" t="s">
        <v>70</v>
      </c>
      <c r="I1873">
        <v>1845</v>
      </c>
      <c r="K1873" t="s">
        <v>4628</v>
      </c>
      <c r="L1873" t="s">
        <v>1270</v>
      </c>
      <c r="M1873">
        <v>4</v>
      </c>
      <c r="N1873">
        <v>11.37</v>
      </c>
      <c r="O1873">
        <v>12.79</v>
      </c>
      <c r="P1873">
        <v>51.16</v>
      </c>
    </row>
    <row r="1874" spans="3:16">
      <c r="C1874">
        <v>3</v>
      </c>
      <c r="D1874">
        <v>8</v>
      </c>
      <c r="F1874" t="s">
        <v>11724</v>
      </c>
      <c r="H1874" t="s">
        <v>70</v>
      </c>
      <c r="I1874">
        <v>1966</v>
      </c>
      <c r="K1874" t="s">
        <v>4607</v>
      </c>
      <c r="L1874" t="s">
        <v>1270</v>
      </c>
      <c r="M1874">
        <v>2</v>
      </c>
      <c r="N1874">
        <v>14.84</v>
      </c>
      <c r="O1874">
        <v>16.690000000000001</v>
      </c>
      <c r="P1874">
        <v>33.380000000000003</v>
      </c>
    </row>
    <row r="1875" spans="3:16">
      <c r="C1875">
        <v>3</v>
      </c>
      <c r="D1875">
        <v>8</v>
      </c>
      <c r="F1875" t="s">
        <v>11724</v>
      </c>
      <c r="H1875" t="s">
        <v>70</v>
      </c>
      <c r="I1875">
        <v>3529</v>
      </c>
      <c r="K1875" t="s">
        <v>6421</v>
      </c>
      <c r="L1875" t="s">
        <v>1270</v>
      </c>
      <c r="M1875">
        <v>14</v>
      </c>
      <c r="N1875">
        <v>0.62</v>
      </c>
      <c r="O1875">
        <v>0.7</v>
      </c>
      <c r="P1875">
        <v>9.8000000000000007</v>
      </c>
    </row>
    <row r="1876" spans="3:16">
      <c r="C1876">
        <v>3</v>
      </c>
      <c r="D1876">
        <v>8</v>
      </c>
      <c r="F1876" t="s">
        <v>11724</v>
      </c>
      <c r="H1876" t="s">
        <v>70</v>
      </c>
      <c r="I1876">
        <v>5103</v>
      </c>
      <c r="K1876" t="s">
        <v>3133</v>
      </c>
      <c r="L1876" t="s">
        <v>1270</v>
      </c>
      <c r="M1876">
        <v>1</v>
      </c>
      <c r="N1876">
        <v>8.5299999999999994</v>
      </c>
      <c r="O1876">
        <v>9.6</v>
      </c>
      <c r="P1876">
        <v>9.6</v>
      </c>
    </row>
    <row r="1877" spans="3:16">
      <c r="C1877">
        <v>3</v>
      </c>
      <c r="D1877">
        <v>8</v>
      </c>
      <c r="F1877" t="s">
        <v>11724</v>
      </c>
      <c r="H1877" t="s">
        <v>70</v>
      </c>
      <c r="I1877">
        <v>6157</v>
      </c>
      <c r="K1877" t="s">
        <v>10725</v>
      </c>
      <c r="L1877" t="s">
        <v>1270</v>
      </c>
      <c r="M1877">
        <v>2</v>
      </c>
      <c r="N1877">
        <v>35.31</v>
      </c>
      <c r="O1877">
        <v>39.72</v>
      </c>
      <c r="P1877">
        <v>79.44</v>
      </c>
    </row>
    <row r="1878" spans="3:16">
      <c r="C1878">
        <v>3</v>
      </c>
      <c r="D1878">
        <v>8</v>
      </c>
      <c r="F1878" t="s">
        <v>11724</v>
      </c>
      <c r="H1878" t="s">
        <v>70</v>
      </c>
      <c r="I1878">
        <v>9839</v>
      </c>
      <c r="K1878" t="s">
        <v>10467</v>
      </c>
      <c r="L1878" t="s">
        <v>18</v>
      </c>
      <c r="M1878">
        <v>1.5</v>
      </c>
      <c r="N1878">
        <v>10.55</v>
      </c>
      <c r="O1878">
        <v>11.87</v>
      </c>
      <c r="P1878">
        <v>17.809999999999999</v>
      </c>
    </row>
    <row r="1879" spans="3:16">
      <c r="C1879">
        <v>3</v>
      </c>
      <c r="D1879">
        <v>8</v>
      </c>
      <c r="F1879" t="s">
        <v>11724</v>
      </c>
      <c r="H1879" t="s">
        <v>70</v>
      </c>
      <c r="I1879">
        <v>9841</v>
      </c>
      <c r="K1879" t="s">
        <v>10463</v>
      </c>
      <c r="L1879" t="s">
        <v>18</v>
      </c>
      <c r="M1879">
        <v>12</v>
      </c>
      <c r="N1879">
        <v>17.37</v>
      </c>
      <c r="O1879">
        <v>19.54</v>
      </c>
      <c r="P1879">
        <v>234.48</v>
      </c>
    </row>
    <row r="1880" spans="3:16">
      <c r="C1880">
        <v>3</v>
      </c>
      <c r="D1880">
        <v>8</v>
      </c>
      <c r="F1880" t="s">
        <v>11724</v>
      </c>
      <c r="H1880" t="s">
        <v>70</v>
      </c>
      <c r="I1880">
        <v>9868</v>
      </c>
      <c r="K1880" t="s">
        <v>10502</v>
      </c>
      <c r="L1880" t="s">
        <v>18</v>
      </c>
      <c r="M1880">
        <v>15.2</v>
      </c>
      <c r="N1880">
        <v>3.15</v>
      </c>
      <c r="O1880">
        <v>3.54</v>
      </c>
      <c r="P1880">
        <v>53.81</v>
      </c>
    </row>
    <row r="1881" spans="3:16">
      <c r="C1881">
        <v>3</v>
      </c>
      <c r="D1881">
        <v>8</v>
      </c>
      <c r="F1881" t="s">
        <v>11724</v>
      </c>
      <c r="H1881" t="s">
        <v>70</v>
      </c>
      <c r="I1881">
        <v>11714</v>
      </c>
      <c r="K1881" t="s">
        <v>3136</v>
      </c>
      <c r="L1881" t="s">
        <v>1270</v>
      </c>
      <c r="M1881">
        <v>1</v>
      </c>
      <c r="N1881">
        <v>26.87</v>
      </c>
      <c r="O1881">
        <v>30.23</v>
      </c>
      <c r="P1881">
        <v>30.23</v>
      </c>
    </row>
    <row r="1882" spans="3:16">
      <c r="C1882">
        <v>3</v>
      </c>
      <c r="D1882">
        <v>8</v>
      </c>
      <c r="F1882" t="s">
        <v>11724</v>
      </c>
      <c r="H1882" t="s">
        <v>70</v>
      </c>
      <c r="I1882">
        <v>11717</v>
      </c>
      <c r="K1882" t="s">
        <v>3135</v>
      </c>
      <c r="L1882" t="s">
        <v>1270</v>
      </c>
      <c r="M1882">
        <v>2</v>
      </c>
      <c r="N1882">
        <v>21.6</v>
      </c>
      <c r="O1882">
        <v>24.3</v>
      </c>
      <c r="P1882">
        <v>48.6</v>
      </c>
    </row>
    <row r="1883" spans="3:16">
      <c r="C1883">
        <v>3</v>
      </c>
      <c r="D1883">
        <v>8</v>
      </c>
      <c r="F1883" t="s">
        <v>11724</v>
      </c>
      <c r="H1883" t="s">
        <v>70</v>
      </c>
      <c r="I1883">
        <v>20067</v>
      </c>
      <c r="K1883" t="s">
        <v>10465</v>
      </c>
      <c r="L1883" t="s">
        <v>18</v>
      </c>
      <c r="M1883">
        <v>10</v>
      </c>
      <c r="N1883">
        <v>6.23</v>
      </c>
      <c r="O1883">
        <v>7.01</v>
      </c>
      <c r="P1883">
        <v>70.099999999999994</v>
      </c>
    </row>
    <row r="1884" spans="3:16">
      <c r="C1884">
        <v>3</v>
      </c>
      <c r="D1884">
        <v>8</v>
      </c>
      <c r="F1884" t="s">
        <v>11724</v>
      </c>
      <c r="H1884" t="s">
        <v>70</v>
      </c>
      <c r="I1884">
        <v>20068</v>
      </c>
      <c r="K1884" t="s">
        <v>10466</v>
      </c>
      <c r="L1884" t="s">
        <v>18</v>
      </c>
      <c r="M1884">
        <v>14</v>
      </c>
      <c r="N1884">
        <v>8.2899999999999991</v>
      </c>
      <c r="O1884">
        <v>9.33</v>
      </c>
      <c r="P1884">
        <v>130.62</v>
      </c>
    </row>
    <row r="1885" spans="3:16">
      <c r="C1885">
        <v>3</v>
      </c>
      <c r="D1885">
        <v>8</v>
      </c>
      <c r="F1885" t="s">
        <v>11724</v>
      </c>
      <c r="H1885" t="s">
        <v>70</v>
      </c>
      <c r="I1885">
        <v>38643</v>
      </c>
      <c r="K1885" t="s">
        <v>10724</v>
      </c>
      <c r="L1885" t="s">
        <v>1270</v>
      </c>
      <c r="M1885">
        <v>2</v>
      </c>
      <c r="N1885">
        <v>25.85</v>
      </c>
      <c r="O1885">
        <v>29.08</v>
      </c>
      <c r="P1885">
        <v>58.16</v>
      </c>
    </row>
    <row r="1886" spans="3:16">
      <c r="C1886">
        <v>3</v>
      </c>
      <c r="D1886">
        <v>8</v>
      </c>
      <c r="F1886" t="s">
        <v>11724</v>
      </c>
      <c r="H1886" t="s">
        <v>70</v>
      </c>
      <c r="I1886">
        <v>39319</v>
      </c>
      <c r="K1886" t="s">
        <v>9624</v>
      </c>
      <c r="L1886" t="s">
        <v>1270</v>
      </c>
      <c r="M1886">
        <v>2</v>
      </c>
      <c r="N1886">
        <v>4.53</v>
      </c>
      <c r="O1886">
        <v>5.0999999999999996</v>
      </c>
      <c r="P1886">
        <v>10.199999999999999</v>
      </c>
    </row>
    <row r="1887" spans="3:16">
      <c r="C1887">
        <v>3</v>
      </c>
      <c r="D1887">
        <v>8</v>
      </c>
      <c r="F1887" t="s">
        <v>11724</v>
      </c>
      <c r="H1887" t="s">
        <v>70</v>
      </c>
      <c r="I1887">
        <v>73658</v>
      </c>
      <c r="K1887" t="s">
        <v>18122</v>
      </c>
      <c r="L1887" t="s">
        <v>1270</v>
      </c>
      <c r="M1887">
        <v>2</v>
      </c>
      <c r="N1887">
        <v>470.28</v>
      </c>
      <c r="O1887">
        <v>529.02</v>
      </c>
      <c r="P1887">
        <v>1058.04</v>
      </c>
    </row>
    <row r="1888" spans="3:16">
      <c r="C1888">
        <v>3</v>
      </c>
      <c r="D1888">
        <v>8</v>
      </c>
      <c r="F1888" t="s">
        <v>11724</v>
      </c>
      <c r="H1888" t="s">
        <v>70</v>
      </c>
      <c r="I1888">
        <v>86886</v>
      </c>
      <c r="K1888" t="s">
        <v>17906</v>
      </c>
      <c r="L1888" t="s">
        <v>1270</v>
      </c>
      <c r="M1888">
        <v>7</v>
      </c>
      <c r="N1888">
        <v>27.22</v>
      </c>
      <c r="O1888">
        <v>30.62</v>
      </c>
      <c r="P1888">
        <v>214.34</v>
      </c>
    </row>
    <row r="1889" spans="2:16">
      <c r="C1889">
        <v>3</v>
      </c>
      <c r="D1889">
        <v>8</v>
      </c>
      <c r="F1889" t="s">
        <v>11724</v>
      </c>
      <c r="H1889" t="s">
        <v>70</v>
      </c>
      <c r="I1889">
        <v>89351</v>
      </c>
      <c r="K1889" t="s">
        <v>18006</v>
      </c>
      <c r="L1889" t="s">
        <v>1270</v>
      </c>
      <c r="M1889">
        <v>1</v>
      </c>
      <c r="N1889">
        <v>24.92</v>
      </c>
      <c r="O1889">
        <v>28.03</v>
      </c>
      <c r="P1889">
        <v>28.03</v>
      </c>
    </row>
    <row r="1890" spans="2:16">
      <c r="C1890">
        <v>3</v>
      </c>
      <c r="D1890">
        <v>8</v>
      </c>
      <c r="F1890" t="s">
        <v>11724</v>
      </c>
      <c r="H1890" t="s">
        <v>70</v>
      </c>
      <c r="I1890">
        <v>89353</v>
      </c>
      <c r="K1890" t="s">
        <v>779</v>
      </c>
      <c r="L1890" t="s">
        <v>1270</v>
      </c>
      <c r="M1890">
        <v>5</v>
      </c>
      <c r="N1890">
        <v>29.37</v>
      </c>
      <c r="O1890">
        <v>33.04</v>
      </c>
      <c r="P1890">
        <v>165.2</v>
      </c>
    </row>
    <row r="1891" spans="2:16">
      <c r="C1891">
        <v>3</v>
      </c>
      <c r="D1891">
        <v>8</v>
      </c>
      <c r="F1891" t="s">
        <v>11724</v>
      </c>
      <c r="H1891" t="s">
        <v>70</v>
      </c>
      <c r="I1891">
        <v>89381</v>
      </c>
      <c r="K1891" t="s">
        <v>17224</v>
      </c>
      <c r="L1891" t="s">
        <v>1270</v>
      </c>
      <c r="M1891">
        <v>1</v>
      </c>
      <c r="N1891">
        <v>9.8699999999999992</v>
      </c>
      <c r="O1891">
        <v>11.1</v>
      </c>
      <c r="P1891">
        <v>11.1</v>
      </c>
    </row>
    <row r="1892" spans="2:16">
      <c r="C1892">
        <v>3</v>
      </c>
      <c r="D1892">
        <v>8</v>
      </c>
      <c r="F1892" t="s">
        <v>11724</v>
      </c>
      <c r="H1892" t="s">
        <v>70</v>
      </c>
      <c r="I1892">
        <v>89395</v>
      </c>
      <c r="K1892" t="s">
        <v>9470</v>
      </c>
      <c r="L1892" t="s">
        <v>1270</v>
      </c>
      <c r="M1892">
        <v>6</v>
      </c>
      <c r="N1892">
        <v>8.84</v>
      </c>
      <c r="O1892">
        <v>9.94</v>
      </c>
      <c r="P1892">
        <v>59.64</v>
      </c>
    </row>
    <row r="1893" spans="2:16">
      <c r="C1893">
        <v>3</v>
      </c>
      <c r="D1893">
        <v>8</v>
      </c>
      <c r="F1893" t="s">
        <v>11724</v>
      </c>
      <c r="H1893" t="s">
        <v>70</v>
      </c>
      <c r="I1893">
        <v>89490</v>
      </c>
      <c r="K1893" t="s">
        <v>4416</v>
      </c>
      <c r="L1893" t="s">
        <v>1270</v>
      </c>
      <c r="M1893">
        <v>1</v>
      </c>
      <c r="N1893">
        <v>4.38</v>
      </c>
      <c r="O1893">
        <v>4.93</v>
      </c>
      <c r="P1893">
        <v>4.93</v>
      </c>
    </row>
    <row r="1894" spans="2:16">
      <c r="C1894">
        <v>3</v>
      </c>
      <c r="D1894">
        <v>8</v>
      </c>
      <c r="F1894" t="s">
        <v>11724</v>
      </c>
      <c r="H1894" t="s">
        <v>70</v>
      </c>
      <c r="I1894">
        <v>89709</v>
      </c>
      <c r="K1894" t="s">
        <v>17891</v>
      </c>
      <c r="L1894" t="s">
        <v>1270</v>
      </c>
      <c r="M1894">
        <v>3</v>
      </c>
      <c r="N1894">
        <v>7.29</v>
      </c>
      <c r="O1894">
        <v>8.1999999999999993</v>
      </c>
      <c r="P1894">
        <v>24.6</v>
      </c>
    </row>
    <row r="1895" spans="2:16">
      <c r="C1895">
        <v>3</v>
      </c>
      <c r="D1895">
        <v>8</v>
      </c>
      <c r="F1895" t="s">
        <v>11724</v>
      </c>
      <c r="H1895" t="s">
        <v>70</v>
      </c>
      <c r="I1895">
        <v>89724</v>
      </c>
      <c r="K1895" t="s">
        <v>17410</v>
      </c>
      <c r="L1895" t="s">
        <v>1270</v>
      </c>
      <c r="M1895">
        <v>1</v>
      </c>
      <c r="N1895">
        <v>5.67</v>
      </c>
      <c r="O1895">
        <v>6.38</v>
      </c>
      <c r="P1895">
        <v>6.38</v>
      </c>
    </row>
    <row r="1896" spans="2:16">
      <c r="C1896">
        <v>3</v>
      </c>
      <c r="D1896">
        <v>8</v>
      </c>
      <c r="F1896" t="s">
        <v>11724</v>
      </c>
      <c r="H1896" t="s">
        <v>70</v>
      </c>
      <c r="I1896">
        <v>89724</v>
      </c>
      <c r="K1896" t="s">
        <v>17410</v>
      </c>
      <c r="L1896" t="s">
        <v>1270</v>
      </c>
      <c r="M1896">
        <v>3</v>
      </c>
      <c r="N1896">
        <v>5.67</v>
      </c>
      <c r="O1896">
        <v>6.38</v>
      </c>
      <c r="P1896">
        <v>19.14</v>
      </c>
    </row>
    <row r="1897" spans="2:16">
      <c r="C1897">
        <v>3</v>
      </c>
      <c r="D1897">
        <v>8</v>
      </c>
      <c r="F1897" t="s">
        <v>11724</v>
      </c>
      <c r="H1897" t="s">
        <v>70</v>
      </c>
      <c r="I1897">
        <v>89731</v>
      </c>
      <c r="K1897" t="s">
        <v>17417</v>
      </c>
      <c r="L1897" t="s">
        <v>1270</v>
      </c>
      <c r="M1897">
        <v>2</v>
      </c>
      <c r="N1897">
        <v>7.68</v>
      </c>
      <c r="O1897">
        <v>8.64</v>
      </c>
      <c r="P1897">
        <v>17.28</v>
      </c>
    </row>
    <row r="1898" spans="2:16">
      <c r="C1898">
        <v>3</v>
      </c>
      <c r="D1898">
        <v>8</v>
      </c>
      <c r="F1898" t="s">
        <v>11724</v>
      </c>
      <c r="H1898" t="s">
        <v>70</v>
      </c>
      <c r="I1898">
        <v>89731</v>
      </c>
      <c r="K1898" t="s">
        <v>17417</v>
      </c>
      <c r="L1898" t="s">
        <v>1270</v>
      </c>
      <c r="M1898">
        <v>1</v>
      </c>
      <c r="N1898">
        <v>7.68</v>
      </c>
      <c r="O1898">
        <v>8.64</v>
      </c>
      <c r="P1898">
        <v>8.64</v>
      </c>
    </row>
    <row r="1899" spans="2:16">
      <c r="C1899">
        <v>3</v>
      </c>
      <c r="D1899">
        <v>8</v>
      </c>
      <c r="F1899" t="s">
        <v>11724</v>
      </c>
      <c r="H1899" t="s">
        <v>70</v>
      </c>
      <c r="I1899">
        <v>90373</v>
      </c>
      <c r="K1899" t="s">
        <v>17536</v>
      </c>
      <c r="L1899" t="s">
        <v>1270</v>
      </c>
      <c r="M1899">
        <v>9</v>
      </c>
      <c r="N1899">
        <v>10.53</v>
      </c>
      <c r="O1899">
        <v>11.85</v>
      </c>
      <c r="P1899">
        <v>106.65</v>
      </c>
    </row>
    <row r="1900" spans="2:16">
      <c r="C1900">
        <v>3</v>
      </c>
      <c r="D1900">
        <v>8</v>
      </c>
      <c r="F1900" t="s">
        <v>11724</v>
      </c>
      <c r="H1900" t="s">
        <v>11722</v>
      </c>
      <c r="I1900" t="s">
        <v>13353</v>
      </c>
      <c r="K1900" t="s">
        <v>13354</v>
      </c>
      <c r="L1900" t="s">
        <v>1270</v>
      </c>
      <c r="M1900">
        <v>2</v>
      </c>
      <c r="N1900">
        <v>4.24</v>
      </c>
      <c r="O1900">
        <v>4.7699999999999996</v>
      </c>
      <c r="P1900">
        <v>9.5399999999999991</v>
      </c>
    </row>
    <row r="1901" spans="2:16">
      <c r="C1901">
        <v>3</v>
      </c>
      <c r="D1901">
        <v>8</v>
      </c>
      <c r="F1901" t="s">
        <v>11724</v>
      </c>
      <c r="H1901" t="s">
        <v>11722</v>
      </c>
      <c r="I1901" t="s">
        <v>13355</v>
      </c>
      <c r="K1901" t="s">
        <v>13356</v>
      </c>
      <c r="L1901" t="s">
        <v>1270</v>
      </c>
      <c r="M1901">
        <v>1</v>
      </c>
      <c r="N1901">
        <v>16.600000000000001</v>
      </c>
      <c r="O1901">
        <v>18.670000000000002</v>
      </c>
      <c r="P1901">
        <v>18.670000000000002</v>
      </c>
    </row>
    <row r="1902" spans="2:16">
      <c r="C1902">
        <v>3</v>
      </c>
      <c r="D1902">
        <v>8</v>
      </c>
      <c r="F1902" t="s">
        <v>11724</v>
      </c>
    </row>
    <row r="1903" spans="2:16">
      <c r="B1903">
        <v>1</v>
      </c>
      <c r="C1903">
        <v>3</v>
      </c>
      <c r="D1903">
        <v>9</v>
      </c>
      <c r="F1903" t="s">
        <v>11724</v>
      </c>
      <c r="H1903" t="s">
        <v>20901</v>
      </c>
      <c r="I1903" t="s">
        <v>11719</v>
      </c>
      <c r="L1903" t="s">
        <v>25</v>
      </c>
      <c r="M1903" t="s">
        <v>11704</v>
      </c>
      <c r="N1903" t="s">
        <v>11705</v>
      </c>
      <c r="O1903" t="s">
        <v>11706</v>
      </c>
      <c r="P1903">
        <v>23024.260000000002</v>
      </c>
    </row>
    <row r="1904" spans="2:16">
      <c r="C1904">
        <v>3</v>
      </c>
      <c r="D1904">
        <v>9</v>
      </c>
      <c r="F1904" t="s">
        <v>11724</v>
      </c>
    </row>
    <row r="1905" spans="3:16">
      <c r="C1905">
        <v>3</v>
      </c>
      <c r="D1905">
        <v>9</v>
      </c>
      <c r="F1905" t="s">
        <v>11724</v>
      </c>
      <c r="H1905" t="s">
        <v>70</v>
      </c>
      <c r="I1905">
        <v>65</v>
      </c>
      <c r="K1905" t="s">
        <v>1544</v>
      </c>
      <c r="L1905" t="s">
        <v>1270</v>
      </c>
      <c r="M1905">
        <v>35</v>
      </c>
      <c r="N1905">
        <v>0.76</v>
      </c>
      <c r="O1905">
        <v>0.85</v>
      </c>
      <c r="P1905">
        <v>29.75</v>
      </c>
    </row>
    <row r="1906" spans="3:16">
      <c r="C1906">
        <v>3</v>
      </c>
      <c r="D1906">
        <v>9</v>
      </c>
      <c r="F1906" t="s">
        <v>11724</v>
      </c>
      <c r="H1906" t="s">
        <v>70</v>
      </c>
      <c r="I1906">
        <v>1194</v>
      </c>
      <c r="K1906" t="s">
        <v>3374</v>
      </c>
      <c r="L1906" t="s">
        <v>1270</v>
      </c>
      <c r="M1906">
        <v>1</v>
      </c>
      <c r="N1906">
        <v>5.19</v>
      </c>
      <c r="O1906">
        <v>5.84</v>
      </c>
      <c r="P1906">
        <v>5.84</v>
      </c>
    </row>
    <row r="1907" spans="3:16">
      <c r="C1907">
        <v>3</v>
      </c>
      <c r="D1907">
        <v>9</v>
      </c>
      <c r="F1907" t="s">
        <v>11724</v>
      </c>
      <c r="H1907" t="s">
        <v>70</v>
      </c>
      <c r="I1907">
        <v>3500</v>
      </c>
      <c r="K1907" t="s">
        <v>6456</v>
      </c>
      <c r="L1907" t="s">
        <v>1270</v>
      </c>
      <c r="M1907">
        <v>4</v>
      </c>
      <c r="N1907">
        <v>1.1100000000000001</v>
      </c>
      <c r="O1907">
        <v>1.25</v>
      </c>
      <c r="P1907">
        <v>5</v>
      </c>
    </row>
    <row r="1908" spans="3:16">
      <c r="C1908">
        <v>3</v>
      </c>
      <c r="D1908">
        <v>9</v>
      </c>
      <c r="F1908" t="s">
        <v>11724</v>
      </c>
      <c r="H1908" t="s">
        <v>70</v>
      </c>
      <c r="I1908">
        <v>3518</v>
      </c>
      <c r="K1908" t="s">
        <v>6436</v>
      </c>
      <c r="L1908" t="s">
        <v>1270</v>
      </c>
      <c r="M1908">
        <v>1</v>
      </c>
      <c r="N1908">
        <v>2.5</v>
      </c>
      <c r="O1908">
        <v>2.81</v>
      </c>
      <c r="P1908">
        <v>2.81</v>
      </c>
    </row>
    <row r="1909" spans="3:16">
      <c r="C1909">
        <v>3</v>
      </c>
      <c r="D1909">
        <v>9</v>
      </c>
      <c r="F1909" t="s">
        <v>11724</v>
      </c>
      <c r="H1909" t="s">
        <v>70</v>
      </c>
      <c r="I1909">
        <v>3529</v>
      </c>
      <c r="K1909" t="s">
        <v>6421</v>
      </c>
      <c r="L1909" t="s">
        <v>1270</v>
      </c>
      <c r="M1909">
        <v>43</v>
      </c>
      <c r="N1909">
        <v>0.62</v>
      </c>
      <c r="O1909">
        <v>0.7</v>
      </c>
      <c r="P1909">
        <v>30.1</v>
      </c>
    </row>
    <row r="1910" spans="3:16">
      <c r="C1910">
        <v>3</v>
      </c>
      <c r="D1910">
        <v>9</v>
      </c>
      <c r="F1910" t="s">
        <v>11724</v>
      </c>
      <c r="H1910" t="s">
        <v>70</v>
      </c>
      <c r="I1910">
        <v>3909</v>
      </c>
      <c r="K1910" t="s">
        <v>6915</v>
      </c>
      <c r="L1910" t="s">
        <v>1270</v>
      </c>
      <c r="M1910">
        <v>35</v>
      </c>
      <c r="N1910">
        <v>4.07</v>
      </c>
      <c r="O1910">
        <v>4.58</v>
      </c>
      <c r="P1910">
        <v>160.30000000000001</v>
      </c>
    </row>
    <row r="1911" spans="3:16">
      <c r="C1911">
        <v>3</v>
      </c>
      <c r="D1911">
        <v>9</v>
      </c>
      <c r="F1911" t="s">
        <v>11724</v>
      </c>
      <c r="H1911" t="s">
        <v>70</v>
      </c>
      <c r="I1911">
        <v>7602</v>
      </c>
      <c r="K1911" t="s">
        <v>9798</v>
      </c>
      <c r="L1911" t="s">
        <v>1270</v>
      </c>
      <c r="M1911">
        <v>8</v>
      </c>
      <c r="N1911">
        <v>13.17</v>
      </c>
      <c r="O1911">
        <v>14.81</v>
      </c>
      <c r="P1911">
        <v>118.48</v>
      </c>
    </row>
    <row r="1912" spans="3:16">
      <c r="C1912">
        <v>3</v>
      </c>
      <c r="D1912">
        <v>9</v>
      </c>
      <c r="F1912" t="s">
        <v>11724</v>
      </c>
      <c r="H1912" t="s">
        <v>70</v>
      </c>
      <c r="I1912">
        <v>9868</v>
      </c>
      <c r="K1912" t="s">
        <v>10502</v>
      </c>
      <c r="L1912" t="s">
        <v>18</v>
      </c>
      <c r="M1912">
        <v>1122</v>
      </c>
      <c r="N1912">
        <v>3.15</v>
      </c>
      <c r="O1912">
        <v>3.54</v>
      </c>
      <c r="P1912">
        <v>3971.88</v>
      </c>
    </row>
    <row r="1913" spans="3:16">
      <c r="C1913">
        <v>3</v>
      </c>
      <c r="D1913">
        <v>9</v>
      </c>
      <c r="F1913" t="s">
        <v>11724</v>
      </c>
      <c r="H1913" t="s">
        <v>70</v>
      </c>
      <c r="I1913">
        <v>9868</v>
      </c>
      <c r="K1913" t="s">
        <v>10502</v>
      </c>
      <c r="L1913" t="s">
        <v>1270</v>
      </c>
      <c r="M1913">
        <v>8</v>
      </c>
      <c r="N1913">
        <v>3.15</v>
      </c>
      <c r="O1913">
        <v>3.54</v>
      </c>
      <c r="P1913">
        <v>28.32</v>
      </c>
    </row>
    <row r="1914" spans="3:16">
      <c r="C1914">
        <v>3</v>
      </c>
      <c r="D1914">
        <v>9</v>
      </c>
      <c r="F1914" t="s">
        <v>11724</v>
      </c>
      <c r="H1914" t="s">
        <v>70</v>
      </c>
      <c r="I1914">
        <v>9875</v>
      </c>
      <c r="K1914" t="s">
        <v>10505</v>
      </c>
      <c r="L1914" t="s">
        <v>18</v>
      </c>
      <c r="M1914">
        <v>1170</v>
      </c>
      <c r="N1914">
        <v>12.21</v>
      </c>
      <c r="O1914">
        <v>13.74</v>
      </c>
      <c r="P1914">
        <v>16075.8</v>
      </c>
    </row>
    <row r="1915" spans="3:16">
      <c r="C1915">
        <v>3</v>
      </c>
      <c r="D1915">
        <v>9</v>
      </c>
      <c r="F1915" t="s">
        <v>11724</v>
      </c>
      <c r="H1915" t="s">
        <v>70</v>
      </c>
      <c r="I1915">
        <v>11831</v>
      </c>
      <c r="K1915" t="s">
        <v>9806</v>
      </c>
      <c r="L1915" t="s">
        <v>1270</v>
      </c>
      <c r="M1915">
        <v>27</v>
      </c>
      <c r="N1915">
        <v>18.62</v>
      </c>
      <c r="O1915">
        <v>20.95</v>
      </c>
      <c r="P1915">
        <v>565.65</v>
      </c>
    </row>
    <row r="1916" spans="3:16">
      <c r="C1916">
        <v>3</v>
      </c>
      <c r="D1916">
        <v>9</v>
      </c>
      <c r="F1916" t="s">
        <v>11724</v>
      </c>
      <c r="H1916" t="s">
        <v>70</v>
      </c>
      <c r="I1916">
        <v>89395</v>
      </c>
      <c r="K1916" t="s">
        <v>9470</v>
      </c>
      <c r="L1916" t="s">
        <v>1270</v>
      </c>
      <c r="M1916">
        <v>30</v>
      </c>
      <c r="N1916">
        <v>8.84</v>
      </c>
      <c r="O1916">
        <v>9.94</v>
      </c>
      <c r="P1916">
        <v>298.2</v>
      </c>
    </row>
    <row r="1917" spans="3:16">
      <c r="C1917">
        <v>3</v>
      </c>
      <c r="D1917">
        <v>9</v>
      </c>
      <c r="F1917" t="s">
        <v>11724</v>
      </c>
      <c r="H1917" t="s">
        <v>70</v>
      </c>
      <c r="I1917">
        <v>89489</v>
      </c>
      <c r="K1917" t="s">
        <v>4495</v>
      </c>
      <c r="L1917" t="s">
        <v>1270</v>
      </c>
      <c r="M1917">
        <v>6</v>
      </c>
      <c r="N1917">
        <v>4.82</v>
      </c>
      <c r="O1917">
        <v>5.42</v>
      </c>
      <c r="P1917">
        <v>32.520000000000003</v>
      </c>
    </row>
    <row r="1918" spans="3:16">
      <c r="C1918">
        <v>3</v>
      </c>
      <c r="D1918">
        <v>9</v>
      </c>
      <c r="F1918" t="s">
        <v>11724</v>
      </c>
      <c r="H1918" t="s">
        <v>70</v>
      </c>
      <c r="I1918">
        <v>89490</v>
      </c>
      <c r="K1918" t="s">
        <v>4416</v>
      </c>
      <c r="L1918" t="s">
        <v>1270</v>
      </c>
      <c r="M1918">
        <v>2</v>
      </c>
      <c r="N1918">
        <v>4.38</v>
      </c>
      <c r="O1918">
        <v>4.93</v>
      </c>
      <c r="P1918">
        <v>9.86</v>
      </c>
    </row>
    <row r="1919" spans="3:16">
      <c r="C1919">
        <v>3</v>
      </c>
      <c r="D1919">
        <v>9</v>
      </c>
      <c r="F1919" t="s">
        <v>11724</v>
      </c>
      <c r="H1919" t="s">
        <v>70</v>
      </c>
      <c r="I1919">
        <v>89627</v>
      </c>
      <c r="K1919" t="s">
        <v>9315</v>
      </c>
      <c r="L1919" t="s">
        <v>1270</v>
      </c>
      <c r="M1919">
        <v>4</v>
      </c>
      <c r="N1919">
        <v>14.71</v>
      </c>
      <c r="O1919">
        <v>16.55</v>
      </c>
      <c r="P1919">
        <v>66.2</v>
      </c>
    </row>
    <row r="1920" spans="3:16">
      <c r="C1920">
        <v>3</v>
      </c>
      <c r="D1920">
        <v>9</v>
      </c>
      <c r="F1920" t="s">
        <v>11724</v>
      </c>
      <c r="H1920" t="s">
        <v>70</v>
      </c>
      <c r="I1920">
        <v>92701</v>
      </c>
      <c r="K1920" t="s">
        <v>17634</v>
      </c>
      <c r="L1920" t="s">
        <v>1270</v>
      </c>
      <c r="M1920">
        <v>35</v>
      </c>
      <c r="N1920">
        <v>20.28</v>
      </c>
      <c r="O1920">
        <v>22.81</v>
      </c>
      <c r="P1920">
        <v>798.35</v>
      </c>
    </row>
    <row r="1921" spans="2:16">
      <c r="C1921">
        <v>3</v>
      </c>
      <c r="D1921">
        <v>9</v>
      </c>
      <c r="F1921" t="s">
        <v>11724</v>
      </c>
      <c r="H1921" t="s">
        <v>70</v>
      </c>
      <c r="I1921">
        <v>94694</v>
      </c>
      <c r="K1921" t="s">
        <v>17821</v>
      </c>
      <c r="L1921" t="s">
        <v>1270</v>
      </c>
      <c r="M1921">
        <v>4</v>
      </c>
      <c r="N1921">
        <v>17.86</v>
      </c>
      <c r="O1921">
        <v>20.09</v>
      </c>
      <c r="P1921">
        <v>80.36</v>
      </c>
    </row>
    <row r="1922" spans="2:16">
      <c r="C1922">
        <v>3</v>
      </c>
      <c r="D1922">
        <v>9</v>
      </c>
      <c r="F1922" t="s">
        <v>11724</v>
      </c>
      <c r="H1922" t="s">
        <v>70</v>
      </c>
      <c r="I1922">
        <v>1725</v>
      </c>
      <c r="K1922" t="s">
        <v>4219</v>
      </c>
      <c r="L1922" t="s">
        <v>1270</v>
      </c>
      <c r="M1922">
        <v>35</v>
      </c>
      <c r="N1922">
        <v>18.39</v>
      </c>
      <c r="O1922">
        <v>20.69</v>
      </c>
      <c r="P1922">
        <v>724.15</v>
      </c>
    </row>
    <row r="1923" spans="2:16">
      <c r="C1923">
        <v>3</v>
      </c>
      <c r="D1923">
        <v>9</v>
      </c>
      <c r="F1923" t="s">
        <v>11724</v>
      </c>
      <c r="H1923" t="s">
        <v>70</v>
      </c>
      <c r="I1923">
        <v>1725</v>
      </c>
      <c r="K1923" t="s">
        <v>4219</v>
      </c>
      <c r="L1923" t="s">
        <v>1270</v>
      </c>
      <c r="M1923">
        <v>1</v>
      </c>
      <c r="N1923">
        <v>18.39</v>
      </c>
      <c r="O1923">
        <v>20.69</v>
      </c>
      <c r="P1923">
        <v>20.69</v>
      </c>
    </row>
    <row r="1924" spans="2:16">
      <c r="C1924">
        <v>3</v>
      </c>
      <c r="D1924">
        <v>9</v>
      </c>
      <c r="F1924" t="s">
        <v>11724</v>
      </c>
    </row>
    <row r="1925" spans="2:16">
      <c r="B1925">
        <v>1</v>
      </c>
      <c r="C1925">
        <v>3</v>
      </c>
      <c r="D1925">
        <v>10</v>
      </c>
      <c r="F1925" t="s">
        <v>11724</v>
      </c>
      <c r="H1925" t="s">
        <v>20902</v>
      </c>
      <c r="I1925" t="s">
        <v>13360</v>
      </c>
      <c r="L1925" t="s">
        <v>25</v>
      </c>
      <c r="M1925" t="s">
        <v>11704</v>
      </c>
      <c r="N1925" t="s">
        <v>11705</v>
      </c>
      <c r="O1925" t="s">
        <v>11706</v>
      </c>
      <c r="P1925">
        <v>1157.2</v>
      </c>
    </row>
    <row r="1926" spans="2:16">
      <c r="C1926">
        <v>3</v>
      </c>
      <c r="D1926">
        <v>10</v>
      </c>
      <c r="F1926" t="s">
        <v>11724</v>
      </c>
    </row>
    <row r="1927" spans="2:16">
      <c r="C1927">
        <v>3</v>
      </c>
      <c r="D1927">
        <v>10</v>
      </c>
      <c r="F1927" t="s">
        <v>11724</v>
      </c>
      <c r="H1927" t="s">
        <v>70</v>
      </c>
      <c r="I1927">
        <v>7740</v>
      </c>
      <c r="K1927" t="s">
        <v>10174</v>
      </c>
      <c r="L1927" t="s">
        <v>18</v>
      </c>
      <c r="M1927">
        <v>11</v>
      </c>
      <c r="N1927">
        <v>93.52</v>
      </c>
      <c r="O1927">
        <v>105.2</v>
      </c>
      <c r="P1927">
        <v>1157.2</v>
      </c>
    </row>
    <row r="1928" spans="2:16">
      <c r="C1928">
        <v>3</v>
      </c>
      <c r="D1928">
        <v>10</v>
      </c>
      <c r="F1928" t="s">
        <v>11724</v>
      </c>
    </row>
    <row r="1929" spans="2:16">
      <c r="C1929">
        <v>3</v>
      </c>
      <c r="D1929">
        <v>0</v>
      </c>
      <c r="F1929" t="s">
        <v>11724</v>
      </c>
      <c r="H1929">
        <v>3</v>
      </c>
      <c r="I1929" t="s">
        <v>11725</v>
      </c>
      <c r="O1929" t="s">
        <v>78</v>
      </c>
      <c r="P1929">
        <v>3881137.3200000008</v>
      </c>
    </row>
    <row r="1930" spans="2:16">
      <c r="C1930">
        <v>3</v>
      </c>
      <c r="D1930">
        <v>0</v>
      </c>
      <c r="F1930" t="s">
        <v>11724</v>
      </c>
    </row>
    <row r="1931" spans="2:16">
      <c r="B1931">
        <v>1</v>
      </c>
      <c r="C1931">
        <v>3</v>
      </c>
      <c r="D1931">
        <v>1</v>
      </c>
      <c r="F1931" t="s">
        <v>11724</v>
      </c>
      <c r="H1931" t="s">
        <v>14546</v>
      </c>
      <c r="I1931" t="s">
        <v>12696</v>
      </c>
      <c r="L1931" t="s">
        <v>25</v>
      </c>
      <c r="M1931" t="s">
        <v>11704</v>
      </c>
      <c r="N1931" t="s">
        <v>11705</v>
      </c>
      <c r="O1931" t="s">
        <v>11706</v>
      </c>
      <c r="P1931">
        <v>3028207.27</v>
      </c>
    </row>
    <row r="1932" spans="2:16">
      <c r="C1932">
        <v>3</v>
      </c>
      <c r="D1932">
        <v>1</v>
      </c>
      <c r="F1932" t="s">
        <v>11724</v>
      </c>
    </row>
    <row r="1933" spans="2:16">
      <c r="C1933">
        <v>3</v>
      </c>
      <c r="D1933">
        <v>1</v>
      </c>
      <c r="F1933" t="s">
        <v>11724</v>
      </c>
      <c r="H1933" t="s">
        <v>11722</v>
      </c>
      <c r="I1933" t="s">
        <v>13272</v>
      </c>
      <c r="K1933" t="s">
        <v>14464</v>
      </c>
      <c r="L1933" t="s">
        <v>10854</v>
      </c>
      <c r="M1933">
        <v>7</v>
      </c>
      <c r="N1933">
        <v>10569.23</v>
      </c>
      <c r="O1933">
        <v>11889.33</v>
      </c>
      <c r="P1933">
        <v>83225.31</v>
      </c>
    </row>
    <row r="1934" spans="2:16">
      <c r="C1934">
        <v>3</v>
      </c>
      <c r="D1934">
        <v>1</v>
      </c>
      <c r="F1934" t="s">
        <v>11724</v>
      </c>
      <c r="H1934" t="s">
        <v>11722</v>
      </c>
      <c r="I1934" t="s">
        <v>13361</v>
      </c>
      <c r="K1934" t="s">
        <v>14465</v>
      </c>
      <c r="L1934" t="s">
        <v>65</v>
      </c>
      <c r="M1934">
        <v>7</v>
      </c>
      <c r="N1934">
        <v>14450</v>
      </c>
      <c r="O1934">
        <v>16254.81</v>
      </c>
      <c r="P1934">
        <v>113783.67</v>
      </c>
    </row>
    <row r="1935" spans="2:16">
      <c r="C1935">
        <v>3</v>
      </c>
      <c r="D1935">
        <v>1</v>
      </c>
      <c r="F1935" t="s">
        <v>11724</v>
      </c>
      <c r="H1935" t="s">
        <v>11722</v>
      </c>
      <c r="I1935" t="s">
        <v>13362</v>
      </c>
      <c r="K1935" t="s">
        <v>14466</v>
      </c>
      <c r="L1935" t="s">
        <v>71</v>
      </c>
      <c r="M1935">
        <v>50</v>
      </c>
      <c r="N1935">
        <v>408.22</v>
      </c>
      <c r="O1935">
        <v>459.21</v>
      </c>
      <c r="P1935">
        <v>22960.5</v>
      </c>
    </row>
    <row r="1936" spans="2:16">
      <c r="C1936">
        <v>3</v>
      </c>
      <c r="D1936">
        <v>1</v>
      </c>
      <c r="F1936" t="s">
        <v>11724</v>
      </c>
      <c r="H1936" t="s">
        <v>11722</v>
      </c>
      <c r="I1936" t="s">
        <v>13273</v>
      </c>
      <c r="K1936" t="s">
        <v>13364</v>
      </c>
      <c r="L1936" t="s">
        <v>10854</v>
      </c>
      <c r="M1936">
        <v>1</v>
      </c>
      <c r="N1936">
        <v>7106.18</v>
      </c>
      <c r="O1936">
        <v>7993.74</v>
      </c>
      <c r="P1936">
        <v>7993.74</v>
      </c>
    </row>
    <row r="1937" spans="3:16">
      <c r="C1937">
        <v>3</v>
      </c>
      <c r="D1937">
        <v>1</v>
      </c>
      <c r="F1937" t="s">
        <v>11724</v>
      </c>
      <c r="H1937" t="s">
        <v>11722</v>
      </c>
      <c r="I1937" t="s">
        <v>13291</v>
      </c>
      <c r="K1937" t="s">
        <v>13363</v>
      </c>
      <c r="L1937" t="s">
        <v>10854</v>
      </c>
      <c r="M1937">
        <v>7</v>
      </c>
      <c r="N1937">
        <v>20789.23</v>
      </c>
      <c r="O1937">
        <v>23385.8</v>
      </c>
      <c r="P1937">
        <v>163700.6</v>
      </c>
    </row>
    <row r="1938" spans="3:16">
      <c r="C1938">
        <v>3</v>
      </c>
      <c r="D1938">
        <v>1</v>
      </c>
      <c r="F1938" t="s">
        <v>11724</v>
      </c>
      <c r="H1938" t="s">
        <v>11722</v>
      </c>
      <c r="I1938" t="s">
        <v>13062</v>
      </c>
      <c r="K1938" t="s">
        <v>13063</v>
      </c>
      <c r="L1938" t="s">
        <v>10854</v>
      </c>
      <c r="M1938">
        <v>2</v>
      </c>
      <c r="N1938">
        <v>4600</v>
      </c>
      <c r="O1938">
        <v>5174.54</v>
      </c>
      <c r="P1938">
        <v>10349.08</v>
      </c>
    </row>
    <row r="1939" spans="3:16">
      <c r="C1939">
        <v>3</v>
      </c>
      <c r="D1939">
        <v>1</v>
      </c>
      <c r="F1939" t="s">
        <v>11724</v>
      </c>
      <c r="H1939" t="s">
        <v>11722</v>
      </c>
      <c r="I1939" t="s">
        <v>13064</v>
      </c>
      <c r="K1939" t="s">
        <v>13065</v>
      </c>
      <c r="L1939" t="s">
        <v>10854</v>
      </c>
      <c r="M1939">
        <v>2</v>
      </c>
      <c r="N1939">
        <v>7400</v>
      </c>
      <c r="O1939">
        <v>8324.26</v>
      </c>
      <c r="P1939">
        <v>16648.52</v>
      </c>
    </row>
    <row r="1940" spans="3:16">
      <c r="C1940">
        <v>3</v>
      </c>
      <c r="D1940">
        <v>1</v>
      </c>
      <c r="F1940" t="s">
        <v>11724</v>
      </c>
      <c r="H1940" t="s">
        <v>11722</v>
      </c>
      <c r="I1940" t="s">
        <v>13066</v>
      </c>
      <c r="K1940" t="s">
        <v>13067</v>
      </c>
      <c r="L1940" t="s">
        <v>10854</v>
      </c>
      <c r="M1940">
        <v>1</v>
      </c>
      <c r="N1940">
        <v>8500</v>
      </c>
      <c r="O1940">
        <v>9561.65</v>
      </c>
      <c r="P1940">
        <v>9561.65</v>
      </c>
    </row>
    <row r="1941" spans="3:16">
      <c r="C1941">
        <v>3</v>
      </c>
      <c r="D1941">
        <v>1</v>
      </c>
      <c r="F1941" t="s">
        <v>11724</v>
      </c>
      <c r="H1941" t="s">
        <v>11722</v>
      </c>
      <c r="I1941" t="s">
        <v>13068</v>
      </c>
      <c r="K1941" t="s">
        <v>13069</v>
      </c>
      <c r="L1941" t="s">
        <v>10854</v>
      </c>
      <c r="M1941">
        <v>3</v>
      </c>
      <c r="N1941">
        <v>5900</v>
      </c>
      <c r="O1941">
        <v>6636.91</v>
      </c>
      <c r="P1941">
        <v>19910.73</v>
      </c>
    </row>
    <row r="1942" spans="3:16">
      <c r="C1942">
        <v>3</v>
      </c>
      <c r="D1942">
        <v>1</v>
      </c>
      <c r="F1942" t="s">
        <v>11724</v>
      </c>
      <c r="H1942" t="s">
        <v>11722</v>
      </c>
      <c r="I1942" t="s">
        <v>13070</v>
      </c>
      <c r="K1942" t="s">
        <v>13071</v>
      </c>
      <c r="L1942" t="s">
        <v>10854</v>
      </c>
      <c r="M1942">
        <v>2</v>
      </c>
      <c r="N1942">
        <v>3500</v>
      </c>
      <c r="O1942">
        <v>3937.15</v>
      </c>
      <c r="P1942">
        <v>7874.3</v>
      </c>
    </row>
    <row r="1943" spans="3:16">
      <c r="C1943">
        <v>3</v>
      </c>
      <c r="D1943">
        <v>1</v>
      </c>
      <c r="F1943" t="s">
        <v>11724</v>
      </c>
      <c r="H1943" t="s">
        <v>11722</v>
      </c>
      <c r="I1943" t="s">
        <v>13072</v>
      </c>
      <c r="K1943" t="s">
        <v>13073</v>
      </c>
      <c r="L1943" t="s">
        <v>10854</v>
      </c>
      <c r="M1943">
        <v>1</v>
      </c>
      <c r="N1943">
        <v>12100</v>
      </c>
      <c r="O1943">
        <v>13611.29</v>
      </c>
      <c r="P1943">
        <v>13611.29</v>
      </c>
    </row>
    <row r="1944" spans="3:16">
      <c r="C1944">
        <v>3</v>
      </c>
      <c r="D1944">
        <v>1</v>
      </c>
      <c r="F1944" t="s">
        <v>11724</v>
      </c>
      <c r="H1944" t="s">
        <v>11722</v>
      </c>
      <c r="I1944" t="s">
        <v>13253</v>
      </c>
      <c r="K1944" t="s">
        <v>13254</v>
      </c>
      <c r="L1944" t="s">
        <v>11723</v>
      </c>
      <c r="M1944">
        <v>2</v>
      </c>
      <c r="N1944">
        <v>12150</v>
      </c>
      <c r="O1944">
        <v>13667.54</v>
      </c>
      <c r="P1944">
        <v>27335.08</v>
      </c>
    </row>
    <row r="1945" spans="3:16">
      <c r="C1945">
        <v>3</v>
      </c>
      <c r="D1945">
        <v>1</v>
      </c>
      <c r="F1945" t="s">
        <v>11724</v>
      </c>
      <c r="H1945" t="s">
        <v>11722</v>
      </c>
      <c r="I1945" t="s">
        <v>13255</v>
      </c>
      <c r="K1945" t="s">
        <v>13256</v>
      </c>
      <c r="L1945" t="s">
        <v>11723</v>
      </c>
      <c r="M1945">
        <v>5</v>
      </c>
      <c r="N1945">
        <v>195500</v>
      </c>
      <c r="O1945">
        <v>219917.95</v>
      </c>
      <c r="P1945">
        <v>1099589.75</v>
      </c>
    </row>
    <row r="1946" spans="3:16">
      <c r="C1946">
        <v>3</v>
      </c>
      <c r="D1946">
        <v>1</v>
      </c>
      <c r="F1946" t="s">
        <v>11724</v>
      </c>
      <c r="H1946" t="s">
        <v>11722</v>
      </c>
      <c r="I1946" t="s">
        <v>13274</v>
      </c>
      <c r="K1946" t="s">
        <v>13275</v>
      </c>
      <c r="L1946" t="s">
        <v>13276</v>
      </c>
      <c r="M1946">
        <v>2</v>
      </c>
      <c r="N1946">
        <v>290000</v>
      </c>
      <c r="O1946">
        <v>326221</v>
      </c>
      <c r="P1946">
        <v>652442</v>
      </c>
    </row>
    <row r="1947" spans="3:16">
      <c r="C1947">
        <v>3</v>
      </c>
      <c r="D1947">
        <v>1</v>
      </c>
      <c r="F1947" t="s">
        <v>11724</v>
      </c>
      <c r="H1947" t="s">
        <v>11722</v>
      </c>
      <c r="I1947" t="s">
        <v>13278</v>
      </c>
      <c r="K1947" t="s">
        <v>13279</v>
      </c>
      <c r="L1947" t="s">
        <v>10854</v>
      </c>
      <c r="M1947">
        <v>2</v>
      </c>
      <c r="N1947">
        <v>8380.36</v>
      </c>
      <c r="O1947">
        <v>9427.07</v>
      </c>
      <c r="P1947">
        <v>18854.14</v>
      </c>
    </row>
    <row r="1948" spans="3:16">
      <c r="C1948">
        <v>3</v>
      </c>
      <c r="D1948">
        <v>1</v>
      </c>
      <c r="F1948" t="s">
        <v>11724</v>
      </c>
      <c r="H1948" t="s">
        <v>11722</v>
      </c>
      <c r="I1948" t="s">
        <v>13268</v>
      </c>
      <c r="K1948" t="s">
        <v>13269</v>
      </c>
      <c r="L1948" t="s">
        <v>10854</v>
      </c>
      <c r="M1948">
        <v>2</v>
      </c>
      <c r="N1948">
        <v>12993.75</v>
      </c>
      <c r="O1948">
        <v>14616.67</v>
      </c>
      <c r="P1948">
        <v>29233.34</v>
      </c>
    </row>
    <row r="1949" spans="3:16">
      <c r="C1949">
        <v>3</v>
      </c>
      <c r="D1949">
        <v>1</v>
      </c>
      <c r="F1949" t="s">
        <v>11724</v>
      </c>
      <c r="H1949" t="s">
        <v>11722</v>
      </c>
      <c r="I1949" t="s">
        <v>13270</v>
      </c>
      <c r="K1949" t="s">
        <v>13271</v>
      </c>
      <c r="L1949" t="s">
        <v>10854</v>
      </c>
      <c r="M1949">
        <v>1</v>
      </c>
      <c r="N1949">
        <v>8372.3799999999992</v>
      </c>
      <c r="O1949">
        <v>9418.09</v>
      </c>
      <c r="P1949">
        <v>9418.09</v>
      </c>
    </row>
    <row r="1950" spans="3:16">
      <c r="C1950">
        <v>3</v>
      </c>
      <c r="D1950">
        <v>1</v>
      </c>
      <c r="F1950" t="s">
        <v>11724</v>
      </c>
      <c r="H1950" t="s">
        <v>11722</v>
      </c>
      <c r="I1950" t="s">
        <v>13281</v>
      </c>
      <c r="K1950" t="s">
        <v>13282</v>
      </c>
      <c r="L1950" t="s">
        <v>11723</v>
      </c>
      <c r="M1950">
        <v>2</v>
      </c>
      <c r="N1950">
        <v>75356.75</v>
      </c>
      <c r="O1950">
        <v>84768.81</v>
      </c>
      <c r="P1950">
        <v>169537.62</v>
      </c>
    </row>
    <row r="1951" spans="3:16">
      <c r="C1951">
        <v>3</v>
      </c>
      <c r="D1951">
        <v>1</v>
      </c>
      <c r="F1951" t="s">
        <v>11724</v>
      </c>
      <c r="H1951" t="s">
        <v>11722</v>
      </c>
      <c r="I1951" t="s">
        <v>13283</v>
      </c>
      <c r="K1951" t="s">
        <v>13284</v>
      </c>
      <c r="L1951" t="s">
        <v>11723</v>
      </c>
      <c r="M1951">
        <v>2</v>
      </c>
      <c r="N1951">
        <v>2506.9</v>
      </c>
      <c r="O1951">
        <v>2820.01</v>
      </c>
      <c r="P1951">
        <v>5640.02</v>
      </c>
    </row>
    <row r="1952" spans="3:16">
      <c r="C1952">
        <v>3</v>
      </c>
      <c r="D1952">
        <v>1</v>
      </c>
      <c r="F1952" t="s">
        <v>11724</v>
      </c>
      <c r="H1952" t="s">
        <v>11722</v>
      </c>
      <c r="I1952" t="s">
        <v>13277</v>
      </c>
      <c r="K1952" t="s">
        <v>14426</v>
      </c>
      <c r="L1952" t="s">
        <v>11723</v>
      </c>
      <c r="M1952">
        <v>2</v>
      </c>
      <c r="N1952">
        <v>58151.05</v>
      </c>
      <c r="O1952">
        <v>65414.12</v>
      </c>
      <c r="P1952">
        <v>130828.24</v>
      </c>
    </row>
    <row r="1953" spans="2:16">
      <c r="C1953">
        <v>3</v>
      </c>
      <c r="D1953">
        <v>1</v>
      </c>
      <c r="F1953" t="s">
        <v>11724</v>
      </c>
      <c r="H1953" t="s">
        <v>11722</v>
      </c>
      <c r="I1953" t="s">
        <v>13249</v>
      </c>
      <c r="K1953" t="s">
        <v>13250</v>
      </c>
      <c r="L1953" t="s">
        <v>11723</v>
      </c>
      <c r="M1953">
        <v>2</v>
      </c>
      <c r="N1953">
        <v>162796.75</v>
      </c>
      <c r="O1953">
        <v>183130.06</v>
      </c>
      <c r="P1953">
        <v>366260.12</v>
      </c>
    </row>
    <row r="1954" spans="2:16">
      <c r="C1954">
        <v>3</v>
      </c>
      <c r="D1954">
        <v>1</v>
      </c>
      <c r="F1954" t="s">
        <v>11724</v>
      </c>
      <c r="H1954" t="s">
        <v>11722</v>
      </c>
      <c r="I1954" t="s">
        <v>13251</v>
      </c>
      <c r="K1954" t="s">
        <v>13252</v>
      </c>
      <c r="L1954" t="s">
        <v>11723</v>
      </c>
      <c r="M1954">
        <v>1</v>
      </c>
      <c r="N1954">
        <v>43959</v>
      </c>
      <c r="O1954">
        <v>49449.48</v>
      </c>
      <c r="P1954">
        <v>49449.48</v>
      </c>
    </row>
    <row r="1955" spans="2:16">
      <c r="C1955">
        <v>3</v>
      </c>
      <c r="D1955">
        <v>1</v>
      </c>
      <c r="F1955" t="s">
        <v>11724</v>
      </c>
    </row>
    <row r="1956" spans="2:16">
      <c r="B1956">
        <v>1</v>
      </c>
      <c r="C1956">
        <v>3</v>
      </c>
      <c r="D1956">
        <v>2</v>
      </c>
      <c r="F1956" t="s">
        <v>11724</v>
      </c>
      <c r="H1956" t="s">
        <v>14547</v>
      </c>
      <c r="I1956" t="s">
        <v>13292</v>
      </c>
      <c r="L1956" t="s">
        <v>25</v>
      </c>
      <c r="M1956" t="s">
        <v>11704</v>
      </c>
      <c r="N1956" t="s">
        <v>11705</v>
      </c>
      <c r="O1956" t="s">
        <v>11706</v>
      </c>
      <c r="P1956">
        <v>322685.38999999996</v>
      </c>
    </row>
    <row r="1957" spans="2:16">
      <c r="C1957">
        <v>3</v>
      </c>
      <c r="D1957">
        <v>2</v>
      </c>
      <c r="F1957" t="s">
        <v>11724</v>
      </c>
    </row>
    <row r="1958" spans="2:16">
      <c r="C1958">
        <v>3</v>
      </c>
      <c r="D1958">
        <v>2</v>
      </c>
      <c r="F1958" t="s">
        <v>11724</v>
      </c>
      <c r="H1958" t="s">
        <v>11722</v>
      </c>
      <c r="I1958" t="s">
        <v>13287</v>
      </c>
      <c r="K1958" t="s">
        <v>13288</v>
      </c>
      <c r="L1958" t="s">
        <v>11723</v>
      </c>
      <c r="M1958">
        <v>32</v>
      </c>
      <c r="N1958">
        <v>2375</v>
      </c>
      <c r="O1958">
        <v>2671.64</v>
      </c>
      <c r="P1958">
        <v>85492.479999999996</v>
      </c>
    </row>
    <row r="1959" spans="2:16">
      <c r="C1959">
        <v>3</v>
      </c>
      <c r="D1959">
        <v>2</v>
      </c>
      <c r="F1959" t="s">
        <v>11724</v>
      </c>
      <c r="H1959" t="s">
        <v>11722</v>
      </c>
      <c r="I1959" t="s">
        <v>12703</v>
      </c>
      <c r="K1959" t="s">
        <v>12704</v>
      </c>
      <c r="L1959" t="s">
        <v>10854</v>
      </c>
      <c r="M1959">
        <v>8</v>
      </c>
      <c r="N1959">
        <v>18600.89</v>
      </c>
      <c r="O1959">
        <v>20924.14</v>
      </c>
      <c r="P1959">
        <v>167393.12</v>
      </c>
    </row>
    <row r="1960" spans="2:16">
      <c r="C1960">
        <v>3</v>
      </c>
      <c r="D1960">
        <v>2</v>
      </c>
      <c r="F1960" t="s">
        <v>11724</v>
      </c>
      <c r="H1960" t="s">
        <v>11722</v>
      </c>
      <c r="I1960" t="s">
        <v>13076</v>
      </c>
      <c r="K1960" t="s">
        <v>13077</v>
      </c>
      <c r="L1960" t="s">
        <v>10854</v>
      </c>
      <c r="M1960">
        <v>2</v>
      </c>
      <c r="N1960">
        <v>318.04000000000002</v>
      </c>
      <c r="O1960">
        <v>357.76</v>
      </c>
      <c r="P1960">
        <v>715.52</v>
      </c>
    </row>
    <row r="1961" spans="2:16">
      <c r="C1961">
        <v>3</v>
      </c>
      <c r="D1961">
        <v>2</v>
      </c>
      <c r="F1961" t="s">
        <v>11724</v>
      </c>
      <c r="H1961" t="s">
        <v>11722</v>
      </c>
      <c r="I1961" t="s">
        <v>13078</v>
      </c>
      <c r="K1961" t="s">
        <v>13079</v>
      </c>
      <c r="L1961" t="s">
        <v>10854</v>
      </c>
      <c r="M1961">
        <v>8</v>
      </c>
      <c r="N1961">
        <v>216.71</v>
      </c>
      <c r="O1961">
        <v>243.78</v>
      </c>
      <c r="P1961">
        <v>1950.24</v>
      </c>
    </row>
    <row r="1962" spans="2:16">
      <c r="C1962">
        <v>3</v>
      </c>
      <c r="D1962">
        <v>2</v>
      </c>
      <c r="F1962" t="s">
        <v>11724</v>
      </c>
      <c r="H1962" t="s">
        <v>11722</v>
      </c>
      <c r="I1962" t="s">
        <v>14471</v>
      </c>
      <c r="K1962" t="s">
        <v>13128</v>
      </c>
      <c r="L1962" t="s">
        <v>1270</v>
      </c>
      <c r="M1962">
        <v>1</v>
      </c>
      <c r="N1962">
        <v>8680</v>
      </c>
      <c r="O1962">
        <v>9764.1299999999992</v>
      </c>
      <c r="P1962">
        <v>9764.1299999999992</v>
      </c>
    </row>
    <row r="1963" spans="2:16">
      <c r="C1963">
        <v>3</v>
      </c>
      <c r="D1963">
        <v>2</v>
      </c>
      <c r="F1963" t="s">
        <v>11724</v>
      </c>
      <c r="H1963" t="s">
        <v>11722</v>
      </c>
      <c r="I1963" t="s">
        <v>13088</v>
      </c>
      <c r="K1963" t="s">
        <v>13089</v>
      </c>
      <c r="L1963" t="s">
        <v>11723</v>
      </c>
      <c r="M1963">
        <v>2</v>
      </c>
      <c r="N1963">
        <v>25500</v>
      </c>
      <c r="O1963">
        <v>28684.95</v>
      </c>
      <c r="P1963">
        <v>57369.9</v>
      </c>
    </row>
    <row r="1964" spans="2:16">
      <c r="C1964">
        <v>3</v>
      </c>
      <c r="D1964">
        <v>2</v>
      </c>
      <c r="F1964" t="s">
        <v>11724</v>
      </c>
    </row>
    <row r="1965" spans="2:16">
      <c r="B1965">
        <v>1</v>
      </c>
      <c r="C1965">
        <v>3</v>
      </c>
      <c r="D1965">
        <v>3</v>
      </c>
      <c r="F1965" t="s">
        <v>11724</v>
      </c>
      <c r="H1965" t="s">
        <v>20895</v>
      </c>
      <c r="I1965" t="s">
        <v>11929</v>
      </c>
      <c r="L1965" t="s">
        <v>25</v>
      </c>
      <c r="M1965" t="s">
        <v>11704</v>
      </c>
      <c r="N1965" t="s">
        <v>11705</v>
      </c>
      <c r="O1965" t="s">
        <v>11706</v>
      </c>
      <c r="P1965">
        <v>97837.84</v>
      </c>
    </row>
    <row r="1966" spans="2:16">
      <c r="C1966">
        <v>3</v>
      </c>
      <c r="D1966">
        <v>3</v>
      </c>
      <c r="F1966" t="s">
        <v>11724</v>
      </c>
    </row>
    <row r="1967" spans="2:16">
      <c r="C1967">
        <v>3</v>
      </c>
      <c r="D1967">
        <v>3</v>
      </c>
      <c r="F1967" t="s">
        <v>11724</v>
      </c>
      <c r="H1967" t="s">
        <v>11722</v>
      </c>
      <c r="I1967" t="s">
        <v>13289</v>
      </c>
      <c r="K1967" t="s">
        <v>13290</v>
      </c>
      <c r="L1967" t="s">
        <v>1270</v>
      </c>
      <c r="M1967">
        <v>4</v>
      </c>
      <c r="N1967">
        <v>20652.689999999999</v>
      </c>
      <c r="O1967">
        <v>23232.21</v>
      </c>
      <c r="P1967">
        <v>92928.84</v>
      </c>
    </row>
    <row r="1968" spans="2:16">
      <c r="C1968">
        <v>3</v>
      </c>
      <c r="D1968">
        <v>3</v>
      </c>
      <c r="F1968" t="s">
        <v>11724</v>
      </c>
      <c r="H1968" t="s">
        <v>11722</v>
      </c>
      <c r="I1968" t="s">
        <v>13082</v>
      </c>
      <c r="K1968" t="s">
        <v>13083</v>
      </c>
      <c r="L1968" t="s">
        <v>1270</v>
      </c>
      <c r="M1968">
        <v>4</v>
      </c>
      <c r="N1968">
        <v>697.02</v>
      </c>
      <c r="O1968">
        <v>784.08</v>
      </c>
      <c r="P1968">
        <v>3136.32</v>
      </c>
    </row>
    <row r="1969" spans="2:16">
      <c r="C1969">
        <v>3</v>
      </c>
      <c r="D1969">
        <v>3</v>
      </c>
      <c r="F1969" t="s">
        <v>11724</v>
      </c>
      <c r="H1969" t="s">
        <v>11722</v>
      </c>
      <c r="I1969" t="s">
        <v>13074</v>
      </c>
      <c r="K1969" t="s">
        <v>13075</v>
      </c>
      <c r="L1969" t="s">
        <v>1270</v>
      </c>
      <c r="M1969">
        <v>2</v>
      </c>
      <c r="N1969">
        <v>787.93</v>
      </c>
      <c r="O1969">
        <v>886.34</v>
      </c>
      <c r="P1969">
        <v>1772.68</v>
      </c>
    </row>
    <row r="1970" spans="2:16">
      <c r="C1970">
        <v>3</v>
      </c>
      <c r="D1970">
        <v>3</v>
      </c>
      <c r="F1970" t="s">
        <v>11724</v>
      </c>
    </row>
    <row r="1971" spans="2:16">
      <c r="B1971">
        <v>1</v>
      </c>
      <c r="C1971">
        <v>3</v>
      </c>
      <c r="D1971">
        <v>4</v>
      </c>
      <c r="F1971" t="s">
        <v>11724</v>
      </c>
      <c r="H1971" t="s">
        <v>20896</v>
      </c>
      <c r="I1971" t="s">
        <v>13298</v>
      </c>
      <c r="L1971" t="s">
        <v>25</v>
      </c>
      <c r="M1971" t="s">
        <v>11704</v>
      </c>
      <c r="N1971" t="s">
        <v>11705</v>
      </c>
      <c r="O1971" t="s">
        <v>11706</v>
      </c>
      <c r="P1971">
        <v>9982.9</v>
      </c>
    </row>
    <row r="1972" spans="2:16">
      <c r="C1972">
        <v>3</v>
      </c>
      <c r="D1972">
        <v>4</v>
      </c>
      <c r="F1972" t="s">
        <v>11724</v>
      </c>
    </row>
    <row r="1973" spans="2:16">
      <c r="C1973">
        <v>3</v>
      </c>
      <c r="D1973">
        <v>4</v>
      </c>
      <c r="F1973" t="s">
        <v>11724</v>
      </c>
      <c r="H1973" t="s">
        <v>11722</v>
      </c>
      <c r="I1973" t="s">
        <v>13058</v>
      </c>
      <c r="K1973" t="s">
        <v>13059</v>
      </c>
      <c r="L1973" t="s">
        <v>10854</v>
      </c>
      <c r="M1973">
        <v>1</v>
      </c>
      <c r="N1973">
        <v>3970</v>
      </c>
      <c r="O1973">
        <v>4465.8500000000004</v>
      </c>
      <c r="P1973">
        <v>4465.8500000000004</v>
      </c>
    </row>
    <row r="1974" spans="2:16">
      <c r="C1974">
        <v>3</v>
      </c>
      <c r="D1974">
        <v>4</v>
      </c>
      <c r="F1974" t="s">
        <v>11724</v>
      </c>
      <c r="H1974" t="s">
        <v>11722</v>
      </c>
      <c r="I1974" t="s">
        <v>13060</v>
      </c>
      <c r="K1974" t="s">
        <v>13061</v>
      </c>
      <c r="L1974" t="s">
        <v>10854</v>
      </c>
      <c r="M1974">
        <v>1</v>
      </c>
      <c r="N1974">
        <v>4640</v>
      </c>
      <c r="O1974">
        <v>5219.54</v>
      </c>
      <c r="P1974">
        <v>5219.54</v>
      </c>
    </row>
    <row r="1975" spans="2:16">
      <c r="C1975">
        <v>3</v>
      </c>
      <c r="D1975">
        <v>4</v>
      </c>
      <c r="F1975" t="s">
        <v>11724</v>
      </c>
      <c r="H1975" t="s">
        <v>11722</v>
      </c>
      <c r="I1975" t="s">
        <v>13080</v>
      </c>
      <c r="K1975" t="s">
        <v>13081</v>
      </c>
      <c r="L1975" t="s">
        <v>10854</v>
      </c>
      <c r="M1975">
        <v>1</v>
      </c>
      <c r="N1975">
        <v>264.48</v>
      </c>
      <c r="O1975">
        <v>297.51</v>
      </c>
      <c r="P1975">
        <v>297.51</v>
      </c>
    </row>
    <row r="1976" spans="2:16">
      <c r="C1976">
        <v>3</v>
      </c>
      <c r="D1976">
        <v>4</v>
      </c>
      <c r="F1976" t="s">
        <v>11724</v>
      </c>
    </row>
    <row r="1977" spans="2:16">
      <c r="B1977">
        <v>1</v>
      </c>
      <c r="C1977">
        <v>3</v>
      </c>
      <c r="D1977">
        <v>5</v>
      </c>
      <c r="F1977" t="s">
        <v>11724</v>
      </c>
      <c r="H1977" t="s">
        <v>20897</v>
      </c>
      <c r="I1977" t="s">
        <v>12682</v>
      </c>
      <c r="L1977" t="s">
        <v>25</v>
      </c>
      <c r="M1977" t="s">
        <v>11704</v>
      </c>
      <c r="N1977" t="s">
        <v>11705</v>
      </c>
      <c r="O1977" t="s">
        <v>11706</v>
      </c>
      <c r="P1977">
        <v>351089.27999999997</v>
      </c>
    </row>
    <row r="1978" spans="2:16">
      <c r="C1978">
        <v>3</v>
      </c>
      <c r="D1978">
        <v>5</v>
      </c>
      <c r="F1978" t="s">
        <v>11724</v>
      </c>
    </row>
    <row r="1979" spans="2:16">
      <c r="C1979">
        <v>3</v>
      </c>
      <c r="D1979">
        <v>5</v>
      </c>
      <c r="F1979" t="s">
        <v>11724</v>
      </c>
      <c r="H1979" t="s">
        <v>11722</v>
      </c>
      <c r="I1979" t="s">
        <v>13313</v>
      </c>
      <c r="K1979" t="s">
        <v>13325</v>
      </c>
      <c r="L1979" t="s">
        <v>11723</v>
      </c>
      <c r="M1979">
        <v>2</v>
      </c>
      <c r="N1979">
        <v>58151.05</v>
      </c>
      <c r="O1979">
        <v>65414.12</v>
      </c>
      <c r="P1979">
        <v>130828.24</v>
      </c>
    </row>
    <row r="1980" spans="2:16">
      <c r="C1980">
        <v>3</v>
      </c>
      <c r="D1980">
        <v>5</v>
      </c>
      <c r="F1980" t="s">
        <v>11724</v>
      </c>
      <c r="H1980" t="s">
        <v>11722</v>
      </c>
      <c r="I1980" t="s">
        <v>13318</v>
      </c>
      <c r="K1980" t="s">
        <v>13327</v>
      </c>
      <c r="L1980" t="s">
        <v>10854</v>
      </c>
      <c r="M1980">
        <v>1</v>
      </c>
      <c r="N1980">
        <v>29000</v>
      </c>
      <c r="O1980">
        <v>32622.1</v>
      </c>
      <c r="P1980">
        <v>32622.1</v>
      </c>
    </row>
    <row r="1981" spans="2:16">
      <c r="C1981">
        <v>3</v>
      </c>
      <c r="D1981">
        <v>5</v>
      </c>
      <c r="F1981" t="s">
        <v>11724</v>
      </c>
      <c r="H1981" t="s">
        <v>11722</v>
      </c>
      <c r="I1981" t="s">
        <v>13308</v>
      </c>
      <c r="K1981" t="s">
        <v>14463</v>
      </c>
      <c r="L1981" t="s">
        <v>11723</v>
      </c>
      <c r="M1981">
        <v>2</v>
      </c>
      <c r="N1981">
        <v>29600</v>
      </c>
      <c r="O1981">
        <v>33297.040000000001</v>
      </c>
      <c r="P1981">
        <v>66594.080000000002</v>
      </c>
    </row>
    <row r="1982" spans="2:16">
      <c r="C1982">
        <v>3</v>
      </c>
      <c r="D1982">
        <v>5</v>
      </c>
      <c r="F1982" t="s">
        <v>11724</v>
      </c>
      <c r="H1982" t="s">
        <v>11722</v>
      </c>
      <c r="I1982" t="s">
        <v>13306</v>
      </c>
      <c r="K1982" t="s">
        <v>13321</v>
      </c>
      <c r="L1982" t="s">
        <v>11723</v>
      </c>
      <c r="M1982">
        <v>2</v>
      </c>
      <c r="N1982">
        <v>8900</v>
      </c>
      <c r="O1982">
        <v>10011.61</v>
      </c>
      <c r="P1982">
        <v>20023.22</v>
      </c>
    </row>
    <row r="1983" spans="2:16">
      <c r="C1983">
        <v>3</v>
      </c>
      <c r="D1983">
        <v>5</v>
      </c>
      <c r="F1983" t="s">
        <v>11724</v>
      </c>
      <c r="H1983" t="s">
        <v>11722</v>
      </c>
      <c r="I1983" t="s">
        <v>13310</v>
      </c>
      <c r="K1983" t="s">
        <v>13324</v>
      </c>
      <c r="L1983" t="s">
        <v>11723</v>
      </c>
      <c r="M1983">
        <v>1</v>
      </c>
      <c r="N1983">
        <v>89805</v>
      </c>
      <c r="O1983">
        <v>101021.64</v>
      </c>
      <c r="P1983">
        <v>101021.64</v>
      </c>
    </row>
    <row r="1984" spans="2:16">
      <c r="C1984">
        <v>3</v>
      </c>
      <c r="D1984">
        <v>5</v>
      </c>
      <c r="F1984" t="s">
        <v>11724</v>
      </c>
    </row>
    <row r="1985" spans="2:16">
      <c r="B1985">
        <v>1</v>
      </c>
      <c r="C1985">
        <v>3</v>
      </c>
      <c r="D1985">
        <v>6</v>
      </c>
      <c r="F1985" t="s">
        <v>11724</v>
      </c>
      <c r="H1985" t="s">
        <v>20898</v>
      </c>
      <c r="I1985" t="s">
        <v>13365</v>
      </c>
      <c r="L1985" t="s">
        <v>25</v>
      </c>
      <c r="M1985" t="s">
        <v>11704</v>
      </c>
      <c r="N1985" t="s">
        <v>11705</v>
      </c>
      <c r="O1985" t="s">
        <v>11706</v>
      </c>
      <c r="P1985">
        <v>71334.64</v>
      </c>
    </row>
    <row r="1986" spans="2:16">
      <c r="C1986">
        <v>3</v>
      </c>
      <c r="D1986">
        <v>6</v>
      </c>
      <c r="F1986" t="s">
        <v>11724</v>
      </c>
    </row>
    <row r="1987" spans="2:16">
      <c r="C1987">
        <v>3</v>
      </c>
      <c r="D1987">
        <v>6</v>
      </c>
      <c r="F1987" t="s">
        <v>11724</v>
      </c>
      <c r="H1987" t="s">
        <v>11722</v>
      </c>
      <c r="I1987" t="s">
        <v>13259</v>
      </c>
      <c r="K1987" t="s">
        <v>13260</v>
      </c>
      <c r="L1987" t="s">
        <v>11723</v>
      </c>
      <c r="M1987">
        <v>1</v>
      </c>
      <c r="N1987">
        <v>12414.21</v>
      </c>
      <c r="O1987">
        <v>13964.74</v>
      </c>
      <c r="P1987">
        <v>13964.74</v>
      </c>
    </row>
    <row r="1988" spans="2:16">
      <c r="C1988">
        <v>3</v>
      </c>
      <c r="D1988">
        <v>6</v>
      </c>
      <c r="F1988" t="s">
        <v>11724</v>
      </c>
      <c r="H1988" t="s">
        <v>11722</v>
      </c>
      <c r="I1988" t="s">
        <v>13086</v>
      </c>
      <c r="K1988" t="s">
        <v>13087</v>
      </c>
      <c r="L1988" t="s">
        <v>10853</v>
      </c>
      <c r="M1988">
        <v>2</v>
      </c>
      <c r="N1988">
        <v>25500</v>
      </c>
      <c r="O1988">
        <v>28684.95</v>
      </c>
      <c r="P1988">
        <v>57369.9</v>
      </c>
    </row>
    <row r="1989" spans="2:16">
      <c r="C1989">
        <v>3</v>
      </c>
      <c r="D1989">
        <v>6</v>
      </c>
      <c r="F1989" t="s">
        <v>11724</v>
      </c>
    </row>
    <row r="1990" spans="2:16">
      <c r="C1990">
        <v>3</v>
      </c>
      <c r="D1990">
        <v>0</v>
      </c>
      <c r="F1990" t="s">
        <v>11724</v>
      </c>
      <c r="H1990">
        <v>4</v>
      </c>
      <c r="I1990" t="s">
        <v>11726</v>
      </c>
      <c r="O1990" t="s">
        <v>78</v>
      </c>
      <c r="P1990">
        <v>792897.01999999862</v>
      </c>
    </row>
    <row r="1991" spans="2:16">
      <c r="C1991">
        <v>3</v>
      </c>
      <c r="D1991">
        <v>0</v>
      </c>
      <c r="F1991" t="s">
        <v>11724</v>
      </c>
    </row>
    <row r="1992" spans="2:16">
      <c r="B1992">
        <v>1</v>
      </c>
      <c r="C1992">
        <v>3</v>
      </c>
      <c r="D1992">
        <v>1</v>
      </c>
      <c r="F1992" t="s">
        <v>11724</v>
      </c>
      <c r="H1992" t="s">
        <v>14546</v>
      </c>
      <c r="I1992" t="s">
        <v>11742</v>
      </c>
      <c r="L1992" t="s">
        <v>25</v>
      </c>
      <c r="M1992" t="s">
        <v>11704</v>
      </c>
      <c r="N1992" t="s">
        <v>11705</v>
      </c>
      <c r="O1992" t="s">
        <v>11706</v>
      </c>
      <c r="P1992">
        <v>244464.13999999998</v>
      </c>
    </row>
    <row r="1993" spans="2:16">
      <c r="C1993">
        <v>3</v>
      </c>
      <c r="D1993">
        <v>1</v>
      </c>
      <c r="F1993" t="s">
        <v>11724</v>
      </c>
    </row>
    <row r="1994" spans="2:16">
      <c r="C1994">
        <v>3</v>
      </c>
      <c r="D1994">
        <v>1</v>
      </c>
      <c r="F1994" t="s">
        <v>11724</v>
      </c>
      <c r="H1994" t="s">
        <v>70</v>
      </c>
      <c r="I1994">
        <v>93009</v>
      </c>
      <c r="K1994" t="s">
        <v>14646</v>
      </c>
      <c r="L1994" t="s">
        <v>18</v>
      </c>
      <c r="M1994">
        <v>9</v>
      </c>
      <c r="N1994">
        <v>12.11</v>
      </c>
      <c r="O1994">
        <v>13.62</v>
      </c>
      <c r="P1994">
        <v>122.58</v>
      </c>
    </row>
    <row r="1995" spans="2:16">
      <c r="C1995">
        <v>3</v>
      </c>
      <c r="D1995">
        <v>1</v>
      </c>
      <c r="F1995" t="s">
        <v>11724</v>
      </c>
      <c r="H1995" t="s">
        <v>70</v>
      </c>
      <c r="I1995">
        <v>93012</v>
      </c>
      <c r="K1995" t="s">
        <v>14647</v>
      </c>
      <c r="L1995" t="s">
        <v>18</v>
      </c>
      <c r="M1995">
        <v>54</v>
      </c>
      <c r="N1995">
        <v>29.53</v>
      </c>
      <c r="O1995">
        <v>33.22</v>
      </c>
      <c r="P1995">
        <v>1793.88</v>
      </c>
    </row>
    <row r="1996" spans="2:16">
      <c r="C1996">
        <v>3</v>
      </c>
      <c r="D1996">
        <v>1</v>
      </c>
      <c r="F1996" t="s">
        <v>11724</v>
      </c>
      <c r="H1996" t="s">
        <v>70</v>
      </c>
      <c r="I1996">
        <v>93014</v>
      </c>
      <c r="K1996" t="s">
        <v>13366</v>
      </c>
      <c r="L1996" t="s">
        <v>10854</v>
      </c>
      <c r="M1996">
        <v>3</v>
      </c>
      <c r="N1996">
        <v>11.25</v>
      </c>
      <c r="O1996">
        <v>12.66</v>
      </c>
      <c r="P1996">
        <v>37.979999999999997</v>
      </c>
    </row>
    <row r="1997" spans="2:16">
      <c r="C1997">
        <v>3</v>
      </c>
      <c r="D1997">
        <v>1</v>
      </c>
      <c r="F1997" t="s">
        <v>11724</v>
      </c>
      <c r="H1997" t="s">
        <v>70</v>
      </c>
      <c r="I1997">
        <v>93017</v>
      </c>
      <c r="K1997" t="s">
        <v>13367</v>
      </c>
      <c r="L1997" t="s">
        <v>10854</v>
      </c>
      <c r="M1997">
        <v>18</v>
      </c>
      <c r="N1997">
        <v>27.45</v>
      </c>
      <c r="O1997">
        <v>30.88</v>
      </c>
      <c r="P1997">
        <v>555.84</v>
      </c>
    </row>
    <row r="1998" spans="2:16">
      <c r="C1998">
        <v>3</v>
      </c>
      <c r="D1998">
        <v>1</v>
      </c>
      <c r="F1998" t="s">
        <v>11724</v>
      </c>
      <c r="H1998" t="s">
        <v>70</v>
      </c>
      <c r="I1998">
        <v>93020</v>
      </c>
      <c r="K1998" t="s">
        <v>13368</v>
      </c>
      <c r="L1998" t="s">
        <v>10854</v>
      </c>
      <c r="M1998">
        <v>1</v>
      </c>
      <c r="N1998">
        <v>17.63</v>
      </c>
      <c r="O1998">
        <v>19.829999999999998</v>
      </c>
      <c r="P1998">
        <v>19.829999999999998</v>
      </c>
    </row>
    <row r="1999" spans="2:16">
      <c r="C1999">
        <v>3</v>
      </c>
      <c r="D1999">
        <v>1</v>
      </c>
      <c r="F1999" t="s">
        <v>11724</v>
      </c>
      <c r="H1999" t="s">
        <v>70</v>
      </c>
      <c r="I1999">
        <v>93026</v>
      </c>
      <c r="K1999" t="s">
        <v>13369</v>
      </c>
      <c r="L1999" t="s">
        <v>10854</v>
      </c>
      <c r="M1999">
        <v>4</v>
      </c>
      <c r="N1999">
        <v>44.53</v>
      </c>
      <c r="O1999">
        <v>50.09</v>
      </c>
      <c r="P1999">
        <v>200.36</v>
      </c>
    </row>
    <row r="2000" spans="2:16">
      <c r="C2000">
        <v>3</v>
      </c>
      <c r="D2000">
        <v>1</v>
      </c>
      <c r="F2000" t="s">
        <v>11724</v>
      </c>
      <c r="H2000" t="s">
        <v>11722</v>
      </c>
      <c r="I2000" t="s">
        <v>11743</v>
      </c>
      <c r="K2000" t="s">
        <v>13370</v>
      </c>
      <c r="L2000" t="s">
        <v>18</v>
      </c>
      <c r="M2000">
        <v>50</v>
      </c>
      <c r="N2000">
        <v>17.96</v>
      </c>
      <c r="O2000">
        <v>20.2</v>
      </c>
      <c r="P2000">
        <v>1010</v>
      </c>
    </row>
    <row r="2001" spans="3:16">
      <c r="C2001">
        <v>3</v>
      </c>
      <c r="D2001">
        <v>1</v>
      </c>
      <c r="F2001" t="s">
        <v>11724</v>
      </c>
      <c r="H2001" t="s">
        <v>70</v>
      </c>
      <c r="I2001">
        <v>92986</v>
      </c>
      <c r="K2001" t="s">
        <v>13371</v>
      </c>
      <c r="L2001" t="s">
        <v>18</v>
      </c>
      <c r="M2001">
        <v>2300</v>
      </c>
      <c r="N2001">
        <v>20.75</v>
      </c>
      <c r="O2001">
        <v>23.34</v>
      </c>
      <c r="P2001">
        <v>53682</v>
      </c>
    </row>
    <row r="2002" spans="3:16">
      <c r="C2002">
        <v>3</v>
      </c>
      <c r="D2002">
        <v>1</v>
      </c>
      <c r="F2002" t="s">
        <v>11724</v>
      </c>
      <c r="H2002" t="s">
        <v>70</v>
      </c>
      <c r="I2002">
        <v>92988</v>
      </c>
      <c r="K2002" t="s">
        <v>13372</v>
      </c>
      <c r="L2002" t="s">
        <v>18</v>
      </c>
      <c r="M2002">
        <v>2800</v>
      </c>
      <c r="N2002">
        <v>28.99</v>
      </c>
      <c r="O2002">
        <v>32.61</v>
      </c>
      <c r="P2002">
        <v>91308</v>
      </c>
    </row>
    <row r="2003" spans="3:16">
      <c r="C2003">
        <v>3</v>
      </c>
      <c r="D2003">
        <v>1</v>
      </c>
      <c r="F2003" t="s">
        <v>11724</v>
      </c>
      <c r="H2003" t="s">
        <v>70</v>
      </c>
      <c r="I2003">
        <v>92998</v>
      </c>
      <c r="K2003" t="s">
        <v>13373</v>
      </c>
      <c r="L2003" t="s">
        <v>18</v>
      </c>
      <c r="M2003">
        <v>200</v>
      </c>
      <c r="N2003">
        <v>101.92</v>
      </c>
      <c r="O2003">
        <v>114.65</v>
      </c>
      <c r="P2003">
        <v>22930</v>
      </c>
    </row>
    <row r="2004" spans="3:16">
      <c r="C2004">
        <v>3</v>
      </c>
      <c r="D2004">
        <v>1</v>
      </c>
      <c r="F2004" t="s">
        <v>11724</v>
      </c>
      <c r="H2004" t="s">
        <v>70</v>
      </c>
      <c r="I2004">
        <v>93002</v>
      </c>
      <c r="K2004" t="s">
        <v>13374</v>
      </c>
      <c r="L2004" t="s">
        <v>18</v>
      </c>
      <c r="M2004">
        <v>35</v>
      </c>
      <c r="N2004">
        <v>166.65</v>
      </c>
      <c r="O2004">
        <v>187.46</v>
      </c>
      <c r="P2004">
        <v>6561.1</v>
      </c>
    </row>
    <row r="2005" spans="3:16">
      <c r="C2005">
        <v>3</v>
      </c>
      <c r="D2005">
        <v>1</v>
      </c>
      <c r="F2005" t="s">
        <v>11724</v>
      </c>
      <c r="H2005" t="s">
        <v>70</v>
      </c>
      <c r="I2005">
        <v>857</v>
      </c>
      <c r="K2005" t="s">
        <v>13375</v>
      </c>
      <c r="L2005" t="s">
        <v>18</v>
      </c>
      <c r="M2005">
        <v>150</v>
      </c>
      <c r="N2005">
        <v>6.69</v>
      </c>
      <c r="O2005">
        <v>7.53</v>
      </c>
      <c r="P2005">
        <v>1129.5</v>
      </c>
    </row>
    <row r="2006" spans="3:16">
      <c r="C2006">
        <v>3</v>
      </c>
      <c r="D2006">
        <v>1</v>
      </c>
      <c r="F2006" t="s">
        <v>11724</v>
      </c>
      <c r="H2006" t="s">
        <v>70</v>
      </c>
      <c r="I2006">
        <v>868</v>
      </c>
      <c r="K2006" t="s">
        <v>13376</v>
      </c>
      <c r="L2006" t="s">
        <v>18</v>
      </c>
      <c r="M2006">
        <v>1000</v>
      </c>
      <c r="N2006">
        <v>10.33</v>
      </c>
      <c r="O2006">
        <v>11.62</v>
      </c>
      <c r="P2006">
        <v>11620</v>
      </c>
    </row>
    <row r="2007" spans="3:16">
      <c r="C2007">
        <v>3</v>
      </c>
      <c r="D2007">
        <v>1</v>
      </c>
      <c r="F2007" t="s">
        <v>11724</v>
      </c>
      <c r="H2007" t="s">
        <v>70</v>
      </c>
      <c r="I2007">
        <v>867</v>
      </c>
      <c r="K2007" t="s">
        <v>13377</v>
      </c>
      <c r="L2007" t="s">
        <v>18</v>
      </c>
      <c r="M2007">
        <v>400</v>
      </c>
      <c r="N2007">
        <v>19.88</v>
      </c>
      <c r="O2007">
        <v>22.36</v>
      </c>
      <c r="P2007">
        <v>8944</v>
      </c>
    </row>
    <row r="2008" spans="3:16">
      <c r="C2008">
        <v>3</v>
      </c>
      <c r="D2008">
        <v>1</v>
      </c>
      <c r="F2008" t="s">
        <v>11724</v>
      </c>
      <c r="H2008" t="s">
        <v>70</v>
      </c>
      <c r="I2008">
        <v>864</v>
      </c>
      <c r="K2008" t="s">
        <v>13378</v>
      </c>
      <c r="L2008" t="s">
        <v>18</v>
      </c>
      <c r="M2008">
        <v>40</v>
      </c>
      <c r="N2008">
        <v>28</v>
      </c>
      <c r="O2008">
        <v>31.5</v>
      </c>
      <c r="P2008">
        <v>1260</v>
      </c>
    </row>
    <row r="2009" spans="3:16">
      <c r="C2009">
        <v>3</v>
      </c>
      <c r="D2009">
        <v>1</v>
      </c>
      <c r="F2009" t="s">
        <v>11724</v>
      </c>
      <c r="H2009" t="s">
        <v>11722</v>
      </c>
      <c r="I2009" t="s">
        <v>11744</v>
      </c>
      <c r="K2009" t="s">
        <v>13379</v>
      </c>
      <c r="L2009" t="s">
        <v>10853</v>
      </c>
      <c r="M2009">
        <v>63</v>
      </c>
      <c r="N2009">
        <v>108.05</v>
      </c>
      <c r="O2009">
        <v>121.55</v>
      </c>
      <c r="P2009">
        <v>7657.65</v>
      </c>
    </row>
    <row r="2010" spans="3:16">
      <c r="C2010">
        <v>3</v>
      </c>
      <c r="D2010">
        <v>1</v>
      </c>
      <c r="F2010" t="s">
        <v>11724</v>
      </c>
      <c r="H2010" t="s">
        <v>11722</v>
      </c>
      <c r="I2010" t="s">
        <v>11745</v>
      </c>
      <c r="K2010" t="s">
        <v>13380</v>
      </c>
      <c r="L2010" t="s">
        <v>10854</v>
      </c>
      <c r="M2010">
        <v>17</v>
      </c>
      <c r="N2010">
        <v>22.58</v>
      </c>
      <c r="O2010">
        <v>25.4</v>
      </c>
      <c r="P2010">
        <v>431.8</v>
      </c>
    </row>
    <row r="2011" spans="3:16">
      <c r="C2011">
        <v>3</v>
      </c>
      <c r="D2011">
        <v>1</v>
      </c>
      <c r="F2011" t="s">
        <v>11724</v>
      </c>
      <c r="H2011" t="s">
        <v>11722</v>
      </c>
      <c r="I2011" t="s">
        <v>11746</v>
      </c>
      <c r="K2011" t="s">
        <v>13381</v>
      </c>
      <c r="L2011" t="s">
        <v>10854</v>
      </c>
      <c r="M2011">
        <v>19</v>
      </c>
      <c r="N2011">
        <v>22.58</v>
      </c>
      <c r="O2011">
        <v>25.4</v>
      </c>
      <c r="P2011">
        <v>482.6</v>
      </c>
    </row>
    <row r="2012" spans="3:16">
      <c r="C2012">
        <v>3</v>
      </c>
      <c r="D2012">
        <v>1</v>
      </c>
      <c r="F2012" t="s">
        <v>11724</v>
      </c>
      <c r="H2012" t="s">
        <v>11722</v>
      </c>
      <c r="I2012" t="s">
        <v>11747</v>
      </c>
      <c r="K2012" t="s">
        <v>13382</v>
      </c>
      <c r="L2012" t="s">
        <v>13383</v>
      </c>
      <c r="M2012">
        <v>10</v>
      </c>
      <c r="N2012">
        <v>22.58</v>
      </c>
      <c r="O2012">
        <v>25.4</v>
      </c>
      <c r="P2012">
        <v>254</v>
      </c>
    </row>
    <row r="2013" spans="3:16">
      <c r="C2013">
        <v>3</v>
      </c>
      <c r="D2013">
        <v>1</v>
      </c>
      <c r="F2013" t="s">
        <v>11724</v>
      </c>
      <c r="H2013" t="s">
        <v>11722</v>
      </c>
      <c r="I2013" t="s">
        <v>11748</v>
      </c>
      <c r="K2013" t="s">
        <v>13384</v>
      </c>
      <c r="L2013" t="s">
        <v>13383</v>
      </c>
      <c r="M2013">
        <v>38</v>
      </c>
      <c r="N2013">
        <v>18.600000000000001</v>
      </c>
      <c r="O2013">
        <v>20.92</v>
      </c>
      <c r="P2013">
        <v>794.96</v>
      </c>
    </row>
    <row r="2014" spans="3:16">
      <c r="C2014">
        <v>3</v>
      </c>
      <c r="D2014">
        <v>1</v>
      </c>
      <c r="F2014" t="s">
        <v>11724</v>
      </c>
      <c r="H2014" t="s">
        <v>11722</v>
      </c>
      <c r="I2014" t="s">
        <v>11749</v>
      </c>
      <c r="K2014" t="s">
        <v>13385</v>
      </c>
      <c r="L2014" t="s">
        <v>10854</v>
      </c>
      <c r="M2014">
        <v>11</v>
      </c>
      <c r="N2014">
        <v>25.8</v>
      </c>
      <c r="O2014">
        <v>29.02</v>
      </c>
      <c r="P2014">
        <v>319.22000000000003</v>
      </c>
    </row>
    <row r="2015" spans="3:16">
      <c r="C2015">
        <v>3</v>
      </c>
      <c r="D2015">
        <v>1</v>
      </c>
      <c r="F2015" t="s">
        <v>11724</v>
      </c>
      <c r="H2015" t="s">
        <v>11722</v>
      </c>
      <c r="I2015" t="s">
        <v>11750</v>
      </c>
      <c r="K2015" t="s">
        <v>13386</v>
      </c>
      <c r="L2015" t="s">
        <v>10854</v>
      </c>
      <c r="M2015">
        <v>8</v>
      </c>
      <c r="N2015">
        <v>25.8</v>
      </c>
      <c r="O2015">
        <v>29.02</v>
      </c>
      <c r="P2015">
        <v>232.16</v>
      </c>
    </row>
    <row r="2016" spans="3:16">
      <c r="C2016">
        <v>3</v>
      </c>
      <c r="D2016">
        <v>1</v>
      </c>
      <c r="F2016" t="s">
        <v>11724</v>
      </c>
      <c r="H2016" t="s">
        <v>11722</v>
      </c>
      <c r="I2016" t="s">
        <v>11751</v>
      </c>
      <c r="K2016" t="s">
        <v>13387</v>
      </c>
      <c r="L2016" t="s">
        <v>10854</v>
      </c>
      <c r="M2016">
        <v>4</v>
      </c>
      <c r="N2016">
        <v>25.8</v>
      </c>
      <c r="O2016">
        <v>29.02</v>
      </c>
      <c r="P2016">
        <v>116.08</v>
      </c>
    </row>
    <row r="2017" spans="3:16">
      <c r="C2017">
        <v>3</v>
      </c>
      <c r="D2017">
        <v>1</v>
      </c>
      <c r="F2017" t="s">
        <v>11724</v>
      </c>
      <c r="H2017" t="s">
        <v>11722</v>
      </c>
      <c r="I2017" t="s">
        <v>13388</v>
      </c>
      <c r="K2017" t="s">
        <v>13389</v>
      </c>
      <c r="L2017" t="s">
        <v>10854</v>
      </c>
      <c r="M2017">
        <v>5</v>
      </c>
      <c r="N2017">
        <v>80.8</v>
      </c>
      <c r="O2017">
        <v>90.89</v>
      </c>
      <c r="P2017">
        <v>454.45</v>
      </c>
    </row>
    <row r="2018" spans="3:16">
      <c r="C2018">
        <v>3</v>
      </c>
      <c r="D2018">
        <v>1</v>
      </c>
      <c r="F2018" t="s">
        <v>11724</v>
      </c>
      <c r="H2018" t="s">
        <v>11722</v>
      </c>
      <c r="I2018" t="s">
        <v>13390</v>
      </c>
      <c r="K2018" t="s">
        <v>13391</v>
      </c>
      <c r="L2018" t="s">
        <v>10854</v>
      </c>
      <c r="M2018">
        <v>6</v>
      </c>
      <c r="N2018">
        <v>80.8</v>
      </c>
      <c r="O2018">
        <v>90.89</v>
      </c>
      <c r="P2018">
        <v>545.34</v>
      </c>
    </row>
    <row r="2019" spans="3:16">
      <c r="C2019">
        <v>3</v>
      </c>
      <c r="D2019">
        <v>1</v>
      </c>
      <c r="F2019" t="s">
        <v>11724</v>
      </c>
      <c r="H2019" t="s">
        <v>11722</v>
      </c>
      <c r="I2019" t="s">
        <v>13392</v>
      </c>
      <c r="K2019" t="s">
        <v>13393</v>
      </c>
      <c r="L2019" t="s">
        <v>10854</v>
      </c>
      <c r="M2019">
        <v>18</v>
      </c>
      <c r="N2019">
        <v>80.8</v>
      </c>
      <c r="O2019">
        <v>90.89</v>
      </c>
      <c r="P2019">
        <v>1636.02</v>
      </c>
    </row>
    <row r="2020" spans="3:16">
      <c r="C2020">
        <v>3</v>
      </c>
      <c r="D2020">
        <v>1</v>
      </c>
      <c r="F2020" t="s">
        <v>11724</v>
      </c>
      <c r="H2020" t="s">
        <v>11722</v>
      </c>
      <c r="I2020" t="s">
        <v>13394</v>
      </c>
      <c r="K2020" t="s">
        <v>13395</v>
      </c>
      <c r="L2020" t="s">
        <v>10854</v>
      </c>
      <c r="M2020">
        <v>5</v>
      </c>
      <c r="N2020">
        <v>92.92</v>
      </c>
      <c r="O2020">
        <v>104.53</v>
      </c>
      <c r="P2020">
        <v>522.65</v>
      </c>
    </row>
    <row r="2021" spans="3:16">
      <c r="C2021">
        <v>3</v>
      </c>
      <c r="D2021">
        <v>1</v>
      </c>
      <c r="F2021" t="s">
        <v>11724</v>
      </c>
      <c r="H2021" t="s">
        <v>11722</v>
      </c>
      <c r="I2021" t="s">
        <v>13396</v>
      </c>
      <c r="K2021" t="s">
        <v>13397</v>
      </c>
      <c r="L2021" t="s">
        <v>10854</v>
      </c>
      <c r="M2021">
        <v>1</v>
      </c>
      <c r="N2021">
        <v>80.8</v>
      </c>
      <c r="O2021">
        <v>90.89</v>
      </c>
      <c r="P2021">
        <v>90.89</v>
      </c>
    </row>
    <row r="2022" spans="3:16">
      <c r="C2022">
        <v>3</v>
      </c>
      <c r="D2022">
        <v>1</v>
      </c>
      <c r="F2022" t="s">
        <v>11724</v>
      </c>
      <c r="H2022" t="s">
        <v>11722</v>
      </c>
      <c r="I2022" t="s">
        <v>13398</v>
      </c>
      <c r="K2022" t="s">
        <v>13399</v>
      </c>
      <c r="L2022" t="s">
        <v>10854</v>
      </c>
      <c r="M2022">
        <v>2</v>
      </c>
      <c r="N2022">
        <v>92.92</v>
      </c>
      <c r="O2022">
        <v>104.53</v>
      </c>
      <c r="P2022">
        <v>209.06</v>
      </c>
    </row>
    <row r="2023" spans="3:16">
      <c r="C2023">
        <v>3</v>
      </c>
      <c r="D2023">
        <v>1</v>
      </c>
      <c r="F2023" t="s">
        <v>11724</v>
      </c>
      <c r="H2023" t="s">
        <v>70</v>
      </c>
      <c r="I2023">
        <v>83446</v>
      </c>
      <c r="K2023" t="s">
        <v>13400</v>
      </c>
      <c r="L2023" t="s">
        <v>10854</v>
      </c>
      <c r="M2023">
        <v>63</v>
      </c>
      <c r="N2023">
        <v>134.09</v>
      </c>
      <c r="O2023">
        <v>150.84</v>
      </c>
      <c r="P2023">
        <v>9502.92</v>
      </c>
    </row>
    <row r="2024" spans="3:16">
      <c r="C2024">
        <v>3</v>
      </c>
      <c r="D2024">
        <v>1</v>
      </c>
      <c r="F2024" t="s">
        <v>11724</v>
      </c>
      <c r="H2024" t="s">
        <v>70</v>
      </c>
      <c r="I2024">
        <v>83448</v>
      </c>
      <c r="K2024" t="s">
        <v>13401</v>
      </c>
      <c r="L2024" t="s">
        <v>10854</v>
      </c>
      <c r="M2024">
        <v>10</v>
      </c>
      <c r="N2024">
        <v>218.63</v>
      </c>
      <c r="O2024">
        <v>245.94</v>
      </c>
      <c r="P2024">
        <v>2459.4</v>
      </c>
    </row>
    <row r="2025" spans="3:16">
      <c r="C2025">
        <v>3</v>
      </c>
      <c r="D2025">
        <v>1</v>
      </c>
      <c r="F2025" t="s">
        <v>11724</v>
      </c>
      <c r="H2025" t="s">
        <v>70</v>
      </c>
      <c r="I2025">
        <v>83446</v>
      </c>
      <c r="K2025" t="s">
        <v>13402</v>
      </c>
      <c r="L2025" t="s">
        <v>10854</v>
      </c>
      <c r="M2025">
        <v>6</v>
      </c>
      <c r="N2025">
        <v>134.09</v>
      </c>
      <c r="O2025">
        <v>150.84</v>
      </c>
      <c r="P2025">
        <v>905.04</v>
      </c>
    </row>
    <row r="2026" spans="3:16">
      <c r="C2026">
        <v>3</v>
      </c>
      <c r="D2026">
        <v>1</v>
      </c>
      <c r="F2026" t="s">
        <v>11724</v>
      </c>
      <c r="H2026" t="s">
        <v>11722</v>
      </c>
      <c r="I2026" t="s">
        <v>13403</v>
      </c>
      <c r="K2026" t="s">
        <v>13404</v>
      </c>
      <c r="L2026" t="s">
        <v>18</v>
      </c>
      <c r="M2026">
        <v>10</v>
      </c>
      <c r="N2026">
        <v>17.96</v>
      </c>
      <c r="O2026">
        <v>20.2</v>
      </c>
      <c r="P2026">
        <v>202</v>
      </c>
    </row>
    <row r="2027" spans="3:16">
      <c r="C2027">
        <v>3</v>
      </c>
      <c r="D2027">
        <v>1</v>
      </c>
      <c r="F2027" t="s">
        <v>11724</v>
      </c>
      <c r="H2027" t="s">
        <v>11722</v>
      </c>
      <c r="I2027" t="s">
        <v>13405</v>
      </c>
      <c r="K2027" t="s">
        <v>13406</v>
      </c>
      <c r="L2027" t="s">
        <v>18</v>
      </c>
      <c r="M2027">
        <v>700</v>
      </c>
      <c r="N2027">
        <v>11.45</v>
      </c>
      <c r="O2027">
        <v>12.88</v>
      </c>
      <c r="P2027">
        <v>9016</v>
      </c>
    </row>
    <row r="2028" spans="3:16">
      <c r="C2028">
        <v>3</v>
      </c>
      <c r="D2028">
        <v>1</v>
      </c>
      <c r="F2028" t="s">
        <v>11724</v>
      </c>
      <c r="H2028" t="s">
        <v>11722</v>
      </c>
      <c r="I2028" t="s">
        <v>13407</v>
      </c>
      <c r="K2028" t="s">
        <v>13408</v>
      </c>
      <c r="L2028" t="s">
        <v>18</v>
      </c>
      <c r="M2028">
        <v>600</v>
      </c>
      <c r="N2028">
        <v>8.8000000000000007</v>
      </c>
      <c r="O2028">
        <v>9.9</v>
      </c>
      <c r="P2028">
        <v>5940</v>
      </c>
    </row>
    <row r="2029" spans="3:16">
      <c r="C2029">
        <v>3</v>
      </c>
      <c r="D2029">
        <v>1</v>
      </c>
      <c r="F2029" t="s">
        <v>11724</v>
      </c>
      <c r="H2029" t="s">
        <v>70</v>
      </c>
      <c r="I2029">
        <v>37427</v>
      </c>
      <c r="K2029" t="s">
        <v>13409</v>
      </c>
      <c r="L2029" t="s">
        <v>10854</v>
      </c>
      <c r="M2029">
        <v>1</v>
      </c>
      <c r="N2029">
        <v>35.520000000000003</v>
      </c>
      <c r="O2029">
        <v>39.96</v>
      </c>
      <c r="P2029">
        <v>39.96</v>
      </c>
    </row>
    <row r="2030" spans="3:16">
      <c r="C2030">
        <v>3</v>
      </c>
      <c r="D2030">
        <v>1</v>
      </c>
      <c r="F2030" t="s">
        <v>11724</v>
      </c>
      <c r="H2030" t="s">
        <v>70</v>
      </c>
      <c r="I2030">
        <v>37426</v>
      </c>
      <c r="K2030" t="s">
        <v>13410</v>
      </c>
      <c r="L2030" t="s">
        <v>10854</v>
      </c>
      <c r="M2030">
        <v>7</v>
      </c>
      <c r="N2030">
        <v>14.89</v>
      </c>
      <c r="O2030">
        <v>16.75</v>
      </c>
      <c r="P2030">
        <v>117.25</v>
      </c>
    </row>
    <row r="2031" spans="3:16">
      <c r="C2031">
        <v>3</v>
      </c>
      <c r="D2031">
        <v>1</v>
      </c>
      <c r="F2031" t="s">
        <v>11724</v>
      </c>
      <c r="H2031" t="s">
        <v>70</v>
      </c>
      <c r="I2031">
        <v>37426</v>
      </c>
      <c r="K2031" t="s">
        <v>13411</v>
      </c>
      <c r="L2031" t="s">
        <v>10854</v>
      </c>
      <c r="M2031">
        <v>6</v>
      </c>
      <c r="N2031">
        <v>14.89</v>
      </c>
      <c r="O2031">
        <v>16.75</v>
      </c>
      <c r="P2031">
        <v>100.5</v>
      </c>
    </row>
    <row r="2032" spans="3:16">
      <c r="C2032">
        <v>3</v>
      </c>
      <c r="D2032">
        <v>1</v>
      </c>
      <c r="F2032" t="s">
        <v>11724</v>
      </c>
      <c r="H2032" t="s">
        <v>11722</v>
      </c>
      <c r="I2032" t="s">
        <v>13412</v>
      </c>
      <c r="K2032" t="s">
        <v>13413</v>
      </c>
      <c r="L2032" t="s">
        <v>10854</v>
      </c>
      <c r="M2032">
        <v>1</v>
      </c>
      <c r="N2032">
        <v>18.25</v>
      </c>
      <c r="O2032">
        <v>20.53</v>
      </c>
      <c r="P2032">
        <v>20.53</v>
      </c>
    </row>
    <row r="2033" spans="2:16">
      <c r="C2033">
        <v>3</v>
      </c>
      <c r="D2033">
        <v>1</v>
      </c>
      <c r="F2033" t="s">
        <v>11724</v>
      </c>
      <c r="H2033" t="s">
        <v>11722</v>
      </c>
      <c r="I2033" t="s">
        <v>13414</v>
      </c>
      <c r="K2033" t="s">
        <v>13415</v>
      </c>
      <c r="L2033" t="s">
        <v>10854</v>
      </c>
      <c r="M2033">
        <v>7</v>
      </c>
      <c r="N2033">
        <v>12.69</v>
      </c>
      <c r="O2033">
        <v>14.27</v>
      </c>
      <c r="P2033">
        <v>99.89</v>
      </c>
    </row>
    <row r="2034" spans="2:16">
      <c r="C2034">
        <v>3</v>
      </c>
      <c r="D2034">
        <v>1</v>
      </c>
      <c r="F2034" t="s">
        <v>11724</v>
      </c>
      <c r="H2034" t="s">
        <v>11722</v>
      </c>
      <c r="I2034" t="s">
        <v>13416</v>
      </c>
      <c r="K2034" t="s">
        <v>13417</v>
      </c>
      <c r="L2034" t="s">
        <v>10854</v>
      </c>
      <c r="M2034">
        <v>6</v>
      </c>
      <c r="N2034">
        <v>10.35</v>
      </c>
      <c r="O2034">
        <v>11.64</v>
      </c>
      <c r="P2034">
        <v>69.84</v>
      </c>
    </row>
    <row r="2035" spans="2:16">
      <c r="C2035">
        <v>3</v>
      </c>
      <c r="D2035">
        <v>1</v>
      </c>
      <c r="F2035" t="s">
        <v>11724</v>
      </c>
      <c r="H2035" t="s">
        <v>11722</v>
      </c>
      <c r="I2035" t="s">
        <v>13418</v>
      </c>
      <c r="K2035" t="s">
        <v>13419</v>
      </c>
      <c r="L2035" t="s">
        <v>10854</v>
      </c>
      <c r="M2035">
        <v>8</v>
      </c>
      <c r="N2035">
        <v>22.08</v>
      </c>
      <c r="O2035">
        <v>24.84</v>
      </c>
      <c r="P2035">
        <v>198.72</v>
      </c>
    </row>
    <row r="2036" spans="2:16">
      <c r="C2036">
        <v>3</v>
      </c>
      <c r="D2036">
        <v>1</v>
      </c>
      <c r="F2036" t="s">
        <v>11724</v>
      </c>
      <c r="H2036" t="s">
        <v>11722</v>
      </c>
      <c r="I2036" t="s">
        <v>13420</v>
      </c>
      <c r="K2036" t="s">
        <v>13421</v>
      </c>
      <c r="L2036" t="s">
        <v>10854</v>
      </c>
      <c r="M2036">
        <v>38</v>
      </c>
      <c r="N2036">
        <v>13.22</v>
      </c>
      <c r="O2036">
        <v>14.87</v>
      </c>
      <c r="P2036">
        <v>565.05999999999995</v>
      </c>
    </row>
    <row r="2037" spans="2:16">
      <c r="C2037">
        <v>3</v>
      </c>
      <c r="D2037">
        <v>1</v>
      </c>
      <c r="F2037" t="s">
        <v>11724</v>
      </c>
      <c r="H2037" t="s">
        <v>11722</v>
      </c>
      <c r="I2037" t="s">
        <v>13422</v>
      </c>
      <c r="K2037" t="s">
        <v>13423</v>
      </c>
      <c r="L2037" t="s">
        <v>10854</v>
      </c>
      <c r="M2037">
        <v>29</v>
      </c>
      <c r="N2037">
        <v>9.35</v>
      </c>
      <c r="O2037">
        <v>10.52</v>
      </c>
      <c r="P2037">
        <v>305.08</v>
      </c>
    </row>
    <row r="2038" spans="2:16">
      <c r="C2038">
        <v>3</v>
      </c>
      <c r="D2038">
        <v>1</v>
      </c>
      <c r="F2038" t="s">
        <v>11724</v>
      </c>
    </row>
    <row r="2039" spans="2:16">
      <c r="B2039">
        <v>1</v>
      </c>
      <c r="C2039">
        <v>3</v>
      </c>
      <c r="D2039">
        <v>2</v>
      </c>
      <c r="F2039" t="s">
        <v>11724</v>
      </c>
      <c r="H2039" t="s">
        <v>14547</v>
      </c>
      <c r="I2039" t="s">
        <v>13870</v>
      </c>
      <c r="L2039" t="s">
        <v>25</v>
      </c>
      <c r="M2039" t="s">
        <v>11704</v>
      </c>
      <c r="N2039" t="s">
        <v>11705</v>
      </c>
      <c r="O2039" t="s">
        <v>11706</v>
      </c>
      <c r="P2039">
        <v>31994.790000000008</v>
      </c>
    </row>
    <row r="2040" spans="2:16">
      <c r="C2040">
        <v>3</v>
      </c>
      <c r="D2040">
        <v>2</v>
      </c>
      <c r="F2040" t="s">
        <v>11724</v>
      </c>
    </row>
    <row r="2041" spans="2:16">
      <c r="C2041">
        <v>3</v>
      </c>
      <c r="D2041">
        <v>2</v>
      </c>
      <c r="F2041" t="s">
        <v>11724</v>
      </c>
      <c r="H2041" t="s">
        <v>11722</v>
      </c>
      <c r="I2041" t="s">
        <v>11754</v>
      </c>
      <c r="K2041" t="s">
        <v>13424</v>
      </c>
      <c r="L2041" t="s">
        <v>10853</v>
      </c>
      <c r="M2041">
        <v>23</v>
      </c>
      <c r="N2041">
        <v>1.65</v>
      </c>
      <c r="O2041">
        <v>1.86</v>
      </c>
      <c r="P2041">
        <v>42.78</v>
      </c>
    </row>
    <row r="2042" spans="2:16">
      <c r="C2042">
        <v>3</v>
      </c>
      <c r="D2042">
        <v>2</v>
      </c>
      <c r="F2042" t="s">
        <v>11724</v>
      </c>
      <c r="H2042" t="s">
        <v>70</v>
      </c>
      <c r="I2042">
        <v>91942</v>
      </c>
      <c r="K2042" t="s">
        <v>13425</v>
      </c>
      <c r="L2042" t="s">
        <v>10853</v>
      </c>
      <c r="M2042">
        <v>1</v>
      </c>
      <c r="N2042">
        <v>23.04</v>
      </c>
      <c r="O2042">
        <v>25.92</v>
      </c>
      <c r="P2042">
        <v>25.92</v>
      </c>
    </row>
    <row r="2043" spans="2:16">
      <c r="C2043">
        <v>3</v>
      </c>
      <c r="D2043">
        <v>2</v>
      </c>
      <c r="F2043" t="s">
        <v>11724</v>
      </c>
      <c r="H2043" t="s">
        <v>70</v>
      </c>
      <c r="I2043">
        <v>92865</v>
      </c>
      <c r="K2043" t="s">
        <v>13426</v>
      </c>
      <c r="L2043" t="s">
        <v>10853</v>
      </c>
      <c r="M2043">
        <v>7</v>
      </c>
      <c r="N2043">
        <v>6.84</v>
      </c>
      <c r="O2043">
        <v>7.69</v>
      </c>
      <c r="P2043">
        <v>53.83</v>
      </c>
    </row>
    <row r="2044" spans="2:16">
      <c r="C2044">
        <v>3</v>
      </c>
      <c r="D2044">
        <v>2</v>
      </c>
      <c r="F2044" t="s">
        <v>11724</v>
      </c>
      <c r="H2044" t="s">
        <v>70</v>
      </c>
      <c r="I2044">
        <v>93057</v>
      </c>
      <c r="K2044" t="s">
        <v>13427</v>
      </c>
      <c r="L2044" t="s">
        <v>10853</v>
      </c>
      <c r="M2044">
        <v>4</v>
      </c>
      <c r="N2044">
        <v>8.16</v>
      </c>
      <c r="O2044">
        <v>9.18</v>
      </c>
      <c r="P2044">
        <v>36.72</v>
      </c>
    </row>
    <row r="2045" spans="2:16">
      <c r="C2045">
        <v>3</v>
      </c>
      <c r="D2045">
        <v>2</v>
      </c>
      <c r="F2045" t="s">
        <v>11724</v>
      </c>
      <c r="H2045" t="s">
        <v>70</v>
      </c>
      <c r="I2045">
        <v>93062</v>
      </c>
      <c r="K2045" t="s">
        <v>13428</v>
      </c>
      <c r="L2045" t="s">
        <v>10853</v>
      </c>
      <c r="M2045">
        <v>3</v>
      </c>
      <c r="N2045">
        <v>14.38</v>
      </c>
      <c r="O2045">
        <v>16.18</v>
      </c>
      <c r="P2045">
        <v>48.54</v>
      </c>
    </row>
    <row r="2046" spans="2:16">
      <c r="C2046">
        <v>3</v>
      </c>
      <c r="D2046">
        <v>2</v>
      </c>
      <c r="F2046" t="s">
        <v>11724</v>
      </c>
      <c r="H2046" t="s">
        <v>70</v>
      </c>
      <c r="I2046">
        <v>93068</v>
      </c>
      <c r="K2046" t="s">
        <v>13429</v>
      </c>
      <c r="L2046" t="s">
        <v>10853</v>
      </c>
      <c r="M2046">
        <v>1</v>
      </c>
      <c r="N2046">
        <v>31.85</v>
      </c>
      <c r="O2046">
        <v>35.83</v>
      </c>
      <c r="P2046">
        <v>35.83</v>
      </c>
    </row>
    <row r="2047" spans="2:16">
      <c r="C2047">
        <v>3</v>
      </c>
      <c r="D2047">
        <v>2</v>
      </c>
      <c r="F2047" t="s">
        <v>11724</v>
      </c>
      <c r="H2047" t="s">
        <v>11722</v>
      </c>
      <c r="I2047" t="s">
        <v>11755</v>
      </c>
      <c r="K2047" t="s">
        <v>13430</v>
      </c>
      <c r="L2047" t="s">
        <v>10853</v>
      </c>
      <c r="M2047">
        <v>1</v>
      </c>
      <c r="N2047">
        <v>11290.78</v>
      </c>
      <c r="O2047">
        <v>12701</v>
      </c>
      <c r="P2047">
        <v>12701</v>
      </c>
    </row>
    <row r="2048" spans="2:16">
      <c r="C2048">
        <v>3</v>
      </c>
      <c r="D2048">
        <v>2</v>
      </c>
      <c r="F2048" t="s">
        <v>11724</v>
      </c>
      <c r="H2048" t="s">
        <v>11722</v>
      </c>
      <c r="I2048" t="s">
        <v>11756</v>
      </c>
      <c r="K2048" t="s">
        <v>13431</v>
      </c>
      <c r="L2048" t="s">
        <v>10853</v>
      </c>
      <c r="M2048">
        <v>1</v>
      </c>
      <c r="N2048">
        <v>9291.66</v>
      </c>
      <c r="O2048">
        <v>10452.19</v>
      </c>
      <c r="P2048">
        <v>10452.19</v>
      </c>
    </row>
    <row r="2049" spans="3:16">
      <c r="C2049">
        <v>3</v>
      </c>
      <c r="D2049">
        <v>2</v>
      </c>
      <c r="F2049" t="s">
        <v>11724</v>
      </c>
      <c r="H2049" t="s">
        <v>70</v>
      </c>
      <c r="I2049">
        <v>2394</v>
      </c>
      <c r="K2049" t="s">
        <v>13432</v>
      </c>
      <c r="L2049" t="s">
        <v>10854</v>
      </c>
      <c r="M2049">
        <v>1</v>
      </c>
      <c r="N2049">
        <v>3852.22</v>
      </c>
      <c r="O2049">
        <v>4333.3599999999997</v>
      </c>
      <c r="P2049">
        <v>4333.3599999999997</v>
      </c>
    </row>
    <row r="2050" spans="3:16">
      <c r="C2050">
        <v>3</v>
      </c>
      <c r="D2050">
        <v>2</v>
      </c>
      <c r="F2050" t="s">
        <v>11724</v>
      </c>
      <c r="H2050" t="s">
        <v>70</v>
      </c>
      <c r="I2050">
        <v>2376</v>
      </c>
      <c r="K2050" t="s">
        <v>13433</v>
      </c>
      <c r="L2050" t="s">
        <v>10854</v>
      </c>
      <c r="M2050">
        <v>1</v>
      </c>
      <c r="N2050">
        <v>1801.94</v>
      </c>
      <c r="O2050">
        <v>2027</v>
      </c>
      <c r="P2050">
        <v>2027</v>
      </c>
    </row>
    <row r="2051" spans="3:16">
      <c r="C2051">
        <v>3</v>
      </c>
      <c r="D2051">
        <v>2</v>
      </c>
      <c r="F2051" t="s">
        <v>11724</v>
      </c>
      <c r="H2051" t="s">
        <v>70</v>
      </c>
      <c r="I2051">
        <v>2391</v>
      </c>
      <c r="K2051" t="s">
        <v>13434</v>
      </c>
      <c r="L2051" t="s">
        <v>10854</v>
      </c>
      <c r="M2051">
        <v>1</v>
      </c>
      <c r="N2051">
        <v>298.73</v>
      </c>
      <c r="O2051">
        <v>336.04</v>
      </c>
      <c r="P2051">
        <v>336.04</v>
      </c>
    </row>
    <row r="2052" spans="3:16">
      <c r="C2052">
        <v>3</v>
      </c>
      <c r="D2052">
        <v>2</v>
      </c>
      <c r="F2052" t="s">
        <v>11724</v>
      </c>
      <c r="H2052" t="s">
        <v>70</v>
      </c>
      <c r="I2052">
        <v>34714</v>
      </c>
      <c r="K2052" t="s">
        <v>13435</v>
      </c>
      <c r="L2052" t="s">
        <v>10854</v>
      </c>
      <c r="M2052">
        <v>1</v>
      </c>
      <c r="N2052">
        <v>65.41</v>
      </c>
      <c r="O2052">
        <v>73.58</v>
      </c>
      <c r="P2052">
        <v>73.58</v>
      </c>
    </row>
    <row r="2053" spans="3:16">
      <c r="C2053">
        <v>3</v>
      </c>
      <c r="D2053">
        <v>2</v>
      </c>
      <c r="F2053" t="s">
        <v>11724</v>
      </c>
      <c r="H2053" t="s">
        <v>70</v>
      </c>
      <c r="I2053">
        <v>93672</v>
      </c>
      <c r="K2053" t="s">
        <v>13436</v>
      </c>
      <c r="L2053" t="s">
        <v>10854</v>
      </c>
      <c r="M2053">
        <v>1</v>
      </c>
      <c r="N2053">
        <v>70.73</v>
      </c>
      <c r="O2053">
        <v>79.56</v>
      </c>
      <c r="P2053">
        <v>79.56</v>
      </c>
    </row>
    <row r="2054" spans="3:16">
      <c r="C2054">
        <v>3</v>
      </c>
      <c r="D2054">
        <v>2</v>
      </c>
      <c r="F2054" t="s">
        <v>11724</v>
      </c>
      <c r="H2054" t="s">
        <v>70</v>
      </c>
      <c r="I2054">
        <v>93671</v>
      </c>
      <c r="K2054" t="s">
        <v>13437</v>
      </c>
      <c r="L2054" t="s">
        <v>10854</v>
      </c>
      <c r="M2054">
        <v>2</v>
      </c>
      <c r="N2054">
        <v>66.05</v>
      </c>
      <c r="O2054">
        <v>74.3</v>
      </c>
      <c r="P2054">
        <v>148.6</v>
      </c>
    </row>
    <row r="2055" spans="3:16">
      <c r="C2055">
        <v>3</v>
      </c>
      <c r="D2055">
        <v>2</v>
      </c>
      <c r="F2055" t="s">
        <v>11724</v>
      </c>
      <c r="H2055" t="s">
        <v>70</v>
      </c>
      <c r="I2055">
        <v>93669</v>
      </c>
      <c r="K2055" t="s">
        <v>13438</v>
      </c>
      <c r="L2055" t="s">
        <v>10854</v>
      </c>
      <c r="M2055">
        <v>3</v>
      </c>
      <c r="N2055">
        <v>63.19</v>
      </c>
      <c r="O2055">
        <v>71.08</v>
      </c>
      <c r="P2055">
        <v>213.24</v>
      </c>
    </row>
    <row r="2056" spans="3:16">
      <c r="C2056">
        <v>3</v>
      </c>
      <c r="D2056">
        <v>2</v>
      </c>
      <c r="F2056" t="s">
        <v>11724</v>
      </c>
      <c r="H2056" t="s">
        <v>70</v>
      </c>
      <c r="I2056">
        <v>93655</v>
      </c>
      <c r="K2056" t="s">
        <v>13439</v>
      </c>
      <c r="L2056" t="s">
        <v>10854</v>
      </c>
      <c r="M2056">
        <v>6</v>
      </c>
      <c r="N2056">
        <v>10.6</v>
      </c>
      <c r="O2056">
        <v>11.92</v>
      </c>
      <c r="P2056">
        <v>71.52</v>
      </c>
    </row>
    <row r="2057" spans="3:16">
      <c r="C2057">
        <v>3</v>
      </c>
      <c r="D2057">
        <v>2</v>
      </c>
      <c r="F2057" t="s">
        <v>11724</v>
      </c>
      <c r="H2057" t="s">
        <v>70</v>
      </c>
      <c r="I2057">
        <v>93668</v>
      </c>
      <c r="K2057" t="s">
        <v>13440</v>
      </c>
      <c r="L2057" t="s">
        <v>10854</v>
      </c>
      <c r="M2057">
        <v>1</v>
      </c>
      <c r="N2057">
        <v>60.88</v>
      </c>
      <c r="O2057">
        <v>68.48</v>
      </c>
      <c r="P2057">
        <v>68.48</v>
      </c>
    </row>
    <row r="2058" spans="3:16">
      <c r="C2058">
        <v>3</v>
      </c>
      <c r="D2058">
        <v>2</v>
      </c>
      <c r="F2058" t="s">
        <v>11724</v>
      </c>
      <c r="H2058" t="s">
        <v>70</v>
      </c>
      <c r="I2058">
        <v>93654</v>
      </c>
      <c r="K2058" t="s">
        <v>13441</v>
      </c>
      <c r="L2058" t="s">
        <v>10854</v>
      </c>
      <c r="M2058">
        <v>1</v>
      </c>
      <c r="N2058">
        <v>9.84</v>
      </c>
      <c r="O2058">
        <v>11.07</v>
      </c>
      <c r="P2058">
        <v>11.07</v>
      </c>
    </row>
    <row r="2059" spans="3:16">
      <c r="C2059">
        <v>3</v>
      </c>
      <c r="D2059">
        <v>2</v>
      </c>
      <c r="F2059" t="s">
        <v>11724</v>
      </c>
      <c r="H2059" t="s">
        <v>70</v>
      </c>
      <c r="I2059">
        <v>91867</v>
      </c>
      <c r="K2059" t="s">
        <v>14648</v>
      </c>
      <c r="L2059" t="s">
        <v>18</v>
      </c>
      <c r="M2059">
        <v>30</v>
      </c>
      <c r="N2059">
        <v>5.39</v>
      </c>
      <c r="O2059">
        <v>6.06</v>
      </c>
      <c r="P2059">
        <v>181.8</v>
      </c>
    </row>
    <row r="2060" spans="3:16">
      <c r="C2060">
        <v>3</v>
      </c>
      <c r="D2060">
        <v>2</v>
      </c>
      <c r="F2060" t="s">
        <v>11724</v>
      </c>
      <c r="H2060" t="s">
        <v>70</v>
      </c>
      <c r="I2060">
        <v>91868</v>
      </c>
      <c r="K2060" t="s">
        <v>14649</v>
      </c>
      <c r="L2060" t="s">
        <v>18</v>
      </c>
      <c r="M2060">
        <v>12</v>
      </c>
      <c r="N2060">
        <v>7.27</v>
      </c>
      <c r="O2060">
        <v>8.18</v>
      </c>
      <c r="P2060">
        <v>98.16</v>
      </c>
    </row>
    <row r="2061" spans="3:16">
      <c r="C2061">
        <v>3</v>
      </c>
      <c r="D2061">
        <v>2</v>
      </c>
      <c r="F2061" t="s">
        <v>11724</v>
      </c>
      <c r="H2061" t="s">
        <v>70</v>
      </c>
      <c r="I2061">
        <v>93008</v>
      </c>
      <c r="K2061" t="s">
        <v>14650</v>
      </c>
      <c r="L2061" t="s">
        <v>18</v>
      </c>
      <c r="M2061">
        <v>6</v>
      </c>
      <c r="N2061">
        <v>8.5399999999999991</v>
      </c>
      <c r="O2061">
        <v>9.61</v>
      </c>
      <c r="P2061">
        <v>57.66</v>
      </c>
    </row>
    <row r="2062" spans="3:16">
      <c r="C2062">
        <v>3</v>
      </c>
      <c r="D2062">
        <v>2</v>
      </c>
      <c r="F2062" t="s">
        <v>11724</v>
      </c>
      <c r="H2062" t="s">
        <v>70</v>
      </c>
      <c r="I2062">
        <v>939</v>
      </c>
      <c r="K2062" t="s">
        <v>13442</v>
      </c>
      <c r="L2062" t="s">
        <v>13443</v>
      </c>
      <c r="M2062">
        <v>1</v>
      </c>
      <c r="N2062">
        <v>1.23</v>
      </c>
      <c r="O2062">
        <v>1.38</v>
      </c>
      <c r="P2062">
        <v>1.38</v>
      </c>
    </row>
    <row r="2063" spans="3:16">
      <c r="C2063">
        <v>3</v>
      </c>
      <c r="D2063">
        <v>2</v>
      </c>
      <c r="F2063" t="s">
        <v>11724</v>
      </c>
      <c r="H2063" t="s">
        <v>70</v>
      </c>
      <c r="I2063">
        <v>939</v>
      </c>
      <c r="K2063" t="s">
        <v>13444</v>
      </c>
      <c r="L2063" t="s">
        <v>13443</v>
      </c>
      <c r="M2063">
        <v>1</v>
      </c>
      <c r="N2063">
        <v>1.23</v>
      </c>
      <c r="O2063">
        <v>1.38</v>
      </c>
      <c r="P2063">
        <v>1.38</v>
      </c>
    </row>
    <row r="2064" spans="3:16">
      <c r="C2064">
        <v>3</v>
      </c>
      <c r="D2064">
        <v>2</v>
      </c>
      <c r="F2064" t="s">
        <v>11724</v>
      </c>
      <c r="H2064" t="s">
        <v>70</v>
      </c>
      <c r="I2064">
        <v>939</v>
      </c>
      <c r="K2064" t="s">
        <v>13445</v>
      </c>
      <c r="L2064" t="s">
        <v>13443</v>
      </c>
      <c r="M2064">
        <v>1</v>
      </c>
      <c r="N2064">
        <v>1.23</v>
      </c>
      <c r="O2064">
        <v>1.38</v>
      </c>
      <c r="P2064">
        <v>1.38</v>
      </c>
    </row>
    <row r="2065" spans="2:16">
      <c r="C2065">
        <v>3</v>
      </c>
      <c r="D2065">
        <v>2</v>
      </c>
      <c r="F2065" t="s">
        <v>11724</v>
      </c>
      <c r="H2065" t="s">
        <v>70</v>
      </c>
      <c r="I2065">
        <v>939</v>
      </c>
      <c r="K2065" t="s">
        <v>13446</v>
      </c>
      <c r="L2065" t="s">
        <v>13443</v>
      </c>
      <c r="M2065">
        <v>1</v>
      </c>
      <c r="N2065">
        <v>1.23</v>
      </c>
      <c r="O2065">
        <v>1.38</v>
      </c>
      <c r="P2065">
        <v>1.38</v>
      </c>
    </row>
    <row r="2066" spans="2:16">
      <c r="C2066">
        <v>3</v>
      </c>
      <c r="D2066">
        <v>2</v>
      </c>
      <c r="F2066" t="s">
        <v>11724</v>
      </c>
      <c r="H2066" t="s">
        <v>70</v>
      </c>
      <c r="I2066">
        <v>944</v>
      </c>
      <c r="K2066" t="s">
        <v>13447</v>
      </c>
      <c r="L2066" t="s">
        <v>18</v>
      </c>
      <c r="M2066">
        <v>18</v>
      </c>
      <c r="N2066">
        <v>2.1</v>
      </c>
      <c r="O2066">
        <v>2.36</v>
      </c>
      <c r="P2066">
        <v>42.48</v>
      </c>
    </row>
    <row r="2067" spans="2:16">
      <c r="C2067">
        <v>3</v>
      </c>
      <c r="D2067">
        <v>2</v>
      </c>
      <c r="F2067" t="s">
        <v>11724</v>
      </c>
      <c r="H2067" t="s">
        <v>70</v>
      </c>
      <c r="I2067">
        <v>944</v>
      </c>
      <c r="K2067" t="s">
        <v>13448</v>
      </c>
      <c r="L2067" t="s">
        <v>18</v>
      </c>
      <c r="M2067">
        <v>18</v>
      </c>
      <c r="N2067">
        <v>2.1</v>
      </c>
      <c r="O2067">
        <v>2.36</v>
      </c>
      <c r="P2067">
        <v>42.48</v>
      </c>
    </row>
    <row r="2068" spans="2:16">
      <c r="C2068">
        <v>3</v>
      </c>
      <c r="D2068">
        <v>2</v>
      </c>
      <c r="F2068" t="s">
        <v>11724</v>
      </c>
      <c r="H2068" t="s">
        <v>70</v>
      </c>
      <c r="I2068">
        <v>944</v>
      </c>
      <c r="K2068" t="s">
        <v>13449</v>
      </c>
      <c r="L2068" t="s">
        <v>18</v>
      </c>
      <c r="M2068">
        <v>18</v>
      </c>
      <c r="N2068">
        <v>2.1</v>
      </c>
      <c r="O2068">
        <v>2.36</v>
      </c>
      <c r="P2068">
        <v>42.48</v>
      </c>
    </row>
    <row r="2069" spans="2:16">
      <c r="C2069">
        <v>3</v>
      </c>
      <c r="D2069">
        <v>2</v>
      </c>
      <c r="F2069" t="s">
        <v>11724</v>
      </c>
      <c r="H2069" t="s">
        <v>70</v>
      </c>
      <c r="I2069">
        <v>91933</v>
      </c>
      <c r="K2069" t="s">
        <v>13450</v>
      </c>
      <c r="L2069" t="s">
        <v>18</v>
      </c>
      <c r="M2069">
        <v>20</v>
      </c>
      <c r="N2069">
        <v>9.2799999999999994</v>
      </c>
      <c r="O2069">
        <v>10.44</v>
      </c>
      <c r="P2069">
        <v>208.8</v>
      </c>
    </row>
    <row r="2070" spans="2:16">
      <c r="C2070">
        <v>3</v>
      </c>
      <c r="D2070">
        <v>2</v>
      </c>
      <c r="F2070" t="s">
        <v>11724</v>
      </c>
      <c r="H2070" t="s">
        <v>11722</v>
      </c>
      <c r="I2070" t="s">
        <v>13451</v>
      </c>
      <c r="K2070" t="s">
        <v>13452</v>
      </c>
      <c r="L2070" t="s">
        <v>10853</v>
      </c>
      <c r="M2070">
        <v>5</v>
      </c>
      <c r="N2070">
        <v>9.41</v>
      </c>
      <c r="O2070">
        <v>10.59</v>
      </c>
      <c r="P2070">
        <v>52.95</v>
      </c>
    </row>
    <row r="2071" spans="2:16">
      <c r="C2071">
        <v>3</v>
      </c>
      <c r="D2071">
        <v>2</v>
      </c>
      <c r="F2071" t="s">
        <v>11724</v>
      </c>
      <c r="H2071" t="s">
        <v>11722</v>
      </c>
      <c r="I2071" t="s">
        <v>13453</v>
      </c>
      <c r="K2071" t="s">
        <v>13454</v>
      </c>
      <c r="L2071" t="s">
        <v>10853</v>
      </c>
      <c r="M2071">
        <v>15</v>
      </c>
      <c r="N2071">
        <v>9.48</v>
      </c>
      <c r="O2071">
        <v>10.66</v>
      </c>
      <c r="P2071">
        <v>159.9</v>
      </c>
    </row>
    <row r="2072" spans="2:16">
      <c r="C2072">
        <v>3</v>
      </c>
      <c r="D2072">
        <v>2</v>
      </c>
      <c r="F2072" t="s">
        <v>11724</v>
      </c>
      <c r="H2072" t="s">
        <v>70</v>
      </c>
      <c r="I2072">
        <v>38075</v>
      </c>
      <c r="K2072" t="s">
        <v>13455</v>
      </c>
      <c r="L2072" t="s">
        <v>10853</v>
      </c>
      <c r="M2072">
        <v>1</v>
      </c>
      <c r="N2072">
        <v>12.17</v>
      </c>
      <c r="O2072">
        <v>13.69</v>
      </c>
      <c r="P2072">
        <v>13.69</v>
      </c>
    </row>
    <row r="2073" spans="2:16">
      <c r="C2073">
        <v>3</v>
      </c>
      <c r="D2073">
        <v>2</v>
      </c>
      <c r="F2073" t="s">
        <v>11724</v>
      </c>
      <c r="H2073" t="s">
        <v>70</v>
      </c>
      <c r="I2073" t="s">
        <v>16907</v>
      </c>
      <c r="K2073" t="s">
        <v>13456</v>
      </c>
      <c r="L2073" t="s">
        <v>10853</v>
      </c>
      <c r="M2073">
        <v>2</v>
      </c>
      <c r="N2073">
        <v>67.099999999999994</v>
      </c>
      <c r="O2073">
        <v>75.48</v>
      </c>
      <c r="P2073">
        <v>150.96</v>
      </c>
    </row>
    <row r="2074" spans="2:16">
      <c r="C2074">
        <v>3</v>
      </c>
      <c r="D2074">
        <v>2</v>
      </c>
      <c r="F2074" t="s">
        <v>11724</v>
      </c>
      <c r="H2074" t="s">
        <v>70</v>
      </c>
      <c r="I2074">
        <v>1062</v>
      </c>
      <c r="K2074" t="s">
        <v>13457</v>
      </c>
      <c r="L2074" t="s">
        <v>10853</v>
      </c>
      <c r="M2074">
        <v>1</v>
      </c>
      <c r="N2074">
        <v>102.79</v>
      </c>
      <c r="O2074">
        <v>115.63</v>
      </c>
      <c r="P2074">
        <v>115.63</v>
      </c>
    </row>
    <row r="2075" spans="2:16">
      <c r="C2075">
        <v>3</v>
      </c>
      <c r="D2075">
        <v>2</v>
      </c>
      <c r="F2075" t="s">
        <v>11724</v>
      </c>
      <c r="H2075" t="s">
        <v>11722</v>
      </c>
      <c r="I2075" t="s">
        <v>13458</v>
      </c>
      <c r="K2075" t="s">
        <v>13459</v>
      </c>
      <c r="L2075" t="s">
        <v>10853</v>
      </c>
      <c r="M2075">
        <v>2</v>
      </c>
      <c r="N2075">
        <v>9.48</v>
      </c>
      <c r="O2075">
        <v>10.66</v>
      </c>
      <c r="P2075">
        <v>21.32</v>
      </c>
    </row>
    <row r="2076" spans="2:16">
      <c r="C2076">
        <v>3</v>
      </c>
      <c r="D2076">
        <v>2</v>
      </c>
      <c r="F2076" t="s">
        <v>11724</v>
      </c>
      <c r="H2076" t="s">
        <v>70</v>
      </c>
      <c r="I2076" t="s">
        <v>17072</v>
      </c>
      <c r="K2076" t="s">
        <v>20499</v>
      </c>
      <c r="L2076" t="s">
        <v>18</v>
      </c>
      <c r="M2076">
        <v>30</v>
      </c>
      <c r="N2076">
        <v>1.24</v>
      </c>
      <c r="O2076">
        <v>1.39</v>
      </c>
      <c r="P2076">
        <v>41.7</v>
      </c>
    </row>
    <row r="2077" spans="2:16">
      <c r="C2077">
        <v>3</v>
      </c>
      <c r="D2077">
        <v>2</v>
      </c>
    </row>
    <row r="2078" spans="2:16">
      <c r="B2078">
        <v>1</v>
      </c>
      <c r="C2078">
        <v>3</v>
      </c>
      <c r="D2078">
        <v>3</v>
      </c>
      <c r="F2078" t="s">
        <v>11724</v>
      </c>
      <c r="H2078" t="s">
        <v>20895</v>
      </c>
      <c r="I2078" t="s">
        <v>13871</v>
      </c>
      <c r="L2078" t="s">
        <v>25</v>
      </c>
      <c r="M2078" t="s">
        <v>11704</v>
      </c>
      <c r="N2078" t="s">
        <v>11705</v>
      </c>
      <c r="O2078" t="s">
        <v>11706</v>
      </c>
      <c r="P2078">
        <v>79026.5</v>
      </c>
    </row>
    <row r="2079" spans="2:16">
      <c r="C2079">
        <v>3</v>
      </c>
      <c r="D2079">
        <v>3</v>
      </c>
      <c r="F2079" t="s">
        <v>11724</v>
      </c>
    </row>
    <row r="2080" spans="2:16">
      <c r="C2080">
        <v>3</v>
      </c>
      <c r="D2080">
        <v>3</v>
      </c>
      <c r="F2080" t="s">
        <v>11724</v>
      </c>
      <c r="H2080" t="s">
        <v>70</v>
      </c>
      <c r="I2080">
        <v>91844</v>
      </c>
      <c r="K2080" t="s">
        <v>13460</v>
      </c>
      <c r="L2080" t="s">
        <v>18</v>
      </c>
      <c r="M2080">
        <v>180</v>
      </c>
      <c r="N2080">
        <v>4.03</v>
      </c>
      <c r="O2080">
        <v>4.53</v>
      </c>
      <c r="P2080">
        <v>815.4</v>
      </c>
    </row>
    <row r="2081" spans="3:16">
      <c r="C2081">
        <v>3</v>
      </c>
      <c r="D2081">
        <v>3</v>
      </c>
      <c r="F2081" t="s">
        <v>11724</v>
      </c>
      <c r="H2081" t="s">
        <v>70</v>
      </c>
      <c r="I2081">
        <v>91846</v>
      </c>
      <c r="K2081" t="s">
        <v>13461</v>
      </c>
      <c r="L2081" t="s">
        <v>18</v>
      </c>
      <c r="M2081">
        <v>360</v>
      </c>
      <c r="N2081">
        <v>5.5</v>
      </c>
      <c r="O2081">
        <v>6.19</v>
      </c>
      <c r="P2081">
        <v>2228.4</v>
      </c>
    </row>
    <row r="2082" spans="3:16">
      <c r="C2082">
        <v>3</v>
      </c>
      <c r="D2082">
        <v>3</v>
      </c>
      <c r="F2082" t="s">
        <v>11724</v>
      </c>
      <c r="H2082" t="s">
        <v>70</v>
      </c>
      <c r="I2082">
        <v>2500</v>
      </c>
      <c r="K2082" t="s">
        <v>13462</v>
      </c>
      <c r="L2082" t="s">
        <v>18</v>
      </c>
      <c r="M2082">
        <v>285</v>
      </c>
      <c r="N2082">
        <v>19.489999999999998</v>
      </c>
      <c r="O2082">
        <v>21.92</v>
      </c>
      <c r="P2082">
        <v>6247.2</v>
      </c>
    </row>
    <row r="2083" spans="3:16">
      <c r="C2083">
        <v>3</v>
      </c>
      <c r="D2083">
        <v>3</v>
      </c>
      <c r="F2083" t="s">
        <v>11724</v>
      </c>
      <c r="H2083" t="s">
        <v>70</v>
      </c>
      <c r="I2083">
        <v>2505</v>
      </c>
      <c r="K2083" t="s">
        <v>13463</v>
      </c>
      <c r="L2083" t="s">
        <v>18</v>
      </c>
      <c r="M2083">
        <v>60</v>
      </c>
      <c r="N2083">
        <v>30.38</v>
      </c>
      <c r="O2083">
        <v>34.17</v>
      </c>
      <c r="P2083">
        <v>2050.1999999999998</v>
      </c>
    </row>
    <row r="2084" spans="3:16">
      <c r="C2084">
        <v>3</v>
      </c>
      <c r="D2084">
        <v>3</v>
      </c>
      <c r="F2084" t="s">
        <v>11724</v>
      </c>
      <c r="H2084" t="s">
        <v>11722</v>
      </c>
      <c r="I2084" t="s">
        <v>13464</v>
      </c>
      <c r="K2084" t="s">
        <v>13465</v>
      </c>
      <c r="L2084" t="s">
        <v>18</v>
      </c>
      <c r="M2084">
        <v>150</v>
      </c>
      <c r="N2084">
        <v>97.77</v>
      </c>
      <c r="O2084">
        <v>109.98</v>
      </c>
      <c r="P2084">
        <v>16497</v>
      </c>
    </row>
    <row r="2085" spans="3:16">
      <c r="C2085">
        <v>3</v>
      </c>
      <c r="D2085">
        <v>3</v>
      </c>
      <c r="F2085" t="s">
        <v>11724</v>
      </c>
      <c r="H2085" t="s">
        <v>11722</v>
      </c>
      <c r="I2085" t="s">
        <v>13466</v>
      </c>
      <c r="K2085" t="s">
        <v>13467</v>
      </c>
      <c r="L2085" t="s">
        <v>18</v>
      </c>
      <c r="M2085">
        <v>30</v>
      </c>
      <c r="N2085">
        <v>126.74</v>
      </c>
      <c r="O2085">
        <v>142.57</v>
      </c>
      <c r="P2085">
        <v>4277.1000000000004</v>
      </c>
    </row>
    <row r="2086" spans="3:16">
      <c r="C2086">
        <v>3</v>
      </c>
      <c r="D2086">
        <v>3</v>
      </c>
      <c r="F2086" t="s">
        <v>11724</v>
      </c>
      <c r="H2086" t="s">
        <v>11722</v>
      </c>
      <c r="I2086" t="s">
        <v>13468</v>
      </c>
      <c r="K2086" t="s">
        <v>13469</v>
      </c>
      <c r="L2086" t="s">
        <v>18</v>
      </c>
      <c r="M2086">
        <v>12</v>
      </c>
      <c r="N2086">
        <v>21.71</v>
      </c>
      <c r="O2086">
        <v>24.42</v>
      </c>
      <c r="P2086">
        <v>293.04000000000002</v>
      </c>
    </row>
    <row r="2087" spans="3:16">
      <c r="C2087">
        <v>3</v>
      </c>
      <c r="D2087">
        <v>3</v>
      </c>
      <c r="F2087" t="s">
        <v>11724</v>
      </c>
      <c r="H2087" t="s">
        <v>11722</v>
      </c>
      <c r="I2087" t="s">
        <v>13470</v>
      </c>
      <c r="K2087" t="s">
        <v>13471</v>
      </c>
      <c r="L2087" t="s">
        <v>18</v>
      </c>
      <c r="M2087">
        <v>12</v>
      </c>
      <c r="N2087">
        <v>24.36</v>
      </c>
      <c r="O2087">
        <v>27.4</v>
      </c>
      <c r="P2087">
        <v>328.8</v>
      </c>
    </row>
    <row r="2088" spans="3:16">
      <c r="C2088">
        <v>3</v>
      </c>
      <c r="D2088">
        <v>3</v>
      </c>
      <c r="F2088" t="s">
        <v>11724</v>
      </c>
      <c r="H2088" t="s">
        <v>11722</v>
      </c>
      <c r="I2088" t="s">
        <v>13472</v>
      </c>
      <c r="K2088" t="s">
        <v>13473</v>
      </c>
      <c r="L2088" t="s">
        <v>10853</v>
      </c>
      <c r="M2088">
        <v>2</v>
      </c>
      <c r="N2088">
        <v>24.11</v>
      </c>
      <c r="O2088">
        <v>27.12</v>
      </c>
      <c r="P2088">
        <v>54.24</v>
      </c>
    </row>
    <row r="2089" spans="3:16">
      <c r="C2089">
        <v>3</v>
      </c>
      <c r="D2089">
        <v>3</v>
      </c>
      <c r="F2089" t="s">
        <v>11724</v>
      </c>
      <c r="H2089" t="s">
        <v>11722</v>
      </c>
      <c r="I2089" t="s">
        <v>13474</v>
      </c>
      <c r="K2089" t="s">
        <v>13475</v>
      </c>
      <c r="L2089" t="s">
        <v>10853</v>
      </c>
      <c r="M2089">
        <v>10</v>
      </c>
      <c r="N2089">
        <v>57.37</v>
      </c>
      <c r="O2089">
        <v>64.540000000000006</v>
      </c>
      <c r="P2089">
        <v>645.4</v>
      </c>
    </row>
    <row r="2090" spans="3:16">
      <c r="C2090">
        <v>3</v>
      </c>
      <c r="D2090">
        <v>3</v>
      </c>
      <c r="F2090" t="s">
        <v>11724</v>
      </c>
      <c r="H2090" t="s">
        <v>11722</v>
      </c>
      <c r="I2090" t="s">
        <v>13476</v>
      </c>
      <c r="K2090" t="s">
        <v>13477</v>
      </c>
      <c r="L2090" t="s">
        <v>10853</v>
      </c>
      <c r="M2090">
        <v>6</v>
      </c>
      <c r="N2090">
        <v>87.04</v>
      </c>
      <c r="O2090">
        <v>97.91</v>
      </c>
      <c r="P2090">
        <v>587.46</v>
      </c>
    </row>
    <row r="2091" spans="3:16">
      <c r="C2091">
        <v>3</v>
      </c>
      <c r="D2091">
        <v>3</v>
      </c>
      <c r="F2091" t="s">
        <v>11724</v>
      </c>
      <c r="H2091" t="s">
        <v>70</v>
      </c>
      <c r="I2091">
        <v>939</v>
      </c>
      <c r="K2091" t="s">
        <v>13478</v>
      </c>
      <c r="L2091" t="s">
        <v>18</v>
      </c>
      <c r="M2091">
        <v>60</v>
      </c>
      <c r="N2091">
        <v>1.23</v>
      </c>
      <c r="O2091">
        <v>1.38</v>
      </c>
      <c r="P2091">
        <v>82.8</v>
      </c>
    </row>
    <row r="2092" spans="3:16">
      <c r="C2092">
        <v>3</v>
      </c>
      <c r="D2092">
        <v>3</v>
      </c>
      <c r="F2092" t="s">
        <v>11724</v>
      </c>
      <c r="H2092" t="s">
        <v>70</v>
      </c>
      <c r="I2092">
        <v>939</v>
      </c>
      <c r="K2092" t="s">
        <v>13479</v>
      </c>
      <c r="L2092" t="s">
        <v>18</v>
      </c>
      <c r="M2092">
        <v>75</v>
      </c>
      <c r="N2092">
        <v>1.23</v>
      </c>
      <c r="O2092">
        <v>1.38</v>
      </c>
      <c r="P2092">
        <v>103.5</v>
      </c>
    </row>
    <row r="2093" spans="3:16">
      <c r="C2093">
        <v>3</v>
      </c>
      <c r="D2093">
        <v>3</v>
      </c>
      <c r="F2093" t="s">
        <v>11724</v>
      </c>
      <c r="H2093" t="s">
        <v>70</v>
      </c>
      <c r="I2093">
        <v>939</v>
      </c>
      <c r="K2093" t="s">
        <v>13480</v>
      </c>
      <c r="L2093" t="s">
        <v>18</v>
      </c>
      <c r="M2093">
        <v>70</v>
      </c>
      <c r="N2093">
        <v>1.23</v>
      </c>
      <c r="O2093">
        <v>1.38</v>
      </c>
      <c r="P2093">
        <v>96.6</v>
      </c>
    </row>
    <row r="2094" spans="3:16">
      <c r="C2094">
        <v>3</v>
      </c>
      <c r="D2094">
        <v>3</v>
      </c>
      <c r="F2094" t="s">
        <v>11724</v>
      </c>
      <c r="H2094" t="s">
        <v>70</v>
      </c>
      <c r="I2094">
        <v>939</v>
      </c>
      <c r="K2094" t="s">
        <v>13481</v>
      </c>
      <c r="L2094" t="s">
        <v>18</v>
      </c>
      <c r="M2094">
        <v>15</v>
      </c>
      <c r="N2094">
        <v>1.23</v>
      </c>
      <c r="O2094">
        <v>1.38</v>
      </c>
      <c r="P2094">
        <v>20.7</v>
      </c>
    </row>
    <row r="2095" spans="3:16">
      <c r="C2095">
        <v>3</v>
      </c>
      <c r="D2095">
        <v>3</v>
      </c>
      <c r="F2095" t="s">
        <v>11724</v>
      </c>
      <c r="H2095" t="s">
        <v>70</v>
      </c>
      <c r="I2095">
        <v>944</v>
      </c>
      <c r="K2095" t="s">
        <v>13482</v>
      </c>
      <c r="L2095" t="s">
        <v>18</v>
      </c>
      <c r="M2095">
        <v>45</v>
      </c>
      <c r="N2095">
        <v>2.1</v>
      </c>
      <c r="O2095">
        <v>2.36</v>
      </c>
      <c r="P2095">
        <v>106.2</v>
      </c>
    </row>
    <row r="2096" spans="3:16">
      <c r="C2096">
        <v>3</v>
      </c>
      <c r="D2096">
        <v>3</v>
      </c>
      <c r="F2096" t="s">
        <v>11724</v>
      </c>
      <c r="H2096" t="s">
        <v>70</v>
      </c>
      <c r="I2096">
        <v>944</v>
      </c>
      <c r="K2096" t="s">
        <v>13483</v>
      </c>
      <c r="L2096" t="s">
        <v>18</v>
      </c>
      <c r="M2096">
        <v>15</v>
      </c>
      <c r="N2096">
        <v>2.1</v>
      </c>
      <c r="O2096">
        <v>2.36</v>
      </c>
      <c r="P2096">
        <v>35.4</v>
      </c>
    </row>
    <row r="2097" spans="3:16">
      <c r="C2097">
        <v>3</v>
      </c>
      <c r="D2097">
        <v>3</v>
      </c>
      <c r="F2097" t="s">
        <v>11724</v>
      </c>
      <c r="H2097" t="s">
        <v>70</v>
      </c>
      <c r="I2097">
        <v>944</v>
      </c>
      <c r="K2097" t="s">
        <v>13484</v>
      </c>
      <c r="L2097" t="s">
        <v>18</v>
      </c>
      <c r="M2097">
        <v>15</v>
      </c>
      <c r="N2097">
        <v>2.1</v>
      </c>
      <c r="O2097">
        <v>2.36</v>
      </c>
      <c r="P2097">
        <v>35.4</v>
      </c>
    </row>
    <row r="2098" spans="3:16">
      <c r="C2098">
        <v>3</v>
      </c>
      <c r="D2098">
        <v>3</v>
      </c>
      <c r="F2098" t="s">
        <v>11724</v>
      </c>
      <c r="H2098" t="s">
        <v>70</v>
      </c>
      <c r="I2098">
        <v>91925</v>
      </c>
      <c r="K2098" t="s">
        <v>13485</v>
      </c>
      <c r="L2098" t="s">
        <v>18</v>
      </c>
      <c r="M2098">
        <v>40</v>
      </c>
      <c r="N2098">
        <v>2.35</v>
      </c>
      <c r="O2098">
        <v>2.64</v>
      </c>
      <c r="P2098">
        <v>105.6</v>
      </c>
    </row>
    <row r="2099" spans="3:16">
      <c r="C2099">
        <v>3</v>
      </c>
      <c r="D2099">
        <v>3</v>
      </c>
      <c r="F2099" t="s">
        <v>11724</v>
      </c>
      <c r="H2099" t="s">
        <v>70</v>
      </c>
      <c r="I2099">
        <v>91925</v>
      </c>
      <c r="K2099" t="s">
        <v>13486</v>
      </c>
      <c r="L2099" t="s">
        <v>18</v>
      </c>
      <c r="M2099">
        <v>35</v>
      </c>
      <c r="N2099">
        <v>2.35</v>
      </c>
      <c r="O2099">
        <v>2.64</v>
      </c>
      <c r="P2099">
        <v>92.4</v>
      </c>
    </row>
    <row r="2100" spans="3:16">
      <c r="C2100">
        <v>3</v>
      </c>
      <c r="D2100">
        <v>3</v>
      </c>
      <c r="F2100" t="s">
        <v>11724</v>
      </c>
      <c r="H2100" t="s">
        <v>70</v>
      </c>
      <c r="I2100">
        <v>91925</v>
      </c>
      <c r="K2100" t="s">
        <v>13487</v>
      </c>
      <c r="L2100" t="s">
        <v>18</v>
      </c>
      <c r="M2100">
        <v>250</v>
      </c>
      <c r="N2100">
        <v>2.35</v>
      </c>
      <c r="O2100">
        <v>2.64</v>
      </c>
      <c r="P2100">
        <v>660</v>
      </c>
    </row>
    <row r="2101" spans="3:16">
      <c r="C2101">
        <v>3</v>
      </c>
      <c r="D2101">
        <v>3</v>
      </c>
      <c r="F2101" t="s">
        <v>11724</v>
      </c>
      <c r="H2101" t="s">
        <v>70</v>
      </c>
      <c r="I2101">
        <v>91927</v>
      </c>
      <c r="K2101" t="s">
        <v>13488</v>
      </c>
      <c r="L2101" t="s">
        <v>18</v>
      </c>
      <c r="M2101">
        <v>300</v>
      </c>
      <c r="N2101">
        <v>3.14</v>
      </c>
      <c r="O2101">
        <v>3.53</v>
      </c>
      <c r="P2101">
        <v>1059</v>
      </c>
    </row>
    <row r="2102" spans="3:16">
      <c r="C2102">
        <v>3</v>
      </c>
      <c r="D2102">
        <v>3</v>
      </c>
      <c r="F2102" t="s">
        <v>11724</v>
      </c>
      <c r="H2102" t="s">
        <v>70</v>
      </c>
      <c r="I2102">
        <v>91927</v>
      </c>
      <c r="K2102" t="s">
        <v>13489</v>
      </c>
      <c r="L2102" t="s">
        <v>18</v>
      </c>
      <c r="M2102">
        <v>220</v>
      </c>
      <c r="N2102">
        <v>3.14</v>
      </c>
      <c r="O2102">
        <v>3.53</v>
      </c>
      <c r="P2102">
        <v>776.6</v>
      </c>
    </row>
    <row r="2103" spans="3:16">
      <c r="C2103">
        <v>3</v>
      </c>
      <c r="D2103">
        <v>3</v>
      </c>
      <c r="F2103" t="s">
        <v>11724</v>
      </c>
      <c r="H2103" t="s">
        <v>70</v>
      </c>
      <c r="I2103">
        <v>91929</v>
      </c>
      <c r="K2103" t="s">
        <v>13490</v>
      </c>
      <c r="L2103" t="s">
        <v>18</v>
      </c>
      <c r="M2103">
        <v>100</v>
      </c>
      <c r="N2103">
        <v>4.4000000000000004</v>
      </c>
      <c r="O2103">
        <v>4.95</v>
      </c>
      <c r="P2103">
        <v>495</v>
      </c>
    </row>
    <row r="2104" spans="3:16">
      <c r="C2104">
        <v>3</v>
      </c>
      <c r="D2104">
        <v>3</v>
      </c>
      <c r="F2104" t="s">
        <v>11724</v>
      </c>
      <c r="H2104" t="s">
        <v>70</v>
      </c>
      <c r="I2104">
        <v>91929</v>
      </c>
      <c r="K2104" t="s">
        <v>13491</v>
      </c>
      <c r="L2104" t="s">
        <v>18</v>
      </c>
      <c r="M2104">
        <v>200</v>
      </c>
      <c r="N2104">
        <v>4.4000000000000004</v>
      </c>
      <c r="O2104">
        <v>4.95</v>
      </c>
      <c r="P2104">
        <v>990</v>
      </c>
    </row>
    <row r="2105" spans="3:16">
      <c r="C2105">
        <v>3</v>
      </c>
      <c r="D2105">
        <v>3</v>
      </c>
      <c r="F2105" t="s">
        <v>11724</v>
      </c>
      <c r="H2105" t="s">
        <v>70</v>
      </c>
      <c r="I2105">
        <v>91931</v>
      </c>
      <c r="K2105" t="s">
        <v>13492</v>
      </c>
      <c r="L2105" t="s">
        <v>18</v>
      </c>
      <c r="M2105">
        <v>140</v>
      </c>
      <c r="N2105">
        <v>5.93</v>
      </c>
      <c r="O2105">
        <v>6.67</v>
      </c>
      <c r="P2105">
        <v>933.8</v>
      </c>
    </row>
    <row r="2106" spans="3:16">
      <c r="C2106">
        <v>3</v>
      </c>
      <c r="D2106">
        <v>3</v>
      </c>
      <c r="F2106" t="s">
        <v>11724</v>
      </c>
      <c r="H2106" t="s">
        <v>70</v>
      </c>
      <c r="I2106">
        <v>91933</v>
      </c>
      <c r="K2106" t="s">
        <v>13493</v>
      </c>
      <c r="L2106" t="s">
        <v>18</v>
      </c>
      <c r="M2106">
        <v>25</v>
      </c>
      <c r="N2106">
        <v>9.2799999999999994</v>
      </c>
      <c r="O2106">
        <v>10.44</v>
      </c>
      <c r="P2106">
        <v>261</v>
      </c>
    </row>
    <row r="2107" spans="3:16">
      <c r="C2107">
        <v>3</v>
      </c>
      <c r="D2107">
        <v>3</v>
      </c>
      <c r="F2107" t="s">
        <v>11724</v>
      </c>
      <c r="H2107" t="s">
        <v>70</v>
      </c>
      <c r="I2107">
        <v>92988</v>
      </c>
      <c r="K2107" t="s">
        <v>13494</v>
      </c>
      <c r="L2107" t="s">
        <v>18</v>
      </c>
      <c r="M2107">
        <v>450</v>
      </c>
      <c r="N2107">
        <v>28.99</v>
      </c>
      <c r="O2107">
        <v>32.61</v>
      </c>
      <c r="P2107">
        <v>14674.5</v>
      </c>
    </row>
    <row r="2108" spans="3:16">
      <c r="C2108">
        <v>3</v>
      </c>
      <c r="D2108">
        <v>3</v>
      </c>
      <c r="F2108" t="s">
        <v>11724</v>
      </c>
      <c r="H2108" t="s">
        <v>11722</v>
      </c>
      <c r="I2108" t="s">
        <v>13495</v>
      </c>
      <c r="K2108" t="s">
        <v>13496</v>
      </c>
      <c r="L2108" t="s">
        <v>10853</v>
      </c>
      <c r="M2108">
        <v>8</v>
      </c>
      <c r="N2108">
        <v>1678.94</v>
      </c>
      <c r="O2108">
        <v>1888.64</v>
      </c>
      <c r="P2108">
        <v>15109.12</v>
      </c>
    </row>
    <row r="2109" spans="3:16">
      <c r="C2109">
        <v>3</v>
      </c>
      <c r="D2109">
        <v>3</v>
      </c>
      <c r="F2109" t="s">
        <v>11724</v>
      </c>
      <c r="H2109" t="s">
        <v>11722</v>
      </c>
      <c r="I2109" t="s">
        <v>13497</v>
      </c>
      <c r="K2109" t="s">
        <v>13498</v>
      </c>
      <c r="L2109" t="s">
        <v>10854</v>
      </c>
      <c r="M2109">
        <v>8</v>
      </c>
      <c r="N2109">
        <v>545.04</v>
      </c>
      <c r="O2109">
        <v>613.12</v>
      </c>
      <c r="P2109">
        <v>4904.96</v>
      </c>
    </row>
    <row r="2110" spans="3:16">
      <c r="C2110">
        <v>3</v>
      </c>
      <c r="D2110">
        <v>3</v>
      </c>
      <c r="F2110" t="s">
        <v>11724</v>
      </c>
      <c r="H2110" t="s">
        <v>70</v>
      </c>
      <c r="I2110">
        <v>83446</v>
      </c>
      <c r="K2110" t="s">
        <v>13499</v>
      </c>
      <c r="L2110" t="s">
        <v>26</v>
      </c>
      <c r="M2110">
        <v>10</v>
      </c>
      <c r="N2110">
        <v>134.09</v>
      </c>
      <c r="O2110">
        <v>150.84</v>
      </c>
      <c r="P2110">
        <v>1508.4</v>
      </c>
    </row>
    <row r="2111" spans="3:16">
      <c r="C2111">
        <v>3</v>
      </c>
      <c r="D2111">
        <v>3</v>
      </c>
      <c r="F2111" t="s">
        <v>11724</v>
      </c>
      <c r="H2111" t="s">
        <v>70</v>
      </c>
      <c r="I2111">
        <v>83448</v>
      </c>
      <c r="K2111" t="s">
        <v>13500</v>
      </c>
      <c r="L2111" t="s">
        <v>26</v>
      </c>
      <c r="M2111">
        <v>12</v>
      </c>
      <c r="N2111">
        <v>218.63</v>
      </c>
      <c r="O2111">
        <v>245.94</v>
      </c>
      <c r="P2111">
        <v>2951.28</v>
      </c>
    </row>
    <row r="2112" spans="3:16">
      <c r="C2112">
        <v>3</v>
      </c>
      <c r="D2112">
        <v>3</v>
      </c>
      <c r="F2112" t="s">
        <v>11724</v>
      </c>
    </row>
    <row r="2113" spans="2:16">
      <c r="C2113">
        <v>3</v>
      </c>
      <c r="D2113">
        <v>3</v>
      </c>
    </row>
    <row r="2114" spans="2:16">
      <c r="B2114">
        <v>1</v>
      </c>
      <c r="C2114">
        <v>3</v>
      </c>
      <c r="D2114">
        <v>4</v>
      </c>
      <c r="F2114" t="s">
        <v>11724</v>
      </c>
      <c r="H2114" t="s">
        <v>20896</v>
      </c>
      <c r="I2114" t="s">
        <v>13357</v>
      </c>
      <c r="L2114" t="s">
        <v>25</v>
      </c>
      <c r="M2114" t="s">
        <v>11704</v>
      </c>
      <c r="N2114" t="s">
        <v>11705</v>
      </c>
      <c r="O2114" t="s">
        <v>11706</v>
      </c>
      <c r="P2114">
        <v>8685.7999999999993</v>
      </c>
    </row>
    <row r="2115" spans="2:16">
      <c r="C2115">
        <v>3</v>
      </c>
      <c r="D2115">
        <v>4</v>
      </c>
      <c r="F2115" t="s">
        <v>11724</v>
      </c>
    </row>
    <row r="2116" spans="2:16">
      <c r="C2116">
        <v>3</v>
      </c>
      <c r="D2116">
        <v>4</v>
      </c>
      <c r="F2116" t="s">
        <v>11724</v>
      </c>
      <c r="H2116" t="s">
        <v>11722</v>
      </c>
      <c r="I2116" t="s">
        <v>13501</v>
      </c>
      <c r="K2116" t="s">
        <v>13502</v>
      </c>
      <c r="L2116" t="s">
        <v>10854</v>
      </c>
      <c r="M2116">
        <v>22</v>
      </c>
      <c r="N2116">
        <v>1.65</v>
      </c>
      <c r="O2116">
        <v>1.86</v>
      </c>
      <c r="P2116">
        <v>40.92</v>
      </c>
    </row>
    <row r="2117" spans="2:16">
      <c r="C2117">
        <v>3</v>
      </c>
      <c r="D2117">
        <v>4</v>
      </c>
      <c r="F2117" t="s">
        <v>11724</v>
      </c>
      <c r="H2117" t="s">
        <v>70</v>
      </c>
      <c r="I2117">
        <v>93654</v>
      </c>
      <c r="K2117" t="s">
        <v>13503</v>
      </c>
      <c r="L2117" t="s">
        <v>10854</v>
      </c>
      <c r="M2117">
        <v>2</v>
      </c>
      <c r="N2117">
        <v>9.84</v>
      </c>
      <c r="O2117">
        <v>11.07</v>
      </c>
      <c r="P2117">
        <v>22.14</v>
      </c>
    </row>
    <row r="2118" spans="2:16">
      <c r="C2118">
        <v>3</v>
      </c>
      <c r="D2118">
        <v>4</v>
      </c>
      <c r="F2118" t="s">
        <v>11724</v>
      </c>
      <c r="H2118" t="s">
        <v>70</v>
      </c>
      <c r="I2118">
        <v>93655</v>
      </c>
      <c r="K2118" t="s">
        <v>13504</v>
      </c>
      <c r="L2118" t="s">
        <v>10854</v>
      </c>
      <c r="M2118">
        <v>2</v>
      </c>
      <c r="N2118">
        <v>10.6</v>
      </c>
      <c r="O2118">
        <v>11.92</v>
      </c>
      <c r="P2118">
        <v>23.84</v>
      </c>
    </row>
    <row r="2119" spans="2:16">
      <c r="C2119">
        <v>3</v>
      </c>
      <c r="D2119">
        <v>4</v>
      </c>
      <c r="F2119" t="s">
        <v>11724</v>
      </c>
      <c r="H2119" t="s">
        <v>70</v>
      </c>
      <c r="I2119">
        <v>93656</v>
      </c>
      <c r="K2119" t="s">
        <v>13505</v>
      </c>
      <c r="L2119" t="s">
        <v>10854</v>
      </c>
      <c r="M2119">
        <v>1</v>
      </c>
      <c r="N2119">
        <v>10.6</v>
      </c>
      <c r="O2119">
        <v>11.92</v>
      </c>
      <c r="P2119">
        <v>11.92</v>
      </c>
    </row>
    <row r="2120" spans="2:16">
      <c r="C2120">
        <v>3</v>
      </c>
      <c r="D2120">
        <v>4</v>
      </c>
      <c r="F2120" t="s">
        <v>11724</v>
      </c>
      <c r="H2120" t="s">
        <v>70</v>
      </c>
      <c r="I2120">
        <v>93671</v>
      </c>
      <c r="K2120" t="s">
        <v>13506</v>
      </c>
      <c r="L2120" t="s">
        <v>10854</v>
      </c>
      <c r="M2120">
        <v>1</v>
      </c>
      <c r="N2120">
        <v>66.05</v>
      </c>
      <c r="O2120">
        <v>74.3</v>
      </c>
      <c r="P2120">
        <v>74.3</v>
      </c>
    </row>
    <row r="2121" spans="2:16">
      <c r="C2121">
        <v>3</v>
      </c>
      <c r="D2121">
        <v>4</v>
      </c>
      <c r="F2121" t="s">
        <v>11724</v>
      </c>
      <c r="H2121" t="s">
        <v>70</v>
      </c>
      <c r="I2121">
        <v>93663</v>
      </c>
      <c r="K2121" t="s">
        <v>13507</v>
      </c>
      <c r="L2121" t="s">
        <v>10853</v>
      </c>
      <c r="M2121">
        <v>1</v>
      </c>
      <c r="N2121">
        <v>50.33</v>
      </c>
      <c r="O2121">
        <v>56.62</v>
      </c>
      <c r="P2121">
        <v>56.62</v>
      </c>
    </row>
    <row r="2122" spans="2:16">
      <c r="C2122">
        <v>3</v>
      </c>
      <c r="D2122">
        <v>4</v>
      </c>
      <c r="F2122" t="s">
        <v>11724</v>
      </c>
      <c r="H2122" t="s">
        <v>11722</v>
      </c>
      <c r="I2122" t="s">
        <v>13508</v>
      </c>
      <c r="K2122" t="s">
        <v>13509</v>
      </c>
      <c r="L2122" t="s">
        <v>10854</v>
      </c>
      <c r="M2122">
        <v>1</v>
      </c>
      <c r="N2122">
        <v>107.55</v>
      </c>
      <c r="O2122">
        <v>120.98</v>
      </c>
      <c r="P2122">
        <v>120.98</v>
      </c>
    </row>
    <row r="2123" spans="2:16">
      <c r="C2123">
        <v>3</v>
      </c>
      <c r="D2123">
        <v>4</v>
      </c>
      <c r="F2123" t="s">
        <v>11724</v>
      </c>
      <c r="H2123" t="s">
        <v>70</v>
      </c>
      <c r="I2123">
        <v>91844</v>
      </c>
      <c r="K2123" t="s">
        <v>13510</v>
      </c>
      <c r="L2123" t="s">
        <v>10853</v>
      </c>
      <c r="M2123">
        <v>29</v>
      </c>
      <c r="N2123">
        <v>4.03</v>
      </c>
      <c r="O2123">
        <v>4.53</v>
      </c>
      <c r="P2123">
        <v>131.37</v>
      </c>
    </row>
    <row r="2124" spans="2:16">
      <c r="C2124">
        <v>3</v>
      </c>
      <c r="D2124">
        <v>4</v>
      </c>
      <c r="F2124" t="s">
        <v>11724</v>
      </c>
      <c r="H2124" t="s">
        <v>70</v>
      </c>
      <c r="I2124">
        <v>91902</v>
      </c>
      <c r="K2124" t="s">
        <v>13511</v>
      </c>
      <c r="L2124" t="s">
        <v>10853</v>
      </c>
      <c r="M2124">
        <v>20</v>
      </c>
      <c r="N2124">
        <v>8.19</v>
      </c>
      <c r="O2124">
        <v>9.2100000000000009</v>
      </c>
      <c r="P2124">
        <v>184.2</v>
      </c>
    </row>
    <row r="2125" spans="2:16">
      <c r="C2125">
        <v>3</v>
      </c>
      <c r="D2125">
        <v>4</v>
      </c>
      <c r="F2125" t="s">
        <v>11724</v>
      </c>
      <c r="H2125" t="s">
        <v>70</v>
      </c>
      <c r="I2125">
        <v>939</v>
      </c>
      <c r="K2125" t="s">
        <v>13512</v>
      </c>
      <c r="L2125" t="s">
        <v>18</v>
      </c>
      <c r="M2125">
        <v>100</v>
      </c>
      <c r="N2125">
        <v>1.23</v>
      </c>
      <c r="O2125">
        <v>1.38</v>
      </c>
      <c r="P2125">
        <v>138</v>
      </c>
    </row>
    <row r="2126" spans="2:16">
      <c r="C2126">
        <v>3</v>
      </c>
      <c r="D2126">
        <v>4</v>
      </c>
      <c r="F2126" t="s">
        <v>11724</v>
      </c>
      <c r="H2126" t="s">
        <v>70</v>
      </c>
      <c r="I2126">
        <v>939</v>
      </c>
      <c r="K2126" t="s">
        <v>13513</v>
      </c>
      <c r="L2126" t="s">
        <v>18</v>
      </c>
      <c r="M2126">
        <v>80</v>
      </c>
      <c r="N2126">
        <v>1.23</v>
      </c>
      <c r="O2126">
        <v>1.38</v>
      </c>
      <c r="P2126">
        <v>110.4</v>
      </c>
    </row>
    <row r="2127" spans="2:16">
      <c r="C2127">
        <v>3</v>
      </c>
      <c r="D2127">
        <v>4</v>
      </c>
      <c r="F2127" t="s">
        <v>11724</v>
      </c>
      <c r="H2127" t="s">
        <v>70</v>
      </c>
      <c r="I2127">
        <v>939</v>
      </c>
      <c r="K2127" t="s">
        <v>13514</v>
      </c>
      <c r="L2127" t="s">
        <v>18</v>
      </c>
      <c r="M2127">
        <v>65</v>
      </c>
      <c r="N2127">
        <v>1.23</v>
      </c>
      <c r="O2127">
        <v>1.38</v>
      </c>
      <c r="P2127">
        <v>89.7</v>
      </c>
    </row>
    <row r="2128" spans="2:16">
      <c r="C2128">
        <v>3</v>
      </c>
      <c r="D2128">
        <v>4</v>
      </c>
      <c r="F2128" t="s">
        <v>11724</v>
      </c>
      <c r="H2128" t="s">
        <v>70</v>
      </c>
      <c r="I2128">
        <v>939</v>
      </c>
      <c r="K2128" t="s">
        <v>13515</v>
      </c>
      <c r="L2128" t="s">
        <v>18</v>
      </c>
      <c r="M2128">
        <v>35</v>
      </c>
      <c r="N2128">
        <v>1.23</v>
      </c>
      <c r="O2128">
        <v>1.38</v>
      </c>
      <c r="P2128">
        <v>48.3</v>
      </c>
    </row>
    <row r="2129" spans="3:16">
      <c r="C2129">
        <v>3</v>
      </c>
      <c r="D2129">
        <v>4</v>
      </c>
      <c r="F2129" t="s">
        <v>11724</v>
      </c>
      <c r="H2129" t="s">
        <v>70</v>
      </c>
      <c r="I2129">
        <v>944</v>
      </c>
      <c r="K2129" t="s">
        <v>13516</v>
      </c>
      <c r="L2129" t="s">
        <v>18</v>
      </c>
      <c r="M2129">
        <v>5</v>
      </c>
      <c r="N2129">
        <v>2.1</v>
      </c>
      <c r="O2129">
        <v>2.36</v>
      </c>
      <c r="P2129">
        <v>11.8</v>
      </c>
    </row>
    <row r="2130" spans="3:16">
      <c r="C2130">
        <v>3</v>
      </c>
      <c r="D2130">
        <v>4</v>
      </c>
      <c r="F2130" t="s">
        <v>11724</v>
      </c>
      <c r="H2130" t="s">
        <v>70</v>
      </c>
      <c r="I2130">
        <v>944</v>
      </c>
      <c r="K2130" t="s">
        <v>13517</v>
      </c>
      <c r="L2130" t="s">
        <v>18</v>
      </c>
      <c r="M2130">
        <v>5</v>
      </c>
      <c r="N2130">
        <v>2.1</v>
      </c>
      <c r="O2130">
        <v>2.36</v>
      </c>
      <c r="P2130">
        <v>11.8</v>
      </c>
    </row>
    <row r="2131" spans="3:16">
      <c r="C2131">
        <v>3</v>
      </c>
      <c r="D2131">
        <v>4</v>
      </c>
      <c r="F2131" t="s">
        <v>11724</v>
      </c>
      <c r="H2131" t="s">
        <v>70</v>
      </c>
      <c r="I2131">
        <v>944</v>
      </c>
      <c r="K2131" t="s">
        <v>13518</v>
      </c>
      <c r="L2131" t="s">
        <v>18</v>
      </c>
      <c r="M2131">
        <v>5</v>
      </c>
      <c r="N2131">
        <v>2.1</v>
      </c>
      <c r="O2131">
        <v>2.36</v>
      </c>
      <c r="P2131">
        <v>11.8</v>
      </c>
    </row>
    <row r="2132" spans="3:16">
      <c r="C2132">
        <v>3</v>
      </c>
      <c r="D2132">
        <v>4</v>
      </c>
      <c r="F2132" t="s">
        <v>11724</v>
      </c>
      <c r="H2132" t="s">
        <v>70</v>
      </c>
      <c r="I2132" t="s">
        <v>16916</v>
      </c>
      <c r="K2132" t="s">
        <v>13519</v>
      </c>
      <c r="L2132" t="s">
        <v>10854</v>
      </c>
      <c r="M2132">
        <v>6</v>
      </c>
      <c r="N2132">
        <v>57.39</v>
      </c>
      <c r="O2132">
        <v>64.56</v>
      </c>
      <c r="P2132">
        <v>387.36</v>
      </c>
    </row>
    <row r="2133" spans="3:16">
      <c r="C2133">
        <v>3</v>
      </c>
      <c r="D2133">
        <v>4</v>
      </c>
      <c r="F2133" t="s">
        <v>11724</v>
      </c>
      <c r="H2133" t="s">
        <v>70</v>
      </c>
      <c r="I2133">
        <v>83475</v>
      </c>
      <c r="K2133" t="s">
        <v>13520</v>
      </c>
      <c r="L2133" t="s">
        <v>10854</v>
      </c>
      <c r="M2133">
        <v>1</v>
      </c>
      <c r="N2133">
        <v>309.2</v>
      </c>
      <c r="O2133">
        <v>347.82</v>
      </c>
      <c r="P2133">
        <v>347.82</v>
      </c>
    </row>
    <row r="2134" spans="3:16">
      <c r="C2134">
        <v>3</v>
      </c>
      <c r="D2134">
        <v>4</v>
      </c>
      <c r="F2134" t="s">
        <v>11724</v>
      </c>
      <c r="H2134" t="s">
        <v>70</v>
      </c>
      <c r="I2134">
        <v>83470</v>
      </c>
      <c r="K2134" t="s">
        <v>13521</v>
      </c>
      <c r="L2134" t="s">
        <v>10854</v>
      </c>
      <c r="M2134">
        <v>2</v>
      </c>
      <c r="N2134">
        <v>72.53</v>
      </c>
      <c r="O2134">
        <v>81.59</v>
      </c>
      <c r="P2134">
        <v>163.18</v>
      </c>
    </row>
    <row r="2135" spans="3:16">
      <c r="C2135">
        <v>3</v>
      </c>
      <c r="D2135">
        <v>4</v>
      </c>
      <c r="F2135" t="s">
        <v>11724</v>
      </c>
      <c r="H2135" t="s">
        <v>70</v>
      </c>
      <c r="I2135">
        <v>39377</v>
      </c>
      <c r="K2135" t="s">
        <v>13522</v>
      </c>
      <c r="L2135" t="s">
        <v>10854</v>
      </c>
      <c r="M2135">
        <v>1</v>
      </c>
      <c r="N2135">
        <v>136.12</v>
      </c>
      <c r="O2135">
        <v>153.12</v>
      </c>
      <c r="P2135">
        <v>153.12</v>
      </c>
    </row>
    <row r="2136" spans="3:16">
      <c r="C2136">
        <v>3</v>
      </c>
      <c r="D2136">
        <v>4</v>
      </c>
      <c r="F2136" t="s">
        <v>11724</v>
      </c>
      <c r="H2136" t="s">
        <v>70</v>
      </c>
      <c r="I2136">
        <v>38780</v>
      </c>
      <c r="K2136" t="s">
        <v>13523</v>
      </c>
      <c r="L2136" t="s">
        <v>10854</v>
      </c>
      <c r="M2136">
        <v>4</v>
      </c>
      <c r="N2136">
        <v>11.56</v>
      </c>
      <c r="O2136">
        <v>13</v>
      </c>
      <c r="P2136">
        <v>52</v>
      </c>
    </row>
    <row r="2137" spans="3:16">
      <c r="C2137">
        <v>3</v>
      </c>
      <c r="D2137">
        <v>4</v>
      </c>
      <c r="F2137" t="s">
        <v>11724</v>
      </c>
      <c r="H2137" t="s">
        <v>70</v>
      </c>
      <c r="I2137" t="s">
        <v>16909</v>
      </c>
      <c r="K2137" t="s">
        <v>13524</v>
      </c>
      <c r="L2137" t="s">
        <v>10853</v>
      </c>
      <c r="M2137">
        <v>2</v>
      </c>
      <c r="N2137">
        <v>85</v>
      </c>
      <c r="O2137">
        <v>95.62</v>
      </c>
      <c r="P2137">
        <v>191.24</v>
      </c>
    </row>
    <row r="2138" spans="3:16">
      <c r="C2138">
        <v>3</v>
      </c>
      <c r="D2138">
        <v>4</v>
      </c>
      <c r="F2138" t="s">
        <v>11724</v>
      </c>
      <c r="H2138" t="s">
        <v>70</v>
      </c>
      <c r="I2138">
        <v>12216</v>
      </c>
      <c r="K2138" t="s">
        <v>13526</v>
      </c>
      <c r="L2138" t="s">
        <v>10853</v>
      </c>
      <c r="M2138">
        <v>2</v>
      </c>
      <c r="N2138">
        <v>35.33</v>
      </c>
      <c r="O2138">
        <v>39.74</v>
      </c>
      <c r="P2138">
        <v>79.48</v>
      </c>
    </row>
    <row r="2139" spans="3:16">
      <c r="C2139">
        <v>3</v>
      </c>
      <c r="D2139">
        <v>4</v>
      </c>
      <c r="F2139" t="s">
        <v>11724</v>
      </c>
      <c r="H2139" t="s">
        <v>11722</v>
      </c>
      <c r="I2139" t="s">
        <v>13525</v>
      </c>
      <c r="K2139" t="s">
        <v>13496</v>
      </c>
      <c r="L2139" t="s">
        <v>10853</v>
      </c>
      <c r="M2139">
        <v>2</v>
      </c>
      <c r="N2139">
        <v>1678.94</v>
      </c>
      <c r="O2139">
        <v>1888.64</v>
      </c>
      <c r="P2139">
        <v>3777.28</v>
      </c>
    </row>
    <row r="2140" spans="3:16">
      <c r="C2140">
        <v>3</v>
      </c>
      <c r="D2140">
        <v>4</v>
      </c>
      <c r="F2140" t="s">
        <v>11724</v>
      </c>
      <c r="H2140" t="s">
        <v>11722</v>
      </c>
      <c r="I2140" t="s">
        <v>13527</v>
      </c>
      <c r="K2140" t="s">
        <v>13498</v>
      </c>
      <c r="L2140" t="s">
        <v>10853</v>
      </c>
      <c r="M2140">
        <v>2</v>
      </c>
      <c r="N2140">
        <v>545.04</v>
      </c>
      <c r="O2140">
        <v>613.12</v>
      </c>
      <c r="P2140">
        <v>1226.24</v>
      </c>
    </row>
    <row r="2141" spans="3:16">
      <c r="C2141">
        <v>3</v>
      </c>
      <c r="D2141">
        <v>4</v>
      </c>
      <c r="F2141" t="s">
        <v>11724</v>
      </c>
      <c r="H2141" t="s">
        <v>11722</v>
      </c>
      <c r="I2141" t="s">
        <v>13528</v>
      </c>
      <c r="K2141" t="s">
        <v>13530</v>
      </c>
      <c r="L2141" t="s">
        <v>10854</v>
      </c>
      <c r="M2141">
        <v>3</v>
      </c>
      <c r="N2141">
        <v>9.41</v>
      </c>
      <c r="O2141">
        <v>10.59</v>
      </c>
      <c r="P2141">
        <v>31.77</v>
      </c>
    </row>
    <row r="2142" spans="3:16">
      <c r="C2142">
        <v>3</v>
      </c>
      <c r="D2142">
        <v>4</v>
      </c>
      <c r="F2142" t="s">
        <v>11724</v>
      </c>
      <c r="H2142" t="s">
        <v>11722</v>
      </c>
      <c r="I2142" t="s">
        <v>13529</v>
      </c>
      <c r="K2142" t="s">
        <v>13532</v>
      </c>
      <c r="L2142" t="s">
        <v>10854</v>
      </c>
      <c r="M2142">
        <v>2</v>
      </c>
      <c r="N2142">
        <v>18.82</v>
      </c>
      <c r="O2142">
        <v>21.17</v>
      </c>
      <c r="P2142">
        <v>42.34</v>
      </c>
    </row>
    <row r="2143" spans="3:16">
      <c r="C2143">
        <v>3</v>
      </c>
      <c r="D2143">
        <v>4</v>
      </c>
      <c r="F2143" t="s">
        <v>11724</v>
      </c>
      <c r="H2143" t="s">
        <v>11722</v>
      </c>
      <c r="I2143" t="s">
        <v>13531</v>
      </c>
      <c r="K2143" t="s">
        <v>14651</v>
      </c>
      <c r="L2143" t="s">
        <v>10854</v>
      </c>
      <c r="M2143">
        <v>1</v>
      </c>
      <c r="N2143">
        <v>6.25</v>
      </c>
      <c r="O2143">
        <v>7.03</v>
      </c>
      <c r="P2143">
        <v>7.03</v>
      </c>
    </row>
    <row r="2144" spans="3:16">
      <c r="C2144">
        <v>3</v>
      </c>
      <c r="D2144">
        <v>4</v>
      </c>
      <c r="F2144" t="s">
        <v>11724</v>
      </c>
      <c r="H2144" t="s">
        <v>11722</v>
      </c>
      <c r="I2144" t="s">
        <v>13533</v>
      </c>
      <c r="K2144" t="s">
        <v>13534</v>
      </c>
      <c r="L2144" t="s">
        <v>10854</v>
      </c>
      <c r="M2144">
        <v>1</v>
      </c>
      <c r="N2144">
        <v>2.83</v>
      </c>
      <c r="O2144">
        <v>3.18</v>
      </c>
      <c r="P2144">
        <v>3.18</v>
      </c>
    </row>
    <row r="2145" spans="2:16">
      <c r="C2145">
        <v>3</v>
      </c>
      <c r="D2145">
        <v>4</v>
      </c>
      <c r="F2145" t="s">
        <v>11724</v>
      </c>
      <c r="H2145" t="s">
        <v>70</v>
      </c>
      <c r="I2145">
        <v>92005</v>
      </c>
      <c r="K2145" t="s">
        <v>13536</v>
      </c>
      <c r="L2145" t="s">
        <v>10854</v>
      </c>
      <c r="M2145">
        <v>14</v>
      </c>
      <c r="N2145">
        <v>39.94</v>
      </c>
      <c r="O2145">
        <v>44.93</v>
      </c>
      <c r="P2145">
        <v>629.02</v>
      </c>
    </row>
    <row r="2146" spans="2:16">
      <c r="C2146">
        <v>3</v>
      </c>
      <c r="D2146">
        <v>4</v>
      </c>
      <c r="F2146" t="s">
        <v>11724</v>
      </c>
      <c r="H2146" t="s">
        <v>11722</v>
      </c>
      <c r="I2146" t="s">
        <v>13535</v>
      </c>
      <c r="K2146" t="s">
        <v>13537</v>
      </c>
      <c r="L2146" t="s">
        <v>10854</v>
      </c>
      <c r="M2146">
        <v>2</v>
      </c>
      <c r="N2146">
        <v>12.85</v>
      </c>
      <c r="O2146">
        <v>14.45</v>
      </c>
      <c r="P2146">
        <v>28.9</v>
      </c>
    </row>
    <row r="2147" spans="2:16">
      <c r="C2147">
        <v>3</v>
      </c>
      <c r="D2147">
        <v>4</v>
      </c>
      <c r="F2147" t="s">
        <v>11724</v>
      </c>
      <c r="H2147" t="s">
        <v>70</v>
      </c>
      <c r="I2147">
        <v>13396</v>
      </c>
      <c r="K2147" t="s">
        <v>14652</v>
      </c>
      <c r="L2147" t="s">
        <v>10854</v>
      </c>
      <c r="M2147">
        <v>1</v>
      </c>
      <c r="N2147">
        <v>424.7</v>
      </c>
      <c r="O2147">
        <v>477.75</v>
      </c>
      <c r="P2147">
        <v>477.75</v>
      </c>
    </row>
    <row r="2148" spans="2:16">
      <c r="C2148">
        <v>3</v>
      </c>
      <c r="D2148">
        <v>4</v>
      </c>
      <c r="F2148" t="s">
        <v>11724</v>
      </c>
    </row>
    <row r="2149" spans="2:16">
      <c r="B2149">
        <v>1</v>
      </c>
      <c r="C2149">
        <v>3</v>
      </c>
      <c r="D2149">
        <v>5</v>
      </c>
      <c r="F2149" t="s">
        <v>11724</v>
      </c>
      <c r="H2149" t="s">
        <v>20897</v>
      </c>
      <c r="I2149" t="s">
        <v>13872</v>
      </c>
      <c r="L2149" t="s">
        <v>25</v>
      </c>
      <c r="M2149" t="s">
        <v>11704</v>
      </c>
      <c r="N2149" t="s">
        <v>11705</v>
      </c>
      <c r="O2149" t="s">
        <v>11706</v>
      </c>
      <c r="P2149">
        <v>66637.799999999988</v>
      </c>
    </row>
    <row r="2150" spans="2:16">
      <c r="C2150">
        <v>3</v>
      </c>
      <c r="D2150">
        <v>5</v>
      </c>
      <c r="F2150" t="s">
        <v>11724</v>
      </c>
    </row>
    <row r="2151" spans="2:16">
      <c r="C2151">
        <v>3</v>
      </c>
      <c r="D2151">
        <v>5</v>
      </c>
      <c r="F2151" t="s">
        <v>11724</v>
      </c>
      <c r="H2151" t="s">
        <v>11722</v>
      </c>
      <c r="I2151" t="s">
        <v>13538</v>
      </c>
      <c r="K2151" t="s">
        <v>13539</v>
      </c>
      <c r="L2151" t="s">
        <v>10854</v>
      </c>
      <c r="M2151">
        <v>1</v>
      </c>
      <c r="N2151">
        <v>187.37</v>
      </c>
      <c r="O2151">
        <v>210.77</v>
      </c>
      <c r="P2151">
        <v>210.77</v>
      </c>
    </row>
    <row r="2152" spans="2:16">
      <c r="C2152">
        <v>3</v>
      </c>
      <c r="D2152">
        <v>5</v>
      </c>
      <c r="F2152" t="s">
        <v>11724</v>
      </c>
      <c r="H2152" t="s">
        <v>11722</v>
      </c>
      <c r="I2152" t="s">
        <v>13540</v>
      </c>
      <c r="K2152" t="s">
        <v>13541</v>
      </c>
      <c r="L2152" t="s">
        <v>10854</v>
      </c>
      <c r="M2152">
        <v>3</v>
      </c>
      <c r="N2152">
        <v>91.21</v>
      </c>
      <c r="O2152">
        <v>102.6</v>
      </c>
      <c r="P2152">
        <v>307.8</v>
      </c>
    </row>
    <row r="2153" spans="2:16">
      <c r="C2153">
        <v>3</v>
      </c>
      <c r="D2153">
        <v>5</v>
      </c>
      <c r="F2153" t="s">
        <v>11724</v>
      </c>
      <c r="H2153" t="s">
        <v>11722</v>
      </c>
      <c r="I2153" t="s">
        <v>13542</v>
      </c>
      <c r="K2153" t="s">
        <v>13543</v>
      </c>
      <c r="L2153" t="s">
        <v>10854</v>
      </c>
      <c r="M2153">
        <v>1</v>
      </c>
      <c r="N2153">
        <v>83.28</v>
      </c>
      <c r="O2153">
        <v>93.68</v>
      </c>
      <c r="P2153">
        <v>93.68</v>
      </c>
    </row>
    <row r="2154" spans="2:16">
      <c r="C2154">
        <v>3</v>
      </c>
      <c r="D2154">
        <v>5</v>
      </c>
      <c r="F2154" t="s">
        <v>11724</v>
      </c>
      <c r="H2154" t="s">
        <v>11722</v>
      </c>
      <c r="I2154" t="s">
        <v>13544</v>
      </c>
      <c r="K2154" t="s">
        <v>13545</v>
      </c>
      <c r="L2154" t="s">
        <v>10853</v>
      </c>
      <c r="M2154">
        <v>3</v>
      </c>
      <c r="N2154">
        <v>2.0699999999999998</v>
      </c>
      <c r="O2154">
        <v>2.33</v>
      </c>
      <c r="P2154">
        <v>6.99</v>
      </c>
    </row>
    <row r="2155" spans="2:16">
      <c r="C2155">
        <v>3</v>
      </c>
      <c r="D2155">
        <v>5</v>
      </c>
      <c r="F2155" t="s">
        <v>11724</v>
      </c>
      <c r="H2155" t="s">
        <v>11722</v>
      </c>
      <c r="I2155" t="s">
        <v>13546</v>
      </c>
      <c r="K2155" t="s">
        <v>13547</v>
      </c>
      <c r="L2155" t="s">
        <v>10854</v>
      </c>
      <c r="M2155">
        <v>2</v>
      </c>
      <c r="N2155">
        <v>18.84</v>
      </c>
      <c r="O2155">
        <v>21.19</v>
      </c>
      <c r="P2155">
        <v>42.38</v>
      </c>
    </row>
    <row r="2156" spans="2:16">
      <c r="C2156">
        <v>3</v>
      </c>
      <c r="D2156">
        <v>5</v>
      </c>
      <c r="F2156" t="s">
        <v>11724</v>
      </c>
      <c r="H2156" t="s">
        <v>11722</v>
      </c>
      <c r="I2156" t="s">
        <v>13548</v>
      </c>
      <c r="K2156" t="s">
        <v>13549</v>
      </c>
      <c r="L2156" t="s">
        <v>10854</v>
      </c>
      <c r="M2156">
        <v>3</v>
      </c>
      <c r="N2156">
        <v>176.08</v>
      </c>
      <c r="O2156">
        <v>198.07</v>
      </c>
      <c r="P2156">
        <v>594.21</v>
      </c>
    </row>
    <row r="2157" spans="2:16">
      <c r="C2157">
        <v>3</v>
      </c>
      <c r="D2157">
        <v>5</v>
      </c>
      <c r="F2157" t="s">
        <v>11724</v>
      </c>
      <c r="H2157" t="s">
        <v>11722</v>
      </c>
      <c r="I2157" t="s">
        <v>13550</v>
      </c>
      <c r="K2157" t="s">
        <v>13551</v>
      </c>
      <c r="L2157" t="s">
        <v>10853</v>
      </c>
      <c r="M2157">
        <v>4</v>
      </c>
      <c r="N2157">
        <v>71.61</v>
      </c>
      <c r="O2157">
        <v>80.55</v>
      </c>
      <c r="P2157">
        <v>322.2</v>
      </c>
    </row>
    <row r="2158" spans="2:16">
      <c r="C2158">
        <v>3</v>
      </c>
      <c r="D2158">
        <v>5</v>
      </c>
      <c r="F2158" t="s">
        <v>11724</v>
      </c>
      <c r="H2158" t="s">
        <v>11722</v>
      </c>
      <c r="I2158" t="s">
        <v>13552</v>
      </c>
      <c r="K2158" t="s">
        <v>13553</v>
      </c>
      <c r="L2158" t="s">
        <v>10853</v>
      </c>
      <c r="M2158">
        <v>4</v>
      </c>
      <c r="N2158">
        <v>71.61</v>
      </c>
      <c r="O2158">
        <v>80.55</v>
      </c>
      <c r="P2158">
        <v>322.2</v>
      </c>
    </row>
    <row r="2159" spans="2:16">
      <c r="C2159">
        <v>3</v>
      </c>
      <c r="D2159">
        <v>5</v>
      </c>
      <c r="F2159" t="s">
        <v>11724</v>
      </c>
      <c r="H2159" t="s">
        <v>11722</v>
      </c>
      <c r="I2159" t="s">
        <v>13554</v>
      </c>
      <c r="K2159" t="s">
        <v>13555</v>
      </c>
      <c r="L2159" t="s">
        <v>10853</v>
      </c>
      <c r="M2159">
        <v>4</v>
      </c>
      <c r="N2159">
        <v>48.83</v>
      </c>
      <c r="O2159">
        <v>54.93</v>
      </c>
      <c r="P2159">
        <v>219.72</v>
      </c>
    </row>
    <row r="2160" spans="2:16">
      <c r="C2160">
        <v>3</v>
      </c>
      <c r="D2160">
        <v>5</v>
      </c>
      <c r="F2160" t="s">
        <v>11724</v>
      </c>
      <c r="H2160" t="s">
        <v>11722</v>
      </c>
      <c r="I2160" t="s">
        <v>13556</v>
      </c>
      <c r="K2160" t="s">
        <v>13557</v>
      </c>
      <c r="L2160" t="s">
        <v>10854</v>
      </c>
      <c r="M2160">
        <v>4</v>
      </c>
      <c r="N2160">
        <v>48.83</v>
      </c>
      <c r="O2160">
        <v>54.93</v>
      </c>
      <c r="P2160">
        <v>219.72</v>
      </c>
    </row>
    <row r="2161" spans="3:16">
      <c r="C2161">
        <v>3</v>
      </c>
      <c r="D2161">
        <v>5</v>
      </c>
      <c r="F2161" t="s">
        <v>11724</v>
      </c>
      <c r="H2161" t="s">
        <v>11722</v>
      </c>
      <c r="I2161" t="s">
        <v>13558</v>
      </c>
      <c r="K2161" t="s">
        <v>13559</v>
      </c>
      <c r="L2161" t="s">
        <v>10853</v>
      </c>
      <c r="M2161">
        <v>60</v>
      </c>
      <c r="N2161">
        <v>9.42</v>
      </c>
      <c r="O2161">
        <v>10.6</v>
      </c>
      <c r="P2161">
        <v>636</v>
      </c>
    </row>
    <row r="2162" spans="3:16">
      <c r="C2162">
        <v>3</v>
      </c>
      <c r="D2162">
        <v>5</v>
      </c>
      <c r="F2162" t="s">
        <v>11724</v>
      </c>
      <c r="H2162" t="s">
        <v>11722</v>
      </c>
      <c r="I2162" t="s">
        <v>13560</v>
      </c>
      <c r="K2162" t="s">
        <v>13561</v>
      </c>
      <c r="L2162" t="s">
        <v>10854</v>
      </c>
      <c r="M2162">
        <v>10</v>
      </c>
      <c r="N2162">
        <v>9.42</v>
      </c>
      <c r="O2162">
        <v>10.6</v>
      </c>
      <c r="P2162">
        <v>106</v>
      </c>
    </row>
    <row r="2163" spans="3:16">
      <c r="C2163">
        <v>3</v>
      </c>
      <c r="D2163">
        <v>5</v>
      </c>
      <c r="F2163" t="s">
        <v>11724</v>
      </c>
      <c r="H2163" t="s">
        <v>11722</v>
      </c>
      <c r="I2163" t="s">
        <v>13562</v>
      </c>
      <c r="K2163" t="s">
        <v>13563</v>
      </c>
      <c r="L2163" t="s">
        <v>10854</v>
      </c>
      <c r="M2163">
        <v>3</v>
      </c>
      <c r="N2163">
        <v>107.55</v>
      </c>
      <c r="O2163">
        <v>120.98</v>
      </c>
      <c r="P2163">
        <v>362.94</v>
      </c>
    </row>
    <row r="2164" spans="3:16">
      <c r="C2164">
        <v>3</v>
      </c>
      <c r="D2164">
        <v>5</v>
      </c>
      <c r="F2164" t="s">
        <v>11724</v>
      </c>
      <c r="H2164" t="s">
        <v>11722</v>
      </c>
      <c r="I2164" t="s">
        <v>13564</v>
      </c>
      <c r="K2164" t="s">
        <v>13565</v>
      </c>
      <c r="L2164" t="s">
        <v>11723</v>
      </c>
      <c r="M2164">
        <v>2</v>
      </c>
      <c r="N2164">
        <v>171.03</v>
      </c>
      <c r="O2164">
        <v>192.39</v>
      </c>
      <c r="P2164">
        <v>384.78</v>
      </c>
    </row>
    <row r="2165" spans="3:16">
      <c r="C2165">
        <v>3</v>
      </c>
      <c r="D2165">
        <v>5</v>
      </c>
      <c r="F2165" t="s">
        <v>11724</v>
      </c>
      <c r="H2165" t="s">
        <v>11722</v>
      </c>
      <c r="I2165" t="s">
        <v>13566</v>
      </c>
      <c r="K2165" t="s">
        <v>13567</v>
      </c>
      <c r="L2165" t="s">
        <v>10853</v>
      </c>
      <c r="M2165">
        <v>2</v>
      </c>
      <c r="N2165">
        <v>11290.78</v>
      </c>
      <c r="O2165">
        <v>12701</v>
      </c>
      <c r="P2165">
        <v>25402</v>
      </c>
    </row>
    <row r="2166" spans="3:16">
      <c r="C2166">
        <v>3</v>
      </c>
      <c r="D2166">
        <v>5</v>
      </c>
      <c r="F2166" t="s">
        <v>11724</v>
      </c>
      <c r="H2166" t="s">
        <v>11722</v>
      </c>
      <c r="I2166" t="s">
        <v>13568</v>
      </c>
      <c r="K2166" t="s">
        <v>13569</v>
      </c>
      <c r="L2166" t="s">
        <v>10854</v>
      </c>
      <c r="M2166">
        <v>1</v>
      </c>
      <c r="N2166">
        <v>52.98</v>
      </c>
      <c r="O2166">
        <v>59.6</v>
      </c>
      <c r="P2166">
        <v>59.6</v>
      </c>
    </row>
    <row r="2167" spans="3:16">
      <c r="C2167">
        <v>3</v>
      </c>
      <c r="D2167">
        <v>5</v>
      </c>
      <c r="F2167" t="s">
        <v>11724</v>
      </c>
      <c r="H2167" t="s">
        <v>70</v>
      </c>
      <c r="I2167">
        <v>93671</v>
      </c>
      <c r="K2167" t="s">
        <v>13506</v>
      </c>
      <c r="L2167" t="s">
        <v>10854</v>
      </c>
      <c r="M2167">
        <v>1</v>
      </c>
      <c r="N2167">
        <v>66.05</v>
      </c>
      <c r="O2167">
        <v>74.3</v>
      </c>
      <c r="P2167">
        <v>74.3</v>
      </c>
    </row>
    <row r="2168" spans="3:16">
      <c r="C2168">
        <v>3</v>
      </c>
      <c r="D2168">
        <v>5</v>
      </c>
      <c r="F2168" t="s">
        <v>11724</v>
      </c>
      <c r="H2168" t="s">
        <v>70</v>
      </c>
      <c r="I2168">
        <v>93672</v>
      </c>
      <c r="K2168" t="s">
        <v>13570</v>
      </c>
      <c r="L2168" t="s">
        <v>10854</v>
      </c>
      <c r="M2168">
        <v>1</v>
      </c>
      <c r="N2168">
        <v>70.73</v>
      </c>
      <c r="O2168">
        <v>79.56</v>
      </c>
      <c r="P2168">
        <v>79.56</v>
      </c>
    </row>
    <row r="2169" spans="3:16">
      <c r="C2169">
        <v>3</v>
      </c>
      <c r="D2169">
        <v>5</v>
      </c>
      <c r="F2169" t="s">
        <v>11724</v>
      </c>
      <c r="H2169" t="s">
        <v>70</v>
      </c>
      <c r="I2169">
        <v>14543</v>
      </c>
      <c r="K2169" t="s">
        <v>13571</v>
      </c>
      <c r="L2169" t="s">
        <v>10854</v>
      </c>
      <c r="M2169">
        <v>2</v>
      </c>
      <c r="N2169">
        <v>4.38</v>
      </c>
      <c r="O2169">
        <v>4.93</v>
      </c>
      <c r="P2169">
        <v>9.86</v>
      </c>
    </row>
    <row r="2170" spans="3:16">
      <c r="C2170">
        <v>3</v>
      </c>
      <c r="D2170">
        <v>5</v>
      </c>
      <c r="F2170" t="s">
        <v>11724</v>
      </c>
      <c r="H2170" t="s">
        <v>70</v>
      </c>
      <c r="I2170">
        <v>38191</v>
      </c>
      <c r="K2170" t="s">
        <v>13572</v>
      </c>
      <c r="L2170" t="s">
        <v>10854</v>
      </c>
      <c r="M2170">
        <v>2</v>
      </c>
      <c r="N2170">
        <v>10.130000000000001</v>
      </c>
      <c r="O2170">
        <v>11.4</v>
      </c>
      <c r="P2170">
        <v>22.8</v>
      </c>
    </row>
    <row r="2171" spans="3:16">
      <c r="C2171">
        <v>3</v>
      </c>
      <c r="D2171">
        <v>5</v>
      </c>
      <c r="F2171" t="s">
        <v>11724</v>
      </c>
      <c r="H2171" t="s">
        <v>11722</v>
      </c>
      <c r="I2171" t="s">
        <v>13573</v>
      </c>
      <c r="K2171" t="s">
        <v>13574</v>
      </c>
      <c r="L2171" t="s">
        <v>10854</v>
      </c>
      <c r="M2171">
        <v>1</v>
      </c>
      <c r="N2171">
        <v>65.27</v>
      </c>
      <c r="O2171">
        <v>73.42</v>
      </c>
      <c r="P2171">
        <v>73.42</v>
      </c>
    </row>
    <row r="2172" spans="3:16">
      <c r="C2172">
        <v>3</v>
      </c>
      <c r="D2172">
        <v>5</v>
      </c>
      <c r="F2172" t="s">
        <v>11724</v>
      </c>
      <c r="H2172" t="s">
        <v>11722</v>
      </c>
      <c r="I2172" t="s">
        <v>13575</v>
      </c>
      <c r="K2172" t="s">
        <v>13576</v>
      </c>
      <c r="L2172" t="s">
        <v>10853</v>
      </c>
      <c r="M2172">
        <v>3</v>
      </c>
      <c r="N2172">
        <v>471.91</v>
      </c>
      <c r="O2172">
        <v>530.85</v>
      </c>
      <c r="P2172">
        <v>1592.55</v>
      </c>
    </row>
    <row r="2173" spans="3:16">
      <c r="C2173">
        <v>3</v>
      </c>
      <c r="D2173">
        <v>5</v>
      </c>
      <c r="F2173" t="s">
        <v>11724</v>
      </c>
      <c r="H2173" t="s">
        <v>11722</v>
      </c>
      <c r="I2173" t="s">
        <v>13577</v>
      </c>
      <c r="K2173" t="s">
        <v>13578</v>
      </c>
      <c r="L2173" t="s">
        <v>10854</v>
      </c>
      <c r="M2173">
        <v>1</v>
      </c>
      <c r="N2173">
        <v>471.91</v>
      </c>
      <c r="O2173">
        <v>530.85</v>
      </c>
      <c r="P2173">
        <v>530.85</v>
      </c>
    </row>
    <row r="2174" spans="3:16">
      <c r="C2174">
        <v>3</v>
      </c>
      <c r="D2174">
        <v>5</v>
      </c>
      <c r="F2174" t="s">
        <v>11724</v>
      </c>
      <c r="H2174" t="s">
        <v>11722</v>
      </c>
      <c r="I2174" t="s">
        <v>13579</v>
      </c>
      <c r="K2174" t="s">
        <v>13580</v>
      </c>
      <c r="L2174" t="s">
        <v>18</v>
      </c>
      <c r="M2174">
        <v>1.8</v>
      </c>
      <c r="N2174">
        <v>20.61</v>
      </c>
      <c r="O2174">
        <v>23.18</v>
      </c>
      <c r="P2174">
        <v>41.72</v>
      </c>
    </row>
    <row r="2175" spans="3:16">
      <c r="C2175">
        <v>3</v>
      </c>
      <c r="D2175">
        <v>5</v>
      </c>
      <c r="F2175" t="s">
        <v>11724</v>
      </c>
      <c r="H2175" t="s">
        <v>11722</v>
      </c>
      <c r="I2175" t="s">
        <v>13581</v>
      </c>
      <c r="K2175" t="s">
        <v>13582</v>
      </c>
      <c r="L2175" t="s">
        <v>18</v>
      </c>
      <c r="M2175">
        <v>0.6</v>
      </c>
      <c r="N2175">
        <v>20.61</v>
      </c>
      <c r="O2175">
        <v>23.18</v>
      </c>
      <c r="P2175">
        <v>13.91</v>
      </c>
    </row>
    <row r="2176" spans="3:16">
      <c r="C2176">
        <v>3</v>
      </c>
      <c r="D2176">
        <v>5</v>
      </c>
      <c r="F2176" t="s">
        <v>11724</v>
      </c>
      <c r="H2176" t="s">
        <v>11722</v>
      </c>
      <c r="I2176" t="s">
        <v>13583</v>
      </c>
      <c r="K2176" t="s">
        <v>13584</v>
      </c>
      <c r="L2176" t="s">
        <v>18</v>
      </c>
      <c r="M2176">
        <v>0.6</v>
      </c>
      <c r="N2176">
        <v>20.61</v>
      </c>
      <c r="O2176">
        <v>23.18</v>
      </c>
      <c r="P2176">
        <v>13.91</v>
      </c>
    </row>
    <row r="2177" spans="2:16">
      <c r="C2177">
        <v>3</v>
      </c>
      <c r="D2177">
        <v>5</v>
      </c>
      <c r="F2177" t="s">
        <v>11724</v>
      </c>
      <c r="H2177" t="s">
        <v>11722</v>
      </c>
      <c r="I2177" t="s">
        <v>13585</v>
      </c>
      <c r="K2177" t="s">
        <v>13586</v>
      </c>
      <c r="L2177" t="s">
        <v>10854</v>
      </c>
      <c r="M2177">
        <v>1</v>
      </c>
      <c r="N2177">
        <v>266.64</v>
      </c>
      <c r="O2177">
        <v>299.94</v>
      </c>
      <c r="P2177">
        <v>299.94</v>
      </c>
    </row>
    <row r="2178" spans="2:16">
      <c r="C2178">
        <v>3</v>
      </c>
      <c r="D2178">
        <v>5</v>
      </c>
      <c r="F2178" t="s">
        <v>11724</v>
      </c>
      <c r="H2178" t="s">
        <v>11722</v>
      </c>
      <c r="I2178" t="s">
        <v>13587</v>
      </c>
      <c r="K2178" t="s">
        <v>13588</v>
      </c>
      <c r="L2178" t="s">
        <v>10854</v>
      </c>
      <c r="M2178">
        <v>1</v>
      </c>
      <c r="N2178">
        <v>176.08</v>
      </c>
      <c r="O2178">
        <v>198.07</v>
      </c>
      <c r="P2178">
        <v>198.07</v>
      </c>
    </row>
    <row r="2179" spans="2:16">
      <c r="C2179">
        <v>3</v>
      </c>
      <c r="D2179">
        <v>5</v>
      </c>
      <c r="F2179" t="s">
        <v>11724</v>
      </c>
      <c r="H2179" t="s">
        <v>11722</v>
      </c>
      <c r="I2179" t="s">
        <v>13589</v>
      </c>
      <c r="K2179" t="s">
        <v>13590</v>
      </c>
      <c r="L2179" t="s">
        <v>10853</v>
      </c>
      <c r="M2179">
        <v>4</v>
      </c>
      <c r="N2179">
        <v>438.66</v>
      </c>
      <c r="O2179">
        <v>493.45</v>
      </c>
      <c r="P2179">
        <v>1973.8</v>
      </c>
    </row>
    <row r="2180" spans="2:16">
      <c r="C2180">
        <v>3</v>
      </c>
      <c r="D2180">
        <v>5</v>
      </c>
      <c r="F2180" t="s">
        <v>11724</v>
      </c>
      <c r="H2180" t="s">
        <v>11722</v>
      </c>
      <c r="I2180" t="s">
        <v>13591</v>
      </c>
      <c r="K2180" t="s">
        <v>13592</v>
      </c>
      <c r="L2180" t="s">
        <v>10853</v>
      </c>
      <c r="M2180">
        <v>2</v>
      </c>
      <c r="N2180">
        <v>978.31</v>
      </c>
      <c r="O2180">
        <v>1100.5</v>
      </c>
      <c r="P2180">
        <v>2201</v>
      </c>
    </row>
    <row r="2181" spans="2:16">
      <c r="C2181">
        <v>3</v>
      </c>
      <c r="D2181">
        <v>5</v>
      </c>
      <c r="F2181" t="s">
        <v>11724</v>
      </c>
      <c r="H2181" t="s">
        <v>11722</v>
      </c>
      <c r="I2181" t="s">
        <v>13593</v>
      </c>
      <c r="K2181" t="s">
        <v>13594</v>
      </c>
      <c r="L2181" t="s">
        <v>10853</v>
      </c>
      <c r="M2181">
        <v>2</v>
      </c>
      <c r="N2181">
        <v>636.99</v>
      </c>
      <c r="O2181">
        <v>716.55</v>
      </c>
      <c r="P2181">
        <v>1433.1</v>
      </c>
    </row>
    <row r="2182" spans="2:16">
      <c r="C2182">
        <v>3</v>
      </c>
      <c r="D2182">
        <v>5</v>
      </c>
      <c r="F2182" t="s">
        <v>11724</v>
      </c>
      <c r="H2182" t="s">
        <v>11722</v>
      </c>
      <c r="I2182" t="s">
        <v>13595</v>
      </c>
      <c r="K2182" t="s">
        <v>13596</v>
      </c>
      <c r="L2182" t="s">
        <v>10853</v>
      </c>
      <c r="M2182">
        <v>2</v>
      </c>
      <c r="N2182">
        <v>12795.81</v>
      </c>
      <c r="O2182">
        <v>14394.01</v>
      </c>
      <c r="P2182">
        <v>28788.02</v>
      </c>
    </row>
    <row r="2183" spans="2:16">
      <c r="C2183">
        <v>3</v>
      </c>
      <c r="D2183">
        <v>5</v>
      </c>
      <c r="F2183" t="s">
        <v>11724</v>
      </c>
    </row>
    <row r="2184" spans="2:16">
      <c r="B2184">
        <v>1</v>
      </c>
      <c r="C2184">
        <v>3</v>
      </c>
      <c r="D2184">
        <v>6</v>
      </c>
      <c r="F2184" t="s">
        <v>11724</v>
      </c>
      <c r="H2184" t="s">
        <v>20898</v>
      </c>
      <c r="I2184" t="s">
        <v>13873</v>
      </c>
      <c r="L2184" t="s">
        <v>25</v>
      </c>
      <c r="M2184" t="s">
        <v>11704</v>
      </c>
      <c r="N2184" t="s">
        <v>11705</v>
      </c>
      <c r="O2184" t="s">
        <v>11706</v>
      </c>
      <c r="P2184">
        <v>34395.42</v>
      </c>
    </row>
    <row r="2185" spans="2:16">
      <c r="C2185">
        <v>3</v>
      </c>
      <c r="D2185">
        <v>6</v>
      </c>
      <c r="F2185" t="s">
        <v>11724</v>
      </c>
    </row>
    <row r="2186" spans="2:16">
      <c r="C2186">
        <v>3</v>
      </c>
      <c r="D2186">
        <v>6</v>
      </c>
      <c r="F2186" t="s">
        <v>11724</v>
      </c>
      <c r="H2186" t="s">
        <v>11722</v>
      </c>
      <c r="I2186" t="s">
        <v>13597</v>
      </c>
      <c r="K2186" t="s">
        <v>13539</v>
      </c>
      <c r="L2186" t="s">
        <v>10854</v>
      </c>
      <c r="M2186">
        <v>2</v>
      </c>
      <c r="N2186">
        <v>187.37</v>
      </c>
      <c r="O2186">
        <v>210.77</v>
      </c>
      <c r="P2186">
        <v>421.54</v>
      </c>
    </row>
    <row r="2187" spans="2:16">
      <c r="C2187">
        <v>3</v>
      </c>
      <c r="D2187">
        <v>6</v>
      </c>
      <c r="F2187" t="s">
        <v>11724</v>
      </c>
      <c r="H2187" t="s">
        <v>11722</v>
      </c>
      <c r="I2187" t="s">
        <v>13598</v>
      </c>
      <c r="K2187" t="s">
        <v>13545</v>
      </c>
      <c r="L2187" t="s">
        <v>10853</v>
      </c>
      <c r="M2187">
        <v>3</v>
      </c>
      <c r="N2187">
        <v>2.0699999999999998</v>
      </c>
      <c r="O2187">
        <v>2.33</v>
      </c>
      <c r="P2187">
        <v>6.99</v>
      </c>
    </row>
    <row r="2188" spans="2:16">
      <c r="C2188">
        <v>3</v>
      </c>
      <c r="D2188">
        <v>6</v>
      </c>
      <c r="F2188" t="s">
        <v>11724</v>
      </c>
      <c r="H2188" t="s">
        <v>11722</v>
      </c>
      <c r="I2188" t="s">
        <v>13599</v>
      </c>
      <c r="K2188" t="s">
        <v>13547</v>
      </c>
      <c r="L2188" t="s">
        <v>10854</v>
      </c>
      <c r="M2188">
        <v>2</v>
      </c>
      <c r="N2188">
        <v>18.84</v>
      </c>
      <c r="O2188">
        <v>21.19</v>
      </c>
      <c r="P2188">
        <v>42.38</v>
      </c>
    </row>
    <row r="2189" spans="2:16">
      <c r="C2189">
        <v>3</v>
      </c>
      <c r="D2189">
        <v>6</v>
      </c>
      <c r="F2189" t="s">
        <v>11724</v>
      </c>
      <c r="H2189" t="s">
        <v>11722</v>
      </c>
      <c r="I2189" t="s">
        <v>13600</v>
      </c>
      <c r="K2189" t="s">
        <v>13549</v>
      </c>
      <c r="L2189" t="s">
        <v>10854</v>
      </c>
      <c r="M2189">
        <v>1</v>
      </c>
      <c r="N2189">
        <v>176.08</v>
      </c>
      <c r="O2189">
        <v>198.07</v>
      </c>
      <c r="P2189">
        <v>198.07</v>
      </c>
    </row>
    <row r="2190" spans="2:16">
      <c r="C2190">
        <v>3</v>
      </c>
      <c r="D2190">
        <v>6</v>
      </c>
      <c r="F2190" t="s">
        <v>11724</v>
      </c>
      <c r="H2190" t="s">
        <v>11722</v>
      </c>
      <c r="I2190" t="s">
        <v>13601</v>
      </c>
      <c r="K2190" t="s">
        <v>13602</v>
      </c>
      <c r="L2190" t="s">
        <v>10853</v>
      </c>
      <c r="M2190">
        <v>2</v>
      </c>
      <c r="N2190">
        <v>71.61</v>
      </c>
      <c r="O2190">
        <v>80.55</v>
      </c>
      <c r="P2190">
        <v>161.1</v>
      </c>
    </row>
    <row r="2191" spans="2:16">
      <c r="C2191">
        <v>3</v>
      </c>
      <c r="D2191">
        <v>6</v>
      </c>
      <c r="F2191" t="s">
        <v>11724</v>
      </c>
      <c r="H2191" t="s">
        <v>11722</v>
      </c>
      <c r="I2191" t="s">
        <v>13603</v>
      </c>
      <c r="K2191" t="s">
        <v>13604</v>
      </c>
      <c r="L2191" t="s">
        <v>10853</v>
      </c>
      <c r="M2191">
        <v>2</v>
      </c>
      <c r="N2191">
        <v>71.61</v>
      </c>
      <c r="O2191">
        <v>80.55</v>
      </c>
      <c r="P2191">
        <v>161.1</v>
      </c>
    </row>
    <row r="2192" spans="2:16">
      <c r="C2192">
        <v>3</v>
      </c>
      <c r="D2192">
        <v>6</v>
      </c>
      <c r="F2192" t="s">
        <v>11724</v>
      </c>
      <c r="H2192" t="s">
        <v>11722</v>
      </c>
      <c r="I2192" t="s">
        <v>13605</v>
      </c>
      <c r="K2192" t="s">
        <v>13555</v>
      </c>
      <c r="L2192" t="s">
        <v>10853</v>
      </c>
      <c r="M2192">
        <v>2</v>
      </c>
      <c r="N2192">
        <v>48.83</v>
      </c>
      <c r="O2192">
        <v>54.93</v>
      </c>
      <c r="P2192">
        <v>109.86</v>
      </c>
    </row>
    <row r="2193" spans="3:16">
      <c r="C2193">
        <v>3</v>
      </c>
      <c r="D2193">
        <v>6</v>
      </c>
      <c r="F2193" t="s">
        <v>11724</v>
      </c>
      <c r="H2193" t="s">
        <v>11722</v>
      </c>
      <c r="I2193" t="s">
        <v>13606</v>
      </c>
      <c r="K2193" t="s">
        <v>13557</v>
      </c>
      <c r="L2193" t="s">
        <v>10854</v>
      </c>
      <c r="M2193">
        <v>2</v>
      </c>
      <c r="N2193">
        <v>48.83</v>
      </c>
      <c r="O2193">
        <v>54.93</v>
      </c>
      <c r="P2193">
        <v>109.86</v>
      </c>
    </row>
    <row r="2194" spans="3:16">
      <c r="C2194">
        <v>3</v>
      </c>
      <c r="D2194">
        <v>6</v>
      </c>
      <c r="F2194" t="s">
        <v>11724</v>
      </c>
      <c r="H2194" t="s">
        <v>11722</v>
      </c>
      <c r="I2194" t="s">
        <v>13607</v>
      </c>
      <c r="K2194" t="s">
        <v>13559</v>
      </c>
      <c r="L2194" t="s">
        <v>10853</v>
      </c>
      <c r="M2194">
        <v>30</v>
      </c>
      <c r="N2194">
        <v>9.42</v>
      </c>
      <c r="O2194">
        <v>10.6</v>
      </c>
      <c r="P2194">
        <v>318</v>
      </c>
    </row>
    <row r="2195" spans="3:16">
      <c r="C2195">
        <v>3</v>
      </c>
      <c r="D2195">
        <v>6</v>
      </c>
      <c r="F2195" t="s">
        <v>11724</v>
      </c>
      <c r="H2195" t="s">
        <v>11722</v>
      </c>
      <c r="I2195" t="s">
        <v>13608</v>
      </c>
      <c r="K2195" t="s">
        <v>13561</v>
      </c>
      <c r="L2195" t="s">
        <v>10854</v>
      </c>
      <c r="M2195">
        <v>10</v>
      </c>
      <c r="N2195">
        <v>9.42</v>
      </c>
      <c r="O2195">
        <v>10.6</v>
      </c>
      <c r="P2195">
        <v>106</v>
      </c>
    </row>
    <row r="2196" spans="3:16">
      <c r="C2196">
        <v>3</v>
      </c>
      <c r="D2196">
        <v>6</v>
      </c>
      <c r="F2196" t="s">
        <v>11724</v>
      </c>
      <c r="H2196" t="s">
        <v>11722</v>
      </c>
      <c r="I2196" t="s">
        <v>13609</v>
      </c>
      <c r="K2196" t="s">
        <v>13563</v>
      </c>
      <c r="L2196" t="s">
        <v>10854</v>
      </c>
      <c r="M2196">
        <v>3</v>
      </c>
      <c r="N2196">
        <v>107.55</v>
      </c>
      <c r="O2196">
        <v>120.98</v>
      </c>
      <c r="P2196">
        <v>362.94</v>
      </c>
    </row>
    <row r="2197" spans="3:16">
      <c r="C2197">
        <v>3</v>
      </c>
      <c r="D2197">
        <v>6</v>
      </c>
      <c r="F2197" t="s">
        <v>11724</v>
      </c>
      <c r="H2197" t="s">
        <v>11722</v>
      </c>
      <c r="I2197" t="s">
        <v>13610</v>
      </c>
      <c r="K2197" t="s">
        <v>13565</v>
      </c>
      <c r="L2197" t="s">
        <v>11723</v>
      </c>
      <c r="M2197">
        <v>2</v>
      </c>
      <c r="N2197">
        <v>171.03</v>
      </c>
      <c r="O2197">
        <v>192.39</v>
      </c>
      <c r="P2197">
        <v>384.78</v>
      </c>
    </row>
    <row r="2198" spans="3:16">
      <c r="C2198">
        <v>3</v>
      </c>
      <c r="D2198">
        <v>6</v>
      </c>
      <c r="F2198" t="s">
        <v>11724</v>
      </c>
      <c r="H2198" t="s">
        <v>11722</v>
      </c>
      <c r="I2198" t="s">
        <v>13611</v>
      </c>
      <c r="K2198" t="s">
        <v>13612</v>
      </c>
      <c r="L2198" t="s">
        <v>10853</v>
      </c>
      <c r="M2198">
        <v>2</v>
      </c>
      <c r="N2198">
        <v>11290.78</v>
      </c>
      <c r="O2198">
        <v>12701</v>
      </c>
      <c r="P2198">
        <v>25402</v>
      </c>
    </row>
    <row r="2199" spans="3:16">
      <c r="C2199">
        <v>3</v>
      </c>
      <c r="D2199">
        <v>6</v>
      </c>
      <c r="F2199" t="s">
        <v>11724</v>
      </c>
      <c r="H2199" t="s">
        <v>70</v>
      </c>
      <c r="I2199">
        <v>34653</v>
      </c>
      <c r="K2199" t="s">
        <v>13613</v>
      </c>
      <c r="L2199" t="s">
        <v>10854</v>
      </c>
      <c r="M2199">
        <v>1</v>
      </c>
      <c r="N2199">
        <v>7.8</v>
      </c>
      <c r="O2199">
        <v>8.77</v>
      </c>
      <c r="P2199">
        <v>8.77</v>
      </c>
    </row>
    <row r="2200" spans="3:16">
      <c r="C2200">
        <v>3</v>
      </c>
      <c r="D2200">
        <v>6</v>
      </c>
      <c r="F2200" t="s">
        <v>11724</v>
      </c>
      <c r="H2200" t="s">
        <v>70</v>
      </c>
      <c r="I2200">
        <v>34653</v>
      </c>
      <c r="K2200" t="s">
        <v>13503</v>
      </c>
      <c r="L2200" t="s">
        <v>10854</v>
      </c>
      <c r="M2200">
        <v>2</v>
      </c>
      <c r="N2200">
        <v>7.8</v>
      </c>
      <c r="O2200">
        <v>8.77</v>
      </c>
      <c r="P2200">
        <v>17.54</v>
      </c>
    </row>
    <row r="2201" spans="3:16">
      <c r="C2201">
        <v>3</v>
      </c>
      <c r="D2201">
        <v>6</v>
      </c>
      <c r="F2201" t="s">
        <v>11724</v>
      </c>
      <c r="H2201" t="s">
        <v>70</v>
      </c>
      <c r="I2201">
        <v>93671</v>
      </c>
      <c r="K2201" t="s">
        <v>13506</v>
      </c>
      <c r="L2201" t="s">
        <v>10854</v>
      </c>
      <c r="M2201">
        <v>2</v>
      </c>
      <c r="N2201">
        <v>66.05</v>
      </c>
      <c r="O2201">
        <v>74.3</v>
      </c>
      <c r="P2201">
        <v>148.6</v>
      </c>
    </row>
    <row r="2202" spans="3:16">
      <c r="C2202">
        <v>3</v>
      </c>
      <c r="D2202">
        <v>6</v>
      </c>
      <c r="F2202" t="s">
        <v>11724</v>
      </c>
      <c r="H2202" t="s">
        <v>70</v>
      </c>
      <c r="I2202">
        <v>93672</v>
      </c>
      <c r="K2202" t="s">
        <v>13570</v>
      </c>
      <c r="L2202" t="s">
        <v>10854</v>
      </c>
      <c r="M2202">
        <v>1</v>
      </c>
      <c r="N2202">
        <v>70.73</v>
      </c>
      <c r="O2202">
        <v>79.56</v>
      </c>
      <c r="P2202">
        <v>79.56</v>
      </c>
    </row>
    <row r="2203" spans="3:16">
      <c r="C2203">
        <v>3</v>
      </c>
      <c r="D2203">
        <v>6</v>
      </c>
      <c r="F2203" t="s">
        <v>11724</v>
      </c>
      <c r="H2203" t="s">
        <v>70</v>
      </c>
      <c r="I2203">
        <v>14543</v>
      </c>
      <c r="K2203" t="s">
        <v>13571</v>
      </c>
      <c r="L2203" t="s">
        <v>10854</v>
      </c>
      <c r="M2203">
        <v>2</v>
      </c>
      <c r="N2203">
        <v>4.38</v>
      </c>
      <c r="O2203">
        <v>4.93</v>
      </c>
      <c r="P2203">
        <v>9.86</v>
      </c>
    </row>
    <row r="2204" spans="3:16">
      <c r="C2204">
        <v>3</v>
      </c>
      <c r="D2204">
        <v>6</v>
      </c>
      <c r="F2204" t="s">
        <v>11724</v>
      </c>
      <c r="H2204" t="s">
        <v>70</v>
      </c>
      <c r="I2204">
        <v>38191</v>
      </c>
      <c r="K2204" t="s">
        <v>13572</v>
      </c>
      <c r="L2204" t="s">
        <v>10854</v>
      </c>
      <c r="M2204">
        <v>2</v>
      </c>
      <c r="N2204">
        <v>10.130000000000001</v>
      </c>
      <c r="O2204">
        <v>11.4</v>
      </c>
      <c r="P2204">
        <v>22.8</v>
      </c>
    </row>
    <row r="2205" spans="3:16">
      <c r="C2205">
        <v>3</v>
      </c>
      <c r="D2205">
        <v>6</v>
      </c>
      <c r="F2205" t="s">
        <v>11724</v>
      </c>
      <c r="H2205" t="s">
        <v>11722</v>
      </c>
      <c r="I2205" t="s">
        <v>13614</v>
      </c>
      <c r="K2205" t="s">
        <v>13574</v>
      </c>
      <c r="L2205" t="s">
        <v>10854</v>
      </c>
      <c r="M2205">
        <v>1</v>
      </c>
      <c r="N2205">
        <v>65.27</v>
      </c>
      <c r="O2205">
        <v>73.42</v>
      </c>
      <c r="P2205">
        <v>73.42</v>
      </c>
    </row>
    <row r="2206" spans="3:16">
      <c r="C2206">
        <v>3</v>
      </c>
      <c r="D2206">
        <v>6</v>
      </c>
      <c r="F2206" t="s">
        <v>11724</v>
      </c>
      <c r="H2206" t="s">
        <v>11722</v>
      </c>
      <c r="I2206" t="s">
        <v>13615</v>
      </c>
      <c r="K2206" t="s">
        <v>13616</v>
      </c>
      <c r="L2206" t="s">
        <v>10853</v>
      </c>
      <c r="M2206">
        <v>2</v>
      </c>
      <c r="N2206">
        <v>471.91</v>
      </c>
      <c r="O2206">
        <v>530.85</v>
      </c>
      <c r="P2206">
        <v>1061.7</v>
      </c>
    </row>
    <row r="2207" spans="3:16">
      <c r="C2207">
        <v>3</v>
      </c>
      <c r="D2207">
        <v>6</v>
      </c>
      <c r="F2207" t="s">
        <v>11724</v>
      </c>
      <c r="H2207" t="s">
        <v>11722</v>
      </c>
      <c r="I2207" t="s">
        <v>13617</v>
      </c>
      <c r="K2207" t="s">
        <v>13580</v>
      </c>
      <c r="L2207" t="s">
        <v>18</v>
      </c>
      <c r="M2207">
        <v>1.8</v>
      </c>
      <c r="N2207">
        <v>20.61</v>
      </c>
      <c r="O2207">
        <v>23.18</v>
      </c>
      <c r="P2207">
        <v>41.72</v>
      </c>
    </row>
    <row r="2208" spans="3:16">
      <c r="C2208">
        <v>3</v>
      </c>
      <c r="D2208">
        <v>6</v>
      </c>
      <c r="F2208" t="s">
        <v>11724</v>
      </c>
      <c r="H2208" t="s">
        <v>11722</v>
      </c>
      <c r="I2208" t="s">
        <v>13618</v>
      </c>
      <c r="K2208" t="s">
        <v>13582</v>
      </c>
      <c r="L2208" t="s">
        <v>18</v>
      </c>
      <c r="M2208">
        <v>0.6</v>
      </c>
      <c r="N2208">
        <v>20.61</v>
      </c>
      <c r="O2208">
        <v>23.18</v>
      </c>
      <c r="P2208">
        <v>13.91</v>
      </c>
    </row>
    <row r="2209" spans="2:16">
      <c r="C2209">
        <v>3</v>
      </c>
      <c r="D2209">
        <v>6</v>
      </c>
      <c r="F2209" t="s">
        <v>11724</v>
      </c>
      <c r="H2209" t="s">
        <v>11722</v>
      </c>
      <c r="I2209" t="s">
        <v>13619</v>
      </c>
      <c r="K2209" t="s">
        <v>13584</v>
      </c>
      <c r="L2209" t="s">
        <v>18</v>
      </c>
      <c r="M2209">
        <v>0.6</v>
      </c>
      <c r="N2209">
        <v>20.61</v>
      </c>
      <c r="O2209">
        <v>23.18</v>
      </c>
      <c r="P2209">
        <v>13.91</v>
      </c>
    </row>
    <row r="2210" spans="2:16">
      <c r="C2210">
        <v>3</v>
      </c>
      <c r="D2210">
        <v>6</v>
      </c>
      <c r="F2210" t="s">
        <v>11724</v>
      </c>
      <c r="H2210" t="s">
        <v>11722</v>
      </c>
      <c r="I2210" t="s">
        <v>13620</v>
      </c>
      <c r="K2210" t="s">
        <v>13586</v>
      </c>
      <c r="L2210" t="s">
        <v>10854</v>
      </c>
      <c r="M2210">
        <v>1</v>
      </c>
      <c r="N2210">
        <v>266.64</v>
      </c>
      <c r="O2210">
        <v>299.94</v>
      </c>
      <c r="P2210">
        <v>299.94</v>
      </c>
    </row>
    <row r="2211" spans="2:16">
      <c r="C2211">
        <v>3</v>
      </c>
      <c r="D2211">
        <v>6</v>
      </c>
      <c r="F2211" t="s">
        <v>11724</v>
      </c>
      <c r="H2211" t="s">
        <v>11722</v>
      </c>
      <c r="I2211" t="s">
        <v>13621</v>
      </c>
      <c r="K2211" t="s">
        <v>13588</v>
      </c>
      <c r="L2211" t="s">
        <v>10854</v>
      </c>
      <c r="M2211">
        <v>1</v>
      </c>
      <c r="N2211">
        <v>176.08</v>
      </c>
      <c r="O2211">
        <v>198.07</v>
      </c>
      <c r="P2211">
        <v>198.07</v>
      </c>
    </row>
    <row r="2212" spans="2:16">
      <c r="C2212">
        <v>3</v>
      </c>
      <c r="D2212">
        <v>6</v>
      </c>
      <c r="F2212" t="s">
        <v>11724</v>
      </c>
      <c r="H2212" t="s">
        <v>11722</v>
      </c>
      <c r="I2212" t="s">
        <v>13622</v>
      </c>
      <c r="K2212" t="s">
        <v>13590</v>
      </c>
      <c r="L2212" t="s">
        <v>10853</v>
      </c>
      <c r="M2212">
        <v>2</v>
      </c>
      <c r="N2212">
        <v>438.66</v>
      </c>
      <c r="O2212">
        <v>493.45</v>
      </c>
      <c r="P2212">
        <v>986.9</v>
      </c>
    </row>
    <row r="2213" spans="2:16">
      <c r="C2213">
        <v>3</v>
      </c>
      <c r="D2213">
        <v>6</v>
      </c>
      <c r="F2213" t="s">
        <v>11724</v>
      </c>
      <c r="H2213" t="s">
        <v>11722</v>
      </c>
      <c r="I2213" t="s">
        <v>13623</v>
      </c>
      <c r="K2213" t="s">
        <v>13592</v>
      </c>
      <c r="L2213" t="s">
        <v>10853</v>
      </c>
      <c r="M2213">
        <v>2</v>
      </c>
      <c r="N2213">
        <v>978.31</v>
      </c>
      <c r="O2213">
        <v>1100.5</v>
      </c>
      <c r="P2213">
        <v>2201</v>
      </c>
    </row>
    <row r="2214" spans="2:16">
      <c r="C2214">
        <v>3</v>
      </c>
      <c r="D2214">
        <v>6</v>
      </c>
      <c r="F2214" t="s">
        <v>11724</v>
      </c>
      <c r="H2214" t="s">
        <v>11722</v>
      </c>
      <c r="I2214" t="s">
        <v>13624</v>
      </c>
      <c r="K2214" t="s">
        <v>13594</v>
      </c>
      <c r="L2214" t="s">
        <v>10853</v>
      </c>
      <c r="M2214">
        <v>2</v>
      </c>
      <c r="N2214">
        <v>636.99</v>
      </c>
      <c r="O2214">
        <v>716.55</v>
      </c>
      <c r="P2214">
        <v>1433.1</v>
      </c>
    </row>
    <row r="2215" spans="2:16">
      <c r="C2215">
        <v>3</v>
      </c>
      <c r="D2215">
        <v>6</v>
      </c>
      <c r="F2215" t="s">
        <v>11724</v>
      </c>
    </row>
    <row r="2216" spans="2:16">
      <c r="B2216">
        <v>1</v>
      </c>
      <c r="C2216">
        <v>3</v>
      </c>
      <c r="D2216">
        <v>7</v>
      </c>
      <c r="F2216" t="s">
        <v>11724</v>
      </c>
      <c r="H2216" t="s">
        <v>20899</v>
      </c>
      <c r="I2216" t="s">
        <v>13874</v>
      </c>
      <c r="L2216" t="s">
        <v>25</v>
      </c>
      <c r="M2216" t="s">
        <v>11704</v>
      </c>
      <c r="N2216" t="s">
        <v>11705</v>
      </c>
      <c r="O2216" t="s">
        <v>11706</v>
      </c>
      <c r="P2216">
        <v>94752.800000000017</v>
      </c>
    </row>
    <row r="2217" spans="2:16">
      <c r="C2217">
        <v>3</v>
      </c>
      <c r="D2217">
        <v>7</v>
      </c>
      <c r="F2217" t="s">
        <v>11724</v>
      </c>
    </row>
    <row r="2218" spans="2:16">
      <c r="C2218">
        <v>3</v>
      </c>
      <c r="D2218">
        <v>7</v>
      </c>
      <c r="F2218" t="s">
        <v>11724</v>
      </c>
      <c r="H2218" t="s">
        <v>11722</v>
      </c>
      <c r="I2218" t="s">
        <v>13625</v>
      </c>
      <c r="K2218" t="s">
        <v>13626</v>
      </c>
      <c r="L2218" t="s">
        <v>10854</v>
      </c>
      <c r="M2218">
        <v>2</v>
      </c>
      <c r="N2218">
        <v>1661.45</v>
      </c>
      <c r="O2218">
        <v>1868.97</v>
      </c>
      <c r="P2218">
        <v>3737.94</v>
      </c>
    </row>
    <row r="2219" spans="2:16">
      <c r="C2219">
        <v>3</v>
      </c>
      <c r="D2219">
        <v>7</v>
      </c>
      <c r="F2219" t="s">
        <v>11724</v>
      </c>
      <c r="H2219" t="s">
        <v>70</v>
      </c>
      <c r="I2219">
        <v>10510</v>
      </c>
      <c r="K2219" t="s">
        <v>13627</v>
      </c>
      <c r="L2219" t="s">
        <v>10854</v>
      </c>
      <c r="M2219">
        <v>2</v>
      </c>
      <c r="N2219">
        <v>81.510000000000005</v>
      </c>
      <c r="O2219">
        <v>91.69</v>
      </c>
      <c r="P2219">
        <v>183.38</v>
      </c>
    </row>
    <row r="2220" spans="2:16">
      <c r="C2220">
        <v>3</v>
      </c>
      <c r="D2220">
        <v>7</v>
      </c>
      <c r="F2220" t="s">
        <v>11724</v>
      </c>
      <c r="H2220" t="s">
        <v>11722</v>
      </c>
      <c r="I2220" t="s">
        <v>13628</v>
      </c>
      <c r="K2220" t="s">
        <v>13629</v>
      </c>
      <c r="L2220" t="s">
        <v>10854</v>
      </c>
      <c r="M2220">
        <v>12</v>
      </c>
      <c r="N2220">
        <v>93.77</v>
      </c>
      <c r="O2220">
        <v>105.48</v>
      </c>
      <c r="P2220">
        <v>1265.76</v>
      </c>
    </row>
    <row r="2221" spans="2:16">
      <c r="C2221">
        <v>3</v>
      </c>
      <c r="D2221">
        <v>7</v>
      </c>
      <c r="F2221" t="s">
        <v>11724</v>
      </c>
      <c r="H2221" t="s">
        <v>11722</v>
      </c>
      <c r="I2221" t="s">
        <v>13630</v>
      </c>
      <c r="K2221" t="s">
        <v>13631</v>
      </c>
      <c r="L2221" t="s">
        <v>10854</v>
      </c>
      <c r="M2221">
        <v>3</v>
      </c>
      <c r="N2221">
        <v>64.92</v>
      </c>
      <c r="O2221">
        <v>73.03</v>
      </c>
      <c r="P2221">
        <v>219.09</v>
      </c>
    </row>
    <row r="2222" spans="2:16">
      <c r="C2222">
        <v>3</v>
      </c>
      <c r="D2222">
        <v>7</v>
      </c>
      <c r="F2222" t="s">
        <v>11724</v>
      </c>
      <c r="H2222" t="s">
        <v>70</v>
      </c>
      <c r="I2222">
        <v>4273</v>
      </c>
      <c r="K2222" t="s">
        <v>13632</v>
      </c>
      <c r="L2222" t="s">
        <v>10854</v>
      </c>
      <c r="M2222">
        <v>3</v>
      </c>
      <c r="N2222">
        <v>350.95</v>
      </c>
      <c r="O2222">
        <v>394.78</v>
      </c>
      <c r="P2222">
        <v>1184.3399999999999</v>
      </c>
    </row>
    <row r="2223" spans="2:16">
      <c r="C2223">
        <v>3</v>
      </c>
      <c r="D2223">
        <v>7</v>
      </c>
      <c r="F2223" t="s">
        <v>11724</v>
      </c>
      <c r="H2223" t="s">
        <v>11722</v>
      </c>
      <c r="I2223" t="s">
        <v>13633</v>
      </c>
      <c r="K2223" t="s">
        <v>13634</v>
      </c>
      <c r="L2223" t="s">
        <v>10854</v>
      </c>
      <c r="M2223">
        <v>3</v>
      </c>
      <c r="N2223">
        <v>334</v>
      </c>
      <c r="O2223">
        <v>375.72</v>
      </c>
      <c r="P2223">
        <v>1127.1600000000001</v>
      </c>
    </row>
    <row r="2224" spans="2:16">
      <c r="C2224">
        <v>3</v>
      </c>
      <c r="D2224">
        <v>7</v>
      </c>
      <c r="F2224" t="s">
        <v>11724</v>
      </c>
      <c r="H2224" t="s">
        <v>11722</v>
      </c>
      <c r="I2224" t="s">
        <v>13635</v>
      </c>
      <c r="K2224" t="s">
        <v>13636</v>
      </c>
      <c r="L2224" t="s">
        <v>10854</v>
      </c>
      <c r="M2224">
        <v>3</v>
      </c>
      <c r="N2224">
        <v>334</v>
      </c>
      <c r="O2224">
        <v>375.72</v>
      </c>
      <c r="P2224">
        <v>1127.1600000000001</v>
      </c>
    </row>
    <row r="2225" spans="3:16">
      <c r="C2225">
        <v>3</v>
      </c>
      <c r="D2225">
        <v>7</v>
      </c>
      <c r="F2225" t="s">
        <v>11724</v>
      </c>
      <c r="H2225" t="s">
        <v>11722</v>
      </c>
      <c r="I2225" t="s">
        <v>13637</v>
      </c>
      <c r="K2225" t="s">
        <v>13638</v>
      </c>
      <c r="L2225" t="s">
        <v>10854</v>
      </c>
      <c r="M2225">
        <v>4</v>
      </c>
      <c r="N2225">
        <v>229.12</v>
      </c>
      <c r="O2225">
        <v>257.74</v>
      </c>
      <c r="P2225">
        <v>1030.96</v>
      </c>
    </row>
    <row r="2226" spans="3:16">
      <c r="C2226">
        <v>3</v>
      </c>
      <c r="D2226">
        <v>7</v>
      </c>
      <c r="F2226" t="s">
        <v>11724</v>
      </c>
      <c r="H2226" t="s">
        <v>11722</v>
      </c>
      <c r="I2226" t="s">
        <v>13639</v>
      </c>
      <c r="K2226" t="s">
        <v>13640</v>
      </c>
      <c r="L2226" t="s">
        <v>10854</v>
      </c>
      <c r="M2226">
        <v>3</v>
      </c>
      <c r="N2226">
        <v>17.78</v>
      </c>
      <c r="O2226">
        <v>20</v>
      </c>
      <c r="P2226">
        <v>60</v>
      </c>
    </row>
    <row r="2227" spans="3:16">
      <c r="C2227">
        <v>3</v>
      </c>
      <c r="D2227">
        <v>7</v>
      </c>
      <c r="F2227" t="s">
        <v>11724</v>
      </c>
      <c r="H2227" t="s">
        <v>11722</v>
      </c>
      <c r="I2227" t="s">
        <v>13641</v>
      </c>
      <c r="K2227" t="s">
        <v>13642</v>
      </c>
      <c r="L2227" t="s">
        <v>10854</v>
      </c>
      <c r="M2227">
        <v>2</v>
      </c>
      <c r="N2227">
        <v>229.12</v>
      </c>
      <c r="O2227">
        <v>257.74</v>
      </c>
      <c r="P2227">
        <v>515.48</v>
      </c>
    </row>
    <row r="2228" spans="3:16">
      <c r="C2228">
        <v>3</v>
      </c>
      <c r="D2228">
        <v>7</v>
      </c>
      <c r="F2228" t="s">
        <v>11724</v>
      </c>
      <c r="H2228" t="s">
        <v>11722</v>
      </c>
      <c r="I2228" t="s">
        <v>13643</v>
      </c>
      <c r="K2228" t="s">
        <v>13644</v>
      </c>
      <c r="L2228" t="s">
        <v>18</v>
      </c>
      <c r="M2228">
        <v>2</v>
      </c>
      <c r="N2228">
        <v>7.43</v>
      </c>
      <c r="O2228">
        <v>8.36</v>
      </c>
      <c r="P2228">
        <v>16.72</v>
      </c>
    </row>
    <row r="2229" spans="3:16">
      <c r="C2229">
        <v>3</v>
      </c>
      <c r="D2229">
        <v>7</v>
      </c>
      <c r="F2229" t="s">
        <v>11724</v>
      </c>
      <c r="H2229" t="s">
        <v>11722</v>
      </c>
      <c r="I2229" t="s">
        <v>13645</v>
      </c>
      <c r="K2229" t="s">
        <v>13646</v>
      </c>
      <c r="L2229" t="s">
        <v>10854</v>
      </c>
      <c r="M2229">
        <v>3</v>
      </c>
      <c r="N2229">
        <v>7.43</v>
      </c>
      <c r="O2229">
        <v>8.36</v>
      </c>
      <c r="P2229">
        <v>25.08</v>
      </c>
    </row>
    <row r="2230" spans="3:16">
      <c r="C2230">
        <v>3</v>
      </c>
      <c r="D2230">
        <v>7</v>
      </c>
      <c r="F2230" t="s">
        <v>11724</v>
      </c>
      <c r="H2230" t="s">
        <v>11722</v>
      </c>
      <c r="I2230" t="s">
        <v>13647</v>
      </c>
      <c r="K2230" t="s">
        <v>13648</v>
      </c>
      <c r="L2230" t="s">
        <v>10854</v>
      </c>
      <c r="M2230">
        <v>10</v>
      </c>
      <c r="N2230">
        <v>5.39</v>
      </c>
      <c r="O2230">
        <v>6.06</v>
      </c>
      <c r="P2230">
        <v>60.6</v>
      </c>
    </row>
    <row r="2231" spans="3:16">
      <c r="C2231">
        <v>3</v>
      </c>
      <c r="D2231">
        <v>7</v>
      </c>
      <c r="F2231" t="s">
        <v>11724</v>
      </c>
      <c r="H2231" t="s">
        <v>11722</v>
      </c>
      <c r="I2231" t="s">
        <v>13649</v>
      </c>
      <c r="K2231" t="s">
        <v>13650</v>
      </c>
      <c r="L2231" t="s">
        <v>10854</v>
      </c>
      <c r="M2231">
        <v>8</v>
      </c>
      <c r="N2231">
        <v>7.43</v>
      </c>
      <c r="O2231">
        <v>8.36</v>
      </c>
      <c r="P2231">
        <v>66.88</v>
      </c>
    </row>
    <row r="2232" spans="3:16">
      <c r="C2232">
        <v>3</v>
      </c>
      <c r="D2232">
        <v>7</v>
      </c>
      <c r="F2232" t="s">
        <v>11724</v>
      </c>
      <c r="H2232" t="s">
        <v>70</v>
      </c>
      <c r="I2232">
        <v>379</v>
      </c>
      <c r="K2232" t="s">
        <v>13651</v>
      </c>
      <c r="L2232" t="s">
        <v>10854</v>
      </c>
      <c r="M2232">
        <v>28</v>
      </c>
      <c r="N2232">
        <v>0.55000000000000004</v>
      </c>
      <c r="O2232">
        <v>0.62</v>
      </c>
      <c r="P2232">
        <v>17.36</v>
      </c>
    </row>
    <row r="2233" spans="3:16">
      <c r="C2233">
        <v>3</v>
      </c>
      <c r="D2233">
        <v>7</v>
      </c>
      <c r="F2233" t="s">
        <v>11724</v>
      </c>
      <c r="H2233" t="s">
        <v>11722</v>
      </c>
      <c r="I2233" t="s">
        <v>13652</v>
      </c>
      <c r="K2233" t="s">
        <v>13653</v>
      </c>
      <c r="L2233" t="s">
        <v>18</v>
      </c>
      <c r="M2233">
        <v>4</v>
      </c>
      <c r="N2233">
        <v>6.27</v>
      </c>
      <c r="O2233">
        <v>7.05</v>
      </c>
      <c r="P2233">
        <v>28.2</v>
      </c>
    </row>
    <row r="2234" spans="3:16">
      <c r="C2234">
        <v>3</v>
      </c>
      <c r="D2234">
        <v>7</v>
      </c>
      <c r="F2234" t="s">
        <v>11724</v>
      </c>
      <c r="H2234" t="s">
        <v>11722</v>
      </c>
      <c r="I2234" t="s">
        <v>13654</v>
      </c>
      <c r="K2234" t="s">
        <v>13655</v>
      </c>
      <c r="L2234" t="s">
        <v>18</v>
      </c>
      <c r="M2234">
        <v>24</v>
      </c>
      <c r="N2234">
        <v>6.27</v>
      </c>
      <c r="O2234">
        <v>7.05</v>
      </c>
      <c r="P2234">
        <v>169.2</v>
      </c>
    </row>
    <row r="2235" spans="3:16">
      <c r="C2235">
        <v>3</v>
      </c>
      <c r="D2235">
        <v>7</v>
      </c>
      <c r="F2235" t="s">
        <v>11724</v>
      </c>
      <c r="H2235" t="s">
        <v>11722</v>
      </c>
      <c r="I2235" t="s">
        <v>13656</v>
      </c>
      <c r="K2235" t="s">
        <v>13657</v>
      </c>
      <c r="L2235" t="s">
        <v>18</v>
      </c>
      <c r="M2235">
        <v>6</v>
      </c>
      <c r="N2235">
        <v>5.0999999999999996</v>
      </c>
      <c r="O2235">
        <v>5.74</v>
      </c>
      <c r="P2235">
        <v>34.44</v>
      </c>
    </row>
    <row r="2236" spans="3:16">
      <c r="C2236">
        <v>3</v>
      </c>
      <c r="D2236">
        <v>7</v>
      </c>
      <c r="F2236" t="s">
        <v>11724</v>
      </c>
      <c r="H2236" t="s">
        <v>11722</v>
      </c>
      <c r="I2236" t="s">
        <v>13658</v>
      </c>
      <c r="K2236" t="s">
        <v>13659</v>
      </c>
      <c r="L2236" t="s">
        <v>10854</v>
      </c>
      <c r="M2236">
        <v>13</v>
      </c>
      <c r="N2236">
        <v>9.42</v>
      </c>
      <c r="O2236">
        <v>10.6</v>
      </c>
      <c r="P2236">
        <v>137.80000000000001</v>
      </c>
    </row>
    <row r="2237" spans="3:16">
      <c r="C2237">
        <v>3</v>
      </c>
      <c r="D2237">
        <v>7</v>
      </c>
      <c r="F2237" t="s">
        <v>11724</v>
      </c>
      <c r="H2237" t="s">
        <v>11722</v>
      </c>
      <c r="I2237" t="s">
        <v>13660</v>
      </c>
      <c r="K2237" t="s">
        <v>13661</v>
      </c>
      <c r="L2237" t="s">
        <v>10854</v>
      </c>
      <c r="M2237">
        <v>2</v>
      </c>
      <c r="N2237">
        <v>337.99</v>
      </c>
      <c r="O2237">
        <v>380.2</v>
      </c>
      <c r="P2237">
        <v>760.4</v>
      </c>
    </row>
    <row r="2238" spans="3:16">
      <c r="C2238">
        <v>3</v>
      </c>
      <c r="D2238">
        <v>7</v>
      </c>
      <c r="F2238" t="s">
        <v>11724</v>
      </c>
      <c r="H2238" t="s">
        <v>11722</v>
      </c>
      <c r="I2238" t="s">
        <v>13662</v>
      </c>
      <c r="K2238" t="s">
        <v>13663</v>
      </c>
      <c r="L2238" t="s">
        <v>10854</v>
      </c>
      <c r="M2238">
        <v>1</v>
      </c>
      <c r="N2238">
        <v>50897</v>
      </c>
      <c r="O2238">
        <v>57254.04</v>
      </c>
      <c r="P2238">
        <v>57254.04</v>
      </c>
    </row>
    <row r="2239" spans="3:16">
      <c r="C2239">
        <v>3</v>
      </c>
      <c r="D2239">
        <v>7</v>
      </c>
      <c r="F2239" t="s">
        <v>11724</v>
      </c>
      <c r="H2239" t="s">
        <v>11722</v>
      </c>
      <c r="I2239" t="s">
        <v>13664</v>
      </c>
      <c r="K2239" t="s">
        <v>13665</v>
      </c>
      <c r="L2239" t="s">
        <v>11753</v>
      </c>
      <c r="M2239">
        <v>8</v>
      </c>
      <c r="N2239">
        <v>474.64</v>
      </c>
      <c r="O2239">
        <v>533.91999999999996</v>
      </c>
      <c r="P2239">
        <v>4271.3599999999997</v>
      </c>
    </row>
    <row r="2240" spans="3:16">
      <c r="C2240">
        <v>3</v>
      </c>
      <c r="D2240">
        <v>7</v>
      </c>
      <c r="F2240" t="s">
        <v>11724</v>
      </c>
      <c r="H2240" t="s">
        <v>70</v>
      </c>
      <c r="I2240">
        <v>3915</v>
      </c>
      <c r="K2240" t="s">
        <v>13666</v>
      </c>
      <c r="L2240" t="s">
        <v>10854</v>
      </c>
      <c r="M2240">
        <v>12</v>
      </c>
      <c r="N2240">
        <v>75.260000000000005</v>
      </c>
      <c r="O2240">
        <v>84.66</v>
      </c>
      <c r="P2240">
        <v>1015.92</v>
      </c>
    </row>
    <row r="2241" spans="3:16">
      <c r="C2241">
        <v>3</v>
      </c>
      <c r="D2241">
        <v>7</v>
      </c>
      <c r="F2241" t="s">
        <v>11724</v>
      </c>
      <c r="H2241" t="s">
        <v>70</v>
      </c>
      <c r="I2241">
        <v>39216</v>
      </c>
      <c r="K2241" t="s">
        <v>13667</v>
      </c>
      <c r="L2241" t="s">
        <v>10854</v>
      </c>
      <c r="M2241">
        <v>16</v>
      </c>
      <c r="N2241">
        <v>4.21</v>
      </c>
      <c r="O2241">
        <v>4.74</v>
      </c>
      <c r="P2241">
        <v>75.84</v>
      </c>
    </row>
    <row r="2242" spans="3:16">
      <c r="C2242">
        <v>3</v>
      </c>
      <c r="D2242">
        <v>7</v>
      </c>
      <c r="F2242" t="s">
        <v>11724</v>
      </c>
      <c r="H2242" t="s">
        <v>70</v>
      </c>
      <c r="I2242">
        <v>39182</v>
      </c>
      <c r="K2242" t="s">
        <v>13668</v>
      </c>
      <c r="L2242" t="s">
        <v>10854</v>
      </c>
      <c r="M2242">
        <v>16</v>
      </c>
      <c r="N2242">
        <v>5.21</v>
      </c>
      <c r="O2242">
        <v>5.86</v>
      </c>
      <c r="P2242">
        <v>93.76</v>
      </c>
    </row>
    <row r="2243" spans="3:16">
      <c r="C2243">
        <v>3</v>
      </c>
      <c r="D2243">
        <v>7</v>
      </c>
      <c r="F2243" t="s">
        <v>11724</v>
      </c>
      <c r="H2243" t="s">
        <v>70</v>
      </c>
      <c r="I2243">
        <v>4183</v>
      </c>
      <c r="K2243" t="s">
        <v>13669</v>
      </c>
      <c r="L2243" t="s">
        <v>10854</v>
      </c>
      <c r="M2243">
        <v>4</v>
      </c>
      <c r="N2243">
        <v>69.56</v>
      </c>
      <c r="O2243">
        <v>78.25</v>
      </c>
      <c r="P2243">
        <v>313</v>
      </c>
    </row>
    <row r="2244" spans="3:16">
      <c r="C2244">
        <v>3</v>
      </c>
      <c r="D2244">
        <v>7</v>
      </c>
      <c r="F2244" t="s">
        <v>11724</v>
      </c>
      <c r="H2244" t="s">
        <v>70</v>
      </c>
      <c r="I2244">
        <v>92373</v>
      </c>
      <c r="K2244" t="s">
        <v>13670</v>
      </c>
      <c r="L2244" t="s">
        <v>10854</v>
      </c>
      <c r="M2244">
        <v>1</v>
      </c>
      <c r="N2244">
        <v>31.07</v>
      </c>
      <c r="O2244">
        <v>34.950000000000003</v>
      </c>
      <c r="P2244">
        <v>34.950000000000003</v>
      </c>
    </row>
    <row r="2245" spans="3:16">
      <c r="C2245">
        <v>3</v>
      </c>
      <c r="D2245">
        <v>7</v>
      </c>
      <c r="F2245" t="s">
        <v>11724</v>
      </c>
      <c r="H2245" t="s">
        <v>11722</v>
      </c>
      <c r="I2245" t="s">
        <v>13671</v>
      </c>
      <c r="K2245" t="s">
        <v>13672</v>
      </c>
      <c r="L2245" t="s">
        <v>10854</v>
      </c>
      <c r="M2245">
        <v>4</v>
      </c>
      <c r="N2245">
        <v>250.93</v>
      </c>
      <c r="O2245">
        <v>282.27</v>
      </c>
      <c r="P2245">
        <v>1129.08</v>
      </c>
    </row>
    <row r="2246" spans="3:16">
      <c r="C2246">
        <v>3</v>
      </c>
      <c r="D2246">
        <v>7</v>
      </c>
      <c r="F2246" t="s">
        <v>11724</v>
      </c>
      <c r="H2246" t="s">
        <v>70</v>
      </c>
      <c r="I2246">
        <v>39693</v>
      </c>
      <c r="K2246" t="s">
        <v>13673</v>
      </c>
      <c r="L2246" t="s">
        <v>10854</v>
      </c>
      <c r="M2246">
        <v>1</v>
      </c>
      <c r="N2246">
        <v>1189.53</v>
      </c>
      <c r="O2246">
        <v>1338.1</v>
      </c>
      <c r="P2246">
        <v>1338.1</v>
      </c>
    </row>
    <row r="2247" spans="3:16">
      <c r="C2247">
        <v>3</v>
      </c>
      <c r="D2247">
        <v>7</v>
      </c>
      <c r="F2247" t="s">
        <v>11724</v>
      </c>
      <c r="H2247" t="s">
        <v>70</v>
      </c>
      <c r="I2247">
        <v>14055</v>
      </c>
      <c r="K2247" t="s">
        <v>13674</v>
      </c>
      <c r="L2247" t="s">
        <v>10854</v>
      </c>
      <c r="M2247">
        <v>1</v>
      </c>
      <c r="N2247">
        <v>445.14</v>
      </c>
      <c r="O2247">
        <v>500.74</v>
      </c>
      <c r="P2247">
        <v>500.74</v>
      </c>
    </row>
    <row r="2248" spans="3:16">
      <c r="C2248">
        <v>3</v>
      </c>
      <c r="D2248">
        <v>7</v>
      </c>
      <c r="F2248" t="s">
        <v>11724</v>
      </c>
      <c r="H2248" t="s">
        <v>70</v>
      </c>
      <c r="I2248">
        <v>14055</v>
      </c>
      <c r="K2248" t="s">
        <v>13675</v>
      </c>
      <c r="L2248" t="s">
        <v>10854</v>
      </c>
      <c r="M2248">
        <v>1</v>
      </c>
      <c r="N2248">
        <v>445.14</v>
      </c>
      <c r="O2248">
        <v>500.74</v>
      </c>
      <c r="P2248">
        <v>500.74</v>
      </c>
    </row>
    <row r="2249" spans="3:16">
      <c r="C2249">
        <v>3</v>
      </c>
      <c r="D2249">
        <v>7</v>
      </c>
      <c r="F2249" t="s">
        <v>11724</v>
      </c>
      <c r="H2249" t="s">
        <v>70</v>
      </c>
      <c r="I2249">
        <v>92998</v>
      </c>
      <c r="K2249" t="s">
        <v>13676</v>
      </c>
      <c r="L2249" t="s">
        <v>18</v>
      </c>
      <c r="M2249">
        <v>80</v>
      </c>
      <c r="N2249">
        <v>101.92</v>
      </c>
      <c r="O2249">
        <v>114.65</v>
      </c>
      <c r="P2249">
        <v>9172</v>
      </c>
    </row>
    <row r="2250" spans="3:16">
      <c r="C2250">
        <v>3</v>
      </c>
      <c r="D2250">
        <v>7</v>
      </c>
      <c r="F2250" t="s">
        <v>11724</v>
      </c>
      <c r="H2250" t="s">
        <v>70</v>
      </c>
      <c r="I2250">
        <v>72255</v>
      </c>
      <c r="K2250" t="s">
        <v>13677</v>
      </c>
      <c r="L2250" t="s">
        <v>18</v>
      </c>
      <c r="M2250">
        <v>37</v>
      </c>
      <c r="N2250">
        <v>40.15</v>
      </c>
      <c r="O2250">
        <v>45.16</v>
      </c>
      <c r="P2250">
        <v>1670.92</v>
      </c>
    </row>
    <row r="2251" spans="3:16">
      <c r="C2251">
        <v>3</v>
      </c>
      <c r="D2251">
        <v>7</v>
      </c>
      <c r="F2251" t="s">
        <v>11724</v>
      </c>
      <c r="H2251" t="s">
        <v>70</v>
      </c>
      <c r="I2251">
        <v>72252</v>
      </c>
      <c r="K2251" t="s">
        <v>13678</v>
      </c>
      <c r="L2251" t="s">
        <v>18</v>
      </c>
      <c r="M2251">
        <v>3</v>
      </c>
      <c r="N2251">
        <v>16.32</v>
      </c>
      <c r="O2251">
        <v>18.36</v>
      </c>
      <c r="P2251">
        <v>55.08</v>
      </c>
    </row>
    <row r="2252" spans="3:16">
      <c r="C2252">
        <v>3</v>
      </c>
      <c r="D2252">
        <v>7</v>
      </c>
      <c r="F2252" t="s">
        <v>11724</v>
      </c>
      <c r="H2252" t="s">
        <v>11722</v>
      </c>
      <c r="I2252" t="s">
        <v>13679</v>
      </c>
      <c r="K2252" t="s">
        <v>13680</v>
      </c>
      <c r="L2252" t="s">
        <v>10854</v>
      </c>
      <c r="M2252">
        <v>1</v>
      </c>
      <c r="N2252">
        <v>489.12</v>
      </c>
      <c r="O2252">
        <v>550.21</v>
      </c>
      <c r="P2252">
        <v>550.21</v>
      </c>
    </row>
    <row r="2253" spans="3:16">
      <c r="C2253">
        <v>3</v>
      </c>
      <c r="D2253">
        <v>7</v>
      </c>
      <c r="F2253" t="s">
        <v>11724</v>
      </c>
      <c r="H2253" t="s">
        <v>70</v>
      </c>
      <c r="I2253">
        <v>2394</v>
      </c>
      <c r="K2253" t="s">
        <v>13681</v>
      </c>
      <c r="L2253" t="s">
        <v>10854</v>
      </c>
      <c r="M2253">
        <v>1</v>
      </c>
      <c r="N2253">
        <v>3852.22</v>
      </c>
      <c r="O2253">
        <v>4333.3599999999997</v>
      </c>
      <c r="P2253">
        <v>4333.3599999999997</v>
      </c>
    </row>
    <row r="2254" spans="3:16">
      <c r="C2254">
        <v>3</v>
      </c>
      <c r="D2254">
        <v>7</v>
      </c>
      <c r="F2254" t="s">
        <v>11724</v>
      </c>
      <c r="H2254" t="s">
        <v>70</v>
      </c>
      <c r="I2254">
        <v>39692</v>
      </c>
      <c r="K2254" t="s">
        <v>13682</v>
      </c>
      <c r="L2254" t="s">
        <v>10854</v>
      </c>
      <c r="M2254">
        <v>3</v>
      </c>
      <c r="N2254">
        <v>200.24</v>
      </c>
      <c r="O2254">
        <v>225.25</v>
      </c>
      <c r="P2254">
        <v>675.75</v>
      </c>
    </row>
    <row r="2255" spans="3:16">
      <c r="C2255">
        <v>3</v>
      </c>
      <c r="D2255">
        <v>7</v>
      </c>
      <c r="F2255" t="s">
        <v>11724</v>
      </c>
    </row>
    <row r="2256" spans="3:16">
      <c r="C2256">
        <v>3</v>
      </c>
      <c r="D2256">
        <v>7</v>
      </c>
      <c r="F2256" t="s">
        <v>11724</v>
      </c>
    </row>
    <row r="2257" spans="2:16">
      <c r="B2257">
        <v>1</v>
      </c>
      <c r="C2257">
        <v>3</v>
      </c>
      <c r="D2257">
        <v>8</v>
      </c>
      <c r="F2257" t="s">
        <v>11724</v>
      </c>
      <c r="H2257" t="s">
        <v>20900</v>
      </c>
      <c r="I2257" t="s">
        <v>13875</v>
      </c>
      <c r="L2257" t="s">
        <v>25</v>
      </c>
      <c r="M2257" t="s">
        <v>11704</v>
      </c>
      <c r="N2257" t="s">
        <v>11705</v>
      </c>
      <c r="O2257" t="s">
        <v>11706</v>
      </c>
      <c r="P2257">
        <v>164013.67000000001</v>
      </c>
    </row>
    <row r="2258" spans="2:16">
      <c r="C2258">
        <v>3</v>
      </c>
      <c r="D2258">
        <v>8</v>
      </c>
      <c r="F2258" t="s">
        <v>11724</v>
      </c>
    </row>
    <row r="2259" spans="2:16">
      <c r="C2259">
        <v>3</v>
      </c>
      <c r="D2259">
        <v>8</v>
      </c>
      <c r="F2259" t="s">
        <v>11724</v>
      </c>
      <c r="H2259" t="s">
        <v>11722</v>
      </c>
      <c r="I2259" t="s">
        <v>13683</v>
      </c>
      <c r="K2259" t="s">
        <v>13684</v>
      </c>
      <c r="L2259" t="s">
        <v>11758</v>
      </c>
      <c r="M2259">
        <v>14</v>
      </c>
      <c r="N2259">
        <v>91.21</v>
      </c>
      <c r="O2259">
        <v>102.6</v>
      </c>
      <c r="P2259">
        <v>1436.4</v>
      </c>
    </row>
    <row r="2260" spans="2:16">
      <c r="C2260">
        <v>3</v>
      </c>
      <c r="D2260">
        <v>8</v>
      </c>
      <c r="F2260" t="s">
        <v>11724</v>
      </c>
      <c r="H2260" t="s">
        <v>11722</v>
      </c>
      <c r="I2260" t="s">
        <v>13685</v>
      </c>
      <c r="K2260" t="s">
        <v>13686</v>
      </c>
      <c r="L2260" t="s">
        <v>11758</v>
      </c>
      <c r="M2260">
        <v>14</v>
      </c>
      <c r="N2260">
        <v>83.28</v>
      </c>
      <c r="O2260">
        <v>93.68</v>
      </c>
      <c r="P2260">
        <v>1311.52</v>
      </c>
    </row>
    <row r="2261" spans="2:16">
      <c r="C2261">
        <v>3</v>
      </c>
      <c r="D2261">
        <v>8</v>
      </c>
      <c r="F2261" t="s">
        <v>11724</v>
      </c>
      <c r="H2261" t="s">
        <v>11722</v>
      </c>
      <c r="I2261" t="s">
        <v>13687</v>
      </c>
      <c r="K2261" t="s">
        <v>13688</v>
      </c>
      <c r="L2261" t="s">
        <v>11758</v>
      </c>
      <c r="M2261">
        <v>6</v>
      </c>
      <c r="N2261">
        <v>83.28</v>
      </c>
      <c r="O2261">
        <v>93.68</v>
      </c>
      <c r="P2261">
        <v>562.08000000000004</v>
      </c>
    </row>
    <row r="2262" spans="2:16">
      <c r="C2262">
        <v>3</v>
      </c>
      <c r="D2262">
        <v>8</v>
      </c>
      <c r="F2262" t="s">
        <v>11724</v>
      </c>
      <c r="H2262" t="s">
        <v>11722</v>
      </c>
      <c r="I2262" t="s">
        <v>13689</v>
      </c>
      <c r="K2262" t="s">
        <v>13690</v>
      </c>
      <c r="L2262" t="s">
        <v>13691</v>
      </c>
      <c r="M2262">
        <v>20</v>
      </c>
      <c r="N2262">
        <v>21.11</v>
      </c>
      <c r="O2262">
        <v>23.75</v>
      </c>
      <c r="P2262">
        <v>475</v>
      </c>
    </row>
    <row r="2263" spans="2:16">
      <c r="C2263">
        <v>3</v>
      </c>
      <c r="D2263">
        <v>8</v>
      </c>
      <c r="F2263" t="s">
        <v>11724</v>
      </c>
      <c r="H2263" t="s">
        <v>70</v>
      </c>
      <c r="I2263">
        <v>12344</v>
      </c>
      <c r="K2263" t="s">
        <v>13692</v>
      </c>
      <c r="L2263" t="s">
        <v>13691</v>
      </c>
      <c r="M2263">
        <v>3</v>
      </c>
      <c r="N2263">
        <v>2.0699999999999998</v>
      </c>
      <c r="O2263">
        <v>2.33</v>
      </c>
      <c r="P2263">
        <v>6.99</v>
      </c>
    </row>
    <row r="2264" spans="2:16">
      <c r="C2264">
        <v>3</v>
      </c>
      <c r="D2264">
        <v>8</v>
      </c>
      <c r="F2264" t="s">
        <v>11724</v>
      </c>
      <c r="H2264" t="s">
        <v>70</v>
      </c>
      <c r="I2264">
        <v>12344</v>
      </c>
      <c r="K2264" t="s">
        <v>13693</v>
      </c>
      <c r="L2264" t="s">
        <v>11758</v>
      </c>
      <c r="M2264">
        <v>2</v>
      </c>
      <c r="N2264">
        <v>2.0699999999999998</v>
      </c>
      <c r="O2264">
        <v>2.33</v>
      </c>
      <c r="P2264">
        <v>4.66</v>
      </c>
    </row>
    <row r="2265" spans="2:16">
      <c r="C2265">
        <v>3</v>
      </c>
      <c r="D2265">
        <v>8</v>
      </c>
      <c r="F2265" t="s">
        <v>11724</v>
      </c>
      <c r="H2265" t="s">
        <v>11722</v>
      </c>
      <c r="I2265" t="s">
        <v>13694</v>
      </c>
      <c r="K2265" t="s">
        <v>13695</v>
      </c>
      <c r="L2265" t="s">
        <v>11758</v>
      </c>
      <c r="M2265">
        <v>1</v>
      </c>
      <c r="N2265">
        <v>176.08</v>
      </c>
      <c r="O2265">
        <v>198.07</v>
      </c>
      <c r="P2265">
        <v>198.07</v>
      </c>
    </row>
    <row r="2266" spans="2:16">
      <c r="C2266">
        <v>3</v>
      </c>
      <c r="D2266">
        <v>8</v>
      </c>
      <c r="F2266" t="s">
        <v>11724</v>
      </c>
      <c r="H2266" t="s">
        <v>11722</v>
      </c>
      <c r="I2266" t="s">
        <v>13696</v>
      </c>
      <c r="K2266" t="s">
        <v>13602</v>
      </c>
      <c r="L2266" t="s">
        <v>13691</v>
      </c>
      <c r="M2266">
        <v>7</v>
      </c>
      <c r="N2266">
        <v>71.61</v>
      </c>
      <c r="O2266">
        <v>80.55</v>
      </c>
      <c r="P2266">
        <v>563.85</v>
      </c>
    </row>
    <row r="2267" spans="2:16">
      <c r="C2267">
        <v>3</v>
      </c>
      <c r="D2267">
        <v>8</v>
      </c>
      <c r="F2267" t="s">
        <v>11724</v>
      </c>
      <c r="H2267" t="s">
        <v>11722</v>
      </c>
      <c r="I2267" t="s">
        <v>13697</v>
      </c>
      <c r="K2267" t="s">
        <v>13604</v>
      </c>
      <c r="L2267" t="s">
        <v>13691</v>
      </c>
      <c r="M2267">
        <v>7</v>
      </c>
      <c r="N2267">
        <v>71.61</v>
      </c>
      <c r="O2267">
        <v>80.55</v>
      </c>
      <c r="P2267">
        <v>563.85</v>
      </c>
    </row>
    <row r="2268" spans="2:16">
      <c r="C2268">
        <v>3</v>
      </c>
      <c r="D2268">
        <v>8</v>
      </c>
      <c r="F2268" t="s">
        <v>11724</v>
      </c>
      <c r="H2268" t="s">
        <v>11722</v>
      </c>
      <c r="I2268" t="s">
        <v>13698</v>
      </c>
      <c r="K2268" t="s">
        <v>13699</v>
      </c>
      <c r="L2268" t="s">
        <v>13691</v>
      </c>
      <c r="M2268">
        <v>6</v>
      </c>
      <c r="N2268">
        <v>48.83</v>
      </c>
      <c r="O2268">
        <v>54.93</v>
      </c>
      <c r="P2268">
        <v>329.58</v>
      </c>
    </row>
    <row r="2269" spans="2:16">
      <c r="C2269">
        <v>3</v>
      </c>
      <c r="D2269">
        <v>8</v>
      </c>
      <c r="F2269" t="s">
        <v>11724</v>
      </c>
      <c r="H2269" t="s">
        <v>11722</v>
      </c>
      <c r="I2269" t="s">
        <v>13700</v>
      </c>
      <c r="K2269" t="s">
        <v>13701</v>
      </c>
      <c r="L2269" t="s">
        <v>11758</v>
      </c>
      <c r="M2269">
        <v>6</v>
      </c>
      <c r="N2269">
        <v>48.83</v>
      </c>
      <c r="O2269">
        <v>54.93</v>
      </c>
      <c r="P2269">
        <v>329.58</v>
      </c>
    </row>
    <row r="2270" spans="2:16">
      <c r="C2270">
        <v>3</v>
      </c>
      <c r="D2270">
        <v>8</v>
      </c>
      <c r="F2270" t="s">
        <v>11724</v>
      </c>
      <c r="H2270" t="s">
        <v>11722</v>
      </c>
      <c r="I2270" t="s">
        <v>13702</v>
      </c>
      <c r="K2270" t="s">
        <v>13703</v>
      </c>
      <c r="L2270" t="s">
        <v>13691</v>
      </c>
      <c r="M2270">
        <v>130</v>
      </c>
      <c r="N2270">
        <v>9.42</v>
      </c>
      <c r="O2270">
        <v>10.6</v>
      </c>
      <c r="P2270">
        <v>1378</v>
      </c>
    </row>
    <row r="2271" spans="2:16">
      <c r="C2271">
        <v>3</v>
      </c>
      <c r="D2271">
        <v>8</v>
      </c>
      <c r="F2271" t="s">
        <v>11724</v>
      </c>
      <c r="H2271" t="s">
        <v>11722</v>
      </c>
      <c r="I2271" t="s">
        <v>13704</v>
      </c>
      <c r="K2271" t="s">
        <v>13705</v>
      </c>
      <c r="L2271" t="s">
        <v>11758</v>
      </c>
      <c r="M2271">
        <v>10</v>
      </c>
      <c r="N2271">
        <v>9.42</v>
      </c>
      <c r="O2271">
        <v>10.6</v>
      </c>
      <c r="P2271">
        <v>106</v>
      </c>
    </row>
    <row r="2272" spans="2:16">
      <c r="C2272">
        <v>3</v>
      </c>
      <c r="D2272">
        <v>8</v>
      </c>
      <c r="F2272" t="s">
        <v>11724</v>
      </c>
      <c r="H2272" t="s">
        <v>11722</v>
      </c>
      <c r="I2272" t="s">
        <v>13706</v>
      </c>
      <c r="K2272" t="s">
        <v>13707</v>
      </c>
      <c r="L2272" t="s">
        <v>11758</v>
      </c>
      <c r="M2272">
        <v>16</v>
      </c>
      <c r="N2272">
        <v>9.42</v>
      </c>
      <c r="O2272">
        <v>10.6</v>
      </c>
      <c r="P2272">
        <v>169.6</v>
      </c>
    </row>
    <row r="2273" spans="3:16">
      <c r="C2273">
        <v>3</v>
      </c>
      <c r="D2273">
        <v>8</v>
      </c>
      <c r="F2273" t="s">
        <v>11724</v>
      </c>
      <c r="H2273" t="s">
        <v>11722</v>
      </c>
      <c r="I2273" t="s">
        <v>13708</v>
      </c>
      <c r="K2273" t="s">
        <v>13709</v>
      </c>
      <c r="L2273" t="s">
        <v>13691</v>
      </c>
      <c r="M2273">
        <v>3</v>
      </c>
      <c r="N2273">
        <v>107.55</v>
      </c>
      <c r="O2273">
        <v>120.98</v>
      </c>
      <c r="P2273">
        <v>362.94</v>
      </c>
    </row>
    <row r="2274" spans="3:16">
      <c r="C2274">
        <v>3</v>
      </c>
      <c r="D2274">
        <v>8</v>
      </c>
      <c r="F2274" t="s">
        <v>11724</v>
      </c>
      <c r="H2274" t="s">
        <v>11722</v>
      </c>
      <c r="I2274" t="s">
        <v>13710</v>
      </c>
      <c r="K2274" t="s">
        <v>13711</v>
      </c>
      <c r="L2274" t="s">
        <v>13691</v>
      </c>
      <c r="M2274">
        <v>1</v>
      </c>
      <c r="N2274">
        <v>266.64</v>
      </c>
      <c r="O2274">
        <v>299.94</v>
      </c>
      <c r="P2274">
        <v>299.94</v>
      </c>
    </row>
    <row r="2275" spans="3:16">
      <c r="C2275">
        <v>3</v>
      </c>
      <c r="D2275">
        <v>8</v>
      </c>
      <c r="F2275" t="s">
        <v>11724</v>
      </c>
      <c r="H2275" t="s">
        <v>70</v>
      </c>
      <c r="I2275">
        <v>39682</v>
      </c>
      <c r="K2275" t="s">
        <v>13712</v>
      </c>
      <c r="L2275" t="s">
        <v>13691</v>
      </c>
      <c r="M2275">
        <v>6</v>
      </c>
      <c r="N2275">
        <v>114.21</v>
      </c>
      <c r="O2275">
        <v>128.47</v>
      </c>
      <c r="P2275">
        <v>770.82</v>
      </c>
    </row>
    <row r="2276" spans="3:16">
      <c r="C2276">
        <v>3</v>
      </c>
      <c r="D2276">
        <v>8</v>
      </c>
      <c r="F2276" t="s">
        <v>11724</v>
      </c>
      <c r="H2276" t="s">
        <v>11722</v>
      </c>
      <c r="I2276" t="s">
        <v>13713</v>
      </c>
      <c r="K2276" t="s">
        <v>13714</v>
      </c>
      <c r="L2276" t="s">
        <v>13691</v>
      </c>
      <c r="M2276">
        <v>1</v>
      </c>
      <c r="N2276">
        <v>176.08</v>
      </c>
      <c r="O2276">
        <v>198.07</v>
      </c>
      <c r="P2276">
        <v>198.07</v>
      </c>
    </row>
    <row r="2277" spans="3:16">
      <c r="C2277">
        <v>3</v>
      </c>
      <c r="D2277">
        <v>8</v>
      </c>
      <c r="F2277" t="s">
        <v>11724</v>
      </c>
      <c r="H2277" t="s">
        <v>11722</v>
      </c>
      <c r="I2277" t="s">
        <v>13715</v>
      </c>
      <c r="K2277" t="s">
        <v>13716</v>
      </c>
      <c r="L2277" t="s">
        <v>11757</v>
      </c>
      <c r="M2277">
        <v>8</v>
      </c>
      <c r="N2277">
        <v>171.03</v>
      </c>
      <c r="O2277">
        <v>192.39</v>
      </c>
      <c r="P2277">
        <v>1539.12</v>
      </c>
    </row>
    <row r="2278" spans="3:16">
      <c r="C2278">
        <v>3</v>
      </c>
      <c r="D2278">
        <v>8</v>
      </c>
      <c r="F2278" t="s">
        <v>11724</v>
      </c>
      <c r="H2278" t="s">
        <v>11722</v>
      </c>
      <c r="I2278" t="s">
        <v>13717</v>
      </c>
      <c r="K2278" t="s">
        <v>13718</v>
      </c>
      <c r="L2278" t="s">
        <v>13691</v>
      </c>
      <c r="M2278">
        <v>8</v>
      </c>
      <c r="N2278">
        <v>11290.78</v>
      </c>
      <c r="O2278">
        <v>12701</v>
      </c>
      <c r="P2278">
        <v>101608</v>
      </c>
    </row>
    <row r="2279" spans="3:16">
      <c r="C2279">
        <v>3</v>
      </c>
      <c r="D2279">
        <v>8</v>
      </c>
      <c r="F2279" t="s">
        <v>11724</v>
      </c>
      <c r="H2279" t="s">
        <v>11722</v>
      </c>
      <c r="I2279" t="s">
        <v>13719</v>
      </c>
      <c r="K2279" t="s">
        <v>13720</v>
      </c>
      <c r="L2279" t="s">
        <v>11758</v>
      </c>
      <c r="M2279">
        <v>1</v>
      </c>
      <c r="N2279">
        <v>52.98</v>
      </c>
      <c r="O2279">
        <v>59.6</v>
      </c>
      <c r="P2279">
        <v>59.6</v>
      </c>
    </row>
    <row r="2280" spans="3:16">
      <c r="C2280">
        <v>3</v>
      </c>
      <c r="D2280">
        <v>8</v>
      </c>
      <c r="F2280" t="s">
        <v>11724</v>
      </c>
      <c r="H2280" t="s">
        <v>11722</v>
      </c>
      <c r="I2280" t="s">
        <v>13721</v>
      </c>
      <c r="K2280" t="s">
        <v>13722</v>
      </c>
      <c r="L2280" t="s">
        <v>11758</v>
      </c>
      <c r="M2280">
        <v>2</v>
      </c>
      <c r="N2280">
        <v>76.650000000000006</v>
      </c>
      <c r="O2280">
        <v>86.22</v>
      </c>
      <c r="P2280">
        <v>172.44</v>
      </c>
    </row>
    <row r="2281" spans="3:16">
      <c r="C2281">
        <v>3</v>
      </c>
      <c r="D2281">
        <v>8</v>
      </c>
      <c r="F2281" t="s">
        <v>11724</v>
      </c>
      <c r="H2281" t="s">
        <v>70</v>
      </c>
      <c r="I2281">
        <v>93672</v>
      </c>
      <c r="K2281" t="s">
        <v>13723</v>
      </c>
      <c r="L2281" t="s">
        <v>11758</v>
      </c>
      <c r="M2281">
        <v>1</v>
      </c>
      <c r="N2281">
        <v>70.73</v>
      </c>
      <c r="O2281">
        <v>79.56</v>
      </c>
      <c r="P2281">
        <v>79.56</v>
      </c>
    </row>
    <row r="2282" spans="3:16">
      <c r="C2282">
        <v>3</v>
      </c>
      <c r="D2282">
        <v>8</v>
      </c>
      <c r="F2282" t="s">
        <v>11724</v>
      </c>
      <c r="H2282" t="s">
        <v>70</v>
      </c>
      <c r="I2282">
        <v>93673</v>
      </c>
      <c r="K2282" t="s">
        <v>13724</v>
      </c>
      <c r="L2282" t="s">
        <v>11758</v>
      </c>
      <c r="M2282">
        <v>1</v>
      </c>
      <c r="N2282">
        <v>76.650000000000006</v>
      </c>
      <c r="O2282">
        <v>86.22</v>
      </c>
      <c r="P2282">
        <v>86.22</v>
      </c>
    </row>
    <row r="2283" spans="3:16">
      <c r="C2283">
        <v>3</v>
      </c>
      <c r="D2283">
        <v>8</v>
      </c>
      <c r="F2283" t="s">
        <v>11724</v>
      </c>
      <c r="H2283" t="s">
        <v>11722</v>
      </c>
      <c r="I2283" t="s">
        <v>13725</v>
      </c>
      <c r="K2283" t="s">
        <v>13726</v>
      </c>
      <c r="L2283" t="s">
        <v>11758</v>
      </c>
      <c r="M2283">
        <v>1</v>
      </c>
      <c r="N2283">
        <v>5798.88</v>
      </c>
      <c r="O2283">
        <v>6523.16</v>
      </c>
      <c r="P2283">
        <v>6523.16</v>
      </c>
    </row>
    <row r="2284" spans="3:16">
      <c r="C2284">
        <v>3</v>
      </c>
      <c r="D2284">
        <v>8</v>
      </c>
      <c r="F2284" t="s">
        <v>11724</v>
      </c>
      <c r="H2284" t="s">
        <v>11722</v>
      </c>
      <c r="I2284" t="s">
        <v>13727</v>
      </c>
      <c r="K2284" t="s">
        <v>13728</v>
      </c>
      <c r="L2284" t="s">
        <v>11758</v>
      </c>
      <c r="M2284">
        <v>8</v>
      </c>
      <c r="N2284">
        <v>27.2</v>
      </c>
      <c r="O2284">
        <v>30.6</v>
      </c>
      <c r="P2284">
        <v>244.8</v>
      </c>
    </row>
    <row r="2285" spans="3:16">
      <c r="C2285">
        <v>3</v>
      </c>
      <c r="D2285">
        <v>8</v>
      </c>
      <c r="F2285" t="s">
        <v>11724</v>
      </c>
      <c r="H2285" t="s">
        <v>70</v>
      </c>
      <c r="I2285">
        <v>38191</v>
      </c>
      <c r="K2285" t="s">
        <v>13729</v>
      </c>
      <c r="L2285" t="s">
        <v>11758</v>
      </c>
      <c r="M2285">
        <v>8</v>
      </c>
      <c r="N2285">
        <v>10.130000000000001</v>
      </c>
      <c r="O2285">
        <v>11.4</v>
      </c>
      <c r="P2285">
        <v>91.2</v>
      </c>
    </row>
    <row r="2286" spans="3:16">
      <c r="C2286">
        <v>3</v>
      </c>
      <c r="D2286">
        <v>8</v>
      </c>
      <c r="F2286" t="s">
        <v>11724</v>
      </c>
      <c r="H2286" t="s">
        <v>11722</v>
      </c>
      <c r="I2286" t="s">
        <v>13730</v>
      </c>
      <c r="K2286" t="s">
        <v>13731</v>
      </c>
      <c r="L2286" t="s">
        <v>11758</v>
      </c>
      <c r="M2286">
        <v>6</v>
      </c>
      <c r="N2286">
        <v>334</v>
      </c>
      <c r="O2286">
        <v>375.72</v>
      </c>
      <c r="P2286">
        <v>2254.3200000000002</v>
      </c>
    </row>
    <row r="2287" spans="3:16">
      <c r="C2287">
        <v>3</v>
      </c>
      <c r="D2287">
        <v>8</v>
      </c>
      <c r="F2287" t="s">
        <v>11724</v>
      </c>
      <c r="H2287" t="s">
        <v>70</v>
      </c>
      <c r="I2287">
        <v>3298</v>
      </c>
      <c r="K2287" t="s">
        <v>13732</v>
      </c>
      <c r="L2287" t="s">
        <v>11758</v>
      </c>
      <c r="M2287">
        <v>6</v>
      </c>
      <c r="N2287">
        <v>28.05</v>
      </c>
      <c r="O2287">
        <v>31.55</v>
      </c>
      <c r="P2287">
        <v>189.3</v>
      </c>
    </row>
    <row r="2288" spans="3:16">
      <c r="C2288">
        <v>3</v>
      </c>
      <c r="D2288">
        <v>8</v>
      </c>
      <c r="F2288" t="s">
        <v>11724</v>
      </c>
      <c r="H2288" t="s">
        <v>70</v>
      </c>
      <c r="I2288">
        <v>12359</v>
      </c>
      <c r="K2288" t="s">
        <v>13574</v>
      </c>
      <c r="L2288" t="s">
        <v>11758</v>
      </c>
      <c r="M2288">
        <v>1</v>
      </c>
      <c r="N2288">
        <v>67.209999999999994</v>
      </c>
      <c r="O2288">
        <v>75.599999999999994</v>
      </c>
      <c r="P2288">
        <v>75.599999999999994</v>
      </c>
    </row>
    <row r="2289" spans="3:16">
      <c r="C2289">
        <v>3</v>
      </c>
      <c r="D2289">
        <v>8</v>
      </c>
      <c r="F2289" t="s">
        <v>11724</v>
      </c>
      <c r="H2289" t="s">
        <v>11722</v>
      </c>
      <c r="I2289" t="s">
        <v>13733</v>
      </c>
      <c r="K2289" t="s">
        <v>13734</v>
      </c>
      <c r="L2289" t="s">
        <v>11758</v>
      </c>
      <c r="M2289">
        <v>1</v>
      </c>
      <c r="N2289">
        <v>12795.81</v>
      </c>
      <c r="O2289">
        <v>14394.01</v>
      </c>
      <c r="P2289">
        <v>14394.01</v>
      </c>
    </row>
    <row r="2290" spans="3:16">
      <c r="C2290">
        <v>3</v>
      </c>
      <c r="D2290">
        <v>8</v>
      </c>
      <c r="F2290" t="s">
        <v>11724</v>
      </c>
      <c r="H2290" t="s">
        <v>11722</v>
      </c>
      <c r="I2290" t="s">
        <v>13735</v>
      </c>
      <c r="K2290" t="s">
        <v>13736</v>
      </c>
      <c r="L2290" t="s">
        <v>11758</v>
      </c>
      <c r="M2290">
        <v>1</v>
      </c>
      <c r="N2290">
        <v>1065.24</v>
      </c>
      <c r="O2290">
        <v>1198.29</v>
      </c>
      <c r="P2290">
        <v>1198.29</v>
      </c>
    </row>
    <row r="2291" spans="3:16">
      <c r="C2291">
        <v>3</v>
      </c>
      <c r="D2291">
        <v>8</v>
      </c>
      <c r="F2291" t="s">
        <v>11724</v>
      </c>
      <c r="H2291" t="s">
        <v>11722</v>
      </c>
      <c r="I2291" t="s">
        <v>13737</v>
      </c>
      <c r="K2291" t="s">
        <v>13738</v>
      </c>
      <c r="L2291" t="s">
        <v>11758</v>
      </c>
      <c r="M2291">
        <v>1</v>
      </c>
      <c r="N2291">
        <v>107.55</v>
      </c>
      <c r="O2291">
        <v>120.98</v>
      </c>
      <c r="P2291">
        <v>120.98</v>
      </c>
    </row>
    <row r="2292" spans="3:16">
      <c r="C2292">
        <v>3</v>
      </c>
      <c r="D2292">
        <v>8</v>
      </c>
      <c r="F2292" t="s">
        <v>11724</v>
      </c>
      <c r="H2292" t="s">
        <v>11722</v>
      </c>
      <c r="I2292" t="s">
        <v>13739</v>
      </c>
      <c r="K2292" t="s">
        <v>13740</v>
      </c>
      <c r="L2292" t="s">
        <v>11758</v>
      </c>
      <c r="M2292">
        <v>1</v>
      </c>
      <c r="N2292">
        <v>413.09</v>
      </c>
      <c r="O2292">
        <v>464.68</v>
      </c>
      <c r="P2292">
        <v>464.68</v>
      </c>
    </row>
    <row r="2293" spans="3:16">
      <c r="C2293">
        <v>3</v>
      </c>
      <c r="D2293">
        <v>8</v>
      </c>
      <c r="F2293" t="s">
        <v>11724</v>
      </c>
      <c r="H2293" t="s">
        <v>11722</v>
      </c>
      <c r="I2293" t="s">
        <v>13741</v>
      </c>
      <c r="K2293" t="s">
        <v>13742</v>
      </c>
      <c r="L2293" t="s">
        <v>11758</v>
      </c>
      <c r="M2293">
        <v>1</v>
      </c>
      <c r="N2293">
        <v>963.33</v>
      </c>
      <c r="O2293">
        <v>1083.6500000000001</v>
      </c>
      <c r="P2293">
        <v>1083.6500000000001</v>
      </c>
    </row>
    <row r="2294" spans="3:16">
      <c r="C2294">
        <v>3</v>
      </c>
      <c r="D2294">
        <v>8</v>
      </c>
      <c r="F2294" t="s">
        <v>11724</v>
      </c>
      <c r="H2294" t="s">
        <v>11722</v>
      </c>
      <c r="I2294" t="s">
        <v>13743</v>
      </c>
      <c r="K2294" t="s">
        <v>13744</v>
      </c>
      <c r="L2294" t="s">
        <v>11758</v>
      </c>
      <c r="M2294">
        <v>6</v>
      </c>
      <c r="N2294">
        <v>12</v>
      </c>
      <c r="O2294">
        <v>13.5</v>
      </c>
      <c r="P2294">
        <v>81</v>
      </c>
    </row>
    <row r="2295" spans="3:16">
      <c r="C2295">
        <v>3</v>
      </c>
      <c r="D2295">
        <v>8</v>
      </c>
      <c r="F2295" t="s">
        <v>11724</v>
      </c>
      <c r="H2295" t="s">
        <v>11722</v>
      </c>
      <c r="I2295" t="s">
        <v>13745</v>
      </c>
      <c r="K2295" t="s">
        <v>13590</v>
      </c>
      <c r="L2295" t="s">
        <v>11758</v>
      </c>
      <c r="M2295">
        <v>6</v>
      </c>
      <c r="N2295">
        <v>438.66</v>
      </c>
      <c r="O2295">
        <v>493.45</v>
      </c>
      <c r="P2295">
        <v>2960.7</v>
      </c>
    </row>
    <row r="2296" spans="3:16">
      <c r="C2296">
        <v>3</v>
      </c>
      <c r="D2296">
        <v>8</v>
      </c>
      <c r="F2296" t="s">
        <v>11724</v>
      </c>
      <c r="H2296" t="s">
        <v>70</v>
      </c>
      <c r="I2296">
        <v>39692</v>
      </c>
      <c r="K2296" t="s">
        <v>13746</v>
      </c>
      <c r="L2296" t="s">
        <v>11758</v>
      </c>
      <c r="M2296">
        <v>18</v>
      </c>
      <c r="N2296">
        <v>200.24</v>
      </c>
      <c r="O2296">
        <v>225.25</v>
      </c>
      <c r="P2296">
        <v>4054.5</v>
      </c>
    </row>
    <row r="2297" spans="3:16">
      <c r="C2297">
        <v>3</v>
      </c>
      <c r="D2297">
        <v>8</v>
      </c>
      <c r="F2297" t="s">
        <v>11724</v>
      </c>
      <c r="H2297" t="s">
        <v>70</v>
      </c>
      <c r="I2297" t="s">
        <v>16819</v>
      </c>
      <c r="K2297" t="s">
        <v>13747</v>
      </c>
      <c r="L2297" t="s">
        <v>11758</v>
      </c>
      <c r="M2297">
        <v>6</v>
      </c>
      <c r="N2297">
        <v>109.16</v>
      </c>
      <c r="O2297">
        <v>122.79</v>
      </c>
      <c r="P2297">
        <v>736.74</v>
      </c>
    </row>
    <row r="2298" spans="3:16">
      <c r="C2298">
        <v>3</v>
      </c>
      <c r="D2298">
        <v>8</v>
      </c>
      <c r="F2298" t="s">
        <v>11724</v>
      </c>
      <c r="H2298" t="s">
        <v>11722</v>
      </c>
      <c r="I2298" t="s">
        <v>13748</v>
      </c>
      <c r="K2298" t="s">
        <v>13749</v>
      </c>
      <c r="L2298" t="s">
        <v>11758</v>
      </c>
      <c r="M2298">
        <v>1</v>
      </c>
      <c r="N2298">
        <v>643.04999999999995</v>
      </c>
      <c r="O2298">
        <v>723.37</v>
      </c>
      <c r="P2298">
        <v>723.37</v>
      </c>
    </row>
    <row r="2299" spans="3:16">
      <c r="C2299">
        <v>3</v>
      </c>
      <c r="D2299">
        <v>8</v>
      </c>
      <c r="F2299" t="s">
        <v>11724</v>
      </c>
      <c r="H2299" t="s">
        <v>11722</v>
      </c>
      <c r="I2299" t="s">
        <v>13750</v>
      </c>
      <c r="K2299" t="s">
        <v>13751</v>
      </c>
      <c r="L2299" t="s">
        <v>11758</v>
      </c>
      <c r="M2299">
        <v>1</v>
      </c>
      <c r="N2299">
        <v>12</v>
      </c>
      <c r="O2299">
        <v>13.5</v>
      </c>
      <c r="P2299">
        <v>13.5</v>
      </c>
    </row>
    <row r="2300" spans="3:16">
      <c r="C2300">
        <v>3</v>
      </c>
      <c r="D2300">
        <v>8</v>
      </c>
      <c r="F2300" t="s">
        <v>11724</v>
      </c>
      <c r="H2300" t="s">
        <v>11722</v>
      </c>
      <c r="I2300" t="s">
        <v>13752</v>
      </c>
      <c r="K2300" t="s">
        <v>13753</v>
      </c>
      <c r="L2300" t="s">
        <v>11757</v>
      </c>
      <c r="M2300">
        <v>8</v>
      </c>
      <c r="N2300">
        <v>978.31</v>
      </c>
      <c r="O2300">
        <v>1100.5</v>
      </c>
      <c r="P2300">
        <v>8804</v>
      </c>
    </row>
    <row r="2301" spans="3:16">
      <c r="C2301">
        <v>3</v>
      </c>
      <c r="D2301">
        <v>8</v>
      </c>
      <c r="F2301" t="s">
        <v>11724</v>
      </c>
      <c r="H2301" t="s">
        <v>11722</v>
      </c>
      <c r="I2301" t="s">
        <v>13754</v>
      </c>
      <c r="K2301" t="s">
        <v>13755</v>
      </c>
      <c r="L2301" t="s">
        <v>11757</v>
      </c>
      <c r="M2301">
        <v>8</v>
      </c>
      <c r="N2301">
        <v>636.99</v>
      </c>
      <c r="O2301">
        <v>716.55</v>
      </c>
      <c r="P2301">
        <v>5732.4</v>
      </c>
    </row>
    <row r="2302" spans="3:16">
      <c r="C2302">
        <v>3</v>
      </c>
      <c r="D2302">
        <v>8</v>
      </c>
      <c r="F2302" t="s">
        <v>11724</v>
      </c>
      <c r="H2302" t="s">
        <v>11722</v>
      </c>
      <c r="I2302" t="s">
        <v>13756</v>
      </c>
      <c r="K2302" t="s">
        <v>13757</v>
      </c>
      <c r="L2302" t="s">
        <v>11758</v>
      </c>
      <c r="M2302">
        <v>8</v>
      </c>
      <c r="N2302">
        <v>171.03</v>
      </c>
      <c r="O2302">
        <v>192.39</v>
      </c>
      <c r="P2302">
        <v>1539.12</v>
      </c>
    </row>
    <row r="2303" spans="3:16">
      <c r="C2303">
        <v>3</v>
      </c>
      <c r="D2303">
        <v>8</v>
      </c>
      <c r="F2303" t="s">
        <v>11724</v>
      </c>
      <c r="H2303" t="s">
        <v>11722</v>
      </c>
      <c r="I2303" t="s">
        <v>13758</v>
      </c>
      <c r="K2303" t="s">
        <v>13759</v>
      </c>
      <c r="L2303" t="s">
        <v>11758</v>
      </c>
      <c r="M2303">
        <v>3</v>
      </c>
      <c r="N2303">
        <v>34.51</v>
      </c>
      <c r="O2303">
        <v>38.82</v>
      </c>
      <c r="P2303">
        <v>116.46</v>
      </c>
    </row>
    <row r="2304" spans="3:16">
      <c r="C2304">
        <v>3</v>
      </c>
      <c r="D2304">
        <v>8</v>
      </c>
      <c r="F2304" t="s">
        <v>11724</v>
      </c>
    </row>
    <row r="2305" spans="2:16">
      <c r="B2305">
        <v>1</v>
      </c>
      <c r="C2305">
        <v>3</v>
      </c>
      <c r="D2305">
        <v>9</v>
      </c>
      <c r="F2305" t="s">
        <v>11724</v>
      </c>
      <c r="H2305" t="s">
        <v>20901</v>
      </c>
      <c r="I2305" t="s">
        <v>13876</v>
      </c>
      <c r="L2305" t="s">
        <v>25</v>
      </c>
      <c r="M2305" t="s">
        <v>11704</v>
      </c>
      <c r="N2305" t="s">
        <v>11705</v>
      </c>
      <c r="O2305" t="s">
        <v>11706</v>
      </c>
      <c r="P2305">
        <v>43863</v>
      </c>
    </row>
    <row r="2306" spans="2:16">
      <c r="C2306">
        <v>3</v>
      </c>
      <c r="D2306">
        <v>9</v>
      </c>
      <c r="F2306" t="s">
        <v>11724</v>
      </c>
    </row>
    <row r="2307" spans="2:16">
      <c r="C2307">
        <v>3</v>
      </c>
      <c r="D2307">
        <v>9</v>
      </c>
      <c r="F2307" t="s">
        <v>11724</v>
      </c>
      <c r="H2307" t="s">
        <v>70</v>
      </c>
      <c r="I2307">
        <v>12344</v>
      </c>
      <c r="K2307" t="s">
        <v>13760</v>
      </c>
      <c r="L2307" t="s">
        <v>11758</v>
      </c>
      <c r="M2307">
        <v>2</v>
      </c>
      <c r="N2307">
        <v>2.0699999999999998</v>
      </c>
      <c r="O2307">
        <v>2.33</v>
      </c>
      <c r="P2307">
        <v>4.66</v>
      </c>
    </row>
    <row r="2308" spans="2:16">
      <c r="C2308">
        <v>3</v>
      </c>
      <c r="D2308">
        <v>9</v>
      </c>
      <c r="F2308" t="s">
        <v>11724</v>
      </c>
      <c r="H2308" t="s">
        <v>70</v>
      </c>
      <c r="I2308">
        <v>12344</v>
      </c>
      <c r="K2308" t="s">
        <v>13761</v>
      </c>
      <c r="L2308" t="s">
        <v>11758</v>
      </c>
      <c r="M2308">
        <v>3</v>
      </c>
      <c r="N2308">
        <v>2.0699999999999998</v>
      </c>
      <c r="O2308">
        <v>2.33</v>
      </c>
      <c r="P2308">
        <v>6.99</v>
      </c>
    </row>
    <row r="2309" spans="2:16">
      <c r="C2309">
        <v>3</v>
      </c>
      <c r="D2309">
        <v>9</v>
      </c>
      <c r="F2309" t="s">
        <v>11724</v>
      </c>
      <c r="H2309" t="s">
        <v>11722</v>
      </c>
      <c r="I2309" t="s">
        <v>13762</v>
      </c>
      <c r="K2309" t="s">
        <v>13695</v>
      </c>
      <c r="L2309" t="s">
        <v>11758</v>
      </c>
      <c r="M2309">
        <v>1</v>
      </c>
      <c r="N2309">
        <v>176.08</v>
      </c>
      <c r="O2309">
        <v>198.07</v>
      </c>
      <c r="P2309">
        <v>198.07</v>
      </c>
    </row>
    <row r="2310" spans="2:16">
      <c r="C2310">
        <v>3</v>
      </c>
      <c r="D2310">
        <v>9</v>
      </c>
      <c r="F2310" t="s">
        <v>11724</v>
      </c>
      <c r="H2310" t="s">
        <v>11722</v>
      </c>
      <c r="I2310" t="s">
        <v>13763</v>
      </c>
      <c r="K2310" t="s">
        <v>13602</v>
      </c>
      <c r="L2310" t="s">
        <v>11758</v>
      </c>
      <c r="M2310">
        <v>6</v>
      </c>
      <c r="N2310">
        <v>71.61</v>
      </c>
      <c r="O2310">
        <v>80.55</v>
      </c>
      <c r="P2310">
        <v>483.3</v>
      </c>
    </row>
    <row r="2311" spans="2:16">
      <c r="C2311">
        <v>3</v>
      </c>
      <c r="D2311">
        <v>9</v>
      </c>
      <c r="F2311" t="s">
        <v>11724</v>
      </c>
      <c r="H2311" t="s">
        <v>11722</v>
      </c>
      <c r="I2311" t="s">
        <v>13764</v>
      </c>
      <c r="K2311" t="s">
        <v>13604</v>
      </c>
      <c r="L2311" t="s">
        <v>11758</v>
      </c>
      <c r="M2311">
        <v>6</v>
      </c>
      <c r="N2311">
        <v>71.61</v>
      </c>
      <c r="O2311">
        <v>80.55</v>
      </c>
      <c r="P2311">
        <v>483.3</v>
      </c>
    </row>
    <row r="2312" spans="2:16">
      <c r="C2312">
        <v>3</v>
      </c>
      <c r="D2312">
        <v>9</v>
      </c>
      <c r="F2312" t="s">
        <v>11724</v>
      </c>
      <c r="H2312" t="s">
        <v>11722</v>
      </c>
      <c r="I2312" t="s">
        <v>13765</v>
      </c>
      <c r="K2312" t="s">
        <v>13699</v>
      </c>
      <c r="L2312" t="s">
        <v>11758</v>
      </c>
      <c r="M2312">
        <v>6</v>
      </c>
      <c r="N2312">
        <v>48.83</v>
      </c>
      <c r="O2312">
        <v>54.93</v>
      </c>
      <c r="P2312">
        <v>329.58</v>
      </c>
    </row>
    <row r="2313" spans="2:16">
      <c r="C2313">
        <v>3</v>
      </c>
      <c r="D2313">
        <v>9</v>
      </c>
      <c r="F2313" t="s">
        <v>11724</v>
      </c>
      <c r="H2313" t="s">
        <v>11722</v>
      </c>
      <c r="I2313" t="s">
        <v>13766</v>
      </c>
      <c r="K2313" t="s">
        <v>13767</v>
      </c>
      <c r="L2313" t="s">
        <v>11758</v>
      </c>
      <c r="M2313">
        <v>6</v>
      </c>
      <c r="N2313">
        <v>48.83</v>
      </c>
      <c r="O2313">
        <v>54.93</v>
      </c>
      <c r="P2313">
        <v>329.58</v>
      </c>
    </row>
    <row r="2314" spans="2:16">
      <c r="C2314">
        <v>3</v>
      </c>
      <c r="D2314">
        <v>9</v>
      </c>
      <c r="F2314" t="s">
        <v>11724</v>
      </c>
      <c r="H2314" t="s">
        <v>11722</v>
      </c>
      <c r="I2314" t="s">
        <v>13768</v>
      </c>
      <c r="K2314" t="s">
        <v>13703</v>
      </c>
      <c r="L2314" t="s">
        <v>11758</v>
      </c>
      <c r="M2314">
        <v>100</v>
      </c>
      <c r="N2314">
        <v>9.42</v>
      </c>
      <c r="O2314">
        <v>10.6</v>
      </c>
      <c r="P2314">
        <v>1060</v>
      </c>
    </row>
    <row r="2315" spans="2:16">
      <c r="C2315">
        <v>3</v>
      </c>
      <c r="D2315">
        <v>9</v>
      </c>
      <c r="F2315" t="s">
        <v>11724</v>
      </c>
      <c r="H2315" t="s">
        <v>11722</v>
      </c>
      <c r="I2315" t="s">
        <v>13769</v>
      </c>
      <c r="K2315" t="s">
        <v>13705</v>
      </c>
      <c r="L2315" t="s">
        <v>11758</v>
      </c>
      <c r="M2315">
        <v>20</v>
      </c>
      <c r="N2315">
        <v>9.42</v>
      </c>
      <c r="O2315">
        <v>10.6</v>
      </c>
      <c r="P2315">
        <v>212</v>
      </c>
    </row>
    <row r="2316" spans="2:16">
      <c r="C2316">
        <v>3</v>
      </c>
      <c r="D2316">
        <v>9</v>
      </c>
      <c r="F2316" t="s">
        <v>11724</v>
      </c>
      <c r="H2316" t="s">
        <v>11722</v>
      </c>
      <c r="I2316" t="s">
        <v>13770</v>
      </c>
      <c r="K2316" t="s">
        <v>13707</v>
      </c>
      <c r="L2316" t="s">
        <v>11758</v>
      </c>
      <c r="M2316">
        <v>16</v>
      </c>
      <c r="N2316">
        <v>9.42</v>
      </c>
      <c r="O2316">
        <v>10.6</v>
      </c>
      <c r="P2316">
        <v>169.6</v>
      </c>
    </row>
    <row r="2317" spans="2:16">
      <c r="C2317">
        <v>3</v>
      </c>
      <c r="D2317">
        <v>9</v>
      </c>
      <c r="F2317" t="s">
        <v>11724</v>
      </c>
      <c r="H2317" t="s">
        <v>11722</v>
      </c>
      <c r="I2317" t="s">
        <v>13771</v>
      </c>
      <c r="K2317" t="s">
        <v>13709</v>
      </c>
      <c r="L2317" t="s">
        <v>11758</v>
      </c>
      <c r="M2317">
        <v>3</v>
      </c>
      <c r="N2317">
        <v>107.55</v>
      </c>
      <c r="O2317">
        <v>120.98</v>
      </c>
      <c r="P2317">
        <v>362.94</v>
      </c>
    </row>
    <row r="2318" spans="2:16">
      <c r="C2318">
        <v>3</v>
      </c>
      <c r="D2318">
        <v>9</v>
      </c>
      <c r="F2318" t="s">
        <v>11724</v>
      </c>
      <c r="H2318" t="s">
        <v>11722</v>
      </c>
      <c r="I2318" t="s">
        <v>13772</v>
      </c>
      <c r="K2318" t="s">
        <v>13711</v>
      </c>
      <c r="L2318" t="s">
        <v>11758</v>
      </c>
      <c r="M2318">
        <v>1</v>
      </c>
      <c r="N2318">
        <v>266.64</v>
      </c>
      <c r="O2318">
        <v>299.94</v>
      </c>
      <c r="P2318">
        <v>299.94</v>
      </c>
    </row>
    <row r="2319" spans="2:16">
      <c r="C2319">
        <v>3</v>
      </c>
      <c r="D2319">
        <v>9</v>
      </c>
      <c r="F2319" t="s">
        <v>11724</v>
      </c>
      <c r="H2319" t="s">
        <v>11722</v>
      </c>
      <c r="I2319" t="s">
        <v>13773</v>
      </c>
      <c r="K2319" t="s">
        <v>13714</v>
      </c>
      <c r="L2319" t="s">
        <v>11758</v>
      </c>
      <c r="M2319">
        <v>1</v>
      </c>
      <c r="N2319">
        <v>176.08</v>
      </c>
      <c r="O2319">
        <v>198.07</v>
      </c>
      <c r="P2319">
        <v>198.07</v>
      </c>
    </row>
    <row r="2320" spans="2:16">
      <c r="C2320">
        <v>3</v>
      </c>
      <c r="D2320">
        <v>9</v>
      </c>
      <c r="F2320" t="s">
        <v>11724</v>
      </c>
      <c r="H2320" t="s">
        <v>11722</v>
      </c>
      <c r="I2320" t="s">
        <v>13774</v>
      </c>
      <c r="K2320" t="s">
        <v>13716</v>
      </c>
      <c r="L2320" t="s">
        <v>11757</v>
      </c>
      <c r="M2320">
        <v>2</v>
      </c>
      <c r="N2320">
        <v>171.03</v>
      </c>
      <c r="O2320">
        <v>192.39</v>
      </c>
      <c r="P2320">
        <v>384.78</v>
      </c>
    </row>
    <row r="2321" spans="3:16">
      <c r="C2321">
        <v>3</v>
      </c>
      <c r="D2321">
        <v>9</v>
      </c>
      <c r="F2321" t="s">
        <v>11724</v>
      </c>
      <c r="H2321" t="s">
        <v>11722</v>
      </c>
      <c r="I2321" t="s">
        <v>13775</v>
      </c>
      <c r="K2321" t="s">
        <v>13718</v>
      </c>
      <c r="L2321" t="s">
        <v>11758</v>
      </c>
      <c r="M2321">
        <v>2</v>
      </c>
      <c r="N2321">
        <v>11290.78</v>
      </c>
      <c r="O2321">
        <v>12701</v>
      </c>
      <c r="P2321">
        <v>25402</v>
      </c>
    </row>
    <row r="2322" spans="3:16">
      <c r="C2322">
        <v>3</v>
      </c>
      <c r="D2322">
        <v>9</v>
      </c>
      <c r="F2322" t="s">
        <v>11724</v>
      </c>
      <c r="H2322" t="s">
        <v>11722</v>
      </c>
      <c r="I2322" t="s">
        <v>13776</v>
      </c>
      <c r="K2322" t="s">
        <v>13777</v>
      </c>
      <c r="L2322" t="s">
        <v>11758</v>
      </c>
      <c r="M2322">
        <v>1</v>
      </c>
      <c r="N2322">
        <v>52.98</v>
      </c>
      <c r="O2322">
        <v>59.6</v>
      </c>
      <c r="P2322">
        <v>59.6</v>
      </c>
    </row>
    <row r="2323" spans="3:16">
      <c r="C2323">
        <v>3</v>
      </c>
      <c r="D2323">
        <v>9</v>
      </c>
      <c r="F2323" t="s">
        <v>11724</v>
      </c>
      <c r="H2323" t="s">
        <v>70</v>
      </c>
      <c r="I2323">
        <v>93655</v>
      </c>
      <c r="K2323" t="s">
        <v>13778</v>
      </c>
      <c r="L2323" t="s">
        <v>11758</v>
      </c>
      <c r="M2323">
        <v>1</v>
      </c>
      <c r="N2323">
        <v>10.6</v>
      </c>
      <c r="O2323">
        <v>11.92</v>
      </c>
      <c r="P2323">
        <v>11.92</v>
      </c>
    </row>
    <row r="2324" spans="3:16">
      <c r="C2324">
        <v>3</v>
      </c>
      <c r="D2324">
        <v>9</v>
      </c>
      <c r="F2324" t="s">
        <v>11724</v>
      </c>
      <c r="H2324" t="s">
        <v>70</v>
      </c>
      <c r="I2324">
        <v>93669</v>
      </c>
      <c r="K2324" t="s">
        <v>13779</v>
      </c>
      <c r="L2324" t="s">
        <v>11758</v>
      </c>
      <c r="M2324">
        <v>1</v>
      </c>
      <c r="N2324">
        <v>63.19</v>
      </c>
      <c r="O2324">
        <v>71.08</v>
      </c>
      <c r="P2324">
        <v>71.08</v>
      </c>
    </row>
    <row r="2325" spans="3:16">
      <c r="C2325">
        <v>3</v>
      </c>
      <c r="D2325">
        <v>9</v>
      </c>
      <c r="F2325" t="s">
        <v>11724</v>
      </c>
      <c r="H2325" t="s">
        <v>70</v>
      </c>
      <c r="I2325" t="s">
        <v>16821</v>
      </c>
      <c r="K2325" t="s">
        <v>13780</v>
      </c>
      <c r="L2325" t="s">
        <v>11758</v>
      </c>
      <c r="M2325">
        <v>1</v>
      </c>
      <c r="N2325">
        <v>312.37</v>
      </c>
      <c r="O2325">
        <v>351.39</v>
      </c>
      <c r="P2325">
        <v>351.39</v>
      </c>
    </row>
    <row r="2326" spans="3:16">
      <c r="C2326">
        <v>3</v>
      </c>
      <c r="D2326">
        <v>9</v>
      </c>
      <c r="F2326" t="s">
        <v>11724</v>
      </c>
      <c r="H2326" t="s">
        <v>11722</v>
      </c>
      <c r="I2326" t="s">
        <v>13781</v>
      </c>
      <c r="K2326" t="s">
        <v>13728</v>
      </c>
      <c r="L2326" t="s">
        <v>11758</v>
      </c>
      <c r="M2326">
        <v>2</v>
      </c>
      <c r="N2326">
        <v>27.2</v>
      </c>
      <c r="O2326">
        <v>30.6</v>
      </c>
      <c r="P2326">
        <v>61.2</v>
      </c>
    </row>
    <row r="2327" spans="3:16">
      <c r="C2327">
        <v>3</v>
      </c>
      <c r="D2327">
        <v>9</v>
      </c>
      <c r="F2327" t="s">
        <v>11724</v>
      </c>
      <c r="H2327" t="s">
        <v>70</v>
      </c>
      <c r="I2327">
        <v>83468</v>
      </c>
      <c r="K2327" t="s">
        <v>13729</v>
      </c>
      <c r="L2327" t="s">
        <v>11758</v>
      </c>
      <c r="M2327">
        <v>2</v>
      </c>
      <c r="N2327">
        <v>6.68</v>
      </c>
      <c r="O2327">
        <v>7.51</v>
      </c>
      <c r="P2327">
        <v>15.02</v>
      </c>
    </row>
    <row r="2328" spans="3:16">
      <c r="C2328">
        <v>3</v>
      </c>
      <c r="D2328">
        <v>9</v>
      </c>
      <c r="F2328" t="s">
        <v>11724</v>
      </c>
      <c r="H2328" t="s">
        <v>11722</v>
      </c>
      <c r="I2328" t="s">
        <v>13782</v>
      </c>
      <c r="K2328" t="s">
        <v>13783</v>
      </c>
      <c r="L2328" t="s">
        <v>11758</v>
      </c>
      <c r="M2328">
        <v>2</v>
      </c>
      <c r="N2328">
        <v>334</v>
      </c>
      <c r="O2328">
        <v>375.72</v>
      </c>
      <c r="P2328">
        <v>751.44</v>
      </c>
    </row>
    <row r="2329" spans="3:16">
      <c r="C2329">
        <v>3</v>
      </c>
      <c r="D2329">
        <v>9</v>
      </c>
      <c r="F2329" t="s">
        <v>11724</v>
      </c>
      <c r="H2329" t="s">
        <v>70</v>
      </c>
      <c r="I2329">
        <v>3297</v>
      </c>
      <c r="K2329" t="s">
        <v>13784</v>
      </c>
      <c r="L2329" t="s">
        <v>11758</v>
      </c>
      <c r="M2329">
        <v>6</v>
      </c>
      <c r="N2329">
        <v>12.55</v>
      </c>
      <c r="O2329">
        <v>14.12</v>
      </c>
      <c r="P2329">
        <v>84.72</v>
      </c>
    </row>
    <row r="2330" spans="3:16">
      <c r="C2330">
        <v>3</v>
      </c>
      <c r="D2330">
        <v>9</v>
      </c>
      <c r="F2330" t="s">
        <v>11724</v>
      </c>
      <c r="H2330" t="s">
        <v>70</v>
      </c>
      <c r="I2330">
        <v>12359</v>
      </c>
      <c r="K2330" t="s">
        <v>13574</v>
      </c>
      <c r="L2330" t="s">
        <v>11758</v>
      </c>
      <c r="M2330">
        <v>1</v>
      </c>
      <c r="N2330">
        <v>67.209999999999994</v>
      </c>
      <c r="O2330">
        <v>75.599999999999994</v>
      </c>
      <c r="P2330">
        <v>75.599999999999994</v>
      </c>
    </row>
    <row r="2331" spans="3:16">
      <c r="C2331">
        <v>3</v>
      </c>
      <c r="D2331">
        <v>9</v>
      </c>
      <c r="F2331" t="s">
        <v>11724</v>
      </c>
      <c r="H2331" t="s">
        <v>11722</v>
      </c>
      <c r="I2331" t="s">
        <v>13785</v>
      </c>
      <c r="K2331" t="s">
        <v>13590</v>
      </c>
      <c r="L2331" t="s">
        <v>11758</v>
      </c>
      <c r="M2331">
        <v>6</v>
      </c>
      <c r="N2331">
        <v>438.66</v>
      </c>
      <c r="O2331">
        <v>493.45</v>
      </c>
      <c r="P2331">
        <v>2960.7</v>
      </c>
    </row>
    <row r="2332" spans="3:16">
      <c r="C2332">
        <v>3</v>
      </c>
      <c r="D2332">
        <v>9</v>
      </c>
      <c r="F2332" t="s">
        <v>11724</v>
      </c>
      <c r="H2332" t="s">
        <v>11722</v>
      </c>
      <c r="I2332" t="s">
        <v>13786</v>
      </c>
      <c r="K2332" t="s">
        <v>13787</v>
      </c>
      <c r="L2332" t="s">
        <v>11758</v>
      </c>
      <c r="M2332">
        <v>4</v>
      </c>
      <c r="N2332">
        <v>471.91</v>
      </c>
      <c r="O2332">
        <v>530.85</v>
      </c>
      <c r="P2332">
        <v>2123.4</v>
      </c>
    </row>
    <row r="2333" spans="3:16">
      <c r="C2333">
        <v>3</v>
      </c>
      <c r="D2333">
        <v>9</v>
      </c>
      <c r="F2333" t="s">
        <v>11724</v>
      </c>
      <c r="H2333" t="s">
        <v>11722</v>
      </c>
      <c r="I2333" t="s">
        <v>13788</v>
      </c>
      <c r="K2333" t="s">
        <v>13789</v>
      </c>
      <c r="L2333" t="s">
        <v>11758</v>
      </c>
      <c r="M2333">
        <v>2</v>
      </c>
      <c r="N2333">
        <v>371.91</v>
      </c>
      <c r="O2333">
        <v>418.36</v>
      </c>
      <c r="P2333">
        <v>836.72</v>
      </c>
    </row>
    <row r="2334" spans="3:16">
      <c r="C2334">
        <v>3</v>
      </c>
      <c r="D2334">
        <v>9</v>
      </c>
      <c r="F2334" t="s">
        <v>11724</v>
      </c>
      <c r="H2334" t="s">
        <v>11722</v>
      </c>
      <c r="I2334" t="s">
        <v>13790</v>
      </c>
      <c r="K2334" t="s">
        <v>13791</v>
      </c>
      <c r="L2334" t="s">
        <v>11758</v>
      </c>
      <c r="M2334">
        <v>4</v>
      </c>
      <c r="N2334">
        <v>371.91</v>
      </c>
      <c r="O2334">
        <v>418.36</v>
      </c>
      <c r="P2334">
        <v>1673.44</v>
      </c>
    </row>
    <row r="2335" spans="3:16">
      <c r="C2335">
        <v>3</v>
      </c>
      <c r="D2335">
        <v>9</v>
      </c>
      <c r="F2335" t="s">
        <v>11724</v>
      </c>
      <c r="H2335" t="s">
        <v>11722</v>
      </c>
      <c r="I2335" t="s">
        <v>13792</v>
      </c>
      <c r="K2335" t="s">
        <v>13753</v>
      </c>
      <c r="L2335" t="s">
        <v>11757</v>
      </c>
      <c r="M2335">
        <v>2</v>
      </c>
      <c r="N2335">
        <v>978.31</v>
      </c>
      <c r="O2335">
        <v>1100.5</v>
      </c>
      <c r="P2335">
        <v>2201</v>
      </c>
    </row>
    <row r="2336" spans="3:16">
      <c r="C2336">
        <v>3</v>
      </c>
      <c r="D2336">
        <v>9</v>
      </c>
      <c r="F2336" t="s">
        <v>11724</v>
      </c>
      <c r="H2336" t="s">
        <v>11722</v>
      </c>
      <c r="I2336" t="s">
        <v>13793</v>
      </c>
      <c r="K2336" t="s">
        <v>13755</v>
      </c>
      <c r="L2336" t="s">
        <v>11757</v>
      </c>
      <c r="M2336">
        <v>2</v>
      </c>
      <c r="N2336">
        <v>636.99</v>
      </c>
      <c r="O2336">
        <v>716.55</v>
      </c>
      <c r="P2336">
        <v>1433.1</v>
      </c>
    </row>
    <row r="2337" spans="2:16">
      <c r="C2337">
        <v>3</v>
      </c>
      <c r="D2337">
        <v>9</v>
      </c>
      <c r="F2337" t="s">
        <v>11724</v>
      </c>
      <c r="H2337" t="s">
        <v>11722</v>
      </c>
      <c r="I2337" t="s">
        <v>13794</v>
      </c>
      <c r="K2337" t="s">
        <v>13757</v>
      </c>
      <c r="L2337" t="s">
        <v>11758</v>
      </c>
      <c r="M2337">
        <v>2</v>
      </c>
      <c r="N2337">
        <v>171.03</v>
      </c>
      <c r="O2337">
        <v>192.39</v>
      </c>
      <c r="P2337">
        <v>384.78</v>
      </c>
    </row>
    <row r="2338" spans="2:16">
      <c r="C2338">
        <v>3</v>
      </c>
      <c r="D2338">
        <v>9</v>
      </c>
      <c r="F2338" t="s">
        <v>11724</v>
      </c>
      <c r="H2338" t="s">
        <v>11722</v>
      </c>
      <c r="I2338" t="s">
        <v>13795</v>
      </c>
      <c r="K2338" t="s">
        <v>13796</v>
      </c>
      <c r="L2338" t="s">
        <v>11758</v>
      </c>
      <c r="M2338">
        <v>4</v>
      </c>
      <c r="N2338">
        <v>187.37</v>
      </c>
      <c r="O2338">
        <v>210.77</v>
      </c>
      <c r="P2338">
        <v>843.08</v>
      </c>
    </row>
    <row r="2339" spans="2:16">
      <c r="C2339">
        <v>3</v>
      </c>
      <c r="D2339">
        <v>9</v>
      </c>
      <c r="F2339" t="s">
        <v>11724</v>
      </c>
    </row>
    <row r="2340" spans="2:16">
      <c r="B2340">
        <v>1</v>
      </c>
      <c r="C2340">
        <v>3</v>
      </c>
      <c r="D2340">
        <v>10</v>
      </c>
      <c r="F2340" t="s">
        <v>11724</v>
      </c>
      <c r="H2340" t="s">
        <v>20902</v>
      </c>
      <c r="I2340" t="s">
        <v>13877</v>
      </c>
      <c r="L2340" t="s">
        <v>25</v>
      </c>
      <c r="M2340" t="s">
        <v>11704</v>
      </c>
      <c r="N2340" t="s">
        <v>11705</v>
      </c>
      <c r="O2340" t="s">
        <v>11706</v>
      </c>
      <c r="P2340">
        <v>12140.85</v>
      </c>
    </row>
    <row r="2341" spans="2:16">
      <c r="C2341">
        <v>3</v>
      </c>
      <c r="D2341">
        <v>10</v>
      </c>
      <c r="F2341" t="s">
        <v>11724</v>
      </c>
    </row>
    <row r="2342" spans="2:16">
      <c r="C2342">
        <v>3</v>
      </c>
      <c r="D2342">
        <v>10</v>
      </c>
      <c r="F2342" t="s">
        <v>11724</v>
      </c>
      <c r="H2342" t="s">
        <v>70</v>
      </c>
      <c r="I2342">
        <v>95750</v>
      </c>
      <c r="K2342" t="s">
        <v>14653</v>
      </c>
      <c r="L2342" t="s">
        <v>18</v>
      </c>
      <c r="M2342">
        <v>60</v>
      </c>
      <c r="N2342">
        <v>15</v>
      </c>
      <c r="O2342">
        <v>16.87</v>
      </c>
      <c r="P2342">
        <v>1012.2</v>
      </c>
    </row>
    <row r="2343" spans="2:16">
      <c r="C2343">
        <v>3</v>
      </c>
      <c r="D2343">
        <v>10</v>
      </c>
      <c r="F2343" t="s">
        <v>11724</v>
      </c>
      <c r="H2343" t="s">
        <v>70</v>
      </c>
      <c r="I2343">
        <v>95751</v>
      </c>
      <c r="K2343" t="s">
        <v>14654</v>
      </c>
      <c r="L2343" t="s">
        <v>18</v>
      </c>
      <c r="M2343">
        <v>6</v>
      </c>
      <c r="N2343">
        <v>22.37</v>
      </c>
      <c r="O2343">
        <v>25.16</v>
      </c>
      <c r="P2343">
        <v>150.96</v>
      </c>
    </row>
    <row r="2344" spans="2:16">
      <c r="C2344">
        <v>3</v>
      </c>
      <c r="D2344">
        <v>10</v>
      </c>
      <c r="F2344" t="s">
        <v>11724</v>
      </c>
      <c r="H2344" t="s">
        <v>70</v>
      </c>
      <c r="I2344">
        <v>95752</v>
      </c>
      <c r="K2344" t="s">
        <v>14655</v>
      </c>
      <c r="L2344" t="s">
        <v>18</v>
      </c>
      <c r="M2344">
        <v>9</v>
      </c>
      <c r="N2344">
        <v>23.57</v>
      </c>
      <c r="O2344">
        <v>26.51</v>
      </c>
      <c r="P2344">
        <v>238.59</v>
      </c>
    </row>
    <row r="2345" spans="2:16">
      <c r="C2345">
        <v>3</v>
      </c>
      <c r="D2345">
        <v>10</v>
      </c>
      <c r="F2345" t="s">
        <v>11724</v>
      </c>
      <c r="H2345" t="s">
        <v>11722</v>
      </c>
      <c r="I2345" t="s">
        <v>13797</v>
      </c>
      <c r="K2345" t="s">
        <v>13798</v>
      </c>
      <c r="L2345" t="s">
        <v>18</v>
      </c>
      <c r="M2345">
        <v>5</v>
      </c>
      <c r="N2345">
        <v>15.1</v>
      </c>
      <c r="O2345">
        <v>16.989999999999998</v>
      </c>
      <c r="P2345">
        <v>84.95</v>
      </c>
    </row>
    <row r="2346" spans="2:16">
      <c r="C2346">
        <v>3</v>
      </c>
      <c r="D2346">
        <v>10</v>
      </c>
      <c r="F2346" t="s">
        <v>11724</v>
      </c>
      <c r="H2346" t="s">
        <v>11722</v>
      </c>
      <c r="I2346" t="s">
        <v>13799</v>
      </c>
      <c r="K2346" t="s">
        <v>13800</v>
      </c>
      <c r="L2346" t="s">
        <v>10854</v>
      </c>
      <c r="M2346">
        <v>3</v>
      </c>
      <c r="N2346">
        <v>24.11</v>
      </c>
      <c r="O2346">
        <v>27.12</v>
      </c>
      <c r="P2346">
        <v>81.36</v>
      </c>
    </row>
    <row r="2347" spans="2:16">
      <c r="C2347">
        <v>3</v>
      </c>
      <c r="D2347">
        <v>10</v>
      </c>
      <c r="F2347" t="s">
        <v>11724</v>
      </c>
      <c r="H2347" t="s">
        <v>11722</v>
      </c>
      <c r="I2347" t="s">
        <v>13801</v>
      </c>
      <c r="K2347" t="s">
        <v>13802</v>
      </c>
      <c r="L2347" t="s">
        <v>10854</v>
      </c>
      <c r="M2347">
        <v>3</v>
      </c>
      <c r="N2347">
        <v>34.28</v>
      </c>
      <c r="O2347">
        <v>38.56</v>
      </c>
      <c r="P2347">
        <v>115.68</v>
      </c>
    </row>
    <row r="2348" spans="2:16">
      <c r="C2348">
        <v>3</v>
      </c>
      <c r="D2348">
        <v>10</v>
      </c>
      <c r="F2348" t="s">
        <v>11724</v>
      </c>
      <c r="H2348" t="s">
        <v>11722</v>
      </c>
      <c r="I2348" t="s">
        <v>13803</v>
      </c>
      <c r="K2348" t="s">
        <v>13804</v>
      </c>
      <c r="L2348" t="s">
        <v>10854</v>
      </c>
      <c r="M2348">
        <v>1</v>
      </c>
      <c r="N2348">
        <v>57.37</v>
      </c>
      <c r="O2348">
        <v>64.540000000000006</v>
      </c>
      <c r="P2348">
        <v>64.540000000000006</v>
      </c>
    </row>
    <row r="2349" spans="2:16">
      <c r="C2349">
        <v>3</v>
      </c>
      <c r="D2349">
        <v>10</v>
      </c>
      <c r="F2349" t="s">
        <v>11724</v>
      </c>
      <c r="H2349" t="s">
        <v>11722</v>
      </c>
      <c r="I2349" t="s">
        <v>13805</v>
      </c>
      <c r="K2349" t="s">
        <v>13806</v>
      </c>
      <c r="L2349" t="s">
        <v>10854</v>
      </c>
      <c r="M2349">
        <v>1</v>
      </c>
      <c r="N2349">
        <v>57.37</v>
      </c>
      <c r="O2349">
        <v>64.540000000000006</v>
      </c>
      <c r="P2349">
        <v>64.540000000000006</v>
      </c>
    </row>
    <row r="2350" spans="2:16">
      <c r="C2350">
        <v>3</v>
      </c>
      <c r="D2350">
        <v>10</v>
      </c>
      <c r="F2350" t="s">
        <v>11724</v>
      </c>
      <c r="H2350" t="s">
        <v>11722</v>
      </c>
      <c r="I2350" t="s">
        <v>13807</v>
      </c>
      <c r="K2350" t="s">
        <v>13808</v>
      </c>
      <c r="L2350" t="s">
        <v>10854</v>
      </c>
      <c r="M2350">
        <v>1</v>
      </c>
      <c r="N2350">
        <v>57.37</v>
      </c>
      <c r="O2350">
        <v>64.540000000000006</v>
      </c>
      <c r="P2350">
        <v>64.540000000000006</v>
      </c>
    </row>
    <row r="2351" spans="2:16">
      <c r="C2351">
        <v>3</v>
      </c>
      <c r="D2351">
        <v>10</v>
      </c>
      <c r="F2351" t="s">
        <v>11724</v>
      </c>
      <c r="H2351" t="s">
        <v>11722</v>
      </c>
      <c r="I2351" t="s">
        <v>13809</v>
      </c>
      <c r="K2351" t="s">
        <v>13810</v>
      </c>
      <c r="L2351" t="s">
        <v>10854</v>
      </c>
      <c r="M2351">
        <v>1</v>
      </c>
      <c r="N2351">
        <v>50.7</v>
      </c>
      <c r="O2351">
        <v>57.03</v>
      </c>
      <c r="P2351">
        <v>57.03</v>
      </c>
    </row>
    <row r="2352" spans="2:16">
      <c r="C2352">
        <v>3</v>
      </c>
      <c r="D2352">
        <v>10</v>
      </c>
      <c r="F2352" t="s">
        <v>11724</v>
      </c>
      <c r="H2352" t="s">
        <v>11722</v>
      </c>
      <c r="I2352" t="s">
        <v>13811</v>
      </c>
      <c r="K2352" t="s">
        <v>13812</v>
      </c>
      <c r="L2352" t="s">
        <v>10854</v>
      </c>
      <c r="M2352">
        <v>2</v>
      </c>
      <c r="N2352">
        <v>43.23</v>
      </c>
      <c r="O2352">
        <v>48.63</v>
      </c>
      <c r="P2352">
        <v>97.26</v>
      </c>
    </row>
    <row r="2353" spans="2:16">
      <c r="C2353">
        <v>3</v>
      </c>
      <c r="D2353">
        <v>10</v>
      </c>
      <c r="F2353" t="s">
        <v>11724</v>
      </c>
      <c r="H2353" t="s">
        <v>11722</v>
      </c>
      <c r="I2353" t="s">
        <v>13813</v>
      </c>
      <c r="K2353" t="s">
        <v>13814</v>
      </c>
      <c r="L2353" t="s">
        <v>10854</v>
      </c>
      <c r="M2353">
        <v>1</v>
      </c>
      <c r="N2353">
        <v>53.45</v>
      </c>
      <c r="O2353">
        <v>60.13</v>
      </c>
      <c r="P2353">
        <v>60.13</v>
      </c>
    </row>
    <row r="2354" spans="2:16">
      <c r="C2354">
        <v>3</v>
      </c>
      <c r="D2354">
        <v>10</v>
      </c>
      <c r="F2354" t="s">
        <v>11724</v>
      </c>
      <c r="H2354" t="s">
        <v>70</v>
      </c>
      <c r="I2354">
        <v>939</v>
      </c>
      <c r="K2354" t="s">
        <v>13815</v>
      </c>
      <c r="L2354" t="s">
        <v>18</v>
      </c>
      <c r="M2354">
        <v>60</v>
      </c>
      <c r="N2354">
        <v>1.23</v>
      </c>
      <c r="O2354">
        <v>1.38</v>
      </c>
      <c r="P2354">
        <v>82.8</v>
      </c>
    </row>
    <row r="2355" spans="2:16">
      <c r="C2355">
        <v>3</v>
      </c>
      <c r="D2355">
        <v>10</v>
      </c>
      <c r="F2355" t="s">
        <v>11724</v>
      </c>
      <c r="H2355" t="s">
        <v>70</v>
      </c>
      <c r="I2355">
        <v>939</v>
      </c>
      <c r="K2355" t="s">
        <v>13816</v>
      </c>
      <c r="L2355" t="s">
        <v>18</v>
      </c>
      <c r="M2355">
        <v>75</v>
      </c>
      <c r="N2355">
        <v>1.23</v>
      </c>
      <c r="O2355">
        <v>1.38</v>
      </c>
      <c r="P2355">
        <v>103.5</v>
      </c>
    </row>
    <row r="2356" spans="2:16">
      <c r="C2356">
        <v>3</v>
      </c>
      <c r="D2356">
        <v>10</v>
      </c>
      <c r="F2356" t="s">
        <v>11724</v>
      </c>
      <c r="H2356" t="s">
        <v>70</v>
      </c>
      <c r="I2356">
        <v>939</v>
      </c>
      <c r="K2356" t="s">
        <v>13817</v>
      </c>
      <c r="L2356" t="s">
        <v>18</v>
      </c>
      <c r="M2356">
        <v>70</v>
      </c>
      <c r="N2356">
        <v>1.23</v>
      </c>
      <c r="O2356">
        <v>1.38</v>
      </c>
      <c r="P2356">
        <v>96.6</v>
      </c>
    </row>
    <row r="2357" spans="2:16">
      <c r="C2357">
        <v>3</v>
      </c>
      <c r="D2357">
        <v>10</v>
      </c>
      <c r="F2357" t="s">
        <v>11724</v>
      </c>
      <c r="H2357" t="s">
        <v>70</v>
      </c>
      <c r="I2357">
        <v>939</v>
      </c>
      <c r="K2357" t="s">
        <v>13818</v>
      </c>
      <c r="L2357" t="s">
        <v>18</v>
      </c>
      <c r="M2357">
        <v>15</v>
      </c>
      <c r="N2357">
        <v>1.23</v>
      </c>
      <c r="O2357">
        <v>1.38</v>
      </c>
      <c r="P2357">
        <v>20.7</v>
      </c>
    </row>
    <row r="2358" spans="2:16">
      <c r="C2358">
        <v>3</v>
      </c>
      <c r="D2358">
        <v>10</v>
      </c>
      <c r="F2358" t="s">
        <v>11724</v>
      </c>
      <c r="H2358" t="s">
        <v>70</v>
      </c>
      <c r="I2358">
        <v>944</v>
      </c>
      <c r="K2358" t="s">
        <v>13819</v>
      </c>
      <c r="L2358" t="s">
        <v>18</v>
      </c>
      <c r="M2358">
        <v>45</v>
      </c>
      <c r="N2358">
        <v>2.1</v>
      </c>
      <c r="O2358">
        <v>2.36</v>
      </c>
      <c r="P2358">
        <v>106.2</v>
      </c>
    </row>
    <row r="2359" spans="2:16">
      <c r="C2359">
        <v>3</v>
      </c>
      <c r="D2359">
        <v>10</v>
      </c>
      <c r="F2359" t="s">
        <v>11724</v>
      </c>
      <c r="H2359" t="s">
        <v>70</v>
      </c>
      <c r="I2359">
        <v>944</v>
      </c>
      <c r="K2359" t="s">
        <v>13820</v>
      </c>
      <c r="L2359" t="s">
        <v>18</v>
      </c>
      <c r="M2359">
        <v>15</v>
      </c>
      <c r="N2359">
        <v>2.1</v>
      </c>
      <c r="O2359">
        <v>2.36</v>
      </c>
      <c r="P2359">
        <v>35.4</v>
      </c>
    </row>
    <row r="2360" spans="2:16">
      <c r="C2360">
        <v>3</v>
      </c>
      <c r="D2360">
        <v>10</v>
      </c>
      <c r="F2360" t="s">
        <v>11724</v>
      </c>
      <c r="H2360" t="s">
        <v>70</v>
      </c>
      <c r="I2360">
        <v>944</v>
      </c>
      <c r="K2360" t="s">
        <v>13821</v>
      </c>
      <c r="L2360" t="s">
        <v>18</v>
      </c>
      <c r="M2360">
        <v>15</v>
      </c>
      <c r="N2360">
        <v>2.1</v>
      </c>
      <c r="O2360">
        <v>2.36</v>
      </c>
      <c r="P2360">
        <v>35.4</v>
      </c>
    </row>
    <row r="2361" spans="2:16">
      <c r="C2361">
        <v>3</v>
      </c>
      <c r="D2361">
        <v>10</v>
      </c>
      <c r="F2361" t="s">
        <v>11724</v>
      </c>
      <c r="H2361" t="s">
        <v>70</v>
      </c>
      <c r="I2361">
        <v>91927</v>
      </c>
      <c r="K2361" t="s">
        <v>13822</v>
      </c>
      <c r="L2361" t="s">
        <v>18</v>
      </c>
      <c r="M2361">
        <v>15</v>
      </c>
      <c r="N2361">
        <v>3.14</v>
      </c>
      <c r="O2361">
        <v>3.53</v>
      </c>
      <c r="P2361">
        <v>52.95</v>
      </c>
    </row>
    <row r="2362" spans="2:16">
      <c r="C2362">
        <v>3</v>
      </c>
      <c r="D2362">
        <v>10</v>
      </c>
      <c r="F2362" t="s">
        <v>11724</v>
      </c>
      <c r="H2362" t="s">
        <v>11722</v>
      </c>
      <c r="I2362" t="s">
        <v>13823</v>
      </c>
      <c r="K2362" t="s">
        <v>13824</v>
      </c>
      <c r="L2362" t="s">
        <v>10854</v>
      </c>
      <c r="M2362">
        <v>4</v>
      </c>
      <c r="N2362">
        <v>2014.18</v>
      </c>
      <c r="O2362">
        <v>2265.75</v>
      </c>
      <c r="P2362">
        <v>9063</v>
      </c>
    </row>
    <row r="2363" spans="2:16">
      <c r="C2363">
        <v>3</v>
      </c>
      <c r="D2363">
        <v>10</v>
      </c>
      <c r="F2363" t="s">
        <v>11724</v>
      </c>
      <c r="H2363" t="s">
        <v>70</v>
      </c>
      <c r="I2363">
        <v>83446</v>
      </c>
      <c r="K2363" t="s">
        <v>13825</v>
      </c>
      <c r="L2363" t="s">
        <v>10854</v>
      </c>
      <c r="M2363">
        <v>3</v>
      </c>
      <c r="N2363">
        <v>134.09</v>
      </c>
      <c r="O2363">
        <v>150.84</v>
      </c>
      <c r="P2363">
        <v>452.52</v>
      </c>
    </row>
    <row r="2364" spans="2:16">
      <c r="C2364">
        <v>3</v>
      </c>
      <c r="D2364">
        <v>10</v>
      </c>
      <c r="F2364" t="s">
        <v>11724</v>
      </c>
    </row>
    <row r="2365" spans="2:16">
      <c r="B2365">
        <v>1</v>
      </c>
      <c r="C2365">
        <v>3</v>
      </c>
      <c r="D2365">
        <v>11</v>
      </c>
      <c r="F2365" t="s">
        <v>11724</v>
      </c>
      <c r="H2365" t="s">
        <v>20903</v>
      </c>
      <c r="I2365" t="s">
        <v>13878</v>
      </c>
      <c r="L2365" t="s">
        <v>25</v>
      </c>
      <c r="M2365" t="s">
        <v>11704</v>
      </c>
      <c r="N2365" t="s">
        <v>11705</v>
      </c>
      <c r="O2365" t="s">
        <v>11706</v>
      </c>
      <c r="P2365">
        <v>12922.250000000002</v>
      </c>
    </row>
    <row r="2366" spans="2:16">
      <c r="C2366">
        <v>3</v>
      </c>
      <c r="D2366">
        <v>11</v>
      </c>
      <c r="F2366" t="s">
        <v>11724</v>
      </c>
    </row>
    <row r="2367" spans="2:16">
      <c r="C2367">
        <v>3</v>
      </c>
      <c r="D2367">
        <v>11</v>
      </c>
      <c r="F2367" t="s">
        <v>11724</v>
      </c>
      <c r="H2367" t="s">
        <v>70</v>
      </c>
      <c r="I2367">
        <v>95750</v>
      </c>
      <c r="K2367" t="s">
        <v>14653</v>
      </c>
      <c r="L2367" t="s">
        <v>18</v>
      </c>
      <c r="M2367">
        <v>15</v>
      </c>
      <c r="N2367">
        <v>15</v>
      </c>
      <c r="O2367">
        <v>16.87</v>
      </c>
      <c r="P2367">
        <v>253.05</v>
      </c>
    </row>
    <row r="2368" spans="2:16">
      <c r="C2368">
        <v>3</v>
      </c>
      <c r="D2368">
        <v>11</v>
      </c>
      <c r="F2368" t="s">
        <v>11724</v>
      </c>
      <c r="H2368" t="s">
        <v>70</v>
      </c>
      <c r="I2368">
        <v>95751</v>
      </c>
      <c r="K2368" t="s">
        <v>14654</v>
      </c>
      <c r="L2368" t="s">
        <v>18</v>
      </c>
      <c r="M2368">
        <v>6</v>
      </c>
      <c r="N2368">
        <v>22.37</v>
      </c>
      <c r="O2368">
        <v>25.16</v>
      </c>
      <c r="P2368">
        <v>150.96</v>
      </c>
    </row>
    <row r="2369" spans="3:16">
      <c r="C2369">
        <v>3</v>
      </c>
      <c r="D2369">
        <v>11</v>
      </c>
      <c r="F2369" t="s">
        <v>11724</v>
      </c>
      <c r="H2369" t="s">
        <v>70</v>
      </c>
      <c r="I2369">
        <v>95752</v>
      </c>
      <c r="K2369" t="s">
        <v>14655</v>
      </c>
      <c r="L2369" t="s">
        <v>18</v>
      </c>
      <c r="M2369">
        <v>15</v>
      </c>
      <c r="N2369">
        <v>23.57</v>
      </c>
      <c r="O2369">
        <v>26.51</v>
      </c>
      <c r="P2369">
        <v>397.65</v>
      </c>
    </row>
    <row r="2370" spans="3:16">
      <c r="C2370">
        <v>3</v>
      </c>
      <c r="D2370">
        <v>11</v>
      </c>
      <c r="F2370" t="s">
        <v>11724</v>
      </c>
      <c r="H2370" t="s">
        <v>11722</v>
      </c>
      <c r="I2370" t="s">
        <v>13826</v>
      </c>
      <c r="K2370" t="s">
        <v>14656</v>
      </c>
      <c r="L2370" t="s">
        <v>11753</v>
      </c>
      <c r="M2370">
        <v>1</v>
      </c>
      <c r="N2370">
        <v>239.99</v>
      </c>
      <c r="O2370">
        <v>269.95999999999998</v>
      </c>
      <c r="P2370">
        <v>269.95999999999998</v>
      </c>
    </row>
    <row r="2371" spans="3:16">
      <c r="C2371">
        <v>3</v>
      </c>
      <c r="D2371">
        <v>11</v>
      </c>
      <c r="F2371" t="s">
        <v>11724</v>
      </c>
      <c r="H2371" t="s">
        <v>11722</v>
      </c>
      <c r="I2371" t="s">
        <v>13827</v>
      </c>
      <c r="K2371" t="s">
        <v>14657</v>
      </c>
      <c r="L2371" t="s">
        <v>18</v>
      </c>
      <c r="M2371">
        <v>5</v>
      </c>
      <c r="N2371">
        <v>97.77</v>
      </c>
      <c r="O2371">
        <v>109.98</v>
      </c>
      <c r="P2371">
        <v>549.9</v>
      </c>
    </row>
    <row r="2372" spans="3:16">
      <c r="C2372">
        <v>3</v>
      </c>
      <c r="D2372">
        <v>11</v>
      </c>
      <c r="F2372" t="s">
        <v>11724</v>
      </c>
      <c r="H2372" t="s">
        <v>11722</v>
      </c>
      <c r="I2372" t="s">
        <v>13828</v>
      </c>
      <c r="K2372" t="s">
        <v>13798</v>
      </c>
      <c r="L2372" t="s">
        <v>18</v>
      </c>
      <c r="M2372">
        <v>15</v>
      </c>
      <c r="N2372">
        <v>15.1</v>
      </c>
      <c r="O2372">
        <v>16.989999999999998</v>
      </c>
      <c r="P2372">
        <v>254.85</v>
      </c>
    </row>
    <row r="2373" spans="3:16">
      <c r="C2373">
        <v>3</v>
      </c>
      <c r="D2373">
        <v>11</v>
      </c>
      <c r="F2373" t="s">
        <v>11724</v>
      </c>
      <c r="H2373" t="s">
        <v>11722</v>
      </c>
      <c r="I2373" t="s">
        <v>13829</v>
      </c>
      <c r="K2373" t="s">
        <v>13830</v>
      </c>
      <c r="L2373" t="s">
        <v>10854</v>
      </c>
      <c r="M2373">
        <v>2</v>
      </c>
      <c r="N2373">
        <v>34.28</v>
      </c>
      <c r="O2373">
        <v>38.56</v>
      </c>
      <c r="P2373">
        <v>77.12</v>
      </c>
    </row>
    <row r="2374" spans="3:16">
      <c r="C2374">
        <v>3</v>
      </c>
      <c r="D2374">
        <v>11</v>
      </c>
      <c r="F2374" t="s">
        <v>11724</v>
      </c>
      <c r="H2374" t="s">
        <v>11722</v>
      </c>
      <c r="I2374" t="s">
        <v>13831</v>
      </c>
      <c r="K2374" t="s">
        <v>13832</v>
      </c>
      <c r="L2374" t="s">
        <v>10854</v>
      </c>
      <c r="M2374">
        <v>1</v>
      </c>
      <c r="N2374">
        <v>23.97</v>
      </c>
      <c r="O2374">
        <v>26.96</v>
      </c>
      <c r="P2374">
        <v>26.96</v>
      </c>
    </row>
    <row r="2375" spans="3:16">
      <c r="C2375">
        <v>3</v>
      </c>
      <c r="D2375">
        <v>11</v>
      </c>
      <c r="F2375" t="s">
        <v>11724</v>
      </c>
      <c r="H2375" t="s">
        <v>11722</v>
      </c>
      <c r="I2375" t="s">
        <v>13833</v>
      </c>
      <c r="K2375" t="s">
        <v>13834</v>
      </c>
      <c r="L2375" t="s">
        <v>10854</v>
      </c>
      <c r="M2375">
        <v>2</v>
      </c>
      <c r="N2375">
        <v>24.11</v>
      </c>
      <c r="O2375">
        <v>27.12</v>
      </c>
      <c r="P2375">
        <v>54.24</v>
      </c>
    </row>
    <row r="2376" spans="3:16">
      <c r="C2376">
        <v>3</v>
      </c>
      <c r="D2376">
        <v>11</v>
      </c>
      <c r="F2376" t="s">
        <v>11724</v>
      </c>
      <c r="H2376" t="s">
        <v>11722</v>
      </c>
      <c r="I2376" t="s">
        <v>13835</v>
      </c>
      <c r="K2376" t="s">
        <v>13836</v>
      </c>
      <c r="L2376" t="s">
        <v>10854</v>
      </c>
      <c r="M2376">
        <v>1</v>
      </c>
      <c r="N2376">
        <v>43.23</v>
      </c>
      <c r="O2376">
        <v>48.63</v>
      </c>
      <c r="P2376">
        <v>48.63</v>
      </c>
    </row>
    <row r="2377" spans="3:16">
      <c r="C2377">
        <v>3</v>
      </c>
      <c r="D2377">
        <v>11</v>
      </c>
      <c r="F2377" t="s">
        <v>11724</v>
      </c>
      <c r="H2377" t="s">
        <v>11722</v>
      </c>
      <c r="I2377" t="s">
        <v>13837</v>
      </c>
      <c r="K2377" t="s">
        <v>13838</v>
      </c>
      <c r="L2377" t="s">
        <v>10854</v>
      </c>
      <c r="M2377">
        <v>1</v>
      </c>
      <c r="N2377">
        <v>35.369999999999997</v>
      </c>
      <c r="O2377">
        <v>39.79</v>
      </c>
      <c r="P2377">
        <v>39.79</v>
      </c>
    </row>
    <row r="2378" spans="3:16">
      <c r="C2378">
        <v>3</v>
      </c>
      <c r="D2378">
        <v>11</v>
      </c>
      <c r="F2378" t="s">
        <v>11724</v>
      </c>
      <c r="H2378" t="s">
        <v>11722</v>
      </c>
      <c r="I2378" t="s">
        <v>13839</v>
      </c>
      <c r="K2378" t="s">
        <v>13840</v>
      </c>
      <c r="L2378" t="s">
        <v>10854</v>
      </c>
      <c r="M2378">
        <v>1</v>
      </c>
      <c r="N2378">
        <v>35.369999999999997</v>
      </c>
      <c r="O2378">
        <v>39.79</v>
      </c>
      <c r="P2378">
        <v>39.79</v>
      </c>
    </row>
    <row r="2379" spans="3:16">
      <c r="C2379">
        <v>3</v>
      </c>
      <c r="D2379">
        <v>11</v>
      </c>
      <c r="F2379" t="s">
        <v>11724</v>
      </c>
      <c r="H2379" t="s">
        <v>11722</v>
      </c>
      <c r="I2379" t="s">
        <v>13841</v>
      </c>
      <c r="K2379" t="s">
        <v>13800</v>
      </c>
      <c r="L2379" t="s">
        <v>10854</v>
      </c>
      <c r="M2379">
        <v>2</v>
      </c>
      <c r="N2379">
        <v>24.11</v>
      </c>
      <c r="O2379">
        <v>27.12</v>
      </c>
      <c r="P2379">
        <v>54.24</v>
      </c>
    </row>
    <row r="2380" spans="3:16">
      <c r="C2380">
        <v>3</v>
      </c>
      <c r="D2380">
        <v>11</v>
      </c>
      <c r="F2380" t="s">
        <v>11724</v>
      </c>
      <c r="H2380" t="s">
        <v>11722</v>
      </c>
      <c r="I2380" t="s">
        <v>13842</v>
      </c>
      <c r="K2380" t="s">
        <v>13843</v>
      </c>
      <c r="L2380" t="s">
        <v>10854</v>
      </c>
      <c r="M2380">
        <v>3</v>
      </c>
      <c r="N2380">
        <v>57.37</v>
      </c>
      <c r="O2380">
        <v>64.540000000000006</v>
      </c>
      <c r="P2380">
        <v>193.62</v>
      </c>
    </row>
    <row r="2381" spans="3:16">
      <c r="C2381">
        <v>3</v>
      </c>
      <c r="D2381">
        <v>11</v>
      </c>
      <c r="F2381" t="s">
        <v>11724</v>
      </c>
      <c r="H2381" t="s">
        <v>11722</v>
      </c>
      <c r="I2381" t="s">
        <v>13844</v>
      </c>
      <c r="K2381" t="s">
        <v>13845</v>
      </c>
      <c r="L2381" t="s">
        <v>10854</v>
      </c>
      <c r="M2381">
        <v>1</v>
      </c>
      <c r="N2381">
        <v>57.37</v>
      </c>
      <c r="O2381">
        <v>64.540000000000006</v>
      </c>
      <c r="P2381">
        <v>64.540000000000006</v>
      </c>
    </row>
    <row r="2382" spans="3:16">
      <c r="C2382">
        <v>3</v>
      </c>
      <c r="D2382">
        <v>11</v>
      </c>
      <c r="F2382" t="s">
        <v>11724</v>
      </c>
      <c r="H2382" t="s">
        <v>11722</v>
      </c>
      <c r="I2382" t="s">
        <v>13846</v>
      </c>
      <c r="K2382" t="s">
        <v>13847</v>
      </c>
      <c r="L2382" t="s">
        <v>10854</v>
      </c>
      <c r="M2382">
        <v>1</v>
      </c>
      <c r="N2382">
        <v>57.37</v>
      </c>
      <c r="O2382">
        <v>64.540000000000006</v>
      </c>
      <c r="P2382">
        <v>64.540000000000006</v>
      </c>
    </row>
    <row r="2383" spans="3:16">
      <c r="C2383">
        <v>3</v>
      </c>
      <c r="D2383">
        <v>11</v>
      </c>
      <c r="F2383" t="s">
        <v>11724</v>
      </c>
      <c r="H2383" t="s">
        <v>11722</v>
      </c>
      <c r="I2383" t="s">
        <v>13848</v>
      </c>
      <c r="K2383" t="s">
        <v>13849</v>
      </c>
      <c r="L2383" t="s">
        <v>10854</v>
      </c>
      <c r="M2383">
        <v>1</v>
      </c>
      <c r="N2383">
        <v>57.37</v>
      </c>
      <c r="O2383">
        <v>64.540000000000006</v>
      </c>
      <c r="P2383">
        <v>64.540000000000006</v>
      </c>
    </row>
    <row r="2384" spans="3:16">
      <c r="C2384">
        <v>3</v>
      </c>
      <c r="D2384">
        <v>11</v>
      </c>
      <c r="F2384" t="s">
        <v>11724</v>
      </c>
      <c r="H2384" t="s">
        <v>11722</v>
      </c>
      <c r="I2384" t="s">
        <v>13850</v>
      </c>
      <c r="K2384" t="s">
        <v>13851</v>
      </c>
      <c r="L2384" t="s">
        <v>10854</v>
      </c>
      <c r="M2384">
        <v>2</v>
      </c>
      <c r="N2384">
        <v>150.37</v>
      </c>
      <c r="O2384">
        <v>169.15</v>
      </c>
      <c r="P2384">
        <v>338.3</v>
      </c>
    </row>
    <row r="2385" spans="3:16">
      <c r="C2385">
        <v>3</v>
      </c>
      <c r="D2385">
        <v>11</v>
      </c>
      <c r="F2385" t="s">
        <v>11724</v>
      </c>
      <c r="H2385" t="s">
        <v>11722</v>
      </c>
      <c r="I2385" t="s">
        <v>13852</v>
      </c>
      <c r="K2385" t="s">
        <v>13812</v>
      </c>
      <c r="L2385" t="s">
        <v>10854</v>
      </c>
      <c r="M2385">
        <v>2</v>
      </c>
      <c r="N2385">
        <v>43.23</v>
      </c>
      <c r="O2385">
        <v>48.63</v>
      </c>
      <c r="P2385">
        <v>97.26</v>
      </c>
    </row>
    <row r="2386" spans="3:16">
      <c r="C2386">
        <v>3</v>
      </c>
      <c r="D2386">
        <v>11</v>
      </c>
      <c r="F2386" t="s">
        <v>11724</v>
      </c>
      <c r="H2386" t="s">
        <v>11722</v>
      </c>
      <c r="I2386" t="s">
        <v>13853</v>
      </c>
      <c r="K2386" t="s">
        <v>13854</v>
      </c>
      <c r="L2386" t="s">
        <v>10854</v>
      </c>
      <c r="M2386">
        <v>2</v>
      </c>
      <c r="N2386">
        <v>53.45</v>
      </c>
      <c r="O2386">
        <v>60.13</v>
      </c>
      <c r="P2386">
        <v>120.26</v>
      </c>
    </row>
    <row r="2387" spans="3:16">
      <c r="C2387">
        <v>3</v>
      </c>
      <c r="D2387">
        <v>11</v>
      </c>
      <c r="F2387" t="s">
        <v>11724</v>
      </c>
      <c r="H2387" t="s">
        <v>70</v>
      </c>
      <c r="I2387">
        <v>939</v>
      </c>
      <c r="K2387" t="s">
        <v>13815</v>
      </c>
      <c r="L2387" t="s">
        <v>18</v>
      </c>
      <c r="M2387">
        <v>20</v>
      </c>
      <c r="N2387">
        <v>1.23</v>
      </c>
      <c r="O2387">
        <v>1.38</v>
      </c>
      <c r="P2387">
        <v>27.6</v>
      </c>
    </row>
    <row r="2388" spans="3:16">
      <c r="C2388">
        <v>3</v>
      </c>
      <c r="D2388">
        <v>11</v>
      </c>
      <c r="F2388" t="s">
        <v>11724</v>
      </c>
      <c r="H2388" t="s">
        <v>70</v>
      </c>
      <c r="I2388">
        <v>939</v>
      </c>
      <c r="K2388" t="s">
        <v>13816</v>
      </c>
      <c r="L2388" t="s">
        <v>18</v>
      </c>
      <c r="M2388">
        <v>15</v>
      </c>
      <c r="N2388">
        <v>1.23</v>
      </c>
      <c r="O2388">
        <v>1.38</v>
      </c>
      <c r="P2388">
        <v>20.7</v>
      </c>
    </row>
    <row r="2389" spans="3:16">
      <c r="C2389">
        <v>3</v>
      </c>
      <c r="D2389">
        <v>11</v>
      </c>
      <c r="F2389" t="s">
        <v>11724</v>
      </c>
      <c r="H2389" t="s">
        <v>70</v>
      </c>
      <c r="I2389">
        <v>939</v>
      </c>
      <c r="K2389" t="s">
        <v>13817</v>
      </c>
      <c r="L2389" t="s">
        <v>18</v>
      </c>
      <c r="M2389">
        <v>20</v>
      </c>
      <c r="N2389">
        <v>1.23</v>
      </c>
      <c r="O2389">
        <v>1.38</v>
      </c>
      <c r="P2389">
        <v>27.6</v>
      </c>
    </row>
    <row r="2390" spans="3:16">
      <c r="C2390">
        <v>3</v>
      </c>
      <c r="D2390">
        <v>11</v>
      </c>
      <c r="F2390" t="s">
        <v>11724</v>
      </c>
      <c r="H2390" t="s">
        <v>70</v>
      </c>
      <c r="I2390">
        <v>939</v>
      </c>
      <c r="K2390" t="s">
        <v>13818</v>
      </c>
      <c r="L2390" t="s">
        <v>18</v>
      </c>
      <c r="M2390">
        <v>15</v>
      </c>
      <c r="N2390">
        <v>1.23</v>
      </c>
      <c r="O2390">
        <v>1.38</v>
      </c>
      <c r="P2390">
        <v>20.7</v>
      </c>
    </row>
    <row r="2391" spans="3:16">
      <c r="C2391">
        <v>3</v>
      </c>
      <c r="D2391">
        <v>11</v>
      </c>
      <c r="F2391" t="s">
        <v>11724</v>
      </c>
      <c r="H2391" t="s">
        <v>70</v>
      </c>
      <c r="I2391">
        <v>940</v>
      </c>
      <c r="K2391" t="s">
        <v>13855</v>
      </c>
      <c r="L2391" t="s">
        <v>18</v>
      </c>
      <c r="M2391">
        <v>6</v>
      </c>
      <c r="N2391">
        <v>2.91</v>
      </c>
      <c r="O2391">
        <v>3.27</v>
      </c>
      <c r="P2391">
        <v>19.62</v>
      </c>
    </row>
    <row r="2392" spans="3:16">
      <c r="C2392">
        <v>3</v>
      </c>
      <c r="D2392">
        <v>11</v>
      </c>
      <c r="F2392" t="s">
        <v>11724</v>
      </c>
      <c r="H2392" t="s">
        <v>70</v>
      </c>
      <c r="I2392">
        <v>940</v>
      </c>
      <c r="K2392" t="s">
        <v>13856</v>
      </c>
      <c r="L2392" t="s">
        <v>18</v>
      </c>
      <c r="M2392">
        <v>2</v>
      </c>
      <c r="N2392">
        <v>2.91</v>
      </c>
      <c r="O2392">
        <v>3.27</v>
      </c>
      <c r="P2392">
        <v>6.54</v>
      </c>
    </row>
    <row r="2393" spans="3:16">
      <c r="C2393">
        <v>3</v>
      </c>
      <c r="D2393">
        <v>11</v>
      </c>
      <c r="F2393" t="s">
        <v>11724</v>
      </c>
      <c r="H2393" t="s">
        <v>70</v>
      </c>
      <c r="I2393">
        <v>940</v>
      </c>
      <c r="K2393" t="s">
        <v>13857</v>
      </c>
      <c r="L2393" t="s">
        <v>18</v>
      </c>
      <c r="M2393">
        <v>2</v>
      </c>
      <c r="N2393">
        <v>2.91</v>
      </c>
      <c r="O2393">
        <v>3.27</v>
      </c>
      <c r="P2393">
        <v>6.54</v>
      </c>
    </row>
    <row r="2394" spans="3:16">
      <c r="C2394">
        <v>3</v>
      </c>
      <c r="D2394">
        <v>11</v>
      </c>
      <c r="F2394" t="s">
        <v>11724</v>
      </c>
      <c r="H2394" t="s">
        <v>70</v>
      </c>
      <c r="I2394">
        <v>91925</v>
      </c>
      <c r="K2394" t="s">
        <v>13858</v>
      </c>
      <c r="L2394" t="s">
        <v>18</v>
      </c>
      <c r="M2394">
        <v>25</v>
      </c>
      <c r="N2394">
        <v>2.35</v>
      </c>
      <c r="O2394">
        <v>2.64</v>
      </c>
      <c r="P2394">
        <v>66</v>
      </c>
    </row>
    <row r="2395" spans="3:16">
      <c r="C2395">
        <v>3</v>
      </c>
      <c r="D2395">
        <v>11</v>
      </c>
      <c r="F2395" t="s">
        <v>11724</v>
      </c>
      <c r="H2395" t="s">
        <v>70</v>
      </c>
      <c r="I2395">
        <v>91927</v>
      </c>
      <c r="K2395" t="s">
        <v>13822</v>
      </c>
      <c r="L2395" t="s">
        <v>18</v>
      </c>
      <c r="M2395">
        <v>20</v>
      </c>
      <c r="N2395">
        <v>3.14</v>
      </c>
      <c r="O2395">
        <v>3.53</v>
      </c>
      <c r="P2395">
        <v>70.599999999999994</v>
      </c>
    </row>
    <row r="2396" spans="3:16">
      <c r="C2396">
        <v>3</v>
      </c>
      <c r="D2396">
        <v>11</v>
      </c>
      <c r="F2396" t="s">
        <v>11724</v>
      </c>
      <c r="H2396" t="s">
        <v>70</v>
      </c>
      <c r="I2396">
        <v>91925</v>
      </c>
      <c r="K2396" t="s">
        <v>13859</v>
      </c>
      <c r="L2396" t="s">
        <v>18</v>
      </c>
      <c r="M2396">
        <v>10</v>
      </c>
      <c r="N2396">
        <v>2.35</v>
      </c>
      <c r="O2396">
        <v>2.64</v>
      </c>
      <c r="P2396">
        <v>26.4</v>
      </c>
    </row>
    <row r="2397" spans="3:16">
      <c r="C2397">
        <v>3</v>
      </c>
      <c r="D2397">
        <v>11</v>
      </c>
      <c r="F2397" t="s">
        <v>11724</v>
      </c>
      <c r="H2397" t="s">
        <v>11722</v>
      </c>
      <c r="I2397" t="s">
        <v>13860</v>
      </c>
      <c r="K2397" t="s">
        <v>13824</v>
      </c>
      <c r="L2397" t="s">
        <v>10854</v>
      </c>
      <c r="M2397">
        <v>3</v>
      </c>
      <c r="N2397">
        <v>2014.18</v>
      </c>
      <c r="O2397">
        <v>2265.75</v>
      </c>
      <c r="P2397">
        <v>6797.25</v>
      </c>
    </row>
    <row r="2398" spans="3:16">
      <c r="C2398">
        <v>3</v>
      </c>
      <c r="D2398">
        <v>11</v>
      </c>
      <c r="F2398" t="s">
        <v>11724</v>
      </c>
      <c r="H2398" t="s">
        <v>11722</v>
      </c>
      <c r="I2398" t="s">
        <v>13861</v>
      </c>
      <c r="K2398" t="s">
        <v>13862</v>
      </c>
      <c r="L2398" t="s">
        <v>10854</v>
      </c>
      <c r="M2398">
        <v>2</v>
      </c>
      <c r="N2398">
        <v>471.91</v>
      </c>
      <c r="O2398">
        <v>530.85</v>
      </c>
      <c r="P2398">
        <v>1061.7</v>
      </c>
    </row>
    <row r="2399" spans="3:16">
      <c r="C2399">
        <v>3</v>
      </c>
      <c r="D2399">
        <v>11</v>
      </c>
      <c r="F2399" t="s">
        <v>11724</v>
      </c>
      <c r="H2399" t="s">
        <v>11722</v>
      </c>
      <c r="I2399" t="s">
        <v>13863</v>
      </c>
      <c r="K2399" t="s">
        <v>13864</v>
      </c>
      <c r="L2399" t="s">
        <v>10854</v>
      </c>
      <c r="M2399">
        <v>1</v>
      </c>
      <c r="N2399">
        <v>471.91</v>
      </c>
      <c r="O2399">
        <v>530.85</v>
      </c>
      <c r="P2399">
        <v>530.85</v>
      </c>
    </row>
    <row r="2400" spans="3:16">
      <c r="C2400">
        <v>3</v>
      </c>
      <c r="D2400">
        <v>11</v>
      </c>
      <c r="F2400" t="s">
        <v>11724</v>
      </c>
      <c r="H2400" t="s">
        <v>11722</v>
      </c>
      <c r="I2400" t="s">
        <v>13865</v>
      </c>
      <c r="K2400" t="s">
        <v>13866</v>
      </c>
      <c r="L2400" t="s">
        <v>10854</v>
      </c>
      <c r="M2400">
        <v>1</v>
      </c>
      <c r="N2400">
        <v>471.91</v>
      </c>
      <c r="O2400">
        <v>530.85</v>
      </c>
      <c r="P2400">
        <v>530.85</v>
      </c>
    </row>
    <row r="2401" spans="3:16">
      <c r="C2401">
        <v>3</v>
      </c>
      <c r="D2401">
        <v>11</v>
      </c>
      <c r="F2401" t="s">
        <v>11724</v>
      </c>
      <c r="H2401" t="s">
        <v>70</v>
      </c>
      <c r="I2401">
        <v>13393</v>
      </c>
      <c r="K2401" t="s">
        <v>13867</v>
      </c>
      <c r="L2401" t="s">
        <v>10854</v>
      </c>
      <c r="M2401">
        <v>1</v>
      </c>
      <c r="N2401">
        <v>165.49</v>
      </c>
      <c r="O2401">
        <v>186.16</v>
      </c>
      <c r="P2401">
        <v>186.16</v>
      </c>
    </row>
    <row r="2402" spans="3:16">
      <c r="C2402">
        <v>3</v>
      </c>
      <c r="D2402">
        <v>11</v>
      </c>
      <c r="F2402" t="s">
        <v>11724</v>
      </c>
      <c r="H2402" t="s">
        <v>11722</v>
      </c>
      <c r="I2402" t="s">
        <v>13868</v>
      </c>
      <c r="K2402" t="s">
        <v>13509</v>
      </c>
      <c r="L2402" t="s">
        <v>10854</v>
      </c>
      <c r="M2402">
        <v>3</v>
      </c>
      <c r="N2402">
        <v>107.55</v>
      </c>
      <c r="O2402">
        <v>120.98</v>
      </c>
      <c r="P2402">
        <v>362.94</v>
      </c>
    </row>
    <row r="2403" spans="3:16">
      <c r="C2403">
        <v>3</v>
      </c>
      <c r="D2403">
        <v>11</v>
      </c>
      <c r="F2403" t="s">
        <v>11724</v>
      </c>
    </row>
  </sheetData>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IV201"/>
  <sheetViews>
    <sheetView topLeftCell="C1" zoomScale="85" zoomScaleNormal="85" zoomScaleSheetLayoutView="85" workbookViewId="0">
      <selection activeCell="D1" sqref="D1:M4"/>
    </sheetView>
  </sheetViews>
  <sheetFormatPr defaultRowHeight="12.75"/>
  <cols>
    <col min="1" max="1" width="23" style="1319" customWidth="1"/>
    <col min="2" max="2" width="10.85546875" style="1320" customWidth="1"/>
    <col min="3" max="3" width="9.5703125" style="1320" customWidth="1"/>
    <col min="4" max="4" width="63.85546875" style="1023" customWidth="1"/>
    <col min="5" max="5" width="10.7109375" style="1023" customWidth="1"/>
    <col min="6" max="6" width="11" style="1024" customWidth="1"/>
    <col min="7" max="7" width="10.5703125" style="1023" customWidth="1"/>
    <col min="8" max="8" width="13" style="1023" customWidth="1"/>
    <col min="9" max="9" width="16.7109375" style="1023" customWidth="1"/>
    <col min="10" max="10" width="13.85546875" style="1025" customWidth="1"/>
    <col min="11" max="11" width="13.5703125" style="1026" customWidth="1"/>
    <col min="12" max="12" width="9.28515625" style="1027" customWidth="1"/>
    <col min="13" max="13" width="12.140625" style="1027" customWidth="1"/>
    <col min="14" max="14" width="14.42578125" style="780" customWidth="1"/>
    <col min="15" max="15" width="5" style="777" customWidth="1"/>
    <col min="16" max="16" width="5" style="805" customWidth="1"/>
    <col min="17" max="17" width="5" style="777" customWidth="1"/>
    <col min="18" max="18" width="4.7109375" style="777" customWidth="1"/>
    <col min="19" max="16384" width="9.140625" style="779"/>
  </cols>
  <sheetData>
    <row r="1" spans="1:18" s="865" customFormat="1" ht="18">
      <c r="A1" s="912"/>
      <c r="B1" s="855"/>
      <c r="C1" s="855"/>
      <c r="D1" s="1661" t="s">
        <v>11665</v>
      </c>
      <c r="E1" s="1662"/>
      <c r="F1" s="1662"/>
      <c r="G1" s="1662"/>
      <c r="H1" s="1662"/>
      <c r="I1" s="1662"/>
      <c r="J1" s="1662"/>
      <c r="K1" s="1662"/>
      <c r="L1" s="1662"/>
      <c r="M1" s="1663"/>
      <c r="N1" s="1437"/>
      <c r="O1" s="1438"/>
      <c r="P1" s="1439"/>
      <c r="Q1" s="863"/>
      <c r="R1" s="863"/>
    </row>
    <row r="2" spans="1:18" s="865" customFormat="1" ht="18">
      <c r="A2" s="912"/>
      <c r="B2" s="855"/>
      <c r="C2" s="855"/>
      <c r="D2" s="1664"/>
      <c r="E2" s="1665"/>
      <c r="F2" s="1665"/>
      <c r="G2" s="1665"/>
      <c r="H2" s="1665"/>
      <c r="I2" s="1665"/>
      <c r="J2" s="1665"/>
      <c r="K2" s="1665"/>
      <c r="L2" s="1665"/>
      <c r="M2" s="1666"/>
      <c r="N2" s="700"/>
      <c r="O2" s="908"/>
      <c r="P2" s="1440"/>
      <c r="Q2" s="863"/>
      <c r="R2" s="863"/>
    </row>
    <row r="3" spans="1:18" s="865" customFormat="1" ht="18">
      <c r="A3" s="912"/>
      <c r="B3" s="855"/>
      <c r="C3" s="855"/>
      <c r="D3" s="1664"/>
      <c r="E3" s="1665"/>
      <c r="F3" s="1665"/>
      <c r="G3" s="1665"/>
      <c r="H3" s="1665"/>
      <c r="I3" s="1665"/>
      <c r="J3" s="1665"/>
      <c r="K3" s="1665"/>
      <c r="L3" s="1665"/>
      <c r="M3" s="1666"/>
      <c r="N3" s="700"/>
      <c r="O3" s="908"/>
      <c r="P3" s="1440"/>
      <c r="Q3" s="863"/>
      <c r="R3" s="863"/>
    </row>
    <row r="4" spans="1:18" s="865" customFormat="1" ht="15.75" customHeight="1" thickBot="1">
      <c r="A4" s="912"/>
      <c r="B4" s="855"/>
      <c r="C4" s="855"/>
      <c r="D4" s="1667"/>
      <c r="E4" s="1668"/>
      <c r="F4" s="1668"/>
      <c r="G4" s="1668"/>
      <c r="H4" s="1668"/>
      <c r="I4" s="1668"/>
      <c r="J4" s="1668"/>
      <c r="K4" s="1668"/>
      <c r="L4" s="1668"/>
      <c r="M4" s="1669"/>
      <c r="N4" s="700"/>
      <c r="O4" s="908"/>
      <c r="P4" s="1441"/>
      <c r="Q4" s="863"/>
      <c r="R4" s="863"/>
    </row>
    <row r="5" spans="1:18" s="865" customFormat="1" ht="14.25" customHeight="1">
      <c r="A5" s="912"/>
      <c r="B5" s="855"/>
      <c r="C5" s="855"/>
      <c r="D5" s="782"/>
      <c r="E5" s="700"/>
      <c r="F5" s="783"/>
      <c r="G5" s="783"/>
      <c r="H5" s="783"/>
      <c r="I5" s="783"/>
      <c r="J5" s="784"/>
      <c r="K5" s="785"/>
      <c r="L5" s="786"/>
      <c r="M5" s="787"/>
      <c r="N5" s="700"/>
      <c r="O5" s="908"/>
      <c r="P5" s="1442"/>
      <c r="Q5" s="863"/>
      <c r="R5" s="863"/>
    </row>
    <row r="6" spans="1:18" s="865" customFormat="1" ht="14.25" customHeight="1">
      <c r="A6" s="912"/>
      <c r="B6" s="855"/>
      <c r="C6" s="855"/>
      <c r="D6" s="789" t="s">
        <v>14559</v>
      </c>
      <c r="E6" s="790"/>
      <c r="F6" s="790"/>
      <c r="G6" s="790"/>
      <c r="H6" s="790"/>
      <c r="I6" s="790"/>
      <c r="J6" s="790"/>
      <c r="K6" s="791"/>
      <c r="L6" s="792"/>
      <c r="M6" s="793"/>
      <c r="N6" s="868"/>
      <c r="O6" s="908"/>
      <c r="P6" s="1441"/>
      <c r="Q6" s="863"/>
      <c r="R6" s="863"/>
    </row>
    <row r="7" spans="1:18" s="865" customFormat="1" ht="14.25" customHeight="1">
      <c r="A7" s="912"/>
      <c r="B7" s="855"/>
      <c r="C7" s="855"/>
      <c r="D7" s="789" t="s">
        <v>11836</v>
      </c>
      <c r="E7" s="790"/>
      <c r="F7" s="790"/>
      <c r="G7" s="790"/>
      <c r="H7" s="790"/>
      <c r="I7" s="790"/>
      <c r="J7" s="790"/>
      <c r="K7" s="791"/>
      <c r="L7" s="795"/>
      <c r="M7" s="796"/>
      <c r="N7" s="869"/>
      <c r="O7" s="908"/>
      <c r="P7" s="1441"/>
      <c r="Q7" s="863"/>
      <c r="R7" s="863"/>
    </row>
    <row r="8" spans="1:18" s="863" customFormat="1" ht="14.25" customHeight="1">
      <c r="A8" s="912"/>
      <c r="B8" s="855"/>
      <c r="C8" s="855"/>
      <c r="D8" s="1675" t="s">
        <v>14624</v>
      </c>
      <c r="E8" s="1676"/>
      <c r="F8" s="1676"/>
      <c r="G8" s="1676"/>
      <c r="H8" s="790"/>
      <c r="I8" s="790"/>
      <c r="J8" s="790"/>
      <c r="K8" s="791"/>
      <c r="L8" s="795"/>
      <c r="M8" s="796"/>
      <c r="N8" s="869"/>
      <c r="O8" s="908"/>
      <c r="P8" s="1441"/>
    </row>
    <row r="9" spans="1:18" s="863" customFormat="1" ht="6.75" customHeight="1" thickBot="1">
      <c r="A9" s="912"/>
      <c r="B9" s="855"/>
      <c r="C9" s="855"/>
      <c r="D9" s="798"/>
      <c r="E9" s="799"/>
      <c r="F9" s="799"/>
      <c r="G9" s="800"/>
      <c r="H9" s="800"/>
      <c r="I9" s="800"/>
      <c r="J9" s="800"/>
      <c r="K9" s="801"/>
      <c r="L9" s="802"/>
      <c r="M9" s="803"/>
      <c r="N9" s="869"/>
      <c r="O9" s="908"/>
      <c r="P9" s="1441"/>
    </row>
    <row r="10" spans="1:18" s="863" customFormat="1" ht="15.75" customHeight="1" thickTop="1" thickBot="1">
      <c r="A10" s="912"/>
      <c r="B10" s="855"/>
      <c r="C10" s="855"/>
      <c r="D10" s="1653" t="s">
        <v>14625</v>
      </c>
      <c r="E10" s="1654"/>
      <c r="F10" s="1654"/>
      <c r="G10" s="1654"/>
      <c r="H10" s="1654"/>
      <c r="I10" s="1654"/>
      <c r="J10" s="1654"/>
      <c r="K10" s="1654"/>
      <c r="L10" s="1654"/>
      <c r="M10" s="1670"/>
      <c r="N10" s="870"/>
      <c r="O10" s="1007"/>
      <c r="P10" s="1443"/>
    </row>
    <row r="11" spans="1:18" s="863" customFormat="1" ht="6" customHeight="1" thickTop="1" thickBot="1">
      <c r="A11" s="912"/>
      <c r="B11" s="855"/>
      <c r="C11" s="855"/>
      <c r="D11" s="806"/>
      <c r="E11" s="807"/>
      <c r="F11" s="808"/>
      <c r="G11" s="700"/>
      <c r="H11" s="700"/>
      <c r="I11" s="700"/>
      <c r="J11" s="809"/>
      <c r="K11" s="791"/>
      <c r="L11" s="802"/>
      <c r="M11" s="810"/>
      <c r="N11" s="700"/>
      <c r="O11" s="908"/>
      <c r="P11" s="1444"/>
    </row>
    <row r="12" spans="1:18" s="777" customFormat="1" ht="14.25" customHeight="1" thickTop="1" thickBot="1">
      <c r="A12" s="1319"/>
      <c r="B12" s="1320"/>
      <c r="C12" s="1320"/>
      <c r="D12" s="1671" t="s">
        <v>3</v>
      </c>
      <c r="E12" s="1672"/>
      <c r="F12" s="1672"/>
      <c r="G12" s="1672"/>
      <c r="H12" s="1672"/>
      <c r="I12" s="1672"/>
      <c r="J12" s="1672"/>
      <c r="K12" s="1672"/>
      <c r="L12" s="1672"/>
      <c r="M12" s="1673"/>
      <c r="N12" s="812"/>
      <c r="O12" s="1272"/>
      <c r="P12" s="1445"/>
    </row>
    <row r="13" spans="1:18" s="777" customFormat="1" ht="13.5" thickTop="1">
      <c r="A13" s="1319"/>
      <c r="B13" s="1320"/>
      <c r="C13" s="1320"/>
      <c r="D13" s="814" t="s">
        <v>4</v>
      </c>
      <c r="E13" s="815"/>
      <c r="F13" s="815"/>
      <c r="G13" s="815"/>
      <c r="H13" s="815"/>
      <c r="I13" s="815"/>
      <c r="J13" s="815"/>
      <c r="K13" s="815"/>
      <c r="L13" s="816" t="s">
        <v>5</v>
      </c>
      <c r="M13" s="817">
        <f>'JAZIDA-BF'!C6</f>
        <v>8</v>
      </c>
      <c r="N13" s="818"/>
      <c r="O13" s="1446"/>
      <c r="P13" s="1447"/>
    </row>
    <row r="14" spans="1:18" s="777" customFormat="1">
      <c r="A14" s="1319"/>
      <c r="B14" s="1320"/>
      <c r="C14" s="1320"/>
      <c r="D14" s="820" t="s">
        <v>34</v>
      </c>
      <c r="E14" s="821"/>
      <c r="F14" s="821"/>
      <c r="G14" s="821"/>
      <c r="H14" s="821"/>
      <c r="I14" s="821"/>
      <c r="J14" s="821"/>
      <c r="K14" s="821"/>
      <c r="L14" s="816" t="s">
        <v>5</v>
      </c>
      <c r="M14" s="817">
        <f>'JAZIDA-BF'!B6</f>
        <v>9.35</v>
      </c>
      <c r="N14" s="818"/>
      <c r="O14" s="1446"/>
      <c r="P14" s="1447"/>
    </row>
    <row r="15" spans="1:18" s="777" customFormat="1">
      <c r="A15" s="1319"/>
      <c r="B15" s="1320"/>
      <c r="C15" s="1320"/>
      <c r="D15" s="820" t="s">
        <v>6</v>
      </c>
      <c r="E15" s="821"/>
      <c r="F15" s="821"/>
      <c r="G15" s="821"/>
      <c r="H15" s="821"/>
      <c r="I15" s="821"/>
      <c r="J15" s="821"/>
      <c r="K15" s="821"/>
      <c r="L15" s="816" t="s">
        <v>8</v>
      </c>
      <c r="M15" s="1321">
        <v>0.95</v>
      </c>
      <c r="N15" s="818"/>
      <c r="O15" s="1446"/>
      <c r="P15" s="1447"/>
    </row>
    <row r="16" spans="1:18" s="777" customFormat="1">
      <c r="A16" s="1319"/>
      <c r="B16" s="1320"/>
      <c r="C16" s="1320"/>
      <c r="D16" s="820" t="s">
        <v>7</v>
      </c>
      <c r="E16" s="821"/>
      <c r="F16" s="821"/>
      <c r="G16" s="821"/>
      <c r="H16" s="821"/>
      <c r="I16" s="821"/>
      <c r="J16" s="821"/>
      <c r="K16" s="821"/>
      <c r="L16" s="816" t="s">
        <v>8</v>
      </c>
      <c r="M16" s="1321">
        <v>0.05</v>
      </c>
      <c r="N16" s="818"/>
      <c r="O16" s="1446"/>
      <c r="P16" s="1447"/>
    </row>
    <row r="17" spans="1:19" s="777" customFormat="1">
      <c r="A17" s="1319"/>
      <c r="B17" s="1320"/>
      <c r="C17" s="1320"/>
      <c r="D17" s="820" t="s">
        <v>9</v>
      </c>
      <c r="E17" s="821"/>
      <c r="F17" s="821"/>
      <c r="G17" s="821"/>
      <c r="H17" s="821"/>
      <c r="I17" s="821"/>
      <c r="J17" s="821"/>
      <c r="K17" s="821"/>
      <c r="L17" s="816" t="s">
        <v>8</v>
      </c>
      <c r="M17" s="1321">
        <v>0.9</v>
      </c>
      <c r="N17" s="818"/>
      <c r="O17" s="1446"/>
      <c r="P17" s="1447"/>
    </row>
    <row r="18" spans="1:19" s="777" customFormat="1">
      <c r="A18" s="1319"/>
      <c r="B18" s="1320"/>
      <c r="C18" s="1320"/>
      <c r="D18" s="820" t="s">
        <v>10</v>
      </c>
      <c r="E18" s="821"/>
      <c r="F18" s="821"/>
      <c r="G18" s="821"/>
      <c r="H18" s="821"/>
      <c r="I18" s="821"/>
      <c r="J18" s="821"/>
      <c r="K18" s="821"/>
      <c r="L18" s="816" t="s">
        <v>8</v>
      </c>
      <c r="M18" s="1321">
        <v>0.05</v>
      </c>
      <c r="N18" s="818"/>
      <c r="O18" s="1446"/>
      <c r="P18" s="1447"/>
    </row>
    <row r="19" spans="1:19" s="777" customFormat="1">
      <c r="A19" s="1319"/>
      <c r="B19" s="1320"/>
      <c r="C19" s="1320"/>
      <c r="D19" s="820" t="s">
        <v>11</v>
      </c>
      <c r="E19" s="821"/>
      <c r="F19" s="821"/>
      <c r="G19" s="821"/>
      <c r="H19" s="821"/>
      <c r="I19" s="821"/>
      <c r="J19" s="821"/>
      <c r="K19" s="821"/>
      <c r="L19" s="816" t="s">
        <v>8</v>
      </c>
      <c r="M19" s="1321">
        <v>0</v>
      </c>
      <c r="N19" s="818"/>
      <c r="O19" s="1446"/>
      <c r="P19" s="1447"/>
    </row>
    <row r="20" spans="1:19" s="777" customFormat="1">
      <c r="A20" s="1319"/>
      <c r="B20" s="1320"/>
      <c r="C20" s="1320"/>
      <c r="D20" s="820" t="s">
        <v>12</v>
      </c>
      <c r="E20" s="821"/>
      <c r="F20" s="821"/>
      <c r="G20" s="821"/>
      <c r="H20" s="821"/>
      <c r="I20" s="821"/>
      <c r="J20" s="821"/>
      <c r="K20" s="821"/>
      <c r="L20" s="816" t="s">
        <v>8</v>
      </c>
      <c r="M20" s="1321">
        <v>0.05</v>
      </c>
      <c r="N20" s="818"/>
      <c r="O20" s="1446"/>
      <c r="P20" s="1447"/>
    </row>
    <row r="21" spans="1:19" s="777" customFormat="1">
      <c r="A21" s="1319"/>
      <c r="B21" s="1320"/>
      <c r="C21" s="1320"/>
      <c r="D21" s="820" t="s">
        <v>13</v>
      </c>
      <c r="E21" s="821"/>
      <c r="F21" s="821"/>
      <c r="G21" s="821"/>
      <c r="H21" s="821"/>
      <c r="I21" s="821"/>
      <c r="J21" s="821"/>
      <c r="K21" s="821"/>
      <c r="L21" s="816" t="s">
        <v>8</v>
      </c>
      <c r="M21" s="1321">
        <v>0.2</v>
      </c>
      <c r="N21" s="818"/>
      <c r="O21" s="1446"/>
      <c r="P21" s="1447"/>
    </row>
    <row r="22" spans="1:19" s="777" customFormat="1">
      <c r="A22" s="1319"/>
      <c r="B22" s="1320"/>
      <c r="C22" s="1320"/>
      <c r="D22" s="820" t="s">
        <v>14</v>
      </c>
      <c r="E22" s="821"/>
      <c r="F22" s="821"/>
      <c r="G22" s="821"/>
      <c r="H22" s="821"/>
      <c r="I22" s="821"/>
      <c r="J22" s="821"/>
      <c r="K22" s="821"/>
      <c r="L22" s="816" t="s">
        <v>8</v>
      </c>
      <c r="M22" s="1321">
        <v>0.3</v>
      </c>
      <c r="N22" s="818"/>
      <c r="O22" s="1446"/>
      <c r="P22" s="1447"/>
    </row>
    <row r="23" spans="1:19" s="777" customFormat="1">
      <c r="A23" s="1319"/>
      <c r="B23" s="1320"/>
      <c r="C23" s="1320"/>
      <c r="D23" s="820" t="s">
        <v>15</v>
      </c>
      <c r="E23" s="821"/>
      <c r="F23" s="821"/>
      <c r="G23" s="821"/>
      <c r="H23" s="821"/>
      <c r="I23" s="821"/>
      <c r="J23" s="821"/>
      <c r="K23" s="821"/>
      <c r="L23" s="816" t="s">
        <v>8</v>
      </c>
      <c r="M23" s="1321">
        <v>0.1</v>
      </c>
      <c r="N23" s="818"/>
      <c r="O23" s="1446"/>
      <c r="P23" s="1447"/>
    </row>
    <row r="24" spans="1:19" s="777" customFormat="1">
      <c r="A24" s="1319"/>
      <c r="B24" s="1320"/>
      <c r="C24" s="1320"/>
      <c r="D24" s="820" t="s">
        <v>16</v>
      </c>
      <c r="E24" s="821"/>
      <c r="F24" s="821"/>
      <c r="G24" s="821"/>
      <c r="H24" s="821"/>
      <c r="I24" s="821"/>
      <c r="J24" s="821"/>
      <c r="K24" s="821"/>
      <c r="L24" s="816" t="s">
        <v>8</v>
      </c>
      <c r="M24" s="1321">
        <v>0.9</v>
      </c>
      <c r="N24" s="818"/>
      <c r="O24" s="1446"/>
      <c r="P24" s="1447"/>
    </row>
    <row r="25" spans="1:19" s="865" customFormat="1" ht="13.5" thickBot="1">
      <c r="A25" s="912"/>
      <c r="B25" s="855"/>
      <c r="C25" s="855"/>
      <c r="D25" s="823"/>
      <c r="E25" s="700"/>
      <c r="F25" s="808"/>
      <c r="G25" s="700"/>
      <c r="H25" s="700"/>
      <c r="I25" s="700"/>
      <c r="J25" s="809"/>
      <c r="K25" s="791"/>
      <c r="L25" s="824"/>
      <c r="M25" s="825"/>
      <c r="N25" s="700"/>
      <c r="O25" s="908"/>
      <c r="P25" s="1443"/>
      <c r="Q25" s="863"/>
      <c r="R25" s="863"/>
    </row>
    <row r="26" spans="1:19" s="777" customFormat="1" ht="14.25" customHeight="1" thickTop="1" thickBot="1">
      <c r="A26" s="1319"/>
      <c r="B26" s="1320"/>
      <c r="C26" s="1320"/>
      <c r="D26" s="1671" t="s">
        <v>11664</v>
      </c>
      <c r="E26" s="1672"/>
      <c r="F26" s="1672"/>
      <c r="G26" s="1672"/>
      <c r="H26" s="1672"/>
      <c r="I26" s="1672"/>
      <c r="J26" s="1672"/>
      <c r="K26" s="1672"/>
      <c r="L26" s="1672"/>
      <c r="M26" s="1673"/>
      <c r="N26" s="812"/>
      <c r="O26" s="1272"/>
      <c r="P26" s="1445"/>
    </row>
    <row r="27" spans="1:19" s="863" customFormat="1" ht="14.25" customHeight="1" thickTop="1" thickBot="1">
      <c r="A27" s="912"/>
      <c r="B27" s="855"/>
      <c r="C27" s="855"/>
      <c r="D27" s="878"/>
      <c r="E27" s="816"/>
      <c r="F27" s="816"/>
      <c r="G27" s="816"/>
      <c r="H27" s="816"/>
      <c r="I27" s="816"/>
      <c r="J27" s="816"/>
      <c r="K27" s="816"/>
      <c r="L27" s="816"/>
      <c r="M27" s="879"/>
      <c r="N27" s="816"/>
      <c r="O27" s="908"/>
      <c r="P27" s="1448"/>
    </row>
    <row r="28" spans="1:19" s="863" customFormat="1" ht="15.75" customHeight="1" thickTop="1" thickBot="1">
      <c r="A28" s="912"/>
      <c r="B28" s="835"/>
      <c r="C28" s="835"/>
      <c r="D28" s="830" t="s">
        <v>11640</v>
      </c>
      <c r="E28" s="831"/>
      <c r="F28" s="831"/>
      <c r="G28" s="831"/>
      <c r="H28" s="831"/>
      <c r="I28" s="831"/>
      <c r="J28" s="831"/>
      <c r="K28" s="831"/>
      <c r="L28" s="832"/>
      <c r="M28" s="833"/>
      <c r="N28" s="870"/>
      <c r="O28" s="1007"/>
      <c r="P28" s="1443"/>
    </row>
    <row r="29" spans="1:19" s="865" customFormat="1" ht="13.5" thickTop="1">
      <c r="A29" s="912"/>
      <c r="B29" s="835"/>
      <c r="C29" s="835"/>
      <c r="D29" s="826"/>
      <c r="E29" s="790"/>
      <c r="F29" s="790"/>
      <c r="G29" s="700" t="s">
        <v>30</v>
      </c>
      <c r="H29" s="700" t="s">
        <v>30</v>
      </c>
      <c r="I29" s="700" t="s">
        <v>1275</v>
      </c>
      <c r="J29" s="700" t="s">
        <v>17</v>
      </c>
      <c r="K29" s="700" t="s">
        <v>19</v>
      </c>
      <c r="L29" s="700"/>
      <c r="M29" s="1322"/>
      <c r="N29" s="824"/>
      <c r="O29" s="790"/>
      <c r="P29" s="1212"/>
      <c r="Q29" s="871"/>
      <c r="R29" s="863"/>
      <c r="S29" s="863"/>
    </row>
    <row r="30" spans="1:19" s="865" customFormat="1">
      <c r="A30" s="912"/>
      <c r="B30" s="835"/>
      <c r="C30" s="835"/>
      <c r="D30" s="826"/>
      <c r="E30" s="1674" t="s">
        <v>14488</v>
      </c>
      <c r="F30" s="1674"/>
      <c r="G30" s="1674"/>
      <c r="H30" s="1674"/>
      <c r="I30" s="700">
        <v>3</v>
      </c>
      <c r="J30" s="700">
        <v>2.2999999999999998</v>
      </c>
      <c r="K30" s="700">
        <v>1.5</v>
      </c>
      <c r="L30" s="700" t="s">
        <v>21</v>
      </c>
      <c r="M30" s="1322">
        <f>I30*J30*K30</f>
        <v>10.35</v>
      </c>
      <c r="N30" s="824"/>
      <c r="O30" s="790"/>
      <c r="P30" s="1212"/>
      <c r="Q30" s="871"/>
      <c r="R30" s="863"/>
      <c r="S30" s="863"/>
    </row>
    <row r="31" spans="1:19" s="865" customFormat="1">
      <c r="A31" s="912"/>
      <c r="B31" s="835"/>
      <c r="C31" s="835"/>
      <c r="D31" s="826"/>
      <c r="E31" s="1674" t="s">
        <v>14489</v>
      </c>
      <c r="F31" s="1674"/>
      <c r="G31" s="1674"/>
      <c r="H31" s="1674"/>
      <c r="I31" s="700">
        <v>2</v>
      </c>
      <c r="J31" s="700">
        <v>2.2999999999999998</v>
      </c>
      <c r="K31" s="700">
        <v>1.5</v>
      </c>
      <c r="L31" s="700" t="s">
        <v>21</v>
      </c>
      <c r="M31" s="1322">
        <f>I31*J31*K31</f>
        <v>6.8999999999999995</v>
      </c>
      <c r="N31" s="824"/>
      <c r="O31" s="790"/>
      <c r="P31" s="1212"/>
      <c r="Q31" s="871"/>
      <c r="R31" s="863"/>
      <c r="S31" s="863"/>
    </row>
    <row r="32" spans="1:19" s="865" customFormat="1">
      <c r="A32" s="912"/>
      <c r="B32" s="835"/>
      <c r="C32" s="835"/>
      <c r="D32" s="826"/>
      <c r="E32" s="854"/>
      <c r="F32" s="854"/>
      <c r="G32" s="854"/>
      <c r="H32" s="854"/>
      <c r="I32" s="700"/>
      <c r="J32" s="700"/>
      <c r="K32" s="700"/>
      <c r="L32" s="700"/>
      <c r="M32" s="1322"/>
      <c r="N32" s="824"/>
      <c r="O32" s="790"/>
      <c r="P32" s="1212"/>
      <c r="Q32" s="871"/>
      <c r="R32" s="863"/>
      <c r="S32" s="863"/>
    </row>
    <row r="33" spans="1:19" s="865" customFormat="1" ht="22.5">
      <c r="A33" s="912" t="s">
        <v>14597</v>
      </c>
      <c r="B33" s="855" t="s">
        <v>70</v>
      </c>
      <c r="C33" s="855" t="s">
        <v>19263</v>
      </c>
      <c r="D33" s="836" t="str">
        <f>PROPER(IF(B33="Saneago",VLOOKUP(C33,'SANEAGO-FEV.2016'!A:B,2,0),IF(B33="Sinapi",VLOOKUP(C33,'SINAPI-FEV.2017'!A:D,2,0),IF(B33="Cotação",VLOOKUP(C33,COTAÇÃO!A:D,2,0),IF(B33="Composição",VLOOKUP(C33,COMPOSIÇÃO!A:D,2,0))))))</f>
        <v>Locacao Convencional De Obra, Através De Gabarito De Tabuas Corridas Pontaletadas A Cada 1,50M, Sem Reaproveitamento</v>
      </c>
      <c r="E33" s="837"/>
      <c r="F33" s="837"/>
      <c r="G33" s="852"/>
      <c r="H33" s="852"/>
      <c r="I33" s="852"/>
      <c r="J33" s="852"/>
      <c r="K33" s="856"/>
      <c r="L33" s="856" t="s">
        <v>21</v>
      </c>
      <c r="M33" s="1150">
        <f>SUM(M30:M32)</f>
        <v>17.25</v>
      </c>
      <c r="N33" s="824"/>
      <c r="O33" s="790"/>
      <c r="P33" s="1212"/>
      <c r="Q33" s="871"/>
      <c r="R33" s="863"/>
      <c r="S33" s="863"/>
    </row>
    <row r="34" spans="1:19" s="865" customFormat="1">
      <c r="A34" s="912"/>
      <c r="B34" s="835"/>
      <c r="C34" s="835"/>
      <c r="D34" s="826"/>
      <c r="E34" s="790"/>
      <c r="F34" s="790"/>
      <c r="G34" s="700" t="s">
        <v>30</v>
      </c>
      <c r="H34" s="700" t="s">
        <v>30</v>
      </c>
      <c r="I34" s="700" t="s">
        <v>1275</v>
      </c>
      <c r="J34" s="700" t="s">
        <v>43</v>
      </c>
      <c r="K34" s="700"/>
      <c r="L34" s="700"/>
      <c r="M34" s="1322"/>
      <c r="N34" s="824"/>
      <c r="O34" s="790"/>
      <c r="P34" s="1212"/>
      <c r="Q34" s="871"/>
      <c r="R34" s="863"/>
      <c r="S34" s="863"/>
    </row>
    <row r="35" spans="1:19" s="865" customFormat="1">
      <c r="A35" s="912"/>
      <c r="B35" s="835"/>
      <c r="C35" s="835"/>
      <c r="D35" s="826"/>
      <c r="E35" s="1674" t="s">
        <v>14496</v>
      </c>
      <c r="F35" s="1674"/>
      <c r="G35" s="1674"/>
      <c r="H35" s="1674"/>
      <c r="I35" s="700">
        <v>1</v>
      </c>
      <c r="J35" s="700">
        <v>84</v>
      </c>
      <c r="K35" s="700"/>
      <c r="L35" s="700" t="s">
        <v>18</v>
      </c>
      <c r="M35" s="1322">
        <f>I35*J35</f>
        <v>84</v>
      </c>
      <c r="N35" s="824"/>
      <c r="O35" s="790"/>
      <c r="P35" s="1212"/>
      <c r="Q35" s="871"/>
      <c r="R35" s="863"/>
      <c r="S35" s="863"/>
    </row>
    <row r="36" spans="1:19" s="865" customFormat="1">
      <c r="A36" s="912"/>
      <c r="B36" s="835"/>
      <c r="C36" s="835"/>
      <c r="D36" s="826"/>
      <c r="E36" s="1674" t="s">
        <v>14497</v>
      </c>
      <c r="F36" s="1674"/>
      <c r="G36" s="1674"/>
      <c r="H36" s="1674"/>
      <c r="I36" s="700">
        <v>1</v>
      </c>
      <c r="J36" s="700">
        <v>20</v>
      </c>
      <c r="K36" s="700"/>
      <c r="L36" s="700" t="s">
        <v>18</v>
      </c>
      <c r="M36" s="1322">
        <f>I36*J36</f>
        <v>20</v>
      </c>
      <c r="N36" s="824"/>
      <c r="O36" s="790"/>
      <c r="P36" s="1212"/>
      <c r="Q36" s="871"/>
      <c r="R36" s="863"/>
      <c r="S36" s="863"/>
    </row>
    <row r="37" spans="1:19" s="865" customFormat="1">
      <c r="A37" s="912"/>
      <c r="B37" s="855"/>
      <c r="C37" s="855"/>
      <c r="D37" s="826"/>
      <c r="E37" s="1674"/>
      <c r="F37" s="1674"/>
      <c r="G37" s="1674"/>
      <c r="H37" s="1674"/>
      <c r="I37" s="700"/>
      <c r="J37" s="700"/>
      <c r="K37" s="700"/>
      <c r="L37" s="700"/>
      <c r="M37" s="1322"/>
      <c r="N37" s="824"/>
      <c r="O37" s="790"/>
      <c r="P37" s="1212"/>
      <c r="Q37" s="871"/>
      <c r="R37" s="863"/>
      <c r="S37" s="863"/>
    </row>
    <row r="38" spans="1:19" s="865" customFormat="1" ht="22.5">
      <c r="A38" s="912" t="s">
        <v>14598</v>
      </c>
      <c r="B38" s="855" t="s">
        <v>70</v>
      </c>
      <c r="C38" s="855">
        <v>85323</v>
      </c>
      <c r="D38" s="836" t="str">
        <f>PROPER(IF(B38="Saneago",VLOOKUP(C38,'SANEAGO-FEV.2016'!A:B,2,0),IF(B38="Sinapi",VLOOKUP(C38,'SINAPI-FEV.2017'!A:D,2,0),IF(B38="Cotação",VLOOKUP(C38,COTAÇÃO!A:D,2,0),IF(B38="Composição",VLOOKUP(C38,COMPOSIÇÃO!A:D,2,0))))))</f>
        <v>Locacao E Nivelamento De Emissario/Rede Coletora Com Auxilio De Equipamento Topografico</v>
      </c>
      <c r="E38" s="837"/>
      <c r="F38" s="837"/>
      <c r="G38" s="852"/>
      <c r="H38" s="852"/>
      <c r="I38" s="852"/>
      <c r="J38" s="852"/>
      <c r="K38" s="856"/>
      <c r="L38" s="856" t="s">
        <v>18</v>
      </c>
      <c r="M38" s="1150">
        <f>SUM(M35:M37)</f>
        <v>104</v>
      </c>
      <c r="N38" s="824"/>
      <c r="O38" s="790"/>
      <c r="P38" s="1212"/>
      <c r="Q38" s="871"/>
      <c r="R38" s="863"/>
      <c r="S38" s="863"/>
    </row>
    <row r="39" spans="1:19" s="865" customFormat="1" ht="13.5" thickBot="1">
      <c r="A39" s="912"/>
      <c r="B39" s="835"/>
      <c r="C39" s="835"/>
      <c r="D39" s="826"/>
      <c r="E39" s="790"/>
      <c r="F39" s="790"/>
      <c r="G39" s="700"/>
      <c r="H39" s="700"/>
      <c r="I39" s="700"/>
      <c r="J39" s="700"/>
      <c r="K39" s="700"/>
      <c r="L39" s="700"/>
      <c r="M39" s="1322"/>
      <c r="N39" s="824"/>
      <c r="O39" s="790"/>
      <c r="P39" s="1212"/>
      <c r="Q39" s="871"/>
      <c r="R39" s="863"/>
      <c r="S39" s="863"/>
    </row>
    <row r="40" spans="1:19" s="863" customFormat="1" ht="15.75" customHeight="1" thickTop="1" thickBot="1">
      <c r="A40" s="912"/>
      <c r="B40" s="855"/>
      <c r="C40" s="855"/>
      <c r="D40" s="830" t="s">
        <v>41</v>
      </c>
      <c r="E40" s="831"/>
      <c r="F40" s="831"/>
      <c r="G40" s="831"/>
      <c r="H40" s="831"/>
      <c r="I40" s="831"/>
      <c r="J40" s="831"/>
      <c r="K40" s="831"/>
      <c r="L40" s="832"/>
      <c r="M40" s="833"/>
      <c r="N40" s="870"/>
      <c r="O40" s="1007"/>
      <c r="P40" s="1443"/>
    </row>
    <row r="41" spans="1:19" s="863" customFormat="1" ht="12.75" customHeight="1" thickTop="1">
      <c r="A41" s="912"/>
      <c r="B41" s="855"/>
      <c r="C41" s="1325"/>
      <c r="D41" s="899"/>
      <c r="E41" s="824"/>
      <c r="F41" s="824"/>
      <c r="G41" s="700" t="s">
        <v>30</v>
      </c>
      <c r="H41" s="700" t="s">
        <v>30</v>
      </c>
      <c r="I41" s="700" t="s">
        <v>30</v>
      </c>
      <c r="J41" s="700" t="s">
        <v>30</v>
      </c>
      <c r="K41" s="700" t="s">
        <v>30</v>
      </c>
      <c r="L41" s="700" t="s">
        <v>30</v>
      </c>
      <c r="M41" s="700" t="s">
        <v>30</v>
      </c>
      <c r="N41" s="700"/>
      <c r="O41" s="908"/>
      <c r="P41" s="1443"/>
    </row>
    <row r="42" spans="1:19" s="863" customFormat="1">
      <c r="A42" s="962"/>
      <c r="B42" s="835"/>
      <c r="C42" s="835"/>
      <c r="D42" s="878"/>
      <c r="E42" s="816"/>
      <c r="F42" s="816"/>
      <c r="G42" s="700"/>
      <c r="H42" s="700"/>
      <c r="I42" s="700"/>
      <c r="J42" s="700"/>
      <c r="K42" s="700"/>
      <c r="L42" s="700"/>
      <c r="M42" s="700"/>
      <c r="N42" s="700"/>
      <c r="O42" s="908"/>
      <c r="P42" s="1443"/>
    </row>
    <row r="43" spans="1:19" s="863" customFormat="1">
      <c r="A43" s="962"/>
      <c r="B43" s="835"/>
      <c r="C43" s="898"/>
      <c r="D43" s="836" t="s">
        <v>11693</v>
      </c>
      <c r="E43" s="837"/>
      <c r="F43" s="837"/>
      <c r="G43" s="880"/>
      <c r="H43" s="880"/>
      <c r="I43" s="880"/>
      <c r="J43" s="880"/>
      <c r="K43" s="880"/>
      <c r="L43" s="852" t="s">
        <v>18</v>
      </c>
      <c r="M43" s="1352">
        <v>0.6</v>
      </c>
      <c r="N43" s="700"/>
      <c r="O43" s="908"/>
      <c r="P43" s="1443"/>
    </row>
    <row r="44" spans="1:19" s="863" customFormat="1">
      <c r="A44" s="962"/>
      <c r="B44" s="835"/>
      <c r="C44" s="898"/>
      <c r="D44" s="881"/>
      <c r="E44" s="882"/>
      <c r="F44" s="882"/>
      <c r="G44" s="700"/>
      <c r="H44" s="700"/>
      <c r="I44" s="700"/>
      <c r="J44" s="700"/>
      <c r="K44" s="700"/>
      <c r="L44" s="883"/>
      <c r="M44" s="1353"/>
      <c r="N44" s="700"/>
      <c r="O44" s="908"/>
      <c r="P44" s="1443"/>
    </row>
    <row r="45" spans="1:19" s="863" customFormat="1" ht="15">
      <c r="A45" s="962"/>
      <c r="B45" s="835"/>
      <c r="C45" s="898"/>
      <c r="D45" s="836" t="s">
        <v>11668</v>
      </c>
      <c r="E45" s="837"/>
      <c r="F45" s="837"/>
      <c r="G45" s="852"/>
      <c r="H45" s="852"/>
      <c r="I45" s="852"/>
      <c r="J45" s="852"/>
      <c r="K45" s="852"/>
      <c r="L45" s="852"/>
      <c r="M45" s="1449">
        <v>25</v>
      </c>
      <c r="N45" s="700"/>
      <c r="O45" s="1450"/>
      <c r="P45" s="1443"/>
    </row>
    <row r="46" spans="1:19" s="863" customFormat="1">
      <c r="A46" s="962"/>
      <c r="B46" s="835"/>
      <c r="C46" s="898"/>
      <c r="D46" s="881"/>
      <c r="E46" s="882"/>
      <c r="F46" s="882"/>
      <c r="G46" s="700"/>
      <c r="H46" s="700"/>
      <c r="I46" s="700" t="s">
        <v>11671</v>
      </c>
      <c r="J46" s="700" t="s">
        <v>11672</v>
      </c>
      <c r="K46" s="700" t="s">
        <v>11673</v>
      </c>
      <c r="L46" s="883"/>
      <c r="M46" s="1353"/>
      <c r="N46" s="700"/>
      <c r="O46" s="908"/>
      <c r="P46" s="1443"/>
    </row>
    <row r="47" spans="1:19" s="863" customFormat="1" ht="15">
      <c r="A47" s="912"/>
      <c r="B47" s="835"/>
      <c r="C47" s="1451"/>
      <c r="D47" s="836" t="s">
        <v>11670</v>
      </c>
      <c r="E47" s="837"/>
      <c r="F47" s="837"/>
      <c r="G47" s="852"/>
      <c r="H47" s="852"/>
      <c r="I47" s="852">
        <v>0.25</v>
      </c>
      <c r="J47" s="852">
        <v>0.15</v>
      </c>
      <c r="K47" s="852">
        <v>0.05</v>
      </c>
      <c r="L47" s="852" t="s">
        <v>18</v>
      </c>
      <c r="M47" s="1352">
        <f>SUM(I47:K47)</f>
        <v>0.45</v>
      </c>
      <c r="N47" s="700"/>
      <c r="O47" s="1450"/>
      <c r="P47" s="1443"/>
    </row>
    <row r="48" spans="1:19" s="863" customFormat="1" ht="22.5">
      <c r="A48" s="912"/>
      <c r="B48" s="835"/>
      <c r="C48" s="898"/>
      <c r="D48" s="881"/>
      <c r="E48" s="1117"/>
      <c r="F48" s="1117"/>
      <c r="G48" s="1452" t="s">
        <v>30</v>
      </c>
      <c r="H48" s="1452" t="s">
        <v>1275</v>
      </c>
      <c r="I48" s="1452" t="s">
        <v>17</v>
      </c>
      <c r="J48" s="1452" t="s">
        <v>19</v>
      </c>
      <c r="K48" s="883" t="s">
        <v>11887</v>
      </c>
      <c r="L48" s="883" t="s">
        <v>11875</v>
      </c>
      <c r="M48" s="1453" t="s">
        <v>11888</v>
      </c>
      <c r="N48" s="700"/>
      <c r="O48" s="908"/>
      <c r="P48" s="1443"/>
    </row>
    <row r="49" spans="1:16" s="863" customFormat="1">
      <c r="A49" s="912"/>
      <c r="B49" s="835"/>
      <c r="C49" s="898"/>
      <c r="D49" s="826"/>
      <c r="E49" s="1674" t="s">
        <v>14248</v>
      </c>
      <c r="F49" s="1674"/>
      <c r="G49" s="1674"/>
      <c r="H49" s="970">
        <f t="shared" ref="H49:J50" si="0">I30</f>
        <v>3</v>
      </c>
      <c r="I49" s="970">
        <f t="shared" si="0"/>
        <v>2.2999999999999998</v>
      </c>
      <c r="J49" s="970">
        <f t="shared" si="0"/>
        <v>1.5</v>
      </c>
      <c r="K49" s="828">
        <v>3.4</v>
      </c>
      <c r="L49" s="828">
        <f>K121+K126</f>
        <v>0.15</v>
      </c>
      <c r="M49" s="877">
        <f>K49+L49</f>
        <v>3.55</v>
      </c>
      <c r="N49" s="828">
        <f>H49*((I49*J49*0.15)*2+(2*(I49-0.15*2)+2*(J49-0.15*2))*0.15*K49)</f>
        <v>12.896999999999998</v>
      </c>
      <c r="O49" s="908"/>
      <c r="P49" s="1443"/>
    </row>
    <row r="50" spans="1:16" s="863" customFormat="1">
      <c r="A50" s="912"/>
      <c r="B50" s="835"/>
      <c r="C50" s="898"/>
      <c r="D50" s="836" t="s">
        <v>11873</v>
      </c>
      <c r="E50" s="1677" t="s">
        <v>14249</v>
      </c>
      <c r="F50" s="1677"/>
      <c r="G50" s="1677"/>
      <c r="H50" s="987">
        <f t="shared" si="0"/>
        <v>2</v>
      </c>
      <c r="I50" s="987">
        <f t="shared" si="0"/>
        <v>2.2999999999999998</v>
      </c>
      <c r="J50" s="987">
        <f t="shared" si="0"/>
        <v>1.5</v>
      </c>
      <c r="K50" s="838">
        <v>2.9</v>
      </c>
      <c r="L50" s="838">
        <f>K122+K127</f>
        <v>0.15</v>
      </c>
      <c r="M50" s="939">
        <f>K50+L50</f>
        <v>3.05</v>
      </c>
      <c r="N50" s="828">
        <f>H50*((I50*J50*0.15)*2+(2*(I50-0.15*2)+2*(J50-0.15*2))*0.15*K50)</f>
        <v>7.6379999999999981</v>
      </c>
      <c r="O50" s="908"/>
      <c r="P50" s="1443"/>
    </row>
    <row r="51" spans="1:16" s="863" customFormat="1" ht="22.5" customHeight="1">
      <c r="A51" s="912"/>
      <c r="B51" s="835"/>
      <c r="C51" s="835"/>
      <c r="D51" s="826"/>
      <c r="E51" s="790"/>
      <c r="F51" s="700" t="s">
        <v>1275</v>
      </c>
      <c r="G51" s="700" t="s">
        <v>11885</v>
      </c>
      <c r="H51" s="700" t="s">
        <v>11669</v>
      </c>
      <c r="I51" s="700" t="s">
        <v>11886</v>
      </c>
      <c r="J51" s="700" t="s">
        <v>11675</v>
      </c>
      <c r="K51" s="700" t="s">
        <v>11667</v>
      </c>
      <c r="L51" s="700"/>
      <c r="M51" s="1149"/>
      <c r="N51" s="700"/>
      <c r="O51" s="908"/>
      <c r="P51" s="1443"/>
    </row>
    <row r="52" spans="1:16" s="863" customFormat="1">
      <c r="A52" s="912"/>
      <c r="B52" s="835"/>
      <c r="C52" s="835"/>
      <c r="D52" s="888" t="s">
        <v>14488</v>
      </c>
      <c r="E52" s="824"/>
      <c r="F52" s="828">
        <f>H126</f>
        <v>3</v>
      </c>
      <c r="G52" s="828">
        <f>I126+$M$43*2</f>
        <v>3.5</v>
      </c>
      <c r="H52" s="828">
        <f>J126+$M$43*2</f>
        <v>2.7</v>
      </c>
      <c r="I52" s="828">
        <f>G52+2*(K52*TAN($M$45*PI()/180))</f>
        <v>6.81078437290049</v>
      </c>
      <c r="J52" s="828">
        <f>H52+2*(K52*TAN($M$45*PI()/180))</f>
        <v>6.0107843729004902</v>
      </c>
      <c r="K52" s="828">
        <f>M49</f>
        <v>3.55</v>
      </c>
      <c r="L52" s="828" t="s">
        <v>22</v>
      </c>
      <c r="M52" s="1322">
        <f>ROUND(F52*((K52/3)*((I52*J52)+SQRT((I52*J52)*(G52*H52))+(G52*H52))),2)</f>
        <v>248.7</v>
      </c>
      <c r="N52" s="700"/>
      <c r="O52" s="908"/>
      <c r="P52" s="1443"/>
    </row>
    <row r="53" spans="1:16" s="863" customFormat="1">
      <c r="A53" s="912"/>
      <c r="B53" s="835"/>
      <c r="C53" s="835"/>
      <c r="D53" s="888" t="s">
        <v>14490</v>
      </c>
      <c r="E53" s="824"/>
      <c r="F53" s="828">
        <f>H127</f>
        <v>2</v>
      </c>
      <c r="G53" s="828">
        <f>I127+$M$43*2</f>
        <v>3.5</v>
      </c>
      <c r="H53" s="828">
        <f>J127+$M$43*2</f>
        <v>2.7</v>
      </c>
      <c r="I53" s="828">
        <f>G53+2*(K53*TAN($M$45*PI()/180))</f>
        <v>6.3444767147454915</v>
      </c>
      <c r="J53" s="828">
        <f>H53+2*(K53*TAN($M$45*PI()/180))</f>
        <v>5.5444767147454908</v>
      </c>
      <c r="K53" s="828">
        <f>M50</f>
        <v>3.05</v>
      </c>
      <c r="L53" s="828" t="s">
        <v>22</v>
      </c>
      <c r="M53" s="1322">
        <f>ROUND(F53*((K53/3)*((I53*J53)+SQRT((I53*J53)*(G53*H53))+(G53*H53))),2)</f>
        <v>127.81</v>
      </c>
      <c r="N53" s="700"/>
      <c r="O53" s="908"/>
      <c r="P53" s="1443"/>
    </row>
    <row r="54" spans="1:16" s="863" customFormat="1" ht="13.5" customHeight="1">
      <c r="A54" s="912"/>
      <c r="B54" s="835"/>
      <c r="C54" s="835"/>
      <c r="D54" s="888"/>
      <c r="E54" s="790"/>
      <c r="F54" s="998"/>
      <c r="G54" s="828"/>
      <c r="H54" s="828"/>
      <c r="I54" s="828"/>
      <c r="J54" s="828"/>
      <c r="K54" s="828"/>
      <c r="L54" s="828"/>
      <c r="M54" s="1322"/>
      <c r="N54" s="700"/>
      <c r="O54" s="908"/>
      <c r="P54" s="1443"/>
    </row>
    <row r="55" spans="1:16" s="863" customFormat="1" ht="14.25" customHeight="1">
      <c r="A55" s="912"/>
      <c r="B55" s="835"/>
      <c r="C55" s="835"/>
      <c r="D55" s="836" t="s">
        <v>11874</v>
      </c>
      <c r="E55" s="837"/>
      <c r="F55" s="999"/>
      <c r="G55" s="838"/>
      <c r="H55" s="838"/>
      <c r="I55" s="838"/>
      <c r="J55" s="838"/>
      <c r="K55" s="988" t="s">
        <v>27</v>
      </c>
      <c r="L55" s="988" t="s">
        <v>21</v>
      </c>
      <c r="M55" s="1150">
        <f>SUM(M52:M53)</f>
        <v>376.51</v>
      </c>
      <c r="N55" s="700"/>
      <c r="O55" s="1450"/>
      <c r="P55" s="1443"/>
    </row>
    <row r="56" spans="1:16" s="863" customFormat="1" ht="22.5" customHeight="1">
      <c r="A56" s="912"/>
      <c r="B56" s="835"/>
      <c r="C56" s="835"/>
      <c r="D56" s="881"/>
      <c r="E56" s="882"/>
      <c r="F56" s="828" t="s">
        <v>1275</v>
      </c>
      <c r="G56" s="828" t="s">
        <v>11885</v>
      </c>
      <c r="H56" s="828" t="s">
        <v>11669</v>
      </c>
      <c r="I56" s="828" t="s">
        <v>11886</v>
      </c>
      <c r="J56" s="828" t="s">
        <v>11675</v>
      </c>
      <c r="K56" s="828" t="s">
        <v>11667</v>
      </c>
      <c r="L56" s="1000"/>
      <c r="M56" s="1350"/>
      <c r="N56" s="700"/>
      <c r="O56" s="908"/>
      <c r="P56" s="1443"/>
    </row>
    <row r="57" spans="1:16" s="863" customFormat="1">
      <c r="A57" s="912"/>
      <c r="B57" s="835"/>
      <c r="C57" s="835"/>
      <c r="D57" s="888" t="s">
        <v>14488</v>
      </c>
      <c r="E57" s="790"/>
      <c r="F57" s="828">
        <f>F52</f>
        <v>3</v>
      </c>
      <c r="G57" s="828">
        <f>I61</f>
        <v>5.4118613984354935</v>
      </c>
      <c r="H57" s="828">
        <f>J61</f>
        <v>4.6118613984354946</v>
      </c>
      <c r="I57" s="828">
        <f>G57+2*(K57*TAN($M$45*PI()/180))</f>
        <v>6.8107843729004891</v>
      </c>
      <c r="J57" s="828">
        <f>H57+2*(K57*TAN($M$45*PI()/180))</f>
        <v>6.0107843729004902</v>
      </c>
      <c r="K57" s="828">
        <f>K52-K65-K61</f>
        <v>1.5</v>
      </c>
      <c r="L57" s="828" t="s">
        <v>22</v>
      </c>
      <c r="M57" s="1322">
        <f>ROUND(F57*((K57/3)*((I57*J57)+SQRT((I57*J57)*(G57*H57))+(G57*H57))),2)</f>
        <v>146.79</v>
      </c>
      <c r="N57" s="700"/>
      <c r="O57" s="908"/>
      <c r="P57" s="1443"/>
    </row>
    <row r="58" spans="1:16" s="863" customFormat="1">
      <c r="A58" s="912"/>
      <c r="B58" s="835"/>
      <c r="C58" s="835"/>
      <c r="D58" s="888" t="s">
        <v>14490</v>
      </c>
      <c r="E58" s="790"/>
      <c r="F58" s="828">
        <f>F53</f>
        <v>2</v>
      </c>
      <c r="G58" s="828">
        <f>I62</f>
        <v>4.9455537402804959</v>
      </c>
      <c r="H58" s="828">
        <f>J62</f>
        <v>4.1455537402804961</v>
      </c>
      <c r="I58" s="828">
        <f>G58+2*(K58*TAN($M$45*PI()/180))</f>
        <v>6.3444767147454915</v>
      </c>
      <c r="J58" s="828">
        <f>H58+2*(K58*TAN($M$45*PI()/180))</f>
        <v>5.5444767147454916</v>
      </c>
      <c r="K58" s="828">
        <f>K53-K66-K62</f>
        <v>1.5</v>
      </c>
      <c r="L58" s="828" t="s">
        <v>22</v>
      </c>
      <c r="M58" s="1322">
        <f>ROUND(F58*((K58/3)*((I58*J58)+SQRT((I58*J58)*(G58*H58))+(G58*H58))),2)</f>
        <v>82.53</v>
      </c>
      <c r="N58" s="700"/>
      <c r="O58" s="908"/>
      <c r="P58" s="1443"/>
    </row>
    <row r="59" spans="1:16" s="863" customFormat="1" ht="11.25" customHeight="1">
      <c r="A59" s="912"/>
      <c r="B59" s="835"/>
      <c r="C59" s="835"/>
      <c r="D59" s="836" t="s">
        <v>20297</v>
      </c>
      <c r="E59" s="837"/>
      <c r="F59" s="999"/>
      <c r="G59" s="838"/>
      <c r="H59" s="838"/>
      <c r="I59" s="838"/>
      <c r="J59" s="838"/>
      <c r="K59" s="839" t="s">
        <v>27</v>
      </c>
      <c r="L59" s="856" t="s">
        <v>22</v>
      </c>
      <c r="M59" s="1150">
        <f>SUM(M57:M58)</f>
        <v>229.32</v>
      </c>
      <c r="N59" s="700"/>
      <c r="O59" s="908"/>
      <c r="P59" s="1443"/>
    </row>
    <row r="60" spans="1:16" s="863" customFormat="1" ht="22.5">
      <c r="A60" s="912"/>
      <c r="B60" s="835"/>
      <c r="C60" s="835"/>
      <c r="D60" s="881"/>
      <c r="E60" s="882"/>
      <c r="F60" s="828" t="s">
        <v>1275</v>
      </c>
      <c r="G60" s="828" t="s">
        <v>11885</v>
      </c>
      <c r="H60" s="828" t="s">
        <v>11669</v>
      </c>
      <c r="I60" s="828" t="s">
        <v>11886</v>
      </c>
      <c r="J60" s="828" t="s">
        <v>11675</v>
      </c>
      <c r="K60" s="828" t="s">
        <v>11667</v>
      </c>
      <c r="L60" s="1000"/>
      <c r="M60" s="1350"/>
      <c r="N60" s="700"/>
      <c r="O60" s="908"/>
      <c r="P60" s="1443"/>
    </row>
    <row r="61" spans="1:16" s="863" customFormat="1">
      <c r="A61" s="912"/>
      <c r="B61" s="835"/>
      <c r="C61" s="835"/>
      <c r="D61" s="888" t="s">
        <v>14488</v>
      </c>
      <c r="E61" s="790"/>
      <c r="F61" s="828">
        <f>F52</f>
        <v>3</v>
      </c>
      <c r="G61" s="828">
        <f>I65</f>
        <v>4.0129384239704979</v>
      </c>
      <c r="H61" s="828">
        <f>J65</f>
        <v>3.2129384239704986</v>
      </c>
      <c r="I61" s="828">
        <f>G61+2*(K61*TAN($M$45*PI()/180))</f>
        <v>5.4118613984354935</v>
      </c>
      <c r="J61" s="828">
        <f>H61+2*(K61*TAN($M$45*PI()/180))</f>
        <v>4.6118613984354946</v>
      </c>
      <c r="K61" s="828">
        <f>K52-1.5-K65</f>
        <v>1.5</v>
      </c>
      <c r="L61" s="828" t="s">
        <v>22</v>
      </c>
      <c r="M61" s="1322">
        <f>ROUND(F61*((K61/3)*((I61*J61)+SQRT((I61*J61)*(G61*H61))+(G61*H61))),2)</f>
        <v>83.69</v>
      </c>
      <c r="N61" s="700"/>
      <c r="O61" s="908"/>
      <c r="P61" s="1443"/>
    </row>
    <row r="62" spans="1:16" s="863" customFormat="1">
      <c r="A62" s="912"/>
      <c r="B62" s="835"/>
      <c r="C62" s="835"/>
      <c r="D62" s="888" t="s">
        <v>14490</v>
      </c>
      <c r="E62" s="790"/>
      <c r="F62" s="828">
        <f>F53</f>
        <v>2</v>
      </c>
      <c r="G62" s="828">
        <f>I66</f>
        <v>3.5466307658154999</v>
      </c>
      <c r="H62" s="828">
        <f>J66</f>
        <v>2.7466307658155</v>
      </c>
      <c r="I62" s="828">
        <f>G62+2*(K62*TAN($M$45*PI()/180))</f>
        <v>4.9455537402804959</v>
      </c>
      <c r="J62" s="828">
        <f>H62+2*(K62*TAN($M$45*PI()/180))</f>
        <v>4.1455537402804961</v>
      </c>
      <c r="K62" s="828">
        <f>K53-1.5-K66</f>
        <v>1.5</v>
      </c>
      <c r="L62" s="828" t="s">
        <v>22</v>
      </c>
      <c r="M62" s="1322">
        <f>ROUND(F62*((K62/3)*((I62*J62)+SQRT((I62*J62)*(G62*H62))+(G62*H62))),2)</f>
        <v>44.38</v>
      </c>
      <c r="N62" s="700"/>
      <c r="O62" s="908"/>
      <c r="P62" s="1443"/>
    </row>
    <row r="63" spans="1:16" s="863" customFormat="1" ht="12.75" customHeight="1">
      <c r="A63" s="912"/>
      <c r="B63" s="835"/>
      <c r="C63" s="835"/>
      <c r="D63" s="836" t="s">
        <v>20185</v>
      </c>
      <c r="E63" s="837"/>
      <c r="F63" s="837"/>
      <c r="G63" s="838"/>
      <c r="H63" s="838"/>
      <c r="I63" s="838"/>
      <c r="J63" s="838"/>
      <c r="K63" s="839" t="s">
        <v>27</v>
      </c>
      <c r="L63" s="856" t="s">
        <v>22</v>
      </c>
      <c r="M63" s="1150">
        <f>SUM(M61:M62)</f>
        <v>128.07</v>
      </c>
      <c r="N63" s="700"/>
      <c r="O63" s="908"/>
      <c r="P63" s="1443"/>
    </row>
    <row r="64" spans="1:16" s="863" customFormat="1" ht="22.5">
      <c r="A64" s="912"/>
      <c r="B64" s="835"/>
      <c r="C64" s="835"/>
      <c r="D64" s="881"/>
      <c r="E64" s="882"/>
      <c r="F64" s="828" t="s">
        <v>1275</v>
      </c>
      <c r="G64" s="828" t="s">
        <v>11885</v>
      </c>
      <c r="H64" s="828" t="s">
        <v>11669</v>
      </c>
      <c r="I64" s="828" t="s">
        <v>11886</v>
      </c>
      <c r="J64" s="828" t="s">
        <v>11675</v>
      </c>
      <c r="K64" s="828" t="s">
        <v>11667</v>
      </c>
      <c r="L64" s="1000"/>
      <c r="M64" s="1350"/>
      <c r="N64" s="700"/>
      <c r="O64" s="908"/>
      <c r="P64" s="1443"/>
    </row>
    <row r="65" spans="1:16" s="863" customFormat="1">
      <c r="A65" s="912"/>
      <c r="B65" s="835"/>
      <c r="C65" s="835"/>
      <c r="D65" s="888" t="s">
        <v>14488</v>
      </c>
      <c r="E65" s="790"/>
      <c r="F65" s="828">
        <f t="shared" ref="F65:H66" si="1">F52</f>
        <v>3</v>
      </c>
      <c r="G65" s="828">
        <f t="shared" si="1"/>
        <v>3.5</v>
      </c>
      <c r="H65" s="828">
        <f t="shared" si="1"/>
        <v>2.7</v>
      </c>
      <c r="I65" s="828">
        <f>G65+2*(K65*TAN($M$45*PI()/180))</f>
        <v>4.0129384239704979</v>
      </c>
      <c r="J65" s="828">
        <f>H65+2*(K65*TAN($M$45*PI()/180))</f>
        <v>3.2129384239704986</v>
      </c>
      <c r="K65" s="828">
        <f>K52-3</f>
        <v>0.54999999999999982</v>
      </c>
      <c r="L65" s="828" t="s">
        <v>22</v>
      </c>
      <c r="M65" s="1322">
        <f>ROUND(F65*((K65/3)*((I65*J65)+SQRT((I65*J65)*(G65*H65))+(G65*H65))),2)</f>
        <v>18.36</v>
      </c>
      <c r="N65" s="700"/>
      <c r="O65" s="908"/>
      <c r="P65" s="1443"/>
    </row>
    <row r="66" spans="1:16" s="863" customFormat="1">
      <c r="A66" s="912"/>
      <c r="B66" s="835"/>
      <c r="C66" s="835"/>
      <c r="D66" s="888" t="s">
        <v>14490</v>
      </c>
      <c r="E66" s="790"/>
      <c r="F66" s="828">
        <f t="shared" si="1"/>
        <v>2</v>
      </c>
      <c r="G66" s="828">
        <f t="shared" si="1"/>
        <v>3.5</v>
      </c>
      <c r="H66" s="828">
        <f t="shared" si="1"/>
        <v>2.7</v>
      </c>
      <c r="I66" s="828">
        <f>G66+2*(K66*TAN($M$45*PI()/180))</f>
        <v>3.5466307658154999</v>
      </c>
      <c r="J66" s="828">
        <f>H66+2*(K66*TAN($M$45*PI()/180))</f>
        <v>2.7466307658155</v>
      </c>
      <c r="K66" s="828">
        <f>K53-3</f>
        <v>4.9999999999999822E-2</v>
      </c>
      <c r="L66" s="828" t="s">
        <v>22</v>
      </c>
      <c r="M66" s="1322">
        <f>ROUND(F66*((K66/3)*((I66*J66)+SQRT((I66*J66)*(G66*H66))+(G66*H66))),2)</f>
        <v>0.96</v>
      </c>
      <c r="N66" s="700"/>
      <c r="O66" s="908"/>
      <c r="P66" s="1443"/>
    </row>
    <row r="67" spans="1:16" s="863" customFormat="1" ht="12.75" customHeight="1">
      <c r="A67" s="912"/>
      <c r="B67" s="835"/>
      <c r="C67" s="835"/>
      <c r="D67" s="836" t="s">
        <v>20186</v>
      </c>
      <c r="E67" s="837"/>
      <c r="F67" s="837"/>
      <c r="G67" s="838"/>
      <c r="H67" s="838"/>
      <c r="I67" s="838"/>
      <c r="J67" s="838"/>
      <c r="K67" s="839" t="s">
        <v>27</v>
      </c>
      <c r="L67" s="856" t="s">
        <v>22</v>
      </c>
      <c r="M67" s="1150">
        <f>SUM(M65:M66)</f>
        <v>19.32</v>
      </c>
      <c r="N67" s="700"/>
      <c r="O67" s="908"/>
      <c r="P67" s="1443"/>
    </row>
    <row r="68" spans="1:16" s="1218" customFormat="1" ht="12.75" customHeight="1">
      <c r="A68" s="1336"/>
      <c r="B68" s="1217"/>
      <c r="C68" s="1217"/>
      <c r="D68" s="1343"/>
      <c r="E68" s="1344"/>
      <c r="F68" s="1344"/>
      <c r="G68" s="1144" t="s">
        <v>30</v>
      </c>
      <c r="H68" s="1144" t="s">
        <v>30</v>
      </c>
      <c r="I68" s="1144" t="s">
        <v>30</v>
      </c>
      <c r="J68" s="1144" t="s">
        <v>30</v>
      </c>
      <c r="K68" s="1144" t="s">
        <v>30</v>
      </c>
      <c r="L68" s="1205"/>
      <c r="M68" s="1345"/>
      <c r="N68" s="816"/>
      <c r="O68" s="1232"/>
      <c r="P68" s="1454"/>
    </row>
    <row r="69" spans="1:16" s="1218" customFormat="1" ht="24.75" customHeight="1">
      <c r="A69" s="1336"/>
      <c r="B69" s="1217"/>
      <c r="C69" s="1217"/>
      <c r="D69" s="1346" t="s">
        <v>20298</v>
      </c>
      <c r="E69" s="1347"/>
      <c r="F69" s="1347"/>
      <c r="G69" s="839"/>
      <c r="H69" s="839"/>
      <c r="I69" s="839"/>
      <c r="J69" s="1348"/>
      <c r="K69" s="1348"/>
      <c r="L69" s="839" t="s">
        <v>22</v>
      </c>
      <c r="M69" s="1150">
        <f>M59</f>
        <v>229.32</v>
      </c>
      <c r="N69" s="816"/>
      <c r="O69" s="1232"/>
      <c r="P69" s="1454"/>
    </row>
    <row r="70" spans="1:16" s="1218" customFormat="1" ht="12.75" customHeight="1">
      <c r="A70" s="1336"/>
      <c r="B70" s="1337"/>
      <c r="C70" s="1338"/>
      <c r="D70" s="1343"/>
      <c r="E70" s="1344"/>
      <c r="F70" s="1344"/>
      <c r="G70" s="1144" t="s">
        <v>30</v>
      </c>
      <c r="H70" s="1144" t="s">
        <v>30</v>
      </c>
      <c r="I70" s="1144" t="s">
        <v>30</v>
      </c>
      <c r="J70" s="1144" t="s">
        <v>30</v>
      </c>
      <c r="K70" s="1144" t="s">
        <v>30</v>
      </c>
      <c r="L70" s="1205"/>
      <c r="M70" s="1345"/>
      <c r="N70" s="816"/>
      <c r="O70" s="1232"/>
      <c r="P70" s="1454"/>
    </row>
    <row r="71" spans="1:16" s="1218" customFormat="1" ht="23.25" customHeight="1">
      <c r="A71" s="1336"/>
      <c r="B71" s="1337"/>
      <c r="C71" s="1338"/>
      <c r="D71" s="1346" t="s">
        <v>20299</v>
      </c>
      <c r="E71" s="1347"/>
      <c r="F71" s="1347"/>
      <c r="G71" s="839"/>
      <c r="H71" s="839"/>
      <c r="I71" s="839"/>
      <c r="J71" s="1348"/>
      <c r="K71" s="1348"/>
      <c r="L71" s="839" t="s">
        <v>22</v>
      </c>
      <c r="M71" s="1150">
        <f>M63</f>
        <v>128.07</v>
      </c>
      <c r="N71" s="816"/>
      <c r="O71" s="1232"/>
      <c r="P71" s="1454"/>
    </row>
    <row r="72" spans="1:16" s="1218" customFormat="1" ht="12.75" customHeight="1">
      <c r="A72" s="1336"/>
      <c r="B72" s="1337"/>
      <c r="C72" s="1338"/>
      <c r="D72" s="1343"/>
      <c r="E72" s="1344"/>
      <c r="F72" s="1344"/>
      <c r="G72" s="1144" t="s">
        <v>30</v>
      </c>
      <c r="H72" s="1144" t="s">
        <v>30</v>
      </c>
      <c r="I72" s="1144" t="s">
        <v>30</v>
      </c>
      <c r="J72" s="1144" t="s">
        <v>30</v>
      </c>
      <c r="K72" s="1144" t="s">
        <v>30</v>
      </c>
      <c r="L72" s="1205"/>
      <c r="M72" s="1345"/>
      <c r="N72" s="816"/>
      <c r="O72" s="1232"/>
      <c r="P72" s="1454"/>
    </row>
    <row r="73" spans="1:16" s="1218" customFormat="1" ht="23.25" customHeight="1">
      <c r="A73" s="1336"/>
      <c r="B73" s="1337"/>
      <c r="C73" s="1338"/>
      <c r="D73" s="1346" t="s">
        <v>20300</v>
      </c>
      <c r="E73" s="1347"/>
      <c r="F73" s="1347"/>
      <c r="G73" s="839"/>
      <c r="H73" s="839"/>
      <c r="I73" s="839"/>
      <c r="J73" s="1348"/>
      <c r="K73" s="1348"/>
      <c r="L73" s="839" t="s">
        <v>22</v>
      </c>
      <c r="M73" s="1150">
        <f>M67</f>
        <v>19.32</v>
      </c>
      <c r="N73" s="901">
        <f>SUM(M73,M71,M69)</f>
        <v>376.71</v>
      </c>
      <c r="O73" s="1232"/>
      <c r="P73" s="1454"/>
    </row>
    <row r="74" spans="1:16" s="863" customFormat="1" ht="13.5" customHeight="1">
      <c r="A74" s="912"/>
      <c r="B74" s="855"/>
      <c r="C74" s="855"/>
      <c r="D74" s="881"/>
      <c r="E74" s="882"/>
      <c r="F74" s="882"/>
      <c r="G74" s="883" t="s">
        <v>30</v>
      </c>
      <c r="H74" s="883" t="s">
        <v>30</v>
      </c>
      <c r="I74" s="883" t="s">
        <v>30</v>
      </c>
      <c r="J74" s="1349" t="s">
        <v>11696</v>
      </c>
      <c r="K74" s="883" t="s">
        <v>14131</v>
      </c>
      <c r="L74" s="1000"/>
      <c r="M74" s="1350"/>
      <c r="N74" s="700"/>
      <c r="O74" s="908"/>
      <c r="P74" s="1443"/>
    </row>
    <row r="75" spans="1:16" s="863" customFormat="1" ht="45">
      <c r="A75" s="912" t="s">
        <v>14599</v>
      </c>
      <c r="B75" s="855" t="s">
        <v>70</v>
      </c>
      <c r="C75" s="855">
        <v>90105</v>
      </c>
      <c r="D75" s="836" t="str">
        <f>PROPER(IF(B75="Saneago",VLOOKUP(C75,'SANEAGO-FEV.2016'!A:B,2,0),IF(B75="Sinapi",VLOOKUP(C75,'SINAPI-FEV.2017'!A:D,2,0),IF(B75="Cotação",VLOOKUP(C75,COTAÇÃO!A:D,2,0),IF(B75="Composição",VLOOKUP(C75,COMPOSIÇÃO!A:D,2,0))))))</f>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
      <c r="E75" s="837"/>
      <c r="F75" s="837"/>
      <c r="G75" s="838"/>
      <c r="H75" s="838"/>
      <c r="I75" s="838"/>
      <c r="J75" s="1351">
        <f>M15</f>
        <v>0.95</v>
      </c>
      <c r="K75" s="1351">
        <f>M17</f>
        <v>0.9</v>
      </c>
      <c r="L75" s="838" t="s">
        <v>22</v>
      </c>
      <c r="M75" s="1352">
        <f>J75*K75*$M$69</f>
        <v>196.0686</v>
      </c>
      <c r="N75" s="828">
        <f>SUM(M75:M97)</f>
        <v>376.71000000000004</v>
      </c>
      <c r="O75" s="908"/>
      <c r="P75" s="1443"/>
    </row>
    <row r="76" spans="1:16" s="863" customFormat="1">
      <c r="A76" s="912"/>
      <c r="B76" s="855"/>
      <c r="C76" s="855"/>
      <c r="D76" s="881"/>
      <c r="E76" s="882"/>
      <c r="F76" s="882"/>
      <c r="G76" s="883" t="s">
        <v>30</v>
      </c>
      <c r="H76" s="883" t="s">
        <v>30</v>
      </c>
      <c r="I76" s="883" t="s">
        <v>30</v>
      </c>
      <c r="J76" s="1349" t="s">
        <v>11696</v>
      </c>
      <c r="K76" s="883" t="s">
        <v>14131</v>
      </c>
      <c r="L76" s="1000"/>
      <c r="M76" s="1350"/>
      <c r="N76" s="700"/>
      <c r="O76" s="908"/>
      <c r="P76" s="1443"/>
    </row>
    <row r="77" spans="1:16" s="863" customFormat="1" ht="45">
      <c r="A77" s="912" t="s">
        <v>14600</v>
      </c>
      <c r="B77" s="855" t="s">
        <v>70</v>
      </c>
      <c r="C77" s="855">
        <v>90107</v>
      </c>
      <c r="D77" s="836" t="str">
        <f>PROPER(IF(B77="Saneago",VLOOKUP(C77,'SANEAGO-FEV.2016'!A:B,2,0),IF(B77="Sinapi",VLOOKUP(C77,'SINAPI-FEV.2017'!A:D,2,0),IF(B77="Cotação",VLOOKUP(C77,COTAÇÃO!A:D,2,0),IF(B77="Composição",VLOOKUP(C77,COMPOSIÇÃO!A:D,2,0))))))</f>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
      <c r="E77" s="837"/>
      <c r="F77" s="837"/>
      <c r="G77" s="838"/>
      <c r="H77" s="838"/>
      <c r="I77" s="838"/>
      <c r="J77" s="1351">
        <f>J75</f>
        <v>0.95</v>
      </c>
      <c r="K77" s="1351">
        <f>K75</f>
        <v>0.9</v>
      </c>
      <c r="L77" s="838" t="s">
        <v>22</v>
      </c>
      <c r="M77" s="1352">
        <f>J77*K77*M$71</f>
        <v>109.49985</v>
      </c>
      <c r="N77" s="700"/>
      <c r="O77" s="908"/>
      <c r="P77" s="1443"/>
    </row>
    <row r="78" spans="1:16" s="863" customFormat="1">
      <c r="A78" s="912"/>
      <c r="B78" s="855"/>
      <c r="C78" s="855"/>
      <c r="D78" s="826"/>
      <c r="E78" s="790"/>
      <c r="F78" s="790"/>
      <c r="G78" s="828"/>
      <c r="H78" s="700"/>
      <c r="I78" s="828"/>
      <c r="J78" s="1349" t="s">
        <v>11696</v>
      </c>
      <c r="K78" s="883" t="s">
        <v>14132</v>
      </c>
      <c r="L78" s="816"/>
      <c r="M78" s="1350"/>
      <c r="N78" s="700"/>
      <c r="O78" s="908"/>
      <c r="P78" s="1443"/>
    </row>
    <row r="79" spans="1:16" s="863" customFormat="1" ht="45">
      <c r="A79" s="912" t="s">
        <v>14601</v>
      </c>
      <c r="B79" s="855" t="s">
        <v>70</v>
      </c>
      <c r="C79" s="855">
        <v>90094</v>
      </c>
      <c r="D79" s="836" t="str">
        <f>PROPER(IF(B79="Saneago",VLOOKUP(C79,'SANEAGO-FEV.2016'!A:B,2,0),IF(B79="Sinapi",VLOOKUP(C79,'SINAPI-FEV.2017'!A:D,2,0),IF(B79="Cotação",VLOOKUP(C79,COTAÇÃO!A:D,2,0),IF(B79="Composição",VLOOKUP(C79,COMPOSIÇÃO!A:D,2,0))))))</f>
        <v>Escavação Mecanizada De Vala Com Prof. Maior Que 3,0 M Até 4,5 M (Média Entre Montante E Jusante/Uma Composição Por Trecho), Com Escavadeira Hidráulica (0,8 M3/111 Hp), Larg. Menor Que 1,5 M, Em Solo De 1A Categoria, Locais Com Baixo Nível De Interferência. Af_01/2015</v>
      </c>
      <c r="E79" s="837"/>
      <c r="F79" s="837"/>
      <c r="G79" s="838"/>
      <c r="H79" s="838"/>
      <c r="I79" s="838"/>
      <c r="J79" s="1351">
        <f>J77</f>
        <v>0.95</v>
      </c>
      <c r="K79" s="1351">
        <f>K77</f>
        <v>0.9</v>
      </c>
      <c r="L79" s="838" t="s">
        <v>22</v>
      </c>
      <c r="M79" s="1352">
        <f>J79*K79*M$73</f>
        <v>16.518599999999999</v>
      </c>
      <c r="N79" s="700"/>
      <c r="O79" s="908"/>
      <c r="P79" s="1443"/>
    </row>
    <row r="80" spans="1:16" s="863" customFormat="1">
      <c r="A80" s="912"/>
      <c r="B80" s="855"/>
      <c r="C80" s="855"/>
      <c r="D80" s="826"/>
      <c r="E80" s="790"/>
      <c r="F80" s="790"/>
      <c r="G80" s="828"/>
      <c r="H80" s="700"/>
      <c r="I80" s="828"/>
      <c r="J80" s="1349" t="s">
        <v>11696</v>
      </c>
      <c r="K80" s="883" t="s">
        <v>14132</v>
      </c>
      <c r="L80" s="816"/>
      <c r="M80" s="1350"/>
      <c r="N80" s="700"/>
      <c r="O80" s="908"/>
      <c r="P80" s="1443"/>
    </row>
    <row r="81" spans="1:16" s="863" customFormat="1" ht="22.5">
      <c r="A81" s="912" t="s">
        <v>14602</v>
      </c>
      <c r="B81" s="855" t="s">
        <v>1</v>
      </c>
      <c r="C81" s="855">
        <v>192</v>
      </c>
      <c r="D81" s="836" t="str">
        <f>PROPER(IF(B81="Saneago",VLOOKUP(C81,'SANEAGO-FEV.2016'!A:B,2,0),IF(B81="Sinapi",VLOOKUP(C81,'SINAPI-FEV.2017'!A:D,2,0),IF(B81="Cotação",VLOOKUP(C81,COTAÇÃO!A:D,2,0),IF(B81="Composição",VLOOKUP(C81,COMPOSIÇÃO!A:D,2,0))))))</f>
        <v>Escavação  Mecanizada   (Com  Retroescavadeira)  Em Valas  Com  Material  De  2ª  Categoria  - Profundidade Até 2,0 M</v>
      </c>
      <c r="E81" s="837"/>
      <c r="F81" s="837"/>
      <c r="G81" s="838"/>
      <c r="H81" s="838"/>
      <c r="I81" s="838"/>
      <c r="J81" s="1351">
        <f>J77</f>
        <v>0.95</v>
      </c>
      <c r="K81" s="1351">
        <f>M20</f>
        <v>0.05</v>
      </c>
      <c r="L81" s="838" t="s">
        <v>22</v>
      </c>
      <c r="M81" s="1352">
        <f>J81*K81*M$69</f>
        <v>10.8927</v>
      </c>
      <c r="N81" s="700"/>
      <c r="O81" s="908"/>
      <c r="P81" s="1443"/>
    </row>
    <row r="82" spans="1:16" s="863" customFormat="1">
      <c r="A82" s="912"/>
      <c r="B82" s="855"/>
      <c r="C82" s="855"/>
      <c r="D82" s="826"/>
      <c r="E82" s="790"/>
      <c r="F82" s="790"/>
      <c r="G82" s="828"/>
      <c r="H82" s="700"/>
      <c r="I82" s="828"/>
      <c r="J82" s="1349" t="s">
        <v>11696</v>
      </c>
      <c r="K82" s="883" t="s">
        <v>11677</v>
      </c>
      <c r="L82" s="816"/>
      <c r="M82" s="1350"/>
      <c r="N82" s="700"/>
      <c r="O82" s="908"/>
      <c r="P82" s="1443"/>
    </row>
    <row r="83" spans="1:16" s="863" customFormat="1" ht="22.5">
      <c r="A83" s="912" t="s">
        <v>14603</v>
      </c>
      <c r="B83" s="855" t="s">
        <v>1</v>
      </c>
      <c r="C83" s="855">
        <v>193</v>
      </c>
      <c r="D83" s="836" t="str">
        <f>PROPER(IF(B83="Saneago",VLOOKUP(C83,'SANEAGO-FEV.2016'!A:B,2,0),IF(B83="Sinapi",VLOOKUP(C83,'SINAPI-FEV.2017'!A:D,2,0),IF(B83="Cotação",VLOOKUP(C83,COTAÇÃO!A:D,2,0),IF(B83="Composição",VLOOKUP(C83,COMPOSIÇÃO!A:D,2,0))))))</f>
        <v>Escavação  Mecanizada   (Com  Retroescavadeira)  Em Valas  Com  Material  De  2ª  Categoria  - Profundidade De 2,0 A 4,0M</v>
      </c>
      <c r="E83" s="837"/>
      <c r="F83" s="837"/>
      <c r="G83" s="838"/>
      <c r="H83" s="838"/>
      <c r="I83" s="838"/>
      <c r="J83" s="1351">
        <f>J81</f>
        <v>0.95</v>
      </c>
      <c r="K83" s="1351">
        <f>K81</f>
        <v>0.05</v>
      </c>
      <c r="L83" s="838" t="s">
        <v>22</v>
      </c>
      <c r="M83" s="1352">
        <f>J83*K83*$M$73+J83*K83*$M$71</f>
        <v>7.0010249999999994</v>
      </c>
      <c r="N83" s="700"/>
      <c r="O83" s="908"/>
      <c r="P83" s="1443"/>
    </row>
    <row r="84" spans="1:16" s="863" customFormat="1">
      <c r="A84" s="912"/>
      <c r="B84" s="855"/>
      <c r="C84" s="855"/>
      <c r="D84" s="826"/>
      <c r="E84" s="790"/>
      <c r="F84" s="790"/>
      <c r="G84" s="828"/>
      <c r="H84" s="700"/>
      <c r="I84" s="828"/>
      <c r="J84" s="1349" t="s">
        <v>11696</v>
      </c>
      <c r="K84" s="883" t="s">
        <v>11677</v>
      </c>
      <c r="L84" s="816"/>
      <c r="M84" s="1350"/>
      <c r="N84" s="700"/>
      <c r="O84" s="908"/>
      <c r="P84" s="1443"/>
    </row>
    <row r="85" spans="1:16" s="863" customFormat="1" ht="22.5">
      <c r="A85" s="912" t="s">
        <v>14604</v>
      </c>
      <c r="B85" s="855" t="s">
        <v>1</v>
      </c>
      <c r="C85" s="855">
        <v>194</v>
      </c>
      <c r="D85" s="836" t="str">
        <f>PROPER(IF(B85="Saneago",VLOOKUP(C85,'SANEAGO-FEV.2016'!A:B,2,0),IF(B85="Sinapi",VLOOKUP(C85,'SINAPI-FEV.2017'!A:D,2,0),IF(B85="Cotação",VLOOKUP(C85,COTAÇÃO!A:D,2,0),IF(B85="Composição",VLOOKUP(C85,COMPOSIÇÃO!A:D,2,0))))))</f>
        <v>Escavação   Mecanizada   (Com  Retroescavadeira)  Em  Valas  Com  Material   De  Solo  Mole  - Profundidade Até 2,0 M</v>
      </c>
      <c r="E85" s="837"/>
      <c r="F85" s="837"/>
      <c r="G85" s="838"/>
      <c r="H85" s="838"/>
      <c r="I85" s="838"/>
      <c r="J85" s="1351">
        <f>J81</f>
        <v>0.95</v>
      </c>
      <c r="K85" s="1351">
        <f>K83</f>
        <v>0.05</v>
      </c>
      <c r="L85" s="838" t="s">
        <v>22</v>
      </c>
      <c r="M85" s="1352">
        <f>J85*K85*M$69</f>
        <v>10.8927</v>
      </c>
      <c r="N85" s="700"/>
      <c r="O85" s="908"/>
      <c r="P85" s="1443"/>
    </row>
    <row r="86" spans="1:16" s="863" customFormat="1">
      <c r="A86" s="912"/>
      <c r="B86" s="855"/>
      <c r="C86" s="855"/>
      <c r="D86" s="826"/>
      <c r="E86" s="790"/>
      <c r="F86" s="790"/>
      <c r="G86" s="828"/>
      <c r="H86" s="700"/>
      <c r="I86" s="828"/>
      <c r="J86" s="1349" t="s">
        <v>11696</v>
      </c>
      <c r="K86" s="883" t="s">
        <v>14131</v>
      </c>
      <c r="L86" s="816"/>
      <c r="M86" s="1350"/>
      <c r="N86" s="700"/>
      <c r="O86" s="908"/>
      <c r="P86" s="1443"/>
    </row>
    <row r="87" spans="1:16" s="863" customFormat="1" ht="22.5">
      <c r="A87" s="912" t="s">
        <v>14605</v>
      </c>
      <c r="B87" s="855" t="s">
        <v>1</v>
      </c>
      <c r="C87" s="855">
        <v>195</v>
      </c>
      <c r="D87" s="836" t="str">
        <f>PROPER(IF(B87="Saneago",VLOOKUP(C87,'SANEAGO-FEV.2016'!A:B,2,0),IF(B87="Sinapi",VLOOKUP(C87,'SINAPI-FEV.2017'!A:D,2,0),IF(B87="Cotação",VLOOKUP(C87,COTAÇÃO!A:D,2,0),IF(B87="Composição",VLOOKUP(C87,COMPOSIÇÃO!A:D,2,0))))))</f>
        <v>Escavação   Mecanizada   (Com  Retroescavadeira)  Em  Valas  Com  Material   De  Solo  Mole  - Profundidade De 2,0 A 4,0 M</v>
      </c>
      <c r="E87" s="837"/>
      <c r="F87" s="837"/>
      <c r="G87" s="838"/>
      <c r="H87" s="838"/>
      <c r="I87" s="838"/>
      <c r="J87" s="1351">
        <f>J85</f>
        <v>0.95</v>
      </c>
      <c r="K87" s="1351">
        <f>K85</f>
        <v>0.05</v>
      </c>
      <c r="L87" s="838" t="s">
        <v>22</v>
      </c>
      <c r="M87" s="1352">
        <f>J87*K87*$M$73+J87*K87*$M$71</f>
        <v>7.0010249999999994</v>
      </c>
      <c r="N87" s="700"/>
      <c r="O87" s="908"/>
      <c r="P87" s="1443"/>
    </row>
    <row r="88" spans="1:16" s="863" customFormat="1">
      <c r="A88" s="912"/>
      <c r="B88" s="855"/>
      <c r="C88" s="855"/>
      <c r="D88" s="826"/>
      <c r="E88" s="790"/>
      <c r="F88" s="790"/>
      <c r="G88" s="828"/>
      <c r="H88" s="700"/>
      <c r="I88" s="828"/>
      <c r="J88" s="1349" t="s">
        <v>11737</v>
      </c>
      <c r="K88" s="883" t="s">
        <v>14131</v>
      </c>
      <c r="L88" s="816"/>
      <c r="M88" s="1350"/>
      <c r="N88" s="700"/>
      <c r="O88" s="908"/>
      <c r="P88" s="1443"/>
    </row>
    <row r="89" spans="1:16" s="863" customFormat="1">
      <c r="A89" s="912" t="s">
        <v>14606</v>
      </c>
      <c r="B89" s="855" t="s">
        <v>70</v>
      </c>
      <c r="C89" s="855">
        <v>93358</v>
      </c>
      <c r="D89" s="836" t="str">
        <f>PROPER(IF(B89="Saneago",VLOOKUP(C89,'SANEAGO-FEV.2016'!A:B,2,0),IF(B89="Sinapi",VLOOKUP(C89,'SINAPI-FEV.2017'!A:D,2,0),IF(B89="Cotação",VLOOKUP(C89,COTAÇÃO!A:D,2,0),IF(B89="Composição",VLOOKUP(C89,COMPOSIÇÃO!A:D,2,0))))))</f>
        <v>Escavação Manual De Valas. Af_03/2016</v>
      </c>
      <c r="E89" s="837"/>
      <c r="F89" s="837"/>
      <c r="G89" s="838"/>
      <c r="H89" s="838"/>
      <c r="I89" s="838"/>
      <c r="J89" s="1351">
        <f>M18</f>
        <v>0.05</v>
      </c>
      <c r="K89" s="1351">
        <f>K77</f>
        <v>0.9</v>
      </c>
      <c r="L89" s="838" t="s">
        <v>22</v>
      </c>
      <c r="M89" s="1352">
        <f>J89*K89*M$69+J89*K89*M$73+J89*K89*M$71</f>
        <v>16.951950000000004</v>
      </c>
      <c r="N89" s="700"/>
      <c r="O89" s="908"/>
      <c r="P89" s="1443"/>
    </row>
    <row r="90" spans="1:16" s="863" customFormat="1">
      <c r="A90" s="912"/>
      <c r="B90" s="855"/>
      <c r="C90" s="855"/>
      <c r="D90" s="826"/>
      <c r="E90" s="790"/>
      <c r="F90" s="790"/>
      <c r="G90" s="828"/>
      <c r="H90" s="700"/>
      <c r="I90" s="828"/>
      <c r="J90" s="1349" t="s">
        <v>11737</v>
      </c>
      <c r="K90" s="883" t="s">
        <v>14132</v>
      </c>
      <c r="L90" s="816"/>
      <c r="M90" s="1350"/>
      <c r="N90" s="700"/>
      <c r="O90" s="908"/>
      <c r="P90" s="1443"/>
    </row>
    <row r="91" spans="1:16" s="863" customFormat="1">
      <c r="A91" s="912" t="s">
        <v>14607</v>
      </c>
      <c r="B91" s="855" t="s">
        <v>1</v>
      </c>
      <c r="C91" s="855">
        <v>170</v>
      </c>
      <c r="D91" s="836" t="str">
        <f>PROPER(IF(B91="Saneago",VLOOKUP(C91,'SANEAGO-FEV.2016'!A:B,2,0),IF(B91="Sinapi",VLOOKUP(C91,'SINAPI-FEV.2017'!A:D,2,0),IF(B91="Cotação",VLOOKUP(C91,COTAÇÃO!A:D,2,0),IF(B91="Composição",VLOOKUP(C91,COMPOSIÇÃO!A:D,2,0))))))</f>
        <v>Escavação  Manual Em Valas Com Material De 2ª Categoria  - Profundidade Até 2,0 M</v>
      </c>
      <c r="E91" s="837"/>
      <c r="F91" s="837"/>
      <c r="G91" s="838"/>
      <c r="H91" s="838"/>
      <c r="I91" s="838"/>
      <c r="J91" s="1351">
        <f>J89</f>
        <v>0.05</v>
      </c>
      <c r="K91" s="1351">
        <f>K81</f>
        <v>0.05</v>
      </c>
      <c r="L91" s="838" t="s">
        <v>22</v>
      </c>
      <c r="M91" s="1352">
        <f>J91*K91*$M$69</f>
        <v>0.57330000000000014</v>
      </c>
      <c r="N91" s="700"/>
      <c r="O91" s="908"/>
      <c r="P91" s="1443"/>
    </row>
    <row r="92" spans="1:16" s="863" customFormat="1">
      <c r="A92" s="912"/>
      <c r="B92" s="855"/>
      <c r="C92" s="855"/>
      <c r="D92" s="826"/>
      <c r="E92" s="790"/>
      <c r="F92" s="790"/>
      <c r="G92" s="828"/>
      <c r="H92" s="700"/>
      <c r="I92" s="828"/>
      <c r="J92" s="1349" t="s">
        <v>11737</v>
      </c>
      <c r="K92" s="883" t="s">
        <v>14132</v>
      </c>
      <c r="L92" s="816"/>
      <c r="M92" s="1350"/>
      <c r="N92" s="700"/>
      <c r="O92" s="908"/>
      <c r="P92" s="1443"/>
    </row>
    <row r="93" spans="1:16" s="863" customFormat="1" ht="22.5">
      <c r="A93" s="912" t="s">
        <v>14608</v>
      </c>
      <c r="B93" s="855" t="s">
        <v>1</v>
      </c>
      <c r="C93" s="855">
        <v>171</v>
      </c>
      <c r="D93" s="836" t="str">
        <f>PROPER(IF(B93="Saneago",VLOOKUP(C93,'SANEAGO-FEV.2016'!A:B,2,0),IF(B93="Sinapi",VLOOKUP(C93,'SINAPI-FEV.2017'!A:D,2,0),IF(B93="Cotação",VLOOKUP(C93,COTAÇÃO!A:D,2,0),IF(B93="Composição",VLOOKUP(C93,COMPOSIÇÃO!A:D,2,0))))))</f>
        <v>Escavação  Manual Em Valas Com Material De 2ª Categoria  - Profundidade De 2,0 A 4,0 M</v>
      </c>
      <c r="E93" s="837"/>
      <c r="F93" s="837"/>
      <c r="G93" s="838"/>
      <c r="H93" s="838"/>
      <c r="I93" s="838"/>
      <c r="J93" s="1351">
        <f>J89</f>
        <v>0.05</v>
      </c>
      <c r="K93" s="1351">
        <f>K91</f>
        <v>0.05</v>
      </c>
      <c r="L93" s="838" t="s">
        <v>22</v>
      </c>
      <c r="M93" s="1352">
        <f>J93*K93*M$73+J93*K93*M$71</f>
        <v>0.36847500000000005</v>
      </c>
      <c r="N93" s="700"/>
      <c r="O93" s="908"/>
      <c r="P93" s="1443"/>
    </row>
    <row r="94" spans="1:16" s="863" customFormat="1">
      <c r="A94" s="912"/>
      <c r="B94" s="855"/>
      <c r="C94" s="855"/>
      <c r="D94" s="826"/>
      <c r="E94" s="790"/>
      <c r="F94" s="790"/>
      <c r="G94" s="828"/>
      <c r="H94" s="700"/>
      <c r="I94" s="828"/>
      <c r="J94" s="1349" t="s">
        <v>11737</v>
      </c>
      <c r="K94" s="883" t="s">
        <v>11677</v>
      </c>
      <c r="L94" s="816"/>
      <c r="M94" s="1350"/>
      <c r="N94" s="700"/>
      <c r="O94" s="908"/>
      <c r="P94" s="1443"/>
    </row>
    <row r="95" spans="1:16" s="863" customFormat="1">
      <c r="A95" s="912" t="s">
        <v>14609</v>
      </c>
      <c r="B95" s="855" t="s">
        <v>1</v>
      </c>
      <c r="C95" s="855">
        <v>176</v>
      </c>
      <c r="D95" s="836" t="str">
        <f>PROPER(IF(B95="Saneago",VLOOKUP(C95,'SANEAGO-FEV.2016'!A:B,2,0),IF(B95="Sinapi",VLOOKUP(C95,'SINAPI-FEV.2017'!A:D,2,0),IF(B95="Cotação",VLOOKUP(C95,COTAÇÃO!A:D,2,0),IF(B95="Composição",VLOOKUP(C95,COMPOSIÇÃO!A:D,2,0))))))</f>
        <v>Escavação  Manual Em Valas Com Material De Barro - Lama - Profundidade Até 2,0M</v>
      </c>
      <c r="E95" s="837"/>
      <c r="F95" s="837"/>
      <c r="G95" s="838"/>
      <c r="H95" s="838"/>
      <c r="I95" s="838"/>
      <c r="J95" s="1351">
        <f>J91</f>
        <v>0.05</v>
      </c>
      <c r="K95" s="1351">
        <f>K83</f>
        <v>0.05</v>
      </c>
      <c r="L95" s="838" t="s">
        <v>22</v>
      </c>
      <c r="M95" s="1352">
        <f>J95*K95*$M$69</f>
        <v>0.57330000000000014</v>
      </c>
      <c r="N95" s="700"/>
      <c r="O95" s="908"/>
      <c r="P95" s="1443"/>
    </row>
    <row r="96" spans="1:16" s="863" customFormat="1">
      <c r="A96" s="912"/>
      <c r="B96" s="855"/>
      <c r="C96" s="855"/>
      <c r="D96" s="826"/>
      <c r="E96" s="790"/>
      <c r="F96" s="790"/>
      <c r="G96" s="828"/>
      <c r="H96" s="700"/>
      <c r="I96" s="828"/>
      <c r="J96" s="1349" t="s">
        <v>11737</v>
      </c>
      <c r="K96" s="883" t="s">
        <v>11677</v>
      </c>
      <c r="L96" s="816"/>
      <c r="M96" s="1350"/>
      <c r="N96" s="700"/>
      <c r="O96" s="908"/>
      <c r="P96" s="1443"/>
    </row>
    <row r="97" spans="1:16" s="863" customFormat="1" ht="22.5">
      <c r="A97" s="912" t="s">
        <v>14610</v>
      </c>
      <c r="B97" s="855" t="s">
        <v>1</v>
      </c>
      <c r="C97" s="855">
        <v>177</v>
      </c>
      <c r="D97" s="836" t="str">
        <f>PROPER(IF(B97="Saneago",VLOOKUP(C97,'SANEAGO-FEV.2016'!A:B,2,0),IF(B97="Sinapi",VLOOKUP(C97,'SINAPI-FEV.2017'!A:D,2,0),IF(B97="Cotação",VLOOKUP(C97,COTAÇÃO!A:D,2,0),IF(B97="Composição",VLOOKUP(C97,COMPOSIÇÃO!A:D,2,0))))))</f>
        <v>Escavação  Manual Em Valas Com Material De Barro - Lama - Profundidade De 2,0 A 4,0M</v>
      </c>
      <c r="E97" s="837"/>
      <c r="F97" s="837"/>
      <c r="G97" s="838"/>
      <c r="H97" s="838"/>
      <c r="I97" s="838"/>
      <c r="J97" s="1351">
        <f>J93</f>
        <v>0.05</v>
      </c>
      <c r="K97" s="1351">
        <f>K85</f>
        <v>0.05</v>
      </c>
      <c r="L97" s="838" t="s">
        <v>22</v>
      </c>
      <c r="M97" s="1352">
        <f>J97*K97*M$73+J97*K97*M$71</f>
        <v>0.36847500000000005</v>
      </c>
      <c r="N97" s="700"/>
      <c r="O97" s="908"/>
      <c r="P97" s="1443"/>
    </row>
    <row r="98" spans="1:16" s="863" customFormat="1">
      <c r="A98" s="912"/>
      <c r="B98" s="855"/>
      <c r="C98" s="855"/>
      <c r="D98" s="826"/>
      <c r="E98" s="790"/>
      <c r="F98" s="790"/>
      <c r="G98" s="700" t="s">
        <v>30</v>
      </c>
      <c r="H98" s="700" t="s">
        <v>30</v>
      </c>
      <c r="I98" s="700" t="s">
        <v>30</v>
      </c>
      <c r="J98" s="700" t="s">
        <v>30</v>
      </c>
      <c r="K98" s="700" t="s">
        <v>30</v>
      </c>
      <c r="L98" s="828" t="s">
        <v>30</v>
      </c>
      <c r="M98" s="828" t="s">
        <v>30</v>
      </c>
      <c r="N98" s="700"/>
      <c r="O98" s="908"/>
      <c r="P98" s="1443"/>
    </row>
    <row r="99" spans="1:16" s="863" customFormat="1">
      <c r="A99" s="912" t="s">
        <v>14611</v>
      </c>
      <c r="B99" s="855" t="s">
        <v>70</v>
      </c>
      <c r="C99" s="855" t="s">
        <v>15726</v>
      </c>
      <c r="D99" s="836" t="str">
        <f>PROPER(IF(B99="Saneago",VLOOKUP(C99,'SANEAGO-FEV.2016'!A:B,2,0),IF(B99="Sinapi",VLOOKUP(C99,'SINAPI-FEV.2017'!A:D,2,0),IF(B99="Cotação",VLOOKUP(C99,COTAÇÃO!A:D,2,0),IF(B99="Composição",VLOOKUP(C99,COMPOSIÇÃO!A:D,2,0))))))</f>
        <v>Esgotamento Com Moto-Bomba Autoescovante</v>
      </c>
      <c r="E99" s="837"/>
      <c r="F99" s="837"/>
      <c r="G99" s="838"/>
      <c r="H99" s="852"/>
      <c r="I99" s="852"/>
      <c r="J99" s="838"/>
      <c r="K99" s="838"/>
      <c r="L99" s="838" t="s">
        <v>57</v>
      </c>
      <c r="M99" s="1352">
        <v>5</v>
      </c>
      <c r="N99" s="700"/>
      <c r="O99" s="908"/>
      <c r="P99" s="1443"/>
    </row>
    <row r="100" spans="1:16" s="863" customFormat="1" ht="45">
      <c r="A100" s="912"/>
      <c r="B100" s="855"/>
      <c r="C100" s="855"/>
      <c r="D100" s="887"/>
      <c r="E100" s="700"/>
      <c r="F100" s="700" t="s">
        <v>30</v>
      </c>
      <c r="G100" s="700" t="s">
        <v>20190</v>
      </c>
      <c r="H100" s="700" t="s">
        <v>20191</v>
      </c>
      <c r="I100" s="700" t="s">
        <v>20192</v>
      </c>
      <c r="J100" s="700" t="s">
        <v>27</v>
      </c>
      <c r="K100" s="700" t="s">
        <v>30</v>
      </c>
      <c r="L100" s="828" t="s">
        <v>30</v>
      </c>
      <c r="M100" s="828" t="s">
        <v>30</v>
      </c>
      <c r="N100" s="700"/>
      <c r="O100" s="908"/>
      <c r="P100" s="1443"/>
    </row>
    <row r="101" spans="1:16" s="863" customFormat="1" ht="12.75" customHeight="1">
      <c r="A101" s="912"/>
      <c r="B101" s="855"/>
      <c r="C101" s="855"/>
      <c r="D101" s="927" t="s">
        <v>11680</v>
      </c>
      <c r="E101" s="828"/>
      <c r="F101" s="828" t="s">
        <v>22</v>
      </c>
      <c r="G101" s="828">
        <f>M69</f>
        <v>229.32</v>
      </c>
      <c r="H101" s="828">
        <f>M71</f>
        <v>128.07</v>
      </c>
      <c r="I101" s="828">
        <f>M73</f>
        <v>19.32</v>
      </c>
      <c r="J101" s="828">
        <f>SUM(G101:I101)</f>
        <v>376.71</v>
      </c>
      <c r="K101" s="828"/>
      <c r="L101" s="828"/>
      <c r="M101" s="1322"/>
      <c r="N101" s="700"/>
      <c r="O101" s="908"/>
      <c r="P101" s="1443"/>
    </row>
    <row r="102" spans="1:16" s="863" customFormat="1" ht="13.5" customHeight="1">
      <c r="A102" s="912"/>
      <c r="B102" s="855"/>
      <c r="C102" s="855"/>
      <c r="D102" s="927" t="s">
        <v>14133</v>
      </c>
      <c r="E102" s="828"/>
      <c r="F102" s="828" t="s">
        <v>22</v>
      </c>
      <c r="G102" s="828">
        <f>H49*I49*J49*1.5+H50*I50*J50*1.5</f>
        <v>25.875</v>
      </c>
      <c r="H102" s="828">
        <f>H49*I49*J49*1.5+H50*I50*J50*0.9</f>
        <v>21.734999999999999</v>
      </c>
      <c r="I102" s="828">
        <f>H49*I49*J49*0.4</f>
        <v>4.1399999999999997</v>
      </c>
      <c r="J102" s="828">
        <f>SUM(G102:I102)</f>
        <v>51.75</v>
      </c>
      <c r="K102" s="828"/>
      <c r="L102" s="828"/>
      <c r="M102" s="1322"/>
      <c r="N102" s="700"/>
      <c r="O102" s="908"/>
      <c r="P102" s="1443"/>
    </row>
    <row r="103" spans="1:16" s="863" customFormat="1" ht="12.75" customHeight="1">
      <c r="A103" s="912"/>
      <c r="B103" s="855"/>
      <c r="C103" s="855"/>
      <c r="D103" s="836" t="s">
        <v>11679</v>
      </c>
      <c r="E103" s="837"/>
      <c r="F103" s="852" t="s">
        <v>22</v>
      </c>
      <c r="G103" s="901">
        <f>G101-G102</f>
        <v>203.44499999999999</v>
      </c>
      <c r="H103" s="839">
        <f>H101-H102</f>
        <v>106.33499999999999</v>
      </c>
      <c r="I103" s="839">
        <f>I101-I102</f>
        <v>15.18</v>
      </c>
      <c r="J103" s="839">
        <f>SUM(G103:I103)</f>
        <v>324.95999999999998</v>
      </c>
      <c r="K103" s="910"/>
      <c r="L103" s="901"/>
      <c r="M103" s="1324"/>
      <c r="N103" s="700"/>
      <c r="O103" s="908"/>
      <c r="P103" s="1443"/>
    </row>
    <row r="104" spans="1:16" s="863" customFormat="1" ht="22.5">
      <c r="A104" s="912"/>
      <c r="B104" s="855"/>
      <c r="C104" s="855"/>
      <c r="D104" s="903" t="s">
        <v>73</v>
      </c>
      <c r="E104" s="790"/>
      <c r="F104" s="790"/>
      <c r="G104" s="883" t="s">
        <v>30</v>
      </c>
      <c r="H104" s="883" t="s">
        <v>30</v>
      </c>
      <c r="I104" s="883" t="s">
        <v>30</v>
      </c>
      <c r="J104" s="883" t="s">
        <v>20193</v>
      </c>
      <c r="K104" s="883" t="s">
        <v>50</v>
      </c>
      <c r="L104" s="883"/>
      <c r="M104" s="1353"/>
      <c r="N104" s="700"/>
      <c r="O104" s="908"/>
      <c r="P104" s="1443"/>
    </row>
    <row r="105" spans="1:16" s="863" customFormat="1" ht="45">
      <c r="A105" s="912" t="s">
        <v>20301</v>
      </c>
      <c r="B105" s="855" t="s">
        <v>70</v>
      </c>
      <c r="C105" s="855">
        <v>93367</v>
      </c>
      <c r="D105" s="836" t="str">
        <f>PROPER(IF(B105="Saneago",VLOOKUP(C105,'SANEAGO-FEV.2016'!A:B,2,0),IF(B105="Sinapi",VLOOKUP(C105,'SINAPI-FEV.2017'!A:D,2,0),IF(B105="Cotação",VLOOKUP(C105,COTAÇÃO!A:D,2,0),IF(B105="Composição",VLOOKUP(C105,COMPOSIÇÃO!A:D,2,0))))))</f>
        <v>Reaterro Mecanizado De Vala Com Escavadeira Hidráulica (Capacidade Da Caçamba: 0,8 M³ / Potência: 111 Hp), Largura De 1,5 A 2,5 M, Profundidade Até 1,5 M, Com Solo (Sem Substituição) De 1ª Categoria Em Locais Com Baixo Nível De Interferência. Af_04/2016</v>
      </c>
      <c r="E105" s="837"/>
      <c r="F105" s="837"/>
      <c r="G105" s="852"/>
      <c r="H105" s="852"/>
      <c r="I105" s="852"/>
      <c r="J105" s="838">
        <f>G103</f>
        <v>203.44499999999999</v>
      </c>
      <c r="K105" s="896">
        <f>M24</f>
        <v>0.9</v>
      </c>
      <c r="L105" s="852" t="s">
        <v>22</v>
      </c>
      <c r="M105" s="1352">
        <f>J105*K105</f>
        <v>183.10050000000001</v>
      </c>
      <c r="N105" s="700"/>
      <c r="O105" s="908"/>
      <c r="P105" s="1443"/>
    </row>
    <row r="106" spans="1:16" s="863" customFormat="1" ht="22.5">
      <c r="A106" s="912"/>
      <c r="B106" s="855"/>
      <c r="C106" s="855"/>
      <c r="D106" s="903"/>
      <c r="E106" s="790"/>
      <c r="F106" s="790"/>
      <c r="G106" s="883"/>
      <c r="H106" s="883"/>
      <c r="I106" s="883"/>
      <c r="J106" s="883" t="s">
        <v>20194</v>
      </c>
      <c r="K106" s="883" t="s">
        <v>50</v>
      </c>
      <c r="L106" s="883"/>
      <c r="M106" s="1353"/>
      <c r="N106" s="700"/>
      <c r="O106" s="908"/>
      <c r="P106" s="1443"/>
    </row>
    <row r="107" spans="1:16" s="863" customFormat="1" ht="45">
      <c r="A107" s="912" t="s">
        <v>20302</v>
      </c>
      <c r="B107" s="855" t="s">
        <v>70</v>
      </c>
      <c r="C107" s="855">
        <v>93369</v>
      </c>
      <c r="D107" s="836" t="str">
        <f>PROPER(IF(B107="Saneago",VLOOKUP(C107,'SANEAGO-FEV.2016'!A:B,2,0),IF(B107="Sinapi",VLOOKUP(C107,'SINAPI-FEV.2017'!A:D,2,0),IF(B107="Cotação",VLOOKUP(C107,COTAÇÃO!A:D,2,0),IF(B107="Composição",VLOOKUP(C107,COMPOSIÇÃO!A:D,2,0))))))</f>
        <v>Reaterro Mecanizado De Vala Com Escavadeira Hidráulica (Capacidade Da Caçamba: 0,8 M³ / Potência: 111 Hp), Largura De 1,5 A 2,5 M, Profundidade De 1,5 A 3,0 M, Com Solo (Sem Substituição) De 1ª Categoria Em Locais Com Baixo Nível De Interferência. Af_04/2016</v>
      </c>
      <c r="E107" s="837"/>
      <c r="F107" s="837"/>
      <c r="G107" s="852"/>
      <c r="H107" s="852"/>
      <c r="I107" s="852"/>
      <c r="J107" s="838">
        <f>H103</f>
        <v>106.33499999999999</v>
      </c>
      <c r="K107" s="896">
        <f>K105</f>
        <v>0.9</v>
      </c>
      <c r="L107" s="852" t="s">
        <v>22</v>
      </c>
      <c r="M107" s="1352">
        <f>J107*K107</f>
        <v>95.701499999999996</v>
      </c>
      <c r="N107" s="700"/>
      <c r="O107" s="908"/>
      <c r="P107" s="1443"/>
    </row>
    <row r="108" spans="1:16" s="863" customFormat="1" ht="22.5">
      <c r="A108" s="912"/>
      <c r="B108" s="855"/>
      <c r="C108" s="855"/>
      <c r="D108" s="903"/>
      <c r="E108" s="790"/>
      <c r="F108" s="790"/>
      <c r="G108" s="883"/>
      <c r="H108" s="883"/>
      <c r="I108" s="883"/>
      <c r="J108" s="883" t="s">
        <v>20195</v>
      </c>
      <c r="K108" s="883" t="s">
        <v>50</v>
      </c>
      <c r="L108" s="883"/>
      <c r="M108" s="1353"/>
      <c r="N108" s="700"/>
      <c r="O108" s="908"/>
      <c r="P108" s="1443"/>
    </row>
    <row r="109" spans="1:16" s="863" customFormat="1" ht="45">
      <c r="A109" s="912" t="s">
        <v>20303</v>
      </c>
      <c r="B109" s="855" t="s">
        <v>70</v>
      </c>
      <c r="C109" s="855">
        <v>93371</v>
      </c>
      <c r="D109" s="836" t="str">
        <f>PROPER(IF(B109="Saneago",VLOOKUP(C109,'SANEAGO-FEV.2016'!A:B,2,0),IF(B109="Sinapi",VLOOKUP(C109,'SINAPI-FEV.2017'!A:D,2,0),IF(B109="Cotação",VLOOKUP(C109,COTAÇÃO!A:D,2,0),IF(B109="Composição",VLOOKUP(C109,COMPOSIÇÃO!A:D,2,0))))))</f>
        <v>Reaterro Mecanizado De Vala Com Escavadeira Hidráulica (Capacidade Da Caçamba: 0,8 M³ / Potência: 111 Hp), Largura De 1,5 A 2,5 M, Profundidade De 3,0 A 4,5 M, Com Solo (Sem Substituição) De 1ª Categoria Em Locais Com Baixo Nível De Interferência. Af_04/2016</v>
      </c>
      <c r="E109" s="837"/>
      <c r="F109" s="837"/>
      <c r="G109" s="852"/>
      <c r="H109" s="852"/>
      <c r="I109" s="852"/>
      <c r="J109" s="838">
        <f>I103</f>
        <v>15.18</v>
      </c>
      <c r="K109" s="896">
        <f>K107</f>
        <v>0.9</v>
      </c>
      <c r="L109" s="852" t="s">
        <v>22</v>
      </c>
      <c r="M109" s="1352">
        <f>J109*K109</f>
        <v>13.662000000000001</v>
      </c>
      <c r="N109" s="700"/>
      <c r="O109" s="908"/>
      <c r="P109" s="1443"/>
    </row>
    <row r="110" spans="1:16" s="863" customFormat="1">
      <c r="A110" s="912"/>
      <c r="B110" s="855"/>
      <c r="C110" s="855"/>
      <c r="D110" s="881"/>
      <c r="E110" s="882"/>
      <c r="F110" s="882"/>
      <c r="G110" s="700" t="s">
        <v>30</v>
      </c>
      <c r="H110" s="700" t="s">
        <v>30</v>
      </c>
      <c r="I110" s="700" t="s">
        <v>30</v>
      </c>
      <c r="J110" s="828" t="s">
        <v>42</v>
      </c>
      <c r="K110" s="828" t="s">
        <v>79</v>
      </c>
      <c r="L110" s="828"/>
      <c r="M110" s="1322"/>
      <c r="N110" s="700"/>
      <c r="O110" s="908"/>
      <c r="P110" s="1443"/>
    </row>
    <row r="111" spans="1:16" s="863" customFormat="1">
      <c r="A111" s="912" t="s">
        <v>14612</v>
      </c>
      <c r="B111" s="855" t="s">
        <v>70</v>
      </c>
      <c r="C111" s="855" t="s">
        <v>18237</v>
      </c>
      <c r="D111" s="836" t="str">
        <f>PROPER(IF(B111="Saneago",VLOOKUP(C111,'SANEAGO-FEV.2016'!A:B,2,0),IF(B111="Sinapi",VLOOKUP(C111,'SINAPI-FEV.2017'!A:D,2,0),IF(B111="Cotação",VLOOKUP(C111,COTAÇÃO!A:D,2,0),IF(B111="Composição",VLOOKUP(C111,COMPOSIÇÃO!A:D,2,0))))))</f>
        <v>Reaterro De Vala Com Compactação Manual</v>
      </c>
      <c r="E111" s="837"/>
      <c r="F111" s="837"/>
      <c r="G111" s="838"/>
      <c r="H111" s="838"/>
      <c r="I111" s="838"/>
      <c r="J111" s="838">
        <f>SUM(G103:I103)</f>
        <v>324.95999999999998</v>
      </c>
      <c r="K111" s="1351">
        <f>M23</f>
        <v>0.1</v>
      </c>
      <c r="L111" s="838" t="s">
        <v>22</v>
      </c>
      <c r="M111" s="1352">
        <f>J111*K111</f>
        <v>32.496000000000002</v>
      </c>
      <c r="N111" s="700"/>
      <c r="O111" s="908"/>
      <c r="P111" s="1443"/>
    </row>
    <row r="112" spans="1:16" s="863" customFormat="1" ht="16.5" customHeight="1" thickBot="1">
      <c r="A112" s="912"/>
      <c r="B112" s="855"/>
      <c r="C112" s="855"/>
      <c r="D112" s="826"/>
      <c r="E112" s="790"/>
      <c r="F112" s="790"/>
      <c r="G112" s="828"/>
      <c r="H112" s="828"/>
      <c r="I112" s="828"/>
      <c r="J112" s="828"/>
      <c r="K112" s="1354"/>
      <c r="L112" s="828"/>
      <c r="M112" s="1322"/>
      <c r="N112" s="700"/>
      <c r="O112" s="908"/>
      <c r="P112" s="1443"/>
    </row>
    <row r="113" spans="1:256" s="865" customFormat="1" ht="13.5" customHeight="1" thickTop="1" thickBot="1">
      <c r="A113" s="962"/>
      <c r="B113" s="898"/>
      <c r="C113" s="898"/>
      <c r="D113" s="977" t="s">
        <v>49</v>
      </c>
      <c r="E113" s="978"/>
      <c r="F113" s="978"/>
      <c r="G113" s="978"/>
      <c r="H113" s="978"/>
      <c r="I113" s="978"/>
      <c r="J113" s="978"/>
      <c r="K113" s="978"/>
      <c r="L113" s="979" t="s">
        <v>25</v>
      </c>
      <c r="M113" s="980" t="s">
        <v>27</v>
      </c>
      <c r="N113" s="972"/>
      <c r="O113" s="973"/>
      <c r="P113" s="1455"/>
      <c r="Q113" s="975"/>
      <c r="R113" s="974"/>
      <c r="S113" s="974"/>
      <c r="T113" s="974"/>
      <c r="U113" s="974"/>
      <c r="V113" s="974"/>
      <c r="W113" s="974"/>
      <c r="X113" s="974"/>
      <c r="Y113" s="974"/>
      <c r="Z113" s="974"/>
      <c r="AA113" s="974"/>
      <c r="AB113" s="974"/>
      <c r="AC113" s="974"/>
      <c r="AD113" s="974"/>
      <c r="AE113" s="974"/>
      <c r="AF113" s="974"/>
      <c r="AG113" s="974"/>
      <c r="AH113" s="974"/>
      <c r="AI113" s="974"/>
      <c r="AJ113" s="974"/>
      <c r="AK113" s="974"/>
      <c r="AL113" s="974"/>
      <c r="AM113" s="974"/>
      <c r="AN113" s="974"/>
      <c r="AO113" s="974"/>
      <c r="AP113" s="974"/>
      <c r="AQ113" s="974"/>
      <c r="AR113" s="974"/>
      <c r="AS113" s="974"/>
      <c r="AT113" s="974"/>
      <c r="AU113" s="974"/>
      <c r="AV113" s="974"/>
      <c r="AW113" s="974"/>
      <c r="AX113" s="974"/>
      <c r="AY113" s="974"/>
      <c r="AZ113" s="974"/>
      <c r="BA113" s="974"/>
      <c r="BB113" s="974"/>
      <c r="BC113" s="974"/>
      <c r="BD113" s="974"/>
      <c r="BE113" s="974"/>
      <c r="BF113" s="974"/>
      <c r="BG113" s="974"/>
      <c r="BH113" s="974"/>
      <c r="BI113" s="974"/>
      <c r="BJ113" s="974"/>
      <c r="BK113" s="974"/>
      <c r="BL113" s="974"/>
      <c r="BM113" s="974"/>
      <c r="BN113" s="974"/>
      <c r="BO113" s="974"/>
      <c r="BP113" s="974"/>
      <c r="BQ113" s="974"/>
      <c r="BR113" s="974"/>
      <c r="BS113" s="974"/>
      <c r="BT113" s="974"/>
      <c r="BU113" s="974"/>
      <c r="BV113" s="974"/>
      <c r="BW113" s="974"/>
      <c r="BX113" s="974"/>
      <c r="BY113" s="974"/>
      <c r="BZ113" s="974"/>
      <c r="CA113" s="974"/>
      <c r="CB113" s="974"/>
      <c r="CC113" s="974"/>
      <c r="CD113" s="974"/>
      <c r="CE113" s="974"/>
      <c r="CF113" s="974"/>
      <c r="CG113" s="974"/>
      <c r="CH113" s="974"/>
      <c r="CI113" s="974"/>
      <c r="CJ113" s="974"/>
      <c r="CK113" s="974"/>
      <c r="CL113" s="974"/>
      <c r="CM113" s="974"/>
      <c r="CN113" s="974"/>
      <c r="CO113" s="974"/>
      <c r="CP113" s="974"/>
      <c r="CQ113" s="974"/>
      <c r="CR113" s="974"/>
      <c r="CS113" s="974"/>
      <c r="CT113" s="974"/>
      <c r="CU113" s="974"/>
      <c r="CV113" s="974"/>
      <c r="CW113" s="974"/>
      <c r="CX113" s="974"/>
      <c r="CY113" s="974"/>
      <c r="CZ113" s="974"/>
      <c r="DA113" s="974"/>
      <c r="DB113" s="974"/>
      <c r="DC113" s="974"/>
      <c r="DD113" s="974"/>
      <c r="DE113" s="974"/>
      <c r="DF113" s="974"/>
      <c r="DG113" s="974"/>
      <c r="DH113" s="974"/>
      <c r="DI113" s="974"/>
      <c r="DJ113" s="974"/>
      <c r="DK113" s="974"/>
      <c r="DL113" s="974"/>
      <c r="DM113" s="974"/>
      <c r="DN113" s="974"/>
      <c r="DO113" s="974"/>
      <c r="DP113" s="974"/>
      <c r="DQ113" s="974"/>
      <c r="DR113" s="974"/>
      <c r="DS113" s="974"/>
      <c r="DT113" s="974"/>
      <c r="DU113" s="974"/>
      <c r="DV113" s="974"/>
      <c r="DW113" s="974"/>
      <c r="DX113" s="974"/>
      <c r="DY113" s="974"/>
      <c r="DZ113" s="974"/>
      <c r="EA113" s="974"/>
      <c r="EB113" s="974"/>
      <c r="EC113" s="974"/>
      <c r="ED113" s="974"/>
      <c r="EE113" s="974"/>
      <c r="EF113" s="974"/>
      <c r="EG113" s="974"/>
      <c r="EH113" s="974"/>
      <c r="EI113" s="974"/>
      <c r="EJ113" s="974"/>
      <c r="EK113" s="974"/>
      <c r="EL113" s="974"/>
      <c r="EM113" s="974"/>
      <c r="EN113" s="974"/>
      <c r="EO113" s="974"/>
      <c r="EP113" s="974"/>
      <c r="EQ113" s="974"/>
      <c r="ER113" s="974"/>
      <c r="ES113" s="974"/>
      <c r="ET113" s="974"/>
      <c r="EU113" s="974"/>
      <c r="EV113" s="974"/>
      <c r="EW113" s="974"/>
      <c r="EX113" s="974"/>
      <c r="EY113" s="974"/>
      <c r="EZ113" s="974"/>
      <c r="FA113" s="974"/>
      <c r="FB113" s="974"/>
      <c r="FC113" s="974"/>
      <c r="FD113" s="974"/>
      <c r="FE113" s="974"/>
      <c r="FF113" s="974"/>
      <c r="FG113" s="974"/>
      <c r="FH113" s="974"/>
      <c r="FI113" s="974"/>
      <c r="FJ113" s="974"/>
      <c r="FK113" s="974"/>
      <c r="FL113" s="974"/>
      <c r="FM113" s="974"/>
      <c r="FN113" s="974"/>
      <c r="FO113" s="974"/>
      <c r="FP113" s="974"/>
      <c r="FQ113" s="974"/>
      <c r="FR113" s="974"/>
      <c r="FS113" s="974"/>
      <c r="FT113" s="974"/>
      <c r="FU113" s="974"/>
      <c r="FV113" s="974"/>
      <c r="FW113" s="974"/>
      <c r="FX113" s="974"/>
      <c r="FY113" s="974"/>
      <c r="FZ113" s="974"/>
      <c r="GA113" s="974"/>
      <c r="GB113" s="974"/>
      <c r="GC113" s="974"/>
      <c r="GD113" s="974"/>
      <c r="GE113" s="974"/>
      <c r="GF113" s="974"/>
      <c r="GG113" s="974"/>
      <c r="GH113" s="974"/>
      <c r="GI113" s="974"/>
      <c r="GJ113" s="974"/>
      <c r="GK113" s="974"/>
      <c r="GL113" s="974"/>
      <c r="GM113" s="974"/>
      <c r="GN113" s="974"/>
      <c r="GO113" s="974"/>
      <c r="GP113" s="974"/>
      <c r="GQ113" s="974"/>
      <c r="GR113" s="974"/>
      <c r="GS113" s="974"/>
      <c r="GT113" s="974"/>
      <c r="GU113" s="974"/>
      <c r="GV113" s="974"/>
      <c r="GW113" s="974"/>
      <c r="GX113" s="974"/>
      <c r="GY113" s="974"/>
      <c r="GZ113" s="974"/>
      <c r="HA113" s="974"/>
      <c r="HB113" s="974"/>
      <c r="HC113" s="974"/>
      <c r="HD113" s="974"/>
      <c r="HE113" s="974"/>
      <c r="HF113" s="974"/>
      <c r="HG113" s="974"/>
      <c r="HH113" s="974"/>
      <c r="HI113" s="974"/>
      <c r="HJ113" s="974"/>
      <c r="HK113" s="974"/>
      <c r="HL113" s="974"/>
      <c r="HM113" s="974"/>
      <c r="HN113" s="974"/>
      <c r="HO113" s="974"/>
      <c r="HP113" s="974"/>
      <c r="HQ113" s="974"/>
      <c r="HR113" s="974"/>
      <c r="HS113" s="974"/>
      <c r="HT113" s="974"/>
      <c r="HU113" s="974"/>
      <c r="HV113" s="974"/>
      <c r="HW113" s="974"/>
      <c r="HX113" s="974"/>
      <c r="HY113" s="974"/>
      <c r="HZ113" s="974"/>
      <c r="IA113" s="974"/>
      <c r="IB113" s="974"/>
      <c r="IC113" s="974"/>
      <c r="ID113" s="974"/>
      <c r="IE113" s="974"/>
      <c r="IF113" s="974"/>
      <c r="IG113" s="974"/>
      <c r="IH113" s="974"/>
      <c r="II113" s="974"/>
      <c r="IJ113" s="974"/>
      <c r="IK113" s="974"/>
      <c r="IL113" s="974"/>
      <c r="IM113" s="974"/>
      <c r="IN113" s="974"/>
      <c r="IO113" s="974"/>
      <c r="IP113" s="974"/>
      <c r="IQ113" s="974"/>
      <c r="IR113" s="974"/>
      <c r="IS113" s="974"/>
      <c r="IT113" s="974"/>
      <c r="IU113" s="974"/>
      <c r="IV113" s="974"/>
    </row>
    <row r="114" spans="1:256" s="865" customFormat="1" ht="11.25" customHeight="1" thickTop="1">
      <c r="A114" s="962"/>
      <c r="B114" s="898"/>
      <c r="C114" s="898"/>
      <c r="D114" s="981"/>
      <c r="E114" s="970" t="s">
        <v>30</v>
      </c>
      <c r="F114" s="970" t="s">
        <v>30</v>
      </c>
      <c r="G114" s="970" t="s">
        <v>30</v>
      </c>
      <c r="H114" s="970" t="s">
        <v>1275</v>
      </c>
      <c r="I114" s="970" t="s">
        <v>17</v>
      </c>
      <c r="J114" s="970" t="s">
        <v>19</v>
      </c>
      <c r="K114" s="970" t="s">
        <v>32</v>
      </c>
      <c r="L114" s="983"/>
      <c r="M114" s="984"/>
      <c r="N114" s="972"/>
      <c r="O114" s="973"/>
      <c r="P114" s="1455"/>
      <c r="Q114" s="975"/>
      <c r="R114" s="974"/>
      <c r="S114" s="974"/>
      <c r="T114" s="974"/>
      <c r="U114" s="974"/>
      <c r="V114" s="974"/>
      <c r="W114" s="974"/>
      <c r="X114" s="974"/>
      <c r="Y114" s="974"/>
      <c r="Z114" s="974"/>
      <c r="AA114" s="974"/>
      <c r="AB114" s="974"/>
      <c r="AC114" s="974"/>
      <c r="AD114" s="974"/>
      <c r="AE114" s="974"/>
      <c r="AF114" s="974"/>
      <c r="AG114" s="974"/>
      <c r="AH114" s="974"/>
      <c r="AI114" s="974"/>
      <c r="AJ114" s="974"/>
      <c r="AK114" s="974"/>
      <c r="AL114" s="974"/>
      <c r="AM114" s="974"/>
      <c r="AN114" s="974"/>
      <c r="AO114" s="974"/>
      <c r="AP114" s="974"/>
      <c r="AQ114" s="974"/>
      <c r="AR114" s="974"/>
      <c r="AS114" s="974"/>
      <c r="AT114" s="974"/>
      <c r="AU114" s="974"/>
      <c r="AV114" s="974"/>
      <c r="AW114" s="974"/>
      <c r="AX114" s="974"/>
      <c r="AY114" s="974"/>
      <c r="AZ114" s="974"/>
      <c r="BA114" s="974"/>
      <c r="BB114" s="974"/>
      <c r="BC114" s="974"/>
      <c r="BD114" s="974"/>
      <c r="BE114" s="974"/>
      <c r="BF114" s="974"/>
      <c r="BG114" s="974"/>
      <c r="BH114" s="974"/>
      <c r="BI114" s="974"/>
      <c r="BJ114" s="974"/>
      <c r="BK114" s="974"/>
      <c r="BL114" s="974"/>
      <c r="BM114" s="974"/>
      <c r="BN114" s="974"/>
      <c r="BO114" s="974"/>
      <c r="BP114" s="974"/>
      <c r="BQ114" s="974"/>
      <c r="BR114" s="974"/>
      <c r="BS114" s="974"/>
      <c r="BT114" s="974"/>
      <c r="BU114" s="974"/>
      <c r="BV114" s="974"/>
      <c r="BW114" s="974"/>
      <c r="BX114" s="974"/>
      <c r="BY114" s="974"/>
      <c r="BZ114" s="974"/>
      <c r="CA114" s="974"/>
      <c r="CB114" s="974"/>
      <c r="CC114" s="974"/>
      <c r="CD114" s="974"/>
      <c r="CE114" s="974"/>
      <c r="CF114" s="974"/>
      <c r="CG114" s="974"/>
      <c r="CH114" s="974"/>
      <c r="CI114" s="974"/>
      <c r="CJ114" s="974"/>
      <c r="CK114" s="974"/>
      <c r="CL114" s="974"/>
      <c r="CM114" s="974"/>
      <c r="CN114" s="974"/>
      <c r="CO114" s="974"/>
      <c r="CP114" s="974"/>
      <c r="CQ114" s="974"/>
      <c r="CR114" s="974"/>
      <c r="CS114" s="974"/>
      <c r="CT114" s="974"/>
      <c r="CU114" s="974"/>
      <c r="CV114" s="974"/>
      <c r="CW114" s="974"/>
      <c r="CX114" s="974"/>
      <c r="CY114" s="974"/>
      <c r="CZ114" s="974"/>
      <c r="DA114" s="974"/>
      <c r="DB114" s="974"/>
      <c r="DC114" s="974"/>
      <c r="DD114" s="974"/>
      <c r="DE114" s="974"/>
      <c r="DF114" s="974"/>
      <c r="DG114" s="974"/>
      <c r="DH114" s="974"/>
      <c r="DI114" s="974"/>
      <c r="DJ114" s="974"/>
      <c r="DK114" s="974"/>
      <c r="DL114" s="974"/>
      <c r="DM114" s="974"/>
      <c r="DN114" s="974"/>
      <c r="DO114" s="974"/>
      <c r="DP114" s="974"/>
      <c r="DQ114" s="974"/>
      <c r="DR114" s="974"/>
      <c r="DS114" s="974"/>
      <c r="DT114" s="974"/>
      <c r="DU114" s="974"/>
      <c r="DV114" s="974"/>
      <c r="DW114" s="974"/>
      <c r="DX114" s="974"/>
      <c r="DY114" s="974"/>
      <c r="DZ114" s="974"/>
      <c r="EA114" s="974"/>
      <c r="EB114" s="974"/>
      <c r="EC114" s="974"/>
      <c r="ED114" s="974"/>
      <c r="EE114" s="974"/>
      <c r="EF114" s="974"/>
      <c r="EG114" s="974"/>
      <c r="EH114" s="974"/>
      <c r="EI114" s="974"/>
      <c r="EJ114" s="974"/>
      <c r="EK114" s="974"/>
      <c r="EL114" s="974"/>
      <c r="EM114" s="974"/>
      <c r="EN114" s="974"/>
      <c r="EO114" s="974"/>
      <c r="EP114" s="974"/>
      <c r="EQ114" s="974"/>
      <c r="ER114" s="974"/>
      <c r="ES114" s="974"/>
      <c r="ET114" s="974"/>
      <c r="EU114" s="974"/>
      <c r="EV114" s="974"/>
      <c r="EW114" s="974"/>
      <c r="EX114" s="974"/>
      <c r="EY114" s="974"/>
      <c r="EZ114" s="974"/>
      <c r="FA114" s="974"/>
      <c r="FB114" s="974"/>
      <c r="FC114" s="974"/>
      <c r="FD114" s="974"/>
      <c r="FE114" s="974"/>
      <c r="FF114" s="974"/>
      <c r="FG114" s="974"/>
      <c r="FH114" s="974"/>
      <c r="FI114" s="974"/>
      <c r="FJ114" s="974"/>
      <c r="FK114" s="974"/>
      <c r="FL114" s="974"/>
      <c r="FM114" s="974"/>
      <c r="FN114" s="974"/>
      <c r="FO114" s="974"/>
      <c r="FP114" s="974"/>
      <c r="FQ114" s="974"/>
      <c r="FR114" s="974"/>
      <c r="FS114" s="974"/>
      <c r="FT114" s="974"/>
      <c r="FU114" s="974"/>
      <c r="FV114" s="974"/>
      <c r="FW114" s="974"/>
      <c r="FX114" s="974"/>
      <c r="FY114" s="974"/>
      <c r="FZ114" s="974"/>
      <c r="GA114" s="974"/>
      <c r="GB114" s="974"/>
      <c r="GC114" s="974"/>
      <c r="GD114" s="974"/>
      <c r="GE114" s="974"/>
      <c r="GF114" s="974"/>
      <c r="GG114" s="974"/>
      <c r="GH114" s="974"/>
      <c r="GI114" s="974"/>
      <c r="GJ114" s="974"/>
      <c r="GK114" s="974"/>
      <c r="GL114" s="974"/>
      <c r="GM114" s="974"/>
      <c r="GN114" s="974"/>
      <c r="GO114" s="974"/>
      <c r="GP114" s="974"/>
      <c r="GQ114" s="974"/>
      <c r="GR114" s="974"/>
      <c r="GS114" s="974"/>
      <c r="GT114" s="974"/>
      <c r="GU114" s="974"/>
      <c r="GV114" s="974"/>
      <c r="GW114" s="974"/>
      <c r="GX114" s="974"/>
      <c r="GY114" s="974"/>
      <c r="GZ114" s="974"/>
      <c r="HA114" s="974"/>
      <c r="HB114" s="974"/>
      <c r="HC114" s="974"/>
      <c r="HD114" s="974"/>
      <c r="HE114" s="974"/>
      <c r="HF114" s="974"/>
      <c r="HG114" s="974"/>
      <c r="HH114" s="974"/>
      <c r="HI114" s="974"/>
      <c r="HJ114" s="974"/>
      <c r="HK114" s="974"/>
      <c r="HL114" s="974"/>
      <c r="HM114" s="974"/>
      <c r="HN114" s="974"/>
      <c r="HO114" s="974"/>
      <c r="HP114" s="974"/>
      <c r="HQ114" s="974"/>
      <c r="HR114" s="974"/>
      <c r="HS114" s="974"/>
      <c r="HT114" s="974"/>
      <c r="HU114" s="974"/>
      <c r="HV114" s="974"/>
      <c r="HW114" s="974"/>
      <c r="HX114" s="974"/>
      <c r="HY114" s="974"/>
      <c r="HZ114" s="974"/>
      <c r="IA114" s="974"/>
      <c r="IB114" s="974"/>
      <c r="IC114" s="974"/>
      <c r="ID114" s="974"/>
      <c r="IE114" s="974"/>
      <c r="IF114" s="974"/>
      <c r="IG114" s="974"/>
      <c r="IH114" s="974"/>
      <c r="II114" s="974"/>
      <c r="IJ114" s="974"/>
      <c r="IK114" s="974"/>
      <c r="IL114" s="974"/>
      <c r="IM114" s="974"/>
      <c r="IN114" s="974"/>
      <c r="IO114" s="974"/>
      <c r="IP114" s="974"/>
      <c r="IQ114" s="974"/>
      <c r="IR114" s="974"/>
      <c r="IS114" s="974"/>
      <c r="IT114" s="974"/>
      <c r="IU114" s="974"/>
      <c r="IV114" s="974"/>
    </row>
    <row r="115" spans="1:256" s="865" customFormat="1" ht="11.25" customHeight="1">
      <c r="A115" s="962"/>
      <c r="B115" s="898"/>
      <c r="C115" s="898"/>
      <c r="D115" s="888" t="s">
        <v>14488</v>
      </c>
      <c r="E115" s="824"/>
      <c r="F115" s="824"/>
      <c r="G115" s="824"/>
      <c r="H115" s="907">
        <f t="shared" ref="H115:J116" si="2">I30</f>
        <v>3</v>
      </c>
      <c r="I115" s="889">
        <f t="shared" si="2"/>
        <v>2.2999999999999998</v>
      </c>
      <c r="J115" s="889">
        <f t="shared" si="2"/>
        <v>1.5</v>
      </c>
      <c r="K115" s="970"/>
      <c r="L115" s="985" t="s">
        <v>19797</v>
      </c>
      <c r="M115" s="986">
        <f>I115*J115*H115</f>
        <v>10.35</v>
      </c>
      <c r="N115" s="972"/>
      <c r="O115" s="973"/>
      <c r="P115" s="1455"/>
      <c r="Q115" s="975"/>
      <c r="R115" s="974"/>
      <c r="S115" s="974"/>
      <c r="T115" s="974"/>
      <c r="U115" s="974"/>
      <c r="V115" s="974"/>
      <c r="W115" s="974"/>
      <c r="X115" s="974"/>
      <c r="Y115" s="974"/>
      <c r="Z115" s="974"/>
      <c r="AA115" s="974"/>
      <c r="AB115" s="974"/>
      <c r="AC115" s="974"/>
      <c r="AD115" s="974"/>
      <c r="AE115" s="974"/>
      <c r="AF115" s="974"/>
      <c r="AG115" s="974"/>
      <c r="AH115" s="974"/>
      <c r="AI115" s="974"/>
      <c r="AJ115" s="974"/>
      <c r="AK115" s="974"/>
      <c r="AL115" s="974"/>
      <c r="AM115" s="974"/>
      <c r="AN115" s="974"/>
      <c r="AO115" s="974"/>
      <c r="AP115" s="974"/>
      <c r="AQ115" s="974"/>
      <c r="AR115" s="974"/>
      <c r="AS115" s="974"/>
      <c r="AT115" s="974"/>
      <c r="AU115" s="974"/>
      <c r="AV115" s="974"/>
      <c r="AW115" s="974"/>
      <c r="AX115" s="974"/>
      <c r="AY115" s="974"/>
      <c r="AZ115" s="974"/>
      <c r="BA115" s="974"/>
      <c r="BB115" s="974"/>
      <c r="BC115" s="974"/>
      <c r="BD115" s="974"/>
      <c r="BE115" s="974"/>
      <c r="BF115" s="974"/>
      <c r="BG115" s="974"/>
      <c r="BH115" s="974"/>
      <c r="BI115" s="974"/>
      <c r="BJ115" s="974"/>
      <c r="BK115" s="974"/>
      <c r="BL115" s="974"/>
      <c r="BM115" s="974"/>
      <c r="BN115" s="974"/>
      <c r="BO115" s="974"/>
      <c r="BP115" s="974"/>
      <c r="BQ115" s="974"/>
      <c r="BR115" s="974"/>
      <c r="BS115" s="974"/>
      <c r="BT115" s="974"/>
      <c r="BU115" s="974"/>
      <c r="BV115" s="974"/>
      <c r="BW115" s="974"/>
      <c r="BX115" s="974"/>
      <c r="BY115" s="974"/>
      <c r="BZ115" s="974"/>
      <c r="CA115" s="974"/>
      <c r="CB115" s="974"/>
      <c r="CC115" s="974"/>
      <c r="CD115" s="974"/>
      <c r="CE115" s="974"/>
      <c r="CF115" s="974"/>
      <c r="CG115" s="974"/>
      <c r="CH115" s="974"/>
      <c r="CI115" s="974"/>
      <c r="CJ115" s="974"/>
      <c r="CK115" s="974"/>
      <c r="CL115" s="974"/>
      <c r="CM115" s="974"/>
      <c r="CN115" s="974"/>
      <c r="CO115" s="974"/>
      <c r="CP115" s="974"/>
      <c r="CQ115" s="974"/>
      <c r="CR115" s="974"/>
      <c r="CS115" s="974"/>
      <c r="CT115" s="974"/>
      <c r="CU115" s="974"/>
      <c r="CV115" s="974"/>
      <c r="CW115" s="974"/>
      <c r="CX115" s="974"/>
      <c r="CY115" s="974"/>
      <c r="CZ115" s="974"/>
      <c r="DA115" s="974"/>
      <c r="DB115" s="974"/>
      <c r="DC115" s="974"/>
      <c r="DD115" s="974"/>
      <c r="DE115" s="974"/>
      <c r="DF115" s="974"/>
      <c r="DG115" s="974"/>
      <c r="DH115" s="974"/>
      <c r="DI115" s="974"/>
      <c r="DJ115" s="974"/>
      <c r="DK115" s="974"/>
      <c r="DL115" s="974"/>
      <c r="DM115" s="974"/>
      <c r="DN115" s="974"/>
      <c r="DO115" s="974"/>
      <c r="DP115" s="974"/>
      <c r="DQ115" s="974"/>
      <c r="DR115" s="974"/>
      <c r="DS115" s="974"/>
      <c r="DT115" s="974"/>
      <c r="DU115" s="974"/>
      <c r="DV115" s="974"/>
      <c r="DW115" s="974"/>
      <c r="DX115" s="974"/>
      <c r="DY115" s="974"/>
      <c r="DZ115" s="974"/>
      <c r="EA115" s="974"/>
      <c r="EB115" s="974"/>
      <c r="EC115" s="974"/>
      <c r="ED115" s="974"/>
      <c r="EE115" s="974"/>
      <c r="EF115" s="974"/>
      <c r="EG115" s="974"/>
      <c r="EH115" s="974"/>
      <c r="EI115" s="974"/>
      <c r="EJ115" s="974"/>
      <c r="EK115" s="974"/>
      <c r="EL115" s="974"/>
      <c r="EM115" s="974"/>
      <c r="EN115" s="974"/>
      <c r="EO115" s="974"/>
      <c r="EP115" s="974"/>
      <c r="EQ115" s="974"/>
      <c r="ER115" s="974"/>
      <c r="ES115" s="974"/>
      <c r="ET115" s="974"/>
      <c r="EU115" s="974"/>
      <c r="EV115" s="974"/>
      <c r="EW115" s="974"/>
      <c r="EX115" s="974"/>
      <c r="EY115" s="974"/>
      <c r="EZ115" s="974"/>
      <c r="FA115" s="974"/>
      <c r="FB115" s="974"/>
      <c r="FC115" s="974"/>
      <c r="FD115" s="974"/>
      <c r="FE115" s="974"/>
      <c r="FF115" s="974"/>
      <c r="FG115" s="974"/>
      <c r="FH115" s="974"/>
      <c r="FI115" s="974"/>
      <c r="FJ115" s="974"/>
      <c r="FK115" s="974"/>
      <c r="FL115" s="974"/>
      <c r="FM115" s="974"/>
      <c r="FN115" s="974"/>
      <c r="FO115" s="974"/>
      <c r="FP115" s="974"/>
      <c r="FQ115" s="974"/>
      <c r="FR115" s="974"/>
      <c r="FS115" s="974"/>
      <c r="FT115" s="974"/>
      <c r="FU115" s="974"/>
      <c r="FV115" s="974"/>
      <c r="FW115" s="974"/>
      <c r="FX115" s="974"/>
      <c r="FY115" s="974"/>
      <c r="FZ115" s="974"/>
      <c r="GA115" s="974"/>
      <c r="GB115" s="974"/>
      <c r="GC115" s="974"/>
      <c r="GD115" s="974"/>
      <c r="GE115" s="974"/>
      <c r="GF115" s="974"/>
      <c r="GG115" s="974"/>
      <c r="GH115" s="974"/>
      <c r="GI115" s="974"/>
      <c r="GJ115" s="974"/>
      <c r="GK115" s="974"/>
      <c r="GL115" s="974"/>
      <c r="GM115" s="974"/>
      <c r="GN115" s="974"/>
      <c r="GO115" s="974"/>
      <c r="GP115" s="974"/>
      <c r="GQ115" s="974"/>
      <c r="GR115" s="974"/>
      <c r="GS115" s="974"/>
      <c r="GT115" s="974"/>
      <c r="GU115" s="974"/>
      <c r="GV115" s="974"/>
      <c r="GW115" s="974"/>
      <c r="GX115" s="974"/>
      <c r="GY115" s="974"/>
      <c r="GZ115" s="974"/>
      <c r="HA115" s="974"/>
      <c r="HB115" s="974"/>
      <c r="HC115" s="974"/>
      <c r="HD115" s="974"/>
      <c r="HE115" s="974"/>
      <c r="HF115" s="974"/>
      <c r="HG115" s="974"/>
      <c r="HH115" s="974"/>
      <c r="HI115" s="974"/>
      <c r="HJ115" s="974"/>
      <c r="HK115" s="974"/>
      <c r="HL115" s="974"/>
      <c r="HM115" s="974"/>
      <c r="HN115" s="974"/>
      <c r="HO115" s="974"/>
      <c r="HP115" s="974"/>
      <c r="HQ115" s="974"/>
      <c r="HR115" s="974"/>
      <c r="HS115" s="974"/>
      <c r="HT115" s="974"/>
      <c r="HU115" s="974"/>
      <c r="HV115" s="974"/>
      <c r="HW115" s="974"/>
      <c r="HX115" s="974"/>
      <c r="HY115" s="974"/>
      <c r="HZ115" s="974"/>
      <c r="IA115" s="974"/>
      <c r="IB115" s="974"/>
      <c r="IC115" s="974"/>
      <c r="ID115" s="974"/>
      <c r="IE115" s="974"/>
      <c r="IF115" s="974"/>
      <c r="IG115" s="974"/>
      <c r="IH115" s="974"/>
      <c r="II115" s="974"/>
      <c r="IJ115" s="974"/>
      <c r="IK115" s="974"/>
      <c r="IL115" s="974"/>
      <c r="IM115" s="974"/>
      <c r="IN115" s="974"/>
      <c r="IO115" s="974"/>
      <c r="IP115" s="974"/>
      <c r="IQ115" s="974"/>
      <c r="IR115" s="974"/>
      <c r="IS115" s="974"/>
      <c r="IT115" s="974"/>
      <c r="IU115" s="974"/>
      <c r="IV115" s="974"/>
    </row>
    <row r="116" spans="1:256" s="865" customFormat="1" ht="11.25" customHeight="1">
      <c r="A116" s="962"/>
      <c r="B116" s="898"/>
      <c r="C116" s="898"/>
      <c r="D116" s="888" t="s">
        <v>14489</v>
      </c>
      <c r="E116" s="824"/>
      <c r="F116" s="824"/>
      <c r="G116" s="824"/>
      <c r="H116" s="907">
        <f t="shared" si="2"/>
        <v>2</v>
      </c>
      <c r="I116" s="889">
        <f t="shared" si="2"/>
        <v>2.2999999999999998</v>
      </c>
      <c r="J116" s="889">
        <f t="shared" si="2"/>
        <v>1.5</v>
      </c>
      <c r="K116" s="970"/>
      <c r="L116" s="985" t="s">
        <v>19797</v>
      </c>
      <c r="M116" s="986">
        <f>I116*J116*H116</f>
        <v>6.8999999999999995</v>
      </c>
      <c r="N116" s="972"/>
      <c r="O116" s="973"/>
      <c r="P116" s="1455"/>
      <c r="Q116" s="975"/>
      <c r="R116" s="974"/>
      <c r="S116" s="974"/>
      <c r="T116" s="974"/>
      <c r="U116" s="974"/>
      <c r="V116" s="974"/>
      <c r="W116" s="974"/>
      <c r="X116" s="974"/>
      <c r="Y116" s="974"/>
      <c r="Z116" s="974"/>
      <c r="AA116" s="974"/>
      <c r="AB116" s="974"/>
      <c r="AC116" s="974"/>
      <c r="AD116" s="974"/>
      <c r="AE116" s="974"/>
      <c r="AF116" s="974"/>
      <c r="AG116" s="974"/>
      <c r="AH116" s="974"/>
      <c r="AI116" s="974"/>
      <c r="AJ116" s="974"/>
      <c r="AK116" s="974"/>
      <c r="AL116" s="974"/>
      <c r="AM116" s="974"/>
      <c r="AN116" s="974"/>
      <c r="AO116" s="974"/>
      <c r="AP116" s="974"/>
      <c r="AQ116" s="974"/>
      <c r="AR116" s="974"/>
      <c r="AS116" s="974"/>
      <c r="AT116" s="974"/>
      <c r="AU116" s="974"/>
      <c r="AV116" s="974"/>
      <c r="AW116" s="974"/>
      <c r="AX116" s="974"/>
      <c r="AY116" s="974"/>
      <c r="AZ116" s="974"/>
      <c r="BA116" s="974"/>
      <c r="BB116" s="974"/>
      <c r="BC116" s="974"/>
      <c r="BD116" s="974"/>
      <c r="BE116" s="974"/>
      <c r="BF116" s="974"/>
      <c r="BG116" s="974"/>
      <c r="BH116" s="974"/>
      <c r="BI116" s="974"/>
      <c r="BJ116" s="974"/>
      <c r="BK116" s="974"/>
      <c r="BL116" s="974"/>
      <c r="BM116" s="974"/>
      <c r="BN116" s="974"/>
      <c r="BO116" s="974"/>
      <c r="BP116" s="974"/>
      <c r="BQ116" s="974"/>
      <c r="BR116" s="974"/>
      <c r="BS116" s="974"/>
      <c r="BT116" s="974"/>
      <c r="BU116" s="974"/>
      <c r="BV116" s="974"/>
      <c r="BW116" s="974"/>
      <c r="BX116" s="974"/>
      <c r="BY116" s="974"/>
      <c r="BZ116" s="974"/>
      <c r="CA116" s="974"/>
      <c r="CB116" s="974"/>
      <c r="CC116" s="974"/>
      <c r="CD116" s="974"/>
      <c r="CE116" s="974"/>
      <c r="CF116" s="974"/>
      <c r="CG116" s="974"/>
      <c r="CH116" s="974"/>
      <c r="CI116" s="974"/>
      <c r="CJ116" s="974"/>
      <c r="CK116" s="974"/>
      <c r="CL116" s="974"/>
      <c r="CM116" s="974"/>
      <c r="CN116" s="974"/>
      <c r="CO116" s="974"/>
      <c r="CP116" s="974"/>
      <c r="CQ116" s="974"/>
      <c r="CR116" s="974"/>
      <c r="CS116" s="974"/>
      <c r="CT116" s="974"/>
      <c r="CU116" s="974"/>
      <c r="CV116" s="974"/>
      <c r="CW116" s="974"/>
      <c r="CX116" s="974"/>
      <c r="CY116" s="974"/>
      <c r="CZ116" s="974"/>
      <c r="DA116" s="974"/>
      <c r="DB116" s="974"/>
      <c r="DC116" s="974"/>
      <c r="DD116" s="974"/>
      <c r="DE116" s="974"/>
      <c r="DF116" s="974"/>
      <c r="DG116" s="974"/>
      <c r="DH116" s="974"/>
      <c r="DI116" s="974"/>
      <c r="DJ116" s="974"/>
      <c r="DK116" s="974"/>
      <c r="DL116" s="974"/>
      <c r="DM116" s="974"/>
      <c r="DN116" s="974"/>
      <c r="DO116" s="974"/>
      <c r="DP116" s="974"/>
      <c r="DQ116" s="974"/>
      <c r="DR116" s="974"/>
      <c r="DS116" s="974"/>
      <c r="DT116" s="974"/>
      <c r="DU116" s="974"/>
      <c r="DV116" s="974"/>
      <c r="DW116" s="974"/>
      <c r="DX116" s="974"/>
      <c r="DY116" s="974"/>
      <c r="DZ116" s="974"/>
      <c r="EA116" s="974"/>
      <c r="EB116" s="974"/>
      <c r="EC116" s="974"/>
      <c r="ED116" s="974"/>
      <c r="EE116" s="974"/>
      <c r="EF116" s="974"/>
      <c r="EG116" s="974"/>
      <c r="EH116" s="974"/>
      <c r="EI116" s="974"/>
      <c r="EJ116" s="974"/>
      <c r="EK116" s="974"/>
      <c r="EL116" s="974"/>
      <c r="EM116" s="974"/>
      <c r="EN116" s="974"/>
      <c r="EO116" s="974"/>
      <c r="EP116" s="974"/>
      <c r="EQ116" s="974"/>
      <c r="ER116" s="974"/>
      <c r="ES116" s="974"/>
      <c r="ET116" s="974"/>
      <c r="EU116" s="974"/>
      <c r="EV116" s="974"/>
      <c r="EW116" s="974"/>
      <c r="EX116" s="974"/>
      <c r="EY116" s="974"/>
      <c r="EZ116" s="974"/>
      <c r="FA116" s="974"/>
      <c r="FB116" s="974"/>
      <c r="FC116" s="974"/>
      <c r="FD116" s="974"/>
      <c r="FE116" s="974"/>
      <c r="FF116" s="974"/>
      <c r="FG116" s="974"/>
      <c r="FH116" s="974"/>
      <c r="FI116" s="974"/>
      <c r="FJ116" s="974"/>
      <c r="FK116" s="974"/>
      <c r="FL116" s="974"/>
      <c r="FM116" s="974"/>
      <c r="FN116" s="974"/>
      <c r="FO116" s="974"/>
      <c r="FP116" s="974"/>
      <c r="FQ116" s="974"/>
      <c r="FR116" s="974"/>
      <c r="FS116" s="974"/>
      <c r="FT116" s="974"/>
      <c r="FU116" s="974"/>
      <c r="FV116" s="974"/>
      <c r="FW116" s="974"/>
      <c r="FX116" s="974"/>
      <c r="FY116" s="974"/>
      <c r="FZ116" s="974"/>
      <c r="GA116" s="974"/>
      <c r="GB116" s="974"/>
      <c r="GC116" s="974"/>
      <c r="GD116" s="974"/>
      <c r="GE116" s="974"/>
      <c r="GF116" s="974"/>
      <c r="GG116" s="974"/>
      <c r="GH116" s="974"/>
      <c r="GI116" s="974"/>
      <c r="GJ116" s="974"/>
      <c r="GK116" s="974"/>
      <c r="GL116" s="974"/>
      <c r="GM116" s="974"/>
      <c r="GN116" s="974"/>
      <c r="GO116" s="974"/>
      <c r="GP116" s="974"/>
      <c r="GQ116" s="974"/>
      <c r="GR116" s="974"/>
      <c r="GS116" s="974"/>
      <c r="GT116" s="974"/>
      <c r="GU116" s="974"/>
      <c r="GV116" s="974"/>
      <c r="GW116" s="974"/>
      <c r="GX116" s="974"/>
      <c r="GY116" s="974"/>
      <c r="GZ116" s="974"/>
      <c r="HA116" s="974"/>
      <c r="HB116" s="974"/>
      <c r="HC116" s="974"/>
      <c r="HD116" s="974"/>
      <c r="HE116" s="974"/>
      <c r="HF116" s="974"/>
      <c r="HG116" s="974"/>
      <c r="HH116" s="974"/>
      <c r="HI116" s="974"/>
      <c r="HJ116" s="974"/>
      <c r="HK116" s="974"/>
      <c r="HL116" s="974"/>
      <c r="HM116" s="974"/>
      <c r="HN116" s="974"/>
      <c r="HO116" s="974"/>
      <c r="HP116" s="974"/>
      <c r="HQ116" s="974"/>
      <c r="HR116" s="974"/>
      <c r="HS116" s="974"/>
      <c r="HT116" s="974"/>
      <c r="HU116" s="974"/>
      <c r="HV116" s="974"/>
      <c r="HW116" s="974"/>
      <c r="HX116" s="974"/>
      <c r="HY116" s="974"/>
      <c r="HZ116" s="974"/>
      <c r="IA116" s="974"/>
      <c r="IB116" s="974"/>
      <c r="IC116" s="974"/>
      <c r="ID116" s="974"/>
      <c r="IE116" s="974"/>
      <c r="IF116" s="974"/>
      <c r="IG116" s="974"/>
      <c r="IH116" s="974"/>
      <c r="II116" s="974"/>
      <c r="IJ116" s="974"/>
      <c r="IK116" s="974"/>
      <c r="IL116" s="974"/>
      <c r="IM116" s="974"/>
      <c r="IN116" s="974"/>
      <c r="IO116" s="974"/>
      <c r="IP116" s="974"/>
      <c r="IQ116" s="974"/>
      <c r="IR116" s="974"/>
      <c r="IS116" s="974"/>
      <c r="IT116" s="974"/>
      <c r="IU116" s="974"/>
      <c r="IV116" s="974"/>
    </row>
    <row r="117" spans="1:256" s="865" customFormat="1" ht="11.25" customHeight="1">
      <c r="A117" s="962"/>
      <c r="B117" s="898"/>
      <c r="C117" s="898"/>
      <c r="D117" s="888"/>
      <c r="E117" s="824"/>
      <c r="F117" s="824"/>
      <c r="G117" s="824"/>
      <c r="H117" s="1331"/>
      <c r="I117" s="700"/>
      <c r="J117" s="700"/>
      <c r="K117" s="700"/>
      <c r="L117" s="700"/>
      <c r="M117" s="1149"/>
      <c r="N117" s="972"/>
      <c r="O117" s="973"/>
      <c r="P117" s="1455"/>
      <c r="Q117" s="975"/>
      <c r="R117" s="974"/>
      <c r="S117" s="974"/>
      <c r="T117" s="974"/>
      <c r="U117" s="974"/>
      <c r="V117" s="974"/>
      <c r="W117" s="974"/>
      <c r="X117" s="974"/>
      <c r="Y117" s="974"/>
      <c r="Z117" s="974"/>
      <c r="AA117" s="974"/>
      <c r="AB117" s="974"/>
      <c r="AC117" s="974"/>
      <c r="AD117" s="974"/>
      <c r="AE117" s="974"/>
      <c r="AF117" s="974"/>
      <c r="AG117" s="974"/>
      <c r="AH117" s="974"/>
      <c r="AI117" s="974"/>
      <c r="AJ117" s="974"/>
      <c r="AK117" s="974"/>
      <c r="AL117" s="974"/>
      <c r="AM117" s="974"/>
      <c r="AN117" s="974"/>
      <c r="AO117" s="974"/>
      <c r="AP117" s="974"/>
      <c r="AQ117" s="974"/>
      <c r="AR117" s="974"/>
      <c r="AS117" s="974"/>
      <c r="AT117" s="974"/>
      <c r="AU117" s="974"/>
      <c r="AV117" s="974"/>
      <c r="AW117" s="974"/>
      <c r="AX117" s="974"/>
      <c r="AY117" s="974"/>
      <c r="AZ117" s="974"/>
      <c r="BA117" s="974"/>
      <c r="BB117" s="974"/>
      <c r="BC117" s="974"/>
      <c r="BD117" s="974"/>
      <c r="BE117" s="974"/>
      <c r="BF117" s="974"/>
      <c r="BG117" s="974"/>
      <c r="BH117" s="974"/>
      <c r="BI117" s="974"/>
      <c r="BJ117" s="974"/>
      <c r="BK117" s="974"/>
      <c r="BL117" s="974"/>
      <c r="BM117" s="974"/>
      <c r="BN117" s="974"/>
      <c r="BO117" s="974"/>
      <c r="BP117" s="974"/>
      <c r="BQ117" s="974"/>
      <c r="BR117" s="974"/>
      <c r="BS117" s="974"/>
      <c r="BT117" s="974"/>
      <c r="BU117" s="974"/>
      <c r="BV117" s="974"/>
      <c r="BW117" s="974"/>
      <c r="BX117" s="974"/>
      <c r="BY117" s="974"/>
      <c r="BZ117" s="974"/>
      <c r="CA117" s="974"/>
      <c r="CB117" s="974"/>
      <c r="CC117" s="974"/>
      <c r="CD117" s="974"/>
      <c r="CE117" s="974"/>
      <c r="CF117" s="974"/>
      <c r="CG117" s="974"/>
      <c r="CH117" s="974"/>
      <c r="CI117" s="974"/>
      <c r="CJ117" s="974"/>
      <c r="CK117" s="974"/>
      <c r="CL117" s="974"/>
      <c r="CM117" s="974"/>
      <c r="CN117" s="974"/>
      <c r="CO117" s="974"/>
      <c r="CP117" s="974"/>
      <c r="CQ117" s="974"/>
      <c r="CR117" s="974"/>
      <c r="CS117" s="974"/>
      <c r="CT117" s="974"/>
      <c r="CU117" s="974"/>
      <c r="CV117" s="974"/>
      <c r="CW117" s="974"/>
      <c r="CX117" s="974"/>
      <c r="CY117" s="974"/>
      <c r="CZ117" s="974"/>
      <c r="DA117" s="974"/>
      <c r="DB117" s="974"/>
      <c r="DC117" s="974"/>
      <c r="DD117" s="974"/>
      <c r="DE117" s="974"/>
      <c r="DF117" s="974"/>
      <c r="DG117" s="974"/>
      <c r="DH117" s="974"/>
      <c r="DI117" s="974"/>
      <c r="DJ117" s="974"/>
      <c r="DK117" s="974"/>
      <c r="DL117" s="974"/>
      <c r="DM117" s="974"/>
      <c r="DN117" s="974"/>
      <c r="DO117" s="974"/>
      <c r="DP117" s="974"/>
      <c r="DQ117" s="974"/>
      <c r="DR117" s="974"/>
      <c r="DS117" s="974"/>
      <c r="DT117" s="974"/>
      <c r="DU117" s="974"/>
      <c r="DV117" s="974"/>
      <c r="DW117" s="974"/>
      <c r="DX117" s="974"/>
      <c r="DY117" s="974"/>
      <c r="DZ117" s="974"/>
      <c r="EA117" s="974"/>
      <c r="EB117" s="974"/>
      <c r="EC117" s="974"/>
      <c r="ED117" s="974"/>
      <c r="EE117" s="974"/>
      <c r="EF117" s="974"/>
      <c r="EG117" s="974"/>
      <c r="EH117" s="974"/>
      <c r="EI117" s="974"/>
      <c r="EJ117" s="974"/>
      <c r="EK117" s="974"/>
      <c r="EL117" s="974"/>
      <c r="EM117" s="974"/>
      <c r="EN117" s="974"/>
      <c r="EO117" s="974"/>
      <c r="EP117" s="974"/>
      <c r="EQ117" s="974"/>
      <c r="ER117" s="974"/>
      <c r="ES117" s="974"/>
      <c r="ET117" s="974"/>
      <c r="EU117" s="974"/>
      <c r="EV117" s="974"/>
      <c r="EW117" s="974"/>
      <c r="EX117" s="974"/>
      <c r="EY117" s="974"/>
      <c r="EZ117" s="974"/>
      <c r="FA117" s="974"/>
      <c r="FB117" s="974"/>
      <c r="FC117" s="974"/>
      <c r="FD117" s="974"/>
      <c r="FE117" s="974"/>
      <c r="FF117" s="974"/>
      <c r="FG117" s="974"/>
      <c r="FH117" s="974"/>
      <c r="FI117" s="974"/>
      <c r="FJ117" s="974"/>
      <c r="FK117" s="974"/>
      <c r="FL117" s="974"/>
      <c r="FM117" s="974"/>
      <c r="FN117" s="974"/>
      <c r="FO117" s="974"/>
      <c r="FP117" s="974"/>
      <c r="FQ117" s="974"/>
      <c r="FR117" s="974"/>
      <c r="FS117" s="974"/>
      <c r="FT117" s="974"/>
      <c r="FU117" s="974"/>
      <c r="FV117" s="974"/>
      <c r="FW117" s="974"/>
      <c r="FX117" s="974"/>
      <c r="FY117" s="974"/>
      <c r="FZ117" s="974"/>
      <c r="GA117" s="974"/>
      <c r="GB117" s="974"/>
      <c r="GC117" s="974"/>
      <c r="GD117" s="974"/>
      <c r="GE117" s="974"/>
      <c r="GF117" s="974"/>
      <c r="GG117" s="974"/>
      <c r="GH117" s="974"/>
      <c r="GI117" s="974"/>
      <c r="GJ117" s="974"/>
      <c r="GK117" s="974"/>
      <c r="GL117" s="974"/>
      <c r="GM117" s="974"/>
      <c r="GN117" s="974"/>
      <c r="GO117" s="974"/>
      <c r="GP117" s="974"/>
      <c r="GQ117" s="974"/>
      <c r="GR117" s="974"/>
      <c r="GS117" s="974"/>
      <c r="GT117" s="974"/>
      <c r="GU117" s="974"/>
      <c r="GV117" s="974"/>
      <c r="GW117" s="974"/>
      <c r="GX117" s="974"/>
      <c r="GY117" s="974"/>
      <c r="GZ117" s="974"/>
      <c r="HA117" s="974"/>
      <c r="HB117" s="974"/>
      <c r="HC117" s="974"/>
      <c r="HD117" s="974"/>
      <c r="HE117" s="974"/>
      <c r="HF117" s="974"/>
      <c r="HG117" s="974"/>
      <c r="HH117" s="974"/>
      <c r="HI117" s="974"/>
      <c r="HJ117" s="974"/>
      <c r="HK117" s="974"/>
      <c r="HL117" s="974"/>
      <c r="HM117" s="974"/>
      <c r="HN117" s="974"/>
      <c r="HO117" s="974"/>
      <c r="HP117" s="974"/>
      <c r="HQ117" s="974"/>
      <c r="HR117" s="974"/>
      <c r="HS117" s="974"/>
      <c r="HT117" s="974"/>
      <c r="HU117" s="974"/>
      <c r="HV117" s="974"/>
      <c r="HW117" s="974"/>
      <c r="HX117" s="974"/>
      <c r="HY117" s="974"/>
      <c r="HZ117" s="974"/>
      <c r="IA117" s="974"/>
      <c r="IB117" s="974"/>
      <c r="IC117" s="974"/>
      <c r="ID117" s="974"/>
      <c r="IE117" s="974"/>
      <c r="IF117" s="974"/>
      <c r="IG117" s="974"/>
      <c r="IH117" s="974"/>
      <c r="II117" s="974"/>
      <c r="IJ117" s="974"/>
      <c r="IK117" s="974"/>
      <c r="IL117" s="974"/>
      <c r="IM117" s="974"/>
      <c r="IN117" s="974"/>
      <c r="IO117" s="974"/>
      <c r="IP117" s="974"/>
      <c r="IQ117" s="974"/>
      <c r="IR117" s="974"/>
      <c r="IS117" s="974"/>
      <c r="IT117" s="974"/>
      <c r="IU117" s="974"/>
      <c r="IV117" s="974"/>
    </row>
    <row r="118" spans="1:256" s="865" customFormat="1">
      <c r="A118" s="962"/>
      <c r="B118" s="898"/>
      <c r="C118" s="898"/>
      <c r="D118" s="981"/>
      <c r="E118" s="982"/>
      <c r="F118" s="982"/>
      <c r="G118" s="970"/>
      <c r="H118" s="1355"/>
      <c r="I118" s="970"/>
      <c r="J118" s="970"/>
      <c r="K118" s="970"/>
      <c r="L118" s="985"/>
      <c r="M118" s="986"/>
      <c r="N118" s="972"/>
      <c r="O118" s="973"/>
      <c r="P118" s="1455"/>
      <c r="Q118" s="975"/>
      <c r="R118" s="974"/>
      <c r="S118" s="974"/>
      <c r="T118" s="974"/>
      <c r="U118" s="974"/>
      <c r="V118" s="974"/>
      <c r="W118" s="974"/>
      <c r="X118" s="974"/>
      <c r="Y118" s="974"/>
      <c r="Z118" s="974"/>
      <c r="AA118" s="974"/>
      <c r="AB118" s="974"/>
      <c r="AC118" s="974"/>
      <c r="AD118" s="974"/>
      <c r="AE118" s="974"/>
      <c r="AF118" s="974"/>
      <c r="AG118" s="974"/>
      <c r="AH118" s="974"/>
      <c r="AI118" s="974"/>
      <c r="AJ118" s="974"/>
      <c r="AK118" s="974"/>
      <c r="AL118" s="974"/>
      <c r="AM118" s="974"/>
      <c r="AN118" s="974"/>
      <c r="AO118" s="974"/>
      <c r="AP118" s="974"/>
      <c r="AQ118" s="974"/>
      <c r="AR118" s="974"/>
      <c r="AS118" s="974"/>
      <c r="AT118" s="974"/>
      <c r="AU118" s="974"/>
      <c r="AV118" s="974"/>
      <c r="AW118" s="974"/>
      <c r="AX118" s="974"/>
      <c r="AY118" s="974"/>
      <c r="AZ118" s="974"/>
      <c r="BA118" s="974"/>
      <c r="BB118" s="974"/>
      <c r="BC118" s="974"/>
      <c r="BD118" s="974"/>
      <c r="BE118" s="974"/>
      <c r="BF118" s="974"/>
      <c r="BG118" s="974"/>
      <c r="BH118" s="974"/>
      <c r="BI118" s="974"/>
      <c r="BJ118" s="974"/>
      <c r="BK118" s="974"/>
      <c r="BL118" s="974"/>
      <c r="BM118" s="974"/>
      <c r="BN118" s="974"/>
      <c r="BO118" s="974"/>
      <c r="BP118" s="974"/>
      <c r="BQ118" s="974"/>
      <c r="BR118" s="974"/>
      <c r="BS118" s="974"/>
      <c r="BT118" s="974"/>
      <c r="BU118" s="974"/>
      <c r="BV118" s="974"/>
      <c r="BW118" s="974"/>
      <c r="BX118" s="974"/>
      <c r="BY118" s="974"/>
      <c r="BZ118" s="974"/>
      <c r="CA118" s="974"/>
      <c r="CB118" s="974"/>
      <c r="CC118" s="974"/>
      <c r="CD118" s="974"/>
      <c r="CE118" s="974"/>
      <c r="CF118" s="974"/>
      <c r="CG118" s="974"/>
      <c r="CH118" s="974"/>
      <c r="CI118" s="974"/>
      <c r="CJ118" s="974"/>
      <c r="CK118" s="974"/>
      <c r="CL118" s="974"/>
      <c r="CM118" s="974"/>
      <c r="CN118" s="974"/>
      <c r="CO118" s="974"/>
      <c r="CP118" s="974"/>
      <c r="CQ118" s="974"/>
      <c r="CR118" s="974"/>
      <c r="CS118" s="974"/>
      <c r="CT118" s="974"/>
      <c r="CU118" s="974"/>
      <c r="CV118" s="974"/>
      <c r="CW118" s="974"/>
      <c r="CX118" s="974"/>
      <c r="CY118" s="974"/>
      <c r="CZ118" s="974"/>
      <c r="DA118" s="974"/>
      <c r="DB118" s="974"/>
      <c r="DC118" s="974"/>
      <c r="DD118" s="974"/>
      <c r="DE118" s="974"/>
      <c r="DF118" s="974"/>
      <c r="DG118" s="974"/>
      <c r="DH118" s="974"/>
      <c r="DI118" s="974"/>
      <c r="DJ118" s="974"/>
      <c r="DK118" s="974"/>
      <c r="DL118" s="974"/>
      <c r="DM118" s="974"/>
      <c r="DN118" s="974"/>
      <c r="DO118" s="974"/>
      <c r="DP118" s="974"/>
      <c r="DQ118" s="974"/>
      <c r="DR118" s="974"/>
      <c r="DS118" s="974"/>
      <c r="DT118" s="974"/>
      <c r="DU118" s="974"/>
      <c r="DV118" s="974"/>
      <c r="DW118" s="974"/>
      <c r="DX118" s="974"/>
      <c r="DY118" s="974"/>
      <c r="DZ118" s="974"/>
      <c r="EA118" s="974"/>
      <c r="EB118" s="974"/>
      <c r="EC118" s="974"/>
      <c r="ED118" s="974"/>
      <c r="EE118" s="974"/>
      <c r="EF118" s="974"/>
      <c r="EG118" s="974"/>
      <c r="EH118" s="974"/>
      <c r="EI118" s="974"/>
      <c r="EJ118" s="974"/>
      <c r="EK118" s="974"/>
      <c r="EL118" s="974"/>
      <c r="EM118" s="974"/>
      <c r="EN118" s="974"/>
      <c r="EO118" s="974"/>
      <c r="EP118" s="974"/>
      <c r="EQ118" s="974"/>
      <c r="ER118" s="974"/>
      <c r="ES118" s="974"/>
      <c r="ET118" s="974"/>
      <c r="EU118" s="974"/>
      <c r="EV118" s="974"/>
      <c r="EW118" s="974"/>
      <c r="EX118" s="974"/>
      <c r="EY118" s="974"/>
      <c r="EZ118" s="974"/>
      <c r="FA118" s="974"/>
      <c r="FB118" s="974"/>
      <c r="FC118" s="974"/>
      <c r="FD118" s="974"/>
      <c r="FE118" s="974"/>
      <c r="FF118" s="974"/>
      <c r="FG118" s="974"/>
      <c r="FH118" s="974"/>
      <c r="FI118" s="974"/>
      <c r="FJ118" s="974"/>
      <c r="FK118" s="974"/>
      <c r="FL118" s="974"/>
      <c r="FM118" s="974"/>
      <c r="FN118" s="974"/>
      <c r="FO118" s="974"/>
      <c r="FP118" s="974"/>
      <c r="FQ118" s="974"/>
      <c r="FR118" s="974"/>
      <c r="FS118" s="974"/>
      <c r="FT118" s="974"/>
      <c r="FU118" s="974"/>
      <c r="FV118" s="974"/>
      <c r="FW118" s="974"/>
      <c r="FX118" s="974"/>
      <c r="FY118" s="974"/>
      <c r="FZ118" s="974"/>
      <c r="GA118" s="974"/>
      <c r="GB118" s="974"/>
      <c r="GC118" s="974"/>
      <c r="GD118" s="974"/>
      <c r="GE118" s="974"/>
      <c r="GF118" s="974"/>
      <c r="GG118" s="974"/>
      <c r="GH118" s="974"/>
      <c r="GI118" s="974"/>
      <c r="GJ118" s="974"/>
      <c r="GK118" s="974"/>
      <c r="GL118" s="974"/>
      <c r="GM118" s="974"/>
      <c r="GN118" s="974"/>
      <c r="GO118" s="974"/>
      <c r="GP118" s="974"/>
      <c r="GQ118" s="974"/>
      <c r="GR118" s="974"/>
      <c r="GS118" s="974"/>
      <c r="GT118" s="974"/>
      <c r="GU118" s="974"/>
      <c r="GV118" s="974"/>
      <c r="GW118" s="974"/>
      <c r="GX118" s="974"/>
      <c r="GY118" s="974"/>
      <c r="GZ118" s="974"/>
      <c r="HA118" s="974"/>
      <c r="HB118" s="974"/>
      <c r="HC118" s="974"/>
      <c r="HD118" s="974"/>
      <c r="HE118" s="974"/>
      <c r="HF118" s="974"/>
      <c r="HG118" s="974"/>
      <c r="HH118" s="974"/>
      <c r="HI118" s="974"/>
      <c r="HJ118" s="974"/>
      <c r="HK118" s="974"/>
      <c r="HL118" s="974"/>
      <c r="HM118" s="974"/>
      <c r="HN118" s="974"/>
      <c r="HO118" s="974"/>
      <c r="HP118" s="974"/>
      <c r="HQ118" s="974"/>
      <c r="HR118" s="974"/>
      <c r="HS118" s="974"/>
      <c r="HT118" s="974"/>
      <c r="HU118" s="974"/>
      <c r="HV118" s="974"/>
      <c r="HW118" s="974"/>
      <c r="HX118" s="974"/>
      <c r="HY118" s="974"/>
      <c r="HZ118" s="974"/>
      <c r="IA118" s="974"/>
      <c r="IB118" s="974"/>
      <c r="IC118" s="974"/>
      <c r="ID118" s="974"/>
      <c r="IE118" s="974"/>
      <c r="IF118" s="974"/>
      <c r="IG118" s="974"/>
      <c r="IH118" s="974"/>
      <c r="II118" s="974"/>
      <c r="IJ118" s="974"/>
      <c r="IK118" s="974"/>
      <c r="IL118" s="974"/>
      <c r="IM118" s="974"/>
      <c r="IN118" s="974"/>
      <c r="IO118" s="974"/>
      <c r="IP118" s="974"/>
      <c r="IQ118" s="974"/>
      <c r="IR118" s="974"/>
      <c r="IS118" s="974"/>
      <c r="IT118" s="974"/>
      <c r="IU118" s="974"/>
      <c r="IV118" s="974"/>
    </row>
    <row r="119" spans="1:256" s="865" customFormat="1">
      <c r="A119" s="962" t="s">
        <v>14613</v>
      </c>
      <c r="B119" s="855" t="s">
        <v>70</v>
      </c>
      <c r="C119" s="909">
        <v>79472</v>
      </c>
      <c r="D119" s="836" t="str">
        <f>PROPER(IF(B119="Saneago",VLOOKUP(C119,'SANEAGO-FEV.2016'!A:B,2,0),IF(B119="Sinapi",VLOOKUP(C119,'SINAPI-FEV.2017'!A:D,2,0),IF(B119="Cotação",VLOOKUP(C119,COTAÇÃO!A:D,2,0),IF(B119="Composição",VLOOKUP(C119,COMPOSIÇÃO!A:D,2,0))))))</f>
        <v>Regularizacao De Superficies Em Terra Com Motoniveladora</v>
      </c>
      <c r="E119" s="837"/>
      <c r="F119" s="837"/>
      <c r="G119" s="987"/>
      <c r="H119" s="992"/>
      <c r="I119" s="987"/>
      <c r="J119" s="987"/>
      <c r="K119" s="988" t="s">
        <v>27</v>
      </c>
      <c r="L119" s="988" t="s">
        <v>19797</v>
      </c>
      <c r="M119" s="1150">
        <f>SUM(M115:M117)</f>
        <v>17.25</v>
      </c>
      <c r="N119" s="972"/>
      <c r="O119" s="973"/>
      <c r="P119" s="1455"/>
      <c r="Q119" s="975"/>
      <c r="R119" s="974"/>
      <c r="S119" s="974"/>
      <c r="T119" s="974"/>
      <c r="U119" s="974"/>
      <c r="V119" s="974"/>
      <c r="W119" s="974"/>
      <c r="X119" s="974"/>
      <c r="Y119" s="974"/>
      <c r="Z119" s="974"/>
      <c r="AA119" s="974"/>
      <c r="AB119" s="974"/>
      <c r="AC119" s="974"/>
      <c r="AD119" s="974"/>
      <c r="AE119" s="974"/>
      <c r="AF119" s="974"/>
      <c r="AG119" s="974"/>
      <c r="AH119" s="974"/>
      <c r="AI119" s="974"/>
      <c r="AJ119" s="974"/>
      <c r="AK119" s="974"/>
      <c r="AL119" s="974"/>
      <c r="AM119" s="974"/>
      <c r="AN119" s="974"/>
      <c r="AO119" s="974"/>
      <c r="AP119" s="974"/>
      <c r="AQ119" s="974"/>
      <c r="AR119" s="974"/>
      <c r="AS119" s="974"/>
      <c r="AT119" s="974"/>
      <c r="AU119" s="974"/>
      <c r="AV119" s="974"/>
      <c r="AW119" s="974"/>
      <c r="AX119" s="974"/>
      <c r="AY119" s="974"/>
      <c r="AZ119" s="974"/>
      <c r="BA119" s="974"/>
      <c r="BB119" s="974"/>
      <c r="BC119" s="974"/>
      <c r="BD119" s="974"/>
      <c r="BE119" s="974"/>
      <c r="BF119" s="974"/>
      <c r="BG119" s="974"/>
      <c r="BH119" s="974"/>
      <c r="BI119" s="974"/>
      <c r="BJ119" s="974"/>
      <c r="BK119" s="974"/>
      <c r="BL119" s="974"/>
      <c r="BM119" s="974"/>
      <c r="BN119" s="974"/>
      <c r="BO119" s="974"/>
      <c r="BP119" s="974"/>
      <c r="BQ119" s="974"/>
      <c r="BR119" s="974"/>
      <c r="BS119" s="974"/>
      <c r="BT119" s="974"/>
      <c r="BU119" s="974"/>
      <c r="BV119" s="974"/>
      <c r="BW119" s="974"/>
      <c r="BX119" s="974"/>
      <c r="BY119" s="974"/>
      <c r="BZ119" s="974"/>
      <c r="CA119" s="974"/>
      <c r="CB119" s="974"/>
      <c r="CC119" s="974"/>
      <c r="CD119" s="974"/>
      <c r="CE119" s="974"/>
      <c r="CF119" s="974"/>
      <c r="CG119" s="974"/>
      <c r="CH119" s="974"/>
      <c r="CI119" s="974"/>
      <c r="CJ119" s="974"/>
      <c r="CK119" s="974"/>
      <c r="CL119" s="974"/>
      <c r="CM119" s="974"/>
      <c r="CN119" s="974"/>
      <c r="CO119" s="974"/>
      <c r="CP119" s="974"/>
      <c r="CQ119" s="974"/>
      <c r="CR119" s="974"/>
      <c r="CS119" s="974"/>
      <c r="CT119" s="974"/>
      <c r="CU119" s="974"/>
      <c r="CV119" s="974"/>
      <c r="CW119" s="974"/>
      <c r="CX119" s="974"/>
      <c r="CY119" s="974"/>
      <c r="CZ119" s="974"/>
      <c r="DA119" s="974"/>
      <c r="DB119" s="974"/>
      <c r="DC119" s="974"/>
      <c r="DD119" s="974"/>
      <c r="DE119" s="974"/>
      <c r="DF119" s="974"/>
      <c r="DG119" s="974"/>
      <c r="DH119" s="974"/>
      <c r="DI119" s="974"/>
      <c r="DJ119" s="974"/>
      <c r="DK119" s="974"/>
      <c r="DL119" s="974"/>
      <c r="DM119" s="974"/>
      <c r="DN119" s="974"/>
      <c r="DO119" s="974"/>
      <c r="DP119" s="974"/>
      <c r="DQ119" s="974"/>
      <c r="DR119" s="974"/>
      <c r="DS119" s="974"/>
      <c r="DT119" s="974"/>
      <c r="DU119" s="974"/>
      <c r="DV119" s="974"/>
      <c r="DW119" s="974"/>
      <c r="DX119" s="974"/>
      <c r="DY119" s="974"/>
      <c r="DZ119" s="974"/>
      <c r="EA119" s="974"/>
      <c r="EB119" s="974"/>
      <c r="EC119" s="974"/>
      <c r="ED119" s="974"/>
      <c r="EE119" s="974"/>
      <c r="EF119" s="974"/>
      <c r="EG119" s="974"/>
      <c r="EH119" s="974"/>
      <c r="EI119" s="974"/>
      <c r="EJ119" s="974"/>
      <c r="EK119" s="974"/>
      <c r="EL119" s="974"/>
      <c r="EM119" s="974"/>
      <c r="EN119" s="974"/>
      <c r="EO119" s="974"/>
      <c r="EP119" s="974"/>
      <c r="EQ119" s="974"/>
      <c r="ER119" s="974"/>
      <c r="ES119" s="974"/>
      <c r="ET119" s="974"/>
      <c r="EU119" s="974"/>
      <c r="EV119" s="974"/>
      <c r="EW119" s="974"/>
      <c r="EX119" s="974"/>
      <c r="EY119" s="974"/>
      <c r="EZ119" s="974"/>
      <c r="FA119" s="974"/>
      <c r="FB119" s="974"/>
      <c r="FC119" s="974"/>
      <c r="FD119" s="974"/>
      <c r="FE119" s="974"/>
      <c r="FF119" s="974"/>
      <c r="FG119" s="974"/>
      <c r="FH119" s="974"/>
      <c r="FI119" s="974"/>
      <c r="FJ119" s="974"/>
      <c r="FK119" s="974"/>
      <c r="FL119" s="974"/>
      <c r="FM119" s="974"/>
      <c r="FN119" s="974"/>
      <c r="FO119" s="974"/>
      <c r="FP119" s="974"/>
      <c r="FQ119" s="974"/>
      <c r="FR119" s="974"/>
      <c r="FS119" s="974"/>
      <c r="FT119" s="974"/>
      <c r="FU119" s="974"/>
      <c r="FV119" s="974"/>
      <c r="FW119" s="974"/>
      <c r="FX119" s="974"/>
      <c r="FY119" s="974"/>
      <c r="FZ119" s="974"/>
      <c r="GA119" s="974"/>
      <c r="GB119" s="974"/>
      <c r="GC119" s="974"/>
      <c r="GD119" s="974"/>
      <c r="GE119" s="974"/>
      <c r="GF119" s="974"/>
      <c r="GG119" s="974"/>
      <c r="GH119" s="974"/>
      <c r="GI119" s="974"/>
      <c r="GJ119" s="974"/>
      <c r="GK119" s="974"/>
      <c r="GL119" s="974"/>
      <c r="GM119" s="974"/>
      <c r="GN119" s="974"/>
      <c r="GO119" s="974"/>
      <c r="GP119" s="974"/>
      <c r="GQ119" s="974"/>
      <c r="GR119" s="974"/>
      <c r="GS119" s="974"/>
      <c r="GT119" s="974"/>
      <c r="GU119" s="974"/>
      <c r="GV119" s="974"/>
      <c r="GW119" s="974"/>
      <c r="GX119" s="974"/>
      <c r="GY119" s="974"/>
      <c r="GZ119" s="974"/>
      <c r="HA119" s="974"/>
      <c r="HB119" s="974"/>
      <c r="HC119" s="974"/>
      <c r="HD119" s="974"/>
      <c r="HE119" s="974"/>
      <c r="HF119" s="974"/>
      <c r="HG119" s="974"/>
      <c r="HH119" s="974"/>
      <c r="HI119" s="974"/>
      <c r="HJ119" s="974"/>
      <c r="HK119" s="974"/>
      <c r="HL119" s="974"/>
      <c r="HM119" s="974"/>
      <c r="HN119" s="974"/>
      <c r="HO119" s="974"/>
      <c r="HP119" s="974"/>
      <c r="HQ119" s="974"/>
      <c r="HR119" s="974"/>
      <c r="HS119" s="974"/>
      <c r="HT119" s="974"/>
      <c r="HU119" s="974"/>
      <c r="HV119" s="974"/>
      <c r="HW119" s="974"/>
      <c r="HX119" s="974"/>
      <c r="HY119" s="974"/>
      <c r="HZ119" s="974"/>
      <c r="IA119" s="974"/>
      <c r="IB119" s="974"/>
      <c r="IC119" s="974"/>
      <c r="ID119" s="974"/>
      <c r="IE119" s="974"/>
      <c r="IF119" s="974"/>
      <c r="IG119" s="974"/>
      <c r="IH119" s="974"/>
      <c r="II119" s="974"/>
      <c r="IJ119" s="974"/>
      <c r="IK119" s="974"/>
      <c r="IL119" s="974"/>
      <c r="IM119" s="974"/>
      <c r="IN119" s="974"/>
      <c r="IO119" s="974"/>
      <c r="IP119" s="974"/>
      <c r="IQ119" s="974"/>
      <c r="IR119" s="974"/>
      <c r="IS119" s="974"/>
      <c r="IT119" s="974"/>
      <c r="IU119" s="974"/>
      <c r="IV119" s="974"/>
    </row>
    <row r="120" spans="1:256" s="865" customFormat="1">
      <c r="A120" s="962"/>
      <c r="B120" s="909"/>
      <c r="C120" s="909"/>
      <c r="D120" s="826"/>
      <c r="E120" s="990"/>
      <c r="F120" s="990"/>
      <c r="G120" s="970" t="s">
        <v>30</v>
      </c>
      <c r="H120" s="991" t="s">
        <v>1275</v>
      </c>
      <c r="I120" s="970" t="s">
        <v>17</v>
      </c>
      <c r="J120" s="970" t="s">
        <v>19</v>
      </c>
      <c r="K120" s="970" t="s">
        <v>32</v>
      </c>
      <c r="L120" s="983"/>
      <c r="M120" s="984"/>
      <c r="N120" s="972"/>
      <c r="O120" s="973"/>
      <c r="P120" s="1455"/>
      <c r="Q120" s="975"/>
      <c r="R120" s="974"/>
      <c r="S120" s="974"/>
      <c r="T120" s="974"/>
      <c r="U120" s="974"/>
      <c r="V120" s="974"/>
      <c r="W120" s="974"/>
      <c r="X120" s="974"/>
      <c r="Y120" s="974"/>
      <c r="Z120" s="974"/>
      <c r="AA120" s="974"/>
      <c r="AB120" s="974"/>
      <c r="AC120" s="974"/>
      <c r="AD120" s="974"/>
      <c r="AE120" s="974"/>
      <c r="AF120" s="974"/>
      <c r="AG120" s="974"/>
      <c r="AH120" s="974"/>
      <c r="AI120" s="974"/>
      <c r="AJ120" s="974"/>
      <c r="AK120" s="974"/>
      <c r="AL120" s="974"/>
      <c r="AM120" s="974"/>
      <c r="AN120" s="974"/>
      <c r="AO120" s="974"/>
      <c r="AP120" s="974"/>
      <c r="AQ120" s="974"/>
      <c r="AR120" s="974"/>
      <c r="AS120" s="974"/>
      <c r="AT120" s="974"/>
      <c r="AU120" s="974"/>
      <c r="AV120" s="974"/>
      <c r="AW120" s="974"/>
      <c r="AX120" s="974"/>
      <c r="AY120" s="974"/>
      <c r="AZ120" s="974"/>
      <c r="BA120" s="974"/>
      <c r="BB120" s="974"/>
      <c r="BC120" s="974"/>
      <c r="BD120" s="974"/>
      <c r="BE120" s="974"/>
      <c r="BF120" s="974"/>
      <c r="BG120" s="974"/>
      <c r="BH120" s="974"/>
      <c r="BI120" s="974"/>
      <c r="BJ120" s="974"/>
      <c r="BK120" s="974"/>
      <c r="BL120" s="974"/>
      <c r="BM120" s="974"/>
      <c r="BN120" s="974"/>
      <c r="BO120" s="974"/>
      <c r="BP120" s="974"/>
      <c r="BQ120" s="974"/>
      <c r="BR120" s="974"/>
      <c r="BS120" s="974"/>
      <c r="BT120" s="974"/>
      <c r="BU120" s="974"/>
      <c r="BV120" s="974"/>
      <c r="BW120" s="974"/>
      <c r="BX120" s="974"/>
      <c r="BY120" s="974"/>
      <c r="BZ120" s="974"/>
      <c r="CA120" s="974"/>
      <c r="CB120" s="974"/>
      <c r="CC120" s="974"/>
      <c r="CD120" s="974"/>
      <c r="CE120" s="974"/>
      <c r="CF120" s="974"/>
      <c r="CG120" s="974"/>
      <c r="CH120" s="974"/>
      <c r="CI120" s="974"/>
      <c r="CJ120" s="974"/>
      <c r="CK120" s="974"/>
      <c r="CL120" s="974"/>
      <c r="CM120" s="974"/>
      <c r="CN120" s="974"/>
      <c r="CO120" s="974"/>
      <c r="CP120" s="974"/>
      <c r="CQ120" s="974"/>
      <c r="CR120" s="974"/>
      <c r="CS120" s="974"/>
      <c r="CT120" s="974"/>
      <c r="CU120" s="974"/>
      <c r="CV120" s="974"/>
      <c r="CW120" s="974"/>
      <c r="CX120" s="974"/>
      <c r="CY120" s="974"/>
      <c r="CZ120" s="974"/>
      <c r="DA120" s="974"/>
      <c r="DB120" s="974"/>
      <c r="DC120" s="974"/>
      <c r="DD120" s="974"/>
      <c r="DE120" s="974"/>
      <c r="DF120" s="974"/>
      <c r="DG120" s="974"/>
      <c r="DH120" s="974"/>
      <c r="DI120" s="974"/>
      <c r="DJ120" s="974"/>
      <c r="DK120" s="974"/>
      <c r="DL120" s="974"/>
      <c r="DM120" s="974"/>
      <c r="DN120" s="974"/>
      <c r="DO120" s="974"/>
      <c r="DP120" s="974"/>
      <c r="DQ120" s="974"/>
      <c r="DR120" s="974"/>
      <c r="DS120" s="974"/>
      <c r="DT120" s="974"/>
      <c r="DU120" s="974"/>
      <c r="DV120" s="974"/>
      <c r="DW120" s="974"/>
      <c r="DX120" s="974"/>
      <c r="DY120" s="974"/>
      <c r="DZ120" s="974"/>
      <c r="EA120" s="974"/>
      <c r="EB120" s="974"/>
      <c r="EC120" s="974"/>
      <c r="ED120" s="974"/>
      <c r="EE120" s="974"/>
      <c r="EF120" s="974"/>
      <c r="EG120" s="974"/>
      <c r="EH120" s="974"/>
      <c r="EI120" s="974"/>
      <c r="EJ120" s="974"/>
      <c r="EK120" s="974"/>
      <c r="EL120" s="974"/>
      <c r="EM120" s="974"/>
      <c r="EN120" s="974"/>
      <c r="EO120" s="974"/>
      <c r="EP120" s="974"/>
      <c r="EQ120" s="974"/>
      <c r="ER120" s="974"/>
      <c r="ES120" s="974"/>
      <c r="ET120" s="974"/>
      <c r="EU120" s="974"/>
      <c r="EV120" s="974"/>
      <c r="EW120" s="974"/>
      <c r="EX120" s="974"/>
      <c r="EY120" s="974"/>
      <c r="EZ120" s="974"/>
      <c r="FA120" s="974"/>
      <c r="FB120" s="974"/>
      <c r="FC120" s="974"/>
      <c r="FD120" s="974"/>
      <c r="FE120" s="974"/>
      <c r="FF120" s="974"/>
      <c r="FG120" s="974"/>
      <c r="FH120" s="974"/>
      <c r="FI120" s="974"/>
      <c r="FJ120" s="974"/>
      <c r="FK120" s="974"/>
      <c r="FL120" s="974"/>
      <c r="FM120" s="974"/>
      <c r="FN120" s="974"/>
      <c r="FO120" s="974"/>
      <c r="FP120" s="974"/>
      <c r="FQ120" s="974"/>
      <c r="FR120" s="974"/>
      <c r="FS120" s="974"/>
      <c r="FT120" s="974"/>
      <c r="FU120" s="974"/>
      <c r="FV120" s="974"/>
      <c r="FW120" s="974"/>
      <c r="FX120" s="974"/>
      <c r="FY120" s="974"/>
      <c r="FZ120" s="974"/>
      <c r="GA120" s="974"/>
      <c r="GB120" s="974"/>
      <c r="GC120" s="974"/>
      <c r="GD120" s="974"/>
      <c r="GE120" s="974"/>
      <c r="GF120" s="974"/>
      <c r="GG120" s="974"/>
      <c r="GH120" s="974"/>
      <c r="GI120" s="974"/>
      <c r="GJ120" s="974"/>
      <c r="GK120" s="974"/>
      <c r="GL120" s="974"/>
      <c r="GM120" s="974"/>
      <c r="GN120" s="974"/>
      <c r="GO120" s="974"/>
      <c r="GP120" s="974"/>
      <c r="GQ120" s="974"/>
      <c r="GR120" s="974"/>
      <c r="GS120" s="974"/>
      <c r="GT120" s="974"/>
      <c r="GU120" s="974"/>
      <c r="GV120" s="974"/>
      <c r="GW120" s="974"/>
      <c r="GX120" s="974"/>
      <c r="GY120" s="974"/>
      <c r="GZ120" s="974"/>
      <c r="HA120" s="974"/>
      <c r="HB120" s="974"/>
      <c r="HC120" s="974"/>
      <c r="HD120" s="974"/>
      <c r="HE120" s="974"/>
      <c r="HF120" s="974"/>
      <c r="HG120" s="974"/>
      <c r="HH120" s="974"/>
      <c r="HI120" s="974"/>
      <c r="HJ120" s="974"/>
      <c r="HK120" s="974"/>
      <c r="HL120" s="974"/>
      <c r="HM120" s="974"/>
      <c r="HN120" s="974"/>
      <c r="HO120" s="974"/>
      <c r="HP120" s="974"/>
      <c r="HQ120" s="974"/>
      <c r="HR120" s="974"/>
      <c r="HS120" s="974"/>
      <c r="HT120" s="974"/>
      <c r="HU120" s="974"/>
      <c r="HV120" s="974"/>
      <c r="HW120" s="974"/>
      <c r="HX120" s="974"/>
      <c r="HY120" s="974"/>
      <c r="HZ120" s="974"/>
      <c r="IA120" s="974"/>
      <c r="IB120" s="974"/>
      <c r="IC120" s="974"/>
      <c r="ID120" s="974"/>
      <c r="IE120" s="974"/>
      <c r="IF120" s="974"/>
      <c r="IG120" s="974"/>
      <c r="IH120" s="974"/>
      <c r="II120" s="974"/>
      <c r="IJ120" s="974"/>
      <c r="IK120" s="974"/>
      <c r="IL120" s="974"/>
      <c r="IM120" s="974"/>
      <c r="IN120" s="974"/>
      <c r="IO120" s="974"/>
      <c r="IP120" s="974"/>
      <c r="IQ120" s="974"/>
      <c r="IR120" s="974"/>
      <c r="IS120" s="974"/>
      <c r="IT120" s="974"/>
      <c r="IU120" s="974"/>
      <c r="IV120" s="974"/>
    </row>
    <row r="121" spans="1:256" s="865" customFormat="1">
      <c r="A121" s="962"/>
      <c r="B121" s="909"/>
      <c r="C121" s="909"/>
      <c r="D121" s="888" t="s">
        <v>14488</v>
      </c>
      <c r="E121" s="1674"/>
      <c r="F121" s="1674"/>
      <c r="G121" s="1674"/>
      <c r="H121" s="991">
        <f t="shared" ref="H121:J122" si="3">H115</f>
        <v>3</v>
      </c>
      <c r="I121" s="970">
        <f t="shared" si="3"/>
        <v>2.2999999999999998</v>
      </c>
      <c r="J121" s="970">
        <f t="shared" si="3"/>
        <v>1.5</v>
      </c>
      <c r="K121" s="970">
        <v>0.15</v>
      </c>
      <c r="L121" s="985" t="s">
        <v>20309</v>
      </c>
      <c r="M121" s="986">
        <f>H121*I121*J121*K121</f>
        <v>1.5525</v>
      </c>
      <c r="N121" s="972"/>
      <c r="O121" s="973"/>
      <c r="P121" s="1455"/>
      <c r="Q121" s="975"/>
      <c r="R121" s="974"/>
      <c r="S121" s="974"/>
      <c r="T121" s="974"/>
      <c r="U121" s="974"/>
      <c r="V121" s="974"/>
      <c r="W121" s="974"/>
      <c r="X121" s="974"/>
      <c r="Y121" s="974"/>
      <c r="Z121" s="974"/>
      <c r="AA121" s="974"/>
      <c r="AB121" s="974"/>
      <c r="AC121" s="974"/>
      <c r="AD121" s="974"/>
      <c r="AE121" s="974"/>
      <c r="AF121" s="974"/>
      <c r="AG121" s="974"/>
      <c r="AH121" s="974"/>
      <c r="AI121" s="974"/>
      <c r="AJ121" s="974"/>
      <c r="AK121" s="974"/>
      <c r="AL121" s="974"/>
      <c r="AM121" s="974"/>
      <c r="AN121" s="974"/>
      <c r="AO121" s="974"/>
      <c r="AP121" s="974"/>
      <c r="AQ121" s="974"/>
      <c r="AR121" s="974"/>
      <c r="AS121" s="974"/>
      <c r="AT121" s="974"/>
      <c r="AU121" s="974"/>
      <c r="AV121" s="974"/>
      <c r="AW121" s="974"/>
      <c r="AX121" s="974"/>
      <c r="AY121" s="974"/>
      <c r="AZ121" s="974"/>
      <c r="BA121" s="974"/>
      <c r="BB121" s="974"/>
      <c r="BC121" s="974"/>
      <c r="BD121" s="974"/>
      <c r="BE121" s="974"/>
      <c r="BF121" s="974"/>
      <c r="BG121" s="974"/>
      <c r="BH121" s="974"/>
      <c r="BI121" s="974"/>
      <c r="BJ121" s="974"/>
      <c r="BK121" s="974"/>
      <c r="BL121" s="974"/>
      <c r="BM121" s="974"/>
      <c r="BN121" s="974"/>
      <c r="BO121" s="974"/>
      <c r="BP121" s="974"/>
      <c r="BQ121" s="974"/>
      <c r="BR121" s="974"/>
      <c r="BS121" s="974"/>
      <c r="BT121" s="974"/>
      <c r="BU121" s="974"/>
      <c r="BV121" s="974"/>
      <c r="BW121" s="974"/>
      <c r="BX121" s="974"/>
      <c r="BY121" s="974"/>
      <c r="BZ121" s="974"/>
      <c r="CA121" s="974"/>
      <c r="CB121" s="974"/>
      <c r="CC121" s="974"/>
      <c r="CD121" s="974"/>
      <c r="CE121" s="974"/>
      <c r="CF121" s="974"/>
      <c r="CG121" s="974"/>
      <c r="CH121" s="974"/>
      <c r="CI121" s="974"/>
      <c r="CJ121" s="974"/>
      <c r="CK121" s="974"/>
      <c r="CL121" s="974"/>
      <c r="CM121" s="974"/>
      <c r="CN121" s="974"/>
      <c r="CO121" s="974"/>
      <c r="CP121" s="974"/>
      <c r="CQ121" s="974"/>
      <c r="CR121" s="974"/>
      <c r="CS121" s="974"/>
      <c r="CT121" s="974"/>
      <c r="CU121" s="974"/>
      <c r="CV121" s="974"/>
      <c r="CW121" s="974"/>
      <c r="CX121" s="974"/>
      <c r="CY121" s="974"/>
      <c r="CZ121" s="974"/>
      <c r="DA121" s="974"/>
      <c r="DB121" s="974"/>
      <c r="DC121" s="974"/>
      <c r="DD121" s="974"/>
      <c r="DE121" s="974"/>
      <c r="DF121" s="974"/>
      <c r="DG121" s="974"/>
      <c r="DH121" s="974"/>
      <c r="DI121" s="974"/>
      <c r="DJ121" s="974"/>
      <c r="DK121" s="974"/>
      <c r="DL121" s="974"/>
      <c r="DM121" s="974"/>
      <c r="DN121" s="974"/>
      <c r="DO121" s="974"/>
      <c r="DP121" s="974"/>
      <c r="DQ121" s="974"/>
      <c r="DR121" s="974"/>
      <c r="DS121" s="974"/>
      <c r="DT121" s="974"/>
      <c r="DU121" s="974"/>
      <c r="DV121" s="974"/>
      <c r="DW121" s="974"/>
      <c r="DX121" s="974"/>
      <c r="DY121" s="974"/>
      <c r="DZ121" s="974"/>
      <c r="EA121" s="974"/>
      <c r="EB121" s="974"/>
      <c r="EC121" s="974"/>
      <c r="ED121" s="974"/>
      <c r="EE121" s="974"/>
      <c r="EF121" s="974"/>
      <c r="EG121" s="974"/>
      <c r="EH121" s="974"/>
      <c r="EI121" s="974"/>
      <c r="EJ121" s="974"/>
      <c r="EK121" s="974"/>
      <c r="EL121" s="974"/>
      <c r="EM121" s="974"/>
      <c r="EN121" s="974"/>
      <c r="EO121" s="974"/>
      <c r="EP121" s="974"/>
      <c r="EQ121" s="974"/>
      <c r="ER121" s="974"/>
      <c r="ES121" s="974"/>
      <c r="ET121" s="974"/>
      <c r="EU121" s="974"/>
      <c r="EV121" s="974"/>
      <c r="EW121" s="974"/>
      <c r="EX121" s="974"/>
      <c r="EY121" s="974"/>
      <c r="EZ121" s="974"/>
      <c r="FA121" s="974"/>
      <c r="FB121" s="974"/>
      <c r="FC121" s="974"/>
      <c r="FD121" s="974"/>
      <c r="FE121" s="974"/>
      <c r="FF121" s="974"/>
      <c r="FG121" s="974"/>
      <c r="FH121" s="974"/>
      <c r="FI121" s="974"/>
      <c r="FJ121" s="974"/>
      <c r="FK121" s="974"/>
      <c r="FL121" s="974"/>
      <c r="FM121" s="974"/>
      <c r="FN121" s="974"/>
      <c r="FO121" s="974"/>
      <c r="FP121" s="974"/>
      <c r="FQ121" s="974"/>
      <c r="FR121" s="974"/>
      <c r="FS121" s="974"/>
      <c r="FT121" s="974"/>
      <c r="FU121" s="974"/>
      <c r="FV121" s="974"/>
      <c r="FW121" s="974"/>
      <c r="FX121" s="974"/>
      <c r="FY121" s="974"/>
      <c r="FZ121" s="974"/>
      <c r="GA121" s="974"/>
      <c r="GB121" s="974"/>
      <c r="GC121" s="974"/>
      <c r="GD121" s="974"/>
      <c r="GE121" s="974"/>
      <c r="GF121" s="974"/>
      <c r="GG121" s="974"/>
      <c r="GH121" s="974"/>
      <c r="GI121" s="974"/>
      <c r="GJ121" s="974"/>
      <c r="GK121" s="974"/>
      <c r="GL121" s="974"/>
      <c r="GM121" s="974"/>
      <c r="GN121" s="974"/>
      <c r="GO121" s="974"/>
      <c r="GP121" s="974"/>
      <c r="GQ121" s="974"/>
      <c r="GR121" s="974"/>
      <c r="GS121" s="974"/>
      <c r="GT121" s="974"/>
      <c r="GU121" s="974"/>
      <c r="GV121" s="974"/>
      <c r="GW121" s="974"/>
      <c r="GX121" s="974"/>
      <c r="GY121" s="974"/>
      <c r="GZ121" s="974"/>
      <c r="HA121" s="974"/>
      <c r="HB121" s="974"/>
      <c r="HC121" s="974"/>
      <c r="HD121" s="974"/>
      <c r="HE121" s="974"/>
      <c r="HF121" s="974"/>
      <c r="HG121" s="974"/>
      <c r="HH121" s="974"/>
      <c r="HI121" s="974"/>
      <c r="HJ121" s="974"/>
      <c r="HK121" s="974"/>
      <c r="HL121" s="974"/>
      <c r="HM121" s="974"/>
      <c r="HN121" s="974"/>
      <c r="HO121" s="974"/>
      <c r="HP121" s="974"/>
      <c r="HQ121" s="974"/>
      <c r="HR121" s="974"/>
      <c r="HS121" s="974"/>
      <c r="HT121" s="974"/>
      <c r="HU121" s="974"/>
      <c r="HV121" s="974"/>
      <c r="HW121" s="974"/>
      <c r="HX121" s="974"/>
      <c r="HY121" s="974"/>
      <c r="HZ121" s="974"/>
      <c r="IA121" s="974"/>
      <c r="IB121" s="974"/>
      <c r="IC121" s="974"/>
      <c r="ID121" s="974"/>
      <c r="IE121" s="974"/>
      <c r="IF121" s="974"/>
      <c r="IG121" s="974"/>
      <c r="IH121" s="974"/>
      <c r="II121" s="974"/>
      <c r="IJ121" s="974"/>
      <c r="IK121" s="974"/>
      <c r="IL121" s="974"/>
      <c r="IM121" s="974"/>
      <c r="IN121" s="974"/>
      <c r="IO121" s="974"/>
      <c r="IP121" s="974"/>
      <c r="IQ121" s="974"/>
      <c r="IR121" s="974"/>
      <c r="IS121" s="974"/>
      <c r="IT121" s="974"/>
      <c r="IU121" s="974"/>
      <c r="IV121" s="974"/>
    </row>
    <row r="122" spans="1:256" s="865" customFormat="1">
      <c r="A122" s="962"/>
      <c r="B122" s="909"/>
      <c r="C122" s="909"/>
      <c r="D122" s="888" t="s">
        <v>14489</v>
      </c>
      <c r="E122" s="1674"/>
      <c r="F122" s="1674"/>
      <c r="G122" s="1674"/>
      <c r="H122" s="991">
        <f t="shared" si="3"/>
        <v>2</v>
      </c>
      <c r="I122" s="970">
        <f t="shared" si="3"/>
        <v>2.2999999999999998</v>
      </c>
      <c r="J122" s="970">
        <f t="shared" si="3"/>
        <v>1.5</v>
      </c>
      <c r="K122" s="970">
        <v>0.15</v>
      </c>
      <c r="L122" s="985" t="s">
        <v>20309</v>
      </c>
      <c r="M122" s="986">
        <f>H122*I122*J122*K122</f>
        <v>1.0349999999999999</v>
      </c>
      <c r="N122" s="972"/>
      <c r="O122" s="973"/>
      <c r="P122" s="1455"/>
      <c r="Q122" s="975"/>
      <c r="R122" s="974"/>
      <c r="S122" s="974"/>
      <c r="T122" s="974"/>
      <c r="U122" s="974"/>
      <c r="V122" s="974"/>
      <c r="W122" s="974"/>
      <c r="X122" s="974"/>
      <c r="Y122" s="974"/>
      <c r="Z122" s="974"/>
      <c r="AA122" s="974"/>
      <c r="AB122" s="974"/>
      <c r="AC122" s="974"/>
      <c r="AD122" s="974"/>
      <c r="AE122" s="974"/>
      <c r="AF122" s="974"/>
      <c r="AG122" s="974"/>
      <c r="AH122" s="974"/>
      <c r="AI122" s="974"/>
      <c r="AJ122" s="974"/>
      <c r="AK122" s="974"/>
      <c r="AL122" s="974"/>
      <c r="AM122" s="974"/>
      <c r="AN122" s="974"/>
      <c r="AO122" s="974"/>
      <c r="AP122" s="974"/>
      <c r="AQ122" s="974"/>
      <c r="AR122" s="974"/>
      <c r="AS122" s="974"/>
      <c r="AT122" s="974"/>
      <c r="AU122" s="974"/>
      <c r="AV122" s="974"/>
      <c r="AW122" s="974"/>
      <c r="AX122" s="974"/>
      <c r="AY122" s="974"/>
      <c r="AZ122" s="974"/>
      <c r="BA122" s="974"/>
      <c r="BB122" s="974"/>
      <c r="BC122" s="974"/>
      <c r="BD122" s="974"/>
      <c r="BE122" s="974"/>
      <c r="BF122" s="974"/>
      <c r="BG122" s="974"/>
      <c r="BH122" s="974"/>
      <c r="BI122" s="974"/>
      <c r="BJ122" s="974"/>
      <c r="BK122" s="974"/>
      <c r="BL122" s="974"/>
      <c r="BM122" s="974"/>
      <c r="BN122" s="974"/>
      <c r="BO122" s="974"/>
      <c r="BP122" s="974"/>
      <c r="BQ122" s="974"/>
      <c r="BR122" s="974"/>
      <c r="BS122" s="974"/>
      <c r="BT122" s="974"/>
      <c r="BU122" s="974"/>
      <c r="BV122" s="974"/>
      <c r="BW122" s="974"/>
      <c r="BX122" s="974"/>
      <c r="BY122" s="974"/>
      <c r="BZ122" s="974"/>
      <c r="CA122" s="974"/>
      <c r="CB122" s="974"/>
      <c r="CC122" s="974"/>
      <c r="CD122" s="974"/>
      <c r="CE122" s="974"/>
      <c r="CF122" s="974"/>
      <c r="CG122" s="974"/>
      <c r="CH122" s="974"/>
      <c r="CI122" s="974"/>
      <c r="CJ122" s="974"/>
      <c r="CK122" s="974"/>
      <c r="CL122" s="974"/>
      <c r="CM122" s="974"/>
      <c r="CN122" s="974"/>
      <c r="CO122" s="974"/>
      <c r="CP122" s="974"/>
      <c r="CQ122" s="974"/>
      <c r="CR122" s="974"/>
      <c r="CS122" s="974"/>
      <c r="CT122" s="974"/>
      <c r="CU122" s="974"/>
      <c r="CV122" s="974"/>
      <c r="CW122" s="974"/>
      <c r="CX122" s="974"/>
      <c r="CY122" s="974"/>
      <c r="CZ122" s="974"/>
      <c r="DA122" s="974"/>
      <c r="DB122" s="974"/>
      <c r="DC122" s="974"/>
      <c r="DD122" s="974"/>
      <c r="DE122" s="974"/>
      <c r="DF122" s="974"/>
      <c r="DG122" s="974"/>
      <c r="DH122" s="974"/>
      <c r="DI122" s="974"/>
      <c r="DJ122" s="974"/>
      <c r="DK122" s="974"/>
      <c r="DL122" s="974"/>
      <c r="DM122" s="974"/>
      <c r="DN122" s="974"/>
      <c r="DO122" s="974"/>
      <c r="DP122" s="974"/>
      <c r="DQ122" s="974"/>
      <c r="DR122" s="974"/>
      <c r="DS122" s="974"/>
      <c r="DT122" s="974"/>
      <c r="DU122" s="974"/>
      <c r="DV122" s="974"/>
      <c r="DW122" s="974"/>
      <c r="DX122" s="974"/>
      <c r="DY122" s="974"/>
      <c r="DZ122" s="974"/>
      <c r="EA122" s="974"/>
      <c r="EB122" s="974"/>
      <c r="EC122" s="974"/>
      <c r="ED122" s="974"/>
      <c r="EE122" s="974"/>
      <c r="EF122" s="974"/>
      <c r="EG122" s="974"/>
      <c r="EH122" s="974"/>
      <c r="EI122" s="974"/>
      <c r="EJ122" s="974"/>
      <c r="EK122" s="974"/>
      <c r="EL122" s="974"/>
      <c r="EM122" s="974"/>
      <c r="EN122" s="974"/>
      <c r="EO122" s="974"/>
      <c r="EP122" s="974"/>
      <c r="EQ122" s="974"/>
      <c r="ER122" s="974"/>
      <c r="ES122" s="974"/>
      <c r="ET122" s="974"/>
      <c r="EU122" s="974"/>
      <c r="EV122" s="974"/>
      <c r="EW122" s="974"/>
      <c r="EX122" s="974"/>
      <c r="EY122" s="974"/>
      <c r="EZ122" s="974"/>
      <c r="FA122" s="974"/>
      <c r="FB122" s="974"/>
      <c r="FC122" s="974"/>
      <c r="FD122" s="974"/>
      <c r="FE122" s="974"/>
      <c r="FF122" s="974"/>
      <c r="FG122" s="974"/>
      <c r="FH122" s="974"/>
      <c r="FI122" s="974"/>
      <c r="FJ122" s="974"/>
      <c r="FK122" s="974"/>
      <c r="FL122" s="974"/>
      <c r="FM122" s="974"/>
      <c r="FN122" s="974"/>
      <c r="FO122" s="974"/>
      <c r="FP122" s="974"/>
      <c r="FQ122" s="974"/>
      <c r="FR122" s="974"/>
      <c r="FS122" s="974"/>
      <c r="FT122" s="974"/>
      <c r="FU122" s="974"/>
      <c r="FV122" s="974"/>
      <c r="FW122" s="974"/>
      <c r="FX122" s="974"/>
      <c r="FY122" s="974"/>
      <c r="FZ122" s="974"/>
      <c r="GA122" s="974"/>
      <c r="GB122" s="974"/>
      <c r="GC122" s="974"/>
      <c r="GD122" s="974"/>
      <c r="GE122" s="974"/>
      <c r="GF122" s="974"/>
      <c r="GG122" s="974"/>
      <c r="GH122" s="974"/>
      <c r="GI122" s="974"/>
      <c r="GJ122" s="974"/>
      <c r="GK122" s="974"/>
      <c r="GL122" s="974"/>
      <c r="GM122" s="974"/>
      <c r="GN122" s="974"/>
      <c r="GO122" s="974"/>
      <c r="GP122" s="974"/>
      <c r="GQ122" s="974"/>
      <c r="GR122" s="974"/>
      <c r="GS122" s="974"/>
      <c r="GT122" s="974"/>
      <c r="GU122" s="974"/>
      <c r="GV122" s="974"/>
      <c r="GW122" s="974"/>
      <c r="GX122" s="974"/>
      <c r="GY122" s="974"/>
      <c r="GZ122" s="974"/>
      <c r="HA122" s="974"/>
      <c r="HB122" s="974"/>
      <c r="HC122" s="974"/>
      <c r="HD122" s="974"/>
      <c r="HE122" s="974"/>
      <c r="HF122" s="974"/>
      <c r="HG122" s="974"/>
      <c r="HH122" s="974"/>
      <c r="HI122" s="974"/>
      <c r="HJ122" s="974"/>
      <c r="HK122" s="974"/>
      <c r="HL122" s="974"/>
      <c r="HM122" s="974"/>
      <c r="HN122" s="974"/>
      <c r="HO122" s="974"/>
      <c r="HP122" s="974"/>
      <c r="HQ122" s="974"/>
      <c r="HR122" s="974"/>
      <c r="HS122" s="974"/>
      <c r="HT122" s="974"/>
      <c r="HU122" s="974"/>
      <c r="HV122" s="974"/>
      <c r="HW122" s="974"/>
      <c r="HX122" s="974"/>
      <c r="HY122" s="974"/>
      <c r="HZ122" s="974"/>
      <c r="IA122" s="974"/>
      <c r="IB122" s="974"/>
      <c r="IC122" s="974"/>
      <c r="ID122" s="974"/>
      <c r="IE122" s="974"/>
      <c r="IF122" s="974"/>
      <c r="IG122" s="974"/>
      <c r="IH122" s="974"/>
      <c r="II122" s="974"/>
      <c r="IJ122" s="974"/>
      <c r="IK122" s="974"/>
      <c r="IL122" s="974"/>
      <c r="IM122" s="974"/>
      <c r="IN122" s="974"/>
      <c r="IO122" s="974"/>
      <c r="IP122" s="974"/>
      <c r="IQ122" s="974"/>
      <c r="IR122" s="974"/>
      <c r="IS122" s="974"/>
      <c r="IT122" s="974"/>
      <c r="IU122" s="974"/>
      <c r="IV122" s="974"/>
    </row>
    <row r="123" spans="1:256" s="865" customFormat="1">
      <c r="A123" s="962"/>
      <c r="B123" s="909"/>
      <c r="C123" s="909"/>
      <c r="D123" s="888"/>
      <c r="E123" s="790"/>
      <c r="F123" s="790"/>
      <c r="G123" s="970"/>
      <c r="H123" s="991"/>
      <c r="I123" s="970"/>
      <c r="J123" s="970"/>
      <c r="K123" s="971"/>
      <c r="L123" s="971"/>
      <c r="M123" s="1324"/>
      <c r="N123" s="972"/>
      <c r="O123" s="973"/>
      <c r="P123" s="1455"/>
      <c r="Q123" s="975"/>
      <c r="R123" s="974"/>
      <c r="S123" s="974"/>
      <c r="T123" s="974"/>
      <c r="U123" s="974"/>
      <c r="V123" s="974"/>
      <c r="W123" s="974"/>
      <c r="X123" s="974"/>
      <c r="Y123" s="974"/>
      <c r="Z123" s="974"/>
      <c r="AA123" s="974"/>
      <c r="AB123" s="974"/>
      <c r="AC123" s="974"/>
      <c r="AD123" s="974"/>
      <c r="AE123" s="974"/>
      <c r="AF123" s="974"/>
      <c r="AG123" s="974"/>
      <c r="AH123" s="974"/>
      <c r="AI123" s="974"/>
      <c r="AJ123" s="974"/>
      <c r="AK123" s="974"/>
      <c r="AL123" s="974"/>
      <c r="AM123" s="974"/>
      <c r="AN123" s="974"/>
      <c r="AO123" s="974"/>
      <c r="AP123" s="974"/>
      <c r="AQ123" s="974"/>
      <c r="AR123" s="974"/>
      <c r="AS123" s="974"/>
      <c r="AT123" s="974"/>
      <c r="AU123" s="974"/>
      <c r="AV123" s="974"/>
      <c r="AW123" s="974"/>
      <c r="AX123" s="974"/>
      <c r="AY123" s="974"/>
      <c r="AZ123" s="974"/>
      <c r="BA123" s="974"/>
      <c r="BB123" s="974"/>
      <c r="BC123" s="974"/>
      <c r="BD123" s="974"/>
      <c r="BE123" s="974"/>
      <c r="BF123" s="974"/>
      <c r="BG123" s="974"/>
      <c r="BH123" s="974"/>
      <c r="BI123" s="974"/>
      <c r="BJ123" s="974"/>
      <c r="BK123" s="974"/>
      <c r="BL123" s="974"/>
      <c r="BM123" s="974"/>
      <c r="BN123" s="974"/>
      <c r="BO123" s="974"/>
      <c r="BP123" s="974"/>
      <c r="BQ123" s="974"/>
      <c r="BR123" s="974"/>
      <c r="BS123" s="974"/>
      <c r="BT123" s="974"/>
      <c r="BU123" s="974"/>
      <c r="BV123" s="974"/>
      <c r="BW123" s="974"/>
      <c r="BX123" s="974"/>
      <c r="BY123" s="974"/>
      <c r="BZ123" s="974"/>
      <c r="CA123" s="974"/>
      <c r="CB123" s="974"/>
      <c r="CC123" s="974"/>
      <c r="CD123" s="974"/>
      <c r="CE123" s="974"/>
      <c r="CF123" s="974"/>
      <c r="CG123" s="974"/>
      <c r="CH123" s="974"/>
      <c r="CI123" s="974"/>
      <c r="CJ123" s="974"/>
      <c r="CK123" s="974"/>
      <c r="CL123" s="974"/>
      <c r="CM123" s="974"/>
      <c r="CN123" s="974"/>
      <c r="CO123" s="974"/>
      <c r="CP123" s="974"/>
      <c r="CQ123" s="974"/>
      <c r="CR123" s="974"/>
      <c r="CS123" s="974"/>
      <c r="CT123" s="974"/>
      <c r="CU123" s="974"/>
      <c r="CV123" s="974"/>
      <c r="CW123" s="974"/>
      <c r="CX123" s="974"/>
      <c r="CY123" s="974"/>
      <c r="CZ123" s="974"/>
      <c r="DA123" s="974"/>
      <c r="DB123" s="974"/>
      <c r="DC123" s="974"/>
      <c r="DD123" s="974"/>
      <c r="DE123" s="974"/>
      <c r="DF123" s="974"/>
      <c r="DG123" s="974"/>
      <c r="DH123" s="974"/>
      <c r="DI123" s="974"/>
      <c r="DJ123" s="974"/>
      <c r="DK123" s="974"/>
      <c r="DL123" s="974"/>
      <c r="DM123" s="974"/>
      <c r="DN123" s="974"/>
      <c r="DO123" s="974"/>
      <c r="DP123" s="974"/>
      <c r="DQ123" s="974"/>
      <c r="DR123" s="974"/>
      <c r="DS123" s="974"/>
      <c r="DT123" s="974"/>
      <c r="DU123" s="974"/>
      <c r="DV123" s="974"/>
      <c r="DW123" s="974"/>
      <c r="DX123" s="974"/>
      <c r="DY123" s="974"/>
      <c r="DZ123" s="974"/>
      <c r="EA123" s="974"/>
      <c r="EB123" s="974"/>
      <c r="EC123" s="974"/>
      <c r="ED123" s="974"/>
      <c r="EE123" s="974"/>
      <c r="EF123" s="974"/>
      <c r="EG123" s="974"/>
      <c r="EH123" s="974"/>
      <c r="EI123" s="974"/>
      <c r="EJ123" s="974"/>
      <c r="EK123" s="974"/>
      <c r="EL123" s="974"/>
      <c r="EM123" s="974"/>
      <c r="EN123" s="974"/>
      <c r="EO123" s="974"/>
      <c r="EP123" s="974"/>
      <c r="EQ123" s="974"/>
      <c r="ER123" s="974"/>
      <c r="ES123" s="974"/>
      <c r="ET123" s="974"/>
      <c r="EU123" s="974"/>
      <c r="EV123" s="974"/>
      <c r="EW123" s="974"/>
      <c r="EX123" s="974"/>
      <c r="EY123" s="974"/>
      <c r="EZ123" s="974"/>
      <c r="FA123" s="974"/>
      <c r="FB123" s="974"/>
      <c r="FC123" s="974"/>
      <c r="FD123" s="974"/>
      <c r="FE123" s="974"/>
      <c r="FF123" s="974"/>
      <c r="FG123" s="974"/>
      <c r="FH123" s="974"/>
      <c r="FI123" s="974"/>
      <c r="FJ123" s="974"/>
      <c r="FK123" s="974"/>
      <c r="FL123" s="974"/>
      <c r="FM123" s="974"/>
      <c r="FN123" s="974"/>
      <c r="FO123" s="974"/>
      <c r="FP123" s="974"/>
      <c r="FQ123" s="974"/>
      <c r="FR123" s="974"/>
      <c r="FS123" s="974"/>
      <c r="FT123" s="974"/>
      <c r="FU123" s="974"/>
      <c r="FV123" s="974"/>
      <c r="FW123" s="974"/>
      <c r="FX123" s="974"/>
      <c r="FY123" s="974"/>
      <c r="FZ123" s="974"/>
      <c r="GA123" s="974"/>
      <c r="GB123" s="974"/>
      <c r="GC123" s="974"/>
      <c r="GD123" s="974"/>
      <c r="GE123" s="974"/>
      <c r="GF123" s="974"/>
      <c r="GG123" s="974"/>
      <c r="GH123" s="974"/>
      <c r="GI123" s="974"/>
      <c r="GJ123" s="974"/>
      <c r="GK123" s="974"/>
      <c r="GL123" s="974"/>
      <c r="GM123" s="974"/>
      <c r="GN123" s="974"/>
      <c r="GO123" s="974"/>
      <c r="GP123" s="974"/>
      <c r="GQ123" s="974"/>
      <c r="GR123" s="974"/>
      <c r="GS123" s="974"/>
      <c r="GT123" s="974"/>
      <c r="GU123" s="974"/>
      <c r="GV123" s="974"/>
      <c r="GW123" s="974"/>
      <c r="GX123" s="974"/>
      <c r="GY123" s="974"/>
      <c r="GZ123" s="974"/>
      <c r="HA123" s="974"/>
      <c r="HB123" s="974"/>
      <c r="HC123" s="974"/>
      <c r="HD123" s="974"/>
      <c r="HE123" s="974"/>
      <c r="HF123" s="974"/>
      <c r="HG123" s="974"/>
      <c r="HH123" s="974"/>
      <c r="HI123" s="974"/>
      <c r="HJ123" s="974"/>
      <c r="HK123" s="974"/>
      <c r="HL123" s="974"/>
      <c r="HM123" s="974"/>
      <c r="HN123" s="974"/>
      <c r="HO123" s="974"/>
      <c r="HP123" s="974"/>
      <c r="HQ123" s="974"/>
      <c r="HR123" s="974"/>
      <c r="HS123" s="974"/>
      <c r="HT123" s="974"/>
      <c r="HU123" s="974"/>
      <c r="HV123" s="974"/>
      <c r="HW123" s="974"/>
      <c r="HX123" s="974"/>
      <c r="HY123" s="974"/>
      <c r="HZ123" s="974"/>
      <c r="IA123" s="974"/>
      <c r="IB123" s="974"/>
      <c r="IC123" s="974"/>
      <c r="ID123" s="974"/>
      <c r="IE123" s="974"/>
      <c r="IF123" s="974"/>
      <c r="IG123" s="974"/>
      <c r="IH123" s="974"/>
      <c r="II123" s="974"/>
      <c r="IJ123" s="974"/>
      <c r="IK123" s="974"/>
      <c r="IL123" s="974"/>
      <c r="IM123" s="974"/>
      <c r="IN123" s="974"/>
      <c r="IO123" s="974"/>
      <c r="IP123" s="974"/>
      <c r="IQ123" s="974"/>
      <c r="IR123" s="974"/>
      <c r="IS123" s="974"/>
      <c r="IT123" s="974"/>
      <c r="IU123" s="974"/>
      <c r="IV123" s="974"/>
    </row>
    <row r="124" spans="1:256" s="865" customFormat="1" ht="22.5">
      <c r="A124" s="962" t="s">
        <v>14614</v>
      </c>
      <c r="B124" s="855" t="s">
        <v>70</v>
      </c>
      <c r="C124" s="909">
        <v>94116</v>
      </c>
      <c r="D124" s="836" t="str">
        <f>PROPER(IF(B124="Saneago",VLOOKUP(C124,'SANEAGO-FEV.2016'!A:B,2,0),IF(B124="Sinapi",VLOOKUP(C124,'SINAPI-FEV.2017'!A:D,2,0),IF(B124="Cotação",VLOOKUP(C124,COTAÇÃO!A:D,2,0),IF(B124="Composição",VLOOKUP(C124,COMPOSIÇÃO!A:D,2,0))))))</f>
        <v>Lastro Com Preparo De Fundo, Largura Maior Ou Igual A 1,5 M, Com Camada De Brita, Lançamento Mecanizado, Em Local Com Nível Baixo De Interferência. Af_06/2016</v>
      </c>
      <c r="E124" s="837"/>
      <c r="F124" s="837"/>
      <c r="G124" s="987"/>
      <c r="H124" s="992"/>
      <c r="I124" s="987"/>
      <c r="J124" s="987"/>
      <c r="K124" s="988" t="s">
        <v>27</v>
      </c>
      <c r="L124" s="988" t="s">
        <v>20309</v>
      </c>
      <c r="M124" s="1150">
        <f>SUM(M121:M122)</f>
        <v>2.5874999999999999</v>
      </c>
      <c r="N124" s="972"/>
      <c r="O124" s="973"/>
      <c r="P124" s="1455"/>
      <c r="Q124" s="975"/>
      <c r="R124" s="974"/>
      <c r="S124" s="974"/>
      <c r="T124" s="974"/>
      <c r="U124" s="974"/>
      <c r="V124" s="974"/>
      <c r="W124" s="974"/>
      <c r="X124" s="974"/>
      <c r="Y124" s="974"/>
      <c r="Z124" s="974"/>
      <c r="AA124" s="974"/>
      <c r="AB124" s="974"/>
      <c r="AC124" s="974"/>
      <c r="AD124" s="974"/>
      <c r="AE124" s="974"/>
      <c r="AF124" s="974"/>
      <c r="AG124" s="974"/>
      <c r="AH124" s="974"/>
      <c r="AI124" s="974"/>
      <c r="AJ124" s="974"/>
      <c r="AK124" s="974"/>
      <c r="AL124" s="974"/>
      <c r="AM124" s="974"/>
      <c r="AN124" s="974"/>
      <c r="AO124" s="974"/>
      <c r="AP124" s="974"/>
      <c r="AQ124" s="974"/>
      <c r="AR124" s="974"/>
      <c r="AS124" s="974"/>
      <c r="AT124" s="974"/>
      <c r="AU124" s="974"/>
      <c r="AV124" s="974"/>
      <c r="AW124" s="974"/>
      <c r="AX124" s="974"/>
      <c r="AY124" s="974"/>
      <c r="AZ124" s="974"/>
      <c r="BA124" s="974"/>
      <c r="BB124" s="974"/>
      <c r="BC124" s="974"/>
      <c r="BD124" s="974"/>
      <c r="BE124" s="974"/>
      <c r="BF124" s="974"/>
      <c r="BG124" s="974"/>
      <c r="BH124" s="974"/>
      <c r="BI124" s="974"/>
      <c r="BJ124" s="974"/>
      <c r="BK124" s="974"/>
      <c r="BL124" s="974"/>
      <c r="BM124" s="974"/>
      <c r="BN124" s="974"/>
      <c r="BO124" s="974"/>
      <c r="BP124" s="974"/>
      <c r="BQ124" s="974"/>
      <c r="BR124" s="974"/>
      <c r="BS124" s="974"/>
      <c r="BT124" s="974"/>
      <c r="BU124" s="974"/>
      <c r="BV124" s="974"/>
      <c r="BW124" s="974"/>
      <c r="BX124" s="974"/>
      <c r="BY124" s="974"/>
      <c r="BZ124" s="974"/>
      <c r="CA124" s="974"/>
      <c r="CB124" s="974"/>
      <c r="CC124" s="974"/>
      <c r="CD124" s="974"/>
      <c r="CE124" s="974"/>
      <c r="CF124" s="974"/>
      <c r="CG124" s="974"/>
      <c r="CH124" s="974"/>
      <c r="CI124" s="974"/>
      <c r="CJ124" s="974"/>
      <c r="CK124" s="974"/>
      <c r="CL124" s="974"/>
      <c r="CM124" s="974"/>
      <c r="CN124" s="974"/>
      <c r="CO124" s="974"/>
      <c r="CP124" s="974"/>
      <c r="CQ124" s="974"/>
      <c r="CR124" s="974"/>
      <c r="CS124" s="974"/>
      <c r="CT124" s="974"/>
      <c r="CU124" s="974"/>
      <c r="CV124" s="974"/>
      <c r="CW124" s="974"/>
      <c r="CX124" s="974"/>
      <c r="CY124" s="974"/>
      <c r="CZ124" s="974"/>
      <c r="DA124" s="974"/>
      <c r="DB124" s="974"/>
      <c r="DC124" s="974"/>
      <c r="DD124" s="974"/>
      <c r="DE124" s="974"/>
      <c r="DF124" s="974"/>
      <c r="DG124" s="974"/>
      <c r="DH124" s="974"/>
      <c r="DI124" s="974"/>
      <c r="DJ124" s="974"/>
      <c r="DK124" s="974"/>
      <c r="DL124" s="974"/>
      <c r="DM124" s="974"/>
      <c r="DN124" s="974"/>
      <c r="DO124" s="974"/>
      <c r="DP124" s="974"/>
      <c r="DQ124" s="974"/>
      <c r="DR124" s="974"/>
      <c r="DS124" s="974"/>
      <c r="DT124" s="974"/>
      <c r="DU124" s="974"/>
      <c r="DV124" s="974"/>
      <c r="DW124" s="974"/>
      <c r="DX124" s="974"/>
      <c r="DY124" s="974"/>
      <c r="DZ124" s="974"/>
      <c r="EA124" s="974"/>
      <c r="EB124" s="974"/>
      <c r="EC124" s="974"/>
      <c r="ED124" s="974"/>
      <c r="EE124" s="974"/>
      <c r="EF124" s="974"/>
      <c r="EG124" s="974"/>
      <c r="EH124" s="974"/>
      <c r="EI124" s="974"/>
      <c r="EJ124" s="974"/>
      <c r="EK124" s="974"/>
      <c r="EL124" s="974"/>
      <c r="EM124" s="974"/>
      <c r="EN124" s="974"/>
      <c r="EO124" s="974"/>
      <c r="EP124" s="974"/>
      <c r="EQ124" s="974"/>
      <c r="ER124" s="974"/>
      <c r="ES124" s="974"/>
      <c r="ET124" s="974"/>
      <c r="EU124" s="974"/>
      <c r="EV124" s="974"/>
      <c r="EW124" s="974"/>
      <c r="EX124" s="974"/>
      <c r="EY124" s="974"/>
      <c r="EZ124" s="974"/>
      <c r="FA124" s="974"/>
      <c r="FB124" s="974"/>
      <c r="FC124" s="974"/>
      <c r="FD124" s="974"/>
      <c r="FE124" s="974"/>
      <c r="FF124" s="974"/>
      <c r="FG124" s="974"/>
      <c r="FH124" s="974"/>
      <c r="FI124" s="974"/>
      <c r="FJ124" s="974"/>
      <c r="FK124" s="974"/>
      <c r="FL124" s="974"/>
      <c r="FM124" s="974"/>
      <c r="FN124" s="974"/>
      <c r="FO124" s="974"/>
      <c r="FP124" s="974"/>
      <c r="FQ124" s="974"/>
      <c r="FR124" s="974"/>
      <c r="FS124" s="974"/>
      <c r="FT124" s="974"/>
      <c r="FU124" s="974"/>
      <c r="FV124" s="974"/>
      <c r="FW124" s="974"/>
      <c r="FX124" s="974"/>
      <c r="FY124" s="974"/>
      <c r="FZ124" s="974"/>
      <c r="GA124" s="974"/>
      <c r="GB124" s="974"/>
      <c r="GC124" s="974"/>
      <c r="GD124" s="974"/>
      <c r="GE124" s="974"/>
      <c r="GF124" s="974"/>
      <c r="GG124" s="974"/>
      <c r="GH124" s="974"/>
      <c r="GI124" s="974"/>
      <c r="GJ124" s="974"/>
      <c r="GK124" s="974"/>
      <c r="GL124" s="974"/>
      <c r="GM124" s="974"/>
      <c r="GN124" s="974"/>
      <c r="GO124" s="974"/>
      <c r="GP124" s="974"/>
      <c r="GQ124" s="974"/>
      <c r="GR124" s="974"/>
      <c r="GS124" s="974"/>
      <c r="GT124" s="974"/>
      <c r="GU124" s="974"/>
      <c r="GV124" s="974"/>
      <c r="GW124" s="974"/>
      <c r="GX124" s="974"/>
      <c r="GY124" s="974"/>
      <c r="GZ124" s="974"/>
      <c r="HA124" s="974"/>
      <c r="HB124" s="974"/>
      <c r="HC124" s="974"/>
      <c r="HD124" s="974"/>
      <c r="HE124" s="974"/>
      <c r="HF124" s="974"/>
      <c r="HG124" s="974"/>
      <c r="HH124" s="974"/>
      <c r="HI124" s="974"/>
      <c r="HJ124" s="974"/>
      <c r="HK124" s="974"/>
      <c r="HL124" s="974"/>
      <c r="HM124" s="974"/>
      <c r="HN124" s="974"/>
      <c r="HO124" s="974"/>
      <c r="HP124" s="974"/>
      <c r="HQ124" s="974"/>
      <c r="HR124" s="974"/>
      <c r="HS124" s="974"/>
      <c r="HT124" s="974"/>
      <c r="HU124" s="974"/>
      <c r="HV124" s="974"/>
      <c r="HW124" s="974"/>
      <c r="HX124" s="974"/>
      <c r="HY124" s="974"/>
      <c r="HZ124" s="974"/>
      <c r="IA124" s="974"/>
      <c r="IB124" s="974"/>
      <c r="IC124" s="974"/>
      <c r="ID124" s="974"/>
      <c r="IE124" s="974"/>
      <c r="IF124" s="974"/>
      <c r="IG124" s="974"/>
      <c r="IH124" s="974"/>
      <c r="II124" s="974"/>
      <c r="IJ124" s="974"/>
      <c r="IK124" s="974"/>
      <c r="IL124" s="974"/>
      <c r="IM124" s="974"/>
      <c r="IN124" s="974"/>
      <c r="IO124" s="974"/>
      <c r="IP124" s="974"/>
      <c r="IQ124" s="974"/>
      <c r="IR124" s="974"/>
      <c r="IS124" s="974"/>
      <c r="IT124" s="974"/>
      <c r="IU124" s="974"/>
      <c r="IV124" s="974"/>
    </row>
    <row r="125" spans="1:256" s="865" customFormat="1">
      <c r="A125" s="962"/>
      <c r="B125" s="909"/>
      <c r="C125" s="909"/>
      <c r="D125" s="826"/>
      <c r="E125" s="990"/>
      <c r="F125" s="990"/>
      <c r="G125" s="970" t="s">
        <v>30</v>
      </c>
      <c r="H125" s="991" t="s">
        <v>1275</v>
      </c>
      <c r="I125" s="970" t="s">
        <v>17</v>
      </c>
      <c r="J125" s="970" t="s">
        <v>19</v>
      </c>
      <c r="K125" s="970" t="s">
        <v>32</v>
      </c>
      <c r="L125" s="983"/>
      <c r="M125" s="984"/>
      <c r="N125" s="972"/>
      <c r="O125" s="973"/>
      <c r="P125" s="1455"/>
      <c r="Q125" s="975"/>
      <c r="R125" s="974"/>
      <c r="S125" s="974"/>
      <c r="T125" s="974"/>
      <c r="U125" s="974"/>
      <c r="V125" s="974"/>
      <c r="W125" s="974"/>
      <c r="X125" s="974"/>
      <c r="Y125" s="974"/>
      <c r="Z125" s="974"/>
      <c r="AA125" s="974"/>
      <c r="AB125" s="974"/>
      <c r="AC125" s="974"/>
      <c r="AD125" s="974"/>
      <c r="AE125" s="974"/>
      <c r="AF125" s="974"/>
      <c r="AG125" s="974"/>
      <c r="AH125" s="974"/>
      <c r="AI125" s="974"/>
      <c r="AJ125" s="974"/>
      <c r="AK125" s="974"/>
      <c r="AL125" s="974"/>
      <c r="AM125" s="974"/>
      <c r="AN125" s="974"/>
      <c r="AO125" s="974"/>
      <c r="AP125" s="974"/>
      <c r="AQ125" s="974"/>
      <c r="AR125" s="974"/>
      <c r="AS125" s="974"/>
      <c r="AT125" s="974"/>
      <c r="AU125" s="974"/>
      <c r="AV125" s="974"/>
      <c r="AW125" s="974"/>
      <c r="AX125" s="974"/>
      <c r="AY125" s="974"/>
      <c r="AZ125" s="974"/>
      <c r="BA125" s="974"/>
      <c r="BB125" s="974"/>
      <c r="BC125" s="974"/>
      <c r="BD125" s="974"/>
      <c r="BE125" s="974"/>
      <c r="BF125" s="974"/>
      <c r="BG125" s="974"/>
      <c r="BH125" s="974"/>
      <c r="BI125" s="974"/>
      <c r="BJ125" s="974"/>
      <c r="BK125" s="974"/>
      <c r="BL125" s="974"/>
      <c r="BM125" s="974"/>
      <c r="BN125" s="974"/>
      <c r="BO125" s="974"/>
      <c r="BP125" s="974"/>
      <c r="BQ125" s="974"/>
      <c r="BR125" s="974"/>
      <c r="BS125" s="974"/>
      <c r="BT125" s="974"/>
      <c r="BU125" s="974"/>
      <c r="BV125" s="974"/>
      <c r="BW125" s="974"/>
      <c r="BX125" s="974"/>
      <c r="BY125" s="974"/>
      <c r="BZ125" s="974"/>
      <c r="CA125" s="974"/>
      <c r="CB125" s="974"/>
      <c r="CC125" s="974"/>
      <c r="CD125" s="974"/>
      <c r="CE125" s="974"/>
      <c r="CF125" s="974"/>
      <c r="CG125" s="974"/>
      <c r="CH125" s="974"/>
      <c r="CI125" s="974"/>
      <c r="CJ125" s="974"/>
      <c r="CK125" s="974"/>
      <c r="CL125" s="974"/>
      <c r="CM125" s="974"/>
      <c r="CN125" s="974"/>
      <c r="CO125" s="974"/>
      <c r="CP125" s="974"/>
      <c r="CQ125" s="974"/>
      <c r="CR125" s="974"/>
      <c r="CS125" s="974"/>
      <c r="CT125" s="974"/>
      <c r="CU125" s="974"/>
      <c r="CV125" s="974"/>
      <c r="CW125" s="974"/>
      <c r="CX125" s="974"/>
      <c r="CY125" s="974"/>
      <c r="CZ125" s="974"/>
      <c r="DA125" s="974"/>
      <c r="DB125" s="974"/>
      <c r="DC125" s="974"/>
      <c r="DD125" s="974"/>
      <c r="DE125" s="974"/>
      <c r="DF125" s="974"/>
      <c r="DG125" s="974"/>
      <c r="DH125" s="974"/>
      <c r="DI125" s="974"/>
      <c r="DJ125" s="974"/>
      <c r="DK125" s="974"/>
      <c r="DL125" s="974"/>
      <c r="DM125" s="974"/>
      <c r="DN125" s="974"/>
      <c r="DO125" s="974"/>
      <c r="DP125" s="974"/>
      <c r="DQ125" s="974"/>
      <c r="DR125" s="974"/>
      <c r="DS125" s="974"/>
      <c r="DT125" s="974"/>
      <c r="DU125" s="974"/>
      <c r="DV125" s="974"/>
      <c r="DW125" s="974"/>
      <c r="DX125" s="974"/>
      <c r="DY125" s="974"/>
      <c r="DZ125" s="974"/>
      <c r="EA125" s="974"/>
      <c r="EB125" s="974"/>
      <c r="EC125" s="974"/>
      <c r="ED125" s="974"/>
      <c r="EE125" s="974"/>
      <c r="EF125" s="974"/>
      <c r="EG125" s="974"/>
      <c r="EH125" s="974"/>
      <c r="EI125" s="974"/>
      <c r="EJ125" s="974"/>
      <c r="EK125" s="974"/>
      <c r="EL125" s="974"/>
      <c r="EM125" s="974"/>
      <c r="EN125" s="974"/>
      <c r="EO125" s="974"/>
      <c r="EP125" s="974"/>
      <c r="EQ125" s="974"/>
      <c r="ER125" s="974"/>
      <c r="ES125" s="974"/>
      <c r="ET125" s="974"/>
      <c r="EU125" s="974"/>
      <c r="EV125" s="974"/>
      <c r="EW125" s="974"/>
      <c r="EX125" s="974"/>
      <c r="EY125" s="974"/>
      <c r="EZ125" s="974"/>
      <c r="FA125" s="974"/>
      <c r="FB125" s="974"/>
      <c r="FC125" s="974"/>
      <c r="FD125" s="974"/>
      <c r="FE125" s="974"/>
      <c r="FF125" s="974"/>
      <c r="FG125" s="974"/>
      <c r="FH125" s="974"/>
      <c r="FI125" s="974"/>
      <c r="FJ125" s="974"/>
      <c r="FK125" s="974"/>
      <c r="FL125" s="974"/>
      <c r="FM125" s="974"/>
      <c r="FN125" s="974"/>
      <c r="FO125" s="974"/>
      <c r="FP125" s="974"/>
      <c r="FQ125" s="974"/>
      <c r="FR125" s="974"/>
      <c r="FS125" s="974"/>
      <c r="FT125" s="974"/>
      <c r="FU125" s="974"/>
      <c r="FV125" s="974"/>
      <c r="FW125" s="974"/>
      <c r="FX125" s="974"/>
      <c r="FY125" s="974"/>
      <c r="FZ125" s="974"/>
      <c r="GA125" s="974"/>
      <c r="GB125" s="974"/>
      <c r="GC125" s="974"/>
      <c r="GD125" s="974"/>
      <c r="GE125" s="974"/>
      <c r="GF125" s="974"/>
      <c r="GG125" s="974"/>
      <c r="GH125" s="974"/>
      <c r="GI125" s="974"/>
      <c r="GJ125" s="974"/>
      <c r="GK125" s="974"/>
      <c r="GL125" s="974"/>
      <c r="GM125" s="974"/>
      <c r="GN125" s="974"/>
      <c r="GO125" s="974"/>
      <c r="GP125" s="974"/>
      <c r="GQ125" s="974"/>
      <c r="GR125" s="974"/>
      <c r="GS125" s="974"/>
      <c r="GT125" s="974"/>
      <c r="GU125" s="974"/>
      <c r="GV125" s="974"/>
      <c r="GW125" s="974"/>
      <c r="GX125" s="974"/>
      <c r="GY125" s="974"/>
      <c r="GZ125" s="974"/>
      <c r="HA125" s="974"/>
      <c r="HB125" s="974"/>
      <c r="HC125" s="974"/>
      <c r="HD125" s="974"/>
      <c r="HE125" s="974"/>
      <c r="HF125" s="974"/>
      <c r="HG125" s="974"/>
      <c r="HH125" s="974"/>
      <c r="HI125" s="974"/>
      <c r="HJ125" s="974"/>
      <c r="HK125" s="974"/>
      <c r="HL125" s="974"/>
      <c r="HM125" s="974"/>
      <c r="HN125" s="974"/>
      <c r="HO125" s="974"/>
      <c r="HP125" s="974"/>
      <c r="HQ125" s="974"/>
      <c r="HR125" s="974"/>
      <c r="HS125" s="974"/>
      <c r="HT125" s="974"/>
      <c r="HU125" s="974"/>
      <c r="HV125" s="974"/>
      <c r="HW125" s="974"/>
      <c r="HX125" s="974"/>
      <c r="HY125" s="974"/>
      <c r="HZ125" s="974"/>
      <c r="IA125" s="974"/>
      <c r="IB125" s="974"/>
      <c r="IC125" s="974"/>
      <c r="ID125" s="974"/>
      <c r="IE125" s="974"/>
      <c r="IF125" s="974"/>
      <c r="IG125" s="974"/>
      <c r="IH125" s="974"/>
      <c r="II125" s="974"/>
      <c r="IJ125" s="974"/>
      <c r="IK125" s="974"/>
      <c r="IL125" s="974"/>
      <c r="IM125" s="974"/>
      <c r="IN125" s="974"/>
      <c r="IO125" s="974"/>
      <c r="IP125" s="974"/>
      <c r="IQ125" s="974"/>
      <c r="IR125" s="974"/>
      <c r="IS125" s="974"/>
      <c r="IT125" s="974"/>
      <c r="IU125" s="974"/>
      <c r="IV125" s="974"/>
    </row>
    <row r="126" spans="1:256" s="865" customFormat="1">
      <c r="A126" s="962"/>
      <c r="B126" s="909"/>
      <c r="C126" s="909"/>
      <c r="D126" s="888" t="s">
        <v>14488</v>
      </c>
      <c r="E126" s="1674"/>
      <c r="F126" s="1674"/>
      <c r="G126" s="1674"/>
      <c r="H126" s="991">
        <f t="shared" ref="H126:J127" si="4">H121</f>
        <v>3</v>
      </c>
      <c r="I126" s="970">
        <f t="shared" si="4"/>
        <v>2.2999999999999998</v>
      </c>
      <c r="J126" s="970">
        <f t="shared" si="4"/>
        <v>1.5</v>
      </c>
      <c r="K126" s="970"/>
      <c r="L126" s="985" t="s">
        <v>19797</v>
      </c>
      <c r="M126" s="986">
        <f>H126*I126*J126</f>
        <v>10.35</v>
      </c>
      <c r="N126" s="972"/>
      <c r="O126" s="973"/>
      <c r="P126" s="1455"/>
      <c r="Q126" s="975"/>
      <c r="R126" s="974"/>
      <c r="S126" s="974"/>
      <c r="T126" s="974"/>
      <c r="U126" s="974"/>
      <c r="V126" s="974"/>
      <c r="W126" s="974"/>
      <c r="X126" s="974"/>
      <c r="Y126" s="974"/>
      <c r="Z126" s="974"/>
      <c r="AA126" s="974"/>
      <c r="AB126" s="974"/>
      <c r="AC126" s="974"/>
      <c r="AD126" s="974"/>
      <c r="AE126" s="974"/>
      <c r="AF126" s="974"/>
      <c r="AG126" s="974"/>
      <c r="AH126" s="974"/>
      <c r="AI126" s="974"/>
      <c r="AJ126" s="974"/>
      <c r="AK126" s="974"/>
      <c r="AL126" s="974"/>
      <c r="AM126" s="974"/>
      <c r="AN126" s="974"/>
      <c r="AO126" s="974"/>
      <c r="AP126" s="974"/>
      <c r="AQ126" s="974"/>
      <c r="AR126" s="974"/>
      <c r="AS126" s="974"/>
      <c r="AT126" s="974"/>
      <c r="AU126" s="974"/>
      <c r="AV126" s="974"/>
      <c r="AW126" s="974"/>
      <c r="AX126" s="974"/>
      <c r="AY126" s="974"/>
      <c r="AZ126" s="974"/>
      <c r="BA126" s="974"/>
      <c r="BB126" s="974"/>
      <c r="BC126" s="974"/>
      <c r="BD126" s="974"/>
      <c r="BE126" s="974"/>
      <c r="BF126" s="974"/>
      <c r="BG126" s="974"/>
      <c r="BH126" s="974"/>
      <c r="BI126" s="974"/>
      <c r="BJ126" s="974"/>
      <c r="BK126" s="974"/>
      <c r="BL126" s="974"/>
      <c r="BM126" s="974"/>
      <c r="BN126" s="974"/>
      <c r="BO126" s="974"/>
      <c r="BP126" s="974"/>
      <c r="BQ126" s="974"/>
      <c r="BR126" s="974"/>
      <c r="BS126" s="974"/>
      <c r="BT126" s="974"/>
      <c r="BU126" s="974"/>
      <c r="BV126" s="974"/>
      <c r="BW126" s="974"/>
      <c r="BX126" s="974"/>
      <c r="BY126" s="974"/>
      <c r="BZ126" s="974"/>
      <c r="CA126" s="974"/>
      <c r="CB126" s="974"/>
      <c r="CC126" s="974"/>
      <c r="CD126" s="974"/>
      <c r="CE126" s="974"/>
      <c r="CF126" s="974"/>
      <c r="CG126" s="974"/>
      <c r="CH126" s="974"/>
      <c r="CI126" s="974"/>
      <c r="CJ126" s="974"/>
      <c r="CK126" s="974"/>
      <c r="CL126" s="974"/>
      <c r="CM126" s="974"/>
      <c r="CN126" s="974"/>
      <c r="CO126" s="974"/>
      <c r="CP126" s="974"/>
      <c r="CQ126" s="974"/>
      <c r="CR126" s="974"/>
      <c r="CS126" s="974"/>
      <c r="CT126" s="974"/>
      <c r="CU126" s="974"/>
      <c r="CV126" s="974"/>
      <c r="CW126" s="974"/>
      <c r="CX126" s="974"/>
      <c r="CY126" s="974"/>
      <c r="CZ126" s="974"/>
      <c r="DA126" s="974"/>
      <c r="DB126" s="974"/>
      <c r="DC126" s="974"/>
      <c r="DD126" s="974"/>
      <c r="DE126" s="974"/>
      <c r="DF126" s="974"/>
      <c r="DG126" s="974"/>
      <c r="DH126" s="974"/>
      <c r="DI126" s="974"/>
      <c r="DJ126" s="974"/>
      <c r="DK126" s="974"/>
      <c r="DL126" s="974"/>
      <c r="DM126" s="974"/>
      <c r="DN126" s="974"/>
      <c r="DO126" s="974"/>
      <c r="DP126" s="974"/>
      <c r="DQ126" s="974"/>
      <c r="DR126" s="974"/>
      <c r="DS126" s="974"/>
      <c r="DT126" s="974"/>
      <c r="DU126" s="974"/>
      <c r="DV126" s="974"/>
      <c r="DW126" s="974"/>
      <c r="DX126" s="974"/>
      <c r="DY126" s="974"/>
      <c r="DZ126" s="974"/>
      <c r="EA126" s="974"/>
      <c r="EB126" s="974"/>
      <c r="EC126" s="974"/>
      <c r="ED126" s="974"/>
      <c r="EE126" s="974"/>
      <c r="EF126" s="974"/>
      <c r="EG126" s="974"/>
      <c r="EH126" s="974"/>
      <c r="EI126" s="974"/>
      <c r="EJ126" s="974"/>
      <c r="EK126" s="974"/>
      <c r="EL126" s="974"/>
      <c r="EM126" s="974"/>
      <c r="EN126" s="974"/>
      <c r="EO126" s="974"/>
      <c r="EP126" s="974"/>
      <c r="EQ126" s="974"/>
      <c r="ER126" s="974"/>
      <c r="ES126" s="974"/>
      <c r="ET126" s="974"/>
      <c r="EU126" s="974"/>
      <c r="EV126" s="974"/>
      <c r="EW126" s="974"/>
      <c r="EX126" s="974"/>
      <c r="EY126" s="974"/>
      <c r="EZ126" s="974"/>
      <c r="FA126" s="974"/>
      <c r="FB126" s="974"/>
      <c r="FC126" s="974"/>
      <c r="FD126" s="974"/>
      <c r="FE126" s="974"/>
      <c r="FF126" s="974"/>
      <c r="FG126" s="974"/>
      <c r="FH126" s="974"/>
      <c r="FI126" s="974"/>
      <c r="FJ126" s="974"/>
      <c r="FK126" s="974"/>
      <c r="FL126" s="974"/>
      <c r="FM126" s="974"/>
      <c r="FN126" s="974"/>
      <c r="FO126" s="974"/>
      <c r="FP126" s="974"/>
      <c r="FQ126" s="974"/>
      <c r="FR126" s="974"/>
      <c r="FS126" s="974"/>
      <c r="FT126" s="974"/>
      <c r="FU126" s="974"/>
      <c r="FV126" s="974"/>
      <c r="FW126" s="974"/>
      <c r="FX126" s="974"/>
      <c r="FY126" s="974"/>
      <c r="FZ126" s="974"/>
      <c r="GA126" s="974"/>
      <c r="GB126" s="974"/>
      <c r="GC126" s="974"/>
      <c r="GD126" s="974"/>
      <c r="GE126" s="974"/>
      <c r="GF126" s="974"/>
      <c r="GG126" s="974"/>
      <c r="GH126" s="974"/>
      <c r="GI126" s="974"/>
      <c r="GJ126" s="974"/>
      <c r="GK126" s="974"/>
      <c r="GL126" s="974"/>
      <c r="GM126" s="974"/>
      <c r="GN126" s="974"/>
      <c r="GO126" s="974"/>
      <c r="GP126" s="974"/>
      <c r="GQ126" s="974"/>
      <c r="GR126" s="974"/>
      <c r="GS126" s="974"/>
      <c r="GT126" s="974"/>
      <c r="GU126" s="974"/>
      <c r="GV126" s="974"/>
      <c r="GW126" s="974"/>
      <c r="GX126" s="974"/>
      <c r="GY126" s="974"/>
      <c r="GZ126" s="974"/>
      <c r="HA126" s="974"/>
      <c r="HB126" s="974"/>
      <c r="HC126" s="974"/>
      <c r="HD126" s="974"/>
      <c r="HE126" s="974"/>
      <c r="HF126" s="974"/>
      <c r="HG126" s="974"/>
      <c r="HH126" s="974"/>
      <c r="HI126" s="974"/>
      <c r="HJ126" s="974"/>
      <c r="HK126" s="974"/>
      <c r="HL126" s="974"/>
      <c r="HM126" s="974"/>
      <c r="HN126" s="974"/>
      <c r="HO126" s="974"/>
      <c r="HP126" s="974"/>
      <c r="HQ126" s="974"/>
      <c r="HR126" s="974"/>
      <c r="HS126" s="974"/>
      <c r="HT126" s="974"/>
      <c r="HU126" s="974"/>
      <c r="HV126" s="974"/>
      <c r="HW126" s="974"/>
      <c r="HX126" s="974"/>
      <c r="HY126" s="974"/>
      <c r="HZ126" s="974"/>
      <c r="IA126" s="974"/>
      <c r="IB126" s="974"/>
      <c r="IC126" s="974"/>
      <c r="ID126" s="974"/>
      <c r="IE126" s="974"/>
      <c r="IF126" s="974"/>
      <c r="IG126" s="974"/>
      <c r="IH126" s="974"/>
      <c r="II126" s="974"/>
      <c r="IJ126" s="974"/>
      <c r="IK126" s="974"/>
      <c r="IL126" s="974"/>
      <c r="IM126" s="974"/>
      <c r="IN126" s="974"/>
      <c r="IO126" s="974"/>
      <c r="IP126" s="974"/>
      <c r="IQ126" s="974"/>
      <c r="IR126" s="974"/>
      <c r="IS126" s="974"/>
      <c r="IT126" s="974"/>
      <c r="IU126" s="974"/>
      <c r="IV126" s="974"/>
    </row>
    <row r="127" spans="1:256" s="865" customFormat="1">
      <c r="A127" s="962"/>
      <c r="B127" s="909"/>
      <c r="C127" s="909"/>
      <c r="D127" s="888" t="s">
        <v>14489</v>
      </c>
      <c r="E127" s="1674"/>
      <c r="F127" s="1674"/>
      <c r="G127" s="1674"/>
      <c r="H127" s="991">
        <f t="shared" si="4"/>
        <v>2</v>
      </c>
      <c r="I127" s="970">
        <f t="shared" si="4"/>
        <v>2.2999999999999998</v>
      </c>
      <c r="J127" s="970">
        <f t="shared" si="4"/>
        <v>1.5</v>
      </c>
      <c r="K127" s="970"/>
      <c r="L127" s="985" t="s">
        <v>19797</v>
      </c>
      <c r="M127" s="986">
        <f>H127*I127*J127</f>
        <v>6.8999999999999995</v>
      </c>
      <c r="N127" s="972"/>
      <c r="O127" s="973"/>
      <c r="P127" s="1455"/>
      <c r="Q127" s="975"/>
      <c r="R127" s="974"/>
      <c r="S127" s="974"/>
      <c r="T127" s="974"/>
      <c r="U127" s="974"/>
      <c r="V127" s="974"/>
      <c r="W127" s="974"/>
      <c r="X127" s="974"/>
      <c r="Y127" s="974"/>
      <c r="Z127" s="974"/>
      <c r="AA127" s="974"/>
      <c r="AB127" s="974"/>
      <c r="AC127" s="974"/>
      <c r="AD127" s="974"/>
      <c r="AE127" s="974"/>
      <c r="AF127" s="974"/>
      <c r="AG127" s="974"/>
      <c r="AH127" s="974"/>
      <c r="AI127" s="974"/>
      <c r="AJ127" s="974"/>
      <c r="AK127" s="974"/>
      <c r="AL127" s="974"/>
      <c r="AM127" s="974"/>
      <c r="AN127" s="974"/>
      <c r="AO127" s="974"/>
      <c r="AP127" s="974"/>
      <c r="AQ127" s="974"/>
      <c r="AR127" s="974"/>
      <c r="AS127" s="974"/>
      <c r="AT127" s="974"/>
      <c r="AU127" s="974"/>
      <c r="AV127" s="974"/>
      <c r="AW127" s="974"/>
      <c r="AX127" s="974"/>
      <c r="AY127" s="974"/>
      <c r="AZ127" s="974"/>
      <c r="BA127" s="974"/>
      <c r="BB127" s="974"/>
      <c r="BC127" s="974"/>
      <c r="BD127" s="974"/>
      <c r="BE127" s="974"/>
      <c r="BF127" s="974"/>
      <c r="BG127" s="974"/>
      <c r="BH127" s="974"/>
      <c r="BI127" s="974"/>
      <c r="BJ127" s="974"/>
      <c r="BK127" s="974"/>
      <c r="BL127" s="974"/>
      <c r="BM127" s="974"/>
      <c r="BN127" s="974"/>
      <c r="BO127" s="974"/>
      <c r="BP127" s="974"/>
      <c r="BQ127" s="974"/>
      <c r="BR127" s="974"/>
      <c r="BS127" s="974"/>
      <c r="BT127" s="974"/>
      <c r="BU127" s="974"/>
      <c r="BV127" s="974"/>
      <c r="BW127" s="974"/>
      <c r="BX127" s="974"/>
      <c r="BY127" s="974"/>
      <c r="BZ127" s="974"/>
      <c r="CA127" s="974"/>
      <c r="CB127" s="974"/>
      <c r="CC127" s="974"/>
      <c r="CD127" s="974"/>
      <c r="CE127" s="974"/>
      <c r="CF127" s="974"/>
      <c r="CG127" s="974"/>
      <c r="CH127" s="974"/>
      <c r="CI127" s="974"/>
      <c r="CJ127" s="974"/>
      <c r="CK127" s="974"/>
      <c r="CL127" s="974"/>
      <c r="CM127" s="974"/>
      <c r="CN127" s="974"/>
      <c r="CO127" s="974"/>
      <c r="CP127" s="974"/>
      <c r="CQ127" s="974"/>
      <c r="CR127" s="974"/>
      <c r="CS127" s="974"/>
      <c r="CT127" s="974"/>
      <c r="CU127" s="974"/>
      <c r="CV127" s="974"/>
      <c r="CW127" s="974"/>
      <c r="CX127" s="974"/>
      <c r="CY127" s="974"/>
      <c r="CZ127" s="974"/>
      <c r="DA127" s="974"/>
      <c r="DB127" s="974"/>
      <c r="DC127" s="974"/>
      <c r="DD127" s="974"/>
      <c r="DE127" s="974"/>
      <c r="DF127" s="974"/>
      <c r="DG127" s="974"/>
      <c r="DH127" s="974"/>
      <c r="DI127" s="974"/>
      <c r="DJ127" s="974"/>
      <c r="DK127" s="974"/>
      <c r="DL127" s="974"/>
      <c r="DM127" s="974"/>
      <c r="DN127" s="974"/>
      <c r="DO127" s="974"/>
      <c r="DP127" s="974"/>
      <c r="DQ127" s="974"/>
      <c r="DR127" s="974"/>
      <c r="DS127" s="974"/>
      <c r="DT127" s="974"/>
      <c r="DU127" s="974"/>
      <c r="DV127" s="974"/>
      <c r="DW127" s="974"/>
      <c r="DX127" s="974"/>
      <c r="DY127" s="974"/>
      <c r="DZ127" s="974"/>
      <c r="EA127" s="974"/>
      <c r="EB127" s="974"/>
      <c r="EC127" s="974"/>
      <c r="ED127" s="974"/>
      <c r="EE127" s="974"/>
      <c r="EF127" s="974"/>
      <c r="EG127" s="974"/>
      <c r="EH127" s="974"/>
      <c r="EI127" s="974"/>
      <c r="EJ127" s="974"/>
      <c r="EK127" s="974"/>
      <c r="EL127" s="974"/>
      <c r="EM127" s="974"/>
      <c r="EN127" s="974"/>
      <c r="EO127" s="974"/>
      <c r="EP127" s="974"/>
      <c r="EQ127" s="974"/>
      <c r="ER127" s="974"/>
      <c r="ES127" s="974"/>
      <c r="ET127" s="974"/>
      <c r="EU127" s="974"/>
      <c r="EV127" s="974"/>
      <c r="EW127" s="974"/>
      <c r="EX127" s="974"/>
      <c r="EY127" s="974"/>
      <c r="EZ127" s="974"/>
      <c r="FA127" s="974"/>
      <c r="FB127" s="974"/>
      <c r="FC127" s="974"/>
      <c r="FD127" s="974"/>
      <c r="FE127" s="974"/>
      <c r="FF127" s="974"/>
      <c r="FG127" s="974"/>
      <c r="FH127" s="974"/>
      <c r="FI127" s="974"/>
      <c r="FJ127" s="974"/>
      <c r="FK127" s="974"/>
      <c r="FL127" s="974"/>
      <c r="FM127" s="974"/>
      <c r="FN127" s="974"/>
      <c r="FO127" s="974"/>
      <c r="FP127" s="974"/>
      <c r="FQ127" s="974"/>
      <c r="FR127" s="974"/>
      <c r="FS127" s="974"/>
      <c r="FT127" s="974"/>
      <c r="FU127" s="974"/>
      <c r="FV127" s="974"/>
      <c r="FW127" s="974"/>
      <c r="FX127" s="974"/>
      <c r="FY127" s="974"/>
      <c r="FZ127" s="974"/>
      <c r="GA127" s="974"/>
      <c r="GB127" s="974"/>
      <c r="GC127" s="974"/>
      <c r="GD127" s="974"/>
      <c r="GE127" s="974"/>
      <c r="GF127" s="974"/>
      <c r="GG127" s="974"/>
      <c r="GH127" s="974"/>
      <c r="GI127" s="974"/>
      <c r="GJ127" s="974"/>
      <c r="GK127" s="974"/>
      <c r="GL127" s="974"/>
      <c r="GM127" s="974"/>
      <c r="GN127" s="974"/>
      <c r="GO127" s="974"/>
      <c r="GP127" s="974"/>
      <c r="GQ127" s="974"/>
      <c r="GR127" s="974"/>
      <c r="GS127" s="974"/>
      <c r="GT127" s="974"/>
      <c r="GU127" s="974"/>
      <c r="GV127" s="974"/>
      <c r="GW127" s="974"/>
      <c r="GX127" s="974"/>
      <c r="GY127" s="974"/>
      <c r="GZ127" s="974"/>
      <c r="HA127" s="974"/>
      <c r="HB127" s="974"/>
      <c r="HC127" s="974"/>
      <c r="HD127" s="974"/>
      <c r="HE127" s="974"/>
      <c r="HF127" s="974"/>
      <c r="HG127" s="974"/>
      <c r="HH127" s="974"/>
      <c r="HI127" s="974"/>
      <c r="HJ127" s="974"/>
      <c r="HK127" s="974"/>
      <c r="HL127" s="974"/>
      <c r="HM127" s="974"/>
      <c r="HN127" s="974"/>
      <c r="HO127" s="974"/>
      <c r="HP127" s="974"/>
      <c r="HQ127" s="974"/>
      <c r="HR127" s="974"/>
      <c r="HS127" s="974"/>
      <c r="HT127" s="974"/>
      <c r="HU127" s="974"/>
      <c r="HV127" s="974"/>
      <c r="HW127" s="974"/>
      <c r="HX127" s="974"/>
      <c r="HY127" s="974"/>
      <c r="HZ127" s="974"/>
      <c r="IA127" s="974"/>
      <c r="IB127" s="974"/>
      <c r="IC127" s="974"/>
      <c r="ID127" s="974"/>
      <c r="IE127" s="974"/>
      <c r="IF127" s="974"/>
      <c r="IG127" s="974"/>
      <c r="IH127" s="974"/>
      <c r="II127" s="974"/>
      <c r="IJ127" s="974"/>
      <c r="IK127" s="974"/>
      <c r="IL127" s="974"/>
      <c r="IM127" s="974"/>
      <c r="IN127" s="974"/>
      <c r="IO127" s="974"/>
      <c r="IP127" s="974"/>
      <c r="IQ127" s="974"/>
      <c r="IR127" s="974"/>
      <c r="IS127" s="974"/>
      <c r="IT127" s="974"/>
      <c r="IU127" s="974"/>
      <c r="IV127" s="974"/>
    </row>
    <row r="128" spans="1:256" s="865" customFormat="1">
      <c r="A128" s="962"/>
      <c r="B128" s="909"/>
      <c r="C128" s="909"/>
      <c r="D128" s="989"/>
      <c r="E128" s="990"/>
      <c r="F128" s="990"/>
      <c r="G128" s="970"/>
      <c r="H128" s="1456"/>
      <c r="I128" s="970"/>
      <c r="J128" s="970"/>
      <c r="K128" s="994"/>
      <c r="L128" s="985"/>
      <c r="M128" s="986"/>
      <c r="N128" s="972"/>
      <c r="O128" s="973"/>
      <c r="P128" s="1455"/>
      <c r="Q128" s="975"/>
      <c r="R128" s="974"/>
      <c r="S128" s="974"/>
      <c r="T128" s="974"/>
      <c r="U128" s="974"/>
      <c r="V128" s="974"/>
      <c r="W128" s="974"/>
      <c r="X128" s="974"/>
      <c r="Y128" s="974"/>
      <c r="Z128" s="974"/>
      <c r="AA128" s="974"/>
      <c r="AB128" s="974"/>
      <c r="AC128" s="974"/>
      <c r="AD128" s="974"/>
      <c r="AE128" s="974"/>
      <c r="AF128" s="974"/>
      <c r="AG128" s="974"/>
      <c r="AH128" s="974"/>
      <c r="AI128" s="974"/>
      <c r="AJ128" s="974"/>
      <c r="AK128" s="974"/>
      <c r="AL128" s="974"/>
      <c r="AM128" s="974"/>
      <c r="AN128" s="974"/>
      <c r="AO128" s="974"/>
      <c r="AP128" s="974"/>
      <c r="AQ128" s="974"/>
      <c r="AR128" s="974"/>
      <c r="AS128" s="974"/>
      <c r="AT128" s="974"/>
      <c r="AU128" s="974"/>
      <c r="AV128" s="974"/>
      <c r="AW128" s="974"/>
      <c r="AX128" s="974"/>
      <c r="AY128" s="974"/>
      <c r="AZ128" s="974"/>
      <c r="BA128" s="974"/>
      <c r="BB128" s="974"/>
      <c r="BC128" s="974"/>
      <c r="BD128" s="974"/>
      <c r="BE128" s="974"/>
      <c r="BF128" s="974"/>
      <c r="BG128" s="974"/>
      <c r="BH128" s="974"/>
      <c r="BI128" s="974"/>
      <c r="BJ128" s="974"/>
      <c r="BK128" s="974"/>
      <c r="BL128" s="974"/>
      <c r="BM128" s="974"/>
      <c r="BN128" s="974"/>
      <c r="BO128" s="974"/>
      <c r="BP128" s="974"/>
      <c r="BQ128" s="974"/>
      <c r="BR128" s="974"/>
      <c r="BS128" s="974"/>
      <c r="BT128" s="974"/>
      <c r="BU128" s="974"/>
      <c r="BV128" s="974"/>
      <c r="BW128" s="974"/>
      <c r="BX128" s="974"/>
      <c r="BY128" s="974"/>
      <c r="BZ128" s="974"/>
      <c r="CA128" s="974"/>
      <c r="CB128" s="974"/>
      <c r="CC128" s="974"/>
      <c r="CD128" s="974"/>
      <c r="CE128" s="974"/>
      <c r="CF128" s="974"/>
      <c r="CG128" s="974"/>
      <c r="CH128" s="974"/>
      <c r="CI128" s="974"/>
      <c r="CJ128" s="974"/>
      <c r="CK128" s="974"/>
      <c r="CL128" s="974"/>
      <c r="CM128" s="974"/>
      <c r="CN128" s="974"/>
      <c r="CO128" s="974"/>
      <c r="CP128" s="974"/>
      <c r="CQ128" s="974"/>
      <c r="CR128" s="974"/>
      <c r="CS128" s="974"/>
      <c r="CT128" s="974"/>
      <c r="CU128" s="974"/>
      <c r="CV128" s="974"/>
      <c r="CW128" s="974"/>
      <c r="CX128" s="974"/>
      <c r="CY128" s="974"/>
      <c r="CZ128" s="974"/>
      <c r="DA128" s="974"/>
      <c r="DB128" s="974"/>
      <c r="DC128" s="974"/>
      <c r="DD128" s="974"/>
      <c r="DE128" s="974"/>
      <c r="DF128" s="974"/>
      <c r="DG128" s="974"/>
      <c r="DH128" s="974"/>
      <c r="DI128" s="974"/>
      <c r="DJ128" s="974"/>
      <c r="DK128" s="974"/>
      <c r="DL128" s="974"/>
      <c r="DM128" s="974"/>
      <c r="DN128" s="974"/>
      <c r="DO128" s="974"/>
      <c r="DP128" s="974"/>
      <c r="DQ128" s="974"/>
      <c r="DR128" s="974"/>
      <c r="DS128" s="974"/>
      <c r="DT128" s="974"/>
      <c r="DU128" s="974"/>
      <c r="DV128" s="974"/>
      <c r="DW128" s="974"/>
      <c r="DX128" s="974"/>
      <c r="DY128" s="974"/>
      <c r="DZ128" s="974"/>
      <c r="EA128" s="974"/>
      <c r="EB128" s="974"/>
      <c r="EC128" s="974"/>
      <c r="ED128" s="974"/>
      <c r="EE128" s="974"/>
      <c r="EF128" s="974"/>
      <c r="EG128" s="974"/>
      <c r="EH128" s="974"/>
      <c r="EI128" s="974"/>
      <c r="EJ128" s="974"/>
      <c r="EK128" s="974"/>
      <c r="EL128" s="974"/>
      <c r="EM128" s="974"/>
      <c r="EN128" s="974"/>
      <c r="EO128" s="974"/>
      <c r="EP128" s="974"/>
      <c r="EQ128" s="974"/>
      <c r="ER128" s="974"/>
      <c r="ES128" s="974"/>
      <c r="ET128" s="974"/>
      <c r="EU128" s="974"/>
      <c r="EV128" s="974"/>
      <c r="EW128" s="974"/>
      <c r="EX128" s="974"/>
      <c r="EY128" s="974"/>
      <c r="EZ128" s="974"/>
      <c r="FA128" s="974"/>
      <c r="FB128" s="974"/>
      <c r="FC128" s="974"/>
      <c r="FD128" s="974"/>
      <c r="FE128" s="974"/>
      <c r="FF128" s="974"/>
      <c r="FG128" s="974"/>
      <c r="FH128" s="974"/>
      <c r="FI128" s="974"/>
      <c r="FJ128" s="974"/>
      <c r="FK128" s="974"/>
      <c r="FL128" s="974"/>
      <c r="FM128" s="974"/>
      <c r="FN128" s="974"/>
      <c r="FO128" s="974"/>
      <c r="FP128" s="974"/>
      <c r="FQ128" s="974"/>
      <c r="FR128" s="974"/>
      <c r="FS128" s="974"/>
      <c r="FT128" s="974"/>
      <c r="FU128" s="974"/>
      <c r="FV128" s="974"/>
      <c r="FW128" s="974"/>
      <c r="FX128" s="974"/>
      <c r="FY128" s="974"/>
      <c r="FZ128" s="974"/>
      <c r="GA128" s="974"/>
      <c r="GB128" s="974"/>
      <c r="GC128" s="974"/>
      <c r="GD128" s="974"/>
      <c r="GE128" s="974"/>
      <c r="GF128" s="974"/>
      <c r="GG128" s="974"/>
      <c r="GH128" s="974"/>
      <c r="GI128" s="974"/>
      <c r="GJ128" s="974"/>
      <c r="GK128" s="974"/>
      <c r="GL128" s="974"/>
      <c r="GM128" s="974"/>
      <c r="GN128" s="974"/>
      <c r="GO128" s="974"/>
      <c r="GP128" s="974"/>
      <c r="GQ128" s="974"/>
      <c r="GR128" s="974"/>
      <c r="GS128" s="974"/>
      <c r="GT128" s="974"/>
      <c r="GU128" s="974"/>
      <c r="GV128" s="974"/>
      <c r="GW128" s="974"/>
      <c r="GX128" s="974"/>
      <c r="GY128" s="974"/>
      <c r="GZ128" s="974"/>
      <c r="HA128" s="974"/>
      <c r="HB128" s="974"/>
      <c r="HC128" s="974"/>
      <c r="HD128" s="974"/>
      <c r="HE128" s="974"/>
      <c r="HF128" s="974"/>
      <c r="HG128" s="974"/>
      <c r="HH128" s="974"/>
      <c r="HI128" s="974"/>
      <c r="HJ128" s="974"/>
      <c r="HK128" s="974"/>
      <c r="HL128" s="974"/>
      <c r="HM128" s="974"/>
      <c r="HN128" s="974"/>
      <c r="HO128" s="974"/>
      <c r="HP128" s="974"/>
      <c r="HQ128" s="974"/>
      <c r="HR128" s="974"/>
      <c r="HS128" s="974"/>
      <c r="HT128" s="974"/>
      <c r="HU128" s="974"/>
      <c r="HV128" s="974"/>
      <c r="HW128" s="974"/>
      <c r="HX128" s="974"/>
      <c r="HY128" s="974"/>
      <c r="HZ128" s="974"/>
      <c r="IA128" s="974"/>
      <c r="IB128" s="974"/>
      <c r="IC128" s="974"/>
      <c r="ID128" s="974"/>
      <c r="IE128" s="974"/>
      <c r="IF128" s="974"/>
      <c r="IG128" s="974"/>
      <c r="IH128" s="974"/>
      <c r="II128" s="974"/>
      <c r="IJ128" s="974"/>
      <c r="IK128" s="974"/>
      <c r="IL128" s="974"/>
      <c r="IM128" s="974"/>
      <c r="IN128" s="974"/>
      <c r="IO128" s="974"/>
      <c r="IP128" s="974"/>
      <c r="IQ128" s="974"/>
      <c r="IR128" s="974"/>
      <c r="IS128" s="974"/>
      <c r="IT128" s="974"/>
      <c r="IU128" s="974"/>
      <c r="IV128" s="974"/>
    </row>
    <row r="129" spans="1:256" s="865" customFormat="1" ht="22.5">
      <c r="A129" s="962" t="s">
        <v>14615</v>
      </c>
      <c r="B129" s="855" t="s">
        <v>70</v>
      </c>
      <c r="C129" s="909">
        <v>95241</v>
      </c>
      <c r="D129" s="836" t="str">
        <f>PROPER(IF(B129="Saneago",VLOOKUP(C129,'SANEAGO-FEV.2016'!A:B,2,0),IF(B129="Sinapi",VLOOKUP(C129,'SINAPI-FEV.2017'!A:D,2,0),IF(B129="Cotação",VLOOKUP(C129,COTAÇÃO!A:D,2,0),IF(B129="Composição",VLOOKUP(C129,COMPOSIÇÃO!A:D,2,0))))))</f>
        <v>Lastro De Concreto, E = 5 Cm, Preparo Mecânico, Inclusos Lançamento E Adensamento. Af_07_2016</v>
      </c>
      <c r="E129" s="837"/>
      <c r="F129" s="837"/>
      <c r="G129" s="987"/>
      <c r="H129" s="987"/>
      <c r="I129" s="987"/>
      <c r="J129" s="987"/>
      <c r="K129" s="988" t="s">
        <v>27</v>
      </c>
      <c r="L129" s="988" t="s">
        <v>19797</v>
      </c>
      <c r="M129" s="1150">
        <f>SUM(M126:M127)</f>
        <v>17.25</v>
      </c>
      <c r="N129" s="972"/>
      <c r="O129" s="973"/>
      <c r="P129" s="1455"/>
      <c r="Q129" s="975"/>
      <c r="R129" s="974"/>
      <c r="S129" s="974"/>
      <c r="T129" s="974"/>
      <c r="U129" s="974"/>
      <c r="V129" s="974"/>
      <c r="W129" s="974"/>
      <c r="X129" s="974"/>
      <c r="Y129" s="974"/>
      <c r="Z129" s="974"/>
      <c r="AA129" s="974"/>
      <c r="AB129" s="974"/>
      <c r="AC129" s="974"/>
      <c r="AD129" s="974"/>
      <c r="AE129" s="974"/>
      <c r="AF129" s="974"/>
      <c r="AG129" s="974"/>
      <c r="AH129" s="974"/>
      <c r="AI129" s="974"/>
      <c r="AJ129" s="974"/>
      <c r="AK129" s="974"/>
      <c r="AL129" s="974"/>
      <c r="AM129" s="974"/>
      <c r="AN129" s="974"/>
      <c r="AO129" s="974"/>
      <c r="AP129" s="974"/>
      <c r="AQ129" s="974"/>
      <c r="AR129" s="974"/>
      <c r="AS129" s="974"/>
      <c r="AT129" s="974"/>
      <c r="AU129" s="974"/>
      <c r="AV129" s="974"/>
      <c r="AW129" s="974"/>
      <c r="AX129" s="974"/>
      <c r="AY129" s="974"/>
      <c r="AZ129" s="974"/>
      <c r="BA129" s="974"/>
      <c r="BB129" s="974"/>
      <c r="BC129" s="974"/>
      <c r="BD129" s="974"/>
      <c r="BE129" s="974"/>
      <c r="BF129" s="974"/>
      <c r="BG129" s="974"/>
      <c r="BH129" s="974"/>
      <c r="BI129" s="974"/>
      <c r="BJ129" s="974"/>
      <c r="BK129" s="974"/>
      <c r="BL129" s="974"/>
      <c r="BM129" s="974"/>
      <c r="BN129" s="974"/>
      <c r="BO129" s="974"/>
      <c r="BP129" s="974"/>
      <c r="BQ129" s="974"/>
      <c r="BR129" s="974"/>
      <c r="BS129" s="974"/>
      <c r="BT129" s="974"/>
      <c r="BU129" s="974"/>
      <c r="BV129" s="974"/>
      <c r="BW129" s="974"/>
      <c r="BX129" s="974"/>
      <c r="BY129" s="974"/>
      <c r="BZ129" s="974"/>
      <c r="CA129" s="974"/>
      <c r="CB129" s="974"/>
      <c r="CC129" s="974"/>
      <c r="CD129" s="974"/>
      <c r="CE129" s="974"/>
      <c r="CF129" s="974"/>
      <c r="CG129" s="974"/>
      <c r="CH129" s="974"/>
      <c r="CI129" s="974"/>
      <c r="CJ129" s="974"/>
      <c r="CK129" s="974"/>
      <c r="CL129" s="974"/>
      <c r="CM129" s="974"/>
      <c r="CN129" s="974"/>
      <c r="CO129" s="974"/>
      <c r="CP129" s="974"/>
      <c r="CQ129" s="974"/>
      <c r="CR129" s="974"/>
      <c r="CS129" s="974"/>
      <c r="CT129" s="974"/>
      <c r="CU129" s="974"/>
      <c r="CV129" s="974"/>
      <c r="CW129" s="974"/>
      <c r="CX129" s="974"/>
      <c r="CY129" s="974"/>
      <c r="CZ129" s="974"/>
      <c r="DA129" s="974"/>
      <c r="DB129" s="974"/>
      <c r="DC129" s="974"/>
      <c r="DD129" s="974"/>
      <c r="DE129" s="974"/>
      <c r="DF129" s="974"/>
      <c r="DG129" s="974"/>
      <c r="DH129" s="974"/>
      <c r="DI129" s="974"/>
      <c r="DJ129" s="974"/>
      <c r="DK129" s="974"/>
      <c r="DL129" s="974"/>
      <c r="DM129" s="974"/>
      <c r="DN129" s="974"/>
      <c r="DO129" s="974"/>
      <c r="DP129" s="974"/>
      <c r="DQ129" s="974"/>
      <c r="DR129" s="974"/>
      <c r="DS129" s="974"/>
      <c r="DT129" s="974"/>
      <c r="DU129" s="974"/>
      <c r="DV129" s="974"/>
      <c r="DW129" s="974"/>
      <c r="DX129" s="974"/>
      <c r="DY129" s="974"/>
      <c r="DZ129" s="974"/>
      <c r="EA129" s="974"/>
      <c r="EB129" s="974"/>
      <c r="EC129" s="974"/>
      <c r="ED129" s="974"/>
      <c r="EE129" s="974"/>
      <c r="EF129" s="974"/>
      <c r="EG129" s="974"/>
      <c r="EH129" s="974"/>
      <c r="EI129" s="974"/>
      <c r="EJ129" s="974"/>
      <c r="EK129" s="974"/>
      <c r="EL129" s="974"/>
      <c r="EM129" s="974"/>
      <c r="EN129" s="974"/>
      <c r="EO129" s="974"/>
      <c r="EP129" s="974"/>
      <c r="EQ129" s="974"/>
      <c r="ER129" s="974"/>
      <c r="ES129" s="974"/>
      <c r="ET129" s="974"/>
      <c r="EU129" s="974"/>
      <c r="EV129" s="974"/>
      <c r="EW129" s="974"/>
      <c r="EX129" s="974"/>
      <c r="EY129" s="974"/>
      <c r="EZ129" s="974"/>
      <c r="FA129" s="974"/>
      <c r="FB129" s="974"/>
      <c r="FC129" s="974"/>
      <c r="FD129" s="974"/>
      <c r="FE129" s="974"/>
      <c r="FF129" s="974"/>
      <c r="FG129" s="974"/>
      <c r="FH129" s="974"/>
      <c r="FI129" s="974"/>
      <c r="FJ129" s="974"/>
      <c r="FK129" s="974"/>
      <c r="FL129" s="974"/>
      <c r="FM129" s="974"/>
      <c r="FN129" s="974"/>
      <c r="FO129" s="974"/>
      <c r="FP129" s="974"/>
      <c r="FQ129" s="974"/>
      <c r="FR129" s="974"/>
      <c r="FS129" s="974"/>
      <c r="FT129" s="974"/>
      <c r="FU129" s="974"/>
      <c r="FV129" s="974"/>
      <c r="FW129" s="974"/>
      <c r="FX129" s="974"/>
      <c r="FY129" s="974"/>
      <c r="FZ129" s="974"/>
      <c r="GA129" s="974"/>
      <c r="GB129" s="974"/>
      <c r="GC129" s="974"/>
      <c r="GD129" s="974"/>
      <c r="GE129" s="974"/>
      <c r="GF129" s="974"/>
      <c r="GG129" s="974"/>
      <c r="GH129" s="974"/>
      <c r="GI129" s="974"/>
      <c r="GJ129" s="974"/>
      <c r="GK129" s="974"/>
      <c r="GL129" s="974"/>
      <c r="GM129" s="974"/>
      <c r="GN129" s="974"/>
      <c r="GO129" s="974"/>
      <c r="GP129" s="974"/>
      <c r="GQ129" s="974"/>
      <c r="GR129" s="974"/>
      <c r="GS129" s="974"/>
      <c r="GT129" s="974"/>
      <c r="GU129" s="974"/>
      <c r="GV129" s="974"/>
      <c r="GW129" s="974"/>
      <c r="GX129" s="974"/>
      <c r="GY129" s="974"/>
      <c r="GZ129" s="974"/>
      <c r="HA129" s="974"/>
      <c r="HB129" s="974"/>
      <c r="HC129" s="974"/>
      <c r="HD129" s="974"/>
      <c r="HE129" s="974"/>
      <c r="HF129" s="974"/>
      <c r="HG129" s="974"/>
      <c r="HH129" s="974"/>
      <c r="HI129" s="974"/>
      <c r="HJ129" s="974"/>
      <c r="HK129" s="974"/>
      <c r="HL129" s="974"/>
      <c r="HM129" s="974"/>
      <c r="HN129" s="974"/>
      <c r="HO129" s="974"/>
      <c r="HP129" s="974"/>
      <c r="HQ129" s="974"/>
      <c r="HR129" s="974"/>
      <c r="HS129" s="974"/>
      <c r="HT129" s="974"/>
      <c r="HU129" s="974"/>
      <c r="HV129" s="974"/>
      <c r="HW129" s="974"/>
      <c r="HX129" s="974"/>
      <c r="HY129" s="974"/>
      <c r="HZ129" s="974"/>
      <c r="IA129" s="974"/>
      <c r="IB129" s="974"/>
      <c r="IC129" s="974"/>
      <c r="ID129" s="974"/>
      <c r="IE129" s="974"/>
      <c r="IF129" s="974"/>
      <c r="IG129" s="974"/>
      <c r="IH129" s="974"/>
      <c r="II129" s="974"/>
      <c r="IJ129" s="974"/>
      <c r="IK129" s="974"/>
      <c r="IL129" s="974"/>
      <c r="IM129" s="974"/>
      <c r="IN129" s="974"/>
      <c r="IO129" s="974"/>
      <c r="IP129" s="974"/>
      <c r="IQ129" s="974"/>
      <c r="IR129" s="974"/>
      <c r="IS129" s="974"/>
      <c r="IT129" s="974"/>
      <c r="IU129" s="974"/>
      <c r="IV129" s="974"/>
    </row>
    <row r="130" spans="1:256" s="863" customFormat="1" ht="11.25" customHeight="1">
      <c r="A130" s="912"/>
      <c r="B130" s="855"/>
      <c r="C130" s="855"/>
      <c r="D130" s="826"/>
      <c r="E130" s="790"/>
      <c r="F130" s="790"/>
      <c r="G130" s="700"/>
      <c r="H130" s="700"/>
      <c r="I130" s="700"/>
      <c r="J130" s="700"/>
      <c r="K130" s="700"/>
      <c r="L130" s="700"/>
      <c r="M130" s="1356"/>
      <c r="N130" s="700"/>
      <c r="O130" s="908"/>
      <c r="P130" s="1443"/>
    </row>
    <row r="131" spans="1:256" s="824" customFormat="1" ht="10.5" customHeight="1" thickBot="1">
      <c r="A131" s="1357"/>
      <c r="B131" s="809"/>
      <c r="C131" s="809"/>
      <c r="D131" s="826"/>
      <c r="E131" s="790"/>
      <c r="F131" s="790"/>
      <c r="G131" s="700"/>
      <c r="H131" s="700"/>
      <c r="I131" s="700"/>
      <c r="J131" s="907"/>
      <c r="K131" s="700"/>
      <c r="L131" s="700"/>
      <c r="M131" s="1356"/>
      <c r="N131" s="700"/>
      <c r="O131" s="908"/>
      <c r="P131" s="1443"/>
      <c r="Q131" s="863"/>
      <c r="R131" s="863"/>
    </row>
    <row r="132" spans="1:256" s="824" customFormat="1" ht="14.25" thickTop="1" thickBot="1">
      <c r="A132" s="1357"/>
      <c r="B132" s="809"/>
      <c r="C132" s="809"/>
      <c r="D132" s="830" t="s">
        <v>47</v>
      </c>
      <c r="E132" s="831"/>
      <c r="F132" s="831"/>
      <c r="G132" s="831"/>
      <c r="H132" s="831"/>
      <c r="I132" s="831"/>
      <c r="J132" s="831"/>
      <c r="K132" s="831"/>
      <c r="L132" s="832" t="s">
        <v>25</v>
      </c>
      <c r="M132" s="833" t="s">
        <v>27</v>
      </c>
      <c r="N132" s="700"/>
      <c r="O132" s="908"/>
      <c r="P132" s="1443"/>
      <c r="Q132" s="863"/>
      <c r="R132" s="863"/>
    </row>
    <row r="133" spans="1:256" s="824" customFormat="1" ht="18" customHeight="1" thickTop="1">
      <c r="A133" s="1357"/>
      <c r="B133" s="809"/>
      <c r="C133" s="809"/>
      <c r="D133" s="826"/>
      <c r="E133" s="790"/>
      <c r="F133" s="790"/>
      <c r="G133" s="828" t="s">
        <v>30</v>
      </c>
      <c r="H133" s="828" t="s">
        <v>30</v>
      </c>
      <c r="I133" s="828" t="s">
        <v>30</v>
      </c>
      <c r="J133" s="828" t="s">
        <v>58</v>
      </c>
      <c r="K133" s="828" t="s">
        <v>39</v>
      </c>
      <c r="L133" s="828"/>
      <c r="M133" s="1322"/>
      <c r="N133" s="700"/>
      <c r="O133" s="908"/>
      <c r="P133" s="1443"/>
      <c r="Q133" s="863"/>
      <c r="R133" s="863"/>
    </row>
    <row r="134" spans="1:256" s="824" customFormat="1" ht="21.75" customHeight="1">
      <c r="A134" s="912" t="s">
        <v>14616</v>
      </c>
      <c r="B134" s="855" t="s">
        <v>70</v>
      </c>
      <c r="C134" s="909" t="s">
        <v>18276</v>
      </c>
      <c r="D134" s="836" t="str">
        <f>PROPER(IF(B134="Saneago",VLOOKUP(C134,'SANEAGO-FEV.2016'!A:B,2,0),IF(B134="Sinapi",VLOOKUP(C134,'SINAPI-FEV.2017'!A:D,2,0),IF(B134="Cotação",VLOOKUP(C134,COTAÇÃO!A:D,2,0),IF(B134="Composição",VLOOKUP(C134,COMPOSIÇÃO!A:D,2,0))))))</f>
        <v>Carga E Descarga Mecanica De Solo Utilizando Caminhao Basculante 6,0M3/16T E Pa Carregadeira Sobre Pneus 128 Hp, Capacidade Da Caçamba 1,7 A 2,8 M3, Peso Operacional 11632 Kg</v>
      </c>
      <c r="E134" s="837"/>
      <c r="F134" s="837"/>
      <c r="G134" s="838"/>
      <c r="H134" s="838"/>
      <c r="I134" s="838"/>
      <c r="J134" s="838">
        <f>J101</f>
        <v>376.71</v>
      </c>
      <c r="K134" s="838">
        <f>J103</f>
        <v>324.95999999999998</v>
      </c>
      <c r="L134" s="838" t="s">
        <v>22</v>
      </c>
      <c r="M134" s="1352">
        <f>(J134-K134)</f>
        <v>51.75</v>
      </c>
      <c r="N134" s="700"/>
      <c r="O134" s="908"/>
      <c r="P134" s="1443"/>
      <c r="Q134" s="863"/>
      <c r="R134" s="863"/>
    </row>
    <row r="135" spans="1:256" s="824" customFormat="1">
      <c r="A135" s="1357"/>
      <c r="B135" s="855"/>
      <c r="C135" s="909"/>
      <c r="D135" s="826"/>
      <c r="E135" s="790"/>
      <c r="F135" s="790"/>
      <c r="G135" s="828" t="s">
        <v>30</v>
      </c>
      <c r="H135" s="828" t="s">
        <v>30</v>
      </c>
      <c r="I135" s="828" t="s">
        <v>30</v>
      </c>
      <c r="J135" s="828" t="s">
        <v>40</v>
      </c>
      <c r="K135" s="828" t="s">
        <v>48</v>
      </c>
      <c r="L135" s="828"/>
      <c r="M135" s="1322"/>
      <c r="N135" s="700"/>
      <c r="O135" s="908"/>
      <c r="P135" s="1443"/>
      <c r="Q135" s="863"/>
      <c r="R135" s="863"/>
    </row>
    <row r="136" spans="1:256" s="824" customFormat="1" ht="22.5" customHeight="1">
      <c r="A136" s="912" t="s">
        <v>14617</v>
      </c>
      <c r="B136" s="855" t="s">
        <v>70</v>
      </c>
      <c r="C136" s="909">
        <v>93590</v>
      </c>
      <c r="D136" s="836" t="str">
        <f>PROPER(IF(B136="Saneago",VLOOKUP(C136,'SANEAGO-FEV.2016'!A:B,2,0),IF(B136="Sinapi",VLOOKUP(C136,'SINAPI-FEV.2017'!A:D,2,0),IF(B136="Cotação",VLOOKUP(C136,COTAÇÃO!A:D,2,0),IF(B136="Composição",VLOOKUP(C136,COMPOSIÇÃO!A:D,2,0))))))</f>
        <v>Transporte Com Caminhão Basculante De 10 M3, Em Via Urbana Pavimentada, Dmt Acima De 30Km (Unidade: M3Xkm). Af_04/2016</v>
      </c>
      <c r="E136" s="837"/>
      <c r="F136" s="837"/>
      <c r="G136" s="838"/>
      <c r="H136" s="838"/>
      <c r="I136" s="838"/>
      <c r="J136" s="838">
        <f>M134</f>
        <v>51.75</v>
      </c>
      <c r="K136" s="838">
        <f>M13</f>
        <v>8</v>
      </c>
      <c r="L136" s="838" t="s">
        <v>23</v>
      </c>
      <c r="M136" s="1352">
        <f>J136*K136</f>
        <v>414</v>
      </c>
      <c r="N136" s="700"/>
      <c r="O136" s="908"/>
      <c r="P136" s="1443"/>
      <c r="Q136" s="863"/>
      <c r="R136" s="863"/>
    </row>
    <row r="137" spans="1:256" s="824" customFormat="1">
      <c r="A137" s="1357"/>
      <c r="B137" s="855"/>
      <c r="C137" s="909"/>
      <c r="D137" s="826"/>
      <c r="E137" s="790"/>
      <c r="F137" s="790"/>
      <c r="G137" s="828" t="s">
        <v>30</v>
      </c>
      <c r="H137" s="828" t="s">
        <v>30</v>
      </c>
      <c r="I137" s="828" t="s">
        <v>30</v>
      </c>
      <c r="J137" s="828" t="s">
        <v>38</v>
      </c>
      <c r="K137" s="828" t="s">
        <v>39</v>
      </c>
      <c r="L137" s="828"/>
      <c r="M137" s="1322"/>
      <c r="N137" s="700"/>
      <c r="O137" s="908"/>
      <c r="P137" s="1443"/>
      <c r="Q137" s="863"/>
      <c r="R137" s="863"/>
    </row>
    <row r="138" spans="1:256" s="824" customFormat="1" ht="12.75" customHeight="1">
      <c r="A138" s="912" t="s">
        <v>14618</v>
      </c>
      <c r="B138" s="855" t="s">
        <v>70</v>
      </c>
      <c r="C138" s="909">
        <v>83344</v>
      </c>
      <c r="D138" s="836" t="str">
        <f>PROPER(IF(B138="Saneago",VLOOKUP(C138,'SANEAGO-FEV.2016'!A:B,2,0),IF(B138="Sinapi",VLOOKUP(C138,'SINAPI-FEV.2017'!A:D,2,0),IF(B138="Cotação",VLOOKUP(C138,COTAÇÃO!A:D,2,0),IF(B138="Composição",VLOOKUP(C138,COMPOSIÇÃO!A:D,2,0))))))</f>
        <v>Espalhamento De Material Em Bota Fora, Com Utilizacao De Trator De Esteiras De 165 Hp</v>
      </c>
      <c r="E138" s="837"/>
      <c r="F138" s="837"/>
      <c r="G138" s="838"/>
      <c r="H138" s="838"/>
      <c r="I138" s="838"/>
      <c r="J138" s="838">
        <f>J134</f>
        <v>376.71</v>
      </c>
      <c r="K138" s="838">
        <f>K134</f>
        <v>324.95999999999998</v>
      </c>
      <c r="L138" s="838" t="s">
        <v>22</v>
      </c>
      <c r="M138" s="1352">
        <f>(J138-K138)</f>
        <v>51.75</v>
      </c>
      <c r="N138" s="700"/>
      <c r="O138" s="908"/>
      <c r="P138" s="1443"/>
      <c r="Q138" s="863"/>
      <c r="R138" s="863"/>
    </row>
    <row r="139" spans="1:256" s="824" customFormat="1" ht="11.25" customHeight="1" thickBot="1">
      <c r="A139" s="1357"/>
      <c r="B139" s="809"/>
      <c r="C139" s="809"/>
      <c r="D139" s="826"/>
      <c r="E139" s="790"/>
      <c r="F139" s="790"/>
      <c r="G139" s="700"/>
      <c r="H139" s="700"/>
      <c r="I139" s="700"/>
      <c r="J139" s="907"/>
      <c r="K139" s="700"/>
      <c r="L139" s="700"/>
      <c r="M139" s="1356"/>
      <c r="N139" s="700"/>
      <c r="O139" s="908"/>
      <c r="P139" s="1443"/>
      <c r="Q139" s="863"/>
      <c r="R139" s="863"/>
    </row>
    <row r="140" spans="1:256" s="863" customFormat="1" ht="14.25" thickTop="1" thickBot="1">
      <c r="A140" s="912"/>
      <c r="B140" s="855"/>
      <c r="C140" s="855"/>
      <c r="D140" s="830" t="s">
        <v>1225</v>
      </c>
      <c r="E140" s="831"/>
      <c r="F140" s="831"/>
      <c r="G140" s="831"/>
      <c r="H140" s="831"/>
      <c r="I140" s="831"/>
      <c r="J140" s="831"/>
      <c r="K140" s="831"/>
      <c r="L140" s="832" t="s">
        <v>25</v>
      </c>
      <c r="M140" s="833" t="s">
        <v>27</v>
      </c>
      <c r="N140" s="700"/>
      <c r="O140" s="908"/>
      <c r="P140" s="1443"/>
    </row>
    <row r="141" spans="1:256" s="863" customFormat="1" ht="23.25" thickTop="1">
      <c r="A141" s="912"/>
      <c r="B141" s="855"/>
      <c r="C141" s="855"/>
      <c r="D141" s="826"/>
      <c r="E141" s="700"/>
      <c r="F141" s="816" t="s">
        <v>1275</v>
      </c>
      <c r="G141" s="816" t="s">
        <v>11936</v>
      </c>
      <c r="H141" s="816" t="s">
        <v>19</v>
      </c>
      <c r="I141" s="816" t="s">
        <v>32</v>
      </c>
      <c r="J141" s="816" t="s">
        <v>14135</v>
      </c>
      <c r="K141" s="816" t="s">
        <v>14136</v>
      </c>
      <c r="L141" s="816"/>
      <c r="M141" s="879"/>
      <c r="N141" s="700"/>
      <c r="O141" s="908"/>
      <c r="P141" s="1443"/>
    </row>
    <row r="142" spans="1:256" s="863" customFormat="1" ht="12.75" customHeight="1">
      <c r="A142" s="912"/>
      <c r="B142" s="855"/>
      <c r="C142" s="855"/>
      <c r="D142" s="888" t="str">
        <f>D115</f>
        <v>Caixas de Inspeção - Travessia sob BR-050 (Coletor Castelo Branco)</v>
      </c>
      <c r="E142" s="854" t="s">
        <v>14269</v>
      </c>
      <c r="F142" s="907">
        <f t="shared" ref="F142:H143" si="5">H126</f>
        <v>3</v>
      </c>
      <c r="G142" s="828">
        <f t="shared" si="5"/>
        <v>2.2999999999999998</v>
      </c>
      <c r="H142" s="828">
        <f t="shared" si="5"/>
        <v>1.5</v>
      </c>
      <c r="I142" s="828">
        <f>3.55-0.15</f>
        <v>3.4</v>
      </c>
      <c r="J142" s="828">
        <v>0.55000000000000004</v>
      </c>
      <c r="K142" s="828">
        <v>0.15</v>
      </c>
      <c r="L142" s="700" t="s">
        <v>21</v>
      </c>
      <c r="M142" s="1279">
        <f>F142*(((G142*2+H142*2)*I142)+(((G142-0.15*2)*2+(H142-0.15*2)*2)*I142)+((J142*2+J142*2)*K142)+(((J142-0.15*2)*2+(J142-0.15*2)*2)*K142))</f>
        <v>144.23999999999998</v>
      </c>
      <c r="N142" s="700"/>
      <c r="O142" s="908"/>
      <c r="P142" s="1443"/>
    </row>
    <row r="143" spans="1:256" s="863" customFormat="1" ht="12.75" customHeight="1">
      <c r="A143" s="912"/>
      <c r="B143" s="855"/>
      <c r="C143" s="855"/>
      <c r="D143" s="888" t="str">
        <f>D116</f>
        <v>Caixas de Inspeção - Travessia sob a Ferrovia  (Coletor Castelo Branco)</v>
      </c>
      <c r="E143" s="854" t="s">
        <v>14269</v>
      </c>
      <c r="F143" s="907">
        <f t="shared" si="5"/>
        <v>2</v>
      </c>
      <c r="G143" s="828">
        <f t="shared" si="5"/>
        <v>2.2999999999999998</v>
      </c>
      <c r="H143" s="828">
        <f t="shared" si="5"/>
        <v>1.5</v>
      </c>
      <c r="I143" s="828">
        <f>2.9-0.15</f>
        <v>2.75</v>
      </c>
      <c r="J143" s="828">
        <v>0.55000000000000004</v>
      </c>
      <c r="K143" s="828">
        <v>0.15</v>
      </c>
      <c r="L143" s="700" t="s">
        <v>21</v>
      </c>
      <c r="M143" s="1279">
        <f>F143*(((G143*2+H143*2)*I143)+(((G143-0.15*2)*2+(H143-0.15*2)*2)*I143)+((J143*2+J143*2)*K143)+(((J143-0.15*2)*2+(J143-0.15*2)*2)*K143))</f>
        <v>77.959999999999994</v>
      </c>
      <c r="N143" s="700"/>
      <c r="O143" s="908"/>
      <c r="P143" s="1443"/>
    </row>
    <row r="144" spans="1:256" s="863" customFormat="1" ht="12.75" customHeight="1">
      <c r="A144" s="912"/>
      <c r="B144" s="855"/>
      <c r="C144" s="855"/>
      <c r="D144" s="888"/>
      <c r="E144" s="854"/>
      <c r="F144" s="907"/>
      <c r="G144" s="828"/>
      <c r="H144" s="828"/>
      <c r="I144" s="828"/>
      <c r="J144" s="828"/>
      <c r="K144" s="901" t="s">
        <v>27</v>
      </c>
      <c r="L144" s="816" t="s">
        <v>21</v>
      </c>
      <c r="M144" s="928">
        <f>SUM(M142:M143)</f>
        <v>222.2</v>
      </c>
      <c r="N144" s="700"/>
      <c r="O144" s="908"/>
      <c r="P144" s="1443"/>
    </row>
    <row r="145" spans="1:16" s="863" customFormat="1" ht="12.75" customHeight="1">
      <c r="A145" s="912"/>
      <c r="B145" s="855"/>
      <c r="C145" s="855"/>
      <c r="D145" s="888" t="str">
        <f>D142</f>
        <v>Caixas de Inspeção - Travessia sob BR-050 (Coletor Castelo Branco)</v>
      </c>
      <c r="E145" s="854" t="s">
        <v>14270</v>
      </c>
      <c r="F145" s="907">
        <f t="shared" ref="F145:H146" si="6">F142</f>
        <v>3</v>
      </c>
      <c r="G145" s="828">
        <f t="shared" si="6"/>
        <v>2.2999999999999998</v>
      </c>
      <c r="H145" s="828">
        <f t="shared" si="6"/>
        <v>1.5</v>
      </c>
      <c r="I145" s="828">
        <v>0.15</v>
      </c>
      <c r="J145" s="828">
        <v>0.8</v>
      </c>
      <c r="K145" s="828">
        <v>0.15</v>
      </c>
      <c r="L145" s="700" t="s">
        <v>21</v>
      </c>
      <c r="M145" s="1279">
        <f>F145*((G145*H145)+(G145*2+H145*2)*I145-((3.14*J145)*K145))</f>
        <v>12.639599999999998</v>
      </c>
      <c r="N145" s="700"/>
      <c r="O145" s="908"/>
      <c r="P145" s="1443"/>
    </row>
    <row r="146" spans="1:16" s="863" customFormat="1" ht="12.75" customHeight="1">
      <c r="A146" s="912"/>
      <c r="B146" s="855"/>
      <c r="C146" s="855"/>
      <c r="D146" s="888" t="str">
        <f>D143</f>
        <v>Caixas de Inspeção - Travessia sob a Ferrovia  (Coletor Castelo Branco)</v>
      </c>
      <c r="E146" s="854" t="s">
        <v>14270</v>
      </c>
      <c r="F146" s="907">
        <f t="shared" si="6"/>
        <v>2</v>
      </c>
      <c r="G146" s="828">
        <f t="shared" si="6"/>
        <v>2.2999999999999998</v>
      </c>
      <c r="H146" s="828">
        <f t="shared" si="6"/>
        <v>1.5</v>
      </c>
      <c r="I146" s="828">
        <v>0.15</v>
      </c>
      <c r="J146" s="828">
        <v>0.8</v>
      </c>
      <c r="K146" s="828">
        <v>0.15</v>
      </c>
      <c r="L146" s="700" t="s">
        <v>21</v>
      </c>
      <c r="M146" s="1279">
        <f>F146*((G146*H146)+(G146*2+H146*2)*I146-((3.14*J146)*K146))</f>
        <v>8.4263999999999992</v>
      </c>
      <c r="N146" s="700"/>
      <c r="O146" s="908"/>
      <c r="P146" s="1443"/>
    </row>
    <row r="147" spans="1:16" s="863" customFormat="1">
      <c r="A147" s="912"/>
      <c r="B147" s="855"/>
      <c r="C147" s="855"/>
      <c r="D147" s="888"/>
      <c r="E147" s="824"/>
      <c r="F147" s="907"/>
      <c r="G147" s="828"/>
      <c r="H147" s="828"/>
      <c r="I147" s="828"/>
      <c r="J147" s="828"/>
      <c r="K147" s="901" t="s">
        <v>27</v>
      </c>
      <c r="L147" s="816" t="s">
        <v>21</v>
      </c>
      <c r="M147" s="928">
        <f>SUM(M145:M146)</f>
        <v>21.065999999999995</v>
      </c>
      <c r="N147" s="700"/>
      <c r="O147" s="908"/>
      <c r="P147" s="1443"/>
    </row>
    <row r="148" spans="1:16" s="863" customFormat="1">
      <c r="A148" s="912"/>
      <c r="B148" s="855"/>
      <c r="C148" s="855"/>
      <c r="D148" s="888"/>
      <c r="E148" s="824"/>
      <c r="F148" s="907"/>
      <c r="G148" s="828"/>
      <c r="H148" s="828"/>
      <c r="I148" s="828"/>
      <c r="J148" s="828"/>
      <c r="K148" s="828"/>
      <c r="L148" s="700"/>
      <c r="M148" s="1279"/>
      <c r="N148" s="700"/>
      <c r="O148" s="908"/>
      <c r="P148" s="1443"/>
    </row>
    <row r="149" spans="1:16" s="863" customFormat="1" ht="38.25" customHeight="1">
      <c r="A149" s="912" t="s">
        <v>20347</v>
      </c>
      <c r="B149" s="855" t="s">
        <v>70</v>
      </c>
      <c r="C149" s="855">
        <v>92415</v>
      </c>
      <c r="D149" s="836" t="str">
        <f>PROPER(IF(B149="Saneago",VLOOKUP(C149,'SANEAGO-FEV.2016'!A:B,2,0),IF(B149="Sinapi",VLOOKUP(C149,'SINAPI-FEV.2017'!A:D,2,0),IF(B149="Cotação",VLOOKUP(C149,COTAÇÃO!A:D,2,0),IF(B149="Composição",VLOOKUP(C149,COMPOSIÇÃO!A:D,2,0))))))</f>
        <v>Montagem E Desmontagem De Fôrma De Pilares Retangulares E Estruturas Similares Com Área Média Das Seções Maior Que 0,25 M², Pé-Direito Simples, Em Chapa De Madeira Compensada Resinada, 2 Utilizações. Af_12/2015</v>
      </c>
      <c r="E149" s="837"/>
      <c r="F149" s="837"/>
      <c r="G149" s="838"/>
      <c r="H149" s="838"/>
      <c r="I149" s="910"/>
      <c r="J149" s="910"/>
      <c r="K149" s="1008" t="s">
        <v>27</v>
      </c>
      <c r="L149" s="856" t="s">
        <v>21</v>
      </c>
      <c r="M149" s="1150">
        <f>M144</f>
        <v>222.2</v>
      </c>
      <c r="N149" s="700"/>
      <c r="O149" s="908"/>
      <c r="P149" s="1443"/>
    </row>
    <row r="150" spans="1:16" s="863" customFormat="1">
      <c r="A150" s="912"/>
      <c r="B150" s="855"/>
      <c r="C150" s="855"/>
      <c r="D150" s="826"/>
      <c r="E150" s="816" t="s">
        <v>30</v>
      </c>
      <c r="F150" s="816" t="s">
        <v>30</v>
      </c>
      <c r="G150" s="816" t="s">
        <v>30</v>
      </c>
      <c r="H150" s="816" t="s">
        <v>30</v>
      </c>
      <c r="I150" s="816" t="s">
        <v>30</v>
      </c>
      <c r="J150" s="816" t="s">
        <v>30</v>
      </c>
      <c r="K150" s="816" t="s">
        <v>30</v>
      </c>
      <c r="L150" s="816" t="s">
        <v>30</v>
      </c>
      <c r="M150" s="816" t="s">
        <v>30</v>
      </c>
      <c r="N150" s="700"/>
      <c r="O150" s="908"/>
      <c r="P150" s="1443"/>
    </row>
    <row r="151" spans="1:16" s="863" customFormat="1" ht="33.75">
      <c r="A151" s="912" t="s">
        <v>20348</v>
      </c>
      <c r="B151" s="855" t="s">
        <v>70</v>
      </c>
      <c r="C151" s="855">
        <v>92510</v>
      </c>
      <c r="D151" s="836" t="str">
        <f>PROPER(IF(B151="Saneago",VLOOKUP(C151,'SANEAGO-FEV.2016'!A:B,2,0),IF(B151="Sinapi",VLOOKUP(C151,'SINAPI-FEV.2017'!A:D,2,0),IF(B151="Cotação",VLOOKUP(C151,COTAÇÃO!A:D,2,0),IF(B151="Composição",VLOOKUP(C151,COMPOSIÇÃO!A:D,2,0))))))</f>
        <v>Montagem E Desmontagem De Fôrma De Laje Maciça Com Área Média Maior Que 20 M², Pé-Direito Simples, Em Chapa De Madeira Compensada Resinada, 2 Utilizações. Af_12/2015</v>
      </c>
      <c r="E151" s="837"/>
      <c r="F151" s="837"/>
      <c r="G151" s="838"/>
      <c r="H151" s="838"/>
      <c r="I151" s="910"/>
      <c r="J151" s="910"/>
      <c r="K151" s="1008" t="s">
        <v>27</v>
      </c>
      <c r="L151" s="856" t="s">
        <v>21</v>
      </c>
      <c r="M151" s="1150">
        <f>M147</f>
        <v>21.065999999999995</v>
      </c>
      <c r="N151" s="700"/>
      <c r="O151" s="908"/>
      <c r="P151" s="1443"/>
    </row>
    <row r="152" spans="1:16" s="1218" customFormat="1">
      <c r="A152" s="1336"/>
      <c r="B152" s="1337"/>
      <c r="C152" s="1337"/>
      <c r="D152" s="789"/>
      <c r="E152" s="816" t="s">
        <v>30</v>
      </c>
      <c r="F152" s="816" t="s">
        <v>30</v>
      </c>
      <c r="G152" s="816" t="s">
        <v>30</v>
      </c>
      <c r="H152" s="816" t="s">
        <v>30</v>
      </c>
      <c r="I152" s="816" t="s">
        <v>30</v>
      </c>
      <c r="J152" s="816" t="s">
        <v>30</v>
      </c>
      <c r="K152" s="816" t="s">
        <v>30</v>
      </c>
      <c r="L152" s="816" t="s">
        <v>30</v>
      </c>
      <c r="M152" s="816" t="s">
        <v>30</v>
      </c>
      <c r="N152" s="816"/>
      <c r="O152" s="1232"/>
      <c r="P152" s="1454"/>
    </row>
    <row r="153" spans="1:16" s="863" customFormat="1" ht="12.75" customHeight="1">
      <c r="A153" s="912"/>
      <c r="B153" s="855"/>
      <c r="C153" s="855"/>
      <c r="D153" s="888"/>
      <c r="E153" s="824"/>
      <c r="F153" s="907"/>
      <c r="G153" s="828"/>
      <c r="H153" s="1674" t="s">
        <v>14488</v>
      </c>
      <c r="I153" s="1674"/>
      <c r="J153" s="1674"/>
      <c r="K153" s="1674"/>
      <c r="L153" s="700" t="s">
        <v>21</v>
      </c>
      <c r="M153" s="1279">
        <v>13.5</v>
      </c>
      <c r="N153" s="700"/>
      <c r="O153" s="908"/>
      <c r="P153" s="1443"/>
    </row>
    <row r="154" spans="1:16" s="863" customFormat="1" ht="12.75" customHeight="1">
      <c r="A154" s="912"/>
      <c r="B154" s="855"/>
      <c r="C154" s="855"/>
      <c r="D154" s="888"/>
      <c r="E154" s="824"/>
      <c r="F154" s="907"/>
      <c r="G154" s="828"/>
      <c r="H154" s="1674" t="s">
        <v>14489</v>
      </c>
      <c r="I154" s="1674"/>
      <c r="J154" s="1674"/>
      <c r="K154" s="1674"/>
      <c r="L154" s="700" t="s">
        <v>21</v>
      </c>
      <c r="M154" s="1279">
        <v>10.5</v>
      </c>
      <c r="N154" s="700"/>
      <c r="O154" s="908"/>
      <c r="P154" s="1443"/>
    </row>
    <row r="155" spans="1:16" s="863" customFormat="1" ht="22.5">
      <c r="A155" s="912" t="s">
        <v>14619</v>
      </c>
      <c r="B155" s="855" t="s">
        <v>70</v>
      </c>
      <c r="C155" s="855">
        <v>34494</v>
      </c>
      <c r="D155" s="836" t="str">
        <f>PROPER(IF(B155="Saneago",VLOOKUP(C155,'SANEAGO-FEV.2016'!A:B,2,0),IF(B155="Sinapi",VLOOKUP(C155,'SINAPI-FEV.2017'!A:D,2,0),IF(B155="Cotação",VLOOKUP(C155,COTAÇÃO!A:D,2,0),IF(B155="Composição",VLOOKUP(C155,COMPOSIÇÃO!A:D,2,0))))))</f>
        <v>Concreto Usinado Bombeavel, Classe De Resistencia C30, Com Brita 0 E 1, Slump = 100 +/- 20 Mm, Exclui Servico De Bombeamento (Nbr 8953)</v>
      </c>
      <c r="E155" s="837"/>
      <c r="F155" s="837"/>
      <c r="G155" s="838"/>
      <c r="H155" s="1359"/>
      <c r="I155" s="1678" t="s">
        <v>27</v>
      </c>
      <c r="J155" s="1678"/>
      <c r="K155" s="1678"/>
      <c r="L155" s="856" t="s">
        <v>22</v>
      </c>
      <c r="M155" s="1150">
        <f>SUM(M153:M154)</f>
        <v>24</v>
      </c>
      <c r="N155" s="700"/>
      <c r="O155" s="908"/>
      <c r="P155" s="1443"/>
    </row>
    <row r="156" spans="1:16" s="863" customFormat="1">
      <c r="A156" s="912"/>
      <c r="B156" s="855"/>
      <c r="C156" s="855"/>
      <c r="D156" s="826"/>
      <c r="E156" s="816" t="s">
        <v>30</v>
      </c>
      <c r="F156" s="816" t="s">
        <v>30</v>
      </c>
      <c r="G156" s="816" t="s">
        <v>30</v>
      </c>
      <c r="H156" s="816" t="s">
        <v>30</v>
      </c>
      <c r="I156" s="816" t="s">
        <v>30</v>
      </c>
      <c r="J156" s="816" t="s">
        <v>30</v>
      </c>
      <c r="K156" s="816" t="s">
        <v>30</v>
      </c>
      <c r="L156" s="816" t="s">
        <v>30</v>
      </c>
      <c r="M156" s="816" t="s">
        <v>30</v>
      </c>
      <c r="N156" s="700"/>
      <c r="P156" s="871"/>
    </row>
    <row r="157" spans="1:16" s="863" customFormat="1" ht="22.5">
      <c r="A157" s="912" t="s">
        <v>20332</v>
      </c>
      <c r="B157" s="855" t="s">
        <v>70</v>
      </c>
      <c r="C157" s="855">
        <v>92874</v>
      </c>
      <c r="D157" s="836" t="str">
        <f>PROPER(IF(B157="Saneago",VLOOKUP(C157,'SANEAGO-FEV.2016'!A:B,2,0),IF(B157="Sinapi",VLOOKUP(C157,'SINAPI-FEV.2017'!A:D,2,0),IF(B157="Cotação",VLOOKUP(C157,COTAÇÃO!A:D,2,0),IF(B157="Composição",VLOOKUP(C157,COMPOSIÇÃO!A:D,2,0))))))</f>
        <v>Lançamento Com Uso De Bomba, Adensamento E Acabamento De Concreto Em Estruturas. Af_12/2015</v>
      </c>
      <c r="E157" s="837"/>
      <c r="F157" s="837"/>
      <c r="G157" s="838"/>
      <c r="H157" s="838"/>
      <c r="I157" s="838"/>
      <c r="J157" s="913"/>
      <c r="K157" s="839" t="s">
        <v>27</v>
      </c>
      <c r="L157" s="856" t="s">
        <v>22</v>
      </c>
      <c r="M157" s="1150">
        <f>M155</f>
        <v>24</v>
      </c>
      <c r="N157" s="914"/>
      <c r="P157" s="871"/>
    </row>
    <row r="158" spans="1:16" s="863" customFormat="1">
      <c r="A158" s="912"/>
      <c r="B158" s="855"/>
      <c r="C158" s="855"/>
      <c r="D158" s="826"/>
      <c r="E158" s="816" t="s">
        <v>30</v>
      </c>
      <c r="F158" s="700" t="s">
        <v>20199</v>
      </c>
      <c r="G158" s="700" t="s">
        <v>20196</v>
      </c>
      <c r="H158" s="700" t="s">
        <v>20197</v>
      </c>
      <c r="I158" s="700" t="s">
        <v>20198</v>
      </c>
      <c r="J158" s="816" t="s">
        <v>30</v>
      </c>
      <c r="K158" s="816" t="s">
        <v>30</v>
      </c>
      <c r="L158" s="816" t="s">
        <v>30</v>
      </c>
      <c r="M158" s="816" t="s">
        <v>30</v>
      </c>
      <c r="N158" s="700"/>
      <c r="O158" s="908"/>
      <c r="P158" s="1443"/>
    </row>
    <row r="159" spans="1:16" s="863" customFormat="1" ht="12.75" customHeight="1">
      <c r="A159" s="912"/>
      <c r="B159" s="855"/>
      <c r="C159" s="855"/>
      <c r="D159" s="888" t="s">
        <v>14488</v>
      </c>
      <c r="E159" s="824"/>
      <c r="F159" s="700">
        <v>9.5</v>
      </c>
      <c r="G159" s="700">
        <v>1005.7</v>
      </c>
      <c r="H159" s="700">
        <v>75</v>
      </c>
      <c r="I159" s="700">
        <v>368</v>
      </c>
      <c r="J159" s="824"/>
      <c r="K159" s="824"/>
      <c r="L159" s="700"/>
      <c r="M159" s="1149"/>
      <c r="N159" s="700"/>
      <c r="O159" s="908"/>
      <c r="P159" s="1443"/>
    </row>
    <row r="160" spans="1:16" s="863" customFormat="1" ht="12.75" customHeight="1">
      <c r="A160" s="912"/>
      <c r="B160" s="855"/>
      <c r="C160" s="855"/>
      <c r="D160" s="888" t="s">
        <v>14489</v>
      </c>
      <c r="E160" s="824"/>
      <c r="F160" s="700">
        <v>9.5</v>
      </c>
      <c r="G160" s="700">
        <v>611.4</v>
      </c>
      <c r="H160" s="700">
        <v>50</v>
      </c>
      <c r="I160" s="700">
        <v>184</v>
      </c>
      <c r="J160" s="824"/>
      <c r="K160" s="824"/>
      <c r="L160" s="700"/>
      <c r="M160" s="1149"/>
      <c r="N160" s="700"/>
      <c r="O160" s="908"/>
      <c r="P160" s="1443"/>
    </row>
    <row r="161" spans="1:18" s="863" customFormat="1">
      <c r="A161" s="912"/>
      <c r="B161" s="855"/>
      <c r="C161" s="855"/>
      <c r="D161" s="826"/>
      <c r="E161" s="790"/>
      <c r="F161" s="1457">
        <f>SUM(F159:F160)</f>
        <v>19</v>
      </c>
      <c r="G161" s="1457">
        <f>SUM(G159:G160)</f>
        <v>1617.1</v>
      </c>
      <c r="H161" s="1457">
        <f>SUM(H159:H160)</f>
        <v>125</v>
      </c>
      <c r="I161" s="1457">
        <f>SUM(I159:I160)</f>
        <v>552</v>
      </c>
      <c r="J161" s="926"/>
      <c r="K161" s="926"/>
      <c r="L161" s="700"/>
      <c r="M161" s="1149"/>
      <c r="N161" s="700"/>
      <c r="O161" s="908"/>
      <c r="P161" s="1443"/>
    </row>
    <row r="162" spans="1:18" s="863" customFormat="1" ht="33.75">
      <c r="A162" s="912" t="s">
        <v>20305</v>
      </c>
      <c r="B162" s="855" t="s">
        <v>70</v>
      </c>
      <c r="C162" s="855">
        <v>92915</v>
      </c>
      <c r="D162" s="836" t="str">
        <f>PROPER(IF(B162="Saneago",VLOOKUP(C162,'SANEAGO-FEV.2016'!A:B,2,0),IF(B162="Sinapi",VLOOKUP(C162,'SINAPI-FEV.2017'!A:D,2,0),IF(B162="Cotação",VLOOKUP(C162,COTAÇÃO!A:D,2,0),IF(B162="Composição",VLOOKUP(C162,COMPOSIÇÃO!A:D,2,0))))))</f>
        <v>Armação De Estruturas De Concreto Armado, Exceto Vigas, Pilares, Lajes E Fundações Profundas (De Edifícios De Múltiplos Pavimentos, Edificação Térrea Ou Sobrado), Utilizando Aço Ca-60 De 5.0 Mm - Montagem. Af_12/2015</v>
      </c>
      <c r="E162" s="837"/>
      <c r="F162" s="837"/>
      <c r="G162" s="838"/>
      <c r="H162" s="838"/>
      <c r="I162" s="838"/>
      <c r="J162" s="913"/>
      <c r="K162" s="1348" t="s">
        <v>27</v>
      </c>
      <c r="L162" s="856" t="s">
        <v>33</v>
      </c>
      <c r="M162" s="1150">
        <f>F161</f>
        <v>19</v>
      </c>
      <c r="N162" s="914"/>
      <c r="O162" s="908"/>
      <c r="P162" s="1443"/>
    </row>
    <row r="163" spans="1:18" s="863" customFormat="1">
      <c r="A163" s="912"/>
      <c r="B163" s="855"/>
      <c r="C163" s="855"/>
      <c r="D163" s="826"/>
      <c r="E163" s="790"/>
      <c r="F163" s="790"/>
      <c r="G163" s="828"/>
      <c r="H163" s="828"/>
      <c r="I163" s="828"/>
      <c r="J163" s="954"/>
      <c r="K163" s="1360"/>
      <c r="L163" s="816"/>
      <c r="M163" s="1324"/>
      <c r="N163" s="914"/>
      <c r="O163" s="908"/>
      <c r="P163" s="1443"/>
    </row>
    <row r="164" spans="1:18" s="863" customFormat="1" ht="33.75">
      <c r="A164" s="912" t="s">
        <v>20306</v>
      </c>
      <c r="B164" s="855" t="s">
        <v>70</v>
      </c>
      <c r="C164" s="855">
        <v>92917</v>
      </c>
      <c r="D164" s="836" t="str">
        <f>PROPER(IF(B164="Saneago",VLOOKUP(C164,'SANEAGO-FEV.2016'!A:B,2,0),IF(B164="Sinapi",VLOOKUP(C164,'SINAPI-FEV.2017'!A:D,2,0),IF(B164="Cotação",VLOOKUP(C164,COTAÇÃO!A:D,2,0),IF(B164="Composição",VLOOKUP(C164,COMPOSIÇÃO!A:D,2,0))))))</f>
        <v>Armação De Estruturas De Concreto Armado, Exceto Vigas, Pilares, Lajes E Fundações Profundas (De Edifícios De Múltiplos Pavimentos, Edificação Térrea Ou Sobrado), Utilizando Aço Ca-50 De 8.0 Mm - Montagem. Af_12/2015</v>
      </c>
      <c r="E164" s="837"/>
      <c r="F164" s="837"/>
      <c r="G164" s="838"/>
      <c r="H164" s="838"/>
      <c r="I164" s="838"/>
      <c r="J164" s="913"/>
      <c r="K164" s="1348" t="s">
        <v>27</v>
      </c>
      <c r="L164" s="856" t="s">
        <v>33</v>
      </c>
      <c r="M164" s="1150">
        <f>G161</f>
        <v>1617.1</v>
      </c>
      <c r="N164" s="914"/>
      <c r="O164" s="908"/>
      <c r="P164" s="1443"/>
    </row>
    <row r="165" spans="1:18" s="863" customFormat="1">
      <c r="A165" s="912"/>
      <c r="B165" s="855"/>
      <c r="C165" s="855"/>
      <c r="D165" s="826"/>
      <c r="E165" s="790"/>
      <c r="F165" s="790"/>
      <c r="G165" s="828"/>
      <c r="H165" s="828"/>
      <c r="I165" s="828"/>
      <c r="J165" s="954"/>
      <c r="K165" s="1360"/>
      <c r="L165" s="816"/>
      <c r="M165" s="1324"/>
      <c r="N165" s="914"/>
      <c r="O165" s="908"/>
      <c r="P165" s="1443"/>
    </row>
    <row r="166" spans="1:18" s="863" customFormat="1" ht="33.75">
      <c r="A166" s="912" t="s">
        <v>20307</v>
      </c>
      <c r="B166" s="855" t="s">
        <v>70</v>
      </c>
      <c r="C166" s="855">
        <v>92919</v>
      </c>
      <c r="D166" s="836" t="str">
        <f>PROPER(IF(B166="Saneago",VLOOKUP(C166,'SANEAGO-FEV.2016'!A:B,2,0),IF(B166="Sinapi",VLOOKUP(C166,'SINAPI-FEV.2017'!A:D,2,0),IF(B166="Cotação",VLOOKUP(C166,COTAÇÃO!A:D,2,0),IF(B166="Composição",VLOOKUP(C166,COMPOSIÇÃO!A:D,2,0))))))</f>
        <v>Armação De Estruturas De Concreto Armado, Exceto Vigas, Pilares, Lajes E Fundações Profundas (De Edifícios De Múltiplos Pavimentos, Edificação Térrea Ou Sobrado), Utilizando Aço Ca-50 De 10.0 Mm - Montagem. Af_12/2015</v>
      </c>
      <c r="E166" s="837"/>
      <c r="F166" s="837"/>
      <c r="G166" s="838"/>
      <c r="H166" s="838"/>
      <c r="I166" s="838"/>
      <c r="J166" s="913"/>
      <c r="K166" s="1348" t="s">
        <v>27</v>
      </c>
      <c r="L166" s="856" t="s">
        <v>33</v>
      </c>
      <c r="M166" s="1150">
        <f>H161</f>
        <v>125</v>
      </c>
      <c r="N166" s="914"/>
      <c r="O166" s="908"/>
      <c r="P166" s="1443"/>
    </row>
    <row r="167" spans="1:18" s="863" customFormat="1">
      <c r="A167" s="912"/>
      <c r="B167" s="855"/>
      <c r="C167" s="855"/>
      <c r="D167" s="826"/>
      <c r="E167" s="790"/>
      <c r="F167" s="790"/>
      <c r="G167" s="828"/>
      <c r="H167" s="828"/>
      <c r="I167" s="828"/>
      <c r="J167" s="954"/>
      <c r="K167" s="1360"/>
      <c r="L167" s="816"/>
      <c r="M167" s="1324"/>
      <c r="N167" s="914"/>
      <c r="O167" s="908"/>
      <c r="P167" s="1443"/>
    </row>
    <row r="168" spans="1:18" s="863" customFormat="1" ht="39" customHeight="1">
      <c r="A168" s="912" t="s">
        <v>20308</v>
      </c>
      <c r="B168" s="855" t="s">
        <v>70</v>
      </c>
      <c r="C168" s="855">
        <v>92921</v>
      </c>
      <c r="D168" s="836" t="str">
        <f>PROPER(IF(B168="Saneago",VLOOKUP(C168,'SANEAGO-FEV.2016'!A:B,2,0),IF(B168="Sinapi",VLOOKUP(C168,'SINAPI-FEV.2017'!A:D,2,0),IF(B168="Cotação",VLOOKUP(C168,COTAÇÃO!A:D,2,0),IF(B168="Composição",VLOOKUP(C168,COMPOSIÇÃO!A:D,2,0))))))</f>
        <v>Armação De Estruturas De Concreto Armado, Exceto Vigas, Pilares, Lajes E Fundações Profundas (De Edifícios De Múltiplos Pavimentos, Edificação Térrea Ou Sobrado), Utilizando Aço Ca-50 De 12.5 Mm - Montagem. Af_12/2015</v>
      </c>
      <c r="E168" s="837"/>
      <c r="F168" s="837"/>
      <c r="G168" s="838"/>
      <c r="H168" s="838"/>
      <c r="I168" s="838"/>
      <c r="J168" s="913"/>
      <c r="K168" s="1348" t="s">
        <v>27</v>
      </c>
      <c r="L168" s="856" t="s">
        <v>33</v>
      </c>
      <c r="M168" s="1150">
        <f>I161</f>
        <v>552</v>
      </c>
      <c r="N168" s="914"/>
      <c r="O168" s="908"/>
      <c r="P168" s="1443"/>
    </row>
    <row r="169" spans="1:18" s="863" customFormat="1" ht="13.5" customHeight="1">
      <c r="A169" s="912"/>
      <c r="B169" s="855"/>
      <c r="C169" s="855"/>
      <c r="D169" s="826"/>
      <c r="E169" s="790"/>
      <c r="F169" s="790"/>
      <c r="G169" s="700" t="s">
        <v>30</v>
      </c>
      <c r="H169" s="700" t="s">
        <v>30</v>
      </c>
      <c r="I169" s="700" t="s">
        <v>30</v>
      </c>
      <c r="J169" s="700" t="s">
        <v>30</v>
      </c>
      <c r="K169" s="700" t="s">
        <v>30</v>
      </c>
      <c r="L169" s="700"/>
      <c r="M169" s="1356"/>
      <c r="N169" s="700"/>
      <c r="O169" s="908"/>
      <c r="P169" s="1443"/>
    </row>
    <row r="170" spans="1:18" s="863" customFormat="1" ht="13.5" customHeight="1">
      <c r="A170" s="912" t="s">
        <v>20304</v>
      </c>
      <c r="B170" s="855" t="s">
        <v>70</v>
      </c>
      <c r="C170" s="855" t="s">
        <v>19257</v>
      </c>
      <c r="D170" s="836" t="str">
        <f>PROPER(IF(B170="Saneago",VLOOKUP(C170,'SANEAGO-FEV.2016'!A:B,2,0),IF(B170="Sinapi",VLOOKUP(C170,'SINAPI-FEV.2017'!A:D,2,0),IF(B170="Cotação",VLOOKUP(C170,COTAÇÃO!A:D,2,0),IF(B170="Composição",VLOOKUP(C170,COMPOSIÇÃO!A:D,2,0))))))</f>
        <v>Ensaio De Consistencia Do Concreto Ccr - Indice Vebe</v>
      </c>
      <c r="E170" s="837"/>
      <c r="F170" s="837"/>
      <c r="G170" s="838"/>
      <c r="H170" s="838"/>
      <c r="I170" s="838"/>
      <c r="J170" s="838"/>
      <c r="K170" s="838"/>
      <c r="L170" s="852" t="s">
        <v>26</v>
      </c>
      <c r="M170" s="1352">
        <f>ROUNDUP((M155)/50,0)</f>
        <v>1</v>
      </c>
      <c r="N170" s="700"/>
      <c r="O170" s="908"/>
      <c r="P170" s="1443"/>
    </row>
    <row r="171" spans="1:18" s="863" customFormat="1">
      <c r="A171" s="912"/>
      <c r="B171" s="855"/>
      <c r="C171" s="855"/>
      <c r="D171" s="826"/>
      <c r="E171" s="816" t="s">
        <v>30</v>
      </c>
      <c r="F171" s="816" t="s">
        <v>30</v>
      </c>
      <c r="G171" s="816" t="s">
        <v>30</v>
      </c>
      <c r="H171" s="816" t="s">
        <v>30</v>
      </c>
      <c r="I171" s="816" t="s">
        <v>30</v>
      </c>
      <c r="J171" s="816" t="s">
        <v>30</v>
      </c>
      <c r="K171" s="816" t="s">
        <v>30</v>
      </c>
      <c r="L171" s="816" t="s">
        <v>30</v>
      </c>
      <c r="M171" s="816" t="s">
        <v>30</v>
      </c>
      <c r="N171" s="700"/>
      <c r="O171" s="908"/>
      <c r="P171" s="1443"/>
    </row>
    <row r="172" spans="1:18" s="863" customFormat="1" ht="12.75" customHeight="1">
      <c r="A172" s="912"/>
      <c r="B172" s="855"/>
      <c r="C172" s="855"/>
      <c r="D172" s="826"/>
      <c r="E172" s="790"/>
      <c r="F172" s="790"/>
      <c r="G172" s="828"/>
      <c r="H172" s="1674" t="s">
        <v>14488</v>
      </c>
      <c r="I172" s="1674"/>
      <c r="J172" s="1674"/>
      <c r="K172" s="1674"/>
      <c r="L172" s="700" t="s">
        <v>26</v>
      </c>
      <c r="M172" s="1149">
        <v>3</v>
      </c>
      <c r="N172" s="700"/>
      <c r="O172" s="908"/>
      <c r="P172" s="1443"/>
    </row>
    <row r="173" spans="1:18" s="863" customFormat="1" ht="12.75" customHeight="1">
      <c r="A173" s="912"/>
      <c r="B173" s="855"/>
      <c r="C173" s="855"/>
      <c r="D173" s="826"/>
      <c r="E173" s="790"/>
      <c r="F173" s="790"/>
      <c r="G173" s="828"/>
      <c r="H173" s="1674" t="s">
        <v>14489</v>
      </c>
      <c r="I173" s="1674"/>
      <c r="J173" s="1674"/>
      <c r="K173" s="1674"/>
      <c r="L173" s="700" t="s">
        <v>26</v>
      </c>
      <c r="M173" s="1149">
        <v>2</v>
      </c>
      <c r="N173" s="700"/>
      <c r="O173" s="908"/>
      <c r="P173" s="1443"/>
    </row>
    <row r="174" spans="1:18" s="863" customFormat="1">
      <c r="A174" s="912" t="s">
        <v>14620</v>
      </c>
      <c r="B174" s="855" t="s">
        <v>1</v>
      </c>
      <c r="C174" s="855" t="s">
        <v>20200</v>
      </c>
      <c r="D174" s="836" t="str">
        <f>PROPER(IF(B174="Saneago",VLOOKUP(C174,'SANEAGO-FEV.2016'!A:B,2,0),IF(B174="Sinapi",VLOOKUP(C174,'SINAPI-FEV.2017'!A:D,2,0),IF(B174="Cotação",VLOOKUP(C174,COTAÇÃO!A:D,2,0),IF(B174="Composição",VLOOKUP(C174,COMPOSIÇÃO!A:D,2,0))))))</f>
        <v>Tampao E Anel (Cj) Em Concreto Pre-Moldado P/ Pv (Padrao Saneago)</v>
      </c>
      <c r="E174" s="837"/>
      <c r="F174" s="837"/>
      <c r="G174" s="838"/>
      <c r="H174" s="838"/>
      <c r="I174" s="838"/>
      <c r="J174" s="913"/>
      <c r="K174" s="1348" t="s">
        <v>27</v>
      </c>
      <c r="L174" s="856" t="s">
        <v>26</v>
      </c>
      <c r="M174" s="1458">
        <f>SUM(M172:M173)</f>
        <v>5</v>
      </c>
      <c r="N174" s="914"/>
      <c r="O174" s="908"/>
      <c r="P174" s="1443"/>
    </row>
    <row r="175" spans="1:18" s="863" customFormat="1" ht="13.5" thickBot="1">
      <c r="A175" s="912"/>
      <c r="B175" s="855"/>
      <c r="C175" s="855"/>
      <c r="D175" s="826"/>
      <c r="E175" s="790"/>
      <c r="F175" s="790"/>
      <c r="G175" s="828"/>
      <c r="H175" s="828"/>
      <c r="I175" s="828"/>
      <c r="J175" s="954"/>
      <c r="K175" s="1360"/>
      <c r="L175" s="816"/>
      <c r="M175" s="1361"/>
      <c r="N175" s="914"/>
      <c r="O175" s="908"/>
      <c r="P175" s="1443"/>
    </row>
    <row r="176" spans="1:18" s="865" customFormat="1" ht="14.25" thickTop="1" thickBot="1">
      <c r="A176" s="912"/>
      <c r="B176" s="855"/>
      <c r="C176" s="855"/>
      <c r="D176" s="830" t="s">
        <v>14251</v>
      </c>
      <c r="E176" s="831"/>
      <c r="F176" s="831"/>
      <c r="G176" s="831"/>
      <c r="H176" s="831"/>
      <c r="I176" s="831"/>
      <c r="J176" s="831"/>
      <c r="K176" s="831"/>
      <c r="L176" s="832" t="s">
        <v>25</v>
      </c>
      <c r="M176" s="833" t="s">
        <v>27</v>
      </c>
      <c r="N176" s="700"/>
      <c r="O176" s="908"/>
      <c r="P176" s="1443"/>
      <c r="Q176" s="863"/>
      <c r="R176" s="863"/>
    </row>
    <row r="177" spans="1:18" s="863" customFormat="1" ht="13.5" thickTop="1">
      <c r="A177" s="912"/>
      <c r="B177" s="855"/>
      <c r="C177" s="855"/>
      <c r="D177" s="826"/>
      <c r="E177" s="790"/>
      <c r="F177" s="828" t="s">
        <v>30</v>
      </c>
      <c r="G177" s="828" t="s">
        <v>30</v>
      </c>
      <c r="H177" s="828" t="s">
        <v>30</v>
      </c>
      <c r="I177" s="828" t="s">
        <v>30</v>
      </c>
      <c r="J177" s="700" t="s">
        <v>43</v>
      </c>
      <c r="K177" s="700" t="s">
        <v>30</v>
      </c>
      <c r="L177" s="700" t="s">
        <v>30</v>
      </c>
      <c r="M177" s="700" t="s">
        <v>30</v>
      </c>
      <c r="N177" s="700"/>
      <c r="O177" s="908"/>
      <c r="P177" s="1443"/>
    </row>
    <row r="178" spans="1:18" s="863" customFormat="1">
      <c r="A178" s="912"/>
      <c r="B178" s="855"/>
      <c r="C178" s="855"/>
      <c r="D178" s="888"/>
      <c r="E178" s="790"/>
      <c r="F178" s="1674" t="s">
        <v>14488</v>
      </c>
      <c r="G178" s="1674"/>
      <c r="H178" s="1674"/>
      <c r="I178" s="1674"/>
      <c r="J178" s="700">
        <v>24</v>
      </c>
      <c r="K178" s="700"/>
      <c r="L178" s="700" t="s">
        <v>18</v>
      </c>
      <c r="M178" s="1322">
        <f>J178</f>
        <v>24</v>
      </c>
      <c r="N178" s="700"/>
      <c r="O178" s="908"/>
      <c r="P178" s="1443"/>
    </row>
    <row r="179" spans="1:18" s="863" customFormat="1">
      <c r="A179" s="912"/>
      <c r="B179" s="855"/>
      <c r="C179" s="855"/>
      <c r="D179" s="888"/>
      <c r="E179" s="790"/>
      <c r="F179" s="1674" t="s">
        <v>14489</v>
      </c>
      <c r="G179" s="1674"/>
      <c r="H179" s="1674"/>
      <c r="I179" s="1674"/>
      <c r="J179" s="700">
        <v>13</v>
      </c>
      <c r="K179" s="700"/>
      <c r="L179" s="700" t="s">
        <v>18</v>
      </c>
      <c r="M179" s="1322">
        <f>J179</f>
        <v>13</v>
      </c>
      <c r="N179" s="700"/>
      <c r="O179" s="908"/>
      <c r="P179" s="1443"/>
    </row>
    <row r="180" spans="1:18" s="863" customFormat="1">
      <c r="A180" s="912" t="s">
        <v>14621</v>
      </c>
      <c r="B180" s="855" t="s">
        <v>13957</v>
      </c>
      <c r="C180" s="912" t="s">
        <v>14271</v>
      </c>
      <c r="D180" s="836" t="str">
        <f>PROPER(IF(B180="Saneago",VLOOKUP(C180,'SANEAGO-FEV.2016'!A:B,2,0),IF(B180="Sinapi",VLOOKUP(C180,'SINAPI-FEV.2017'!A:D,2,0),IF(B180="Cotação",VLOOKUP(C180,COTAÇÃO!A:D,2,0),IF(B180="Composição",VLOOKUP(C180,COMPOSIÇÃO!A:D,2,0))))))</f>
        <v>Travessia Não Destrutiva Em Tunel Liner, Dn1200 (Inlcuso Serviços E Material)</v>
      </c>
      <c r="E180" s="837"/>
      <c r="F180" s="837"/>
      <c r="G180" s="838"/>
      <c r="H180" s="838"/>
      <c r="I180" s="838"/>
      <c r="J180" s="838"/>
      <c r="K180" s="838"/>
      <c r="L180" s="856" t="s">
        <v>18</v>
      </c>
      <c r="M180" s="1150">
        <f>SUM(M178:M179)</f>
        <v>37</v>
      </c>
      <c r="N180" s="700"/>
      <c r="O180" s="908"/>
      <c r="P180" s="1443"/>
    </row>
    <row r="181" spans="1:18" s="865" customFormat="1" ht="13.5" thickBot="1">
      <c r="A181" s="912"/>
      <c r="B181" s="855"/>
      <c r="C181" s="855"/>
      <c r="D181" s="823"/>
      <c r="E181" s="700"/>
      <c r="F181" s="808"/>
      <c r="G181" s="700"/>
      <c r="H181" s="700"/>
      <c r="I181" s="700"/>
      <c r="J181" s="809"/>
      <c r="K181" s="791"/>
      <c r="L181" s="824"/>
      <c r="M181" s="824"/>
      <c r="N181" s="700"/>
      <c r="O181" s="908"/>
      <c r="P181" s="1443"/>
      <c r="Q181" s="863"/>
      <c r="R181" s="863"/>
    </row>
    <row r="182" spans="1:18" s="863" customFormat="1" ht="14.25" thickTop="1" thickBot="1">
      <c r="A182" s="912"/>
      <c r="B182" s="835"/>
      <c r="C182" s="835"/>
      <c r="D182" s="830" t="s">
        <v>1231</v>
      </c>
      <c r="E182" s="831"/>
      <c r="F182" s="831"/>
      <c r="G182" s="831"/>
      <c r="H182" s="831"/>
      <c r="I182" s="831"/>
      <c r="J182" s="831"/>
      <c r="K182" s="831"/>
      <c r="L182" s="832"/>
      <c r="M182" s="833"/>
      <c r="N182" s="870"/>
      <c r="O182" s="1007"/>
      <c r="P182" s="1443"/>
    </row>
    <row r="183" spans="1:18" s="863" customFormat="1" ht="13.5" thickTop="1">
      <c r="A183" s="912"/>
      <c r="B183" s="835"/>
      <c r="C183" s="835"/>
      <c r="D183" s="881"/>
      <c r="E183" s="882"/>
      <c r="F183" s="828" t="s">
        <v>30</v>
      </c>
      <c r="G183" s="828" t="s">
        <v>30</v>
      </c>
      <c r="H183" s="828" t="s">
        <v>30</v>
      </c>
      <c r="I183" s="828" t="s">
        <v>30</v>
      </c>
      <c r="J183" s="828" t="s">
        <v>1275</v>
      </c>
      <c r="K183" s="828" t="s">
        <v>43</v>
      </c>
      <c r="L183" s="828" t="s">
        <v>30</v>
      </c>
      <c r="M183" s="877" t="s">
        <v>30</v>
      </c>
      <c r="N183" s="700"/>
      <c r="O183" s="908"/>
      <c r="P183" s="1443"/>
    </row>
    <row r="184" spans="1:18" s="863" customFormat="1">
      <c r="A184" s="912"/>
      <c r="B184" s="835"/>
      <c r="C184" s="835"/>
      <c r="D184" s="826"/>
      <c r="E184" s="824"/>
      <c r="F184" s="1674" t="s">
        <v>14488</v>
      </c>
      <c r="G184" s="1674"/>
      <c r="H184" s="1674"/>
      <c r="I184" s="1674"/>
      <c r="J184" s="828">
        <v>3</v>
      </c>
      <c r="K184" s="828">
        <v>2.7</v>
      </c>
      <c r="L184" s="828" t="s">
        <v>18</v>
      </c>
      <c r="M184" s="877">
        <f>J184*K184</f>
        <v>8.1000000000000014</v>
      </c>
      <c r="N184" s="700"/>
      <c r="O184" s="908"/>
      <c r="P184" s="1443"/>
    </row>
    <row r="185" spans="1:18" s="863" customFormat="1">
      <c r="A185" s="912"/>
      <c r="B185" s="835"/>
      <c r="C185" s="835"/>
      <c r="D185" s="826"/>
      <c r="E185" s="824"/>
      <c r="F185" s="1674" t="s">
        <v>14489</v>
      </c>
      <c r="G185" s="1674"/>
      <c r="H185" s="1674"/>
      <c r="I185" s="1674"/>
      <c r="J185" s="828">
        <v>2</v>
      </c>
      <c r="K185" s="828">
        <v>2.1</v>
      </c>
      <c r="L185" s="828" t="s">
        <v>18</v>
      </c>
      <c r="M185" s="877">
        <f>J185*K185</f>
        <v>4.2</v>
      </c>
      <c r="N185" s="700"/>
      <c r="O185" s="908"/>
      <c r="P185" s="1443"/>
    </row>
    <row r="186" spans="1:18" s="863" customFormat="1" ht="22.5">
      <c r="A186" s="912" t="s">
        <v>20357</v>
      </c>
      <c r="B186" s="855" t="s">
        <v>70</v>
      </c>
      <c r="C186" s="1020">
        <v>73665</v>
      </c>
      <c r="D186" s="836" t="str">
        <f>PROPER(IF(B186="Saneago",VLOOKUP(C186,'SANEAGO-FEV.2016'!A:B,2,0),IF(B186="Sinapi",VLOOKUP(C186,'SINAPI-FEV.2017'!A:D,2,0),IF(B186="Cotação",VLOOKUP(C186,COTAÇÃO!A:D,2,0),IF(B186="Composição",VLOOKUP(C186,COMPOSIÇÃO!A:D,2,0))))))</f>
        <v>Escada Tipo Marinheiro Em Aco Ca-50 9,52Mm Incluso Pintura Com Fundo Anticorrosivo Tipo Zarcao</v>
      </c>
      <c r="E186" s="837"/>
      <c r="F186" s="837"/>
      <c r="G186" s="838"/>
      <c r="H186" s="838"/>
      <c r="I186" s="838"/>
      <c r="J186" s="851"/>
      <c r="K186" s="1008" t="s">
        <v>27</v>
      </c>
      <c r="L186" s="856" t="s">
        <v>18</v>
      </c>
      <c r="M186" s="1150">
        <f>SUM(M184:M185)</f>
        <v>12.3</v>
      </c>
      <c r="N186" s="914"/>
      <c r="O186" s="908"/>
      <c r="P186" s="1443"/>
    </row>
    <row r="187" spans="1:18" s="865" customFormat="1" ht="13.5" thickBot="1">
      <c r="A187" s="912"/>
      <c r="B187" s="855"/>
      <c r="C187" s="855"/>
      <c r="D187" s="823"/>
      <c r="E187" s="700"/>
      <c r="F187" s="808"/>
      <c r="G187" s="700"/>
      <c r="H187" s="700"/>
      <c r="I187" s="700"/>
      <c r="J187" s="809"/>
      <c r="K187" s="791"/>
      <c r="L187" s="824"/>
      <c r="M187" s="824"/>
      <c r="N187" s="700"/>
      <c r="O187" s="908"/>
      <c r="P187" s="1443"/>
      <c r="Q187" s="863"/>
      <c r="R187" s="863"/>
    </row>
    <row r="188" spans="1:18" s="863" customFormat="1" ht="14.25" customHeight="1" thickTop="1" thickBot="1">
      <c r="A188" s="912"/>
      <c r="B188" s="835"/>
      <c r="C188" s="835"/>
      <c r="D188" s="830" t="s">
        <v>55</v>
      </c>
      <c r="E188" s="831"/>
      <c r="F188" s="831"/>
      <c r="G188" s="831"/>
      <c r="H188" s="831"/>
      <c r="I188" s="831"/>
      <c r="J188" s="831"/>
      <c r="K188" s="831"/>
      <c r="L188" s="832" t="s">
        <v>25</v>
      </c>
      <c r="M188" s="833" t="s">
        <v>27</v>
      </c>
      <c r="N188" s="700"/>
      <c r="O188" s="908"/>
      <c r="P188" s="1443"/>
    </row>
    <row r="189" spans="1:18" s="863" customFormat="1" ht="12" customHeight="1" thickTop="1">
      <c r="A189" s="912"/>
      <c r="B189" s="835"/>
      <c r="C189" s="835"/>
      <c r="D189" s="826"/>
      <c r="E189" s="790"/>
      <c r="F189" s="700" t="s">
        <v>30</v>
      </c>
      <c r="G189" s="700" t="s">
        <v>30</v>
      </c>
      <c r="H189" s="700" t="s">
        <v>1275</v>
      </c>
      <c r="I189" s="700" t="s">
        <v>17</v>
      </c>
      <c r="J189" s="700" t="s">
        <v>19</v>
      </c>
      <c r="K189" s="700" t="s">
        <v>32</v>
      </c>
      <c r="L189" s="700" t="s">
        <v>30</v>
      </c>
      <c r="M189" s="876" t="s">
        <v>30</v>
      </c>
      <c r="N189" s="700"/>
      <c r="O189" s="908"/>
      <c r="P189" s="1443"/>
    </row>
    <row r="190" spans="1:18" s="863" customFormat="1" ht="12" customHeight="1">
      <c r="A190" s="912"/>
      <c r="B190" s="835"/>
      <c r="C190" s="835"/>
      <c r="D190" s="1679" t="s">
        <v>14488</v>
      </c>
      <c r="E190" s="1674"/>
      <c r="F190" s="1674"/>
      <c r="G190" s="1674"/>
      <c r="H190" s="700">
        <f t="shared" ref="H190:J191" si="7">I30</f>
        <v>3</v>
      </c>
      <c r="I190" s="700">
        <f t="shared" si="7"/>
        <v>2.2999999999999998</v>
      </c>
      <c r="J190" s="700">
        <f t="shared" si="7"/>
        <v>1.5</v>
      </c>
      <c r="K190" s="828">
        <f>K49</f>
        <v>3.4</v>
      </c>
      <c r="L190" s="700" t="s">
        <v>21</v>
      </c>
      <c r="M190" s="877">
        <f>H190*((I190*2+J190*2)*K190)</f>
        <v>77.52</v>
      </c>
      <c r="N190" s="700"/>
      <c r="O190" s="908"/>
      <c r="P190" s="1443"/>
    </row>
    <row r="191" spans="1:18" s="863" customFormat="1" ht="12" customHeight="1">
      <c r="A191" s="912"/>
      <c r="B191" s="835"/>
      <c r="C191" s="835"/>
      <c r="D191" s="1679" t="s">
        <v>14489</v>
      </c>
      <c r="E191" s="1674"/>
      <c r="F191" s="1674"/>
      <c r="G191" s="1674"/>
      <c r="H191" s="700">
        <f t="shared" si="7"/>
        <v>2</v>
      </c>
      <c r="I191" s="700">
        <f t="shared" si="7"/>
        <v>2.2999999999999998</v>
      </c>
      <c r="J191" s="700">
        <f t="shared" si="7"/>
        <v>1.5</v>
      </c>
      <c r="K191" s="828">
        <f>K50</f>
        <v>2.9</v>
      </c>
      <c r="L191" s="700" t="s">
        <v>21</v>
      </c>
      <c r="M191" s="877">
        <f>H191*((I191*2+J191*2)*K191)</f>
        <v>44.08</v>
      </c>
      <c r="N191" s="700"/>
      <c r="O191" s="908"/>
      <c r="P191" s="1443"/>
    </row>
    <row r="192" spans="1:18" s="863" customFormat="1" ht="12" customHeight="1">
      <c r="A192" s="912" t="s">
        <v>14622</v>
      </c>
      <c r="B192" s="855" t="s">
        <v>70</v>
      </c>
      <c r="C192" s="855" t="s">
        <v>16604</v>
      </c>
      <c r="D192" s="836" t="str">
        <f>PROPER(IF(B192="Saneago",VLOOKUP(C192,'SANEAGO-FEV.2016'!A:B,2,0),IF(B192="Sinapi",VLOOKUP(C192,'SINAPI-FEV.2017'!A:D,2,0),IF(B192="Cotação",VLOOKUP(C192,COTAÇÃO!A:D,2,0),IF(B192="Composição",VLOOKUP(C192,COMPOSIÇÃO!A:D,2,0))))))</f>
        <v>Impermeabilizacao De Estruturas Enterradas, Com Tinta Asfaltica, Duas Demaos.</v>
      </c>
      <c r="E192" s="837"/>
      <c r="F192" s="837"/>
      <c r="G192" s="838"/>
      <c r="H192" s="1021" t="s">
        <v>73</v>
      </c>
      <c r="I192" s="838"/>
      <c r="J192" s="838"/>
      <c r="K192" s="839" t="s">
        <v>27</v>
      </c>
      <c r="L192" s="856" t="s">
        <v>21</v>
      </c>
      <c r="M192" s="1150">
        <f>SUM(M190:M191)</f>
        <v>121.6</v>
      </c>
      <c r="N192" s="700"/>
      <c r="O192" s="908"/>
      <c r="P192" s="1443"/>
    </row>
    <row r="193" spans="1:18" s="865" customFormat="1" ht="13.5" thickBot="1">
      <c r="A193" s="912"/>
      <c r="B193" s="855"/>
      <c r="C193" s="855"/>
      <c r="D193" s="823"/>
      <c r="E193" s="700"/>
      <c r="F193" s="808"/>
      <c r="G193" s="700"/>
      <c r="H193" s="700"/>
      <c r="I193" s="700"/>
      <c r="J193" s="809"/>
      <c r="K193" s="791"/>
      <c r="L193" s="824"/>
      <c r="M193" s="824"/>
      <c r="N193" s="700"/>
      <c r="O193" s="908"/>
      <c r="P193" s="1443"/>
      <c r="Q193" s="863"/>
      <c r="R193" s="863"/>
    </row>
    <row r="194" spans="1:18" s="863" customFormat="1" ht="13.5" customHeight="1" thickTop="1" thickBot="1">
      <c r="A194" s="912"/>
      <c r="B194" s="855"/>
      <c r="C194" s="855"/>
      <c r="D194" s="830" t="s">
        <v>20202</v>
      </c>
      <c r="E194" s="831"/>
      <c r="F194" s="831"/>
      <c r="G194" s="831"/>
      <c r="H194" s="831"/>
      <c r="I194" s="831"/>
      <c r="J194" s="831"/>
      <c r="K194" s="831"/>
      <c r="L194" s="832" t="s">
        <v>25</v>
      </c>
      <c r="M194" s="833" t="s">
        <v>27</v>
      </c>
      <c r="N194" s="700"/>
      <c r="O194" s="908"/>
      <c r="P194" s="1443"/>
    </row>
    <row r="195" spans="1:18" s="863" customFormat="1" ht="13.5" thickTop="1">
      <c r="A195" s="912"/>
      <c r="B195" s="855"/>
      <c r="C195" s="855"/>
      <c r="D195" s="826"/>
      <c r="E195" s="790"/>
      <c r="F195" s="700" t="s">
        <v>30</v>
      </c>
      <c r="G195" s="700" t="s">
        <v>30</v>
      </c>
      <c r="H195" s="700" t="s">
        <v>30</v>
      </c>
      <c r="I195" s="700" t="s">
        <v>1275</v>
      </c>
      <c r="J195" s="700" t="s">
        <v>17</v>
      </c>
      <c r="K195" s="700" t="s">
        <v>19</v>
      </c>
      <c r="L195" s="700"/>
      <c r="M195" s="1356"/>
      <c r="N195" s="700"/>
      <c r="O195" s="908"/>
      <c r="P195" s="1443"/>
    </row>
    <row r="196" spans="1:18" s="863" customFormat="1">
      <c r="A196" s="912"/>
      <c r="B196" s="855"/>
      <c r="C196" s="855"/>
      <c r="D196" s="1679" t="s">
        <v>14488</v>
      </c>
      <c r="E196" s="1674"/>
      <c r="F196" s="1674"/>
      <c r="G196" s="1674"/>
      <c r="H196" s="700"/>
      <c r="I196" s="700">
        <f t="shared" ref="I196:K197" si="8">H190</f>
        <v>3</v>
      </c>
      <c r="J196" s="700">
        <f t="shared" si="8"/>
        <v>2.2999999999999998</v>
      </c>
      <c r="K196" s="700">
        <f t="shared" si="8"/>
        <v>1.5</v>
      </c>
      <c r="L196" s="700" t="s">
        <v>21</v>
      </c>
      <c r="M196" s="877">
        <f>J196*K196*I196</f>
        <v>10.35</v>
      </c>
      <c r="N196" s="700"/>
      <c r="O196" s="908"/>
      <c r="P196" s="1443"/>
    </row>
    <row r="197" spans="1:18" s="863" customFormat="1">
      <c r="A197" s="912"/>
      <c r="B197" s="855"/>
      <c r="C197" s="855"/>
      <c r="D197" s="1679" t="s">
        <v>14489</v>
      </c>
      <c r="E197" s="1674"/>
      <c r="F197" s="1674"/>
      <c r="G197" s="1674"/>
      <c r="H197" s="700"/>
      <c r="I197" s="700">
        <f t="shared" si="8"/>
        <v>2</v>
      </c>
      <c r="J197" s="700">
        <f t="shared" si="8"/>
        <v>2.2999999999999998</v>
      </c>
      <c r="K197" s="700">
        <f t="shared" si="8"/>
        <v>1.5</v>
      </c>
      <c r="L197" s="700" t="s">
        <v>21</v>
      </c>
      <c r="M197" s="877">
        <f>J197*K197*I197</f>
        <v>6.8999999999999995</v>
      </c>
      <c r="N197" s="700"/>
      <c r="O197" s="908"/>
      <c r="P197" s="1443"/>
    </row>
    <row r="198" spans="1:18" s="863" customFormat="1" ht="22.5">
      <c r="A198" s="912" t="s">
        <v>14623</v>
      </c>
      <c r="B198" s="855" t="s">
        <v>70</v>
      </c>
      <c r="C198" s="855" t="s">
        <v>18613</v>
      </c>
      <c r="D198" s="836" t="str">
        <f>PROPER(IF(B198="Saneago",VLOOKUP(C198,'SANEAGO-FEV.2016'!A:B,2,0),IF(B198="Sinapi",VLOOKUP(C198,'SINAPI-FEV.2017'!A:D,2,0),IF(B198="Cotação",VLOOKUP(C198,COTAÇÃO!A:D,2,0),IF(B198="Composição",VLOOKUP(C198,COMPOSIÇÃO!A:D,2,0))))))</f>
        <v>Piso Cimentado Traco 1:3 (Cimento E Areia), Com Acabamento Rustico E Frisado Espessura 2Cm, Preparo Manual</v>
      </c>
      <c r="E198" s="837"/>
      <c r="F198" s="837"/>
      <c r="G198" s="838"/>
      <c r="H198" s="838"/>
      <c r="I198" s="851"/>
      <c r="J198" s="838"/>
      <c r="K198" s="839" t="s">
        <v>27</v>
      </c>
      <c r="L198" s="856" t="s">
        <v>21</v>
      </c>
      <c r="M198" s="1150">
        <f>SUM(M196:M197)</f>
        <v>17.25</v>
      </c>
      <c r="N198" s="700"/>
      <c r="O198" s="908"/>
      <c r="P198" s="1443"/>
    </row>
    <row r="199" spans="1:18" s="865" customFormat="1">
      <c r="A199" s="912"/>
      <c r="B199" s="855"/>
      <c r="C199" s="855"/>
      <c r="D199" s="841"/>
      <c r="E199" s="842"/>
      <c r="F199" s="843"/>
      <c r="G199" s="842"/>
      <c r="H199" s="842"/>
      <c r="I199" s="842"/>
      <c r="J199" s="844"/>
      <c r="K199" s="845"/>
      <c r="L199" s="846"/>
      <c r="M199" s="846"/>
      <c r="N199" s="842"/>
      <c r="O199" s="1459"/>
      <c r="P199" s="1460"/>
      <c r="Q199" s="863"/>
      <c r="R199" s="863"/>
    </row>
    <row r="200" spans="1:18" s="865" customFormat="1">
      <c r="A200" s="912"/>
      <c r="B200" s="855"/>
      <c r="C200" s="855"/>
      <c r="D200" s="857"/>
      <c r="E200" s="857"/>
      <c r="F200" s="858"/>
      <c r="G200" s="857"/>
      <c r="H200" s="857"/>
      <c r="I200" s="857"/>
      <c r="J200" s="859"/>
      <c r="K200" s="860"/>
      <c r="L200" s="861"/>
      <c r="M200" s="861"/>
      <c r="N200" s="700"/>
      <c r="O200" s="863"/>
      <c r="P200" s="871"/>
      <c r="Q200" s="863"/>
      <c r="R200" s="863"/>
    </row>
    <row r="201" spans="1:18" s="865" customFormat="1">
      <c r="A201" s="912"/>
      <c r="B201" s="855"/>
      <c r="C201" s="855"/>
      <c r="D201" s="857"/>
      <c r="E201" s="857"/>
      <c r="F201" s="858"/>
      <c r="G201" s="857"/>
      <c r="H201" s="857"/>
      <c r="I201" s="857"/>
      <c r="J201" s="859"/>
      <c r="K201" s="860"/>
      <c r="L201" s="861"/>
      <c r="M201" s="861"/>
      <c r="N201" s="700"/>
      <c r="O201" s="863"/>
      <c r="P201" s="871"/>
      <c r="Q201" s="863"/>
      <c r="R201" s="863"/>
    </row>
  </sheetData>
  <sheetProtection algorithmName="SHA-512" hashValue="YCjrGoZ0iGwxQaaHtq5XCL6BfGlYjjs/Ucd3uFmuqB9+4vsJHd9gylXBHIgqODMU9bwF4IelfHRqH5FdxhCDMw==" saltValue="Yg9mGODLtwiPXyuDsU1RjA==" spinCount="100000" sheet="1"/>
  <mergeCells count="29">
    <mergeCell ref="D197:G197"/>
    <mergeCell ref="F184:I184"/>
    <mergeCell ref="F185:I185"/>
    <mergeCell ref="D190:G190"/>
    <mergeCell ref="D191:G191"/>
    <mergeCell ref="D196:G196"/>
    <mergeCell ref="H172:K172"/>
    <mergeCell ref="H173:K173"/>
    <mergeCell ref="F178:I178"/>
    <mergeCell ref="F179:I179"/>
    <mergeCell ref="E127:G127"/>
    <mergeCell ref="H153:K153"/>
    <mergeCell ref="H154:K154"/>
    <mergeCell ref="I155:K155"/>
    <mergeCell ref="E122:G122"/>
    <mergeCell ref="E126:G126"/>
    <mergeCell ref="E35:H35"/>
    <mergeCell ref="E36:H36"/>
    <mergeCell ref="E37:H37"/>
    <mergeCell ref="E31:H31"/>
    <mergeCell ref="D8:G8"/>
    <mergeCell ref="E49:G49"/>
    <mergeCell ref="E50:G50"/>
    <mergeCell ref="E121:G121"/>
    <mergeCell ref="D1:M4"/>
    <mergeCell ref="D10:M10"/>
    <mergeCell ref="D12:M12"/>
    <mergeCell ref="D26:M26"/>
    <mergeCell ref="E30:H30"/>
  </mergeCells>
  <conditionalFormatting sqref="L29:M30 M31:M32 L39:M39">
    <cfRule type="cellIs" dxfId="2217" priority="105" operator="equal">
      <formula>0</formula>
    </cfRule>
  </conditionalFormatting>
  <conditionalFormatting sqref="L31:L32">
    <cfRule type="cellIs" dxfId="2216" priority="104" operator="equal">
      <formula>0</formula>
    </cfRule>
  </conditionalFormatting>
  <conditionalFormatting sqref="L33:M33">
    <cfRule type="cellIs" dxfId="2215" priority="103" operator="equal">
      <formula>0</formula>
    </cfRule>
  </conditionalFormatting>
  <conditionalFormatting sqref="L119:M119">
    <cfRule type="cellIs" dxfId="2214" priority="101" operator="equal">
      <formula>0</formula>
    </cfRule>
  </conditionalFormatting>
  <conditionalFormatting sqref="L129">
    <cfRule type="cellIs" dxfId="2213" priority="98" operator="equal">
      <formula>0</formula>
    </cfRule>
  </conditionalFormatting>
  <conditionalFormatting sqref="M129">
    <cfRule type="cellIs" dxfId="2212" priority="95" operator="equal">
      <formula>0</formula>
    </cfRule>
  </conditionalFormatting>
  <conditionalFormatting sqref="M124">
    <cfRule type="cellIs" dxfId="2211" priority="96" operator="equal">
      <formula>0</formula>
    </cfRule>
  </conditionalFormatting>
  <conditionalFormatting sqref="M123">
    <cfRule type="cellIs" dxfId="2210" priority="97" operator="equal">
      <formula>0</formula>
    </cfRule>
  </conditionalFormatting>
  <conditionalFormatting sqref="L46:M46">
    <cfRule type="cellIs" dxfId="2209" priority="90" operator="equal">
      <formula>0</formula>
    </cfRule>
  </conditionalFormatting>
  <conditionalFormatting sqref="L47:M47">
    <cfRule type="cellIs" dxfId="2208" priority="89" operator="equal">
      <formula>0</formula>
    </cfRule>
  </conditionalFormatting>
  <conditionalFormatting sqref="L44:M44">
    <cfRule type="cellIs" dxfId="2207" priority="92" operator="equal">
      <formula>0</formula>
    </cfRule>
  </conditionalFormatting>
  <conditionalFormatting sqref="L43:M43">
    <cfRule type="cellIs" dxfId="2206" priority="93" operator="equal">
      <formula>0</formula>
    </cfRule>
  </conditionalFormatting>
  <conditionalFormatting sqref="L51:M53">
    <cfRule type="cellIs" dxfId="2205" priority="88" operator="equal">
      <formula>0</formula>
    </cfRule>
  </conditionalFormatting>
  <conditionalFormatting sqref="L45:M45">
    <cfRule type="cellIs" dxfId="2204" priority="91" operator="equal">
      <formula>0</formula>
    </cfRule>
  </conditionalFormatting>
  <conditionalFormatting sqref="M63">
    <cfRule type="cellIs" dxfId="2203" priority="86" operator="equal">
      <formula>0</formula>
    </cfRule>
  </conditionalFormatting>
  <conditionalFormatting sqref="L63">
    <cfRule type="cellIs" dxfId="2202" priority="85" operator="equal">
      <formula>0</formula>
    </cfRule>
  </conditionalFormatting>
  <conditionalFormatting sqref="M59">
    <cfRule type="cellIs" dxfId="2201" priority="83" operator="equal">
      <formula>0</formula>
    </cfRule>
  </conditionalFormatting>
  <conditionalFormatting sqref="L85">
    <cfRule type="cellIs" dxfId="2200" priority="72" operator="equal">
      <formula>0</formula>
    </cfRule>
  </conditionalFormatting>
  <conditionalFormatting sqref="L71:M71">
    <cfRule type="cellIs" dxfId="2199" priority="79" operator="equal">
      <formula>0</formula>
    </cfRule>
  </conditionalFormatting>
  <conditionalFormatting sqref="L55">
    <cfRule type="cellIs" dxfId="2198" priority="84" operator="equal">
      <formula>0</formula>
    </cfRule>
  </conditionalFormatting>
  <conditionalFormatting sqref="L59">
    <cfRule type="cellIs" dxfId="2197" priority="82" operator="equal">
      <formula>0</formula>
    </cfRule>
  </conditionalFormatting>
  <conditionalFormatting sqref="L69:M69">
    <cfRule type="cellIs" dxfId="2196" priority="81" operator="equal">
      <formula>0</formula>
    </cfRule>
  </conditionalFormatting>
  <conditionalFormatting sqref="L68:M68">
    <cfRule type="cellIs" dxfId="2195" priority="80" operator="equal">
      <formula>0</formula>
    </cfRule>
  </conditionalFormatting>
  <conditionalFormatting sqref="L76:M76">
    <cfRule type="cellIs" dxfId="2194" priority="76" operator="equal">
      <formula>0</formula>
    </cfRule>
  </conditionalFormatting>
  <conditionalFormatting sqref="L70:M70">
    <cfRule type="cellIs" dxfId="2193" priority="78" operator="equal">
      <formula>0</formula>
    </cfRule>
  </conditionalFormatting>
  <conditionalFormatting sqref="L77:M77">
    <cfRule type="cellIs" dxfId="2192" priority="77" operator="equal">
      <formula>0</formula>
    </cfRule>
  </conditionalFormatting>
  <conditionalFormatting sqref="L80">
    <cfRule type="cellIs" dxfId="2191" priority="75" operator="equal">
      <formula>0</formula>
    </cfRule>
  </conditionalFormatting>
  <conditionalFormatting sqref="L84">
    <cfRule type="cellIs" dxfId="2190" priority="73" operator="equal">
      <formula>0</formula>
    </cfRule>
  </conditionalFormatting>
  <conditionalFormatting sqref="L81">
    <cfRule type="cellIs" dxfId="2189" priority="74" operator="equal">
      <formula>0</formula>
    </cfRule>
  </conditionalFormatting>
  <conditionalFormatting sqref="L88">
    <cfRule type="cellIs" dxfId="2188" priority="71" operator="equal">
      <formula>0</formula>
    </cfRule>
  </conditionalFormatting>
  <conditionalFormatting sqref="L89">
    <cfRule type="cellIs" dxfId="2187" priority="70" operator="equal">
      <formula>0</formula>
    </cfRule>
  </conditionalFormatting>
  <conditionalFormatting sqref="L92">
    <cfRule type="cellIs" dxfId="2186" priority="69" operator="equal">
      <formula>0</formula>
    </cfRule>
  </conditionalFormatting>
  <conditionalFormatting sqref="D28">
    <cfRule type="cellIs" dxfId="2185" priority="106" operator="equal">
      <formula>0</formula>
    </cfRule>
  </conditionalFormatting>
  <conditionalFormatting sqref="D113:D114">
    <cfRule type="cellIs" dxfId="2184" priority="102" operator="equal">
      <formula>0</formula>
    </cfRule>
  </conditionalFormatting>
  <conditionalFormatting sqref="D42">
    <cfRule type="cellIs" dxfId="2183" priority="94" operator="equal">
      <formula>0</formula>
    </cfRule>
  </conditionalFormatting>
  <conditionalFormatting sqref="L93">
    <cfRule type="cellIs" dxfId="2182" priority="68" operator="equal">
      <formula>0</formula>
    </cfRule>
  </conditionalFormatting>
  <conditionalFormatting sqref="L96">
    <cfRule type="cellIs" dxfId="2181" priority="67" operator="equal">
      <formula>0</formula>
    </cfRule>
  </conditionalFormatting>
  <conditionalFormatting sqref="L97">
    <cfRule type="cellIs" dxfId="2180" priority="66" operator="equal">
      <formula>0</formula>
    </cfRule>
  </conditionalFormatting>
  <conditionalFormatting sqref="M78 M82 M86 M90 M94">
    <cfRule type="cellIs" dxfId="2179" priority="64" operator="equal">
      <formula>0</formula>
    </cfRule>
  </conditionalFormatting>
  <conditionalFormatting sqref="M83 M87 M91 M95">
    <cfRule type="cellIs" dxfId="2178" priority="65" operator="equal">
      <formula>0</formula>
    </cfRule>
  </conditionalFormatting>
  <conditionalFormatting sqref="M80 M84 M88 M92 M96">
    <cfRule type="cellIs" dxfId="2177" priority="62" operator="equal">
      <formula>0</formula>
    </cfRule>
  </conditionalFormatting>
  <conditionalFormatting sqref="L155">
    <cfRule type="cellIs" dxfId="2176" priority="61" operator="equal">
      <formula>0</formula>
    </cfRule>
  </conditionalFormatting>
  <conditionalFormatting sqref="L160:M160">
    <cfRule type="cellIs" dxfId="2175" priority="59" operator="equal">
      <formula>0</formula>
    </cfRule>
  </conditionalFormatting>
  <conditionalFormatting sqref="L161:M161">
    <cfRule type="cellIs" dxfId="2174" priority="58" operator="equal">
      <formula>0</formula>
    </cfRule>
  </conditionalFormatting>
  <conditionalFormatting sqref="M81 M85 M89 M93 M97">
    <cfRule type="cellIs" dxfId="2173" priority="63" operator="equal">
      <formula>0</formula>
    </cfRule>
  </conditionalFormatting>
  <conditionalFormatting sqref="M186">
    <cfRule type="cellIs" dxfId="2172" priority="54" operator="equal">
      <formula>0</formula>
    </cfRule>
  </conditionalFormatting>
  <conditionalFormatting sqref="L192:M192">
    <cfRule type="cellIs" dxfId="2171" priority="52" operator="equal">
      <formula>0</formula>
    </cfRule>
  </conditionalFormatting>
  <conditionalFormatting sqref="M155">
    <cfRule type="cellIs" dxfId="2170" priority="60" operator="equal">
      <formula>0</formula>
    </cfRule>
  </conditionalFormatting>
  <conditionalFormatting sqref="L186">
    <cfRule type="cellIs" dxfId="2169" priority="55" operator="equal">
      <formula>0</formula>
    </cfRule>
  </conditionalFormatting>
  <conditionalFormatting sqref="L195:M195">
    <cfRule type="cellIs" dxfId="2168" priority="50" operator="equal">
      <formula>0</formula>
    </cfRule>
  </conditionalFormatting>
  <conditionalFormatting sqref="L198:M198">
    <cfRule type="cellIs" dxfId="2167" priority="49" operator="equal">
      <formula>0</formula>
    </cfRule>
  </conditionalFormatting>
  <conditionalFormatting sqref="L174:M175">
    <cfRule type="cellIs" dxfId="2166" priority="48" operator="equal">
      <formula>0</formula>
    </cfRule>
  </conditionalFormatting>
  <conditionalFormatting sqref="L173:M173">
    <cfRule type="cellIs" dxfId="2165" priority="46" operator="equal">
      <formula>0</formula>
    </cfRule>
  </conditionalFormatting>
  <conditionalFormatting sqref="K5:M9 K25:M25 L13 K11:M11 K181:M181 L60:M62 L56:M58 L54:M54 L117:M117 L159:M159 K187:M187 K193:M193 K199:M65203">
    <cfRule type="cellIs" dxfId="2164" priority="160" operator="equal">
      <formula>0</formula>
    </cfRule>
  </conditionalFormatting>
  <conditionalFormatting sqref="L15:M24">
    <cfRule type="cellIs" dxfId="2163" priority="159" operator="equal">
      <formula>0</formula>
    </cfRule>
  </conditionalFormatting>
  <conditionalFormatting sqref="L14">
    <cfRule type="cellIs" dxfId="2162" priority="158" operator="equal">
      <formula>0</formula>
    </cfRule>
  </conditionalFormatting>
  <conditionalFormatting sqref="L130:M130">
    <cfRule type="cellIs" dxfId="2161" priority="156" operator="equal">
      <formula>0</formula>
    </cfRule>
  </conditionalFormatting>
  <conditionalFormatting sqref="L78">
    <cfRule type="cellIs" dxfId="2160" priority="137" operator="equal">
      <formula>0</formula>
    </cfRule>
  </conditionalFormatting>
  <conditionalFormatting sqref="L131:M131">
    <cfRule type="cellIs" dxfId="2159" priority="150" operator="equal">
      <formula>0</formula>
    </cfRule>
  </conditionalFormatting>
  <conditionalFormatting sqref="M13:M14">
    <cfRule type="cellIs" dxfId="2158" priority="129" operator="equal">
      <formula>0</formula>
    </cfRule>
  </conditionalFormatting>
  <conditionalFormatting sqref="L112:M112">
    <cfRule type="cellIs" dxfId="2157" priority="152" operator="equal">
      <formula>0</formula>
    </cfRule>
  </conditionalFormatting>
  <conditionalFormatting sqref="L135:M135">
    <cfRule type="cellIs" dxfId="2156" priority="145" operator="equal">
      <formula>0</formula>
    </cfRule>
  </conditionalFormatting>
  <conditionalFormatting sqref="L138">
    <cfRule type="cellIs" dxfId="2155" priority="144" operator="equal">
      <formula>0</formula>
    </cfRule>
  </conditionalFormatting>
  <conditionalFormatting sqref="L133:M133">
    <cfRule type="cellIs" dxfId="2154" priority="147" operator="equal">
      <formula>0</formula>
    </cfRule>
  </conditionalFormatting>
  <conditionalFormatting sqref="L134:M134">
    <cfRule type="cellIs" dxfId="2153" priority="148" operator="equal">
      <formula>0</formula>
    </cfRule>
  </conditionalFormatting>
  <conditionalFormatting sqref="L137:M137">
    <cfRule type="cellIs" dxfId="2152" priority="143" operator="equal">
      <formula>0</formula>
    </cfRule>
  </conditionalFormatting>
  <conditionalFormatting sqref="L136:M136">
    <cfRule type="cellIs" dxfId="2151" priority="146" operator="equal">
      <formula>0</formula>
    </cfRule>
  </conditionalFormatting>
  <conditionalFormatting sqref="L139:M139">
    <cfRule type="cellIs" dxfId="2150" priority="141" operator="equal">
      <formula>0</formula>
    </cfRule>
  </conditionalFormatting>
  <conditionalFormatting sqref="L169:M170">
    <cfRule type="cellIs" dxfId="2149" priority="140" operator="equal">
      <formula>0</formula>
    </cfRule>
  </conditionalFormatting>
  <conditionalFormatting sqref="L99:M99">
    <cfRule type="cellIs" dxfId="2148" priority="136" operator="equal">
      <formula>0</formula>
    </cfRule>
  </conditionalFormatting>
  <conditionalFormatting sqref="L149:M149">
    <cfRule type="cellIs" dxfId="2147" priority="130" operator="equal">
      <formula>0</formula>
    </cfRule>
  </conditionalFormatting>
  <conditionalFormatting sqref="L98:M98">
    <cfRule type="cellIs" dxfId="2146" priority="135" operator="equal">
      <formula>0</formula>
    </cfRule>
  </conditionalFormatting>
  <conditionalFormatting sqref="L162:M163 L165:M165 L167:M167">
    <cfRule type="cellIs" dxfId="2145" priority="139" operator="equal">
      <formula>0</formula>
    </cfRule>
  </conditionalFormatting>
  <conditionalFormatting sqref="L86">
    <cfRule type="cellIs" dxfId="2144" priority="120" operator="equal">
      <formula>0</formula>
    </cfRule>
  </conditionalFormatting>
  <conditionalFormatting sqref="L87">
    <cfRule type="cellIs" dxfId="2143" priority="119" operator="equal">
      <formula>0</formula>
    </cfRule>
  </conditionalFormatting>
  <conditionalFormatting sqref="G105:I105">
    <cfRule type="cellIs" dxfId="2142" priority="131" operator="equal">
      <formula>0</formula>
    </cfRule>
  </conditionalFormatting>
  <conditionalFormatting sqref="G104:I104">
    <cfRule type="cellIs" dxfId="2141" priority="132" operator="equal">
      <formula>0</formula>
    </cfRule>
  </conditionalFormatting>
  <conditionalFormatting sqref="D12 D118">
    <cfRule type="cellIs" dxfId="2140" priority="161" operator="equal">
      <formula>0</formula>
    </cfRule>
  </conditionalFormatting>
  <conditionalFormatting sqref="D26:D27">
    <cfRule type="cellIs" dxfId="2139" priority="157" operator="equal">
      <formula>0</formula>
    </cfRule>
  </conditionalFormatting>
  <conditionalFormatting sqref="D10">
    <cfRule type="cellIs" dxfId="2138" priority="155" operator="equal">
      <formula>0</formula>
    </cfRule>
  </conditionalFormatting>
  <conditionalFormatting sqref="D40">
    <cfRule type="cellIs" dxfId="2137" priority="154" operator="equal">
      <formula>0</formula>
    </cfRule>
  </conditionalFormatting>
  <conditionalFormatting sqref="D132">
    <cfRule type="cellIs" dxfId="2136" priority="149" operator="equal">
      <formula>0</formula>
    </cfRule>
  </conditionalFormatting>
  <conditionalFormatting sqref="D140">
    <cfRule type="cellIs" dxfId="2135" priority="142" operator="equal">
      <formula>0</formula>
    </cfRule>
  </conditionalFormatting>
  <conditionalFormatting sqref="L75:M75">
    <cfRule type="cellIs" dxfId="2134" priority="125" operator="equal">
      <formula>0</formula>
    </cfRule>
  </conditionalFormatting>
  <conditionalFormatting sqref="L74:M74">
    <cfRule type="cellIs" dxfId="2133" priority="124" operator="equal">
      <formula>0</formula>
    </cfRule>
  </conditionalFormatting>
  <conditionalFormatting sqref="L82">
    <cfRule type="cellIs" dxfId="2132" priority="122" operator="equal">
      <formula>0</formula>
    </cfRule>
  </conditionalFormatting>
  <conditionalFormatting sqref="L79">
    <cfRule type="cellIs" dxfId="2131" priority="123" operator="equal">
      <formula>0</formula>
    </cfRule>
  </conditionalFormatting>
  <conditionalFormatting sqref="L91">
    <cfRule type="cellIs" dxfId="2130" priority="117" operator="equal">
      <formula>0</formula>
    </cfRule>
  </conditionalFormatting>
  <conditionalFormatting sqref="L94">
    <cfRule type="cellIs" dxfId="2129" priority="116" operator="equal">
      <formula>0</formula>
    </cfRule>
  </conditionalFormatting>
  <conditionalFormatting sqref="L95">
    <cfRule type="cellIs" dxfId="2128" priority="115" operator="equal">
      <formula>0</formula>
    </cfRule>
  </conditionalFormatting>
  <conditionalFormatting sqref="L83">
    <cfRule type="cellIs" dxfId="2127" priority="121" operator="equal">
      <formula>0</formula>
    </cfRule>
  </conditionalFormatting>
  <conditionalFormatting sqref="L90">
    <cfRule type="cellIs" dxfId="2126" priority="118" operator="equal">
      <formula>0</formula>
    </cfRule>
  </conditionalFormatting>
  <conditionalFormatting sqref="M138">
    <cfRule type="cellIs" dxfId="2125" priority="114" operator="equal">
      <formula>0</formula>
    </cfRule>
  </conditionalFormatting>
  <conditionalFormatting sqref="L177:M180">
    <cfRule type="cellIs" dxfId="2124" priority="107" operator="equal">
      <formula>0</formula>
    </cfRule>
  </conditionalFormatting>
  <conditionalFormatting sqref="D176">
    <cfRule type="cellIs" dxfId="2123" priority="108" operator="equal">
      <formula>0</formula>
    </cfRule>
  </conditionalFormatting>
  <conditionalFormatting sqref="L124">
    <cfRule type="cellIs" dxfId="2122" priority="99" operator="equal">
      <formula>0</formula>
    </cfRule>
  </conditionalFormatting>
  <conditionalFormatting sqref="L123">
    <cfRule type="cellIs" dxfId="2121" priority="100" operator="equal">
      <formula>0</formula>
    </cfRule>
  </conditionalFormatting>
  <conditionalFormatting sqref="M55">
    <cfRule type="cellIs" dxfId="2120" priority="87" operator="equal">
      <formula>0</formula>
    </cfRule>
  </conditionalFormatting>
  <conditionalFormatting sqref="D182">
    <cfRule type="cellIs" dxfId="2119" priority="56" operator="equal">
      <formula>0</formula>
    </cfRule>
  </conditionalFormatting>
  <conditionalFormatting sqref="D188">
    <cfRule type="cellIs" dxfId="2118" priority="53" operator="equal">
      <formula>0</formula>
    </cfRule>
  </conditionalFormatting>
  <conditionalFormatting sqref="L172:M172">
    <cfRule type="cellIs" dxfId="2117" priority="47" operator="equal">
      <formula>0</formula>
    </cfRule>
  </conditionalFormatting>
  <conditionalFormatting sqref="L34:M37">
    <cfRule type="cellIs" dxfId="2116" priority="43" operator="equal">
      <formula>0</formula>
    </cfRule>
  </conditionalFormatting>
  <conditionalFormatting sqref="L38:M38">
    <cfRule type="cellIs" dxfId="2115" priority="42" operator="equal">
      <formula>0</formula>
    </cfRule>
  </conditionalFormatting>
  <conditionalFormatting sqref="M67">
    <cfRule type="cellIs" dxfId="2114" priority="38" operator="equal">
      <formula>0</formula>
    </cfRule>
  </conditionalFormatting>
  <conditionalFormatting sqref="L67">
    <cfRule type="cellIs" dxfId="2113" priority="37" operator="equal">
      <formula>0</formula>
    </cfRule>
  </conditionalFormatting>
  <conditionalFormatting sqref="L64:M66">
    <cfRule type="cellIs" dxfId="2112" priority="39" operator="equal">
      <formula>0</formula>
    </cfRule>
  </conditionalFormatting>
  <conditionalFormatting sqref="L73:M73">
    <cfRule type="cellIs" dxfId="2111" priority="36" operator="equal">
      <formula>0</formula>
    </cfRule>
  </conditionalFormatting>
  <conditionalFormatting sqref="L72:M72">
    <cfRule type="cellIs" dxfId="2110" priority="35" operator="equal">
      <formula>0</formula>
    </cfRule>
  </conditionalFormatting>
  <conditionalFormatting sqref="M79">
    <cfRule type="cellIs" dxfId="2109" priority="34" operator="equal">
      <formula>0</formula>
    </cfRule>
  </conditionalFormatting>
  <conditionalFormatting sqref="L101:M103">
    <cfRule type="cellIs" dxfId="2108" priority="33" operator="equal">
      <formula>0</formula>
    </cfRule>
  </conditionalFormatting>
  <conditionalFormatting sqref="F101:F102">
    <cfRule type="cellIs" dxfId="2107" priority="32" operator="equal">
      <formula>0</formula>
    </cfRule>
  </conditionalFormatting>
  <conditionalFormatting sqref="L106:M106">
    <cfRule type="cellIs" dxfId="2106" priority="17" operator="equal">
      <formula>0</formula>
    </cfRule>
  </conditionalFormatting>
  <conditionalFormatting sqref="L107:M107">
    <cfRule type="cellIs" dxfId="2105" priority="16" operator="equal">
      <formula>0</formula>
    </cfRule>
  </conditionalFormatting>
  <conditionalFormatting sqref="G107:I107">
    <cfRule type="cellIs" dxfId="2104" priority="28" operator="equal">
      <formula>0</formula>
    </cfRule>
  </conditionalFormatting>
  <conditionalFormatting sqref="G106:I106">
    <cfRule type="cellIs" dxfId="2103" priority="29" operator="equal">
      <formula>0</formula>
    </cfRule>
  </conditionalFormatting>
  <conditionalFormatting sqref="L108:M108">
    <cfRule type="cellIs" dxfId="2102" priority="13" operator="equal">
      <formula>0</formula>
    </cfRule>
  </conditionalFormatting>
  <conditionalFormatting sqref="L109:M109">
    <cfRule type="cellIs" dxfId="2101" priority="12" operator="equal">
      <formula>0</formula>
    </cfRule>
  </conditionalFormatting>
  <conditionalFormatting sqref="G109:I109">
    <cfRule type="cellIs" dxfId="2100" priority="24" operator="equal">
      <formula>0</formula>
    </cfRule>
  </conditionalFormatting>
  <conditionalFormatting sqref="G108:I108">
    <cfRule type="cellIs" dxfId="2099" priority="25" operator="equal">
      <formula>0</formula>
    </cfRule>
  </conditionalFormatting>
  <conditionalFormatting sqref="L110:M110">
    <cfRule type="cellIs" dxfId="2098" priority="22" operator="equal">
      <formula>0</formula>
    </cfRule>
  </conditionalFormatting>
  <conditionalFormatting sqref="L111:M111">
    <cfRule type="cellIs" dxfId="2097" priority="23" operator="equal">
      <formula>0</formula>
    </cfRule>
  </conditionalFormatting>
  <conditionalFormatting sqref="L104:M104">
    <cfRule type="cellIs" dxfId="2096" priority="21" operator="equal">
      <formula>0</formula>
    </cfRule>
  </conditionalFormatting>
  <conditionalFormatting sqref="L105:M105">
    <cfRule type="cellIs" dxfId="2095" priority="20" operator="equal">
      <formula>0</formula>
    </cfRule>
  </conditionalFormatting>
  <conditionalFormatting sqref="J105:K105">
    <cfRule type="cellIs" dxfId="2094" priority="18" operator="equal">
      <formula>0</formula>
    </cfRule>
  </conditionalFormatting>
  <conditionalFormatting sqref="J104:K104">
    <cfRule type="cellIs" dxfId="2093" priority="19" operator="equal">
      <formula>0</formula>
    </cfRule>
  </conditionalFormatting>
  <conditionalFormatting sqref="J107:K107">
    <cfRule type="cellIs" dxfId="2092" priority="14" operator="equal">
      <formula>0</formula>
    </cfRule>
  </conditionalFormatting>
  <conditionalFormatting sqref="J106:K106">
    <cfRule type="cellIs" dxfId="2091" priority="15" operator="equal">
      <formula>0</formula>
    </cfRule>
  </conditionalFormatting>
  <conditionalFormatting sqref="J109:K109">
    <cfRule type="cellIs" dxfId="2090" priority="10" operator="equal">
      <formula>0</formula>
    </cfRule>
  </conditionalFormatting>
  <conditionalFormatting sqref="J108:K108">
    <cfRule type="cellIs" dxfId="2089" priority="11" operator="equal">
      <formula>0</formula>
    </cfRule>
  </conditionalFormatting>
  <conditionalFormatting sqref="L164:M164">
    <cfRule type="cellIs" dxfId="2088" priority="9" operator="equal">
      <formula>0</formula>
    </cfRule>
  </conditionalFormatting>
  <conditionalFormatting sqref="L166:M166">
    <cfRule type="cellIs" dxfId="2087" priority="8" operator="equal">
      <formula>0</formula>
    </cfRule>
  </conditionalFormatting>
  <conditionalFormatting sqref="L168:M168">
    <cfRule type="cellIs" dxfId="2086" priority="7" operator="equal">
      <formula>0</formula>
    </cfRule>
  </conditionalFormatting>
  <conditionalFormatting sqref="D194">
    <cfRule type="cellIs" dxfId="2085" priority="6" operator="equal">
      <formula>0</formula>
    </cfRule>
  </conditionalFormatting>
  <conditionalFormatting sqref="M157">
    <cfRule type="cellIs" dxfId="2084" priority="5" operator="equal">
      <formula>0</formula>
    </cfRule>
  </conditionalFormatting>
  <conditionalFormatting sqref="L157">
    <cfRule type="cellIs" dxfId="2083" priority="2" operator="equal">
      <formula>0</formula>
    </cfRule>
  </conditionalFormatting>
  <conditionalFormatting sqref="L151:M151">
    <cfRule type="cellIs" dxfId="2082" priority="1" operator="equal">
      <formula>0</formula>
    </cfRule>
  </conditionalFormatting>
  <pageMargins left="0.51181102362204722" right="0.51181102362204722" top="0.78740157480314965" bottom="0.78740157480314965" header="0.31496062992125984" footer="0.31496062992125984"/>
  <pageSetup paperSize="9" scale="52" fitToHeight="3" orientation="portrait" horizontalDpi="1200" verticalDpi="1200" r:id="rId1"/>
  <rowBreaks count="1" manualBreakCount="1">
    <brk id="155" min="3" max="12"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ER203"/>
  <sheetViews>
    <sheetView topLeftCell="F1" zoomScale="85" zoomScaleNormal="85" zoomScaleSheetLayoutView="55" workbookViewId="0">
      <selection activeCell="J11" sqref="J11"/>
    </sheetView>
  </sheetViews>
  <sheetFormatPr defaultRowHeight="18" customHeight="1"/>
  <cols>
    <col min="1" max="1" width="3.5703125" style="270" customWidth="1"/>
    <col min="2" max="2" width="4.5703125" style="211" customWidth="1"/>
    <col min="3" max="3" width="16" style="271" customWidth="1"/>
    <col min="4" max="4" width="12.140625" style="271" customWidth="1"/>
    <col min="5" max="5" width="10" style="271" customWidth="1"/>
    <col min="6" max="6" width="9.28515625" style="211" customWidth="1"/>
    <col min="7" max="7" width="69.140625" style="211" customWidth="1"/>
    <col min="8" max="8" width="9.5703125" style="262" customWidth="1"/>
    <col min="9" max="9" width="17.140625" style="262" customWidth="1"/>
    <col min="10" max="10" width="15.85546875" style="262" customWidth="1"/>
    <col min="11" max="11" width="16" style="262" customWidth="1"/>
    <col min="12" max="12" width="17.28515625" style="262" customWidth="1"/>
    <col min="13" max="13" width="10.7109375" style="262" customWidth="1"/>
    <col min="14" max="14" width="10.42578125" style="262" customWidth="1"/>
    <col min="15" max="15" width="11.42578125" style="211" customWidth="1"/>
    <col min="16" max="16" width="54.5703125" style="263" customWidth="1"/>
    <col min="17" max="17" width="10.5703125" style="213" customWidth="1"/>
    <col min="18" max="18" width="3.28515625" style="214" customWidth="1"/>
    <col min="19" max="19" width="5" style="214" customWidth="1"/>
    <col min="20" max="20" width="6" style="214" customWidth="1"/>
    <col min="21" max="21" width="6.7109375" style="214" customWidth="1"/>
    <col min="22" max="22" width="9.28515625" style="215" customWidth="1"/>
    <col min="23" max="23" width="9.140625" style="215" customWidth="1"/>
    <col min="24" max="24" width="8.42578125" style="215" bestFit="1" customWidth="1"/>
    <col min="25" max="25" width="7.7109375" style="215" customWidth="1"/>
    <col min="26" max="26" width="7.140625" style="215" customWidth="1"/>
    <col min="27" max="27" width="8.5703125" style="215" customWidth="1"/>
    <col min="28" max="28" width="7" style="215" customWidth="1"/>
    <col min="29" max="29" width="8.5703125" style="215" customWidth="1"/>
    <col min="30" max="30" width="7.42578125" style="215" customWidth="1"/>
    <col min="31" max="31" width="6" style="215" customWidth="1"/>
    <col min="32" max="32" width="8.7109375" style="215" customWidth="1"/>
    <col min="33" max="33" width="7.140625" style="215" customWidth="1"/>
    <col min="34" max="34" width="5.42578125" style="211" customWidth="1"/>
    <col min="35" max="35" width="5.5703125" style="211" customWidth="1"/>
    <col min="36" max="36" width="5.7109375" style="211" customWidth="1"/>
    <col min="37" max="37" width="8.28515625" style="211" customWidth="1"/>
    <col min="38" max="39" width="9.28515625" style="211" customWidth="1"/>
    <col min="40" max="40" width="9.140625" style="211" customWidth="1"/>
    <col min="41" max="41" width="9.85546875" style="211" customWidth="1"/>
    <col min="42" max="44" width="4" style="211" customWidth="1"/>
    <col min="45" max="45" width="6.85546875" style="211" customWidth="1"/>
    <col min="46" max="46" width="8" style="211" customWidth="1"/>
    <col min="47" max="50" width="5.42578125" style="211" customWidth="1"/>
    <col min="51" max="51" width="6.85546875" style="211" customWidth="1"/>
    <col min="52" max="52" width="9.85546875" style="211" customWidth="1"/>
    <col min="53" max="53" width="5.7109375" style="211" customWidth="1"/>
    <col min="54" max="54" width="12" style="211" customWidth="1"/>
    <col min="55" max="55" width="14.28515625" style="211" customWidth="1"/>
    <col min="56" max="56" width="9.85546875" style="211" customWidth="1"/>
    <col min="57" max="57" width="5.7109375" style="211" customWidth="1"/>
    <col min="58" max="58" width="12" style="211" customWidth="1"/>
    <col min="59" max="59" width="14.28515625" style="211" customWidth="1"/>
    <col min="60" max="60" width="9.85546875" style="211" customWidth="1"/>
    <col min="61" max="61" width="11.7109375" style="211" customWidth="1"/>
    <col min="62" max="62" width="12" style="211" customWidth="1"/>
    <col min="63" max="63" width="14.28515625" style="211" customWidth="1"/>
    <col min="64" max="64" width="13.28515625" style="211" customWidth="1"/>
    <col min="65" max="65" width="17.140625" style="211" customWidth="1"/>
    <col min="66" max="66" width="18.85546875" style="211" customWidth="1"/>
    <col min="67" max="67" width="17.28515625" style="211" customWidth="1"/>
    <col min="68" max="68" width="19" style="211" customWidth="1"/>
    <col min="69" max="69" width="18.5703125" style="211" customWidth="1"/>
    <col min="70" max="70" width="20.42578125" style="211" customWidth="1"/>
    <col min="71" max="71" width="18.140625" style="211" hidden="1" customWidth="1"/>
    <col min="72" max="72" width="20" style="211" hidden="1" customWidth="1"/>
    <col min="73" max="73" width="24" style="211" hidden="1" customWidth="1"/>
    <col min="74" max="74" width="25.85546875" style="211" hidden="1" customWidth="1"/>
    <col min="75" max="75" width="17.140625" style="211" customWidth="1"/>
    <col min="76" max="76" width="18.85546875" style="211" customWidth="1"/>
    <col min="77" max="77" width="18.140625" style="211" customWidth="1"/>
    <col min="78" max="78" width="20" style="211" customWidth="1"/>
    <col min="79" max="79" width="20" style="211" hidden="1" customWidth="1"/>
    <col min="80" max="80" width="18.42578125" style="211" customWidth="1"/>
    <col min="81" max="81" width="20.28515625" style="211" customWidth="1"/>
    <col min="82" max="82" width="20.28515625" style="211" hidden="1" customWidth="1"/>
    <col min="83" max="83" width="18" style="211" hidden="1" customWidth="1"/>
    <col min="84" max="85" width="19.85546875" style="211" hidden="1" customWidth="1"/>
    <col min="86" max="86" width="14.85546875" style="211" customWidth="1"/>
    <col min="87" max="87" width="20" style="211" customWidth="1"/>
    <col min="88" max="88" width="24.7109375" style="211" customWidth="1"/>
    <col min="89" max="89" width="27.42578125" style="211" customWidth="1"/>
    <col min="90" max="90" width="13.7109375" style="211" hidden="1" customWidth="1"/>
    <col min="91" max="91" width="21.140625" style="211" hidden="1" customWidth="1"/>
    <col min="92" max="92" width="21" style="211" hidden="1" customWidth="1"/>
    <col min="93" max="93" width="19.5703125" style="211" hidden="1" customWidth="1"/>
    <col min="94" max="94" width="14.140625" style="211" hidden="1" customWidth="1"/>
    <col min="95" max="95" width="9.7109375" style="211" hidden="1" customWidth="1"/>
    <col min="96" max="96" width="10.85546875" style="211" hidden="1" customWidth="1"/>
    <col min="97" max="97" width="15.42578125" style="211" hidden="1" customWidth="1"/>
    <col min="98" max="98" width="8.5703125" style="211" hidden="1" customWidth="1"/>
    <col min="99" max="99" width="9.5703125" style="211" hidden="1" customWidth="1"/>
    <col min="100" max="100" width="9" style="211" hidden="1" customWidth="1"/>
    <col min="101" max="101" width="12.140625" style="211" hidden="1" customWidth="1"/>
    <col min="102" max="102" width="11.42578125" style="211" hidden="1" customWidth="1"/>
    <col min="103" max="103" width="14.140625" style="211" hidden="1" customWidth="1"/>
    <col min="104" max="104" width="12" style="211" hidden="1" customWidth="1"/>
    <col min="105" max="105" width="10.5703125" style="211" hidden="1" customWidth="1"/>
    <col min="106" max="106" width="10.85546875" style="211" hidden="1" customWidth="1"/>
    <col min="107" max="107" width="9.140625" style="211" customWidth="1"/>
    <col min="108" max="108" width="11.42578125" style="211" customWidth="1"/>
    <col min="109" max="109" width="13.42578125" style="216" hidden="1" customWidth="1"/>
    <col min="110" max="118" width="10.28515625" style="216" hidden="1" customWidth="1"/>
    <col min="119" max="119" width="20.85546875" style="211" customWidth="1"/>
    <col min="120" max="120" width="17.5703125" style="211" hidden="1" customWidth="1"/>
    <col min="121" max="121" width="8.42578125" style="217" hidden="1" customWidth="1"/>
    <col min="122" max="122" width="10.140625" style="211" hidden="1" customWidth="1"/>
    <col min="123" max="123" width="9.7109375" style="211" hidden="1" customWidth="1"/>
    <col min="124" max="124" width="10.28515625" style="211" hidden="1" customWidth="1"/>
    <col min="125" max="125" width="9.42578125" style="211" hidden="1" customWidth="1"/>
    <col min="126" max="126" width="13.28515625" style="218" hidden="1" customWidth="1"/>
    <col min="127" max="127" width="13.140625" style="218" hidden="1" customWidth="1"/>
    <col min="128" max="128" width="11.5703125" style="218" hidden="1" customWidth="1"/>
    <col min="129" max="130" width="15.7109375" style="218" hidden="1" customWidth="1"/>
    <col min="131" max="131" width="16.7109375" style="218" hidden="1" customWidth="1"/>
    <col min="132" max="132" width="11.7109375" style="218" hidden="1" customWidth="1"/>
    <col min="133" max="133" width="12.28515625" style="218" hidden="1" customWidth="1"/>
    <col min="134" max="134" width="15.7109375" style="218" hidden="1" customWidth="1"/>
    <col min="135" max="135" width="16.140625" style="218" hidden="1" customWidth="1"/>
    <col min="136" max="136" width="16.42578125" style="218" hidden="1" customWidth="1"/>
    <col min="137" max="137" width="15.42578125" style="218" hidden="1" customWidth="1"/>
    <col min="138" max="138" width="15.5703125" style="211" hidden="1" customWidth="1"/>
    <col min="139" max="139" width="11.7109375" style="211" hidden="1" customWidth="1"/>
    <col min="140" max="142" width="9.140625" style="211" hidden="1" customWidth="1"/>
    <col min="143" max="143" width="10.7109375" style="211" hidden="1" customWidth="1"/>
    <col min="144" max="147" width="10.7109375" style="211" customWidth="1"/>
    <col min="148" max="148" width="9.140625" style="211" hidden="1" customWidth="1"/>
    <col min="149" max="16384" width="9.140625" style="211"/>
  </cols>
  <sheetData>
    <row r="1" spans="1:137" ht="18" customHeight="1">
      <c r="A1" s="1362"/>
      <c r="B1" s="1363"/>
      <c r="C1" s="1004"/>
      <c r="D1" s="1004"/>
      <c r="E1" s="1004"/>
      <c r="F1" s="1364"/>
      <c r="G1" s="1365" t="s">
        <v>14559</v>
      </c>
      <c r="H1" s="1366"/>
      <c r="I1" s="1367"/>
      <c r="J1" s="1366" t="s">
        <v>20206</v>
      </c>
      <c r="K1" s="1366"/>
      <c r="L1" s="1366"/>
      <c r="M1" s="1366"/>
      <c r="N1" s="1366"/>
      <c r="O1" s="1366"/>
      <c r="P1" s="1368"/>
      <c r="Q1" s="1369"/>
    </row>
    <row r="2" spans="1:137" ht="18" customHeight="1">
      <c r="A2" s="1362"/>
      <c r="B2" s="1363"/>
      <c r="C2" s="1004"/>
      <c r="D2" s="1004"/>
      <c r="E2" s="1004"/>
      <c r="F2" s="1370"/>
      <c r="G2" s="1371" t="s">
        <v>13880</v>
      </c>
      <c r="H2" s="1372"/>
      <c r="I2" s="1372"/>
      <c r="J2" s="1372"/>
      <c r="K2" s="1372"/>
      <c r="L2" s="1372"/>
      <c r="M2" s="1372"/>
      <c r="N2" s="1372"/>
      <c r="O2" s="1372"/>
      <c r="P2" s="1373"/>
      <c r="Q2" s="1369"/>
    </row>
    <row r="3" spans="1:137" ht="18" customHeight="1">
      <c r="A3" s="1362"/>
      <c r="B3" s="1363"/>
      <c r="C3" s="1004"/>
      <c r="D3" s="1004"/>
      <c r="E3" s="1004"/>
      <c r="F3" s="1370"/>
      <c r="G3" s="1371" t="s">
        <v>14064</v>
      </c>
      <c r="H3" s="1372"/>
      <c r="I3" s="1372"/>
      <c r="J3" s="1372"/>
      <c r="K3" s="1372"/>
      <c r="L3" s="1372"/>
      <c r="M3" s="1372"/>
      <c r="N3" s="1372"/>
      <c r="O3" s="1372"/>
      <c r="P3" s="1373"/>
      <c r="Q3" s="1369"/>
    </row>
    <row r="4" spans="1:137" ht="18" customHeight="1">
      <c r="A4" s="1362"/>
      <c r="B4" s="1363"/>
      <c r="C4" s="1004" t="s">
        <v>64</v>
      </c>
      <c r="D4" s="1004" t="s">
        <v>11703</v>
      </c>
      <c r="E4" s="1004" t="s">
        <v>64</v>
      </c>
      <c r="F4" s="1374"/>
      <c r="G4" s="1375"/>
      <c r="H4" s="1375"/>
      <c r="I4" s="1375"/>
      <c r="J4" s="1375"/>
      <c r="K4" s="1375"/>
      <c r="L4" s="1375"/>
      <c r="M4" s="1375"/>
      <c r="N4" s="1375"/>
      <c r="O4" s="1375"/>
      <c r="P4" s="1376"/>
      <c r="Q4" s="1369"/>
    </row>
    <row r="5" spans="1:137" ht="40.5" customHeight="1">
      <c r="A5" s="1362"/>
      <c r="B5" s="1363"/>
      <c r="C5" s="1004"/>
      <c r="D5" s="1004"/>
      <c r="E5" s="1004"/>
      <c r="F5" s="1377" t="s">
        <v>11665</v>
      </c>
      <c r="G5" s="1377"/>
      <c r="H5" s="1377"/>
      <c r="I5" s="1378" t="s">
        <v>14065</v>
      </c>
      <c r="J5" s="1379" t="s">
        <v>14257</v>
      </c>
      <c r="K5" s="1379" t="s">
        <v>30</v>
      </c>
      <c r="L5" s="1379" t="s">
        <v>30</v>
      </c>
      <c r="M5" s="1379" t="s">
        <v>30</v>
      </c>
      <c r="N5" s="1379" t="s">
        <v>30</v>
      </c>
      <c r="O5" s="1379" t="s">
        <v>1269</v>
      </c>
      <c r="P5" s="1380"/>
      <c r="Q5" s="1369"/>
    </row>
    <row r="6" spans="1:137" s="225" customFormat="1" ht="18" customHeight="1">
      <c r="A6" s="1381"/>
      <c r="B6" s="1382"/>
      <c r="C6" s="1383"/>
      <c r="D6" s="1383"/>
      <c r="E6" s="1383"/>
      <c r="F6" s="1384" t="s">
        <v>13882</v>
      </c>
      <c r="G6" s="1384"/>
      <c r="H6" s="1384"/>
      <c r="I6" s="1384"/>
      <c r="J6" s="1384"/>
      <c r="K6" s="1384"/>
      <c r="L6" s="1384"/>
      <c r="M6" s="1384"/>
      <c r="N6" s="1384"/>
      <c r="O6" s="1384"/>
      <c r="P6" s="1385"/>
      <c r="Q6" s="1386"/>
      <c r="V6" s="231"/>
      <c r="W6" s="231"/>
      <c r="X6" s="231"/>
      <c r="Y6" s="231"/>
      <c r="Z6" s="231"/>
      <c r="AA6" s="231"/>
      <c r="AB6" s="231"/>
      <c r="AC6" s="231"/>
      <c r="AD6" s="231"/>
      <c r="AE6" s="231"/>
      <c r="AF6" s="231"/>
      <c r="AG6" s="231"/>
      <c r="DE6" s="232"/>
      <c r="DF6" s="232"/>
      <c r="DG6" s="232"/>
      <c r="DH6" s="232"/>
      <c r="DI6" s="232"/>
      <c r="DJ6" s="232"/>
      <c r="DK6" s="232"/>
      <c r="DL6" s="232"/>
      <c r="DM6" s="232"/>
      <c r="DN6" s="232"/>
      <c r="DQ6" s="233"/>
      <c r="DV6" s="231"/>
      <c r="DW6" s="231"/>
      <c r="DX6" s="231"/>
      <c r="DY6" s="231"/>
      <c r="DZ6" s="231"/>
      <c r="EA6" s="231"/>
      <c r="EB6" s="231"/>
      <c r="EC6" s="231"/>
      <c r="ED6" s="231"/>
      <c r="EE6" s="231"/>
      <c r="EF6" s="231"/>
      <c r="EG6" s="231"/>
    </row>
    <row r="7" spans="1:137" s="225" customFormat="1" ht="18" customHeight="1">
      <c r="A7" s="1381"/>
      <c r="B7" s="1382"/>
      <c r="C7" s="1387"/>
      <c r="D7" s="1383"/>
      <c r="E7" s="1383"/>
      <c r="F7" s="1388" t="s">
        <v>13883</v>
      </c>
      <c r="G7" s="1389" t="s">
        <v>13884</v>
      </c>
      <c r="H7" s="1390" t="s">
        <v>5</v>
      </c>
      <c r="I7" s="1391">
        <v>7.4</v>
      </c>
      <c r="J7" s="1391">
        <v>6.9</v>
      </c>
      <c r="K7" s="1392"/>
      <c r="L7" s="1392"/>
      <c r="M7" s="1392"/>
      <c r="N7" s="1393"/>
      <c r="O7" s="1393"/>
      <c r="P7" s="1394"/>
      <c r="Q7" s="1386"/>
      <c r="V7" s="231"/>
      <c r="W7" s="231"/>
      <c r="X7" s="231"/>
      <c r="Y7" s="231"/>
      <c r="Z7" s="231"/>
      <c r="AA7" s="231"/>
      <c r="AB7" s="231"/>
      <c r="AC7" s="231"/>
      <c r="AD7" s="231"/>
      <c r="AE7" s="231"/>
      <c r="AF7" s="231"/>
      <c r="AG7" s="231"/>
      <c r="DE7" s="232"/>
      <c r="DF7" s="232"/>
      <c r="DG7" s="232"/>
      <c r="DH7" s="232"/>
      <c r="DI7" s="232"/>
      <c r="DJ7" s="232"/>
      <c r="DK7" s="232"/>
      <c r="DL7" s="232"/>
      <c r="DM7" s="232"/>
      <c r="DN7" s="232"/>
      <c r="DQ7" s="233"/>
      <c r="DV7" s="231"/>
      <c r="DW7" s="231"/>
      <c r="DX7" s="231"/>
      <c r="DY7" s="231"/>
      <c r="DZ7" s="231"/>
      <c r="EA7" s="231"/>
      <c r="EB7" s="231"/>
      <c r="EC7" s="231"/>
      <c r="ED7" s="231"/>
      <c r="EE7" s="231"/>
      <c r="EF7" s="231"/>
      <c r="EG7" s="231"/>
    </row>
    <row r="8" spans="1:137" s="225" customFormat="1" ht="18" customHeight="1">
      <c r="A8" s="1381"/>
      <c r="B8" s="1382"/>
      <c r="C8" s="1387"/>
      <c r="D8" s="1383"/>
      <c r="E8" s="1383"/>
      <c r="F8" s="1388" t="s">
        <v>13885</v>
      </c>
      <c r="G8" s="1389" t="s">
        <v>13886</v>
      </c>
      <c r="H8" s="1390" t="s">
        <v>5</v>
      </c>
      <c r="I8" s="1391">
        <v>3.7</v>
      </c>
      <c r="J8" s="1391">
        <v>5.4</v>
      </c>
      <c r="K8" s="1392"/>
      <c r="L8" s="1392"/>
      <c r="M8" s="1392"/>
      <c r="N8" s="1393"/>
      <c r="O8" s="1393"/>
      <c r="P8" s="1394"/>
      <c r="Q8" s="1386"/>
      <c r="V8" s="231"/>
      <c r="W8" s="231"/>
      <c r="X8" s="231"/>
      <c r="Y8" s="231"/>
      <c r="Z8" s="231"/>
      <c r="AA8" s="231"/>
      <c r="AB8" s="231"/>
      <c r="AC8" s="231"/>
      <c r="AD8" s="231"/>
      <c r="AE8" s="231"/>
      <c r="AF8" s="231"/>
      <c r="AG8" s="231"/>
      <c r="DE8" s="232"/>
      <c r="DF8" s="232"/>
      <c r="DG8" s="232"/>
      <c r="DH8" s="232"/>
      <c r="DI8" s="232"/>
      <c r="DJ8" s="232"/>
      <c r="DK8" s="232"/>
      <c r="DL8" s="232"/>
      <c r="DM8" s="232"/>
      <c r="DN8" s="232"/>
      <c r="DQ8" s="233"/>
      <c r="DV8" s="231"/>
      <c r="DW8" s="231"/>
      <c r="DX8" s="231"/>
      <c r="DY8" s="231"/>
      <c r="DZ8" s="231"/>
      <c r="EA8" s="231"/>
      <c r="EB8" s="231"/>
      <c r="EC8" s="231"/>
      <c r="ED8" s="231"/>
      <c r="EE8" s="231"/>
      <c r="EF8" s="231"/>
      <c r="EG8" s="231"/>
    </row>
    <row r="9" spans="1:137" s="225" customFormat="1" ht="18" customHeight="1">
      <c r="A9" s="1381"/>
      <c r="B9" s="1382"/>
      <c r="C9" s="1387"/>
      <c r="D9" s="1383"/>
      <c r="E9" s="1383"/>
      <c r="F9" s="1388" t="s">
        <v>13887</v>
      </c>
      <c r="G9" s="1395" t="s">
        <v>19754</v>
      </c>
      <c r="H9" s="1390" t="s">
        <v>8</v>
      </c>
      <c r="I9" s="1396">
        <v>0.05</v>
      </c>
      <c r="J9" s="1396">
        <v>0.05</v>
      </c>
      <c r="K9" s="1396">
        <v>0.05</v>
      </c>
      <c r="L9" s="1396">
        <v>0.05</v>
      </c>
      <c r="M9" s="1396">
        <v>0.05</v>
      </c>
      <c r="N9" s="1396">
        <v>0.05</v>
      </c>
      <c r="O9" s="1396">
        <v>0.05</v>
      </c>
      <c r="P9" s="1394"/>
      <c r="Q9" s="1386"/>
      <c r="V9" s="231"/>
      <c r="W9" s="231"/>
      <c r="X9" s="231"/>
      <c r="Y9" s="231"/>
      <c r="Z9" s="231"/>
      <c r="AA9" s="231"/>
      <c r="AB9" s="231"/>
      <c r="AC9" s="231"/>
      <c r="AD9" s="231"/>
      <c r="AE9" s="231"/>
      <c r="AF9" s="231"/>
      <c r="AG9" s="231"/>
      <c r="DE9" s="232"/>
      <c r="DF9" s="232"/>
      <c r="DG9" s="232"/>
      <c r="DH9" s="232"/>
      <c r="DI9" s="232"/>
      <c r="DJ9" s="232"/>
      <c r="DK9" s="232"/>
      <c r="DL9" s="232"/>
      <c r="DM9" s="232"/>
      <c r="DN9" s="232"/>
      <c r="DQ9" s="233"/>
      <c r="DV9" s="231"/>
      <c r="DW9" s="231"/>
      <c r="DX9" s="231"/>
      <c r="DY9" s="231"/>
      <c r="DZ9" s="231"/>
      <c r="EA9" s="231"/>
      <c r="EB9" s="231"/>
      <c r="EC9" s="231"/>
      <c r="ED9" s="231"/>
      <c r="EE9" s="231"/>
      <c r="EF9" s="231"/>
      <c r="EG9" s="231"/>
    </row>
    <row r="10" spans="1:137" s="225" customFormat="1" ht="18" customHeight="1">
      <c r="A10" s="1381"/>
      <c r="B10" s="1382"/>
      <c r="C10" s="1387"/>
      <c r="D10" s="1383"/>
      <c r="E10" s="1383"/>
      <c r="F10" s="1388" t="s">
        <v>13888</v>
      </c>
      <c r="G10" s="1395" t="s">
        <v>13889</v>
      </c>
      <c r="H10" s="1390" t="s">
        <v>8</v>
      </c>
      <c r="I10" s="1396">
        <v>0.95</v>
      </c>
      <c r="J10" s="1396">
        <v>0.95</v>
      </c>
      <c r="K10" s="1396">
        <v>0.95</v>
      </c>
      <c r="L10" s="1396">
        <v>0.95</v>
      </c>
      <c r="M10" s="1396">
        <v>0.95</v>
      </c>
      <c r="N10" s="1396">
        <v>0.95</v>
      </c>
      <c r="O10" s="1396">
        <v>0.95</v>
      </c>
      <c r="P10" s="1394"/>
      <c r="Q10" s="1386"/>
      <c r="V10" s="231"/>
      <c r="W10" s="231"/>
      <c r="X10" s="231"/>
      <c r="Y10" s="231"/>
      <c r="Z10" s="231"/>
      <c r="AA10" s="231"/>
      <c r="AB10" s="231"/>
      <c r="AC10" s="231"/>
      <c r="AD10" s="231"/>
      <c r="AE10" s="231"/>
      <c r="AF10" s="231"/>
      <c r="AG10" s="231"/>
      <c r="DE10" s="232"/>
      <c r="DF10" s="232"/>
      <c r="DG10" s="232"/>
      <c r="DH10" s="232"/>
      <c r="DI10" s="232"/>
      <c r="DJ10" s="232"/>
      <c r="DK10" s="232"/>
      <c r="DL10" s="232"/>
      <c r="DM10" s="232"/>
      <c r="DN10" s="232"/>
      <c r="DQ10" s="233"/>
      <c r="DV10" s="231"/>
      <c r="DW10" s="231"/>
      <c r="DX10" s="231"/>
      <c r="DY10" s="231"/>
      <c r="DZ10" s="231"/>
      <c r="EA10" s="231"/>
      <c r="EB10" s="231"/>
      <c r="EC10" s="231"/>
      <c r="ED10" s="231"/>
      <c r="EE10" s="231"/>
      <c r="EF10" s="231"/>
      <c r="EG10" s="231"/>
    </row>
    <row r="11" spans="1:137" s="225" customFormat="1" ht="18" customHeight="1">
      <c r="A11" s="1381"/>
      <c r="B11" s="1382"/>
      <c r="C11" s="1387"/>
      <c r="D11" s="1397"/>
      <c r="E11" s="1397"/>
      <c r="F11" s="1388" t="s">
        <v>13890</v>
      </c>
      <c r="G11" s="1395" t="s">
        <v>13891</v>
      </c>
      <c r="H11" s="1390" t="s">
        <v>8</v>
      </c>
      <c r="I11" s="1396">
        <v>0.92</v>
      </c>
      <c r="J11" s="1396">
        <v>0.92</v>
      </c>
      <c r="K11" s="1396">
        <v>0.92</v>
      </c>
      <c r="L11" s="1396">
        <v>0.92</v>
      </c>
      <c r="M11" s="1396">
        <v>0.92</v>
      </c>
      <c r="N11" s="1396">
        <v>0.92</v>
      </c>
      <c r="O11" s="1396">
        <v>0.92</v>
      </c>
      <c r="P11" s="1394"/>
      <c r="Q11" s="1386"/>
      <c r="V11" s="231"/>
      <c r="W11" s="231"/>
      <c r="X11" s="231"/>
      <c r="Y11" s="231"/>
      <c r="Z11" s="231"/>
      <c r="AA11" s="231"/>
      <c r="AB11" s="231"/>
      <c r="AC11" s="231"/>
      <c r="AD11" s="231"/>
      <c r="AE11" s="231"/>
      <c r="AF11" s="231"/>
      <c r="AG11" s="231"/>
      <c r="DE11" s="232"/>
      <c r="DF11" s="232"/>
      <c r="DG11" s="232"/>
      <c r="DH11" s="232"/>
      <c r="DI11" s="232"/>
      <c r="DJ11" s="232"/>
      <c r="DK11" s="232"/>
      <c r="DL11" s="232"/>
      <c r="DM11" s="232"/>
      <c r="DN11" s="232"/>
      <c r="DQ11" s="233"/>
      <c r="DV11" s="231"/>
      <c r="DW11" s="231"/>
      <c r="DX11" s="231"/>
      <c r="DY11" s="231"/>
      <c r="DZ11" s="231"/>
      <c r="EA11" s="231"/>
      <c r="EB11" s="231"/>
      <c r="EC11" s="231"/>
      <c r="ED11" s="231"/>
      <c r="EE11" s="231"/>
      <c r="EF11" s="231"/>
      <c r="EG11" s="231"/>
    </row>
    <row r="12" spans="1:137" s="225" customFormat="1" ht="18" customHeight="1">
      <c r="A12" s="1381"/>
      <c r="B12" s="1382"/>
      <c r="C12" s="1387"/>
      <c r="D12" s="1397"/>
      <c r="E12" s="1397"/>
      <c r="F12" s="1388" t="s">
        <v>13892</v>
      </c>
      <c r="G12" s="1395" t="s">
        <v>13893</v>
      </c>
      <c r="H12" s="1390" t="s">
        <v>8</v>
      </c>
      <c r="I12" s="1396">
        <v>0.03</v>
      </c>
      <c r="J12" s="1396">
        <v>0.03</v>
      </c>
      <c r="K12" s="1396">
        <v>0.03</v>
      </c>
      <c r="L12" s="1396">
        <v>0.03</v>
      </c>
      <c r="M12" s="1396">
        <v>0.03</v>
      </c>
      <c r="N12" s="1396">
        <v>0.03</v>
      </c>
      <c r="O12" s="1396">
        <v>0.03</v>
      </c>
      <c r="P12" s="1395"/>
      <c r="Q12" s="1386"/>
      <c r="V12" s="231"/>
      <c r="W12" s="231"/>
      <c r="X12" s="231"/>
      <c r="Y12" s="231"/>
      <c r="Z12" s="231"/>
      <c r="AA12" s="231"/>
      <c r="AB12" s="231"/>
      <c r="AC12" s="231"/>
      <c r="AD12" s="231"/>
      <c r="AE12" s="231"/>
      <c r="AF12" s="231"/>
      <c r="AG12" s="231"/>
      <c r="DE12" s="232"/>
      <c r="DF12" s="232"/>
      <c r="DG12" s="232"/>
      <c r="DH12" s="232"/>
      <c r="DI12" s="232"/>
      <c r="DJ12" s="232"/>
      <c r="DK12" s="232"/>
      <c r="DL12" s="232"/>
      <c r="DM12" s="232"/>
      <c r="DN12" s="232"/>
      <c r="DQ12" s="233"/>
      <c r="DV12" s="231"/>
      <c r="DW12" s="231"/>
      <c r="DX12" s="231"/>
      <c r="DY12" s="231"/>
      <c r="DZ12" s="231"/>
      <c r="EA12" s="231"/>
      <c r="EB12" s="231"/>
      <c r="EC12" s="231"/>
      <c r="ED12" s="231"/>
      <c r="EE12" s="231"/>
      <c r="EF12" s="231"/>
      <c r="EG12" s="231"/>
    </row>
    <row r="13" spans="1:137" s="225" customFormat="1" ht="18" customHeight="1">
      <c r="A13" s="1381"/>
      <c r="B13" s="1382"/>
      <c r="C13" s="1387"/>
      <c r="D13" s="1397"/>
      <c r="E13" s="1397"/>
      <c r="F13" s="1388" t="s">
        <v>13894</v>
      </c>
      <c r="G13" s="1395" t="s">
        <v>13895</v>
      </c>
      <c r="H13" s="1390" t="s">
        <v>8</v>
      </c>
      <c r="I13" s="1396">
        <v>0.02</v>
      </c>
      <c r="J13" s="1396">
        <v>0.02</v>
      </c>
      <c r="K13" s="1396">
        <v>0.02</v>
      </c>
      <c r="L13" s="1396">
        <v>0.02</v>
      </c>
      <c r="M13" s="1396">
        <v>0.02</v>
      </c>
      <c r="N13" s="1396">
        <v>0.02</v>
      </c>
      <c r="O13" s="1396">
        <v>0.02</v>
      </c>
      <c r="P13" s="1395"/>
      <c r="Q13" s="1386"/>
      <c r="V13" s="231"/>
      <c r="W13" s="231"/>
      <c r="X13" s="231"/>
      <c r="Y13" s="231"/>
      <c r="Z13" s="231"/>
      <c r="AA13" s="231"/>
      <c r="AB13" s="231"/>
      <c r="AC13" s="231"/>
      <c r="AD13" s="231"/>
      <c r="AE13" s="231"/>
      <c r="AF13" s="231"/>
      <c r="AG13" s="231"/>
      <c r="DE13" s="232"/>
      <c r="DF13" s="232"/>
      <c r="DG13" s="232"/>
      <c r="DH13" s="232"/>
      <c r="DI13" s="232"/>
      <c r="DJ13" s="232"/>
      <c r="DK13" s="232"/>
      <c r="DL13" s="232"/>
      <c r="DM13" s="232"/>
      <c r="DN13" s="232"/>
      <c r="DQ13" s="233"/>
      <c r="DV13" s="231"/>
      <c r="DW13" s="231"/>
      <c r="DX13" s="231"/>
      <c r="DY13" s="231"/>
      <c r="DZ13" s="231"/>
      <c r="EA13" s="231"/>
      <c r="EB13" s="231"/>
      <c r="EC13" s="231"/>
      <c r="ED13" s="231"/>
      <c r="EE13" s="231"/>
      <c r="EF13" s="231"/>
      <c r="EG13" s="231"/>
    </row>
    <row r="14" spans="1:137" s="225" customFormat="1" ht="18" customHeight="1">
      <c r="A14" s="1381"/>
      <c r="B14" s="1382"/>
      <c r="C14" s="1387"/>
      <c r="D14" s="1397"/>
      <c r="E14" s="1397"/>
      <c r="F14" s="1388" t="s">
        <v>13896</v>
      </c>
      <c r="G14" s="1395" t="s">
        <v>12</v>
      </c>
      <c r="H14" s="1390" t="s">
        <v>8</v>
      </c>
      <c r="I14" s="1396">
        <v>0.03</v>
      </c>
      <c r="J14" s="1396">
        <v>0.03</v>
      </c>
      <c r="K14" s="1396">
        <v>0.03</v>
      </c>
      <c r="L14" s="1396">
        <v>0.03</v>
      </c>
      <c r="M14" s="1396">
        <v>0.03</v>
      </c>
      <c r="N14" s="1396">
        <v>0.03</v>
      </c>
      <c r="O14" s="1396">
        <v>0.03</v>
      </c>
      <c r="P14" s="1395"/>
      <c r="Q14" s="1386"/>
      <c r="V14" s="231"/>
      <c r="W14" s="231"/>
      <c r="X14" s="231"/>
      <c r="Y14" s="231"/>
      <c r="Z14" s="231"/>
      <c r="AA14" s="231"/>
      <c r="AB14" s="231"/>
      <c r="AC14" s="231"/>
      <c r="AD14" s="231"/>
      <c r="AE14" s="231"/>
      <c r="AF14" s="231"/>
      <c r="AG14" s="231"/>
      <c r="DE14" s="232"/>
      <c r="DF14" s="232"/>
      <c r="DG14" s="232"/>
      <c r="DH14" s="232"/>
      <c r="DI14" s="232"/>
      <c r="DJ14" s="232"/>
      <c r="DK14" s="232"/>
      <c r="DL14" s="232"/>
      <c r="DM14" s="232"/>
      <c r="DN14" s="232"/>
      <c r="DQ14" s="233"/>
      <c r="DV14" s="231"/>
      <c r="DW14" s="231"/>
      <c r="DX14" s="231"/>
      <c r="DY14" s="231"/>
      <c r="DZ14" s="231"/>
      <c r="EA14" s="231"/>
      <c r="EB14" s="231"/>
      <c r="EC14" s="231"/>
      <c r="ED14" s="231"/>
      <c r="EE14" s="231"/>
      <c r="EF14" s="231"/>
      <c r="EG14" s="231"/>
    </row>
    <row r="15" spans="1:137" s="225" customFormat="1" ht="18" customHeight="1">
      <c r="A15" s="1381"/>
      <c r="B15" s="1382"/>
      <c r="C15" s="1387"/>
      <c r="D15" s="1383"/>
      <c r="E15" s="1383"/>
      <c r="F15" s="1388" t="s">
        <v>13897</v>
      </c>
      <c r="G15" s="1389" t="s">
        <v>13898</v>
      </c>
      <c r="H15" s="1390" t="s">
        <v>8</v>
      </c>
      <c r="I15" s="1396">
        <v>0.2</v>
      </c>
      <c r="J15" s="1396">
        <v>0.2</v>
      </c>
      <c r="K15" s="1396">
        <v>0.2</v>
      </c>
      <c r="L15" s="1396">
        <v>0.2</v>
      </c>
      <c r="M15" s="1396">
        <v>0.2</v>
      </c>
      <c r="N15" s="1396">
        <v>0.2</v>
      </c>
      <c r="O15" s="1396">
        <v>0.2</v>
      </c>
      <c r="P15" s="1395"/>
      <c r="Q15" s="1386"/>
      <c r="V15" s="231"/>
      <c r="W15" s="231"/>
      <c r="X15" s="231"/>
      <c r="Y15" s="231"/>
      <c r="Z15" s="231"/>
      <c r="AA15" s="231"/>
      <c r="AB15" s="231"/>
      <c r="AC15" s="231"/>
      <c r="AD15" s="231"/>
      <c r="AE15" s="231"/>
      <c r="AF15" s="231"/>
      <c r="AG15" s="231"/>
      <c r="DE15" s="232"/>
      <c r="DF15" s="232"/>
      <c r="DG15" s="232"/>
      <c r="DH15" s="232"/>
      <c r="DI15" s="232"/>
      <c r="DJ15" s="232"/>
      <c r="DK15" s="232"/>
      <c r="DL15" s="232"/>
      <c r="DM15" s="232"/>
      <c r="DN15" s="232"/>
      <c r="DQ15" s="233"/>
      <c r="DV15" s="231"/>
      <c r="DW15" s="231"/>
      <c r="DX15" s="231"/>
      <c r="DY15" s="231"/>
      <c r="DZ15" s="231"/>
      <c r="EA15" s="231"/>
      <c r="EB15" s="231"/>
      <c r="EC15" s="231"/>
      <c r="ED15" s="231"/>
      <c r="EE15" s="231"/>
      <c r="EF15" s="231"/>
      <c r="EG15" s="231"/>
    </row>
    <row r="16" spans="1:137" s="225" customFormat="1" ht="18" customHeight="1">
      <c r="A16" s="1381"/>
      <c r="B16" s="1382"/>
      <c r="C16" s="1387"/>
      <c r="D16" s="1383"/>
      <c r="E16" s="1383"/>
      <c r="F16" s="1388" t="s">
        <v>13899</v>
      </c>
      <c r="G16" s="1389" t="s">
        <v>13900</v>
      </c>
      <c r="H16" s="1390" t="s">
        <v>8</v>
      </c>
      <c r="I16" s="1396">
        <v>0.3</v>
      </c>
      <c r="J16" s="1396">
        <v>0.3</v>
      </c>
      <c r="K16" s="1396">
        <v>0.3</v>
      </c>
      <c r="L16" s="1396">
        <v>0.3</v>
      </c>
      <c r="M16" s="1396">
        <v>0.3</v>
      </c>
      <c r="N16" s="1396">
        <v>0.3</v>
      </c>
      <c r="O16" s="1396">
        <v>0.3</v>
      </c>
      <c r="P16" s="1389"/>
      <c r="Q16" s="1386"/>
      <c r="V16" s="231"/>
      <c r="W16" s="231"/>
      <c r="X16" s="231"/>
      <c r="Y16" s="231"/>
      <c r="Z16" s="231"/>
      <c r="AA16" s="231"/>
      <c r="AB16" s="231"/>
      <c r="AC16" s="231"/>
      <c r="AD16" s="231"/>
      <c r="AE16" s="231"/>
      <c r="AF16" s="231"/>
      <c r="AG16" s="231"/>
      <c r="DE16" s="232"/>
      <c r="DF16" s="232"/>
      <c r="DG16" s="232"/>
      <c r="DH16" s="232"/>
      <c r="DI16" s="232"/>
      <c r="DJ16" s="232"/>
      <c r="DK16" s="232"/>
      <c r="DL16" s="232"/>
      <c r="DM16" s="232"/>
      <c r="DN16" s="232"/>
      <c r="DQ16" s="233"/>
      <c r="DV16" s="231"/>
      <c r="DW16" s="231"/>
      <c r="DX16" s="231"/>
      <c r="DY16" s="231"/>
      <c r="DZ16" s="231"/>
      <c r="EA16" s="231"/>
      <c r="EB16" s="231"/>
      <c r="EC16" s="231"/>
      <c r="ED16" s="231"/>
      <c r="EE16" s="231"/>
      <c r="EF16" s="231"/>
      <c r="EG16" s="231"/>
    </row>
    <row r="17" spans="1:137" s="225" customFormat="1" ht="18" customHeight="1">
      <c r="A17" s="1381"/>
      <c r="B17" s="1382"/>
      <c r="C17" s="1387"/>
      <c r="D17" s="1383"/>
      <c r="E17" s="1383"/>
      <c r="F17" s="1388" t="s">
        <v>13901</v>
      </c>
      <c r="G17" s="1389" t="s">
        <v>19755</v>
      </c>
      <c r="H17" s="1390" t="s">
        <v>8</v>
      </c>
      <c r="I17" s="1396">
        <v>0.1</v>
      </c>
      <c r="J17" s="1396">
        <v>0.1</v>
      </c>
      <c r="K17" s="1396">
        <v>0.1</v>
      </c>
      <c r="L17" s="1396">
        <v>0.1</v>
      </c>
      <c r="M17" s="1396">
        <v>0.1</v>
      </c>
      <c r="N17" s="1396">
        <v>0.1</v>
      </c>
      <c r="O17" s="1396">
        <v>0.1</v>
      </c>
      <c r="P17" s="1389"/>
      <c r="Q17" s="1386"/>
      <c r="V17" s="231"/>
      <c r="W17" s="231"/>
      <c r="X17" s="231"/>
      <c r="Y17" s="231"/>
      <c r="Z17" s="231"/>
      <c r="AA17" s="231"/>
      <c r="AB17" s="231"/>
      <c r="AC17" s="231"/>
      <c r="AD17" s="231"/>
      <c r="AE17" s="231"/>
      <c r="AF17" s="231"/>
      <c r="AG17" s="231"/>
      <c r="DE17" s="232"/>
      <c r="DF17" s="232"/>
      <c r="DG17" s="232"/>
      <c r="DH17" s="232"/>
      <c r="DI17" s="232"/>
      <c r="DJ17" s="232"/>
      <c r="DK17" s="232"/>
      <c r="DL17" s="232"/>
      <c r="DM17" s="232"/>
      <c r="DN17" s="232"/>
      <c r="DQ17" s="233"/>
      <c r="DV17" s="231"/>
      <c r="DW17" s="231"/>
      <c r="DX17" s="231"/>
      <c r="DY17" s="231"/>
      <c r="DZ17" s="231"/>
      <c r="EA17" s="231"/>
      <c r="EB17" s="231"/>
      <c r="EC17" s="231"/>
      <c r="ED17" s="231"/>
      <c r="EE17" s="231"/>
      <c r="EF17" s="231"/>
      <c r="EG17" s="231"/>
    </row>
    <row r="18" spans="1:137" s="225" customFormat="1" ht="18" customHeight="1">
      <c r="A18" s="1381"/>
      <c r="B18" s="1382"/>
      <c r="C18" s="1387"/>
      <c r="D18" s="1383"/>
      <c r="E18" s="1383"/>
      <c r="F18" s="1388" t="s">
        <v>13902</v>
      </c>
      <c r="G18" s="1389" t="s">
        <v>14230</v>
      </c>
      <c r="H18" s="1390" t="s">
        <v>8</v>
      </c>
      <c r="I18" s="1396">
        <v>0.9</v>
      </c>
      <c r="J18" s="1396">
        <v>0.9</v>
      </c>
      <c r="K18" s="1396">
        <v>0.9</v>
      </c>
      <c r="L18" s="1396">
        <v>0.9</v>
      </c>
      <c r="M18" s="1396">
        <v>0.9</v>
      </c>
      <c r="N18" s="1396">
        <v>0.9</v>
      </c>
      <c r="O18" s="1396">
        <v>0.9</v>
      </c>
      <c r="P18" s="1389"/>
      <c r="Q18" s="1386"/>
      <c r="V18" s="231"/>
      <c r="W18" s="231"/>
      <c r="X18" s="231"/>
      <c r="Y18" s="231"/>
      <c r="Z18" s="231"/>
      <c r="AA18" s="231"/>
      <c r="AB18" s="231"/>
      <c r="AC18" s="231"/>
      <c r="AD18" s="231"/>
      <c r="AE18" s="231"/>
      <c r="AF18" s="231"/>
      <c r="AG18" s="231"/>
      <c r="DE18" s="232"/>
      <c r="DF18" s="232"/>
      <c r="DG18" s="232"/>
      <c r="DH18" s="232"/>
      <c r="DI18" s="232"/>
      <c r="DJ18" s="232"/>
      <c r="DK18" s="232"/>
      <c r="DL18" s="232"/>
      <c r="DM18" s="232"/>
      <c r="DN18" s="232"/>
      <c r="DQ18" s="233"/>
      <c r="DV18" s="231"/>
      <c r="DW18" s="231"/>
      <c r="DX18" s="231"/>
      <c r="DY18" s="231"/>
      <c r="DZ18" s="231"/>
      <c r="EA18" s="231"/>
      <c r="EB18" s="231"/>
      <c r="EC18" s="231"/>
      <c r="ED18" s="231"/>
      <c r="EE18" s="231"/>
      <c r="EF18" s="231"/>
      <c r="EG18" s="231"/>
    </row>
    <row r="19" spans="1:137" s="225" customFormat="1" ht="18" customHeight="1">
      <c r="A19" s="1381"/>
      <c r="B19" s="1382"/>
      <c r="C19" s="1387"/>
      <c r="D19" s="1383"/>
      <c r="E19" s="1383"/>
      <c r="F19" s="1388" t="s">
        <v>13903</v>
      </c>
      <c r="G19" s="1389" t="s">
        <v>13904</v>
      </c>
      <c r="H19" s="1390" t="s">
        <v>8</v>
      </c>
      <c r="I19" s="1396">
        <v>0.95</v>
      </c>
      <c r="J19" s="1396">
        <v>0.95</v>
      </c>
      <c r="K19" s="1396">
        <v>0.95</v>
      </c>
      <c r="L19" s="1396">
        <v>0.95</v>
      </c>
      <c r="M19" s="1396">
        <v>0.95</v>
      </c>
      <c r="N19" s="1396">
        <v>0.95</v>
      </c>
      <c r="O19" s="1396">
        <v>0.95</v>
      </c>
      <c r="P19" s="1389"/>
      <c r="Q19" s="1386"/>
      <c r="V19" s="231"/>
      <c r="W19" s="231"/>
      <c r="X19" s="231"/>
      <c r="Y19" s="231"/>
      <c r="Z19" s="231"/>
      <c r="AA19" s="231"/>
      <c r="AB19" s="231"/>
      <c r="AC19" s="231"/>
      <c r="AD19" s="231"/>
      <c r="AE19" s="231"/>
      <c r="AF19" s="231"/>
      <c r="AG19" s="231"/>
      <c r="DE19" s="232"/>
      <c r="DF19" s="232"/>
      <c r="DG19" s="232"/>
      <c r="DH19" s="232"/>
      <c r="DI19" s="232"/>
      <c r="DJ19" s="232"/>
      <c r="DK19" s="232"/>
      <c r="DL19" s="232"/>
      <c r="DM19" s="232"/>
      <c r="DN19" s="232"/>
      <c r="DQ19" s="233"/>
      <c r="DV19" s="231"/>
      <c r="DW19" s="231"/>
      <c r="DX19" s="231"/>
      <c r="DY19" s="231"/>
      <c r="DZ19" s="231"/>
      <c r="EA19" s="231"/>
      <c r="EB19" s="231"/>
      <c r="EC19" s="231"/>
      <c r="ED19" s="231"/>
      <c r="EE19" s="231"/>
      <c r="EF19" s="231"/>
      <c r="EG19" s="231"/>
    </row>
    <row r="20" spans="1:137" s="225" customFormat="1" ht="18" customHeight="1">
      <c r="A20" s="1381"/>
      <c r="B20" s="1382"/>
      <c r="C20" s="1387"/>
      <c r="D20" s="1383"/>
      <c r="E20" s="1383"/>
      <c r="F20" s="1388" t="s">
        <v>13905</v>
      </c>
      <c r="G20" s="1389" t="s">
        <v>13906</v>
      </c>
      <c r="H20" s="1390" t="s">
        <v>8</v>
      </c>
      <c r="I20" s="1396">
        <v>0.03</v>
      </c>
      <c r="J20" s="1396">
        <v>0.03</v>
      </c>
      <c r="K20" s="1396">
        <v>0.03</v>
      </c>
      <c r="L20" s="1396">
        <v>0.03</v>
      </c>
      <c r="M20" s="1396">
        <v>0.03</v>
      </c>
      <c r="N20" s="1396">
        <v>0.03</v>
      </c>
      <c r="O20" s="1396">
        <v>0.03</v>
      </c>
      <c r="P20" s="1389"/>
      <c r="Q20" s="1386"/>
      <c r="V20" s="231"/>
      <c r="W20" s="231"/>
      <c r="X20" s="231"/>
      <c r="Y20" s="231"/>
      <c r="Z20" s="231"/>
      <c r="AA20" s="231"/>
      <c r="AB20" s="231"/>
      <c r="AC20" s="231"/>
      <c r="AD20" s="231"/>
      <c r="AE20" s="231"/>
      <c r="AF20" s="231"/>
      <c r="AG20" s="231"/>
      <c r="DE20" s="232"/>
      <c r="DF20" s="232"/>
      <c r="DG20" s="232"/>
      <c r="DH20" s="232"/>
      <c r="DI20" s="232"/>
      <c r="DJ20" s="232"/>
      <c r="DK20" s="232"/>
      <c r="DL20" s="232"/>
      <c r="DM20" s="232"/>
      <c r="DN20" s="232"/>
      <c r="DQ20" s="233"/>
      <c r="DV20" s="231"/>
      <c r="DW20" s="231"/>
      <c r="DX20" s="231"/>
      <c r="DY20" s="231"/>
      <c r="DZ20" s="231"/>
      <c r="EA20" s="231"/>
      <c r="EB20" s="231"/>
      <c r="EC20" s="231"/>
      <c r="ED20" s="231"/>
      <c r="EE20" s="231"/>
      <c r="EF20" s="231"/>
      <c r="EG20" s="231"/>
    </row>
    <row r="21" spans="1:137" s="225" customFormat="1" ht="18" customHeight="1">
      <c r="A21" s="1381"/>
      <c r="B21" s="1382"/>
      <c r="C21" s="1387"/>
      <c r="D21" s="1383"/>
      <c r="E21" s="1383"/>
      <c r="F21" s="1388" t="s">
        <v>13907</v>
      </c>
      <c r="G21" s="1389" t="s">
        <v>13908</v>
      </c>
      <c r="H21" s="1390" t="s">
        <v>8</v>
      </c>
      <c r="I21" s="1396">
        <v>0</v>
      </c>
      <c r="J21" s="1396">
        <v>0</v>
      </c>
      <c r="K21" s="1396">
        <v>0</v>
      </c>
      <c r="L21" s="1396">
        <v>0</v>
      </c>
      <c r="M21" s="1396">
        <v>0</v>
      </c>
      <c r="N21" s="1396">
        <v>0</v>
      </c>
      <c r="O21" s="1396">
        <v>0</v>
      </c>
      <c r="P21" s="1389"/>
      <c r="Q21" s="1386"/>
      <c r="V21" s="231"/>
      <c r="W21" s="231"/>
      <c r="X21" s="231"/>
      <c r="Y21" s="231"/>
      <c r="Z21" s="231"/>
      <c r="AA21" s="231"/>
      <c r="AB21" s="231"/>
      <c r="AC21" s="231"/>
      <c r="AD21" s="231"/>
      <c r="AE21" s="231"/>
      <c r="AF21" s="231"/>
      <c r="AG21" s="231"/>
      <c r="DE21" s="232"/>
      <c r="DF21" s="232"/>
      <c r="DG21" s="232"/>
      <c r="DH21" s="232"/>
      <c r="DI21" s="232"/>
      <c r="DJ21" s="232"/>
      <c r="DK21" s="232"/>
      <c r="DL21" s="232"/>
      <c r="DM21" s="232"/>
      <c r="DN21" s="232"/>
      <c r="DQ21" s="233"/>
      <c r="DV21" s="231"/>
      <c r="DW21" s="231"/>
      <c r="DX21" s="231"/>
      <c r="DY21" s="231"/>
      <c r="DZ21" s="231"/>
      <c r="EA21" s="231"/>
      <c r="EB21" s="231"/>
      <c r="EC21" s="231"/>
      <c r="ED21" s="231"/>
      <c r="EE21" s="231"/>
      <c r="EF21" s="231"/>
      <c r="EG21" s="231"/>
    </row>
    <row r="22" spans="1:137" s="225" customFormat="1" ht="18" customHeight="1">
      <c r="A22" s="1381"/>
      <c r="B22" s="1382"/>
      <c r="C22" s="1387"/>
      <c r="D22" s="1383"/>
      <c r="E22" s="1383"/>
      <c r="F22" s="1388" t="s">
        <v>13909</v>
      </c>
      <c r="G22" s="1389" t="s">
        <v>13910</v>
      </c>
      <c r="H22" s="1390" t="s">
        <v>8</v>
      </c>
      <c r="I22" s="1396">
        <v>0</v>
      </c>
      <c r="J22" s="1396">
        <v>0</v>
      </c>
      <c r="K22" s="1396">
        <v>0</v>
      </c>
      <c r="L22" s="1396">
        <v>0</v>
      </c>
      <c r="M22" s="1396">
        <v>0</v>
      </c>
      <c r="N22" s="1396">
        <v>0</v>
      </c>
      <c r="O22" s="1396">
        <v>0</v>
      </c>
      <c r="P22" s="1389"/>
      <c r="Q22" s="1386"/>
      <c r="V22" s="231"/>
      <c r="W22" s="231"/>
      <c r="X22" s="231"/>
      <c r="Y22" s="231"/>
      <c r="Z22" s="231"/>
      <c r="AA22" s="231"/>
      <c r="AB22" s="231"/>
      <c r="AC22" s="231"/>
      <c r="AD22" s="231"/>
      <c r="AE22" s="231"/>
      <c r="AF22" s="231"/>
      <c r="AG22" s="231"/>
      <c r="DE22" s="232"/>
      <c r="DF22" s="232"/>
      <c r="DG22" s="232"/>
      <c r="DH22" s="232"/>
      <c r="DI22" s="232"/>
      <c r="DJ22" s="232"/>
      <c r="DK22" s="232"/>
      <c r="DL22" s="232"/>
      <c r="DM22" s="232"/>
      <c r="DN22" s="232"/>
      <c r="DQ22" s="233"/>
      <c r="DV22" s="231"/>
      <c r="DW22" s="231"/>
      <c r="DX22" s="231"/>
      <c r="DY22" s="231"/>
      <c r="DZ22" s="231"/>
      <c r="EA22" s="231"/>
      <c r="EB22" s="231"/>
      <c r="EC22" s="231"/>
      <c r="ED22" s="231"/>
      <c r="EE22" s="231"/>
      <c r="EF22" s="231"/>
      <c r="EG22" s="231"/>
    </row>
    <row r="23" spans="1:137" s="225" customFormat="1" ht="18" customHeight="1">
      <c r="A23" s="1381"/>
      <c r="B23" s="1382"/>
      <c r="C23" s="1387"/>
      <c r="D23" s="1383"/>
      <c r="E23" s="1383"/>
      <c r="F23" s="1388" t="s">
        <v>13911</v>
      </c>
      <c r="G23" s="1389" t="s">
        <v>13912</v>
      </c>
      <c r="H23" s="1390" t="s">
        <v>8</v>
      </c>
      <c r="I23" s="1396">
        <v>0.02</v>
      </c>
      <c r="J23" s="1396">
        <v>0.02</v>
      </c>
      <c r="K23" s="1396">
        <v>0.02</v>
      </c>
      <c r="L23" s="1396">
        <v>0.02</v>
      </c>
      <c r="M23" s="1396">
        <v>0.02</v>
      </c>
      <c r="N23" s="1396">
        <v>0.02</v>
      </c>
      <c r="O23" s="1396">
        <v>0.02</v>
      </c>
      <c r="P23" s="1389"/>
      <c r="Q23" s="1386"/>
      <c r="V23" s="231"/>
      <c r="W23" s="231"/>
      <c r="X23" s="231"/>
      <c r="Y23" s="231"/>
      <c r="Z23" s="231"/>
      <c r="AA23" s="231"/>
      <c r="AB23" s="231"/>
      <c r="AC23" s="231"/>
      <c r="AD23" s="231"/>
      <c r="AE23" s="231"/>
      <c r="AF23" s="231"/>
      <c r="AG23" s="231"/>
      <c r="DE23" s="232"/>
      <c r="DF23" s="232"/>
      <c r="DG23" s="232"/>
      <c r="DH23" s="232"/>
      <c r="DI23" s="232"/>
      <c r="DJ23" s="232"/>
      <c r="DK23" s="232"/>
      <c r="DL23" s="232"/>
      <c r="DM23" s="232"/>
      <c r="DN23" s="232"/>
      <c r="DQ23" s="233"/>
      <c r="DV23" s="231"/>
      <c r="DW23" s="231"/>
      <c r="DX23" s="231"/>
      <c r="DY23" s="231"/>
      <c r="DZ23" s="231"/>
      <c r="EA23" s="231"/>
      <c r="EB23" s="231"/>
      <c r="EC23" s="231"/>
      <c r="ED23" s="231"/>
      <c r="EE23" s="231"/>
      <c r="EF23" s="231"/>
      <c r="EG23" s="231"/>
    </row>
    <row r="24" spans="1:137" s="225" customFormat="1" ht="18" customHeight="1">
      <c r="A24" s="1381"/>
      <c r="B24" s="1382"/>
      <c r="C24" s="1387"/>
      <c r="D24" s="1383"/>
      <c r="E24" s="1383"/>
      <c r="F24" s="1388" t="s">
        <v>13913</v>
      </c>
      <c r="G24" s="1389" t="s">
        <v>13914</v>
      </c>
      <c r="H24" s="1390" t="s">
        <v>8</v>
      </c>
      <c r="I24" s="1396">
        <v>0.15</v>
      </c>
      <c r="J24" s="1396">
        <v>0.15</v>
      </c>
      <c r="K24" s="1396">
        <v>0.15</v>
      </c>
      <c r="L24" s="1396">
        <v>0.15</v>
      </c>
      <c r="M24" s="1396">
        <v>0.15</v>
      </c>
      <c r="N24" s="1396">
        <v>0.15</v>
      </c>
      <c r="O24" s="1396">
        <v>0.15</v>
      </c>
      <c r="P24" s="1389"/>
      <c r="Q24" s="1386"/>
      <c r="V24" s="231"/>
      <c r="W24" s="231"/>
      <c r="X24" s="231"/>
      <c r="Y24" s="231"/>
      <c r="Z24" s="231"/>
      <c r="AA24" s="231"/>
      <c r="AB24" s="231"/>
      <c r="AC24" s="231"/>
      <c r="AD24" s="231"/>
      <c r="AE24" s="231"/>
      <c r="AF24" s="231"/>
      <c r="AG24" s="231"/>
      <c r="DE24" s="232"/>
      <c r="DF24" s="232"/>
      <c r="DG24" s="232"/>
      <c r="DH24" s="232"/>
      <c r="DI24" s="232"/>
      <c r="DJ24" s="232"/>
      <c r="DK24" s="232"/>
      <c r="DL24" s="232"/>
      <c r="DM24" s="232"/>
      <c r="DN24" s="232"/>
      <c r="DQ24" s="233"/>
      <c r="DV24" s="231"/>
      <c r="DW24" s="231"/>
      <c r="DX24" s="231"/>
      <c r="DY24" s="231"/>
      <c r="DZ24" s="231"/>
      <c r="EA24" s="231"/>
      <c r="EB24" s="231"/>
      <c r="EC24" s="231"/>
      <c r="ED24" s="231"/>
      <c r="EE24" s="231"/>
      <c r="EF24" s="231"/>
      <c r="EG24" s="231"/>
    </row>
    <row r="25" spans="1:137" s="225" customFormat="1" ht="18" customHeight="1">
      <c r="A25" s="1381"/>
      <c r="B25" s="1382"/>
      <c r="C25" s="1387"/>
      <c r="D25" s="1383"/>
      <c r="E25" s="1383"/>
      <c r="F25" s="1388" t="s">
        <v>13915</v>
      </c>
      <c r="G25" s="1389" t="s">
        <v>13916</v>
      </c>
      <c r="H25" s="1390" t="s">
        <v>8</v>
      </c>
      <c r="I25" s="1396">
        <v>0.85</v>
      </c>
      <c r="J25" s="1396">
        <v>0.85</v>
      </c>
      <c r="K25" s="1396">
        <v>0.85</v>
      </c>
      <c r="L25" s="1396">
        <v>0.85</v>
      </c>
      <c r="M25" s="1396">
        <v>0.85</v>
      </c>
      <c r="N25" s="1396">
        <v>0.85</v>
      </c>
      <c r="O25" s="1396">
        <v>0.85</v>
      </c>
      <c r="P25" s="1389"/>
      <c r="Q25" s="1386"/>
      <c r="V25" s="231"/>
      <c r="W25" s="231"/>
      <c r="X25" s="231"/>
      <c r="Y25" s="231"/>
      <c r="Z25" s="231"/>
      <c r="AA25" s="231"/>
      <c r="AB25" s="231"/>
      <c r="AC25" s="231"/>
      <c r="AD25" s="231"/>
      <c r="AE25" s="231"/>
      <c r="AF25" s="231"/>
      <c r="AG25" s="231"/>
      <c r="DE25" s="232"/>
      <c r="DF25" s="232"/>
      <c r="DG25" s="232"/>
      <c r="DH25" s="232"/>
      <c r="DI25" s="232"/>
      <c r="DJ25" s="232"/>
      <c r="DK25" s="232"/>
      <c r="DL25" s="232"/>
      <c r="DM25" s="232"/>
      <c r="DN25" s="232"/>
      <c r="DQ25" s="233"/>
      <c r="DV25" s="231"/>
      <c r="DW25" s="231"/>
      <c r="DX25" s="231"/>
      <c r="DY25" s="231"/>
      <c r="DZ25" s="231"/>
      <c r="EA25" s="231"/>
      <c r="EB25" s="231"/>
      <c r="EC25" s="231"/>
      <c r="ED25" s="231"/>
      <c r="EE25" s="231"/>
      <c r="EF25" s="231"/>
      <c r="EG25" s="231"/>
    </row>
    <row r="26" spans="1:137" s="225" customFormat="1" ht="18" customHeight="1">
      <c r="A26" s="1381"/>
      <c r="B26" s="1382"/>
      <c r="C26" s="1387"/>
      <c r="D26" s="1383"/>
      <c r="E26" s="1383"/>
      <c r="F26" s="1388" t="s">
        <v>13917</v>
      </c>
      <c r="G26" s="1389" t="s">
        <v>19756</v>
      </c>
      <c r="H26" s="1390" t="s">
        <v>8</v>
      </c>
      <c r="I26" s="1396">
        <v>0</v>
      </c>
      <c r="J26" s="1396">
        <v>0</v>
      </c>
      <c r="K26" s="1396">
        <v>0</v>
      </c>
      <c r="L26" s="1396">
        <v>0</v>
      </c>
      <c r="M26" s="1396">
        <v>0</v>
      </c>
      <c r="N26" s="1396">
        <v>0</v>
      </c>
      <c r="O26" s="1396">
        <v>0</v>
      </c>
      <c r="P26" s="1389"/>
      <c r="Q26" s="1386"/>
      <c r="V26" s="231"/>
      <c r="W26" s="231"/>
      <c r="X26" s="231"/>
      <c r="Y26" s="231"/>
      <c r="Z26" s="231"/>
      <c r="AA26" s="231"/>
      <c r="AB26" s="231"/>
      <c r="AC26" s="231"/>
      <c r="AD26" s="231"/>
      <c r="AE26" s="231"/>
      <c r="AF26" s="231"/>
      <c r="AG26" s="231"/>
      <c r="DE26" s="232"/>
      <c r="DF26" s="232"/>
      <c r="DG26" s="232"/>
      <c r="DH26" s="232"/>
      <c r="DI26" s="232"/>
      <c r="DJ26" s="232"/>
      <c r="DK26" s="232"/>
      <c r="DL26" s="232"/>
      <c r="DM26" s="232"/>
      <c r="DN26" s="232"/>
      <c r="DQ26" s="233"/>
      <c r="DV26" s="231"/>
      <c r="DW26" s="231"/>
      <c r="DX26" s="231"/>
      <c r="DY26" s="231"/>
      <c r="DZ26" s="231"/>
      <c r="EA26" s="231"/>
      <c r="EB26" s="231"/>
      <c r="EC26" s="231"/>
      <c r="ED26" s="231"/>
      <c r="EE26" s="231"/>
      <c r="EF26" s="231"/>
      <c r="EG26" s="231"/>
    </row>
    <row r="27" spans="1:137" s="225" customFormat="1" ht="18" customHeight="1">
      <c r="A27" s="1381"/>
      <c r="B27" s="1382"/>
      <c r="C27" s="1387"/>
      <c r="D27" s="1383"/>
      <c r="E27" s="1383"/>
      <c r="F27" s="1388" t="s">
        <v>13919</v>
      </c>
      <c r="G27" s="1389" t="s">
        <v>13918</v>
      </c>
      <c r="H27" s="1390" t="s">
        <v>8</v>
      </c>
      <c r="I27" s="1396">
        <v>1</v>
      </c>
      <c r="J27" s="1396">
        <v>1</v>
      </c>
      <c r="K27" s="1396">
        <v>1</v>
      </c>
      <c r="L27" s="1396">
        <v>1</v>
      </c>
      <c r="M27" s="1396">
        <v>1</v>
      </c>
      <c r="N27" s="1396">
        <v>1</v>
      </c>
      <c r="O27" s="1396">
        <v>1</v>
      </c>
      <c r="P27" s="1389"/>
      <c r="Q27" s="1386"/>
      <c r="V27" s="231"/>
      <c r="W27" s="231"/>
      <c r="X27" s="231"/>
      <c r="Y27" s="231"/>
      <c r="Z27" s="231"/>
      <c r="AA27" s="231"/>
      <c r="AB27" s="231"/>
      <c r="AC27" s="231"/>
      <c r="AD27" s="231"/>
      <c r="AE27" s="231"/>
      <c r="AF27" s="231"/>
      <c r="AG27" s="231"/>
      <c r="DE27" s="232"/>
      <c r="DF27" s="232"/>
      <c r="DG27" s="232"/>
      <c r="DH27" s="232"/>
      <c r="DI27" s="232"/>
      <c r="DJ27" s="232"/>
      <c r="DK27" s="232"/>
      <c r="DL27" s="232"/>
      <c r="DM27" s="232"/>
      <c r="DN27" s="232"/>
      <c r="DQ27" s="233"/>
      <c r="DV27" s="231"/>
      <c r="DW27" s="231"/>
      <c r="DX27" s="231"/>
      <c r="DY27" s="231"/>
      <c r="DZ27" s="231"/>
      <c r="EA27" s="231"/>
      <c r="EB27" s="231"/>
      <c r="EC27" s="231"/>
      <c r="ED27" s="231"/>
      <c r="EE27" s="231"/>
      <c r="EF27" s="231"/>
      <c r="EG27" s="231"/>
    </row>
    <row r="28" spans="1:137" s="225" customFormat="1" ht="18" customHeight="1">
      <c r="A28" s="1381"/>
      <c r="B28" s="1382"/>
      <c r="C28" s="1387"/>
      <c r="D28" s="1383"/>
      <c r="E28" s="1383"/>
      <c r="F28" s="1388" t="s">
        <v>13921</v>
      </c>
      <c r="G28" s="1389" t="s">
        <v>13920</v>
      </c>
      <c r="H28" s="1390" t="s">
        <v>18</v>
      </c>
      <c r="I28" s="1398">
        <v>0.06</v>
      </c>
      <c r="J28" s="1398">
        <v>0.06</v>
      </c>
      <c r="K28" s="1398">
        <v>0.06</v>
      </c>
      <c r="L28" s="1398">
        <v>0.06</v>
      </c>
      <c r="M28" s="1398">
        <v>0.06</v>
      </c>
      <c r="N28" s="1398">
        <v>0.06</v>
      </c>
      <c r="O28" s="1398">
        <v>7.0000000000000007E-2</v>
      </c>
      <c r="P28" s="1389"/>
      <c r="Q28" s="1386"/>
      <c r="V28" s="231"/>
      <c r="W28" s="231"/>
      <c r="X28" s="231"/>
      <c r="Y28" s="231"/>
      <c r="Z28" s="231"/>
      <c r="AA28" s="231"/>
      <c r="AB28" s="231"/>
      <c r="AC28" s="231"/>
      <c r="AD28" s="231"/>
      <c r="AE28" s="231"/>
      <c r="AF28" s="231"/>
      <c r="AG28" s="231"/>
      <c r="DE28" s="232"/>
      <c r="DF28" s="232"/>
      <c r="DG28" s="232"/>
      <c r="DH28" s="232"/>
      <c r="DI28" s="232"/>
      <c r="DJ28" s="232"/>
      <c r="DK28" s="232"/>
      <c r="DL28" s="232"/>
      <c r="DM28" s="232"/>
      <c r="DN28" s="232"/>
      <c r="DQ28" s="233"/>
      <c r="DV28" s="231"/>
      <c r="DW28" s="231"/>
      <c r="DX28" s="231"/>
      <c r="DY28" s="231"/>
      <c r="DZ28" s="231"/>
      <c r="EA28" s="231"/>
      <c r="EB28" s="231"/>
      <c r="EC28" s="231"/>
      <c r="ED28" s="231"/>
      <c r="EE28" s="231"/>
      <c r="EF28" s="231"/>
      <c r="EG28" s="231"/>
    </row>
    <row r="29" spans="1:137" s="225" customFormat="1" ht="18" customHeight="1">
      <c r="A29" s="1381"/>
      <c r="B29" s="1382"/>
      <c r="C29" s="1387"/>
      <c r="D29" s="1383"/>
      <c r="E29" s="1383"/>
      <c r="F29" s="1388" t="s">
        <v>13923</v>
      </c>
      <c r="G29" s="1389" t="s">
        <v>13922</v>
      </c>
      <c r="H29" s="1390" t="s">
        <v>18</v>
      </c>
      <c r="I29" s="1398">
        <v>1.3</v>
      </c>
      <c r="J29" s="1398">
        <v>1.3</v>
      </c>
      <c r="K29" s="1398">
        <v>1.3</v>
      </c>
      <c r="L29" s="1398">
        <v>1.3</v>
      </c>
      <c r="M29" s="1398">
        <v>1.3</v>
      </c>
      <c r="N29" s="1398">
        <v>1.3</v>
      </c>
      <c r="O29" s="1399">
        <v>1.3</v>
      </c>
      <c r="P29" s="1389"/>
      <c r="Q29" s="1386"/>
      <c r="V29" s="231"/>
      <c r="W29" s="231"/>
      <c r="X29" s="231"/>
      <c r="Y29" s="231"/>
      <c r="Z29" s="231"/>
      <c r="AA29" s="231"/>
      <c r="AB29" s="231"/>
      <c r="AC29" s="231"/>
      <c r="AD29" s="231"/>
      <c r="AE29" s="231"/>
      <c r="AF29" s="231"/>
      <c r="AG29" s="231"/>
      <c r="DE29" s="232"/>
      <c r="DF29" s="232"/>
      <c r="DG29" s="232"/>
      <c r="DH29" s="232"/>
      <c r="DI29" s="232"/>
      <c r="DJ29" s="232"/>
      <c r="DK29" s="232"/>
      <c r="DL29" s="232"/>
      <c r="DM29" s="232"/>
      <c r="DN29" s="232"/>
      <c r="DQ29" s="233"/>
      <c r="DV29" s="231"/>
      <c r="DW29" s="231"/>
      <c r="DX29" s="231"/>
      <c r="DY29" s="231"/>
      <c r="DZ29" s="231"/>
      <c r="EA29" s="231"/>
      <c r="EB29" s="231"/>
      <c r="EC29" s="231"/>
      <c r="ED29" s="231"/>
      <c r="EE29" s="231"/>
      <c r="EF29" s="231"/>
      <c r="EG29" s="231"/>
    </row>
    <row r="30" spans="1:137" s="225" customFormat="1" ht="18" customHeight="1">
      <c r="A30" s="1381"/>
      <c r="B30" s="1382"/>
      <c r="C30" s="1387"/>
      <c r="D30" s="1383"/>
      <c r="E30" s="1383"/>
      <c r="F30" s="1388" t="s">
        <v>13925</v>
      </c>
      <c r="G30" s="1389" t="s">
        <v>13924</v>
      </c>
      <c r="H30" s="1390" t="s">
        <v>18</v>
      </c>
      <c r="I30" s="1398">
        <v>0</v>
      </c>
      <c r="J30" s="1398">
        <v>0</v>
      </c>
      <c r="K30" s="1398">
        <v>0</v>
      </c>
      <c r="L30" s="1398">
        <v>0</v>
      </c>
      <c r="M30" s="1398">
        <v>0</v>
      </c>
      <c r="N30" s="1398">
        <v>0</v>
      </c>
      <c r="O30" s="1398">
        <v>0</v>
      </c>
      <c r="P30" s="1389"/>
      <c r="Q30" s="1386"/>
      <c r="V30" s="231"/>
      <c r="W30" s="231"/>
      <c r="X30" s="231"/>
      <c r="Y30" s="231"/>
      <c r="Z30" s="231"/>
      <c r="AA30" s="231"/>
      <c r="AB30" s="231"/>
      <c r="AC30" s="231"/>
      <c r="AD30" s="231"/>
      <c r="AE30" s="231"/>
      <c r="AF30" s="231"/>
      <c r="AG30" s="231"/>
      <c r="DE30" s="232"/>
      <c r="DF30" s="232"/>
      <c r="DG30" s="232"/>
      <c r="DH30" s="232"/>
      <c r="DI30" s="232"/>
      <c r="DJ30" s="232"/>
      <c r="DK30" s="232"/>
      <c r="DL30" s="232"/>
      <c r="DM30" s="232"/>
      <c r="DN30" s="232"/>
      <c r="DQ30" s="233"/>
      <c r="DV30" s="231"/>
      <c r="DW30" s="231"/>
      <c r="DX30" s="231"/>
      <c r="DY30" s="231"/>
      <c r="DZ30" s="231"/>
      <c r="EA30" s="231"/>
      <c r="EB30" s="231"/>
      <c r="EC30" s="231"/>
      <c r="ED30" s="231"/>
      <c r="EE30" s="231"/>
      <c r="EF30" s="231"/>
      <c r="EG30" s="231"/>
    </row>
    <row r="31" spans="1:137" s="225" customFormat="1" ht="18" customHeight="1">
      <c r="A31" s="1381"/>
      <c r="B31" s="1382"/>
      <c r="C31" s="1387"/>
      <c r="D31" s="1383"/>
      <c r="E31" s="1383"/>
      <c r="F31" s="1388" t="s">
        <v>13928</v>
      </c>
      <c r="G31" s="1389" t="s">
        <v>13926</v>
      </c>
      <c r="H31" s="1390" t="s">
        <v>8</v>
      </c>
      <c r="I31" s="1396">
        <v>0</v>
      </c>
      <c r="J31" s="1396">
        <v>0</v>
      </c>
      <c r="K31" s="1396">
        <v>0</v>
      </c>
      <c r="L31" s="1396">
        <v>0</v>
      </c>
      <c r="M31" s="1396">
        <v>0</v>
      </c>
      <c r="N31" s="1396">
        <v>0</v>
      </c>
      <c r="O31" s="1396">
        <v>0</v>
      </c>
      <c r="P31" s="1389"/>
      <c r="Q31" s="1386" t="s">
        <v>13927</v>
      </c>
      <c r="V31" s="231"/>
      <c r="W31" s="231"/>
      <c r="X31" s="231"/>
      <c r="Y31" s="231"/>
      <c r="Z31" s="231"/>
      <c r="AA31" s="231"/>
      <c r="AB31" s="231"/>
      <c r="AC31" s="231"/>
      <c r="AD31" s="231"/>
      <c r="AE31" s="231"/>
      <c r="AF31" s="231"/>
      <c r="AG31" s="231"/>
      <c r="DE31" s="232"/>
      <c r="DF31" s="232"/>
      <c r="DG31" s="232"/>
      <c r="DH31" s="232"/>
      <c r="DI31" s="232"/>
      <c r="DJ31" s="232"/>
      <c r="DK31" s="232"/>
      <c r="DL31" s="232"/>
      <c r="DM31" s="232"/>
      <c r="DN31" s="232"/>
      <c r="DQ31" s="233"/>
      <c r="DV31" s="231"/>
      <c r="DW31" s="231"/>
      <c r="DX31" s="231"/>
      <c r="DY31" s="231"/>
      <c r="DZ31" s="231"/>
      <c r="EA31" s="231"/>
      <c r="EB31" s="231"/>
      <c r="EC31" s="231"/>
      <c r="ED31" s="231"/>
      <c r="EE31" s="231"/>
      <c r="EF31" s="231"/>
      <c r="EG31" s="231"/>
    </row>
    <row r="32" spans="1:137" s="225" customFormat="1" ht="18" customHeight="1">
      <c r="A32" s="1381"/>
      <c r="B32" s="1382"/>
      <c r="C32" s="1387"/>
      <c r="D32" s="1383"/>
      <c r="E32" s="1383"/>
      <c r="F32" s="1388" t="s">
        <v>13930</v>
      </c>
      <c r="G32" s="1389" t="s">
        <v>13929</v>
      </c>
      <c r="H32" s="1390" t="s">
        <v>8</v>
      </c>
      <c r="I32" s="1396">
        <v>0</v>
      </c>
      <c r="J32" s="1396">
        <v>0</v>
      </c>
      <c r="K32" s="1396">
        <v>0</v>
      </c>
      <c r="L32" s="1396">
        <v>0</v>
      </c>
      <c r="M32" s="1396">
        <v>0</v>
      </c>
      <c r="N32" s="1396">
        <v>0</v>
      </c>
      <c r="O32" s="1396">
        <v>0</v>
      </c>
      <c r="P32" s="1389"/>
      <c r="Q32" s="1386"/>
      <c r="V32" s="231"/>
      <c r="W32" s="231"/>
      <c r="X32" s="231"/>
      <c r="Y32" s="231"/>
      <c r="Z32" s="231"/>
      <c r="AA32" s="231"/>
      <c r="AB32" s="231"/>
      <c r="AC32" s="231"/>
      <c r="AD32" s="231"/>
      <c r="AE32" s="231"/>
      <c r="AF32" s="231"/>
      <c r="AG32" s="231"/>
      <c r="DE32" s="232"/>
      <c r="DF32" s="232"/>
      <c r="DG32" s="232"/>
      <c r="DH32" s="232"/>
      <c r="DI32" s="232"/>
      <c r="DJ32" s="232"/>
      <c r="DK32" s="232"/>
      <c r="DL32" s="232"/>
      <c r="DM32" s="232"/>
      <c r="DN32" s="232"/>
      <c r="DQ32" s="233"/>
      <c r="DV32" s="231"/>
      <c r="DW32" s="231"/>
      <c r="DX32" s="231"/>
      <c r="DY32" s="231"/>
      <c r="DZ32" s="231"/>
      <c r="EA32" s="231"/>
      <c r="EB32" s="231"/>
      <c r="EC32" s="231"/>
      <c r="ED32" s="231"/>
      <c r="EE32" s="231"/>
      <c r="EF32" s="231"/>
      <c r="EG32" s="231"/>
    </row>
    <row r="33" spans="1:137" s="225" customFormat="1" ht="18" customHeight="1">
      <c r="A33" s="1381"/>
      <c r="B33" s="1382"/>
      <c r="C33" s="1387"/>
      <c r="D33" s="1383"/>
      <c r="E33" s="1383"/>
      <c r="F33" s="1388" t="s">
        <v>19757</v>
      </c>
      <c r="G33" s="1389" t="s">
        <v>13931</v>
      </c>
      <c r="H33" s="1390" t="s">
        <v>8</v>
      </c>
      <c r="I33" s="1396">
        <v>0.01</v>
      </c>
      <c r="J33" s="1396">
        <v>0.01</v>
      </c>
      <c r="K33" s="1396">
        <v>0.01</v>
      </c>
      <c r="L33" s="1396">
        <v>0.01</v>
      </c>
      <c r="M33" s="1396">
        <v>0.01</v>
      </c>
      <c r="N33" s="1396">
        <v>0.01</v>
      </c>
      <c r="O33" s="1396">
        <v>0.01</v>
      </c>
      <c r="P33" s="1389"/>
      <c r="Q33" s="1386"/>
      <c r="V33" s="231"/>
      <c r="W33" s="231"/>
      <c r="X33" s="231"/>
      <c r="Y33" s="231"/>
      <c r="Z33" s="231"/>
      <c r="AA33" s="231"/>
      <c r="AB33" s="231"/>
      <c r="AC33" s="231"/>
      <c r="AD33" s="231"/>
      <c r="AE33" s="231"/>
      <c r="AF33" s="231"/>
      <c r="AG33" s="231"/>
      <c r="DE33" s="232"/>
      <c r="DF33" s="232"/>
      <c r="DG33" s="232"/>
      <c r="DH33" s="232"/>
      <c r="DI33" s="232"/>
      <c r="DJ33" s="232"/>
      <c r="DK33" s="232"/>
      <c r="DL33" s="232"/>
      <c r="DM33" s="232"/>
      <c r="DN33" s="232"/>
      <c r="DQ33" s="233"/>
      <c r="DV33" s="231"/>
      <c r="DW33" s="231"/>
      <c r="DX33" s="231"/>
      <c r="DY33" s="231"/>
      <c r="DZ33" s="231"/>
      <c r="EA33" s="231"/>
      <c r="EB33" s="231"/>
      <c r="EC33" s="231"/>
      <c r="ED33" s="231"/>
      <c r="EE33" s="231"/>
      <c r="EF33" s="231"/>
      <c r="EG33" s="231"/>
    </row>
    <row r="34" spans="1:137" ht="12.75">
      <c r="A34" s="1362"/>
      <c r="B34" s="1363"/>
      <c r="C34" s="1004"/>
      <c r="D34" s="1004"/>
      <c r="E34" s="1004"/>
      <c r="F34" s="1384" t="s">
        <v>11721</v>
      </c>
      <c r="G34" s="1384"/>
      <c r="H34" s="1384"/>
      <c r="I34" s="1384"/>
      <c r="J34" s="1384"/>
      <c r="K34" s="1384"/>
      <c r="L34" s="1384"/>
      <c r="M34" s="1384"/>
      <c r="N34" s="1384"/>
      <c r="O34" s="1384"/>
      <c r="P34" s="1385"/>
      <c r="Q34" s="1369"/>
      <c r="R34" s="211"/>
      <c r="S34" s="211"/>
      <c r="T34" s="211"/>
      <c r="U34" s="211"/>
      <c r="V34" s="211"/>
      <c r="W34" s="211"/>
      <c r="X34" s="211"/>
      <c r="Y34" s="211"/>
      <c r="Z34" s="211"/>
      <c r="AA34" s="211"/>
      <c r="AB34" s="211"/>
      <c r="AC34" s="211"/>
      <c r="AD34" s="211"/>
      <c r="AE34" s="211"/>
      <c r="AF34" s="211"/>
      <c r="AG34" s="211"/>
      <c r="DE34" s="211"/>
      <c r="DF34" s="211"/>
      <c r="DG34" s="211"/>
      <c r="DH34" s="211"/>
      <c r="DI34" s="211"/>
      <c r="DJ34" s="211"/>
      <c r="DK34" s="211"/>
      <c r="DL34" s="211"/>
      <c r="DM34" s="211"/>
      <c r="DN34" s="211"/>
      <c r="DQ34" s="211"/>
      <c r="DV34" s="211"/>
      <c r="DW34" s="211"/>
      <c r="DX34" s="211"/>
      <c r="DY34" s="211"/>
      <c r="DZ34" s="211"/>
      <c r="EA34" s="211"/>
      <c r="EB34" s="211"/>
      <c r="EC34" s="211"/>
      <c r="ED34" s="211"/>
      <c r="EE34" s="211"/>
      <c r="EF34" s="211"/>
      <c r="EG34" s="211"/>
    </row>
    <row r="35" spans="1:137" ht="12.75">
      <c r="A35" s="1362"/>
      <c r="B35" s="1363"/>
      <c r="C35" s="1387"/>
      <c r="D35" s="1004"/>
      <c r="E35" s="1004"/>
      <c r="F35" s="1400">
        <v>1</v>
      </c>
      <c r="G35" s="1401" t="s">
        <v>19758</v>
      </c>
      <c r="H35" s="1402" t="s">
        <v>71</v>
      </c>
      <c r="I35" s="1403">
        <v>0</v>
      </c>
      <c r="J35" s="1403"/>
      <c r="K35" s="1403"/>
      <c r="L35" s="1403"/>
      <c r="M35" s="1403"/>
      <c r="N35" s="1403"/>
      <c r="O35" s="1404">
        <v>0</v>
      </c>
      <c r="P35" s="1681" t="s">
        <v>14067</v>
      </c>
      <c r="Q35" s="1369">
        <v>100</v>
      </c>
      <c r="R35" s="211"/>
      <c r="S35" s="211"/>
      <c r="T35" s="211"/>
      <c r="U35" s="211"/>
      <c r="V35" s="211"/>
      <c r="W35" s="211"/>
      <c r="X35" s="211"/>
      <c r="Y35" s="211"/>
      <c r="Z35" s="211"/>
      <c r="AA35" s="211"/>
      <c r="AB35" s="211"/>
      <c r="AC35" s="211"/>
      <c r="AD35" s="211"/>
      <c r="AE35" s="211"/>
      <c r="AF35" s="211"/>
      <c r="AG35" s="211"/>
      <c r="DE35" s="211"/>
      <c r="DF35" s="211"/>
      <c r="DG35" s="211"/>
      <c r="DH35" s="211"/>
      <c r="DI35" s="211"/>
      <c r="DJ35" s="211"/>
      <c r="DK35" s="211"/>
      <c r="DL35" s="211"/>
      <c r="DM35" s="211"/>
      <c r="DN35" s="211"/>
      <c r="DQ35" s="211"/>
      <c r="DV35" s="211"/>
      <c r="DW35" s="211"/>
      <c r="DX35" s="211"/>
      <c r="DY35" s="211"/>
      <c r="DZ35" s="211"/>
      <c r="EA35" s="211"/>
      <c r="EB35" s="211"/>
      <c r="EC35" s="211"/>
      <c r="ED35" s="211"/>
      <c r="EE35" s="211"/>
      <c r="EF35" s="211"/>
      <c r="EG35" s="211"/>
    </row>
    <row r="36" spans="1:137" ht="12.75">
      <c r="A36" s="1362"/>
      <c r="B36" s="1363"/>
      <c r="C36" s="1387"/>
      <c r="D36" s="1004"/>
      <c r="E36" s="1004"/>
      <c r="F36" s="1400">
        <f>F35+1</f>
        <v>2</v>
      </c>
      <c r="G36" s="1401" t="s">
        <v>19759</v>
      </c>
      <c r="H36" s="1402" t="s">
        <v>71</v>
      </c>
      <c r="I36" s="1403">
        <v>0</v>
      </c>
      <c r="J36" s="1403"/>
      <c r="K36" s="1403"/>
      <c r="L36" s="1403"/>
      <c r="M36" s="1403"/>
      <c r="N36" s="1403"/>
      <c r="O36" s="1404">
        <v>0</v>
      </c>
      <c r="P36" s="1681"/>
      <c r="Q36" s="1369">
        <v>150</v>
      </c>
      <c r="R36" s="211"/>
      <c r="S36" s="211"/>
      <c r="T36" s="211"/>
      <c r="U36" s="211"/>
      <c r="V36" s="211"/>
      <c r="W36" s="211"/>
      <c r="X36" s="211"/>
      <c r="Y36" s="211"/>
      <c r="Z36" s="211"/>
      <c r="AA36" s="211"/>
      <c r="AB36" s="211"/>
      <c r="AC36" s="211"/>
      <c r="AD36" s="211"/>
      <c r="AE36" s="211"/>
      <c r="AF36" s="211"/>
      <c r="AG36" s="211"/>
      <c r="DE36" s="211"/>
      <c r="DF36" s="211"/>
      <c r="DG36" s="211"/>
      <c r="DH36" s="211"/>
      <c r="DI36" s="211"/>
      <c r="DJ36" s="211"/>
      <c r="DK36" s="211"/>
      <c r="DL36" s="211"/>
      <c r="DM36" s="211"/>
      <c r="DN36" s="211"/>
      <c r="DQ36" s="211"/>
      <c r="DV36" s="211"/>
      <c r="DW36" s="211"/>
      <c r="DX36" s="211"/>
      <c r="DY36" s="211"/>
      <c r="DZ36" s="211"/>
      <c r="EA36" s="211"/>
      <c r="EB36" s="211"/>
      <c r="EC36" s="211"/>
      <c r="ED36" s="211"/>
      <c r="EE36" s="211"/>
      <c r="EF36" s="211"/>
      <c r="EG36" s="211"/>
    </row>
    <row r="37" spans="1:137" ht="12.75">
      <c r="A37" s="1362"/>
      <c r="B37" s="1363"/>
      <c r="C37" s="1387"/>
      <c r="D37" s="1004"/>
      <c r="E37" s="1004"/>
      <c r="F37" s="1400">
        <f t="shared" ref="F37:F50" si="0">F36+1</f>
        <v>3</v>
      </c>
      <c r="G37" s="1401" t="s">
        <v>19760</v>
      </c>
      <c r="H37" s="1402" t="s">
        <v>71</v>
      </c>
      <c r="I37" s="1403">
        <v>0</v>
      </c>
      <c r="J37" s="1403"/>
      <c r="K37" s="1403"/>
      <c r="L37" s="1403"/>
      <c r="M37" s="1403"/>
      <c r="N37" s="1403"/>
      <c r="O37" s="1404">
        <v>0</v>
      </c>
      <c r="P37" s="1681"/>
      <c r="Q37" s="1369">
        <v>200</v>
      </c>
      <c r="R37" s="211"/>
      <c r="S37" s="211"/>
      <c r="T37" s="211"/>
      <c r="U37" s="211"/>
      <c r="V37" s="211"/>
      <c r="W37" s="211"/>
      <c r="X37" s="211"/>
      <c r="Y37" s="211"/>
      <c r="Z37" s="211"/>
      <c r="AA37" s="211"/>
      <c r="AB37" s="211"/>
      <c r="AC37" s="211"/>
      <c r="AD37" s="211"/>
      <c r="AE37" s="211"/>
      <c r="AF37" s="211"/>
      <c r="AG37" s="211"/>
      <c r="DE37" s="211"/>
      <c r="DF37" s="211"/>
      <c r="DG37" s="211"/>
      <c r="DH37" s="211"/>
      <c r="DI37" s="211"/>
      <c r="DJ37" s="211"/>
      <c r="DK37" s="211"/>
      <c r="DL37" s="211"/>
      <c r="DM37" s="211"/>
      <c r="DN37" s="211"/>
      <c r="DQ37" s="211"/>
      <c r="DV37" s="211"/>
      <c r="DW37" s="211"/>
      <c r="DX37" s="211"/>
      <c r="DY37" s="211"/>
      <c r="DZ37" s="211"/>
      <c r="EA37" s="211"/>
      <c r="EB37" s="211"/>
      <c r="EC37" s="211"/>
      <c r="ED37" s="211"/>
      <c r="EE37" s="211"/>
      <c r="EF37" s="211"/>
      <c r="EG37" s="211"/>
    </row>
    <row r="38" spans="1:137" ht="12.75">
      <c r="A38" s="1362"/>
      <c r="B38" s="1363"/>
      <c r="C38" s="1387"/>
      <c r="D38" s="1004"/>
      <c r="E38" s="1004"/>
      <c r="F38" s="1400">
        <f t="shared" si="0"/>
        <v>4</v>
      </c>
      <c r="G38" s="1401" t="s">
        <v>19761</v>
      </c>
      <c r="H38" s="1402" t="s">
        <v>71</v>
      </c>
      <c r="I38" s="1403">
        <v>0</v>
      </c>
      <c r="J38" s="1403"/>
      <c r="K38" s="1403"/>
      <c r="L38" s="1403"/>
      <c r="M38" s="1403"/>
      <c r="N38" s="1403"/>
      <c r="O38" s="1404">
        <v>0</v>
      </c>
      <c r="P38" s="1681"/>
      <c r="Q38" s="1369">
        <v>250</v>
      </c>
      <c r="R38" s="211"/>
      <c r="S38" s="211"/>
      <c r="T38" s="211"/>
      <c r="U38" s="211"/>
      <c r="V38" s="211"/>
      <c r="W38" s="211"/>
      <c r="X38" s="211"/>
      <c r="Y38" s="211"/>
      <c r="Z38" s="211"/>
      <c r="AA38" s="211"/>
      <c r="AB38" s="211"/>
      <c r="AC38" s="211"/>
      <c r="AD38" s="211"/>
      <c r="AE38" s="211"/>
      <c r="AF38" s="211"/>
      <c r="AG38" s="211"/>
      <c r="DE38" s="211"/>
      <c r="DF38" s="211"/>
      <c r="DG38" s="211"/>
      <c r="DH38" s="211"/>
      <c r="DI38" s="211"/>
      <c r="DJ38" s="211"/>
      <c r="DK38" s="211"/>
      <c r="DL38" s="211"/>
      <c r="DM38" s="211"/>
      <c r="DN38" s="211"/>
      <c r="DQ38" s="211"/>
      <c r="DV38" s="211"/>
      <c r="DW38" s="211"/>
      <c r="DX38" s="211"/>
      <c r="DY38" s="211"/>
      <c r="DZ38" s="211"/>
      <c r="EA38" s="211"/>
      <c r="EB38" s="211"/>
      <c r="EC38" s="211"/>
      <c r="ED38" s="211"/>
      <c r="EE38" s="211"/>
      <c r="EF38" s="211"/>
      <c r="EG38" s="211"/>
    </row>
    <row r="39" spans="1:137" ht="12.75">
      <c r="A39" s="1362"/>
      <c r="B39" s="1363"/>
      <c r="C39" s="1387"/>
      <c r="D39" s="1004"/>
      <c r="E39" s="1004"/>
      <c r="F39" s="1400">
        <f t="shared" si="0"/>
        <v>5</v>
      </c>
      <c r="G39" s="1401" t="s">
        <v>19762</v>
      </c>
      <c r="H39" s="1402" t="s">
        <v>71</v>
      </c>
      <c r="I39" s="1403">
        <v>0</v>
      </c>
      <c r="J39" s="1403"/>
      <c r="K39" s="1403"/>
      <c r="L39" s="1403"/>
      <c r="M39" s="1403"/>
      <c r="N39" s="1403"/>
      <c r="O39" s="1404">
        <v>0</v>
      </c>
      <c r="P39" s="1681"/>
      <c r="Q39" s="1369"/>
      <c r="R39" s="211"/>
      <c r="S39" s="211"/>
      <c r="T39" s="211"/>
      <c r="U39" s="211"/>
      <c r="V39" s="211"/>
      <c r="W39" s="211"/>
      <c r="X39" s="211"/>
      <c r="Y39" s="211"/>
      <c r="Z39" s="211"/>
      <c r="AA39" s="211"/>
      <c r="AB39" s="211"/>
      <c r="AC39" s="211"/>
      <c r="AD39" s="211"/>
      <c r="AE39" s="211"/>
      <c r="AF39" s="211"/>
      <c r="AG39" s="211"/>
      <c r="DE39" s="211"/>
      <c r="DF39" s="211"/>
      <c r="DG39" s="211"/>
      <c r="DH39" s="211"/>
      <c r="DI39" s="211"/>
      <c r="DJ39" s="211"/>
      <c r="DK39" s="211"/>
      <c r="DL39" s="211"/>
      <c r="DM39" s="211"/>
      <c r="DN39" s="211"/>
      <c r="DQ39" s="211"/>
      <c r="DV39" s="211"/>
      <c r="DW39" s="211"/>
      <c r="DX39" s="211"/>
      <c r="DY39" s="211"/>
      <c r="DZ39" s="211"/>
      <c r="EA39" s="211"/>
      <c r="EB39" s="211"/>
      <c r="EC39" s="211"/>
      <c r="ED39" s="211"/>
      <c r="EE39" s="211"/>
      <c r="EF39" s="211"/>
      <c r="EG39" s="211"/>
    </row>
    <row r="40" spans="1:137" ht="12.75">
      <c r="A40" s="1362"/>
      <c r="B40" s="1363"/>
      <c r="C40" s="1387"/>
      <c r="D40" s="1004"/>
      <c r="E40" s="1004"/>
      <c r="F40" s="1400">
        <f t="shared" si="0"/>
        <v>6</v>
      </c>
      <c r="G40" s="1401" t="s">
        <v>14066</v>
      </c>
      <c r="H40" s="1402" t="s">
        <v>71</v>
      </c>
      <c r="I40" s="1403">
        <v>518</v>
      </c>
      <c r="J40" s="1403"/>
      <c r="K40" s="1403"/>
      <c r="L40" s="1403"/>
      <c r="M40" s="1403"/>
      <c r="N40" s="1403"/>
      <c r="O40" s="1404">
        <v>518</v>
      </c>
      <c r="P40" s="1681"/>
      <c r="Q40" s="1369"/>
      <c r="R40" s="211"/>
      <c r="S40" s="211"/>
      <c r="T40" s="211"/>
      <c r="U40" s="211"/>
      <c r="V40" s="211"/>
      <c r="W40" s="211"/>
      <c r="X40" s="211"/>
      <c r="Y40" s="211"/>
      <c r="Z40" s="211"/>
      <c r="AA40" s="211"/>
      <c r="AB40" s="211"/>
      <c r="AC40" s="211"/>
      <c r="AD40" s="211"/>
      <c r="AE40" s="211"/>
      <c r="AF40" s="211"/>
      <c r="AG40" s="211"/>
      <c r="DE40" s="211"/>
      <c r="DF40" s="211"/>
      <c r="DG40" s="211"/>
      <c r="DH40" s="211"/>
      <c r="DI40" s="211"/>
      <c r="DJ40" s="211"/>
      <c r="DK40" s="211"/>
      <c r="DL40" s="211"/>
      <c r="DM40" s="211"/>
      <c r="DN40" s="211"/>
      <c r="DQ40" s="211"/>
      <c r="DV40" s="211"/>
      <c r="DW40" s="211"/>
      <c r="DX40" s="211"/>
      <c r="DY40" s="211"/>
      <c r="DZ40" s="211"/>
      <c r="EA40" s="211"/>
      <c r="EB40" s="211"/>
      <c r="EC40" s="211"/>
      <c r="ED40" s="211"/>
      <c r="EE40" s="211"/>
      <c r="EF40" s="211"/>
      <c r="EG40" s="211"/>
    </row>
    <row r="41" spans="1:137" ht="12.75">
      <c r="A41" s="1362"/>
      <c r="B41" s="1363"/>
      <c r="C41" s="1387"/>
      <c r="D41" s="1004"/>
      <c r="E41" s="1004"/>
      <c r="F41" s="1400">
        <f t="shared" si="0"/>
        <v>7</v>
      </c>
      <c r="G41" s="1401" t="s">
        <v>14068</v>
      </c>
      <c r="H41" s="1402" t="s">
        <v>71</v>
      </c>
      <c r="I41" s="1403">
        <v>422</v>
      </c>
      <c r="J41" s="1403"/>
      <c r="K41" s="1403"/>
      <c r="L41" s="1403"/>
      <c r="M41" s="1403"/>
      <c r="N41" s="1403"/>
      <c r="O41" s="1404">
        <v>422</v>
      </c>
      <c r="P41" s="1681"/>
      <c r="Q41" s="1369"/>
      <c r="R41" s="211"/>
      <c r="S41" s="211"/>
      <c r="T41" s="211"/>
      <c r="U41" s="211"/>
      <c r="V41" s="211"/>
      <c r="W41" s="211"/>
      <c r="X41" s="211"/>
      <c r="Y41" s="211"/>
      <c r="Z41" s="211"/>
      <c r="AA41" s="211"/>
      <c r="AB41" s="211"/>
      <c r="AC41" s="211"/>
      <c r="AD41" s="211"/>
      <c r="AE41" s="211"/>
      <c r="AF41" s="211"/>
      <c r="AG41" s="211"/>
      <c r="DE41" s="211"/>
      <c r="DF41" s="211"/>
      <c r="DG41" s="211"/>
      <c r="DH41" s="211"/>
      <c r="DI41" s="211"/>
      <c r="DJ41" s="211"/>
      <c r="DK41" s="211"/>
      <c r="DL41" s="211"/>
      <c r="DM41" s="211"/>
      <c r="DN41" s="211"/>
      <c r="DQ41" s="211"/>
      <c r="DV41" s="211"/>
      <c r="DW41" s="211"/>
      <c r="DX41" s="211"/>
      <c r="DY41" s="211"/>
      <c r="DZ41" s="211"/>
      <c r="EA41" s="211"/>
      <c r="EB41" s="211"/>
      <c r="EC41" s="211"/>
      <c r="ED41" s="211"/>
      <c r="EE41" s="211"/>
      <c r="EF41" s="211"/>
      <c r="EG41" s="211"/>
    </row>
    <row r="42" spans="1:137" ht="12.75">
      <c r="A42" s="1362"/>
      <c r="B42" s="1363"/>
      <c r="C42" s="1387"/>
      <c r="D42" s="1004"/>
      <c r="E42" s="1004"/>
      <c r="F42" s="1400">
        <f t="shared" si="0"/>
        <v>8</v>
      </c>
      <c r="G42" s="1401" t="s">
        <v>13932</v>
      </c>
      <c r="H42" s="1402" t="s">
        <v>71</v>
      </c>
      <c r="I42" s="1403">
        <v>0</v>
      </c>
      <c r="J42" s="1403"/>
      <c r="K42" s="1403"/>
      <c r="L42" s="1403"/>
      <c r="M42" s="1403"/>
      <c r="N42" s="1403"/>
      <c r="O42" s="1404">
        <v>0</v>
      </c>
      <c r="P42" s="1681"/>
      <c r="Q42" s="1369"/>
      <c r="R42" s="211"/>
      <c r="S42" s="211"/>
      <c r="T42" s="211"/>
      <c r="U42" s="211"/>
      <c r="V42" s="211"/>
      <c r="W42" s="211"/>
      <c r="X42" s="211"/>
      <c r="Y42" s="211"/>
      <c r="Z42" s="211"/>
      <c r="AA42" s="211"/>
      <c r="AB42" s="211"/>
      <c r="AC42" s="211"/>
      <c r="AD42" s="211"/>
      <c r="AE42" s="211"/>
      <c r="AF42" s="211"/>
      <c r="AG42" s="211"/>
      <c r="DE42" s="211"/>
      <c r="DF42" s="211"/>
      <c r="DG42" s="211"/>
      <c r="DH42" s="211"/>
      <c r="DI42" s="211"/>
      <c r="DJ42" s="211"/>
      <c r="DK42" s="211"/>
      <c r="DL42" s="211"/>
      <c r="DM42" s="211"/>
      <c r="DN42" s="211"/>
      <c r="DQ42" s="211"/>
      <c r="DV42" s="211"/>
      <c r="DW42" s="211"/>
      <c r="DX42" s="211"/>
      <c r="DY42" s="211"/>
      <c r="DZ42" s="211"/>
      <c r="EA42" s="211"/>
      <c r="EB42" s="211"/>
      <c r="EC42" s="211"/>
      <c r="ED42" s="211"/>
      <c r="EE42" s="211"/>
      <c r="EF42" s="211"/>
      <c r="EG42" s="211"/>
    </row>
    <row r="43" spans="1:137" ht="12.75">
      <c r="A43" s="1362"/>
      <c r="B43" s="1363"/>
      <c r="C43" s="1387"/>
      <c r="D43" s="1004"/>
      <c r="E43" s="1004"/>
      <c r="F43" s="1400">
        <f t="shared" si="0"/>
        <v>9</v>
      </c>
      <c r="G43" s="1401" t="s">
        <v>13933</v>
      </c>
      <c r="H43" s="1402" t="s">
        <v>71</v>
      </c>
      <c r="I43" s="1403">
        <v>0</v>
      </c>
      <c r="J43" s="1403"/>
      <c r="K43" s="1403"/>
      <c r="L43" s="1403"/>
      <c r="M43" s="1403"/>
      <c r="N43" s="1403"/>
      <c r="O43" s="1404">
        <v>0</v>
      </c>
      <c r="P43" s="1681"/>
      <c r="Q43" s="1369"/>
      <c r="R43" s="211"/>
      <c r="S43" s="211"/>
      <c r="T43" s="211"/>
      <c r="U43" s="211"/>
      <c r="V43" s="211"/>
      <c r="W43" s="211"/>
      <c r="X43" s="211"/>
      <c r="Y43" s="211"/>
      <c r="Z43" s="211"/>
      <c r="AA43" s="211"/>
      <c r="AB43" s="211"/>
      <c r="AC43" s="211"/>
      <c r="AD43" s="211"/>
      <c r="AE43" s="211"/>
      <c r="AF43" s="211"/>
      <c r="AG43" s="211"/>
      <c r="DE43" s="211"/>
      <c r="DF43" s="211"/>
      <c r="DG43" s="211"/>
      <c r="DH43" s="211"/>
      <c r="DI43" s="211"/>
      <c r="DJ43" s="211"/>
      <c r="DK43" s="211"/>
      <c r="DL43" s="211"/>
      <c r="DM43" s="211"/>
      <c r="DN43" s="211"/>
      <c r="DQ43" s="211"/>
      <c r="DV43" s="211"/>
      <c r="DW43" s="211"/>
      <c r="DX43" s="211"/>
      <c r="DY43" s="211"/>
      <c r="DZ43" s="211"/>
      <c r="EA43" s="211"/>
      <c r="EB43" s="211"/>
      <c r="EC43" s="211"/>
      <c r="ED43" s="211"/>
      <c r="EE43" s="211"/>
      <c r="EF43" s="211"/>
      <c r="EG43" s="211"/>
    </row>
    <row r="44" spans="1:137" ht="12.75">
      <c r="A44" s="1362"/>
      <c r="B44" s="1363"/>
      <c r="C44" s="1387"/>
      <c r="D44" s="1004"/>
      <c r="E44" s="1004"/>
      <c r="F44" s="1400">
        <f t="shared" si="0"/>
        <v>10</v>
      </c>
      <c r="G44" s="1401" t="s">
        <v>13934</v>
      </c>
      <c r="H44" s="1402" t="s">
        <v>71</v>
      </c>
      <c r="I44" s="1403">
        <v>0</v>
      </c>
      <c r="J44" s="1403"/>
      <c r="K44" s="1403"/>
      <c r="L44" s="1403"/>
      <c r="M44" s="1403"/>
      <c r="N44" s="1403"/>
      <c r="O44" s="1404">
        <v>0</v>
      </c>
      <c r="P44" s="1681"/>
      <c r="Q44" s="1369" t="s">
        <v>13935</v>
      </c>
      <c r="R44" s="211"/>
      <c r="S44" s="211"/>
      <c r="T44" s="211"/>
      <c r="U44" s="211"/>
      <c r="V44" s="211"/>
      <c r="W44" s="211"/>
      <c r="X44" s="211"/>
      <c r="Y44" s="211"/>
      <c r="Z44" s="211"/>
      <c r="AA44" s="211"/>
      <c r="AB44" s="211"/>
      <c r="AC44" s="211"/>
      <c r="AD44" s="211"/>
      <c r="AE44" s="211"/>
      <c r="AF44" s="211"/>
      <c r="AG44" s="211"/>
      <c r="DE44" s="211"/>
      <c r="DF44" s="211"/>
      <c r="DG44" s="211"/>
      <c r="DH44" s="211"/>
      <c r="DI44" s="211"/>
      <c r="DJ44" s="211"/>
      <c r="DK44" s="211"/>
      <c r="DL44" s="211"/>
      <c r="DM44" s="211"/>
      <c r="DN44" s="211"/>
      <c r="DQ44" s="211"/>
      <c r="DV44" s="211"/>
      <c r="DW44" s="211"/>
      <c r="DX44" s="211"/>
      <c r="DY44" s="211"/>
      <c r="DZ44" s="211"/>
      <c r="EA44" s="211"/>
      <c r="EB44" s="211"/>
      <c r="EC44" s="211"/>
      <c r="ED44" s="211"/>
      <c r="EE44" s="211"/>
      <c r="EF44" s="211"/>
      <c r="EG44" s="211"/>
    </row>
    <row r="45" spans="1:137" ht="12.75">
      <c r="A45" s="1362"/>
      <c r="B45" s="1363"/>
      <c r="C45" s="1387"/>
      <c r="D45" s="1004"/>
      <c r="E45" s="1004"/>
      <c r="F45" s="1400">
        <f t="shared" si="0"/>
        <v>11</v>
      </c>
      <c r="G45" s="1401" t="s">
        <v>13936</v>
      </c>
      <c r="H45" s="1402" t="s">
        <v>71</v>
      </c>
      <c r="I45" s="1403">
        <v>0</v>
      </c>
      <c r="J45" s="1403"/>
      <c r="K45" s="1403"/>
      <c r="L45" s="1403"/>
      <c r="M45" s="1403"/>
      <c r="N45" s="1403"/>
      <c r="O45" s="1404">
        <v>0</v>
      </c>
      <c r="P45" s="1681"/>
      <c r="Q45" s="1369" t="s">
        <v>13937</v>
      </c>
      <c r="R45" s="211"/>
      <c r="S45" s="211"/>
      <c r="T45" s="211"/>
      <c r="U45" s="211"/>
      <c r="V45" s="211"/>
      <c r="W45" s="211"/>
      <c r="X45" s="211"/>
      <c r="Y45" s="211"/>
      <c r="Z45" s="211"/>
      <c r="AA45" s="211"/>
      <c r="AB45" s="211"/>
      <c r="AC45" s="211"/>
      <c r="AD45" s="211"/>
      <c r="AE45" s="211"/>
      <c r="AF45" s="211"/>
      <c r="AG45" s="211"/>
      <c r="DE45" s="211"/>
      <c r="DF45" s="211"/>
      <c r="DG45" s="211"/>
      <c r="DH45" s="211"/>
      <c r="DI45" s="211"/>
      <c r="DJ45" s="211"/>
      <c r="DK45" s="211"/>
      <c r="DL45" s="211"/>
      <c r="DM45" s="211"/>
      <c r="DN45" s="211"/>
      <c r="DQ45" s="211"/>
      <c r="DV45" s="211"/>
      <c r="DW45" s="211"/>
      <c r="DX45" s="211"/>
      <c r="DY45" s="211"/>
      <c r="DZ45" s="211"/>
      <c r="EA45" s="211"/>
      <c r="EB45" s="211"/>
      <c r="EC45" s="211"/>
      <c r="ED45" s="211"/>
      <c r="EE45" s="211"/>
      <c r="EF45" s="211"/>
      <c r="EG45" s="211"/>
    </row>
    <row r="46" spans="1:137" ht="12.75">
      <c r="A46" s="1362"/>
      <c r="B46" s="1363"/>
      <c r="C46" s="1387"/>
      <c r="D46" s="1004"/>
      <c r="E46" s="1004"/>
      <c r="F46" s="1400">
        <f t="shared" si="0"/>
        <v>12</v>
      </c>
      <c r="G46" s="1401" t="s">
        <v>13938</v>
      </c>
      <c r="H46" s="1402" t="s">
        <v>71</v>
      </c>
      <c r="I46" s="1403">
        <v>0</v>
      </c>
      <c r="J46" s="1403"/>
      <c r="K46" s="1403"/>
      <c r="L46" s="1403"/>
      <c r="M46" s="1403"/>
      <c r="N46" s="1403"/>
      <c r="O46" s="1404">
        <v>0</v>
      </c>
      <c r="P46" s="1681"/>
      <c r="Q46" s="1369"/>
      <c r="R46" s="211"/>
      <c r="S46" s="211"/>
      <c r="T46" s="211"/>
      <c r="U46" s="211"/>
      <c r="V46" s="211"/>
      <c r="W46" s="211"/>
      <c r="X46" s="211"/>
      <c r="Y46" s="211"/>
      <c r="Z46" s="211"/>
      <c r="AA46" s="211"/>
      <c r="AB46" s="211"/>
      <c r="AC46" s="211"/>
      <c r="AD46" s="211"/>
      <c r="AE46" s="211"/>
      <c r="AF46" s="211"/>
      <c r="AG46" s="211"/>
      <c r="DE46" s="211"/>
      <c r="DF46" s="211"/>
      <c r="DG46" s="211"/>
      <c r="DH46" s="211"/>
      <c r="DI46" s="211"/>
      <c r="DJ46" s="211"/>
      <c r="DK46" s="211"/>
      <c r="DL46" s="211"/>
      <c r="DM46" s="211"/>
      <c r="DN46" s="211"/>
      <c r="DQ46" s="211"/>
      <c r="DV46" s="211"/>
      <c r="DW46" s="211"/>
      <c r="DX46" s="211"/>
      <c r="DY46" s="211"/>
      <c r="DZ46" s="211"/>
      <c r="EA46" s="211"/>
      <c r="EB46" s="211"/>
      <c r="EC46" s="211"/>
      <c r="ED46" s="211"/>
      <c r="EE46" s="211"/>
      <c r="EF46" s="211"/>
      <c r="EG46" s="211"/>
    </row>
    <row r="47" spans="1:137" ht="12.75">
      <c r="A47" s="1362"/>
      <c r="B47" s="1363"/>
      <c r="C47" s="1387"/>
      <c r="D47" s="1004"/>
      <c r="E47" s="1004"/>
      <c r="F47" s="1400">
        <f t="shared" si="0"/>
        <v>13</v>
      </c>
      <c r="G47" s="1401" t="s">
        <v>14070</v>
      </c>
      <c r="H47" s="1402" t="s">
        <v>71</v>
      </c>
      <c r="I47" s="1403">
        <v>0</v>
      </c>
      <c r="J47" s="1403"/>
      <c r="K47" s="1403"/>
      <c r="L47" s="1403"/>
      <c r="M47" s="1403"/>
      <c r="N47" s="1403"/>
      <c r="O47" s="1404">
        <v>0</v>
      </c>
      <c r="P47" s="1681"/>
      <c r="Q47" s="1369"/>
      <c r="R47" s="211"/>
      <c r="S47" s="211"/>
      <c r="T47" s="211"/>
      <c r="U47" s="211"/>
      <c r="V47" s="211"/>
      <c r="W47" s="211"/>
      <c r="X47" s="211"/>
      <c r="Y47" s="211"/>
      <c r="Z47" s="211"/>
      <c r="AA47" s="211"/>
      <c r="AB47" s="211"/>
      <c r="AC47" s="211"/>
      <c r="AD47" s="211"/>
      <c r="AE47" s="211"/>
      <c r="AF47" s="211"/>
      <c r="AG47" s="211"/>
      <c r="DE47" s="211"/>
      <c r="DF47" s="211"/>
      <c r="DG47" s="211"/>
      <c r="DH47" s="211"/>
      <c r="DI47" s="211"/>
      <c r="DJ47" s="211"/>
      <c r="DK47" s="211"/>
      <c r="DL47" s="211"/>
      <c r="DM47" s="211"/>
      <c r="DN47" s="211"/>
      <c r="DQ47" s="211"/>
      <c r="DV47" s="211"/>
      <c r="DW47" s="211"/>
      <c r="DX47" s="211"/>
      <c r="DY47" s="211"/>
      <c r="DZ47" s="211"/>
      <c r="EA47" s="211"/>
      <c r="EB47" s="211"/>
      <c r="EC47" s="211"/>
      <c r="ED47" s="211"/>
      <c r="EE47" s="211"/>
      <c r="EF47" s="211"/>
      <c r="EG47" s="211"/>
    </row>
    <row r="48" spans="1:137" ht="12.75">
      <c r="A48" s="1362"/>
      <c r="B48" s="1363"/>
      <c r="C48" s="1387"/>
      <c r="D48" s="1004"/>
      <c r="E48" s="1004"/>
      <c r="F48" s="1400">
        <f t="shared" si="0"/>
        <v>14</v>
      </c>
      <c r="G48" s="1401" t="s">
        <v>14071</v>
      </c>
      <c r="H48" s="1402" t="s">
        <v>71</v>
      </c>
      <c r="I48" s="1403">
        <v>64</v>
      </c>
      <c r="J48" s="1403"/>
      <c r="K48" s="1403"/>
      <c r="L48" s="1403"/>
      <c r="M48" s="1403"/>
      <c r="N48" s="1403"/>
      <c r="O48" s="1404">
        <v>64</v>
      </c>
      <c r="P48" s="1681"/>
      <c r="Q48" s="1369"/>
      <c r="R48" s="211"/>
      <c r="S48" s="211"/>
      <c r="T48" s="211"/>
      <c r="U48" s="211"/>
      <c r="V48" s="211"/>
      <c r="W48" s="211"/>
      <c r="X48" s="211"/>
      <c r="Y48" s="211"/>
      <c r="Z48" s="211"/>
      <c r="AA48" s="211"/>
      <c r="AB48" s="211"/>
      <c r="AC48" s="211"/>
      <c r="AD48" s="211"/>
      <c r="AE48" s="211"/>
      <c r="AF48" s="211"/>
      <c r="AG48" s="211"/>
      <c r="DE48" s="211"/>
      <c r="DF48" s="211"/>
      <c r="DG48" s="211"/>
      <c r="DH48" s="211"/>
      <c r="DI48" s="211"/>
      <c r="DJ48" s="211"/>
      <c r="DK48" s="211"/>
      <c r="DL48" s="211"/>
      <c r="DM48" s="211"/>
      <c r="DN48" s="211"/>
      <c r="DQ48" s="211"/>
      <c r="DV48" s="211"/>
      <c r="DW48" s="211"/>
      <c r="DX48" s="211"/>
      <c r="DY48" s="211"/>
      <c r="DZ48" s="211"/>
      <c r="EA48" s="211"/>
      <c r="EB48" s="211"/>
      <c r="EC48" s="211"/>
      <c r="ED48" s="211"/>
      <c r="EE48" s="211"/>
      <c r="EF48" s="211"/>
      <c r="EG48" s="211"/>
    </row>
    <row r="49" spans="1:137" ht="12.75">
      <c r="A49" s="1362"/>
      <c r="B49" s="1363"/>
      <c r="C49" s="1387"/>
      <c r="D49" s="1004"/>
      <c r="E49" s="1004"/>
      <c r="F49" s="1400">
        <f t="shared" si="0"/>
        <v>15</v>
      </c>
      <c r="G49" s="1401" t="s">
        <v>14072</v>
      </c>
      <c r="H49" s="1402" t="s">
        <v>71</v>
      </c>
      <c r="I49" s="1403">
        <v>0</v>
      </c>
      <c r="J49" s="1403">
        <v>207</v>
      </c>
      <c r="K49" s="1403"/>
      <c r="L49" s="1403"/>
      <c r="M49" s="1403"/>
      <c r="N49" s="1403"/>
      <c r="O49" s="1404">
        <v>207</v>
      </c>
      <c r="P49" s="1681"/>
      <c r="Q49" s="1369"/>
      <c r="R49" s="211"/>
      <c r="S49" s="211"/>
      <c r="T49" s="211"/>
      <c r="U49" s="211"/>
      <c r="V49" s="211"/>
      <c r="W49" s="211"/>
      <c r="X49" s="211"/>
      <c r="Y49" s="211"/>
      <c r="Z49" s="211"/>
      <c r="AA49" s="211"/>
      <c r="AB49" s="211"/>
      <c r="AC49" s="211"/>
      <c r="AD49" s="211"/>
      <c r="AE49" s="211"/>
      <c r="AF49" s="211"/>
      <c r="AG49" s="211"/>
      <c r="DE49" s="211"/>
      <c r="DF49" s="211"/>
      <c r="DG49" s="211"/>
      <c r="DH49" s="211"/>
      <c r="DI49" s="211"/>
      <c r="DJ49" s="211"/>
      <c r="DK49" s="211"/>
      <c r="DL49" s="211"/>
      <c r="DM49" s="211"/>
      <c r="DN49" s="211"/>
      <c r="DQ49" s="211"/>
      <c r="DV49" s="211"/>
      <c r="DW49" s="211"/>
      <c r="DX49" s="211"/>
      <c r="DY49" s="211"/>
      <c r="DZ49" s="211"/>
      <c r="EA49" s="211"/>
      <c r="EB49" s="211"/>
      <c r="EC49" s="211"/>
      <c r="ED49" s="211"/>
      <c r="EE49" s="211"/>
      <c r="EF49" s="211"/>
      <c r="EG49" s="211"/>
    </row>
    <row r="50" spans="1:137" ht="12.75">
      <c r="A50" s="1362"/>
      <c r="B50" s="1363"/>
      <c r="C50" s="1387"/>
      <c r="D50" s="1004"/>
      <c r="E50" s="1004"/>
      <c r="F50" s="1400">
        <f t="shared" si="0"/>
        <v>16</v>
      </c>
      <c r="G50" s="1401" t="s">
        <v>14069</v>
      </c>
      <c r="H50" s="1402" t="s">
        <v>71</v>
      </c>
      <c r="I50" s="1403">
        <v>0</v>
      </c>
      <c r="J50" s="1403">
        <v>263</v>
      </c>
      <c r="K50" s="1403"/>
      <c r="L50" s="1403"/>
      <c r="M50" s="1403"/>
      <c r="N50" s="1403"/>
      <c r="O50" s="1404">
        <v>263</v>
      </c>
      <c r="P50" s="1681"/>
      <c r="Q50" s="1369"/>
      <c r="R50" s="211"/>
      <c r="S50" s="211"/>
      <c r="T50" s="211"/>
      <c r="U50" s="211"/>
      <c r="V50" s="211"/>
      <c r="W50" s="211"/>
      <c r="X50" s="211"/>
      <c r="Y50" s="211"/>
      <c r="Z50" s="211"/>
      <c r="AA50" s="211"/>
      <c r="AB50" s="211"/>
      <c r="AC50" s="211"/>
      <c r="AD50" s="211"/>
      <c r="AE50" s="211"/>
      <c r="AF50" s="211"/>
      <c r="AG50" s="211"/>
      <c r="DE50" s="211"/>
      <c r="DF50" s="211"/>
      <c r="DG50" s="211"/>
      <c r="DH50" s="211"/>
      <c r="DI50" s="211"/>
      <c r="DJ50" s="211"/>
      <c r="DK50" s="211"/>
      <c r="DL50" s="211"/>
      <c r="DM50" s="211"/>
      <c r="DN50" s="211"/>
      <c r="DQ50" s="211"/>
      <c r="DV50" s="211"/>
      <c r="DW50" s="211"/>
      <c r="DX50" s="211"/>
      <c r="DY50" s="211"/>
      <c r="DZ50" s="211"/>
      <c r="EA50" s="211"/>
      <c r="EB50" s="211"/>
      <c r="EC50" s="211"/>
      <c r="ED50" s="211"/>
      <c r="EE50" s="211"/>
      <c r="EF50" s="211"/>
      <c r="EG50" s="211"/>
    </row>
    <row r="51" spans="1:137" ht="12.75">
      <c r="A51" s="1362"/>
      <c r="B51" s="1363"/>
      <c r="C51" s="1387"/>
      <c r="D51" s="1004"/>
      <c r="E51" s="1004"/>
      <c r="F51" s="1400"/>
      <c r="G51" s="1401" t="s">
        <v>1269</v>
      </c>
      <c r="H51" s="1402" t="s">
        <v>71</v>
      </c>
      <c r="I51" s="1404">
        <v>1004</v>
      </c>
      <c r="J51" s="1404">
        <v>470</v>
      </c>
      <c r="K51" s="1404">
        <v>0</v>
      </c>
      <c r="L51" s="1404">
        <v>0</v>
      </c>
      <c r="M51" s="1404">
        <v>0</v>
      </c>
      <c r="N51" s="1404">
        <v>0</v>
      </c>
      <c r="O51" s="1404">
        <v>1474</v>
      </c>
      <c r="P51" s="1681"/>
      <c r="Q51" s="1369"/>
      <c r="R51" s="211"/>
      <c r="S51" s="211"/>
      <c r="T51" s="211"/>
      <c r="U51" s="211"/>
      <c r="V51" s="211"/>
      <c r="W51" s="211"/>
      <c r="X51" s="211"/>
      <c r="Y51" s="211"/>
      <c r="Z51" s="211"/>
      <c r="AA51" s="211"/>
      <c r="AB51" s="211"/>
      <c r="AC51" s="211"/>
      <c r="AD51" s="211"/>
      <c r="AE51" s="211"/>
      <c r="AF51" s="211"/>
      <c r="AG51" s="211"/>
      <c r="DE51" s="211"/>
      <c r="DF51" s="211"/>
      <c r="DG51" s="211"/>
      <c r="DH51" s="211"/>
      <c r="DI51" s="211"/>
      <c r="DJ51" s="211"/>
      <c r="DK51" s="211"/>
      <c r="DL51" s="211"/>
      <c r="DM51" s="211"/>
      <c r="DN51" s="211"/>
      <c r="DQ51" s="211"/>
      <c r="DV51" s="211"/>
      <c r="DW51" s="211"/>
      <c r="DX51" s="211"/>
      <c r="DY51" s="211"/>
      <c r="DZ51" s="211"/>
      <c r="EA51" s="211"/>
      <c r="EB51" s="211"/>
      <c r="EC51" s="211"/>
      <c r="ED51" s="211"/>
      <c r="EE51" s="211"/>
      <c r="EF51" s="211"/>
      <c r="EG51" s="211"/>
    </row>
    <row r="52" spans="1:137" ht="12.75">
      <c r="A52" s="1362"/>
      <c r="B52" s="1363"/>
      <c r="C52" s="1387"/>
      <c r="D52" s="1004"/>
      <c r="E52" s="1004"/>
      <c r="F52" s="1384" t="s">
        <v>13939</v>
      </c>
      <c r="G52" s="1384"/>
      <c r="H52" s="1384"/>
      <c r="I52" s="1384"/>
      <c r="J52" s="1384"/>
      <c r="K52" s="1384"/>
      <c r="L52" s="1384"/>
      <c r="M52" s="1384"/>
      <c r="N52" s="1384"/>
      <c r="O52" s="1384"/>
      <c r="P52" s="1385"/>
      <c r="Q52" s="1369"/>
      <c r="R52" s="211"/>
      <c r="S52" s="211"/>
      <c r="T52" s="211"/>
      <c r="U52" s="211"/>
      <c r="V52" s="211"/>
      <c r="W52" s="211"/>
      <c r="X52" s="211"/>
      <c r="Y52" s="211"/>
      <c r="Z52" s="211"/>
      <c r="AA52" s="211"/>
      <c r="AB52" s="211"/>
      <c r="AC52" s="211"/>
      <c r="AD52" s="211"/>
      <c r="AE52" s="211"/>
      <c r="AF52" s="211"/>
      <c r="AG52" s="211"/>
      <c r="DE52" s="211"/>
      <c r="DF52" s="211"/>
      <c r="DG52" s="211"/>
      <c r="DH52" s="211"/>
      <c r="DI52" s="211"/>
      <c r="DJ52" s="211"/>
      <c r="DK52" s="211"/>
      <c r="DL52" s="211"/>
      <c r="DM52" s="211"/>
      <c r="DN52" s="211"/>
      <c r="DQ52" s="211"/>
      <c r="DV52" s="211"/>
      <c r="DW52" s="211"/>
      <c r="DX52" s="211"/>
      <c r="DY52" s="211"/>
      <c r="DZ52" s="211"/>
      <c r="EA52" s="211"/>
      <c r="EB52" s="211"/>
      <c r="EC52" s="211"/>
      <c r="ED52" s="211"/>
      <c r="EE52" s="211"/>
      <c r="EF52" s="211"/>
      <c r="EG52" s="211"/>
    </row>
    <row r="53" spans="1:137" ht="12.75">
      <c r="A53" s="1362">
        <f>IF(E53&gt;0,1,0)</f>
        <v>1</v>
      </c>
      <c r="B53" s="1405">
        <f>B52+A53</f>
        <v>1</v>
      </c>
      <c r="C53" s="1387" t="str">
        <f>IF(A53&gt;0,CONCATENATE("INTERC.",B53)," ")</f>
        <v>INTERC.1</v>
      </c>
      <c r="D53" s="1004" t="s">
        <v>70</v>
      </c>
      <c r="E53" s="1110">
        <v>73610</v>
      </c>
      <c r="F53" s="1406" t="s">
        <v>11634</v>
      </c>
      <c r="G53" s="1407" t="s">
        <v>1102</v>
      </c>
      <c r="H53" s="1402" t="s">
        <v>71</v>
      </c>
      <c r="I53" s="1408">
        <v>1004</v>
      </c>
      <c r="J53" s="1408">
        <v>470</v>
      </c>
      <c r="K53" s="1408">
        <v>0</v>
      </c>
      <c r="L53" s="1408">
        <v>0</v>
      </c>
      <c r="M53" s="1408">
        <v>0</v>
      </c>
      <c r="N53" s="1408">
        <v>0</v>
      </c>
      <c r="O53" s="1408">
        <v>1474</v>
      </c>
      <c r="P53" s="1407" t="s">
        <v>13940</v>
      </c>
      <c r="Q53" s="1369"/>
      <c r="R53" s="211"/>
      <c r="S53" s="211"/>
      <c r="T53" s="211"/>
      <c r="U53" s="211"/>
      <c r="V53" s="211"/>
      <c r="W53" s="211"/>
      <c r="X53" s="211"/>
      <c r="Y53" s="211"/>
      <c r="Z53" s="211"/>
      <c r="AA53" s="211"/>
      <c r="AB53" s="211"/>
      <c r="AC53" s="211"/>
      <c r="AD53" s="211"/>
      <c r="AE53" s="211"/>
      <c r="AF53" s="211"/>
      <c r="AG53" s="211"/>
      <c r="DE53" s="211"/>
      <c r="DF53" s="211"/>
      <c r="DG53" s="211"/>
      <c r="DH53" s="211"/>
      <c r="DI53" s="211"/>
      <c r="DJ53" s="211"/>
      <c r="DK53" s="211"/>
      <c r="DL53" s="211"/>
      <c r="DM53" s="211"/>
      <c r="DN53" s="211"/>
      <c r="DQ53" s="211"/>
      <c r="DV53" s="211"/>
      <c r="DW53" s="211"/>
      <c r="DX53" s="211"/>
      <c r="DY53" s="211"/>
      <c r="DZ53" s="211"/>
      <c r="EA53" s="211"/>
      <c r="EB53" s="211"/>
      <c r="EC53" s="211"/>
      <c r="ED53" s="211"/>
      <c r="EE53" s="211"/>
      <c r="EF53" s="211"/>
      <c r="EG53" s="211"/>
    </row>
    <row r="54" spans="1:137" ht="17.25" customHeight="1">
      <c r="A54" s="1362">
        <f>IF(E54&gt;0,1,0)</f>
        <v>1</v>
      </c>
      <c r="B54" s="1405">
        <f>B53+A54</f>
        <v>2</v>
      </c>
      <c r="C54" s="1387" t="str">
        <f t="shared" ref="C54:C117" si="1">IF(A54&gt;0,CONCATENATE("INTERC.",B54)," ")</f>
        <v>INTERC.2</v>
      </c>
      <c r="D54" s="1004" t="s">
        <v>1</v>
      </c>
      <c r="E54" s="1110">
        <v>1512</v>
      </c>
      <c r="F54" s="1406" t="s">
        <v>11635</v>
      </c>
      <c r="G54" s="1407" t="s">
        <v>19813</v>
      </c>
      <c r="H54" s="1402" t="s">
        <v>71</v>
      </c>
      <c r="I54" s="1408">
        <v>1004</v>
      </c>
      <c r="J54" s="1408">
        <v>470</v>
      </c>
      <c r="K54" s="1408">
        <v>0</v>
      </c>
      <c r="L54" s="1408">
        <v>0</v>
      </c>
      <c r="M54" s="1408">
        <v>0</v>
      </c>
      <c r="N54" s="1408">
        <v>0</v>
      </c>
      <c r="O54" s="1408">
        <v>1474</v>
      </c>
      <c r="P54" s="1401" t="s">
        <v>14231</v>
      </c>
      <c r="Q54" s="1369"/>
      <c r="R54" s="211"/>
      <c r="S54" s="211"/>
      <c r="T54" s="211"/>
      <c r="U54" s="211"/>
      <c r="V54" s="211"/>
      <c r="W54" s="211"/>
      <c r="X54" s="211"/>
      <c r="Y54" s="211"/>
      <c r="Z54" s="211"/>
      <c r="AA54" s="211"/>
      <c r="AB54" s="211"/>
      <c r="AC54" s="211"/>
      <c r="AD54" s="211"/>
      <c r="AE54" s="211"/>
      <c r="AF54" s="211"/>
      <c r="AG54" s="211"/>
      <c r="DE54" s="211"/>
      <c r="DF54" s="211"/>
      <c r="DG54" s="211"/>
      <c r="DH54" s="211"/>
      <c r="DI54" s="211"/>
      <c r="DJ54" s="211"/>
      <c r="DK54" s="211"/>
      <c r="DL54" s="211"/>
      <c r="DM54" s="211"/>
      <c r="DN54" s="211"/>
      <c r="DQ54" s="211"/>
      <c r="DV54" s="211"/>
      <c r="DW54" s="211"/>
      <c r="DX54" s="211"/>
      <c r="DY54" s="211"/>
      <c r="DZ54" s="211"/>
      <c r="EA54" s="211"/>
      <c r="EB54" s="211"/>
      <c r="EC54" s="211"/>
      <c r="ED54" s="211"/>
      <c r="EE54" s="211"/>
      <c r="EF54" s="211"/>
      <c r="EG54" s="211"/>
    </row>
    <row r="55" spans="1:137" ht="12.75">
      <c r="A55" s="1362">
        <f t="shared" ref="A55:A123" si="2">IF(E55&gt;0,1,0)</f>
        <v>0</v>
      </c>
      <c r="B55" s="1405">
        <f t="shared" ref="B55:B66" si="3">B54+A55</f>
        <v>2</v>
      </c>
      <c r="C55" s="1387" t="str">
        <f t="shared" si="1"/>
        <v xml:space="preserve"> </v>
      </c>
      <c r="D55" s="1004"/>
      <c r="E55" s="1004"/>
      <c r="F55" s="1384" t="s">
        <v>13941</v>
      </c>
      <c r="G55" s="1384"/>
      <c r="H55" s="1384"/>
      <c r="I55" s="1384"/>
      <c r="J55" s="1384"/>
      <c r="K55" s="1384"/>
      <c r="L55" s="1384"/>
      <c r="M55" s="1384"/>
      <c r="N55" s="1384"/>
      <c r="O55" s="1384"/>
      <c r="P55" s="1385"/>
      <c r="Q55" s="1369"/>
      <c r="R55" s="211"/>
      <c r="S55" s="211"/>
      <c r="T55" s="211"/>
      <c r="U55" s="211"/>
      <c r="V55" s="211"/>
      <c r="W55" s="211"/>
      <c r="X55" s="211"/>
      <c r="Y55" s="211"/>
      <c r="Z55" s="211"/>
      <c r="AA55" s="211"/>
      <c r="AB55" s="211"/>
      <c r="AC55" s="211"/>
      <c r="AD55" s="211"/>
      <c r="AE55" s="211"/>
      <c r="AF55" s="211"/>
      <c r="AG55" s="211"/>
      <c r="DE55" s="211"/>
      <c r="DF55" s="211"/>
      <c r="DG55" s="211"/>
      <c r="DH55" s="211"/>
      <c r="DI55" s="211"/>
      <c r="DJ55" s="211"/>
      <c r="DK55" s="211"/>
      <c r="DL55" s="211"/>
      <c r="DM55" s="211"/>
      <c r="DN55" s="211"/>
      <c r="DQ55" s="211"/>
      <c r="DV55" s="211"/>
      <c r="DW55" s="211"/>
      <c r="DX55" s="211"/>
      <c r="DY55" s="211"/>
      <c r="DZ55" s="211"/>
      <c r="EA55" s="211"/>
      <c r="EB55" s="211"/>
      <c r="EC55" s="211"/>
      <c r="ED55" s="211"/>
      <c r="EE55" s="211"/>
      <c r="EF55" s="211"/>
      <c r="EG55" s="211"/>
    </row>
    <row r="56" spans="1:137" ht="18" customHeight="1">
      <c r="A56" s="1362">
        <f t="shared" si="2"/>
        <v>1</v>
      </c>
      <c r="B56" s="1405">
        <f t="shared" si="3"/>
        <v>3</v>
      </c>
      <c r="C56" s="1387" t="str">
        <f t="shared" si="1"/>
        <v>INTERC.3</v>
      </c>
      <c r="D56" s="1004" t="s">
        <v>1</v>
      </c>
      <c r="E56" s="1110">
        <v>98</v>
      </c>
      <c r="F56" s="1406" t="s">
        <v>13942</v>
      </c>
      <c r="G56" s="1407" t="s">
        <v>19814</v>
      </c>
      <c r="H56" s="1402" t="s">
        <v>65</v>
      </c>
      <c r="I56" s="1409">
        <v>2</v>
      </c>
      <c r="J56" s="1409">
        <v>2</v>
      </c>
      <c r="K56" s="1409"/>
      <c r="L56" s="1409"/>
      <c r="M56" s="1409"/>
      <c r="N56" s="1409"/>
      <c r="O56" s="1408">
        <v>4</v>
      </c>
      <c r="P56" s="1407" t="s">
        <v>14232</v>
      </c>
      <c r="Q56" s="1369"/>
    </row>
    <row r="57" spans="1:137" ht="25.5">
      <c r="A57" s="1362">
        <f t="shared" si="2"/>
        <v>1</v>
      </c>
      <c r="B57" s="1405">
        <f t="shared" si="3"/>
        <v>4</v>
      </c>
      <c r="C57" s="1387" t="str">
        <f t="shared" si="1"/>
        <v>INTERC.4</v>
      </c>
      <c r="D57" s="1004" t="s">
        <v>70</v>
      </c>
      <c r="E57" s="1110">
        <v>13244</v>
      </c>
      <c r="F57" s="1406" t="s">
        <v>13943</v>
      </c>
      <c r="G57" s="1407" t="s">
        <v>3863</v>
      </c>
      <c r="H57" s="1402" t="s">
        <v>65</v>
      </c>
      <c r="I57" s="1409">
        <v>4</v>
      </c>
      <c r="J57" s="1409">
        <v>4</v>
      </c>
      <c r="K57" s="1409"/>
      <c r="L57" s="1409"/>
      <c r="M57" s="1409"/>
      <c r="N57" s="1409"/>
      <c r="O57" s="1408">
        <v>8</v>
      </c>
      <c r="P57" s="1407" t="s">
        <v>14233</v>
      </c>
      <c r="Q57" s="1369"/>
    </row>
    <row r="58" spans="1:137" ht="17.25" customHeight="1">
      <c r="A58" s="1362">
        <f t="shared" si="2"/>
        <v>1</v>
      </c>
      <c r="B58" s="1405">
        <f t="shared" si="3"/>
        <v>5</v>
      </c>
      <c r="C58" s="1387" t="str">
        <f t="shared" si="1"/>
        <v>INTERC.5</v>
      </c>
      <c r="D58" s="1004" t="s">
        <v>1</v>
      </c>
      <c r="E58" s="1110">
        <v>104</v>
      </c>
      <c r="F58" s="1406" t="s">
        <v>13944</v>
      </c>
      <c r="G58" s="1407" t="s">
        <v>1217</v>
      </c>
      <c r="H58" s="1402" t="s">
        <v>65</v>
      </c>
      <c r="I58" s="1409">
        <v>2</v>
      </c>
      <c r="J58" s="1409">
        <v>2</v>
      </c>
      <c r="K58" s="1409"/>
      <c r="L58" s="1409"/>
      <c r="M58" s="1409"/>
      <c r="N58" s="1409"/>
      <c r="O58" s="1408">
        <v>4</v>
      </c>
      <c r="P58" s="1407" t="s">
        <v>14234</v>
      </c>
      <c r="Q58" s="1369"/>
    </row>
    <row r="59" spans="1:137" ht="17.25" customHeight="1">
      <c r="A59" s="1362">
        <f t="shared" si="2"/>
        <v>1</v>
      </c>
      <c r="B59" s="1405">
        <f t="shared" si="3"/>
        <v>6</v>
      </c>
      <c r="C59" s="1387" t="str">
        <f t="shared" si="1"/>
        <v>INTERC.6</v>
      </c>
      <c r="D59" s="1004" t="s">
        <v>70</v>
      </c>
      <c r="E59" s="1110" t="s">
        <v>19171</v>
      </c>
      <c r="F59" s="1406" t="s">
        <v>13945</v>
      </c>
      <c r="G59" s="1407" t="s">
        <v>7844</v>
      </c>
      <c r="H59" s="1402" t="s">
        <v>256</v>
      </c>
      <c r="I59" s="1409">
        <v>3</v>
      </c>
      <c r="J59" s="1409">
        <v>3</v>
      </c>
      <c r="K59" s="1409"/>
      <c r="L59" s="1409"/>
      <c r="M59" s="1409"/>
      <c r="N59" s="1409"/>
      <c r="O59" s="1408">
        <v>6</v>
      </c>
      <c r="P59" s="1407" t="s">
        <v>14235</v>
      </c>
      <c r="Q59" s="1369"/>
    </row>
    <row r="60" spans="1:137" ht="25.5">
      <c r="A60" s="1362">
        <f t="shared" si="2"/>
        <v>1</v>
      </c>
      <c r="B60" s="1405">
        <f t="shared" si="3"/>
        <v>7</v>
      </c>
      <c r="C60" s="1387" t="str">
        <f t="shared" si="1"/>
        <v>INTERC.7</v>
      </c>
      <c r="D60" s="1004" t="s">
        <v>1</v>
      </c>
      <c r="E60" s="1110">
        <v>106</v>
      </c>
      <c r="F60" s="1406" t="s">
        <v>13946</v>
      </c>
      <c r="G60" s="1407" t="s">
        <v>19815</v>
      </c>
      <c r="H60" s="1402" t="s">
        <v>90</v>
      </c>
      <c r="I60" s="1409">
        <v>60</v>
      </c>
      <c r="J60" s="1409">
        <v>60</v>
      </c>
      <c r="K60" s="1409"/>
      <c r="L60" s="1409"/>
      <c r="M60" s="1409"/>
      <c r="N60" s="1409"/>
      <c r="O60" s="1408">
        <v>120</v>
      </c>
      <c r="P60" s="1407" t="s">
        <v>14236</v>
      </c>
      <c r="Q60" s="1369"/>
    </row>
    <row r="61" spans="1:137" ht="12.75">
      <c r="A61" s="1362">
        <f t="shared" si="2"/>
        <v>0</v>
      </c>
      <c r="B61" s="1405">
        <f t="shared" si="3"/>
        <v>7</v>
      </c>
      <c r="C61" s="1387" t="str">
        <f t="shared" si="1"/>
        <v xml:space="preserve"> </v>
      </c>
      <c r="D61" s="1004"/>
      <c r="E61" s="1004"/>
      <c r="F61" s="1384" t="s">
        <v>11640</v>
      </c>
      <c r="G61" s="1384"/>
      <c r="H61" s="1384"/>
      <c r="I61" s="1384"/>
      <c r="J61" s="1384"/>
      <c r="K61" s="1384"/>
      <c r="L61" s="1384"/>
      <c r="M61" s="1384"/>
      <c r="N61" s="1384"/>
      <c r="O61" s="1384"/>
      <c r="P61" s="1385"/>
      <c r="Q61" s="1369"/>
    </row>
    <row r="62" spans="1:137" ht="25.5">
      <c r="A62" s="1362">
        <f t="shared" si="2"/>
        <v>1</v>
      </c>
      <c r="B62" s="1405">
        <f t="shared" si="3"/>
        <v>8</v>
      </c>
      <c r="C62" s="1387" t="str">
        <f t="shared" si="1"/>
        <v>INTERC.8</v>
      </c>
      <c r="D62" s="1004" t="s">
        <v>70</v>
      </c>
      <c r="E62" s="1110">
        <v>73672</v>
      </c>
      <c r="F62" s="1406" t="s">
        <v>13947</v>
      </c>
      <c r="G62" s="1407" t="s">
        <v>19162</v>
      </c>
      <c r="H62" s="1402" t="s">
        <v>256</v>
      </c>
      <c r="I62" s="1410">
        <v>838.2</v>
      </c>
      <c r="J62" s="1411">
        <v>341.9</v>
      </c>
      <c r="K62" s="1411"/>
      <c r="L62" s="1411"/>
      <c r="M62" s="1411"/>
      <c r="N62" s="1411"/>
      <c r="O62" s="1408">
        <v>1180.0999999999999</v>
      </c>
      <c r="P62" s="1407" t="s">
        <v>13948</v>
      </c>
      <c r="Q62" s="1369"/>
    </row>
    <row r="63" spans="1:137" ht="12.75">
      <c r="A63" s="1362">
        <f t="shared" si="2"/>
        <v>0</v>
      </c>
      <c r="B63" s="1405">
        <f t="shared" si="3"/>
        <v>8</v>
      </c>
      <c r="C63" s="1387" t="str">
        <f t="shared" si="1"/>
        <v xml:space="preserve"> </v>
      </c>
      <c r="D63" s="1004"/>
      <c r="E63" s="1004"/>
      <c r="F63" s="1384" t="s">
        <v>41</v>
      </c>
      <c r="G63" s="1384"/>
      <c r="H63" s="1412"/>
      <c r="I63" s="1412">
        <v>2570.8175000000001</v>
      </c>
      <c r="J63" s="1412">
        <v>826.63749999999982</v>
      </c>
      <c r="K63" s="1412">
        <v>0</v>
      </c>
      <c r="L63" s="1412">
        <v>0</v>
      </c>
      <c r="M63" s="1412">
        <v>0</v>
      </c>
      <c r="N63" s="1412">
        <v>0</v>
      </c>
      <c r="O63" s="1412">
        <v>3397.4549999999999</v>
      </c>
      <c r="P63" s="1385"/>
      <c r="Q63" s="1369"/>
    </row>
    <row r="64" spans="1:137" s="225" customFormat="1" ht="12.75">
      <c r="A64" s="1362">
        <f t="shared" si="2"/>
        <v>0</v>
      </c>
      <c r="B64" s="1405">
        <f t="shared" si="3"/>
        <v>8</v>
      </c>
      <c r="C64" s="1387" t="str">
        <f t="shared" si="1"/>
        <v xml:space="preserve"> </v>
      </c>
      <c r="D64" s="1004"/>
      <c r="E64" s="1383"/>
      <c r="F64" s="1406" t="s">
        <v>13949</v>
      </c>
      <c r="G64" s="1401" t="s">
        <v>19764</v>
      </c>
      <c r="H64" s="1413" t="s">
        <v>22</v>
      </c>
      <c r="I64" s="1414">
        <v>1473.3</v>
      </c>
      <c r="J64" s="1414">
        <v>512.84999999999991</v>
      </c>
      <c r="K64" s="1414"/>
      <c r="L64" s="1414"/>
      <c r="M64" s="1414"/>
      <c r="N64" s="1414"/>
      <c r="O64" s="1415">
        <v>1986.1499999999999</v>
      </c>
      <c r="P64" s="1682" t="s">
        <v>19765</v>
      </c>
      <c r="Q64" s="1386"/>
      <c r="V64" s="231"/>
      <c r="W64" s="231"/>
      <c r="X64" s="231"/>
      <c r="Y64" s="231"/>
      <c r="Z64" s="231"/>
      <c r="AA64" s="231"/>
      <c r="AB64" s="231"/>
      <c r="AC64" s="231"/>
      <c r="AD64" s="231"/>
      <c r="AE64" s="231"/>
      <c r="AF64" s="231"/>
      <c r="AG64" s="231"/>
      <c r="DE64" s="232"/>
      <c r="DF64" s="232"/>
      <c r="DG64" s="232"/>
      <c r="DH64" s="232"/>
      <c r="DI64" s="232"/>
      <c r="DJ64" s="232"/>
      <c r="DK64" s="232"/>
      <c r="DL64" s="232"/>
      <c r="DM64" s="232"/>
      <c r="DN64" s="232"/>
      <c r="DQ64" s="233"/>
      <c r="DV64" s="231"/>
      <c r="DW64" s="231"/>
      <c r="DX64" s="231"/>
      <c r="DY64" s="231"/>
      <c r="DZ64" s="231"/>
      <c r="EA64" s="231"/>
      <c r="EB64" s="231"/>
      <c r="EC64" s="231"/>
      <c r="ED64" s="231"/>
      <c r="EE64" s="231"/>
      <c r="EF64" s="231"/>
      <c r="EG64" s="231"/>
    </row>
    <row r="65" spans="1:137" s="225" customFormat="1" ht="12.75">
      <c r="A65" s="1362">
        <f t="shared" si="2"/>
        <v>0</v>
      </c>
      <c r="B65" s="1405">
        <f t="shared" si="3"/>
        <v>8</v>
      </c>
      <c r="C65" s="1387" t="str">
        <f t="shared" si="1"/>
        <v xml:space="preserve"> </v>
      </c>
      <c r="D65" s="1004"/>
      <c r="E65" s="1383"/>
      <c r="F65" s="1406" t="s">
        <v>13950</v>
      </c>
      <c r="G65" s="1401" t="s">
        <v>19766</v>
      </c>
      <c r="H65" s="1413" t="s">
        <v>22</v>
      </c>
      <c r="I65" s="1414">
        <v>1097.5174999999999</v>
      </c>
      <c r="J65" s="1414">
        <v>313.78749999999991</v>
      </c>
      <c r="K65" s="1414"/>
      <c r="L65" s="1414"/>
      <c r="M65" s="1414"/>
      <c r="N65" s="1414"/>
      <c r="O65" s="1415">
        <v>1411.3049999999998</v>
      </c>
      <c r="P65" s="1682"/>
      <c r="Q65" s="1386"/>
      <c r="V65" s="231"/>
      <c r="W65" s="231"/>
      <c r="X65" s="231"/>
      <c r="Y65" s="231"/>
      <c r="Z65" s="231"/>
      <c r="AA65" s="231"/>
      <c r="AB65" s="231"/>
      <c r="AC65" s="231"/>
      <c r="AD65" s="231"/>
      <c r="AE65" s="231"/>
      <c r="AF65" s="231"/>
      <c r="AG65" s="231"/>
      <c r="DE65" s="232"/>
      <c r="DF65" s="232"/>
      <c r="DG65" s="232"/>
      <c r="DH65" s="232"/>
      <c r="DI65" s="232"/>
      <c r="DJ65" s="232"/>
      <c r="DK65" s="232"/>
      <c r="DL65" s="232"/>
      <c r="DM65" s="232"/>
      <c r="DN65" s="232"/>
      <c r="DQ65" s="233"/>
      <c r="DV65" s="231"/>
      <c r="DW65" s="231"/>
      <c r="DX65" s="231"/>
      <c r="DY65" s="231"/>
      <c r="DZ65" s="231"/>
      <c r="EA65" s="231"/>
      <c r="EB65" s="231"/>
      <c r="EC65" s="231"/>
      <c r="ED65" s="231"/>
      <c r="EE65" s="231"/>
      <c r="EF65" s="231"/>
      <c r="EG65" s="231"/>
    </row>
    <row r="66" spans="1:137" s="225" customFormat="1" ht="12.75">
      <c r="A66" s="1362">
        <f t="shared" si="2"/>
        <v>0</v>
      </c>
      <c r="B66" s="1405">
        <f t="shared" si="3"/>
        <v>8</v>
      </c>
      <c r="C66" s="1387" t="str">
        <f t="shared" si="1"/>
        <v xml:space="preserve"> </v>
      </c>
      <c r="D66" s="1004"/>
      <c r="E66" s="1383"/>
      <c r="F66" s="1388" t="s">
        <v>13951</v>
      </c>
      <c r="G66" s="1401" t="s">
        <v>19767</v>
      </c>
      <c r="H66" s="1413" t="s">
        <v>22</v>
      </c>
      <c r="I66" s="1414">
        <v>0</v>
      </c>
      <c r="J66" s="1414">
        <v>0</v>
      </c>
      <c r="K66" s="1414"/>
      <c r="L66" s="1414"/>
      <c r="M66" s="1414"/>
      <c r="N66" s="1414"/>
      <c r="O66" s="1415">
        <v>0</v>
      </c>
      <c r="P66" s="1682"/>
      <c r="Q66" s="1386"/>
      <c r="V66" s="231"/>
      <c r="W66" s="231"/>
      <c r="X66" s="231"/>
      <c r="Y66" s="231"/>
      <c r="Z66" s="231"/>
      <c r="AA66" s="231"/>
      <c r="AB66" s="231"/>
      <c r="AC66" s="231"/>
      <c r="AD66" s="231"/>
      <c r="AE66" s="231"/>
      <c r="AF66" s="231"/>
      <c r="AG66" s="231"/>
      <c r="DE66" s="232"/>
      <c r="DF66" s="232"/>
      <c r="DG66" s="232"/>
      <c r="DH66" s="232"/>
      <c r="DI66" s="232"/>
      <c r="DJ66" s="232"/>
      <c r="DK66" s="232"/>
      <c r="DL66" s="232"/>
      <c r="DM66" s="232"/>
      <c r="DN66" s="232"/>
      <c r="DQ66" s="233"/>
      <c r="DV66" s="231"/>
      <c r="DW66" s="231"/>
      <c r="DX66" s="231"/>
      <c r="DY66" s="231"/>
      <c r="DZ66" s="231"/>
      <c r="EA66" s="231"/>
      <c r="EB66" s="231"/>
      <c r="EC66" s="231"/>
      <c r="ED66" s="231"/>
      <c r="EE66" s="231"/>
      <c r="EF66" s="231"/>
      <c r="EG66" s="231"/>
    </row>
    <row r="67" spans="1:137" s="225" customFormat="1" ht="12.75">
      <c r="A67" s="1362"/>
      <c r="B67" s="1405"/>
      <c r="C67" s="1387" t="str">
        <f t="shared" si="1"/>
        <v xml:space="preserve"> </v>
      </c>
      <c r="D67" s="1004"/>
      <c r="E67" s="1383"/>
      <c r="F67" s="1388" t="s">
        <v>13952</v>
      </c>
      <c r="G67" s="1401" t="s">
        <v>19768</v>
      </c>
      <c r="H67" s="1413" t="s">
        <v>22</v>
      </c>
      <c r="I67" s="1414">
        <v>0</v>
      </c>
      <c r="J67" s="1414">
        <v>0</v>
      </c>
      <c r="K67" s="1414"/>
      <c r="L67" s="1414"/>
      <c r="M67" s="1414"/>
      <c r="N67" s="1414"/>
      <c r="O67" s="1415">
        <v>0</v>
      </c>
      <c r="P67" s="1682"/>
      <c r="Q67" s="1386"/>
      <c r="V67" s="231"/>
      <c r="W67" s="231"/>
      <c r="X67" s="231"/>
      <c r="Y67" s="231"/>
      <c r="Z67" s="231"/>
      <c r="AA67" s="231"/>
      <c r="AB67" s="231"/>
      <c r="AC67" s="231"/>
      <c r="AD67" s="231"/>
      <c r="AE67" s="231"/>
      <c r="AF67" s="231"/>
      <c r="AG67" s="231"/>
      <c r="DE67" s="232"/>
      <c r="DF67" s="232"/>
      <c r="DG67" s="232"/>
      <c r="DH67" s="232"/>
      <c r="DI67" s="232"/>
      <c r="DJ67" s="232"/>
      <c r="DK67" s="232"/>
      <c r="DL67" s="232"/>
      <c r="DM67" s="232"/>
      <c r="DN67" s="232"/>
      <c r="DQ67" s="233"/>
      <c r="DV67" s="231"/>
      <c r="DW67" s="231"/>
      <c r="DX67" s="231"/>
      <c r="DY67" s="231"/>
      <c r="DZ67" s="231"/>
      <c r="EA67" s="231"/>
      <c r="EB67" s="231"/>
      <c r="EC67" s="231"/>
      <c r="ED67" s="231"/>
      <c r="EE67" s="231"/>
      <c r="EF67" s="231"/>
      <c r="EG67" s="231"/>
    </row>
    <row r="68" spans="1:137" s="225" customFormat="1" ht="12.75">
      <c r="A68" s="1362">
        <f t="shared" si="2"/>
        <v>0</v>
      </c>
      <c r="B68" s="1405">
        <f>B66+A68</f>
        <v>8</v>
      </c>
      <c r="C68" s="1387" t="str">
        <f t="shared" si="1"/>
        <v xml:space="preserve"> </v>
      </c>
      <c r="D68" s="1004"/>
      <c r="E68" s="1383"/>
      <c r="F68" s="1388" t="s">
        <v>18</v>
      </c>
      <c r="G68" s="1401" t="s">
        <v>13953</v>
      </c>
      <c r="H68" s="1413" t="s">
        <v>22</v>
      </c>
      <c r="I68" s="1414">
        <v>0</v>
      </c>
      <c r="J68" s="1414">
        <v>0</v>
      </c>
      <c r="K68" s="1414"/>
      <c r="L68" s="1414"/>
      <c r="M68" s="1414"/>
      <c r="N68" s="1414"/>
      <c r="O68" s="1415">
        <v>0</v>
      </c>
      <c r="P68" s="1682"/>
      <c r="Q68" s="1416">
        <f>SUM(O64:O68)</f>
        <v>3397.4549999999999</v>
      </c>
      <c r="V68" s="231"/>
      <c r="W68" s="231"/>
      <c r="X68" s="231"/>
      <c r="Y68" s="231"/>
      <c r="Z68" s="231"/>
      <c r="AA68" s="231"/>
      <c r="AB68" s="231"/>
      <c r="AC68" s="231"/>
      <c r="AD68" s="231"/>
      <c r="AE68" s="231"/>
      <c r="AF68" s="231"/>
      <c r="AG68" s="231"/>
      <c r="DE68" s="232"/>
      <c r="DF68" s="232"/>
      <c r="DG68" s="232"/>
      <c r="DH68" s="232"/>
      <c r="DI68" s="232"/>
      <c r="DJ68" s="232"/>
      <c r="DK68" s="232"/>
      <c r="DL68" s="232"/>
      <c r="DM68" s="232"/>
      <c r="DN68" s="232"/>
      <c r="DQ68" s="233"/>
      <c r="DV68" s="231"/>
      <c r="DW68" s="231"/>
      <c r="DX68" s="231"/>
      <c r="DY68" s="231"/>
      <c r="DZ68" s="231"/>
      <c r="EA68" s="231"/>
      <c r="EB68" s="231"/>
      <c r="EC68" s="231"/>
      <c r="ED68" s="231"/>
      <c r="EE68" s="231"/>
      <c r="EF68" s="231"/>
      <c r="EG68" s="231"/>
    </row>
    <row r="69" spans="1:137" s="225" customFormat="1" ht="86.25" customHeight="1">
      <c r="A69" s="1362">
        <f t="shared" si="2"/>
        <v>1</v>
      </c>
      <c r="B69" s="1405">
        <f t="shared" ref="B69:B99" si="4">B68+A69</f>
        <v>9</v>
      </c>
      <c r="C69" s="1387" t="str">
        <f t="shared" si="1"/>
        <v>INTERC.9</v>
      </c>
      <c r="D69" s="1004" t="s">
        <v>70</v>
      </c>
      <c r="E69" s="1110">
        <v>90105</v>
      </c>
      <c r="F69" s="1388" t="s">
        <v>13954</v>
      </c>
      <c r="G69" s="1407" t="s">
        <v>18214</v>
      </c>
      <c r="H69" s="1402" t="s">
        <v>255</v>
      </c>
      <c r="I69" s="1417">
        <v>1287.6641999999999</v>
      </c>
      <c r="J69" s="1417">
        <v>448.23089999999991</v>
      </c>
      <c r="K69" s="1417">
        <v>0</v>
      </c>
      <c r="L69" s="1417">
        <v>0</v>
      </c>
      <c r="M69" s="1417">
        <v>0</v>
      </c>
      <c r="N69" s="1417">
        <v>0</v>
      </c>
      <c r="O69" s="1415">
        <v>1735.8950999999997</v>
      </c>
      <c r="P69" s="1407" t="s">
        <v>20207</v>
      </c>
      <c r="Q69" s="1416">
        <f>SUM(O69:O89)</f>
        <v>4721.5549999999985</v>
      </c>
      <c r="V69" s="231"/>
      <c r="W69" s="231"/>
      <c r="X69" s="231"/>
      <c r="Y69" s="231"/>
      <c r="Z69" s="231"/>
      <c r="AA69" s="231"/>
      <c r="AB69" s="231"/>
      <c r="AC69" s="231"/>
      <c r="AD69" s="231"/>
      <c r="AE69" s="231"/>
      <c r="AF69" s="231"/>
      <c r="AG69" s="231"/>
      <c r="DE69" s="232"/>
      <c r="DF69" s="232"/>
      <c r="DG69" s="232"/>
      <c r="DH69" s="232"/>
      <c r="DI69" s="232"/>
      <c r="DJ69" s="232"/>
      <c r="DK69" s="232"/>
      <c r="DL69" s="232"/>
      <c r="DM69" s="232"/>
      <c r="DN69" s="232"/>
      <c r="DQ69" s="233"/>
      <c r="DV69" s="231"/>
      <c r="DW69" s="231"/>
      <c r="DX69" s="231"/>
      <c r="DY69" s="231"/>
      <c r="DZ69" s="231"/>
      <c r="EA69" s="231"/>
      <c r="EB69" s="231"/>
      <c r="EC69" s="231"/>
      <c r="ED69" s="231"/>
      <c r="EE69" s="231"/>
      <c r="EF69" s="231"/>
      <c r="EG69" s="231"/>
    </row>
    <row r="70" spans="1:137" s="225" customFormat="1" ht="76.5">
      <c r="A70" s="1362">
        <f t="shared" si="2"/>
        <v>1</v>
      </c>
      <c r="B70" s="1405">
        <f t="shared" si="4"/>
        <v>10</v>
      </c>
      <c r="C70" s="1387" t="str">
        <f t="shared" si="1"/>
        <v>INTERC.10</v>
      </c>
      <c r="D70" s="1004" t="s">
        <v>70</v>
      </c>
      <c r="E70" s="1126">
        <v>90107</v>
      </c>
      <c r="F70" s="1388" t="s">
        <v>13955</v>
      </c>
      <c r="G70" s="1407" t="s">
        <v>18216</v>
      </c>
      <c r="H70" s="1402" t="s">
        <v>255</v>
      </c>
      <c r="I70" s="1417">
        <v>959.23029500000007</v>
      </c>
      <c r="J70" s="1417">
        <v>274.25027499999993</v>
      </c>
      <c r="K70" s="1417">
        <v>0</v>
      </c>
      <c r="L70" s="1417">
        <v>0</v>
      </c>
      <c r="M70" s="1417">
        <v>0</v>
      </c>
      <c r="N70" s="1417">
        <v>0</v>
      </c>
      <c r="O70" s="1415">
        <v>1233.4805699999999</v>
      </c>
      <c r="P70" s="1407" t="s">
        <v>20208</v>
      </c>
      <c r="Q70" s="1386"/>
      <c r="V70" s="231"/>
      <c r="W70" s="231"/>
      <c r="X70" s="231"/>
      <c r="Y70" s="231"/>
      <c r="Z70" s="231"/>
      <c r="AA70" s="231"/>
      <c r="AB70" s="231"/>
      <c r="AC70" s="231"/>
      <c r="AD70" s="231"/>
      <c r="AE70" s="231"/>
      <c r="AF70" s="231"/>
      <c r="AG70" s="231"/>
      <c r="DE70" s="232"/>
      <c r="DF70" s="232"/>
      <c r="DG70" s="232"/>
      <c r="DH70" s="232"/>
      <c r="DI70" s="232"/>
      <c r="DJ70" s="232"/>
      <c r="DK70" s="232"/>
      <c r="DL70" s="232"/>
      <c r="DM70" s="232"/>
      <c r="DN70" s="232"/>
      <c r="DQ70" s="233"/>
      <c r="DV70" s="231"/>
      <c r="DW70" s="231"/>
      <c r="DX70" s="231"/>
      <c r="DY70" s="231"/>
      <c r="DZ70" s="231"/>
      <c r="EA70" s="231"/>
      <c r="EB70" s="231"/>
      <c r="EC70" s="231"/>
      <c r="ED70" s="231"/>
      <c r="EE70" s="231"/>
      <c r="EF70" s="231"/>
      <c r="EG70" s="231"/>
    </row>
    <row r="71" spans="1:137" ht="68.25" customHeight="1">
      <c r="A71" s="1362">
        <f t="shared" si="2"/>
        <v>1</v>
      </c>
      <c r="B71" s="1405">
        <f t="shared" si="4"/>
        <v>11</v>
      </c>
      <c r="C71" s="1387" t="str">
        <f t="shared" si="1"/>
        <v>INTERC.11</v>
      </c>
      <c r="D71" s="1004" t="s">
        <v>70</v>
      </c>
      <c r="E71" s="1126">
        <v>90094</v>
      </c>
      <c r="F71" s="1388" t="s">
        <v>13956</v>
      </c>
      <c r="G71" s="1407" t="s">
        <v>18206</v>
      </c>
      <c r="H71" s="1402" t="s">
        <v>255</v>
      </c>
      <c r="I71" s="1417">
        <v>0</v>
      </c>
      <c r="J71" s="1417">
        <v>0</v>
      </c>
      <c r="K71" s="1417">
        <v>0</v>
      </c>
      <c r="L71" s="1417">
        <v>0</v>
      </c>
      <c r="M71" s="1417">
        <v>0</v>
      </c>
      <c r="N71" s="1417">
        <v>0</v>
      </c>
      <c r="O71" s="1415">
        <v>0</v>
      </c>
      <c r="P71" s="1407" t="s">
        <v>20209</v>
      </c>
      <c r="Q71" s="1369"/>
    </row>
    <row r="72" spans="1:137" ht="72" customHeight="1">
      <c r="A72" s="1362">
        <f t="shared" si="2"/>
        <v>1</v>
      </c>
      <c r="B72" s="1405">
        <f t="shared" si="4"/>
        <v>12</v>
      </c>
      <c r="C72" s="1387" t="str">
        <f t="shared" si="1"/>
        <v>INTERC.12</v>
      </c>
      <c r="D72" s="1004" t="s">
        <v>70</v>
      </c>
      <c r="E72" s="1110">
        <v>90096</v>
      </c>
      <c r="F72" s="1388" t="s">
        <v>13959</v>
      </c>
      <c r="G72" s="1407" t="s">
        <v>18208</v>
      </c>
      <c r="H72" s="1402" t="s">
        <v>255</v>
      </c>
      <c r="I72" s="1417">
        <v>0</v>
      </c>
      <c r="J72" s="1417">
        <v>0</v>
      </c>
      <c r="K72" s="1417">
        <v>0</v>
      </c>
      <c r="L72" s="1417">
        <v>0</v>
      </c>
      <c r="M72" s="1417">
        <v>0</v>
      </c>
      <c r="N72" s="1417">
        <v>0</v>
      </c>
      <c r="O72" s="1415">
        <v>0</v>
      </c>
      <c r="P72" s="1407" t="s">
        <v>20210</v>
      </c>
      <c r="Q72" s="1363"/>
      <c r="R72" s="211"/>
      <c r="S72" s="211"/>
      <c r="T72" s="211"/>
      <c r="U72" s="211"/>
      <c r="V72" s="211"/>
      <c r="W72" s="211"/>
      <c r="X72" s="211"/>
      <c r="Y72" s="211"/>
      <c r="Z72" s="211"/>
      <c r="AA72" s="211"/>
      <c r="AB72" s="211"/>
      <c r="AC72" s="211"/>
      <c r="AD72" s="211"/>
      <c r="AE72" s="211"/>
      <c r="AF72" s="211"/>
      <c r="AG72" s="211"/>
      <c r="DE72" s="211"/>
      <c r="DF72" s="211"/>
      <c r="DG72" s="211"/>
      <c r="DH72" s="211"/>
      <c r="DI72" s="211"/>
      <c r="DJ72" s="211"/>
      <c r="DK72" s="211"/>
      <c r="DL72" s="211"/>
      <c r="DM72" s="211"/>
      <c r="DN72" s="211"/>
      <c r="DQ72" s="211"/>
      <c r="DV72" s="211"/>
      <c r="DW72" s="211"/>
      <c r="DX72" s="211"/>
      <c r="DY72" s="211"/>
      <c r="DZ72" s="211"/>
      <c r="EA72" s="211"/>
      <c r="EB72" s="211"/>
      <c r="EC72" s="211"/>
      <c r="ED72" s="211"/>
      <c r="EE72" s="211"/>
      <c r="EF72" s="211"/>
      <c r="EG72" s="211"/>
    </row>
    <row r="73" spans="1:137" ht="41.25" customHeight="1">
      <c r="A73" s="1362">
        <f t="shared" si="2"/>
        <v>1</v>
      </c>
      <c r="B73" s="1405">
        <f t="shared" si="4"/>
        <v>13</v>
      </c>
      <c r="C73" s="1387" t="str">
        <f t="shared" si="1"/>
        <v>INTERC.13</v>
      </c>
      <c r="D73" s="1004" t="s">
        <v>13957</v>
      </c>
      <c r="E73" s="1110" t="s">
        <v>13958</v>
      </c>
      <c r="F73" s="1388" t="s">
        <v>13960</v>
      </c>
      <c r="G73" s="1407" t="s">
        <v>14031</v>
      </c>
      <c r="H73" s="1402" t="s">
        <v>104</v>
      </c>
      <c r="I73" s="1417">
        <v>0</v>
      </c>
      <c r="J73" s="1417">
        <v>0</v>
      </c>
      <c r="K73" s="1417">
        <v>0</v>
      </c>
      <c r="L73" s="1417">
        <v>0</v>
      </c>
      <c r="M73" s="1417">
        <v>0</v>
      </c>
      <c r="N73" s="1417">
        <v>0</v>
      </c>
      <c r="O73" s="1415">
        <v>0</v>
      </c>
      <c r="P73" s="1407" t="s">
        <v>20211</v>
      </c>
      <c r="Q73" s="1363"/>
      <c r="R73" s="211"/>
      <c r="S73" s="211"/>
      <c r="T73" s="211"/>
      <c r="U73" s="211"/>
      <c r="V73" s="211"/>
      <c r="W73" s="211"/>
      <c r="X73" s="211"/>
      <c r="Y73" s="211"/>
      <c r="Z73" s="211"/>
      <c r="AA73" s="211"/>
      <c r="AB73" s="211"/>
      <c r="AC73" s="211"/>
      <c r="AD73" s="211"/>
      <c r="AE73" s="211"/>
      <c r="AF73" s="211"/>
      <c r="AG73" s="211"/>
      <c r="DE73" s="211"/>
      <c r="DF73" s="211"/>
      <c r="DG73" s="211"/>
      <c r="DH73" s="211"/>
      <c r="DI73" s="211"/>
      <c r="DJ73" s="211"/>
      <c r="DK73" s="211"/>
      <c r="DL73" s="211"/>
      <c r="DM73" s="211"/>
      <c r="DN73" s="211"/>
      <c r="DQ73" s="211"/>
      <c r="DV73" s="211"/>
      <c r="DW73" s="211"/>
      <c r="DX73" s="211"/>
      <c r="DY73" s="211"/>
      <c r="DZ73" s="211"/>
      <c r="EA73" s="211"/>
      <c r="EB73" s="211"/>
      <c r="EC73" s="211"/>
      <c r="ED73" s="211"/>
      <c r="EE73" s="211"/>
      <c r="EF73" s="211"/>
      <c r="EG73" s="211"/>
    </row>
    <row r="74" spans="1:137" ht="38.25">
      <c r="A74" s="1362">
        <f t="shared" si="2"/>
        <v>1</v>
      </c>
      <c r="B74" s="1405">
        <f>B73+A74</f>
        <v>14</v>
      </c>
      <c r="C74" s="1387" t="str">
        <f t="shared" si="1"/>
        <v>INTERC.14</v>
      </c>
      <c r="D74" s="1004" t="s">
        <v>1</v>
      </c>
      <c r="E74" s="1110">
        <v>192</v>
      </c>
      <c r="F74" s="1388" t="s">
        <v>13961</v>
      </c>
      <c r="G74" s="1407" t="s">
        <v>19816</v>
      </c>
      <c r="H74" s="1402" t="s">
        <v>255</v>
      </c>
      <c r="I74" s="1417">
        <v>41.989049999999999</v>
      </c>
      <c r="J74" s="1417">
        <v>14.616224999999995</v>
      </c>
      <c r="K74" s="1417">
        <v>0</v>
      </c>
      <c r="L74" s="1417">
        <v>0</v>
      </c>
      <c r="M74" s="1417">
        <v>0</v>
      </c>
      <c r="N74" s="1417">
        <v>0</v>
      </c>
      <c r="O74" s="1415">
        <v>56.605274999999992</v>
      </c>
      <c r="P74" s="1407" t="s">
        <v>20212</v>
      </c>
      <c r="Q74" s="1363"/>
      <c r="R74" s="211"/>
      <c r="S74" s="211"/>
      <c r="T74" s="211"/>
      <c r="U74" s="211"/>
      <c r="V74" s="211"/>
      <c r="W74" s="211"/>
      <c r="X74" s="211"/>
      <c r="Y74" s="211"/>
      <c r="Z74" s="211"/>
      <c r="AA74" s="211"/>
      <c r="AB74" s="211"/>
      <c r="AC74" s="211"/>
      <c r="AD74" s="211"/>
      <c r="AE74" s="211"/>
      <c r="AF74" s="211"/>
      <c r="AG74" s="211"/>
      <c r="DE74" s="211"/>
      <c r="DF74" s="211"/>
      <c r="DG74" s="211"/>
      <c r="DH74" s="211"/>
      <c r="DI74" s="211"/>
      <c r="DJ74" s="211"/>
      <c r="DK74" s="211"/>
      <c r="DL74" s="211"/>
      <c r="DM74" s="211"/>
      <c r="DN74" s="211"/>
      <c r="DQ74" s="211"/>
      <c r="DV74" s="211"/>
      <c r="DW74" s="211"/>
      <c r="DX74" s="211"/>
      <c r="DY74" s="211"/>
      <c r="DZ74" s="211"/>
      <c r="EA74" s="211"/>
      <c r="EB74" s="211"/>
      <c r="EC74" s="211"/>
      <c r="ED74" s="211"/>
      <c r="EE74" s="211"/>
      <c r="EF74" s="211"/>
      <c r="EG74" s="211"/>
    </row>
    <row r="75" spans="1:137" ht="45" customHeight="1">
      <c r="A75" s="1362">
        <f t="shared" si="2"/>
        <v>1</v>
      </c>
      <c r="B75" s="1405">
        <f t="shared" si="4"/>
        <v>15</v>
      </c>
      <c r="C75" s="1387" t="str">
        <f t="shared" si="1"/>
        <v>INTERC.15</v>
      </c>
      <c r="D75" s="1004" t="s">
        <v>1</v>
      </c>
      <c r="E75" s="1110">
        <v>193</v>
      </c>
      <c r="F75" s="1406" t="s">
        <v>13962</v>
      </c>
      <c r="G75" s="1407" t="s">
        <v>19817</v>
      </c>
      <c r="H75" s="1402" t="s">
        <v>255</v>
      </c>
      <c r="I75" s="1417">
        <v>31.279248749999997</v>
      </c>
      <c r="J75" s="1417">
        <v>8.9429437499999977</v>
      </c>
      <c r="K75" s="1417">
        <v>0</v>
      </c>
      <c r="L75" s="1417">
        <v>0</v>
      </c>
      <c r="M75" s="1417">
        <v>0</v>
      </c>
      <c r="N75" s="1417">
        <v>0</v>
      </c>
      <c r="O75" s="1415">
        <v>40.222192499999991</v>
      </c>
      <c r="P75" s="1407" t="s">
        <v>20213</v>
      </c>
      <c r="Q75" s="1363"/>
      <c r="R75" s="211"/>
      <c r="S75" s="211"/>
      <c r="T75" s="211"/>
      <c r="U75" s="211"/>
      <c r="V75" s="211"/>
      <c r="W75" s="211"/>
      <c r="X75" s="211"/>
      <c r="Y75" s="211"/>
      <c r="Z75" s="211"/>
      <c r="AA75" s="211"/>
      <c r="AB75" s="211"/>
      <c r="AC75" s="211"/>
      <c r="AD75" s="211"/>
      <c r="AE75" s="211"/>
      <c r="AF75" s="211"/>
      <c r="AG75" s="211"/>
      <c r="DE75" s="211"/>
      <c r="DF75" s="211"/>
      <c r="DG75" s="211"/>
      <c r="DH75" s="211"/>
      <c r="DI75" s="211"/>
      <c r="DJ75" s="211"/>
      <c r="DK75" s="211"/>
      <c r="DL75" s="211"/>
      <c r="DM75" s="211"/>
      <c r="DN75" s="211"/>
      <c r="DQ75" s="211"/>
      <c r="DV75" s="211"/>
      <c r="DW75" s="211"/>
      <c r="DX75" s="211"/>
      <c r="DY75" s="211"/>
      <c r="DZ75" s="211"/>
      <c r="EA75" s="211"/>
      <c r="EB75" s="211"/>
      <c r="EC75" s="211"/>
      <c r="ED75" s="211"/>
      <c r="EE75" s="211"/>
      <c r="EF75" s="211"/>
      <c r="EG75" s="211"/>
    </row>
    <row r="76" spans="1:137" ht="45" customHeight="1">
      <c r="A76" s="1362">
        <f t="shared" si="2"/>
        <v>1</v>
      </c>
      <c r="B76" s="1405">
        <f t="shared" si="4"/>
        <v>16</v>
      </c>
      <c r="C76" s="1387" t="str">
        <f t="shared" si="1"/>
        <v>INTERC.16</v>
      </c>
      <c r="D76" s="1004" t="s">
        <v>1</v>
      </c>
      <c r="E76" s="1110">
        <v>186</v>
      </c>
      <c r="F76" s="1406" t="s">
        <v>13964</v>
      </c>
      <c r="G76" s="1407" t="s">
        <v>19818</v>
      </c>
      <c r="H76" s="1402" t="s">
        <v>255</v>
      </c>
      <c r="I76" s="1417">
        <v>0</v>
      </c>
      <c r="J76" s="1417">
        <v>0</v>
      </c>
      <c r="K76" s="1417">
        <v>0</v>
      </c>
      <c r="L76" s="1417">
        <v>0</v>
      </c>
      <c r="M76" s="1417">
        <v>0</v>
      </c>
      <c r="N76" s="1417">
        <v>0</v>
      </c>
      <c r="O76" s="1415">
        <v>0</v>
      </c>
      <c r="P76" s="1407" t="s">
        <v>20214</v>
      </c>
      <c r="Q76" s="1363"/>
      <c r="R76" s="211"/>
      <c r="S76" s="211"/>
      <c r="T76" s="211"/>
      <c r="U76" s="211"/>
      <c r="V76" s="211"/>
      <c r="W76" s="211"/>
      <c r="X76" s="211"/>
      <c r="Y76" s="211"/>
      <c r="Z76" s="211"/>
      <c r="AA76" s="211"/>
      <c r="AB76" s="211"/>
      <c r="AC76" s="211"/>
      <c r="AD76" s="211"/>
      <c r="AE76" s="211"/>
      <c r="AF76" s="211"/>
      <c r="AG76" s="211"/>
      <c r="DE76" s="211"/>
      <c r="DF76" s="211"/>
      <c r="DG76" s="211"/>
      <c r="DH76" s="211"/>
      <c r="DI76" s="211"/>
      <c r="DJ76" s="211"/>
      <c r="DK76" s="211"/>
      <c r="DL76" s="211"/>
      <c r="DM76" s="211"/>
      <c r="DN76" s="211"/>
      <c r="DQ76" s="211"/>
      <c r="DV76" s="211"/>
      <c r="DW76" s="211"/>
      <c r="DX76" s="211"/>
      <c r="DY76" s="211"/>
      <c r="DZ76" s="211"/>
      <c r="EA76" s="211"/>
      <c r="EB76" s="211"/>
      <c r="EC76" s="211"/>
      <c r="ED76" s="211"/>
      <c r="EE76" s="211"/>
      <c r="EF76" s="211"/>
      <c r="EG76" s="211"/>
    </row>
    <row r="77" spans="1:137" ht="38.25">
      <c r="A77" s="1362">
        <f t="shared" si="2"/>
        <v>1</v>
      </c>
      <c r="B77" s="1405">
        <f t="shared" si="4"/>
        <v>17</v>
      </c>
      <c r="C77" s="1387" t="str">
        <f t="shared" si="1"/>
        <v>INTERC.17</v>
      </c>
      <c r="D77" s="1004" t="s">
        <v>13957</v>
      </c>
      <c r="E77" s="1110" t="s">
        <v>13963</v>
      </c>
      <c r="F77" s="1406" t="s">
        <v>13965</v>
      </c>
      <c r="G77" s="1407" t="s">
        <v>14032</v>
      </c>
      <c r="H77" s="1402" t="s">
        <v>104</v>
      </c>
      <c r="I77" s="1417">
        <v>0</v>
      </c>
      <c r="J77" s="1417">
        <v>0</v>
      </c>
      <c r="K77" s="1417">
        <v>0</v>
      </c>
      <c r="L77" s="1417">
        <v>0</v>
      </c>
      <c r="M77" s="1417">
        <v>0</v>
      </c>
      <c r="N77" s="1417">
        <v>0</v>
      </c>
      <c r="O77" s="1415">
        <v>0</v>
      </c>
      <c r="P77" s="1407" t="s">
        <v>20215</v>
      </c>
      <c r="Q77" s="1363"/>
      <c r="R77" s="211"/>
      <c r="S77" s="211"/>
      <c r="T77" s="211"/>
      <c r="U77" s="211"/>
      <c r="V77" s="211"/>
      <c r="W77" s="211"/>
      <c r="X77" s="211"/>
      <c r="Y77" s="211"/>
      <c r="Z77" s="211"/>
      <c r="AA77" s="211"/>
      <c r="AB77" s="211"/>
      <c r="AC77" s="211"/>
      <c r="AD77" s="211"/>
      <c r="AE77" s="211"/>
      <c r="AF77" s="211"/>
      <c r="AG77" s="211"/>
      <c r="DE77" s="211"/>
      <c r="DF77" s="211"/>
      <c r="DG77" s="211"/>
      <c r="DH77" s="211"/>
      <c r="DI77" s="211"/>
      <c r="DJ77" s="211"/>
      <c r="DK77" s="211"/>
      <c r="DL77" s="211"/>
      <c r="DM77" s="211"/>
      <c r="DN77" s="211"/>
      <c r="DQ77" s="211"/>
      <c r="DV77" s="211"/>
      <c r="DW77" s="211"/>
      <c r="DX77" s="211"/>
      <c r="DY77" s="211"/>
      <c r="DZ77" s="211"/>
      <c r="EA77" s="211"/>
      <c r="EB77" s="211"/>
      <c r="EC77" s="211"/>
      <c r="ED77" s="211"/>
      <c r="EE77" s="211"/>
      <c r="EF77" s="211"/>
      <c r="EG77" s="211"/>
    </row>
    <row r="78" spans="1:137" ht="31.5" customHeight="1">
      <c r="A78" s="1362">
        <f t="shared" si="2"/>
        <v>1</v>
      </c>
      <c r="B78" s="1405">
        <f t="shared" si="4"/>
        <v>18</v>
      </c>
      <c r="C78" s="1387" t="str">
        <f t="shared" si="1"/>
        <v>INTERC.18</v>
      </c>
      <c r="D78" s="1004" t="s">
        <v>1</v>
      </c>
      <c r="E78" s="1110">
        <v>194</v>
      </c>
      <c r="F78" s="1406" t="s">
        <v>13966</v>
      </c>
      <c r="G78" s="1407" t="s">
        <v>19819</v>
      </c>
      <c r="H78" s="1402" t="s">
        <v>255</v>
      </c>
      <c r="I78" s="1417">
        <v>41.989049999999999</v>
      </c>
      <c r="J78" s="1417">
        <v>14.616224999999995</v>
      </c>
      <c r="K78" s="1417">
        <v>0</v>
      </c>
      <c r="L78" s="1417">
        <v>0</v>
      </c>
      <c r="M78" s="1417">
        <v>0</v>
      </c>
      <c r="N78" s="1417">
        <v>0</v>
      </c>
      <c r="O78" s="1415">
        <v>56.605274999999992</v>
      </c>
      <c r="P78" s="1407" t="s">
        <v>20216</v>
      </c>
      <c r="Q78" s="1363"/>
      <c r="R78" s="211"/>
      <c r="S78" s="211"/>
      <c r="T78" s="211"/>
      <c r="U78" s="211"/>
      <c r="V78" s="211"/>
      <c r="W78" s="211"/>
      <c r="X78" s="211"/>
      <c r="Y78" s="211"/>
      <c r="Z78" s="211"/>
      <c r="AA78" s="211"/>
      <c r="AB78" s="211"/>
      <c r="AC78" s="211"/>
      <c r="AD78" s="211"/>
      <c r="AE78" s="211"/>
      <c r="AF78" s="211"/>
      <c r="AG78" s="211"/>
      <c r="DE78" s="211"/>
      <c r="DF78" s="211"/>
      <c r="DG78" s="211"/>
      <c r="DH78" s="211"/>
      <c r="DI78" s="211"/>
      <c r="DJ78" s="211"/>
      <c r="DK78" s="211"/>
      <c r="DL78" s="211"/>
      <c r="DM78" s="211"/>
      <c r="DN78" s="211"/>
      <c r="DQ78" s="211"/>
      <c r="DV78" s="211"/>
      <c r="DW78" s="211"/>
      <c r="DX78" s="211"/>
      <c r="DY78" s="211"/>
      <c r="DZ78" s="211"/>
      <c r="EA78" s="211"/>
      <c r="EB78" s="211"/>
      <c r="EC78" s="211"/>
      <c r="ED78" s="211"/>
      <c r="EE78" s="211"/>
      <c r="EF78" s="211"/>
      <c r="EG78" s="211"/>
    </row>
    <row r="79" spans="1:137" ht="33.75" customHeight="1">
      <c r="A79" s="1362">
        <f t="shared" si="2"/>
        <v>1</v>
      </c>
      <c r="B79" s="1405">
        <f t="shared" si="4"/>
        <v>19</v>
      </c>
      <c r="C79" s="1387" t="str">
        <f t="shared" si="1"/>
        <v>INTERC.19</v>
      </c>
      <c r="D79" s="1004" t="s">
        <v>1</v>
      </c>
      <c r="E79" s="1110">
        <v>195</v>
      </c>
      <c r="F79" s="1406" t="s">
        <v>13969</v>
      </c>
      <c r="G79" s="1407" t="s">
        <v>19820</v>
      </c>
      <c r="H79" s="1402" t="s">
        <v>255</v>
      </c>
      <c r="I79" s="1417">
        <v>31.279248749999997</v>
      </c>
      <c r="J79" s="1417">
        <v>8.9429437499999977</v>
      </c>
      <c r="K79" s="1417">
        <v>0</v>
      </c>
      <c r="L79" s="1417">
        <v>0</v>
      </c>
      <c r="M79" s="1417">
        <v>0</v>
      </c>
      <c r="N79" s="1417">
        <v>0</v>
      </c>
      <c r="O79" s="1415">
        <v>40.222192499999991</v>
      </c>
      <c r="P79" s="1407" t="s">
        <v>20217</v>
      </c>
      <c r="Q79" s="1363"/>
      <c r="R79" s="211"/>
      <c r="S79" s="211"/>
      <c r="T79" s="211"/>
      <c r="U79" s="211"/>
      <c r="V79" s="211"/>
      <c r="W79" s="211"/>
      <c r="X79" s="211"/>
      <c r="Y79" s="211"/>
      <c r="Z79" s="211"/>
      <c r="AA79" s="211"/>
      <c r="AB79" s="211"/>
      <c r="AC79" s="211"/>
      <c r="AD79" s="211"/>
      <c r="AE79" s="211"/>
      <c r="AF79" s="211"/>
      <c r="AG79" s="211"/>
      <c r="DE79" s="211"/>
      <c r="DF79" s="211"/>
      <c r="DG79" s="211"/>
      <c r="DH79" s="211"/>
      <c r="DI79" s="211"/>
      <c r="DJ79" s="211"/>
      <c r="DK79" s="211"/>
      <c r="DL79" s="211"/>
      <c r="DM79" s="211"/>
      <c r="DN79" s="211"/>
      <c r="DQ79" s="211"/>
      <c r="DV79" s="211"/>
      <c r="DW79" s="211"/>
      <c r="DX79" s="211"/>
      <c r="DY79" s="211"/>
      <c r="DZ79" s="211"/>
      <c r="EA79" s="211"/>
      <c r="EB79" s="211"/>
      <c r="EC79" s="211"/>
      <c r="ED79" s="211"/>
      <c r="EE79" s="211"/>
      <c r="EF79" s="211"/>
      <c r="EG79" s="211"/>
    </row>
    <row r="80" spans="1:137" ht="33.75" customHeight="1">
      <c r="A80" s="1362">
        <f t="shared" si="2"/>
        <v>1</v>
      </c>
      <c r="B80" s="1405">
        <f t="shared" si="4"/>
        <v>20</v>
      </c>
      <c r="C80" s="1387" t="str">
        <f t="shared" si="1"/>
        <v>INTERC.20</v>
      </c>
      <c r="D80" s="1004" t="s">
        <v>1</v>
      </c>
      <c r="E80" s="1110">
        <v>189</v>
      </c>
      <c r="F80" s="1406" t="s">
        <v>13967</v>
      </c>
      <c r="G80" s="1407" t="s">
        <v>19821</v>
      </c>
      <c r="H80" s="1402" t="s">
        <v>255</v>
      </c>
      <c r="I80" s="1417">
        <v>0</v>
      </c>
      <c r="J80" s="1417">
        <v>0</v>
      </c>
      <c r="K80" s="1417">
        <v>0</v>
      </c>
      <c r="L80" s="1417">
        <v>0</v>
      </c>
      <c r="M80" s="1417">
        <v>0</v>
      </c>
      <c r="N80" s="1417">
        <v>0</v>
      </c>
      <c r="O80" s="1415">
        <v>0</v>
      </c>
      <c r="P80" s="1407" t="s">
        <v>20218</v>
      </c>
      <c r="Q80" s="1363"/>
      <c r="R80" s="211"/>
      <c r="S80" s="211"/>
      <c r="T80" s="211"/>
      <c r="U80" s="211"/>
      <c r="V80" s="211"/>
      <c r="W80" s="211"/>
      <c r="X80" s="211"/>
      <c r="Y80" s="211"/>
      <c r="Z80" s="211"/>
      <c r="AA80" s="211"/>
      <c r="AB80" s="211"/>
      <c r="AC80" s="211"/>
      <c r="AD80" s="211"/>
      <c r="AE80" s="211"/>
      <c r="AF80" s="211"/>
      <c r="AG80" s="211"/>
      <c r="DE80" s="211"/>
      <c r="DF80" s="211"/>
      <c r="DG80" s="211"/>
      <c r="DH80" s="211"/>
      <c r="DI80" s="211"/>
      <c r="DJ80" s="211"/>
      <c r="DK80" s="211"/>
      <c r="DL80" s="211"/>
      <c r="DM80" s="211"/>
      <c r="DN80" s="211"/>
      <c r="DQ80" s="211"/>
      <c r="DV80" s="211"/>
      <c r="DW80" s="211"/>
      <c r="DX80" s="211"/>
      <c r="DY80" s="211"/>
      <c r="DZ80" s="211"/>
      <c r="EA80" s="211"/>
      <c r="EB80" s="211"/>
      <c r="EC80" s="211"/>
      <c r="ED80" s="211"/>
      <c r="EE80" s="211"/>
      <c r="EF80" s="211"/>
      <c r="EG80" s="211"/>
    </row>
    <row r="81" spans="1:137" ht="25.5">
      <c r="A81" s="1362">
        <f t="shared" si="2"/>
        <v>1</v>
      </c>
      <c r="B81" s="1405">
        <f t="shared" si="4"/>
        <v>21</v>
      </c>
      <c r="C81" s="1387" t="str">
        <f t="shared" si="1"/>
        <v>INTERC.21</v>
      </c>
      <c r="D81" s="1004" t="s">
        <v>13957</v>
      </c>
      <c r="E81" s="1110" t="s">
        <v>13968</v>
      </c>
      <c r="F81" s="1406" t="s">
        <v>13970</v>
      </c>
      <c r="G81" s="1407" t="s">
        <v>14033</v>
      </c>
      <c r="H81" s="1402" t="s">
        <v>104</v>
      </c>
      <c r="I81" s="1417">
        <v>0</v>
      </c>
      <c r="J81" s="1417">
        <v>0</v>
      </c>
      <c r="K81" s="1417">
        <v>0</v>
      </c>
      <c r="L81" s="1417">
        <v>0</v>
      </c>
      <c r="M81" s="1417">
        <v>0</v>
      </c>
      <c r="N81" s="1417">
        <v>0</v>
      </c>
      <c r="O81" s="1415">
        <v>0</v>
      </c>
      <c r="P81" s="1407" t="s">
        <v>20219</v>
      </c>
      <c r="Q81" s="1363"/>
      <c r="R81" s="211"/>
      <c r="S81" s="211"/>
      <c r="T81" s="211"/>
      <c r="U81" s="211"/>
      <c r="V81" s="211"/>
      <c r="W81" s="211"/>
      <c r="X81" s="211"/>
      <c r="Y81" s="211"/>
      <c r="Z81" s="211"/>
      <c r="AA81" s="211"/>
      <c r="AB81" s="211"/>
      <c r="AC81" s="211"/>
      <c r="AD81" s="211"/>
      <c r="AE81" s="211"/>
      <c r="AF81" s="211"/>
      <c r="AG81" s="211"/>
      <c r="DE81" s="211"/>
      <c r="DF81" s="211"/>
      <c r="DG81" s="211"/>
      <c r="DH81" s="211"/>
      <c r="DI81" s="211"/>
      <c r="DJ81" s="211"/>
      <c r="DK81" s="211"/>
      <c r="DL81" s="211"/>
      <c r="DM81" s="211"/>
      <c r="DN81" s="211"/>
      <c r="DQ81" s="211"/>
      <c r="DV81" s="211"/>
      <c r="DW81" s="211"/>
      <c r="DX81" s="211"/>
      <c r="DY81" s="211"/>
      <c r="DZ81" s="211"/>
      <c r="EA81" s="211"/>
      <c r="EB81" s="211"/>
      <c r="EC81" s="211"/>
      <c r="ED81" s="211"/>
      <c r="EE81" s="211"/>
      <c r="EF81" s="211"/>
      <c r="EG81" s="211"/>
    </row>
    <row r="82" spans="1:137" ht="25.5">
      <c r="A82" s="1362">
        <f t="shared" si="2"/>
        <v>1</v>
      </c>
      <c r="B82" s="1405">
        <f t="shared" si="4"/>
        <v>22</v>
      </c>
      <c r="C82" s="1387" t="str">
        <f t="shared" si="1"/>
        <v>INTERC.22</v>
      </c>
      <c r="D82" s="1004" t="s">
        <v>70</v>
      </c>
      <c r="E82" s="1110">
        <v>93358</v>
      </c>
      <c r="F82" s="1406" t="s">
        <v>13970</v>
      </c>
      <c r="G82" s="1407" t="s">
        <v>826</v>
      </c>
      <c r="H82" s="1402" t="s">
        <v>255</v>
      </c>
      <c r="I82" s="1417">
        <v>118.257605</v>
      </c>
      <c r="J82" s="1417">
        <v>38.025324999999995</v>
      </c>
      <c r="K82" s="1417">
        <v>0</v>
      </c>
      <c r="L82" s="1417">
        <v>0</v>
      </c>
      <c r="M82" s="1417">
        <v>0</v>
      </c>
      <c r="N82" s="1417">
        <v>0</v>
      </c>
      <c r="O82" s="1415">
        <v>156.28292999999999</v>
      </c>
      <c r="P82" s="1407" t="s">
        <v>20220</v>
      </c>
      <c r="Q82" s="1363"/>
      <c r="R82" s="211"/>
      <c r="S82" s="211"/>
      <c r="T82" s="211"/>
      <c r="U82" s="211"/>
      <c r="V82" s="211"/>
      <c r="W82" s="211"/>
      <c r="X82" s="211"/>
      <c r="Y82" s="211"/>
      <c r="Z82" s="211"/>
      <c r="AA82" s="211"/>
      <c r="AB82" s="211"/>
      <c r="AC82" s="211"/>
      <c r="AD82" s="211"/>
      <c r="AE82" s="211"/>
      <c r="AF82" s="211"/>
      <c r="AG82" s="211"/>
      <c r="DE82" s="211"/>
      <c r="DF82" s="211"/>
      <c r="DG82" s="211"/>
      <c r="DH82" s="211"/>
      <c r="DI82" s="211"/>
      <c r="DJ82" s="211"/>
      <c r="DK82" s="211"/>
      <c r="DL82" s="211"/>
      <c r="DM82" s="211"/>
      <c r="DN82" s="211"/>
      <c r="DQ82" s="211"/>
      <c r="DV82" s="211"/>
      <c r="DW82" s="211"/>
      <c r="DX82" s="211"/>
      <c r="DY82" s="211"/>
      <c r="DZ82" s="211"/>
      <c r="EA82" s="211"/>
      <c r="EB82" s="211"/>
      <c r="EC82" s="211"/>
      <c r="ED82" s="211"/>
      <c r="EE82" s="211"/>
      <c r="EF82" s="211"/>
      <c r="EG82" s="211"/>
    </row>
    <row r="83" spans="1:137" ht="25.5">
      <c r="A83" s="1362">
        <f t="shared" si="2"/>
        <v>1</v>
      </c>
      <c r="B83" s="1405">
        <f t="shared" si="4"/>
        <v>23</v>
      </c>
      <c r="C83" s="1387" t="str">
        <f t="shared" si="1"/>
        <v>INTERC.23</v>
      </c>
      <c r="D83" s="1004" t="s">
        <v>1</v>
      </c>
      <c r="E83" s="1110">
        <v>170</v>
      </c>
      <c r="F83" s="1406" t="s">
        <v>13971</v>
      </c>
      <c r="G83" s="1407" t="s">
        <v>19822</v>
      </c>
      <c r="H83" s="1402" t="s">
        <v>255</v>
      </c>
      <c r="I83" s="1417">
        <v>2.2099500000000001</v>
      </c>
      <c r="J83" s="1417">
        <v>0.76927499999999993</v>
      </c>
      <c r="K83" s="1417">
        <v>0</v>
      </c>
      <c r="L83" s="1417">
        <v>0</v>
      </c>
      <c r="M83" s="1417">
        <v>0</v>
      </c>
      <c r="N83" s="1417">
        <v>0</v>
      </c>
      <c r="O83" s="1415">
        <v>2.979225</v>
      </c>
      <c r="P83" s="1407" t="s">
        <v>20221</v>
      </c>
      <c r="Q83" s="1363"/>
      <c r="R83" s="211"/>
      <c r="S83" s="211"/>
      <c r="T83" s="211"/>
      <c r="U83" s="211"/>
      <c r="V83" s="211"/>
      <c r="W83" s="211"/>
      <c r="X83" s="211"/>
      <c r="Y83" s="211"/>
      <c r="Z83" s="211"/>
      <c r="AA83" s="211"/>
      <c r="AB83" s="211"/>
      <c r="AC83" s="211"/>
      <c r="AD83" s="211"/>
      <c r="AE83" s="211"/>
      <c r="AF83" s="211"/>
      <c r="AG83" s="211"/>
      <c r="DE83" s="211"/>
      <c r="DF83" s="211"/>
      <c r="DG83" s="211"/>
      <c r="DH83" s="211"/>
      <c r="DI83" s="211"/>
      <c r="DJ83" s="211"/>
      <c r="DK83" s="211"/>
      <c r="DL83" s="211"/>
      <c r="DM83" s="211"/>
      <c r="DN83" s="211"/>
      <c r="DQ83" s="211"/>
      <c r="DV83" s="211"/>
      <c r="DW83" s="211"/>
      <c r="DX83" s="211"/>
      <c r="DY83" s="211"/>
      <c r="DZ83" s="211"/>
      <c r="EA83" s="211"/>
      <c r="EB83" s="211"/>
      <c r="EC83" s="211"/>
      <c r="ED83" s="211"/>
      <c r="EE83" s="211"/>
      <c r="EF83" s="211"/>
      <c r="EG83" s="211"/>
    </row>
    <row r="84" spans="1:137" ht="25.5">
      <c r="A84" s="1362">
        <f t="shared" si="2"/>
        <v>1</v>
      </c>
      <c r="B84" s="1405">
        <f t="shared" si="4"/>
        <v>24</v>
      </c>
      <c r="C84" s="1387" t="str">
        <f t="shared" si="1"/>
        <v>INTERC.24</v>
      </c>
      <c r="D84" s="1004" t="s">
        <v>1</v>
      </c>
      <c r="E84" s="1110">
        <v>171</v>
      </c>
      <c r="F84" s="1406" t="s">
        <v>19769</v>
      </c>
      <c r="G84" s="1407" t="s">
        <v>19823</v>
      </c>
      <c r="H84" s="1402" t="s">
        <v>255</v>
      </c>
      <c r="I84" s="1417">
        <v>1.6462762499999999</v>
      </c>
      <c r="J84" s="1417">
        <v>0.47068124999999988</v>
      </c>
      <c r="K84" s="1417">
        <v>0</v>
      </c>
      <c r="L84" s="1417">
        <v>0</v>
      </c>
      <c r="M84" s="1417">
        <v>0</v>
      </c>
      <c r="N84" s="1417">
        <v>0</v>
      </c>
      <c r="O84" s="1415">
        <v>2.1169574999999998</v>
      </c>
      <c r="P84" s="1407" t="s">
        <v>20222</v>
      </c>
      <c r="Q84" s="1363"/>
      <c r="R84" s="211"/>
      <c r="S84" s="211"/>
      <c r="T84" s="211"/>
      <c r="U84" s="211"/>
      <c r="V84" s="211"/>
      <c r="W84" s="211"/>
      <c r="X84" s="211"/>
      <c r="Y84" s="211"/>
      <c r="Z84" s="211"/>
      <c r="AA84" s="211"/>
      <c r="AB84" s="211"/>
      <c r="AC84" s="211"/>
      <c r="AD84" s="211"/>
      <c r="AE84" s="211"/>
      <c r="AF84" s="211"/>
      <c r="AG84" s="211"/>
      <c r="DE84" s="211"/>
      <c r="DF84" s="211"/>
      <c r="DG84" s="211"/>
      <c r="DH84" s="211"/>
      <c r="DI84" s="211"/>
      <c r="DJ84" s="211"/>
      <c r="DK84" s="211"/>
      <c r="DL84" s="211"/>
      <c r="DM84" s="211"/>
      <c r="DN84" s="211"/>
      <c r="DQ84" s="211"/>
      <c r="DV84" s="211"/>
      <c r="DW84" s="211"/>
      <c r="DX84" s="211"/>
      <c r="DY84" s="211"/>
      <c r="DZ84" s="211"/>
      <c r="EA84" s="211"/>
      <c r="EB84" s="211"/>
      <c r="EC84" s="211"/>
      <c r="ED84" s="211"/>
      <c r="EE84" s="211"/>
      <c r="EF84" s="211"/>
      <c r="EG84" s="211"/>
    </row>
    <row r="85" spans="1:137" ht="38.25">
      <c r="A85" s="1362">
        <f t="shared" si="2"/>
        <v>1</v>
      </c>
      <c r="B85" s="1405">
        <f t="shared" si="4"/>
        <v>25</v>
      </c>
      <c r="C85" s="1387" t="str">
        <f t="shared" si="1"/>
        <v>INTERC.25</v>
      </c>
      <c r="D85" s="1004" t="s">
        <v>1</v>
      </c>
      <c r="E85" s="1110">
        <v>172</v>
      </c>
      <c r="F85" s="1406" t="s">
        <v>19770</v>
      </c>
      <c r="G85" s="1407" t="s">
        <v>19824</v>
      </c>
      <c r="H85" s="1402" t="s">
        <v>255</v>
      </c>
      <c r="I85" s="1417">
        <v>29.466000000000001</v>
      </c>
      <c r="J85" s="1417">
        <v>10.256999999999998</v>
      </c>
      <c r="K85" s="1417">
        <v>0</v>
      </c>
      <c r="L85" s="1417">
        <v>0</v>
      </c>
      <c r="M85" s="1417">
        <v>0</v>
      </c>
      <c r="N85" s="1417">
        <v>0</v>
      </c>
      <c r="O85" s="1415">
        <v>39.722999999999999</v>
      </c>
      <c r="P85" s="1407" t="s">
        <v>20223</v>
      </c>
      <c r="Q85" s="1363"/>
      <c r="R85" s="211"/>
      <c r="S85" s="211"/>
      <c r="T85" s="211"/>
      <c r="U85" s="211"/>
      <c r="V85" s="211"/>
      <c r="W85" s="211"/>
      <c r="X85" s="211"/>
      <c r="Y85" s="211"/>
      <c r="Z85" s="211"/>
      <c r="AA85" s="211"/>
      <c r="AB85" s="211"/>
      <c r="AC85" s="211"/>
      <c r="AD85" s="211"/>
      <c r="AE85" s="211"/>
      <c r="AF85" s="211"/>
      <c r="AG85" s="211"/>
      <c r="DE85" s="211"/>
      <c r="DF85" s="211"/>
      <c r="DG85" s="211"/>
      <c r="DH85" s="211"/>
      <c r="DI85" s="211"/>
      <c r="DJ85" s="211"/>
      <c r="DK85" s="211"/>
      <c r="DL85" s="211"/>
      <c r="DM85" s="211"/>
      <c r="DN85" s="211"/>
      <c r="DQ85" s="211"/>
      <c r="DV85" s="211"/>
      <c r="DW85" s="211"/>
      <c r="DX85" s="211"/>
      <c r="DY85" s="211"/>
      <c r="DZ85" s="211"/>
      <c r="EA85" s="211"/>
      <c r="EB85" s="211"/>
      <c r="EC85" s="211"/>
      <c r="ED85" s="211"/>
      <c r="EE85" s="211"/>
      <c r="EF85" s="211"/>
      <c r="EG85" s="211"/>
    </row>
    <row r="86" spans="1:137" ht="38.25">
      <c r="A86" s="1362">
        <f t="shared" si="2"/>
        <v>1</v>
      </c>
      <c r="B86" s="1405">
        <f t="shared" si="4"/>
        <v>26</v>
      </c>
      <c r="C86" s="1387" t="str">
        <f t="shared" si="1"/>
        <v>INTERC.26</v>
      </c>
      <c r="D86" s="1004" t="s">
        <v>1</v>
      </c>
      <c r="E86" s="1110">
        <v>173</v>
      </c>
      <c r="F86" s="1406" t="s">
        <v>13972</v>
      </c>
      <c r="G86" s="1407" t="s">
        <v>19825</v>
      </c>
      <c r="H86" s="1402" t="s">
        <v>255</v>
      </c>
      <c r="I86" s="1417">
        <v>21.95035</v>
      </c>
      <c r="J86" s="1417">
        <v>6.2757499999999986</v>
      </c>
      <c r="K86" s="1417">
        <v>0</v>
      </c>
      <c r="L86" s="1417">
        <v>0</v>
      </c>
      <c r="M86" s="1417">
        <v>0</v>
      </c>
      <c r="N86" s="1417">
        <v>0</v>
      </c>
      <c r="O86" s="1415">
        <v>28.226099999999999</v>
      </c>
      <c r="P86" s="1407" t="s">
        <v>20224</v>
      </c>
      <c r="Q86" s="1363"/>
      <c r="R86" s="211"/>
      <c r="S86" s="211"/>
      <c r="T86" s="211"/>
      <c r="U86" s="211"/>
      <c r="V86" s="211"/>
      <c r="W86" s="211"/>
      <c r="X86" s="211"/>
      <c r="Y86" s="211"/>
      <c r="Z86" s="211"/>
      <c r="AA86" s="211"/>
      <c r="AB86" s="211"/>
      <c r="AC86" s="211"/>
      <c r="AD86" s="211"/>
      <c r="AE86" s="211"/>
      <c r="AF86" s="211"/>
      <c r="AG86" s="211"/>
      <c r="DE86" s="211"/>
      <c r="DF86" s="211"/>
      <c r="DG86" s="211"/>
      <c r="DH86" s="211"/>
      <c r="DI86" s="211"/>
      <c r="DJ86" s="211"/>
      <c r="DK86" s="211"/>
      <c r="DL86" s="211"/>
      <c r="DM86" s="211"/>
      <c r="DN86" s="211"/>
      <c r="DQ86" s="211"/>
      <c r="DV86" s="211"/>
      <c r="DW86" s="211"/>
      <c r="DX86" s="211"/>
      <c r="DY86" s="211"/>
      <c r="DZ86" s="211"/>
      <c r="EA86" s="211"/>
      <c r="EB86" s="211"/>
      <c r="EC86" s="211"/>
      <c r="ED86" s="211"/>
      <c r="EE86" s="211"/>
      <c r="EF86" s="211"/>
      <c r="EG86" s="211"/>
    </row>
    <row r="87" spans="1:137" ht="25.5">
      <c r="A87" s="1362">
        <f t="shared" si="2"/>
        <v>1</v>
      </c>
      <c r="B87" s="1405">
        <f t="shared" si="4"/>
        <v>27</v>
      </c>
      <c r="C87" s="1387" t="str">
        <f t="shared" si="1"/>
        <v>INTERC.27</v>
      </c>
      <c r="D87" s="1004" t="s">
        <v>1</v>
      </c>
      <c r="E87" s="1110">
        <v>176</v>
      </c>
      <c r="F87" s="1406" t="s">
        <v>13973</v>
      </c>
      <c r="G87" s="1407" t="s">
        <v>19826</v>
      </c>
      <c r="H87" s="1402" t="s">
        <v>255</v>
      </c>
      <c r="I87" s="1417">
        <v>2.2099500000000001</v>
      </c>
      <c r="J87" s="1417">
        <v>0.76927499999999993</v>
      </c>
      <c r="K87" s="1417">
        <v>0</v>
      </c>
      <c r="L87" s="1417">
        <v>0</v>
      </c>
      <c r="M87" s="1417">
        <v>0</v>
      </c>
      <c r="N87" s="1417">
        <v>0</v>
      </c>
      <c r="O87" s="1415">
        <v>2.979225</v>
      </c>
      <c r="P87" s="1407" t="s">
        <v>20225</v>
      </c>
      <c r="Q87" s="1363"/>
      <c r="R87" s="211"/>
      <c r="S87" s="211"/>
      <c r="T87" s="211"/>
      <c r="U87" s="211"/>
      <c r="V87" s="211"/>
      <c r="W87" s="211"/>
      <c r="X87" s="211"/>
      <c r="Y87" s="211"/>
      <c r="Z87" s="211"/>
      <c r="AA87" s="211"/>
      <c r="AB87" s="211"/>
      <c r="AC87" s="211"/>
      <c r="AD87" s="211"/>
      <c r="AE87" s="211"/>
      <c r="AF87" s="211"/>
      <c r="AG87" s="211"/>
      <c r="DE87" s="211"/>
      <c r="DF87" s="211"/>
      <c r="DG87" s="211"/>
      <c r="DH87" s="211"/>
      <c r="DI87" s="211"/>
      <c r="DJ87" s="211"/>
      <c r="DK87" s="211"/>
      <c r="DL87" s="211"/>
      <c r="DM87" s="211"/>
      <c r="DN87" s="211"/>
      <c r="DQ87" s="211"/>
      <c r="DV87" s="211"/>
      <c r="DW87" s="211"/>
      <c r="DX87" s="211"/>
      <c r="DY87" s="211"/>
      <c r="DZ87" s="211"/>
      <c r="EA87" s="211"/>
      <c r="EB87" s="211"/>
      <c r="EC87" s="211"/>
      <c r="ED87" s="211"/>
      <c r="EE87" s="211"/>
      <c r="EF87" s="211"/>
      <c r="EG87" s="211"/>
    </row>
    <row r="88" spans="1:137" ht="25.5">
      <c r="A88" s="1362">
        <f t="shared" si="2"/>
        <v>1</v>
      </c>
      <c r="B88" s="1405">
        <f t="shared" si="4"/>
        <v>28</v>
      </c>
      <c r="C88" s="1387" t="str">
        <f t="shared" si="1"/>
        <v>INTERC.28</v>
      </c>
      <c r="D88" s="1004" t="s">
        <v>1</v>
      </c>
      <c r="E88" s="1110">
        <v>177</v>
      </c>
      <c r="F88" s="1406" t="s">
        <v>19771</v>
      </c>
      <c r="G88" s="1407" t="s">
        <v>19827</v>
      </c>
      <c r="H88" s="1402" t="s">
        <v>255</v>
      </c>
      <c r="I88" s="1417">
        <v>1.6462762499999999</v>
      </c>
      <c r="J88" s="1417">
        <v>0.47068124999999988</v>
      </c>
      <c r="K88" s="1417">
        <v>0</v>
      </c>
      <c r="L88" s="1417">
        <v>0</v>
      </c>
      <c r="M88" s="1417">
        <v>0</v>
      </c>
      <c r="N88" s="1417">
        <v>0</v>
      </c>
      <c r="O88" s="1415">
        <v>2.1169574999999998</v>
      </c>
      <c r="P88" s="1407" t="s">
        <v>20226</v>
      </c>
      <c r="Q88" s="1363"/>
      <c r="R88" s="211"/>
      <c r="S88" s="211"/>
      <c r="T88" s="211"/>
      <c r="U88" s="211"/>
      <c r="V88" s="211"/>
      <c r="W88" s="211"/>
      <c r="X88" s="211"/>
      <c r="Y88" s="211"/>
      <c r="Z88" s="211"/>
      <c r="AA88" s="211"/>
      <c r="AB88" s="211"/>
      <c r="AC88" s="211"/>
      <c r="AD88" s="211"/>
      <c r="AE88" s="211"/>
      <c r="AF88" s="211"/>
      <c r="AG88" s="211"/>
      <c r="DE88" s="211"/>
      <c r="DF88" s="211"/>
      <c r="DG88" s="211"/>
      <c r="DH88" s="211"/>
      <c r="DI88" s="211"/>
      <c r="DJ88" s="211"/>
      <c r="DK88" s="211"/>
      <c r="DL88" s="211"/>
      <c r="DM88" s="211"/>
      <c r="DN88" s="211"/>
      <c r="DQ88" s="211"/>
      <c r="DV88" s="211"/>
      <c r="DW88" s="211"/>
      <c r="DX88" s="211"/>
      <c r="DY88" s="211"/>
      <c r="DZ88" s="211"/>
      <c r="EA88" s="211"/>
      <c r="EB88" s="211"/>
      <c r="EC88" s="211"/>
      <c r="ED88" s="211"/>
      <c r="EE88" s="211"/>
      <c r="EF88" s="211"/>
      <c r="EG88" s="211"/>
    </row>
    <row r="89" spans="1:137" ht="25.5">
      <c r="A89" s="1362">
        <f t="shared" si="2"/>
        <v>1</v>
      </c>
      <c r="B89" s="1405">
        <f t="shared" si="4"/>
        <v>29</v>
      </c>
      <c r="C89" s="1387" t="str">
        <f t="shared" si="1"/>
        <v>INTERC.29</v>
      </c>
      <c r="D89" s="1004" t="s">
        <v>70</v>
      </c>
      <c r="E89" s="1110">
        <v>94097</v>
      </c>
      <c r="F89" s="1406" t="s">
        <v>19772</v>
      </c>
      <c r="G89" s="1407" t="s">
        <v>18292</v>
      </c>
      <c r="H89" s="1402" t="s">
        <v>256</v>
      </c>
      <c r="I89" s="1414">
        <v>982.2</v>
      </c>
      <c r="J89" s="1414">
        <v>341.9</v>
      </c>
      <c r="K89" s="1414"/>
      <c r="L89" s="1414"/>
      <c r="M89" s="1414"/>
      <c r="N89" s="1414"/>
      <c r="O89" s="1415">
        <v>1324.1</v>
      </c>
      <c r="P89" s="1407" t="s">
        <v>19765</v>
      </c>
      <c r="Q89" s="1363"/>
      <c r="R89" s="211"/>
      <c r="S89" s="211"/>
      <c r="T89" s="211"/>
      <c r="U89" s="211"/>
      <c r="V89" s="211"/>
      <c r="W89" s="211"/>
      <c r="X89" s="211"/>
      <c r="Y89" s="211"/>
      <c r="Z89" s="211"/>
      <c r="AA89" s="211"/>
      <c r="AB89" s="211"/>
      <c r="AC89" s="211"/>
      <c r="AD89" s="211"/>
      <c r="AE89" s="211"/>
      <c r="AF89" s="211"/>
      <c r="AG89" s="211"/>
      <c r="DE89" s="211"/>
      <c r="DF89" s="211"/>
      <c r="DG89" s="211"/>
      <c r="DH89" s="211"/>
      <c r="DI89" s="211"/>
      <c r="DJ89" s="211"/>
      <c r="DK89" s="211"/>
      <c r="DL89" s="211"/>
      <c r="DM89" s="211"/>
      <c r="DN89" s="211"/>
      <c r="DQ89" s="211"/>
      <c r="DV89" s="211"/>
      <c r="DW89" s="211"/>
      <c r="DX89" s="211"/>
      <c r="DY89" s="211"/>
      <c r="DZ89" s="211"/>
      <c r="EA89" s="211"/>
      <c r="EB89" s="211"/>
      <c r="EC89" s="211"/>
      <c r="ED89" s="211"/>
      <c r="EE89" s="211"/>
      <c r="EF89" s="211"/>
      <c r="EG89" s="211"/>
    </row>
    <row r="90" spans="1:137" ht="21" customHeight="1">
      <c r="A90" s="1362">
        <f t="shared" si="2"/>
        <v>1</v>
      </c>
      <c r="B90" s="1405">
        <f t="shared" si="4"/>
        <v>30</v>
      </c>
      <c r="C90" s="1387" t="str">
        <f t="shared" si="1"/>
        <v>INTERC.30</v>
      </c>
      <c r="D90" s="1004" t="s">
        <v>70</v>
      </c>
      <c r="E90" s="1110" t="s">
        <v>18237</v>
      </c>
      <c r="F90" s="1406" t="s">
        <v>13974</v>
      </c>
      <c r="G90" s="1407" t="s">
        <v>829</v>
      </c>
      <c r="H90" s="1402" t="s">
        <v>255</v>
      </c>
      <c r="I90" s="1414">
        <v>487.78669397918867</v>
      </c>
      <c r="J90" s="1414">
        <v>206.49573868297077</v>
      </c>
      <c r="K90" s="1414"/>
      <c r="L90" s="1414"/>
      <c r="M90" s="1414"/>
      <c r="N90" s="1414"/>
      <c r="O90" s="1415">
        <v>694.28243266215941</v>
      </c>
      <c r="P90" s="1407" t="s">
        <v>19765</v>
      </c>
      <c r="Q90" s="1363"/>
      <c r="R90" s="211"/>
      <c r="S90" s="211"/>
      <c r="T90" s="211"/>
      <c r="U90" s="211"/>
      <c r="V90" s="211"/>
      <c r="W90" s="211"/>
      <c r="X90" s="211"/>
      <c r="Y90" s="211"/>
      <c r="Z90" s="211"/>
      <c r="AA90" s="211"/>
      <c r="AB90" s="211"/>
      <c r="AC90" s="211"/>
      <c r="AD90" s="211"/>
      <c r="AE90" s="211"/>
      <c r="AF90" s="211"/>
      <c r="AG90" s="211"/>
      <c r="DE90" s="211"/>
      <c r="DF90" s="211"/>
      <c r="DG90" s="211"/>
      <c r="DH90" s="211"/>
      <c r="DI90" s="211"/>
      <c r="DJ90" s="211"/>
      <c r="DK90" s="211"/>
      <c r="DL90" s="211"/>
      <c r="DM90" s="211"/>
      <c r="DN90" s="211"/>
      <c r="DQ90" s="211"/>
      <c r="DV90" s="211"/>
      <c r="DW90" s="211"/>
      <c r="DX90" s="211"/>
      <c r="DY90" s="211"/>
      <c r="DZ90" s="211"/>
      <c r="EA90" s="211"/>
      <c r="EB90" s="211"/>
      <c r="EC90" s="211"/>
      <c r="ED90" s="211"/>
      <c r="EE90" s="211"/>
      <c r="EF90" s="211"/>
      <c r="EG90" s="211"/>
    </row>
    <row r="91" spans="1:137" ht="64.5" customHeight="1">
      <c r="A91" s="1362">
        <f t="shared" si="2"/>
        <v>1</v>
      </c>
      <c r="B91" s="1405">
        <f t="shared" si="4"/>
        <v>31</v>
      </c>
      <c r="C91" s="1387" t="str">
        <f t="shared" si="1"/>
        <v>INTERC.31</v>
      </c>
      <c r="D91" s="1004" t="s">
        <v>70</v>
      </c>
      <c r="E91" s="1110">
        <v>93378</v>
      </c>
      <c r="F91" s="1406" t="s">
        <v>13975</v>
      </c>
      <c r="G91" s="1407" t="s">
        <v>18256</v>
      </c>
      <c r="H91" s="1402" t="s">
        <v>255</v>
      </c>
      <c r="I91" s="1414">
        <v>0</v>
      </c>
      <c r="J91" s="1414">
        <v>0</v>
      </c>
      <c r="K91" s="1414"/>
      <c r="L91" s="1414"/>
      <c r="M91" s="1414"/>
      <c r="N91" s="1414"/>
      <c r="O91" s="1415">
        <v>0</v>
      </c>
      <c r="P91" s="1407" t="s">
        <v>19765</v>
      </c>
      <c r="Q91" s="1363"/>
      <c r="R91" s="211"/>
      <c r="S91" s="211"/>
      <c r="T91" s="211"/>
      <c r="U91" s="211"/>
      <c r="V91" s="211"/>
      <c r="W91" s="211"/>
      <c r="X91" s="211"/>
      <c r="Y91" s="211"/>
      <c r="Z91" s="211"/>
      <c r="AA91" s="211"/>
      <c r="AB91" s="211"/>
      <c r="AC91" s="211"/>
      <c r="AD91" s="211"/>
      <c r="AE91" s="211"/>
      <c r="AF91" s="211"/>
      <c r="AG91" s="211"/>
      <c r="DE91" s="211"/>
      <c r="DF91" s="211"/>
      <c r="DG91" s="211"/>
      <c r="DH91" s="211"/>
      <c r="DI91" s="211"/>
      <c r="DJ91" s="211"/>
      <c r="DK91" s="211"/>
      <c r="DL91" s="211"/>
      <c r="DM91" s="211"/>
      <c r="DN91" s="211"/>
      <c r="DQ91" s="211"/>
      <c r="DV91" s="211"/>
      <c r="DW91" s="211"/>
      <c r="DX91" s="211"/>
      <c r="DY91" s="211"/>
      <c r="DZ91" s="211"/>
      <c r="EA91" s="211"/>
      <c r="EB91" s="211"/>
      <c r="EC91" s="211"/>
      <c r="ED91" s="211"/>
      <c r="EE91" s="211"/>
      <c r="EF91" s="211"/>
      <c r="EG91" s="211"/>
    </row>
    <row r="92" spans="1:137" ht="66.75" customHeight="1">
      <c r="A92" s="1362">
        <f t="shared" si="2"/>
        <v>1</v>
      </c>
      <c r="B92" s="1405">
        <f t="shared" si="4"/>
        <v>32</v>
      </c>
      <c r="C92" s="1387" t="str">
        <f t="shared" si="1"/>
        <v>INTERC.32</v>
      </c>
      <c r="D92" s="1004" t="s">
        <v>70</v>
      </c>
      <c r="E92" s="1418">
        <v>93380</v>
      </c>
      <c r="F92" s="1406" t="s">
        <v>19773</v>
      </c>
      <c r="G92" s="1407" t="s">
        <v>18258</v>
      </c>
      <c r="H92" s="1402" t="s">
        <v>255</v>
      </c>
      <c r="I92" s="1414">
        <v>0</v>
      </c>
      <c r="J92" s="1414">
        <v>0</v>
      </c>
      <c r="K92" s="1414"/>
      <c r="L92" s="1414"/>
      <c r="M92" s="1414"/>
      <c r="N92" s="1414"/>
      <c r="O92" s="1415">
        <v>0</v>
      </c>
      <c r="P92" s="1407" t="s">
        <v>19765</v>
      </c>
      <c r="Q92" s="1363"/>
      <c r="R92" s="211"/>
      <c r="S92" s="211"/>
      <c r="T92" s="211"/>
      <c r="U92" s="211"/>
      <c r="V92" s="211"/>
      <c r="W92" s="211"/>
      <c r="X92" s="211"/>
      <c r="Y92" s="211"/>
      <c r="Z92" s="211"/>
      <c r="AA92" s="211"/>
      <c r="AB92" s="211"/>
      <c r="AC92" s="211"/>
      <c r="AD92" s="211"/>
      <c r="AE92" s="211"/>
      <c r="AF92" s="211"/>
      <c r="AG92" s="211"/>
      <c r="DE92" s="211"/>
      <c r="DF92" s="211"/>
      <c r="DG92" s="211"/>
      <c r="DH92" s="211"/>
      <c r="DI92" s="211"/>
      <c r="DJ92" s="211"/>
      <c r="DK92" s="211"/>
      <c r="DL92" s="211"/>
      <c r="DM92" s="211"/>
      <c r="DN92" s="211"/>
      <c r="DQ92" s="211"/>
      <c r="DV92" s="211"/>
      <c r="DW92" s="211"/>
      <c r="DX92" s="211"/>
      <c r="DY92" s="211"/>
      <c r="DZ92" s="211"/>
      <c r="EA92" s="211"/>
      <c r="EB92" s="211"/>
      <c r="EC92" s="211"/>
      <c r="ED92" s="211"/>
      <c r="EE92" s="211"/>
      <c r="EF92" s="211"/>
      <c r="EG92" s="211"/>
    </row>
    <row r="93" spans="1:137" ht="66.75" customHeight="1">
      <c r="A93" s="1362">
        <f t="shared" si="2"/>
        <v>1</v>
      </c>
      <c r="B93" s="1405">
        <f t="shared" si="4"/>
        <v>33</v>
      </c>
      <c r="C93" s="1387" t="str">
        <f t="shared" si="1"/>
        <v>INTERC.33</v>
      </c>
      <c r="D93" s="1004" t="s">
        <v>70</v>
      </c>
      <c r="E93" s="1126">
        <v>93379</v>
      </c>
      <c r="F93" s="1406" t="s">
        <v>19774</v>
      </c>
      <c r="G93" s="1407" t="s">
        <v>18257</v>
      </c>
      <c r="H93" s="1402" t="s">
        <v>255</v>
      </c>
      <c r="I93" s="1414">
        <v>173.36000000000004</v>
      </c>
      <c r="J93" s="1414">
        <v>0</v>
      </c>
      <c r="K93" s="1414"/>
      <c r="L93" s="1414"/>
      <c r="M93" s="1414"/>
      <c r="N93" s="1414"/>
      <c r="O93" s="1415">
        <v>173.36000000000004</v>
      </c>
      <c r="P93" s="1407" t="s">
        <v>19765</v>
      </c>
      <c r="Q93" s="1363"/>
      <c r="R93" s="211"/>
      <c r="S93" s="211"/>
      <c r="T93" s="211"/>
      <c r="U93" s="211"/>
      <c r="V93" s="211"/>
      <c r="W93" s="211"/>
      <c r="X93" s="211"/>
      <c r="Y93" s="211"/>
      <c r="Z93" s="211"/>
      <c r="AA93" s="211"/>
      <c r="AB93" s="211"/>
      <c r="AC93" s="211"/>
      <c r="AD93" s="211"/>
      <c r="AE93" s="211"/>
      <c r="AF93" s="211"/>
      <c r="AG93" s="211"/>
      <c r="DE93" s="211"/>
      <c r="DF93" s="211"/>
      <c r="DG93" s="211"/>
      <c r="DH93" s="211"/>
      <c r="DI93" s="211"/>
      <c r="DJ93" s="211"/>
      <c r="DK93" s="211"/>
      <c r="DL93" s="211"/>
      <c r="DM93" s="211"/>
      <c r="DN93" s="211"/>
      <c r="DQ93" s="211"/>
      <c r="DV93" s="211"/>
      <c r="DW93" s="211"/>
      <c r="DX93" s="211"/>
      <c r="DY93" s="211"/>
      <c r="DZ93" s="211"/>
      <c r="EA93" s="211"/>
      <c r="EB93" s="211"/>
      <c r="EC93" s="211"/>
      <c r="ED93" s="211"/>
      <c r="EE93" s="211"/>
      <c r="EF93" s="211"/>
      <c r="EG93" s="211"/>
    </row>
    <row r="94" spans="1:137" ht="66.75" customHeight="1">
      <c r="A94" s="1362">
        <f t="shared" si="2"/>
        <v>1</v>
      </c>
      <c r="B94" s="1405">
        <f t="shared" si="4"/>
        <v>34</v>
      </c>
      <c r="C94" s="1387" t="str">
        <f t="shared" si="1"/>
        <v>INTERC.34</v>
      </c>
      <c r="D94" s="1004" t="s">
        <v>70</v>
      </c>
      <c r="E94" s="1126">
        <v>93381</v>
      </c>
      <c r="F94" s="1406" t="s">
        <v>13976</v>
      </c>
      <c r="G94" s="1407" t="s">
        <v>18259</v>
      </c>
      <c r="H94" s="1402" t="s">
        <v>255</v>
      </c>
      <c r="I94" s="1414">
        <v>1386.0374999999999</v>
      </c>
      <c r="J94" s="1414">
        <v>382.16749999999996</v>
      </c>
      <c r="K94" s="1414"/>
      <c r="L94" s="1414"/>
      <c r="M94" s="1414"/>
      <c r="N94" s="1414"/>
      <c r="O94" s="1415">
        <v>1768.2049999999999</v>
      </c>
      <c r="P94" s="1407" t="s">
        <v>19765</v>
      </c>
      <c r="Q94" s="1363"/>
      <c r="R94" s="211"/>
      <c r="S94" s="211"/>
      <c r="T94" s="211"/>
      <c r="U94" s="211"/>
      <c r="V94" s="211"/>
      <c r="W94" s="211"/>
      <c r="X94" s="211"/>
      <c r="Y94" s="211"/>
      <c r="Z94" s="211"/>
      <c r="AA94" s="211"/>
      <c r="AB94" s="211"/>
      <c r="AC94" s="211"/>
      <c r="AD94" s="211"/>
      <c r="AE94" s="211"/>
      <c r="AF94" s="211"/>
      <c r="AG94" s="211"/>
      <c r="DE94" s="211"/>
      <c r="DF94" s="211"/>
      <c r="DG94" s="211"/>
      <c r="DH94" s="211"/>
      <c r="DI94" s="211"/>
      <c r="DJ94" s="211"/>
      <c r="DK94" s="211"/>
      <c r="DL94" s="211"/>
      <c r="DM94" s="211"/>
      <c r="DN94" s="211"/>
      <c r="DQ94" s="211"/>
      <c r="DV94" s="211"/>
      <c r="DW94" s="211"/>
      <c r="DX94" s="211"/>
      <c r="DY94" s="211"/>
      <c r="DZ94" s="211"/>
      <c r="EA94" s="211"/>
      <c r="EB94" s="211"/>
      <c r="EC94" s="211"/>
      <c r="ED94" s="211"/>
      <c r="EE94" s="211"/>
      <c r="EF94" s="211"/>
      <c r="EG94" s="211"/>
    </row>
    <row r="95" spans="1:137" ht="18" customHeight="1">
      <c r="A95" s="1362">
        <f t="shared" si="2"/>
        <v>0</v>
      </c>
      <c r="B95" s="1405">
        <f t="shared" si="4"/>
        <v>34</v>
      </c>
      <c r="C95" s="1387" t="str">
        <f t="shared" si="1"/>
        <v xml:space="preserve"> </v>
      </c>
      <c r="D95" s="1004"/>
      <c r="E95" s="1004"/>
      <c r="F95" s="1384" t="s">
        <v>13981</v>
      </c>
      <c r="G95" s="1384"/>
      <c r="H95" s="1384"/>
      <c r="I95" s="1384"/>
      <c r="J95" s="1384"/>
      <c r="K95" s="1384"/>
      <c r="L95" s="1384"/>
      <c r="M95" s="1384"/>
      <c r="N95" s="1384"/>
      <c r="O95" s="1384"/>
      <c r="P95" s="1385"/>
      <c r="Q95" s="1363"/>
      <c r="R95" s="211"/>
      <c r="S95" s="211"/>
      <c r="T95" s="211"/>
      <c r="U95" s="211"/>
      <c r="V95" s="211"/>
      <c r="W95" s="211"/>
      <c r="X95" s="211"/>
      <c r="Y95" s="211"/>
      <c r="Z95" s="211"/>
      <c r="AA95" s="211"/>
      <c r="AB95" s="211"/>
      <c r="AC95" s="211"/>
      <c r="AD95" s="211"/>
      <c r="AE95" s="211"/>
      <c r="AF95" s="211"/>
      <c r="AG95" s="211"/>
      <c r="DE95" s="211"/>
      <c r="DF95" s="211"/>
      <c r="DG95" s="211"/>
      <c r="DH95" s="211"/>
      <c r="DI95" s="211"/>
      <c r="DJ95" s="211"/>
      <c r="DK95" s="211"/>
      <c r="DL95" s="211"/>
      <c r="DM95" s="211"/>
      <c r="DN95" s="211"/>
      <c r="DQ95" s="211"/>
      <c r="DV95" s="211"/>
      <c r="DW95" s="211"/>
      <c r="DX95" s="211"/>
      <c r="DY95" s="211"/>
      <c r="DZ95" s="211"/>
      <c r="EA95" s="211"/>
      <c r="EB95" s="211"/>
      <c r="EC95" s="211"/>
      <c r="ED95" s="211"/>
      <c r="EE95" s="211"/>
      <c r="EF95" s="211"/>
      <c r="EG95" s="211"/>
    </row>
    <row r="96" spans="1:137" ht="45" customHeight="1">
      <c r="A96" s="1362">
        <f t="shared" si="2"/>
        <v>1</v>
      </c>
      <c r="B96" s="1405">
        <f t="shared" si="4"/>
        <v>35</v>
      </c>
      <c r="C96" s="1387" t="str">
        <f t="shared" si="1"/>
        <v>INTERC.35</v>
      </c>
      <c r="D96" s="1004" t="s">
        <v>70</v>
      </c>
      <c r="E96" s="1110" t="s">
        <v>18276</v>
      </c>
      <c r="F96" s="1388" t="s">
        <v>19775</v>
      </c>
      <c r="G96" s="1407" t="s">
        <v>18277</v>
      </c>
      <c r="H96" s="1402" t="s">
        <v>255</v>
      </c>
      <c r="I96" s="1419">
        <v>205.66540000000001</v>
      </c>
      <c r="J96" s="1419">
        <v>66.130999999999972</v>
      </c>
      <c r="K96" s="1419">
        <v>0</v>
      </c>
      <c r="L96" s="1419">
        <v>0</v>
      </c>
      <c r="M96" s="1419">
        <v>0</v>
      </c>
      <c r="N96" s="1419">
        <v>0</v>
      </c>
      <c r="O96" s="1420">
        <v>271.79639999999995</v>
      </c>
      <c r="P96" s="1394" t="s">
        <v>19776</v>
      </c>
      <c r="Q96" s="1363"/>
      <c r="R96" s="211"/>
      <c r="S96" s="211"/>
      <c r="T96" s="211"/>
      <c r="U96" s="211"/>
      <c r="V96" s="211"/>
      <c r="W96" s="211"/>
      <c r="X96" s="211"/>
      <c r="Y96" s="211"/>
      <c r="Z96" s="211"/>
      <c r="AA96" s="211"/>
      <c r="AB96" s="211"/>
      <c r="AC96" s="211"/>
      <c r="AD96" s="211"/>
      <c r="AE96" s="211"/>
      <c r="AF96" s="211"/>
      <c r="AG96" s="211"/>
      <c r="DE96" s="211"/>
      <c r="DF96" s="211"/>
      <c r="DG96" s="211"/>
      <c r="DH96" s="211"/>
      <c r="DI96" s="211"/>
      <c r="DJ96" s="211"/>
      <c r="DK96" s="211"/>
      <c r="DL96" s="211"/>
      <c r="DM96" s="211"/>
      <c r="DN96" s="211"/>
      <c r="DQ96" s="211"/>
      <c r="DV96" s="211"/>
      <c r="DW96" s="211"/>
      <c r="DX96" s="211"/>
      <c r="DY96" s="211"/>
      <c r="DZ96" s="211"/>
      <c r="EA96" s="211"/>
      <c r="EB96" s="211"/>
      <c r="EC96" s="211"/>
      <c r="ED96" s="211"/>
      <c r="EE96" s="211"/>
      <c r="EF96" s="211"/>
      <c r="EG96" s="211"/>
    </row>
    <row r="97" spans="1:137" ht="30" customHeight="1">
      <c r="A97" s="1362">
        <f t="shared" si="2"/>
        <v>1</v>
      </c>
      <c r="B97" s="1405">
        <f t="shared" si="4"/>
        <v>36</v>
      </c>
      <c r="C97" s="1387" t="str">
        <f t="shared" si="1"/>
        <v>INTERC.36</v>
      </c>
      <c r="D97" s="1004" t="s">
        <v>70</v>
      </c>
      <c r="E97" s="1110">
        <v>93590</v>
      </c>
      <c r="F97" s="1388" t="s">
        <v>14030</v>
      </c>
      <c r="G97" s="1407" t="s">
        <v>9866</v>
      </c>
      <c r="H97" s="1402" t="s">
        <v>9853</v>
      </c>
      <c r="I97" s="1419">
        <v>1521.9239600000001</v>
      </c>
      <c r="J97" s="1419">
        <v>456.30389999999983</v>
      </c>
      <c r="K97" s="1419">
        <v>0</v>
      </c>
      <c r="L97" s="1419">
        <v>0</v>
      </c>
      <c r="M97" s="1419">
        <v>0</v>
      </c>
      <c r="N97" s="1419">
        <v>0</v>
      </c>
      <c r="O97" s="1420">
        <v>1978.22786</v>
      </c>
      <c r="P97" s="1394" t="s">
        <v>13984</v>
      </c>
      <c r="Q97" s="1363"/>
      <c r="R97" s="211"/>
      <c r="S97" s="211"/>
      <c r="T97" s="211"/>
      <c r="U97" s="211"/>
      <c r="V97" s="211"/>
      <c r="W97" s="211"/>
      <c r="X97" s="211"/>
      <c r="Y97" s="211"/>
      <c r="Z97" s="211"/>
      <c r="AA97" s="211"/>
      <c r="AB97" s="211"/>
      <c r="AC97" s="211"/>
      <c r="AD97" s="211"/>
      <c r="AE97" s="211"/>
      <c r="AF97" s="211"/>
      <c r="AG97" s="211"/>
      <c r="DE97" s="211"/>
      <c r="DF97" s="211"/>
      <c r="DG97" s="211"/>
      <c r="DH97" s="211"/>
      <c r="DI97" s="211"/>
      <c r="DJ97" s="211"/>
      <c r="DK97" s="211"/>
      <c r="DL97" s="211"/>
      <c r="DM97" s="211"/>
      <c r="DN97" s="211"/>
      <c r="DQ97" s="211"/>
      <c r="DV97" s="211"/>
      <c r="DW97" s="211"/>
      <c r="DX97" s="211"/>
      <c r="DY97" s="211"/>
      <c r="DZ97" s="211"/>
      <c r="EA97" s="211"/>
      <c r="EB97" s="211"/>
      <c r="EC97" s="211"/>
      <c r="ED97" s="211"/>
      <c r="EE97" s="211"/>
      <c r="EF97" s="211"/>
      <c r="EG97" s="211"/>
    </row>
    <row r="98" spans="1:137" ht="33.75" customHeight="1">
      <c r="A98" s="1362">
        <f t="shared" si="2"/>
        <v>1</v>
      </c>
      <c r="B98" s="1405">
        <f t="shared" si="4"/>
        <v>37</v>
      </c>
      <c r="C98" s="1387" t="str">
        <f t="shared" si="1"/>
        <v>INTERC.37</v>
      </c>
      <c r="D98" s="1004" t="s">
        <v>70</v>
      </c>
      <c r="E98" s="1110">
        <v>83344</v>
      </c>
      <c r="F98" s="1388" t="s">
        <v>13977</v>
      </c>
      <c r="G98" s="1407" t="s">
        <v>18317</v>
      </c>
      <c r="H98" s="1402" t="s">
        <v>255</v>
      </c>
      <c r="I98" s="1419">
        <v>205.66540000000001</v>
      </c>
      <c r="J98" s="1419">
        <v>66.130999999999972</v>
      </c>
      <c r="K98" s="1419">
        <v>0</v>
      </c>
      <c r="L98" s="1419">
        <v>0</v>
      </c>
      <c r="M98" s="1419">
        <v>0</v>
      </c>
      <c r="N98" s="1419">
        <v>0</v>
      </c>
      <c r="O98" s="1420">
        <v>271.79639999999995</v>
      </c>
      <c r="P98" s="1421" t="s">
        <v>14237</v>
      </c>
      <c r="Q98" s="1363"/>
      <c r="R98" s="211"/>
      <c r="S98" s="211"/>
      <c r="T98" s="211"/>
      <c r="U98" s="211"/>
      <c r="V98" s="211"/>
      <c r="W98" s="211"/>
      <c r="X98" s="211"/>
      <c r="Y98" s="211"/>
      <c r="Z98" s="211"/>
      <c r="AA98" s="211"/>
      <c r="AB98" s="211"/>
      <c r="AC98" s="211"/>
      <c r="AD98" s="211"/>
      <c r="AE98" s="211"/>
      <c r="AF98" s="211"/>
      <c r="AG98" s="211"/>
      <c r="DE98" s="211"/>
      <c r="DF98" s="211"/>
      <c r="DG98" s="211"/>
      <c r="DH98" s="211"/>
      <c r="DI98" s="211"/>
      <c r="DJ98" s="211"/>
      <c r="DK98" s="211"/>
      <c r="DL98" s="211"/>
      <c r="DM98" s="211"/>
      <c r="DN98" s="211"/>
      <c r="DQ98" s="211"/>
      <c r="DV98" s="211"/>
      <c r="DW98" s="211"/>
      <c r="DX98" s="211"/>
      <c r="DY98" s="211"/>
      <c r="DZ98" s="211"/>
      <c r="EA98" s="211"/>
      <c r="EB98" s="211"/>
      <c r="EC98" s="211"/>
      <c r="ED98" s="211"/>
      <c r="EE98" s="211"/>
      <c r="EF98" s="211"/>
      <c r="EG98" s="211"/>
    </row>
    <row r="99" spans="1:137" ht="19.5" customHeight="1">
      <c r="A99" s="1362">
        <f t="shared" si="2"/>
        <v>0</v>
      </c>
      <c r="B99" s="1405">
        <f t="shared" si="4"/>
        <v>37</v>
      </c>
      <c r="C99" s="1387" t="str">
        <f t="shared" si="1"/>
        <v xml:space="preserve"> </v>
      </c>
      <c r="D99" s="1004"/>
      <c r="E99" s="1004"/>
      <c r="F99" s="1384" t="s">
        <v>13986</v>
      </c>
      <c r="G99" s="1384"/>
      <c r="H99" s="1384"/>
      <c r="I99" s="1384"/>
      <c r="J99" s="1384"/>
      <c r="K99" s="1384"/>
      <c r="L99" s="1384"/>
      <c r="M99" s="1384"/>
      <c r="N99" s="1384"/>
      <c r="O99" s="1384"/>
      <c r="P99" s="1385"/>
      <c r="Q99" s="1363"/>
      <c r="R99" s="211"/>
      <c r="S99" s="211"/>
      <c r="T99" s="211"/>
      <c r="U99" s="211"/>
      <c r="V99" s="211"/>
      <c r="W99" s="211"/>
      <c r="X99" s="211"/>
      <c r="Y99" s="211"/>
      <c r="Z99" s="211"/>
      <c r="AA99" s="211"/>
      <c r="AB99" s="211"/>
      <c r="AC99" s="211"/>
      <c r="AD99" s="211"/>
      <c r="AE99" s="211"/>
      <c r="AF99" s="211"/>
      <c r="AG99" s="211"/>
      <c r="DE99" s="211"/>
      <c r="DF99" s="211"/>
      <c r="DG99" s="211"/>
      <c r="DH99" s="211"/>
      <c r="DI99" s="211"/>
      <c r="DJ99" s="211"/>
      <c r="DK99" s="211"/>
      <c r="DL99" s="211"/>
      <c r="DM99" s="211"/>
      <c r="DN99" s="211"/>
      <c r="DQ99" s="211"/>
      <c r="DV99" s="211"/>
      <c r="DW99" s="211"/>
      <c r="DX99" s="211"/>
      <c r="DY99" s="211"/>
      <c r="DZ99" s="211"/>
      <c r="EA99" s="211"/>
      <c r="EB99" s="211"/>
      <c r="EC99" s="211"/>
      <c r="ED99" s="211"/>
      <c r="EE99" s="211"/>
      <c r="EF99" s="211"/>
      <c r="EG99" s="211"/>
    </row>
    <row r="100" spans="1:137" ht="19.5" customHeight="1">
      <c r="A100" s="1362"/>
      <c r="B100" s="1405"/>
      <c r="C100" s="1387" t="str">
        <f t="shared" si="1"/>
        <v xml:space="preserve"> </v>
      </c>
      <c r="D100" s="1004"/>
      <c r="E100" s="1004"/>
      <c r="F100" s="1406"/>
      <c r="G100" s="1407" t="s">
        <v>19777</v>
      </c>
      <c r="H100" s="1402"/>
      <c r="I100" s="1422">
        <v>147.95330602081134</v>
      </c>
      <c r="J100" s="1422">
        <v>0</v>
      </c>
      <c r="K100" s="1422"/>
      <c r="L100" s="1422"/>
      <c r="M100" s="1422"/>
      <c r="N100" s="1422"/>
      <c r="O100" s="1420"/>
      <c r="P100" s="1394"/>
      <c r="Q100" s="1363"/>
      <c r="R100" s="211"/>
      <c r="S100" s="211"/>
      <c r="T100" s="211"/>
      <c r="U100" s="211"/>
      <c r="V100" s="211"/>
      <c r="W100" s="211"/>
      <c r="X100" s="211"/>
      <c r="Y100" s="211"/>
      <c r="Z100" s="211"/>
      <c r="AA100" s="211"/>
      <c r="AB100" s="211"/>
      <c r="AC100" s="211"/>
      <c r="AD100" s="211"/>
      <c r="AE100" s="211"/>
      <c r="AF100" s="211"/>
      <c r="AG100" s="211"/>
      <c r="DE100" s="211"/>
      <c r="DF100" s="211"/>
      <c r="DG100" s="211"/>
      <c r="DH100" s="211"/>
      <c r="DI100" s="211"/>
      <c r="DJ100" s="211"/>
      <c r="DK100" s="211"/>
      <c r="DL100" s="211"/>
      <c r="DM100" s="211"/>
      <c r="DN100" s="211"/>
      <c r="DQ100" s="211"/>
      <c r="DV100" s="211"/>
      <c r="DW100" s="211"/>
      <c r="DX100" s="211"/>
      <c r="DY100" s="211"/>
      <c r="DZ100" s="211"/>
      <c r="EA100" s="211"/>
      <c r="EB100" s="211"/>
      <c r="EC100" s="211"/>
      <c r="ED100" s="211"/>
      <c r="EE100" s="211"/>
      <c r="EF100" s="211"/>
      <c r="EG100" s="211"/>
    </row>
    <row r="101" spans="1:137" ht="30.75" customHeight="1">
      <c r="A101" s="1362">
        <f t="shared" si="2"/>
        <v>1</v>
      </c>
      <c r="B101" s="1405">
        <f>B99+A101</f>
        <v>38</v>
      </c>
      <c r="C101" s="1387" t="str">
        <f t="shared" si="1"/>
        <v>INTERC.38</v>
      </c>
      <c r="D101" s="1004" t="s">
        <v>1</v>
      </c>
      <c r="E101" s="1110">
        <v>232</v>
      </c>
      <c r="F101" s="1406" t="s">
        <v>13978</v>
      </c>
      <c r="G101" s="1407" t="s">
        <v>19828</v>
      </c>
      <c r="H101" s="1402" t="s">
        <v>255</v>
      </c>
      <c r="I101" s="1422">
        <v>57.712093979188666</v>
      </c>
      <c r="J101" s="1422">
        <v>66.130999999999972</v>
      </c>
      <c r="K101" s="1422"/>
      <c r="L101" s="1422"/>
      <c r="M101" s="1422"/>
      <c r="N101" s="1422"/>
      <c r="O101" s="1420">
        <v>123.84309397918864</v>
      </c>
      <c r="P101" s="1394" t="s">
        <v>19778</v>
      </c>
      <c r="Q101" s="1363"/>
      <c r="R101" s="211"/>
      <c r="S101" s="211"/>
      <c r="T101" s="211"/>
      <c r="U101" s="211"/>
      <c r="V101" s="211"/>
      <c r="W101" s="211"/>
      <c r="X101" s="211"/>
      <c r="Y101" s="211"/>
      <c r="Z101" s="211"/>
      <c r="AA101" s="211"/>
      <c r="AB101" s="211"/>
      <c r="AC101" s="211"/>
      <c r="AD101" s="211"/>
      <c r="AE101" s="211"/>
      <c r="AF101" s="211"/>
      <c r="AG101" s="211"/>
      <c r="DE101" s="211"/>
      <c r="DF101" s="211"/>
      <c r="DG101" s="211"/>
      <c r="DH101" s="211"/>
      <c r="DI101" s="211"/>
      <c r="DJ101" s="211"/>
      <c r="DK101" s="211"/>
      <c r="DL101" s="211"/>
      <c r="DM101" s="211"/>
      <c r="DN101" s="211"/>
      <c r="DQ101" s="211"/>
      <c r="DV101" s="211"/>
      <c r="DW101" s="211"/>
      <c r="DX101" s="211"/>
      <c r="DY101" s="211"/>
      <c r="DZ101" s="211"/>
      <c r="EA101" s="211"/>
      <c r="EB101" s="211"/>
      <c r="EC101" s="211"/>
      <c r="ED101" s="211"/>
      <c r="EE101" s="211"/>
      <c r="EF101" s="211"/>
      <c r="EG101" s="211"/>
    </row>
    <row r="102" spans="1:137" ht="30.75" customHeight="1">
      <c r="A102" s="1362">
        <f t="shared" si="2"/>
        <v>1</v>
      </c>
      <c r="B102" s="1405">
        <f t="shared" ref="B102:B165" si="5">B101+A102</f>
        <v>39</v>
      </c>
      <c r="C102" s="1387" t="str">
        <f t="shared" si="1"/>
        <v>INTERC.39</v>
      </c>
      <c r="D102" s="1004" t="s">
        <v>1</v>
      </c>
      <c r="E102" s="1110">
        <v>233</v>
      </c>
      <c r="F102" s="1406" t="s">
        <v>13979</v>
      </c>
      <c r="G102" s="1407" t="s">
        <v>19829</v>
      </c>
      <c r="H102" s="1402" t="s">
        <v>255</v>
      </c>
      <c r="I102" s="1419">
        <v>57.712093979188666</v>
      </c>
      <c r="J102" s="1419">
        <v>66.130999999999972</v>
      </c>
      <c r="K102" s="1419">
        <v>0</v>
      </c>
      <c r="L102" s="1419">
        <v>0</v>
      </c>
      <c r="M102" s="1419">
        <v>0</v>
      </c>
      <c r="N102" s="1419">
        <v>0</v>
      </c>
      <c r="O102" s="1420">
        <v>123.84309397918864</v>
      </c>
      <c r="P102" s="1421" t="s">
        <v>19779</v>
      </c>
      <c r="Q102" s="1363"/>
      <c r="R102" s="211"/>
      <c r="S102" s="211"/>
      <c r="T102" s="211"/>
      <c r="U102" s="211"/>
      <c r="V102" s="211"/>
      <c r="W102" s="211"/>
      <c r="X102" s="211"/>
      <c r="Y102" s="211"/>
      <c r="Z102" s="211"/>
      <c r="AA102" s="211"/>
      <c r="AB102" s="211"/>
      <c r="AC102" s="211"/>
      <c r="AD102" s="211"/>
      <c r="AE102" s="211"/>
      <c r="AF102" s="211"/>
      <c r="AG102" s="211"/>
      <c r="DE102" s="211"/>
      <c r="DF102" s="211"/>
      <c r="DG102" s="211"/>
      <c r="DH102" s="211"/>
      <c r="DI102" s="211"/>
      <c r="DJ102" s="211"/>
      <c r="DK102" s="211"/>
      <c r="DL102" s="211"/>
      <c r="DM102" s="211"/>
      <c r="DN102" s="211"/>
      <c r="DQ102" s="211"/>
      <c r="DV102" s="211"/>
      <c r="DW102" s="211"/>
      <c r="DX102" s="211"/>
      <c r="DY102" s="211"/>
      <c r="DZ102" s="211"/>
      <c r="EA102" s="211"/>
      <c r="EB102" s="211"/>
      <c r="EC102" s="211"/>
      <c r="ED102" s="211"/>
      <c r="EE102" s="211"/>
      <c r="EF102" s="211"/>
      <c r="EG102" s="211"/>
    </row>
    <row r="103" spans="1:137" ht="33" customHeight="1">
      <c r="A103" s="1362">
        <f t="shared" si="2"/>
        <v>1</v>
      </c>
      <c r="B103" s="1405">
        <f t="shared" si="5"/>
        <v>40</v>
      </c>
      <c r="C103" s="1387" t="str">
        <f t="shared" si="1"/>
        <v>INTERC.40</v>
      </c>
      <c r="D103" s="1004" t="s">
        <v>1</v>
      </c>
      <c r="E103" s="1110">
        <v>246</v>
      </c>
      <c r="F103" s="1406" t="s">
        <v>13980</v>
      </c>
      <c r="G103" s="1407" t="s">
        <v>19830</v>
      </c>
      <c r="H103" s="1402" t="s">
        <v>9853</v>
      </c>
      <c r="I103" s="1423">
        <v>213.53474772299808</v>
      </c>
      <c r="J103" s="1423">
        <v>357.10739999999987</v>
      </c>
      <c r="K103" s="1423">
        <v>0</v>
      </c>
      <c r="L103" s="1423">
        <v>0</v>
      </c>
      <c r="M103" s="1423">
        <v>0</v>
      </c>
      <c r="N103" s="1423">
        <v>0</v>
      </c>
      <c r="O103" s="1420">
        <v>570.64214772299795</v>
      </c>
      <c r="P103" s="1394" t="s">
        <v>14077</v>
      </c>
      <c r="Q103" s="1363"/>
      <c r="R103" s="211"/>
      <c r="S103" s="211"/>
      <c r="T103" s="211"/>
      <c r="U103" s="211"/>
      <c r="V103" s="211"/>
      <c r="W103" s="211"/>
      <c r="X103" s="211"/>
      <c r="Y103" s="211"/>
      <c r="Z103" s="211"/>
      <c r="AA103" s="211"/>
      <c r="AB103" s="211"/>
      <c r="AC103" s="211"/>
      <c r="AD103" s="211"/>
      <c r="AE103" s="211"/>
      <c r="AF103" s="211"/>
      <c r="AG103" s="211"/>
      <c r="DE103" s="211"/>
      <c r="DF103" s="211"/>
      <c r="DG103" s="211"/>
      <c r="DH103" s="211"/>
      <c r="DI103" s="211"/>
      <c r="DJ103" s="211"/>
      <c r="DK103" s="211"/>
      <c r="DL103" s="211"/>
      <c r="DM103" s="211"/>
      <c r="DN103" s="211"/>
      <c r="DQ103" s="211"/>
      <c r="DV103" s="211"/>
      <c r="DW103" s="211"/>
      <c r="DX103" s="211"/>
      <c r="DY103" s="211"/>
      <c r="DZ103" s="211"/>
      <c r="EA103" s="211"/>
      <c r="EB103" s="211"/>
      <c r="EC103" s="211"/>
      <c r="ED103" s="211"/>
      <c r="EE103" s="211"/>
      <c r="EF103" s="211"/>
      <c r="EG103" s="211"/>
    </row>
    <row r="104" spans="1:137" ht="12.75">
      <c r="A104" s="1362">
        <f t="shared" si="2"/>
        <v>0</v>
      </c>
      <c r="B104" s="1405">
        <f t="shared" si="5"/>
        <v>40</v>
      </c>
      <c r="C104" s="1387" t="str">
        <f t="shared" si="1"/>
        <v xml:space="preserve"> </v>
      </c>
      <c r="D104" s="1004"/>
      <c r="E104" s="1110"/>
      <c r="F104" s="1384" t="s">
        <v>13990</v>
      </c>
      <c r="G104" s="1384"/>
      <c r="H104" s="1384"/>
      <c r="I104" s="1384"/>
      <c r="J104" s="1384"/>
      <c r="K104" s="1384"/>
      <c r="L104" s="1384"/>
      <c r="M104" s="1384"/>
      <c r="N104" s="1384"/>
      <c r="O104" s="1384"/>
      <c r="P104" s="1385"/>
      <c r="Q104" s="1363"/>
      <c r="R104" s="211"/>
      <c r="S104" s="211"/>
      <c r="T104" s="211"/>
      <c r="U104" s="211"/>
      <c r="V104" s="211"/>
      <c r="W104" s="211"/>
      <c r="X104" s="211"/>
      <c r="Y104" s="211"/>
      <c r="Z104" s="211"/>
      <c r="AA104" s="211"/>
      <c r="AB104" s="211"/>
      <c r="AC104" s="211"/>
      <c r="AD104" s="211"/>
      <c r="AE104" s="211"/>
      <c r="AF104" s="211"/>
      <c r="AG104" s="211"/>
      <c r="DE104" s="211"/>
      <c r="DF104" s="211"/>
      <c r="DG104" s="211"/>
      <c r="DH104" s="211"/>
      <c r="DI104" s="211"/>
      <c r="DJ104" s="211"/>
      <c r="DK104" s="211"/>
      <c r="DL104" s="211"/>
      <c r="DM104" s="211"/>
      <c r="DN104" s="211"/>
      <c r="DQ104" s="211"/>
      <c r="DV104" s="211"/>
      <c r="DW104" s="211"/>
      <c r="DX104" s="211"/>
      <c r="DY104" s="211"/>
      <c r="DZ104" s="211"/>
      <c r="EA104" s="211"/>
      <c r="EB104" s="211"/>
      <c r="EC104" s="211"/>
      <c r="ED104" s="211"/>
      <c r="EE104" s="211"/>
      <c r="EF104" s="211"/>
      <c r="EG104" s="211"/>
    </row>
    <row r="105" spans="1:137" ht="40.5" customHeight="1">
      <c r="A105" s="1362">
        <f t="shared" si="2"/>
        <v>1</v>
      </c>
      <c r="B105" s="1405">
        <f t="shared" si="5"/>
        <v>41</v>
      </c>
      <c r="C105" s="1387" t="str">
        <f t="shared" si="1"/>
        <v>INTERC.41</v>
      </c>
      <c r="D105" s="1004" t="s">
        <v>70</v>
      </c>
      <c r="E105" s="1110">
        <v>94043</v>
      </c>
      <c r="F105" s="1406" t="s">
        <v>13982</v>
      </c>
      <c r="G105" s="1407" t="s">
        <v>16005</v>
      </c>
      <c r="H105" s="1402" t="s">
        <v>256</v>
      </c>
      <c r="I105" s="1422">
        <v>573.27</v>
      </c>
      <c r="J105" s="1422">
        <v>0</v>
      </c>
      <c r="K105" s="1422"/>
      <c r="L105" s="1422"/>
      <c r="M105" s="1422"/>
      <c r="N105" s="1422"/>
      <c r="O105" s="1420">
        <v>573.27</v>
      </c>
      <c r="P105" s="1421" t="s">
        <v>14073</v>
      </c>
      <c r="Q105" s="1363"/>
      <c r="R105" s="211"/>
      <c r="S105" s="211"/>
      <c r="T105" s="211"/>
      <c r="U105" s="211"/>
      <c r="V105" s="211"/>
      <c r="W105" s="211"/>
      <c r="X105" s="211"/>
      <c r="Y105" s="211"/>
      <c r="Z105" s="211"/>
      <c r="AA105" s="211"/>
      <c r="AB105" s="211"/>
      <c r="AC105" s="211"/>
      <c r="AD105" s="211"/>
      <c r="AE105" s="211"/>
      <c r="AF105" s="211"/>
      <c r="AG105" s="211"/>
      <c r="DE105" s="211"/>
      <c r="DF105" s="211"/>
      <c r="DG105" s="211"/>
      <c r="DH105" s="211"/>
      <c r="DI105" s="211"/>
      <c r="DJ105" s="211"/>
      <c r="DK105" s="211"/>
      <c r="DL105" s="211"/>
      <c r="DM105" s="211"/>
      <c r="DN105" s="211"/>
      <c r="DQ105" s="211"/>
      <c r="DV105" s="211"/>
      <c r="DW105" s="211"/>
      <c r="DX105" s="211"/>
      <c r="DY105" s="211"/>
      <c r="DZ105" s="211"/>
      <c r="EA105" s="211"/>
      <c r="EB105" s="211"/>
      <c r="EC105" s="211"/>
      <c r="ED105" s="211"/>
      <c r="EE105" s="211"/>
      <c r="EF105" s="211"/>
      <c r="EG105" s="211"/>
    </row>
    <row r="106" spans="1:137" ht="40.5" customHeight="1">
      <c r="A106" s="1362">
        <f t="shared" si="2"/>
        <v>1</v>
      </c>
      <c r="B106" s="1405">
        <f t="shared" si="5"/>
        <v>42</v>
      </c>
      <c r="C106" s="1387" t="str">
        <f t="shared" si="1"/>
        <v>INTERC.42</v>
      </c>
      <c r="D106" s="1004" t="s">
        <v>70</v>
      </c>
      <c r="E106" s="1110">
        <v>94045</v>
      </c>
      <c r="F106" s="1406" t="s">
        <v>13983</v>
      </c>
      <c r="G106" s="1407" t="s">
        <v>16007</v>
      </c>
      <c r="H106" s="1402" t="s">
        <v>256</v>
      </c>
      <c r="I106" s="1422">
        <v>3529.636</v>
      </c>
      <c r="J106" s="1422">
        <v>1029.5094999999999</v>
      </c>
      <c r="K106" s="1422"/>
      <c r="L106" s="1422"/>
      <c r="M106" s="1422"/>
      <c r="N106" s="1422"/>
      <c r="O106" s="1420">
        <v>4559.1454999999996</v>
      </c>
      <c r="P106" s="1421"/>
      <c r="Q106" s="1363"/>
      <c r="R106" s="211"/>
      <c r="S106" s="211"/>
      <c r="T106" s="211"/>
      <c r="U106" s="211"/>
      <c r="V106" s="211"/>
      <c r="W106" s="211"/>
      <c r="X106" s="211"/>
      <c r="Y106" s="211"/>
      <c r="Z106" s="211"/>
      <c r="AA106" s="211"/>
      <c r="AB106" s="211"/>
      <c r="AC106" s="211"/>
      <c r="AD106" s="211"/>
      <c r="AE106" s="211"/>
      <c r="AF106" s="211"/>
      <c r="AG106" s="211"/>
      <c r="DE106" s="211"/>
      <c r="DF106" s="211"/>
      <c r="DG106" s="211"/>
      <c r="DH106" s="211"/>
      <c r="DI106" s="211"/>
      <c r="DJ106" s="211"/>
      <c r="DK106" s="211"/>
      <c r="DL106" s="211"/>
      <c r="DM106" s="211"/>
      <c r="DN106" s="211"/>
      <c r="DQ106" s="211"/>
      <c r="DV106" s="211"/>
      <c r="DW106" s="211"/>
      <c r="DX106" s="211"/>
      <c r="DY106" s="211"/>
      <c r="DZ106" s="211"/>
      <c r="EA106" s="211"/>
      <c r="EB106" s="211"/>
      <c r="EC106" s="211"/>
      <c r="ED106" s="211"/>
      <c r="EE106" s="211"/>
      <c r="EF106" s="211"/>
      <c r="EG106" s="211"/>
    </row>
    <row r="107" spans="1:137" ht="40.5" customHeight="1">
      <c r="A107" s="1362">
        <f t="shared" si="2"/>
        <v>1</v>
      </c>
      <c r="B107" s="1405">
        <f t="shared" si="5"/>
        <v>43</v>
      </c>
      <c r="C107" s="1387" t="str">
        <f t="shared" si="1"/>
        <v>INTERC.43</v>
      </c>
      <c r="D107" s="1004" t="s">
        <v>70</v>
      </c>
      <c r="E107" s="1110">
        <v>94055</v>
      </c>
      <c r="F107" s="1406" t="s">
        <v>13985</v>
      </c>
      <c r="G107" s="1407" t="s">
        <v>16016</v>
      </c>
      <c r="H107" s="1402" t="s">
        <v>256</v>
      </c>
      <c r="I107" s="1422">
        <v>0</v>
      </c>
      <c r="J107" s="1422">
        <v>0</v>
      </c>
      <c r="K107" s="1422"/>
      <c r="L107" s="1422"/>
      <c r="M107" s="1422"/>
      <c r="N107" s="1422"/>
      <c r="O107" s="1420">
        <v>0</v>
      </c>
      <c r="P107" s="1421" t="s">
        <v>14073</v>
      </c>
      <c r="Q107" s="1363"/>
      <c r="R107" s="211"/>
      <c r="S107" s="211"/>
      <c r="T107" s="211"/>
      <c r="U107" s="211"/>
      <c r="V107" s="211"/>
      <c r="W107" s="211"/>
      <c r="X107" s="211"/>
      <c r="Y107" s="211"/>
      <c r="Z107" s="211"/>
      <c r="AA107" s="211"/>
      <c r="AB107" s="211"/>
      <c r="AC107" s="211"/>
      <c r="AD107" s="211"/>
      <c r="AE107" s="211"/>
      <c r="AF107" s="211"/>
      <c r="AG107" s="211"/>
      <c r="DE107" s="211"/>
      <c r="DF107" s="211"/>
      <c r="DG107" s="211"/>
      <c r="DH107" s="211"/>
      <c r="DI107" s="211"/>
      <c r="DJ107" s="211"/>
      <c r="DK107" s="211"/>
      <c r="DL107" s="211"/>
      <c r="DM107" s="211"/>
      <c r="DN107" s="211"/>
      <c r="DQ107" s="211"/>
      <c r="DV107" s="211"/>
      <c r="DW107" s="211"/>
      <c r="DX107" s="211"/>
      <c r="DY107" s="211"/>
      <c r="DZ107" s="211"/>
      <c r="EA107" s="211"/>
      <c r="EB107" s="211"/>
      <c r="EC107" s="211"/>
      <c r="ED107" s="211"/>
      <c r="EE107" s="211"/>
      <c r="EF107" s="211"/>
      <c r="EG107" s="211"/>
    </row>
    <row r="108" spans="1:137" ht="38.25">
      <c r="A108" s="1362">
        <f t="shared" si="2"/>
        <v>1</v>
      </c>
      <c r="B108" s="1405">
        <f t="shared" si="5"/>
        <v>44</v>
      </c>
      <c r="C108" s="1387" t="str">
        <f t="shared" si="1"/>
        <v>INTERC.44</v>
      </c>
      <c r="D108" s="1004" t="s">
        <v>70</v>
      </c>
      <c r="E108" s="1110">
        <v>94057</v>
      </c>
      <c r="F108" s="1406" t="s">
        <v>13987</v>
      </c>
      <c r="G108" s="1407" t="s">
        <v>16018</v>
      </c>
      <c r="H108" s="1402" t="s">
        <v>256</v>
      </c>
      <c r="I108" s="1422">
        <v>0</v>
      </c>
      <c r="J108" s="1422">
        <v>0</v>
      </c>
      <c r="K108" s="1422"/>
      <c r="L108" s="1422"/>
      <c r="M108" s="1422"/>
      <c r="N108" s="1422"/>
      <c r="O108" s="1420">
        <v>0</v>
      </c>
      <c r="P108" s="1421"/>
      <c r="Q108" s="1363"/>
      <c r="R108" s="211"/>
      <c r="S108" s="211"/>
      <c r="T108" s="211"/>
      <c r="U108" s="211"/>
      <c r="V108" s="211"/>
      <c r="W108" s="211"/>
      <c r="X108" s="211"/>
      <c r="Y108" s="211"/>
      <c r="Z108" s="211"/>
      <c r="AA108" s="211"/>
      <c r="AB108" s="211"/>
      <c r="AC108" s="211"/>
      <c r="AD108" s="211"/>
      <c r="AE108" s="211"/>
      <c r="AF108" s="211"/>
      <c r="AG108" s="211"/>
      <c r="DE108" s="211"/>
      <c r="DF108" s="211"/>
      <c r="DG108" s="211"/>
      <c r="DH108" s="211"/>
      <c r="DI108" s="211"/>
      <c r="DJ108" s="211"/>
      <c r="DK108" s="211"/>
      <c r="DL108" s="211"/>
      <c r="DM108" s="211"/>
      <c r="DN108" s="211"/>
      <c r="DQ108" s="211"/>
      <c r="DV108" s="211"/>
      <c r="DW108" s="211"/>
      <c r="DX108" s="211"/>
      <c r="DY108" s="211"/>
      <c r="DZ108" s="211"/>
      <c r="EA108" s="211"/>
      <c r="EB108" s="211"/>
      <c r="EC108" s="211"/>
      <c r="ED108" s="211"/>
      <c r="EE108" s="211"/>
      <c r="EF108" s="211"/>
      <c r="EG108" s="211"/>
    </row>
    <row r="109" spans="1:137" ht="33.75" customHeight="1">
      <c r="A109" s="1362">
        <f t="shared" si="2"/>
        <v>1</v>
      </c>
      <c r="B109" s="1405">
        <f t="shared" si="5"/>
        <v>45</v>
      </c>
      <c r="C109" s="1387" t="str">
        <f t="shared" si="1"/>
        <v>INTERC.45</v>
      </c>
      <c r="D109" s="1004" t="s">
        <v>70</v>
      </c>
      <c r="E109" s="1110" t="s">
        <v>16023</v>
      </c>
      <c r="F109" s="1406" t="s">
        <v>13988</v>
      </c>
      <c r="G109" s="1407" t="s">
        <v>5240</v>
      </c>
      <c r="H109" s="1402" t="s">
        <v>256</v>
      </c>
      <c r="I109" s="1422">
        <v>126.89399999999999</v>
      </c>
      <c r="J109" s="1422">
        <v>31.840499999999995</v>
      </c>
      <c r="K109" s="1422"/>
      <c r="L109" s="1422"/>
      <c r="M109" s="1422"/>
      <c r="N109" s="1422"/>
      <c r="O109" s="1420">
        <v>158.7345</v>
      </c>
      <c r="P109" s="1421" t="s">
        <v>14073</v>
      </c>
      <c r="Q109" s="1363"/>
      <c r="R109" s="211"/>
      <c r="S109" s="211"/>
      <c r="T109" s="211"/>
      <c r="U109" s="211"/>
      <c r="V109" s="211"/>
      <c r="W109" s="211"/>
      <c r="X109" s="211"/>
      <c r="Y109" s="211"/>
      <c r="Z109" s="211"/>
      <c r="AA109" s="211"/>
      <c r="AB109" s="211"/>
      <c r="AC109" s="211"/>
      <c r="AD109" s="211"/>
      <c r="AE109" s="211"/>
      <c r="AF109" s="211"/>
      <c r="AG109" s="211"/>
      <c r="DE109" s="211"/>
      <c r="DF109" s="211"/>
      <c r="DG109" s="211"/>
      <c r="DH109" s="211"/>
      <c r="DI109" s="211"/>
      <c r="DJ109" s="211"/>
      <c r="DK109" s="211"/>
      <c r="DL109" s="211"/>
      <c r="DM109" s="211"/>
      <c r="DN109" s="211"/>
      <c r="DQ109" s="211"/>
      <c r="DV109" s="211"/>
      <c r="DW109" s="211"/>
      <c r="DX109" s="211"/>
      <c r="DY109" s="211"/>
      <c r="DZ109" s="211"/>
      <c r="EA109" s="211"/>
      <c r="EB109" s="211"/>
      <c r="EC109" s="211"/>
      <c r="ED109" s="211"/>
      <c r="EE109" s="211"/>
      <c r="EF109" s="211"/>
      <c r="EG109" s="211"/>
    </row>
    <row r="110" spans="1:137" ht="15.75" customHeight="1">
      <c r="A110" s="1362">
        <f t="shared" si="2"/>
        <v>0</v>
      </c>
      <c r="B110" s="1405">
        <f t="shared" si="5"/>
        <v>45</v>
      </c>
      <c r="C110" s="1387" t="str">
        <f t="shared" si="1"/>
        <v xml:space="preserve"> </v>
      </c>
      <c r="D110" s="1004"/>
      <c r="E110" s="1004"/>
      <c r="F110" s="1384" t="s">
        <v>13996</v>
      </c>
      <c r="G110" s="1384"/>
      <c r="H110" s="1384"/>
      <c r="I110" s="1384"/>
      <c r="J110" s="1384"/>
      <c r="K110" s="1384"/>
      <c r="L110" s="1384"/>
      <c r="M110" s="1384"/>
      <c r="N110" s="1384"/>
      <c r="O110" s="1384"/>
      <c r="P110" s="1385"/>
      <c r="Q110" s="1363"/>
      <c r="R110" s="211"/>
      <c r="S110" s="211"/>
      <c r="T110" s="211"/>
      <c r="U110" s="211"/>
      <c r="V110" s="211"/>
      <c r="W110" s="211"/>
      <c r="X110" s="211"/>
      <c r="Y110" s="211"/>
      <c r="Z110" s="211"/>
      <c r="AA110" s="211"/>
      <c r="AB110" s="211"/>
      <c r="AC110" s="211"/>
      <c r="AD110" s="211"/>
      <c r="AE110" s="211"/>
      <c r="AF110" s="211"/>
      <c r="AG110" s="211"/>
      <c r="DE110" s="211"/>
      <c r="DF110" s="211"/>
      <c r="DG110" s="211"/>
      <c r="DH110" s="211"/>
      <c r="DI110" s="211"/>
      <c r="DJ110" s="211"/>
      <c r="DK110" s="211"/>
      <c r="DL110" s="211"/>
      <c r="DM110" s="211"/>
      <c r="DN110" s="211"/>
      <c r="DQ110" s="211"/>
      <c r="DV110" s="211"/>
      <c r="DW110" s="211"/>
      <c r="DX110" s="211"/>
      <c r="DY110" s="211"/>
      <c r="DZ110" s="211"/>
      <c r="EA110" s="211"/>
      <c r="EB110" s="211"/>
      <c r="EC110" s="211"/>
      <c r="ED110" s="211"/>
      <c r="EE110" s="211"/>
      <c r="EF110" s="211"/>
      <c r="EG110" s="211"/>
    </row>
    <row r="111" spans="1:137" ht="20.25" customHeight="1">
      <c r="A111" s="1362">
        <f t="shared" si="2"/>
        <v>1</v>
      </c>
      <c r="B111" s="1405">
        <f t="shared" si="5"/>
        <v>46</v>
      </c>
      <c r="C111" s="1387" t="str">
        <f t="shared" si="1"/>
        <v>INTERC.46</v>
      </c>
      <c r="D111" s="1004" t="s">
        <v>70</v>
      </c>
      <c r="E111" s="1004" t="s">
        <v>15726</v>
      </c>
      <c r="F111" s="1406" t="s">
        <v>13989</v>
      </c>
      <c r="G111" s="1407" t="s">
        <v>350</v>
      </c>
      <c r="H111" s="1402" t="s">
        <v>57</v>
      </c>
      <c r="I111" s="1409">
        <v>15</v>
      </c>
      <c r="J111" s="1409">
        <v>15</v>
      </c>
      <c r="K111" s="1409">
        <v>15</v>
      </c>
      <c r="L111" s="1409">
        <v>15</v>
      </c>
      <c r="M111" s="1409"/>
      <c r="N111" s="1409"/>
      <c r="O111" s="1408">
        <v>60</v>
      </c>
      <c r="P111" s="1421"/>
      <c r="Q111" s="1363"/>
      <c r="R111" s="211"/>
      <c r="S111" s="211"/>
      <c r="T111" s="211"/>
      <c r="U111" s="211"/>
      <c r="V111" s="211"/>
      <c r="W111" s="211"/>
      <c r="X111" s="211"/>
      <c r="Y111" s="211"/>
      <c r="Z111" s="211"/>
      <c r="AA111" s="211"/>
      <c r="AB111" s="211"/>
      <c r="AC111" s="211"/>
      <c r="AD111" s="211"/>
      <c r="AE111" s="211"/>
      <c r="AF111" s="211"/>
      <c r="AG111" s="211"/>
      <c r="DE111" s="211"/>
      <c r="DF111" s="211"/>
      <c r="DG111" s="211"/>
      <c r="DH111" s="211"/>
      <c r="DI111" s="211"/>
      <c r="DJ111" s="211"/>
      <c r="DK111" s="211"/>
      <c r="DL111" s="211"/>
      <c r="DM111" s="211"/>
      <c r="DN111" s="211"/>
      <c r="DQ111" s="211"/>
      <c r="DV111" s="211"/>
      <c r="DW111" s="211"/>
      <c r="DX111" s="211"/>
      <c r="DY111" s="211"/>
      <c r="DZ111" s="211"/>
      <c r="EA111" s="211"/>
      <c r="EB111" s="211"/>
      <c r="EC111" s="211"/>
      <c r="ED111" s="211"/>
      <c r="EE111" s="211"/>
      <c r="EF111" s="211"/>
      <c r="EG111" s="211"/>
    </row>
    <row r="112" spans="1:137" ht="16.5" customHeight="1">
      <c r="A112" s="1362">
        <f t="shared" si="2"/>
        <v>0</v>
      </c>
      <c r="B112" s="1405">
        <f t="shared" si="5"/>
        <v>46</v>
      </c>
      <c r="C112" s="1387" t="str">
        <f t="shared" si="1"/>
        <v xml:space="preserve"> </v>
      </c>
      <c r="D112" s="1383"/>
      <c r="E112" s="1424"/>
      <c r="F112" s="1384" t="s">
        <v>14074</v>
      </c>
      <c r="G112" s="1385"/>
      <c r="H112" s="1384"/>
      <c r="I112" s="1384"/>
      <c r="J112" s="1384"/>
      <c r="K112" s="1384"/>
      <c r="L112" s="1384"/>
      <c r="M112" s="1384"/>
      <c r="N112" s="1384"/>
      <c r="O112" s="1384"/>
      <c r="P112" s="1385"/>
      <c r="Q112" s="1363"/>
      <c r="R112" s="211"/>
      <c r="S112" s="211"/>
      <c r="T112" s="211"/>
      <c r="U112" s="211"/>
      <c r="V112" s="211"/>
      <c r="W112" s="211"/>
      <c r="X112" s="211"/>
      <c r="Y112" s="211"/>
      <c r="Z112" s="211"/>
      <c r="AA112" s="211"/>
      <c r="AB112" s="211"/>
      <c r="AC112" s="211"/>
      <c r="AD112" s="211"/>
      <c r="AE112" s="211"/>
      <c r="AF112" s="211"/>
      <c r="AG112" s="211"/>
      <c r="DE112" s="211"/>
      <c r="DF112" s="211"/>
      <c r="DG112" s="211"/>
      <c r="DH112" s="211"/>
      <c r="DI112" s="211"/>
      <c r="DJ112" s="211"/>
      <c r="DK112" s="211"/>
      <c r="DL112" s="211"/>
      <c r="DM112" s="211"/>
      <c r="DN112" s="211"/>
      <c r="DQ112" s="211"/>
      <c r="DV112" s="211"/>
      <c r="DW112" s="211"/>
      <c r="DX112" s="211"/>
      <c r="DY112" s="211"/>
      <c r="DZ112" s="211"/>
      <c r="EA112" s="211"/>
      <c r="EB112" s="211"/>
      <c r="EC112" s="211"/>
      <c r="ED112" s="211"/>
      <c r="EE112" s="211"/>
      <c r="EF112" s="211"/>
      <c r="EG112" s="211"/>
    </row>
    <row r="113" spans="1:137" ht="25.5">
      <c r="A113" s="1362">
        <f t="shared" si="2"/>
        <v>1</v>
      </c>
      <c r="B113" s="1405">
        <f t="shared" si="5"/>
        <v>47</v>
      </c>
      <c r="C113" s="1387" t="str">
        <f t="shared" si="1"/>
        <v>INTERC.47</v>
      </c>
      <c r="D113" s="1004" t="s">
        <v>1</v>
      </c>
      <c r="E113" s="1424">
        <v>229</v>
      </c>
      <c r="F113" s="1406" t="s">
        <v>14075</v>
      </c>
      <c r="G113" s="1407" t="s">
        <v>1258</v>
      </c>
      <c r="H113" s="1402" t="s">
        <v>255</v>
      </c>
      <c r="I113" s="1419">
        <v>281.76</v>
      </c>
      <c r="J113" s="1419">
        <v>102.57</v>
      </c>
      <c r="K113" s="1419"/>
      <c r="L113" s="1419"/>
      <c r="M113" s="1419"/>
      <c r="N113" s="1419"/>
      <c r="O113" s="1420">
        <v>384.33</v>
      </c>
      <c r="P113" s="1425" t="s">
        <v>19780</v>
      </c>
      <c r="Q113" s="1363"/>
      <c r="R113" s="211"/>
      <c r="S113" s="211"/>
      <c r="T113" s="211"/>
      <c r="U113" s="211"/>
      <c r="V113" s="211"/>
      <c r="W113" s="211"/>
      <c r="X113" s="211"/>
      <c r="Y113" s="211"/>
      <c r="Z113" s="211"/>
      <c r="AA113" s="211"/>
      <c r="AB113" s="211"/>
      <c r="AC113" s="211"/>
      <c r="AD113" s="211"/>
      <c r="AE113" s="211"/>
      <c r="AF113" s="211"/>
      <c r="AG113" s="211"/>
      <c r="DE113" s="211"/>
      <c r="DF113" s="211"/>
      <c r="DG113" s="211"/>
      <c r="DH113" s="211"/>
      <c r="DI113" s="211"/>
      <c r="DJ113" s="211"/>
      <c r="DK113" s="211"/>
      <c r="DL113" s="211"/>
      <c r="DM113" s="211"/>
      <c r="DN113" s="211"/>
      <c r="DQ113" s="211"/>
      <c r="DV113" s="211"/>
      <c r="DW113" s="211"/>
      <c r="DX113" s="211"/>
      <c r="DY113" s="211"/>
      <c r="DZ113" s="211"/>
      <c r="EA113" s="211"/>
      <c r="EB113" s="211"/>
      <c r="EC113" s="211"/>
      <c r="ED113" s="211"/>
      <c r="EE113" s="211"/>
      <c r="EF113" s="211"/>
      <c r="EG113" s="211"/>
    </row>
    <row r="114" spans="1:137" ht="25.5">
      <c r="A114" s="1362">
        <f t="shared" si="2"/>
        <v>1</v>
      </c>
      <c r="B114" s="1405">
        <f t="shared" si="5"/>
        <v>48</v>
      </c>
      <c r="C114" s="1387" t="str">
        <f t="shared" si="1"/>
        <v>INTERC.48</v>
      </c>
      <c r="D114" s="1004" t="s">
        <v>1</v>
      </c>
      <c r="E114" s="1424">
        <v>231</v>
      </c>
      <c r="F114" s="1406" t="s">
        <v>14076</v>
      </c>
      <c r="G114" s="1407" t="s">
        <v>518</v>
      </c>
      <c r="H114" s="1402" t="s">
        <v>255</v>
      </c>
      <c r="I114" s="1419">
        <v>140.88</v>
      </c>
      <c r="J114" s="1419">
        <v>51.284999999999997</v>
      </c>
      <c r="K114" s="1419"/>
      <c r="L114" s="1419"/>
      <c r="M114" s="1419"/>
      <c r="N114" s="1419"/>
      <c r="O114" s="1420">
        <v>192.16499999999999</v>
      </c>
      <c r="P114" s="1425" t="s">
        <v>19781</v>
      </c>
      <c r="Q114" s="1363"/>
      <c r="R114" s="211"/>
      <c r="S114" s="211"/>
      <c r="T114" s="211"/>
      <c r="U114" s="211"/>
      <c r="V114" s="211"/>
      <c r="W114" s="211"/>
      <c r="X114" s="211"/>
      <c r="Y114" s="211"/>
      <c r="Z114" s="211"/>
      <c r="AA114" s="211"/>
      <c r="AB114" s="211"/>
      <c r="AC114" s="211"/>
      <c r="AD114" s="211"/>
      <c r="AE114" s="211"/>
      <c r="AF114" s="211"/>
      <c r="AG114" s="211"/>
      <c r="DE114" s="211"/>
      <c r="DF114" s="211"/>
      <c r="DG114" s="211"/>
      <c r="DH114" s="211"/>
      <c r="DI114" s="211"/>
      <c r="DJ114" s="211"/>
      <c r="DK114" s="211"/>
      <c r="DL114" s="211"/>
      <c r="DM114" s="211"/>
      <c r="DN114" s="211"/>
      <c r="DQ114" s="211"/>
      <c r="DV114" s="211"/>
      <c r="DW114" s="211"/>
      <c r="DX114" s="211"/>
      <c r="DY114" s="211"/>
      <c r="DZ114" s="211"/>
      <c r="EA114" s="211"/>
      <c r="EB114" s="211"/>
      <c r="EC114" s="211"/>
      <c r="ED114" s="211"/>
      <c r="EE114" s="211"/>
      <c r="EF114" s="211"/>
      <c r="EG114" s="211"/>
    </row>
    <row r="115" spans="1:137" ht="12.75">
      <c r="A115" s="1362">
        <f t="shared" si="2"/>
        <v>0</v>
      </c>
      <c r="B115" s="1405">
        <f t="shared" si="5"/>
        <v>48</v>
      </c>
      <c r="C115" s="1387" t="str">
        <f t="shared" si="1"/>
        <v xml:space="preserve"> </v>
      </c>
      <c r="D115" s="1004"/>
      <c r="E115" s="1004"/>
      <c r="F115" s="1384" t="s">
        <v>12681</v>
      </c>
      <c r="G115" s="1384"/>
      <c r="H115" s="1384"/>
      <c r="I115" s="1384"/>
      <c r="J115" s="1384"/>
      <c r="K115" s="1384"/>
      <c r="L115" s="1384"/>
      <c r="M115" s="1384"/>
      <c r="N115" s="1384"/>
      <c r="O115" s="1384"/>
      <c r="P115" s="1385"/>
      <c r="Q115" s="1363"/>
      <c r="R115" s="211"/>
      <c r="S115" s="211"/>
      <c r="T115" s="211"/>
      <c r="U115" s="211"/>
      <c r="V115" s="211"/>
      <c r="W115" s="211"/>
      <c r="X115" s="211"/>
      <c r="Y115" s="211"/>
      <c r="Z115" s="211"/>
      <c r="AA115" s="211"/>
      <c r="AB115" s="211"/>
      <c r="AC115" s="211"/>
      <c r="AD115" s="211"/>
      <c r="AE115" s="211"/>
      <c r="AF115" s="211"/>
      <c r="AG115" s="211"/>
      <c r="DE115" s="211"/>
      <c r="DF115" s="211"/>
      <c r="DG115" s="211"/>
      <c r="DH115" s="211"/>
      <c r="DI115" s="211"/>
      <c r="DJ115" s="211"/>
      <c r="DK115" s="211"/>
      <c r="DL115" s="211"/>
      <c r="DM115" s="211"/>
      <c r="DN115" s="211"/>
      <c r="DQ115" s="211"/>
      <c r="DV115" s="211"/>
      <c r="DW115" s="211"/>
      <c r="DX115" s="211"/>
      <c r="DY115" s="211"/>
      <c r="DZ115" s="211"/>
      <c r="EA115" s="211"/>
      <c r="EB115" s="211"/>
      <c r="EC115" s="211"/>
      <c r="ED115" s="211"/>
      <c r="EE115" s="211"/>
      <c r="EF115" s="211"/>
      <c r="EG115" s="211"/>
    </row>
    <row r="116" spans="1:137" ht="51">
      <c r="A116" s="1362">
        <f t="shared" si="2"/>
        <v>1</v>
      </c>
      <c r="B116" s="1405">
        <f t="shared" si="5"/>
        <v>49</v>
      </c>
      <c r="C116" s="1387" t="str">
        <f t="shared" si="1"/>
        <v>INTERC.49</v>
      </c>
      <c r="D116" s="1004" t="s">
        <v>70</v>
      </c>
      <c r="E116" s="1110">
        <v>90733</v>
      </c>
      <c r="F116" s="1406" t="s">
        <v>13997</v>
      </c>
      <c r="G116" s="1407" t="s">
        <v>14742</v>
      </c>
      <c r="H116" s="1402" t="s">
        <v>71</v>
      </c>
      <c r="I116" s="1408">
        <v>0</v>
      </c>
      <c r="J116" s="1408">
        <v>0</v>
      </c>
      <c r="K116" s="1408">
        <v>0</v>
      </c>
      <c r="L116" s="1408">
        <v>0</v>
      </c>
      <c r="M116" s="1408">
        <v>0</v>
      </c>
      <c r="N116" s="1408">
        <v>0</v>
      </c>
      <c r="O116" s="1408">
        <v>0</v>
      </c>
      <c r="P116" s="1421" t="s">
        <v>14238</v>
      </c>
      <c r="Q116" s="1363"/>
      <c r="R116" s="211"/>
      <c r="S116" s="211"/>
      <c r="T116" s="211"/>
      <c r="U116" s="211"/>
      <c r="V116" s="211"/>
      <c r="W116" s="211"/>
      <c r="X116" s="211"/>
      <c r="Y116" s="211"/>
      <c r="Z116" s="211"/>
      <c r="AA116" s="211"/>
      <c r="AB116" s="211"/>
      <c r="AC116" s="211"/>
      <c r="AD116" s="211"/>
      <c r="AE116" s="211"/>
      <c r="AF116" s="211"/>
      <c r="AG116" s="211"/>
      <c r="DE116" s="211"/>
      <c r="DF116" s="211"/>
      <c r="DG116" s="211"/>
      <c r="DH116" s="211"/>
      <c r="DI116" s="211"/>
      <c r="DJ116" s="211"/>
      <c r="DK116" s="211"/>
      <c r="DL116" s="211"/>
      <c r="DM116" s="211"/>
      <c r="DN116" s="211"/>
      <c r="DQ116" s="211"/>
      <c r="DV116" s="211"/>
      <c r="DW116" s="211"/>
      <c r="DX116" s="211"/>
      <c r="DY116" s="211"/>
      <c r="DZ116" s="211"/>
      <c r="EA116" s="211"/>
      <c r="EB116" s="211"/>
      <c r="EC116" s="211"/>
      <c r="ED116" s="211"/>
      <c r="EE116" s="211"/>
      <c r="EF116" s="211"/>
      <c r="EG116" s="211"/>
    </row>
    <row r="117" spans="1:137" ht="51">
      <c r="A117" s="1362">
        <f t="shared" si="2"/>
        <v>1</v>
      </c>
      <c r="B117" s="1405">
        <f t="shared" si="5"/>
        <v>50</v>
      </c>
      <c r="C117" s="1387" t="str">
        <f t="shared" si="1"/>
        <v>INTERC.50</v>
      </c>
      <c r="D117" s="1004" t="s">
        <v>70</v>
      </c>
      <c r="E117" s="1110">
        <v>90734</v>
      </c>
      <c r="F117" s="1406" t="s">
        <v>13998</v>
      </c>
      <c r="G117" s="1407" t="s">
        <v>14743</v>
      </c>
      <c r="H117" s="1402" t="s">
        <v>71</v>
      </c>
      <c r="I117" s="1408">
        <v>0</v>
      </c>
      <c r="J117" s="1408">
        <v>0</v>
      </c>
      <c r="K117" s="1408">
        <v>0</v>
      </c>
      <c r="L117" s="1408">
        <v>0</v>
      </c>
      <c r="M117" s="1408">
        <v>0</v>
      </c>
      <c r="N117" s="1408">
        <v>0</v>
      </c>
      <c r="O117" s="1408">
        <v>0</v>
      </c>
      <c r="P117" s="1421" t="s">
        <v>14239</v>
      </c>
      <c r="Q117" s="1363"/>
      <c r="R117" s="211"/>
      <c r="S117" s="211"/>
      <c r="T117" s="211"/>
      <c r="U117" s="211"/>
      <c r="V117" s="211"/>
      <c r="W117" s="211"/>
      <c r="X117" s="211"/>
      <c r="Y117" s="211"/>
      <c r="Z117" s="211"/>
      <c r="AA117" s="211"/>
      <c r="AB117" s="211"/>
      <c r="AC117" s="211"/>
      <c r="AD117" s="211"/>
      <c r="AE117" s="211"/>
      <c r="AF117" s="211"/>
      <c r="AG117" s="211"/>
      <c r="DE117" s="211"/>
      <c r="DF117" s="211"/>
      <c r="DG117" s="211"/>
      <c r="DH117" s="211"/>
      <c r="DI117" s="211"/>
      <c r="DJ117" s="211"/>
      <c r="DK117" s="211"/>
      <c r="DL117" s="211"/>
      <c r="DM117" s="211"/>
      <c r="DN117" s="211"/>
      <c r="DQ117" s="211"/>
      <c r="DV117" s="211"/>
      <c r="DW117" s="211"/>
      <c r="DX117" s="211"/>
      <c r="DY117" s="211"/>
      <c r="DZ117" s="211"/>
      <c r="EA117" s="211"/>
      <c r="EB117" s="211"/>
      <c r="EC117" s="211"/>
      <c r="ED117" s="211"/>
      <c r="EE117" s="211"/>
      <c r="EF117" s="211"/>
      <c r="EG117" s="211"/>
    </row>
    <row r="118" spans="1:137" ht="51">
      <c r="A118" s="1362">
        <f t="shared" si="2"/>
        <v>1</v>
      </c>
      <c r="B118" s="1405">
        <f t="shared" si="5"/>
        <v>51</v>
      </c>
      <c r="C118" s="1387" t="str">
        <f t="shared" ref="C118:C166" si="6">IF(A118&gt;0,CONCATENATE("INTERC.",B118)," ")</f>
        <v>INTERC.51</v>
      </c>
      <c r="D118" s="1004" t="s">
        <v>70</v>
      </c>
      <c r="E118" s="1110">
        <v>91108</v>
      </c>
      <c r="F118" s="1406" t="s">
        <v>13999</v>
      </c>
      <c r="G118" s="1407" t="s">
        <v>19093</v>
      </c>
      <c r="H118" s="1402" t="s">
        <v>71</v>
      </c>
      <c r="I118" s="1408">
        <v>0</v>
      </c>
      <c r="J118" s="1408">
        <v>0</v>
      </c>
      <c r="K118" s="1408">
        <v>0</v>
      </c>
      <c r="L118" s="1408">
        <v>0</v>
      </c>
      <c r="M118" s="1408">
        <v>0</v>
      </c>
      <c r="N118" s="1408">
        <v>0</v>
      </c>
      <c r="O118" s="1408">
        <v>0</v>
      </c>
      <c r="P118" s="1421" t="s">
        <v>20227</v>
      </c>
      <c r="Q118" s="1363"/>
      <c r="R118" s="211"/>
      <c r="S118" s="211"/>
      <c r="T118" s="211"/>
      <c r="U118" s="211"/>
      <c r="V118" s="211"/>
      <c r="W118" s="211"/>
      <c r="X118" s="211"/>
      <c r="Y118" s="211"/>
      <c r="Z118" s="211"/>
      <c r="AA118" s="211"/>
      <c r="AB118" s="211"/>
      <c r="AC118" s="211"/>
      <c r="AD118" s="211"/>
      <c r="AE118" s="211"/>
      <c r="AF118" s="211"/>
      <c r="AG118" s="211"/>
      <c r="DE118" s="211"/>
      <c r="DF118" s="211"/>
      <c r="DG118" s="211"/>
      <c r="DH118" s="211"/>
      <c r="DI118" s="211"/>
      <c r="DJ118" s="211"/>
      <c r="DK118" s="211"/>
      <c r="DL118" s="211"/>
      <c r="DM118" s="211"/>
      <c r="DN118" s="211"/>
      <c r="DQ118" s="211"/>
      <c r="DV118" s="211"/>
      <c r="DW118" s="211"/>
      <c r="DX118" s="211"/>
      <c r="DY118" s="211"/>
      <c r="DZ118" s="211"/>
      <c r="EA118" s="211"/>
      <c r="EB118" s="211"/>
      <c r="EC118" s="211"/>
      <c r="ED118" s="211"/>
      <c r="EE118" s="211"/>
      <c r="EF118" s="211"/>
      <c r="EG118" s="211"/>
    </row>
    <row r="119" spans="1:137" ht="51">
      <c r="A119" s="1362">
        <f t="shared" si="2"/>
        <v>1</v>
      </c>
      <c r="B119" s="1405">
        <f t="shared" si="5"/>
        <v>52</v>
      </c>
      <c r="C119" s="1387" t="str">
        <f t="shared" si="6"/>
        <v>INTERC.52</v>
      </c>
      <c r="D119" s="1004" t="s">
        <v>70</v>
      </c>
      <c r="E119" s="1110">
        <v>90735</v>
      </c>
      <c r="F119" s="1406" t="s">
        <v>14000</v>
      </c>
      <c r="G119" s="1407" t="s">
        <v>14744</v>
      </c>
      <c r="H119" s="1402" t="s">
        <v>71</v>
      </c>
      <c r="I119" s="1408">
        <v>0</v>
      </c>
      <c r="J119" s="1408">
        <v>0</v>
      </c>
      <c r="K119" s="1408">
        <v>0</v>
      </c>
      <c r="L119" s="1408">
        <v>0</v>
      </c>
      <c r="M119" s="1408">
        <v>0</v>
      </c>
      <c r="N119" s="1408">
        <v>0</v>
      </c>
      <c r="O119" s="1408">
        <v>0</v>
      </c>
      <c r="P119" s="1421" t="s">
        <v>14240</v>
      </c>
      <c r="Q119" s="1363"/>
      <c r="R119" s="211"/>
      <c r="S119" s="211"/>
      <c r="T119" s="211"/>
      <c r="U119" s="211"/>
      <c r="V119" s="211"/>
      <c r="W119" s="211"/>
      <c r="X119" s="211"/>
      <c r="Y119" s="211"/>
      <c r="Z119" s="211"/>
      <c r="AA119" s="211"/>
      <c r="AB119" s="211"/>
      <c r="AC119" s="211"/>
      <c r="AD119" s="211"/>
      <c r="AE119" s="211"/>
      <c r="AF119" s="211"/>
      <c r="AG119" s="211"/>
      <c r="DE119" s="211"/>
      <c r="DF119" s="211"/>
      <c r="DG119" s="211"/>
      <c r="DH119" s="211"/>
      <c r="DI119" s="211"/>
      <c r="DJ119" s="211"/>
      <c r="DK119" s="211"/>
      <c r="DL119" s="211"/>
      <c r="DM119" s="211"/>
      <c r="DN119" s="211"/>
      <c r="DQ119" s="211"/>
      <c r="DV119" s="211"/>
      <c r="DW119" s="211"/>
      <c r="DX119" s="211"/>
      <c r="DY119" s="211"/>
      <c r="DZ119" s="211"/>
      <c r="EA119" s="211"/>
      <c r="EB119" s="211"/>
      <c r="EC119" s="211"/>
      <c r="ED119" s="211"/>
      <c r="EE119" s="211"/>
      <c r="EF119" s="211"/>
      <c r="EG119" s="211"/>
    </row>
    <row r="120" spans="1:137" ht="29.25" customHeight="1">
      <c r="A120" s="1362">
        <f t="shared" si="2"/>
        <v>1</v>
      </c>
      <c r="B120" s="1405">
        <f t="shared" si="5"/>
        <v>53</v>
      </c>
      <c r="C120" s="1387" t="str">
        <f t="shared" si="6"/>
        <v>INTERC.53</v>
      </c>
      <c r="D120" s="1004" t="s">
        <v>70</v>
      </c>
      <c r="E120" s="1110">
        <v>73590</v>
      </c>
      <c r="F120" s="1406" t="s">
        <v>14001</v>
      </c>
      <c r="G120" s="1407" t="s">
        <v>9922</v>
      </c>
      <c r="H120" s="1402" t="s">
        <v>71</v>
      </c>
      <c r="I120" s="1408">
        <v>0</v>
      </c>
      <c r="J120" s="1408">
        <v>0</v>
      </c>
      <c r="K120" s="1408">
        <v>0</v>
      </c>
      <c r="L120" s="1408">
        <v>0</v>
      </c>
      <c r="M120" s="1408">
        <v>0</v>
      </c>
      <c r="N120" s="1408">
        <v>0</v>
      </c>
      <c r="O120" s="1408"/>
      <c r="P120" s="1421" t="s">
        <v>14240</v>
      </c>
      <c r="Q120" s="1363"/>
      <c r="R120" s="211"/>
      <c r="S120" s="211"/>
      <c r="T120" s="211"/>
      <c r="U120" s="211"/>
      <c r="V120" s="211"/>
      <c r="W120" s="211"/>
      <c r="X120" s="211"/>
      <c r="Y120" s="211"/>
      <c r="Z120" s="211"/>
      <c r="AA120" s="211"/>
      <c r="AB120" s="211"/>
      <c r="AC120" s="211"/>
      <c r="AD120" s="211"/>
      <c r="AE120" s="211"/>
      <c r="AF120" s="211"/>
      <c r="AG120" s="211"/>
      <c r="DE120" s="211"/>
      <c r="DF120" s="211"/>
      <c r="DG120" s="211"/>
      <c r="DH120" s="211"/>
      <c r="DI120" s="211"/>
      <c r="DJ120" s="211"/>
      <c r="DK120" s="211"/>
      <c r="DL120" s="211"/>
      <c r="DM120" s="211"/>
      <c r="DN120" s="211"/>
      <c r="DQ120" s="211"/>
      <c r="DV120" s="211"/>
      <c r="DW120" s="211"/>
      <c r="DX120" s="211"/>
      <c r="DY120" s="211"/>
      <c r="DZ120" s="211"/>
      <c r="EA120" s="211"/>
      <c r="EB120" s="211"/>
      <c r="EC120" s="211"/>
      <c r="ED120" s="211"/>
      <c r="EE120" s="211"/>
      <c r="EF120" s="211"/>
      <c r="EG120" s="211"/>
    </row>
    <row r="121" spans="1:137" ht="51">
      <c r="A121" s="1362">
        <f t="shared" si="2"/>
        <v>1</v>
      </c>
      <c r="B121" s="1405">
        <f t="shared" si="5"/>
        <v>54</v>
      </c>
      <c r="C121" s="1387" t="str">
        <f t="shared" si="6"/>
        <v>INTERC.54</v>
      </c>
      <c r="D121" s="1004" t="s">
        <v>70</v>
      </c>
      <c r="E121" s="1110">
        <v>90736</v>
      </c>
      <c r="F121" s="1406" t="s">
        <v>14002</v>
      </c>
      <c r="G121" s="1407" t="s">
        <v>14745</v>
      </c>
      <c r="H121" s="1402" t="s">
        <v>71</v>
      </c>
      <c r="I121" s="1408">
        <v>0</v>
      </c>
      <c r="J121" s="1408">
        <v>0</v>
      </c>
      <c r="K121" s="1408">
        <v>0</v>
      </c>
      <c r="L121" s="1408">
        <v>0</v>
      </c>
      <c r="M121" s="1408">
        <v>0</v>
      </c>
      <c r="N121" s="1408">
        <v>0</v>
      </c>
      <c r="O121" s="1408">
        <v>0</v>
      </c>
      <c r="P121" s="1421" t="s">
        <v>14241</v>
      </c>
      <c r="Q121" s="1363"/>
      <c r="R121" s="211"/>
      <c r="S121" s="211"/>
      <c r="T121" s="211"/>
      <c r="U121" s="211"/>
      <c r="V121" s="211"/>
      <c r="W121" s="211"/>
      <c r="X121" s="211"/>
      <c r="Y121" s="211"/>
      <c r="Z121" s="211"/>
      <c r="AA121" s="211"/>
      <c r="AB121" s="211"/>
      <c r="AC121" s="211"/>
      <c r="AD121" s="211"/>
      <c r="AE121" s="211"/>
      <c r="AF121" s="211"/>
      <c r="AG121" s="211"/>
      <c r="DE121" s="211"/>
      <c r="DF121" s="211"/>
      <c r="DG121" s="211"/>
      <c r="DH121" s="211"/>
      <c r="DI121" s="211"/>
      <c r="DJ121" s="211"/>
      <c r="DK121" s="211"/>
      <c r="DL121" s="211"/>
      <c r="DM121" s="211"/>
      <c r="DN121" s="211"/>
      <c r="DQ121" s="211"/>
      <c r="DV121" s="211"/>
      <c r="DW121" s="211"/>
      <c r="DX121" s="211"/>
      <c r="DY121" s="211"/>
      <c r="DZ121" s="211"/>
      <c r="EA121" s="211"/>
      <c r="EB121" s="211"/>
      <c r="EC121" s="211"/>
      <c r="ED121" s="211"/>
      <c r="EE121" s="211"/>
      <c r="EF121" s="211"/>
      <c r="EG121" s="211"/>
    </row>
    <row r="122" spans="1:137" ht="21" customHeight="1">
      <c r="A122" s="1362">
        <f t="shared" si="2"/>
        <v>1</v>
      </c>
      <c r="B122" s="1405">
        <f t="shared" si="5"/>
        <v>55</v>
      </c>
      <c r="C122" s="1387" t="str">
        <f t="shared" si="6"/>
        <v>INTERC.55</v>
      </c>
      <c r="D122" s="1004" t="s">
        <v>70</v>
      </c>
      <c r="E122" s="1418">
        <v>73589</v>
      </c>
      <c r="F122" s="1406" t="s">
        <v>14003</v>
      </c>
      <c r="G122" s="1407" t="s">
        <v>9923</v>
      </c>
      <c r="H122" s="1402" t="s">
        <v>71</v>
      </c>
      <c r="I122" s="1408">
        <v>0</v>
      </c>
      <c r="J122" s="1408">
        <v>0</v>
      </c>
      <c r="K122" s="1408">
        <v>0</v>
      </c>
      <c r="L122" s="1408">
        <v>0</v>
      </c>
      <c r="M122" s="1408">
        <v>0</v>
      </c>
      <c r="N122" s="1408">
        <v>0</v>
      </c>
      <c r="O122" s="1408">
        <v>0</v>
      </c>
      <c r="P122" s="1421" t="s">
        <v>14241</v>
      </c>
      <c r="Q122" s="1363"/>
      <c r="R122" s="211"/>
      <c r="S122" s="211"/>
      <c r="T122" s="211"/>
      <c r="U122" s="211"/>
      <c r="V122" s="211"/>
      <c r="W122" s="211"/>
      <c r="X122" s="211"/>
      <c r="Y122" s="211"/>
      <c r="Z122" s="211"/>
      <c r="AA122" s="211"/>
      <c r="AB122" s="211"/>
      <c r="AC122" s="211"/>
      <c r="AD122" s="211"/>
      <c r="AE122" s="211"/>
      <c r="AF122" s="211"/>
      <c r="AG122" s="211"/>
      <c r="DE122" s="211"/>
      <c r="DF122" s="211"/>
      <c r="DG122" s="211"/>
      <c r="DH122" s="211"/>
      <c r="DI122" s="211"/>
      <c r="DJ122" s="211"/>
      <c r="DK122" s="211"/>
      <c r="DL122" s="211"/>
      <c r="DM122" s="211"/>
      <c r="DN122" s="211"/>
      <c r="DQ122" s="211"/>
      <c r="DV122" s="211"/>
      <c r="DW122" s="211"/>
      <c r="DX122" s="211"/>
      <c r="DY122" s="211"/>
      <c r="DZ122" s="211"/>
      <c r="EA122" s="211"/>
      <c r="EB122" s="211"/>
      <c r="EC122" s="211"/>
      <c r="ED122" s="211"/>
      <c r="EE122" s="211"/>
      <c r="EF122" s="211"/>
      <c r="EG122" s="211"/>
    </row>
    <row r="123" spans="1:137" ht="51">
      <c r="A123" s="1362">
        <f t="shared" si="2"/>
        <v>1</v>
      </c>
      <c r="B123" s="1405">
        <f t="shared" si="5"/>
        <v>56</v>
      </c>
      <c r="C123" s="1387" t="str">
        <f t="shared" si="6"/>
        <v>INTERC.56</v>
      </c>
      <c r="D123" s="1004" t="s">
        <v>70</v>
      </c>
      <c r="E123" s="1110">
        <v>90737</v>
      </c>
      <c r="F123" s="1406" t="s">
        <v>14004</v>
      </c>
      <c r="G123" s="1407" t="s">
        <v>14746</v>
      </c>
      <c r="H123" s="1402" t="s">
        <v>71</v>
      </c>
      <c r="I123" s="1408">
        <v>0</v>
      </c>
      <c r="J123" s="1408">
        <v>0</v>
      </c>
      <c r="K123" s="1408">
        <v>0</v>
      </c>
      <c r="L123" s="1408">
        <v>0</v>
      </c>
      <c r="M123" s="1408">
        <v>0</v>
      </c>
      <c r="N123" s="1408">
        <v>0</v>
      </c>
      <c r="O123" s="1408">
        <v>0</v>
      </c>
      <c r="P123" s="1421" t="s">
        <v>14242</v>
      </c>
      <c r="Q123" s="1363"/>
      <c r="R123" s="211"/>
      <c r="S123" s="211"/>
      <c r="T123" s="211"/>
      <c r="U123" s="211"/>
      <c r="V123" s="211"/>
      <c r="W123" s="211"/>
      <c r="X123" s="211"/>
      <c r="Y123" s="211"/>
      <c r="Z123" s="211"/>
      <c r="AA123" s="211"/>
      <c r="AB123" s="211"/>
      <c r="AC123" s="211"/>
      <c r="AD123" s="211"/>
      <c r="AE123" s="211"/>
      <c r="AF123" s="211"/>
      <c r="AG123" s="211"/>
      <c r="DE123" s="211"/>
      <c r="DF123" s="211"/>
      <c r="DG123" s="211"/>
      <c r="DH123" s="211"/>
      <c r="DI123" s="211"/>
      <c r="DJ123" s="211"/>
      <c r="DK123" s="211"/>
      <c r="DL123" s="211"/>
      <c r="DM123" s="211"/>
      <c r="DN123" s="211"/>
      <c r="DQ123" s="211"/>
      <c r="DV123" s="211"/>
      <c r="DW123" s="211"/>
      <c r="DX123" s="211"/>
      <c r="DY123" s="211"/>
      <c r="DZ123" s="211"/>
      <c r="EA123" s="211"/>
      <c r="EB123" s="211"/>
      <c r="EC123" s="211"/>
      <c r="ED123" s="211"/>
      <c r="EE123" s="211"/>
      <c r="EF123" s="211"/>
      <c r="EG123" s="211"/>
    </row>
    <row r="124" spans="1:137" ht="21" customHeight="1">
      <c r="A124" s="1362">
        <f t="shared" ref="A124:A166" si="7">IF(E124&gt;0,1,0)</f>
        <v>1</v>
      </c>
      <c r="B124" s="1405">
        <f t="shared" si="5"/>
        <v>57</v>
      </c>
      <c r="C124" s="1387" t="str">
        <f t="shared" si="6"/>
        <v>INTERC.57</v>
      </c>
      <c r="D124" s="1004" t="s">
        <v>70</v>
      </c>
      <c r="E124" s="1418">
        <v>73588</v>
      </c>
      <c r="F124" s="1406" t="s">
        <v>14005</v>
      </c>
      <c r="G124" s="1407" t="s">
        <v>9924</v>
      </c>
      <c r="H124" s="1402" t="s">
        <v>71</v>
      </c>
      <c r="I124" s="1408">
        <v>0</v>
      </c>
      <c r="J124" s="1408">
        <v>0</v>
      </c>
      <c r="K124" s="1408">
        <v>0</v>
      </c>
      <c r="L124" s="1408">
        <v>0</v>
      </c>
      <c r="M124" s="1408">
        <v>0</v>
      </c>
      <c r="N124" s="1408">
        <v>0</v>
      </c>
      <c r="O124" s="1408">
        <v>0</v>
      </c>
      <c r="P124" s="1421" t="s">
        <v>14242</v>
      </c>
      <c r="Q124" s="1363"/>
      <c r="R124" s="211"/>
      <c r="S124" s="211"/>
      <c r="T124" s="211"/>
      <c r="U124" s="211"/>
      <c r="V124" s="211"/>
      <c r="W124" s="211"/>
      <c r="X124" s="211"/>
      <c r="Y124" s="211"/>
      <c r="Z124" s="211"/>
      <c r="AA124" s="211"/>
      <c r="AB124" s="211"/>
      <c r="AC124" s="211"/>
      <c r="AD124" s="211"/>
      <c r="AE124" s="211"/>
      <c r="AF124" s="211"/>
      <c r="AG124" s="211"/>
      <c r="DE124" s="211"/>
      <c r="DF124" s="211"/>
      <c r="DG124" s="211"/>
      <c r="DH124" s="211"/>
      <c r="DI124" s="211"/>
      <c r="DJ124" s="211"/>
      <c r="DK124" s="211"/>
      <c r="DL124" s="211"/>
      <c r="DM124" s="211"/>
      <c r="DN124" s="211"/>
      <c r="DQ124" s="211"/>
      <c r="DV124" s="211"/>
      <c r="DW124" s="211"/>
      <c r="DX124" s="211"/>
      <c r="DY124" s="211"/>
      <c r="DZ124" s="211"/>
      <c r="EA124" s="211"/>
      <c r="EB124" s="211"/>
      <c r="EC124" s="211"/>
      <c r="ED124" s="211"/>
      <c r="EE124" s="211"/>
      <c r="EF124" s="211"/>
      <c r="EG124" s="211"/>
    </row>
    <row r="125" spans="1:137" ht="51">
      <c r="A125" s="1362">
        <f t="shared" si="7"/>
        <v>1</v>
      </c>
      <c r="B125" s="1405">
        <f t="shared" si="5"/>
        <v>58</v>
      </c>
      <c r="C125" s="1387" t="str">
        <f t="shared" si="6"/>
        <v>INTERC.58</v>
      </c>
      <c r="D125" s="1004" t="s">
        <v>70</v>
      </c>
      <c r="E125" s="1110">
        <v>90739</v>
      </c>
      <c r="F125" s="1406" t="s">
        <v>14006</v>
      </c>
      <c r="G125" s="1407" t="s">
        <v>14748</v>
      </c>
      <c r="H125" s="1402" t="s">
        <v>71</v>
      </c>
      <c r="I125" s="1408">
        <f>518-I134</f>
        <v>512</v>
      </c>
      <c r="J125" s="1408">
        <v>0</v>
      </c>
      <c r="K125" s="1408">
        <v>0</v>
      </c>
      <c r="L125" s="1408">
        <v>0</v>
      </c>
      <c r="M125" s="1408">
        <v>0</v>
      </c>
      <c r="N125" s="1408">
        <v>0</v>
      </c>
      <c r="O125" s="1408">
        <v>512</v>
      </c>
      <c r="P125" s="1421" t="s">
        <v>14243</v>
      </c>
      <c r="Q125" s="1363"/>
      <c r="R125" s="211"/>
      <c r="S125" s="211"/>
      <c r="T125" s="211"/>
      <c r="U125" s="211"/>
      <c r="V125" s="211"/>
      <c r="W125" s="211"/>
      <c r="X125" s="211"/>
      <c r="Y125" s="211"/>
      <c r="Z125" s="211"/>
      <c r="AA125" s="211"/>
      <c r="AB125" s="211"/>
      <c r="AC125" s="211"/>
      <c r="AD125" s="211"/>
      <c r="AE125" s="211"/>
      <c r="AF125" s="211"/>
      <c r="AG125" s="211"/>
      <c r="DE125" s="211"/>
      <c r="DF125" s="211"/>
      <c r="DG125" s="211"/>
      <c r="DH125" s="211"/>
      <c r="DI125" s="211"/>
      <c r="DJ125" s="211"/>
      <c r="DK125" s="211"/>
      <c r="DL125" s="211"/>
      <c r="DM125" s="211"/>
      <c r="DN125" s="211"/>
      <c r="DQ125" s="211"/>
      <c r="DV125" s="211"/>
      <c r="DW125" s="211"/>
      <c r="DX125" s="211"/>
      <c r="DY125" s="211"/>
      <c r="DZ125" s="211"/>
      <c r="EA125" s="211"/>
      <c r="EB125" s="211"/>
      <c r="EC125" s="211"/>
      <c r="ED125" s="211"/>
      <c r="EE125" s="211"/>
      <c r="EF125" s="211"/>
      <c r="EG125" s="211"/>
    </row>
    <row r="126" spans="1:137" ht="24.75" customHeight="1">
      <c r="A126" s="1362">
        <f t="shared" si="7"/>
        <v>1</v>
      </c>
      <c r="B126" s="1405">
        <f t="shared" si="5"/>
        <v>59</v>
      </c>
      <c r="C126" s="1387" t="str">
        <f t="shared" si="6"/>
        <v>INTERC.59</v>
      </c>
      <c r="D126" s="1004" t="s">
        <v>70</v>
      </c>
      <c r="E126" s="1418">
        <v>73509</v>
      </c>
      <c r="F126" s="1406" t="s">
        <v>19783</v>
      </c>
      <c r="G126" s="1407" t="s">
        <v>9926</v>
      </c>
      <c r="H126" s="1402" t="s">
        <v>71</v>
      </c>
      <c r="I126" s="1408">
        <f>I125</f>
        <v>512</v>
      </c>
      <c r="J126" s="1408">
        <v>0</v>
      </c>
      <c r="K126" s="1408">
        <v>0</v>
      </c>
      <c r="L126" s="1408">
        <v>0</v>
      </c>
      <c r="M126" s="1408">
        <v>0</v>
      </c>
      <c r="N126" s="1408">
        <v>0</v>
      </c>
      <c r="O126" s="1408">
        <v>512</v>
      </c>
      <c r="P126" s="1421" t="s">
        <v>14243</v>
      </c>
      <c r="Q126" s="1363"/>
      <c r="R126" s="211"/>
      <c r="S126" s="211"/>
      <c r="T126" s="211"/>
      <c r="U126" s="211"/>
      <c r="V126" s="211"/>
      <c r="W126" s="211"/>
      <c r="X126" s="211"/>
      <c r="Y126" s="211"/>
      <c r="Z126" s="211"/>
      <c r="AA126" s="211"/>
      <c r="AB126" s="211"/>
      <c r="AC126" s="211"/>
      <c r="AD126" s="211"/>
      <c r="AE126" s="211"/>
      <c r="AF126" s="211"/>
      <c r="AG126" s="211"/>
      <c r="DE126" s="211"/>
      <c r="DF126" s="211"/>
      <c r="DG126" s="211"/>
      <c r="DH126" s="211"/>
      <c r="DI126" s="211"/>
      <c r="DJ126" s="211"/>
      <c r="DK126" s="211"/>
      <c r="DL126" s="211"/>
      <c r="DM126" s="211"/>
      <c r="DN126" s="211"/>
      <c r="DQ126" s="211"/>
      <c r="DV126" s="211"/>
      <c r="DW126" s="211"/>
      <c r="DX126" s="211"/>
      <c r="DY126" s="211"/>
      <c r="DZ126" s="211"/>
      <c r="EA126" s="211"/>
      <c r="EB126" s="211"/>
      <c r="EC126" s="211"/>
      <c r="ED126" s="211"/>
      <c r="EE126" s="211"/>
      <c r="EF126" s="211"/>
      <c r="EG126" s="211"/>
    </row>
    <row r="127" spans="1:137" ht="65.25" customHeight="1">
      <c r="A127" s="1362">
        <f t="shared" si="7"/>
        <v>1</v>
      </c>
      <c r="B127" s="1405">
        <f t="shared" si="5"/>
        <v>60</v>
      </c>
      <c r="C127" s="1387" t="str">
        <f t="shared" si="6"/>
        <v>INTERC.60</v>
      </c>
      <c r="D127" s="1004" t="s">
        <v>70</v>
      </c>
      <c r="E127" s="1110">
        <v>92838</v>
      </c>
      <c r="F127" s="1406" t="s">
        <v>19784</v>
      </c>
      <c r="G127" s="1407" t="s">
        <v>14805</v>
      </c>
      <c r="H127" s="1402" t="s">
        <v>71</v>
      </c>
      <c r="I127" s="1408">
        <v>422</v>
      </c>
      <c r="J127" s="1408">
        <v>0</v>
      </c>
      <c r="K127" s="1408">
        <v>0</v>
      </c>
      <c r="L127" s="1408">
        <v>0</v>
      </c>
      <c r="M127" s="1408">
        <v>0</v>
      </c>
      <c r="N127" s="1408">
        <v>0</v>
      </c>
      <c r="O127" s="1408">
        <v>422</v>
      </c>
      <c r="P127" s="1421" t="s">
        <v>14244</v>
      </c>
      <c r="Q127" s="1363"/>
      <c r="R127" s="211"/>
      <c r="S127" s="211"/>
      <c r="T127" s="211"/>
      <c r="U127" s="211"/>
      <c r="V127" s="211"/>
      <c r="W127" s="211"/>
      <c r="X127" s="211"/>
      <c r="Y127" s="211"/>
      <c r="Z127" s="211"/>
      <c r="AA127" s="211"/>
      <c r="AB127" s="211"/>
      <c r="AC127" s="211"/>
      <c r="AD127" s="211"/>
      <c r="AE127" s="211"/>
      <c r="AF127" s="211"/>
      <c r="AG127" s="211"/>
      <c r="DE127" s="211"/>
      <c r="DF127" s="211"/>
      <c r="DG127" s="211"/>
      <c r="DH127" s="211"/>
      <c r="DI127" s="211"/>
      <c r="DJ127" s="211"/>
      <c r="DK127" s="211"/>
      <c r="DL127" s="211"/>
      <c r="DM127" s="211"/>
      <c r="DN127" s="211"/>
      <c r="DQ127" s="211"/>
      <c r="DV127" s="211"/>
      <c r="DW127" s="211"/>
      <c r="DX127" s="211"/>
      <c r="DY127" s="211"/>
      <c r="DZ127" s="211"/>
      <c r="EA127" s="211"/>
      <c r="EB127" s="211"/>
      <c r="EC127" s="211"/>
      <c r="ED127" s="211"/>
      <c r="EE127" s="211"/>
      <c r="EF127" s="211"/>
      <c r="EG127" s="211"/>
    </row>
    <row r="128" spans="1:137" ht="23.25" customHeight="1">
      <c r="A128" s="1362">
        <f t="shared" si="7"/>
        <v>1</v>
      </c>
      <c r="B128" s="1405">
        <f t="shared" si="5"/>
        <v>61</v>
      </c>
      <c r="C128" s="1387" t="str">
        <f t="shared" si="6"/>
        <v>INTERC.61</v>
      </c>
      <c r="D128" s="1004" t="s">
        <v>70</v>
      </c>
      <c r="E128" s="1126">
        <v>73508</v>
      </c>
      <c r="F128" s="1406" t="s">
        <v>19785</v>
      </c>
      <c r="G128" s="1407" t="s">
        <v>9927</v>
      </c>
      <c r="H128" s="1402" t="s">
        <v>71</v>
      </c>
      <c r="I128" s="1408">
        <v>422</v>
      </c>
      <c r="J128" s="1408">
        <v>0</v>
      </c>
      <c r="K128" s="1408">
        <v>0</v>
      </c>
      <c r="L128" s="1408">
        <v>0</v>
      </c>
      <c r="M128" s="1408">
        <v>0</v>
      </c>
      <c r="N128" s="1408">
        <v>0</v>
      </c>
      <c r="O128" s="1408">
        <v>422</v>
      </c>
      <c r="P128" s="1421" t="s">
        <v>14244</v>
      </c>
      <c r="Q128" s="1363"/>
      <c r="R128" s="211"/>
      <c r="S128" s="211"/>
      <c r="T128" s="211"/>
      <c r="U128" s="211"/>
      <c r="V128" s="211"/>
      <c r="W128" s="211"/>
      <c r="X128" s="211"/>
      <c r="Y128" s="211"/>
      <c r="Z128" s="211"/>
      <c r="AA128" s="211"/>
      <c r="AB128" s="211"/>
      <c r="AC128" s="211"/>
      <c r="AD128" s="211"/>
      <c r="AE128" s="211"/>
      <c r="AF128" s="211"/>
      <c r="AG128" s="211"/>
      <c r="DE128" s="211"/>
      <c r="DF128" s="211"/>
      <c r="DG128" s="211"/>
      <c r="DH128" s="211"/>
      <c r="DI128" s="211"/>
      <c r="DJ128" s="211"/>
      <c r="DK128" s="211"/>
      <c r="DL128" s="211"/>
      <c r="DM128" s="211"/>
      <c r="DN128" s="211"/>
      <c r="DQ128" s="211"/>
      <c r="DV128" s="211"/>
      <c r="DW128" s="211"/>
      <c r="DX128" s="211"/>
      <c r="DY128" s="211"/>
      <c r="DZ128" s="211"/>
      <c r="EA128" s="211"/>
      <c r="EB128" s="211"/>
      <c r="EC128" s="211"/>
      <c r="ED128" s="211"/>
      <c r="EE128" s="211"/>
      <c r="EF128" s="211"/>
      <c r="EG128" s="211"/>
    </row>
    <row r="129" spans="1:137" ht="25.5">
      <c r="A129" s="1362">
        <f t="shared" si="7"/>
        <v>1</v>
      </c>
      <c r="B129" s="1405">
        <f t="shared" si="5"/>
        <v>62</v>
      </c>
      <c r="C129" s="1387" t="str">
        <f t="shared" si="6"/>
        <v>INTERC.62</v>
      </c>
      <c r="D129" s="1004" t="s">
        <v>70</v>
      </c>
      <c r="E129" s="1418" t="s">
        <v>14675</v>
      </c>
      <c r="F129" s="1406" t="s">
        <v>19786</v>
      </c>
      <c r="G129" s="1407" t="s">
        <v>14676</v>
      </c>
      <c r="H129" s="1402" t="s">
        <v>71</v>
      </c>
      <c r="I129" s="1408">
        <v>0</v>
      </c>
      <c r="J129" s="1408">
        <v>0</v>
      </c>
      <c r="K129" s="1408">
        <v>0</v>
      </c>
      <c r="L129" s="1408">
        <v>0</v>
      </c>
      <c r="M129" s="1408">
        <v>0</v>
      </c>
      <c r="N129" s="1408">
        <v>0</v>
      </c>
      <c r="O129" s="1408">
        <v>0</v>
      </c>
      <c r="P129" s="1421" t="s">
        <v>14245</v>
      </c>
      <c r="Q129" s="1363"/>
      <c r="R129" s="211"/>
      <c r="S129" s="211"/>
      <c r="T129" s="211"/>
      <c r="U129" s="211"/>
      <c r="V129" s="211"/>
      <c r="W129" s="211"/>
      <c r="X129" s="211"/>
      <c r="Y129" s="211"/>
      <c r="Z129" s="211"/>
      <c r="AA129" s="211"/>
      <c r="AB129" s="211"/>
      <c r="AC129" s="211"/>
      <c r="AD129" s="211"/>
      <c r="AE129" s="211"/>
      <c r="AF129" s="211"/>
      <c r="AG129" s="211"/>
      <c r="DE129" s="211"/>
      <c r="DF129" s="211"/>
      <c r="DG129" s="211"/>
      <c r="DH129" s="211"/>
      <c r="DI129" s="211"/>
      <c r="DJ129" s="211"/>
      <c r="DK129" s="211"/>
      <c r="DL129" s="211"/>
      <c r="DM129" s="211"/>
      <c r="DN129" s="211"/>
      <c r="DQ129" s="211"/>
      <c r="DV129" s="211"/>
      <c r="DW129" s="211"/>
      <c r="DX129" s="211"/>
      <c r="DY129" s="211"/>
      <c r="DZ129" s="211"/>
      <c r="EA129" s="211"/>
      <c r="EB129" s="211"/>
      <c r="EC129" s="211"/>
      <c r="ED129" s="211"/>
      <c r="EE129" s="211"/>
      <c r="EF129" s="211"/>
      <c r="EG129" s="211"/>
    </row>
    <row r="130" spans="1:137" ht="25.5">
      <c r="A130" s="1362">
        <f t="shared" si="7"/>
        <v>1</v>
      </c>
      <c r="B130" s="1405">
        <f t="shared" si="5"/>
        <v>63</v>
      </c>
      <c r="C130" s="1387" t="str">
        <f t="shared" si="6"/>
        <v>INTERC.63</v>
      </c>
      <c r="D130" s="1004" t="s">
        <v>70</v>
      </c>
      <c r="E130" s="1418" t="s">
        <v>14677</v>
      </c>
      <c r="F130" s="1406" t="s">
        <v>19787</v>
      </c>
      <c r="G130" s="1407" t="s">
        <v>14678</v>
      </c>
      <c r="H130" s="1402" t="s">
        <v>71</v>
      </c>
      <c r="I130" s="1408">
        <v>0</v>
      </c>
      <c r="J130" s="1408">
        <v>0</v>
      </c>
      <c r="K130" s="1408">
        <v>0</v>
      </c>
      <c r="L130" s="1408">
        <v>0</v>
      </c>
      <c r="M130" s="1408">
        <v>0</v>
      </c>
      <c r="N130" s="1408">
        <v>0</v>
      </c>
      <c r="O130" s="1408">
        <v>0</v>
      </c>
      <c r="P130" s="1421" t="s">
        <v>14246</v>
      </c>
      <c r="Q130" s="1363"/>
      <c r="R130" s="211"/>
      <c r="S130" s="211"/>
      <c r="T130" s="211"/>
      <c r="U130" s="211"/>
      <c r="V130" s="211"/>
      <c r="W130" s="211"/>
      <c r="X130" s="211"/>
      <c r="Y130" s="211"/>
      <c r="Z130" s="211"/>
      <c r="AA130" s="211"/>
      <c r="AB130" s="211"/>
      <c r="AC130" s="211"/>
      <c r="AD130" s="211"/>
      <c r="AE130" s="211"/>
      <c r="AF130" s="211"/>
      <c r="AG130" s="211"/>
      <c r="DE130" s="211"/>
      <c r="DF130" s="211"/>
      <c r="DG130" s="211"/>
      <c r="DH130" s="211"/>
      <c r="DI130" s="211"/>
      <c r="DJ130" s="211"/>
      <c r="DK130" s="211"/>
      <c r="DL130" s="211"/>
      <c r="DM130" s="211"/>
      <c r="DN130" s="211"/>
      <c r="DQ130" s="211"/>
      <c r="DV130" s="211"/>
      <c r="DW130" s="211"/>
      <c r="DX130" s="211"/>
      <c r="DY130" s="211"/>
      <c r="DZ130" s="211"/>
      <c r="EA130" s="211"/>
      <c r="EB130" s="211"/>
      <c r="EC130" s="211"/>
      <c r="ED130" s="211"/>
      <c r="EE130" s="211"/>
      <c r="EF130" s="211"/>
      <c r="EG130" s="211"/>
    </row>
    <row r="131" spans="1:137" ht="25.5">
      <c r="A131" s="1362">
        <f t="shared" si="7"/>
        <v>1</v>
      </c>
      <c r="B131" s="1405">
        <f t="shared" si="5"/>
        <v>64</v>
      </c>
      <c r="C131" s="1387" t="str">
        <f t="shared" si="6"/>
        <v>INTERC.64</v>
      </c>
      <c r="D131" s="1004" t="s">
        <v>70</v>
      </c>
      <c r="E131" s="1418" t="s">
        <v>14679</v>
      </c>
      <c r="F131" s="1406" t="s">
        <v>19788</v>
      </c>
      <c r="G131" s="1407" t="s">
        <v>14680</v>
      </c>
      <c r="H131" s="1402" t="s">
        <v>71</v>
      </c>
      <c r="I131" s="1408">
        <v>0</v>
      </c>
      <c r="J131" s="1408">
        <v>0</v>
      </c>
      <c r="K131" s="1408">
        <v>0</v>
      </c>
      <c r="L131" s="1408">
        <v>0</v>
      </c>
      <c r="M131" s="1408">
        <v>0</v>
      </c>
      <c r="N131" s="1408">
        <v>0</v>
      </c>
      <c r="O131" s="1408">
        <v>0</v>
      </c>
      <c r="P131" s="1421" t="s">
        <v>14247</v>
      </c>
      <c r="Q131" s="1363"/>
      <c r="R131" s="211"/>
      <c r="S131" s="211"/>
      <c r="T131" s="211"/>
      <c r="U131" s="211"/>
      <c r="V131" s="211"/>
      <c r="W131" s="211"/>
      <c r="X131" s="211"/>
      <c r="Y131" s="211"/>
      <c r="Z131" s="211"/>
      <c r="AA131" s="211"/>
      <c r="AB131" s="211"/>
      <c r="AC131" s="211"/>
      <c r="AD131" s="211"/>
      <c r="AE131" s="211"/>
      <c r="AF131" s="211"/>
      <c r="AG131" s="211"/>
      <c r="DE131" s="211"/>
      <c r="DF131" s="211"/>
      <c r="DG131" s="211"/>
      <c r="DH131" s="211"/>
      <c r="DI131" s="211"/>
      <c r="DJ131" s="211"/>
      <c r="DK131" s="211"/>
      <c r="DL131" s="211"/>
      <c r="DM131" s="211"/>
      <c r="DN131" s="211"/>
      <c r="DQ131" s="211"/>
      <c r="DV131" s="211"/>
      <c r="DW131" s="211"/>
      <c r="DX131" s="211"/>
      <c r="DY131" s="211"/>
      <c r="DZ131" s="211"/>
      <c r="EA131" s="211"/>
      <c r="EB131" s="211"/>
      <c r="EC131" s="211"/>
      <c r="ED131" s="211"/>
      <c r="EE131" s="211"/>
      <c r="EF131" s="211"/>
      <c r="EG131" s="211"/>
    </row>
    <row r="132" spans="1:137" ht="25.5">
      <c r="A132" s="1362">
        <f t="shared" si="7"/>
        <v>1</v>
      </c>
      <c r="B132" s="1405">
        <f t="shared" si="5"/>
        <v>65</v>
      </c>
      <c r="C132" s="1387" t="str">
        <f t="shared" si="6"/>
        <v>INTERC.65</v>
      </c>
      <c r="D132" s="1004" t="s">
        <v>70</v>
      </c>
      <c r="E132" s="1418" t="s">
        <v>14681</v>
      </c>
      <c r="F132" s="1406" t="s">
        <v>19789</v>
      </c>
      <c r="G132" s="1407" t="s">
        <v>14682</v>
      </c>
      <c r="H132" s="1402" t="s">
        <v>71</v>
      </c>
      <c r="I132" s="1408">
        <v>0</v>
      </c>
      <c r="J132" s="1408">
        <v>0</v>
      </c>
      <c r="K132" s="1408">
        <v>0</v>
      </c>
      <c r="L132" s="1408">
        <v>0</v>
      </c>
      <c r="M132" s="1408">
        <v>0</v>
      </c>
      <c r="N132" s="1408">
        <v>0</v>
      </c>
      <c r="O132" s="1408">
        <v>0</v>
      </c>
      <c r="P132" s="1421" t="s">
        <v>19790</v>
      </c>
      <c r="Q132" s="1363"/>
      <c r="R132" s="211"/>
      <c r="S132" s="211"/>
      <c r="T132" s="211"/>
      <c r="U132" s="211"/>
      <c r="V132" s="211"/>
      <c r="W132" s="211"/>
      <c r="X132" s="211"/>
      <c r="Y132" s="211"/>
      <c r="Z132" s="211"/>
      <c r="AA132" s="211"/>
      <c r="AB132" s="211"/>
      <c r="AC132" s="211"/>
      <c r="AD132" s="211"/>
      <c r="AE132" s="211"/>
      <c r="AF132" s="211"/>
      <c r="AG132" s="211"/>
      <c r="DE132" s="211"/>
      <c r="DF132" s="211"/>
      <c r="DG132" s="211"/>
      <c r="DH132" s="211"/>
      <c r="DI132" s="211"/>
      <c r="DJ132" s="211"/>
      <c r="DK132" s="211"/>
      <c r="DL132" s="211"/>
      <c r="DM132" s="211"/>
      <c r="DN132" s="211"/>
      <c r="DQ132" s="211"/>
      <c r="DV132" s="211"/>
      <c r="DW132" s="211"/>
      <c r="DX132" s="211"/>
      <c r="DY132" s="211"/>
      <c r="DZ132" s="211"/>
      <c r="EA132" s="211"/>
      <c r="EB132" s="211"/>
      <c r="EC132" s="211"/>
      <c r="ED132" s="211"/>
      <c r="EE132" s="211"/>
      <c r="EF132" s="211"/>
      <c r="EG132" s="211"/>
    </row>
    <row r="133" spans="1:137" ht="25.5">
      <c r="A133" s="1362">
        <f t="shared" si="7"/>
        <v>1</v>
      </c>
      <c r="B133" s="1405">
        <f t="shared" si="5"/>
        <v>66</v>
      </c>
      <c r="C133" s="1387" t="str">
        <f t="shared" si="6"/>
        <v>INTERC.66</v>
      </c>
      <c r="D133" s="1004" t="s">
        <v>70</v>
      </c>
      <c r="E133" s="1110" t="s">
        <v>14683</v>
      </c>
      <c r="F133" s="1406" t="s">
        <v>19791</v>
      </c>
      <c r="G133" s="1407" t="s">
        <v>14684</v>
      </c>
      <c r="H133" s="1402" t="s">
        <v>71</v>
      </c>
      <c r="I133" s="1408">
        <v>0</v>
      </c>
      <c r="J133" s="1408">
        <v>0</v>
      </c>
      <c r="K133" s="1408">
        <v>0</v>
      </c>
      <c r="L133" s="1408">
        <v>0</v>
      </c>
      <c r="M133" s="1408">
        <v>0</v>
      </c>
      <c r="N133" s="1408">
        <v>0</v>
      </c>
      <c r="O133" s="1408">
        <v>0</v>
      </c>
      <c r="P133" s="1421" t="s">
        <v>19792</v>
      </c>
      <c r="Q133" s="1363"/>
      <c r="R133" s="211"/>
      <c r="S133" s="211"/>
      <c r="T133" s="211"/>
      <c r="U133" s="211"/>
      <c r="V133" s="211"/>
      <c r="W133" s="211"/>
      <c r="X133" s="211"/>
      <c r="Y133" s="211"/>
      <c r="Z133" s="211"/>
      <c r="AA133" s="211"/>
      <c r="AB133" s="211"/>
      <c r="AC133" s="211"/>
      <c r="AD133" s="211"/>
      <c r="AE133" s="211"/>
      <c r="AF133" s="211"/>
      <c r="AG133" s="211"/>
      <c r="DE133" s="211"/>
      <c r="DF133" s="211"/>
      <c r="DG133" s="211"/>
      <c r="DH133" s="211"/>
      <c r="DI133" s="211"/>
      <c r="DJ133" s="211"/>
      <c r="DK133" s="211"/>
      <c r="DL133" s="211"/>
      <c r="DM133" s="211"/>
      <c r="DN133" s="211"/>
      <c r="DQ133" s="211"/>
      <c r="DV133" s="211"/>
      <c r="DW133" s="211"/>
      <c r="DX133" s="211"/>
      <c r="DY133" s="211"/>
      <c r="DZ133" s="211"/>
      <c r="EA133" s="211"/>
      <c r="EB133" s="211"/>
      <c r="EC133" s="211"/>
      <c r="ED133" s="211"/>
      <c r="EE133" s="211"/>
      <c r="EF133" s="211"/>
      <c r="EG133" s="211"/>
    </row>
    <row r="134" spans="1:137" ht="25.5">
      <c r="A134" s="1362">
        <f t="shared" si="7"/>
        <v>1</v>
      </c>
      <c r="B134" s="1405">
        <f t="shared" si="5"/>
        <v>67</v>
      </c>
      <c r="C134" s="1387" t="str">
        <f t="shared" si="6"/>
        <v>INTERC.67</v>
      </c>
      <c r="D134" s="1004" t="s">
        <v>70</v>
      </c>
      <c r="E134" s="1426" t="s">
        <v>14687</v>
      </c>
      <c r="F134" s="1406" t="s">
        <v>19793</v>
      </c>
      <c r="G134" s="1407" t="s">
        <v>14688</v>
      </c>
      <c r="H134" s="1402" t="s">
        <v>71</v>
      </c>
      <c r="I134" s="1408">
        <v>6</v>
      </c>
      <c r="J134" s="1408">
        <v>0</v>
      </c>
      <c r="K134" s="1408">
        <v>0</v>
      </c>
      <c r="L134" s="1408">
        <v>0</v>
      </c>
      <c r="M134" s="1408">
        <v>0</v>
      </c>
      <c r="N134" s="1408">
        <v>0</v>
      </c>
      <c r="O134" s="1408">
        <v>6</v>
      </c>
      <c r="P134" s="1421" t="s">
        <v>19794</v>
      </c>
      <c r="Q134" s="1369"/>
      <c r="R134" s="211"/>
      <c r="S134" s="211"/>
      <c r="T134" s="211"/>
      <c r="U134" s="211"/>
      <c r="V134" s="211"/>
      <c r="W134" s="211"/>
      <c r="X134" s="211"/>
      <c r="Y134" s="211"/>
      <c r="Z134" s="211"/>
      <c r="AA134" s="211"/>
      <c r="AB134" s="211"/>
      <c r="AC134" s="211"/>
      <c r="AD134" s="211"/>
      <c r="AE134" s="211"/>
      <c r="AF134" s="211"/>
      <c r="AG134" s="211"/>
      <c r="DE134" s="211"/>
      <c r="DF134" s="211"/>
      <c r="DG134" s="211"/>
      <c r="DH134" s="211"/>
      <c r="DI134" s="211"/>
      <c r="DJ134" s="211"/>
      <c r="DK134" s="211"/>
      <c r="DL134" s="211"/>
      <c r="DM134" s="211"/>
      <c r="DN134" s="211"/>
      <c r="DQ134" s="211"/>
      <c r="DV134" s="211"/>
      <c r="DW134" s="211"/>
      <c r="DX134" s="211"/>
      <c r="DY134" s="211"/>
      <c r="DZ134" s="211"/>
      <c r="EA134" s="211"/>
      <c r="EB134" s="211"/>
      <c r="EC134" s="211"/>
      <c r="ED134" s="211"/>
      <c r="EE134" s="211"/>
      <c r="EF134" s="211"/>
      <c r="EG134" s="211"/>
    </row>
    <row r="135" spans="1:137" ht="33.75" customHeight="1">
      <c r="A135" s="1362">
        <f t="shared" si="7"/>
        <v>1</v>
      </c>
      <c r="B135" s="1405">
        <f t="shared" si="5"/>
        <v>68</v>
      </c>
      <c r="C135" s="1387" t="str">
        <f t="shared" si="6"/>
        <v>INTERC.68</v>
      </c>
      <c r="D135" s="1004" t="s">
        <v>70</v>
      </c>
      <c r="E135" s="1426" t="s">
        <v>14691</v>
      </c>
      <c r="F135" s="1406" t="s">
        <v>19795</v>
      </c>
      <c r="G135" s="1407" t="s">
        <v>14692</v>
      </c>
      <c r="H135" s="1402" t="s">
        <v>71</v>
      </c>
      <c r="I135" s="1408">
        <v>64</v>
      </c>
      <c r="J135" s="1408">
        <v>0</v>
      </c>
      <c r="K135" s="1408">
        <v>0</v>
      </c>
      <c r="L135" s="1408">
        <v>0</v>
      </c>
      <c r="M135" s="1408">
        <v>0</v>
      </c>
      <c r="N135" s="1408">
        <v>0</v>
      </c>
      <c r="O135" s="1408">
        <v>64</v>
      </c>
      <c r="P135" s="1421" t="s">
        <v>19796</v>
      </c>
      <c r="Q135" s="1369"/>
      <c r="R135" s="211"/>
      <c r="S135" s="211"/>
      <c r="T135" s="211"/>
      <c r="U135" s="211"/>
      <c r="V135" s="211"/>
      <c r="W135" s="211"/>
      <c r="X135" s="211"/>
      <c r="Y135" s="211"/>
      <c r="Z135" s="211"/>
      <c r="AA135" s="211"/>
      <c r="AB135" s="211"/>
      <c r="AC135" s="211"/>
      <c r="AD135" s="211"/>
      <c r="AE135" s="211"/>
      <c r="AF135" s="211"/>
      <c r="AG135" s="211"/>
      <c r="DE135" s="211"/>
      <c r="DF135" s="211"/>
      <c r="DG135" s="211"/>
      <c r="DH135" s="211"/>
      <c r="DI135" s="211"/>
      <c r="DJ135" s="211"/>
      <c r="DK135" s="211"/>
      <c r="DL135" s="211"/>
      <c r="DM135" s="211"/>
      <c r="DN135" s="211"/>
      <c r="DQ135" s="211"/>
      <c r="DV135" s="211"/>
      <c r="DW135" s="211"/>
      <c r="DX135" s="211"/>
      <c r="DY135" s="211"/>
      <c r="DZ135" s="211"/>
      <c r="EA135" s="211"/>
      <c r="EB135" s="211"/>
      <c r="EC135" s="211"/>
      <c r="ED135" s="211"/>
      <c r="EE135" s="211"/>
      <c r="EF135" s="211"/>
      <c r="EG135" s="211"/>
    </row>
    <row r="136" spans="1:137" ht="33.75" customHeight="1">
      <c r="A136" s="1362">
        <f t="shared" si="7"/>
        <v>1</v>
      </c>
      <c r="B136" s="1405">
        <f t="shared" si="5"/>
        <v>69</v>
      </c>
      <c r="C136" s="1387" t="str">
        <f t="shared" si="6"/>
        <v>INTERC.69</v>
      </c>
      <c r="D136" s="1004" t="s">
        <v>70</v>
      </c>
      <c r="E136" s="1426" t="s">
        <v>14695</v>
      </c>
      <c r="F136" s="1406" t="s">
        <v>19795</v>
      </c>
      <c r="G136" s="1407" t="s">
        <v>14696</v>
      </c>
      <c r="H136" s="1402" t="s">
        <v>71</v>
      </c>
      <c r="I136" s="1408">
        <v>0</v>
      </c>
      <c r="J136" s="1408">
        <v>207</v>
      </c>
      <c r="K136" s="1408">
        <v>0</v>
      </c>
      <c r="L136" s="1408">
        <v>0</v>
      </c>
      <c r="M136" s="1408">
        <v>0</v>
      </c>
      <c r="N136" s="1408">
        <v>0</v>
      </c>
      <c r="O136" s="1408">
        <v>207</v>
      </c>
      <c r="P136" s="1421" t="s">
        <v>20228</v>
      </c>
      <c r="Q136" s="1369"/>
      <c r="R136" s="211"/>
      <c r="S136" s="211"/>
      <c r="T136" s="211"/>
      <c r="U136" s="211"/>
      <c r="V136" s="211"/>
      <c r="W136" s="211"/>
      <c r="X136" s="211"/>
      <c r="Y136" s="211"/>
      <c r="Z136" s="211"/>
      <c r="AA136" s="211"/>
      <c r="AB136" s="211"/>
      <c r="AC136" s="211"/>
      <c r="AD136" s="211"/>
      <c r="AE136" s="211"/>
      <c r="AF136" s="211"/>
      <c r="AG136" s="211"/>
      <c r="DE136" s="211"/>
      <c r="DF136" s="211"/>
      <c r="DG136" s="211"/>
      <c r="DH136" s="211"/>
      <c r="DI136" s="211"/>
      <c r="DJ136" s="211"/>
      <c r="DK136" s="211"/>
      <c r="DL136" s="211"/>
      <c r="DM136" s="211"/>
      <c r="DN136" s="211"/>
      <c r="DQ136" s="211"/>
      <c r="DV136" s="211"/>
      <c r="DW136" s="211"/>
      <c r="DX136" s="211"/>
      <c r="DY136" s="211"/>
      <c r="DZ136" s="211"/>
      <c r="EA136" s="211"/>
      <c r="EB136" s="211"/>
      <c r="EC136" s="211"/>
      <c r="ED136" s="211"/>
      <c r="EE136" s="211"/>
      <c r="EF136" s="211"/>
      <c r="EG136" s="211"/>
    </row>
    <row r="137" spans="1:137" ht="51">
      <c r="A137" s="1362">
        <f t="shared" si="7"/>
        <v>1</v>
      </c>
      <c r="B137" s="1405">
        <f t="shared" si="5"/>
        <v>70</v>
      </c>
      <c r="C137" s="1387" t="str">
        <f t="shared" si="6"/>
        <v>INTERC.70</v>
      </c>
      <c r="D137" s="1004" t="s">
        <v>70</v>
      </c>
      <c r="E137" s="1426">
        <v>92842</v>
      </c>
      <c r="F137" s="1406" t="s">
        <v>20229</v>
      </c>
      <c r="G137" s="1407" t="s">
        <v>14809</v>
      </c>
      <c r="H137" s="1402" t="s">
        <v>71</v>
      </c>
      <c r="I137" s="1408">
        <v>0</v>
      </c>
      <c r="J137" s="1408">
        <v>263</v>
      </c>
      <c r="K137" s="1408">
        <v>0</v>
      </c>
      <c r="L137" s="1408">
        <v>0</v>
      </c>
      <c r="M137" s="1408">
        <v>0</v>
      </c>
      <c r="N137" s="1408">
        <v>0</v>
      </c>
      <c r="O137" s="1408">
        <v>263</v>
      </c>
      <c r="P137" s="1421" t="s">
        <v>20230</v>
      </c>
      <c r="Q137" s="1369"/>
      <c r="R137" s="211"/>
      <c r="S137" s="211"/>
      <c r="T137" s="211"/>
      <c r="U137" s="211"/>
      <c r="V137" s="211"/>
      <c r="W137" s="211"/>
      <c r="X137" s="211"/>
      <c r="Y137" s="211"/>
      <c r="Z137" s="211"/>
      <c r="AA137" s="211"/>
      <c r="AB137" s="211"/>
      <c r="AC137" s="211"/>
      <c r="AD137" s="211"/>
      <c r="AE137" s="211"/>
      <c r="AF137" s="211"/>
      <c r="AG137" s="211"/>
      <c r="DE137" s="211"/>
      <c r="DF137" s="211"/>
      <c r="DG137" s="211"/>
      <c r="DH137" s="211"/>
      <c r="DI137" s="211"/>
      <c r="DJ137" s="211"/>
      <c r="DK137" s="211"/>
      <c r="DL137" s="211"/>
      <c r="DM137" s="211"/>
      <c r="DN137" s="211"/>
      <c r="DQ137" s="211"/>
      <c r="DV137" s="211"/>
      <c r="DW137" s="211"/>
      <c r="DX137" s="211"/>
      <c r="DY137" s="211"/>
      <c r="DZ137" s="211"/>
      <c r="EA137" s="211"/>
      <c r="EB137" s="211"/>
      <c r="EC137" s="211"/>
      <c r="ED137" s="211"/>
      <c r="EE137" s="211"/>
      <c r="EF137" s="211"/>
      <c r="EG137" s="211"/>
    </row>
    <row r="138" spans="1:137" ht="19.5" customHeight="1">
      <c r="A138" s="1362">
        <f t="shared" si="7"/>
        <v>1</v>
      </c>
      <c r="B138" s="1405">
        <f t="shared" si="5"/>
        <v>71</v>
      </c>
      <c r="C138" s="1387" t="str">
        <f t="shared" si="6"/>
        <v>INTERC.71</v>
      </c>
      <c r="D138" s="1004" t="s">
        <v>70</v>
      </c>
      <c r="E138" s="1427" t="s">
        <v>21005</v>
      </c>
      <c r="F138" s="1406" t="s">
        <v>20231</v>
      </c>
      <c r="G138" s="1407" t="s">
        <v>21006</v>
      </c>
      <c r="H138" s="1402" t="s">
        <v>71</v>
      </c>
      <c r="I138" s="1408">
        <v>0</v>
      </c>
      <c r="J138" s="1408">
        <v>263</v>
      </c>
      <c r="K138" s="1408">
        <v>0</v>
      </c>
      <c r="L138" s="1408">
        <v>0</v>
      </c>
      <c r="M138" s="1408">
        <v>0</v>
      </c>
      <c r="N138" s="1408">
        <v>0</v>
      </c>
      <c r="O138" s="1408">
        <v>263</v>
      </c>
      <c r="P138" s="1421" t="s">
        <v>20230</v>
      </c>
      <c r="Q138" s="1369"/>
      <c r="R138" s="211"/>
      <c r="S138" s="211"/>
      <c r="T138" s="211"/>
      <c r="U138" s="211"/>
      <c r="V138" s="211"/>
      <c r="W138" s="211"/>
      <c r="X138" s="211"/>
      <c r="Y138" s="211"/>
      <c r="Z138" s="211"/>
      <c r="AA138" s="211"/>
      <c r="AB138" s="211"/>
      <c r="AC138" s="211"/>
      <c r="AD138" s="211"/>
      <c r="AE138" s="211"/>
      <c r="AF138" s="211"/>
      <c r="AG138" s="211"/>
      <c r="DE138" s="211"/>
      <c r="DF138" s="211"/>
      <c r="DG138" s="211"/>
      <c r="DH138" s="211"/>
      <c r="DI138" s="211"/>
      <c r="DJ138" s="211"/>
      <c r="DK138" s="211"/>
      <c r="DL138" s="211"/>
      <c r="DM138" s="211"/>
      <c r="DN138" s="211"/>
      <c r="DQ138" s="211"/>
      <c r="DV138" s="211"/>
      <c r="DW138" s="211"/>
      <c r="DX138" s="211"/>
      <c r="DY138" s="211"/>
      <c r="DZ138" s="211"/>
      <c r="EA138" s="211"/>
      <c r="EB138" s="211"/>
      <c r="EC138" s="211"/>
      <c r="ED138" s="211"/>
      <c r="EE138" s="211"/>
      <c r="EF138" s="211"/>
      <c r="EG138" s="211"/>
    </row>
    <row r="139" spans="1:137" ht="17.25" customHeight="1">
      <c r="A139" s="1362">
        <f t="shared" si="7"/>
        <v>0</v>
      </c>
      <c r="B139" s="1405">
        <f t="shared" si="5"/>
        <v>71</v>
      </c>
      <c r="C139" s="1387" t="str">
        <f t="shared" si="6"/>
        <v xml:space="preserve"> </v>
      </c>
      <c r="D139" s="1004"/>
      <c r="E139" s="1110"/>
      <c r="F139" s="1384" t="s">
        <v>14007</v>
      </c>
      <c r="G139" s="1384"/>
      <c r="H139" s="1384"/>
      <c r="I139" s="1384"/>
      <c r="J139" s="1384"/>
      <c r="K139" s="1384"/>
      <c r="L139" s="1384"/>
      <c r="M139" s="1384"/>
      <c r="N139" s="1384"/>
      <c r="O139" s="1384"/>
      <c r="P139" s="1385"/>
      <c r="Q139" s="1428"/>
      <c r="R139" s="211"/>
      <c r="S139" s="211"/>
      <c r="T139" s="211"/>
      <c r="U139" s="211"/>
      <c r="V139" s="211"/>
      <c r="W139" s="211"/>
      <c r="X139" s="211"/>
      <c r="Y139" s="211"/>
      <c r="Z139" s="211"/>
      <c r="AA139" s="211"/>
      <c r="AB139" s="211"/>
      <c r="AC139" s="211"/>
      <c r="AD139" s="211"/>
      <c r="AE139" s="211"/>
      <c r="AF139" s="211"/>
      <c r="AG139" s="211"/>
      <c r="DE139" s="211"/>
      <c r="DF139" s="211"/>
      <c r="DG139" s="211"/>
      <c r="DH139" s="211"/>
      <c r="DI139" s="211"/>
      <c r="DJ139" s="211"/>
      <c r="DK139" s="211"/>
      <c r="DL139" s="211"/>
      <c r="DM139" s="211"/>
      <c r="DN139" s="211"/>
      <c r="DQ139" s="211"/>
      <c r="DV139" s="211"/>
      <c r="DW139" s="211"/>
      <c r="DX139" s="211"/>
      <c r="DY139" s="211"/>
      <c r="DZ139" s="211"/>
      <c r="EA139" s="211"/>
      <c r="EB139" s="211"/>
      <c r="EC139" s="211"/>
      <c r="ED139" s="211"/>
      <c r="EE139" s="211"/>
      <c r="EF139" s="211"/>
      <c r="EG139" s="211"/>
    </row>
    <row r="140" spans="1:137" ht="21" customHeight="1">
      <c r="A140" s="1362">
        <f t="shared" si="7"/>
        <v>0</v>
      </c>
      <c r="B140" s="1405">
        <f t="shared" si="5"/>
        <v>71</v>
      </c>
      <c r="C140" s="1387" t="str">
        <f t="shared" si="6"/>
        <v xml:space="preserve"> </v>
      </c>
      <c r="D140" s="1004"/>
      <c r="E140" s="1110"/>
      <c r="F140" s="1388"/>
      <c r="G140" s="1429" t="s">
        <v>14009</v>
      </c>
      <c r="H140" s="1390" t="s">
        <v>19797</v>
      </c>
      <c r="I140" s="1422">
        <v>30</v>
      </c>
      <c r="J140" s="1422"/>
      <c r="K140" s="1422"/>
      <c r="L140" s="1422"/>
      <c r="M140" s="1422"/>
      <c r="N140" s="1422"/>
      <c r="O140" s="1420">
        <v>30</v>
      </c>
      <c r="P140" s="1394" t="s">
        <v>19798</v>
      </c>
      <c r="Q140" s="1428"/>
      <c r="R140" s="211"/>
      <c r="S140" s="211"/>
      <c r="T140" s="211"/>
      <c r="U140" s="211"/>
      <c r="V140" s="211"/>
      <c r="W140" s="211"/>
      <c r="X140" s="211"/>
      <c r="Y140" s="211"/>
      <c r="Z140" s="211"/>
      <c r="AA140" s="211"/>
      <c r="AB140" s="211"/>
      <c r="AC140" s="211"/>
      <c r="AD140" s="211"/>
      <c r="AE140" s="211"/>
      <c r="AF140" s="211"/>
      <c r="AG140" s="211"/>
      <c r="DE140" s="211"/>
      <c r="DF140" s="211"/>
      <c r="DG140" s="211"/>
      <c r="DH140" s="211"/>
      <c r="DI140" s="211"/>
      <c r="DJ140" s="211"/>
      <c r="DK140" s="211"/>
      <c r="DL140" s="211"/>
      <c r="DM140" s="211"/>
      <c r="DN140" s="211"/>
      <c r="DQ140" s="211"/>
      <c r="DV140" s="211"/>
      <c r="DW140" s="211"/>
      <c r="DX140" s="211"/>
      <c r="DY140" s="211"/>
      <c r="DZ140" s="211"/>
      <c r="EA140" s="211"/>
      <c r="EB140" s="211"/>
      <c r="EC140" s="211"/>
      <c r="ED140" s="211"/>
      <c r="EE140" s="211"/>
      <c r="EF140" s="211"/>
      <c r="EG140" s="211"/>
    </row>
    <row r="141" spans="1:137" ht="21" customHeight="1">
      <c r="A141" s="1362">
        <f t="shared" si="7"/>
        <v>0</v>
      </c>
      <c r="B141" s="1405">
        <f t="shared" si="5"/>
        <v>71</v>
      </c>
      <c r="C141" s="1387" t="str">
        <f t="shared" si="6"/>
        <v xml:space="preserve"> </v>
      </c>
      <c r="D141" s="1004"/>
      <c r="E141" s="1110"/>
      <c r="F141" s="1388"/>
      <c r="G141" s="1429" t="s">
        <v>14011</v>
      </c>
      <c r="H141" s="1390" t="s">
        <v>19797</v>
      </c>
      <c r="I141" s="1422">
        <v>114</v>
      </c>
      <c r="J141" s="1422"/>
      <c r="K141" s="1422"/>
      <c r="L141" s="1422"/>
      <c r="M141" s="1422"/>
      <c r="N141" s="1422"/>
      <c r="O141" s="1420">
        <v>114</v>
      </c>
      <c r="P141" s="1394" t="s">
        <v>19798</v>
      </c>
      <c r="Q141" s="1428"/>
      <c r="R141" s="211"/>
      <c r="S141" s="211"/>
      <c r="T141" s="211"/>
      <c r="U141" s="211"/>
      <c r="V141" s="211"/>
      <c r="W141" s="211"/>
      <c r="X141" s="211"/>
      <c r="Y141" s="211"/>
      <c r="Z141" s="211"/>
      <c r="AA141" s="211"/>
      <c r="AB141" s="211"/>
      <c r="AC141" s="211"/>
      <c r="AD141" s="211"/>
      <c r="AE141" s="211"/>
      <c r="AF141" s="211"/>
      <c r="AG141" s="211"/>
      <c r="DE141" s="211"/>
      <c r="DF141" s="211"/>
      <c r="DG141" s="211"/>
      <c r="DH141" s="211"/>
      <c r="DI141" s="211"/>
      <c r="DJ141" s="211"/>
      <c r="DK141" s="211"/>
      <c r="DL141" s="211"/>
      <c r="DM141" s="211"/>
      <c r="DN141" s="211"/>
      <c r="DQ141" s="211"/>
      <c r="DV141" s="211"/>
      <c r="DW141" s="211"/>
      <c r="DX141" s="211"/>
      <c r="DY141" s="211"/>
      <c r="DZ141" s="211"/>
      <c r="EA141" s="211"/>
      <c r="EB141" s="211"/>
      <c r="EC141" s="211"/>
      <c r="ED141" s="211"/>
      <c r="EE141" s="211"/>
      <c r="EF141" s="211"/>
      <c r="EG141" s="211"/>
    </row>
    <row r="142" spans="1:137" ht="32.25" customHeight="1">
      <c r="A142" s="1362">
        <f t="shared" si="7"/>
        <v>1</v>
      </c>
      <c r="B142" s="1405">
        <f t="shared" si="5"/>
        <v>72</v>
      </c>
      <c r="C142" s="1387" t="str">
        <f t="shared" si="6"/>
        <v>INTERC.72</v>
      </c>
      <c r="D142" s="1004" t="s">
        <v>1</v>
      </c>
      <c r="E142" s="1110">
        <v>1418</v>
      </c>
      <c r="F142" s="1388" t="s">
        <v>19799</v>
      </c>
      <c r="G142" s="1394" t="s">
        <v>19832</v>
      </c>
      <c r="H142" s="1402" t="s">
        <v>255</v>
      </c>
      <c r="I142" s="1419">
        <v>8.3699999999999992</v>
      </c>
      <c r="J142" s="1419">
        <v>0</v>
      </c>
      <c r="K142" s="1419">
        <v>0</v>
      </c>
      <c r="L142" s="1419">
        <v>0</v>
      </c>
      <c r="M142" s="1419">
        <v>0</v>
      </c>
      <c r="N142" s="1419">
        <v>0</v>
      </c>
      <c r="O142" s="1420">
        <v>8.3699999999999992</v>
      </c>
      <c r="P142" s="1394" t="s">
        <v>19800</v>
      </c>
      <c r="Q142" s="1428"/>
      <c r="R142" s="211"/>
      <c r="S142" s="211"/>
      <c r="T142" s="211"/>
      <c r="U142" s="211"/>
      <c r="V142" s="211"/>
      <c r="W142" s="211"/>
      <c r="X142" s="211"/>
      <c r="Y142" s="211"/>
      <c r="Z142" s="211"/>
      <c r="AA142" s="211"/>
      <c r="AB142" s="211"/>
      <c r="AC142" s="211"/>
      <c r="AD142" s="211"/>
      <c r="AE142" s="211"/>
      <c r="AF142" s="211"/>
      <c r="AG142" s="211"/>
      <c r="DE142" s="211"/>
      <c r="DF142" s="211"/>
      <c r="DG142" s="211"/>
      <c r="DH142" s="211"/>
      <c r="DI142" s="211"/>
      <c r="DJ142" s="211"/>
      <c r="DK142" s="211"/>
      <c r="DL142" s="211"/>
      <c r="DM142" s="211"/>
      <c r="DN142" s="211"/>
      <c r="DQ142" s="211"/>
      <c r="DV142" s="211"/>
      <c r="DW142" s="211"/>
      <c r="DX142" s="211"/>
      <c r="DY142" s="211"/>
      <c r="DZ142" s="211"/>
      <c r="EA142" s="211"/>
      <c r="EB142" s="211"/>
      <c r="EC142" s="211"/>
      <c r="ED142" s="211"/>
      <c r="EE142" s="211"/>
      <c r="EF142" s="211"/>
      <c r="EG142" s="211"/>
    </row>
    <row r="143" spans="1:137" ht="42" customHeight="1">
      <c r="A143" s="1362">
        <f t="shared" si="7"/>
        <v>1</v>
      </c>
      <c r="B143" s="1405">
        <f t="shared" si="5"/>
        <v>73</v>
      </c>
      <c r="C143" s="1387" t="str">
        <f t="shared" si="6"/>
        <v>INTERC.73</v>
      </c>
      <c r="D143" s="1004" t="s">
        <v>1</v>
      </c>
      <c r="E143" s="1110">
        <v>1419</v>
      </c>
      <c r="F143" s="1388" t="s">
        <v>19801</v>
      </c>
      <c r="G143" s="1394" t="s">
        <v>19833</v>
      </c>
      <c r="H143" s="1402" t="s">
        <v>255</v>
      </c>
      <c r="I143" s="1419">
        <v>0.27</v>
      </c>
      <c r="J143" s="1419">
        <v>0</v>
      </c>
      <c r="K143" s="1419">
        <v>0</v>
      </c>
      <c r="L143" s="1419">
        <v>0</v>
      </c>
      <c r="M143" s="1419">
        <v>0</v>
      </c>
      <c r="N143" s="1419">
        <v>0</v>
      </c>
      <c r="O143" s="1420">
        <v>0.27</v>
      </c>
      <c r="P143" s="1394" t="s">
        <v>19802</v>
      </c>
      <c r="Q143" s="1428"/>
      <c r="R143" s="211"/>
      <c r="S143" s="211"/>
      <c r="T143" s="211"/>
      <c r="U143" s="211"/>
      <c r="V143" s="211"/>
      <c r="W143" s="211"/>
      <c r="X143" s="211"/>
      <c r="Y143" s="211"/>
      <c r="Z143" s="211"/>
      <c r="AA143" s="211"/>
      <c r="AB143" s="211"/>
      <c r="AC143" s="211"/>
      <c r="AD143" s="211"/>
      <c r="AE143" s="211"/>
      <c r="AF143" s="211"/>
      <c r="AG143" s="211"/>
      <c r="DE143" s="211"/>
      <c r="DF143" s="211"/>
      <c r="DG143" s="211"/>
      <c r="DH143" s="211"/>
      <c r="DI143" s="211"/>
      <c r="DJ143" s="211"/>
      <c r="DK143" s="211"/>
      <c r="DL143" s="211"/>
      <c r="DM143" s="211"/>
      <c r="DN143" s="211"/>
      <c r="DQ143" s="211"/>
      <c r="DV143" s="211"/>
      <c r="DW143" s="211"/>
      <c r="DX143" s="211"/>
      <c r="DY143" s="211"/>
      <c r="DZ143" s="211"/>
      <c r="EA143" s="211"/>
      <c r="EB143" s="211"/>
      <c r="EC143" s="211"/>
      <c r="ED143" s="211"/>
      <c r="EE143" s="211"/>
      <c r="EF143" s="211"/>
      <c r="EG143" s="211"/>
    </row>
    <row r="144" spans="1:137" ht="45" customHeight="1">
      <c r="A144" s="1362">
        <f t="shared" si="7"/>
        <v>1</v>
      </c>
      <c r="B144" s="1405">
        <f t="shared" si="5"/>
        <v>74</v>
      </c>
      <c r="C144" s="1387" t="str">
        <f t="shared" si="6"/>
        <v>INTERC.74</v>
      </c>
      <c r="D144" s="1004" t="s">
        <v>1</v>
      </c>
      <c r="E144" s="1110">
        <v>1430</v>
      </c>
      <c r="F144" s="1388" t="s">
        <v>19803</v>
      </c>
      <c r="G144" s="1407" t="s">
        <v>19834</v>
      </c>
      <c r="H144" s="1402" t="s">
        <v>256</v>
      </c>
      <c r="I144" s="1419">
        <v>114</v>
      </c>
      <c r="J144" s="1419">
        <v>0</v>
      </c>
      <c r="K144" s="1419">
        <v>0</v>
      </c>
      <c r="L144" s="1419">
        <v>0</v>
      </c>
      <c r="M144" s="1419">
        <v>0</v>
      </c>
      <c r="N144" s="1419">
        <v>0</v>
      </c>
      <c r="O144" s="1420">
        <v>114</v>
      </c>
      <c r="P144" s="1389" t="s">
        <v>19804</v>
      </c>
      <c r="Q144" s="1428"/>
      <c r="R144" s="211"/>
      <c r="S144" s="211"/>
      <c r="T144" s="211"/>
      <c r="U144" s="211"/>
      <c r="V144" s="211"/>
      <c r="W144" s="211"/>
      <c r="X144" s="211"/>
      <c r="Y144" s="211"/>
      <c r="Z144" s="211"/>
      <c r="AA144" s="211"/>
      <c r="AB144" s="211"/>
      <c r="AC144" s="211"/>
      <c r="AD144" s="211"/>
      <c r="AE144" s="211"/>
      <c r="AF144" s="211"/>
      <c r="AG144" s="211"/>
      <c r="DE144" s="211"/>
      <c r="DF144" s="211"/>
      <c r="DG144" s="211"/>
      <c r="DH144" s="211"/>
      <c r="DI144" s="211"/>
      <c r="DJ144" s="211"/>
      <c r="DK144" s="211"/>
      <c r="DL144" s="211"/>
      <c r="DM144" s="211"/>
      <c r="DN144" s="211"/>
      <c r="DQ144" s="211"/>
      <c r="DV144" s="211"/>
      <c r="DW144" s="211"/>
      <c r="DX144" s="211"/>
      <c r="DY144" s="211"/>
      <c r="DZ144" s="211"/>
      <c r="EA144" s="211"/>
      <c r="EB144" s="211"/>
      <c r="EC144" s="211"/>
      <c r="ED144" s="211"/>
      <c r="EE144" s="211"/>
      <c r="EF144" s="211"/>
      <c r="EG144" s="211"/>
    </row>
    <row r="145" spans="1:137" ht="41.25" customHeight="1">
      <c r="A145" s="1362">
        <f t="shared" si="7"/>
        <v>1</v>
      </c>
      <c r="B145" s="1405">
        <f t="shared" si="5"/>
        <v>75</v>
      </c>
      <c r="C145" s="1387" t="str">
        <f t="shared" si="6"/>
        <v>INTERC.75</v>
      </c>
      <c r="D145" s="1004" t="s">
        <v>70</v>
      </c>
      <c r="E145" s="1110">
        <v>94990</v>
      </c>
      <c r="F145" s="1388" t="s">
        <v>13991</v>
      </c>
      <c r="G145" s="1407" t="s">
        <v>18684</v>
      </c>
      <c r="H145" s="1402" t="s">
        <v>255</v>
      </c>
      <c r="I145" s="1419">
        <v>1.7999999999999998</v>
      </c>
      <c r="J145" s="1419">
        <v>0</v>
      </c>
      <c r="K145" s="1419">
        <v>0</v>
      </c>
      <c r="L145" s="1419">
        <v>0</v>
      </c>
      <c r="M145" s="1419">
        <v>0</v>
      </c>
      <c r="N145" s="1419">
        <v>0</v>
      </c>
      <c r="O145" s="1420">
        <v>1.7999999999999998</v>
      </c>
      <c r="P145" s="1389" t="s">
        <v>19805</v>
      </c>
      <c r="Q145" s="1428"/>
      <c r="R145" s="211"/>
      <c r="S145" s="211"/>
      <c r="T145" s="211"/>
      <c r="U145" s="211"/>
      <c r="V145" s="211"/>
      <c r="W145" s="211"/>
      <c r="X145" s="211"/>
      <c r="Y145" s="211"/>
      <c r="Z145" s="211"/>
      <c r="AA145" s="211"/>
      <c r="AB145" s="211"/>
      <c r="AC145" s="211"/>
      <c r="AD145" s="211"/>
      <c r="AE145" s="211"/>
      <c r="AF145" s="211"/>
      <c r="AG145" s="211"/>
      <c r="DE145" s="211"/>
      <c r="DF145" s="211"/>
      <c r="DG145" s="211"/>
      <c r="DH145" s="211"/>
      <c r="DI145" s="211"/>
      <c r="DJ145" s="211"/>
      <c r="DK145" s="211"/>
      <c r="DL145" s="211"/>
      <c r="DM145" s="211"/>
      <c r="DN145" s="211"/>
      <c r="DQ145" s="211"/>
      <c r="DV145" s="211"/>
      <c r="DW145" s="211"/>
      <c r="DX145" s="211"/>
      <c r="DY145" s="211"/>
      <c r="DZ145" s="211"/>
      <c r="EA145" s="211"/>
      <c r="EB145" s="211"/>
      <c r="EC145" s="211"/>
      <c r="ED145" s="211"/>
      <c r="EE145" s="211"/>
      <c r="EF145" s="211"/>
      <c r="EG145" s="211"/>
    </row>
    <row r="146" spans="1:137" ht="41.25" customHeight="1">
      <c r="A146" s="1362">
        <f t="shared" si="7"/>
        <v>1</v>
      </c>
      <c r="B146" s="1405">
        <f t="shared" si="5"/>
        <v>76</v>
      </c>
      <c r="C146" s="1387" t="str">
        <f t="shared" si="6"/>
        <v>INTERC.76</v>
      </c>
      <c r="D146" s="1004" t="s">
        <v>1</v>
      </c>
      <c r="E146" s="1110">
        <v>1424</v>
      </c>
      <c r="F146" s="1388" t="s">
        <v>13991</v>
      </c>
      <c r="G146" s="1407" t="s">
        <v>1264</v>
      </c>
      <c r="H146" s="1402" t="s">
        <v>71</v>
      </c>
      <c r="I146" s="1419">
        <v>10.040000000000001</v>
      </c>
      <c r="J146" s="1419">
        <v>4.7</v>
      </c>
      <c r="K146" s="1419">
        <v>0</v>
      </c>
      <c r="L146" s="1419">
        <v>0</v>
      </c>
      <c r="M146" s="1419">
        <v>0</v>
      </c>
      <c r="N146" s="1419">
        <v>0</v>
      </c>
      <c r="O146" s="1420">
        <v>14.740000000000002</v>
      </c>
      <c r="P146" s="1389" t="s">
        <v>19806</v>
      </c>
      <c r="Q146" s="1428"/>
      <c r="R146" s="211"/>
      <c r="S146" s="211"/>
      <c r="T146" s="211"/>
      <c r="U146" s="211"/>
      <c r="V146" s="211"/>
      <c r="W146" s="211"/>
      <c r="X146" s="211"/>
      <c r="Y146" s="211"/>
      <c r="Z146" s="211"/>
      <c r="AA146" s="211"/>
      <c r="AB146" s="211"/>
      <c r="AC146" s="211"/>
      <c r="AD146" s="211"/>
      <c r="AE146" s="211"/>
      <c r="AF146" s="211"/>
      <c r="AG146" s="211"/>
      <c r="DE146" s="211"/>
      <c r="DF146" s="211"/>
      <c r="DG146" s="211"/>
      <c r="DH146" s="211"/>
      <c r="DI146" s="211"/>
      <c r="DJ146" s="211"/>
      <c r="DK146" s="211"/>
      <c r="DL146" s="211"/>
      <c r="DM146" s="211"/>
      <c r="DN146" s="211"/>
      <c r="DQ146" s="211"/>
      <c r="DV146" s="211"/>
      <c r="DW146" s="211"/>
      <c r="DX146" s="211"/>
      <c r="DY146" s="211"/>
      <c r="DZ146" s="211"/>
      <c r="EA146" s="211"/>
      <c r="EB146" s="211"/>
      <c r="EC146" s="211"/>
      <c r="ED146" s="211"/>
      <c r="EE146" s="211"/>
      <c r="EF146" s="211"/>
      <c r="EG146" s="211"/>
    </row>
    <row r="147" spans="1:137" ht="51">
      <c r="A147" s="1362">
        <f t="shared" si="7"/>
        <v>1</v>
      </c>
      <c r="B147" s="1405">
        <f t="shared" si="5"/>
        <v>77</v>
      </c>
      <c r="C147" s="1387" t="str">
        <f t="shared" si="6"/>
        <v>INTERC.77</v>
      </c>
      <c r="D147" s="1004" t="s">
        <v>70</v>
      </c>
      <c r="E147" s="1110">
        <v>94273</v>
      </c>
      <c r="F147" s="1388" t="s">
        <v>13992</v>
      </c>
      <c r="G147" s="1407" t="s">
        <v>15983</v>
      </c>
      <c r="H147" s="1402" t="s">
        <v>71</v>
      </c>
      <c r="I147" s="1419">
        <v>10.040000000000001</v>
      </c>
      <c r="J147" s="1419">
        <v>4.7</v>
      </c>
      <c r="K147" s="1419">
        <v>0</v>
      </c>
      <c r="L147" s="1419">
        <v>0</v>
      </c>
      <c r="M147" s="1419">
        <v>0</v>
      </c>
      <c r="N147" s="1419">
        <v>0</v>
      </c>
      <c r="O147" s="1420">
        <v>14.740000000000002</v>
      </c>
      <c r="P147" s="1389" t="s">
        <v>19806</v>
      </c>
      <c r="Q147" s="1428"/>
      <c r="R147" s="211"/>
      <c r="S147" s="211"/>
      <c r="T147" s="211"/>
      <c r="U147" s="211"/>
      <c r="V147" s="211"/>
      <c r="W147" s="211"/>
      <c r="X147" s="211"/>
      <c r="Y147" s="211"/>
      <c r="Z147" s="211"/>
      <c r="AA147" s="211"/>
      <c r="AB147" s="211"/>
      <c r="AC147" s="211"/>
      <c r="AD147" s="211"/>
      <c r="AE147" s="211"/>
      <c r="AF147" s="211"/>
      <c r="AG147" s="211"/>
      <c r="DE147" s="211"/>
      <c r="DF147" s="211"/>
      <c r="DG147" s="211"/>
      <c r="DH147" s="211"/>
      <c r="DI147" s="211"/>
      <c r="DJ147" s="211"/>
      <c r="DK147" s="211"/>
      <c r="DL147" s="211"/>
      <c r="DM147" s="211"/>
      <c r="DN147" s="211"/>
      <c r="DQ147" s="211"/>
      <c r="DV147" s="211"/>
      <c r="DW147" s="211"/>
      <c r="DX147" s="211"/>
      <c r="DY147" s="211"/>
      <c r="DZ147" s="211"/>
      <c r="EA147" s="211"/>
      <c r="EB147" s="211"/>
      <c r="EC147" s="211"/>
      <c r="ED147" s="211"/>
      <c r="EE147" s="211"/>
      <c r="EF147" s="211"/>
      <c r="EG147" s="211"/>
    </row>
    <row r="148" spans="1:137" ht="18" customHeight="1">
      <c r="A148" s="1362">
        <f t="shared" si="7"/>
        <v>0</v>
      </c>
      <c r="B148" s="1405">
        <f t="shared" si="5"/>
        <v>77</v>
      </c>
      <c r="C148" s="1387" t="str">
        <f t="shared" si="6"/>
        <v xml:space="preserve"> </v>
      </c>
      <c r="D148" s="1004"/>
      <c r="E148" s="1110"/>
      <c r="F148" s="1430" t="s">
        <v>14013</v>
      </c>
      <c r="G148" s="1430"/>
      <c r="H148" s="1430"/>
      <c r="I148" s="1430"/>
      <c r="J148" s="1430"/>
      <c r="K148" s="1430"/>
      <c r="L148" s="1430"/>
      <c r="M148" s="1430"/>
      <c r="N148" s="1430"/>
      <c r="O148" s="1430"/>
      <c r="P148" s="1431"/>
      <c r="Q148" s="1428"/>
      <c r="R148" s="211"/>
      <c r="S148" s="211"/>
      <c r="T148" s="211"/>
      <c r="U148" s="211"/>
      <c r="V148" s="211"/>
      <c r="W148" s="211"/>
      <c r="X148" s="211"/>
      <c r="Y148" s="211"/>
      <c r="Z148" s="211"/>
      <c r="AA148" s="211"/>
      <c r="AB148" s="211"/>
      <c r="AC148" s="211"/>
      <c r="AD148" s="211"/>
      <c r="AE148" s="211"/>
      <c r="AF148" s="211"/>
      <c r="AG148" s="211"/>
      <c r="DE148" s="211"/>
      <c r="DF148" s="211"/>
      <c r="DG148" s="211"/>
      <c r="DH148" s="211"/>
      <c r="DI148" s="211"/>
      <c r="DJ148" s="211"/>
      <c r="DK148" s="211"/>
      <c r="DL148" s="211"/>
      <c r="DM148" s="211"/>
      <c r="DN148" s="211"/>
      <c r="DQ148" s="211"/>
      <c r="DV148" s="211"/>
      <c r="DW148" s="211"/>
      <c r="DX148" s="211"/>
      <c r="DY148" s="211"/>
      <c r="DZ148" s="211"/>
      <c r="EA148" s="211"/>
      <c r="EB148" s="211"/>
      <c r="EC148" s="211"/>
      <c r="ED148" s="211"/>
      <c r="EE148" s="211"/>
      <c r="EF148" s="211"/>
      <c r="EG148" s="211"/>
    </row>
    <row r="149" spans="1:137" ht="27.75" customHeight="1">
      <c r="A149" s="1362">
        <f t="shared" si="7"/>
        <v>1</v>
      </c>
      <c r="B149" s="1405">
        <f t="shared" si="5"/>
        <v>78</v>
      </c>
      <c r="C149" s="1387" t="str">
        <f t="shared" si="6"/>
        <v>INTERC.78</v>
      </c>
      <c r="D149" s="1004" t="s">
        <v>1</v>
      </c>
      <c r="E149" s="1110">
        <v>232</v>
      </c>
      <c r="F149" s="1406" t="s">
        <v>13993</v>
      </c>
      <c r="G149" s="1407" t="s">
        <v>19828</v>
      </c>
      <c r="H149" s="1402" t="s">
        <v>255</v>
      </c>
      <c r="I149" s="1419">
        <v>17.099999999999998</v>
      </c>
      <c r="J149" s="1419">
        <v>0</v>
      </c>
      <c r="K149" s="1419">
        <v>0</v>
      </c>
      <c r="L149" s="1419">
        <v>0</v>
      </c>
      <c r="M149" s="1419">
        <v>0</v>
      </c>
      <c r="N149" s="1419">
        <v>0</v>
      </c>
      <c r="O149" s="1420">
        <v>17.099999999999998</v>
      </c>
      <c r="P149" s="1401" t="s">
        <v>19807</v>
      </c>
      <c r="Q149" s="1428"/>
      <c r="R149" s="211"/>
      <c r="S149" s="211"/>
      <c r="T149" s="211"/>
      <c r="U149" s="211"/>
      <c r="V149" s="211"/>
      <c r="W149" s="211"/>
      <c r="X149" s="211"/>
      <c r="Y149" s="211"/>
      <c r="Z149" s="211"/>
      <c r="AA149" s="211"/>
      <c r="AB149" s="211"/>
      <c r="AC149" s="211"/>
      <c r="AD149" s="211"/>
      <c r="AE149" s="211"/>
      <c r="AF149" s="211"/>
      <c r="AG149" s="211"/>
      <c r="DE149" s="211"/>
      <c r="DF149" s="211"/>
      <c r="DG149" s="211"/>
      <c r="DH149" s="211"/>
      <c r="DI149" s="211"/>
      <c r="DJ149" s="211"/>
      <c r="DK149" s="211"/>
      <c r="DL149" s="211"/>
      <c r="DM149" s="211"/>
      <c r="DN149" s="211"/>
      <c r="DQ149" s="211"/>
      <c r="DV149" s="211"/>
      <c r="DW149" s="211"/>
      <c r="DX149" s="211"/>
      <c r="DY149" s="211"/>
      <c r="DZ149" s="211"/>
      <c r="EA149" s="211"/>
      <c r="EB149" s="211"/>
      <c r="EC149" s="211"/>
      <c r="ED149" s="211"/>
      <c r="EE149" s="211"/>
      <c r="EF149" s="211"/>
      <c r="EG149" s="211"/>
    </row>
    <row r="150" spans="1:137" ht="33.75" customHeight="1">
      <c r="A150" s="1362">
        <f t="shared" si="7"/>
        <v>1</v>
      </c>
      <c r="B150" s="1405">
        <f t="shared" si="5"/>
        <v>79</v>
      </c>
      <c r="C150" s="1387" t="str">
        <f t="shared" si="6"/>
        <v>INTERC.79</v>
      </c>
      <c r="D150" s="1004" t="s">
        <v>1</v>
      </c>
      <c r="E150" s="1110">
        <v>233</v>
      </c>
      <c r="F150" s="1406" t="s">
        <v>13994</v>
      </c>
      <c r="G150" s="1407" t="s">
        <v>19829</v>
      </c>
      <c r="H150" s="1402" t="s">
        <v>255</v>
      </c>
      <c r="I150" s="1419">
        <v>17.099999999999998</v>
      </c>
      <c r="J150" s="1419">
        <v>0</v>
      </c>
      <c r="K150" s="1419">
        <v>0</v>
      </c>
      <c r="L150" s="1419">
        <v>0</v>
      </c>
      <c r="M150" s="1419">
        <v>0</v>
      </c>
      <c r="N150" s="1419">
        <v>0</v>
      </c>
      <c r="O150" s="1420">
        <v>17.099999999999998</v>
      </c>
      <c r="P150" s="1401" t="s">
        <v>19808</v>
      </c>
      <c r="Q150" s="1428"/>
      <c r="R150" s="211"/>
      <c r="S150" s="211"/>
      <c r="T150" s="211"/>
      <c r="U150" s="211"/>
      <c r="V150" s="211"/>
      <c r="W150" s="211"/>
      <c r="X150" s="211"/>
      <c r="Y150" s="211"/>
      <c r="Z150" s="211"/>
      <c r="AA150" s="211"/>
      <c r="AB150" s="211"/>
      <c r="AC150" s="211"/>
      <c r="AD150" s="211"/>
      <c r="AE150" s="211"/>
      <c r="AF150" s="211"/>
      <c r="AG150" s="211"/>
      <c r="DE150" s="211"/>
      <c r="DF150" s="211"/>
      <c r="DG150" s="211"/>
      <c r="DH150" s="211"/>
      <c r="DI150" s="211"/>
      <c r="DJ150" s="211"/>
      <c r="DK150" s="211"/>
      <c r="DL150" s="211"/>
      <c r="DM150" s="211"/>
      <c r="DN150" s="211"/>
      <c r="DQ150" s="211"/>
      <c r="DV150" s="211"/>
      <c r="DW150" s="211"/>
      <c r="DX150" s="211"/>
      <c r="DY150" s="211"/>
      <c r="DZ150" s="211"/>
      <c r="EA150" s="211"/>
      <c r="EB150" s="211"/>
      <c r="EC150" s="211"/>
      <c r="ED150" s="211"/>
      <c r="EE150" s="211"/>
      <c r="EF150" s="211"/>
      <c r="EG150" s="211"/>
    </row>
    <row r="151" spans="1:137" ht="30.75" customHeight="1">
      <c r="A151" s="1362">
        <f t="shared" si="7"/>
        <v>1</v>
      </c>
      <c r="B151" s="1405">
        <f t="shared" si="5"/>
        <v>80</v>
      </c>
      <c r="C151" s="1387" t="str">
        <f t="shared" si="6"/>
        <v>INTERC.80</v>
      </c>
      <c r="D151" s="1004" t="s">
        <v>1</v>
      </c>
      <c r="E151" s="1110">
        <v>246</v>
      </c>
      <c r="F151" s="1406" t="s">
        <v>13995</v>
      </c>
      <c r="G151" s="1407" t="s">
        <v>19830</v>
      </c>
      <c r="H151" s="1402" t="s">
        <v>9853</v>
      </c>
      <c r="I151" s="1419">
        <v>63.269999999999996</v>
      </c>
      <c r="J151" s="1419">
        <v>0</v>
      </c>
      <c r="K151" s="1419">
        <v>0</v>
      </c>
      <c r="L151" s="1419">
        <v>0</v>
      </c>
      <c r="M151" s="1419">
        <v>0</v>
      </c>
      <c r="N151" s="1419">
        <v>0</v>
      </c>
      <c r="O151" s="1420">
        <v>63.269999999999996</v>
      </c>
      <c r="P151" s="1401" t="s">
        <v>19809</v>
      </c>
      <c r="Q151" s="1428"/>
      <c r="R151" s="211"/>
      <c r="S151" s="211"/>
      <c r="T151" s="211"/>
      <c r="U151" s="211"/>
      <c r="V151" s="211"/>
      <c r="W151" s="211"/>
      <c r="X151" s="211"/>
      <c r="Y151" s="211"/>
      <c r="Z151" s="211"/>
      <c r="AA151" s="211"/>
      <c r="AB151" s="211"/>
      <c r="AC151" s="211"/>
      <c r="AD151" s="211"/>
      <c r="AE151" s="211"/>
      <c r="AF151" s="211"/>
      <c r="AG151" s="211"/>
      <c r="DE151" s="211"/>
      <c r="DF151" s="211"/>
      <c r="DG151" s="211"/>
      <c r="DH151" s="211"/>
      <c r="DI151" s="211"/>
      <c r="DJ151" s="211"/>
      <c r="DK151" s="211"/>
      <c r="DL151" s="211"/>
      <c r="DM151" s="211"/>
      <c r="DN151" s="211"/>
      <c r="DQ151" s="211"/>
      <c r="DV151" s="211"/>
      <c r="DW151" s="211"/>
      <c r="DX151" s="211"/>
      <c r="DY151" s="211"/>
      <c r="DZ151" s="211"/>
      <c r="EA151" s="211"/>
      <c r="EB151" s="211"/>
      <c r="EC151" s="211"/>
      <c r="ED151" s="211"/>
      <c r="EE151" s="211"/>
      <c r="EF151" s="211"/>
      <c r="EG151" s="211"/>
    </row>
    <row r="152" spans="1:137" ht="15.75" customHeight="1">
      <c r="A152" s="1362">
        <f t="shared" si="7"/>
        <v>0</v>
      </c>
      <c r="B152" s="1405">
        <f t="shared" si="5"/>
        <v>80</v>
      </c>
      <c r="C152" s="1387" t="str">
        <f t="shared" si="6"/>
        <v xml:space="preserve"> </v>
      </c>
      <c r="D152" s="1004"/>
      <c r="E152" s="1110"/>
      <c r="F152" s="1430" t="s">
        <v>14014</v>
      </c>
      <c r="G152" s="1430"/>
      <c r="H152" s="1430"/>
      <c r="I152" s="1432"/>
      <c r="J152" s="1432"/>
      <c r="K152" s="1432"/>
      <c r="L152" s="1432"/>
      <c r="M152" s="1432"/>
      <c r="N152" s="1432"/>
      <c r="O152" s="1432"/>
      <c r="P152" s="1431"/>
      <c r="Q152" s="1428"/>
      <c r="R152" s="211"/>
      <c r="S152" s="211"/>
      <c r="T152" s="211"/>
      <c r="U152" s="211"/>
      <c r="V152" s="211"/>
      <c r="W152" s="211"/>
      <c r="X152" s="211"/>
      <c r="Y152" s="211"/>
      <c r="Z152" s="211"/>
      <c r="AA152" s="211"/>
      <c r="AB152" s="211"/>
      <c r="AC152" s="211"/>
      <c r="AD152" s="211"/>
      <c r="AE152" s="211"/>
      <c r="AF152" s="211"/>
      <c r="AG152" s="211"/>
      <c r="DE152" s="211"/>
      <c r="DF152" s="211"/>
      <c r="DG152" s="211"/>
      <c r="DH152" s="211"/>
      <c r="DI152" s="211"/>
      <c r="DJ152" s="211"/>
      <c r="DK152" s="211"/>
      <c r="DL152" s="211"/>
      <c r="DM152" s="211"/>
      <c r="DN152" s="211"/>
      <c r="DQ152" s="211"/>
      <c r="DV152" s="211"/>
      <c r="DW152" s="211"/>
      <c r="DX152" s="211"/>
      <c r="DY152" s="211"/>
      <c r="DZ152" s="211"/>
      <c r="EA152" s="211"/>
      <c r="EB152" s="211"/>
      <c r="EC152" s="211"/>
      <c r="ED152" s="211"/>
      <c r="EE152" s="211"/>
      <c r="EF152" s="211"/>
      <c r="EG152" s="211"/>
    </row>
    <row r="153" spans="1:137" ht="38.25">
      <c r="A153" s="1362">
        <f t="shared" si="7"/>
        <v>1</v>
      </c>
      <c r="B153" s="1405">
        <f t="shared" si="5"/>
        <v>81</v>
      </c>
      <c r="C153" s="1387" t="str">
        <f t="shared" si="6"/>
        <v>INTERC.81</v>
      </c>
      <c r="D153" s="1004" t="s">
        <v>70</v>
      </c>
      <c r="E153" s="1110" t="s">
        <v>18276</v>
      </c>
      <c r="F153" s="1406" t="s">
        <v>14008</v>
      </c>
      <c r="G153" s="1407" t="s">
        <v>18277</v>
      </c>
      <c r="H153" s="1402" t="s">
        <v>255</v>
      </c>
      <c r="I153" s="1419">
        <v>6.84</v>
      </c>
      <c r="J153" s="1419">
        <v>0</v>
      </c>
      <c r="K153" s="1419">
        <v>0</v>
      </c>
      <c r="L153" s="1419">
        <v>0</v>
      </c>
      <c r="M153" s="1419">
        <v>0</v>
      </c>
      <c r="N153" s="1419">
        <v>0</v>
      </c>
      <c r="O153" s="1420">
        <v>6.84</v>
      </c>
      <c r="P153" s="1407" t="s">
        <v>19810</v>
      </c>
      <c r="Q153" s="1428"/>
      <c r="R153" s="211"/>
      <c r="S153" s="211"/>
      <c r="T153" s="211"/>
      <c r="U153" s="211"/>
      <c r="V153" s="211"/>
      <c r="W153" s="211"/>
      <c r="X153" s="211"/>
      <c r="Y153" s="211"/>
      <c r="Z153" s="211"/>
      <c r="AA153" s="211"/>
      <c r="AB153" s="211"/>
      <c r="AC153" s="211"/>
      <c r="AD153" s="211"/>
      <c r="AE153" s="211"/>
      <c r="AF153" s="211"/>
      <c r="AG153" s="211"/>
      <c r="DE153" s="211"/>
      <c r="DF153" s="211"/>
      <c r="DG153" s="211"/>
      <c r="DH153" s="211"/>
      <c r="DI153" s="211"/>
      <c r="DJ153" s="211"/>
      <c r="DK153" s="211"/>
      <c r="DL153" s="211"/>
      <c r="DM153" s="211"/>
      <c r="DN153" s="211"/>
      <c r="DQ153" s="211"/>
      <c r="DV153" s="211"/>
      <c r="DW153" s="211"/>
      <c r="DX153" s="211"/>
      <c r="DY153" s="211"/>
      <c r="DZ153" s="211"/>
      <c r="EA153" s="211"/>
      <c r="EB153" s="211"/>
      <c r="EC153" s="211"/>
      <c r="ED153" s="211"/>
      <c r="EE153" s="211"/>
      <c r="EF153" s="211"/>
      <c r="EG153" s="211"/>
    </row>
    <row r="154" spans="1:137" ht="30.75" customHeight="1">
      <c r="A154" s="1362">
        <f t="shared" si="7"/>
        <v>1</v>
      </c>
      <c r="B154" s="1405">
        <f t="shared" si="5"/>
        <v>82</v>
      </c>
      <c r="C154" s="1387" t="str">
        <f t="shared" si="6"/>
        <v>INTERC.82</v>
      </c>
      <c r="D154" s="1004" t="s">
        <v>70</v>
      </c>
      <c r="E154" s="1110">
        <v>93590</v>
      </c>
      <c r="F154" s="1406" t="s">
        <v>14010</v>
      </c>
      <c r="G154" s="1407" t="s">
        <v>9866</v>
      </c>
      <c r="H154" s="1402" t="s">
        <v>9853</v>
      </c>
      <c r="I154" s="1419">
        <v>25.308</v>
      </c>
      <c r="J154" s="1419">
        <v>0</v>
      </c>
      <c r="K154" s="1419">
        <v>0</v>
      </c>
      <c r="L154" s="1419">
        <v>0</v>
      </c>
      <c r="M154" s="1419">
        <v>0</v>
      </c>
      <c r="N154" s="1419">
        <v>0</v>
      </c>
      <c r="O154" s="1420">
        <v>25.308</v>
      </c>
      <c r="P154" s="1407" t="s">
        <v>19811</v>
      </c>
      <c r="Q154" s="1428"/>
      <c r="R154" s="211"/>
      <c r="S154" s="211"/>
      <c r="T154" s="211"/>
      <c r="U154" s="211"/>
      <c r="V154" s="211"/>
      <c r="W154" s="211"/>
      <c r="X154" s="211"/>
      <c r="Y154" s="211"/>
      <c r="Z154" s="211"/>
      <c r="AA154" s="211"/>
      <c r="AB154" s="211"/>
      <c r="AC154" s="211"/>
      <c r="AD154" s="211"/>
      <c r="AE154" s="211"/>
      <c r="AF154" s="211"/>
      <c r="AG154" s="211"/>
      <c r="DE154" s="211"/>
      <c r="DF154" s="211"/>
      <c r="DG154" s="211"/>
      <c r="DH154" s="211"/>
      <c r="DI154" s="211"/>
      <c r="DJ154" s="211"/>
      <c r="DK154" s="211"/>
      <c r="DL154" s="211"/>
      <c r="DM154" s="211"/>
      <c r="DN154" s="211"/>
      <c r="DQ154" s="211"/>
      <c r="DV154" s="211"/>
      <c r="DW154" s="211"/>
      <c r="DX154" s="211"/>
      <c r="DY154" s="211"/>
      <c r="DZ154" s="211"/>
      <c r="EA154" s="211"/>
      <c r="EB154" s="211"/>
      <c r="EC154" s="211"/>
      <c r="ED154" s="211"/>
      <c r="EE154" s="211"/>
      <c r="EF154" s="211"/>
      <c r="EG154" s="211"/>
    </row>
    <row r="155" spans="1:137" ht="25.5">
      <c r="A155" s="1362">
        <f t="shared" si="7"/>
        <v>1</v>
      </c>
      <c r="B155" s="1405">
        <f t="shared" si="5"/>
        <v>83</v>
      </c>
      <c r="C155" s="1387" t="str">
        <f t="shared" si="6"/>
        <v>INTERC.83</v>
      </c>
      <c r="D155" s="1004" t="s">
        <v>70</v>
      </c>
      <c r="E155" s="1110">
        <v>83344</v>
      </c>
      <c r="F155" s="1406" t="s">
        <v>14012</v>
      </c>
      <c r="G155" s="1407" t="s">
        <v>18317</v>
      </c>
      <c r="H155" s="1402" t="s">
        <v>255</v>
      </c>
      <c r="I155" s="1419">
        <v>6.84</v>
      </c>
      <c r="J155" s="1419">
        <v>0</v>
      </c>
      <c r="K155" s="1419">
        <v>0</v>
      </c>
      <c r="L155" s="1419">
        <v>0</v>
      </c>
      <c r="M155" s="1419">
        <v>0</v>
      </c>
      <c r="N155" s="1419">
        <v>0</v>
      </c>
      <c r="O155" s="1420">
        <v>6.84</v>
      </c>
      <c r="P155" s="1407" t="s">
        <v>19812</v>
      </c>
      <c r="Q155" s="1428"/>
      <c r="R155" s="211"/>
      <c r="S155" s="211"/>
      <c r="T155" s="211"/>
      <c r="U155" s="211"/>
      <c r="V155" s="211"/>
      <c r="W155" s="211"/>
      <c r="X155" s="211"/>
      <c r="Y155" s="211"/>
      <c r="Z155" s="211"/>
      <c r="AA155" s="211"/>
      <c r="AB155" s="211"/>
      <c r="AC155" s="211"/>
      <c r="AD155" s="211"/>
      <c r="AE155" s="211"/>
      <c r="AF155" s="211"/>
      <c r="AG155" s="211"/>
      <c r="DE155" s="211"/>
      <c r="DF155" s="211"/>
      <c r="DG155" s="211"/>
      <c r="DH155" s="211"/>
      <c r="DI155" s="211"/>
      <c r="DJ155" s="211"/>
      <c r="DK155" s="211"/>
      <c r="DL155" s="211"/>
      <c r="DM155" s="211"/>
      <c r="DN155" s="211"/>
      <c r="DQ155" s="211"/>
      <c r="DV155" s="211"/>
      <c r="DW155" s="211"/>
      <c r="DX155" s="211"/>
      <c r="DY155" s="211"/>
      <c r="DZ155" s="211"/>
      <c r="EA155" s="211"/>
      <c r="EB155" s="211"/>
      <c r="EC155" s="211"/>
      <c r="ED155" s="211"/>
      <c r="EE155" s="211"/>
      <c r="EF155" s="211"/>
      <c r="EG155" s="211"/>
    </row>
    <row r="156" spans="1:137" ht="12.75">
      <c r="A156" s="1362">
        <f t="shared" si="7"/>
        <v>0</v>
      </c>
      <c r="B156" s="1405">
        <f t="shared" si="5"/>
        <v>83</v>
      </c>
      <c r="C156" s="1387" t="str">
        <f t="shared" si="6"/>
        <v xml:space="preserve"> </v>
      </c>
      <c r="D156" s="1004"/>
      <c r="E156" s="1004"/>
      <c r="F156" s="1433" t="s">
        <v>14015</v>
      </c>
      <c r="G156" s="1434"/>
      <c r="H156" s="1434"/>
      <c r="I156" s="1434"/>
      <c r="J156" s="1434"/>
      <c r="K156" s="1434"/>
      <c r="L156" s="1434"/>
      <c r="M156" s="1434"/>
      <c r="N156" s="1434"/>
      <c r="O156" s="1434"/>
      <c r="P156" s="1435"/>
      <c r="Q156" s="1428"/>
      <c r="R156" s="211"/>
      <c r="S156" s="211"/>
      <c r="T156" s="211"/>
      <c r="U156" s="211"/>
      <c r="V156" s="211"/>
      <c r="W156" s="211"/>
      <c r="X156" s="211"/>
      <c r="Y156" s="211"/>
      <c r="Z156" s="211"/>
      <c r="AA156" s="211"/>
      <c r="AB156" s="211"/>
      <c r="AC156" s="211"/>
      <c r="AD156" s="211"/>
      <c r="AE156" s="211"/>
      <c r="AF156" s="211"/>
      <c r="AG156" s="211"/>
      <c r="DE156" s="211"/>
      <c r="DF156" s="211"/>
      <c r="DG156" s="211"/>
      <c r="DH156" s="211"/>
      <c r="DI156" s="211"/>
      <c r="DJ156" s="211"/>
      <c r="DK156" s="211"/>
      <c r="DL156" s="211"/>
      <c r="DM156" s="211"/>
      <c r="DN156" s="211"/>
      <c r="DQ156" s="211"/>
      <c r="DV156" s="211"/>
      <c r="DW156" s="211"/>
      <c r="DX156" s="211"/>
      <c r="DY156" s="211"/>
      <c r="DZ156" s="211"/>
      <c r="EA156" s="211"/>
      <c r="EB156" s="211"/>
      <c r="EC156" s="211"/>
      <c r="ED156" s="211"/>
      <c r="EE156" s="211"/>
      <c r="EF156" s="211"/>
      <c r="EG156" s="211"/>
    </row>
    <row r="157" spans="1:137" ht="38.25">
      <c r="A157" s="1362">
        <f t="shared" si="7"/>
        <v>1</v>
      </c>
      <c r="B157" s="1405">
        <f t="shared" si="5"/>
        <v>84</v>
      </c>
      <c r="C157" s="1387" t="str">
        <f t="shared" si="6"/>
        <v>INTERC.84</v>
      </c>
      <c r="D157" s="1004" t="s">
        <v>1</v>
      </c>
      <c r="E157" s="1110">
        <v>1737</v>
      </c>
      <c r="F157" s="1406" t="s">
        <v>14016</v>
      </c>
      <c r="G157" s="1407" t="s">
        <v>19835</v>
      </c>
      <c r="H157" s="1402" t="s">
        <v>65</v>
      </c>
      <c r="I157" s="1436">
        <v>3</v>
      </c>
      <c r="J157" s="1436">
        <v>0</v>
      </c>
      <c r="K157" s="1436"/>
      <c r="L157" s="1436"/>
      <c r="M157" s="1436"/>
      <c r="N157" s="1436"/>
      <c r="O157" s="1404">
        <v>3</v>
      </c>
      <c r="P157" s="1680" t="s">
        <v>20232</v>
      </c>
      <c r="Q157" s="1428"/>
      <c r="R157" s="211"/>
      <c r="S157" s="211"/>
      <c r="T157" s="211"/>
      <c r="U157" s="211"/>
      <c r="V157" s="211"/>
      <c r="W157" s="211"/>
      <c r="X157" s="211"/>
      <c r="Y157" s="211"/>
      <c r="Z157" s="211"/>
      <c r="AA157" s="211"/>
      <c r="AB157" s="211"/>
      <c r="AC157" s="211"/>
      <c r="AD157" s="211"/>
      <c r="AE157" s="211"/>
      <c r="AF157" s="211"/>
      <c r="AG157" s="211"/>
      <c r="DE157" s="211"/>
      <c r="DF157" s="211"/>
      <c r="DG157" s="211"/>
      <c r="DH157" s="211"/>
      <c r="DI157" s="211"/>
      <c r="DJ157" s="211"/>
      <c r="DK157" s="211"/>
      <c r="DL157" s="211"/>
      <c r="DM157" s="211"/>
      <c r="DN157" s="211"/>
      <c r="DQ157" s="211"/>
      <c r="DV157" s="211"/>
      <c r="DW157" s="211"/>
      <c r="DX157" s="211"/>
      <c r="DY157" s="211"/>
      <c r="DZ157" s="211"/>
      <c r="EA157" s="211"/>
      <c r="EB157" s="211"/>
      <c r="EC157" s="211"/>
      <c r="ED157" s="211"/>
      <c r="EE157" s="211"/>
      <c r="EF157" s="211"/>
      <c r="EG157" s="211"/>
    </row>
    <row r="158" spans="1:137" ht="38.25">
      <c r="A158" s="1362">
        <f t="shared" si="7"/>
        <v>1</v>
      </c>
      <c r="B158" s="1405">
        <f t="shared" si="5"/>
        <v>85</v>
      </c>
      <c r="C158" s="1387" t="str">
        <f t="shared" si="6"/>
        <v>INTERC.85</v>
      </c>
      <c r="D158" s="1004" t="s">
        <v>1</v>
      </c>
      <c r="E158" s="1110">
        <v>1612</v>
      </c>
      <c r="F158" s="1406" t="s">
        <v>14018</v>
      </c>
      <c r="G158" s="1407" t="s">
        <v>19836</v>
      </c>
      <c r="H158" s="1402" t="s">
        <v>65</v>
      </c>
      <c r="I158" s="1436">
        <v>1</v>
      </c>
      <c r="J158" s="1436">
        <v>3</v>
      </c>
      <c r="K158" s="1436"/>
      <c r="L158" s="1436"/>
      <c r="M158" s="1436"/>
      <c r="N158" s="1436"/>
      <c r="O158" s="1404">
        <v>4</v>
      </c>
      <c r="P158" s="1680"/>
      <c r="Q158" s="1428"/>
      <c r="R158" s="211"/>
      <c r="S158" s="211"/>
      <c r="T158" s="211"/>
      <c r="U158" s="211"/>
      <c r="V158" s="211"/>
      <c r="W158" s="211"/>
      <c r="X158" s="211"/>
      <c r="Y158" s="211"/>
      <c r="Z158" s="211"/>
      <c r="AA158" s="211"/>
      <c r="AB158" s="211"/>
      <c r="AC158" s="211"/>
      <c r="AD158" s="211"/>
      <c r="AE158" s="211"/>
      <c r="AF158" s="211"/>
      <c r="AG158" s="211"/>
      <c r="DE158" s="211"/>
      <c r="DF158" s="211"/>
      <c r="DG158" s="211"/>
      <c r="DH158" s="211"/>
      <c r="DI158" s="211"/>
      <c r="DJ158" s="211"/>
      <c r="DK158" s="211"/>
      <c r="DL158" s="211"/>
      <c r="DM158" s="211"/>
      <c r="DN158" s="211"/>
      <c r="DQ158" s="211"/>
      <c r="DV158" s="211"/>
      <c r="DW158" s="211"/>
      <c r="DX158" s="211"/>
      <c r="DY158" s="211"/>
      <c r="DZ158" s="211"/>
      <c r="EA158" s="211"/>
      <c r="EB158" s="211"/>
      <c r="EC158" s="211"/>
      <c r="ED158" s="211"/>
      <c r="EE158" s="211"/>
      <c r="EF158" s="211"/>
      <c r="EG158" s="211"/>
    </row>
    <row r="159" spans="1:137" ht="38.25">
      <c r="A159" s="1362">
        <f t="shared" si="7"/>
        <v>1</v>
      </c>
      <c r="B159" s="1405">
        <f t="shared" si="5"/>
        <v>86</v>
      </c>
      <c r="C159" s="1387" t="str">
        <f t="shared" si="6"/>
        <v>INTERC.86</v>
      </c>
      <c r="D159" s="1004" t="s">
        <v>1</v>
      </c>
      <c r="E159" s="1110">
        <v>1613</v>
      </c>
      <c r="F159" s="1406" t="s">
        <v>14019</v>
      </c>
      <c r="G159" s="1407" t="s">
        <v>19837</v>
      </c>
      <c r="H159" s="1402" t="s">
        <v>65</v>
      </c>
      <c r="I159" s="1436">
        <v>5</v>
      </c>
      <c r="J159" s="1436">
        <v>2</v>
      </c>
      <c r="K159" s="1436"/>
      <c r="L159" s="1436"/>
      <c r="M159" s="1436"/>
      <c r="N159" s="1436"/>
      <c r="O159" s="1404">
        <v>7</v>
      </c>
      <c r="P159" s="1680"/>
      <c r="Q159" s="1428"/>
      <c r="R159" s="211"/>
      <c r="S159" s="211"/>
      <c r="T159" s="211"/>
      <c r="U159" s="211"/>
      <c r="V159" s="211"/>
      <c r="W159" s="211"/>
      <c r="X159" s="211"/>
      <c r="Y159" s="211"/>
      <c r="Z159" s="211"/>
      <c r="AA159" s="211"/>
      <c r="AB159" s="211"/>
      <c r="AC159" s="211"/>
      <c r="AD159" s="211"/>
      <c r="AE159" s="211"/>
      <c r="AF159" s="211"/>
      <c r="AG159" s="211"/>
      <c r="DE159" s="211"/>
      <c r="DF159" s="211"/>
      <c r="DG159" s="211"/>
      <c r="DH159" s="211"/>
      <c r="DI159" s="211"/>
      <c r="DJ159" s="211"/>
      <c r="DK159" s="211"/>
      <c r="DL159" s="211"/>
      <c r="DM159" s="211"/>
      <c r="DN159" s="211"/>
      <c r="DQ159" s="211"/>
      <c r="DV159" s="211"/>
      <c r="DW159" s="211"/>
      <c r="DX159" s="211"/>
      <c r="DY159" s="211"/>
      <c r="DZ159" s="211"/>
      <c r="EA159" s="211"/>
      <c r="EB159" s="211"/>
      <c r="EC159" s="211"/>
      <c r="ED159" s="211"/>
      <c r="EE159" s="211"/>
      <c r="EF159" s="211"/>
      <c r="EG159" s="211"/>
    </row>
    <row r="160" spans="1:137" ht="38.25">
      <c r="A160" s="1362">
        <f t="shared" si="7"/>
        <v>1</v>
      </c>
      <c r="B160" s="1405">
        <f t="shared" si="5"/>
        <v>87</v>
      </c>
      <c r="C160" s="1387" t="str">
        <f t="shared" si="6"/>
        <v>INTERC.87</v>
      </c>
      <c r="D160" s="1004" t="s">
        <v>1</v>
      </c>
      <c r="E160" s="1110">
        <v>1614</v>
      </c>
      <c r="F160" s="1406" t="s">
        <v>14020</v>
      </c>
      <c r="G160" s="1407" t="s">
        <v>19838</v>
      </c>
      <c r="H160" s="1402" t="s">
        <v>65</v>
      </c>
      <c r="I160" s="1436">
        <v>4</v>
      </c>
      <c r="J160" s="1436">
        <v>0</v>
      </c>
      <c r="K160" s="1436"/>
      <c r="L160" s="1436"/>
      <c r="M160" s="1436"/>
      <c r="N160" s="1436"/>
      <c r="O160" s="1404">
        <v>4</v>
      </c>
      <c r="P160" s="1680"/>
      <c r="Q160" s="1428"/>
      <c r="R160" s="211"/>
      <c r="S160" s="211"/>
      <c r="T160" s="211"/>
      <c r="U160" s="211"/>
      <c r="V160" s="211"/>
      <c r="W160" s="211"/>
      <c r="X160" s="211"/>
      <c r="Y160" s="211"/>
      <c r="Z160" s="211"/>
      <c r="AA160" s="211"/>
      <c r="AB160" s="211"/>
      <c r="AC160" s="211"/>
      <c r="AD160" s="211"/>
      <c r="AE160" s="211"/>
      <c r="AF160" s="211"/>
      <c r="AG160" s="211"/>
      <c r="DE160" s="211"/>
      <c r="DF160" s="211"/>
      <c r="DG160" s="211"/>
      <c r="DH160" s="211"/>
      <c r="DI160" s="211"/>
      <c r="DJ160" s="211"/>
      <c r="DK160" s="211"/>
      <c r="DL160" s="211"/>
      <c r="DM160" s="211"/>
      <c r="DN160" s="211"/>
      <c r="DQ160" s="211"/>
      <c r="DV160" s="211"/>
      <c r="DW160" s="211"/>
      <c r="DX160" s="211"/>
      <c r="DY160" s="211"/>
      <c r="DZ160" s="211"/>
      <c r="EA160" s="211"/>
      <c r="EB160" s="211"/>
      <c r="EC160" s="211"/>
      <c r="ED160" s="211"/>
      <c r="EE160" s="211"/>
      <c r="EF160" s="211"/>
      <c r="EG160" s="211"/>
    </row>
    <row r="161" spans="1:137" ht="38.25">
      <c r="A161" s="1362">
        <f t="shared" si="7"/>
        <v>1</v>
      </c>
      <c r="B161" s="1405">
        <f t="shared" si="5"/>
        <v>88</v>
      </c>
      <c r="C161" s="1387" t="str">
        <f t="shared" si="6"/>
        <v>INTERC.88</v>
      </c>
      <c r="D161" s="1004" t="s">
        <v>1</v>
      </c>
      <c r="E161" s="1110">
        <v>1615</v>
      </c>
      <c r="F161" s="1406" t="s">
        <v>14021</v>
      </c>
      <c r="G161" s="1407" t="s">
        <v>19839</v>
      </c>
      <c r="H161" s="1402" t="s">
        <v>65</v>
      </c>
      <c r="I161" s="1436">
        <v>1</v>
      </c>
      <c r="J161" s="1436">
        <v>0</v>
      </c>
      <c r="K161" s="1436"/>
      <c r="L161" s="1436"/>
      <c r="M161" s="1436"/>
      <c r="N161" s="1436"/>
      <c r="O161" s="1404">
        <v>1</v>
      </c>
      <c r="P161" s="1680"/>
      <c r="Q161" s="1428"/>
      <c r="R161" s="211"/>
      <c r="S161" s="211"/>
      <c r="T161" s="211"/>
      <c r="U161" s="211"/>
      <c r="V161" s="211"/>
      <c r="W161" s="211"/>
      <c r="X161" s="211"/>
      <c r="Y161" s="211"/>
      <c r="Z161" s="211"/>
      <c r="AA161" s="211"/>
      <c r="AB161" s="211"/>
      <c r="AC161" s="211"/>
      <c r="AD161" s="211"/>
      <c r="AE161" s="211"/>
      <c r="AF161" s="211"/>
      <c r="AG161" s="211"/>
      <c r="DE161" s="211"/>
      <c r="DF161" s="211"/>
      <c r="DG161" s="211"/>
      <c r="DH161" s="211"/>
      <c r="DI161" s="211"/>
      <c r="DJ161" s="211"/>
      <c r="DK161" s="211"/>
      <c r="DL161" s="211"/>
      <c r="DM161" s="211"/>
      <c r="DN161" s="211"/>
      <c r="DQ161" s="211"/>
      <c r="DV161" s="211"/>
      <c r="DW161" s="211"/>
      <c r="DX161" s="211"/>
      <c r="DY161" s="211"/>
      <c r="DZ161" s="211"/>
      <c r="EA161" s="211"/>
      <c r="EB161" s="211"/>
      <c r="EC161" s="211"/>
      <c r="ED161" s="211"/>
      <c r="EE161" s="211"/>
      <c r="EF161" s="211"/>
      <c r="EG161" s="211"/>
    </row>
    <row r="162" spans="1:137" ht="38.25">
      <c r="A162" s="1362">
        <f t="shared" si="7"/>
        <v>1</v>
      </c>
      <c r="B162" s="1405">
        <f t="shared" si="5"/>
        <v>89</v>
      </c>
      <c r="C162" s="1387" t="str">
        <f t="shared" si="6"/>
        <v>INTERC.89</v>
      </c>
      <c r="D162" s="1004" t="s">
        <v>1</v>
      </c>
      <c r="E162" s="1110">
        <v>1616</v>
      </c>
      <c r="F162" s="1406" t="s">
        <v>14022</v>
      </c>
      <c r="G162" s="1407" t="s">
        <v>19840</v>
      </c>
      <c r="H162" s="1402" t="s">
        <v>65</v>
      </c>
      <c r="I162" s="1436">
        <v>0</v>
      </c>
      <c r="J162" s="1436">
        <v>0</v>
      </c>
      <c r="K162" s="1436"/>
      <c r="L162" s="1436"/>
      <c r="M162" s="1436"/>
      <c r="N162" s="1436"/>
      <c r="O162" s="1404">
        <v>0</v>
      </c>
      <c r="P162" s="1680"/>
      <c r="Q162" s="1428"/>
      <c r="R162" s="211"/>
      <c r="S162" s="211"/>
      <c r="T162" s="211"/>
      <c r="U162" s="211"/>
      <c r="V162" s="211"/>
      <c r="W162" s="211"/>
      <c r="X162" s="211"/>
      <c r="Y162" s="211"/>
      <c r="Z162" s="211"/>
      <c r="AA162" s="211"/>
      <c r="AB162" s="211"/>
      <c r="AC162" s="211"/>
      <c r="AD162" s="211"/>
      <c r="AE162" s="211"/>
      <c r="AF162" s="211"/>
      <c r="AG162" s="211"/>
      <c r="DE162" s="211"/>
      <c r="DF162" s="211"/>
      <c r="DG162" s="211"/>
      <c r="DH162" s="211"/>
      <c r="DI162" s="211"/>
      <c r="DJ162" s="211"/>
      <c r="DK162" s="211"/>
      <c r="DL162" s="211"/>
      <c r="DM162" s="211"/>
      <c r="DN162" s="211"/>
      <c r="DQ162" s="211"/>
      <c r="DV162" s="211"/>
      <c r="DW162" s="211"/>
      <c r="DX162" s="211"/>
      <c r="DY162" s="211"/>
      <c r="DZ162" s="211"/>
      <c r="EA162" s="211"/>
      <c r="EB162" s="211"/>
      <c r="EC162" s="211"/>
      <c r="ED162" s="211"/>
      <c r="EE162" s="211"/>
      <c r="EF162" s="211"/>
      <c r="EG162" s="211"/>
    </row>
    <row r="163" spans="1:137" ht="38.25">
      <c r="A163" s="1362">
        <f t="shared" si="7"/>
        <v>1</v>
      </c>
      <c r="B163" s="1405">
        <f t="shared" si="5"/>
        <v>90</v>
      </c>
      <c r="C163" s="1387" t="str">
        <f t="shared" si="6"/>
        <v>INTERC.90</v>
      </c>
      <c r="D163" s="1004" t="s">
        <v>1</v>
      </c>
      <c r="E163" s="1110">
        <v>1617</v>
      </c>
      <c r="F163" s="1406" t="s">
        <v>14023</v>
      </c>
      <c r="G163" s="1407" t="s">
        <v>19841</v>
      </c>
      <c r="H163" s="1402" t="s">
        <v>65</v>
      </c>
      <c r="I163" s="1436"/>
      <c r="J163" s="1436"/>
      <c r="K163" s="1436"/>
      <c r="L163" s="1436"/>
      <c r="M163" s="1436"/>
      <c r="N163" s="1436"/>
      <c r="O163" s="1404">
        <v>0</v>
      </c>
      <c r="P163" s="1680"/>
      <c r="Q163" s="1428"/>
      <c r="R163" s="211"/>
      <c r="S163" s="211"/>
      <c r="T163" s="211"/>
      <c r="U163" s="211"/>
      <c r="V163" s="211"/>
      <c r="W163" s="211"/>
      <c r="X163" s="211"/>
      <c r="Y163" s="211"/>
      <c r="Z163" s="211"/>
      <c r="AA163" s="211"/>
      <c r="AB163" s="211"/>
      <c r="AC163" s="211"/>
      <c r="AD163" s="211"/>
      <c r="AE163" s="211"/>
      <c r="AF163" s="211"/>
      <c r="AG163" s="211"/>
      <c r="DE163" s="211"/>
      <c r="DF163" s="211"/>
      <c r="DG163" s="211"/>
      <c r="DH163" s="211"/>
      <c r="DI163" s="211"/>
      <c r="DJ163" s="211"/>
      <c r="DK163" s="211"/>
      <c r="DL163" s="211"/>
      <c r="DM163" s="211"/>
      <c r="DN163" s="211"/>
      <c r="DQ163" s="211"/>
      <c r="DV163" s="211"/>
      <c r="DW163" s="211"/>
      <c r="DX163" s="211"/>
      <c r="DY163" s="211"/>
      <c r="DZ163" s="211"/>
      <c r="EA163" s="211"/>
      <c r="EB163" s="211"/>
      <c r="EC163" s="211"/>
      <c r="ED163" s="211"/>
      <c r="EE163" s="211"/>
      <c r="EF163" s="211"/>
      <c r="EG163" s="211"/>
    </row>
    <row r="164" spans="1:137" ht="38.25">
      <c r="A164" s="1362">
        <f t="shared" si="7"/>
        <v>1</v>
      </c>
      <c r="B164" s="1405">
        <f t="shared" si="5"/>
        <v>91</v>
      </c>
      <c r="C164" s="1387" t="str">
        <f t="shared" si="6"/>
        <v>INTERC.91</v>
      </c>
      <c r="D164" s="1004" t="s">
        <v>13957</v>
      </c>
      <c r="E164" s="1110" t="s">
        <v>14024</v>
      </c>
      <c r="F164" s="1406" t="s">
        <v>14025</v>
      </c>
      <c r="G164" s="1407" t="s">
        <v>14034</v>
      </c>
      <c r="H164" s="1402" t="s">
        <v>65</v>
      </c>
      <c r="I164" s="1436"/>
      <c r="J164" s="1436"/>
      <c r="K164" s="1436"/>
      <c r="L164" s="1436"/>
      <c r="M164" s="1436"/>
      <c r="N164" s="1436"/>
      <c r="O164" s="1404">
        <v>0</v>
      </c>
      <c r="P164" s="1680"/>
      <c r="Q164" s="1428"/>
      <c r="R164" s="211"/>
      <c r="S164" s="211"/>
      <c r="T164" s="211"/>
      <c r="U164" s="211"/>
      <c r="V164" s="211"/>
      <c r="W164" s="211"/>
      <c r="X164" s="211"/>
      <c r="Y164" s="211"/>
      <c r="Z164" s="211"/>
      <c r="AA164" s="211"/>
      <c r="AB164" s="211"/>
      <c r="AC164" s="211"/>
      <c r="AD164" s="211"/>
      <c r="AE164" s="211"/>
      <c r="AF164" s="211"/>
      <c r="AG164" s="211"/>
      <c r="DE164" s="211"/>
      <c r="DF164" s="211"/>
      <c r="DG164" s="211"/>
      <c r="DH164" s="211"/>
      <c r="DI164" s="211"/>
      <c r="DJ164" s="211"/>
      <c r="DK164" s="211"/>
      <c r="DL164" s="211"/>
      <c r="DM164" s="211"/>
      <c r="DN164" s="211"/>
      <c r="DQ164" s="211"/>
      <c r="DV164" s="211"/>
      <c r="DW164" s="211"/>
      <c r="DX164" s="211"/>
      <c r="DY164" s="211"/>
      <c r="DZ164" s="211"/>
      <c r="EA164" s="211"/>
      <c r="EB164" s="211"/>
      <c r="EC164" s="211"/>
      <c r="ED164" s="211"/>
      <c r="EE164" s="211"/>
      <c r="EF164" s="211"/>
      <c r="EG164" s="211"/>
    </row>
    <row r="165" spans="1:137" ht="25.5">
      <c r="A165" s="1362">
        <f t="shared" si="7"/>
        <v>1</v>
      </c>
      <c r="B165" s="1405">
        <f t="shared" si="5"/>
        <v>92</v>
      </c>
      <c r="C165" s="1387" t="str">
        <f t="shared" si="6"/>
        <v>INTERC.92</v>
      </c>
      <c r="D165" s="1004" t="s">
        <v>13957</v>
      </c>
      <c r="E165" s="1110" t="s">
        <v>14026</v>
      </c>
      <c r="F165" s="1406" t="s">
        <v>14027</v>
      </c>
      <c r="G165" s="1407" t="s">
        <v>14035</v>
      </c>
      <c r="H165" s="1402" t="s">
        <v>65</v>
      </c>
      <c r="I165" s="1436"/>
      <c r="J165" s="1436"/>
      <c r="K165" s="1436"/>
      <c r="L165" s="1436"/>
      <c r="M165" s="1436"/>
      <c r="N165" s="1436"/>
      <c r="O165" s="1404">
        <v>0</v>
      </c>
      <c r="P165" s="1680"/>
      <c r="Q165" s="1428"/>
      <c r="R165" s="211"/>
      <c r="S165" s="211"/>
      <c r="T165" s="211"/>
      <c r="U165" s="211"/>
      <c r="V165" s="211"/>
      <c r="W165" s="211"/>
      <c r="X165" s="211"/>
      <c r="Y165" s="211"/>
      <c r="Z165" s="211"/>
      <c r="AA165" s="211"/>
      <c r="AB165" s="211"/>
      <c r="AC165" s="211"/>
      <c r="AD165" s="211"/>
      <c r="AE165" s="211"/>
      <c r="AF165" s="211"/>
      <c r="AG165" s="211"/>
      <c r="DE165" s="211"/>
      <c r="DF165" s="211"/>
      <c r="DG165" s="211"/>
      <c r="DH165" s="211"/>
      <c r="DI165" s="211"/>
      <c r="DJ165" s="211"/>
      <c r="DK165" s="211"/>
      <c r="DL165" s="211"/>
      <c r="DM165" s="211"/>
      <c r="DN165" s="211"/>
      <c r="DQ165" s="211"/>
      <c r="DV165" s="211"/>
      <c r="DW165" s="211"/>
      <c r="DX165" s="211"/>
      <c r="DY165" s="211"/>
      <c r="DZ165" s="211"/>
      <c r="EA165" s="211"/>
      <c r="EB165" s="211"/>
      <c r="EC165" s="211"/>
      <c r="ED165" s="211"/>
      <c r="EE165" s="211"/>
      <c r="EF165" s="211"/>
      <c r="EG165" s="211"/>
    </row>
    <row r="166" spans="1:137" ht="25.5">
      <c r="A166" s="1362">
        <f t="shared" si="7"/>
        <v>1</v>
      </c>
      <c r="B166" s="1405">
        <f>B165+A166</f>
        <v>93</v>
      </c>
      <c r="C166" s="1387" t="str">
        <f t="shared" si="6"/>
        <v>INTERC.93</v>
      </c>
      <c r="D166" s="1004" t="s">
        <v>13957</v>
      </c>
      <c r="E166" s="1110" t="s">
        <v>14028</v>
      </c>
      <c r="F166" s="1406" t="s">
        <v>14029</v>
      </c>
      <c r="G166" s="1407" t="s">
        <v>14036</v>
      </c>
      <c r="H166" s="1402" t="s">
        <v>65</v>
      </c>
      <c r="I166" s="1436"/>
      <c r="J166" s="1436"/>
      <c r="K166" s="1436"/>
      <c r="L166" s="1436"/>
      <c r="M166" s="1436"/>
      <c r="N166" s="1436"/>
      <c r="O166" s="1404">
        <v>0</v>
      </c>
      <c r="P166" s="1680"/>
      <c r="Q166" s="1428"/>
      <c r="R166" s="211"/>
      <c r="S166" s="211"/>
      <c r="T166" s="211"/>
      <c r="U166" s="211"/>
      <c r="V166" s="211"/>
      <c r="W166" s="211"/>
      <c r="X166" s="211"/>
      <c r="Y166" s="211"/>
      <c r="Z166" s="211"/>
      <c r="AA166" s="211"/>
      <c r="AB166" s="211"/>
      <c r="AC166" s="211"/>
      <c r="AD166" s="211"/>
      <c r="AE166" s="211"/>
      <c r="AF166" s="211"/>
      <c r="AG166" s="211"/>
      <c r="DE166" s="211"/>
      <c r="DF166" s="211"/>
      <c r="DG166" s="211"/>
      <c r="DH166" s="211"/>
      <c r="DI166" s="211"/>
      <c r="DJ166" s="211"/>
      <c r="DK166" s="211"/>
      <c r="DL166" s="211"/>
      <c r="DM166" s="211"/>
      <c r="DN166" s="211"/>
      <c r="DQ166" s="211"/>
      <c r="DV166" s="211"/>
      <c r="DW166" s="211"/>
      <c r="DX166" s="211"/>
      <c r="DY166" s="211"/>
      <c r="DZ166" s="211"/>
      <c r="EA166" s="211"/>
      <c r="EB166" s="211"/>
      <c r="EC166" s="211"/>
      <c r="ED166" s="211"/>
      <c r="EE166" s="211"/>
      <c r="EF166" s="211"/>
      <c r="EG166" s="211"/>
    </row>
    <row r="167" spans="1:137" ht="23.25" customHeight="1">
      <c r="B167" s="280"/>
      <c r="C167" s="234"/>
      <c r="D167" s="211"/>
      <c r="E167" s="211"/>
      <c r="H167" s="211"/>
      <c r="I167" s="211"/>
      <c r="J167" s="211"/>
      <c r="K167" s="211"/>
      <c r="L167" s="211"/>
      <c r="M167" s="211"/>
      <c r="N167" s="211"/>
      <c r="Q167" s="295"/>
      <c r="R167" s="211"/>
      <c r="S167" s="211"/>
      <c r="T167" s="211"/>
      <c r="U167" s="211"/>
      <c r="V167" s="211"/>
      <c r="W167" s="211"/>
      <c r="X167" s="211"/>
      <c r="Y167" s="211"/>
      <c r="Z167" s="211"/>
      <c r="AA167" s="211"/>
      <c r="AB167" s="211"/>
      <c r="AC167" s="211"/>
      <c r="AD167" s="211"/>
      <c r="AE167" s="211"/>
      <c r="AF167" s="211"/>
      <c r="AG167" s="211"/>
      <c r="DE167" s="211"/>
      <c r="DF167" s="211"/>
      <c r="DG167" s="211"/>
      <c r="DH167" s="211"/>
      <c r="DI167" s="211"/>
      <c r="DJ167" s="211"/>
      <c r="DK167" s="211"/>
      <c r="DL167" s="211"/>
      <c r="DM167" s="211"/>
      <c r="DN167" s="211"/>
      <c r="DQ167" s="211"/>
      <c r="DV167" s="211"/>
      <c r="DW167" s="211"/>
      <c r="DX167" s="211"/>
      <c r="DY167" s="211"/>
      <c r="DZ167" s="211"/>
      <c r="EA167" s="211"/>
      <c r="EB167" s="211"/>
      <c r="EC167" s="211"/>
      <c r="ED167" s="211"/>
      <c r="EE167" s="211"/>
      <c r="EF167" s="211"/>
      <c r="EG167" s="211"/>
    </row>
    <row r="168" spans="1:137" ht="18" customHeight="1">
      <c r="A168" s="211"/>
      <c r="C168" s="211"/>
      <c r="D168" s="211"/>
      <c r="E168" s="211"/>
      <c r="H168" s="211"/>
      <c r="I168" s="211"/>
      <c r="J168" s="211"/>
      <c r="K168" s="211"/>
      <c r="L168" s="211"/>
      <c r="M168" s="211"/>
      <c r="N168" s="211"/>
      <c r="Q168" s="295"/>
      <c r="R168" s="211"/>
      <c r="S168" s="211"/>
      <c r="T168" s="211"/>
      <c r="U168" s="211"/>
      <c r="V168" s="211"/>
      <c r="W168" s="211"/>
      <c r="X168" s="211"/>
      <c r="Y168" s="211"/>
      <c r="Z168" s="211"/>
      <c r="AA168" s="211"/>
      <c r="AB168" s="211"/>
      <c r="AC168" s="211"/>
      <c r="AD168" s="211"/>
      <c r="AE168" s="211"/>
      <c r="AF168" s="211"/>
      <c r="AG168" s="211"/>
      <c r="DE168" s="211"/>
      <c r="DF168" s="211"/>
      <c r="DG168" s="211"/>
      <c r="DH168" s="211"/>
      <c r="DI168" s="211"/>
      <c r="DJ168" s="211"/>
      <c r="DK168" s="211"/>
      <c r="DL168" s="211"/>
      <c r="DM168" s="211"/>
      <c r="DN168" s="211"/>
      <c r="DQ168" s="211"/>
      <c r="DV168" s="211"/>
      <c r="DW168" s="211"/>
      <c r="DX168" s="211"/>
      <c r="DY168" s="211"/>
      <c r="DZ168" s="211"/>
      <c r="EA168" s="211"/>
      <c r="EB168" s="211"/>
      <c r="EC168" s="211"/>
      <c r="ED168" s="211"/>
      <c r="EE168" s="211"/>
      <c r="EF168" s="211"/>
      <c r="EG168" s="211"/>
    </row>
    <row r="169" spans="1:137" ht="18" customHeight="1">
      <c r="A169" s="211"/>
      <c r="C169" s="211"/>
      <c r="D169" s="211"/>
      <c r="E169" s="211"/>
      <c r="H169" s="211"/>
      <c r="I169" s="211"/>
      <c r="J169" s="211"/>
      <c r="K169" s="211"/>
      <c r="L169" s="211"/>
      <c r="M169" s="211"/>
      <c r="N169" s="211"/>
      <c r="Q169" s="295"/>
      <c r="R169" s="211"/>
      <c r="S169" s="211"/>
      <c r="T169" s="211"/>
      <c r="U169" s="211"/>
      <c r="V169" s="211"/>
      <c r="W169" s="211"/>
      <c r="X169" s="211"/>
      <c r="Y169" s="211"/>
      <c r="Z169" s="211"/>
      <c r="AA169" s="211"/>
      <c r="AB169" s="211"/>
      <c r="AC169" s="211"/>
      <c r="AD169" s="211"/>
      <c r="AE169" s="211"/>
      <c r="AF169" s="211"/>
      <c r="AG169" s="211"/>
      <c r="DE169" s="211"/>
      <c r="DF169" s="211"/>
      <c r="DG169" s="211"/>
      <c r="DH169" s="211"/>
      <c r="DI169" s="211"/>
      <c r="DJ169" s="211"/>
      <c r="DK169" s="211"/>
      <c r="DL169" s="211"/>
      <c r="DM169" s="211"/>
      <c r="DN169" s="211"/>
      <c r="DQ169" s="211"/>
      <c r="DV169" s="211"/>
      <c r="DW169" s="211"/>
      <c r="DX169" s="211"/>
      <c r="DY169" s="211"/>
      <c r="DZ169" s="211"/>
      <c r="EA169" s="211"/>
      <c r="EB169" s="211"/>
      <c r="EC169" s="211"/>
      <c r="ED169" s="211"/>
      <c r="EE169" s="211"/>
      <c r="EF169" s="211"/>
      <c r="EG169" s="211"/>
    </row>
    <row r="170" spans="1:137" ht="18" customHeight="1">
      <c r="A170" s="211"/>
      <c r="C170" s="211"/>
      <c r="D170" s="211"/>
      <c r="E170" s="211"/>
      <c r="H170" s="211"/>
      <c r="I170" s="211"/>
      <c r="J170" s="211"/>
      <c r="K170" s="211"/>
      <c r="L170" s="211"/>
      <c r="M170" s="211"/>
      <c r="N170" s="211"/>
      <c r="Q170" s="295"/>
      <c r="R170" s="211"/>
      <c r="S170" s="211"/>
      <c r="T170" s="211"/>
      <c r="U170" s="211"/>
      <c r="V170" s="211"/>
      <c r="W170" s="211"/>
      <c r="X170" s="211"/>
      <c r="Y170" s="211"/>
      <c r="Z170" s="211"/>
      <c r="AA170" s="211"/>
      <c r="AB170" s="211"/>
      <c r="AC170" s="211"/>
      <c r="AD170" s="211"/>
      <c r="AE170" s="211"/>
      <c r="AF170" s="211"/>
      <c r="AG170" s="211"/>
      <c r="DE170" s="211"/>
      <c r="DF170" s="211"/>
      <c r="DG170" s="211"/>
      <c r="DH170" s="211"/>
      <c r="DI170" s="211"/>
      <c r="DJ170" s="211"/>
      <c r="DK170" s="211"/>
      <c r="DL170" s="211"/>
      <c r="DM170" s="211"/>
      <c r="DN170" s="211"/>
      <c r="DQ170" s="211"/>
      <c r="DV170" s="211"/>
      <c r="DW170" s="211"/>
      <c r="DX170" s="211"/>
      <c r="DY170" s="211"/>
      <c r="DZ170" s="211"/>
      <c r="EA170" s="211"/>
      <c r="EB170" s="211"/>
      <c r="EC170" s="211"/>
      <c r="ED170" s="211"/>
      <c r="EE170" s="211"/>
      <c r="EF170" s="211"/>
      <c r="EG170" s="211"/>
    </row>
    <row r="171" spans="1:137" ht="18" customHeight="1">
      <c r="A171" s="211"/>
      <c r="C171" s="211"/>
      <c r="D171" s="211"/>
      <c r="E171" s="211"/>
      <c r="H171" s="211"/>
      <c r="I171" s="211"/>
      <c r="J171" s="211"/>
      <c r="K171" s="211"/>
      <c r="L171" s="211"/>
      <c r="M171" s="211"/>
      <c r="N171" s="211"/>
      <c r="Q171" s="295"/>
      <c r="R171" s="211"/>
      <c r="S171" s="211"/>
      <c r="T171" s="211"/>
      <c r="U171" s="211"/>
      <c r="V171" s="211"/>
      <c r="W171" s="211"/>
      <c r="X171" s="211"/>
      <c r="Y171" s="211"/>
      <c r="Z171" s="211"/>
      <c r="AA171" s="211"/>
      <c r="AB171" s="211"/>
      <c r="AC171" s="211"/>
      <c r="AD171" s="211"/>
      <c r="AE171" s="211"/>
      <c r="AF171" s="211"/>
      <c r="AG171" s="211"/>
      <c r="DE171" s="211"/>
      <c r="DF171" s="211"/>
      <c r="DG171" s="211"/>
      <c r="DH171" s="211"/>
      <c r="DI171" s="211"/>
      <c r="DJ171" s="211"/>
      <c r="DK171" s="211"/>
      <c r="DL171" s="211"/>
      <c r="DM171" s="211"/>
      <c r="DN171" s="211"/>
      <c r="DQ171" s="211"/>
      <c r="DV171" s="211"/>
      <c r="DW171" s="211"/>
      <c r="DX171" s="211"/>
      <c r="DY171" s="211"/>
      <c r="DZ171" s="211"/>
      <c r="EA171" s="211"/>
      <c r="EB171" s="211"/>
      <c r="EC171" s="211"/>
      <c r="ED171" s="211"/>
      <c r="EE171" s="211"/>
      <c r="EF171" s="211"/>
      <c r="EG171" s="211"/>
    </row>
    <row r="172" spans="1:137" ht="18" customHeight="1">
      <c r="A172" s="211"/>
      <c r="C172" s="211"/>
      <c r="D172" s="211"/>
      <c r="E172" s="211"/>
      <c r="H172" s="211"/>
      <c r="I172" s="211"/>
      <c r="J172" s="211"/>
      <c r="K172" s="211"/>
      <c r="L172" s="211"/>
      <c r="M172" s="211"/>
      <c r="N172" s="211"/>
      <c r="Q172" s="295"/>
      <c r="R172" s="211"/>
      <c r="S172" s="211"/>
      <c r="T172" s="211"/>
      <c r="U172" s="211"/>
      <c r="V172" s="211"/>
      <c r="W172" s="211"/>
      <c r="X172" s="211"/>
      <c r="Y172" s="211"/>
      <c r="Z172" s="211"/>
      <c r="AA172" s="211"/>
      <c r="AB172" s="211"/>
      <c r="AC172" s="211"/>
      <c r="AD172" s="211"/>
      <c r="AE172" s="211"/>
      <c r="AF172" s="211"/>
      <c r="AG172" s="211"/>
      <c r="DE172" s="211"/>
      <c r="DF172" s="211"/>
      <c r="DG172" s="211"/>
      <c r="DH172" s="211"/>
      <c r="DI172" s="211"/>
      <c r="DJ172" s="211"/>
      <c r="DK172" s="211"/>
      <c r="DL172" s="211"/>
      <c r="DM172" s="211"/>
      <c r="DN172" s="211"/>
      <c r="DQ172" s="211"/>
      <c r="DV172" s="211"/>
      <c r="DW172" s="211"/>
      <c r="DX172" s="211"/>
      <c r="DY172" s="211"/>
      <c r="DZ172" s="211"/>
      <c r="EA172" s="211"/>
      <c r="EB172" s="211"/>
      <c r="EC172" s="211"/>
      <c r="ED172" s="211"/>
      <c r="EE172" s="211"/>
      <c r="EF172" s="211"/>
      <c r="EG172" s="211"/>
    </row>
    <row r="173" spans="1:137" ht="18" customHeight="1">
      <c r="A173" s="211"/>
      <c r="C173" s="211"/>
      <c r="D173" s="211"/>
      <c r="E173" s="211"/>
      <c r="H173" s="211"/>
      <c r="I173" s="211"/>
      <c r="J173" s="211"/>
      <c r="K173" s="211"/>
      <c r="L173" s="211"/>
      <c r="M173" s="211"/>
      <c r="N173" s="211"/>
      <c r="Q173" s="295"/>
      <c r="R173" s="211"/>
      <c r="S173" s="211"/>
      <c r="T173" s="211"/>
      <c r="U173" s="211"/>
      <c r="V173" s="211"/>
      <c r="W173" s="211"/>
      <c r="X173" s="211"/>
      <c r="Y173" s="211"/>
      <c r="Z173" s="211"/>
      <c r="AA173" s="211"/>
      <c r="AB173" s="211"/>
      <c r="AC173" s="211"/>
      <c r="AD173" s="211"/>
      <c r="AE173" s="211"/>
      <c r="AF173" s="211"/>
      <c r="AG173" s="211"/>
      <c r="DE173" s="211"/>
      <c r="DF173" s="211"/>
      <c r="DG173" s="211"/>
      <c r="DH173" s="211"/>
      <c r="DI173" s="211"/>
      <c r="DJ173" s="211"/>
      <c r="DK173" s="211"/>
      <c r="DL173" s="211"/>
      <c r="DM173" s="211"/>
      <c r="DN173" s="211"/>
      <c r="DQ173" s="211"/>
      <c r="DV173" s="211"/>
      <c r="DW173" s="211"/>
      <c r="DX173" s="211"/>
      <c r="DY173" s="211"/>
      <c r="DZ173" s="211"/>
      <c r="EA173" s="211"/>
      <c r="EB173" s="211"/>
      <c r="EC173" s="211"/>
      <c r="ED173" s="211"/>
      <c r="EE173" s="211"/>
      <c r="EF173" s="211"/>
      <c r="EG173" s="211"/>
    </row>
    <row r="174" spans="1:137" ht="18" customHeight="1">
      <c r="A174" s="211"/>
      <c r="C174" s="211"/>
      <c r="D174" s="211"/>
      <c r="E174" s="211"/>
      <c r="H174" s="211"/>
      <c r="I174" s="211"/>
      <c r="J174" s="211"/>
      <c r="K174" s="211"/>
      <c r="L174" s="211"/>
      <c r="M174" s="211"/>
      <c r="N174" s="211"/>
      <c r="Q174" s="295"/>
      <c r="R174" s="211"/>
      <c r="S174" s="211"/>
      <c r="T174" s="211"/>
      <c r="U174" s="211"/>
      <c r="V174" s="211"/>
      <c r="W174" s="211"/>
      <c r="X174" s="211"/>
      <c r="Y174" s="211"/>
      <c r="Z174" s="211"/>
      <c r="AA174" s="211"/>
      <c r="AB174" s="211"/>
      <c r="AC174" s="211"/>
      <c r="AD174" s="211"/>
      <c r="AE174" s="211"/>
      <c r="AF174" s="211"/>
      <c r="AG174" s="211"/>
      <c r="DE174" s="211"/>
      <c r="DF174" s="211"/>
      <c r="DG174" s="211"/>
      <c r="DH174" s="211"/>
      <c r="DI174" s="211"/>
      <c r="DJ174" s="211"/>
      <c r="DK174" s="211"/>
      <c r="DL174" s="211"/>
      <c r="DM174" s="211"/>
      <c r="DN174" s="211"/>
      <c r="DQ174" s="211"/>
      <c r="DV174" s="211"/>
      <c r="DW174" s="211"/>
      <c r="DX174" s="211"/>
      <c r="DY174" s="211"/>
      <c r="DZ174" s="211"/>
      <c r="EA174" s="211"/>
      <c r="EB174" s="211"/>
      <c r="EC174" s="211"/>
      <c r="ED174" s="211"/>
      <c r="EE174" s="211"/>
      <c r="EF174" s="211"/>
      <c r="EG174" s="211"/>
    </row>
    <row r="175" spans="1:137" ht="18" customHeight="1">
      <c r="A175" s="211"/>
      <c r="C175" s="211"/>
      <c r="D175" s="211"/>
      <c r="E175" s="211"/>
      <c r="H175" s="211"/>
      <c r="I175" s="211"/>
      <c r="J175" s="211"/>
      <c r="K175" s="211"/>
      <c r="L175" s="211"/>
      <c r="M175" s="211"/>
      <c r="N175" s="211"/>
      <c r="Q175" s="295"/>
      <c r="R175" s="211"/>
      <c r="S175" s="211"/>
      <c r="T175" s="211"/>
      <c r="U175" s="211"/>
      <c r="V175" s="211"/>
      <c r="W175" s="211"/>
      <c r="X175" s="211"/>
      <c r="Y175" s="211"/>
      <c r="Z175" s="211"/>
      <c r="AA175" s="211"/>
      <c r="AB175" s="211"/>
      <c r="AC175" s="211"/>
      <c r="AD175" s="211"/>
      <c r="AE175" s="211"/>
      <c r="AF175" s="211"/>
      <c r="AG175" s="211"/>
      <c r="DE175" s="211"/>
      <c r="DF175" s="211"/>
      <c r="DG175" s="211"/>
      <c r="DH175" s="211"/>
      <c r="DI175" s="211"/>
      <c r="DJ175" s="211"/>
      <c r="DK175" s="211"/>
      <c r="DL175" s="211"/>
      <c r="DM175" s="211"/>
      <c r="DN175" s="211"/>
      <c r="DQ175" s="211"/>
      <c r="DV175" s="211"/>
      <c r="DW175" s="211"/>
      <c r="DX175" s="211"/>
      <c r="DY175" s="211"/>
      <c r="DZ175" s="211"/>
      <c r="EA175" s="211"/>
      <c r="EB175" s="211"/>
      <c r="EC175" s="211"/>
      <c r="ED175" s="211"/>
      <c r="EE175" s="211"/>
      <c r="EF175" s="211"/>
      <c r="EG175" s="211"/>
    </row>
    <row r="176" spans="1:137" ht="18" customHeight="1">
      <c r="A176" s="211"/>
      <c r="C176" s="211"/>
      <c r="D176" s="211"/>
      <c r="E176" s="211"/>
      <c r="H176" s="211"/>
      <c r="I176" s="211"/>
      <c r="J176" s="211"/>
      <c r="K176" s="211"/>
      <c r="L176" s="211"/>
      <c r="M176" s="211"/>
      <c r="N176" s="211"/>
      <c r="Q176" s="295"/>
      <c r="R176" s="211"/>
      <c r="S176" s="211"/>
      <c r="T176" s="211"/>
      <c r="U176" s="211"/>
      <c r="V176" s="211"/>
      <c r="W176" s="211"/>
      <c r="X176" s="211"/>
      <c r="Y176" s="211"/>
      <c r="Z176" s="211"/>
      <c r="AA176" s="211"/>
      <c r="AB176" s="211"/>
      <c r="AC176" s="211"/>
      <c r="AD176" s="211"/>
      <c r="AE176" s="211"/>
      <c r="AF176" s="211"/>
      <c r="AG176" s="211"/>
      <c r="DE176" s="211"/>
      <c r="DF176" s="211"/>
      <c r="DG176" s="211"/>
      <c r="DH176" s="211"/>
      <c r="DI176" s="211"/>
      <c r="DJ176" s="211"/>
      <c r="DK176" s="211"/>
      <c r="DL176" s="211"/>
      <c r="DM176" s="211"/>
      <c r="DN176" s="211"/>
      <c r="DQ176" s="211"/>
      <c r="DV176" s="211"/>
      <c r="DW176" s="211"/>
      <c r="DX176" s="211"/>
      <c r="DY176" s="211"/>
      <c r="DZ176" s="211"/>
      <c r="EA176" s="211"/>
      <c r="EB176" s="211"/>
      <c r="EC176" s="211"/>
      <c r="ED176" s="211"/>
      <c r="EE176" s="211"/>
      <c r="EF176" s="211"/>
      <c r="EG176" s="211"/>
    </row>
    <row r="177" spans="1:137" ht="18" customHeight="1">
      <c r="A177" s="211"/>
      <c r="C177" s="211"/>
      <c r="D177" s="211"/>
      <c r="E177" s="211"/>
      <c r="H177" s="211"/>
      <c r="I177" s="211"/>
      <c r="J177" s="211"/>
      <c r="K177" s="211"/>
      <c r="L177" s="211"/>
      <c r="M177" s="211"/>
      <c r="N177" s="211"/>
      <c r="R177" s="211"/>
      <c r="S177" s="211"/>
      <c r="T177" s="211"/>
      <c r="U177" s="211"/>
      <c r="V177" s="211"/>
      <c r="W177" s="211"/>
      <c r="X177" s="211"/>
      <c r="Y177" s="211"/>
      <c r="Z177" s="211"/>
      <c r="AA177" s="211"/>
      <c r="AB177" s="211"/>
      <c r="AC177" s="211"/>
      <c r="AD177" s="211"/>
      <c r="AE177" s="211"/>
      <c r="AF177" s="211"/>
      <c r="AG177" s="211"/>
      <c r="DE177" s="211"/>
      <c r="DF177" s="211"/>
      <c r="DG177" s="211"/>
      <c r="DH177" s="211"/>
      <c r="DI177" s="211"/>
      <c r="DJ177" s="211"/>
      <c r="DK177" s="211"/>
      <c r="DL177" s="211"/>
      <c r="DM177" s="211"/>
      <c r="DN177" s="211"/>
      <c r="DQ177" s="211"/>
      <c r="DV177" s="211"/>
      <c r="DW177" s="211"/>
      <c r="DX177" s="211"/>
      <c r="DY177" s="211"/>
      <c r="DZ177" s="211"/>
      <c r="EA177" s="211"/>
      <c r="EB177" s="211"/>
      <c r="EC177" s="211"/>
      <c r="ED177" s="211"/>
      <c r="EE177" s="211"/>
      <c r="EF177" s="211"/>
      <c r="EG177" s="211"/>
    </row>
    <row r="178" spans="1:137" ht="18" customHeight="1">
      <c r="A178" s="211"/>
      <c r="C178" s="211"/>
      <c r="D178" s="211"/>
      <c r="E178" s="211"/>
      <c r="H178" s="211"/>
      <c r="I178" s="211"/>
      <c r="J178" s="211"/>
      <c r="K178" s="211"/>
      <c r="L178" s="211"/>
      <c r="M178" s="211"/>
      <c r="N178" s="211"/>
      <c r="R178" s="211"/>
      <c r="S178" s="211"/>
      <c r="T178" s="211"/>
      <c r="U178" s="211"/>
      <c r="V178" s="211"/>
      <c r="W178" s="211"/>
      <c r="X178" s="211"/>
      <c r="Y178" s="211"/>
      <c r="Z178" s="211"/>
      <c r="AA178" s="211"/>
      <c r="AB178" s="211"/>
      <c r="AC178" s="211"/>
      <c r="AD178" s="211"/>
      <c r="AE178" s="211"/>
      <c r="AF178" s="211"/>
      <c r="AG178" s="211"/>
      <c r="DE178" s="211"/>
      <c r="DF178" s="211"/>
      <c r="DG178" s="211"/>
      <c r="DH178" s="211"/>
      <c r="DI178" s="211"/>
      <c r="DJ178" s="211"/>
      <c r="DK178" s="211"/>
      <c r="DL178" s="211"/>
      <c r="DM178" s="211"/>
      <c r="DN178" s="211"/>
      <c r="DQ178" s="211"/>
      <c r="DV178" s="211"/>
      <c r="DW178" s="211"/>
      <c r="DX178" s="211"/>
      <c r="DY178" s="211"/>
      <c r="DZ178" s="211"/>
      <c r="EA178" s="211"/>
      <c r="EB178" s="211"/>
      <c r="EC178" s="211"/>
      <c r="ED178" s="211"/>
      <c r="EE178" s="211"/>
      <c r="EF178" s="211"/>
      <c r="EG178" s="211"/>
    </row>
    <row r="179" spans="1:137" ht="18" customHeight="1">
      <c r="A179" s="211"/>
      <c r="C179" s="211"/>
      <c r="D179" s="211"/>
      <c r="E179" s="211"/>
      <c r="H179" s="211"/>
      <c r="I179" s="211"/>
      <c r="J179" s="211"/>
      <c r="K179" s="211"/>
      <c r="L179" s="211"/>
      <c r="M179" s="211"/>
      <c r="N179" s="211"/>
      <c r="R179" s="211"/>
      <c r="S179" s="211"/>
      <c r="T179" s="211"/>
      <c r="U179" s="211"/>
      <c r="V179" s="211"/>
      <c r="W179" s="211"/>
      <c r="X179" s="211"/>
      <c r="Y179" s="211"/>
      <c r="Z179" s="211"/>
      <c r="AA179" s="211"/>
      <c r="AB179" s="211"/>
      <c r="AC179" s="211"/>
      <c r="AD179" s="211"/>
      <c r="AE179" s="211"/>
      <c r="AF179" s="211"/>
      <c r="AG179" s="211"/>
      <c r="DE179" s="211"/>
      <c r="DF179" s="211"/>
      <c r="DG179" s="211"/>
      <c r="DH179" s="211"/>
      <c r="DI179" s="211"/>
      <c r="DJ179" s="211"/>
      <c r="DK179" s="211"/>
      <c r="DL179" s="211"/>
      <c r="DM179" s="211"/>
      <c r="DN179" s="211"/>
      <c r="DQ179" s="211"/>
      <c r="DV179" s="211"/>
      <c r="DW179" s="211"/>
      <c r="DX179" s="211"/>
      <c r="DY179" s="211"/>
      <c r="DZ179" s="211"/>
      <c r="EA179" s="211"/>
      <c r="EB179" s="211"/>
      <c r="EC179" s="211"/>
      <c r="ED179" s="211"/>
      <c r="EE179" s="211"/>
      <c r="EF179" s="211"/>
      <c r="EG179" s="211"/>
    </row>
    <row r="180" spans="1:137" ht="18" customHeight="1">
      <c r="A180" s="211"/>
      <c r="C180" s="211"/>
      <c r="D180" s="211"/>
      <c r="E180" s="211"/>
      <c r="H180" s="211"/>
      <c r="I180" s="211"/>
      <c r="J180" s="211"/>
      <c r="K180" s="211"/>
      <c r="L180" s="211"/>
      <c r="M180" s="211"/>
      <c r="N180" s="211"/>
      <c r="R180" s="211"/>
      <c r="S180" s="211"/>
      <c r="T180" s="211"/>
      <c r="U180" s="211"/>
      <c r="V180" s="211"/>
      <c r="W180" s="211"/>
      <c r="X180" s="211"/>
      <c r="Y180" s="211"/>
      <c r="Z180" s="211"/>
      <c r="AA180" s="211"/>
      <c r="AB180" s="211"/>
      <c r="AC180" s="211"/>
      <c r="AD180" s="211"/>
      <c r="AE180" s="211"/>
      <c r="AF180" s="211"/>
      <c r="AG180" s="211"/>
      <c r="DE180" s="211"/>
      <c r="DF180" s="211"/>
      <c r="DG180" s="211"/>
      <c r="DH180" s="211"/>
      <c r="DI180" s="211"/>
      <c r="DJ180" s="211"/>
      <c r="DK180" s="211"/>
      <c r="DL180" s="211"/>
      <c r="DM180" s="211"/>
      <c r="DN180" s="211"/>
      <c r="DQ180" s="211"/>
      <c r="DV180" s="211"/>
      <c r="DW180" s="211"/>
      <c r="DX180" s="211"/>
      <c r="DY180" s="211"/>
      <c r="DZ180" s="211"/>
      <c r="EA180" s="211"/>
      <c r="EB180" s="211"/>
      <c r="EC180" s="211"/>
      <c r="ED180" s="211"/>
      <c r="EE180" s="211"/>
      <c r="EF180" s="211"/>
      <c r="EG180" s="211"/>
    </row>
    <row r="181" spans="1:137" ht="18" customHeight="1">
      <c r="A181" s="211"/>
      <c r="C181" s="211"/>
      <c r="D181" s="211"/>
      <c r="E181" s="211"/>
      <c r="H181" s="211"/>
      <c r="I181" s="211"/>
      <c r="J181" s="211"/>
      <c r="K181" s="211"/>
      <c r="L181" s="211"/>
      <c r="M181" s="211"/>
      <c r="N181" s="211"/>
      <c r="R181" s="211"/>
      <c r="S181" s="211"/>
      <c r="T181" s="211"/>
      <c r="U181" s="211"/>
      <c r="V181" s="211"/>
      <c r="W181" s="211"/>
      <c r="X181" s="211"/>
      <c r="Y181" s="211"/>
      <c r="Z181" s="211"/>
      <c r="AA181" s="211"/>
      <c r="AB181" s="211"/>
      <c r="AC181" s="211"/>
      <c r="AD181" s="211"/>
      <c r="AE181" s="211"/>
      <c r="AF181" s="211"/>
      <c r="AG181" s="211"/>
      <c r="DE181" s="211"/>
      <c r="DF181" s="211"/>
      <c r="DG181" s="211"/>
      <c r="DH181" s="211"/>
      <c r="DI181" s="211"/>
      <c r="DJ181" s="211"/>
      <c r="DK181" s="211"/>
      <c r="DL181" s="211"/>
      <c r="DM181" s="211"/>
      <c r="DN181" s="211"/>
      <c r="DQ181" s="211"/>
      <c r="DV181" s="211"/>
      <c r="DW181" s="211"/>
      <c r="DX181" s="211"/>
      <c r="DY181" s="211"/>
      <c r="DZ181" s="211"/>
      <c r="EA181" s="211"/>
      <c r="EB181" s="211"/>
      <c r="EC181" s="211"/>
      <c r="ED181" s="211"/>
      <c r="EE181" s="211"/>
      <c r="EF181" s="211"/>
      <c r="EG181" s="211"/>
    </row>
    <row r="182" spans="1:137" ht="18" customHeight="1">
      <c r="A182" s="211"/>
      <c r="C182" s="211"/>
      <c r="D182" s="211"/>
      <c r="E182" s="211"/>
      <c r="H182" s="211"/>
      <c r="I182" s="211"/>
      <c r="J182" s="211"/>
      <c r="K182" s="211"/>
      <c r="L182" s="211"/>
      <c r="M182" s="211"/>
      <c r="N182" s="211"/>
      <c r="Q182" s="211"/>
      <c r="R182" s="211"/>
      <c r="S182" s="211"/>
      <c r="T182" s="211"/>
      <c r="U182" s="211"/>
      <c r="V182" s="211"/>
      <c r="W182" s="211"/>
      <c r="X182" s="211"/>
      <c r="Y182" s="211"/>
      <c r="Z182" s="211"/>
      <c r="AA182" s="211"/>
      <c r="AB182" s="211"/>
      <c r="AC182" s="211"/>
      <c r="AD182" s="211"/>
      <c r="AE182" s="211"/>
      <c r="AF182" s="211"/>
      <c r="AG182" s="211"/>
      <c r="DE182" s="211"/>
      <c r="DF182" s="211"/>
      <c r="DG182" s="211"/>
      <c r="DH182" s="211"/>
      <c r="DI182" s="211"/>
      <c r="DJ182" s="211"/>
      <c r="DK182" s="211"/>
      <c r="DL182" s="211"/>
      <c r="DM182" s="211"/>
      <c r="DN182" s="211"/>
      <c r="DQ182" s="211"/>
      <c r="DV182" s="211"/>
      <c r="DW182" s="211"/>
      <c r="DX182" s="211"/>
      <c r="DY182" s="211"/>
      <c r="DZ182" s="211"/>
      <c r="EA182" s="211"/>
      <c r="EB182" s="211"/>
      <c r="EC182" s="211"/>
      <c r="ED182" s="211"/>
      <c r="EE182" s="211"/>
      <c r="EF182" s="211"/>
      <c r="EG182" s="211"/>
    </row>
    <row r="183" spans="1:137" ht="18" customHeight="1">
      <c r="A183" s="211"/>
      <c r="C183" s="211"/>
      <c r="D183" s="211"/>
      <c r="E183" s="211"/>
      <c r="H183" s="211"/>
      <c r="I183" s="211"/>
      <c r="J183" s="211"/>
      <c r="K183" s="211"/>
      <c r="L183" s="211"/>
      <c r="M183" s="211"/>
      <c r="N183" s="211"/>
      <c r="Q183" s="211"/>
      <c r="R183" s="211"/>
      <c r="S183" s="211"/>
      <c r="T183" s="211"/>
      <c r="U183" s="211"/>
      <c r="V183" s="211"/>
      <c r="W183" s="211"/>
      <c r="X183" s="211"/>
      <c r="Y183" s="211"/>
      <c r="Z183" s="211"/>
      <c r="AA183" s="211"/>
      <c r="AB183" s="211"/>
      <c r="AC183" s="211"/>
      <c r="AD183" s="211"/>
      <c r="AE183" s="211"/>
      <c r="AF183" s="211"/>
      <c r="AG183" s="211"/>
      <c r="DE183" s="211"/>
      <c r="DF183" s="211"/>
      <c r="DG183" s="211"/>
      <c r="DH183" s="211"/>
      <c r="DI183" s="211"/>
      <c r="DJ183" s="211"/>
      <c r="DK183" s="211"/>
      <c r="DL183" s="211"/>
      <c r="DM183" s="211"/>
      <c r="DN183" s="211"/>
      <c r="DQ183" s="211"/>
      <c r="DV183" s="211"/>
      <c r="DW183" s="211"/>
      <c r="DX183" s="211"/>
      <c r="DY183" s="211"/>
      <c r="DZ183" s="211"/>
      <c r="EA183" s="211"/>
      <c r="EB183" s="211"/>
      <c r="EC183" s="211"/>
      <c r="ED183" s="211"/>
      <c r="EE183" s="211"/>
      <c r="EF183" s="211"/>
      <c r="EG183" s="211"/>
    </row>
    <row r="184" spans="1:137" ht="18" customHeight="1">
      <c r="A184" s="211"/>
      <c r="C184" s="211"/>
      <c r="D184" s="211"/>
      <c r="E184" s="211"/>
      <c r="H184" s="211"/>
      <c r="I184" s="211"/>
      <c r="J184" s="211"/>
      <c r="K184" s="211"/>
      <c r="L184" s="211"/>
      <c r="M184" s="211"/>
      <c r="N184" s="211"/>
      <c r="Q184" s="211"/>
      <c r="R184" s="211"/>
      <c r="S184" s="211"/>
      <c r="T184" s="211"/>
      <c r="U184" s="211"/>
      <c r="V184" s="211"/>
      <c r="W184" s="211"/>
      <c r="X184" s="211"/>
      <c r="Y184" s="211"/>
      <c r="Z184" s="211"/>
      <c r="AA184" s="211"/>
      <c r="AB184" s="211"/>
      <c r="AC184" s="211"/>
      <c r="AD184" s="211"/>
      <c r="AE184" s="211"/>
      <c r="AF184" s="211"/>
      <c r="AG184" s="211"/>
      <c r="DE184" s="211"/>
      <c r="DF184" s="211"/>
      <c r="DG184" s="211"/>
      <c r="DH184" s="211"/>
      <c r="DI184" s="211"/>
      <c r="DJ184" s="211"/>
      <c r="DK184" s="211"/>
      <c r="DL184" s="211"/>
      <c r="DM184" s="211"/>
      <c r="DN184" s="211"/>
      <c r="DQ184" s="211"/>
      <c r="DV184" s="211"/>
      <c r="DW184" s="211"/>
      <c r="DX184" s="211"/>
      <c r="DY184" s="211"/>
      <c r="DZ184" s="211"/>
      <c r="EA184" s="211"/>
      <c r="EB184" s="211"/>
      <c r="EC184" s="211"/>
      <c r="ED184" s="211"/>
      <c r="EE184" s="211"/>
      <c r="EF184" s="211"/>
      <c r="EG184" s="211"/>
    </row>
    <row r="185" spans="1:137" ht="18" customHeight="1">
      <c r="A185" s="211"/>
      <c r="C185" s="211"/>
      <c r="D185" s="211"/>
      <c r="E185" s="211"/>
      <c r="H185" s="211"/>
      <c r="I185" s="211"/>
      <c r="J185" s="211"/>
      <c r="K185" s="211"/>
      <c r="L185" s="211"/>
      <c r="M185" s="211"/>
      <c r="N185" s="211"/>
      <c r="Q185" s="211"/>
      <c r="R185" s="211"/>
      <c r="S185" s="211"/>
      <c r="T185" s="211"/>
      <c r="U185" s="211"/>
      <c r="V185" s="211"/>
      <c r="W185" s="211"/>
      <c r="X185" s="211"/>
      <c r="Y185" s="211"/>
      <c r="Z185" s="211"/>
      <c r="AA185" s="211"/>
      <c r="AB185" s="211"/>
      <c r="AC185" s="211"/>
      <c r="AD185" s="211"/>
      <c r="AE185" s="211"/>
      <c r="AF185" s="211"/>
      <c r="AG185" s="211"/>
      <c r="DE185" s="211"/>
      <c r="DF185" s="211"/>
      <c r="DG185" s="211"/>
      <c r="DH185" s="211"/>
      <c r="DI185" s="211"/>
      <c r="DJ185" s="211"/>
      <c r="DK185" s="211"/>
      <c r="DL185" s="211"/>
      <c r="DM185" s="211"/>
      <c r="DN185" s="211"/>
      <c r="DQ185" s="211"/>
      <c r="DV185" s="211"/>
      <c r="DW185" s="211"/>
      <c r="DX185" s="211"/>
      <c r="DY185" s="211"/>
      <c r="DZ185" s="211"/>
      <c r="EA185" s="211"/>
      <c r="EB185" s="211"/>
      <c r="EC185" s="211"/>
      <c r="ED185" s="211"/>
      <c r="EE185" s="211"/>
      <c r="EF185" s="211"/>
      <c r="EG185" s="211"/>
    </row>
    <row r="186" spans="1:137" ht="18" customHeight="1">
      <c r="A186" s="211"/>
      <c r="C186" s="211"/>
      <c r="D186" s="211"/>
      <c r="E186" s="211"/>
      <c r="H186" s="211"/>
      <c r="I186" s="211"/>
      <c r="J186" s="211"/>
      <c r="K186" s="211"/>
      <c r="L186" s="211"/>
      <c r="M186" s="211"/>
      <c r="N186" s="211"/>
      <c r="Q186" s="211"/>
      <c r="R186" s="211"/>
      <c r="S186" s="211"/>
      <c r="T186" s="211"/>
      <c r="U186" s="211"/>
      <c r="V186" s="211"/>
      <c r="W186" s="211"/>
      <c r="X186" s="211"/>
      <c r="Y186" s="211"/>
      <c r="Z186" s="211"/>
      <c r="AA186" s="211"/>
      <c r="AB186" s="211"/>
      <c r="AC186" s="211"/>
      <c r="AD186" s="211"/>
      <c r="AE186" s="211"/>
      <c r="AF186" s="211"/>
      <c r="AG186" s="211"/>
      <c r="DE186" s="211"/>
      <c r="DF186" s="211"/>
      <c r="DG186" s="211"/>
      <c r="DH186" s="211"/>
      <c r="DI186" s="211"/>
      <c r="DJ186" s="211"/>
      <c r="DK186" s="211"/>
      <c r="DL186" s="211"/>
      <c r="DM186" s="211"/>
      <c r="DN186" s="211"/>
      <c r="DQ186" s="211"/>
      <c r="DV186" s="211"/>
      <c r="DW186" s="211"/>
      <c r="DX186" s="211"/>
      <c r="DY186" s="211"/>
      <c r="DZ186" s="211"/>
      <c r="EA186" s="211"/>
      <c r="EB186" s="211"/>
      <c r="EC186" s="211"/>
      <c r="ED186" s="211"/>
      <c r="EE186" s="211"/>
      <c r="EF186" s="211"/>
      <c r="EG186" s="211"/>
    </row>
    <row r="187" spans="1:137" ht="18" customHeight="1">
      <c r="A187" s="211"/>
      <c r="C187" s="211"/>
      <c r="D187" s="211"/>
      <c r="E187" s="211"/>
      <c r="H187" s="211"/>
      <c r="I187" s="211"/>
      <c r="J187" s="211"/>
      <c r="K187" s="211"/>
      <c r="L187" s="211"/>
      <c r="M187" s="211"/>
      <c r="N187" s="211"/>
      <c r="Q187" s="211"/>
      <c r="R187" s="211"/>
      <c r="S187" s="211"/>
      <c r="T187" s="211"/>
      <c r="U187" s="211"/>
      <c r="V187" s="211"/>
      <c r="W187" s="211"/>
      <c r="X187" s="211"/>
      <c r="Y187" s="211"/>
      <c r="Z187" s="211"/>
      <c r="AA187" s="211"/>
      <c r="AB187" s="211"/>
      <c r="AC187" s="211"/>
      <c r="AD187" s="211"/>
      <c r="AE187" s="211"/>
      <c r="AF187" s="211"/>
      <c r="AG187" s="211"/>
      <c r="DE187" s="211"/>
      <c r="DF187" s="211"/>
      <c r="DG187" s="211"/>
      <c r="DH187" s="211"/>
      <c r="DI187" s="211"/>
      <c r="DJ187" s="211"/>
      <c r="DK187" s="211"/>
      <c r="DL187" s="211"/>
      <c r="DM187" s="211"/>
      <c r="DN187" s="211"/>
      <c r="DQ187" s="211"/>
      <c r="DV187" s="211"/>
      <c r="DW187" s="211"/>
      <c r="DX187" s="211"/>
      <c r="DY187" s="211"/>
      <c r="DZ187" s="211"/>
      <c r="EA187" s="211"/>
      <c r="EB187" s="211"/>
      <c r="EC187" s="211"/>
      <c r="ED187" s="211"/>
      <c r="EE187" s="211"/>
      <c r="EF187" s="211"/>
      <c r="EG187" s="211"/>
    </row>
    <row r="188" spans="1:137" ht="18" customHeight="1">
      <c r="A188" s="211"/>
      <c r="C188" s="211"/>
      <c r="D188" s="211"/>
      <c r="E188" s="211"/>
      <c r="H188" s="211"/>
      <c r="I188" s="211"/>
      <c r="J188" s="211"/>
      <c r="K188" s="211"/>
      <c r="L188" s="211"/>
      <c r="M188" s="211"/>
      <c r="N188" s="211"/>
      <c r="Q188" s="211"/>
      <c r="R188" s="211"/>
      <c r="S188" s="211"/>
      <c r="T188" s="211"/>
      <c r="U188" s="211"/>
      <c r="V188" s="211"/>
      <c r="W188" s="211"/>
      <c r="X188" s="211"/>
      <c r="Y188" s="211"/>
      <c r="Z188" s="211"/>
      <c r="AA188" s="211"/>
      <c r="AB188" s="211"/>
      <c r="AC188" s="211"/>
      <c r="AD188" s="211"/>
      <c r="AE188" s="211"/>
      <c r="AF188" s="211"/>
      <c r="AG188" s="211"/>
      <c r="DE188" s="211"/>
      <c r="DF188" s="211"/>
      <c r="DG188" s="211"/>
      <c r="DH188" s="211"/>
      <c r="DI188" s="211"/>
      <c r="DJ188" s="211"/>
      <c r="DK188" s="211"/>
      <c r="DL188" s="211"/>
      <c r="DM188" s="211"/>
      <c r="DN188" s="211"/>
      <c r="DQ188" s="211"/>
      <c r="DV188" s="211"/>
      <c r="DW188" s="211"/>
      <c r="DX188" s="211"/>
      <c r="DY188" s="211"/>
      <c r="DZ188" s="211"/>
      <c r="EA188" s="211"/>
      <c r="EB188" s="211"/>
      <c r="EC188" s="211"/>
      <c r="ED188" s="211"/>
      <c r="EE188" s="211"/>
      <c r="EF188" s="211"/>
      <c r="EG188" s="211"/>
    </row>
    <row r="189" spans="1:137" ht="18" customHeight="1">
      <c r="A189" s="211"/>
      <c r="C189" s="211"/>
      <c r="D189" s="211"/>
      <c r="E189" s="211"/>
      <c r="H189" s="211"/>
      <c r="I189" s="211"/>
      <c r="J189" s="211"/>
      <c r="K189" s="211"/>
      <c r="L189" s="211"/>
      <c r="M189" s="211"/>
      <c r="N189" s="211"/>
      <c r="Q189" s="211"/>
      <c r="R189" s="211"/>
      <c r="S189" s="211"/>
      <c r="T189" s="211"/>
      <c r="U189" s="211"/>
      <c r="V189" s="211"/>
      <c r="W189" s="211"/>
      <c r="X189" s="211"/>
      <c r="Y189" s="211"/>
      <c r="Z189" s="211"/>
      <c r="AA189" s="211"/>
      <c r="AB189" s="211"/>
      <c r="AC189" s="211"/>
      <c r="AD189" s="211"/>
      <c r="AE189" s="211"/>
      <c r="AF189" s="211"/>
      <c r="AG189" s="211"/>
      <c r="DE189" s="211"/>
      <c r="DF189" s="211"/>
      <c r="DG189" s="211"/>
      <c r="DH189" s="211"/>
      <c r="DI189" s="211"/>
      <c r="DJ189" s="211"/>
      <c r="DK189" s="211"/>
      <c r="DL189" s="211"/>
      <c r="DM189" s="211"/>
      <c r="DN189" s="211"/>
      <c r="DQ189" s="211"/>
      <c r="DV189" s="211"/>
      <c r="DW189" s="211"/>
      <c r="DX189" s="211"/>
      <c r="DY189" s="211"/>
      <c r="DZ189" s="211"/>
      <c r="EA189" s="211"/>
      <c r="EB189" s="211"/>
      <c r="EC189" s="211"/>
      <c r="ED189" s="211"/>
      <c r="EE189" s="211"/>
      <c r="EF189" s="211"/>
      <c r="EG189" s="211"/>
    </row>
    <row r="190" spans="1:137" ht="18" customHeight="1">
      <c r="A190" s="211"/>
      <c r="C190" s="211"/>
      <c r="D190" s="211"/>
      <c r="E190" s="211"/>
      <c r="H190" s="211"/>
      <c r="I190" s="211"/>
      <c r="J190" s="211"/>
      <c r="K190" s="211"/>
      <c r="L190" s="211"/>
      <c r="M190" s="211"/>
      <c r="N190" s="211"/>
      <c r="Q190" s="211"/>
      <c r="R190" s="211"/>
      <c r="S190" s="211"/>
      <c r="T190" s="211"/>
      <c r="U190" s="211"/>
      <c r="V190" s="211"/>
      <c r="W190" s="211"/>
      <c r="X190" s="211"/>
      <c r="Y190" s="211"/>
      <c r="Z190" s="211"/>
      <c r="AA190" s="211"/>
      <c r="AB190" s="211"/>
      <c r="AC190" s="211"/>
      <c r="AD190" s="211"/>
      <c r="AE190" s="211"/>
      <c r="AF190" s="211"/>
      <c r="AG190" s="211"/>
      <c r="DE190" s="211"/>
      <c r="DF190" s="211"/>
      <c r="DG190" s="211"/>
      <c r="DH190" s="211"/>
      <c r="DI190" s="211"/>
      <c r="DJ190" s="211"/>
      <c r="DK190" s="211"/>
      <c r="DL190" s="211"/>
      <c r="DM190" s="211"/>
      <c r="DN190" s="211"/>
      <c r="DQ190" s="211"/>
      <c r="DV190" s="211"/>
      <c r="DW190" s="211"/>
      <c r="DX190" s="211"/>
      <c r="DY190" s="211"/>
      <c r="DZ190" s="211"/>
      <c r="EA190" s="211"/>
      <c r="EB190" s="211"/>
      <c r="EC190" s="211"/>
      <c r="ED190" s="211"/>
      <c r="EE190" s="211"/>
      <c r="EF190" s="211"/>
      <c r="EG190" s="211"/>
    </row>
    <row r="191" spans="1:137" ht="18" customHeight="1">
      <c r="A191" s="211"/>
      <c r="C191" s="211"/>
      <c r="D191" s="211"/>
      <c r="E191" s="211"/>
      <c r="H191" s="211"/>
      <c r="I191" s="211"/>
      <c r="J191" s="211"/>
      <c r="K191" s="211"/>
      <c r="L191" s="211"/>
      <c r="M191" s="211"/>
      <c r="N191" s="211"/>
      <c r="Q191" s="211"/>
      <c r="R191" s="211"/>
      <c r="S191" s="211"/>
      <c r="T191" s="211"/>
      <c r="U191" s="211"/>
      <c r="V191" s="211"/>
      <c r="W191" s="211"/>
      <c r="X191" s="211"/>
      <c r="Y191" s="211"/>
      <c r="Z191" s="211"/>
      <c r="AA191" s="211"/>
      <c r="AB191" s="211"/>
      <c r="AC191" s="211"/>
      <c r="AD191" s="211"/>
      <c r="AE191" s="211"/>
      <c r="AF191" s="211"/>
      <c r="AG191" s="211"/>
      <c r="DE191" s="211"/>
      <c r="DF191" s="211"/>
      <c r="DG191" s="211"/>
      <c r="DH191" s="211"/>
      <c r="DI191" s="211"/>
      <c r="DJ191" s="211"/>
      <c r="DK191" s="211"/>
      <c r="DL191" s="211"/>
      <c r="DM191" s="211"/>
      <c r="DN191" s="211"/>
      <c r="DQ191" s="211"/>
      <c r="DV191" s="211"/>
      <c r="DW191" s="211"/>
      <c r="DX191" s="211"/>
      <c r="DY191" s="211"/>
      <c r="DZ191" s="211"/>
      <c r="EA191" s="211"/>
      <c r="EB191" s="211"/>
      <c r="EC191" s="211"/>
      <c r="ED191" s="211"/>
      <c r="EE191" s="211"/>
      <c r="EF191" s="211"/>
      <c r="EG191" s="211"/>
    </row>
    <row r="192" spans="1:137" ht="18" customHeight="1">
      <c r="A192" s="211"/>
      <c r="C192" s="211"/>
      <c r="D192" s="211"/>
      <c r="E192" s="211"/>
      <c r="H192" s="211"/>
      <c r="I192" s="211"/>
      <c r="J192" s="211"/>
      <c r="K192" s="211"/>
      <c r="L192" s="211"/>
      <c r="M192" s="211"/>
      <c r="N192" s="211"/>
      <c r="Q192" s="211"/>
      <c r="R192" s="211"/>
      <c r="S192" s="211"/>
      <c r="T192" s="211"/>
      <c r="U192" s="211"/>
      <c r="V192" s="211"/>
      <c r="W192" s="211"/>
      <c r="X192" s="211"/>
      <c r="Y192" s="211"/>
      <c r="Z192" s="211"/>
      <c r="AA192" s="211"/>
      <c r="AB192" s="211"/>
      <c r="AC192" s="211"/>
      <c r="AD192" s="211"/>
      <c r="AE192" s="211"/>
      <c r="AF192" s="211"/>
      <c r="AG192" s="211"/>
      <c r="DE192" s="211"/>
      <c r="DF192" s="211"/>
      <c r="DG192" s="211"/>
      <c r="DH192" s="211"/>
      <c r="DI192" s="211"/>
      <c r="DJ192" s="211"/>
      <c r="DK192" s="211"/>
      <c r="DL192" s="211"/>
      <c r="DM192" s="211"/>
      <c r="DN192" s="211"/>
      <c r="DQ192" s="211"/>
      <c r="DV192" s="211"/>
      <c r="DW192" s="211"/>
      <c r="DX192" s="211"/>
      <c r="DY192" s="211"/>
      <c r="DZ192" s="211"/>
      <c r="EA192" s="211"/>
      <c r="EB192" s="211"/>
      <c r="EC192" s="211"/>
      <c r="ED192" s="211"/>
      <c r="EE192" s="211"/>
      <c r="EF192" s="211"/>
      <c r="EG192" s="211"/>
    </row>
    <row r="193" spans="1:137" ht="18" customHeight="1">
      <c r="A193" s="211"/>
      <c r="C193" s="211"/>
      <c r="D193" s="211"/>
      <c r="E193" s="211"/>
      <c r="H193" s="211"/>
      <c r="I193" s="211"/>
      <c r="J193" s="211"/>
      <c r="K193" s="211"/>
      <c r="L193" s="211"/>
      <c r="M193" s="211"/>
      <c r="N193" s="211"/>
      <c r="Q193" s="211"/>
      <c r="R193" s="211"/>
      <c r="S193" s="211"/>
      <c r="T193" s="211"/>
      <c r="U193" s="211"/>
      <c r="V193" s="211"/>
      <c r="W193" s="211"/>
      <c r="X193" s="211"/>
      <c r="Y193" s="211"/>
      <c r="Z193" s="211"/>
      <c r="AA193" s="211"/>
      <c r="AB193" s="211"/>
      <c r="AC193" s="211"/>
      <c r="AD193" s="211"/>
      <c r="AE193" s="211"/>
      <c r="AF193" s="211"/>
      <c r="AG193" s="211"/>
      <c r="DE193" s="211"/>
      <c r="DF193" s="211"/>
      <c r="DG193" s="211"/>
      <c r="DH193" s="211"/>
      <c r="DI193" s="211"/>
      <c r="DJ193" s="211"/>
      <c r="DK193" s="211"/>
      <c r="DL193" s="211"/>
      <c r="DM193" s="211"/>
      <c r="DN193" s="211"/>
      <c r="DQ193" s="211"/>
      <c r="DV193" s="211"/>
      <c r="DW193" s="211"/>
      <c r="DX193" s="211"/>
      <c r="DY193" s="211"/>
      <c r="DZ193" s="211"/>
      <c r="EA193" s="211"/>
      <c r="EB193" s="211"/>
      <c r="EC193" s="211"/>
      <c r="ED193" s="211"/>
      <c r="EE193" s="211"/>
      <c r="EF193" s="211"/>
      <c r="EG193" s="211"/>
    </row>
    <row r="194" spans="1:137" ht="18" customHeight="1">
      <c r="A194" s="211"/>
      <c r="C194" s="211"/>
      <c r="D194" s="211"/>
      <c r="E194" s="211"/>
      <c r="H194" s="211"/>
      <c r="I194" s="211"/>
      <c r="J194" s="211"/>
      <c r="K194" s="211"/>
      <c r="L194" s="211"/>
      <c r="M194" s="211"/>
      <c r="N194" s="211"/>
      <c r="Q194" s="211"/>
      <c r="R194" s="211"/>
      <c r="S194" s="211"/>
      <c r="T194" s="211"/>
      <c r="U194" s="211"/>
      <c r="V194" s="211"/>
      <c r="W194" s="211"/>
      <c r="X194" s="211"/>
      <c r="Y194" s="211"/>
      <c r="Z194" s="211"/>
      <c r="AA194" s="211"/>
      <c r="AB194" s="211"/>
      <c r="AC194" s="211"/>
      <c r="AD194" s="211"/>
      <c r="AE194" s="211"/>
      <c r="AF194" s="211"/>
      <c r="AG194" s="211"/>
      <c r="DE194" s="211"/>
      <c r="DF194" s="211"/>
      <c r="DG194" s="211"/>
      <c r="DH194" s="211"/>
      <c r="DI194" s="211"/>
      <c r="DJ194" s="211"/>
      <c r="DK194" s="211"/>
      <c r="DL194" s="211"/>
      <c r="DM194" s="211"/>
      <c r="DN194" s="211"/>
      <c r="DQ194" s="211"/>
      <c r="DV194" s="211"/>
      <c r="DW194" s="211"/>
      <c r="DX194" s="211"/>
      <c r="DY194" s="211"/>
      <c r="DZ194" s="211"/>
      <c r="EA194" s="211"/>
      <c r="EB194" s="211"/>
      <c r="EC194" s="211"/>
      <c r="ED194" s="211"/>
      <c r="EE194" s="211"/>
      <c r="EF194" s="211"/>
      <c r="EG194" s="211"/>
    </row>
    <row r="195" spans="1:137" ht="18" customHeight="1">
      <c r="A195" s="211"/>
      <c r="C195" s="211"/>
      <c r="D195" s="211"/>
      <c r="E195" s="211"/>
      <c r="H195" s="211"/>
      <c r="I195" s="211"/>
      <c r="J195" s="211"/>
      <c r="K195" s="211"/>
      <c r="L195" s="211"/>
      <c r="M195" s="211"/>
      <c r="N195" s="211"/>
      <c r="Q195" s="211"/>
      <c r="R195" s="211"/>
      <c r="S195" s="211"/>
      <c r="T195" s="211"/>
      <c r="U195" s="211"/>
      <c r="V195" s="211"/>
      <c r="W195" s="211"/>
      <c r="X195" s="211"/>
      <c r="Y195" s="211"/>
      <c r="Z195" s="211"/>
      <c r="AA195" s="211"/>
      <c r="AB195" s="211"/>
      <c r="AC195" s="211"/>
      <c r="AD195" s="211"/>
      <c r="AE195" s="211"/>
      <c r="AF195" s="211"/>
      <c r="AG195" s="211"/>
      <c r="DE195" s="211"/>
      <c r="DF195" s="211"/>
      <c r="DG195" s="211"/>
      <c r="DH195" s="211"/>
      <c r="DI195" s="211"/>
      <c r="DJ195" s="211"/>
      <c r="DK195" s="211"/>
      <c r="DL195" s="211"/>
      <c r="DM195" s="211"/>
      <c r="DN195" s="211"/>
      <c r="DQ195" s="211"/>
      <c r="DV195" s="211"/>
      <c r="DW195" s="211"/>
      <c r="DX195" s="211"/>
      <c r="DY195" s="211"/>
      <c r="DZ195" s="211"/>
      <c r="EA195" s="211"/>
      <c r="EB195" s="211"/>
      <c r="EC195" s="211"/>
      <c r="ED195" s="211"/>
      <c r="EE195" s="211"/>
      <c r="EF195" s="211"/>
      <c r="EG195" s="211"/>
    </row>
    <row r="196" spans="1:137" ht="18" customHeight="1">
      <c r="A196" s="211"/>
      <c r="C196" s="211"/>
      <c r="D196" s="211"/>
      <c r="E196" s="211"/>
      <c r="H196" s="211"/>
      <c r="I196" s="211"/>
      <c r="J196" s="211"/>
      <c r="K196" s="211"/>
      <c r="L196" s="211"/>
      <c r="M196" s="211"/>
      <c r="N196" s="211"/>
      <c r="Q196" s="211"/>
      <c r="R196" s="211"/>
      <c r="S196" s="211"/>
      <c r="T196" s="211"/>
      <c r="U196" s="211"/>
      <c r="V196" s="211"/>
      <c r="W196" s="211"/>
      <c r="X196" s="211"/>
      <c r="Y196" s="211"/>
      <c r="Z196" s="211"/>
      <c r="AA196" s="211"/>
      <c r="AB196" s="211"/>
      <c r="AC196" s="211"/>
      <c r="AD196" s="211"/>
      <c r="AE196" s="211"/>
      <c r="AF196" s="211"/>
      <c r="AG196" s="211"/>
      <c r="DE196" s="211"/>
      <c r="DF196" s="211"/>
      <c r="DG196" s="211"/>
      <c r="DH196" s="211"/>
      <c r="DI196" s="211"/>
      <c r="DJ196" s="211"/>
      <c r="DK196" s="211"/>
      <c r="DL196" s="211"/>
      <c r="DM196" s="211"/>
      <c r="DN196" s="211"/>
      <c r="DQ196" s="211"/>
      <c r="DV196" s="211"/>
      <c r="DW196" s="211"/>
      <c r="DX196" s="211"/>
      <c r="DY196" s="211"/>
      <c r="DZ196" s="211"/>
      <c r="EA196" s="211"/>
      <c r="EB196" s="211"/>
      <c r="EC196" s="211"/>
      <c r="ED196" s="211"/>
      <c r="EE196" s="211"/>
      <c r="EF196" s="211"/>
      <c r="EG196" s="211"/>
    </row>
    <row r="197" spans="1:137" ht="18" customHeight="1">
      <c r="A197" s="211"/>
      <c r="C197" s="211"/>
      <c r="D197" s="211"/>
      <c r="E197" s="211"/>
      <c r="H197" s="211"/>
      <c r="I197" s="211"/>
      <c r="J197" s="211"/>
      <c r="K197" s="211"/>
      <c r="L197" s="211"/>
      <c r="M197" s="211"/>
      <c r="N197" s="211"/>
      <c r="Q197" s="211"/>
      <c r="R197" s="211"/>
      <c r="S197" s="211"/>
      <c r="T197" s="211"/>
      <c r="U197" s="211"/>
      <c r="V197" s="211"/>
      <c r="W197" s="211"/>
      <c r="X197" s="211"/>
      <c r="Y197" s="211"/>
      <c r="Z197" s="211"/>
      <c r="AA197" s="211"/>
      <c r="AB197" s="211"/>
      <c r="AC197" s="211"/>
      <c r="AD197" s="211"/>
      <c r="AE197" s="211"/>
      <c r="AF197" s="211"/>
      <c r="AG197" s="211"/>
      <c r="DE197" s="211"/>
      <c r="DF197" s="211"/>
      <c r="DG197" s="211"/>
      <c r="DH197" s="211"/>
      <c r="DI197" s="211"/>
      <c r="DJ197" s="211"/>
      <c r="DK197" s="211"/>
      <c r="DL197" s="211"/>
      <c r="DM197" s="211"/>
      <c r="DN197" s="211"/>
      <c r="DQ197" s="211"/>
      <c r="DV197" s="211"/>
      <c r="DW197" s="211"/>
      <c r="DX197" s="211"/>
      <c r="DY197" s="211"/>
      <c r="DZ197" s="211"/>
      <c r="EA197" s="211"/>
      <c r="EB197" s="211"/>
      <c r="EC197" s="211"/>
      <c r="ED197" s="211"/>
      <c r="EE197" s="211"/>
      <c r="EF197" s="211"/>
      <c r="EG197" s="211"/>
    </row>
    <row r="198" spans="1:137" ht="18" customHeight="1">
      <c r="A198" s="211"/>
      <c r="C198" s="211"/>
      <c r="D198" s="211"/>
      <c r="E198" s="211"/>
      <c r="H198" s="211"/>
      <c r="I198" s="211"/>
      <c r="J198" s="211"/>
      <c r="K198" s="211"/>
      <c r="L198" s="211"/>
      <c r="M198" s="211"/>
      <c r="N198" s="211"/>
      <c r="Q198" s="211"/>
      <c r="R198" s="211"/>
      <c r="S198" s="211"/>
      <c r="T198" s="211"/>
      <c r="U198" s="211"/>
      <c r="V198" s="211"/>
      <c r="W198" s="211"/>
      <c r="X198" s="211"/>
      <c r="Y198" s="211"/>
      <c r="Z198" s="211"/>
      <c r="AA198" s="211"/>
      <c r="AB198" s="211"/>
      <c r="AC198" s="211"/>
      <c r="AD198" s="211"/>
      <c r="AE198" s="211"/>
      <c r="AF198" s="211"/>
      <c r="AG198" s="211"/>
      <c r="DE198" s="211"/>
      <c r="DF198" s="211"/>
      <c r="DG198" s="211"/>
      <c r="DH198" s="211"/>
      <c r="DI198" s="211"/>
      <c r="DJ198" s="211"/>
      <c r="DK198" s="211"/>
      <c r="DL198" s="211"/>
      <c r="DM198" s="211"/>
      <c r="DN198" s="211"/>
      <c r="DQ198" s="211"/>
      <c r="DV198" s="211"/>
      <c r="DW198" s="211"/>
      <c r="DX198" s="211"/>
      <c r="DY198" s="211"/>
      <c r="DZ198" s="211"/>
      <c r="EA198" s="211"/>
      <c r="EB198" s="211"/>
      <c r="EC198" s="211"/>
      <c r="ED198" s="211"/>
      <c r="EE198" s="211"/>
      <c r="EF198" s="211"/>
      <c r="EG198" s="211"/>
    </row>
    <row r="199" spans="1:137" ht="18" customHeight="1">
      <c r="A199" s="211"/>
      <c r="C199" s="211"/>
      <c r="D199" s="211"/>
      <c r="E199" s="211"/>
      <c r="H199" s="211"/>
      <c r="I199" s="211"/>
      <c r="J199" s="211"/>
      <c r="K199" s="211"/>
      <c r="L199" s="211"/>
      <c r="M199" s="211"/>
      <c r="N199" s="211"/>
      <c r="Q199" s="211"/>
      <c r="R199" s="211"/>
      <c r="S199" s="211"/>
      <c r="T199" s="211"/>
      <c r="U199" s="211"/>
      <c r="V199" s="211"/>
      <c r="W199" s="211"/>
      <c r="X199" s="211"/>
      <c r="Y199" s="211"/>
      <c r="Z199" s="211"/>
      <c r="AA199" s="211"/>
      <c r="AB199" s="211"/>
      <c r="AC199" s="211"/>
      <c r="AD199" s="211"/>
      <c r="AE199" s="211"/>
      <c r="AF199" s="211"/>
      <c r="AG199" s="211"/>
      <c r="DE199" s="211"/>
      <c r="DF199" s="211"/>
      <c r="DG199" s="211"/>
      <c r="DH199" s="211"/>
      <c r="DI199" s="211"/>
      <c r="DJ199" s="211"/>
      <c r="DK199" s="211"/>
      <c r="DL199" s="211"/>
      <c r="DM199" s="211"/>
      <c r="DN199" s="211"/>
      <c r="DQ199" s="211"/>
      <c r="DV199" s="211"/>
      <c r="DW199" s="211"/>
      <c r="DX199" s="211"/>
      <c r="DY199" s="211"/>
      <c r="DZ199" s="211"/>
      <c r="EA199" s="211"/>
      <c r="EB199" s="211"/>
      <c r="EC199" s="211"/>
      <c r="ED199" s="211"/>
      <c r="EE199" s="211"/>
      <c r="EF199" s="211"/>
      <c r="EG199" s="211"/>
    </row>
    <row r="200" spans="1:137" ht="18" customHeight="1">
      <c r="A200" s="211"/>
      <c r="C200" s="211"/>
      <c r="D200" s="211"/>
      <c r="E200" s="211"/>
      <c r="H200" s="211"/>
      <c r="I200" s="211"/>
      <c r="J200" s="211"/>
      <c r="K200" s="211"/>
      <c r="L200" s="211"/>
      <c r="M200" s="211"/>
      <c r="N200" s="211"/>
      <c r="Q200" s="211"/>
      <c r="R200" s="211"/>
      <c r="S200" s="211"/>
      <c r="T200" s="211"/>
      <c r="U200" s="211"/>
      <c r="V200" s="211"/>
      <c r="W200" s="211"/>
      <c r="X200" s="211"/>
      <c r="Y200" s="211"/>
      <c r="Z200" s="211"/>
      <c r="AA200" s="211"/>
      <c r="AB200" s="211"/>
      <c r="AC200" s="211"/>
      <c r="AD200" s="211"/>
      <c r="AE200" s="211"/>
      <c r="AF200" s="211"/>
      <c r="AG200" s="211"/>
      <c r="DE200" s="211"/>
      <c r="DF200" s="211"/>
      <c r="DG200" s="211"/>
      <c r="DH200" s="211"/>
      <c r="DI200" s="211"/>
      <c r="DJ200" s="211"/>
      <c r="DK200" s="211"/>
      <c r="DL200" s="211"/>
      <c r="DM200" s="211"/>
      <c r="DN200" s="211"/>
      <c r="DQ200" s="211"/>
      <c r="DV200" s="211"/>
      <c r="DW200" s="211"/>
      <c r="DX200" s="211"/>
      <c r="DY200" s="211"/>
      <c r="DZ200" s="211"/>
      <c r="EA200" s="211"/>
      <c r="EB200" s="211"/>
      <c r="EC200" s="211"/>
      <c r="ED200" s="211"/>
      <c r="EE200" s="211"/>
      <c r="EF200" s="211"/>
      <c r="EG200" s="211"/>
    </row>
    <row r="201" spans="1:137" ht="18" customHeight="1">
      <c r="A201" s="211"/>
      <c r="C201" s="211"/>
      <c r="D201" s="211"/>
      <c r="E201" s="211"/>
      <c r="H201" s="211"/>
      <c r="I201" s="211"/>
      <c r="J201" s="211"/>
      <c r="K201" s="211"/>
      <c r="L201" s="211"/>
      <c r="M201" s="211"/>
      <c r="N201" s="211"/>
      <c r="Q201" s="211"/>
      <c r="R201" s="211"/>
      <c r="S201" s="211"/>
      <c r="T201" s="211"/>
      <c r="U201" s="211"/>
      <c r="V201" s="211"/>
      <c r="W201" s="211"/>
      <c r="X201" s="211"/>
      <c r="Y201" s="211"/>
      <c r="Z201" s="211"/>
      <c r="AA201" s="211"/>
      <c r="AB201" s="211"/>
      <c r="AC201" s="211"/>
      <c r="AD201" s="211"/>
      <c r="AE201" s="211"/>
      <c r="AF201" s="211"/>
      <c r="AG201" s="211"/>
      <c r="DE201" s="211"/>
      <c r="DF201" s="211"/>
      <c r="DG201" s="211"/>
      <c r="DH201" s="211"/>
      <c r="DI201" s="211"/>
      <c r="DJ201" s="211"/>
      <c r="DK201" s="211"/>
      <c r="DL201" s="211"/>
      <c r="DM201" s="211"/>
      <c r="DN201" s="211"/>
      <c r="DQ201" s="211"/>
      <c r="DV201" s="211"/>
      <c r="DW201" s="211"/>
      <c r="DX201" s="211"/>
      <c r="DY201" s="211"/>
      <c r="DZ201" s="211"/>
      <c r="EA201" s="211"/>
      <c r="EB201" s="211"/>
      <c r="EC201" s="211"/>
      <c r="ED201" s="211"/>
      <c r="EE201" s="211"/>
      <c r="EF201" s="211"/>
      <c r="EG201" s="211"/>
    </row>
    <row r="202" spans="1:137" ht="18" customHeight="1">
      <c r="A202" s="211"/>
      <c r="C202" s="211"/>
      <c r="D202" s="211"/>
      <c r="E202" s="211"/>
      <c r="H202" s="211"/>
      <c r="I202" s="211"/>
      <c r="J202" s="211"/>
      <c r="K202" s="211"/>
      <c r="L202" s="211"/>
      <c r="M202" s="211"/>
      <c r="N202" s="211"/>
      <c r="Q202" s="211"/>
      <c r="R202" s="211"/>
      <c r="S202" s="211"/>
      <c r="T202" s="211"/>
      <c r="U202" s="211"/>
      <c r="V202" s="211"/>
      <c r="W202" s="211"/>
      <c r="X202" s="211"/>
      <c r="Y202" s="211"/>
      <c r="Z202" s="211"/>
      <c r="AA202" s="211"/>
      <c r="AB202" s="211"/>
      <c r="AC202" s="211"/>
      <c r="AD202" s="211"/>
      <c r="AE202" s="211"/>
      <c r="AF202" s="211"/>
      <c r="AG202" s="211"/>
      <c r="DE202" s="211"/>
      <c r="DF202" s="211"/>
      <c r="DG202" s="211"/>
      <c r="DH202" s="211"/>
      <c r="DI202" s="211"/>
      <c r="DJ202" s="211"/>
      <c r="DK202" s="211"/>
      <c r="DL202" s="211"/>
      <c r="DM202" s="211"/>
      <c r="DN202" s="211"/>
      <c r="DQ202" s="211"/>
      <c r="DV202" s="211"/>
      <c r="DW202" s="211"/>
      <c r="DX202" s="211"/>
      <c r="DY202" s="211"/>
      <c r="DZ202" s="211"/>
      <c r="EA202" s="211"/>
      <c r="EB202" s="211"/>
      <c r="EC202" s="211"/>
      <c r="ED202" s="211"/>
      <c r="EE202" s="211"/>
      <c r="EF202" s="211"/>
      <c r="EG202" s="211"/>
    </row>
    <row r="203" spans="1:137" ht="18" customHeight="1">
      <c r="A203" s="211"/>
      <c r="C203" s="211"/>
      <c r="D203" s="211"/>
      <c r="E203" s="211"/>
      <c r="H203" s="211"/>
      <c r="I203" s="211"/>
      <c r="J203" s="211"/>
      <c r="K203" s="211"/>
      <c r="L203" s="211"/>
      <c r="M203" s="211"/>
      <c r="N203" s="211"/>
      <c r="Q203" s="211"/>
      <c r="R203" s="211"/>
      <c r="S203" s="211"/>
      <c r="T203" s="211"/>
      <c r="U203" s="211"/>
      <c r="V203" s="211"/>
      <c r="W203" s="211"/>
      <c r="X203" s="211"/>
      <c r="Y203" s="211"/>
      <c r="Z203" s="211"/>
      <c r="AA203" s="211"/>
      <c r="AB203" s="211"/>
      <c r="AC203" s="211"/>
      <c r="AD203" s="211"/>
      <c r="AE203" s="211"/>
      <c r="AF203" s="211"/>
      <c r="AG203" s="211"/>
      <c r="DE203" s="211"/>
      <c r="DF203" s="211"/>
      <c r="DG203" s="211"/>
      <c r="DH203" s="211"/>
      <c r="DI203" s="211"/>
      <c r="DJ203" s="211"/>
      <c r="DK203" s="211"/>
      <c r="DL203" s="211"/>
      <c r="DM203" s="211"/>
      <c r="DN203" s="211"/>
      <c r="DQ203" s="211"/>
      <c r="DV203" s="211"/>
      <c r="DW203" s="211"/>
      <c r="DX203" s="211"/>
      <c r="DY203" s="211"/>
      <c r="DZ203" s="211"/>
      <c r="EA203" s="211"/>
      <c r="EB203" s="211"/>
      <c r="EC203" s="211"/>
      <c r="ED203" s="211"/>
      <c r="EE203" s="211"/>
      <c r="EF203" s="211"/>
      <c r="EG203" s="211"/>
    </row>
  </sheetData>
  <sheetProtection algorithmName="SHA-512" hashValue="s0P86ewmjMDbIauoiY5xd330vrNJ73alKkd8CkVWRe2/khA8KtcEjxckfmnK17aL160A552mu03Oa5u6zUVLoA==" saltValue="4EAeZwi0W9h/8oULWAwHCQ==" spinCount="100000" sheet="1"/>
  <mergeCells count="3">
    <mergeCell ref="P157:P166"/>
    <mergeCell ref="P35:P51"/>
    <mergeCell ref="P64:P68"/>
  </mergeCells>
  <pageMargins left="0.51181102362204722" right="0.51181102362204722" top="0.78740157480314965" bottom="0.78740157480314965" header="0.31496062992125984" footer="0.31496062992125984"/>
  <pageSetup paperSize="9" scale="38" fitToHeight="3" orientation="portrait" horizontalDpi="1200" verticalDpi="1200"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IP229"/>
  <sheetViews>
    <sheetView topLeftCell="B1" zoomScale="85" zoomScaleNormal="85" zoomScaleSheetLayoutView="85" workbookViewId="0">
      <selection activeCell="F17" sqref="F17"/>
    </sheetView>
  </sheetViews>
  <sheetFormatPr defaultRowHeight="12.75"/>
  <cols>
    <col min="1" max="1" width="21.140625" style="1319" customWidth="1"/>
    <col min="2" max="2" width="10.7109375" style="1320" customWidth="1"/>
    <col min="3" max="3" width="9.5703125" style="1320" customWidth="1"/>
    <col min="4" max="4" width="65.7109375" style="1023" customWidth="1"/>
    <col min="5" max="5" width="10.7109375" style="1023" customWidth="1"/>
    <col min="6" max="6" width="13.42578125" style="1024" customWidth="1"/>
    <col min="7" max="7" width="14.5703125" style="1023" customWidth="1"/>
    <col min="8" max="8" width="13" style="1023" customWidth="1"/>
    <col min="9" max="9" width="14.140625" style="1023" customWidth="1"/>
    <col min="10" max="10" width="13.85546875" style="1025" customWidth="1"/>
    <col min="11" max="11" width="11" style="1026" customWidth="1"/>
    <col min="12" max="12" width="8" style="1027" customWidth="1"/>
    <col min="13" max="13" width="12.140625" style="1027" customWidth="1"/>
    <col min="14" max="16384" width="9.140625" style="779"/>
  </cols>
  <sheetData>
    <row r="1" spans="1:13" s="865" customFormat="1">
      <c r="A1" s="912"/>
      <c r="B1" s="855"/>
      <c r="C1" s="855"/>
      <c r="D1" s="1661" t="s">
        <v>11665</v>
      </c>
      <c r="E1" s="1662"/>
      <c r="F1" s="1662"/>
      <c r="G1" s="1662"/>
      <c r="H1" s="1662"/>
      <c r="I1" s="1662"/>
      <c r="J1" s="1662"/>
      <c r="K1" s="1662"/>
      <c r="L1" s="1662"/>
      <c r="M1" s="1663"/>
    </row>
    <row r="2" spans="1:13" s="865" customFormat="1">
      <c r="A2" s="912"/>
      <c r="B2" s="855"/>
      <c r="C2" s="855"/>
      <c r="D2" s="1664"/>
      <c r="E2" s="1665"/>
      <c r="F2" s="1665"/>
      <c r="G2" s="1665"/>
      <c r="H2" s="1665"/>
      <c r="I2" s="1665"/>
      <c r="J2" s="1665"/>
      <c r="K2" s="1665"/>
      <c r="L2" s="1665"/>
      <c r="M2" s="1666"/>
    </row>
    <row r="3" spans="1:13" s="865" customFormat="1">
      <c r="A3" s="912"/>
      <c r="B3" s="855"/>
      <c r="C3" s="855"/>
      <c r="D3" s="1664"/>
      <c r="E3" s="1665"/>
      <c r="F3" s="1665"/>
      <c r="G3" s="1665"/>
      <c r="H3" s="1665"/>
      <c r="I3" s="1665"/>
      <c r="J3" s="1665"/>
      <c r="K3" s="1665"/>
      <c r="L3" s="1665"/>
      <c r="M3" s="1666"/>
    </row>
    <row r="4" spans="1:13" s="865" customFormat="1" ht="15.75" customHeight="1" thickBot="1">
      <c r="A4" s="912"/>
      <c r="B4" s="855"/>
      <c r="C4" s="855"/>
      <c r="D4" s="1667"/>
      <c r="E4" s="1668"/>
      <c r="F4" s="1668"/>
      <c r="G4" s="1668"/>
      <c r="H4" s="1668"/>
      <c r="I4" s="1668"/>
      <c r="J4" s="1668"/>
      <c r="K4" s="1668"/>
      <c r="L4" s="1668"/>
      <c r="M4" s="1669"/>
    </row>
    <row r="5" spans="1:13" s="865" customFormat="1" ht="14.25" customHeight="1">
      <c r="A5" s="912"/>
      <c r="B5" s="855"/>
      <c r="C5" s="855"/>
      <c r="D5" s="782"/>
      <c r="E5" s="700"/>
      <c r="F5" s="783"/>
      <c r="G5" s="783"/>
      <c r="H5" s="783"/>
      <c r="I5" s="783"/>
      <c r="J5" s="784"/>
      <c r="K5" s="785"/>
      <c r="L5" s="786"/>
      <c r="M5" s="787"/>
    </row>
    <row r="6" spans="1:13" s="865" customFormat="1" ht="14.25" customHeight="1">
      <c r="A6" s="912"/>
      <c r="B6" s="855"/>
      <c r="C6" s="855"/>
      <c r="D6" s="789" t="s">
        <v>14559</v>
      </c>
      <c r="E6" s="790"/>
      <c r="F6" s="790"/>
      <c r="G6" s="790"/>
      <c r="H6" s="790"/>
      <c r="I6" s="790"/>
      <c r="J6" s="790"/>
      <c r="K6" s="791"/>
      <c r="L6" s="792"/>
      <c r="M6" s="793"/>
    </row>
    <row r="7" spans="1:13" s="865" customFormat="1" ht="14.25" customHeight="1">
      <c r="A7" s="912"/>
      <c r="B7" s="855"/>
      <c r="C7" s="855"/>
      <c r="D7" s="789" t="s">
        <v>11836</v>
      </c>
      <c r="E7" s="790"/>
      <c r="F7" s="790"/>
      <c r="G7" s="790"/>
      <c r="H7" s="790"/>
      <c r="I7" s="790"/>
      <c r="J7" s="790"/>
      <c r="K7" s="791"/>
      <c r="L7" s="795"/>
      <c r="M7" s="796"/>
    </row>
    <row r="8" spans="1:13" s="863" customFormat="1" ht="14.25" customHeight="1">
      <c r="A8" s="912"/>
      <c r="B8" s="855"/>
      <c r="C8" s="855"/>
      <c r="D8" s="789" t="s">
        <v>14561</v>
      </c>
      <c r="E8" s="790"/>
      <c r="F8" s="790"/>
      <c r="G8" s="790"/>
      <c r="H8" s="790"/>
      <c r="I8" s="790"/>
      <c r="J8" s="790"/>
      <c r="K8" s="791"/>
      <c r="L8" s="795"/>
      <c r="M8" s="796"/>
    </row>
    <row r="9" spans="1:13" s="863" customFormat="1" ht="6.75" customHeight="1" thickBot="1">
      <c r="A9" s="912"/>
      <c r="B9" s="855"/>
      <c r="C9" s="855"/>
      <c r="D9" s="798"/>
      <c r="E9" s="799"/>
      <c r="F9" s="799"/>
      <c r="G9" s="800"/>
      <c r="H9" s="800"/>
      <c r="I9" s="800"/>
      <c r="J9" s="800"/>
      <c r="K9" s="801"/>
      <c r="L9" s="802"/>
      <c r="M9" s="803"/>
    </row>
    <row r="10" spans="1:13" s="863" customFormat="1" ht="15.75" customHeight="1" thickTop="1" thickBot="1">
      <c r="A10" s="912"/>
      <c r="B10" s="855"/>
      <c r="C10" s="855"/>
      <c r="D10" s="1653" t="s">
        <v>14633</v>
      </c>
      <c r="E10" s="1654"/>
      <c r="F10" s="1654"/>
      <c r="G10" s="1654"/>
      <c r="H10" s="1654"/>
      <c r="I10" s="1654"/>
      <c r="J10" s="1654"/>
      <c r="K10" s="1654"/>
      <c r="L10" s="1654"/>
      <c r="M10" s="1670"/>
    </row>
    <row r="11" spans="1:13" s="863" customFormat="1" ht="6" customHeight="1" thickTop="1" thickBot="1">
      <c r="A11" s="912"/>
      <c r="B11" s="855"/>
      <c r="C11" s="855"/>
      <c r="D11" s="806"/>
      <c r="E11" s="807"/>
      <c r="F11" s="808"/>
      <c r="G11" s="700"/>
      <c r="H11" s="700"/>
      <c r="I11" s="700"/>
      <c r="J11" s="809"/>
      <c r="K11" s="791"/>
      <c r="L11" s="802"/>
      <c r="M11" s="810"/>
    </row>
    <row r="12" spans="1:13" s="777" customFormat="1" ht="14.25" customHeight="1" thickTop="1" thickBot="1">
      <c r="A12" s="1319"/>
      <c r="B12" s="1320"/>
      <c r="C12" s="1320"/>
      <c r="D12" s="1671" t="s">
        <v>3</v>
      </c>
      <c r="E12" s="1672"/>
      <c r="F12" s="1672"/>
      <c r="G12" s="1672"/>
      <c r="H12" s="1672"/>
      <c r="I12" s="1672"/>
      <c r="J12" s="1672"/>
      <c r="K12" s="1672"/>
      <c r="L12" s="1672"/>
      <c r="M12" s="1673"/>
    </row>
    <row r="13" spans="1:13" s="777" customFormat="1" ht="13.5" thickTop="1">
      <c r="A13" s="1319"/>
      <c r="B13" s="1320"/>
      <c r="C13" s="1320"/>
      <c r="D13" s="814" t="s">
        <v>4</v>
      </c>
      <c r="E13" s="815"/>
      <c r="F13" s="815"/>
      <c r="G13" s="815"/>
      <c r="H13" s="815"/>
      <c r="I13" s="815"/>
      <c r="J13" s="815"/>
      <c r="K13" s="815"/>
      <c r="L13" s="816" t="s">
        <v>5</v>
      </c>
      <c r="M13" s="817">
        <f>'JAZIDA-BF'!C9</f>
        <v>6.9</v>
      </c>
    </row>
    <row r="14" spans="1:13" s="777" customFormat="1">
      <c r="A14" s="1319"/>
      <c r="B14" s="1320"/>
      <c r="C14" s="1320"/>
      <c r="D14" s="820" t="s">
        <v>34</v>
      </c>
      <c r="E14" s="821"/>
      <c r="F14" s="821"/>
      <c r="G14" s="821"/>
      <c r="H14" s="821"/>
      <c r="I14" s="821"/>
      <c r="J14" s="821"/>
      <c r="K14" s="821"/>
      <c r="L14" s="816" t="s">
        <v>5</v>
      </c>
      <c r="M14" s="817">
        <f>'JAZIDA-BF'!B9</f>
        <v>5.4</v>
      </c>
    </row>
    <row r="15" spans="1:13" s="777" customFormat="1">
      <c r="A15" s="1319"/>
      <c r="B15" s="1320"/>
      <c r="C15" s="1320"/>
      <c r="D15" s="820" t="s">
        <v>6</v>
      </c>
      <c r="E15" s="821"/>
      <c r="F15" s="821"/>
      <c r="G15" s="821"/>
      <c r="H15" s="821"/>
      <c r="I15" s="821"/>
      <c r="J15" s="821"/>
      <c r="K15" s="821"/>
      <c r="L15" s="816" t="s">
        <v>8</v>
      </c>
      <c r="M15" s="1321">
        <v>0.95</v>
      </c>
    </row>
    <row r="16" spans="1:13" s="777" customFormat="1">
      <c r="A16" s="1319"/>
      <c r="B16" s="1320"/>
      <c r="C16" s="1320"/>
      <c r="D16" s="820" t="s">
        <v>7</v>
      </c>
      <c r="E16" s="821"/>
      <c r="F16" s="821"/>
      <c r="G16" s="821"/>
      <c r="H16" s="821"/>
      <c r="I16" s="821"/>
      <c r="J16" s="821"/>
      <c r="K16" s="821"/>
      <c r="L16" s="816" t="s">
        <v>8</v>
      </c>
      <c r="M16" s="1321">
        <v>0.05</v>
      </c>
    </row>
    <row r="17" spans="1:13" s="777" customFormat="1">
      <c r="A17" s="1319"/>
      <c r="B17" s="1320"/>
      <c r="C17" s="1320"/>
      <c r="D17" s="820" t="s">
        <v>9</v>
      </c>
      <c r="E17" s="821"/>
      <c r="F17" s="821"/>
      <c r="G17" s="821"/>
      <c r="H17" s="821"/>
      <c r="I17" s="821"/>
      <c r="J17" s="821"/>
      <c r="K17" s="821"/>
      <c r="L17" s="816" t="s">
        <v>8</v>
      </c>
      <c r="M17" s="1321">
        <v>0.9</v>
      </c>
    </row>
    <row r="18" spans="1:13" s="777" customFormat="1">
      <c r="A18" s="1319"/>
      <c r="B18" s="1320"/>
      <c r="C18" s="1320"/>
      <c r="D18" s="820" t="s">
        <v>10</v>
      </c>
      <c r="E18" s="821"/>
      <c r="F18" s="821"/>
      <c r="G18" s="821"/>
      <c r="H18" s="821"/>
      <c r="I18" s="821"/>
      <c r="J18" s="821"/>
      <c r="K18" s="821"/>
      <c r="L18" s="816" t="s">
        <v>8</v>
      </c>
      <c r="M18" s="1321">
        <v>0.05</v>
      </c>
    </row>
    <row r="19" spans="1:13" s="777" customFormat="1">
      <c r="A19" s="1319"/>
      <c r="B19" s="1320"/>
      <c r="C19" s="1320"/>
      <c r="D19" s="820" t="s">
        <v>11</v>
      </c>
      <c r="E19" s="821"/>
      <c r="F19" s="821"/>
      <c r="G19" s="821"/>
      <c r="H19" s="821"/>
      <c r="I19" s="821"/>
      <c r="J19" s="821"/>
      <c r="K19" s="821"/>
      <c r="L19" s="816" t="s">
        <v>8</v>
      </c>
      <c r="M19" s="1321">
        <v>0</v>
      </c>
    </row>
    <row r="20" spans="1:13" s="777" customFormat="1">
      <c r="A20" s="1319"/>
      <c r="B20" s="1320"/>
      <c r="C20" s="1320"/>
      <c r="D20" s="820" t="s">
        <v>12</v>
      </c>
      <c r="E20" s="821"/>
      <c r="F20" s="821"/>
      <c r="G20" s="821"/>
      <c r="H20" s="821"/>
      <c r="I20" s="821"/>
      <c r="J20" s="821"/>
      <c r="K20" s="821"/>
      <c r="L20" s="816" t="s">
        <v>8</v>
      </c>
      <c r="M20" s="1321">
        <v>0.05</v>
      </c>
    </row>
    <row r="21" spans="1:13" s="777" customFormat="1">
      <c r="A21" s="1319"/>
      <c r="B21" s="1320"/>
      <c r="C21" s="1320"/>
      <c r="D21" s="820" t="s">
        <v>13</v>
      </c>
      <c r="E21" s="821"/>
      <c r="F21" s="821"/>
      <c r="G21" s="821"/>
      <c r="H21" s="821"/>
      <c r="I21" s="821"/>
      <c r="J21" s="821"/>
      <c r="K21" s="821"/>
      <c r="L21" s="816" t="s">
        <v>8</v>
      </c>
      <c r="M21" s="1321">
        <v>0.2</v>
      </c>
    </row>
    <row r="22" spans="1:13" s="777" customFormat="1">
      <c r="A22" s="1319"/>
      <c r="B22" s="1320"/>
      <c r="C22" s="1320"/>
      <c r="D22" s="820" t="s">
        <v>14</v>
      </c>
      <c r="E22" s="821"/>
      <c r="F22" s="821"/>
      <c r="G22" s="821"/>
      <c r="H22" s="821"/>
      <c r="I22" s="821"/>
      <c r="J22" s="821"/>
      <c r="K22" s="821"/>
      <c r="L22" s="816" t="s">
        <v>8</v>
      </c>
      <c r="M22" s="1321">
        <v>0.3</v>
      </c>
    </row>
    <row r="23" spans="1:13" s="777" customFormat="1">
      <c r="A23" s="1319"/>
      <c r="B23" s="1320"/>
      <c r="C23" s="1320"/>
      <c r="D23" s="820" t="s">
        <v>15</v>
      </c>
      <c r="E23" s="821"/>
      <c r="F23" s="821"/>
      <c r="G23" s="821"/>
      <c r="H23" s="821"/>
      <c r="I23" s="821"/>
      <c r="J23" s="821"/>
      <c r="K23" s="821"/>
      <c r="L23" s="816" t="s">
        <v>8</v>
      </c>
      <c r="M23" s="1321">
        <v>0.1</v>
      </c>
    </row>
    <row r="24" spans="1:13" s="777" customFormat="1">
      <c r="A24" s="1319"/>
      <c r="B24" s="1320"/>
      <c r="C24" s="1320"/>
      <c r="D24" s="820" t="s">
        <v>16</v>
      </c>
      <c r="E24" s="821"/>
      <c r="F24" s="821"/>
      <c r="G24" s="821"/>
      <c r="H24" s="821"/>
      <c r="I24" s="821"/>
      <c r="J24" s="821"/>
      <c r="K24" s="821"/>
      <c r="L24" s="816" t="s">
        <v>8</v>
      </c>
      <c r="M24" s="1321">
        <v>0.9</v>
      </c>
    </row>
    <row r="25" spans="1:13" s="865" customFormat="1" ht="13.5" thickBot="1">
      <c r="A25" s="912"/>
      <c r="B25" s="855"/>
      <c r="C25" s="855"/>
      <c r="D25" s="823"/>
      <c r="E25" s="700"/>
      <c r="F25" s="808"/>
      <c r="G25" s="700"/>
      <c r="H25" s="700"/>
      <c r="I25" s="700"/>
      <c r="J25" s="809"/>
      <c r="K25" s="791"/>
      <c r="L25" s="824"/>
      <c r="M25" s="825"/>
    </row>
    <row r="26" spans="1:13" s="777" customFormat="1" ht="14.25" customHeight="1" thickTop="1" thickBot="1">
      <c r="A26" s="1319"/>
      <c r="B26" s="1320"/>
      <c r="C26" s="1320"/>
      <c r="D26" s="1671" t="s">
        <v>11664</v>
      </c>
      <c r="E26" s="1672"/>
      <c r="F26" s="1672"/>
      <c r="G26" s="1672"/>
      <c r="H26" s="1672"/>
      <c r="I26" s="1672"/>
      <c r="J26" s="1672"/>
      <c r="K26" s="1672"/>
      <c r="L26" s="1672"/>
      <c r="M26" s="1673"/>
    </row>
    <row r="27" spans="1:13" s="863" customFormat="1" ht="14.25" customHeight="1" thickTop="1" thickBot="1">
      <c r="A27" s="912"/>
      <c r="B27" s="855"/>
      <c r="C27" s="855"/>
      <c r="D27" s="878"/>
      <c r="E27" s="816"/>
      <c r="F27" s="816"/>
      <c r="G27" s="816"/>
      <c r="H27" s="816"/>
      <c r="I27" s="816"/>
      <c r="J27" s="816"/>
      <c r="K27" s="816"/>
      <c r="L27" s="816"/>
      <c r="M27" s="879"/>
    </row>
    <row r="28" spans="1:13" s="863" customFormat="1" ht="15.75" customHeight="1" thickTop="1" thickBot="1">
      <c r="A28" s="848"/>
      <c r="B28" s="919"/>
      <c r="C28" s="919"/>
      <c r="D28" s="830" t="s">
        <v>11640</v>
      </c>
      <c r="E28" s="831"/>
      <c r="F28" s="831"/>
      <c r="G28" s="831"/>
      <c r="H28" s="831"/>
      <c r="I28" s="831"/>
      <c r="J28" s="831"/>
      <c r="K28" s="831"/>
      <c r="L28" s="832"/>
      <c r="M28" s="833"/>
    </row>
    <row r="29" spans="1:13" s="865" customFormat="1" ht="13.5" hidden="1" thickTop="1">
      <c r="A29" s="848"/>
      <c r="B29" s="919"/>
      <c r="C29" s="919"/>
      <c r="D29" s="826"/>
      <c r="E29" s="790"/>
      <c r="F29" s="790"/>
      <c r="G29" s="700" t="s">
        <v>30</v>
      </c>
      <c r="H29" s="700" t="s">
        <v>30</v>
      </c>
      <c r="I29" s="700" t="s">
        <v>1275</v>
      </c>
      <c r="J29" s="700" t="s">
        <v>17</v>
      </c>
      <c r="K29" s="700" t="s">
        <v>19</v>
      </c>
      <c r="L29" s="700"/>
      <c r="M29" s="1322"/>
    </row>
    <row r="30" spans="1:13" s="865" customFormat="1" hidden="1">
      <c r="A30" s="848"/>
      <c r="B30" s="919"/>
      <c r="C30" s="919"/>
      <c r="D30" s="826"/>
      <c r="E30" s="1674"/>
      <c r="F30" s="1674"/>
      <c r="G30" s="1674"/>
      <c r="H30" s="1674"/>
      <c r="I30" s="700"/>
      <c r="J30" s="700"/>
      <c r="K30" s="700"/>
      <c r="L30" s="700" t="s">
        <v>21</v>
      </c>
      <c r="M30" s="1322">
        <f>I30*J30*K30</f>
        <v>0</v>
      </c>
    </row>
    <row r="31" spans="1:13" s="865" customFormat="1" hidden="1">
      <c r="A31" s="848"/>
      <c r="B31" s="919"/>
      <c r="C31" s="919"/>
      <c r="D31" s="826"/>
      <c r="E31" s="1674"/>
      <c r="F31" s="1674"/>
      <c r="G31" s="1674"/>
      <c r="H31" s="1674"/>
      <c r="I31" s="700"/>
      <c r="J31" s="700"/>
      <c r="K31" s="700"/>
      <c r="L31" s="700" t="s">
        <v>21</v>
      </c>
      <c r="M31" s="1322">
        <f>I31*J31*K31</f>
        <v>0</v>
      </c>
    </row>
    <row r="32" spans="1:13" s="865" customFormat="1" ht="22.5" hidden="1">
      <c r="A32" s="848" t="s">
        <v>14562</v>
      </c>
      <c r="B32" s="919" t="s">
        <v>70</v>
      </c>
      <c r="C32" s="919" t="s">
        <v>19263</v>
      </c>
      <c r="D32" s="836" t="str">
        <f>PROPER(IF(B32="Saneago",VLOOKUP(C32,'SANEAGO-FEV.2016'!A:B,2,0),IF(B32="Sinapi",VLOOKUP(C32,'SINAPI-FEV.2017'!A:D,2,0),IF(B32="Cotação",VLOOKUP(C32,COTAÇÃO!A:D,2,0),IF(B32="Composição",VLOOKUP(C32,COMPOSIÇÃO!A:D,2,0))))))</f>
        <v>Locacao Convencional De Obra, Através De Gabarito De Tabuas Corridas Pontaletadas A Cada 1,50M, Sem Reaproveitamento</v>
      </c>
      <c r="E32" s="837"/>
      <c r="F32" s="837"/>
      <c r="G32" s="852"/>
      <c r="H32" s="852"/>
      <c r="I32" s="852"/>
      <c r="J32" s="852"/>
      <c r="K32" s="856"/>
      <c r="L32" s="856" t="s">
        <v>21</v>
      </c>
      <c r="M32" s="1150">
        <f>SUM(M30:M31)</f>
        <v>0</v>
      </c>
    </row>
    <row r="33" spans="1:13" s="865" customFormat="1" ht="13.5" thickTop="1">
      <c r="A33" s="848"/>
      <c r="B33" s="919"/>
      <c r="C33" s="919"/>
      <c r="D33" s="826"/>
      <c r="E33" s="790"/>
      <c r="F33" s="790"/>
      <c r="G33" s="700" t="s">
        <v>30</v>
      </c>
      <c r="H33" s="700" t="s">
        <v>30</v>
      </c>
      <c r="I33" s="700" t="s">
        <v>1275</v>
      </c>
      <c r="J33" s="700" t="s">
        <v>43</v>
      </c>
      <c r="K33" s="700"/>
      <c r="L33" s="700"/>
      <c r="M33" s="1322"/>
    </row>
    <row r="34" spans="1:13" s="865" customFormat="1">
      <c r="A34" s="848"/>
      <c r="B34" s="919"/>
      <c r="C34" s="919"/>
      <c r="D34" s="826"/>
      <c r="E34" s="1674" t="s">
        <v>14498</v>
      </c>
      <c r="F34" s="1674"/>
      <c r="G34" s="1674"/>
      <c r="H34" s="1674"/>
      <c r="I34" s="700">
        <v>1</v>
      </c>
      <c r="J34" s="700">
        <v>207</v>
      </c>
      <c r="K34" s="700"/>
      <c r="L34" s="700" t="s">
        <v>18</v>
      </c>
      <c r="M34" s="1322">
        <f>I34*J34</f>
        <v>207</v>
      </c>
    </row>
    <row r="35" spans="1:13" s="865" customFormat="1" ht="22.5">
      <c r="A35" s="848" t="s">
        <v>14563</v>
      </c>
      <c r="B35" s="919" t="s">
        <v>70</v>
      </c>
      <c r="C35" s="919">
        <v>85323</v>
      </c>
      <c r="D35" s="836" t="str">
        <f>PROPER(IF(B35="Saneago",VLOOKUP(C35,'SANEAGO-FEV.2016'!A:B,2,0),IF(B35="Sinapi",VLOOKUP(C35,'SINAPI-FEV.2017'!A:D,2,0),IF(B35="Cotação",VLOOKUP(C35,COTAÇÃO!A:D,2,0),IF(B35="Composição",VLOOKUP(C35,COMPOSIÇÃO!A:D,2,0))))))</f>
        <v>Locacao E Nivelamento De Emissario/Rede Coletora Com Auxilio De Equipamento Topografico</v>
      </c>
      <c r="E35" s="837"/>
      <c r="F35" s="837"/>
      <c r="G35" s="852"/>
      <c r="H35" s="852"/>
      <c r="I35" s="852"/>
      <c r="J35" s="852"/>
      <c r="K35" s="856"/>
      <c r="L35" s="856" t="s">
        <v>18</v>
      </c>
      <c r="M35" s="1150">
        <f>SUM(M34:M34)</f>
        <v>207</v>
      </c>
    </row>
    <row r="36" spans="1:13" s="865" customFormat="1">
      <c r="A36" s="848"/>
      <c r="B36" s="919"/>
      <c r="C36" s="919"/>
      <c r="D36" s="826"/>
      <c r="E36" s="1674" t="s">
        <v>30</v>
      </c>
      <c r="F36" s="1674"/>
      <c r="G36" s="1674"/>
      <c r="H36" s="1674"/>
      <c r="I36" s="1674" t="s">
        <v>30</v>
      </c>
      <c r="J36" s="1674"/>
      <c r="K36" s="1674"/>
      <c r="L36" s="1674"/>
      <c r="M36" s="1323" t="s">
        <v>30</v>
      </c>
    </row>
    <row r="37" spans="1:13" s="865" customFormat="1">
      <c r="A37" s="848" t="s">
        <v>14564</v>
      </c>
      <c r="B37" s="919" t="s">
        <v>13957</v>
      </c>
      <c r="C37" s="919" t="s">
        <v>14508</v>
      </c>
      <c r="D37" s="836" t="str">
        <f>PROPER(IF(B37="Saneago",VLOOKUP(C37,'SANEAGO-FEV.2016'!A:B,2,0),IF(B37="Sinapi",VLOOKUP(C37,'SINAPI-FEV.2017'!A:D,2,0),IF(B37="Cotação",VLOOKUP(C37,COTAÇÃO!A:D,2,0),IF(B37="Composição",VLOOKUP(C37,COMPOSIÇÃO!A:D,2,0))))))</f>
        <v>Estrada De Acesso</v>
      </c>
      <c r="E37" s="837"/>
      <c r="F37" s="837"/>
      <c r="G37" s="852"/>
      <c r="H37" s="852"/>
      <c r="I37" s="852"/>
      <c r="J37" s="852"/>
      <c r="K37" s="856"/>
      <c r="L37" s="856" t="s">
        <v>21</v>
      </c>
      <c r="M37" s="1150">
        <f>100*5</f>
        <v>500</v>
      </c>
    </row>
    <row r="38" spans="1:13" s="865" customFormat="1">
      <c r="A38" s="848"/>
      <c r="B38" s="919"/>
      <c r="C38" s="919"/>
      <c r="D38" s="826"/>
      <c r="E38" s="790"/>
      <c r="F38" s="790"/>
      <c r="G38" s="700"/>
      <c r="H38" s="700"/>
      <c r="I38" s="700"/>
      <c r="J38" s="700"/>
      <c r="K38" s="816"/>
      <c r="L38" s="816"/>
      <c r="M38" s="1324"/>
    </row>
    <row r="39" spans="1:13" s="865" customFormat="1" ht="13.5" thickBot="1">
      <c r="A39" s="848"/>
      <c r="B39" s="919"/>
      <c r="C39" s="919"/>
      <c r="D39" s="826"/>
      <c r="E39" s="790"/>
      <c r="F39" s="790"/>
      <c r="G39" s="700"/>
      <c r="H39" s="700"/>
      <c r="I39" s="700"/>
      <c r="J39" s="700"/>
      <c r="K39" s="700"/>
      <c r="L39" s="700"/>
      <c r="M39" s="1322"/>
    </row>
    <row r="40" spans="1:13" s="863" customFormat="1" ht="15.75" customHeight="1" thickTop="1" thickBot="1">
      <c r="A40" s="912"/>
      <c r="B40" s="855"/>
      <c r="C40" s="855"/>
      <c r="D40" s="830" t="s">
        <v>41</v>
      </c>
      <c r="E40" s="831"/>
      <c r="F40" s="831"/>
      <c r="G40" s="831"/>
      <c r="H40" s="831"/>
      <c r="I40" s="831"/>
      <c r="J40" s="831"/>
      <c r="K40" s="831"/>
      <c r="L40" s="832"/>
      <c r="M40" s="833"/>
    </row>
    <row r="41" spans="1:13" s="863" customFormat="1" ht="24" customHeight="1" thickTop="1">
      <c r="A41" s="912"/>
      <c r="B41" s="855"/>
      <c r="C41" s="1325"/>
      <c r="D41" s="1326"/>
      <c r="E41" s="1327"/>
      <c r="F41" s="1328" t="s">
        <v>14257</v>
      </c>
      <c r="G41" s="1329" t="s">
        <v>14124</v>
      </c>
      <c r="H41" s="1329" t="s">
        <v>17</v>
      </c>
      <c r="I41" s="1329" t="s">
        <v>19</v>
      </c>
      <c r="J41" s="1329" t="s">
        <v>28</v>
      </c>
      <c r="K41" s="1329" t="s">
        <v>51</v>
      </c>
      <c r="L41" s="1329"/>
      <c r="M41" s="1330"/>
    </row>
    <row r="42" spans="1:13" s="863" customFormat="1" ht="24.75" customHeight="1">
      <c r="A42" s="912"/>
      <c r="B42" s="855"/>
      <c r="C42" s="1325"/>
      <c r="D42" s="899"/>
      <c r="E42" s="824"/>
      <c r="F42" s="854" t="s">
        <v>14125</v>
      </c>
      <c r="G42" s="700">
        <v>0.5</v>
      </c>
      <c r="H42" s="700">
        <v>1.35</v>
      </c>
      <c r="I42" s="700">
        <v>1.35</v>
      </c>
      <c r="J42" s="700">
        <v>1.2</v>
      </c>
      <c r="K42" s="1331">
        <v>6</v>
      </c>
      <c r="L42" s="700" t="s">
        <v>22</v>
      </c>
      <c r="M42" s="1322">
        <f>((H42+2*G42)*(I42+2*G42))*J42*K42</f>
        <v>39.762</v>
      </c>
    </row>
    <row r="43" spans="1:13" s="863" customFormat="1" ht="27" customHeight="1">
      <c r="A43" s="912"/>
      <c r="B43" s="855"/>
      <c r="C43" s="1325"/>
      <c r="D43" s="899"/>
      <c r="E43" s="824"/>
      <c r="F43" s="854" t="s">
        <v>14126</v>
      </c>
      <c r="G43" s="700">
        <v>0.5</v>
      </c>
      <c r="H43" s="700">
        <v>1.6</v>
      </c>
      <c r="I43" s="700">
        <v>0.7</v>
      </c>
      <c r="J43" s="700">
        <v>1.5</v>
      </c>
      <c r="K43" s="1331">
        <v>14</v>
      </c>
      <c r="L43" s="700" t="s">
        <v>22</v>
      </c>
      <c r="M43" s="1322">
        <f>((H43+2*G43)*(I43+2*G43))*J43*K43</f>
        <v>92.82</v>
      </c>
    </row>
    <row r="44" spans="1:13" s="863" customFormat="1" ht="27" customHeight="1">
      <c r="A44" s="912"/>
      <c r="B44" s="855"/>
      <c r="C44" s="1325"/>
      <c r="D44" s="899"/>
      <c r="E44" s="824"/>
      <c r="F44" s="854" t="s">
        <v>14127</v>
      </c>
      <c r="G44" s="700">
        <v>0.5</v>
      </c>
      <c r="H44" s="700">
        <v>1.7</v>
      </c>
      <c r="I44" s="700">
        <v>1.5</v>
      </c>
      <c r="J44" s="700">
        <v>1.5</v>
      </c>
      <c r="K44" s="1331">
        <v>4</v>
      </c>
      <c r="L44" s="700" t="s">
        <v>22</v>
      </c>
      <c r="M44" s="1322">
        <f>((H44+2*G44)*(I44+2*G44))*J44*K44</f>
        <v>40.5</v>
      </c>
    </row>
    <row r="45" spans="1:13" s="863" customFormat="1" ht="27" customHeight="1">
      <c r="A45" s="912"/>
      <c r="B45" s="855"/>
      <c r="C45" s="1325"/>
      <c r="D45" s="899"/>
      <c r="E45" s="824"/>
      <c r="F45" s="1332" t="s">
        <v>14128</v>
      </c>
      <c r="G45" s="1333">
        <v>0.5</v>
      </c>
      <c r="H45" s="1333">
        <v>1.7</v>
      </c>
      <c r="I45" s="1333">
        <v>1.5</v>
      </c>
      <c r="J45" s="1333">
        <v>1.5</v>
      </c>
      <c r="K45" s="1334">
        <v>2</v>
      </c>
      <c r="L45" s="1333" t="s">
        <v>22</v>
      </c>
      <c r="M45" s="1335">
        <f>((H45+2*G45)*(I45+2*G45))*J45*K45</f>
        <v>20.25</v>
      </c>
    </row>
    <row r="46" spans="1:13" s="863" customFormat="1" ht="38.25" customHeight="1">
      <c r="A46" s="912"/>
      <c r="B46" s="855"/>
      <c r="C46" s="1325"/>
      <c r="D46" s="899"/>
      <c r="E46" s="824"/>
      <c r="F46" s="854" t="s">
        <v>14129</v>
      </c>
      <c r="G46" s="700">
        <v>0</v>
      </c>
      <c r="H46" s="700">
        <v>11.25</v>
      </c>
      <c r="I46" s="700">
        <f>0.7+0.6</f>
        <v>1.2999999999999998</v>
      </c>
      <c r="J46" s="700">
        <v>1.5</v>
      </c>
      <c r="K46" s="1331">
        <v>1</v>
      </c>
      <c r="L46" s="700" t="s">
        <v>22</v>
      </c>
      <c r="M46" s="1322">
        <f>H46*I46*J46*K46</f>
        <v>21.937499999999996</v>
      </c>
    </row>
    <row r="47" spans="1:13" s="863" customFormat="1" ht="22.5">
      <c r="A47" s="912"/>
      <c r="B47" s="855"/>
      <c r="C47" s="1325"/>
      <c r="D47" s="899"/>
      <c r="E47" s="824"/>
      <c r="F47" s="854" t="s">
        <v>14130</v>
      </c>
      <c r="G47" s="700">
        <v>0</v>
      </c>
      <c r="H47" s="700">
        <v>14.95</v>
      </c>
      <c r="I47" s="700">
        <f>0.7+0.6</f>
        <v>1.2999999999999998</v>
      </c>
      <c r="J47" s="700">
        <v>1.5</v>
      </c>
      <c r="K47" s="1331">
        <v>1</v>
      </c>
      <c r="L47" s="700" t="s">
        <v>22</v>
      </c>
      <c r="M47" s="1322">
        <f>H47*I47*J47*K47</f>
        <v>29.152499999999993</v>
      </c>
    </row>
    <row r="48" spans="1:13" s="1218" customFormat="1" ht="12.75" customHeight="1">
      <c r="A48" s="1336"/>
      <c r="B48" s="1337"/>
      <c r="C48" s="1338"/>
      <c r="D48" s="1339" t="s">
        <v>20324</v>
      </c>
      <c r="E48" s="1340"/>
      <c r="F48" s="1340"/>
      <c r="G48" s="1340"/>
      <c r="H48" s="1340"/>
      <c r="I48" s="1340"/>
      <c r="J48" s="1340"/>
      <c r="K48" s="856" t="s">
        <v>27</v>
      </c>
      <c r="L48" s="856" t="s">
        <v>22</v>
      </c>
      <c r="M48" s="1229">
        <f>SUM(M42:M47)</f>
        <v>244.422</v>
      </c>
    </row>
    <row r="49" spans="1:13" s="1218" customFormat="1" ht="12.75" customHeight="1">
      <c r="A49" s="1341"/>
      <c r="B49" s="1342"/>
      <c r="C49" s="1342"/>
      <c r="D49" s="1343"/>
      <c r="E49" s="1344"/>
      <c r="F49" s="1344"/>
      <c r="G49" s="1144" t="s">
        <v>30</v>
      </c>
      <c r="H49" s="1144" t="s">
        <v>30</v>
      </c>
      <c r="I49" s="1144" t="s">
        <v>30</v>
      </c>
      <c r="J49" s="1144" t="s">
        <v>30</v>
      </c>
      <c r="K49" s="1144" t="s">
        <v>30</v>
      </c>
      <c r="L49" s="1205"/>
      <c r="M49" s="1345"/>
    </row>
    <row r="50" spans="1:13" s="1218" customFormat="1" ht="24.75" customHeight="1">
      <c r="A50" s="1341"/>
      <c r="B50" s="1342"/>
      <c r="C50" s="1342"/>
      <c r="D50" s="1346" t="s">
        <v>20298</v>
      </c>
      <c r="E50" s="1347"/>
      <c r="F50" s="1347"/>
      <c r="G50" s="839"/>
      <c r="H50" s="839"/>
      <c r="I50" s="839"/>
      <c r="J50" s="1348"/>
      <c r="K50" s="1348"/>
      <c r="L50" s="839" t="s">
        <v>22</v>
      </c>
      <c r="M50" s="1150">
        <f>M48</f>
        <v>244.422</v>
      </c>
    </row>
    <row r="51" spans="1:13" s="1218" customFormat="1" ht="12.75" customHeight="1">
      <c r="A51" s="1336"/>
      <c r="B51" s="1337"/>
      <c r="C51" s="1338"/>
      <c r="D51" s="1343"/>
      <c r="E51" s="1344"/>
      <c r="F51" s="1344"/>
      <c r="G51" s="1144" t="s">
        <v>30</v>
      </c>
      <c r="H51" s="1144" t="s">
        <v>30</v>
      </c>
      <c r="I51" s="1144" t="s">
        <v>30</v>
      </c>
      <c r="J51" s="1144" t="s">
        <v>30</v>
      </c>
      <c r="K51" s="1144" t="s">
        <v>30</v>
      </c>
      <c r="L51" s="1205"/>
      <c r="M51" s="1345"/>
    </row>
    <row r="52" spans="1:13" s="1218" customFormat="1" ht="23.25" customHeight="1">
      <c r="A52" s="1336"/>
      <c r="B52" s="1337"/>
      <c r="C52" s="1338"/>
      <c r="D52" s="1346" t="s">
        <v>20299</v>
      </c>
      <c r="E52" s="1347"/>
      <c r="F52" s="1347"/>
      <c r="G52" s="839"/>
      <c r="H52" s="839"/>
      <c r="I52" s="839"/>
      <c r="J52" s="1348"/>
      <c r="K52" s="1348"/>
      <c r="L52" s="839" t="s">
        <v>22</v>
      </c>
      <c r="M52" s="1150">
        <v>0</v>
      </c>
    </row>
    <row r="53" spans="1:13" s="863" customFormat="1" ht="13.5" customHeight="1">
      <c r="A53" s="912"/>
      <c r="B53" s="855"/>
      <c r="C53" s="855"/>
      <c r="D53" s="881"/>
      <c r="E53" s="882"/>
      <c r="F53" s="882"/>
      <c r="G53" s="883" t="s">
        <v>30</v>
      </c>
      <c r="H53" s="883" t="s">
        <v>30</v>
      </c>
      <c r="I53" s="883" t="s">
        <v>30</v>
      </c>
      <c r="J53" s="1349" t="s">
        <v>11696</v>
      </c>
      <c r="K53" s="883" t="s">
        <v>14131</v>
      </c>
      <c r="L53" s="1000"/>
      <c r="M53" s="1350"/>
    </row>
    <row r="54" spans="1:13" s="863" customFormat="1" ht="45">
      <c r="A54" s="912" t="s">
        <v>14565</v>
      </c>
      <c r="B54" s="855" t="s">
        <v>70</v>
      </c>
      <c r="C54" s="855">
        <v>90105</v>
      </c>
      <c r="D54" s="836" t="str">
        <f>PROPER(IF(B54="Saneago",VLOOKUP(C54,'SANEAGO-FEV.2016'!A:B,2,0),IF(B54="Sinapi",VLOOKUP(C54,'SINAPI-FEV.2017'!A:D,2,0),IF(B54="Cotação",VLOOKUP(C54,COTAÇÃO!A:D,2,0),IF(B54="Composição",VLOOKUP(C54,COMPOSIÇÃO!A:D,2,0))))))</f>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
      <c r="E54" s="837"/>
      <c r="F54" s="837"/>
      <c r="G54" s="838"/>
      <c r="H54" s="838"/>
      <c r="I54" s="838"/>
      <c r="J54" s="1351">
        <f>M15</f>
        <v>0.95</v>
      </c>
      <c r="K54" s="1351">
        <f>M17</f>
        <v>0.9</v>
      </c>
      <c r="L54" s="838" t="s">
        <v>22</v>
      </c>
      <c r="M54" s="1352">
        <f>J54*K54*$M$50</f>
        <v>208.98080999999999</v>
      </c>
    </row>
    <row r="55" spans="1:13" s="863" customFormat="1" ht="13.5" customHeight="1">
      <c r="A55" s="912"/>
      <c r="B55" s="855"/>
      <c r="C55" s="855"/>
      <c r="D55" s="881"/>
      <c r="E55" s="882"/>
      <c r="F55" s="882"/>
      <c r="G55" s="883" t="s">
        <v>30</v>
      </c>
      <c r="H55" s="883" t="s">
        <v>30</v>
      </c>
      <c r="I55" s="883" t="s">
        <v>30</v>
      </c>
      <c r="J55" s="1349" t="s">
        <v>11696</v>
      </c>
      <c r="K55" s="883" t="s">
        <v>14131</v>
      </c>
      <c r="L55" s="1000"/>
      <c r="M55" s="1350"/>
    </row>
    <row r="56" spans="1:13" s="863" customFormat="1" ht="45">
      <c r="A56" s="912" t="s">
        <v>14566</v>
      </c>
      <c r="B56" s="855" t="s">
        <v>70</v>
      </c>
      <c r="C56" s="855">
        <v>90107</v>
      </c>
      <c r="D56" s="836" t="str">
        <f>PROPER(IF(B56="Saneago",VLOOKUP(C56,'SANEAGO-FEV.2016'!A:B,2,0),IF(B56="Sinapi",VLOOKUP(C56,'SINAPI-FEV.2017'!A:D,2,0),IF(B56="Cotação",VLOOKUP(C56,COTAÇÃO!A:D,2,0),IF(B56="Composição",VLOOKUP(C56,COMPOSIÇÃO!A:D,2,0))))))</f>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
      <c r="E56" s="837"/>
      <c r="F56" s="837"/>
      <c r="G56" s="838"/>
      <c r="H56" s="838"/>
      <c r="I56" s="838"/>
      <c r="J56" s="1351">
        <f>J54</f>
        <v>0.95</v>
      </c>
      <c r="K56" s="1351">
        <f>K54</f>
        <v>0.9</v>
      </c>
      <c r="L56" s="838" t="s">
        <v>22</v>
      </c>
      <c r="M56" s="1352">
        <f>J56*K56*M$52</f>
        <v>0</v>
      </c>
    </row>
    <row r="57" spans="1:13" s="863" customFormat="1" ht="13.5" customHeight="1">
      <c r="A57" s="912"/>
      <c r="B57" s="855"/>
      <c r="C57" s="855"/>
      <c r="D57" s="826"/>
      <c r="E57" s="790"/>
      <c r="F57" s="790"/>
      <c r="G57" s="828"/>
      <c r="H57" s="700"/>
      <c r="I57" s="828"/>
      <c r="J57" s="1349" t="s">
        <v>11696</v>
      </c>
      <c r="K57" s="883" t="s">
        <v>14132</v>
      </c>
      <c r="L57" s="816"/>
      <c r="M57" s="1350"/>
    </row>
    <row r="58" spans="1:13" s="863" customFormat="1" ht="22.5">
      <c r="A58" s="912" t="s">
        <v>14567</v>
      </c>
      <c r="B58" s="855" t="s">
        <v>1</v>
      </c>
      <c r="C58" s="855">
        <v>192</v>
      </c>
      <c r="D58" s="836" t="str">
        <f>PROPER(IF(B58="Saneago",VLOOKUP(C58,'SANEAGO-FEV.2016'!A:B,2,0),IF(B58="Sinapi",VLOOKUP(C58,'SINAPI-FEV.2017'!A:D,2,0),IF(B58="Cotação",VLOOKUP(C58,COTAÇÃO!A:D,2,0),IF(B58="Composição",VLOOKUP(C58,COMPOSIÇÃO!A:D,2,0))))))</f>
        <v>Escavação  Mecanizada   (Com  Retroescavadeira)  Em Valas  Com  Material  De  2ª  Categoria  - Profundidade Até 2,0 M</v>
      </c>
      <c r="E58" s="837"/>
      <c r="F58" s="837"/>
      <c r="G58" s="838"/>
      <c r="H58" s="838"/>
      <c r="I58" s="838"/>
      <c r="J58" s="1351">
        <f>J54</f>
        <v>0.95</v>
      </c>
      <c r="K58" s="1351">
        <f>M18</f>
        <v>0.05</v>
      </c>
      <c r="L58" s="838" t="s">
        <v>22</v>
      </c>
      <c r="M58" s="1352">
        <f>J58*K58*$M$50</f>
        <v>11.610045</v>
      </c>
    </row>
    <row r="59" spans="1:13" s="863" customFormat="1" ht="13.5" customHeight="1">
      <c r="A59" s="912"/>
      <c r="B59" s="855"/>
      <c r="C59" s="855"/>
      <c r="D59" s="826"/>
      <c r="E59" s="790"/>
      <c r="F59" s="790"/>
      <c r="G59" s="828"/>
      <c r="H59" s="700"/>
      <c r="I59" s="828"/>
      <c r="J59" s="1349" t="s">
        <v>11696</v>
      </c>
      <c r="K59" s="883" t="s">
        <v>14132</v>
      </c>
      <c r="L59" s="816"/>
      <c r="M59" s="1350"/>
    </row>
    <row r="60" spans="1:13" s="863" customFormat="1" ht="22.5">
      <c r="A60" s="912" t="s">
        <v>14568</v>
      </c>
      <c r="B60" s="855" t="s">
        <v>1</v>
      </c>
      <c r="C60" s="855">
        <v>193</v>
      </c>
      <c r="D60" s="836" t="str">
        <f>PROPER(IF(B60="Saneago",VLOOKUP(C60,'SANEAGO-FEV.2016'!A:B,2,0),IF(B60="Sinapi",VLOOKUP(C60,'SINAPI-FEV.2017'!A:D,2,0),IF(B60="Cotação",VLOOKUP(C60,COTAÇÃO!A:D,2,0),IF(B60="Composição",VLOOKUP(C60,COMPOSIÇÃO!A:D,2,0))))))</f>
        <v>Escavação  Mecanizada   (Com  Retroescavadeira)  Em Valas  Com  Material  De  2ª  Categoria  - Profundidade De 2,0 A 4,0M</v>
      </c>
      <c r="E60" s="837"/>
      <c r="F60" s="837"/>
      <c r="G60" s="838"/>
      <c r="H60" s="838"/>
      <c r="I60" s="838"/>
      <c r="J60" s="1351">
        <f>J56</f>
        <v>0.95</v>
      </c>
      <c r="K60" s="1351">
        <f>M20</f>
        <v>0.05</v>
      </c>
      <c r="L60" s="838" t="s">
        <v>22</v>
      </c>
      <c r="M60" s="1352">
        <f>J60*K60*M$52</f>
        <v>0</v>
      </c>
    </row>
    <row r="61" spans="1:13" s="863" customFormat="1" ht="13.5" customHeight="1">
      <c r="A61" s="912"/>
      <c r="B61" s="855"/>
      <c r="C61" s="855"/>
      <c r="D61" s="826"/>
      <c r="E61" s="790"/>
      <c r="F61" s="790"/>
      <c r="G61" s="828"/>
      <c r="H61" s="700"/>
      <c r="I61" s="828"/>
      <c r="J61" s="1349" t="s">
        <v>11696</v>
      </c>
      <c r="K61" s="883" t="s">
        <v>11677</v>
      </c>
      <c r="L61" s="816"/>
      <c r="M61" s="1350"/>
    </row>
    <row r="62" spans="1:13" s="863" customFormat="1" ht="22.5">
      <c r="A62" s="912" t="s">
        <v>14569</v>
      </c>
      <c r="B62" s="855" t="s">
        <v>1</v>
      </c>
      <c r="C62" s="855">
        <v>194</v>
      </c>
      <c r="D62" s="836" t="str">
        <f>PROPER(IF(B62="Saneago",VLOOKUP(C62,'SANEAGO-FEV.2016'!A:B,2,0),IF(B62="Sinapi",VLOOKUP(C62,'SINAPI-FEV.2017'!A:D,2,0),IF(B62="Cotação",VLOOKUP(C62,COTAÇÃO!A:D,2,0),IF(B62="Composição",VLOOKUP(C62,COMPOSIÇÃO!A:D,2,0))))))</f>
        <v>Escavação   Mecanizada   (Com  Retroescavadeira)  Em  Valas  Com  Material   De  Solo  Mole  - Profundidade Até 2,0 M</v>
      </c>
      <c r="E62" s="837"/>
      <c r="F62" s="837"/>
      <c r="G62" s="838"/>
      <c r="H62" s="838"/>
      <c r="I62" s="838"/>
      <c r="J62" s="1351">
        <f>J58</f>
        <v>0.95</v>
      </c>
      <c r="K62" s="1351">
        <f>M20</f>
        <v>0.05</v>
      </c>
      <c r="L62" s="838" t="s">
        <v>22</v>
      </c>
      <c r="M62" s="1352">
        <f>J62*K62*$M$50</f>
        <v>11.610045</v>
      </c>
    </row>
    <row r="63" spans="1:13" s="863" customFormat="1" ht="13.5" customHeight="1">
      <c r="A63" s="912"/>
      <c r="B63" s="855"/>
      <c r="C63" s="855"/>
      <c r="D63" s="826"/>
      <c r="E63" s="790"/>
      <c r="F63" s="790"/>
      <c r="G63" s="828"/>
      <c r="H63" s="700"/>
      <c r="I63" s="828"/>
      <c r="J63" s="1349" t="s">
        <v>11696</v>
      </c>
      <c r="K63" s="883" t="s">
        <v>11677</v>
      </c>
      <c r="L63" s="816"/>
      <c r="M63" s="1350"/>
    </row>
    <row r="64" spans="1:13" s="863" customFormat="1" ht="22.5">
      <c r="A64" s="912" t="s">
        <v>14570</v>
      </c>
      <c r="B64" s="855" t="s">
        <v>1</v>
      </c>
      <c r="C64" s="855">
        <v>195</v>
      </c>
      <c r="D64" s="836" t="str">
        <f>PROPER(IF(B64="Saneago",VLOOKUP(C64,'SANEAGO-FEV.2016'!A:B,2,0),IF(B64="Sinapi",VLOOKUP(C64,'SINAPI-FEV.2017'!A:D,2,0),IF(B64="Cotação",VLOOKUP(C64,COTAÇÃO!A:D,2,0),IF(B64="Composição",VLOOKUP(C64,COMPOSIÇÃO!A:D,2,0))))))</f>
        <v>Escavação   Mecanizada   (Com  Retroescavadeira)  Em  Valas  Com  Material   De  Solo  Mole  - Profundidade De 2,0 A 4,0 M</v>
      </c>
      <c r="E64" s="837"/>
      <c r="F64" s="837"/>
      <c r="G64" s="838"/>
      <c r="H64" s="838"/>
      <c r="I64" s="838"/>
      <c r="J64" s="1351">
        <f>J60</f>
        <v>0.95</v>
      </c>
      <c r="K64" s="1351">
        <f>K62</f>
        <v>0.05</v>
      </c>
      <c r="L64" s="838" t="s">
        <v>22</v>
      </c>
      <c r="M64" s="1352">
        <f>J64*K64*M$52</f>
        <v>0</v>
      </c>
    </row>
    <row r="65" spans="1:13" s="863" customFormat="1" ht="13.5" customHeight="1">
      <c r="A65" s="912"/>
      <c r="B65" s="855"/>
      <c r="C65" s="855"/>
      <c r="D65" s="826"/>
      <c r="E65" s="790"/>
      <c r="F65" s="790"/>
      <c r="G65" s="828"/>
      <c r="H65" s="700"/>
      <c r="I65" s="828"/>
      <c r="J65" s="1349" t="s">
        <v>11737</v>
      </c>
      <c r="K65" s="883" t="s">
        <v>14131</v>
      </c>
      <c r="L65" s="816"/>
      <c r="M65" s="1350"/>
    </row>
    <row r="66" spans="1:13" s="863" customFormat="1">
      <c r="A66" s="912" t="s">
        <v>14571</v>
      </c>
      <c r="B66" s="855" t="s">
        <v>70</v>
      </c>
      <c r="C66" s="855">
        <v>93358</v>
      </c>
      <c r="D66" s="836" t="str">
        <f>PROPER(IF(B66="Saneago",VLOOKUP(C66,'SANEAGO-FEV.2016'!A:B,2,0),IF(B66="Sinapi",VLOOKUP(C66,'SINAPI-FEV.2017'!A:D,2,0),IF(B66="Cotação",VLOOKUP(C66,COTAÇÃO!A:D,2,0),IF(B66="Composição",VLOOKUP(C66,COMPOSIÇÃO!A:D,2,0))))))</f>
        <v>Escavação Manual De Valas. Af_03/2016</v>
      </c>
      <c r="E66" s="837"/>
      <c r="F66" s="837"/>
      <c r="G66" s="838"/>
      <c r="H66" s="838"/>
      <c r="I66" s="838"/>
      <c r="J66" s="1351">
        <f>M16</f>
        <v>0.05</v>
      </c>
      <c r="K66" s="1351">
        <f>K54</f>
        <v>0.9</v>
      </c>
      <c r="L66" s="838" t="s">
        <v>22</v>
      </c>
      <c r="M66" s="1352">
        <f>J66*K66*$M$50</f>
        <v>10.998990000000001</v>
      </c>
    </row>
    <row r="67" spans="1:13" s="863" customFormat="1" ht="13.5" customHeight="1">
      <c r="A67" s="912"/>
      <c r="B67" s="855"/>
      <c r="C67" s="855"/>
      <c r="D67" s="826"/>
      <c r="E67" s="790"/>
      <c r="F67" s="790"/>
      <c r="G67" s="828"/>
      <c r="H67" s="700"/>
      <c r="I67" s="828"/>
      <c r="J67" s="1349" t="s">
        <v>11737</v>
      </c>
      <c r="K67" s="883" t="s">
        <v>14131</v>
      </c>
      <c r="L67" s="816"/>
      <c r="M67" s="1350"/>
    </row>
    <row r="68" spans="1:13" s="863" customFormat="1">
      <c r="A68" s="912" t="s">
        <v>14572</v>
      </c>
      <c r="B68" s="855" t="s">
        <v>1</v>
      </c>
      <c r="C68" s="855">
        <v>169</v>
      </c>
      <c r="D68" s="836" t="str">
        <f>PROPER(IF(B68="Saneago",VLOOKUP(C68,'SANEAGO-FEV.2016'!A:B,2,0),IF(B68="Sinapi",VLOOKUP(C68,'SINAPI-FEV.2017'!A:D,2,0),IF(B68="Cotação",VLOOKUP(C68,COTAÇÃO!A:D,2,0),IF(B68="Composição",VLOOKUP(C68,COMPOSIÇÃO!A:D,2,0))))))</f>
        <v>Escavação  Manual Em Valas Com Material De 1ª Categoria  - Profundidade De 2,0 A 4,0 M</v>
      </c>
      <c r="E68" s="837"/>
      <c r="F68" s="837"/>
      <c r="G68" s="838"/>
      <c r="H68" s="838"/>
      <c r="I68" s="838"/>
      <c r="J68" s="1351">
        <f>M18</f>
        <v>0.05</v>
      </c>
      <c r="K68" s="1351">
        <f>K56</f>
        <v>0.9</v>
      </c>
      <c r="L68" s="838" t="s">
        <v>22</v>
      </c>
      <c r="M68" s="1352">
        <f>J68*K68*M$52</f>
        <v>0</v>
      </c>
    </row>
    <row r="69" spans="1:13" s="863" customFormat="1" ht="13.5" customHeight="1">
      <c r="A69" s="912"/>
      <c r="B69" s="855"/>
      <c r="C69" s="855"/>
      <c r="D69" s="826"/>
      <c r="E69" s="790"/>
      <c r="F69" s="790"/>
      <c r="G69" s="828"/>
      <c r="H69" s="700"/>
      <c r="I69" s="828"/>
      <c r="J69" s="1349" t="s">
        <v>11737</v>
      </c>
      <c r="K69" s="883" t="s">
        <v>14132</v>
      </c>
      <c r="L69" s="816"/>
      <c r="M69" s="1350"/>
    </row>
    <row r="70" spans="1:13" s="863" customFormat="1">
      <c r="A70" s="912" t="s">
        <v>14573</v>
      </c>
      <c r="B70" s="855" t="s">
        <v>1</v>
      </c>
      <c r="C70" s="855">
        <v>170</v>
      </c>
      <c r="D70" s="836" t="str">
        <f>PROPER(IF(B70="Saneago",VLOOKUP(C70,'SANEAGO-FEV.2016'!A:B,2,0),IF(B70="Sinapi",VLOOKUP(C70,'SINAPI-FEV.2017'!A:D,2,0),IF(B70="Cotação",VLOOKUP(C70,COTAÇÃO!A:D,2,0),IF(B70="Composição",VLOOKUP(C70,COMPOSIÇÃO!A:D,2,0))))))</f>
        <v>Escavação  Manual Em Valas Com Material De 2ª Categoria  - Profundidade Até 2,0 M</v>
      </c>
      <c r="E70" s="837"/>
      <c r="F70" s="837"/>
      <c r="G70" s="838"/>
      <c r="H70" s="838"/>
      <c r="I70" s="838"/>
      <c r="J70" s="1351">
        <f>J66</f>
        <v>0.05</v>
      </c>
      <c r="K70" s="1351">
        <f>K58</f>
        <v>0.05</v>
      </c>
      <c r="L70" s="838" t="s">
        <v>22</v>
      </c>
      <c r="M70" s="1352">
        <f>J70*K70*$M$50</f>
        <v>0.61105500000000013</v>
      </c>
    </row>
    <row r="71" spans="1:13" s="863" customFormat="1" ht="13.5" customHeight="1">
      <c r="A71" s="912"/>
      <c r="B71" s="855"/>
      <c r="C71" s="855"/>
      <c r="D71" s="826"/>
      <c r="E71" s="790"/>
      <c r="F71" s="790"/>
      <c r="G71" s="828"/>
      <c r="H71" s="700"/>
      <c r="I71" s="828"/>
      <c r="J71" s="1349" t="s">
        <v>11737</v>
      </c>
      <c r="K71" s="883" t="s">
        <v>14132</v>
      </c>
      <c r="L71" s="816"/>
      <c r="M71" s="1350"/>
    </row>
    <row r="72" spans="1:13" s="863" customFormat="1">
      <c r="A72" s="912" t="s">
        <v>14574</v>
      </c>
      <c r="B72" s="855" t="s">
        <v>1</v>
      </c>
      <c r="C72" s="855">
        <v>171</v>
      </c>
      <c r="D72" s="836" t="str">
        <f>PROPER(IF(B72="Saneago",VLOOKUP(C72,'SANEAGO-FEV.2016'!A:B,2,0),IF(B72="Sinapi",VLOOKUP(C72,'SINAPI-FEV.2017'!A:D,2,0),IF(B72="Cotação",VLOOKUP(C72,COTAÇÃO!A:D,2,0),IF(B72="Composição",VLOOKUP(C72,COMPOSIÇÃO!A:D,2,0))))))</f>
        <v>Escavação  Manual Em Valas Com Material De 2ª Categoria  - Profundidade De 2,0 A 4,0 M</v>
      </c>
      <c r="E72" s="837"/>
      <c r="F72" s="837"/>
      <c r="G72" s="838"/>
      <c r="H72" s="838"/>
      <c r="I72" s="838"/>
      <c r="J72" s="1351">
        <f>J68</f>
        <v>0.05</v>
      </c>
      <c r="K72" s="1351">
        <f>K60</f>
        <v>0.05</v>
      </c>
      <c r="L72" s="838" t="s">
        <v>22</v>
      </c>
      <c r="M72" s="1352">
        <f>J72*K72*M$52</f>
        <v>0</v>
      </c>
    </row>
    <row r="73" spans="1:13" s="863" customFormat="1" ht="13.5" customHeight="1">
      <c r="A73" s="912"/>
      <c r="B73" s="855"/>
      <c r="C73" s="855"/>
      <c r="D73" s="826"/>
      <c r="E73" s="790"/>
      <c r="F73" s="790"/>
      <c r="G73" s="828"/>
      <c r="H73" s="700"/>
      <c r="I73" s="828"/>
      <c r="J73" s="1349" t="s">
        <v>11737</v>
      </c>
      <c r="K73" s="883" t="s">
        <v>11677</v>
      </c>
      <c r="L73" s="816"/>
      <c r="M73" s="1350"/>
    </row>
    <row r="74" spans="1:13" s="863" customFormat="1">
      <c r="A74" s="912" t="s">
        <v>14575</v>
      </c>
      <c r="B74" s="855" t="s">
        <v>1</v>
      </c>
      <c r="C74" s="855">
        <v>176</v>
      </c>
      <c r="D74" s="836" t="str">
        <f>PROPER(IF(B74="Saneago",VLOOKUP(C74,'SANEAGO-FEV.2016'!A:B,2,0),IF(B74="Sinapi",VLOOKUP(C74,'SINAPI-FEV.2017'!A:D,2,0),IF(B74="Cotação",VLOOKUP(C74,COTAÇÃO!A:D,2,0),IF(B74="Composição",VLOOKUP(C74,COMPOSIÇÃO!A:D,2,0))))))</f>
        <v>Escavação  Manual Em Valas Com Material De Barro - Lama - Profundidade Até 2,0M</v>
      </c>
      <c r="E74" s="837"/>
      <c r="F74" s="837"/>
      <c r="G74" s="838"/>
      <c r="H74" s="838"/>
      <c r="I74" s="838"/>
      <c r="J74" s="1351">
        <f>J70</f>
        <v>0.05</v>
      </c>
      <c r="K74" s="1351">
        <f>K62</f>
        <v>0.05</v>
      </c>
      <c r="L74" s="838" t="s">
        <v>22</v>
      </c>
      <c r="M74" s="1352">
        <f>J74*K74*$M$50</f>
        <v>0.61105500000000013</v>
      </c>
    </row>
    <row r="75" spans="1:13" s="863" customFormat="1" ht="13.5" customHeight="1">
      <c r="A75" s="912"/>
      <c r="B75" s="855"/>
      <c r="C75" s="855"/>
      <c r="D75" s="826"/>
      <c r="E75" s="790"/>
      <c r="F75" s="790"/>
      <c r="G75" s="828"/>
      <c r="H75" s="700"/>
      <c r="I75" s="828"/>
      <c r="J75" s="1349" t="s">
        <v>11737</v>
      </c>
      <c r="K75" s="883" t="s">
        <v>11677</v>
      </c>
      <c r="L75" s="816"/>
      <c r="M75" s="1350"/>
    </row>
    <row r="76" spans="1:13" s="863" customFormat="1">
      <c r="A76" s="912" t="s">
        <v>14576</v>
      </c>
      <c r="B76" s="855" t="s">
        <v>1</v>
      </c>
      <c r="C76" s="855">
        <v>177</v>
      </c>
      <c r="D76" s="836" t="str">
        <f>PROPER(IF(B76="Saneago",VLOOKUP(C76,'SANEAGO-FEV.2016'!A:B,2,0),IF(B76="Sinapi",VLOOKUP(C76,'SINAPI-FEV.2017'!A:D,2,0),IF(B76="Cotação",VLOOKUP(C76,COTAÇÃO!A:D,2,0),IF(B76="Composição",VLOOKUP(C76,COMPOSIÇÃO!A:D,2,0))))))</f>
        <v>Escavação  Manual Em Valas Com Material De Barro - Lama - Profundidade De 2,0 A 4,0M</v>
      </c>
      <c r="E76" s="837"/>
      <c r="F76" s="837"/>
      <c r="G76" s="838"/>
      <c r="H76" s="838"/>
      <c r="I76" s="838"/>
      <c r="J76" s="1351">
        <f>J72</f>
        <v>0.05</v>
      </c>
      <c r="K76" s="1351">
        <f>K64</f>
        <v>0.05</v>
      </c>
      <c r="L76" s="838" t="s">
        <v>22</v>
      </c>
      <c r="M76" s="1352">
        <f>J76*K76*M$52</f>
        <v>0</v>
      </c>
    </row>
    <row r="77" spans="1:13" s="863" customFormat="1">
      <c r="A77" s="912"/>
      <c r="B77" s="855"/>
      <c r="C77" s="855"/>
      <c r="D77" s="826"/>
      <c r="E77" s="790"/>
      <c r="F77" s="790"/>
      <c r="G77" s="700" t="s">
        <v>30</v>
      </c>
      <c r="H77" s="700" t="s">
        <v>30</v>
      </c>
      <c r="I77" s="700" t="s">
        <v>30</v>
      </c>
      <c r="J77" s="700" t="s">
        <v>30</v>
      </c>
      <c r="K77" s="700" t="s">
        <v>30</v>
      </c>
      <c r="L77" s="828" t="s">
        <v>30</v>
      </c>
      <c r="M77" s="877" t="s">
        <v>30</v>
      </c>
    </row>
    <row r="78" spans="1:13" s="863" customFormat="1" ht="12.75" customHeight="1">
      <c r="A78" s="912" t="s">
        <v>14577</v>
      </c>
      <c r="B78" s="855" t="s">
        <v>70</v>
      </c>
      <c r="C78" s="855" t="s">
        <v>15726</v>
      </c>
      <c r="D78" s="836" t="str">
        <f>PROPER(IF(B78="Saneago",VLOOKUP(C78,'SANEAGO-FEV.2016'!A:B,2,0),IF(B78="Sinapi",VLOOKUP(C78,'SINAPI-FEV.2017'!A:D,2,0),IF(B78="Cotação",VLOOKUP(C78,COTAÇÃO!A:D,2,0),IF(B78="Composição",VLOOKUP(C78,COMPOSIÇÃO!A:D,2,0))))))</f>
        <v>Esgotamento Com Moto-Bomba Autoescovante</v>
      </c>
      <c r="E78" s="837"/>
      <c r="F78" s="837"/>
      <c r="G78" s="838"/>
      <c r="H78" s="852"/>
      <c r="I78" s="852"/>
      <c r="J78" s="838"/>
      <c r="K78" s="838"/>
      <c r="L78" s="838" t="s">
        <v>57</v>
      </c>
      <c r="M78" s="1352">
        <v>5</v>
      </c>
    </row>
    <row r="79" spans="1:13" s="863" customFormat="1" ht="26.25" customHeight="1">
      <c r="A79" s="912"/>
      <c r="B79" s="855"/>
      <c r="C79" s="855"/>
      <c r="D79" s="887"/>
      <c r="E79" s="700" t="s">
        <v>14125</v>
      </c>
      <c r="F79" s="700" t="str">
        <f>F43</f>
        <v>Blocos com 2 Trilhos</v>
      </c>
      <c r="G79" s="700" t="str">
        <f>F44</f>
        <v>Blocos com 3Trilhos</v>
      </c>
      <c r="H79" s="700" t="str">
        <f>F45</f>
        <v>Blocos dos Pilares da Treliça</v>
      </c>
      <c r="I79" s="700" t="s">
        <v>14129</v>
      </c>
      <c r="J79" s="700" t="s">
        <v>14130</v>
      </c>
      <c r="K79" s="700" t="s">
        <v>14250</v>
      </c>
      <c r="L79" s="828" t="s">
        <v>30</v>
      </c>
      <c r="M79" s="877" t="s">
        <v>30</v>
      </c>
    </row>
    <row r="80" spans="1:13" s="863" customFormat="1" ht="12.75" customHeight="1">
      <c r="A80" s="912"/>
      <c r="B80" s="855"/>
      <c r="C80" s="855"/>
      <c r="D80" s="927" t="s">
        <v>11680</v>
      </c>
      <c r="E80" s="828">
        <f>M42</f>
        <v>39.762</v>
      </c>
      <c r="F80" s="828">
        <f>M43</f>
        <v>92.82</v>
      </c>
      <c r="G80" s="828">
        <f>M44</f>
        <v>40.5</v>
      </c>
      <c r="H80" s="828">
        <f>M45</f>
        <v>20.25</v>
      </c>
      <c r="I80" s="828">
        <f>M46</f>
        <v>21.937499999999996</v>
      </c>
      <c r="J80" s="828">
        <f>M47</f>
        <v>29.152499999999993</v>
      </c>
      <c r="K80" s="828">
        <v>0</v>
      </c>
      <c r="L80" s="828" t="s">
        <v>22</v>
      </c>
      <c r="M80" s="1322">
        <f>SUM(E80:K80)</f>
        <v>244.422</v>
      </c>
    </row>
    <row r="81" spans="1:250" s="863" customFormat="1" ht="13.5" customHeight="1">
      <c r="A81" s="912"/>
      <c r="B81" s="855"/>
      <c r="C81" s="855"/>
      <c r="D81" s="927" t="s">
        <v>14133</v>
      </c>
      <c r="E81" s="828">
        <f>K42*0.95*1.35</f>
        <v>7.6949999999999994</v>
      </c>
      <c r="F81" s="828">
        <f>(H43*I43*0.6*K43)</f>
        <v>9.4079999999999995</v>
      </c>
      <c r="G81" s="828">
        <f>(1.75*0.6*K44)</f>
        <v>4.2</v>
      </c>
      <c r="H81" s="828">
        <f>K45*H45*I45*J45</f>
        <v>7.6499999999999995</v>
      </c>
      <c r="I81" s="828">
        <f>(3.14*0.7^2/4)*H46</f>
        <v>4.3273124999999997</v>
      </c>
      <c r="J81" s="828">
        <f>(3.14*0.7^2/4)*H47</f>
        <v>5.7505174999999999</v>
      </c>
      <c r="K81" s="828">
        <v>0</v>
      </c>
      <c r="L81" s="828" t="s">
        <v>22</v>
      </c>
      <c r="M81" s="1322">
        <f>SUM(E81:K81)</f>
        <v>39.030829999999995</v>
      </c>
    </row>
    <row r="82" spans="1:250" s="863" customFormat="1" ht="12.75" customHeight="1">
      <c r="A82" s="912"/>
      <c r="B82" s="855"/>
      <c r="C82" s="855"/>
      <c r="D82" s="836" t="s">
        <v>11679</v>
      </c>
      <c r="E82" s="837"/>
      <c r="F82" s="837"/>
      <c r="G82" s="828"/>
      <c r="H82" s="1678" t="s">
        <v>14134</v>
      </c>
      <c r="I82" s="1678"/>
      <c r="J82" s="1678"/>
      <c r="K82" s="1678"/>
      <c r="L82" s="901" t="s">
        <v>22</v>
      </c>
      <c r="M82" s="1324">
        <f>M80-M81</f>
        <v>205.39116999999999</v>
      </c>
    </row>
    <row r="83" spans="1:250" s="863" customFormat="1" ht="13.5" customHeight="1">
      <c r="A83" s="912"/>
      <c r="B83" s="855"/>
      <c r="C83" s="855"/>
      <c r="D83" s="903" t="s">
        <v>73</v>
      </c>
      <c r="E83" s="790"/>
      <c r="F83" s="790"/>
      <c r="G83" s="883" t="s">
        <v>30</v>
      </c>
      <c r="H83" s="883" t="s">
        <v>30</v>
      </c>
      <c r="I83" s="883" t="s">
        <v>30</v>
      </c>
      <c r="J83" s="883" t="s">
        <v>42</v>
      </c>
      <c r="K83" s="883" t="s">
        <v>50</v>
      </c>
      <c r="L83" s="883"/>
      <c r="M83" s="1353"/>
    </row>
    <row r="84" spans="1:250" s="863" customFormat="1" ht="39" customHeight="1">
      <c r="A84" s="912" t="s">
        <v>14578</v>
      </c>
      <c r="B84" s="855" t="s">
        <v>70</v>
      </c>
      <c r="C84" s="855">
        <v>93367</v>
      </c>
      <c r="D84" s="836" t="str">
        <f>PROPER(IF(B84="Saneago",VLOOKUP(C84,'SANEAGO-FEV.2016'!A:B,2,0),IF(B84="Sinapi",VLOOKUP(C84,'SINAPI-FEV.2017'!A:D,2,0),IF(B84="Cotação",VLOOKUP(C84,COTAÇÃO!A:D,2,0),IF(B84="Composição",VLOOKUP(C84,COMPOSIÇÃO!A:D,2,0))))))</f>
        <v>Reaterro Mecanizado De Vala Com Escavadeira Hidráulica (Capacidade Da Caçamba: 0,8 M³ / Potência: 111 Hp), Largura De 1,5 A 2,5 M, Profundidade Até 1,5 M, Com Solo (Sem Substituição) De 1ª Categoria Em Locais Com Baixo Nível De Interferência. Af_04/2016</v>
      </c>
      <c r="E84" s="837"/>
      <c r="F84" s="837"/>
      <c r="G84" s="852"/>
      <c r="H84" s="852"/>
      <c r="I84" s="852"/>
      <c r="J84" s="838">
        <f>M82</f>
        <v>205.39116999999999</v>
      </c>
      <c r="K84" s="896">
        <f>M24</f>
        <v>0.9</v>
      </c>
      <c r="L84" s="852" t="s">
        <v>22</v>
      </c>
      <c r="M84" s="1352">
        <f>J84*K84</f>
        <v>184.85205299999998</v>
      </c>
    </row>
    <row r="85" spans="1:250" s="863" customFormat="1" ht="12.75" customHeight="1">
      <c r="A85" s="912"/>
      <c r="B85" s="855"/>
      <c r="C85" s="855"/>
      <c r="D85" s="881"/>
      <c r="E85" s="882"/>
      <c r="F85" s="882"/>
      <c r="G85" s="700" t="s">
        <v>30</v>
      </c>
      <c r="H85" s="700" t="s">
        <v>30</v>
      </c>
      <c r="I85" s="700" t="s">
        <v>30</v>
      </c>
      <c r="J85" s="828" t="s">
        <v>42</v>
      </c>
      <c r="K85" s="828" t="s">
        <v>79</v>
      </c>
      <c r="L85" s="828"/>
      <c r="M85" s="1322"/>
    </row>
    <row r="86" spans="1:250" s="863" customFormat="1" ht="16.5" customHeight="1">
      <c r="A86" s="912" t="s">
        <v>14579</v>
      </c>
      <c r="B86" s="855" t="s">
        <v>1</v>
      </c>
      <c r="C86" s="855">
        <v>220</v>
      </c>
      <c r="D86" s="836" t="str">
        <f>PROPER(IF(B86="Saneago",VLOOKUP(C86,'SANEAGO-FEV.2016'!A:B,2,0),IF(B86="Sinapi",VLOOKUP(C86,'SINAPI-FEV.2017'!A:D,2,0),IF(B86="Cotação",VLOOKUP(C86,COTAÇÃO!A:D,2,0),IF(B86="Composição",VLOOKUP(C86,COMPOSIÇÃO!A:D,2,0))))))</f>
        <v>Reaterro  Manual Compactado Em Camadas De 20Cm</v>
      </c>
      <c r="E86" s="837"/>
      <c r="F86" s="837"/>
      <c r="G86" s="838"/>
      <c r="H86" s="838"/>
      <c r="I86" s="838"/>
      <c r="J86" s="838">
        <f>J84</f>
        <v>205.39116999999999</v>
      </c>
      <c r="K86" s="1351">
        <f>M23</f>
        <v>0.1</v>
      </c>
      <c r="L86" s="838" t="s">
        <v>22</v>
      </c>
      <c r="M86" s="1352">
        <f>J86*K86</f>
        <v>20.539117000000001</v>
      </c>
    </row>
    <row r="87" spans="1:250" s="863" customFormat="1" ht="16.5" customHeight="1" thickBot="1">
      <c r="A87" s="912"/>
      <c r="B87" s="855"/>
      <c r="C87" s="855"/>
      <c r="D87" s="826"/>
      <c r="E87" s="790"/>
      <c r="F87" s="790"/>
      <c r="G87" s="828"/>
      <c r="H87" s="828"/>
      <c r="I87" s="828"/>
      <c r="J87" s="828"/>
      <c r="K87" s="1354"/>
      <c r="L87" s="828"/>
      <c r="M87" s="1322"/>
    </row>
    <row r="88" spans="1:250" s="865" customFormat="1" ht="13.5" customHeight="1" thickTop="1" thickBot="1">
      <c r="A88" s="962"/>
      <c r="B88" s="898"/>
      <c r="C88" s="976"/>
      <c r="D88" s="977" t="s">
        <v>49</v>
      </c>
      <c r="E88" s="978"/>
      <c r="F88" s="978"/>
      <c r="G88" s="978"/>
      <c r="H88" s="978"/>
      <c r="I88" s="978"/>
      <c r="J88" s="978"/>
      <c r="K88" s="978"/>
      <c r="L88" s="979" t="s">
        <v>25</v>
      </c>
      <c r="M88" s="980" t="s">
        <v>27</v>
      </c>
      <c r="N88" s="974"/>
      <c r="O88" s="974"/>
      <c r="P88" s="974"/>
      <c r="Q88" s="974"/>
      <c r="R88" s="974"/>
      <c r="S88" s="974"/>
      <c r="T88" s="974"/>
      <c r="U88" s="974"/>
      <c r="V88" s="974"/>
      <c r="W88" s="974"/>
      <c r="X88" s="974"/>
      <c r="Y88" s="974"/>
      <c r="Z88" s="974"/>
      <c r="AA88" s="974"/>
      <c r="AB88" s="974"/>
      <c r="AC88" s="974"/>
      <c r="AD88" s="974"/>
      <c r="AE88" s="974"/>
      <c r="AF88" s="974"/>
      <c r="AG88" s="974"/>
      <c r="AH88" s="974"/>
      <c r="AI88" s="974"/>
      <c r="AJ88" s="974"/>
      <c r="AK88" s="974"/>
      <c r="AL88" s="974"/>
      <c r="AM88" s="974"/>
      <c r="AN88" s="974"/>
      <c r="AO88" s="974"/>
      <c r="AP88" s="974"/>
      <c r="AQ88" s="974"/>
      <c r="AR88" s="974"/>
      <c r="AS88" s="974"/>
      <c r="AT88" s="974"/>
      <c r="AU88" s="974"/>
      <c r="AV88" s="974"/>
      <c r="AW88" s="974"/>
      <c r="AX88" s="974"/>
      <c r="AY88" s="974"/>
      <c r="AZ88" s="974"/>
      <c r="BA88" s="974"/>
      <c r="BB88" s="974"/>
      <c r="BC88" s="974"/>
      <c r="BD88" s="974"/>
      <c r="BE88" s="974"/>
      <c r="BF88" s="974"/>
      <c r="BG88" s="974"/>
      <c r="BH88" s="974"/>
      <c r="BI88" s="974"/>
      <c r="BJ88" s="974"/>
      <c r="BK88" s="974"/>
      <c r="BL88" s="974"/>
      <c r="BM88" s="974"/>
      <c r="BN88" s="974"/>
      <c r="BO88" s="974"/>
      <c r="BP88" s="974"/>
      <c r="BQ88" s="974"/>
      <c r="BR88" s="974"/>
      <c r="BS88" s="974"/>
      <c r="BT88" s="974"/>
      <c r="BU88" s="974"/>
      <c r="BV88" s="974"/>
      <c r="BW88" s="974"/>
      <c r="BX88" s="974"/>
      <c r="BY88" s="974"/>
      <c r="BZ88" s="974"/>
      <c r="CA88" s="974"/>
      <c r="CB88" s="974"/>
      <c r="CC88" s="974"/>
      <c r="CD88" s="974"/>
      <c r="CE88" s="974"/>
      <c r="CF88" s="974"/>
      <c r="CG88" s="974"/>
      <c r="CH88" s="974"/>
      <c r="CI88" s="974"/>
      <c r="CJ88" s="974"/>
      <c r="CK88" s="974"/>
      <c r="CL88" s="974"/>
      <c r="CM88" s="974"/>
      <c r="CN88" s="974"/>
      <c r="CO88" s="974"/>
      <c r="CP88" s="974"/>
      <c r="CQ88" s="974"/>
      <c r="CR88" s="974"/>
      <c r="CS88" s="974"/>
      <c r="CT88" s="974"/>
      <c r="CU88" s="974"/>
      <c r="CV88" s="974"/>
      <c r="CW88" s="974"/>
      <c r="CX88" s="974"/>
      <c r="CY88" s="974"/>
      <c r="CZ88" s="974"/>
      <c r="DA88" s="974"/>
      <c r="DB88" s="974"/>
      <c r="DC88" s="974"/>
      <c r="DD88" s="974"/>
      <c r="DE88" s="974"/>
      <c r="DF88" s="974"/>
      <c r="DG88" s="974"/>
      <c r="DH88" s="974"/>
      <c r="DI88" s="974"/>
      <c r="DJ88" s="974"/>
      <c r="DK88" s="974"/>
      <c r="DL88" s="974"/>
      <c r="DM88" s="974"/>
      <c r="DN88" s="974"/>
      <c r="DO88" s="974"/>
      <c r="DP88" s="974"/>
      <c r="DQ88" s="974"/>
      <c r="DR88" s="974"/>
      <c r="DS88" s="974"/>
      <c r="DT88" s="974"/>
      <c r="DU88" s="974"/>
      <c r="DV88" s="974"/>
      <c r="DW88" s="974"/>
      <c r="DX88" s="974"/>
      <c r="DY88" s="974"/>
      <c r="DZ88" s="974"/>
      <c r="EA88" s="974"/>
      <c r="EB88" s="974"/>
      <c r="EC88" s="974"/>
      <c r="ED88" s="974"/>
      <c r="EE88" s="974"/>
      <c r="EF88" s="974"/>
      <c r="EG88" s="974"/>
      <c r="EH88" s="974"/>
      <c r="EI88" s="974"/>
      <c r="EJ88" s="974"/>
      <c r="EK88" s="974"/>
      <c r="EL88" s="974"/>
      <c r="EM88" s="974"/>
      <c r="EN88" s="974"/>
      <c r="EO88" s="974"/>
      <c r="EP88" s="974"/>
      <c r="EQ88" s="974"/>
      <c r="ER88" s="974"/>
      <c r="ES88" s="974"/>
      <c r="ET88" s="974"/>
      <c r="EU88" s="974"/>
      <c r="EV88" s="974"/>
      <c r="EW88" s="974"/>
      <c r="EX88" s="974"/>
      <c r="EY88" s="974"/>
      <c r="EZ88" s="974"/>
      <c r="FA88" s="974"/>
      <c r="FB88" s="974"/>
      <c r="FC88" s="974"/>
      <c r="FD88" s="974"/>
      <c r="FE88" s="974"/>
      <c r="FF88" s="974"/>
      <c r="FG88" s="974"/>
      <c r="FH88" s="974"/>
      <c r="FI88" s="974"/>
      <c r="FJ88" s="974"/>
      <c r="FK88" s="974"/>
      <c r="FL88" s="974"/>
      <c r="FM88" s="974"/>
      <c r="FN88" s="974"/>
      <c r="FO88" s="974"/>
      <c r="FP88" s="974"/>
      <c r="FQ88" s="974"/>
      <c r="FR88" s="974"/>
      <c r="FS88" s="974"/>
      <c r="FT88" s="974"/>
      <c r="FU88" s="974"/>
      <c r="FV88" s="974"/>
      <c r="FW88" s="974"/>
      <c r="FX88" s="974"/>
      <c r="FY88" s="974"/>
      <c r="FZ88" s="974"/>
      <c r="GA88" s="974"/>
      <c r="GB88" s="974"/>
      <c r="GC88" s="974"/>
      <c r="GD88" s="974"/>
      <c r="GE88" s="974"/>
      <c r="GF88" s="974"/>
      <c r="GG88" s="974"/>
      <c r="GH88" s="974"/>
      <c r="GI88" s="974"/>
      <c r="GJ88" s="974"/>
      <c r="GK88" s="974"/>
      <c r="GL88" s="974"/>
      <c r="GM88" s="974"/>
      <c r="GN88" s="974"/>
      <c r="GO88" s="974"/>
      <c r="GP88" s="974"/>
      <c r="GQ88" s="974"/>
      <c r="GR88" s="974"/>
      <c r="GS88" s="974"/>
      <c r="GT88" s="974"/>
      <c r="GU88" s="974"/>
      <c r="GV88" s="974"/>
      <c r="GW88" s="974"/>
      <c r="GX88" s="974"/>
      <c r="GY88" s="974"/>
      <c r="GZ88" s="974"/>
      <c r="HA88" s="974"/>
      <c r="HB88" s="974"/>
      <c r="HC88" s="974"/>
      <c r="HD88" s="974"/>
      <c r="HE88" s="974"/>
      <c r="HF88" s="974"/>
      <c r="HG88" s="974"/>
      <c r="HH88" s="974"/>
      <c r="HI88" s="974"/>
      <c r="HJ88" s="974"/>
      <c r="HK88" s="974"/>
      <c r="HL88" s="974"/>
      <c r="HM88" s="974"/>
      <c r="HN88" s="974"/>
      <c r="HO88" s="974"/>
      <c r="HP88" s="974"/>
      <c r="HQ88" s="974"/>
      <c r="HR88" s="974"/>
      <c r="HS88" s="974"/>
      <c r="HT88" s="974"/>
      <c r="HU88" s="974"/>
      <c r="HV88" s="974"/>
      <c r="HW88" s="974"/>
      <c r="HX88" s="974"/>
      <c r="HY88" s="974"/>
      <c r="HZ88" s="974"/>
      <c r="IA88" s="974"/>
      <c r="IB88" s="974"/>
      <c r="IC88" s="974"/>
      <c r="ID88" s="974"/>
      <c r="IE88" s="974"/>
      <c r="IF88" s="974"/>
      <c r="IG88" s="974"/>
      <c r="IH88" s="974"/>
      <c r="II88" s="974"/>
      <c r="IJ88" s="974"/>
      <c r="IK88" s="974"/>
      <c r="IL88" s="974"/>
      <c r="IM88" s="974"/>
      <c r="IN88" s="974"/>
      <c r="IO88" s="974"/>
      <c r="IP88" s="974"/>
    </row>
    <row r="89" spans="1:250" s="865" customFormat="1" ht="11.25" customHeight="1" thickTop="1">
      <c r="A89" s="962"/>
      <c r="B89" s="898"/>
      <c r="C89" s="976"/>
      <c r="D89" s="981"/>
      <c r="E89" s="970" t="s">
        <v>30</v>
      </c>
      <c r="F89" s="970" t="s">
        <v>30</v>
      </c>
      <c r="G89" s="970" t="s">
        <v>30</v>
      </c>
      <c r="H89" s="970" t="s">
        <v>1275</v>
      </c>
      <c r="I89" s="970" t="s">
        <v>17</v>
      </c>
      <c r="J89" s="970" t="s">
        <v>19</v>
      </c>
      <c r="K89" s="970" t="s">
        <v>32</v>
      </c>
      <c r="L89" s="983"/>
      <c r="M89" s="984"/>
      <c r="N89" s="974"/>
      <c r="O89" s="974"/>
      <c r="P89" s="974"/>
      <c r="Q89" s="974"/>
      <c r="R89" s="974"/>
      <c r="S89" s="974"/>
      <c r="T89" s="974"/>
      <c r="U89" s="974"/>
      <c r="V89" s="974"/>
      <c r="W89" s="974"/>
      <c r="X89" s="974"/>
      <c r="Y89" s="974"/>
      <c r="Z89" s="974"/>
      <c r="AA89" s="974"/>
      <c r="AB89" s="974"/>
      <c r="AC89" s="974"/>
      <c r="AD89" s="974"/>
      <c r="AE89" s="974"/>
      <c r="AF89" s="974"/>
      <c r="AG89" s="974"/>
      <c r="AH89" s="974"/>
      <c r="AI89" s="974"/>
      <c r="AJ89" s="974"/>
      <c r="AK89" s="974"/>
      <c r="AL89" s="974"/>
      <c r="AM89" s="974"/>
      <c r="AN89" s="974"/>
      <c r="AO89" s="974"/>
      <c r="AP89" s="974"/>
      <c r="AQ89" s="974"/>
      <c r="AR89" s="974"/>
      <c r="AS89" s="974"/>
      <c r="AT89" s="974"/>
      <c r="AU89" s="974"/>
      <c r="AV89" s="974"/>
      <c r="AW89" s="974"/>
      <c r="AX89" s="974"/>
      <c r="AY89" s="974"/>
      <c r="AZ89" s="974"/>
      <c r="BA89" s="974"/>
      <c r="BB89" s="974"/>
      <c r="BC89" s="974"/>
      <c r="BD89" s="974"/>
      <c r="BE89" s="974"/>
      <c r="BF89" s="974"/>
      <c r="BG89" s="974"/>
      <c r="BH89" s="974"/>
      <c r="BI89" s="974"/>
      <c r="BJ89" s="974"/>
      <c r="BK89" s="974"/>
      <c r="BL89" s="974"/>
      <c r="BM89" s="974"/>
      <c r="BN89" s="974"/>
      <c r="BO89" s="974"/>
      <c r="BP89" s="974"/>
      <c r="BQ89" s="974"/>
      <c r="BR89" s="974"/>
      <c r="BS89" s="974"/>
      <c r="BT89" s="974"/>
      <c r="BU89" s="974"/>
      <c r="BV89" s="974"/>
      <c r="BW89" s="974"/>
      <c r="BX89" s="974"/>
      <c r="BY89" s="974"/>
      <c r="BZ89" s="974"/>
      <c r="CA89" s="974"/>
      <c r="CB89" s="974"/>
      <c r="CC89" s="974"/>
      <c r="CD89" s="974"/>
      <c r="CE89" s="974"/>
      <c r="CF89" s="974"/>
      <c r="CG89" s="974"/>
      <c r="CH89" s="974"/>
      <c r="CI89" s="974"/>
      <c r="CJ89" s="974"/>
      <c r="CK89" s="974"/>
      <c r="CL89" s="974"/>
      <c r="CM89" s="974"/>
      <c r="CN89" s="974"/>
      <c r="CO89" s="974"/>
      <c r="CP89" s="974"/>
      <c r="CQ89" s="974"/>
      <c r="CR89" s="974"/>
      <c r="CS89" s="974"/>
      <c r="CT89" s="974"/>
      <c r="CU89" s="974"/>
      <c r="CV89" s="974"/>
      <c r="CW89" s="974"/>
      <c r="CX89" s="974"/>
      <c r="CY89" s="974"/>
      <c r="CZ89" s="974"/>
      <c r="DA89" s="974"/>
      <c r="DB89" s="974"/>
      <c r="DC89" s="974"/>
      <c r="DD89" s="974"/>
      <c r="DE89" s="974"/>
      <c r="DF89" s="974"/>
      <c r="DG89" s="974"/>
      <c r="DH89" s="974"/>
      <c r="DI89" s="974"/>
      <c r="DJ89" s="974"/>
      <c r="DK89" s="974"/>
      <c r="DL89" s="974"/>
      <c r="DM89" s="974"/>
      <c r="DN89" s="974"/>
      <c r="DO89" s="974"/>
      <c r="DP89" s="974"/>
      <c r="DQ89" s="974"/>
      <c r="DR89" s="974"/>
      <c r="DS89" s="974"/>
      <c r="DT89" s="974"/>
      <c r="DU89" s="974"/>
      <c r="DV89" s="974"/>
      <c r="DW89" s="974"/>
      <c r="DX89" s="974"/>
      <c r="DY89" s="974"/>
      <c r="DZ89" s="974"/>
      <c r="EA89" s="974"/>
      <c r="EB89" s="974"/>
      <c r="EC89" s="974"/>
      <c r="ED89" s="974"/>
      <c r="EE89" s="974"/>
      <c r="EF89" s="974"/>
      <c r="EG89" s="974"/>
      <c r="EH89" s="974"/>
      <c r="EI89" s="974"/>
      <c r="EJ89" s="974"/>
      <c r="EK89" s="974"/>
      <c r="EL89" s="974"/>
      <c r="EM89" s="974"/>
      <c r="EN89" s="974"/>
      <c r="EO89" s="974"/>
      <c r="EP89" s="974"/>
      <c r="EQ89" s="974"/>
      <c r="ER89" s="974"/>
      <c r="ES89" s="974"/>
      <c r="ET89" s="974"/>
      <c r="EU89" s="974"/>
      <c r="EV89" s="974"/>
      <c r="EW89" s="974"/>
      <c r="EX89" s="974"/>
      <c r="EY89" s="974"/>
      <c r="EZ89" s="974"/>
      <c r="FA89" s="974"/>
      <c r="FB89" s="974"/>
      <c r="FC89" s="974"/>
      <c r="FD89" s="974"/>
      <c r="FE89" s="974"/>
      <c r="FF89" s="974"/>
      <c r="FG89" s="974"/>
      <c r="FH89" s="974"/>
      <c r="FI89" s="974"/>
      <c r="FJ89" s="974"/>
      <c r="FK89" s="974"/>
      <c r="FL89" s="974"/>
      <c r="FM89" s="974"/>
      <c r="FN89" s="974"/>
      <c r="FO89" s="974"/>
      <c r="FP89" s="974"/>
      <c r="FQ89" s="974"/>
      <c r="FR89" s="974"/>
      <c r="FS89" s="974"/>
      <c r="FT89" s="974"/>
      <c r="FU89" s="974"/>
      <c r="FV89" s="974"/>
      <c r="FW89" s="974"/>
      <c r="FX89" s="974"/>
      <c r="FY89" s="974"/>
      <c r="FZ89" s="974"/>
      <c r="GA89" s="974"/>
      <c r="GB89" s="974"/>
      <c r="GC89" s="974"/>
      <c r="GD89" s="974"/>
      <c r="GE89" s="974"/>
      <c r="GF89" s="974"/>
      <c r="GG89" s="974"/>
      <c r="GH89" s="974"/>
      <c r="GI89" s="974"/>
      <c r="GJ89" s="974"/>
      <c r="GK89" s="974"/>
      <c r="GL89" s="974"/>
      <c r="GM89" s="974"/>
      <c r="GN89" s="974"/>
      <c r="GO89" s="974"/>
      <c r="GP89" s="974"/>
      <c r="GQ89" s="974"/>
      <c r="GR89" s="974"/>
      <c r="GS89" s="974"/>
      <c r="GT89" s="974"/>
      <c r="GU89" s="974"/>
      <c r="GV89" s="974"/>
      <c r="GW89" s="974"/>
      <c r="GX89" s="974"/>
      <c r="GY89" s="974"/>
      <c r="GZ89" s="974"/>
      <c r="HA89" s="974"/>
      <c r="HB89" s="974"/>
      <c r="HC89" s="974"/>
      <c r="HD89" s="974"/>
      <c r="HE89" s="974"/>
      <c r="HF89" s="974"/>
      <c r="HG89" s="974"/>
      <c r="HH89" s="974"/>
      <c r="HI89" s="974"/>
      <c r="HJ89" s="974"/>
      <c r="HK89" s="974"/>
      <c r="HL89" s="974"/>
      <c r="HM89" s="974"/>
      <c r="HN89" s="974"/>
      <c r="HO89" s="974"/>
      <c r="HP89" s="974"/>
      <c r="HQ89" s="974"/>
      <c r="HR89" s="974"/>
      <c r="HS89" s="974"/>
      <c r="HT89" s="974"/>
      <c r="HU89" s="974"/>
      <c r="HV89" s="974"/>
      <c r="HW89" s="974"/>
      <c r="HX89" s="974"/>
      <c r="HY89" s="974"/>
      <c r="HZ89" s="974"/>
      <c r="IA89" s="974"/>
      <c r="IB89" s="974"/>
      <c r="IC89" s="974"/>
      <c r="ID89" s="974"/>
      <c r="IE89" s="974"/>
      <c r="IF89" s="974"/>
      <c r="IG89" s="974"/>
      <c r="IH89" s="974"/>
      <c r="II89" s="974"/>
      <c r="IJ89" s="974"/>
      <c r="IK89" s="974"/>
      <c r="IL89" s="974"/>
      <c r="IM89" s="974"/>
      <c r="IN89" s="974"/>
      <c r="IO89" s="974"/>
      <c r="IP89" s="974"/>
    </row>
    <row r="90" spans="1:250" s="865" customFormat="1" ht="11.25" customHeight="1">
      <c r="A90" s="962"/>
      <c r="B90" s="898"/>
      <c r="C90" s="976"/>
      <c r="D90" s="888" t="s">
        <v>14491</v>
      </c>
      <c r="E90" s="824"/>
      <c r="F90" s="824"/>
      <c r="G90" s="824"/>
      <c r="H90" s="1331">
        <v>6</v>
      </c>
      <c r="I90" s="700">
        <v>1.35</v>
      </c>
      <c r="J90" s="700">
        <v>1.35</v>
      </c>
      <c r="K90" s="700"/>
      <c r="L90" s="700" t="s">
        <v>21</v>
      </c>
      <c r="M90" s="1149">
        <f>I90*J90*H90</f>
        <v>10.935000000000002</v>
      </c>
      <c r="N90" s="974"/>
      <c r="O90" s="974"/>
      <c r="P90" s="974"/>
      <c r="Q90" s="974"/>
      <c r="R90" s="974"/>
      <c r="S90" s="974"/>
      <c r="T90" s="974"/>
      <c r="U90" s="974"/>
      <c r="V90" s="974"/>
      <c r="W90" s="974"/>
      <c r="X90" s="974"/>
      <c r="Y90" s="974"/>
      <c r="Z90" s="974"/>
      <c r="AA90" s="974"/>
      <c r="AB90" s="974"/>
      <c r="AC90" s="974"/>
      <c r="AD90" s="974"/>
      <c r="AE90" s="974"/>
      <c r="AF90" s="974"/>
      <c r="AG90" s="974"/>
      <c r="AH90" s="974"/>
      <c r="AI90" s="974"/>
      <c r="AJ90" s="974"/>
      <c r="AK90" s="974"/>
      <c r="AL90" s="974"/>
      <c r="AM90" s="974"/>
      <c r="AN90" s="974"/>
      <c r="AO90" s="974"/>
      <c r="AP90" s="974"/>
      <c r="AQ90" s="974"/>
      <c r="AR90" s="974"/>
      <c r="AS90" s="974"/>
      <c r="AT90" s="974"/>
      <c r="AU90" s="974"/>
      <c r="AV90" s="974"/>
      <c r="AW90" s="974"/>
      <c r="AX90" s="974"/>
      <c r="AY90" s="974"/>
      <c r="AZ90" s="974"/>
      <c r="BA90" s="974"/>
      <c r="BB90" s="974"/>
      <c r="BC90" s="974"/>
      <c r="BD90" s="974"/>
      <c r="BE90" s="974"/>
      <c r="BF90" s="974"/>
      <c r="BG90" s="974"/>
      <c r="BH90" s="974"/>
      <c r="BI90" s="974"/>
      <c r="BJ90" s="974"/>
      <c r="BK90" s="974"/>
      <c r="BL90" s="974"/>
      <c r="BM90" s="974"/>
      <c r="BN90" s="974"/>
      <c r="BO90" s="974"/>
      <c r="BP90" s="974"/>
      <c r="BQ90" s="974"/>
      <c r="BR90" s="974"/>
      <c r="BS90" s="974"/>
      <c r="BT90" s="974"/>
      <c r="BU90" s="974"/>
      <c r="BV90" s="974"/>
      <c r="BW90" s="974"/>
      <c r="BX90" s="974"/>
      <c r="BY90" s="974"/>
      <c r="BZ90" s="974"/>
      <c r="CA90" s="974"/>
      <c r="CB90" s="974"/>
      <c r="CC90" s="974"/>
      <c r="CD90" s="974"/>
      <c r="CE90" s="974"/>
      <c r="CF90" s="974"/>
      <c r="CG90" s="974"/>
      <c r="CH90" s="974"/>
      <c r="CI90" s="974"/>
      <c r="CJ90" s="974"/>
      <c r="CK90" s="974"/>
      <c r="CL90" s="974"/>
      <c r="CM90" s="974"/>
      <c r="CN90" s="974"/>
      <c r="CO90" s="974"/>
      <c r="CP90" s="974"/>
      <c r="CQ90" s="974"/>
      <c r="CR90" s="974"/>
      <c r="CS90" s="974"/>
      <c r="CT90" s="974"/>
      <c r="CU90" s="974"/>
      <c r="CV90" s="974"/>
      <c r="CW90" s="974"/>
      <c r="CX90" s="974"/>
      <c r="CY90" s="974"/>
      <c r="CZ90" s="974"/>
      <c r="DA90" s="974"/>
      <c r="DB90" s="974"/>
      <c r="DC90" s="974"/>
      <c r="DD90" s="974"/>
      <c r="DE90" s="974"/>
      <c r="DF90" s="974"/>
      <c r="DG90" s="974"/>
      <c r="DH90" s="974"/>
      <c r="DI90" s="974"/>
      <c r="DJ90" s="974"/>
      <c r="DK90" s="974"/>
      <c r="DL90" s="974"/>
      <c r="DM90" s="974"/>
      <c r="DN90" s="974"/>
      <c r="DO90" s="974"/>
      <c r="DP90" s="974"/>
      <c r="DQ90" s="974"/>
      <c r="DR90" s="974"/>
      <c r="DS90" s="974"/>
      <c r="DT90" s="974"/>
      <c r="DU90" s="974"/>
      <c r="DV90" s="974"/>
      <c r="DW90" s="974"/>
      <c r="DX90" s="974"/>
      <c r="DY90" s="974"/>
      <c r="DZ90" s="974"/>
      <c r="EA90" s="974"/>
      <c r="EB90" s="974"/>
      <c r="EC90" s="974"/>
      <c r="ED90" s="974"/>
      <c r="EE90" s="974"/>
      <c r="EF90" s="974"/>
      <c r="EG90" s="974"/>
      <c r="EH90" s="974"/>
      <c r="EI90" s="974"/>
      <c r="EJ90" s="974"/>
      <c r="EK90" s="974"/>
      <c r="EL90" s="974"/>
      <c r="EM90" s="974"/>
      <c r="EN90" s="974"/>
      <c r="EO90" s="974"/>
      <c r="EP90" s="974"/>
      <c r="EQ90" s="974"/>
      <c r="ER90" s="974"/>
      <c r="ES90" s="974"/>
      <c r="ET90" s="974"/>
      <c r="EU90" s="974"/>
      <c r="EV90" s="974"/>
      <c r="EW90" s="974"/>
      <c r="EX90" s="974"/>
      <c r="EY90" s="974"/>
      <c r="EZ90" s="974"/>
      <c r="FA90" s="974"/>
      <c r="FB90" s="974"/>
      <c r="FC90" s="974"/>
      <c r="FD90" s="974"/>
      <c r="FE90" s="974"/>
      <c r="FF90" s="974"/>
      <c r="FG90" s="974"/>
      <c r="FH90" s="974"/>
      <c r="FI90" s="974"/>
      <c r="FJ90" s="974"/>
      <c r="FK90" s="974"/>
      <c r="FL90" s="974"/>
      <c r="FM90" s="974"/>
      <c r="FN90" s="974"/>
      <c r="FO90" s="974"/>
      <c r="FP90" s="974"/>
      <c r="FQ90" s="974"/>
      <c r="FR90" s="974"/>
      <c r="FS90" s="974"/>
      <c r="FT90" s="974"/>
      <c r="FU90" s="974"/>
      <c r="FV90" s="974"/>
      <c r="FW90" s="974"/>
      <c r="FX90" s="974"/>
      <c r="FY90" s="974"/>
      <c r="FZ90" s="974"/>
      <c r="GA90" s="974"/>
      <c r="GB90" s="974"/>
      <c r="GC90" s="974"/>
      <c r="GD90" s="974"/>
      <c r="GE90" s="974"/>
      <c r="GF90" s="974"/>
      <c r="GG90" s="974"/>
      <c r="GH90" s="974"/>
      <c r="GI90" s="974"/>
      <c r="GJ90" s="974"/>
      <c r="GK90" s="974"/>
      <c r="GL90" s="974"/>
      <c r="GM90" s="974"/>
      <c r="GN90" s="974"/>
      <c r="GO90" s="974"/>
      <c r="GP90" s="974"/>
      <c r="GQ90" s="974"/>
      <c r="GR90" s="974"/>
      <c r="GS90" s="974"/>
      <c r="GT90" s="974"/>
      <c r="GU90" s="974"/>
      <c r="GV90" s="974"/>
      <c r="GW90" s="974"/>
      <c r="GX90" s="974"/>
      <c r="GY90" s="974"/>
      <c r="GZ90" s="974"/>
      <c r="HA90" s="974"/>
      <c r="HB90" s="974"/>
      <c r="HC90" s="974"/>
      <c r="HD90" s="974"/>
      <c r="HE90" s="974"/>
      <c r="HF90" s="974"/>
      <c r="HG90" s="974"/>
      <c r="HH90" s="974"/>
      <c r="HI90" s="974"/>
      <c r="HJ90" s="974"/>
      <c r="HK90" s="974"/>
      <c r="HL90" s="974"/>
      <c r="HM90" s="974"/>
      <c r="HN90" s="974"/>
      <c r="HO90" s="974"/>
      <c r="HP90" s="974"/>
      <c r="HQ90" s="974"/>
      <c r="HR90" s="974"/>
      <c r="HS90" s="974"/>
      <c r="HT90" s="974"/>
      <c r="HU90" s="974"/>
      <c r="HV90" s="974"/>
      <c r="HW90" s="974"/>
      <c r="HX90" s="974"/>
      <c r="HY90" s="974"/>
      <c r="HZ90" s="974"/>
      <c r="IA90" s="974"/>
      <c r="IB90" s="974"/>
      <c r="IC90" s="974"/>
      <c r="ID90" s="974"/>
      <c r="IE90" s="974"/>
      <c r="IF90" s="974"/>
      <c r="IG90" s="974"/>
      <c r="IH90" s="974"/>
      <c r="II90" s="974"/>
      <c r="IJ90" s="974"/>
      <c r="IK90" s="974"/>
      <c r="IL90" s="974"/>
      <c r="IM90" s="974"/>
      <c r="IN90" s="974"/>
      <c r="IO90" s="974"/>
      <c r="IP90" s="974"/>
    </row>
    <row r="91" spans="1:250" s="865" customFormat="1">
      <c r="A91" s="962"/>
      <c r="B91" s="898"/>
      <c r="C91" s="976"/>
      <c r="D91" s="981"/>
      <c r="E91" s="982"/>
      <c r="F91" s="982"/>
      <c r="G91" s="970"/>
      <c r="H91" s="1355"/>
      <c r="I91" s="970"/>
      <c r="J91" s="970"/>
      <c r="K91" s="970"/>
      <c r="L91" s="985"/>
      <c r="M91" s="986"/>
      <c r="N91" s="974"/>
      <c r="O91" s="974"/>
      <c r="P91" s="974"/>
      <c r="Q91" s="974"/>
      <c r="R91" s="974"/>
      <c r="S91" s="974"/>
      <c r="T91" s="974"/>
      <c r="U91" s="974"/>
      <c r="V91" s="974"/>
      <c r="W91" s="974"/>
      <c r="X91" s="974"/>
      <c r="Y91" s="974"/>
      <c r="Z91" s="974"/>
      <c r="AA91" s="974"/>
      <c r="AB91" s="974"/>
      <c r="AC91" s="974"/>
      <c r="AD91" s="974"/>
      <c r="AE91" s="974"/>
      <c r="AF91" s="974"/>
      <c r="AG91" s="974"/>
      <c r="AH91" s="974"/>
      <c r="AI91" s="974"/>
      <c r="AJ91" s="974"/>
      <c r="AK91" s="974"/>
      <c r="AL91" s="974"/>
      <c r="AM91" s="974"/>
      <c r="AN91" s="974"/>
      <c r="AO91" s="974"/>
      <c r="AP91" s="974"/>
      <c r="AQ91" s="974"/>
      <c r="AR91" s="974"/>
      <c r="AS91" s="974"/>
      <c r="AT91" s="974"/>
      <c r="AU91" s="974"/>
      <c r="AV91" s="974"/>
      <c r="AW91" s="974"/>
      <c r="AX91" s="974"/>
      <c r="AY91" s="974"/>
      <c r="AZ91" s="974"/>
      <c r="BA91" s="974"/>
      <c r="BB91" s="974"/>
      <c r="BC91" s="974"/>
      <c r="BD91" s="974"/>
      <c r="BE91" s="974"/>
      <c r="BF91" s="974"/>
      <c r="BG91" s="974"/>
      <c r="BH91" s="974"/>
      <c r="BI91" s="974"/>
      <c r="BJ91" s="974"/>
      <c r="BK91" s="974"/>
      <c r="BL91" s="974"/>
      <c r="BM91" s="974"/>
      <c r="BN91" s="974"/>
      <c r="BO91" s="974"/>
      <c r="BP91" s="974"/>
      <c r="BQ91" s="974"/>
      <c r="BR91" s="974"/>
      <c r="BS91" s="974"/>
      <c r="BT91" s="974"/>
      <c r="BU91" s="974"/>
      <c r="BV91" s="974"/>
      <c r="BW91" s="974"/>
      <c r="BX91" s="974"/>
      <c r="BY91" s="974"/>
      <c r="BZ91" s="974"/>
      <c r="CA91" s="974"/>
      <c r="CB91" s="974"/>
      <c r="CC91" s="974"/>
      <c r="CD91" s="974"/>
      <c r="CE91" s="974"/>
      <c r="CF91" s="974"/>
      <c r="CG91" s="974"/>
      <c r="CH91" s="974"/>
      <c r="CI91" s="974"/>
      <c r="CJ91" s="974"/>
      <c r="CK91" s="974"/>
      <c r="CL91" s="974"/>
      <c r="CM91" s="974"/>
      <c r="CN91" s="974"/>
      <c r="CO91" s="974"/>
      <c r="CP91" s="974"/>
      <c r="CQ91" s="974"/>
      <c r="CR91" s="974"/>
      <c r="CS91" s="974"/>
      <c r="CT91" s="974"/>
      <c r="CU91" s="974"/>
      <c r="CV91" s="974"/>
      <c r="CW91" s="974"/>
      <c r="CX91" s="974"/>
      <c r="CY91" s="974"/>
      <c r="CZ91" s="974"/>
      <c r="DA91" s="974"/>
      <c r="DB91" s="974"/>
      <c r="DC91" s="974"/>
      <c r="DD91" s="974"/>
      <c r="DE91" s="974"/>
      <c r="DF91" s="974"/>
      <c r="DG91" s="974"/>
      <c r="DH91" s="974"/>
      <c r="DI91" s="974"/>
      <c r="DJ91" s="974"/>
      <c r="DK91" s="974"/>
      <c r="DL91" s="974"/>
      <c r="DM91" s="974"/>
      <c r="DN91" s="974"/>
      <c r="DO91" s="974"/>
      <c r="DP91" s="974"/>
      <c r="DQ91" s="974"/>
      <c r="DR91" s="974"/>
      <c r="DS91" s="974"/>
      <c r="DT91" s="974"/>
      <c r="DU91" s="974"/>
      <c r="DV91" s="974"/>
      <c r="DW91" s="974"/>
      <c r="DX91" s="974"/>
      <c r="DY91" s="974"/>
      <c r="DZ91" s="974"/>
      <c r="EA91" s="974"/>
      <c r="EB91" s="974"/>
      <c r="EC91" s="974"/>
      <c r="ED91" s="974"/>
      <c r="EE91" s="974"/>
      <c r="EF91" s="974"/>
      <c r="EG91" s="974"/>
      <c r="EH91" s="974"/>
      <c r="EI91" s="974"/>
      <c r="EJ91" s="974"/>
      <c r="EK91" s="974"/>
      <c r="EL91" s="974"/>
      <c r="EM91" s="974"/>
      <c r="EN91" s="974"/>
      <c r="EO91" s="974"/>
      <c r="EP91" s="974"/>
      <c r="EQ91" s="974"/>
      <c r="ER91" s="974"/>
      <c r="ES91" s="974"/>
      <c r="ET91" s="974"/>
      <c r="EU91" s="974"/>
      <c r="EV91" s="974"/>
      <c r="EW91" s="974"/>
      <c r="EX91" s="974"/>
      <c r="EY91" s="974"/>
      <c r="EZ91" s="974"/>
      <c r="FA91" s="974"/>
      <c r="FB91" s="974"/>
      <c r="FC91" s="974"/>
      <c r="FD91" s="974"/>
      <c r="FE91" s="974"/>
      <c r="FF91" s="974"/>
      <c r="FG91" s="974"/>
      <c r="FH91" s="974"/>
      <c r="FI91" s="974"/>
      <c r="FJ91" s="974"/>
      <c r="FK91" s="974"/>
      <c r="FL91" s="974"/>
      <c r="FM91" s="974"/>
      <c r="FN91" s="974"/>
      <c r="FO91" s="974"/>
      <c r="FP91" s="974"/>
      <c r="FQ91" s="974"/>
      <c r="FR91" s="974"/>
      <c r="FS91" s="974"/>
      <c r="FT91" s="974"/>
      <c r="FU91" s="974"/>
      <c r="FV91" s="974"/>
      <c r="FW91" s="974"/>
      <c r="FX91" s="974"/>
      <c r="FY91" s="974"/>
      <c r="FZ91" s="974"/>
      <c r="GA91" s="974"/>
      <c r="GB91" s="974"/>
      <c r="GC91" s="974"/>
      <c r="GD91" s="974"/>
      <c r="GE91" s="974"/>
      <c r="GF91" s="974"/>
      <c r="GG91" s="974"/>
      <c r="GH91" s="974"/>
      <c r="GI91" s="974"/>
      <c r="GJ91" s="974"/>
      <c r="GK91" s="974"/>
      <c r="GL91" s="974"/>
      <c r="GM91" s="974"/>
      <c r="GN91" s="974"/>
      <c r="GO91" s="974"/>
      <c r="GP91" s="974"/>
      <c r="GQ91" s="974"/>
      <c r="GR91" s="974"/>
      <c r="GS91" s="974"/>
      <c r="GT91" s="974"/>
      <c r="GU91" s="974"/>
      <c r="GV91" s="974"/>
      <c r="GW91" s="974"/>
      <c r="GX91" s="974"/>
      <c r="GY91" s="974"/>
      <c r="GZ91" s="974"/>
      <c r="HA91" s="974"/>
      <c r="HB91" s="974"/>
      <c r="HC91" s="974"/>
      <c r="HD91" s="974"/>
      <c r="HE91" s="974"/>
      <c r="HF91" s="974"/>
      <c r="HG91" s="974"/>
      <c r="HH91" s="974"/>
      <c r="HI91" s="974"/>
      <c r="HJ91" s="974"/>
      <c r="HK91" s="974"/>
      <c r="HL91" s="974"/>
      <c r="HM91" s="974"/>
      <c r="HN91" s="974"/>
      <c r="HO91" s="974"/>
      <c r="HP91" s="974"/>
      <c r="HQ91" s="974"/>
      <c r="HR91" s="974"/>
      <c r="HS91" s="974"/>
      <c r="HT91" s="974"/>
      <c r="HU91" s="974"/>
      <c r="HV91" s="974"/>
      <c r="HW91" s="974"/>
      <c r="HX91" s="974"/>
      <c r="HY91" s="974"/>
      <c r="HZ91" s="974"/>
      <c r="IA91" s="974"/>
      <c r="IB91" s="974"/>
      <c r="IC91" s="974"/>
      <c r="ID91" s="974"/>
      <c r="IE91" s="974"/>
      <c r="IF91" s="974"/>
      <c r="IG91" s="974"/>
      <c r="IH91" s="974"/>
      <c r="II91" s="974"/>
      <c r="IJ91" s="974"/>
      <c r="IK91" s="974"/>
      <c r="IL91" s="974"/>
      <c r="IM91" s="974"/>
      <c r="IN91" s="974"/>
      <c r="IO91" s="974"/>
      <c r="IP91" s="974"/>
    </row>
    <row r="92" spans="1:250" s="865" customFormat="1">
      <c r="A92" s="962" t="s">
        <v>14580</v>
      </c>
      <c r="B92" s="855" t="s">
        <v>70</v>
      </c>
      <c r="C92" s="909">
        <v>79472</v>
      </c>
      <c r="D92" s="836" t="str">
        <f>PROPER(IF(B92="Saneago",VLOOKUP(C92,'SANEAGO-FEV.2016'!A:B,2,0),IF(B92="Sinapi",VLOOKUP(C92,'SINAPI-FEV.2017'!A:D,2,0),IF(B92="Cotação",VLOOKUP(C92,COTAÇÃO!A:D,2,0),IF(B92="Composição",VLOOKUP(C92,COMPOSIÇÃO!A:D,2,0))))))</f>
        <v>Regularizacao De Superficies Em Terra Com Motoniveladora</v>
      </c>
      <c r="E92" s="837"/>
      <c r="F92" s="837"/>
      <c r="G92" s="987"/>
      <c r="H92" s="992"/>
      <c r="I92" s="987"/>
      <c r="J92" s="987"/>
      <c r="K92" s="988" t="s">
        <v>27</v>
      </c>
      <c r="L92" s="988" t="s">
        <v>21</v>
      </c>
      <c r="M92" s="1150">
        <f>SUM(M90:M90)</f>
        <v>10.935000000000002</v>
      </c>
      <c r="N92" s="974"/>
      <c r="O92" s="974"/>
      <c r="P92" s="974"/>
      <c r="Q92" s="974"/>
      <c r="R92" s="974"/>
      <c r="S92" s="974"/>
      <c r="T92" s="974"/>
      <c r="U92" s="974"/>
      <c r="V92" s="974"/>
      <c r="W92" s="974"/>
      <c r="X92" s="974"/>
      <c r="Y92" s="974"/>
      <c r="Z92" s="974"/>
      <c r="AA92" s="974"/>
      <c r="AB92" s="974"/>
      <c r="AC92" s="974"/>
      <c r="AD92" s="974"/>
      <c r="AE92" s="974"/>
      <c r="AF92" s="974"/>
      <c r="AG92" s="974"/>
      <c r="AH92" s="974"/>
      <c r="AI92" s="974"/>
      <c r="AJ92" s="974"/>
      <c r="AK92" s="974"/>
      <c r="AL92" s="974"/>
      <c r="AM92" s="974"/>
      <c r="AN92" s="974"/>
      <c r="AO92" s="974"/>
      <c r="AP92" s="974"/>
      <c r="AQ92" s="974"/>
      <c r="AR92" s="974"/>
      <c r="AS92" s="974"/>
      <c r="AT92" s="974"/>
      <c r="AU92" s="974"/>
      <c r="AV92" s="974"/>
      <c r="AW92" s="974"/>
      <c r="AX92" s="974"/>
      <c r="AY92" s="974"/>
      <c r="AZ92" s="974"/>
      <c r="BA92" s="974"/>
      <c r="BB92" s="974"/>
      <c r="BC92" s="974"/>
      <c r="BD92" s="974"/>
      <c r="BE92" s="974"/>
      <c r="BF92" s="974"/>
      <c r="BG92" s="974"/>
      <c r="BH92" s="974"/>
      <c r="BI92" s="974"/>
      <c r="BJ92" s="974"/>
      <c r="BK92" s="974"/>
      <c r="BL92" s="974"/>
      <c r="BM92" s="974"/>
      <c r="BN92" s="974"/>
      <c r="BO92" s="974"/>
      <c r="BP92" s="974"/>
      <c r="BQ92" s="974"/>
      <c r="BR92" s="974"/>
      <c r="BS92" s="974"/>
      <c r="BT92" s="974"/>
      <c r="BU92" s="974"/>
      <c r="BV92" s="974"/>
      <c r="BW92" s="974"/>
      <c r="BX92" s="974"/>
      <c r="BY92" s="974"/>
      <c r="BZ92" s="974"/>
      <c r="CA92" s="974"/>
      <c r="CB92" s="974"/>
      <c r="CC92" s="974"/>
      <c r="CD92" s="974"/>
      <c r="CE92" s="974"/>
      <c r="CF92" s="974"/>
      <c r="CG92" s="974"/>
      <c r="CH92" s="974"/>
      <c r="CI92" s="974"/>
      <c r="CJ92" s="974"/>
      <c r="CK92" s="974"/>
      <c r="CL92" s="974"/>
      <c r="CM92" s="974"/>
      <c r="CN92" s="974"/>
      <c r="CO92" s="974"/>
      <c r="CP92" s="974"/>
      <c r="CQ92" s="974"/>
      <c r="CR92" s="974"/>
      <c r="CS92" s="974"/>
      <c r="CT92" s="974"/>
      <c r="CU92" s="974"/>
      <c r="CV92" s="974"/>
      <c r="CW92" s="974"/>
      <c r="CX92" s="974"/>
      <c r="CY92" s="974"/>
      <c r="CZ92" s="974"/>
      <c r="DA92" s="974"/>
      <c r="DB92" s="974"/>
      <c r="DC92" s="974"/>
      <c r="DD92" s="974"/>
      <c r="DE92" s="974"/>
      <c r="DF92" s="974"/>
      <c r="DG92" s="974"/>
      <c r="DH92" s="974"/>
      <c r="DI92" s="974"/>
      <c r="DJ92" s="974"/>
      <c r="DK92" s="974"/>
      <c r="DL92" s="974"/>
      <c r="DM92" s="974"/>
      <c r="DN92" s="974"/>
      <c r="DO92" s="974"/>
      <c r="DP92" s="974"/>
      <c r="DQ92" s="974"/>
      <c r="DR92" s="974"/>
      <c r="DS92" s="974"/>
      <c r="DT92" s="974"/>
      <c r="DU92" s="974"/>
      <c r="DV92" s="974"/>
      <c r="DW92" s="974"/>
      <c r="DX92" s="974"/>
      <c r="DY92" s="974"/>
      <c r="DZ92" s="974"/>
      <c r="EA92" s="974"/>
      <c r="EB92" s="974"/>
      <c r="EC92" s="974"/>
      <c r="ED92" s="974"/>
      <c r="EE92" s="974"/>
      <c r="EF92" s="974"/>
      <c r="EG92" s="974"/>
      <c r="EH92" s="974"/>
      <c r="EI92" s="974"/>
      <c r="EJ92" s="974"/>
      <c r="EK92" s="974"/>
      <c r="EL92" s="974"/>
      <c r="EM92" s="974"/>
      <c r="EN92" s="974"/>
      <c r="EO92" s="974"/>
      <c r="EP92" s="974"/>
      <c r="EQ92" s="974"/>
      <c r="ER92" s="974"/>
      <c r="ES92" s="974"/>
      <c r="ET92" s="974"/>
      <c r="EU92" s="974"/>
      <c r="EV92" s="974"/>
      <c r="EW92" s="974"/>
      <c r="EX92" s="974"/>
      <c r="EY92" s="974"/>
      <c r="EZ92" s="974"/>
      <c r="FA92" s="974"/>
      <c r="FB92" s="974"/>
      <c r="FC92" s="974"/>
      <c r="FD92" s="974"/>
      <c r="FE92" s="974"/>
      <c r="FF92" s="974"/>
      <c r="FG92" s="974"/>
      <c r="FH92" s="974"/>
      <c r="FI92" s="974"/>
      <c r="FJ92" s="974"/>
      <c r="FK92" s="974"/>
      <c r="FL92" s="974"/>
      <c r="FM92" s="974"/>
      <c r="FN92" s="974"/>
      <c r="FO92" s="974"/>
      <c r="FP92" s="974"/>
      <c r="FQ92" s="974"/>
      <c r="FR92" s="974"/>
      <c r="FS92" s="974"/>
      <c r="FT92" s="974"/>
      <c r="FU92" s="974"/>
      <c r="FV92" s="974"/>
      <c r="FW92" s="974"/>
      <c r="FX92" s="974"/>
      <c r="FY92" s="974"/>
      <c r="FZ92" s="974"/>
      <c r="GA92" s="974"/>
      <c r="GB92" s="974"/>
      <c r="GC92" s="974"/>
      <c r="GD92" s="974"/>
      <c r="GE92" s="974"/>
      <c r="GF92" s="974"/>
      <c r="GG92" s="974"/>
      <c r="GH92" s="974"/>
      <c r="GI92" s="974"/>
      <c r="GJ92" s="974"/>
      <c r="GK92" s="974"/>
      <c r="GL92" s="974"/>
      <c r="GM92" s="974"/>
      <c r="GN92" s="974"/>
      <c r="GO92" s="974"/>
      <c r="GP92" s="974"/>
      <c r="GQ92" s="974"/>
      <c r="GR92" s="974"/>
      <c r="GS92" s="974"/>
      <c r="GT92" s="974"/>
      <c r="GU92" s="974"/>
      <c r="GV92" s="974"/>
      <c r="GW92" s="974"/>
      <c r="GX92" s="974"/>
      <c r="GY92" s="974"/>
      <c r="GZ92" s="974"/>
      <c r="HA92" s="974"/>
      <c r="HB92" s="974"/>
      <c r="HC92" s="974"/>
      <c r="HD92" s="974"/>
      <c r="HE92" s="974"/>
      <c r="HF92" s="974"/>
      <c r="HG92" s="974"/>
      <c r="HH92" s="974"/>
      <c r="HI92" s="974"/>
      <c r="HJ92" s="974"/>
      <c r="HK92" s="974"/>
      <c r="HL92" s="974"/>
      <c r="HM92" s="974"/>
      <c r="HN92" s="974"/>
      <c r="HO92" s="974"/>
      <c r="HP92" s="974"/>
      <c r="HQ92" s="974"/>
      <c r="HR92" s="974"/>
      <c r="HS92" s="974"/>
      <c r="HT92" s="974"/>
      <c r="HU92" s="974"/>
      <c r="HV92" s="974"/>
      <c r="HW92" s="974"/>
      <c r="HX92" s="974"/>
      <c r="HY92" s="974"/>
      <c r="HZ92" s="974"/>
      <c r="IA92" s="974"/>
      <c r="IB92" s="974"/>
      <c r="IC92" s="974"/>
      <c r="ID92" s="974"/>
      <c r="IE92" s="974"/>
      <c r="IF92" s="974"/>
      <c r="IG92" s="974"/>
      <c r="IH92" s="974"/>
      <c r="II92" s="974"/>
      <c r="IJ92" s="974"/>
      <c r="IK92" s="974"/>
      <c r="IL92" s="974"/>
      <c r="IM92" s="974"/>
      <c r="IN92" s="974"/>
      <c r="IO92" s="974"/>
      <c r="IP92" s="974"/>
    </row>
    <row r="93" spans="1:250" s="863" customFormat="1" ht="11.25" customHeight="1">
      <c r="A93" s="912"/>
      <c r="B93" s="855"/>
      <c r="C93" s="855"/>
      <c r="D93" s="826"/>
      <c r="E93" s="790"/>
      <c r="F93" s="790"/>
      <c r="G93" s="700"/>
      <c r="H93" s="700"/>
      <c r="I93" s="700"/>
      <c r="J93" s="700"/>
      <c r="K93" s="700"/>
      <c r="L93" s="700"/>
      <c r="M93" s="1356"/>
    </row>
    <row r="94" spans="1:250" s="824" customFormat="1" ht="10.5" customHeight="1" thickBot="1">
      <c r="A94" s="1357"/>
      <c r="B94" s="809"/>
      <c r="C94" s="809"/>
      <c r="D94" s="826"/>
      <c r="E94" s="790"/>
      <c r="F94" s="790"/>
      <c r="G94" s="700"/>
      <c r="H94" s="700"/>
      <c r="I94" s="700"/>
      <c r="J94" s="907"/>
      <c r="K94" s="700"/>
      <c r="L94" s="700"/>
      <c r="M94" s="1356"/>
    </row>
    <row r="95" spans="1:250" s="824" customFormat="1" thickTop="1" thickBot="1">
      <c r="A95" s="1357"/>
      <c r="B95" s="809"/>
      <c r="C95" s="809"/>
      <c r="D95" s="830" t="s">
        <v>47</v>
      </c>
      <c r="E95" s="831"/>
      <c r="F95" s="831"/>
      <c r="G95" s="831"/>
      <c r="H95" s="831"/>
      <c r="I95" s="831"/>
      <c r="J95" s="831"/>
      <c r="K95" s="831"/>
      <c r="L95" s="832" t="s">
        <v>25</v>
      </c>
      <c r="M95" s="833" t="s">
        <v>27</v>
      </c>
    </row>
    <row r="96" spans="1:250" s="824" customFormat="1" ht="18" customHeight="1" thickTop="1">
      <c r="A96" s="1357"/>
      <c r="B96" s="809"/>
      <c r="C96" s="809"/>
      <c r="D96" s="826"/>
      <c r="E96" s="790"/>
      <c r="F96" s="790"/>
      <c r="G96" s="828" t="s">
        <v>30</v>
      </c>
      <c r="H96" s="828" t="s">
        <v>30</v>
      </c>
      <c r="I96" s="828" t="s">
        <v>30</v>
      </c>
      <c r="J96" s="828" t="s">
        <v>58</v>
      </c>
      <c r="K96" s="828" t="s">
        <v>39</v>
      </c>
      <c r="L96" s="828"/>
      <c r="M96" s="1322"/>
    </row>
    <row r="97" spans="1:13" s="824" customFormat="1" ht="21.75" customHeight="1">
      <c r="A97" s="912" t="s">
        <v>14581</v>
      </c>
      <c r="B97" s="855" t="s">
        <v>70</v>
      </c>
      <c r="C97" s="909" t="s">
        <v>18276</v>
      </c>
      <c r="D97" s="836" t="str">
        <f>PROPER(IF(B97="Saneago",VLOOKUP(C97,'SANEAGO-FEV.2016'!A:B,2,0),IF(B97="Sinapi",VLOOKUP(C97,'SINAPI-FEV.2017'!A:D,2,0),IF(B97="Cotação",VLOOKUP(C97,COTAÇÃO!A:D,2,0),IF(B97="Composição",VLOOKUP(C97,COMPOSIÇÃO!A:D,2,0))))))</f>
        <v>Carga E Descarga Mecanica De Solo Utilizando Caminhao Basculante 6,0M3/16T E Pa Carregadeira Sobre Pneus 128 Hp, Capacidade Da Caçamba 1,7 A 2,8 M3, Peso Operacional 11632 Kg</v>
      </c>
      <c r="E97" s="837"/>
      <c r="F97" s="837"/>
      <c r="G97" s="838"/>
      <c r="H97" s="838"/>
      <c r="I97" s="838"/>
      <c r="J97" s="838">
        <f>M80</f>
        <v>244.422</v>
      </c>
      <c r="K97" s="838">
        <f>M82</f>
        <v>205.39116999999999</v>
      </c>
      <c r="L97" s="838" t="s">
        <v>22</v>
      </c>
      <c r="M97" s="1352">
        <f>(J97-K97)</f>
        <v>39.030830000000009</v>
      </c>
    </row>
    <row r="98" spans="1:13" s="824" customFormat="1" ht="11.25">
      <c r="A98" s="1357"/>
      <c r="B98" s="855"/>
      <c r="C98" s="909"/>
      <c r="D98" s="826"/>
      <c r="E98" s="790"/>
      <c r="F98" s="790"/>
      <c r="G98" s="828" t="s">
        <v>30</v>
      </c>
      <c r="H98" s="828" t="s">
        <v>30</v>
      </c>
      <c r="I98" s="828" t="s">
        <v>30</v>
      </c>
      <c r="J98" s="828" t="s">
        <v>40</v>
      </c>
      <c r="K98" s="828" t="s">
        <v>48</v>
      </c>
      <c r="L98" s="828"/>
      <c r="M98" s="1322"/>
    </row>
    <row r="99" spans="1:13" s="824" customFormat="1" ht="22.5" customHeight="1">
      <c r="A99" s="912" t="s">
        <v>14582</v>
      </c>
      <c r="B99" s="855" t="s">
        <v>70</v>
      </c>
      <c r="C99" s="909">
        <v>93590</v>
      </c>
      <c r="D99" s="836" t="str">
        <f>PROPER(IF(B99="Saneago",VLOOKUP(C99,'SANEAGO-FEV.2016'!A:B,2,0),IF(B99="Sinapi",VLOOKUP(C99,'SINAPI-FEV.2017'!A:D,2,0),IF(B99="Cotação",VLOOKUP(C99,COTAÇÃO!A:D,2,0),IF(B99="Composição",VLOOKUP(C99,COMPOSIÇÃO!A:D,2,0))))))</f>
        <v>Transporte Com Caminhão Basculante De 10 M3, Em Via Urbana Pavimentada, Dmt Acima De 30Km (Unidade: M3Xkm). Af_04/2016</v>
      </c>
      <c r="E99" s="837"/>
      <c r="F99" s="837"/>
      <c r="G99" s="838"/>
      <c r="H99" s="838"/>
      <c r="I99" s="838"/>
      <c r="J99" s="838">
        <f>M97</f>
        <v>39.030830000000009</v>
      </c>
      <c r="K99" s="838">
        <f>M13</f>
        <v>6.9</v>
      </c>
      <c r="L99" s="838" t="s">
        <v>23</v>
      </c>
      <c r="M99" s="1352">
        <f>J99*K99</f>
        <v>269.31272700000005</v>
      </c>
    </row>
    <row r="100" spans="1:13" s="824" customFormat="1" ht="11.25">
      <c r="A100" s="1357"/>
      <c r="B100" s="855"/>
      <c r="C100" s="909"/>
      <c r="D100" s="826"/>
      <c r="E100" s="790"/>
      <c r="F100" s="790"/>
      <c r="G100" s="828" t="s">
        <v>30</v>
      </c>
      <c r="H100" s="828" t="s">
        <v>30</v>
      </c>
      <c r="I100" s="828" t="s">
        <v>30</v>
      </c>
      <c r="J100" s="828" t="s">
        <v>38</v>
      </c>
      <c r="K100" s="828" t="s">
        <v>39</v>
      </c>
      <c r="L100" s="828"/>
      <c r="M100" s="1322"/>
    </row>
    <row r="101" spans="1:13" s="824" customFormat="1" ht="12.75" customHeight="1">
      <c r="A101" s="912" t="s">
        <v>14583</v>
      </c>
      <c r="B101" s="855" t="s">
        <v>70</v>
      </c>
      <c r="C101" s="909">
        <v>83344</v>
      </c>
      <c r="D101" s="836" t="str">
        <f>PROPER(IF(B101="Saneago",VLOOKUP(C101,'SANEAGO-FEV.2016'!A:B,2,0),IF(B101="Sinapi",VLOOKUP(C101,'SINAPI-FEV.2017'!A:D,2,0),IF(B101="Cotação",VLOOKUP(C101,COTAÇÃO!A:D,2,0),IF(B101="Composição",VLOOKUP(C101,COMPOSIÇÃO!A:D,2,0))))))</f>
        <v>Espalhamento De Material Em Bota Fora, Com Utilizacao De Trator De Esteiras De 165 Hp</v>
      </c>
      <c r="E101" s="837"/>
      <c r="F101" s="837"/>
      <c r="G101" s="838"/>
      <c r="H101" s="838"/>
      <c r="I101" s="838"/>
      <c r="J101" s="838">
        <f>J97</f>
        <v>244.422</v>
      </c>
      <c r="K101" s="838">
        <f>K97</f>
        <v>205.39116999999999</v>
      </c>
      <c r="L101" s="838" t="s">
        <v>22</v>
      </c>
      <c r="M101" s="1352">
        <f>(J101-K101)</f>
        <v>39.030830000000009</v>
      </c>
    </row>
    <row r="102" spans="1:13" s="824" customFormat="1" ht="11.25" customHeight="1" thickBot="1">
      <c r="A102" s="1357"/>
      <c r="B102" s="809"/>
      <c r="C102" s="809"/>
      <c r="D102" s="826"/>
      <c r="E102" s="790"/>
      <c r="F102" s="790"/>
      <c r="G102" s="700"/>
      <c r="H102" s="700"/>
      <c r="I102" s="700"/>
      <c r="J102" s="907"/>
      <c r="K102" s="700"/>
      <c r="L102" s="700"/>
      <c r="M102" s="1356"/>
    </row>
    <row r="103" spans="1:13" s="863" customFormat="1" ht="15" customHeight="1" thickTop="1" thickBot="1">
      <c r="A103" s="912"/>
      <c r="B103" s="855"/>
      <c r="C103" s="855"/>
      <c r="D103" s="830" t="s">
        <v>1225</v>
      </c>
      <c r="E103" s="831"/>
      <c r="F103" s="831"/>
      <c r="G103" s="831"/>
      <c r="H103" s="831"/>
      <c r="I103" s="831"/>
      <c r="J103" s="831"/>
      <c r="K103" s="831"/>
      <c r="L103" s="832" t="s">
        <v>25</v>
      </c>
      <c r="M103" s="833" t="s">
        <v>27</v>
      </c>
    </row>
    <row r="104" spans="1:13" s="863" customFormat="1" ht="24.75" customHeight="1" thickTop="1">
      <c r="A104" s="912"/>
      <c r="B104" s="855"/>
      <c r="C104" s="855"/>
      <c r="D104" s="826"/>
      <c r="E104" s="700"/>
      <c r="F104" s="816" t="s">
        <v>1275</v>
      </c>
      <c r="G104" s="816" t="s">
        <v>17</v>
      </c>
      <c r="H104" s="816" t="s">
        <v>19</v>
      </c>
      <c r="I104" s="816" t="s">
        <v>32</v>
      </c>
      <c r="J104" s="816" t="s">
        <v>14135</v>
      </c>
      <c r="K104" s="816" t="s">
        <v>14136</v>
      </c>
      <c r="L104" s="816"/>
      <c r="M104" s="879"/>
    </row>
    <row r="105" spans="1:13" s="863" customFormat="1" ht="12.75" customHeight="1">
      <c r="A105" s="912"/>
      <c r="B105" s="855"/>
      <c r="C105" s="855"/>
      <c r="D105" s="888" t="s">
        <v>14491</v>
      </c>
      <c r="E105" s="700"/>
      <c r="F105" s="907">
        <v>6</v>
      </c>
      <c r="G105" s="828">
        <v>1.35</v>
      </c>
      <c r="H105" s="828">
        <v>1.35</v>
      </c>
      <c r="I105" s="828">
        <v>0.95</v>
      </c>
      <c r="J105" s="828">
        <v>0.75</v>
      </c>
      <c r="K105" s="828">
        <v>0.35</v>
      </c>
      <c r="L105" s="700" t="s">
        <v>21</v>
      </c>
      <c r="M105" s="1279">
        <f>((G105*2+H105*2)*I105+(J105*2+G105*2)*K105)*F105</f>
        <v>39.599999999999994</v>
      </c>
    </row>
    <row r="106" spans="1:13" s="863" customFormat="1" ht="12.75" customHeight="1">
      <c r="A106" s="912"/>
      <c r="B106" s="855"/>
      <c r="C106" s="855"/>
      <c r="D106" s="1358" t="s">
        <v>14492</v>
      </c>
      <c r="E106" s="828"/>
      <c r="F106" s="907">
        <v>14</v>
      </c>
      <c r="G106" s="828">
        <v>1.6</v>
      </c>
      <c r="H106" s="828">
        <v>0.7</v>
      </c>
      <c r="I106" s="828">
        <v>0.6</v>
      </c>
      <c r="J106" s="828">
        <v>0</v>
      </c>
      <c r="K106" s="828">
        <v>0</v>
      </c>
      <c r="L106" s="700" t="s">
        <v>21</v>
      </c>
      <c r="M106" s="1279">
        <f>((G106*2+H106*2)*I106+(J106*2+G106*2)*K106)*F106</f>
        <v>38.64</v>
      </c>
    </row>
    <row r="107" spans="1:13" s="863" customFormat="1" ht="12.75" customHeight="1">
      <c r="A107" s="912"/>
      <c r="B107" s="855"/>
      <c r="C107" s="855"/>
      <c r="D107" s="888"/>
      <c r="E107" s="824"/>
      <c r="F107" s="907"/>
      <c r="G107" s="828"/>
      <c r="H107" s="828"/>
      <c r="I107" s="828"/>
      <c r="J107" s="828"/>
      <c r="K107" s="828"/>
      <c r="L107" s="700"/>
      <c r="M107" s="1279"/>
    </row>
    <row r="108" spans="1:13" s="863" customFormat="1" ht="12.75" customHeight="1">
      <c r="A108" s="912"/>
      <c r="B108" s="855"/>
      <c r="C108" s="855"/>
      <c r="D108" s="888"/>
      <c r="E108" s="824"/>
      <c r="F108" s="907"/>
      <c r="G108" s="828"/>
      <c r="H108" s="828"/>
      <c r="I108" s="828"/>
      <c r="J108" s="828"/>
      <c r="K108" s="828"/>
      <c r="L108" s="700"/>
      <c r="M108" s="1279"/>
    </row>
    <row r="109" spans="1:13" s="863" customFormat="1" ht="22.5">
      <c r="A109" s="912"/>
      <c r="B109" s="855"/>
      <c r="C109" s="855"/>
      <c r="D109" s="1358"/>
      <c r="E109" s="828"/>
      <c r="F109" s="816" t="s">
        <v>1275</v>
      </c>
      <c r="G109" s="901" t="s">
        <v>11767</v>
      </c>
      <c r="H109" s="901" t="s">
        <v>14137</v>
      </c>
      <c r="I109" s="816" t="s">
        <v>32</v>
      </c>
      <c r="J109" s="816" t="s">
        <v>14135</v>
      </c>
      <c r="K109" s="816" t="s">
        <v>14136</v>
      </c>
      <c r="L109" s="700"/>
      <c r="M109" s="1279"/>
    </row>
    <row r="110" spans="1:13" s="863" customFormat="1">
      <c r="A110" s="912"/>
      <c r="B110" s="855"/>
      <c r="C110" s="855"/>
      <c r="D110" s="1358" t="s">
        <v>14493</v>
      </c>
      <c r="E110" s="828"/>
      <c r="F110" s="828">
        <v>4</v>
      </c>
      <c r="G110" s="828">
        <v>1.72</v>
      </c>
      <c r="H110" s="828">
        <v>5.15</v>
      </c>
      <c r="I110" s="828">
        <v>0.6</v>
      </c>
      <c r="J110" s="828">
        <v>0</v>
      </c>
      <c r="K110" s="828">
        <v>0</v>
      </c>
      <c r="L110" s="700" t="s">
        <v>21</v>
      </c>
      <c r="M110" s="1279">
        <f>((H110*I110))*F110</f>
        <v>12.360000000000001</v>
      </c>
    </row>
    <row r="111" spans="1:13" s="863" customFormat="1">
      <c r="A111" s="912"/>
      <c r="B111" s="855"/>
      <c r="C111" s="855"/>
      <c r="D111" s="1358" t="s">
        <v>14494</v>
      </c>
      <c r="E111" s="828"/>
      <c r="F111" s="828">
        <v>2</v>
      </c>
      <c r="G111" s="828">
        <f>G110</f>
        <v>1.72</v>
      </c>
      <c r="H111" s="828">
        <f>H110</f>
        <v>5.15</v>
      </c>
      <c r="I111" s="828">
        <f>I110</f>
        <v>0.6</v>
      </c>
      <c r="J111" s="828">
        <v>0</v>
      </c>
      <c r="K111" s="828">
        <v>0</v>
      </c>
      <c r="L111" s="700" t="s">
        <v>21</v>
      </c>
      <c r="M111" s="1279">
        <f>(G111+(H111*I111))*F111</f>
        <v>9.620000000000001</v>
      </c>
    </row>
    <row r="112" spans="1:13" s="863" customFormat="1">
      <c r="A112" s="912"/>
      <c r="B112" s="855"/>
      <c r="C112" s="855"/>
      <c r="D112" s="1358"/>
      <c r="E112" s="828"/>
      <c r="F112" s="816" t="s">
        <v>1275</v>
      </c>
      <c r="G112" s="816" t="s">
        <v>17</v>
      </c>
      <c r="H112" s="816" t="s">
        <v>19</v>
      </c>
      <c r="I112" s="816" t="s">
        <v>32</v>
      </c>
      <c r="J112" s="816" t="s">
        <v>30</v>
      </c>
      <c r="K112" s="816" t="s">
        <v>30</v>
      </c>
      <c r="L112" s="700"/>
      <c r="M112" s="1279"/>
    </row>
    <row r="113" spans="1:13" s="863" customFormat="1" ht="12.75" customHeight="1">
      <c r="A113" s="912"/>
      <c r="B113" s="855"/>
      <c r="C113" s="855"/>
      <c r="D113" s="1358" t="s">
        <v>14495</v>
      </c>
      <c r="E113" s="828" t="s">
        <v>14138</v>
      </c>
      <c r="F113" s="828">
        <v>1</v>
      </c>
      <c r="G113" s="828">
        <v>1.35</v>
      </c>
      <c r="H113" s="828">
        <v>0.4</v>
      </c>
      <c r="I113" s="828">
        <v>1.33</v>
      </c>
      <c r="J113" s="828"/>
      <c r="K113" s="828"/>
      <c r="L113" s="700" t="s">
        <v>21</v>
      </c>
      <c r="M113" s="1279">
        <f>(G113*2+H113*2)*I113*F113</f>
        <v>4.6550000000000002</v>
      </c>
    </row>
    <row r="114" spans="1:13" s="863" customFormat="1" ht="12.75" customHeight="1">
      <c r="A114" s="912"/>
      <c r="B114" s="855"/>
      <c r="C114" s="855"/>
      <c r="D114" s="1358" t="s">
        <v>14495</v>
      </c>
      <c r="E114" s="828" t="s">
        <v>14139</v>
      </c>
      <c r="F114" s="828">
        <v>1</v>
      </c>
      <c r="G114" s="828">
        <v>1.35</v>
      </c>
      <c r="H114" s="828">
        <v>0.4</v>
      </c>
      <c r="I114" s="828">
        <v>1.76</v>
      </c>
      <c r="J114" s="828"/>
      <c r="K114" s="828"/>
      <c r="L114" s="700" t="s">
        <v>21</v>
      </c>
      <c r="M114" s="1279">
        <f t="shared" ref="M114:M132" si="0">(G114*2+H114*2)*I114*F114</f>
        <v>6.16</v>
      </c>
    </row>
    <row r="115" spans="1:13" s="863" customFormat="1" ht="12.75" customHeight="1">
      <c r="A115" s="912"/>
      <c r="B115" s="855"/>
      <c r="C115" s="855"/>
      <c r="D115" s="1358" t="s">
        <v>14495</v>
      </c>
      <c r="E115" s="828" t="s">
        <v>14140</v>
      </c>
      <c r="F115" s="828">
        <v>1</v>
      </c>
      <c r="G115" s="828">
        <v>0.7</v>
      </c>
      <c r="H115" s="828">
        <v>0.4</v>
      </c>
      <c r="I115" s="828">
        <v>2.21</v>
      </c>
      <c r="J115" s="828"/>
      <c r="K115" s="828"/>
      <c r="L115" s="700" t="s">
        <v>21</v>
      </c>
      <c r="M115" s="1279">
        <f t="shared" si="0"/>
        <v>4.8620000000000001</v>
      </c>
    </row>
    <row r="116" spans="1:13" s="863" customFormat="1" ht="12.75" customHeight="1">
      <c r="A116" s="912"/>
      <c r="B116" s="855"/>
      <c r="C116" s="855"/>
      <c r="D116" s="1358" t="s">
        <v>14495</v>
      </c>
      <c r="E116" s="828" t="s">
        <v>14141</v>
      </c>
      <c r="F116" s="828">
        <v>1</v>
      </c>
      <c r="G116" s="828">
        <v>0.7</v>
      </c>
      <c r="H116" s="828">
        <v>0.4</v>
      </c>
      <c r="I116" s="828">
        <v>2.71</v>
      </c>
      <c r="J116" s="828"/>
      <c r="K116" s="828"/>
      <c r="L116" s="700" t="s">
        <v>21</v>
      </c>
      <c r="M116" s="1279">
        <f t="shared" si="0"/>
        <v>5.9620000000000006</v>
      </c>
    </row>
    <row r="117" spans="1:13" s="863" customFormat="1" ht="12.75" customHeight="1">
      <c r="A117" s="912"/>
      <c r="B117" s="855"/>
      <c r="C117" s="855"/>
      <c r="D117" s="1358" t="s">
        <v>14495</v>
      </c>
      <c r="E117" s="828" t="s">
        <v>14142</v>
      </c>
      <c r="F117" s="828">
        <v>1</v>
      </c>
      <c r="G117" s="828">
        <v>0.7</v>
      </c>
      <c r="H117" s="828">
        <v>0.4</v>
      </c>
      <c r="I117" s="828">
        <v>3.34</v>
      </c>
      <c r="J117" s="828"/>
      <c r="K117" s="828"/>
      <c r="L117" s="700" t="s">
        <v>21</v>
      </c>
      <c r="M117" s="1279">
        <f t="shared" si="0"/>
        <v>7.3479999999999999</v>
      </c>
    </row>
    <row r="118" spans="1:13" s="863" customFormat="1" ht="12.75" customHeight="1">
      <c r="A118" s="912"/>
      <c r="B118" s="855"/>
      <c r="C118" s="855"/>
      <c r="D118" s="1358" t="s">
        <v>14495</v>
      </c>
      <c r="E118" s="828" t="s">
        <v>14143</v>
      </c>
      <c r="F118" s="828">
        <v>1</v>
      </c>
      <c r="G118" s="828">
        <v>0.7</v>
      </c>
      <c r="H118" s="828">
        <v>0.4</v>
      </c>
      <c r="I118" s="828">
        <v>7.01</v>
      </c>
      <c r="J118" s="828"/>
      <c r="K118" s="828"/>
      <c r="L118" s="700" t="s">
        <v>21</v>
      </c>
      <c r="M118" s="1279">
        <f t="shared" si="0"/>
        <v>15.422000000000001</v>
      </c>
    </row>
    <row r="119" spans="1:13" s="863" customFormat="1" ht="12.75" customHeight="1">
      <c r="A119" s="912"/>
      <c r="B119" s="855"/>
      <c r="C119" s="855"/>
      <c r="D119" s="1358" t="s">
        <v>14495</v>
      </c>
      <c r="E119" s="828" t="s">
        <v>14144</v>
      </c>
      <c r="F119" s="828">
        <v>1</v>
      </c>
      <c r="G119" s="828">
        <v>0.7</v>
      </c>
      <c r="H119" s="828">
        <v>0.4</v>
      </c>
      <c r="I119" s="828">
        <v>6.52</v>
      </c>
      <c r="J119" s="828"/>
      <c r="K119" s="828"/>
      <c r="L119" s="700" t="s">
        <v>21</v>
      </c>
      <c r="M119" s="1279">
        <f t="shared" si="0"/>
        <v>14.343999999999999</v>
      </c>
    </row>
    <row r="120" spans="1:13" s="863" customFormat="1" ht="12.75" customHeight="1">
      <c r="A120" s="912"/>
      <c r="B120" s="855"/>
      <c r="C120" s="855"/>
      <c r="D120" s="1358" t="s">
        <v>14495</v>
      </c>
      <c r="E120" s="828" t="s">
        <v>14145</v>
      </c>
      <c r="F120" s="828">
        <v>1</v>
      </c>
      <c r="G120" s="828">
        <v>0.7</v>
      </c>
      <c r="H120" s="828">
        <v>0.4</v>
      </c>
      <c r="I120" s="828">
        <v>6.32</v>
      </c>
      <c r="J120" s="828"/>
      <c r="K120" s="828"/>
      <c r="L120" s="700" t="s">
        <v>21</v>
      </c>
      <c r="M120" s="1279">
        <f t="shared" si="0"/>
        <v>13.904000000000002</v>
      </c>
    </row>
    <row r="121" spans="1:13" s="863" customFormat="1" ht="12.75" customHeight="1">
      <c r="A121" s="912"/>
      <c r="B121" s="855"/>
      <c r="C121" s="855"/>
      <c r="D121" s="1358" t="s">
        <v>14495</v>
      </c>
      <c r="E121" s="828" t="s">
        <v>14146</v>
      </c>
      <c r="F121" s="828">
        <v>1</v>
      </c>
      <c r="G121" s="828">
        <v>0.7</v>
      </c>
      <c r="H121" s="828">
        <v>0.4</v>
      </c>
      <c r="I121" s="828">
        <v>6.22</v>
      </c>
      <c r="J121" s="828"/>
      <c r="K121" s="828"/>
      <c r="L121" s="700" t="s">
        <v>21</v>
      </c>
      <c r="M121" s="1279">
        <f t="shared" si="0"/>
        <v>13.684000000000001</v>
      </c>
    </row>
    <row r="122" spans="1:13" s="863" customFormat="1" ht="12.75" customHeight="1">
      <c r="A122" s="912"/>
      <c r="B122" s="855"/>
      <c r="C122" s="855"/>
      <c r="D122" s="1358" t="s">
        <v>14495</v>
      </c>
      <c r="E122" s="828" t="s">
        <v>14147</v>
      </c>
      <c r="F122" s="828">
        <v>1</v>
      </c>
      <c r="G122" s="828">
        <v>0.7</v>
      </c>
      <c r="H122" s="828">
        <v>0.4</v>
      </c>
      <c r="I122" s="828">
        <v>5.63</v>
      </c>
      <c r="J122" s="828"/>
      <c r="K122" s="828"/>
      <c r="L122" s="700" t="s">
        <v>21</v>
      </c>
      <c r="M122" s="1279">
        <f t="shared" si="0"/>
        <v>12.386000000000001</v>
      </c>
    </row>
    <row r="123" spans="1:13" s="863" customFormat="1" ht="12.75" customHeight="1">
      <c r="A123" s="912"/>
      <c r="B123" s="855"/>
      <c r="C123" s="855"/>
      <c r="D123" s="1358" t="s">
        <v>14495</v>
      </c>
      <c r="E123" s="828" t="s">
        <v>14148</v>
      </c>
      <c r="F123" s="828">
        <v>1</v>
      </c>
      <c r="G123" s="828">
        <v>0.7</v>
      </c>
      <c r="H123" s="828">
        <v>0.4</v>
      </c>
      <c r="I123" s="828">
        <v>5.01</v>
      </c>
      <c r="J123" s="828"/>
      <c r="K123" s="828"/>
      <c r="L123" s="700" t="s">
        <v>21</v>
      </c>
      <c r="M123" s="1279">
        <f t="shared" si="0"/>
        <v>11.022</v>
      </c>
    </row>
    <row r="124" spans="1:13" s="863" customFormat="1" ht="12.75" customHeight="1">
      <c r="A124" s="912"/>
      <c r="B124" s="855"/>
      <c r="C124" s="855"/>
      <c r="D124" s="1358" t="s">
        <v>14495</v>
      </c>
      <c r="E124" s="828" t="s">
        <v>14149</v>
      </c>
      <c r="F124" s="828">
        <v>1</v>
      </c>
      <c r="G124" s="828">
        <v>0.7</v>
      </c>
      <c r="H124" s="828">
        <v>0.4</v>
      </c>
      <c r="I124" s="828">
        <v>4.3</v>
      </c>
      <c r="J124" s="828"/>
      <c r="K124" s="828"/>
      <c r="L124" s="700" t="s">
        <v>21</v>
      </c>
      <c r="M124" s="1279">
        <f t="shared" si="0"/>
        <v>9.4600000000000009</v>
      </c>
    </row>
    <row r="125" spans="1:13" s="863" customFormat="1" ht="12.75" customHeight="1">
      <c r="A125" s="912"/>
      <c r="B125" s="855"/>
      <c r="C125" s="855"/>
      <c r="D125" s="1358" t="s">
        <v>14495</v>
      </c>
      <c r="E125" s="828" t="s">
        <v>14150</v>
      </c>
      <c r="F125" s="828">
        <v>1</v>
      </c>
      <c r="G125" s="828">
        <v>0.7</v>
      </c>
      <c r="H125" s="828">
        <v>0.4</v>
      </c>
      <c r="I125" s="828">
        <v>3.77</v>
      </c>
      <c r="J125" s="828"/>
      <c r="K125" s="828"/>
      <c r="L125" s="700" t="s">
        <v>21</v>
      </c>
      <c r="M125" s="1279">
        <f t="shared" si="0"/>
        <v>8.2940000000000005</v>
      </c>
    </row>
    <row r="126" spans="1:13" s="863" customFormat="1" ht="12.75" customHeight="1">
      <c r="A126" s="912"/>
      <c r="B126" s="855"/>
      <c r="C126" s="855"/>
      <c r="D126" s="1358" t="s">
        <v>14495</v>
      </c>
      <c r="E126" s="828" t="s">
        <v>14151</v>
      </c>
      <c r="F126" s="828">
        <v>1</v>
      </c>
      <c r="G126" s="828">
        <v>0.7</v>
      </c>
      <c r="H126" s="828">
        <v>0.4</v>
      </c>
      <c r="I126" s="828">
        <v>3.23</v>
      </c>
      <c r="J126" s="828"/>
      <c r="K126" s="828"/>
      <c r="L126" s="700" t="s">
        <v>21</v>
      </c>
      <c r="M126" s="1279">
        <f t="shared" si="0"/>
        <v>7.1060000000000008</v>
      </c>
    </row>
    <row r="127" spans="1:13" s="863" customFormat="1" ht="12.75" customHeight="1">
      <c r="A127" s="912"/>
      <c r="B127" s="855"/>
      <c r="C127" s="855"/>
      <c r="D127" s="1358" t="s">
        <v>14495</v>
      </c>
      <c r="E127" s="828" t="s">
        <v>14152</v>
      </c>
      <c r="F127" s="828">
        <v>1</v>
      </c>
      <c r="G127" s="828">
        <v>0.7</v>
      </c>
      <c r="H127" s="828">
        <v>0.4</v>
      </c>
      <c r="I127" s="828">
        <v>2.7</v>
      </c>
      <c r="J127" s="828"/>
      <c r="K127" s="828"/>
      <c r="L127" s="700" t="s">
        <v>21</v>
      </c>
      <c r="M127" s="1279">
        <f t="shared" si="0"/>
        <v>5.9400000000000013</v>
      </c>
    </row>
    <row r="128" spans="1:13" s="863" customFormat="1" ht="12.75" customHeight="1">
      <c r="A128" s="912"/>
      <c r="B128" s="855"/>
      <c r="C128" s="855"/>
      <c r="D128" s="1358" t="s">
        <v>14495</v>
      </c>
      <c r="E128" s="828" t="s">
        <v>14153</v>
      </c>
      <c r="F128" s="828">
        <v>1</v>
      </c>
      <c r="G128" s="828">
        <v>0.7</v>
      </c>
      <c r="H128" s="828">
        <v>0.4</v>
      </c>
      <c r="I128" s="828">
        <v>2.17</v>
      </c>
      <c r="J128" s="828"/>
      <c r="K128" s="828"/>
      <c r="L128" s="700" t="s">
        <v>21</v>
      </c>
      <c r="M128" s="1279">
        <f t="shared" si="0"/>
        <v>4.774</v>
      </c>
    </row>
    <row r="129" spans="1:13" s="863" customFormat="1" ht="12.75" customHeight="1">
      <c r="A129" s="912"/>
      <c r="B129" s="855"/>
      <c r="C129" s="855"/>
      <c r="D129" s="1358" t="s">
        <v>14495</v>
      </c>
      <c r="E129" s="828" t="s">
        <v>14154</v>
      </c>
      <c r="F129" s="828">
        <v>1</v>
      </c>
      <c r="G129" s="828">
        <v>1.35</v>
      </c>
      <c r="H129" s="828">
        <v>0.4</v>
      </c>
      <c r="I129" s="828">
        <v>1.67</v>
      </c>
      <c r="J129" s="828"/>
      <c r="K129" s="828"/>
      <c r="L129" s="700" t="s">
        <v>21</v>
      </c>
      <c r="M129" s="1279">
        <f t="shared" si="0"/>
        <v>5.8449999999999998</v>
      </c>
    </row>
    <row r="130" spans="1:13" s="863" customFormat="1" ht="12.75" customHeight="1">
      <c r="A130" s="912"/>
      <c r="B130" s="855"/>
      <c r="C130" s="855"/>
      <c r="D130" s="1358" t="s">
        <v>14495</v>
      </c>
      <c r="E130" s="828" t="s">
        <v>14155</v>
      </c>
      <c r="F130" s="828">
        <v>1</v>
      </c>
      <c r="G130" s="828">
        <v>1.35</v>
      </c>
      <c r="H130" s="828">
        <v>0.4</v>
      </c>
      <c r="I130" s="828">
        <v>1.2</v>
      </c>
      <c r="J130" s="828"/>
      <c r="K130" s="828"/>
      <c r="L130" s="700" t="s">
        <v>21</v>
      </c>
      <c r="M130" s="1279">
        <f t="shared" si="0"/>
        <v>4.2</v>
      </c>
    </row>
    <row r="131" spans="1:13" s="863" customFormat="1" ht="12.75" customHeight="1">
      <c r="A131" s="912"/>
      <c r="B131" s="855"/>
      <c r="C131" s="855"/>
      <c r="D131" s="1358" t="s">
        <v>14495</v>
      </c>
      <c r="E131" s="828" t="s">
        <v>12156</v>
      </c>
      <c r="F131" s="828">
        <v>1</v>
      </c>
      <c r="G131" s="828"/>
      <c r="H131" s="828"/>
      <c r="I131" s="828"/>
      <c r="J131" s="828"/>
      <c r="K131" s="828"/>
      <c r="L131" s="700" t="s">
        <v>21</v>
      </c>
      <c r="M131" s="1279">
        <f t="shared" si="0"/>
        <v>0</v>
      </c>
    </row>
    <row r="132" spans="1:13" s="863" customFormat="1" ht="12.75" customHeight="1">
      <c r="A132" s="912"/>
      <c r="B132" s="855"/>
      <c r="C132" s="855"/>
      <c r="D132" s="1358" t="s">
        <v>14495</v>
      </c>
      <c r="E132" s="828" t="s">
        <v>12157</v>
      </c>
      <c r="F132" s="828">
        <v>1</v>
      </c>
      <c r="G132" s="828"/>
      <c r="H132" s="828"/>
      <c r="I132" s="828"/>
      <c r="J132" s="828"/>
      <c r="K132" s="828"/>
      <c r="L132" s="700" t="s">
        <v>21</v>
      </c>
      <c r="M132" s="1279">
        <f t="shared" si="0"/>
        <v>0</v>
      </c>
    </row>
    <row r="133" spans="1:13" s="863" customFormat="1" ht="12.75" customHeight="1">
      <c r="A133" s="912"/>
      <c r="B133" s="855"/>
      <c r="C133" s="855"/>
      <c r="D133" s="1358"/>
      <c r="E133" s="828"/>
      <c r="F133" s="828"/>
      <c r="G133" s="828"/>
      <c r="H133" s="828"/>
      <c r="I133" s="828"/>
      <c r="J133" s="828"/>
      <c r="K133" s="828"/>
      <c r="L133" s="700"/>
      <c r="M133" s="1279"/>
    </row>
    <row r="134" spans="1:13" s="863" customFormat="1" ht="12.75" customHeight="1">
      <c r="A134" s="912"/>
      <c r="B134" s="855"/>
      <c r="C134" s="855"/>
      <c r="D134" s="1358" t="s">
        <v>14156</v>
      </c>
      <c r="E134" s="828"/>
      <c r="F134" s="828">
        <v>4</v>
      </c>
      <c r="G134" s="828">
        <v>0.4</v>
      </c>
      <c r="H134" s="828">
        <v>0.27200000000000002</v>
      </c>
      <c r="I134" s="828">
        <v>0.3</v>
      </c>
      <c r="J134" s="828"/>
      <c r="K134" s="907"/>
      <c r="L134" s="700" t="s">
        <v>21</v>
      </c>
      <c r="M134" s="1279">
        <f>((G134*2+H134*2)*2*I134)*F134</f>
        <v>3.2256</v>
      </c>
    </row>
    <row r="135" spans="1:13" s="863" customFormat="1">
      <c r="A135" s="912"/>
      <c r="B135" s="855"/>
      <c r="C135" s="855"/>
      <c r="D135" s="1358"/>
      <c r="E135" s="828"/>
      <c r="F135" s="816" t="s">
        <v>1275</v>
      </c>
      <c r="G135" s="901" t="s">
        <v>11767</v>
      </c>
      <c r="H135" s="901" t="s">
        <v>14157</v>
      </c>
      <c r="I135" s="816" t="s">
        <v>14158</v>
      </c>
      <c r="J135" s="816" t="s">
        <v>30</v>
      </c>
      <c r="K135" s="816" t="s">
        <v>30</v>
      </c>
      <c r="L135" s="700"/>
      <c r="M135" s="1279"/>
    </row>
    <row r="136" spans="1:13" s="863" customFormat="1" ht="12.75" customHeight="1">
      <c r="A136" s="912"/>
      <c r="B136" s="855"/>
      <c r="C136" s="855"/>
      <c r="D136" s="1358" t="s">
        <v>14159</v>
      </c>
      <c r="E136" s="828"/>
      <c r="F136" s="828">
        <v>14</v>
      </c>
      <c r="G136" s="828"/>
      <c r="H136" s="828">
        <v>3.86</v>
      </c>
      <c r="I136" s="828">
        <v>0.4</v>
      </c>
      <c r="J136" s="828"/>
      <c r="K136" s="907"/>
      <c r="L136" s="700" t="s">
        <v>21</v>
      </c>
      <c r="M136" s="1279">
        <f>(H136*I136)*F136</f>
        <v>21.616</v>
      </c>
    </row>
    <row r="137" spans="1:13" s="863" customFormat="1" ht="43.5" customHeight="1">
      <c r="A137" s="912" t="s">
        <v>14584</v>
      </c>
      <c r="B137" s="855" t="s">
        <v>70</v>
      </c>
      <c r="C137" s="1146">
        <v>92415</v>
      </c>
      <c r="D137" s="836" t="str">
        <f>PROPER(IF(B137="Saneago",VLOOKUP(C137,'SANEAGO-FEV.2016'!A:B,2,0),IF(B137="Sinapi",VLOOKUP(C137,'SINAPI-FEV.2017'!A:D,2,0),IF(B137="Cotação",VLOOKUP(C137,COTAÇÃO!A:D,2,0),IF(B137="Composição",VLOOKUP(C137,COMPOSIÇÃO!A:D,2,0))))))</f>
        <v>Montagem E Desmontagem De Fôrma De Pilares Retangulares E Estruturas Similares Com Área Média Das Seções Maior Que 0,25 M², Pé-Direito Simples, Em Chapa De Madeira Compensada Resinada, 2 Utilizações. Af_12/2015</v>
      </c>
      <c r="E137" s="837"/>
      <c r="F137" s="837"/>
      <c r="G137" s="838"/>
      <c r="H137" s="838"/>
      <c r="I137" s="910"/>
      <c r="J137" s="910"/>
      <c r="K137" s="1008" t="s">
        <v>27</v>
      </c>
      <c r="L137" s="856" t="s">
        <v>21</v>
      </c>
      <c r="M137" s="1150">
        <f>SUM(M105:M136)</f>
        <v>280.42959999999994</v>
      </c>
    </row>
    <row r="138" spans="1:13" s="863" customFormat="1" ht="24.75" customHeight="1">
      <c r="A138" s="912"/>
      <c r="B138" s="855"/>
      <c r="C138" s="855"/>
      <c r="D138" s="826"/>
      <c r="E138" s="700"/>
      <c r="F138" s="816" t="s">
        <v>1275</v>
      </c>
      <c r="G138" s="816" t="s">
        <v>17</v>
      </c>
      <c r="H138" s="816" t="s">
        <v>19</v>
      </c>
      <c r="I138" s="816" t="s">
        <v>32</v>
      </c>
      <c r="J138" s="816" t="s">
        <v>14135</v>
      </c>
      <c r="K138" s="816" t="s">
        <v>14136</v>
      </c>
      <c r="L138" s="816"/>
      <c r="M138" s="879"/>
    </row>
    <row r="139" spans="1:13" s="863" customFormat="1" ht="12.75" customHeight="1">
      <c r="A139" s="912"/>
      <c r="B139" s="855"/>
      <c r="C139" s="855"/>
      <c r="D139" s="888" t="s">
        <v>14491</v>
      </c>
      <c r="E139" s="700"/>
      <c r="F139" s="828">
        <v>6</v>
      </c>
      <c r="G139" s="828">
        <v>1.35</v>
      </c>
      <c r="H139" s="828">
        <v>1.35</v>
      </c>
      <c r="I139" s="828">
        <v>0.95</v>
      </c>
      <c r="J139" s="828">
        <v>0.75</v>
      </c>
      <c r="K139" s="828">
        <v>0.35</v>
      </c>
      <c r="L139" s="700" t="s">
        <v>22</v>
      </c>
      <c r="M139" s="1279">
        <f>((G139*H139*I139)-(J139*G139*K139))*F139</f>
        <v>8.2620000000000005</v>
      </c>
    </row>
    <row r="140" spans="1:13" s="863" customFormat="1" ht="12.75" customHeight="1">
      <c r="A140" s="912"/>
      <c r="B140" s="855"/>
      <c r="C140" s="855"/>
      <c r="D140" s="1358" t="s">
        <v>14492</v>
      </c>
      <c r="E140" s="828"/>
      <c r="F140" s="828">
        <v>14</v>
      </c>
      <c r="G140" s="828">
        <v>1.6</v>
      </c>
      <c r="H140" s="828">
        <v>0.7</v>
      </c>
      <c r="I140" s="828">
        <v>0.6</v>
      </c>
      <c r="J140" s="828">
        <v>0</v>
      </c>
      <c r="K140" s="828">
        <v>0</v>
      </c>
      <c r="L140" s="700" t="s">
        <v>22</v>
      </c>
      <c r="M140" s="1279">
        <f>((G140*H140*I140)-(J140*G140*K140))*F140</f>
        <v>9.4079999999999995</v>
      </c>
    </row>
    <row r="141" spans="1:13" s="863" customFormat="1">
      <c r="A141" s="912"/>
      <c r="B141" s="855"/>
      <c r="C141" s="855"/>
      <c r="D141" s="1358"/>
      <c r="E141" s="828"/>
      <c r="F141" s="816" t="s">
        <v>1275</v>
      </c>
      <c r="G141" s="901" t="s">
        <v>11767</v>
      </c>
      <c r="H141" s="816" t="s">
        <v>32</v>
      </c>
      <c r="I141" s="816" t="s">
        <v>30</v>
      </c>
      <c r="J141" s="816" t="s">
        <v>30</v>
      </c>
      <c r="K141" s="816" t="s">
        <v>30</v>
      </c>
      <c r="L141" s="700"/>
      <c r="M141" s="1279"/>
    </row>
    <row r="142" spans="1:13" s="863" customFormat="1">
      <c r="A142" s="912"/>
      <c r="B142" s="855"/>
      <c r="C142" s="855"/>
      <c r="D142" s="1358" t="s">
        <v>14493</v>
      </c>
      <c r="E142" s="828"/>
      <c r="F142" s="828">
        <v>4</v>
      </c>
      <c r="G142" s="828">
        <v>1.72</v>
      </c>
      <c r="H142" s="828">
        <v>0.6</v>
      </c>
      <c r="I142" s="828"/>
      <c r="J142" s="828"/>
      <c r="K142" s="828"/>
      <c r="L142" s="700" t="s">
        <v>22</v>
      </c>
      <c r="M142" s="1279">
        <f>(G142*H142)*F142</f>
        <v>4.1280000000000001</v>
      </c>
    </row>
    <row r="143" spans="1:13" s="863" customFormat="1">
      <c r="A143" s="912"/>
      <c r="B143" s="855"/>
      <c r="C143" s="855"/>
      <c r="D143" s="1358" t="s">
        <v>14494</v>
      </c>
      <c r="E143" s="828"/>
      <c r="F143" s="828">
        <v>2</v>
      </c>
      <c r="G143" s="828">
        <f>G142</f>
        <v>1.72</v>
      </c>
      <c r="H143" s="828">
        <f>H142</f>
        <v>0.6</v>
      </c>
      <c r="I143" s="828"/>
      <c r="J143" s="828"/>
      <c r="K143" s="828"/>
      <c r="L143" s="700" t="s">
        <v>22</v>
      </c>
      <c r="M143" s="1279">
        <f>(G143*H143)*F143</f>
        <v>2.0640000000000001</v>
      </c>
    </row>
    <row r="144" spans="1:13" s="863" customFormat="1">
      <c r="A144" s="912"/>
      <c r="B144" s="855"/>
      <c r="C144" s="855"/>
      <c r="D144" s="1358"/>
      <c r="E144" s="828"/>
      <c r="F144" s="816" t="s">
        <v>1275</v>
      </c>
      <c r="G144" s="816" t="s">
        <v>17</v>
      </c>
      <c r="H144" s="816" t="s">
        <v>19</v>
      </c>
      <c r="I144" s="816" t="s">
        <v>32</v>
      </c>
      <c r="J144" s="816" t="s">
        <v>30</v>
      </c>
      <c r="K144" s="816" t="s">
        <v>30</v>
      </c>
      <c r="L144" s="700"/>
      <c r="M144" s="1279"/>
    </row>
    <row r="145" spans="1:13" s="863" customFormat="1" ht="12.75" customHeight="1">
      <c r="A145" s="912"/>
      <c r="B145" s="855"/>
      <c r="C145" s="855"/>
      <c r="D145" s="1358" t="s">
        <v>14495</v>
      </c>
      <c r="E145" s="828" t="s">
        <v>14138</v>
      </c>
      <c r="F145" s="828">
        <v>1</v>
      </c>
      <c r="G145" s="828">
        <v>1.35</v>
      </c>
      <c r="H145" s="828">
        <v>0.4</v>
      </c>
      <c r="I145" s="828">
        <v>1.33</v>
      </c>
      <c r="J145" s="828"/>
      <c r="K145" s="828"/>
      <c r="L145" s="700" t="s">
        <v>22</v>
      </c>
      <c r="M145" s="1279">
        <f t="shared" ref="M145:M164" si="1">(F145*G145*H145*I145)</f>
        <v>0.71820000000000006</v>
      </c>
    </row>
    <row r="146" spans="1:13" s="863" customFormat="1" ht="12.75" customHeight="1">
      <c r="A146" s="912"/>
      <c r="B146" s="855"/>
      <c r="C146" s="855"/>
      <c r="D146" s="1358" t="s">
        <v>14495</v>
      </c>
      <c r="E146" s="828" t="s">
        <v>14139</v>
      </c>
      <c r="F146" s="828">
        <v>1</v>
      </c>
      <c r="G146" s="828">
        <v>1.35</v>
      </c>
      <c r="H146" s="828">
        <v>0.4</v>
      </c>
      <c r="I146" s="828">
        <v>1.76</v>
      </c>
      <c r="J146" s="828"/>
      <c r="K146" s="828"/>
      <c r="L146" s="700" t="s">
        <v>22</v>
      </c>
      <c r="M146" s="1279">
        <f t="shared" si="1"/>
        <v>0.95040000000000002</v>
      </c>
    </row>
    <row r="147" spans="1:13" s="863" customFormat="1" ht="12.75" customHeight="1">
      <c r="A147" s="912"/>
      <c r="B147" s="855"/>
      <c r="C147" s="855"/>
      <c r="D147" s="1358" t="s">
        <v>14495</v>
      </c>
      <c r="E147" s="828" t="s">
        <v>14140</v>
      </c>
      <c r="F147" s="828">
        <v>1</v>
      </c>
      <c r="G147" s="828">
        <v>0.7</v>
      </c>
      <c r="H147" s="828">
        <v>0.4</v>
      </c>
      <c r="I147" s="828">
        <v>2.21</v>
      </c>
      <c r="J147" s="828"/>
      <c r="K147" s="828"/>
      <c r="L147" s="700" t="s">
        <v>22</v>
      </c>
      <c r="M147" s="1279">
        <f t="shared" si="1"/>
        <v>0.61879999999999991</v>
      </c>
    </row>
    <row r="148" spans="1:13" s="863" customFormat="1" ht="12.75" customHeight="1">
      <c r="A148" s="912"/>
      <c r="B148" s="855"/>
      <c r="C148" s="855"/>
      <c r="D148" s="1358" t="s">
        <v>14495</v>
      </c>
      <c r="E148" s="828" t="s">
        <v>14141</v>
      </c>
      <c r="F148" s="828">
        <v>1</v>
      </c>
      <c r="G148" s="828">
        <v>0.7</v>
      </c>
      <c r="H148" s="828">
        <v>0.4</v>
      </c>
      <c r="I148" s="828">
        <v>2.71</v>
      </c>
      <c r="J148" s="828"/>
      <c r="K148" s="828"/>
      <c r="L148" s="700" t="s">
        <v>22</v>
      </c>
      <c r="M148" s="1279">
        <f t="shared" si="1"/>
        <v>0.75879999999999992</v>
      </c>
    </row>
    <row r="149" spans="1:13" s="863" customFormat="1" ht="12.75" customHeight="1">
      <c r="A149" s="912"/>
      <c r="B149" s="855"/>
      <c r="C149" s="855"/>
      <c r="D149" s="1358" t="s">
        <v>14495</v>
      </c>
      <c r="E149" s="828" t="s">
        <v>14142</v>
      </c>
      <c r="F149" s="828">
        <v>1</v>
      </c>
      <c r="G149" s="828">
        <v>0.7</v>
      </c>
      <c r="H149" s="828">
        <v>0.4</v>
      </c>
      <c r="I149" s="828">
        <v>3.34</v>
      </c>
      <c r="J149" s="828"/>
      <c r="K149" s="828"/>
      <c r="L149" s="700" t="s">
        <v>22</v>
      </c>
      <c r="M149" s="1279">
        <f t="shared" si="1"/>
        <v>0.93519999999999981</v>
      </c>
    </row>
    <row r="150" spans="1:13" s="863" customFormat="1" ht="12.75" customHeight="1">
      <c r="A150" s="912"/>
      <c r="B150" s="855"/>
      <c r="C150" s="855"/>
      <c r="D150" s="1358" t="s">
        <v>14495</v>
      </c>
      <c r="E150" s="828" t="s">
        <v>14143</v>
      </c>
      <c r="F150" s="828">
        <v>1</v>
      </c>
      <c r="G150" s="828">
        <v>0.7</v>
      </c>
      <c r="H150" s="828">
        <v>0.4</v>
      </c>
      <c r="I150" s="828">
        <v>7.01</v>
      </c>
      <c r="J150" s="828"/>
      <c r="K150" s="828"/>
      <c r="L150" s="700" t="s">
        <v>22</v>
      </c>
      <c r="M150" s="1279">
        <f t="shared" si="1"/>
        <v>1.9627999999999997</v>
      </c>
    </row>
    <row r="151" spans="1:13" s="863" customFormat="1" ht="12.75" customHeight="1">
      <c r="A151" s="912"/>
      <c r="B151" s="855"/>
      <c r="C151" s="855"/>
      <c r="D151" s="1358" t="s">
        <v>14495</v>
      </c>
      <c r="E151" s="828" t="s">
        <v>14144</v>
      </c>
      <c r="F151" s="828">
        <v>1</v>
      </c>
      <c r="G151" s="828">
        <v>0.7</v>
      </c>
      <c r="H151" s="828">
        <v>0.4</v>
      </c>
      <c r="I151" s="828">
        <v>6.52</v>
      </c>
      <c r="J151" s="828"/>
      <c r="K151" s="828"/>
      <c r="L151" s="700" t="s">
        <v>22</v>
      </c>
      <c r="M151" s="1279">
        <f t="shared" si="1"/>
        <v>1.8255999999999997</v>
      </c>
    </row>
    <row r="152" spans="1:13" s="863" customFormat="1" ht="12.75" customHeight="1">
      <c r="A152" s="912"/>
      <c r="B152" s="855"/>
      <c r="C152" s="855"/>
      <c r="D152" s="1358" t="s">
        <v>14495</v>
      </c>
      <c r="E152" s="828" t="s">
        <v>14145</v>
      </c>
      <c r="F152" s="828">
        <v>1</v>
      </c>
      <c r="G152" s="828">
        <v>0.7</v>
      </c>
      <c r="H152" s="828">
        <v>0.4</v>
      </c>
      <c r="I152" s="828">
        <v>6.32</v>
      </c>
      <c r="J152" s="828"/>
      <c r="K152" s="828"/>
      <c r="L152" s="700" t="s">
        <v>22</v>
      </c>
      <c r="M152" s="1279">
        <f t="shared" si="1"/>
        <v>1.7695999999999998</v>
      </c>
    </row>
    <row r="153" spans="1:13" s="863" customFormat="1" ht="12.75" customHeight="1">
      <c r="A153" s="912"/>
      <c r="B153" s="855"/>
      <c r="C153" s="855"/>
      <c r="D153" s="1358" t="s">
        <v>14495</v>
      </c>
      <c r="E153" s="828" t="s">
        <v>14146</v>
      </c>
      <c r="F153" s="828">
        <v>1</v>
      </c>
      <c r="G153" s="828">
        <v>0.7</v>
      </c>
      <c r="H153" s="828">
        <v>0.4</v>
      </c>
      <c r="I153" s="828">
        <v>6.22</v>
      </c>
      <c r="J153" s="828"/>
      <c r="K153" s="828"/>
      <c r="L153" s="700" t="s">
        <v>22</v>
      </c>
      <c r="M153" s="1279">
        <f t="shared" si="1"/>
        <v>1.7415999999999998</v>
      </c>
    </row>
    <row r="154" spans="1:13" s="863" customFormat="1" ht="12.75" customHeight="1">
      <c r="A154" s="912"/>
      <c r="B154" s="855"/>
      <c r="C154" s="855"/>
      <c r="D154" s="1358" t="s">
        <v>14495</v>
      </c>
      <c r="E154" s="828" t="s">
        <v>14147</v>
      </c>
      <c r="F154" s="828">
        <v>1</v>
      </c>
      <c r="G154" s="828">
        <v>0.7</v>
      </c>
      <c r="H154" s="828">
        <v>0.4</v>
      </c>
      <c r="I154" s="828">
        <v>5.63</v>
      </c>
      <c r="J154" s="828"/>
      <c r="K154" s="828"/>
      <c r="L154" s="700" t="s">
        <v>22</v>
      </c>
      <c r="M154" s="1279">
        <f t="shared" si="1"/>
        <v>1.5763999999999998</v>
      </c>
    </row>
    <row r="155" spans="1:13" s="863" customFormat="1" ht="12.75" customHeight="1">
      <c r="A155" s="912"/>
      <c r="B155" s="855"/>
      <c r="C155" s="855"/>
      <c r="D155" s="1358" t="s">
        <v>14495</v>
      </c>
      <c r="E155" s="828" t="s">
        <v>14148</v>
      </c>
      <c r="F155" s="828">
        <v>1</v>
      </c>
      <c r="G155" s="828">
        <v>0.7</v>
      </c>
      <c r="H155" s="828">
        <v>0.4</v>
      </c>
      <c r="I155" s="828">
        <v>5.01</v>
      </c>
      <c r="J155" s="828"/>
      <c r="K155" s="828"/>
      <c r="L155" s="700" t="s">
        <v>22</v>
      </c>
      <c r="M155" s="1279">
        <f t="shared" si="1"/>
        <v>1.4027999999999998</v>
      </c>
    </row>
    <row r="156" spans="1:13" s="863" customFormat="1" ht="12.75" customHeight="1">
      <c r="A156" s="912"/>
      <c r="B156" s="855"/>
      <c r="C156" s="855"/>
      <c r="D156" s="1358" t="s">
        <v>14495</v>
      </c>
      <c r="E156" s="828" t="s">
        <v>14149</v>
      </c>
      <c r="F156" s="828">
        <v>1</v>
      </c>
      <c r="G156" s="828">
        <v>0.7</v>
      </c>
      <c r="H156" s="828">
        <v>0.4</v>
      </c>
      <c r="I156" s="828">
        <v>4.3</v>
      </c>
      <c r="J156" s="828"/>
      <c r="K156" s="828"/>
      <c r="L156" s="700" t="s">
        <v>22</v>
      </c>
      <c r="M156" s="1279">
        <f t="shared" si="1"/>
        <v>1.2039999999999997</v>
      </c>
    </row>
    <row r="157" spans="1:13" s="863" customFormat="1" ht="12.75" customHeight="1">
      <c r="A157" s="912"/>
      <c r="B157" s="855"/>
      <c r="C157" s="855"/>
      <c r="D157" s="1358" t="s">
        <v>14495</v>
      </c>
      <c r="E157" s="828" t="s">
        <v>14150</v>
      </c>
      <c r="F157" s="828">
        <v>1</v>
      </c>
      <c r="G157" s="828">
        <v>0.7</v>
      </c>
      <c r="H157" s="828">
        <v>0.4</v>
      </c>
      <c r="I157" s="828">
        <v>3.77</v>
      </c>
      <c r="J157" s="828"/>
      <c r="K157" s="828"/>
      <c r="L157" s="700" t="s">
        <v>22</v>
      </c>
      <c r="M157" s="1279">
        <f t="shared" si="1"/>
        <v>1.0555999999999999</v>
      </c>
    </row>
    <row r="158" spans="1:13" s="863" customFormat="1" ht="12.75" customHeight="1">
      <c r="A158" s="912"/>
      <c r="B158" s="855"/>
      <c r="C158" s="855"/>
      <c r="D158" s="1358" t="s">
        <v>14495</v>
      </c>
      <c r="E158" s="828" t="s">
        <v>14151</v>
      </c>
      <c r="F158" s="828">
        <v>1</v>
      </c>
      <c r="G158" s="828">
        <v>0.7</v>
      </c>
      <c r="H158" s="828">
        <v>0.4</v>
      </c>
      <c r="I158" s="828">
        <v>3.23</v>
      </c>
      <c r="J158" s="828"/>
      <c r="K158" s="828"/>
      <c r="L158" s="700" t="s">
        <v>22</v>
      </c>
      <c r="M158" s="1279">
        <f t="shared" si="1"/>
        <v>0.90439999999999987</v>
      </c>
    </row>
    <row r="159" spans="1:13" s="863" customFormat="1" ht="12.75" customHeight="1">
      <c r="A159" s="912"/>
      <c r="B159" s="855"/>
      <c r="C159" s="855"/>
      <c r="D159" s="1358" t="s">
        <v>14495</v>
      </c>
      <c r="E159" s="828" t="s">
        <v>14152</v>
      </c>
      <c r="F159" s="828">
        <v>1</v>
      </c>
      <c r="G159" s="828">
        <v>0.7</v>
      </c>
      <c r="H159" s="828">
        <v>0.4</v>
      </c>
      <c r="I159" s="828">
        <v>2.7</v>
      </c>
      <c r="J159" s="828"/>
      <c r="K159" s="828"/>
      <c r="L159" s="700" t="s">
        <v>22</v>
      </c>
      <c r="M159" s="1279">
        <f t="shared" si="1"/>
        <v>0.75600000000000001</v>
      </c>
    </row>
    <row r="160" spans="1:13" s="863" customFormat="1" ht="12.75" customHeight="1">
      <c r="A160" s="912"/>
      <c r="B160" s="855"/>
      <c r="C160" s="855"/>
      <c r="D160" s="1358" t="s">
        <v>14495</v>
      </c>
      <c r="E160" s="828" t="s">
        <v>14153</v>
      </c>
      <c r="F160" s="828">
        <v>1</v>
      </c>
      <c r="G160" s="828">
        <v>0.7</v>
      </c>
      <c r="H160" s="828">
        <v>0.4</v>
      </c>
      <c r="I160" s="828">
        <v>2.17</v>
      </c>
      <c r="J160" s="828"/>
      <c r="K160" s="828"/>
      <c r="L160" s="700" t="s">
        <v>22</v>
      </c>
      <c r="M160" s="1279">
        <f t="shared" si="1"/>
        <v>0.60759999999999992</v>
      </c>
    </row>
    <row r="161" spans="1:16" s="863" customFormat="1" ht="12.75" customHeight="1">
      <c r="A161" s="912"/>
      <c r="B161" s="855"/>
      <c r="C161" s="855"/>
      <c r="D161" s="1358" t="s">
        <v>14495</v>
      </c>
      <c r="E161" s="828" t="s">
        <v>14154</v>
      </c>
      <c r="F161" s="828">
        <v>1</v>
      </c>
      <c r="G161" s="828">
        <v>1.35</v>
      </c>
      <c r="H161" s="828">
        <v>0.4</v>
      </c>
      <c r="I161" s="828">
        <v>1.67</v>
      </c>
      <c r="J161" s="828"/>
      <c r="K161" s="828"/>
      <c r="L161" s="700" t="s">
        <v>22</v>
      </c>
      <c r="M161" s="1279">
        <f t="shared" si="1"/>
        <v>0.90180000000000005</v>
      </c>
    </row>
    <row r="162" spans="1:16" s="863" customFormat="1" ht="12.75" customHeight="1">
      <c r="A162" s="912"/>
      <c r="B162" s="855"/>
      <c r="C162" s="855"/>
      <c r="D162" s="1358" t="s">
        <v>14495</v>
      </c>
      <c r="E162" s="828" t="s">
        <v>14155</v>
      </c>
      <c r="F162" s="828">
        <v>1</v>
      </c>
      <c r="G162" s="828">
        <v>1.35</v>
      </c>
      <c r="H162" s="828">
        <v>0.4</v>
      </c>
      <c r="I162" s="828">
        <v>1.2</v>
      </c>
      <c r="J162" s="828"/>
      <c r="K162" s="828"/>
      <c r="L162" s="700" t="s">
        <v>22</v>
      </c>
      <c r="M162" s="1279">
        <f t="shared" si="1"/>
        <v>0.64800000000000002</v>
      </c>
    </row>
    <row r="163" spans="1:16" s="863" customFormat="1" ht="12.75" customHeight="1">
      <c r="A163" s="912"/>
      <c r="B163" s="855"/>
      <c r="C163" s="855"/>
      <c r="D163" s="1358" t="s">
        <v>14495</v>
      </c>
      <c r="E163" s="828" t="s">
        <v>12156</v>
      </c>
      <c r="F163" s="828">
        <v>1</v>
      </c>
      <c r="G163" s="828"/>
      <c r="H163" s="828"/>
      <c r="I163" s="828"/>
      <c r="J163" s="828"/>
      <c r="K163" s="828"/>
      <c r="L163" s="700" t="s">
        <v>22</v>
      </c>
      <c r="M163" s="1279">
        <f t="shared" si="1"/>
        <v>0</v>
      </c>
    </row>
    <row r="164" spans="1:16" s="863" customFormat="1" ht="12.75" customHeight="1">
      <c r="A164" s="912"/>
      <c r="B164" s="855"/>
      <c r="C164" s="855"/>
      <c r="D164" s="1358" t="s">
        <v>14495</v>
      </c>
      <c r="E164" s="828" t="s">
        <v>12157</v>
      </c>
      <c r="F164" s="828">
        <v>1</v>
      </c>
      <c r="G164" s="828"/>
      <c r="H164" s="828"/>
      <c r="I164" s="828"/>
      <c r="J164" s="828"/>
      <c r="K164" s="828"/>
      <c r="L164" s="700" t="s">
        <v>22</v>
      </c>
      <c r="M164" s="1279">
        <f t="shared" si="1"/>
        <v>0</v>
      </c>
    </row>
    <row r="165" spans="1:16" s="863" customFormat="1" ht="12.75" customHeight="1">
      <c r="A165" s="912"/>
      <c r="B165" s="855"/>
      <c r="C165" s="855"/>
      <c r="D165" s="1358"/>
      <c r="E165" s="828"/>
      <c r="F165" s="828"/>
      <c r="G165" s="828"/>
      <c r="H165" s="828"/>
      <c r="I165" s="828"/>
      <c r="J165" s="828"/>
      <c r="K165" s="828"/>
      <c r="L165" s="700"/>
      <c r="M165" s="1279"/>
    </row>
    <row r="166" spans="1:16" s="863" customFormat="1" ht="12.75" customHeight="1">
      <c r="A166" s="912"/>
      <c r="B166" s="855"/>
      <c r="C166" s="855"/>
      <c r="D166" s="1358" t="s">
        <v>14156</v>
      </c>
      <c r="E166" s="828"/>
      <c r="F166" s="828">
        <v>4</v>
      </c>
      <c r="G166" s="828">
        <v>0.4</v>
      </c>
      <c r="H166" s="828">
        <v>0.27200000000000002</v>
      </c>
      <c r="I166" s="828">
        <v>0.3</v>
      </c>
      <c r="J166" s="828"/>
      <c r="K166" s="907"/>
      <c r="L166" s="700" t="s">
        <v>22</v>
      </c>
      <c r="M166" s="1279">
        <f>(G166*H166*I166)*2*F166</f>
        <v>0.26112000000000002</v>
      </c>
    </row>
    <row r="167" spans="1:16" s="863" customFormat="1">
      <c r="A167" s="912"/>
      <c r="B167" s="855"/>
      <c r="C167" s="855"/>
      <c r="D167" s="1358"/>
      <c r="E167" s="828"/>
      <c r="F167" s="816" t="s">
        <v>1275</v>
      </c>
      <c r="G167" s="901" t="s">
        <v>11767</v>
      </c>
      <c r="H167" s="816" t="s">
        <v>14158</v>
      </c>
      <c r="I167" s="816" t="s">
        <v>30</v>
      </c>
      <c r="J167" s="816" t="s">
        <v>30</v>
      </c>
      <c r="K167" s="816" t="s">
        <v>30</v>
      </c>
      <c r="L167" s="700"/>
      <c r="M167" s="1279"/>
    </row>
    <row r="168" spans="1:16" s="863" customFormat="1" ht="12.75" customHeight="1">
      <c r="A168" s="912"/>
      <c r="B168" s="855"/>
      <c r="C168" s="855"/>
      <c r="D168" s="1358" t="s">
        <v>14159</v>
      </c>
      <c r="E168" s="828"/>
      <c r="F168" s="828">
        <v>14</v>
      </c>
      <c r="G168" s="828">
        <v>0.76</v>
      </c>
      <c r="H168" s="828">
        <v>0.4</v>
      </c>
      <c r="I168" s="828"/>
      <c r="J168" s="828"/>
      <c r="K168" s="907"/>
      <c r="L168" s="700" t="s">
        <v>21</v>
      </c>
      <c r="M168" s="1279">
        <f>(H168*G168)*F168</f>
        <v>4.2560000000000002</v>
      </c>
    </row>
    <row r="169" spans="1:16" s="863" customFormat="1" ht="24" customHeight="1">
      <c r="A169" s="912" t="s">
        <v>14585</v>
      </c>
      <c r="B169" s="855" t="s">
        <v>70</v>
      </c>
      <c r="C169" s="855">
        <v>34493</v>
      </c>
      <c r="D169" s="836" t="str">
        <f>PROPER(IF(B169="Saneago",VLOOKUP(C169,'SANEAGO-FEV.2016'!A:B,2,0),IF(B169="Sinapi",VLOOKUP(C169,'SINAPI-FEV.2017'!A:D,2,0),IF(B169="Cotação",VLOOKUP(C169,COTAÇÃO!A:D,2,0),IF(B169="Composição",VLOOKUP(C169,COMPOSIÇÃO!A:D,2,0))))))</f>
        <v>Concreto Usinado Bombeavel, Classe De Resistencia C25, Com Brita 0 E 1, Slump = 100 +/- 20 Mm, Exclui Servico De Bombeamento (Nbr 8953)</v>
      </c>
      <c r="E169" s="837"/>
      <c r="F169" s="837"/>
      <c r="G169" s="838"/>
      <c r="H169" s="1359"/>
      <c r="I169" s="1678" t="s">
        <v>27</v>
      </c>
      <c r="J169" s="1678"/>
      <c r="K169" s="1678"/>
      <c r="L169" s="856" t="s">
        <v>22</v>
      </c>
      <c r="M169" s="1150">
        <f>SUM(M139:M168)</f>
        <v>48.716719999999995</v>
      </c>
    </row>
    <row r="170" spans="1:16" s="863" customFormat="1">
      <c r="A170" s="912"/>
      <c r="B170" s="855"/>
      <c r="C170" s="855"/>
      <c r="D170" s="826"/>
      <c r="E170" s="790"/>
      <c r="F170" s="790"/>
      <c r="G170" s="828" t="s">
        <v>30</v>
      </c>
      <c r="H170" s="1674"/>
      <c r="I170" s="1674"/>
      <c r="J170" s="1674"/>
      <c r="K170" s="1674"/>
      <c r="L170" s="700"/>
      <c r="M170" s="1149"/>
      <c r="N170" s="700"/>
      <c r="P170" s="871"/>
    </row>
    <row r="171" spans="1:16" s="863" customFormat="1" ht="22.5">
      <c r="A171" s="912" t="s">
        <v>20333</v>
      </c>
      <c r="B171" s="855" t="s">
        <v>70</v>
      </c>
      <c r="C171" s="855">
        <v>92874</v>
      </c>
      <c r="D171" s="836" t="str">
        <f>PROPER(IF(B171="Saneago",VLOOKUP(C171,'SANEAGO-FEV.2016'!A:B,2,0),IF(B171="Sinapi",VLOOKUP(C171,'SINAPI-FEV.2017'!A:D,2,0),IF(B171="Cotação",VLOOKUP(C171,COTAÇÃO!A:D,2,0),IF(B171="Composição",VLOOKUP(C171,COMPOSIÇÃO!A:D,2,0))))))</f>
        <v>Lançamento Com Uso De Bomba, Adensamento E Acabamento De Concreto Em Estruturas. Af_12/2015</v>
      </c>
      <c r="E171" s="837"/>
      <c r="F171" s="837"/>
      <c r="G171" s="838"/>
      <c r="H171" s="838"/>
      <c r="I171" s="838"/>
      <c r="J171" s="913"/>
      <c r="K171" s="839" t="s">
        <v>27</v>
      </c>
      <c r="L171" s="856" t="s">
        <v>22</v>
      </c>
      <c r="M171" s="1150">
        <f>M169</f>
        <v>48.716719999999995</v>
      </c>
      <c r="N171" s="914"/>
      <c r="P171" s="871"/>
    </row>
    <row r="172" spans="1:16" s="863" customFormat="1">
      <c r="A172" s="912"/>
      <c r="B172" s="855"/>
      <c r="C172" s="855"/>
      <c r="D172" s="826"/>
      <c r="E172" s="816" t="s">
        <v>30</v>
      </c>
      <c r="F172" s="700" t="s">
        <v>20327</v>
      </c>
      <c r="G172" s="700" t="s">
        <v>20196</v>
      </c>
      <c r="H172" s="700" t="s">
        <v>20197</v>
      </c>
      <c r="I172" s="700" t="s">
        <v>20198</v>
      </c>
      <c r="J172" s="816" t="s">
        <v>30</v>
      </c>
      <c r="K172" s="816" t="s">
        <v>30</v>
      </c>
      <c r="L172" s="816" t="s">
        <v>30</v>
      </c>
      <c r="M172" s="879" t="s">
        <v>30</v>
      </c>
    </row>
    <row r="173" spans="1:16" s="863" customFormat="1" ht="12.75" customHeight="1">
      <c r="A173" s="912"/>
      <c r="B173" s="855"/>
      <c r="C173" s="855"/>
      <c r="D173" s="888" t="s">
        <v>20325</v>
      </c>
      <c r="E173" s="700" t="s">
        <v>33</v>
      </c>
      <c r="F173" s="700">
        <v>411.02</v>
      </c>
      <c r="G173" s="700">
        <v>114.97</v>
      </c>
      <c r="H173" s="700">
        <v>406.85</v>
      </c>
      <c r="I173" s="700">
        <v>758.71</v>
      </c>
      <c r="J173" s="824"/>
      <c r="K173" s="824"/>
      <c r="L173" s="700"/>
      <c r="M173" s="1149"/>
    </row>
    <row r="174" spans="1:16" s="863" customFormat="1" ht="12.75" customHeight="1">
      <c r="A174" s="912"/>
      <c r="B174" s="855"/>
      <c r="C174" s="855"/>
      <c r="D174" s="888" t="s">
        <v>20326</v>
      </c>
      <c r="E174" s="700" t="s">
        <v>33</v>
      </c>
      <c r="F174" s="700">
        <v>163.88</v>
      </c>
      <c r="G174" s="700">
        <v>232.35</v>
      </c>
      <c r="H174" s="700">
        <v>552.87</v>
      </c>
      <c r="I174" s="700">
        <v>216.35</v>
      </c>
      <c r="J174" s="824"/>
      <c r="K174" s="824"/>
      <c r="L174" s="700"/>
      <c r="M174" s="1149"/>
    </row>
    <row r="175" spans="1:16" s="863" customFormat="1">
      <c r="A175" s="912"/>
      <c r="B175" s="855"/>
      <c r="C175" s="855"/>
      <c r="D175" s="929" t="s">
        <v>27</v>
      </c>
      <c r="E175" s="816" t="s">
        <v>33</v>
      </c>
      <c r="F175" s="816">
        <f>SUM(F173:F174)</f>
        <v>574.9</v>
      </c>
      <c r="G175" s="816">
        <f>SUM(G173:G174)</f>
        <v>347.32</v>
      </c>
      <c r="H175" s="816">
        <f>SUM(H173:H174)</f>
        <v>959.72</v>
      </c>
      <c r="I175" s="816">
        <f>SUM(I173:I174)</f>
        <v>975.06000000000006</v>
      </c>
      <c r="J175" s="1022"/>
      <c r="K175" s="1022"/>
      <c r="L175" s="700"/>
      <c r="M175" s="1149"/>
    </row>
    <row r="176" spans="1:16" s="863" customFormat="1" ht="33.75">
      <c r="A176" s="912" t="s">
        <v>20328</v>
      </c>
      <c r="B176" s="855" t="s">
        <v>70</v>
      </c>
      <c r="C176" s="855">
        <v>92916</v>
      </c>
      <c r="D176" s="836" t="str">
        <f>PROPER(IF(B176="Saneago",VLOOKUP(C176,'SANEAGO-FEV.2016'!A:B,2,0),IF(B176="Sinapi",VLOOKUP(C176,'SINAPI-FEV.2017'!A:D,2,0),IF(B176="Cotação",VLOOKUP(C176,COTAÇÃO!A:D,2,0),IF(B176="Composição",VLOOKUP(C176,COMPOSIÇÃO!A:D,2,0))))))</f>
        <v>Armação De Estruturas De Concreto Armado, Exceto Vigas, Pilares, Lajes E Fundações Profundas (De Edifícios De Múltiplos Pavimentos, Edificação Térrea Ou Sobrado), Utilizando Aço Ca-50 De 6.3 Mm - Montagem. Af_12/2015</v>
      </c>
      <c r="E176" s="837"/>
      <c r="F176" s="837"/>
      <c r="G176" s="838"/>
      <c r="H176" s="838"/>
      <c r="I176" s="838"/>
      <c r="J176" s="913"/>
      <c r="K176" s="1348" t="s">
        <v>27</v>
      </c>
      <c r="L176" s="856" t="s">
        <v>33</v>
      </c>
      <c r="M176" s="1150">
        <f>F175</f>
        <v>574.9</v>
      </c>
    </row>
    <row r="177" spans="1:13" s="863" customFormat="1">
      <c r="A177" s="912"/>
      <c r="B177" s="855"/>
      <c r="C177" s="855"/>
      <c r="D177" s="826"/>
      <c r="E177" s="790"/>
      <c r="F177" s="790"/>
      <c r="G177" s="828"/>
      <c r="H177" s="828"/>
      <c r="I177" s="828"/>
      <c r="J177" s="954"/>
      <c r="K177" s="1360"/>
      <c r="L177" s="816"/>
      <c r="M177" s="1324"/>
    </row>
    <row r="178" spans="1:13" s="863" customFormat="1" ht="33.75">
      <c r="A178" s="912" t="s">
        <v>20329</v>
      </c>
      <c r="B178" s="855" t="s">
        <v>70</v>
      </c>
      <c r="C178" s="855">
        <v>92917</v>
      </c>
      <c r="D178" s="836" t="str">
        <f>PROPER(IF(B178="Saneago",VLOOKUP(C178,'SANEAGO-FEV.2016'!A:B,2,0),IF(B178="Sinapi",VLOOKUP(C178,'SINAPI-FEV.2017'!A:D,2,0),IF(B178="Cotação",VLOOKUP(C178,COTAÇÃO!A:D,2,0),IF(B178="Composição",VLOOKUP(C178,COMPOSIÇÃO!A:D,2,0))))))</f>
        <v>Armação De Estruturas De Concreto Armado, Exceto Vigas, Pilares, Lajes E Fundações Profundas (De Edifícios De Múltiplos Pavimentos, Edificação Térrea Ou Sobrado), Utilizando Aço Ca-50 De 8.0 Mm - Montagem. Af_12/2015</v>
      </c>
      <c r="E178" s="837"/>
      <c r="F178" s="837"/>
      <c r="G178" s="838"/>
      <c r="H178" s="838"/>
      <c r="I178" s="838"/>
      <c r="J178" s="913"/>
      <c r="K178" s="1348" t="s">
        <v>27</v>
      </c>
      <c r="L178" s="856" t="s">
        <v>33</v>
      </c>
      <c r="M178" s="1150">
        <f>G175</f>
        <v>347.32</v>
      </c>
    </row>
    <row r="179" spans="1:13" s="863" customFormat="1">
      <c r="A179" s="912"/>
      <c r="B179" s="855"/>
      <c r="C179" s="855"/>
      <c r="D179" s="826"/>
      <c r="E179" s="790"/>
      <c r="F179" s="790"/>
      <c r="G179" s="828"/>
      <c r="H179" s="828"/>
      <c r="I179" s="828"/>
      <c r="J179" s="954"/>
      <c r="K179" s="1360"/>
      <c r="L179" s="816"/>
      <c r="M179" s="1324"/>
    </row>
    <row r="180" spans="1:13" s="863" customFormat="1" ht="38.25" customHeight="1">
      <c r="A180" s="912" t="s">
        <v>20330</v>
      </c>
      <c r="B180" s="855" t="s">
        <v>70</v>
      </c>
      <c r="C180" s="855">
        <v>92919</v>
      </c>
      <c r="D180" s="836" t="str">
        <f>PROPER(IF(B180="Saneago",VLOOKUP(C180,'SANEAGO-FEV.2016'!A:B,2,0),IF(B180="Sinapi",VLOOKUP(C180,'SINAPI-FEV.2017'!A:D,2,0),IF(B180="Cotação",VLOOKUP(C180,COTAÇÃO!A:D,2,0),IF(B180="Composição",VLOOKUP(C180,COMPOSIÇÃO!A:D,2,0))))))</f>
        <v>Armação De Estruturas De Concreto Armado, Exceto Vigas, Pilares, Lajes E Fundações Profundas (De Edifícios De Múltiplos Pavimentos, Edificação Térrea Ou Sobrado), Utilizando Aço Ca-50 De 10.0 Mm - Montagem. Af_12/2015</v>
      </c>
      <c r="E180" s="837"/>
      <c r="F180" s="837"/>
      <c r="G180" s="838"/>
      <c r="H180" s="838"/>
      <c r="I180" s="838"/>
      <c r="J180" s="913"/>
      <c r="K180" s="1348" t="s">
        <v>27</v>
      </c>
      <c r="L180" s="856" t="s">
        <v>33</v>
      </c>
      <c r="M180" s="1150">
        <f>H175</f>
        <v>959.72</v>
      </c>
    </row>
    <row r="181" spans="1:13" s="863" customFormat="1">
      <c r="A181" s="912"/>
      <c r="B181" s="855"/>
      <c r="C181" s="855"/>
      <c r="D181" s="826"/>
      <c r="E181" s="790"/>
      <c r="F181" s="790"/>
      <c r="G181" s="828"/>
      <c r="H181" s="828"/>
      <c r="I181" s="828"/>
      <c r="J181" s="954"/>
      <c r="K181" s="1360"/>
      <c r="L181" s="816"/>
      <c r="M181" s="1324"/>
    </row>
    <row r="182" spans="1:13" s="863" customFormat="1" ht="37.5" customHeight="1">
      <c r="A182" s="912" t="s">
        <v>20331</v>
      </c>
      <c r="B182" s="855" t="s">
        <v>70</v>
      </c>
      <c r="C182" s="855">
        <v>92921</v>
      </c>
      <c r="D182" s="836" t="str">
        <f>PROPER(IF(B182="Saneago",VLOOKUP(C182,'SANEAGO-FEV.2016'!A:B,2,0),IF(B182="Sinapi",VLOOKUP(C182,'SINAPI-FEV.2017'!A:D,2,0),IF(B182="Cotação",VLOOKUP(C182,COTAÇÃO!A:D,2,0),IF(B182="Composição",VLOOKUP(C182,COMPOSIÇÃO!A:D,2,0))))))</f>
        <v>Armação De Estruturas De Concreto Armado, Exceto Vigas, Pilares, Lajes E Fundações Profundas (De Edifícios De Múltiplos Pavimentos, Edificação Térrea Ou Sobrado), Utilizando Aço Ca-50 De 12.5 Mm - Montagem. Af_12/2015</v>
      </c>
      <c r="E182" s="837"/>
      <c r="F182" s="837"/>
      <c r="G182" s="838"/>
      <c r="H182" s="838"/>
      <c r="I182" s="838"/>
      <c r="J182" s="913"/>
      <c r="K182" s="1348" t="s">
        <v>27</v>
      </c>
      <c r="L182" s="856" t="s">
        <v>33</v>
      </c>
      <c r="M182" s="1150">
        <f>I175</f>
        <v>975.06000000000006</v>
      </c>
    </row>
    <row r="183" spans="1:13" s="863" customFormat="1">
      <c r="A183" s="912"/>
      <c r="B183" s="855"/>
      <c r="C183" s="855"/>
      <c r="D183" s="826"/>
      <c r="E183" s="790"/>
      <c r="F183" s="790"/>
      <c r="G183" s="700" t="s">
        <v>30</v>
      </c>
      <c r="H183" s="700" t="s">
        <v>30</v>
      </c>
      <c r="I183" s="700" t="s">
        <v>30</v>
      </c>
      <c r="J183" s="700" t="s">
        <v>30</v>
      </c>
      <c r="K183" s="700" t="s">
        <v>30</v>
      </c>
      <c r="L183" s="700"/>
      <c r="M183" s="1356"/>
    </row>
    <row r="184" spans="1:13" s="863" customFormat="1" ht="13.5" customHeight="1">
      <c r="A184" s="912" t="s">
        <v>14586</v>
      </c>
      <c r="B184" s="855" t="s">
        <v>70</v>
      </c>
      <c r="C184" s="855" t="s">
        <v>19257</v>
      </c>
      <c r="D184" s="836" t="str">
        <f>PROPER(IF(B184="Saneago",VLOOKUP(C184,'SANEAGO-FEV.2016'!A:B,2,0),IF(B184="Sinapi",VLOOKUP(C184,'SINAPI-FEV.2017'!A:D,2,0),IF(B184="Cotação",VLOOKUP(C184,COTAÇÃO!A:D,2,0),IF(B184="Composição",VLOOKUP(C184,COMPOSIÇÃO!A:D,2,0))))))</f>
        <v>Ensaio De Consistencia Do Concreto Ccr - Indice Vebe</v>
      </c>
      <c r="E184" s="837"/>
      <c r="F184" s="837"/>
      <c r="G184" s="838"/>
      <c r="H184" s="838"/>
      <c r="I184" s="838"/>
      <c r="J184" s="838"/>
      <c r="K184" s="838"/>
      <c r="L184" s="852" t="s">
        <v>26</v>
      </c>
      <c r="M184" s="1352">
        <f>ROUNDUP((M169)/50,0)</f>
        <v>1</v>
      </c>
    </row>
    <row r="185" spans="1:13" s="863" customFormat="1" ht="22.5">
      <c r="A185" s="912"/>
      <c r="B185" s="855"/>
      <c r="C185" s="855"/>
      <c r="D185" s="826"/>
      <c r="E185" s="790"/>
      <c r="F185" s="700" t="s">
        <v>14160</v>
      </c>
      <c r="G185" s="700" t="s">
        <v>14161</v>
      </c>
      <c r="H185" s="700" t="s">
        <v>17</v>
      </c>
      <c r="I185" s="700" t="s">
        <v>14162</v>
      </c>
      <c r="J185" s="700" t="s">
        <v>30</v>
      </c>
      <c r="K185" s="700" t="s">
        <v>30</v>
      </c>
      <c r="L185" s="700" t="s">
        <v>30</v>
      </c>
      <c r="M185" s="1356" t="s">
        <v>30</v>
      </c>
    </row>
    <row r="186" spans="1:13" s="863" customFormat="1" ht="13.5" customHeight="1">
      <c r="A186" s="912"/>
      <c r="B186" s="855"/>
      <c r="C186" s="855"/>
      <c r="D186" s="1358" t="s">
        <v>14492</v>
      </c>
      <c r="E186" s="790"/>
      <c r="F186" s="700">
        <v>14</v>
      </c>
      <c r="G186" s="700">
        <v>2</v>
      </c>
      <c r="H186" s="700">
        <v>0.75</v>
      </c>
      <c r="I186" s="700">
        <v>44.65</v>
      </c>
      <c r="J186" s="700"/>
      <c r="K186" s="700"/>
      <c r="L186" s="700" t="s">
        <v>33</v>
      </c>
      <c r="M186" s="1356">
        <f>F186*G186*H186*I186</f>
        <v>937.65</v>
      </c>
    </row>
    <row r="187" spans="1:13" s="863" customFormat="1" ht="13.5" customHeight="1">
      <c r="A187" s="912"/>
      <c r="B187" s="855"/>
      <c r="C187" s="855"/>
      <c r="D187" s="1358" t="s">
        <v>14493</v>
      </c>
      <c r="E187" s="790"/>
      <c r="F187" s="700">
        <v>4</v>
      </c>
      <c r="G187" s="700">
        <v>3</v>
      </c>
      <c r="H187" s="700">
        <v>0.65</v>
      </c>
      <c r="I187" s="700">
        <v>44.65</v>
      </c>
      <c r="J187" s="700"/>
      <c r="K187" s="700"/>
      <c r="L187" s="700" t="s">
        <v>33</v>
      </c>
      <c r="M187" s="1356">
        <f>F187*G187*H187*I187</f>
        <v>348.27000000000004</v>
      </c>
    </row>
    <row r="188" spans="1:13" s="863" customFormat="1" ht="22.5">
      <c r="A188" s="912" t="s">
        <v>14587</v>
      </c>
      <c r="B188" s="855" t="s">
        <v>70</v>
      </c>
      <c r="C188" s="855">
        <v>11421</v>
      </c>
      <c r="D188" s="836" t="str">
        <f>PROPER(IF(B188="Saneago",VLOOKUP(C188,'SANEAGO-FEV.2016'!A:B,2,0),IF(B188="Sinapi",VLOOKUP(C188,'SINAPI-FEV.2017'!A:D,2,0),IF(B188="Cotação",VLOOKUP(C188,COTAÇÃO!A:D,2,0),IF(B188="Composição",VLOOKUP(C188,COMPOSIÇÃO!A:D,2,0))))))</f>
        <v>!Processo De Desativacao! Trilho (Tipo Ferrovia) Utilizado Para Estacas Em Fundacoes Prediais</v>
      </c>
      <c r="E188" s="837"/>
      <c r="F188" s="837"/>
      <c r="G188" s="838"/>
      <c r="H188" s="838"/>
      <c r="I188" s="838"/>
      <c r="J188" s="838"/>
      <c r="K188" s="1348" t="s">
        <v>27</v>
      </c>
      <c r="L188" s="856" t="s">
        <v>33</v>
      </c>
      <c r="M188" s="1150">
        <f>SUM(M185:M187)</f>
        <v>1285.92</v>
      </c>
    </row>
    <row r="189" spans="1:13" s="863" customFormat="1" ht="22.5">
      <c r="A189" s="912"/>
      <c r="B189" s="855"/>
      <c r="C189" s="855"/>
      <c r="D189" s="826"/>
      <c r="E189" s="790"/>
      <c r="F189" s="700" t="s">
        <v>14160</v>
      </c>
      <c r="G189" s="700" t="s">
        <v>14161</v>
      </c>
      <c r="H189" s="700" t="s">
        <v>14163</v>
      </c>
      <c r="I189" s="700" t="s">
        <v>14164</v>
      </c>
      <c r="J189" s="700" t="s">
        <v>30</v>
      </c>
      <c r="K189" s="700" t="s">
        <v>30</v>
      </c>
      <c r="L189" s="700" t="s">
        <v>30</v>
      </c>
      <c r="M189" s="1356" t="s">
        <v>30</v>
      </c>
    </row>
    <row r="190" spans="1:13" s="863" customFormat="1" ht="13.5" customHeight="1">
      <c r="A190" s="912"/>
      <c r="B190" s="855"/>
      <c r="C190" s="855"/>
      <c r="D190" s="1358" t="s">
        <v>14492</v>
      </c>
      <c r="E190" s="790"/>
      <c r="F190" s="700">
        <v>14</v>
      </c>
      <c r="G190" s="700">
        <v>2</v>
      </c>
      <c r="H190" s="700">
        <v>5</v>
      </c>
      <c r="I190" s="700">
        <v>0.1</v>
      </c>
      <c r="J190" s="700"/>
      <c r="K190" s="700"/>
      <c r="L190" s="700" t="s">
        <v>18</v>
      </c>
      <c r="M190" s="1356">
        <f>F190*G190*H190*I190</f>
        <v>14</v>
      </c>
    </row>
    <row r="191" spans="1:13" s="863" customFormat="1" ht="13.5" customHeight="1">
      <c r="A191" s="912"/>
      <c r="B191" s="855"/>
      <c r="C191" s="855"/>
      <c r="D191" s="1358" t="s">
        <v>14493</v>
      </c>
      <c r="E191" s="790"/>
      <c r="F191" s="700">
        <v>4</v>
      </c>
      <c r="G191" s="700">
        <v>3</v>
      </c>
      <c r="H191" s="700">
        <v>5</v>
      </c>
      <c r="I191" s="700">
        <v>0.1</v>
      </c>
      <c r="J191" s="700"/>
      <c r="K191" s="700"/>
      <c r="L191" s="700" t="s">
        <v>18</v>
      </c>
      <c r="M191" s="1356">
        <f>F191*G191*H191*I191</f>
        <v>6</v>
      </c>
    </row>
    <row r="192" spans="1:13" s="863" customFormat="1" ht="22.5" customHeight="1">
      <c r="A192" s="912" t="s">
        <v>14588</v>
      </c>
      <c r="B192" s="855" t="s">
        <v>70</v>
      </c>
      <c r="C192" s="855">
        <v>84132</v>
      </c>
      <c r="D192" s="836" t="str">
        <f>PROPER(IF(B192="Saneago",VLOOKUP(C192,'SANEAGO-FEV.2016'!A:B,2,0),IF(B192="Sinapi",VLOOKUP(C192,'SINAPI-FEV.2017'!A:D,2,0),IF(B192="Cotação",VLOOKUP(C192,COTAÇÃO!A:D,2,0),IF(B192="Composição",VLOOKUP(C192,COMPOSIÇÃO!A:D,2,0))))))</f>
        <v>Solda De Topo Descendente, Em Chapa Aco Chanfr 5/16" Esp (P/ Assent Tubulacao Ou Peca De Aco) Utilizando Conversor Diesel.</v>
      </c>
      <c r="E192" s="837"/>
      <c r="F192" s="837"/>
      <c r="G192" s="838"/>
      <c r="H192" s="838"/>
      <c r="I192" s="838"/>
      <c r="J192" s="838"/>
      <c r="K192" s="1348" t="s">
        <v>27</v>
      </c>
      <c r="L192" s="856" t="s">
        <v>18</v>
      </c>
      <c r="M192" s="1150">
        <f>SUM(M190:M191)</f>
        <v>20</v>
      </c>
    </row>
    <row r="193" spans="1:13" s="863" customFormat="1" ht="13.5" customHeight="1">
      <c r="A193" s="912"/>
      <c r="B193" s="855"/>
      <c r="C193" s="855"/>
      <c r="D193" s="826"/>
      <c r="E193" s="816" t="s">
        <v>30</v>
      </c>
      <c r="F193" s="816" t="s">
        <v>30</v>
      </c>
      <c r="G193" s="700" t="s">
        <v>30</v>
      </c>
      <c r="H193" s="700" t="s">
        <v>30</v>
      </c>
      <c r="I193" s="700" t="s">
        <v>30</v>
      </c>
      <c r="J193" s="700" t="s">
        <v>30</v>
      </c>
      <c r="K193" s="700" t="s">
        <v>30</v>
      </c>
      <c r="L193" s="700"/>
      <c r="M193" s="1356"/>
    </row>
    <row r="194" spans="1:13" s="863" customFormat="1" ht="27.75" customHeight="1">
      <c r="A194" s="912" t="s">
        <v>14589</v>
      </c>
      <c r="B194" s="855" t="s">
        <v>11722</v>
      </c>
      <c r="C194" s="855" t="s">
        <v>14165</v>
      </c>
      <c r="D194" s="836" t="str">
        <f>PROPER(IF(B194="Saneago",VLOOKUP(C194,'SANEAGO-FEV.2016'!A:B,2,0),IF(B194="Sinapi",VLOOKUP(C194,'SINAPI-FEV.2017'!A:D,2,0),IF(B194="Cotação",VLOOKUP(C194,COTAÇÃO!A:D,2,0),IF(B194="Composição",VLOOKUP(C194,COMPOSIÇÃO!A:D,2,0))))))</f>
        <v>Treliça Metálica (Vão 21 M), Conforme Detalhamento Do Projeto Hidromecânico</v>
      </c>
      <c r="E194" s="837"/>
      <c r="F194" s="837"/>
      <c r="G194" s="838"/>
      <c r="H194" s="838"/>
      <c r="I194" s="838"/>
      <c r="J194" s="838"/>
      <c r="K194" s="838"/>
      <c r="L194" s="852" t="s">
        <v>26</v>
      </c>
      <c r="M194" s="1352">
        <v>1</v>
      </c>
    </row>
    <row r="195" spans="1:13" s="863" customFormat="1" ht="13.5" thickBot="1">
      <c r="A195" s="912"/>
      <c r="B195" s="855"/>
      <c r="C195" s="855"/>
      <c r="D195" s="826"/>
      <c r="E195" s="790"/>
      <c r="F195" s="790"/>
      <c r="G195" s="828"/>
      <c r="H195" s="828"/>
      <c r="I195" s="828"/>
      <c r="J195" s="954"/>
      <c r="K195" s="1360"/>
      <c r="L195" s="816"/>
      <c r="M195" s="1361"/>
    </row>
    <row r="196" spans="1:13" s="865" customFormat="1" ht="14.25" thickTop="1" thickBot="1">
      <c r="A196" s="912"/>
      <c r="B196" s="855"/>
      <c r="C196" s="855"/>
      <c r="D196" s="830" t="s">
        <v>14166</v>
      </c>
      <c r="E196" s="831"/>
      <c r="F196" s="831"/>
      <c r="G196" s="831"/>
      <c r="H196" s="831"/>
      <c r="I196" s="831"/>
      <c r="J196" s="831"/>
      <c r="K196" s="831"/>
      <c r="L196" s="832" t="s">
        <v>25</v>
      </c>
      <c r="M196" s="833" t="s">
        <v>27</v>
      </c>
    </row>
    <row r="197" spans="1:13" s="863" customFormat="1" ht="26.25" customHeight="1" thickTop="1">
      <c r="A197" s="912"/>
      <c r="B197" s="855"/>
      <c r="C197" s="855"/>
      <c r="D197" s="826"/>
      <c r="E197" s="790"/>
      <c r="F197" s="700" t="s">
        <v>14167</v>
      </c>
      <c r="G197" s="700" t="s">
        <v>14168</v>
      </c>
      <c r="H197" s="700" t="s">
        <v>12209</v>
      </c>
      <c r="I197" s="700" t="s">
        <v>36</v>
      </c>
      <c r="J197" s="700" t="s">
        <v>30</v>
      </c>
      <c r="K197" s="700" t="s">
        <v>30</v>
      </c>
      <c r="L197" s="700" t="s">
        <v>30</v>
      </c>
      <c r="M197" s="1356" t="s">
        <v>11835</v>
      </c>
    </row>
    <row r="198" spans="1:13" s="863" customFormat="1">
      <c r="A198" s="912"/>
      <c r="B198" s="855"/>
      <c r="C198" s="855"/>
      <c r="D198" s="888" t="s">
        <v>14169</v>
      </c>
      <c r="E198" s="790"/>
      <c r="F198" s="700">
        <v>2</v>
      </c>
      <c r="G198" s="700">
        <f>0.4+0.2</f>
        <v>0.60000000000000009</v>
      </c>
      <c r="H198" s="700">
        <f>F198*(3.14*G198^2/4)</f>
        <v>0.56520000000000015</v>
      </c>
      <c r="I198" s="700">
        <v>0.25</v>
      </c>
      <c r="J198" s="700"/>
      <c r="K198" s="700"/>
      <c r="L198" s="700" t="s">
        <v>22</v>
      </c>
      <c r="M198" s="1322">
        <f>(H198*I198)</f>
        <v>0.14130000000000004</v>
      </c>
    </row>
    <row r="199" spans="1:13" s="863" customFormat="1" ht="13.5" customHeight="1">
      <c r="A199" s="912"/>
      <c r="B199" s="855"/>
      <c r="C199" s="855"/>
      <c r="D199" s="888" t="s">
        <v>14170</v>
      </c>
      <c r="E199" s="790"/>
      <c r="F199" s="700">
        <v>2</v>
      </c>
      <c r="G199" s="700">
        <f>0.5+0.2</f>
        <v>0.7</v>
      </c>
      <c r="H199" s="700">
        <f>F199*(3.14*G199^2/4)</f>
        <v>0.76929999999999998</v>
      </c>
      <c r="I199" s="700">
        <v>0.25</v>
      </c>
      <c r="J199" s="700"/>
      <c r="K199" s="700"/>
      <c r="L199" s="700" t="s">
        <v>22</v>
      </c>
      <c r="M199" s="1322">
        <f>(H199*I199)</f>
        <v>0.192325</v>
      </c>
    </row>
    <row r="200" spans="1:13" s="863" customFormat="1" ht="22.5">
      <c r="A200" s="912" t="s">
        <v>14590</v>
      </c>
      <c r="B200" s="855" t="s">
        <v>70</v>
      </c>
      <c r="C200" s="855">
        <v>84152</v>
      </c>
      <c r="D200" s="836" t="str">
        <f>PROPER(IF(B200="Saneago",VLOOKUP(C200,'SANEAGO-FEV.2016'!A:B,2,0),IF(B200="Sinapi",VLOOKUP(C200,'SINAPI-FEV.2017'!A:D,2,0),IF(B200="Cotação",VLOOKUP(C200,COTAÇÃO!A:D,2,0),IF(B200="Composição",VLOOKUP(C200,COMPOSIÇÃO!A:D,2,0))))))</f>
        <v>Demolicao Manual Concreto Armado (Pilar / Viga / Laje) - Incl Empilhacao Lateral No Canteiro</v>
      </c>
      <c r="E200" s="837"/>
      <c r="F200" s="837"/>
      <c r="G200" s="838"/>
      <c r="H200" s="838"/>
      <c r="I200" s="838"/>
      <c r="J200" s="838"/>
      <c r="K200" s="838"/>
      <c r="L200" s="856" t="s">
        <v>22</v>
      </c>
      <c r="M200" s="1150">
        <f>SUM(M198:M199)</f>
        <v>0.33362500000000006</v>
      </c>
    </row>
    <row r="201" spans="1:13" s="863" customFormat="1">
      <c r="A201" s="912"/>
      <c r="B201" s="855"/>
      <c r="C201" s="855"/>
      <c r="D201" s="826"/>
      <c r="E201" s="790"/>
      <c r="F201" s="700" t="s">
        <v>14167</v>
      </c>
      <c r="G201" s="700" t="s">
        <v>80</v>
      </c>
      <c r="H201" s="700" t="s">
        <v>12209</v>
      </c>
      <c r="I201" s="700" t="s">
        <v>36</v>
      </c>
      <c r="J201" s="700" t="s">
        <v>30</v>
      </c>
      <c r="K201" s="700" t="s">
        <v>30</v>
      </c>
      <c r="L201" s="700" t="s">
        <v>30</v>
      </c>
      <c r="M201" s="1356" t="s">
        <v>11835</v>
      </c>
    </row>
    <row r="202" spans="1:13" s="863" customFormat="1" ht="13.5" customHeight="1">
      <c r="A202" s="912"/>
      <c r="B202" s="855"/>
      <c r="C202" s="855"/>
      <c r="D202" s="888" t="s">
        <v>14169</v>
      </c>
      <c r="E202" s="790"/>
      <c r="F202" s="700">
        <v>2</v>
      </c>
      <c r="G202" s="700">
        <f>0.4+0.2</f>
        <v>0.60000000000000009</v>
      </c>
      <c r="H202" s="700">
        <f>F202*(3.14*G202^2/4)</f>
        <v>0.56520000000000015</v>
      </c>
      <c r="I202" s="700">
        <v>0.25</v>
      </c>
      <c r="J202" s="828"/>
      <c r="K202" s="828"/>
      <c r="L202" s="700" t="s">
        <v>22</v>
      </c>
      <c r="M202" s="1322">
        <f>(H202*I202)</f>
        <v>0.14130000000000004</v>
      </c>
    </row>
    <row r="203" spans="1:13" s="863" customFormat="1" ht="13.5" customHeight="1">
      <c r="A203" s="912"/>
      <c r="B203" s="855"/>
      <c r="C203" s="855"/>
      <c r="D203" s="888" t="s">
        <v>14170</v>
      </c>
      <c r="E203" s="790"/>
      <c r="F203" s="700">
        <v>2</v>
      </c>
      <c r="G203" s="700">
        <f>0.5+0.2</f>
        <v>0.7</v>
      </c>
      <c r="H203" s="700">
        <f>F203*(3.14*G203^2/4)</f>
        <v>0.76929999999999998</v>
      </c>
      <c r="I203" s="700">
        <v>0.25</v>
      </c>
      <c r="J203" s="828"/>
      <c r="K203" s="828"/>
      <c r="L203" s="700" t="s">
        <v>22</v>
      </c>
      <c r="M203" s="1322">
        <f>(H203*I203)</f>
        <v>0.192325</v>
      </c>
    </row>
    <row r="204" spans="1:13" s="863" customFormat="1" ht="22.5">
      <c r="A204" s="912" t="s">
        <v>14591</v>
      </c>
      <c r="B204" s="855" t="s">
        <v>70</v>
      </c>
      <c r="C204" s="855">
        <v>90278</v>
      </c>
      <c r="D204" s="836" t="str">
        <f>PROPER(IF(B204="Saneago",VLOOKUP(C204,'SANEAGO-FEV.2016'!A:B,2,0),IF(B204="Sinapi",VLOOKUP(C204,'SINAPI-FEV.2017'!A:D,2,0),IF(B204="Cotação",VLOOKUP(C204,COTAÇÃO!A:D,2,0),IF(B204="Composição",VLOOKUP(C204,COMPOSIÇÃO!A:D,2,0))))))</f>
        <v>Graute Fgk=15 Mpa; Traço 1:0,04:2,0:2,4 (Cimento/ Cal/ Areia Grossa/ Brita 0) - Preparo Mecânico Com Betoneira 400 L. Af_02/2015</v>
      </c>
      <c r="E204" s="837"/>
      <c r="F204" s="837"/>
      <c r="G204" s="838"/>
      <c r="H204" s="838"/>
      <c r="I204" s="838"/>
      <c r="J204" s="838"/>
      <c r="K204" s="838"/>
      <c r="L204" s="856" t="s">
        <v>22</v>
      </c>
      <c r="M204" s="1150">
        <f>SUM(M202:M203)</f>
        <v>0.33362500000000006</v>
      </c>
    </row>
    <row r="205" spans="1:13" s="865" customFormat="1" ht="13.5" thickBot="1">
      <c r="A205" s="912"/>
      <c r="B205" s="855"/>
      <c r="C205" s="855"/>
      <c r="D205" s="823"/>
      <c r="E205" s="700"/>
      <c r="F205" s="808"/>
      <c r="G205" s="700"/>
      <c r="H205" s="700"/>
      <c r="I205" s="700"/>
      <c r="J205" s="809"/>
      <c r="K205" s="791"/>
      <c r="L205" s="824"/>
      <c r="M205" s="825"/>
    </row>
    <row r="206" spans="1:13" s="865" customFormat="1" ht="14.25" thickTop="1" thickBot="1">
      <c r="A206" s="912"/>
      <c r="B206" s="855"/>
      <c r="C206" s="855"/>
      <c r="D206" s="830" t="s">
        <v>14499</v>
      </c>
      <c r="E206" s="831"/>
      <c r="F206" s="831"/>
      <c r="G206" s="831"/>
      <c r="H206" s="831"/>
      <c r="I206" s="831"/>
      <c r="J206" s="831"/>
      <c r="K206" s="831"/>
      <c r="L206" s="832" t="s">
        <v>25</v>
      </c>
      <c r="M206" s="833" t="s">
        <v>27</v>
      </c>
    </row>
    <row r="207" spans="1:13" s="863" customFormat="1" ht="13.5" thickTop="1">
      <c r="A207" s="912"/>
      <c r="B207" s="855"/>
      <c r="C207" s="855"/>
      <c r="D207" s="826"/>
      <c r="E207" s="790"/>
      <c r="F207" s="828" t="s">
        <v>30</v>
      </c>
      <c r="G207" s="828" t="s">
        <v>30</v>
      </c>
      <c r="H207" s="828" t="s">
        <v>30</v>
      </c>
      <c r="I207" s="828" t="s">
        <v>30</v>
      </c>
      <c r="J207" s="828" t="s">
        <v>30</v>
      </c>
      <c r="K207" s="828" t="s">
        <v>30</v>
      </c>
      <c r="L207" s="828" t="s">
        <v>30</v>
      </c>
      <c r="M207" s="877" t="s">
        <v>30</v>
      </c>
    </row>
    <row r="208" spans="1:13" s="863" customFormat="1">
      <c r="A208" s="912" t="s">
        <v>14592</v>
      </c>
      <c r="B208" s="855" t="s">
        <v>13957</v>
      </c>
      <c r="C208" s="912" t="s">
        <v>14593</v>
      </c>
      <c r="D208" s="836" t="str">
        <f>PROPER(IF(B208="Saneago",VLOOKUP(C208,'SANEAGO-FEV.2016'!A:B,2,0),IF(B208="Sinapi",VLOOKUP(C208,'SINAPI-FEV.2017'!A:D,2,0),IF(B208="Cotação",VLOOKUP(C208,COTAÇÃO!A:D,2,0),IF(B208="Composição",VLOOKUP(C208,COMPOSIÇÃO!A:D,2,0))))))</f>
        <v>Montagem Da Travessia Aerea (Emissário)</v>
      </c>
      <c r="E208" s="837"/>
      <c r="F208" s="837"/>
      <c r="G208" s="838"/>
      <c r="H208" s="838"/>
      <c r="I208" s="838"/>
      <c r="J208" s="838"/>
      <c r="K208" s="838"/>
      <c r="L208" s="852" t="s">
        <v>18</v>
      </c>
      <c r="M208" s="1352">
        <v>207</v>
      </c>
    </row>
    <row r="209" spans="1:13" s="865" customFormat="1">
      <c r="A209" s="912"/>
      <c r="B209" s="855"/>
      <c r="C209" s="855"/>
      <c r="D209" s="823"/>
      <c r="E209" s="700"/>
      <c r="F209" s="808"/>
      <c r="G209" s="700"/>
      <c r="H209" s="700"/>
      <c r="I209" s="700"/>
      <c r="J209" s="809"/>
      <c r="K209" s="791"/>
      <c r="L209" s="824"/>
      <c r="M209" s="825"/>
    </row>
    <row r="210" spans="1:13" s="863" customFormat="1" ht="15.75" hidden="1" customHeight="1" thickTop="1" thickBot="1">
      <c r="A210" s="848"/>
      <c r="B210" s="919"/>
      <c r="C210" s="919"/>
      <c r="D210" s="830" t="s">
        <v>1231</v>
      </c>
      <c r="E210" s="831"/>
      <c r="F210" s="831"/>
      <c r="G210" s="831"/>
      <c r="H210" s="831"/>
      <c r="I210" s="831"/>
      <c r="J210" s="831"/>
      <c r="K210" s="831"/>
      <c r="L210" s="832"/>
      <c r="M210" s="833"/>
    </row>
    <row r="211" spans="1:13" s="863" customFormat="1" ht="12.75" hidden="1" customHeight="1" thickTop="1">
      <c r="A211" s="848"/>
      <c r="B211" s="919"/>
      <c r="C211" s="919"/>
      <c r="D211" s="881"/>
      <c r="E211" s="882"/>
      <c r="F211" s="828" t="s">
        <v>30</v>
      </c>
      <c r="G211" s="828" t="s">
        <v>30</v>
      </c>
      <c r="H211" s="828" t="s">
        <v>30</v>
      </c>
      <c r="I211" s="828" t="s">
        <v>30</v>
      </c>
      <c r="J211" s="828" t="s">
        <v>1275</v>
      </c>
      <c r="K211" s="828" t="s">
        <v>43</v>
      </c>
      <c r="L211" s="828" t="s">
        <v>30</v>
      </c>
      <c r="M211" s="877" t="s">
        <v>30</v>
      </c>
    </row>
    <row r="212" spans="1:13" s="863" customFormat="1" ht="13.5" hidden="1" customHeight="1">
      <c r="A212" s="848"/>
      <c r="B212" s="919"/>
      <c r="C212" s="919"/>
      <c r="D212" s="826"/>
      <c r="E212" s="824"/>
      <c r="F212" s="1674"/>
      <c r="G212" s="1674"/>
      <c r="H212" s="1674"/>
      <c r="I212" s="1674"/>
      <c r="J212" s="828"/>
      <c r="K212" s="828"/>
      <c r="L212" s="828" t="s">
        <v>18</v>
      </c>
      <c r="M212" s="877">
        <f>J212*K212</f>
        <v>0</v>
      </c>
    </row>
    <row r="213" spans="1:13" s="863" customFormat="1" ht="13.5" hidden="1" customHeight="1">
      <c r="A213" s="848"/>
      <c r="B213" s="919"/>
      <c r="C213" s="919"/>
      <c r="D213" s="826"/>
      <c r="E213" s="824"/>
      <c r="F213" s="1674"/>
      <c r="G213" s="1674"/>
      <c r="H213" s="1674"/>
      <c r="I213" s="1674"/>
      <c r="J213" s="828"/>
      <c r="K213" s="828"/>
      <c r="L213" s="828" t="s">
        <v>18</v>
      </c>
      <c r="M213" s="877">
        <f>J213*K213</f>
        <v>0</v>
      </c>
    </row>
    <row r="214" spans="1:13" s="863" customFormat="1" ht="39.75" hidden="1" customHeight="1">
      <c r="A214" s="848" t="s">
        <v>14594</v>
      </c>
      <c r="B214" s="919" t="s">
        <v>10852</v>
      </c>
      <c r="C214" s="919">
        <v>862</v>
      </c>
      <c r="D214" s="836" t="str">
        <f>PROPER(IF(B214="Saneago",VLOOKUP(C214,'SANEAGO-FEV.2016'!A:B,2,0),IF(B214="Sinapi",VLOOKUP(C214,'SINAPI-FEV.2017'!A:D,2,0),IF(B214="Cotação",VLOOKUP(C214,COTAÇÃO!A:D,2,0),IF(B214="Composição",VLOOKUP(C214,COMPOSIÇÃO!A:D,2,0))))))</f>
        <v>Guarda-Corpo De Tubo Industrial  1.1/2" (40 Mm) Chapa 13;  H=1,0 M, C/ Tela Artística   3 X 3 Fio 12, Perfil  U  Dim.  19,05  X 19,05  X 3,17  Mm,  Barra  Retangular  Dim  9,52  X 6,35  Mm,  Fixada  Em  Chapa Metálica Dim: 0,20 X 0,10 X 0,05 Cm, C/ Injenção De Silicone,</v>
      </c>
      <c r="E214" s="837"/>
      <c r="F214" s="837"/>
      <c r="G214" s="838"/>
      <c r="H214" s="838"/>
      <c r="I214" s="838"/>
      <c r="J214" s="851"/>
      <c r="K214" s="1008" t="s">
        <v>27</v>
      </c>
      <c r="L214" s="856" t="s">
        <v>18</v>
      </c>
      <c r="M214" s="1150">
        <f>SUM(M212:M213)</f>
        <v>0</v>
      </c>
    </row>
    <row r="215" spans="1:13" s="865" customFormat="1" ht="13.5" hidden="1" thickBot="1">
      <c r="A215" s="912"/>
      <c r="B215" s="855"/>
      <c r="C215" s="855"/>
      <c r="D215" s="823"/>
      <c r="E215" s="700"/>
      <c r="F215" s="808"/>
      <c r="G215" s="700"/>
      <c r="H215" s="700"/>
      <c r="I215" s="700"/>
      <c r="J215" s="809"/>
      <c r="K215" s="791"/>
      <c r="L215" s="824"/>
      <c r="M215" s="825"/>
    </row>
    <row r="216" spans="1:13" s="863" customFormat="1" ht="14.25" hidden="1" customHeight="1" thickTop="1" thickBot="1">
      <c r="A216" s="848"/>
      <c r="B216" s="919"/>
      <c r="C216" s="919"/>
      <c r="D216" s="830" t="s">
        <v>55</v>
      </c>
      <c r="E216" s="831"/>
      <c r="F216" s="831"/>
      <c r="G216" s="831"/>
      <c r="H216" s="831"/>
      <c r="I216" s="831"/>
      <c r="J216" s="831"/>
      <c r="K216" s="831"/>
      <c r="L216" s="832" t="s">
        <v>25</v>
      </c>
      <c r="M216" s="833" t="s">
        <v>27</v>
      </c>
    </row>
    <row r="217" spans="1:13" s="863" customFormat="1" ht="12" hidden="1" customHeight="1" thickTop="1">
      <c r="A217" s="848"/>
      <c r="B217" s="919"/>
      <c r="C217" s="919"/>
      <c r="D217" s="826"/>
      <c r="E217" s="790"/>
      <c r="F217" s="700" t="s">
        <v>30</v>
      </c>
      <c r="G217" s="700" t="s">
        <v>30</v>
      </c>
      <c r="H217" s="700" t="s">
        <v>1275</v>
      </c>
      <c r="I217" s="700" t="s">
        <v>17</v>
      </c>
      <c r="J217" s="700" t="s">
        <v>19</v>
      </c>
      <c r="K217" s="700" t="s">
        <v>32</v>
      </c>
      <c r="L217" s="700" t="s">
        <v>30</v>
      </c>
      <c r="M217" s="876" t="s">
        <v>30</v>
      </c>
    </row>
    <row r="218" spans="1:13" s="863" customFormat="1" ht="12" hidden="1" customHeight="1">
      <c r="A218" s="848"/>
      <c r="B218" s="919"/>
      <c r="C218" s="919"/>
      <c r="D218" s="1679"/>
      <c r="E218" s="1674"/>
      <c r="F218" s="1674"/>
      <c r="G218" s="1674"/>
      <c r="H218" s="700">
        <f t="shared" ref="H218:J219" si="2">I30</f>
        <v>0</v>
      </c>
      <c r="I218" s="700">
        <f t="shared" si="2"/>
        <v>0</v>
      </c>
      <c r="J218" s="700">
        <f t="shared" si="2"/>
        <v>0</v>
      </c>
      <c r="K218" s="828"/>
      <c r="L218" s="700" t="s">
        <v>21</v>
      </c>
      <c r="M218" s="877">
        <f>H218*((I218*2+J218*2)*K218)</f>
        <v>0</v>
      </c>
    </row>
    <row r="219" spans="1:13" s="863" customFormat="1" ht="12" hidden="1" customHeight="1">
      <c r="A219" s="848"/>
      <c r="B219" s="919"/>
      <c r="C219" s="919"/>
      <c r="D219" s="1679"/>
      <c r="E219" s="1674"/>
      <c r="F219" s="1674"/>
      <c r="G219" s="1674"/>
      <c r="H219" s="700">
        <f t="shared" si="2"/>
        <v>0</v>
      </c>
      <c r="I219" s="700">
        <f t="shared" si="2"/>
        <v>0</v>
      </c>
      <c r="J219" s="700">
        <f t="shared" si="2"/>
        <v>0</v>
      </c>
      <c r="K219" s="828"/>
      <c r="L219" s="700" t="s">
        <v>21</v>
      </c>
      <c r="M219" s="877">
        <f>H219*((I219*2+J219*2)*K219)</f>
        <v>0</v>
      </c>
    </row>
    <row r="220" spans="1:13" s="863" customFormat="1" ht="12" hidden="1" customHeight="1">
      <c r="A220" s="848" t="s">
        <v>14595</v>
      </c>
      <c r="B220" s="855" t="s">
        <v>70</v>
      </c>
      <c r="C220" s="855" t="s">
        <v>16604</v>
      </c>
      <c r="D220" s="836" t="str">
        <f>PROPER(IF(B220="Saneago",VLOOKUP(C220,'SANEAGO-FEV.2016'!A:B,2,0),IF(B220="Sinapi",VLOOKUP(C220,'SINAPI-FEV.2017'!A:D,2,0),IF(B220="Cotação",VLOOKUP(C220,COTAÇÃO!A:D,2,0),IF(B220="Composição",VLOOKUP(C220,COMPOSIÇÃO!A:D,2,0))))))</f>
        <v>Impermeabilizacao De Estruturas Enterradas, Com Tinta Asfaltica, Duas Demaos.</v>
      </c>
      <c r="E220" s="837"/>
      <c r="F220" s="837"/>
      <c r="G220" s="838"/>
      <c r="H220" s="1021" t="s">
        <v>73</v>
      </c>
      <c r="I220" s="838"/>
      <c r="J220" s="838"/>
      <c r="K220" s="839" t="s">
        <v>27</v>
      </c>
      <c r="L220" s="856" t="s">
        <v>21</v>
      </c>
      <c r="M220" s="1150">
        <f>SUM(M218:M219)</f>
        <v>0</v>
      </c>
    </row>
    <row r="221" spans="1:13" s="865" customFormat="1" ht="13.5" hidden="1" thickBot="1">
      <c r="A221" s="912"/>
      <c r="B221" s="855"/>
      <c r="C221" s="855"/>
      <c r="D221" s="823"/>
      <c r="E221" s="700"/>
      <c r="F221" s="808"/>
      <c r="G221" s="700"/>
      <c r="H221" s="700"/>
      <c r="I221" s="700"/>
      <c r="J221" s="809"/>
      <c r="K221" s="791"/>
      <c r="L221" s="824"/>
      <c r="M221" s="825"/>
    </row>
    <row r="222" spans="1:13" s="863" customFormat="1" ht="13.5" hidden="1" customHeight="1" thickTop="1" thickBot="1">
      <c r="A222" s="848"/>
      <c r="B222" s="855"/>
      <c r="C222" s="855"/>
      <c r="D222" s="830" t="s">
        <v>11695</v>
      </c>
      <c r="E222" s="831"/>
      <c r="F222" s="831"/>
      <c r="G222" s="831"/>
      <c r="H222" s="831"/>
      <c r="I222" s="831"/>
      <c r="J222" s="831"/>
      <c r="K222" s="831"/>
      <c r="L222" s="832" t="s">
        <v>25</v>
      </c>
      <c r="M222" s="833" t="s">
        <v>27</v>
      </c>
    </row>
    <row r="223" spans="1:13" s="863" customFormat="1" ht="13.5" hidden="1" thickTop="1">
      <c r="A223" s="848"/>
      <c r="B223" s="855"/>
      <c r="C223" s="855"/>
      <c r="D223" s="826"/>
      <c r="E223" s="790"/>
      <c r="F223" s="700" t="s">
        <v>30</v>
      </c>
      <c r="G223" s="700" t="s">
        <v>30</v>
      </c>
      <c r="H223" s="700" t="s">
        <v>30</v>
      </c>
      <c r="I223" s="700" t="s">
        <v>1275</v>
      </c>
      <c r="J223" s="700" t="s">
        <v>17</v>
      </c>
      <c r="K223" s="700" t="s">
        <v>19</v>
      </c>
      <c r="L223" s="700"/>
      <c r="M223" s="1356"/>
    </row>
    <row r="224" spans="1:13" s="863" customFormat="1" hidden="1">
      <c r="A224" s="848"/>
      <c r="B224" s="855"/>
      <c r="C224" s="855"/>
      <c r="D224" s="1679"/>
      <c r="E224" s="1674"/>
      <c r="F224" s="1674"/>
      <c r="G224" s="1674"/>
      <c r="H224" s="700"/>
      <c r="I224" s="700">
        <f t="shared" ref="I224:K225" si="3">H218</f>
        <v>0</v>
      </c>
      <c r="J224" s="700">
        <f t="shared" si="3"/>
        <v>0</v>
      </c>
      <c r="K224" s="700">
        <f t="shared" si="3"/>
        <v>0</v>
      </c>
      <c r="L224" s="700" t="s">
        <v>21</v>
      </c>
      <c r="M224" s="877">
        <f>J224*K224*I224</f>
        <v>0</v>
      </c>
    </row>
    <row r="225" spans="1:13" s="863" customFormat="1" hidden="1">
      <c r="A225" s="848"/>
      <c r="B225" s="855"/>
      <c r="C225" s="855"/>
      <c r="D225" s="1679"/>
      <c r="E225" s="1674"/>
      <c r="F225" s="1674"/>
      <c r="G225" s="1674"/>
      <c r="H225" s="700"/>
      <c r="I225" s="700">
        <f t="shared" si="3"/>
        <v>0</v>
      </c>
      <c r="J225" s="700">
        <f t="shared" si="3"/>
        <v>0</v>
      </c>
      <c r="K225" s="700">
        <f t="shared" si="3"/>
        <v>0</v>
      </c>
      <c r="L225" s="700" t="s">
        <v>21</v>
      </c>
      <c r="M225" s="877">
        <f>J225*K225*I225</f>
        <v>0</v>
      </c>
    </row>
    <row r="226" spans="1:13" s="863" customFormat="1" ht="22.5" hidden="1">
      <c r="A226" s="848" t="s">
        <v>14596</v>
      </c>
      <c r="B226" s="855" t="s">
        <v>70</v>
      </c>
      <c r="C226" s="855" t="s">
        <v>18613</v>
      </c>
      <c r="D226" s="836" t="str">
        <f>PROPER(IF(B226="Saneago",VLOOKUP(C226,'SANEAGO-FEV.2016'!A:B,2,0),IF(B226="Sinapi",VLOOKUP(C226,'SINAPI-FEV.2017'!A:D,2,0),IF(B226="Cotação",VLOOKUP(C226,COTAÇÃO!A:D,2,0),IF(B226="Composição",VLOOKUP(C226,COMPOSIÇÃO!A:D,2,0))))))</f>
        <v>Piso Cimentado Traco 1:3 (Cimento E Areia), Com Acabamento Rustico E Frisado Espessura 2Cm, Preparo Manual</v>
      </c>
      <c r="E226" s="837"/>
      <c r="F226" s="837"/>
      <c r="G226" s="838"/>
      <c r="H226" s="838"/>
      <c r="I226" s="851"/>
      <c r="J226" s="838"/>
      <c r="K226" s="839" t="s">
        <v>27</v>
      </c>
      <c r="L226" s="856" t="s">
        <v>21</v>
      </c>
      <c r="M226" s="1150">
        <f>SUM(M224:M225)</f>
        <v>0</v>
      </c>
    </row>
    <row r="227" spans="1:13" s="865" customFormat="1" hidden="1">
      <c r="A227" s="912"/>
      <c r="B227" s="855"/>
      <c r="C227" s="855"/>
      <c r="D227" s="841"/>
      <c r="E227" s="842"/>
      <c r="F227" s="843"/>
      <c r="G227" s="842"/>
      <c r="H227" s="842"/>
      <c r="I227" s="842"/>
      <c r="J227" s="844"/>
      <c r="K227" s="845"/>
      <c r="L227" s="846"/>
      <c r="M227" s="847"/>
    </row>
    <row r="228" spans="1:13" s="865" customFormat="1">
      <c r="A228" s="912"/>
      <c r="B228" s="855"/>
      <c r="C228" s="855"/>
      <c r="D228" s="857"/>
      <c r="E228" s="857"/>
      <c r="F228" s="858"/>
      <c r="G228" s="857"/>
      <c r="H228" s="857"/>
      <c r="I228" s="857"/>
      <c r="J228" s="859"/>
      <c r="K228" s="860"/>
      <c r="L228" s="861"/>
      <c r="M228" s="861"/>
    </row>
    <row r="229" spans="1:13" s="865" customFormat="1">
      <c r="A229" s="912"/>
      <c r="B229" s="855"/>
      <c r="C229" s="855"/>
      <c r="D229" s="857"/>
      <c r="E229" s="857"/>
      <c r="F229" s="858"/>
      <c r="G229" s="857"/>
      <c r="H229" s="857"/>
      <c r="I229" s="857"/>
      <c r="J229" s="859"/>
      <c r="K229" s="860"/>
      <c r="L229" s="861"/>
      <c r="M229" s="861"/>
    </row>
  </sheetData>
  <sheetProtection algorithmName="SHA-512" hashValue="+E6wHESNJwrVloZYXzmUUhRrBbH3Pc+yUFh1J+TSgEQ9OqCmAQJ/5XeWz37ot6WG10uCxgIQHdO7rq1kve/jCQ==" saltValue="h2+OC4GPuqw9/awSU/h1Nw==" spinCount="100000" sheet="1"/>
  <mergeCells count="18">
    <mergeCell ref="E31:H31"/>
    <mergeCell ref="D1:M4"/>
    <mergeCell ref="D10:M10"/>
    <mergeCell ref="D12:M12"/>
    <mergeCell ref="D26:M26"/>
    <mergeCell ref="E30:H30"/>
    <mergeCell ref="D225:G225"/>
    <mergeCell ref="E34:H34"/>
    <mergeCell ref="F212:I212"/>
    <mergeCell ref="F213:I213"/>
    <mergeCell ref="E36:H36"/>
    <mergeCell ref="I36:L36"/>
    <mergeCell ref="H82:K82"/>
    <mergeCell ref="D218:G218"/>
    <mergeCell ref="D219:G219"/>
    <mergeCell ref="D224:G224"/>
    <mergeCell ref="H170:K170"/>
    <mergeCell ref="I169:K169"/>
  </mergeCells>
  <conditionalFormatting sqref="L29:M30 M31 L208:M208 L33:M34 L195:M195">
    <cfRule type="cellIs" dxfId="2081" priority="78" operator="equal">
      <formula>0</formula>
    </cfRule>
  </conditionalFormatting>
  <conditionalFormatting sqref="L31">
    <cfRule type="cellIs" dxfId="2080" priority="77" operator="equal">
      <formula>0</formula>
    </cfRule>
  </conditionalFormatting>
  <conditionalFormatting sqref="L32:M32 L38:M39">
    <cfRule type="cellIs" dxfId="2079" priority="76" operator="equal">
      <formula>0</formula>
    </cfRule>
  </conditionalFormatting>
  <conditionalFormatting sqref="L92:M92">
    <cfRule type="cellIs" dxfId="2078" priority="74" operator="equal">
      <formula>0</formula>
    </cfRule>
  </conditionalFormatting>
  <conditionalFormatting sqref="L49:M49">
    <cfRule type="cellIs" dxfId="2077" priority="53" operator="equal">
      <formula>0</formula>
    </cfRule>
  </conditionalFormatting>
  <conditionalFormatting sqref="L64">
    <cfRule type="cellIs" dxfId="2076" priority="45" operator="equal">
      <formula>0</formula>
    </cfRule>
  </conditionalFormatting>
  <conditionalFormatting sqref="L52:M52">
    <cfRule type="cellIs" dxfId="2075" priority="52" operator="equal">
      <formula>0</formula>
    </cfRule>
  </conditionalFormatting>
  <conditionalFormatting sqref="L50:M50">
    <cfRule type="cellIs" dxfId="2074" priority="54" operator="equal">
      <formula>0</formula>
    </cfRule>
  </conditionalFormatting>
  <conditionalFormatting sqref="L55:M55">
    <cfRule type="cellIs" dxfId="2073" priority="49" operator="equal">
      <formula>0</formula>
    </cfRule>
  </conditionalFormatting>
  <conditionalFormatting sqref="L51:M51">
    <cfRule type="cellIs" dxfId="2072" priority="51" operator="equal">
      <formula>0</formula>
    </cfRule>
  </conditionalFormatting>
  <conditionalFormatting sqref="L56:M56">
    <cfRule type="cellIs" dxfId="2071" priority="50" operator="equal">
      <formula>0</formula>
    </cfRule>
  </conditionalFormatting>
  <conditionalFormatting sqref="L59">
    <cfRule type="cellIs" dxfId="2070" priority="48" operator="equal">
      <formula>0</formula>
    </cfRule>
  </conditionalFormatting>
  <conditionalFormatting sqref="L63">
    <cfRule type="cellIs" dxfId="2069" priority="46" operator="equal">
      <formula>0</formula>
    </cfRule>
  </conditionalFormatting>
  <conditionalFormatting sqref="L60">
    <cfRule type="cellIs" dxfId="2068" priority="47" operator="equal">
      <formula>0</formula>
    </cfRule>
  </conditionalFormatting>
  <conditionalFormatting sqref="L67">
    <cfRule type="cellIs" dxfId="2067" priority="44" operator="equal">
      <formula>0</formula>
    </cfRule>
  </conditionalFormatting>
  <conditionalFormatting sqref="L68">
    <cfRule type="cellIs" dxfId="2066" priority="43" operator="equal">
      <formula>0</formula>
    </cfRule>
  </conditionalFormatting>
  <conditionalFormatting sqref="L71">
    <cfRule type="cellIs" dxfId="2065" priority="42" operator="equal">
      <formula>0</formula>
    </cfRule>
  </conditionalFormatting>
  <conditionalFormatting sqref="D28">
    <cfRule type="cellIs" dxfId="2064" priority="79" operator="equal">
      <formula>0</formula>
    </cfRule>
  </conditionalFormatting>
  <conditionalFormatting sqref="D88:D89">
    <cfRule type="cellIs" dxfId="2063" priority="75" operator="equal">
      <formula>0</formula>
    </cfRule>
  </conditionalFormatting>
  <conditionalFormatting sqref="L72">
    <cfRule type="cellIs" dxfId="2062" priority="41" operator="equal">
      <formula>0</formula>
    </cfRule>
  </conditionalFormatting>
  <conditionalFormatting sqref="L75">
    <cfRule type="cellIs" dxfId="2061" priority="40" operator="equal">
      <formula>0</formula>
    </cfRule>
  </conditionalFormatting>
  <conditionalFormatting sqref="L76">
    <cfRule type="cellIs" dxfId="2060" priority="39" operator="equal">
      <formula>0</formula>
    </cfRule>
  </conditionalFormatting>
  <conditionalFormatting sqref="M57 M61 M65 M69 M73">
    <cfRule type="cellIs" dxfId="2059" priority="37" operator="equal">
      <formula>0</formula>
    </cfRule>
  </conditionalFormatting>
  <conditionalFormatting sqref="M58 M62 M66 M70 M74">
    <cfRule type="cellIs" dxfId="2058" priority="38" operator="equal">
      <formula>0</formula>
    </cfRule>
  </conditionalFormatting>
  <conditionalFormatting sqref="M59 M63 M67 M71 M75">
    <cfRule type="cellIs" dxfId="2057" priority="35" operator="equal">
      <formula>0</formula>
    </cfRule>
  </conditionalFormatting>
  <conditionalFormatting sqref="L175:M175">
    <cfRule type="cellIs" dxfId="2056" priority="31" operator="equal">
      <formula>0</formula>
    </cfRule>
  </conditionalFormatting>
  <conditionalFormatting sqref="L174:M174">
    <cfRule type="cellIs" dxfId="2055" priority="32" operator="equal">
      <formula>0</formula>
    </cfRule>
  </conditionalFormatting>
  <conditionalFormatting sqref="M60 M64 M68 M72 M76">
    <cfRule type="cellIs" dxfId="2054" priority="36" operator="equal">
      <formula>0</formula>
    </cfRule>
  </conditionalFormatting>
  <conditionalFormatting sqref="L188:M188">
    <cfRule type="cellIs" dxfId="2053" priority="30" operator="equal">
      <formula>0</formula>
    </cfRule>
  </conditionalFormatting>
  <conditionalFormatting sqref="L220:M220">
    <cfRule type="cellIs" dxfId="2052" priority="25" operator="equal">
      <formula>0</formula>
    </cfRule>
  </conditionalFormatting>
  <conditionalFormatting sqref="L214">
    <cfRule type="cellIs" dxfId="2051" priority="28" operator="equal">
      <formula>0</formula>
    </cfRule>
  </conditionalFormatting>
  <conditionalFormatting sqref="M214">
    <cfRule type="cellIs" dxfId="2050" priority="27" operator="equal">
      <formula>0</formula>
    </cfRule>
  </conditionalFormatting>
  <conditionalFormatting sqref="L223:M223">
    <cfRule type="cellIs" dxfId="2049" priority="23" operator="equal">
      <formula>0</formula>
    </cfRule>
  </conditionalFormatting>
  <conditionalFormatting sqref="L226:M226">
    <cfRule type="cellIs" dxfId="2048" priority="22" operator="equal">
      <formula>0</formula>
    </cfRule>
  </conditionalFormatting>
  <conditionalFormatting sqref="K5:M9 K25:M25 L13 K11:M11 L185:M187 K205:M205 L90:M90 L173:M173 K215:M215 K221:M221 K227:M65231 K209:M209">
    <cfRule type="cellIs" dxfId="2047" priority="133" operator="equal">
      <formula>0</formula>
    </cfRule>
  </conditionalFormatting>
  <conditionalFormatting sqref="L15:M24">
    <cfRule type="cellIs" dxfId="2046" priority="132" operator="equal">
      <formula>0</formula>
    </cfRule>
  </conditionalFormatting>
  <conditionalFormatting sqref="L14">
    <cfRule type="cellIs" dxfId="2045" priority="131" operator="equal">
      <formula>0</formula>
    </cfRule>
  </conditionalFormatting>
  <conditionalFormatting sqref="L93:M93">
    <cfRule type="cellIs" dxfId="2044" priority="129" operator="equal">
      <formula>0</formula>
    </cfRule>
  </conditionalFormatting>
  <conditionalFormatting sqref="L80:M82">
    <cfRule type="cellIs" dxfId="2043" priority="126" operator="equal">
      <formula>0</formula>
    </cfRule>
  </conditionalFormatting>
  <conditionalFormatting sqref="L94:M94">
    <cfRule type="cellIs" dxfId="2042" priority="123" operator="equal">
      <formula>0</formula>
    </cfRule>
  </conditionalFormatting>
  <conditionalFormatting sqref="L85:M85">
    <cfRule type="cellIs" dxfId="2041" priority="124" operator="equal">
      <formula>0</formula>
    </cfRule>
  </conditionalFormatting>
  <conditionalFormatting sqref="L86:M87">
    <cfRule type="cellIs" dxfId="2040" priority="125" operator="equal">
      <formula>0</formula>
    </cfRule>
  </conditionalFormatting>
  <conditionalFormatting sqref="L98:M98">
    <cfRule type="cellIs" dxfId="2039" priority="118" operator="equal">
      <formula>0</formula>
    </cfRule>
  </conditionalFormatting>
  <conditionalFormatting sqref="L101">
    <cfRule type="cellIs" dxfId="2038" priority="117" operator="equal">
      <formula>0</formula>
    </cfRule>
  </conditionalFormatting>
  <conditionalFormatting sqref="L96:M96">
    <cfRule type="cellIs" dxfId="2037" priority="120" operator="equal">
      <formula>0</formula>
    </cfRule>
  </conditionalFormatting>
  <conditionalFormatting sqref="L97:M97">
    <cfRule type="cellIs" dxfId="2036" priority="121" operator="equal">
      <formula>0</formula>
    </cfRule>
  </conditionalFormatting>
  <conditionalFormatting sqref="L100:M100">
    <cfRule type="cellIs" dxfId="2035" priority="116" operator="equal">
      <formula>0</formula>
    </cfRule>
  </conditionalFormatting>
  <conditionalFormatting sqref="L99:M99">
    <cfRule type="cellIs" dxfId="2034" priority="119" operator="equal">
      <formula>0</formula>
    </cfRule>
  </conditionalFormatting>
  <conditionalFormatting sqref="L102:M102">
    <cfRule type="cellIs" dxfId="2033" priority="114" operator="equal">
      <formula>0</formula>
    </cfRule>
  </conditionalFormatting>
  <conditionalFormatting sqref="L183:M184">
    <cfRule type="cellIs" dxfId="2032" priority="113" operator="equal">
      <formula>0</formula>
    </cfRule>
  </conditionalFormatting>
  <conditionalFormatting sqref="L78:M78">
    <cfRule type="cellIs" dxfId="2031" priority="109" operator="equal">
      <formula>0</formula>
    </cfRule>
  </conditionalFormatting>
  <conditionalFormatting sqref="L137:M137">
    <cfRule type="cellIs" dxfId="2030" priority="103" operator="equal">
      <formula>0</formula>
    </cfRule>
  </conditionalFormatting>
  <conditionalFormatting sqref="L77:M77">
    <cfRule type="cellIs" dxfId="2029" priority="108" operator="equal">
      <formula>0</formula>
    </cfRule>
  </conditionalFormatting>
  <conditionalFormatting sqref="L176:M177 L179:M179 L181:M181">
    <cfRule type="cellIs" dxfId="2028" priority="112" operator="equal">
      <formula>0</formula>
    </cfRule>
  </conditionalFormatting>
  <conditionalFormatting sqref="L41:M43 L46:M46">
    <cfRule type="cellIs" dxfId="2027" priority="111" operator="equal">
      <formula>0</formula>
    </cfRule>
  </conditionalFormatting>
  <conditionalFormatting sqref="L57">
    <cfRule type="cellIs" dxfId="2026" priority="110" operator="equal">
      <formula>0</formula>
    </cfRule>
  </conditionalFormatting>
  <conditionalFormatting sqref="L83:M83">
    <cfRule type="cellIs" dxfId="2025" priority="107" operator="equal">
      <formula>0</formula>
    </cfRule>
  </conditionalFormatting>
  <conditionalFormatting sqref="L84:M84">
    <cfRule type="cellIs" dxfId="2024" priority="106" operator="equal">
      <formula>0</formula>
    </cfRule>
  </conditionalFormatting>
  <conditionalFormatting sqref="G84:K84">
    <cfRule type="cellIs" dxfId="2023" priority="104" operator="equal">
      <formula>0</formula>
    </cfRule>
  </conditionalFormatting>
  <conditionalFormatting sqref="G83:K83">
    <cfRule type="cellIs" dxfId="2022" priority="105" operator="equal">
      <formula>0</formula>
    </cfRule>
  </conditionalFormatting>
  <conditionalFormatting sqref="M13:M14">
    <cfRule type="cellIs" dxfId="2021" priority="102" operator="equal">
      <formula>0</formula>
    </cfRule>
  </conditionalFormatting>
  <conditionalFormatting sqref="L169">
    <cfRule type="cellIs" dxfId="2020" priority="101" operator="equal">
      <formula>0</formula>
    </cfRule>
  </conditionalFormatting>
  <conditionalFormatting sqref="M169">
    <cfRule type="cellIs" dxfId="2019" priority="100" operator="equal">
      <formula>0</formula>
    </cfRule>
  </conditionalFormatting>
  <conditionalFormatting sqref="D12 D91">
    <cfRule type="cellIs" dxfId="2018" priority="134" operator="equal">
      <formula>0</formula>
    </cfRule>
  </conditionalFormatting>
  <conditionalFormatting sqref="D26:D27">
    <cfRule type="cellIs" dxfId="2017" priority="130" operator="equal">
      <formula>0</formula>
    </cfRule>
  </conditionalFormatting>
  <conditionalFormatting sqref="D10">
    <cfRule type="cellIs" dxfId="2016" priority="128" operator="equal">
      <formula>0</formula>
    </cfRule>
  </conditionalFormatting>
  <conditionalFormatting sqref="D40">
    <cfRule type="cellIs" dxfId="2015" priority="127" operator="equal">
      <formula>0</formula>
    </cfRule>
  </conditionalFormatting>
  <conditionalFormatting sqref="D95">
    <cfRule type="cellIs" dxfId="2014" priority="122" operator="equal">
      <formula>0</formula>
    </cfRule>
  </conditionalFormatting>
  <conditionalFormatting sqref="D103">
    <cfRule type="cellIs" dxfId="2013" priority="115" operator="equal">
      <formula>0</formula>
    </cfRule>
  </conditionalFormatting>
  <conditionalFormatting sqref="L47:M47">
    <cfRule type="cellIs" dxfId="2012" priority="99" operator="equal">
      <formula>0</formula>
    </cfRule>
  </conditionalFormatting>
  <conditionalFormatting sqref="L54:M54">
    <cfRule type="cellIs" dxfId="2011" priority="98" operator="equal">
      <formula>0</formula>
    </cfRule>
  </conditionalFormatting>
  <conditionalFormatting sqref="L53:M53">
    <cfRule type="cellIs" dxfId="2010" priority="97" operator="equal">
      <formula>0</formula>
    </cfRule>
  </conditionalFormatting>
  <conditionalFormatting sqref="L61">
    <cfRule type="cellIs" dxfId="2009" priority="95" operator="equal">
      <formula>0</formula>
    </cfRule>
  </conditionalFormatting>
  <conditionalFormatting sqref="L58">
    <cfRule type="cellIs" dxfId="2008" priority="96" operator="equal">
      <formula>0</formula>
    </cfRule>
  </conditionalFormatting>
  <conditionalFormatting sqref="L65">
    <cfRule type="cellIs" dxfId="2007" priority="93" operator="equal">
      <formula>0</formula>
    </cfRule>
  </conditionalFormatting>
  <conditionalFormatting sqref="L66">
    <cfRule type="cellIs" dxfId="2006" priority="92" operator="equal">
      <formula>0</formula>
    </cfRule>
  </conditionalFormatting>
  <conditionalFormatting sqref="L70">
    <cfRule type="cellIs" dxfId="2005" priority="90" operator="equal">
      <formula>0</formula>
    </cfRule>
  </conditionalFormatting>
  <conditionalFormatting sqref="L73">
    <cfRule type="cellIs" dxfId="2004" priority="89" operator="equal">
      <formula>0</formula>
    </cfRule>
  </conditionalFormatting>
  <conditionalFormatting sqref="L62">
    <cfRule type="cellIs" dxfId="2003" priority="94" operator="equal">
      <formula>0</formula>
    </cfRule>
  </conditionalFormatting>
  <conditionalFormatting sqref="L74">
    <cfRule type="cellIs" dxfId="2002" priority="88" operator="equal">
      <formula>0</formula>
    </cfRule>
  </conditionalFormatting>
  <conditionalFormatting sqref="L189:M192">
    <cfRule type="cellIs" dxfId="2001" priority="85" operator="equal">
      <formula>0</formula>
    </cfRule>
  </conditionalFormatting>
  <conditionalFormatting sqref="L69">
    <cfRule type="cellIs" dxfId="2000" priority="91" operator="equal">
      <formula>0</formula>
    </cfRule>
  </conditionalFormatting>
  <conditionalFormatting sqref="M101">
    <cfRule type="cellIs" dxfId="1999" priority="87" operator="equal">
      <formula>0</formula>
    </cfRule>
  </conditionalFormatting>
  <conditionalFormatting sqref="L44:M45">
    <cfRule type="cellIs" dxfId="1998" priority="86" operator="equal">
      <formula>0</formula>
    </cfRule>
  </conditionalFormatting>
  <conditionalFormatting sqref="L193:M194">
    <cfRule type="cellIs" dxfId="1997" priority="84" operator="equal">
      <formula>0</formula>
    </cfRule>
  </conditionalFormatting>
  <conditionalFormatting sqref="L197:M200">
    <cfRule type="cellIs" dxfId="1996" priority="83" operator="equal">
      <formula>0</formula>
    </cfRule>
  </conditionalFormatting>
  <conditionalFormatting sqref="L202:M204 M201">
    <cfRule type="cellIs" dxfId="1995" priority="82" operator="equal">
      <formula>0</formula>
    </cfRule>
  </conditionalFormatting>
  <conditionalFormatting sqref="D210">
    <cfRule type="cellIs" dxfId="1994" priority="29" operator="equal">
      <formula>0</formula>
    </cfRule>
  </conditionalFormatting>
  <conditionalFormatting sqref="D216">
    <cfRule type="cellIs" dxfId="1993" priority="26" operator="equal">
      <formula>0</formula>
    </cfRule>
  </conditionalFormatting>
  <conditionalFormatting sqref="D222">
    <cfRule type="cellIs" dxfId="1992" priority="24" operator="equal">
      <formula>0</formula>
    </cfRule>
  </conditionalFormatting>
  <conditionalFormatting sqref="D196">
    <cfRule type="cellIs" dxfId="1991" priority="18" operator="equal">
      <formula>0</formula>
    </cfRule>
  </conditionalFormatting>
  <conditionalFormatting sqref="L201">
    <cfRule type="cellIs" dxfId="1990" priority="17" operator="equal">
      <formula>0</formula>
    </cfRule>
  </conditionalFormatting>
  <conditionalFormatting sqref="L35:M35">
    <cfRule type="cellIs" dxfId="1989" priority="14" operator="equal">
      <formula>0</formula>
    </cfRule>
  </conditionalFormatting>
  <conditionalFormatting sqref="D206">
    <cfRule type="cellIs" dxfId="1988" priority="11" operator="equal">
      <formula>0</formula>
    </cfRule>
  </conditionalFormatting>
  <conditionalFormatting sqref="L37:M37">
    <cfRule type="cellIs" dxfId="1987" priority="8" operator="equal">
      <formula>0</formula>
    </cfRule>
  </conditionalFormatting>
  <conditionalFormatting sqref="L178:M178">
    <cfRule type="cellIs" dxfId="1986" priority="7" operator="equal">
      <formula>0</formula>
    </cfRule>
  </conditionalFormatting>
  <conditionalFormatting sqref="L180:M180">
    <cfRule type="cellIs" dxfId="1985" priority="6" operator="equal">
      <formula>0</formula>
    </cfRule>
  </conditionalFormatting>
  <conditionalFormatting sqref="L182:M182">
    <cfRule type="cellIs" dxfId="1984" priority="5" operator="equal">
      <formula>0</formula>
    </cfRule>
  </conditionalFormatting>
  <conditionalFormatting sqref="L170">
    <cfRule type="cellIs" dxfId="1983" priority="3" operator="equal">
      <formula>0</formula>
    </cfRule>
  </conditionalFormatting>
  <conditionalFormatting sqref="M171">
    <cfRule type="cellIs" dxfId="1982" priority="4" operator="equal">
      <formula>0</formula>
    </cfRule>
  </conditionalFormatting>
  <conditionalFormatting sqref="M170">
    <cfRule type="cellIs" dxfId="1981" priority="2" operator="equal">
      <formula>0</formula>
    </cfRule>
  </conditionalFormatting>
  <conditionalFormatting sqref="L171">
    <cfRule type="cellIs" dxfId="1980" priority="1" operator="equal">
      <formula>0</formula>
    </cfRule>
  </conditionalFormatting>
  <pageMargins left="0.51181102362204722" right="0.51181102362204722" top="0.78740157480314965" bottom="0.78740157480314965" header="0.31496062992125984" footer="0.31496062992125984"/>
  <pageSetup paperSize="9" scale="52" fitToHeight="3" orientation="portrait" horizontalDpi="1200" verticalDpi="1200" r:id="rId1"/>
  <rowBreaks count="2" manualBreakCount="2">
    <brk id="87" min="3" max="12" man="1"/>
    <brk id="169" min="3" max="12"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ER198"/>
  <sheetViews>
    <sheetView topLeftCell="A20" zoomScale="70" zoomScaleNormal="70" zoomScaleSheetLayoutView="70" workbookViewId="0">
      <selection activeCell="I35" sqref="I35:O161"/>
    </sheetView>
  </sheetViews>
  <sheetFormatPr defaultRowHeight="18" customHeight="1"/>
  <cols>
    <col min="1" max="1" width="3.5703125" style="270" customWidth="1"/>
    <col min="2" max="2" width="4.5703125" style="211" customWidth="1"/>
    <col min="3" max="3" width="13.85546875" style="271" customWidth="1"/>
    <col min="4" max="4" width="12.140625" style="271" customWidth="1"/>
    <col min="5" max="5" width="10" style="271" customWidth="1"/>
    <col min="6" max="6" width="9.28515625" style="211" customWidth="1"/>
    <col min="7" max="7" width="69.140625" style="211" customWidth="1"/>
    <col min="8" max="8" width="9.5703125" style="262" customWidth="1"/>
    <col min="9" max="9" width="13.5703125" style="262" customWidth="1"/>
    <col min="10" max="10" width="15.85546875" style="262" customWidth="1"/>
    <col min="11" max="11" width="16" style="262" customWidth="1"/>
    <col min="12" max="12" width="17.28515625" style="262" customWidth="1"/>
    <col min="13" max="13" width="10.7109375" style="262" customWidth="1"/>
    <col min="14" max="14" width="10.42578125" style="262" customWidth="1"/>
    <col min="15" max="15" width="11.42578125" style="211" customWidth="1"/>
    <col min="16" max="16" width="54.5703125" style="263" customWidth="1"/>
    <col min="17" max="17" width="10.5703125" style="213" customWidth="1"/>
    <col min="18" max="18" width="3.28515625" style="214" customWidth="1"/>
    <col min="19" max="19" width="5" style="214" customWidth="1"/>
    <col min="20" max="20" width="6" style="214" customWidth="1"/>
    <col min="21" max="21" width="6.7109375" style="214" customWidth="1"/>
    <col min="22" max="22" width="9.28515625" style="215" customWidth="1"/>
    <col min="23" max="23" width="9.140625" style="215" customWidth="1"/>
    <col min="24" max="24" width="8.42578125" style="215" bestFit="1" customWidth="1"/>
    <col min="25" max="25" width="7.7109375" style="215" customWidth="1"/>
    <col min="26" max="26" width="7.140625" style="215" customWidth="1"/>
    <col min="27" max="27" width="8.5703125" style="215" customWidth="1"/>
    <col min="28" max="28" width="7" style="215" customWidth="1"/>
    <col min="29" max="29" width="8.5703125" style="215" customWidth="1"/>
    <col min="30" max="30" width="7.42578125" style="215" customWidth="1"/>
    <col min="31" max="31" width="6" style="215" customWidth="1"/>
    <col min="32" max="32" width="8.7109375" style="215" customWidth="1"/>
    <col min="33" max="33" width="7.140625" style="215" customWidth="1"/>
    <col min="34" max="34" width="5.42578125" style="211" customWidth="1"/>
    <col min="35" max="35" width="5.5703125" style="211" customWidth="1"/>
    <col min="36" max="36" width="5.7109375" style="211" customWidth="1"/>
    <col min="37" max="37" width="8.28515625" style="211" customWidth="1"/>
    <col min="38" max="39" width="9.28515625" style="211" customWidth="1"/>
    <col min="40" max="40" width="9.140625" style="211" customWidth="1"/>
    <col min="41" max="41" width="9.85546875" style="211" customWidth="1"/>
    <col min="42" max="44" width="4" style="211" customWidth="1"/>
    <col min="45" max="45" width="6.85546875" style="211" customWidth="1"/>
    <col min="46" max="46" width="8" style="211" customWidth="1"/>
    <col min="47" max="50" width="5.42578125" style="211" customWidth="1"/>
    <col min="51" max="51" width="6.85546875" style="211" customWidth="1"/>
    <col min="52" max="52" width="9.85546875" style="211" customWidth="1"/>
    <col min="53" max="53" width="5.7109375" style="211" customWidth="1"/>
    <col min="54" max="54" width="12" style="211" customWidth="1"/>
    <col min="55" max="55" width="14.28515625" style="211" customWidth="1"/>
    <col min="56" max="56" width="9.85546875" style="211" customWidth="1"/>
    <col min="57" max="57" width="5.7109375" style="211" customWidth="1"/>
    <col min="58" max="58" width="12" style="211" customWidth="1"/>
    <col min="59" max="59" width="14.28515625" style="211" customWidth="1"/>
    <col min="60" max="60" width="9.85546875" style="211" customWidth="1"/>
    <col min="61" max="61" width="11.7109375" style="211" customWidth="1"/>
    <col min="62" max="62" width="12" style="211" customWidth="1"/>
    <col min="63" max="63" width="14.28515625" style="211" customWidth="1"/>
    <col min="64" max="64" width="13.28515625" style="211" customWidth="1"/>
    <col min="65" max="65" width="17.140625" style="211" customWidth="1"/>
    <col min="66" max="66" width="18.85546875" style="211" customWidth="1"/>
    <col min="67" max="67" width="17.28515625" style="211" customWidth="1"/>
    <col min="68" max="68" width="19" style="211" customWidth="1"/>
    <col min="69" max="69" width="18.5703125" style="211" customWidth="1"/>
    <col min="70" max="70" width="20.42578125" style="211" customWidth="1"/>
    <col min="71" max="71" width="18.140625" style="211" hidden="1" customWidth="1"/>
    <col min="72" max="72" width="20" style="211" hidden="1" customWidth="1"/>
    <col min="73" max="73" width="24" style="211" hidden="1" customWidth="1"/>
    <col min="74" max="74" width="25.85546875" style="211" hidden="1" customWidth="1"/>
    <col min="75" max="75" width="17.140625" style="211" customWidth="1"/>
    <col min="76" max="76" width="18.85546875" style="211" customWidth="1"/>
    <col min="77" max="77" width="18.140625" style="211" customWidth="1"/>
    <col min="78" max="78" width="20" style="211" customWidth="1"/>
    <col min="79" max="79" width="20" style="211" hidden="1" customWidth="1"/>
    <col min="80" max="80" width="18.42578125" style="211" customWidth="1"/>
    <col min="81" max="81" width="20.28515625" style="211" customWidth="1"/>
    <col min="82" max="82" width="20.28515625" style="211" hidden="1" customWidth="1"/>
    <col min="83" max="83" width="18" style="211" hidden="1" customWidth="1"/>
    <col min="84" max="85" width="19.85546875" style="211" hidden="1" customWidth="1"/>
    <col min="86" max="86" width="14.85546875" style="211" customWidth="1"/>
    <col min="87" max="87" width="20" style="211" customWidth="1"/>
    <col min="88" max="88" width="24.7109375" style="211" customWidth="1"/>
    <col min="89" max="89" width="27.42578125" style="211" customWidth="1"/>
    <col min="90" max="90" width="13.7109375" style="211" hidden="1" customWidth="1"/>
    <col min="91" max="91" width="21.140625" style="211" hidden="1" customWidth="1"/>
    <col min="92" max="92" width="21" style="211" hidden="1" customWidth="1"/>
    <col min="93" max="93" width="19.5703125" style="211" hidden="1" customWidth="1"/>
    <col min="94" max="94" width="14.140625" style="211" hidden="1" customWidth="1"/>
    <col min="95" max="95" width="9.7109375" style="211" hidden="1" customWidth="1"/>
    <col min="96" max="96" width="10.85546875" style="211" hidden="1" customWidth="1"/>
    <col min="97" max="97" width="15.42578125" style="211" hidden="1" customWidth="1"/>
    <col min="98" max="98" width="8.5703125" style="211" hidden="1" customWidth="1"/>
    <col min="99" max="99" width="9.5703125" style="211" hidden="1" customWidth="1"/>
    <col min="100" max="100" width="9" style="211" hidden="1" customWidth="1"/>
    <col min="101" max="101" width="12.140625" style="211" hidden="1" customWidth="1"/>
    <col min="102" max="102" width="11.42578125" style="211" hidden="1" customWidth="1"/>
    <col min="103" max="103" width="14.140625" style="211" hidden="1" customWidth="1"/>
    <col min="104" max="104" width="12" style="211" hidden="1" customWidth="1"/>
    <col min="105" max="105" width="10.5703125" style="211" hidden="1" customWidth="1"/>
    <col min="106" max="106" width="10.85546875" style="211" hidden="1" customWidth="1"/>
    <col min="107" max="107" width="9.140625" style="211" customWidth="1"/>
    <col min="108" max="108" width="11.42578125" style="211" customWidth="1"/>
    <col min="109" max="109" width="13.42578125" style="216" hidden="1" customWidth="1"/>
    <col min="110" max="118" width="10.28515625" style="216" hidden="1" customWidth="1"/>
    <col min="119" max="119" width="20.85546875" style="211" customWidth="1"/>
    <col min="120" max="120" width="17.5703125" style="211" hidden="1" customWidth="1"/>
    <col min="121" max="121" width="8.42578125" style="217" hidden="1" customWidth="1"/>
    <col min="122" max="122" width="10.140625" style="211" hidden="1" customWidth="1"/>
    <col min="123" max="123" width="9.7109375" style="211" hidden="1" customWidth="1"/>
    <col min="124" max="124" width="10.28515625" style="211" hidden="1" customWidth="1"/>
    <col min="125" max="125" width="9.42578125" style="211" hidden="1" customWidth="1"/>
    <col min="126" max="126" width="13.28515625" style="218" hidden="1" customWidth="1"/>
    <col min="127" max="127" width="13.140625" style="218" hidden="1" customWidth="1"/>
    <col min="128" max="128" width="11.5703125" style="218" hidden="1" customWidth="1"/>
    <col min="129" max="130" width="15.7109375" style="218" hidden="1" customWidth="1"/>
    <col min="131" max="131" width="16.7109375" style="218" hidden="1" customWidth="1"/>
    <col min="132" max="132" width="11.7109375" style="218" hidden="1" customWidth="1"/>
    <col min="133" max="133" width="12.28515625" style="218" hidden="1" customWidth="1"/>
    <col min="134" max="134" width="15.7109375" style="218" hidden="1" customWidth="1"/>
    <col min="135" max="135" width="16.140625" style="218" hidden="1" customWidth="1"/>
    <col min="136" max="136" width="16.42578125" style="218" hidden="1" customWidth="1"/>
    <col min="137" max="137" width="15.42578125" style="218" hidden="1" customWidth="1"/>
    <col min="138" max="138" width="15.5703125" style="211" hidden="1" customWidth="1"/>
    <col min="139" max="139" width="11.7109375" style="211" hidden="1" customWidth="1"/>
    <col min="140" max="142" width="9.140625" style="211" hidden="1" customWidth="1"/>
    <col min="143" max="143" width="10.7109375" style="211" hidden="1" customWidth="1"/>
    <col min="144" max="147" width="10.7109375" style="211" customWidth="1"/>
    <col min="148" max="148" width="9.140625" style="211" hidden="1" customWidth="1"/>
    <col min="149" max="16384" width="9.140625" style="211"/>
  </cols>
  <sheetData>
    <row r="1" spans="1:137" ht="18" customHeight="1">
      <c r="F1" s="212"/>
      <c r="G1" s="124" t="s">
        <v>11759</v>
      </c>
      <c r="H1" s="212"/>
      <c r="I1" s="501"/>
      <c r="J1" s="212" t="s">
        <v>19752</v>
      </c>
      <c r="K1" s="212"/>
      <c r="L1" s="212"/>
      <c r="M1" s="212"/>
      <c r="N1" s="212"/>
      <c r="O1" s="212"/>
      <c r="P1" s="272"/>
    </row>
    <row r="2" spans="1:137" ht="18" customHeight="1">
      <c r="F2" s="212"/>
      <c r="G2" s="124" t="s">
        <v>13880</v>
      </c>
      <c r="H2" s="212"/>
      <c r="I2" s="212"/>
      <c r="J2" s="212"/>
      <c r="K2" s="212"/>
      <c r="L2" s="212"/>
      <c r="M2" s="212"/>
      <c r="N2" s="212"/>
      <c r="O2" s="212"/>
      <c r="P2" s="272"/>
    </row>
    <row r="3" spans="1:137" ht="18" customHeight="1">
      <c r="F3" s="212"/>
      <c r="G3" s="124" t="s">
        <v>19753</v>
      </c>
      <c r="H3" s="212"/>
      <c r="I3" s="212"/>
      <c r="J3" s="212"/>
      <c r="K3" s="212"/>
      <c r="L3" s="212"/>
      <c r="M3" s="212"/>
      <c r="N3" s="212"/>
      <c r="O3" s="212"/>
      <c r="P3" s="272"/>
    </row>
    <row r="4" spans="1:137" ht="18" customHeight="1" thickBot="1">
      <c r="C4" s="271" t="s">
        <v>64</v>
      </c>
      <c r="D4" s="271" t="s">
        <v>11703</v>
      </c>
      <c r="E4" s="271" t="s">
        <v>64</v>
      </c>
      <c r="F4" s="219"/>
      <c r="G4" s="219"/>
      <c r="H4" s="219"/>
      <c r="I4" s="219"/>
      <c r="J4" s="219"/>
      <c r="K4" s="219"/>
      <c r="L4" s="219"/>
      <c r="M4" s="219"/>
      <c r="N4" s="219"/>
      <c r="O4" s="219"/>
      <c r="P4" s="273"/>
    </row>
    <row r="5" spans="1:137" ht="40.5" customHeight="1" thickBot="1">
      <c r="F5" s="220" t="s">
        <v>13881</v>
      </c>
      <c r="G5" s="221"/>
      <c r="H5" s="221"/>
      <c r="I5" s="274" t="s">
        <v>14634</v>
      </c>
      <c r="J5" s="222" t="s">
        <v>30</v>
      </c>
      <c r="K5" s="222" t="s">
        <v>30</v>
      </c>
      <c r="L5" s="222" t="s">
        <v>30</v>
      </c>
      <c r="M5" s="222" t="s">
        <v>30</v>
      </c>
      <c r="N5" s="222" t="s">
        <v>30</v>
      </c>
      <c r="O5" s="222" t="s">
        <v>1269</v>
      </c>
      <c r="P5" s="223"/>
    </row>
    <row r="6" spans="1:137" s="225" customFormat="1" ht="18" customHeight="1">
      <c r="A6" s="224"/>
      <c r="C6" s="226"/>
      <c r="D6" s="226"/>
      <c r="E6" s="226"/>
      <c r="F6" s="227" t="s">
        <v>13882</v>
      </c>
      <c r="G6" s="228"/>
      <c r="H6" s="228"/>
      <c r="I6" s="228"/>
      <c r="J6" s="228"/>
      <c r="K6" s="228"/>
      <c r="L6" s="228"/>
      <c r="M6" s="228"/>
      <c r="N6" s="228"/>
      <c r="O6" s="228"/>
      <c r="P6" s="229"/>
      <c r="Q6" s="230"/>
      <c r="V6" s="231"/>
      <c r="W6" s="231"/>
      <c r="X6" s="231"/>
      <c r="Y6" s="231"/>
      <c r="Z6" s="231"/>
      <c r="AA6" s="231"/>
      <c r="AB6" s="231"/>
      <c r="AC6" s="231"/>
      <c r="AD6" s="231"/>
      <c r="AE6" s="231"/>
      <c r="AF6" s="231"/>
      <c r="AG6" s="231"/>
      <c r="DE6" s="232"/>
      <c r="DF6" s="232"/>
      <c r="DG6" s="232"/>
      <c r="DH6" s="232"/>
      <c r="DI6" s="232"/>
      <c r="DJ6" s="232"/>
      <c r="DK6" s="232"/>
      <c r="DL6" s="232"/>
      <c r="DM6" s="232"/>
      <c r="DN6" s="232"/>
      <c r="DQ6" s="233"/>
      <c r="DV6" s="231"/>
      <c r="DW6" s="231"/>
      <c r="DX6" s="231"/>
      <c r="DY6" s="231"/>
      <c r="DZ6" s="231"/>
      <c r="EA6" s="231"/>
      <c r="EB6" s="231"/>
      <c r="EC6" s="231"/>
      <c r="ED6" s="231"/>
      <c r="EE6" s="231"/>
      <c r="EF6" s="231"/>
      <c r="EG6" s="231"/>
    </row>
    <row r="7" spans="1:137" s="225" customFormat="1" ht="18" customHeight="1">
      <c r="A7" s="224"/>
      <c r="C7" s="234"/>
      <c r="D7" s="226"/>
      <c r="E7" s="226"/>
      <c r="F7" s="275" t="s">
        <v>13883</v>
      </c>
      <c r="G7" s="235" t="s">
        <v>13884</v>
      </c>
      <c r="H7" s="236" t="s">
        <v>5</v>
      </c>
      <c r="I7" s="502">
        <v>8</v>
      </c>
      <c r="J7" s="502"/>
      <c r="K7" s="503"/>
      <c r="L7" s="503"/>
      <c r="M7" s="503"/>
      <c r="N7" s="237"/>
      <c r="O7" s="237"/>
      <c r="P7" s="238"/>
      <c r="Q7" s="230"/>
      <c r="V7" s="231"/>
      <c r="W7" s="231"/>
      <c r="X7" s="231"/>
      <c r="Y7" s="231"/>
      <c r="Z7" s="231"/>
      <c r="AA7" s="231"/>
      <c r="AB7" s="231"/>
      <c r="AC7" s="231"/>
      <c r="AD7" s="231"/>
      <c r="AE7" s="231"/>
      <c r="AF7" s="231"/>
      <c r="AG7" s="231"/>
      <c r="DE7" s="232"/>
      <c r="DF7" s="232"/>
      <c r="DG7" s="232"/>
      <c r="DH7" s="232"/>
      <c r="DI7" s="232"/>
      <c r="DJ7" s="232"/>
      <c r="DK7" s="232"/>
      <c r="DL7" s="232"/>
      <c r="DM7" s="232"/>
      <c r="DN7" s="232"/>
      <c r="DQ7" s="233"/>
      <c r="DV7" s="231"/>
      <c r="DW7" s="231"/>
      <c r="DX7" s="231"/>
      <c r="DY7" s="231"/>
      <c r="DZ7" s="231"/>
      <c r="EA7" s="231"/>
      <c r="EB7" s="231"/>
      <c r="EC7" s="231"/>
      <c r="ED7" s="231"/>
      <c r="EE7" s="231"/>
      <c r="EF7" s="231"/>
      <c r="EG7" s="231"/>
    </row>
    <row r="8" spans="1:137" s="225" customFormat="1" ht="18" customHeight="1">
      <c r="A8" s="224"/>
      <c r="C8" s="234"/>
      <c r="D8" s="226"/>
      <c r="E8" s="226"/>
      <c r="F8" s="275" t="s">
        <v>13885</v>
      </c>
      <c r="G8" s="235" t="s">
        <v>13886</v>
      </c>
      <c r="H8" s="236" t="s">
        <v>5</v>
      </c>
      <c r="I8" s="502">
        <v>9.35</v>
      </c>
      <c r="J8" s="502"/>
      <c r="K8" s="503"/>
      <c r="L8" s="503"/>
      <c r="M8" s="503"/>
      <c r="N8" s="237"/>
      <c r="O8" s="237"/>
      <c r="P8" s="238"/>
      <c r="Q8" s="230"/>
      <c r="V8" s="231"/>
      <c r="W8" s="231"/>
      <c r="X8" s="231"/>
      <c r="Y8" s="231"/>
      <c r="Z8" s="231"/>
      <c r="AA8" s="231"/>
      <c r="AB8" s="231"/>
      <c r="AC8" s="231"/>
      <c r="AD8" s="231"/>
      <c r="AE8" s="231"/>
      <c r="AF8" s="231"/>
      <c r="AG8" s="231"/>
      <c r="DE8" s="232"/>
      <c r="DF8" s="232"/>
      <c r="DG8" s="232"/>
      <c r="DH8" s="232"/>
      <c r="DI8" s="232"/>
      <c r="DJ8" s="232"/>
      <c r="DK8" s="232"/>
      <c r="DL8" s="232"/>
      <c r="DM8" s="232"/>
      <c r="DN8" s="232"/>
      <c r="DQ8" s="233"/>
      <c r="DV8" s="231"/>
      <c r="DW8" s="231"/>
      <c r="DX8" s="231"/>
      <c r="DY8" s="231"/>
      <c r="DZ8" s="231"/>
      <c r="EA8" s="231"/>
      <c r="EB8" s="231"/>
      <c r="EC8" s="231"/>
      <c r="ED8" s="231"/>
      <c r="EE8" s="231"/>
      <c r="EF8" s="231"/>
      <c r="EG8" s="231"/>
    </row>
    <row r="9" spans="1:137" s="225" customFormat="1" ht="18" customHeight="1">
      <c r="A9" s="224"/>
      <c r="C9" s="234"/>
      <c r="D9" s="226"/>
      <c r="E9" s="226"/>
      <c r="F9" s="275" t="s">
        <v>13887</v>
      </c>
      <c r="G9" s="239" t="s">
        <v>19754</v>
      </c>
      <c r="H9" s="236" t="s">
        <v>8</v>
      </c>
      <c r="I9" s="240">
        <v>0.05</v>
      </c>
      <c r="J9" s="240">
        <v>0.05</v>
      </c>
      <c r="K9" s="240">
        <v>0.05</v>
      </c>
      <c r="L9" s="240">
        <v>0.05</v>
      </c>
      <c r="M9" s="240">
        <v>0.05</v>
      </c>
      <c r="N9" s="240">
        <v>0.05</v>
      </c>
      <c r="O9" s="240">
        <v>0.05</v>
      </c>
      <c r="P9" s="238"/>
      <c r="Q9" s="230"/>
      <c r="V9" s="231"/>
      <c r="W9" s="231"/>
      <c r="X9" s="231"/>
      <c r="Y9" s="231"/>
      <c r="Z9" s="231"/>
      <c r="AA9" s="231"/>
      <c r="AB9" s="231"/>
      <c r="AC9" s="231"/>
      <c r="AD9" s="231"/>
      <c r="AE9" s="231"/>
      <c r="AF9" s="231"/>
      <c r="AG9" s="231"/>
      <c r="DE9" s="232"/>
      <c r="DF9" s="232"/>
      <c r="DG9" s="232"/>
      <c r="DH9" s="232"/>
      <c r="DI9" s="232"/>
      <c r="DJ9" s="232"/>
      <c r="DK9" s="232"/>
      <c r="DL9" s="232"/>
      <c r="DM9" s="232"/>
      <c r="DN9" s="232"/>
      <c r="DQ9" s="233"/>
      <c r="DV9" s="231"/>
      <c r="DW9" s="231"/>
      <c r="DX9" s="231"/>
      <c r="DY9" s="231"/>
      <c r="DZ9" s="231"/>
      <c r="EA9" s="231"/>
      <c r="EB9" s="231"/>
      <c r="EC9" s="231"/>
      <c r="ED9" s="231"/>
      <c r="EE9" s="231"/>
      <c r="EF9" s="231"/>
      <c r="EG9" s="231"/>
    </row>
    <row r="10" spans="1:137" s="225" customFormat="1" ht="18" customHeight="1">
      <c r="A10" s="224"/>
      <c r="C10" s="234"/>
      <c r="D10" s="226"/>
      <c r="E10" s="226"/>
      <c r="F10" s="275" t="s">
        <v>13888</v>
      </c>
      <c r="G10" s="239" t="s">
        <v>13889</v>
      </c>
      <c r="H10" s="236" t="s">
        <v>8</v>
      </c>
      <c r="I10" s="240">
        <v>0.95</v>
      </c>
      <c r="J10" s="240">
        <v>0.95</v>
      </c>
      <c r="K10" s="240">
        <v>0.95</v>
      </c>
      <c r="L10" s="240">
        <v>0.95</v>
      </c>
      <c r="M10" s="240">
        <v>0.95</v>
      </c>
      <c r="N10" s="240">
        <v>0.95</v>
      </c>
      <c r="O10" s="240">
        <v>0.95</v>
      </c>
      <c r="P10" s="238"/>
      <c r="Q10" s="230"/>
      <c r="V10" s="231"/>
      <c r="W10" s="231"/>
      <c r="X10" s="231"/>
      <c r="Y10" s="231"/>
      <c r="Z10" s="231"/>
      <c r="AA10" s="231"/>
      <c r="AB10" s="231"/>
      <c r="AC10" s="231"/>
      <c r="AD10" s="231"/>
      <c r="AE10" s="231"/>
      <c r="AF10" s="231"/>
      <c r="AG10" s="231"/>
      <c r="DE10" s="232"/>
      <c r="DF10" s="232"/>
      <c r="DG10" s="232"/>
      <c r="DH10" s="232"/>
      <c r="DI10" s="232"/>
      <c r="DJ10" s="232"/>
      <c r="DK10" s="232"/>
      <c r="DL10" s="232"/>
      <c r="DM10" s="232"/>
      <c r="DN10" s="232"/>
      <c r="DQ10" s="233"/>
      <c r="DV10" s="231"/>
      <c r="DW10" s="231"/>
      <c r="DX10" s="231"/>
      <c r="DY10" s="231"/>
      <c r="DZ10" s="231"/>
      <c r="EA10" s="231"/>
      <c r="EB10" s="231"/>
      <c r="EC10" s="231"/>
      <c r="ED10" s="231"/>
      <c r="EE10" s="231"/>
      <c r="EF10" s="231"/>
      <c r="EG10" s="231"/>
    </row>
    <row r="11" spans="1:137" s="225" customFormat="1" ht="18" customHeight="1">
      <c r="A11" s="224"/>
      <c r="C11" s="234"/>
      <c r="D11" s="504"/>
      <c r="E11" s="504"/>
      <c r="F11" s="275" t="s">
        <v>13890</v>
      </c>
      <c r="G11" s="239" t="s">
        <v>13891</v>
      </c>
      <c r="H11" s="236" t="s">
        <v>8</v>
      </c>
      <c r="I11" s="240">
        <v>0.92</v>
      </c>
      <c r="J11" s="240">
        <v>0.92</v>
      </c>
      <c r="K11" s="240">
        <v>0.92</v>
      </c>
      <c r="L11" s="240">
        <v>0.92</v>
      </c>
      <c r="M11" s="240">
        <v>0.92</v>
      </c>
      <c r="N11" s="240">
        <v>0.92</v>
      </c>
      <c r="O11" s="240">
        <v>0.92</v>
      </c>
      <c r="P11" s="238"/>
      <c r="Q11" s="230"/>
      <c r="V11" s="231"/>
      <c r="W11" s="231"/>
      <c r="X11" s="231"/>
      <c r="Y11" s="231"/>
      <c r="Z11" s="231"/>
      <c r="AA11" s="231"/>
      <c r="AB11" s="231"/>
      <c r="AC11" s="231"/>
      <c r="AD11" s="231"/>
      <c r="AE11" s="231"/>
      <c r="AF11" s="231"/>
      <c r="AG11" s="231"/>
      <c r="DE11" s="232"/>
      <c r="DF11" s="232"/>
      <c r="DG11" s="232"/>
      <c r="DH11" s="232"/>
      <c r="DI11" s="232"/>
      <c r="DJ11" s="232"/>
      <c r="DK11" s="232"/>
      <c r="DL11" s="232"/>
      <c r="DM11" s="232"/>
      <c r="DN11" s="232"/>
      <c r="DQ11" s="233"/>
      <c r="DV11" s="231"/>
      <c r="DW11" s="231"/>
      <c r="DX11" s="231"/>
      <c r="DY11" s="231"/>
      <c r="DZ11" s="231"/>
      <c r="EA11" s="231"/>
      <c r="EB11" s="231"/>
      <c r="EC11" s="231"/>
      <c r="ED11" s="231"/>
      <c r="EE11" s="231"/>
      <c r="EF11" s="231"/>
      <c r="EG11" s="231"/>
    </row>
    <row r="12" spans="1:137" s="225" customFormat="1" ht="18" customHeight="1">
      <c r="A12" s="224"/>
      <c r="C12" s="234"/>
      <c r="D12" s="504"/>
      <c r="E12" s="504"/>
      <c r="F12" s="275" t="s">
        <v>13892</v>
      </c>
      <c r="G12" s="239" t="s">
        <v>13893</v>
      </c>
      <c r="H12" s="236" t="s">
        <v>8</v>
      </c>
      <c r="I12" s="240">
        <v>0.03</v>
      </c>
      <c r="J12" s="240">
        <v>0.03</v>
      </c>
      <c r="K12" s="240">
        <v>0.03</v>
      </c>
      <c r="L12" s="240">
        <v>0.03</v>
      </c>
      <c r="M12" s="240">
        <v>0.03</v>
      </c>
      <c r="N12" s="240">
        <v>0.03</v>
      </c>
      <c r="O12" s="240">
        <v>0.03</v>
      </c>
      <c r="P12" s="239"/>
      <c r="Q12" s="230"/>
      <c r="V12" s="231"/>
      <c r="W12" s="231"/>
      <c r="X12" s="231"/>
      <c r="Y12" s="231"/>
      <c r="Z12" s="231"/>
      <c r="AA12" s="231"/>
      <c r="AB12" s="231"/>
      <c r="AC12" s="231"/>
      <c r="AD12" s="231"/>
      <c r="AE12" s="231"/>
      <c r="AF12" s="231"/>
      <c r="AG12" s="231"/>
      <c r="DE12" s="232"/>
      <c r="DF12" s="232"/>
      <c r="DG12" s="232"/>
      <c r="DH12" s="232"/>
      <c r="DI12" s="232"/>
      <c r="DJ12" s="232"/>
      <c r="DK12" s="232"/>
      <c r="DL12" s="232"/>
      <c r="DM12" s="232"/>
      <c r="DN12" s="232"/>
      <c r="DQ12" s="233"/>
      <c r="DV12" s="231"/>
      <c r="DW12" s="231"/>
      <c r="DX12" s="231"/>
      <c r="DY12" s="231"/>
      <c r="DZ12" s="231"/>
      <c r="EA12" s="231"/>
      <c r="EB12" s="231"/>
      <c r="EC12" s="231"/>
      <c r="ED12" s="231"/>
      <c r="EE12" s="231"/>
      <c r="EF12" s="231"/>
      <c r="EG12" s="231"/>
    </row>
    <row r="13" spans="1:137" s="225" customFormat="1" ht="18" customHeight="1">
      <c r="A13" s="224"/>
      <c r="C13" s="234"/>
      <c r="D13" s="504"/>
      <c r="E13" s="504"/>
      <c r="F13" s="275" t="s">
        <v>13894</v>
      </c>
      <c r="G13" s="239" t="s">
        <v>13895</v>
      </c>
      <c r="H13" s="236" t="s">
        <v>8</v>
      </c>
      <c r="I13" s="240">
        <v>0.02</v>
      </c>
      <c r="J13" s="240">
        <v>0.02</v>
      </c>
      <c r="K13" s="240">
        <v>0.02</v>
      </c>
      <c r="L13" s="240">
        <v>0.02</v>
      </c>
      <c r="M13" s="240">
        <v>0.02</v>
      </c>
      <c r="N13" s="240">
        <v>0.02</v>
      </c>
      <c r="O13" s="240">
        <v>0.02</v>
      </c>
      <c r="P13" s="239"/>
      <c r="Q13" s="230"/>
      <c r="V13" s="231"/>
      <c r="W13" s="231"/>
      <c r="X13" s="231"/>
      <c r="Y13" s="231"/>
      <c r="Z13" s="231"/>
      <c r="AA13" s="231"/>
      <c r="AB13" s="231"/>
      <c r="AC13" s="231"/>
      <c r="AD13" s="231"/>
      <c r="AE13" s="231"/>
      <c r="AF13" s="231"/>
      <c r="AG13" s="231"/>
      <c r="DE13" s="232"/>
      <c r="DF13" s="232"/>
      <c r="DG13" s="232"/>
      <c r="DH13" s="232"/>
      <c r="DI13" s="232"/>
      <c r="DJ13" s="232"/>
      <c r="DK13" s="232"/>
      <c r="DL13" s="232"/>
      <c r="DM13" s="232"/>
      <c r="DN13" s="232"/>
      <c r="DQ13" s="233"/>
      <c r="DV13" s="231"/>
      <c r="DW13" s="231"/>
      <c r="DX13" s="231"/>
      <c r="DY13" s="231"/>
      <c r="DZ13" s="231"/>
      <c r="EA13" s="231"/>
      <c r="EB13" s="231"/>
      <c r="EC13" s="231"/>
      <c r="ED13" s="231"/>
      <c r="EE13" s="231"/>
      <c r="EF13" s="231"/>
      <c r="EG13" s="231"/>
    </row>
    <row r="14" spans="1:137" s="225" customFormat="1" ht="18" customHeight="1">
      <c r="A14" s="224"/>
      <c r="C14" s="234"/>
      <c r="D14" s="504"/>
      <c r="E14" s="504"/>
      <c r="F14" s="275" t="s">
        <v>13896</v>
      </c>
      <c r="G14" s="239" t="s">
        <v>12</v>
      </c>
      <c r="H14" s="236" t="s">
        <v>8</v>
      </c>
      <c r="I14" s="240">
        <v>0.03</v>
      </c>
      <c r="J14" s="240">
        <v>0.03</v>
      </c>
      <c r="K14" s="240">
        <v>0.03</v>
      </c>
      <c r="L14" s="240">
        <v>0.03</v>
      </c>
      <c r="M14" s="240">
        <v>0.03</v>
      </c>
      <c r="N14" s="240">
        <v>0.03</v>
      </c>
      <c r="O14" s="240">
        <v>0.03</v>
      </c>
      <c r="P14" s="239"/>
      <c r="Q14" s="230"/>
      <c r="V14" s="231"/>
      <c r="W14" s="231"/>
      <c r="X14" s="231"/>
      <c r="Y14" s="231"/>
      <c r="Z14" s="231"/>
      <c r="AA14" s="231"/>
      <c r="AB14" s="231"/>
      <c r="AC14" s="231"/>
      <c r="AD14" s="231"/>
      <c r="AE14" s="231"/>
      <c r="AF14" s="231"/>
      <c r="AG14" s="231"/>
      <c r="DE14" s="232"/>
      <c r="DF14" s="232"/>
      <c r="DG14" s="232"/>
      <c r="DH14" s="232"/>
      <c r="DI14" s="232"/>
      <c r="DJ14" s="232"/>
      <c r="DK14" s="232"/>
      <c r="DL14" s="232"/>
      <c r="DM14" s="232"/>
      <c r="DN14" s="232"/>
      <c r="DQ14" s="233"/>
      <c r="DV14" s="231"/>
      <c r="DW14" s="231"/>
      <c r="DX14" s="231"/>
      <c r="DY14" s="231"/>
      <c r="DZ14" s="231"/>
      <c r="EA14" s="231"/>
      <c r="EB14" s="231"/>
      <c r="EC14" s="231"/>
      <c r="ED14" s="231"/>
      <c r="EE14" s="231"/>
      <c r="EF14" s="231"/>
      <c r="EG14" s="231"/>
    </row>
    <row r="15" spans="1:137" s="225" customFormat="1" ht="18" customHeight="1">
      <c r="A15" s="224"/>
      <c r="C15" s="234"/>
      <c r="D15" s="226"/>
      <c r="E15" s="226"/>
      <c r="F15" s="275" t="s">
        <v>13897</v>
      </c>
      <c r="G15" s="235" t="s">
        <v>13898</v>
      </c>
      <c r="H15" s="236" t="s">
        <v>8</v>
      </c>
      <c r="I15" s="240">
        <v>0.2</v>
      </c>
      <c r="J15" s="240">
        <v>0.2</v>
      </c>
      <c r="K15" s="240">
        <v>0.2</v>
      </c>
      <c r="L15" s="240">
        <v>0.2</v>
      </c>
      <c r="M15" s="240">
        <v>0.2</v>
      </c>
      <c r="N15" s="240">
        <v>0.2</v>
      </c>
      <c r="O15" s="240">
        <v>0.2</v>
      </c>
      <c r="P15" s="239"/>
      <c r="Q15" s="230"/>
      <c r="V15" s="231"/>
      <c r="W15" s="231"/>
      <c r="X15" s="231"/>
      <c r="Y15" s="231"/>
      <c r="Z15" s="231"/>
      <c r="AA15" s="231"/>
      <c r="AB15" s="231"/>
      <c r="AC15" s="231"/>
      <c r="AD15" s="231"/>
      <c r="AE15" s="231"/>
      <c r="AF15" s="231"/>
      <c r="AG15" s="231"/>
      <c r="DE15" s="232"/>
      <c r="DF15" s="232"/>
      <c r="DG15" s="232"/>
      <c r="DH15" s="232"/>
      <c r="DI15" s="232"/>
      <c r="DJ15" s="232"/>
      <c r="DK15" s="232"/>
      <c r="DL15" s="232"/>
      <c r="DM15" s="232"/>
      <c r="DN15" s="232"/>
      <c r="DQ15" s="233"/>
      <c r="DV15" s="231"/>
      <c r="DW15" s="231"/>
      <c r="DX15" s="231"/>
      <c r="DY15" s="231"/>
      <c r="DZ15" s="231"/>
      <c r="EA15" s="231"/>
      <c r="EB15" s="231"/>
      <c r="EC15" s="231"/>
      <c r="ED15" s="231"/>
      <c r="EE15" s="231"/>
      <c r="EF15" s="231"/>
      <c r="EG15" s="231"/>
    </row>
    <row r="16" spans="1:137" s="225" customFormat="1" ht="18" customHeight="1">
      <c r="A16" s="224"/>
      <c r="C16" s="234"/>
      <c r="D16" s="226"/>
      <c r="E16" s="226"/>
      <c r="F16" s="275" t="s">
        <v>13899</v>
      </c>
      <c r="G16" s="235" t="s">
        <v>13900</v>
      </c>
      <c r="H16" s="236" t="s">
        <v>8</v>
      </c>
      <c r="I16" s="240">
        <v>0.3</v>
      </c>
      <c r="J16" s="240">
        <v>0.3</v>
      </c>
      <c r="K16" s="240">
        <v>0.3</v>
      </c>
      <c r="L16" s="240">
        <v>0.3</v>
      </c>
      <c r="M16" s="240">
        <v>0.3</v>
      </c>
      <c r="N16" s="240">
        <v>0.3</v>
      </c>
      <c r="O16" s="240">
        <v>0.3</v>
      </c>
      <c r="P16" s="235"/>
      <c r="Q16" s="230"/>
      <c r="V16" s="231"/>
      <c r="W16" s="231"/>
      <c r="X16" s="231"/>
      <c r="Y16" s="231"/>
      <c r="Z16" s="231"/>
      <c r="AA16" s="231"/>
      <c r="AB16" s="231"/>
      <c r="AC16" s="231"/>
      <c r="AD16" s="231"/>
      <c r="AE16" s="231"/>
      <c r="AF16" s="231"/>
      <c r="AG16" s="231"/>
      <c r="DE16" s="232"/>
      <c r="DF16" s="232"/>
      <c r="DG16" s="232"/>
      <c r="DH16" s="232"/>
      <c r="DI16" s="232"/>
      <c r="DJ16" s="232"/>
      <c r="DK16" s="232"/>
      <c r="DL16" s="232"/>
      <c r="DM16" s="232"/>
      <c r="DN16" s="232"/>
      <c r="DQ16" s="233"/>
      <c r="DV16" s="231"/>
      <c r="DW16" s="231"/>
      <c r="DX16" s="231"/>
      <c r="DY16" s="231"/>
      <c r="DZ16" s="231"/>
      <c r="EA16" s="231"/>
      <c r="EB16" s="231"/>
      <c r="EC16" s="231"/>
      <c r="ED16" s="231"/>
      <c r="EE16" s="231"/>
      <c r="EF16" s="231"/>
      <c r="EG16" s="231"/>
    </row>
    <row r="17" spans="1:137" s="225" customFormat="1" ht="18" customHeight="1">
      <c r="A17" s="224"/>
      <c r="C17" s="234"/>
      <c r="D17" s="226"/>
      <c r="E17" s="226"/>
      <c r="F17" s="275" t="s">
        <v>13901</v>
      </c>
      <c r="G17" s="235" t="s">
        <v>19755</v>
      </c>
      <c r="H17" s="236" t="s">
        <v>8</v>
      </c>
      <c r="I17" s="240">
        <v>0.1</v>
      </c>
      <c r="J17" s="240">
        <v>0.1</v>
      </c>
      <c r="K17" s="240">
        <v>0.1</v>
      </c>
      <c r="L17" s="240">
        <v>0.1</v>
      </c>
      <c r="M17" s="240">
        <v>0.1</v>
      </c>
      <c r="N17" s="240">
        <v>0.1</v>
      </c>
      <c r="O17" s="240">
        <v>0.1</v>
      </c>
      <c r="P17" s="235"/>
      <c r="Q17" s="230"/>
      <c r="V17" s="231"/>
      <c r="W17" s="231"/>
      <c r="X17" s="231"/>
      <c r="Y17" s="231"/>
      <c r="Z17" s="231"/>
      <c r="AA17" s="231"/>
      <c r="AB17" s="231"/>
      <c r="AC17" s="231"/>
      <c r="AD17" s="231"/>
      <c r="AE17" s="231"/>
      <c r="AF17" s="231"/>
      <c r="AG17" s="231"/>
      <c r="DE17" s="232"/>
      <c r="DF17" s="232"/>
      <c r="DG17" s="232"/>
      <c r="DH17" s="232"/>
      <c r="DI17" s="232"/>
      <c r="DJ17" s="232"/>
      <c r="DK17" s="232"/>
      <c r="DL17" s="232"/>
      <c r="DM17" s="232"/>
      <c r="DN17" s="232"/>
      <c r="DQ17" s="233"/>
      <c r="DV17" s="231"/>
      <c r="DW17" s="231"/>
      <c r="DX17" s="231"/>
      <c r="DY17" s="231"/>
      <c r="DZ17" s="231"/>
      <c r="EA17" s="231"/>
      <c r="EB17" s="231"/>
      <c r="EC17" s="231"/>
      <c r="ED17" s="231"/>
      <c r="EE17" s="231"/>
      <c r="EF17" s="231"/>
      <c r="EG17" s="231"/>
    </row>
    <row r="18" spans="1:137" s="225" customFormat="1" ht="18" customHeight="1">
      <c r="A18" s="224"/>
      <c r="C18" s="234"/>
      <c r="D18" s="226"/>
      <c r="E18" s="226"/>
      <c r="F18" s="275" t="s">
        <v>13902</v>
      </c>
      <c r="G18" s="235" t="s">
        <v>14230</v>
      </c>
      <c r="H18" s="236" t="s">
        <v>8</v>
      </c>
      <c r="I18" s="240">
        <v>0.9</v>
      </c>
      <c r="J18" s="240">
        <v>0.9</v>
      </c>
      <c r="K18" s="240">
        <v>0.9</v>
      </c>
      <c r="L18" s="240">
        <v>0.9</v>
      </c>
      <c r="M18" s="240">
        <v>0.9</v>
      </c>
      <c r="N18" s="240">
        <v>0.9</v>
      </c>
      <c r="O18" s="240">
        <v>0.9</v>
      </c>
      <c r="P18" s="235"/>
      <c r="Q18" s="230"/>
      <c r="V18" s="231"/>
      <c r="W18" s="231"/>
      <c r="X18" s="231"/>
      <c r="Y18" s="231"/>
      <c r="Z18" s="231"/>
      <c r="AA18" s="231"/>
      <c r="AB18" s="231"/>
      <c r="AC18" s="231"/>
      <c r="AD18" s="231"/>
      <c r="AE18" s="231"/>
      <c r="AF18" s="231"/>
      <c r="AG18" s="231"/>
      <c r="DE18" s="232"/>
      <c r="DF18" s="232"/>
      <c r="DG18" s="232"/>
      <c r="DH18" s="232"/>
      <c r="DI18" s="232"/>
      <c r="DJ18" s="232"/>
      <c r="DK18" s="232"/>
      <c r="DL18" s="232"/>
      <c r="DM18" s="232"/>
      <c r="DN18" s="232"/>
      <c r="DQ18" s="233"/>
      <c r="DV18" s="231"/>
      <c r="DW18" s="231"/>
      <c r="DX18" s="231"/>
      <c r="DY18" s="231"/>
      <c r="DZ18" s="231"/>
      <c r="EA18" s="231"/>
      <c r="EB18" s="231"/>
      <c r="EC18" s="231"/>
      <c r="ED18" s="231"/>
      <c r="EE18" s="231"/>
      <c r="EF18" s="231"/>
      <c r="EG18" s="231"/>
    </row>
    <row r="19" spans="1:137" s="225" customFormat="1" ht="18" customHeight="1">
      <c r="A19" s="224"/>
      <c r="C19" s="234"/>
      <c r="D19" s="226"/>
      <c r="E19" s="226"/>
      <c r="F19" s="275" t="s">
        <v>13903</v>
      </c>
      <c r="G19" s="235" t="s">
        <v>13904</v>
      </c>
      <c r="H19" s="236" t="s">
        <v>8</v>
      </c>
      <c r="I19" s="240">
        <v>0.95</v>
      </c>
      <c r="J19" s="240">
        <v>0.95</v>
      </c>
      <c r="K19" s="240">
        <v>0.95</v>
      </c>
      <c r="L19" s="240">
        <v>0.95</v>
      </c>
      <c r="M19" s="240">
        <v>0.95</v>
      </c>
      <c r="N19" s="240">
        <v>0.95</v>
      </c>
      <c r="O19" s="240">
        <v>0.95</v>
      </c>
      <c r="P19" s="235"/>
      <c r="Q19" s="230"/>
      <c r="V19" s="231"/>
      <c r="W19" s="231"/>
      <c r="X19" s="231"/>
      <c r="Y19" s="231"/>
      <c r="Z19" s="231"/>
      <c r="AA19" s="231"/>
      <c r="AB19" s="231"/>
      <c r="AC19" s="231"/>
      <c r="AD19" s="231"/>
      <c r="AE19" s="231"/>
      <c r="AF19" s="231"/>
      <c r="AG19" s="231"/>
      <c r="DE19" s="232"/>
      <c r="DF19" s="232"/>
      <c r="DG19" s="232"/>
      <c r="DH19" s="232"/>
      <c r="DI19" s="232"/>
      <c r="DJ19" s="232"/>
      <c r="DK19" s="232"/>
      <c r="DL19" s="232"/>
      <c r="DM19" s="232"/>
      <c r="DN19" s="232"/>
      <c r="DQ19" s="233"/>
      <c r="DV19" s="231"/>
      <c r="DW19" s="231"/>
      <c r="DX19" s="231"/>
      <c r="DY19" s="231"/>
      <c r="DZ19" s="231"/>
      <c r="EA19" s="231"/>
      <c r="EB19" s="231"/>
      <c r="EC19" s="231"/>
      <c r="ED19" s="231"/>
      <c r="EE19" s="231"/>
      <c r="EF19" s="231"/>
      <c r="EG19" s="231"/>
    </row>
    <row r="20" spans="1:137" s="225" customFormat="1" ht="18" customHeight="1">
      <c r="A20" s="224"/>
      <c r="C20" s="234"/>
      <c r="D20" s="226"/>
      <c r="E20" s="226"/>
      <c r="F20" s="275" t="s">
        <v>13905</v>
      </c>
      <c r="G20" s="235" t="s">
        <v>13906</v>
      </c>
      <c r="H20" s="236" t="s">
        <v>8</v>
      </c>
      <c r="I20" s="240">
        <v>0.03</v>
      </c>
      <c r="J20" s="240">
        <v>0.03</v>
      </c>
      <c r="K20" s="240">
        <v>0.03</v>
      </c>
      <c r="L20" s="240">
        <v>0.03</v>
      </c>
      <c r="M20" s="240">
        <v>0.03</v>
      </c>
      <c r="N20" s="240">
        <v>0.03</v>
      </c>
      <c r="O20" s="240">
        <v>0.03</v>
      </c>
      <c r="P20" s="235"/>
      <c r="Q20" s="230"/>
      <c r="V20" s="231"/>
      <c r="W20" s="231"/>
      <c r="X20" s="231"/>
      <c r="Y20" s="231"/>
      <c r="Z20" s="231"/>
      <c r="AA20" s="231"/>
      <c r="AB20" s="231"/>
      <c r="AC20" s="231"/>
      <c r="AD20" s="231"/>
      <c r="AE20" s="231"/>
      <c r="AF20" s="231"/>
      <c r="AG20" s="231"/>
      <c r="DE20" s="232"/>
      <c r="DF20" s="232"/>
      <c r="DG20" s="232"/>
      <c r="DH20" s="232"/>
      <c r="DI20" s="232"/>
      <c r="DJ20" s="232"/>
      <c r="DK20" s="232"/>
      <c r="DL20" s="232"/>
      <c r="DM20" s="232"/>
      <c r="DN20" s="232"/>
      <c r="DQ20" s="233"/>
      <c r="DV20" s="231"/>
      <c r="DW20" s="231"/>
      <c r="DX20" s="231"/>
      <c r="DY20" s="231"/>
      <c r="DZ20" s="231"/>
      <c r="EA20" s="231"/>
      <c r="EB20" s="231"/>
      <c r="EC20" s="231"/>
      <c r="ED20" s="231"/>
      <c r="EE20" s="231"/>
      <c r="EF20" s="231"/>
      <c r="EG20" s="231"/>
    </row>
    <row r="21" spans="1:137" s="225" customFormat="1" ht="18" customHeight="1">
      <c r="A21" s="224"/>
      <c r="C21" s="234"/>
      <c r="D21" s="226"/>
      <c r="E21" s="226"/>
      <c r="F21" s="275" t="s">
        <v>13907</v>
      </c>
      <c r="G21" s="235" t="s">
        <v>13908</v>
      </c>
      <c r="H21" s="236" t="s">
        <v>8</v>
      </c>
      <c r="I21" s="240">
        <v>0</v>
      </c>
      <c r="J21" s="240">
        <v>0</v>
      </c>
      <c r="K21" s="240">
        <v>0</v>
      </c>
      <c r="L21" s="240">
        <v>0</v>
      </c>
      <c r="M21" s="240">
        <v>0</v>
      </c>
      <c r="N21" s="240">
        <v>0</v>
      </c>
      <c r="O21" s="240">
        <v>0</v>
      </c>
      <c r="P21" s="235"/>
      <c r="Q21" s="230"/>
      <c r="V21" s="231"/>
      <c r="W21" s="231"/>
      <c r="X21" s="231"/>
      <c r="Y21" s="231"/>
      <c r="Z21" s="231"/>
      <c r="AA21" s="231"/>
      <c r="AB21" s="231"/>
      <c r="AC21" s="231"/>
      <c r="AD21" s="231"/>
      <c r="AE21" s="231"/>
      <c r="AF21" s="231"/>
      <c r="AG21" s="231"/>
      <c r="DE21" s="232"/>
      <c r="DF21" s="232"/>
      <c r="DG21" s="232"/>
      <c r="DH21" s="232"/>
      <c r="DI21" s="232"/>
      <c r="DJ21" s="232"/>
      <c r="DK21" s="232"/>
      <c r="DL21" s="232"/>
      <c r="DM21" s="232"/>
      <c r="DN21" s="232"/>
      <c r="DQ21" s="233"/>
      <c r="DV21" s="231"/>
      <c r="DW21" s="231"/>
      <c r="DX21" s="231"/>
      <c r="DY21" s="231"/>
      <c r="DZ21" s="231"/>
      <c r="EA21" s="231"/>
      <c r="EB21" s="231"/>
      <c r="EC21" s="231"/>
      <c r="ED21" s="231"/>
      <c r="EE21" s="231"/>
      <c r="EF21" s="231"/>
      <c r="EG21" s="231"/>
    </row>
    <row r="22" spans="1:137" s="225" customFormat="1" ht="18" customHeight="1">
      <c r="A22" s="224"/>
      <c r="C22" s="234"/>
      <c r="D22" s="226"/>
      <c r="E22" s="226"/>
      <c r="F22" s="275" t="s">
        <v>13909</v>
      </c>
      <c r="G22" s="235" t="s">
        <v>13910</v>
      </c>
      <c r="H22" s="236" t="s">
        <v>8</v>
      </c>
      <c r="I22" s="240">
        <v>0</v>
      </c>
      <c r="J22" s="240">
        <v>0</v>
      </c>
      <c r="K22" s="240">
        <v>0</v>
      </c>
      <c r="L22" s="240">
        <v>0</v>
      </c>
      <c r="M22" s="240">
        <v>0</v>
      </c>
      <c r="N22" s="240">
        <v>0</v>
      </c>
      <c r="O22" s="240">
        <v>0</v>
      </c>
      <c r="P22" s="235"/>
      <c r="Q22" s="230"/>
      <c r="V22" s="231"/>
      <c r="W22" s="231"/>
      <c r="X22" s="231"/>
      <c r="Y22" s="231"/>
      <c r="Z22" s="231"/>
      <c r="AA22" s="231"/>
      <c r="AB22" s="231"/>
      <c r="AC22" s="231"/>
      <c r="AD22" s="231"/>
      <c r="AE22" s="231"/>
      <c r="AF22" s="231"/>
      <c r="AG22" s="231"/>
      <c r="DE22" s="232"/>
      <c r="DF22" s="232"/>
      <c r="DG22" s="232"/>
      <c r="DH22" s="232"/>
      <c r="DI22" s="232"/>
      <c r="DJ22" s="232"/>
      <c r="DK22" s="232"/>
      <c r="DL22" s="232"/>
      <c r="DM22" s="232"/>
      <c r="DN22" s="232"/>
      <c r="DQ22" s="233"/>
      <c r="DV22" s="231"/>
      <c r="DW22" s="231"/>
      <c r="DX22" s="231"/>
      <c r="DY22" s="231"/>
      <c r="DZ22" s="231"/>
      <c r="EA22" s="231"/>
      <c r="EB22" s="231"/>
      <c r="EC22" s="231"/>
      <c r="ED22" s="231"/>
      <c r="EE22" s="231"/>
      <c r="EF22" s="231"/>
      <c r="EG22" s="231"/>
    </row>
    <row r="23" spans="1:137" s="225" customFormat="1" ht="18" customHeight="1">
      <c r="A23" s="224"/>
      <c r="C23" s="234"/>
      <c r="D23" s="226"/>
      <c r="E23" s="226"/>
      <c r="F23" s="275" t="s">
        <v>13911</v>
      </c>
      <c r="G23" s="235" t="s">
        <v>13912</v>
      </c>
      <c r="H23" s="236" t="s">
        <v>8</v>
      </c>
      <c r="I23" s="240">
        <v>0.02</v>
      </c>
      <c r="J23" s="240">
        <v>0.02</v>
      </c>
      <c r="K23" s="240">
        <v>0.02</v>
      </c>
      <c r="L23" s="240">
        <v>0.02</v>
      </c>
      <c r="M23" s="240">
        <v>0.02</v>
      </c>
      <c r="N23" s="240">
        <v>0.02</v>
      </c>
      <c r="O23" s="240">
        <v>0.02</v>
      </c>
      <c r="P23" s="235"/>
      <c r="Q23" s="230"/>
      <c r="V23" s="231"/>
      <c r="W23" s="231"/>
      <c r="X23" s="231"/>
      <c r="Y23" s="231"/>
      <c r="Z23" s="231"/>
      <c r="AA23" s="231"/>
      <c r="AB23" s="231"/>
      <c r="AC23" s="231"/>
      <c r="AD23" s="231"/>
      <c r="AE23" s="231"/>
      <c r="AF23" s="231"/>
      <c r="AG23" s="231"/>
      <c r="DE23" s="232"/>
      <c r="DF23" s="232"/>
      <c r="DG23" s="232"/>
      <c r="DH23" s="232"/>
      <c r="DI23" s="232"/>
      <c r="DJ23" s="232"/>
      <c r="DK23" s="232"/>
      <c r="DL23" s="232"/>
      <c r="DM23" s="232"/>
      <c r="DN23" s="232"/>
      <c r="DQ23" s="233"/>
      <c r="DV23" s="231"/>
      <c r="DW23" s="231"/>
      <c r="DX23" s="231"/>
      <c r="DY23" s="231"/>
      <c r="DZ23" s="231"/>
      <c r="EA23" s="231"/>
      <c r="EB23" s="231"/>
      <c r="EC23" s="231"/>
      <c r="ED23" s="231"/>
      <c r="EE23" s="231"/>
      <c r="EF23" s="231"/>
      <c r="EG23" s="231"/>
    </row>
    <row r="24" spans="1:137" s="225" customFormat="1" ht="18" customHeight="1">
      <c r="A24" s="224"/>
      <c r="C24" s="234"/>
      <c r="D24" s="226"/>
      <c r="E24" s="226"/>
      <c r="F24" s="275" t="s">
        <v>13913</v>
      </c>
      <c r="G24" s="235" t="s">
        <v>13914</v>
      </c>
      <c r="H24" s="236" t="s">
        <v>8</v>
      </c>
      <c r="I24" s="240">
        <v>0.15</v>
      </c>
      <c r="J24" s="240">
        <v>0.15</v>
      </c>
      <c r="K24" s="240">
        <v>0.15</v>
      </c>
      <c r="L24" s="240">
        <v>0.15</v>
      </c>
      <c r="M24" s="240">
        <v>0.15</v>
      </c>
      <c r="N24" s="240">
        <v>0.15</v>
      </c>
      <c r="O24" s="240">
        <v>0.15</v>
      </c>
      <c r="P24" s="235"/>
      <c r="Q24" s="230"/>
      <c r="V24" s="231"/>
      <c r="W24" s="231"/>
      <c r="X24" s="231"/>
      <c r="Y24" s="231"/>
      <c r="Z24" s="231"/>
      <c r="AA24" s="231"/>
      <c r="AB24" s="231"/>
      <c r="AC24" s="231"/>
      <c r="AD24" s="231"/>
      <c r="AE24" s="231"/>
      <c r="AF24" s="231"/>
      <c r="AG24" s="231"/>
      <c r="DE24" s="232"/>
      <c r="DF24" s="232"/>
      <c r="DG24" s="232"/>
      <c r="DH24" s="232"/>
      <c r="DI24" s="232"/>
      <c r="DJ24" s="232"/>
      <c r="DK24" s="232"/>
      <c r="DL24" s="232"/>
      <c r="DM24" s="232"/>
      <c r="DN24" s="232"/>
      <c r="DQ24" s="233"/>
      <c r="DV24" s="231"/>
      <c r="DW24" s="231"/>
      <c r="DX24" s="231"/>
      <c r="DY24" s="231"/>
      <c r="DZ24" s="231"/>
      <c r="EA24" s="231"/>
      <c r="EB24" s="231"/>
      <c r="EC24" s="231"/>
      <c r="ED24" s="231"/>
      <c r="EE24" s="231"/>
      <c r="EF24" s="231"/>
      <c r="EG24" s="231"/>
    </row>
    <row r="25" spans="1:137" s="225" customFormat="1" ht="18" customHeight="1">
      <c r="A25" s="224"/>
      <c r="C25" s="234"/>
      <c r="D25" s="226"/>
      <c r="E25" s="226"/>
      <c r="F25" s="275" t="s">
        <v>13915</v>
      </c>
      <c r="G25" s="235" t="s">
        <v>13916</v>
      </c>
      <c r="H25" s="236" t="s">
        <v>8</v>
      </c>
      <c r="I25" s="240">
        <v>0.85</v>
      </c>
      <c r="J25" s="240">
        <v>0.85</v>
      </c>
      <c r="K25" s="240">
        <v>0.85</v>
      </c>
      <c r="L25" s="240">
        <v>0.85</v>
      </c>
      <c r="M25" s="240">
        <v>0.85</v>
      </c>
      <c r="N25" s="240">
        <v>0.85</v>
      </c>
      <c r="O25" s="240">
        <v>0.85</v>
      </c>
      <c r="P25" s="235"/>
      <c r="Q25" s="230"/>
      <c r="V25" s="231"/>
      <c r="W25" s="231"/>
      <c r="X25" s="231"/>
      <c r="Y25" s="231"/>
      <c r="Z25" s="231"/>
      <c r="AA25" s="231"/>
      <c r="AB25" s="231"/>
      <c r="AC25" s="231"/>
      <c r="AD25" s="231"/>
      <c r="AE25" s="231"/>
      <c r="AF25" s="231"/>
      <c r="AG25" s="231"/>
      <c r="DE25" s="232"/>
      <c r="DF25" s="232"/>
      <c r="DG25" s="232"/>
      <c r="DH25" s="232"/>
      <c r="DI25" s="232"/>
      <c r="DJ25" s="232"/>
      <c r="DK25" s="232"/>
      <c r="DL25" s="232"/>
      <c r="DM25" s="232"/>
      <c r="DN25" s="232"/>
      <c r="DQ25" s="233"/>
      <c r="DV25" s="231"/>
      <c r="DW25" s="231"/>
      <c r="DX25" s="231"/>
      <c r="DY25" s="231"/>
      <c r="DZ25" s="231"/>
      <c r="EA25" s="231"/>
      <c r="EB25" s="231"/>
      <c r="EC25" s="231"/>
      <c r="ED25" s="231"/>
      <c r="EE25" s="231"/>
      <c r="EF25" s="231"/>
      <c r="EG25" s="231"/>
    </row>
    <row r="26" spans="1:137" s="225" customFormat="1" ht="18" customHeight="1">
      <c r="A26" s="224"/>
      <c r="C26" s="234"/>
      <c r="D26" s="226"/>
      <c r="E26" s="226"/>
      <c r="F26" s="275" t="s">
        <v>13917</v>
      </c>
      <c r="G26" s="235" t="s">
        <v>19756</v>
      </c>
      <c r="H26" s="236" t="s">
        <v>8</v>
      </c>
      <c r="I26" s="240">
        <v>0</v>
      </c>
      <c r="J26" s="240">
        <v>0</v>
      </c>
      <c r="K26" s="240">
        <v>0</v>
      </c>
      <c r="L26" s="240">
        <v>0</v>
      </c>
      <c r="M26" s="240">
        <v>0</v>
      </c>
      <c r="N26" s="240">
        <v>0</v>
      </c>
      <c r="O26" s="240">
        <v>0</v>
      </c>
      <c r="P26" s="235"/>
      <c r="Q26" s="230"/>
      <c r="V26" s="231"/>
      <c r="W26" s="231"/>
      <c r="X26" s="231"/>
      <c r="Y26" s="231"/>
      <c r="Z26" s="231"/>
      <c r="AA26" s="231"/>
      <c r="AB26" s="231"/>
      <c r="AC26" s="231"/>
      <c r="AD26" s="231"/>
      <c r="AE26" s="231"/>
      <c r="AF26" s="231"/>
      <c r="AG26" s="231"/>
      <c r="DE26" s="232"/>
      <c r="DF26" s="232"/>
      <c r="DG26" s="232"/>
      <c r="DH26" s="232"/>
      <c r="DI26" s="232"/>
      <c r="DJ26" s="232"/>
      <c r="DK26" s="232"/>
      <c r="DL26" s="232"/>
      <c r="DM26" s="232"/>
      <c r="DN26" s="232"/>
      <c r="DQ26" s="233"/>
      <c r="DV26" s="231"/>
      <c r="DW26" s="231"/>
      <c r="DX26" s="231"/>
      <c r="DY26" s="231"/>
      <c r="DZ26" s="231"/>
      <c r="EA26" s="231"/>
      <c r="EB26" s="231"/>
      <c r="EC26" s="231"/>
      <c r="ED26" s="231"/>
      <c r="EE26" s="231"/>
      <c r="EF26" s="231"/>
      <c r="EG26" s="231"/>
    </row>
    <row r="27" spans="1:137" s="225" customFormat="1" ht="18" customHeight="1">
      <c r="A27" s="224"/>
      <c r="C27" s="234"/>
      <c r="D27" s="226"/>
      <c r="E27" s="226"/>
      <c r="F27" s="275" t="s">
        <v>13919</v>
      </c>
      <c r="G27" s="235" t="s">
        <v>13918</v>
      </c>
      <c r="H27" s="236" t="s">
        <v>8</v>
      </c>
      <c r="I27" s="240">
        <v>1</v>
      </c>
      <c r="J27" s="240">
        <v>1</v>
      </c>
      <c r="K27" s="240">
        <v>1</v>
      </c>
      <c r="L27" s="240">
        <v>1</v>
      </c>
      <c r="M27" s="240">
        <v>1</v>
      </c>
      <c r="N27" s="240">
        <v>1</v>
      </c>
      <c r="O27" s="240">
        <v>1</v>
      </c>
      <c r="P27" s="235"/>
      <c r="Q27" s="230"/>
      <c r="V27" s="231"/>
      <c r="W27" s="231"/>
      <c r="X27" s="231"/>
      <c r="Y27" s="231"/>
      <c r="Z27" s="231"/>
      <c r="AA27" s="231"/>
      <c r="AB27" s="231"/>
      <c r="AC27" s="231"/>
      <c r="AD27" s="231"/>
      <c r="AE27" s="231"/>
      <c r="AF27" s="231"/>
      <c r="AG27" s="231"/>
      <c r="DE27" s="232"/>
      <c r="DF27" s="232"/>
      <c r="DG27" s="232"/>
      <c r="DH27" s="232"/>
      <c r="DI27" s="232"/>
      <c r="DJ27" s="232"/>
      <c r="DK27" s="232"/>
      <c r="DL27" s="232"/>
      <c r="DM27" s="232"/>
      <c r="DN27" s="232"/>
      <c r="DQ27" s="233"/>
      <c r="DV27" s="231"/>
      <c r="DW27" s="231"/>
      <c r="DX27" s="231"/>
      <c r="DY27" s="231"/>
      <c r="DZ27" s="231"/>
      <c r="EA27" s="231"/>
      <c r="EB27" s="231"/>
      <c r="EC27" s="231"/>
      <c r="ED27" s="231"/>
      <c r="EE27" s="231"/>
      <c r="EF27" s="231"/>
      <c r="EG27" s="231"/>
    </row>
    <row r="28" spans="1:137" s="225" customFormat="1" ht="18" customHeight="1">
      <c r="A28" s="224"/>
      <c r="C28" s="234"/>
      <c r="D28" s="226"/>
      <c r="E28" s="226"/>
      <c r="F28" s="275" t="s">
        <v>13921</v>
      </c>
      <c r="G28" s="235" t="s">
        <v>13920</v>
      </c>
      <c r="H28" s="236" t="s">
        <v>18</v>
      </c>
      <c r="I28" s="225">
        <v>0.06</v>
      </c>
      <c r="J28" s="225">
        <v>0.06</v>
      </c>
      <c r="K28" s="225">
        <v>0.06</v>
      </c>
      <c r="L28" s="225">
        <v>0.06</v>
      </c>
      <c r="M28" s="225">
        <v>0.06</v>
      </c>
      <c r="N28" s="225">
        <v>0.06</v>
      </c>
      <c r="O28" s="225">
        <v>7.0000000000000007E-2</v>
      </c>
      <c r="P28" s="235"/>
      <c r="Q28" s="230"/>
      <c r="V28" s="231"/>
      <c r="W28" s="231"/>
      <c r="X28" s="231"/>
      <c r="Y28" s="231"/>
      <c r="Z28" s="231"/>
      <c r="AA28" s="231"/>
      <c r="AB28" s="231"/>
      <c r="AC28" s="231"/>
      <c r="AD28" s="231"/>
      <c r="AE28" s="231"/>
      <c r="AF28" s="231"/>
      <c r="AG28" s="231"/>
      <c r="DE28" s="232"/>
      <c r="DF28" s="232"/>
      <c r="DG28" s="232"/>
      <c r="DH28" s="232"/>
      <c r="DI28" s="232"/>
      <c r="DJ28" s="232"/>
      <c r="DK28" s="232"/>
      <c r="DL28" s="232"/>
      <c r="DM28" s="232"/>
      <c r="DN28" s="232"/>
      <c r="DQ28" s="233"/>
      <c r="DV28" s="231"/>
      <c r="DW28" s="231"/>
      <c r="DX28" s="231"/>
      <c r="DY28" s="231"/>
      <c r="DZ28" s="231"/>
      <c r="EA28" s="231"/>
      <c r="EB28" s="231"/>
      <c r="EC28" s="231"/>
      <c r="ED28" s="231"/>
      <c r="EE28" s="231"/>
      <c r="EF28" s="231"/>
      <c r="EG28" s="231"/>
    </row>
    <row r="29" spans="1:137" s="225" customFormat="1" ht="18" customHeight="1">
      <c r="A29" s="224"/>
      <c r="C29" s="234"/>
      <c r="D29" s="226"/>
      <c r="E29" s="226"/>
      <c r="F29" s="275" t="s">
        <v>13923</v>
      </c>
      <c r="G29" s="235" t="s">
        <v>13922</v>
      </c>
      <c r="H29" s="236" t="s">
        <v>18</v>
      </c>
      <c r="I29" s="225">
        <v>1.3</v>
      </c>
      <c r="J29" s="225">
        <v>1.3</v>
      </c>
      <c r="K29" s="225">
        <v>1.3</v>
      </c>
      <c r="L29" s="225">
        <v>1.3</v>
      </c>
      <c r="M29" s="225">
        <v>1.3</v>
      </c>
      <c r="N29" s="225">
        <v>1.3</v>
      </c>
      <c r="O29" s="505">
        <v>1.3</v>
      </c>
      <c r="P29" s="235"/>
      <c r="Q29" s="230"/>
      <c r="V29" s="231"/>
      <c r="W29" s="231"/>
      <c r="X29" s="231"/>
      <c r="Y29" s="231"/>
      <c r="Z29" s="231"/>
      <c r="AA29" s="231"/>
      <c r="AB29" s="231"/>
      <c r="AC29" s="231"/>
      <c r="AD29" s="231"/>
      <c r="AE29" s="231"/>
      <c r="AF29" s="231"/>
      <c r="AG29" s="231"/>
      <c r="DE29" s="232"/>
      <c r="DF29" s="232"/>
      <c r="DG29" s="232"/>
      <c r="DH29" s="232"/>
      <c r="DI29" s="232"/>
      <c r="DJ29" s="232"/>
      <c r="DK29" s="232"/>
      <c r="DL29" s="232"/>
      <c r="DM29" s="232"/>
      <c r="DN29" s="232"/>
      <c r="DQ29" s="233"/>
      <c r="DV29" s="231"/>
      <c r="DW29" s="231"/>
      <c r="DX29" s="231"/>
      <c r="DY29" s="231"/>
      <c r="DZ29" s="231"/>
      <c r="EA29" s="231"/>
      <c r="EB29" s="231"/>
      <c r="EC29" s="231"/>
      <c r="ED29" s="231"/>
      <c r="EE29" s="231"/>
      <c r="EF29" s="231"/>
      <c r="EG29" s="231"/>
    </row>
    <row r="30" spans="1:137" s="225" customFormat="1" ht="18" customHeight="1">
      <c r="A30" s="224"/>
      <c r="C30" s="234"/>
      <c r="D30" s="226"/>
      <c r="E30" s="226"/>
      <c r="F30" s="275" t="s">
        <v>13925</v>
      </c>
      <c r="G30" s="235" t="s">
        <v>13924</v>
      </c>
      <c r="H30" s="236" t="s">
        <v>18</v>
      </c>
      <c r="I30" s="225">
        <v>0</v>
      </c>
      <c r="J30" s="225">
        <v>0</v>
      </c>
      <c r="K30" s="225">
        <v>0</v>
      </c>
      <c r="L30" s="225">
        <v>0</v>
      </c>
      <c r="M30" s="225">
        <v>0</v>
      </c>
      <c r="N30" s="225">
        <v>0</v>
      </c>
      <c r="O30" s="225">
        <v>0</v>
      </c>
      <c r="P30" s="235"/>
      <c r="Q30" s="230"/>
      <c r="V30" s="231"/>
      <c r="W30" s="231"/>
      <c r="X30" s="231"/>
      <c r="Y30" s="231"/>
      <c r="Z30" s="231"/>
      <c r="AA30" s="231"/>
      <c r="AB30" s="231"/>
      <c r="AC30" s="231"/>
      <c r="AD30" s="231"/>
      <c r="AE30" s="231"/>
      <c r="AF30" s="231"/>
      <c r="AG30" s="231"/>
      <c r="DE30" s="232"/>
      <c r="DF30" s="232"/>
      <c r="DG30" s="232"/>
      <c r="DH30" s="232"/>
      <c r="DI30" s="232"/>
      <c r="DJ30" s="232"/>
      <c r="DK30" s="232"/>
      <c r="DL30" s="232"/>
      <c r="DM30" s="232"/>
      <c r="DN30" s="232"/>
      <c r="DQ30" s="233"/>
      <c r="DV30" s="231"/>
      <c r="DW30" s="231"/>
      <c r="DX30" s="231"/>
      <c r="DY30" s="231"/>
      <c r="DZ30" s="231"/>
      <c r="EA30" s="231"/>
      <c r="EB30" s="231"/>
      <c r="EC30" s="231"/>
      <c r="ED30" s="231"/>
      <c r="EE30" s="231"/>
      <c r="EF30" s="231"/>
      <c r="EG30" s="231"/>
    </row>
    <row r="31" spans="1:137" s="225" customFormat="1" ht="18" customHeight="1">
      <c r="A31" s="224"/>
      <c r="C31" s="234"/>
      <c r="D31" s="226"/>
      <c r="E31" s="226"/>
      <c r="F31" s="275" t="s">
        <v>13928</v>
      </c>
      <c r="G31" s="235" t="s">
        <v>13926</v>
      </c>
      <c r="H31" s="236" t="s">
        <v>8</v>
      </c>
      <c r="I31" s="240">
        <v>0</v>
      </c>
      <c r="J31" s="240">
        <v>0</v>
      </c>
      <c r="K31" s="240">
        <v>0</v>
      </c>
      <c r="L31" s="240">
        <v>0</v>
      </c>
      <c r="M31" s="240">
        <v>0</v>
      </c>
      <c r="N31" s="240">
        <v>0</v>
      </c>
      <c r="O31" s="240">
        <v>0</v>
      </c>
      <c r="P31" s="276"/>
      <c r="Q31" s="230" t="s">
        <v>13927</v>
      </c>
      <c r="V31" s="231"/>
      <c r="W31" s="231"/>
      <c r="X31" s="231"/>
      <c r="Y31" s="231"/>
      <c r="Z31" s="231"/>
      <c r="AA31" s="231"/>
      <c r="AB31" s="231"/>
      <c r="AC31" s="231"/>
      <c r="AD31" s="231"/>
      <c r="AE31" s="231"/>
      <c r="AF31" s="231"/>
      <c r="AG31" s="231"/>
      <c r="DE31" s="232"/>
      <c r="DF31" s="232"/>
      <c r="DG31" s="232"/>
      <c r="DH31" s="232"/>
      <c r="DI31" s="232"/>
      <c r="DJ31" s="232"/>
      <c r="DK31" s="232"/>
      <c r="DL31" s="232"/>
      <c r="DM31" s="232"/>
      <c r="DN31" s="232"/>
      <c r="DQ31" s="233"/>
      <c r="DV31" s="231"/>
      <c r="DW31" s="231"/>
      <c r="DX31" s="231"/>
      <c r="DY31" s="231"/>
      <c r="DZ31" s="231"/>
      <c r="EA31" s="231"/>
      <c r="EB31" s="231"/>
      <c r="EC31" s="231"/>
      <c r="ED31" s="231"/>
      <c r="EE31" s="231"/>
      <c r="EF31" s="231"/>
      <c r="EG31" s="231"/>
    </row>
    <row r="32" spans="1:137" s="225" customFormat="1" ht="18" customHeight="1">
      <c r="A32" s="224"/>
      <c r="C32" s="234"/>
      <c r="D32" s="226"/>
      <c r="E32" s="226"/>
      <c r="F32" s="275" t="s">
        <v>13930</v>
      </c>
      <c r="G32" s="235" t="s">
        <v>13929</v>
      </c>
      <c r="H32" s="236" t="s">
        <v>8</v>
      </c>
      <c r="I32" s="240">
        <v>0</v>
      </c>
      <c r="J32" s="240">
        <v>0</v>
      </c>
      <c r="K32" s="240">
        <v>0</v>
      </c>
      <c r="L32" s="240">
        <v>0</v>
      </c>
      <c r="M32" s="240">
        <v>0</v>
      </c>
      <c r="N32" s="240">
        <v>0</v>
      </c>
      <c r="O32" s="240">
        <v>0</v>
      </c>
      <c r="P32" s="235"/>
      <c r="Q32" s="230"/>
      <c r="V32" s="231"/>
      <c r="W32" s="231"/>
      <c r="X32" s="231"/>
      <c r="Y32" s="231"/>
      <c r="Z32" s="231"/>
      <c r="AA32" s="231"/>
      <c r="AB32" s="231"/>
      <c r="AC32" s="231"/>
      <c r="AD32" s="231"/>
      <c r="AE32" s="231"/>
      <c r="AF32" s="231"/>
      <c r="AG32" s="231"/>
      <c r="DE32" s="232"/>
      <c r="DF32" s="232"/>
      <c r="DG32" s="232"/>
      <c r="DH32" s="232"/>
      <c r="DI32" s="232"/>
      <c r="DJ32" s="232"/>
      <c r="DK32" s="232"/>
      <c r="DL32" s="232"/>
      <c r="DM32" s="232"/>
      <c r="DN32" s="232"/>
      <c r="DQ32" s="233"/>
      <c r="DV32" s="231"/>
      <c r="DW32" s="231"/>
      <c r="DX32" s="231"/>
      <c r="DY32" s="231"/>
      <c r="DZ32" s="231"/>
      <c r="EA32" s="231"/>
      <c r="EB32" s="231"/>
      <c r="EC32" s="231"/>
      <c r="ED32" s="231"/>
      <c r="EE32" s="231"/>
      <c r="EF32" s="231"/>
      <c r="EG32" s="231"/>
    </row>
    <row r="33" spans="1:137" s="225" customFormat="1" ht="18" customHeight="1">
      <c r="A33" s="224"/>
      <c r="C33" s="234"/>
      <c r="D33" s="226"/>
      <c r="E33" s="226"/>
      <c r="F33" s="275" t="s">
        <v>19757</v>
      </c>
      <c r="G33" s="235" t="s">
        <v>13931</v>
      </c>
      <c r="H33" s="236" t="s">
        <v>8</v>
      </c>
      <c r="I33" s="240">
        <v>0.01</v>
      </c>
      <c r="J33" s="240">
        <v>0.01</v>
      </c>
      <c r="K33" s="240">
        <v>0.01</v>
      </c>
      <c r="L33" s="240">
        <v>0.01</v>
      </c>
      <c r="M33" s="240">
        <v>0.01</v>
      </c>
      <c r="N33" s="240">
        <v>0.01</v>
      </c>
      <c r="O33" s="240">
        <v>0.01</v>
      </c>
      <c r="P33" s="235"/>
      <c r="Q33" s="230"/>
      <c r="V33" s="231"/>
      <c r="W33" s="231"/>
      <c r="X33" s="231"/>
      <c r="Y33" s="231"/>
      <c r="Z33" s="231"/>
      <c r="AA33" s="231"/>
      <c r="AB33" s="231"/>
      <c r="AC33" s="231"/>
      <c r="AD33" s="231"/>
      <c r="AE33" s="231"/>
      <c r="AF33" s="231"/>
      <c r="AG33" s="231"/>
      <c r="DE33" s="232"/>
      <c r="DF33" s="232"/>
      <c r="DG33" s="232"/>
      <c r="DH33" s="232"/>
      <c r="DI33" s="232"/>
      <c r="DJ33" s="232"/>
      <c r="DK33" s="232"/>
      <c r="DL33" s="232"/>
      <c r="DM33" s="232"/>
      <c r="DN33" s="232"/>
      <c r="DQ33" s="233"/>
      <c r="DV33" s="231"/>
      <c r="DW33" s="231"/>
      <c r="DX33" s="231"/>
      <c r="DY33" s="231"/>
      <c r="DZ33" s="231"/>
      <c r="EA33" s="231"/>
      <c r="EB33" s="231"/>
      <c r="EC33" s="231"/>
      <c r="ED33" s="231"/>
      <c r="EE33" s="231"/>
      <c r="EF33" s="231"/>
      <c r="EG33" s="231"/>
    </row>
    <row r="34" spans="1:137" ht="12.75">
      <c r="F34" s="241" t="s">
        <v>11721</v>
      </c>
      <c r="G34" s="242"/>
      <c r="H34" s="242"/>
      <c r="I34" s="242"/>
      <c r="J34" s="242"/>
      <c r="K34" s="242"/>
      <c r="L34" s="242"/>
      <c r="M34" s="242"/>
      <c r="N34" s="242"/>
      <c r="O34" s="242"/>
      <c r="P34" s="243"/>
      <c r="R34" s="211"/>
      <c r="S34" s="211"/>
      <c r="T34" s="211"/>
      <c r="U34" s="211"/>
      <c r="V34" s="211"/>
      <c r="W34" s="211"/>
      <c r="X34" s="211"/>
      <c r="Y34" s="211"/>
      <c r="Z34" s="211"/>
      <c r="AA34" s="211"/>
      <c r="AB34" s="211"/>
      <c r="AC34" s="211"/>
      <c r="AD34" s="211"/>
      <c r="AE34" s="211"/>
      <c r="AF34" s="211"/>
      <c r="AG34" s="211"/>
      <c r="DE34" s="211"/>
      <c r="DF34" s="211"/>
      <c r="DG34" s="211"/>
      <c r="DH34" s="211"/>
      <c r="DI34" s="211"/>
      <c r="DJ34" s="211"/>
      <c r="DK34" s="211"/>
      <c r="DL34" s="211"/>
      <c r="DM34" s="211"/>
      <c r="DN34" s="211"/>
      <c r="DQ34" s="211"/>
      <c r="DV34" s="211"/>
      <c r="DW34" s="211"/>
      <c r="DX34" s="211"/>
      <c r="DY34" s="211"/>
      <c r="DZ34" s="211"/>
      <c r="EA34" s="211"/>
      <c r="EB34" s="211"/>
      <c r="EC34" s="211"/>
      <c r="ED34" s="211"/>
      <c r="EE34" s="211"/>
      <c r="EF34" s="211"/>
      <c r="EG34" s="211"/>
    </row>
    <row r="35" spans="1:137" ht="12.75">
      <c r="C35" s="234"/>
      <c r="F35" s="277">
        <v>1</v>
      </c>
      <c r="G35" s="244" t="s">
        <v>19758</v>
      </c>
      <c r="H35" s="245" t="s">
        <v>71</v>
      </c>
      <c r="I35" s="506"/>
      <c r="J35" s="506"/>
      <c r="K35" s="506"/>
      <c r="L35" s="506"/>
      <c r="M35" s="506"/>
      <c r="N35" s="506"/>
      <c r="O35" s="278"/>
      <c r="P35" s="1686" t="s">
        <v>14067</v>
      </c>
      <c r="Q35" s="213">
        <v>100</v>
      </c>
      <c r="R35" s="211"/>
      <c r="S35" s="211"/>
      <c r="T35" s="211"/>
      <c r="U35" s="211"/>
      <c r="V35" s="211"/>
      <c r="W35" s="211"/>
      <c r="X35" s="211"/>
      <c r="Y35" s="211"/>
      <c r="Z35" s="211"/>
      <c r="AA35" s="211"/>
      <c r="AB35" s="211"/>
      <c r="AC35" s="211"/>
      <c r="AD35" s="211"/>
      <c r="AE35" s="211"/>
      <c r="AF35" s="211"/>
      <c r="AG35" s="211"/>
      <c r="DE35" s="211"/>
      <c r="DF35" s="211"/>
      <c r="DG35" s="211"/>
      <c r="DH35" s="211"/>
      <c r="DI35" s="211"/>
      <c r="DJ35" s="211"/>
      <c r="DK35" s="211"/>
      <c r="DL35" s="211"/>
      <c r="DM35" s="211"/>
      <c r="DN35" s="211"/>
      <c r="DQ35" s="211"/>
      <c r="DV35" s="211"/>
      <c r="DW35" s="211"/>
      <c r="DX35" s="211"/>
      <c r="DY35" s="211"/>
      <c r="DZ35" s="211"/>
      <c r="EA35" s="211"/>
      <c r="EB35" s="211"/>
      <c r="EC35" s="211"/>
      <c r="ED35" s="211"/>
      <c r="EE35" s="211"/>
      <c r="EF35" s="211"/>
      <c r="EG35" s="211"/>
    </row>
    <row r="36" spans="1:137" ht="12.75">
      <c r="C36" s="234"/>
      <c r="F36" s="277">
        <f>F35+1</f>
        <v>2</v>
      </c>
      <c r="G36" s="244" t="s">
        <v>19759</v>
      </c>
      <c r="H36" s="245" t="s">
        <v>71</v>
      </c>
      <c r="I36" s="506"/>
      <c r="J36" s="506"/>
      <c r="K36" s="506"/>
      <c r="L36" s="506"/>
      <c r="M36" s="506"/>
      <c r="N36" s="506"/>
      <c r="O36" s="278"/>
      <c r="P36" s="1687"/>
      <c r="Q36" s="213">
        <v>150</v>
      </c>
      <c r="R36" s="211"/>
      <c r="S36" s="211"/>
      <c r="T36" s="211"/>
      <c r="U36" s="211"/>
      <c r="V36" s="211"/>
      <c r="W36" s="211"/>
      <c r="X36" s="211"/>
      <c r="Y36" s="211"/>
      <c r="Z36" s="211"/>
      <c r="AA36" s="211"/>
      <c r="AB36" s="211"/>
      <c r="AC36" s="211"/>
      <c r="AD36" s="211"/>
      <c r="AE36" s="211"/>
      <c r="AF36" s="211"/>
      <c r="AG36" s="211"/>
      <c r="DE36" s="211"/>
      <c r="DF36" s="211"/>
      <c r="DG36" s="211"/>
      <c r="DH36" s="211"/>
      <c r="DI36" s="211"/>
      <c r="DJ36" s="211"/>
      <c r="DK36" s="211"/>
      <c r="DL36" s="211"/>
      <c r="DM36" s="211"/>
      <c r="DN36" s="211"/>
      <c r="DQ36" s="211"/>
      <c r="DV36" s="211"/>
      <c r="DW36" s="211"/>
      <c r="DX36" s="211"/>
      <c r="DY36" s="211"/>
      <c r="DZ36" s="211"/>
      <c r="EA36" s="211"/>
      <c r="EB36" s="211"/>
      <c r="EC36" s="211"/>
      <c r="ED36" s="211"/>
      <c r="EE36" s="211"/>
      <c r="EF36" s="211"/>
      <c r="EG36" s="211"/>
    </row>
    <row r="37" spans="1:137" ht="12.75">
      <c r="C37" s="234"/>
      <c r="F37" s="277">
        <f t="shared" ref="F37:F48" si="0">F36+1</f>
        <v>3</v>
      </c>
      <c r="G37" s="244" t="s">
        <v>19760</v>
      </c>
      <c r="H37" s="245" t="s">
        <v>71</v>
      </c>
      <c r="I37" s="506"/>
      <c r="J37" s="506"/>
      <c r="K37" s="506"/>
      <c r="L37" s="506"/>
      <c r="M37" s="506"/>
      <c r="N37" s="506"/>
      <c r="O37" s="278"/>
      <c r="P37" s="1687"/>
      <c r="Q37" s="213">
        <v>200</v>
      </c>
      <c r="R37" s="211"/>
      <c r="S37" s="211"/>
      <c r="T37" s="211"/>
      <c r="U37" s="211"/>
      <c r="V37" s="211"/>
      <c r="W37" s="211"/>
      <c r="X37" s="211"/>
      <c r="Y37" s="211"/>
      <c r="Z37" s="211"/>
      <c r="AA37" s="211"/>
      <c r="AB37" s="211"/>
      <c r="AC37" s="211"/>
      <c r="AD37" s="211"/>
      <c r="AE37" s="211"/>
      <c r="AF37" s="211"/>
      <c r="AG37" s="211"/>
      <c r="DE37" s="211"/>
      <c r="DF37" s="211"/>
      <c r="DG37" s="211"/>
      <c r="DH37" s="211"/>
      <c r="DI37" s="211"/>
      <c r="DJ37" s="211"/>
      <c r="DK37" s="211"/>
      <c r="DL37" s="211"/>
      <c r="DM37" s="211"/>
      <c r="DN37" s="211"/>
      <c r="DQ37" s="211"/>
      <c r="DV37" s="211"/>
      <c r="DW37" s="211"/>
      <c r="DX37" s="211"/>
      <c r="DY37" s="211"/>
      <c r="DZ37" s="211"/>
      <c r="EA37" s="211"/>
      <c r="EB37" s="211"/>
      <c r="EC37" s="211"/>
      <c r="ED37" s="211"/>
      <c r="EE37" s="211"/>
      <c r="EF37" s="211"/>
      <c r="EG37" s="211"/>
    </row>
    <row r="38" spans="1:137" ht="12.75">
      <c r="C38" s="234"/>
      <c r="F38" s="277">
        <f t="shared" si="0"/>
        <v>4</v>
      </c>
      <c r="G38" s="244" t="s">
        <v>19761</v>
      </c>
      <c r="H38" s="245" t="s">
        <v>71</v>
      </c>
      <c r="I38" s="506"/>
      <c r="J38" s="506"/>
      <c r="K38" s="506"/>
      <c r="L38" s="506"/>
      <c r="M38" s="506"/>
      <c r="N38" s="506"/>
      <c r="O38" s="278"/>
      <c r="P38" s="1687"/>
      <c r="Q38" s="213">
        <v>250</v>
      </c>
      <c r="R38" s="211"/>
      <c r="S38" s="211"/>
      <c r="T38" s="211"/>
      <c r="U38" s="211"/>
      <c r="V38" s="211"/>
      <c r="W38" s="211"/>
      <c r="X38" s="211"/>
      <c r="Y38" s="211"/>
      <c r="Z38" s="211"/>
      <c r="AA38" s="211"/>
      <c r="AB38" s="211"/>
      <c r="AC38" s="211"/>
      <c r="AD38" s="211"/>
      <c r="AE38" s="211"/>
      <c r="AF38" s="211"/>
      <c r="AG38" s="211"/>
      <c r="DE38" s="211"/>
      <c r="DF38" s="211"/>
      <c r="DG38" s="211"/>
      <c r="DH38" s="211"/>
      <c r="DI38" s="211"/>
      <c r="DJ38" s="211"/>
      <c r="DK38" s="211"/>
      <c r="DL38" s="211"/>
      <c r="DM38" s="211"/>
      <c r="DN38" s="211"/>
      <c r="DQ38" s="211"/>
      <c r="DV38" s="211"/>
      <c r="DW38" s="211"/>
      <c r="DX38" s="211"/>
      <c r="DY38" s="211"/>
      <c r="DZ38" s="211"/>
      <c r="EA38" s="211"/>
      <c r="EB38" s="211"/>
      <c r="EC38" s="211"/>
      <c r="ED38" s="211"/>
      <c r="EE38" s="211"/>
      <c r="EF38" s="211"/>
      <c r="EG38" s="211"/>
    </row>
    <row r="39" spans="1:137" ht="12.75">
      <c r="C39" s="234"/>
      <c r="F39" s="277">
        <f t="shared" si="0"/>
        <v>5</v>
      </c>
      <c r="G39" s="244" t="s">
        <v>19762</v>
      </c>
      <c r="H39" s="245" t="s">
        <v>71</v>
      </c>
      <c r="I39" s="506"/>
      <c r="J39" s="506"/>
      <c r="K39" s="506"/>
      <c r="L39" s="506"/>
      <c r="M39" s="506"/>
      <c r="N39" s="506"/>
      <c r="O39" s="278"/>
      <c r="P39" s="1687"/>
      <c r="R39" s="211"/>
      <c r="S39" s="211"/>
      <c r="T39" s="211"/>
      <c r="U39" s="211"/>
      <c r="V39" s="211"/>
      <c r="W39" s="211"/>
      <c r="X39" s="211"/>
      <c r="Y39" s="211"/>
      <c r="Z39" s="211"/>
      <c r="AA39" s="211"/>
      <c r="AB39" s="211"/>
      <c r="AC39" s="211"/>
      <c r="AD39" s="211"/>
      <c r="AE39" s="211"/>
      <c r="AF39" s="211"/>
      <c r="AG39" s="211"/>
      <c r="DE39" s="211"/>
      <c r="DF39" s="211"/>
      <c r="DG39" s="211"/>
      <c r="DH39" s="211"/>
      <c r="DI39" s="211"/>
      <c r="DJ39" s="211"/>
      <c r="DK39" s="211"/>
      <c r="DL39" s="211"/>
      <c r="DM39" s="211"/>
      <c r="DN39" s="211"/>
      <c r="DQ39" s="211"/>
      <c r="DV39" s="211"/>
      <c r="DW39" s="211"/>
      <c r="DX39" s="211"/>
      <c r="DY39" s="211"/>
      <c r="DZ39" s="211"/>
      <c r="EA39" s="211"/>
      <c r="EB39" s="211"/>
      <c r="EC39" s="211"/>
      <c r="ED39" s="211"/>
      <c r="EE39" s="211"/>
      <c r="EF39" s="211"/>
      <c r="EG39" s="211"/>
    </row>
    <row r="40" spans="1:137" ht="12.75">
      <c r="C40" s="234"/>
      <c r="F40" s="277">
        <f t="shared" si="0"/>
        <v>6</v>
      </c>
      <c r="G40" s="244" t="s">
        <v>14066</v>
      </c>
      <c r="H40" s="245" t="s">
        <v>71</v>
      </c>
      <c r="I40" s="506"/>
      <c r="J40" s="506"/>
      <c r="K40" s="506"/>
      <c r="L40" s="506"/>
      <c r="M40" s="506"/>
      <c r="N40" s="506"/>
      <c r="O40" s="278"/>
      <c r="P40" s="1687"/>
      <c r="R40" s="211"/>
      <c r="S40" s="211"/>
      <c r="T40" s="211"/>
      <c r="U40" s="211"/>
      <c r="V40" s="211"/>
      <c r="W40" s="211"/>
      <c r="X40" s="211"/>
      <c r="Y40" s="211"/>
      <c r="Z40" s="211"/>
      <c r="AA40" s="211"/>
      <c r="AB40" s="211"/>
      <c r="AC40" s="211"/>
      <c r="AD40" s="211"/>
      <c r="AE40" s="211"/>
      <c r="AF40" s="211"/>
      <c r="AG40" s="211"/>
      <c r="DE40" s="211"/>
      <c r="DF40" s="211"/>
      <c r="DG40" s="211"/>
      <c r="DH40" s="211"/>
      <c r="DI40" s="211"/>
      <c r="DJ40" s="211"/>
      <c r="DK40" s="211"/>
      <c r="DL40" s="211"/>
      <c r="DM40" s="211"/>
      <c r="DN40" s="211"/>
      <c r="DQ40" s="211"/>
      <c r="DV40" s="211"/>
      <c r="DW40" s="211"/>
      <c r="DX40" s="211"/>
      <c r="DY40" s="211"/>
      <c r="DZ40" s="211"/>
      <c r="EA40" s="211"/>
      <c r="EB40" s="211"/>
      <c r="EC40" s="211"/>
      <c r="ED40" s="211"/>
      <c r="EE40" s="211"/>
      <c r="EF40" s="211"/>
      <c r="EG40" s="211"/>
    </row>
    <row r="41" spans="1:137" ht="12.75">
      <c r="C41" s="234"/>
      <c r="F41" s="277">
        <f t="shared" si="0"/>
        <v>7</v>
      </c>
      <c r="G41" s="244" t="s">
        <v>19763</v>
      </c>
      <c r="H41" s="245" t="s">
        <v>71</v>
      </c>
      <c r="I41" s="506"/>
      <c r="J41" s="506"/>
      <c r="K41" s="506"/>
      <c r="L41" s="506"/>
      <c r="M41" s="506"/>
      <c r="N41" s="506"/>
      <c r="O41" s="278"/>
      <c r="P41" s="1687"/>
      <c r="R41" s="211"/>
      <c r="S41" s="211"/>
      <c r="T41" s="211"/>
      <c r="U41" s="211"/>
      <c r="V41" s="211"/>
      <c r="W41" s="211"/>
      <c r="X41" s="211"/>
      <c r="Y41" s="211"/>
      <c r="Z41" s="211"/>
      <c r="AA41" s="211"/>
      <c r="AB41" s="211"/>
      <c r="AC41" s="211"/>
      <c r="AD41" s="211"/>
      <c r="AE41" s="211"/>
      <c r="AF41" s="211"/>
      <c r="AG41" s="211"/>
      <c r="DE41" s="211"/>
      <c r="DF41" s="211"/>
      <c r="DG41" s="211"/>
      <c r="DH41" s="211"/>
      <c r="DI41" s="211"/>
      <c r="DJ41" s="211"/>
      <c r="DK41" s="211"/>
      <c r="DL41" s="211"/>
      <c r="DM41" s="211"/>
      <c r="DN41" s="211"/>
      <c r="DQ41" s="211"/>
      <c r="DV41" s="211"/>
      <c r="DW41" s="211"/>
      <c r="DX41" s="211"/>
      <c r="DY41" s="211"/>
      <c r="DZ41" s="211"/>
      <c r="EA41" s="211"/>
      <c r="EB41" s="211"/>
      <c r="EC41" s="211"/>
      <c r="ED41" s="211"/>
      <c r="EE41" s="211"/>
      <c r="EF41" s="211"/>
      <c r="EG41" s="211"/>
    </row>
    <row r="42" spans="1:137" ht="12.75">
      <c r="C42" s="234"/>
      <c r="F42" s="277">
        <f t="shared" si="0"/>
        <v>8</v>
      </c>
      <c r="G42" s="244" t="s">
        <v>13932</v>
      </c>
      <c r="H42" s="245" t="s">
        <v>71</v>
      </c>
      <c r="I42" s="506"/>
      <c r="J42" s="506"/>
      <c r="K42" s="506"/>
      <c r="L42" s="506"/>
      <c r="M42" s="506"/>
      <c r="N42" s="506"/>
      <c r="O42" s="278"/>
      <c r="P42" s="1687"/>
      <c r="R42" s="211"/>
      <c r="S42" s="211"/>
      <c r="T42" s="211"/>
      <c r="U42" s="211"/>
      <c r="V42" s="211"/>
      <c r="W42" s="211"/>
      <c r="X42" s="211"/>
      <c r="Y42" s="211"/>
      <c r="Z42" s="211"/>
      <c r="AA42" s="211"/>
      <c r="AB42" s="211"/>
      <c r="AC42" s="211"/>
      <c r="AD42" s="211"/>
      <c r="AE42" s="211"/>
      <c r="AF42" s="211"/>
      <c r="AG42" s="211"/>
      <c r="DE42" s="211"/>
      <c r="DF42" s="211"/>
      <c r="DG42" s="211"/>
      <c r="DH42" s="211"/>
      <c r="DI42" s="211"/>
      <c r="DJ42" s="211"/>
      <c r="DK42" s="211"/>
      <c r="DL42" s="211"/>
      <c r="DM42" s="211"/>
      <c r="DN42" s="211"/>
      <c r="DQ42" s="211"/>
      <c r="DV42" s="211"/>
      <c r="DW42" s="211"/>
      <c r="DX42" s="211"/>
      <c r="DY42" s="211"/>
      <c r="DZ42" s="211"/>
      <c r="EA42" s="211"/>
      <c r="EB42" s="211"/>
      <c r="EC42" s="211"/>
      <c r="ED42" s="211"/>
      <c r="EE42" s="211"/>
      <c r="EF42" s="211"/>
      <c r="EG42" s="211"/>
    </row>
    <row r="43" spans="1:137" ht="12.75">
      <c r="C43" s="234"/>
      <c r="F43" s="277">
        <f t="shared" si="0"/>
        <v>9</v>
      </c>
      <c r="G43" s="244" t="s">
        <v>13933</v>
      </c>
      <c r="H43" s="245" t="s">
        <v>71</v>
      </c>
      <c r="I43" s="506"/>
      <c r="J43" s="506"/>
      <c r="K43" s="506"/>
      <c r="L43" s="506"/>
      <c r="M43" s="506"/>
      <c r="N43" s="506"/>
      <c r="O43" s="278"/>
      <c r="P43" s="1687"/>
      <c r="R43" s="211"/>
      <c r="S43" s="211"/>
      <c r="T43" s="211"/>
      <c r="U43" s="211"/>
      <c r="V43" s="211"/>
      <c r="W43" s="211"/>
      <c r="X43" s="211"/>
      <c r="Y43" s="211"/>
      <c r="Z43" s="211"/>
      <c r="AA43" s="211"/>
      <c r="AB43" s="211"/>
      <c r="AC43" s="211"/>
      <c r="AD43" s="211"/>
      <c r="AE43" s="211"/>
      <c r="AF43" s="211"/>
      <c r="AG43" s="211"/>
      <c r="DE43" s="211"/>
      <c r="DF43" s="211"/>
      <c r="DG43" s="211"/>
      <c r="DH43" s="211"/>
      <c r="DI43" s="211"/>
      <c r="DJ43" s="211"/>
      <c r="DK43" s="211"/>
      <c r="DL43" s="211"/>
      <c r="DM43" s="211"/>
      <c r="DN43" s="211"/>
      <c r="DQ43" s="211"/>
      <c r="DV43" s="211"/>
      <c r="DW43" s="211"/>
      <c r="DX43" s="211"/>
      <c r="DY43" s="211"/>
      <c r="DZ43" s="211"/>
      <c r="EA43" s="211"/>
      <c r="EB43" s="211"/>
      <c r="EC43" s="211"/>
      <c r="ED43" s="211"/>
      <c r="EE43" s="211"/>
      <c r="EF43" s="211"/>
      <c r="EG43" s="211"/>
    </row>
    <row r="44" spans="1:137" ht="12.75">
      <c r="C44" s="234"/>
      <c r="F44" s="277">
        <f t="shared" si="0"/>
        <v>10</v>
      </c>
      <c r="G44" s="244" t="s">
        <v>13934</v>
      </c>
      <c r="H44" s="245" t="s">
        <v>71</v>
      </c>
      <c r="I44" s="506"/>
      <c r="J44" s="506"/>
      <c r="K44" s="506"/>
      <c r="L44" s="506"/>
      <c r="M44" s="506"/>
      <c r="N44" s="506"/>
      <c r="O44" s="278"/>
      <c r="P44" s="1687"/>
      <c r="Q44" s="213" t="s">
        <v>13935</v>
      </c>
      <c r="R44" s="211"/>
      <c r="S44" s="211"/>
      <c r="T44" s="211"/>
      <c r="U44" s="211"/>
      <c r="V44" s="211"/>
      <c r="W44" s="211"/>
      <c r="X44" s="211"/>
      <c r="Y44" s="211"/>
      <c r="Z44" s="211"/>
      <c r="AA44" s="211"/>
      <c r="AB44" s="211"/>
      <c r="AC44" s="211"/>
      <c r="AD44" s="211"/>
      <c r="AE44" s="211"/>
      <c r="AF44" s="211"/>
      <c r="AG44" s="211"/>
      <c r="DE44" s="211"/>
      <c r="DF44" s="211"/>
      <c r="DG44" s="211"/>
      <c r="DH44" s="211"/>
      <c r="DI44" s="211"/>
      <c r="DJ44" s="211"/>
      <c r="DK44" s="211"/>
      <c r="DL44" s="211"/>
      <c r="DM44" s="211"/>
      <c r="DN44" s="211"/>
      <c r="DQ44" s="211"/>
      <c r="DV44" s="211"/>
      <c r="DW44" s="211"/>
      <c r="DX44" s="211"/>
      <c r="DY44" s="211"/>
      <c r="DZ44" s="211"/>
      <c r="EA44" s="211"/>
      <c r="EB44" s="211"/>
      <c r="EC44" s="211"/>
      <c r="ED44" s="211"/>
      <c r="EE44" s="211"/>
      <c r="EF44" s="211"/>
      <c r="EG44" s="211"/>
    </row>
    <row r="45" spans="1:137" ht="12.75">
      <c r="C45" s="234"/>
      <c r="F45" s="277">
        <f t="shared" si="0"/>
        <v>11</v>
      </c>
      <c r="G45" s="244" t="s">
        <v>13936</v>
      </c>
      <c r="H45" s="245" t="s">
        <v>71</v>
      </c>
      <c r="I45" s="506"/>
      <c r="J45" s="506"/>
      <c r="K45" s="506"/>
      <c r="L45" s="506"/>
      <c r="M45" s="506"/>
      <c r="N45" s="506"/>
      <c r="O45" s="278"/>
      <c r="P45" s="1687"/>
      <c r="Q45" s="213" t="s">
        <v>13937</v>
      </c>
      <c r="R45" s="211"/>
      <c r="S45" s="211"/>
      <c r="T45" s="211"/>
      <c r="U45" s="211"/>
      <c r="V45" s="211"/>
      <c r="W45" s="211"/>
      <c r="X45" s="211"/>
      <c r="Y45" s="211"/>
      <c r="Z45" s="211"/>
      <c r="AA45" s="211"/>
      <c r="AB45" s="211"/>
      <c r="AC45" s="211"/>
      <c r="AD45" s="211"/>
      <c r="AE45" s="211"/>
      <c r="AF45" s="211"/>
      <c r="AG45" s="211"/>
      <c r="DE45" s="211"/>
      <c r="DF45" s="211"/>
      <c r="DG45" s="211"/>
      <c r="DH45" s="211"/>
      <c r="DI45" s="211"/>
      <c r="DJ45" s="211"/>
      <c r="DK45" s="211"/>
      <c r="DL45" s="211"/>
      <c r="DM45" s="211"/>
      <c r="DN45" s="211"/>
      <c r="DQ45" s="211"/>
      <c r="DV45" s="211"/>
      <c r="DW45" s="211"/>
      <c r="DX45" s="211"/>
      <c r="DY45" s="211"/>
      <c r="DZ45" s="211"/>
      <c r="EA45" s="211"/>
      <c r="EB45" s="211"/>
      <c r="EC45" s="211"/>
      <c r="ED45" s="211"/>
      <c r="EE45" s="211"/>
      <c r="EF45" s="211"/>
      <c r="EG45" s="211"/>
    </row>
    <row r="46" spans="1:137" ht="12.75">
      <c r="C46" s="234"/>
      <c r="F46" s="277">
        <f t="shared" si="0"/>
        <v>12</v>
      </c>
      <c r="G46" s="244" t="s">
        <v>13938</v>
      </c>
      <c r="H46" s="245" t="s">
        <v>71</v>
      </c>
      <c r="I46" s="506"/>
      <c r="J46" s="506"/>
      <c r="K46" s="506"/>
      <c r="L46" s="506"/>
      <c r="M46" s="506"/>
      <c r="N46" s="506"/>
      <c r="O46" s="278"/>
      <c r="P46" s="1687"/>
      <c r="R46" s="211"/>
      <c r="S46" s="211"/>
      <c r="T46" s="211"/>
      <c r="U46" s="211"/>
      <c r="V46" s="211"/>
      <c r="W46" s="211"/>
      <c r="X46" s="211"/>
      <c r="Y46" s="211"/>
      <c r="Z46" s="211"/>
      <c r="AA46" s="211"/>
      <c r="AB46" s="211"/>
      <c r="AC46" s="211"/>
      <c r="AD46" s="211"/>
      <c r="AE46" s="211"/>
      <c r="AF46" s="211"/>
      <c r="AG46" s="211"/>
      <c r="DE46" s="211"/>
      <c r="DF46" s="211"/>
      <c r="DG46" s="211"/>
      <c r="DH46" s="211"/>
      <c r="DI46" s="211"/>
      <c r="DJ46" s="211"/>
      <c r="DK46" s="211"/>
      <c r="DL46" s="211"/>
      <c r="DM46" s="211"/>
      <c r="DN46" s="211"/>
      <c r="DQ46" s="211"/>
      <c r="DV46" s="211"/>
      <c r="DW46" s="211"/>
      <c r="DX46" s="211"/>
      <c r="DY46" s="211"/>
      <c r="DZ46" s="211"/>
      <c r="EA46" s="211"/>
      <c r="EB46" s="211"/>
      <c r="EC46" s="211"/>
      <c r="ED46" s="211"/>
      <c r="EE46" s="211"/>
      <c r="EF46" s="211"/>
      <c r="EG46" s="211"/>
    </row>
    <row r="47" spans="1:137" ht="12.75">
      <c r="C47" s="234"/>
      <c r="F47" s="277">
        <f t="shared" si="0"/>
        <v>13</v>
      </c>
      <c r="G47" s="244" t="s">
        <v>14070</v>
      </c>
      <c r="H47" s="245" t="s">
        <v>71</v>
      </c>
      <c r="I47" s="506"/>
      <c r="J47" s="506"/>
      <c r="K47" s="506"/>
      <c r="L47" s="506"/>
      <c r="M47" s="506"/>
      <c r="N47" s="506"/>
      <c r="O47" s="278"/>
      <c r="P47" s="1687"/>
      <c r="R47" s="211"/>
      <c r="S47" s="211"/>
      <c r="T47" s="211"/>
      <c r="U47" s="211"/>
      <c r="V47" s="211"/>
      <c r="W47" s="211"/>
      <c r="X47" s="211"/>
      <c r="Y47" s="211"/>
      <c r="Z47" s="211"/>
      <c r="AA47" s="211"/>
      <c r="AB47" s="211"/>
      <c r="AC47" s="211"/>
      <c r="AD47" s="211"/>
      <c r="AE47" s="211"/>
      <c r="AF47" s="211"/>
      <c r="AG47" s="211"/>
      <c r="DE47" s="211"/>
      <c r="DF47" s="211"/>
      <c r="DG47" s="211"/>
      <c r="DH47" s="211"/>
      <c r="DI47" s="211"/>
      <c r="DJ47" s="211"/>
      <c r="DK47" s="211"/>
      <c r="DL47" s="211"/>
      <c r="DM47" s="211"/>
      <c r="DN47" s="211"/>
      <c r="DQ47" s="211"/>
      <c r="DV47" s="211"/>
      <c r="DW47" s="211"/>
      <c r="DX47" s="211"/>
      <c r="DY47" s="211"/>
      <c r="DZ47" s="211"/>
      <c r="EA47" s="211"/>
      <c r="EB47" s="211"/>
      <c r="EC47" s="211"/>
      <c r="ED47" s="211"/>
      <c r="EE47" s="211"/>
      <c r="EF47" s="211"/>
      <c r="EG47" s="211"/>
    </row>
    <row r="48" spans="1:137" ht="12.75">
      <c r="C48" s="234"/>
      <c r="F48" s="277">
        <f t="shared" si="0"/>
        <v>14</v>
      </c>
      <c r="G48" s="244" t="s">
        <v>14071</v>
      </c>
      <c r="H48" s="245" t="s">
        <v>71</v>
      </c>
      <c r="I48" s="506"/>
      <c r="J48" s="506"/>
      <c r="K48" s="506"/>
      <c r="L48" s="506"/>
      <c r="M48" s="506"/>
      <c r="N48" s="506"/>
      <c r="O48" s="278"/>
      <c r="P48" s="1687"/>
      <c r="R48" s="211"/>
      <c r="S48" s="211"/>
      <c r="T48" s="211"/>
      <c r="U48" s="211"/>
      <c r="V48" s="211"/>
      <c r="W48" s="211"/>
      <c r="X48" s="211"/>
      <c r="Y48" s="211"/>
      <c r="Z48" s="211"/>
      <c r="AA48" s="211"/>
      <c r="AB48" s="211"/>
      <c r="AC48" s="211"/>
      <c r="AD48" s="211"/>
      <c r="AE48" s="211"/>
      <c r="AF48" s="211"/>
      <c r="AG48" s="211"/>
      <c r="DE48" s="211"/>
      <c r="DF48" s="211"/>
      <c r="DG48" s="211"/>
      <c r="DH48" s="211"/>
      <c r="DI48" s="211"/>
      <c r="DJ48" s="211"/>
      <c r="DK48" s="211"/>
      <c r="DL48" s="211"/>
      <c r="DM48" s="211"/>
      <c r="DN48" s="211"/>
      <c r="DQ48" s="211"/>
      <c r="DV48" s="211"/>
      <c r="DW48" s="211"/>
      <c r="DX48" s="211"/>
      <c r="DY48" s="211"/>
      <c r="DZ48" s="211"/>
      <c r="EA48" s="211"/>
      <c r="EB48" s="211"/>
      <c r="EC48" s="211"/>
      <c r="ED48" s="211"/>
      <c r="EE48" s="211"/>
      <c r="EF48" s="211"/>
      <c r="EG48" s="211"/>
    </row>
    <row r="49" spans="1:137" ht="12.75">
      <c r="C49" s="234"/>
      <c r="F49" s="277"/>
      <c r="G49" s="247" t="s">
        <v>1269</v>
      </c>
      <c r="H49" s="245" t="s">
        <v>71</v>
      </c>
      <c r="I49" s="279"/>
      <c r="J49" s="279"/>
      <c r="K49" s="279"/>
      <c r="L49" s="279"/>
      <c r="M49" s="279"/>
      <c r="N49" s="279"/>
      <c r="O49" s="279"/>
      <c r="P49" s="1688"/>
      <c r="R49" s="211"/>
      <c r="S49" s="211"/>
      <c r="T49" s="211"/>
      <c r="U49" s="211"/>
      <c r="V49" s="211"/>
      <c r="W49" s="211"/>
      <c r="X49" s="211"/>
      <c r="Y49" s="211"/>
      <c r="Z49" s="211"/>
      <c r="AA49" s="211"/>
      <c r="AB49" s="211"/>
      <c r="AC49" s="211"/>
      <c r="AD49" s="211"/>
      <c r="AE49" s="211"/>
      <c r="AF49" s="211"/>
      <c r="AG49" s="211"/>
      <c r="DE49" s="211"/>
      <c r="DF49" s="211"/>
      <c r="DG49" s="211"/>
      <c r="DH49" s="211"/>
      <c r="DI49" s="211"/>
      <c r="DJ49" s="211"/>
      <c r="DK49" s="211"/>
      <c r="DL49" s="211"/>
      <c r="DM49" s="211"/>
      <c r="DN49" s="211"/>
      <c r="DQ49" s="211"/>
      <c r="DV49" s="211"/>
      <c r="DW49" s="211"/>
      <c r="DX49" s="211"/>
      <c r="DY49" s="211"/>
      <c r="DZ49" s="211"/>
      <c r="EA49" s="211"/>
      <c r="EB49" s="211"/>
      <c r="EC49" s="211"/>
      <c r="ED49" s="211"/>
      <c r="EE49" s="211"/>
      <c r="EF49" s="211"/>
      <c r="EG49" s="211"/>
    </row>
    <row r="50" spans="1:137" ht="12.75">
      <c r="C50" s="234"/>
      <c r="F50" s="241" t="s">
        <v>13939</v>
      </c>
      <c r="G50" s="242"/>
      <c r="H50" s="242"/>
      <c r="I50" s="242"/>
      <c r="J50" s="242"/>
      <c r="K50" s="242"/>
      <c r="L50" s="242"/>
      <c r="M50" s="242"/>
      <c r="N50" s="242"/>
      <c r="O50" s="242"/>
      <c r="P50" s="243"/>
      <c r="R50" s="211"/>
      <c r="S50" s="211"/>
      <c r="T50" s="211"/>
      <c r="U50" s="211"/>
      <c r="V50" s="211"/>
      <c r="W50" s="211"/>
      <c r="X50" s="211"/>
      <c r="Y50" s="211"/>
      <c r="Z50" s="211"/>
      <c r="AA50" s="211"/>
      <c r="AB50" s="211"/>
      <c r="AC50" s="211"/>
      <c r="AD50" s="211"/>
      <c r="AE50" s="211"/>
      <c r="AF50" s="211"/>
      <c r="AG50" s="211"/>
      <c r="DE50" s="211"/>
      <c r="DF50" s="211"/>
      <c r="DG50" s="211"/>
      <c r="DH50" s="211"/>
      <c r="DI50" s="211"/>
      <c r="DJ50" s="211"/>
      <c r="DK50" s="211"/>
      <c r="DL50" s="211"/>
      <c r="DM50" s="211"/>
      <c r="DN50" s="211"/>
      <c r="DQ50" s="211"/>
      <c r="DV50" s="211"/>
      <c r="DW50" s="211"/>
      <c r="DX50" s="211"/>
      <c r="DY50" s="211"/>
      <c r="DZ50" s="211"/>
      <c r="EA50" s="211"/>
      <c r="EB50" s="211"/>
      <c r="EC50" s="211"/>
      <c r="ED50" s="211"/>
      <c r="EE50" s="211"/>
      <c r="EF50" s="211"/>
      <c r="EG50" s="211"/>
    </row>
    <row r="51" spans="1:137" ht="12.75">
      <c r="A51" s="270">
        <f>IF(E51&gt;0,1,0)</f>
        <v>1</v>
      </c>
      <c r="B51" s="280">
        <f>B50+A51</f>
        <v>1</v>
      </c>
      <c r="C51" s="234" t="str">
        <f>IF(A51&gt;0,CONCATENATE("COLETOR",B51)," ")</f>
        <v>COLETOR1</v>
      </c>
      <c r="D51" s="271" t="s">
        <v>70</v>
      </c>
      <c r="E51" s="281">
        <v>73610</v>
      </c>
      <c r="F51" s="282" t="s">
        <v>11634</v>
      </c>
      <c r="G51" s="250" t="s">
        <v>1102</v>
      </c>
      <c r="H51" s="245" t="s">
        <v>71</v>
      </c>
      <c r="I51" s="249"/>
      <c r="J51" s="249"/>
      <c r="K51" s="249"/>
      <c r="L51" s="249"/>
      <c r="M51" s="249"/>
      <c r="N51" s="249"/>
      <c r="O51" s="246"/>
      <c r="P51" s="283" t="s">
        <v>13940</v>
      </c>
      <c r="R51" s="211"/>
      <c r="S51" s="211"/>
      <c r="T51" s="211"/>
      <c r="U51" s="211"/>
      <c r="V51" s="211"/>
      <c r="W51" s="211"/>
      <c r="X51" s="211"/>
      <c r="Y51" s="211"/>
      <c r="Z51" s="211"/>
      <c r="AA51" s="211"/>
      <c r="AB51" s="211"/>
      <c r="AC51" s="211"/>
      <c r="AD51" s="211"/>
      <c r="AE51" s="211"/>
      <c r="AF51" s="211"/>
      <c r="AG51" s="211"/>
      <c r="DE51" s="211"/>
      <c r="DF51" s="211"/>
      <c r="DG51" s="211"/>
      <c r="DH51" s="211"/>
      <c r="DI51" s="211"/>
      <c r="DJ51" s="211"/>
      <c r="DK51" s="211"/>
      <c r="DL51" s="211"/>
      <c r="DM51" s="211"/>
      <c r="DN51" s="211"/>
      <c r="DQ51" s="211"/>
      <c r="DV51" s="211"/>
      <c r="DW51" s="211"/>
      <c r="DX51" s="211"/>
      <c r="DY51" s="211"/>
      <c r="DZ51" s="211"/>
      <c r="EA51" s="211"/>
      <c r="EB51" s="211"/>
      <c r="EC51" s="211"/>
      <c r="ED51" s="211"/>
      <c r="EE51" s="211"/>
      <c r="EF51" s="211"/>
      <c r="EG51" s="211"/>
    </row>
    <row r="52" spans="1:137" ht="17.25" customHeight="1">
      <c r="A52" s="270">
        <f>IF(E52&gt;0,1,0)</f>
        <v>1</v>
      </c>
      <c r="B52" s="280">
        <f>B51+A52</f>
        <v>2</v>
      </c>
      <c r="C52" s="234" t="str">
        <f t="shared" ref="C52:C115" si="1">IF(A52&gt;0,CONCATENATE("COLETOR",B52)," ")</f>
        <v>COLETOR2</v>
      </c>
      <c r="D52" s="271" t="s">
        <v>1</v>
      </c>
      <c r="E52" s="281">
        <v>1512</v>
      </c>
      <c r="F52" s="282" t="s">
        <v>11635</v>
      </c>
      <c r="G52" s="250" t="s">
        <v>19813</v>
      </c>
      <c r="H52" s="245" t="s">
        <v>71</v>
      </c>
      <c r="I52" s="249"/>
      <c r="J52" s="249"/>
      <c r="K52" s="249"/>
      <c r="L52" s="249"/>
      <c r="M52" s="249"/>
      <c r="N52" s="249"/>
      <c r="O52" s="246"/>
      <c r="P52" s="284" t="s">
        <v>14231</v>
      </c>
      <c r="R52" s="211"/>
      <c r="S52" s="211"/>
      <c r="T52" s="211"/>
      <c r="U52" s="211"/>
      <c r="V52" s="211"/>
      <c r="W52" s="211"/>
      <c r="X52" s="211"/>
      <c r="Y52" s="211"/>
      <c r="Z52" s="211"/>
      <c r="AA52" s="211"/>
      <c r="AB52" s="211"/>
      <c r="AC52" s="211"/>
      <c r="AD52" s="211"/>
      <c r="AE52" s="211"/>
      <c r="AF52" s="211"/>
      <c r="AG52" s="211"/>
      <c r="DE52" s="211"/>
      <c r="DF52" s="211"/>
      <c r="DG52" s="211"/>
      <c r="DH52" s="211"/>
      <c r="DI52" s="211"/>
      <c r="DJ52" s="211"/>
      <c r="DK52" s="211"/>
      <c r="DL52" s="211"/>
      <c r="DM52" s="211"/>
      <c r="DN52" s="211"/>
      <c r="DQ52" s="211"/>
      <c r="DV52" s="211"/>
      <c r="DW52" s="211"/>
      <c r="DX52" s="211"/>
      <c r="DY52" s="211"/>
      <c r="DZ52" s="211"/>
      <c r="EA52" s="211"/>
      <c r="EB52" s="211"/>
      <c r="EC52" s="211"/>
      <c r="ED52" s="211"/>
      <c r="EE52" s="211"/>
      <c r="EF52" s="211"/>
      <c r="EG52" s="211"/>
    </row>
    <row r="53" spans="1:137" ht="12.75">
      <c r="A53" s="270">
        <f t="shared" ref="A53:A118" si="2">IF(E53&gt;0,1,0)</f>
        <v>0</v>
      </c>
      <c r="B53" s="280">
        <f t="shared" ref="B53:B64" si="3">B52+A53</f>
        <v>2</v>
      </c>
      <c r="C53" s="234" t="str">
        <f t="shared" si="1"/>
        <v xml:space="preserve"> </v>
      </c>
      <c r="F53" s="241" t="s">
        <v>13941</v>
      </c>
      <c r="G53" s="242"/>
      <c r="H53" s="242"/>
      <c r="I53" s="242"/>
      <c r="J53" s="242"/>
      <c r="K53" s="242"/>
      <c r="L53" s="242"/>
      <c r="M53" s="242"/>
      <c r="N53" s="242"/>
      <c r="O53" s="242"/>
      <c r="P53" s="243"/>
      <c r="R53" s="211"/>
      <c r="S53" s="211"/>
      <c r="T53" s="211"/>
      <c r="U53" s="211"/>
      <c r="V53" s="211"/>
      <c r="W53" s="211"/>
      <c r="X53" s="211"/>
      <c r="Y53" s="211"/>
      <c r="Z53" s="211"/>
      <c r="AA53" s="211"/>
      <c r="AB53" s="211"/>
      <c r="AC53" s="211"/>
      <c r="AD53" s="211"/>
      <c r="AE53" s="211"/>
      <c r="AF53" s="211"/>
      <c r="AG53" s="211"/>
      <c r="DE53" s="211"/>
      <c r="DF53" s="211"/>
      <c r="DG53" s="211"/>
      <c r="DH53" s="211"/>
      <c r="DI53" s="211"/>
      <c r="DJ53" s="211"/>
      <c r="DK53" s="211"/>
      <c r="DL53" s="211"/>
      <c r="DM53" s="211"/>
      <c r="DN53" s="211"/>
      <c r="DQ53" s="211"/>
      <c r="DV53" s="211"/>
      <c r="DW53" s="211"/>
      <c r="DX53" s="211"/>
      <c r="DY53" s="211"/>
      <c r="DZ53" s="211"/>
      <c r="EA53" s="211"/>
      <c r="EB53" s="211"/>
      <c r="EC53" s="211"/>
      <c r="ED53" s="211"/>
      <c r="EE53" s="211"/>
      <c r="EF53" s="211"/>
      <c r="EG53" s="211"/>
    </row>
    <row r="54" spans="1:137" ht="18" customHeight="1">
      <c r="A54" s="270">
        <f t="shared" si="2"/>
        <v>1</v>
      </c>
      <c r="B54" s="280">
        <f t="shared" si="3"/>
        <v>3</v>
      </c>
      <c r="C54" s="234" t="str">
        <f t="shared" si="1"/>
        <v>COLETOR3</v>
      </c>
      <c r="D54" s="271" t="s">
        <v>1</v>
      </c>
      <c r="E54" s="281">
        <v>98</v>
      </c>
      <c r="F54" s="282" t="s">
        <v>13942</v>
      </c>
      <c r="G54" s="250" t="s">
        <v>19814</v>
      </c>
      <c r="H54" s="245" t="s">
        <v>65</v>
      </c>
      <c r="I54" s="248"/>
      <c r="J54" s="248"/>
      <c r="K54" s="248"/>
      <c r="L54" s="248"/>
      <c r="M54" s="248"/>
      <c r="N54" s="248"/>
      <c r="O54" s="246"/>
      <c r="P54" s="283" t="s">
        <v>14232</v>
      </c>
    </row>
    <row r="55" spans="1:137" ht="25.5">
      <c r="A55" s="270">
        <f t="shared" si="2"/>
        <v>1</v>
      </c>
      <c r="B55" s="280">
        <f t="shared" si="3"/>
        <v>4</v>
      </c>
      <c r="C55" s="234" t="str">
        <f t="shared" si="1"/>
        <v>COLETOR4</v>
      </c>
      <c r="D55" s="271" t="s">
        <v>70</v>
      </c>
      <c r="E55" s="281">
        <v>13244</v>
      </c>
      <c r="F55" s="282" t="s">
        <v>13943</v>
      </c>
      <c r="G55" s="250" t="s">
        <v>3863</v>
      </c>
      <c r="H55" s="245" t="s">
        <v>65</v>
      </c>
      <c r="I55" s="248"/>
      <c r="J55" s="248"/>
      <c r="K55" s="248"/>
      <c r="L55" s="248"/>
      <c r="M55" s="248"/>
      <c r="N55" s="248"/>
      <c r="O55" s="246"/>
      <c r="P55" s="283" t="s">
        <v>14233</v>
      </c>
    </row>
    <row r="56" spans="1:137" ht="17.25" customHeight="1">
      <c r="A56" s="270">
        <f t="shared" si="2"/>
        <v>1</v>
      </c>
      <c r="B56" s="280">
        <f t="shared" si="3"/>
        <v>5</v>
      </c>
      <c r="C56" s="234" t="str">
        <f t="shared" si="1"/>
        <v>COLETOR5</v>
      </c>
      <c r="D56" s="271" t="s">
        <v>1</v>
      </c>
      <c r="E56" s="281">
        <v>104</v>
      </c>
      <c r="F56" s="282" t="s">
        <v>13944</v>
      </c>
      <c r="G56" s="250" t="s">
        <v>1217</v>
      </c>
      <c r="H56" s="245" t="s">
        <v>65</v>
      </c>
      <c r="I56" s="248"/>
      <c r="J56" s="248"/>
      <c r="K56" s="248"/>
      <c r="L56" s="248"/>
      <c r="M56" s="248"/>
      <c r="N56" s="248"/>
      <c r="O56" s="246"/>
      <c r="P56" s="283" t="s">
        <v>14234</v>
      </c>
    </row>
    <row r="57" spans="1:137" ht="17.25" customHeight="1">
      <c r="A57" s="270">
        <f t="shared" si="2"/>
        <v>1</v>
      </c>
      <c r="B57" s="280">
        <f t="shared" si="3"/>
        <v>6</v>
      </c>
      <c r="C57" s="234" t="str">
        <f t="shared" si="1"/>
        <v>COLETOR6</v>
      </c>
      <c r="D57" s="271" t="s">
        <v>70</v>
      </c>
      <c r="E57" s="281" t="s">
        <v>19171</v>
      </c>
      <c r="F57" s="282" t="s">
        <v>13945</v>
      </c>
      <c r="G57" s="250" t="s">
        <v>7844</v>
      </c>
      <c r="H57" s="245" t="s">
        <v>256</v>
      </c>
      <c r="I57" s="248"/>
      <c r="J57" s="248"/>
      <c r="K57" s="248"/>
      <c r="L57" s="248"/>
      <c r="M57" s="248"/>
      <c r="N57" s="248"/>
      <c r="O57" s="246"/>
      <c r="P57" s="283" t="s">
        <v>14235</v>
      </c>
    </row>
    <row r="58" spans="1:137" ht="25.5">
      <c r="A58" s="270">
        <f t="shared" si="2"/>
        <v>1</v>
      </c>
      <c r="B58" s="280">
        <f t="shared" si="3"/>
        <v>7</v>
      </c>
      <c r="C58" s="234" t="str">
        <f t="shared" si="1"/>
        <v>COLETOR7</v>
      </c>
      <c r="D58" s="271" t="s">
        <v>1</v>
      </c>
      <c r="E58" s="281">
        <v>106</v>
      </c>
      <c r="F58" s="282" t="s">
        <v>13946</v>
      </c>
      <c r="G58" s="250" t="s">
        <v>19815</v>
      </c>
      <c r="H58" s="245" t="s">
        <v>90</v>
      </c>
      <c r="I58" s="248"/>
      <c r="J58" s="248"/>
      <c r="K58" s="248"/>
      <c r="L58" s="248"/>
      <c r="M58" s="248"/>
      <c r="N58" s="248"/>
      <c r="O58" s="246"/>
      <c r="P58" s="283" t="s">
        <v>14236</v>
      </c>
    </row>
    <row r="59" spans="1:137" ht="12.75">
      <c r="A59" s="270">
        <f t="shared" si="2"/>
        <v>0</v>
      </c>
      <c r="B59" s="280">
        <f t="shared" si="3"/>
        <v>7</v>
      </c>
      <c r="C59" s="234" t="str">
        <f t="shared" si="1"/>
        <v xml:space="preserve"> </v>
      </c>
      <c r="F59" s="241" t="s">
        <v>11640</v>
      </c>
      <c r="G59" s="242"/>
      <c r="H59" s="242"/>
      <c r="I59" s="242"/>
      <c r="J59" s="242"/>
      <c r="K59" s="242"/>
      <c r="L59" s="242"/>
      <c r="M59" s="242"/>
      <c r="N59" s="242"/>
      <c r="O59" s="242"/>
      <c r="P59" s="243"/>
    </row>
    <row r="60" spans="1:137" ht="25.5">
      <c r="A60" s="270">
        <f t="shared" si="2"/>
        <v>1</v>
      </c>
      <c r="B60" s="280">
        <f t="shared" si="3"/>
        <v>8</v>
      </c>
      <c r="C60" s="234" t="str">
        <f t="shared" si="1"/>
        <v>COLETOR8</v>
      </c>
      <c r="D60" s="271" t="s">
        <v>70</v>
      </c>
      <c r="E60" s="281">
        <v>73672</v>
      </c>
      <c r="F60" s="282" t="s">
        <v>13947</v>
      </c>
      <c r="G60" s="250" t="s">
        <v>19162</v>
      </c>
      <c r="H60" s="245" t="s">
        <v>256</v>
      </c>
      <c r="I60" s="507"/>
      <c r="J60" s="251"/>
      <c r="K60" s="251"/>
      <c r="L60" s="251"/>
      <c r="M60" s="251"/>
      <c r="N60" s="251"/>
      <c r="O60" s="246"/>
      <c r="P60" s="283" t="s">
        <v>13948</v>
      </c>
    </row>
    <row r="61" spans="1:137" ht="12.75">
      <c r="A61" s="270">
        <f t="shared" si="2"/>
        <v>0</v>
      </c>
      <c r="B61" s="280">
        <f t="shared" si="3"/>
        <v>8</v>
      </c>
      <c r="C61" s="234" t="str">
        <f t="shared" si="1"/>
        <v xml:space="preserve"> </v>
      </c>
      <c r="F61" s="241" t="s">
        <v>41</v>
      </c>
      <c r="G61" s="242"/>
      <c r="H61" s="508"/>
      <c r="I61" s="508"/>
      <c r="J61" s="508"/>
      <c r="K61" s="508"/>
      <c r="L61" s="508"/>
      <c r="M61" s="508"/>
      <c r="N61" s="508"/>
      <c r="O61" s="508"/>
      <c r="P61" s="243"/>
    </row>
    <row r="62" spans="1:137" s="225" customFormat="1" ht="15.75" customHeight="1">
      <c r="A62" s="270">
        <f t="shared" si="2"/>
        <v>0</v>
      </c>
      <c r="B62" s="280">
        <f t="shared" si="3"/>
        <v>8</v>
      </c>
      <c r="C62" s="234" t="str">
        <f t="shared" si="1"/>
        <v xml:space="preserve"> </v>
      </c>
      <c r="D62" s="271"/>
      <c r="E62" s="226"/>
      <c r="F62" s="282" t="s">
        <v>13949</v>
      </c>
      <c r="G62" s="244" t="s">
        <v>19764</v>
      </c>
      <c r="H62" s="252" t="s">
        <v>22</v>
      </c>
      <c r="I62" s="509"/>
      <c r="J62" s="509"/>
      <c r="K62" s="509"/>
      <c r="L62" s="509"/>
      <c r="M62" s="509"/>
      <c r="N62" s="509"/>
      <c r="O62" s="285"/>
      <c r="P62" s="1689" t="s">
        <v>19765</v>
      </c>
      <c r="Q62" s="230"/>
      <c r="V62" s="231"/>
      <c r="W62" s="231"/>
      <c r="X62" s="231"/>
      <c r="Y62" s="231"/>
      <c r="Z62" s="231"/>
      <c r="AA62" s="231"/>
      <c r="AB62" s="231"/>
      <c r="AC62" s="231"/>
      <c r="AD62" s="231"/>
      <c r="AE62" s="231"/>
      <c r="AF62" s="231"/>
      <c r="AG62" s="231"/>
      <c r="DE62" s="232"/>
      <c r="DF62" s="232"/>
      <c r="DG62" s="232"/>
      <c r="DH62" s="232"/>
      <c r="DI62" s="232"/>
      <c r="DJ62" s="232"/>
      <c r="DK62" s="232"/>
      <c r="DL62" s="232"/>
      <c r="DM62" s="232"/>
      <c r="DN62" s="232"/>
      <c r="DQ62" s="233"/>
      <c r="DV62" s="231"/>
      <c r="DW62" s="231"/>
      <c r="DX62" s="231"/>
      <c r="DY62" s="231"/>
      <c r="DZ62" s="231"/>
      <c r="EA62" s="231"/>
      <c r="EB62" s="231"/>
      <c r="EC62" s="231"/>
      <c r="ED62" s="231"/>
      <c r="EE62" s="231"/>
      <c r="EF62" s="231"/>
      <c r="EG62" s="231"/>
    </row>
    <row r="63" spans="1:137" s="225" customFormat="1" ht="15.75" customHeight="1">
      <c r="A63" s="270">
        <f t="shared" si="2"/>
        <v>0</v>
      </c>
      <c r="B63" s="280">
        <f t="shared" si="3"/>
        <v>8</v>
      </c>
      <c r="C63" s="234" t="str">
        <f t="shared" si="1"/>
        <v xml:space="preserve"> </v>
      </c>
      <c r="D63" s="271"/>
      <c r="E63" s="226"/>
      <c r="F63" s="282" t="s">
        <v>13950</v>
      </c>
      <c r="G63" s="244" t="s">
        <v>19766</v>
      </c>
      <c r="H63" s="252" t="s">
        <v>22</v>
      </c>
      <c r="I63" s="509"/>
      <c r="J63" s="509"/>
      <c r="K63" s="509"/>
      <c r="L63" s="509"/>
      <c r="M63" s="509"/>
      <c r="N63" s="509"/>
      <c r="O63" s="285"/>
      <c r="P63" s="1690"/>
      <c r="Q63" s="230"/>
      <c r="V63" s="231"/>
      <c r="W63" s="231"/>
      <c r="X63" s="231"/>
      <c r="Y63" s="231"/>
      <c r="Z63" s="231"/>
      <c r="AA63" s="231"/>
      <c r="AB63" s="231"/>
      <c r="AC63" s="231"/>
      <c r="AD63" s="231"/>
      <c r="AE63" s="231"/>
      <c r="AF63" s="231"/>
      <c r="AG63" s="231"/>
      <c r="DE63" s="232"/>
      <c r="DF63" s="232"/>
      <c r="DG63" s="232"/>
      <c r="DH63" s="232"/>
      <c r="DI63" s="232"/>
      <c r="DJ63" s="232"/>
      <c r="DK63" s="232"/>
      <c r="DL63" s="232"/>
      <c r="DM63" s="232"/>
      <c r="DN63" s="232"/>
      <c r="DQ63" s="233"/>
      <c r="DV63" s="231"/>
      <c r="DW63" s="231"/>
      <c r="DX63" s="231"/>
      <c r="DY63" s="231"/>
      <c r="DZ63" s="231"/>
      <c r="EA63" s="231"/>
      <c r="EB63" s="231"/>
      <c r="EC63" s="231"/>
      <c r="ED63" s="231"/>
      <c r="EE63" s="231"/>
      <c r="EF63" s="231"/>
      <c r="EG63" s="231"/>
    </row>
    <row r="64" spans="1:137" s="225" customFormat="1" ht="15.75" customHeight="1">
      <c r="A64" s="270">
        <f t="shared" si="2"/>
        <v>0</v>
      </c>
      <c r="B64" s="280">
        <f t="shared" si="3"/>
        <v>8</v>
      </c>
      <c r="C64" s="234" t="str">
        <f t="shared" si="1"/>
        <v xml:space="preserve"> </v>
      </c>
      <c r="D64" s="271"/>
      <c r="E64" s="226"/>
      <c r="F64" s="286" t="s">
        <v>13951</v>
      </c>
      <c r="G64" s="244" t="s">
        <v>19767</v>
      </c>
      <c r="H64" s="252" t="s">
        <v>22</v>
      </c>
      <c r="I64" s="509"/>
      <c r="J64" s="509"/>
      <c r="K64" s="509"/>
      <c r="L64" s="509"/>
      <c r="M64" s="509"/>
      <c r="N64" s="509"/>
      <c r="O64" s="285"/>
      <c r="P64" s="1690"/>
      <c r="Q64" s="230"/>
      <c r="V64" s="231"/>
      <c r="W64" s="231"/>
      <c r="X64" s="231"/>
      <c r="Y64" s="231"/>
      <c r="Z64" s="231"/>
      <c r="AA64" s="231"/>
      <c r="AB64" s="231"/>
      <c r="AC64" s="231"/>
      <c r="AD64" s="231"/>
      <c r="AE64" s="231"/>
      <c r="AF64" s="231"/>
      <c r="AG64" s="231"/>
      <c r="DE64" s="232"/>
      <c r="DF64" s="232"/>
      <c r="DG64" s="232"/>
      <c r="DH64" s="232"/>
      <c r="DI64" s="232"/>
      <c r="DJ64" s="232"/>
      <c r="DK64" s="232"/>
      <c r="DL64" s="232"/>
      <c r="DM64" s="232"/>
      <c r="DN64" s="232"/>
      <c r="DQ64" s="233"/>
      <c r="DV64" s="231"/>
      <c r="DW64" s="231"/>
      <c r="DX64" s="231"/>
      <c r="DY64" s="231"/>
      <c r="DZ64" s="231"/>
      <c r="EA64" s="231"/>
      <c r="EB64" s="231"/>
      <c r="EC64" s="231"/>
      <c r="ED64" s="231"/>
      <c r="EE64" s="231"/>
      <c r="EF64" s="231"/>
      <c r="EG64" s="231"/>
    </row>
    <row r="65" spans="1:137" s="225" customFormat="1" ht="15.75" customHeight="1">
      <c r="A65" s="270"/>
      <c r="B65" s="280"/>
      <c r="C65" s="234" t="str">
        <f t="shared" si="1"/>
        <v xml:space="preserve"> </v>
      </c>
      <c r="D65" s="271"/>
      <c r="E65" s="226"/>
      <c r="F65" s="286" t="s">
        <v>13952</v>
      </c>
      <c r="G65" s="244" t="s">
        <v>19768</v>
      </c>
      <c r="H65" s="252" t="s">
        <v>22</v>
      </c>
      <c r="I65" s="509"/>
      <c r="J65" s="509"/>
      <c r="K65" s="509"/>
      <c r="L65" s="509"/>
      <c r="M65" s="509"/>
      <c r="N65" s="509"/>
      <c r="O65" s="285"/>
      <c r="P65" s="1690"/>
      <c r="Q65" s="230"/>
      <c r="V65" s="231"/>
      <c r="W65" s="231"/>
      <c r="X65" s="231"/>
      <c r="Y65" s="231"/>
      <c r="Z65" s="231"/>
      <c r="AA65" s="231"/>
      <c r="AB65" s="231"/>
      <c r="AC65" s="231"/>
      <c r="AD65" s="231"/>
      <c r="AE65" s="231"/>
      <c r="AF65" s="231"/>
      <c r="AG65" s="231"/>
      <c r="DE65" s="232"/>
      <c r="DF65" s="232"/>
      <c r="DG65" s="232"/>
      <c r="DH65" s="232"/>
      <c r="DI65" s="232"/>
      <c r="DJ65" s="232"/>
      <c r="DK65" s="232"/>
      <c r="DL65" s="232"/>
      <c r="DM65" s="232"/>
      <c r="DN65" s="232"/>
      <c r="DQ65" s="233"/>
      <c r="DV65" s="231"/>
      <c r="DW65" s="231"/>
      <c r="DX65" s="231"/>
      <c r="DY65" s="231"/>
      <c r="DZ65" s="231"/>
      <c r="EA65" s="231"/>
      <c r="EB65" s="231"/>
      <c r="EC65" s="231"/>
      <c r="ED65" s="231"/>
      <c r="EE65" s="231"/>
      <c r="EF65" s="231"/>
      <c r="EG65" s="231"/>
    </row>
    <row r="66" spans="1:137" s="225" customFormat="1" ht="15.75" customHeight="1">
      <c r="A66" s="270">
        <f t="shared" si="2"/>
        <v>0</v>
      </c>
      <c r="B66" s="280">
        <f>B64+A66</f>
        <v>8</v>
      </c>
      <c r="C66" s="234" t="str">
        <f t="shared" si="1"/>
        <v xml:space="preserve"> </v>
      </c>
      <c r="D66" s="271"/>
      <c r="E66" s="226"/>
      <c r="F66" s="286" t="s">
        <v>18</v>
      </c>
      <c r="G66" s="244" t="s">
        <v>13953</v>
      </c>
      <c r="H66" s="252" t="s">
        <v>22</v>
      </c>
      <c r="I66" s="509"/>
      <c r="J66" s="509"/>
      <c r="K66" s="509"/>
      <c r="L66" s="509"/>
      <c r="M66" s="509"/>
      <c r="N66" s="509"/>
      <c r="O66" s="285"/>
      <c r="P66" s="1691"/>
      <c r="Q66" s="253">
        <f>SUM(O62:O66)</f>
        <v>0</v>
      </c>
      <c r="V66" s="231"/>
      <c r="W66" s="231"/>
      <c r="X66" s="231"/>
      <c r="Y66" s="231"/>
      <c r="Z66" s="231"/>
      <c r="AA66" s="231"/>
      <c r="AB66" s="231"/>
      <c r="AC66" s="231"/>
      <c r="AD66" s="231"/>
      <c r="AE66" s="231"/>
      <c r="AF66" s="231"/>
      <c r="AG66" s="231"/>
      <c r="DE66" s="232"/>
      <c r="DF66" s="232"/>
      <c r="DG66" s="232"/>
      <c r="DH66" s="232"/>
      <c r="DI66" s="232"/>
      <c r="DJ66" s="232"/>
      <c r="DK66" s="232"/>
      <c r="DL66" s="232"/>
      <c r="DM66" s="232"/>
      <c r="DN66" s="232"/>
      <c r="DQ66" s="233"/>
      <c r="DV66" s="231"/>
      <c r="DW66" s="231"/>
      <c r="DX66" s="231"/>
      <c r="DY66" s="231"/>
      <c r="DZ66" s="231"/>
      <c r="EA66" s="231"/>
      <c r="EB66" s="231"/>
      <c r="EC66" s="231"/>
      <c r="ED66" s="231"/>
      <c r="EE66" s="231"/>
      <c r="EF66" s="231"/>
      <c r="EG66" s="231"/>
    </row>
    <row r="67" spans="1:137" s="225" customFormat="1" ht="86.25" customHeight="1">
      <c r="A67" s="270">
        <f t="shared" si="2"/>
        <v>1</v>
      </c>
      <c r="B67" s="280">
        <f t="shared" ref="B67:B97" si="4">B66+A67</f>
        <v>9</v>
      </c>
      <c r="C67" s="234" t="str">
        <f t="shared" si="1"/>
        <v>COLETOR9</v>
      </c>
      <c r="D67" s="271" t="s">
        <v>70</v>
      </c>
      <c r="E67" s="281">
        <v>90105</v>
      </c>
      <c r="F67" s="286" t="s">
        <v>13954</v>
      </c>
      <c r="G67" s="250" t="s">
        <v>18214</v>
      </c>
      <c r="H67" s="245" t="s">
        <v>255</v>
      </c>
      <c r="I67" s="287"/>
      <c r="J67" s="287"/>
      <c r="K67" s="287"/>
      <c r="L67" s="287"/>
      <c r="M67" s="287"/>
      <c r="N67" s="287"/>
      <c r="O67" s="285"/>
      <c r="P67" s="510" t="s">
        <v>30</v>
      </c>
      <c r="Q67" s="253">
        <f>SUM(O67:O87)</f>
        <v>0</v>
      </c>
      <c r="V67" s="231"/>
      <c r="W67" s="231"/>
      <c r="X67" s="231"/>
      <c r="Y67" s="231"/>
      <c r="Z67" s="231"/>
      <c r="AA67" s="231"/>
      <c r="AB67" s="231"/>
      <c r="AC67" s="231"/>
      <c r="AD67" s="231"/>
      <c r="AE67" s="231"/>
      <c r="AF67" s="231"/>
      <c r="AG67" s="231"/>
      <c r="DE67" s="232"/>
      <c r="DF67" s="232"/>
      <c r="DG67" s="232"/>
      <c r="DH67" s="232"/>
      <c r="DI67" s="232"/>
      <c r="DJ67" s="232"/>
      <c r="DK67" s="232"/>
      <c r="DL67" s="232"/>
      <c r="DM67" s="232"/>
      <c r="DN67" s="232"/>
      <c r="DQ67" s="233"/>
      <c r="DV67" s="231"/>
      <c r="DW67" s="231"/>
      <c r="DX67" s="231"/>
      <c r="DY67" s="231"/>
      <c r="DZ67" s="231"/>
      <c r="EA67" s="231"/>
      <c r="EB67" s="231"/>
      <c r="EC67" s="231"/>
      <c r="ED67" s="231"/>
      <c r="EE67" s="231"/>
      <c r="EF67" s="231"/>
      <c r="EG67" s="231"/>
    </row>
    <row r="68" spans="1:137" s="225" customFormat="1" ht="76.5">
      <c r="A68" s="270">
        <f t="shared" si="2"/>
        <v>1</v>
      </c>
      <c r="B68" s="280">
        <f t="shared" si="4"/>
        <v>10</v>
      </c>
      <c r="C68" s="234" t="str">
        <f t="shared" si="1"/>
        <v>COLETOR10</v>
      </c>
      <c r="D68" s="271" t="s">
        <v>70</v>
      </c>
      <c r="E68" s="511">
        <v>90107</v>
      </c>
      <c r="F68" s="286" t="s">
        <v>13955</v>
      </c>
      <c r="G68" s="250" t="s">
        <v>18216</v>
      </c>
      <c r="H68" s="245" t="s">
        <v>255</v>
      </c>
      <c r="I68" s="287"/>
      <c r="J68" s="287"/>
      <c r="K68" s="287"/>
      <c r="L68" s="287"/>
      <c r="M68" s="287"/>
      <c r="N68" s="287"/>
      <c r="O68" s="285"/>
      <c r="P68" s="510" t="s">
        <v>30</v>
      </c>
      <c r="Q68" s="230"/>
      <c r="V68" s="231"/>
      <c r="W68" s="231"/>
      <c r="X68" s="231"/>
      <c r="Y68" s="231"/>
      <c r="Z68" s="231"/>
      <c r="AA68" s="231"/>
      <c r="AB68" s="231"/>
      <c r="AC68" s="231"/>
      <c r="AD68" s="231"/>
      <c r="AE68" s="231"/>
      <c r="AF68" s="231"/>
      <c r="AG68" s="231"/>
      <c r="DE68" s="232"/>
      <c r="DF68" s="232"/>
      <c r="DG68" s="232"/>
      <c r="DH68" s="232"/>
      <c r="DI68" s="232"/>
      <c r="DJ68" s="232"/>
      <c r="DK68" s="232"/>
      <c r="DL68" s="232"/>
      <c r="DM68" s="232"/>
      <c r="DN68" s="232"/>
      <c r="DQ68" s="233"/>
      <c r="DV68" s="231"/>
      <c r="DW68" s="231"/>
      <c r="DX68" s="231"/>
      <c r="DY68" s="231"/>
      <c r="DZ68" s="231"/>
      <c r="EA68" s="231"/>
      <c r="EB68" s="231"/>
      <c r="EC68" s="231"/>
      <c r="ED68" s="231"/>
      <c r="EE68" s="231"/>
      <c r="EF68" s="231"/>
      <c r="EG68" s="231"/>
    </row>
    <row r="69" spans="1:137" ht="68.25" customHeight="1">
      <c r="A69" s="270">
        <f t="shared" si="2"/>
        <v>1</v>
      </c>
      <c r="B69" s="280">
        <f t="shared" si="4"/>
        <v>11</v>
      </c>
      <c r="C69" s="234" t="str">
        <f t="shared" si="1"/>
        <v>COLETOR11</v>
      </c>
      <c r="D69" s="271" t="s">
        <v>70</v>
      </c>
      <c r="E69" s="511">
        <v>90094</v>
      </c>
      <c r="F69" s="286" t="s">
        <v>13956</v>
      </c>
      <c r="G69" s="250" t="s">
        <v>18206</v>
      </c>
      <c r="H69" s="245" t="s">
        <v>255</v>
      </c>
      <c r="I69" s="287"/>
      <c r="J69" s="287"/>
      <c r="K69" s="287"/>
      <c r="L69" s="287"/>
      <c r="M69" s="287"/>
      <c r="N69" s="287"/>
      <c r="O69" s="285"/>
      <c r="P69" s="510" t="s">
        <v>30</v>
      </c>
    </row>
    <row r="70" spans="1:137" ht="72" customHeight="1">
      <c r="A70" s="270">
        <f t="shared" si="2"/>
        <v>1</v>
      </c>
      <c r="B70" s="280">
        <f t="shared" si="4"/>
        <v>12</v>
      </c>
      <c r="C70" s="234" t="str">
        <f t="shared" si="1"/>
        <v>COLETOR12</v>
      </c>
      <c r="D70" s="271" t="s">
        <v>70</v>
      </c>
      <c r="E70" s="281">
        <v>90096</v>
      </c>
      <c r="F70" s="286" t="s">
        <v>13959</v>
      </c>
      <c r="G70" s="250" t="s">
        <v>18208</v>
      </c>
      <c r="H70" s="245" t="s">
        <v>255</v>
      </c>
      <c r="I70" s="287"/>
      <c r="J70" s="287"/>
      <c r="K70" s="287"/>
      <c r="L70" s="287"/>
      <c r="M70" s="287"/>
      <c r="N70" s="287"/>
      <c r="O70" s="285"/>
      <c r="P70" s="510" t="s">
        <v>30</v>
      </c>
      <c r="Q70" s="211"/>
      <c r="R70" s="211"/>
      <c r="S70" s="211"/>
      <c r="T70" s="211"/>
      <c r="U70" s="211"/>
      <c r="V70" s="211"/>
      <c r="W70" s="211"/>
      <c r="X70" s="211"/>
      <c r="Y70" s="211"/>
      <c r="Z70" s="211"/>
      <c r="AA70" s="211"/>
      <c r="AB70" s="211"/>
      <c r="AC70" s="211"/>
      <c r="AD70" s="211"/>
      <c r="AE70" s="211"/>
      <c r="AF70" s="211"/>
      <c r="AG70" s="211"/>
      <c r="DE70" s="211"/>
      <c r="DF70" s="211"/>
      <c r="DG70" s="211"/>
      <c r="DH70" s="211"/>
      <c r="DI70" s="211"/>
      <c r="DJ70" s="211"/>
      <c r="DK70" s="211"/>
      <c r="DL70" s="211"/>
      <c r="DM70" s="211"/>
      <c r="DN70" s="211"/>
      <c r="DQ70" s="211"/>
      <c r="DV70" s="211"/>
      <c r="DW70" s="211"/>
      <c r="DX70" s="211"/>
      <c r="DY70" s="211"/>
      <c r="DZ70" s="211"/>
      <c r="EA70" s="211"/>
      <c r="EB70" s="211"/>
      <c r="EC70" s="211"/>
      <c r="ED70" s="211"/>
      <c r="EE70" s="211"/>
      <c r="EF70" s="211"/>
      <c r="EG70" s="211"/>
    </row>
    <row r="71" spans="1:137" ht="41.25" customHeight="1">
      <c r="A71" s="270">
        <f t="shared" si="2"/>
        <v>1</v>
      </c>
      <c r="B71" s="280">
        <f t="shared" si="4"/>
        <v>13</v>
      </c>
      <c r="C71" s="234" t="str">
        <f t="shared" si="1"/>
        <v>COLETOR13</v>
      </c>
      <c r="D71" s="271" t="s">
        <v>13957</v>
      </c>
      <c r="E71" s="281" t="s">
        <v>13958</v>
      </c>
      <c r="F71" s="286" t="s">
        <v>13960</v>
      </c>
      <c r="G71" s="250" t="s">
        <v>14031</v>
      </c>
      <c r="H71" s="245" t="s">
        <v>104</v>
      </c>
      <c r="I71" s="287"/>
      <c r="J71" s="287"/>
      <c r="K71" s="287"/>
      <c r="L71" s="287"/>
      <c r="M71" s="287"/>
      <c r="N71" s="287"/>
      <c r="O71" s="285"/>
      <c r="P71" s="510" t="s">
        <v>30</v>
      </c>
      <c r="Q71" s="211"/>
      <c r="R71" s="211"/>
      <c r="S71" s="211"/>
      <c r="T71" s="211"/>
      <c r="U71" s="211"/>
      <c r="V71" s="211"/>
      <c r="W71" s="211"/>
      <c r="X71" s="211"/>
      <c r="Y71" s="211"/>
      <c r="Z71" s="211"/>
      <c r="AA71" s="211"/>
      <c r="AB71" s="211"/>
      <c r="AC71" s="211"/>
      <c r="AD71" s="211"/>
      <c r="AE71" s="211"/>
      <c r="AF71" s="211"/>
      <c r="AG71" s="211"/>
      <c r="DE71" s="211"/>
      <c r="DF71" s="211"/>
      <c r="DG71" s="211"/>
      <c r="DH71" s="211"/>
      <c r="DI71" s="211"/>
      <c r="DJ71" s="211"/>
      <c r="DK71" s="211"/>
      <c r="DL71" s="211"/>
      <c r="DM71" s="211"/>
      <c r="DN71" s="211"/>
      <c r="DQ71" s="211"/>
      <c r="DV71" s="211"/>
      <c r="DW71" s="211"/>
      <c r="DX71" s="211"/>
      <c r="DY71" s="211"/>
      <c r="DZ71" s="211"/>
      <c r="EA71" s="211"/>
      <c r="EB71" s="211"/>
      <c r="EC71" s="211"/>
      <c r="ED71" s="211"/>
      <c r="EE71" s="211"/>
      <c r="EF71" s="211"/>
      <c r="EG71" s="211"/>
    </row>
    <row r="72" spans="1:137" ht="30" customHeight="1">
      <c r="A72" s="270">
        <f t="shared" si="2"/>
        <v>1</v>
      </c>
      <c r="B72" s="280">
        <f t="shared" si="4"/>
        <v>14</v>
      </c>
      <c r="C72" s="234" t="str">
        <f t="shared" si="1"/>
        <v>COLETOR14</v>
      </c>
      <c r="D72" s="271" t="s">
        <v>1</v>
      </c>
      <c r="E72" s="281">
        <v>192</v>
      </c>
      <c r="F72" s="286" t="s">
        <v>13961</v>
      </c>
      <c r="G72" s="250" t="s">
        <v>19816</v>
      </c>
      <c r="H72" s="245" t="s">
        <v>255</v>
      </c>
      <c r="I72" s="287"/>
      <c r="J72" s="287"/>
      <c r="K72" s="287"/>
      <c r="L72" s="287"/>
      <c r="M72" s="287"/>
      <c r="N72" s="287"/>
      <c r="O72" s="285"/>
      <c r="P72" s="510" t="s">
        <v>30</v>
      </c>
      <c r="Q72" s="211"/>
      <c r="R72" s="211"/>
      <c r="S72" s="211"/>
      <c r="T72" s="211"/>
      <c r="U72" s="211"/>
      <c r="V72" s="211"/>
      <c r="W72" s="211"/>
      <c r="X72" s="211"/>
      <c r="Y72" s="211"/>
      <c r="Z72" s="211"/>
      <c r="AA72" s="211"/>
      <c r="AB72" s="211"/>
      <c r="AC72" s="211"/>
      <c r="AD72" s="211"/>
      <c r="AE72" s="211"/>
      <c r="AF72" s="211"/>
      <c r="AG72" s="211"/>
      <c r="DE72" s="211"/>
      <c r="DF72" s="211"/>
      <c r="DG72" s="211"/>
      <c r="DH72" s="211"/>
      <c r="DI72" s="211"/>
      <c r="DJ72" s="211"/>
      <c r="DK72" s="211"/>
      <c r="DL72" s="211"/>
      <c r="DM72" s="211"/>
      <c r="DN72" s="211"/>
      <c r="DQ72" s="211"/>
      <c r="DV72" s="211"/>
      <c r="DW72" s="211"/>
      <c r="DX72" s="211"/>
      <c r="DY72" s="211"/>
      <c r="DZ72" s="211"/>
      <c r="EA72" s="211"/>
      <c r="EB72" s="211"/>
      <c r="EC72" s="211"/>
      <c r="ED72" s="211"/>
      <c r="EE72" s="211"/>
      <c r="EF72" s="211"/>
      <c r="EG72" s="211"/>
    </row>
    <row r="73" spans="1:137" ht="30" customHeight="1">
      <c r="A73" s="270">
        <f t="shared" si="2"/>
        <v>1</v>
      </c>
      <c r="B73" s="280">
        <f t="shared" si="4"/>
        <v>15</v>
      </c>
      <c r="C73" s="234" t="str">
        <f t="shared" si="1"/>
        <v>COLETOR15</v>
      </c>
      <c r="D73" s="271" t="s">
        <v>1</v>
      </c>
      <c r="E73" s="281">
        <v>193</v>
      </c>
      <c r="F73" s="282" t="s">
        <v>13962</v>
      </c>
      <c r="G73" s="250" t="s">
        <v>19817</v>
      </c>
      <c r="H73" s="245" t="s">
        <v>255</v>
      </c>
      <c r="I73" s="287"/>
      <c r="J73" s="287"/>
      <c r="K73" s="287"/>
      <c r="L73" s="287"/>
      <c r="M73" s="287"/>
      <c r="N73" s="287"/>
      <c r="O73" s="285"/>
      <c r="P73" s="510" t="s">
        <v>30</v>
      </c>
      <c r="Q73" s="211"/>
      <c r="R73" s="211"/>
      <c r="S73" s="211"/>
      <c r="T73" s="211"/>
      <c r="U73" s="211"/>
      <c r="V73" s="211"/>
      <c r="W73" s="211"/>
      <c r="X73" s="211"/>
      <c r="Y73" s="211"/>
      <c r="Z73" s="211"/>
      <c r="AA73" s="211"/>
      <c r="AB73" s="211"/>
      <c r="AC73" s="211"/>
      <c r="AD73" s="211"/>
      <c r="AE73" s="211"/>
      <c r="AF73" s="211"/>
      <c r="AG73" s="211"/>
      <c r="DE73" s="211"/>
      <c r="DF73" s="211"/>
      <c r="DG73" s="211"/>
      <c r="DH73" s="211"/>
      <c r="DI73" s="211"/>
      <c r="DJ73" s="211"/>
      <c r="DK73" s="211"/>
      <c r="DL73" s="211"/>
      <c r="DM73" s="211"/>
      <c r="DN73" s="211"/>
      <c r="DQ73" s="211"/>
      <c r="DV73" s="211"/>
      <c r="DW73" s="211"/>
      <c r="DX73" s="211"/>
      <c r="DY73" s="211"/>
      <c r="DZ73" s="211"/>
      <c r="EA73" s="211"/>
      <c r="EB73" s="211"/>
      <c r="EC73" s="211"/>
      <c r="ED73" s="211"/>
      <c r="EE73" s="211"/>
      <c r="EF73" s="211"/>
      <c r="EG73" s="211"/>
    </row>
    <row r="74" spans="1:137" ht="45" customHeight="1">
      <c r="A74" s="270">
        <f t="shared" si="2"/>
        <v>1</v>
      </c>
      <c r="B74" s="280">
        <f t="shared" si="4"/>
        <v>16</v>
      </c>
      <c r="C74" s="234" t="str">
        <f t="shared" si="1"/>
        <v>COLETOR16</v>
      </c>
      <c r="D74" s="271" t="s">
        <v>1</v>
      </c>
      <c r="E74" s="281">
        <v>186</v>
      </c>
      <c r="F74" s="282" t="s">
        <v>13964</v>
      </c>
      <c r="G74" s="250" t="s">
        <v>19818</v>
      </c>
      <c r="H74" s="245" t="s">
        <v>255</v>
      </c>
      <c r="I74" s="287"/>
      <c r="J74" s="287"/>
      <c r="K74" s="287"/>
      <c r="L74" s="287"/>
      <c r="M74" s="287"/>
      <c r="N74" s="287"/>
      <c r="O74" s="285"/>
      <c r="P74" s="510" t="s">
        <v>30</v>
      </c>
      <c r="Q74" s="211"/>
      <c r="R74" s="211"/>
      <c r="S74" s="211"/>
      <c r="T74" s="211"/>
      <c r="U74" s="211"/>
      <c r="V74" s="211"/>
      <c r="W74" s="211"/>
      <c r="X74" s="211"/>
      <c r="Y74" s="211"/>
      <c r="Z74" s="211"/>
      <c r="AA74" s="211"/>
      <c r="AB74" s="211"/>
      <c r="AC74" s="211"/>
      <c r="AD74" s="211"/>
      <c r="AE74" s="211"/>
      <c r="AF74" s="211"/>
      <c r="AG74" s="211"/>
      <c r="DE74" s="211"/>
      <c r="DF74" s="211"/>
      <c r="DG74" s="211"/>
      <c r="DH74" s="211"/>
      <c r="DI74" s="211"/>
      <c r="DJ74" s="211"/>
      <c r="DK74" s="211"/>
      <c r="DL74" s="211"/>
      <c r="DM74" s="211"/>
      <c r="DN74" s="211"/>
      <c r="DQ74" s="211"/>
      <c r="DV74" s="211"/>
      <c r="DW74" s="211"/>
      <c r="DX74" s="211"/>
      <c r="DY74" s="211"/>
      <c r="DZ74" s="211"/>
      <c r="EA74" s="211"/>
      <c r="EB74" s="211"/>
      <c r="EC74" s="211"/>
      <c r="ED74" s="211"/>
      <c r="EE74" s="211"/>
      <c r="EF74" s="211"/>
      <c r="EG74" s="211"/>
    </row>
    <row r="75" spans="1:137" ht="25.5">
      <c r="A75" s="270">
        <f t="shared" si="2"/>
        <v>1</v>
      </c>
      <c r="B75" s="280">
        <f t="shared" si="4"/>
        <v>17</v>
      </c>
      <c r="C75" s="234" t="str">
        <f t="shared" si="1"/>
        <v>COLETOR17</v>
      </c>
      <c r="D75" s="271" t="s">
        <v>13957</v>
      </c>
      <c r="E75" s="281" t="s">
        <v>13963</v>
      </c>
      <c r="F75" s="282" t="s">
        <v>13965</v>
      </c>
      <c r="G75" s="250" t="s">
        <v>14032</v>
      </c>
      <c r="H75" s="245" t="s">
        <v>104</v>
      </c>
      <c r="I75" s="287"/>
      <c r="J75" s="287"/>
      <c r="K75" s="287"/>
      <c r="L75" s="287"/>
      <c r="M75" s="287"/>
      <c r="N75" s="287"/>
      <c r="O75" s="285"/>
      <c r="P75" s="510" t="s">
        <v>30</v>
      </c>
      <c r="Q75" s="211"/>
      <c r="R75" s="211"/>
      <c r="S75" s="211"/>
      <c r="T75" s="211"/>
      <c r="U75" s="211"/>
      <c r="V75" s="211"/>
      <c r="W75" s="211"/>
      <c r="X75" s="211"/>
      <c r="Y75" s="211"/>
      <c r="Z75" s="211"/>
      <c r="AA75" s="211"/>
      <c r="AB75" s="211"/>
      <c r="AC75" s="211"/>
      <c r="AD75" s="211"/>
      <c r="AE75" s="211"/>
      <c r="AF75" s="211"/>
      <c r="AG75" s="211"/>
      <c r="DE75" s="211"/>
      <c r="DF75" s="211"/>
      <c r="DG75" s="211"/>
      <c r="DH75" s="211"/>
      <c r="DI75" s="211"/>
      <c r="DJ75" s="211"/>
      <c r="DK75" s="211"/>
      <c r="DL75" s="211"/>
      <c r="DM75" s="211"/>
      <c r="DN75" s="211"/>
      <c r="DQ75" s="211"/>
      <c r="DV75" s="211"/>
      <c r="DW75" s="211"/>
      <c r="DX75" s="211"/>
      <c r="DY75" s="211"/>
      <c r="DZ75" s="211"/>
      <c r="EA75" s="211"/>
      <c r="EB75" s="211"/>
      <c r="EC75" s="211"/>
      <c r="ED75" s="211"/>
      <c r="EE75" s="211"/>
      <c r="EF75" s="211"/>
      <c r="EG75" s="211"/>
    </row>
    <row r="76" spans="1:137" ht="31.5" customHeight="1">
      <c r="A76" s="270">
        <f t="shared" si="2"/>
        <v>1</v>
      </c>
      <c r="B76" s="280">
        <f t="shared" si="4"/>
        <v>18</v>
      </c>
      <c r="C76" s="234" t="str">
        <f t="shared" si="1"/>
        <v>COLETOR18</v>
      </c>
      <c r="D76" s="271" t="s">
        <v>1</v>
      </c>
      <c r="E76" s="281">
        <v>194</v>
      </c>
      <c r="F76" s="282" t="s">
        <v>13966</v>
      </c>
      <c r="G76" s="250" t="s">
        <v>19819</v>
      </c>
      <c r="H76" s="245" t="s">
        <v>255</v>
      </c>
      <c r="I76" s="287"/>
      <c r="J76" s="287"/>
      <c r="K76" s="287"/>
      <c r="L76" s="287"/>
      <c r="M76" s="287"/>
      <c r="N76" s="287"/>
      <c r="O76" s="285"/>
      <c r="P76" s="510" t="s">
        <v>30</v>
      </c>
      <c r="Q76" s="211"/>
      <c r="R76" s="211"/>
      <c r="S76" s="211"/>
      <c r="T76" s="211"/>
      <c r="U76" s="211"/>
      <c r="V76" s="211"/>
      <c r="W76" s="211"/>
      <c r="X76" s="211"/>
      <c r="Y76" s="211"/>
      <c r="Z76" s="211"/>
      <c r="AA76" s="211"/>
      <c r="AB76" s="211"/>
      <c r="AC76" s="211"/>
      <c r="AD76" s="211"/>
      <c r="AE76" s="211"/>
      <c r="AF76" s="211"/>
      <c r="AG76" s="211"/>
      <c r="DE76" s="211"/>
      <c r="DF76" s="211"/>
      <c r="DG76" s="211"/>
      <c r="DH76" s="211"/>
      <c r="DI76" s="211"/>
      <c r="DJ76" s="211"/>
      <c r="DK76" s="211"/>
      <c r="DL76" s="211"/>
      <c r="DM76" s="211"/>
      <c r="DN76" s="211"/>
      <c r="DQ76" s="211"/>
      <c r="DV76" s="211"/>
      <c r="DW76" s="211"/>
      <c r="DX76" s="211"/>
      <c r="DY76" s="211"/>
      <c r="DZ76" s="211"/>
      <c r="EA76" s="211"/>
      <c r="EB76" s="211"/>
      <c r="EC76" s="211"/>
      <c r="ED76" s="211"/>
      <c r="EE76" s="211"/>
      <c r="EF76" s="211"/>
      <c r="EG76" s="211"/>
    </row>
    <row r="77" spans="1:137" ht="33.75" customHeight="1">
      <c r="A77" s="270">
        <f t="shared" si="2"/>
        <v>1</v>
      </c>
      <c r="B77" s="280">
        <f t="shared" si="4"/>
        <v>19</v>
      </c>
      <c r="C77" s="234" t="str">
        <f t="shared" si="1"/>
        <v>COLETOR19</v>
      </c>
      <c r="D77" s="271" t="s">
        <v>1</v>
      </c>
      <c r="E77" s="281">
        <v>195</v>
      </c>
      <c r="F77" s="282" t="s">
        <v>13969</v>
      </c>
      <c r="G77" s="250" t="s">
        <v>19820</v>
      </c>
      <c r="H77" s="245" t="s">
        <v>255</v>
      </c>
      <c r="I77" s="287"/>
      <c r="J77" s="287"/>
      <c r="K77" s="287"/>
      <c r="L77" s="287"/>
      <c r="M77" s="287"/>
      <c r="N77" s="287"/>
      <c r="O77" s="285"/>
      <c r="P77" s="510" t="s">
        <v>30</v>
      </c>
      <c r="Q77" s="211"/>
      <c r="R77" s="211"/>
      <c r="S77" s="211"/>
      <c r="T77" s="211"/>
      <c r="U77" s="211"/>
      <c r="V77" s="211"/>
      <c r="W77" s="211"/>
      <c r="X77" s="211"/>
      <c r="Y77" s="211"/>
      <c r="Z77" s="211"/>
      <c r="AA77" s="211"/>
      <c r="AB77" s="211"/>
      <c r="AC77" s="211"/>
      <c r="AD77" s="211"/>
      <c r="AE77" s="211"/>
      <c r="AF77" s="211"/>
      <c r="AG77" s="211"/>
      <c r="DE77" s="211"/>
      <c r="DF77" s="211"/>
      <c r="DG77" s="211"/>
      <c r="DH77" s="211"/>
      <c r="DI77" s="211"/>
      <c r="DJ77" s="211"/>
      <c r="DK77" s="211"/>
      <c r="DL77" s="211"/>
      <c r="DM77" s="211"/>
      <c r="DN77" s="211"/>
      <c r="DQ77" s="211"/>
      <c r="DV77" s="211"/>
      <c r="DW77" s="211"/>
      <c r="DX77" s="211"/>
      <c r="DY77" s="211"/>
      <c r="DZ77" s="211"/>
      <c r="EA77" s="211"/>
      <c r="EB77" s="211"/>
      <c r="EC77" s="211"/>
      <c r="ED77" s="211"/>
      <c r="EE77" s="211"/>
      <c r="EF77" s="211"/>
      <c r="EG77" s="211"/>
    </row>
    <row r="78" spans="1:137" ht="33.75" customHeight="1">
      <c r="A78" s="270">
        <f t="shared" si="2"/>
        <v>1</v>
      </c>
      <c r="B78" s="280">
        <f t="shared" si="4"/>
        <v>20</v>
      </c>
      <c r="C78" s="234" t="str">
        <f t="shared" si="1"/>
        <v>COLETOR20</v>
      </c>
      <c r="D78" s="271" t="s">
        <v>1</v>
      </c>
      <c r="E78" s="281">
        <v>189</v>
      </c>
      <c r="F78" s="282" t="s">
        <v>13967</v>
      </c>
      <c r="G78" s="250" t="s">
        <v>19821</v>
      </c>
      <c r="H78" s="245" t="s">
        <v>255</v>
      </c>
      <c r="I78" s="287"/>
      <c r="J78" s="287"/>
      <c r="K78" s="287"/>
      <c r="L78" s="287"/>
      <c r="M78" s="287"/>
      <c r="N78" s="287"/>
      <c r="O78" s="285"/>
      <c r="P78" s="510" t="s">
        <v>30</v>
      </c>
      <c r="Q78" s="211"/>
      <c r="R78" s="211"/>
      <c r="S78" s="211"/>
      <c r="T78" s="211"/>
      <c r="U78" s="211"/>
      <c r="V78" s="211"/>
      <c r="W78" s="211"/>
      <c r="X78" s="211"/>
      <c r="Y78" s="211"/>
      <c r="Z78" s="211"/>
      <c r="AA78" s="211"/>
      <c r="AB78" s="211"/>
      <c r="AC78" s="211"/>
      <c r="AD78" s="211"/>
      <c r="AE78" s="211"/>
      <c r="AF78" s="211"/>
      <c r="AG78" s="211"/>
      <c r="DE78" s="211"/>
      <c r="DF78" s="211"/>
      <c r="DG78" s="211"/>
      <c r="DH78" s="211"/>
      <c r="DI78" s="211"/>
      <c r="DJ78" s="211"/>
      <c r="DK78" s="211"/>
      <c r="DL78" s="211"/>
      <c r="DM78" s="211"/>
      <c r="DN78" s="211"/>
      <c r="DQ78" s="211"/>
      <c r="DV78" s="211"/>
      <c r="DW78" s="211"/>
      <c r="DX78" s="211"/>
      <c r="DY78" s="211"/>
      <c r="DZ78" s="211"/>
      <c r="EA78" s="211"/>
      <c r="EB78" s="211"/>
      <c r="EC78" s="211"/>
      <c r="ED78" s="211"/>
      <c r="EE78" s="211"/>
      <c r="EF78" s="211"/>
      <c r="EG78" s="211"/>
    </row>
    <row r="79" spans="1:137" ht="25.5">
      <c r="A79" s="270">
        <f t="shared" si="2"/>
        <v>1</v>
      </c>
      <c r="B79" s="280">
        <f t="shared" si="4"/>
        <v>21</v>
      </c>
      <c r="C79" s="234" t="str">
        <f t="shared" si="1"/>
        <v>COLETOR21</v>
      </c>
      <c r="D79" s="271" t="s">
        <v>13957</v>
      </c>
      <c r="E79" s="281" t="s">
        <v>13968</v>
      </c>
      <c r="F79" s="282" t="s">
        <v>13970</v>
      </c>
      <c r="G79" s="250" t="s">
        <v>14033</v>
      </c>
      <c r="H79" s="245" t="s">
        <v>104</v>
      </c>
      <c r="I79" s="287"/>
      <c r="J79" s="287"/>
      <c r="K79" s="287"/>
      <c r="L79" s="287"/>
      <c r="M79" s="287"/>
      <c r="N79" s="287"/>
      <c r="O79" s="285"/>
      <c r="P79" s="510" t="s">
        <v>30</v>
      </c>
      <c r="Q79" s="211"/>
      <c r="R79" s="211"/>
      <c r="S79" s="211"/>
      <c r="T79" s="211"/>
      <c r="U79" s="211"/>
      <c r="V79" s="211"/>
      <c r="W79" s="211"/>
      <c r="X79" s="211"/>
      <c r="Y79" s="211"/>
      <c r="Z79" s="211"/>
      <c r="AA79" s="211"/>
      <c r="AB79" s="211"/>
      <c r="AC79" s="211"/>
      <c r="AD79" s="211"/>
      <c r="AE79" s="211"/>
      <c r="AF79" s="211"/>
      <c r="AG79" s="211"/>
      <c r="DE79" s="211"/>
      <c r="DF79" s="211"/>
      <c r="DG79" s="211"/>
      <c r="DH79" s="211"/>
      <c r="DI79" s="211"/>
      <c r="DJ79" s="211"/>
      <c r="DK79" s="211"/>
      <c r="DL79" s="211"/>
      <c r="DM79" s="211"/>
      <c r="DN79" s="211"/>
      <c r="DQ79" s="211"/>
      <c r="DV79" s="211"/>
      <c r="DW79" s="211"/>
      <c r="DX79" s="211"/>
      <c r="DY79" s="211"/>
      <c r="DZ79" s="211"/>
      <c r="EA79" s="211"/>
      <c r="EB79" s="211"/>
      <c r="EC79" s="211"/>
      <c r="ED79" s="211"/>
      <c r="EE79" s="211"/>
      <c r="EF79" s="211"/>
      <c r="EG79" s="211"/>
    </row>
    <row r="80" spans="1:137" ht="22.5" customHeight="1">
      <c r="A80" s="270">
        <f t="shared" si="2"/>
        <v>1</v>
      </c>
      <c r="B80" s="280">
        <f t="shared" si="4"/>
        <v>22</v>
      </c>
      <c r="C80" s="234" t="str">
        <f t="shared" si="1"/>
        <v>COLETOR22</v>
      </c>
      <c r="D80" s="271" t="s">
        <v>70</v>
      </c>
      <c r="E80" s="281">
        <v>93358</v>
      </c>
      <c r="F80" s="282" t="s">
        <v>13970</v>
      </c>
      <c r="G80" s="250" t="s">
        <v>826</v>
      </c>
      <c r="H80" s="245" t="s">
        <v>255</v>
      </c>
      <c r="I80" s="287"/>
      <c r="J80" s="287"/>
      <c r="K80" s="287"/>
      <c r="L80" s="287"/>
      <c r="M80" s="287"/>
      <c r="N80" s="287"/>
      <c r="O80" s="285"/>
      <c r="P80" s="510" t="s">
        <v>30</v>
      </c>
      <c r="Q80" s="211"/>
      <c r="R80" s="211"/>
      <c r="S80" s="211"/>
      <c r="T80" s="211"/>
      <c r="U80" s="211"/>
      <c r="V80" s="211"/>
      <c r="W80" s="211"/>
      <c r="X80" s="211"/>
      <c r="Y80" s="211"/>
      <c r="Z80" s="211"/>
      <c r="AA80" s="211"/>
      <c r="AB80" s="211"/>
      <c r="AC80" s="211"/>
      <c r="AD80" s="211"/>
      <c r="AE80" s="211"/>
      <c r="AF80" s="211"/>
      <c r="AG80" s="211"/>
      <c r="DE80" s="211"/>
      <c r="DF80" s="211"/>
      <c r="DG80" s="211"/>
      <c r="DH80" s="211"/>
      <c r="DI80" s="211"/>
      <c r="DJ80" s="211"/>
      <c r="DK80" s="211"/>
      <c r="DL80" s="211"/>
      <c r="DM80" s="211"/>
      <c r="DN80" s="211"/>
      <c r="DQ80" s="211"/>
      <c r="DV80" s="211"/>
      <c r="DW80" s="211"/>
      <c r="DX80" s="211"/>
      <c r="DY80" s="211"/>
      <c r="DZ80" s="211"/>
      <c r="EA80" s="211"/>
      <c r="EB80" s="211"/>
      <c r="EC80" s="211"/>
      <c r="ED80" s="211"/>
      <c r="EE80" s="211"/>
      <c r="EF80" s="211"/>
      <c r="EG80" s="211"/>
    </row>
    <row r="81" spans="1:137" ht="25.5">
      <c r="A81" s="270">
        <f t="shared" si="2"/>
        <v>1</v>
      </c>
      <c r="B81" s="280">
        <f t="shared" si="4"/>
        <v>23</v>
      </c>
      <c r="C81" s="234" t="str">
        <f t="shared" si="1"/>
        <v>COLETOR23</v>
      </c>
      <c r="D81" s="271" t="s">
        <v>1</v>
      </c>
      <c r="E81" s="281">
        <v>170</v>
      </c>
      <c r="F81" s="282" t="s">
        <v>13971</v>
      </c>
      <c r="G81" s="250" t="s">
        <v>19822</v>
      </c>
      <c r="H81" s="245" t="s">
        <v>255</v>
      </c>
      <c r="I81" s="287"/>
      <c r="J81" s="287"/>
      <c r="K81" s="287"/>
      <c r="L81" s="287"/>
      <c r="M81" s="287"/>
      <c r="N81" s="287"/>
      <c r="O81" s="285"/>
      <c r="P81" s="510" t="s">
        <v>30</v>
      </c>
      <c r="Q81" s="211"/>
      <c r="R81" s="211"/>
      <c r="S81" s="211"/>
      <c r="T81" s="211"/>
      <c r="U81" s="211"/>
      <c r="V81" s="211"/>
      <c r="W81" s="211"/>
      <c r="X81" s="211"/>
      <c r="Y81" s="211"/>
      <c r="Z81" s="211"/>
      <c r="AA81" s="211"/>
      <c r="AB81" s="211"/>
      <c r="AC81" s="211"/>
      <c r="AD81" s="211"/>
      <c r="AE81" s="211"/>
      <c r="AF81" s="211"/>
      <c r="AG81" s="211"/>
      <c r="DE81" s="211"/>
      <c r="DF81" s="211"/>
      <c r="DG81" s="211"/>
      <c r="DH81" s="211"/>
      <c r="DI81" s="211"/>
      <c r="DJ81" s="211"/>
      <c r="DK81" s="211"/>
      <c r="DL81" s="211"/>
      <c r="DM81" s="211"/>
      <c r="DN81" s="211"/>
      <c r="DQ81" s="211"/>
      <c r="DV81" s="211"/>
      <c r="DW81" s="211"/>
      <c r="DX81" s="211"/>
      <c r="DY81" s="211"/>
      <c r="DZ81" s="211"/>
      <c r="EA81" s="211"/>
      <c r="EB81" s="211"/>
      <c r="EC81" s="211"/>
      <c r="ED81" s="211"/>
      <c r="EE81" s="211"/>
      <c r="EF81" s="211"/>
      <c r="EG81" s="211"/>
    </row>
    <row r="82" spans="1:137" ht="25.5">
      <c r="A82" s="270">
        <f t="shared" si="2"/>
        <v>1</v>
      </c>
      <c r="B82" s="280">
        <f t="shared" si="4"/>
        <v>24</v>
      </c>
      <c r="C82" s="234" t="str">
        <f t="shared" si="1"/>
        <v>COLETOR24</v>
      </c>
      <c r="D82" s="271" t="s">
        <v>1</v>
      </c>
      <c r="E82" s="281">
        <v>171</v>
      </c>
      <c r="F82" s="282" t="s">
        <v>19769</v>
      </c>
      <c r="G82" s="250" t="s">
        <v>19823</v>
      </c>
      <c r="H82" s="245" t="s">
        <v>255</v>
      </c>
      <c r="I82" s="287"/>
      <c r="J82" s="287"/>
      <c r="K82" s="287"/>
      <c r="L82" s="287"/>
      <c r="M82" s="287"/>
      <c r="N82" s="287"/>
      <c r="O82" s="285"/>
      <c r="P82" s="510" t="s">
        <v>30</v>
      </c>
      <c r="Q82" s="211"/>
      <c r="R82" s="211"/>
      <c r="S82" s="211"/>
      <c r="T82" s="211"/>
      <c r="U82" s="211"/>
      <c r="V82" s="211"/>
      <c r="W82" s="211"/>
      <c r="X82" s="211"/>
      <c r="Y82" s="211"/>
      <c r="Z82" s="211"/>
      <c r="AA82" s="211"/>
      <c r="AB82" s="211"/>
      <c r="AC82" s="211"/>
      <c r="AD82" s="211"/>
      <c r="AE82" s="211"/>
      <c r="AF82" s="211"/>
      <c r="AG82" s="211"/>
      <c r="DE82" s="211"/>
      <c r="DF82" s="211"/>
      <c r="DG82" s="211"/>
      <c r="DH82" s="211"/>
      <c r="DI82" s="211"/>
      <c r="DJ82" s="211"/>
      <c r="DK82" s="211"/>
      <c r="DL82" s="211"/>
      <c r="DM82" s="211"/>
      <c r="DN82" s="211"/>
      <c r="DQ82" s="211"/>
      <c r="DV82" s="211"/>
      <c r="DW82" s="211"/>
      <c r="DX82" s="211"/>
      <c r="DY82" s="211"/>
      <c r="DZ82" s="211"/>
      <c r="EA82" s="211"/>
      <c r="EB82" s="211"/>
      <c r="EC82" s="211"/>
      <c r="ED82" s="211"/>
      <c r="EE82" s="211"/>
      <c r="EF82" s="211"/>
      <c r="EG82" s="211"/>
    </row>
    <row r="83" spans="1:137" ht="38.25">
      <c r="A83" s="270">
        <f t="shared" si="2"/>
        <v>1</v>
      </c>
      <c r="B83" s="280">
        <f t="shared" si="4"/>
        <v>25</v>
      </c>
      <c r="C83" s="234" t="str">
        <f t="shared" si="1"/>
        <v>COLETOR25</v>
      </c>
      <c r="D83" s="271" t="s">
        <v>1</v>
      </c>
      <c r="E83" s="281">
        <v>172</v>
      </c>
      <c r="F83" s="282" t="s">
        <v>19770</v>
      </c>
      <c r="G83" s="250" t="s">
        <v>19824</v>
      </c>
      <c r="H83" s="245" t="s">
        <v>255</v>
      </c>
      <c r="I83" s="287"/>
      <c r="J83" s="287"/>
      <c r="K83" s="287"/>
      <c r="L83" s="287"/>
      <c r="M83" s="287"/>
      <c r="N83" s="287"/>
      <c r="O83" s="285"/>
      <c r="P83" s="510" t="s">
        <v>30</v>
      </c>
      <c r="Q83" s="211"/>
      <c r="R83" s="211"/>
      <c r="S83" s="211"/>
      <c r="T83" s="211"/>
      <c r="U83" s="211"/>
      <c r="V83" s="211"/>
      <c r="W83" s="211"/>
      <c r="X83" s="211"/>
      <c r="Y83" s="211"/>
      <c r="Z83" s="211"/>
      <c r="AA83" s="211"/>
      <c r="AB83" s="211"/>
      <c r="AC83" s="211"/>
      <c r="AD83" s="211"/>
      <c r="AE83" s="211"/>
      <c r="AF83" s="211"/>
      <c r="AG83" s="211"/>
      <c r="DE83" s="211"/>
      <c r="DF83" s="211"/>
      <c r="DG83" s="211"/>
      <c r="DH83" s="211"/>
      <c r="DI83" s="211"/>
      <c r="DJ83" s="211"/>
      <c r="DK83" s="211"/>
      <c r="DL83" s="211"/>
      <c r="DM83" s="211"/>
      <c r="DN83" s="211"/>
      <c r="DQ83" s="211"/>
      <c r="DV83" s="211"/>
      <c r="DW83" s="211"/>
      <c r="DX83" s="211"/>
      <c r="DY83" s="211"/>
      <c r="DZ83" s="211"/>
      <c r="EA83" s="211"/>
      <c r="EB83" s="211"/>
      <c r="EC83" s="211"/>
      <c r="ED83" s="211"/>
      <c r="EE83" s="211"/>
      <c r="EF83" s="211"/>
      <c r="EG83" s="211"/>
    </row>
    <row r="84" spans="1:137" ht="38.25">
      <c r="A84" s="270">
        <f t="shared" si="2"/>
        <v>1</v>
      </c>
      <c r="B84" s="280">
        <f t="shared" si="4"/>
        <v>26</v>
      </c>
      <c r="C84" s="234" t="str">
        <f t="shared" si="1"/>
        <v>COLETOR26</v>
      </c>
      <c r="D84" s="271" t="s">
        <v>1</v>
      </c>
      <c r="E84" s="281">
        <v>173</v>
      </c>
      <c r="F84" s="282" t="s">
        <v>13972</v>
      </c>
      <c r="G84" s="250" t="s">
        <v>19825</v>
      </c>
      <c r="H84" s="245" t="s">
        <v>255</v>
      </c>
      <c r="I84" s="287"/>
      <c r="J84" s="287"/>
      <c r="K84" s="287"/>
      <c r="L84" s="287"/>
      <c r="M84" s="287"/>
      <c r="N84" s="287"/>
      <c r="O84" s="285"/>
      <c r="P84" s="510" t="s">
        <v>30</v>
      </c>
      <c r="Q84" s="211"/>
      <c r="R84" s="211"/>
      <c r="S84" s="211"/>
      <c r="T84" s="211"/>
      <c r="U84" s="211"/>
      <c r="V84" s="211"/>
      <c r="W84" s="211"/>
      <c r="X84" s="211"/>
      <c r="Y84" s="211"/>
      <c r="Z84" s="211"/>
      <c r="AA84" s="211"/>
      <c r="AB84" s="211"/>
      <c r="AC84" s="211"/>
      <c r="AD84" s="211"/>
      <c r="AE84" s="211"/>
      <c r="AF84" s="211"/>
      <c r="AG84" s="211"/>
      <c r="DE84" s="211"/>
      <c r="DF84" s="211"/>
      <c r="DG84" s="211"/>
      <c r="DH84" s="211"/>
      <c r="DI84" s="211"/>
      <c r="DJ84" s="211"/>
      <c r="DK84" s="211"/>
      <c r="DL84" s="211"/>
      <c r="DM84" s="211"/>
      <c r="DN84" s="211"/>
      <c r="DQ84" s="211"/>
      <c r="DV84" s="211"/>
      <c r="DW84" s="211"/>
      <c r="DX84" s="211"/>
      <c r="DY84" s="211"/>
      <c r="DZ84" s="211"/>
      <c r="EA84" s="211"/>
      <c r="EB84" s="211"/>
      <c r="EC84" s="211"/>
      <c r="ED84" s="211"/>
      <c r="EE84" s="211"/>
      <c r="EF84" s="211"/>
      <c r="EG84" s="211"/>
    </row>
    <row r="85" spans="1:137" ht="25.5">
      <c r="A85" s="270">
        <f t="shared" si="2"/>
        <v>1</v>
      </c>
      <c r="B85" s="280">
        <f t="shared" si="4"/>
        <v>27</v>
      </c>
      <c r="C85" s="234" t="str">
        <f t="shared" si="1"/>
        <v>COLETOR27</v>
      </c>
      <c r="D85" s="271" t="s">
        <v>1</v>
      </c>
      <c r="E85" s="281">
        <v>176</v>
      </c>
      <c r="F85" s="282" t="s">
        <v>13973</v>
      </c>
      <c r="G85" s="250" t="s">
        <v>19826</v>
      </c>
      <c r="H85" s="245" t="s">
        <v>255</v>
      </c>
      <c r="I85" s="287"/>
      <c r="J85" s="287"/>
      <c r="K85" s="287"/>
      <c r="L85" s="287"/>
      <c r="M85" s="287"/>
      <c r="N85" s="287"/>
      <c r="O85" s="285"/>
      <c r="P85" s="510" t="s">
        <v>30</v>
      </c>
      <c r="Q85" s="211"/>
      <c r="R85" s="211"/>
      <c r="S85" s="211"/>
      <c r="T85" s="211"/>
      <c r="U85" s="211"/>
      <c r="V85" s="211"/>
      <c r="W85" s="211"/>
      <c r="X85" s="211"/>
      <c r="Y85" s="211"/>
      <c r="Z85" s="211"/>
      <c r="AA85" s="211"/>
      <c r="AB85" s="211"/>
      <c r="AC85" s="211"/>
      <c r="AD85" s="211"/>
      <c r="AE85" s="211"/>
      <c r="AF85" s="211"/>
      <c r="AG85" s="211"/>
      <c r="DE85" s="211"/>
      <c r="DF85" s="211"/>
      <c r="DG85" s="211"/>
      <c r="DH85" s="211"/>
      <c r="DI85" s="211"/>
      <c r="DJ85" s="211"/>
      <c r="DK85" s="211"/>
      <c r="DL85" s="211"/>
      <c r="DM85" s="211"/>
      <c r="DN85" s="211"/>
      <c r="DQ85" s="211"/>
      <c r="DV85" s="211"/>
      <c r="DW85" s="211"/>
      <c r="DX85" s="211"/>
      <c r="DY85" s="211"/>
      <c r="DZ85" s="211"/>
      <c r="EA85" s="211"/>
      <c r="EB85" s="211"/>
      <c r="EC85" s="211"/>
      <c r="ED85" s="211"/>
      <c r="EE85" s="211"/>
      <c r="EF85" s="211"/>
      <c r="EG85" s="211"/>
    </row>
    <row r="86" spans="1:137" ht="25.5">
      <c r="A86" s="270">
        <f t="shared" si="2"/>
        <v>1</v>
      </c>
      <c r="B86" s="280">
        <f t="shared" si="4"/>
        <v>28</v>
      </c>
      <c r="C86" s="234" t="str">
        <f t="shared" si="1"/>
        <v>COLETOR28</v>
      </c>
      <c r="D86" s="271" t="s">
        <v>1</v>
      </c>
      <c r="E86" s="281">
        <v>177</v>
      </c>
      <c r="F86" s="282" t="s">
        <v>19771</v>
      </c>
      <c r="G86" s="250" t="s">
        <v>19827</v>
      </c>
      <c r="H86" s="245" t="s">
        <v>255</v>
      </c>
      <c r="I86" s="287"/>
      <c r="J86" s="287"/>
      <c r="K86" s="287"/>
      <c r="L86" s="287"/>
      <c r="M86" s="287"/>
      <c r="N86" s="287"/>
      <c r="O86" s="285"/>
      <c r="P86" s="510" t="s">
        <v>30</v>
      </c>
      <c r="Q86" s="211"/>
      <c r="R86" s="211"/>
      <c r="S86" s="211"/>
      <c r="T86" s="211"/>
      <c r="U86" s="211"/>
      <c r="V86" s="211"/>
      <c r="W86" s="211"/>
      <c r="X86" s="211"/>
      <c r="Y86" s="211"/>
      <c r="Z86" s="211"/>
      <c r="AA86" s="211"/>
      <c r="AB86" s="211"/>
      <c r="AC86" s="211"/>
      <c r="AD86" s="211"/>
      <c r="AE86" s="211"/>
      <c r="AF86" s="211"/>
      <c r="AG86" s="211"/>
      <c r="DE86" s="211"/>
      <c r="DF86" s="211"/>
      <c r="DG86" s="211"/>
      <c r="DH86" s="211"/>
      <c r="DI86" s="211"/>
      <c r="DJ86" s="211"/>
      <c r="DK86" s="211"/>
      <c r="DL86" s="211"/>
      <c r="DM86" s="211"/>
      <c r="DN86" s="211"/>
      <c r="DQ86" s="211"/>
      <c r="DV86" s="211"/>
      <c r="DW86" s="211"/>
      <c r="DX86" s="211"/>
      <c r="DY86" s="211"/>
      <c r="DZ86" s="211"/>
      <c r="EA86" s="211"/>
      <c r="EB86" s="211"/>
      <c r="EC86" s="211"/>
      <c r="ED86" s="211"/>
      <c r="EE86" s="211"/>
      <c r="EF86" s="211"/>
      <c r="EG86" s="211"/>
    </row>
    <row r="87" spans="1:137" ht="25.5">
      <c r="A87" s="270">
        <f t="shared" si="2"/>
        <v>1</v>
      </c>
      <c r="B87" s="280">
        <f t="shared" si="4"/>
        <v>29</v>
      </c>
      <c r="C87" s="234" t="str">
        <f t="shared" si="1"/>
        <v>COLETOR29</v>
      </c>
      <c r="D87" s="271" t="s">
        <v>70</v>
      </c>
      <c r="E87" s="281">
        <v>94097</v>
      </c>
      <c r="F87" s="282" t="s">
        <v>19772</v>
      </c>
      <c r="G87" s="250" t="s">
        <v>18292</v>
      </c>
      <c r="H87" s="245" t="s">
        <v>256</v>
      </c>
      <c r="I87" s="509"/>
      <c r="J87" s="509"/>
      <c r="K87" s="509"/>
      <c r="L87" s="509"/>
      <c r="M87" s="509"/>
      <c r="N87" s="509"/>
      <c r="O87" s="285"/>
      <c r="P87" s="283" t="s">
        <v>19765</v>
      </c>
      <c r="Q87" s="211"/>
      <c r="R87" s="211"/>
      <c r="S87" s="211"/>
      <c r="T87" s="211"/>
      <c r="U87" s="211"/>
      <c r="V87" s="211"/>
      <c r="W87" s="211"/>
      <c r="X87" s="211"/>
      <c r="Y87" s="211"/>
      <c r="Z87" s="211"/>
      <c r="AA87" s="211"/>
      <c r="AB87" s="211"/>
      <c r="AC87" s="211"/>
      <c r="AD87" s="211"/>
      <c r="AE87" s="211"/>
      <c r="AF87" s="211"/>
      <c r="AG87" s="211"/>
      <c r="DE87" s="211"/>
      <c r="DF87" s="211"/>
      <c r="DG87" s="211"/>
      <c r="DH87" s="211"/>
      <c r="DI87" s="211"/>
      <c r="DJ87" s="211"/>
      <c r="DK87" s="211"/>
      <c r="DL87" s="211"/>
      <c r="DM87" s="211"/>
      <c r="DN87" s="211"/>
      <c r="DQ87" s="211"/>
      <c r="DV87" s="211"/>
      <c r="DW87" s="211"/>
      <c r="DX87" s="211"/>
      <c r="DY87" s="211"/>
      <c r="DZ87" s="211"/>
      <c r="EA87" s="211"/>
      <c r="EB87" s="211"/>
      <c r="EC87" s="211"/>
      <c r="ED87" s="211"/>
      <c r="EE87" s="211"/>
      <c r="EF87" s="211"/>
      <c r="EG87" s="211"/>
    </row>
    <row r="88" spans="1:137" ht="21" customHeight="1">
      <c r="A88" s="270">
        <f t="shared" si="2"/>
        <v>1</v>
      </c>
      <c r="B88" s="280">
        <f t="shared" si="4"/>
        <v>30</v>
      </c>
      <c r="C88" s="234" t="str">
        <f t="shared" si="1"/>
        <v>COLETOR30</v>
      </c>
      <c r="D88" s="271" t="s">
        <v>70</v>
      </c>
      <c r="E88" s="281" t="s">
        <v>18237</v>
      </c>
      <c r="F88" s="282" t="s">
        <v>13974</v>
      </c>
      <c r="G88" s="250" t="s">
        <v>829</v>
      </c>
      <c r="H88" s="245" t="s">
        <v>255</v>
      </c>
      <c r="I88" s="509"/>
      <c r="J88" s="509"/>
      <c r="K88" s="509"/>
      <c r="L88" s="509"/>
      <c r="M88" s="509"/>
      <c r="N88" s="509"/>
      <c r="O88" s="285"/>
      <c r="P88" s="283" t="s">
        <v>19765</v>
      </c>
      <c r="Q88" s="211"/>
      <c r="R88" s="211"/>
      <c r="S88" s="211"/>
      <c r="T88" s="211"/>
      <c r="U88" s="211"/>
      <c r="V88" s="211"/>
      <c r="W88" s="211"/>
      <c r="X88" s="211"/>
      <c r="Y88" s="211"/>
      <c r="Z88" s="211"/>
      <c r="AA88" s="211"/>
      <c r="AB88" s="211"/>
      <c r="AC88" s="211"/>
      <c r="AD88" s="211"/>
      <c r="AE88" s="211"/>
      <c r="AF88" s="211"/>
      <c r="AG88" s="211"/>
      <c r="DE88" s="211"/>
      <c r="DF88" s="211"/>
      <c r="DG88" s="211"/>
      <c r="DH88" s="211"/>
      <c r="DI88" s="211"/>
      <c r="DJ88" s="211"/>
      <c r="DK88" s="211"/>
      <c r="DL88" s="211"/>
      <c r="DM88" s="211"/>
      <c r="DN88" s="211"/>
      <c r="DQ88" s="211"/>
      <c r="DV88" s="211"/>
      <c r="DW88" s="211"/>
      <c r="DX88" s="211"/>
      <c r="DY88" s="211"/>
      <c r="DZ88" s="211"/>
      <c r="EA88" s="211"/>
      <c r="EB88" s="211"/>
      <c r="EC88" s="211"/>
      <c r="ED88" s="211"/>
      <c r="EE88" s="211"/>
      <c r="EF88" s="211"/>
      <c r="EG88" s="211"/>
    </row>
    <row r="89" spans="1:137" ht="64.5" customHeight="1">
      <c r="A89" s="270">
        <f t="shared" si="2"/>
        <v>1</v>
      </c>
      <c r="B89" s="280">
        <f t="shared" si="4"/>
        <v>31</v>
      </c>
      <c r="C89" s="234" t="str">
        <f t="shared" si="1"/>
        <v>COLETOR31</v>
      </c>
      <c r="D89" s="271" t="s">
        <v>70</v>
      </c>
      <c r="E89" s="281">
        <v>93378</v>
      </c>
      <c r="F89" s="282" t="s">
        <v>13975</v>
      </c>
      <c r="G89" s="250" t="s">
        <v>18256</v>
      </c>
      <c r="H89" s="245" t="s">
        <v>255</v>
      </c>
      <c r="I89" s="509"/>
      <c r="J89" s="509"/>
      <c r="K89" s="509"/>
      <c r="L89" s="509"/>
      <c r="M89" s="509"/>
      <c r="N89" s="509"/>
      <c r="O89" s="285"/>
      <c r="P89" s="283" t="s">
        <v>19765</v>
      </c>
      <c r="Q89" s="211"/>
      <c r="R89" s="211"/>
      <c r="S89" s="211"/>
      <c r="T89" s="211"/>
      <c r="U89" s="211"/>
      <c r="V89" s="211"/>
      <c r="W89" s="211"/>
      <c r="X89" s="211"/>
      <c r="Y89" s="211"/>
      <c r="Z89" s="211"/>
      <c r="AA89" s="211"/>
      <c r="AB89" s="211"/>
      <c r="AC89" s="211"/>
      <c r="AD89" s="211"/>
      <c r="AE89" s="211"/>
      <c r="AF89" s="211"/>
      <c r="AG89" s="211"/>
      <c r="DE89" s="211"/>
      <c r="DF89" s="211"/>
      <c r="DG89" s="211"/>
      <c r="DH89" s="211"/>
      <c r="DI89" s="211"/>
      <c r="DJ89" s="211"/>
      <c r="DK89" s="211"/>
      <c r="DL89" s="211"/>
      <c r="DM89" s="211"/>
      <c r="DN89" s="211"/>
      <c r="DQ89" s="211"/>
      <c r="DV89" s="211"/>
      <c r="DW89" s="211"/>
      <c r="DX89" s="211"/>
      <c r="DY89" s="211"/>
      <c r="DZ89" s="211"/>
      <c r="EA89" s="211"/>
      <c r="EB89" s="211"/>
      <c r="EC89" s="211"/>
      <c r="ED89" s="211"/>
      <c r="EE89" s="211"/>
      <c r="EF89" s="211"/>
      <c r="EG89" s="211"/>
    </row>
    <row r="90" spans="1:137" ht="66.75" customHeight="1">
      <c r="A90" s="270">
        <f t="shared" si="2"/>
        <v>1</v>
      </c>
      <c r="B90" s="280">
        <f t="shared" si="4"/>
        <v>32</v>
      </c>
      <c r="C90" s="234" t="str">
        <f t="shared" si="1"/>
        <v>COLETOR32</v>
      </c>
      <c r="D90" s="271" t="s">
        <v>70</v>
      </c>
      <c r="E90" s="512">
        <v>93380</v>
      </c>
      <c r="F90" s="282" t="s">
        <v>19773</v>
      </c>
      <c r="G90" s="250" t="s">
        <v>18258</v>
      </c>
      <c r="H90" s="245" t="s">
        <v>255</v>
      </c>
      <c r="I90" s="509"/>
      <c r="J90" s="509"/>
      <c r="K90" s="509"/>
      <c r="L90" s="509"/>
      <c r="M90" s="509"/>
      <c r="N90" s="509"/>
      <c r="O90" s="285"/>
      <c r="P90" s="283" t="s">
        <v>19765</v>
      </c>
      <c r="Q90" s="211"/>
      <c r="R90" s="211"/>
      <c r="S90" s="211"/>
      <c r="T90" s="211"/>
      <c r="U90" s="211"/>
      <c r="V90" s="211"/>
      <c r="W90" s="211"/>
      <c r="X90" s="211"/>
      <c r="Y90" s="211"/>
      <c r="Z90" s="211"/>
      <c r="AA90" s="211"/>
      <c r="AB90" s="211"/>
      <c r="AC90" s="211"/>
      <c r="AD90" s="211"/>
      <c r="AE90" s="211"/>
      <c r="AF90" s="211"/>
      <c r="AG90" s="211"/>
      <c r="DE90" s="211"/>
      <c r="DF90" s="211"/>
      <c r="DG90" s="211"/>
      <c r="DH90" s="211"/>
      <c r="DI90" s="211"/>
      <c r="DJ90" s="211"/>
      <c r="DK90" s="211"/>
      <c r="DL90" s="211"/>
      <c r="DM90" s="211"/>
      <c r="DN90" s="211"/>
      <c r="DQ90" s="211"/>
      <c r="DV90" s="211"/>
      <c r="DW90" s="211"/>
      <c r="DX90" s="211"/>
      <c r="DY90" s="211"/>
      <c r="DZ90" s="211"/>
      <c r="EA90" s="211"/>
      <c r="EB90" s="211"/>
      <c r="EC90" s="211"/>
      <c r="ED90" s="211"/>
      <c r="EE90" s="211"/>
      <c r="EF90" s="211"/>
      <c r="EG90" s="211"/>
    </row>
    <row r="91" spans="1:137" ht="66.75" customHeight="1">
      <c r="A91" s="270">
        <f t="shared" si="2"/>
        <v>1</v>
      </c>
      <c r="B91" s="280">
        <f t="shared" si="4"/>
        <v>33</v>
      </c>
      <c r="C91" s="234" t="str">
        <f t="shared" si="1"/>
        <v>COLETOR33</v>
      </c>
      <c r="D91" s="271" t="s">
        <v>70</v>
      </c>
      <c r="E91" s="511">
        <v>93379</v>
      </c>
      <c r="F91" s="282" t="s">
        <v>19774</v>
      </c>
      <c r="G91" s="250" t="s">
        <v>18257</v>
      </c>
      <c r="H91" s="245" t="s">
        <v>255</v>
      </c>
      <c r="I91" s="509"/>
      <c r="J91" s="509"/>
      <c r="K91" s="509"/>
      <c r="L91" s="509"/>
      <c r="M91" s="509"/>
      <c r="N91" s="509"/>
      <c r="O91" s="285"/>
      <c r="P91" s="283" t="s">
        <v>19765</v>
      </c>
      <c r="Q91" s="211"/>
      <c r="R91" s="211"/>
      <c r="S91" s="211"/>
      <c r="T91" s="211"/>
      <c r="U91" s="211"/>
      <c r="V91" s="211"/>
      <c r="W91" s="211"/>
      <c r="X91" s="211"/>
      <c r="Y91" s="211"/>
      <c r="Z91" s="211"/>
      <c r="AA91" s="211"/>
      <c r="AB91" s="211"/>
      <c r="AC91" s="211"/>
      <c r="AD91" s="211"/>
      <c r="AE91" s="211"/>
      <c r="AF91" s="211"/>
      <c r="AG91" s="211"/>
      <c r="DE91" s="211"/>
      <c r="DF91" s="211"/>
      <c r="DG91" s="211"/>
      <c r="DH91" s="211"/>
      <c r="DI91" s="211"/>
      <c r="DJ91" s="211"/>
      <c r="DK91" s="211"/>
      <c r="DL91" s="211"/>
      <c r="DM91" s="211"/>
      <c r="DN91" s="211"/>
      <c r="DQ91" s="211"/>
      <c r="DV91" s="211"/>
      <c r="DW91" s="211"/>
      <c r="DX91" s="211"/>
      <c r="DY91" s="211"/>
      <c r="DZ91" s="211"/>
      <c r="EA91" s="211"/>
      <c r="EB91" s="211"/>
      <c r="EC91" s="211"/>
      <c r="ED91" s="211"/>
      <c r="EE91" s="211"/>
      <c r="EF91" s="211"/>
      <c r="EG91" s="211"/>
    </row>
    <row r="92" spans="1:137" ht="66.75" customHeight="1">
      <c r="A92" s="270">
        <f t="shared" si="2"/>
        <v>1</v>
      </c>
      <c r="B92" s="280">
        <f t="shared" si="4"/>
        <v>34</v>
      </c>
      <c r="C92" s="234" t="str">
        <f t="shared" si="1"/>
        <v>COLETOR34</v>
      </c>
      <c r="D92" s="271" t="s">
        <v>70</v>
      </c>
      <c r="E92" s="511">
        <v>93381</v>
      </c>
      <c r="F92" s="282" t="s">
        <v>13976</v>
      </c>
      <c r="G92" s="250" t="s">
        <v>18259</v>
      </c>
      <c r="H92" s="245" t="s">
        <v>255</v>
      </c>
      <c r="I92" s="509"/>
      <c r="J92" s="509"/>
      <c r="K92" s="509"/>
      <c r="L92" s="509"/>
      <c r="M92" s="509"/>
      <c r="N92" s="509"/>
      <c r="O92" s="285"/>
      <c r="P92" s="283" t="s">
        <v>19765</v>
      </c>
      <c r="Q92" s="211"/>
      <c r="R92" s="211"/>
      <c r="S92" s="211"/>
      <c r="T92" s="211"/>
      <c r="U92" s="211"/>
      <c r="V92" s="211"/>
      <c r="W92" s="211"/>
      <c r="X92" s="211"/>
      <c r="Y92" s="211"/>
      <c r="Z92" s="211"/>
      <c r="AA92" s="211"/>
      <c r="AB92" s="211"/>
      <c r="AC92" s="211"/>
      <c r="AD92" s="211"/>
      <c r="AE92" s="211"/>
      <c r="AF92" s="211"/>
      <c r="AG92" s="211"/>
      <c r="DE92" s="211"/>
      <c r="DF92" s="211"/>
      <c r="DG92" s="211"/>
      <c r="DH92" s="211"/>
      <c r="DI92" s="211"/>
      <c r="DJ92" s="211"/>
      <c r="DK92" s="211"/>
      <c r="DL92" s="211"/>
      <c r="DM92" s="211"/>
      <c r="DN92" s="211"/>
      <c r="DQ92" s="211"/>
      <c r="DV92" s="211"/>
      <c r="DW92" s="211"/>
      <c r="DX92" s="211"/>
      <c r="DY92" s="211"/>
      <c r="DZ92" s="211"/>
      <c r="EA92" s="211"/>
      <c r="EB92" s="211"/>
      <c r="EC92" s="211"/>
      <c r="ED92" s="211"/>
      <c r="EE92" s="211"/>
      <c r="EF92" s="211"/>
      <c r="EG92" s="211"/>
    </row>
    <row r="93" spans="1:137" ht="18" customHeight="1">
      <c r="A93" s="270">
        <f t="shared" si="2"/>
        <v>0</v>
      </c>
      <c r="B93" s="280">
        <f t="shared" si="4"/>
        <v>34</v>
      </c>
      <c r="C93" s="234" t="str">
        <f t="shared" si="1"/>
        <v xml:space="preserve"> </v>
      </c>
      <c r="F93" s="241" t="s">
        <v>13981</v>
      </c>
      <c r="G93" s="242"/>
      <c r="H93" s="242"/>
      <c r="I93" s="242"/>
      <c r="J93" s="242"/>
      <c r="K93" s="242"/>
      <c r="L93" s="242"/>
      <c r="M93" s="242"/>
      <c r="N93" s="242"/>
      <c r="O93" s="242"/>
      <c r="P93" s="243"/>
      <c r="Q93" s="211"/>
      <c r="R93" s="211"/>
      <c r="S93" s="211"/>
      <c r="T93" s="211"/>
      <c r="U93" s="211"/>
      <c r="V93" s="211"/>
      <c r="W93" s="211"/>
      <c r="X93" s="211"/>
      <c r="Y93" s="211"/>
      <c r="Z93" s="211"/>
      <c r="AA93" s="211"/>
      <c r="AB93" s="211"/>
      <c r="AC93" s="211"/>
      <c r="AD93" s="211"/>
      <c r="AE93" s="211"/>
      <c r="AF93" s="211"/>
      <c r="AG93" s="211"/>
      <c r="DE93" s="211"/>
      <c r="DF93" s="211"/>
      <c r="DG93" s="211"/>
      <c r="DH93" s="211"/>
      <c r="DI93" s="211"/>
      <c r="DJ93" s="211"/>
      <c r="DK93" s="211"/>
      <c r="DL93" s="211"/>
      <c r="DM93" s="211"/>
      <c r="DN93" s="211"/>
      <c r="DQ93" s="211"/>
      <c r="DV93" s="211"/>
      <c r="DW93" s="211"/>
      <c r="DX93" s="211"/>
      <c r="DY93" s="211"/>
      <c r="DZ93" s="211"/>
      <c r="EA93" s="211"/>
      <c r="EB93" s="211"/>
      <c r="EC93" s="211"/>
      <c r="ED93" s="211"/>
      <c r="EE93" s="211"/>
      <c r="EF93" s="211"/>
      <c r="EG93" s="211"/>
    </row>
    <row r="94" spans="1:137" ht="45" customHeight="1">
      <c r="A94" s="270">
        <f t="shared" si="2"/>
        <v>1</v>
      </c>
      <c r="B94" s="280">
        <f t="shared" si="4"/>
        <v>35</v>
      </c>
      <c r="C94" s="234" t="str">
        <f t="shared" si="1"/>
        <v>COLETOR35</v>
      </c>
      <c r="D94" s="271" t="s">
        <v>70</v>
      </c>
      <c r="E94" s="281" t="s">
        <v>18276</v>
      </c>
      <c r="F94" s="286" t="s">
        <v>19775</v>
      </c>
      <c r="G94" s="250" t="s">
        <v>18277</v>
      </c>
      <c r="H94" s="245" t="s">
        <v>255</v>
      </c>
      <c r="I94" s="289"/>
      <c r="J94" s="289"/>
      <c r="K94" s="289"/>
      <c r="L94" s="289"/>
      <c r="M94" s="289"/>
      <c r="N94" s="289"/>
      <c r="O94" s="290"/>
      <c r="P94" s="288" t="s">
        <v>19776</v>
      </c>
      <c r="Q94" s="211"/>
      <c r="R94" s="211"/>
      <c r="S94" s="211"/>
      <c r="T94" s="211"/>
      <c r="U94" s="211"/>
      <c r="V94" s="211"/>
      <c r="W94" s="211"/>
      <c r="X94" s="211"/>
      <c r="Y94" s="211"/>
      <c r="Z94" s="211"/>
      <c r="AA94" s="211"/>
      <c r="AB94" s="211"/>
      <c r="AC94" s="211"/>
      <c r="AD94" s="211"/>
      <c r="AE94" s="211"/>
      <c r="AF94" s="211"/>
      <c r="AG94" s="211"/>
      <c r="DE94" s="211"/>
      <c r="DF94" s="211"/>
      <c r="DG94" s="211"/>
      <c r="DH94" s="211"/>
      <c r="DI94" s="211"/>
      <c r="DJ94" s="211"/>
      <c r="DK94" s="211"/>
      <c r="DL94" s="211"/>
      <c r="DM94" s="211"/>
      <c r="DN94" s="211"/>
      <c r="DQ94" s="211"/>
      <c r="DV94" s="211"/>
      <c r="DW94" s="211"/>
      <c r="DX94" s="211"/>
      <c r="DY94" s="211"/>
      <c r="DZ94" s="211"/>
      <c r="EA94" s="211"/>
      <c r="EB94" s="211"/>
      <c r="EC94" s="211"/>
      <c r="ED94" s="211"/>
      <c r="EE94" s="211"/>
      <c r="EF94" s="211"/>
      <c r="EG94" s="211"/>
    </row>
    <row r="95" spans="1:137" ht="30" customHeight="1">
      <c r="A95" s="270">
        <f t="shared" si="2"/>
        <v>1</v>
      </c>
      <c r="B95" s="280">
        <f t="shared" si="4"/>
        <v>36</v>
      </c>
      <c r="C95" s="234" t="str">
        <f t="shared" si="1"/>
        <v>COLETOR36</v>
      </c>
      <c r="D95" s="271" t="s">
        <v>70</v>
      </c>
      <c r="E95" s="281">
        <v>95302</v>
      </c>
      <c r="F95" s="286" t="s">
        <v>14030</v>
      </c>
      <c r="G95" s="250" t="s">
        <v>9866</v>
      </c>
      <c r="H95" s="245" t="s">
        <v>9853</v>
      </c>
      <c r="I95" s="289"/>
      <c r="J95" s="289"/>
      <c r="K95" s="289"/>
      <c r="L95" s="289"/>
      <c r="M95" s="289"/>
      <c r="N95" s="289"/>
      <c r="O95" s="290"/>
      <c r="P95" s="288" t="s">
        <v>13984</v>
      </c>
      <c r="Q95" s="211"/>
      <c r="R95" s="211"/>
      <c r="S95" s="211"/>
      <c r="T95" s="211"/>
      <c r="U95" s="211"/>
      <c r="V95" s="211"/>
      <c r="W95" s="211"/>
      <c r="X95" s="211"/>
      <c r="Y95" s="211"/>
      <c r="Z95" s="211"/>
      <c r="AA95" s="211"/>
      <c r="AB95" s="211"/>
      <c r="AC95" s="211"/>
      <c r="AD95" s="211"/>
      <c r="AE95" s="211"/>
      <c r="AF95" s="211"/>
      <c r="AG95" s="211"/>
      <c r="DE95" s="211"/>
      <c r="DF95" s="211"/>
      <c r="DG95" s="211"/>
      <c r="DH95" s="211"/>
      <c r="DI95" s="211"/>
      <c r="DJ95" s="211"/>
      <c r="DK95" s="211"/>
      <c r="DL95" s="211"/>
      <c r="DM95" s="211"/>
      <c r="DN95" s="211"/>
      <c r="DQ95" s="211"/>
      <c r="DV95" s="211"/>
      <c r="DW95" s="211"/>
      <c r="DX95" s="211"/>
      <c r="DY95" s="211"/>
      <c r="DZ95" s="211"/>
      <c r="EA95" s="211"/>
      <c r="EB95" s="211"/>
      <c r="EC95" s="211"/>
      <c r="ED95" s="211"/>
      <c r="EE95" s="211"/>
      <c r="EF95" s="211"/>
      <c r="EG95" s="211"/>
    </row>
    <row r="96" spans="1:137" ht="33.75" customHeight="1">
      <c r="A96" s="270">
        <f t="shared" si="2"/>
        <v>1</v>
      </c>
      <c r="B96" s="280">
        <f t="shared" si="4"/>
        <v>37</v>
      </c>
      <c r="C96" s="234" t="str">
        <f t="shared" si="1"/>
        <v>COLETOR37</v>
      </c>
      <c r="D96" s="271" t="s">
        <v>70</v>
      </c>
      <c r="E96" s="281">
        <v>83344</v>
      </c>
      <c r="F96" s="286" t="s">
        <v>13977</v>
      </c>
      <c r="G96" s="250" t="s">
        <v>18317</v>
      </c>
      <c r="H96" s="245" t="s">
        <v>255</v>
      </c>
      <c r="I96" s="289"/>
      <c r="J96" s="289"/>
      <c r="K96" s="289"/>
      <c r="L96" s="289"/>
      <c r="M96" s="289"/>
      <c r="N96" s="289"/>
      <c r="O96" s="290"/>
      <c r="P96" s="292" t="s">
        <v>14237</v>
      </c>
      <c r="Q96" s="211"/>
      <c r="R96" s="211"/>
      <c r="S96" s="211"/>
      <c r="T96" s="211"/>
      <c r="U96" s="211"/>
      <c r="V96" s="211"/>
      <c r="W96" s="211"/>
      <c r="X96" s="211"/>
      <c r="Y96" s="211"/>
      <c r="Z96" s="211"/>
      <c r="AA96" s="211"/>
      <c r="AB96" s="211"/>
      <c r="AC96" s="211"/>
      <c r="AD96" s="211"/>
      <c r="AE96" s="211"/>
      <c r="AF96" s="211"/>
      <c r="AG96" s="211"/>
      <c r="DE96" s="211"/>
      <c r="DF96" s="211"/>
      <c r="DG96" s="211"/>
      <c r="DH96" s="211"/>
      <c r="DI96" s="211"/>
      <c r="DJ96" s="211"/>
      <c r="DK96" s="211"/>
      <c r="DL96" s="211"/>
      <c r="DM96" s="211"/>
      <c r="DN96" s="211"/>
      <c r="DQ96" s="211"/>
      <c r="DV96" s="211"/>
      <c r="DW96" s="211"/>
      <c r="DX96" s="211"/>
      <c r="DY96" s="211"/>
      <c r="DZ96" s="211"/>
      <c r="EA96" s="211"/>
      <c r="EB96" s="211"/>
      <c r="EC96" s="211"/>
      <c r="ED96" s="211"/>
      <c r="EE96" s="211"/>
      <c r="EF96" s="211"/>
      <c r="EG96" s="211"/>
    </row>
    <row r="97" spans="1:137" ht="19.5" customHeight="1">
      <c r="A97" s="270">
        <f t="shared" si="2"/>
        <v>0</v>
      </c>
      <c r="B97" s="280">
        <f t="shared" si="4"/>
        <v>37</v>
      </c>
      <c r="C97" s="234" t="str">
        <f t="shared" si="1"/>
        <v xml:space="preserve"> </v>
      </c>
      <c r="F97" s="241" t="s">
        <v>13986</v>
      </c>
      <c r="G97" s="242"/>
      <c r="H97" s="242"/>
      <c r="I97" s="242"/>
      <c r="J97" s="242"/>
      <c r="K97" s="242"/>
      <c r="L97" s="242"/>
      <c r="M97" s="242"/>
      <c r="N97" s="242"/>
      <c r="O97" s="242"/>
      <c r="P97" s="243"/>
      <c r="Q97" s="211"/>
      <c r="R97" s="211"/>
      <c r="S97" s="211"/>
      <c r="T97" s="211"/>
      <c r="U97" s="211"/>
      <c r="V97" s="211"/>
      <c r="W97" s="211"/>
      <c r="X97" s="211"/>
      <c r="Y97" s="211"/>
      <c r="Z97" s="211"/>
      <c r="AA97" s="211"/>
      <c r="AB97" s="211"/>
      <c r="AC97" s="211"/>
      <c r="AD97" s="211"/>
      <c r="AE97" s="211"/>
      <c r="AF97" s="211"/>
      <c r="AG97" s="211"/>
      <c r="DE97" s="211"/>
      <c r="DF97" s="211"/>
      <c r="DG97" s="211"/>
      <c r="DH97" s="211"/>
      <c r="DI97" s="211"/>
      <c r="DJ97" s="211"/>
      <c r="DK97" s="211"/>
      <c r="DL97" s="211"/>
      <c r="DM97" s="211"/>
      <c r="DN97" s="211"/>
      <c r="DQ97" s="211"/>
      <c r="DV97" s="211"/>
      <c r="DW97" s="211"/>
      <c r="DX97" s="211"/>
      <c r="DY97" s="211"/>
      <c r="DZ97" s="211"/>
      <c r="EA97" s="211"/>
      <c r="EB97" s="211"/>
      <c r="EC97" s="211"/>
      <c r="ED97" s="211"/>
      <c r="EE97" s="211"/>
      <c r="EF97" s="211"/>
      <c r="EG97" s="211"/>
    </row>
    <row r="98" spans="1:137" ht="19.5" customHeight="1">
      <c r="B98" s="280"/>
      <c r="C98" s="234" t="str">
        <f t="shared" si="1"/>
        <v xml:space="preserve"> </v>
      </c>
      <c r="F98" s="282"/>
      <c r="G98" s="250" t="s">
        <v>19777</v>
      </c>
      <c r="H98" s="245"/>
      <c r="I98" s="513"/>
      <c r="J98" s="513"/>
      <c r="K98" s="513"/>
      <c r="L98" s="513"/>
      <c r="M98" s="513"/>
      <c r="N98" s="513"/>
      <c r="O98" s="290"/>
      <c r="P98" s="288"/>
      <c r="Q98" s="211"/>
      <c r="R98" s="211"/>
      <c r="S98" s="211"/>
      <c r="T98" s="211"/>
      <c r="U98" s="211"/>
      <c r="V98" s="211"/>
      <c r="W98" s="211"/>
      <c r="X98" s="211"/>
      <c r="Y98" s="211"/>
      <c r="Z98" s="211"/>
      <c r="AA98" s="211"/>
      <c r="AB98" s="211"/>
      <c r="AC98" s="211"/>
      <c r="AD98" s="211"/>
      <c r="AE98" s="211"/>
      <c r="AF98" s="211"/>
      <c r="AG98" s="211"/>
      <c r="DE98" s="211"/>
      <c r="DF98" s="211"/>
      <c r="DG98" s="211"/>
      <c r="DH98" s="211"/>
      <c r="DI98" s="211"/>
      <c r="DJ98" s="211"/>
      <c r="DK98" s="211"/>
      <c r="DL98" s="211"/>
      <c r="DM98" s="211"/>
      <c r="DN98" s="211"/>
      <c r="DQ98" s="211"/>
      <c r="DV98" s="211"/>
      <c r="DW98" s="211"/>
      <c r="DX98" s="211"/>
      <c r="DY98" s="211"/>
      <c r="DZ98" s="211"/>
      <c r="EA98" s="211"/>
      <c r="EB98" s="211"/>
      <c r="EC98" s="211"/>
      <c r="ED98" s="211"/>
      <c r="EE98" s="211"/>
      <c r="EF98" s="211"/>
      <c r="EG98" s="211"/>
    </row>
    <row r="99" spans="1:137" ht="30.75" customHeight="1">
      <c r="A99" s="270">
        <f t="shared" si="2"/>
        <v>1</v>
      </c>
      <c r="B99" s="280">
        <f>B97+A99</f>
        <v>38</v>
      </c>
      <c r="C99" s="234" t="str">
        <f t="shared" si="1"/>
        <v>COLETOR38</v>
      </c>
      <c r="D99" s="271" t="s">
        <v>1</v>
      </c>
      <c r="E99" s="281">
        <v>232</v>
      </c>
      <c r="F99" s="282" t="s">
        <v>13978</v>
      </c>
      <c r="G99" s="250" t="s">
        <v>19828</v>
      </c>
      <c r="H99" s="245" t="s">
        <v>255</v>
      </c>
      <c r="I99" s="513"/>
      <c r="J99" s="513"/>
      <c r="K99" s="513"/>
      <c r="L99" s="513"/>
      <c r="M99" s="513"/>
      <c r="N99" s="513"/>
      <c r="O99" s="290"/>
      <c r="P99" s="288" t="s">
        <v>19778</v>
      </c>
      <c r="Q99" s="211"/>
      <c r="R99" s="211"/>
      <c r="S99" s="211"/>
      <c r="T99" s="211"/>
      <c r="U99" s="211"/>
      <c r="V99" s="211"/>
      <c r="W99" s="211"/>
      <c r="X99" s="211"/>
      <c r="Y99" s="211"/>
      <c r="Z99" s="211"/>
      <c r="AA99" s="211"/>
      <c r="AB99" s="211"/>
      <c r="AC99" s="211"/>
      <c r="AD99" s="211"/>
      <c r="AE99" s="211"/>
      <c r="AF99" s="211"/>
      <c r="AG99" s="211"/>
      <c r="DE99" s="211"/>
      <c r="DF99" s="211"/>
      <c r="DG99" s="211"/>
      <c r="DH99" s="211"/>
      <c r="DI99" s="211"/>
      <c r="DJ99" s="211"/>
      <c r="DK99" s="211"/>
      <c r="DL99" s="211"/>
      <c r="DM99" s="211"/>
      <c r="DN99" s="211"/>
      <c r="DQ99" s="211"/>
      <c r="DV99" s="211"/>
      <c r="DW99" s="211"/>
      <c r="DX99" s="211"/>
      <c r="DY99" s="211"/>
      <c r="DZ99" s="211"/>
      <c r="EA99" s="211"/>
      <c r="EB99" s="211"/>
      <c r="EC99" s="211"/>
      <c r="ED99" s="211"/>
      <c r="EE99" s="211"/>
      <c r="EF99" s="211"/>
      <c r="EG99" s="211"/>
    </row>
    <row r="100" spans="1:137" ht="30.75" customHeight="1">
      <c r="A100" s="270">
        <f t="shared" si="2"/>
        <v>1</v>
      </c>
      <c r="B100" s="280">
        <f t="shared" ref="B100:B138" si="5">B99+A100</f>
        <v>39</v>
      </c>
      <c r="C100" s="234" t="str">
        <f t="shared" si="1"/>
        <v>COLETOR39</v>
      </c>
      <c r="D100" s="271" t="s">
        <v>1</v>
      </c>
      <c r="E100" s="281">
        <v>233</v>
      </c>
      <c r="F100" s="282" t="s">
        <v>13979</v>
      </c>
      <c r="G100" s="250" t="s">
        <v>19829</v>
      </c>
      <c r="H100" s="245" t="s">
        <v>255</v>
      </c>
      <c r="I100" s="289"/>
      <c r="J100" s="289"/>
      <c r="K100" s="289"/>
      <c r="L100" s="289"/>
      <c r="M100" s="289"/>
      <c r="N100" s="289"/>
      <c r="O100" s="290"/>
      <c r="P100" s="292" t="s">
        <v>19779</v>
      </c>
      <c r="Q100" s="211"/>
      <c r="R100" s="211"/>
      <c r="S100" s="211"/>
      <c r="T100" s="211"/>
      <c r="U100" s="211"/>
      <c r="V100" s="211"/>
      <c r="W100" s="211"/>
      <c r="X100" s="211"/>
      <c r="Y100" s="211"/>
      <c r="Z100" s="211"/>
      <c r="AA100" s="211"/>
      <c r="AB100" s="211"/>
      <c r="AC100" s="211"/>
      <c r="AD100" s="211"/>
      <c r="AE100" s="211"/>
      <c r="AF100" s="211"/>
      <c r="AG100" s="211"/>
      <c r="DE100" s="211"/>
      <c r="DF100" s="211"/>
      <c r="DG100" s="211"/>
      <c r="DH100" s="211"/>
      <c r="DI100" s="211"/>
      <c r="DJ100" s="211"/>
      <c r="DK100" s="211"/>
      <c r="DL100" s="211"/>
      <c r="DM100" s="211"/>
      <c r="DN100" s="211"/>
      <c r="DQ100" s="211"/>
      <c r="DV100" s="211"/>
      <c r="DW100" s="211"/>
      <c r="DX100" s="211"/>
      <c r="DY100" s="211"/>
      <c r="DZ100" s="211"/>
      <c r="EA100" s="211"/>
      <c r="EB100" s="211"/>
      <c r="EC100" s="211"/>
      <c r="ED100" s="211"/>
      <c r="EE100" s="211"/>
      <c r="EF100" s="211"/>
      <c r="EG100" s="211"/>
    </row>
    <row r="101" spans="1:137" ht="33" customHeight="1">
      <c r="A101" s="270">
        <f t="shared" si="2"/>
        <v>1</v>
      </c>
      <c r="B101" s="280">
        <f t="shared" si="5"/>
        <v>40</v>
      </c>
      <c r="C101" s="234" t="str">
        <f t="shared" si="1"/>
        <v>COLETOR40</v>
      </c>
      <c r="D101" s="271" t="s">
        <v>1</v>
      </c>
      <c r="E101" s="281">
        <v>246</v>
      </c>
      <c r="F101" s="282" t="s">
        <v>13980</v>
      </c>
      <c r="G101" s="250" t="s">
        <v>19830</v>
      </c>
      <c r="H101" s="245" t="s">
        <v>9853</v>
      </c>
      <c r="I101" s="293"/>
      <c r="J101" s="293"/>
      <c r="K101" s="293"/>
      <c r="L101" s="293"/>
      <c r="M101" s="293"/>
      <c r="N101" s="293"/>
      <c r="O101" s="290"/>
      <c r="P101" s="288" t="s">
        <v>14077</v>
      </c>
      <c r="Q101" s="211"/>
      <c r="R101" s="211"/>
      <c r="S101" s="211"/>
      <c r="T101" s="211"/>
      <c r="U101" s="211"/>
      <c r="V101" s="211"/>
      <c r="W101" s="211"/>
      <c r="X101" s="211"/>
      <c r="Y101" s="211"/>
      <c r="Z101" s="211"/>
      <c r="AA101" s="211"/>
      <c r="AB101" s="211"/>
      <c r="AC101" s="211"/>
      <c r="AD101" s="211"/>
      <c r="AE101" s="211"/>
      <c r="AF101" s="211"/>
      <c r="AG101" s="211"/>
      <c r="DE101" s="211"/>
      <c r="DF101" s="211"/>
      <c r="DG101" s="211"/>
      <c r="DH101" s="211"/>
      <c r="DI101" s="211"/>
      <c r="DJ101" s="211"/>
      <c r="DK101" s="211"/>
      <c r="DL101" s="211"/>
      <c r="DM101" s="211"/>
      <c r="DN101" s="211"/>
      <c r="DQ101" s="211"/>
      <c r="DV101" s="211"/>
      <c r="DW101" s="211"/>
      <c r="DX101" s="211"/>
      <c r="DY101" s="211"/>
      <c r="DZ101" s="211"/>
      <c r="EA101" s="211"/>
      <c r="EB101" s="211"/>
      <c r="EC101" s="211"/>
      <c r="ED101" s="211"/>
      <c r="EE101" s="211"/>
      <c r="EF101" s="211"/>
      <c r="EG101" s="211"/>
    </row>
    <row r="102" spans="1:137" ht="12.75">
      <c r="A102" s="270">
        <f t="shared" si="2"/>
        <v>0</v>
      </c>
      <c r="B102" s="280">
        <f t="shared" si="5"/>
        <v>40</v>
      </c>
      <c r="C102" s="234" t="str">
        <f t="shared" si="1"/>
        <v xml:space="preserve"> </v>
      </c>
      <c r="E102" s="281"/>
      <c r="F102" s="241" t="s">
        <v>13990</v>
      </c>
      <c r="G102" s="242"/>
      <c r="H102" s="242"/>
      <c r="I102" s="242"/>
      <c r="J102" s="242"/>
      <c r="K102" s="242"/>
      <c r="L102" s="242"/>
      <c r="M102" s="242"/>
      <c r="N102" s="242"/>
      <c r="O102" s="242"/>
      <c r="P102" s="243"/>
      <c r="Q102" s="211"/>
      <c r="R102" s="211"/>
      <c r="S102" s="211"/>
      <c r="T102" s="211"/>
      <c r="U102" s="211"/>
      <c r="V102" s="211"/>
      <c r="W102" s="211"/>
      <c r="X102" s="211"/>
      <c r="Y102" s="211"/>
      <c r="Z102" s="211"/>
      <c r="AA102" s="211"/>
      <c r="AB102" s="211"/>
      <c r="AC102" s="211"/>
      <c r="AD102" s="211"/>
      <c r="AE102" s="211"/>
      <c r="AF102" s="211"/>
      <c r="AG102" s="211"/>
      <c r="DE102" s="211"/>
      <c r="DF102" s="211"/>
      <c r="DG102" s="211"/>
      <c r="DH102" s="211"/>
      <c r="DI102" s="211"/>
      <c r="DJ102" s="211"/>
      <c r="DK102" s="211"/>
      <c r="DL102" s="211"/>
      <c r="DM102" s="211"/>
      <c r="DN102" s="211"/>
      <c r="DQ102" s="211"/>
      <c r="DV102" s="211"/>
      <c r="DW102" s="211"/>
      <c r="DX102" s="211"/>
      <c r="DY102" s="211"/>
      <c r="DZ102" s="211"/>
      <c r="EA102" s="211"/>
      <c r="EB102" s="211"/>
      <c r="EC102" s="211"/>
      <c r="ED102" s="211"/>
      <c r="EE102" s="211"/>
      <c r="EF102" s="211"/>
      <c r="EG102" s="211"/>
    </row>
    <row r="103" spans="1:137" ht="40.5" customHeight="1">
      <c r="A103" s="270">
        <f t="shared" si="2"/>
        <v>1</v>
      </c>
      <c r="B103" s="280">
        <f t="shared" si="5"/>
        <v>41</v>
      </c>
      <c r="C103" s="234" t="str">
        <f t="shared" si="1"/>
        <v>COLETOR41</v>
      </c>
      <c r="D103" s="271" t="s">
        <v>70</v>
      </c>
      <c r="E103" s="281">
        <v>94043</v>
      </c>
      <c r="F103" s="282" t="s">
        <v>13982</v>
      </c>
      <c r="G103" s="250" t="s">
        <v>16005</v>
      </c>
      <c r="H103" s="245" t="s">
        <v>256</v>
      </c>
      <c r="I103" s="513"/>
      <c r="J103" s="513"/>
      <c r="K103" s="513"/>
      <c r="L103" s="513"/>
      <c r="M103" s="513"/>
      <c r="N103" s="513"/>
      <c r="O103" s="290"/>
      <c r="P103" s="294" t="s">
        <v>14073</v>
      </c>
      <c r="Q103" s="211"/>
      <c r="R103" s="211"/>
      <c r="S103" s="211"/>
      <c r="T103" s="211"/>
      <c r="U103" s="211"/>
      <c r="V103" s="211"/>
      <c r="W103" s="211"/>
      <c r="X103" s="211"/>
      <c r="Y103" s="211"/>
      <c r="Z103" s="211"/>
      <c r="AA103" s="211"/>
      <c r="AB103" s="211"/>
      <c r="AC103" s="211"/>
      <c r="AD103" s="211"/>
      <c r="AE103" s="211"/>
      <c r="AF103" s="211"/>
      <c r="AG103" s="211"/>
      <c r="DE103" s="211"/>
      <c r="DF103" s="211"/>
      <c r="DG103" s="211"/>
      <c r="DH103" s="211"/>
      <c r="DI103" s="211"/>
      <c r="DJ103" s="211"/>
      <c r="DK103" s="211"/>
      <c r="DL103" s="211"/>
      <c r="DM103" s="211"/>
      <c r="DN103" s="211"/>
      <c r="DQ103" s="211"/>
      <c r="DV103" s="211"/>
      <c r="DW103" s="211"/>
      <c r="DX103" s="211"/>
      <c r="DY103" s="211"/>
      <c r="DZ103" s="211"/>
      <c r="EA103" s="211"/>
      <c r="EB103" s="211"/>
      <c r="EC103" s="211"/>
      <c r="ED103" s="211"/>
      <c r="EE103" s="211"/>
      <c r="EF103" s="211"/>
      <c r="EG103" s="211"/>
    </row>
    <row r="104" spans="1:137" ht="40.5" customHeight="1">
      <c r="A104" s="270">
        <f t="shared" si="2"/>
        <v>1</v>
      </c>
      <c r="B104" s="280">
        <f t="shared" si="5"/>
        <v>42</v>
      </c>
      <c r="C104" s="234" t="str">
        <f t="shared" si="1"/>
        <v>COLETOR42</v>
      </c>
      <c r="D104" s="271" t="s">
        <v>70</v>
      </c>
      <c r="E104" s="281">
        <v>94045</v>
      </c>
      <c r="F104" s="282" t="s">
        <v>13983</v>
      </c>
      <c r="G104" s="250" t="s">
        <v>16007</v>
      </c>
      <c r="H104" s="245" t="s">
        <v>256</v>
      </c>
      <c r="I104" s="513"/>
      <c r="J104" s="513"/>
      <c r="K104" s="513"/>
      <c r="L104" s="513"/>
      <c r="M104" s="513"/>
      <c r="N104" s="513"/>
      <c r="O104" s="290"/>
      <c r="P104" s="294"/>
      <c r="Q104" s="211"/>
      <c r="R104" s="211"/>
      <c r="S104" s="211"/>
      <c r="T104" s="211"/>
      <c r="U104" s="211"/>
      <c r="V104" s="211"/>
      <c r="W104" s="211"/>
      <c r="X104" s="211"/>
      <c r="Y104" s="211"/>
      <c r="Z104" s="211"/>
      <c r="AA104" s="211"/>
      <c r="AB104" s="211"/>
      <c r="AC104" s="211"/>
      <c r="AD104" s="211"/>
      <c r="AE104" s="211"/>
      <c r="AF104" s="211"/>
      <c r="AG104" s="211"/>
      <c r="DE104" s="211"/>
      <c r="DF104" s="211"/>
      <c r="DG104" s="211"/>
      <c r="DH104" s="211"/>
      <c r="DI104" s="211"/>
      <c r="DJ104" s="211"/>
      <c r="DK104" s="211"/>
      <c r="DL104" s="211"/>
      <c r="DM104" s="211"/>
      <c r="DN104" s="211"/>
      <c r="DQ104" s="211"/>
      <c r="DV104" s="211"/>
      <c r="DW104" s="211"/>
      <c r="DX104" s="211"/>
      <c r="DY104" s="211"/>
      <c r="DZ104" s="211"/>
      <c r="EA104" s="211"/>
      <c r="EB104" s="211"/>
      <c r="EC104" s="211"/>
      <c r="ED104" s="211"/>
      <c r="EE104" s="211"/>
      <c r="EF104" s="211"/>
      <c r="EG104" s="211"/>
    </row>
    <row r="105" spans="1:137" ht="40.5" customHeight="1">
      <c r="A105" s="270">
        <f t="shared" si="2"/>
        <v>1</v>
      </c>
      <c r="B105" s="280">
        <f t="shared" si="5"/>
        <v>43</v>
      </c>
      <c r="C105" s="234" t="str">
        <f t="shared" si="1"/>
        <v>COLETOR43</v>
      </c>
      <c r="D105" s="271" t="s">
        <v>70</v>
      </c>
      <c r="E105" s="281">
        <v>94055</v>
      </c>
      <c r="F105" s="282" t="s">
        <v>13985</v>
      </c>
      <c r="G105" s="250" t="s">
        <v>16016</v>
      </c>
      <c r="H105" s="245" t="s">
        <v>256</v>
      </c>
      <c r="I105" s="513"/>
      <c r="J105" s="513"/>
      <c r="K105" s="513"/>
      <c r="L105" s="513"/>
      <c r="M105" s="513"/>
      <c r="N105" s="513"/>
      <c r="O105" s="290"/>
      <c r="P105" s="294" t="s">
        <v>14073</v>
      </c>
      <c r="Q105" s="211"/>
      <c r="R105" s="211"/>
      <c r="S105" s="211"/>
      <c r="T105" s="211"/>
      <c r="U105" s="211"/>
      <c r="V105" s="211"/>
      <c r="W105" s="211"/>
      <c r="X105" s="211"/>
      <c r="Y105" s="211"/>
      <c r="Z105" s="211"/>
      <c r="AA105" s="211"/>
      <c r="AB105" s="211"/>
      <c r="AC105" s="211"/>
      <c r="AD105" s="211"/>
      <c r="AE105" s="211"/>
      <c r="AF105" s="211"/>
      <c r="AG105" s="211"/>
      <c r="DE105" s="211"/>
      <c r="DF105" s="211"/>
      <c r="DG105" s="211"/>
      <c r="DH105" s="211"/>
      <c r="DI105" s="211"/>
      <c r="DJ105" s="211"/>
      <c r="DK105" s="211"/>
      <c r="DL105" s="211"/>
      <c r="DM105" s="211"/>
      <c r="DN105" s="211"/>
      <c r="DQ105" s="211"/>
      <c r="DV105" s="211"/>
      <c r="DW105" s="211"/>
      <c r="DX105" s="211"/>
      <c r="DY105" s="211"/>
      <c r="DZ105" s="211"/>
      <c r="EA105" s="211"/>
      <c r="EB105" s="211"/>
      <c r="EC105" s="211"/>
      <c r="ED105" s="211"/>
      <c r="EE105" s="211"/>
      <c r="EF105" s="211"/>
      <c r="EG105" s="211"/>
    </row>
    <row r="106" spans="1:137" ht="38.25">
      <c r="A106" s="270">
        <f t="shared" si="2"/>
        <v>1</v>
      </c>
      <c r="B106" s="280">
        <f t="shared" si="5"/>
        <v>44</v>
      </c>
      <c r="C106" s="234" t="str">
        <f t="shared" si="1"/>
        <v>COLETOR44</v>
      </c>
      <c r="D106" s="271" t="s">
        <v>70</v>
      </c>
      <c r="E106" s="281">
        <v>94057</v>
      </c>
      <c r="F106" s="282" t="s">
        <v>13987</v>
      </c>
      <c r="G106" s="250" t="s">
        <v>16018</v>
      </c>
      <c r="H106" s="245" t="s">
        <v>256</v>
      </c>
      <c r="I106" s="513"/>
      <c r="J106" s="513"/>
      <c r="K106" s="513"/>
      <c r="L106" s="513"/>
      <c r="M106" s="513"/>
      <c r="N106" s="513"/>
      <c r="O106" s="290"/>
      <c r="P106" s="294"/>
      <c r="Q106" s="211"/>
      <c r="R106" s="211"/>
      <c r="S106" s="211"/>
      <c r="T106" s="211"/>
      <c r="U106" s="211"/>
      <c r="V106" s="211"/>
      <c r="W106" s="211"/>
      <c r="X106" s="211"/>
      <c r="Y106" s="211"/>
      <c r="Z106" s="211"/>
      <c r="AA106" s="211"/>
      <c r="AB106" s="211"/>
      <c r="AC106" s="211"/>
      <c r="AD106" s="211"/>
      <c r="AE106" s="211"/>
      <c r="AF106" s="211"/>
      <c r="AG106" s="211"/>
      <c r="DE106" s="211"/>
      <c r="DF106" s="211"/>
      <c r="DG106" s="211"/>
      <c r="DH106" s="211"/>
      <c r="DI106" s="211"/>
      <c r="DJ106" s="211"/>
      <c r="DK106" s="211"/>
      <c r="DL106" s="211"/>
      <c r="DM106" s="211"/>
      <c r="DN106" s="211"/>
      <c r="DQ106" s="211"/>
      <c r="DV106" s="211"/>
      <c r="DW106" s="211"/>
      <c r="DX106" s="211"/>
      <c r="DY106" s="211"/>
      <c r="DZ106" s="211"/>
      <c r="EA106" s="211"/>
      <c r="EB106" s="211"/>
      <c r="EC106" s="211"/>
      <c r="ED106" s="211"/>
      <c r="EE106" s="211"/>
      <c r="EF106" s="211"/>
      <c r="EG106" s="211"/>
    </row>
    <row r="107" spans="1:137" ht="33.75" customHeight="1">
      <c r="A107" s="270">
        <f t="shared" si="2"/>
        <v>1</v>
      </c>
      <c r="B107" s="280">
        <f t="shared" si="5"/>
        <v>45</v>
      </c>
      <c r="C107" s="234" t="str">
        <f t="shared" si="1"/>
        <v>COLETOR45</v>
      </c>
      <c r="D107" s="271" t="s">
        <v>70</v>
      </c>
      <c r="E107" s="281" t="s">
        <v>16023</v>
      </c>
      <c r="F107" s="282" t="s">
        <v>13988</v>
      </c>
      <c r="G107" s="250" t="s">
        <v>5240</v>
      </c>
      <c r="H107" s="245" t="s">
        <v>256</v>
      </c>
      <c r="I107" s="513"/>
      <c r="J107" s="513"/>
      <c r="K107" s="513"/>
      <c r="L107" s="513"/>
      <c r="M107" s="513"/>
      <c r="N107" s="513"/>
      <c r="O107" s="290"/>
      <c r="P107" s="294" t="s">
        <v>14073</v>
      </c>
      <c r="Q107" s="211"/>
      <c r="R107" s="211"/>
      <c r="S107" s="211"/>
      <c r="T107" s="211"/>
      <c r="U107" s="211"/>
      <c r="V107" s="211"/>
      <c r="W107" s="211"/>
      <c r="X107" s="211"/>
      <c r="Y107" s="211"/>
      <c r="Z107" s="211"/>
      <c r="AA107" s="211"/>
      <c r="AB107" s="211"/>
      <c r="AC107" s="211"/>
      <c r="AD107" s="211"/>
      <c r="AE107" s="211"/>
      <c r="AF107" s="211"/>
      <c r="AG107" s="211"/>
      <c r="DE107" s="211"/>
      <c r="DF107" s="211"/>
      <c r="DG107" s="211"/>
      <c r="DH107" s="211"/>
      <c r="DI107" s="211"/>
      <c r="DJ107" s="211"/>
      <c r="DK107" s="211"/>
      <c r="DL107" s="211"/>
      <c r="DM107" s="211"/>
      <c r="DN107" s="211"/>
      <c r="DQ107" s="211"/>
      <c r="DV107" s="211"/>
      <c r="DW107" s="211"/>
      <c r="DX107" s="211"/>
      <c r="DY107" s="211"/>
      <c r="DZ107" s="211"/>
      <c r="EA107" s="211"/>
      <c r="EB107" s="211"/>
      <c r="EC107" s="211"/>
      <c r="ED107" s="211"/>
      <c r="EE107" s="211"/>
      <c r="EF107" s="211"/>
      <c r="EG107" s="211"/>
    </row>
    <row r="108" spans="1:137" ht="15.75" customHeight="1">
      <c r="A108" s="270">
        <f t="shared" si="2"/>
        <v>0</v>
      </c>
      <c r="B108" s="280">
        <f t="shared" si="5"/>
        <v>45</v>
      </c>
      <c r="C108" s="234" t="str">
        <f t="shared" si="1"/>
        <v xml:space="preserve"> </v>
      </c>
      <c r="F108" s="241" t="s">
        <v>13996</v>
      </c>
      <c r="G108" s="242"/>
      <c r="H108" s="242"/>
      <c r="I108" s="242"/>
      <c r="J108" s="242"/>
      <c r="K108" s="242"/>
      <c r="L108" s="242"/>
      <c r="M108" s="242"/>
      <c r="N108" s="242"/>
      <c r="O108" s="242"/>
      <c r="P108" s="243"/>
      <c r="Q108" s="211"/>
      <c r="R108" s="211"/>
      <c r="S108" s="211"/>
      <c r="T108" s="211"/>
      <c r="U108" s="211"/>
      <c r="V108" s="211"/>
      <c r="W108" s="211"/>
      <c r="X108" s="211"/>
      <c r="Y108" s="211"/>
      <c r="Z108" s="211"/>
      <c r="AA108" s="211"/>
      <c r="AB108" s="211"/>
      <c r="AC108" s="211"/>
      <c r="AD108" s="211"/>
      <c r="AE108" s="211"/>
      <c r="AF108" s="211"/>
      <c r="AG108" s="211"/>
      <c r="DE108" s="211"/>
      <c r="DF108" s="211"/>
      <c r="DG108" s="211"/>
      <c r="DH108" s="211"/>
      <c r="DI108" s="211"/>
      <c r="DJ108" s="211"/>
      <c r="DK108" s="211"/>
      <c r="DL108" s="211"/>
      <c r="DM108" s="211"/>
      <c r="DN108" s="211"/>
      <c r="DQ108" s="211"/>
      <c r="DV108" s="211"/>
      <c r="DW108" s="211"/>
      <c r="DX108" s="211"/>
      <c r="DY108" s="211"/>
      <c r="DZ108" s="211"/>
      <c r="EA108" s="211"/>
      <c r="EB108" s="211"/>
      <c r="EC108" s="211"/>
      <c r="ED108" s="211"/>
      <c r="EE108" s="211"/>
      <c r="EF108" s="211"/>
      <c r="EG108" s="211"/>
    </row>
    <row r="109" spans="1:137" ht="20.25" customHeight="1">
      <c r="A109" s="270">
        <f t="shared" si="2"/>
        <v>1</v>
      </c>
      <c r="B109" s="280">
        <f t="shared" si="5"/>
        <v>46</v>
      </c>
      <c r="C109" s="234" t="str">
        <f t="shared" si="1"/>
        <v>COLETOR46</v>
      </c>
      <c r="D109" s="271" t="s">
        <v>70</v>
      </c>
      <c r="E109" s="271" t="s">
        <v>15726</v>
      </c>
      <c r="F109" s="282" t="s">
        <v>13989</v>
      </c>
      <c r="G109" s="250" t="s">
        <v>350</v>
      </c>
      <c r="H109" s="245" t="s">
        <v>57</v>
      </c>
      <c r="I109" s="248"/>
      <c r="J109" s="248"/>
      <c r="K109" s="248"/>
      <c r="L109" s="248"/>
      <c r="M109" s="248"/>
      <c r="N109" s="248"/>
      <c r="O109" s="246"/>
      <c r="P109" s="292"/>
      <c r="Q109" s="211"/>
      <c r="R109" s="211"/>
      <c r="S109" s="211"/>
      <c r="T109" s="211"/>
      <c r="U109" s="211"/>
      <c r="V109" s="211"/>
      <c r="W109" s="211"/>
      <c r="X109" s="211"/>
      <c r="Y109" s="211"/>
      <c r="Z109" s="211"/>
      <c r="AA109" s="211"/>
      <c r="AB109" s="211"/>
      <c r="AC109" s="211"/>
      <c r="AD109" s="211"/>
      <c r="AE109" s="211"/>
      <c r="AF109" s="211"/>
      <c r="AG109" s="211"/>
      <c r="DE109" s="211"/>
      <c r="DF109" s="211"/>
      <c r="DG109" s="211"/>
      <c r="DH109" s="211"/>
      <c r="DI109" s="211"/>
      <c r="DJ109" s="211"/>
      <c r="DK109" s="211"/>
      <c r="DL109" s="211"/>
      <c r="DM109" s="211"/>
      <c r="DN109" s="211"/>
      <c r="DQ109" s="211"/>
      <c r="DV109" s="211"/>
      <c r="DW109" s="211"/>
      <c r="DX109" s="211"/>
      <c r="DY109" s="211"/>
      <c r="DZ109" s="211"/>
      <c r="EA109" s="211"/>
      <c r="EB109" s="211"/>
      <c r="EC109" s="211"/>
      <c r="ED109" s="211"/>
      <c r="EE109" s="211"/>
      <c r="EF109" s="211"/>
      <c r="EG109" s="211"/>
    </row>
    <row r="110" spans="1:137" ht="16.5" customHeight="1">
      <c r="A110" s="270">
        <f t="shared" si="2"/>
        <v>0</v>
      </c>
      <c r="B110" s="280">
        <f t="shared" si="5"/>
        <v>46</v>
      </c>
      <c r="C110" s="234" t="str">
        <f t="shared" si="1"/>
        <v xml:space="preserve"> </v>
      </c>
      <c r="D110" s="226"/>
      <c r="E110" s="264"/>
      <c r="F110" s="241" t="s">
        <v>14074</v>
      </c>
      <c r="G110" s="255"/>
      <c r="H110" s="242"/>
      <c r="I110" s="242"/>
      <c r="J110" s="242"/>
      <c r="K110" s="242"/>
      <c r="L110" s="242"/>
      <c r="M110" s="242"/>
      <c r="N110" s="242"/>
      <c r="O110" s="242"/>
      <c r="P110" s="243"/>
      <c r="Q110" s="211"/>
      <c r="R110" s="211"/>
      <c r="S110" s="211"/>
      <c r="T110" s="211"/>
      <c r="U110" s="211"/>
      <c r="V110" s="211"/>
      <c r="W110" s="211"/>
      <c r="X110" s="211"/>
      <c r="Y110" s="211"/>
      <c r="Z110" s="211"/>
      <c r="AA110" s="211"/>
      <c r="AB110" s="211"/>
      <c r="AC110" s="211"/>
      <c r="AD110" s="211"/>
      <c r="AE110" s="211"/>
      <c r="AF110" s="211"/>
      <c r="AG110" s="211"/>
      <c r="DE110" s="211"/>
      <c r="DF110" s="211"/>
      <c r="DG110" s="211"/>
      <c r="DH110" s="211"/>
      <c r="DI110" s="211"/>
      <c r="DJ110" s="211"/>
      <c r="DK110" s="211"/>
      <c r="DL110" s="211"/>
      <c r="DM110" s="211"/>
      <c r="DN110" s="211"/>
      <c r="DQ110" s="211"/>
      <c r="DV110" s="211"/>
      <c r="DW110" s="211"/>
      <c r="DX110" s="211"/>
      <c r="DY110" s="211"/>
      <c r="DZ110" s="211"/>
      <c r="EA110" s="211"/>
      <c r="EB110" s="211"/>
      <c r="EC110" s="211"/>
      <c r="ED110" s="211"/>
      <c r="EE110" s="211"/>
      <c r="EF110" s="211"/>
      <c r="EG110" s="211"/>
    </row>
    <row r="111" spans="1:137" ht="25.5">
      <c r="A111" s="270">
        <f t="shared" si="2"/>
        <v>1</v>
      </c>
      <c r="B111" s="280">
        <f t="shared" si="5"/>
        <v>47</v>
      </c>
      <c r="C111" s="234" t="str">
        <f t="shared" si="1"/>
        <v>COLETOR47</v>
      </c>
      <c r="D111" s="271" t="s">
        <v>1</v>
      </c>
      <c r="E111" s="264">
        <v>229</v>
      </c>
      <c r="F111" s="282" t="s">
        <v>14075</v>
      </c>
      <c r="G111" s="250" t="s">
        <v>1258</v>
      </c>
      <c r="H111" s="245" t="s">
        <v>255</v>
      </c>
      <c r="I111" s="289"/>
      <c r="J111" s="289"/>
      <c r="K111" s="289"/>
      <c r="L111" s="289"/>
      <c r="M111" s="289"/>
      <c r="N111" s="289"/>
      <c r="O111" s="290"/>
      <c r="P111" s="291" t="s">
        <v>19780</v>
      </c>
      <c r="Q111" s="211"/>
      <c r="R111" s="211"/>
      <c r="S111" s="211"/>
      <c r="T111" s="211"/>
      <c r="U111" s="211"/>
      <c r="V111" s="211"/>
      <c r="W111" s="211"/>
      <c r="X111" s="211"/>
      <c r="Y111" s="211"/>
      <c r="Z111" s="211"/>
      <c r="AA111" s="211"/>
      <c r="AB111" s="211"/>
      <c r="AC111" s="211"/>
      <c r="AD111" s="211"/>
      <c r="AE111" s="211"/>
      <c r="AF111" s="211"/>
      <c r="AG111" s="211"/>
      <c r="DE111" s="211"/>
      <c r="DF111" s="211"/>
      <c r="DG111" s="211"/>
      <c r="DH111" s="211"/>
      <c r="DI111" s="211"/>
      <c r="DJ111" s="211"/>
      <c r="DK111" s="211"/>
      <c r="DL111" s="211"/>
      <c r="DM111" s="211"/>
      <c r="DN111" s="211"/>
      <c r="DQ111" s="211"/>
      <c r="DV111" s="211"/>
      <c r="DW111" s="211"/>
      <c r="DX111" s="211"/>
      <c r="DY111" s="211"/>
      <c r="DZ111" s="211"/>
      <c r="EA111" s="211"/>
      <c r="EB111" s="211"/>
      <c r="EC111" s="211"/>
      <c r="ED111" s="211"/>
      <c r="EE111" s="211"/>
      <c r="EF111" s="211"/>
      <c r="EG111" s="211"/>
    </row>
    <row r="112" spans="1:137" ht="25.5">
      <c r="A112" s="270">
        <f t="shared" si="2"/>
        <v>1</v>
      </c>
      <c r="B112" s="280">
        <f t="shared" si="5"/>
        <v>48</v>
      </c>
      <c r="C112" s="234" t="str">
        <f t="shared" si="1"/>
        <v>COLETOR48</v>
      </c>
      <c r="D112" s="271" t="s">
        <v>1</v>
      </c>
      <c r="E112" s="264">
        <v>231</v>
      </c>
      <c r="F112" s="282" t="s">
        <v>14076</v>
      </c>
      <c r="G112" s="250" t="s">
        <v>518</v>
      </c>
      <c r="H112" s="245" t="s">
        <v>255</v>
      </c>
      <c r="I112" s="289"/>
      <c r="J112" s="289"/>
      <c r="K112" s="289"/>
      <c r="L112" s="289"/>
      <c r="M112" s="289"/>
      <c r="N112" s="289"/>
      <c r="O112" s="290"/>
      <c r="P112" s="291" t="s">
        <v>19781</v>
      </c>
      <c r="Q112" s="211"/>
      <c r="R112" s="211"/>
      <c r="S112" s="211"/>
      <c r="T112" s="211"/>
      <c r="U112" s="211"/>
      <c r="V112" s="211"/>
      <c r="W112" s="211"/>
      <c r="X112" s="211"/>
      <c r="Y112" s="211"/>
      <c r="Z112" s="211"/>
      <c r="AA112" s="211"/>
      <c r="AB112" s="211"/>
      <c r="AC112" s="211"/>
      <c r="AD112" s="211"/>
      <c r="AE112" s="211"/>
      <c r="AF112" s="211"/>
      <c r="AG112" s="211"/>
      <c r="DE112" s="211"/>
      <c r="DF112" s="211"/>
      <c r="DG112" s="211"/>
      <c r="DH112" s="211"/>
      <c r="DI112" s="211"/>
      <c r="DJ112" s="211"/>
      <c r="DK112" s="211"/>
      <c r="DL112" s="211"/>
      <c r="DM112" s="211"/>
      <c r="DN112" s="211"/>
      <c r="DQ112" s="211"/>
      <c r="DV112" s="211"/>
      <c r="DW112" s="211"/>
      <c r="DX112" s="211"/>
      <c r="DY112" s="211"/>
      <c r="DZ112" s="211"/>
      <c r="EA112" s="211"/>
      <c r="EB112" s="211"/>
      <c r="EC112" s="211"/>
      <c r="ED112" s="211"/>
      <c r="EE112" s="211"/>
      <c r="EF112" s="211"/>
      <c r="EG112" s="211"/>
    </row>
    <row r="113" spans="1:137" ht="12.75">
      <c r="A113" s="270">
        <f t="shared" si="2"/>
        <v>0</v>
      </c>
      <c r="B113" s="280">
        <f t="shared" si="5"/>
        <v>48</v>
      </c>
      <c r="C113" s="234" t="str">
        <f t="shared" si="1"/>
        <v xml:space="preserve"> </v>
      </c>
      <c r="F113" s="241" t="s">
        <v>12681</v>
      </c>
      <c r="G113" s="242"/>
      <c r="H113" s="242"/>
      <c r="I113" s="242"/>
      <c r="J113" s="242"/>
      <c r="K113" s="242"/>
      <c r="L113" s="242"/>
      <c r="M113" s="242"/>
      <c r="N113" s="242"/>
      <c r="O113" s="242"/>
      <c r="P113" s="243"/>
      <c r="Q113" s="211"/>
      <c r="R113" s="211"/>
      <c r="S113" s="211"/>
      <c r="T113" s="211"/>
      <c r="U113" s="211"/>
      <c r="V113" s="211"/>
      <c r="W113" s="211"/>
      <c r="X113" s="211"/>
      <c r="Y113" s="211"/>
      <c r="Z113" s="211"/>
      <c r="AA113" s="211"/>
      <c r="AB113" s="211"/>
      <c r="AC113" s="211"/>
      <c r="AD113" s="211"/>
      <c r="AE113" s="211"/>
      <c r="AF113" s="211"/>
      <c r="AG113" s="211"/>
      <c r="DE113" s="211"/>
      <c r="DF113" s="211"/>
      <c r="DG113" s="211"/>
      <c r="DH113" s="211"/>
      <c r="DI113" s="211"/>
      <c r="DJ113" s="211"/>
      <c r="DK113" s="211"/>
      <c r="DL113" s="211"/>
      <c r="DM113" s="211"/>
      <c r="DN113" s="211"/>
      <c r="DQ113" s="211"/>
      <c r="DV113" s="211"/>
      <c r="DW113" s="211"/>
      <c r="DX113" s="211"/>
      <c r="DY113" s="211"/>
      <c r="DZ113" s="211"/>
      <c r="EA113" s="211"/>
      <c r="EB113" s="211"/>
      <c r="EC113" s="211"/>
      <c r="ED113" s="211"/>
      <c r="EE113" s="211"/>
      <c r="EF113" s="211"/>
      <c r="EG113" s="211"/>
    </row>
    <row r="114" spans="1:137" ht="51">
      <c r="A114" s="270">
        <f t="shared" si="2"/>
        <v>1</v>
      </c>
      <c r="B114" s="280">
        <f t="shared" si="5"/>
        <v>49</v>
      </c>
      <c r="C114" s="234" t="str">
        <f t="shared" si="1"/>
        <v>COLETOR49</v>
      </c>
      <c r="D114" s="271" t="s">
        <v>70</v>
      </c>
      <c r="E114" s="281">
        <v>90733</v>
      </c>
      <c r="F114" s="282" t="s">
        <v>13997</v>
      </c>
      <c r="G114" s="250" t="s">
        <v>14742</v>
      </c>
      <c r="H114" s="245" t="s">
        <v>71</v>
      </c>
      <c r="I114" s="249"/>
      <c r="J114" s="249"/>
      <c r="K114" s="249"/>
      <c r="L114" s="249"/>
      <c r="M114" s="249"/>
      <c r="N114" s="249"/>
      <c r="O114" s="246"/>
      <c r="P114" s="292" t="s">
        <v>14238</v>
      </c>
      <c r="Q114" s="211"/>
      <c r="R114" s="211"/>
      <c r="S114" s="211"/>
      <c r="T114" s="211"/>
      <c r="U114" s="211"/>
      <c r="V114" s="211"/>
      <c r="W114" s="211"/>
      <c r="X114" s="211"/>
      <c r="Y114" s="211"/>
      <c r="Z114" s="211"/>
      <c r="AA114" s="211"/>
      <c r="AB114" s="211"/>
      <c r="AC114" s="211"/>
      <c r="AD114" s="211"/>
      <c r="AE114" s="211"/>
      <c r="AF114" s="211"/>
      <c r="AG114" s="211"/>
      <c r="DE114" s="211"/>
      <c r="DF114" s="211"/>
      <c r="DG114" s="211"/>
      <c r="DH114" s="211"/>
      <c r="DI114" s="211"/>
      <c r="DJ114" s="211"/>
      <c r="DK114" s="211"/>
      <c r="DL114" s="211"/>
      <c r="DM114" s="211"/>
      <c r="DN114" s="211"/>
      <c r="DQ114" s="211"/>
      <c r="DV114" s="211"/>
      <c r="DW114" s="211"/>
      <c r="DX114" s="211"/>
      <c r="DY114" s="211"/>
      <c r="DZ114" s="211"/>
      <c r="EA114" s="211"/>
      <c r="EB114" s="211"/>
      <c r="EC114" s="211"/>
      <c r="ED114" s="211"/>
      <c r="EE114" s="211"/>
      <c r="EF114" s="211"/>
      <c r="EG114" s="211"/>
    </row>
    <row r="115" spans="1:137" ht="51">
      <c r="A115" s="270">
        <f t="shared" si="2"/>
        <v>1</v>
      </c>
      <c r="B115" s="280">
        <f t="shared" si="5"/>
        <v>50</v>
      </c>
      <c r="C115" s="234" t="str">
        <f t="shared" si="1"/>
        <v>COLETOR50</v>
      </c>
      <c r="D115" s="271" t="s">
        <v>70</v>
      </c>
      <c r="E115" s="281">
        <v>90734</v>
      </c>
      <c r="F115" s="282" t="s">
        <v>13998</v>
      </c>
      <c r="G115" s="250" t="s">
        <v>14743</v>
      </c>
      <c r="H115" s="245" t="s">
        <v>71</v>
      </c>
      <c r="I115" s="249"/>
      <c r="J115" s="249"/>
      <c r="K115" s="249"/>
      <c r="L115" s="249"/>
      <c r="M115" s="249"/>
      <c r="N115" s="249"/>
      <c r="O115" s="246"/>
      <c r="P115" s="292" t="s">
        <v>14239</v>
      </c>
      <c r="Q115" s="211"/>
      <c r="R115" s="211"/>
      <c r="S115" s="211"/>
      <c r="T115" s="211"/>
      <c r="U115" s="211"/>
      <c r="V115" s="211"/>
      <c r="W115" s="211"/>
      <c r="X115" s="211"/>
      <c r="Y115" s="211"/>
      <c r="Z115" s="211"/>
      <c r="AA115" s="211"/>
      <c r="AB115" s="211"/>
      <c r="AC115" s="211"/>
      <c r="AD115" s="211"/>
      <c r="AE115" s="211"/>
      <c r="AF115" s="211"/>
      <c r="AG115" s="211"/>
      <c r="DE115" s="211"/>
      <c r="DF115" s="211"/>
      <c r="DG115" s="211"/>
      <c r="DH115" s="211"/>
      <c r="DI115" s="211"/>
      <c r="DJ115" s="211"/>
      <c r="DK115" s="211"/>
      <c r="DL115" s="211"/>
      <c r="DM115" s="211"/>
      <c r="DN115" s="211"/>
      <c r="DQ115" s="211"/>
      <c r="DV115" s="211"/>
      <c r="DW115" s="211"/>
      <c r="DX115" s="211"/>
      <c r="DY115" s="211"/>
      <c r="DZ115" s="211"/>
      <c r="EA115" s="211"/>
      <c r="EB115" s="211"/>
      <c r="EC115" s="211"/>
      <c r="ED115" s="211"/>
      <c r="EE115" s="211"/>
      <c r="EF115" s="211"/>
      <c r="EG115" s="211"/>
    </row>
    <row r="116" spans="1:137" ht="51">
      <c r="A116" s="270">
        <f t="shared" si="2"/>
        <v>1</v>
      </c>
      <c r="B116" s="280">
        <f t="shared" si="5"/>
        <v>51</v>
      </c>
      <c r="C116" s="234" t="str">
        <f t="shared" ref="C116:C161" si="6">IF(A116&gt;0,CONCATENATE("COLETOR",B116)," ")</f>
        <v>COLETOR51</v>
      </c>
      <c r="D116" s="271" t="s">
        <v>70</v>
      </c>
      <c r="E116" s="281">
        <v>90735</v>
      </c>
      <c r="F116" s="282" t="s">
        <v>13999</v>
      </c>
      <c r="G116" s="250" t="s">
        <v>14744</v>
      </c>
      <c r="H116" s="245" t="s">
        <v>71</v>
      </c>
      <c r="I116" s="249"/>
      <c r="J116" s="249"/>
      <c r="K116" s="249"/>
      <c r="L116" s="249"/>
      <c r="M116" s="249"/>
      <c r="N116" s="249"/>
      <c r="O116" s="246"/>
      <c r="P116" s="292" t="s">
        <v>14240</v>
      </c>
      <c r="Q116" s="211"/>
      <c r="R116" s="211"/>
      <c r="S116" s="211"/>
      <c r="T116" s="211"/>
      <c r="U116" s="211"/>
      <c r="V116" s="211"/>
      <c r="W116" s="211"/>
      <c r="X116" s="211"/>
      <c r="Y116" s="211"/>
      <c r="Z116" s="211"/>
      <c r="AA116" s="211"/>
      <c r="AB116" s="211"/>
      <c r="AC116" s="211"/>
      <c r="AD116" s="211"/>
      <c r="AE116" s="211"/>
      <c r="AF116" s="211"/>
      <c r="AG116" s="211"/>
      <c r="DE116" s="211"/>
      <c r="DF116" s="211"/>
      <c r="DG116" s="211"/>
      <c r="DH116" s="211"/>
      <c r="DI116" s="211"/>
      <c r="DJ116" s="211"/>
      <c r="DK116" s="211"/>
      <c r="DL116" s="211"/>
      <c r="DM116" s="211"/>
      <c r="DN116" s="211"/>
      <c r="DQ116" s="211"/>
      <c r="DV116" s="211"/>
      <c r="DW116" s="211"/>
      <c r="DX116" s="211"/>
      <c r="DY116" s="211"/>
      <c r="DZ116" s="211"/>
      <c r="EA116" s="211"/>
      <c r="EB116" s="211"/>
      <c r="EC116" s="211"/>
      <c r="ED116" s="211"/>
      <c r="EE116" s="211"/>
      <c r="EF116" s="211"/>
      <c r="EG116" s="211"/>
    </row>
    <row r="117" spans="1:137" ht="51">
      <c r="A117" s="270">
        <f t="shared" si="2"/>
        <v>1</v>
      </c>
      <c r="B117" s="280">
        <f t="shared" si="5"/>
        <v>52</v>
      </c>
      <c r="C117" s="234" t="str">
        <f t="shared" si="6"/>
        <v>COLETOR52</v>
      </c>
      <c r="D117" s="271" t="s">
        <v>70</v>
      </c>
      <c r="E117" s="281">
        <v>90736</v>
      </c>
      <c r="F117" s="282" t="s">
        <v>14000</v>
      </c>
      <c r="G117" s="250" t="s">
        <v>14745</v>
      </c>
      <c r="H117" s="245" t="s">
        <v>71</v>
      </c>
      <c r="I117" s="249"/>
      <c r="J117" s="249"/>
      <c r="K117" s="249"/>
      <c r="L117" s="249"/>
      <c r="M117" s="249"/>
      <c r="N117" s="249"/>
      <c r="O117" s="246"/>
      <c r="P117" s="292" t="s">
        <v>14241</v>
      </c>
      <c r="Q117" s="211"/>
      <c r="R117" s="211"/>
      <c r="S117" s="211"/>
      <c r="T117" s="211"/>
      <c r="U117" s="211"/>
      <c r="V117" s="211"/>
      <c r="W117" s="211"/>
      <c r="X117" s="211"/>
      <c r="Y117" s="211"/>
      <c r="Z117" s="211"/>
      <c r="AA117" s="211"/>
      <c r="AB117" s="211"/>
      <c r="AC117" s="211"/>
      <c r="AD117" s="211"/>
      <c r="AE117" s="211"/>
      <c r="AF117" s="211"/>
      <c r="AG117" s="211"/>
      <c r="DE117" s="211"/>
      <c r="DF117" s="211"/>
      <c r="DG117" s="211"/>
      <c r="DH117" s="211"/>
      <c r="DI117" s="211"/>
      <c r="DJ117" s="211"/>
      <c r="DK117" s="211"/>
      <c r="DL117" s="211"/>
      <c r="DM117" s="211"/>
      <c r="DN117" s="211"/>
      <c r="DQ117" s="211"/>
      <c r="DV117" s="211"/>
      <c r="DW117" s="211"/>
      <c r="DX117" s="211"/>
      <c r="DY117" s="211"/>
      <c r="DZ117" s="211"/>
      <c r="EA117" s="211"/>
      <c r="EB117" s="211"/>
      <c r="EC117" s="211"/>
      <c r="ED117" s="211"/>
      <c r="EE117" s="211"/>
      <c r="EF117" s="211"/>
      <c r="EG117" s="211"/>
    </row>
    <row r="118" spans="1:137" ht="51">
      <c r="A118" s="270">
        <f t="shared" si="2"/>
        <v>1</v>
      </c>
      <c r="B118" s="280">
        <f t="shared" si="5"/>
        <v>53</v>
      </c>
      <c r="C118" s="234" t="str">
        <f t="shared" si="6"/>
        <v>COLETOR53</v>
      </c>
      <c r="D118" s="271" t="s">
        <v>70</v>
      </c>
      <c r="E118" s="281">
        <v>90737</v>
      </c>
      <c r="F118" s="282" t="s">
        <v>14001</v>
      </c>
      <c r="G118" s="250" t="s">
        <v>14746</v>
      </c>
      <c r="H118" s="245" t="s">
        <v>71</v>
      </c>
      <c r="I118" s="249"/>
      <c r="J118" s="249"/>
      <c r="K118" s="249"/>
      <c r="L118" s="249"/>
      <c r="M118" s="249"/>
      <c r="N118" s="249"/>
      <c r="O118" s="246"/>
      <c r="P118" s="292" t="s">
        <v>14242</v>
      </c>
      <c r="Q118" s="211"/>
      <c r="R118" s="211"/>
      <c r="S118" s="211"/>
      <c r="T118" s="211"/>
      <c r="U118" s="211"/>
      <c r="V118" s="211"/>
      <c r="W118" s="211"/>
      <c r="X118" s="211"/>
      <c r="Y118" s="211"/>
      <c r="Z118" s="211"/>
      <c r="AA118" s="211"/>
      <c r="AB118" s="211"/>
      <c r="AC118" s="211"/>
      <c r="AD118" s="211"/>
      <c r="AE118" s="211"/>
      <c r="AF118" s="211"/>
      <c r="AG118" s="211"/>
      <c r="DE118" s="211"/>
      <c r="DF118" s="211"/>
      <c r="DG118" s="211"/>
      <c r="DH118" s="211"/>
      <c r="DI118" s="211"/>
      <c r="DJ118" s="211"/>
      <c r="DK118" s="211"/>
      <c r="DL118" s="211"/>
      <c r="DM118" s="211"/>
      <c r="DN118" s="211"/>
      <c r="DQ118" s="211"/>
      <c r="DV118" s="211"/>
      <c r="DW118" s="211"/>
      <c r="DX118" s="211"/>
      <c r="DY118" s="211"/>
      <c r="DZ118" s="211"/>
      <c r="EA118" s="211"/>
      <c r="EB118" s="211"/>
      <c r="EC118" s="211"/>
      <c r="ED118" s="211"/>
      <c r="EE118" s="211"/>
      <c r="EF118" s="211"/>
      <c r="EG118" s="211"/>
    </row>
    <row r="119" spans="1:137" ht="51">
      <c r="A119" s="270">
        <f t="shared" ref="A119:A161" si="7">IF(E119&gt;0,1,0)</f>
        <v>1</v>
      </c>
      <c r="B119" s="280">
        <f t="shared" si="5"/>
        <v>54</v>
      </c>
      <c r="C119" s="234" t="str">
        <f t="shared" si="6"/>
        <v>COLETOR54</v>
      </c>
      <c r="D119" s="271" t="s">
        <v>70</v>
      </c>
      <c r="E119" s="281">
        <v>90739</v>
      </c>
      <c r="F119" s="282" t="s">
        <v>14002</v>
      </c>
      <c r="G119" s="250" t="s">
        <v>14748</v>
      </c>
      <c r="H119" s="245" t="s">
        <v>71</v>
      </c>
      <c r="I119" s="249"/>
      <c r="J119" s="249"/>
      <c r="K119" s="249"/>
      <c r="L119" s="249"/>
      <c r="M119" s="249"/>
      <c r="N119" s="249"/>
      <c r="O119" s="246"/>
      <c r="P119" s="292" t="s">
        <v>14243</v>
      </c>
      <c r="Q119" s="211"/>
      <c r="R119" s="211"/>
      <c r="S119" s="211"/>
      <c r="T119" s="211"/>
      <c r="U119" s="211"/>
      <c r="V119" s="211"/>
      <c r="W119" s="211"/>
      <c r="X119" s="211"/>
      <c r="Y119" s="211"/>
      <c r="Z119" s="211"/>
      <c r="AA119" s="211"/>
      <c r="AB119" s="211"/>
      <c r="AC119" s="211"/>
      <c r="AD119" s="211"/>
      <c r="AE119" s="211"/>
      <c r="AF119" s="211"/>
      <c r="AG119" s="211"/>
      <c r="DE119" s="211"/>
      <c r="DF119" s="211"/>
      <c r="DG119" s="211"/>
      <c r="DH119" s="211"/>
      <c r="DI119" s="211"/>
      <c r="DJ119" s="211"/>
      <c r="DK119" s="211"/>
      <c r="DL119" s="211"/>
      <c r="DM119" s="211"/>
      <c r="DN119" s="211"/>
      <c r="DQ119" s="211"/>
      <c r="DV119" s="211"/>
      <c r="DW119" s="211"/>
      <c r="DX119" s="211"/>
      <c r="DY119" s="211"/>
      <c r="DZ119" s="211"/>
      <c r="EA119" s="211"/>
      <c r="EB119" s="211"/>
      <c r="EC119" s="211"/>
      <c r="ED119" s="211"/>
      <c r="EE119" s="211"/>
      <c r="EF119" s="211"/>
      <c r="EG119" s="211"/>
    </row>
    <row r="120" spans="1:137" ht="33.75" customHeight="1">
      <c r="A120" s="270">
        <f t="shared" si="7"/>
        <v>1</v>
      </c>
      <c r="B120" s="280">
        <f t="shared" si="5"/>
        <v>55</v>
      </c>
      <c r="C120" s="234" t="str">
        <f t="shared" si="6"/>
        <v>COLETOR55</v>
      </c>
      <c r="D120" s="271" t="s">
        <v>1</v>
      </c>
      <c r="E120" s="281">
        <v>1590</v>
      </c>
      <c r="F120" s="282" t="s">
        <v>14003</v>
      </c>
      <c r="G120" s="250" t="s">
        <v>19831</v>
      </c>
      <c r="H120" s="245" t="s">
        <v>71</v>
      </c>
      <c r="I120" s="249"/>
      <c r="J120" s="249"/>
      <c r="K120" s="249"/>
      <c r="L120" s="249"/>
      <c r="M120" s="249"/>
      <c r="N120" s="249"/>
      <c r="O120" s="246"/>
      <c r="P120" s="292" t="s">
        <v>14244</v>
      </c>
      <c r="Q120" s="211"/>
      <c r="R120" s="211"/>
      <c r="S120" s="211"/>
      <c r="T120" s="211"/>
      <c r="U120" s="211"/>
      <c r="V120" s="211"/>
      <c r="W120" s="211"/>
      <c r="X120" s="211"/>
      <c r="Y120" s="211"/>
      <c r="Z120" s="211"/>
      <c r="AA120" s="211"/>
      <c r="AB120" s="211"/>
      <c r="AC120" s="211"/>
      <c r="AD120" s="211"/>
      <c r="AE120" s="211"/>
      <c r="AF120" s="211"/>
      <c r="AG120" s="211"/>
      <c r="DE120" s="211"/>
      <c r="DF120" s="211"/>
      <c r="DG120" s="211"/>
      <c r="DH120" s="211"/>
      <c r="DI120" s="211"/>
      <c r="DJ120" s="211"/>
      <c r="DK120" s="211"/>
      <c r="DL120" s="211"/>
      <c r="DM120" s="211"/>
      <c r="DN120" s="211"/>
      <c r="DQ120" s="211"/>
      <c r="DV120" s="211"/>
      <c r="DW120" s="211"/>
      <c r="DX120" s="211"/>
      <c r="DY120" s="211"/>
      <c r="DZ120" s="211"/>
      <c r="EA120" s="211"/>
      <c r="EB120" s="211"/>
      <c r="EC120" s="211"/>
      <c r="ED120" s="211"/>
      <c r="EE120" s="211"/>
      <c r="EF120" s="211"/>
      <c r="EG120" s="211"/>
    </row>
    <row r="121" spans="1:137" ht="51">
      <c r="A121" s="270">
        <f t="shared" si="7"/>
        <v>1</v>
      </c>
      <c r="B121" s="280">
        <f t="shared" si="5"/>
        <v>56</v>
      </c>
      <c r="C121" s="234" t="str">
        <f t="shared" si="6"/>
        <v>COLETOR56</v>
      </c>
      <c r="D121" s="271" t="s">
        <v>70</v>
      </c>
      <c r="E121" s="281">
        <v>91108</v>
      </c>
      <c r="F121" s="282" t="s">
        <v>14004</v>
      </c>
      <c r="G121" s="250" t="s">
        <v>19093</v>
      </c>
      <c r="H121" s="245" t="s">
        <v>71</v>
      </c>
      <c r="I121" s="249"/>
      <c r="J121" s="249"/>
      <c r="K121" s="249"/>
      <c r="L121" s="249"/>
      <c r="M121" s="249"/>
      <c r="N121" s="249"/>
      <c r="O121" s="246"/>
      <c r="P121" s="292" t="s">
        <v>19782</v>
      </c>
      <c r="Q121" s="211"/>
      <c r="R121" s="211"/>
      <c r="S121" s="211"/>
      <c r="T121" s="211"/>
      <c r="U121" s="211"/>
      <c r="V121" s="211"/>
      <c r="W121" s="211"/>
      <c r="X121" s="211"/>
      <c r="Y121" s="211"/>
      <c r="Z121" s="211"/>
      <c r="AA121" s="211"/>
      <c r="AB121" s="211"/>
      <c r="AC121" s="211"/>
      <c r="AD121" s="211"/>
      <c r="AE121" s="211"/>
      <c r="AF121" s="211"/>
      <c r="AG121" s="211"/>
      <c r="DE121" s="211"/>
      <c r="DF121" s="211"/>
      <c r="DG121" s="211"/>
      <c r="DH121" s="211"/>
      <c r="DI121" s="211"/>
      <c r="DJ121" s="211"/>
      <c r="DK121" s="211"/>
      <c r="DL121" s="211"/>
      <c r="DM121" s="211"/>
      <c r="DN121" s="211"/>
      <c r="DQ121" s="211"/>
      <c r="DV121" s="211"/>
      <c r="DW121" s="211"/>
      <c r="DX121" s="211"/>
      <c r="DY121" s="211"/>
      <c r="DZ121" s="211"/>
      <c r="EA121" s="211"/>
      <c r="EB121" s="211"/>
      <c r="EC121" s="211"/>
      <c r="ED121" s="211"/>
      <c r="EE121" s="211"/>
      <c r="EF121" s="211"/>
      <c r="EG121" s="211"/>
    </row>
    <row r="122" spans="1:137" ht="23.25" customHeight="1">
      <c r="A122" s="270">
        <f t="shared" si="7"/>
        <v>1</v>
      </c>
      <c r="B122" s="280">
        <f t="shared" si="5"/>
        <v>57</v>
      </c>
      <c r="C122" s="234" t="str">
        <f t="shared" si="6"/>
        <v>COLETOR57</v>
      </c>
      <c r="D122" s="271" t="s">
        <v>70</v>
      </c>
      <c r="E122" s="281">
        <v>73590</v>
      </c>
      <c r="F122" s="282" t="s">
        <v>14005</v>
      </c>
      <c r="G122" s="250" t="s">
        <v>9922</v>
      </c>
      <c r="H122" s="245" t="s">
        <v>71</v>
      </c>
      <c r="I122" s="249"/>
      <c r="J122" s="249"/>
      <c r="K122" s="249"/>
      <c r="L122" s="249"/>
      <c r="M122" s="249"/>
      <c r="N122" s="249"/>
      <c r="O122" s="246"/>
      <c r="P122" s="292" t="s">
        <v>14240</v>
      </c>
      <c r="Q122" s="211"/>
      <c r="R122" s="211"/>
      <c r="S122" s="211"/>
      <c r="T122" s="211"/>
      <c r="U122" s="211"/>
      <c r="V122" s="211"/>
      <c r="W122" s="211"/>
      <c r="X122" s="211"/>
      <c r="Y122" s="211"/>
      <c r="Z122" s="211"/>
      <c r="AA122" s="211"/>
      <c r="AB122" s="211"/>
      <c r="AC122" s="211"/>
      <c r="AD122" s="211"/>
      <c r="AE122" s="211"/>
      <c r="AF122" s="211"/>
      <c r="AG122" s="211"/>
      <c r="DE122" s="211"/>
      <c r="DF122" s="211"/>
      <c r="DG122" s="211"/>
      <c r="DH122" s="211"/>
      <c r="DI122" s="211"/>
      <c r="DJ122" s="211"/>
      <c r="DK122" s="211"/>
      <c r="DL122" s="211"/>
      <c r="DM122" s="211"/>
      <c r="DN122" s="211"/>
      <c r="DQ122" s="211"/>
      <c r="DV122" s="211"/>
      <c r="DW122" s="211"/>
      <c r="DX122" s="211"/>
      <c r="DY122" s="211"/>
      <c r="DZ122" s="211"/>
      <c r="EA122" s="211"/>
      <c r="EB122" s="211"/>
      <c r="EC122" s="211"/>
      <c r="ED122" s="211"/>
      <c r="EE122" s="211"/>
      <c r="EF122" s="211"/>
      <c r="EG122" s="211"/>
    </row>
    <row r="123" spans="1:137" ht="23.25" customHeight="1">
      <c r="A123" s="270">
        <f t="shared" si="7"/>
        <v>1</v>
      </c>
      <c r="B123" s="280">
        <f t="shared" si="5"/>
        <v>58</v>
      </c>
      <c r="C123" s="234" t="str">
        <f t="shared" si="6"/>
        <v>COLETOR58</v>
      </c>
      <c r="D123" s="271" t="s">
        <v>70</v>
      </c>
      <c r="E123" s="512">
        <v>73589</v>
      </c>
      <c r="F123" s="282" t="s">
        <v>14006</v>
      </c>
      <c r="G123" s="250" t="s">
        <v>9923</v>
      </c>
      <c r="H123" s="245" t="s">
        <v>71</v>
      </c>
      <c r="I123" s="249"/>
      <c r="J123" s="249"/>
      <c r="K123" s="249"/>
      <c r="L123" s="249"/>
      <c r="M123" s="249"/>
      <c r="N123" s="249"/>
      <c r="O123" s="246"/>
      <c r="P123" s="292" t="s">
        <v>14241</v>
      </c>
      <c r="Q123" s="211"/>
      <c r="R123" s="211"/>
      <c r="S123" s="211"/>
      <c r="T123" s="211"/>
      <c r="U123" s="211"/>
      <c r="V123" s="211"/>
      <c r="W123" s="211"/>
      <c r="X123" s="211"/>
      <c r="Y123" s="211"/>
      <c r="Z123" s="211"/>
      <c r="AA123" s="211"/>
      <c r="AB123" s="211"/>
      <c r="AC123" s="211"/>
      <c r="AD123" s="211"/>
      <c r="AE123" s="211"/>
      <c r="AF123" s="211"/>
      <c r="AG123" s="211"/>
      <c r="DE123" s="211"/>
      <c r="DF123" s="211"/>
      <c r="DG123" s="211"/>
      <c r="DH123" s="211"/>
      <c r="DI123" s="211"/>
      <c r="DJ123" s="211"/>
      <c r="DK123" s="211"/>
      <c r="DL123" s="211"/>
      <c r="DM123" s="211"/>
      <c r="DN123" s="211"/>
      <c r="DQ123" s="211"/>
      <c r="DV123" s="211"/>
      <c r="DW123" s="211"/>
      <c r="DX123" s="211"/>
      <c r="DY123" s="211"/>
      <c r="DZ123" s="211"/>
      <c r="EA123" s="211"/>
      <c r="EB123" s="211"/>
      <c r="EC123" s="211"/>
      <c r="ED123" s="211"/>
      <c r="EE123" s="211"/>
      <c r="EF123" s="211"/>
      <c r="EG123" s="211"/>
    </row>
    <row r="124" spans="1:137" ht="23.25" customHeight="1">
      <c r="A124" s="270">
        <f t="shared" si="7"/>
        <v>1</v>
      </c>
      <c r="B124" s="280">
        <f t="shared" si="5"/>
        <v>59</v>
      </c>
      <c r="C124" s="234" t="str">
        <f t="shared" si="6"/>
        <v>COLETOR59</v>
      </c>
      <c r="D124" s="271" t="s">
        <v>70</v>
      </c>
      <c r="E124" s="512">
        <v>73588</v>
      </c>
      <c r="F124" s="282" t="s">
        <v>19783</v>
      </c>
      <c r="G124" s="250" t="s">
        <v>9924</v>
      </c>
      <c r="H124" s="245" t="s">
        <v>71</v>
      </c>
      <c r="I124" s="249"/>
      <c r="J124" s="249"/>
      <c r="K124" s="249"/>
      <c r="L124" s="249"/>
      <c r="M124" s="249"/>
      <c r="N124" s="249"/>
      <c r="O124" s="246"/>
      <c r="P124" s="292" t="s">
        <v>14242</v>
      </c>
      <c r="Q124" s="211"/>
      <c r="R124" s="211"/>
      <c r="S124" s="211"/>
      <c r="T124" s="211"/>
      <c r="U124" s="211"/>
      <c r="V124" s="211"/>
      <c r="W124" s="211"/>
      <c r="X124" s="211"/>
      <c r="Y124" s="211"/>
      <c r="Z124" s="211"/>
      <c r="AA124" s="211"/>
      <c r="AB124" s="211"/>
      <c r="AC124" s="211"/>
      <c r="AD124" s="211"/>
      <c r="AE124" s="211"/>
      <c r="AF124" s="211"/>
      <c r="AG124" s="211"/>
      <c r="DE124" s="211"/>
      <c r="DF124" s="211"/>
      <c r="DG124" s="211"/>
      <c r="DH124" s="211"/>
      <c r="DI124" s="211"/>
      <c r="DJ124" s="211"/>
      <c r="DK124" s="211"/>
      <c r="DL124" s="211"/>
      <c r="DM124" s="211"/>
      <c r="DN124" s="211"/>
      <c r="DQ124" s="211"/>
      <c r="DV124" s="211"/>
      <c r="DW124" s="211"/>
      <c r="DX124" s="211"/>
      <c r="DY124" s="211"/>
      <c r="DZ124" s="211"/>
      <c r="EA124" s="211"/>
      <c r="EB124" s="211"/>
      <c r="EC124" s="211"/>
      <c r="ED124" s="211"/>
      <c r="EE124" s="211"/>
      <c r="EF124" s="211"/>
      <c r="EG124" s="211"/>
    </row>
    <row r="125" spans="1:137" ht="23.25" customHeight="1">
      <c r="A125" s="270">
        <f t="shared" si="7"/>
        <v>1</v>
      </c>
      <c r="B125" s="280">
        <f t="shared" si="5"/>
        <v>60</v>
      </c>
      <c r="C125" s="234" t="str">
        <f t="shared" si="6"/>
        <v>COLETOR60</v>
      </c>
      <c r="D125" s="271" t="s">
        <v>70</v>
      </c>
      <c r="E125" s="512">
        <v>73509</v>
      </c>
      <c r="F125" s="282" t="s">
        <v>19784</v>
      </c>
      <c r="G125" s="250" t="s">
        <v>9926</v>
      </c>
      <c r="H125" s="245" t="s">
        <v>71</v>
      </c>
      <c r="I125" s="249"/>
      <c r="J125" s="249"/>
      <c r="K125" s="249"/>
      <c r="L125" s="249"/>
      <c r="M125" s="249"/>
      <c r="N125" s="249"/>
      <c r="O125" s="246"/>
      <c r="P125" s="292" t="s">
        <v>14243</v>
      </c>
      <c r="Q125" s="211"/>
      <c r="R125" s="211"/>
      <c r="S125" s="211"/>
      <c r="T125" s="211"/>
      <c r="U125" s="211"/>
      <c r="V125" s="211"/>
      <c r="W125" s="211"/>
      <c r="X125" s="211"/>
      <c r="Y125" s="211"/>
      <c r="Z125" s="211"/>
      <c r="AA125" s="211"/>
      <c r="AB125" s="211"/>
      <c r="AC125" s="211"/>
      <c r="AD125" s="211"/>
      <c r="AE125" s="211"/>
      <c r="AF125" s="211"/>
      <c r="AG125" s="211"/>
      <c r="DE125" s="211"/>
      <c r="DF125" s="211"/>
      <c r="DG125" s="211"/>
      <c r="DH125" s="211"/>
      <c r="DI125" s="211"/>
      <c r="DJ125" s="211"/>
      <c r="DK125" s="211"/>
      <c r="DL125" s="211"/>
      <c r="DM125" s="211"/>
      <c r="DN125" s="211"/>
      <c r="DQ125" s="211"/>
      <c r="DV125" s="211"/>
      <c r="DW125" s="211"/>
      <c r="DX125" s="211"/>
      <c r="DY125" s="211"/>
      <c r="DZ125" s="211"/>
      <c r="EA125" s="211"/>
      <c r="EB125" s="211"/>
      <c r="EC125" s="211"/>
      <c r="ED125" s="211"/>
      <c r="EE125" s="211"/>
      <c r="EF125" s="211"/>
      <c r="EG125" s="211"/>
    </row>
    <row r="126" spans="1:137" ht="23.25" customHeight="1">
      <c r="A126" s="270">
        <f t="shared" si="7"/>
        <v>1</v>
      </c>
      <c r="B126" s="280">
        <f t="shared" si="5"/>
        <v>61</v>
      </c>
      <c r="C126" s="234" t="str">
        <f t="shared" si="6"/>
        <v>COLETOR61</v>
      </c>
      <c r="D126" s="271" t="s">
        <v>70</v>
      </c>
      <c r="E126" s="511">
        <v>73508</v>
      </c>
      <c r="F126" s="282" t="s">
        <v>19785</v>
      </c>
      <c r="G126" s="250" t="s">
        <v>9927</v>
      </c>
      <c r="H126" s="245" t="s">
        <v>71</v>
      </c>
      <c r="I126" s="249"/>
      <c r="J126" s="249"/>
      <c r="K126" s="249"/>
      <c r="L126" s="249"/>
      <c r="M126" s="249"/>
      <c r="N126" s="249"/>
      <c r="O126" s="246"/>
      <c r="P126" s="292" t="s">
        <v>14244</v>
      </c>
      <c r="Q126" s="211"/>
      <c r="R126" s="211"/>
      <c r="S126" s="211"/>
      <c r="T126" s="211"/>
      <c r="U126" s="211"/>
      <c r="V126" s="211"/>
      <c r="W126" s="211"/>
      <c r="X126" s="211"/>
      <c r="Y126" s="211"/>
      <c r="Z126" s="211"/>
      <c r="AA126" s="211"/>
      <c r="AB126" s="211"/>
      <c r="AC126" s="211"/>
      <c r="AD126" s="211"/>
      <c r="AE126" s="211"/>
      <c r="AF126" s="211"/>
      <c r="AG126" s="211"/>
      <c r="DE126" s="211"/>
      <c r="DF126" s="211"/>
      <c r="DG126" s="211"/>
      <c r="DH126" s="211"/>
      <c r="DI126" s="211"/>
      <c r="DJ126" s="211"/>
      <c r="DK126" s="211"/>
      <c r="DL126" s="211"/>
      <c r="DM126" s="211"/>
      <c r="DN126" s="211"/>
      <c r="DQ126" s="211"/>
      <c r="DV126" s="211"/>
      <c r="DW126" s="211"/>
      <c r="DX126" s="211"/>
      <c r="DY126" s="211"/>
      <c r="DZ126" s="211"/>
      <c r="EA126" s="211"/>
      <c r="EB126" s="211"/>
      <c r="EC126" s="211"/>
      <c r="ED126" s="211"/>
      <c r="EE126" s="211"/>
      <c r="EF126" s="211"/>
      <c r="EG126" s="211"/>
    </row>
    <row r="127" spans="1:137" ht="25.5">
      <c r="A127" s="270">
        <f t="shared" si="7"/>
        <v>1</v>
      </c>
      <c r="B127" s="280">
        <f t="shared" si="5"/>
        <v>62</v>
      </c>
      <c r="C127" s="234" t="str">
        <f t="shared" si="6"/>
        <v>COLETOR62</v>
      </c>
      <c r="D127" s="271" t="s">
        <v>70</v>
      </c>
      <c r="E127" s="512" t="s">
        <v>14675</v>
      </c>
      <c r="F127" s="282" t="s">
        <v>19786</v>
      </c>
      <c r="G127" s="250" t="s">
        <v>14676</v>
      </c>
      <c r="H127" s="245" t="s">
        <v>71</v>
      </c>
      <c r="I127" s="249"/>
      <c r="J127" s="249"/>
      <c r="K127" s="249"/>
      <c r="L127" s="249"/>
      <c r="M127" s="249"/>
      <c r="N127" s="249"/>
      <c r="O127" s="246"/>
      <c r="P127" s="292" t="s">
        <v>14245</v>
      </c>
      <c r="Q127" s="211"/>
      <c r="R127" s="211"/>
      <c r="S127" s="211"/>
      <c r="T127" s="211"/>
      <c r="U127" s="211"/>
      <c r="V127" s="211"/>
      <c r="W127" s="211"/>
      <c r="X127" s="211"/>
      <c r="Y127" s="211"/>
      <c r="Z127" s="211"/>
      <c r="AA127" s="211"/>
      <c r="AB127" s="211"/>
      <c r="AC127" s="211"/>
      <c r="AD127" s="211"/>
      <c r="AE127" s="211"/>
      <c r="AF127" s="211"/>
      <c r="AG127" s="211"/>
      <c r="DE127" s="211"/>
      <c r="DF127" s="211"/>
      <c r="DG127" s="211"/>
      <c r="DH127" s="211"/>
      <c r="DI127" s="211"/>
      <c r="DJ127" s="211"/>
      <c r="DK127" s="211"/>
      <c r="DL127" s="211"/>
      <c r="DM127" s="211"/>
      <c r="DN127" s="211"/>
      <c r="DQ127" s="211"/>
      <c r="DV127" s="211"/>
      <c r="DW127" s="211"/>
      <c r="DX127" s="211"/>
      <c r="DY127" s="211"/>
      <c r="DZ127" s="211"/>
      <c r="EA127" s="211"/>
      <c r="EB127" s="211"/>
      <c r="EC127" s="211"/>
      <c r="ED127" s="211"/>
      <c r="EE127" s="211"/>
      <c r="EF127" s="211"/>
      <c r="EG127" s="211"/>
    </row>
    <row r="128" spans="1:137" ht="25.5">
      <c r="A128" s="270">
        <f t="shared" si="7"/>
        <v>1</v>
      </c>
      <c r="B128" s="280">
        <f t="shared" si="5"/>
        <v>63</v>
      </c>
      <c r="C128" s="234" t="str">
        <f t="shared" si="6"/>
        <v>COLETOR63</v>
      </c>
      <c r="D128" s="271" t="s">
        <v>70</v>
      </c>
      <c r="E128" s="512" t="s">
        <v>14677</v>
      </c>
      <c r="F128" s="282" t="s">
        <v>19787</v>
      </c>
      <c r="G128" s="250" t="s">
        <v>14678</v>
      </c>
      <c r="H128" s="245" t="s">
        <v>71</v>
      </c>
      <c r="I128" s="249"/>
      <c r="J128" s="249"/>
      <c r="K128" s="249"/>
      <c r="L128" s="249"/>
      <c r="M128" s="249"/>
      <c r="N128" s="249"/>
      <c r="O128" s="246"/>
      <c r="P128" s="292" t="s">
        <v>14246</v>
      </c>
      <c r="Q128" s="211"/>
      <c r="R128" s="211"/>
      <c r="S128" s="211"/>
      <c r="T128" s="211"/>
      <c r="U128" s="211"/>
      <c r="V128" s="211"/>
      <c r="W128" s="211"/>
      <c r="X128" s="211"/>
      <c r="Y128" s="211"/>
      <c r="Z128" s="211"/>
      <c r="AA128" s="211"/>
      <c r="AB128" s="211"/>
      <c r="AC128" s="211"/>
      <c r="AD128" s="211"/>
      <c r="AE128" s="211"/>
      <c r="AF128" s="211"/>
      <c r="AG128" s="211"/>
      <c r="DE128" s="211"/>
      <c r="DF128" s="211"/>
      <c r="DG128" s="211"/>
      <c r="DH128" s="211"/>
      <c r="DI128" s="211"/>
      <c r="DJ128" s="211"/>
      <c r="DK128" s="211"/>
      <c r="DL128" s="211"/>
      <c r="DM128" s="211"/>
      <c r="DN128" s="211"/>
      <c r="DQ128" s="211"/>
      <c r="DV128" s="211"/>
      <c r="DW128" s="211"/>
      <c r="DX128" s="211"/>
      <c r="DY128" s="211"/>
      <c r="DZ128" s="211"/>
      <c r="EA128" s="211"/>
      <c r="EB128" s="211"/>
      <c r="EC128" s="211"/>
      <c r="ED128" s="211"/>
      <c r="EE128" s="211"/>
      <c r="EF128" s="211"/>
      <c r="EG128" s="211"/>
    </row>
    <row r="129" spans="1:137" ht="25.5">
      <c r="A129" s="270">
        <f t="shared" si="7"/>
        <v>1</v>
      </c>
      <c r="B129" s="280">
        <f t="shared" si="5"/>
        <v>64</v>
      </c>
      <c r="C129" s="234" t="str">
        <f t="shared" si="6"/>
        <v>COLETOR64</v>
      </c>
      <c r="D129" s="271" t="s">
        <v>70</v>
      </c>
      <c r="E129" s="512" t="s">
        <v>14679</v>
      </c>
      <c r="F129" s="282" t="s">
        <v>19788</v>
      </c>
      <c r="G129" s="250" t="s">
        <v>14680</v>
      </c>
      <c r="H129" s="245" t="s">
        <v>71</v>
      </c>
      <c r="I129" s="249"/>
      <c r="J129" s="249"/>
      <c r="K129" s="249"/>
      <c r="L129" s="249"/>
      <c r="M129" s="249"/>
      <c r="N129" s="249"/>
      <c r="O129" s="246"/>
      <c r="P129" s="292" t="s">
        <v>14247</v>
      </c>
      <c r="Q129" s="211"/>
      <c r="R129" s="211"/>
      <c r="S129" s="211"/>
      <c r="T129" s="211"/>
      <c r="U129" s="211"/>
      <c r="V129" s="211"/>
      <c r="W129" s="211"/>
      <c r="X129" s="211"/>
      <c r="Y129" s="211"/>
      <c r="Z129" s="211"/>
      <c r="AA129" s="211"/>
      <c r="AB129" s="211"/>
      <c r="AC129" s="211"/>
      <c r="AD129" s="211"/>
      <c r="AE129" s="211"/>
      <c r="AF129" s="211"/>
      <c r="AG129" s="211"/>
      <c r="DE129" s="211"/>
      <c r="DF129" s="211"/>
      <c r="DG129" s="211"/>
      <c r="DH129" s="211"/>
      <c r="DI129" s="211"/>
      <c r="DJ129" s="211"/>
      <c r="DK129" s="211"/>
      <c r="DL129" s="211"/>
      <c r="DM129" s="211"/>
      <c r="DN129" s="211"/>
      <c r="DQ129" s="211"/>
      <c r="DV129" s="211"/>
      <c r="DW129" s="211"/>
      <c r="DX129" s="211"/>
      <c r="DY129" s="211"/>
      <c r="DZ129" s="211"/>
      <c r="EA129" s="211"/>
      <c r="EB129" s="211"/>
      <c r="EC129" s="211"/>
      <c r="ED129" s="211"/>
      <c r="EE129" s="211"/>
      <c r="EF129" s="211"/>
      <c r="EG129" s="211"/>
    </row>
    <row r="130" spans="1:137" ht="25.5">
      <c r="A130" s="270">
        <f t="shared" si="7"/>
        <v>1</v>
      </c>
      <c r="B130" s="280">
        <f t="shared" si="5"/>
        <v>65</v>
      </c>
      <c r="C130" s="234" t="str">
        <f t="shared" si="6"/>
        <v>COLETOR65</v>
      </c>
      <c r="D130" s="271" t="s">
        <v>70</v>
      </c>
      <c r="E130" s="512" t="s">
        <v>14681</v>
      </c>
      <c r="F130" s="282" t="s">
        <v>19789</v>
      </c>
      <c r="G130" s="250" t="s">
        <v>14682</v>
      </c>
      <c r="H130" s="245" t="s">
        <v>71</v>
      </c>
      <c r="I130" s="249"/>
      <c r="J130" s="249"/>
      <c r="K130" s="249"/>
      <c r="L130" s="249"/>
      <c r="M130" s="249"/>
      <c r="N130" s="249"/>
      <c r="O130" s="246"/>
      <c r="P130" s="292" t="s">
        <v>19790</v>
      </c>
      <c r="Q130" s="211"/>
      <c r="R130" s="211"/>
      <c r="S130" s="211"/>
      <c r="T130" s="211"/>
      <c r="U130" s="211"/>
      <c r="V130" s="211"/>
      <c r="W130" s="211"/>
      <c r="X130" s="211"/>
      <c r="Y130" s="211"/>
      <c r="Z130" s="211"/>
      <c r="AA130" s="211"/>
      <c r="AB130" s="211"/>
      <c r="AC130" s="211"/>
      <c r="AD130" s="211"/>
      <c r="AE130" s="211"/>
      <c r="AF130" s="211"/>
      <c r="AG130" s="211"/>
      <c r="DE130" s="211"/>
      <c r="DF130" s="211"/>
      <c r="DG130" s="211"/>
      <c r="DH130" s="211"/>
      <c r="DI130" s="211"/>
      <c r="DJ130" s="211"/>
      <c r="DK130" s="211"/>
      <c r="DL130" s="211"/>
      <c r="DM130" s="211"/>
      <c r="DN130" s="211"/>
      <c r="DQ130" s="211"/>
      <c r="DV130" s="211"/>
      <c r="DW130" s="211"/>
      <c r="DX130" s="211"/>
      <c r="DY130" s="211"/>
      <c r="DZ130" s="211"/>
      <c r="EA130" s="211"/>
      <c r="EB130" s="211"/>
      <c r="EC130" s="211"/>
      <c r="ED130" s="211"/>
      <c r="EE130" s="211"/>
      <c r="EF130" s="211"/>
      <c r="EG130" s="211"/>
    </row>
    <row r="131" spans="1:137" ht="25.5">
      <c r="A131" s="270">
        <f t="shared" si="7"/>
        <v>1</v>
      </c>
      <c r="B131" s="280">
        <f t="shared" si="5"/>
        <v>66</v>
      </c>
      <c r="C131" s="234" t="str">
        <f t="shared" si="6"/>
        <v>COLETOR66</v>
      </c>
      <c r="D131" s="271" t="s">
        <v>70</v>
      </c>
      <c r="E131" s="281" t="s">
        <v>14683</v>
      </c>
      <c r="F131" s="282" t="s">
        <v>19791</v>
      </c>
      <c r="G131" s="250" t="s">
        <v>14684</v>
      </c>
      <c r="H131" s="245" t="s">
        <v>71</v>
      </c>
      <c r="I131" s="249"/>
      <c r="J131" s="249"/>
      <c r="K131" s="249"/>
      <c r="L131" s="249"/>
      <c r="M131" s="249"/>
      <c r="N131" s="249"/>
      <c r="O131" s="246"/>
      <c r="P131" s="292" t="s">
        <v>19792</v>
      </c>
      <c r="Q131" s="211"/>
      <c r="R131" s="211"/>
      <c r="S131" s="211"/>
      <c r="T131" s="211"/>
      <c r="U131" s="211"/>
      <c r="V131" s="211"/>
      <c r="W131" s="211"/>
      <c r="X131" s="211"/>
      <c r="Y131" s="211"/>
      <c r="Z131" s="211"/>
      <c r="AA131" s="211"/>
      <c r="AB131" s="211"/>
      <c r="AC131" s="211"/>
      <c r="AD131" s="211"/>
      <c r="AE131" s="211"/>
      <c r="AF131" s="211"/>
      <c r="AG131" s="211"/>
      <c r="DE131" s="211"/>
      <c r="DF131" s="211"/>
      <c r="DG131" s="211"/>
      <c r="DH131" s="211"/>
      <c r="DI131" s="211"/>
      <c r="DJ131" s="211"/>
      <c r="DK131" s="211"/>
      <c r="DL131" s="211"/>
      <c r="DM131" s="211"/>
      <c r="DN131" s="211"/>
      <c r="DQ131" s="211"/>
      <c r="DV131" s="211"/>
      <c r="DW131" s="211"/>
      <c r="DX131" s="211"/>
      <c r="DY131" s="211"/>
      <c r="DZ131" s="211"/>
      <c r="EA131" s="211"/>
      <c r="EB131" s="211"/>
      <c r="EC131" s="211"/>
      <c r="ED131" s="211"/>
      <c r="EE131" s="211"/>
      <c r="EF131" s="211"/>
      <c r="EG131" s="211"/>
    </row>
    <row r="132" spans="1:137" ht="25.5">
      <c r="A132" s="270">
        <f t="shared" si="7"/>
        <v>1</v>
      </c>
      <c r="B132" s="280">
        <f t="shared" si="5"/>
        <v>67</v>
      </c>
      <c r="C132" s="234" t="str">
        <f t="shared" si="6"/>
        <v>COLETOR67</v>
      </c>
      <c r="D132" s="271" t="s">
        <v>70</v>
      </c>
      <c r="E132" s="514" t="s">
        <v>14687</v>
      </c>
      <c r="F132" s="282" t="s">
        <v>19793</v>
      </c>
      <c r="G132" s="250" t="s">
        <v>14688</v>
      </c>
      <c r="H132" s="245" t="s">
        <v>71</v>
      </c>
      <c r="I132" s="249"/>
      <c r="J132" s="249"/>
      <c r="K132" s="249"/>
      <c r="L132" s="249"/>
      <c r="M132" s="249"/>
      <c r="N132" s="249"/>
      <c r="O132" s="246"/>
      <c r="P132" s="292" t="s">
        <v>19794</v>
      </c>
      <c r="R132" s="211"/>
      <c r="S132" s="211"/>
      <c r="T132" s="211"/>
      <c r="U132" s="211"/>
      <c r="V132" s="211"/>
      <c r="W132" s="211"/>
      <c r="X132" s="211"/>
      <c r="Y132" s="211"/>
      <c r="Z132" s="211"/>
      <c r="AA132" s="211"/>
      <c r="AB132" s="211"/>
      <c r="AC132" s="211"/>
      <c r="AD132" s="211"/>
      <c r="AE132" s="211"/>
      <c r="AF132" s="211"/>
      <c r="AG132" s="211"/>
      <c r="DE132" s="211"/>
      <c r="DF132" s="211"/>
      <c r="DG132" s="211"/>
      <c r="DH132" s="211"/>
      <c r="DI132" s="211"/>
      <c r="DJ132" s="211"/>
      <c r="DK132" s="211"/>
      <c r="DL132" s="211"/>
      <c r="DM132" s="211"/>
      <c r="DN132" s="211"/>
      <c r="DQ132" s="211"/>
      <c r="DV132" s="211"/>
      <c r="DW132" s="211"/>
      <c r="DX132" s="211"/>
      <c r="DY132" s="211"/>
      <c r="DZ132" s="211"/>
      <c r="EA132" s="211"/>
      <c r="EB132" s="211"/>
      <c r="EC132" s="211"/>
      <c r="ED132" s="211"/>
      <c r="EE132" s="211"/>
      <c r="EF132" s="211"/>
      <c r="EG132" s="211"/>
    </row>
    <row r="133" spans="1:137" ht="25.5">
      <c r="A133" s="270">
        <f t="shared" si="7"/>
        <v>1</v>
      </c>
      <c r="B133" s="280">
        <f t="shared" si="5"/>
        <v>68</v>
      </c>
      <c r="C133" s="234" t="str">
        <f t="shared" si="6"/>
        <v>COLETOR68</v>
      </c>
      <c r="D133" s="271" t="s">
        <v>70</v>
      </c>
      <c r="E133" s="514" t="s">
        <v>14691</v>
      </c>
      <c r="F133" s="282" t="s">
        <v>19795</v>
      </c>
      <c r="G133" s="250" t="s">
        <v>14692</v>
      </c>
      <c r="H133" s="245" t="s">
        <v>71</v>
      </c>
      <c r="I133" s="249"/>
      <c r="J133" s="249"/>
      <c r="K133" s="249"/>
      <c r="L133" s="249"/>
      <c r="M133" s="249"/>
      <c r="N133" s="249"/>
      <c r="O133" s="246"/>
      <c r="P133" s="292" t="s">
        <v>19796</v>
      </c>
      <c r="R133" s="211"/>
      <c r="S133" s="211"/>
      <c r="T133" s="211"/>
      <c r="U133" s="211"/>
      <c r="V133" s="211"/>
      <c r="W133" s="211"/>
      <c r="X133" s="211"/>
      <c r="Y133" s="211"/>
      <c r="Z133" s="211"/>
      <c r="AA133" s="211"/>
      <c r="AB133" s="211"/>
      <c r="AC133" s="211"/>
      <c r="AD133" s="211"/>
      <c r="AE133" s="211"/>
      <c r="AF133" s="211"/>
      <c r="AG133" s="211"/>
      <c r="DE133" s="211"/>
      <c r="DF133" s="211"/>
      <c r="DG133" s="211"/>
      <c r="DH133" s="211"/>
      <c r="DI133" s="211"/>
      <c r="DJ133" s="211"/>
      <c r="DK133" s="211"/>
      <c r="DL133" s="211"/>
      <c r="DM133" s="211"/>
      <c r="DN133" s="211"/>
      <c r="DQ133" s="211"/>
      <c r="DV133" s="211"/>
      <c r="DW133" s="211"/>
      <c r="DX133" s="211"/>
      <c r="DY133" s="211"/>
      <c r="DZ133" s="211"/>
      <c r="EA133" s="211"/>
      <c r="EB133" s="211"/>
      <c r="EC133" s="211"/>
      <c r="ED133" s="211"/>
      <c r="EE133" s="211"/>
      <c r="EF133" s="211"/>
      <c r="EG133" s="211"/>
    </row>
    <row r="134" spans="1:137" ht="17.25" customHeight="1">
      <c r="A134" s="270">
        <f t="shared" si="7"/>
        <v>0</v>
      </c>
      <c r="B134" s="280">
        <f t="shared" si="5"/>
        <v>68</v>
      </c>
      <c r="C134" s="234" t="str">
        <f t="shared" si="6"/>
        <v xml:space="preserve"> </v>
      </c>
      <c r="E134" s="281"/>
      <c r="F134" s="241" t="s">
        <v>14007</v>
      </c>
      <c r="G134" s="242"/>
      <c r="H134" s="242"/>
      <c r="I134" s="242"/>
      <c r="J134" s="242"/>
      <c r="K134" s="242"/>
      <c r="L134" s="242"/>
      <c r="M134" s="242"/>
      <c r="N134" s="242"/>
      <c r="O134" s="242"/>
      <c r="P134" s="255"/>
      <c r="Q134" s="295"/>
      <c r="R134" s="211"/>
      <c r="S134" s="211"/>
      <c r="T134" s="211"/>
      <c r="U134" s="211"/>
      <c r="V134" s="211"/>
      <c r="W134" s="211"/>
      <c r="X134" s="211"/>
      <c r="Y134" s="211"/>
      <c r="Z134" s="211"/>
      <c r="AA134" s="211"/>
      <c r="AB134" s="211"/>
      <c r="AC134" s="211"/>
      <c r="AD134" s="211"/>
      <c r="AE134" s="211"/>
      <c r="AF134" s="211"/>
      <c r="AG134" s="211"/>
      <c r="DE134" s="211"/>
      <c r="DF134" s="211"/>
      <c r="DG134" s="211"/>
      <c r="DH134" s="211"/>
      <c r="DI134" s="211"/>
      <c r="DJ134" s="211"/>
      <c r="DK134" s="211"/>
      <c r="DL134" s="211"/>
      <c r="DM134" s="211"/>
      <c r="DN134" s="211"/>
      <c r="DQ134" s="211"/>
      <c r="DV134" s="211"/>
      <c r="DW134" s="211"/>
      <c r="DX134" s="211"/>
      <c r="DY134" s="211"/>
      <c r="DZ134" s="211"/>
      <c r="EA134" s="211"/>
      <c r="EB134" s="211"/>
      <c r="EC134" s="211"/>
      <c r="ED134" s="211"/>
      <c r="EE134" s="211"/>
      <c r="EF134" s="211"/>
      <c r="EG134" s="211"/>
    </row>
    <row r="135" spans="1:137" ht="21" customHeight="1">
      <c r="A135" s="270">
        <f t="shared" si="7"/>
        <v>0</v>
      </c>
      <c r="B135" s="280">
        <f t="shared" si="5"/>
        <v>68</v>
      </c>
      <c r="C135" s="234" t="str">
        <f t="shared" si="6"/>
        <v xml:space="preserve"> </v>
      </c>
      <c r="E135" s="281"/>
      <c r="F135" s="286"/>
      <c r="G135" s="256" t="s">
        <v>14009</v>
      </c>
      <c r="H135" s="254" t="s">
        <v>19797</v>
      </c>
      <c r="I135" s="513"/>
      <c r="J135" s="513"/>
      <c r="K135" s="513"/>
      <c r="L135" s="513"/>
      <c r="M135" s="513"/>
      <c r="N135" s="513"/>
      <c r="O135" s="290"/>
      <c r="P135" s="257" t="s">
        <v>19798</v>
      </c>
      <c r="Q135" s="295"/>
      <c r="R135" s="211"/>
      <c r="S135" s="211"/>
      <c r="T135" s="211"/>
      <c r="U135" s="211"/>
      <c r="V135" s="211"/>
      <c r="W135" s="211"/>
      <c r="X135" s="211"/>
      <c r="Y135" s="211"/>
      <c r="Z135" s="211"/>
      <c r="AA135" s="211"/>
      <c r="AB135" s="211"/>
      <c r="AC135" s="211"/>
      <c r="AD135" s="211"/>
      <c r="AE135" s="211"/>
      <c r="AF135" s="211"/>
      <c r="AG135" s="211"/>
      <c r="DE135" s="211"/>
      <c r="DF135" s="211"/>
      <c r="DG135" s="211"/>
      <c r="DH135" s="211"/>
      <c r="DI135" s="211"/>
      <c r="DJ135" s="211"/>
      <c r="DK135" s="211"/>
      <c r="DL135" s="211"/>
      <c r="DM135" s="211"/>
      <c r="DN135" s="211"/>
      <c r="DQ135" s="211"/>
      <c r="DV135" s="211"/>
      <c r="DW135" s="211"/>
      <c r="DX135" s="211"/>
      <c r="DY135" s="211"/>
      <c r="DZ135" s="211"/>
      <c r="EA135" s="211"/>
      <c r="EB135" s="211"/>
      <c r="EC135" s="211"/>
      <c r="ED135" s="211"/>
      <c r="EE135" s="211"/>
      <c r="EF135" s="211"/>
      <c r="EG135" s="211"/>
    </row>
    <row r="136" spans="1:137" ht="21" customHeight="1">
      <c r="A136" s="270">
        <f t="shared" si="7"/>
        <v>0</v>
      </c>
      <c r="B136" s="280">
        <f t="shared" si="5"/>
        <v>68</v>
      </c>
      <c r="C136" s="234" t="str">
        <f t="shared" si="6"/>
        <v xml:space="preserve"> </v>
      </c>
      <c r="E136" s="281"/>
      <c r="F136" s="286"/>
      <c r="G136" s="256" t="s">
        <v>14011</v>
      </c>
      <c r="H136" s="254" t="s">
        <v>19797</v>
      </c>
      <c r="I136" s="513"/>
      <c r="J136" s="513"/>
      <c r="K136" s="513"/>
      <c r="L136" s="513"/>
      <c r="M136" s="513"/>
      <c r="N136" s="513"/>
      <c r="O136" s="290"/>
      <c r="P136" s="257" t="s">
        <v>19798</v>
      </c>
      <c r="Q136" s="295"/>
      <c r="R136" s="211"/>
      <c r="S136" s="211"/>
      <c r="T136" s="211"/>
      <c r="U136" s="211"/>
      <c r="V136" s="211"/>
      <c r="W136" s="211"/>
      <c r="X136" s="211"/>
      <c r="Y136" s="211"/>
      <c r="Z136" s="211"/>
      <c r="AA136" s="211"/>
      <c r="AB136" s="211"/>
      <c r="AC136" s="211"/>
      <c r="AD136" s="211"/>
      <c r="AE136" s="211"/>
      <c r="AF136" s="211"/>
      <c r="AG136" s="211"/>
      <c r="DE136" s="211"/>
      <c r="DF136" s="211"/>
      <c r="DG136" s="211"/>
      <c r="DH136" s="211"/>
      <c r="DI136" s="211"/>
      <c r="DJ136" s="211"/>
      <c r="DK136" s="211"/>
      <c r="DL136" s="211"/>
      <c r="DM136" s="211"/>
      <c r="DN136" s="211"/>
      <c r="DQ136" s="211"/>
      <c r="DV136" s="211"/>
      <c r="DW136" s="211"/>
      <c r="DX136" s="211"/>
      <c r="DY136" s="211"/>
      <c r="DZ136" s="211"/>
      <c r="EA136" s="211"/>
      <c r="EB136" s="211"/>
      <c r="EC136" s="211"/>
      <c r="ED136" s="211"/>
      <c r="EE136" s="211"/>
      <c r="EF136" s="211"/>
      <c r="EG136" s="211"/>
    </row>
    <row r="137" spans="1:137" ht="32.25" customHeight="1">
      <c r="A137" s="270">
        <f t="shared" si="7"/>
        <v>1</v>
      </c>
      <c r="B137" s="280">
        <f t="shared" si="5"/>
        <v>69</v>
      </c>
      <c r="C137" s="234" t="str">
        <f t="shared" si="6"/>
        <v>COLETOR69</v>
      </c>
      <c r="D137" s="271" t="s">
        <v>1</v>
      </c>
      <c r="E137" s="281">
        <v>1418</v>
      </c>
      <c r="F137" s="286" t="s">
        <v>19799</v>
      </c>
      <c r="G137" s="515" t="s">
        <v>19832</v>
      </c>
      <c r="H137" s="245" t="s">
        <v>255</v>
      </c>
      <c r="I137" s="289"/>
      <c r="J137" s="289"/>
      <c r="K137" s="289"/>
      <c r="L137" s="289"/>
      <c r="M137" s="289"/>
      <c r="N137" s="289"/>
      <c r="O137" s="290"/>
      <c r="P137" s="288" t="s">
        <v>19800</v>
      </c>
      <c r="Q137" s="295"/>
      <c r="R137" s="211"/>
      <c r="S137" s="211"/>
      <c r="T137" s="211"/>
      <c r="U137" s="211"/>
      <c r="V137" s="211"/>
      <c r="W137" s="211"/>
      <c r="X137" s="211"/>
      <c r="Y137" s="211"/>
      <c r="Z137" s="211"/>
      <c r="AA137" s="211"/>
      <c r="AB137" s="211"/>
      <c r="AC137" s="211"/>
      <c r="AD137" s="211"/>
      <c r="AE137" s="211"/>
      <c r="AF137" s="211"/>
      <c r="AG137" s="211"/>
      <c r="DE137" s="211"/>
      <c r="DF137" s="211"/>
      <c r="DG137" s="211"/>
      <c r="DH137" s="211"/>
      <c r="DI137" s="211"/>
      <c r="DJ137" s="211"/>
      <c r="DK137" s="211"/>
      <c r="DL137" s="211"/>
      <c r="DM137" s="211"/>
      <c r="DN137" s="211"/>
      <c r="DQ137" s="211"/>
      <c r="DV137" s="211"/>
      <c r="DW137" s="211"/>
      <c r="DX137" s="211"/>
      <c r="DY137" s="211"/>
      <c r="DZ137" s="211"/>
      <c r="EA137" s="211"/>
      <c r="EB137" s="211"/>
      <c r="EC137" s="211"/>
      <c r="ED137" s="211"/>
      <c r="EE137" s="211"/>
      <c r="EF137" s="211"/>
      <c r="EG137" s="211"/>
    </row>
    <row r="138" spans="1:137" ht="42" customHeight="1">
      <c r="A138" s="270">
        <f t="shared" si="7"/>
        <v>1</v>
      </c>
      <c r="B138" s="280">
        <f t="shared" si="5"/>
        <v>70</v>
      </c>
      <c r="C138" s="234" t="str">
        <f t="shared" si="6"/>
        <v>COLETOR70</v>
      </c>
      <c r="D138" s="271" t="s">
        <v>1</v>
      </c>
      <c r="E138" s="281">
        <v>1419</v>
      </c>
      <c r="F138" s="286" t="s">
        <v>19801</v>
      </c>
      <c r="G138" s="515" t="s">
        <v>19833</v>
      </c>
      <c r="H138" s="245" t="s">
        <v>255</v>
      </c>
      <c r="I138" s="289"/>
      <c r="J138" s="289"/>
      <c r="K138" s="289"/>
      <c r="L138" s="289"/>
      <c r="M138" s="289"/>
      <c r="N138" s="289"/>
      <c r="O138" s="290"/>
      <c r="P138" s="288" t="s">
        <v>19802</v>
      </c>
      <c r="Q138" s="295"/>
      <c r="R138" s="211"/>
      <c r="S138" s="211"/>
      <c r="T138" s="211"/>
      <c r="U138" s="211"/>
      <c r="V138" s="211"/>
      <c r="W138" s="211"/>
      <c r="X138" s="211"/>
      <c r="Y138" s="211"/>
      <c r="Z138" s="211"/>
      <c r="AA138" s="211"/>
      <c r="AB138" s="211"/>
      <c r="AC138" s="211"/>
      <c r="AD138" s="211"/>
      <c r="AE138" s="211"/>
      <c r="AF138" s="211"/>
      <c r="AG138" s="211"/>
      <c r="DE138" s="211"/>
      <c r="DF138" s="211"/>
      <c r="DG138" s="211"/>
      <c r="DH138" s="211"/>
      <c r="DI138" s="211"/>
      <c r="DJ138" s="211"/>
      <c r="DK138" s="211"/>
      <c r="DL138" s="211"/>
      <c r="DM138" s="211"/>
      <c r="DN138" s="211"/>
      <c r="DQ138" s="211"/>
      <c r="DV138" s="211"/>
      <c r="DW138" s="211"/>
      <c r="DX138" s="211"/>
      <c r="DY138" s="211"/>
      <c r="DZ138" s="211"/>
      <c r="EA138" s="211"/>
      <c r="EB138" s="211"/>
      <c r="EC138" s="211"/>
      <c r="ED138" s="211"/>
      <c r="EE138" s="211"/>
      <c r="EF138" s="211"/>
      <c r="EG138" s="211"/>
    </row>
    <row r="139" spans="1:137" ht="45" customHeight="1">
      <c r="A139" s="270">
        <f t="shared" si="7"/>
        <v>1</v>
      </c>
      <c r="B139" s="280">
        <f>B138+A139</f>
        <v>71</v>
      </c>
      <c r="C139" s="234" t="str">
        <f t="shared" si="6"/>
        <v>COLETOR71</v>
      </c>
      <c r="D139" s="271" t="s">
        <v>1</v>
      </c>
      <c r="E139" s="281">
        <v>1430</v>
      </c>
      <c r="F139" s="286" t="s">
        <v>19803</v>
      </c>
      <c r="G139" s="250" t="s">
        <v>19834</v>
      </c>
      <c r="H139" s="245" t="s">
        <v>256</v>
      </c>
      <c r="I139" s="289"/>
      <c r="J139" s="289"/>
      <c r="K139" s="289"/>
      <c r="L139" s="289"/>
      <c r="M139" s="289"/>
      <c r="N139" s="289"/>
      <c r="O139" s="290"/>
      <c r="P139" s="296" t="s">
        <v>19804</v>
      </c>
      <c r="Q139" s="295"/>
      <c r="R139" s="211"/>
      <c r="S139" s="211"/>
      <c r="T139" s="211"/>
      <c r="U139" s="211"/>
      <c r="V139" s="211"/>
      <c r="W139" s="211"/>
      <c r="X139" s="211"/>
      <c r="Y139" s="211"/>
      <c r="Z139" s="211"/>
      <c r="AA139" s="211"/>
      <c r="AB139" s="211"/>
      <c r="AC139" s="211"/>
      <c r="AD139" s="211"/>
      <c r="AE139" s="211"/>
      <c r="AF139" s="211"/>
      <c r="AG139" s="211"/>
      <c r="DE139" s="211"/>
      <c r="DF139" s="211"/>
      <c r="DG139" s="211"/>
      <c r="DH139" s="211"/>
      <c r="DI139" s="211"/>
      <c r="DJ139" s="211"/>
      <c r="DK139" s="211"/>
      <c r="DL139" s="211"/>
      <c r="DM139" s="211"/>
      <c r="DN139" s="211"/>
      <c r="DQ139" s="211"/>
      <c r="DV139" s="211"/>
      <c r="DW139" s="211"/>
      <c r="DX139" s="211"/>
      <c r="DY139" s="211"/>
      <c r="DZ139" s="211"/>
      <c r="EA139" s="211"/>
      <c r="EB139" s="211"/>
      <c r="EC139" s="211"/>
      <c r="ED139" s="211"/>
      <c r="EE139" s="211"/>
      <c r="EF139" s="211"/>
      <c r="EG139" s="211"/>
    </row>
    <row r="140" spans="1:137" ht="41.25" customHeight="1">
      <c r="A140" s="270">
        <f t="shared" si="7"/>
        <v>1</v>
      </c>
      <c r="B140" s="280">
        <f t="shared" ref="B140:B161" si="8">B139+A140</f>
        <v>72</v>
      </c>
      <c r="C140" s="234" t="str">
        <f t="shared" si="6"/>
        <v>COLETOR72</v>
      </c>
      <c r="D140" s="271" t="s">
        <v>70</v>
      </c>
      <c r="E140" s="281">
        <v>94990</v>
      </c>
      <c r="F140" s="286" t="s">
        <v>13991</v>
      </c>
      <c r="G140" s="250" t="s">
        <v>18684</v>
      </c>
      <c r="H140" s="245" t="s">
        <v>255</v>
      </c>
      <c r="I140" s="289"/>
      <c r="J140" s="289"/>
      <c r="K140" s="289"/>
      <c r="L140" s="289"/>
      <c r="M140" s="289"/>
      <c r="N140" s="289"/>
      <c r="O140" s="290"/>
      <c r="P140" s="296" t="s">
        <v>19805</v>
      </c>
      <c r="Q140" s="295"/>
      <c r="R140" s="211"/>
      <c r="S140" s="211"/>
      <c r="T140" s="211"/>
      <c r="U140" s="211"/>
      <c r="V140" s="211"/>
      <c r="W140" s="211"/>
      <c r="X140" s="211"/>
      <c r="Y140" s="211"/>
      <c r="Z140" s="211"/>
      <c r="AA140" s="211"/>
      <c r="AB140" s="211"/>
      <c r="AC140" s="211"/>
      <c r="AD140" s="211"/>
      <c r="AE140" s="211"/>
      <c r="AF140" s="211"/>
      <c r="AG140" s="211"/>
      <c r="DE140" s="211"/>
      <c r="DF140" s="211"/>
      <c r="DG140" s="211"/>
      <c r="DH140" s="211"/>
      <c r="DI140" s="211"/>
      <c r="DJ140" s="211"/>
      <c r="DK140" s="211"/>
      <c r="DL140" s="211"/>
      <c r="DM140" s="211"/>
      <c r="DN140" s="211"/>
      <c r="DQ140" s="211"/>
      <c r="DV140" s="211"/>
      <c r="DW140" s="211"/>
      <c r="DX140" s="211"/>
      <c r="DY140" s="211"/>
      <c r="DZ140" s="211"/>
      <c r="EA140" s="211"/>
      <c r="EB140" s="211"/>
      <c r="EC140" s="211"/>
      <c r="ED140" s="211"/>
      <c r="EE140" s="211"/>
      <c r="EF140" s="211"/>
      <c r="EG140" s="211"/>
    </row>
    <row r="141" spans="1:137" ht="41.25" customHeight="1">
      <c r="A141" s="270">
        <f t="shared" si="7"/>
        <v>1</v>
      </c>
      <c r="B141" s="280">
        <f t="shared" si="8"/>
        <v>73</v>
      </c>
      <c r="C141" s="234" t="str">
        <f t="shared" si="6"/>
        <v>COLETOR73</v>
      </c>
      <c r="D141" s="271" t="s">
        <v>1</v>
      </c>
      <c r="E141" s="281">
        <v>1424</v>
      </c>
      <c r="F141" s="286" t="s">
        <v>13991</v>
      </c>
      <c r="G141" s="250" t="s">
        <v>1264</v>
      </c>
      <c r="H141" s="245" t="s">
        <v>71</v>
      </c>
      <c r="I141" s="289"/>
      <c r="J141" s="289"/>
      <c r="K141" s="289"/>
      <c r="L141" s="289"/>
      <c r="M141" s="289"/>
      <c r="N141" s="289"/>
      <c r="O141" s="290"/>
      <c r="P141" s="296" t="s">
        <v>19806</v>
      </c>
      <c r="Q141" s="295"/>
      <c r="R141" s="211"/>
      <c r="S141" s="211"/>
      <c r="T141" s="211"/>
      <c r="U141" s="211"/>
      <c r="V141" s="211"/>
      <c r="W141" s="211"/>
      <c r="X141" s="211"/>
      <c r="Y141" s="211"/>
      <c r="Z141" s="211"/>
      <c r="AA141" s="211"/>
      <c r="AB141" s="211"/>
      <c r="AC141" s="211"/>
      <c r="AD141" s="211"/>
      <c r="AE141" s="211"/>
      <c r="AF141" s="211"/>
      <c r="AG141" s="211"/>
      <c r="DE141" s="211"/>
      <c r="DF141" s="211"/>
      <c r="DG141" s="211"/>
      <c r="DH141" s="211"/>
      <c r="DI141" s="211"/>
      <c r="DJ141" s="211"/>
      <c r="DK141" s="211"/>
      <c r="DL141" s="211"/>
      <c r="DM141" s="211"/>
      <c r="DN141" s="211"/>
      <c r="DQ141" s="211"/>
      <c r="DV141" s="211"/>
      <c r="DW141" s="211"/>
      <c r="DX141" s="211"/>
      <c r="DY141" s="211"/>
      <c r="DZ141" s="211"/>
      <c r="EA141" s="211"/>
      <c r="EB141" s="211"/>
      <c r="EC141" s="211"/>
      <c r="ED141" s="211"/>
      <c r="EE141" s="211"/>
      <c r="EF141" s="211"/>
      <c r="EG141" s="211"/>
    </row>
    <row r="142" spans="1:137" ht="51">
      <c r="A142" s="270">
        <f t="shared" si="7"/>
        <v>1</v>
      </c>
      <c r="B142" s="280">
        <f t="shared" si="8"/>
        <v>74</v>
      </c>
      <c r="C142" s="234" t="str">
        <f t="shared" si="6"/>
        <v>COLETOR74</v>
      </c>
      <c r="D142" s="271" t="s">
        <v>70</v>
      </c>
      <c r="E142" s="281">
        <v>94273</v>
      </c>
      <c r="F142" s="286" t="s">
        <v>13992</v>
      </c>
      <c r="G142" s="250" t="s">
        <v>15983</v>
      </c>
      <c r="H142" s="245" t="s">
        <v>71</v>
      </c>
      <c r="I142" s="289"/>
      <c r="J142" s="289"/>
      <c r="K142" s="289"/>
      <c r="L142" s="289"/>
      <c r="M142" s="289"/>
      <c r="N142" s="289"/>
      <c r="O142" s="290"/>
      <c r="P142" s="296" t="s">
        <v>19806</v>
      </c>
      <c r="Q142" s="295"/>
      <c r="R142" s="211"/>
      <c r="S142" s="211"/>
      <c r="T142" s="211"/>
      <c r="U142" s="211"/>
      <c r="V142" s="211"/>
      <c r="W142" s="211"/>
      <c r="X142" s="211"/>
      <c r="Y142" s="211"/>
      <c r="Z142" s="211"/>
      <c r="AA142" s="211"/>
      <c r="AB142" s="211"/>
      <c r="AC142" s="211"/>
      <c r="AD142" s="211"/>
      <c r="AE142" s="211"/>
      <c r="AF142" s="211"/>
      <c r="AG142" s="211"/>
      <c r="DE142" s="211"/>
      <c r="DF142" s="211"/>
      <c r="DG142" s="211"/>
      <c r="DH142" s="211"/>
      <c r="DI142" s="211"/>
      <c r="DJ142" s="211"/>
      <c r="DK142" s="211"/>
      <c r="DL142" s="211"/>
      <c r="DM142" s="211"/>
      <c r="DN142" s="211"/>
      <c r="DQ142" s="211"/>
      <c r="DV142" s="211"/>
      <c r="DW142" s="211"/>
      <c r="DX142" s="211"/>
      <c r="DY142" s="211"/>
      <c r="DZ142" s="211"/>
      <c r="EA142" s="211"/>
      <c r="EB142" s="211"/>
      <c r="EC142" s="211"/>
      <c r="ED142" s="211"/>
      <c r="EE142" s="211"/>
      <c r="EF142" s="211"/>
      <c r="EG142" s="211"/>
    </row>
    <row r="143" spans="1:137" ht="18" customHeight="1">
      <c r="A143" s="270">
        <f t="shared" si="7"/>
        <v>0</v>
      </c>
      <c r="B143" s="280">
        <f t="shared" si="8"/>
        <v>74</v>
      </c>
      <c r="C143" s="234" t="str">
        <f t="shared" si="6"/>
        <v xml:space="preserve"> </v>
      </c>
      <c r="E143" s="281"/>
      <c r="F143" s="258" t="s">
        <v>14013</v>
      </c>
      <c r="G143" s="259"/>
      <c r="H143" s="259"/>
      <c r="I143" s="259"/>
      <c r="J143" s="259"/>
      <c r="K143" s="259"/>
      <c r="L143" s="259"/>
      <c r="M143" s="259"/>
      <c r="N143" s="259"/>
      <c r="O143" s="259"/>
      <c r="P143" s="260"/>
      <c r="Q143" s="295"/>
      <c r="R143" s="211"/>
      <c r="S143" s="211"/>
      <c r="T143" s="211"/>
      <c r="U143" s="211"/>
      <c r="V143" s="211"/>
      <c r="W143" s="211"/>
      <c r="X143" s="211"/>
      <c r="Y143" s="211"/>
      <c r="Z143" s="211"/>
      <c r="AA143" s="211"/>
      <c r="AB143" s="211"/>
      <c r="AC143" s="211"/>
      <c r="AD143" s="211"/>
      <c r="AE143" s="211"/>
      <c r="AF143" s="211"/>
      <c r="AG143" s="211"/>
      <c r="DE143" s="211"/>
      <c r="DF143" s="211"/>
      <c r="DG143" s="211"/>
      <c r="DH143" s="211"/>
      <c r="DI143" s="211"/>
      <c r="DJ143" s="211"/>
      <c r="DK143" s="211"/>
      <c r="DL143" s="211"/>
      <c r="DM143" s="211"/>
      <c r="DN143" s="211"/>
      <c r="DQ143" s="211"/>
      <c r="DV143" s="211"/>
      <c r="DW143" s="211"/>
      <c r="DX143" s="211"/>
      <c r="DY143" s="211"/>
      <c r="DZ143" s="211"/>
      <c r="EA143" s="211"/>
      <c r="EB143" s="211"/>
      <c r="EC143" s="211"/>
      <c r="ED143" s="211"/>
      <c r="EE143" s="211"/>
      <c r="EF143" s="211"/>
      <c r="EG143" s="211"/>
    </row>
    <row r="144" spans="1:137" ht="27.75" customHeight="1">
      <c r="A144" s="270">
        <f t="shared" si="7"/>
        <v>1</v>
      </c>
      <c r="B144" s="280">
        <f t="shared" si="8"/>
        <v>75</v>
      </c>
      <c r="C144" s="234" t="str">
        <f t="shared" si="6"/>
        <v>COLETOR75</v>
      </c>
      <c r="D144" s="271" t="s">
        <v>1</v>
      </c>
      <c r="E144" s="281">
        <v>232</v>
      </c>
      <c r="F144" s="282" t="s">
        <v>13993</v>
      </c>
      <c r="G144" s="250" t="s">
        <v>19828</v>
      </c>
      <c r="H144" s="245" t="s">
        <v>255</v>
      </c>
      <c r="I144" s="289"/>
      <c r="J144" s="289"/>
      <c r="K144" s="289"/>
      <c r="L144" s="289"/>
      <c r="M144" s="289"/>
      <c r="N144" s="289"/>
      <c r="O144" s="290"/>
      <c r="P144" s="284" t="s">
        <v>19807</v>
      </c>
      <c r="Q144" s="295"/>
      <c r="R144" s="211"/>
      <c r="S144" s="211"/>
      <c r="T144" s="211"/>
      <c r="U144" s="211"/>
      <c r="V144" s="211"/>
      <c r="W144" s="211"/>
      <c r="X144" s="211"/>
      <c r="Y144" s="211"/>
      <c r="Z144" s="211"/>
      <c r="AA144" s="211"/>
      <c r="AB144" s="211"/>
      <c r="AC144" s="211"/>
      <c r="AD144" s="211"/>
      <c r="AE144" s="211"/>
      <c r="AF144" s="211"/>
      <c r="AG144" s="211"/>
      <c r="DE144" s="211"/>
      <c r="DF144" s="211"/>
      <c r="DG144" s="211"/>
      <c r="DH144" s="211"/>
      <c r="DI144" s="211"/>
      <c r="DJ144" s="211"/>
      <c r="DK144" s="211"/>
      <c r="DL144" s="211"/>
      <c r="DM144" s="211"/>
      <c r="DN144" s="211"/>
      <c r="DQ144" s="211"/>
      <c r="DV144" s="211"/>
      <c r="DW144" s="211"/>
      <c r="DX144" s="211"/>
      <c r="DY144" s="211"/>
      <c r="DZ144" s="211"/>
      <c r="EA144" s="211"/>
      <c r="EB144" s="211"/>
      <c r="EC144" s="211"/>
      <c r="ED144" s="211"/>
      <c r="EE144" s="211"/>
      <c r="EF144" s="211"/>
      <c r="EG144" s="211"/>
    </row>
    <row r="145" spans="1:137" ht="33.75" customHeight="1">
      <c r="A145" s="270">
        <f t="shared" si="7"/>
        <v>1</v>
      </c>
      <c r="B145" s="280">
        <f t="shared" si="8"/>
        <v>76</v>
      </c>
      <c r="C145" s="234" t="str">
        <f t="shared" si="6"/>
        <v>COLETOR76</v>
      </c>
      <c r="D145" s="271" t="s">
        <v>1</v>
      </c>
      <c r="E145" s="281">
        <v>233</v>
      </c>
      <c r="F145" s="282" t="s">
        <v>13994</v>
      </c>
      <c r="G145" s="250" t="s">
        <v>19829</v>
      </c>
      <c r="H145" s="245" t="s">
        <v>255</v>
      </c>
      <c r="I145" s="289"/>
      <c r="J145" s="289"/>
      <c r="K145" s="289"/>
      <c r="L145" s="289"/>
      <c r="M145" s="289"/>
      <c r="N145" s="289"/>
      <c r="O145" s="290"/>
      <c r="P145" s="284" t="s">
        <v>19808</v>
      </c>
      <c r="Q145" s="295"/>
      <c r="R145" s="211"/>
      <c r="S145" s="211"/>
      <c r="T145" s="211"/>
      <c r="U145" s="211"/>
      <c r="V145" s="211"/>
      <c r="W145" s="211"/>
      <c r="X145" s="211"/>
      <c r="Y145" s="211"/>
      <c r="Z145" s="211"/>
      <c r="AA145" s="211"/>
      <c r="AB145" s="211"/>
      <c r="AC145" s="211"/>
      <c r="AD145" s="211"/>
      <c r="AE145" s="211"/>
      <c r="AF145" s="211"/>
      <c r="AG145" s="211"/>
      <c r="DE145" s="211"/>
      <c r="DF145" s="211"/>
      <c r="DG145" s="211"/>
      <c r="DH145" s="211"/>
      <c r="DI145" s="211"/>
      <c r="DJ145" s="211"/>
      <c r="DK145" s="211"/>
      <c r="DL145" s="211"/>
      <c r="DM145" s="211"/>
      <c r="DN145" s="211"/>
      <c r="DQ145" s="211"/>
      <c r="DV145" s="211"/>
      <c r="DW145" s="211"/>
      <c r="DX145" s="211"/>
      <c r="DY145" s="211"/>
      <c r="DZ145" s="211"/>
      <c r="EA145" s="211"/>
      <c r="EB145" s="211"/>
      <c r="EC145" s="211"/>
      <c r="ED145" s="211"/>
      <c r="EE145" s="211"/>
      <c r="EF145" s="211"/>
      <c r="EG145" s="211"/>
    </row>
    <row r="146" spans="1:137" ht="30.75" customHeight="1">
      <c r="A146" s="270">
        <f t="shared" si="7"/>
        <v>1</v>
      </c>
      <c r="B146" s="280">
        <f t="shared" si="8"/>
        <v>77</v>
      </c>
      <c r="C146" s="234" t="str">
        <f t="shared" si="6"/>
        <v>COLETOR77</v>
      </c>
      <c r="D146" s="271" t="s">
        <v>1</v>
      </c>
      <c r="E146" s="281">
        <v>246</v>
      </c>
      <c r="F146" s="282" t="s">
        <v>13995</v>
      </c>
      <c r="G146" s="250" t="s">
        <v>19830</v>
      </c>
      <c r="H146" s="245" t="s">
        <v>9853</v>
      </c>
      <c r="I146" s="289"/>
      <c r="J146" s="289"/>
      <c r="K146" s="289"/>
      <c r="L146" s="289"/>
      <c r="M146" s="289"/>
      <c r="N146" s="289"/>
      <c r="O146" s="290"/>
      <c r="P146" s="284" t="s">
        <v>19809</v>
      </c>
      <c r="Q146" s="295"/>
      <c r="R146" s="211"/>
      <c r="S146" s="211"/>
      <c r="T146" s="211"/>
      <c r="U146" s="211"/>
      <c r="V146" s="211"/>
      <c r="W146" s="211"/>
      <c r="X146" s="211"/>
      <c r="Y146" s="211"/>
      <c r="Z146" s="211"/>
      <c r="AA146" s="211"/>
      <c r="AB146" s="211"/>
      <c r="AC146" s="211"/>
      <c r="AD146" s="211"/>
      <c r="AE146" s="211"/>
      <c r="AF146" s="211"/>
      <c r="AG146" s="211"/>
      <c r="DE146" s="211"/>
      <c r="DF146" s="211"/>
      <c r="DG146" s="211"/>
      <c r="DH146" s="211"/>
      <c r="DI146" s="211"/>
      <c r="DJ146" s="211"/>
      <c r="DK146" s="211"/>
      <c r="DL146" s="211"/>
      <c r="DM146" s="211"/>
      <c r="DN146" s="211"/>
      <c r="DQ146" s="211"/>
      <c r="DV146" s="211"/>
      <c r="DW146" s="211"/>
      <c r="DX146" s="211"/>
      <c r="DY146" s="211"/>
      <c r="DZ146" s="211"/>
      <c r="EA146" s="211"/>
      <c r="EB146" s="211"/>
      <c r="EC146" s="211"/>
      <c r="ED146" s="211"/>
      <c r="EE146" s="211"/>
      <c r="EF146" s="211"/>
      <c r="EG146" s="211"/>
    </row>
    <row r="147" spans="1:137" ht="15.75" customHeight="1">
      <c r="A147" s="270">
        <f t="shared" si="7"/>
        <v>0</v>
      </c>
      <c r="B147" s="280">
        <f t="shared" si="8"/>
        <v>77</v>
      </c>
      <c r="C147" s="234" t="str">
        <f t="shared" si="6"/>
        <v xml:space="preserve"> </v>
      </c>
      <c r="E147" s="281"/>
      <c r="F147" s="258" t="s">
        <v>14014</v>
      </c>
      <c r="G147" s="259"/>
      <c r="H147" s="259"/>
      <c r="I147" s="297"/>
      <c r="J147" s="297"/>
      <c r="K147" s="297"/>
      <c r="L147" s="297"/>
      <c r="M147" s="297"/>
      <c r="N147" s="297"/>
      <c r="O147" s="297"/>
      <c r="P147" s="260"/>
      <c r="Q147" s="295"/>
      <c r="R147" s="211"/>
      <c r="S147" s="211"/>
      <c r="T147" s="211"/>
      <c r="U147" s="211"/>
      <c r="V147" s="211"/>
      <c r="W147" s="211"/>
      <c r="X147" s="211"/>
      <c r="Y147" s="211"/>
      <c r="Z147" s="211"/>
      <c r="AA147" s="211"/>
      <c r="AB147" s="211"/>
      <c r="AC147" s="211"/>
      <c r="AD147" s="211"/>
      <c r="AE147" s="211"/>
      <c r="AF147" s="211"/>
      <c r="AG147" s="211"/>
      <c r="DE147" s="211"/>
      <c r="DF147" s="211"/>
      <c r="DG147" s="211"/>
      <c r="DH147" s="211"/>
      <c r="DI147" s="211"/>
      <c r="DJ147" s="211"/>
      <c r="DK147" s="211"/>
      <c r="DL147" s="211"/>
      <c r="DM147" s="211"/>
      <c r="DN147" s="211"/>
      <c r="DQ147" s="211"/>
      <c r="DV147" s="211"/>
      <c r="DW147" s="211"/>
      <c r="DX147" s="211"/>
      <c r="DY147" s="211"/>
      <c r="DZ147" s="211"/>
      <c r="EA147" s="211"/>
      <c r="EB147" s="211"/>
      <c r="EC147" s="211"/>
      <c r="ED147" s="211"/>
      <c r="EE147" s="211"/>
      <c r="EF147" s="211"/>
      <c r="EG147" s="211"/>
    </row>
    <row r="148" spans="1:137" ht="38.25">
      <c r="A148" s="270">
        <f t="shared" si="7"/>
        <v>1</v>
      </c>
      <c r="B148" s="280">
        <f t="shared" si="8"/>
        <v>78</v>
      </c>
      <c r="C148" s="234" t="str">
        <f t="shared" si="6"/>
        <v>COLETOR78</v>
      </c>
      <c r="D148" s="271" t="s">
        <v>70</v>
      </c>
      <c r="E148" s="281" t="s">
        <v>18276</v>
      </c>
      <c r="F148" s="282" t="s">
        <v>14008</v>
      </c>
      <c r="G148" s="250" t="s">
        <v>18277</v>
      </c>
      <c r="H148" s="245" t="s">
        <v>255</v>
      </c>
      <c r="I148" s="289"/>
      <c r="J148" s="289"/>
      <c r="K148" s="289"/>
      <c r="L148" s="289"/>
      <c r="M148" s="289"/>
      <c r="N148" s="289"/>
      <c r="O148" s="290"/>
      <c r="P148" s="283" t="s">
        <v>19810</v>
      </c>
      <c r="Q148" s="295"/>
      <c r="R148" s="211"/>
      <c r="S148" s="211"/>
      <c r="T148" s="211"/>
      <c r="U148" s="211"/>
      <c r="V148" s="211"/>
      <c r="W148" s="211"/>
      <c r="X148" s="211"/>
      <c r="Y148" s="211"/>
      <c r="Z148" s="211"/>
      <c r="AA148" s="211"/>
      <c r="AB148" s="211"/>
      <c r="AC148" s="211"/>
      <c r="AD148" s="211"/>
      <c r="AE148" s="211"/>
      <c r="AF148" s="211"/>
      <c r="AG148" s="211"/>
      <c r="DE148" s="211"/>
      <c r="DF148" s="211"/>
      <c r="DG148" s="211"/>
      <c r="DH148" s="211"/>
      <c r="DI148" s="211"/>
      <c r="DJ148" s="211"/>
      <c r="DK148" s="211"/>
      <c r="DL148" s="211"/>
      <c r="DM148" s="211"/>
      <c r="DN148" s="211"/>
      <c r="DQ148" s="211"/>
      <c r="DV148" s="211"/>
      <c r="DW148" s="211"/>
      <c r="DX148" s="211"/>
      <c r="DY148" s="211"/>
      <c r="DZ148" s="211"/>
      <c r="EA148" s="211"/>
      <c r="EB148" s="211"/>
      <c r="EC148" s="211"/>
      <c r="ED148" s="211"/>
      <c r="EE148" s="211"/>
      <c r="EF148" s="211"/>
      <c r="EG148" s="211"/>
    </row>
    <row r="149" spans="1:137" ht="30.75" customHeight="1">
      <c r="A149" s="270">
        <f t="shared" si="7"/>
        <v>1</v>
      </c>
      <c r="B149" s="280">
        <f t="shared" si="8"/>
        <v>79</v>
      </c>
      <c r="C149" s="234" t="str">
        <f t="shared" si="6"/>
        <v>COLETOR79</v>
      </c>
      <c r="D149" s="271" t="s">
        <v>70</v>
      </c>
      <c r="E149" s="281">
        <v>95302</v>
      </c>
      <c r="F149" s="282" t="s">
        <v>14010</v>
      </c>
      <c r="G149" s="250" t="s">
        <v>9866</v>
      </c>
      <c r="H149" s="245" t="s">
        <v>9853</v>
      </c>
      <c r="I149" s="289"/>
      <c r="J149" s="289"/>
      <c r="K149" s="289"/>
      <c r="L149" s="289"/>
      <c r="M149" s="289"/>
      <c r="N149" s="289"/>
      <c r="O149" s="290"/>
      <c r="P149" s="283" t="s">
        <v>19811</v>
      </c>
      <c r="Q149" s="295"/>
      <c r="R149" s="211"/>
      <c r="S149" s="211"/>
      <c r="T149" s="211"/>
      <c r="U149" s="211"/>
      <c r="V149" s="211"/>
      <c r="W149" s="211"/>
      <c r="X149" s="211"/>
      <c r="Y149" s="211"/>
      <c r="Z149" s="211"/>
      <c r="AA149" s="211"/>
      <c r="AB149" s="211"/>
      <c r="AC149" s="211"/>
      <c r="AD149" s="211"/>
      <c r="AE149" s="211"/>
      <c r="AF149" s="211"/>
      <c r="AG149" s="211"/>
      <c r="DE149" s="211"/>
      <c r="DF149" s="211"/>
      <c r="DG149" s="211"/>
      <c r="DH149" s="211"/>
      <c r="DI149" s="211"/>
      <c r="DJ149" s="211"/>
      <c r="DK149" s="211"/>
      <c r="DL149" s="211"/>
      <c r="DM149" s="211"/>
      <c r="DN149" s="211"/>
      <c r="DQ149" s="211"/>
      <c r="DV149" s="211"/>
      <c r="DW149" s="211"/>
      <c r="DX149" s="211"/>
      <c r="DY149" s="211"/>
      <c r="DZ149" s="211"/>
      <c r="EA149" s="211"/>
      <c r="EB149" s="211"/>
      <c r="EC149" s="211"/>
      <c r="ED149" s="211"/>
      <c r="EE149" s="211"/>
      <c r="EF149" s="211"/>
      <c r="EG149" s="211"/>
    </row>
    <row r="150" spans="1:137" ht="25.5">
      <c r="A150" s="270">
        <f t="shared" si="7"/>
        <v>1</v>
      </c>
      <c r="B150" s="280">
        <f t="shared" si="8"/>
        <v>80</v>
      </c>
      <c r="C150" s="234" t="str">
        <f t="shared" si="6"/>
        <v>COLETOR80</v>
      </c>
      <c r="D150" s="271" t="s">
        <v>70</v>
      </c>
      <c r="E150" s="281">
        <v>83344</v>
      </c>
      <c r="F150" s="282" t="s">
        <v>14012</v>
      </c>
      <c r="G150" s="250" t="s">
        <v>18317</v>
      </c>
      <c r="H150" s="245" t="s">
        <v>255</v>
      </c>
      <c r="I150" s="289"/>
      <c r="J150" s="289"/>
      <c r="K150" s="289"/>
      <c r="L150" s="289"/>
      <c r="M150" s="289"/>
      <c r="N150" s="289"/>
      <c r="O150" s="290"/>
      <c r="P150" s="283" t="s">
        <v>19812</v>
      </c>
      <c r="Q150" s="295"/>
      <c r="R150" s="211"/>
      <c r="S150" s="211"/>
      <c r="T150" s="211"/>
      <c r="U150" s="211"/>
      <c r="V150" s="211"/>
      <c r="W150" s="211"/>
      <c r="X150" s="211"/>
      <c r="Y150" s="211"/>
      <c r="Z150" s="211"/>
      <c r="AA150" s="211"/>
      <c r="AB150" s="211"/>
      <c r="AC150" s="211"/>
      <c r="AD150" s="211"/>
      <c r="AE150" s="211"/>
      <c r="AF150" s="211"/>
      <c r="AG150" s="211"/>
      <c r="DE150" s="211"/>
      <c r="DF150" s="211"/>
      <c r="DG150" s="211"/>
      <c r="DH150" s="211"/>
      <c r="DI150" s="211"/>
      <c r="DJ150" s="211"/>
      <c r="DK150" s="211"/>
      <c r="DL150" s="211"/>
      <c r="DM150" s="211"/>
      <c r="DN150" s="211"/>
      <c r="DQ150" s="211"/>
      <c r="DV150" s="211"/>
      <c r="DW150" s="211"/>
      <c r="DX150" s="211"/>
      <c r="DY150" s="211"/>
      <c r="DZ150" s="211"/>
      <c r="EA150" s="211"/>
      <c r="EB150" s="211"/>
      <c r="EC150" s="211"/>
      <c r="ED150" s="211"/>
      <c r="EE150" s="211"/>
      <c r="EF150" s="211"/>
      <c r="EG150" s="211"/>
    </row>
    <row r="151" spans="1:137" ht="12.75">
      <c r="A151" s="270">
        <f t="shared" si="7"/>
        <v>0</v>
      </c>
      <c r="B151" s="280">
        <f t="shared" si="8"/>
        <v>80</v>
      </c>
      <c r="C151" s="234" t="str">
        <f t="shared" si="6"/>
        <v xml:space="preserve"> </v>
      </c>
      <c r="F151" s="298" t="s">
        <v>14015</v>
      </c>
      <c r="G151" s="261"/>
      <c r="H151" s="261"/>
      <c r="I151" s="261"/>
      <c r="J151" s="261"/>
      <c r="K151" s="261"/>
      <c r="L151" s="261"/>
      <c r="M151" s="261"/>
      <c r="N151" s="261"/>
      <c r="O151" s="261"/>
      <c r="P151" s="299"/>
      <c r="Q151" s="295"/>
      <c r="R151" s="211"/>
      <c r="S151" s="211"/>
      <c r="T151" s="211"/>
      <c r="U151" s="211"/>
      <c r="V151" s="211"/>
      <c r="W151" s="211"/>
      <c r="X151" s="211"/>
      <c r="Y151" s="211"/>
      <c r="Z151" s="211"/>
      <c r="AA151" s="211"/>
      <c r="AB151" s="211"/>
      <c r="AC151" s="211"/>
      <c r="AD151" s="211"/>
      <c r="AE151" s="211"/>
      <c r="AF151" s="211"/>
      <c r="AG151" s="211"/>
      <c r="DE151" s="211"/>
      <c r="DF151" s="211"/>
      <c r="DG151" s="211"/>
      <c r="DH151" s="211"/>
      <c r="DI151" s="211"/>
      <c r="DJ151" s="211"/>
      <c r="DK151" s="211"/>
      <c r="DL151" s="211"/>
      <c r="DM151" s="211"/>
      <c r="DN151" s="211"/>
      <c r="DQ151" s="211"/>
      <c r="DV151" s="211"/>
      <c r="DW151" s="211"/>
      <c r="DX151" s="211"/>
      <c r="DY151" s="211"/>
      <c r="DZ151" s="211"/>
      <c r="EA151" s="211"/>
      <c r="EB151" s="211"/>
      <c r="EC151" s="211"/>
      <c r="ED151" s="211"/>
      <c r="EE151" s="211"/>
      <c r="EF151" s="211"/>
      <c r="EG151" s="211"/>
    </row>
    <row r="152" spans="1:137" ht="38.25">
      <c r="A152" s="270">
        <f t="shared" si="7"/>
        <v>1</v>
      </c>
      <c r="B152" s="280">
        <f t="shared" si="8"/>
        <v>81</v>
      </c>
      <c r="C152" s="234" t="str">
        <f t="shared" si="6"/>
        <v>COLETOR81</v>
      </c>
      <c r="D152" s="271" t="s">
        <v>1</v>
      </c>
      <c r="E152" s="281">
        <v>1737</v>
      </c>
      <c r="F152" s="282" t="s">
        <v>14016</v>
      </c>
      <c r="G152" s="250" t="s">
        <v>19835</v>
      </c>
      <c r="H152" s="245" t="s">
        <v>65</v>
      </c>
      <c r="I152" s="516"/>
      <c r="J152" s="516"/>
      <c r="K152" s="516"/>
      <c r="L152" s="516"/>
      <c r="M152" s="516"/>
      <c r="N152" s="516"/>
      <c r="O152" s="278"/>
      <c r="P152" s="1683" t="s">
        <v>14017</v>
      </c>
      <c r="Q152" s="295"/>
      <c r="R152" s="211"/>
      <c r="S152" s="211"/>
      <c r="T152" s="211"/>
      <c r="U152" s="211"/>
      <c r="V152" s="211"/>
      <c r="W152" s="211"/>
      <c r="X152" s="211"/>
      <c r="Y152" s="211"/>
      <c r="Z152" s="211"/>
      <c r="AA152" s="211"/>
      <c r="AB152" s="211"/>
      <c r="AC152" s="211"/>
      <c r="AD152" s="211"/>
      <c r="AE152" s="211"/>
      <c r="AF152" s="211"/>
      <c r="AG152" s="211"/>
      <c r="DE152" s="211"/>
      <c r="DF152" s="211"/>
      <c r="DG152" s="211"/>
      <c r="DH152" s="211"/>
      <c r="DI152" s="211"/>
      <c r="DJ152" s="211"/>
      <c r="DK152" s="211"/>
      <c r="DL152" s="211"/>
      <c r="DM152" s="211"/>
      <c r="DN152" s="211"/>
      <c r="DQ152" s="211"/>
      <c r="DV152" s="211"/>
      <c r="DW152" s="211"/>
      <c r="DX152" s="211"/>
      <c r="DY152" s="211"/>
      <c r="DZ152" s="211"/>
      <c r="EA152" s="211"/>
      <c r="EB152" s="211"/>
      <c r="EC152" s="211"/>
      <c r="ED152" s="211"/>
      <c r="EE152" s="211"/>
      <c r="EF152" s="211"/>
      <c r="EG152" s="211"/>
    </row>
    <row r="153" spans="1:137" ht="38.25">
      <c r="A153" s="270">
        <f t="shared" si="7"/>
        <v>1</v>
      </c>
      <c r="B153" s="280">
        <f t="shared" si="8"/>
        <v>82</v>
      </c>
      <c r="C153" s="234" t="str">
        <f t="shared" si="6"/>
        <v>COLETOR82</v>
      </c>
      <c r="D153" s="271" t="s">
        <v>1</v>
      </c>
      <c r="E153" s="281">
        <v>1612</v>
      </c>
      <c r="F153" s="282" t="s">
        <v>14018</v>
      </c>
      <c r="G153" s="250" t="s">
        <v>19836</v>
      </c>
      <c r="H153" s="245" t="s">
        <v>65</v>
      </c>
      <c r="I153" s="516"/>
      <c r="J153" s="516"/>
      <c r="K153" s="516"/>
      <c r="L153" s="516"/>
      <c r="M153" s="516"/>
      <c r="N153" s="516"/>
      <c r="O153" s="278"/>
      <c r="P153" s="1684"/>
      <c r="Q153" s="295"/>
      <c r="R153" s="211"/>
      <c r="S153" s="211"/>
      <c r="T153" s="211"/>
      <c r="U153" s="211"/>
      <c r="V153" s="211"/>
      <c r="W153" s="211"/>
      <c r="X153" s="211"/>
      <c r="Y153" s="211"/>
      <c r="Z153" s="211"/>
      <c r="AA153" s="211"/>
      <c r="AB153" s="211"/>
      <c r="AC153" s="211"/>
      <c r="AD153" s="211"/>
      <c r="AE153" s="211"/>
      <c r="AF153" s="211"/>
      <c r="AG153" s="211"/>
      <c r="DE153" s="211"/>
      <c r="DF153" s="211"/>
      <c r="DG153" s="211"/>
      <c r="DH153" s="211"/>
      <c r="DI153" s="211"/>
      <c r="DJ153" s="211"/>
      <c r="DK153" s="211"/>
      <c r="DL153" s="211"/>
      <c r="DM153" s="211"/>
      <c r="DN153" s="211"/>
      <c r="DQ153" s="211"/>
      <c r="DV153" s="211"/>
      <c r="DW153" s="211"/>
      <c r="DX153" s="211"/>
      <c r="DY153" s="211"/>
      <c r="DZ153" s="211"/>
      <c r="EA153" s="211"/>
      <c r="EB153" s="211"/>
      <c r="EC153" s="211"/>
      <c r="ED153" s="211"/>
      <c r="EE153" s="211"/>
      <c r="EF153" s="211"/>
      <c r="EG153" s="211"/>
    </row>
    <row r="154" spans="1:137" ht="38.25">
      <c r="A154" s="270">
        <f t="shared" si="7"/>
        <v>1</v>
      </c>
      <c r="B154" s="280">
        <f t="shared" si="8"/>
        <v>83</v>
      </c>
      <c r="C154" s="234" t="str">
        <f t="shared" si="6"/>
        <v>COLETOR83</v>
      </c>
      <c r="D154" s="271" t="s">
        <v>1</v>
      </c>
      <c r="E154" s="281">
        <v>1613</v>
      </c>
      <c r="F154" s="282" t="s">
        <v>14019</v>
      </c>
      <c r="G154" s="250" t="s">
        <v>19837</v>
      </c>
      <c r="H154" s="245" t="s">
        <v>65</v>
      </c>
      <c r="I154" s="516"/>
      <c r="J154" s="516"/>
      <c r="K154" s="516"/>
      <c r="L154" s="516"/>
      <c r="M154" s="516"/>
      <c r="N154" s="516"/>
      <c r="O154" s="278"/>
      <c r="P154" s="1684"/>
      <c r="Q154" s="295"/>
      <c r="R154" s="211"/>
      <c r="S154" s="211"/>
      <c r="T154" s="211"/>
      <c r="U154" s="211"/>
      <c r="V154" s="211"/>
      <c r="W154" s="211"/>
      <c r="X154" s="211"/>
      <c r="Y154" s="211"/>
      <c r="Z154" s="211"/>
      <c r="AA154" s="211"/>
      <c r="AB154" s="211"/>
      <c r="AC154" s="211"/>
      <c r="AD154" s="211"/>
      <c r="AE154" s="211"/>
      <c r="AF154" s="211"/>
      <c r="AG154" s="211"/>
      <c r="DE154" s="211"/>
      <c r="DF154" s="211"/>
      <c r="DG154" s="211"/>
      <c r="DH154" s="211"/>
      <c r="DI154" s="211"/>
      <c r="DJ154" s="211"/>
      <c r="DK154" s="211"/>
      <c r="DL154" s="211"/>
      <c r="DM154" s="211"/>
      <c r="DN154" s="211"/>
      <c r="DQ154" s="211"/>
      <c r="DV154" s="211"/>
      <c r="DW154" s="211"/>
      <c r="DX154" s="211"/>
      <c r="DY154" s="211"/>
      <c r="DZ154" s="211"/>
      <c r="EA154" s="211"/>
      <c r="EB154" s="211"/>
      <c r="EC154" s="211"/>
      <c r="ED154" s="211"/>
      <c r="EE154" s="211"/>
      <c r="EF154" s="211"/>
      <c r="EG154" s="211"/>
    </row>
    <row r="155" spans="1:137" ht="38.25">
      <c r="A155" s="270">
        <f t="shared" si="7"/>
        <v>1</v>
      </c>
      <c r="B155" s="280">
        <f t="shared" si="8"/>
        <v>84</v>
      </c>
      <c r="C155" s="234" t="str">
        <f t="shared" si="6"/>
        <v>COLETOR84</v>
      </c>
      <c r="D155" s="271" t="s">
        <v>1</v>
      </c>
      <c r="E155" s="281">
        <v>1614</v>
      </c>
      <c r="F155" s="282" t="s">
        <v>14020</v>
      </c>
      <c r="G155" s="250" t="s">
        <v>19838</v>
      </c>
      <c r="H155" s="245" t="s">
        <v>65</v>
      </c>
      <c r="I155" s="516"/>
      <c r="J155" s="516"/>
      <c r="K155" s="516"/>
      <c r="L155" s="516"/>
      <c r="M155" s="516"/>
      <c r="N155" s="516"/>
      <c r="O155" s="278"/>
      <c r="P155" s="1684"/>
      <c r="Q155" s="295"/>
      <c r="R155" s="211"/>
      <c r="S155" s="211"/>
      <c r="T155" s="211"/>
      <c r="U155" s="211"/>
      <c r="V155" s="211"/>
      <c r="W155" s="211"/>
      <c r="X155" s="211"/>
      <c r="Y155" s="211"/>
      <c r="Z155" s="211"/>
      <c r="AA155" s="211"/>
      <c r="AB155" s="211"/>
      <c r="AC155" s="211"/>
      <c r="AD155" s="211"/>
      <c r="AE155" s="211"/>
      <c r="AF155" s="211"/>
      <c r="AG155" s="211"/>
      <c r="DE155" s="211"/>
      <c r="DF155" s="211"/>
      <c r="DG155" s="211"/>
      <c r="DH155" s="211"/>
      <c r="DI155" s="211"/>
      <c r="DJ155" s="211"/>
      <c r="DK155" s="211"/>
      <c r="DL155" s="211"/>
      <c r="DM155" s="211"/>
      <c r="DN155" s="211"/>
      <c r="DQ155" s="211"/>
      <c r="DV155" s="211"/>
      <c r="DW155" s="211"/>
      <c r="DX155" s="211"/>
      <c r="DY155" s="211"/>
      <c r="DZ155" s="211"/>
      <c r="EA155" s="211"/>
      <c r="EB155" s="211"/>
      <c r="EC155" s="211"/>
      <c r="ED155" s="211"/>
      <c r="EE155" s="211"/>
      <c r="EF155" s="211"/>
      <c r="EG155" s="211"/>
    </row>
    <row r="156" spans="1:137" ht="38.25">
      <c r="A156" s="270">
        <f t="shared" si="7"/>
        <v>1</v>
      </c>
      <c r="B156" s="280">
        <f t="shared" si="8"/>
        <v>85</v>
      </c>
      <c r="C156" s="234" t="str">
        <f t="shared" si="6"/>
        <v>COLETOR85</v>
      </c>
      <c r="D156" s="271" t="s">
        <v>1</v>
      </c>
      <c r="E156" s="281">
        <v>1615</v>
      </c>
      <c r="F156" s="282" t="s">
        <v>14021</v>
      </c>
      <c r="G156" s="250" t="s">
        <v>19839</v>
      </c>
      <c r="H156" s="245" t="s">
        <v>65</v>
      </c>
      <c r="I156" s="516"/>
      <c r="J156" s="516"/>
      <c r="K156" s="516"/>
      <c r="L156" s="516"/>
      <c r="M156" s="516"/>
      <c r="N156" s="516"/>
      <c r="O156" s="278"/>
      <c r="P156" s="1684"/>
      <c r="Q156" s="295"/>
      <c r="R156" s="211"/>
      <c r="S156" s="211"/>
      <c r="T156" s="211"/>
      <c r="U156" s="211"/>
      <c r="V156" s="211"/>
      <c r="W156" s="211"/>
      <c r="X156" s="211"/>
      <c r="Y156" s="211"/>
      <c r="Z156" s="211"/>
      <c r="AA156" s="211"/>
      <c r="AB156" s="211"/>
      <c r="AC156" s="211"/>
      <c r="AD156" s="211"/>
      <c r="AE156" s="211"/>
      <c r="AF156" s="211"/>
      <c r="AG156" s="211"/>
      <c r="DE156" s="211"/>
      <c r="DF156" s="211"/>
      <c r="DG156" s="211"/>
      <c r="DH156" s="211"/>
      <c r="DI156" s="211"/>
      <c r="DJ156" s="211"/>
      <c r="DK156" s="211"/>
      <c r="DL156" s="211"/>
      <c r="DM156" s="211"/>
      <c r="DN156" s="211"/>
      <c r="DQ156" s="211"/>
      <c r="DV156" s="211"/>
      <c r="DW156" s="211"/>
      <c r="DX156" s="211"/>
      <c r="DY156" s="211"/>
      <c r="DZ156" s="211"/>
      <c r="EA156" s="211"/>
      <c r="EB156" s="211"/>
      <c r="EC156" s="211"/>
      <c r="ED156" s="211"/>
      <c r="EE156" s="211"/>
      <c r="EF156" s="211"/>
      <c r="EG156" s="211"/>
    </row>
    <row r="157" spans="1:137" ht="38.25">
      <c r="A157" s="270">
        <f t="shared" si="7"/>
        <v>1</v>
      </c>
      <c r="B157" s="280">
        <f t="shared" si="8"/>
        <v>86</v>
      </c>
      <c r="C157" s="234" t="str">
        <f t="shared" si="6"/>
        <v>COLETOR86</v>
      </c>
      <c r="D157" s="271" t="s">
        <v>1</v>
      </c>
      <c r="E157" s="281">
        <v>1616</v>
      </c>
      <c r="F157" s="282" t="s">
        <v>14022</v>
      </c>
      <c r="G157" s="250" t="s">
        <v>19840</v>
      </c>
      <c r="H157" s="245" t="s">
        <v>65</v>
      </c>
      <c r="I157" s="516"/>
      <c r="J157" s="516"/>
      <c r="K157" s="516"/>
      <c r="L157" s="516"/>
      <c r="M157" s="516"/>
      <c r="N157" s="516"/>
      <c r="O157" s="278"/>
      <c r="P157" s="1684"/>
      <c r="Q157" s="295"/>
      <c r="R157" s="211"/>
      <c r="S157" s="211"/>
      <c r="T157" s="211"/>
      <c r="U157" s="211"/>
      <c r="V157" s="211"/>
      <c r="W157" s="211"/>
      <c r="X157" s="211"/>
      <c r="Y157" s="211"/>
      <c r="Z157" s="211"/>
      <c r="AA157" s="211"/>
      <c r="AB157" s="211"/>
      <c r="AC157" s="211"/>
      <c r="AD157" s="211"/>
      <c r="AE157" s="211"/>
      <c r="AF157" s="211"/>
      <c r="AG157" s="211"/>
      <c r="DE157" s="211"/>
      <c r="DF157" s="211"/>
      <c r="DG157" s="211"/>
      <c r="DH157" s="211"/>
      <c r="DI157" s="211"/>
      <c r="DJ157" s="211"/>
      <c r="DK157" s="211"/>
      <c r="DL157" s="211"/>
      <c r="DM157" s="211"/>
      <c r="DN157" s="211"/>
      <c r="DQ157" s="211"/>
      <c r="DV157" s="211"/>
      <c r="DW157" s="211"/>
      <c r="DX157" s="211"/>
      <c r="DY157" s="211"/>
      <c r="DZ157" s="211"/>
      <c r="EA157" s="211"/>
      <c r="EB157" s="211"/>
      <c r="EC157" s="211"/>
      <c r="ED157" s="211"/>
      <c r="EE157" s="211"/>
      <c r="EF157" s="211"/>
      <c r="EG157" s="211"/>
    </row>
    <row r="158" spans="1:137" ht="38.25">
      <c r="A158" s="270">
        <f t="shared" si="7"/>
        <v>1</v>
      </c>
      <c r="B158" s="280">
        <f t="shared" si="8"/>
        <v>87</v>
      </c>
      <c r="C158" s="234" t="str">
        <f t="shared" si="6"/>
        <v>COLETOR87</v>
      </c>
      <c r="D158" s="271" t="s">
        <v>1</v>
      </c>
      <c r="E158" s="281">
        <v>1617</v>
      </c>
      <c r="F158" s="282" t="s">
        <v>14023</v>
      </c>
      <c r="G158" s="250" t="s">
        <v>19841</v>
      </c>
      <c r="H158" s="245" t="s">
        <v>65</v>
      </c>
      <c r="I158" s="516"/>
      <c r="J158" s="516"/>
      <c r="K158" s="516"/>
      <c r="L158" s="516"/>
      <c r="M158" s="516"/>
      <c r="N158" s="516"/>
      <c r="O158" s="278"/>
      <c r="P158" s="1684"/>
      <c r="Q158" s="295"/>
      <c r="R158" s="211"/>
      <c r="S158" s="211"/>
      <c r="T158" s="211"/>
      <c r="U158" s="211"/>
      <c r="V158" s="211"/>
      <c r="W158" s="211"/>
      <c r="X158" s="211"/>
      <c r="Y158" s="211"/>
      <c r="Z158" s="211"/>
      <c r="AA158" s="211"/>
      <c r="AB158" s="211"/>
      <c r="AC158" s="211"/>
      <c r="AD158" s="211"/>
      <c r="AE158" s="211"/>
      <c r="AF158" s="211"/>
      <c r="AG158" s="211"/>
      <c r="DE158" s="211"/>
      <c r="DF158" s="211"/>
      <c r="DG158" s="211"/>
      <c r="DH158" s="211"/>
      <c r="DI158" s="211"/>
      <c r="DJ158" s="211"/>
      <c r="DK158" s="211"/>
      <c r="DL158" s="211"/>
      <c r="DM158" s="211"/>
      <c r="DN158" s="211"/>
      <c r="DQ158" s="211"/>
      <c r="DV158" s="211"/>
      <c r="DW158" s="211"/>
      <c r="DX158" s="211"/>
      <c r="DY158" s="211"/>
      <c r="DZ158" s="211"/>
      <c r="EA158" s="211"/>
      <c r="EB158" s="211"/>
      <c r="EC158" s="211"/>
      <c r="ED158" s="211"/>
      <c r="EE158" s="211"/>
      <c r="EF158" s="211"/>
      <c r="EG158" s="211"/>
    </row>
    <row r="159" spans="1:137" ht="38.25">
      <c r="A159" s="270">
        <f t="shared" si="7"/>
        <v>1</v>
      </c>
      <c r="B159" s="280">
        <f t="shared" si="8"/>
        <v>88</v>
      </c>
      <c r="C159" s="234" t="str">
        <f t="shared" si="6"/>
        <v>COLETOR88</v>
      </c>
      <c r="D159" s="271" t="s">
        <v>13957</v>
      </c>
      <c r="E159" s="281" t="s">
        <v>14024</v>
      </c>
      <c r="F159" s="282" t="s">
        <v>14025</v>
      </c>
      <c r="G159" s="250" t="s">
        <v>14034</v>
      </c>
      <c r="H159" s="245" t="s">
        <v>65</v>
      </c>
      <c r="I159" s="516"/>
      <c r="J159" s="516"/>
      <c r="K159" s="516"/>
      <c r="L159" s="516"/>
      <c r="M159" s="516"/>
      <c r="N159" s="516"/>
      <c r="O159" s="278"/>
      <c r="P159" s="1684"/>
      <c r="Q159" s="295"/>
      <c r="R159" s="211"/>
      <c r="S159" s="211"/>
      <c r="T159" s="211"/>
      <c r="U159" s="211"/>
      <c r="V159" s="211"/>
      <c r="W159" s="211"/>
      <c r="X159" s="211"/>
      <c r="Y159" s="211"/>
      <c r="Z159" s="211"/>
      <c r="AA159" s="211"/>
      <c r="AB159" s="211"/>
      <c r="AC159" s="211"/>
      <c r="AD159" s="211"/>
      <c r="AE159" s="211"/>
      <c r="AF159" s="211"/>
      <c r="AG159" s="211"/>
      <c r="DE159" s="211"/>
      <c r="DF159" s="211"/>
      <c r="DG159" s="211"/>
      <c r="DH159" s="211"/>
      <c r="DI159" s="211"/>
      <c r="DJ159" s="211"/>
      <c r="DK159" s="211"/>
      <c r="DL159" s="211"/>
      <c r="DM159" s="211"/>
      <c r="DN159" s="211"/>
      <c r="DQ159" s="211"/>
      <c r="DV159" s="211"/>
      <c r="DW159" s="211"/>
      <c r="DX159" s="211"/>
      <c r="DY159" s="211"/>
      <c r="DZ159" s="211"/>
      <c r="EA159" s="211"/>
      <c r="EB159" s="211"/>
      <c r="EC159" s="211"/>
      <c r="ED159" s="211"/>
      <c r="EE159" s="211"/>
      <c r="EF159" s="211"/>
      <c r="EG159" s="211"/>
    </row>
    <row r="160" spans="1:137" ht="25.5">
      <c r="A160" s="270">
        <f t="shared" si="7"/>
        <v>1</v>
      </c>
      <c r="B160" s="280">
        <f t="shared" si="8"/>
        <v>89</v>
      </c>
      <c r="C160" s="234" t="str">
        <f t="shared" si="6"/>
        <v>COLETOR89</v>
      </c>
      <c r="D160" s="271" t="s">
        <v>13957</v>
      </c>
      <c r="E160" s="281" t="s">
        <v>14026</v>
      </c>
      <c r="F160" s="282" t="s">
        <v>14027</v>
      </c>
      <c r="G160" s="250" t="s">
        <v>14035</v>
      </c>
      <c r="H160" s="245" t="s">
        <v>65</v>
      </c>
      <c r="I160" s="516"/>
      <c r="J160" s="516"/>
      <c r="K160" s="516"/>
      <c r="L160" s="516"/>
      <c r="M160" s="516"/>
      <c r="N160" s="516"/>
      <c r="O160" s="278"/>
      <c r="P160" s="1684"/>
      <c r="Q160" s="295"/>
      <c r="R160" s="211"/>
      <c r="S160" s="211"/>
      <c r="T160" s="211"/>
      <c r="U160" s="211"/>
      <c r="V160" s="211"/>
      <c r="W160" s="211"/>
      <c r="X160" s="211"/>
      <c r="Y160" s="211"/>
      <c r="Z160" s="211"/>
      <c r="AA160" s="211"/>
      <c r="AB160" s="211"/>
      <c r="AC160" s="211"/>
      <c r="AD160" s="211"/>
      <c r="AE160" s="211"/>
      <c r="AF160" s="211"/>
      <c r="AG160" s="211"/>
      <c r="DE160" s="211"/>
      <c r="DF160" s="211"/>
      <c r="DG160" s="211"/>
      <c r="DH160" s="211"/>
      <c r="DI160" s="211"/>
      <c r="DJ160" s="211"/>
      <c r="DK160" s="211"/>
      <c r="DL160" s="211"/>
      <c r="DM160" s="211"/>
      <c r="DN160" s="211"/>
      <c r="DQ160" s="211"/>
      <c r="DV160" s="211"/>
      <c r="DW160" s="211"/>
      <c r="DX160" s="211"/>
      <c r="DY160" s="211"/>
      <c r="DZ160" s="211"/>
      <c r="EA160" s="211"/>
      <c r="EB160" s="211"/>
      <c r="EC160" s="211"/>
      <c r="ED160" s="211"/>
      <c r="EE160" s="211"/>
      <c r="EF160" s="211"/>
      <c r="EG160" s="211"/>
    </row>
    <row r="161" spans="1:137" ht="25.5">
      <c r="A161" s="270">
        <f t="shared" si="7"/>
        <v>1</v>
      </c>
      <c r="B161" s="280">
        <f t="shared" si="8"/>
        <v>90</v>
      </c>
      <c r="C161" s="234" t="str">
        <f t="shared" si="6"/>
        <v>COLETOR90</v>
      </c>
      <c r="D161" s="271" t="s">
        <v>13957</v>
      </c>
      <c r="E161" s="281" t="s">
        <v>14028</v>
      </c>
      <c r="F161" s="282" t="s">
        <v>14029</v>
      </c>
      <c r="G161" s="250" t="s">
        <v>14036</v>
      </c>
      <c r="H161" s="245" t="s">
        <v>65</v>
      </c>
      <c r="I161" s="516"/>
      <c r="J161" s="516"/>
      <c r="K161" s="516"/>
      <c r="L161" s="516"/>
      <c r="M161" s="516"/>
      <c r="N161" s="516"/>
      <c r="O161" s="278"/>
      <c r="P161" s="1685"/>
      <c r="Q161" s="295"/>
      <c r="R161" s="211"/>
      <c r="S161" s="211"/>
      <c r="T161" s="211"/>
      <c r="U161" s="211"/>
      <c r="V161" s="211"/>
      <c r="W161" s="211"/>
      <c r="X161" s="211"/>
      <c r="Y161" s="211"/>
      <c r="Z161" s="211"/>
      <c r="AA161" s="211"/>
      <c r="AB161" s="211"/>
      <c r="AC161" s="211"/>
      <c r="AD161" s="211"/>
      <c r="AE161" s="211"/>
      <c r="AF161" s="211"/>
      <c r="AG161" s="211"/>
      <c r="DE161" s="211"/>
      <c r="DF161" s="211"/>
      <c r="DG161" s="211"/>
      <c r="DH161" s="211"/>
      <c r="DI161" s="211"/>
      <c r="DJ161" s="211"/>
      <c r="DK161" s="211"/>
      <c r="DL161" s="211"/>
      <c r="DM161" s="211"/>
      <c r="DN161" s="211"/>
      <c r="DQ161" s="211"/>
      <c r="DV161" s="211"/>
      <c r="DW161" s="211"/>
      <c r="DX161" s="211"/>
      <c r="DY161" s="211"/>
      <c r="DZ161" s="211"/>
      <c r="EA161" s="211"/>
      <c r="EB161" s="211"/>
      <c r="EC161" s="211"/>
      <c r="ED161" s="211"/>
      <c r="EE161" s="211"/>
      <c r="EF161" s="211"/>
      <c r="EG161" s="211"/>
    </row>
    <row r="162" spans="1:137" ht="23.25" customHeight="1">
      <c r="B162" s="280"/>
      <c r="C162" s="234"/>
      <c r="D162" s="211"/>
      <c r="E162" s="211"/>
      <c r="H162" s="211"/>
      <c r="I162" s="211"/>
      <c r="J162" s="211"/>
      <c r="K162" s="211"/>
      <c r="L162" s="211"/>
      <c r="M162" s="211"/>
      <c r="N162" s="211"/>
      <c r="Q162" s="295"/>
      <c r="R162" s="211"/>
      <c r="S162" s="211"/>
      <c r="T162" s="211"/>
      <c r="U162" s="211"/>
      <c r="V162" s="211"/>
      <c r="W162" s="211"/>
      <c r="X162" s="211"/>
      <c r="Y162" s="211"/>
      <c r="Z162" s="211"/>
      <c r="AA162" s="211"/>
      <c r="AB162" s="211"/>
      <c r="AC162" s="211"/>
      <c r="AD162" s="211"/>
      <c r="AE162" s="211"/>
      <c r="AF162" s="211"/>
      <c r="AG162" s="211"/>
      <c r="DE162" s="211"/>
      <c r="DF162" s="211"/>
      <c r="DG162" s="211"/>
      <c r="DH162" s="211"/>
      <c r="DI162" s="211"/>
      <c r="DJ162" s="211"/>
      <c r="DK162" s="211"/>
      <c r="DL162" s="211"/>
      <c r="DM162" s="211"/>
      <c r="DN162" s="211"/>
      <c r="DQ162" s="211"/>
      <c r="DV162" s="211"/>
      <c r="DW162" s="211"/>
      <c r="DX162" s="211"/>
      <c r="DY162" s="211"/>
      <c r="DZ162" s="211"/>
      <c r="EA162" s="211"/>
      <c r="EB162" s="211"/>
      <c r="EC162" s="211"/>
      <c r="ED162" s="211"/>
      <c r="EE162" s="211"/>
      <c r="EF162" s="211"/>
      <c r="EG162" s="211"/>
    </row>
    <row r="163" spans="1:137" ht="18" customHeight="1">
      <c r="A163" s="211"/>
      <c r="C163" s="211"/>
      <c r="D163" s="211"/>
      <c r="E163" s="211"/>
      <c r="H163" s="211"/>
      <c r="I163" s="211"/>
      <c r="J163" s="211"/>
      <c r="K163" s="211"/>
      <c r="L163" s="211"/>
      <c r="M163" s="211"/>
      <c r="N163" s="211"/>
      <c r="Q163" s="295"/>
      <c r="R163" s="211"/>
      <c r="S163" s="211"/>
      <c r="T163" s="211"/>
      <c r="U163" s="211"/>
      <c r="V163" s="211"/>
      <c r="W163" s="211"/>
      <c r="X163" s="211"/>
      <c r="Y163" s="211"/>
      <c r="Z163" s="211"/>
      <c r="AA163" s="211"/>
      <c r="AB163" s="211"/>
      <c r="AC163" s="211"/>
      <c r="AD163" s="211"/>
      <c r="AE163" s="211"/>
      <c r="AF163" s="211"/>
      <c r="AG163" s="211"/>
      <c r="DE163" s="211"/>
      <c r="DF163" s="211"/>
      <c r="DG163" s="211"/>
      <c r="DH163" s="211"/>
      <c r="DI163" s="211"/>
      <c r="DJ163" s="211"/>
      <c r="DK163" s="211"/>
      <c r="DL163" s="211"/>
      <c r="DM163" s="211"/>
      <c r="DN163" s="211"/>
      <c r="DQ163" s="211"/>
      <c r="DV163" s="211"/>
      <c r="DW163" s="211"/>
      <c r="DX163" s="211"/>
      <c r="DY163" s="211"/>
      <c r="DZ163" s="211"/>
      <c r="EA163" s="211"/>
      <c r="EB163" s="211"/>
      <c r="EC163" s="211"/>
      <c r="ED163" s="211"/>
      <c r="EE163" s="211"/>
      <c r="EF163" s="211"/>
      <c r="EG163" s="211"/>
    </row>
    <row r="164" spans="1:137" ht="18" customHeight="1">
      <c r="A164" s="211"/>
      <c r="C164" s="211"/>
      <c r="D164" s="211"/>
      <c r="E164" s="211"/>
      <c r="H164" s="211"/>
      <c r="I164" s="211"/>
      <c r="J164" s="211"/>
      <c r="K164" s="211"/>
      <c r="L164" s="211"/>
      <c r="M164" s="211"/>
      <c r="N164" s="211"/>
      <c r="Q164" s="295"/>
      <c r="R164" s="211"/>
      <c r="S164" s="211"/>
      <c r="T164" s="211"/>
      <c r="U164" s="211"/>
      <c r="V164" s="211"/>
      <c r="W164" s="211"/>
      <c r="X164" s="211"/>
      <c r="Y164" s="211"/>
      <c r="Z164" s="211"/>
      <c r="AA164" s="211"/>
      <c r="AB164" s="211"/>
      <c r="AC164" s="211"/>
      <c r="AD164" s="211"/>
      <c r="AE164" s="211"/>
      <c r="AF164" s="211"/>
      <c r="AG164" s="211"/>
      <c r="DE164" s="211"/>
      <c r="DF164" s="211"/>
      <c r="DG164" s="211"/>
      <c r="DH164" s="211"/>
      <c r="DI164" s="211"/>
      <c r="DJ164" s="211"/>
      <c r="DK164" s="211"/>
      <c r="DL164" s="211"/>
      <c r="DM164" s="211"/>
      <c r="DN164" s="211"/>
      <c r="DQ164" s="211"/>
      <c r="DV164" s="211"/>
      <c r="DW164" s="211"/>
      <c r="DX164" s="211"/>
      <c r="DY164" s="211"/>
      <c r="DZ164" s="211"/>
      <c r="EA164" s="211"/>
      <c r="EB164" s="211"/>
      <c r="EC164" s="211"/>
      <c r="ED164" s="211"/>
      <c r="EE164" s="211"/>
      <c r="EF164" s="211"/>
      <c r="EG164" s="211"/>
    </row>
    <row r="165" spans="1:137" ht="18" customHeight="1">
      <c r="A165" s="211"/>
      <c r="C165" s="211"/>
      <c r="D165" s="211"/>
      <c r="E165" s="211"/>
      <c r="H165" s="211"/>
      <c r="I165" s="211"/>
      <c r="J165" s="211"/>
      <c r="K165" s="211"/>
      <c r="L165" s="211"/>
      <c r="M165" s="211"/>
      <c r="N165" s="211"/>
      <c r="Q165" s="295"/>
      <c r="R165" s="211"/>
      <c r="S165" s="211"/>
      <c r="T165" s="211"/>
      <c r="U165" s="211"/>
      <c r="V165" s="211"/>
      <c r="W165" s="211"/>
      <c r="X165" s="211"/>
      <c r="Y165" s="211"/>
      <c r="Z165" s="211"/>
      <c r="AA165" s="211"/>
      <c r="AB165" s="211"/>
      <c r="AC165" s="211"/>
      <c r="AD165" s="211"/>
      <c r="AE165" s="211"/>
      <c r="AF165" s="211"/>
      <c r="AG165" s="211"/>
      <c r="DE165" s="211"/>
      <c r="DF165" s="211"/>
      <c r="DG165" s="211"/>
      <c r="DH165" s="211"/>
      <c r="DI165" s="211"/>
      <c r="DJ165" s="211"/>
      <c r="DK165" s="211"/>
      <c r="DL165" s="211"/>
      <c r="DM165" s="211"/>
      <c r="DN165" s="211"/>
      <c r="DQ165" s="211"/>
      <c r="DV165" s="211"/>
      <c r="DW165" s="211"/>
      <c r="DX165" s="211"/>
      <c r="DY165" s="211"/>
      <c r="DZ165" s="211"/>
      <c r="EA165" s="211"/>
      <c r="EB165" s="211"/>
      <c r="EC165" s="211"/>
      <c r="ED165" s="211"/>
      <c r="EE165" s="211"/>
      <c r="EF165" s="211"/>
      <c r="EG165" s="211"/>
    </row>
    <row r="166" spans="1:137" ht="18" customHeight="1">
      <c r="A166" s="211"/>
      <c r="C166" s="211"/>
      <c r="D166" s="211"/>
      <c r="E166" s="211"/>
      <c r="H166" s="211"/>
      <c r="I166" s="211"/>
      <c r="J166" s="211"/>
      <c r="K166" s="211"/>
      <c r="L166" s="211"/>
      <c r="M166" s="211"/>
      <c r="N166" s="211"/>
      <c r="Q166" s="295"/>
      <c r="R166" s="211"/>
      <c r="S166" s="211"/>
      <c r="T166" s="211"/>
      <c r="U166" s="211"/>
      <c r="V166" s="211"/>
      <c r="W166" s="211"/>
      <c r="X166" s="211"/>
      <c r="Y166" s="211"/>
      <c r="Z166" s="211"/>
      <c r="AA166" s="211"/>
      <c r="AB166" s="211"/>
      <c r="AC166" s="211"/>
      <c r="AD166" s="211"/>
      <c r="AE166" s="211"/>
      <c r="AF166" s="211"/>
      <c r="AG166" s="211"/>
      <c r="DE166" s="211"/>
      <c r="DF166" s="211"/>
      <c r="DG166" s="211"/>
      <c r="DH166" s="211"/>
      <c r="DI166" s="211"/>
      <c r="DJ166" s="211"/>
      <c r="DK166" s="211"/>
      <c r="DL166" s="211"/>
      <c r="DM166" s="211"/>
      <c r="DN166" s="211"/>
      <c r="DQ166" s="211"/>
      <c r="DV166" s="211"/>
      <c r="DW166" s="211"/>
      <c r="DX166" s="211"/>
      <c r="DY166" s="211"/>
      <c r="DZ166" s="211"/>
      <c r="EA166" s="211"/>
      <c r="EB166" s="211"/>
      <c r="EC166" s="211"/>
      <c r="ED166" s="211"/>
      <c r="EE166" s="211"/>
      <c r="EF166" s="211"/>
      <c r="EG166" s="211"/>
    </row>
    <row r="167" spans="1:137" ht="18" customHeight="1">
      <c r="A167" s="211"/>
      <c r="C167" s="211"/>
      <c r="D167" s="211"/>
      <c r="E167" s="211"/>
      <c r="H167" s="211"/>
      <c r="I167" s="211"/>
      <c r="J167" s="211"/>
      <c r="K167" s="211"/>
      <c r="L167" s="211"/>
      <c r="M167" s="211"/>
      <c r="N167" s="211"/>
      <c r="Q167" s="295"/>
      <c r="R167" s="211"/>
      <c r="S167" s="211"/>
      <c r="T167" s="211"/>
      <c r="U167" s="211"/>
      <c r="V167" s="211"/>
      <c r="W167" s="211"/>
      <c r="X167" s="211"/>
      <c r="Y167" s="211"/>
      <c r="Z167" s="211"/>
      <c r="AA167" s="211"/>
      <c r="AB167" s="211"/>
      <c r="AC167" s="211"/>
      <c r="AD167" s="211"/>
      <c r="AE167" s="211"/>
      <c r="AF167" s="211"/>
      <c r="AG167" s="211"/>
      <c r="DE167" s="211"/>
      <c r="DF167" s="211"/>
      <c r="DG167" s="211"/>
      <c r="DH167" s="211"/>
      <c r="DI167" s="211"/>
      <c r="DJ167" s="211"/>
      <c r="DK167" s="211"/>
      <c r="DL167" s="211"/>
      <c r="DM167" s="211"/>
      <c r="DN167" s="211"/>
      <c r="DQ167" s="211"/>
      <c r="DV167" s="211"/>
      <c r="DW167" s="211"/>
      <c r="DX167" s="211"/>
      <c r="DY167" s="211"/>
      <c r="DZ167" s="211"/>
      <c r="EA167" s="211"/>
      <c r="EB167" s="211"/>
      <c r="EC167" s="211"/>
      <c r="ED167" s="211"/>
      <c r="EE167" s="211"/>
      <c r="EF167" s="211"/>
      <c r="EG167" s="211"/>
    </row>
    <row r="168" spans="1:137" ht="18" customHeight="1">
      <c r="A168" s="211"/>
      <c r="C168" s="211"/>
      <c r="D168" s="211"/>
      <c r="E168" s="211"/>
      <c r="H168" s="211"/>
      <c r="I168" s="211"/>
      <c r="J168" s="211"/>
      <c r="K168" s="211"/>
      <c r="L168" s="211"/>
      <c r="M168" s="211"/>
      <c r="N168" s="211"/>
      <c r="Q168" s="295"/>
      <c r="R168" s="211"/>
      <c r="S168" s="211"/>
      <c r="T168" s="211"/>
      <c r="U168" s="211"/>
      <c r="V168" s="211"/>
      <c r="W168" s="211"/>
      <c r="X168" s="211"/>
      <c r="Y168" s="211"/>
      <c r="Z168" s="211"/>
      <c r="AA168" s="211"/>
      <c r="AB168" s="211"/>
      <c r="AC168" s="211"/>
      <c r="AD168" s="211"/>
      <c r="AE168" s="211"/>
      <c r="AF168" s="211"/>
      <c r="AG168" s="211"/>
      <c r="DE168" s="211"/>
      <c r="DF168" s="211"/>
      <c r="DG168" s="211"/>
      <c r="DH168" s="211"/>
      <c r="DI168" s="211"/>
      <c r="DJ168" s="211"/>
      <c r="DK168" s="211"/>
      <c r="DL168" s="211"/>
      <c r="DM168" s="211"/>
      <c r="DN168" s="211"/>
      <c r="DQ168" s="211"/>
      <c r="DV168" s="211"/>
      <c r="DW168" s="211"/>
      <c r="DX168" s="211"/>
      <c r="DY168" s="211"/>
      <c r="DZ168" s="211"/>
      <c r="EA168" s="211"/>
      <c r="EB168" s="211"/>
      <c r="EC168" s="211"/>
      <c r="ED168" s="211"/>
      <c r="EE168" s="211"/>
      <c r="EF168" s="211"/>
      <c r="EG168" s="211"/>
    </row>
    <row r="169" spans="1:137" ht="18" customHeight="1">
      <c r="A169" s="211"/>
      <c r="C169" s="211"/>
      <c r="D169" s="211"/>
      <c r="E169" s="211"/>
      <c r="H169" s="211"/>
      <c r="I169" s="211"/>
      <c r="J169" s="211"/>
      <c r="K169" s="211"/>
      <c r="L169" s="211"/>
      <c r="M169" s="211"/>
      <c r="N169" s="211"/>
      <c r="Q169" s="295"/>
      <c r="R169" s="211"/>
      <c r="S169" s="211"/>
      <c r="T169" s="211"/>
      <c r="U169" s="211"/>
      <c r="V169" s="211"/>
      <c r="W169" s="211"/>
      <c r="X169" s="211"/>
      <c r="Y169" s="211"/>
      <c r="Z169" s="211"/>
      <c r="AA169" s="211"/>
      <c r="AB169" s="211"/>
      <c r="AC169" s="211"/>
      <c r="AD169" s="211"/>
      <c r="AE169" s="211"/>
      <c r="AF169" s="211"/>
      <c r="AG169" s="211"/>
      <c r="DE169" s="211"/>
      <c r="DF169" s="211"/>
      <c r="DG169" s="211"/>
      <c r="DH169" s="211"/>
      <c r="DI169" s="211"/>
      <c r="DJ169" s="211"/>
      <c r="DK169" s="211"/>
      <c r="DL169" s="211"/>
      <c r="DM169" s="211"/>
      <c r="DN169" s="211"/>
      <c r="DQ169" s="211"/>
      <c r="DV169" s="211"/>
      <c r="DW169" s="211"/>
      <c r="DX169" s="211"/>
      <c r="DY169" s="211"/>
      <c r="DZ169" s="211"/>
      <c r="EA169" s="211"/>
      <c r="EB169" s="211"/>
      <c r="EC169" s="211"/>
      <c r="ED169" s="211"/>
      <c r="EE169" s="211"/>
      <c r="EF169" s="211"/>
      <c r="EG169" s="211"/>
    </row>
    <row r="170" spans="1:137" ht="18" customHeight="1">
      <c r="A170" s="211"/>
      <c r="C170" s="211"/>
      <c r="D170" s="211"/>
      <c r="E170" s="211"/>
      <c r="H170" s="211"/>
      <c r="I170" s="211"/>
      <c r="J170" s="211"/>
      <c r="K170" s="211"/>
      <c r="L170" s="211"/>
      <c r="M170" s="211"/>
      <c r="N170" s="211"/>
      <c r="Q170" s="295"/>
      <c r="R170" s="211"/>
      <c r="S170" s="211"/>
      <c r="T170" s="211"/>
      <c r="U170" s="211"/>
      <c r="V170" s="211"/>
      <c r="W170" s="211"/>
      <c r="X170" s="211"/>
      <c r="Y170" s="211"/>
      <c r="Z170" s="211"/>
      <c r="AA170" s="211"/>
      <c r="AB170" s="211"/>
      <c r="AC170" s="211"/>
      <c r="AD170" s="211"/>
      <c r="AE170" s="211"/>
      <c r="AF170" s="211"/>
      <c r="AG170" s="211"/>
      <c r="DE170" s="211"/>
      <c r="DF170" s="211"/>
      <c r="DG170" s="211"/>
      <c r="DH170" s="211"/>
      <c r="DI170" s="211"/>
      <c r="DJ170" s="211"/>
      <c r="DK170" s="211"/>
      <c r="DL170" s="211"/>
      <c r="DM170" s="211"/>
      <c r="DN170" s="211"/>
      <c r="DQ170" s="211"/>
      <c r="DV170" s="211"/>
      <c r="DW170" s="211"/>
      <c r="DX170" s="211"/>
      <c r="DY170" s="211"/>
      <c r="DZ170" s="211"/>
      <c r="EA170" s="211"/>
      <c r="EB170" s="211"/>
      <c r="EC170" s="211"/>
      <c r="ED170" s="211"/>
      <c r="EE170" s="211"/>
      <c r="EF170" s="211"/>
      <c r="EG170" s="211"/>
    </row>
    <row r="171" spans="1:137" ht="18" customHeight="1">
      <c r="A171" s="211"/>
      <c r="C171" s="211"/>
      <c r="D171" s="211"/>
      <c r="E171" s="211"/>
      <c r="H171" s="211"/>
      <c r="I171" s="211"/>
      <c r="J171" s="211"/>
      <c r="K171" s="211"/>
      <c r="L171" s="211"/>
      <c r="M171" s="211"/>
      <c r="N171" s="211"/>
      <c r="Q171" s="295"/>
      <c r="R171" s="211"/>
      <c r="S171" s="211"/>
      <c r="T171" s="211"/>
      <c r="U171" s="211"/>
      <c r="V171" s="211"/>
      <c r="W171" s="211"/>
      <c r="X171" s="211"/>
      <c r="Y171" s="211"/>
      <c r="Z171" s="211"/>
      <c r="AA171" s="211"/>
      <c r="AB171" s="211"/>
      <c r="AC171" s="211"/>
      <c r="AD171" s="211"/>
      <c r="AE171" s="211"/>
      <c r="AF171" s="211"/>
      <c r="AG171" s="211"/>
      <c r="DE171" s="211"/>
      <c r="DF171" s="211"/>
      <c r="DG171" s="211"/>
      <c r="DH171" s="211"/>
      <c r="DI171" s="211"/>
      <c r="DJ171" s="211"/>
      <c r="DK171" s="211"/>
      <c r="DL171" s="211"/>
      <c r="DM171" s="211"/>
      <c r="DN171" s="211"/>
      <c r="DQ171" s="211"/>
      <c r="DV171" s="211"/>
      <c r="DW171" s="211"/>
      <c r="DX171" s="211"/>
      <c r="DY171" s="211"/>
      <c r="DZ171" s="211"/>
      <c r="EA171" s="211"/>
      <c r="EB171" s="211"/>
      <c r="EC171" s="211"/>
      <c r="ED171" s="211"/>
      <c r="EE171" s="211"/>
      <c r="EF171" s="211"/>
      <c r="EG171" s="211"/>
    </row>
    <row r="172" spans="1:137" ht="18" customHeight="1">
      <c r="A172" s="211"/>
      <c r="C172" s="211"/>
      <c r="D172" s="211"/>
      <c r="E172" s="211"/>
      <c r="H172" s="211"/>
      <c r="I172" s="211"/>
      <c r="J172" s="211"/>
      <c r="K172" s="211"/>
      <c r="L172" s="211"/>
      <c r="M172" s="211"/>
      <c r="N172" s="211"/>
      <c r="R172" s="211"/>
      <c r="S172" s="211"/>
      <c r="T172" s="211"/>
      <c r="U172" s="211"/>
      <c r="V172" s="211"/>
      <c r="W172" s="211"/>
      <c r="X172" s="211"/>
      <c r="Y172" s="211"/>
      <c r="Z172" s="211"/>
      <c r="AA172" s="211"/>
      <c r="AB172" s="211"/>
      <c r="AC172" s="211"/>
      <c r="AD172" s="211"/>
      <c r="AE172" s="211"/>
      <c r="AF172" s="211"/>
      <c r="AG172" s="211"/>
      <c r="DE172" s="211"/>
      <c r="DF172" s="211"/>
      <c r="DG172" s="211"/>
      <c r="DH172" s="211"/>
      <c r="DI172" s="211"/>
      <c r="DJ172" s="211"/>
      <c r="DK172" s="211"/>
      <c r="DL172" s="211"/>
      <c r="DM172" s="211"/>
      <c r="DN172" s="211"/>
      <c r="DQ172" s="211"/>
      <c r="DV172" s="211"/>
      <c r="DW172" s="211"/>
      <c r="DX172" s="211"/>
      <c r="DY172" s="211"/>
      <c r="DZ172" s="211"/>
      <c r="EA172" s="211"/>
      <c r="EB172" s="211"/>
      <c r="EC172" s="211"/>
      <c r="ED172" s="211"/>
      <c r="EE172" s="211"/>
      <c r="EF172" s="211"/>
      <c r="EG172" s="211"/>
    </row>
    <row r="173" spans="1:137" ht="18" customHeight="1">
      <c r="A173" s="211"/>
      <c r="C173" s="211"/>
      <c r="D173" s="211"/>
      <c r="E173" s="211"/>
      <c r="H173" s="211"/>
      <c r="I173" s="211"/>
      <c r="J173" s="211"/>
      <c r="K173" s="211"/>
      <c r="L173" s="211"/>
      <c r="M173" s="211"/>
      <c r="N173" s="211"/>
      <c r="R173" s="211"/>
      <c r="S173" s="211"/>
      <c r="T173" s="211"/>
      <c r="U173" s="211"/>
      <c r="V173" s="211"/>
      <c r="W173" s="211"/>
      <c r="X173" s="211"/>
      <c r="Y173" s="211"/>
      <c r="Z173" s="211"/>
      <c r="AA173" s="211"/>
      <c r="AB173" s="211"/>
      <c r="AC173" s="211"/>
      <c r="AD173" s="211"/>
      <c r="AE173" s="211"/>
      <c r="AF173" s="211"/>
      <c r="AG173" s="211"/>
      <c r="DE173" s="211"/>
      <c r="DF173" s="211"/>
      <c r="DG173" s="211"/>
      <c r="DH173" s="211"/>
      <c r="DI173" s="211"/>
      <c r="DJ173" s="211"/>
      <c r="DK173" s="211"/>
      <c r="DL173" s="211"/>
      <c r="DM173" s="211"/>
      <c r="DN173" s="211"/>
      <c r="DQ173" s="211"/>
      <c r="DV173" s="211"/>
      <c r="DW173" s="211"/>
      <c r="DX173" s="211"/>
      <c r="DY173" s="211"/>
      <c r="DZ173" s="211"/>
      <c r="EA173" s="211"/>
      <c r="EB173" s="211"/>
      <c r="EC173" s="211"/>
      <c r="ED173" s="211"/>
      <c r="EE173" s="211"/>
      <c r="EF173" s="211"/>
      <c r="EG173" s="211"/>
    </row>
    <row r="174" spans="1:137" ht="18" customHeight="1">
      <c r="A174" s="211"/>
      <c r="C174" s="211"/>
      <c r="D174" s="211"/>
      <c r="E174" s="211"/>
      <c r="H174" s="211"/>
      <c r="I174" s="211"/>
      <c r="J174" s="211"/>
      <c r="K174" s="211"/>
      <c r="L174" s="211"/>
      <c r="M174" s="211"/>
      <c r="N174" s="211"/>
      <c r="R174" s="211"/>
      <c r="S174" s="211"/>
      <c r="T174" s="211"/>
      <c r="U174" s="211"/>
      <c r="V174" s="211"/>
      <c r="W174" s="211"/>
      <c r="X174" s="211"/>
      <c r="Y174" s="211"/>
      <c r="Z174" s="211"/>
      <c r="AA174" s="211"/>
      <c r="AB174" s="211"/>
      <c r="AC174" s="211"/>
      <c r="AD174" s="211"/>
      <c r="AE174" s="211"/>
      <c r="AF174" s="211"/>
      <c r="AG174" s="211"/>
      <c r="DE174" s="211"/>
      <c r="DF174" s="211"/>
      <c r="DG174" s="211"/>
      <c r="DH174" s="211"/>
      <c r="DI174" s="211"/>
      <c r="DJ174" s="211"/>
      <c r="DK174" s="211"/>
      <c r="DL174" s="211"/>
      <c r="DM174" s="211"/>
      <c r="DN174" s="211"/>
      <c r="DQ174" s="211"/>
      <c r="DV174" s="211"/>
      <c r="DW174" s="211"/>
      <c r="DX174" s="211"/>
      <c r="DY174" s="211"/>
      <c r="DZ174" s="211"/>
      <c r="EA174" s="211"/>
      <c r="EB174" s="211"/>
      <c r="EC174" s="211"/>
      <c r="ED174" s="211"/>
      <c r="EE174" s="211"/>
      <c r="EF174" s="211"/>
      <c r="EG174" s="211"/>
    </row>
    <row r="175" spans="1:137" ht="18" customHeight="1">
      <c r="A175" s="211"/>
      <c r="C175" s="211"/>
      <c r="D175" s="211"/>
      <c r="E175" s="211"/>
      <c r="H175" s="211"/>
      <c r="I175" s="211"/>
      <c r="J175" s="211"/>
      <c r="K175" s="211"/>
      <c r="L175" s="211"/>
      <c r="M175" s="211"/>
      <c r="N175" s="211"/>
      <c r="R175" s="211"/>
      <c r="S175" s="211"/>
      <c r="T175" s="211"/>
      <c r="U175" s="211"/>
      <c r="V175" s="211"/>
      <c r="W175" s="211"/>
      <c r="X175" s="211"/>
      <c r="Y175" s="211"/>
      <c r="Z175" s="211"/>
      <c r="AA175" s="211"/>
      <c r="AB175" s="211"/>
      <c r="AC175" s="211"/>
      <c r="AD175" s="211"/>
      <c r="AE175" s="211"/>
      <c r="AF175" s="211"/>
      <c r="AG175" s="211"/>
      <c r="DE175" s="211"/>
      <c r="DF175" s="211"/>
      <c r="DG175" s="211"/>
      <c r="DH175" s="211"/>
      <c r="DI175" s="211"/>
      <c r="DJ175" s="211"/>
      <c r="DK175" s="211"/>
      <c r="DL175" s="211"/>
      <c r="DM175" s="211"/>
      <c r="DN175" s="211"/>
      <c r="DQ175" s="211"/>
      <c r="DV175" s="211"/>
      <c r="DW175" s="211"/>
      <c r="DX175" s="211"/>
      <c r="DY175" s="211"/>
      <c r="DZ175" s="211"/>
      <c r="EA175" s="211"/>
      <c r="EB175" s="211"/>
      <c r="EC175" s="211"/>
      <c r="ED175" s="211"/>
      <c r="EE175" s="211"/>
      <c r="EF175" s="211"/>
      <c r="EG175" s="211"/>
    </row>
    <row r="176" spans="1:137" ht="18" customHeight="1">
      <c r="A176" s="211"/>
      <c r="C176" s="211"/>
      <c r="D176" s="211"/>
      <c r="E176" s="211"/>
      <c r="H176" s="211"/>
      <c r="I176" s="211"/>
      <c r="J176" s="211"/>
      <c r="K176" s="211"/>
      <c r="L176" s="211"/>
      <c r="M176" s="211"/>
      <c r="N176" s="211"/>
      <c r="R176" s="211"/>
      <c r="S176" s="211"/>
      <c r="T176" s="211"/>
      <c r="U176" s="211"/>
      <c r="V176" s="211"/>
      <c r="W176" s="211"/>
      <c r="X176" s="211"/>
      <c r="Y176" s="211"/>
      <c r="Z176" s="211"/>
      <c r="AA176" s="211"/>
      <c r="AB176" s="211"/>
      <c r="AC176" s="211"/>
      <c r="AD176" s="211"/>
      <c r="AE176" s="211"/>
      <c r="AF176" s="211"/>
      <c r="AG176" s="211"/>
      <c r="DE176" s="211"/>
      <c r="DF176" s="211"/>
      <c r="DG176" s="211"/>
      <c r="DH176" s="211"/>
      <c r="DI176" s="211"/>
      <c r="DJ176" s="211"/>
      <c r="DK176" s="211"/>
      <c r="DL176" s="211"/>
      <c r="DM176" s="211"/>
      <c r="DN176" s="211"/>
      <c r="DQ176" s="211"/>
      <c r="DV176" s="211"/>
      <c r="DW176" s="211"/>
      <c r="DX176" s="211"/>
      <c r="DY176" s="211"/>
      <c r="DZ176" s="211"/>
      <c r="EA176" s="211"/>
      <c r="EB176" s="211"/>
      <c r="EC176" s="211"/>
      <c r="ED176" s="211"/>
      <c r="EE176" s="211"/>
      <c r="EF176" s="211"/>
      <c r="EG176" s="211"/>
    </row>
    <row r="177" spans="1:137" ht="18" customHeight="1">
      <c r="A177" s="211"/>
      <c r="C177" s="211"/>
      <c r="D177" s="211"/>
      <c r="E177" s="211"/>
      <c r="H177" s="211"/>
      <c r="I177" s="211"/>
      <c r="J177" s="211"/>
      <c r="K177" s="211"/>
      <c r="L177" s="211"/>
      <c r="M177" s="211"/>
      <c r="N177" s="211"/>
      <c r="Q177" s="211"/>
      <c r="R177" s="211"/>
      <c r="S177" s="211"/>
      <c r="T177" s="211"/>
      <c r="U177" s="211"/>
      <c r="V177" s="211"/>
      <c r="W177" s="211"/>
      <c r="X177" s="211"/>
      <c r="Y177" s="211"/>
      <c r="Z177" s="211"/>
      <c r="AA177" s="211"/>
      <c r="AB177" s="211"/>
      <c r="AC177" s="211"/>
      <c r="AD177" s="211"/>
      <c r="AE177" s="211"/>
      <c r="AF177" s="211"/>
      <c r="AG177" s="211"/>
      <c r="DE177" s="211"/>
      <c r="DF177" s="211"/>
      <c r="DG177" s="211"/>
      <c r="DH177" s="211"/>
      <c r="DI177" s="211"/>
      <c r="DJ177" s="211"/>
      <c r="DK177" s="211"/>
      <c r="DL177" s="211"/>
      <c r="DM177" s="211"/>
      <c r="DN177" s="211"/>
      <c r="DQ177" s="211"/>
      <c r="DV177" s="211"/>
      <c r="DW177" s="211"/>
      <c r="DX177" s="211"/>
      <c r="DY177" s="211"/>
      <c r="DZ177" s="211"/>
      <c r="EA177" s="211"/>
      <c r="EB177" s="211"/>
      <c r="EC177" s="211"/>
      <c r="ED177" s="211"/>
      <c r="EE177" s="211"/>
      <c r="EF177" s="211"/>
      <c r="EG177" s="211"/>
    </row>
    <row r="178" spans="1:137" ht="18" customHeight="1">
      <c r="A178" s="211"/>
      <c r="C178" s="211"/>
      <c r="D178" s="211"/>
      <c r="E178" s="211"/>
      <c r="H178" s="211"/>
      <c r="I178" s="211"/>
      <c r="J178" s="211"/>
      <c r="K178" s="211"/>
      <c r="L178" s="211"/>
      <c r="M178" s="211"/>
      <c r="N178" s="211"/>
      <c r="Q178" s="211"/>
      <c r="R178" s="211"/>
      <c r="S178" s="211"/>
      <c r="T178" s="211"/>
      <c r="U178" s="211"/>
      <c r="V178" s="211"/>
      <c r="W178" s="211"/>
      <c r="X178" s="211"/>
      <c r="Y178" s="211"/>
      <c r="Z178" s="211"/>
      <c r="AA178" s="211"/>
      <c r="AB178" s="211"/>
      <c r="AC178" s="211"/>
      <c r="AD178" s="211"/>
      <c r="AE178" s="211"/>
      <c r="AF178" s="211"/>
      <c r="AG178" s="211"/>
      <c r="DE178" s="211"/>
      <c r="DF178" s="211"/>
      <c r="DG178" s="211"/>
      <c r="DH178" s="211"/>
      <c r="DI178" s="211"/>
      <c r="DJ178" s="211"/>
      <c r="DK178" s="211"/>
      <c r="DL178" s="211"/>
      <c r="DM178" s="211"/>
      <c r="DN178" s="211"/>
      <c r="DQ178" s="211"/>
      <c r="DV178" s="211"/>
      <c r="DW178" s="211"/>
      <c r="DX178" s="211"/>
      <c r="DY178" s="211"/>
      <c r="DZ178" s="211"/>
      <c r="EA178" s="211"/>
      <c r="EB178" s="211"/>
      <c r="EC178" s="211"/>
      <c r="ED178" s="211"/>
      <c r="EE178" s="211"/>
      <c r="EF178" s="211"/>
      <c r="EG178" s="211"/>
    </row>
    <row r="179" spans="1:137" ht="18" customHeight="1">
      <c r="A179" s="211"/>
      <c r="C179" s="211"/>
      <c r="D179" s="211"/>
      <c r="E179" s="211"/>
      <c r="H179" s="211"/>
      <c r="I179" s="211"/>
      <c r="J179" s="211"/>
      <c r="K179" s="211"/>
      <c r="L179" s="211"/>
      <c r="M179" s="211"/>
      <c r="N179" s="211"/>
      <c r="Q179" s="211"/>
      <c r="R179" s="211"/>
      <c r="S179" s="211"/>
      <c r="T179" s="211"/>
      <c r="U179" s="211"/>
      <c r="V179" s="211"/>
      <c r="W179" s="211"/>
      <c r="X179" s="211"/>
      <c r="Y179" s="211"/>
      <c r="Z179" s="211"/>
      <c r="AA179" s="211"/>
      <c r="AB179" s="211"/>
      <c r="AC179" s="211"/>
      <c r="AD179" s="211"/>
      <c r="AE179" s="211"/>
      <c r="AF179" s="211"/>
      <c r="AG179" s="211"/>
      <c r="DE179" s="211"/>
      <c r="DF179" s="211"/>
      <c r="DG179" s="211"/>
      <c r="DH179" s="211"/>
      <c r="DI179" s="211"/>
      <c r="DJ179" s="211"/>
      <c r="DK179" s="211"/>
      <c r="DL179" s="211"/>
      <c r="DM179" s="211"/>
      <c r="DN179" s="211"/>
      <c r="DQ179" s="211"/>
      <c r="DV179" s="211"/>
      <c r="DW179" s="211"/>
      <c r="DX179" s="211"/>
      <c r="DY179" s="211"/>
      <c r="DZ179" s="211"/>
      <c r="EA179" s="211"/>
      <c r="EB179" s="211"/>
      <c r="EC179" s="211"/>
      <c r="ED179" s="211"/>
      <c r="EE179" s="211"/>
      <c r="EF179" s="211"/>
      <c r="EG179" s="211"/>
    </row>
    <row r="180" spans="1:137" ht="18" customHeight="1">
      <c r="A180" s="211"/>
      <c r="C180" s="211"/>
      <c r="D180" s="211"/>
      <c r="E180" s="211"/>
      <c r="H180" s="211"/>
      <c r="I180" s="211"/>
      <c r="J180" s="211"/>
      <c r="K180" s="211"/>
      <c r="L180" s="211"/>
      <c r="M180" s="211"/>
      <c r="N180" s="211"/>
      <c r="Q180" s="211"/>
      <c r="R180" s="211"/>
      <c r="S180" s="211"/>
      <c r="T180" s="211"/>
      <c r="U180" s="211"/>
      <c r="V180" s="211"/>
      <c r="W180" s="211"/>
      <c r="X180" s="211"/>
      <c r="Y180" s="211"/>
      <c r="Z180" s="211"/>
      <c r="AA180" s="211"/>
      <c r="AB180" s="211"/>
      <c r="AC180" s="211"/>
      <c r="AD180" s="211"/>
      <c r="AE180" s="211"/>
      <c r="AF180" s="211"/>
      <c r="AG180" s="211"/>
      <c r="DE180" s="211"/>
      <c r="DF180" s="211"/>
      <c r="DG180" s="211"/>
      <c r="DH180" s="211"/>
      <c r="DI180" s="211"/>
      <c r="DJ180" s="211"/>
      <c r="DK180" s="211"/>
      <c r="DL180" s="211"/>
      <c r="DM180" s="211"/>
      <c r="DN180" s="211"/>
      <c r="DQ180" s="211"/>
      <c r="DV180" s="211"/>
      <c r="DW180" s="211"/>
      <c r="DX180" s="211"/>
      <c r="DY180" s="211"/>
      <c r="DZ180" s="211"/>
      <c r="EA180" s="211"/>
      <c r="EB180" s="211"/>
      <c r="EC180" s="211"/>
      <c r="ED180" s="211"/>
      <c r="EE180" s="211"/>
      <c r="EF180" s="211"/>
      <c r="EG180" s="211"/>
    </row>
    <row r="181" spans="1:137" ht="18" customHeight="1">
      <c r="A181" s="211"/>
      <c r="C181" s="211"/>
      <c r="D181" s="211"/>
      <c r="E181" s="211"/>
      <c r="H181" s="211"/>
      <c r="I181" s="211"/>
      <c r="J181" s="211"/>
      <c r="K181" s="211"/>
      <c r="L181" s="211"/>
      <c r="M181" s="211"/>
      <c r="N181" s="211"/>
      <c r="Q181" s="211"/>
      <c r="R181" s="211"/>
      <c r="S181" s="211"/>
      <c r="T181" s="211"/>
      <c r="U181" s="211"/>
      <c r="V181" s="211"/>
      <c r="W181" s="211"/>
      <c r="X181" s="211"/>
      <c r="Y181" s="211"/>
      <c r="Z181" s="211"/>
      <c r="AA181" s="211"/>
      <c r="AB181" s="211"/>
      <c r="AC181" s="211"/>
      <c r="AD181" s="211"/>
      <c r="AE181" s="211"/>
      <c r="AF181" s="211"/>
      <c r="AG181" s="211"/>
      <c r="DE181" s="211"/>
      <c r="DF181" s="211"/>
      <c r="DG181" s="211"/>
      <c r="DH181" s="211"/>
      <c r="DI181" s="211"/>
      <c r="DJ181" s="211"/>
      <c r="DK181" s="211"/>
      <c r="DL181" s="211"/>
      <c r="DM181" s="211"/>
      <c r="DN181" s="211"/>
      <c r="DQ181" s="211"/>
      <c r="DV181" s="211"/>
      <c r="DW181" s="211"/>
      <c r="DX181" s="211"/>
      <c r="DY181" s="211"/>
      <c r="DZ181" s="211"/>
      <c r="EA181" s="211"/>
      <c r="EB181" s="211"/>
      <c r="EC181" s="211"/>
      <c r="ED181" s="211"/>
      <c r="EE181" s="211"/>
      <c r="EF181" s="211"/>
      <c r="EG181" s="211"/>
    </row>
    <row r="182" spans="1:137" ht="18" customHeight="1">
      <c r="A182" s="211"/>
      <c r="C182" s="211"/>
      <c r="D182" s="211"/>
      <c r="E182" s="211"/>
      <c r="H182" s="211"/>
      <c r="I182" s="211"/>
      <c r="J182" s="211"/>
      <c r="K182" s="211"/>
      <c r="L182" s="211"/>
      <c r="M182" s="211"/>
      <c r="N182" s="211"/>
      <c r="Q182" s="211"/>
      <c r="R182" s="211"/>
      <c r="S182" s="211"/>
      <c r="T182" s="211"/>
      <c r="U182" s="211"/>
      <c r="V182" s="211"/>
      <c r="W182" s="211"/>
      <c r="X182" s="211"/>
      <c r="Y182" s="211"/>
      <c r="Z182" s="211"/>
      <c r="AA182" s="211"/>
      <c r="AB182" s="211"/>
      <c r="AC182" s="211"/>
      <c r="AD182" s="211"/>
      <c r="AE182" s="211"/>
      <c r="AF182" s="211"/>
      <c r="AG182" s="211"/>
      <c r="DE182" s="211"/>
      <c r="DF182" s="211"/>
      <c r="DG182" s="211"/>
      <c r="DH182" s="211"/>
      <c r="DI182" s="211"/>
      <c r="DJ182" s="211"/>
      <c r="DK182" s="211"/>
      <c r="DL182" s="211"/>
      <c r="DM182" s="211"/>
      <c r="DN182" s="211"/>
      <c r="DQ182" s="211"/>
      <c r="DV182" s="211"/>
      <c r="DW182" s="211"/>
      <c r="DX182" s="211"/>
      <c r="DY182" s="211"/>
      <c r="DZ182" s="211"/>
      <c r="EA182" s="211"/>
      <c r="EB182" s="211"/>
      <c r="EC182" s="211"/>
      <c r="ED182" s="211"/>
      <c r="EE182" s="211"/>
      <c r="EF182" s="211"/>
      <c r="EG182" s="211"/>
    </row>
    <row r="183" spans="1:137" ht="18" customHeight="1">
      <c r="A183" s="211"/>
      <c r="C183" s="211"/>
      <c r="D183" s="211"/>
      <c r="E183" s="211"/>
      <c r="H183" s="211"/>
      <c r="I183" s="211"/>
      <c r="J183" s="211"/>
      <c r="K183" s="211"/>
      <c r="L183" s="211"/>
      <c r="M183" s="211"/>
      <c r="N183" s="211"/>
      <c r="Q183" s="211"/>
      <c r="R183" s="211"/>
      <c r="S183" s="211"/>
      <c r="T183" s="211"/>
      <c r="U183" s="211"/>
      <c r="V183" s="211"/>
      <c r="W183" s="211"/>
      <c r="X183" s="211"/>
      <c r="Y183" s="211"/>
      <c r="Z183" s="211"/>
      <c r="AA183" s="211"/>
      <c r="AB183" s="211"/>
      <c r="AC183" s="211"/>
      <c r="AD183" s="211"/>
      <c r="AE183" s="211"/>
      <c r="AF183" s="211"/>
      <c r="AG183" s="211"/>
      <c r="DE183" s="211"/>
      <c r="DF183" s="211"/>
      <c r="DG183" s="211"/>
      <c r="DH183" s="211"/>
      <c r="DI183" s="211"/>
      <c r="DJ183" s="211"/>
      <c r="DK183" s="211"/>
      <c r="DL183" s="211"/>
      <c r="DM183" s="211"/>
      <c r="DN183" s="211"/>
      <c r="DQ183" s="211"/>
      <c r="DV183" s="211"/>
      <c r="DW183" s="211"/>
      <c r="DX183" s="211"/>
      <c r="DY183" s="211"/>
      <c r="DZ183" s="211"/>
      <c r="EA183" s="211"/>
      <c r="EB183" s="211"/>
      <c r="EC183" s="211"/>
      <c r="ED183" s="211"/>
      <c r="EE183" s="211"/>
      <c r="EF183" s="211"/>
      <c r="EG183" s="211"/>
    </row>
    <row r="184" spans="1:137" ht="18" customHeight="1">
      <c r="A184" s="211"/>
      <c r="C184" s="211"/>
      <c r="D184" s="211"/>
      <c r="E184" s="211"/>
      <c r="H184" s="211"/>
      <c r="I184" s="211"/>
      <c r="J184" s="211"/>
      <c r="K184" s="211"/>
      <c r="L184" s="211"/>
      <c r="M184" s="211"/>
      <c r="N184" s="211"/>
      <c r="Q184" s="211"/>
      <c r="R184" s="211"/>
      <c r="S184" s="211"/>
      <c r="T184" s="211"/>
      <c r="U184" s="211"/>
      <c r="V184" s="211"/>
      <c r="W184" s="211"/>
      <c r="X184" s="211"/>
      <c r="Y184" s="211"/>
      <c r="Z184" s="211"/>
      <c r="AA184" s="211"/>
      <c r="AB184" s="211"/>
      <c r="AC184" s="211"/>
      <c r="AD184" s="211"/>
      <c r="AE184" s="211"/>
      <c r="AF184" s="211"/>
      <c r="AG184" s="211"/>
      <c r="DE184" s="211"/>
      <c r="DF184" s="211"/>
      <c r="DG184" s="211"/>
      <c r="DH184" s="211"/>
      <c r="DI184" s="211"/>
      <c r="DJ184" s="211"/>
      <c r="DK184" s="211"/>
      <c r="DL184" s="211"/>
      <c r="DM184" s="211"/>
      <c r="DN184" s="211"/>
      <c r="DQ184" s="211"/>
      <c r="DV184" s="211"/>
      <c r="DW184" s="211"/>
      <c r="DX184" s="211"/>
      <c r="DY184" s="211"/>
      <c r="DZ184" s="211"/>
      <c r="EA184" s="211"/>
      <c r="EB184" s="211"/>
      <c r="EC184" s="211"/>
      <c r="ED184" s="211"/>
      <c r="EE184" s="211"/>
      <c r="EF184" s="211"/>
      <c r="EG184" s="211"/>
    </row>
    <row r="185" spans="1:137" ht="18" customHeight="1">
      <c r="A185" s="211"/>
      <c r="C185" s="211"/>
      <c r="D185" s="211"/>
      <c r="E185" s="211"/>
      <c r="H185" s="211"/>
      <c r="I185" s="211"/>
      <c r="J185" s="211"/>
      <c r="K185" s="211"/>
      <c r="L185" s="211"/>
      <c r="M185" s="211"/>
      <c r="N185" s="211"/>
      <c r="Q185" s="211"/>
      <c r="R185" s="211"/>
      <c r="S185" s="211"/>
      <c r="T185" s="211"/>
      <c r="U185" s="211"/>
      <c r="V185" s="211"/>
      <c r="W185" s="211"/>
      <c r="X185" s="211"/>
      <c r="Y185" s="211"/>
      <c r="Z185" s="211"/>
      <c r="AA185" s="211"/>
      <c r="AB185" s="211"/>
      <c r="AC185" s="211"/>
      <c r="AD185" s="211"/>
      <c r="AE185" s="211"/>
      <c r="AF185" s="211"/>
      <c r="AG185" s="211"/>
      <c r="DE185" s="211"/>
      <c r="DF185" s="211"/>
      <c r="DG185" s="211"/>
      <c r="DH185" s="211"/>
      <c r="DI185" s="211"/>
      <c r="DJ185" s="211"/>
      <c r="DK185" s="211"/>
      <c r="DL185" s="211"/>
      <c r="DM185" s="211"/>
      <c r="DN185" s="211"/>
      <c r="DQ185" s="211"/>
      <c r="DV185" s="211"/>
      <c r="DW185" s="211"/>
      <c r="DX185" s="211"/>
      <c r="DY185" s="211"/>
      <c r="DZ185" s="211"/>
      <c r="EA185" s="211"/>
      <c r="EB185" s="211"/>
      <c r="EC185" s="211"/>
      <c r="ED185" s="211"/>
      <c r="EE185" s="211"/>
      <c r="EF185" s="211"/>
      <c r="EG185" s="211"/>
    </row>
    <row r="186" spans="1:137" ht="18" customHeight="1">
      <c r="A186" s="211"/>
      <c r="C186" s="211"/>
      <c r="D186" s="211"/>
      <c r="E186" s="211"/>
      <c r="H186" s="211"/>
      <c r="I186" s="211"/>
      <c r="J186" s="211"/>
      <c r="K186" s="211"/>
      <c r="L186" s="211"/>
      <c r="M186" s="211"/>
      <c r="N186" s="211"/>
      <c r="Q186" s="211"/>
      <c r="R186" s="211"/>
      <c r="S186" s="211"/>
      <c r="T186" s="211"/>
      <c r="U186" s="211"/>
      <c r="V186" s="211"/>
      <c r="W186" s="211"/>
      <c r="X186" s="211"/>
      <c r="Y186" s="211"/>
      <c r="Z186" s="211"/>
      <c r="AA186" s="211"/>
      <c r="AB186" s="211"/>
      <c r="AC186" s="211"/>
      <c r="AD186" s="211"/>
      <c r="AE186" s="211"/>
      <c r="AF186" s="211"/>
      <c r="AG186" s="211"/>
      <c r="DE186" s="211"/>
      <c r="DF186" s="211"/>
      <c r="DG186" s="211"/>
      <c r="DH186" s="211"/>
      <c r="DI186" s="211"/>
      <c r="DJ186" s="211"/>
      <c r="DK186" s="211"/>
      <c r="DL186" s="211"/>
      <c r="DM186" s="211"/>
      <c r="DN186" s="211"/>
      <c r="DQ186" s="211"/>
      <c r="DV186" s="211"/>
      <c r="DW186" s="211"/>
      <c r="DX186" s="211"/>
      <c r="DY186" s="211"/>
      <c r="DZ186" s="211"/>
      <c r="EA186" s="211"/>
      <c r="EB186" s="211"/>
      <c r="EC186" s="211"/>
      <c r="ED186" s="211"/>
      <c r="EE186" s="211"/>
      <c r="EF186" s="211"/>
      <c r="EG186" s="211"/>
    </row>
    <row r="187" spans="1:137" ht="18" customHeight="1">
      <c r="A187" s="211"/>
      <c r="C187" s="211"/>
      <c r="D187" s="211"/>
      <c r="E187" s="211"/>
      <c r="H187" s="211"/>
      <c r="I187" s="211"/>
      <c r="J187" s="211"/>
      <c r="K187" s="211"/>
      <c r="L187" s="211"/>
      <c r="M187" s="211"/>
      <c r="N187" s="211"/>
      <c r="Q187" s="211"/>
      <c r="R187" s="211"/>
      <c r="S187" s="211"/>
      <c r="T187" s="211"/>
      <c r="U187" s="211"/>
      <c r="V187" s="211"/>
      <c r="W187" s="211"/>
      <c r="X187" s="211"/>
      <c r="Y187" s="211"/>
      <c r="Z187" s="211"/>
      <c r="AA187" s="211"/>
      <c r="AB187" s="211"/>
      <c r="AC187" s="211"/>
      <c r="AD187" s="211"/>
      <c r="AE187" s="211"/>
      <c r="AF187" s="211"/>
      <c r="AG187" s="211"/>
      <c r="DE187" s="211"/>
      <c r="DF187" s="211"/>
      <c r="DG187" s="211"/>
      <c r="DH187" s="211"/>
      <c r="DI187" s="211"/>
      <c r="DJ187" s="211"/>
      <c r="DK187" s="211"/>
      <c r="DL187" s="211"/>
      <c r="DM187" s="211"/>
      <c r="DN187" s="211"/>
      <c r="DQ187" s="211"/>
      <c r="DV187" s="211"/>
      <c r="DW187" s="211"/>
      <c r="DX187" s="211"/>
      <c r="DY187" s="211"/>
      <c r="DZ187" s="211"/>
      <c r="EA187" s="211"/>
      <c r="EB187" s="211"/>
      <c r="EC187" s="211"/>
      <c r="ED187" s="211"/>
      <c r="EE187" s="211"/>
      <c r="EF187" s="211"/>
      <c r="EG187" s="211"/>
    </row>
    <row r="188" spans="1:137" ht="18" customHeight="1">
      <c r="A188" s="211"/>
      <c r="C188" s="211"/>
      <c r="D188" s="211"/>
      <c r="E188" s="211"/>
      <c r="H188" s="211"/>
      <c r="I188" s="211"/>
      <c r="J188" s="211"/>
      <c r="K188" s="211"/>
      <c r="L188" s="211"/>
      <c r="M188" s="211"/>
      <c r="N188" s="211"/>
      <c r="Q188" s="211"/>
      <c r="R188" s="211"/>
      <c r="S188" s="211"/>
      <c r="T188" s="211"/>
      <c r="U188" s="211"/>
      <c r="V188" s="211"/>
      <c r="W188" s="211"/>
      <c r="X188" s="211"/>
      <c r="Y188" s="211"/>
      <c r="Z188" s="211"/>
      <c r="AA188" s="211"/>
      <c r="AB188" s="211"/>
      <c r="AC188" s="211"/>
      <c r="AD188" s="211"/>
      <c r="AE188" s="211"/>
      <c r="AF188" s="211"/>
      <c r="AG188" s="211"/>
      <c r="DE188" s="211"/>
      <c r="DF188" s="211"/>
      <c r="DG188" s="211"/>
      <c r="DH188" s="211"/>
      <c r="DI188" s="211"/>
      <c r="DJ188" s="211"/>
      <c r="DK188" s="211"/>
      <c r="DL188" s="211"/>
      <c r="DM188" s="211"/>
      <c r="DN188" s="211"/>
      <c r="DQ188" s="211"/>
      <c r="DV188" s="211"/>
      <c r="DW188" s="211"/>
      <c r="DX188" s="211"/>
      <c r="DY188" s="211"/>
      <c r="DZ188" s="211"/>
      <c r="EA188" s="211"/>
      <c r="EB188" s="211"/>
      <c r="EC188" s="211"/>
      <c r="ED188" s="211"/>
      <c r="EE188" s="211"/>
      <c r="EF188" s="211"/>
      <c r="EG188" s="211"/>
    </row>
    <row r="189" spans="1:137" ht="18" customHeight="1">
      <c r="A189" s="211"/>
      <c r="C189" s="211"/>
      <c r="D189" s="211"/>
      <c r="E189" s="211"/>
      <c r="H189" s="211"/>
      <c r="I189" s="211"/>
      <c r="J189" s="211"/>
      <c r="K189" s="211"/>
      <c r="L189" s="211"/>
      <c r="M189" s="211"/>
      <c r="N189" s="211"/>
      <c r="Q189" s="211"/>
      <c r="R189" s="211"/>
      <c r="S189" s="211"/>
      <c r="T189" s="211"/>
      <c r="U189" s="211"/>
      <c r="V189" s="211"/>
      <c r="W189" s="211"/>
      <c r="X189" s="211"/>
      <c r="Y189" s="211"/>
      <c r="Z189" s="211"/>
      <c r="AA189" s="211"/>
      <c r="AB189" s="211"/>
      <c r="AC189" s="211"/>
      <c r="AD189" s="211"/>
      <c r="AE189" s="211"/>
      <c r="AF189" s="211"/>
      <c r="AG189" s="211"/>
      <c r="DE189" s="211"/>
      <c r="DF189" s="211"/>
      <c r="DG189" s="211"/>
      <c r="DH189" s="211"/>
      <c r="DI189" s="211"/>
      <c r="DJ189" s="211"/>
      <c r="DK189" s="211"/>
      <c r="DL189" s="211"/>
      <c r="DM189" s="211"/>
      <c r="DN189" s="211"/>
      <c r="DQ189" s="211"/>
      <c r="DV189" s="211"/>
      <c r="DW189" s="211"/>
      <c r="DX189" s="211"/>
      <c r="DY189" s="211"/>
      <c r="DZ189" s="211"/>
      <c r="EA189" s="211"/>
      <c r="EB189" s="211"/>
      <c r="EC189" s="211"/>
      <c r="ED189" s="211"/>
      <c r="EE189" s="211"/>
      <c r="EF189" s="211"/>
      <c r="EG189" s="211"/>
    </row>
    <row r="190" spans="1:137" ht="18" customHeight="1">
      <c r="A190" s="211"/>
      <c r="C190" s="211"/>
      <c r="D190" s="211"/>
      <c r="E190" s="211"/>
      <c r="H190" s="211"/>
      <c r="I190" s="211"/>
      <c r="J190" s="211"/>
      <c r="K190" s="211"/>
      <c r="L190" s="211"/>
      <c r="M190" s="211"/>
      <c r="N190" s="211"/>
      <c r="Q190" s="211"/>
      <c r="R190" s="211"/>
      <c r="S190" s="211"/>
      <c r="T190" s="211"/>
      <c r="U190" s="211"/>
      <c r="V190" s="211"/>
      <c r="W190" s="211"/>
      <c r="X190" s="211"/>
      <c r="Y190" s="211"/>
      <c r="Z190" s="211"/>
      <c r="AA190" s="211"/>
      <c r="AB190" s="211"/>
      <c r="AC190" s="211"/>
      <c r="AD190" s="211"/>
      <c r="AE190" s="211"/>
      <c r="AF190" s="211"/>
      <c r="AG190" s="211"/>
      <c r="DE190" s="211"/>
      <c r="DF190" s="211"/>
      <c r="DG190" s="211"/>
      <c r="DH190" s="211"/>
      <c r="DI190" s="211"/>
      <c r="DJ190" s="211"/>
      <c r="DK190" s="211"/>
      <c r="DL190" s="211"/>
      <c r="DM190" s="211"/>
      <c r="DN190" s="211"/>
      <c r="DQ190" s="211"/>
      <c r="DV190" s="211"/>
      <c r="DW190" s="211"/>
      <c r="DX190" s="211"/>
      <c r="DY190" s="211"/>
      <c r="DZ190" s="211"/>
      <c r="EA190" s="211"/>
      <c r="EB190" s="211"/>
      <c r="EC190" s="211"/>
      <c r="ED190" s="211"/>
      <c r="EE190" s="211"/>
      <c r="EF190" s="211"/>
      <c r="EG190" s="211"/>
    </row>
    <row r="191" spans="1:137" ht="18" customHeight="1">
      <c r="A191" s="211"/>
      <c r="C191" s="211"/>
      <c r="D191" s="211"/>
      <c r="E191" s="211"/>
      <c r="H191" s="211"/>
      <c r="I191" s="211"/>
      <c r="J191" s="211"/>
      <c r="K191" s="211"/>
      <c r="L191" s="211"/>
      <c r="M191" s="211"/>
      <c r="N191" s="211"/>
      <c r="Q191" s="211"/>
      <c r="R191" s="211"/>
      <c r="S191" s="211"/>
      <c r="T191" s="211"/>
      <c r="U191" s="211"/>
      <c r="V191" s="211"/>
      <c r="W191" s="211"/>
      <c r="X191" s="211"/>
      <c r="Y191" s="211"/>
      <c r="Z191" s="211"/>
      <c r="AA191" s="211"/>
      <c r="AB191" s="211"/>
      <c r="AC191" s="211"/>
      <c r="AD191" s="211"/>
      <c r="AE191" s="211"/>
      <c r="AF191" s="211"/>
      <c r="AG191" s="211"/>
      <c r="DE191" s="211"/>
      <c r="DF191" s="211"/>
      <c r="DG191" s="211"/>
      <c r="DH191" s="211"/>
      <c r="DI191" s="211"/>
      <c r="DJ191" s="211"/>
      <c r="DK191" s="211"/>
      <c r="DL191" s="211"/>
      <c r="DM191" s="211"/>
      <c r="DN191" s="211"/>
      <c r="DQ191" s="211"/>
      <c r="DV191" s="211"/>
      <c r="DW191" s="211"/>
      <c r="DX191" s="211"/>
      <c r="DY191" s="211"/>
      <c r="DZ191" s="211"/>
      <c r="EA191" s="211"/>
      <c r="EB191" s="211"/>
      <c r="EC191" s="211"/>
      <c r="ED191" s="211"/>
      <c r="EE191" s="211"/>
      <c r="EF191" s="211"/>
      <c r="EG191" s="211"/>
    </row>
    <row r="192" spans="1:137" ht="18" customHeight="1">
      <c r="A192" s="211"/>
      <c r="C192" s="211"/>
      <c r="D192" s="211"/>
      <c r="E192" s="211"/>
      <c r="H192" s="211"/>
      <c r="I192" s="211"/>
      <c r="J192" s="211"/>
      <c r="K192" s="211"/>
      <c r="L192" s="211"/>
      <c r="M192" s="211"/>
      <c r="N192" s="211"/>
      <c r="Q192" s="211"/>
      <c r="R192" s="211"/>
      <c r="S192" s="211"/>
      <c r="T192" s="211"/>
      <c r="U192" s="211"/>
      <c r="V192" s="211"/>
      <c r="W192" s="211"/>
      <c r="X192" s="211"/>
      <c r="Y192" s="211"/>
      <c r="Z192" s="211"/>
      <c r="AA192" s="211"/>
      <c r="AB192" s="211"/>
      <c r="AC192" s="211"/>
      <c r="AD192" s="211"/>
      <c r="AE192" s="211"/>
      <c r="AF192" s="211"/>
      <c r="AG192" s="211"/>
      <c r="DE192" s="211"/>
      <c r="DF192" s="211"/>
      <c r="DG192" s="211"/>
      <c r="DH192" s="211"/>
      <c r="DI192" s="211"/>
      <c r="DJ192" s="211"/>
      <c r="DK192" s="211"/>
      <c r="DL192" s="211"/>
      <c r="DM192" s="211"/>
      <c r="DN192" s="211"/>
      <c r="DQ192" s="211"/>
      <c r="DV192" s="211"/>
      <c r="DW192" s="211"/>
      <c r="DX192" s="211"/>
      <c r="DY192" s="211"/>
      <c r="DZ192" s="211"/>
      <c r="EA192" s="211"/>
      <c r="EB192" s="211"/>
      <c r="EC192" s="211"/>
      <c r="ED192" s="211"/>
      <c r="EE192" s="211"/>
      <c r="EF192" s="211"/>
      <c r="EG192" s="211"/>
    </row>
    <row r="193" spans="1:137" ht="18" customHeight="1">
      <c r="A193" s="211"/>
      <c r="C193" s="211"/>
      <c r="D193" s="211"/>
      <c r="E193" s="211"/>
      <c r="H193" s="211"/>
      <c r="I193" s="211"/>
      <c r="J193" s="211"/>
      <c r="K193" s="211"/>
      <c r="L193" s="211"/>
      <c r="M193" s="211"/>
      <c r="N193" s="211"/>
      <c r="Q193" s="211"/>
      <c r="R193" s="211"/>
      <c r="S193" s="211"/>
      <c r="T193" s="211"/>
      <c r="U193" s="211"/>
      <c r="V193" s="211"/>
      <c r="W193" s="211"/>
      <c r="X193" s="211"/>
      <c r="Y193" s="211"/>
      <c r="Z193" s="211"/>
      <c r="AA193" s="211"/>
      <c r="AB193" s="211"/>
      <c r="AC193" s="211"/>
      <c r="AD193" s="211"/>
      <c r="AE193" s="211"/>
      <c r="AF193" s="211"/>
      <c r="AG193" s="211"/>
      <c r="DE193" s="211"/>
      <c r="DF193" s="211"/>
      <c r="DG193" s="211"/>
      <c r="DH193" s="211"/>
      <c r="DI193" s="211"/>
      <c r="DJ193" s="211"/>
      <c r="DK193" s="211"/>
      <c r="DL193" s="211"/>
      <c r="DM193" s="211"/>
      <c r="DN193" s="211"/>
      <c r="DQ193" s="211"/>
      <c r="DV193" s="211"/>
      <c r="DW193" s="211"/>
      <c r="DX193" s="211"/>
      <c r="DY193" s="211"/>
      <c r="DZ193" s="211"/>
      <c r="EA193" s="211"/>
      <c r="EB193" s="211"/>
      <c r="EC193" s="211"/>
      <c r="ED193" s="211"/>
      <c r="EE193" s="211"/>
      <c r="EF193" s="211"/>
      <c r="EG193" s="211"/>
    </row>
    <row r="194" spans="1:137" ht="18" customHeight="1">
      <c r="A194" s="211"/>
      <c r="C194" s="211"/>
      <c r="D194" s="211"/>
      <c r="E194" s="211"/>
      <c r="H194" s="211"/>
      <c r="I194" s="211"/>
      <c r="J194" s="211"/>
      <c r="K194" s="211"/>
      <c r="L194" s="211"/>
      <c r="M194" s="211"/>
      <c r="N194" s="211"/>
      <c r="Q194" s="211"/>
      <c r="R194" s="211"/>
      <c r="S194" s="211"/>
      <c r="T194" s="211"/>
      <c r="U194" s="211"/>
      <c r="V194" s="211"/>
      <c r="W194" s="211"/>
      <c r="X194" s="211"/>
      <c r="Y194" s="211"/>
      <c r="Z194" s="211"/>
      <c r="AA194" s="211"/>
      <c r="AB194" s="211"/>
      <c r="AC194" s="211"/>
      <c r="AD194" s="211"/>
      <c r="AE194" s="211"/>
      <c r="AF194" s="211"/>
      <c r="AG194" s="211"/>
      <c r="DE194" s="211"/>
      <c r="DF194" s="211"/>
      <c r="DG194" s="211"/>
      <c r="DH194" s="211"/>
      <c r="DI194" s="211"/>
      <c r="DJ194" s="211"/>
      <c r="DK194" s="211"/>
      <c r="DL194" s="211"/>
      <c r="DM194" s="211"/>
      <c r="DN194" s="211"/>
      <c r="DQ194" s="211"/>
      <c r="DV194" s="211"/>
      <c r="DW194" s="211"/>
      <c r="DX194" s="211"/>
      <c r="DY194" s="211"/>
      <c r="DZ194" s="211"/>
      <c r="EA194" s="211"/>
      <c r="EB194" s="211"/>
      <c r="EC194" s="211"/>
      <c r="ED194" s="211"/>
      <c r="EE194" s="211"/>
      <c r="EF194" s="211"/>
      <c r="EG194" s="211"/>
    </row>
    <row r="195" spans="1:137" ht="18" customHeight="1">
      <c r="A195" s="211"/>
      <c r="C195" s="211"/>
      <c r="D195" s="211"/>
      <c r="E195" s="211"/>
      <c r="H195" s="211"/>
      <c r="I195" s="211"/>
      <c r="J195" s="211"/>
      <c r="K195" s="211"/>
      <c r="L195" s="211"/>
      <c r="M195" s="211"/>
      <c r="N195" s="211"/>
      <c r="Q195" s="211"/>
      <c r="R195" s="211"/>
      <c r="S195" s="211"/>
      <c r="T195" s="211"/>
      <c r="U195" s="211"/>
      <c r="V195" s="211"/>
      <c r="W195" s="211"/>
      <c r="X195" s="211"/>
      <c r="Y195" s="211"/>
      <c r="Z195" s="211"/>
      <c r="AA195" s="211"/>
      <c r="AB195" s="211"/>
      <c r="AC195" s="211"/>
      <c r="AD195" s="211"/>
      <c r="AE195" s="211"/>
      <c r="AF195" s="211"/>
      <c r="AG195" s="211"/>
      <c r="DE195" s="211"/>
      <c r="DF195" s="211"/>
      <c r="DG195" s="211"/>
      <c r="DH195" s="211"/>
      <c r="DI195" s="211"/>
      <c r="DJ195" s="211"/>
      <c r="DK195" s="211"/>
      <c r="DL195" s="211"/>
      <c r="DM195" s="211"/>
      <c r="DN195" s="211"/>
      <c r="DQ195" s="211"/>
      <c r="DV195" s="211"/>
      <c r="DW195" s="211"/>
      <c r="DX195" s="211"/>
      <c r="DY195" s="211"/>
      <c r="DZ195" s="211"/>
      <c r="EA195" s="211"/>
      <c r="EB195" s="211"/>
      <c r="EC195" s="211"/>
      <c r="ED195" s="211"/>
      <c r="EE195" s="211"/>
      <c r="EF195" s="211"/>
      <c r="EG195" s="211"/>
    </row>
    <row r="196" spans="1:137" ht="18" customHeight="1">
      <c r="A196" s="211"/>
      <c r="C196" s="211"/>
      <c r="D196" s="211"/>
      <c r="E196" s="211"/>
      <c r="H196" s="211"/>
      <c r="I196" s="211"/>
      <c r="J196" s="211"/>
      <c r="K196" s="211"/>
      <c r="L196" s="211"/>
      <c r="M196" s="211"/>
      <c r="N196" s="211"/>
      <c r="Q196" s="211"/>
      <c r="R196" s="211"/>
      <c r="S196" s="211"/>
      <c r="T196" s="211"/>
      <c r="U196" s="211"/>
      <c r="V196" s="211"/>
      <c r="W196" s="211"/>
      <c r="X196" s="211"/>
      <c r="Y196" s="211"/>
      <c r="Z196" s="211"/>
      <c r="AA196" s="211"/>
      <c r="AB196" s="211"/>
      <c r="AC196" s="211"/>
      <c r="AD196" s="211"/>
      <c r="AE196" s="211"/>
      <c r="AF196" s="211"/>
      <c r="AG196" s="211"/>
      <c r="DE196" s="211"/>
      <c r="DF196" s="211"/>
      <c r="DG196" s="211"/>
      <c r="DH196" s="211"/>
      <c r="DI196" s="211"/>
      <c r="DJ196" s="211"/>
      <c r="DK196" s="211"/>
      <c r="DL196" s="211"/>
      <c r="DM196" s="211"/>
      <c r="DN196" s="211"/>
      <c r="DQ196" s="211"/>
      <c r="DV196" s="211"/>
      <c r="DW196" s="211"/>
      <c r="DX196" s="211"/>
      <c r="DY196" s="211"/>
      <c r="DZ196" s="211"/>
      <c r="EA196" s="211"/>
      <c r="EB196" s="211"/>
      <c r="EC196" s="211"/>
      <c r="ED196" s="211"/>
      <c r="EE196" s="211"/>
      <c r="EF196" s="211"/>
      <c r="EG196" s="211"/>
    </row>
    <row r="197" spans="1:137" ht="18" customHeight="1">
      <c r="A197" s="211"/>
      <c r="C197" s="211"/>
      <c r="D197" s="211"/>
      <c r="E197" s="211"/>
      <c r="H197" s="211"/>
      <c r="I197" s="211"/>
      <c r="J197" s="211"/>
      <c r="K197" s="211"/>
      <c r="L197" s="211"/>
      <c r="M197" s="211"/>
      <c r="N197" s="211"/>
      <c r="Q197" s="211"/>
      <c r="R197" s="211"/>
      <c r="S197" s="211"/>
      <c r="T197" s="211"/>
      <c r="U197" s="211"/>
      <c r="V197" s="211"/>
      <c r="W197" s="211"/>
      <c r="X197" s="211"/>
      <c r="Y197" s="211"/>
      <c r="Z197" s="211"/>
      <c r="AA197" s="211"/>
      <c r="AB197" s="211"/>
      <c r="AC197" s="211"/>
      <c r="AD197" s="211"/>
      <c r="AE197" s="211"/>
      <c r="AF197" s="211"/>
      <c r="AG197" s="211"/>
      <c r="DE197" s="211"/>
      <c r="DF197" s="211"/>
      <c r="DG197" s="211"/>
      <c r="DH197" s="211"/>
      <c r="DI197" s="211"/>
      <c r="DJ197" s="211"/>
      <c r="DK197" s="211"/>
      <c r="DL197" s="211"/>
      <c r="DM197" s="211"/>
      <c r="DN197" s="211"/>
      <c r="DQ197" s="211"/>
      <c r="DV197" s="211"/>
      <c r="DW197" s="211"/>
      <c r="DX197" s="211"/>
      <c r="DY197" s="211"/>
      <c r="DZ197" s="211"/>
      <c r="EA197" s="211"/>
      <c r="EB197" s="211"/>
      <c r="EC197" s="211"/>
      <c r="ED197" s="211"/>
      <c r="EE197" s="211"/>
      <c r="EF197" s="211"/>
      <c r="EG197" s="211"/>
    </row>
    <row r="198" spans="1:137" ht="18" customHeight="1">
      <c r="A198" s="211"/>
      <c r="C198" s="211"/>
      <c r="D198" s="211"/>
      <c r="E198" s="211"/>
      <c r="H198" s="211"/>
      <c r="I198" s="211"/>
      <c r="J198" s="211"/>
      <c r="K198" s="211"/>
      <c r="L198" s="211"/>
      <c r="M198" s="211"/>
      <c r="N198" s="211"/>
      <c r="Q198" s="211"/>
      <c r="R198" s="211"/>
      <c r="S198" s="211"/>
      <c r="T198" s="211"/>
      <c r="U198" s="211"/>
      <c r="V198" s="211"/>
      <c r="W198" s="211"/>
      <c r="X198" s="211"/>
      <c r="Y198" s="211"/>
      <c r="Z198" s="211"/>
      <c r="AA198" s="211"/>
      <c r="AB198" s="211"/>
      <c r="AC198" s="211"/>
      <c r="AD198" s="211"/>
      <c r="AE198" s="211"/>
      <c r="AF198" s="211"/>
      <c r="AG198" s="211"/>
      <c r="DE198" s="211"/>
      <c r="DF198" s="211"/>
      <c r="DG198" s="211"/>
      <c r="DH198" s="211"/>
      <c r="DI198" s="211"/>
      <c r="DJ198" s="211"/>
      <c r="DK198" s="211"/>
      <c r="DL198" s="211"/>
      <c r="DM198" s="211"/>
      <c r="DN198" s="211"/>
      <c r="DQ198" s="211"/>
      <c r="DV198" s="211"/>
      <c r="DW198" s="211"/>
      <c r="DX198" s="211"/>
      <c r="DY198" s="211"/>
      <c r="DZ198" s="211"/>
      <c r="EA198" s="211"/>
      <c r="EB198" s="211"/>
      <c r="EC198" s="211"/>
      <c r="ED198" s="211"/>
      <c r="EE198" s="211"/>
      <c r="EF198" s="211"/>
      <c r="EG198" s="211"/>
    </row>
  </sheetData>
  <mergeCells count="3">
    <mergeCell ref="P152:P161"/>
    <mergeCell ref="P35:P49"/>
    <mergeCell ref="P62:P66"/>
  </mergeCells>
  <pageMargins left="0.51181102362204722" right="0.51181102362204722" top="0.78740157480314965" bottom="0.78740157480314965" header="0.31496062992125984" footer="0.31496062992125984"/>
  <pageSetup paperSize="9" scale="38" fitToHeight="3" orientation="portrait" horizontalDpi="1200" verticalDpi="1200"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S410"/>
  <sheetViews>
    <sheetView showGridLines="0" topLeftCell="B1" zoomScale="85" zoomScaleNormal="85" zoomScaleSheetLayoutView="85" workbookViewId="0">
      <selection activeCell="D8" sqref="D8"/>
    </sheetView>
  </sheetViews>
  <sheetFormatPr defaultRowHeight="12.75"/>
  <cols>
    <col min="1" max="1" width="24.140625" style="959" customWidth="1"/>
    <col min="2" max="2" width="10" style="850" customWidth="1"/>
    <col min="3" max="3" width="11.28515625" style="850" customWidth="1"/>
    <col min="4" max="4" width="58.28515625" style="1023" customWidth="1"/>
    <col min="5" max="5" width="9" style="1023" customWidth="1"/>
    <col min="6" max="6" width="10.5703125" style="1024" customWidth="1"/>
    <col min="7" max="7" width="15.42578125" style="1023" customWidth="1"/>
    <col min="8" max="8" width="14.28515625" style="1023" customWidth="1"/>
    <col min="9" max="9" width="14.5703125" style="1023" customWidth="1"/>
    <col min="10" max="10" width="14.5703125" style="1025" customWidth="1"/>
    <col min="11" max="11" width="11.42578125" style="1026" customWidth="1"/>
    <col min="12" max="12" width="12" style="1027" customWidth="1"/>
    <col min="13" max="13" width="12.140625" style="1027" customWidth="1"/>
    <col min="14" max="14" width="8.28515625" style="780" customWidth="1"/>
    <col min="15" max="15" width="7.5703125" style="777" customWidth="1"/>
    <col min="16" max="16" width="7.5703125" style="805" customWidth="1"/>
    <col min="17" max="17" width="7.5703125" style="777" customWidth="1"/>
    <col min="18" max="18" width="4.7109375" style="777" customWidth="1"/>
    <col min="19" max="16384" width="9.140625" style="779"/>
  </cols>
  <sheetData>
    <row r="1" spans="1:16" ht="18">
      <c r="D1" s="1661" t="s">
        <v>11665</v>
      </c>
      <c r="E1" s="1662"/>
      <c r="F1" s="1662"/>
      <c r="G1" s="1662"/>
      <c r="H1" s="1662"/>
      <c r="I1" s="1662"/>
      <c r="J1" s="1662"/>
      <c r="K1" s="1662"/>
      <c r="L1" s="1662"/>
      <c r="M1" s="1663"/>
      <c r="N1" s="776"/>
      <c r="P1" s="778"/>
    </row>
    <row r="2" spans="1:16" ht="18">
      <c r="D2" s="1664"/>
      <c r="E2" s="1665"/>
      <c r="F2" s="1665"/>
      <c r="G2" s="1665"/>
      <c r="H2" s="1665"/>
      <c r="I2" s="1665"/>
      <c r="J2" s="1665"/>
      <c r="K2" s="1665"/>
      <c r="L2" s="1665"/>
      <c r="M2" s="1666"/>
      <c r="N2" s="776"/>
      <c r="P2" s="778"/>
    </row>
    <row r="3" spans="1:16" ht="18">
      <c r="D3" s="1664"/>
      <c r="E3" s="1665"/>
      <c r="F3" s="1665"/>
      <c r="G3" s="1665"/>
      <c r="H3" s="1665"/>
      <c r="I3" s="1665"/>
      <c r="J3" s="1665"/>
      <c r="K3" s="1665"/>
      <c r="L3" s="1665"/>
      <c r="M3" s="1666"/>
      <c r="N3" s="776"/>
      <c r="P3" s="778"/>
    </row>
    <row r="4" spans="1:16" ht="15.75" customHeight="1" thickBot="1">
      <c r="D4" s="1667"/>
      <c r="E4" s="1668"/>
      <c r="F4" s="1668"/>
      <c r="G4" s="1668"/>
      <c r="H4" s="1668"/>
      <c r="I4" s="1668"/>
      <c r="J4" s="1668"/>
      <c r="K4" s="1668"/>
      <c r="L4" s="1668"/>
      <c r="M4" s="1669"/>
      <c r="P4" s="781"/>
    </row>
    <row r="5" spans="1:16" ht="14.25" customHeight="1">
      <c r="D5" s="1080"/>
      <c r="E5" s="780"/>
      <c r="F5" s="783"/>
      <c r="G5" s="783"/>
      <c r="H5" s="783"/>
      <c r="I5" s="783"/>
      <c r="J5" s="784"/>
      <c r="K5" s="785"/>
      <c r="L5" s="786"/>
      <c r="M5" s="787"/>
      <c r="P5" s="788"/>
    </row>
    <row r="6" spans="1:16" ht="14.25" customHeight="1">
      <c r="D6" s="789" t="s">
        <v>14559</v>
      </c>
      <c r="E6" s="1079"/>
      <c r="F6" s="1079"/>
      <c r="G6" s="1079"/>
      <c r="H6" s="1079"/>
      <c r="I6" s="1079"/>
      <c r="J6" s="1079"/>
      <c r="K6" s="791"/>
      <c r="L6" s="792"/>
      <c r="M6" s="1082"/>
      <c r="N6" s="794"/>
      <c r="P6" s="781"/>
    </row>
    <row r="7" spans="1:16" ht="14.25" customHeight="1">
      <c r="D7" s="1243" t="s">
        <v>11792</v>
      </c>
      <c r="E7" s="1079"/>
      <c r="F7" s="1079"/>
      <c r="G7" s="1079"/>
      <c r="H7" s="1079"/>
      <c r="I7" s="1079"/>
      <c r="J7" s="1079"/>
      <c r="K7" s="791"/>
      <c r="L7" s="795"/>
      <c r="M7" s="796"/>
      <c r="N7" s="797"/>
      <c r="P7" s="781"/>
    </row>
    <row r="8" spans="1:16" s="777" customFormat="1" ht="14.25" customHeight="1">
      <c r="A8" s="959"/>
      <c r="B8" s="850"/>
      <c r="C8" s="850"/>
      <c r="D8" s="1243" t="s">
        <v>12028</v>
      </c>
      <c r="E8" s="1079"/>
      <c r="F8" s="1079"/>
      <c r="G8" s="1079"/>
      <c r="H8" s="1079"/>
      <c r="I8" s="1079"/>
      <c r="J8" s="1079"/>
      <c r="K8" s="791"/>
      <c r="L8" s="795"/>
      <c r="M8" s="796"/>
      <c r="N8" s="797"/>
      <c r="P8" s="781"/>
    </row>
    <row r="9" spans="1:16" s="777" customFormat="1" ht="6.75" customHeight="1" thickBot="1">
      <c r="A9" s="959"/>
      <c r="B9" s="850"/>
      <c r="C9" s="850"/>
      <c r="D9" s="1088"/>
      <c r="E9" s="1089"/>
      <c r="F9" s="1089"/>
      <c r="G9" s="1090"/>
      <c r="H9" s="1090"/>
      <c r="I9" s="1090"/>
      <c r="J9" s="1090"/>
      <c r="K9" s="801"/>
      <c r="L9" s="802"/>
      <c r="M9" s="803"/>
      <c r="N9" s="797"/>
      <c r="P9" s="781"/>
    </row>
    <row r="10" spans="1:16" s="777" customFormat="1" ht="15.75" customHeight="1" thickTop="1" thickBot="1">
      <c r="A10" s="959"/>
      <c r="B10" s="850"/>
      <c r="C10" s="850"/>
      <c r="D10" s="1653" t="s">
        <v>11760</v>
      </c>
      <c r="E10" s="1654"/>
      <c r="F10" s="1654"/>
      <c r="G10" s="1654"/>
      <c r="H10" s="1654"/>
      <c r="I10" s="1654"/>
      <c r="J10" s="1654"/>
      <c r="K10" s="1654"/>
      <c r="L10" s="1654"/>
      <c r="M10" s="1670"/>
      <c r="N10" s="804"/>
      <c r="O10" s="805"/>
      <c r="P10" s="805"/>
    </row>
    <row r="11" spans="1:16" s="777" customFormat="1" ht="6" customHeight="1" thickTop="1" thickBot="1">
      <c r="A11" s="959"/>
      <c r="B11" s="850"/>
      <c r="C11" s="850"/>
      <c r="D11" s="806"/>
      <c r="E11" s="807"/>
      <c r="F11" s="808"/>
      <c r="G11" s="700"/>
      <c r="H11" s="700"/>
      <c r="I11" s="700"/>
      <c r="J11" s="809"/>
      <c r="K11" s="791"/>
      <c r="L11" s="802"/>
      <c r="M11" s="810"/>
      <c r="N11" s="780"/>
      <c r="P11" s="811"/>
    </row>
    <row r="12" spans="1:16" s="777" customFormat="1" ht="14.25" customHeight="1" thickTop="1" thickBot="1">
      <c r="A12" s="959"/>
      <c r="B12" s="850"/>
      <c r="C12" s="850"/>
      <c r="D12" s="1671" t="s">
        <v>3</v>
      </c>
      <c r="E12" s="1672"/>
      <c r="F12" s="1672"/>
      <c r="G12" s="1672"/>
      <c r="H12" s="1672"/>
      <c r="I12" s="1672"/>
      <c r="J12" s="1672"/>
      <c r="K12" s="1672"/>
      <c r="L12" s="1672"/>
      <c r="M12" s="1673"/>
      <c r="N12" s="812"/>
      <c r="P12" s="813"/>
    </row>
    <row r="13" spans="1:16" s="777" customFormat="1" ht="13.5" thickTop="1">
      <c r="A13" s="959"/>
      <c r="B13" s="850"/>
      <c r="C13" s="850"/>
      <c r="D13" s="814" t="s">
        <v>4</v>
      </c>
      <c r="E13" s="815"/>
      <c r="F13" s="815"/>
      <c r="G13" s="815"/>
      <c r="H13" s="815"/>
      <c r="I13" s="815"/>
      <c r="J13" s="815"/>
      <c r="K13" s="815"/>
      <c r="L13" s="816" t="s">
        <v>5</v>
      </c>
      <c r="M13" s="817">
        <f>'PARAMETROS MC'!C37</f>
        <v>7.5</v>
      </c>
      <c r="N13" s="818"/>
      <c r="O13" s="819"/>
      <c r="P13" s="805"/>
    </row>
    <row r="14" spans="1:16" s="777" customFormat="1">
      <c r="A14" s="959"/>
      <c r="B14" s="850"/>
      <c r="C14" s="850"/>
      <c r="D14" s="820" t="s">
        <v>34</v>
      </c>
      <c r="E14" s="821"/>
      <c r="F14" s="821"/>
      <c r="G14" s="821"/>
      <c r="H14" s="821"/>
      <c r="I14" s="821"/>
      <c r="J14" s="821"/>
      <c r="K14" s="821"/>
      <c r="L14" s="816" t="s">
        <v>5</v>
      </c>
      <c r="M14" s="817">
        <f>'PARAMETROS MC'!C38</f>
        <v>4.5999999999999996</v>
      </c>
      <c r="N14" s="818"/>
      <c r="O14" s="819"/>
      <c r="P14" s="805"/>
    </row>
    <row r="15" spans="1:16" s="777" customFormat="1">
      <c r="A15" s="959"/>
      <c r="B15" s="850"/>
      <c r="C15" s="850"/>
      <c r="D15" s="820" t="s">
        <v>6</v>
      </c>
      <c r="E15" s="821"/>
      <c r="F15" s="821"/>
      <c r="G15" s="821"/>
      <c r="H15" s="821"/>
      <c r="I15" s="821"/>
      <c r="J15" s="821"/>
      <c r="K15" s="821"/>
      <c r="L15" s="816" t="s">
        <v>8</v>
      </c>
      <c r="M15" s="822">
        <v>0.95</v>
      </c>
      <c r="N15" s="818"/>
      <c r="O15" s="819"/>
      <c r="P15" s="805"/>
    </row>
    <row r="16" spans="1:16" s="777" customFormat="1">
      <c r="A16" s="959"/>
      <c r="B16" s="850"/>
      <c r="C16" s="850"/>
      <c r="D16" s="820" t="s">
        <v>7</v>
      </c>
      <c r="E16" s="821"/>
      <c r="F16" s="821"/>
      <c r="G16" s="821"/>
      <c r="H16" s="821"/>
      <c r="I16" s="821"/>
      <c r="J16" s="821"/>
      <c r="K16" s="821"/>
      <c r="L16" s="816" t="s">
        <v>8</v>
      </c>
      <c r="M16" s="822">
        <v>0.05</v>
      </c>
      <c r="N16" s="818"/>
      <c r="O16" s="819"/>
      <c r="P16" s="805"/>
    </row>
    <row r="17" spans="1:19" s="777" customFormat="1">
      <c r="A17" s="959"/>
      <c r="B17" s="850"/>
      <c r="C17" s="850"/>
      <c r="D17" s="820" t="s">
        <v>9</v>
      </c>
      <c r="E17" s="821"/>
      <c r="F17" s="821"/>
      <c r="G17" s="821"/>
      <c r="H17" s="821"/>
      <c r="I17" s="821"/>
      <c r="J17" s="821"/>
      <c r="K17" s="821"/>
      <c r="L17" s="816" t="s">
        <v>8</v>
      </c>
      <c r="M17" s="822">
        <v>0.9</v>
      </c>
      <c r="N17" s="818"/>
      <c r="O17" s="819"/>
      <c r="P17" s="805"/>
    </row>
    <row r="18" spans="1:19" s="777" customFormat="1">
      <c r="A18" s="959"/>
      <c r="B18" s="850"/>
      <c r="C18" s="850"/>
      <c r="D18" s="820" t="s">
        <v>10</v>
      </c>
      <c r="E18" s="821"/>
      <c r="F18" s="821"/>
      <c r="G18" s="821"/>
      <c r="H18" s="821"/>
      <c r="I18" s="821"/>
      <c r="J18" s="821"/>
      <c r="K18" s="821"/>
      <c r="L18" s="816" t="s">
        <v>8</v>
      </c>
      <c r="M18" s="822">
        <v>0.05</v>
      </c>
      <c r="N18" s="818"/>
      <c r="O18" s="819"/>
      <c r="P18" s="805"/>
    </row>
    <row r="19" spans="1:19" s="777" customFormat="1">
      <c r="A19" s="959"/>
      <c r="B19" s="850"/>
      <c r="C19" s="850"/>
      <c r="D19" s="820" t="s">
        <v>11</v>
      </c>
      <c r="E19" s="821"/>
      <c r="F19" s="821"/>
      <c r="G19" s="821"/>
      <c r="H19" s="821"/>
      <c r="I19" s="821"/>
      <c r="J19" s="821"/>
      <c r="K19" s="821"/>
      <c r="L19" s="816" t="s">
        <v>8</v>
      </c>
      <c r="M19" s="822">
        <v>0</v>
      </c>
      <c r="N19" s="818"/>
      <c r="O19" s="819"/>
      <c r="P19" s="805"/>
    </row>
    <row r="20" spans="1:19" s="777" customFormat="1">
      <c r="A20" s="959"/>
      <c r="B20" s="850"/>
      <c r="C20" s="850"/>
      <c r="D20" s="820" t="s">
        <v>12</v>
      </c>
      <c r="E20" s="821"/>
      <c r="F20" s="821"/>
      <c r="G20" s="821"/>
      <c r="H20" s="821"/>
      <c r="I20" s="821"/>
      <c r="J20" s="821"/>
      <c r="K20" s="821"/>
      <c r="L20" s="816" t="s">
        <v>8</v>
      </c>
      <c r="M20" s="822">
        <v>0.05</v>
      </c>
      <c r="N20" s="818"/>
      <c r="O20" s="819"/>
      <c r="P20" s="805"/>
    </row>
    <row r="21" spans="1:19" s="777" customFormat="1">
      <c r="A21" s="959"/>
      <c r="B21" s="850"/>
      <c r="C21" s="850"/>
      <c r="D21" s="820" t="s">
        <v>13</v>
      </c>
      <c r="E21" s="821"/>
      <c r="F21" s="821"/>
      <c r="G21" s="821"/>
      <c r="H21" s="821"/>
      <c r="I21" s="821"/>
      <c r="J21" s="821"/>
      <c r="K21" s="821"/>
      <c r="L21" s="816" t="s">
        <v>8</v>
      </c>
      <c r="M21" s="822">
        <v>0.2</v>
      </c>
      <c r="N21" s="818"/>
      <c r="O21" s="819"/>
      <c r="P21" s="805"/>
    </row>
    <row r="22" spans="1:19" s="777" customFormat="1">
      <c r="A22" s="959"/>
      <c r="B22" s="850"/>
      <c r="C22" s="850"/>
      <c r="D22" s="820" t="s">
        <v>14</v>
      </c>
      <c r="E22" s="821"/>
      <c r="F22" s="821"/>
      <c r="G22" s="821"/>
      <c r="H22" s="821"/>
      <c r="I22" s="821"/>
      <c r="J22" s="821"/>
      <c r="K22" s="821"/>
      <c r="L22" s="816" t="s">
        <v>8</v>
      </c>
      <c r="M22" s="822">
        <v>0.2</v>
      </c>
      <c r="N22" s="818"/>
      <c r="O22" s="819"/>
      <c r="P22" s="805"/>
    </row>
    <row r="23" spans="1:19" s="777" customFormat="1">
      <c r="A23" s="959"/>
      <c r="B23" s="850"/>
      <c r="C23" s="850"/>
      <c r="D23" s="820" t="s">
        <v>15</v>
      </c>
      <c r="E23" s="821"/>
      <c r="F23" s="821"/>
      <c r="G23" s="821"/>
      <c r="H23" s="821"/>
      <c r="I23" s="821"/>
      <c r="J23" s="821"/>
      <c r="K23" s="821"/>
      <c r="L23" s="816" t="s">
        <v>8</v>
      </c>
      <c r="M23" s="822">
        <v>0</v>
      </c>
      <c r="N23" s="818"/>
      <c r="O23" s="819"/>
      <c r="P23" s="805"/>
    </row>
    <row r="24" spans="1:19" s="777" customFormat="1">
      <c r="A24" s="959"/>
      <c r="B24" s="850"/>
      <c r="C24" s="850"/>
      <c r="D24" s="820" t="s">
        <v>16</v>
      </c>
      <c r="E24" s="821"/>
      <c r="F24" s="821"/>
      <c r="G24" s="821"/>
      <c r="H24" s="821"/>
      <c r="I24" s="821"/>
      <c r="J24" s="821"/>
      <c r="K24" s="821"/>
      <c r="L24" s="816" t="s">
        <v>8</v>
      </c>
      <c r="M24" s="822">
        <v>1</v>
      </c>
      <c r="N24" s="818"/>
      <c r="O24" s="819"/>
      <c r="P24" s="805"/>
    </row>
    <row r="25" spans="1:19">
      <c r="D25" s="1095"/>
      <c r="E25" s="780"/>
      <c r="F25" s="1096"/>
      <c r="G25" s="780"/>
      <c r="H25" s="780"/>
      <c r="I25" s="780"/>
      <c r="J25" s="1097"/>
      <c r="K25" s="1098"/>
      <c r="L25" s="834"/>
      <c r="M25" s="1099"/>
    </row>
    <row r="26" spans="1:19" s="777" customFormat="1" ht="6" customHeight="1" thickBot="1">
      <c r="A26" s="959"/>
      <c r="B26" s="850"/>
      <c r="C26" s="850"/>
      <c r="D26" s="1119"/>
      <c r="E26" s="1079"/>
      <c r="F26" s="1079"/>
      <c r="G26" s="780"/>
      <c r="H26" s="780"/>
      <c r="I26" s="780"/>
      <c r="J26" s="780"/>
      <c r="K26" s="780"/>
      <c r="L26" s="780"/>
      <c r="M26" s="1244"/>
      <c r="N26" s="780"/>
      <c r="P26" s="805"/>
    </row>
    <row r="27" spans="1:19" s="777" customFormat="1" ht="15.75" customHeight="1" thickTop="1" thickBot="1">
      <c r="A27" s="959"/>
      <c r="B27" s="850"/>
      <c r="C27" s="850"/>
      <c r="D27" s="830" t="s">
        <v>11640</v>
      </c>
      <c r="E27" s="831"/>
      <c r="F27" s="831"/>
      <c r="G27" s="831"/>
      <c r="H27" s="831"/>
      <c r="I27" s="831"/>
      <c r="J27" s="831"/>
      <c r="K27" s="831"/>
      <c r="L27" s="832"/>
      <c r="M27" s="833"/>
      <c r="N27" s="804"/>
      <c r="O27" s="805"/>
      <c r="P27" s="805"/>
    </row>
    <row r="28" spans="1:19" ht="11.25" customHeight="1" thickTop="1">
      <c r="D28" s="1119"/>
      <c r="E28" s="1079"/>
      <c r="F28" s="1079"/>
      <c r="G28" s="780" t="s">
        <v>30</v>
      </c>
      <c r="H28" s="780" t="s">
        <v>30</v>
      </c>
      <c r="I28" s="780" t="s">
        <v>30</v>
      </c>
      <c r="J28" s="780" t="s">
        <v>30</v>
      </c>
      <c r="K28" s="780" t="s">
        <v>30</v>
      </c>
      <c r="L28" s="780"/>
      <c r="M28" s="1139"/>
      <c r="N28" s="834"/>
      <c r="O28" s="1079"/>
      <c r="P28" s="777"/>
      <c r="Q28" s="805"/>
      <c r="S28" s="777"/>
    </row>
    <row r="29" spans="1:19" ht="12.75" customHeight="1">
      <c r="D29" s="1119"/>
      <c r="E29" s="1079"/>
      <c r="F29" s="1079"/>
      <c r="G29" s="780"/>
      <c r="H29" s="780"/>
      <c r="I29" s="780"/>
      <c r="J29" s="780" t="s">
        <v>17</v>
      </c>
      <c r="K29" s="780" t="s">
        <v>19</v>
      </c>
      <c r="L29" s="780"/>
      <c r="M29" s="1139"/>
      <c r="N29" s="834"/>
      <c r="O29" s="1079"/>
      <c r="P29" s="777"/>
      <c r="Q29" s="805"/>
      <c r="S29" s="777"/>
    </row>
    <row r="30" spans="1:19" ht="22.5">
      <c r="A30" s="959" t="s">
        <v>14190</v>
      </c>
      <c r="B30" s="850" t="s">
        <v>70</v>
      </c>
      <c r="C30" s="850" t="s">
        <v>19163</v>
      </c>
      <c r="D30" s="956" t="str">
        <f>PROPER(IF(B30="Saneago",VLOOKUP(C30,'SANEAGO-FEV.2016'!A:B,2,0),IF(B30="Sinapi",VLOOKUP(C30,'SINAPI-FEV.2017'!A:D,2,0),IF(B30="Cotação",VLOOKUP(C30,COTAÇÃO!A:D,2,0),IF(B30="Composição",VLOOKUP(C30,COMPOSIÇÃO!A:D,2,0))))))</f>
        <v>Limpeza Mecanizada De Terreno Com Remocao De Camada Vegetal, Utilizando Motoniveladora</v>
      </c>
      <c r="E30" s="1121"/>
      <c r="F30" s="1121"/>
      <c r="G30" s="1245"/>
      <c r="H30" s="1245"/>
      <c r="I30" s="1245"/>
      <c r="J30" s="1245">
        <v>67</v>
      </c>
      <c r="K30" s="1245">
        <v>47</v>
      </c>
      <c r="L30" s="1245" t="s">
        <v>21</v>
      </c>
      <c r="M30" s="1140">
        <f>J30*K30</f>
        <v>3149</v>
      </c>
      <c r="N30" s="834"/>
      <c r="O30" s="1079"/>
      <c r="P30" s="777"/>
      <c r="Q30" s="805"/>
      <c r="S30" s="777"/>
    </row>
    <row r="31" spans="1:19" ht="12.75" customHeight="1">
      <c r="D31" s="1119"/>
      <c r="E31" s="1079"/>
      <c r="F31" s="1079"/>
      <c r="G31" s="780" t="s">
        <v>30</v>
      </c>
      <c r="H31" s="780" t="s">
        <v>30</v>
      </c>
      <c r="I31" s="780" t="s">
        <v>1275</v>
      </c>
      <c r="J31" s="780" t="s">
        <v>17</v>
      </c>
      <c r="K31" s="780" t="s">
        <v>68</v>
      </c>
      <c r="L31" s="780" t="s">
        <v>30</v>
      </c>
      <c r="M31" s="1139" t="s">
        <v>20</v>
      </c>
      <c r="N31" s="834"/>
      <c r="O31" s="1079"/>
      <c r="P31" s="777"/>
      <c r="Q31" s="805"/>
      <c r="S31" s="777"/>
    </row>
    <row r="32" spans="1:19" ht="12.75" customHeight="1">
      <c r="D32" s="1119"/>
      <c r="E32" s="1079"/>
      <c r="F32" s="1079"/>
      <c r="G32" s="780"/>
      <c r="H32" s="1246" t="s">
        <v>11761</v>
      </c>
      <c r="I32" s="780">
        <v>1</v>
      </c>
      <c r="J32" s="1247">
        <f>15.5+1*2</f>
        <v>17.5</v>
      </c>
      <c r="K32" s="1247">
        <f>3.1+1*2</f>
        <v>5.0999999999999996</v>
      </c>
      <c r="L32" s="780" t="s">
        <v>21</v>
      </c>
      <c r="M32" s="1139">
        <f t="shared" ref="M32:M40" si="0">J32*K32</f>
        <v>89.25</v>
      </c>
      <c r="N32" s="834"/>
      <c r="O32" s="1079"/>
      <c r="P32" s="777"/>
      <c r="Q32" s="805"/>
      <c r="S32" s="777"/>
    </row>
    <row r="33" spans="1:19" ht="12.75" customHeight="1">
      <c r="D33" s="1119"/>
      <c r="E33" s="1079"/>
      <c r="F33" s="1079"/>
      <c r="G33" s="780"/>
      <c r="H33" s="1246" t="s">
        <v>11762</v>
      </c>
      <c r="I33" s="780">
        <v>1</v>
      </c>
      <c r="J33" s="1247">
        <f>4+1*2</f>
        <v>6</v>
      </c>
      <c r="K33" s="1247">
        <f>4.7+1*2</f>
        <v>6.7</v>
      </c>
      <c r="L33" s="780" t="s">
        <v>21</v>
      </c>
      <c r="M33" s="1139">
        <f t="shared" si="0"/>
        <v>40.200000000000003</v>
      </c>
      <c r="N33" s="834"/>
      <c r="O33" s="1079"/>
      <c r="P33" s="777"/>
      <c r="Q33" s="805"/>
      <c r="S33" s="777"/>
    </row>
    <row r="34" spans="1:19" ht="12.75" customHeight="1">
      <c r="D34" s="1119"/>
      <c r="E34" s="1079"/>
      <c r="F34" s="1079"/>
      <c r="G34" s="780"/>
      <c r="H34" s="1246" t="s">
        <v>11763</v>
      </c>
      <c r="I34" s="780">
        <v>1</v>
      </c>
      <c r="J34" s="1247">
        <f>11.45+1*2</f>
        <v>13.45</v>
      </c>
      <c r="K34" s="1247">
        <f>8.7+1*2</f>
        <v>10.7</v>
      </c>
      <c r="L34" s="780" t="s">
        <v>21</v>
      </c>
      <c r="M34" s="1139">
        <f t="shared" si="0"/>
        <v>143.91499999999999</v>
      </c>
      <c r="N34" s="834"/>
      <c r="O34" s="1079"/>
      <c r="P34" s="777"/>
      <c r="Q34" s="805"/>
      <c r="S34" s="777"/>
    </row>
    <row r="35" spans="1:19" ht="12.75" customHeight="1">
      <c r="D35" s="1119"/>
      <c r="E35" s="1079"/>
      <c r="F35" s="1079"/>
      <c r="G35" s="780"/>
      <c r="H35" s="1246" t="s">
        <v>11764</v>
      </c>
      <c r="I35" s="780">
        <v>1</v>
      </c>
      <c r="J35" s="1247">
        <f>11.85+1*2</f>
        <v>13.85</v>
      </c>
      <c r="K35" s="1247">
        <f>1.9+1*2</f>
        <v>3.9</v>
      </c>
      <c r="L35" s="780" t="s">
        <v>21</v>
      </c>
      <c r="M35" s="1139">
        <f t="shared" si="0"/>
        <v>54.015000000000001</v>
      </c>
      <c r="N35" s="834"/>
      <c r="O35" s="1079"/>
      <c r="P35" s="777"/>
      <c r="Q35" s="805"/>
      <c r="S35" s="777"/>
    </row>
    <row r="36" spans="1:19" ht="12.75" customHeight="1">
      <c r="D36" s="1119"/>
      <c r="E36" s="1079"/>
      <c r="F36" s="1079"/>
      <c r="G36" s="780"/>
      <c r="H36" s="1246" t="s">
        <v>11765</v>
      </c>
      <c r="I36" s="780">
        <v>1</v>
      </c>
      <c r="J36" s="1247">
        <f>7+1*2</f>
        <v>9</v>
      </c>
      <c r="K36" s="1247">
        <f>4.9+1*2</f>
        <v>6.9</v>
      </c>
      <c r="L36" s="780" t="s">
        <v>21</v>
      </c>
      <c r="M36" s="1139">
        <f t="shared" si="0"/>
        <v>62.1</v>
      </c>
      <c r="N36" s="834"/>
      <c r="O36" s="1079"/>
      <c r="P36" s="777"/>
      <c r="Q36" s="805"/>
      <c r="S36" s="777"/>
    </row>
    <row r="37" spans="1:19" ht="12.75" customHeight="1">
      <c r="D37" s="1119"/>
      <c r="E37" s="1079"/>
      <c r="F37" s="1079"/>
      <c r="G37" s="780"/>
      <c r="H37" s="1246" t="s">
        <v>11780</v>
      </c>
      <c r="I37" s="780">
        <v>1</v>
      </c>
      <c r="J37" s="1247">
        <f>4.25+1*2</f>
        <v>6.25</v>
      </c>
      <c r="K37" s="1247">
        <f>3.5+1*2</f>
        <v>5.5</v>
      </c>
      <c r="L37" s="780" t="s">
        <v>21</v>
      </c>
      <c r="M37" s="1139">
        <f t="shared" si="0"/>
        <v>34.375</v>
      </c>
      <c r="N37" s="834"/>
      <c r="O37" s="1079"/>
      <c r="P37" s="777"/>
      <c r="Q37" s="805"/>
      <c r="S37" s="777"/>
    </row>
    <row r="38" spans="1:19" ht="12.75" customHeight="1">
      <c r="D38" s="1119"/>
      <c r="E38" s="1079"/>
      <c r="F38" s="1079"/>
      <c r="G38" s="1694" t="s">
        <v>11783</v>
      </c>
      <c r="H38" s="1694"/>
      <c r="I38" s="780">
        <v>1</v>
      </c>
      <c r="J38" s="1247">
        <f>9.4+1*2</f>
        <v>11.4</v>
      </c>
      <c r="K38" s="1247">
        <f>2.4+1*2</f>
        <v>4.4000000000000004</v>
      </c>
      <c r="L38" s="780" t="s">
        <v>21</v>
      </c>
      <c r="M38" s="1139">
        <f t="shared" si="0"/>
        <v>50.160000000000004</v>
      </c>
      <c r="N38" s="834"/>
      <c r="O38" s="1079"/>
      <c r="P38" s="777"/>
      <c r="Q38" s="805"/>
      <c r="S38" s="777"/>
    </row>
    <row r="39" spans="1:19" ht="12.75" customHeight="1">
      <c r="D39" s="1119"/>
      <c r="E39" s="1079"/>
      <c r="F39" s="1079"/>
      <c r="G39" s="780"/>
      <c r="H39" s="1246" t="s">
        <v>11787</v>
      </c>
      <c r="I39" s="780">
        <v>1</v>
      </c>
      <c r="J39" s="1247">
        <f>6+1*2</f>
        <v>8</v>
      </c>
      <c r="K39" s="1247">
        <f>0.9+1*2</f>
        <v>2.9</v>
      </c>
      <c r="L39" s="780" t="s">
        <v>21</v>
      </c>
      <c r="M39" s="1139">
        <f t="shared" si="0"/>
        <v>23.2</v>
      </c>
      <c r="N39" s="834"/>
      <c r="O39" s="1079"/>
      <c r="P39" s="777"/>
      <c r="Q39" s="805"/>
      <c r="S39" s="777"/>
    </row>
    <row r="40" spans="1:19" ht="12.75" customHeight="1">
      <c r="D40" s="1119"/>
      <c r="E40" s="1079"/>
      <c r="F40" s="1079"/>
      <c r="G40" s="780"/>
      <c r="H40" s="1246" t="s">
        <v>11789</v>
      </c>
      <c r="I40" s="780">
        <v>1</v>
      </c>
      <c r="J40" s="1247">
        <f>4+1*2</f>
        <v>6</v>
      </c>
      <c r="K40" s="1247">
        <f>2+1*2</f>
        <v>4</v>
      </c>
      <c r="L40" s="780" t="s">
        <v>21</v>
      </c>
      <c r="M40" s="1139">
        <f t="shared" si="0"/>
        <v>24</v>
      </c>
      <c r="N40" s="834"/>
      <c r="O40" s="1079"/>
      <c r="P40" s="777"/>
      <c r="Q40" s="805"/>
      <c r="S40" s="777"/>
    </row>
    <row r="41" spans="1:19" ht="12.75" customHeight="1">
      <c r="D41" s="1119"/>
      <c r="E41" s="1079"/>
      <c r="F41" s="1079"/>
      <c r="G41" s="780"/>
      <c r="H41" s="1246" t="s">
        <v>11790</v>
      </c>
      <c r="I41" s="780">
        <v>2</v>
      </c>
      <c r="J41" s="1247">
        <f>11+1*2</f>
        <v>13</v>
      </c>
      <c r="K41" s="1247">
        <f>8+1*2</f>
        <v>10</v>
      </c>
      <c r="L41" s="780" t="s">
        <v>21</v>
      </c>
      <c r="M41" s="1139">
        <f>J41*K41*I41</f>
        <v>260</v>
      </c>
      <c r="N41" s="834"/>
      <c r="O41" s="1079"/>
      <c r="P41" s="777"/>
      <c r="Q41" s="805"/>
      <c r="S41" s="777"/>
    </row>
    <row r="42" spans="1:19" ht="12.75" customHeight="1">
      <c r="D42" s="1119"/>
      <c r="E42" s="1079"/>
      <c r="F42" s="1079"/>
      <c r="G42" s="780"/>
      <c r="H42" s="780"/>
      <c r="I42" s="1246"/>
      <c r="J42" s="780"/>
      <c r="K42" s="780"/>
      <c r="L42" s="780"/>
      <c r="M42" s="1139"/>
      <c r="N42" s="834"/>
      <c r="O42" s="1079"/>
      <c r="P42" s="777"/>
      <c r="Q42" s="805"/>
      <c r="S42" s="777"/>
    </row>
    <row r="43" spans="1:19" ht="22.5">
      <c r="A43" s="959" t="s">
        <v>14191</v>
      </c>
      <c r="B43" s="850" t="s">
        <v>70</v>
      </c>
      <c r="C43" s="850" t="s">
        <v>19263</v>
      </c>
      <c r="D43" s="956" t="str">
        <f>PROPER(IF(B43="Saneago",VLOOKUP(C43,'SANEAGO-FEV.2016'!A:B,2,0),IF(B43="Sinapi",VLOOKUP(C43,'SINAPI-FEV.2017'!A:D,2,0),IF(B43="Cotação",VLOOKUP(C43,COTAÇÃO!A:D,2,0),IF(B43="Composição",VLOOKUP(C43,COMPOSIÇÃO!A:D,2,0))))))</f>
        <v>Locacao Convencional De Obra, Através De Gabarito De Tabuas Corridas Pontaletadas A Cada 1,50M, Sem Reaproveitamento</v>
      </c>
      <c r="E43" s="1121"/>
      <c r="F43" s="1121"/>
      <c r="G43" s="1245"/>
      <c r="H43" s="1245"/>
      <c r="I43" s="1248"/>
      <c r="J43" s="1245"/>
      <c r="K43" s="1249" t="s">
        <v>27</v>
      </c>
      <c r="L43" s="1249" t="s">
        <v>21</v>
      </c>
      <c r="M43" s="1250">
        <f>SUM(M32:M42)</f>
        <v>781.21500000000003</v>
      </c>
      <c r="N43" s="834"/>
      <c r="O43" s="1079"/>
      <c r="P43" s="777"/>
      <c r="Q43" s="805"/>
      <c r="S43" s="777"/>
    </row>
    <row r="44" spans="1:19" s="777" customFormat="1" ht="13.5" customHeight="1" thickBot="1">
      <c r="A44" s="959"/>
      <c r="B44" s="850"/>
      <c r="C44" s="850"/>
      <c r="D44" s="1119"/>
      <c r="E44" s="1079"/>
      <c r="F44" s="1079"/>
      <c r="G44" s="1133"/>
      <c r="H44" s="1133"/>
      <c r="I44" s="1133"/>
      <c r="J44" s="1133"/>
      <c r="K44" s="1133"/>
      <c r="L44" s="780"/>
      <c r="M44" s="1139"/>
      <c r="N44" s="780"/>
      <c r="P44" s="805"/>
    </row>
    <row r="45" spans="1:19" s="777" customFormat="1" ht="14.25" thickTop="1" thickBot="1">
      <c r="A45" s="959"/>
      <c r="B45" s="850"/>
      <c r="C45" s="850"/>
      <c r="D45" s="830" t="s">
        <v>41</v>
      </c>
      <c r="E45" s="831"/>
      <c r="F45" s="831"/>
      <c r="G45" s="831"/>
      <c r="H45" s="831"/>
      <c r="I45" s="831"/>
      <c r="J45" s="831"/>
      <c r="K45" s="831"/>
      <c r="L45" s="832"/>
      <c r="M45" s="833"/>
      <c r="N45" s="804"/>
      <c r="O45" s="805"/>
      <c r="P45" s="805"/>
    </row>
    <row r="46" spans="1:19" s="777" customFormat="1" ht="13.5" thickTop="1">
      <c r="A46" s="959"/>
      <c r="B46" s="850"/>
      <c r="C46" s="850"/>
      <c r="D46" s="878"/>
      <c r="E46" s="816"/>
      <c r="F46" s="816"/>
      <c r="G46" s="780" t="s">
        <v>30</v>
      </c>
      <c r="H46" s="780" t="s">
        <v>30</v>
      </c>
      <c r="I46" s="780" t="s">
        <v>30</v>
      </c>
      <c r="J46" s="780" t="s">
        <v>30</v>
      </c>
      <c r="K46" s="780" t="s">
        <v>30</v>
      </c>
      <c r="L46" s="780"/>
      <c r="M46" s="879"/>
      <c r="N46" s="780"/>
      <c r="P46" s="805"/>
    </row>
    <row r="47" spans="1:19" s="777" customFormat="1">
      <c r="A47" s="959"/>
      <c r="B47" s="850"/>
      <c r="C47" s="850"/>
      <c r="D47" s="956" t="s">
        <v>11766</v>
      </c>
      <c r="E47" s="1121"/>
      <c r="F47" s="1121"/>
      <c r="G47" s="1251"/>
      <c r="H47" s="1251"/>
      <c r="I47" s="1251"/>
      <c r="J47" s="1251"/>
      <c r="K47" s="1251"/>
      <c r="L47" s="1245" t="s">
        <v>18</v>
      </c>
      <c r="M47" s="1140">
        <v>1</v>
      </c>
      <c r="N47" s="780"/>
      <c r="P47" s="805"/>
    </row>
    <row r="48" spans="1:19" s="777" customFormat="1">
      <c r="A48" s="959"/>
      <c r="B48" s="850"/>
      <c r="C48" s="850"/>
      <c r="D48" s="1252"/>
      <c r="E48" s="1253"/>
      <c r="F48" s="1253"/>
      <c r="G48" s="780"/>
      <c r="H48" s="780"/>
      <c r="I48" s="780"/>
      <c r="J48" s="780"/>
      <c r="K48" s="780"/>
      <c r="L48" s="1254"/>
      <c r="M48" s="1255"/>
      <c r="N48" s="780"/>
      <c r="P48" s="805"/>
    </row>
    <row r="49" spans="1:16" s="777" customFormat="1" ht="15">
      <c r="A49" s="959"/>
      <c r="B49" s="850"/>
      <c r="C49" s="850"/>
      <c r="D49" s="956" t="s">
        <v>11668</v>
      </c>
      <c r="E49" s="1121"/>
      <c r="F49" s="1121"/>
      <c r="G49" s="1245"/>
      <c r="H49" s="1245"/>
      <c r="I49" s="1245"/>
      <c r="J49" s="1245"/>
      <c r="K49" s="1245"/>
      <c r="L49" s="1245"/>
      <c r="M49" s="1256">
        <v>25</v>
      </c>
      <c r="N49" s="780"/>
      <c r="O49" s="1257"/>
      <c r="P49" s="805"/>
    </row>
    <row r="50" spans="1:16" s="777" customFormat="1" ht="22.5">
      <c r="A50" s="959"/>
      <c r="B50" s="850"/>
      <c r="C50" s="850"/>
      <c r="D50" s="1252"/>
      <c r="E50" s="1253"/>
      <c r="F50" s="1253"/>
      <c r="G50" s="780"/>
      <c r="H50" s="780"/>
      <c r="I50" s="780" t="s">
        <v>11671</v>
      </c>
      <c r="J50" s="780" t="s">
        <v>11672</v>
      </c>
      <c r="K50" s="780" t="s">
        <v>11673</v>
      </c>
      <c r="L50" s="1254"/>
      <c r="M50" s="1255"/>
      <c r="N50" s="780"/>
      <c r="P50" s="805"/>
    </row>
    <row r="51" spans="1:16" s="777" customFormat="1" ht="15">
      <c r="A51" s="959"/>
      <c r="B51" s="850"/>
      <c r="C51" s="850"/>
      <c r="D51" s="956" t="s">
        <v>11670</v>
      </c>
      <c r="E51" s="1121"/>
      <c r="F51" s="1121"/>
      <c r="G51" s="1245"/>
      <c r="H51" s="1245"/>
      <c r="I51" s="1245">
        <v>0.25</v>
      </c>
      <c r="J51" s="1245">
        <v>0.15</v>
      </c>
      <c r="K51" s="1245">
        <v>0.05</v>
      </c>
      <c r="L51" s="1245" t="s">
        <v>18</v>
      </c>
      <c r="M51" s="1140">
        <f>SUM(I51:K51)</f>
        <v>0.45</v>
      </c>
      <c r="N51" s="780"/>
      <c r="O51" s="1257"/>
      <c r="P51" s="805"/>
    </row>
    <row r="52" spans="1:16" s="777" customFormat="1" ht="15">
      <c r="A52" s="959"/>
      <c r="B52" s="850"/>
      <c r="C52" s="850"/>
      <c r="D52" s="1696" t="s">
        <v>11824</v>
      </c>
      <c r="E52" s="1697"/>
      <c r="F52" s="1697"/>
      <c r="G52" s="1697"/>
      <c r="H52" s="1697"/>
      <c r="I52" s="1697"/>
      <c r="J52" s="1697"/>
      <c r="K52" s="1697"/>
      <c r="L52" s="1697"/>
      <c r="M52" s="1698"/>
      <c r="N52" s="780"/>
      <c r="O52" s="1257"/>
      <c r="P52" s="805"/>
    </row>
    <row r="53" spans="1:16" s="863" customFormat="1" ht="42" customHeight="1">
      <c r="A53" s="862"/>
      <c r="B53" s="835"/>
      <c r="C53" s="835"/>
      <c r="D53" s="826"/>
      <c r="E53" s="790"/>
      <c r="F53" s="790"/>
      <c r="G53" s="700"/>
      <c r="H53" s="700" t="s">
        <v>17</v>
      </c>
      <c r="I53" s="700" t="s">
        <v>19</v>
      </c>
      <c r="J53" s="700" t="s">
        <v>11793</v>
      </c>
      <c r="K53" s="700" t="s">
        <v>11794</v>
      </c>
      <c r="L53" s="700" t="s">
        <v>11776</v>
      </c>
      <c r="M53" s="876" t="s">
        <v>11777</v>
      </c>
      <c r="N53" s="700"/>
      <c r="P53" s="871"/>
    </row>
    <row r="54" spans="1:16" s="863" customFormat="1">
      <c r="A54" s="862"/>
      <c r="B54" s="835"/>
      <c r="C54" s="835"/>
      <c r="D54" s="826"/>
      <c r="E54" s="790"/>
      <c r="F54" s="854"/>
      <c r="G54" s="854" t="s">
        <v>11775</v>
      </c>
      <c r="H54" s="700">
        <v>6.1</v>
      </c>
      <c r="I54" s="700">
        <v>2.2000000000000002</v>
      </c>
      <c r="J54" s="828">
        <v>796.5</v>
      </c>
      <c r="K54" s="828">
        <v>795.8</v>
      </c>
      <c r="L54" s="828">
        <f>J54-K54</f>
        <v>0.70000000000004547</v>
      </c>
      <c r="M54" s="877">
        <f>L54+$M$51</f>
        <v>1.1500000000000454</v>
      </c>
      <c r="N54" s="700"/>
      <c r="P54" s="871"/>
    </row>
    <row r="55" spans="1:16" s="863" customFormat="1">
      <c r="A55" s="862"/>
      <c r="B55" s="835"/>
      <c r="C55" s="835"/>
      <c r="D55" s="826"/>
      <c r="E55" s="790"/>
      <c r="F55" s="854"/>
      <c r="G55" s="854" t="s">
        <v>11804</v>
      </c>
      <c r="H55" s="700">
        <v>9.42</v>
      </c>
      <c r="I55" s="700">
        <v>2.2000000000000002</v>
      </c>
      <c r="J55" s="828">
        <v>796.5</v>
      </c>
      <c r="K55" s="828">
        <v>795.8</v>
      </c>
      <c r="L55" s="828">
        <f t="shared" ref="L55:L65" si="1">J55-K55</f>
        <v>0.70000000000004547</v>
      </c>
      <c r="M55" s="877">
        <f t="shared" ref="M55:M62" si="2">L55+$M$51</f>
        <v>1.1500000000000454</v>
      </c>
      <c r="N55" s="700"/>
      <c r="P55" s="871"/>
    </row>
    <row r="56" spans="1:16" s="863" customFormat="1">
      <c r="A56" s="862"/>
      <c r="B56" s="835"/>
      <c r="C56" s="835"/>
      <c r="D56" s="826"/>
      <c r="E56" s="790"/>
      <c r="F56" s="854"/>
      <c r="G56" s="854" t="s">
        <v>11762</v>
      </c>
      <c r="H56" s="700">
        <v>5.2</v>
      </c>
      <c r="I56" s="700">
        <v>4.7</v>
      </c>
      <c r="J56" s="828">
        <v>796.5</v>
      </c>
      <c r="K56" s="828">
        <v>795.8</v>
      </c>
      <c r="L56" s="828">
        <f t="shared" si="1"/>
        <v>0.70000000000004547</v>
      </c>
      <c r="M56" s="877">
        <f t="shared" si="2"/>
        <v>1.1500000000000454</v>
      </c>
      <c r="N56" s="700"/>
      <c r="P56" s="871"/>
    </row>
    <row r="57" spans="1:16" s="863" customFormat="1">
      <c r="A57" s="862"/>
      <c r="B57" s="835"/>
      <c r="C57" s="835"/>
      <c r="D57" s="826"/>
      <c r="E57" s="790"/>
      <c r="F57" s="854"/>
      <c r="G57" s="854" t="s">
        <v>11763</v>
      </c>
      <c r="H57" s="700">
        <v>11.45</v>
      </c>
      <c r="I57" s="700">
        <v>8.6999999999999993</v>
      </c>
      <c r="J57" s="828">
        <v>796.5</v>
      </c>
      <c r="K57" s="828">
        <v>793.4</v>
      </c>
      <c r="L57" s="828">
        <f t="shared" si="1"/>
        <v>3.1000000000000227</v>
      </c>
      <c r="M57" s="877">
        <f t="shared" si="2"/>
        <v>3.5500000000000229</v>
      </c>
      <c r="N57" s="700"/>
      <c r="P57" s="871"/>
    </row>
    <row r="58" spans="1:16" s="863" customFormat="1">
      <c r="A58" s="862"/>
      <c r="B58" s="835"/>
      <c r="C58" s="835"/>
      <c r="D58" s="826"/>
      <c r="E58" s="790"/>
      <c r="F58" s="854"/>
      <c r="G58" s="854" t="s">
        <v>11778</v>
      </c>
      <c r="H58" s="700">
        <v>6.05</v>
      </c>
      <c r="I58" s="700">
        <v>1.8</v>
      </c>
      <c r="J58" s="828">
        <v>796.5</v>
      </c>
      <c r="K58" s="828">
        <v>795.3</v>
      </c>
      <c r="L58" s="828">
        <f t="shared" si="1"/>
        <v>1.2000000000000455</v>
      </c>
      <c r="M58" s="877">
        <f t="shared" si="2"/>
        <v>1.6500000000000454</v>
      </c>
      <c r="N58" s="700"/>
      <c r="P58" s="871"/>
    </row>
    <row r="59" spans="1:16" s="863" customFormat="1">
      <c r="A59" s="862"/>
      <c r="B59" s="835"/>
      <c r="C59" s="835"/>
      <c r="D59" s="826"/>
      <c r="E59" s="790"/>
      <c r="F59" s="854"/>
      <c r="G59" s="854" t="s">
        <v>11779</v>
      </c>
      <c r="H59" s="700">
        <v>5.85</v>
      </c>
      <c r="I59" s="700">
        <v>1.8</v>
      </c>
      <c r="J59" s="828">
        <v>796.5</v>
      </c>
      <c r="K59" s="828">
        <v>794.9</v>
      </c>
      <c r="L59" s="828">
        <f t="shared" si="1"/>
        <v>1.6000000000000227</v>
      </c>
      <c r="M59" s="877">
        <f t="shared" si="2"/>
        <v>2.0500000000000229</v>
      </c>
      <c r="N59" s="700"/>
      <c r="P59" s="871"/>
    </row>
    <row r="60" spans="1:16" s="863" customFormat="1">
      <c r="A60" s="862"/>
      <c r="B60" s="835"/>
      <c r="C60" s="835"/>
      <c r="D60" s="826"/>
      <c r="E60" s="790"/>
      <c r="F60" s="854"/>
      <c r="G60" s="854" t="s">
        <v>11765</v>
      </c>
      <c r="H60" s="700">
        <v>7</v>
      </c>
      <c r="I60" s="700">
        <v>4.8499999999999996</v>
      </c>
      <c r="J60" s="828">
        <v>796.5</v>
      </c>
      <c r="K60" s="828">
        <v>793.25</v>
      </c>
      <c r="L60" s="828">
        <f t="shared" si="1"/>
        <v>3.25</v>
      </c>
      <c r="M60" s="877">
        <f t="shared" si="2"/>
        <v>3.7</v>
      </c>
      <c r="N60" s="700"/>
      <c r="P60" s="871"/>
    </row>
    <row r="61" spans="1:16" s="863" customFormat="1">
      <c r="A61" s="862"/>
      <c r="B61" s="835"/>
      <c r="C61" s="835"/>
      <c r="D61" s="826"/>
      <c r="E61" s="790"/>
      <c r="F61" s="1674" t="s">
        <v>11781</v>
      </c>
      <c r="G61" s="1674"/>
      <c r="H61" s="700">
        <v>1.86</v>
      </c>
      <c r="I61" s="700">
        <v>1.06</v>
      </c>
      <c r="J61" s="828">
        <v>796.5</v>
      </c>
      <c r="K61" s="828">
        <f>797.25-2.7</f>
        <v>794.55</v>
      </c>
      <c r="L61" s="828">
        <f t="shared" si="1"/>
        <v>1.9500000000000455</v>
      </c>
      <c r="M61" s="877">
        <f t="shared" si="2"/>
        <v>2.4000000000000457</v>
      </c>
      <c r="N61" s="700"/>
      <c r="P61" s="871"/>
    </row>
    <row r="62" spans="1:16" s="863" customFormat="1">
      <c r="A62" s="862"/>
      <c r="B62" s="835"/>
      <c r="C62" s="835"/>
      <c r="D62" s="826"/>
      <c r="E62" s="790"/>
      <c r="F62" s="1674" t="s">
        <v>11782</v>
      </c>
      <c r="G62" s="1674"/>
      <c r="H62" s="700">
        <v>4.25</v>
      </c>
      <c r="I62" s="700">
        <v>3.5</v>
      </c>
      <c r="J62" s="828">
        <v>796.5</v>
      </c>
      <c r="K62" s="828">
        <f>797.25-0.95</f>
        <v>796.3</v>
      </c>
      <c r="L62" s="828">
        <f t="shared" si="1"/>
        <v>0.20000000000004547</v>
      </c>
      <c r="M62" s="877">
        <f t="shared" si="2"/>
        <v>0.65000000000004543</v>
      </c>
      <c r="N62" s="700"/>
      <c r="P62" s="871"/>
    </row>
    <row r="63" spans="1:16" s="863" customFormat="1">
      <c r="A63" s="862"/>
      <c r="B63" s="835"/>
      <c r="C63" s="835"/>
      <c r="D63" s="826"/>
      <c r="E63" s="790"/>
      <c r="F63" s="1674" t="s">
        <v>11822</v>
      </c>
      <c r="G63" s="1674"/>
      <c r="H63" s="700">
        <v>9.4</v>
      </c>
      <c r="I63" s="700">
        <v>2.9</v>
      </c>
      <c r="J63" s="828">
        <v>796.5</v>
      </c>
      <c r="K63" s="828">
        <f>795.85-0.4</f>
        <v>795.45</v>
      </c>
      <c r="L63" s="828">
        <f t="shared" si="1"/>
        <v>1.0499999999999545</v>
      </c>
      <c r="M63" s="877">
        <f>L63+0.05</f>
        <v>1.0999999999999546</v>
      </c>
      <c r="N63" s="700"/>
      <c r="P63" s="871"/>
    </row>
    <row r="64" spans="1:16" s="863" customFormat="1">
      <c r="A64" s="862"/>
      <c r="B64" s="835"/>
      <c r="C64" s="835"/>
      <c r="D64" s="826"/>
      <c r="E64" s="790"/>
      <c r="F64" s="1674" t="s">
        <v>11823</v>
      </c>
      <c r="G64" s="1674"/>
      <c r="H64" s="700">
        <v>15.25</v>
      </c>
      <c r="I64" s="700">
        <v>2.9</v>
      </c>
      <c r="J64" s="828">
        <v>796.5</v>
      </c>
      <c r="K64" s="828">
        <f>795.85-0.4</f>
        <v>795.45</v>
      </c>
      <c r="L64" s="828">
        <f t="shared" si="1"/>
        <v>1.0499999999999545</v>
      </c>
      <c r="M64" s="877">
        <f>L64+0.05</f>
        <v>1.0999999999999546</v>
      </c>
      <c r="N64" s="700"/>
      <c r="P64" s="871"/>
    </row>
    <row r="65" spans="1:16" s="863" customFormat="1">
      <c r="A65" s="862"/>
      <c r="B65" s="835"/>
      <c r="C65" s="835"/>
      <c r="D65" s="826"/>
      <c r="E65" s="790"/>
      <c r="F65" s="854"/>
      <c r="G65" s="854" t="s">
        <v>11788</v>
      </c>
      <c r="H65" s="700">
        <v>6</v>
      </c>
      <c r="I65" s="700">
        <v>0.9</v>
      </c>
      <c r="J65" s="828">
        <v>796.5</v>
      </c>
      <c r="K65" s="828">
        <f>797.1-0.65</f>
        <v>796.45</v>
      </c>
      <c r="L65" s="828">
        <f t="shared" si="1"/>
        <v>4.9999999999954525E-2</v>
      </c>
      <c r="M65" s="877">
        <f>L65+0.05</f>
        <v>9.9999999999954528E-2</v>
      </c>
      <c r="N65" s="700"/>
      <c r="P65" s="871"/>
    </row>
    <row r="66" spans="1:16" s="863" customFormat="1">
      <c r="A66" s="862"/>
      <c r="B66" s="835"/>
      <c r="C66" s="835"/>
      <c r="D66" s="826"/>
      <c r="E66" s="790"/>
      <c r="F66" s="854"/>
      <c r="G66" s="854"/>
      <c r="H66" s="700"/>
      <c r="I66" s="700"/>
      <c r="J66" s="828"/>
      <c r="K66" s="828"/>
      <c r="L66" s="828"/>
      <c r="M66" s="877"/>
      <c r="N66" s="700"/>
      <c r="P66" s="871"/>
    </row>
    <row r="67" spans="1:16" s="863" customFormat="1" ht="33.75">
      <c r="A67" s="862"/>
      <c r="B67" s="835"/>
      <c r="C67" s="835"/>
      <c r="D67" s="881"/>
      <c r="E67" s="882"/>
      <c r="F67" s="882"/>
      <c r="G67" s="883" t="s">
        <v>11676</v>
      </c>
      <c r="H67" s="883" t="s">
        <v>11669</v>
      </c>
      <c r="I67" s="883" t="s">
        <v>11674</v>
      </c>
      <c r="J67" s="883" t="s">
        <v>11675</v>
      </c>
      <c r="K67" s="883" t="s">
        <v>11777</v>
      </c>
      <c r="L67" s="883"/>
      <c r="M67" s="884"/>
      <c r="N67" s="700"/>
      <c r="P67" s="871"/>
    </row>
    <row r="68" spans="1:16" s="863" customFormat="1" ht="13.5" customHeight="1">
      <c r="A68" s="862"/>
      <c r="B68" s="835"/>
      <c r="C68" s="835"/>
      <c r="D68" s="888" t="s">
        <v>11775</v>
      </c>
      <c r="E68" s="790"/>
      <c r="F68" s="790"/>
      <c r="G68" s="828">
        <f t="shared" ref="G68:H76" si="3">H54+$M$47*2</f>
        <v>8.1</v>
      </c>
      <c r="H68" s="828">
        <f t="shared" si="3"/>
        <v>4.2</v>
      </c>
      <c r="I68" s="828">
        <f t="shared" ref="I68:I76" si="4">G68+2*(K68*TAN(M$49*PI()/180))</f>
        <v>9.1725076137565384</v>
      </c>
      <c r="J68" s="828">
        <f t="shared" ref="J68:J76" si="5">H68+2*(K68*TAN(M$49*PI()/180))</f>
        <v>5.272507613756539</v>
      </c>
      <c r="K68" s="828">
        <f t="shared" ref="K68:K79" si="6">M54</f>
        <v>1.1500000000000454</v>
      </c>
      <c r="L68" s="700" t="s">
        <v>22</v>
      </c>
      <c r="M68" s="829">
        <f>ROUND((K68/3)*((I68*J68)+SQRT((I68*J68)*(G68*H68))+(G68*H68)),2)</f>
        <v>47.13</v>
      </c>
      <c r="N68" s="700"/>
      <c r="P68" s="871"/>
    </row>
    <row r="69" spans="1:16" s="863" customFormat="1" ht="13.5" customHeight="1">
      <c r="A69" s="862"/>
      <c r="B69" s="835"/>
      <c r="C69" s="835"/>
      <c r="D69" s="888" t="s">
        <v>11804</v>
      </c>
      <c r="E69" s="790"/>
      <c r="F69" s="790"/>
      <c r="G69" s="828">
        <f t="shared" si="3"/>
        <v>11.42</v>
      </c>
      <c r="H69" s="828">
        <f t="shared" si="3"/>
        <v>4.2</v>
      </c>
      <c r="I69" s="828">
        <f t="shared" si="4"/>
        <v>12.492507613756539</v>
      </c>
      <c r="J69" s="828">
        <f t="shared" si="5"/>
        <v>5.272507613756539</v>
      </c>
      <c r="K69" s="828">
        <f t="shared" si="6"/>
        <v>1.1500000000000454</v>
      </c>
      <c r="L69" s="700" t="s">
        <v>22</v>
      </c>
      <c r="M69" s="829">
        <f t="shared" ref="M69:M79" si="7">ROUND((K69/3)*((I69*J69)+SQRT((I69*J69)*(G69*H69))+(G69*H69)),2)</f>
        <v>65.180000000000007</v>
      </c>
      <c r="N69" s="700"/>
      <c r="P69" s="871"/>
    </row>
    <row r="70" spans="1:16" s="863" customFormat="1" ht="13.5" customHeight="1">
      <c r="A70" s="862"/>
      <c r="B70" s="835"/>
      <c r="C70" s="835"/>
      <c r="D70" s="888" t="s">
        <v>11762</v>
      </c>
      <c r="E70" s="790"/>
      <c r="F70" s="790"/>
      <c r="G70" s="828">
        <f t="shared" si="3"/>
        <v>7.2</v>
      </c>
      <c r="H70" s="828">
        <f t="shared" si="3"/>
        <v>6.7</v>
      </c>
      <c r="I70" s="828">
        <f t="shared" si="4"/>
        <v>8.2725076137565399</v>
      </c>
      <c r="J70" s="828">
        <f t="shared" si="5"/>
        <v>7.772507613756539</v>
      </c>
      <c r="K70" s="828">
        <f t="shared" si="6"/>
        <v>1.1500000000000454</v>
      </c>
      <c r="L70" s="700" t="s">
        <v>22</v>
      </c>
      <c r="M70" s="829">
        <f t="shared" si="7"/>
        <v>64.489999999999995</v>
      </c>
      <c r="N70" s="700"/>
      <c r="P70" s="871"/>
    </row>
    <row r="71" spans="1:16" s="863" customFormat="1" ht="13.5" customHeight="1">
      <c r="A71" s="862"/>
      <c r="B71" s="835"/>
      <c r="C71" s="835"/>
      <c r="D71" s="888" t="s">
        <v>11763</v>
      </c>
      <c r="E71" s="790"/>
      <c r="F71" s="790"/>
      <c r="G71" s="828">
        <f t="shared" si="3"/>
        <v>13.45</v>
      </c>
      <c r="H71" s="828">
        <f t="shared" si="3"/>
        <v>10.7</v>
      </c>
      <c r="I71" s="828">
        <f t="shared" si="4"/>
        <v>16.76078437290051</v>
      </c>
      <c r="J71" s="828">
        <f t="shared" si="5"/>
        <v>14.01078437290051</v>
      </c>
      <c r="K71" s="828">
        <f t="shared" si="6"/>
        <v>3.5500000000000229</v>
      </c>
      <c r="L71" s="700" t="s">
        <v>22</v>
      </c>
      <c r="M71" s="829">
        <v>0</v>
      </c>
      <c r="N71" s="700"/>
      <c r="P71" s="871"/>
    </row>
    <row r="72" spans="1:16" s="863" customFormat="1" ht="13.5" customHeight="1">
      <c r="A72" s="862"/>
      <c r="B72" s="835"/>
      <c r="C72" s="835"/>
      <c r="D72" s="888" t="s">
        <v>11778</v>
      </c>
      <c r="E72" s="790"/>
      <c r="F72" s="790"/>
      <c r="G72" s="828">
        <f t="shared" si="3"/>
        <v>8.0500000000000007</v>
      </c>
      <c r="H72" s="828">
        <f t="shared" si="3"/>
        <v>3.8</v>
      </c>
      <c r="I72" s="828">
        <f t="shared" si="4"/>
        <v>9.5888152719115389</v>
      </c>
      <c r="J72" s="828">
        <f t="shared" si="5"/>
        <v>5.3388152719115372</v>
      </c>
      <c r="K72" s="828">
        <f t="shared" si="6"/>
        <v>1.6500000000000454</v>
      </c>
      <c r="L72" s="700" t="s">
        <v>22</v>
      </c>
      <c r="M72" s="829">
        <f t="shared" si="7"/>
        <v>66.75</v>
      </c>
      <c r="N72" s="700"/>
      <c r="P72" s="871"/>
    </row>
    <row r="73" spans="1:16" s="863" customFormat="1" ht="13.5" customHeight="1">
      <c r="A73" s="862"/>
      <c r="B73" s="835"/>
      <c r="C73" s="835"/>
      <c r="D73" s="888" t="s">
        <v>11779</v>
      </c>
      <c r="E73" s="790"/>
      <c r="F73" s="790"/>
      <c r="G73" s="828">
        <f t="shared" si="3"/>
        <v>7.85</v>
      </c>
      <c r="H73" s="828">
        <f t="shared" si="3"/>
        <v>3.8</v>
      </c>
      <c r="I73" s="828">
        <f t="shared" si="4"/>
        <v>9.7618613984355154</v>
      </c>
      <c r="J73" s="828">
        <f t="shared" si="5"/>
        <v>5.7118613984355155</v>
      </c>
      <c r="K73" s="828">
        <f t="shared" si="6"/>
        <v>2.0500000000000229</v>
      </c>
      <c r="L73" s="700" t="s">
        <v>22</v>
      </c>
      <c r="M73" s="829">
        <f t="shared" si="7"/>
        <v>86.35</v>
      </c>
      <c r="N73" s="700"/>
      <c r="P73" s="871"/>
    </row>
    <row r="74" spans="1:16" s="863" customFormat="1" ht="13.5" customHeight="1">
      <c r="A74" s="862"/>
      <c r="B74" s="835"/>
      <c r="C74" s="835"/>
      <c r="D74" s="888" t="s">
        <v>11765</v>
      </c>
      <c r="E74" s="790"/>
      <c r="F74" s="790"/>
      <c r="G74" s="828">
        <f t="shared" si="3"/>
        <v>9</v>
      </c>
      <c r="H74" s="828">
        <f t="shared" si="3"/>
        <v>6.85</v>
      </c>
      <c r="I74" s="828">
        <f t="shared" si="4"/>
        <v>12.45067667034699</v>
      </c>
      <c r="J74" s="828">
        <f t="shared" si="5"/>
        <v>10.30067667034699</v>
      </c>
      <c r="K74" s="828">
        <f t="shared" si="6"/>
        <v>3.7</v>
      </c>
      <c r="L74" s="700" t="s">
        <v>22</v>
      </c>
      <c r="M74" s="829">
        <v>0</v>
      </c>
      <c r="N74" s="700"/>
      <c r="P74" s="871"/>
    </row>
    <row r="75" spans="1:16" s="863" customFormat="1" ht="13.5" customHeight="1">
      <c r="A75" s="862"/>
      <c r="B75" s="835"/>
      <c r="C75" s="835"/>
      <c r="D75" s="888" t="s">
        <v>11781</v>
      </c>
      <c r="E75" s="824"/>
      <c r="F75" s="790"/>
      <c r="G75" s="828">
        <f t="shared" si="3"/>
        <v>3.8600000000000003</v>
      </c>
      <c r="H75" s="828">
        <f t="shared" si="3"/>
        <v>3.06</v>
      </c>
      <c r="I75" s="828">
        <f t="shared" si="4"/>
        <v>6.0982767591440359</v>
      </c>
      <c r="J75" s="828">
        <f t="shared" si="5"/>
        <v>5.2982767591440361</v>
      </c>
      <c r="K75" s="828">
        <f t="shared" si="6"/>
        <v>2.4000000000000457</v>
      </c>
      <c r="L75" s="700" t="s">
        <v>22</v>
      </c>
      <c r="M75" s="829">
        <f t="shared" si="7"/>
        <v>50.93</v>
      </c>
      <c r="N75" s="700"/>
      <c r="P75" s="871"/>
    </row>
    <row r="76" spans="1:16" s="863" customFormat="1" ht="13.5" customHeight="1">
      <c r="A76" s="862"/>
      <c r="B76" s="835"/>
      <c r="C76" s="835"/>
      <c r="D76" s="888" t="s">
        <v>11782</v>
      </c>
      <c r="E76" s="824"/>
      <c r="F76" s="790"/>
      <c r="G76" s="828">
        <f t="shared" si="3"/>
        <v>6.25</v>
      </c>
      <c r="H76" s="828">
        <f t="shared" si="3"/>
        <v>5.5</v>
      </c>
      <c r="I76" s="828">
        <f t="shared" si="4"/>
        <v>6.8561999556015403</v>
      </c>
      <c r="J76" s="828">
        <f t="shared" si="5"/>
        <v>6.1061999556015403</v>
      </c>
      <c r="K76" s="828">
        <f t="shared" si="6"/>
        <v>0.65000000000004543</v>
      </c>
      <c r="L76" s="700" t="s">
        <v>22</v>
      </c>
      <c r="M76" s="829">
        <f t="shared" si="7"/>
        <v>24.74</v>
      </c>
      <c r="N76" s="700"/>
      <c r="P76" s="871"/>
    </row>
    <row r="77" spans="1:16" s="863" customFormat="1" ht="13.5" customHeight="1">
      <c r="A77" s="862"/>
      <c r="B77" s="835"/>
      <c r="C77" s="835"/>
      <c r="D77" s="888" t="s">
        <v>11822</v>
      </c>
      <c r="E77" s="824"/>
      <c r="F77" s="790"/>
      <c r="G77" s="828">
        <f t="shared" ref="G77:H79" si="8">H63</f>
        <v>9.4</v>
      </c>
      <c r="H77" s="828">
        <f t="shared" si="8"/>
        <v>2.9</v>
      </c>
      <c r="I77" s="828">
        <f>G77+2*(K77*TAN(M$49*PI()/180))</f>
        <v>10.425876847940955</v>
      </c>
      <c r="J77" s="828">
        <f>H77+2*(K77*TAN(M$49*PI()/180))</f>
        <v>3.9258768479409545</v>
      </c>
      <c r="K77" s="828">
        <f t="shared" si="6"/>
        <v>1.0999999999999546</v>
      </c>
      <c r="L77" s="700" t="s">
        <v>22</v>
      </c>
      <c r="M77" s="829">
        <f t="shared" si="7"/>
        <v>37.25</v>
      </c>
      <c r="N77" s="700"/>
      <c r="P77" s="871"/>
    </row>
    <row r="78" spans="1:16" s="863" customFormat="1" ht="13.5" customHeight="1">
      <c r="A78" s="862"/>
      <c r="B78" s="835"/>
      <c r="C78" s="835"/>
      <c r="D78" s="888" t="s">
        <v>11823</v>
      </c>
      <c r="E78" s="824"/>
      <c r="F78" s="790"/>
      <c r="G78" s="828">
        <f t="shared" si="8"/>
        <v>15.25</v>
      </c>
      <c r="H78" s="828">
        <f t="shared" si="8"/>
        <v>2.9</v>
      </c>
      <c r="I78" s="828">
        <f>G78+2*(K78*TAN(M$49*PI()/180))</f>
        <v>16.275876847940953</v>
      </c>
      <c r="J78" s="828">
        <f>H78+2*(K78*TAN(M$49*PI()/180))</f>
        <v>3.9258768479409545</v>
      </c>
      <c r="K78" s="828">
        <f t="shared" si="6"/>
        <v>1.0999999999999546</v>
      </c>
      <c r="L78" s="700" t="s">
        <v>22</v>
      </c>
      <c r="M78" s="829">
        <f t="shared" si="7"/>
        <v>59.14</v>
      </c>
      <c r="N78" s="700"/>
      <c r="P78" s="871"/>
    </row>
    <row r="79" spans="1:16" s="863" customFormat="1" ht="13.5" customHeight="1">
      <c r="A79" s="862"/>
      <c r="B79" s="835"/>
      <c r="C79" s="835"/>
      <c r="D79" s="888" t="s">
        <v>11788</v>
      </c>
      <c r="E79" s="824"/>
      <c r="F79" s="790"/>
      <c r="G79" s="828">
        <f t="shared" si="8"/>
        <v>6</v>
      </c>
      <c r="H79" s="828">
        <f t="shared" si="8"/>
        <v>0.9</v>
      </c>
      <c r="I79" s="828">
        <f>G79+2*(K79*TAN(M$49*PI()/180))</f>
        <v>6.0932615316309571</v>
      </c>
      <c r="J79" s="828">
        <f>H79+2*(K79*TAN(M$49*PI()/180))</f>
        <v>0.99326153163095732</v>
      </c>
      <c r="K79" s="828">
        <f t="shared" si="6"/>
        <v>9.9999999999954528E-2</v>
      </c>
      <c r="L79" s="700" t="s">
        <v>22</v>
      </c>
      <c r="M79" s="829">
        <f t="shared" si="7"/>
        <v>0.56999999999999995</v>
      </c>
      <c r="N79" s="700"/>
      <c r="P79" s="871"/>
    </row>
    <row r="80" spans="1:16" s="863" customFormat="1" ht="14.25" customHeight="1">
      <c r="A80" s="862"/>
      <c r="B80" s="835"/>
      <c r="C80" s="835"/>
      <c r="D80" s="826" t="s">
        <v>11784</v>
      </c>
      <c r="E80" s="790"/>
      <c r="F80" s="790"/>
      <c r="G80" s="828"/>
      <c r="H80" s="828"/>
      <c r="I80" s="828"/>
      <c r="J80" s="828"/>
      <c r="K80" s="901" t="s">
        <v>27</v>
      </c>
      <c r="L80" s="816" t="s">
        <v>22</v>
      </c>
      <c r="M80" s="902">
        <f>SUM(M68:M79)</f>
        <v>502.53</v>
      </c>
      <c r="N80" s="828">
        <f>M94+M110+M126</f>
        <v>502.64</v>
      </c>
      <c r="O80" s="886"/>
      <c r="P80" s="871"/>
    </row>
    <row r="81" spans="1:16" s="863" customFormat="1" ht="22.5">
      <c r="A81" s="862"/>
      <c r="B81" s="835"/>
      <c r="C81" s="835"/>
      <c r="D81" s="881"/>
      <c r="E81" s="882"/>
      <c r="F81" s="882"/>
      <c r="G81" s="883" t="s">
        <v>11676</v>
      </c>
      <c r="H81" s="883" t="s">
        <v>11669</v>
      </c>
      <c r="I81" s="883" t="s">
        <v>11674</v>
      </c>
      <c r="J81" s="883" t="s">
        <v>11675</v>
      </c>
      <c r="K81" s="883" t="s">
        <v>11667</v>
      </c>
      <c r="L81" s="883"/>
      <c r="M81" s="884"/>
      <c r="N81" s="700"/>
      <c r="P81" s="871"/>
    </row>
    <row r="82" spans="1:16" s="863" customFormat="1">
      <c r="A82" s="862"/>
      <c r="B82" s="835"/>
      <c r="C82" s="835"/>
      <c r="D82" s="888" t="s">
        <v>11775</v>
      </c>
      <c r="E82" s="790"/>
      <c r="F82" s="790"/>
      <c r="G82" s="828">
        <f>I98</f>
        <v>8.1</v>
      </c>
      <c r="H82" s="828">
        <f>J98</f>
        <v>4.2</v>
      </c>
      <c r="I82" s="828">
        <f>ROUND(G82+2*(K82*TAN(M$49*PI()/180)),2)</f>
        <v>9.17</v>
      </c>
      <c r="J82" s="828">
        <f>ROUND(H82+2*(K82*TAN(M$49*PI()/180)),2)</f>
        <v>5.27</v>
      </c>
      <c r="K82" s="828">
        <f>K68-K98-K113</f>
        <v>1.1500000000000454</v>
      </c>
      <c r="L82" s="700" t="s">
        <v>22</v>
      </c>
      <c r="M82" s="829">
        <f t="shared" ref="M82:M93" si="9">ROUND((K82/3)*((I82*J82)+SQRT((I82*J82)*(G82*H82))+(G82*H82)),2)</f>
        <v>47.11</v>
      </c>
      <c r="N82" s="700"/>
      <c r="P82" s="871"/>
    </row>
    <row r="83" spans="1:16" s="863" customFormat="1">
      <c r="A83" s="862"/>
      <c r="B83" s="835"/>
      <c r="C83" s="835"/>
      <c r="D83" s="888" t="s">
        <v>11804</v>
      </c>
      <c r="E83" s="790"/>
      <c r="F83" s="790"/>
      <c r="G83" s="828">
        <f t="shared" ref="G83:H93" si="10">I99</f>
        <v>11.42</v>
      </c>
      <c r="H83" s="828">
        <f t="shared" si="10"/>
        <v>4.2</v>
      </c>
      <c r="I83" s="828">
        <f t="shared" ref="I83:I93" si="11">ROUND(G83+2*(K83*TAN(M$49*PI()/180)),2)</f>
        <v>12.49</v>
      </c>
      <c r="J83" s="828">
        <f t="shared" ref="J83:J91" si="12">ROUND(H83+2*(K83*TAN(M$49*PI()/180)),2)</f>
        <v>5.27</v>
      </c>
      <c r="K83" s="828">
        <f t="shared" ref="K83:K93" si="13">K69-K99-K114</f>
        <v>1.1500000000000454</v>
      </c>
      <c r="L83" s="700" t="s">
        <v>22</v>
      </c>
      <c r="M83" s="829">
        <f t="shared" si="9"/>
        <v>65.16</v>
      </c>
      <c r="N83" s="700"/>
      <c r="P83" s="871"/>
    </row>
    <row r="84" spans="1:16" s="863" customFormat="1">
      <c r="A84" s="862"/>
      <c r="B84" s="835"/>
      <c r="C84" s="835"/>
      <c r="D84" s="888" t="s">
        <v>11762</v>
      </c>
      <c r="E84" s="790"/>
      <c r="F84" s="790"/>
      <c r="G84" s="828">
        <f t="shared" si="10"/>
        <v>7.2</v>
      </c>
      <c r="H84" s="828">
        <f t="shared" si="10"/>
        <v>6.7</v>
      </c>
      <c r="I84" s="828">
        <f t="shared" si="11"/>
        <v>8.27</v>
      </c>
      <c r="J84" s="828">
        <f t="shared" si="12"/>
        <v>7.77</v>
      </c>
      <c r="K84" s="828">
        <f t="shared" si="13"/>
        <v>1.1500000000000454</v>
      </c>
      <c r="L84" s="700" t="s">
        <v>22</v>
      </c>
      <c r="M84" s="829">
        <f t="shared" si="9"/>
        <v>64.47</v>
      </c>
      <c r="N84" s="700"/>
      <c r="P84" s="871"/>
    </row>
    <row r="85" spans="1:16" s="863" customFormat="1">
      <c r="A85" s="862"/>
      <c r="B85" s="835"/>
      <c r="C85" s="835"/>
      <c r="D85" s="888" t="s">
        <v>11763</v>
      </c>
      <c r="E85" s="790"/>
      <c r="F85" s="790"/>
      <c r="G85" s="828">
        <f t="shared" si="10"/>
        <v>15.36</v>
      </c>
      <c r="H85" s="828">
        <f t="shared" si="10"/>
        <v>12.61</v>
      </c>
      <c r="I85" s="828">
        <f t="shared" si="11"/>
        <v>16.760000000000002</v>
      </c>
      <c r="J85" s="828">
        <f t="shared" si="12"/>
        <v>14.01</v>
      </c>
      <c r="K85" s="828">
        <f t="shared" si="13"/>
        <v>1.5</v>
      </c>
      <c r="L85" s="700" t="s">
        <v>22</v>
      </c>
      <c r="M85" s="829">
        <v>0</v>
      </c>
      <c r="N85" s="700"/>
      <c r="P85" s="871"/>
    </row>
    <row r="86" spans="1:16" s="863" customFormat="1">
      <c r="A86" s="862"/>
      <c r="B86" s="835"/>
      <c r="C86" s="835"/>
      <c r="D86" s="888" t="s">
        <v>11778</v>
      </c>
      <c r="E86" s="790"/>
      <c r="F86" s="790"/>
      <c r="G86" s="828">
        <f t="shared" si="10"/>
        <v>8.19</v>
      </c>
      <c r="H86" s="828">
        <f t="shared" si="10"/>
        <v>3.94</v>
      </c>
      <c r="I86" s="828">
        <f t="shared" si="11"/>
        <v>9.59</v>
      </c>
      <c r="J86" s="828">
        <f t="shared" si="12"/>
        <v>5.34</v>
      </c>
      <c r="K86" s="828">
        <f t="shared" si="13"/>
        <v>1.5</v>
      </c>
      <c r="L86" s="700" t="s">
        <v>22</v>
      </c>
      <c r="M86" s="829">
        <f t="shared" si="9"/>
        <v>62.07</v>
      </c>
      <c r="N86" s="700"/>
      <c r="P86" s="871"/>
    </row>
    <row r="87" spans="1:16" s="863" customFormat="1">
      <c r="A87" s="862"/>
      <c r="B87" s="835"/>
      <c r="C87" s="835"/>
      <c r="D87" s="888" t="s">
        <v>11779</v>
      </c>
      <c r="E87" s="790"/>
      <c r="F87" s="790"/>
      <c r="G87" s="828">
        <f t="shared" si="10"/>
        <v>8.36</v>
      </c>
      <c r="H87" s="828">
        <f t="shared" si="10"/>
        <v>4.3099999999999996</v>
      </c>
      <c r="I87" s="828">
        <f t="shared" si="11"/>
        <v>9.76</v>
      </c>
      <c r="J87" s="828">
        <f t="shared" si="12"/>
        <v>5.71</v>
      </c>
      <c r="K87" s="828">
        <f t="shared" si="13"/>
        <v>1.5</v>
      </c>
      <c r="L87" s="700" t="s">
        <v>22</v>
      </c>
      <c r="M87" s="829">
        <f t="shared" si="9"/>
        <v>68.290000000000006</v>
      </c>
      <c r="N87" s="700"/>
      <c r="P87" s="871"/>
    </row>
    <row r="88" spans="1:16" s="863" customFormat="1">
      <c r="A88" s="862"/>
      <c r="B88" s="835"/>
      <c r="C88" s="835"/>
      <c r="D88" s="888" t="s">
        <v>11765</v>
      </c>
      <c r="E88" s="790"/>
      <c r="F88" s="790"/>
      <c r="G88" s="828">
        <f t="shared" si="10"/>
        <v>11.05</v>
      </c>
      <c r="H88" s="828">
        <f t="shared" si="10"/>
        <v>8.9</v>
      </c>
      <c r="I88" s="828">
        <f t="shared" si="11"/>
        <v>12.45</v>
      </c>
      <c r="J88" s="828">
        <f t="shared" si="12"/>
        <v>10.3</v>
      </c>
      <c r="K88" s="828">
        <f t="shared" si="13"/>
        <v>1.5</v>
      </c>
      <c r="L88" s="700" t="s">
        <v>22</v>
      </c>
      <c r="M88" s="829">
        <v>0</v>
      </c>
      <c r="N88" s="700"/>
      <c r="P88" s="871"/>
    </row>
    <row r="89" spans="1:16" s="863" customFormat="1">
      <c r="A89" s="862"/>
      <c r="B89" s="835"/>
      <c r="C89" s="835"/>
      <c r="D89" s="888" t="s">
        <v>11781</v>
      </c>
      <c r="E89" s="790"/>
      <c r="F89" s="790"/>
      <c r="G89" s="828">
        <f t="shared" si="10"/>
        <v>4.7</v>
      </c>
      <c r="H89" s="828">
        <f t="shared" si="10"/>
        <v>3.9</v>
      </c>
      <c r="I89" s="828">
        <f t="shared" si="11"/>
        <v>6.1</v>
      </c>
      <c r="J89" s="828">
        <f t="shared" si="12"/>
        <v>5.3</v>
      </c>
      <c r="K89" s="828">
        <f t="shared" si="13"/>
        <v>1.5</v>
      </c>
      <c r="L89" s="700" t="s">
        <v>22</v>
      </c>
      <c r="M89" s="829">
        <f t="shared" si="9"/>
        <v>37.5</v>
      </c>
      <c r="N89" s="700"/>
      <c r="P89" s="871"/>
    </row>
    <row r="90" spans="1:16" s="863" customFormat="1">
      <c r="A90" s="862"/>
      <c r="B90" s="835"/>
      <c r="C90" s="835"/>
      <c r="D90" s="888" t="s">
        <v>11782</v>
      </c>
      <c r="E90" s="790"/>
      <c r="F90" s="790"/>
      <c r="G90" s="828">
        <f t="shared" si="10"/>
        <v>6.25</v>
      </c>
      <c r="H90" s="828">
        <f t="shared" si="10"/>
        <v>5.5</v>
      </c>
      <c r="I90" s="828">
        <f t="shared" si="11"/>
        <v>6.86</v>
      </c>
      <c r="J90" s="828">
        <f t="shared" si="12"/>
        <v>6.11</v>
      </c>
      <c r="K90" s="828">
        <f t="shared" si="13"/>
        <v>0.65000000000004543</v>
      </c>
      <c r="L90" s="700" t="s">
        <v>22</v>
      </c>
      <c r="M90" s="829">
        <f t="shared" si="9"/>
        <v>24.75</v>
      </c>
      <c r="N90" s="700"/>
      <c r="P90" s="871"/>
    </row>
    <row r="91" spans="1:16" s="863" customFormat="1">
      <c r="A91" s="862"/>
      <c r="B91" s="835"/>
      <c r="C91" s="835"/>
      <c r="D91" s="888" t="s">
        <v>11822</v>
      </c>
      <c r="E91" s="790"/>
      <c r="F91" s="790"/>
      <c r="G91" s="828">
        <f t="shared" si="10"/>
        <v>9.4</v>
      </c>
      <c r="H91" s="828">
        <f t="shared" si="10"/>
        <v>2.9</v>
      </c>
      <c r="I91" s="828">
        <f t="shared" si="11"/>
        <v>10.43</v>
      </c>
      <c r="J91" s="828">
        <f t="shared" si="12"/>
        <v>3.93</v>
      </c>
      <c r="K91" s="828">
        <f t="shared" si="13"/>
        <v>1.0999999999999546</v>
      </c>
      <c r="L91" s="700" t="s">
        <v>22</v>
      </c>
      <c r="M91" s="829">
        <f t="shared" si="9"/>
        <v>37.28</v>
      </c>
      <c r="N91" s="700"/>
      <c r="P91" s="871"/>
    </row>
    <row r="92" spans="1:16" s="863" customFormat="1">
      <c r="A92" s="862"/>
      <c r="B92" s="835"/>
      <c r="C92" s="835"/>
      <c r="D92" s="888" t="s">
        <v>11823</v>
      </c>
      <c r="E92" s="790"/>
      <c r="F92" s="790"/>
      <c r="G92" s="828">
        <f t="shared" si="10"/>
        <v>15.25</v>
      </c>
      <c r="H92" s="828">
        <f t="shared" si="10"/>
        <v>2.9</v>
      </c>
      <c r="I92" s="828">
        <f>ROUND(G92+2*(K92*TAN(M$49*PI()/180)),2)</f>
        <v>16.28</v>
      </c>
      <c r="J92" s="828">
        <f>ROUND(H92+2*(K92*TAN(M$49*PI()/180)),2)</f>
        <v>3.93</v>
      </c>
      <c r="K92" s="828">
        <f t="shared" si="13"/>
        <v>1.0999999999999546</v>
      </c>
      <c r="L92" s="700" t="s">
        <v>22</v>
      </c>
      <c r="M92" s="829">
        <f t="shared" si="9"/>
        <v>59.18</v>
      </c>
      <c r="N92" s="700"/>
      <c r="P92" s="871"/>
    </row>
    <row r="93" spans="1:16" s="863" customFormat="1">
      <c r="A93" s="862"/>
      <c r="B93" s="835"/>
      <c r="C93" s="835"/>
      <c r="D93" s="888" t="s">
        <v>11788</v>
      </c>
      <c r="E93" s="790"/>
      <c r="F93" s="790"/>
      <c r="G93" s="828">
        <f t="shared" si="10"/>
        <v>6</v>
      </c>
      <c r="H93" s="828">
        <f t="shared" si="10"/>
        <v>0.9</v>
      </c>
      <c r="I93" s="828">
        <f t="shared" si="11"/>
        <v>6.09</v>
      </c>
      <c r="J93" s="828">
        <f>ROUND(H93+2*(K93*TAN(M$49*PI()/180)),2)</f>
        <v>0.99</v>
      </c>
      <c r="K93" s="828">
        <f t="shared" si="13"/>
        <v>9.9999999999954528E-2</v>
      </c>
      <c r="L93" s="700" t="s">
        <v>22</v>
      </c>
      <c r="M93" s="829">
        <f t="shared" si="9"/>
        <v>0.56999999999999995</v>
      </c>
      <c r="N93" s="700"/>
      <c r="P93" s="871"/>
    </row>
    <row r="94" spans="1:16" s="863" customFormat="1">
      <c r="A94" s="862"/>
      <c r="B94" s="835"/>
      <c r="C94" s="835"/>
      <c r="D94" s="888"/>
      <c r="E94" s="790"/>
      <c r="F94" s="790"/>
      <c r="G94" s="828"/>
      <c r="H94" s="828"/>
      <c r="I94" s="1700" t="s">
        <v>11830</v>
      </c>
      <c r="J94" s="1700"/>
      <c r="K94" s="1700"/>
      <c r="L94" s="816" t="s">
        <v>22</v>
      </c>
      <c r="M94" s="902">
        <f>SUM(M82:M93)</f>
        <v>466.38</v>
      </c>
      <c r="N94" s="828">
        <f>M95+N80</f>
        <v>502.64</v>
      </c>
      <c r="P94" s="871"/>
    </row>
    <row r="95" spans="1:16" s="863" customFormat="1">
      <c r="A95" s="862"/>
      <c r="B95" s="835"/>
      <c r="C95" s="835"/>
      <c r="D95" s="826"/>
      <c r="E95" s="790"/>
      <c r="F95" s="790"/>
      <c r="G95" s="700"/>
      <c r="H95" s="700"/>
      <c r="I95" s="1700" t="s">
        <v>11831</v>
      </c>
      <c r="J95" s="1700"/>
      <c r="K95" s="1700"/>
      <c r="L95" s="816" t="s">
        <v>22</v>
      </c>
      <c r="M95" s="902">
        <v>0</v>
      </c>
      <c r="N95" s="700"/>
      <c r="P95" s="871"/>
    </row>
    <row r="96" spans="1:16" s="863" customFormat="1">
      <c r="A96" s="862"/>
      <c r="B96" s="835"/>
      <c r="C96" s="835"/>
      <c r="D96" s="836" t="s">
        <v>20334</v>
      </c>
      <c r="E96" s="837"/>
      <c r="F96" s="837"/>
      <c r="G96" s="838"/>
      <c r="H96" s="1678" t="s">
        <v>20187</v>
      </c>
      <c r="I96" s="1678"/>
      <c r="J96" s="1678"/>
      <c r="K96" s="1678"/>
      <c r="L96" s="856" t="s">
        <v>22</v>
      </c>
      <c r="M96" s="840">
        <f>M95+M94</f>
        <v>466.38</v>
      </c>
      <c r="N96" s="828"/>
      <c r="P96" s="871"/>
    </row>
    <row r="97" spans="1:16" s="863" customFormat="1" ht="22.5">
      <c r="A97" s="862"/>
      <c r="B97" s="835"/>
      <c r="C97" s="835"/>
      <c r="D97" s="881"/>
      <c r="E97" s="882"/>
      <c r="F97" s="882"/>
      <c r="G97" s="700" t="s">
        <v>11676</v>
      </c>
      <c r="H97" s="700" t="s">
        <v>11669</v>
      </c>
      <c r="I97" s="700" t="s">
        <v>11674</v>
      </c>
      <c r="J97" s="700" t="s">
        <v>11675</v>
      </c>
      <c r="K97" s="700" t="s">
        <v>11667</v>
      </c>
      <c r="L97" s="883"/>
      <c r="M97" s="884"/>
      <c r="N97" s="700"/>
      <c r="P97" s="871"/>
    </row>
    <row r="98" spans="1:16" s="863" customFormat="1">
      <c r="A98" s="862"/>
      <c r="B98" s="835"/>
      <c r="C98" s="835"/>
      <c r="D98" s="888" t="s">
        <v>11775</v>
      </c>
      <c r="E98" s="790"/>
      <c r="F98" s="790"/>
      <c r="G98" s="828">
        <f>I113</f>
        <v>8.1</v>
      </c>
      <c r="H98" s="828">
        <f>J113</f>
        <v>4.2</v>
      </c>
      <c r="I98" s="828">
        <f>ROUND(G98+2*(K98*TAN(M$49*PI()/180)),2)</f>
        <v>8.1</v>
      </c>
      <c r="J98" s="828">
        <f>ROUND(H98+2*(K98*TAN(M$49*PI()/180)),2)</f>
        <v>4.2</v>
      </c>
      <c r="K98" s="828">
        <f>IF(K68&gt;1.5,(K68-1.5-K113),0)</f>
        <v>0</v>
      </c>
      <c r="L98" s="700" t="s">
        <v>22</v>
      </c>
      <c r="M98" s="829">
        <f t="shared" ref="M98:M109" si="14">ROUND((K98/3)*((I98*J98)+SQRT((I98*J98)*(G98*H98))+(G98*H98)),2)</f>
        <v>0</v>
      </c>
      <c r="N98" s="700"/>
      <c r="P98" s="871"/>
    </row>
    <row r="99" spans="1:16" s="863" customFormat="1">
      <c r="A99" s="862"/>
      <c r="B99" s="835"/>
      <c r="C99" s="835"/>
      <c r="D99" s="888" t="s">
        <v>11804</v>
      </c>
      <c r="E99" s="790"/>
      <c r="F99" s="790"/>
      <c r="G99" s="828">
        <f t="shared" ref="G99:H109" si="15">I114</f>
        <v>11.42</v>
      </c>
      <c r="H99" s="828">
        <f t="shared" si="15"/>
        <v>4.2</v>
      </c>
      <c r="I99" s="828">
        <f t="shared" ref="I99:I107" si="16">ROUND(G99+2*(K99*TAN(M$49*PI()/180)),2)</f>
        <v>11.42</v>
      </c>
      <c r="J99" s="828">
        <f t="shared" ref="J99:J109" si="17">ROUND(H99+2*(K99*TAN(M$49*PI()/180)),2)</f>
        <v>4.2</v>
      </c>
      <c r="K99" s="828">
        <f t="shared" ref="K99:K109" si="18">IF(K69&gt;1.5,(K69-1.5-K114),0)</f>
        <v>0</v>
      </c>
      <c r="L99" s="700" t="s">
        <v>22</v>
      </c>
      <c r="M99" s="829">
        <f t="shared" si="14"/>
        <v>0</v>
      </c>
      <c r="N99" s="700"/>
      <c r="P99" s="871"/>
    </row>
    <row r="100" spans="1:16" s="863" customFormat="1">
      <c r="A100" s="862"/>
      <c r="B100" s="835"/>
      <c r="C100" s="835"/>
      <c r="D100" s="888" t="s">
        <v>11762</v>
      </c>
      <c r="E100" s="790"/>
      <c r="F100" s="790"/>
      <c r="G100" s="828">
        <f t="shared" si="15"/>
        <v>7.2</v>
      </c>
      <c r="H100" s="828">
        <f t="shared" si="15"/>
        <v>6.7</v>
      </c>
      <c r="I100" s="828">
        <f t="shared" si="16"/>
        <v>7.2</v>
      </c>
      <c r="J100" s="828">
        <f t="shared" si="17"/>
        <v>6.7</v>
      </c>
      <c r="K100" s="828">
        <f t="shared" si="18"/>
        <v>0</v>
      </c>
      <c r="L100" s="700" t="s">
        <v>22</v>
      </c>
      <c r="M100" s="829">
        <f t="shared" si="14"/>
        <v>0</v>
      </c>
      <c r="N100" s="700"/>
      <c r="P100" s="871"/>
    </row>
    <row r="101" spans="1:16" s="863" customFormat="1">
      <c r="A101" s="862"/>
      <c r="B101" s="835"/>
      <c r="C101" s="835"/>
      <c r="D101" s="888" t="s">
        <v>11763</v>
      </c>
      <c r="E101" s="790"/>
      <c r="F101" s="790"/>
      <c r="G101" s="828">
        <f t="shared" si="15"/>
        <v>13.96</v>
      </c>
      <c r="H101" s="828">
        <f t="shared" si="15"/>
        <v>11.21</v>
      </c>
      <c r="I101" s="828">
        <f t="shared" si="16"/>
        <v>15.36</v>
      </c>
      <c r="J101" s="828">
        <f t="shared" si="17"/>
        <v>12.61</v>
      </c>
      <c r="K101" s="828">
        <f t="shared" si="18"/>
        <v>1.5</v>
      </c>
      <c r="L101" s="700" t="s">
        <v>22</v>
      </c>
      <c r="M101" s="829">
        <v>0</v>
      </c>
      <c r="N101" s="700"/>
      <c r="P101" s="871"/>
    </row>
    <row r="102" spans="1:16" s="863" customFormat="1">
      <c r="A102" s="862"/>
      <c r="B102" s="835"/>
      <c r="C102" s="835"/>
      <c r="D102" s="888" t="s">
        <v>11778</v>
      </c>
      <c r="E102" s="790"/>
      <c r="F102" s="790"/>
      <c r="G102" s="828">
        <f t="shared" si="15"/>
        <v>8.0500000000000007</v>
      </c>
      <c r="H102" s="828">
        <f t="shared" si="15"/>
        <v>3.8</v>
      </c>
      <c r="I102" s="828">
        <f t="shared" si="16"/>
        <v>8.19</v>
      </c>
      <c r="J102" s="828">
        <f t="shared" si="17"/>
        <v>3.94</v>
      </c>
      <c r="K102" s="828">
        <f t="shared" si="18"/>
        <v>0.15000000000004543</v>
      </c>
      <c r="L102" s="700" t="s">
        <v>22</v>
      </c>
      <c r="M102" s="829">
        <f t="shared" si="14"/>
        <v>4.71</v>
      </c>
      <c r="N102" s="700"/>
      <c r="P102" s="871"/>
    </row>
    <row r="103" spans="1:16" s="863" customFormat="1">
      <c r="A103" s="862"/>
      <c r="B103" s="835"/>
      <c r="C103" s="835"/>
      <c r="D103" s="888" t="s">
        <v>11779</v>
      </c>
      <c r="E103" s="790"/>
      <c r="F103" s="790"/>
      <c r="G103" s="828">
        <f t="shared" si="15"/>
        <v>7.85</v>
      </c>
      <c r="H103" s="828">
        <f t="shared" si="15"/>
        <v>3.8</v>
      </c>
      <c r="I103" s="828">
        <f t="shared" si="16"/>
        <v>8.36</v>
      </c>
      <c r="J103" s="828">
        <f t="shared" si="17"/>
        <v>4.3099999999999996</v>
      </c>
      <c r="K103" s="828">
        <f t="shared" si="18"/>
        <v>0.55000000000002292</v>
      </c>
      <c r="L103" s="700" t="s">
        <v>22</v>
      </c>
      <c r="M103" s="829">
        <f t="shared" si="14"/>
        <v>18.09</v>
      </c>
      <c r="N103" s="700"/>
      <c r="P103" s="871"/>
    </row>
    <row r="104" spans="1:16" s="863" customFormat="1">
      <c r="A104" s="862"/>
      <c r="B104" s="835"/>
      <c r="C104" s="835"/>
      <c r="D104" s="888" t="s">
        <v>11765</v>
      </c>
      <c r="E104" s="790"/>
      <c r="F104" s="790"/>
      <c r="G104" s="828">
        <f t="shared" si="15"/>
        <v>9.65</v>
      </c>
      <c r="H104" s="828">
        <f t="shared" si="15"/>
        <v>7.5</v>
      </c>
      <c r="I104" s="828">
        <f t="shared" si="16"/>
        <v>11.05</v>
      </c>
      <c r="J104" s="828">
        <f t="shared" si="17"/>
        <v>8.9</v>
      </c>
      <c r="K104" s="828">
        <f t="shared" si="18"/>
        <v>1.5</v>
      </c>
      <c r="L104" s="700" t="s">
        <v>22</v>
      </c>
      <c r="M104" s="829">
        <v>0</v>
      </c>
      <c r="N104" s="700"/>
      <c r="P104" s="871"/>
    </row>
    <row r="105" spans="1:16" s="863" customFormat="1">
      <c r="A105" s="862"/>
      <c r="B105" s="835"/>
      <c r="C105" s="835"/>
      <c r="D105" s="888" t="s">
        <v>11781</v>
      </c>
      <c r="E105" s="790"/>
      <c r="F105" s="790"/>
      <c r="G105" s="828">
        <f t="shared" si="15"/>
        <v>3.86</v>
      </c>
      <c r="H105" s="828">
        <f t="shared" si="15"/>
        <v>3.06</v>
      </c>
      <c r="I105" s="828">
        <f t="shared" si="16"/>
        <v>4.7</v>
      </c>
      <c r="J105" s="828">
        <f t="shared" si="17"/>
        <v>3.9</v>
      </c>
      <c r="K105" s="828">
        <f t="shared" si="18"/>
        <v>0.90000000000004565</v>
      </c>
      <c r="L105" s="700" t="s">
        <v>22</v>
      </c>
      <c r="M105" s="829">
        <f t="shared" si="14"/>
        <v>13.46</v>
      </c>
      <c r="N105" s="700"/>
      <c r="P105" s="871"/>
    </row>
    <row r="106" spans="1:16" s="863" customFormat="1">
      <c r="A106" s="862"/>
      <c r="B106" s="835"/>
      <c r="C106" s="835"/>
      <c r="D106" s="888" t="s">
        <v>11782</v>
      </c>
      <c r="E106" s="790"/>
      <c r="F106" s="790"/>
      <c r="G106" s="828">
        <f t="shared" si="15"/>
        <v>6.25</v>
      </c>
      <c r="H106" s="828">
        <f t="shared" si="15"/>
        <v>5.5</v>
      </c>
      <c r="I106" s="828">
        <f t="shared" si="16"/>
        <v>6.25</v>
      </c>
      <c r="J106" s="828">
        <f t="shared" si="17"/>
        <v>5.5</v>
      </c>
      <c r="K106" s="828">
        <f t="shared" si="18"/>
        <v>0</v>
      </c>
      <c r="L106" s="700" t="s">
        <v>22</v>
      </c>
      <c r="M106" s="829">
        <f t="shared" si="14"/>
        <v>0</v>
      </c>
      <c r="N106" s="700"/>
      <c r="P106" s="871"/>
    </row>
    <row r="107" spans="1:16" s="863" customFormat="1">
      <c r="A107" s="862"/>
      <c r="B107" s="835"/>
      <c r="C107" s="835"/>
      <c r="D107" s="888" t="s">
        <v>11822</v>
      </c>
      <c r="E107" s="790"/>
      <c r="F107" s="790"/>
      <c r="G107" s="828">
        <f t="shared" si="15"/>
        <v>9.4</v>
      </c>
      <c r="H107" s="828">
        <f t="shared" si="15"/>
        <v>2.9</v>
      </c>
      <c r="I107" s="828">
        <f t="shared" si="16"/>
        <v>9.4</v>
      </c>
      <c r="J107" s="828">
        <f t="shared" si="17"/>
        <v>2.9</v>
      </c>
      <c r="K107" s="828">
        <f t="shared" si="18"/>
        <v>0</v>
      </c>
      <c r="L107" s="700" t="s">
        <v>22</v>
      </c>
      <c r="M107" s="829">
        <f t="shared" si="14"/>
        <v>0</v>
      </c>
      <c r="N107" s="700"/>
      <c r="P107" s="871"/>
    </row>
    <row r="108" spans="1:16" s="863" customFormat="1">
      <c r="A108" s="862"/>
      <c r="B108" s="835"/>
      <c r="C108" s="835"/>
      <c r="D108" s="888" t="s">
        <v>11823</v>
      </c>
      <c r="E108" s="790"/>
      <c r="F108" s="790"/>
      <c r="G108" s="828">
        <f t="shared" si="15"/>
        <v>15.25</v>
      </c>
      <c r="H108" s="828">
        <f t="shared" si="15"/>
        <v>2.9</v>
      </c>
      <c r="I108" s="828">
        <f>ROUND(G108+2*(K108*TAN(M$49*PI()/180)),2)</f>
        <v>15.25</v>
      </c>
      <c r="J108" s="828">
        <f>ROUND(H108+2*(K108*TAN(M$49*PI()/180)),2)</f>
        <v>2.9</v>
      </c>
      <c r="K108" s="828">
        <f t="shared" si="18"/>
        <v>0</v>
      </c>
      <c r="L108" s="700" t="s">
        <v>22</v>
      </c>
      <c r="M108" s="829">
        <f t="shared" si="14"/>
        <v>0</v>
      </c>
      <c r="N108" s="700"/>
      <c r="P108" s="871"/>
    </row>
    <row r="109" spans="1:16" s="863" customFormat="1">
      <c r="A109" s="862"/>
      <c r="B109" s="835"/>
      <c r="C109" s="835"/>
      <c r="D109" s="888" t="s">
        <v>11788</v>
      </c>
      <c r="E109" s="790"/>
      <c r="F109" s="790"/>
      <c r="G109" s="828">
        <f t="shared" si="15"/>
        <v>6</v>
      </c>
      <c r="H109" s="828">
        <f t="shared" si="15"/>
        <v>0.9</v>
      </c>
      <c r="I109" s="828">
        <f>ROUND(G109+2*(K109*TAN(M$49*PI()/180)),2)</f>
        <v>6</v>
      </c>
      <c r="J109" s="828">
        <f t="shared" si="17"/>
        <v>0.9</v>
      </c>
      <c r="K109" s="828">
        <f t="shared" si="18"/>
        <v>0</v>
      </c>
      <c r="L109" s="700" t="s">
        <v>22</v>
      </c>
      <c r="M109" s="829">
        <f t="shared" si="14"/>
        <v>0</v>
      </c>
      <c r="N109" s="700"/>
      <c r="P109" s="871"/>
    </row>
    <row r="110" spans="1:16" s="863" customFormat="1">
      <c r="A110" s="862"/>
      <c r="B110" s="835"/>
      <c r="C110" s="835"/>
      <c r="D110" s="826"/>
      <c r="E110" s="790"/>
      <c r="F110" s="790"/>
      <c r="G110" s="700"/>
      <c r="H110" s="700"/>
      <c r="I110" s="1700" t="s">
        <v>11830</v>
      </c>
      <c r="J110" s="1700"/>
      <c r="K110" s="1700"/>
      <c r="L110" s="816" t="s">
        <v>22</v>
      </c>
      <c r="M110" s="902">
        <f>SUM(M98:M109)</f>
        <v>36.260000000000005</v>
      </c>
      <c r="N110" s="700"/>
      <c r="P110" s="871"/>
    </row>
    <row r="111" spans="1:16" s="863" customFormat="1">
      <c r="A111" s="862"/>
      <c r="B111" s="835"/>
      <c r="C111" s="835"/>
      <c r="D111" s="836" t="s">
        <v>20335</v>
      </c>
      <c r="E111" s="837"/>
      <c r="F111" s="837"/>
      <c r="G111" s="838"/>
      <c r="H111" s="1678" t="s">
        <v>20188</v>
      </c>
      <c r="I111" s="1678"/>
      <c r="J111" s="1678"/>
      <c r="K111" s="1678"/>
      <c r="L111" s="856" t="s">
        <v>22</v>
      </c>
      <c r="M111" s="840">
        <f>M110</f>
        <v>36.260000000000005</v>
      </c>
      <c r="N111" s="889"/>
      <c r="P111" s="871"/>
    </row>
    <row r="112" spans="1:16" s="863" customFormat="1" ht="22.5" hidden="1">
      <c r="A112" s="862"/>
      <c r="B112" s="835"/>
      <c r="C112" s="835"/>
      <c r="D112" s="826"/>
      <c r="E112" s="882"/>
      <c r="F112" s="882"/>
      <c r="G112" s="700" t="s">
        <v>11676</v>
      </c>
      <c r="H112" s="700" t="s">
        <v>11669</v>
      </c>
      <c r="I112" s="700" t="s">
        <v>11674</v>
      </c>
      <c r="J112" s="700" t="s">
        <v>11675</v>
      </c>
      <c r="K112" s="700" t="s">
        <v>11667</v>
      </c>
      <c r="L112" s="883"/>
      <c r="M112" s="884"/>
      <c r="N112" s="889"/>
      <c r="P112" s="871"/>
    </row>
    <row r="113" spans="1:16" s="863" customFormat="1" hidden="1">
      <c r="A113" s="862"/>
      <c r="B113" s="835"/>
      <c r="C113" s="835"/>
      <c r="D113" s="888" t="s">
        <v>11775</v>
      </c>
      <c r="E113" s="790"/>
      <c r="F113" s="790"/>
      <c r="G113" s="828">
        <f t="shared" ref="G113:H124" si="19">G68</f>
        <v>8.1</v>
      </c>
      <c r="H113" s="828">
        <f t="shared" si="19"/>
        <v>4.2</v>
      </c>
      <c r="I113" s="828">
        <f>ROUND(G113+2*(K113*TAN(M$49*PI()/180)),2)</f>
        <v>8.1</v>
      </c>
      <c r="J113" s="828">
        <f>ROUND(H113+2*(K113*TAN(M$49*PI()/180)),2)</f>
        <v>4.2</v>
      </c>
      <c r="K113" s="828">
        <f>IF(K68&gt;3,(K68-3),0)</f>
        <v>0</v>
      </c>
      <c r="L113" s="700" t="s">
        <v>22</v>
      </c>
      <c r="M113" s="829">
        <f t="shared" ref="M113:M124" si="20">ROUND((K113/3)*((I113*J113)+SQRT((I113*J113)*(G113*H113))+(G113*H113)),2)</f>
        <v>0</v>
      </c>
      <c r="N113" s="700"/>
      <c r="P113" s="871"/>
    </row>
    <row r="114" spans="1:16" s="863" customFormat="1" hidden="1">
      <c r="A114" s="862"/>
      <c r="B114" s="835"/>
      <c r="C114" s="835"/>
      <c r="D114" s="888" t="s">
        <v>11804</v>
      </c>
      <c r="E114" s="790"/>
      <c r="F114" s="790"/>
      <c r="G114" s="828">
        <f t="shared" si="19"/>
        <v>11.42</v>
      </c>
      <c r="H114" s="828">
        <f t="shared" si="19"/>
        <v>4.2</v>
      </c>
      <c r="I114" s="828">
        <f t="shared" ref="I114:I122" si="21">ROUND(G114+2*(K114*TAN(M$49*PI()/180)),2)</f>
        <v>11.42</v>
      </c>
      <c r="J114" s="828">
        <f t="shared" ref="J114:J122" si="22">ROUND(H114+2*(K114*TAN(M$49*PI()/180)),2)</f>
        <v>4.2</v>
      </c>
      <c r="K114" s="828">
        <f t="shared" ref="K114:K124" si="23">IF(K69&gt;3,(K69-3),0)</f>
        <v>0</v>
      </c>
      <c r="L114" s="700" t="s">
        <v>22</v>
      </c>
      <c r="M114" s="829">
        <f t="shared" si="20"/>
        <v>0</v>
      </c>
      <c r="N114" s="700"/>
      <c r="P114" s="871"/>
    </row>
    <row r="115" spans="1:16" s="863" customFormat="1" hidden="1">
      <c r="A115" s="862"/>
      <c r="B115" s="835"/>
      <c r="C115" s="835"/>
      <c r="D115" s="888" t="s">
        <v>11762</v>
      </c>
      <c r="E115" s="790"/>
      <c r="F115" s="790"/>
      <c r="G115" s="828">
        <f t="shared" si="19"/>
        <v>7.2</v>
      </c>
      <c r="H115" s="828">
        <f t="shared" si="19"/>
        <v>6.7</v>
      </c>
      <c r="I115" s="828">
        <f t="shared" si="21"/>
        <v>7.2</v>
      </c>
      <c r="J115" s="828">
        <f t="shared" si="22"/>
        <v>6.7</v>
      </c>
      <c r="K115" s="828">
        <f t="shared" si="23"/>
        <v>0</v>
      </c>
      <c r="L115" s="700" t="s">
        <v>22</v>
      </c>
      <c r="M115" s="829">
        <f t="shared" si="20"/>
        <v>0</v>
      </c>
      <c r="N115" s="700"/>
      <c r="P115" s="871"/>
    </row>
    <row r="116" spans="1:16" s="863" customFormat="1" hidden="1">
      <c r="A116" s="862"/>
      <c r="B116" s="835"/>
      <c r="C116" s="835"/>
      <c r="D116" s="888" t="s">
        <v>11763</v>
      </c>
      <c r="E116" s="790"/>
      <c r="F116" s="790"/>
      <c r="G116" s="828">
        <f t="shared" si="19"/>
        <v>13.45</v>
      </c>
      <c r="H116" s="828">
        <f t="shared" si="19"/>
        <v>10.7</v>
      </c>
      <c r="I116" s="828">
        <f t="shared" si="21"/>
        <v>13.96</v>
      </c>
      <c r="J116" s="828">
        <f t="shared" si="22"/>
        <v>11.21</v>
      </c>
      <c r="K116" s="828">
        <f t="shared" si="23"/>
        <v>0.55000000000002292</v>
      </c>
      <c r="L116" s="700" t="s">
        <v>22</v>
      </c>
      <c r="M116" s="829">
        <v>0</v>
      </c>
      <c r="N116" s="700"/>
      <c r="P116" s="871"/>
    </row>
    <row r="117" spans="1:16" s="863" customFormat="1" hidden="1">
      <c r="A117" s="862"/>
      <c r="B117" s="835"/>
      <c r="C117" s="835"/>
      <c r="D117" s="888" t="s">
        <v>11778</v>
      </c>
      <c r="E117" s="790"/>
      <c r="F117" s="790"/>
      <c r="G117" s="828">
        <f t="shared" si="19"/>
        <v>8.0500000000000007</v>
      </c>
      <c r="H117" s="828">
        <f t="shared" si="19"/>
        <v>3.8</v>
      </c>
      <c r="I117" s="828">
        <f t="shared" si="21"/>
        <v>8.0500000000000007</v>
      </c>
      <c r="J117" s="828">
        <f t="shared" si="22"/>
        <v>3.8</v>
      </c>
      <c r="K117" s="828">
        <f t="shared" si="23"/>
        <v>0</v>
      </c>
      <c r="L117" s="700" t="s">
        <v>22</v>
      </c>
      <c r="M117" s="829">
        <f t="shared" si="20"/>
        <v>0</v>
      </c>
      <c r="N117" s="700"/>
      <c r="P117" s="871"/>
    </row>
    <row r="118" spans="1:16" s="863" customFormat="1" hidden="1">
      <c r="A118" s="862"/>
      <c r="B118" s="835"/>
      <c r="C118" s="835"/>
      <c r="D118" s="888" t="s">
        <v>11779</v>
      </c>
      <c r="E118" s="790"/>
      <c r="F118" s="790"/>
      <c r="G118" s="828">
        <f t="shared" si="19"/>
        <v>7.85</v>
      </c>
      <c r="H118" s="828">
        <f t="shared" si="19"/>
        <v>3.8</v>
      </c>
      <c r="I118" s="828">
        <f t="shared" si="21"/>
        <v>7.85</v>
      </c>
      <c r="J118" s="828">
        <f t="shared" si="22"/>
        <v>3.8</v>
      </c>
      <c r="K118" s="828">
        <f t="shared" si="23"/>
        <v>0</v>
      </c>
      <c r="L118" s="700" t="s">
        <v>22</v>
      </c>
      <c r="M118" s="829">
        <f t="shared" si="20"/>
        <v>0</v>
      </c>
      <c r="N118" s="700"/>
      <c r="P118" s="871"/>
    </row>
    <row r="119" spans="1:16" s="863" customFormat="1" hidden="1">
      <c r="A119" s="862"/>
      <c r="B119" s="835"/>
      <c r="C119" s="835"/>
      <c r="D119" s="888" t="s">
        <v>11765</v>
      </c>
      <c r="E119" s="790"/>
      <c r="F119" s="790"/>
      <c r="G119" s="828">
        <f t="shared" si="19"/>
        <v>9</v>
      </c>
      <c r="H119" s="828">
        <f t="shared" si="19"/>
        <v>6.85</v>
      </c>
      <c r="I119" s="828">
        <f t="shared" si="21"/>
        <v>9.65</v>
      </c>
      <c r="J119" s="828">
        <f t="shared" si="22"/>
        <v>7.5</v>
      </c>
      <c r="K119" s="828">
        <f t="shared" si="23"/>
        <v>0.70000000000000018</v>
      </c>
      <c r="L119" s="700" t="s">
        <v>22</v>
      </c>
      <c r="M119" s="829">
        <v>0</v>
      </c>
      <c r="N119" s="700"/>
      <c r="P119" s="871"/>
    </row>
    <row r="120" spans="1:16" s="863" customFormat="1" hidden="1">
      <c r="A120" s="862"/>
      <c r="B120" s="835"/>
      <c r="C120" s="835"/>
      <c r="D120" s="888" t="s">
        <v>11781</v>
      </c>
      <c r="E120" s="790"/>
      <c r="F120" s="790"/>
      <c r="G120" s="828">
        <f t="shared" si="19"/>
        <v>3.8600000000000003</v>
      </c>
      <c r="H120" s="828">
        <f t="shared" si="19"/>
        <v>3.06</v>
      </c>
      <c r="I120" s="828">
        <f t="shared" si="21"/>
        <v>3.86</v>
      </c>
      <c r="J120" s="828">
        <f t="shared" si="22"/>
        <v>3.06</v>
      </c>
      <c r="K120" s="828">
        <f t="shared" si="23"/>
        <v>0</v>
      </c>
      <c r="L120" s="700" t="s">
        <v>22</v>
      </c>
      <c r="M120" s="829">
        <f t="shared" si="20"/>
        <v>0</v>
      </c>
      <c r="N120" s="700"/>
      <c r="P120" s="871"/>
    </row>
    <row r="121" spans="1:16" s="863" customFormat="1" hidden="1">
      <c r="A121" s="862"/>
      <c r="B121" s="835"/>
      <c r="C121" s="835"/>
      <c r="D121" s="888" t="s">
        <v>11782</v>
      </c>
      <c r="E121" s="790"/>
      <c r="F121" s="790"/>
      <c r="G121" s="828">
        <f t="shared" si="19"/>
        <v>6.25</v>
      </c>
      <c r="H121" s="828">
        <f t="shared" si="19"/>
        <v>5.5</v>
      </c>
      <c r="I121" s="828">
        <f t="shared" si="21"/>
        <v>6.25</v>
      </c>
      <c r="J121" s="828">
        <f t="shared" si="22"/>
        <v>5.5</v>
      </c>
      <c r="K121" s="828">
        <f t="shared" si="23"/>
        <v>0</v>
      </c>
      <c r="L121" s="700" t="s">
        <v>22</v>
      </c>
      <c r="M121" s="829">
        <f t="shared" si="20"/>
        <v>0</v>
      </c>
      <c r="N121" s="700"/>
      <c r="P121" s="871"/>
    </row>
    <row r="122" spans="1:16" s="863" customFormat="1" hidden="1">
      <c r="A122" s="862"/>
      <c r="B122" s="835"/>
      <c r="C122" s="835"/>
      <c r="D122" s="888" t="s">
        <v>11822</v>
      </c>
      <c r="E122" s="790"/>
      <c r="F122" s="790"/>
      <c r="G122" s="828">
        <f t="shared" si="19"/>
        <v>9.4</v>
      </c>
      <c r="H122" s="828">
        <f t="shared" si="19"/>
        <v>2.9</v>
      </c>
      <c r="I122" s="828">
        <f t="shared" si="21"/>
        <v>9.4</v>
      </c>
      <c r="J122" s="828">
        <f t="shared" si="22"/>
        <v>2.9</v>
      </c>
      <c r="K122" s="828">
        <f t="shared" si="23"/>
        <v>0</v>
      </c>
      <c r="L122" s="700" t="s">
        <v>22</v>
      </c>
      <c r="M122" s="829">
        <f t="shared" si="20"/>
        <v>0</v>
      </c>
      <c r="N122" s="700"/>
      <c r="P122" s="871"/>
    </row>
    <row r="123" spans="1:16" s="863" customFormat="1" hidden="1">
      <c r="A123" s="862"/>
      <c r="B123" s="835"/>
      <c r="C123" s="835"/>
      <c r="D123" s="888" t="s">
        <v>11823</v>
      </c>
      <c r="E123" s="790"/>
      <c r="F123" s="790"/>
      <c r="G123" s="828">
        <f t="shared" si="19"/>
        <v>15.25</v>
      </c>
      <c r="H123" s="828">
        <f t="shared" si="19"/>
        <v>2.9</v>
      </c>
      <c r="I123" s="828">
        <f>ROUND(G123+2*(K123*TAN(M$49*PI()/180)),2)</f>
        <v>15.25</v>
      </c>
      <c r="J123" s="828">
        <f>ROUND(H123+2*(K123*TAN(M$49*PI()/180)),2)</f>
        <v>2.9</v>
      </c>
      <c r="K123" s="828">
        <f t="shared" si="23"/>
        <v>0</v>
      </c>
      <c r="L123" s="700" t="s">
        <v>22</v>
      </c>
      <c r="M123" s="829">
        <f t="shared" si="20"/>
        <v>0</v>
      </c>
      <c r="N123" s="700"/>
      <c r="P123" s="871"/>
    </row>
    <row r="124" spans="1:16" s="863" customFormat="1" hidden="1">
      <c r="A124" s="862"/>
      <c r="B124" s="835"/>
      <c r="C124" s="835"/>
      <c r="D124" s="888" t="s">
        <v>11788</v>
      </c>
      <c r="E124" s="790"/>
      <c r="F124" s="790"/>
      <c r="G124" s="828">
        <f t="shared" si="19"/>
        <v>6</v>
      </c>
      <c r="H124" s="828">
        <f t="shared" si="19"/>
        <v>0.9</v>
      </c>
      <c r="I124" s="828">
        <f>ROUND(G124+2*(K124*TAN(M$49*PI()/180)),2)</f>
        <v>6</v>
      </c>
      <c r="J124" s="828">
        <f>ROUND(H124+2*(K124*TAN(M$49*PI()/180)),2)</f>
        <v>0.9</v>
      </c>
      <c r="K124" s="828">
        <f t="shared" si="23"/>
        <v>0</v>
      </c>
      <c r="L124" s="700" t="s">
        <v>22</v>
      </c>
      <c r="M124" s="829">
        <f t="shared" si="20"/>
        <v>0</v>
      </c>
      <c r="N124" s="700"/>
      <c r="P124" s="871"/>
    </row>
    <row r="125" spans="1:16" s="863" customFormat="1" hidden="1">
      <c r="A125" s="862"/>
      <c r="B125" s="835"/>
      <c r="C125" s="835"/>
      <c r="D125" s="826"/>
      <c r="E125" s="790"/>
      <c r="F125" s="790"/>
      <c r="G125" s="828"/>
      <c r="H125" s="952"/>
      <c r="I125" s="952"/>
      <c r="J125" s="952"/>
      <c r="K125" s="952"/>
      <c r="L125" s="816"/>
      <c r="M125" s="902"/>
      <c r="N125" s="889"/>
      <c r="P125" s="871"/>
    </row>
    <row r="126" spans="1:16" s="863" customFormat="1" hidden="1">
      <c r="A126" s="862"/>
      <c r="B126" s="835"/>
      <c r="C126" s="835"/>
      <c r="D126" s="826"/>
      <c r="E126" s="790"/>
      <c r="F126" s="790"/>
      <c r="G126" s="700"/>
      <c r="H126" s="700"/>
      <c r="I126" s="1700" t="s">
        <v>11830</v>
      </c>
      <c r="J126" s="1700"/>
      <c r="K126" s="1700"/>
      <c r="L126" s="816" t="s">
        <v>22</v>
      </c>
      <c r="M126" s="902">
        <f>SUM(M113:M125)</f>
        <v>0</v>
      </c>
      <c r="N126" s="889"/>
      <c r="P126" s="871"/>
    </row>
    <row r="127" spans="1:16" s="863" customFormat="1" hidden="1">
      <c r="A127" s="862"/>
      <c r="B127" s="835"/>
      <c r="C127" s="835"/>
      <c r="D127" s="836" t="s">
        <v>20336</v>
      </c>
      <c r="E127" s="837"/>
      <c r="F127" s="837"/>
      <c r="G127" s="838"/>
      <c r="H127" s="1678" t="s">
        <v>20189</v>
      </c>
      <c r="I127" s="1678"/>
      <c r="J127" s="1678"/>
      <c r="K127" s="1678"/>
      <c r="L127" s="856" t="s">
        <v>22</v>
      </c>
      <c r="M127" s="840">
        <f>M126</f>
        <v>0</v>
      </c>
      <c r="N127" s="889"/>
      <c r="P127" s="871"/>
    </row>
    <row r="128" spans="1:16" s="863" customFormat="1" ht="13.5" customHeight="1">
      <c r="A128" s="862"/>
      <c r="B128" s="835"/>
      <c r="C128" s="835"/>
      <c r="D128" s="881"/>
      <c r="E128" s="882"/>
      <c r="F128" s="882"/>
      <c r="G128" s="700"/>
      <c r="H128" s="700"/>
      <c r="I128" s="700"/>
      <c r="J128" s="700" t="s">
        <v>11696</v>
      </c>
      <c r="K128" s="700" t="s">
        <v>11641</v>
      </c>
      <c r="L128" s="883"/>
      <c r="M128" s="884"/>
      <c r="N128" s="700"/>
      <c r="P128" s="871"/>
    </row>
    <row r="129" spans="1:16" s="863" customFormat="1" ht="56.25">
      <c r="A129" s="862" t="s">
        <v>14192</v>
      </c>
      <c r="B129" s="855" t="s">
        <v>70</v>
      </c>
      <c r="C129" s="855">
        <v>90105</v>
      </c>
      <c r="D129" s="894" t="str">
        <f>PROPER(IF(B129="Saneago",VLOOKUP(C129,'SANEAGO-FEV.2016'!A:B,2,0),IF(B129="Sinapi",VLOOKUP(C129,'SINAPI-FEV.2017'!A:D,2,0),IF(B129="Cotação",VLOOKUP(C129,COTAÇÃO!A:D,2,0),IF(B129="Composição",VLOOKUP(C129,COMPOSIÇÃO!A:D,2,0))))))</f>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
      <c r="E129" s="895"/>
      <c r="F129" s="895"/>
      <c r="G129" s="852"/>
      <c r="H129" s="852"/>
      <c r="I129" s="852"/>
      <c r="J129" s="896">
        <f>M15</f>
        <v>0.95</v>
      </c>
      <c r="K129" s="896">
        <f>M17</f>
        <v>0.9</v>
      </c>
      <c r="L129" s="852" t="s">
        <v>22</v>
      </c>
      <c r="M129" s="853">
        <f>K129*M$96*J129</f>
        <v>398.75490000000002</v>
      </c>
      <c r="N129" s="828">
        <f>SUM(M129:M151)</f>
        <v>502.64000000000004</v>
      </c>
      <c r="P129" s="871"/>
    </row>
    <row r="130" spans="1:16" s="863" customFormat="1" ht="23.25" customHeight="1">
      <c r="A130" s="862"/>
      <c r="B130" s="855"/>
      <c r="C130" s="855"/>
      <c r="D130" s="881"/>
      <c r="E130" s="882"/>
      <c r="F130" s="882"/>
      <c r="G130" s="700"/>
      <c r="H130" s="700"/>
      <c r="I130" s="700"/>
      <c r="J130" s="700" t="s">
        <v>11696</v>
      </c>
      <c r="K130" s="700" t="s">
        <v>11641</v>
      </c>
      <c r="L130" s="883"/>
      <c r="M130" s="884"/>
      <c r="N130" s="700"/>
      <c r="P130" s="871"/>
    </row>
    <row r="131" spans="1:16" s="863" customFormat="1" ht="56.25">
      <c r="A131" s="862" t="s">
        <v>14193</v>
      </c>
      <c r="B131" s="855" t="s">
        <v>70</v>
      </c>
      <c r="C131" s="855">
        <v>90107</v>
      </c>
      <c r="D131" s="894" t="str">
        <f>PROPER(IF(B131="Saneago",VLOOKUP(C131,'SANEAGO-FEV.2016'!A:B,2,0),IF(B131="Sinapi",VLOOKUP(C131,'SINAPI-FEV.2017'!A:D,2,0),IF(B131="Cotação",VLOOKUP(C131,COTAÇÃO!A:D,2,0),IF(B131="Composição",VLOOKUP(C131,COMPOSIÇÃO!A:D,2,0))))))</f>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
      <c r="E131" s="895"/>
      <c r="F131" s="895"/>
      <c r="G131" s="852"/>
      <c r="H131" s="852"/>
      <c r="I131" s="852"/>
      <c r="J131" s="896">
        <f>J129</f>
        <v>0.95</v>
      </c>
      <c r="K131" s="896">
        <f>K129</f>
        <v>0.9</v>
      </c>
      <c r="L131" s="852" t="s">
        <v>22</v>
      </c>
      <c r="M131" s="853">
        <f>K131*M$111*J131</f>
        <v>31.002300000000005</v>
      </c>
      <c r="N131" s="700"/>
      <c r="P131" s="871"/>
    </row>
    <row r="132" spans="1:16" s="863" customFormat="1">
      <c r="A132" s="862"/>
      <c r="B132" s="855"/>
      <c r="C132" s="855"/>
      <c r="D132" s="881"/>
      <c r="E132" s="882"/>
      <c r="F132" s="882"/>
      <c r="G132" s="700"/>
      <c r="H132" s="700"/>
      <c r="I132" s="700"/>
      <c r="J132" s="700" t="s">
        <v>11696</v>
      </c>
      <c r="K132" s="700" t="s">
        <v>11641</v>
      </c>
      <c r="L132" s="883"/>
      <c r="M132" s="884"/>
      <c r="N132" s="700"/>
      <c r="P132" s="871"/>
    </row>
    <row r="133" spans="1:16" s="863" customFormat="1" ht="45">
      <c r="A133" s="862" t="s">
        <v>14194</v>
      </c>
      <c r="B133" s="855" t="s">
        <v>70</v>
      </c>
      <c r="C133" s="855">
        <v>90094</v>
      </c>
      <c r="D133" s="894" t="str">
        <f>PROPER(IF(B133="Saneago",VLOOKUP(C133,'SANEAGO-FEV.2016'!A:B,2,0),IF(B133="Sinapi",VLOOKUP(C133,'SINAPI-FEV.2017'!A:D,2,0),IF(B133="Cotação",VLOOKUP(C133,COTAÇÃO!A:D,2,0),IF(B133="Composição",VLOOKUP(C133,COMPOSIÇÃO!A:D,2,0))))))</f>
        <v>Escavação Mecanizada De Vala Com Prof. Maior Que 3,0 M Até 4,5 M (Média Entre Montante E Jusante/Uma Composição Por Trecho), Com Escavadeira Hidráulica (0,8 M3/111 Hp), Larg. Menor Que 1,5 M, Em Solo De 1A Categoria, Locais Com Baixo Nível De Interferência. Af_01/2015</v>
      </c>
      <c r="E133" s="895"/>
      <c r="F133" s="895"/>
      <c r="G133" s="852"/>
      <c r="H133" s="852"/>
      <c r="I133" s="852"/>
      <c r="J133" s="896">
        <f>J131</f>
        <v>0.95</v>
      </c>
      <c r="K133" s="896">
        <f>K131</f>
        <v>0.9</v>
      </c>
      <c r="L133" s="852" t="s">
        <v>22</v>
      </c>
      <c r="M133" s="853">
        <f>K133*M$127*J133</f>
        <v>0</v>
      </c>
      <c r="N133" s="700"/>
      <c r="P133" s="871"/>
    </row>
    <row r="134" spans="1:16" s="863" customFormat="1">
      <c r="A134" s="862"/>
      <c r="B134" s="835"/>
      <c r="C134" s="893"/>
      <c r="D134" s="881"/>
      <c r="E134" s="882"/>
      <c r="F134" s="882"/>
      <c r="G134" s="700"/>
      <c r="H134" s="700"/>
      <c r="I134" s="700"/>
      <c r="J134" s="700" t="s">
        <v>11696</v>
      </c>
      <c r="K134" s="700" t="s">
        <v>11642</v>
      </c>
      <c r="L134" s="883"/>
      <c r="M134" s="884"/>
      <c r="N134" s="700"/>
      <c r="P134" s="871"/>
    </row>
    <row r="135" spans="1:16" s="863" customFormat="1" ht="22.5">
      <c r="A135" s="862" t="s">
        <v>14195</v>
      </c>
      <c r="B135" s="835" t="s">
        <v>10852</v>
      </c>
      <c r="C135" s="893">
        <v>192</v>
      </c>
      <c r="D135" s="894" t="str">
        <f>PROPER(IF(B135="Saneago",VLOOKUP(C135,'SANEAGO-FEV.2016'!A:B,2,0),IF(B135="Sinapi",VLOOKUP(C135,'SINAPI-FEV.2017'!A:D,2,0),IF(B135="Cotação",VLOOKUP(C135,COTAÇÃO!A:D,2,0),IF(B135="Composição",VLOOKUP(C135,COMPOSIÇÃO!A:D,2,0))))))</f>
        <v>Escavação  Mecanizada   (Com  Retroescavadeira)  Em Valas  Com  Material  De  2ª  Categoria  - Profundidade Até 2,0 M</v>
      </c>
      <c r="E135" s="895"/>
      <c r="F135" s="895"/>
      <c r="G135" s="852"/>
      <c r="H135" s="852"/>
      <c r="I135" s="852"/>
      <c r="J135" s="896">
        <f>J131</f>
        <v>0.95</v>
      </c>
      <c r="K135" s="896">
        <f>M18</f>
        <v>0.05</v>
      </c>
      <c r="L135" s="852" t="s">
        <v>22</v>
      </c>
      <c r="M135" s="853">
        <f>K135*M$96*J135</f>
        <v>22.15305</v>
      </c>
      <c r="N135" s="700"/>
      <c r="P135" s="871"/>
    </row>
    <row r="136" spans="1:16" s="863" customFormat="1">
      <c r="A136" s="862"/>
      <c r="B136" s="835"/>
      <c r="C136" s="835"/>
      <c r="D136" s="881"/>
      <c r="E136" s="882"/>
      <c r="F136" s="882"/>
      <c r="G136" s="700"/>
      <c r="H136" s="700"/>
      <c r="I136" s="700"/>
      <c r="J136" s="700" t="s">
        <v>11696</v>
      </c>
      <c r="K136" s="700" t="s">
        <v>11642</v>
      </c>
      <c r="L136" s="883"/>
      <c r="M136" s="884"/>
      <c r="N136" s="700"/>
      <c r="P136" s="871"/>
    </row>
    <row r="137" spans="1:16" s="863" customFormat="1" ht="22.5">
      <c r="A137" s="862" t="s">
        <v>14196</v>
      </c>
      <c r="B137" s="835" t="s">
        <v>10852</v>
      </c>
      <c r="C137" s="893">
        <v>193</v>
      </c>
      <c r="D137" s="894" t="str">
        <f>PROPER(IF(B137="Saneago",VLOOKUP(C137,'SANEAGO-FEV.2016'!A:B,2,0),IF(B137="Sinapi",VLOOKUP(C137,'SINAPI-FEV.2017'!A:D,2,0),IF(B137="Cotação",VLOOKUP(C137,COTAÇÃO!A:D,2,0),IF(B137="Composição",VLOOKUP(C137,COMPOSIÇÃO!A:D,2,0))))))</f>
        <v>Escavação  Mecanizada   (Com  Retroescavadeira)  Em Valas  Com  Material  De  2ª  Categoria  - Profundidade De 2,0 A 4,0M</v>
      </c>
      <c r="E137" s="895"/>
      <c r="F137" s="895"/>
      <c r="G137" s="852"/>
      <c r="H137" s="852"/>
      <c r="I137" s="852"/>
      <c r="J137" s="896">
        <f>J135</f>
        <v>0.95</v>
      </c>
      <c r="K137" s="896">
        <f>K135</f>
        <v>0.05</v>
      </c>
      <c r="L137" s="852" t="s">
        <v>22</v>
      </c>
      <c r="M137" s="853">
        <f>K137*M$127*J137+K137*M$111*J137</f>
        <v>1.7223500000000003</v>
      </c>
      <c r="N137" s="700"/>
      <c r="P137" s="871"/>
    </row>
    <row r="138" spans="1:16" s="863" customFormat="1">
      <c r="A138" s="862"/>
      <c r="B138" s="835"/>
      <c r="C138" s="835"/>
      <c r="D138" s="881"/>
      <c r="E138" s="882"/>
      <c r="F138" s="882"/>
      <c r="G138" s="700"/>
      <c r="H138" s="700"/>
      <c r="I138" s="700"/>
      <c r="J138" s="700" t="s">
        <v>11696</v>
      </c>
      <c r="K138" s="700" t="s">
        <v>11677</v>
      </c>
      <c r="L138" s="883"/>
      <c r="M138" s="884"/>
      <c r="N138" s="700"/>
      <c r="P138" s="871"/>
    </row>
    <row r="139" spans="1:16" s="863" customFormat="1" ht="22.5">
      <c r="A139" s="862" t="s">
        <v>14197</v>
      </c>
      <c r="B139" s="835" t="s">
        <v>10852</v>
      </c>
      <c r="C139" s="893">
        <v>194</v>
      </c>
      <c r="D139" s="894" t="str">
        <f>PROPER(IF(B139="Saneago",VLOOKUP(C139,'SANEAGO-FEV.2016'!A:B,2,0),IF(B139="Sinapi",VLOOKUP(C139,'SINAPI-FEV.2017'!A:D,2,0),IF(B139="Cotação",VLOOKUP(C139,COTAÇÃO!A:D,2,0),IF(B139="Composição",VLOOKUP(C139,COMPOSIÇÃO!A:D,2,0))))))</f>
        <v>Escavação   Mecanizada   (Com  Retroescavadeira)  Em  Valas  Com  Material   De  Solo  Mole  - Profundidade Até 2,0 M</v>
      </c>
      <c r="E139" s="895"/>
      <c r="F139" s="895"/>
      <c r="G139" s="852"/>
      <c r="H139" s="852"/>
      <c r="I139" s="852"/>
      <c r="J139" s="896">
        <f>J137</f>
        <v>0.95</v>
      </c>
      <c r="K139" s="896">
        <f>M20</f>
        <v>0.05</v>
      </c>
      <c r="L139" s="852" t="s">
        <v>22</v>
      </c>
      <c r="M139" s="853">
        <f>K139*M$96*J139</f>
        <v>22.15305</v>
      </c>
      <c r="N139" s="700"/>
      <c r="P139" s="871"/>
    </row>
    <row r="140" spans="1:16" s="863" customFormat="1">
      <c r="A140" s="862"/>
      <c r="B140" s="835"/>
      <c r="C140" s="835"/>
      <c r="D140" s="881"/>
      <c r="E140" s="882"/>
      <c r="F140" s="882"/>
      <c r="G140" s="700"/>
      <c r="H140" s="700"/>
      <c r="I140" s="700"/>
      <c r="J140" s="700" t="s">
        <v>11696</v>
      </c>
      <c r="K140" s="700" t="s">
        <v>11677</v>
      </c>
      <c r="L140" s="883"/>
      <c r="M140" s="884"/>
      <c r="N140" s="700"/>
      <c r="P140" s="871"/>
    </row>
    <row r="141" spans="1:16" s="863" customFormat="1" ht="22.5">
      <c r="A141" s="862" t="s">
        <v>20337</v>
      </c>
      <c r="B141" s="835" t="s">
        <v>10852</v>
      </c>
      <c r="C141" s="893">
        <v>195</v>
      </c>
      <c r="D141" s="894" t="str">
        <f>PROPER(IF(B141="Saneago",VLOOKUP(C141,'SANEAGO-FEV.2016'!A:B,2,0),IF(B141="Sinapi",VLOOKUP(C141,'SINAPI-FEV.2017'!A:D,2,0),IF(B141="Cotação",VLOOKUP(C141,COTAÇÃO!A:D,2,0),IF(B141="Composição",VLOOKUP(C141,COMPOSIÇÃO!A:D,2,0))))))</f>
        <v>Escavação   Mecanizada   (Com  Retroescavadeira)  Em  Valas  Com  Material   De  Solo  Mole  - Profundidade De 2,0 A 4,0 M</v>
      </c>
      <c r="E141" s="895"/>
      <c r="F141" s="895"/>
      <c r="G141" s="852"/>
      <c r="H141" s="852"/>
      <c r="I141" s="852"/>
      <c r="J141" s="896">
        <f>J139</f>
        <v>0.95</v>
      </c>
      <c r="K141" s="896">
        <f>K139</f>
        <v>0.05</v>
      </c>
      <c r="L141" s="852" t="s">
        <v>22</v>
      </c>
      <c r="M141" s="853">
        <f>K141*M$127*J141+K141*M$111*J141</f>
        <v>1.7223500000000003</v>
      </c>
      <c r="N141" s="700"/>
      <c r="P141" s="871"/>
    </row>
    <row r="142" spans="1:16" s="863" customFormat="1">
      <c r="A142" s="862"/>
      <c r="B142" s="835"/>
      <c r="C142" s="835"/>
      <c r="D142" s="881"/>
      <c r="E142" s="882"/>
      <c r="F142" s="882"/>
      <c r="G142" s="700"/>
      <c r="H142" s="700"/>
      <c r="I142" s="700"/>
      <c r="J142" s="700" t="s">
        <v>11737</v>
      </c>
      <c r="K142" s="700" t="s">
        <v>11641</v>
      </c>
      <c r="L142" s="883"/>
      <c r="M142" s="884"/>
      <c r="N142" s="700"/>
      <c r="P142" s="871"/>
    </row>
    <row r="143" spans="1:16" s="863" customFormat="1">
      <c r="A143" s="862" t="s">
        <v>14198</v>
      </c>
      <c r="B143" s="855" t="s">
        <v>70</v>
      </c>
      <c r="C143" s="855">
        <v>93358</v>
      </c>
      <c r="D143" s="894" t="str">
        <f>PROPER(IF(B143="Saneago",VLOOKUP(C143,'SANEAGO-FEV.2016'!A:B,2,0),IF(B143="Sinapi",VLOOKUP(C143,'SINAPI-FEV.2017'!A:D,2,0),IF(B143="Cotação",VLOOKUP(C143,COTAÇÃO!A:D,2,0),IF(B143="Composição",VLOOKUP(C143,COMPOSIÇÃO!A:D,2,0))))))</f>
        <v>Escavação Manual De Valas. Af_03/2016</v>
      </c>
      <c r="E143" s="895"/>
      <c r="F143" s="895"/>
      <c r="G143" s="852"/>
      <c r="H143" s="852"/>
      <c r="I143" s="852"/>
      <c r="J143" s="896">
        <f>M16</f>
        <v>0.05</v>
      </c>
      <c r="K143" s="896">
        <f>K129</f>
        <v>0.9</v>
      </c>
      <c r="L143" s="852" t="s">
        <v>22</v>
      </c>
      <c r="M143" s="853">
        <f>K143*(M$96+M127+M111)*J143</f>
        <v>22.6188</v>
      </c>
      <c r="N143" s="700"/>
      <c r="P143" s="871"/>
    </row>
    <row r="144" spans="1:16" s="863" customFormat="1">
      <c r="A144" s="862"/>
      <c r="B144" s="835"/>
      <c r="C144" s="893"/>
      <c r="D144" s="881"/>
      <c r="E144" s="882"/>
      <c r="F144" s="882"/>
      <c r="G144" s="700"/>
      <c r="H144" s="700"/>
      <c r="I144" s="700"/>
      <c r="J144" s="700" t="s">
        <v>11737</v>
      </c>
      <c r="K144" s="700" t="s">
        <v>11642</v>
      </c>
      <c r="L144" s="883"/>
      <c r="M144" s="884"/>
      <c r="N144" s="700"/>
      <c r="P144" s="871"/>
    </row>
    <row r="145" spans="1:16" s="863" customFormat="1" ht="22.5">
      <c r="A145" s="862" t="s">
        <v>14199</v>
      </c>
      <c r="B145" s="835" t="s">
        <v>10852</v>
      </c>
      <c r="C145" s="893">
        <v>170</v>
      </c>
      <c r="D145" s="894" t="str">
        <f>PROPER(IF(B145="Saneago",VLOOKUP(C145,'SANEAGO-FEV.2016'!A:B,2,0),IF(B145="Sinapi",VLOOKUP(C145,'SINAPI-FEV.2017'!A:D,2,0),IF(B145="Cotação",VLOOKUP(C145,COTAÇÃO!A:D,2,0),IF(B145="Composição",VLOOKUP(C145,COMPOSIÇÃO!A:D,2,0))))))</f>
        <v>Escavação  Manual Em Valas Com Material De 2ª Categoria  - Profundidade Até 2,0 M</v>
      </c>
      <c r="E145" s="895"/>
      <c r="F145" s="895"/>
      <c r="G145" s="852"/>
      <c r="H145" s="852"/>
      <c r="I145" s="852"/>
      <c r="J145" s="896">
        <f>J143</f>
        <v>0.05</v>
      </c>
      <c r="K145" s="896">
        <f>K135</f>
        <v>0.05</v>
      </c>
      <c r="L145" s="852" t="s">
        <v>22</v>
      </c>
      <c r="M145" s="853">
        <f>K145*M$96*J145</f>
        <v>1.1659500000000003</v>
      </c>
      <c r="N145" s="700"/>
      <c r="P145" s="871"/>
    </row>
    <row r="146" spans="1:16" s="863" customFormat="1">
      <c r="A146" s="862"/>
      <c r="B146" s="835"/>
      <c r="C146" s="835"/>
      <c r="D146" s="881"/>
      <c r="E146" s="882"/>
      <c r="F146" s="882"/>
      <c r="G146" s="700"/>
      <c r="H146" s="700"/>
      <c r="I146" s="700"/>
      <c r="J146" s="700" t="s">
        <v>11737</v>
      </c>
      <c r="K146" s="700" t="s">
        <v>11642</v>
      </c>
      <c r="L146" s="883"/>
      <c r="M146" s="884"/>
      <c r="N146" s="700"/>
      <c r="P146" s="871"/>
    </row>
    <row r="147" spans="1:16" s="863" customFormat="1" ht="22.5">
      <c r="A147" s="862" t="s">
        <v>14200</v>
      </c>
      <c r="B147" s="835" t="s">
        <v>10852</v>
      </c>
      <c r="C147" s="893">
        <v>171</v>
      </c>
      <c r="D147" s="894" t="str">
        <f>PROPER(IF(B147="Saneago",VLOOKUP(C147,'SANEAGO-FEV.2016'!A:B,2,0),IF(B147="Sinapi",VLOOKUP(C147,'SINAPI-FEV.2017'!A:D,2,0),IF(B147="Cotação",VLOOKUP(C147,COTAÇÃO!A:D,2,0),IF(B147="Composição",VLOOKUP(C147,COMPOSIÇÃO!A:D,2,0))))))</f>
        <v>Escavação  Manual Em Valas Com Material De 2ª Categoria  - Profundidade De 2,0 A 4,0 M</v>
      </c>
      <c r="E147" s="895"/>
      <c r="F147" s="895"/>
      <c r="G147" s="852"/>
      <c r="H147" s="852"/>
      <c r="I147" s="852"/>
      <c r="J147" s="896">
        <f>J145</f>
        <v>0.05</v>
      </c>
      <c r="K147" s="896">
        <f>K137</f>
        <v>0.05</v>
      </c>
      <c r="L147" s="852" t="s">
        <v>22</v>
      </c>
      <c r="M147" s="853">
        <f>K147*M$127*J147+K147*M$111*J147</f>
        <v>9.0650000000000022E-2</v>
      </c>
      <c r="N147" s="700"/>
      <c r="P147" s="871"/>
    </row>
    <row r="148" spans="1:16" s="863" customFormat="1" ht="13.5" customHeight="1">
      <c r="A148" s="862"/>
      <c r="B148" s="835"/>
      <c r="C148" s="835"/>
      <c r="D148" s="881"/>
      <c r="E148" s="882"/>
      <c r="F148" s="882"/>
      <c r="G148" s="700"/>
      <c r="H148" s="700"/>
      <c r="I148" s="700"/>
      <c r="J148" s="700" t="s">
        <v>11737</v>
      </c>
      <c r="K148" s="700" t="s">
        <v>11677</v>
      </c>
      <c r="L148" s="883"/>
      <c r="M148" s="884"/>
      <c r="N148" s="700"/>
      <c r="P148" s="871"/>
    </row>
    <row r="149" spans="1:16" s="863" customFormat="1" ht="33.75">
      <c r="A149" s="862" t="s">
        <v>14201</v>
      </c>
      <c r="B149" s="835" t="s">
        <v>10852</v>
      </c>
      <c r="C149" s="893">
        <v>172</v>
      </c>
      <c r="D149" s="894" t="str">
        <f>PROPER(IF(B149="Saneago",VLOOKUP(C149,'SANEAGO-FEV.2016'!A:B,2,0),IF(B149="Sinapi",VLOOKUP(C149,'SINAPI-FEV.2017'!A:D,2,0),IF(B149="Cotação",VLOOKUP(C149,COTAÇÃO!A:D,2,0),IF(B149="Composição",VLOOKUP(C149,COMPOSIÇÃO!A:D,2,0))))))</f>
        <v>Escavação   Manual   Em  Valas  Com  Material   De  3ª  Categoria   Sem  Uso  De  Explosivo   Com Utilização  De Compressor E Rompedor  -  Profundidade Até 2,0M</v>
      </c>
      <c r="E149" s="895"/>
      <c r="F149" s="895"/>
      <c r="G149" s="852"/>
      <c r="H149" s="852"/>
      <c r="I149" s="852"/>
      <c r="J149" s="896">
        <f>J147</f>
        <v>0.05</v>
      </c>
      <c r="K149" s="896">
        <f>K139</f>
        <v>0.05</v>
      </c>
      <c r="L149" s="852" t="s">
        <v>22</v>
      </c>
      <c r="M149" s="853">
        <f>K149*M$96*J149</f>
        <v>1.1659500000000003</v>
      </c>
      <c r="N149" s="700"/>
      <c r="P149" s="871"/>
    </row>
    <row r="150" spans="1:16" s="863" customFormat="1" ht="13.5" customHeight="1">
      <c r="A150" s="862"/>
      <c r="B150" s="835"/>
      <c r="C150" s="835"/>
      <c r="D150" s="881"/>
      <c r="E150" s="882"/>
      <c r="F150" s="882"/>
      <c r="G150" s="700"/>
      <c r="H150" s="700"/>
      <c r="I150" s="700"/>
      <c r="J150" s="700" t="s">
        <v>11737</v>
      </c>
      <c r="K150" s="700" t="s">
        <v>11677</v>
      </c>
      <c r="L150" s="883"/>
      <c r="M150" s="884"/>
      <c r="N150" s="700"/>
      <c r="P150" s="871"/>
    </row>
    <row r="151" spans="1:16" s="863" customFormat="1" ht="22.5" customHeight="1">
      <c r="A151" s="862" t="s">
        <v>14202</v>
      </c>
      <c r="B151" s="835" t="s">
        <v>10852</v>
      </c>
      <c r="C151" s="893">
        <v>173</v>
      </c>
      <c r="D151" s="894" t="str">
        <f>PROPER(IF(B151="Saneago",VLOOKUP(C151,'SANEAGO-FEV.2016'!A:B,2,0),IF(B151="Sinapi",VLOOKUP(C151,'SINAPI-FEV.2017'!A:D,2,0),IF(B151="Cotação",VLOOKUP(C151,COTAÇÃO!A:D,2,0),IF(B151="Composição",VLOOKUP(C151,COMPOSIÇÃO!A:D,2,0))))))</f>
        <v>Escavação   Manual   Em  Valas  Com  Material   De  3ª  Categoria   Sem  Uso  De  Explosivo   Com Utilização  De Compressor E Rompedor   - Profundidade De 2,0 A 4,0M</v>
      </c>
      <c r="E151" s="895"/>
      <c r="F151" s="895"/>
      <c r="G151" s="852"/>
      <c r="H151" s="852"/>
      <c r="I151" s="852"/>
      <c r="J151" s="896">
        <f>J149</f>
        <v>0.05</v>
      </c>
      <c r="K151" s="896">
        <f>K141</f>
        <v>0.05</v>
      </c>
      <c r="L151" s="852" t="s">
        <v>22</v>
      </c>
      <c r="M151" s="853">
        <f>K151*M$127*J151+K151*M$111*J151</f>
        <v>9.0650000000000022E-2</v>
      </c>
      <c r="N151" s="700"/>
      <c r="P151" s="871"/>
    </row>
    <row r="152" spans="1:16" s="863" customFormat="1">
      <c r="A152" s="862"/>
      <c r="B152" s="835"/>
      <c r="C152" s="835"/>
      <c r="D152" s="826"/>
      <c r="E152" s="790"/>
      <c r="F152" s="790"/>
      <c r="G152" s="700" t="s">
        <v>30</v>
      </c>
      <c r="H152" s="700" t="s">
        <v>30</v>
      </c>
      <c r="I152" s="700" t="s">
        <v>30</v>
      </c>
      <c r="J152" s="700" t="s">
        <v>30</v>
      </c>
      <c r="K152" s="700" t="s">
        <v>30</v>
      </c>
      <c r="L152" s="828" t="s">
        <v>30</v>
      </c>
      <c r="M152" s="877" t="s">
        <v>30</v>
      </c>
      <c r="N152" s="700"/>
      <c r="P152" s="871"/>
    </row>
    <row r="153" spans="1:16" s="863" customFormat="1" ht="12.75" customHeight="1">
      <c r="A153" s="862" t="s">
        <v>14203</v>
      </c>
      <c r="B153" s="835" t="s">
        <v>70</v>
      </c>
      <c r="C153" s="835" t="s">
        <v>15726</v>
      </c>
      <c r="D153" s="836" t="str">
        <f>PROPER(IF(B153="Saneago",VLOOKUP(C153,'SANEAGO-FEV.2016'!A:B,2,0),IF(B153="Sinapi",VLOOKUP(C153,'SINAPI-FEV.2017'!A:D,2,0),IF(B153="Cotação",VLOOKUP(C153,COTAÇÃO!A:D,2,0),IF(B153="Composição",VLOOKUP(C153,COMPOSIÇÃO!A:D,2,0))))))</f>
        <v>Esgotamento Com Moto-Bomba Autoescovante</v>
      </c>
      <c r="E153" s="837"/>
      <c r="F153" s="837"/>
      <c r="G153" s="838"/>
      <c r="H153" s="852"/>
      <c r="I153" s="852"/>
      <c r="J153" s="838"/>
      <c r="K153" s="838"/>
      <c r="L153" s="838" t="s">
        <v>57</v>
      </c>
      <c r="M153" s="853">
        <v>30</v>
      </c>
      <c r="N153" s="700"/>
      <c r="P153" s="871"/>
    </row>
    <row r="154" spans="1:16" s="863" customFormat="1">
      <c r="A154" s="862"/>
      <c r="B154" s="835"/>
      <c r="C154" s="835"/>
      <c r="D154" s="826"/>
      <c r="E154" s="790"/>
      <c r="F154" s="790"/>
      <c r="G154" s="828" t="s">
        <v>30</v>
      </c>
      <c r="H154" s="828" t="s">
        <v>30</v>
      </c>
      <c r="I154" s="828" t="s">
        <v>30</v>
      </c>
      <c r="J154" s="828" t="s">
        <v>11791</v>
      </c>
      <c r="K154" s="828" t="s">
        <v>19</v>
      </c>
      <c r="L154" s="828" t="s">
        <v>30</v>
      </c>
      <c r="M154" s="877" t="s">
        <v>30</v>
      </c>
      <c r="N154" s="700"/>
      <c r="P154" s="871"/>
    </row>
    <row r="155" spans="1:16" s="863" customFormat="1" ht="12.75" customHeight="1">
      <c r="A155" s="862"/>
      <c r="B155" s="835"/>
      <c r="C155" s="835"/>
      <c r="D155" s="826"/>
      <c r="E155" s="790"/>
      <c r="F155" s="790"/>
      <c r="G155" s="828"/>
      <c r="H155" s="1674" t="s">
        <v>11775</v>
      </c>
      <c r="I155" s="1674"/>
      <c r="J155" s="828">
        <f t="shared" ref="J155:J166" si="24">H54+0.05</f>
        <v>6.1499999999999995</v>
      </c>
      <c r="K155" s="828">
        <f t="shared" ref="K155:K166" si="25">I54+0.05</f>
        <v>2.25</v>
      </c>
      <c r="L155" s="828" t="s">
        <v>21</v>
      </c>
      <c r="M155" s="829">
        <f>J155*K155</f>
        <v>13.837499999999999</v>
      </c>
      <c r="N155" s="700"/>
      <c r="P155" s="871"/>
    </row>
    <row r="156" spans="1:16" s="863" customFormat="1" ht="12.75" customHeight="1">
      <c r="A156" s="862"/>
      <c r="B156" s="835"/>
      <c r="C156" s="835"/>
      <c r="D156" s="826"/>
      <c r="E156" s="790"/>
      <c r="F156" s="790"/>
      <c r="G156" s="828"/>
      <c r="H156" s="1674" t="s">
        <v>11804</v>
      </c>
      <c r="I156" s="1674"/>
      <c r="J156" s="828">
        <f t="shared" si="24"/>
        <v>9.4700000000000006</v>
      </c>
      <c r="K156" s="828">
        <f t="shared" si="25"/>
        <v>2.25</v>
      </c>
      <c r="L156" s="828" t="s">
        <v>21</v>
      </c>
      <c r="M156" s="829">
        <f>J156*K156</f>
        <v>21.307500000000001</v>
      </c>
      <c r="N156" s="700"/>
      <c r="P156" s="871"/>
    </row>
    <row r="157" spans="1:16" s="863" customFormat="1" ht="12.75" customHeight="1">
      <c r="A157" s="862"/>
      <c r="B157" s="835"/>
      <c r="C157" s="835"/>
      <c r="D157" s="826"/>
      <c r="E157" s="790"/>
      <c r="F157" s="790"/>
      <c r="G157" s="828"/>
      <c r="H157" s="1674" t="s">
        <v>11762</v>
      </c>
      <c r="I157" s="1674"/>
      <c r="J157" s="828">
        <f t="shared" si="24"/>
        <v>5.25</v>
      </c>
      <c r="K157" s="828">
        <f t="shared" si="25"/>
        <v>4.75</v>
      </c>
      <c r="L157" s="828" t="s">
        <v>21</v>
      </c>
      <c r="M157" s="829">
        <f t="shared" ref="M157:M166" si="26">J157*K157</f>
        <v>24.9375</v>
      </c>
      <c r="N157" s="700"/>
      <c r="P157" s="871"/>
    </row>
    <row r="158" spans="1:16" s="863" customFormat="1" ht="12.75" customHeight="1">
      <c r="A158" s="862"/>
      <c r="B158" s="835"/>
      <c r="C158" s="835"/>
      <c r="D158" s="826"/>
      <c r="E158" s="790"/>
      <c r="F158" s="790"/>
      <c r="G158" s="828"/>
      <c r="H158" s="1674" t="s">
        <v>11763</v>
      </c>
      <c r="I158" s="1674"/>
      <c r="J158" s="828">
        <f t="shared" si="24"/>
        <v>11.5</v>
      </c>
      <c r="K158" s="828">
        <f t="shared" si="25"/>
        <v>8.75</v>
      </c>
      <c r="L158" s="828" t="s">
        <v>21</v>
      </c>
      <c r="M158" s="829">
        <f t="shared" si="26"/>
        <v>100.625</v>
      </c>
      <c r="N158" s="700"/>
      <c r="P158" s="871"/>
    </row>
    <row r="159" spans="1:16" s="863" customFormat="1" ht="12.75" customHeight="1">
      <c r="A159" s="862"/>
      <c r="B159" s="835"/>
      <c r="C159" s="835"/>
      <c r="D159" s="826"/>
      <c r="E159" s="790"/>
      <c r="F159" s="790"/>
      <c r="G159" s="828"/>
      <c r="H159" s="1674" t="s">
        <v>11778</v>
      </c>
      <c r="I159" s="1674"/>
      <c r="J159" s="828">
        <f t="shared" si="24"/>
        <v>6.1</v>
      </c>
      <c r="K159" s="828">
        <f t="shared" si="25"/>
        <v>1.85</v>
      </c>
      <c r="L159" s="828" t="s">
        <v>21</v>
      </c>
      <c r="M159" s="829">
        <f t="shared" si="26"/>
        <v>11.285</v>
      </c>
      <c r="N159" s="700"/>
      <c r="P159" s="871"/>
    </row>
    <row r="160" spans="1:16" s="863" customFormat="1" ht="12.75" customHeight="1">
      <c r="A160" s="862"/>
      <c r="B160" s="835"/>
      <c r="C160" s="835"/>
      <c r="D160" s="826"/>
      <c r="E160" s="790"/>
      <c r="F160" s="790"/>
      <c r="G160" s="828"/>
      <c r="H160" s="1674" t="s">
        <v>11779</v>
      </c>
      <c r="I160" s="1674"/>
      <c r="J160" s="828">
        <f t="shared" si="24"/>
        <v>5.8999999999999995</v>
      </c>
      <c r="K160" s="828">
        <f t="shared" si="25"/>
        <v>1.85</v>
      </c>
      <c r="L160" s="828" t="s">
        <v>21</v>
      </c>
      <c r="M160" s="829">
        <f t="shared" si="26"/>
        <v>10.914999999999999</v>
      </c>
      <c r="N160" s="700"/>
      <c r="P160" s="871"/>
    </row>
    <row r="161" spans="1:16" s="863" customFormat="1" ht="12.75" customHeight="1">
      <c r="A161" s="862"/>
      <c r="B161" s="835"/>
      <c r="C161" s="835"/>
      <c r="D161" s="826"/>
      <c r="E161" s="790"/>
      <c r="F161" s="790"/>
      <c r="G161" s="828"/>
      <c r="H161" s="1674" t="s">
        <v>11765</v>
      </c>
      <c r="I161" s="1674"/>
      <c r="J161" s="828">
        <f t="shared" si="24"/>
        <v>7.05</v>
      </c>
      <c r="K161" s="828">
        <f t="shared" si="25"/>
        <v>4.8999999999999995</v>
      </c>
      <c r="L161" s="828" t="s">
        <v>21</v>
      </c>
      <c r="M161" s="829">
        <f t="shared" si="26"/>
        <v>34.544999999999995</v>
      </c>
      <c r="N161" s="700"/>
      <c r="P161" s="871"/>
    </row>
    <row r="162" spans="1:16" s="863" customFormat="1" ht="12.75" customHeight="1">
      <c r="A162" s="862"/>
      <c r="B162" s="835"/>
      <c r="C162" s="835"/>
      <c r="D162" s="826"/>
      <c r="E162" s="790"/>
      <c r="F162" s="790"/>
      <c r="G162" s="828"/>
      <c r="H162" s="1674" t="s">
        <v>11781</v>
      </c>
      <c r="I162" s="1674"/>
      <c r="J162" s="828">
        <f t="shared" si="24"/>
        <v>1.9100000000000001</v>
      </c>
      <c r="K162" s="828">
        <f t="shared" si="25"/>
        <v>1.1100000000000001</v>
      </c>
      <c r="L162" s="828" t="s">
        <v>21</v>
      </c>
      <c r="M162" s="829">
        <f t="shared" si="26"/>
        <v>2.1201000000000003</v>
      </c>
      <c r="N162" s="700"/>
      <c r="P162" s="871"/>
    </row>
    <row r="163" spans="1:16" s="863" customFormat="1" ht="12.75" customHeight="1">
      <c r="A163" s="862"/>
      <c r="B163" s="835"/>
      <c r="C163" s="835"/>
      <c r="D163" s="826"/>
      <c r="E163" s="790"/>
      <c r="F163" s="790"/>
      <c r="G163" s="828"/>
      <c r="H163" s="1674" t="s">
        <v>11782</v>
      </c>
      <c r="I163" s="1674"/>
      <c r="J163" s="828">
        <f t="shared" si="24"/>
        <v>4.3</v>
      </c>
      <c r="K163" s="828">
        <f t="shared" si="25"/>
        <v>3.55</v>
      </c>
      <c r="L163" s="828" t="s">
        <v>21</v>
      </c>
      <c r="M163" s="829">
        <f t="shared" si="26"/>
        <v>15.264999999999999</v>
      </c>
      <c r="N163" s="700"/>
      <c r="P163" s="871"/>
    </row>
    <row r="164" spans="1:16" s="863" customFormat="1" ht="12.75" customHeight="1">
      <c r="A164" s="862"/>
      <c r="B164" s="835"/>
      <c r="C164" s="835"/>
      <c r="D164" s="826"/>
      <c r="E164" s="790"/>
      <c r="F164" s="790"/>
      <c r="G164" s="828"/>
      <c r="H164" s="1674" t="s">
        <v>11822</v>
      </c>
      <c r="I164" s="1674"/>
      <c r="J164" s="828">
        <f t="shared" si="24"/>
        <v>9.4500000000000011</v>
      </c>
      <c r="K164" s="828">
        <f t="shared" si="25"/>
        <v>2.9499999999999997</v>
      </c>
      <c r="L164" s="828" t="s">
        <v>21</v>
      </c>
      <c r="M164" s="829">
        <f t="shared" si="26"/>
        <v>27.877500000000001</v>
      </c>
      <c r="N164" s="700"/>
      <c r="P164" s="871"/>
    </row>
    <row r="165" spans="1:16" s="863" customFormat="1" ht="12.75" customHeight="1">
      <c r="A165" s="862"/>
      <c r="B165" s="835"/>
      <c r="C165" s="835"/>
      <c r="D165" s="826"/>
      <c r="E165" s="790"/>
      <c r="F165" s="790"/>
      <c r="G165" s="828"/>
      <c r="H165" s="1674" t="s">
        <v>11825</v>
      </c>
      <c r="I165" s="1674"/>
      <c r="J165" s="828">
        <f t="shared" si="24"/>
        <v>15.3</v>
      </c>
      <c r="K165" s="828">
        <f t="shared" si="25"/>
        <v>2.9499999999999997</v>
      </c>
      <c r="L165" s="828" t="s">
        <v>21</v>
      </c>
      <c r="M165" s="829">
        <f>J165*K165</f>
        <v>45.134999999999998</v>
      </c>
      <c r="N165" s="700"/>
      <c r="P165" s="871"/>
    </row>
    <row r="166" spans="1:16" s="863" customFormat="1" ht="12.75" customHeight="1">
      <c r="A166" s="862"/>
      <c r="B166" s="835"/>
      <c r="C166" s="835"/>
      <c r="D166" s="826"/>
      <c r="E166" s="790"/>
      <c r="F166" s="790"/>
      <c r="G166" s="828"/>
      <c r="H166" s="1674" t="s">
        <v>11788</v>
      </c>
      <c r="I166" s="1674"/>
      <c r="J166" s="828">
        <f t="shared" si="24"/>
        <v>6.05</v>
      </c>
      <c r="K166" s="828">
        <f t="shared" si="25"/>
        <v>0.95000000000000007</v>
      </c>
      <c r="L166" s="828" t="s">
        <v>21</v>
      </c>
      <c r="M166" s="829">
        <f t="shared" si="26"/>
        <v>5.7475000000000005</v>
      </c>
      <c r="N166" s="700"/>
      <c r="P166" s="871"/>
    </row>
    <row r="167" spans="1:16" s="863" customFormat="1" ht="12.75" customHeight="1">
      <c r="A167" s="862" t="s">
        <v>14204</v>
      </c>
      <c r="B167" s="835" t="s">
        <v>70</v>
      </c>
      <c r="C167" s="835">
        <v>79472</v>
      </c>
      <c r="D167" s="836" t="str">
        <f>PROPER(IF(B167="Saneago",VLOOKUP(C167,'SANEAGO-FEV.2016'!A:B,2,0),IF(B167="Sinapi",VLOOKUP(C167,'SINAPI-FEV.2017'!A:D,2,0),IF(B167="Cotação",VLOOKUP(C167,COTAÇÃO!A:D,2,0),IF(B167="Composição",VLOOKUP(C167,COMPOSIÇÃO!A:D,2,0))))))</f>
        <v>Regularizacao De Superficies Em Terra Com Motoniveladora</v>
      </c>
      <c r="E167" s="837"/>
      <c r="F167" s="837"/>
      <c r="G167" s="838"/>
      <c r="H167" s="852"/>
      <c r="I167" s="852"/>
      <c r="J167" s="838"/>
      <c r="K167" s="839" t="s">
        <v>27</v>
      </c>
      <c r="L167" s="856" t="s">
        <v>21</v>
      </c>
      <c r="M167" s="840">
        <f>SUM(M155:M166)</f>
        <v>313.59759999999994</v>
      </c>
      <c r="N167" s="700"/>
      <c r="P167" s="871"/>
    </row>
    <row r="168" spans="1:16" s="863" customFormat="1" ht="33.75" customHeight="1">
      <c r="A168" s="862"/>
      <c r="B168" s="835"/>
      <c r="C168" s="835"/>
      <c r="D168" s="826"/>
      <c r="E168" s="700" t="s">
        <v>30</v>
      </c>
      <c r="F168" s="883" t="s">
        <v>30</v>
      </c>
      <c r="G168" s="883" t="s">
        <v>30</v>
      </c>
      <c r="H168" s="700" t="s">
        <v>11829</v>
      </c>
      <c r="I168" s="700" t="s">
        <v>11826</v>
      </c>
      <c r="J168" s="700" t="s">
        <v>11827</v>
      </c>
      <c r="K168" s="700" t="s">
        <v>11828</v>
      </c>
      <c r="L168" s="816" t="s">
        <v>30</v>
      </c>
      <c r="M168" s="902" t="s">
        <v>30</v>
      </c>
      <c r="N168" s="700"/>
      <c r="P168" s="871"/>
    </row>
    <row r="169" spans="1:16" s="863" customFormat="1" ht="12.75" customHeight="1">
      <c r="A169" s="862"/>
      <c r="B169" s="835"/>
      <c r="C169" s="835"/>
      <c r="D169" s="888"/>
      <c r="E169" s="790"/>
      <c r="F169" s="854"/>
      <c r="G169" s="854" t="s">
        <v>11775</v>
      </c>
      <c r="H169" s="828">
        <v>13.45</v>
      </c>
      <c r="I169" s="828">
        <f>K54-M$51</f>
        <v>795.34999999999991</v>
      </c>
      <c r="J169" s="700">
        <v>797.85</v>
      </c>
      <c r="K169" s="828">
        <f>J169-I169</f>
        <v>2.5000000000001137</v>
      </c>
      <c r="L169" s="828" t="s">
        <v>22</v>
      </c>
      <c r="M169" s="829">
        <f>H169*K169</f>
        <v>33.625000000001528</v>
      </c>
      <c r="N169" s="700"/>
      <c r="P169" s="871"/>
    </row>
    <row r="170" spans="1:16" s="863" customFormat="1" ht="12.75" customHeight="1">
      <c r="A170" s="862"/>
      <c r="B170" s="835"/>
      <c r="C170" s="835"/>
      <c r="D170" s="888"/>
      <c r="E170" s="790"/>
      <c r="F170" s="854"/>
      <c r="G170" s="854" t="s">
        <v>11804</v>
      </c>
      <c r="H170" s="828">
        <v>20.72</v>
      </c>
      <c r="I170" s="828">
        <f>K55-M$51</f>
        <v>795.34999999999991</v>
      </c>
      <c r="J170" s="700">
        <v>797.85</v>
      </c>
      <c r="K170" s="828">
        <f t="shared" ref="K170:K176" si="27">J170-I170</f>
        <v>2.5000000000001137</v>
      </c>
      <c r="L170" s="828" t="s">
        <v>22</v>
      </c>
      <c r="M170" s="829">
        <f t="shared" ref="M170:M182" si="28">H170*K170</f>
        <v>51.800000000002356</v>
      </c>
      <c r="N170" s="700"/>
      <c r="P170" s="871"/>
    </row>
    <row r="171" spans="1:16" s="863" customFormat="1" ht="12.75" customHeight="1">
      <c r="A171" s="862"/>
      <c r="B171" s="835"/>
      <c r="C171" s="835"/>
      <c r="D171" s="888"/>
      <c r="E171" s="790"/>
      <c r="F171" s="854"/>
      <c r="G171" s="854" t="s">
        <v>11762</v>
      </c>
      <c r="H171" s="828">
        <f>19.31/2</f>
        <v>9.6549999999999994</v>
      </c>
      <c r="I171" s="828">
        <f>K56-M$51</f>
        <v>795.34999999999991</v>
      </c>
      <c r="J171" s="700">
        <v>797.85</v>
      </c>
      <c r="K171" s="828">
        <f t="shared" si="27"/>
        <v>2.5000000000001137</v>
      </c>
      <c r="L171" s="828" t="s">
        <v>22</v>
      </c>
      <c r="M171" s="829">
        <f t="shared" si="28"/>
        <v>24.137500000001097</v>
      </c>
      <c r="N171" s="700"/>
      <c r="P171" s="871"/>
    </row>
    <row r="172" spans="1:16" s="863" customFormat="1" ht="12.75" customHeight="1">
      <c r="A172" s="862"/>
      <c r="B172" s="835"/>
      <c r="C172" s="835"/>
      <c r="D172" s="888"/>
      <c r="E172" s="790"/>
      <c r="F172" s="854"/>
      <c r="G172" s="854" t="s">
        <v>11762</v>
      </c>
      <c r="H172" s="828">
        <f>H171</f>
        <v>9.6549999999999994</v>
      </c>
      <c r="I172" s="828">
        <f>I171</f>
        <v>795.34999999999991</v>
      </c>
      <c r="J172" s="700">
        <v>797.1</v>
      </c>
      <c r="K172" s="828">
        <f t="shared" si="27"/>
        <v>1.7500000000001137</v>
      </c>
      <c r="L172" s="828" t="s">
        <v>22</v>
      </c>
      <c r="M172" s="829">
        <f t="shared" si="28"/>
        <v>16.896250000001096</v>
      </c>
      <c r="N172" s="700"/>
      <c r="P172" s="871"/>
    </row>
    <row r="173" spans="1:16" s="863" customFormat="1" ht="12.75" customHeight="1">
      <c r="A173" s="862"/>
      <c r="B173" s="835"/>
      <c r="C173" s="835"/>
      <c r="D173" s="888"/>
      <c r="E173" s="790"/>
      <c r="F173" s="854"/>
      <c r="G173" s="854" t="s">
        <v>11763</v>
      </c>
      <c r="H173" s="700">
        <f>98.36/2</f>
        <v>49.18</v>
      </c>
      <c r="I173" s="828">
        <f>K57-M$51</f>
        <v>792.94999999999993</v>
      </c>
      <c r="J173" s="700">
        <v>795.85</v>
      </c>
      <c r="K173" s="828">
        <f t="shared" si="27"/>
        <v>2.9000000000000909</v>
      </c>
      <c r="L173" s="828" t="s">
        <v>22</v>
      </c>
      <c r="M173" s="829">
        <f t="shared" si="28"/>
        <v>142.62200000000448</v>
      </c>
      <c r="N173" s="700"/>
      <c r="P173" s="871"/>
    </row>
    <row r="174" spans="1:16" s="863" customFormat="1" ht="12.75" customHeight="1">
      <c r="A174" s="862"/>
      <c r="B174" s="835"/>
      <c r="C174" s="835"/>
      <c r="D174" s="888"/>
      <c r="E174" s="790"/>
      <c r="F174" s="854"/>
      <c r="G174" s="854" t="s">
        <v>11763</v>
      </c>
      <c r="H174" s="700">
        <f>98.36/2</f>
        <v>49.18</v>
      </c>
      <c r="I174" s="828">
        <f>I173</f>
        <v>792.94999999999993</v>
      </c>
      <c r="J174" s="700">
        <v>797.1</v>
      </c>
      <c r="K174" s="828">
        <f t="shared" si="27"/>
        <v>4.1500000000000909</v>
      </c>
      <c r="L174" s="828" t="s">
        <v>22</v>
      </c>
      <c r="M174" s="829">
        <f>H174*K174</f>
        <v>204.09700000000447</v>
      </c>
      <c r="N174" s="700"/>
      <c r="P174" s="871"/>
    </row>
    <row r="175" spans="1:16" s="863" customFormat="1" ht="12.75" customHeight="1">
      <c r="A175" s="862"/>
      <c r="B175" s="835"/>
      <c r="C175" s="835"/>
      <c r="D175" s="888"/>
      <c r="E175" s="790"/>
      <c r="F175" s="854"/>
      <c r="G175" s="854" t="s">
        <v>11778</v>
      </c>
      <c r="H175" s="700">
        <v>10.9</v>
      </c>
      <c r="I175" s="828">
        <f>K58-M$51</f>
        <v>794.84999999999991</v>
      </c>
      <c r="J175" s="700">
        <v>797.1</v>
      </c>
      <c r="K175" s="828">
        <f t="shared" si="27"/>
        <v>2.2500000000001137</v>
      </c>
      <c r="L175" s="828" t="s">
        <v>22</v>
      </c>
      <c r="M175" s="829">
        <f t="shared" si="28"/>
        <v>24.525000000001238</v>
      </c>
      <c r="N175" s="700"/>
      <c r="P175" s="871"/>
    </row>
    <row r="176" spans="1:16" s="863" customFormat="1" ht="12.75" customHeight="1">
      <c r="A176" s="862"/>
      <c r="B176" s="835"/>
      <c r="C176" s="835"/>
      <c r="D176" s="888"/>
      <c r="E176" s="790"/>
      <c r="F176" s="854"/>
      <c r="G176" s="854" t="s">
        <v>11779</v>
      </c>
      <c r="H176" s="700">
        <v>10.52</v>
      </c>
      <c r="I176" s="828">
        <f>K59-M$51</f>
        <v>794.44999999999993</v>
      </c>
      <c r="J176" s="700">
        <v>797.1</v>
      </c>
      <c r="K176" s="828">
        <f t="shared" si="27"/>
        <v>2.6500000000000909</v>
      </c>
      <c r="L176" s="828" t="s">
        <v>22</v>
      </c>
      <c r="M176" s="829">
        <f t="shared" si="28"/>
        <v>27.878000000000956</v>
      </c>
      <c r="N176" s="700"/>
      <c r="P176" s="871"/>
    </row>
    <row r="177" spans="1:16" s="863" customFormat="1" ht="12.75" customHeight="1">
      <c r="A177" s="862"/>
      <c r="B177" s="835"/>
      <c r="C177" s="835"/>
      <c r="D177" s="888"/>
      <c r="E177" s="790"/>
      <c r="F177" s="854"/>
      <c r="G177" s="854" t="s">
        <v>11765</v>
      </c>
      <c r="H177" s="700">
        <v>33.950000000000003</v>
      </c>
      <c r="I177" s="828">
        <f>K60-M$51</f>
        <v>792.8</v>
      </c>
      <c r="J177" s="700">
        <v>797.1</v>
      </c>
      <c r="K177" s="828">
        <f t="shared" ref="K177:K182" si="29">J177-I177</f>
        <v>4.3000000000000682</v>
      </c>
      <c r="L177" s="828" t="s">
        <v>22</v>
      </c>
      <c r="M177" s="829">
        <f t="shared" si="28"/>
        <v>145.98500000000232</v>
      </c>
      <c r="N177" s="700"/>
      <c r="P177" s="871"/>
    </row>
    <row r="178" spans="1:16" s="863" customFormat="1" ht="12.75" customHeight="1">
      <c r="A178" s="862"/>
      <c r="B178" s="835"/>
      <c r="C178" s="835"/>
      <c r="D178" s="888"/>
      <c r="E178" s="790"/>
      <c r="F178" s="854"/>
      <c r="G178" s="854" t="s">
        <v>11781</v>
      </c>
      <c r="H178" s="700">
        <v>1.97</v>
      </c>
      <c r="I178" s="828">
        <f>K61-M$51</f>
        <v>794.09999999999991</v>
      </c>
      <c r="J178" s="700">
        <v>795.85</v>
      </c>
      <c r="K178" s="828">
        <f t="shared" si="29"/>
        <v>1.7500000000001137</v>
      </c>
      <c r="L178" s="828" t="s">
        <v>22</v>
      </c>
      <c r="M178" s="829">
        <f t="shared" si="28"/>
        <v>3.4475000000002241</v>
      </c>
      <c r="N178" s="700"/>
      <c r="P178" s="871"/>
    </row>
    <row r="179" spans="1:16" s="863" customFormat="1" ht="12.75" customHeight="1">
      <c r="A179" s="862"/>
      <c r="B179" s="835"/>
      <c r="C179" s="835"/>
      <c r="D179" s="888"/>
      <c r="E179" s="790"/>
      <c r="F179" s="854"/>
      <c r="G179" s="854" t="s">
        <v>11782</v>
      </c>
      <c r="H179" s="700">
        <v>14.87</v>
      </c>
      <c r="I179" s="828">
        <f>K62-M$51</f>
        <v>795.84999999999991</v>
      </c>
      <c r="J179" s="700">
        <v>795.85</v>
      </c>
      <c r="K179" s="828">
        <f t="shared" si="29"/>
        <v>0</v>
      </c>
      <c r="L179" s="828" t="s">
        <v>22</v>
      </c>
      <c r="M179" s="829">
        <f t="shared" si="28"/>
        <v>0</v>
      </c>
      <c r="N179" s="700"/>
      <c r="P179" s="871"/>
    </row>
    <row r="180" spans="1:16" s="863" customFormat="1" ht="12.75" customHeight="1">
      <c r="A180" s="862"/>
      <c r="B180" s="835"/>
      <c r="C180" s="835"/>
      <c r="D180" s="888"/>
      <c r="E180" s="790"/>
      <c r="F180" s="1674" t="s">
        <v>11822</v>
      </c>
      <c r="G180" s="1674"/>
      <c r="H180" s="700">
        <v>27.26</v>
      </c>
      <c r="I180" s="828">
        <f>K63</f>
        <v>795.45</v>
      </c>
      <c r="J180" s="700">
        <v>795.45</v>
      </c>
      <c r="K180" s="828">
        <f t="shared" si="29"/>
        <v>0</v>
      </c>
      <c r="L180" s="828" t="s">
        <v>22</v>
      </c>
      <c r="M180" s="829">
        <f t="shared" si="28"/>
        <v>0</v>
      </c>
      <c r="N180" s="700"/>
      <c r="P180" s="871"/>
    </row>
    <row r="181" spans="1:16" s="863" customFormat="1" ht="12.75" customHeight="1">
      <c r="A181" s="862"/>
      <c r="B181" s="835"/>
      <c r="C181" s="835"/>
      <c r="D181" s="888"/>
      <c r="E181" s="790"/>
      <c r="F181" s="1674" t="s">
        <v>11825</v>
      </c>
      <c r="G181" s="1674"/>
      <c r="H181" s="700">
        <v>44.23</v>
      </c>
      <c r="I181" s="828">
        <f>K64</f>
        <v>795.45</v>
      </c>
      <c r="J181" s="700">
        <v>795.45</v>
      </c>
      <c r="K181" s="828">
        <f t="shared" si="29"/>
        <v>0</v>
      </c>
      <c r="L181" s="828" t="s">
        <v>22</v>
      </c>
      <c r="M181" s="829">
        <f t="shared" si="28"/>
        <v>0</v>
      </c>
      <c r="N181" s="700"/>
      <c r="P181" s="871"/>
    </row>
    <row r="182" spans="1:16" s="863" customFormat="1" ht="12.75" customHeight="1">
      <c r="A182" s="862"/>
      <c r="B182" s="835"/>
      <c r="C182" s="835"/>
      <c r="D182" s="888"/>
      <c r="E182" s="790"/>
      <c r="F182" s="854"/>
      <c r="G182" s="854" t="s">
        <v>11788</v>
      </c>
      <c r="H182" s="700">
        <v>5.36</v>
      </c>
      <c r="I182" s="828">
        <f>K65</f>
        <v>796.45</v>
      </c>
      <c r="J182" s="700">
        <v>797.1</v>
      </c>
      <c r="K182" s="828">
        <f t="shared" si="29"/>
        <v>0.64999999999997726</v>
      </c>
      <c r="L182" s="828" t="s">
        <v>22</v>
      </c>
      <c r="M182" s="829">
        <f t="shared" si="28"/>
        <v>3.4839999999998783</v>
      </c>
      <c r="N182" s="700"/>
      <c r="P182" s="871"/>
    </row>
    <row r="183" spans="1:16" s="863" customFormat="1" ht="12.75" customHeight="1">
      <c r="A183" s="862"/>
      <c r="B183" s="835"/>
      <c r="C183" s="835"/>
      <c r="D183" s="888"/>
      <c r="E183" s="790"/>
      <c r="F183" s="854"/>
      <c r="G183" s="854"/>
      <c r="H183" s="700"/>
      <c r="I183" s="1703" t="s">
        <v>21008</v>
      </c>
      <c r="J183" s="1703"/>
      <c r="K183" s="901" t="s">
        <v>27</v>
      </c>
      <c r="L183" s="901"/>
      <c r="M183" s="902">
        <f>SUM(M169:M182)</f>
        <v>678.49725000001968</v>
      </c>
      <c r="N183" s="700"/>
      <c r="P183" s="871"/>
    </row>
    <row r="184" spans="1:16" s="863" customFormat="1" ht="12.75" customHeight="1">
      <c r="A184" s="862"/>
      <c r="B184" s="835"/>
      <c r="C184" s="835"/>
      <c r="D184" s="888"/>
      <c r="E184" s="790"/>
      <c r="F184" s="854"/>
      <c r="G184" s="854"/>
      <c r="H184" s="700"/>
      <c r="I184" s="828"/>
      <c r="J184" s="700"/>
      <c r="K184" s="828"/>
      <c r="L184" s="828"/>
      <c r="M184" s="829"/>
      <c r="N184" s="700"/>
      <c r="P184" s="871"/>
    </row>
    <row r="185" spans="1:16" s="863" customFormat="1" ht="24" customHeight="1">
      <c r="A185" s="862"/>
      <c r="B185" s="835"/>
      <c r="C185" s="835"/>
      <c r="D185" s="826"/>
      <c r="E185" s="790"/>
      <c r="F185" s="790"/>
      <c r="G185" s="828"/>
      <c r="H185" s="700"/>
      <c r="I185" s="700" t="s">
        <v>20338</v>
      </c>
      <c r="J185" s="700" t="s">
        <v>20339</v>
      </c>
      <c r="K185" s="700" t="s">
        <v>20340</v>
      </c>
      <c r="L185" s="816"/>
      <c r="M185" s="829"/>
      <c r="N185" s="700"/>
      <c r="P185" s="871"/>
    </row>
    <row r="186" spans="1:16" s="863" customFormat="1" ht="14.25" customHeight="1">
      <c r="A186" s="862"/>
      <c r="B186" s="835"/>
      <c r="C186" s="835"/>
      <c r="D186" s="826"/>
      <c r="E186" s="790"/>
      <c r="F186" s="854"/>
      <c r="G186" s="854" t="s">
        <v>11775</v>
      </c>
      <c r="H186" s="700" t="s">
        <v>22</v>
      </c>
      <c r="I186" s="828">
        <f>IF(K169&gt;1.5,H169*1.5,H169*K169)</f>
        <v>20.174999999999997</v>
      </c>
      <c r="J186" s="828">
        <f>IF(K169&gt;3,H169*1.5,H169*(K169-1.5))</f>
        <v>13.450000000001529</v>
      </c>
      <c r="K186" s="828">
        <v>0</v>
      </c>
      <c r="L186" s="901"/>
      <c r="M186" s="829"/>
      <c r="N186" s="700"/>
      <c r="P186" s="871"/>
    </row>
    <row r="187" spans="1:16" s="863" customFormat="1" ht="14.25" customHeight="1">
      <c r="A187" s="862"/>
      <c r="B187" s="835"/>
      <c r="C187" s="835"/>
      <c r="D187" s="826"/>
      <c r="E187" s="790"/>
      <c r="F187" s="854"/>
      <c r="G187" s="854" t="s">
        <v>11804</v>
      </c>
      <c r="H187" s="700" t="s">
        <v>22</v>
      </c>
      <c r="I187" s="828">
        <f t="shared" ref="I187:I199" si="30">IF(K170&gt;1.5,H170*1.5,H170*K170)</f>
        <v>31.08</v>
      </c>
      <c r="J187" s="828">
        <f t="shared" ref="J187:J195" si="31">IF(K170&gt;3,H170*1.5,H170*(K170-1.5))</f>
        <v>20.720000000002354</v>
      </c>
      <c r="K187" s="828">
        <v>0</v>
      </c>
      <c r="L187" s="901"/>
      <c r="M187" s="829"/>
      <c r="N187" s="700"/>
      <c r="P187" s="871"/>
    </row>
    <row r="188" spans="1:16" s="863" customFormat="1" ht="14.25" customHeight="1">
      <c r="A188" s="862"/>
      <c r="B188" s="835"/>
      <c r="C188" s="835"/>
      <c r="D188" s="826"/>
      <c r="E188" s="790"/>
      <c r="F188" s="854"/>
      <c r="G188" s="854" t="s">
        <v>11762</v>
      </c>
      <c r="H188" s="700" t="s">
        <v>22</v>
      </c>
      <c r="I188" s="828">
        <f t="shared" si="30"/>
        <v>14.482499999999998</v>
      </c>
      <c r="J188" s="828">
        <f t="shared" si="31"/>
        <v>9.6550000000010971</v>
      </c>
      <c r="K188" s="828">
        <v>0</v>
      </c>
      <c r="L188" s="901"/>
      <c r="M188" s="829"/>
      <c r="N188" s="700"/>
      <c r="P188" s="871"/>
    </row>
    <row r="189" spans="1:16" s="863" customFormat="1" ht="14.25" customHeight="1">
      <c r="A189" s="862"/>
      <c r="B189" s="835"/>
      <c r="C189" s="835"/>
      <c r="D189" s="826"/>
      <c r="E189" s="790"/>
      <c r="F189" s="854"/>
      <c r="G189" s="854" t="s">
        <v>11762</v>
      </c>
      <c r="H189" s="700" t="s">
        <v>22</v>
      </c>
      <c r="I189" s="828">
        <f t="shared" si="30"/>
        <v>14.482499999999998</v>
      </c>
      <c r="J189" s="828">
        <f t="shared" si="31"/>
        <v>2.4137500000010976</v>
      </c>
      <c r="K189" s="828">
        <v>0</v>
      </c>
      <c r="L189" s="901"/>
      <c r="M189" s="829"/>
      <c r="N189" s="700"/>
      <c r="P189" s="871"/>
    </row>
    <row r="190" spans="1:16" s="863" customFormat="1" ht="14.25" customHeight="1">
      <c r="A190" s="862"/>
      <c r="B190" s="835"/>
      <c r="C190" s="835"/>
      <c r="D190" s="826"/>
      <c r="E190" s="790"/>
      <c r="F190" s="854"/>
      <c r="G190" s="854" t="s">
        <v>11763</v>
      </c>
      <c r="H190" s="700" t="s">
        <v>22</v>
      </c>
      <c r="I190" s="828">
        <f t="shared" si="30"/>
        <v>73.77</v>
      </c>
      <c r="J190" s="828">
        <f t="shared" si="31"/>
        <v>68.852000000004466</v>
      </c>
      <c r="K190" s="828">
        <v>0</v>
      </c>
      <c r="L190" s="901"/>
      <c r="M190" s="829"/>
      <c r="N190" s="700"/>
      <c r="P190" s="871"/>
    </row>
    <row r="191" spans="1:16" s="863" customFormat="1" ht="14.25" customHeight="1">
      <c r="A191" s="862"/>
      <c r="B191" s="835"/>
      <c r="C191" s="835"/>
      <c r="D191" s="826"/>
      <c r="E191" s="790"/>
      <c r="F191" s="854"/>
      <c r="G191" s="854" t="s">
        <v>11763</v>
      </c>
      <c r="H191" s="700" t="s">
        <v>22</v>
      </c>
      <c r="I191" s="828">
        <f t="shared" si="30"/>
        <v>73.77</v>
      </c>
      <c r="J191" s="828">
        <f t="shared" si="31"/>
        <v>73.77</v>
      </c>
      <c r="K191" s="828">
        <f>IF(K174&gt;4.5,H174*1.5,H174*(K174-1.5-1.5))</f>
        <v>56.557000000004471</v>
      </c>
      <c r="L191" s="901"/>
      <c r="M191" s="829"/>
      <c r="N191" s="700"/>
      <c r="P191" s="871"/>
    </row>
    <row r="192" spans="1:16" s="863" customFormat="1" ht="14.25" customHeight="1">
      <c r="A192" s="862"/>
      <c r="B192" s="835"/>
      <c r="C192" s="835"/>
      <c r="D192" s="826"/>
      <c r="E192" s="790"/>
      <c r="F192" s="854"/>
      <c r="G192" s="854" t="s">
        <v>11778</v>
      </c>
      <c r="H192" s="700" t="s">
        <v>22</v>
      </c>
      <c r="I192" s="828">
        <f t="shared" si="30"/>
        <v>16.350000000000001</v>
      </c>
      <c r="J192" s="828">
        <f t="shared" si="31"/>
        <v>8.1750000000012388</v>
      </c>
      <c r="K192" s="828">
        <v>0</v>
      </c>
      <c r="L192" s="901"/>
      <c r="M192" s="829"/>
      <c r="N192" s="700"/>
      <c r="P192" s="871"/>
    </row>
    <row r="193" spans="1:16" s="863" customFormat="1" ht="14.25" customHeight="1">
      <c r="A193" s="862"/>
      <c r="B193" s="835"/>
      <c r="C193" s="835"/>
      <c r="D193" s="826"/>
      <c r="E193" s="790"/>
      <c r="F193" s="854"/>
      <c r="G193" s="854" t="s">
        <v>11779</v>
      </c>
      <c r="H193" s="700" t="s">
        <v>22</v>
      </c>
      <c r="I193" s="828">
        <f t="shared" si="30"/>
        <v>15.78</v>
      </c>
      <c r="J193" s="828">
        <f t="shared" si="31"/>
        <v>12.098000000000956</v>
      </c>
      <c r="K193" s="828">
        <v>0</v>
      </c>
      <c r="L193" s="901"/>
      <c r="M193" s="829"/>
      <c r="N193" s="700"/>
      <c r="P193" s="871"/>
    </row>
    <row r="194" spans="1:16" s="863" customFormat="1" ht="14.25" customHeight="1">
      <c r="A194" s="862"/>
      <c r="B194" s="835"/>
      <c r="C194" s="835"/>
      <c r="D194" s="826"/>
      <c r="E194" s="790"/>
      <c r="F194" s="854"/>
      <c r="G194" s="854" t="s">
        <v>11765</v>
      </c>
      <c r="H194" s="700" t="s">
        <v>22</v>
      </c>
      <c r="I194" s="828">
        <f t="shared" si="30"/>
        <v>50.925000000000004</v>
      </c>
      <c r="J194" s="828">
        <f t="shared" si="31"/>
        <v>50.925000000000004</v>
      </c>
      <c r="K194" s="828">
        <f>IF(K177&gt;4.5,H177*1.5,H177*(K177-1.5-1.5))</f>
        <v>44.135000000002321</v>
      </c>
      <c r="L194" s="901"/>
      <c r="M194" s="829"/>
      <c r="N194" s="700"/>
      <c r="P194" s="871"/>
    </row>
    <row r="195" spans="1:16" s="863" customFormat="1" ht="14.25" customHeight="1">
      <c r="A195" s="862"/>
      <c r="B195" s="835"/>
      <c r="C195" s="835"/>
      <c r="D195" s="826"/>
      <c r="E195" s="790"/>
      <c r="F195" s="854"/>
      <c r="G195" s="854" t="s">
        <v>11781</v>
      </c>
      <c r="H195" s="700" t="s">
        <v>22</v>
      </c>
      <c r="I195" s="828">
        <f t="shared" si="30"/>
        <v>2.9550000000000001</v>
      </c>
      <c r="J195" s="828">
        <f t="shared" si="31"/>
        <v>0.49250000000022398</v>
      </c>
      <c r="K195" s="828">
        <v>0</v>
      </c>
      <c r="L195" s="901"/>
      <c r="M195" s="829"/>
      <c r="N195" s="700"/>
      <c r="P195" s="871"/>
    </row>
    <row r="196" spans="1:16" s="863" customFormat="1" ht="14.25" customHeight="1">
      <c r="A196" s="862"/>
      <c r="B196" s="835"/>
      <c r="C196" s="835"/>
      <c r="D196" s="826"/>
      <c r="E196" s="790"/>
      <c r="F196" s="854"/>
      <c r="G196" s="854" t="s">
        <v>11782</v>
      </c>
      <c r="H196" s="700" t="s">
        <v>22</v>
      </c>
      <c r="I196" s="828">
        <f t="shared" si="30"/>
        <v>0</v>
      </c>
      <c r="J196" s="828">
        <v>0</v>
      </c>
      <c r="K196" s="828">
        <v>0</v>
      </c>
      <c r="L196" s="901"/>
      <c r="M196" s="829"/>
      <c r="N196" s="700"/>
      <c r="P196" s="871"/>
    </row>
    <row r="197" spans="1:16" s="863" customFormat="1" ht="14.25" customHeight="1">
      <c r="A197" s="862"/>
      <c r="B197" s="835"/>
      <c r="C197" s="835"/>
      <c r="D197" s="826"/>
      <c r="E197" s="790"/>
      <c r="F197" s="1674" t="s">
        <v>11822</v>
      </c>
      <c r="G197" s="1674"/>
      <c r="H197" s="700" t="s">
        <v>22</v>
      </c>
      <c r="I197" s="828">
        <f t="shared" si="30"/>
        <v>0</v>
      </c>
      <c r="J197" s="828">
        <v>0</v>
      </c>
      <c r="K197" s="828">
        <v>0</v>
      </c>
      <c r="L197" s="901"/>
      <c r="M197" s="829"/>
      <c r="N197" s="700"/>
      <c r="P197" s="871"/>
    </row>
    <row r="198" spans="1:16" s="863" customFormat="1" ht="14.25" customHeight="1">
      <c r="A198" s="862"/>
      <c r="B198" s="835"/>
      <c r="C198" s="835"/>
      <c r="D198" s="899"/>
      <c r="E198" s="824"/>
      <c r="F198" s="1674" t="s">
        <v>11825</v>
      </c>
      <c r="G198" s="1674"/>
      <c r="H198" s="700" t="s">
        <v>22</v>
      </c>
      <c r="I198" s="828">
        <f t="shared" si="30"/>
        <v>0</v>
      </c>
      <c r="J198" s="828">
        <v>0</v>
      </c>
      <c r="K198" s="828">
        <v>0</v>
      </c>
      <c r="L198" s="901"/>
      <c r="M198" s="829"/>
      <c r="N198" s="700"/>
      <c r="P198" s="871"/>
    </row>
    <row r="199" spans="1:16" s="863" customFormat="1" ht="15.75" customHeight="1">
      <c r="A199" s="862"/>
      <c r="B199" s="835"/>
      <c r="C199" s="835"/>
      <c r="D199" s="899"/>
      <c r="E199" s="824"/>
      <c r="F199" s="854"/>
      <c r="G199" s="854" t="s">
        <v>11788</v>
      </c>
      <c r="H199" s="700" t="s">
        <v>22</v>
      </c>
      <c r="I199" s="828">
        <f t="shared" si="30"/>
        <v>3.4839999999998783</v>
      </c>
      <c r="J199" s="828">
        <v>0</v>
      </c>
      <c r="K199" s="828">
        <v>0</v>
      </c>
      <c r="L199" s="816" t="s">
        <v>27</v>
      </c>
      <c r="M199" s="829"/>
      <c r="N199" s="700"/>
      <c r="P199" s="871"/>
    </row>
    <row r="200" spans="1:16" s="863" customFormat="1">
      <c r="A200" s="862"/>
      <c r="B200" s="835"/>
      <c r="C200" s="835"/>
      <c r="D200" s="899"/>
      <c r="E200" s="824"/>
      <c r="F200" s="1701" t="s">
        <v>11833</v>
      </c>
      <c r="G200" s="1701"/>
      <c r="H200" s="816" t="s">
        <v>22</v>
      </c>
      <c r="I200" s="1258">
        <f>SUM(I186:I199)</f>
        <v>317.25399999999985</v>
      </c>
      <c r="J200" s="901">
        <f>SUM(J186:J199)</f>
        <v>260.55125000001294</v>
      </c>
      <c r="K200" s="901">
        <f>SUM(K186:K199)</f>
        <v>100.6920000000068</v>
      </c>
      <c r="L200" s="901">
        <f>SUM(I200:K200)</f>
        <v>678.49725000001968</v>
      </c>
      <c r="M200" s="829"/>
      <c r="N200" s="828">
        <f>SUM(I200:K200)</f>
        <v>678.49725000001968</v>
      </c>
      <c r="P200" s="871"/>
    </row>
    <row r="201" spans="1:16" s="863" customFormat="1">
      <c r="A201" s="862"/>
      <c r="B201" s="835"/>
      <c r="C201" s="835"/>
      <c r="D201" s="899"/>
      <c r="E201" s="824"/>
      <c r="F201" s="1701" t="s">
        <v>11832</v>
      </c>
      <c r="G201" s="1701"/>
      <c r="H201" s="816" t="s">
        <v>22</v>
      </c>
      <c r="I201" s="1258">
        <v>880</v>
      </c>
      <c r="J201" s="901">
        <v>325</v>
      </c>
      <c r="K201" s="901">
        <v>129</v>
      </c>
      <c r="L201" s="901">
        <f>SUM(I201:K201)</f>
        <v>1334</v>
      </c>
      <c r="M201" s="829"/>
      <c r="N201" s="828">
        <f>SUM(I201:K201)</f>
        <v>1334</v>
      </c>
      <c r="P201" s="871"/>
    </row>
    <row r="202" spans="1:16" s="863" customFormat="1">
      <c r="A202" s="862"/>
      <c r="B202" s="835"/>
      <c r="C202" s="835"/>
      <c r="D202" s="836" t="s">
        <v>11679</v>
      </c>
      <c r="E202" s="837"/>
      <c r="F202" s="1702" t="s">
        <v>20341</v>
      </c>
      <c r="G202" s="1702"/>
      <c r="H202" s="901" t="s">
        <v>22</v>
      </c>
      <c r="I202" s="901">
        <f>I201-I200</f>
        <v>562.74600000000009</v>
      </c>
      <c r="J202" s="901">
        <f>J201-J200</f>
        <v>64.448749999987058</v>
      </c>
      <c r="K202" s="901">
        <f>K201-K200</f>
        <v>28.3079999999932</v>
      </c>
      <c r="L202" s="901">
        <f>SUM(I202:K202)</f>
        <v>655.50274999998032</v>
      </c>
      <c r="M202" s="902"/>
      <c r="N202" s="828">
        <f>SUM(I202:K202)</f>
        <v>655.50274999998032</v>
      </c>
      <c r="P202" s="871"/>
    </row>
    <row r="203" spans="1:16" s="777" customFormat="1">
      <c r="A203" s="959"/>
      <c r="B203" s="850"/>
      <c r="C203" s="850"/>
      <c r="D203" s="1259" t="s">
        <v>73</v>
      </c>
      <c r="E203" s="1079"/>
      <c r="F203" s="1079"/>
      <c r="G203" s="1254" t="s">
        <v>30</v>
      </c>
      <c r="H203" s="1254" t="s">
        <v>30</v>
      </c>
      <c r="I203" s="1254"/>
      <c r="J203" s="1254" t="s">
        <v>20338</v>
      </c>
      <c r="K203" s="1254" t="s">
        <v>50</v>
      </c>
      <c r="L203" s="1254" t="s">
        <v>30</v>
      </c>
      <c r="M203" s="1255" t="s">
        <v>30</v>
      </c>
      <c r="N203" s="780"/>
      <c r="P203" s="805"/>
    </row>
    <row r="204" spans="1:16" s="777" customFormat="1" ht="45">
      <c r="A204" s="959" t="s">
        <v>20342</v>
      </c>
      <c r="B204" s="855" t="s">
        <v>70</v>
      </c>
      <c r="C204" s="855">
        <v>93367</v>
      </c>
      <c r="D204" s="956" t="str">
        <f>PROPER(IF(B204="Saneago",VLOOKUP(C204,'SANEAGO-FEV.2016'!A:B,2,0),IF(B204="Sinapi",VLOOKUP(C204,'SINAPI-FEV.2017'!A:D,2,0),IF(B204="Cotação",VLOOKUP(C204,COTAÇÃO!A:D,2,0),IF(B204="Composição",VLOOKUP(C204,COMPOSIÇÃO!A:D,2,0))))))</f>
        <v>Reaterro Mecanizado De Vala Com Escavadeira Hidráulica (Capacidade Da Caçamba: 0,8 M³ / Potência: 111 Hp), Largura De 1,5 A 2,5 M, Profundidade Até 1,5 M, Com Solo (Sem Substituição) De 1ª Categoria Em Locais Com Baixo Nível De Interferência. Af_04/2016</v>
      </c>
      <c r="E204" s="1121"/>
      <c r="F204" s="1121"/>
      <c r="G204" s="1245"/>
      <c r="H204" s="1245"/>
      <c r="I204" s="1122"/>
      <c r="J204" s="1122">
        <f>I202</f>
        <v>562.74600000000009</v>
      </c>
      <c r="K204" s="1260">
        <f>K206</f>
        <v>1</v>
      </c>
      <c r="L204" s="1245" t="s">
        <v>22</v>
      </c>
      <c r="M204" s="1140">
        <f>(J204+I204)*K204</f>
        <v>562.74600000000009</v>
      </c>
      <c r="N204" s="780"/>
      <c r="P204" s="805"/>
    </row>
    <row r="205" spans="1:16" s="777" customFormat="1">
      <c r="A205" s="959"/>
      <c r="B205" s="855"/>
      <c r="C205" s="855"/>
      <c r="D205" s="1259" t="s">
        <v>73</v>
      </c>
      <c r="E205" s="1079"/>
      <c r="F205" s="1079"/>
      <c r="G205" s="1254" t="s">
        <v>30</v>
      </c>
      <c r="H205" s="1254" t="s">
        <v>30</v>
      </c>
      <c r="I205" s="1254" t="s">
        <v>30</v>
      </c>
      <c r="J205" s="1254" t="s">
        <v>20339</v>
      </c>
      <c r="K205" s="1254" t="s">
        <v>50</v>
      </c>
      <c r="L205" s="1254" t="s">
        <v>30</v>
      </c>
      <c r="M205" s="1255" t="s">
        <v>30</v>
      </c>
      <c r="N205" s="780"/>
      <c r="P205" s="805"/>
    </row>
    <row r="206" spans="1:16" s="777" customFormat="1" ht="45">
      <c r="A206" s="959" t="s">
        <v>20343</v>
      </c>
      <c r="B206" s="855" t="s">
        <v>70</v>
      </c>
      <c r="C206" s="855">
        <v>93369</v>
      </c>
      <c r="D206" s="956" t="str">
        <f>PROPER(IF(B206="Saneago",VLOOKUP(C206,'SANEAGO-FEV.2016'!A:B,2,0),IF(B206="Sinapi",VLOOKUP(C206,'SINAPI-FEV.2017'!A:D,2,0),IF(B206="Cotação",VLOOKUP(C206,COTAÇÃO!A:D,2,0),IF(B206="Composição",VLOOKUP(C206,COMPOSIÇÃO!A:D,2,0))))))</f>
        <v>Reaterro Mecanizado De Vala Com Escavadeira Hidráulica (Capacidade Da Caçamba: 0,8 M³ / Potência: 111 Hp), Largura De 1,5 A 2,5 M, Profundidade De 1,5 A 3,0 M, Com Solo (Sem Substituição) De 1ª Categoria Em Locais Com Baixo Nível De Interferência. Af_04/2016</v>
      </c>
      <c r="E206" s="1121"/>
      <c r="F206" s="1121"/>
      <c r="G206" s="1245"/>
      <c r="H206" s="1245"/>
      <c r="I206" s="1245"/>
      <c r="J206" s="1122">
        <f>J202</f>
        <v>64.448749999987058</v>
      </c>
      <c r="K206" s="1260">
        <f>K208</f>
        <v>1</v>
      </c>
      <c r="L206" s="1245" t="s">
        <v>22</v>
      </c>
      <c r="M206" s="1140">
        <f>J206*K206</f>
        <v>64.448749999987058</v>
      </c>
      <c r="N206" s="780"/>
      <c r="P206" s="805"/>
    </row>
    <row r="207" spans="1:16" s="777" customFormat="1">
      <c r="A207" s="959"/>
      <c r="B207" s="855"/>
      <c r="C207" s="855"/>
      <c r="D207" s="1259" t="s">
        <v>73</v>
      </c>
      <c r="E207" s="1079"/>
      <c r="F207" s="1079"/>
      <c r="G207" s="1254" t="s">
        <v>30</v>
      </c>
      <c r="H207" s="1254" t="s">
        <v>30</v>
      </c>
      <c r="I207" s="1254" t="s">
        <v>30</v>
      </c>
      <c r="J207" s="1254" t="s">
        <v>20340</v>
      </c>
      <c r="K207" s="1254" t="s">
        <v>50</v>
      </c>
      <c r="L207" s="1254" t="s">
        <v>30</v>
      </c>
      <c r="M207" s="1255" t="s">
        <v>30</v>
      </c>
      <c r="N207" s="780"/>
      <c r="P207" s="805"/>
    </row>
    <row r="208" spans="1:16" s="777" customFormat="1" ht="45">
      <c r="A208" s="959" t="s">
        <v>20344</v>
      </c>
      <c r="B208" s="855" t="s">
        <v>70</v>
      </c>
      <c r="C208" s="855">
        <v>93371</v>
      </c>
      <c r="D208" s="956" t="str">
        <f>PROPER(IF(B208="Saneago",VLOOKUP(C208,'SANEAGO-FEV.2016'!A:B,2,0),IF(B208="Sinapi",VLOOKUP(C208,'SINAPI-FEV.2017'!A:D,2,0),IF(B208="Cotação",VLOOKUP(C208,COTAÇÃO!A:D,2,0),IF(B208="Composição",VLOOKUP(C208,COMPOSIÇÃO!A:D,2,0))))))</f>
        <v>Reaterro Mecanizado De Vala Com Escavadeira Hidráulica (Capacidade Da Caçamba: 0,8 M³ / Potência: 111 Hp), Largura De 1,5 A 2,5 M, Profundidade De 3,0 A 4,5 M, Com Solo (Sem Substituição) De 1ª Categoria Em Locais Com Baixo Nível De Interferência. Af_04/2016</v>
      </c>
      <c r="E208" s="1121"/>
      <c r="F208" s="1121"/>
      <c r="G208" s="1245"/>
      <c r="H208" s="1245"/>
      <c r="I208" s="1245"/>
      <c r="J208" s="1122">
        <f>K202</f>
        <v>28.3079999999932</v>
      </c>
      <c r="K208" s="1260">
        <f>M24</f>
        <v>1</v>
      </c>
      <c r="L208" s="1245" t="s">
        <v>22</v>
      </c>
      <c r="M208" s="1140">
        <f>J208*K208</f>
        <v>28.3079999999932</v>
      </c>
      <c r="N208" s="780"/>
      <c r="P208" s="805"/>
    </row>
    <row r="209" spans="1:18" s="834" customFormat="1" ht="13.5" thickBot="1">
      <c r="A209" s="1261"/>
      <c r="B209" s="1262"/>
      <c r="C209" s="1262"/>
      <c r="D209" s="1119"/>
      <c r="E209" s="1079"/>
      <c r="F209" s="1079"/>
      <c r="G209" s="780"/>
      <c r="H209" s="780"/>
      <c r="I209" s="780"/>
      <c r="J209" s="1120"/>
      <c r="K209" s="780"/>
      <c r="L209" s="780"/>
      <c r="M209" s="1244"/>
      <c r="N209" s="780"/>
      <c r="O209" s="777"/>
      <c r="P209" s="805"/>
      <c r="Q209" s="777"/>
      <c r="R209" s="777"/>
    </row>
    <row r="210" spans="1:18" s="834" customFormat="1" ht="24.75" customHeight="1" thickTop="1" thickBot="1">
      <c r="A210" s="1261"/>
      <c r="B210" s="1262"/>
      <c r="C210" s="1262"/>
      <c r="D210" s="830" t="s">
        <v>47</v>
      </c>
      <c r="E210" s="831"/>
      <c r="F210" s="831"/>
      <c r="G210" s="831"/>
      <c r="H210" s="831"/>
      <c r="I210" s="831"/>
      <c r="J210" s="831"/>
      <c r="K210" s="831"/>
      <c r="L210" s="832" t="s">
        <v>25</v>
      </c>
      <c r="M210" s="833" t="s">
        <v>27</v>
      </c>
      <c r="N210" s="780"/>
      <c r="O210" s="777"/>
      <c r="P210" s="805"/>
      <c r="Q210" s="777"/>
      <c r="R210" s="777"/>
    </row>
    <row r="211" spans="1:18" s="834" customFormat="1" ht="13.5" thickTop="1">
      <c r="A211" s="1261"/>
      <c r="B211" s="1262"/>
      <c r="C211" s="1262"/>
      <c r="D211" s="1119"/>
      <c r="E211" s="1079"/>
      <c r="F211" s="780"/>
      <c r="G211" s="1133"/>
      <c r="H211" s="1133"/>
      <c r="I211" s="1133"/>
      <c r="J211" s="1133" t="s">
        <v>11680</v>
      </c>
      <c r="K211" s="834" t="s">
        <v>35</v>
      </c>
      <c r="L211" s="1133"/>
      <c r="M211" s="1139"/>
      <c r="N211" s="780"/>
      <c r="P211" s="805"/>
      <c r="Q211" s="777"/>
      <c r="R211" s="777"/>
    </row>
    <row r="212" spans="1:18" s="834" customFormat="1">
      <c r="A212" s="1261"/>
      <c r="B212" s="1262"/>
      <c r="C212" s="1262"/>
      <c r="D212" s="1119"/>
      <c r="E212" s="1079"/>
      <c r="F212" s="1263"/>
      <c r="G212" s="1133"/>
      <c r="H212" s="1133"/>
      <c r="I212" s="1133"/>
      <c r="J212" s="1133">
        <f>M80</f>
        <v>502.53</v>
      </c>
      <c r="K212" s="1264">
        <f>M21</f>
        <v>0.2</v>
      </c>
      <c r="L212" s="1133" t="s">
        <v>22</v>
      </c>
      <c r="M212" s="1139">
        <f>SUM(H212:J212)*(1+K212)</f>
        <v>603.03599999999994</v>
      </c>
      <c r="N212" s="780"/>
      <c r="P212" s="805"/>
      <c r="Q212" s="777"/>
      <c r="R212" s="777"/>
    </row>
    <row r="213" spans="1:18" s="834" customFormat="1" ht="33.75">
      <c r="A213" s="959" t="s">
        <v>14205</v>
      </c>
      <c r="B213" s="855" t="s">
        <v>70</v>
      </c>
      <c r="C213" s="909" t="s">
        <v>18276</v>
      </c>
      <c r="D213" s="956" t="str">
        <f>PROPER(IF(B213="Saneago",VLOOKUP(C213,'SANEAGO-FEV.2016'!A:B,2,0),IF(B213="Sinapi",VLOOKUP(C213,'SINAPI-FEV.2017'!A:D,2,0),IF(B213="Cotação",VLOOKUP(C213,COTAÇÃO!A:D,2,0),IF(B213="Composição",VLOOKUP(C213,COMPOSIÇÃO!A:D,2,0))))))</f>
        <v>Carga E Descarga Mecanica De Solo Utilizando Caminhao Basculante 6,0M3/16T E Pa Carregadeira Sobre Pneus 128 Hp, Capacidade Da Caçamba 1,7 A 2,8 M3, Peso Operacional 11632 Kg</v>
      </c>
      <c r="E213" s="1121"/>
      <c r="F213" s="1121"/>
      <c r="G213" s="1122"/>
      <c r="H213" s="1122"/>
      <c r="I213" s="1122"/>
      <c r="J213" s="1122"/>
      <c r="K213" s="1265" t="s">
        <v>27</v>
      </c>
      <c r="L213" s="1266" t="s">
        <v>22</v>
      </c>
      <c r="M213" s="1250">
        <f>SUM(M212:M212)</f>
        <v>603.03599999999994</v>
      </c>
      <c r="N213" s="780"/>
      <c r="O213" s="777"/>
      <c r="P213" s="805"/>
      <c r="Q213" s="777"/>
      <c r="R213" s="777"/>
    </row>
    <row r="214" spans="1:18" s="834" customFormat="1" ht="22.5">
      <c r="A214" s="1261"/>
      <c r="B214" s="855"/>
      <c r="C214" s="909"/>
      <c r="D214" s="1119"/>
      <c r="E214" s="1079"/>
      <c r="F214" s="1079"/>
      <c r="G214" s="1133"/>
      <c r="H214" s="1133"/>
      <c r="I214" s="1133"/>
      <c r="J214" s="1133" t="s">
        <v>20345</v>
      </c>
      <c r="K214" s="1133" t="s">
        <v>48</v>
      </c>
      <c r="L214" s="1133"/>
      <c r="M214" s="1139"/>
      <c r="N214" s="780"/>
      <c r="O214" s="777"/>
      <c r="P214" s="805"/>
      <c r="Q214" s="777"/>
      <c r="R214" s="777"/>
    </row>
    <row r="215" spans="1:18" s="834" customFormat="1">
      <c r="A215" s="1261"/>
      <c r="B215" s="855"/>
      <c r="C215" s="909"/>
      <c r="D215" s="1119"/>
      <c r="E215" s="1699"/>
      <c r="F215" s="1699"/>
      <c r="G215" s="1699"/>
      <c r="H215" s="1133"/>
      <c r="I215" s="1133"/>
      <c r="J215" s="1133">
        <f>M213</f>
        <v>603.03599999999994</v>
      </c>
      <c r="K215" s="1133">
        <f>M13</f>
        <v>7.5</v>
      </c>
      <c r="L215" s="1133" t="s">
        <v>23</v>
      </c>
      <c r="M215" s="1139">
        <f>J215*K215</f>
        <v>4522.7699999999995</v>
      </c>
      <c r="N215" s="780"/>
      <c r="O215" s="777"/>
      <c r="P215" s="805"/>
      <c r="Q215" s="777"/>
      <c r="R215" s="777"/>
    </row>
    <row r="216" spans="1:18" s="834" customFormat="1" ht="22.5">
      <c r="A216" s="959" t="s">
        <v>14206</v>
      </c>
      <c r="B216" s="855" t="s">
        <v>70</v>
      </c>
      <c r="C216" s="909">
        <v>93590</v>
      </c>
      <c r="D216" s="956" t="str">
        <f>PROPER(IF(B216="Saneago",VLOOKUP(C216,'SANEAGO-FEV.2016'!A:B,2,0),IF(B216="Sinapi",VLOOKUP(C216,'SINAPI-FEV.2017'!A:D,2,0),IF(B216="Cotação",VLOOKUP(C216,COTAÇÃO!A:D,2,0),IF(B216="Composição",VLOOKUP(C216,COMPOSIÇÃO!A:D,2,0))))))</f>
        <v>Transporte Com Caminhão Basculante De 10 M3, Em Via Urbana Pavimentada, Dmt Acima De 30Km (Unidade: M3Xkm). Af_04/2016</v>
      </c>
      <c r="E216" s="1121"/>
      <c r="F216" s="1121"/>
      <c r="G216" s="1122"/>
      <c r="H216" s="1122"/>
      <c r="I216" s="1122"/>
      <c r="J216" s="838"/>
      <c r="K216" s="839" t="s">
        <v>27</v>
      </c>
      <c r="L216" s="1266" t="s">
        <v>23</v>
      </c>
      <c r="M216" s="1250">
        <f>SUM(M215:M215)</f>
        <v>4522.7699999999995</v>
      </c>
      <c r="N216" s="780"/>
      <c r="O216" s="777"/>
      <c r="P216" s="805"/>
      <c r="Q216" s="777"/>
      <c r="R216" s="777"/>
    </row>
    <row r="217" spans="1:18" s="834" customFormat="1" ht="22.5">
      <c r="A217" s="1261"/>
      <c r="B217" s="855"/>
      <c r="C217" s="909"/>
      <c r="D217" s="1119"/>
      <c r="E217" s="1079"/>
      <c r="F217" s="1079"/>
      <c r="G217" s="1133" t="s">
        <v>30</v>
      </c>
      <c r="H217" s="1133" t="s">
        <v>30</v>
      </c>
      <c r="I217" s="1133" t="s">
        <v>30</v>
      </c>
      <c r="J217" s="1133" t="s">
        <v>30</v>
      </c>
      <c r="K217" s="1133" t="s">
        <v>20345</v>
      </c>
      <c r="L217" s="1133"/>
      <c r="M217" s="1139"/>
      <c r="N217" s="780"/>
      <c r="O217" s="777"/>
      <c r="P217" s="805"/>
      <c r="Q217" s="777"/>
      <c r="R217" s="777"/>
    </row>
    <row r="218" spans="1:18" s="834" customFormat="1" ht="22.5">
      <c r="A218" s="959" t="s">
        <v>14207</v>
      </c>
      <c r="B218" s="855" t="s">
        <v>70</v>
      </c>
      <c r="C218" s="909">
        <v>83344</v>
      </c>
      <c r="D218" s="956" t="str">
        <f>PROPER(IF(B218="Saneago",VLOOKUP(C218,'SANEAGO-FEV.2016'!A:B,2,0),IF(B218="Sinapi",VLOOKUP(C218,'SINAPI-FEV.2017'!A:D,2,0),IF(B218="Cotação",VLOOKUP(C218,COTAÇÃO!A:D,2,0),IF(B218="Composição",VLOOKUP(C218,COMPOSIÇÃO!A:D,2,0))))))</f>
        <v>Espalhamento De Material Em Bota Fora, Com Utilizacao De Trator De Esteiras De 165 Hp</v>
      </c>
      <c r="E218" s="1121"/>
      <c r="F218" s="1121"/>
      <c r="G218" s="1122"/>
      <c r="H218" s="1122"/>
      <c r="I218" s="1122"/>
      <c r="J218" s="1122"/>
      <c r="K218" s="1122">
        <f>J215</f>
        <v>603.03599999999994</v>
      </c>
      <c r="L218" s="1122" t="s">
        <v>22</v>
      </c>
      <c r="M218" s="1140">
        <f>K218</f>
        <v>603.03599999999994</v>
      </c>
      <c r="N218" s="780"/>
      <c r="O218" s="777"/>
      <c r="P218" s="805"/>
      <c r="Q218" s="777"/>
      <c r="R218" s="777"/>
    </row>
    <row r="219" spans="1:18" s="777" customFormat="1" ht="13.5" thickBot="1">
      <c r="A219" s="959"/>
      <c r="B219" s="850"/>
      <c r="C219" s="850"/>
      <c r="D219" s="1119"/>
      <c r="E219" s="1079"/>
      <c r="F219" s="1079"/>
      <c r="G219" s="1133"/>
      <c r="H219" s="1133"/>
      <c r="I219" s="1133"/>
      <c r="J219" s="1133"/>
      <c r="K219" s="1135"/>
      <c r="L219" s="1133"/>
      <c r="M219" s="1139"/>
      <c r="N219" s="780"/>
      <c r="P219" s="805"/>
    </row>
    <row r="220" spans="1:18" s="834" customFormat="1" ht="14.25" thickTop="1" thickBot="1">
      <c r="A220" s="1261"/>
      <c r="B220" s="1262"/>
      <c r="C220" s="1262"/>
      <c r="D220" s="830" t="s">
        <v>1259</v>
      </c>
      <c r="E220" s="831"/>
      <c r="F220" s="831"/>
      <c r="G220" s="831"/>
      <c r="H220" s="831"/>
      <c r="I220" s="831"/>
      <c r="J220" s="831"/>
      <c r="K220" s="831"/>
      <c r="L220" s="832" t="s">
        <v>25</v>
      </c>
      <c r="M220" s="833" t="s">
        <v>27</v>
      </c>
      <c r="N220" s="780"/>
      <c r="O220" s="777"/>
      <c r="P220" s="805"/>
      <c r="Q220" s="777"/>
      <c r="R220" s="777"/>
    </row>
    <row r="221" spans="1:18" s="777" customFormat="1" ht="23.25" thickTop="1">
      <c r="A221" s="959"/>
      <c r="B221" s="850"/>
      <c r="C221" s="850"/>
      <c r="D221" s="1119"/>
      <c r="E221" s="1079"/>
      <c r="F221" s="1079"/>
      <c r="G221" s="780"/>
      <c r="H221" s="780"/>
      <c r="I221" s="780"/>
      <c r="J221" s="780" t="s">
        <v>21007</v>
      </c>
      <c r="K221" s="780" t="s">
        <v>30</v>
      </c>
      <c r="L221" s="780" t="s">
        <v>30</v>
      </c>
      <c r="M221" s="1139" t="s">
        <v>11772</v>
      </c>
      <c r="N221" s="780"/>
      <c r="P221" s="805"/>
    </row>
    <row r="222" spans="1:18" s="777" customFormat="1">
      <c r="A222" s="959"/>
      <c r="B222" s="850"/>
      <c r="C222" s="850"/>
      <c r="D222" s="1119"/>
      <c r="E222" s="1079"/>
      <c r="F222" s="1079"/>
      <c r="G222" s="780"/>
      <c r="H222" s="780"/>
      <c r="I222" s="1263"/>
      <c r="J222" s="1134">
        <f>SUM(I202:K202)</f>
        <v>655.50274999998032</v>
      </c>
      <c r="K222" s="1134"/>
      <c r="L222" s="780" t="s">
        <v>22</v>
      </c>
      <c r="M222" s="1139">
        <f>J222</f>
        <v>655.50274999998032</v>
      </c>
      <c r="N222" s="780"/>
      <c r="P222" s="805"/>
    </row>
    <row r="223" spans="1:18" s="777" customFormat="1">
      <c r="A223" s="959"/>
      <c r="B223" s="850"/>
      <c r="C223" s="850"/>
      <c r="D223" s="1119"/>
      <c r="E223" s="1079"/>
      <c r="F223" s="1079"/>
      <c r="G223" s="1246"/>
      <c r="H223" s="1246"/>
      <c r="I223" s="1246"/>
      <c r="J223" s="1267"/>
      <c r="K223" s="1134"/>
      <c r="L223" s="780" t="s">
        <v>22</v>
      </c>
      <c r="M223" s="1268"/>
      <c r="N223" s="780"/>
      <c r="P223" s="805"/>
    </row>
    <row r="224" spans="1:18" s="777" customFormat="1">
      <c r="A224" s="959" t="s">
        <v>11770</v>
      </c>
      <c r="B224" s="850" t="s">
        <v>10852</v>
      </c>
      <c r="C224" s="850">
        <v>232</v>
      </c>
      <c r="D224" s="956" t="str">
        <f>PROPER(IF(B224="Saneago",VLOOKUP(C224,'SANEAGO-FEV.2016'!A:B,2,0),IF(B224="Sinapi",VLOOKUP(C224,'SINAPI-FEV.2017'!A:D,2,0),IF(B224="Cotação",VLOOKUP(C224,COTAÇÃO!A:D,2,0),IF(B224="Composição",VLOOKUP(C224,COMPOSIÇÃO!A:D,2,0))))))</f>
        <v>Aquisição  De Material De Jazida</v>
      </c>
      <c r="E224" s="1121"/>
      <c r="F224" s="1121"/>
      <c r="G224" s="1245"/>
      <c r="H224" s="1245"/>
      <c r="I224" s="1249" t="s">
        <v>27</v>
      </c>
      <c r="J224" s="1269">
        <f>SUM(J222:J223)</f>
        <v>655.50274999998032</v>
      </c>
      <c r="K224" s="1269">
        <f>SUM(K222:K223)</f>
        <v>0</v>
      </c>
      <c r="L224" s="1249" t="s">
        <v>21</v>
      </c>
      <c r="M224" s="1250">
        <f>J224-K224</f>
        <v>655.50274999998032</v>
      </c>
      <c r="N224" s="780"/>
      <c r="P224" s="805"/>
    </row>
    <row r="225" spans="1:18" s="777" customFormat="1">
      <c r="A225" s="959"/>
      <c r="B225" s="850"/>
      <c r="C225" s="850"/>
      <c r="D225" s="1119"/>
      <c r="E225" s="1079"/>
      <c r="F225" s="1079"/>
      <c r="G225" s="780"/>
      <c r="H225" s="780"/>
      <c r="I225" s="780"/>
      <c r="J225" s="780"/>
      <c r="K225" s="780"/>
      <c r="L225" s="780"/>
      <c r="M225" s="1139"/>
      <c r="N225" s="780"/>
      <c r="P225" s="805"/>
    </row>
    <row r="226" spans="1:18" s="777" customFormat="1">
      <c r="A226" s="959" t="s">
        <v>11769</v>
      </c>
      <c r="B226" s="850" t="s">
        <v>10852</v>
      </c>
      <c r="C226" s="850">
        <v>233</v>
      </c>
      <c r="D226" s="956" t="str">
        <f>PROPER(IF(B226="Saneago",VLOOKUP(C226,'SANEAGO-FEV.2016'!A:B,2,0),IF(B226="Sinapi",VLOOKUP(C226,'SINAPI-FEV.2017'!A:D,2,0),IF(B226="Cotação",VLOOKUP(C226,COTAÇÃO!A:D,2,0),IF(B226="Composição",VLOOKUP(C226,COMPOSIÇÃO!A:D,2,0))))))</f>
        <v>Escavação  E Carga De Material De Jazida (Com Trator E Pá Carregadeira)</v>
      </c>
      <c r="E226" s="1121"/>
      <c r="F226" s="1121"/>
      <c r="G226" s="1245"/>
      <c r="H226" s="1245"/>
      <c r="I226" s="1245"/>
      <c r="J226" s="1245"/>
      <c r="K226" s="1249"/>
      <c r="L226" s="1245" t="s">
        <v>21</v>
      </c>
      <c r="M226" s="1140">
        <f>M224</f>
        <v>655.50274999998032</v>
      </c>
      <c r="N226" s="780"/>
      <c r="P226" s="805"/>
    </row>
    <row r="227" spans="1:18" s="777" customFormat="1">
      <c r="A227" s="959"/>
      <c r="B227" s="850"/>
      <c r="C227" s="850"/>
      <c r="D227" s="1119"/>
      <c r="E227" s="1079"/>
      <c r="F227" s="1079"/>
      <c r="G227" s="780"/>
      <c r="H227" s="780"/>
      <c r="I227" s="780" t="s">
        <v>30</v>
      </c>
      <c r="J227" s="780" t="s">
        <v>20346</v>
      </c>
      <c r="K227" s="780" t="s">
        <v>11774</v>
      </c>
      <c r="L227" s="780" t="s">
        <v>30</v>
      </c>
      <c r="M227" s="1139" t="s">
        <v>30</v>
      </c>
      <c r="N227" s="780"/>
      <c r="P227" s="805"/>
    </row>
    <row r="228" spans="1:18" s="777" customFormat="1">
      <c r="A228" s="959"/>
      <c r="B228" s="850"/>
      <c r="C228" s="850"/>
      <c r="D228" s="1119"/>
      <c r="E228" s="1694"/>
      <c r="F228" s="1694"/>
      <c r="G228" s="1694"/>
      <c r="H228" s="1694"/>
      <c r="I228" s="780"/>
      <c r="J228" s="1133">
        <f>M224</f>
        <v>655.50274999998032</v>
      </c>
      <c r="K228" s="1270">
        <f>M14</f>
        <v>4.5999999999999996</v>
      </c>
      <c r="L228" s="780" t="s">
        <v>11773</v>
      </c>
      <c r="M228" s="1139">
        <f>J228*K228</f>
        <v>3015.3126499999094</v>
      </c>
      <c r="N228" s="780"/>
      <c r="P228" s="805"/>
    </row>
    <row r="229" spans="1:18" s="777" customFormat="1" ht="22.5">
      <c r="A229" s="959" t="s">
        <v>11771</v>
      </c>
      <c r="B229" s="850" t="s">
        <v>10852</v>
      </c>
      <c r="C229" s="850">
        <v>19314</v>
      </c>
      <c r="D229" s="956" t="str">
        <f>PROPER(IF(B229="Saneago",VLOOKUP(C229,'SANEAGO-FEV.2016'!A:B,2,0),IF(B229="Sinapi",VLOOKUP(C229,'SINAPI-FEV.2017'!A:D,2,0),IF(B229="Cotação",VLOOKUP(C229,COTAÇÃO!A:D,2,0),IF(B229="Composição",VLOOKUP(C229,COMPOSIÇÃO!A:D,2,0))))))</f>
        <v>Transporte E Descarga  De Material  De Jazida (M3 X Km) - Em Caminhão  Basculante Cap. 10 M3 - Com Empolamento</v>
      </c>
      <c r="E229" s="1121"/>
      <c r="F229" s="1121"/>
      <c r="G229" s="1245"/>
      <c r="H229" s="1245"/>
      <c r="I229" s="1245"/>
      <c r="J229" s="1122"/>
      <c r="K229" s="1271" t="s">
        <v>27</v>
      </c>
      <c r="L229" s="1249" t="s">
        <v>11773</v>
      </c>
      <c r="M229" s="1250">
        <f>M228</f>
        <v>3015.3126499999094</v>
      </c>
      <c r="N229" s="780"/>
      <c r="P229" s="805"/>
    </row>
    <row r="230" spans="1:18" s="834" customFormat="1" ht="13.5" thickBot="1">
      <c r="A230" s="1261"/>
      <c r="B230" s="1262"/>
      <c r="C230" s="1262"/>
      <c r="D230" s="1119"/>
      <c r="E230" s="1079"/>
      <c r="F230" s="1079"/>
      <c r="G230" s="780"/>
      <c r="H230" s="780"/>
      <c r="I230" s="780"/>
      <c r="J230" s="1120"/>
      <c r="K230" s="780"/>
      <c r="L230" s="780"/>
      <c r="M230" s="1244"/>
      <c r="N230" s="780"/>
      <c r="O230" s="777"/>
      <c r="P230" s="805"/>
      <c r="Q230" s="777"/>
      <c r="R230" s="777"/>
    </row>
    <row r="231" spans="1:18" s="777" customFormat="1" ht="14.25" thickTop="1" thickBot="1">
      <c r="A231" s="959"/>
      <c r="B231" s="850"/>
      <c r="C231" s="850"/>
      <c r="D231" s="830" t="s">
        <v>1225</v>
      </c>
      <c r="E231" s="831"/>
      <c r="F231" s="831"/>
      <c r="G231" s="831"/>
      <c r="H231" s="831"/>
      <c r="I231" s="831"/>
      <c r="J231" s="831"/>
      <c r="K231" s="831"/>
      <c r="L231" s="832" t="s">
        <v>25</v>
      </c>
      <c r="M231" s="833" t="s">
        <v>27</v>
      </c>
      <c r="N231" s="780"/>
      <c r="P231" s="805"/>
    </row>
    <row r="232" spans="1:18" s="777" customFormat="1" ht="14.25" customHeight="1" thickTop="1">
      <c r="A232" s="959"/>
      <c r="B232" s="850"/>
      <c r="C232" s="850"/>
      <c r="D232" s="789"/>
      <c r="E232" s="915"/>
      <c r="F232" s="915"/>
      <c r="G232" s="915"/>
      <c r="H232" s="1272"/>
      <c r="I232" s="700" t="s">
        <v>1275</v>
      </c>
      <c r="J232" s="700" t="s">
        <v>17</v>
      </c>
      <c r="K232" s="700" t="s">
        <v>19</v>
      </c>
      <c r="L232" s="816" t="s">
        <v>30</v>
      </c>
      <c r="M232" s="879" t="s">
        <v>30</v>
      </c>
      <c r="N232" s="780"/>
      <c r="P232" s="805"/>
    </row>
    <row r="233" spans="1:18" s="777" customFormat="1" ht="14.25" customHeight="1">
      <c r="A233" s="959"/>
      <c r="B233" s="850"/>
      <c r="C233" s="850"/>
      <c r="D233" s="826"/>
      <c r="E233" s="790"/>
      <c r="F233" s="790"/>
      <c r="G233" s="1246"/>
      <c r="H233" s="1246" t="s">
        <v>11761</v>
      </c>
      <c r="I233" s="700">
        <f t="shared" ref="I233:I240" si="32">I32</f>
        <v>1</v>
      </c>
      <c r="J233" s="700">
        <f t="shared" ref="J233:K240" si="33">J32-1*2+0.05</f>
        <v>15.55</v>
      </c>
      <c r="K233" s="700">
        <f t="shared" si="33"/>
        <v>3.1499999999999995</v>
      </c>
      <c r="L233" s="700" t="s">
        <v>21</v>
      </c>
      <c r="M233" s="955">
        <f>J233*K233*I233</f>
        <v>48.982499999999995</v>
      </c>
      <c r="N233" s="780"/>
      <c r="P233" s="805"/>
    </row>
    <row r="234" spans="1:18" s="777" customFormat="1" ht="14.25" customHeight="1">
      <c r="A234" s="959"/>
      <c r="B234" s="850"/>
      <c r="C234" s="850"/>
      <c r="D234" s="826"/>
      <c r="E234" s="790"/>
      <c r="F234" s="790"/>
      <c r="G234" s="1246"/>
      <c r="H234" s="1246" t="s">
        <v>11762</v>
      </c>
      <c r="I234" s="700">
        <f t="shared" si="32"/>
        <v>1</v>
      </c>
      <c r="J234" s="700">
        <f t="shared" si="33"/>
        <v>4.05</v>
      </c>
      <c r="K234" s="700">
        <f t="shared" si="33"/>
        <v>4.75</v>
      </c>
      <c r="L234" s="700" t="s">
        <v>21</v>
      </c>
      <c r="M234" s="955">
        <f t="shared" ref="M234:M242" si="34">J234*K234*I234</f>
        <v>19.237500000000001</v>
      </c>
      <c r="N234" s="780"/>
      <c r="P234" s="805"/>
    </row>
    <row r="235" spans="1:18" s="777" customFormat="1" ht="14.25" customHeight="1">
      <c r="A235" s="959"/>
      <c r="B235" s="850"/>
      <c r="C235" s="850"/>
      <c r="D235" s="826"/>
      <c r="E235" s="790"/>
      <c r="F235" s="790"/>
      <c r="G235" s="1246"/>
      <c r="H235" s="1246" t="s">
        <v>11763</v>
      </c>
      <c r="I235" s="700">
        <f t="shared" si="32"/>
        <v>1</v>
      </c>
      <c r="J235" s="776">
        <f t="shared" si="33"/>
        <v>11.5</v>
      </c>
      <c r="K235" s="776">
        <f t="shared" si="33"/>
        <v>8.75</v>
      </c>
      <c r="L235" s="700" t="s">
        <v>21</v>
      </c>
      <c r="M235" s="1273">
        <v>0</v>
      </c>
      <c r="N235" s="780"/>
      <c r="P235" s="805"/>
    </row>
    <row r="236" spans="1:18" s="777" customFormat="1" ht="14.25" customHeight="1">
      <c r="A236" s="959"/>
      <c r="B236" s="850"/>
      <c r="C236" s="850"/>
      <c r="D236" s="826"/>
      <c r="E236" s="790"/>
      <c r="F236" s="790"/>
      <c r="G236" s="1246"/>
      <c r="H236" s="1246" t="s">
        <v>11764</v>
      </c>
      <c r="I236" s="700">
        <f t="shared" si="32"/>
        <v>1</v>
      </c>
      <c r="J236" s="700">
        <f t="shared" si="33"/>
        <v>11.9</v>
      </c>
      <c r="K236" s="700">
        <f t="shared" si="33"/>
        <v>1.95</v>
      </c>
      <c r="L236" s="700" t="s">
        <v>21</v>
      </c>
      <c r="M236" s="955">
        <f t="shared" si="34"/>
        <v>23.205000000000002</v>
      </c>
      <c r="N236" s="780"/>
      <c r="P236" s="805"/>
    </row>
    <row r="237" spans="1:18" s="777" customFormat="1" ht="14.25" customHeight="1">
      <c r="A237" s="959"/>
      <c r="B237" s="850"/>
      <c r="C237" s="850"/>
      <c r="D237" s="826"/>
      <c r="E237" s="790"/>
      <c r="F237" s="790"/>
      <c r="G237" s="1246"/>
      <c r="H237" s="1246" t="s">
        <v>11765</v>
      </c>
      <c r="I237" s="700">
        <f t="shared" si="32"/>
        <v>1</v>
      </c>
      <c r="J237" s="700">
        <f t="shared" si="33"/>
        <v>7.05</v>
      </c>
      <c r="K237" s="700">
        <f t="shared" si="33"/>
        <v>4.95</v>
      </c>
      <c r="L237" s="700" t="s">
        <v>21</v>
      </c>
      <c r="M237" s="955">
        <f t="shared" si="34"/>
        <v>34.897500000000001</v>
      </c>
      <c r="N237" s="780"/>
      <c r="P237" s="805"/>
    </row>
    <row r="238" spans="1:18" s="777" customFormat="1" ht="14.25" customHeight="1">
      <c r="A238" s="959"/>
      <c r="B238" s="850"/>
      <c r="C238" s="850"/>
      <c r="D238" s="826"/>
      <c r="E238" s="790"/>
      <c r="F238" s="790"/>
      <c r="G238" s="1246"/>
      <c r="H238" s="1246" t="s">
        <v>11780</v>
      </c>
      <c r="I238" s="700">
        <f t="shared" si="32"/>
        <v>1</v>
      </c>
      <c r="J238" s="700">
        <f t="shared" si="33"/>
        <v>4.3</v>
      </c>
      <c r="K238" s="700">
        <f t="shared" si="33"/>
        <v>3.55</v>
      </c>
      <c r="L238" s="700" t="s">
        <v>21</v>
      </c>
      <c r="M238" s="955">
        <f t="shared" si="34"/>
        <v>15.264999999999999</v>
      </c>
      <c r="N238" s="780"/>
      <c r="P238" s="805"/>
    </row>
    <row r="239" spans="1:18" s="777" customFormat="1" ht="14.25" customHeight="1">
      <c r="A239" s="959"/>
      <c r="B239" s="850"/>
      <c r="C239" s="850"/>
      <c r="D239" s="826"/>
      <c r="E239" s="790"/>
      <c r="F239" s="790"/>
      <c r="G239" s="1694" t="s">
        <v>11783</v>
      </c>
      <c r="H239" s="1694"/>
      <c r="I239" s="700">
        <f t="shared" si="32"/>
        <v>1</v>
      </c>
      <c r="J239" s="700">
        <f t="shared" si="33"/>
        <v>9.4500000000000011</v>
      </c>
      <c r="K239" s="700">
        <f t="shared" si="33"/>
        <v>2.4500000000000002</v>
      </c>
      <c r="L239" s="700" t="s">
        <v>21</v>
      </c>
      <c r="M239" s="955">
        <f t="shared" si="34"/>
        <v>23.152500000000003</v>
      </c>
      <c r="N239" s="780"/>
      <c r="P239" s="805"/>
    </row>
    <row r="240" spans="1:18" s="777" customFormat="1" ht="14.25" customHeight="1">
      <c r="A240" s="959"/>
      <c r="B240" s="850"/>
      <c r="C240" s="850"/>
      <c r="D240" s="826"/>
      <c r="E240" s="790"/>
      <c r="F240" s="790"/>
      <c r="G240" s="1246"/>
      <c r="H240" s="1246" t="s">
        <v>11787</v>
      </c>
      <c r="I240" s="700">
        <f t="shared" si="32"/>
        <v>1</v>
      </c>
      <c r="J240" s="700">
        <f t="shared" si="33"/>
        <v>6.05</v>
      </c>
      <c r="K240" s="700">
        <f t="shared" si="33"/>
        <v>0.95</v>
      </c>
      <c r="L240" s="700" t="s">
        <v>21</v>
      </c>
      <c r="M240" s="955">
        <f t="shared" si="34"/>
        <v>5.7474999999999996</v>
      </c>
      <c r="N240" s="780"/>
      <c r="P240" s="805"/>
    </row>
    <row r="241" spans="1:16" s="777" customFormat="1" ht="14.25" customHeight="1">
      <c r="A241" s="959"/>
      <c r="B241" s="850"/>
      <c r="C241" s="850"/>
      <c r="D241" s="826"/>
      <c r="E241" s="790"/>
      <c r="F241" s="790"/>
      <c r="G241" s="1694" t="s">
        <v>11795</v>
      </c>
      <c r="H241" s="1694"/>
      <c r="I241" s="700">
        <v>2</v>
      </c>
      <c r="J241" s="700">
        <f>0.8+0.05</f>
        <v>0.85000000000000009</v>
      </c>
      <c r="K241" s="700">
        <f>0.8+0.05</f>
        <v>0.85000000000000009</v>
      </c>
      <c r="L241" s="700" t="s">
        <v>21</v>
      </c>
      <c r="M241" s="955">
        <f t="shared" si="34"/>
        <v>1.4450000000000003</v>
      </c>
      <c r="N241" s="780"/>
      <c r="P241" s="805"/>
    </row>
    <row r="242" spans="1:16" s="777" customFormat="1" ht="25.5" customHeight="1">
      <c r="A242" s="959"/>
      <c r="B242" s="850"/>
      <c r="C242" s="850"/>
      <c r="D242" s="826"/>
      <c r="E242" s="790"/>
      <c r="F242" s="790"/>
      <c r="G242" s="1694" t="s">
        <v>11796</v>
      </c>
      <c r="H242" s="1694"/>
      <c r="I242" s="700">
        <v>6</v>
      </c>
      <c r="J242" s="700">
        <f>6.1+0.05</f>
        <v>6.1499999999999995</v>
      </c>
      <c r="K242" s="700">
        <f>1.2+0.05</f>
        <v>1.25</v>
      </c>
      <c r="L242" s="700" t="s">
        <v>21</v>
      </c>
      <c r="M242" s="955">
        <f t="shared" si="34"/>
        <v>46.124999999999993</v>
      </c>
      <c r="N242" s="780"/>
      <c r="P242" s="805"/>
    </row>
    <row r="243" spans="1:16" s="777" customFormat="1" ht="13.5" customHeight="1">
      <c r="A243" s="959"/>
      <c r="B243" s="850"/>
      <c r="C243" s="850"/>
      <c r="D243" s="826"/>
      <c r="E243" s="790"/>
      <c r="F243" s="790"/>
      <c r="G243" s="1274"/>
      <c r="H243" s="1274"/>
      <c r="I243" s="700"/>
      <c r="J243" s="700"/>
      <c r="K243" s="700"/>
      <c r="L243" s="700"/>
      <c r="M243" s="955"/>
      <c r="N243" s="780"/>
      <c r="P243" s="805"/>
    </row>
    <row r="244" spans="1:16" s="777" customFormat="1" ht="25.5" customHeight="1">
      <c r="A244" s="959" t="s">
        <v>14208</v>
      </c>
      <c r="B244" s="855" t="s">
        <v>70</v>
      </c>
      <c r="C244" s="909">
        <v>95241</v>
      </c>
      <c r="D244" s="956" t="str">
        <f>PROPER(IF(B244="Saneago",VLOOKUP(C244,'SANEAGO-FEV.2016'!A:B,2,0),IF(B244="Sinapi",VLOOKUP(C244,'SINAPI-FEV.2017'!A:D,2,0),IF(B244="Cotação",VLOOKUP(C244,COTAÇÃO!A:D,2,0),IF(B244="Composição",VLOOKUP(C244,COMPOSIÇÃO!A:D,2,0))))))</f>
        <v>Lastro De Concreto, E = 5 Cm, Preparo Mecânico, Inclusos Lançamento E Adensamento. Af_07_2016</v>
      </c>
      <c r="E244" s="1121"/>
      <c r="F244" s="1121"/>
      <c r="G244" s="1275"/>
      <c r="H244" s="1248"/>
      <c r="I244" s="1245"/>
      <c r="J244" s="1245"/>
      <c r="K244" s="1249" t="s">
        <v>27</v>
      </c>
      <c r="L244" s="1249" t="s">
        <v>21</v>
      </c>
      <c r="M244" s="1276">
        <f>SUM(M233:M243)</f>
        <v>218.05749999999998</v>
      </c>
      <c r="N244" s="780"/>
      <c r="P244" s="805"/>
    </row>
    <row r="245" spans="1:16" s="777" customFormat="1">
      <c r="A245" s="959"/>
      <c r="B245" s="850"/>
      <c r="C245" s="850"/>
      <c r="D245" s="1119"/>
      <c r="E245" s="1079"/>
      <c r="F245" s="915"/>
      <c r="G245" s="1272"/>
      <c r="H245" s="700" t="s">
        <v>1275</v>
      </c>
      <c r="I245" s="700" t="s">
        <v>17</v>
      </c>
      <c r="J245" s="700" t="s">
        <v>19</v>
      </c>
      <c r="K245" s="700" t="s">
        <v>36</v>
      </c>
      <c r="L245" s="816" t="s">
        <v>30</v>
      </c>
      <c r="M245" s="879" t="s">
        <v>30</v>
      </c>
      <c r="N245" s="780"/>
      <c r="P245" s="805"/>
    </row>
    <row r="246" spans="1:16" s="777" customFormat="1">
      <c r="A246" s="959"/>
      <c r="B246" s="850"/>
      <c r="C246" s="850"/>
      <c r="D246" s="1119"/>
      <c r="E246" s="1079"/>
      <c r="F246" s="1246"/>
      <c r="G246" s="1246" t="s">
        <v>11761</v>
      </c>
      <c r="H246" s="700">
        <f t="shared" ref="H246:J255" si="35">I233</f>
        <v>1</v>
      </c>
      <c r="I246" s="700">
        <f t="shared" si="35"/>
        <v>15.55</v>
      </c>
      <c r="J246" s="700">
        <f t="shared" si="35"/>
        <v>3.1499999999999995</v>
      </c>
      <c r="K246" s="700">
        <v>0.15</v>
      </c>
      <c r="L246" s="700" t="s">
        <v>22</v>
      </c>
      <c r="M246" s="955">
        <f>I246*H246*J246*K246</f>
        <v>7.3473749999999987</v>
      </c>
      <c r="N246" s="780"/>
      <c r="P246" s="805"/>
    </row>
    <row r="247" spans="1:16" s="777" customFormat="1">
      <c r="A247" s="959"/>
      <c r="B247" s="850"/>
      <c r="C247" s="850"/>
      <c r="D247" s="1119"/>
      <c r="E247" s="1079"/>
      <c r="F247" s="1246"/>
      <c r="G247" s="1246" t="s">
        <v>11762</v>
      </c>
      <c r="H247" s="700">
        <f t="shared" si="35"/>
        <v>1</v>
      </c>
      <c r="I247" s="700">
        <f t="shared" si="35"/>
        <v>4.05</v>
      </c>
      <c r="J247" s="700">
        <f t="shared" si="35"/>
        <v>4.75</v>
      </c>
      <c r="K247" s="700">
        <v>0.15</v>
      </c>
      <c r="L247" s="700" t="s">
        <v>22</v>
      </c>
      <c r="M247" s="955">
        <f t="shared" ref="M247:M255" si="36">I247*H247*J247*K247</f>
        <v>2.8856250000000001</v>
      </c>
      <c r="N247" s="780"/>
      <c r="P247" s="805"/>
    </row>
    <row r="248" spans="1:16" s="777" customFormat="1">
      <c r="A248" s="959"/>
      <c r="B248" s="850"/>
      <c r="C248" s="850"/>
      <c r="D248" s="1119"/>
      <c r="E248" s="1079"/>
      <c r="F248" s="1246"/>
      <c r="G248" s="1246" t="s">
        <v>11763</v>
      </c>
      <c r="H248" s="700">
        <f t="shared" si="35"/>
        <v>1</v>
      </c>
      <c r="I248" s="700">
        <f t="shared" si="35"/>
        <v>11.5</v>
      </c>
      <c r="J248" s="700">
        <f t="shared" si="35"/>
        <v>8.75</v>
      </c>
      <c r="K248" s="700">
        <v>0.15</v>
      </c>
      <c r="L248" s="700" t="s">
        <v>22</v>
      </c>
      <c r="M248" s="1273">
        <v>0</v>
      </c>
      <c r="N248" s="780"/>
      <c r="P248" s="805"/>
    </row>
    <row r="249" spans="1:16" s="777" customFormat="1">
      <c r="A249" s="959"/>
      <c r="B249" s="850"/>
      <c r="C249" s="850"/>
      <c r="D249" s="1119"/>
      <c r="E249" s="1079"/>
      <c r="F249" s="1246"/>
      <c r="G249" s="1246" t="s">
        <v>11764</v>
      </c>
      <c r="H249" s="700">
        <f t="shared" si="35"/>
        <v>1</v>
      </c>
      <c r="I249" s="700">
        <f t="shared" si="35"/>
        <v>11.9</v>
      </c>
      <c r="J249" s="700">
        <f t="shared" si="35"/>
        <v>1.95</v>
      </c>
      <c r="K249" s="700">
        <v>0.15</v>
      </c>
      <c r="L249" s="700" t="s">
        <v>22</v>
      </c>
      <c r="M249" s="955">
        <f t="shared" si="36"/>
        <v>3.48075</v>
      </c>
      <c r="N249" s="780"/>
      <c r="P249" s="805"/>
    </row>
    <row r="250" spans="1:16" s="777" customFormat="1">
      <c r="A250" s="959"/>
      <c r="B250" s="850"/>
      <c r="C250" s="850"/>
      <c r="D250" s="1119"/>
      <c r="E250" s="1079"/>
      <c r="F250" s="1246"/>
      <c r="G250" s="1246" t="s">
        <v>11765</v>
      </c>
      <c r="H250" s="700">
        <f t="shared" si="35"/>
        <v>1</v>
      </c>
      <c r="I250" s="700">
        <f t="shared" si="35"/>
        <v>7.05</v>
      </c>
      <c r="J250" s="700">
        <f t="shared" si="35"/>
        <v>4.95</v>
      </c>
      <c r="K250" s="700">
        <v>0.15</v>
      </c>
      <c r="L250" s="700" t="s">
        <v>22</v>
      </c>
      <c r="M250" s="955">
        <f t="shared" si="36"/>
        <v>5.2346250000000003</v>
      </c>
      <c r="N250" s="780"/>
      <c r="P250" s="805"/>
    </row>
    <row r="251" spans="1:16" s="777" customFormat="1">
      <c r="A251" s="959"/>
      <c r="B251" s="850"/>
      <c r="C251" s="850"/>
      <c r="D251" s="1119"/>
      <c r="E251" s="1079"/>
      <c r="F251" s="1246"/>
      <c r="G251" s="1246" t="s">
        <v>11780</v>
      </c>
      <c r="H251" s="700">
        <f t="shared" si="35"/>
        <v>1</v>
      </c>
      <c r="I251" s="700">
        <f t="shared" si="35"/>
        <v>4.3</v>
      </c>
      <c r="J251" s="700">
        <f t="shared" si="35"/>
        <v>3.55</v>
      </c>
      <c r="K251" s="700">
        <v>0.15</v>
      </c>
      <c r="L251" s="700" t="s">
        <v>22</v>
      </c>
      <c r="M251" s="955">
        <f t="shared" si="36"/>
        <v>2.2897499999999997</v>
      </c>
      <c r="N251" s="780"/>
      <c r="P251" s="805"/>
    </row>
    <row r="252" spans="1:16" s="777" customFormat="1" ht="12.75" customHeight="1">
      <c r="A252" s="959"/>
      <c r="B252" s="850"/>
      <c r="C252" s="850"/>
      <c r="D252" s="1119"/>
      <c r="E252" s="1079"/>
      <c r="F252" s="1694" t="s">
        <v>11783</v>
      </c>
      <c r="G252" s="1694"/>
      <c r="H252" s="700">
        <f t="shared" si="35"/>
        <v>1</v>
      </c>
      <c r="I252" s="700">
        <f t="shared" si="35"/>
        <v>9.4500000000000011</v>
      </c>
      <c r="J252" s="700">
        <f t="shared" si="35"/>
        <v>2.4500000000000002</v>
      </c>
      <c r="K252" s="700">
        <v>0.15</v>
      </c>
      <c r="L252" s="700" t="s">
        <v>22</v>
      </c>
      <c r="M252" s="955">
        <f t="shared" si="36"/>
        <v>3.4728750000000006</v>
      </c>
      <c r="N252" s="780"/>
      <c r="P252" s="805"/>
    </row>
    <row r="253" spans="1:16" s="777" customFormat="1">
      <c r="A253" s="959"/>
      <c r="B253" s="850"/>
      <c r="C253" s="850"/>
      <c r="D253" s="1119"/>
      <c r="E253" s="1079"/>
      <c r="F253" s="1246"/>
      <c r="G253" s="1246" t="s">
        <v>11787</v>
      </c>
      <c r="H253" s="700">
        <f t="shared" si="35"/>
        <v>1</v>
      </c>
      <c r="I253" s="700">
        <f t="shared" si="35"/>
        <v>6.05</v>
      </c>
      <c r="J253" s="700">
        <f t="shared" si="35"/>
        <v>0.95</v>
      </c>
      <c r="K253" s="700">
        <v>0.15</v>
      </c>
      <c r="L253" s="700" t="s">
        <v>22</v>
      </c>
      <c r="M253" s="955">
        <f t="shared" si="36"/>
        <v>0.86212499999999992</v>
      </c>
      <c r="N253" s="780"/>
      <c r="P253" s="805"/>
    </row>
    <row r="254" spans="1:16" s="777" customFormat="1" ht="12.75" customHeight="1">
      <c r="A254" s="959"/>
      <c r="B254" s="850"/>
      <c r="C254" s="850"/>
      <c r="D254" s="1119"/>
      <c r="E254" s="700"/>
      <c r="F254" s="1694" t="s">
        <v>11795</v>
      </c>
      <c r="G254" s="1694"/>
      <c r="H254" s="700">
        <f t="shared" si="35"/>
        <v>2</v>
      </c>
      <c r="I254" s="700">
        <f t="shared" si="35"/>
        <v>0.85000000000000009</v>
      </c>
      <c r="J254" s="700">
        <f t="shared" si="35"/>
        <v>0.85000000000000009</v>
      </c>
      <c r="K254" s="700">
        <v>0.15</v>
      </c>
      <c r="L254" s="700" t="s">
        <v>22</v>
      </c>
      <c r="M254" s="955">
        <f t="shared" si="36"/>
        <v>0.21675000000000003</v>
      </c>
      <c r="N254" s="780"/>
      <c r="P254" s="805"/>
    </row>
    <row r="255" spans="1:16" s="777" customFormat="1" ht="24" customHeight="1">
      <c r="A255" s="959"/>
      <c r="B255" s="850"/>
      <c r="C255" s="850"/>
      <c r="D255" s="1119"/>
      <c r="E255" s="700"/>
      <c r="F255" s="1694" t="s">
        <v>11796</v>
      </c>
      <c r="G255" s="1694"/>
      <c r="H255" s="700">
        <f t="shared" si="35"/>
        <v>6</v>
      </c>
      <c r="I255" s="700">
        <f t="shared" si="35"/>
        <v>6.1499999999999995</v>
      </c>
      <c r="J255" s="700">
        <f t="shared" si="35"/>
        <v>1.25</v>
      </c>
      <c r="K255" s="700">
        <v>0.15</v>
      </c>
      <c r="L255" s="700" t="s">
        <v>22</v>
      </c>
      <c r="M255" s="955">
        <f t="shared" si="36"/>
        <v>6.9187500000000002</v>
      </c>
      <c r="N255" s="780"/>
      <c r="P255" s="805"/>
    </row>
    <row r="256" spans="1:16" s="777" customFormat="1" ht="14.25" customHeight="1">
      <c r="A256" s="959"/>
      <c r="B256" s="850"/>
      <c r="C256" s="850"/>
      <c r="D256" s="1119"/>
      <c r="E256" s="700"/>
      <c r="F256" s="700"/>
      <c r="G256" s="780"/>
      <c r="H256" s="1246"/>
      <c r="I256" s="700"/>
      <c r="J256" s="700"/>
      <c r="K256" s="700"/>
      <c r="L256" s="700"/>
      <c r="M256" s="955"/>
      <c r="N256" s="780"/>
      <c r="P256" s="805"/>
    </row>
    <row r="257" spans="1:16" s="777" customFormat="1" ht="38.25" customHeight="1">
      <c r="A257" s="959" t="s">
        <v>14209</v>
      </c>
      <c r="B257" s="855" t="s">
        <v>70</v>
      </c>
      <c r="C257" s="909">
        <v>94116</v>
      </c>
      <c r="D257" s="956" t="str">
        <f>PROPER(IF(B257="Saneago",VLOOKUP(C257,'SANEAGO-FEV.2016'!A:B,2,0),IF(B257="Sinapi",VLOOKUP(C257,'SINAPI-FEV.2017'!A:D,2,0),IF(B257="Cotação",VLOOKUP(C257,COTAÇÃO!A:D,2,0),IF(B257="Composição",VLOOKUP(C257,COMPOSIÇÃO!A:D,2,0))))))</f>
        <v>Lastro Com Preparo De Fundo, Largura Maior Ou Igual A 1,5 M, Com Camada De Brita, Lançamento Mecanizado, Em Local Com Nível Baixo De Interferência. Af_06/2016</v>
      </c>
      <c r="E257" s="1121"/>
      <c r="F257" s="1121"/>
      <c r="G257" s="1122"/>
      <c r="H257" s="1122"/>
      <c r="I257" s="1277"/>
      <c r="J257" s="1277"/>
      <c r="K257" s="1249" t="s">
        <v>27</v>
      </c>
      <c r="L257" s="1249" t="s">
        <v>22</v>
      </c>
      <c r="M257" s="1250">
        <f>SUM(M246:M255)</f>
        <v>32.708624999999998</v>
      </c>
      <c r="N257" s="780"/>
      <c r="P257" s="805"/>
    </row>
    <row r="258" spans="1:16" s="777" customFormat="1" ht="50.25" customHeight="1">
      <c r="A258" s="959"/>
      <c r="B258" s="850"/>
      <c r="C258" s="850"/>
      <c r="D258" s="1119"/>
      <c r="E258" s="1079"/>
      <c r="F258" s="1079"/>
      <c r="G258" s="915"/>
      <c r="H258" s="915"/>
      <c r="I258" s="915"/>
      <c r="J258" s="700"/>
      <c r="K258" s="700" t="s">
        <v>20350</v>
      </c>
      <c r="L258" s="816" t="s">
        <v>30</v>
      </c>
      <c r="M258" s="879" t="s">
        <v>30</v>
      </c>
      <c r="N258" s="780"/>
      <c r="P258" s="805"/>
    </row>
    <row r="259" spans="1:16" s="777" customFormat="1">
      <c r="A259" s="959"/>
      <c r="B259" s="850"/>
      <c r="C259" s="850"/>
      <c r="D259" s="1119"/>
      <c r="E259" s="1079"/>
      <c r="F259" s="1079"/>
      <c r="G259" s="780"/>
      <c r="H259" s="1246"/>
      <c r="I259" s="1246"/>
      <c r="J259" s="1246" t="s">
        <v>11761</v>
      </c>
      <c r="K259" s="776">
        <v>66.25</v>
      </c>
      <c r="L259" s="700" t="s">
        <v>21</v>
      </c>
      <c r="M259" s="955">
        <f>K259</f>
        <v>66.25</v>
      </c>
      <c r="N259" s="780"/>
      <c r="P259" s="805"/>
    </row>
    <row r="260" spans="1:16" s="777" customFormat="1">
      <c r="A260" s="959"/>
      <c r="B260" s="850"/>
      <c r="C260" s="850"/>
      <c r="D260" s="1119"/>
      <c r="E260" s="1079"/>
      <c r="F260" s="1079"/>
      <c r="G260" s="780"/>
      <c r="H260" s="1246"/>
      <c r="I260" s="1246"/>
      <c r="J260" s="1246" t="s">
        <v>11762</v>
      </c>
      <c r="K260" s="776">
        <v>89.31</v>
      </c>
      <c r="L260" s="700" t="s">
        <v>21</v>
      </c>
      <c r="M260" s="955">
        <f t="shared" ref="M260:M268" si="37">K260</f>
        <v>89.31</v>
      </c>
      <c r="N260" s="780"/>
      <c r="P260" s="805"/>
    </row>
    <row r="261" spans="1:16" s="777" customFormat="1">
      <c r="A261" s="959"/>
      <c r="B261" s="850"/>
      <c r="C261" s="850"/>
      <c r="D261" s="1119"/>
      <c r="E261" s="1079"/>
      <c r="F261" s="1079"/>
      <c r="G261" s="780"/>
      <c r="H261" s="1246"/>
      <c r="I261" s="1246"/>
      <c r="J261" s="1246" t="s">
        <v>11763</v>
      </c>
      <c r="K261" s="776">
        <f>163.99-26.16</f>
        <v>137.83000000000001</v>
      </c>
      <c r="L261" s="700" t="s">
        <v>21</v>
      </c>
      <c r="M261" s="955">
        <f t="shared" si="37"/>
        <v>137.83000000000001</v>
      </c>
      <c r="N261" s="780"/>
      <c r="P261" s="805"/>
    </row>
    <row r="262" spans="1:16" s="777" customFormat="1">
      <c r="A262" s="959"/>
      <c r="B262" s="850"/>
      <c r="C262" s="850"/>
      <c r="D262" s="1119"/>
      <c r="E262" s="1079"/>
      <c r="F262" s="1079"/>
      <c r="G262" s="780"/>
      <c r="H262" s="1246"/>
      <c r="I262" s="1246"/>
      <c r="J262" s="1246" t="s">
        <v>11764</v>
      </c>
      <c r="K262" s="776">
        <v>49.09</v>
      </c>
      <c r="L262" s="700" t="s">
        <v>21</v>
      </c>
      <c r="M262" s="955">
        <f t="shared" si="37"/>
        <v>49.09</v>
      </c>
      <c r="N262" s="780"/>
      <c r="P262" s="805"/>
    </row>
    <row r="263" spans="1:16" s="777" customFormat="1">
      <c r="A263" s="959"/>
      <c r="B263" s="850"/>
      <c r="C263" s="850"/>
      <c r="D263" s="1119"/>
      <c r="E263" s="1079"/>
      <c r="F263" s="1079"/>
      <c r="G263" s="780"/>
      <c r="H263" s="1246"/>
      <c r="I263" s="1246"/>
      <c r="J263" s="1246" t="s">
        <v>11765</v>
      </c>
      <c r="K263" s="776">
        <v>215.53</v>
      </c>
      <c r="L263" s="700" t="s">
        <v>21</v>
      </c>
      <c r="M263" s="955">
        <f t="shared" si="37"/>
        <v>215.53</v>
      </c>
      <c r="N263" s="780"/>
      <c r="P263" s="805"/>
    </row>
    <row r="264" spans="1:16" s="777" customFormat="1">
      <c r="A264" s="959"/>
      <c r="B264" s="850"/>
      <c r="C264" s="850"/>
      <c r="D264" s="1119"/>
      <c r="E264" s="1079"/>
      <c r="F264" s="1079"/>
      <c r="G264" s="780"/>
      <c r="H264" s="1246"/>
      <c r="I264" s="1246"/>
      <c r="J264" s="1246" t="s">
        <v>11780</v>
      </c>
      <c r="K264" s="776">
        <v>49.52</v>
      </c>
      <c r="L264" s="700" t="s">
        <v>21</v>
      </c>
      <c r="M264" s="955">
        <f t="shared" si="37"/>
        <v>49.52</v>
      </c>
      <c r="N264" s="780"/>
      <c r="P264" s="805"/>
    </row>
    <row r="265" spans="1:16" s="777" customFormat="1">
      <c r="A265" s="959"/>
      <c r="B265" s="850"/>
      <c r="C265" s="850"/>
      <c r="D265" s="1119"/>
      <c r="E265" s="1079"/>
      <c r="F265" s="1079"/>
      <c r="G265" s="834"/>
      <c r="H265" s="834"/>
      <c r="I265" s="1694" t="s">
        <v>11783</v>
      </c>
      <c r="J265" s="1694"/>
      <c r="K265" s="776">
        <v>68.63</v>
      </c>
      <c r="L265" s="700" t="s">
        <v>21</v>
      </c>
      <c r="M265" s="955">
        <f t="shared" si="37"/>
        <v>68.63</v>
      </c>
      <c r="N265" s="780"/>
      <c r="P265" s="805"/>
    </row>
    <row r="266" spans="1:16" s="777" customFormat="1">
      <c r="A266" s="959"/>
      <c r="B266" s="850"/>
      <c r="C266" s="850"/>
      <c r="D266" s="1119"/>
      <c r="E266" s="1079"/>
      <c r="F266" s="1079"/>
      <c r="G266" s="780"/>
      <c r="H266" s="1246"/>
      <c r="I266" s="1246"/>
      <c r="J266" s="1246" t="s">
        <v>11787</v>
      </c>
      <c r="K266" s="776">
        <v>13.13</v>
      </c>
      <c r="L266" s="700" t="s">
        <v>21</v>
      </c>
      <c r="M266" s="955">
        <f t="shared" si="37"/>
        <v>13.13</v>
      </c>
      <c r="N266" s="780"/>
      <c r="P266" s="805"/>
    </row>
    <row r="267" spans="1:16" s="777" customFormat="1">
      <c r="A267" s="959"/>
      <c r="B267" s="850"/>
      <c r="C267" s="850"/>
      <c r="D267" s="1119"/>
      <c r="E267" s="700"/>
      <c r="F267" s="700"/>
      <c r="G267" s="780"/>
      <c r="H267" s="1246"/>
      <c r="I267" s="1694" t="s">
        <v>11795</v>
      </c>
      <c r="J267" s="1694"/>
      <c r="K267" s="776">
        <v>1.28</v>
      </c>
      <c r="L267" s="700" t="s">
        <v>21</v>
      </c>
      <c r="M267" s="955">
        <f t="shared" si="37"/>
        <v>1.28</v>
      </c>
      <c r="N267" s="780"/>
      <c r="P267" s="805"/>
    </row>
    <row r="268" spans="1:16" s="777" customFormat="1" ht="27.75" customHeight="1">
      <c r="A268" s="959"/>
      <c r="B268" s="850"/>
      <c r="C268" s="850"/>
      <c r="D268" s="1119"/>
      <c r="E268" s="700"/>
      <c r="F268" s="700"/>
      <c r="G268" s="780"/>
      <c r="H268" s="1246"/>
      <c r="I268" s="1694" t="s">
        <v>11796</v>
      </c>
      <c r="J268" s="1694"/>
      <c r="K268" s="776">
        <v>21.9</v>
      </c>
      <c r="L268" s="700" t="s">
        <v>21</v>
      </c>
      <c r="M268" s="955">
        <f t="shared" si="37"/>
        <v>21.9</v>
      </c>
      <c r="N268" s="780"/>
      <c r="P268" s="805"/>
    </row>
    <row r="269" spans="1:16" s="777" customFormat="1">
      <c r="A269" s="959"/>
      <c r="B269" s="850"/>
      <c r="C269" s="850"/>
      <c r="D269" s="1119"/>
      <c r="E269" s="700"/>
      <c r="F269" s="700"/>
      <c r="G269" s="780"/>
      <c r="H269" s="1246"/>
      <c r="I269" s="700"/>
      <c r="J269" s="700"/>
      <c r="K269" s="700"/>
      <c r="L269" s="700"/>
      <c r="M269" s="955"/>
      <c r="N269" s="780"/>
      <c r="P269" s="805"/>
    </row>
    <row r="270" spans="1:16" s="777" customFormat="1" ht="37.5" customHeight="1">
      <c r="A270" s="959" t="s">
        <v>14210</v>
      </c>
      <c r="B270" s="855" t="s">
        <v>70</v>
      </c>
      <c r="C270" s="953">
        <v>92415</v>
      </c>
      <c r="D270" s="956" t="str">
        <f>PROPER(IF(B270="Saneago",VLOOKUP(C270,'SANEAGO-FEV.2016'!A:B,2,0),IF(B270="Sinapi",VLOOKUP(C270,'SINAPI-FEV.2017'!A:D,2,0),IF(B270="Cotação",VLOOKUP(C270,COTAÇÃO!A:D,2,0),IF(B270="Composição",VLOOKUP(C270,COMPOSIÇÃO!A:D,2,0))))))</f>
        <v>Montagem E Desmontagem De Fôrma De Pilares Retangulares E Estruturas Similares Com Área Média Das Seções Maior Que 0,25 M², Pé-Direito Simples, Em Chapa De Madeira Compensada Resinada, 2 Utilizações. Af_12/2015</v>
      </c>
      <c r="E270" s="1121"/>
      <c r="F270" s="1121"/>
      <c r="G270" s="1122"/>
      <c r="H270" s="1122"/>
      <c r="I270" s="1277"/>
      <c r="J270" s="1277"/>
      <c r="K270" s="1249" t="s">
        <v>27</v>
      </c>
      <c r="L270" s="1249" t="s">
        <v>21</v>
      </c>
      <c r="M270" s="1250">
        <f>SUM(M259:M268)</f>
        <v>712.46999999999991</v>
      </c>
      <c r="N270" s="780"/>
      <c r="P270" s="805"/>
    </row>
    <row r="271" spans="1:16" s="777" customFormat="1" ht="45.75" customHeight="1">
      <c r="A271" s="959"/>
      <c r="B271" s="850"/>
      <c r="C271" s="850"/>
      <c r="D271" s="1119"/>
      <c r="E271" s="1079"/>
      <c r="F271" s="1079"/>
      <c r="G271" s="1133"/>
      <c r="H271" s="1133"/>
      <c r="I271" s="915"/>
      <c r="J271" s="700"/>
      <c r="K271" s="700" t="s">
        <v>20349</v>
      </c>
      <c r="L271" s="816" t="s">
        <v>30</v>
      </c>
      <c r="M271" s="879" t="s">
        <v>30</v>
      </c>
      <c r="N271" s="780"/>
      <c r="P271" s="805"/>
    </row>
    <row r="272" spans="1:16" s="777" customFormat="1">
      <c r="A272" s="959"/>
      <c r="B272" s="850"/>
      <c r="C272" s="850"/>
      <c r="D272" s="1119"/>
      <c r="E272" s="1079"/>
      <c r="F272" s="1079"/>
      <c r="G272" s="1133"/>
      <c r="H272" s="1133"/>
      <c r="I272" s="1246"/>
      <c r="J272" s="1246" t="s">
        <v>11761</v>
      </c>
      <c r="K272" s="776">
        <v>19.14</v>
      </c>
      <c r="L272" s="700" t="s">
        <v>22</v>
      </c>
      <c r="M272" s="955">
        <f>K272</f>
        <v>19.14</v>
      </c>
      <c r="N272" s="780"/>
      <c r="P272" s="805"/>
    </row>
    <row r="273" spans="1:16" s="777" customFormat="1">
      <c r="A273" s="959"/>
      <c r="B273" s="850"/>
      <c r="C273" s="850"/>
      <c r="D273" s="1119"/>
      <c r="E273" s="1079"/>
      <c r="F273" s="1079"/>
      <c r="G273" s="1133"/>
      <c r="H273" s="1133"/>
      <c r="I273" s="1246"/>
      <c r="J273" s="1246" t="s">
        <v>11762</v>
      </c>
      <c r="K273" s="700">
        <v>12.52</v>
      </c>
      <c r="L273" s="700" t="s">
        <v>22</v>
      </c>
      <c r="M273" s="955">
        <f t="shared" ref="M273:M281" si="38">K273</f>
        <v>12.52</v>
      </c>
      <c r="N273" s="780"/>
      <c r="P273" s="805"/>
    </row>
    <row r="274" spans="1:16" s="777" customFormat="1">
      <c r="A274" s="959"/>
      <c r="B274" s="850"/>
      <c r="C274" s="850"/>
      <c r="D274" s="1119"/>
      <c r="E274" s="1079"/>
      <c r="F274" s="1079"/>
      <c r="G274" s="1133"/>
      <c r="H274" s="1133"/>
      <c r="I274" s="1246"/>
      <c r="J274" s="1246" t="s">
        <v>11763</v>
      </c>
      <c r="K274" s="700">
        <v>53</v>
      </c>
      <c r="L274" s="700" t="s">
        <v>22</v>
      </c>
      <c r="M274" s="955">
        <f t="shared" si="38"/>
        <v>53</v>
      </c>
      <c r="N274" s="780"/>
      <c r="P274" s="805"/>
    </row>
    <row r="275" spans="1:16" s="777" customFormat="1">
      <c r="A275" s="959"/>
      <c r="B275" s="850"/>
      <c r="C275" s="850"/>
      <c r="D275" s="1119"/>
      <c r="E275" s="1079"/>
      <c r="F275" s="1079"/>
      <c r="G275" s="1133"/>
      <c r="H275" s="1133"/>
      <c r="I275" s="1246"/>
      <c r="J275" s="1246" t="s">
        <v>11764</v>
      </c>
      <c r="K275" s="700">
        <v>16.39</v>
      </c>
      <c r="L275" s="700" t="s">
        <v>22</v>
      </c>
      <c r="M275" s="955">
        <f t="shared" si="38"/>
        <v>16.39</v>
      </c>
      <c r="N275" s="780"/>
      <c r="P275" s="805"/>
    </row>
    <row r="276" spans="1:16" s="777" customFormat="1">
      <c r="A276" s="959"/>
      <c r="B276" s="850"/>
      <c r="C276" s="850"/>
      <c r="D276" s="1119"/>
      <c r="E276" s="1079"/>
      <c r="F276" s="1079"/>
      <c r="G276" s="1133"/>
      <c r="H276" s="1133"/>
      <c r="I276" s="1246"/>
      <c r="J276" s="1246" t="s">
        <v>11765</v>
      </c>
      <c r="K276" s="700">
        <v>37.65</v>
      </c>
      <c r="L276" s="700" t="s">
        <v>22</v>
      </c>
      <c r="M276" s="955">
        <f t="shared" si="38"/>
        <v>37.65</v>
      </c>
      <c r="N276" s="780"/>
      <c r="P276" s="805"/>
    </row>
    <row r="277" spans="1:16" s="777" customFormat="1">
      <c r="A277" s="959"/>
      <c r="B277" s="850"/>
      <c r="C277" s="850"/>
      <c r="D277" s="1119"/>
      <c r="E277" s="1079"/>
      <c r="F277" s="1079"/>
      <c r="G277" s="1133"/>
      <c r="H277" s="1133"/>
      <c r="I277" s="1246"/>
      <c r="J277" s="1246" t="s">
        <v>11780</v>
      </c>
      <c r="K277" s="700">
        <v>7.47</v>
      </c>
      <c r="L277" s="700" t="s">
        <v>22</v>
      </c>
      <c r="M277" s="955">
        <f t="shared" si="38"/>
        <v>7.47</v>
      </c>
      <c r="N277" s="780"/>
      <c r="P277" s="805"/>
    </row>
    <row r="278" spans="1:16" s="777" customFormat="1">
      <c r="A278" s="959"/>
      <c r="B278" s="850"/>
      <c r="C278" s="850"/>
      <c r="D278" s="1119"/>
      <c r="E278" s="1079"/>
      <c r="F278" s="1079"/>
      <c r="G278" s="1133"/>
      <c r="H278" s="1133"/>
      <c r="I278" s="1694" t="s">
        <v>11783</v>
      </c>
      <c r="J278" s="1694"/>
      <c r="K278" s="828">
        <f>0.7214*(15.25+9.4)</f>
        <v>17.782509999999998</v>
      </c>
      <c r="L278" s="700" t="s">
        <v>22</v>
      </c>
      <c r="M278" s="955">
        <f t="shared" si="38"/>
        <v>17.782509999999998</v>
      </c>
      <c r="N278" s="780"/>
      <c r="P278" s="805"/>
    </row>
    <row r="279" spans="1:16" s="777" customFormat="1">
      <c r="A279" s="959"/>
      <c r="B279" s="850"/>
      <c r="C279" s="850"/>
      <c r="D279" s="1119"/>
      <c r="E279" s="1079"/>
      <c r="F279" s="1079"/>
      <c r="G279" s="1133"/>
      <c r="H279" s="1133"/>
      <c r="I279" s="1246"/>
      <c r="J279" s="1246" t="s">
        <v>11787</v>
      </c>
      <c r="K279" s="700">
        <v>2.08</v>
      </c>
      <c r="L279" s="700" t="s">
        <v>22</v>
      </c>
      <c r="M279" s="955">
        <f t="shared" si="38"/>
        <v>2.08</v>
      </c>
      <c r="N279" s="780"/>
      <c r="P279" s="805"/>
    </row>
    <row r="280" spans="1:16" s="777" customFormat="1">
      <c r="A280" s="959"/>
      <c r="B280" s="850"/>
      <c r="C280" s="850"/>
      <c r="D280" s="1119"/>
      <c r="E280" s="1079"/>
      <c r="F280" s="1079"/>
      <c r="G280" s="1133"/>
      <c r="H280" s="1133"/>
      <c r="I280" s="1694" t="s">
        <v>11795</v>
      </c>
      <c r="J280" s="1694"/>
      <c r="K280" s="700">
        <v>0.26</v>
      </c>
      <c r="L280" s="700" t="s">
        <v>22</v>
      </c>
      <c r="M280" s="955">
        <f t="shared" si="38"/>
        <v>0.26</v>
      </c>
      <c r="N280" s="780"/>
      <c r="P280" s="805"/>
    </row>
    <row r="281" spans="1:16" s="777" customFormat="1">
      <c r="A281" s="959"/>
      <c r="B281" s="850"/>
      <c r="C281" s="850"/>
      <c r="D281" s="1119"/>
      <c r="E281" s="1079"/>
      <c r="F281" s="1079"/>
      <c r="G281" s="1133"/>
      <c r="H281" s="1133"/>
      <c r="I281" s="1694" t="s">
        <v>11796</v>
      </c>
      <c r="J281" s="1694"/>
      <c r="K281" s="700">
        <v>10.98</v>
      </c>
      <c r="L281" s="700" t="s">
        <v>22</v>
      </c>
      <c r="M281" s="955">
        <f t="shared" si="38"/>
        <v>10.98</v>
      </c>
      <c r="N281" s="780"/>
      <c r="P281" s="805"/>
    </row>
    <row r="282" spans="1:16" s="777" customFormat="1" ht="13.5" customHeight="1">
      <c r="A282" s="959"/>
      <c r="B282" s="850"/>
      <c r="C282" s="850"/>
      <c r="D282" s="1278"/>
      <c r="E282" s="1079"/>
      <c r="F282" s="700"/>
      <c r="G282" s="1125"/>
      <c r="H282" s="1125"/>
      <c r="I282" s="700"/>
      <c r="J282" s="700"/>
      <c r="K282" s="1125"/>
      <c r="L282" s="700"/>
      <c r="M282" s="1279"/>
      <c r="N282" s="780"/>
      <c r="P282" s="805"/>
    </row>
    <row r="283" spans="1:16" s="777" customFormat="1" ht="24" customHeight="1">
      <c r="A283" s="959" t="s">
        <v>14211</v>
      </c>
      <c r="B283" s="850" t="s">
        <v>10852</v>
      </c>
      <c r="C283" s="850">
        <v>316</v>
      </c>
      <c r="D283" s="1280" t="str">
        <f>PROPER(IF(B283="Saneago",VLOOKUP(C283,'SANEAGO-FEV.2016'!A:B,2,0),IF(B283="Sinapi",VLOOKUP(C283,'SINAPI-FEV.2017'!A:D,2,0),IF(B283="Cotação",VLOOKUP(C283,COTAÇÃO!A:D,2,0),IF(B283="Composição",VLOOKUP(C283,COMPOSIÇÃO!A:D,2,0))))))</f>
        <v>Concreto  Estrutural Usinado Bombeado  Fck=40 Mpa, Com Adição De 8 À 10% De Microssílica (Incluindo  Lançamento, Aplicação  E Adensamento)</v>
      </c>
      <c r="E283" s="1281"/>
      <c r="F283" s="1281"/>
      <c r="G283" s="1122"/>
      <c r="H283" s="1122"/>
      <c r="I283" s="1277"/>
      <c r="J283" s="1277"/>
      <c r="K283" s="1249" t="s">
        <v>27</v>
      </c>
      <c r="L283" s="1249" t="s">
        <v>22</v>
      </c>
      <c r="M283" s="1250">
        <f>SUM(M272:M281)</f>
        <v>177.27250999999998</v>
      </c>
      <c r="N283" s="780"/>
      <c r="P283" s="805"/>
    </row>
    <row r="284" spans="1:16" s="777" customFormat="1">
      <c r="A284" s="959"/>
      <c r="B284" s="850"/>
      <c r="C284" s="850"/>
      <c r="D284" s="1282"/>
      <c r="E284" s="1078"/>
      <c r="F284" s="776" t="s">
        <v>20351</v>
      </c>
      <c r="G284" s="776" t="s">
        <v>20352</v>
      </c>
      <c r="H284" s="776" t="s">
        <v>20353</v>
      </c>
      <c r="I284" s="776" t="s">
        <v>20354</v>
      </c>
      <c r="J284" s="776" t="s">
        <v>20355</v>
      </c>
      <c r="K284" s="776" t="s">
        <v>20356</v>
      </c>
      <c r="L284" s="816" t="s">
        <v>30</v>
      </c>
      <c r="M284" s="879" t="s">
        <v>30</v>
      </c>
      <c r="N284" s="780"/>
      <c r="P284" s="805"/>
    </row>
    <row r="285" spans="1:16" s="777" customFormat="1">
      <c r="A285" s="959"/>
      <c r="B285" s="850"/>
      <c r="C285" s="850"/>
      <c r="D285" s="1283" t="s">
        <v>11761</v>
      </c>
      <c r="E285" s="780" t="s">
        <v>33</v>
      </c>
      <c r="F285" s="776">
        <v>30.66</v>
      </c>
      <c r="G285" s="1284">
        <v>1177.17</v>
      </c>
      <c r="H285" s="1284">
        <v>296.42</v>
      </c>
      <c r="I285" s="776">
        <v>682</v>
      </c>
      <c r="J285" s="776"/>
      <c r="K285" s="776"/>
      <c r="L285" s="780" t="s">
        <v>33</v>
      </c>
      <c r="M285" s="955"/>
      <c r="N285" s="780"/>
      <c r="P285" s="805"/>
    </row>
    <row r="286" spans="1:16" s="777" customFormat="1">
      <c r="A286" s="959"/>
      <c r="B286" s="850"/>
      <c r="C286" s="850"/>
      <c r="D286" s="1283" t="s">
        <v>11762</v>
      </c>
      <c r="E286" s="780" t="s">
        <v>33</v>
      </c>
      <c r="F286" s="776">
        <v>80.540000000000006</v>
      </c>
      <c r="G286" s="1284">
        <v>388.89</v>
      </c>
      <c r="H286" s="1284">
        <v>21.01</v>
      </c>
      <c r="I286" s="776">
        <v>229.42</v>
      </c>
      <c r="J286" s="776"/>
      <c r="K286" s="776"/>
      <c r="L286" s="780" t="s">
        <v>33</v>
      </c>
      <c r="M286" s="955"/>
      <c r="N286" s="780"/>
      <c r="P286" s="805"/>
    </row>
    <row r="287" spans="1:16" s="1288" customFormat="1">
      <c r="A287" s="1285"/>
      <c r="B287" s="1286"/>
      <c r="C287" s="1286"/>
      <c r="D287" s="1283" t="s">
        <v>11763</v>
      </c>
      <c r="E287" s="780" t="s">
        <v>33</v>
      </c>
      <c r="F287" s="776"/>
      <c r="G287" s="776"/>
      <c r="H287" s="1284"/>
      <c r="I287" s="1284"/>
      <c r="J287" s="776"/>
      <c r="K287" s="776"/>
      <c r="L287" s="780" t="s">
        <v>33</v>
      </c>
      <c r="M287" s="955"/>
      <c r="N287" s="1287"/>
      <c r="P287" s="1289"/>
    </row>
    <row r="288" spans="1:16" s="777" customFormat="1">
      <c r="A288" s="959"/>
      <c r="B288" s="850"/>
      <c r="C288" s="850"/>
      <c r="D288" s="1283" t="s">
        <v>11764</v>
      </c>
      <c r="E288" s="780" t="s">
        <v>33</v>
      </c>
      <c r="F288" s="776">
        <v>16.690000000000001</v>
      </c>
      <c r="G288" s="1284">
        <v>274.77999999999997</v>
      </c>
      <c r="H288" s="1284">
        <v>150.68</v>
      </c>
      <c r="I288" s="776">
        <v>181.95</v>
      </c>
      <c r="J288" s="776"/>
      <c r="K288" s="776"/>
      <c r="L288" s="780" t="s">
        <v>33</v>
      </c>
      <c r="M288" s="955"/>
      <c r="N288" s="780"/>
      <c r="P288" s="805"/>
    </row>
    <row r="289" spans="1:16" s="1288" customFormat="1">
      <c r="A289" s="1285"/>
      <c r="B289" s="1286"/>
      <c r="C289" s="1286"/>
      <c r="D289" s="1283" t="s">
        <v>11765</v>
      </c>
      <c r="E289" s="780" t="s">
        <v>33</v>
      </c>
      <c r="F289" s="776"/>
      <c r="G289" s="1284"/>
      <c r="H289" s="1284">
        <v>2234.36</v>
      </c>
      <c r="I289" s="776">
        <v>471.29</v>
      </c>
      <c r="J289" s="776">
        <v>1061.31</v>
      </c>
      <c r="K289" s="776"/>
      <c r="L289" s="780" t="s">
        <v>33</v>
      </c>
      <c r="M289" s="955"/>
      <c r="N289" s="1287"/>
      <c r="P289" s="1289"/>
    </row>
    <row r="290" spans="1:16" s="777" customFormat="1">
      <c r="A290" s="959"/>
      <c r="B290" s="850"/>
      <c r="C290" s="850"/>
      <c r="D290" s="1283" t="s">
        <v>11780</v>
      </c>
      <c r="E290" s="780" t="s">
        <v>33</v>
      </c>
      <c r="F290" s="776">
        <v>0</v>
      </c>
      <c r="G290" s="1284">
        <v>566.77</v>
      </c>
      <c r="H290" s="1284">
        <v>0</v>
      </c>
      <c r="I290" s="776">
        <v>120.35</v>
      </c>
      <c r="J290" s="776"/>
      <c r="K290" s="776"/>
      <c r="L290" s="780" t="s">
        <v>33</v>
      </c>
      <c r="M290" s="955"/>
      <c r="N290" s="780"/>
      <c r="P290" s="805"/>
    </row>
    <row r="291" spans="1:16" s="777" customFormat="1" ht="12.75" customHeight="1">
      <c r="A291" s="959"/>
      <c r="B291" s="850"/>
      <c r="C291" s="850"/>
      <c r="D291" s="1283" t="s">
        <v>11783</v>
      </c>
      <c r="E291" s="780" t="s">
        <v>33</v>
      </c>
      <c r="F291" s="776"/>
      <c r="G291" s="1284"/>
      <c r="H291" s="1284">
        <v>1451.44</v>
      </c>
      <c r="I291" s="776">
        <v>597.39</v>
      </c>
      <c r="J291" s="776"/>
      <c r="K291" s="776"/>
      <c r="L291" s="780" t="s">
        <v>33</v>
      </c>
      <c r="M291" s="955"/>
      <c r="N291" s="780"/>
      <c r="P291" s="805"/>
    </row>
    <row r="292" spans="1:16" s="777" customFormat="1">
      <c r="A292" s="959"/>
      <c r="B292" s="850"/>
      <c r="C292" s="850"/>
      <c r="D292" s="1283" t="s">
        <v>11787</v>
      </c>
      <c r="E292" s="780" t="s">
        <v>33</v>
      </c>
      <c r="F292" s="776"/>
      <c r="G292" s="1284">
        <v>182.09</v>
      </c>
      <c r="H292" s="1284">
        <v>41</v>
      </c>
      <c r="I292" s="776"/>
      <c r="J292" s="776"/>
      <c r="K292" s="776"/>
      <c r="L292" s="780" t="s">
        <v>33</v>
      </c>
      <c r="M292" s="955"/>
      <c r="N292" s="780"/>
      <c r="P292" s="805"/>
    </row>
    <row r="293" spans="1:16" s="777" customFormat="1" ht="12.75" customHeight="1">
      <c r="A293" s="959"/>
      <c r="B293" s="850"/>
      <c r="C293" s="850"/>
      <c r="D293" s="1283" t="s">
        <v>11795</v>
      </c>
      <c r="E293" s="780" t="s">
        <v>33</v>
      </c>
      <c r="F293" s="776"/>
      <c r="G293" s="1284">
        <v>8.8000000000000007</v>
      </c>
      <c r="H293" s="1284"/>
      <c r="I293" s="1695"/>
      <c r="J293" s="1695"/>
      <c r="K293" s="776"/>
      <c r="L293" s="780" t="s">
        <v>33</v>
      </c>
      <c r="M293" s="955"/>
      <c r="N293" s="780"/>
      <c r="P293" s="805"/>
    </row>
    <row r="294" spans="1:16" s="777" customFormat="1" ht="12.75" customHeight="1">
      <c r="A294" s="959"/>
      <c r="B294" s="850"/>
      <c r="C294" s="850"/>
      <c r="D294" s="1283" t="s">
        <v>11796</v>
      </c>
      <c r="E294" s="780" t="s">
        <v>33</v>
      </c>
      <c r="F294" s="776"/>
      <c r="G294" s="1284"/>
      <c r="H294" s="1284">
        <v>628.80999999999995</v>
      </c>
      <c r="I294" s="1695"/>
      <c r="J294" s="1695"/>
      <c r="K294" s="776"/>
      <c r="L294" s="780" t="s">
        <v>33</v>
      </c>
      <c r="M294" s="955"/>
      <c r="N294" s="780"/>
      <c r="P294" s="805"/>
    </row>
    <row r="295" spans="1:16" s="777" customFormat="1" ht="13.5" customHeight="1">
      <c r="A295" s="959"/>
      <c r="B295" s="850"/>
      <c r="C295" s="850"/>
      <c r="D295" s="1290" t="s">
        <v>1269</v>
      </c>
      <c r="E295" s="1291" t="s">
        <v>33</v>
      </c>
      <c r="F295" s="812">
        <f t="shared" ref="F295:K295" si="39">SUM(F285:F294)-F287</f>
        <v>127.89</v>
      </c>
      <c r="G295" s="812">
        <f t="shared" si="39"/>
        <v>2598.5</v>
      </c>
      <c r="H295" s="812">
        <f t="shared" si="39"/>
        <v>4823.7199999999993</v>
      </c>
      <c r="I295" s="812">
        <f t="shared" si="39"/>
        <v>2282.3999999999996</v>
      </c>
      <c r="J295" s="812">
        <f t="shared" si="39"/>
        <v>1061.31</v>
      </c>
      <c r="K295" s="812">
        <f t="shared" si="39"/>
        <v>0</v>
      </c>
      <c r="L295" s="1291" t="s">
        <v>33</v>
      </c>
      <c r="M295" s="1292">
        <f>SUM(F295:K295)</f>
        <v>10893.819999999998</v>
      </c>
      <c r="N295" s="1247"/>
      <c r="O295" s="1293"/>
      <c r="P295" s="805"/>
    </row>
    <row r="296" spans="1:16" s="777" customFormat="1" ht="13.5" customHeight="1">
      <c r="A296" s="959"/>
      <c r="B296" s="850"/>
      <c r="C296" s="850"/>
      <c r="D296" s="1290"/>
      <c r="E296" s="1291"/>
      <c r="F296" s="812"/>
      <c r="G296" s="812"/>
      <c r="H296" s="1294"/>
      <c r="I296" s="812"/>
      <c r="J296" s="812"/>
      <c r="K296" s="812"/>
      <c r="L296" s="780"/>
      <c r="M296" s="1139"/>
      <c r="N296" s="780"/>
      <c r="P296" s="805"/>
    </row>
    <row r="297" spans="1:16" s="777" customFormat="1" ht="33.75">
      <c r="A297" s="912" t="s">
        <v>20365</v>
      </c>
      <c r="B297" s="855" t="s">
        <v>70</v>
      </c>
      <c r="C297" s="855">
        <v>92915</v>
      </c>
      <c r="D297" s="956" t="str">
        <f>PROPER(IF(B297="Saneago",VLOOKUP(C297,'SANEAGO-FEV.2016'!A:B,2,0),IF(B297="Sinapi",VLOOKUP(C297,'SINAPI-FEV.2017'!A:D,2,0),IF(B297="Cotação",VLOOKUP(C297,COTAÇÃO!A:D,2,0),IF(B297="Composição",VLOOKUP(C297,COMPOSIÇÃO!A:D,2,0))))))</f>
        <v>Armação De Estruturas De Concreto Armado, Exceto Vigas, Pilares, Lajes E Fundações Profundas (De Edifícios De Múltiplos Pavimentos, Edificação Térrea Ou Sobrado), Utilizando Aço Ca-60 De 5.0 Mm - Montagem. Af_12/2015</v>
      </c>
      <c r="E297" s="1121"/>
      <c r="F297" s="1121"/>
      <c r="G297" s="1122"/>
      <c r="H297" s="1122"/>
      <c r="I297" s="1122"/>
      <c r="J297" s="1295"/>
      <c r="K297" s="1249" t="s">
        <v>27</v>
      </c>
      <c r="L297" s="1249" t="s">
        <v>33</v>
      </c>
      <c r="M297" s="1250">
        <f>F295</f>
        <v>127.89</v>
      </c>
      <c r="N297" s="1296"/>
      <c r="P297" s="805"/>
    </row>
    <row r="298" spans="1:16" s="777" customFormat="1">
      <c r="A298" s="912"/>
      <c r="B298" s="855"/>
      <c r="C298" s="855"/>
      <c r="D298" s="1119"/>
      <c r="E298" s="1079"/>
      <c r="F298" s="1079"/>
      <c r="G298" s="1133"/>
      <c r="H298" s="1133"/>
      <c r="I298" s="1133"/>
      <c r="J298" s="1297"/>
      <c r="K298" s="1291"/>
      <c r="L298" s="1291"/>
      <c r="M298" s="1298"/>
      <c r="N298" s="1296"/>
      <c r="P298" s="805"/>
    </row>
    <row r="299" spans="1:16" s="777" customFormat="1" ht="33.75">
      <c r="A299" s="912" t="s">
        <v>20366</v>
      </c>
      <c r="B299" s="855" t="s">
        <v>70</v>
      </c>
      <c r="C299" s="855">
        <v>92916</v>
      </c>
      <c r="D299" s="956" t="str">
        <f>PROPER(IF(B299="Saneago",VLOOKUP(C299,'SANEAGO-FEV.2016'!A:B,2,0),IF(B299="Sinapi",VLOOKUP(C299,'SINAPI-FEV.2017'!A:D,2,0),IF(B299="Cotação",VLOOKUP(C299,COTAÇÃO!A:D,2,0),IF(B299="Composição",VLOOKUP(C299,COMPOSIÇÃO!A:D,2,0))))))</f>
        <v>Armação De Estruturas De Concreto Armado, Exceto Vigas, Pilares, Lajes E Fundações Profundas (De Edifícios De Múltiplos Pavimentos, Edificação Térrea Ou Sobrado), Utilizando Aço Ca-50 De 6.3 Mm - Montagem. Af_12/2015</v>
      </c>
      <c r="E299" s="1121"/>
      <c r="F299" s="1121"/>
      <c r="G299" s="1122"/>
      <c r="H299" s="1122"/>
      <c r="I299" s="1122"/>
      <c r="J299" s="1295"/>
      <c r="K299" s="1249" t="s">
        <v>27</v>
      </c>
      <c r="L299" s="1249" t="s">
        <v>33</v>
      </c>
      <c r="M299" s="1250">
        <f>G295</f>
        <v>2598.5</v>
      </c>
      <c r="N299" s="1296"/>
      <c r="P299" s="805"/>
    </row>
    <row r="300" spans="1:16" s="777" customFormat="1">
      <c r="A300" s="912"/>
      <c r="B300" s="855"/>
      <c r="C300" s="855"/>
      <c r="D300" s="1119"/>
      <c r="E300" s="1079"/>
      <c r="F300" s="1079"/>
      <c r="G300" s="1133"/>
      <c r="H300" s="1133"/>
      <c r="I300" s="1133"/>
      <c r="J300" s="1297"/>
      <c r="K300" s="1291"/>
      <c r="L300" s="1291"/>
      <c r="M300" s="1298"/>
      <c r="N300" s="1296"/>
      <c r="P300" s="805"/>
    </row>
    <row r="301" spans="1:16" s="777" customFormat="1" ht="33.75">
      <c r="A301" s="912" t="s">
        <v>20367</v>
      </c>
      <c r="B301" s="855" t="s">
        <v>70</v>
      </c>
      <c r="C301" s="855">
        <v>92917</v>
      </c>
      <c r="D301" s="956" t="str">
        <f>PROPER(IF(B301="Saneago",VLOOKUP(C301,'SANEAGO-FEV.2016'!A:B,2,0),IF(B301="Sinapi",VLOOKUP(C301,'SINAPI-FEV.2017'!A:D,2,0),IF(B301="Cotação",VLOOKUP(C301,COTAÇÃO!A:D,2,0),IF(B301="Composição",VLOOKUP(C301,COMPOSIÇÃO!A:D,2,0))))))</f>
        <v>Armação De Estruturas De Concreto Armado, Exceto Vigas, Pilares, Lajes E Fundações Profundas (De Edifícios De Múltiplos Pavimentos, Edificação Térrea Ou Sobrado), Utilizando Aço Ca-50 De 8.0 Mm - Montagem. Af_12/2015</v>
      </c>
      <c r="E301" s="1121"/>
      <c r="F301" s="1121"/>
      <c r="G301" s="1122"/>
      <c r="H301" s="1122"/>
      <c r="I301" s="1122"/>
      <c r="J301" s="1295"/>
      <c r="K301" s="1249" t="s">
        <v>27</v>
      </c>
      <c r="L301" s="1249" t="s">
        <v>33</v>
      </c>
      <c r="M301" s="1250">
        <f>H295</f>
        <v>4823.7199999999993</v>
      </c>
      <c r="N301" s="1296"/>
      <c r="P301" s="805"/>
    </row>
    <row r="302" spans="1:16" s="777" customFormat="1">
      <c r="A302" s="912"/>
      <c r="B302" s="855"/>
      <c r="C302" s="855"/>
      <c r="D302" s="1119"/>
      <c r="E302" s="1079"/>
      <c r="F302" s="1079"/>
      <c r="G302" s="1133"/>
      <c r="H302" s="1133"/>
      <c r="I302" s="1133"/>
      <c r="J302" s="1297"/>
      <c r="K302" s="1291"/>
      <c r="L302" s="1291"/>
      <c r="M302" s="1298"/>
      <c r="N302" s="1296"/>
      <c r="P302" s="805"/>
    </row>
    <row r="303" spans="1:16" s="777" customFormat="1" ht="33.75">
      <c r="A303" s="912" t="s">
        <v>20368</v>
      </c>
      <c r="B303" s="855" t="s">
        <v>70</v>
      </c>
      <c r="C303" s="855">
        <v>92919</v>
      </c>
      <c r="D303" s="956" t="str">
        <f>PROPER(IF(B303="Saneago",VLOOKUP(C303,'SANEAGO-FEV.2016'!A:B,2,0),IF(B303="Sinapi",VLOOKUP(C303,'SINAPI-FEV.2017'!A:D,2,0),IF(B303="Cotação",VLOOKUP(C303,COTAÇÃO!A:D,2,0),IF(B303="Composição",VLOOKUP(C303,COMPOSIÇÃO!A:D,2,0))))))</f>
        <v>Armação De Estruturas De Concreto Armado, Exceto Vigas, Pilares, Lajes E Fundações Profundas (De Edifícios De Múltiplos Pavimentos, Edificação Térrea Ou Sobrado), Utilizando Aço Ca-50 De 10.0 Mm - Montagem. Af_12/2015</v>
      </c>
      <c r="E303" s="1121"/>
      <c r="F303" s="1121"/>
      <c r="G303" s="1122"/>
      <c r="H303" s="1122"/>
      <c r="I303" s="1122"/>
      <c r="J303" s="1295"/>
      <c r="K303" s="1249" t="s">
        <v>27</v>
      </c>
      <c r="L303" s="1249" t="s">
        <v>33</v>
      </c>
      <c r="M303" s="1250">
        <f>I295</f>
        <v>2282.3999999999996</v>
      </c>
      <c r="N303" s="1296"/>
      <c r="P303" s="805"/>
    </row>
    <row r="304" spans="1:16" s="777" customFormat="1">
      <c r="A304" s="912"/>
      <c r="B304" s="855"/>
      <c r="C304" s="855"/>
      <c r="D304" s="1119"/>
      <c r="E304" s="1079"/>
      <c r="F304" s="1079"/>
      <c r="G304" s="1133"/>
      <c r="H304" s="1133"/>
      <c r="I304" s="1133"/>
      <c r="J304" s="1297"/>
      <c r="K304" s="1291"/>
      <c r="L304" s="1291"/>
      <c r="M304" s="1298"/>
      <c r="N304" s="1296"/>
      <c r="P304" s="805"/>
    </row>
    <row r="305" spans="1:16" s="777" customFormat="1" ht="33.75">
      <c r="A305" s="912" t="s">
        <v>20369</v>
      </c>
      <c r="B305" s="855" t="s">
        <v>70</v>
      </c>
      <c r="C305" s="855">
        <v>92921</v>
      </c>
      <c r="D305" s="956" t="str">
        <f>PROPER(IF(B305="Saneago",VLOOKUP(C305,'SANEAGO-FEV.2016'!A:B,2,0),IF(B305="Sinapi",VLOOKUP(C305,'SINAPI-FEV.2017'!A:D,2,0),IF(B305="Cotação",VLOOKUP(C305,COTAÇÃO!A:D,2,0),IF(B305="Composição",VLOOKUP(C305,COMPOSIÇÃO!A:D,2,0))))))</f>
        <v>Armação De Estruturas De Concreto Armado, Exceto Vigas, Pilares, Lajes E Fundações Profundas (De Edifícios De Múltiplos Pavimentos, Edificação Térrea Ou Sobrado), Utilizando Aço Ca-50 De 12.5 Mm - Montagem. Af_12/2015</v>
      </c>
      <c r="E305" s="1121"/>
      <c r="F305" s="1121"/>
      <c r="G305" s="1122"/>
      <c r="H305" s="1122"/>
      <c r="I305" s="1122"/>
      <c r="J305" s="1295"/>
      <c r="K305" s="1249" t="s">
        <v>27</v>
      </c>
      <c r="L305" s="1249" t="s">
        <v>33</v>
      </c>
      <c r="M305" s="1250">
        <f>J295</f>
        <v>1061.31</v>
      </c>
      <c r="N305" s="1296"/>
      <c r="P305" s="805"/>
    </row>
    <row r="306" spans="1:16" s="777" customFormat="1">
      <c r="A306" s="912"/>
      <c r="B306" s="855"/>
      <c r="C306" s="855"/>
      <c r="D306" s="1119"/>
      <c r="E306" s="1079"/>
      <c r="F306" s="1079"/>
      <c r="G306" s="1133"/>
      <c r="H306" s="1133"/>
      <c r="I306" s="1133"/>
      <c r="J306" s="1297"/>
      <c r="K306" s="1291"/>
      <c r="L306" s="1291"/>
      <c r="M306" s="1298"/>
      <c r="N306" s="1296"/>
      <c r="P306" s="805"/>
    </row>
    <row r="307" spans="1:16" s="777" customFormat="1" ht="34.5" customHeight="1">
      <c r="A307" s="912" t="s">
        <v>20370</v>
      </c>
      <c r="B307" s="855" t="s">
        <v>70</v>
      </c>
      <c r="C307" s="855">
        <v>92922</v>
      </c>
      <c r="D307" s="956" t="str">
        <f>PROPER(IF(B307="Saneago",VLOOKUP(C307,'SANEAGO-FEV.2016'!A:B,2,0),IF(B307="Sinapi",VLOOKUP(C307,'SINAPI-FEV.2017'!A:D,2,0),IF(B307="Cotação",VLOOKUP(C307,COTAÇÃO!A:D,2,0),IF(B307="Composição",VLOOKUP(C307,COMPOSIÇÃO!A:D,2,0))))))</f>
        <v>Armação De Estruturas De Concreto Armado, Exceto Vigas, Pilares, Lajes E Fundações Profundas (De Edifícios De Múltiplos Pavimentos, Edificação Térrea Ou Sobrado), Utilizando Aço Ca-50 De 16.0 Mm - Montagem. Af_12/2015</v>
      </c>
      <c r="E307" s="1121"/>
      <c r="F307" s="1121"/>
      <c r="G307" s="1122"/>
      <c r="H307" s="1122"/>
      <c r="I307" s="1122"/>
      <c r="J307" s="1295"/>
      <c r="K307" s="1249" t="s">
        <v>27</v>
      </c>
      <c r="L307" s="1249" t="s">
        <v>33</v>
      </c>
      <c r="M307" s="1250">
        <f>K295</f>
        <v>0</v>
      </c>
      <c r="N307" s="1296"/>
      <c r="P307" s="805"/>
    </row>
    <row r="308" spans="1:16" s="777" customFormat="1">
      <c r="A308" s="959"/>
      <c r="B308" s="850"/>
      <c r="C308" s="850"/>
      <c r="D308" s="1119"/>
      <c r="E308" s="1079"/>
      <c r="F308" s="1079"/>
      <c r="G308" s="780" t="s">
        <v>30</v>
      </c>
      <c r="H308" s="780" t="s">
        <v>30</v>
      </c>
      <c r="I308" s="780" t="s">
        <v>30</v>
      </c>
      <c r="J308" s="780" t="s">
        <v>11797</v>
      </c>
      <c r="K308" s="780" t="s">
        <v>19</v>
      </c>
      <c r="L308" s="780"/>
      <c r="M308" s="1244"/>
      <c r="N308" s="780"/>
      <c r="P308" s="805"/>
    </row>
    <row r="309" spans="1:16" s="777" customFormat="1">
      <c r="A309" s="959"/>
      <c r="B309" s="850"/>
      <c r="C309" s="850"/>
      <c r="D309" s="1119"/>
      <c r="E309" s="1079"/>
      <c r="F309" s="1079"/>
      <c r="G309" s="780"/>
      <c r="H309" s="780"/>
      <c r="I309" s="1246" t="s">
        <v>11761</v>
      </c>
      <c r="J309" s="1246">
        <f>3*1.45</f>
        <v>4.3499999999999996</v>
      </c>
      <c r="K309" s="780">
        <v>2.2000000000000002</v>
      </c>
      <c r="L309" s="780" t="s">
        <v>18</v>
      </c>
      <c r="M309" s="1139">
        <f>J309+K309</f>
        <v>6.55</v>
      </c>
      <c r="N309" s="780"/>
      <c r="P309" s="805"/>
    </row>
    <row r="310" spans="1:16" s="777" customFormat="1">
      <c r="A310" s="959"/>
      <c r="B310" s="850"/>
      <c r="C310" s="850"/>
      <c r="D310" s="1119"/>
      <c r="E310" s="1079"/>
      <c r="F310" s="1079"/>
      <c r="G310" s="780"/>
      <c r="H310" s="780"/>
      <c r="I310" s="1246" t="s">
        <v>11764</v>
      </c>
      <c r="J310" s="1246">
        <f>2*2.35</f>
        <v>4.7</v>
      </c>
      <c r="K310" s="780">
        <v>1.8</v>
      </c>
      <c r="L310" s="780" t="s">
        <v>18</v>
      </c>
      <c r="M310" s="1139">
        <f>J310+K310</f>
        <v>6.5</v>
      </c>
      <c r="N310" s="780"/>
      <c r="P310" s="805"/>
    </row>
    <row r="311" spans="1:16" s="777" customFormat="1">
      <c r="A311" s="959"/>
      <c r="B311" s="850"/>
      <c r="C311" s="850"/>
      <c r="D311" s="1119"/>
      <c r="E311" s="1079"/>
      <c r="F311" s="1079"/>
      <c r="G311" s="780"/>
      <c r="H311" s="780"/>
      <c r="I311" s="780"/>
      <c r="J311" s="1246"/>
      <c r="K311" s="780"/>
      <c r="L311" s="780"/>
      <c r="M311" s="1139"/>
      <c r="N311" s="780"/>
      <c r="P311" s="805"/>
    </row>
    <row r="312" spans="1:16" s="777" customFormat="1">
      <c r="A312" s="959" t="s">
        <v>14212</v>
      </c>
      <c r="B312" s="850" t="s">
        <v>11644</v>
      </c>
      <c r="C312" s="850">
        <v>3681</v>
      </c>
      <c r="D312" s="956" t="str">
        <f>PROPER(IF(B312="Saneago",VLOOKUP(C312,'SANEAGO-FEV.2016'!A:B,2,0),IF(B312="Sinapi",VLOOKUP(C312,'SINAPI-FEV.2017'!A:D,2,0),IF(B312="Cotação",VLOOKUP(C312,COTAÇÃO!A:D,2,0),IF(B312="Composição",VLOOKUP(C312,COMPOSIÇÃO!A:D,2,0))))))</f>
        <v>Junta Dilatacao Elastica Para Concreto (Fugenband) O-22, Ate 30 Mca</v>
      </c>
      <c r="E312" s="1121"/>
      <c r="F312" s="1121"/>
      <c r="G312" s="1122"/>
      <c r="H312" s="1299"/>
      <c r="I312" s="1122"/>
      <c r="J312" s="1122"/>
      <c r="K312" s="1249" t="s">
        <v>27</v>
      </c>
      <c r="L312" s="1249" t="s">
        <v>18</v>
      </c>
      <c r="M312" s="1250">
        <f>SUM(M309:M311)</f>
        <v>13.05</v>
      </c>
      <c r="N312" s="780"/>
      <c r="P312" s="805"/>
    </row>
    <row r="313" spans="1:16" s="777" customFormat="1">
      <c r="A313" s="959"/>
      <c r="B313" s="850"/>
      <c r="C313" s="850"/>
      <c r="D313" s="1119"/>
      <c r="E313" s="1079"/>
      <c r="F313" s="1079"/>
      <c r="G313" s="780" t="s">
        <v>30</v>
      </c>
      <c r="H313" s="780" t="s">
        <v>30</v>
      </c>
      <c r="I313" s="780" t="s">
        <v>30</v>
      </c>
      <c r="J313" s="780" t="s">
        <v>30</v>
      </c>
      <c r="K313" s="780" t="s">
        <v>30</v>
      </c>
      <c r="L313" s="780"/>
      <c r="M313" s="1244"/>
      <c r="N313" s="780"/>
      <c r="P313" s="805"/>
    </row>
    <row r="314" spans="1:16" s="777" customFormat="1" ht="13.5" customHeight="1">
      <c r="A314" s="959" t="s">
        <v>14213</v>
      </c>
      <c r="B314" s="855" t="s">
        <v>70</v>
      </c>
      <c r="C314" s="855" t="s">
        <v>19257</v>
      </c>
      <c r="D314" s="956" t="str">
        <f>PROPER(IF(B314="Saneago",VLOOKUP(C314,'SANEAGO-FEV.2016'!A:B,2,0),IF(B314="Sinapi",VLOOKUP(C314,'SINAPI-FEV.2017'!A:D,2,0),IF(B314="Cotação",VLOOKUP(C314,COTAÇÃO!A:D,2,0),IF(B314="Composição",VLOOKUP(C314,COMPOSIÇÃO!A:D,2,0))))))</f>
        <v>Ensaio De Consistencia Do Concreto Ccr - Indice Vebe</v>
      </c>
      <c r="E314" s="1121"/>
      <c r="F314" s="1121"/>
      <c r="G314" s="1122"/>
      <c r="H314" s="1122"/>
      <c r="I314" s="1122"/>
      <c r="J314" s="1122"/>
      <c r="K314" s="1122"/>
      <c r="L314" s="1245" t="s">
        <v>26</v>
      </c>
      <c r="M314" s="1140">
        <f>ROUNDUP(M283/50,0)</f>
        <v>4</v>
      </c>
      <c r="N314" s="780"/>
      <c r="P314" s="805"/>
    </row>
    <row r="315" spans="1:16" s="777" customFormat="1" ht="9.75" customHeight="1" thickBot="1">
      <c r="A315" s="959"/>
      <c r="B315" s="850"/>
      <c r="C315" s="850"/>
      <c r="D315" s="1119"/>
      <c r="E315" s="1079"/>
      <c r="F315" s="1079"/>
      <c r="G315" s="780"/>
      <c r="H315" s="780"/>
      <c r="I315" s="780"/>
      <c r="J315" s="780"/>
      <c r="K315" s="780"/>
      <c r="L315" s="780"/>
      <c r="M315" s="1244"/>
      <c r="N315" s="780"/>
      <c r="P315" s="805"/>
    </row>
    <row r="316" spans="1:16" s="777" customFormat="1" ht="15.75" customHeight="1" thickTop="1" thickBot="1">
      <c r="A316" s="959"/>
      <c r="B316" s="850"/>
      <c r="C316" s="850"/>
      <c r="D316" s="830" t="s">
        <v>1231</v>
      </c>
      <c r="E316" s="831"/>
      <c r="F316" s="831"/>
      <c r="G316" s="831"/>
      <c r="H316" s="831"/>
      <c r="I316" s="831"/>
      <c r="J316" s="831"/>
      <c r="K316" s="831"/>
      <c r="L316" s="832"/>
      <c r="M316" s="833"/>
      <c r="N316" s="804"/>
      <c r="O316" s="805"/>
      <c r="P316" s="805"/>
    </row>
    <row r="317" spans="1:16" ht="13.5" thickTop="1">
      <c r="C317" s="1300"/>
      <c r="D317" s="1119"/>
      <c r="E317" s="1079"/>
      <c r="F317" s="1079"/>
      <c r="G317" s="780"/>
      <c r="H317" s="780"/>
      <c r="I317" s="780"/>
      <c r="J317" s="780"/>
      <c r="K317" s="1301"/>
      <c r="L317" s="780"/>
      <c r="M317" s="1244"/>
    </row>
    <row r="318" spans="1:16" ht="45">
      <c r="A318" s="959" t="s">
        <v>14214</v>
      </c>
      <c r="B318" s="850" t="s">
        <v>10852</v>
      </c>
      <c r="C318" s="1300">
        <v>862</v>
      </c>
      <c r="D318" s="956" t="str">
        <f>PROPER(IF(B318="Saneago",VLOOKUP(C318,'SANEAGO-FEV.2016'!A:B,2,0),IF(B318="Sinapi",VLOOKUP(C318,'SINAPI-FEV.2017'!A:D,2,0),IF(B318="Cotação",VLOOKUP(C318,COTAÇÃO!A:D,2,0),IF(B318="Composição",VLOOKUP(C318,COMPOSIÇÃO!A:D,2,0))))))</f>
        <v>Guarda-Corpo De Tubo Industrial  1.1/2" (40 Mm) Chapa 13;  H=1,0 M, C/ Tela Artística   3 X 3 Fio 12, Perfil  U  Dim.  19,05  X 19,05  X 3,17  Mm,  Barra  Retangular  Dim  9,52  X 6,35  Mm,  Fixada  Em  Chapa Metálica Dim: 0,20 X 0,10 X 0,05 Cm, C/ Injenção De Silicone,</v>
      </c>
      <c r="E318" s="1121"/>
      <c r="F318" s="1121"/>
      <c r="G318" s="1245"/>
      <c r="H318" s="1245"/>
      <c r="I318" s="1245"/>
      <c r="J318" s="1122"/>
      <c r="K318" s="1122"/>
      <c r="L318" s="1245" t="s">
        <v>18</v>
      </c>
      <c r="M318" s="1140">
        <v>118</v>
      </c>
    </row>
    <row r="319" spans="1:16">
      <c r="C319" s="1300"/>
      <c r="D319" s="1119"/>
      <c r="E319" s="1079"/>
      <c r="F319" s="1079"/>
      <c r="G319" s="780"/>
      <c r="H319" s="780"/>
      <c r="I319" s="780"/>
      <c r="J319" s="780"/>
      <c r="K319" s="1301"/>
      <c r="L319" s="780"/>
      <c r="M319" s="1244"/>
    </row>
    <row r="320" spans="1:16" ht="22.5">
      <c r="A320" s="959" t="s">
        <v>14215</v>
      </c>
      <c r="B320" s="855" t="s">
        <v>70</v>
      </c>
      <c r="C320" s="1020">
        <v>73665</v>
      </c>
      <c r="D320" s="956" t="str">
        <f>PROPER(IF(B320="Saneago",VLOOKUP(C320,'SANEAGO-FEV.2016'!A:B,2,0),IF(B320="Sinapi",VLOOKUP(C320,'SINAPI-FEV.2017'!A:D,2,0),IF(B320="Cotação",VLOOKUP(C320,COTAÇÃO!A:D,2,0),IF(B320="Composição",VLOOKUP(C320,COMPOSIÇÃO!A:D,2,0))))))</f>
        <v>Escada Tipo Marinheiro Em Aco Ca-50 9,52Mm Incluso Pintura Com Fundo Anticorrosivo Tipo Zarcao</v>
      </c>
      <c r="E320" s="1121"/>
      <c r="F320" s="1121"/>
      <c r="G320" s="1245"/>
      <c r="H320" s="1245"/>
      <c r="I320" s="1245"/>
      <c r="J320" s="1122"/>
      <c r="K320" s="1122"/>
      <c r="L320" s="1245" t="s">
        <v>18</v>
      </c>
      <c r="M320" s="1140">
        <f>6*0.3</f>
        <v>1.7999999999999998</v>
      </c>
    </row>
    <row r="321" spans="1:16">
      <c r="C321" s="1300"/>
      <c r="D321" s="1119"/>
      <c r="E321" s="1079"/>
      <c r="F321" s="1079"/>
      <c r="G321" s="780"/>
      <c r="H321" s="780"/>
      <c r="I321" s="780"/>
      <c r="J321" s="780"/>
      <c r="K321" s="1301"/>
      <c r="L321" s="780"/>
      <c r="M321" s="1244"/>
    </row>
    <row r="322" spans="1:16" ht="22.5">
      <c r="A322" s="959" t="s">
        <v>14216</v>
      </c>
      <c r="B322" s="850" t="s">
        <v>11644</v>
      </c>
      <c r="C322" s="1300">
        <v>83623</v>
      </c>
      <c r="D322" s="956" t="str">
        <f>PROPER(IF(B322="Saneago",VLOOKUP(C322,'SANEAGO-FEV.2016'!A:B,2,0),IF(B322="Sinapi",VLOOKUP(C322,'SINAPI-FEV.2017'!A:D,2,0),IF(B322="Cotação",VLOOKUP(C322,COTAÇÃO!A:D,2,0),IF(B322="Composição",VLOOKUP(C322,COMPOSIÇÃO!A:D,2,0))))))</f>
        <v>Grelha De Ferro Fundido Para Canaleta Larg = 30Cm, Fornecimento E Assentamento</v>
      </c>
      <c r="E322" s="1121"/>
      <c r="F322" s="1121"/>
      <c r="G322" s="1245"/>
      <c r="H322" s="1245"/>
      <c r="I322" s="1245"/>
      <c r="J322" s="1122"/>
      <c r="K322" s="1122"/>
      <c r="L322" s="1245" t="s">
        <v>21</v>
      </c>
      <c r="M322" s="1140"/>
    </row>
    <row r="323" spans="1:16">
      <c r="C323" s="1300"/>
      <c r="D323" s="1119"/>
      <c r="E323" s="1079"/>
      <c r="F323" s="1079"/>
      <c r="G323" s="780"/>
      <c r="H323" s="780"/>
      <c r="I323" s="780"/>
      <c r="J323" s="780"/>
      <c r="K323" s="1301"/>
      <c r="L323" s="780"/>
      <c r="M323" s="1244"/>
    </row>
    <row r="324" spans="1:16">
      <c r="A324" s="959" t="s">
        <v>14217</v>
      </c>
      <c r="B324" s="850" t="s">
        <v>11722</v>
      </c>
      <c r="C324" s="1300" t="s">
        <v>12303</v>
      </c>
      <c r="D324" s="956" t="str">
        <f>PROPER(IF(B324="Saneago",VLOOKUP(C324,'SANEAGO-FEV.2016'!A:B,2,0),IF(B324="Sinapi",VLOOKUP(C324,'SINAPI-FEV.2017'!A:D,2,0),IF(B324="Cotação",VLOOKUP(C324,COTAÇÃO!A:D,2,0),IF(B324="Composição",VLOOKUP(C324,COMPOSIÇÃO!A:D,2,0))))))</f>
        <v>Apoio Metálico Da Tubulação</v>
      </c>
      <c r="E324" s="1121"/>
      <c r="F324" s="1121"/>
      <c r="G324" s="1245"/>
      <c r="H324" s="1245"/>
      <c r="I324" s="1245"/>
      <c r="J324" s="1122"/>
      <c r="K324" s="1122"/>
      <c r="L324" s="1245" t="s">
        <v>10853</v>
      </c>
      <c r="M324" s="1140">
        <v>4</v>
      </c>
    </row>
    <row r="325" spans="1:16">
      <c r="C325" s="1300"/>
      <c r="D325" s="1119"/>
      <c r="E325" s="1079"/>
      <c r="F325" s="1079"/>
      <c r="G325" s="780"/>
      <c r="H325" s="780"/>
      <c r="I325" s="780"/>
      <c r="J325" s="780"/>
      <c r="K325" s="1301"/>
      <c r="L325" s="780"/>
      <c r="M325" s="1244"/>
    </row>
    <row r="326" spans="1:16">
      <c r="A326" s="959" t="s">
        <v>14218</v>
      </c>
      <c r="B326" s="850" t="s">
        <v>11722</v>
      </c>
      <c r="C326" s="1300" t="s">
        <v>12300</v>
      </c>
      <c r="D326" s="956" t="str">
        <f>PROPER(IF(B326="Saneago",VLOOKUP(C326,'SANEAGO-FEV.2016'!A:B,2,0),IF(B326="Sinapi",VLOOKUP(C326,'SINAPI-FEV.2017'!A:D,2,0),IF(B326="Cotação",VLOOKUP(C326,COTAÇÃO!A:D,2,0),IF(B326="Composição",VLOOKUP(C326,COMPOSIÇÃO!A:D,2,0))))))</f>
        <v>Suporte Tipo 1</v>
      </c>
      <c r="E326" s="1121"/>
      <c r="F326" s="1121"/>
      <c r="G326" s="1245"/>
      <c r="H326" s="1245"/>
      <c r="I326" s="1245"/>
      <c r="J326" s="1122"/>
      <c r="K326" s="1122"/>
      <c r="L326" s="1245" t="s">
        <v>10853</v>
      </c>
      <c r="M326" s="1140">
        <v>4</v>
      </c>
    </row>
    <row r="327" spans="1:16">
      <c r="C327" s="1300"/>
      <c r="D327" s="1119"/>
      <c r="E327" s="1079"/>
      <c r="F327" s="1079"/>
      <c r="G327" s="780"/>
      <c r="H327" s="780"/>
      <c r="I327" s="780"/>
      <c r="J327" s="780"/>
      <c r="K327" s="1301"/>
      <c r="L327" s="780"/>
      <c r="M327" s="1244"/>
    </row>
    <row r="328" spans="1:16">
      <c r="A328" s="959" t="s">
        <v>14219</v>
      </c>
      <c r="B328" s="850" t="s">
        <v>11722</v>
      </c>
      <c r="C328" s="850" t="s">
        <v>12301</v>
      </c>
      <c r="D328" s="956" t="str">
        <f>PROPER(IF(B328="Saneago",VLOOKUP(C328,'SANEAGO-FEV.2016'!A:B,2,0),IF(B328="Sinapi",VLOOKUP(C328,'SINAPI-FEV.2017'!A:D,2,0),IF(B328="Cotação",VLOOKUP(C328,COTAÇÃO!A:D,2,0),IF(B328="Composição",VLOOKUP(C328,COMPOSIÇÃO!A:D,2,0))))))</f>
        <v>Suporte Tipo 2</v>
      </c>
      <c r="E328" s="1121"/>
      <c r="F328" s="1121"/>
      <c r="G328" s="1245"/>
      <c r="H328" s="1245"/>
      <c r="I328" s="1245"/>
      <c r="J328" s="1122"/>
      <c r="K328" s="1122"/>
      <c r="L328" s="1245" t="s">
        <v>10853</v>
      </c>
      <c r="M328" s="1140">
        <v>4</v>
      </c>
    </row>
    <row r="329" spans="1:16">
      <c r="C329" s="1300"/>
      <c r="D329" s="1119"/>
      <c r="E329" s="1079"/>
      <c r="F329" s="1079"/>
      <c r="G329" s="780"/>
      <c r="H329" s="780"/>
      <c r="I329" s="780"/>
      <c r="J329" s="780"/>
      <c r="K329" s="1301"/>
      <c r="L329" s="780"/>
      <c r="M329" s="1244"/>
    </row>
    <row r="330" spans="1:16">
      <c r="A330" s="959" t="s">
        <v>14220</v>
      </c>
      <c r="B330" s="850" t="s">
        <v>11722</v>
      </c>
      <c r="C330" s="850" t="s">
        <v>12302</v>
      </c>
      <c r="D330" s="956" t="str">
        <f>PROPER(IF(B330="Saneago",VLOOKUP(C330,'SANEAGO-FEV.2016'!A:B,2,0),IF(B330="Sinapi",VLOOKUP(C330,'SINAPI-FEV.2017'!A:D,2,0),IF(B330="Cotação",VLOOKUP(C330,COTAÇÃO!A:D,2,0),IF(B330="Composição",VLOOKUP(C330,COMPOSIÇÃO!A:D,2,0))))))</f>
        <v>Apoio Metálico Da Flange</v>
      </c>
      <c r="E330" s="1121"/>
      <c r="F330" s="1121"/>
      <c r="G330" s="1245"/>
      <c r="H330" s="1245"/>
      <c r="I330" s="1245"/>
      <c r="J330" s="1122"/>
      <c r="K330" s="1122"/>
      <c r="L330" s="1245" t="s">
        <v>10853</v>
      </c>
      <c r="M330" s="1140">
        <v>4</v>
      </c>
    </row>
    <row r="331" spans="1:16" s="777" customFormat="1">
      <c r="A331" s="959"/>
      <c r="B331" s="850"/>
      <c r="C331" s="850"/>
      <c r="D331" s="1119"/>
      <c r="E331" s="1079"/>
      <c r="F331" s="1079"/>
      <c r="G331" s="780"/>
      <c r="H331" s="780"/>
      <c r="I331" s="780"/>
      <c r="J331" s="1133"/>
      <c r="K331" s="1133"/>
      <c r="L331" s="1133"/>
      <c r="M331" s="1139"/>
      <c r="N331" s="780"/>
      <c r="P331" s="805"/>
    </row>
    <row r="332" spans="1:16" s="777" customFormat="1" ht="13.5" thickBot="1">
      <c r="A332" s="959"/>
      <c r="B332" s="850"/>
      <c r="C332" s="850"/>
      <c r="D332" s="1119"/>
      <c r="E332" s="1079"/>
      <c r="F332" s="1079"/>
      <c r="G332" s="780"/>
      <c r="H332" s="780"/>
      <c r="I332" s="780"/>
      <c r="J332" s="1133"/>
      <c r="K332" s="1133"/>
      <c r="L332" s="1133"/>
      <c r="M332" s="1139"/>
      <c r="N332" s="780"/>
      <c r="P332" s="805"/>
    </row>
    <row r="333" spans="1:16" s="777" customFormat="1" ht="15" customHeight="1" thickTop="1" thickBot="1">
      <c r="A333" s="959"/>
      <c r="B333" s="850"/>
      <c r="C333" s="850"/>
      <c r="D333" s="830" t="s">
        <v>55</v>
      </c>
      <c r="E333" s="831"/>
      <c r="F333" s="831"/>
      <c r="G333" s="831"/>
      <c r="H333" s="831"/>
      <c r="I333" s="831"/>
      <c r="J333" s="831"/>
      <c r="K333" s="831"/>
      <c r="L333" s="832" t="s">
        <v>25</v>
      </c>
      <c r="M333" s="833" t="s">
        <v>27</v>
      </c>
      <c r="N333" s="780"/>
      <c r="P333" s="805"/>
    </row>
    <row r="334" spans="1:16" s="777" customFormat="1" ht="23.25" thickTop="1">
      <c r="A334" s="959"/>
      <c r="B334" s="850"/>
      <c r="C334" s="850"/>
      <c r="D334" s="1302"/>
      <c r="E334" s="700" t="s">
        <v>1275</v>
      </c>
      <c r="F334" s="700" t="s">
        <v>17</v>
      </c>
      <c r="G334" s="700" t="s">
        <v>19</v>
      </c>
      <c r="H334" s="700" t="s">
        <v>32</v>
      </c>
      <c r="I334" s="700" t="s">
        <v>11798</v>
      </c>
      <c r="J334" s="700" t="s">
        <v>11799</v>
      </c>
      <c r="K334" s="700" t="s">
        <v>11800</v>
      </c>
      <c r="L334" s="816" t="s">
        <v>30</v>
      </c>
      <c r="M334" s="879" t="s">
        <v>30</v>
      </c>
      <c r="N334" s="780"/>
      <c r="P334" s="805"/>
    </row>
    <row r="335" spans="1:16" s="777" customFormat="1">
      <c r="A335" s="959"/>
      <c r="B335" s="850"/>
      <c r="C335" s="850"/>
      <c r="D335" s="888" t="s">
        <v>11801</v>
      </c>
      <c r="E335" s="700">
        <v>2</v>
      </c>
      <c r="F335" s="828">
        <f>H54</f>
        <v>6.1</v>
      </c>
      <c r="G335" s="1303">
        <v>0</v>
      </c>
      <c r="H335" s="828">
        <v>2.1</v>
      </c>
      <c r="I335" s="1303">
        <v>0</v>
      </c>
      <c r="J335" s="828">
        <v>1.6</v>
      </c>
      <c r="K335" s="828">
        <v>0.8</v>
      </c>
      <c r="L335" s="700" t="s">
        <v>21</v>
      </c>
      <c r="M335" s="955">
        <f>E335*((F335*H335)-(3.14*I335^2/4-J335*K335))</f>
        <v>28.18</v>
      </c>
      <c r="N335" s="780"/>
      <c r="P335" s="805"/>
    </row>
    <row r="336" spans="1:16" s="777" customFormat="1" ht="14.25" customHeight="1">
      <c r="A336" s="959"/>
      <c r="B336" s="850"/>
      <c r="C336" s="850"/>
      <c r="D336" s="888" t="s">
        <v>11805</v>
      </c>
      <c r="E336" s="700">
        <v>2</v>
      </c>
      <c r="F336" s="828">
        <f>H55</f>
        <v>9.42</v>
      </c>
      <c r="G336" s="1303">
        <v>0</v>
      </c>
      <c r="H336" s="828">
        <v>1.45</v>
      </c>
      <c r="I336" s="1303">
        <v>0</v>
      </c>
      <c r="J336" s="1303">
        <v>0</v>
      </c>
      <c r="K336" s="1303">
        <v>0</v>
      </c>
      <c r="L336" s="700" t="s">
        <v>21</v>
      </c>
      <c r="M336" s="955">
        <f>E336*((F336*H336)-(3.14*I336^2/4-J336*K336))</f>
        <v>27.317999999999998</v>
      </c>
      <c r="N336" s="780"/>
      <c r="P336" s="805"/>
    </row>
    <row r="337" spans="1:16" s="777" customFormat="1" ht="14.25" customHeight="1">
      <c r="A337" s="959"/>
      <c r="B337" s="850"/>
      <c r="C337" s="850"/>
      <c r="D337" s="888" t="s">
        <v>11813</v>
      </c>
      <c r="E337" s="700">
        <v>1</v>
      </c>
      <c r="F337" s="1303">
        <v>0</v>
      </c>
      <c r="G337" s="828">
        <v>2.2000000000000002</v>
      </c>
      <c r="H337" s="828">
        <v>2.1</v>
      </c>
      <c r="I337" s="1303">
        <v>0.7</v>
      </c>
      <c r="J337" s="1303">
        <v>0</v>
      </c>
      <c r="K337" s="1303">
        <v>0</v>
      </c>
      <c r="L337" s="700"/>
      <c r="M337" s="955">
        <f>E337*((G337*H337)-(3.14*I337^2/4-J337*K337))</f>
        <v>4.2353500000000013</v>
      </c>
      <c r="N337" s="780"/>
      <c r="P337" s="805"/>
    </row>
    <row r="338" spans="1:16" s="777" customFormat="1" ht="14.25" customHeight="1">
      <c r="A338" s="959"/>
      <c r="B338" s="850"/>
      <c r="C338" s="850"/>
      <c r="D338" s="888" t="s">
        <v>11806</v>
      </c>
      <c r="E338" s="700">
        <v>1</v>
      </c>
      <c r="F338" s="828">
        <v>2</v>
      </c>
      <c r="G338" s="828">
        <v>0.8</v>
      </c>
      <c r="H338" s="828">
        <v>2.2000000000000002</v>
      </c>
      <c r="I338" s="828">
        <v>0.9</v>
      </c>
      <c r="J338" s="1303">
        <v>0</v>
      </c>
      <c r="K338" s="1303">
        <v>0</v>
      </c>
      <c r="L338" s="700" t="s">
        <v>21</v>
      </c>
      <c r="M338" s="955">
        <f>E338*((F338+G338*2)*H338-(3.14*I338^2/4-J338*K338))</f>
        <v>7.2841500000000003</v>
      </c>
      <c r="N338" s="780"/>
      <c r="P338" s="805"/>
    </row>
    <row r="339" spans="1:16" s="777" customFormat="1">
      <c r="A339" s="959"/>
      <c r="B339" s="850"/>
      <c r="C339" s="850"/>
      <c r="D339" s="888" t="s">
        <v>11808</v>
      </c>
      <c r="E339" s="700">
        <v>2</v>
      </c>
      <c r="F339" s="828">
        <f>5.05</f>
        <v>5.05</v>
      </c>
      <c r="G339" s="1303">
        <v>0</v>
      </c>
      <c r="H339" s="828">
        <v>1.45</v>
      </c>
      <c r="I339" s="1303">
        <v>0</v>
      </c>
      <c r="J339" s="1303">
        <v>0</v>
      </c>
      <c r="K339" s="1303">
        <v>0</v>
      </c>
      <c r="L339" s="700" t="s">
        <v>21</v>
      </c>
      <c r="M339" s="955">
        <f>E339*((F339*H339)-(3.14*I339^2/4-J339*K339))</f>
        <v>14.645</v>
      </c>
      <c r="N339" s="780"/>
      <c r="P339" s="805"/>
    </row>
    <row r="340" spans="1:16" s="777" customFormat="1">
      <c r="A340" s="959"/>
      <c r="B340" s="850"/>
      <c r="C340" s="850"/>
      <c r="D340" s="888" t="s">
        <v>11811</v>
      </c>
      <c r="E340" s="700">
        <v>2</v>
      </c>
      <c r="F340" s="828">
        <v>16.850000000000001</v>
      </c>
      <c r="G340" s="1303">
        <v>0</v>
      </c>
      <c r="H340" s="828">
        <v>3.85</v>
      </c>
      <c r="I340" s="1303">
        <v>0</v>
      </c>
      <c r="J340" s="1303">
        <v>0</v>
      </c>
      <c r="K340" s="1303">
        <v>0</v>
      </c>
      <c r="L340" s="700" t="s">
        <v>21</v>
      </c>
      <c r="M340" s="955">
        <f>E340*((F340*H340)-(3.14*I340^2/4-J340*K340))</f>
        <v>129.745</v>
      </c>
      <c r="N340" s="780"/>
      <c r="P340" s="805"/>
    </row>
    <row r="341" spans="1:16" s="777" customFormat="1">
      <c r="A341" s="959"/>
      <c r="B341" s="850"/>
      <c r="C341" s="850"/>
      <c r="D341" s="888" t="s">
        <v>11814</v>
      </c>
      <c r="E341" s="700">
        <v>2</v>
      </c>
      <c r="F341" s="828">
        <v>10.050000000000001</v>
      </c>
      <c r="G341" s="1303">
        <v>0</v>
      </c>
      <c r="H341" s="828">
        <v>3.2</v>
      </c>
      <c r="I341" s="1303">
        <v>0</v>
      </c>
      <c r="J341" s="1303">
        <v>0</v>
      </c>
      <c r="K341" s="1303">
        <v>0</v>
      </c>
      <c r="L341" s="700" t="s">
        <v>21</v>
      </c>
      <c r="M341" s="955">
        <f>E341*((F341*H341)-(3.14*I341^2/4-J341*K341))</f>
        <v>64.320000000000007</v>
      </c>
      <c r="N341" s="780"/>
      <c r="P341" s="805"/>
    </row>
    <row r="342" spans="1:16" s="777" customFormat="1">
      <c r="A342" s="959"/>
      <c r="B342" s="850"/>
      <c r="C342" s="850"/>
      <c r="D342" s="888" t="s">
        <v>11815</v>
      </c>
      <c r="E342" s="700">
        <v>2</v>
      </c>
      <c r="F342" s="828">
        <v>6.05</v>
      </c>
      <c r="G342" s="1303">
        <v>0</v>
      </c>
      <c r="H342" s="828">
        <v>1.95</v>
      </c>
      <c r="I342" s="1303">
        <v>0</v>
      </c>
      <c r="J342" s="1303">
        <v>0</v>
      </c>
      <c r="K342" s="1303">
        <v>0</v>
      </c>
      <c r="L342" s="700" t="s">
        <v>21</v>
      </c>
      <c r="M342" s="955">
        <f>E342*((F342*H342)-(3.14*I342^2/4-J342*K342))</f>
        <v>23.594999999999999</v>
      </c>
      <c r="N342" s="780"/>
      <c r="P342" s="805"/>
    </row>
    <row r="343" spans="1:16" s="777" customFormat="1">
      <c r="A343" s="959"/>
      <c r="B343" s="850"/>
      <c r="C343" s="850"/>
      <c r="D343" s="888" t="s">
        <v>11816</v>
      </c>
      <c r="E343" s="700">
        <v>2</v>
      </c>
      <c r="F343" s="828">
        <v>5.85</v>
      </c>
      <c r="G343" s="1303">
        <v>0</v>
      </c>
      <c r="H343" s="828">
        <v>2.35</v>
      </c>
      <c r="I343" s="1303">
        <v>0</v>
      </c>
      <c r="J343" s="1303">
        <v>0</v>
      </c>
      <c r="K343" s="1303">
        <v>0</v>
      </c>
      <c r="L343" s="700" t="s">
        <v>21</v>
      </c>
      <c r="M343" s="955">
        <f>E343*((F343*H343)-(3.14*I343^2/4-J343*K343))</f>
        <v>27.495000000000001</v>
      </c>
      <c r="N343" s="780"/>
      <c r="P343" s="805"/>
    </row>
    <row r="344" spans="1:16" s="777" customFormat="1">
      <c r="A344" s="959"/>
      <c r="B344" s="850"/>
      <c r="C344" s="850"/>
      <c r="D344" s="888" t="s">
        <v>11817</v>
      </c>
      <c r="E344" s="700">
        <v>2</v>
      </c>
      <c r="F344" s="828">
        <v>7</v>
      </c>
      <c r="G344" s="828">
        <v>4.8499999999999996</v>
      </c>
      <c r="H344" s="828">
        <v>4</v>
      </c>
      <c r="I344" s="828">
        <v>0.7</v>
      </c>
      <c r="J344" s="1303">
        <v>0</v>
      </c>
      <c r="K344" s="1303">
        <v>0</v>
      </c>
      <c r="L344" s="700" t="s">
        <v>21</v>
      </c>
      <c r="M344" s="955">
        <f>E344*(((F344+G344)*H344)-(3.14*I344^2/4-J344*K344))</f>
        <v>94.030699999999996</v>
      </c>
      <c r="N344" s="780"/>
      <c r="P344" s="805"/>
    </row>
    <row r="345" spans="1:16" s="777" customFormat="1">
      <c r="A345" s="959"/>
      <c r="B345" s="850"/>
      <c r="C345" s="850"/>
      <c r="D345" s="888" t="s">
        <v>11781</v>
      </c>
      <c r="E345" s="700">
        <f>I39</f>
        <v>1</v>
      </c>
      <c r="F345" s="828">
        <v>1.86</v>
      </c>
      <c r="G345" s="828">
        <v>1.06</v>
      </c>
      <c r="H345" s="828">
        <v>1.7</v>
      </c>
      <c r="I345" s="828">
        <v>0.3</v>
      </c>
      <c r="J345" s="1303">
        <v>0</v>
      </c>
      <c r="K345" s="1303">
        <v>0</v>
      </c>
      <c r="L345" s="700" t="s">
        <v>21</v>
      </c>
      <c r="M345" s="955">
        <f>E345*(((F345+G345)*H345)-(3.14*I345^2/4-J345*K345))</f>
        <v>4.8933499999999999</v>
      </c>
      <c r="N345" s="780"/>
      <c r="P345" s="805"/>
    </row>
    <row r="346" spans="1:16" s="777" customFormat="1">
      <c r="A346" s="959"/>
      <c r="B346" s="850"/>
      <c r="C346" s="850"/>
      <c r="D346" s="888" t="s">
        <v>11782</v>
      </c>
      <c r="E346" s="700">
        <f>I40</f>
        <v>1</v>
      </c>
      <c r="F346" s="828">
        <v>4.25</v>
      </c>
      <c r="G346" s="828">
        <v>3.5</v>
      </c>
      <c r="H346" s="828">
        <v>0.95</v>
      </c>
      <c r="I346" s="1303">
        <v>0</v>
      </c>
      <c r="J346" s="1303">
        <v>0</v>
      </c>
      <c r="K346" s="1303">
        <v>0</v>
      </c>
      <c r="L346" s="700" t="s">
        <v>21</v>
      </c>
      <c r="M346" s="955">
        <f>E346*(((F346+G346)*H346)-(3.14*I346^2/4-J346*K346))</f>
        <v>7.3624999999999998</v>
      </c>
      <c r="N346" s="780"/>
      <c r="P346" s="805"/>
    </row>
    <row r="347" spans="1:16" s="777" customFormat="1">
      <c r="A347" s="959"/>
      <c r="B347" s="850"/>
      <c r="C347" s="850"/>
      <c r="D347" s="888" t="s">
        <v>11788</v>
      </c>
      <c r="E347" s="700">
        <v>1</v>
      </c>
      <c r="F347" s="828">
        <v>6</v>
      </c>
      <c r="G347" s="828">
        <v>0.9</v>
      </c>
      <c r="H347" s="828">
        <v>0.65</v>
      </c>
      <c r="I347" s="1303">
        <v>0</v>
      </c>
      <c r="J347" s="1303">
        <v>0</v>
      </c>
      <c r="K347" s="1303">
        <v>0</v>
      </c>
      <c r="L347" s="700" t="s">
        <v>21</v>
      </c>
      <c r="M347" s="955">
        <f>E347*(((F347+G347)*H347)-(3.14*I347^2/4-J347*K347))</f>
        <v>4.4850000000000003</v>
      </c>
      <c r="N347" s="780"/>
      <c r="P347" s="805"/>
    </row>
    <row r="348" spans="1:16" s="777" customFormat="1" ht="12" customHeight="1">
      <c r="A348" s="959"/>
      <c r="B348" s="850"/>
      <c r="C348" s="850"/>
      <c r="D348" s="1304"/>
      <c r="E348" s="1305"/>
      <c r="F348" s="1306"/>
      <c r="G348" s="1133"/>
      <c r="H348" s="1133"/>
      <c r="I348" s="1133"/>
      <c r="J348" s="1133"/>
      <c r="K348" s="1133"/>
      <c r="L348" s="1133"/>
      <c r="M348" s="1136"/>
      <c r="N348" s="780"/>
      <c r="P348" s="805"/>
    </row>
    <row r="349" spans="1:16" s="777" customFormat="1">
      <c r="A349" s="959" t="s">
        <v>14221</v>
      </c>
      <c r="B349" s="855" t="s">
        <v>70</v>
      </c>
      <c r="C349" s="855" t="s">
        <v>16604</v>
      </c>
      <c r="D349" s="956" t="str">
        <f>PROPER(IF(B349="Saneago",VLOOKUP(C349,'SANEAGO-FEV.2016'!A:B,2,0),IF(B349="Sinapi",VLOOKUP(C349,'SINAPI-FEV.2017'!A:D,2,0),IF(B349="Cotação",VLOOKUP(C349,COTAÇÃO!A:D,2,0),IF(B349="Composição",VLOOKUP(C349,COMPOSIÇÃO!A:D,2,0))))))</f>
        <v>Impermeabilizacao De Estruturas Enterradas, Com Tinta Asfaltica, Duas Demaos.</v>
      </c>
      <c r="E349" s="1121"/>
      <c r="F349" s="1121"/>
      <c r="G349" s="1122"/>
      <c r="H349" s="1122"/>
      <c r="I349" s="1122"/>
      <c r="J349" s="1122"/>
      <c r="K349" s="1266" t="s">
        <v>27</v>
      </c>
      <c r="L349" s="1249" t="s">
        <v>21</v>
      </c>
      <c r="M349" s="1250">
        <f>SUM(M335:M348)</f>
        <v>437.58905000000004</v>
      </c>
      <c r="N349" s="780"/>
      <c r="P349" s="805"/>
    </row>
    <row r="350" spans="1:16" s="777" customFormat="1" ht="22.5">
      <c r="A350" s="959"/>
      <c r="B350" s="850"/>
      <c r="C350" s="850"/>
      <c r="D350" s="1302"/>
      <c r="E350" s="700"/>
      <c r="F350" s="700"/>
      <c r="G350" s="700"/>
      <c r="H350" s="700"/>
      <c r="I350" s="700" t="s">
        <v>14287</v>
      </c>
      <c r="J350" s="700" t="s">
        <v>14285</v>
      </c>
      <c r="K350" s="700" t="s">
        <v>14286</v>
      </c>
      <c r="L350" s="816" t="s">
        <v>30</v>
      </c>
      <c r="M350" s="879" t="s">
        <v>30</v>
      </c>
      <c r="N350" s="780"/>
      <c r="P350" s="805"/>
    </row>
    <row r="351" spans="1:16" s="777" customFormat="1">
      <c r="A351" s="959"/>
      <c r="B351" s="850"/>
      <c r="C351" s="850"/>
      <c r="D351" s="888"/>
      <c r="E351" s="700"/>
      <c r="F351" s="828"/>
      <c r="G351" s="1307"/>
      <c r="H351" s="1307" t="s">
        <v>11761</v>
      </c>
      <c r="I351" s="828">
        <f>25.55+0.95</f>
        <v>26.5</v>
      </c>
      <c r="J351" s="828">
        <f>56.15+4.4</f>
        <v>60.55</v>
      </c>
      <c r="K351" s="828">
        <v>1.9</v>
      </c>
      <c r="L351" s="700" t="s">
        <v>21</v>
      </c>
      <c r="M351" s="955">
        <f>J351*K351+I351</f>
        <v>141.54499999999999</v>
      </c>
      <c r="N351" s="780"/>
      <c r="P351" s="805"/>
    </row>
    <row r="352" spans="1:16" s="777" customFormat="1">
      <c r="A352" s="959"/>
      <c r="B352" s="850"/>
      <c r="C352" s="850"/>
      <c r="D352" s="888"/>
      <c r="E352" s="700"/>
      <c r="F352" s="828"/>
      <c r="G352" s="1307"/>
      <c r="H352" s="1307" t="s">
        <v>11762</v>
      </c>
      <c r="I352" s="828">
        <f>3.3*2+7.85</f>
        <v>14.45</v>
      </c>
      <c r="J352" s="828">
        <f>12*2+13.45</f>
        <v>37.450000000000003</v>
      </c>
      <c r="K352" s="828">
        <v>1.2</v>
      </c>
      <c r="L352" s="700" t="s">
        <v>21</v>
      </c>
      <c r="M352" s="955">
        <f t="shared" ref="M352:M360" si="40">J352*K352+I352</f>
        <v>59.39</v>
      </c>
      <c r="N352" s="780"/>
      <c r="P352" s="805"/>
    </row>
    <row r="353" spans="1:16" s="777" customFormat="1" ht="15" customHeight="1">
      <c r="A353" s="959"/>
      <c r="B353" s="850"/>
      <c r="C353" s="850"/>
      <c r="D353" s="888"/>
      <c r="E353" s="700"/>
      <c r="F353" s="1303"/>
      <c r="G353" s="1693" t="s">
        <v>14288</v>
      </c>
      <c r="H353" s="1693"/>
      <c r="I353" s="828">
        <f>1.55*2</f>
        <v>3.1</v>
      </c>
      <c r="J353" s="828">
        <f>9.9*2</f>
        <v>19.8</v>
      </c>
      <c r="K353" s="828">
        <v>0.4</v>
      </c>
      <c r="L353" s="700"/>
      <c r="M353" s="955">
        <f t="shared" si="40"/>
        <v>11.020000000000001</v>
      </c>
      <c r="N353" s="780"/>
      <c r="P353" s="805"/>
    </row>
    <row r="354" spans="1:16" s="777" customFormat="1" ht="15" customHeight="1">
      <c r="A354" s="959"/>
      <c r="B354" s="850"/>
      <c r="C354" s="850"/>
      <c r="D354" s="888"/>
      <c r="E354" s="700"/>
      <c r="F354" s="828"/>
      <c r="G354" s="1693" t="s">
        <v>14289</v>
      </c>
      <c r="H354" s="1693"/>
      <c r="I354" s="828">
        <v>77.11</v>
      </c>
      <c r="J354" s="828">
        <v>57.85</v>
      </c>
      <c r="K354" s="828">
        <v>3.6</v>
      </c>
      <c r="L354" s="700" t="s">
        <v>21</v>
      </c>
      <c r="M354" s="955">
        <f t="shared" si="40"/>
        <v>285.37</v>
      </c>
      <c r="N354" s="780"/>
      <c r="P354" s="805"/>
    </row>
    <row r="355" spans="1:16" s="777" customFormat="1" ht="12.75" customHeight="1">
      <c r="A355" s="959"/>
      <c r="B355" s="850"/>
      <c r="C355" s="850"/>
      <c r="D355" s="888"/>
      <c r="E355" s="700"/>
      <c r="F355" s="828"/>
      <c r="G355" s="1693" t="s">
        <v>14290</v>
      </c>
      <c r="H355" s="1693"/>
      <c r="I355" s="828">
        <v>7.05</v>
      </c>
      <c r="J355" s="828">
        <v>21.5</v>
      </c>
      <c r="K355" s="828">
        <v>0.4</v>
      </c>
      <c r="L355" s="700" t="s">
        <v>21</v>
      </c>
      <c r="M355" s="955">
        <f t="shared" si="40"/>
        <v>15.649999999999999</v>
      </c>
      <c r="N355" s="780"/>
      <c r="P355" s="805"/>
    </row>
    <row r="356" spans="1:16" s="777" customFormat="1" ht="14.25" customHeight="1">
      <c r="A356" s="959"/>
      <c r="B356" s="850"/>
      <c r="C356" s="850"/>
      <c r="D356" s="888"/>
      <c r="E356" s="700"/>
      <c r="F356" s="828"/>
      <c r="G356" s="1307"/>
      <c r="H356" s="1307" t="s">
        <v>11778</v>
      </c>
      <c r="I356" s="828">
        <v>8.6999999999999993</v>
      </c>
      <c r="J356" s="828">
        <v>15.21</v>
      </c>
      <c r="K356" s="828">
        <v>2.15</v>
      </c>
      <c r="L356" s="700" t="s">
        <v>21</v>
      </c>
      <c r="M356" s="955">
        <f t="shared" si="40"/>
        <v>41.401499999999999</v>
      </c>
      <c r="N356" s="780"/>
      <c r="P356" s="805"/>
    </row>
    <row r="357" spans="1:16" s="777" customFormat="1">
      <c r="A357" s="959"/>
      <c r="B357" s="850"/>
      <c r="C357" s="850"/>
      <c r="D357" s="888"/>
      <c r="E357" s="700"/>
      <c r="F357" s="828"/>
      <c r="G357" s="1307"/>
      <c r="H357" s="1307" t="s">
        <v>11779</v>
      </c>
      <c r="I357" s="828">
        <v>8.1999999999999993</v>
      </c>
      <c r="J357" s="828">
        <v>14.5</v>
      </c>
      <c r="K357" s="828">
        <v>1.75</v>
      </c>
      <c r="L357" s="700" t="s">
        <v>21</v>
      </c>
      <c r="M357" s="955">
        <f t="shared" si="40"/>
        <v>33.575000000000003</v>
      </c>
      <c r="N357" s="780"/>
      <c r="P357" s="805"/>
    </row>
    <row r="358" spans="1:16" s="777" customFormat="1">
      <c r="A358" s="959"/>
      <c r="B358" s="850"/>
      <c r="C358" s="850"/>
      <c r="D358" s="888"/>
      <c r="E358" s="700"/>
      <c r="F358" s="828"/>
      <c r="G358" s="1303"/>
      <c r="H358" s="1307" t="s">
        <v>11765</v>
      </c>
      <c r="I358" s="828">
        <f>7.45*2+3.36*2+3.56</f>
        <v>25.18</v>
      </c>
      <c r="J358" s="828">
        <f>10.5+13.85*2+12.4*2</f>
        <v>63</v>
      </c>
      <c r="K358" s="828">
        <v>3.8</v>
      </c>
      <c r="L358" s="700" t="s">
        <v>21</v>
      </c>
      <c r="M358" s="955">
        <f t="shared" si="40"/>
        <v>264.58</v>
      </c>
      <c r="N358" s="780"/>
      <c r="P358" s="805"/>
    </row>
    <row r="359" spans="1:16" s="777" customFormat="1" ht="15" customHeight="1">
      <c r="A359" s="959"/>
      <c r="B359" s="850"/>
      <c r="C359" s="850"/>
      <c r="D359" s="888"/>
      <c r="E359" s="700"/>
      <c r="F359" s="828"/>
      <c r="G359" s="1692" t="s">
        <v>14291</v>
      </c>
      <c r="H359" s="1692"/>
      <c r="I359" s="1303">
        <v>0.95</v>
      </c>
      <c r="J359" s="1303">
        <v>4.25</v>
      </c>
      <c r="K359" s="1303">
        <v>1.75</v>
      </c>
      <c r="L359" s="700" t="s">
        <v>21</v>
      </c>
      <c r="M359" s="955">
        <f t="shared" si="40"/>
        <v>8.3874999999999993</v>
      </c>
      <c r="N359" s="780"/>
      <c r="P359" s="805"/>
    </row>
    <row r="360" spans="1:16" s="777" customFormat="1" ht="12.75" customHeight="1">
      <c r="A360" s="959"/>
      <c r="B360" s="850"/>
      <c r="C360" s="850"/>
      <c r="D360" s="888"/>
      <c r="E360" s="700"/>
      <c r="F360" s="828"/>
      <c r="G360" s="1692" t="s">
        <v>11780</v>
      </c>
      <c r="H360" s="1692"/>
      <c r="I360" s="828">
        <f>11.95-I359</f>
        <v>11</v>
      </c>
      <c r="J360" s="1303">
        <f>13.9</f>
        <v>13.9</v>
      </c>
      <c r="K360" s="1303">
        <v>0.75</v>
      </c>
      <c r="L360" s="700" t="s">
        <v>21</v>
      </c>
      <c r="M360" s="955">
        <f t="shared" si="40"/>
        <v>21.425000000000001</v>
      </c>
      <c r="N360" s="780"/>
      <c r="P360" s="805"/>
    </row>
    <row r="361" spans="1:16" s="777" customFormat="1">
      <c r="A361" s="959"/>
      <c r="B361" s="850"/>
      <c r="C361" s="850"/>
      <c r="D361" s="1304"/>
      <c r="E361" s="1305"/>
      <c r="F361" s="1306"/>
      <c r="G361" s="1133"/>
      <c r="H361" s="1133"/>
      <c r="I361" s="1133"/>
      <c r="J361" s="1133"/>
      <c r="K361" s="1133"/>
      <c r="L361" s="1133"/>
      <c r="M361" s="1136"/>
      <c r="N361" s="780"/>
      <c r="P361" s="805"/>
    </row>
    <row r="362" spans="1:16" s="777" customFormat="1" ht="15.75" customHeight="1">
      <c r="A362" s="959" t="s">
        <v>14284</v>
      </c>
      <c r="B362" s="850" t="s">
        <v>11644</v>
      </c>
      <c r="C362" s="1142" t="s">
        <v>16608</v>
      </c>
      <c r="D362" s="956" t="str">
        <f>PROPER(IF(B362="Saneago",VLOOKUP(C362,'SANEAGO-FEV.2016'!A:B,2,0),IF(B362="Sinapi",VLOOKUP(C362,'SINAPI-FEV.2017'!A:D,2,0),IF(B362="Cotação",VLOOKUP(C362,COTAÇÃO!A:D,2,0),IF(B362="Composição",VLOOKUP(C362,COMPOSIÇÃO!A:D,2,0))))))</f>
        <v>Impermeabilizacao Com Pintura A Base De Resina Epoxi Alcatrao, Duas Demaos.</v>
      </c>
      <c r="E362" s="1121"/>
      <c r="F362" s="1121"/>
      <c r="G362" s="1122"/>
      <c r="H362" s="1122"/>
      <c r="I362" s="1122"/>
      <c r="J362" s="1122"/>
      <c r="K362" s="1266" t="s">
        <v>27</v>
      </c>
      <c r="L362" s="1249" t="s">
        <v>21</v>
      </c>
      <c r="M362" s="1250">
        <f>SUM(M351:M361)</f>
        <v>882.34400000000005</v>
      </c>
      <c r="N362" s="780"/>
      <c r="P362" s="805"/>
    </row>
    <row r="363" spans="1:16" s="777" customFormat="1" ht="33.75">
      <c r="A363" s="959"/>
      <c r="B363" s="850"/>
      <c r="C363" s="850"/>
      <c r="D363" s="1302"/>
      <c r="E363" s="700" t="s">
        <v>1275</v>
      </c>
      <c r="F363" s="700" t="s">
        <v>14292</v>
      </c>
      <c r="G363" s="700" t="s">
        <v>14293</v>
      </c>
      <c r="H363" s="700" t="s">
        <v>11812</v>
      </c>
      <c r="I363" s="700" t="s">
        <v>19</v>
      </c>
      <c r="J363" s="700" t="s">
        <v>30</v>
      </c>
      <c r="K363" s="700" t="s">
        <v>30</v>
      </c>
      <c r="L363" s="816" t="s">
        <v>30</v>
      </c>
      <c r="M363" s="879" t="s">
        <v>30</v>
      </c>
      <c r="N363" s="780"/>
      <c r="P363" s="805"/>
    </row>
    <row r="364" spans="1:16" s="777" customFormat="1">
      <c r="A364" s="959"/>
      <c r="B364" s="850"/>
      <c r="C364" s="850"/>
      <c r="D364" s="888" t="s">
        <v>11802</v>
      </c>
      <c r="E364" s="700">
        <v>1</v>
      </c>
      <c r="F364" s="828">
        <v>2.04</v>
      </c>
      <c r="G364" s="828">
        <v>1.1000000000000001</v>
      </c>
      <c r="H364" s="1303">
        <v>0</v>
      </c>
      <c r="I364" s="1303">
        <v>0</v>
      </c>
      <c r="J364" s="828"/>
      <c r="K364" s="828"/>
      <c r="L364" s="700" t="s">
        <v>22</v>
      </c>
      <c r="M364" s="877">
        <f>E364*(F364*G364)</f>
        <v>2.2440000000000002</v>
      </c>
      <c r="N364" s="780"/>
      <c r="P364" s="805"/>
    </row>
    <row r="365" spans="1:16" s="777" customFormat="1">
      <c r="A365" s="959"/>
      <c r="B365" s="850"/>
      <c r="C365" s="850"/>
      <c r="D365" s="888" t="s">
        <v>11803</v>
      </c>
      <c r="E365" s="700">
        <v>1</v>
      </c>
      <c r="F365" s="828">
        <f>15.32*1.8-10.88*0.2</f>
        <v>25.4</v>
      </c>
      <c r="G365" s="828">
        <v>0.2</v>
      </c>
      <c r="H365" s="1303">
        <v>0</v>
      </c>
      <c r="I365" s="1303">
        <v>0</v>
      </c>
      <c r="J365" s="828"/>
      <c r="K365" s="828"/>
      <c r="L365" s="700" t="s">
        <v>22</v>
      </c>
      <c r="M365" s="877">
        <f>E365*(F365*G365)</f>
        <v>5.08</v>
      </c>
      <c r="N365" s="780"/>
      <c r="P365" s="805"/>
    </row>
    <row r="366" spans="1:16" s="777" customFormat="1">
      <c r="A366" s="959"/>
      <c r="B366" s="850"/>
      <c r="C366" s="850"/>
      <c r="D366" s="888" t="s">
        <v>11807</v>
      </c>
      <c r="E366" s="700">
        <v>1</v>
      </c>
      <c r="F366" s="828">
        <f>0.96</f>
        <v>0.96</v>
      </c>
      <c r="G366" s="828">
        <v>0.2</v>
      </c>
      <c r="H366" s="1303">
        <v>0</v>
      </c>
      <c r="I366" s="1303">
        <v>0</v>
      </c>
      <c r="J366" s="828"/>
      <c r="K366" s="828"/>
      <c r="L366" s="700" t="s">
        <v>22</v>
      </c>
      <c r="M366" s="877">
        <f>E366*(F366*G366)</f>
        <v>0.192</v>
      </c>
      <c r="N366" s="780"/>
      <c r="P366" s="805"/>
    </row>
    <row r="367" spans="1:16" s="777" customFormat="1">
      <c r="A367" s="959"/>
      <c r="B367" s="850"/>
      <c r="C367" s="850"/>
      <c r="D367" s="888" t="s">
        <v>11810</v>
      </c>
      <c r="E367" s="700">
        <v>2</v>
      </c>
      <c r="F367" s="828">
        <v>3.31</v>
      </c>
      <c r="G367" s="828">
        <v>0.15</v>
      </c>
      <c r="H367" s="1303">
        <v>0</v>
      </c>
      <c r="I367" s="1303">
        <v>0</v>
      </c>
      <c r="J367" s="828"/>
      <c r="K367" s="828"/>
      <c r="L367" s="700" t="s">
        <v>22</v>
      </c>
      <c r="M367" s="877">
        <f>E367*(F367*G367)</f>
        <v>0.99299999999999999</v>
      </c>
      <c r="N367" s="780"/>
      <c r="P367" s="805"/>
    </row>
    <row r="368" spans="1:16" s="777" customFormat="1">
      <c r="A368" s="959"/>
      <c r="B368" s="850"/>
      <c r="C368" s="850"/>
      <c r="D368" s="888" t="s">
        <v>11809</v>
      </c>
      <c r="E368" s="700">
        <v>1</v>
      </c>
      <c r="F368" s="828">
        <f>0.35+2.87</f>
        <v>3.22</v>
      </c>
      <c r="G368" s="828">
        <v>0.5</v>
      </c>
      <c r="H368" s="1303">
        <v>0</v>
      </c>
      <c r="I368" s="1303">
        <v>0</v>
      </c>
      <c r="J368" s="828"/>
      <c r="K368" s="828"/>
      <c r="L368" s="700" t="s">
        <v>22</v>
      </c>
      <c r="M368" s="877">
        <f>E368*(F368*G368)</f>
        <v>1.61</v>
      </c>
      <c r="N368" s="780"/>
      <c r="P368" s="805"/>
    </row>
    <row r="369" spans="1:16" s="777" customFormat="1">
      <c r="A369" s="959"/>
      <c r="B369" s="850"/>
      <c r="C369" s="850"/>
      <c r="D369" s="888" t="s">
        <v>11763</v>
      </c>
      <c r="E369" s="700">
        <v>2</v>
      </c>
      <c r="F369" s="1303">
        <v>0</v>
      </c>
      <c r="G369" s="1303">
        <v>0</v>
      </c>
      <c r="H369" s="828">
        <f>2*1.8</f>
        <v>3.6</v>
      </c>
      <c r="I369" s="828">
        <v>9.8000000000000007</v>
      </c>
      <c r="J369" s="828"/>
      <c r="K369" s="828"/>
      <c r="L369" s="700" t="s">
        <v>22</v>
      </c>
      <c r="M369" s="877">
        <f>E369*(H369*I369)</f>
        <v>70.56</v>
      </c>
      <c r="N369" s="780"/>
      <c r="P369" s="805"/>
    </row>
    <row r="370" spans="1:16" s="777" customFormat="1">
      <c r="A370" s="959"/>
      <c r="B370" s="850"/>
      <c r="C370" s="850"/>
      <c r="D370" s="888" t="s">
        <v>11763</v>
      </c>
      <c r="E370" s="700">
        <v>2</v>
      </c>
      <c r="F370" s="1303">
        <v>0</v>
      </c>
      <c r="G370" s="1303">
        <v>0</v>
      </c>
      <c r="H370" s="828">
        <f>2*1.15</f>
        <v>2.2999999999999998</v>
      </c>
      <c r="I370" s="828">
        <v>3.5</v>
      </c>
      <c r="J370" s="828"/>
      <c r="K370" s="828"/>
      <c r="L370" s="700" t="s">
        <v>22</v>
      </c>
      <c r="M370" s="877">
        <f>E370*(H370*I370)</f>
        <v>16.099999999999998</v>
      </c>
      <c r="N370" s="780"/>
      <c r="P370" s="805"/>
    </row>
    <row r="371" spans="1:16" s="777" customFormat="1">
      <c r="A371" s="959"/>
      <c r="B371" s="850"/>
      <c r="C371" s="850"/>
      <c r="D371" s="888" t="s">
        <v>11778</v>
      </c>
      <c r="E371" s="700">
        <v>1</v>
      </c>
      <c r="F371" s="828">
        <v>1.6</v>
      </c>
      <c r="G371" s="828">
        <v>1.65</v>
      </c>
      <c r="H371" s="828">
        <v>6.8</v>
      </c>
      <c r="I371" s="828">
        <v>0.1</v>
      </c>
      <c r="J371" s="828"/>
      <c r="K371" s="828"/>
      <c r="L371" s="700" t="s">
        <v>22</v>
      </c>
      <c r="M371" s="877">
        <f>E371*(F371*G371+H371*I371)</f>
        <v>3.3200000000000003</v>
      </c>
      <c r="N371" s="780"/>
      <c r="P371" s="805"/>
    </row>
    <row r="372" spans="1:16" s="777" customFormat="1">
      <c r="A372" s="959"/>
      <c r="B372" s="850"/>
      <c r="C372" s="850"/>
      <c r="D372" s="888" t="s">
        <v>11779</v>
      </c>
      <c r="E372" s="700">
        <v>1</v>
      </c>
      <c r="F372" s="828">
        <v>3.51</v>
      </c>
      <c r="G372" s="828">
        <v>1.85</v>
      </c>
      <c r="H372" s="828">
        <v>4.6500000000000004</v>
      </c>
      <c r="I372" s="828">
        <v>0.4</v>
      </c>
      <c r="J372" s="828"/>
      <c r="K372" s="828"/>
      <c r="L372" s="700" t="s">
        <v>22</v>
      </c>
      <c r="M372" s="877">
        <f>E372*(F372*G372+H372*I372)</f>
        <v>8.3535000000000004</v>
      </c>
      <c r="N372" s="780"/>
      <c r="P372" s="805"/>
    </row>
    <row r="373" spans="1:16" s="777" customFormat="1">
      <c r="A373" s="959"/>
      <c r="B373" s="850"/>
      <c r="C373" s="850"/>
      <c r="D373" s="888" t="s">
        <v>11765</v>
      </c>
      <c r="E373" s="700">
        <v>1</v>
      </c>
      <c r="F373" s="1303">
        <v>0</v>
      </c>
      <c r="G373" s="1303">
        <v>0</v>
      </c>
      <c r="H373" s="828">
        <v>0.36</v>
      </c>
      <c r="I373" s="828">
        <v>5.6</v>
      </c>
      <c r="J373" s="828"/>
      <c r="K373" s="828"/>
      <c r="L373" s="700" t="s">
        <v>22</v>
      </c>
      <c r="M373" s="877">
        <f>E373*(F373*G373+H373*I373)</f>
        <v>2.016</v>
      </c>
      <c r="N373" s="780"/>
      <c r="P373" s="805"/>
    </row>
    <row r="374" spans="1:16" s="777" customFormat="1" ht="6" customHeight="1">
      <c r="A374" s="959"/>
      <c r="B374" s="850"/>
      <c r="C374" s="850"/>
      <c r="D374" s="1119"/>
      <c r="E374" s="1079"/>
      <c r="F374" s="1079"/>
      <c r="G374" s="780"/>
      <c r="H374" s="780"/>
      <c r="I374" s="780"/>
      <c r="J374" s="780"/>
      <c r="K374" s="780"/>
      <c r="L374" s="780"/>
      <c r="M374" s="1128"/>
      <c r="N374" s="780"/>
      <c r="P374" s="805"/>
    </row>
    <row r="375" spans="1:16" s="777" customFormat="1" ht="24" customHeight="1">
      <c r="A375" s="959" t="s">
        <v>14222</v>
      </c>
      <c r="B375" s="850" t="s">
        <v>11644</v>
      </c>
      <c r="C375" s="850">
        <v>87372</v>
      </c>
      <c r="D375" s="956" t="str">
        <f>PROPER(IF(B375="Saneago",VLOOKUP(C375,'SANEAGO-FEV.2016'!A:B,2,0),IF(B375="Sinapi",VLOOKUP(C375,'SINAPI-FEV.2017'!A:D,2,0),IF(B375="Cotação",VLOOKUP(C375,COTAÇÃO!A:D,2,0),IF(B375="Composição",VLOOKUP(C375,COMPOSIÇÃO!A:D,2,0))))))</f>
        <v>Argamassa Traço 1:3 (Cimento E Areia Média) Para Contrapiso, Preparo Manual. Af_06/2014</v>
      </c>
      <c r="E375" s="1121"/>
      <c r="F375" s="1121"/>
      <c r="G375" s="1122"/>
      <c r="H375" s="1122"/>
      <c r="I375" s="1122"/>
      <c r="J375" s="1122"/>
      <c r="K375" s="1266" t="s">
        <v>27</v>
      </c>
      <c r="L375" s="1249" t="s">
        <v>22</v>
      </c>
      <c r="M375" s="1250">
        <f>SUM(M364:M374)</f>
        <v>110.46849999999999</v>
      </c>
      <c r="N375" s="780"/>
      <c r="P375" s="805"/>
    </row>
    <row r="376" spans="1:16" s="777" customFormat="1" ht="18.75" customHeight="1" thickBot="1">
      <c r="A376" s="959"/>
      <c r="B376" s="850"/>
      <c r="C376" s="850"/>
      <c r="D376" s="1119"/>
      <c r="E376" s="1079"/>
      <c r="F376" s="1079"/>
      <c r="G376" s="780"/>
      <c r="H376" s="780"/>
      <c r="I376" s="780"/>
      <c r="J376" s="1133"/>
      <c r="K376" s="1133"/>
      <c r="L376" s="1133"/>
      <c r="M376" s="1139"/>
      <c r="N376" s="780"/>
      <c r="P376" s="805"/>
    </row>
    <row r="377" spans="1:16" s="777" customFormat="1" ht="13.5" customHeight="1" thickTop="1" thickBot="1">
      <c r="A377" s="959"/>
      <c r="B377" s="850"/>
      <c r="C377" s="850"/>
      <c r="D377" s="830" t="s">
        <v>11818</v>
      </c>
      <c r="E377" s="831"/>
      <c r="F377" s="831"/>
      <c r="G377" s="831"/>
      <c r="H377" s="831"/>
      <c r="I377" s="831"/>
      <c r="J377" s="831"/>
      <c r="K377" s="831"/>
      <c r="L377" s="832" t="s">
        <v>25</v>
      </c>
      <c r="M377" s="833" t="s">
        <v>27</v>
      </c>
      <c r="N377" s="780"/>
      <c r="P377" s="805"/>
    </row>
    <row r="378" spans="1:16" s="777" customFormat="1" ht="29.25" customHeight="1" thickTop="1">
      <c r="A378" s="959"/>
      <c r="B378" s="850"/>
      <c r="C378" s="850"/>
      <c r="D378" s="1308" t="s">
        <v>11685</v>
      </c>
      <c r="E378" s="1309"/>
      <c r="F378" s="1309"/>
      <c r="G378" s="1246" t="s">
        <v>11686</v>
      </c>
      <c r="H378" s="780" t="s">
        <v>30</v>
      </c>
      <c r="I378" s="780" t="s">
        <v>1275</v>
      </c>
      <c r="J378" s="780" t="s">
        <v>17</v>
      </c>
      <c r="K378" s="780" t="s">
        <v>19</v>
      </c>
      <c r="L378" s="780"/>
      <c r="M378" s="1244" t="s">
        <v>20</v>
      </c>
      <c r="N378" s="780"/>
      <c r="P378" s="805"/>
    </row>
    <row r="379" spans="1:16" s="777" customFormat="1" ht="13.5" customHeight="1">
      <c r="A379" s="959"/>
      <c r="B379" s="850"/>
      <c r="C379" s="850"/>
      <c r="D379" s="1119"/>
      <c r="E379" s="1079"/>
      <c r="F379" s="1310"/>
      <c r="G379" s="1246" t="s">
        <v>11790</v>
      </c>
      <c r="H379" s="907"/>
      <c r="I379" s="907">
        <v>2</v>
      </c>
      <c r="J379" s="828">
        <v>11</v>
      </c>
      <c r="K379" s="828">
        <v>8.8000000000000007</v>
      </c>
      <c r="L379" s="780" t="s">
        <v>21</v>
      </c>
      <c r="M379" s="1139">
        <f>K379*J379*I379</f>
        <v>193.60000000000002</v>
      </c>
      <c r="N379" s="780"/>
      <c r="P379" s="805"/>
    </row>
    <row r="380" spans="1:16" s="777" customFormat="1" ht="13.5" customHeight="1">
      <c r="A380" s="959"/>
      <c r="B380" s="850"/>
      <c r="C380" s="850"/>
      <c r="D380" s="1119"/>
      <c r="E380" s="1079"/>
      <c r="F380" s="1079"/>
      <c r="G380" s="1246" t="s">
        <v>11789</v>
      </c>
      <c r="H380" s="907"/>
      <c r="I380" s="907">
        <v>1</v>
      </c>
      <c r="J380" s="828">
        <v>4</v>
      </c>
      <c r="K380" s="828">
        <v>2</v>
      </c>
      <c r="L380" s="780" t="s">
        <v>21</v>
      </c>
      <c r="M380" s="1139">
        <f>K380*J380*I380</f>
        <v>8</v>
      </c>
      <c r="N380" s="780"/>
      <c r="P380" s="805"/>
    </row>
    <row r="381" spans="1:16" s="777" customFormat="1">
      <c r="A381" s="959"/>
      <c r="B381" s="850"/>
      <c r="C381" s="850"/>
      <c r="D381" s="1119"/>
      <c r="E381" s="1079"/>
      <c r="F381" s="1079"/>
      <c r="G381" s="1311"/>
      <c r="H381" s="1133"/>
      <c r="I381" s="1133"/>
      <c r="J381" s="1133"/>
      <c r="K381" s="1312" t="s">
        <v>27</v>
      </c>
      <c r="L381" s="1312" t="s">
        <v>21</v>
      </c>
      <c r="M381" s="1313">
        <f>SUM(M379:M380)</f>
        <v>201.60000000000002</v>
      </c>
      <c r="N381" s="780"/>
      <c r="P381" s="805"/>
    </row>
    <row r="382" spans="1:16" s="777" customFormat="1">
      <c r="A382" s="1143"/>
      <c r="B382" s="1143"/>
      <c r="C382" s="1143"/>
      <c r="D382" s="1252"/>
      <c r="E382" s="1253"/>
      <c r="F382" s="1253"/>
      <c r="G382" s="1254" t="s">
        <v>30</v>
      </c>
      <c r="H382" s="1254" t="s">
        <v>30</v>
      </c>
      <c r="I382" s="1254" t="s">
        <v>30</v>
      </c>
      <c r="J382" s="1254" t="s">
        <v>30</v>
      </c>
      <c r="K382" s="1254" t="s">
        <v>30</v>
      </c>
      <c r="L382" s="1254"/>
      <c r="M382" s="1314"/>
      <c r="N382" s="780"/>
      <c r="P382" s="805"/>
    </row>
    <row r="383" spans="1:16" s="777" customFormat="1" ht="22.5">
      <c r="A383" s="959" t="s">
        <v>14303</v>
      </c>
      <c r="B383" s="855" t="s">
        <v>70</v>
      </c>
      <c r="C383" s="855" t="s">
        <v>18613</v>
      </c>
      <c r="D383" s="956" t="str">
        <f>PROPER(IF(B383="Saneago",VLOOKUP(C383,'SANEAGO-FEV.2016'!A:B,2,0),IF(B383="Sinapi",VLOOKUP(C383,'SINAPI-FEV.2017'!A:D,2,0),IF(B383="Cotação",VLOOKUP(C383,COTAÇÃO!A:D,2,0),IF(B383="Composição",VLOOKUP(C383,COMPOSIÇÃO!A:D,2,0))))))</f>
        <v>Piso Cimentado Traco 1:3 (Cimento E Areia), Com Acabamento Rustico E Frisado Espessura 2Cm, Preparo Manual</v>
      </c>
      <c r="E383" s="1121"/>
      <c r="F383" s="1121"/>
      <c r="G383" s="1122"/>
      <c r="H383" s="1122"/>
      <c r="I383" s="1122"/>
      <c r="J383" s="1122"/>
      <c r="K383" s="1122"/>
      <c r="L383" s="1245" t="s">
        <v>21</v>
      </c>
      <c r="M383" s="1140">
        <f>M381</f>
        <v>201.60000000000002</v>
      </c>
      <c r="N383" s="780"/>
      <c r="P383" s="805"/>
    </row>
    <row r="384" spans="1:16" s="777" customFormat="1">
      <c r="A384" s="959"/>
      <c r="B384" s="850"/>
      <c r="C384" s="850"/>
      <c r="D384" s="1119"/>
      <c r="E384" s="1079"/>
      <c r="F384" s="1079"/>
      <c r="G384" s="780" t="s">
        <v>30</v>
      </c>
      <c r="H384" s="780" t="s">
        <v>30</v>
      </c>
      <c r="I384" s="780" t="s">
        <v>30</v>
      </c>
      <c r="J384" s="780" t="s">
        <v>20358</v>
      </c>
      <c r="K384" s="780" t="s">
        <v>36</v>
      </c>
      <c r="L384" s="780"/>
      <c r="M384" s="1244"/>
      <c r="N384" s="780"/>
      <c r="P384" s="805"/>
    </row>
    <row r="385" spans="1:18" s="834" customFormat="1" ht="22.5">
      <c r="A385" s="959" t="s">
        <v>14304</v>
      </c>
      <c r="B385" s="855" t="s">
        <v>70</v>
      </c>
      <c r="C385" s="850">
        <v>94990</v>
      </c>
      <c r="D385" s="956" t="str">
        <f>PROPER(IF(B385="Saneago",VLOOKUP(C385,'SANEAGO-FEV.2016'!A:B,2,0),IF(B385="Sinapi",VLOOKUP(C385,'SINAPI-FEV.2017'!A:D,2,0),IF(B385="Cotação",VLOOKUP(C385,COTAÇÃO!A:D,2,0),IF(B385="Composição",VLOOKUP(C385,COMPOSIÇÃO!A:D,2,0))))))</f>
        <v>Execução De Passeio (Calçada) Ou Piso De Concreto Com Concreto Moldado In Loco, Feito Em Obra, Acabamento Convencional, Não Armado. Af_07/2016</v>
      </c>
      <c r="E385" s="1121"/>
      <c r="F385" s="1121"/>
      <c r="G385" s="1122"/>
      <c r="H385" s="1122"/>
      <c r="I385" s="1122"/>
      <c r="J385" s="1122">
        <f>M383</f>
        <v>201.60000000000002</v>
      </c>
      <c r="K385" s="1122">
        <v>0.05</v>
      </c>
      <c r="L385" s="1245" t="s">
        <v>22</v>
      </c>
      <c r="M385" s="1140">
        <f>J385*K385</f>
        <v>10.080000000000002</v>
      </c>
      <c r="N385" s="780"/>
      <c r="O385" s="777"/>
      <c r="P385" s="805"/>
      <c r="Q385" s="777"/>
      <c r="R385" s="777"/>
    </row>
    <row r="386" spans="1:18" s="834" customFormat="1" ht="13.5" thickBot="1">
      <c r="A386" s="1261"/>
      <c r="B386" s="1262"/>
      <c r="C386" s="1262"/>
      <c r="D386" s="1119"/>
      <c r="E386" s="1079"/>
      <c r="F386" s="1079"/>
      <c r="G386" s="780"/>
      <c r="H386" s="780"/>
      <c r="I386" s="780"/>
      <c r="J386" s="1133"/>
      <c r="K386" s="1133"/>
      <c r="L386" s="1133"/>
      <c r="M386" s="1139"/>
      <c r="N386" s="780"/>
      <c r="O386" s="777"/>
      <c r="P386" s="805"/>
      <c r="Q386" s="777"/>
      <c r="R386" s="777"/>
    </row>
    <row r="387" spans="1:18" s="834" customFormat="1" ht="14.25" thickTop="1" thickBot="1">
      <c r="A387" s="1261"/>
      <c r="B387" s="1262"/>
      <c r="C387" s="1262"/>
      <c r="D387" s="830" t="s">
        <v>59</v>
      </c>
      <c r="E387" s="831"/>
      <c r="F387" s="831"/>
      <c r="G387" s="831"/>
      <c r="H387" s="831"/>
      <c r="I387" s="831"/>
      <c r="J387" s="831"/>
      <c r="K387" s="831"/>
      <c r="L387" s="832" t="s">
        <v>25</v>
      </c>
      <c r="M387" s="833" t="s">
        <v>27</v>
      </c>
      <c r="N387" s="780"/>
      <c r="O387" s="777"/>
      <c r="P387" s="805"/>
      <c r="Q387" s="777"/>
      <c r="R387" s="777"/>
    </row>
    <row r="388" spans="1:18" s="834" customFormat="1" ht="13.5" thickTop="1">
      <c r="A388" s="1261"/>
      <c r="B388" s="1262"/>
      <c r="C388" s="1262"/>
      <c r="D388" s="1119"/>
      <c r="E388" s="1079"/>
      <c r="F388" s="1079"/>
      <c r="G388" s="1133" t="s">
        <v>30</v>
      </c>
      <c r="H388" s="1133" t="s">
        <v>30</v>
      </c>
      <c r="I388" s="1133" t="s">
        <v>1275</v>
      </c>
      <c r="J388" s="1133" t="s">
        <v>17</v>
      </c>
      <c r="K388" s="1133" t="s">
        <v>19</v>
      </c>
      <c r="L388" s="1133"/>
      <c r="M388" s="1139"/>
      <c r="N388" s="780"/>
      <c r="O388" s="777"/>
      <c r="P388" s="805"/>
      <c r="Q388" s="777"/>
      <c r="R388" s="777"/>
    </row>
    <row r="389" spans="1:18" s="834" customFormat="1">
      <c r="A389" s="959"/>
      <c r="B389" s="850"/>
      <c r="C389" s="850"/>
      <c r="D389" s="1119"/>
      <c r="E389" s="1079"/>
      <c r="F389" s="1079"/>
      <c r="G389" s="1699" t="s">
        <v>11790</v>
      </c>
      <c r="H389" s="1699"/>
      <c r="I389" s="1120">
        <v>2</v>
      </c>
      <c r="J389" s="1133">
        <v>10.6</v>
      </c>
      <c r="K389" s="1133">
        <v>12.8</v>
      </c>
      <c r="L389" s="1133" t="s">
        <v>21</v>
      </c>
      <c r="M389" s="1139">
        <f>K389*J389*I389</f>
        <v>271.36</v>
      </c>
      <c r="N389" s="780"/>
      <c r="O389" s="777"/>
      <c r="P389" s="805"/>
      <c r="Q389" s="777"/>
      <c r="R389" s="777"/>
    </row>
    <row r="390" spans="1:18" s="834" customFormat="1">
      <c r="A390" s="1261"/>
      <c r="B390" s="1262"/>
      <c r="C390" s="1262"/>
      <c r="D390" s="1119"/>
      <c r="E390" s="1079"/>
      <c r="F390" s="1079"/>
      <c r="G390" s="1699" t="s">
        <v>11789</v>
      </c>
      <c r="H390" s="1699"/>
      <c r="I390" s="1120">
        <v>1</v>
      </c>
      <c r="J390" s="1133">
        <v>6</v>
      </c>
      <c r="K390" s="1133">
        <v>4</v>
      </c>
      <c r="L390" s="1133" t="s">
        <v>21</v>
      </c>
      <c r="M390" s="1139">
        <f>K390*J390*I390</f>
        <v>24</v>
      </c>
      <c r="N390" s="780"/>
      <c r="O390" s="777"/>
      <c r="P390" s="805"/>
      <c r="Q390" s="777"/>
      <c r="R390" s="777"/>
    </row>
    <row r="391" spans="1:18" s="834" customFormat="1" ht="24" customHeight="1">
      <c r="A391" s="1315" t="s">
        <v>14223</v>
      </c>
      <c r="B391" s="1262" t="s">
        <v>11644</v>
      </c>
      <c r="C391" s="1262">
        <v>94216</v>
      </c>
      <c r="D391" s="956" t="str">
        <f>PROPER(IF(B391="Saneago",VLOOKUP(C391,'SANEAGO-FEV.2016'!A:B,2,0),IF(B391="Sinapi",VLOOKUP(C391,'SINAPI-FEV.2017'!A:D,2,0),IF(B391="Cotação",VLOOKUP(C391,COTAÇÃO!A:D,2,0),IF(B391="Composição",VLOOKUP(C391,COMPOSIÇÃO!A:D,2,0))))))</f>
        <v>Telhamento Com Telha Metálica Termoacústica E = 30 Mm, Com Até 2 Águas, Incluso Içamento. Af_06/2016</v>
      </c>
      <c r="E391" s="1121"/>
      <c r="F391" s="1121"/>
      <c r="G391" s="1122"/>
      <c r="H391" s="1316"/>
      <c r="I391" s="1316"/>
      <c r="J391" s="1317"/>
      <c r="K391" s="1266" t="s">
        <v>27</v>
      </c>
      <c r="L391" s="1266" t="s">
        <v>21</v>
      </c>
      <c r="M391" s="1250">
        <f>SUM(M389:M390)</f>
        <v>295.36</v>
      </c>
      <c r="N391" s="780"/>
      <c r="O391" s="777"/>
      <c r="P391" s="805"/>
      <c r="Q391" s="777"/>
      <c r="R391" s="777"/>
    </row>
    <row r="392" spans="1:18" s="834" customFormat="1" ht="24" customHeight="1">
      <c r="A392" s="1315"/>
      <c r="B392" s="1262"/>
      <c r="C392" s="1262"/>
      <c r="D392" s="1119"/>
      <c r="E392" s="1079"/>
      <c r="F392" s="1133" t="s">
        <v>1275</v>
      </c>
      <c r="G392" s="1133" t="s">
        <v>32</v>
      </c>
      <c r="H392" s="1133" t="s">
        <v>17</v>
      </c>
      <c r="I392" s="1133" t="s">
        <v>14294</v>
      </c>
      <c r="J392" s="780" t="s">
        <v>14295</v>
      </c>
      <c r="K392" s="1133"/>
      <c r="L392" s="1133" t="s">
        <v>30</v>
      </c>
      <c r="M392" s="1136" t="s">
        <v>30</v>
      </c>
      <c r="N392" s="780"/>
      <c r="O392" s="777"/>
      <c r="P392" s="805"/>
      <c r="Q392" s="777"/>
      <c r="R392" s="777"/>
    </row>
    <row r="393" spans="1:18" s="834" customFormat="1">
      <c r="A393" s="1315"/>
      <c r="B393" s="1262"/>
      <c r="C393" s="1262"/>
      <c r="D393" s="1318" t="s">
        <v>14296</v>
      </c>
      <c r="E393" s="1079"/>
      <c r="F393" s="1133">
        <f>4*2*2</f>
        <v>16</v>
      </c>
      <c r="G393" s="1133">
        <v>3.8</v>
      </c>
      <c r="H393" s="1133" t="s">
        <v>30</v>
      </c>
      <c r="I393" s="1133">
        <f>F393*G393</f>
        <v>60.8</v>
      </c>
      <c r="J393" s="780">
        <v>22</v>
      </c>
      <c r="K393" s="1133"/>
      <c r="L393" s="1133" t="s">
        <v>33</v>
      </c>
      <c r="M393" s="1136">
        <f t="shared" ref="M393:M398" si="41">I393*J393</f>
        <v>1337.6</v>
      </c>
      <c r="N393" s="780"/>
      <c r="O393" s="777"/>
      <c r="P393" s="805"/>
      <c r="Q393" s="777"/>
      <c r="R393" s="777"/>
    </row>
    <row r="394" spans="1:18" s="834" customFormat="1">
      <c r="A394" s="1315"/>
      <c r="B394" s="1262"/>
      <c r="C394" s="1262"/>
      <c r="D394" s="1318" t="s">
        <v>14297</v>
      </c>
      <c r="E394" s="1079"/>
      <c r="F394" s="1133">
        <f>2*2</f>
        <v>4</v>
      </c>
      <c r="G394" s="1133" t="s">
        <v>30</v>
      </c>
      <c r="H394" s="1133">
        <v>8.8000000000000007</v>
      </c>
      <c r="I394" s="1133">
        <f>F394*H394</f>
        <v>35.200000000000003</v>
      </c>
      <c r="J394" s="780">
        <v>22</v>
      </c>
      <c r="K394" s="1133"/>
      <c r="L394" s="1133" t="s">
        <v>33</v>
      </c>
      <c r="M394" s="1136">
        <f t="shared" si="41"/>
        <v>774.40000000000009</v>
      </c>
      <c r="N394" s="780"/>
      <c r="O394" s="777"/>
      <c r="P394" s="805"/>
      <c r="Q394" s="777"/>
      <c r="R394" s="777"/>
    </row>
    <row r="395" spans="1:18" s="834" customFormat="1" ht="13.5" customHeight="1">
      <c r="A395" s="1261"/>
      <c r="B395" s="850"/>
      <c r="C395" s="850"/>
      <c r="D395" s="1318" t="s">
        <v>14298</v>
      </c>
      <c r="E395" s="1079"/>
      <c r="F395" s="1133">
        <f>2*2</f>
        <v>4</v>
      </c>
      <c r="G395" s="1133" t="s">
        <v>30</v>
      </c>
      <c r="H395" s="1133">
        <v>11</v>
      </c>
      <c r="I395" s="1133">
        <f>F395*H395</f>
        <v>44</v>
      </c>
      <c r="J395" s="780">
        <v>22</v>
      </c>
      <c r="K395" s="1133"/>
      <c r="L395" s="1133" t="s">
        <v>33</v>
      </c>
      <c r="M395" s="1136">
        <f t="shared" si="41"/>
        <v>968</v>
      </c>
      <c r="N395" s="780"/>
      <c r="O395" s="777"/>
      <c r="P395" s="805"/>
      <c r="Q395" s="777"/>
      <c r="R395" s="777"/>
    </row>
    <row r="396" spans="1:18" s="834" customFormat="1" ht="13.5" customHeight="1">
      <c r="A396" s="1261"/>
      <c r="B396" s="850"/>
      <c r="C396" s="850"/>
      <c r="D396" s="1318" t="s">
        <v>14299</v>
      </c>
      <c r="E396" s="1079"/>
      <c r="F396" s="1133">
        <v>4</v>
      </c>
      <c r="G396" s="1133">
        <v>3</v>
      </c>
      <c r="H396" s="1133" t="s">
        <v>30</v>
      </c>
      <c r="I396" s="1133">
        <f>F396*G396</f>
        <v>12</v>
      </c>
      <c r="J396" s="780">
        <v>22</v>
      </c>
      <c r="K396" s="1133"/>
      <c r="L396" s="1133" t="s">
        <v>33</v>
      </c>
      <c r="M396" s="1136">
        <f t="shared" si="41"/>
        <v>264</v>
      </c>
      <c r="N396" s="780"/>
      <c r="O396" s="777"/>
      <c r="P396" s="805"/>
      <c r="Q396" s="777"/>
      <c r="R396" s="777"/>
    </row>
    <row r="397" spans="1:18" s="834" customFormat="1" ht="13.5" customHeight="1">
      <c r="A397" s="1261"/>
      <c r="B397" s="850"/>
      <c r="C397" s="850"/>
      <c r="D397" s="1318" t="s">
        <v>14300</v>
      </c>
      <c r="E397" s="1079"/>
      <c r="F397" s="1133">
        <v>2</v>
      </c>
      <c r="G397" s="1133" t="s">
        <v>30</v>
      </c>
      <c r="H397" s="1133">
        <v>4</v>
      </c>
      <c r="I397" s="1133">
        <f>F397*H397</f>
        <v>8</v>
      </c>
      <c r="J397" s="780">
        <v>22</v>
      </c>
      <c r="K397" s="1133"/>
      <c r="L397" s="1133" t="s">
        <v>33</v>
      </c>
      <c r="M397" s="1136">
        <f t="shared" si="41"/>
        <v>176</v>
      </c>
      <c r="N397" s="780"/>
      <c r="O397" s="777"/>
      <c r="P397" s="805"/>
      <c r="Q397" s="777"/>
      <c r="R397" s="777"/>
    </row>
    <row r="398" spans="1:18" s="834" customFormat="1" ht="13.5" customHeight="1">
      <c r="A398" s="1261"/>
      <c r="B398" s="850"/>
      <c r="C398" s="850"/>
      <c r="D398" s="1318" t="s">
        <v>14301</v>
      </c>
      <c r="E398" s="1079"/>
      <c r="F398" s="1133">
        <v>2</v>
      </c>
      <c r="G398" s="1133" t="s">
        <v>30</v>
      </c>
      <c r="H398" s="1133">
        <v>2</v>
      </c>
      <c r="I398" s="1133">
        <f>F398*H398</f>
        <v>4</v>
      </c>
      <c r="J398" s="780">
        <v>22</v>
      </c>
      <c r="K398" s="1133"/>
      <c r="L398" s="1133" t="s">
        <v>33</v>
      </c>
      <c r="M398" s="1136">
        <f t="shared" si="41"/>
        <v>88</v>
      </c>
      <c r="N398" s="780"/>
      <c r="O398" s="777"/>
      <c r="P398" s="805"/>
      <c r="Q398" s="777"/>
      <c r="R398" s="777"/>
    </row>
    <row r="399" spans="1:18" s="834" customFormat="1" ht="13.5" customHeight="1">
      <c r="A399" s="1261"/>
      <c r="B399" s="850"/>
      <c r="C399" s="850"/>
      <c r="D399" s="1318"/>
      <c r="E399" s="1079"/>
      <c r="F399" s="1133"/>
      <c r="G399" s="1133"/>
      <c r="H399" s="1133"/>
      <c r="I399" s="1133"/>
      <c r="J399" s="780"/>
      <c r="K399" s="1133"/>
      <c r="L399" s="1133"/>
      <c r="M399" s="1136"/>
      <c r="N399" s="780"/>
      <c r="O399" s="777"/>
      <c r="P399" s="805"/>
      <c r="Q399" s="777"/>
      <c r="R399" s="777"/>
    </row>
    <row r="400" spans="1:18" s="834" customFormat="1" ht="15">
      <c r="A400" s="1315" t="s">
        <v>14224</v>
      </c>
      <c r="B400" s="850" t="s">
        <v>11644</v>
      </c>
      <c r="C400" s="1142" t="s">
        <v>15692</v>
      </c>
      <c r="D400" s="956" t="str">
        <f>PROPER(IF(B400="Saneago",VLOOKUP(C400,'SANEAGO-FEV.2016'!A:B,2,0),IF(B400="Sinapi",VLOOKUP(C400,'SINAPI-FEV.2017'!A:D,2,0),IF(B400="Cotação",VLOOKUP(C400,COTAÇÃO!A:D,2,0),IF(B400="Composição",VLOOKUP(C400,COMPOSIÇÃO!A:D,2,0))))))</f>
        <v>Estrutura Metalica Em Aco Estrutural Perfil I 6 X 3 3/8</v>
      </c>
      <c r="E400" s="1121"/>
      <c r="F400" s="1121"/>
      <c r="G400" s="1122"/>
      <c r="H400" s="1122"/>
      <c r="I400" s="1122"/>
      <c r="J400" s="1122"/>
      <c r="K400" s="1266" t="s">
        <v>27</v>
      </c>
      <c r="L400" s="1266" t="s">
        <v>33</v>
      </c>
      <c r="M400" s="1250">
        <f>SUM(M393:M398)</f>
        <v>3608</v>
      </c>
      <c r="N400" s="780"/>
      <c r="O400" s="777"/>
      <c r="P400" s="805"/>
      <c r="Q400" s="777"/>
      <c r="R400" s="777"/>
    </row>
    <row r="401" spans="1:18" s="834" customFormat="1" ht="13.5" thickBot="1">
      <c r="A401" s="959"/>
      <c r="B401" s="850"/>
      <c r="C401" s="850"/>
      <c r="D401" s="1119"/>
      <c r="E401" s="1079"/>
      <c r="F401" s="1079"/>
      <c r="G401" s="1133"/>
      <c r="H401" s="1133"/>
      <c r="I401" s="1133"/>
      <c r="J401" s="1133"/>
      <c r="K401" s="1133"/>
      <c r="L401" s="1133"/>
      <c r="M401" s="1139"/>
      <c r="N401" s="780"/>
      <c r="O401" s="777"/>
      <c r="P401" s="805"/>
      <c r="Q401" s="777"/>
      <c r="R401" s="777"/>
    </row>
    <row r="402" spans="1:18" ht="14.25" thickTop="1" thickBot="1">
      <c r="A402" s="862"/>
      <c r="B402" s="835"/>
      <c r="C402" s="835"/>
      <c r="D402" s="830" t="s">
        <v>24</v>
      </c>
      <c r="E402" s="831"/>
      <c r="F402" s="831"/>
      <c r="G402" s="831"/>
      <c r="H402" s="831"/>
      <c r="I402" s="831"/>
      <c r="J402" s="831"/>
      <c r="K402" s="831"/>
      <c r="L402" s="832" t="s">
        <v>25</v>
      </c>
      <c r="M402" s="833" t="s">
        <v>27</v>
      </c>
    </row>
    <row r="403" spans="1:18" ht="13.5" thickTop="1">
      <c r="A403" s="862"/>
      <c r="B403" s="835"/>
      <c r="C403" s="835"/>
      <c r="D403" s="826"/>
      <c r="E403" s="790"/>
      <c r="F403" s="790"/>
      <c r="G403" s="700" t="s">
        <v>30</v>
      </c>
      <c r="H403" s="700" t="s">
        <v>30</v>
      </c>
      <c r="I403" s="700" t="s">
        <v>30</v>
      </c>
      <c r="J403" s="700" t="s">
        <v>30</v>
      </c>
      <c r="K403" s="700" t="s">
        <v>30</v>
      </c>
      <c r="L403" s="700"/>
      <c r="M403" s="827"/>
    </row>
    <row r="404" spans="1:18" ht="15">
      <c r="A404" s="862" t="s">
        <v>14302</v>
      </c>
      <c r="B404" s="850" t="s">
        <v>11644</v>
      </c>
      <c r="C404" s="1020">
        <v>9537</v>
      </c>
      <c r="D404" s="956" t="str">
        <f>PROPER(IF(B404="Saneago",VLOOKUP(C404,'SANEAGO-FEV.2016'!A:B,2,0),IF(B404="Sinapi",VLOOKUP(C404,'SINAPI-FEV.2017'!A:D,2,0),IF(B404="Cotação",VLOOKUP(C404,COTAÇÃO!A:D,2,0),IF(B404="Composição",VLOOKUP(C404,COMPOSIÇÃO!A:D,2,0))))))</f>
        <v>Limpeza Final Da Obra</v>
      </c>
      <c r="E404" s="837"/>
      <c r="F404" s="837"/>
      <c r="G404" s="838"/>
      <c r="H404" s="838"/>
      <c r="I404" s="851"/>
      <c r="J404" s="838"/>
      <c r="K404" s="838"/>
      <c r="L404" s="852" t="s">
        <v>21</v>
      </c>
      <c r="M404" s="853">
        <f>SUM(M43)</f>
        <v>781.21500000000003</v>
      </c>
    </row>
    <row r="405" spans="1:18">
      <c r="A405" s="862"/>
      <c r="B405" s="835"/>
      <c r="C405" s="835"/>
      <c r="D405" s="826"/>
      <c r="E405" s="790"/>
      <c r="F405" s="790"/>
      <c r="G405" s="700" t="s">
        <v>30</v>
      </c>
      <c r="H405" s="700" t="s">
        <v>30</v>
      </c>
      <c r="I405" s="700" t="s">
        <v>30</v>
      </c>
      <c r="J405" s="700" t="s">
        <v>30</v>
      </c>
      <c r="K405" s="700" t="s">
        <v>30</v>
      </c>
      <c r="L405" s="700"/>
      <c r="M405" s="827"/>
    </row>
    <row r="406" spans="1:18">
      <c r="A406" s="862" t="s">
        <v>14225</v>
      </c>
      <c r="B406" s="835" t="s">
        <v>11720</v>
      </c>
      <c r="C406" s="835" t="s">
        <v>11819</v>
      </c>
      <c r="D406" s="956" t="str">
        <f>PROPER(IF(B406="Saneago",VLOOKUP(C406,'SANEAGO-FEV.2016'!A:B,2,0),IF(B406="Sinapi",VLOOKUP(C406,'SINAPI-FEV.2017'!A:D,2,0),IF(B406="Cotação",VLOOKUP(C406,COTAÇÃO!A:D,2,0),IF(B406="Composição",VLOOKUP(C406,COMPOSIÇÃO!A:D,2,0))))))</f>
        <v>Montagem De Material Hidráulico  Do Tratamento Preliminar</v>
      </c>
      <c r="E406" s="837"/>
      <c r="F406" s="837"/>
      <c r="G406" s="838"/>
      <c r="H406" s="838"/>
      <c r="I406" s="851"/>
      <c r="J406" s="838"/>
      <c r="K406" s="838"/>
      <c r="L406" s="852" t="s">
        <v>1274</v>
      </c>
      <c r="M406" s="853">
        <v>1</v>
      </c>
    </row>
    <row r="407" spans="1:18">
      <c r="A407" s="862"/>
      <c r="B407" s="835"/>
      <c r="C407" s="835"/>
      <c r="D407" s="826"/>
      <c r="E407" s="790"/>
      <c r="F407" s="790"/>
      <c r="G407" s="700" t="s">
        <v>30</v>
      </c>
      <c r="H407" s="700" t="s">
        <v>30</v>
      </c>
      <c r="I407" s="700" t="s">
        <v>30</v>
      </c>
      <c r="J407" s="700" t="s">
        <v>30</v>
      </c>
      <c r="K407" s="700" t="s">
        <v>30</v>
      </c>
      <c r="L407" s="700"/>
      <c r="M407" s="827"/>
    </row>
    <row r="408" spans="1:18">
      <c r="A408" s="862" t="s">
        <v>14226</v>
      </c>
      <c r="B408" s="835" t="s">
        <v>11720</v>
      </c>
      <c r="C408" s="835" t="s">
        <v>11820</v>
      </c>
      <c r="D408" s="956" t="str">
        <f>PROPER(IF(B408="Saneago",VLOOKUP(C408,'SANEAGO-FEV.2016'!A:B,2,0),IF(B408="Sinapi",VLOOKUP(C408,'SINAPI-FEV.2017'!A:D,2,0),IF(B408="Cotação",VLOOKUP(C408,COTAÇÃO!A:D,2,0),IF(B408="Composição",VLOOKUP(C408,COMPOSIÇÃO!A:D,2,0))))))</f>
        <v>Montagem De Equipamentos  Do Tratamento Preliminar</v>
      </c>
      <c r="E408" s="837"/>
      <c r="F408" s="837"/>
      <c r="G408" s="838"/>
      <c r="H408" s="851"/>
      <c r="I408" s="838"/>
      <c r="J408" s="838"/>
      <c r="K408" s="838"/>
      <c r="L408" s="852" t="s">
        <v>1274</v>
      </c>
      <c r="M408" s="853">
        <v>1</v>
      </c>
    </row>
    <row r="409" spans="1:18">
      <c r="A409" s="862"/>
      <c r="B409" s="835"/>
      <c r="C409" s="835"/>
      <c r="D409" s="826"/>
      <c r="E409" s="790"/>
      <c r="F409" s="790"/>
      <c r="G409" s="700" t="s">
        <v>30</v>
      </c>
      <c r="H409" s="700" t="s">
        <v>30</v>
      </c>
      <c r="I409" s="700" t="s">
        <v>30</v>
      </c>
      <c r="J409" s="700" t="s">
        <v>30</v>
      </c>
      <c r="K409" s="700" t="s">
        <v>30</v>
      </c>
      <c r="L409" s="700"/>
      <c r="M409" s="827"/>
    </row>
    <row r="410" spans="1:18">
      <c r="A410" s="862" t="s">
        <v>14227</v>
      </c>
      <c r="B410" s="835" t="s">
        <v>11720</v>
      </c>
      <c r="C410" s="835" t="s">
        <v>11821</v>
      </c>
      <c r="D410" s="957" t="str">
        <f>PROPER(IF(B410="Saneago",VLOOKUP(C410,'SANEAGO-FEV.2016'!A:B,2,0),IF(B410="Sinapi",VLOOKUP(C410,'SINAPI-FEV.2017'!A:D,2,0),IF(B410="Cotação",VLOOKUP(C410,COTAÇÃO!A:D,2,0),IF(B410="Composição",VLOOKUP(C410,COMPOSIÇÃO!A:D,2,0))))))</f>
        <v>Montagem De Material Elétrico Do Tratamento Preliminar</v>
      </c>
      <c r="E410" s="947"/>
      <c r="F410" s="947"/>
      <c r="G410" s="948"/>
      <c r="H410" s="948"/>
      <c r="I410" s="958"/>
      <c r="J410" s="948"/>
      <c r="K410" s="948"/>
      <c r="L410" s="842" t="s">
        <v>1274</v>
      </c>
      <c r="M410" s="949">
        <v>1</v>
      </c>
    </row>
  </sheetData>
  <sheetProtection algorithmName="SHA-512" hashValue="3RnQOoXjcMX3IYuwBHy4kTfc61E9nq2UAoSRmDBdsu1Tnd/FaNJ7Rq6sIjzZendd2gTgWxM2E39meXJe/XXl+w==" saltValue="cXQVrVp4TSJPC9JDxRl6kQ==" spinCount="100000" sheet="1"/>
  <mergeCells count="59">
    <mergeCell ref="F198:G198"/>
    <mergeCell ref="F200:G200"/>
    <mergeCell ref="H166:I166"/>
    <mergeCell ref="F181:G181"/>
    <mergeCell ref="H158:I158"/>
    <mergeCell ref="H159:I159"/>
    <mergeCell ref="I183:J183"/>
    <mergeCell ref="F62:G62"/>
    <mergeCell ref="F63:G63"/>
    <mergeCell ref="I95:K95"/>
    <mergeCell ref="H155:I155"/>
    <mergeCell ref="H156:I156"/>
    <mergeCell ref="I94:K94"/>
    <mergeCell ref="I110:K110"/>
    <mergeCell ref="I126:K126"/>
    <mergeCell ref="H127:K127"/>
    <mergeCell ref="F64:G64"/>
    <mergeCell ref="H160:I160"/>
    <mergeCell ref="I265:J265"/>
    <mergeCell ref="I267:J267"/>
    <mergeCell ref="F180:G180"/>
    <mergeCell ref="H157:I157"/>
    <mergeCell ref="E228:H228"/>
    <mergeCell ref="H161:I161"/>
    <mergeCell ref="H162:I162"/>
    <mergeCell ref="H163:I163"/>
    <mergeCell ref="H164:I164"/>
    <mergeCell ref="H165:I165"/>
    <mergeCell ref="E215:G215"/>
    <mergeCell ref="F201:G201"/>
    <mergeCell ref="F202:G202"/>
    <mergeCell ref="F197:G197"/>
    <mergeCell ref="G389:H389"/>
    <mergeCell ref="G390:H390"/>
    <mergeCell ref="F252:G252"/>
    <mergeCell ref="F254:G254"/>
    <mergeCell ref="F255:G255"/>
    <mergeCell ref="D12:M12"/>
    <mergeCell ref="D1:M4"/>
    <mergeCell ref="D10:M10"/>
    <mergeCell ref="F61:G61"/>
    <mergeCell ref="G38:H38"/>
    <mergeCell ref="D52:M52"/>
    <mergeCell ref="G360:H360"/>
    <mergeCell ref="H96:K96"/>
    <mergeCell ref="H111:K111"/>
    <mergeCell ref="G354:H354"/>
    <mergeCell ref="G355:H355"/>
    <mergeCell ref="G353:H353"/>
    <mergeCell ref="G359:H359"/>
    <mergeCell ref="I278:J278"/>
    <mergeCell ref="I280:J280"/>
    <mergeCell ref="I293:J293"/>
    <mergeCell ref="I294:J294"/>
    <mergeCell ref="I268:J268"/>
    <mergeCell ref="G239:H239"/>
    <mergeCell ref="G241:H241"/>
    <mergeCell ref="G242:H242"/>
    <mergeCell ref="I281:J281"/>
  </mergeCells>
  <conditionalFormatting sqref="D12">
    <cfRule type="cellIs" dxfId="1979" priority="976" operator="equal">
      <formula>0</formula>
    </cfRule>
  </conditionalFormatting>
  <conditionalFormatting sqref="K5:M9 K25:M25 L13 K11:M11 K411:M65536 L378:M380 M227 L214:M215 L221:M222 L225:L229 L185:L199">
    <cfRule type="cellIs" dxfId="1978" priority="975" operator="equal">
      <formula>0</formula>
    </cfRule>
  </conditionalFormatting>
  <conditionalFormatting sqref="L15:M24">
    <cfRule type="cellIs" dxfId="1977" priority="974" operator="equal">
      <formula>0</formula>
    </cfRule>
  </conditionalFormatting>
  <conditionalFormatting sqref="D316">
    <cfRule type="cellIs" dxfId="1976" priority="973" operator="equal">
      <formula>0</formula>
    </cfRule>
  </conditionalFormatting>
  <conditionalFormatting sqref="L14">
    <cfRule type="cellIs" dxfId="1975" priority="972" operator="equal">
      <formula>0</formula>
    </cfRule>
  </conditionalFormatting>
  <conditionalFormatting sqref="L26:M26">
    <cfRule type="cellIs" dxfId="1974" priority="970" operator="equal">
      <formula>0</formula>
    </cfRule>
  </conditionalFormatting>
  <conditionalFormatting sqref="D10">
    <cfRule type="cellIs" dxfId="1973" priority="968" operator="equal">
      <formula>0</formula>
    </cfRule>
  </conditionalFormatting>
  <conditionalFormatting sqref="L315:M315">
    <cfRule type="cellIs" dxfId="1972" priority="962" operator="equal">
      <formula>0</formula>
    </cfRule>
  </conditionalFormatting>
  <conditionalFormatting sqref="L47:M47">
    <cfRule type="cellIs" dxfId="1971" priority="960" operator="equal">
      <formula>0</formula>
    </cfRule>
  </conditionalFormatting>
  <conditionalFormatting sqref="D45">
    <cfRule type="cellIs" dxfId="1970" priority="963" operator="equal">
      <formula>0</formula>
    </cfRule>
  </conditionalFormatting>
  <conditionalFormatting sqref="D46">
    <cfRule type="cellIs" dxfId="1969" priority="961" operator="equal">
      <formula>0</formula>
    </cfRule>
  </conditionalFormatting>
  <conditionalFormatting sqref="L200:M202">
    <cfRule type="cellIs" dxfId="1968" priority="938" operator="equal">
      <formula>0</formula>
    </cfRule>
  </conditionalFormatting>
  <conditionalFormatting sqref="M185:M199">
    <cfRule type="cellIs" dxfId="1967" priority="937" operator="equal">
      <formula>0</formula>
    </cfRule>
  </conditionalFormatting>
  <conditionalFormatting sqref="L218">
    <cfRule type="cellIs" dxfId="1966" priority="915" operator="equal">
      <formula>0</formula>
    </cfRule>
  </conditionalFormatting>
  <conditionalFormatting sqref="M218">
    <cfRule type="cellIs" dxfId="1965" priority="913" operator="equal">
      <formula>0</formula>
    </cfRule>
  </conditionalFormatting>
  <conditionalFormatting sqref="L213:M213">
    <cfRule type="cellIs" dxfId="1964" priority="919" operator="equal">
      <formula>0</formula>
    </cfRule>
  </conditionalFormatting>
  <conditionalFormatting sqref="L211:M212">
    <cfRule type="cellIs" dxfId="1963" priority="918" operator="equal">
      <formula>0</formula>
    </cfRule>
  </conditionalFormatting>
  <conditionalFormatting sqref="L216:M216">
    <cfRule type="cellIs" dxfId="1962" priority="917" operator="equal">
      <formula>0</formula>
    </cfRule>
  </conditionalFormatting>
  <conditionalFormatting sqref="L219:M219">
    <cfRule type="cellIs" dxfId="1961" priority="923" operator="equal">
      <formula>0</formula>
    </cfRule>
  </conditionalFormatting>
  <conditionalFormatting sqref="L209:M209">
    <cfRule type="cellIs" dxfId="1960" priority="921" operator="equal">
      <formula>0</formula>
    </cfRule>
  </conditionalFormatting>
  <conditionalFormatting sqref="D210">
    <cfRule type="cellIs" dxfId="1959" priority="920" operator="equal">
      <formula>0</formula>
    </cfRule>
  </conditionalFormatting>
  <conditionalFormatting sqref="L217:M217">
    <cfRule type="cellIs" dxfId="1958" priority="914" operator="equal">
      <formula>0</formula>
    </cfRule>
  </conditionalFormatting>
  <conditionalFormatting sqref="L331:M331">
    <cfRule type="cellIs" dxfId="1957" priority="700" operator="equal">
      <formula>0</formula>
    </cfRule>
  </conditionalFormatting>
  <conditionalFormatting sqref="L332:M332">
    <cfRule type="cellIs" dxfId="1956" priority="686" operator="equal">
      <formula>0</formula>
    </cfRule>
  </conditionalFormatting>
  <conditionalFormatting sqref="D231:D233">
    <cfRule type="cellIs" dxfId="1955" priority="662" operator="equal">
      <formula>0</formula>
    </cfRule>
  </conditionalFormatting>
  <conditionalFormatting sqref="D333">
    <cfRule type="cellIs" dxfId="1954" priority="667" operator="equal">
      <formula>0</formula>
    </cfRule>
  </conditionalFormatting>
  <conditionalFormatting sqref="L386:M386">
    <cfRule type="cellIs" dxfId="1953" priority="663" operator="equal">
      <formula>0</formula>
    </cfRule>
  </conditionalFormatting>
  <conditionalFormatting sqref="L400:M401">
    <cfRule type="cellIs" dxfId="1952" priority="601" operator="equal">
      <formula>0</formula>
    </cfRule>
  </conditionalFormatting>
  <conditionalFormatting sqref="L80:M80">
    <cfRule type="cellIs" dxfId="1951" priority="610" operator="equal">
      <formula>0</formula>
    </cfRule>
  </conditionalFormatting>
  <conditionalFormatting sqref="L67:M68 L69:L71 M69:M79">
    <cfRule type="cellIs" dxfId="1950" priority="611" operator="equal">
      <formula>0</formula>
    </cfRule>
  </conditionalFormatting>
  <conditionalFormatting sqref="L230:M230">
    <cfRule type="cellIs" dxfId="1949" priority="607" operator="equal">
      <formula>0</formula>
    </cfRule>
  </conditionalFormatting>
  <conditionalFormatting sqref="L391:M391">
    <cfRule type="cellIs" dxfId="1948" priority="603" operator="equal">
      <formula>0</formula>
    </cfRule>
  </conditionalFormatting>
  <conditionalFormatting sqref="D387">
    <cfRule type="cellIs" dxfId="1947" priority="606" operator="equal">
      <formula>0</formula>
    </cfRule>
  </conditionalFormatting>
  <conditionalFormatting sqref="L388:M390">
    <cfRule type="cellIs" dxfId="1946" priority="602" operator="equal">
      <formula>0</formula>
    </cfRule>
  </conditionalFormatting>
  <conditionalFormatting sqref="L376:M376">
    <cfRule type="cellIs" dxfId="1945" priority="585" operator="equal">
      <formula>0</formula>
    </cfRule>
  </conditionalFormatting>
  <conditionalFormatting sqref="L382:M383">
    <cfRule type="cellIs" dxfId="1944" priority="581" operator="equal">
      <formula>0</formula>
    </cfRule>
  </conditionalFormatting>
  <conditionalFormatting sqref="D377">
    <cfRule type="cellIs" dxfId="1943" priority="584" operator="equal">
      <formula>0</formula>
    </cfRule>
  </conditionalFormatting>
  <conditionalFormatting sqref="L313:M314">
    <cfRule type="cellIs" dxfId="1942" priority="561" operator="equal">
      <formula>0</formula>
    </cfRule>
  </conditionalFormatting>
  <conditionalFormatting sqref="L384:M385">
    <cfRule type="cellIs" dxfId="1941" priority="521" operator="equal">
      <formula>0</formula>
    </cfRule>
  </conditionalFormatting>
  <conditionalFormatting sqref="L296:M296">
    <cfRule type="cellIs" dxfId="1940" priority="524" operator="equal">
      <formula>0</formula>
    </cfRule>
  </conditionalFormatting>
  <conditionalFormatting sqref="D27">
    <cfRule type="cellIs" dxfId="1939" priority="496" operator="equal">
      <formula>0</formula>
    </cfRule>
  </conditionalFormatting>
  <conditionalFormatting sqref="L44:M44">
    <cfRule type="cellIs" dxfId="1938" priority="456" operator="equal">
      <formula>0</formula>
    </cfRule>
  </conditionalFormatting>
  <conditionalFormatting sqref="L29:M30">
    <cfRule type="cellIs" dxfId="1937" priority="455" operator="equal">
      <formula>0</formula>
    </cfRule>
  </conditionalFormatting>
  <conditionalFormatting sqref="M31 L42:M42 L32:L43">
    <cfRule type="cellIs" dxfId="1936" priority="452" operator="equal">
      <formula>0</formula>
    </cfRule>
  </conditionalFormatting>
  <conditionalFormatting sqref="L81:M81">
    <cfRule type="cellIs" dxfId="1935" priority="448" operator="equal">
      <formula>0</formula>
    </cfRule>
  </conditionalFormatting>
  <conditionalFormatting sqref="L96:M96">
    <cfRule type="cellIs" dxfId="1934" priority="436" operator="equal">
      <formula>0</formula>
    </cfRule>
  </conditionalFormatting>
  <conditionalFormatting sqref="L97:M97 L109 L98:L107">
    <cfRule type="cellIs" dxfId="1933" priority="446" operator="equal">
      <formula>0</formula>
    </cfRule>
  </conditionalFormatting>
  <conditionalFormatting sqref="L48:M48">
    <cfRule type="cellIs" dxfId="1932" priority="444" operator="equal">
      <formula>0</formula>
    </cfRule>
  </conditionalFormatting>
  <conditionalFormatting sqref="L49:M49">
    <cfRule type="cellIs" dxfId="1931" priority="443" operator="equal">
      <formula>0</formula>
    </cfRule>
  </conditionalFormatting>
  <conditionalFormatting sqref="L50:M50">
    <cfRule type="cellIs" dxfId="1930" priority="442" operator="equal">
      <formula>0</formula>
    </cfRule>
  </conditionalFormatting>
  <conditionalFormatting sqref="L51:M51">
    <cfRule type="cellIs" dxfId="1929" priority="441" operator="equal">
      <formula>0</formula>
    </cfRule>
  </conditionalFormatting>
  <conditionalFormatting sqref="L128:M128">
    <cfRule type="cellIs" dxfId="1928" priority="432" operator="equal">
      <formula>0</formula>
    </cfRule>
  </conditionalFormatting>
  <conditionalFormatting sqref="L129:M129">
    <cfRule type="cellIs" dxfId="1927" priority="431" operator="equal">
      <formula>0</formula>
    </cfRule>
  </conditionalFormatting>
  <conditionalFormatting sqref="L130:M130">
    <cfRule type="cellIs" dxfId="1926" priority="429" operator="equal">
      <formula>0</formula>
    </cfRule>
  </conditionalFormatting>
  <conditionalFormatting sqref="M131">
    <cfRule type="cellIs" dxfId="1925" priority="428" operator="equal">
      <formula>0</formula>
    </cfRule>
  </conditionalFormatting>
  <conditionalFormatting sqref="L134">
    <cfRule type="cellIs" dxfId="1924" priority="427" operator="equal">
      <formula>0</formula>
    </cfRule>
  </conditionalFormatting>
  <conditionalFormatting sqref="L136">
    <cfRule type="cellIs" dxfId="1923" priority="425" operator="equal">
      <formula>0</formula>
    </cfRule>
  </conditionalFormatting>
  <conditionalFormatting sqref="L138">
    <cfRule type="cellIs" dxfId="1922" priority="423" operator="equal">
      <formula>0</formula>
    </cfRule>
  </conditionalFormatting>
  <conditionalFormatting sqref="L140">
    <cfRule type="cellIs" dxfId="1921" priority="421" operator="equal">
      <formula>0</formula>
    </cfRule>
  </conditionalFormatting>
  <conditionalFormatting sqref="L135">
    <cfRule type="cellIs" dxfId="1920" priority="418" operator="equal">
      <formula>0</formula>
    </cfRule>
  </conditionalFormatting>
  <conditionalFormatting sqref="L131">
    <cfRule type="cellIs" dxfId="1919" priority="419" operator="equal">
      <formula>0</formula>
    </cfRule>
  </conditionalFormatting>
  <conditionalFormatting sqref="L137">
    <cfRule type="cellIs" dxfId="1918" priority="417" operator="equal">
      <formula>0</formula>
    </cfRule>
  </conditionalFormatting>
  <conditionalFormatting sqref="L139">
    <cfRule type="cellIs" dxfId="1917" priority="416" operator="equal">
      <formula>0</formula>
    </cfRule>
  </conditionalFormatting>
  <conditionalFormatting sqref="L141">
    <cfRule type="cellIs" dxfId="1916" priority="415" operator="equal">
      <formula>0</formula>
    </cfRule>
  </conditionalFormatting>
  <conditionalFormatting sqref="L153:M153 L155:M164 L166:M166">
    <cfRule type="cellIs" dxfId="1915" priority="381" operator="equal">
      <formula>0</formula>
    </cfRule>
  </conditionalFormatting>
  <conditionalFormatting sqref="L152:M152">
    <cfRule type="cellIs" dxfId="1914" priority="380" operator="equal">
      <formula>0</formula>
    </cfRule>
  </conditionalFormatting>
  <conditionalFormatting sqref="L207:M207">
    <cfRule type="cellIs" dxfId="1913" priority="377" operator="equal">
      <formula>0</formula>
    </cfRule>
  </conditionalFormatting>
  <conditionalFormatting sqref="G207:K207">
    <cfRule type="cellIs" dxfId="1912" priority="375" operator="equal">
      <formula>0</formula>
    </cfRule>
  </conditionalFormatting>
  <conditionalFormatting sqref="L208:M208">
    <cfRule type="cellIs" dxfId="1911" priority="376" operator="equal">
      <formula>0</formula>
    </cfRule>
  </conditionalFormatting>
  <conditionalFormatting sqref="G208:K208">
    <cfRule type="cellIs" dxfId="1910" priority="374" operator="equal">
      <formula>0</formula>
    </cfRule>
  </conditionalFormatting>
  <conditionalFormatting sqref="L244:M244">
    <cfRule type="cellIs" dxfId="1909" priority="371" operator="equal">
      <formula>0</formula>
    </cfRule>
  </conditionalFormatting>
  <conditionalFormatting sqref="L349:M349">
    <cfRule type="cellIs" dxfId="1908" priority="269" operator="equal">
      <formula>0</formula>
    </cfRule>
  </conditionalFormatting>
  <conditionalFormatting sqref="L317:M317">
    <cfRule type="cellIs" dxfId="1907" priority="245" operator="equal">
      <formula>0</formula>
    </cfRule>
  </conditionalFormatting>
  <conditionalFormatting sqref="L318">
    <cfRule type="cellIs" dxfId="1906" priority="244" operator="equal">
      <formula>0</formula>
    </cfRule>
  </conditionalFormatting>
  <conditionalFormatting sqref="M318">
    <cfRule type="cellIs" dxfId="1905" priority="243" operator="equal">
      <formula>0</formula>
    </cfRule>
  </conditionalFormatting>
  <conditionalFormatting sqref="L320">
    <cfRule type="cellIs" dxfId="1904" priority="241" operator="equal">
      <formula>0</formula>
    </cfRule>
  </conditionalFormatting>
  <conditionalFormatting sqref="M320">
    <cfRule type="cellIs" dxfId="1903" priority="240" operator="equal">
      <formula>0</formula>
    </cfRule>
  </conditionalFormatting>
  <conditionalFormatting sqref="L319:M319">
    <cfRule type="cellIs" dxfId="1902" priority="242" operator="equal">
      <formula>0</formula>
    </cfRule>
  </conditionalFormatting>
  <conditionalFormatting sqref="L322">
    <cfRule type="cellIs" dxfId="1901" priority="238" operator="equal">
      <formula>0</formula>
    </cfRule>
  </conditionalFormatting>
  <conditionalFormatting sqref="M322">
    <cfRule type="cellIs" dxfId="1900" priority="237" operator="equal">
      <formula>0</formula>
    </cfRule>
  </conditionalFormatting>
  <conditionalFormatting sqref="L321:M321">
    <cfRule type="cellIs" dxfId="1899" priority="239" operator="equal">
      <formula>0</formula>
    </cfRule>
  </conditionalFormatting>
  <conditionalFormatting sqref="L28:M28">
    <cfRule type="cellIs" dxfId="1898" priority="219" operator="equal">
      <formula>0</formula>
    </cfRule>
  </conditionalFormatting>
  <conditionalFormatting sqref="M13:M14">
    <cfRule type="cellIs" dxfId="1897" priority="213" operator="equal">
      <formula>0</formula>
    </cfRule>
  </conditionalFormatting>
  <conditionalFormatting sqref="D402">
    <cfRule type="cellIs" dxfId="1896" priority="206" operator="equal">
      <formula>0</formula>
    </cfRule>
  </conditionalFormatting>
  <conditionalFormatting sqref="L405:M406">
    <cfRule type="cellIs" dxfId="1895" priority="205" operator="equal">
      <formula>0</formula>
    </cfRule>
  </conditionalFormatting>
  <conditionalFormatting sqref="L407:M407 M408">
    <cfRule type="cellIs" dxfId="1894" priority="204" operator="equal">
      <formula>0</formula>
    </cfRule>
  </conditionalFormatting>
  <conditionalFormatting sqref="L409:M409 M410">
    <cfRule type="cellIs" dxfId="1893" priority="203" operator="equal">
      <formula>0</formula>
    </cfRule>
  </conditionalFormatting>
  <conditionalFormatting sqref="L408">
    <cfRule type="cellIs" dxfId="1892" priority="202" operator="equal">
      <formula>0</formula>
    </cfRule>
  </conditionalFormatting>
  <conditionalFormatting sqref="L410">
    <cfRule type="cellIs" dxfId="1891" priority="201" operator="equal">
      <formula>0</formula>
    </cfRule>
  </conditionalFormatting>
  <conditionalFormatting sqref="M43">
    <cfRule type="cellIs" dxfId="1890" priority="200" operator="equal">
      <formula>0</formula>
    </cfRule>
  </conditionalFormatting>
  <conditionalFormatting sqref="M381">
    <cfRule type="cellIs" dxfId="1889" priority="178" operator="equal">
      <formula>0</formula>
    </cfRule>
  </conditionalFormatting>
  <conditionalFormatting sqref="L308:M309 L311:M311">
    <cfRule type="cellIs" dxfId="1888" priority="172" operator="equal">
      <formula>0</formula>
    </cfRule>
  </conditionalFormatting>
  <conditionalFormatting sqref="L142">
    <cfRule type="cellIs" dxfId="1887" priority="171" operator="equal">
      <formula>0</formula>
    </cfRule>
  </conditionalFormatting>
  <conditionalFormatting sqref="L143">
    <cfRule type="cellIs" dxfId="1886" priority="170" operator="equal">
      <formula>0</formula>
    </cfRule>
  </conditionalFormatting>
  <conditionalFormatting sqref="L149">
    <cfRule type="cellIs" dxfId="1885" priority="156" operator="equal">
      <formula>0</formula>
    </cfRule>
  </conditionalFormatting>
  <conditionalFormatting sqref="L144">
    <cfRule type="cellIs" dxfId="1884" priority="167" operator="equal">
      <formula>0</formula>
    </cfRule>
  </conditionalFormatting>
  <conditionalFormatting sqref="L146">
    <cfRule type="cellIs" dxfId="1883" priority="165" operator="equal">
      <formula>0</formula>
    </cfRule>
  </conditionalFormatting>
  <conditionalFormatting sqref="L145">
    <cfRule type="cellIs" dxfId="1882" priority="158" operator="equal">
      <formula>0</formula>
    </cfRule>
  </conditionalFormatting>
  <conditionalFormatting sqref="L148">
    <cfRule type="cellIs" dxfId="1881" priority="163" operator="equal">
      <formula>0</formula>
    </cfRule>
  </conditionalFormatting>
  <conditionalFormatting sqref="L150">
    <cfRule type="cellIs" dxfId="1880" priority="161" operator="equal">
      <formula>0</formula>
    </cfRule>
  </conditionalFormatting>
  <conditionalFormatting sqref="L147">
    <cfRule type="cellIs" dxfId="1879" priority="157" operator="equal">
      <formula>0</formula>
    </cfRule>
  </conditionalFormatting>
  <conditionalFormatting sqref="L151">
    <cfRule type="cellIs" dxfId="1878" priority="155" operator="equal">
      <formula>0</formula>
    </cfRule>
  </conditionalFormatting>
  <conditionalFormatting sqref="M151">
    <cfRule type="cellIs" dxfId="1877" priority="135" operator="equal">
      <formula>0</formula>
    </cfRule>
  </conditionalFormatting>
  <conditionalFormatting sqref="M134">
    <cfRule type="cellIs" dxfId="1876" priority="154" operator="equal">
      <formula>0</formula>
    </cfRule>
  </conditionalFormatting>
  <conditionalFormatting sqref="M135">
    <cfRule type="cellIs" dxfId="1875" priority="153" operator="equal">
      <formula>0</formula>
    </cfRule>
  </conditionalFormatting>
  <conditionalFormatting sqref="M136">
    <cfRule type="cellIs" dxfId="1874" priority="152" operator="equal">
      <formula>0</formula>
    </cfRule>
  </conditionalFormatting>
  <conditionalFormatting sqref="M137">
    <cfRule type="cellIs" dxfId="1873" priority="151" operator="equal">
      <formula>0</formula>
    </cfRule>
  </conditionalFormatting>
  <conditionalFormatting sqref="M138">
    <cfRule type="cellIs" dxfId="1872" priority="150" operator="equal">
      <formula>0</formula>
    </cfRule>
  </conditionalFormatting>
  <conditionalFormatting sqref="M139">
    <cfRule type="cellIs" dxfId="1871" priority="149" operator="equal">
      <formula>0</formula>
    </cfRule>
  </conditionalFormatting>
  <conditionalFormatting sqref="M140">
    <cfRule type="cellIs" dxfId="1870" priority="148" operator="equal">
      <formula>0</formula>
    </cfRule>
  </conditionalFormatting>
  <conditionalFormatting sqref="M141">
    <cfRule type="cellIs" dxfId="1869" priority="147" operator="equal">
      <formula>0</formula>
    </cfRule>
  </conditionalFormatting>
  <conditionalFormatting sqref="M142">
    <cfRule type="cellIs" dxfId="1868" priority="146" operator="equal">
      <formula>0</formula>
    </cfRule>
  </conditionalFormatting>
  <conditionalFormatting sqref="M143">
    <cfRule type="cellIs" dxfId="1867" priority="145" operator="equal">
      <formula>0</formula>
    </cfRule>
  </conditionalFormatting>
  <conditionalFormatting sqref="M144">
    <cfRule type="cellIs" dxfId="1866" priority="142" operator="equal">
      <formula>0</formula>
    </cfRule>
  </conditionalFormatting>
  <conditionalFormatting sqref="M145">
    <cfRule type="cellIs" dxfId="1865" priority="141" operator="equal">
      <formula>0</formula>
    </cfRule>
  </conditionalFormatting>
  <conditionalFormatting sqref="M146">
    <cfRule type="cellIs" dxfId="1864" priority="140" operator="equal">
      <formula>0</formula>
    </cfRule>
  </conditionalFormatting>
  <conditionalFormatting sqref="M147">
    <cfRule type="cellIs" dxfId="1863" priority="139" operator="equal">
      <formula>0</formula>
    </cfRule>
  </conditionalFormatting>
  <conditionalFormatting sqref="M148">
    <cfRule type="cellIs" dxfId="1862" priority="138" operator="equal">
      <formula>0</formula>
    </cfRule>
  </conditionalFormatting>
  <conditionalFormatting sqref="M149">
    <cfRule type="cellIs" dxfId="1861" priority="137" operator="equal">
      <formula>0</formula>
    </cfRule>
  </conditionalFormatting>
  <conditionalFormatting sqref="M150">
    <cfRule type="cellIs" dxfId="1860" priority="136" operator="equal">
      <formula>0</formula>
    </cfRule>
  </conditionalFormatting>
  <conditionalFormatting sqref="M224">
    <cfRule type="cellIs" dxfId="1859" priority="123" operator="equal">
      <formula>0</formula>
    </cfRule>
  </conditionalFormatting>
  <conditionalFormatting sqref="M226 M229">
    <cfRule type="cellIs" dxfId="1858" priority="121" operator="equal">
      <formula>0</formula>
    </cfRule>
  </conditionalFormatting>
  <conditionalFormatting sqref="M225 M228">
    <cfRule type="cellIs" dxfId="1857" priority="122" operator="equal">
      <formula>0</formula>
    </cfRule>
  </conditionalFormatting>
  <conditionalFormatting sqref="L224">
    <cfRule type="cellIs" dxfId="1856" priority="120" operator="equal">
      <formula>0</formula>
    </cfRule>
  </conditionalFormatting>
  <conditionalFormatting sqref="L270">
    <cfRule type="cellIs" dxfId="1855" priority="119" operator="equal">
      <formula>0</formula>
    </cfRule>
  </conditionalFormatting>
  <conditionalFormatting sqref="L72:L78">
    <cfRule type="cellIs" dxfId="1854" priority="116" operator="equal">
      <formula>0</formula>
    </cfRule>
  </conditionalFormatting>
  <conditionalFormatting sqref="L79">
    <cfRule type="cellIs" dxfId="1853" priority="115" operator="equal">
      <formula>0</formula>
    </cfRule>
  </conditionalFormatting>
  <conditionalFormatting sqref="L82:L91 L93:L94">
    <cfRule type="cellIs" dxfId="1852" priority="114" operator="equal">
      <formula>0</formula>
    </cfRule>
  </conditionalFormatting>
  <conditionalFormatting sqref="L111:M111 L125:M125">
    <cfRule type="cellIs" dxfId="1851" priority="113" operator="equal">
      <formula>0</formula>
    </cfRule>
  </conditionalFormatting>
  <conditionalFormatting sqref="L167:M168 M169 M173 M175:M184">
    <cfRule type="cellIs" dxfId="1850" priority="111" operator="equal">
      <formula>0</formula>
    </cfRule>
  </conditionalFormatting>
  <conditionalFormatting sqref="L182:L184 L169 L173 L175:L180">
    <cfRule type="cellIs" dxfId="1849" priority="109" operator="equal">
      <formula>0</formula>
    </cfRule>
  </conditionalFormatting>
  <conditionalFormatting sqref="L257:M257">
    <cfRule type="cellIs" dxfId="1848" priority="108" operator="equal">
      <formula>0</formula>
    </cfRule>
  </conditionalFormatting>
  <conditionalFormatting sqref="M270">
    <cfRule type="cellIs" dxfId="1847" priority="107" operator="equal">
      <formula>0</formula>
    </cfRule>
  </conditionalFormatting>
  <conditionalFormatting sqref="L283">
    <cfRule type="cellIs" dxfId="1846" priority="106" operator="equal">
      <formula>0</formula>
    </cfRule>
  </conditionalFormatting>
  <conditionalFormatting sqref="M283">
    <cfRule type="cellIs" dxfId="1845" priority="105" operator="equal">
      <formula>0</formula>
    </cfRule>
  </conditionalFormatting>
  <conditionalFormatting sqref="L297:L298 L300 L302 L304:L305">
    <cfRule type="cellIs" dxfId="1844" priority="104" operator="equal">
      <formula>0</formula>
    </cfRule>
  </conditionalFormatting>
  <conditionalFormatting sqref="M297:M298 M300 M302 M304:M305">
    <cfRule type="cellIs" dxfId="1843" priority="103" operator="equal">
      <formula>0</formula>
    </cfRule>
  </conditionalFormatting>
  <conditionalFormatting sqref="L312">
    <cfRule type="cellIs" dxfId="1842" priority="102" operator="equal">
      <formula>0</formula>
    </cfRule>
  </conditionalFormatting>
  <conditionalFormatting sqref="M312">
    <cfRule type="cellIs" dxfId="1841" priority="101" operator="equal">
      <formula>0</formula>
    </cfRule>
  </conditionalFormatting>
  <conditionalFormatting sqref="L310:M310">
    <cfRule type="cellIs" dxfId="1840" priority="100" operator="equal">
      <formula>0</formula>
    </cfRule>
  </conditionalFormatting>
  <conditionalFormatting sqref="L375:M375">
    <cfRule type="cellIs" dxfId="1839" priority="97" operator="equal">
      <formula>0</formula>
    </cfRule>
  </conditionalFormatting>
  <conditionalFormatting sqref="L92">
    <cfRule type="cellIs" dxfId="1838" priority="86" operator="equal">
      <formula>0</formula>
    </cfRule>
  </conditionalFormatting>
  <conditionalFormatting sqref="L108">
    <cfRule type="cellIs" dxfId="1837" priority="85" operator="equal">
      <formula>0</formula>
    </cfRule>
  </conditionalFormatting>
  <conditionalFormatting sqref="D220">
    <cfRule type="cellIs" dxfId="1836" priority="96" operator="equal">
      <formula>0</formula>
    </cfRule>
  </conditionalFormatting>
  <conditionalFormatting sqref="M82:M94">
    <cfRule type="cellIs" dxfId="1835" priority="84" operator="equal">
      <formula>0</formula>
    </cfRule>
  </conditionalFormatting>
  <conditionalFormatting sqref="M98:M109">
    <cfRule type="cellIs" dxfId="1834" priority="83" operator="equal">
      <formula>0</formula>
    </cfRule>
  </conditionalFormatting>
  <conditionalFormatting sqref="L95">
    <cfRule type="cellIs" dxfId="1833" priority="82" operator="equal">
      <formula>0</formula>
    </cfRule>
  </conditionalFormatting>
  <conditionalFormatting sqref="M95">
    <cfRule type="cellIs" dxfId="1832" priority="81" operator="equal">
      <formula>0</formula>
    </cfRule>
  </conditionalFormatting>
  <conditionalFormatting sqref="L165:M165">
    <cfRule type="cellIs" dxfId="1831" priority="80" operator="equal">
      <formula>0</formula>
    </cfRule>
  </conditionalFormatting>
  <conditionalFormatting sqref="M170:M172">
    <cfRule type="cellIs" dxfId="1830" priority="77" operator="equal">
      <formula>0</formula>
    </cfRule>
  </conditionalFormatting>
  <conditionalFormatting sqref="L181">
    <cfRule type="cellIs" dxfId="1829" priority="78" operator="equal">
      <formula>0</formula>
    </cfRule>
  </conditionalFormatting>
  <conditionalFormatting sqref="L110">
    <cfRule type="cellIs" dxfId="1828" priority="73" operator="equal">
      <formula>0</formula>
    </cfRule>
  </conditionalFormatting>
  <conditionalFormatting sqref="L170:L172">
    <cfRule type="cellIs" dxfId="1827" priority="76" operator="equal">
      <formula>0</formula>
    </cfRule>
  </conditionalFormatting>
  <conditionalFormatting sqref="M174">
    <cfRule type="cellIs" dxfId="1826" priority="75" operator="equal">
      <formula>0</formula>
    </cfRule>
  </conditionalFormatting>
  <conditionalFormatting sqref="L174">
    <cfRule type="cellIs" dxfId="1825" priority="74" operator="equal">
      <formula>0</formula>
    </cfRule>
  </conditionalFormatting>
  <conditionalFormatting sqref="M110">
    <cfRule type="cellIs" dxfId="1824" priority="72" operator="equal">
      <formula>0</formula>
    </cfRule>
  </conditionalFormatting>
  <conditionalFormatting sqref="L324">
    <cfRule type="cellIs" dxfId="1823" priority="64" operator="equal">
      <formula>0</formula>
    </cfRule>
  </conditionalFormatting>
  <conditionalFormatting sqref="M324">
    <cfRule type="cellIs" dxfId="1822" priority="63" operator="equal">
      <formula>0</formula>
    </cfRule>
  </conditionalFormatting>
  <conditionalFormatting sqref="L323:M323">
    <cfRule type="cellIs" dxfId="1821" priority="65" operator="equal">
      <formula>0</formula>
    </cfRule>
  </conditionalFormatting>
  <conditionalFormatting sqref="L326">
    <cfRule type="cellIs" dxfId="1820" priority="61" operator="equal">
      <formula>0</formula>
    </cfRule>
  </conditionalFormatting>
  <conditionalFormatting sqref="M326">
    <cfRule type="cellIs" dxfId="1819" priority="60" operator="equal">
      <formula>0</formula>
    </cfRule>
  </conditionalFormatting>
  <conditionalFormatting sqref="L325:M325">
    <cfRule type="cellIs" dxfId="1818" priority="62" operator="equal">
      <formula>0</formula>
    </cfRule>
  </conditionalFormatting>
  <conditionalFormatting sqref="L328">
    <cfRule type="cellIs" dxfId="1817" priority="58" operator="equal">
      <formula>0</formula>
    </cfRule>
  </conditionalFormatting>
  <conditionalFormatting sqref="L330">
    <cfRule type="cellIs" dxfId="1816" priority="55" operator="equal">
      <formula>0</formula>
    </cfRule>
  </conditionalFormatting>
  <conditionalFormatting sqref="L327:M327">
    <cfRule type="cellIs" dxfId="1815" priority="59" operator="equal">
      <formula>0</formula>
    </cfRule>
  </conditionalFormatting>
  <conditionalFormatting sqref="M330">
    <cfRule type="cellIs" dxfId="1814" priority="52" operator="equal">
      <formula>0</formula>
    </cfRule>
  </conditionalFormatting>
  <conditionalFormatting sqref="M328">
    <cfRule type="cellIs" dxfId="1813" priority="53" operator="equal">
      <formula>0</formula>
    </cfRule>
  </conditionalFormatting>
  <conditionalFormatting sqref="L329:M329">
    <cfRule type="cellIs" dxfId="1812" priority="56" operator="equal">
      <formula>0</formula>
    </cfRule>
  </conditionalFormatting>
  <conditionalFormatting sqref="L362:M362">
    <cfRule type="cellIs" dxfId="1811" priority="51" operator="equal">
      <formula>0</formula>
    </cfRule>
  </conditionalFormatting>
  <conditionalFormatting sqref="L403:M404">
    <cfRule type="cellIs" dxfId="1810" priority="50" operator="equal">
      <formula>0</formula>
    </cfRule>
  </conditionalFormatting>
  <conditionalFormatting sqref="M126">
    <cfRule type="cellIs" dxfId="1809" priority="47" operator="equal">
      <formula>0</formula>
    </cfRule>
  </conditionalFormatting>
  <conditionalFormatting sqref="M113:M124">
    <cfRule type="cellIs" dxfId="1808" priority="41" operator="equal">
      <formula>0</formula>
    </cfRule>
  </conditionalFormatting>
  <conditionalFormatting sqref="L127:M127">
    <cfRule type="cellIs" dxfId="1807" priority="49" operator="equal">
      <formula>0</formula>
    </cfRule>
  </conditionalFormatting>
  <conditionalFormatting sqref="L126">
    <cfRule type="cellIs" dxfId="1806" priority="48" operator="equal">
      <formula>0</formula>
    </cfRule>
  </conditionalFormatting>
  <conditionalFormatting sqref="L133">
    <cfRule type="cellIs" dxfId="1805" priority="38" operator="equal">
      <formula>0</formula>
    </cfRule>
  </conditionalFormatting>
  <conditionalFormatting sqref="L112:M112">
    <cfRule type="cellIs" dxfId="1804" priority="46" operator="equal">
      <formula>0</formula>
    </cfRule>
  </conditionalFormatting>
  <conditionalFormatting sqref="L123">
    <cfRule type="cellIs" dxfId="1803" priority="42" operator="equal">
      <formula>0</formula>
    </cfRule>
  </conditionalFormatting>
  <conditionalFormatting sqref="L124 L113:L122">
    <cfRule type="cellIs" dxfId="1802" priority="43" operator="equal">
      <formula>0</formula>
    </cfRule>
  </conditionalFormatting>
  <conditionalFormatting sqref="L132:M132">
    <cfRule type="cellIs" dxfId="1801" priority="40" operator="equal">
      <formula>0</formula>
    </cfRule>
  </conditionalFormatting>
  <conditionalFormatting sqref="M133">
    <cfRule type="cellIs" dxfId="1800" priority="39" operator="equal">
      <formula>0</formula>
    </cfRule>
  </conditionalFormatting>
  <conditionalFormatting sqref="L203:M203">
    <cfRule type="cellIs" dxfId="1799" priority="37" operator="equal">
      <formula>0</formula>
    </cfRule>
  </conditionalFormatting>
  <conditionalFormatting sqref="G203:H203 J203:K203">
    <cfRule type="cellIs" dxfId="1798" priority="35" operator="equal">
      <formula>0</formula>
    </cfRule>
  </conditionalFormatting>
  <conditionalFormatting sqref="L204:M204">
    <cfRule type="cellIs" dxfId="1797" priority="36" operator="equal">
      <formula>0</formula>
    </cfRule>
  </conditionalFormatting>
  <conditionalFormatting sqref="G204:H204 J204:K204">
    <cfRule type="cellIs" dxfId="1796" priority="34" operator="equal">
      <formula>0</formula>
    </cfRule>
  </conditionalFormatting>
  <conditionalFormatting sqref="L205:M205">
    <cfRule type="cellIs" dxfId="1795" priority="33" operator="equal">
      <formula>0</formula>
    </cfRule>
  </conditionalFormatting>
  <conditionalFormatting sqref="G205:K205">
    <cfRule type="cellIs" dxfId="1794" priority="31" operator="equal">
      <formula>0</formula>
    </cfRule>
  </conditionalFormatting>
  <conditionalFormatting sqref="L206:M206">
    <cfRule type="cellIs" dxfId="1793" priority="32" operator="equal">
      <formula>0</formula>
    </cfRule>
  </conditionalFormatting>
  <conditionalFormatting sqref="G206:K206">
    <cfRule type="cellIs" dxfId="1792" priority="30" operator="equal">
      <formula>0</formula>
    </cfRule>
  </conditionalFormatting>
  <conditionalFormatting sqref="I203">
    <cfRule type="cellIs" dxfId="1791" priority="29" operator="equal">
      <formula>0</formula>
    </cfRule>
  </conditionalFormatting>
  <conditionalFormatting sqref="L223">
    <cfRule type="cellIs" dxfId="1790" priority="28" operator="equal">
      <formula>0</formula>
    </cfRule>
  </conditionalFormatting>
  <conditionalFormatting sqref="L299">
    <cfRule type="cellIs" dxfId="1789" priority="27" operator="equal">
      <formula>0</formula>
    </cfRule>
  </conditionalFormatting>
  <conditionalFormatting sqref="M299">
    <cfRule type="cellIs" dxfId="1788" priority="26" operator="equal">
      <formula>0</formula>
    </cfRule>
  </conditionalFormatting>
  <conditionalFormatting sqref="L301">
    <cfRule type="cellIs" dxfId="1787" priority="25" operator="equal">
      <formula>0</formula>
    </cfRule>
  </conditionalFormatting>
  <conditionalFormatting sqref="M301">
    <cfRule type="cellIs" dxfId="1786" priority="24" operator="equal">
      <formula>0</formula>
    </cfRule>
  </conditionalFormatting>
  <conditionalFormatting sqref="L303">
    <cfRule type="cellIs" dxfId="1785" priority="23" operator="equal">
      <formula>0</formula>
    </cfRule>
  </conditionalFormatting>
  <conditionalFormatting sqref="M303">
    <cfRule type="cellIs" dxfId="1784" priority="22" operator="equal">
      <formula>0</formula>
    </cfRule>
  </conditionalFormatting>
  <conditionalFormatting sqref="L301">
    <cfRule type="cellIs" dxfId="1783" priority="21" operator="equal">
      <formula>0</formula>
    </cfRule>
  </conditionalFormatting>
  <conditionalFormatting sqref="M301">
    <cfRule type="cellIs" dxfId="1782" priority="20" operator="equal">
      <formula>0</formula>
    </cfRule>
  </conditionalFormatting>
  <conditionalFormatting sqref="L303">
    <cfRule type="cellIs" dxfId="1781" priority="19" operator="equal">
      <formula>0</formula>
    </cfRule>
  </conditionalFormatting>
  <conditionalFormatting sqref="M303">
    <cfRule type="cellIs" dxfId="1780" priority="18" operator="equal">
      <formula>0</formula>
    </cfRule>
  </conditionalFormatting>
  <conditionalFormatting sqref="L305">
    <cfRule type="cellIs" dxfId="1779" priority="17" operator="equal">
      <formula>0</formula>
    </cfRule>
  </conditionalFormatting>
  <conditionalFormatting sqref="M305">
    <cfRule type="cellIs" dxfId="1778" priority="16" operator="equal">
      <formula>0</formula>
    </cfRule>
  </conditionalFormatting>
  <conditionalFormatting sqref="L306:L307">
    <cfRule type="cellIs" dxfId="1777" priority="15" operator="equal">
      <formula>0</formula>
    </cfRule>
  </conditionalFormatting>
  <conditionalFormatting sqref="M306:M307">
    <cfRule type="cellIs" dxfId="1776" priority="14" operator="equal">
      <formula>0</formula>
    </cfRule>
  </conditionalFormatting>
  <conditionalFormatting sqref="L307">
    <cfRule type="cellIs" dxfId="1775" priority="13" operator="equal">
      <formula>0</formula>
    </cfRule>
  </conditionalFormatting>
  <conditionalFormatting sqref="M307">
    <cfRule type="cellIs" dxfId="1774" priority="12" operator="equal">
      <formula>0</formula>
    </cfRule>
  </conditionalFormatting>
  <conditionalFormatting sqref="M1:M31 M42:M65536">
    <cfRule type="cellIs" dxfId="1773" priority="6" stopIfTrue="1" operator="equal">
      <formula>7725.745</formula>
    </cfRule>
    <cfRule type="cellIs" dxfId="1772" priority="7" stopIfTrue="1" operator="equal">
      <formula>0</formula>
    </cfRule>
  </conditionalFormatting>
  <conditionalFormatting sqref="M32:M41">
    <cfRule type="cellIs" dxfId="1771" priority="5" operator="equal">
      <formula>0</formula>
    </cfRule>
  </conditionalFormatting>
  <pageMargins left="0.51181102362204722" right="0.51181102362204722" top="0.78740157480314965" bottom="0.78740157480314965" header="0.31496062992125984" footer="0.31496062992125984"/>
  <pageSetup paperSize="9" scale="53" fitToHeight="8" orientation="portrait" horizontalDpi="1200" verticalDpi="1200" r:id="rId1"/>
  <rowBreaks count="5" manualBreakCount="5">
    <brk id="96" min="3" max="12" man="1"/>
    <brk id="153" min="3" max="12" man="1"/>
    <brk id="219" min="3" max="12" man="1"/>
    <brk id="283" min="3" max="12" man="1"/>
    <brk id="349" min="3" max="12"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O436"/>
  <sheetViews>
    <sheetView topLeftCell="B1" zoomScale="85" zoomScaleNormal="85" zoomScaleSheetLayoutView="70" workbookViewId="0">
      <selection activeCell="D1" sqref="D1:M4"/>
    </sheetView>
  </sheetViews>
  <sheetFormatPr defaultRowHeight="12.75"/>
  <cols>
    <col min="1" max="1" width="20" style="862" customWidth="1"/>
    <col min="2" max="2" width="8.85546875" style="835" bestFit="1" customWidth="1"/>
    <col min="3" max="3" width="14.7109375" style="835" customWidth="1"/>
    <col min="4" max="4" width="63.28515625" style="857" customWidth="1"/>
    <col min="5" max="5" width="15.7109375" style="857" customWidth="1"/>
    <col min="6" max="6" width="12.7109375" style="858" customWidth="1"/>
    <col min="7" max="8" width="11.85546875" style="857" customWidth="1"/>
    <col min="9" max="9" width="13" style="857" customWidth="1"/>
    <col min="10" max="10" width="13" style="859" customWidth="1"/>
    <col min="11" max="11" width="12" style="860" customWidth="1"/>
    <col min="12" max="12" width="12.5703125" style="861" customWidth="1"/>
    <col min="13" max="13" width="12.140625" style="861" customWidth="1"/>
    <col min="14" max="14" width="8.7109375" style="700" hidden="1" customWidth="1"/>
    <col min="15" max="15" width="10.42578125" style="871" hidden="1" customWidth="1"/>
    <col min="16" max="16384" width="9.140625" style="865"/>
  </cols>
  <sheetData>
    <row r="1" spans="1:15">
      <c r="D1" s="1661" t="s">
        <v>11665</v>
      </c>
      <c r="E1" s="1662"/>
      <c r="F1" s="1662"/>
      <c r="G1" s="1662"/>
      <c r="H1" s="1662"/>
      <c r="I1" s="1662"/>
      <c r="J1" s="1662"/>
      <c r="K1" s="1662"/>
      <c r="L1" s="1662"/>
      <c r="M1" s="1663"/>
      <c r="N1" s="1209"/>
    </row>
    <row r="2" spans="1:15" ht="39.75" customHeight="1">
      <c r="D2" s="1664"/>
      <c r="E2" s="1665"/>
      <c r="F2" s="1665"/>
      <c r="G2" s="1665"/>
      <c r="H2" s="1665"/>
      <c r="I2" s="1665"/>
      <c r="J2" s="1665"/>
      <c r="K2" s="1665"/>
      <c r="L2" s="1665"/>
      <c r="M2" s="1666"/>
      <c r="N2" s="876"/>
    </row>
    <row r="3" spans="1:15">
      <c r="D3" s="1664"/>
      <c r="E3" s="1665"/>
      <c r="F3" s="1665"/>
      <c r="G3" s="1665"/>
      <c r="H3" s="1665"/>
      <c r="I3" s="1665"/>
      <c r="J3" s="1665"/>
      <c r="K3" s="1665"/>
      <c r="L3" s="1665"/>
      <c r="M3" s="1666"/>
      <c r="N3" s="876"/>
    </row>
    <row r="4" spans="1:15" ht="15.75" customHeight="1" thickBot="1">
      <c r="D4" s="1667"/>
      <c r="E4" s="1668"/>
      <c r="F4" s="1668"/>
      <c r="G4" s="1668"/>
      <c r="H4" s="1668"/>
      <c r="I4" s="1668"/>
      <c r="J4" s="1668"/>
      <c r="K4" s="1668"/>
      <c r="L4" s="1668"/>
      <c r="M4" s="1669"/>
      <c r="N4" s="876"/>
    </row>
    <row r="5" spans="1:15" ht="14.25" customHeight="1">
      <c r="D5" s="782"/>
      <c r="E5" s="700"/>
      <c r="F5" s="783"/>
      <c r="G5" s="783"/>
      <c r="H5" s="783"/>
      <c r="I5" s="783"/>
      <c r="J5" s="784"/>
      <c r="K5" s="785"/>
      <c r="L5" s="786"/>
      <c r="M5" s="787"/>
      <c r="N5" s="876"/>
    </row>
    <row r="6" spans="1:15" ht="14.25" customHeight="1">
      <c r="D6" s="789" t="s">
        <v>14559</v>
      </c>
      <c r="E6" s="790"/>
      <c r="F6" s="790"/>
      <c r="G6" s="790"/>
      <c r="H6" s="790"/>
      <c r="I6" s="790"/>
      <c r="J6" s="790"/>
      <c r="K6" s="791"/>
      <c r="L6" s="792"/>
      <c r="M6" s="793"/>
      <c r="N6" s="793"/>
    </row>
    <row r="7" spans="1:15" ht="14.25" customHeight="1">
      <c r="D7" s="789" t="s">
        <v>11836</v>
      </c>
      <c r="E7" s="790"/>
      <c r="F7" s="790"/>
      <c r="G7" s="790"/>
      <c r="H7" s="790"/>
      <c r="I7" s="790"/>
      <c r="J7" s="790"/>
      <c r="K7" s="791"/>
      <c r="L7" s="795"/>
      <c r="M7" s="796"/>
      <c r="N7" s="1210"/>
    </row>
    <row r="8" spans="1:15" s="863" customFormat="1" ht="14.25" customHeight="1">
      <c r="A8" s="862"/>
      <c r="B8" s="835"/>
      <c r="C8" s="835"/>
      <c r="D8" s="1675" t="s">
        <v>14305</v>
      </c>
      <c r="E8" s="1676"/>
      <c r="F8" s="1676"/>
      <c r="G8" s="790"/>
      <c r="H8" s="790"/>
      <c r="I8" s="790"/>
      <c r="J8" s="790"/>
      <c r="K8" s="791"/>
      <c r="L8" s="795"/>
      <c r="M8" s="796"/>
      <c r="N8" s="1210"/>
      <c r="O8" s="871"/>
    </row>
    <row r="9" spans="1:15" s="863" customFormat="1" ht="6.75" customHeight="1" thickBot="1">
      <c r="A9" s="862"/>
      <c r="B9" s="835"/>
      <c r="C9" s="835"/>
      <c r="D9" s="798"/>
      <c r="E9" s="799"/>
      <c r="F9" s="799"/>
      <c r="G9" s="800"/>
      <c r="H9" s="800"/>
      <c r="I9" s="800"/>
      <c r="J9" s="800"/>
      <c r="K9" s="801"/>
      <c r="L9" s="802"/>
      <c r="M9" s="803"/>
      <c r="N9" s="1210"/>
      <c r="O9" s="871"/>
    </row>
    <row r="10" spans="1:15" s="863" customFormat="1" ht="15.75" customHeight="1" thickTop="1" thickBot="1">
      <c r="A10" s="862"/>
      <c r="B10" s="835"/>
      <c r="C10" s="835"/>
      <c r="D10" s="1653" t="s">
        <v>14279</v>
      </c>
      <c r="E10" s="1654"/>
      <c r="F10" s="1654"/>
      <c r="G10" s="1654"/>
      <c r="H10" s="1654"/>
      <c r="I10" s="1654"/>
      <c r="J10" s="1654"/>
      <c r="K10" s="1654"/>
      <c r="L10" s="1654"/>
      <c r="M10" s="1670"/>
      <c r="N10" s="1211"/>
      <c r="O10" s="871"/>
    </row>
    <row r="11" spans="1:15" s="863" customFormat="1" ht="9" customHeight="1" thickTop="1" thickBot="1">
      <c r="A11" s="862"/>
      <c r="B11" s="835"/>
      <c r="C11" s="835"/>
      <c r="D11" s="806"/>
      <c r="E11" s="807"/>
      <c r="F11" s="808"/>
      <c r="G11" s="700"/>
      <c r="H11" s="700"/>
      <c r="I11" s="700"/>
      <c r="J11" s="809"/>
      <c r="K11" s="791"/>
      <c r="L11" s="802"/>
      <c r="M11" s="810"/>
      <c r="N11" s="876"/>
      <c r="O11" s="871"/>
    </row>
    <row r="12" spans="1:15" s="863" customFormat="1" ht="14.25" customHeight="1" thickTop="1" thickBot="1">
      <c r="A12" s="862"/>
      <c r="B12" s="835"/>
      <c r="C12" s="835"/>
      <c r="D12" s="1653" t="s">
        <v>3</v>
      </c>
      <c r="E12" s="1654"/>
      <c r="F12" s="1654"/>
      <c r="G12" s="1654"/>
      <c r="H12" s="1654"/>
      <c r="I12" s="1654"/>
      <c r="J12" s="1654"/>
      <c r="K12" s="1654"/>
      <c r="L12" s="1654"/>
      <c r="M12" s="1670"/>
      <c r="N12" s="879"/>
      <c r="O12" s="871"/>
    </row>
    <row r="13" spans="1:15" s="863" customFormat="1" ht="11.25" customHeight="1" thickTop="1">
      <c r="A13" s="862"/>
      <c r="B13" s="835"/>
      <c r="C13" s="835"/>
      <c r="D13" s="814" t="s">
        <v>4</v>
      </c>
      <c r="E13" s="815"/>
      <c r="F13" s="815"/>
      <c r="G13" s="815"/>
      <c r="H13" s="815"/>
      <c r="I13" s="815"/>
      <c r="J13" s="815"/>
      <c r="K13" s="815"/>
      <c r="L13" s="816" t="s">
        <v>5</v>
      </c>
      <c r="M13" s="817">
        <f>'PARAMETROS MC'!C37</f>
        <v>7.5</v>
      </c>
      <c r="N13" s="1093"/>
      <c r="O13" s="875"/>
    </row>
    <row r="14" spans="1:15" s="863" customFormat="1" ht="11.25" customHeight="1">
      <c r="A14" s="862"/>
      <c r="B14" s="835"/>
      <c r="C14" s="835"/>
      <c r="D14" s="820" t="s">
        <v>34</v>
      </c>
      <c r="E14" s="821"/>
      <c r="F14" s="821"/>
      <c r="G14" s="821"/>
      <c r="H14" s="821"/>
      <c r="I14" s="821"/>
      <c r="J14" s="821"/>
      <c r="K14" s="821"/>
      <c r="L14" s="816" t="s">
        <v>5</v>
      </c>
      <c r="M14" s="817">
        <f>'PARAMETROS MC'!C38</f>
        <v>4.5999999999999996</v>
      </c>
      <c r="N14" s="1093"/>
      <c r="O14" s="875"/>
    </row>
    <row r="15" spans="1:15" s="863" customFormat="1" ht="11.25" customHeight="1">
      <c r="A15" s="862"/>
      <c r="B15" s="835"/>
      <c r="C15" s="835"/>
      <c r="D15" s="820" t="s">
        <v>6</v>
      </c>
      <c r="E15" s="821"/>
      <c r="F15" s="821"/>
      <c r="G15" s="821"/>
      <c r="H15" s="821"/>
      <c r="I15" s="821"/>
      <c r="J15" s="821"/>
      <c r="K15" s="821"/>
      <c r="L15" s="816" t="s">
        <v>8</v>
      </c>
      <c r="M15" s="822">
        <v>0.95</v>
      </c>
      <c r="N15" s="1093"/>
      <c r="O15" s="875"/>
    </row>
    <row r="16" spans="1:15" s="863" customFormat="1" ht="11.25" customHeight="1">
      <c r="A16" s="862"/>
      <c r="B16" s="835"/>
      <c r="C16" s="835"/>
      <c r="D16" s="820" t="s">
        <v>7</v>
      </c>
      <c r="E16" s="821"/>
      <c r="F16" s="821"/>
      <c r="G16" s="821"/>
      <c r="H16" s="821"/>
      <c r="I16" s="821"/>
      <c r="J16" s="821"/>
      <c r="K16" s="821"/>
      <c r="L16" s="816" t="s">
        <v>8</v>
      </c>
      <c r="M16" s="822">
        <v>0.05</v>
      </c>
      <c r="N16" s="1093"/>
      <c r="O16" s="875"/>
    </row>
    <row r="17" spans="1:15" s="863" customFormat="1" ht="11.25" customHeight="1">
      <c r="A17" s="862"/>
      <c r="B17" s="835"/>
      <c r="C17" s="835"/>
      <c r="D17" s="820" t="s">
        <v>9</v>
      </c>
      <c r="E17" s="821"/>
      <c r="F17" s="821"/>
      <c r="G17" s="821"/>
      <c r="H17" s="821"/>
      <c r="I17" s="821"/>
      <c r="J17" s="821"/>
      <c r="K17" s="821"/>
      <c r="L17" s="816" t="s">
        <v>8</v>
      </c>
      <c r="M17" s="822">
        <v>0.9</v>
      </c>
      <c r="N17" s="1093"/>
      <c r="O17" s="875"/>
    </row>
    <row r="18" spans="1:15" s="863" customFormat="1" ht="11.25" customHeight="1">
      <c r="A18" s="862"/>
      <c r="B18" s="835"/>
      <c r="C18" s="835"/>
      <c r="D18" s="820" t="s">
        <v>10</v>
      </c>
      <c r="E18" s="821"/>
      <c r="F18" s="821"/>
      <c r="G18" s="821"/>
      <c r="H18" s="821"/>
      <c r="I18" s="821"/>
      <c r="J18" s="821"/>
      <c r="K18" s="821"/>
      <c r="L18" s="816" t="s">
        <v>8</v>
      </c>
      <c r="M18" s="822">
        <v>0.05</v>
      </c>
      <c r="N18" s="1093"/>
      <c r="O18" s="875"/>
    </row>
    <row r="19" spans="1:15" s="863" customFormat="1" ht="11.25" customHeight="1">
      <c r="A19" s="862"/>
      <c r="B19" s="835"/>
      <c r="C19" s="835"/>
      <c r="D19" s="820" t="s">
        <v>11</v>
      </c>
      <c r="E19" s="821"/>
      <c r="F19" s="821"/>
      <c r="G19" s="821"/>
      <c r="H19" s="821"/>
      <c r="I19" s="821"/>
      <c r="J19" s="821"/>
      <c r="K19" s="821"/>
      <c r="L19" s="816" t="s">
        <v>8</v>
      </c>
      <c r="M19" s="822">
        <v>0</v>
      </c>
      <c r="N19" s="1093"/>
      <c r="O19" s="875"/>
    </row>
    <row r="20" spans="1:15" s="863" customFormat="1" ht="11.25" customHeight="1">
      <c r="A20" s="862"/>
      <c r="B20" s="835"/>
      <c r="C20" s="835"/>
      <c r="D20" s="820" t="s">
        <v>12</v>
      </c>
      <c r="E20" s="821"/>
      <c r="F20" s="821"/>
      <c r="G20" s="821"/>
      <c r="H20" s="821"/>
      <c r="I20" s="821"/>
      <c r="J20" s="821"/>
      <c r="K20" s="821"/>
      <c r="L20" s="816" t="s">
        <v>8</v>
      </c>
      <c r="M20" s="822">
        <v>0.05</v>
      </c>
      <c r="N20" s="1093"/>
      <c r="O20" s="875"/>
    </row>
    <row r="21" spans="1:15" s="863" customFormat="1" ht="11.25" customHeight="1">
      <c r="A21" s="862"/>
      <c r="B21" s="835"/>
      <c r="C21" s="835"/>
      <c r="D21" s="820" t="s">
        <v>13</v>
      </c>
      <c r="E21" s="821"/>
      <c r="F21" s="821"/>
      <c r="G21" s="821"/>
      <c r="H21" s="821"/>
      <c r="I21" s="821"/>
      <c r="J21" s="821"/>
      <c r="K21" s="821"/>
      <c r="L21" s="816" t="s">
        <v>8</v>
      </c>
      <c r="M21" s="822">
        <v>0.2</v>
      </c>
      <c r="N21" s="1093"/>
      <c r="O21" s="875"/>
    </row>
    <row r="22" spans="1:15" s="863" customFormat="1" ht="11.25" customHeight="1">
      <c r="A22" s="862"/>
      <c r="B22" s="835"/>
      <c r="C22" s="835"/>
      <c r="D22" s="820" t="s">
        <v>14</v>
      </c>
      <c r="E22" s="821"/>
      <c r="F22" s="821"/>
      <c r="G22" s="821"/>
      <c r="H22" s="821"/>
      <c r="I22" s="821"/>
      <c r="J22" s="821"/>
      <c r="K22" s="821"/>
      <c r="L22" s="816" t="s">
        <v>8</v>
      </c>
      <c r="M22" s="822">
        <v>0.2</v>
      </c>
      <c r="N22" s="1093"/>
      <c r="O22" s="875"/>
    </row>
    <row r="23" spans="1:15" s="863" customFormat="1" ht="11.25" customHeight="1">
      <c r="A23" s="862"/>
      <c r="B23" s="835"/>
      <c r="C23" s="835"/>
      <c r="D23" s="820" t="s">
        <v>15</v>
      </c>
      <c r="E23" s="821"/>
      <c r="F23" s="821"/>
      <c r="G23" s="821"/>
      <c r="H23" s="821"/>
      <c r="I23" s="821"/>
      <c r="J23" s="821"/>
      <c r="K23" s="821"/>
      <c r="L23" s="816" t="s">
        <v>8</v>
      </c>
      <c r="M23" s="822">
        <v>0</v>
      </c>
      <c r="N23" s="1093"/>
      <c r="O23" s="875"/>
    </row>
    <row r="24" spans="1:15" s="863" customFormat="1" ht="11.25" customHeight="1">
      <c r="A24" s="862"/>
      <c r="B24" s="835"/>
      <c r="C24" s="835"/>
      <c r="D24" s="820" t="s">
        <v>16</v>
      </c>
      <c r="E24" s="821"/>
      <c r="F24" s="821"/>
      <c r="G24" s="821"/>
      <c r="H24" s="821"/>
      <c r="I24" s="821"/>
      <c r="J24" s="821"/>
      <c r="K24" s="821"/>
      <c r="L24" s="816" t="s">
        <v>8</v>
      </c>
      <c r="M24" s="822">
        <v>1</v>
      </c>
      <c r="N24" s="1093"/>
      <c r="O24" s="875"/>
    </row>
    <row r="25" spans="1:15" ht="13.5" thickBot="1">
      <c r="D25" s="823"/>
      <c r="E25" s="700"/>
      <c r="F25" s="808"/>
      <c r="G25" s="700"/>
      <c r="H25" s="700"/>
      <c r="I25" s="700"/>
      <c r="J25" s="809"/>
      <c r="K25" s="791"/>
      <c r="L25" s="824"/>
      <c r="M25" s="825"/>
      <c r="N25" s="876"/>
    </row>
    <row r="26" spans="1:15" s="863" customFormat="1" ht="14.25" thickTop="1" thickBot="1">
      <c r="A26" s="862"/>
      <c r="B26" s="835"/>
      <c r="C26" s="835"/>
      <c r="D26" s="830" t="s">
        <v>11640</v>
      </c>
      <c r="E26" s="831"/>
      <c r="F26" s="831"/>
      <c r="G26" s="831"/>
      <c r="H26" s="831"/>
      <c r="I26" s="831"/>
      <c r="J26" s="831"/>
      <c r="K26" s="831"/>
      <c r="L26" s="832"/>
      <c r="M26" s="833"/>
      <c r="N26" s="1211"/>
      <c r="O26" s="871"/>
    </row>
    <row r="27" spans="1:15" ht="13.5" thickTop="1">
      <c r="D27" s="826"/>
      <c r="E27" s="790"/>
      <c r="F27" s="790"/>
      <c r="G27" s="700" t="s">
        <v>30</v>
      </c>
      <c r="H27" s="700" t="s">
        <v>30</v>
      </c>
      <c r="I27" s="700" t="s">
        <v>1275</v>
      </c>
      <c r="J27" s="700" t="s">
        <v>17</v>
      </c>
      <c r="K27" s="700" t="s">
        <v>19</v>
      </c>
      <c r="L27" s="700" t="s">
        <v>30</v>
      </c>
      <c r="M27" s="876" t="s">
        <v>30</v>
      </c>
      <c r="N27" s="825"/>
      <c r="O27" s="790"/>
    </row>
    <row r="28" spans="1:15">
      <c r="D28" s="826"/>
      <c r="E28" s="1674" t="s">
        <v>12571</v>
      </c>
      <c r="F28" s="1674"/>
      <c r="G28" s="1674"/>
      <c r="H28" s="824"/>
      <c r="I28" s="700">
        <v>0</v>
      </c>
      <c r="J28" s="828">
        <v>75</v>
      </c>
      <c r="K28" s="828">
        <v>5.5</v>
      </c>
      <c r="L28" s="700" t="s">
        <v>21</v>
      </c>
      <c r="M28" s="877">
        <f>I28*J28*K28</f>
        <v>0</v>
      </c>
      <c r="N28" s="825"/>
      <c r="O28" s="790"/>
    </row>
    <row r="29" spans="1:15" ht="22.5">
      <c r="A29" s="862" t="s">
        <v>12540</v>
      </c>
      <c r="B29" s="850" t="s">
        <v>70</v>
      </c>
      <c r="C29" s="850" t="s">
        <v>19163</v>
      </c>
      <c r="D29" s="836" t="str">
        <f>PROPER(IF(B29="Saneago",VLOOKUP(C29,'SANEAGO-FEV.2016'!A:B,2,0),IF(B29="Sinapi",VLOOKUP(C29,'SINAPI-FEV.2017'!A:D,2,0),IF(B29="Cotação",VLOOKUP(C29,COTAÇÃO!A:D,2,0),IF(B29="Composição",VLOOKUP(C29,COMPOSIÇÃO!A:D,2,0))))))</f>
        <v>Limpeza Mecanizada De Terreno Com Remocao De Camada Vegetal, Utilizando Motoniveladora</v>
      </c>
      <c r="E29" s="837"/>
      <c r="F29" s="837"/>
      <c r="G29" s="852"/>
      <c r="H29" s="852"/>
      <c r="I29" s="852"/>
      <c r="J29" s="852"/>
      <c r="K29" s="856" t="s">
        <v>27</v>
      </c>
      <c r="L29" s="856" t="s">
        <v>21</v>
      </c>
      <c r="M29" s="840">
        <f>SUM(M28:M28)</f>
        <v>0</v>
      </c>
      <c r="N29" s="825"/>
      <c r="O29" s="790"/>
    </row>
    <row r="30" spans="1:15" hidden="1">
      <c r="D30" s="826"/>
      <c r="E30" s="790"/>
      <c r="F30" s="790"/>
      <c r="G30" s="700"/>
      <c r="H30" s="700" t="s">
        <v>30</v>
      </c>
      <c r="I30" s="700" t="s">
        <v>1275</v>
      </c>
      <c r="J30" s="700" t="s">
        <v>17</v>
      </c>
      <c r="K30" s="700" t="s">
        <v>19</v>
      </c>
      <c r="L30" s="700"/>
      <c r="M30" s="829"/>
      <c r="N30" s="825"/>
      <c r="O30" s="790"/>
    </row>
    <row r="31" spans="1:15" hidden="1">
      <c r="D31" s="826"/>
      <c r="E31" s="1674" t="s">
        <v>12571</v>
      </c>
      <c r="F31" s="1674"/>
      <c r="G31" s="1674"/>
      <c r="H31" s="824"/>
      <c r="I31" s="700">
        <v>0</v>
      </c>
      <c r="J31" s="828">
        <v>0</v>
      </c>
      <c r="K31" s="828">
        <v>0</v>
      </c>
      <c r="L31" s="700" t="s">
        <v>21</v>
      </c>
      <c r="M31" s="829">
        <f>I31*J31*K31</f>
        <v>0</v>
      </c>
      <c r="N31" s="825"/>
      <c r="O31" s="790"/>
    </row>
    <row r="32" spans="1:15" hidden="1">
      <c r="D32" s="826"/>
      <c r="E32" s="854"/>
      <c r="F32" s="854"/>
      <c r="G32" s="854"/>
      <c r="H32" s="854"/>
      <c r="I32" s="700"/>
      <c r="J32" s="828"/>
      <c r="K32" s="828"/>
      <c r="L32" s="700"/>
      <c r="M32" s="829"/>
      <c r="N32" s="825"/>
      <c r="O32" s="790"/>
    </row>
    <row r="33" spans="1:15" ht="22.5" hidden="1">
      <c r="A33" s="862" t="s">
        <v>12541</v>
      </c>
      <c r="B33" s="850" t="s">
        <v>70</v>
      </c>
      <c r="C33" s="850" t="s">
        <v>19263</v>
      </c>
      <c r="D33" s="836" t="str">
        <f>PROPER(IF(B33="Saneago",VLOOKUP(C33,'SANEAGO-FEV.2016'!A:B,2,0),IF(B33="Sinapi",VLOOKUP(C33,'SINAPI-FEV.2017'!A:D,2,0),IF(B33="Cotação",VLOOKUP(C33,COTAÇÃO!A:D,2,0),IF(B33="Composição",VLOOKUP(C33,COMPOSIÇÃO!A:D,2,0))))))</f>
        <v>Locacao Convencional De Obra, Através De Gabarito De Tabuas Corridas Pontaletadas A Cada 1,50M, Sem Reaproveitamento</v>
      </c>
      <c r="E33" s="837"/>
      <c r="F33" s="837"/>
      <c r="G33" s="852"/>
      <c r="H33" s="852"/>
      <c r="I33" s="852"/>
      <c r="J33" s="852"/>
      <c r="K33" s="856" t="s">
        <v>27</v>
      </c>
      <c r="L33" s="856" t="s">
        <v>21</v>
      </c>
      <c r="M33" s="840">
        <f>SUM(M31:M31)</f>
        <v>0</v>
      </c>
      <c r="N33" s="825"/>
      <c r="O33" s="790"/>
    </row>
    <row r="34" spans="1:15" s="863" customFormat="1" hidden="1">
      <c r="A34" s="862"/>
      <c r="B34" s="835"/>
      <c r="C34" s="835"/>
      <c r="D34" s="826"/>
      <c r="E34" s="790"/>
      <c r="F34" s="790"/>
      <c r="G34" s="828"/>
      <c r="H34" s="828"/>
      <c r="I34" s="828"/>
      <c r="J34" s="828"/>
      <c r="K34" s="828"/>
      <c r="L34" s="700"/>
      <c r="M34" s="829"/>
      <c r="N34" s="876"/>
      <c r="O34" s="871"/>
    </row>
    <row r="35" spans="1:15" s="863" customFormat="1" ht="18.75" hidden="1" customHeight="1" thickTop="1" thickBot="1">
      <c r="A35" s="862"/>
      <c r="B35" s="835"/>
      <c r="C35" s="835"/>
      <c r="D35" s="830" t="s">
        <v>41</v>
      </c>
      <c r="E35" s="831"/>
      <c r="F35" s="831"/>
      <c r="G35" s="831"/>
      <c r="H35" s="831"/>
      <c r="I35" s="831"/>
      <c r="J35" s="831"/>
      <c r="K35" s="831"/>
      <c r="L35" s="832"/>
      <c r="M35" s="833"/>
      <c r="N35" s="1211"/>
      <c r="O35" s="871"/>
    </row>
    <row r="36" spans="1:15" s="863" customFormat="1" hidden="1">
      <c r="A36" s="862"/>
      <c r="B36" s="835"/>
      <c r="C36" s="835"/>
      <c r="D36" s="878"/>
      <c r="E36" s="816"/>
      <c r="F36" s="816"/>
      <c r="G36" s="700" t="s">
        <v>30</v>
      </c>
      <c r="H36" s="700" t="s">
        <v>30</v>
      </c>
      <c r="I36" s="700" t="s">
        <v>30</v>
      </c>
      <c r="J36" s="700" t="s">
        <v>30</v>
      </c>
      <c r="K36" s="700" t="s">
        <v>30</v>
      </c>
      <c r="L36" s="700"/>
      <c r="M36" s="879"/>
      <c r="N36" s="876"/>
      <c r="O36" s="871"/>
    </row>
    <row r="37" spans="1:15" s="863" customFormat="1" hidden="1">
      <c r="A37" s="862"/>
      <c r="B37" s="835"/>
      <c r="C37" s="835"/>
      <c r="D37" s="836" t="s">
        <v>11766</v>
      </c>
      <c r="E37" s="837"/>
      <c r="F37" s="837"/>
      <c r="G37" s="880"/>
      <c r="H37" s="880"/>
      <c r="I37" s="880"/>
      <c r="J37" s="880"/>
      <c r="K37" s="880"/>
      <c r="L37" s="852" t="s">
        <v>18</v>
      </c>
      <c r="M37" s="853">
        <v>2.6</v>
      </c>
      <c r="N37" s="876"/>
      <c r="O37" s="871"/>
    </row>
    <row r="38" spans="1:15" s="863" customFormat="1" hidden="1">
      <c r="A38" s="862"/>
      <c r="B38" s="835"/>
      <c r="C38" s="835"/>
      <c r="D38" s="881"/>
      <c r="E38" s="882"/>
      <c r="F38" s="882"/>
      <c r="G38" s="700"/>
      <c r="H38" s="700"/>
      <c r="I38" s="700"/>
      <c r="J38" s="700"/>
      <c r="K38" s="700"/>
      <c r="L38" s="883"/>
      <c r="M38" s="884"/>
      <c r="N38" s="876"/>
      <c r="O38" s="871"/>
    </row>
    <row r="39" spans="1:15" s="863" customFormat="1" hidden="1">
      <c r="A39" s="862"/>
      <c r="B39" s="835"/>
      <c r="C39" s="835"/>
      <c r="D39" s="836" t="s">
        <v>11668</v>
      </c>
      <c r="E39" s="837"/>
      <c r="F39" s="837"/>
      <c r="G39" s="852"/>
      <c r="H39" s="852"/>
      <c r="I39" s="852"/>
      <c r="J39" s="852"/>
      <c r="K39" s="852"/>
      <c r="L39" s="852"/>
      <c r="M39" s="885">
        <v>25</v>
      </c>
      <c r="N39" s="876"/>
      <c r="O39" s="1031"/>
    </row>
    <row r="40" spans="1:15" s="863" customFormat="1" ht="22.5" hidden="1">
      <c r="A40" s="862"/>
      <c r="B40" s="835"/>
      <c r="C40" s="835"/>
      <c r="D40" s="887"/>
      <c r="E40" s="883" t="s">
        <v>1275</v>
      </c>
      <c r="F40" s="700" t="s">
        <v>11676</v>
      </c>
      <c r="G40" s="700" t="s">
        <v>11669</v>
      </c>
      <c r="H40" s="700" t="s">
        <v>11674</v>
      </c>
      <c r="I40" s="700" t="s">
        <v>11675</v>
      </c>
      <c r="J40" s="700" t="s">
        <v>11667</v>
      </c>
      <c r="K40" s="908" t="s">
        <v>30</v>
      </c>
      <c r="L40" s="883"/>
      <c r="M40" s="884"/>
      <c r="N40" s="876"/>
      <c r="O40" s="871"/>
    </row>
    <row r="41" spans="1:15" s="863" customFormat="1" hidden="1">
      <c r="A41" s="862"/>
      <c r="B41" s="835"/>
      <c r="C41" s="835"/>
      <c r="D41" s="888"/>
      <c r="E41" s="700"/>
      <c r="F41" s="700"/>
      <c r="G41" s="700"/>
      <c r="H41" s="889"/>
      <c r="I41" s="889"/>
      <c r="J41" s="828"/>
      <c r="K41" s="908"/>
      <c r="L41" s="700" t="s">
        <v>18</v>
      </c>
      <c r="M41" s="890">
        <f>ROUND(E41*((J41/3)*((H41*I41)+SQRT((H41*I41)*(F41*G41))+(F41*G41))),2)</f>
        <v>0</v>
      </c>
      <c r="N41" s="876"/>
      <c r="O41" s="871"/>
    </row>
    <row r="42" spans="1:15" s="863" customFormat="1" ht="15" hidden="1" customHeight="1">
      <c r="A42" s="862"/>
      <c r="B42" s="835"/>
      <c r="C42" s="835"/>
      <c r="D42" s="894" t="s">
        <v>12575</v>
      </c>
      <c r="E42" s="895"/>
      <c r="F42" s="889"/>
      <c r="G42" s="889"/>
      <c r="H42" s="889"/>
      <c r="I42" s="1700" t="s">
        <v>27</v>
      </c>
      <c r="J42" s="1700"/>
      <c r="K42" s="1700"/>
      <c r="L42" s="816" t="s">
        <v>22</v>
      </c>
      <c r="M42" s="891">
        <f>SUM(M41:M41)</f>
        <v>0</v>
      </c>
      <c r="N42" s="876"/>
      <c r="O42" s="871"/>
    </row>
    <row r="43" spans="1:15" s="863" customFormat="1" ht="22.5" hidden="1">
      <c r="A43" s="862"/>
      <c r="B43" s="835"/>
      <c r="C43" s="835"/>
      <c r="D43" s="887"/>
      <c r="E43" s="883" t="s">
        <v>1275</v>
      </c>
      <c r="F43" s="883" t="s">
        <v>11676</v>
      </c>
      <c r="G43" s="883" t="s">
        <v>11669</v>
      </c>
      <c r="H43" s="883" t="s">
        <v>11674</v>
      </c>
      <c r="I43" s="883" t="s">
        <v>11675</v>
      </c>
      <c r="J43" s="883" t="s">
        <v>11667</v>
      </c>
      <c r="K43" s="883" t="s">
        <v>11667</v>
      </c>
      <c r="L43" s="883"/>
      <c r="M43" s="884"/>
      <c r="N43" s="876"/>
      <c r="O43" s="871"/>
    </row>
    <row r="44" spans="1:15" s="863" customFormat="1" hidden="1">
      <c r="A44" s="862"/>
      <c r="B44" s="835"/>
      <c r="C44" s="835"/>
      <c r="D44" s="888"/>
      <c r="E44" s="700"/>
      <c r="F44" s="828"/>
      <c r="G44" s="828"/>
      <c r="H44" s="828"/>
      <c r="I44" s="828"/>
      <c r="J44" s="828"/>
      <c r="K44" s="700"/>
      <c r="L44" s="700" t="s">
        <v>22</v>
      </c>
      <c r="M44" s="890">
        <f>ROUND((J44/3)*((H44*I44)+SQRT((H44*I44)*(F44*G44))+(F44*G44)),2)</f>
        <v>0</v>
      </c>
      <c r="N44" s="876"/>
      <c r="O44" s="871"/>
    </row>
    <row r="45" spans="1:15" s="863" customFormat="1" hidden="1">
      <c r="A45" s="862"/>
      <c r="B45" s="835"/>
      <c r="C45" s="835"/>
      <c r="D45" s="836" t="s">
        <v>12515</v>
      </c>
      <c r="E45" s="837"/>
      <c r="F45" s="837"/>
      <c r="G45" s="852"/>
      <c r="H45" s="852"/>
      <c r="I45" s="852"/>
      <c r="J45" s="852"/>
      <c r="K45" s="839" t="s">
        <v>27</v>
      </c>
      <c r="L45" s="856" t="s">
        <v>22</v>
      </c>
      <c r="M45" s="840">
        <f>SUM(M44:M44)</f>
        <v>0</v>
      </c>
      <c r="N45" s="877">
        <f>SUM(M51,M48,M45)</f>
        <v>0</v>
      </c>
      <c r="O45" s="871"/>
    </row>
    <row r="46" spans="1:15" s="863" customFormat="1" ht="22.5" hidden="1">
      <c r="A46" s="862"/>
      <c r="B46" s="835"/>
      <c r="C46" s="835"/>
      <c r="D46" s="887"/>
      <c r="E46" s="883" t="s">
        <v>1275</v>
      </c>
      <c r="F46" s="700" t="s">
        <v>11676</v>
      </c>
      <c r="G46" s="700" t="s">
        <v>11669</v>
      </c>
      <c r="H46" s="700" t="s">
        <v>11674</v>
      </c>
      <c r="I46" s="700" t="s">
        <v>11675</v>
      </c>
      <c r="J46" s="700" t="s">
        <v>11667</v>
      </c>
      <c r="K46" s="908" t="s">
        <v>30</v>
      </c>
      <c r="L46" s="700"/>
      <c r="M46" s="890"/>
      <c r="N46" s="876"/>
      <c r="O46" s="871"/>
    </row>
    <row r="47" spans="1:15" s="863" customFormat="1" hidden="1">
      <c r="A47" s="862"/>
      <c r="B47" s="835"/>
      <c r="C47" s="835"/>
      <c r="D47" s="888"/>
      <c r="E47" s="700"/>
      <c r="F47" s="828"/>
      <c r="G47" s="828"/>
      <c r="H47" s="828"/>
      <c r="I47" s="828"/>
      <c r="J47" s="828"/>
      <c r="K47" s="908"/>
      <c r="L47" s="700" t="s">
        <v>22</v>
      </c>
      <c r="M47" s="890">
        <f>ROUND((J47/3)*((H47*I47)+SQRT((H47*I47)*(F47*G47))+(F47*G47)),2)</f>
        <v>0</v>
      </c>
      <c r="N47" s="876"/>
      <c r="O47" s="871"/>
    </row>
    <row r="48" spans="1:15" s="863" customFormat="1" hidden="1">
      <c r="A48" s="862"/>
      <c r="B48" s="835"/>
      <c r="C48" s="835"/>
      <c r="D48" s="836" t="s">
        <v>11786</v>
      </c>
      <c r="E48" s="837"/>
      <c r="F48" s="837"/>
      <c r="G48" s="838"/>
      <c r="H48" s="838"/>
      <c r="I48" s="838"/>
      <c r="J48" s="838"/>
      <c r="K48" s="839" t="s">
        <v>27</v>
      </c>
      <c r="L48" s="856" t="s">
        <v>22</v>
      </c>
      <c r="M48" s="840">
        <f>SUM(M47:M47)</f>
        <v>0</v>
      </c>
      <c r="N48" s="876"/>
      <c r="O48" s="871"/>
    </row>
    <row r="49" spans="1:15" s="863" customFormat="1" ht="22.5" hidden="1">
      <c r="A49" s="862"/>
      <c r="B49" s="835"/>
      <c r="C49" s="835"/>
      <c r="D49" s="887"/>
      <c r="E49" s="883" t="s">
        <v>1275</v>
      </c>
      <c r="F49" s="700" t="s">
        <v>11676</v>
      </c>
      <c r="G49" s="700" t="s">
        <v>11669</v>
      </c>
      <c r="H49" s="700" t="s">
        <v>11674</v>
      </c>
      <c r="I49" s="700" t="s">
        <v>11675</v>
      </c>
      <c r="J49" s="700" t="s">
        <v>11667</v>
      </c>
      <c r="K49" s="700" t="s">
        <v>30</v>
      </c>
      <c r="L49" s="700"/>
      <c r="M49" s="890"/>
      <c r="N49" s="876"/>
      <c r="O49" s="871"/>
    </row>
    <row r="50" spans="1:15" s="863" customFormat="1" hidden="1">
      <c r="A50" s="862"/>
      <c r="B50" s="835"/>
      <c r="C50" s="835"/>
      <c r="D50" s="888"/>
      <c r="E50" s="700"/>
      <c r="F50" s="828"/>
      <c r="G50" s="828"/>
      <c r="H50" s="828"/>
      <c r="I50" s="828"/>
      <c r="J50" s="828"/>
      <c r="K50" s="700"/>
      <c r="L50" s="700" t="s">
        <v>22</v>
      </c>
      <c r="M50" s="890">
        <f>ROUND((J50/3)*((H50*I50)+SQRT((H50*I50)*(F50*G50))+(F50*G50)),2)</f>
        <v>0</v>
      </c>
      <c r="N50" s="876"/>
      <c r="O50" s="871"/>
    </row>
    <row r="51" spans="1:15" s="863" customFormat="1" hidden="1">
      <c r="A51" s="862"/>
      <c r="B51" s="835"/>
      <c r="C51" s="835"/>
      <c r="D51" s="836" t="s">
        <v>12574</v>
      </c>
      <c r="E51" s="837"/>
      <c r="F51" s="837"/>
      <c r="G51" s="838"/>
      <c r="H51" s="838"/>
      <c r="I51" s="838"/>
      <c r="J51" s="838"/>
      <c r="K51" s="839" t="s">
        <v>27</v>
      </c>
      <c r="L51" s="856" t="s">
        <v>22</v>
      </c>
      <c r="M51" s="840">
        <f>SUM(M50:M50)</f>
        <v>0</v>
      </c>
      <c r="N51" s="1212"/>
      <c r="O51" s="871"/>
    </row>
    <row r="52" spans="1:15" s="863" customFormat="1" hidden="1">
      <c r="A52" s="862"/>
      <c r="B52" s="835"/>
      <c r="C52" s="835"/>
      <c r="D52" s="881"/>
      <c r="E52" s="882"/>
      <c r="F52" s="882"/>
      <c r="G52" s="700"/>
      <c r="H52" s="700"/>
      <c r="I52" s="700"/>
      <c r="J52" s="700" t="s">
        <v>11696</v>
      </c>
      <c r="K52" s="700" t="s">
        <v>11641</v>
      </c>
      <c r="L52" s="883"/>
      <c r="M52" s="884"/>
      <c r="N52" s="877">
        <f>SUM(M53:M81)</f>
        <v>0</v>
      </c>
      <c r="O52" s="871"/>
    </row>
    <row r="53" spans="1:15" s="863" customFormat="1" ht="22.5" hidden="1">
      <c r="A53" s="862" t="s">
        <v>12542</v>
      </c>
      <c r="B53" s="835" t="s">
        <v>10852</v>
      </c>
      <c r="C53" s="893">
        <v>181</v>
      </c>
      <c r="D53" s="894" t="str">
        <f>PROPER(IF(B53="Saneago",VLOOKUP(C53,'SANEAGO-FEV.2016'!A:B,2,0),IF(B53="Sinapi",VLOOKUP(C53,'SINAPI-FEV.2017'!A:D,2,0),IF(B53="Cotação",VLOOKUP(C53,COTAÇÃO!A:D,2,0),IF(B53="Composição",VLOOKUP(C53,COMPOSIÇÃO!A:D,2,0))))))</f>
        <v>Escavação  Mecanizada  (Com Escavadeira Hidráulica)  Em Valas Com Material De 1ª Categoria - Profundidade Até 2,0 M</v>
      </c>
      <c r="E53" s="895"/>
      <c r="F53" s="895"/>
      <c r="G53" s="852"/>
      <c r="H53" s="852"/>
      <c r="I53" s="852"/>
      <c r="J53" s="896">
        <f>M15</f>
        <v>0.95</v>
      </c>
      <c r="K53" s="896">
        <f>M17</f>
        <v>0.9</v>
      </c>
      <c r="L53" s="852" t="s">
        <v>22</v>
      </c>
      <c r="M53" s="853">
        <f>K53*$M$45*J53</f>
        <v>0</v>
      </c>
      <c r="N53" s="877">
        <f>SUM(M53,M59,M65,M71,M75,M79)</f>
        <v>0</v>
      </c>
      <c r="O53" s="1213">
        <f>M45-N53</f>
        <v>0</v>
      </c>
    </row>
    <row r="54" spans="1:15" s="863" customFormat="1" hidden="1">
      <c r="A54" s="862"/>
      <c r="B54" s="835"/>
      <c r="C54" s="893"/>
      <c r="D54" s="881"/>
      <c r="E54" s="882"/>
      <c r="F54" s="882"/>
      <c r="G54" s="700"/>
      <c r="H54" s="700"/>
      <c r="I54" s="700"/>
      <c r="J54" s="700" t="s">
        <v>11696</v>
      </c>
      <c r="K54" s="700" t="s">
        <v>11641</v>
      </c>
      <c r="L54" s="883"/>
      <c r="M54" s="884"/>
      <c r="N54" s="877"/>
      <c r="O54" s="871"/>
    </row>
    <row r="55" spans="1:15" s="863" customFormat="1" ht="22.5" hidden="1">
      <c r="A55" s="862" t="s">
        <v>12543</v>
      </c>
      <c r="B55" s="835" t="s">
        <v>10852</v>
      </c>
      <c r="C55" s="893">
        <v>182</v>
      </c>
      <c r="D55" s="894" t="str">
        <f>PROPER(IF(B55="Saneago",VLOOKUP(C55,'SANEAGO-FEV.2016'!A:B,2,0),IF(B55="Sinapi",VLOOKUP(C55,'SINAPI-FEV.2017'!A:D,2,0),IF(B55="Cotação",VLOOKUP(C55,COTAÇÃO!A:D,2,0),IF(B55="Composição",VLOOKUP(C55,COMPOSIÇÃO!A:D,2,0))))))</f>
        <v>Escavação  Mecanizada  (Com Escavadeira Hidráulica)  Em Valas Com Material De 1ª Categoria - Profundidade De 2,0 A 4,0M</v>
      </c>
      <c r="E55" s="895"/>
      <c r="F55" s="895"/>
      <c r="G55" s="852"/>
      <c r="H55" s="852"/>
      <c r="I55" s="852"/>
      <c r="J55" s="896">
        <f>J53</f>
        <v>0.95</v>
      </c>
      <c r="K55" s="896">
        <f>K53</f>
        <v>0.9</v>
      </c>
      <c r="L55" s="852" t="s">
        <v>22</v>
      </c>
      <c r="M55" s="853">
        <f>K55*M$48*J55</f>
        <v>0</v>
      </c>
      <c r="N55" s="877">
        <f>SUM(M55,M61,M67,M73,M77,M81)</f>
        <v>0</v>
      </c>
      <c r="O55" s="1213">
        <f>M47-N55</f>
        <v>0</v>
      </c>
    </row>
    <row r="56" spans="1:15" s="863" customFormat="1" hidden="1">
      <c r="A56" s="862"/>
      <c r="B56" s="835"/>
      <c r="C56" s="893"/>
      <c r="D56" s="881"/>
      <c r="E56" s="882"/>
      <c r="F56" s="882"/>
      <c r="G56" s="700"/>
      <c r="H56" s="700"/>
      <c r="I56" s="700"/>
      <c r="J56" s="700" t="s">
        <v>11696</v>
      </c>
      <c r="K56" s="700" t="s">
        <v>11641</v>
      </c>
      <c r="L56" s="883"/>
      <c r="M56" s="884"/>
      <c r="N56" s="877"/>
      <c r="O56" s="871"/>
    </row>
    <row r="57" spans="1:15" s="863" customFormat="1" ht="22.5" hidden="1">
      <c r="A57" s="862" t="s">
        <v>12544</v>
      </c>
      <c r="B57" s="835" t="s">
        <v>10852</v>
      </c>
      <c r="C57" s="893">
        <v>183</v>
      </c>
      <c r="D57" s="894" t="str">
        <f>PROPER(IF(B57="Saneago",VLOOKUP(C57,'SANEAGO-FEV.2016'!A:B,2,0),IF(B57="Sinapi",VLOOKUP(C57,'SINAPI-FEV.2017'!A:D,2,0),IF(B57="Cotação",VLOOKUP(C57,COTAÇÃO!A:D,2,0),IF(B57="Composição",VLOOKUP(C57,COMPOSIÇÃO!A:D,2,0))))))</f>
        <v>Escavação  Mecanizada  (Com Escavadeira Hidráulica)  Em Valas Com Material De 1ª Categoria - Profundidade De 4,0 A 6,0M</v>
      </c>
      <c r="E57" s="895"/>
      <c r="F57" s="895"/>
      <c r="G57" s="852"/>
      <c r="H57" s="852"/>
      <c r="I57" s="852"/>
      <c r="J57" s="896">
        <v>1</v>
      </c>
      <c r="K57" s="896">
        <f>K55</f>
        <v>0.9</v>
      </c>
      <c r="L57" s="852" t="s">
        <v>22</v>
      </c>
      <c r="M57" s="853">
        <f>K57*M$51*J57</f>
        <v>0</v>
      </c>
      <c r="N57" s="877">
        <f>SUM(M57,M63,M69,)</f>
        <v>0</v>
      </c>
      <c r="O57" s="1213"/>
    </row>
    <row r="58" spans="1:15" s="863" customFormat="1" hidden="1">
      <c r="A58" s="862"/>
      <c r="B58" s="835"/>
      <c r="C58" s="893"/>
      <c r="D58" s="881"/>
      <c r="E58" s="882"/>
      <c r="F58" s="882"/>
      <c r="G58" s="700"/>
      <c r="H58" s="700"/>
      <c r="I58" s="700"/>
      <c r="J58" s="700" t="s">
        <v>11696</v>
      </c>
      <c r="K58" s="700" t="s">
        <v>11642</v>
      </c>
      <c r="L58" s="883"/>
      <c r="M58" s="884"/>
      <c r="N58" s="877"/>
      <c r="O58" s="871"/>
    </row>
    <row r="59" spans="1:15" s="863" customFormat="1" ht="33.75" hidden="1">
      <c r="A59" s="862" t="s">
        <v>12545</v>
      </c>
      <c r="B59" s="835" t="s">
        <v>10852</v>
      </c>
      <c r="C59" s="893">
        <v>184</v>
      </c>
      <c r="D59" s="894" t="str">
        <f>PROPER(IF(B59="Saneago",VLOOKUP(C59,'SANEAGO-FEV.2016'!A:B,2,0),IF(B59="Sinapi",VLOOKUP(C59,'SINAPI-FEV.2017'!A:D,2,0),IF(B59="Cotação",VLOOKUP(C59,COTAÇÃO!A:D,2,0),IF(B59="Composição",VLOOKUP(C59,COMPOSIÇÃO!A:D,2,0))))))</f>
        <v>Escavação  Mecanizada  (Com Escavadeira Hidráulica)  Em Valas Com Material De 2ª Categoria
- Profundidade Até 2,0 M</v>
      </c>
      <c r="E59" s="895"/>
      <c r="F59" s="895"/>
      <c r="G59" s="852"/>
      <c r="H59" s="852"/>
      <c r="I59" s="852"/>
      <c r="J59" s="896">
        <f>J55</f>
        <v>0.95</v>
      </c>
      <c r="K59" s="896">
        <f>M18</f>
        <v>0.05</v>
      </c>
      <c r="L59" s="852" t="s">
        <v>22</v>
      </c>
      <c r="M59" s="853">
        <f>K59*$M$45*J59</f>
        <v>0</v>
      </c>
      <c r="N59" s="877"/>
      <c r="O59" s="871"/>
    </row>
    <row r="60" spans="1:15" s="863" customFormat="1" hidden="1">
      <c r="A60" s="862"/>
      <c r="B60" s="835"/>
      <c r="C60" s="835"/>
      <c r="D60" s="881"/>
      <c r="E60" s="882"/>
      <c r="F60" s="882"/>
      <c r="G60" s="700"/>
      <c r="H60" s="700"/>
      <c r="I60" s="700"/>
      <c r="J60" s="700" t="s">
        <v>11696</v>
      </c>
      <c r="K60" s="700" t="s">
        <v>11642</v>
      </c>
      <c r="L60" s="883"/>
      <c r="M60" s="884"/>
      <c r="N60" s="876"/>
      <c r="O60" s="871"/>
    </row>
    <row r="61" spans="1:15" s="863" customFormat="1" ht="33.75" hidden="1">
      <c r="A61" s="862" t="s">
        <v>12546</v>
      </c>
      <c r="B61" s="835" t="s">
        <v>10852</v>
      </c>
      <c r="C61" s="893">
        <v>185</v>
      </c>
      <c r="D61" s="894" t="str">
        <f>PROPER(IF(B61="Saneago",VLOOKUP(C61,'SANEAGO-FEV.2016'!A:B,2,0),IF(B61="Sinapi",VLOOKUP(C61,'SINAPI-FEV.2017'!A:D,2,0),IF(B61="Cotação",VLOOKUP(C61,COTAÇÃO!A:D,2,0),IF(B61="Composição",VLOOKUP(C61,COMPOSIÇÃO!A:D,2,0))))))</f>
        <v>Escavação  Mecanizada  (Com Escavadeira Hidráulica)  Em Valas Com Material De 2ª Categoria
- Profundidade De 2,0 A 4,0 M</v>
      </c>
      <c r="E61" s="895"/>
      <c r="F61" s="895"/>
      <c r="G61" s="852"/>
      <c r="H61" s="852"/>
      <c r="I61" s="852"/>
      <c r="J61" s="896">
        <f>J59</f>
        <v>0.95</v>
      </c>
      <c r="K61" s="896">
        <f>K59</f>
        <v>0.05</v>
      </c>
      <c r="L61" s="852" t="s">
        <v>22</v>
      </c>
      <c r="M61" s="853">
        <f>K61*M$48*J61</f>
        <v>0</v>
      </c>
      <c r="N61" s="876"/>
      <c r="O61" s="871"/>
    </row>
    <row r="62" spans="1:15" s="863" customFormat="1" hidden="1">
      <c r="A62" s="862"/>
      <c r="B62" s="835"/>
      <c r="C62" s="893"/>
      <c r="D62" s="881"/>
      <c r="E62" s="882"/>
      <c r="F62" s="882"/>
      <c r="G62" s="700"/>
      <c r="H62" s="700"/>
      <c r="I62" s="700"/>
      <c r="J62" s="700" t="s">
        <v>11696</v>
      </c>
      <c r="K62" s="700" t="s">
        <v>11642</v>
      </c>
      <c r="L62" s="883"/>
      <c r="M62" s="884"/>
      <c r="N62" s="876"/>
      <c r="O62" s="871"/>
    </row>
    <row r="63" spans="1:15" s="863" customFormat="1" ht="33.75" hidden="1">
      <c r="A63" s="862" t="s">
        <v>12547</v>
      </c>
      <c r="B63" s="835" t="s">
        <v>10852</v>
      </c>
      <c r="C63" s="893">
        <v>186</v>
      </c>
      <c r="D63" s="894" t="str">
        <f>PROPER(IF(B63="Saneago",VLOOKUP(C63,'SANEAGO-FEV.2016'!A:B,2,0),IF(B63="Sinapi",VLOOKUP(C63,'SINAPI-FEV.2017'!A:D,2,0),IF(B63="Cotação",VLOOKUP(C63,COTAÇÃO!A:D,2,0),IF(B63="Composição",VLOOKUP(C63,COMPOSIÇÃO!A:D,2,0))))))</f>
        <v>Escavação  Mecanizada  (Com Escavadeira Hidráulica)  Em Valas Com Material De 2ª Categoria
- Profundidade De 4,0 A 6,0 M</v>
      </c>
      <c r="E63" s="895"/>
      <c r="F63" s="895"/>
      <c r="G63" s="852"/>
      <c r="H63" s="852"/>
      <c r="I63" s="852"/>
      <c r="J63" s="896">
        <v>1</v>
      </c>
      <c r="K63" s="896">
        <f>K61</f>
        <v>0.05</v>
      </c>
      <c r="L63" s="852" t="s">
        <v>22</v>
      </c>
      <c r="M63" s="853">
        <f>K63*M$51*J63</f>
        <v>0</v>
      </c>
      <c r="N63" s="876"/>
      <c r="O63" s="871"/>
    </row>
    <row r="64" spans="1:15" s="863" customFormat="1" hidden="1">
      <c r="A64" s="862"/>
      <c r="B64" s="835"/>
      <c r="C64" s="835"/>
      <c r="D64" s="881"/>
      <c r="E64" s="882"/>
      <c r="F64" s="882"/>
      <c r="G64" s="700"/>
      <c r="H64" s="700"/>
      <c r="I64" s="700"/>
      <c r="J64" s="700" t="s">
        <v>11696</v>
      </c>
      <c r="K64" s="700" t="s">
        <v>11677</v>
      </c>
      <c r="L64" s="883"/>
      <c r="M64" s="884"/>
      <c r="N64" s="876"/>
      <c r="O64" s="871"/>
    </row>
    <row r="65" spans="1:15" s="863" customFormat="1" ht="22.5" hidden="1">
      <c r="A65" s="862" t="s">
        <v>12576</v>
      </c>
      <c r="B65" s="835" t="s">
        <v>10852</v>
      </c>
      <c r="C65" s="893">
        <v>187</v>
      </c>
      <c r="D65" s="894" t="str">
        <f>PROPER(IF(B65="Saneago",VLOOKUP(C65,'SANEAGO-FEV.2016'!A:B,2,0),IF(B65="Sinapi",VLOOKUP(C65,'SINAPI-FEV.2017'!A:D,2,0),IF(B65="Cotação",VLOOKUP(C65,COTAÇÃO!A:D,2,0),IF(B65="Composição",VLOOKUP(C65,COMPOSIÇÃO!A:D,2,0))))))</f>
        <v>Escavação  Mecanizada  (Com Escavadeira Hidráulica)  Em Valas Com Material  De Solo Mole - Profundidade Até 2,0 M</v>
      </c>
      <c r="E65" s="895"/>
      <c r="F65" s="895"/>
      <c r="G65" s="852"/>
      <c r="H65" s="852"/>
      <c r="I65" s="852"/>
      <c r="J65" s="896">
        <f>J61</f>
        <v>0.95</v>
      </c>
      <c r="K65" s="896">
        <f>M20</f>
        <v>0.05</v>
      </c>
      <c r="L65" s="852" t="s">
        <v>22</v>
      </c>
      <c r="M65" s="853">
        <f>K65*$M$45*J65</f>
        <v>0</v>
      </c>
      <c r="N65" s="876"/>
      <c r="O65" s="871"/>
    </row>
    <row r="66" spans="1:15" s="863" customFormat="1" hidden="1">
      <c r="A66" s="862"/>
      <c r="B66" s="835"/>
      <c r="C66" s="835"/>
      <c r="D66" s="881"/>
      <c r="E66" s="882"/>
      <c r="F66" s="882"/>
      <c r="G66" s="700"/>
      <c r="H66" s="700"/>
      <c r="I66" s="700"/>
      <c r="J66" s="700" t="s">
        <v>11696</v>
      </c>
      <c r="K66" s="700" t="s">
        <v>11677</v>
      </c>
      <c r="L66" s="883"/>
      <c r="M66" s="884"/>
      <c r="N66" s="876"/>
      <c r="O66" s="871"/>
    </row>
    <row r="67" spans="1:15" s="863" customFormat="1" ht="22.5" hidden="1">
      <c r="A67" s="862" t="s">
        <v>12577</v>
      </c>
      <c r="B67" s="835" t="s">
        <v>10852</v>
      </c>
      <c r="C67" s="893">
        <v>188</v>
      </c>
      <c r="D67" s="894" t="str">
        <f>PROPER(IF(B67="Saneago",VLOOKUP(C67,'SANEAGO-FEV.2016'!A:B,2,0),IF(B67="Sinapi",VLOOKUP(C67,'SINAPI-FEV.2017'!A:D,2,0),IF(B67="Cotação",VLOOKUP(C67,COTAÇÃO!A:D,2,0),IF(B67="Composição",VLOOKUP(C67,COMPOSIÇÃO!A:D,2,0))))))</f>
        <v>Escavação  Mecanizada  (Com Escavadeira Hidráulica)  Em Valas Com Material  De Solo Mole - Profundidade De 2,0 A 4,0 M</v>
      </c>
      <c r="E67" s="895"/>
      <c r="F67" s="895"/>
      <c r="G67" s="852"/>
      <c r="H67" s="852"/>
      <c r="I67" s="852"/>
      <c r="J67" s="896">
        <f>J65</f>
        <v>0.95</v>
      </c>
      <c r="K67" s="896">
        <f>K65</f>
        <v>0.05</v>
      </c>
      <c r="L67" s="852" t="s">
        <v>22</v>
      </c>
      <c r="M67" s="853">
        <f>K67*M$48*J67</f>
        <v>0</v>
      </c>
      <c r="N67" s="876"/>
      <c r="O67" s="871"/>
    </row>
    <row r="68" spans="1:15" s="863" customFormat="1" hidden="1">
      <c r="A68" s="862"/>
      <c r="B68" s="835"/>
      <c r="C68" s="835"/>
      <c r="D68" s="881"/>
      <c r="E68" s="882"/>
      <c r="F68" s="882"/>
      <c r="G68" s="700"/>
      <c r="H68" s="700"/>
      <c r="I68" s="700"/>
      <c r="J68" s="700" t="s">
        <v>11696</v>
      </c>
      <c r="K68" s="700" t="s">
        <v>11677</v>
      </c>
      <c r="L68" s="883"/>
      <c r="M68" s="884"/>
      <c r="N68" s="876"/>
      <c r="O68" s="871"/>
    </row>
    <row r="69" spans="1:15" s="863" customFormat="1" ht="22.5" hidden="1">
      <c r="A69" s="862" t="s">
        <v>12578</v>
      </c>
      <c r="B69" s="835" t="s">
        <v>10852</v>
      </c>
      <c r="C69" s="893">
        <v>189</v>
      </c>
      <c r="D69" s="894" t="str">
        <f>PROPER(IF(B69="Saneago",VLOOKUP(C69,'SANEAGO-FEV.2016'!A:B,2,0),IF(B69="Sinapi",VLOOKUP(C69,'SINAPI-FEV.2017'!A:D,2,0),IF(B69="Cotação",VLOOKUP(C69,COTAÇÃO!A:D,2,0),IF(B69="Composição",VLOOKUP(C69,COMPOSIÇÃO!A:D,2,0))))))</f>
        <v>Escavação  Mecanizada  (Com Escavadeira Hidráulica)  Em Valas Com Material  De Solo Mole - Profundidade De 4,0 A 6,0 M</v>
      </c>
      <c r="E69" s="895"/>
      <c r="F69" s="895"/>
      <c r="G69" s="852"/>
      <c r="H69" s="852"/>
      <c r="I69" s="852"/>
      <c r="J69" s="896">
        <v>1</v>
      </c>
      <c r="K69" s="896">
        <f>K67</f>
        <v>0.05</v>
      </c>
      <c r="L69" s="852" t="s">
        <v>22</v>
      </c>
      <c r="M69" s="853">
        <f>K69*M$51*J69</f>
        <v>0</v>
      </c>
      <c r="N69" s="876"/>
      <c r="O69" s="871"/>
    </row>
    <row r="70" spans="1:15" s="863" customFormat="1" hidden="1">
      <c r="A70" s="862"/>
      <c r="B70" s="835"/>
      <c r="C70" s="835"/>
      <c r="D70" s="881"/>
      <c r="E70" s="882"/>
      <c r="F70" s="882"/>
      <c r="G70" s="700"/>
      <c r="H70" s="700"/>
      <c r="I70" s="700"/>
      <c r="J70" s="700" t="s">
        <v>11737</v>
      </c>
      <c r="K70" s="700" t="s">
        <v>11641</v>
      </c>
      <c r="L70" s="883"/>
      <c r="M70" s="884"/>
      <c r="N70" s="876"/>
      <c r="O70" s="871"/>
    </row>
    <row r="71" spans="1:15" s="863" customFormat="1" hidden="1">
      <c r="A71" s="862" t="s">
        <v>12548</v>
      </c>
      <c r="B71" s="835" t="s">
        <v>10852</v>
      </c>
      <c r="C71" s="893">
        <v>168</v>
      </c>
      <c r="D71" s="894" t="str">
        <f>PROPER(IF(B71="Saneago",VLOOKUP(C71,'SANEAGO-FEV.2016'!A:B,2,0),IF(B71="Sinapi",VLOOKUP(C71,'SINAPI-FEV.2017'!A:D,2,0),IF(B71="Cotação",VLOOKUP(C71,COTAÇÃO!A:D,2,0),IF(B71="Composição",VLOOKUP(C71,COMPOSIÇÃO!A:D,2,0))))))</f>
        <v>Escavação  Manual Em Valas Com Material De 1ª Categoria  - Profundidade Até 2,0M</v>
      </c>
      <c r="E71" s="895"/>
      <c r="F71" s="895"/>
      <c r="G71" s="852"/>
      <c r="H71" s="852"/>
      <c r="I71" s="852"/>
      <c r="J71" s="896">
        <f>M16</f>
        <v>0.05</v>
      </c>
      <c r="K71" s="896">
        <f>K53</f>
        <v>0.9</v>
      </c>
      <c r="L71" s="852" t="s">
        <v>22</v>
      </c>
      <c r="M71" s="853">
        <f>K71*$M$45*J71</f>
        <v>0</v>
      </c>
      <c r="N71" s="876"/>
      <c r="O71" s="871"/>
    </row>
    <row r="72" spans="1:15" s="863" customFormat="1" hidden="1">
      <c r="A72" s="862"/>
      <c r="B72" s="835"/>
      <c r="C72" s="893"/>
      <c r="D72" s="881"/>
      <c r="E72" s="882"/>
      <c r="F72" s="882"/>
      <c r="G72" s="700"/>
      <c r="H72" s="700"/>
      <c r="I72" s="700"/>
      <c r="J72" s="700" t="s">
        <v>11737</v>
      </c>
      <c r="K72" s="700" t="s">
        <v>11641</v>
      </c>
      <c r="L72" s="883"/>
      <c r="M72" s="884"/>
      <c r="N72" s="876"/>
      <c r="O72" s="871"/>
    </row>
    <row r="73" spans="1:15" s="863" customFormat="1" ht="22.5" hidden="1">
      <c r="A73" s="862" t="s">
        <v>12549</v>
      </c>
      <c r="B73" s="835" t="s">
        <v>10852</v>
      </c>
      <c r="C73" s="893">
        <v>169</v>
      </c>
      <c r="D73" s="894" t="str">
        <f>PROPER(IF(B73="Saneago",VLOOKUP(C73,'SANEAGO-FEV.2016'!A:B,2,0),IF(B73="Sinapi",VLOOKUP(C73,'SINAPI-FEV.2017'!A:D,2,0),IF(B73="Cotação",VLOOKUP(C73,COTAÇÃO!A:D,2,0),IF(B73="Composição",VLOOKUP(C73,COMPOSIÇÃO!A:D,2,0))))))</f>
        <v>Escavação  Manual Em Valas Com Material De 1ª Categoria  - Profundidade De 2,0 A 4,0 M</v>
      </c>
      <c r="E73" s="895"/>
      <c r="F73" s="895"/>
      <c r="G73" s="852"/>
      <c r="H73" s="852"/>
      <c r="I73" s="852"/>
      <c r="J73" s="896">
        <f>J71</f>
        <v>0.05</v>
      </c>
      <c r="K73" s="896">
        <f>K55</f>
        <v>0.9</v>
      </c>
      <c r="L73" s="852" t="s">
        <v>22</v>
      </c>
      <c r="M73" s="853">
        <f>K73*M$48*J73</f>
        <v>0</v>
      </c>
      <c r="N73" s="876"/>
      <c r="O73" s="871"/>
    </row>
    <row r="74" spans="1:15" s="863" customFormat="1" hidden="1">
      <c r="A74" s="862"/>
      <c r="B74" s="835"/>
      <c r="C74" s="893"/>
      <c r="D74" s="881"/>
      <c r="E74" s="882"/>
      <c r="F74" s="882"/>
      <c r="G74" s="700"/>
      <c r="H74" s="700"/>
      <c r="I74" s="700"/>
      <c r="J74" s="700" t="s">
        <v>11737</v>
      </c>
      <c r="K74" s="700" t="s">
        <v>11642</v>
      </c>
      <c r="L74" s="883"/>
      <c r="M74" s="884"/>
      <c r="N74" s="876"/>
      <c r="O74" s="871"/>
    </row>
    <row r="75" spans="1:15" s="863" customFormat="1" hidden="1">
      <c r="A75" s="862" t="s">
        <v>12550</v>
      </c>
      <c r="B75" s="835" t="s">
        <v>10852</v>
      </c>
      <c r="C75" s="893">
        <v>170</v>
      </c>
      <c r="D75" s="894" t="str">
        <f>PROPER(IF(B75="Saneago",VLOOKUP(C75,'SANEAGO-FEV.2016'!A:B,2,0),IF(B75="Sinapi",VLOOKUP(C75,'SINAPI-FEV.2017'!A:D,2,0),IF(B75="Cotação",VLOOKUP(C75,COTAÇÃO!A:D,2,0),IF(B75="Composição",VLOOKUP(C75,COMPOSIÇÃO!A:D,2,0))))))</f>
        <v>Escavação  Manual Em Valas Com Material De 2ª Categoria  - Profundidade Até 2,0 M</v>
      </c>
      <c r="E75" s="895"/>
      <c r="F75" s="895"/>
      <c r="G75" s="852"/>
      <c r="H75" s="852"/>
      <c r="I75" s="852"/>
      <c r="J75" s="896">
        <f>J73</f>
        <v>0.05</v>
      </c>
      <c r="K75" s="896">
        <f>K59</f>
        <v>0.05</v>
      </c>
      <c r="L75" s="852" t="s">
        <v>22</v>
      </c>
      <c r="M75" s="853">
        <f>K75*M$51*J75</f>
        <v>0</v>
      </c>
      <c r="N75" s="876"/>
      <c r="O75" s="871"/>
    </row>
    <row r="76" spans="1:15" s="863" customFormat="1" hidden="1">
      <c r="A76" s="862"/>
      <c r="B76" s="835"/>
      <c r="C76" s="835"/>
      <c r="D76" s="881"/>
      <c r="E76" s="882"/>
      <c r="F76" s="882"/>
      <c r="G76" s="700"/>
      <c r="H76" s="700"/>
      <c r="I76" s="700"/>
      <c r="J76" s="700" t="s">
        <v>11737</v>
      </c>
      <c r="K76" s="700" t="s">
        <v>11642</v>
      </c>
      <c r="L76" s="883"/>
      <c r="M76" s="884"/>
      <c r="N76" s="876"/>
      <c r="O76" s="871"/>
    </row>
    <row r="77" spans="1:15" s="863" customFormat="1" ht="22.5" hidden="1">
      <c r="A77" s="862" t="s">
        <v>12551</v>
      </c>
      <c r="B77" s="835" t="s">
        <v>10852</v>
      </c>
      <c r="C77" s="893">
        <v>171</v>
      </c>
      <c r="D77" s="894" t="str">
        <f>PROPER(IF(B77="Saneago",VLOOKUP(C77,'SANEAGO-FEV.2016'!A:B,2,0),IF(B77="Sinapi",VLOOKUP(C77,'SINAPI-FEV.2017'!A:D,2,0),IF(B77="Cotação",VLOOKUP(C77,COTAÇÃO!A:D,2,0),IF(B77="Composição",VLOOKUP(C77,COMPOSIÇÃO!A:D,2,0))))))</f>
        <v>Escavação  Manual Em Valas Com Material De 2ª Categoria  - Profundidade De 2,0 A 4,0 M</v>
      </c>
      <c r="E77" s="895"/>
      <c r="F77" s="895"/>
      <c r="G77" s="852"/>
      <c r="H77" s="852"/>
      <c r="I77" s="852"/>
      <c r="J77" s="896">
        <f>J75</f>
        <v>0.05</v>
      </c>
      <c r="K77" s="896">
        <f>K61</f>
        <v>0.05</v>
      </c>
      <c r="L77" s="852" t="s">
        <v>22</v>
      </c>
      <c r="M77" s="853">
        <f>K77*$M$45*J77</f>
        <v>0</v>
      </c>
      <c r="N77" s="876"/>
      <c r="O77" s="871"/>
    </row>
    <row r="78" spans="1:15" s="863" customFormat="1" hidden="1">
      <c r="A78" s="862"/>
      <c r="B78" s="835"/>
      <c r="C78" s="835"/>
      <c r="D78" s="881"/>
      <c r="E78" s="882"/>
      <c r="F78" s="882"/>
      <c r="G78" s="700"/>
      <c r="H78" s="700"/>
      <c r="I78" s="700"/>
      <c r="J78" s="700" t="s">
        <v>11737</v>
      </c>
      <c r="K78" s="700" t="s">
        <v>11677</v>
      </c>
      <c r="L78" s="883"/>
      <c r="M78" s="884"/>
      <c r="N78" s="876"/>
      <c r="O78" s="871"/>
    </row>
    <row r="79" spans="1:15" s="863" customFormat="1" ht="22.5" hidden="1">
      <c r="A79" s="862" t="s">
        <v>12552</v>
      </c>
      <c r="B79" s="835" t="s">
        <v>10852</v>
      </c>
      <c r="C79" s="893">
        <v>172</v>
      </c>
      <c r="D79" s="894" t="str">
        <f>PROPER(IF(B79="Saneago",VLOOKUP(C79,'SANEAGO-FEV.2016'!A:B,2,0),IF(B79="Sinapi",VLOOKUP(C79,'SINAPI-FEV.2017'!A:D,2,0),IF(B79="Cotação",VLOOKUP(C79,COTAÇÃO!A:D,2,0),IF(B79="Composição",VLOOKUP(C79,COMPOSIÇÃO!A:D,2,0))))))</f>
        <v>Escavação   Manual   Em  Valas  Com  Material   De  3ª  Categoria   Sem  Uso  De  Explosivo   Com Utilização  De Compressor E Rompedor  -  Profundidade Até 2,0M</v>
      </c>
      <c r="E79" s="895"/>
      <c r="F79" s="895"/>
      <c r="G79" s="852"/>
      <c r="H79" s="852"/>
      <c r="I79" s="852"/>
      <c r="J79" s="896">
        <f>J77</f>
        <v>0.05</v>
      </c>
      <c r="K79" s="896">
        <f>K65</f>
        <v>0.05</v>
      </c>
      <c r="L79" s="852" t="s">
        <v>22</v>
      </c>
      <c r="M79" s="853">
        <f>K79*M$48*J79</f>
        <v>0</v>
      </c>
      <c r="N79" s="876"/>
      <c r="O79" s="871"/>
    </row>
    <row r="80" spans="1:15" s="863" customFormat="1" hidden="1">
      <c r="A80" s="862"/>
      <c r="B80" s="835"/>
      <c r="C80" s="835"/>
      <c r="D80" s="881"/>
      <c r="E80" s="882"/>
      <c r="F80" s="882"/>
      <c r="G80" s="700"/>
      <c r="H80" s="700"/>
      <c r="I80" s="700"/>
      <c r="J80" s="700" t="s">
        <v>11696</v>
      </c>
      <c r="K80" s="700" t="s">
        <v>11677</v>
      </c>
      <c r="L80" s="883"/>
      <c r="M80" s="884"/>
      <c r="N80" s="876"/>
      <c r="O80" s="871"/>
    </row>
    <row r="81" spans="1:15" s="863" customFormat="1" ht="22.5" hidden="1">
      <c r="A81" s="862" t="s">
        <v>12553</v>
      </c>
      <c r="B81" s="835" t="s">
        <v>10852</v>
      </c>
      <c r="C81" s="893">
        <v>173</v>
      </c>
      <c r="D81" s="894" t="str">
        <f>PROPER(IF(B81="Saneago",VLOOKUP(C81,'SANEAGO-FEV.2016'!A:B,2,0),IF(B81="Sinapi",VLOOKUP(C81,'SINAPI-FEV.2017'!A:D,2,0),IF(B81="Cotação",VLOOKUP(C81,COTAÇÃO!A:D,2,0),IF(B81="Composição",VLOOKUP(C81,COMPOSIÇÃO!A:D,2,0))))))</f>
        <v>Escavação   Manual   Em  Valas  Com  Material   De  3ª  Categoria   Sem  Uso  De  Explosivo   Com Utilização  De Compressor E Rompedor   - Profundidade De 2,0 A 4,0M</v>
      </c>
      <c r="E81" s="895"/>
      <c r="F81" s="895"/>
      <c r="G81" s="852"/>
      <c r="H81" s="852"/>
      <c r="I81" s="852"/>
      <c r="J81" s="896">
        <f>J79</f>
        <v>0.05</v>
      </c>
      <c r="K81" s="896">
        <f>K67</f>
        <v>0.05</v>
      </c>
      <c r="L81" s="852" t="s">
        <v>22</v>
      </c>
      <c r="M81" s="853">
        <f>K81*M$51*J81</f>
        <v>0</v>
      </c>
      <c r="N81" s="876"/>
      <c r="O81" s="871"/>
    </row>
    <row r="82" spans="1:15" s="863" customFormat="1" hidden="1">
      <c r="A82" s="862"/>
      <c r="B82" s="835"/>
      <c r="C82" s="835"/>
      <c r="D82" s="881"/>
      <c r="E82" s="883" t="s">
        <v>30</v>
      </c>
      <c r="F82" s="883" t="s">
        <v>30</v>
      </c>
      <c r="G82" s="700" t="s">
        <v>30</v>
      </c>
      <c r="H82" s="700" t="s">
        <v>30</v>
      </c>
      <c r="I82" s="700" t="s">
        <v>30</v>
      </c>
      <c r="J82" s="700" t="s">
        <v>30</v>
      </c>
      <c r="K82" s="700" t="s">
        <v>30</v>
      </c>
      <c r="L82" s="883" t="s">
        <v>30</v>
      </c>
      <c r="M82" s="884" t="s">
        <v>30</v>
      </c>
      <c r="N82" s="876"/>
      <c r="O82" s="871"/>
    </row>
    <row r="83" spans="1:15" s="863" customFormat="1" hidden="1">
      <c r="A83" s="862" t="s">
        <v>12554</v>
      </c>
      <c r="B83" s="835" t="s">
        <v>11644</v>
      </c>
      <c r="C83" s="835" t="s">
        <v>349</v>
      </c>
      <c r="D83" s="894" t="e">
        <f>PROPER(IF(B83="Saneago",VLOOKUP(C83,'SANEAGO-FEV.2016'!A:B,2,0),IF(B83="Sinapi",VLOOKUP(C83,'SINAPI-FEV.2017'!A:D,2,0),IF(B83="Cotação",VLOOKUP(C83,COTAÇÃO!A:D,2,0),IF(B83="Composição",VLOOKUP(C83,COMPOSIÇÃO!A:D,2,0))))))</f>
        <v>#N/A</v>
      </c>
      <c r="E83" s="852"/>
      <c r="F83" s="852"/>
      <c r="G83" s="852"/>
      <c r="H83" s="852"/>
      <c r="I83" s="852"/>
      <c r="J83" s="896"/>
      <c r="K83" s="896"/>
      <c r="L83" s="852" t="s">
        <v>57</v>
      </c>
      <c r="M83" s="853">
        <f>(J83*K83)</f>
        <v>0</v>
      </c>
      <c r="N83" s="876"/>
      <c r="O83" s="871"/>
    </row>
    <row r="84" spans="1:15" s="863" customFormat="1" hidden="1">
      <c r="A84" s="862"/>
      <c r="B84" s="835"/>
      <c r="C84" s="835"/>
      <c r="D84" s="826"/>
      <c r="E84" s="700" t="s">
        <v>30</v>
      </c>
      <c r="F84" s="700" t="s">
        <v>30</v>
      </c>
      <c r="G84" s="700" t="s">
        <v>30</v>
      </c>
      <c r="H84" s="700" t="s">
        <v>30</v>
      </c>
      <c r="I84" s="700" t="s">
        <v>1275</v>
      </c>
      <c r="J84" s="828" t="s">
        <v>17</v>
      </c>
      <c r="K84" s="828" t="s">
        <v>19</v>
      </c>
      <c r="L84" s="700" t="s">
        <v>30</v>
      </c>
      <c r="M84" s="700" t="s">
        <v>30</v>
      </c>
      <c r="N84" s="876"/>
      <c r="O84" s="871"/>
    </row>
    <row r="85" spans="1:15" s="863" customFormat="1" hidden="1">
      <c r="A85" s="862"/>
      <c r="B85" s="835"/>
      <c r="C85" s="835"/>
      <c r="D85" s="899"/>
      <c r="E85" s="824"/>
      <c r="F85" s="790"/>
      <c r="G85" s="1704" t="s">
        <v>12573</v>
      </c>
      <c r="H85" s="1704"/>
      <c r="I85" s="1214"/>
      <c r="J85" s="1214"/>
      <c r="K85" s="1214"/>
      <c r="L85" s="828" t="s">
        <v>21</v>
      </c>
      <c r="M85" s="829">
        <f>(J85*K85*I85)</f>
        <v>0</v>
      </c>
      <c r="N85" s="876"/>
      <c r="O85" s="871"/>
    </row>
    <row r="86" spans="1:15" s="863" customFormat="1" hidden="1">
      <c r="A86" s="862"/>
      <c r="B86" s="835"/>
      <c r="C86" s="835"/>
      <c r="D86" s="826"/>
      <c r="E86" s="790"/>
      <c r="F86" s="790"/>
      <c r="G86" s="897"/>
      <c r="H86" s="854"/>
      <c r="I86" s="700"/>
      <c r="J86" s="828"/>
      <c r="K86" s="828"/>
      <c r="L86" s="828"/>
      <c r="M86" s="829"/>
      <c r="N86" s="876"/>
      <c r="O86" s="871"/>
    </row>
    <row r="87" spans="1:15" s="863" customFormat="1" hidden="1">
      <c r="A87" s="862" t="s">
        <v>12555</v>
      </c>
      <c r="B87" s="835" t="s">
        <v>10852</v>
      </c>
      <c r="C87" s="835">
        <v>207</v>
      </c>
      <c r="D87" s="836" t="str">
        <f>PROPER(IF(B87="Saneago",VLOOKUP(C87,'SANEAGO-FEV.2016'!A:B,2,0),IF(B87="Sinapi",VLOOKUP(C87,'SINAPI-FEV.2017'!A:D,2,0),IF(B87="Cotação",VLOOKUP(C87,COTAÇÃO!A:D,2,0),IF(B87="Composição",VLOOKUP(C87,COMPOSIÇÃO!A:D,2,0))))))</f>
        <v>Acerto De Fundo De Vala Sem Compactação</v>
      </c>
      <c r="E87" s="837"/>
      <c r="F87" s="837"/>
      <c r="G87" s="838"/>
      <c r="H87" s="852"/>
      <c r="I87" s="852"/>
      <c r="J87" s="838"/>
      <c r="K87" s="856" t="s">
        <v>27</v>
      </c>
      <c r="L87" s="856" t="s">
        <v>21</v>
      </c>
      <c r="M87" s="840">
        <f>SUM(M85:M85)</f>
        <v>0</v>
      </c>
      <c r="N87" s="876"/>
      <c r="O87" s="871"/>
    </row>
    <row r="88" spans="1:15" s="863" customFormat="1" ht="45" hidden="1" customHeight="1">
      <c r="A88" s="862"/>
      <c r="B88" s="835"/>
      <c r="C88" s="835"/>
      <c r="D88" s="826"/>
      <c r="E88" s="700" t="s">
        <v>30</v>
      </c>
      <c r="F88" s="700" t="s">
        <v>30</v>
      </c>
      <c r="G88" s="700" t="s">
        <v>30</v>
      </c>
      <c r="H88" s="700" t="s">
        <v>30</v>
      </c>
      <c r="I88" s="700" t="s">
        <v>30</v>
      </c>
      <c r="J88" s="828" t="s">
        <v>12579</v>
      </c>
      <c r="K88" s="828" t="s">
        <v>12580</v>
      </c>
      <c r="L88" s="828" t="s">
        <v>30</v>
      </c>
      <c r="M88" s="877" t="s">
        <v>30</v>
      </c>
      <c r="N88" s="876"/>
      <c r="O88" s="871"/>
    </row>
    <row r="89" spans="1:15" s="863" customFormat="1" hidden="1">
      <c r="A89" s="862"/>
      <c r="B89" s="835"/>
      <c r="C89" s="835"/>
      <c r="D89" s="826"/>
      <c r="E89" s="790"/>
      <c r="F89" s="790"/>
      <c r="G89" s="1674"/>
      <c r="H89" s="1674"/>
      <c r="I89" s="889"/>
      <c r="J89" s="889">
        <f>0.6*M42</f>
        <v>0</v>
      </c>
      <c r="K89" s="889">
        <f>M42*0.4</f>
        <v>0</v>
      </c>
      <c r="L89" s="828" t="s">
        <v>22</v>
      </c>
      <c r="M89" s="829">
        <f>SUM(J89:K89)</f>
        <v>0</v>
      </c>
      <c r="N89" s="876"/>
      <c r="O89" s="871"/>
    </row>
    <row r="90" spans="1:15" s="863" customFormat="1" hidden="1">
      <c r="A90" s="862"/>
      <c r="B90" s="835"/>
      <c r="C90" s="835"/>
      <c r="D90" s="899"/>
      <c r="E90" s="824"/>
      <c r="F90" s="824"/>
      <c r="G90" s="854"/>
      <c r="H90" s="854"/>
      <c r="I90" s="889"/>
      <c r="J90" s="889"/>
      <c r="K90" s="828"/>
      <c r="L90" s="828"/>
      <c r="M90" s="829"/>
      <c r="N90" s="876"/>
      <c r="O90" s="871"/>
    </row>
    <row r="91" spans="1:15" s="863" customFormat="1" hidden="1">
      <c r="A91" s="862"/>
      <c r="B91" s="835"/>
      <c r="C91" s="835"/>
      <c r="D91" s="836" t="s">
        <v>11768</v>
      </c>
      <c r="E91" s="837"/>
      <c r="F91" s="837"/>
      <c r="G91" s="828"/>
      <c r="H91" s="828"/>
      <c r="I91" s="828"/>
      <c r="J91" s="1678" t="s">
        <v>42</v>
      </c>
      <c r="K91" s="1678"/>
      <c r="L91" s="901" t="s">
        <v>22</v>
      </c>
      <c r="M91" s="902">
        <f>M89</f>
        <v>0</v>
      </c>
      <c r="N91" s="876"/>
      <c r="O91" s="871"/>
    </row>
    <row r="92" spans="1:15" s="863" customFormat="1" hidden="1">
      <c r="A92" s="862"/>
      <c r="B92" s="835"/>
      <c r="C92" s="835"/>
      <c r="D92" s="903" t="s">
        <v>73</v>
      </c>
      <c r="E92" s="790"/>
      <c r="F92" s="790"/>
      <c r="G92" s="883" t="s">
        <v>30</v>
      </c>
      <c r="H92" s="883" t="s">
        <v>30</v>
      </c>
      <c r="I92" s="883" t="s">
        <v>30</v>
      </c>
      <c r="J92" s="883" t="s">
        <v>42</v>
      </c>
      <c r="K92" s="883" t="s">
        <v>50</v>
      </c>
      <c r="L92" s="883"/>
      <c r="M92" s="884"/>
      <c r="N92" s="876"/>
      <c r="O92" s="871"/>
    </row>
    <row r="93" spans="1:15" s="863" customFormat="1" hidden="1">
      <c r="A93" s="862" t="s">
        <v>12556</v>
      </c>
      <c r="B93" s="835" t="s">
        <v>11644</v>
      </c>
      <c r="C93" s="835" t="s">
        <v>835</v>
      </c>
      <c r="D93" s="836" t="e">
        <f>PROPER(IF(B93="Saneago",VLOOKUP(C93,'SANEAGO-FEV.2016'!A:B,2,0),IF(B93="Sinapi",VLOOKUP(C93,'SINAPI-FEV.2017'!A:D,2,0),IF(B93="Cotação",VLOOKUP(C93,COTAÇÃO!A:D,2,0),IF(B93="Composição",VLOOKUP(C93,COMPOSIÇÃO!A:D,2,0))))))</f>
        <v>#N/A</v>
      </c>
      <c r="E93" s="837"/>
      <c r="F93" s="837"/>
      <c r="G93" s="852"/>
      <c r="H93" s="852"/>
      <c r="I93" s="852"/>
      <c r="J93" s="838">
        <f>M91</f>
        <v>0</v>
      </c>
      <c r="K93" s="896">
        <f>M24</f>
        <v>1</v>
      </c>
      <c r="L93" s="852" t="s">
        <v>22</v>
      </c>
      <c r="M93" s="853">
        <f>J93*K93</f>
        <v>0</v>
      </c>
      <c r="N93" s="876"/>
      <c r="O93" s="871"/>
    </row>
    <row r="94" spans="1:15" s="863" customFormat="1" hidden="1">
      <c r="A94" s="862"/>
      <c r="B94" s="835"/>
      <c r="C94" s="835"/>
      <c r="D94" s="881"/>
      <c r="E94" s="882"/>
      <c r="F94" s="882"/>
      <c r="G94" s="700" t="s">
        <v>30</v>
      </c>
      <c r="H94" s="700" t="s">
        <v>30</v>
      </c>
      <c r="I94" s="700" t="s">
        <v>30</v>
      </c>
      <c r="J94" s="828" t="s">
        <v>42</v>
      </c>
      <c r="K94" s="828" t="s">
        <v>79</v>
      </c>
      <c r="L94" s="828"/>
      <c r="M94" s="829"/>
      <c r="N94" s="876"/>
      <c r="O94" s="871"/>
    </row>
    <row r="95" spans="1:15" s="863" customFormat="1" hidden="1">
      <c r="A95" s="862" t="s">
        <v>12557</v>
      </c>
      <c r="B95" s="835" t="s">
        <v>10852</v>
      </c>
      <c r="C95" s="835">
        <v>220</v>
      </c>
      <c r="D95" s="836" t="str">
        <f>PROPER(IF(B95="Saneago",VLOOKUP(C95,'SANEAGO-FEV.2016'!A:B,2,0),IF(B95="Sinapi",VLOOKUP(C95,'SINAPI-FEV.2017'!A:D,2,0),IF(B95="Cotação",VLOOKUP(C95,COTAÇÃO!A:D,2,0),IF(B95="Composição",VLOOKUP(C95,COMPOSIÇÃO!A:D,2,0))))))</f>
        <v>Reaterro  Manual Compactado Em Camadas De 20Cm</v>
      </c>
      <c r="E95" s="837"/>
      <c r="F95" s="837"/>
      <c r="G95" s="838"/>
      <c r="H95" s="838"/>
      <c r="I95" s="838"/>
      <c r="J95" s="838">
        <f>J93</f>
        <v>0</v>
      </c>
      <c r="K95" s="904">
        <f>M23</f>
        <v>0</v>
      </c>
      <c r="L95" s="838" t="s">
        <v>22</v>
      </c>
      <c r="M95" s="853">
        <f>J95*K95</f>
        <v>0</v>
      </c>
      <c r="N95" s="876"/>
      <c r="O95" s="871"/>
    </row>
    <row r="96" spans="1:15" s="863" customFormat="1" hidden="1">
      <c r="A96" s="862"/>
      <c r="B96" s="835"/>
      <c r="C96" s="835"/>
      <c r="D96" s="826"/>
      <c r="E96" s="790"/>
      <c r="F96" s="790"/>
      <c r="G96" s="828"/>
      <c r="H96" s="828"/>
      <c r="I96" s="828"/>
      <c r="J96" s="828"/>
      <c r="K96" s="1215"/>
      <c r="L96" s="828"/>
      <c r="M96" s="829"/>
      <c r="N96" s="876"/>
      <c r="O96" s="871"/>
    </row>
    <row r="97" spans="1:15" s="824" customFormat="1" hidden="1" thickTop="1" thickBot="1">
      <c r="A97" s="905"/>
      <c r="B97" s="906"/>
      <c r="C97" s="906"/>
      <c r="D97" s="830" t="s">
        <v>12516</v>
      </c>
      <c r="E97" s="831"/>
      <c r="F97" s="831"/>
      <c r="G97" s="831"/>
      <c r="H97" s="831"/>
      <c r="I97" s="831"/>
      <c r="J97" s="831"/>
      <c r="K97" s="831"/>
      <c r="L97" s="832" t="s">
        <v>25</v>
      </c>
      <c r="M97" s="833" t="s">
        <v>27</v>
      </c>
      <c r="N97" s="876"/>
      <c r="O97" s="871"/>
    </row>
    <row r="98" spans="1:15" s="824" customFormat="1" ht="11.25" hidden="1">
      <c r="A98" s="905"/>
      <c r="B98" s="906"/>
      <c r="C98" s="906"/>
      <c r="D98" s="826"/>
      <c r="E98" s="790"/>
      <c r="F98" s="790"/>
      <c r="G98" s="828" t="s">
        <v>30</v>
      </c>
      <c r="H98" s="828" t="s">
        <v>30</v>
      </c>
      <c r="I98" s="828" t="s">
        <v>30</v>
      </c>
      <c r="J98" s="828" t="s">
        <v>30</v>
      </c>
      <c r="K98" s="828" t="s">
        <v>30</v>
      </c>
      <c r="L98" s="828"/>
      <c r="M98" s="829"/>
      <c r="N98" s="876"/>
      <c r="O98" s="871"/>
    </row>
    <row r="99" spans="1:15" s="824" customFormat="1" ht="11.25" hidden="1">
      <c r="A99" s="862" t="s">
        <v>12558</v>
      </c>
      <c r="B99" s="835" t="s">
        <v>10852</v>
      </c>
      <c r="C99" s="835">
        <v>232</v>
      </c>
      <c r="D99" s="836" t="str">
        <f>PROPER(IF(B99="Saneago",VLOOKUP(C99,'SANEAGO-FEV.2016'!A:B,2,0),IF(B99="Sinapi",VLOOKUP(C99,'SINAPI-FEV.2017'!A:D,2,0),IF(B99="Cotação",VLOOKUP(C99,COTAÇÃO!A:D,2,0),IF(B99="Composição",VLOOKUP(C99,COMPOSIÇÃO!A:D,2,0))))))</f>
        <v>Aquisição  De Material De Jazida</v>
      </c>
      <c r="E99" s="837"/>
      <c r="F99" s="837"/>
      <c r="G99" s="838"/>
      <c r="H99" s="838"/>
      <c r="I99" s="838"/>
      <c r="J99" s="838"/>
      <c r="K99" s="838"/>
      <c r="L99" s="838" t="s">
        <v>22</v>
      </c>
      <c r="M99" s="853">
        <f>K89</f>
        <v>0</v>
      </c>
      <c r="N99" s="876"/>
      <c r="O99" s="871"/>
    </row>
    <row r="100" spans="1:15" s="824" customFormat="1" ht="11.25" hidden="1">
      <c r="A100" s="905"/>
      <c r="B100" s="906"/>
      <c r="C100" s="906"/>
      <c r="D100" s="826"/>
      <c r="E100" s="790"/>
      <c r="F100" s="790"/>
      <c r="G100" s="828" t="s">
        <v>30</v>
      </c>
      <c r="H100" s="828" t="s">
        <v>30</v>
      </c>
      <c r="I100" s="828" t="s">
        <v>30</v>
      </c>
      <c r="J100" s="828" t="s">
        <v>30</v>
      </c>
      <c r="K100" s="828" t="s">
        <v>30</v>
      </c>
      <c r="L100" s="828"/>
      <c r="M100" s="829"/>
      <c r="N100" s="876"/>
      <c r="O100" s="871"/>
    </row>
    <row r="101" spans="1:15" s="824" customFormat="1" ht="22.5" hidden="1">
      <c r="A101" s="862" t="s">
        <v>12559</v>
      </c>
      <c r="B101" s="835" t="s">
        <v>10852</v>
      </c>
      <c r="C101" s="835">
        <v>237</v>
      </c>
      <c r="D101" s="836" t="str">
        <f>PROPER(IF(B101="Saneago",VLOOKUP(C101,'SANEAGO-FEV.2016'!A:B,2,0),IF(B101="Sinapi",VLOOKUP(C101,'SINAPI-FEV.2017'!A:D,2,0),IF(B101="Cotação",VLOOKUP(C101,COTAÇÃO!A:D,2,0),IF(B101="Composição",VLOOKUP(C101,COMPOSIÇÃO!A:D,2,0))))))</f>
        <v>Carga  Mecanizada   (Com  A  Pá  Frontal   Da  Retroescavadeira)  Em  Caminhão   Basculante  - Material De 1ª Categoria</v>
      </c>
      <c r="E101" s="837"/>
      <c r="F101" s="837"/>
      <c r="G101" s="838"/>
      <c r="H101" s="838"/>
      <c r="I101" s="838"/>
      <c r="J101" s="838"/>
      <c r="K101" s="904"/>
      <c r="L101" s="838" t="s">
        <v>22</v>
      </c>
      <c r="M101" s="853">
        <f>M99</f>
        <v>0</v>
      </c>
      <c r="N101" s="876"/>
      <c r="O101" s="871"/>
    </row>
    <row r="102" spans="1:15" s="824" customFormat="1" ht="11.25" hidden="1">
      <c r="A102" s="905"/>
      <c r="B102" s="835"/>
      <c r="C102" s="835"/>
      <c r="D102" s="826"/>
      <c r="E102" s="790"/>
      <c r="F102" s="790"/>
      <c r="G102" s="828" t="s">
        <v>30</v>
      </c>
      <c r="H102" s="828" t="s">
        <v>30</v>
      </c>
      <c r="I102" s="828" t="s">
        <v>30</v>
      </c>
      <c r="J102" s="828" t="s">
        <v>12581</v>
      </c>
      <c r="K102" s="828" t="s">
        <v>11774</v>
      </c>
      <c r="L102" s="828"/>
      <c r="M102" s="829"/>
      <c r="N102" s="876"/>
      <c r="O102" s="871"/>
    </row>
    <row r="103" spans="1:15" s="824" customFormat="1" ht="22.5" hidden="1">
      <c r="A103" s="862" t="s">
        <v>12560</v>
      </c>
      <c r="B103" s="835" t="s">
        <v>10852</v>
      </c>
      <c r="C103" s="835">
        <v>19315</v>
      </c>
      <c r="D103" s="836" t="str">
        <f>PROPER(IF(B103="Saneago",VLOOKUP(C103,'SANEAGO-FEV.2016'!A:B,2,0),IF(B103="Sinapi",VLOOKUP(C103,'SINAPI-FEV.2017'!A:D,2,0),IF(B103="Cotação",VLOOKUP(C103,COTAÇÃO!A:D,2,0),IF(B103="Composição",VLOOKUP(C103,COMPOSIÇÃO!A:D,2,0))))))</f>
        <v>Transporte E Descarga  De Material De 1ª Ou 2ª Categoria  (M3 X Km) - Em Caminhão  Basculante Cap. 10 M3 - Com Empolamento</v>
      </c>
      <c r="E103" s="837"/>
      <c r="F103" s="837"/>
      <c r="G103" s="838"/>
      <c r="H103" s="838"/>
      <c r="I103" s="838"/>
      <c r="J103" s="838">
        <f>M101</f>
        <v>0</v>
      </c>
      <c r="K103" s="838">
        <f>M14</f>
        <v>4.5999999999999996</v>
      </c>
      <c r="L103" s="838" t="s">
        <v>23</v>
      </c>
      <c r="M103" s="853">
        <f>J103*K103</f>
        <v>0</v>
      </c>
      <c r="N103" s="876"/>
      <c r="O103" s="871"/>
    </row>
    <row r="104" spans="1:15" s="824" customFormat="1" ht="11.25" hidden="1">
      <c r="A104" s="905"/>
      <c r="B104" s="906"/>
      <c r="C104" s="835"/>
      <c r="D104" s="826"/>
      <c r="E104" s="790"/>
      <c r="F104" s="790"/>
      <c r="G104" s="828" t="s">
        <v>30</v>
      </c>
      <c r="H104" s="828" t="s">
        <v>30</v>
      </c>
      <c r="I104" s="828" t="s">
        <v>30</v>
      </c>
      <c r="J104" s="828" t="s">
        <v>30</v>
      </c>
      <c r="K104" s="828" t="s">
        <v>30</v>
      </c>
      <c r="L104" s="828"/>
      <c r="M104" s="829"/>
      <c r="N104" s="876"/>
      <c r="O104" s="871"/>
    </row>
    <row r="105" spans="1:15" s="824" customFormat="1" ht="11.25" hidden="1">
      <c r="A105" s="862" t="s">
        <v>12561</v>
      </c>
      <c r="B105" s="835" t="s">
        <v>10852</v>
      </c>
      <c r="C105" s="835">
        <v>244</v>
      </c>
      <c r="D105" s="836" t="str">
        <f>PROPER(IF(B105="Saneago",VLOOKUP(C105,'SANEAGO-FEV.2016'!A:B,2,0),IF(B105="Sinapi",VLOOKUP(C105,'SINAPI-FEV.2017'!A:D,2,0),IF(B105="Cotação",VLOOKUP(C105,COTAÇÃO!A:D,2,0),IF(B105="Composição",VLOOKUP(C105,COMPOSIÇÃO!A:D,2,0))))))</f>
        <v>Espalhamento De Material Em Bota Fora Proveniente De Escavação</v>
      </c>
      <c r="E105" s="837"/>
      <c r="F105" s="837"/>
      <c r="G105" s="838"/>
      <c r="H105" s="838"/>
      <c r="I105" s="838"/>
      <c r="J105" s="838"/>
      <c r="K105" s="904"/>
      <c r="L105" s="838" t="s">
        <v>22</v>
      </c>
      <c r="M105" s="853">
        <f>M101</f>
        <v>0</v>
      </c>
      <c r="N105" s="876"/>
      <c r="O105" s="871"/>
    </row>
    <row r="106" spans="1:15" s="824" customFormat="1" ht="11.25" hidden="1">
      <c r="A106" s="905"/>
      <c r="B106" s="906"/>
      <c r="C106" s="906"/>
      <c r="D106" s="826"/>
      <c r="E106" s="790"/>
      <c r="F106" s="790"/>
      <c r="G106" s="700"/>
      <c r="H106" s="700"/>
      <c r="I106" s="700"/>
      <c r="J106" s="907"/>
      <c r="K106" s="700"/>
      <c r="L106" s="700"/>
      <c r="M106" s="827"/>
      <c r="N106" s="876"/>
      <c r="O106" s="871"/>
    </row>
    <row r="107" spans="1:15" s="824" customFormat="1" hidden="1" thickTop="1" thickBot="1">
      <c r="A107" s="905"/>
      <c r="B107" s="906"/>
      <c r="C107" s="906"/>
      <c r="D107" s="830" t="s">
        <v>12582</v>
      </c>
      <c r="E107" s="831"/>
      <c r="F107" s="831"/>
      <c r="G107" s="831"/>
      <c r="H107" s="831"/>
      <c r="I107" s="831"/>
      <c r="J107" s="831"/>
      <c r="K107" s="831"/>
      <c r="L107" s="832" t="s">
        <v>25</v>
      </c>
      <c r="M107" s="833" t="s">
        <v>27</v>
      </c>
      <c r="N107" s="876"/>
      <c r="O107" s="871"/>
    </row>
    <row r="108" spans="1:15" s="824" customFormat="1" ht="11.25" hidden="1">
      <c r="A108" s="905"/>
      <c r="B108" s="906"/>
      <c r="C108" s="906"/>
      <c r="D108" s="826"/>
      <c r="E108" s="790"/>
      <c r="F108" s="790"/>
      <c r="G108" s="828" t="s">
        <v>30</v>
      </c>
      <c r="H108" s="828" t="s">
        <v>30</v>
      </c>
      <c r="I108" s="828" t="s">
        <v>30</v>
      </c>
      <c r="J108" s="828" t="s">
        <v>30</v>
      </c>
      <c r="K108" s="828" t="s">
        <v>30</v>
      </c>
      <c r="L108" s="828"/>
      <c r="M108" s="829"/>
      <c r="N108" s="876"/>
      <c r="O108" s="871"/>
    </row>
    <row r="109" spans="1:15" s="824" customFormat="1" ht="22.5" hidden="1">
      <c r="A109" s="862" t="s">
        <v>12583</v>
      </c>
      <c r="B109" s="835" t="s">
        <v>10852</v>
      </c>
      <c r="C109" s="835">
        <v>237</v>
      </c>
      <c r="D109" s="836" t="str">
        <f>PROPER(IF(B109="Saneago",VLOOKUP(C109,'SANEAGO-FEV.2016'!A:B,2,0),IF(B109="Sinapi",VLOOKUP(C109,'SINAPI-FEV.2017'!A:D,2,0),IF(B109="Cotação",VLOOKUP(C109,COTAÇÃO!A:D,2,0),IF(B109="Composição",VLOOKUP(C109,COMPOSIÇÃO!A:D,2,0))))))</f>
        <v>Carga  Mecanizada   (Com  A  Pá  Frontal   Da  Retroescavadeira)  Em  Caminhão   Basculante  - Material De 1ª Categoria</v>
      </c>
      <c r="E109" s="837"/>
      <c r="F109" s="837"/>
      <c r="G109" s="838"/>
      <c r="H109" s="838"/>
      <c r="I109" s="838"/>
      <c r="J109" s="838"/>
      <c r="K109" s="904"/>
      <c r="L109" s="838" t="s">
        <v>22</v>
      </c>
      <c r="M109" s="853">
        <f>M99</f>
        <v>0</v>
      </c>
      <c r="N109" s="876"/>
      <c r="O109" s="871"/>
    </row>
    <row r="110" spans="1:15" s="824" customFormat="1" ht="11.25" hidden="1">
      <c r="A110" s="905"/>
      <c r="B110" s="835"/>
      <c r="C110" s="835"/>
      <c r="D110" s="826"/>
      <c r="E110" s="790"/>
      <c r="F110" s="790"/>
      <c r="G110" s="828" t="s">
        <v>30</v>
      </c>
      <c r="H110" s="828" t="s">
        <v>30</v>
      </c>
      <c r="I110" s="828" t="s">
        <v>30</v>
      </c>
      <c r="J110" s="828" t="s">
        <v>11680</v>
      </c>
      <c r="K110" s="828" t="s">
        <v>48</v>
      </c>
      <c r="L110" s="828"/>
      <c r="M110" s="829"/>
      <c r="N110" s="876"/>
      <c r="O110" s="871"/>
    </row>
    <row r="111" spans="1:15" s="824" customFormat="1" ht="22.5" hidden="1">
      <c r="A111" s="862" t="s">
        <v>12584</v>
      </c>
      <c r="B111" s="835" t="s">
        <v>10852</v>
      </c>
      <c r="C111" s="835">
        <v>19315</v>
      </c>
      <c r="D111" s="836" t="str">
        <f>PROPER(IF(B111="Saneago",VLOOKUP(C111,'SANEAGO-FEV.2016'!A:B,2,0),IF(B111="Sinapi",VLOOKUP(C111,'SINAPI-FEV.2017'!A:D,2,0),IF(B111="Cotação",VLOOKUP(C111,COTAÇÃO!A:D,2,0),IF(B111="Composição",VLOOKUP(C111,COMPOSIÇÃO!A:D,2,0))))))</f>
        <v>Transporte E Descarga  De Material De 1ª Ou 2ª Categoria  (M3 X Km) - Em Caminhão  Basculante Cap. 10 M3 - Com Empolamento</v>
      </c>
      <c r="E111" s="837"/>
      <c r="F111" s="837"/>
      <c r="G111" s="838"/>
      <c r="H111" s="838"/>
      <c r="I111" s="838"/>
      <c r="J111" s="838">
        <f>M109</f>
        <v>0</v>
      </c>
      <c r="K111" s="838">
        <f>M13</f>
        <v>7.5</v>
      </c>
      <c r="L111" s="838" t="s">
        <v>23</v>
      </c>
      <c r="M111" s="853">
        <f>J111*K111</f>
        <v>0</v>
      </c>
      <c r="N111" s="876"/>
      <c r="O111" s="871"/>
    </row>
    <row r="112" spans="1:15" s="824" customFormat="1" ht="11.25" hidden="1">
      <c r="A112" s="905"/>
      <c r="B112" s="906"/>
      <c r="C112" s="835"/>
      <c r="D112" s="826"/>
      <c r="E112" s="790"/>
      <c r="F112" s="790"/>
      <c r="G112" s="828" t="s">
        <v>30</v>
      </c>
      <c r="H112" s="828" t="s">
        <v>30</v>
      </c>
      <c r="I112" s="828" t="s">
        <v>30</v>
      </c>
      <c r="J112" s="828" t="s">
        <v>30</v>
      </c>
      <c r="K112" s="828" t="s">
        <v>30</v>
      </c>
      <c r="L112" s="828"/>
      <c r="M112" s="829"/>
      <c r="N112" s="876"/>
      <c r="O112" s="871"/>
    </row>
    <row r="113" spans="1:15" s="824" customFormat="1" ht="11.25" hidden="1">
      <c r="A113" s="862" t="s">
        <v>12585</v>
      </c>
      <c r="B113" s="835" t="s">
        <v>10852</v>
      </c>
      <c r="C113" s="835">
        <v>244</v>
      </c>
      <c r="D113" s="836" t="str">
        <f>PROPER(IF(B113="Saneago",VLOOKUP(C113,'SANEAGO-FEV.2016'!A:B,2,0),IF(B113="Sinapi",VLOOKUP(C113,'SINAPI-FEV.2017'!A:D,2,0),IF(B113="Cotação",VLOOKUP(C113,COTAÇÃO!A:D,2,0),IF(B113="Composição",VLOOKUP(C113,COMPOSIÇÃO!A:D,2,0))))))</f>
        <v>Espalhamento De Material Em Bota Fora Proveniente De Escavação</v>
      </c>
      <c r="E113" s="837"/>
      <c r="F113" s="837"/>
      <c r="G113" s="838"/>
      <c r="H113" s="838"/>
      <c r="I113" s="838"/>
      <c r="J113" s="838"/>
      <c r="K113" s="904"/>
      <c r="L113" s="838" t="s">
        <v>22</v>
      </c>
      <c r="M113" s="853">
        <f>M109</f>
        <v>0</v>
      </c>
      <c r="N113" s="876"/>
      <c r="O113" s="871"/>
    </row>
    <row r="114" spans="1:15" s="824" customFormat="1" ht="12" thickBot="1">
      <c r="A114" s="905"/>
      <c r="B114" s="906"/>
      <c r="C114" s="906"/>
      <c r="D114" s="826"/>
      <c r="E114" s="790"/>
      <c r="F114" s="790"/>
      <c r="G114" s="700"/>
      <c r="H114" s="700"/>
      <c r="I114" s="700"/>
      <c r="J114" s="907"/>
      <c r="K114" s="700"/>
      <c r="L114" s="700"/>
      <c r="M114" s="827"/>
      <c r="N114" s="876"/>
      <c r="O114" s="871"/>
    </row>
    <row r="115" spans="1:15" s="863" customFormat="1" ht="17.25" customHeight="1" thickTop="1" thickBot="1">
      <c r="A115" s="862"/>
      <c r="B115" s="835"/>
      <c r="C115" s="835"/>
      <c r="D115" s="830" t="s">
        <v>12520</v>
      </c>
      <c r="E115" s="831"/>
      <c r="F115" s="831"/>
      <c r="G115" s="831"/>
      <c r="H115" s="831"/>
      <c r="I115" s="831"/>
      <c r="J115" s="831"/>
      <c r="K115" s="831"/>
      <c r="L115" s="832" t="s">
        <v>25</v>
      </c>
      <c r="M115" s="833" t="s">
        <v>27</v>
      </c>
      <c r="N115" s="876"/>
      <c r="O115" s="871"/>
    </row>
    <row r="116" spans="1:15" s="863" customFormat="1" ht="13.5" thickTop="1">
      <c r="A116" s="862"/>
      <c r="B116" s="835"/>
      <c r="C116" s="835"/>
      <c r="D116" s="826"/>
      <c r="E116" s="700"/>
      <c r="F116" s="700"/>
      <c r="G116" s="908"/>
      <c r="H116" s="908"/>
      <c r="I116" s="828" t="s">
        <v>1275</v>
      </c>
      <c r="J116" s="828" t="s">
        <v>11684</v>
      </c>
      <c r="K116" s="828" t="s">
        <v>19</v>
      </c>
      <c r="L116" s="828" t="s">
        <v>30</v>
      </c>
      <c r="M116" s="877" t="s">
        <v>30</v>
      </c>
      <c r="N116" s="876"/>
      <c r="O116" s="871"/>
    </row>
    <row r="117" spans="1:15" s="863" customFormat="1">
      <c r="A117" s="862"/>
      <c r="B117" s="835"/>
      <c r="C117" s="835"/>
      <c r="D117" s="826"/>
      <c r="E117" s="824"/>
      <c r="F117" s="824"/>
      <c r="G117" s="824" t="s">
        <v>14280</v>
      </c>
      <c r="H117" s="824" t="s">
        <v>12518</v>
      </c>
      <c r="I117" s="907"/>
      <c r="J117" s="828"/>
      <c r="K117" s="828"/>
      <c r="L117" s="828" t="s">
        <v>21</v>
      </c>
      <c r="M117" s="877">
        <f>I117*J117*K117</f>
        <v>0</v>
      </c>
      <c r="N117" s="876"/>
      <c r="O117" s="871"/>
    </row>
    <row r="118" spans="1:15" s="863" customFormat="1" ht="23.25" thickBot="1">
      <c r="A118" s="862" t="s">
        <v>12562</v>
      </c>
      <c r="B118" s="835" t="s">
        <v>70</v>
      </c>
      <c r="C118" s="898">
        <v>95241</v>
      </c>
      <c r="D118" s="826" t="str">
        <f>PROPER(IF(B118="Saneago",VLOOKUP(C118,'SANEAGO-FEV.2016'!A:B,2,0),IF(B118="Sinapi",VLOOKUP(C118,'SINAPI-FEV.2017'!A:D,2,0),IF(B118="Cotação",VLOOKUP(C118,COTAÇÃO!A:D,2,0),IF(B118="Composição",VLOOKUP(C118,COMPOSIÇÃO!A:D,2,0))))))</f>
        <v>Lastro De Concreto, E = 5 Cm, Preparo Mecânico, Inclusos Lançamento E Adensamento. Af_07_2016</v>
      </c>
      <c r="E118" s="790"/>
      <c r="F118" s="790"/>
      <c r="G118" s="828"/>
      <c r="H118" s="828"/>
      <c r="I118" s="911"/>
      <c r="J118" s="911"/>
      <c r="K118" s="816" t="s">
        <v>27</v>
      </c>
      <c r="L118" s="816" t="s">
        <v>21</v>
      </c>
      <c r="M118" s="902">
        <f>SUM(M117:M117)</f>
        <v>0</v>
      </c>
      <c r="N118" s="876"/>
      <c r="O118" s="871"/>
    </row>
    <row r="119" spans="1:15" s="863" customFormat="1" ht="23.25" customHeight="1" thickBot="1">
      <c r="A119" s="862"/>
      <c r="B119" s="835"/>
      <c r="C119" s="898"/>
      <c r="D119" s="1709" t="s">
        <v>21112</v>
      </c>
      <c r="E119" s="1710"/>
      <c r="F119" s="1710"/>
      <c r="G119" s="1710"/>
      <c r="H119" s="1710"/>
      <c r="I119" s="1710"/>
      <c r="J119" s="1710"/>
      <c r="K119" s="1710"/>
      <c r="L119" s="1710"/>
      <c r="M119" s="1711"/>
      <c r="N119" s="876"/>
      <c r="O119" s="871"/>
    </row>
    <row r="120" spans="1:15" s="1218" customFormat="1" ht="30" customHeight="1">
      <c r="A120" s="1216"/>
      <c r="B120" s="1217"/>
      <c r="C120" s="1217"/>
      <c r="D120" s="929" t="s">
        <v>21029</v>
      </c>
      <c r="E120" s="901" t="s">
        <v>1275</v>
      </c>
      <c r="F120" s="901" t="s">
        <v>11684</v>
      </c>
      <c r="G120" s="901" t="s">
        <v>19</v>
      </c>
      <c r="H120" s="901" t="s">
        <v>32</v>
      </c>
      <c r="I120" s="901" t="s">
        <v>36</v>
      </c>
      <c r="J120" s="901" t="s">
        <v>12593</v>
      </c>
      <c r="K120" s="901" t="s">
        <v>30</v>
      </c>
      <c r="L120" s="901" t="s">
        <v>30</v>
      </c>
      <c r="M120" s="951" t="s">
        <v>21039</v>
      </c>
      <c r="N120" s="879"/>
      <c r="O120" s="875"/>
    </row>
    <row r="121" spans="1:15" s="863" customFormat="1">
      <c r="A121" s="862"/>
      <c r="B121" s="835"/>
      <c r="C121" s="835"/>
      <c r="D121" s="888" t="s">
        <v>21106</v>
      </c>
      <c r="E121" s="700">
        <v>2</v>
      </c>
      <c r="F121" s="828">
        <f>17.2+0.5</f>
        <v>17.7</v>
      </c>
      <c r="G121" s="828">
        <v>13.4</v>
      </c>
      <c r="H121" s="828">
        <v>0</v>
      </c>
      <c r="I121" s="828" t="s">
        <v>30</v>
      </c>
      <c r="J121" s="828" t="s">
        <v>30</v>
      </c>
      <c r="K121" s="828"/>
      <c r="L121" s="828" t="s">
        <v>21</v>
      </c>
      <c r="M121" s="877">
        <f>(F121*2+(G121*2+0.25))*H121</f>
        <v>0</v>
      </c>
      <c r="N121" s="876"/>
      <c r="O121" s="871"/>
    </row>
    <row r="122" spans="1:15" s="863" customFormat="1">
      <c r="A122" s="862"/>
      <c r="B122" s="835"/>
      <c r="C122" s="835"/>
      <c r="D122" s="888" t="s">
        <v>21107</v>
      </c>
      <c r="E122" s="700">
        <f>2*24</f>
        <v>48</v>
      </c>
      <c r="F122" s="828">
        <v>0.2</v>
      </c>
      <c r="G122" s="828">
        <v>0.2</v>
      </c>
      <c r="H122" s="828">
        <f>4.85-1.55-0.174-0.11</f>
        <v>3.016</v>
      </c>
      <c r="I122" s="828" t="s">
        <v>30</v>
      </c>
      <c r="J122" s="828" t="s">
        <v>30</v>
      </c>
      <c r="K122" s="828"/>
      <c r="L122" s="828" t="s">
        <v>21</v>
      </c>
      <c r="M122" s="877">
        <f>E122*(F122*2+G122*2)*H122</f>
        <v>115.81440000000002</v>
      </c>
      <c r="N122" s="876"/>
      <c r="O122" s="871"/>
    </row>
    <row r="123" spans="1:15" s="863" customFormat="1">
      <c r="A123" s="862"/>
      <c r="B123" s="835"/>
      <c r="C123" s="835"/>
      <c r="D123" s="888" t="s">
        <v>21108</v>
      </c>
      <c r="E123" s="700">
        <v>2</v>
      </c>
      <c r="F123" s="828">
        <v>0.15</v>
      </c>
      <c r="G123" s="828">
        <v>0.3</v>
      </c>
      <c r="H123" s="828">
        <v>3.25</v>
      </c>
      <c r="I123" s="828" t="s">
        <v>30</v>
      </c>
      <c r="J123" s="828" t="s">
        <v>30</v>
      </c>
      <c r="K123" s="828"/>
      <c r="L123" s="828" t="s">
        <v>21</v>
      </c>
      <c r="M123" s="877">
        <f>E123*(F123*2+G123*2)*H123</f>
        <v>5.85</v>
      </c>
      <c r="N123" s="876"/>
      <c r="O123" s="871"/>
    </row>
    <row r="124" spans="1:15" s="863" customFormat="1">
      <c r="A124" s="862"/>
      <c r="B124" s="835"/>
      <c r="C124" s="835"/>
      <c r="D124" s="888" t="s">
        <v>21109</v>
      </c>
      <c r="E124" s="700">
        <v>2</v>
      </c>
      <c r="F124" s="828">
        <v>0.5</v>
      </c>
      <c r="G124" s="828">
        <v>0.5</v>
      </c>
      <c r="H124" s="828">
        <v>0.5</v>
      </c>
      <c r="I124" s="828" t="s">
        <v>30</v>
      </c>
      <c r="J124" s="828" t="s">
        <v>30</v>
      </c>
      <c r="K124" s="828"/>
      <c r="L124" s="828" t="s">
        <v>21</v>
      </c>
      <c r="M124" s="877">
        <f>E124*(F124*2+G124*2)*H124</f>
        <v>2</v>
      </c>
      <c r="N124" s="876"/>
      <c r="O124" s="871"/>
    </row>
    <row r="125" spans="1:15" s="863" customFormat="1">
      <c r="A125" s="862"/>
      <c r="B125" s="835"/>
      <c r="C125" s="835"/>
      <c r="D125" s="888" t="s">
        <v>21110</v>
      </c>
      <c r="E125" s="700">
        <v>72</v>
      </c>
      <c r="F125" s="828">
        <v>0.3</v>
      </c>
      <c r="G125" s="828">
        <v>0.15</v>
      </c>
      <c r="H125" s="828">
        <v>0.3</v>
      </c>
      <c r="I125" s="828" t="s">
        <v>30</v>
      </c>
      <c r="J125" s="828" t="s">
        <v>30</v>
      </c>
      <c r="K125" s="828"/>
      <c r="L125" s="828" t="s">
        <v>21</v>
      </c>
      <c r="M125" s="877">
        <f>E125*(F125*2+G125*2)*H125</f>
        <v>19.439999999999998</v>
      </c>
      <c r="N125" s="876"/>
      <c r="O125" s="871"/>
    </row>
    <row r="126" spans="1:15" s="863" customFormat="1" ht="12.75" customHeight="1">
      <c r="A126" s="862"/>
      <c r="B126" s="835"/>
      <c r="C126" s="835"/>
      <c r="D126" s="888" t="s">
        <v>21111</v>
      </c>
      <c r="E126" s="700">
        <v>1</v>
      </c>
      <c r="F126" s="828">
        <f>17.2+0.5</f>
        <v>17.7</v>
      </c>
      <c r="G126" s="828">
        <f>13.4+0.5</f>
        <v>13.9</v>
      </c>
      <c r="H126" s="828">
        <v>1.1000000000000001</v>
      </c>
      <c r="I126" s="828">
        <v>0.25</v>
      </c>
      <c r="J126" s="828" t="s">
        <v>30</v>
      </c>
      <c r="K126" s="828"/>
      <c r="L126" s="828" t="s">
        <v>21</v>
      </c>
      <c r="M126" s="877">
        <f>((2*F126+G126*4)*H126)+((4*(F126-0.5)+(G126-0.5)*4)*H126)</f>
        <v>234.74</v>
      </c>
      <c r="N126" s="876"/>
      <c r="O126" s="871"/>
    </row>
    <row r="127" spans="1:15" s="1218" customFormat="1" ht="36" customHeight="1">
      <c r="A127" s="1216"/>
      <c r="B127" s="1217"/>
      <c r="C127" s="1217"/>
      <c r="D127" s="929" t="s">
        <v>21035</v>
      </c>
      <c r="E127" s="816" t="s">
        <v>1275</v>
      </c>
      <c r="F127" s="1201" t="s">
        <v>12170</v>
      </c>
      <c r="G127" s="816" t="s">
        <v>43</v>
      </c>
      <c r="H127" s="816" t="s">
        <v>32</v>
      </c>
      <c r="I127" s="816"/>
      <c r="J127" s="1219"/>
      <c r="K127" s="1202"/>
      <c r="L127" s="1022"/>
      <c r="M127" s="951" t="s">
        <v>21039</v>
      </c>
      <c r="N127" s="879"/>
      <c r="O127" s="875"/>
    </row>
    <row r="128" spans="1:15" s="863" customFormat="1">
      <c r="A128" s="862"/>
      <c r="B128" s="835"/>
      <c r="C128" s="835"/>
      <c r="D128" s="888" t="s">
        <v>21014</v>
      </c>
      <c r="E128" s="700">
        <v>2</v>
      </c>
      <c r="F128" s="828">
        <f>0.85+0.2*2+0.45</f>
        <v>1.7</v>
      </c>
      <c r="G128" s="828">
        <f>(13.4+0.25+0.125)-1.105+(0.2+0.45)</f>
        <v>13.32</v>
      </c>
      <c r="H128" s="828"/>
      <c r="I128" s="828" t="s">
        <v>21084</v>
      </c>
      <c r="J128" s="828"/>
      <c r="K128" s="828"/>
      <c r="L128" s="828" t="s">
        <v>21</v>
      </c>
      <c r="M128" s="877">
        <f t="shared" ref="M128:M135" si="0">E128*F128*G128</f>
        <v>45.287999999999997</v>
      </c>
      <c r="N128" s="876"/>
      <c r="O128" s="871"/>
    </row>
    <row r="129" spans="1:15" s="863" customFormat="1">
      <c r="A129" s="862"/>
      <c r="B129" s="835"/>
      <c r="C129" s="835"/>
      <c r="D129" s="888" t="s">
        <v>21015</v>
      </c>
      <c r="E129" s="700">
        <v>2</v>
      </c>
      <c r="F129" s="828">
        <f>0.2+0.85+0.45</f>
        <v>1.5</v>
      </c>
      <c r="G129" s="828">
        <f>(13.4+0.25+0.125)-1.105+(0.45)</f>
        <v>13.12</v>
      </c>
      <c r="H129" s="828"/>
      <c r="I129" s="828" t="s">
        <v>21084</v>
      </c>
      <c r="J129" s="828"/>
      <c r="K129" s="828"/>
      <c r="L129" s="828" t="s">
        <v>21</v>
      </c>
      <c r="M129" s="877">
        <f t="shared" si="0"/>
        <v>39.36</v>
      </c>
      <c r="N129" s="876"/>
      <c r="O129" s="871"/>
    </row>
    <row r="130" spans="1:15" s="863" customFormat="1">
      <c r="A130" s="862"/>
      <c r="B130" s="835"/>
      <c r="C130" s="835"/>
      <c r="D130" s="888" t="s">
        <v>21016</v>
      </c>
      <c r="E130" s="700">
        <f>2*2</f>
        <v>4</v>
      </c>
      <c r="F130" s="828">
        <f>0.65*2+0.11</f>
        <v>1.4100000000000001</v>
      </c>
      <c r="G130" s="828">
        <v>17.2</v>
      </c>
      <c r="H130" s="828"/>
      <c r="I130" s="1220" t="s">
        <v>21096</v>
      </c>
      <c r="J130" s="828"/>
      <c r="K130" s="828"/>
      <c r="L130" s="828" t="s">
        <v>21</v>
      </c>
      <c r="M130" s="877">
        <v>0</v>
      </c>
      <c r="N130" s="876"/>
      <c r="O130" s="871"/>
    </row>
    <row r="131" spans="1:15" s="863" customFormat="1">
      <c r="A131" s="862"/>
      <c r="B131" s="835"/>
      <c r="C131" s="835"/>
      <c r="D131" s="888" t="s">
        <v>12598</v>
      </c>
      <c r="E131" s="700">
        <f>2*3</f>
        <v>6</v>
      </c>
      <c r="F131" s="828">
        <f>0.55*2+0.2+0.11*2+0.6*2</f>
        <v>2.7199999999999998</v>
      </c>
      <c r="G131" s="828">
        <v>17.2</v>
      </c>
      <c r="H131" s="828"/>
      <c r="I131" s="1220" t="s">
        <v>21096</v>
      </c>
      <c r="J131" s="828"/>
      <c r="K131" s="828"/>
      <c r="L131" s="828" t="s">
        <v>21</v>
      </c>
      <c r="M131" s="877">
        <v>0</v>
      </c>
      <c r="N131" s="876"/>
      <c r="O131" s="871"/>
    </row>
    <row r="132" spans="1:15" s="863" customFormat="1">
      <c r="A132" s="862"/>
      <c r="B132" s="835"/>
      <c r="C132" s="835"/>
      <c r="D132" s="888" t="s">
        <v>21017</v>
      </c>
      <c r="E132" s="700">
        <v>2</v>
      </c>
      <c r="F132" s="828">
        <f>0.85+0.15*2+0.45</f>
        <v>1.5999999999999999</v>
      </c>
      <c r="G132" s="828">
        <f>(13.4+0.25+0.125)-1.105+(0.2+0.45)</f>
        <v>13.32</v>
      </c>
      <c r="H132" s="828"/>
      <c r="I132" s="828" t="s">
        <v>21084</v>
      </c>
      <c r="J132" s="828"/>
      <c r="K132" s="828"/>
      <c r="L132" s="828" t="s">
        <v>21</v>
      </c>
      <c r="M132" s="877">
        <f t="shared" si="0"/>
        <v>42.623999999999995</v>
      </c>
      <c r="N132" s="876"/>
      <c r="O132" s="871"/>
    </row>
    <row r="133" spans="1:15" s="863" customFormat="1">
      <c r="A133" s="862"/>
      <c r="B133" s="835"/>
      <c r="C133" s="835"/>
      <c r="D133" s="888" t="s">
        <v>21018</v>
      </c>
      <c r="E133" s="700">
        <v>2</v>
      </c>
      <c r="F133" s="828">
        <f>0.15+0.85+0.45</f>
        <v>1.45</v>
      </c>
      <c r="G133" s="828">
        <f>(13.4+0.25+0.125)-1.105+(0.45)</f>
        <v>13.12</v>
      </c>
      <c r="H133" s="828"/>
      <c r="I133" s="828" t="s">
        <v>21084</v>
      </c>
      <c r="J133" s="828"/>
      <c r="K133" s="828"/>
      <c r="L133" s="828" t="s">
        <v>21</v>
      </c>
      <c r="M133" s="877">
        <f t="shared" si="0"/>
        <v>38.047999999999995</v>
      </c>
      <c r="N133" s="876"/>
      <c r="O133" s="871"/>
    </row>
    <row r="134" spans="1:15" s="863" customFormat="1">
      <c r="A134" s="862"/>
      <c r="B134" s="835"/>
      <c r="C134" s="835"/>
      <c r="D134" s="888" t="s">
        <v>21019</v>
      </c>
      <c r="E134" s="700">
        <f>2*4</f>
        <v>8</v>
      </c>
      <c r="F134" s="1220">
        <f>0.4*2</f>
        <v>0.8</v>
      </c>
      <c r="G134" s="828">
        <v>17.2</v>
      </c>
      <c r="H134" s="828"/>
      <c r="I134" s="828" t="s">
        <v>21084</v>
      </c>
      <c r="J134" s="1220" t="s">
        <v>21095</v>
      </c>
      <c r="K134" s="1220">
        <f>0.3*0.4*2*2</f>
        <v>0.48</v>
      </c>
      <c r="L134" s="828" t="s">
        <v>21</v>
      </c>
      <c r="M134" s="877">
        <f>E134*F134*G134+K134</f>
        <v>110.56</v>
      </c>
      <c r="N134" s="876"/>
      <c r="O134" s="871"/>
    </row>
    <row r="135" spans="1:15" s="863" customFormat="1">
      <c r="A135" s="862"/>
      <c r="B135" s="835"/>
      <c r="C135" s="835"/>
      <c r="D135" s="888" t="s">
        <v>21020</v>
      </c>
      <c r="E135" s="700">
        <f>2*4</f>
        <v>8</v>
      </c>
      <c r="F135" s="1220">
        <f>((0.4-0.12)*2)+0.3</f>
        <v>0.8600000000000001</v>
      </c>
      <c r="G135" s="828">
        <v>17.2</v>
      </c>
      <c r="H135" s="828"/>
      <c r="I135" s="828" t="s">
        <v>21084</v>
      </c>
      <c r="J135" s="828"/>
      <c r="K135" s="828"/>
      <c r="L135" s="828" t="s">
        <v>21</v>
      </c>
      <c r="M135" s="877">
        <f t="shared" si="0"/>
        <v>118.33600000000001</v>
      </c>
      <c r="N135" s="876"/>
      <c r="O135" s="871"/>
    </row>
    <row r="136" spans="1:15" s="863" customFormat="1">
      <c r="A136" s="862"/>
      <c r="B136" s="835"/>
      <c r="C136" s="835"/>
      <c r="D136" s="888" t="s">
        <v>21021</v>
      </c>
      <c r="E136" s="700">
        <f>2*4</f>
        <v>8</v>
      </c>
      <c r="F136" s="828">
        <f>0.4+0.2+0.475+0.15</f>
        <v>1.2250000000000001</v>
      </c>
      <c r="G136" s="828"/>
      <c r="H136" s="828">
        <f>0.2+0.5+0.2+0.8</f>
        <v>1.7</v>
      </c>
      <c r="I136" s="828" t="s">
        <v>21084</v>
      </c>
      <c r="J136" s="828"/>
      <c r="K136" s="828"/>
      <c r="L136" s="828" t="s">
        <v>21</v>
      </c>
      <c r="M136" s="877">
        <f t="shared" ref="M136:M141" si="1">E136*F136*H136</f>
        <v>16.66</v>
      </c>
      <c r="N136" s="876"/>
      <c r="O136" s="871"/>
    </row>
    <row r="137" spans="1:15" s="863" customFormat="1">
      <c r="A137" s="862"/>
      <c r="B137" s="835"/>
      <c r="C137" s="835"/>
      <c r="D137" s="888" t="s">
        <v>21022</v>
      </c>
      <c r="E137" s="700">
        <f>2*4</f>
        <v>8</v>
      </c>
      <c r="F137" s="828">
        <f>0.4+0.2+0.475</f>
        <v>1.0750000000000002</v>
      </c>
      <c r="G137" s="828"/>
      <c r="H137" s="828">
        <f>0.5+0.2+0.8</f>
        <v>1.5</v>
      </c>
      <c r="I137" s="828" t="s">
        <v>21084</v>
      </c>
      <c r="J137" s="828"/>
      <c r="K137" s="828"/>
      <c r="L137" s="828" t="s">
        <v>21</v>
      </c>
      <c r="M137" s="877">
        <f t="shared" si="1"/>
        <v>12.900000000000002</v>
      </c>
      <c r="N137" s="876"/>
      <c r="O137" s="871"/>
    </row>
    <row r="138" spans="1:15" s="863" customFormat="1">
      <c r="A138" s="862"/>
      <c r="B138" s="835"/>
      <c r="C138" s="835"/>
      <c r="D138" s="888" t="s">
        <v>21023</v>
      </c>
      <c r="E138" s="700">
        <f>2*2</f>
        <v>4</v>
      </c>
      <c r="F138" s="828">
        <f>0.15*2+2.15</f>
        <v>2.4499999999999997</v>
      </c>
      <c r="G138" s="828"/>
      <c r="H138" s="828">
        <f>0.2+0.5+0.2+0.8</f>
        <v>1.7</v>
      </c>
      <c r="I138" s="828" t="s">
        <v>21084</v>
      </c>
      <c r="J138" s="828"/>
      <c r="K138" s="828"/>
      <c r="L138" s="828" t="s">
        <v>21</v>
      </c>
      <c r="M138" s="877">
        <f t="shared" si="1"/>
        <v>16.659999999999997</v>
      </c>
      <c r="N138" s="876"/>
      <c r="O138" s="871"/>
    </row>
    <row r="139" spans="1:15" s="863" customFormat="1">
      <c r="A139" s="862"/>
      <c r="B139" s="835"/>
      <c r="C139" s="835"/>
      <c r="D139" s="888" t="s">
        <v>21024</v>
      </c>
      <c r="E139" s="700">
        <f>2*2</f>
        <v>4</v>
      </c>
      <c r="F139" s="828">
        <f>2.15</f>
        <v>2.15</v>
      </c>
      <c r="G139" s="828"/>
      <c r="H139" s="828">
        <f>0.5+0.2+0.8</f>
        <v>1.5</v>
      </c>
      <c r="I139" s="828" t="s">
        <v>21084</v>
      </c>
      <c r="J139" s="828"/>
      <c r="K139" s="828"/>
      <c r="L139" s="828" t="s">
        <v>21</v>
      </c>
      <c r="M139" s="877">
        <f t="shared" si="1"/>
        <v>12.899999999999999</v>
      </c>
      <c r="N139" s="876"/>
      <c r="O139" s="871"/>
    </row>
    <row r="140" spans="1:15" s="863" customFormat="1">
      <c r="A140" s="862"/>
      <c r="B140" s="835"/>
      <c r="C140" s="835"/>
      <c r="D140" s="888" t="s">
        <v>21023</v>
      </c>
      <c r="E140" s="700">
        <f>2*2</f>
        <v>4</v>
      </c>
      <c r="F140" s="828">
        <f>0.15*2+2.15</f>
        <v>2.4499999999999997</v>
      </c>
      <c r="G140" s="828"/>
      <c r="H140" s="828">
        <v>0.8</v>
      </c>
      <c r="I140" s="828" t="s">
        <v>21084</v>
      </c>
      <c r="J140" s="828"/>
      <c r="K140" s="828"/>
      <c r="L140" s="828" t="s">
        <v>21</v>
      </c>
      <c r="M140" s="877">
        <f t="shared" si="1"/>
        <v>7.84</v>
      </c>
      <c r="N140" s="876"/>
      <c r="O140" s="871"/>
    </row>
    <row r="141" spans="1:15" s="863" customFormat="1">
      <c r="A141" s="862"/>
      <c r="B141" s="835"/>
      <c r="C141" s="835"/>
      <c r="D141" s="888" t="s">
        <v>21024</v>
      </c>
      <c r="E141" s="700">
        <f>2*2</f>
        <v>4</v>
      </c>
      <c r="F141" s="828">
        <f>2.15</f>
        <v>2.15</v>
      </c>
      <c r="G141" s="828"/>
      <c r="H141" s="828">
        <v>0.8</v>
      </c>
      <c r="I141" s="828" t="s">
        <v>21084</v>
      </c>
      <c r="J141" s="828"/>
      <c r="K141" s="828"/>
      <c r="L141" s="828" t="s">
        <v>21</v>
      </c>
      <c r="M141" s="877">
        <f t="shared" si="1"/>
        <v>6.88</v>
      </c>
      <c r="N141" s="876"/>
      <c r="O141" s="871"/>
    </row>
    <row r="142" spans="1:15" s="1218" customFormat="1" ht="32.25" customHeight="1">
      <c r="A142" s="1216"/>
      <c r="B142" s="1217"/>
      <c r="C142" s="1217"/>
      <c r="D142" s="929" t="s">
        <v>21038</v>
      </c>
      <c r="E142" s="816" t="s">
        <v>1275</v>
      </c>
      <c r="F142" s="901" t="s">
        <v>43</v>
      </c>
      <c r="G142" s="901" t="s">
        <v>19</v>
      </c>
      <c r="H142" s="901" t="s">
        <v>32</v>
      </c>
      <c r="I142" s="901" t="s">
        <v>21057</v>
      </c>
      <c r="J142" s="901" t="s">
        <v>21058</v>
      </c>
      <c r="K142" s="901"/>
      <c r="L142" s="901"/>
      <c r="M142" s="951" t="s">
        <v>21039</v>
      </c>
      <c r="N142" s="879"/>
      <c r="O142" s="875"/>
    </row>
    <row r="143" spans="1:15" s="863" customFormat="1">
      <c r="A143" s="862"/>
      <c r="B143" s="835"/>
      <c r="C143" s="835"/>
      <c r="D143" s="888" t="s">
        <v>21045</v>
      </c>
      <c r="E143" s="700">
        <v>2</v>
      </c>
      <c r="F143" s="828">
        <v>1.85</v>
      </c>
      <c r="G143" s="828">
        <v>0.15</v>
      </c>
      <c r="H143" s="828">
        <f>0.7+0.5+0.4+0.2</f>
        <v>1.8</v>
      </c>
      <c r="I143" s="828">
        <v>2</v>
      </c>
      <c r="J143" s="828">
        <v>0.2</v>
      </c>
      <c r="K143" s="828"/>
      <c r="L143" s="828" t="s">
        <v>21</v>
      </c>
      <c r="M143" s="877">
        <f>(E143*F143*H143)-(E143*I143*(3.14*(J143^2/4)))</f>
        <v>6.5343999999999998</v>
      </c>
      <c r="N143" s="876"/>
      <c r="O143" s="871"/>
    </row>
    <row r="144" spans="1:15" s="863" customFormat="1">
      <c r="A144" s="862"/>
      <c r="B144" s="835"/>
      <c r="C144" s="835"/>
      <c r="D144" s="888" t="s">
        <v>21046</v>
      </c>
      <c r="E144" s="700">
        <v>2</v>
      </c>
      <c r="F144" s="828">
        <f>1.85-0.15*2</f>
        <v>1.55</v>
      </c>
      <c r="G144" s="828">
        <v>0.15</v>
      </c>
      <c r="H144" s="828">
        <f>0.7+0.5+0.4</f>
        <v>1.6</v>
      </c>
      <c r="I144" s="828">
        <v>2</v>
      </c>
      <c r="J144" s="828">
        <v>0.2</v>
      </c>
      <c r="K144" s="828"/>
      <c r="L144" s="828" t="s">
        <v>21</v>
      </c>
      <c r="M144" s="877">
        <f>(E144*F144*H144)-(E144*I144*(3.14*(J144^2/4)))</f>
        <v>4.8344000000000005</v>
      </c>
      <c r="N144" s="876"/>
      <c r="O144" s="871"/>
    </row>
    <row r="145" spans="1:15" s="863" customFormat="1">
      <c r="A145" s="862"/>
      <c r="B145" s="835"/>
      <c r="C145" s="835"/>
      <c r="D145" s="888" t="s">
        <v>21050</v>
      </c>
      <c r="E145" s="700">
        <v>1</v>
      </c>
      <c r="F145" s="828">
        <v>1.1000000000000001</v>
      </c>
      <c r="G145" s="828">
        <v>0.15</v>
      </c>
      <c r="H145" s="828">
        <f>0.7+0.5+0.4+0.2</f>
        <v>1.8</v>
      </c>
      <c r="I145" s="828">
        <v>1</v>
      </c>
      <c r="J145" s="828">
        <v>0.4</v>
      </c>
      <c r="K145" s="828"/>
      <c r="L145" s="828" t="s">
        <v>21</v>
      </c>
      <c r="M145" s="877">
        <f>(E145*F145*H145)-(E145*I145*(3.14*(J145^2/4)))</f>
        <v>1.8544000000000003</v>
      </c>
      <c r="N145" s="876"/>
      <c r="O145" s="871"/>
    </row>
    <row r="146" spans="1:15" s="863" customFormat="1">
      <c r="A146" s="862"/>
      <c r="B146" s="835"/>
      <c r="C146" s="835"/>
      <c r="D146" s="888" t="s">
        <v>21051</v>
      </c>
      <c r="E146" s="700">
        <v>1</v>
      </c>
      <c r="F146" s="828">
        <f>F145-0.15*2</f>
        <v>0.8</v>
      </c>
      <c r="G146" s="828">
        <v>0.15</v>
      </c>
      <c r="H146" s="828">
        <f t="shared" ref="H146:H155" si="2">0.7+0.5+0.4</f>
        <v>1.6</v>
      </c>
      <c r="I146" s="828">
        <v>1</v>
      </c>
      <c r="J146" s="828">
        <v>0.4</v>
      </c>
      <c r="K146" s="828"/>
      <c r="L146" s="828" t="s">
        <v>21</v>
      </c>
      <c r="M146" s="877">
        <f>(E146*F146*H146)-(E146*I146*(3.14*(J146^2/4)))</f>
        <v>1.1544000000000003</v>
      </c>
      <c r="N146" s="876"/>
      <c r="O146" s="871"/>
    </row>
    <row r="147" spans="1:15" s="863" customFormat="1" ht="22.5">
      <c r="A147" s="862"/>
      <c r="B147" s="835"/>
      <c r="C147" s="835"/>
      <c r="D147" s="929" t="s">
        <v>21038</v>
      </c>
      <c r="E147" s="816" t="s">
        <v>1275</v>
      </c>
      <c r="F147" s="901" t="s">
        <v>43</v>
      </c>
      <c r="G147" s="901" t="s">
        <v>19</v>
      </c>
      <c r="H147" s="901" t="s">
        <v>32</v>
      </c>
      <c r="I147" s="901" t="s">
        <v>21057</v>
      </c>
      <c r="J147" s="901" t="s">
        <v>21055</v>
      </c>
      <c r="K147" s="901" t="s">
        <v>21056</v>
      </c>
      <c r="L147" s="901"/>
      <c r="M147" s="951" t="s">
        <v>21039</v>
      </c>
      <c r="N147" s="876"/>
      <c r="O147" s="871"/>
    </row>
    <row r="148" spans="1:15" s="863" customFormat="1">
      <c r="A148" s="862"/>
      <c r="B148" s="835"/>
      <c r="C148" s="835"/>
      <c r="D148" s="888" t="s">
        <v>21049</v>
      </c>
      <c r="E148" s="700">
        <v>2</v>
      </c>
      <c r="F148" s="828">
        <f>1.85-0.15*2</f>
        <v>1.55</v>
      </c>
      <c r="G148" s="828">
        <v>0.15</v>
      </c>
      <c r="H148" s="828">
        <f t="shared" si="2"/>
        <v>1.6</v>
      </c>
      <c r="I148" s="828">
        <v>2</v>
      </c>
      <c r="J148" s="828">
        <v>0.5</v>
      </c>
      <c r="K148" s="828">
        <v>0.5</v>
      </c>
      <c r="L148" s="828" t="s">
        <v>21</v>
      </c>
      <c r="M148" s="877">
        <f>E148*F148*H148-E148*I148*J148*K148</f>
        <v>3.9600000000000009</v>
      </c>
      <c r="N148" s="876"/>
      <c r="O148" s="871"/>
    </row>
    <row r="149" spans="1:15" s="863" customFormat="1">
      <c r="A149" s="862"/>
      <c r="B149" s="835"/>
      <c r="C149" s="835"/>
      <c r="D149" s="888" t="s">
        <v>21047</v>
      </c>
      <c r="E149" s="700">
        <v>2</v>
      </c>
      <c r="F149" s="828">
        <f>F148</f>
        <v>1.55</v>
      </c>
      <c r="G149" s="828">
        <v>0.15</v>
      </c>
      <c r="H149" s="828">
        <f t="shared" si="2"/>
        <v>1.6</v>
      </c>
      <c r="I149" s="828">
        <v>2</v>
      </c>
      <c r="J149" s="828">
        <v>0.5</v>
      </c>
      <c r="K149" s="828">
        <v>0.5</v>
      </c>
      <c r="L149" s="828" t="s">
        <v>21</v>
      </c>
      <c r="M149" s="877">
        <f t="shared" ref="M149:M156" si="3">E149*F149*H149-E149*I149*J149*K149</f>
        <v>3.9600000000000009</v>
      </c>
      <c r="N149" s="876"/>
      <c r="O149" s="871"/>
    </row>
    <row r="150" spans="1:15" s="863" customFormat="1">
      <c r="A150" s="862"/>
      <c r="B150" s="835"/>
      <c r="C150" s="835"/>
      <c r="D150" s="888" t="s">
        <v>21048</v>
      </c>
      <c r="E150" s="700">
        <v>4</v>
      </c>
      <c r="F150" s="828">
        <v>0.75</v>
      </c>
      <c r="G150" s="828">
        <v>0.15</v>
      </c>
      <c r="H150" s="828">
        <f t="shared" si="2"/>
        <v>1.6</v>
      </c>
      <c r="I150" s="828"/>
      <c r="J150" s="828"/>
      <c r="K150" s="828"/>
      <c r="L150" s="828" t="s">
        <v>21</v>
      </c>
      <c r="M150" s="877">
        <f t="shared" si="3"/>
        <v>4.8000000000000007</v>
      </c>
      <c r="N150" s="876"/>
      <c r="O150" s="871"/>
    </row>
    <row r="151" spans="1:15" s="863" customFormat="1">
      <c r="A151" s="862"/>
      <c r="B151" s="835"/>
      <c r="C151" s="835"/>
      <c r="D151" s="888" t="s">
        <v>21052</v>
      </c>
      <c r="E151" s="700">
        <v>2</v>
      </c>
      <c r="F151" s="828">
        <f>0.5+0.15*2</f>
        <v>0.8</v>
      </c>
      <c r="G151" s="828">
        <v>0.15</v>
      </c>
      <c r="H151" s="828">
        <f>0.7+0.5+0.4+0.2</f>
        <v>1.8</v>
      </c>
      <c r="I151" s="828"/>
      <c r="J151" s="828"/>
      <c r="K151" s="828"/>
      <c r="L151" s="828" t="s">
        <v>21</v>
      </c>
      <c r="M151" s="877">
        <f t="shared" si="3"/>
        <v>2.8800000000000003</v>
      </c>
      <c r="N151" s="876"/>
      <c r="O151" s="871"/>
    </row>
    <row r="152" spans="1:15" s="863" customFormat="1">
      <c r="A152" s="862"/>
      <c r="B152" s="835"/>
      <c r="C152" s="835"/>
      <c r="D152" s="888" t="s">
        <v>21053</v>
      </c>
      <c r="E152" s="700">
        <v>2</v>
      </c>
      <c r="F152" s="828">
        <v>0.8</v>
      </c>
      <c r="G152" s="828">
        <v>0.15</v>
      </c>
      <c r="H152" s="828">
        <f t="shared" si="2"/>
        <v>1.6</v>
      </c>
      <c r="I152" s="828"/>
      <c r="J152" s="828"/>
      <c r="K152" s="828"/>
      <c r="L152" s="828" t="s">
        <v>21</v>
      </c>
      <c r="M152" s="877">
        <f t="shared" si="3"/>
        <v>2.5600000000000005</v>
      </c>
      <c r="N152" s="876"/>
      <c r="O152" s="871"/>
    </row>
    <row r="153" spans="1:15" s="863" customFormat="1">
      <c r="A153" s="862"/>
      <c r="B153" s="835"/>
      <c r="C153" s="835"/>
      <c r="D153" s="888" t="s">
        <v>21054</v>
      </c>
      <c r="E153" s="700">
        <v>2</v>
      </c>
      <c r="F153" s="828">
        <v>0.8</v>
      </c>
      <c r="G153" s="828">
        <v>0.15</v>
      </c>
      <c r="H153" s="828">
        <v>0.75</v>
      </c>
      <c r="I153" s="828"/>
      <c r="J153" s="828"/>
      <c r="K153" s="828"/>
      <c r="L153" s="828" t="s">
        <v>21</v>
      </c>
      <c r="M153" s="877">
        <f t="shared" si="3"/>
        <v>1.2000000000000002</v>
      </c>
      <c r="N153" s="876"/>
      <c r="O153" s="871"/>
    </row>
    <row r="154" spans="1:15" s="863" customFormat="1">
      <c r="A154" s="862"/>
      <c r="B154" s="835"/>
      <c r="C154" s="835"/>
      <c r="D154" s="888" t="s">
        <v>12610</v>
      </c>
      <c r="E154" s="700">
        <v>4</v>
      </c>
      <c r="F154" s="828">
        <v>0.5</v>
      </c>
      <c r="G154" s="828">
        <v>0.15</v>
      </c>
      <c r="H154" s="828">
        <f t="shared" si="2"/>
        <v>1.6</v>
      </c>
      <c r="I154" s="828"/>
      <c r="J154" s="828"/>
      <c r="K154" s="828"/>
      <c r="L154" s="828" t="s">
        <v>21</v>
      </c>
      <c r="M154" s="877">
        <f t="shared" si="3"/>
        <v>3.2</v>
      </c>
      <c r="N154" s="876"/>
      <c r="O154" s="871"/>
    </row>
    <row r="155" spans="1:15" s="863" customFormat="1">
      <c r="A155" s="862"/>
      <c r="B155" s="835"/>
      <c r="C155" s="835"/>
      <c r="D155" s="888" t="s">
        <v>21091</v>
      </c>
      <c r="E155" s="700">
        <v>1</v>
      </c>
      <c r="F155" s="828">
        <f>0.95+1.1+0.95-0.15*2</f>
        <v>2.7</v>
      </c>
      <c r="G155" s="828">
        <v>0.15</v>
      </c>
      <c r="H155" s="828">
        <f t="shared" si="2"/>
        <v>1.6</v>
      </c>
      <c r="I155" s="828"/>
      <c r="J155" s="828"/>
      <c r="K155" s="828"/>
      <c r="L155" s="828" t="s">
        <v>21</v>
      </c>
      <c r="M155" s="877">
        <f>E155*F155*H155-E155*I155*J155*K155</f>
        <v>4.32</v>
      </c>
      <c r="N155" s="876"/>
      <c r="O155" s="871"/>
    </row>
    <row r="156" spans="1:15" s="863" customFormat="1">
      <c r="A156" s="862"/>
      <c r="B156" s="835"/>
      <c r="C156" s="835"/>
      <c r="D156" s="888" t="s">
        <v>21092</v>
      </c>
      <c r="E156" s="700">
        <v>1</v>
      </c>
      <c r="F156" s="828">
        <f>0.95+1.1+0.95-0.15*2</f>
        <v>2.7</v>
      </c>
      <c r="G156" s="828">
        <v>0.15</v>
      </c>
      <c r="H156" s="828">
        <v>1.8</v>
      </c>
      <c r="I156" s="828"/>
      <c r="J156" s="828"/>
      <c r="K156" s="828"/>
      <c r="L156" s="828" t="s">
        <v>21</v>
      </c>
      <c r="M156" s="877">
        <f t="shared" si="3"/>
        <v>4.8600000000000003</v>
      </c>
      <c r="N156" s="876"/>
      <c r="O156" s="871"/>
    </row>
    <row r="157" spans="1:15" s="863" customFormat="1">
      <c r="A157" s="862"/>
      <c r="B157" s="835"/>
      <c r="C157" s="835"/>
      <c r="D157" s="888"/>
      <c r="E157" s="700"/>
      <c r="F157" s="828"/>
      <c r="G157" s="828"/>
      <c r="H157" s="828"/>
      <c r="I157" s="828"/>
      <c r="J157" s="828"/>
      <c r="K157" s="828"/>
      <c r="L157" s="828"/>
      <c r="M157" s="877"/>
      <c r="N157" s="876"/>
      <c r="O157" s="871"/>
    </row>
    <row r="158" spans="1:15" s="1218" customFormat="1" ht="27" customHeight="1">
      <c r="A158" s="1216"/>
      <c r="B158" s="1217"/>
      <c r="C158" s="1217"/>
      <c r="D158" s="1221" t="s">
        <v>12272</v>
      </c>
      <c r="E158" s="1144" t="s">
        <v>1275</v>
      </c>
      <c r="F158" s="1204" t="s">
        <v>43</v>
      </c>
      <c r="G158" s="1204"/>
      <c r="H158" s="1205" t="s">
        <v>32</v>
      </c>
      <c r="I158" s="1205" t="s">
        <v>19</v>
      </c>
      <c r="J158" s="1205"/>
      <c r="K158" s="1205"/>
      <c r="L158" s="1205"/>
      <c r="M158" s="1205" t="s">
        <v>21039</v>
      </c>
      <c r="N158" s="879"/>
      <c r="O158" s="875"/>
    </row>
    <row r="159" spans="1:15" s="863" customFormat="1">
      <c r="A159" s="862"/>
      <c r="B159" s="835"/>
      <c r="C159" s="835"/>
      <c r="D159" s="888" t="s">
        <v>21093</v>
      </c>
      <c r="E159" s="700">
        <f>2*2</f>
        <v>4</v>
      </c>
      <c r="F159" s="828">
        <f>13.4-1.105+0.2+0.45</f>
        <v>12.944999999999999</v>
      </c>
      <c r="G159" s="954"/>
      <c r="H159" s="828">
        <f>0.8+0.2</f>
        <v>1</v>
      </c>
      <c r="I159" s="828">
        <v>0.2</v>
      </c>
      <c r="J159" s="828"/>
      <c r="K159" s="828"/>
      <c r="L159" s="828"/>
      <c r="M159" s="828">
        <f>E159*(2*F159*H159)</f>
        <v>103.55999999999999</v>
      </c>
      <c r="N159" s="876"/>
      <c r="O159" s="871"/>
    </row>
    <row r="160" spans="1:15" s="863" customFormat="1" ht="12.75" customHeight="1">
      <c r="A160" s="862"/>
      <c r="B160" s="835"/>
      <c r="C160" s="835"/>
      <c r="D160" s="888" t="s">
        <v>12587</v>
      </c>
      <c r="E160" s="700">
        <f>2*8</f>
        <v>16</v>
      </c>
      <c r="F160" s="828">
        <v>17.2</v>
      </c>
      <c r="G160" s="828" t="s">
        <v>30</v>
      </c>
      <c r="H160" s="828">
        <v>0.9</v>
      </c>
      <c r="I160" s="828">
        <v>0.2</v>
      </c>
      <c r="J160" s="828" t="s">
        <v>30</v>
      </c>
      <c r="K160" s="828"/>
      <c r="L160" s="828" t="s">
        <v>21</v>
      </c>
      <c r="M160" s="877">
        <f t="shared" ref="M160:M165" si="4">E160*((F160*I160)+(2*F160*H160))</f>
        <v>550.4</v>
      </c>
      <c r="N160" s="876"/>
      <c r="O160" s="871"/>
    </row>
    <row r="161" spans="1:15" s="863" customFormat="1" ht="12.75" customHeight="1">
      <c r="A161" s="862"/>
      <c r="B161" s="835"/>
      <c r="C161" s="835"/>
      <c r="D161" s="888" t="s">
        <v>12588</v>
      </c>
      <c r="E161" s="700">
        <f>2*4</f>
        <v>8</v>
      </c>
      <c r="F161" s="828">
        <v>2.4500000000000002</v>
      </c>
      <c r="G161" s="828" t="s">
        <v>30</v>
      </c>
      <c r="H161" s="828">
        <v>0.3</v>
      </c>
      <c r="I161" s="828">
        <v>0.2</v>
      </c>
      <c r="J161" s="828" t="s">
        <v>30</v>
      </c>
      <c r="K161" s="828"/>
      <c r="L161" s="828" t="s">
        <v>21</v>
      </c>
      <c r="M161" s="877">
        <f t="shared" si="4"/>
        <v>15.68</v>
      </c>
      <c r="N161" s="876"/>
      <c r="O161" s="871"/>
    </row>
    <row r="162" spans="1:15" s="863" customFormat="1" ht="12.75" customHeight="1">
      <c r="A162" s="862"/>
      <c r="B162" s="835"/>
      <c r="C162" s="835"/>
      <c r="D162" s="888" t="s">
        <v>12589</v>
      </c>
      <c r="E162" s="700">
        <f>2*4</f>
        <v>8</v>
      </c>
      <c r="F162" s="828">
        <v>4.5</v>
      </c>
      <c r="G162" s="828" t="s">
        <v>30</v>
      </c>
      <c r="H162" s="828">
        <v>0.3</v>
      </c>
      <c r="I162" s="828">
        <v>0.2</v>
      </c>
      <c r="J162" s="828" t="s">
        <v>30</v>
      </c>
      <c r="K162" s="828"/>
      <c r="L162" s="828" t="s">
        <v>21</v>
      </c>
      <c r="M162" s="877">
        <f t="shared" si="4"/>
        <v>28.799999999999997</v>
      </c>
      <c r="N162" s="876"/>
      <c r="O162" s="871"/>
    </row>
    <row r="163" spans="1:15" s="863" customFormat="1" ht="12.75" customHeight="1">
      <c r="A163" s="862"/>
      <c r="B163" s="835"/>
      <c r="C163" s="835"/>
      <c r="D163" s="888" t="s">
        <v>12590</v>
      </c>
      <c r="E163" s="700">
        <f>2*8</f>
        <v>16</v>
      </c>
      <c r="F163" s="828">
        <v>13.4</v>
      </c>
      <c r="G163" s="828" t="s">
        <v>30</v>
      </c>
      <c r="H163" s="828">
        <v>0.3</v>
      </c>
      <c r="I163" s="828">
        <v>0.2</v>
      </c>
      <c r="J163" s="828" t="s">
        <v>30</v>
      </c>
      <c r="K163" s="828"/>
      <c r="L163" s="828" t="s">
        <v>21</v>
      </c>
      <c r="M163" s="877">
        <f t="shared" si="4"/>
        <v>171.51999999999998</v>
      </c>
      <c r="N163" s="876"/>
      <c r="O163" s="871"/>
    </row>
    <row r="164" spans="1:15" s="863" customFormat="1">
      <c r="A164" s="862"/>
      <c r="B164" s="835"/>
      <c r="C164" s="835"/>
      <c r="D164" s="888" t="s">
        <v>12591</v>
      </c>
      <c r="E164" s="700">
        <v>2</v>
      </c>
      <c r="F164" s="828">
        <v>17.2</v>
      </c>
      <c r="G164" s="828" t="s">
        <v>30</v>
      </c>
      <c r="H164" s="828">
        <v>0.3</v>
      </c>
      <c r="I164" s="828">
        <v>0.2</v>
      </c>
      <c r="J164" s="828" t="s">
        <v>30</v>
      </c>
      <c r="K164" s="828"/>
      <c r="L164" s="828" t="s">
        <v>21</v>
      </c>
      <c r="M164" s="877">
        <f t="shared" si="4"/>
        <v>27.519999999999996</v>
      </c>
      <c r="N164" s="876"/>
      <c r="O164" s="871"/>
    </row>
    <row r="165" spans="1:15" s="863" customFormat="1">
      <c r="A165" s="862"/>
      <c r="B165" s="835"/>
      <c r="C165" s="835"/>
      <c r="D165" s="888" t="s">
        <v>12592</v>
      </c>
      <c r="E165" s="700">
        <f>8*2</f>
        <v>16</v>
      </c>
      <c r="F165" s="828">
        <v>12.8</v>
      </c>
      <c r="G165" s="828" t="s">
        <v>30</v>
      </c>
      <c r="H165" s="828">
        <v>0.15</v>
      </c>
      <c r="I165" s="828">
        <v>0.2</v>
      </c>
      <c r="J165" s="828" t="s">
        <v>30</v>
      </c>
      <c r="K165" s="828"/>
      <c r="L165" s="828" t="s">
        <v>21</v>
      </c>
      <c r="M165" s="877">
        <f t="shared" si="4"/>
        <v>102.4</v>
      </c>
      <c r="N165" s="876"/>
      <c r="O165" s="871"/>
    </row>
    <row r="166" spans="1:15" s="1218" customFormat="1" ht="37.5" customHeight="1">
      <c r="A166" s="1216"/>
      <c r="B166" s="1217"/>
      <c r="C166" s="1217"/>
      <c r="D166" s="1221" t="s">
        <v>21030</v>
      </c>
      <c r="E166" s="1144" t="s">
        <v>1275</v>
      </c>
      <c r="F166" s="1204" t="s">
        <v>17</v>
      </c>
      <c r="G166" s="1204" t="s">
        <v>19</v>
      </c>
      <c r="H166" s="1205"/>
      <c r="I166" s="1205" t="s">
        <v>36</v>
      </c>
      <c r="J166" s="1205" t="s">
        <v>21043</v>
      </c>
      <c r="K166" s="1205"/>
      <c r="L166" s="1205"/>
      <c r="M166" s="1205" t="s">
        <v>21039</v>
      </c>
      <c r="N166" s="879"/>
      <c r="O166" s="875"/>
    </row>
    <row r="167" spans="1:15" s="863" customFormat="1">
      <c r="A167" s="862"/>
      <c r="B167" s="835"/>
      <c r="C167" s="835"/>
      <c r="D167" s="888" t="s">
        <v>21031</v>
      </c>
      <c r="E167" s="700">
        <f>2*2</f>
        <v>4</v>
      </c>
      <c r="F167" s="954">
        <v>2.15</v>
      </c>
      <c r="G167" s="954">
        <v>1.125</v>
      </c>
      <c r="H167" s="828" t="s">
        <v>30</v>
      </c>
      <c r="I167" s="828">
        <v>0.15</v>
      </c>
      <c r="J167" s="828">
        <f t="shared" ref="J167:J172" si="5">E167*F167*G167</f>
        <v>9.6749999999999989</v>
      </c>
      <c r="K167" s="828"/>
      <c r="L167" s="828" t="s">
        <v>21</v>
      </c>
      <c r="M167" s="877">
        <f t="shared" ref="M167:M172" si="6">E167*(F167*2+G167*2)*I167</f>
        <v>3.9299999999999997</v>
      </c>
      <c r="N167" s="876"/>
      <c r="O167" s="871"/>
    </row>
    <row r="168" spans="1:15" s="863" customFormat="1">
      <c r="A168" s="862"/>
      <c r="B168" s="835"/>
      <c r="C168" s="835"/>
      <c r="D168" s="888" t="s">
        <v>21032</v>
      </c>
      <c r="E168" s="700">
        <f>2*2*8</f>
        <v>32</v>
      </c>
      <c r="F168" s="954">
        <v>0.6</v>
      </c>
      <c r="G168" s="954">
        <v>2.12</v>
      </c>
      <c r="H168" s="828" t="s">
        <v>30</v>
      </c>
      <c r="I168" s="828">
        <v>0.15</v>
      </c>
      <c r="J168" s="828">
        <f t="shared" si="5"/>
        <v>40.704000000000001</v>
      </c>
      <c r="K168" s="828"/>
      <c r="L168" s="828" t="s">
        <v>21</v>
      </c>
      <c r="M168" s="877">
        <f t="shared" si="6"/>
        <v>26.112000000000002</v>
      </c>
      <c r="N168" s="876"/>
      <c r="O168" s="871"/>
    </row>
    <row r="169" spans="1:15" s="863" customFormat="1">
      <c r="A169" s="862"/>
      <c r="B169" s="835"/>
      <c r="C169" s="835"/>
      <c r="D169" s="888" t="s">
        <v>21033</v>
      </c>
      <c r="E169" s="700">
        <f>2*4*8</f>
        <v>64</v>
      </c>
      <c r="F169" s="954">
        <v>0.6</v>
      </c>
      <c r="G169" s="954">
        <v>0.20100000000000001</v>
      </c>
      <c r="H169" s="828" t="s">
        <v>30</v>
      </c>
      <c r="I169" s="828">
        <v>0.15</v>
      </c>
      <c r="J169" s="828">
        <f t="shared" si="5"/>
        <v>7.7183999999999999</v>
      </c>
      <c r="K169" s="828"/>
      <c r="L169" s="828" t="s">
        <v>21</v>
      </c>
      <c r="M169" s="877">
        <f t="shared" si="6"/>
        <v>15.379199999999997</v>
      </c>
      <c r="N169" s="876"/>
      <c r="O169" s="871"/>
    </row>
    <row r="170" spans="1:15" s="863" customFormat="1">
      <c r="A170" s="862"/>
      <c r="B170" s="835"/>
      <c r="C170" s="835"/>
      <c r="D170" s="888" t="s">
        <v>21034</v>
      </c>
      <c r="E170" s="700">
        <f>2*6</f>
        <v>12</v>
      </c>
      <c r="F170" s="954">
        <v>1.32</v>
      </c>
      <c r="G170" s="954">
        <v>1.1000000000000001</v>
      </c>
      <c r="H170" s="828" t="s">
        <v>30</v>
      </c>
      <c r="I170" s="828">
        <v>0.15</v>
      </c>
      <c r="J170" s="828">
        <f t="shared" si="5"/>
        <v>17.423999999999999</v>
      </c>
      <c r="K170" s="828"/>
      <c r="L170" s="828" t="s">
        <v>21</v>
      </c>
      <c r="M170" s="877">
        <f t="shared" si="6"/>
        <v>8.7119999999999997</v>
      </c>
      <c r="N170" s="876"/>
      <c r="O170" s="871"/>
    </row>
    <row r="171" spans="1:15" s="863" customFormat="1">
      <c r="A171" s="862"/>
      <c r="B171" s="835"/>
      <c r="C171" s="835"/>
      <c r="D171" s="888" t="s">
        <v>21036</v>
      </c>
      <c r="E171" s="700">
        <f>2*6</f>
        <v>12</v>
      </c>
      <c r="F171" s="954">
        <v>1.76</v>
      </c>
      <c r="G171" s="954">
        <v>1.1000000000000001</v>
      </c>
      <c r="H171" s="828" t="s">
        <v>30</v>
      </c>
      <c r="I171" s="828">
        <v>0.15</v>
      </c>
      <c r="J171" s="828">
        <f t="shared" si="5"/>
        <v>23.232000000000003</v>
      </c>
      <c r="K171" s="828"/>
      <c r="L171" s="828" t="s">
        <v>21</v>
      </c>
      <c r="M171" s="877">
        <f t="shared" si="6"/>
        <v>10.296000000000001</v>
      </c>
      <c r="N171" s="876"/>
      <c r="O171" s="871"/>
    </row>
    <row r="172" spans="1:15" s="863" customFormat="1">
      <c r="A172" s="862"/>
      <c r="B172" s="835"/>
      <c r="C172" s="835"/>
      <c r="D172" s="888" t="s">
        <v>21037</v>
      </c>
      <c r="E172" s="700">
        <f>2*6</f>
        <v>12</v>
      </c>
      <c r="F172" s="954">
        <v>1.1000000000000001</v>
      </c>
      <c r="G172" s="954">
        <v>0.6</v>
      </c>
      <c r="H172" s="828" t="s">
        <v>30</v>
      </c>
      <c r="I172" s="828">
        <v>0.15</v>
      </c>
      <c r="J172" s="828">
        <f t="shared" si="5"/>
        <v>7.92</v>
      </c>
      <c r="K172" s="828"/>
      <c r="L172" s="828" t="s">
        <v>21</v>
      </c>
      <c r="M172" s="877">
        <f t="shared" si="6"/>
        <v>6.12</v>
      </c>
      <c r="N172" s="876"/>
      <c r="O172" s="871"/>
    </row>
    <row r="173" spans="1:15" s="863" customFormat="1" ht="15" customHeight="1">
      <c r="A173" s="862"/>
      <c r="B173" s="835"/>
      <c r="C173" s="835"/>
      <c r="D173" s="888"/>
      <c r="E173" s="700"/>
      <c r="F173" s="911"/>
      <c r="G173" s="911"/>
      <c r="H173" s="911"/>
      <c r="I173" s="911"/>
      <c r="J173" s="901"/>
      <c r="K173" s="901" t="s">
        <v>27</v>
      </c>
      <c r="L173" s="901" t="s">
        <v>21</v>
      </c>
      <c r="M173" s="901">
        <f>SUM(M167:M172)</f>
        <v>70.549200000000013</v>
      </c>
      <c r="N173" s="876"/>
      <c r="O173" s="871"/>
    </row>
    <row r="174" spans="1:15" s="863" customFormat="1" ht="15" customHeight="1">
      <c r="A174" s="862"/>
      <c r="B174" s="835"/>
      <c r="C174" s="835"/>
      <c r="D174" s="888"/>
      <c r="E174" s="700"/>
      <c r="F174" s="952"/>
      <c r="G174" s="952"/>
      <c r="H174" s="952"/>
      <c r="I174" s="952"/>
      <c r="J174" s="911"/>
      <c r="K174" s="911"/>
      <c r="L174" s="901"/>
      <c r="M174" s="901"/>
      <c r="N174" s="876"/>
      <c r="O174" s="871"/>
    </row>
    <row r="175" spans="1:15" s="863" customFormat="1">
      <c r="A175" s="862"/>
      <c r="B175" s="835"/>
      <c r="C175" s="835"/>
      <c r="D175" s="888" t="s">
        <v>12440</v>
      </c>
      <c r="E175" s="700">
        <v>2</v>
      </c>
      <c r="F175" s="828">
        <f>2.3+17.7+1.2</f>
        <v>21.2</v>
      </c>
      <c r="G175" s="828">
        <f>13.4+0.25+0.125</f>
        <v>13.775</v>
      </c>
      <c r="H175" s="828" t="s">
        <v>30</v>
      </c>
      <c r="I175" s="828">
        <v>0.15</v>
      </c>
      <c r="J175" s="908"/>
      <c r="K175" s="828"/>
      <c r="L175" s="828" t="s">
        <v>21</v>
      </c>
      <c r="M175" s="828">
        <f>E175*F175*G175</f>
        <v>584.05999999999995</v>
      </c>
      <c r="N175" s="876"/>
      <c r="O175" s="871"/>
    </row>
    <row r="176" spans="1:15" s="863" customFormat="1">
      <c r="A176" s="862"/>
      <c r="B176" s="835"/>
      <c r="C176" s="835"/>
      <c r="D176" s="888"/>
      <c r="E176" s="700"/>
      <c r="F176" s="1700" t="s">
        <v>21044</v>
      </c>
      <c r="G176" s="1700"/>
      <c r="H176" s="1700"/>
      <c r="I176" s="1700"/>
      <c r="J176" s="1700"/>
      <c r="K176" s="1700"/>
      <c r="L176" s="901" t="s">
        <v>21</v>
      </c>
      <c r="M176" s="901">
        <f>M175-SUM(J167:J172)</f>
        <v>477.38659999999993</v>
      </c>
      <c r="N176" s="876"/>
      <c r="O176" s="871"/>
    </row>
    <row r="177" spans="1:15" s="1218" customFormat="1">
      <c r="A177" s="1216"/>
      <c r="B177" s="1217"/>
      <c r="C177" s="1217"/>
      <c r="D177" s="929" t="s">
        <v>21040</v>
      </c>
      <c r="E177" s="816" t="s">
        <v>1275</v>
      </c>
      <c r="F177" s="901" t="s">
        <v>17</v>
      </c>
      <c r="G177" s="901" t="s">
        <v>19</v>
      </c>
      <c r="H177" s="901" t="s">
        <v>36</v>
      </c>
      <c r="I177" s="952"/>
      <c r="J177" s="952"/>
      <c r="K177" s="952"/>
      <c r="L177" s="901"/>
      <c r="M177" s="901"/>
      <c r="N177" s="879"/>
      <c r="O177" s="875"/>
    </row>
    <row r="178" spans="1:15" s="863" customFormat="1">
      <c r="A178" s="862"/>
      <c r="B178" s="835"/>
      <c r="C178" s="835"/>
      <c r="D178" s="888" t="s">
        <v>21041</v>
      </c>
      <c r="E178" s="700">
        <v>1</v>
      </c>
      <c r="F178" s="828">
        <f>1.85+0.75</f>
        <v>2.6</v>
      </c>
      <c r="G178" s="828">
        <f>0.95+1.1+0.95</f>
        <v>3</v>
      </c>
      <c r="H178" s="828"/>
      <c r="I178" s="828"/>
      <c r="J178" s="828"/>
      <c r="K178" s="828"/>
      <c r="L178" s="828" t="s">
        <v>21</v>
      </c>
      <c r="M178" s="877">
        <f>E178*F178*G178</f>
        <v>7.8000000000000007</v>
      </c>
      <c r="N178" s="876"/>
      <c r="O178" s="871"/>
    </row>
    <row r="179" spans="1:15" s="863" customFormat="1">
      <c r="A179" s="862"/>
      <c r="B179" s="835"/>
      <c r="C179" s="835"/>
      <c r="D179" s="888" t="s">
        <v>21042</v>
      </c>
      <c r="E179" s="700">
        <v>2</v>
      </c>
      <c r="F179" s="828">
        <v>0.75</v>
      </c>
      <c r="G179" s="828">
        <v>0.95</v>
      </c>
      <c r="H179" s="828"/>
      <c r="I179" s="828"/>
      <c r="J179" s="828"/>
      <c r="K179" s="828"/>
      <c r="L179" s="828" t="s">
        <v>21</v>
      </c>
      <c r="M179" s="877">
        <f>E179*F179*G179</f>
        <v>1.4249999999999998</v>
      </c>
      <c r="N179" s="876"/>
      <c r="O179" s="871"/>
    </row>
    <row r="180" spans="1:15" s="863" customFormat="1">
      <c r="A180" s="862"/>
      <c r="B180" s="835"/>
      <c r="C180" s="835"/>
      <c r="D180" s="888"/>
      <c r="E180" s="700"/>
      <c r="F180" s="1700" t="s">
        <v>12659</v>
      </c>
      <c r="G180" s="1700"/>
      <c r="H180" s="1700"/>
      <c r="I180" s="1700"/>
      <c r="J180" s="1700"/>
      <c r="K180" s="1700"/>
      <c r="L180" s="901" t="s">
        <v>21</v>
      </c>
      <c r="M180" s="901">
        <f>M178-M179</f>
        <v>6.3750000000000009</v>
      </c>
      <c r="N180" s="876"/>
      <c r="O180" s="871"/>
    </row>
    <row r="181" spans="1:15" s="863" customFormat="1">
      <c r="A181" s="862"/>
      <c r="B181" s="835"/>
      <c r="C181" s="835"/>
      <c r="D181" s="929" t="s">
        <v>21065</v>
      </c>
      <c r="E181" s="816" t="s">
        <v>1275</v>
      </c>
      <c r="F181" s="901" t="s">
        <v>17</v>
      </c>
      <c r="G181" s="901" t="s">
        <v>19</v>
      </c>
      <c r="H181" s="901" t="s">
        <v>36</v>
      </c>
      <c r="I181" s="952"/>
      <c r="J181" s="952"/>
      <c r="K181" s="952"/>
      <c r="L181" s="901"/>
      <c r="M181" s="901"/>
      <c r="N181" s="876"/>
      <c r="O181" s="871"/>
    </row>
    <row r="182" spans="1:15" s="863" customFormat="1">
      <c r="A182" s="862"/>
      <c r="B182" s="835"/>
      <c r="C182" s="835"/>
      <c r="D182" s="888" t="s">
        <v>21094</v>
      </c>
      <c r="E182" s="700">
        <f>2*2</f>
        <v>4</v>
      </c>
      <c r="F182" s="828">
        <f>13.4-1.105</f>
        <v>12.295</v>
      </c>
      <c r="G182" s="828">
        <f>0.45+0.2</f>
        <v>0.65</v>
      </c>
      <c r="H182" s="828"/>
      <c r="I182" s="828"/>
      <c r="J182" s="828"/>
      <c r="K182" s="901" t="s">
        <v>27</v>
      </c>
      <c r="L182" s="901" t="s">
        <v>21</v>
      </c>
      <c r="M182" s="901">
        <f>E182*F182*G182</f>
        <v>31.967000000000002</v>
      </c>
      <c r="N182" s="876"/>
      <c r="O182" s="871"/>
    </row>
    <row r="183" spans="1:15" s="863" customFormat="1">
      <c r="A183" s="862"/>
      <c r="B183" s="835"/>
      <c r="C183" s="835"/>
      <c r="D183" s="888"/>
      <c r="E183" s="700"/>
      <c r="F183" s="828"/>
      <c r="G183" s="828"/>
      <c r="H183" s="828"/>
      <c r="I183" s="828"/>
      <c r="J183" s="828"/>
      <c r="K183" s="828"/>
      <c r="L183" s="828"/>
      <c r="M183" s="877"/>
      <c r="N183" s="876"/>
      <c r="O183" s="871"/>
    </row>
    <row r="184" spans="1:15" s="863" customFormat="1" ht="12.75" hidden="1" customHeight="1">
      <c r="A184" s="862"/>
      <c r="B184" s="835"/>
      <c r="C184" s="835"/>
      <c r="D184" s="1222" t="s">
        <v>12619</v>
      </c>
      <c r="E184" s="1205" t="s">
        <v>1275</v>
      </c>
      <c r="F184" s="1205" t="s">
        <v>11684</v>
      </c>
      <c r="G184" s="1205" t="s">
        <v>19</v>
      </c>
      <c r="H184" s="1205" t="s">
        <v>32</v>
      </c>
      <c r="I184" s="828" t="s">
        <v>36</v>
      </c>
      <c r="J184" s="828" t="s">
        <v>12593</v>
      </c>
      <c r="K184" s="828" t="s">
        <v>30</v>
      </c>
      <c r="L184" s="828" t="s">
        <v>30</v>
      </c>
      <c r="M184" s="1223" t="s">
        <v>14503</v>
      </c>
      <c r="N184" s="876"/>
      <c r="O184" s="871"/>
    </row>
    <row r="185" spans="1:15" s="863" customFormat="1" ht="12.75" hidden="1" customHeight="1">
      <c r="A185" s="862"/>
      <c r="B185" s="835"/>
      <c r="C185" s="835"/>
      <c r="D185" s="888" t="s">
        <v>12518</v>
      </c>
      <c r="E185" s="1224">
        <v>0</v>
      </c>
      <c r="F185" s="828">
        <f>17.2+0.5</f>
        <v>17.7</v>
      </c>
      <c r="G185" s="828">
        <f>12.8+0.5</f>
        <v>13.3</v>
      </c>
      <c r="H185" s="828">
        <v>0.3</v>
      </c>
      <c r="I185" s="828" t="s">
        <v>30</v>
      </c>
      <c r="J185" s="828" t="s">
        <v>30</v>
      </c>
      <c r="K185" s="828"/>
      <c r="L185" s="828" t="s">
        <v>21</v>
      </c>
      <c r="M185" s="877">
        <f>E185*((2*F185+2*G185)*H185)</f>
        <v>0</v>
      </c>
      <c r="N185" s="876"/>
      <c r="O185" s="871"/>
    </row>
    <row r="186" spans="1:15" s="863" customFormat="1" ht="12.75" hidden="1" customHeight="1">
      <c r="A186" s="862"/>
      <c r="B186" s="835"/>
      <c r="C186" s="835"/>
      <c r="D186" s="888" t="s">
        <v>12620</v>
      </c>
      <c r="E186" s="700">
        <f>E122*2</f>
        <v>96</v>
      </c>
      <c r="F186" s="828">
        <v>0.2</v>
      </c>
      <c r="G186" s="828">
        <v>0.2</v>
      </c>
      <c r="H186" s="1220">
        <f>4.85-1.55-0.174-0.11-0.15-0.15</f>
        <v>2.7160000000000002</v>
      </c>
      <c r="I186" s="828" t="s">
        <v>30</v>
      </c>
      <c r="J186" s="828" t="s">
        <v>30</v>
      </c>
      <c r="K186" s="828"/>
      <c r="L186" s="828" t="s">
        <v>21</v>
      </c>
      <c r="M186" s="877">
        <f>E186*((2*F186+2*G186)*H186)</f>
        <v>208.58879999999999</v>
      </c>
      <c r="N186" s="876"/>
      <c r="O186" s="871"/>
    </row>
    <row r="187" spans="1:15" s="863" customFormat="1" ht="12.75" hidden="1" customHeight="1">
      <c r="A187" s="862"/>
      <c r="B187" s="835"/>
      <c r="C187" s="835"/>
      <c r="D187" s="888" t="s">
        <v>12621</v>
      </c>
      <c r="E187" s="700">
        <f>E123*2</f>
        <v>4</v>
      </c>
      <c r="F187" s="828">
        <v>0.15</v>
      </c>
      <c r="G187" s="828">
        <v>0.3</v>
      </c>
      <c r="H187" s="1220">
        <v>3.25</v>
      </c>
      <c r="I187" s="828" t="s">
        <v>30</v>
      </c>
      <c r="J187" s="828" t="s">
        <v>30</v>
      </c>
      <c r="K187" s="828"/>
      <c r="L187" s="828" t="s">
        <v>21</v>
      </c>
      <c r="M187" s="877">
        <f>E187*((2*F187+2*G187)*H187)</f>
        <v>11.7</v>
      </c>
      <c r="N187" s="876"/>
      <c r="O187" s="871"/>
    </row>
    <row r="188" spans="1:15" s="863" customFormat="1" ht="12.75" hidden="1" customHeight="1">
      <c r="A188" s="862"/>
      <c r="B188" s="835"/>
      <c r="C188" s="835"/>
      <c r="D188" s="888" t="s">
        <v>12595</v>
      </c>
      <c r="E188" s="700">
        <f>E124*2</f>
        <v>4</v>
      </c>
      <c r="F188" s="828">
        <v>0.5</v>
      </c>
      <c r="G188" s="828">
        <v>0.5</v>
      </c>
      <c r="H188" s="828">
        <v>0.5</v>
      </c>
      <c r="I188" s="828" t="s">
        <v>30</v>
      </c>
      <c r="J188" s="828" t="s">
        <v>30</v>
      </c>
      <c r="K188" s="828"/>
      <c r="L188" s="828" t="s">
        <v>21</v>
      </c>
      <c r="M188" s="877">
        <f>E188*((2*F188+2*G188)*H188)</f>
        <v>4</v>
      </c>
      <c r="N188" s="876"/>
      <c r="O188" s="871"/>
    </row>
    <row r="189" spans="1:15" s="863" customFormat="1" ht="12.75" hidden="1" customHeight="1">
      <c r="A189" s="862"/>
      <c r="B189" s="835"/>
      <c r="C189" s="835"/>
      <c r="D189" s="888" t="s">
        <v>12594</v>
      </c>
      <c r="E189" s="700">
        <v>0</v>
      </c>
      <c r="F189" s="828">
        <v>0.3</v>
      </c>
      <c r="G189" s="828">
        <v>0.05</v>
      </c>
      <c r="H189" s="828">
        <v>1.05</v>
      </c>
      <c r="I189" s="828"/>
      <c r="J189" s="828" t="s">
        <v>30</v>
      </c>
      <c r="K189" s="828"/>
      <c r="L189" s="828" t="s">
        <v>21</v>
      </c>
      <c r="M189" s="877">
        <f>E189*((2*F189+2*G189)*H189)</f>
        <v>0</v>
      </c>
      <c r="N189" s="876"/>
      <c r="O189" s="871"/>
    </row>
    <row r="190" spans="1:15" s="863" customFormat="1" ht="12.75" hidden="1" customHeight="1">
      <c r="A190" s="862"/>
      <c r="B190" s="835"/>
      <c r="C190" s="835"/>
      <c r="D190" s="888" t="s">
        <v>12586</v>
      </c>
      <c r="E190" s="700">
        <f>E126*2</f>
        <v>2</v>
      </c>
      <c r="F190" s="828">
        <f>17.2</f>
        <v>17.2</v>
      </c>
      <c r="G190" s="828">
        <f>13.4</f>
        <v>13.4</v>
      </c>
      <c r="H190" s="1220">
        <v>1.1000000000000001</v>
      </c>
      <c r="I190" s="828">
        <v>0.25</v>
      </c>
      <c r="J190" s="828" t="s">
        <v>30</v>
      </c>
      <c r="K190" s="828"/>
      <c r="L190" s="828" t="s">
        <v>21</v>
      </c>
      <c r="M190" s="877">
        <f>(((E190*F190+E190*G190+2*35.15+2*13.9)*H190))*2</f>
        <v>350.46000000000004</v>
      </c>
      <c r="N190" s="876"/>
      <c r="O190" s="871"/>
    </row>
    <row r="191" spans="1:15" s="863" customFormat="1" ht="12.75" hidden="1" customHeight="1">
      <c r="A191" s="862"/>
      <c r="B191" s="835"/>
      <c r="C191" s="835"/>
      <c r="D191" s="888" t="s">
        <v>12587</v>
      </c>
      <c r="E191" s="700">
        <f t="shared" ref="E191:E196" si="7">E160*2</f>
        <v>32</v>
      </c>
      <c r="F191" s="828">
        <v>17.2</v>
      </c>
      <c r="G191" s="828" t="s">
        <v>30</v>
      </c>
      <c r="H191" s="828">
        <v>0.9</v>
      </c>
      <c r="I191" s="828">
        <v>0.2</v>
      </c>
      <c r="J191" s="828" t="s">
        <v>30</v>
      </c>
      <c r="K191" s="828"/>
      <c r="L191" s="828" t="s">
        <v>21</v>
      </c>
      <c r="M191" s="877">
        <f t="shared" ref="M191:M196" si="8">E191*((F191*I191)+(2*F191*H191))</f>
        <v>1100.8</v>
      </c>
      <c r="N191" s="876"/>
      <c r="O191" s="871"/>
    </row>
    <row r="192" spans="1:15" s="863" customFormat="1" ht="14.25" hidden="1" customHeight="1">
      <c r="A192" s="862"/>
      <c r="B192" s="835"/>
      <c r="C192" s="835"/>
      <c r="D192" s="888" t="s">
        <v>12588</v>
      </c>
      <c r="E192" s="700">
        <f t="shared" si="7"/>
        <v>16</v>
      </c>
      <c r="F192" s="828">
        <v>2.4500000000000002</v>
      </c>
      <c r="G192" s="828" t="s">
        <v>30</v>
      </c>
      <c r="H192" s="828">
        <v>0.3</v>
      </c>
      <c r="I192" s="828">
        <v>0.2</v>
      </c>
      <c r="J192" s="828" t="s">
        <v>30</v>
      </c>
      <c r="K192" s="828"/>
      <c r="L192" s="828" t="s">
        <v>21</v>
      </c>
      <c r="M192" s="877">
        <f t="shared" si="8"/>
        <v>31.36</v>
      </c>
      <c r="N192" s="876"/>
      <c r="O192" s="871"/>
    </row>
    <row r="193" spans="1:15" s="863" customFormat="1" ht="12.75" hidden="1" customHeight="1">
      <c r="A193" s="862"/>
      <c r="B193" s="835"/>
      <c r="C193" s="835"/>
      <c r="D193" s="888" t="s">
        <v>12589</v>
      </c>
      <c r="E193" s="700">
        <f t="shared" si="7"/>
        <v>16</v>
      </c>
      <c r="F193" s="828">
        <v>4.5</v>
      </c>
      <c r="G193" s="828" t="s">
        <v>30</v>
      </c>
      <c r="H193" s="828">
        <v>0.3</v>
      </c>
      <c r="I193" s="828">
        <v>0.2</v>
      </c>
      <c r="J193" s="828" t="s">
        <v>30</v>
      </c>
      <c r="K193" s="828"/>
      <c r="L193" s="828" t="s">
        <v>21</v>
      </c>
      <c r="M193" s="877">
        <f t="shared" si="8"/>
        <v>57.599999999999994</v>
      </c>
      <c r="N193" s="876"/>
      <c r="O193" s="871"/>
    </row>
    <row r="194" spans="1:15" s="863" customFormat="1" ht="12.75" hidden="1" customHeight="1">
      <c r="A194" s="862"/>
      <c r="B194" s="835"/>
      <c r="C194" s="835"/>
      <c r="D194" s="888" t="s">
        <v>12590</v>
      </c>
      <c r="E194" s="700">
        <f t="shared" si="7"/>
        <v>32</v>
      </c>
      <c r="F194" s="828">
        <v>12.8</v>
      </c>
      <c r="G194" s="828" t="s">
        <v>30</v>
      </c>
      <c r="H194" s="828">
        <v>0.3</v>
      </c>
      <c r="I194" s="828">
        <v>0.2</v>
      </c>
      <c r="J194" s="828" t="s">
        <v>30</v>
      </c>
      <c r="K194" s="828"/>
      <c r="L194" s="828" t="s">
        <v>21</v>
      </c>
      <c r="M194" s="877">
        <f t="shared" si="8"/>
        <v>327.68</v>
      </c>
      <c r="N194" s="876"/>
      <c r="O194" s="871"/>
    </row>
    <row r="195" spans="1:15" s="863" customFormat="1" ht="12.75" hidden="1" customHeight="1">
      <c r="A195" s="862"/>
      <c r="B195" s="835"/>
      <c r="C195" s="835"/>
      <c r="D195" s="888" t="s">
        <v>12591</v>
      </c>
      <c r="E195" s="700">
        <f t="shared" si="7"/>
        <v>4</v>
      </c>
      <c r="F195" s="828">
        <v>17.2</v>
      </c>
      <c r="G195" s="828" t="s">
        <v>30</v>
      </c>
      <c r="H195" s="828">
        <v>0.15</v>
      </c>
      <c r="I195" s="828">
        <v>0.2</v>
      </c>
      <c r="J195" s="828" t="s">
        <v>30</v>
      </c>
      <c r="K195" s="828"/>
      <c r="L195" s="828" t="s">
        <v>21</v>
      </c>
      <c r="M195" s="877">
        <f t="shared" si="8"/>
        <v>34.4</v>
      </c>
      <c r="N195" s="876"/>
      <c r="O195" s="871"/>
    </row>
    <row r="196" spans="1:15" s="863" customFormat="1" ht="12.75" hidden="1" customHeight="1">
      <c r="A196" s="862"/>
      <c r="B196" s="835"/>
      <c r="C196" s="835"/>
      <c r="D196" s="888" t="s">
        <v>12592</v>
      </c>
      <c r="E196" s="700">
        <f t="shared" si="7"/>
        <v>32</v>
      </c>
      <c r="F196" s="828">
        <v>12.8</v>
      </c>
      <c r="G196" s="828" t="s">
        <v>30</v>
      </c>
      <c r="H196" s="828">
        <v>0.3</v>
      </c>
      <c r="I196" s="828">
        <v>0.2</v>
      </c>
      <c r="J196" s="828" t="s">
        <v>30</v>
      </c>
      <c r="K196" s="828"/>
      <c r="L196" s="828" t="s">
        <v>21</v>
      </c>
      <c r="M196" s="877">
        <f t="shared" si="8"/>
        <v>327.68</v>
      </c>
      <c r="N196" s="876"/>
      <c r="O196" s="871"/>
    </row>
    <row r="197" spans="1:15" s="863" customFormat="1" ht="12.75" hidden="1" customHeight="1">
      <c r="A197" s="862"/>
      <c r="B197" s="835"/>
      <c r="C197" s="835"/>
      <c r="D197" s="1225" t="s">
        <v>12596</v>
      </c>
      <c r="E197" s="883" t="e">
        <f>E127*2</f>
        <v>#VALUE!</v>
      </c>
      <c r="F197" s="1000">
        <f>0.85+0.2*2+0.45</f>
        <v>1.7</v>
      </c>
      <c r="G197" s="1000">
        <v>13.4</v>
      </c>
      <c r="H197" s="1000"/>
      <c r="I197" s="828"/>
      <c r="J197" s="828"/>
      <c r="K197" s="828"/>
      <c r="L197" s="828" t="s">
        <v>21</v>
      </c>
      <c r="M197" s="1226" t="e">
        <f t="shared" ref="M197:M204" si="9">E197*F197*G197</f>
        <v>#VALUE!</v>
      </c>
      <c r="N197" s="876"/>
      <c r="O197" s="871"/>
    </row>
    <row r="198" spans="1:15" s="863" customFormat="1" ht="12.75" hidden="1" customHeight="1">
      <c r="A198" s="862"/>
      <c r="B198" s="835"/>
      <c r="C198" s="835"/>
      <c r="D198" s="888" t="s">
        <v>12597</v>
      </c>
      <c r="E198" s="700">
        <v>0</v>
      </c>
      <c r="F198" s="828">
        <f>0.65*2+0.11</f>
        <v>1.4100000000000001</v>
      </c>
      <c r="G198" s="828">
        <v>17.2</v>
      </c>
      <c r="H198" s="828"/>
      <c r="I198" s="828"/>
      <c r="J198" s="828"/>
      <c r="K198" s="828"/>
      <c r="L198" s="828" t="s">
        <v>21</v>
      </c>
      <c r="M198" s="877">
        <f t="shared" si="9"/>
        <v>0</v>
      </c>
      <c r="N198" s="876"/>
      <c r="O198" s="871"/>
    </row>
    <row r="199" spans="1:15" s="863" customFormat="1" ht="12.75" hidden="1" customHeight="1">
      <c r="A199" s="862"/>
      <c r="B199" s="835"/>
      <c r="C199" s="835"/>
      <c r="D199" s="888" t="s">
        <v>12598</v>
      </c>
      <c r="E199" s="700">
        <v>0</v>
      </c>
      <c r="F199" s="828">
        <f>0.55*2+0.2+0.11*2+0.6*2</f>
        <v>2.7199999999999998</v>
      </c>
      <c r="G199" s="828">
        <v>17.2</v>
      </c>
      <c r="H199" s="828"/>
      <c r="I199" s="828"/>
      <c r="J199" s="828"/>
      <c r="K199" s="828"/>
      <c r="L199" s="828" t="s">
        <v>21</v>
      </c>
      <c r="M199" s="877">
        <f t="shared" si="9"/>
        <v>0</v>
      </c>
      <c r="N199" s="876"/>
      <c r="O199" s="871"/>
    </row>
    <row r="200" spans="1:15" s="863" customFormat="1" ht="12.75" hidden="1" customHeight="1">
      <c r="A200" s="862"/>
      <c r="B200" s="835"/>
      <c r="C200" s="835"/>
      <c r="D200" s="888" t="s">
        <v>12599</v>
      </c>
      <c r="E200" s="700">
        <f>E132*2</f>
        <v>4</v>
      </c>
      <c r="F200" s="828">
        <f>0.85+0.2*2+0.45</f>
        <v>1.7</v>
      </c>
      <c r="G200" s="828">
        <v>13.4</v>
      </c>
      <c r="H200" s="828"/>
      <c r="I200" s="828"/>
      <c r="J200" s="828"/>
      <c r="K200" s="828"/>
      <c r="L200" s="828" t="s">
        <v>21</v>
      </c>
      <c r="M200" s="877">
        <f t="shared" si="9"/>
        <v>91.12</v>
      </c>
      <c r="N200" s="876"/>
      <c r="O200" s="871"/>
    </row>
    <row r="201" spans="1:15" s="863" customFormat="1" ht="12.75" hidden="1" customHeight="1">
      <c r="A201" s="862"/>
      <c r="B201" s="835"/>
      <c r="C201" s="835"/>
      <c r="D201" s="888" t="s">
        <v>12600</v>
      </c>
      <c r="E201" s="700">
        <v>0</v>
      </c>
      <c r="F201" s="828">
        <v>0.4</v>
      </c>
      <c r="G201" s="828">
        <v>13.4</v>
      </c>
      <c r="H201" s="828"/>
      <c r="I201" s="828"/>
      <c r="J201" s="828"/>
      <c r="K201" s="828"/>
      <c r="L201" s="828" t="s">
        <v>21</v>
      </c>
      <c r="M201" s="877">
        <f t="shared" si="9"/>
        <v>0</v>
      </c>
      <c r="N201" s="876"/>
      <c r="O201" s="871"/>
    </row>
    <row r="202" spans="1:15" s="863" customFormat="1" ht="12.75" hidden="1" customHeight="1">
      <c r="A202" s="862"/>
      <c r="B202" s="835"/>
      <c r="C202" s="835"/>
      <c r="D202" s="888" t="s">
        <v>12601</v>
      </c>
      <c r="E202" s="700">
        <f>E134*2</f>
        <v>16</v>
      </c>
      <c r="F202" s="828">
        <v>1.5</v>
      </c>
      <c r="G202" s="828">
        <v>17.2</v>
      </c>
      <c r="H202" s="828"/>
      <c r="I202" s="828"/>
      <c r="J202" s="828"/>
      <c r="K202" s="828"/>
      <c r="L202" s="828" t="s">
        <v>21</v>
      </c>
      <c r="M202" s="877">
        <f t="shared" si="9"/>
        <v>412.79999999999995</v>
      </c>
      <c r="N202" s="876"/>
      <c r="O202" s="871"/>
    </row>
    <row r="203" spans="1:15" s="863" customFormat="1" ht="12.75" hidden="1" customHeight="1">
      <c r="A203" s="862"/>
      <c r="B203" s="835"/>
      <c r="C203" s="835"/>
      <c r="D203" s="1227" t="s">
        <v>12602</v>
      </c>
      <c r="E203" s="852">
        <f>E141*2</f>
        <v>8</v>
      </c>
      <c r="F203" s="852">
        <f>(50+20+15+47.5+30+15+45)/100</f>
        <v>2.2250000000000001</v>
      </c>
      <c r="G203" s="838">
        <f>2.15+0.3</f>
        <v>2.4499999999999997</v>
      </c>
      <c r="H203" s="838"/>
      <c r="I203" s="828"/>
      <c r="J203" s="828"/>
      <c r="K203" s="828"/>
      <c r="L203" s="828" t="s">
        <v>21</v>
      </c>
      <c r="M203" s="939">
        <f t="shared" si="9"/>
        <v>43.61</v>
      </c>
      <c r="N203" s="876"/>
      <c r="O203" s="871"/>
    </row>
    <row r="204" spans="1:15" s="863" customFormat="1" ht="12.75" hidden="1" customHeight="1">
      <c r="A204" s="862"/>
      <c r="B204" s="835"/>
      <c r="C204" s="835"/>
      <c r="D204" s="1225" t="s">
        <v>12613</v>
      </c>
      <c r="E204" s="883" t="e">
        <f>E166*2</f>
        <v>#VALUE!</v>
      </c>
      <c r="F204" s="1228">
        <v>2.15</v>
      </c>
      <c r="G204" s="1228">
        <v>1.125</v>
      </c>
      <c r="H204" s="1000" t="s">
        <v>30</v>
      </c>
      <c r="I204" s="828">
        <v>0.15</v>
      </c>
      <c r="J204" s="828" t="e">
        <f>E204*F204*G204</f>
        <v>#VALUE!</v>
      </c>
      <c r="K204" s="828"/>
      <c r="L204" s="828" t="s">
        <v>21</v>
      </c>
      <c r="M204" s="1226" t="e">
        <f t="shared" si="9"/>
        <v>#VALUE!</v>
      </c>
      <c r="N204" s="876"/>
      <c r="O204" s="871"/>
    </row>
    <row r="205" spans="1:15" s="863" customFormat="1" ht="12.75" hidden="1" customHeight="1">
      <c r="A205" s="862"/>
      <c r="B205" s="835"/>
      <c r="C205" s="835"/>
      <c r="D205" s="888" t="s">
        <v>12614</v>
      </c>
      <c r="E205" s="700">
        <f>E169*2</f>
        <v>128</v>
      </c>
      <c r="F205" s="954">
        <v>0.6</v>
      </c>
      <c r="G205" s="954">
        <v>0.20100000000000001</v>
      </c>
      <c r="H205" s="828" t="s">
        <v>30</v>
      </c>
      <c r="I205" s="828">
        <v>0.15</v>
      </c>
      <c r="J205" s="828">
        <f>E205*F205*G205</f>
        <v>15.4368</v>
      </c>
      <c r="K205" s="828"/>
      <c r="L205" s="828" t="s">
        <v>21</v>
      </c>
      <c r="M205" s="877">
        <f>E205*((F205*2+G205*2)*I205)</f>
        <v>30.758399999999995</v>
      </c>
      <c r="N205" s="876"/>
      <c r="O205" s="871"/>
    </row>
    <row r="206" spans="1:15" s="863" customFormat="1" ht="12.75" hidden="1" customHeight="1">
      <c r="A206" s="862"/>
      <c r="B206" s="835"/>
      <c r="C206" s="835"/>
      <c r="D206" s="888" t="s">
        <v>12615</v>
      </c>
      <c r="E206" s="700">
        <f>E170*2</f>
        <v>24</v>
      </c>
      <c r="F206" s="954">
        <v>1.32</v>
      </c>
      <c r="G206" s="954">
        <v>1.1000000000000001</v>
      </c>
      <c r="H206" s="828" t="s">
        <v>30</v>
      </c>
      <c r="I206" s="828">
        <v>0.15</v>
      </c>
      <c r="J206" s="828">
        <f>E206*F206*G206</f>
        <v>34.847999999999999</v>
      </c>
      <c r="K206" s="828"/>
      <c r="L206" s="828" t="s">
        <v>21</v>
      </c>
      <c r="M206" s="877">
        <f>E206*((F206*2+G206*2)*I206)</f>
        <v>17.423999999999999</v>
      </c>
      <c r="N206" s="876"/>
      <c r="O206" s="871"/>
    </row>
    <row r="207" spans="1:15" s="863" customFormat="1" ht="12.75" hidden="1" customHeight="1">
      <c r="A207" s="862"/>
      <c r="B207" s="835"/>
      <c r="C207" s="835"/>
      <c r="D207" s="888" t="s">
        <v>12616</v>
      </c>
      <c r="E207" s="700">
        <f>E171*2</f>
        <v>24</v>
      </c>
      <c r="F207" s="954">
        <v>1.76</v>
      </c>
      <c r="G207" s="954">
        <v>1.1000000000000001</v>
      </c>
      <c r="H207" s="828" t="s">
        <v>30</v>
      </c>
      <c r="I207" s="828">
        <v>0.15</v>
      </c>
      <c r="J207" s="828">
        <f>E207*F207*G207</f>
        <v>46.464000000000006</v>
      </c>
      <c r="K207" s="828"/>
      <c r="L207" s="828" t="s">
        <v>21</v>
      </c>
      <c r="M207" s="877">
        <f>E207*((F207*2+G207*2)*I207)</f>
        <v>20.592000000000002</v>
      </c>
      <c r="N207" s="876"/>
      <c r="O207" s="871"/>
    </row>
    <row r="208" spans="1:15" s="863" customFormat="1" ht="12.75" hidden="1" customHeight="1">
      <c r="A208" s="862"/>
      <c r="B208" s="835"/>
      <c r="C208" s="835"/>
      <c r="D208" s="888" t="s">
        <v>12617</v>
      </c>
      <c r="E208" s="700">
        <f>E172*2</f>
        <v>24</v>
      </c>
      <c r="F208" s="954">
        <v>1.1000000000000001</v>
      </c>
      <c r="G208" s="954">
        <v>0.6</v>
      </c>
      <c r="H208" s="828" t="s">
        <v>30</v>
      </c>
      <c r="I208" s="828">
        <v>0.15</v>
      </c>
      <c r="J208" s="828">
        <f>E208*F208*G208</f>
        <v>15.84</v>
      </c>
      <c r="K208" s="828"/>
      <c r="L208" s="828" t="s">
        <v>21</v>
      </c>
      <c r="M208" s="877">
        <f>E208*((F208*2+G208*2)*I208)</f>
        <v>12.24</v>
      </c>
      <c r="N208" s="876"/>
      <c r="O208" s="871"/>
    </row>
    <row r="209" spans="1:15" s="863" customFormat="1" ht="12.75" hidden="1" customHeight="1">
      <c r="A209" s="862"/>
      <c r="B209" s="835"/>
      <c r="C209" s="835"/>
      <c r="D209" s="1227" t="s">
        <v>12440</v>
      </c>
      <c r="E209" s="852">
        <f>E175*2</f>
        <v>4</v>
      </c>
      <c r="F209" s="838">
        <f>2.3+17.7+1.2</f>
        <v>21.2</v>
      </c>
      <c r="G209" s="838">
        <v>13.9</v>
      </c>
      <c r="H209" s="838" t="s">
        <v>30</v>
      </c>
      <c r="I209" s="828">
        <v>0.15</v>
      </c>
      <c r="J209" s="828" t="e">
        <f>SUM(J204:J208)</f>
        <v>#VALUE!</v>
      </c>
      <c r="K209" s="828"/>
      <c r="L209" s="828" t="s">
        <v>21</v>
      </c>
      <c r="M209" s="939" t="e">
        <f>E209*((F209*G209)+((F209*2+G209*2)*I209))-J209</f>
        <v>#VALUE!</v>
      </c>
      <c r="N209" s="876"/>
      <c r="O209" s="871"/>
    </row>
    <row r="210" spans="1:15" s="863" customFormat="1" ht="12.75" hidden="1" customHeight="1">
      <c r="A210" s="862"/>
      <c r="B210" s="835"/>
      <c r="C210" s="835"/>
      <c r="D210" s="888" t="s">
        <v>12603</v>
      </c>
      <c r="E210" s="700">
        <f>E178*2</f>
        <v>2</v>
      </c>
      <c r="F210" s="828">
        <v>2.7</v>
      </c>
      <c r="G210" s="828">
        <v>1.85</v>
      </c>
      <c r="H210" s="828">
        <v>0.2</v>
      </c>
      <c r="I210" s="828"/>
      <c r="J210" s="828"/>
      <c r="K210" s="828"/>
      <c r="L210" s="828" t="s">
        <v>21</v>
      </c>
      <c r="M210" s="877">
        <f>E210*((F210*G210)+(F210*2+G210*2)*H210)</f>
        <v>13.630000000000003</v>
      </c>
      <c r="N210" s="876"/>
      <c r="O210" s="871"/>
    </row>
    <row r="211" spans="1:15" s="863" customFormat="1" ht="12.75" hidden="1" customHeight="1">
      <c r="A211" s="862"/>
      <c r="B211" s="835"/>
      <c r="C211" s="835"/>
      <c r="D211" s="888" t="s">
        <v>12603</v>
      </c>
      <c r="E211" s="700" t="e">
        <f>#REF!*2</f>
        <v>#REF!</v>
      </c>
      <c r="F211" s="828">
        <v>0.75</v>
      </c>
      <c r="G211" s="828">
        <v>1.1000000000000001</v>
      </c>
      <c r="H211" s="828">
        <v>0.2</v>
      </c>
      <c r="I211" s="828"/>
      <c r="J211" s="828"/>
      <c r="K211" s="828"/>
      <c r="L211" s="828" t="s">
        <v>21</v>
      </c>
      <c r="M211" s="877" t="e">
        <f>E211*((F211*G211)+(F211*2+G211*2)*H211)</f>
        <v>#REF!</v>
      </c>
      <c r="N211" s="876"/>
      <c r="O211" s="871"/>
    </row>
    <row r="212" spans="1:15" s="863" customFormat="1" ht="12.75" hidden="1" customHeight="1">
      <c r="A212" s="862"/>
      <c r="B212" s="835"/>
      <c r="C212" s="835"/>
      <c r="D212" s="888" t="s">
        <v>12604</v>
      </c>
      <c r="E212" s="700">
        <f>E143*2</f>
        <v>4</v>
      </c>
      <c r="F212" s="828">
        <v>1.85</v>
      </c>
      <c r="G212" s="828">
        <v>0.15</v>
      </c>
      <c r="H212" s="828">
        <v>1.8</v>
      </c>
      <c r="I212" s="828"/>
      <c r="J212" s="828"/>
      <c r="K212" s="828"/>
      <c r="L212" s="828" t="s">
        <v>21</v>
      </c>
      <c r="M212" s="877">
        <f>E212*(2*(F212*H212))</f>
        <v>26.64</v>
      </c>
      <c r="N212" s="876"/>
      <c r="O212" s="871"/>
    </row>
    <row r="213" spans="1:15" s="863" customFormat="1" ht="12.75" hidden="1" customHeight="1">
      <c r="A213" s="862"/>
      <c r="B213" s="835"/>
      <c r="C213" s="835"/>
      <c r="D213" s="888" t="s">
        <v>12605</v>
      </c>
      <c r="E213" s="700">
        <f>E148*2</f>
        <v>4</v>
      </c>
      <c r="F213" s="828">
        <v>1.85</v>
      </c>
      <c r="G213" s="828">
        <v>0.15</v>
      </c>
      <c r="H213" s="828">
        <v>1.8</v>
      </c>
      <c r="I213" s="828"/>
      <c r="J213" s="828"/>
      <c r="K213" s="828"/>
      <c r="L213" s="828" t="s">
        <v>21</v>
      </c>
      <c r="M213" s="877">
        <f t="shared" ref="M213:M219" si="10">E213*(2*(F213*H213))</f>
        <v>26.64</v>
      </c>
      <c r="N213" s="876"/>
      <c r="O213" s="871"/>
    </row>
    <row r="214" spans="1:15" s="863" customFormat="1" ht="12.75" hidden="1" customHeight="1">
      <c r="A214" s="862"/>
      <c r="B214" s="835"/>
      <c r="C214" s="835"/>
      <c r="D214" s="888" t="s">
        <v>12606</v>
      </c>
      <c r="E214" s="700">
        <f>E150*2</f>
        <v>8</v>
      </c>
      <c r="F214" s="828">
        <v>0.75</v>
      </c>
      <c r="G214" s="828">
        <v>0.15</v>
      </c>
      <c r="H214" s="828">
        <v>1.8</v>
      </c>
      <c r="I214" s="828"/>
      <c r="J214" s="828"/>
      <c r="K214" s="828"/>
      <c r="L214" s="828" t="s">
        <v>21</v>
      </c>
      <c r="M214" s="877">
        <f t="shared" si="10"/>
        <v>21.6</v>
      </c>
      <c r="N214" s="876"/>
      <c r="O214" s="871"/>
    </row>
    <row r="215" spans="1:15" s="863" customFormat="1" ht="12.75" hidden="1" customHeight="1">
      <c r="A215" s="862"/>
      <c r="B215" s="835"/>
      <c r="C215" s="835"/>
      <c r="D215" s="888" t="s">
        <v>12607</v>
      </c>
      <c r="E215" s="700">
        <f>E145*2</f>
        <v>2</v>
      </c>
      <c r="F215" s="828">
        <v>1.1000000000000001</v>
      </c>
      <c r="G215" s="828">
        <v>0.15</v>
      </c>
      <c r="H215" s="828">
        <v>1.8</v>
      </c>
      <c r="I215" s="828"/>
      <c r="J215" s="828"/>
      <c r="K215" s="828"/>
      <c r="L215" s="828" t="s">
        <v>21</v>
      </c>
      <c r="M215" s="877">
        <f t="shared" si="10"/>
        <v>7.9200000000000008</v>
      </c>
      <c r="N215" s="876"/>
      <c r="O215" s="871"/>
    </row>
    <row r="216" spans="1:15" s="863" customFormat="1" ht="12.75" hidden="1" customHeight="1">
      <c r="A216" s="862"/>
      <c r="B216" s="835"/>
      <c r="C216" s="835"/>
      <c r="D216" s="888" t="s">
        <v>12608</v>
      </c>
      <c r="E216" s="700">
        <f>E151*2</f>
        <v>4</v>
      </c>
      <c r="F216" s="828">
        <v>0.95</v>
      </c>
      <c r="G216" s="828">
        <v>0.15</v>
      </c>
      <c r="H216" s="828">
        <v>1.8</v>
      </c>
      <c r="I216" s="828"/>
      <c r="J216" s="828"/>
      <c r="K216" s="828"/>
      <c r="L216" s="828" t="s">
        <v>21</v>
      </c>
      <c r="M216" s="877">
        <f t="shared" si="10"/>
        <v>13.68</v>
      </c>
      <c r="N216" s="876"/>
      <c r="O216" s="871"/>
    </row>
    <row r="217" spans="1:15" s="863" customFormat="1" ht="12.75" hidden="1" customHeight="1">
      <c r="A217" s="862"/>
      <c r="B217" s="835"/>
      <c r="C217" s="835"/>
      <c r="D217" s="888" t="s">
        <v>12609</v>
      </c>
      <c r="E217" s="700">
        <f>E153*2</f>
        <v>4</v>
      </c>
      <c r="F217" s="828">
        <v>0.8</v>
      </c>
      <c r="G217" s="828">
        <v>0.15</v>
      </c>
      <c r="H217" s="828">
        <v>0.75</v>
      </c>
      <c r="I217" s="828"/>
      <c r="J217" s="828"/>
      <c r="K217" s="828"/>
      <c r="L217" s="828" t="s">
        <v>21</v>
      </c>
      <c r="M217" s="877">
        <f t="shared" si="10"/>
        <v>4.8000000000000007</v>
      </c>
      <c r="N217" s="876"/>
      <c r="O217" s="871"/>
    </row>
    <row r="218" spans="1:15" s="863" customFormat="1" ht="12.75" hidden="1" customHeight="1">
      <c r="A218" s="862"/>
      <c r="B218" s="835"/>
      <c r="C218" s="835"/>
      <c r="D218" s="888" t="s">
        <v>12610</v>
      </c>
      <c r="E218" s="700">
        <f>E154*2</f>
        <v>8</v>
      </c>
      <c r="F218" s="828">
        <v>0.5</v>
      </c>
      <c r="G218" s="828">
        <v>0.15</v>
      </c>
      <c r="H218" s="828">
        <v>1.8</v>
      </c>
      <c r="I218" s="828"/>
      <c r="J218" s="828"/>
      <c r="K218" s="828"/>
      <c r="L218" s="828" t="s">
        <v>21</v>
      </c>
      <c r="M218" s="877">
        <f>E218*(2*(F218*H218))</f>
        <v>14.4</v>
      </c>
      <c r="N218" s="876"/>
      <c r="O218" s="871"/>
    </row>
    <row r="219" spans="1:15" s="863" customFormat="1" ht="12.75" hidden="1" customHeight="1">
      <c r="A219" s="862"/>
      <c r="B219" s="835"/>
      <c r="C219" s="835"/>
      <c r="D219" s="888" t="s">
        <v>12611</v>
      </c>
      <c r="E219" s="700">
        <f>E156*2</f>
        <v>2</v>
      </c>
      <c r="F219" s="828">
        <v>2.7</v>
      </c>
      <c r="G219" s="828">
        <v>0.15</v>
      </c>
      <c r="H219" s="828">
        <v>1.8</v>
      </c>
      <c r="I219" s="828"/>
      <c r="J219" s="828"/>
      <c r="K219" s="828"/>
      <c r="L219" s="828" t="s">
        <v>21</v>
      </c>
      <c r="M219" s="877">
        <f t="shared" si="10"/>
        <v>19.440000000000001</v>
      </c>
      <c r="N219" s="876"/>
      <c r="O219" s="871"/>
    </row>
    <row r="220" spans="1:15" s="863" customFormat="1" ht="12.75" hidden="1" customHeight="1">
      <c r="A220" s="862"/>
      <c r="B220" s="835"/>
      <c r="C220" s="835"/>
      <c r="D220" s="888" t="s">
        <v>12612</v>
      </c>
      <c r="E220" s="700" t="e">
        <f>#REF!*2</f>
        <v>#REF!</v>
      </c>
      <c r="F220" s="828">
        <f>1.1+1.85</f>
        <v>2.95</v>
      </c>
      <c r="G220" s="828">
        <v>2.7</v>
      </c>
      <c r="H220" s="828">
        <v>0.15</v>
      </c>
      <c r="I220" s="828">
        <f>4*0.5*0.7+1.1*1.55+0.8*0.75</f>
        <v>3.7050000000000005</v>
      </c>
      <c r="J220" s="828"/>
      <c r="K220" s="828"/>
      <c r="L220" s="828" t="s">
        <v>21</v>
      </c>
      <c r="M220" s="877" t="e">
        <f>E220*((F220*G220)+(F220*2+G220*2)*H220)-I220</f>
        <v>#REF!</v>
      </c>
      <c r="N220" s="876"/>
      <c r="O220" s="871"/>
    </row>
    <row r="221" spans="1:15" s="863" customFormat="1" ht="15" hidden="1" customHeight="1">
      <c r="A221" s="862"/>
      <c r="B221" s="835"/>
      <c r="C221" s="835"/>
      <c r="D221" s="836"/>
      <c r="E221" s="852"/>
      <c r="F221" s="838"/>
      <c r="G221" s="838"/>
      <c r="H221" s="838"/>
      <c r="I221" s="828" t="s">
        <v>12622</v>
      </c>
      <c r="J221" s="828"/>
      <c r="K221" s="828"/>
      <c r="L221" s="828" t="s">
        <v>21</v>
      </c>
      <c r="M221" s="1229" t="e">
        <f>SUM(M185:M220)</f>
        <v>#VALUE!</v>
      </c>
      <c r="N221" s="876"/>
      <c r="O221" s="871"/>
    </row>
    <row r="222" spans="1:15" s="863" customFormat="1" ht="35.25" customHeight="1">
      <c r="A222" s="862"/>
      <c r="B222" s="835"/>
      <c r="C222" s="835"/>
      <c r="D222" s="836"/>
      <c r="E222" s="852"/>
      <c r="F222" s="838"/>
      <c r="G222" s="838"/>
      <c r="H222" s="838"/>
      <c r="I222" s="1678" t="s">
        <v>21097</v>
      </c>
      <c r="J222" s="1678"/>
      <c r="K222" s="1678"/>
      <c r="L222" s="839" t="s">
        <v>21</v>
      </c>
      <c r="M222" s="1229">
        <f>SUM(M120:M157)</f>
        <v>892.01800000000014</v>
      </c>
      <c r="N222" s="1212"/>
      <c r="O222" s="871"/>
    </row>
    <row r="223" spans="1:15" s="863" customFormat="1" ht="23.25" customHeight="1">
      <c r="A223" s="862"/>
      <c r="B223" s="835"/>
      <c r="C223" s="835"/>
      <c r="D223" s="836"/>
      <c r="E223" s="852"/>
      <c r="F223" s="838"/>
      <c r="G223" s="838"/>
      <c r="H223" s="838"/>
      <c r="I223" s="1706" t="s">
        <v>21098</v>
      </c>
      <c r="J223" s="1706"/>
      <c r="K223" s="1706"/>
      <c r="L223" s="839" t="s">
        <v>21</v>
      </c>
      <c r="M223" s="1229">
        <f>SUM(M159:M165)</f>
        <v>999.87999999999977</v>
      </c>
      <c r="N223" s="1212"/>
      <c r="O223" s="871"/>
    </row>
    <row r="224" spans="1:15" s="863" customFormat="1" ht="23.25" customHeight="1">
      <c r="A224" s="862"/>
      <c r="B224" s="835"/>
      <c r="C224" s="835"/>
      <c r="D224" s="836"/>
      <c r="E224" s="852"/>
      <c r="F224" s="838"/>
      <c r="G224" s="838"/>
      <c r="H224" s="838"/>
      <c r="I224" s="1706" t="s">
        <v>21099</v>
      </c>
      <c r="J224" s="1706"/>
      <c r="K224" s="1706"/>
      <c r="L224" s="839" t="s">
        <v>21</v>
      </c>
      <c r="M224" s="1229">
        <f>SUM(M173,M176,M180,M182)</f>
        <v>586.27779999999996</v>
      </c>
      <c r="N224" s="1212"/>
      <c r="O224" s="871"/>
    </row>
    <row r="225" spans="1:15" s="863" customFormat="1" ht="39" customHeight="1">
      <c r="A225" s="862" t="s">
        <v>20362</v>
      </c>
      <c r="B225" s="835" t="s">
        <v>70</v>
      </c>
      <c r="C225" s="835">
        <v>92415</v>
      </c>
      <c r="D225" s="836" t="str">
        <f>PROPER(IF(B225="Saneago",VLOOKUP(C225,'SANEAGO-FEV.2016'!A:B,2,0),IF(B225="Sinapi",VLOOKUP(C225,'SINAPI-FEV.2017'!A:D,2,0),IF(B225="Cotação",VLOOKUP(C225,COTAÇÃO!A:D,2,0),IF(B225="Composição",VLOOKUP(C225,COMPOSIÇÃO!A:D,2,0))))))</f>
        <v>Montagem E Desmontagem De Fôrma De Pilares Retangulares E Estruturas Similares Com Área Média Das Seções Maior Que 0,25 M², Pé-Direito Simples, Em Chapa De Madeira Compensada Resinada, 2 Utilizações. Af_12/2015</v>
      </c>
      <c r="E225" s="837"/>
      <c r="F225" s="837"/>
      <c r="G225" s="838"/>
      <c r="H225" s="838"/>
      <c r="I225" s="1705" t="s">
        <v>21100</v>
      </c>
      <c r="J225" s="1705"/>
      <c r="K225" s="856" t="s">
        <v>27</v>
      </c>
      <c r="L225" s="856" t="s">
        <v>21</v>
      </c>
      <c r="M225" s="840">
        <f>M222*2</f>
        <v>1784.0360000000003</v>
      </c>
      <c r="N225" s="876">
        <v>1485.7988000000005</v>
      </c>
      <c r="O225" s="1213">
        <f>M225-N225</f>
        <v>298.2371999999998</v>
      </c>
    </row>
    <row r="226" spans="1:15" s="863" customFormat="1" ht="33" customHeight="1">
      <c r="A226" s="862" t="s">
        <v>20363</v>
      </c>
      <c r="B226" s="835" t="s">
        <v>70</v>
      </c>
      <c r="C226" s="835">
        <v>92452</v>
      </c>
      <c r="D226" s="836" t="str">
        <f>PROPER(IF(B226="Saneago",VLOOKUP(C226,'SANEAGO-FEV.2016'!A:B,2,0),IF(B226="Sinapi",VLOOKUP(C226,'SINAPI-FEV.2017'!A:D,2,0),IF(B226="Cotação",VLOOKUP(C226,COTAÇÃO!A:D,2,0),IF(B226="Composição",VLOOKUP(C226,COMPOSIÇÃO!A:D,2,0))))))</f>
        <v>Montagem E Desmontagem De Fôrma De Viga, Escoramento Metálico, Pé-Direito Simples, Em Chapa De Madeira Resinada, 2 Utilizações. Af_12/2015</v>
      </c>
      <c r="E226" s="837"/>
      <c r="F226" s="837"/>
      <c r="G226" s="838"/>
      <c r="H226" s="838"/>
      <c r="I226" s="1705" t="s">
        <v>21101</v>
      </c>
      <c r="J226" s="1705"/>
      <c r="K226" s="856" t="s">
        <v>27</v>
      </c>
      <c r="L226" s="856" t="s">
        <v>21</v>
      </c>
      <c r="M226" s="840">
        <f>M223*2</f>
        <v>1999.7599999999995</v>
      </c>
      <c r="N226" s="876">
        <v>1879.52</v>
      </c>
      <c r="O226" s="1213">
        <f>M226-N226</f>
        <v>120.23999999999955</v>
      </c>
    </row>
    <row r="227" spans="1:15" s="863" customFormat="1">
      <c r="A227" s="862"/>
      <c r="B227" s="835"/>
      <c r="C227" s="835"/>
      <c r="D227" s="826"/>
      <c r="E227" s="908" t="s">
        <v>30</v>
      </c>
      <c r="F227" s="908" t="s">
        <v>30</v>
      </c>
      <c r="G227" s="908" t="s">
        <v>30</v>
      </c>
      <c r="H227" s="908" t="s">
        <v>30</v>
      </c>
      <c r="I227" s="908" t="s">
        <v>30</v>
      </c>
      <c r="J227" s="908" t="s">
        <v>30</v>
      </c>
      <c r="K227" s="908" t="s">
        <v>30</v>
      </c>
      <c r="L227" s="908" t="s">
        <v>30</v>
      </c>
      <c r="M227" s="908" t="s">
        <v>30</v>
      </c>
      <c r="N227" s="876"/>
      <c r="O227" s="871"/>
    </row>
    <row r="228" spans="1:15" s="863" customFormat="1" ht="33.75" customHeight="1">
      <c r="A228" s="862" t="s">
        <v>14306</v>
      </c>
      <c r="B228" s="835" t="s">
        <v>70</v>
      </c>
      <c r="C228" s="835">
        <v>92508</v>
      </c>
      <c r="D228" s="836" t="str">
        <f>PROPER(IF(B228="Saneago",VLOOKUP(C228,'SANEAGO-FEV.2016'!A:B,2,0),IF(B228="Sinapi",VLOOKUP(C228,'SINAPI-FEV.2017'!A:D,2,0),IF(B228="Cotação",VLOOKUP(C228,COTAÇÃO!A:D,2,0),IF(B228="Composição",VLOOKUP(C228,COMPOSIÇÃO!A:D,2,0))))))</f>
        <v>Montagem E Desmontagem De Fôrma De Laje Maciça Com Área Média Maior Que 20 M², Pé-Direito Duplo, Em Chapa De Madeira Compensada Resinada, 2 Utilizações. Af_12/2015</v>
      </c>
      <c r="E228" s="837"/>
      <c r="F228" s="837"/>
      <c r="G228" s="838"/>
      <c r="H228" s="838"/>
      <c r="I228" s="1715" t="s">
        <v>21102</v>
      </c>
      <c r="J228" s="1715"/>
      <c r="K228" s="856" t="s">
        <v>27</v>
      </c>
      <c r="L228" s="856" t="s">
        <v>22</v>
      </c>
      <c r="M228" s="840">
        <f>M224*2</f>
        <v>1172.5555999999999</v>
      </c>
      <c r="N228" s="876">
        <v>1229.3014000000001</v>
      </c>
      <c r="O228" s="1213">
        <f>M228-N228</f>
        <v>-56.745800000000145</v>
      </c>
    </row>
    <row r="229" spans="1:15" s="863" customFormat="1">
      <c r="A229" s="862"/>
      <c r="B229" s="835"/>
      <c r="C229" s="835"/>
      <c r="D229" s="888"/>
      <c r="E229" s="700" t="s">
        <v>30</v>
      </c>
      <c r="F229" s="700" t="s">
        <v>30</v>
      </c>
      <c r="G229" s="700" t="s">
        <v>30</v>
      </c>
      <c r="H229" s="700" t="s">
        <v>30</v>
      </c>
      <c r="I229" s="700" t="s">
        <v>1275</v>
      </c>
      <c r="J229" s="700" t="s">
        <v>80</v>
      </c>
      <c r="K229" s="828" t="s">
        <v>91</v>
      </c>
      <c r="L229" s="816" t="s">
        <v>30</v>
      </c>
      <c r="M229" s="902" t="s">
        <v>12623</v>
      </c>
      <c r="N229" s="876"/>
      <c r="O229" s="871"/>
    </row>
    <row r="230" spans="1:15" s="863" customFormat="1">
      <c r="A230" s="862"/>
      <c r="B230" s="835"/>
      <c r="C230" s="835"/>
      <c r="D230" s="888"/>
      <c r="E230" s="790"/>
      <c r="F230" s="1714" t="s">
        <v>14281</v>
      </c>
      <c r="G230" s="1714"/>
      <c r="H230" s="1714"/>
      <c r="I230" s="907">
        <f>2*2</f>
        <v>4</v>
      </c>
      <c r="J230" s="828">
        <v>0.3</v>
      </c>
      <c r="K230" s="828">
        <f>6</f>
        <v>6</v>
      </c>
      <c r="L230" s="700" t="s">
        <v>18</v>
      </c>
      <c r="M230" s="829">
        <f>I230*K230</f>
        <v>24</v>
      </c>
      <c r="N230" s="876"/>
      <c r="O230" s="871"/>
    </row>
    <row r="231" spans="1:15" s="863" customFormat="1" ht="13.5" thickBot="1">
      <c r="A231" s="862" t="s">
        <v>14307</v>
      </c>
      <c r="B231" s="835" t="s">
        <v>10852</v>
      </c>
      <c r="C231" s="835">
        <v>286</v>
      </c>
      <c r="D231" s="826" t="str">
        <f>PROPER(IF(B231="Saneago",VLOOKUP(C231,'SANEAGO-FEV.2016'!A:B,2,0),IF(B231="Sinapi",VLOOKUP(C231,'SINAPI-FEV.2017'!A:D,2,0),IF(B231="Cotação",VLOOKUP(C231,COTAÇÃO!A:D,2,0),IF(B231="Composição",VLOOKUP(C231,COMPOSIÇÃO!A:D,2,0))))))</f>
        <v>Estacas Concreto  A Trado Fck=135Kg/Cm2 Com 20Kg Fer/M3 Dn 30Cm</v>
      </c>
      <c r="E231" s="790"/>
      <c r="F231" s="790"/>
      <c r="G231" s="828"/>
      <c r="H231" s="828"/>
      <c r="I231" s="911"/>
      <c r="J231" s="911"/>
      <c r="K231" s="816" t="s">
        <v>27</v>
      </c>
      <c r="L231" s="816" t="s">
        <v>18</v>
      </c>
      <c r="M231" s="902">
        <f>M230</f>
        <v>24</v>
      </c>
      <c r="N231" s="876"/>
      <c r="O231" s="871"/>
    </row>
    <row r="232" spans="1:15" s="863" customFormat="1" ht="21.75" customHeight="1" thickBot="1">
      <c r="A232" s="862"/>
      <c r="B232" s="835"/>
      <c r="C232" s="835"/>
      <c r="D232" s="1709" t="s">
        <v>21103</v>
      </c>
      <c r="E232" s="1710"/>
      <c r="F232" s="1710"/>
      <c r="G232" s="1710"/>
      <c r="H232" s="1710"/>
      <c r="I232" s="1710"/>
      <c r="J232" s="1710"/>
      <c r="K232" s="1710"/>
      <c r="L232" s="1710"/>
      <c r="M232" s="1711"/>
      <c r="N232" s="876"/>
      <c r="O232" s="871"/>
    </row>
    <row r="233" spans="1:15" s="863" customFormat="1">
      <c r="A233" s="862"/>
      <c r="B233" s="835"/>
      <c r="C233" s="835"/>
      <c r="D233" s="826"/>
      <c r="E233" s="790"/>
      <c r="F233" s="790"/>
      <c r="G233" s="828"/>
      <c r="H233" s="828"/>
      <c r="I233" s="911"/>
      <c r="J233" s="911"/>
      <c r="K233" s="816"/>
      <c r="L233" s="816"/>
      <c r="M233" s="902"/>
      <c r="N233" s="876"/>
      <c r="O233" s="871"/>
    </row>
    <row r="234" spans="1:15" s="863" customFormat="1" ht="22.5">
      <c r="A234" s="862"/>
      <c r="B234" s="835"/>
      <c r="C234" s="835"/>
      <c r="D234" s="929" t="s">
        <v>21029</v>
      </c>
      <c r="E234" s="901" t="s">
        <v>1275</v>
      </c>
      <c r="F234" s="901" t="s">
        <v>11684</v>
      </c>
      <c r="G234" s="901" t="s">
        <v>19</v>
      </c>
      <c r="H234" s="901" t="s">
        <v>32</v>
      </c>
      <c r="I234" s="901" t="s">
        <v>36</v>
      </c>
      <c r="J234" s="901" t="s">
        <v>12593</v>
      </c>
      <c r="K234" s="901" t="s">
        <v>30</v>
      </c>
      <c r="L234" s="901" t="s">
        <v>30</v>
      </c>
      <c r="M234" s="951" t="s">
        <v>21060</v>
      </c>
      <c r="N234" s="876"/>
      <c r="O234" s="871"/>
    </row>
    <row r="235" spans="1:15" s="863" customFormat="1">
      <c r="A235" s="862"/>
      <c r="B235" s="835"/>
      <c r="C235" s="835"/>
      <c r="D235" s="888" t="s">
        <v>12518</v>
      </c>
      <c r="E235" s="700">
        <v>0</v>
      </c>
      <c r="F235" s="828">
        <f>17.2+0.5</f>
        <v>17.7</v>
      </c>
      <c r="G235" s="828">
        <f>13.4+0.25+0.125</f>
        <v>13.775</v>
      </c>
      <c r="H235" s="828">
        <v>0.3</v>
      </c>
      <c r="I235" s="828" t="s">
        <v>30</v>
      </c>
      <c r="J235" s="828" t="s">
        <v>30</v>
      </c>
      <c r="K235" s="828"/>
      <c r="L235" s="828" t="s">
        <v>22</v>
      </c>
      <c r="M235" s="877">
        <f>E235*F235*G235*H235</f>
        <v>0</v>
      </c>
      <c r="N235" s="876"/>
      <c r="O235" s="871"/>
    </row>
    <row r="236" spans="1:15" s="863" customFormat="1">
      <c r="A236" s="862"/>
      <c r="B236" s="835"/>
      <c r="C236" s="835"/>
      <c r="D236" s="888" t="s">
        <v>12620</v>
      </c>
      <c r="E236" s="700">
        <f>2*24</f>
        <v>48</v>
      </c>
      <c r="F236" s="828">
        <v>0.2</v>
      </c>
      <c r="G236" s="828">
        <v>0.2</v>
      </c>
      <c r="H236" s="828">
        <v>3.016</v>
      </c>
      <c r="I236" s="828" t="s">
        <v>30</v>
      </c>
      <c r="J236" s="828" t="s">
        <v>30</v>
      </c>
      <c r="K236" s="828"/>
      <c r="L236" s="828" t="s">
        <v>22</v>
      </c>
      <c r="M236" s="877">
        <f>E236*F236*G236*H236</f>
        <v>5.7907200000000012</v>
      </c>
      <c r="N236" s="1017">
        <v>11.581440000000002</v>
      </c>
      <c r="O236" s="1230">
        <f>M236*2</f>
        <v>11.581440000000002</v>
      </c>
    </row>
    <row r="237" spans="1:15" s="863" customFormat="1">
      <c r="A237" s="862"/>
      <c r="B237" s="835"/>
      <c r="C237" s="835"/>
      <c r="D237" s="888" t="s">
        <v>12621</v>
      </c>
      <c r="E237" s="700">
        <v>2</v>
      </c>
      <c r="F237" s="828">
        <v>0.15</v>
      </c>
      <c r="G237" s="828">
        <v>0.3</v>
      </c>
      <c r="H237" s="828">
        <v>3.25</v>
      </c>
      <c r="I237" s="828" t="s">
        <v>30</v>
      </c>
      <c r="J237" s="828" t="s">
        <v>30</v>
      </c>
      <c r="K237" s="828"/>
      <c r="L237" s="828" t="s">
        <v>22</v>
      </c>
      <c r="M237" s="877">
        <f>E237*F237*G237*H237</f>
        <v>0.29249999999999998</v>
      </c>
      <c r="N237" s="1017">
        <v>0.58499999999999996</v>
      </c>
      <c r="O237" s="1230">
        <f>M237*2</f>
        <v>0.58499999999999996</v>
      </c>
    </row>
    <row r="238" spans="1:15" s="863" customFormat="1">
      <c r="A238" s="862"/>
      <c r="B238" s="835"/>
      <c r="C238" s="835"/>
      <c r="D238" s="888" t="s">
        <v>12595</v>
      </c>
      <c r="E238" s="700">
        <v>2</v>
      </c>
      <c r="F238" s="828">
        <v>0.5</v>
      </c>
      <c r="G238" s="828">
        <v>0.5</v>
      </c>
      <c r="H238" s="828">
        <v>0.5</v>
      </c>
      <c r="I238" s="828" t="s">
        <v>30</v>
      </c>
      <c r="J238" s="828" t="s">
        <v>30</v>
      </c>
      <c r="K238" s="828"/>
      <c r="L238" s="828" t="s">
        <v>22</v>
      </c>
      <c r="M238" s="877">
        <f>E238*F238*G238*H238</f>
        <v>0.25</v>
      </c>
      <c r="N238" s="1017">
        <v>0.5</v>
      </c>
      <c r="O238" s="1230">
        <f>M238*2</f>
        <v>0.5</v>
      </c>
    </row>
    <row r="239" spans="1:15" s="863" customFormat="1">
      <c r="A239" s="862"/>
      <c r="B239" s="835"/>
      <c r="C239" s="835"/>
      <c r="D239" s="888" t="s">
        <v>12594</v>
      </c>
      <c r="E239" s="700">
        <v>72</v>
      </c>
      <c r="F239" s="828">
        <v>0.3</v>
      </c>
      <c r="G239" s="828">
        <v>0.15</v>
      </c>
      <c r="H239" s="828">
        <v>0.3</v>
      </c>
      <c r="I239" s="828"/>
      <c r="J239" s="828" t="s">
        <v>30</v>
      </c>
      <c r="K239" s="828"/>
      <c r="L239" s="828" t="s">
        <v>22</v>
      </c>
      <c r="M239" s="877">
        <f>E239*F239*G239*H239</f>
        <v>0.97199999999999986</v>
      </c>
      <c r="N239" s="1017">
        <v>0</v>
      </c>
      <c r="O239" s="1230">
        <f>M239*2</f>
        <v>1.9439999999999997</v>
      </c>
    </row>
    <row r="240" spans="1:15" s="863" customFormat="1">
      <c r="A240" s="862"/>
      <c r="B240" s="835"/>
      <c r="C240" s="835"/>
      <c r="D240" s="888" t="s">
        <v>21013</v>
      </c>
      <c r="E240" s="700">
        <v>1</v>
      </c>
      <c r="F240" s="828">
        <f>17.2+0.5</f>
        <v>17.7</v>
      </c>
      <c r="G240" s="828">
        <f>13.4</f>
        <v>13.4</v>
      </c>
      <c r="H240" s="828">
        <v>1.1000000000000001</v>
      </c>
      <c r="I240" s="828">
        <v>0.25</v>
      </c>
      <c r="J240" s="828" t="s">
        <v>30</v>
      </c>
      <c r="K240" s="828"/>
      <c r="L240" s="828" t="s">
        <v>22</v>
      </c>
      <c r="M240" s="877">
        <f>3*F240*I240*H240+4*G240*I240*H240</f>
        <v>29.342500000000001</v>
      </c>
      <c r="N240" s="1017">
        <v>67.320000000000007</v>
      </c>
      <c r="O240" s="1230">
        <f>M240*2</f>
        <v>58.685000000000002</v>
      </c>
    </row>
    <row r="241" spans="1:15" s="863" customFormat="1" ht="27" customHeight="1">
      <c r="A241" s="862"/>
      <c r="B241" s="835"/>
      <c r="C241" s="835"/>
      <c r="D241" s="929" t="s">
        <v>21035</v>
      </c>
      <c r="E241" s="816" t="s">
        <v>1275</v>
      </c>
      <c r="F241" s="1201" t="s">
        <v>12170</v>
      </c>
      <c r="G241" s="816" t="s">
        <v>43</v>
      </c>
      <c r="H241" s="816" t="s">
        <v>36</v>
      </c>
      <c r="I241" s="816" t="s">
        <v>32</v>
      </c>
      <c r="J241" s="816" t="s">
        <v>21061</v>
      </c>
      <c r="K241" s="1202"/>
      <c r="L241" s="1022"/>
      <c r="M241" s="951" t="s">
        <v>21060</v>
      </c>
      <c r="N241" s="1017"/>
      <c r="O241" s="1230"/>
    </row>
    <row r="242" spans="1:15" s="863" customFormat="1">
      <c r="A242" s="862"/>
      <c r="B242" s="835"/>
      <c r="C242" s="835"/>
      <c r="D242" s="888" t="s">
        <v>12596</v>
      </c>
      <c r="E242" s="700">
        <v>2</v>
      </c>
      <c r="F242" s="828">
        <f>0.2+0.85+0.2+0.45</f>
        <v>1.7</v>
      </c>
      <c r="G242" s="828">
        <f>(13.4+0.25+0.125)-1.105+(0.45)</f>
        <v>13.12</v>
      </c>
      <c r="H242" s="828">
        <v>0.2</v>
      </c>
      <c r="I242" s="908"/>
      <c r="J242" s="828"/>
      <c r="K242" s="828" t="s">
        <v>21084</v>
      </c>
      <c r="L242" s="828" t="s">
        <v>22</v>
      </c>
      <c r="M242" s="877">
        <f>E242*F242*G242*H242</f>
        <v>8.9215999999999998</v>
      </c>
      <c r="N242" s="876">
        <v>15.204000000000002</v>
      </c>
      <c r="O242" s="871">
        <f>M242*2</f>
        <v>17.8432</v>
      </c>
    </row>
    <row r="243" spans="1:15" s="863" customFormat="1">
      <c r="A243" s="862"/>
      <c r="B243" s="835"/>
      <c r="C243" s="835"/>
      <c r="D243" s="888" t="s">
        <v>21016</v>
      </c>
      <c r="E243" s="700">
        <f>2*2</f>
        <v>4</v>
      </c>
      <c r="F243" s="828"/>
      <c r="G243" s="828">
        <v>17.2</v>
      </c>
      <c r="H243" s="828"/>
      <c r="I243" s="908"/>
      <c r="J243" s="828">
        <f>(0.11+(0.174+0.11))*0.65/2</f>
        <v>0.12805</v>
      </c>
      <c r="K243" s="828" t="s">
        <v>21084</v>
      </c>
      <c r="L243" s="828" t="s">
        <v>22</v>
      </c>
      <c r="M243" s="877">
        <f>E243*G243*J243</f>
        <v>8.8098399999999994</v>
      </c>
      <c r="N243" s="876">
        <v>0</v>
      </c>
      <c r="O243" s="871">
        <f t="shared" ref="O243:O249" si="11">M243*2</f>
        <v>17.619679999999999</v>
      </c>
    </row>
    <row r="244" spans="1:15" s="863" customFormat="1">
      <c r="A244" s="862"/>
      <c r="B244" s="835"/>
      <c r="C244" s="835"/>
      <c r="D244" s="888" t="s">
        <v>12598</v>
      </c>
      <c r="E244" s="700">
        <f>2*3</f>
        <v>6</v>
      </c>
      <c r="F244" s="828"/>
      <c r="G244" s="828">
        <v>17.2</v>
      </c>
      <c r="H244" s="828"/>
      <c r="I244" s="908"/>
      <c r="J244" s="828">
        <f>2*(0.11+(0.174+0.11))*0.65/2</f>
        <v>0.25609999999999999</v>
      </c>
      <c r="K244" s="828" t="s">
        <v>21096</v>
      </c>
      <c r="L244" s="828" t="s">
        <v>22</v>
      </c>
      <c r="M244" s="877">
        <v>0</v>
      </c>
      <c r="N244" s="876">
        <v>0</v>
      </c>
      <c r="O244" s="871">
        <f t="shared" si="11"/>
        <v>0</v>
      </c>
    </row>
    <row r="245" spans="1:15" s="863" customFormat="1">
      <c r="A245" s="862"/>
      <c r="B245" s="835"/>
      <c r="C245" s="835"/>
      <c r="D245" s="888" t="s">
        <v>12599</v>
      </c>
      <c r="E245" s="700">
        <v>2</v>
      </c>
      <c r="F245" s="828">
        <f>0.15+0.85+0.15+0.45</f>
        <v>1.5999999999999999</v>
      </c>
      <c r="G245" s="828">
        <f>(13.4+0.25+0.125)-1.105+(0.45)</f>
        <v>13.12</v>
      </c>
      <c r="H245" s="1220">
        <v>0.15</v>
      </c>
      <c r="I245" s="828"/>
      <c r="J245" s="828"/>
      <c r="K245" s="828" t="s">
        <v>21096</v>
      </c>
      <c r="L245" s="828" t="s">
        <v>22</v>
      </c>
      <c r="M245" s="877">
        <v>0</v>
      </c>
      <c r="N245" s="876">
        <v>10.452</v>
      </c>
      <c r="O245" s="871">
        <f t="shared" si="11"/>
        <v>0</v>
      </c>
    </row>
    <row r="246" spans="1:15" s="863" customFormat="1">
      <c r="A246" s="862"/>
      <c r="B246" s="835"/>
      <c r="C246" s="835"/>
      <c r="D246" s="888" t="s">
        <v>12601</v>
      </c>
      <c r="E246" s="700">
        <f>2*4</f>
        <v>8</v>
      </c>
      <c r="F246" s="828">
        <f>0.4*2+0.12*2+0.3</f>
        <v>1.34</v>
      </c>
      <c r="G246" s="828">
        <v>17.2</v>
      </c>
      <c r="H246" s="828">
        <v>0.12</v>
      </c>
      <c r="I246" s="828"/>
      <c r="J246" s="1220">
        <f>0.3*0.4*H246*2</f>
        <v>2.8799999999999999E-2</v>
      </c>
      <c r="K246" s="828" t="s">
        <v>21095</v>
      </c>
      <c r="L246" s="828" t="s">
        <v>22</v>
      </c>
      <c r="M246" s="877">
        <f>E246*F246*G246*H246+J246</f>
        <v>22.154880000000002</v>
      </c>
      <c r="N246" s="876">
        <v>0</v>
      </c>
      <c r="O246" s="871">
        <f t="shared" si="11"/>
        <v>44.309760000000004</v>
      </c>
    </row>
    <row r="247" spans="1:15" s="863" customFormat="1">
      <c r="A247" s="862"/>
      <c r="B247" s="835"/>
      <c r="C247" s="835"/>
      <c r="D247" s="888" t="s">
        <v>21062</v>
      </c>
      <c r="E247" s="700">
        <f>2*4</f>
        <v>8</v>
      </c>
      <c r="F247" s="828">
        <f>0.15+0.45+0.2+0.475+0.15</f>
        <v>1.4249999999999998</v>
      </c>
      <c r="G247" s="828"/>
      <c r="H247" s="828">
        <v>0.2</v>
      </c>
      <c r="I247" s="828">
        <f>0.2+0.5+0.2+0.8</f>
        <v>1.7</v>
      </c>
      <c r="J247" s="828"/>
      <c r="K247" s="828" t="s">
        <v>21084</v>
      </c>
      <c r="L247" s="828" t="s">
        <v>22</v>
      </c>
      <c r="M247" s="877">
        <f>E247*F247*H247*I247</f>
        <v>3.8759999999999994</v>
      </c>
      <c r="N247" s="876">
        <v>36.3264</v>
      </c>
      <c r="O247" s="871">
        <f t="shared" si="11"/>
        <v>7.7519999999999989</v>
      </c>
    </row>
    <row r="248" spans="1:15" s="863" customFormat="1">
      <c r="A248" s="862"/>
      <c r="B248" s="835"/>
      <c r="C248" s="835"/>
      <c r="D248" s="888" t="s">
        <v>21063</v>
      </c>
      <c r="E248" s="700">
        <f>2*2</f>
        <v>4</v>
      </c>
      <c r="F248" s="828">
        <v>2.15</v>
      </c>
      <c r="G248" s="828"/>
      <c r="H248" s="828">
        <v>0.2</v>
      </c>
      <c r="I248" s="828">
        <f>0.2+0.5+0.2+0.8</f>
        <v>1.7</v>
      </c>
      <c r="J248" s="828"/>
      <c r="K248" s="828" t="s">
        <v>21084</v>
      </c>
      <c r="L248" s="828" t="s">
        <v>22</v>
      </c>
      <c r="M248" s="877">
        <f>E248*F248*H248*I248</f>
        <v>2.9239999999999999</v>
      </c>
      <c r="N248" s="876">
        <v>10.289999999999997</v>
      </c>
      <c r="O248" s="871">
        <f t="shared" si="11"/>
        <v>5.8479999999999999</v>
      </c>
    </row>
    <row r="249" spans="1:15" s="863" customFormat="1">
      <c r="A249" s="862"/>
      <c r="B249" s="835"/>
      <c r="C249" s="835"/>
      <c r="D249" s="888" t="s">
        <v>21063</v>
      </c>
      <c r="E249" s="700">
        <f>2*2</f>
        <v>4</v>
      </c>
      <c r="F249" s="828">
        <f>0.15*2+2.15</f>
        <v>2.4499999999999997</v>
      </c>
      <c r="G249" s="828"/>
      <c r="H249" s="828">
        <v>0.2</v>
      </c>
      <c r="I249" s="828">
        <v>0.8</v>
      </c>
      <c r="J249" s="828"/>
      <c r="K249" s="828" t="s">
        <v>21084</v>
      </c>
      <c r="L249" s="828" t="s">
        <v>22</v>
      </c>
      <c r="M249" s="877">
        <f>E249*F249*H249*I249</f>
        <v>1.5680000000000001</v>
      </c>
      <c r="N249" s="876"/>
      <c r="O249" s="871">
        <f t="shared" si="11"/>
        <v>3.1360000000000001</v>
      </c>
    </row>
    <row r="250" spans="1:15" s="863" customFormat="1" ht="27" customHeight="1">
      <c r="A250" s="862"/>
      <c r="B250" s="835"/>
      <c r="C250" s="835"/>
      <c r="D250" s="929" t="s">
        <v>21038</v>
      </c>
      <c r="E250" s="816" t="s">
        <v>1275</v>
      </c>
      <c r="F250" s="901" t="s">
        <v>43</v>
      </c>
      <c r="G250" s="901" t="s">
        <v>19</v>
      </c>
      <c r="H250" s="901" t="s">
        <v>32</v>
      </c>
      <c r="I250" s="901" t="s">
        <v>21057</v>
      </c>
      <c r="J250" s="901" t="s">
        <v>21058</v>
      </c>
      <c r="K250" s="901"/>
      <c r="L250" s="901"/>
      <c r="M250" s="951" t="s">
        <v>21060</v>
      </c>
      <c r="N250" s="876"/>
      <c r="O250" s="871"/>
    </row>
    <row r="251" spans="1:15" s="863" customFormat="1">
      <c r="A251" s="862"/>
      <c r="B251" s="835"/>
      <c r="C251" s="835"/>
      <c r="D251" s="888" t="s">
        <v>21045</v>
      </c>
      <c r="E251" s="700">
        <v>2</v>
      </c>
      <c r="F251" s="828">
        <v>1.85</v>
      </c>
      <c r="G251" s="828">
        <v>0.15</v>
      </c>
      <c r="H251" s="828">
        <f>0.7+0.5+0.4</f>
        <v>1.6</v>
      </c>
      <c r="I251" s="828">
        <v>2</v>
      </c>
      <c r="J251" s="828">
        <v>0.2</v>
      </c>
      <c r="K251" s="828"/>
      <c r="L251" s="828" t="s">
        <v>22</v>
      </c>
      <c r="M251" s="877">
        <f>(E251*F251*H251*G251)-(E251*I251*(3.14*(J251^2/4))*G251)</f>
        <v>0.86916000000000015</v>
      </c>
      <c r="N251" s="876">
        <v>1.998</v>
      </c>
      <c r="O251" s="871">
        <f>M251*2</f>
        <v>1.7383200000000003</v>
      </c>
    </row>
    <row r="252" spans="1:15" s="863" customFormat="1">
      <c r="A252" s="862"/>
      <c r="B252" s="835"/>
      <c r="C252" s="835"/>
      <c r="D252" s="888" t="s">
        <v>21046</v>
      </c>
      <c r="E252" s="700">
        <v>2</v>
      </c>
      <c r="F252" s="828">
        <f>1.85-0.15*2</f>
        <v>1.55</v>
      </c>
      <c r="G252" s="828">
        <v>0.15</v>
      </c>
      <c r="H252" s="828">
        <f>0.7+0.5+0.4</f>
        <v>1.6</v>
      </c>
      <c r="I252" s="828">
        <v>2</v>
      </c>
      <c r="J252" s="828">
        <v>0.2</v>
      </c>
      <c r="K252" s="828"/>
      <c r="L252" s="828" t="s">
        <v>22</v>
      </c>
      <c r="M252" s="877">
        <f>(E252*F252*H252*G252)-(E252*I252*(3.14*(J252^2/4))*G252)</f>
        <v>0.72516000000000014</v>
      </c>
      <c r="N252" s="876">
        <v>1.998</v>
      </c>
      <c r="O252" s="871">
        <f t="shared" ref="O252:O263" si="12">M252*2</f>
        <v>1.4503200000000003</v>
      </c>
    </row>
    <row r="253" spans="1:15" s="863" customFormat="1">
      <c r="A253" s="862"/>
      <c r="B253" s="835"/>
      <c r="C253" s="835"/>
      <c r="D253" s="888" t="s">
        <v>21050</v>
      </c>
      <c r="E253" s="700">
        <v>1</v>
      </c>
      <c r="F253" s="828">
        <v>1.1000000000000001</v>
      </c>
      <c r="G253" s="828">
        <v>0.15</v>
      </c>
      <c r="H253" s="828">
        <f t="shared" ref="H253:H263" si="13">0.7+0.5+0.4</f>
        <v>1.6</v>
      </c>
      <c r="I253" s="828">
        <v>1</v>
      </c>
      <c r="J253" s="828">
        <v>0.4</v>
      </c>
      <c r="K253" s="828"/>
      <c r="L253" s="828" t="s">
        <v>22</v>
      </c>
      <c r="M253" s="877">
        <f>(E253*F253*H253*G253)-(E253*I253*(3.14*(J253^2/4))*G253)</f>
        <v>0.24516000000000002</v>
      </c>
      <c r="N253" s="876">
        <v>0.81</v>
      </c>
      <c r="O253" s="871">
        <f t="shared" si="12"/>
        <v>0.49032000000000003</v>
      </c>
    </row>
    <row r="254" spans="1:15" s="863" customFormat="1">
      <c r="A254" s="862"/>
      <c r="B254" s="835"/>
      <c r="C254" s="835"/>
      <c r="D254" s="888" t="s">
        <v>21051</v>
      </c>
      <c r="E254" s="700">
        <v>1</v>
      </c>
      <c r="F254" s="828">
        <f>F253-0.15*2</f>
        <v>0.8</v>
      </c>
      <c r="G254" s="828">
        <v>0.15</v>
      </c>
      <c r="H254" s="828">
        <f t="shared" si="13"/>
        <v>1.6</v>
      </c>
      <c r="I254" s="828">
        <v>1</v>
      </c>
      <c r="J254" s="828">
        <v>0.4</v>
      </c>
      <c r="K254" s="828"/>
      <c r="L254" s="828" t="s">
        <v>22</v>
      </c>
      <c r="M254" s="877">
        <f>(E254*F254*H254*G254)-(E254*I254*(3.14*(J254^2/4))*G254)</f>
        <v>0.17316000000000004</v>
      </c>
      <c r="N254" s="876">
        <v>0.59400000000000008</v>
      </c>
      <c r="O254" s="871">
        <f t="shared" si="12"/>
        <v>0.34632000000000007</v>
      </c>
    </row>
    <row r="255" spans="1:15" s="863" customFormat="1" ht="22.5">
      <c r="A255" s="862"/>
      <c r="B255" s="835"/>
      <c r="C255" s="835"/>
      <c r="D255" s="929" t="s">
        <v>21038</v>
      </c>
      <c r="E255" s="816" t="s">
        <v>1275</v>
      </c>
      <c r="F255" s="901" t="s">
        <v>43</v>
      </c>
      <c r="G255" s="901" t="s">
        <v>19</v>
      </c>
      <c r="H255" s="901" t="s">
        <v>32</v>
      </c>
      <c r="I255" s="901" t="s">
        <v>21057</v>
      </c>
      <c r="J255" s="901" t="s">
        <v>21055</v>
      </c>
      <c r="K255" s="901" t="s">
        <v>21056</v>
      </c>
      <c r="L255" s="901"/>
      <c r="M255" s="951" t="s">
        <v>21060</v>
      </c>
      <c r="N255" s="876">
        <v>1.026</v>
      </c>
      <c r="O255" s="871"/>
    </row>
    <row r="256" spans="1:15" s="863" customFormat="1">
      <c r="A256" s="862"/>
      <c r="B256" s="835"/>
      <c r="C256" s="835"/>
      <c r="D256" s="888" t="s">
        <v>21049</v>
      </c>
      <c r="E256" s="700">
        <v>2</v>
      </c>
      <c r="F256" s="828">
        <f>1.85-0.15*2</f>
        <v>1.55</v>
      </c>
      <c r="G256" s="828">
        <v>0.15</v>
      </c>
      <c r="H256" s="828">
        <f t="shared" si="13"/>
        <v>1.6</v>
      </c>
      <c r="I256" s="828">
        <v>2</v>
      </c>
      <c r="J256" s="828">
        <v>0.5</v>
      </c>
      <c r="K256" s="828">
        <v>0.5</v>
      </c>
      <c r="L256" s="828" t="s">
        <v>22</v>
      </c>
      <c r="M256" s="877">
        <f>E256*F256*H256*G256-E256*I256*J256*K256*G256</f>
        <v>0.59400000000000008</v>
      </c>
      <c r="N256" s="876">
        <v>0.18000000000000002</v>
      </c>
      <c r="O256" s="871">
        <f t="shared" si="12"/>
        <v>1.1880000000000002</v>
      </c>
    </row>
    <row r="257" spans="1:15" s="863" customFormat="1">
      <c r="A257" s="862"/>
      <c r="B257" s="835"/>
      <c r="C257" s="835"/>
      <c r="D257" s="888" t="s">
        <v>21047</v>
      </c>
      <c r="E257" s="700">
        <v>2</v>
      </c>
      <c r="F257" s="828">
        <f>F256</f>
        <v>1.55</v>
      </c>
      <c r="G257" s="828">
        <v>0.15</v>
      </c>
      <c r="H257" s="828">
        <f t="shared" si="13"/>
        <v>1.6</v>
      </c>
      <c r="I257" s="828">
        <v>2</v>
      </c>
      <c r="J257" s="828">
        <v>0.5</v>
      </c>
      <c r="K257" s="828">
        <v>0.5</v>
      </c>
      <c r="L257" s="828" t="s">
        <v>22</v>
      </c>
      <c r="M257" s="877">
        <f t="shared" ref="M257:M263" si="14">E257*F257*H257*G257-E257*I257*J257*K257*G257</f>
        <v>0.59400000000000008</v>
      </c>
      <c r="N257" s="876">
        <v>0.54</v>
      </c>
      <c r="O257" s="871">
        <f t="shared" si="12"/>
        <v>1.1880000000000002</v>
      </c>
    </row>
    <row r="258" spans="1:15" s="863" customFormat="1">
      <c r="A258" s="862"/>
      <c r="B258" s="835"/>
      <c r="C258" s="835"/>
      <c r="D258" s="888" t="s">
        <v>21048</v>
      </c>
      <c r="E258" s="700">
        <v>4</v>
      </c>
      <c r="F258" s="828">
        <v>0.75</v>
      </c>
      <c r="G258" s="828">
        <v>0.15</v>
      </c>
      <c r="H258" s="828">
        <f t="shared" si="13"/>
        <v>1.6</v>
      </c>
      <c r="I258" s="828"/>
      <c r="J258" s="828"/>
      <c r="K258" s="828"/>
      <c r="L258" s="828" t="s">
        <v>22</v>
      </c>
      <c r="M258" s="877">
        <f t="shared" si="14"/>
        <v>0.72000000000000008</v>
      </c>
      <c r="N258" s="876">
        <v>1.458</v>
      </c>
      <c r="O258" s="871">
        <f t="shared" si="12"/>
        <v>1.4400000000000002</v>
      </c>
    </row>
    <row r="259" spans="1:15" s="863" customFormat="1">
      <c r="A259" s="862"/>
      <c r="B259" s="835"/>
      <c r="C259" s="835"/>
      <c r="D259" s="888" t="s">
        <v>21052</v>
      </c>
      <c r="E259" s="700">
        <v>2</v>
      </c>
      <c r="F259" s="828">
        <f>0.5+0.15*2</f>
        <v>0.8</v>
      </c>
      <c r="G259" s="828">
        <v>0.15</v>
      </c>
      <c r="H259" s="828">
        <f t="shared" si="13"/>
        <v>1.6</v>
      </c>
      <c r="I259" s="828"/>
      <c r="J259" s="828"/>
      <c r="K259" s="828"/>
      <c r="L259" s="828" t="s">
        <v>22</v>
      </c>
      <c r="M259" s="877">
        <f t="shared" si="14"/>
        <v>0.38400000000000006</v>
      </c>
      <c r="N259" s="876"/>
      <c r="O259" s="871">
        <f t="shared" si="12"/>
        <v>0.76800000000000013</v>
      </c>
    </row>
    <row r="260" spans="1:15" s="863" customFormat="1">
      <c r="A260" s="862"/>
      <c r="B260" s="835"/>
      <c r="C260" s="835"/>
      <c r="D260" s="888" t="s">
        <v>21053</v>
      </c>
      <c r="E260" s="700">
        <v>2</v>
      </c>
      <c r="F260" s="1220">
        <v>0.8</v>
      </c>
      <c r="G260" s="828">
        <v>0.15</v>
      </c>
      <c r="H260" s="828">
        <f t="shared" si="13"/>
        <v>1.6</v>
      </c>
      <c r="I260" s="828"/>
      <c r="J260" s="828"/>
      <c r="K260" s="828"/>
      <c r="L260" s="828" t="s">
        <v>22</v>
      </c>
      <c r="M260" s="877">
        <f t="shared" si="14"/>
        <v>0.38400000000000006</v>
      </c>
      <c r="N260" s="876"/>
      <c r="O260" s="871">
        <f t="shared" si="12"/>
        <v>0.76800000000000013</v>
      </c>
    </row>
    <row r="261" spans="1:15" s="863" customFormat="1">
      <c r="A261" s="862"/>
      <c r="B261" s="835"/>
      <c r="C261" s="835"/>
      <c r="D261" s="888" t="s">
        <v>21054</v>
      </c>
      <c r="E261" s="700">
        <v>2</v>
      </c>
      <c r="F261" s="828">
        <v>0.8</v>
      </c>
      <c r="G261" s="828">
        <v>0.15</v>
      </c>
      <c r="H261" s="828">
        <v>0.75</v>
      </c>
      <c r="I261" s="828"/>
      <c r="J261" s="828"/>
      <c r="K261" s="828"/>
      <c r="L261" s="828" t="s">
        <v>22</v>
      </c>
      <c r="M261" s="877">
        <f t="shared" si="14"/>
        <v>0.18000000000000002</v>
      </c>
      <c r="N261" s="876"/>
      <c r="O261" s="871">
        <f t="shared" si="12"/>
        <v>0.36000000000000004</v>
      </c>
    </row>
    <row r="262" spans="1:15" s="863" customFormat="1">
      <c r="A262" s="862"/>
      <c r="B262" s="835"/>
      <c r="C262" s="835"/>
      <c r="D262" s="888" t="s">
        <v>12610</v>
      </c>
      <c r="E262" s="700">
        <v>4</v>
      </c>
      <c r="F262" s="828">
        <v>0.5</v>
      </c>
      <c r="G262" s="828">
        <v>0.15</v>
      </c>
      <c r="H262" s="828">
        <f t="shared" si="13"/>
        <v>1.6</v>
      </c>
      <c r="I262" s="828"/>
      <c r="J262" s="828"/>
      <c r="K262" s="828"/>
      <c r="L262" s="828" t="s">
        <v>22</v>
      </c>
      <c r="M262" s="877">
        <f t="shared" si="14"/>
        <v>0.48</v>
      </c>
      <c r="N262" s="876"/>
      <c r="O262" s="871">
        <f t="shared" si="12"/>
        <v>0.96</v>
      </c>
    </row>
    <row r="263" spans="1:15" s="863" customFormat="1">
      <c r="A263" s="862"/>
      <c r="B263" s="835"/>
      <c r="C263" s="835"/>
      <c r="D263" s="888" t="s">
        <v>12611</v>
      </c>
      <c r="E263" s="700">
        <v>1</v>
      </c>
      <c r="F263" s="828">
        <f>0.95+1.1+0.95-0.15*2</f>
        <v>2.7</v>
      </c>
      <c r="G263" s="828">
        <v>0.15</v>
      </c>
      <c r="H263" s="828">
        <f t="shared" si="13"/>
        <v>1.6</v>
      </c>
      <c r="I263" s="828"/>
      <c r="J263" s="828"/>
      <c r="K263" s="828"/>
      <c r="L263" s="828" t="s">
        <v>22</v>
      </c>
      <c r="M263" s="877">
        <f t="shared" si="14"/>
        <v>0.64800000000000002</v>
      </c>
      <c r="N263" s="876"/>
      <c r="O263" s="871">
        <f t="shared" si="12"/>
        <v>1.296</v>
      </c>
    </row>
    <row r="264" spans="1:15" s="863" customFormat="1">
      <c r="A264" s="862"/>
      <c r="B264" s="835"/>
      <c r="C264" s="835"/>
      <c r="D264" s="888"/>
      <c r="E264" s="700"/>
      <c r="F264" s="828"/>
      <c r="G264" s="828"/>
      <c r="H264" s="828"/>
      <c r="I264" s="828"/>
      <c r="J264" s="828"/>
      <c r="K264" s="828"/>
      <c r="L264" s="828"/>
      <c r="M264" s="877"/>
      <c r="N264" s="876"/>
      <c r="O264" s="871"/>
    </row>
    <row r="265" spans="1:15" s="863" customFormat="1" ht="22.5">
      <c r="A265" s="862"/>
      <c r="B265" s="835"/>
      <c r="C265" s="835"/>
      <c r="D265" s="1221" t="s">
        <v>12272</v>
      </c>
      <c r="E265" s="1144" t="s">
        <v>1275</v>
      </c>
      <c r="F265" s="1204" t="s">
        <v>43</v>
      </c>
      <c r="G265" s="1204"/>
      <c r="H265" s="1205" t="s">
        <v>32</v>
      </c>
      <c r="I265" s="1205" t="s">
        <v>21067</v>
      </c>
      <c r="J265" s="1205"/>
      <c r="K265" s="1205"/>
      <c r="L265" s="1205"/>
      <c r="M265" s="1205" t="s">
        <v>21060</v>
      </c>
      <c r="N265" s="876"/>
      <c r="O265" s="871"/>
    </row>
    <row r="266" spans="1:15" s="863" customFormat="1">
      <c r="A266" s="862"/>
      <c r="B266" s="835"/>
      <c r="C266" s="835"/>
      <c r="D266" s="888" t="s">
        <v>21093</v>
      </c>
      <c r="E266" s="700">
        <f>2*2</f>
        <v>4</v>
      </c>
      <c r="F266" s="828">
        <f>13.4-1.105+0.2+0.45</f>
        <v>12.944999999999999</v>
      </c>
      <c r="G266" s="954"/>
      <c r="H266" s="828">
        <f>0.8+0.2</f>
        <v>1</v>
      </c>
      <c r="I266" s="828">
        <v>0.2</v>
      </c>
      <c r="J266" s="828"/>
      <c r="K266" s="828"/>
      <c r="L266" s="828"/>
      <c r="M266" s="828">
        <f>E266*(2*F266*H266*I266)</f>
        <v>20.712</v>
      </c>
      <c r="N266" s="876"/>
      <c r="O266" s="871"/>
    </row>
    <row r="267" spans="1:15" s="863" customFormat="1">
      <c r="A267" s="862"/>
      <c r="B267" s="835"/>
      <c r="C267" s="835"/>
      <c r="D267" s="888" t="s">
        <v>12587</v>
      </c>
      <c r="E267" s="700">
        <f>2*8</f>
        <v>16</v>
      </c>
      <c r="F267" s="828">
        <v>17.2</v>
      </c>
      <c r="G267" s="828" t="s">
        <v>30</v>
      </c>
      <c r="H267" s="828">
        <v>0.9</v>
      </c>
      <c r="I267" s="828">
        <v>0.2</v>
      </c>
      <c r="J267" s="828" t="s">
        <v>30</v>
      </c>
      <c r="K267" s="828"/>
      <c r="L267" s="828" t="s">
        <v>22</v>
      </c>
      <c r="M267" s="828">
        <f t="shared" ref="M267:M272" si="15">E267*(F267*H267*I267)</f>
        <v>49.536000000000001</v>
      </c>
      <c r="N267" s="876">
        <v>99.072000000000003</v>
      </c>
      <c r="O267" s="871">
        <f t="shared" ref="O267:O272" si="16">M267*2</f>
        <v>99.072000000000003</v>
      </c>
    </row>
    <row r="268" spans="1:15" s="863" customFormat="1">
      <c r="A268" s="862"/>
      <c r="B268" s="835"/>
      <c r="C268" s="835"/>
      <c r="D268" s="888" t="s">
        <v>12588</v>
      </c>
      <c r="E268" s="700">
        <f>2*4</f>
        <v>8</v>
      </c>
      <c r="F268" s="828">
        <v>2.4500000000000002</v>
      </c>
      <c r="G268" s="828" t="s">
        <v>30</v>
      </c>
      <c r="H268" s="828">
        <v>0.3</v>
      </c>
      <c r="I268" s="828">
        <v>0.2</v>
      </c>
      <c r="J268" s="828" t="s">
        <v>30</v>
      </c>
      <c r="K268" s="828"/>
      <c r="L268" s="828" t="s">
        <v>22</v>
      </c>
      <c r="M268" s="828">
        <f t="shared" si="15"/>
        <v>1.1759999999999999</v>
      </c>
      <c r="N268" s="876">
        <v>2.3520000000000003</v>
      </c>
      <c r="O268" s="871">
        <f t="shared" si="16"/>
        <v>2.3519999999999999</v>
      </c>
    </row>
    <row r="269" spans="1:15" s="863" customFormat="1">
      <c r="A269" s="862"/>
      <c r="B269" s="835"/>
      <c r="C269" s="835"/>
      <c r="D269" s="888" t="s">
        <v>12589</v>
      </c>
      <c r="E269" s="700">
        <f>2*4</f>
        <v>8</v>
      </c>
      <c r="F269" s="828">
        <v>4.5</v>
      </c>
      <c r="G269" s="828" t="s">
        <v>30</v>
      </c>
      <c r="H269" s="828">
        <v>0.3</v>
      </c>
      <c r="I269" s="828">
        <v>0.2</v>
      </c>
      <c r="J269" s="828" t="s">
        <v>30</v>
      </c>
      <c r="K269" s="828"/>
      <c r="L269" s="828" t="s">
        <v>22</v>
      </c>
      <c r="M269" s="828">
        <f t="shared" si="15"/>
        <v>2.1599999999999997</v>
      </c>
      <c r="N269" s="876">
        <v>4.32</v>
      </c>
      <c r="O269" s="871">
        <f t="shared" si="16"/>
        <v>4.3199999999999994</v>
      </c>
    </row>
    <row r="270" spans="1:15" s="863" customFormat="1">
      <c r="A270" s="862"/>
      <c r="B270" s="835"/>
      <c r="C270" s="835"/>
      <c r="D270" s="888" t="s">
        <v>12590</v>
      </c>
      <c r="E270" s="700">
        <f>2*8</f>
        <v>16</v>
      </c>
      <c r="F270" s="828">
        <v>13.4</v>
      </c>
      <c r="G270" s="828" t="s">
        <v>30</v>
      </c>
      <c r="H270" s="828">
        <v>0.3</v>
      </c>
      <c r="I270" s="828">
        <v>0.2</v>
      </c>
      <c r="J270" s="828" t="s">
        <v>30</v>
      </c>
      <c r="K270" s="828"/>
      <c r="L270" s="828" t="s">
        <v>22</v>
      </c>
      <c r="M270" s="828">
        <f t="shared" si="15"/>
        <v>12.863999999999999</v>
      </c>
      <c r="N270" s="876">
        <v>24.576000000000001</v>
      </c>
      <c r="O270" s="871">
        <f t="shared" si="16"/>
        <v>25.727999999999998</v>
      </c>
    </row>
    <row r="271" spans="1:15" s="863" customFormat="1">
      <c r="A271" s="862"/>
      <c r="B271" s="835"/>
      <c r="C271" s="835"/>
      <c r="D271" s="888" t="s">
        <v>12591</v>
      </c>
      <c r="E271" s="700">
        <v>2</v>
      </c>
      <c r="F271" s="828">
        <v>17.2</v>
      </c>
      <c r="G271" s="828" t="s">
        <v>30</v>
      </c>
      <c r="H271" s="828">
        <v>0.3</v>
      </c>
      <c r="I271" s="828">
        <v>0.2</v>
      </c>
      <c r="J271" s="828" t="s">
        <v>30</v>
      </c>
      <c r="K271" s="828"/>
      <c r="L271" s="828" t="s">
        <v>22</v>
      </c>
      <c r="M271" s="828">
        <f t="shared" si="15"/>
        <v>2.0639999999999996</v>
      </c>
      <c r="N271" s="876">
        <v>2.0640000000000001</v>
      </c>
      <c r="O271" s="871">
        <f t="shared" si="16"/>
        <v>4.1279999999999992</v>
      </c>
    </row>
    <row r="272" spans="1:15" s="863" customFormat="1">
      <c r="A272" s="862"/>
      <c r="B272" s="835"/>
      <c r="C272" s="835"/>
      <c r="D272" s="888" t="s">
        <v>12592</v>
      </c>
      <c r="E272" s="700">
        <f>8*2</f>
        <v>16</v>
      </c>
      <c r="F272" s="828">
        <v>12.8</v>
      </c>
      <c r="G272" s="828" t="s">
        <v>30</v>
      </c>
      <c r="H272" s="828">
        <v>0.15</v>
      </c>
      <c r="I272" s="828">
        <v>0.2</v>
      </c>
      <c r="J272" s="828" t="s">
        <v>30</v>
      </c>
      <c r="K272" s="828"/>
      <c r="L272" s="828" t="s">
        <v>22</v>
      </c>
      <c r="M272" s="828">
        <f t="shared" si="15"/>
        <v>6.1440000000000001</v>
      </c>
      <c r="N272" s="876">
        <v>24.576000000000004</v>
      </c>
      <c r="O272" s="871">
        <f t="shared" si="16"/>
        <v>12.288</v>
      </c>
    </row>
    <row r="273" spans="1:15" s="863" customFormat="1" ht="36" customHeight="1">
      <c r="A273" s="862"/>
      <c r="B273" s="835"/>
      <c r="C273" s="835"/>
      <c r="D273" s="1221" t="s">
        <v>21030</v>
      </c>
      <c r="E273" s="1144" t="s">
        <v>1275</v>
      </c>
      <c r="F273" s="1204" t="s">
        <v>17</v>
      </c>
      <c r="G273" s="1204" t="s">
        <v>19</v>
      </c>
      <c r="H273" s="1205"/>
      <c r="I273" s="1205" t="s">
        <v>36</v>
      </c>
      <c r="J273" s="1205" t="s">
        <v>21068</v>
      </c>
      <c r="K273" s="1205"/>
      <c r="L273" s="1205"/>
      <c r="M273" s="1205"/>
      <c r="N273" s="876"/>
      <c r="O273" s="871"/>
    </row>
    <row r="274" spans="1:15" s="863" customFormat="1">
      <c r="A274" s="862"/>
      <c r="B274" s="835"/>
      <c r="C274" s="835"/>
      <c r="D274" s="888" t="s">
        <v>21031</v>
      </c>
      <c r="E274" s="700">
        <f>2*2</f>
        <v>4</v>
      </c>
      <c r="F274" s="954">
        <v>2.15</v>
      </c>
      <c r="G274" s="954">
        <v>1.125</v>
      </c>
      <c r="H274" s="828" t="s">
        <v>30</v>
      </c>
      <c r="I274" s="828">
        <v>0.15</v>
      </c>
      <c r="J274" s="828">
        <f t="shared" ref="J274:J279" si="17">E274*F274*G274*I274</f>
        <v>1.4512499999999997</v>
      </c>
      <c r="K274" s="828"/>
      <c r="L274" s="828"/>
      <c r="M274" s="877"/>
      <c r="N274" s="876"/>
      <c r="O274" s="871"/>
    </row>
    <row r="275" spans="1:15" s="863" customFormat="1">
      <c r="A275" s="862"/>
      <c r="B275" s="835"/>
      <c r="C275" s="835"/>
      <c r="D275" s="888" t="s">
        <v>21032</v>
      </c>
      <c r="E275" s="700">
        <f>2*2*8</f>
        <v>32</v>
      </c>
      <c r="F275" s="954">
        <v>0.6</v>
      </c>
      <c r="G275" s="954">
        <v>2.12</v>
      </c>
      <c r="H275" s="828" t="s">
        <v>30</v>
      </c>
      <c r="I275" s="828">
        <v>0.15</v>
      </c>
      <c r="J275" s="828">
        <f t="shared" si="17"/>
        <v>6.1055999999999999</v>
      </c>
      <c r="K275" s="828"/>
      <c r="L275" s="828"/>
      <c r="M275" s="877"/>
      <c r="N275" s="876"/>
      <c r="O275" s="871"/>
    </row>
    <row r="276" spans="1:15" s="863" customFormat="1">
      <c r="A276" s="862"/>
      <c r="B276" s="835"/>
      <c r="C276" s="835"/>
      <c r="D276" s="888" t="s">
        <v>21033</v>
      </c>
      <c r="E276" s="700">
        <f>2*4*8</f>
        <v>64</v>
      </c>
      <c r="F276" s="954">
        <v>0.6</v>
      </c>
      <c r="G276" s="954">
        <v>0.20100000000000001</v>
      </c>
      <c r="H276" s="828" t="s">
        <v>30</v>
      </c>
      <c r="I276" s="828">
        <v>0.15</v>
      </c>
      <c r="J276" s="828">
        <f t="shared" si="17"/>
        <v>1.1577599999999999</v>
      </c>
      <c r="K276" s="828"/>
      <c r="L276" s="828"/>
      <c r="M276" s="877"/>
      <c r="N276" s="876"/>
      <c r="O276" s="871"/>
    </row>
    <row r="277" spans="1:15" s="863" customFormat="1">
      <c r="A277" s="862"/>
      <c r="B277" s="835"/>
      <c r="C277" s="835"/>
      <c r="D277" s="888" t="s">
        <v>21034</v>
      </c>
      <c r="E277" s="700">
        <f>2*6</f>
        <v>12</v>
      </c>
      <c r="F277" s="954">
        <v>1.32</v>
      </c>
      <c r="G277" s="954">
        <v>1.1000000000000001</v>
      </c>
      <c r="H277" s="828" t="s">
        <v>30</v>
      </c>
      <c r="I277" s="828">
        <v>0.15</v>
      </c>
      <c r="J277" s="828">
        <f t="shared" si="17"/>
        <v>2.6135999999999999</v>
      </c>
      <c r="K277" s="828"/>
      <c r="L277" s="828"/>
      <c r="M277" s="877"/>
      <c r="N277" s="876"/>
      <c r="O277" s="871"/>
    </row>
    <row r="278" spans="1:15" s="863" customFormat="1">
      <c r="A278" s="862"/>
      <c r="B278" s="835"/>
      <c r="C278" s="835"/>
      <c r="D278" s="888" t="s">
        <v>21036</v>
      </c>
      <c r="E278" s="700">
        <f>2*6</f>
        <v>12</v>
      </c>
      <c r="F278" s="954">
        <v>1.76</v>
      </c>
      <c r="G278" s="954">
        <v>1.1000000000000001</v>
      </c>
      <c r="H278" s="828" t="s">
        <v>30</v>
      </c>
      <c r="I278" s="828">
        <v>0.15</v>
      </c>
      <c r="J278" s="828">
        <f t="shared" si="17"/>
        <v>3.4848000000000003</v>
      </c>
      <c r="K278" s="828"/>
      <c r="L278" s="828"/>
      <c r="M278" s="877"/>
      <c r="N278" s="876"/>
      <c r="O278" s="871"/>
    </row>
    <row r="279" spans="1:15" s="863" customFormat="1">
      <c r="A279" s="862"/>
      <c r="B279" s="835"/>
      <c r="C279" s="835"/>
      <c r="D279" s="888" t="s">
        <v>21037</v>
      </c>
      <c r="E279" s="700">
        <f>2*6</f>
        <v>12</v>
      </c>
      <c r="F279" s="954">
        <v>1.1000000000000001</v>
      </c>
      <c r="G279" s="954">
        <v>0.6</v>
      </c>
      <c r="H279" s="828" t="s">
        <v>30</v>
      </c>
      <c r="I279" s="828">
        <v>0.15</v>
      </c>
      <c r="J279" s="828">
        <f t="shared" si="17"/>
        <v>1.1879999999999999</v>
      </c>
      <c r="K279" s="828"/>
      <c r="L279" s="828"/>
      <c r="M279" s="877"/>
      <c r="N279" s="876"/>
      <c r="O279" s="871"/>
    </row>
    <row r="280" spans="1:15" s="863" customFormat="1">
      <c r="A280" s="862"/>
      <c r="B280" s="835"/>
      <c r="C280" s="835"/>
      <c r="D280" s="888"/>
      <c r="E280" s="700"/>
      <c r="F280" s="911"/>
      <c r="G280" s="911"/>
      <c r="H280" s="911"/>
      <c r="I280" s="911"/>
      <c r="J280" s="901"/>
      <c r="K280" s="901"/>
      <c r="L280" s="901"/>
      <c r="M280" s="901"/>
      <c r="N280" s="876"/>
      <c r="O280" s="871"/>
    </row>
    <row r="281" spans="1:15" s="863" customFormat="1">
      <c r="A281" s="862"/>
      <c r="B281" s="835"/>
      <c r="C281" s="835"/>
      <c r="D281" s="888"/>
      <c r="E281" s="700"/>
      <c r="F281" s="952"/>
      <c r="G281" s="952"/>
      <c r="H281" s="952"/>
      <c r="I281" s="952"/>
      <c r="J281" s="911"/>
      <c r="K281" s="911"/>
      <c r="L281" s="901"/>
      <c r="M281" s="901"/>
      <c r="N281" s="876"/>
      <c r="O281" s="871"/>
    </row>
    <row r="282" spans="1:15" s="863" customFormat="1">
      <c r="A282" s="862"/>
      <c r="B282" s="835"/>
      <c r="C282" s="835"/>
      <c r="D282" s="888" t="s">
        <v>12440</v>
      </c>
      <c r="E282" s="700">
        <v>2</v>
      </c>
      <c r="F282" s="828">
        <f>2.3+17.7+1.2</f>
        <v>21.2</v>
      </c>
      <c r="G282" s="828">
        <f>13.4+0.25+0.125</f>
        <v>13.775</v>
      </c>
      <c r="H282" s="828" t="s">
        <v>30</v>
      </c>
      <c r="I282" s="828">
        <v>0.15</v>
      </c>
      <c r="J282" s="908"/>
      <c r="K282" s="828"/>
      <c r="L282" s="828" t="s">
        <v>22</v>
      </c>
      <c r="M282" s="828">
        <f>E282*F282*G282*I282</f>
        <v>87.608999999999995</v>
      </c>
      <c r="N282" s="876"/>
      <c r="O282" s="871"/>
    </row>
    <row r="283" spans="1:15" s="863" customFormat="1">
      <c r="A283" s="862"/>
      <c r="B283" s="835"/>
      <c r="C283" s="835"/>
      <c r="D283" s="888"/>
      <c r="E283" s="700"/>
      <c r="F283" s="1700" t="s">
        <v>21069</v>
      </c>
      <c r="G283" s="1700"/>
      <c r="H283" s="1700"/>
      <c r="I283" s="1700"/>
      <c r="J283" s="1700"/>
      <c r="K283" s="1700"/>
      <c r="L283" s="901" t="s">
        <v>22</v>
      </c>
      <c r="M283" s="901">
        <f>M282-SUM(J274:J279)</f>
        <v>71.607990000000001</v>
      </c>
      <c r="N283" s="876"/>
      <c r="O283" s="871"/>
    </row>
    <row r="284" spans="1:15" s="863" customFormat="1">
      <c r="A284" s="862"/>
      <c r="B284" s="835"/>
      <c r="C284" s="835"/>
      <c r="D284" s="929" t="s">
        <v>21040</v>
      </c>
      <c r="E284" s="816" t="s">
        <v>1275</v>
      </c>
      <c r="F284" s="901" t="s">
        <v>17</v>
      </c>
      <c r="G284" s="901" t="s">
        <v>19</v>
      </c>
      <c r="H284" s="901" t="s">
        <v>36</v>
      </c>
      <c r="I284" s="952"/>
      <c r="J284" s="952"/>
      <c r="K284" s="952"/>
      <c r="L284" s="901"/>
      <c r="M284" s="901"/>
      <c r="N284" s="876"/>
      <c r="O284" s="871"/>
    </row>
    <row r="285" spans="1:15" s="863" customFormat="1">
      <c r="A285" s="862"/>
      <c r="B285" s="835"/>
      <c r="C285" s="835"/>
      <c r="D285" s="888" t="s">
        <v>21041</v>
      </c>
      <c r="E285" s="700">
        <v>1</v>
      </c>
      <c r="F285" s="828">
        <f>1.85+0.75</f>
        <v>2.6</v>
      </c>
      <c r="G285" s="828">
        <f>0.95+1.1+0.95</f>
        <v>3</v>
      </c>
      <c r="H285" s="828">
        <v>0.2</v>
      </c>
      <c r="I285" s="828"/>
      <c r="J285" s="828"/>
      <c r="K285" s="828"/>
      <c r="L285" s="828" t="s">
        <v>22</v>
      </c>
      <c r="M285" s="877">
        <f>E285*F285*G285*H285</f>
        <v>1.5600000000000003</v>
      </c>
      <c r="N285" s="876"/>
      <c r="O285" s="871"/>
    </row>
    <row r="286" spans="1:15" s="863" customFormat="1">
      <c r="A286" s="862"/>
      <c r="B286" s="835"/>
      <c r="C286" s="835"/>
      <c r="D286" s="888" t="s">
        <v>21042</v>
      </c>
      <c r="E286" s="700">
        <v>2</v>
      </c>
      <c r="F286" s="828">
        <v>0.75</v>
      </c>
      <c r="G286" s="828">
        <v>0.95</v>
      </c>
      <c r="H286" s="828">
        <v>0.2</v>
      </c>
      <c r="I286" s="828"/>
      <c r="J286" s="828"/>
      <c r="K286" s="828"/>
      <c r="L286" s="828" t="s">
        <v>22</v>
      </c>
      <c r="M286" s="877">
        <f>E286*F286*G286*H286</f>
        <v>0.28499999999999998</v>
      </c>
      <c r="N286" s="876"/>
      <c r="O286" s="871"/>
    </row>
    <row r="287" spans="1:15" s="863" customFormat="1">
      <c r="A287" s="862"/>
      <c r="B287" s="835"/>
      <c r="C287" s="835"/>
      <c r="D287" s="888"/>
      <c r="E287" s="700"/>
      <c r="F287" s="828"/>
      <c r="G287" s="828"/>
      <c r="H287" s="828"/>
      <c r="I287" s="1700" t="s">
        <v>21070</v>
      </c>
      <c r="J287" s="1700"/>
      <c r="K287" s="1700"/>
      <c r="L287" s="901" t="s">
        <v>22</v>
      </c>
      <c r="M287" s="901">
        <f>M285-M286</f>
        <v>1.2750000000000004</v>
      </c>
      <c r="N287" s="876"/>
      <c r="O287" s="871"/>
    </row>
    <row r="288" spans="1:15" s="863" customFormat="1">
      <c r="A288" s="862"/>
      <c r="B288" s="835"/>
      <c r="C288" s="835"/>
      <c r="D288" s="929" t="s">
        <v>21065</v>
      </c>
      <c r="E288" s="816" t="s">
        <v>1275</v>
      </c>
      <c r="F288" s="901" t="s">
        <v>17</v>
      </c>
      <c r="G288" s="901" t="s">
        <v>19</v>
      </c>
      <c r="H288" s="901" t="s">
        <v>36</v>
      </c>
      <c r="I288" s="952"/>
      <c r="J288" s="952"/>
      <c r="K288" s="952"/>
      <c r="L288" s="901"/>
      <c r="M288" s="901"/>
      <c r="N288" s="876"/>
      <c r="O288" s="871"/>
    </row>
    <row r="289" spans="1:15" s="863" customFormat="1">
      <c r="A289" s="862"/>
      <c r="B289" s="835"/>
      <c r="C289" s="835"/>
      <c r="D289" s="888" t="s">
        <v>21094</v>
      </c>
      <c r="E289" s="700">
        <f>2*2</f>
        <v>4</v>
      </c>
      <c r="F289" s="828">
        <f>13.4-1.105</f>
        <v>12.295</v>
      </c>
      <c r="G289" s="828">
        <f>0.45+0.2</f>
        <v>0.65</v>
      </c>
      <c r="H289" s="828">
        <v>0.2</v>
      </c>
      <c r="I289" s="828"/>
      <c r="J289" s="828"/>
      <c r="K289" s="901" t="s">
        <v>27</v>
      </c>
      <c r="L289" s="901" t="s">
        <v>22</v>
      </c>
      <c r="M289" s="901">
        <f>E289*F289*G289*H289</f>
        <v>6.3934000000000006</v>
      </c>
      <c r="N289" s="876"/>
      <c r="O289" s="871"/>
    </row>
    <row r="290" spans="1:15" s="863" customFormat="1">
      <c r="A290" s="862"/>
      <c r="B290" s="835"/>
      <c r="C290" s="835"/>
      <c r="D290" s="888"/>
      <c r="E290" s="700"/>
      <c r="F290" s="828"/>
      <c r="G290" s="828"/>
      <c r="H290" s="828"/>
      <c r="I290" s="828"/>
      <c r="J290" s="828"/>
      <c r="K290" s="901"/>
      <c r="L290" s="901"/>
      <c r="M290" s="901"/>
      <c r="N290" s="876"/>
      <c r="O290" s="871"/>
    </row>
    <row r="291" spans="1:15" s="863" customFormat="1" ht="26.25" customHeight="1">
      <c r="A291" s="862"/>
      <c r="B291" s="835"/>
      <c r="C291" s="835"/>
      <c r="D291" s="826"/>
      <c r="E291" s="790"/>
      <c r="F291" s="790"/>
      <c r="G291" s="828"/>
      <c r="H291" s="828"/>
      <c r="I291" s="1716" t="s">
        <v>21104</v>
      </c>
      <c r="J291" s="1716"/>
      <c r="K291" s="1716"/>
      <c r="L291" s="816" t="s">
        <v>22</v>
      </c>
      <c r="M291" s="902">
        <f>SUM(M289,M287,M283,M266:M272,M256:M263,M251:M254,M242:M249,M235:M240)</f>
        <v>264.83106999999995</v>
      </c>
      <c r="N291" s="876"/>
      <c r="O291" s="871"/>
    </row>
    <row r="292" spans="1:15" s="863" customFormat="1">
      <c r="A292" s="862"/>
      <c r="B292" s="835"/>
      <c r="C292" s="835"/>
      <c r="D292" s="826"/>
      <c r="E292" s="790"/>
      <c r="F292" s="790"/>
      <c r="G292" s="828"/>
      <c r="H292" s="828"/>
      <c r="I292" s="911"/>
      <c r="J292" s="911"/>
      <c r="K292" s="816"/>
      <c r="L292" s="816"/>
      <c r="M292" s="902"/>
      <c r="N292" s="876"/>
      <c r="O292" s="871"/>
    </row>
    <row r="293" spans="1:15" s="863" customFormat="1" ht="28.5" customHeight="1" thickBot="1">
      <c r="A293" s="862" t="s">
        <v>12675</v>
      </c>
      <c r="B293" s="835" t="s">
        <v>10852</v>
      </c>
      <c r="C293" s="835">
        <v>316</v>
      </c>
      <c r="D293" s="826" t="str">
        <f>PROPER(IF(B293="Saneago",VLOOKUP(C293,'SANEAGO-FEV.2016'!A:B,2,0),IF(B293="Sinapi",VLOOKUP(C293,'SINAPI-FEV.2017'!A:D,2,0),IF(B293="Cotação",VLOOKUP(C293,COTAÇÃO!A:D,2,0),IF(B293="Composição",VLOOKUP(C293,COMPOSIÇÃO!A:D,2,0))))))</f>
        <v>Concreto  Estrutural Usinado Bombeado  Fck=40 Mpa, Com Adição De 8 À 10% De Microssílica (Incluindo  Lançamento, Aplicação  E Adensamento)</v>
      </c>
      <c r="E293" s="790"/>
      <c r="F293" s="790"/>
      <c r="G293" s="828"/>
      <c r="H293" s="828"/>
      <c r="I293" s="1713" t="s">
        <v>21105</v>
      </c>
      <c r="J293" s="1713"/>
      <c r="K293" s="1713"/>
      <c r="L293" s="816" t="s">
        <v>22</v>
      </c>
      <c r="M293" s="902">
        <f>2*M291</f>
        <v>529.66213999999991</v>
      </c>
      <c r="N293" s="1231"/>
      <c r="O293" s="871"/>
    </row>
    <row r="294" spans="1:15" s="863" customFormat="1" ht="21" hidden="1" customHeight="1" thickBot="1">
      <c r="A294" s="862"/>
      <c r="B294" s="835"/>
      <c r="C294" s="835"/>
      <c r="D294" s="1709" t="s">
        <v>21072</v>
      </c>
      <c r="E294" s="1710"/>
      <c r="F294" s="1710"/>
      <c r="G294" s="1710"/>
      <c r="H294" s="1710"/>
      <c r="I294" s="1710"/>
      <c r="J294" s="1710"/>
      <c r="K294" s="1710"/>
      <c r="L294" s="1710"/>
      <c r="M294" s="1711"/>
      <c r="N294" s="1231"/>
      <c r="O294" s="871"/>
    </row>
    <row r="295" spans="1:15" s="1218" customFormat="1" hidden="1">
      <c r="A295" s="1216"/>
      <c r="B295" s="1217"/>
      <c r="C295" s="1217"/>
      <c r="D295" s="929" t="s">
        <v>21071</v>
      </c>
      <c r="E295" s="1232"/>
      <c r="F295" s="816" t="s">
        <v>20351</v>
      </c>
      <c r="G295" s="816" t="s">
        <v>20352</v>
      </c>
      <c r="H295" s="816" t="s">
        <v>20353</v>
      </c>
      <c r="I295" s="816" t="s">
        <v>20354</v>
      </c>
      <c r="J295" s="816" t="s">
        <v>20355</v>
      </c>
      <c r="K295" s="816" t="s">
        <v>20356</v>
      </c>
      <c r="L295" s="816" t="s">
        <v>20364</v>
      </c>
      <c r="M295" s="1233" t="s">
        <v>27</v>
      </c>
      <c r="N295" s="1234"/>
      <c r="O295" s="875"/>
    </row>
    <row r="296" spans="1:15" s="863" customFormat="1" hidden="1">
      <c r="A296" s="862"/>
      <c r="B296" s="835"/>
      <c r="C296" s="835"/>
      <c r="D296" s="888" t="s">
        <v>20528</v>
      </c>
      <c r="E296" s="700" t="s">
        <v>33</v>
      </c>
      <c r="F296" s="907">
        <f>'Quant.AÇO-Concreto_REator'!B20</f>
        <v>24.096</v>
      </c>
      <c r="G296" s="907">
        <f>'Quant.AÇO-Concreto_REator'!C20</f>
        <v>0</v>
      </c>
      <c r="H296" s="907">
        <f>'Quant.AÇO-Concreto_REator'!D20</f>
        <v>25.6</v>
      </c>
      <c r="I296" s="907">
        <f>'Quant.AÇO-Concreto_REator'!E20</f>
        <v>0</v>
      </c>
      <c r="J296" s="907">
        <f>'Quant.AÇO-Concreto_REator'!F20</f>
        <v>38.4</v>
      </c>
      <c r="K296" s="907">
        <f>'Quant.AÇO-Concreto_REator'!G20</f>
        <v>0</v>
      </c>
      <c r="L296" s="907">
        <f>'Quant.AÇO-Concreto_REator'!H20</f>
        <v>0</v>
      </c>
      <c r="M296" s="827">
        <f>SUM(F296:L296)</f>
        <v>88.096000000000004</v>
      </c>
      <c r="N296" s="1231"/>
      <c r="O296" s="871"/>
    </row>
    <row r="297" spans="1:15" s="863" customFormat="1" hidden="1">
      <c r="A297" s="862"/>
      <c r="B297" s="835"/>
      <c r="C297" s="835"/>
      <c r="D297" s="888" t="s">
        <v>21073</v>
      </c>
      <c r="E297" s="700" t="s">
        <v>33</v>
      </c>
      <c r="F297" s="907">
        <f>'Quant.AÇO-Concreto_REator'!B21</f>
        <v>0</v>
      </c>
      <c r="G297" s="907">
        <f>'Quant.AÇO-Concreto_REator'!C21</f>
        <v>153.36000000000001</v>
      </c>
      <c r="H297" s="907">
        <f>'Quant.AÇO-Concreto_REator'!D21</f>
        <v>214.84800000000001</v>
      </c>
      <c r="I297" s="907">
        <f>'Quant.AÇO-Concreto_REator'!E21</f>
        <v>0</v>
      </c>
      <c r="J297" s="907">
        <f>'Quant.AÇO-Concreto_REator'!F21</f>
        <v>0</v>
      </c>
      <c r="K297" s="907">
        <f>'Quant.AÇO-Concreto_REator'!G21</f>
        <v>0</v>
      </c>
      <c r="L297" s="907">
        <f>'Quant.AÇO-Concreto_REator'!H21</f>
        <v>0</v>
      </c>
      <c r="M297" s="827">
        <f t="shared" ref="M297:M305" si="18">SUM(F297:L297)</f>
        <v>368.20800000000003</v>
      </c>
      <c r="N297" s="1231"/>
      <c r="O297" s="871"/>
    </row>
    <row r="298" spans="1:15" s="863" customFormat="1" hidden="1">
      <c r="A298" s="862"/>
      <c r="B298" s="835"/>
      <c r="C298" s="835"/>
      <c r="D298" s="888" t="s">
        <v>12518</v>
      </c>
      <c r="E298" s="700" t="s">
        <v>33</v>
      </c>
      <c r="F298" s="907">
        <f>'Quant.AÇO-Concreto_REator'!B22</f>
        <v>0</v>
      </c>
      <c r="G298" s="907">
        <f>'Quant.AÇO-Concreto_REator'!C22</f>
        <v>0</v>
      </c>
      <c r="H298" s="907">
        <f>'Quant.AÇO-Concreto_REator'!D22</f>
        <v>0</v>
      </c>
      <c r="I298" s="907">
        <f>'Quant.AÇO-Concreto_REator'!E22</f>
        <v>8818.0596000000005</v>
      </c>
      <c r="J298" s="907">
        <f>'Quant.AÇO-Concreto_REator'!F22</f>
        <v>0</v>
      </c>
      <c r="K298" s="907">
        <f>'Quant.AÇO-Concreto_REator'!G22</f>
        <v>9291.1679999999997</v>
      </c>
      <c r="L298" s="907">
        <f>'Quant.AÇO-Concreto_REator'!H22</f>
        <v>0</v>
      </c>
      <c r="M298" s="827">
        <f t="shared" si="18"/>
        <v>18109.227599999998</v>
      </c>
      <c r="N298" s="1231"/>
      <c r="O298" s="871"/>
    </row>
    <row r="299" spans="1:15" s="863" customFormat="1" hidden="1">
      <c r="A299" s="862"/>
      <c r="B299" s="835"/>
      <c r="C299" s="835"/>
      <c r="D299" s="888" t="s">
        <v>21074</v>
      </c>
      <c r="E299" s="700" t="s">
        <v>33</v>
      </c>
      <c r="F299" s="907">
        <f>'Quant.AÇO-Concreto_REator'!B23</f>
        <v>0</v>
      </c>
      <c r="G299" s="907">
        <f>'Quant.AÇO-Concreto_REator'!C23</f>
        <v>0</v>
      </c>
      <c r="H299" s="907">
        <f>'Quant.AÇO-Concreto_REator'!D23</f>
        <v>407.28800000000001</v>
      </c>
      <c r="I299" s="907">
        <f>'Quant.AÇO-Concreto_REator'!E23</f>
        <v>0</v>
      </c>
      <c r="J299" s="907">
        <f>'Quant.AÇO-Concreto_REator'!F23</f>
        <v>40.56</v>
      </c>
      <c r="K299" s="907">
        <f>'Quant.AÇO-Concreto_REator'!G23</f>
        <v>129.792</v>
      </c>
      <c r="L299" s="907">
        <f>'Quant.AÇO-Concreto_REator'!H23</f>
        <v>0</v>
      </c>
      <c r="M299" s="827">
        <f t="shared" si="18"/>
        <v>577.64</v>
      </c>
      <c r="N299" s="1231"/>
      <c r="O299" s="871"/>
    </row>
    <row r="300" spans="1:15" s="863" customFormat="1" hidden="1">
      <c r="A300" s="862"/>
      <c r="B300" s="835"/>
      <c r="C300" s="835"/>
      <c r="D300" s="888" t="s">
        <v>21075</v>
      </c>
      <c r="E300" s="700" t="s">
        <v>33</v>
      </c>
      <c r="F300" s="907">
        <f>'Quant.AÇO-Concreto_REator'!B24</f>
        <v>0</v>
      </c>
      <c r="G300" s="907">
        <f>'Quant.AÇO-Concreto_REator'!C24</f>
        <v>1721.14</v>
      </c>
      <c r="H300" s="907">
        <f>'Quant.AÇO-Concreto_REator'!D24</f>
        <v>1512.9920000000002</v>
      </c>
      <c r="I300" s="907">
        <f>'Quant.AÇO-Concreto_REator'!E24</f>
        <v>624.90959999999995</v>
      </c>
      <c r="J300" s="907">
        <f>'Quant.AÇO-Concreto_REator'!F24</f>
        <v>0</v>
      </c>
      <c r="K300" s="907">
        <f>'Quant.AÇO-Concreto_REator'!G24</f>
        <v>117.504</v>
      </c>
      <c r="L300" s="907">
        <f>'Quant.AÇO-Concreto_REator'!H24</f>
        <v>0</v>
      </c>
      <c r="M300" s="827">
        <f t="shared" si="18"/>
        <v>3976.5456000000004</v>
      </c>
      <c r="N300" s="1231"/>
      <c r="O300" s="871"/>
    </row>
    <row r="301" spans="1:15" s="863" customFormat="1" hidden="1">
      <c r="A301" s="862"/>
      <c r="B301" s="835"/>
      <c r="C301" s="835"/>
      <c r="D301" s="888" t="s">
        <v>21076</v>
      </c>
      <c r="E301" s="700" t="s">
        <v>33</v>
      </c>
      <c r="F301" s="907">
        <f>'Quant.AÇO-Concreto_REator'!B25</f>
        <v>179.71200000000002</v>
      </c>
      <c r="G301" s="907">
        <f>'Quant.AÇO-Concreto_REator'!C25</f>
        <v>0</v>
      </c>
      <c r="H301" s="907">
        <f>'Quant.AÇO-Concreto_REator'!D25</f>
        <v>0</v>
      </c>
      <c r="I301" s="907">
        <f>'Quant.AÇO-Concreto_REator'!E25</f>
        <v>0</v>
      </c>
      <c r="J301" s="907">
        <f>'Quant.AÇO-Concreto_REator'!F25</f>
        <v>1115.52</v>
      </c>
      <c r="K301" s="907">
        <f>'Quant.AÇO-Concreto_REator'!G25</f>
        <v>0</v>
      </c>
      <c r="L301" s="907">
        <f>'Quant.AÇO-Concreto_REator'!H25</f>
        <v>0</v>
      </c>
      <c r="M301" s="827">
        <f t="shared" si="18"/>
        <v>1295.232</v>
      </c>
      <c r="N301" s="1231"/>
      <c r="O301" s="871"/>
    </row>
    <row r="302" spans="1:15" s="863" customFormat="1" hidden="1">
      <c r="A302" s="862"/>
      <c r="B302" s="835"/>
      <c r="C302" s="835"/>
      <c r="D302" s="888" t="s">
        <v>12641</v>
      </c>
      <c r="E302" s="700" t="s">
        <v>33</v>
      </c>
      <c r="F302" s="907">
        <f>'Quant.AÇO-Concreto_REator'!B26</f>
        <v>0</v>
      </c>
      <c r="G302" s="907">
        <f>'Quant.AÇO-Concreto_REator'!C26</f>
        <v>0</v>
      </c>
      <c r="H302" s="907">
        <f>'Quant.AÇO-Concreto_REator'!D26</f>
        <v>4616</v>
      </c>
      <c r="I302" s="907">
        <f>'Quant.AÇO-Concreto_REator'!E26</f>
        <v>0</v>
      </c>
      <c r="J302" s="907">
        <f>'Quant.AÇO-Concreto_REator'!F26</f>
        <v>14337.54</v>
      </c>
      <c r="K302" s="907">
        <f>'Quant.AÇO-Concreto_REator'!G26</f>
        <v>0</v>
      </c>
      <c r="L302" s="907">
        <f>'Quant.AÇO-Concreto_REator'!H26</f>
        <v>892.5</v>
      </c>
      <c r="M302" s="827">
        <f t="shared" si="18"/>
        <v>19846.04</v>
      </c>
      <c r="N302" s="1231"/>
      <c r="O302" s="871"/>
    </row>
    <row r="303" spans="1:15" s="863" customFormat="1" hidden="1">
      <c r="A303" s="862"/>
      <c r="B303" s="835"/>
      <c r="C303" s="835"/>
      <c r="D303" s="888" t="s">
        <v>12642</v>
      </c>
      <c r="E303" s="700" t="s">
        <v>33</v>
      </c>
      <c r="F303" s="907">
        <f>'Quant.AÇO-Concreto_REator'!B27</f>
        <v>0</v>
      </c>
      <c r="G303" s="907">
        <f>'Quant.AÇO-Concreto_REator'!C27</f>
        <v>0</v>
      </c>
      <c r="H303" s="907">
        <f>'Quant.AÇO-Concreto_REator'!D27</f>
        <v>121.52000000000001</v>
      </c>
      <c r="I303" s="907">
        <f>'Quant.AÇO-Concreto_REator'!E27</f>
        <v>14.011199999999999</v>
      </c>
      <c r="J303" s="907">
        <f>'Quant.AÇO-Concreto_REator'!F27</f>
        <v>24.64</v>
      </c>
      <c r="K303" s="907">
        <f>'Quant.AÇO-Concreto_REator'!G27</f>
        <v>0</v>
      </c>
      <c r="L303" s="907">
        <f>'Quant.AÇO-Concreto_REator'!H27</f>
        <v>0</v>
      </c>
      <c r="M303" s="827">
        <f t="shared" si="18"/>
        <v>160.1712</v>
      </c>
      <c r="N303" s="1231"/>
      <c r="O303" s="871"/>
    </row>
    <row r="304" spans="1:15" s="863" customFormat="1" hidden="1">
      <c r="A304" s="862"/>
      <c r="B304" s="835"/>
      <c r="C304" s="835"/>
      <c r="D304" s="1235" t="s">
        <v>12630</v>
      </c>
      <c r="E304" s="700" t="s">
        <v>33</v>
      </c>
      <c r="F304" s="907">
        <f>'Quant.AÇO-Concreto_REator'!B28</f>
        <v>0</v>
      </c>
      <c r="G304" s="907">
        <f>'Quant.AÇO-Concreto_REator'!C28</f>
        <v>0</v>
      </c>
      <c r="H304" s="907">
        <f>'Quant.AÇO-Concreto_REator'!D28</f>
        <v>180.4</v>
      </c>
      <c r="I304" s="907">
        <f>'Quant.AÇO-Concreto_REator'!E28</f>
        <v>13.23</v>
      </c>
      <c r="J304" s="907">
        <f>'Quant.AÇO-Concreto_REator'!F28</f>
        <v>24</v>
      </c>
      <c r="K304" s="907">
        <f>'Quant.AÇO-Concreto_REator'!G28</f>
        <v>0</v>
      </c>
      <c r="L304" s="907">
        <f>'Quant.AÇO-Concreto_REator'!H28</f>
        <v>0</v>
      </c>
      <c r="M304" s="827">
        <f t="shared" si="18"/>
        <v>217.63</v>
      </c>
      <c r="N304" s="1231"/>
      <c r="O304" s="871"/>
    </row>
    <row r="305" spans="1:15" s="863" customFormat="1" hidden="1">
      <c r="A305" s="862"/>
      <c r="B305" s="835"/>
      <c r="C305" s="835"/>
      <c r="D305" s="1235" t="s">
        <v>12631</v>
      </c>
      <c r="E305" s="700" t="s">
        <v>33</v>
      </c>
      <c r="F305" s="907">
        <f>'Quant.AÇO-Concreto_REator'!B29</f>
        <v>607.20000000000005</v>
      </c>
      <c r="G305" s="907">
        <f>'Quant.AÇO-Concreto_REator'!C29</f>
        <v>3691.75</v>
      </c>
      <c r="H305" s="907">
        <f>'Quant.AÇO-Concreto_REator'!D29</f>
        <v>684</v>
      </c>
      <c r="I305" s="907">
        <f>'Quant.AÇO-Concreto_REator'!E29</f>
        <v>377.37</v>
      </c>
      <c r="J305" s="907">
        <f>'Quant.AÇO-Concreto_REator'!F29</f>
        <v>954</v>
      </c>
      <c r="K305" s="907">
        <f>'Quant.AÇO-Concreto_REator'!G29</f>
        <v>2606.4</v>
      </c>
      <c r="L305" s="907">
        <f>'Quant.AÇO-Concreto_REator'!H29</f>
        <v>0</v>
      </c>
      <c r="M305" s="827">
        <f t="shared" si="18"/>
        <v>8920.7199999999993</v>
      </c>
      <c r="N305" s="1231"/>
      <c r="O305" s="871"/>
    </row>
    <row r="306" spans="1:15" s="863" customFormat="1" ht="13.5" hidden="1" thickBot="1">
      <c r="A306" s="862"/>
      <c r="B306" s="835"/>
      <c r="C306" s="835"/>
      <c r="D306" s="1236" t="s">
        <v>27</v>
      </c>
      <c r="E306" s="1237"/>
      <c r="F306" s="1237">
        <f>SUM(F296:F305)</f>
        <v>811.00800000000004</v>
      </c>
      <c r="G306" s="1237">
        <f t="shared" ref="G306:M306" si="19">SUM(G296:G305)</f>
        <v>5566.25</v>
      </c>
      <c r="H306" s="1237">
        <f t="shared" si="19"/>
        <v>7762.6480000000001</v>
      </c>
      <c r="I306" s="1237">
        <f t="shared" si="19"/>
        <v>9847.5804000000007</v>
      </c>
      <c r="J306" s="1237">
        <f t="shared" si="19"/>
        <v>16534.66</v>
      </c>
      <c r="K306" s="1237">
        <f t="shared" si="19"/>
        <v>12144.864</v>
      </c>
      <c r="L306" s="1237">
        <f t="shared" si="19"/>
        <v>892.5</v>
      </c>
      <c r="M306" s="1237">
        <f t="shared" si="19"/>
        <v>53559.510399999992</v>
      </c>
      <c r="N306" s="1231">
        <f>M306/M291</f>
        <v>202.24028245628432</v>
      </c>
      <c r="O306" s="871"/>
    </row>
    <row r="307" spans="1:15" s="863" customFormat="1" ht="21" customHeight="1" thickBot="1">
      <c r="A307" s="862"/>
      <c r="B307" s="835"/>
      <c r="C307" s="835"/>
      <c r="D307" s="1709" t="s">
        <v>21081</v>
      </c>
      <c r="E307" s="1710"/>
      <c r="F307" s="1710"/>
      <c r="G307" s="1710"/>
      <c r="H307" s="1710"/>
      <c r="I307" s="1710"/>
      <c r="J307" s="1710"/>
      <c r="K307" s="1710"/>
      <c r="L307" s="1710"/>
      <c r="M307" s="1711"/>
      <c r="N307" s="1231"/>
      <c r="O307" s="871"/>
    </row>
    <row r="308" spans="1:15" s="1218" customFormat="1" ht="20.25" customHeight="1">
      <c r="A308" s="1216"/>
      <c r="B308" s="1217"/>
      <c r="C308" s="1217"/>
      <c r="D308" s="929" t="s">
        <v>21071</v>
      </c>
      <c r="E308" s="1232"/>
      <c r="F308" s="816" t="s">
        <v>20351</v>
      </c>
      <c r="G308" s="816" t="s">
        <v>20352</v>
      </c>
      <c r="H308" s="816" t="s">
        <v>20353</v>
      </c>
      <c r="I308" s="816" t="s">
        <v>20354</v>
      </c>
      <c r="J308" s="816" t="s">
        <v>20355</v>
      </c>
      <c r="K308" s="816" t="s">
        <v>20356</v>
      </c>
      <c r="L308" s="816" t="s">
        <v>20364</v>
      </c>
      <c r="M308" s="827"/>
      <c r="N308" s="1234"/>
    </row>
    <row r="309" spans="1:15" s="863" customFormat="1">
      <c r="A309" s="862"/>
      <c r="B309" s="835"/>
      <c r="C309" s="835"/>
      <c r="D309" s="888" t="s">
        <v>20528</v>
      </c>
      <c r="E309" s="700" t="s">
        <v>33</v>
      </c>
      <c r="F309" s="889">
        <f>'Quant.AÇO-Concreto_REator'!M20</f>
        <v>48.192</v>
      </c>
      <c r="G309" s="889">
        <f>'Quant.AÇO-Concreto_REator'!N20</f>
        <v>0</v>
      </c>
      <c r="H309" s="889">
        <f>'Quant.AÇO-Concreto_REator'!O20</f>
        <v>51.2</v>
      </c>
      <c r="I309" s="889">
        <f>'Quant.AÇO-Concreto_REator'!P20</f>
        <v>0</v>
      </c>
      <c r="J309" s="889">
        <f>'Quant.AÇO-Concreto_REator'!Q20</f>
        <v>76.8</v>
      </c>
      <c r="K309" s="889">
        <f>'Quant.AÇO-Concreto_REator'!R20</f>
        <v>0</v>
      </c>
      <c r="L309" s="889">
        <f>'Quant.AÇO-Concreto_REator'!S20</f>
        <v>0</v>
      </c>
      <c r="M309" s="827">
        <f>SUM(F309:L309)</f>
        <v>176.19200000000001</v>
      </c>
      <c r="N309" s="1231"/>
    </row>
    <row r="310" spans="1:15" s="863" customFormat="1">
      <c r="A310" s="862"/>
      <c r="B310" s="835"/>
      <c r="C310" s="835"/>
      <c r="D310" s="888" t="s">
        <v>21073</v>
      </c>
      <c r="E310" s="700" t="s">
        <v>33</v>
      </c>
      <c r="F310" s="889">
        <f>'Quant.AÇO-Concreto_REator'!M21</f>
        <v>0</v>
      </c>
      <c r="G310" s="889">
        <f>'Quant.AÇO-Concreto_REator'!N21</f>
        <v>0</v>
      </c>
      <c r="H310" s="889">
        <f>'Quant.AÇO-Concreto_REator'!O21</f>
        <v>0</v>
      </c>
      <c r="I310" s="889">
        <f>'Quant.AÇO-Concreto_REator'!P21</f>
        <v>0</v>
      </c>
      <c r="J310" s="889">
        <f>'Quant.AÇO-Concreto_REator'!Q21</f>
        <v>0</v>
      </c>
      <c r="K310" s="889">
        <f>'Quant.AÇO-Concreto_REator'!R21</f>
        <v>0</v>
      </c>
      <c r="L310" s="889">
        <f>'Quant.AÇO-Concreto_REator'!S21</f>
        <v>0</v>
      </c>
      <c r="M310" s="827">
        <f t="shared" ref="M310:M318" si="20">SUM(F310:L310)</f>
        <v>0</v>
      </c>
      <c r="N310" s="1231"/>
    </row>
    <row r="311" spans="1:15" s="863" customFormat="1">
      <c r="A311" s="862"/>
      <c r="B311" s="835"/>
      <c r="C311" s="835"/>
      <c r="D311" s="888" t="s">
        <v>12518</v>
      </c>
      <c r="E311" s="700" t="s">
        <v>33</v>
      </c>
      <c r="F311" s="889">
        <f>'Quant.AÇO-Concreto_REator'!M22</f>
        <v>0</v>
      </c>
      <c r="G311" s="889">
        <f>'Quant.AÇO-Concreto_REator'!N22</f>
        <v>0</v>
      </c>
      <c r="H311" s="889">
        <f>'Quant.AÇO-Concreto_REator'!O22</f>
        <v>0</v>
      </c>
      <c r="I311" s="889">
        <f>'Quant.AÇO-Concreto_REator'!P22</f>
        <v>0</v>
      </c>
      <c r="J311" s="889">
        <f>'Quant.AÇO-Concreto_REator'!Q22</f>
        <v>0</v>
      </c>
      <c r="K311" s="889">
        <f>'Quant.AÇO-Concreto_REator'!R22</f>
        <v>0</v>
      </c>
      <c r="L311" s="889">
        <f>'Quant.AÇO-Concreto_REator'!S22</f>
        <v>0</v>
      </c>
      <c r="M311" s="827">
        <f t="shared" si="20"/>
        <v>0</v>
      </c>
      <c r="N311" s="1231"/>
    </row>
    <row r="312" spans="1:15" s="863" customFormat="1">
      <c r="A312" s="862"/>
      <c r="B312" s="835"/>
      <c r="C312" s="835"/>
      <c r="D312" s="888" t="s">
        <v>21074</v>
      </c>
      <c r="E312" s="700" t="s">
        <v>33</v>
      </c>
      <c r="F312" s="889">
        <f>'Quant.AÇO-Concreto_REator'!M23</f>
        <v>0</v>
      </c>
      <c r="G312" s="889">
        <f>'Quant.AÇO-Concreto_REator'!N23</f>
        <v>0</v>
      </c>
      <c r="H312" s="889">
        <f>'Quant.AÇO-Concreto_REator'!O23</f>
        <v>0</v>
      </c>
      <c r="I312" s="889">
        <f>'Quant.AÇO-Concreto_REator'!P23</f>
        <v>0</v>
      </c>
      <c r="J312" s="889">
        <f>'Quant.AÇO-Concreto_REator'!Q23</f>
        <v>0</v>
      </c>
      <c r="K312" s="889">
        <f>'Quant.AÇO-Concreto_REator'!R23</f>
        <v>0</v>
      </c>
      <c r="L312" s="889">
        <f>'Quant.AÇO-Concreto_REator'!S23</f>
        <v>0</v>
      </c>
      <c r="M312" s="827">
        <f t="shared" si="20"/>
        <v>0</v>
      </c>
      <c r="N312" s="1231"/>
    </row>
    <row r="313" spans="1:15" s="863" customFormat="1">
      <c r="A313" s="862"/>
      <c r="B313" s="835"/>
      <c r="C313" s="835"/>
      <c r="D313" s="888" t="s">
        <v>21075</v>
      </c>
      <c r="E313" s="700" t="s">
        <v>33</v>
      </c>
      <c r="F313" s="889">
        <f>'Quant.AÇO-Concreto_REator'!M24</f>
        <v>0</v>
      </c>
      <c r="G313" s="889">
        <f>'Quant.AÇO-Concreto_REator'!N24</f>
        <v>0</v>
      </c>
      <c r="H313" s="889">
        <f>'Quant.AÇO-Concreto_REator'!O24</f>
        <v>0</v>
      </c>
      <c r="I313" s="889">
        <f>'Quant.AÇO-Concreto_REator'!P24</f>
        <v>0</v>
      </c>
      <c r="J313" s="889">
        <f>'Quant.AÇO-Concreto_REator'!Q24</f>
        <v>0</v>
      </c>
      <c r="K313" s="889">
        <f>'Quant.AÇO-Concreto_REator'!R24</f>
        <v>0</v>
      </c>
      <c r="L313" s="889">
        <f>'Quant.AÇO-Concreto_REator'!S24</f>
        <v>0</v>
      </c>
      <c r="M313" s="827">
        <f t="shared" si="20"/>
        <v>0</v>
      </c>
      <c r="N313" s="1231"/>
    </row>
    <row r="314" spans="1:15" s="863" customFormat="1">
      <c r="A314" s="862"/>
      <c r="B314" s="835"/>
      <c r="C314" s="835"/>
      <c r="D314" s="888" t="s">
        <v>21076</v>
      </c>
      <c r="E314" s="700" t="s">
        <v>33</v>
      </c>
      <c r="F314" s="889">
        <f>'Quant.AÇO-Concreto_REator'!M25</f>
        <v>81.518845360824756</v>
      </c>
      <c r="G314" s="889">
        <f>'Quant.AÇO-Concreto_REator'!N25</f>
        <v>0</v>
      </c>
      <c r="H314" s="889">
        <f>'Quant.AÇO-Concreto_REator'!O25</f>
        <v>0</v>
      </c>
      <c r="I314" s="889">
        <f>'Quant.AÇO-Concreto_REator'!P25</f>
        <v>0</v>
      </c>
      <c r="J314" s="889">
        <f>'Quant.AÇO-Concreto_REator'!Q25</f>
        <v>506.00907216494852</v>
      </c>
      <c r="K314" s="889">
        <f>'Quant.AÇO-Concreto_REator'!R25</f>
        <v>0</v>
      </c>
      <c r="L314" s="889">
        <f>'Quant.AÇO-Concreto_REator'!S25</f>
        <v>0</v>
      </c>
      <c r="M314" s="827">
        <f t="shared" si="20"/>
        <v>587.52791752577332</v>
      </c>
      <c r="N314" s="1231"/>
    </row>
    <row r="315" spans="1:15" s="863" customFormat="1">
      <c r="A315" s="862"/>
      <c r="B315" s="835"/>
      <c r="C315" s="835"/>
      <c r="D315" s="888" t="s">
        <v>12641</v>
      </c>
      <c r="E315" s="700" t="s">
        <v>33</v>
      </c>
      <c r="F315" s="889">
        <f>'Quant.AÇO-Concreto_REator'!M26</f>
        <v>0</v>
      </c>
      <c r="G315" s="889">
        <f>'Quant.AÇO-Concreto_REator'!N26</f>
        <v>0</v>
      </c>
      <c r="H315" s="889">
        <f>'Quant.AÇO-Concreto_REator'!O26</f>
        <v>2093.8556701030934</v>
      </c>
      <c r="I315" s="889">
        <f>'Quant.AÇO-Concreto_REator'!P26</f>
        <v>0</v>
      </c>
      <c r="J315" s="889">
        <f>'Quant.AÇO-Concreto_REator'!Q26</f>
        <v>6503.6263917525775</v>
      </c>
      <c r="K315" s="889">
        <f>'Quant.AÇO-Concreto_REator'!R26</f>
        <v>0</v>
      </c>
      <c r="L315" s="889">
        <f>'Quant.AÇO-Concreto_REator'!S26</f>
        <v>404.84536082474233</v>
      </c>
      <c r="M315" s="827">
        <f t="shared" si="20"/>
        <v>9002.3274226804133</v>
      </c>
      <c r="N315" s="1231"/>
    </row>
    <row r="316" spans="1:15" s="863" customFormat="1" ht="12.75" customHeight="1">
      <c r="A316" s="862"/>
      <c r="B316" s="835"/>
      <c r="C316" s="835"/>
      <c r="D316" s="888" t="s">
        <v>12642</v>
      </c>
      <c r="E316" s="700" t="s">
        <v>33</v>
      </c>
      <c r="F316" s="889">
        <f>'Quant.AÇO-Concreto_REator'!M27</f>
        <v>0</v>
      </c>
      <c r="G316" s="889">
        <f>'Quant.AÇO-Concreto_REator'!N27</f>
        <v>0</v>
      </c>
      <c r="H316" s="889">
        <f>'Quant.AÇO-Concreto_REator'!O27</f>
        <v>243.04000000000002</v>
      </c>
      <c r="I316" s="889">
        <f>'Quant.AÇO-Concreto_REator'!P27</f>
        <v>28.022399999999998</v>
      </c>
      <c r="J316" s="889">
        <f>'Quant.AÇO-Concreto_REator'!Q27</f>
        <v>49.28</v>
      </c>
      <c r="K316" s="889">
        <f>'Quant.AÇO-Concreto_REator'!R27</f>
        <v>0</v>
      </c>
      <c r="L316" s="889">
        <f>'Quant.AÇO-Concreto_REator'!S27</f>
        <v>0</v>
      </c>
      <c r="M316" s="827">
        <f t="shared" si="20"/>
        <v>320.3424</v>
      </c>
      <c r="N316" s="1231"/>
    </row>
    <row r="317" spans="1:15" s="863" customFormat="1" ht="12.75" customHeight="1">
      <c r="A317" s="862"/>
      <c r="B317" s="835"/>
      <c r="C317" s="835"/>
      <c r="D317" s="1235" t="s">
        <v>12630</v>
      </c>
      <c r="E317" s="700" t="s">
        <v>33</v>
      </c>
      <c r="F317" s="889">
        <f>'Quant.AÇO-Concreto_REator'!M28</f>
        <v>0</v>
      </c>
      <c r="G317" s="889">
        <f>'Quant.AÇO-Concreto_REator'!N28</f>
        <v>0</v>
      </c>
      <c r="H317" s="889">
        <f>'Quant.AÇO-Concreto_REator'!O28</f>
        <v>360.8</v>
      </c>
      <c r="I317" s="889">
        <f>'Quant.AÇO-Concreto_REator'!P28</f>
        <v>26.46</v>
      </c>
      <c r="J317" s="889">
        <f>'Quant.AÇO-Concreto_REator'!Q28</f>
        <v>48</v>
      </c>
      <c r="K317" s="889">
        <f>'Quant.AÇO-Concreto_REator'!R28</f>
        <v>0</v>
      </c>
      <c r="L317" s="889">
        <f>'Quant.AÇO-Concreto_REator'!S28</f>
        <v>0</v>
      </c>
      <c r="M317" s="827">
        <f t="shared" si="20"/>
        <v>435.26</v>
      </c>
      <c r="N317" s="1231"/>
    </row>
    <row r="318" spans="1:15" s="863" customFormat="1">
      <c r="A318" s="862"/>
      <c r="B318" s="835"/>
      <c r="C318" s="835"/>
      <c r="D318" s="1235" t="s">
        <v>12631</v>
      </c>
      <c r="E318" s="700" t="s">
        <v>33</v>
      </c>
      <c r="F318" s="889">
        <f>'Quant.AÇO-Concreto_REator'!M29</f>
        <v>1214.4000000000001</v>
      </c>
      <c r="G318" s="889">
        <f>'Quant.AÇO-Concreto_REator'!N29</f>
        <v>7383.5</v>
      </c>
      <c r="H318" s="889">
        <f>'Quant.AÇO-Concreto_REator'!O29</f>
        <v>1368</v>
      </c>
      <c r="I318" s="889">
        <f>'Quant.AÇO-Concreto_REator'!P29</f>
        <v>754.74</v>
      </c>
      <c r="J318" s="889">
        <f>'Quant.AÇO-Concreto_REator'!Q29</f>
        <v>1908</v>
      </c>
      <c r="K318" s="889">
        <f>'Quant.AÇO-Concreto_REator'!R29</f>
        <v>5212.8</v>
      </c>
      <c r="L318" s="889">
        <f>'Quant.AÇO-Concreto_REator'!S29</f>
        <v>0</v>
      </c>
      <c r="M318" s="827">
        <f t="shared" si="20"/>
        <v>17841.439999999999</v>
      </c>
      <c r="N318" s="1231"/>
    </row>
    <row r="319" spans="1:15" s="1218" customFormat="1">
      <c r="A319" s="1216"/>
      <c r="B319" s="1217"/>
      <c r="C319" s="1217"/>
      <c r="D319" s="1236" t="s">
        <v>27</v>
      </c>
      <c r="E319" s="1237"/>
      <c r="F319" s="1237">
        <f t="shared" ref="F319:M319" si="21">SUM(F309:F318)</f>
        <v>1344.1108453608249</v>
      </c>
      <c r="G319" s="1237">
        <f t="shared" si="21"/>
        <v>7383.5</v>
      </c>
      <c r="H319" s="1237">
        <f t="shared" si="21"/>
        <v>4116.8956701030929</v>
      </c>
      <c r="I319" s="1237">
        <f t="shared" si="21"/>
        <v>809.22239999999999</v>
      </c>
      <c r="J319" s="1237">
        <f t="shared" si="21"/>
        <v>9091.715463917526</v>
      </c>
      <c r="K319" s="1237">
        <f t="shared" si="21"/>
        <v>5212.8</v>
      </c>
      <c r="L319" s="1237">
        <f t="shared" si="21"/>
        <v>404.84536082474233</v>
      </c>
      <c r="M319" s="1237">
        <f t="shared" si="21"/>
        <v>28363.089740206186</v>
      </c>
      <c r="N319" s="1231">
        <f>M319/M293</f>
        <v>53.54939988764572</v>
      </c>
    </row>
    <row r="320" spans="1:15" s="863" customFormat="1" ht="38.25" customHeight="1">
      <c r="A320" s="912" t="s">
        <v>20372</v>
      </c>
      <c r="B320" s="835" t="s">
        <v>70</v>
      </c>
      <c r="C320" s="835">
        <v>92915</v>
      </c>
      <c r="D320" s="836" t="str">
        <f>PROPER(IF(B320="Saneago",VLOOKUP(C320,'SANEAGO-FEV.2016'!A:B,2,0),IF(B320="Sinapi",VLOOKUP(C320,'SINAPI-FEV.2017'!A:D,2,0),IF(B320="Cotação",VLOOKUP(C320,COTAÇÃO!A:D,2,0),IF(B320="Composição",VLOOKUP(C320,COMPOSIÇÃO!A:D,2,0))))))</f>
        <v>Armação De Estruturas De Concreto Armado, Exceto Vigas, Pilares, Lajes E Fundações Profundas (De Edifícios De Múltiplos Pavimentos, Edificação Térrea Ou Sobrado), Utilizando Aço Ca-60 De 5.0 Mm - Montagem. Af_12/2015</v>
      </c>
      <c r="E320" s="837"/>
      <c r="F320" s="837"/>
      <c r="G320" s="838"/>
      <c r="H320" s="838"/>
      <c r="I320" s="838"/>
      <c r="J320" s="913"/>
      <c r="K320" s="852" t="s">
        <v>27</v>
      </c>
      <c r="L320" s="852" t="s">
        <v>33</v>
      </c>
      <c r="M320" s="853">
        <f>F319</f>
        <v>1344.1108453608249</v>
      </c>
      <c r="N320" s="1231"/>
    </row>
    <row r="321" spans="1:14" s="863" customFormat="1">
      <c r="A321" s="912"/>
      <c r="B321" s="835"/>
      <c r="C321" s="835"/>
      <c r="D321" s="826"/>
      <c r="E321" s="790"/>
      <c r="F321" s="790"/>
      <c r="G321" s="828"/>
      <c r="H321" s="828"/>
      <c r="I321" s="828"/>
      <c r="J321" s="954"/>
      <c r="K321" s="700"/>
      <c r="L321" s="700"/>
      <c r="M321" s="829"/>
      <c r="N321" s="1231"/>
    </row>
    <row r="322" spans="1:14" s="863" customFormat="1" ht="33.75">
      <c r="A322" s="912" t="s">
        <v>20373</v>
      </c>
      <c r="B322" s="835" t="s">
        <v>70</v>
      </c>
      <c r="C322" s="835">
        <v>92916</v>
      </c>
      <c r="D322" s="836" t="str">
        <f>PROPER(IF(B322="Saneago",VLOOKUP(C322,'SANEAGO-FEV.2016'!A:B,2,0),IF(B322="Sinapi",VLOOKUP(C322,'SINAPI-FEV.2017'!A:D,2,0),IF(B322="Cotação",VLOOKUP(C322,COTAÇÃO!A:D,2,0),IF(B322="Composição",VLOOKUP(C322,COMPOSIÇÃO!A:D,2,0))))))</f>
        <v>Armação De Estruturas De Concreto Armado, Exceto Vigas, Pilares, Lajes E Fundações Profundas (De Edifícios De Múltiplos Pavimentos, Edificação Térrea Ou Sobrado), Utilizando Aço Ca-50 De 6.3 Mm - Montagem. Af_12/2015</v>
      </c>
      <c r="E322" s="837"/>
      <c r="F322" s="837"/>
      <c r="G322" s="838"/>
      <c r="H322" s="838"/>
      <c r="I322" s="838"/>
      <c r="J322" s="913"/>
      <c r="K322" s="852" t="s">
        <v>27</v>
      </c>
      <c r="L322" s="852" t="s">
        <v>33</v>
      </c>
      <c r="M322" s="853">
        <f>G319</f>
        <v>7383.5</v>
      </c>
      <c r="N322" s="1231"/>
    </row>
    <row r="323" spans="1:14" s="863" customFormat="1">
      <c r="A323" s="912"/>
      <c r="B323" s="835"/>
      <c r="C323" s="835"/>
      <c r="D323" s="826"/>
      <c r="E323" s="790"/>
      <c r="F323" s="790"/>
      <c r="G323" s="828"/>
      <c r="H323" s="828"/>
      <c r="I323" s="828"/>
      <c r="J323" s="954"/>
      <c r="K323" s="700"/>
      <c r="L323" s="700"/>
      <c r="M323" s="829"/>
      <c r="N323" s="1231"/>
    </row>
    <row r="324" spans="1:14" s="863" customFormat="1" ht="33.75">
      <c r="A324" s="912" t="s">
        <v>20374</v>
      </c>
      <c r="B324" s="835" t="s">
        <v>70</v>
      </c>
      <c r="C324" s="835">
        <v>92917</v>
      </c>
      <c r="D324" s="836" t="str">
        <f>PROPER(IF(B324="Saneago",VLOOKUP(C324,'SANEAGO-FEV.2016'!A:B,2,0),IF(B324="Sinapi",VLOOKUP(C324,'SINAPI-FEV.2017'!A:D,2,0),IF(B324="Cotação",VLOOKUP(C324,COTAÇÃO!A:D,2,0),IF(B324="Composição",VLOOKUP(C324,COMPOSIÇÃO!A:D,2,0))))))</f>
        <v>Armação De Estruturas De Concreto Armado, Exceto Vigas, Pilares, Lajes E Fundações Profundas (De Edifícios De Múltiplos Pavimentos, Edificação Térrea Ou Sobrado), Utilizando Aço Ca-50 De 8.0 Mm - Montagem. Af_12/2015</v>
      </c>
      <c r="E324" s="837"/>
      <c r="F324" s="837"/>
      <c r="G324" s="838"/>
      <c r="H324" s="838"/>
      <c r="I324" s="838"/>
      <c r="J324" s="913"/>
      <c r="K324" s="852" t="s">
        <v>27</v>
      </c>
      <c r="L324" s="852" t="s">
        <v>33</v>
      </c>
      <c r="M324" s="853">
        <f>H319</f>
        <v>4116.8956701030929</v>
      </c>
      <c r="N324" s="1231"/>
    </row>
    <row r="325" spans="1:14" s="863" customFormat="1">
      <c r="A325" s="912"/>
      <c r="B325" s="835"/>
      <c r="C325" s="835"/>
      <c r="D325" s="826"/>
      <c r="E325" s="790"/>
      <c r="F325" s="790"/>
      <c r="G325" s="828"/>
      <c r="H325" s="828"/>
      <c r="I325" s="828"/>
      <c r="J325" s="954"/>
      <c r="K325" s="700"/>
      <c r="L325" s="700"/>
      <c r="M325" s="829"/>
      <c r="N325" s="1231"/>
    </row>
    <row r="326" spans="1:14" s="863" customFormat="1" ht="33.75">
      <c r="A326" s="912" t="s">
        <v>20375</v>
      </c>
      <c r="B326" s="835" t="s">
        <v>70</v>
      </c>
      <c r="C326" s="835">
        <v>92919</v>
      </c>
      <c r="D326" s="836" t="str">
        <f>PROPER(IF(B326="Saneago",VLOOKUP(C326,'SANEAGO-FEV.2016'!A:B,2,0),IF(B326="Sinapi",VLOOKUP(C326,'SINAPI-FEV.2017'!A:D,2,0),IF(B326="Cotação",VLOOKUP(C326,COTAÇÃO!A:D,2,0),IF(B326="Composição",VLOOKUP(C326,COMPOSIÇÃO!A:D,2,0))))))</f>
        <v>Armação De Estruturas De Concreto Armado, Exceto Vigas, Pilares, Lajes E Fundações Profundas (De Edifícios De Múltiplos Pavimentos, Edificação Térrea Ou Sobrado), Utilizando Aço Ca-50 De 10.0 Mm - Montagem. Af_12/2015</v>
      </c>
      <c r="E326" s="837"/>
      <c r="F326" s="837"/>
      <c r="G326" s="838"/>
      <c r="H326" s="838"/>
      <c r="I326" s="838"/>
      <c r="J326" s="913"/>
      <c r="K326" s="852" t="s">
        <v>27</v>
      </c>
      <c r="L326" s="852" t="s">
        <v>33</v>
      </c>
      <c r="M326" s="853">
        <f>I319</f>
        <v>809.22239999999999</v>
      </c>
      <c r="N326" s="1231"/>
    </row>
    <row r="327" spans="1:14" s="863" customFormat="1">
      <c r="A327" s="912"/>
      <c r="B327" s="835"/>
      <c r="C327" s="835"/>
      <c r="D327" s="826"/>
      <c r="E327" s="790"/>
      <c r="F327" s="790"/>
      <c r="G327" s="828"/>
      <c r="H327" s="828"/>
      <c r="I327" s="828"/>
      <c r="J327" s="954"/>
      <c r="K327" s="700"/>
      <c r="L327" s="700"/>
      <c r="M327" s="829"/>
      <c r="N327" s="1231"/>
    </row>
    <row r="328" spans="1:14" s="863" customFormat="1" ht="33.75">
      <c r="A328" s="912" t="s">
        <v>20376</v>
      </c>
      <c r="B328" s="835" t="s">
        <v>70</v>
      </c>
      <c r="C328" s="835">
        <v>92921</v>
      </c>
      <c r="D328" s="836" t="str">
        <f>PROPER(IF(B328="Saneago",VLOOKUP(C328,'SANEAGO-FEV.2016'!A:B,2,0),IF(B328="Sinapi",VLOOKUP(C328,'SINAPI-FEV.2017'!A:D,2,0),IF(B328="Cotação",VLOOKUP(C328,COTAÇÃO!A:D,2,0),IF(B328="Composição",VLOOKUP(C328,COMPOSIÇÃO!A:D,2,0))))))</f>
        <v>Armação De Estruturas De Concreto Armado, Exceto Vigas, Pilares, Lajes E Fundações Profundas (De Edifícios De Múltiplos Pavimentos, Edificação Térrea Ou Sobrado), Utilizando Aço Ca-50 De 12.5 Mm - Montagem. Af_12/2015</v>
      </c>
      <c r="E328" s="837"/>
      <c r="F328" s="837"/>
      <c r="G328" s="838"/>
      <c r="H328" s="838"/>
      <c r="I328" s="838"/>
      <c r="J328" s="913"/>
      <c r="K328" s="852" t="s">
        <v>27</v>
      </c>
      <c r="L328" s="852" t="s">
        <v>33</v>
      </c>
      <c r="M328" s="853">
        <f>J319</f>
        <v>9091.715463917526</v>
      </c>
      <c r="N328" s="1231"/>
    </row>
    <row r="329" spans="1:14" s="863" customFormat="1">
      <c r="A329" s="912"/>
      <c r="B329" s="835"/>
      <c r="C329" s="835"/>
      <c r="D329" s="826"/>
      <c r="E329" s="790"/>
      <c r="F329" s="790"/>
      <c r="G329" s="828"/>
      <c r="H329" s="828"/>
      <c r="I329" s="828"/>
      <c r="J329" s="954"/>
      <c r="K329" s="700"/>
      <c r="L329" s="700"/>
      <c r="M329" s="829"/>
      <c r="N329" s="1231"/>
    </row>
    <row r="330" spans="1:14" s="863" customFormat="1" ht="34.5" customHeight="1">
      <c r="A330" s="912" t="s">
        <v>20377</v>
      </c>
      <c r="B330" s="835" t="s">
        <v>70</v>
      </c>
      <c r="C330" s="835">
        <v>92922</v>
      </c>
      <c r="D330" s="836" t="str">
        <f>PROPER(IF(B330="Saneago",VLOOKUP(C330,'SANEAGO-FEV.2016'!A:B,2,0),IF(B330="Sinapi",VLOOKUP(C330,'SINAPI-FEV.2017'!A:D,2,0),IF(B330="Cotação",VLOOKUP(C330,COTAÇÃO!A:D,2,0),IF(B330="Composição",VLOOKUP(C330,COMPOSIÇÃO!A:D,2,0))))))</f>
        <v>Armação De Estruturas De Concreto Armado, Exceto Vigas, Pilares, Lajes E Fundações Profundas (De Edifícios De Múltiplos Pavimentos, Edificação Térrea Ou Sobrado), Utilizando Aço Ca-50 De 16.0 Mm - Montagem. Af_12/2015</v>
      </c>
      <c r="E330" s="837"/>
      <c r="F330" s="837"/>
      <c r="G330" s="838"/>
      <c r="H330" s="838"/>
      <c r="I330" s="838"/>
      <c r="J330" s="913"/>
      <c r="K330" s="852" t="s">
        <v>27</v>
      </c>
      <c r="L330" s="852" t="s">
        <v>33</v>
      </c>
      <c r="M330" s="853">
        <f>K319</f>
        <v>5212.8</v>
      </c>
      <c r="N330" s="1231"/>
    </row>
    <row r="331" spans="1:14" s="863" customFormat="1">
      <c r="A331" s="862"/>
      <c r="B331" s="835"/>
      <c r="C331" s="835"/>
      <c r="D331" s="826"/>
      <c r="E331" s="790"/>
      <c r="F331" s="790"/>
      <c r="G331" s="828" t="s">
        <v>30</v>
      </c>
      <c r="H331" s="828" t="s">
        <v>30</v>
      </c>
      <c r="I331" s="828" t="s">
        <v>30</v>
      </c>
      <c r="J331" s="828" t="s">
        <v>30</v>
      </c>
      <c r="K331" s="828" t="s">
        <v>30</v>
      </c>
      <c r="L331" s="828" t="s">
        <v>30</v>
      </c>
      <c r="M331" s="877"/>
      <c r="N331" s="1231"/>
    </row>
    <row r="332" spans="1:14" s="863" customFormat="1" ht="34.5" customHeight="1">
      <c r="A332" s="912" t="s">
        <v>20378</v>
      </c>
      <c r="B332" s="835" t="s">
        <v>70</v>
      </c>
      <c r="C332" s="835">
        <v>92923</v>
      </c>
      <c r="D332" s="836" t="str">
        <f>PROPER(IF(B332="Saneago",VLOOKUP(C332,'SANEAGO-FEV.2016'!A:B,2,0),IF(B332="Sinapi",VLOOKUP(C332,'SINAPI-FEV.2017'!A:D,2,0),IF(B332="Cotação",VLOOKUP(C332,COTAÇÃO!A:D,2,0),IF(B332="Composição",VLOOKUP(C332,COMPOSIÇÃO!A:D,2,0))))))</f>
        <v>Armação De Estruturas De Concreto Armado, Exceto Vigas, Pilares, Lajes E Fundações Profundas (De Edifícios De Múltiplos Pavimentos, Edificação Térrea Ou Sobrado), Utilizando Aço Ca-50 De 20.0 Mm - Montagem. Af_12/2015</v>
      </c>
      <c r="E332" s="837"/>
      <c r="F332" s="837"/>
      <c r="G332" s="838"/>
      <c r="H332" s="838"/>
      <c r="I332" s="838"/>
      <c r="J332" s="913"/>
      <c r="K332" s="852" t="s">
        <v>27</v>
      </c>
      <c r="L332" s="852" t="s">
        <v>33</v>
      </c>
      <c r="M332" s="853">
        <f>L319</f>
        <v>404.84536082474233</v>
      </c>
      <c r="N332" s="1231"/>
    </row>
    <row r="333" spans="1:14" s="863" customFormat="1">
      <c r="A333" s="862"/>
      <c r="B333" s="835"/>
      <c r="C333" s="835"/>
      <c r="D333" s="826"/>
      <c r="E333" s="790"/>
      <c r="F333" s="790"/>
      <c r="G333" s="828" t="s">
        <v>30</v>
      </c>
      <c r="H333" s="828" t="s">
        <v>30</v>
      </c>
      <c r="I333" s="828" t="s">
        <v>30</v>
      </c>
      <c r="J333" s="828" t="s">
        <v>30</v>
      </c>
      <c r="K333" s="828" t="s">
        <v>30</v>
      </c>
      <c r="L333" s="828" t="s">
        <v>30</v>
      </c>
      <c r="M333" s="877" t="s">
        <v>30</v>
      </c>
      <c r="N333" s="876"/>
    </row>
    <row r="334" spans="1:14" s="863" customFormat="1">
      <c r="A334" s="862" t="s">
        <v>12566</v>
      </c>
      <c r="B334" s="835" t="s">
        <v>70</v>
      </c>
      <c r="C334" s="835" t="s">
        <v>19257</v>
      </c>
      <c r="D334" s="836" t="str">
        <f>PROPER(IF(B334="Saneago",VLOOKUP(C334,'SANEAGO-FEV.2016'!A:B,2,0),IF(B334="Sinapi",VLOOKUP(C334,'SINAPI-FEV.2017'!A:D,2,0),IF(B334="Cotação",VLOOKUP(C334,COTAÇÃO!A:D,2,0),IF(B334="Composição",VLOOKUP(C334,COMPOSIÇÃO!A:D,2,0))))))</f>
        <v>Ensaio De Consistencia Do Concreto Ccr - Indice Vebe</v>
      </c>
      <c r="E334" s="837"/>
      <c r="F334" s="837"/>
      <c r="G334" s="838"/>
      <c r="H334" s="838"/>
      <c r="I334" s="838"/>
      <c r="J334" s="838"/>
      <c r="K334" s="838"/>
      <c r="L334" s="852" t="s">
        <v>26</v>
      </c>
      <c r="M334" s="853">
        <f>ROUNDUP(M291/50,0)</f>
        <v>6</v>
      </c>
      <c r="N334" s="876"/>
    </row>
    <row r="335" spans="1:14" s="863" customFormat="1" ht="13.5" thickBot="1">
      <c r="A335" s="862"/>
      <c r="B335" s="835"/>
      <c r="C335" s="835"/>
      <c r="D335" s="826"/>
      <c r="E335" s="790"/>
      <c r="F335" s="790"/>
      <c r="G335" s="828"/>
      <c r="H335" s="828"/>
      <c r="I335" s="828"/>
      <c r="J335" s="828"/>
      <c r="K335" s="828"/>
      <c r="L335" s="700"/>
      <c r="M335" s="829"/>
      <c r="N335" s="876"/>
    </row>
    <row r="336" spans="1:14" s="863" customFormat="1" ht="14.25" thickTop="1" thickBot="1">
      <c r="A336" s="862"/>
      <c r="B336" s="835"/>
      <c r="C336" s="835"/>
      <c r="D336" s="830" t="s">
        <v>14309</v>
      </c>
      <c r="E336" s="831"/>
      <c r="F336" s="831"/>
      <c r="G336" s="831"/>
      <c r="H336" s="831"/>
      <c r="I336" s="831"/>
      <c r="J336" s="831"/>
      <c r="K336" s="831"/>
      <c r="L336" s="832" t="s">
        <v>25</v>
      </c>
      <c r="M336" s="833" t="s">
        <v>27</v>
      </c>
      <c r="N336" s="876"/>
    </row>
    <row r="337" spans="1:15" s="863" customFormat="1" ht="13.5" thickTop="1">
      <c r="A337" s="862"/>
      <c r="B337" s="835"/>
      <c r="C337" s="835"/>
      <c r="D337" s="826"/>
      <c r="E337" s="790"/>
      <c r="F337" s="790"/>
      <c r="G337" s="828" t="s">
        <v>30</v>
      </c>
      <c r="H337" s="828" t="s">
        <v>30</v>
      </c>
      <c r="I337" s="828" t="s">
        <v>30</v>
      </c>
      <c r="J337" s="828" t="s">
        <v>30</v>
      </c>
      <c r="K337" s="828" t="s">
        <v>30</v>
      </c>
      <c r="L337" s="828" t="s">
        <v>30</v>
      </c>
      <c r="M337" s="877" t="s">
        <v>30</v>
      </c>
      <c r="N337" s="876"/>
    </row>
    <row r="338" spans="1:15" s="863" customFormat="1">
      <c r="A338" s="862" t="s">
        <v>14308</v>
      </c>
      <c r="B338" s="835" t="s">
        <v>13957</v>
      </c>
      <c r="C338" s="835" t="s">
        <v>14310</v>
      </c>
      <c r="D338" s="836" t="str">
        <f>PROPER(IF(B338="Saneago",VLOOKUP(C338,'SANEAGO-FEV.2016'!A:B,2,0),IF(B338="Sinapi",VLOOKUP(C338,'SINAPI-FEV.2017'!A:D,2,0),IF(B338="Cotação",VLOOKUP(C338,COTAÇÃO!A:D,2,0),IF(B338="Composição",VLOOKUP(C338,COMPOSIÇÃO!A:D,2,0))))))</f>
        <v>Tamponamento Dos Furos Em Paredes De Concreto Aparente</v>
      </c>
      <c r="E338" s="837"/>
      <c r="F338" s="837"/>
      <c r="G338" s="838"/>
      <c r="H338" s="838"/>
      <c r="I338" s="838"/>
      <c r="J338" s="838"/>
      <c r="K338" s="838"/>
      <c r="L338" s="852" t="s">
        <v>26</v>
      </c>
      <c r="M338" s="885">
        <v>1400</v>
      </c>
      <c r="N338" s="876"/>
    </row>
    <row r="339" spans="1:15" s="863" customFormat="1">
      <c r="A339" s="862"/>
      <c r="B339" s="835"/>
      <c r="C339" s="835"/>
      <c r="D339" s="826"/>
      <c r="E339" s="790"/>
      <c r="F339" s="790"/>
      <c r="G339" s="828" t="s">
        <v>30</v>
      </c>
      <c r="H339" s="828" t="s">
        <v>30</v>
      </c>
      <c r="I339" s="828" t="s">
        <v>30</v>
      </c>
      <c r="J339" s="828" t="s">
        <v>30</v>
      </c>
      <c r="K339" s="828" t="s">
        <v>30</v>
      </c>
      <c r="L339" s="828" t="s">
        <v>30</v>
      </c>
      <c r="M339" s="1238" t="s">
        <v>30</v>
      </c>
      <c r="N339" s="876"/>
    </row>
    <row r="340" spans="1:15" s="863" customFormat="1">
      <c r="A340" s="862" t="s">
        <v>14316</v>
      </c>
      <c r="B340" s="835" t="s">
        <v>13957</v>
      </c>
      <c r="C340" s="835" t="s">
        <v>14312</v>
      </c>
      <c r="D340" s="836" t="str">
        <f>PROPER(IF(B340="Saneago",VLOOKUP(C340,'SANEAGO-FEV.2016'!A:B,2,0),IF(B340="Sinapi",VLOOKUP(C340,'SINAPI-FEV.2017'!A:D,2,0),IF(B340="Cotação",VLOOKUP(C340,COTAÇÃO!A:D,2,0),IF(B340="Composição",VLOOKUP(C340,COMPOSIÇÃO!A:D,2,0))))))</f>
        <v>Jateamento Com Areia Em Estrutura Metálica (Aço Ca-50)</v>
      </c>
      <c r="E340" s="837"/>
      <c r="F340" s="837"/>
      <c r="G340" s="838"/>
      <c r="H340" s="838"/>
      <c r="I340" s="838"/>
      <c r="J340" s="838"/>
      <c r="K340" s="838"/>
      <c r="L340" s="852" t="s">
        <v>21</v>
      </c>
      <c r="M340" s="885">
        <v>860</v>
      </c>
      <c r="N340" s="876"/>
    </row>
    <row r="341" spans="1:15" s="863" customFormat="1">
      <c r="A341" s="862"/>
      <c r="B341" s="835"/>
      <c r="C341" s="835"/>
      <c r="D341" s="826"/>
      <c r="E341" s="790"/>
      <c r="F341" s="790"/>
      <c r="G341" s="828" t="s">
        <v>30</v>
      </c>
      <c r="H341" s="828" t="s">
        <v>30</v>
      </c>
      <c r="I341" s="828" t="s">
        <v>30</v>
      </c>
      <c r="J341" s="828" t="s">
        <v>30</v>
      </c>
      <c r="K341" s="828" t="s">
        <v>30</v>
      </c>
      <c r="L341" s="828" t="s">
        <v>30</v>
      </c>
      <c r="M341" s="1238" t="s">
        <v>30</v>
      </c>
      <c r="N341" s="876"/>
    </row>
    <row r="342" spans="1:15" s="863" customFormat="1">
      <c r="A342" s="862" t="s">
        <v>12660</v>
      </c>
      <c r="B342" s="835" t="s">
        <v>13957</v>
      </c>
      <c r="C342" s="835" t="s">
        <v>14314</v>
      </c>
      <c r="D342" s="836" t="str">
        <f>PROPER(IF(B342="Saneago",VLOOKUP(C342,'SANEAGO-FEV.2016'!A:B,2,0),IF(B342="Sinapi",VLOOKUP(C342,'SINAPI-FEV.2017'!A:D,2,0),IF(B342="Cotação",VLOOKUP(C342,COTAÇÃO!A:D,2,0),IF(B342="Composição",VLOOKUP(C342,COMPOSIÇÃO!A:D,2,0))))))</f>
        <v>Regularização Da Superfície De Concreto Aparente</v>
      </c>
      <c r="E342" s="837"/>
      <c r="F342" s="837"/>
      <c r="G342" s="838"/>
      <c r="H342" s="838"/>
      <c r="I342" s="838"/>
      <c r="J342" s="838"/>
      <c r="K342" s="838"/>
      <c r="L342" s="852" t="s">
        <v>21</v>
      </c>
      <c r="M342" s="885">
        <v>160</v>
      </c>
      <c r="N342" s="876"/>
    </row>
    <row r="343" spans="1:15" s="863" customFormat="1" ht="13.5" thickBot="1">
      <c r="A343" s="862"/>
      <c r="B343" s="835"/>
      <c r="C343" s="835"/>
      <c r="D343" s="826"/>
      <c r="E343" s="790"/>
      <c r="F343" s="790"/>
      <c r="G343" s="700"/>
      <c r="H343" s="700"/>
      <c r="I343" s="700"/>
      <c r="J343" s="700"/>
      <c r="K343" s="700"/>
      <c r="L343" s="700"/>
      <c r="M343" s="827"/>
      <c r="N343" s="876"/>
    </row>
    <row r="344" spans="1:15" s="863" customFormat="1" ht="14.25" thickTop="1" thickBot="1">
      <c r="A344" s="862"/>
      <c r="B344" s="835"/>
      <c r="C344" s="835"/>
      <c r="D344" s="830" t="s">
        <v>55</v>
      </c>
      <c r="E344" s="831"/>
      <c r="F344" s="831"/>
      <c r="G344" s="831"/>
      <c r="H344" s="831"/>
      <c r="I344" s="831"/>
      <c r="J344" s="831"/>
      <c r="K344" s="831"/>
      <c r="L344" s="832" t="s">
        <v>25</v>
      </c>
      <c r="M344" s="833" t="s">
        <v>27</v>
      </c>
      <c r="N344" s="876"/>
    </row>
    <row r="345" spans="1:15" s="1218" customFormat="1" ht="13.5" thickTop="1">
      <c r="A345" s="1216"/>
      <c r="B345" s="1217"/>
      <c r="C345" s="1217"/>
      <c r="D345" s="929" t="s">
        <v>14324</v>
      </c>
      <c r="E345" s="901" t="s">
        <v>1275</v>
      </c>
      <c r="F345" s="901" t="s">
        <v>11684</v>
      </c>
      <c r="G345" s="901" t="s">
        <v>19</v>
      </c>
      <c r="H345" s="901" t="s">
        <v>32</v>
      </c>
      <c r="I345" s="901" t="s">
        <v>36</v>
      </c>
      <c r="J345" s="901" t="s">
        <v>12593</v>
      </c>
      <c r="K345" s="901" t="s">
        <v>30</v>
      </c>
      <c r="L345" s="901" t="s">
        <v>30</v>
      </c>
      <c r="M345" s="951" t="s">
        <v>30</v>
      </c>
      <c r="N345" s="879"/>
      <c r="O345" s="875"/>
    </row>
    <row r="346" spans="1:15" s="863" customFormat="1">
      <c r="A346" s="862"/>
      <c r="B346" s="835"/>
      <c r="C346" s="835"/>
      <c r="D346" s="888" t="s">
        <v>12518</v>
      </c>
      <c r="E346" s="700">
        <f>2*2</f>
        <v>4</v>
      </c>
      <c r="F346" s="828">
        <f>17.2</f>
        <v>17.2</v>
      </c>
      <c r="G346" s="828">
        <f>13.4</f>
        <v>13.4</v>
      </c>
      <c r="H346" s="828">
        <v>0.3</v>
      </c>
      <c r="I346" s="828" t="s">
        <v>30</v>
      </c>
      <c r="J346" s="828" t="s">
        <v>30</v>
      </c>
      <c r="K346" s="828"/>
      <c r="L346" s="828" t="s">
        <v>21</v>
      </c>
      <c r="M346" s="877">
        <f>E346*(F346*G346)</f>
        <v>921.92</v>
      </c>
      <c r="N346" s="876"/>
      <c r="O346" s="871"/>
    </row>
    <row r="347" spans="1:15" s="863" customFormat="1">
      <c r="A347" s="862"/>
      <c r="B347" s="835"/>
      <c r="C347" s="835"/>
      <c r="D347" s="888" t="s">
        <v>12620</v>
      </c>
      <c r="E347" s="700">
        <f>2*24*2</f>
        <v>96</v>
      </c>
      <c r="F347" s="828">
        <v>0.2</v>
      </c>
      <c r="G347" s="828">
        <v>0.2</v>
      </c>
      <c r="H347" s="828">
        <v>4.7</v>
      </c>
      <c r="I347" s="828" t="s">
        <v>30</v>
      </c>
      <c r="J347" s="828" t="s">
        <v>30</v>
      </c>
      <c r="K347" s="828"/>
      <c r="L347" s="828" t="s">
        <v>21</v>
      </c>
      <c r="M347" s="877">
        <f>E347*((2*F347+2*G347)*H347)</f>
        <v>360.96000000000004</v>
      </c>
      <c r="N347" s="876"/>
      <c r="O347" s="871"/>
    </row>
    <row r="348" spans="1:15" s="863" customFormat="1">
      <c r="A348" s="862"/>
      <c r="B348" s="835"/>
      <c r="C348" s="835"/>
      <c r="D348" s="888" t="s">
        <v>12594</v>
      </c>
      <c r="E348" s="700">
        <f>72*2</f>
        <v>144</v>
      </c>
      <c r="F348" s="828">
        <v>0.3</v>
      </c>
      <c r="G348" s="828">
        <v>0.05</v>
      </c>
      <c r="H348" s="828">
        <f>1.2+0.15</f>
        <v>1.3499999999999999</v>
      </c>
      <c r="I348" s="828"/>
      <c r="J348" s="828" t="s">
        <v>30</v>
      </c>
      <c r="K348" s="828"/>
      <c r="L348" s="828" t="s">
        <v>21</v>
      </c>
      <c r="M348" s="877">
        <f>E348*((2*F348+2*G348)*H348)</f>
        <v>136.07999999999998</v>
      </c>
      <c r="N348" s="876"/>
    </row>
    <row r="349" spans="1:15" s="863" customFormat="1" ht="12.75" customHeight="1">
      <c r="A349" s="862"/>
      <c r="B349" s="835"/>
      <c r="C349" s="835"/>
      <c r="D349" s="888" t="s">
        <v>12664</v>
      </c>
      <c r="E349" s="700">
        <v>4</v>
      </c>
      <c r="F349" s="828">
        <f>17.2</f>
        <v>17.2</v>
      </c>
      <c r="G349" s="828">
        <f>13.9-0.5</f>
        <v>13.4</v>
      </c>
      <c r="H349" s="828">
        <v>4.7</v>
      </c>
      <c r="I349" s="828">
        <v>0.25</v>
      </c>
      <c r="J349" s="828" t="s">
        <v>30</v>
      </c>
      <c r="K349" s="828"/>
      <c r="L349" s="828" t="s">
        <v>21</v>
      </c>
      <c r="M349" s="877">
        <f>E349*((2*F349+2*G349)*H349)</f>
        <v>1150.5600000000002</v>
      </c>
      <c r="N349" s="876"/>
    </row>
    <row r="350" spans="1:15" s="863" customFormat="1" ht="12.75" customHeight="1">
      <c r="A350" s="862"/>
      <c r="B350" s="835"/>
      <c r="C350" s="835"/>
      <c r="D350" s="888" t="s">
        <v>12665</v>
      </c>
      <c r="E350" s="700">
        <f>8*2*2</f>
        <v>32</v>
      </c>
      <c r="F350" s="828">
        <v>17.2</v>
      </c>
      <c r="G350" s="828" t="s">
        <v>30</v>
      </c>
      <c r="H350" s="828">
        <v>0.9</v>
      </c>
      <c r="I350" s="828">
        <v>0.2</v>
      </c>
      <c r="J350" s="828" t="s">
        <v>30</v>
      </c>
      <c r="K350" s="828"/>
      <c r="L350" s="828" t="s">
        <v>21</v>
      </c>
      <c r="M350" s="877">
        <f t="shared" ref="M350:M355" si="22">E350*((F350*I350)+(2*F350*H350))</f>
        <v>1100.8</v>
      </c>
      <c r="N350" s="876"/>
    </row>
    <row r="351" spans="1:15" s="863" customFormat="1" ht="12.75" customHeight="1">
      <c r="A351" s="862"/>
      <c r="B351" s="835"/>
      <c r="C351" s="835"/>
      <c r="D351" s="888" t="s">
        <v>12588</v>
      </c>
      <c r="E351" s="700">
        <f>4*2*2</f>
        <v>16</v>
      </c>
      <c r="F351" s="828">
        <v>2.4500000000000002</v>
      </c>
      <c r="G351" s="828" t="s">
        <v>30</v>
      </c>
      <c r="H351" s="828">
        <v>0.3</v>
      </c>
      <c r="I351" s="828">
        <v>0.2</v>
      </c>
      <c r="J351" s="828" t="s">
        <v>30</v>
      </c>
      <c r="K351" s="828"/>
      <c r="L351" s="828" t="s">
        <v>21</v>
      </c>
      <c r="M351" s="877">
        <f t="shared" si="22"/>
        <v>31.36</v>
      </c>
      <c r="N351" s="876"/>
    </row>
    <row r="352" spans="1:15" s="863" customFormat="1" ht="12.75" customHeight="1">
      <c r="A352" s="862"/>
      <c r="B352" s="835"/>
      <c r="C352" s="835"/>
      <c r="D352" s="888" t="s">
        <v>12589</v>
      </c>
      <c r="E352" s="700">
        <f>4*2*2</f>
        <v>16</v>
      </c>
      <c r="F352" s="828">
        <v>4.5</v>
      </c>
      <c r="G352" s="828" t="s">
        <v>30</v>
      </c>
      <c r="H352" s="828">
        <v>0.3</v>
      </c>
      <c r="I352" s="828">
        <v>0.2</v>
      </c>
      <c r="J352" s="828" t="s">
        <v>30</v>
      </c>
      <c r="K352" s="828"/>
      <c r="L352" s="828" t="s">
        <v>21</v>
      </c>
      <c r="M352" s="877">
        <f t="shared" si="22"/>
        <v>57.599999999999994</v>
      </c>
      <c r="N352" s="876"/>
    </row>
    <row r="353" spans="1:14" s="863" customFormat="1" ht="12.75" customHeight="1">
      <c r="A353" s="862"/>
      <c r="B353" s="835"/>
      <c r="C353" s="835"/>
      <c r="D353" s="888" t="s">
        <v>12590</v>
      </c>
      <c r="E353" s="700">
        <f>8*2*2</f>
        <v>32</v>
      </c>
      <c r="F353" s="828">
        <v>12.8</v>
      </c>
      <c r="G353" s="828" t="s">
        <v>30</v>
      </c>
      <c r="H353" s="828">
        <v>0.3</v>
      </c>
      <c r="I353" s="828">
        <v>0.2</v>
      </c>
      <c r="J353" s="828" t="s">
        <v>30</v>
      </c>
      <c r="K353" s="828"/>
      <c r="L353" s="828" t="s">
        <v>21</v>
      </c>
      <c r="M353" s="877">
        <f t="shared" si="22"/>
        <v>327.68</v>
      </c>
      <c r="N353" s="876"/>
    </row>
    <row r="354" spans="1:14" s="863" customFormat="1">
      <c r="A354" s="862"/>
      <c r="B354" s="835"/>
      <c r="C354" s="835"/>
      <c r="D354" s="888" t="s">
        <v>12591</v>
      </c>
      <c r="E354" s="700">
        <f>2*2</f>
        <v>4</v>
      </c>
      <c r="F354" s="828">
        <v>17.2</v>
      </c>
      <c r="G354" s="828" t="s">
        <v>30</v>
      </c>
      <c r="H354" s="828">
        <v>0.15</v>
      </c>
      <c r="I354" s="828">
        <v>0.2</v>
      </c>
      <c r="J354" s="828" t="s">
        <v>30</v>
      </c>
      <c r="K354" s="828"/>
      <c r="L354" s="828" t="s">
        <v>21</v>
      </c>
      <c r="M354" s="877">
        <f t="shared" si="22"/>
        <v>34.4</v>
      </c>
      <c r="N354" s="876"/>
    </row>
    <row r="355" spans="1:14" s="863" customFormat="1">
      <c r="A355" s="862"/>
      <c r="B355" s="835"/>
      <c r="C355" s="835"/>
      <c r="D355" s="888" t="s">
        <v>12592</v>
      </c>
      <c r="E355" s="700">
        <f>16*2</f>
        <v>32</v>
      </c>
      <c r="F355" s="828">
        <v>12.8</v>
      </c>
      <c r="G355" s="828" t="s">
        <v>30</v>
      </c>
      <c r="H355" s="828">
        <v>0.3</v>
      </c>
      <c r="I355" s="828">
        <v>0.2</v>
      </c>
      <c r="J355" s="828" t="s">
        <v>30</v>
      </c>
      <c r="K355" s="828"/>
      <c r="L355" s="828" t="s">
        <v>21</v>
      </c>
      <c r="M355" s="877">
        <f t="shared" si="22"/>
        <v>327.68</v>
      </c>
      <c r="N355" s="876"/>
    </row>
    <row r="356" spans="1:14" s="863" customFormat="1">
      <c r="A356" s="862"/>
      <c r="B356" s="835"/>
      <c r="C356" s="835"/>
      <c r="D356" s="1225" t="s">
        <v>12596</v>
      </c>
      <c r="E356" s="883">
        <f>2*2</f>
        <v>4</v>
      </c>
      <c r="F356" s="1000">
        <f>(0.85*2+0.45)</f>
        <v>2.15</v>
      </c>
      <c r="G356" s="1000">
        <v>13.4</v>
      </c>
      <c r="H356" s="1000"/>
      <c r="I356" s="1000"/>
      <c r="J356" s="1000"/>
      <c r="K356" s="1000"/>
      <c r="L356" s="1000" t="s">
        <v>21</v>
      </c>
      <c r="M356" s="1226">
        <f t="shared" ref="M356:M362" si="23">E356*F356*G356</f>
        <v>115.24</v>
      </c>
      <c r="N356" s="876"/>
    </row>
    <row r="357" spans="1:14" s="863" customFormat="1">
      <c r="A357" s="862"/>
      <c r="B357" s="835"/>
      <c r="C357" s="835"/>
      <c r="D357" s="888" t="s">
        <v>12597</v>
      </c>
      <c r="E357" s="700">
        <f>4*2</f>
        <v>8</v>
      </c>
      <c r="F357" s="828">
        <f>0.65*2+0.11</f>
        <v>1.4100000000000001</v>
      </c>
      <c r="G357" s="828">
        <v>17.2</v>
      </c>
      <c r="H357" s="828"/>
      <c r="I357" s="828"/>
      <c r="J357" s="828"/>
      <c r="K357" s="828"/>
      <c r="L357" s="828" t="s">
        <v>21</v>
      </c>
      <c r="M357" s="877">
        <f t="shared" si="23"/>
        <v>194.01600000000002</v>
      </c>
      <c r="N357" s="876"/>
    </row>
    <row r="358" spans="1:14" s="863" customFormat="1">
      <c r="A358" s="862"/>
      <c r="B358" s="835"/>
      <c r="C358" s="835"/>
      <c r="D358" s="888" t="s">
        <v>12598</v>
      </c>
      <c r="E358" s="700">
        <f>6*2</f>
        <v>12</v>
      </c>
      <c r="F358" s="828">
        <f>0.55*2+0.2+0.11*2+0.6*2</f>
        <v>2.7199999999999998</v>
      </c>
      <c r="G358" s="828">
        <v>17.2</v>
      </c>
      <c r="H358" s="828"/>
      <c r="I358" s="828"/>
      <c r="J358" s="828"/>
      <c r="K358" s="828"/>
      <c r="L358" s="828" t="s">
        <v>21</v>
      </c>
      <c r="M358" s="877">
        <f t="shared" si="23"/>
        <v>561.40800000000002</v>
      </c>
      <c r="N358" s="876"/>
    </row>
    <row r="359" spans="1:14" s="863" customFormat="1">
      <c r="A359" s="862"/>
      <c r="B359" s="835"/>
      <c r="C359" s="835"/>
      <c r="D359" s="888" t="s">
        <v>12599</v>
      </c>
      <c r="E359" s="700">
        <f>2*2</f>
        <v>4</v>
      </c>
      <c r="F359" s="828">
        <f>0.85*2+0.45</f>
        <v>2.15</v>
      </c>
      <c r="G359" s="828">
        <v>13.4</v>
      </c>
      <c r="H359" s="828"/>
      <c r="I359" s="828"/>
      <c r="J359" s="828"/>
      <c r="K359" s="828"/>
      <c r="L359" s="828" t="s">
        <v>21</v>
      </c>
      <c r="M359" s="877">
        <f t="shared" si="23"/>
        <v>115.24</v>
      </c>
      <c r="N359" s="876"/>
    </row>
    <row r="360" spans="1:14" s="863" customFormat="1">
      <c r="A360" s="862"/>
      <c r="B360" s="835"/>
      <c r="C360" s="835"/>
      <c r="D360" s="888" t="s">
        <v>12600</v>
      </c>
      <c r="E360" s="700">
        <f>4*2</f>
        <v>8</v>
      </c>
      <c r="F360" s="828">
        <v>0.8</v>
      </c>
      <c r="G360" s="828">
        <v>0.8</v>
      </c>
      <c r="H360" s="828"/>
      <c r="I360" s="828"/>
      <c r="J360" s="828"/>
      <c r="K360" s="828"/>
      <c r="L360" s="828" t="s">
        <v>21</v>
      </c>
      <c r="M360" s="877">
        <f>E360*F360*G360</f>
        <v>5.120000000000001</v>
      </c>
      <c r="N360" s="876"/>
    </row>
    <row r="361" spans="1:14" s="863" customFormat="1">
      <c r="A361" s="862"/>
      <c r="B361" s="835"/>
      <c r="C361" s="835"/>
      <c r="D361" s="888" t="s">
        <v>12601</v>
      </c>
      <c r="E361" s="700">
        <f>8*2</f>
        <v>16</v>
      </c>
      <c r="F361" s="828">
        <v>1.5</v>
      </c>
      <c r="G361" s="828">
        <v>17.2</v>
      </c>
      <c r="H361" s="828"/>
      <c r="I361" s="828"/>
      <c r="J361" s="828"/>
      <c r="K361" s="828"/>
      <c r="L361" s="828" t="s">
        <v>21</v>
      </c>
      <c r="M361" s="877">
        <f t="shared" si="23"/>
        <v>412.79999999999995</v>
      </c>
      <c r="N361" s="876"/>
    </row>
    <row r="362" spans="1:14" s="863" customFormat="1">
      <c r="A362" s="862"/>
      <c r="B362" s="835"/>
      <c r="C362" s="835"/>
      <c r="D362" s="1227" t="s">
        <v>12602</v>
      </c>
      <c r="E362" s="852">
        <f>4*2</f>
        <v>8</v>
      </c>
      <c r="F362" s="852">
        <f>(50+20+15+47.5+30+15+45)/100</f>
        <v>2.2250000000000001</v>
      </c>
      <c r="G362" s="838">
        <f>2.15+0.3</f>
        <v>2.4499999999999997</v>
      </c>
      <c r="H362" s="838"/>
      <c r="I362" s="838"/>
      <c r="J362" s="838"/>
      <c r="K362" s="838"/>
      <c r="L362" s="838" t="s">
        <v>21</v>
      </c>
      <c r="M362" s="939">
        <f t="shared" si="23"/>
        <v>43.61</v>
      </c>
      <c r="N362" s="876"/>
    </row>
    <row r="363" spans="1:14" s="863" customFormat="1">
      <c r="A363" s="862"/>
      <c r="B363" s="835"/>
      <c r="C363" s="835"/>
      <c r="D363" s="1225" t="s">
        <v>12613</v>
      </c>
      <c r="E363" s="883">
        <f>2*2*2</f>
        <v>8</v>
      </c>
      <c r="F363" s="1228">
        <v>2.15</v>
      </c>
      <c r="G363" s="1228">
        <v>1.125</v>
      </c>
      <c r="H363" s="1000" t="s">
        <v>30</v>
      </c>
      <c r="I363" s="1000">
        <v>0.15</v>
      </c>
      <c r="J363" s="1000">
        <f>E363*F363*G363</f>
        <v>19.349999999999998</v>
      </c>
      <c r="K363" s="1000"/>
      <c r="L363" s="1000" t="s">
        <v>21</v>
      </c>
      <c r="M363" s="1226">
        <v>0</v>
      </c>
      <c r="N363" s="876"/>
    </row>
    <row r="364" spans="1:14" s="863" customFormat="1">
      <c r="A364" s="862"/>
      <c r="B364" s="835"/>
      <c r="C364" s="835"/>
      <c r="D364" s="888" t="s">
        <v>12614</v>
      </c>
      <c r="E364" s="700">
        <f>6*8*2*2</f>
        <v>192</v>
      </c>
      <c r="F364" s="954">
        <v>0.6</v>
      </c>
      <c r="G364" s="954">
        <v>0.20100000000000001</v>
      </c>
      <c r="H364" s="828" t="s">
        <v>30</v>
      </c>
      <c r="I364" s="828">
        <v>0.15</v>
      </c>
      <c r="J364" s="828">
        <f>E364*F364*G364</f>
        <v>23.155200000000001</v>
      </c>
      <c r="K364" s="828"/>
      <c r="L364" s="828" t="s">
        <v>21</v>
      </c>
      <c r="M364" s="877">
        <v>0</v>
      </c>
      <c r="N364" s="876"/>
    </row>
    <row r="365" spans="1:14" s="863" customFormat="1">
      <c r="A365" s="862"/>
      <c r="B365" s="835"/>
      <c r="C365" s="835"/>
      <c r="D365" s="888" t="s">
        <v>12615</v>
      </c>
      <c r="E365" s="700">
        <f>6*2*2</f>
        <v>24</v>
      </c>
      <c r="F365" s="954">
        <v>1.32</v>
      </c>
      <c r="G365" s="954">
        <v>1.1000000000000001</v>
      </c>
      <c r="H365" s="828" t="s">
        <v>30</v>
      </c>
      <c r="I365" s="828">
        <v>0.15</v>
      </c>
      <c r="J365" s="828">
        <f>E365*F365*G365</f>
        <v>34.847999999999999</v>
      </c>
      <c r="K365" s="828"/>
      <c r="L365" s="828" t="s">
        <v>21</v>
      </c>
      <c r="M365" s="877">
        <v>0</v>
      </c>
      <c r="N365" s="876"/>
    </row>
    <row r="366" spans="1:14" s="863" customFormat="1">
      <c r="A366" s="862"/>
      <c r="B366" s="835"/>
      <c r="C366" s="835"/>
      <c r="D366" s="888" t="s">
        <v>12616</v>
      </c>
      <c r="E366" s="700">
        <f>6*2*2</f>
        <v>24</v>
      </c>
      <c r="F366" s="954">
        <v>1.76</v>
      </c>
      <c r="G366" s="954">
        <v>1.1000000000000001</v>
      </c>
      <c r="H366" s="828" t="s">
        <v>30</v>
      </c>
      <c r="I366" s="828">
        <v>0.15</v>
      </c>
      <c r="J366" s="828">
        <f>E366*F366*G366</f>
        <v>46.464000000000006</v>
      </c>
      <c r="K366" s="828"/>
      <c r="L366" s="828" t="s">
        <v>21</v>
      </c>
      <c r="M366" s="877">
        <v>0</v>
      </c>
      <c r="N366" s="876"/>
    </row>
    <row r="367" spans="1:14" s="863" customFormat="1">
      <c r="A367" s="862"/>
      <c r="B367" s="835"/>
      <c r="C367" s="835"/>
      <c r="D367" s="888" t="s">
        <v>12617</v>
      </c>
      <c r="E367" s="700">
        <f>6*2*2</f>
        <v>24</v>
      </c>
      <c r="F367" s="954">
        <v>1.1000000000000001</v>
      </c>
      <c r="G367" s="954">
        <v>0.6</v>
      </c>
      <c r="H367" s="828" t="s">
        <v>30</v>
      </c>
      <c r="I367" s="828">
        <v>0.15</v>
      </c>
      <c r="J367" s="828">
        <f>E367*F367*G367</f>
        <v>15.84</v>
      </c>
      <c r="K367" s="828"/>
      <c r="L367" s="828" t="s">
        <v>21</v>
      </c>
      <c r="M367" s="877">
        <v>0</v>
      </c>
      <c r="N367" s="876"/>
    </row>
    <row r="368" spans="1:14" s="863" customFormat="1">
      <c r="A368" s="862"/>
      <c r="B368" s="835"/>
      <c r="C368" s="835"/>
      <c r="D368" s="1227" t="s">
        <v>12440</v>
      </c>
      <c r="E368" s="852">
        <f>2*2</f>
        <v>4</v>
      </c>
      <c r="F368" s="838">
        <f>2.3+17.7+1.2</f>
        <v>21.2</v>
      </c>
      <c r="G368" s="838">
        <v>13.9</v>
      </c>
      <c r="H368" s="838" t="s">
        <v>30</v>
      </c>
      <c r="I368" s="838">
        <v>0.15</v>
      </c>
      <c r="J368" s="838">
        <f>SUM(J363:J367)</f>
        <v>139.65720000000002</v>
      </c>
      <c r="K368" s="838"/>
      <c r="L368" s="838" t="s">
        <v>21</v>
      </c>
      <c r="M368" s="939">
        <f>E368*((F368*G368))-J368</f>
        <v>1039.0627999999999</v>
      </c>
      <c r="N368" s="876"/>
    </row>
    <row r="369" spans="1:15" s="863" customFormat="1">
      <c r="A369" s="862"/>
      <c r="B369" s="835"/>
      <c r="C369" s="835"/>
      <c r="D369" s="888" t="s">
        <v>12603</v>
      </c>
      <c r="E369" s="700">
        <f>1*2</f>
        <v>2</v>
      </c>
      <c r="F369" s="828">
        <v>2.7</v>
      </c>
      <c r="G369" s="828">
        <v>1.85</v>
      </c>
      <c r="H369" s="828">
        <v>0.2</v>
      </c>
      <c r="I369" s="828"/>
      <c r="J369" s="828"/>
      <c r="K369" s="828"/>
      <c r="L369" s="828" t="s">
        <v>21</v>
      </c>
      <c r="M369" s="877">
        <f>E369*((F369*G369)+(F369*2+G369*2)*H369)</f>
        <v>13.630000000000003</v>
      </c>
      <c r="N369" s="876"/>
    </row>
    <row r="370" spans="1:15" s="863" customFormat="1">
      <c r="A370" s="862"/>
      <c r="B370" s="835"/>
      <c r="C370" s="835"/>
      <c r="D370" s="888" t="s">
        <v>12603</v>
      </c>
      <c r="E370" s="700">
        <f>1*2</f>
        <v>2</v>
      </c>
      <c r="F370" s="828">
        <v>0.75</v>
      </c>
      <c r="G370" s="828">
        <v>1.1000000000000001</v>
      </c>
      <c r="H370" s="828">
        <v>0.2</v>
      </c>
      <c r="I370" s="828"/>
      <c r="J370" s="828"/>
      <c r="K370" s="828"/>
      <c r="L370" s="828" t="s">
        <v>21</v>
      </c>
      <c r="M370" s="877">
        <f>E370*((F370*G370)+(F370*2+G370*2)*H370)</f>
        <v>3.1300000000000003</v>
      </c>
      <c r="N370" s="876"/>
    </row>
    <row r="371" spans="1:15" s="863" customFormat="1">
      <c r="A371" s="862"/>
      <c r="B371" s="835"/>
      <c r="C371" s="835"/>
      <c r="D371" s="888" t="s">
        <v>12604</v>
      </c>
      <c r="E371" s="700">
        <f>2*2</f>
        <v>4</v>
      </c>
      <c r="F371" s="828">
        <v>1.85</v>
      </c>
      <c r="G371" s="828">
        <v>0.15</v>
      </c>
      <c r="H371" s="828">
        <v>1.8</v>
      </c>
      <c r="I371" s="828"/>
      <c r="J371" s="828"/>
      <c r="K371" s="828"/>
      <c r="L371" s="828" t="s">
        <v>21</v>
      </c>
      <c r="M371" s="877">
        <f>E371*(2*(F371*H371))</f>
        <v>26.64</v>
      </c>
      <c r="N371" s="876"/>
      <c r="O371" s="871"/>
    </row>
    <row r="372" spans="1:15" s="863" customFormat="1">
      <c r="A372" s="862"/>
      <c r="B372" s="835"/>
      <c r="C372" s="835"/>
      <c r="D372" s="888" t="s">
        <v>12605</v>
      </c>
      <c r="E372" s="700">
        <f>2*2</f>
        <v>4</v>
      </c>
      <c r="F372" s="828">
        <v>1.85</v>
      </c>
      <c r="G372" s="828">
        <v>0.15</v>
      </c>
      <c r="H372" s="828">
        <v>1.8</v>
      </c>
      <c r="I372" s="828"/>
      <c r="J372" s="828"/>
      <c r="K372" s="828"/>
      <c r="L372" s="828" t="s">
        <v>21</v>
      </c>
      <c r="M372" s="877">
        <f t="shared" ref="M372:M378" si="24">E372*(2*(F372*H372))</f>
        <v>26.64</v>
      </c>
      <c r="N372" s="876"/>
      <c r="O372" s="871"/>
    </row>
    <row r="373" spans="1:15" s="863" customFormat="1">
      <c r="A373" s="862"/>
      <c r="B373" s="835"/>
      <c r="C373" s="835"/>
      <c r="D373" s="888" t="s">
        <v>12606</v>
      </c>
      <c r="E373" s="700">
        <f>2*2</f>
        <v>4</v>
      </c>
      <c r="F373" s="828">
        <v>0.75</v>
      </c>
      <c r="G373" s="828">
        <v>0.15</v>
      </c>
      <c r="H373" s="828">
        <v>1.8</v>
      </c>
      <c r="I373" s="828"/>
      <c r="J373" s="828"/>
      <c r="K373" s="828"/>
      <c r="L373" s="828" t="s">
        <v>21</v>
      </c>
      <c r="M373" s="877">
        <f t="shared" si="24"/>
        <v>10.8</v>
      </c>
      <c r="N373" s="876"/>
      <c r="O373" s="871"/>
    </row>
    <row r="374" spans="1:15" s="863" customFormat="1">
      <c r="A374" s="862"/>
      <c r="B374" s="835"/>
      <c r="C374" s="835"/>
      <c r="D374" s="888" t="s">
        <v>12607</v>
      </c>
      <c r="E374" s="700">
        <f>1*2</f>
        <v>2</v>
      </c>
      <c r="F374" s="828">
        <v>1.1000000000000001</v>
      </c>
      <c r="G374" s="828">
        <v>0.15</v>
      </c>
      <c r="H374" s="828">
        <v>1.8</v>
      </c>
      <c r="I374" s="828"/>
      <c r="J374" s="828"/>
      <c r="K374" s="828"/>
      <c r="L374" s="828" t="s">
        <v>21</v>
      </c>
      <c r="M374" s="877">
        <f t="shared" si="24"/>
        <v>7.9200000000000008</v>
      </c>
      <c r="N374" s="876"/>
      <c r="O374" s="871"/>
    </row>
    <row r="375" spans="1:15" s="863" customFormat="1">
      <c r="A375" s="862"/>
      <c r="B375" s="835"/>
      <c r="C375" s="835"/>
      <c r="D375" s="888" t="s">
        <v>12608</v>
      </c>
      <c r="E375" s="700">
        <f>2*2</f>
        <v>4</v>
      </c>
      <c r="F375" s="828">
        <v>0.95</v>
      </c>
      <c r="G375" s="828">
        <v>0.15</v>
      </c>
      <c r="H375" s="828">
        <v>1.8</v>
      </c>
      <c r="I375" s="828"/>
      <c r="J375" s="828"/>
      <c r="K375" s="828"/>
      <c r="L375" s="828" t="s">
        <v>21</v>
      </c>
      <c r="M375" s="877">
        <f t="shared" si="24"/>
        <v>13.68</v>
      </c>
      <c r="N375" s="876"/>
      <c r="O375" s="871"/>
    </row>
    <row r="376" spans="1:15" s="863" customFormat="1">
      <c r="A376" s="862"/>
      <c r="B376" s="835"/>
      <c r="C376" s="835"/>
      <c r="D376" s="888" t="s">
        <v>12609</v>
      </c>
      <c r="E376" s="700">
        <f>1*2</f>
        <v>2</v>
      </c>
      <c r="F376" s="828">
        <v>0.8</v>
      </c>
      <c r="G376" s="828">
        <v>0.15</v>
      </c>
      <c r="H376" s="828">
        <v>0.75</v>
      </c>
      <c r="I376" s="828"/>
      <c r="J376" s="828"/>
      <c r="K376" s="828"/>
      <c r="L376" s="828" t="s">
        <v>21</v>
      </c>
      <c r="M376" s="877">
        <f t="shared" si="24"/>
        <v>2.4000000000000004</v>
      </c>
      <c r="N376" s="876"/>
      <c r="O376" s="871"/>
    </row>
    <row r="377" spans="1:15" s="863" customFormat="1">
      <c r="A377" s="862"/>
      <c r="B377" s="835"/>
      <c r="C377" s="835"/>
      <c r="D377" s="888" t="s">
        <v>12610</v>
      </c>
      <c r="E377" s="700">
        <f>2*2</f>
        <v>4</v>
      </c>
      <c r="F377" s="828">
        <v>0.5</v>
      </c>
      <c r="G377" s="828">
        <v>0.15</v>
      </c>
      <c r="H377" s="828">
        <v>1.8</v>
      </c>
      <c r="I377" s="828"/>
      <c r="J377" s="828"/>
      <c r="K377" s="828"/>
      <c r="L377" s="828" t="s">
        <v>21</v>
      </c>
      <c r="M377" s="877">
        <f t="shared" si="24"/>
        <v>7.2</v>
      </c>
      <c r="N377" s="876"/>
      <c r="O377" s="871"/>
    </row>
    <row r="378" spans="1:15" s="863" customFormat="1">
      <c r="A378" s="862"/>
      <c r="B378" s="835"/>
      <c r="C378" s="835"/>
      <c r="D378" s="888" t="s">
        <v>12611</v>
      </c>
      <c r="E378" s="700">
        <f>1*2</f>
        <v>2</v>
      </c>
      <c r="F378" s="828">
        <v>2.7</v>
      </c>
      <c r="G378" s="828">
        <v>0.15</v>
      </c>
      <c r="H378" s="828">
        <v>1.8</v>
      </c>
      <c r="I378" s="828"/>
      <c r="J378" s="828"/>
      <c r="K378" s="828"/>
      <c r="L378" s="828" t="s">
        <v>21</v>
      </c>
      <c r="M378" s="877">
        <f t="shared" si="24"/>
        <v>19.440000000000001</v>
      </c>
      <c r="N378" s="876"/>
      <c r="O378" s="871"/>
    </row>
    <row r="379" spans="1:15" s="863" customFormat="1">
      <c r="A379" s="862"/>
      <c r="B379" s="835"/>
      <c r="C379" s="835"/>
      <c r="D379" s="888" t="s">
        <v>12612</v>
      </c>
      <c r="E379" s="700">
        <f>1*2</f>
        <v>2</v>
      </c>
      <c r="F379" s="828">
        <f>1.1+1.85</f>
        <v>2.95</v>
      </c>
      <c r="G379" s="828">
        <v>2.7</v>
      </c>
      <c r="H379" s="828">
        <v>0.15</v>
      </c>
      <c r="I379" s="828">
        <f>(4*0.5*0.7+1.1*1.55+0.8*0.75)*3</f>
        <v>11.115000000000002</v>
      </c>
      <c r="J379" s="828"/>
      <c r="K379" s="828"/>
      <c r="L379" s="828" t="s">
        <v>21</v>
      </c>
      <c r="M379" s="877">
        <f>E379*((F379*G379)+(F379*2+G379*2)*H379)-I379</f>
        <v>8.2049999999999983</v>
      </c>
      <c r="N379" s="876"/>
      <c r="O379" s="871"/>
    </row>
    <row r="380" spans="1:15" s="863" customFormat="1">
      <c r="A380" s="862"/>
      <c r="B380" s="835"/>
      <c r="C380" s="835"/>
      <c r="D380" s="888"/>
      <c r="E380" s="824"/>
      <c r="F380" s="700"/>
      <c r="G380" s="889"/>
      <c r="H380" s="889"/>
      <c r="I380" s="889"/>
      <c r="J380" s="889"/>
      <c r="K380" s="889"/>
      <c r="L380" s="700"/>
      <c r="M380" s="890"/>
      <c r="N380" s="876"/>
      <c r="O380" s="871"/>
    </row>
    <row r="381" spans="1:15" s="863" customFormat="1">
      <c r="A381" s="862"/>
      <c r="B381" s="835"/>
      <c r="C381" s="835"/>
      <c r="D381" s="826"/>
      <c r="E381" s="790"/>
      <c r="F381" s="790"/>
      <c r="G381" s="700" t="s">
        <v>1275</v>
      </c>
      <c r="H381" s="700" t="s">
        <v>11684</v>
      </c>
      <c r="I381" s="700" t="s">
        <v>19</v>
      </c>
      <c r="J381" s="700" t="s">
        <v>32</v>
      </c>
      <c r="K381" s="700" t="s">
        <v>12667</v>
      </c>
      <c r="L381" s="901" t="s">
        <v>30</v>
      </c>
      <c r="M381" s="901" t="s">
        <v>30</v>
      </c>
      <c r="N381" s="876"/>
      <c r="O381" s="871"/>
    </row>
    <row r="382" spans="1:15" s="863" customFormat="1" ht="15" hidden="1" customHeight="1">
      <c r="A382" s="862"/>
      <c r="B382" s="835"/>
      <c r="C382" s="835"/>
      <c r="D382" s="826"/>
      <c r="E382" s="1674" t="s">
        <v>14323</v>
      </c>
      <c r="F382" s="1674"/>
      <c r="G382" s="700">
        <v>2</v>
      </c>
      <c r="H382" s="700">
        <v>17.2</v>
      </c>
      <c r="I382" s="700">
        <v>13.4</v>
      </c>
      <c r="J382" s="901" t="s">
        <v>30</v>
      </c>
      <c r="K382" s="901" t="s">
        <v>30</v>
      </c>
      <c r="L382" s="700" t="s">
        <v>21</v>
      </c>
      <c r="M382" s="829"/>
      <c r="N382" s="876"/>
      <c r="O382" s="871"/>
    </row>
    <row r="383" spans="1:15" s="863" customFormat="1">
      <c r="A383" s="862"/>
      <c r="B383" s="835"/>
      <c r="C383" s="835"/>
      <c r="D383" s="826"/>
      <c r="E383" s="1674" t="s">
        <v>12669</v>
      </c>
      <c r="F383" s="1674"/>
      <c r="G383" s="700">
        <f>2*2*2</f>
        <v>8</v>
      </c>
      <c r="H383" s="700">
        <v>12.67</v>
      </c>
      <c r="I383" s="700">
        <v>0.45</v>
      </c>
      <c r="J383" s="828">
        <v>1</v>
      </c>
      <c r="K383" s="828" t="s">
        <v>30</v>
      </c>
      <c r="L383" s="700" t="s">
        <v>21</v>
      </c>
      <c r="M383" s="829">
        <f>G383*((J383*2+I383)*H383)</f>
        <v>248.33200000000002</v>
      </c>
      <c r="N383" s="876"/>
      <c r="O383" s="871"/>
    </row>
    <row r="384" spans="1:15" s="863" customFormat="1">
      <c r="A384" s="862"/>
      <c r="B384" s="835"/>
      <c r="C384" s="835"/>
      <c r="D384" s="888"/>
      <c r="E384" s="824"/>
      <c r="F384" s="700"/>
      <c r="G384" s="889"/>
      <c r="H384" s="889"/>
      <c r="I384" s="889"/>
      <c r="J384" s="889"/>
      <c r="K384" s="889"/>
      <c r="L384" s="700"/>
      <c r="M384" s="890"/>
      <c r="N384" s="876"/>
      <c r="O384" s="871"/>
    </row>
    <row r="385" spans="1:15" s="863" customFormat="1">
      <c r="A385" s="862"/>
      <c r="B385" s="835"/>
      <c r="C385" s="835"/>
      <c r="D385" s="888"/>
      <c r="E385" s="824"/>
      <c r="F385" s="700"/>
      <c r="G385" s="889"/>
      <c r="H385" s="889"/>
      <c r="I385" s="889"/>
      <c r="J385" s="889"/>
      <c r="K385" s="889"/>
      <c r="L385" s="700"/>
      <c r="M385" s="890"/>
      <c r="N385" s="876"/>
      <c r="O385" s="871"/>
    </row>
    <row r="386" spans="1:15" s="863" customFormat="1" ht="16.5" customHeight="1">
      <c r="A386" s="862" t="s">
        <v>12676</v>
      </c>
      <c r="B386" s="850" t="s">
        <v>11644</v>
      </c>
      <c r="C386" s="850" t="s">
        <v>16608</v>
      </c>
      <c r="D386" s="836" t="str">
        <f>PROPER(IF(B386="Saneago",VLOOKUP(C386,'SANEAGO-FEV.2016'!A:B,2,0),IF(B386="Sinapi",VLOOKUP(C386,'SINAPI-FEV.2017'!A:D,2,0),IF(B386="Cotação",VLOOKUP(C386,COTAÇÃO!A:D,2,0),IF(B386="Composição",VLOOKUP(C386,COMPOSIÇÃO!A:D,2,0))))))</f>
        <v>Impermeabilizacao Com Pintura A Base De Resina Epoxi Alcatrao, Duas Demaos.</v>
      </c>
      <c r="E386" s="837"/>
      <c r="F386" s="1712" t="s">
        <v>12662</v>
      </c>
      <c r="G386" s="1712"/>
      <c r="H386" s="1712"/>
      <c r="I386" s="1712"/>
      <c r="J386" s="1678" t="s">
        <v>12659</v>
      </c>
      <c r="K386" s="1678"/>
      <c r="L386" s="856" t="s">
        <v>21</v>
      </c>
      <c r="M386" s="840">
        <f>SUM(M346:M384)</f>
        <v>7323.5538000000006</v>
      </c>
      <c r="N386" s="876"/>
      <c r="O386" s="871"/>
    </row>
    <row r="387" spans="1:15" s="863" customFormat="1">
      <c r="A387" s="862"/>
      <c r="B387" s="835"/>
      <c r="C387" s="835"/>
      <c r="D387" s="929" t="s">
        <v>14324</v>
      </c>
      <c r="E387" s="901" t="s">
        <v>1275</v>
      </c>
      <c r="F387" s="901" t="s">
        <v>11684</v>
      </c>
      <c r="G387" s="901" t="s">
        <v>19</v>
      </c>
      <c r="H387" s="901" t="s">
        <v>32</v>
      </c>
      <c r="I387" s="901" t="s">
        <v>36</v>
      </c>
      <c r="J387" s="901" t="s">
        <v>12593</v>
      </c>
      <c r="K387" s="901" t="s">
        <v>30</v>
      </c>
      <c r="L387" s="901" t="s">
        <v>30</v>
      </c>
      <c r="M387" s="951" t="s">
        <v>30</v>
      </c>
      <c r="N387" s="876"/>
      <c r="O387" s="871"/>
    </row>
    <row r="388" spans="1:15" s="863" customFormat="1">
      <c r="A388" s="862"/>
      <c r="B388" s="835"/>
      <c r="C388" s="835"/>
      <c r="D388" s="826"/>
      <c r="E388" s="790"/>
      <c r="F388" s="790"/>
      <c r="G388" s="700"/>
      <c r="H388" s="700"/>
      <c r="I388" s="700"/>
      <c r="J388" s="700"/>
      <c r="K388" s="700"/>
      <c r="L388" s="700"/>
      <c r="M388" s="876"/>
      <c r="N388" s="876"/>
      <c r="O388" s="871"/>
    </row>
    <row r="389" spans="1:15" s="863" customFormat="1">
      <c r="A389" s="862"/>
      <c r="B389" s="835"/>
      <c r="C389" s="835"/>
      <c r="D389" s="888" t="s">
        <v>12586</v>
      </c>
      <c r="E389" s="700">
        <v>2</v>
      </c>
      <c r="F389" s="828">
        <f>17.2</f>
        <v>17.2</v>
      </c>
      <c r="G389" s="828">
        <f>13.4</f>
        <v>13.4</v>
      </c>
      <c r="H389" s="828">
        <f>4.7+0.15</f>
        <v>4.8500000000000005</v>
      </c>
      <c r="I389" s="828"/>
      <c r="J389" s="828" t="s">
        <v>30</v>
      </c>
      <c r="K389" s="828"/>
      <c r="L389" s="828" t="s">
        <v>21</v>
      </c>
      <c r="M389" s="877">
        <f>E389*((2*(F389*2+0.25*3)+2*(G389+0.25*2))*H389)</f>
        <v>951.57</v>
      </c>
      <c r="N389" s="876"/>
      <c r="O389" s="871"/>
    </row>
    <row r="390" spans="1:15" s="863" customFormat="1">
      <c r="A390" s="862"/>
      <c r="B390" s="835"/>
      <c r="C390" s="835"/>
      <c r="D390" s="888" t="s">
        <v>12603</v>
      </c>
      <c r="E390" s="700">
        <f>1*2</f>
        <v>2</v>
      </c>
      <c r="F390" s="828">
        <v>2.7</v>
      </c>
      <c r="G390" s="828">
        <v>1.85</v>
      </c>
      <c r="H390" s="828">
        <v>0.2</v>
      </c>
      <c r="I390" s="828"/>
      <c r="J390" s="828"/>
      <c r="K390" s="828"/>
      <c r="L390" s="828" t="s">
        <v>21</v>
      </c>
      <c r="M390" s="877">
        <f>E390*((F390*G390)+(F390*2+G390*2)*H390)</f>
        <v>13.630000000000003</v>
      </c>
      <c r="N390" s="876"/>
      <c r="O390" s="871"/>
    </row>
    <row r="391" spans="1:15" s="863" customFormat="1">
      <c r="A391" s="862"/>
      <c r="B391" s="835"/>
      <c r="C391" s="835"/>
      <c r="D391" s="888" t="s">
        <v>12603</v>
      </c>
      <c r="E391" s="700">
        <f>1*2</f>
        <v>2</v>
      </c>
      <c r="F391" s="828">
        <v>0.75</v>
      </c>
      <c r="G391" s="828">
        <v>1.1000000000000001</v>
      </c>
      <c r="H391" s="828">
        <v>0.2</v>
      </c>
      <c r="I391" s="828"/>
      <c r="J391" s="828"/>
      <c r="K391" s="828"/>
      <c r="L391" s="828" t="s">
        <v>21</v>
      </c>
      <c r="M391" s="877">
        <f>E391*((F391*G391)+(F391*2+G391*2)*H391)</f>
        <v>3.1300000000000003</v>
      </c>
      <c r="N391" s="876"/>
      <c r="O391" s="871"/>
    </row>
    <row r="392" spans="1:15" s="863" customFormat="1">
      <c r="A392" s="862"/>
      <c r="B392" s="835"/>
      <c r="C392" s="835"/>
      <c r="D392" s="888" t="s">
        <v>12604</v>
      </c>
      <c r="E392" s="700">
        <f>2*2</f>
        <v>4</v>
      </c>
      <c r="F392" s="828">
        <v>1.85</v>
      </c>
      <c r="G392" s="828">
        <v>0.15</v>
      </c>
      <c r="H392" s="828">
        <v>1.8</v>
      </c>
      <c r="I392" s="828"/>
      <c r="J392" s="828"/>
      <c r="K392" s="828"/>
      <c r="L392" s="828" t="s">
        <v>21</v>
      </c>
      <c r="M392" s="877">
        <f>E392*(2*(F392*H392))</f>
        <v>26.64</v>
      </c>
      <c r="N392" s="876"/>
      <c r="O392" s="871"/>
    </row>
    <row r="393" spans="1:15" s="863" customFormat="1">
      <c r="A393" s="862"/>
      <c r="B393" s="835"/>
      <c r="C393" s="835"/>
      <c r="D393" s="888" t="s">
        <v>12605</v>
      </c>
      <c r="E393" s="700">
        <f>2*2</f>
        <v>4</v>
      </c>
      <c r="F393" s="828">
        <v>1.85</v>
      </c>
      <c r="G393" s="828">
        <v>0.15</v>
      </c>
      <c r="H393" s="828">
        <v>1.8</v>
      </c>
      <c r="I393" s="828"/>
      <c r="J393" s="828"/>
      <c r="K393" s="828"/>
      <c r="L393" s="828" t="s">
        <v>21</v>
      </c>
      <c r="M393" s="877">
        <f t="shared" ref="M393:M399" si="25">E393*(2*(F393*H393))</f>
        <v>26.64</v>
      </c>
      <c r="N393" s="876"/>
      <c r="O393" s="871"/>
    </row>
    <row r="394" spans="1:15" s="863" customFormat="1">
      <c r="A394" s="862"/>
      <c r="B394" s="835"/>
      <c r="C394" s="835"/>
      <c r="D394" s="888" t="s">
        <v>12606</v>
      </c>
      <c r="E394" s="700">
        <f>2*2</f>
        <v>4</v>
      </c>
      <c r="F394" s="828">
        <v>0.75</v>
      </c>
      <c r="G394" s="828">
        <v>0.15</v>
      </c>
      <c r="H394" s="828">
        <v>1.8</v>
      </c>
      <c r="I394" s="828"/>
      <c r="J394" s="828"/>
      <c r="K394" s="828"/>
      <c r="L394" s="828" t="s">
        <v>21</v>
      </c>
      <c r="M394" s="877">
        <f t="shared" si="25"/>
        <v>10.8</v>
      </c>
      <c r="N394" s="876"/>
      <c r="O394" s="871"/>
    </row>
    <row r="395" spans="1:15" s="863" customFormat="1">
      <c r="A395" s="862"/>
      <c r="B395" s="835"/>
      <c r="C395" s="835"/>
      <c r="D395" s="888" t="s">
        <v>12607</v>
      </c>
      <c r="E395" s="700">
        <f>1*2</f>
        <v>2</v>
      </c>
      <c r="F395" s="828">
        <v>1.1000000000000001</v>
      </c>
      <c r="G395" s="828">
        <v>0.15</v>
      </c>
      <c r="H395" s="828">
        <v>1.8</v>
      </c>
      <c r="I395" s="828"/>
      <c r="J395" s="828"/>
      <c r="K395" s="828"/>
      <c r="L395" s="828" t="s">
        <v>21</v>
      </c>
      <c r="M395" s="877">
        <f t="shared" si="25"/>
        <v>7.9200000000000008</v>
      </c>
      <c r="N395" s="876"/>
      <c r="O395" s="871"/>
    </row>
    <row r="396" spans="1:15" s="863" customFormat="1">
      <c r="A396" s="862"/>
      <c r="B396" s="835"/>
      <c r="C396" s="835"/>
      <c r="D396" s="888" t="s">
        <v>12608</v>
      </c>
      <c r="E396" s="700">
        <f>2*2</f>
        <v>4</v>
      </c>
      <c r="F396" s="828">
        <v>0.95</v>
      </c>
      <c r="G396" s="828">
        <v>0.15</v>
      </c>
      <c r="H396" s="828">
        <v>1.8</v>
      </c>
      <c r="I396" s="828"/>
      <c r="J396" s="828"/>
      <c r="K396" s="828"/>
      <c r="L396" s="828" t="s">
        <v>21</v>
      </c>
      <c r="M396" s="877">
        <f t="shared" si="25"/>
        <v>13.68</v>
      </c>
      <c r="N396" s="876"/>
      <c r="O396" s="871"/>
    </row>
    <row r="397" spans="1:15" s="863" customFormat="1">
      <c r="A397" s="862"/>
      <c r="B397" s="835"/>
      <c r="C397" s="835"/>
      <c r="D397" s="888" t="s">
        <v>12609</v>
      </c>
      <c r="E397" s="700">
        <f>1*2</f>
        <v>2</v>
      </c>
      <c r="F397" s="828">
        <v>0.8</v>
      </c>
      <c r="G397" s="828">
        <v>0.15</v>
      </c>
      <c r="H397" s="828">
        <v>0.75</v>
      </c>
      <c r="I397" s="828"/>
      <c r="J397" s="828"/>
      <c r="K397" s="828"/>
      <c r="L397" s="828" t="s">
        <v>21</v>
      </c>
      <c r="M397" s="877">
        <f t="shared" si="25"/>
        <v>2.4000000000000004</v>
      </c>
      <c r="N397" s="876"/>
      <c r="O397" s="871"/>
    </row>
    <row r="398" spans="1:15" s="863" customFormat="1">
      <c r="A398" s="862"/>
      <c r="B398" s="835"/>
      <c r="C398" s="835"/>
      <c r="D398" s="888" t="s">
        <v>12610</v>
      </c>
      <c r="E398" s="700">
        <f>2*2</f>
        <v>4</v>
      </c>
      <c r="F398" s="828">
        <v>0.5</v>
      </c>
      <c r="G398" s="828">
        <v>0.15</v>
      </c>
      <c r="H398" s="828">
        <v>1.8</v>
      </c>
      <c r="I398" s="828"/>
      <c r="J398" s="828"/>
      <c r="K398" s="828"/>
      <c r="L398" s="828" t="s">
        <v>21</v>
      </c>
      <c r="M398" s="877">
        <f t="shared" si="25"/>
        <v>7.2</v>
      </c>
      <c r="N398" s="876"/>
      <c r="O398" s="871"/>
    </row>
    <row r="399" spans="1:15" s="863" customFormat="1">
      <c r="A399" s="862"/>
      <c r="B399" s="835"/>
      <c r="C399" s="835"/>
      <c r="D399" s="888" t="s">
        <v>12611</v>
      </c>
      <c r="E399" s="700">
        <f>1*2</f>
        <v>2</v>
      </c>
      <c r="F399" s="828">
        <v>2.7</v>
      </c>
      <c r="G399" s="828">
        <v>0.15</v>
      </c>
      <c r="H399" s="828">
        <v>1.8</v>
      </c>
      <c r="I399" s="828"/>
      <c r="J399" s="828"/>
      <c r="K399" s="828"/>
      <c r="L399" s="828" t="s">
        <v>21</v>
      </c>
      <c r="M399" s="877">
        <f t="shared" si="25"/>
        <v>19.440000000000001</v>
      </c>
      <c r="N399" s="876"/>
      <c r="O399" s="871"/>
    </row>
    <row r="400" spans="1:15" s="863" customFormat="1">
      <c r="A400" s="862"/>
      <c r="B400" s="835"/>
      <c r="C400" s="835"/>
      <c r="D400" s="888" t="s">
        <v>12612</v>
      </c>
      <c r="E400" s="700">
        <f>1*2</f>
        <v>2</v>
      </c>
      <c r="F400" s="828">
        <f>1.1+1.85</f>
        <v>2.95</v>
      </c>
      <c r="G400" s="828">
        <v>2.7</v>
      </c>
      <c r="H400" s="828">
        <v>0.15</v>
      </c>
      <c r="I400" s="828">
        <f>(4*0.5*0.7+1.1*1.55+0.8*0.75)*3</f>
        <v>11.115000000000002</v>
      </c>
      <c r="J400" s="828"/>
      <c r="K400" s="828"/>
      <c r="L400" s="828" t="s">
        <v>21</v>
      </c>
      <c r="M400" s="877">
        <f>E400*((F400*G400)+(F400*2+G400*2)*H400)-I400</f>
        <v>8.2049999999999983</v>
      </c>
      <c r="N400" s="876"/>
      <c r="O400" s="871"/>
    </row>
    <row r="401" spans="1:15" s="863" customFormat="1">
      <c r="A401" s="862"/>
      <c r="B401" s="835"/>
      <c r="C401" s="835"/>
      <c r="D401" s="888" t="s">
        <v>12440</v>
      </c>
      <c r="E401" s="700">
        <f>2*2</f>
        <v>4</v>
      </c>
      <c r="F401" s="828">
        <f>2.3+17.7+1.2</f>
        <v>21.2</v>
      </c>
      <c r="G401" s="828">
        <v>13.9</v>
      </c>
      <c r="H401" s="828" t="s">
        <v>30</v>
      </c>
      <c r="I401" s="828">
        <v>0.15</v>
      </c>
      <c r="J401" s="828">
        <f>J368</f>
        <v>139.65720000000002</v>
      </c>
      <c r="K401" s="828"/>
      <c r="L401" s="828" t="s">
        <v>21</v>
      </c>
      <c r="M401" s="877">
        <f>E401*((F401*G401))-J401</f>
        <v>1039.0627999999999</v>
      </c>
      <c r="N401" s="876"/>
      <c r="O401" s="871"/>
    </row>
    <row r="402" spans="1:15" s="863" customFormat="1">
      <c r="A402" s="862"/>
      <c r="B402" s="835"/>
      <c r="C402" s="835"/>
      <c r="D402" s="826"/>
      <c r="E402" s="790"/>
      <c r="F402" s="790"/>
      <c r="G402" s="700"/>
      <c r="H402" s="700"/>
      <c r="I402" s="700"/>
      <c r="J402" s="700"/>
      <c r="K402" s="700"/>
      <c r="L402" s="700"/>
      <c r="M402" s="876"/>
      <c r="N402" s="876"/>
      <c r="O402" s="871"/>
    </row>
    <row r="403" spans="1:15" s="863" customFormat="1" ht="27" customHeight="1">
      <c r="A403" s="862" t="s">
        <v>14322</v>
      </c>
      <c r="B403" s="835" t="s">
        <v>11644</v>
      </c>
      <c r="C403" s="835">
        <v>88489</v>
      </c>
      <c r="D403" s="836" t="str">
        <f>PROPER(IF(B403="Saneago",VLOOKUP(C403,'SANEAGO-FEV.2016'!A:B,2,0),IF(B403="Sinapi",VLOOKUP(C403,'SINAPI-FEV.2017'!A:D,2,0),IF(B403="Cotação",VLOOKUP(C403,COTAÇÃO!A:D,2,0),IF(B403="Composição",VLOOKUP(C403,COMPOSIÇÃO!A:D,2,0))))))</f>
        <v>Aplicação Manual De Pintura Com Tinta Látex Acrílica Em Paredes, Duas Demãos. Af_06/2014</v>
      </c>
      <c r="E403" s="1677" t="s">
        <v>14319</v>
      </c>
      <c r="F403" s="1677"/>
      <c r="G403" s="1677"/>
      <c r="H403" s="1677"/>
      <c r="I403" s="838"/>
      <c r="J403" s="1678" t="s">
        <v>12659</v>
      </c>
      <c r="K403" s="1678"/>
      <c r="L403" s="856" t="s">
        <v>21</v>
      </c>
      <c r="M403" s="840">
        <f>SUM(M389:M401)</f>
        <v>2130.3178000000003</v>
      </c>
      <c r="N403" s="876"/>
      <c r="O403" s="871"/>
    </row>
    <row r="404" spans="1:15" s="863" customFormat="1" ht="13.5" customHeight="1" thickBot="1">
      <c r="A404" s="862"/>
      <c r="B404" s="835"/>
      <c r="C404" s="835"/>
      <c r="D404" s="826"/>
      <c r="E404" s="790"/>
      <c r="F404" s="790"/>
      <c r="G404" s="700"/>
      <c r="H404" s="700"/>
      <c r="I404" s="700"/>
      <c r="J404" s="828"/>
      <c r="K404" s="828"/>
      <c r="L404" s="828"/>
      <c r="M404" s="829"/>
      <c r="N404" s="876"/>
      <c r="O404" s="871"/>
    </row>
    <row r="405" spans="1:15" ht="14.25" thickTop="1" thickBot="1">
      <c r="A405" s="912"/>
      <c r="D405" s="830" t="s">
        <v>14317</v>
      </c>
      <c r="E405" s="831"/>
      <c r="F405" s="831"/>
      <c r="G405" s="831"/>
      <c r="H405" s="831"/>
      <c r="I405" s="831"/>
      <c r="J405" s="831"/>
      <c r="K405" s="831"/>
      <c r="L405" s="832" t="s">
        <v>25</v>
      </c>
      <c r="M405" s="833" t="s">
        <v>27</v>
      </c>
      <c r="N405" s="876"/>
    </row>
    <row r="406" spans="1:15" s="863" customFormat="1" ht="14.25" customHeight="1" thickTop="1">
      <c r="A406" s="862"/>
      <c r="B406" s="835"/>
      <c r="C406" s="835"/>
      <c r="D406" s="826"/>
      <c r="E406" s="790"/>
      <c r="F406" s="790"/>
      <c r="G406" s="700" t="s">
        <v>1275</v>
      </c>
      <c r="H406" s="700" t="s">
        <v>11684</v>
      </c>
      <c r="I406" s="700" t="s">
        <v>19</v>
      </c>
      <c r="J406" s="700" t="s">
        <v>12667</v>
      </c>
      <c r="K406" s="901" t="s">
        <v>30</v>
      </c>
      <c r="L406" s="901" t="s">
        <v>30</v>
      </c>
      <c r="M406" s="901" t="s">
        <v>30</v>
      </c>
      <c r="N406" s="876"/>
      <c r="O406" s="871"/>
    </row>
    <row r="407" spans="1:15" s="863" customFormat="1" ht="27" customHeight="1">
      <c r="A407" s="862"/>
      <c r="B407" s="835"/>
      <c r="C407" s="835"/>
      <c r="D407" s="826"/>
      <c r="E407" s="854"/>
      <c r="F407" s="854" t="s">
        <v>12666</v>
      </c>
      <c r="G407" s="700">
        <v>2</v>
      </c>
      <c r="H407" s="700">
        <v>17.2</v>
      </c>
      <c r="I407" s="700">
        <v>13.4</v>
      </c>
      <c r="J407" s="901" t="s">
        <v>30</v>
      </c>
      <c r="K407" s="901"/>
      <c r="L407" s="700" t="s">
        <v>21</v>
      </c>
      <c r="M407" s="829">
        <f>G407*H407*I407</f>
        <v>460.96</v>
      </c>
      <c r="N407" s="876"/>
      <c r="O407" s="871"/>
    </row>
    <row r="408" spans="1:15" s="863" customFormat="1" ht="12.75" customHeight="1">
      <c r="A408" s="862"/>
      <c r="B408" s="835"/>
      <c r="C408" s="835"/>
      <c r="D408" s="826"/>
      <c r="E408" s="854"/>
      <c r="F408" s="854" t="s">
        <v>12668</v>
      </c>
      <c r="G408" s="700">
        <f>2*2*2</f>
        <v>8</v>
      </c>
      <c r="H408" s="700" t="s">
        <v>30</v>
      </c>
      <c r="I408" s="700" t="s">
        <v>30</v>
      </c>
      <c r="J408" s="828">
        <v>0.16250000000000001</v>
      </c>
      <c r="K408" s="828"/>
      <c r="L408" s="700" t="s">
        <v>21</v>
      </c>
      <c r="M408" s="829">
        <f>G408*J408</f>
        <v>1.3</v>
      </c>
      <c r="N408" s="876"/>
      <c r="O408" s="871"/>
    </row>
    <row r="409" spans="1:15" s="863" customFormat="1" ht="12.75" customHeight="1">
      <c r="A409" s="862"/>
      <c r="B409" s="835"/>
      <c r="C409" s="835"/>
      <c r="D409" s="826"/>
      <c r="E409" s="854"/>
      <c r="F409" s="854" t="s">
        <v>12598</v>
      </c>
      <c r="G409" s="700">
        <f>3*2*2</f>
        <v>12</v>
      </c>
      <c r="H409" s="700" t="s">
        <v>30</v>
      </c>
      <c r="I409" s="700" t="s">
        <v>30</v>
      </c>
      <c r="J409" s="828">
        <f>0.1625*2</f>
        <v>0.32500000000000001</v>
      </c>
      <c r="K409" s="828"/>
      <c r="L409" s="700" t="s">
        <v>21</v>
      </c>
      <c r="M409" s="829">
        <f>G409*J409</f>
        <v>3.9000000000000004</v>
      </c>
      <c r="N409" s="876"/>
      <c r="O409" s="871"/>
    </row>
    <row r="410" spans="1:15" s="863" customFormat="1" ht="12.75" customHeight="1">
      <c r="A410" s="862"/>
      <c r="B410" s="835"/>
      <c r="C410" s="835"/>
      <c r="D410" s="826"/>
      <c r="E410" s="1674" t="s">
        <v>12669</v>
      </c>
      <c r="F410" s="1674"/>
      <c r="G410" s="700">
        <f>2*2*2</f>
        <v>8</v>
      </c>
      <c r="H410" s="700">
        <f>13.4</f>
        <v>13.4</v>
      </c>
      <c r="I410" s="700">
        <v>0.45</v>
      </c>
      <c r="J410" s="828" t="s">
        <v>30</v>
      </c>
      <c r="K410" s="828"/>
      <c r="L410" s="700" t="s">
        <v>21</v>
      </c>
      <c r="M410" s="829">
        <f>G410*H410*I410</f>
        <v>48.24</v>
      </c>
      <c r="N410" s="876"/>
      <c r="O410" s="871"/>
    </row>
    <row r="411" spans="1:15" s="863" customFormat="1" ht="12" customHeight="1">
      <c r="A411" s="862"/>
      <c r="B411" s="835"/>
      <c r="C411" s="835"/>
      <c r="D411" s="826"/>
      <c r="E411" s="1674" t="s">
        <v>12670</v>
      </c>
      <c r="F411" s="1674"/>
      <c r="G411" s="700">
        <f>8*2*2</f>
        <v>32</v>
      </c>
      <c r="H411" s="700">
        <v>17.2</v>
      </c>
      <c r="I411" s="700">
        <v>0.35</v>
      </c>
      <c r="J411" s="700" t="s">
        <v>30</v>
      </c>
      <c r="K411" s="700"/>
      <c r="L411" s="700" t="s">
        <v>21</v>
      </c>
      <c r="M411" s="829">
        <f>G411*H411*I411</f>
        <v>192.64</v>
      </c>
      <c r="N411" s="876"/>
      <c r="O411" s="871"/>
    </row>
    <row r="412" spans="1:15" s="863" customFormat="1" ht="22.5">
      <c r="A412" s="862" t="s">
        <v>14320</v>
      </c>
      <c r="B412" s="835" t="s">
        <v>70</v>
      </c>
      <c r="C412" s="835" t="s">
        <v>18613</v>
      </c>
      <c r="D412" s="836" t="str">
        <f>PROPER(IF(B412="Saneago",VLOOKUP(C412,'SANEAGO-FEV.2016'!A:B,2,0),IF(B412="Sinapi",VLOOKUP(C412,'SINAPI-FEV.2017'!A:D,2,0),IF(B412="Cotação",VLOOKUP(C412,COTAÇÃO!A:D,2,0),IF(B412="Composição",VLOOKUP(C412,COMPOSIÇÃO!A:D,2,0))))))</f>
        <v>Piso Cimentado Traco 1:3 (Cimento E Areia), Com Acabamento Rustico E Frisado Espessura 2Cm, Preparo Manual</v>
      </c>
      <c r="E412" s="837"/>
      <c r="F412" s="1712"/>
      <c r="G412" s="1712"/>
      <c r="H412" s="1712"/>
      <c r="I412" s="1712"/>
      <c r="J412" s="1678" t="s">
        <v>12659</v>
      </c>
      <c r="K412" s="1678"/>
      <c r="L412" s="856" t="s">
        <v>21</v>
      </c>
      <c r="M412" s="840">
        <f>SUM(M407:M411)</f>
        <v>707.04</v>
      </c>
      <c r="N412" s="876"/>
      <c r="O412" s="871"/>
    </row>
    <row r="413" spans="1:15" s="863" customFormat="1" ht="12" customHeight="1">
      <c r="A413" s="862"/>
      <c r="B413" s="835"/>
      <c r="C413" s="835"/>
      <c r="D413" s="826"/>
      <c r="E413" s="1707" t="s">
        <v>30</v>
      </c>
      <c r="F413" s="1707"/>
      <c r="G413" s="1707" t="s">
        <v>30</v>
      </c>
      <c r="H413" s="1707"/>
      <c r="I413" s="1707" t="s">
        <v>30</v>
      </c>
      <c r="J413" s="1707"/>
      <c r="K413" s="1707" t="s">
        <v>30</v>
      </c>
      <c r="L413" s="1707"/>
      <c r="M413" s="1707" t="s">
        <v>30</v>
      </c>
      <c r="N413" s="1708"/>
      <c r="O413" s="871"/>
    </row>
    <row r="414" spans="1:15" s="863" customFormat="1" ht="22.5">
      <c r="A414" s="862" t="s">
        <v>14318</v>
      </c>
      <c r="B414" s="835" t="s">
        <v>70</v>
      </c>
      <c r="C414" s="850">
        <v>94990</v>
      </c>
      <c r="D414" s="836" t="str">
        <f>PROPER(IF(B414="Saneago",VLOOKUP(C414,'SANEAGO-FEV.2016'!A:B,2,0),IF(B414="Sinapi",VLOOKUP(C414,'SINAPI-FEV.2017'!A:D,2,0),IF(B414="Cotação",VLOOKUP(C414,COTAÇÃO!A:D,2,0),IF(B414="Composição",VLOOKUP(C414,COMPOSIÇÃO!A:D,2,0))))))</f>
        <v>Execução De Passeio (Calçada) Ou Piso De Concreto Com Concreto Moldado In Loco, Feito Em Obra, Acabamento Convencional, Não Armado. Af_07/2016</v>
      </c>
      <c r="E414" s="837"/>
      <c r="F414" s="1712"/>
      <c r="G414" s="1712"/>
      <c r="H414" s="1712"/>
      <c r="I414" s="1712"/>
      <c r="J414" s="1678" t="s">
        <v>12659</v>
      </c>
      <c r="K414" s="1678"/>
      <c r="L414" s="856" t="s">
        <v>22</v>
      </c>
      <c r="M414" s="840">
        <f>(1665-2*593)*0.06</f>
        <v>28.74</v>
      </c>
      <c r="N414" s="876"/>
      <c r="O414" s="871"/>
    </row>
    <row r="415" spans="1:15" s="863" customFormat="1" ht="13.5" customHeight="1" thickBot="1">
      <c r="A415" s="862"/>
      <c r="B415" s="835"/>
      <c r="C415" s="835"/>
      <c r="D415" s="826"/>
      <c r="E415" s="790"/>
      <c r="F415" s="790"/>
      <c r="G415" s="700"/>
      <c r="H415" s="700"/>
      <c r="I415" s="700"/>
      <c r="J415" s="828"/>
      <c r="K415" s="828"/>
      <c r="L415" s="828"/>
      <c r="M415" s="829"/>
      <c r="N415" s="876"/>
      <c r="O415" s="871"/>
    </row>
    <row r="416" spans="1:15" ht="14.25" thickTop="1" thickBot="1">
      <c r="A416" s="912"/>
      <c r="D416" s="830" t="s">
        <v>1231</v>
      </c>
      <c r="E416" s="831"/>
      <c r="F416" s="831"/>
      <c r="G416" s="831"/>
      <c r="H416" s="831"/>
      <c r="I416" s="831"/>
      <c r="J416" s="831"/>
      <c r="K416" s="831"/>
      <c r="L416" s="832" t="s">
        <v>25</v>
      </c>
      <c r="M416" s="833" t="s">
        <v>27</v>
      </c>
      <c r="N416" s="876"/>
    </row>
    <row r="417" spans="1:15" s="779" customFormat="1" ht="13.5" thickTop="1">
      <c r="A417" s="862"/>
      <c r="B417" s="835"/>
      <c r="C417" s="835"/>
      <c r="D417" s="826"/>
      <c r="E417" s="790"/>
      <c r="F417" s="790"/>
      <c r="G417" s="700" t="s">
        <v>30</v>
      </c>
      <c r="H417" s="700" t="s">
        <v>30</v>
      </c>
      <c r="I417" s="700" t="s">
        <v>30</v>
      </c>
      <c r="J417" s="700" t="s">
        <v>30</v>
      </c>
      <c r="K417" s="700" t="s">
        <v>30</v>
      </c>
      <c r="L417" s="700"/>
      <c r="M417" s="827"/>
      <c r="N417" s="1128"/>
      <c r="O417" s="805"/>
    </row>
    <row r="418" spans="1:15" s="779" customFormat="1" ht="37.5" customHeight="1">
      <c r="A418" s="862" t="s">
        <v>14326</v>
      </c>
      <c r="B418" s="835" t="s">
        <v>10852</v>
      </c>
      <c r="C418" s="835">
        <v>862</v>
      </c>
      <c r="D418" s="956" t="str">
        <f>PROPER(IF(B418="Saneago",VLOOKUP(C418,'SANEAGO-FEV.2016'!A:B,2,0),IF(B418="Sinapi",VLOOKUP(C418,'SINAPI-FEV.2017'!A:D,2,0),IF(B418="Cotação",VLOOKUP(C418,COTAÇÃO!A:D,2,0),IF(B418="Composição",VLOOKUP(C418,COMPOSIÇÃO!A:D,2,0))))))</f>
        <v>Guarda-Corpo De Tubo Industrial  1.1/2" (40 Mm) Chapa 13;  H=1,0 M, C/ Tela Artística   3 X 3 Fio 12, Perfil  U  Dim.  19,05  X 19,05  X 3,17  Mm,  Barra  Retangular  Dim  9,52  X 6,35  Mm,  Fixada  Em  Chapa Metálica Dim: 0,20 X 0,10 X 0,05 Cm, C/ Injenção De Silicone,</v>
      </c>
      <c r="E418" s="837"/>
      <c r="F418" s="837"/>
      <c r="G418" s="838"/>
      <c r="H418" s="838"/>
      <c r="I418" s="851"/>
      <c r="J418" s="838"/>
      <c r="K418" s="838"/>
      <c r="L418" s="852" t="s">
        <v>12072</v>
      </c>
      <c r="M418" s="853">
        <f>96.5*2</f>
        <v>193</v>
      </c>
      <c r="N418" s="1128"/>
      <c r="O418" s="805"/>
    </row>
    <row r="419" spans="1:15" s="779" customFormat="1" ht="14.25" customHeight="1">
      <c r="A419" s="862"/>
      <c r="B419" s="835"/>
      <c r="C419" s="835"/>
      <c r="D419" s="826"/>
      <c r="E419" s="790"/>
      <c r="F419" s="790"/>
      <c r="G419" s="700" t="s">
        <v>30</v>
      </c>
      <c r="H419" s="700" t="s">
        <v>30</v>
      </c>
      <c r="I419" s="700" t="s">
        <v>30</v>
      </c>
      <c r="J419" s="700" t="s">
        <v>30</v>
      </c>
      <c r="K419" s="700" t="s">
        <v>30</v>
      </c>
      <c r="L419" s="700"/>
      <c r="M419" s="827"/>
      <c r="N419" s="1128"/>
      <c r="O419" s="805"/>
    </row>
    <row r="420" spans="1:15" s="779" customFormat="1" ht="14.25" customHeight="1">
      <c r="A420" s="862" t="s">
        <v>14325</v>
      </c>
      <c r="B420" s="835" t="s">
        <v>11722</v>
      </c>
      <c r="C420" s="1239" t="s">
        <v>14428</v>
      </c>
      <c r="D420" s="956" t="str">
        <f>PROPER(IF(B420="Saneago",VLOOKUP(C420,'SANEAGO-FEV.2016'!A:B,2,0),IF(B420="Sinapi",VLOOKUP(C420,'SINAPI-FEV.2017'!A:D,2,0),IF(B420="Cotação",VLOOKUP(C420,COTAÇÃO!A:D,2,0),IF(B420="Composição",VLOOKUP(C420,COMPOSIÇÃO!A:D,2,0))))))</f>
        <v>Escada Metálica, Conforme Desenho Ct/E/T/Hra/D19</v>
      </c>
      <c r="E420" s="837"/>
      <c r="F420" s="837"/>
      <c r="G420" s="838"/>
      <c r="H420" s="838"/>
      <c r="I420" s="851"/>
      <c r="J420" s="838"/>
      <c r="K420" s="838"/>
      <c r="L420" s="852" t="s">
        <v>1274</v>
      </c>
      <c r="M420" s="853">
        <v>6</v>
      </c>
      <c r="N420" s="1128"/>
      <c r="O420" s="805"/>
    </row>
    <row r="421" spans="1:15" s="779" customFormat="1" ht="14.25" customHeight="1">
      <c r="A421" s="862"/>
      <c r="B421" s="835"/>
      <c r="C421" s="835"/>
      <c r="D421" s="826"/>
      <c r="E421" s="790"/>
      <c r="F421" s="790"/>
      <c r="G421" s="700" t="s">
        <v>30</v>
      </c>
      <c r="H421" s="700" t="s">
        <v>30</v>
      </c>
      <c r="I421" s="700" t="s">
        <v>30</v>
      </c>
      <c r="J421" s="700" t="s">
        <v>30</v>
      </c>
      <c r="K421" s="700" t="s">
        <v>30</v>
      </c>
      <c r="L421" s="700"/>
      <c r="M421" s="827"/>
      <c r="N421" s="1128"/>
      <c r="O421" s="805"/>
    </row>
    <row r="422" spans="1:15" s="779" customFormat="1" ht="14.25" customHeight="1">
      <c r="A422" s="862" t="s">
        <v>14659</v>
      </c>
      <c r="B422" s="835" t="s">
        <v>11722</v>
      </c>
      <c r="C422" s="1239" t="s">
        <v>14658</v>
      </c>
      <c r="D422" s="956" t="str">
        <f>PROPER(IF(B422="Saneago",VLOOKUP(C422,'SANEAGO-FEV.2016'!A:B,2,0),IF(B422="Sinapi",VLOOKUP(C422,'SINAPI-FEV.2017'!A:D,2,0),IF(B422="Cotação",VLOOKUP(C422,COTAÇÃO!A:D,2,0),IF(B422="Composição",VLOOKUP(C422,COMPOSIÇÃO!A:D,2,0))))))</f>
        <v>Escada Metálica, Conforme Desenho Ct/E/T/Hra/D13</v>
      </c>
      <c r="E422" s="837"/>
      <c r="F422" s="837"/>
      <c r="G422" s="838"/>
      <c r="H422" s="838"/>
      <c r="I422" s="851"/>
      <c r="J422" s="838"/>
      <c r="K422" s="838"/>
      <c r="L422" s="852" t="s">
        <v>1274</v>
      </c>
      <c r="M422" s="853">
        <v>2</v>
      </c>
      <c r="N422" s="1128"/>
      <c r="O422" s="805"/>
    </row>
    <row r="423" spans="1:15" s="779" customFormat="1">
      <c r="A423" s="862"/>
      <c r="B423" s="835"/>
      <c r="C423" s="1239"/>
      <c r="D423" s="826"/>
      <c r="E423" s="790"/>
      <c r="F423" s="790"/>
      <c r="G423" s="700" t="s">
        <v>30</v>
      </c>
      <c r="H423" s="700" t="s">
        <v>30</v>
      </c>
      <c r="I423" s="700" t="s">
        <v>30</v>
      </c>
      <c r="J423" s="700" t="s">
        <v>30</v>
      </c>
      <c r="K423" s="700" t="s">
        <v>30</v>
      </c>
      <c r="L423" s="700"/>
      <c r="M423" s="827"/>
      <c r="N423" s="1128"/>
      <c r="O423" s="805"/>
    </row>
    <row r="424" spans="1:15" s="779" customFormat="1">
      <c r="A424" s="862" t="s">
        <v>14327</v>
      </c>
      <c r="B424" s="835" t="s">
        <v>11722</v>
      </c>
      <c r="C424" s="1239" t="s">
        <v>14429</v>
      </c>
      <c r="D424" s="956" t="str">
        <f>PROPER(IF(B424="Saneago",VLOOKUP(C424,'SANEAGO-FEV.2016'!A:B,2,0),IF(B424="Sinapi",VLOOKUP(C424,'SINAPI-FEV.2017'!A:D,2,0),IF(B424="Cotação",VLOOKUP(C424,COTAÇÃO!A:D,2,0),IF(B424="Composição",VLOOKUP(C424,COMPOSIÇÃO!A:D,2,0))))))</f>
        <v>Passarela Metálica, Conforme Desenho Ct/E/T/Hra/D19</v>
      </c>
      <c r="E424" s="837"/>
      <c r="F424" s="837"/>
      <c r="G424" s="838"/>
      <c r="H424" s="838"/>
      <c r="I424" s="851"/>
      <c r="J424" s="838"/>
      <c r="K424" s="838"/>
      <c r="L424" s="852" t="s">
        <v>21</v>
      </c>
      <c r="M424" s="853">
        <v>75</v>
      </c>
      <c r="N424" s="1128"/>
      <c r="O424" s="805"/>
    </row>
    <row r="425" spans="1:15" s="779" customFormat="1" ht="13.5" thickBot="1">
      <c r="A425" s="862"/>
      <c r="B425" s="835"/>
      <c r="C425" s="835"/>
      <c r="D425" s="1119"/>
      <c r="E425" s="790"/>
      <c r="F425" s="790"/>
      <c r="G425" s="828"/>
      <c r="H425" s="828"/>
      <c r="I425" s="1240"/>
      <c r="J425" s="828"/>
      <c r="K425" s="828"/>
      <c r="L425" s="700"/>
      <c r="M425" s="829"/>
      <c r="N425" s="1128"/>
      <c r="O425" s="805"/>
    </row>
    <row r="426" spans="1:15" ht="14.25" thickTop="1" thickBot="1">
      <c r="A426" s="912"/>
      <c r="D426" s="830" t="s">
        <v>24</v>
      </c>
      <c r="E426" s="831"/>
      <c r="F426" s="831"/>
      <c r="G426" s="831"/>
      <c r="H426" s="831"/>
      <c r="I426" s="831"/>
      <c r="J426" s="831"/>
      <c r="K426" s="831"/>
      <c r="L426" s="832" t="s">
        <v>25</v>
      </c>
      <c r="M426" s="833" t="s">
        <v>27</v>
      </c>
      <c r="N426" s="876"/>
    </row>
    <row r="427" spans="1:15" s="779" customFormat="1" ht="13.5" thickTop="1">
      <c r="A427" s="862"/>
      <c r="B427" s="835"/>
      <c r="C427" s="835"/>
      <c r="D427" s="826"/>
      <c r="E427" s="790"/>
      <c r="F427" s="790"/>
      <c r="G427" s="700" t="s">
        <v>30</v>
      </c>
      <c r="H427" s="700" t="s">
        <v>30</v>
      </c>
      <c r="I427" s="700" t="s">
        <v>30</v>
      </c>
      <c r="J427" s="700" t="s">
        <v>30</v>
      </c>
      <c r="K427" s="700" t="s">
        <v>30</v>
      </c>
      <c r="L427" s="700" t="s">
        <v>30</v>
      </c>
      <c r="M427" s="700" t="s">
        <v>30</v>
      </c>
      <c r="N427" s="1128"/>
      <c r="O427" s="805"/>
    </row>
    <row r="428" spans="1:15" s="779" customFormat="1" ht="22.5">
      <c r="A428" s="862" t="s">
        <v>14481</v>
      </c>
      <c r="B428" s="835" t="s">
        <v>10852</v>
      </c>
      <c r="C428" s="835">
        <v>1737</v>
      </c>
      <c r="D428" s="956" t="str">
        <f>PROPER(IF(B428="Saneago",VLOOKUP(C428,'SANEAGO-FEV.2016'!A:B,2,0),IF(B428="Sinapi",VLOOKUP(C428,'SINAPI-FEV.2017'!A:D,2,0),IF(B428="Cotação",VLOOKUP(C428,COTAÇÃO!A:D,2,0),IF(B428="Composição",VLOOKUP(C428,COMPOSIÇÃO!A:D,2,0))))))</f>
        <v>Poço De Visita  Em Anéis De Concreto Diâmetros 60 Cm (Chaminé) E 90 Cm (Balão), Incluindo Anel Tampão De Concreto, Profundidade = 1,5 M</v>
      </c>
      <c r="E428" s="837"/>
      <c r="F428" s="837"/>
      <c r="G428" s="838"/>
      <c r="H428" s="838"/>
      <c r="I428" s="851"/>
      <c r="J428" s="838"/>
      <c r="K428" s="838"/>
      <c r="L428" s="852" t="s">
        <v>1274</v>
      </c>
      <c r="M428" s="853">
        <f>11*2</f>
        <v>22</v>
      </c>
      <c r="N428" s="1128"/>
      <c r="O428" s="805"/>
    </row>
    <row r="429" spans="1:15" s="779" customFormat="1">
      <c r="A429" s="862"/>
      <c r="B429" s="835"/>
      <c r="C429" s="835"/>
      <c r="D429" s="826"/>
      <c r="E429" s="790"/>
      <c r="F429" s="790"/>
      <c r="G429" s="700" t="s">
        <v>30</v>
      </c>
      <c r="H429" s="700" t="s">
        <v>30</v>
      </c>
      <c r="I429" s="700" t="s">
        <v>30</v>
      </c>
      <c r="J429" s="700" t="s">
        <v>30</v>
      </c>
      <c r="K429" s="700" t="s">
        <v>30</v>
      </c>
      <c r="L429" s="700" t="s">
        <v>30</v>
      </c>
      <c r="M429" s="700" t="s">
        <v>30</v>
      </c>
      <c r="N429" s="1128"/>
      <c r="O429" s="805"/>
    </row>
    <row r="430" spans="1:15" s="779" customFormat="1" ht="22.5">
      <c r="A430" s="862" t="s">
        <v>14482</v>
      </c>
      <c r="B430" s="835" t="s">
        <v>10852</v>
      </c>
      <c r="C430" s="835">
        <v>1612</v>
      </c>
      <c r="D430" s="956" t="str">
        <f>PROPER(IF(B430="Saneago",VLOOKUP(C430,'SANEAGO-FEV.2016'!A:B,2,0),IF(B430="Sinapi",VLOOKUP(C430,'SINAPI-FEV.2017'!A:D,2,0),IF(B430="Cotação",VLOOKUP(C430,COTAÇÃO!A:D,2,0),IF(B430="Composição",VLOOKUP(C430,COMPOSIÇÃO!A:D,2,0))))))</f>
        <v>Poço De Visita  Em Anéis De Concreto Diâmetros 60 Cm (Chaminé) E 90 Cm (Balão), Incluindo Anel Tampão De Concreto, Profundidade = 2,0 M</v>
      </c>
      <c r="E430" s="837"/>
      <c r="F430" s="837"/>
      <c r="G430" s="838"/>
      <c r="H430" s="838"/>
      <c r="I430" s="851"/>
      <c r="J430" s="838"/>
      <c r="K430" s="838"/>
      <c r="L430" s="852" t="s">
        <v>1274</v>
      </c>
      <c r="M430" s="853">
        <f>2*2</f>
        <v>4</v>
      </c>
      <c r="N430" s="1128"/>
      <c r="O430" s="805"/>
    </row>
    <row r="431" spans="1:15" s="779" customFormat="1">
      <c r="A431" s="862"/>
      <c r="B431" s="835"/>
      <c r="C431" s="835"/>
      <c r="D431" s="826"/>
      <c r="E431" s="790"/>
      <c r="F431" s="790"/>
      <c r="G431" s="700" t="s">
        <v>30</v>
      </c>
      <c r="H431" s="700" t="s">
        <v>30</v>
      </c>
      <c r="I431" s="700" t="s">
        <v>30</v>
      </c>
      <c r="J431" s="700" t="s">
        <v>30</v>
      </c>
      <c r="K431" s="700" t="s">
        <v>30</v>
      </c>
      <c r="L431" s="700" t="s">
        <v>30</v>
      </c>
      <c r="M431" s="700" t="s">
        <v>30</v>
      </c>
      <c r="N431" s="1128"/>
      <c r="O431" s="805"/>
    </row>
    <row r="432" spans="1:15" s="779" customFormat="1">
      <c r="A432" s="862" t="s">
        <v>12672</v>
      </c>
      <c r="B432" s="850" t="s">
        <v>11644</v>
      </c>
      <c r="C432" s="922">
        <v>9537</v>
      </c>
      <c r="D432" s="956" t="str">
        <f>PROPER(IF(B432="Saneago",VLOOKUP(C432,'SANEAGO-FEV.2016'!A:B,2,0),IF(B432="Sinapi",VLOOKUP(C432,'SINAPI-FEV.2017'!A:D,2,0),IF(B432="Cotação",VLOOKUP(C432,COTAÇÃO!A:D,2,0),IF(B432="Composição",VLOOKUP(C432,COMPOSIÇÃO!A:D,2,0))))))</f>
        <v>Limpeza Final Da Obra</v>
      </c>
      <c r="E432" s="837"/>
      <c r="F432" s="837"/>
      <c r="G432" s="838"/>
      <c r="H432" s="838"/>
      <c r="I432" s="851"/>
      <c r="J432" s="838"/>
      <c r="K432" s="838"/>
      <c r="L432" s="852" t="s">
        <v>21</v>
      </c>
      <c r="M432" s="853">
        <f>70*25-E389*F389*G389</f>
        <v>1289.04</v>
      </c>
      <c r="N432" s="1128"/>
      <c r="O432" s="805"/>
    </row>
    <row r="433" spans="1:15" s="779" customFormat="1">
      <c r="A433" s="862"/>
      <c r="B433" s="835"/>
      <c r="C433" s="835"/>
      <c r="D433" s="826"/>
      <c r="E433" s="790"/>
      <c r="F433" s="790"/>
      <c r="G433" s="700" t="s">
        <v>30</v>
      </c>
      <c r="H433" s="700" t="s">
        <v>30</v>
      </c>
      <c r="I433" s="700" t="s">
        <v>30</v>
      </c>
      <c r="J433" s="700" t="s">
        <v>30</v>
      </c>
      <c r="K433" s="700" t="s">
        <v>30</v>
      </c>
      <c r="L433" s="700"/>
      <c r="M433" s="827"/>
      <c r="N433" s="1128"/>
      <c r="O433" s="805"/>
    </row>
    <row r="434" spans="1:15" s="779" customFormat="1">
      <c r="A434" s="862" t="s">
        <v>12568</v>
      </c>
      <c r="B434" s="835" t="s">
        <v>11720</v>
      </c>
      <c r="C434" s="835" t="s">
        <v>12671</v>
      </c>
      <c r="D434" s="956" t="str">
        <f>PROPER(IF(B434="Saneago",VLOOKUP(C434,'SANEAGO-FEV.2016'!A:B,2,0),IF(B434="Sinapi",VLOOKUP(C434,'SINAPI-FEV.2017'!A:D,2,0),IF(B434="Cotação",VLOOKUP(C434,COTAÇÃO!A:D,2,0),IF(B434="Composição",VLOOKUP(C434,COMPOSIÇÃO!A:D,2,0))))))</f>
        <v>Montagem De Material Hidráulico Do Reator</v>
      </c>
      <c r="E434" s="837"/>
      <c r="F434" s="837"/>
      <c r="G434" s="838"/>
      <c r="H434" s="851"/>
      <c r="I434" s="838"/>
      <c r="J434" s="838"/>
      <c r="K434" s="838"/>
      <c r="L434" s="852" t="s">
        <v>1274</v>
      </c>
      <c r="M434" s="853">
        <v>1</v>
      </c>
      <c r="N434" s="1128"/>
      <c r="O434" s="805"/>
    </row>
    <row r="435" spans="1:15">
      <c r="D435" s="946"/>
      <c r="E435" s="947"/>
      <c r="F435" s="947"/>
      <c r="G435" s="842" t="s">
        <v>30</v>
      </c>
      <c r="H435" s="842" t="s">
        <v>30</v>
      </c>
      <c r="I435" s="842" t="s">
        <v>30</v>
      </c>
      <c r="J435" s="842" t="s">
        <v>30</v>
      </c>
      <c r="K435" s="842" t="s">
        <v>30</v>
      </c>
      <c r="L435" s="842"/>
      <c r="M435" s="1241"/>
      <c r="N435" s="1242"/>
    </row>
    <row r="436" spans="1:15">
      <c r="A436" s="862" t="s">
        <v>14283</v>
      </c>
      <c r="B436" s="835" t="s">
        <v>11720</v>
      </c>
      <c r="C436" s="835" t="s">
        <v>14282</v>
      </c>
      <c r="D436" s="957" t="str">
        <f>PROPER(IF(B436="Saneago",VLOOKUP(C436,'SANEAGO-FEV.2016'!A:B,2,0),IF(B436="Sinapi",VLOOKUP(C436,'SINAPI-FEV.2017'!A:D,2,0),IF(B436="Cotação",VLOOKUP(C436,COTAÇÃO!A:D,2,0),IF(B436="Composição",VLOOKUP(C436,COMPOSIÇÃO!A:D,2,0))))))</f>
        <v>Montagem De Equipamentos Do Reator</v>
      </c>
      <c r="E436" s="947"/>
      <c r="F436" s="947"/>
      <c r="G436" s="948"/>
      <c r="H436" s="958"/>
      <c r="I436" s="948"/>
      <c r="J436" s="948"/>
      <c r="K436" s="948"/>
      <c r="L436" s="842" t="s">
        <v>1274</v>
      </c>
      <c r="M436" s="949">
        <v>1</v>
      </c>
      <c r="N436" s="1242"/>
    </row>
  </sheetData>
  <sheetProtection algorithmName="SHA-512" hashValue="qmVnCaK7+381K7euFqFTRxrkig6F4PhahKzwyToAJYelMCJLvxVBTc7SaquIq4epJV8UVWFgj3anWEmIaYHQ5g==" saltValue="opSRuQMhy/5GeH+8+nZ3Ng==" spinCount="100000" sheet="1"/>
  <mergeCells count="44">
    <mergeCell ref="I42:K42"/>
    <mergeCell ref="E31:G31"/>
    <mergeCell ref="I293:K293"/>
    <mergeCell ref="E410:F410"/>
    <mergeCell ref="F386:I386"/>
    <mergeCell ref="J386:K386"/>
    <mergeCell ref="I287:K287"/>
    <mergeCell ref="D294:M294"/>
    <mergeCell ref="E383:F383"/>
    <mergeCell ref="F230:H230"/>
    <mergeCell ref="I222:K222"/>
    <mergeCell ref="J91:K91"/>
    <mergeCell ref="D307:M307"/>
    <mergeCell ref="F176:K176"/>
    <mergeCell ref="F180:K180"/>
    <mergeCell ref="F283:K283"/>
    <mergeCell ref="D1:M4"/>
    <mergeCell ref="D10:M10"/>
    <mergeCell ref="D12:M12"/>
    <mergeCell ref="E28:G28"/>
    <mergeCell ref="D8:F8"/>
    <mergeCell ref="F414:I414"/>
    <mergeCell ref="J414:K414"/>
    <mergeCell ref="G413:H413"/>
    <mergeCell ref="I413:J413"/>
    <mergeCell ref="K413:L413"/>
    <mergeCell ref="E413:F413"/>
    <mergeCell ref="M413:N413"/>
    <mergeCell ref="I223:K223"/>
    <mergeCell ref="J403:K403"/>
    <mergeCell ref="D232:M232"/>
    <mergeCell ref="F412:I412"/>
    <mergeCell ref="J412:K412"/>
    <mergeCell ref="E411:F411"/>
    <mergeCell ref="I226:J226"/>
    <mergeCell ref="I228:J228"/>
    <mergeCell ref="I291:K291"/>
    <mergeCell ref="G85:H85"/>
    <mergeCell ref="I225:J225"/>
    <mergeCell ref="I224:K224"/>
    <mergeCell ref="E403:H403"/>
    <mergeCell ref="E382:F382"/>
    <mergeCell ref="G89:H89"/>
    <mergeCell ref="D119:M119"/>
  </mergeCells>
  <conditionalFormatting sqref="L40:M42 L380:M380 K437:M65536 L32:M32 L228:M230 L415:M415 L425:M425 L384:M385 L291:M292">
    <cfRule type="cellIs" dxfId="1770" priority="304" operator="equal">
      <formula>0</formula>
    </cfRule>
  </conditionalFormatting>
  <conditionalFormatting sqref="L14">
    <cfRule type="cellIs" dxfId="1769" priority="300" operator="equal">
      <formula>0</formula>
    </cfRule>
  </conditionalFormatting>
  <conditionalFormatting sqref="L91:M91 M88 L88:L89">
    <cfRule type="cellIs" dxfId="1768" priority="294" operator="equal">
      <formula>0</formula>
    </cfRule>
  </conditionalFormatting>
  <conditionalFormatting sqref="L95:M96">
    <cfRule type="cellIs" dxfId="1767" priority="293" operator="equal">
      <formula>0</formula>
    </cfRule>
  </conditionalFormatting>
  <conditionalFormatting sqref="L343:M343">
    <cfRule type="cellIs" dxfId="1766" priority="297" operator="equal">
      <formula>0</formula>
    </cfRule>
  </conditionalFormatting>
  <conditionalFormatting sqref="L37:M37">
    <cfRule type="cellIs" dxfId="1765" priority="295" operator="equal">
      <formula>0</formula>
    </cfRule>
  </conditionalFormatting>
  <conditionalFormatting sqref="L109:M109">
    <cfRule type="cellIs" dxfId="1764" priority="289" operator="equal">
      <formula>0</formula>
    </cfRule>
  </conditionalFormatting>
  <conditionalFormatting sqref="L94:M94">
    <cfRule type="cellIs" dxfId="1763" priority="292" operator="equal">
      <formula>0</formula>
    </cfRule>
  </conditionalFormatting>
  <conditionalFormatting sqref="M113">
    <cfRule type="cellIs" dxfId="1762" priority="283" operator="equal">
      <formula>0</formula>
    </cfRule>
  </conditionalFormatting>
  <conditionalFormatting sqref="L334:M335">
    <cfRule type="cellIs" dxfId="1761" priority="275" operator="equal">
      <formula>0</formula>
    </cfRule>
  </conditionalFormatting>
  <conditionalFormatting sqref="L108:M108">
    <cfRule type="cellIs" dxfId="1760" priority="288" operator="equal">
      <formula>0</formula>
    </cfRule>
  </conditionalFormatting>
  <conditionalFormatting sqref="L111">
    <cfRule type="cellIs" dxfId="1759" priority="287" operator="equal">
      <formula>0</formula>
    </cfRule>
  </conditionalFormatting>
  <conditionalFormatting sqref="L110:M110">
    <cfRule type="cellIs" dxfId="1758" priority="286" operator="equal">
      <formula>0</formula>
    </cfRule>
  </conditionalFormatting>
  <conditionalFormatting sqref="L113">
    <cfRule type="cellIs" dxfId="1757" priority="285" operator="equal">
      <formula>0</formula>
    </cfRule>
  </conditionalFormatting>
  <conditionalFormatting sqref="L112:M112">
    <cfRule type="cellIs" dxfId="1756" priority="284" operator="equal">
      <formula>0</formula>
    </cfRule>
  </conditionalFormatting>
  <conditionalFormatting sqref="L404:M404">
    <cfRule type="cellIs" dxfId="1755" priority="276" operator="equal">
      <formula>0</formula>
    </cfRule>
  </conditionalFormatting>
  <conditionalFormatting sqref="L114:M114">
    <cfRule type="cellIs" dxfId="1754" priority="277" operator="equal">
      <formula>0</formula>
    </cfRule>
  </conditionalFormatting>
  <conditionalFormatting sqref="L39:M39">
    <cfRule type="cellIs" dxfId="1753" priority="270" operator="equal">
      <formula>0</formula>
    </cfRule>
  </conditionalFormatting>
  <conditionalFormatting sqref="L46:M47">
    <cfRule type="cellIs" dxfId="1752" priority="272" operator="equal">
      <formula>0</formula>
    </cfRule>
  </conditionalFormatting>
  <conditionalFormatting sqref="L34:M34">
    <cfRule type="cellIs" dxfId="1751" priority="273" operator="equal">
      <formula>0</formula>
    </cfRule>
  </conditionalFormatting>
  <conditionalFormatting sqref="L38:M38">
    <cfRule type="cellIs" dxfId="1750" priority="271" operator="equal">
      <formula>0</formula>
    </cfRule>
  </conditionalFormatting>
  <conditionalFormatting sqref="L85">
    <cfRule type="cellIs" dxfId="1749" priority="253" operator="equal">
      <formula>0</formula>
    </cfRule>
  </conditionalFormatting>
  <conditionalFormatting sqref="L87:M89">
    <cfRule type="cellIs" dxfId="1748" priority="252" operator="equal">
      <formula>0</formula>
    </cfRule>
  </conditionalFormatting>
  <conditionalFormatting sqref="L52:M52">
    <cfRule type="cellIs" dxfId="1747" priority="267" operator="equal">
      <formula>0</formula>
    </cfRule>
  </conditionalFormatting>
  <conditionalFormatting sqref="M48">
    <cfRule type="cellIs" dxfId="1746" priority="265" operator="equal">
      <formula>0</formula>
    </cfRule>
  </conditionalFormatting>
  <conditionalFormatting sqref="L53:M53">
    <cfRule type="cellIs" dxfId="1745" priority="266" operator="equal">
      <formula>0</formula>
    </cfRule>
  </conditionalFormatting>
  <conditionalFormatting sqref="M13:M14">
    <cfRule type="cellIs" dxfId="1744" priority="246" operator="equal">
      <formula>0</formula>
    </cfRule>
  </conditionalFormatting>
  <conditionalFormatting sqref="L92:M92">
    <cfRule type="cellIs" dxfId="1743" priority="251" operator="equal">
      <formula>0</formula>
    </cfRule>
  </conditionalFormatting>
  <conditionalFormatting sqref="L93:M93">
    <cfRule type="cellIs" dxfId="1742" priority="250" operator="equal">
      <formula>0</formula>
    </cfRule>
  </conditionalFormatting>
  <conditionalFormatting sqref="G92:K92">
    <cfRule type="cellIs" dxfId="1741" priority="249" operator="equal">
      <formula>0</formula>
    </cfRule>
  </conditionalFormatting>
  <conditionalFormatting sqref="L31:M31">
    <cfRule type="cellIs" dxfId="1740" priority="215" operator="equal">
      <formula>0</formula>
    </cfRule>
  </conditionalFormatting>
  <conditionalFormatting sqref="G93:K93">
    <cfRule type="cellIs" dxfId="1739" priority="248" operator="equal">
      <formula>0</formula>
    </cfRule>
  </conditionalFormatting>
  <conditionalFormatting sqref="L86:M86">
    <cfRule type="cellIs" dxfId="1738" priority="214" operator="equal">
      <formula>0</formula>
    </cfRule>
  </conditionalFormatting>
  <conditionalFormatting sqref="M85">
    <cfRule type="cellIs" dxfId="1737" priority="213" operator="equal">
      <formula>0</formula>
    </cfRule>
  </conditionalFormatting>
  <conditionalFormatting sqref="L432:M432">
    <cfRule type="cellIs" dxfId="1736" priority="206" operator="equal">
      <formula>0</formula>
    </cfRule>
  </conditionalFormatting>
  <conditionalFormatting sqref="M90">
    <cfRule type="cellIs" dxfId="1735" priority="211" operator="equal">
      <formula>0</formula>
    </cfRule>
  </conditionalFormatting>
  <conditionalFormatting sqref="L90">
    <cfRule type="cellIs" dxfId="1734" priority="212" operator="equal">
      <formula>0</formula>
    </cfRule>
  </conditionalFormatting>
  <conditionalFormatting sqref="L33">
    <cfRule type="cellIs" dxfId="1733" priority="216" operator="equal">
      <formula>0</formula>
    </cfRule>
  </conditionalFormatting>
  <conditionalFormatting sqref="M29">
    <cfRule type="cellIs" dxfId="1732" priority="201" operator="equal">
      <formula>0</formula>
    </cfRule>
  </conditionalFormatting>
  <conditionalFormatting sqref="L412">
    <cfRule type="cellIs" dxfId="1731" priority="196" operator="equal">
      <formula>0</formula>
    </cfRule>
  </conditionalFormatting>
  <conditionalFormatting sqref="L386:M386 L407:M409 M410:M411">
    <cfRule type="cellIs" dxfId="1730" priority="197" operator="equal">
      <formula>0</formula>
    </cfRule>
  </conditionalFormatting>
  <conditionalFormatting sqref="D12">
    <cfRule type="cellIs" dxfId="1729" priority="303" operator="equal">
      <formula>0</formula>
    </cfRule>
  </conditionalFormatting>
  <conditionalFormatting sqref="K5:M9 K25:M25 L13 K11:M11 L30:M30 L29">
    <cfRule type="cellIs" dxfId="1728" priority="302" operator="equal">
      <formula>0</formula>
    </cfRule>
  </conditionalFormatting>
  <conditionalFormatting sqref="L15:M24">
    <cfRule type="cellIs" dxfId="1727" priority="301" operator="equal">
      <formula>0</formula>
    </cfRule>
  </conditionalFormatting>
  <conditionalFormatting sqref="D36">
    <cfRule type="cellIs" dxfId="1726" priority="296" operator="equal">
      <formula>0</formula>
    </cfRule>
  </conditionalFormatting>
  <conditionalFormatting sqref="D10">
    <cfRule type="cellIs" dxfId="1725" priority="299" operator="equal">
      <formula>0</formula>
    </cfRule>
  </conditionalFormatting>
  <conditionalFormatting sqref="D35">
    <cfRule type="cellIs" dxfId="1724" priority="298" operator="equal">
      <formula>0</formula>
    </cfRule>
  </conditionalFormatting>
  <conditionalFormatting sqref="D107">
    <cfRule type="cellIs" dxfId="1723" priority="290" operator="equal">
      <formula>0</formula>
    </cfRule>
  </conditionalFormatting>
  <conditionalFormatting sqref="D344">
    <cfRule type="cellIs" dxfId="1722" priority="280" operator="equal">
      <formula>0</formula>
    </cfRule>
  </conditionalFormatting>
  <conditionalFormatting sqref="D26">
    <cfRule type="cellIs" dxfId="1721" priority="274" operator="equal">
      <formula>0</formula>
    </cfRule>
  </conditionalFormatting>
  <conditionalFormatting sqref="D426">
    <cfRule type="cellIs" dxfId="1720" priority="245" operator="equal">
      <formula>0</formula>
    </cfRule>
  </conditionalFormatting>
  <conditionalFormatting sqref="M412">
    <cfRule type="cellIs" dxfId="1719" priority="195" operator="equal">
      <formula>0</formula>
    </cfRule>
  </conditionalFormatting>
  <conditionalFormatting sqref="L48">
    <cfRule type="cellIs" dxfId="1718" priority="185" operator="equal">
      <formula>0</formula>
    </cfRule>
  </conditionalFormatting>
  <conditionalFormatting sqref="D115">
    <cfRule type="cellIs" dxfId="1717" priority="174" operator="equal">
      <formula>0</formula>
    </cfRule>
  </conditionalFormatting>
  <conditionalFormatting sqref="M33">
    <cfRule type="cellIs" dxfId="1716" priority="162" operator="equal">
      <formula>0</formula>
    </cfRule>
  </conditionalFormatting>
  <conditionalFormatting sqref="L43:M44">
    <cfRule type="cellIs" dxfId="1715" priority="156" operator="equal">
      <formula>0</formula>
    </cfRule>
  </conditionalFormatting>
  <conditionalFormatting sqref="L49:M50">
    <cfRule type="cellIs" dxfId="1714" priority="154" operator="equal">
      <formula>0</formula>
    </cfRule>
  </conditionalFormatting>
  <conditionalFormatting sqref="M45">
    <cfRule type="cellIs" dxfId="1713" priority="151" operator="equal">
      <formula>0</formula>
    </cfRule>
  </conditionalFormatting>
  <conditionalFormatting sqref="L45">
    <cfRule type="cellIs" dxfId="1712" priority="150" operator="equal">
      <formula>0</formula>
    </cfRule>
  </conditionalFormatting>
  <conditionalFormatting sqref="M51">
    <cfRule type="cellIs" dxfId="1711" priority="149" operator="equal">
      <formula>0</formula>
    </cfRule>
  </conditionalFormatting>
  <conditionalFormatting sqref="L51">
    <cfRule type="cellIs" dxfId="1710" priority="148" operator="equal">
      <formula>0</formula>
    </cfRule>
  </conditionalFormatting>
  <conditionalFormatting sqref="L54:M54 L56:M56 L58 L60 L62 L64 L66 L68 L70 L72 L74 L76 L78 L80 L82:M82">
    <cfRule type="cellIs" dxfId="1709" priority="116" operator="equal">
      <formula>0</formula>
    </cfRule>
  </conditionalFormatting>
  <conditionalFormatting sqref="L55:M55 L57:M57 L59 L61 L63 L65 L67 L69 L71 L73 L75 L77 L79 L81 L83:M83">
    <cfRule type="cellIs" dxfId="1708" priority="115" operator="equal">
      <formula>0</formula>
    </cfRule>
  </conditionalFormatting>
  <conditionalFormatting sqref="M58">
    <cfRule type="cellIs" dxfId="1707" priority="114" operator="equal">
      <formula>0</formula>
    </cfRule>
  </conditionalFormatting>
  <conditionalFormatting sqref="M70">
    <cfRule type="cellIs" dxfId="1706" priority="106" operator="equal">
      <formula>0</formula>
    </cfRule>
  </conditionalFormatting>
  <conditionalFormatting sqref="M71">
    <cfRule type="cellIs" dxfId="1705" priority="105" operator="equal">
      <formula>0</formula>
    </cfRule>
  </conditionalFormatting>
  <conditionalFormatting sqref="M61 M63">
    <cfRule type="cellIs" dxfId="1704" priority="111" operator="equal">
      <formula>0</formula>
    </cfRule>
  </conditionalFormatting>
  <conditionalFormatting sqref="M64">
    <cfRule type="cellIs" dxfId="1703" priority="110" operator="equal">
      <formula>0</formula>
    </cfRule>
  </conditionalFormatting>
  <conditionalFormatting sqref="M66 M68">
    <cfRule type="cellIs" dxfId="1702" priority="108" operator="equal">
      <formula>0</formula>
    </cfRule>
  </conditionalFormatting>
  <conditionalFormatting sqref="M65">
    <cfRule type="cellIs" dxfId="1701" priority="109" operator="equal">
      <formula>0</formula>
    </cfRule>
  </conditionalFormatting>
  <conditionalFormatting sqref="M72 M74">
    <cfRule type="cellIs" dxfId="1700" priority="104" operator="equal">
      <formula>0</formula>
    </cfRule>
  </conditionalFormatting>
  <conditionalFormatting sqref="M67 M69">
    <cfRule type="cellIs" dxfId="1699" priority="107" operator="equal">
      <formula>0</formula>
    </cfRule>
  </conditionalFormatting>
  <conditionalFormatting sqref="M59">
    <cfRule type="cellIs" dxfId="1698" priority="113" operator="equal">
      <formula>0</formula>
    </cfRule>
  </conditionalFormatting>
  <conditionalFormatting sqref="M60 M62">
    <cfRule type="cellIs" dxfId="1697" priority="112" operator="equal">
      <formula>0</formula>
    </cfRule>
  </conditionalFormatting>
  <conditionalFormatting sqref="M73 M75">
    <cfRule type="cellIs" dxfId="1696" priority="103" operator="equal">
      <formula>0</formula>
    </cfRule>
  </conditionalFormatting>
  <conditionalFormatting sqref="M77">
    <cfRule type="cellIs" dxfId="1695" priority="101" operator="equal">
      <formula>0</formula>
    </cfRule>
  </conditionalFormatting>
  <conditionalFormatting sqref="M76">
    <cfRule type="cellIs" dxfId="1694" priority="102" operator="equal">
      <formula>0</formula>
    </cfRule>
  </conditionalFormatting>
  <conditionalFormatting sqref="M78 M80">
    <cfRule type="cellIs" dxfId="1693" priority="100" operator="equal">
      <formula>0</formula>
    </cfRule>
  </conditionalFormatting>
  <conditionalFormatting sqref="M79 M81">
    <cfRule type="cellIs" dxfId="1692" priority="99" operator="equal">
      <formula>0</formula>
    </cfRule>
  </conditionalFormatting>
  <conditionalFormatting sqref="L98:M98">
    <cfRule type="cellIs" dxfId="1691" priority="88" operator="equal">
      <formula>0</formula>
    </cfRule>
  </conditionalFormatting>
  <conditionalFormatting sqref="M111">
    <cfRule type="cellIs" dxfId="1690" priority="87" operator="equal">
      <formula>0</formula>
    </cfRule>
  </conditionalFormatting>
  <conditionalFormatting sqref="L118:M118">
    <cfRule type="cellIs" dxfId="1689" priority="86" operator="equal">
      <formula>0</formula>
    </cfRule>
  </conditionalFormatting>
  <conditionalFormatting sqref="L101:M101">
    <cfRule type="cellIs" dxfId="1688" priority="97" operator="equal">
      <formula>0</formula>
    </cfRule>
  </conditionalFormatting>
  <conditionalFormatting sqref="L100:M100">
    <cfRule type="cellIs" dxfId="1687" priority="96" operator="equal">
      <formula>0</formula>
    </cfRule>
  </conditionalFormatting>
  <conditionalFormatting sqref="L103:M103">
    <cfRule type="cellIs" dxfId="1686" priority="95" operator="equal">
      <formula>0</formula>
    </cfRule>
  </conditionalFormatting>
  <conditionalFormatting sqref="L102:M102">
    <cfRule type="cellIs" dxfId="1685" priority="94" operator="equal">
      <formula>0</formula>
    </cfRule>
  </conditionalFormatting>
  <conditionalFormatting sqref="L104:M104">
    <cfRule type="cellIs" dxfId="1684" priority="92" operator="equal">
      <formula>0</formula>
    </cfRule>
  </conditionalFormatting>
  <conditionalFormatting sqref="L105">
    <cfRule type="cellIs" dxfId="1683" priority="93" operator="equal">
      <formula>0</formula>
    </cfRule>
  </conditionalFormatting>
  <conditionalFormatting sqref="M105">
    <cfRule type="cellIs" dxfId="1682" priority="91" operator="equal">
      <formula>0</formula>
    </cfRule>
  </conditionalFormatting>
  <conditionalFormatting sqref="L106:M106">
    <cfRule type="cellIs" dxfId="1681" priority="90" operator="equal">
      <formula>0</formula>
    </cfRule>
  </conditionalFormatting>
  <conditionalFormatting sqref="L99:M99">
    <cfRule type="cellIs" dxfId="1680" priority="89" operator="equal">
      <formula>0</formula>
    </cfRule>
  </conditionalFormatting>
  <conditionalFormatting sqref="D97">
    <cfRule type="cellIs" dxfId="1679" priority="98" operator="equal">
      <formula>0</formula>
    </cfRule>
  </conditionalFormatting>
  <conditionalFormatting sqref="L231:M231 L233:M233">
    <cfRule type="cellIs" dxfId="1678" priority="85" operator="equal">
      <formula>0</formula>
    </cfRule>
  </conditionalFormatting>
  <conditionalFormatting sqref="M403">
    <cfRule type="cellIs" dxfId="1677" priority="71" operator="equal">
      <formula>0</formula>
    </cfRule>
  </conditionalFormatting>
  <conditionalFormatting sqref="L403">
    <cfRule type="cellIs" dxfId="1676" priority="72" operator="equal">
      <formula>0</formula>
    </cfRule>
  </conditionalFormatting>
  <conditionalFormatting sqref="L410:L411">
    <cfRule type="cellIs" dxfId="1675" priority="67" operator="equal">
      <formula>0</formula>
    </cfRule>
  </conditionalFormatting>
  <conditionalFormatting sqref="L434">
    <cfRule type="cellIs" dxfId="1674" priority="65" operator="equal">
      <formula>0</formula>
    </cfRule>
  </conditionalFormatting>
  <conditionalFormatting sqref="L433:M433 M434">
    <cfRule type="cellIs" dxfId="1673" priority="66" operator="equal">
      <formula>0</formula>
    </cfRule>
  </conditionalFormatting>
  <conditionalFormatting sqref="L436">
    <cfRule type="cellIs" dxfId="1672" priority="61" operator="equal">
      <formula>0</formula>
    </cfRule>
  </conditionalFormatting>
  <conditionalFormatting sqref="L435:M435 M436">
    <cfRule type="cellIs" dxfId="1671" priority="62" operator="equal">
      <formula>0</formula>
    </cfRule>
  </conditionalFormatting>
  <conditionalFormatting sqref="L342">
    <cfRule type="cellIs" dxfId="1670" priority="54" operator="equal">
      <formula>0</formula>
    </cfRule>
  </conditionalFormatting>
  <conditionalFormatting sqref="D336">
    <cfRule type="cellIs" dxfId="1669" priority="59" operator="equal">
      <formula>0</formula>
    </cfRule>
  </conditionalFormatting>
  <conditionalFormatting sqref="L338:M338">
    <cfRule type="cellIs" dxfId="1668" priority="58" operator="equal">
      <formula>0</formula>
    </cfRule>
  </conditionalFormatting>
  <conditionalFormatting sqref="L340:M340">
    <cfRule type="cellIs" dxfId="1667" priority="57" operator="equal">
      <formula>0</formula>
    </cfRule>
  </conditionalFormatting>
  <conditionalFormatting sqref="M342">
    <cfRule type="cellIs" dxfId="1666" priority="56" operator="equal">
      <formula>0</formula>
    </cfRule>
  </conditionalFormatting>
  <conditionalFormatting sqref="D405">
    <cfRule type="cellIs" dxfId="1665" priority="51" operator="equal">
      <formula>0</formula>
    </cfRule>
  </conditionalFormatting>
  <conditionalFormatting sqref="L414">
    <cfRule type="cellIs" dxfId="1664" priority="49" operator="equal">
      <formula>0</formula>
    </cfRule>
  </conditionalFormatting>
  <conditionalFormatting sqref="M414">
    <cfRule type="cellIs" dxfId="1663" priority="48" operator="equal">
      <formula>0</formula>
    </cfRule>
  </conditionalFormatting>
  <conditionalFormatting sqref="L382:M382 M383">
    <cfRule type="cellIs" dxfId="1662" priority="46" operator="equal">
      <formula>0</formula>
    </cfRule>
  </conditionalFormatting>
  <conditionalFormatting sqref="L383">
    <cfRule type="cellIs" dxfId="1661" priority="45" operator="equal">
      <formula>0</formula>
    </cfRule>
  </conditionalFormatting>
  <conditionalFormatting sqref="L417:M418">
    <cfRule type="cellIs" dxfId="1660" priority="43" operator="equal">
      <formula>0</formula>
    </cfRule>
  </conditionalFormatting>
  <conditionalFormatting sqref="D416">
    <cfRule type="cellIs" dxfId="1659" priority="44" operator="equal">
      <formula>0</formula>
    </cfRule>
  </conditionalFormatting>
  <conditionalFormatting sqref="L419:M420">
    <cfRule type="cellIs" dxfId="1658" priority="42" operator="equal">
      <formula>0</formula>
    </cfRule>
  </conditionalFormatting>
  <conditionalFormatting sqref="L423:M424">
    <cfRule type="cellIs" dxfId="1657" priority="41" operator="equal">
      <formula>0</formula>
    </cfRule>
  </conditionalFormatting>
  <conditionalFormatting sqref="M428">
    <cfRule type="cellIs" dxfId="1656" priority="39" operator="equal">
      <formula>0</formula>
    </cfRule>
  </conditionalFormatting>
  <conditionalFormatting sqref="M430">
    <cfRule type="cellIs" dxfId="1655" priority="38" operator="equal">
      <formula>0</formula>
    </cfRule>
  </conditionalFormatting>
  <conditionalFormatting sqref="L428">
    <cfRule type="cellIs" dxfId="1654" priority="37" operator="equal">
      <formula>0</formula>
    </cfRule>
  </conditionalFormatting>
  <conditionalFormatting sqref="L430">
    <cfRule type="cellIs" dxfId="1653" priority="36" operator="equal">
      <formula>0</formula>
    </cfRule>
  </conditionalFormatting>
  <conditionalFormatting sqref="L421:M422">
    <cfRule type="cellIs" dxfId="1652" priority="35" operator="equal">
      <formula>0</formula>
    </cfRule>
  </conditionalFormatting>
  <conditionalFormatting sqref="L226:M226">
    <cfRule type="cellIs" dxfId="1651" priority="34" operator="equal">
      <formula>0</formula>
    </cfRule>
  </conditionalFormatting>
  <conditionalFormatting sqref="L225:M225">
    <cfRule type="cellIs" dxfId="1650" priority="33" operator="equal">
      <formula>0</formula>
    </cfRule>
  </conditionalFormatting>
  <conditionalFormatting sqref="L320:L321 L323 L325 L327:L328">
    <cfRule type="cellIs" dxfId="1649" priority="31" operator="equal">
      <formula>0</formula>
    </cfRule>
  </conditionalFormatting>
  <conditionalFormatting sqref="M320:M321 M323 M325 M327:M328">
    <cfRule type="cellIs" dxfId="1648" priority="30" operator="equal">
      <formula>0</formula>
    </cfRule>
  </conditionalFormatting>
  <conditionalFormatting sqref="L322">
    <cfRule type="cellIs" dxfId="1647" priority="29" operator="equal">
      <formula>0</formula>
    </cfRule>
  </conditionalFormatting>
  <conditionalFormatting sqref="M322">
    <cfRule type="cellIs" dxfId="1646" priority="28" operator="equal">
      <formula>0</formula>
    </cfRule>
  </conditionalFormatting>
  <conditionalFormatting sqref="L324">
    <cfRule type="cellIs" dxfId="1645" priority="27" operator="equal">
      <formula>0</formula>
    </cfRule>
  </conditionalFormatting>
  <conditionalFormatting sqref="M324">
    <cfRule type="cellIs" dxfId="1644" priority="26" operator="equal">
      <formula>0</formula>
    </cfRule>
  </conditionalFormatting>
  <conditionalFormatting sqref="L326">
    <cfRule type="cellIs" dxfId="1643" priority="25" operator="equal">
      <formula>0</formula>
    </cfRule>
  </conditionalFormatting>
  <conditionalFormatting sqref="M326">
    <cfRule type="cellIs" dxfId="1642" priority="24" operator="equal">
      <formula>0</formula>
    </cfRule>
  </conditionalFormatting>
  <conditionalFormatting sqref="L324">
    <cfRule type="cellIs" dxfId="1641" priority="23" operator="equal">
      <formula>0</formula>
    </cfRule>
  </conditionalFormatting>
  <conditionalFormatting sqref="M324">
    <cfRule type="cellIs" dxfId="1640" priority="22" operator="equal">
      <formula>0</formula>
    </cfRule>
  </conditionalFormatting>
  <conditionalFormatting sqref="L326">
    <cfRule type="cellIs" dxfId="1639" priority="21" operator="equal">
      <formula>0</formula>
    </cfRule>
  </conditionalFormatting>
  <conditionalFormatting sqref="M326">
    <cfRule type="cellIs" dxfId="1638" priority="20" operator="equal">
      <formula>0</formula>
    </cfRule>
  </conditionalFormatting>
  <conditionalFormatting sqref="L328">
    <cfRule type="cellIs" dxfId="1637" priority="19" operator="equal">
      <formula>0</formula>
    </cfRule>
  </conditionalFormatting>
  <conditionalFormatting sqref="M328">
    <cfRule type="cellIs" dxfId="1636" priority="18" operator="equal">
      <formula>0</formula>
    </cfRule>
  </conditionalFormatting>
  <conditionalFormatting sqref="L329:L330">
    <cfRule type="cellIs" dxfId="1635" priority="17" operator="equal">
      <formula>0</formula>
    </cfRule>
  </conditionalFormatting>
  <conditionalFormatting sqref="M329:M330">
    <cfRule type="cellIs" dxfId="1634" priority="16" operator="equal">
      <formula>0</formula>
    </cfRule>
  </conditionalFormatting>
  <conditionalFormatting sqref="L330">
    <cfRule type="cellIs" dxfId="1633" priority="15" operator="equal">
      <formula>0</formula>
    </cfRule>
  </conditionalFormatting>
  <conditionalFormatting sqref="M330">
    <cfRule type="cellIs" dxfId="1632" priority="14" operator="equal">
      <formula>0</formula>
    </cfRule>
  </conditionalFormatting>
  <conditionalFormatting sqref="L332">
    <cfRule type="cellIs" dxfId="1631" priority="13" operator="equal">
      <formula>0</formula>
    </cfRule>
  </conditionalFormatting>
  <conditionalFormatting sqref="M332">
    <cfRule type="cellIs" dxfId="1630" priority="12" operator="equal">
      <formula>0</formula>
    </cfRule>
  </conditionalFormatting>
  <conditionalFormatting sqref="L332">
    <cfRule type="cellIs" dxfId="1629" priority="11" operator="equal">
      <formula>0</formula>
    </cfRule>
  </conditionalFormatting>
  <conditionalFormatting sqref="M332">
    <cfRule type="cellIs" dxfId="1628" priority="10" operator="equal">
      <formula>0</formula>
    </cfRule>
  </conditionalFormatting>
  <conditionalFormatting sqref="M295:M305">
    <cfRule type="cellIs" dxfId="1627" priority="9" operator="equal">
      <formula>0</formula>
    </cfRule>
  </conditionalFormatting>
  <conditionalFormatting sqref="M308">
    <cfRule type="cellIs" dxfId="1626" priority="3" operator="equal">
      <formula>0</formula>
    </cfRule>
  </conditionalFormatting>
  <conditionalFormatting sqref="M309:M318">
    <cfRule type="cellIs" dxfId="1625" priority="2" operator="equal">
      <formula>0</formula>
    </cfRule>
  </conditionalFormatting>
  <conditionalFormatting sqref="L293:M293">
    <cfRule type="cellIs" dxfId="1624" priority="1" operator="equal">
      <formula>0</formula>
    </cfRule>
  </conditionalFormatting>
  <pageMargins left="0.51181102362204722" right="0.51181102362204722" top="0.78740157480314965" bottom="0.78740157480314965" header="0.31496062992125984" footer="0.31496062992125984"/>
  <pageSetup paperSize="9" scale="52" fitToHeight="0" orientation="portrait" horizontalDpi="1200" verticalDpi="1200" r:id="rId1"/>
  <rowBreaks count="3" manualBreakCount="3">
    <brk id="165" min="3" max="12" man="1"/>
    <brk id="264" min="3" max="12" man="1"/>
    <brk id="335" min="3" max="12"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434"/>
  <sheetViews>
    <sheetView view="pageBreakPreview" topLeftCell="B4" zoomScale="85" zoomScaleNormal="100" zoomScaleSheetLayoutView="85" workbookViewId="0">
      <selection activeCell="E147" sqref="E147"/>
    </sheetView>
  </sheetViews>
  <sheetFormatPr defaultRowHeight="12.75"/>
  <cols>
    <col min="1" max="1" width="20" style="157" customWidth="1"/>
    <col min="2" max="2" width="8.85546875" style="87" bestFit="1" customWidth="1"/>
    <col min="3" max="3" width="14.7109375" style="87" customWidth="1"/>
    <col min="4" max="4" width="63.28515625" style="42" customWidth="1"/>
    <col min="5" max="5" width="15.7109375" style="42" customWidth="1"/>
    <col min="6" max="6" width="12.7109375" style="43" customWidth="1"/>
    <col min="7" max="8" width="11.85546875" style="42" customWidth="1"/>
    <col min="9" max="9" width="13" style="42" customWidth="1"/>
    <col min="10" max="10" width="13" style="77" customWidth="1"/>
    <col min="11" max="11" width="10.85546875" style="44" customWidth="1"/>
    <col min="12" max="12" width="12.5703125" style="78" customWidth="1"/>
    <col min="13" max="13" width="12.140625" style="78" customWidth="1"/>
    <col min="14" max="14" width="7.42578125" style="691" bestFit="1" customWidth="1"/>
    <col min="15" max="15" width="10.42578125" style="33" customWidth="1"/>
    <col min="16" max="16384" width="9.140625" style="39"/>
  </cols>
  <sheetData>
    <row r="1" spans="1:15">
      <c r="D1" s="1717" t="s">
        <v>11665</v>
      </c>
      <c r="E1" s="1718"/>
      <c r="F1" s="1718"/>
      <c r="G1" s="1718"/>
      <c r="H1" s="1718"/>
      <c r="I1" s="1718"/>
      <c r="J1" s="1718"/>
      <c r="K1" s="1718"/>
      <c r="L1" s="1718"/>
      <c r="M1" s="1719"/>
      <c r="N1" s="410"/>
    </row>
    <row r="2" spans="1:15" ht="39.75" customHeight="1">
      <c r="D2" s="1720"/>
      <c r="E2" s="1721"/>
      <c r="F2" s="1721"/>
      <c r="G2" s="1721"/>
      <c r="H2" s="1721"/>
      <c r="I2" s="1721"/>
      <c r="J2" s="1721"/>
      <c r="K2" s="1721"/>
      <c r="L2" s="1721"/>
      <c r="M2" s="1722"/>
      <c r="N2" s="693"/>
    </row>
    <row r="3" spans="1:15">
      <c r="D3" s="1720"/>
      <c r="E3" s="1721"/>
      <c r="F3" s="1721"/>
      <c r="G3" s="1721"/>
      <c r="H3" s="1721"/>
      <c r="I3" s="1721"/>
      <c r="J3" s="1721"/>
      <c r="K3" s="1721"/>
      <c r="L3" s="1721"/>
      <c r="M3" s="1722"/>
      <c r="N3" s="693"/>
    </row>
    <row r="4" spans="1:15" ht="15.75" customHeight="1" thickBot="1">
      <c r="D4" s="1723"/>
      <c r="E4" s="1724"/>
      <c r="F4" s="1724"/>
      <c r="G4" s="1724"/>
      <c r="H4" s="1724"/>
      <c r="I4" s="1724"/>
      <c r="J4" s="1724"/>
      <c r="K4" s="1724"/>
      <c r="L4" s="1724"/>
      <c r="M4" s="1725"/>
      <c r="N4" s="693"/>
    </row>
    <row r="5" spans="1:15" ht="14.25" hidden="1" customHeight="1">
      <c r="D5" s="64"/>
      <c r="E5" s="691"/>
      <c r="F5" s="113"/>
      <c r="G5" s="113"/>
      <c r="H5" s="113"/>
      <c r="I5" s="113"/>
      <c r="J5" s="15"/>
      <c r="K5" s="2"/>
      <c r="L5" s="117"/>
      <c r="M5" s="118"/>
      <c r="N5" s="693"/>
    </row>
    <row r="6" spans="1:15" ht="14.25" hidden="1" customHeight="1">
      <c r="D6" s="686" t="s">
        <v>14559</v>
      </c>
      <c r="E6" s="105"/>
      <c r="F6" s="105"/>
      <c r="G6" s="105"/>
      <c r="H6" s="105"/>
      <c r="I6" s="105"/>
      <c r="J6" s="105"/>
      <c r="K6" s="4"/>
      <c r="L6" s="350"/>
      <c r="M6" s="51"/>
      <c r="N6" s="411"/>
    </row>
    <row r="7" spans="1:15" ht="14.25" hidden="1" customHeight="1">
      <c r="D7" s="686" t="s">
        <v>11836</v>
      </c>
      <c r="E7" s="105"/>
      <c r="F7" s="105"/>
      <c r="G7" s="105"/>
      <c r="H7" s="105"/>
      <c r="I7" s="105"/>
      <c r="J7" s="105"/>
      <c r="K7" s="4"/>
      <c r="L7" s="5"/>
      <c r="M7" s="6"/>
      <c r="N7" s="412"/>
    </row>
    <row r="8" spans="1:15" s="35" customFormat="1" ht="14.25" hidden="1" customHeight="1">
      <c r="A8" s="157"/>
      <c r="B8" s="87"/>
      <c r="C8" s="87"/>
      <c r="D8" s="1726" t="s">
        <v>14305</v>
      </c>
      <c r="E8" s="1727"/>
      <c r="F8" s="1727"/>
      <c r="G8" s="105"/>
      <c r="H8" s="105"/>
      <c r="I8" s="105"/>
      <c r="J8" s="105"/>
      <c r="K8" s="4"/>
      <c r="L8" s="5"/>
      <c r="M8" s="6"/>
      <c r="N8" s="412"/>
      <c r="O8" s="33"/>
    </row>
    <row r="9" spans="1:15" s="35" customFormat="1" ht="6.75" hidden="1" customHeight="1" thickBot="1">
      <c r="A9" s="157"/>
      <c r="B9" s="87"/>
      <c r="C9" s="87"/>
      <c r="D9" s="67"/>
      <c r="E9" s="68"/>
      <c r="F9" s="68"/>
      <c r="G9" s="69"/>
      <c r="H9" s="69"/>
      <c r="I9" s="69"/>
      <c r="J9" s="69"/>
      <c r="K9" s="13"/>
      <c r="L9" s="10"/>
      <c r="M9" s="14"/>
      <c r="N9" s="412"/>
      <c r="O9" s="33"/>
    </row>
    <row r="10" spans="1:15" s="35" customFormat="1" ht="15.75" hidden="1" customHeight="1" thickTop="1" thickBot="1">
      <c r="A10" s="157"/>
      <c r="B10" s="87"/>
      <c r="C10" s="87"/>
      <c r="D10" s="1728" t="s">
        <v>14279</v>
      </c>
      <c r="E10" s="1729"/>
      <c r="F10" s="1729"/>
      <c r="G10" s="1729"/>
      <c r="H10" s="1729"/>
      <c r="I10" s="1729"/>
      <c r="J10" s="1729"/>
      <c r="K10" s="1729"/>
      <c r="L10" s="1729"/>
      <c r="M10" s="1730"/>
      <c r="N10" s="413"/>
      <c r="O10" s="33"/>
    </row>
    <row r="11" spans="1:15" s="35" customFormat="1" ht="9" hidden="1" customHeight="1" thickTop="1" thickBot="1">
      <c r="A11" s="157"/>
      <c r="B11" s="87"/>
      <c r="C11" s="87"/>
      <c r="D11" s="7"/>
      <c r="E11" s="8"/>
      <c r="F11" s="9"/>
      <c r="G11" s="691"/>
      <c r="H11" s="691"/>
      <c r="I11" s="691"/>
      <c r="J11" s="17"/>
      <c r="K11" s="4"/>
      <c r="L11" s="10"/>
      <c r="M11" s="30"/>
      <c r="N11" s="693"/>
      <c r="O11" s="33"/>
    </row>
    <row r="12" spans="1:15" s="35" customFormat="1" ht="14.25" hidden="1" customHeight="1" thickTop="1" thickBot="1">
      <c r="A12" s="157"/>
      <c r="B12" s="87"/>
      <c r="C12" s="87"/>
      <c r="D12" s="1728" t="s">
        <v>3</v>
      </c>
      <c r="E12" s="1729"/>
      <c r="F12" s="1729"/>
      <c r="G12" s="1729"/>
      <c r="H12" s="1729"/>
      <c r="I12" s="1729"/>
      <c r="J12" s="1729"/>
      <c r="K12" s="1729"/>
      <c r="L12" s="1729"/>
      <c r="M12" s="1730"/>
      <c r="N12" s="680"/>
      <c r="O12" s="33"/>
    </row>
    <row r="13" spans="1:15" s="35" customFormat="1" ht="11.25" hidden="1" customHeight="1" thickTop="1">
      <c r="A13" s="157"/>
      <c r="B13" s="87"/>
      <c r="C13" s="87"/>
      <c r="D13" s="106" t="s">
        <v>4</v>
      </c>
      <c r="E13" s="107"/>
      <c r="F13" s="107"/>
      <c r="G13" s="107"/>
      <c r="H13" s="107"/>
      <c r="I13" s="107"/>
      <c r="J13" s="107"/>
      <c r="K13" s="107"/>
      <c r="L13" s="679" t="s">
        <v>5</v>
      </c>
      <c r="M13" s="50">
        <f>'PARAMETROS MC'!C37</f>
        <v>7.5</v>
      </c>
      <c r="N13" s="31"/>
      <c r="O13" s="127"/>
    </row>
    <row r="14" spans="1:15" s="35" customFormat="1" ht="11.25" hidden="1" customHeight="1">
      <c r="A14" s="157"/>
      <c r="B14" s="87"/>
      <c r="C14" s="87"/>
      <c r="D14" s="108" t="s">
        <v>34</v>
      </c>
      <c r="E14" s="109"/>
      <c r="F14" s="109"/>
      <c r="G14" s="109"/>
      <c r="H14" s="109"/>
      <c r="I14" s="109"/>
      <c r="J14" s="109"/>
      <c r="K14" s="109"/>
      <c r="L14" s="679" t="s">
        <v>5</v>
      </c>
      <c r="M14" s="50">
        <f>'PARAMETROS MC'!C38</f>
        <v>4.5999999999999996</v>
      </c>
      <c r="N14" s="31"/>
      <c r="O14" s="127"/>
    </row>
    <row r="15" spans="1:15" s="35" customFormat="1" ht="11.25" hidden="1" customHeight="1">
      <c r="A15" s="157"/>
      <c r="B15" s="87"/>
      <c r="C15" s="87"/>
      <c r="D15" s="108" t="s">
        <v>6</v>
      </c>
      <c r="E15" s="109"/>
      <c r="F15" s="109"/>
      <c r="G15" s="109"/>
      <c r="H15" s="109"/>
      <c r="I15" s="109"/>
      <c r="J15" s="109"/>
      <c r="K15" s="109"/>
      <c r="L15" s="679" t="s">
        <v>8</v>
      </c>
      <c r="M15" s="32">
        <v>0.95</v>
      </c>
      <c r="N15" s="31"/>
      <c r="O15" s="127"/>
    </row>
    <row r="16" spans="1:15" s="35" customFormat="1" ht="11.25" hidden="1" customHeight="1">
      <c r="A16" s="157"/>
      <c r="B16" s="87"/>
      <c r="C16" s="87"/>
      <c r="D16" s="108" t="s">
        <v>7</v>
      </c>
      <c r="E16" s="109"/>
      <c r="F16" s="109"/>
      <c r="G16" s="109"/>
      <c r="H16" s="109"/>
      <c r="I16" s="109"/>
      <c r="J16" s="109"/>
      <c r="K16" s="109"/>
      <c r="L16" s="679" t="s">
        <v>8</v>
      </c>
      <c r="M16" s="32">
        <v>0.05</v>
      </c>
      <c r="N16" s="31"/>
      <c r="O16" s="127"/>
    </row>
    <row r="17" spans="1:15" s="35" customFormat="1" ht="11.25" hidden="1" customHeight="1">
      <c r="A17" s="157"/>
      <c r="B17" s="87"/>
      <c r="C17" s="87"/>
      <c r="D17" s="108" t="s">
        <v>9</v>
      </c>
      <c r="E17" s="109"/>
      <c r="F17" s="109"/>
      <c r="G17" s="109"/>
      <c r="H17" s="109"/>
      <c r="I17" s="109"/>
      <c r="J17" s="109"/>
      <c r="K17" s="109"/>
      <c r="L17" s="679" t="s">
        <v>8</v>
      </c>
      <c r="M17" s="32">
        <v>0.9</v>
      </c>
      <c r="N17" s="31"/>
      <c r="O17" s="127"/>
    </row>
    <row r="18" spans="1:15" s="35" customFormat="1" ht="11.25" hidden="1" customHeight="1">
      <c r="A18" s="157"/>
      <c r="B18" s="87"/>
      <c r="C18" s="87"/>
      <c r="D18" s="108" t="s">
        <v>10</v>
      </c>
      <c r="E18" s="109"/>
      <c r="F18" s="109"/>
      <c r="G18" s="109"/>
      <c r="H18" s="109"/>
      <c r="I18" s="109"/>
      <c r="J18" s="109"/>
      <c r="K18" s="109"/>
      <c r="L18" s="679" t="s">
        <v>8</v>
      </c>
      <c r="M18" s="32">
        <v>0.05</v>
      </c>
      <c r="N18" s="31"/>
      <c r="O18" s="127"/>
    </row>
    <row r="19" spans="1:15" s="35" customFormat="1" ht="11.25" hidden="1" customHeight="1">
      <c r="A19" s="157"/>
      <c r="B19" s="87"/>
      <c r="C19" s="87"/>
      <c r="D19" s="108" t="s">
        <v>11</v>
      </c>
      <c r="E19" s="109"/>
      <c r="F19" s="109"/>
      <c r="G19" s="109"/>
      <c r="H19" s="109"/>
      <c r="I19" s="109"/>
      <c r="J19" s="109"/>
      <c r="K19" s="109"/>
      <c r="L19" s="679" t="s">
        <v>8</v>
      </c>
      <c r="M19" s="32">
        <v>0</v>
      </c>
      <c r="N19" s="31"/>
      <c r="O19" s="127"/>
    </row>
    <row r="20" spans="1:15" s="35" customFormat="1" ht="11.25" hidden="1" customHeight="1">
      <c r="A20" s="157"/>
      <c r="B20" s="87"/>
      <c r="C20" s="87"/>
      <c r="D20" s="108" t="s">
        <v>12</v>
      </c>
      <c r="E20" s="109"/>
      <c r="F20" s="109"/>
      <c r="G20" s="109"/>
      <c r="H20" s="109"/>
      <c r="I20" s="109"/>
      <c r="J20" s="109"/>
      <c r="K20" s="109"/>
      <c r="L20" s="679" t="s">
        <v>8</v>
      </c>
      <c r="M20" s="32">
        <v>0.05</v>
      </c>
      <c r="N20" s="31"/>
      <c r="O20" s="127"/>
    </row>
    <row r="21" spans="1:15" s="35" customFormat="1" ht="11.25" hidden="1" customHeight="1">
      <c r="A21" s="157"/>
      <c r="B21" s="87"/>
      <c r="C21" s="87"/>
      <c r="D21" s="108" t="s">
        <v>13</v>
      </c>
      <c r="E21" s="109"/>
      <c r="F21" s="109"/>
      <c r="G21" s="109"/>
      <c r="H21" s="109"/>
      <c r="I21" s="109"/>
      <c r="J21" s="109"/>
      <c r="K21" s="109"/>
      <c r="L21" s="679" t="s">
        <v>8</v>
      </c>
      <c r="M21" s="32">
        <v>0.2</v>
      </c>
      <c r="N21" s="31"/>
      <c r="O21" s="127"/>
    </row>
    <row r="22" spans="1:15" s="35" customFormat="1" ht="11.25" hidden="1" customHeight="1">
      <c r="A22" s="157"/>
      <c r="B22" s="87"/>
      <c r="C22" s="87"/>
      <c r="D22" s="108" t="s">
        <v>14</v>
      </c>
      <c r="E22" s="109"/>
      <c r="F22" s="109"/>
      <c r="G22" s="109"/>
      <c r="H22" s="109"/>
      <c r="I22" s="109"/>
      <c r="J22" s="109"/>
      <c r="K22" s="109"/>
      <c r="L22" s="679" t="s">
        <v>8</v>
      </c>
      <c r="M22" s="32">
        <v>0.2</v>
      </c>
      <c r="N22" s="31"/>
      <c r="O22" s="127"/>
    </row>
    <row r="23" spans="1:15" s="35" customFormat="1" ht="11.25" hidden="1" customHeight="1">
      <c r="A23" s="157"/>
      <c r="B23" s="87"/>
      <c r="C23" s="87"/>
      <c r="D23" s="108" t="s">
        <v>15</v>
      </c>
      <c r="E23" s="109"/>
      <c r="F23" s="109"/>
      <c r="G23" s="109"/>
      <c r="H23" s="109"/>
      <c r="I23" s="109"/>
      <c r="J23" s="109"/>
      <c r="K23" s="109"/>
      <c r="L23" s="679" t="s">
        <v>8</v>
      </c>
      <c r="M23" s="32">
        <v>0</v>
      </c>
      <c r="N23" s="31"/>
      <c r="O23" s="127"/>
    </row>
    <row r="24" spans="1:15" s="35" customFormat="1" ht="11.25" hidden="1" customHeight="1">
      <c r="A24" s="157"/>
      <c r="B24" s="87"/>
      <c r="C24" s="87"/>
      <c r="D24" s="108" t="s">
        <v>16</v>
      </c>
      <c r="E24" s="109"/>
      <c r="F24" s="109"/>
      <c r="G24" s="109"/>
      <c r="H24" s="109"/>
      <c r="I24" s="109"/>
      <c r="J24" s="109"/>
      <c r="K24" s="109"/>
      <c r="L24" s="679" t="s">
        <v>8</v>
      </c>
      <c r="M24" s="32">
        <v>1</v>
      </c>
      <c r="N24" s="31"/>
      <c r="O24" s="127"/>
    </row>
    <row r="25" spans="1:15" ht="13.5" hidden="1" thickBot="1">
      <c r="D25" s="85"/>
      <c r="E25" s="691"/>
      <c r="F25" s="9"/>
      <c r="G25" s="691"/>
      <c r="H25" s="691"/>
      <c r="I25" s="691"/>
      <c r="J25" s="17"/>
      <c r="K25" s="4"/>
      <c r="L25" s="38"/>
      <c r="M25" s="128"/>
      <c r="N25" s="693"/>
    </row>
    <row r="26" spans="1:15" s="35" customFormat="1" ht="14.25" hidden="1" thickTop="1" thickBot="1">
      <c r="A26" s="157"/>
      <c r="B26" s="87"/>
      <c r="C26" s="87"/>
      <c r="D26" s="110" t="s">
        <v>11640</v>
      </c>
      <c r="E26" s="111"/>
      <c r="F26" s="111"/>
      <c r="G26" s="111"/>
      <c r="H26" s="111"/>
      <c r="I26" s="111"/>
      <c r="J26" s="111"/>
      <c r="K26" s="111"/>
      <c r="L26" s="682"/>
      <c r="M26" s="683"/>
      <c r="N26" s="413"/>
      <c r="O26" s="33"/>
    </row>
    <row r="27" spans="1:15" ht="13.5" hidden="1" thickTop="1">
      <c r="D27" s="338"/>
      <c r="E27" s="105"/>
      <c r="F27" s="105"/>
      <c r="G27" s="691" t="s">
        <v>30</v>
      </c>
      <c r="H27" s="691" t="s">
        <v>30</v>
      </c>
      <c r="I27" s="691" t="s">
        <v>1275</v>
      </c>
      <c r="J27" s="691" t="s">
        <v>17</v>
      </c>
      <c r="K27" s="691" t="s">
        <v>19</v>
      </c>
      <c r="L27" s="691" t="s">
        <v>30</v>
      </c>
      <c r="M27" s="693" t="s">
        <v>30</v>
      </c>
      <c r="N27" s="128"/>
      <c r="O27" s="105"/>
    </row>
    <row r="28" spans="1:15" hidden="1">
      <c r="D28" s="338"/>
      <c r="E28" s="1731" t="s">
        <v>12571</v>
      </c>
      <c r="F28" s="1731"/>
      <c r="G28" s="1731"/>
      <c r="H28" s="38"/>
      <c r="I28" s="691">
        <v>0</v>
      </c>
      <c r="J28" s="692">
        <v>75</v>
      </c>
      <c r="K28" s="692">
        <v>5.5</v>
      </c>
      <c r="L28" s="691" t="s">
        <v>21</v>
      </c>
      <c r="M28" s="558">
        <f>I28*J28*K28</f>
        <v>0</v>
      </c>
      <c r="N28" s="128"/>
      <c r="O28" s="105"/>
    </row>
    <row r="29" spans="1:15" ht="22.5" hidden="1">
      <c r="A29" s="157" t="s">
        <v>12540</v>
      </c>
      <c r="B29" s="20" t="s">
        <v>70</v>
      </c>
      <c r="C29" s="20" t="s">
        <v>19163</v>
      </c>
      <c r="D29" s="112" t="str">
        <f>PROPER(IF(B29="Saneago",VLOOKUP(C29,'SANEAGO-FEV.2016'!A:B,2,0),IF(B29="Sinapi",VLOOKUP(C29,'SINAPI-FEV.2017'!A:D,2,0),IF(B29="Cotação",VLOOKUP(C29,COTAÇÃO!A:D,2,0),IF(B29="Composição",VLOOKUP(C29,COMPOSIÇÃO!A:D,2,0))))))</f>
        <v>Limpeza Mecanizada De Terreno Com Remocao De Camada Vegetal, Utilizando Motoniveladora</v>
      </c>
      <c r="E29" s="695"/>
      <c r="F29" s="695"/>
      <c r="G29" s="694"/>
      <c r="H29" s="694"/>
      <c r="I29" s="694"/>
      <c r="J29" s="694"/>
      <c r="K29" s="688" t="s">
        <v>27</v>
      </c>
      <c r="L29" s="688" t="s">
        <v>21</v>
      </c>
      <c r="M29" s="81">
        <f>SUM(M28:M28)</f>
        <v>0</v>
      </c>
      <c r="N29" s="128"/>
      <c r="O29" s="105"/>
    </row>
    <row r="30" spans="1:15" hidden="1">
      <c r="D30" s="338"/>
      <c r="E30" s="105"/>
      <c r="F30" s="105"/>
      <c r="G30" s="691"/>
      <c r="H30" s="691" t="s">
        <v>30</v>
      </c>
      <c r="I30" s="691" t="s">
        <v>1275</v>
      </c>
      <c r="J30" s="691" t="s">
        <v>17</v>
      </c>
      <c r="K30" s="691" t="s">
        <v>19</v>
      </c>
      <c r="L30" s="691"/>
      <c r="M30" s="55"/>
      <c r="N30" s="128"/>
      <c r="O30" s="105"/>
    </row>
    <row r="31" spans="1:15" hidden="1">
      <c r="D31" s="338"/>
      <c r="E31" s="1731" t="s">
        <v>12571</v>
      </c>
      <c r="F31" s="1731"/>
      <c r="G31" s="1731"/>
      <c r="H31" s="38"/>
      <c r="I31" s="691">
        <v>0</v>
      </c>
      <c r="J31" s="692">
        <v>0</v>
      </c>
      <c r="K31" s="692">
        <v>0</v>
      </c>
      <c r="L31" s="691" t="s">
        <v>21</v>
      </c>
      <c r="M31" s="55">
        <f>I31*J31*K31</f>
        <v>0</v>
      </c>
      <c r="N31" s="128"/>
      <c r="O31" s="105"/>
    </row>
    <row r="32" spans="1:15" hidden="1">
      <c r="D32" s="338"/>
      <c r="E32" s="681"/>
      <c r="F32" s="681"/>
      <c r="G32" s="681"/>
      <c r="H32" s="681"/>
      <c r="I32" s="691"/>
      <c r="J32" s="692"/>
      <c r="K32" s="692"/>
      <c r="L32" s="691"/>
      <c r="M32" s="55"/>
      <c r="N32" s="128"/>
      <c r="O32" s="105"/>
    </row>
    <row r="33" spans="1:15" ht="22.5" hidden="1">
      <c r="A33" s="157" t="s">
        <v>12541</v>
      </c>
      <c r="B33" s="20" t="s">
        <v>70</v>
      </c>
      <c r="C33" s="20" t="s">
        <v>19263</v>
      </c>
      <c r="D33" s="112" t="str">
        <f>PROPER(IF(B33="Saneago",VLOOKUP(C33,'SANEAGO-FEV.2016'!A:B,2,0),IF(B33="Sinapi",VLOOKUP(C33,'SINAPI-FEV.2017'!A:D,2,0),IF(B33="Cotação",VLOOKUP(C33,COTAÇÃO!A:D,2,0),IF(B33="Composição",VLOOKUP(C33,COMPOSIÇÃO!A:D,2,0))))))</f>
        <v>Locacao Convencional De Obra, Através De Gabarito De Tabuas Corridas Pontaletadas A Cada 1,50M, Sem Reaproveitamento</v>
      </c>
      <c r="E33" s="695"/>
      <c r="F33" s="695"/>
      <c r="G33" s="694"/>
      <c r="H33" s="694"/>
      <c r="I33" s="694"/>
      <c r="J33" s="694"/>
      <c r="K33" s="688" t="s">
        <v>27</v>
      </c>
      <c r="L33" s="688" t="s">
        <v>21</v>
      </c>
      <c r="M33" s="81">
        <f>SUM(M31:M31)</f>
        <v>0</v>
      </c>
      <c r="N33" s="128"/>
      <c r="O33" s="105"/>
    </row>
    <row r="34" spans="1:15" s="35" customFormat="1" hidden="1">
      <c r="A34" s="157"/>
      <c r="B34" s="87"/>
      <c r="C34" s="87"/>
      <c r="D34" s="338"/>
      <c r="E34" s="105"/>
      <c r="F34" s="105"/>
      <c r="G34" s="692"/>
      <c r="H34" s="692"/>
      <c r="I34" s="692"/>
      <c r="J34" s="692"/>
      <c r="K34" s="692"/>
      <c r="L34" s="691"/>
      <c r="M34" s="55"/>
      <c r="N34" s="693"/>
      <c r="O34" s="33"/>
    </row>
    <row r="35" spans="1:15" s="35" customFormat="1" ht="18.75" hidden="1" customHeight="1">
      <c r="A35" s="157"/>
      <c r="B35" s="87"/>
      <c r="C35" s="87"/>
      <c r="D35" s="110" t="s">
        <v>41</v>
      </c>
      <c r="E35" s="111"/>
      <c r="F35" s="111"/>
      <c r="G35" s="111"/>
      <c r="H35" s="111"/>
      <c r="I35" s="111"/>
      <c r="J35" s="111"/>
      <c r="K35" s="111"/>
      <c r="L35" s="682"/>
      <c r="M35" s="683"/>
      <c r="N35" s="413"/>
      <c r="O35" s="33"/>
    </row>
    <row r="36" spans="1:15" s="35" customFormat="1" hidden="1">
      <c r="A36" s="157"/>
      <c r="B36" s="87"/>
      <c r="C36" s="87"/>
      <c r="D36" s="678"/>
      <c r="E36" s="679"/>
      <c r="F36" s="679"/>
      <c r="G36" s="691" t="s">
        <v>30</v>
      </c>
      <c r="H36" s="691" t="s">
        <v>30</v>
      </c>
      <c r="I36" s="691" t="s">
        <v>30</v>
      </c>
      <c r="J36" s="691" t="s">
        <v>30</v>
      </c>
      <c r="K36" s="691" t="s">
        <v>30</v>
      </c>
      <c r="L36" s="691"/>
      <c r="M36" s="680"/>
      <c r="N36" s="693"/>
      <c r="O36" s="33"/>
    </row>
    <row r="37" spans="1:15" s="35" customFormat="1" hidden="1">
      <c r="A37" s="157"/>
      <c r="B37" s="87"/>
      <c r="C37" s="87"/>
      <c r="D37" s="112" t="s">
        <v>11766</v>
      </c>
      <c r="E37" s="695"/>
      <c r="F37" s="695"/>
      <c r="G37" s="71"/>
      <c r="H37" s="71"/>
      <c r="I37" s="71"/>
      <c r="J37" s="71"/>
      <c r="K37" s="71"/>
      <c r="L37" s="694" t="s">
        <v>18</v>
      </c>
      <c r="M37" s="52">
        <v>2.6</v>
      </c>
      <c r="N37" s="693"/>
      <c r="O37" s="33"/>
    </row>
    <row r="38" spans="1:15" s="35" customFormat="1" hidden="1">
      <c r="A38" s="157"/>
      <c r="B38" s="87"/>
      <c r="C38" s="87"/>
      <c r="D38" s="114"/>
      <c r="E38" s="115"/>
      <c r="F38" s="115"/>
      <c r="G38" s="691"/>
      <c r="H38" s="691"/>
      <c r="I38" s="691"/>
      <c r="J38" s="691"/>
      <c r="K38" s="691"/>
      <c r="L38" s="696"/>
      <c r="M38" s="53"/>
      <c r="N38" s="693"/>
      <c r="O38" s="33"/>
    </row>
    <row r="39" spans="1:15" s="35" customFormat="1" hidden="1">
      <c r="A39" s="157"/>
      <c r="B39" s="87"/>
      <c r="C39" s="87"/>
      <c r="D39" s="112" t="s">
        <v>11668</v>
      </c>
      <c r="E39" s="695"/>
      <c r="F39" s="695"/>
      <c r="G39" s="694"/>
      <c r="H39" s="694"/>
      <c r="I39" s="694"/>
      <c r="J39" s="694"/>
      <c r="K39" s="694"/>
      <c r="L39" s="694"/>
      <c r="M39" s="140">
        <v>25</v>
      </c>
      <c r="N39" s="693"/>
      <c r="O39" s="146"/>
    </row>
    <row r="40" spans="1:15" s="35" customFormat="1" ht="22.5" hidden="1">
      <c r="A40" s="157"/>
      <c r="B40" s="87"/>
      <c r="C40" s="87"/>
      <c r="D40" s="131"/>
      <c r="E40" s="696" t="s">
        <v>1275</v>
      </c>
      <c r="F40" s="691" t="s">
        <v>11676</v>
      </c>
      <c r="G40" s="691" t="s">
        <v>11669</v>
      </c>
      <c r="H40" s="691" t="s">
        <v>11674</v>
      </c>
      <c r="I40" s="691" t="s">
        <v>11675</v>
      </c>
      <c r="J40" s="691" t="s">
        <v>11667</v>
      </c>
      <c r="K40" s="135" t="s">
        <v>30</v>
      </c>
      <c r="L40" s="696"/>
      <c r="M40" s="53"/>
      <c r="N40" s="693"/>
      <c r="O40" s="33"/>
    </row>
    <row r="41" spans="1:15" s="35" customFormat="1" hidden="1">
      <c r="A41" s="157"/>
      <c r="B41" s="87"/>
      <c r="C41" s="87"/>
      <c r="D41" s="684"/>
      <c r="E41" s="691"/>
      <c r="F41" s="691"/>
      <c r="G41" s="691"/>
      <c r="H41" s="120"/>
      <c r="I41" s="120"/>
      <c r="J41" s="692"/>
      <c r="K41" s="135"/>
      <c r="L41" s="691" t="s">
        <v>18</v>
      </c>
      <c r="M41" s="130">
        <f>ROUND(E41*((J41/3)*((H41*I41)+SQRT((H41*I41)*(F41*G41))+(F41*G41))),2)</f>
        <v>0</v>
      </c>
      <c r="N41" s="693"/>
      <c r="O41" s="33"/>
    </row>
    <row r="42" spans="1:15" s="35" customFormat="1" ht="15" hidden="1" customHeight="1">
      <c r="A42" s="157"/>
      <c r="B42" s="87"/>
      <c r="C42" s="87"/>
      <c r="D42" s="144" t="s">
        <v>12575</v>
      </c>
      <c r="E42" s="132"/>
      <c r="F42" s="120"/>
      <c r="G42" s="120"/>
      <c r="H42" s="120"/>
      <c r="I42" s="1732" t="s">
        <v>27</v>
      </c>
      <c r="J42" s="1732"/>
      <c r="K42" s="1732"/>
      <c r="L42" s="679" t="s">
        <v>22</v>
      </c>
      <c r="M42" s="163">
        <f>SUM(M41:M41)</f>
        <v>0</v>
      </c>
      <c r="N42" s="693"/>
      <c r="O42" s="33"/>
    </row>
    <row r="43" spans="1:15" s="35" customFormat="1" ht="22.5" hidden="1">
      <c r="A43" s="157"/>
      <c r="B43" s="87"/>
      <c r="C43" s="87"/>
      <c r="D43" s="131"/>
      <c r="E43" s="696" t="s">
        <v>1275</v>
      </c>
      <c r="F43" s="696" t="s">
        <v>11676</v>
      </c>
      <c r="G43" s="696" t="s">
        <v>11669</v>
      </c>
      <c r="H43" s="696" t="s">
        <v>11674</v>
      </c>
      <c r="I43" s="696" t="s">
        <v>11675</v>
      </c>
      <c r="J43" s="696" t="s">
        <v>11667</v>
      </c>
      <c r="K43" s="696" t="s">
        <v>11667</v>
      </c>
      <c r="L43" s="696"/>
      <c r="M43" s="53"/>
      <c r="N43" s="693"/>
      <c r="O43" s="33"/>
    </row>
    <row r="44" spans="1:15" s="35" customFormat="1" hidden="1">
      <c r="A44" s="157"/>
      <c r="B44" s="87"/>
      <c r="C44" s="87"/>
      <c r="D44" s="684"/>
      <c r="E44" s="691"/>
      <c r="F44" s="692"/>
      <c r="G44" s="692"/>
      <c r="H44" s="692"/>
      <c r="I44" s="692"/>
      <c r="J44" s="692"/>
      <c r="K44" s="691"/>
      <c r="L44" s="691" t="s">
        <v>22</v>
      </c>
      <c r="M44" s="130">
        <f>ROUND((J44/3)*((H44*I44)+SQRT((H44*I44)*(F44*G44))+(F44*G44)),2)</f>
        <v>0</v>
      </c>
      <c r="N44" s="693"/>
      <c r="O44" s="33"/>
    </row>
    <row r="45" spans="1:15" s="35" customFormat="1" hidden="1">
      <c r="A45" s="157"/>
      <c r="B45" s="87"/>
      <c r="C45" s="87"/>
      <c r="D45" s="112" t="s">
        <v>12515</v>
      </c>
      <c r="E45" s="695"/>
      <c r="F45" s="695"/>
      <c r="G45" s="694"/>
      <c r="H45" s="694"/>
      <c r="I45" s="694"/>
      <c r="J45" s="694"/>
      <c r="K45" s="303" t="s">
        <v>27</v>
      </c>
      <c r="L45" s="688" t="s">
        <v>22</v>
      </c>
      <c r="M45" s="81">
        <f>SUM(M44:M44)</f>
        <v>0</v>
      </c>
      <c r="N45" s="558">
        <f>SUM(M51,M48,M45)</f>
        <v>0</v>
      </c>
      <c r="O45" s="33"/>
    </row>
    <row r="46" spans="1:15" s="35" customFormat="1" ht="22.5" hidden="1">
      <c r="A46" s="157"/>
      <c r="B46" s="87"/>
      <c r="C46" s="87"/>
      <c r="D46" s="131"/>
      <c r="E46" s="696" t="s">
        <v>1275</v>
      </c>
      <c r="F46" s="691" t="s">
        <v>11676</v>
      </c>
      <c r="G46" s="691" t="s">
        <v>11669</v>
      </c>
      <c r="H46" s="691" t="s">
        <v>11674</v>
      </c>
      <c r="I46" s="691" t="s">
        <v>11675</v>
      </c>
      <c r="J46" s="691" t="s">
        <v>11667</v>
      </c>
      <c r="K46" s="135" t="s">
        <v>30</v>
      </c>
      <c r="L46" s="691"/>
      <c r="M46" s="130"/>
      <c r="N46" s="693"/>
      <c r="O46" s="33"/>
    </row>
    <row r="47" spans="1:15" s="35" customFormat="1" hidden="1">
      <c r="A47" s="157"/>
      <c r="B47" s="87"/>
      <c r="C47" s="87"/>
      <c r="D47" s="684"/>
      <c r="E47" s="691"/>
      <c r="F47" s="692"/>
      <c r="G47" s="692"/>
      <c r="H47" s="692"/>
      <c r="I47" s="692"/>
      <c r="J47" s="692"/>
      <c r="K47" s="135"/>
      <c r="L47" s="691" t="s">
        <v>22</v>
      </c>
      <c r="M47" s="130">
        <f>ROUND((J47/3)*((H47*I47)+SQRT((H47*I47)*(F47*G47))+(F47*G47)),2)</f>
        <v>0</v>
      </c>
      <c r="N47" s="693"/>
      <c r="O47" s="33"/>
    </row>
    <row r="48" spans="1:15" s="35" customFormat="1" hidden="1">
      <c r="A48" s="157"/>
      <c r="B48" s="87"/>
      <c r="C48" s="87"/>
      <c r="D48" s="112" t="s">
        <v>11786</v>
      </c>
      <c r="E48" s="695"/>
      <c r="F48" s="695"/>
      <c r="G48" s="698"/>
      <c r="H48" s="698"/>
      <c r="I48" s="698"/>
      <c r="J48" s="698"/>
      <c r="K48" s="303" t="s">
        <v>27</v>
      </c>
      <c r="L48" s="688" t="s">
        <v>22</v>
      </c>
      <c r="M48" s="81">
        <f>SUM(M47:M47)</f>
        <v>0</v>
      </c>
      <c r="N48" s="693"/>
      <c r="O48" s="33"/>
    </row>
    <row r="49" spans="1:15" s="35" customFormat="1" ht="22.5" hidden="1">
      <c r="A49" s="157"/>
      <c r="B49" s="87"/>
      <c r="C49" s="87"/>
      <c r="D49" s="131"/>
      <c r="E49" s="696" t="s">
        <v>1275</v>
      </c>
      <c r="F49" s="691" t="s">
        <v>11676</v>
      </c>
      <c r="G49" s="691" t="s">
        <v>11669</v>
      </c>
      <c r="H49" s="691" t="s">
        <v>11674</v>
      </c>
      <c r="I49" s="691" t="s">
        <v>11675</v>
      </c>
      <c r="J49" s="691" t="s">
        <v>11667</v>
      </c>
      <c r="K49" s="691" t="s">
        <v>30</v>
      </c>
      <c r="L49" s="691"/>
      <c r="M49" s="130"/>
      <c r="N49" s="693"/>
      <c r="O49" s="33"/>
    </row>
    <row r="50" spans="1:15" s="35" customFormat="1" hidden="1">
      <c r="A50" s="157"/>
      <c r="B50" s="87"/>
      <c r="C50" s="87"/>
      <c r="D50" s="684"/>
      <c r="E50" s="691"/>
      <c r="F50" s="692"/>
      <c r="G50" s="692"/>
      <c r="H50" s="692"/>
      <c r="I50" s="692"/>
      <c r="J50" s="692"/>
      <c r="K50" s="691"/>
      <c r="L50" s="691" t="s">
        <v>22</v>
      </c>
      <c r="M50" s="130">
        <f>ROUND((J50/3)*((H50*I50)+SQRT((H50*I50)*(F50*G50))+(F50*G50)),2)</f>
        <v>0</v>
      </c>
      <c r="N50" s="693"/>
      <c r="O50" s="33"/>
    </row>
    <row r="51" spans="1:15" s="35" customFormat="1" hidden="1">
      <c r="A51" s="157"/>
      <c r="B51" s="87"/>
      <c r="C51" s="87"/>
      <c r="D51" s="112" t="s">
        <v>12574</v>
      </c>
      <c r="E51" s="695"/>
      <c r="F51" s="695"/>
      <c r="G51" s="698"/>
      <c r="H51" s="698"/>
      <c r="I51" s="698"/>
      <c r="J51" s="698"/>
      <c r="K51" s="303" t="s">
        <v>27</v>
      </c>
      <c r="L51" s="688" t="s">
        <v>22</v>
      </c>
      <c r="M51" s="81">
        <f>SUM(M50:M50)</f>
        <v>0</v>
      </c>
      <c r="N51" s="409"/>
      <c r="O51" s="33"/>
    </row>
    <row r="52" spans="1:15" s="35" customFormat="1" hidden="1">
      <c r="A52" s="157"/>
      <c r="B52" s="87"/>
      <c r="C52" s="87"/>
      <c r="D52" s="114"/>
      <c r="E52" s="115"/>
      <c r="F52" s="115"/>
      <c r="G52" s="691"/>
      <c r="H52" s="691"/>
      <c r="I52" s="691"/>
      <c r="J52" s="691" t="s">
        <v>11696</v>
      </c>
      <c r="K52" s="691" t="s">
        <v>11641</v>
      </c>
      <c r="L52" s="696"/>
      <c r="M52" s="53"/>
      <c r="N52" s="558">
        <f>SUM(M53:M81)</f>
        <v>0</v>
      </c>
      <c r="O52" s="33"/>
    </row>
    <row r="53" spans="1:15" s="35" customFormat="1" ht="22.5" hidden="1">
      <c r="A53" s="157" t="s">
        <v>12542</v>
      </c>
      <c r="B53" s="87" t="s">
        <v>10852</v>
      </c>
      <c r="C53" s="158">
        <v>181</v>
      </c>
      <c r="D53" s="144" t="str">
        <f>PROPER(IF(B53="Saneago",VLOOKUP(C53,'SANEAGO-FEV.2016'!A:B,2,0),IF(B53="Sinapi",VLOOKUP(C53,'SINAPI-FEV.2017'!A:D,2,0),IF(B53="Cotação",VLOOKUP(C53,COTAÇÃO!A:D,2,0),IF(B53="Composição",VLOOKUP(C53,COMPOSIÇÃO!A:D,2,0))))))</f>
        <v>Escavação  Mecanizada  (Com Escavadeira Hidráulica)  Em Valas Com Material De 1ª Categoria - Profundidade Até 2,0 M</v>
      </c>
      <c r="E53" s="132"/>
      <c r="F53" s="132"/>
      <c r="G53" s="694"/>
      <c r="H53" s="694"/>
      <c r="I53" s="694"/>
      <c r="J53" s="72">
        <f>M15</f>
        <v>0.95</v>
      </c>
      <c r="K53" s="72">
        <f>M17</f>
        <v>0.9</v>
      </c>
      <c r="L53" s="694" t="s">
        <v>22</v>
      </c>
      <c r="M53" s="52">
        <f>K53*$M$45*J53</f>
        <v>0</v>
      </c>
      <c r="N53" s="558">
        <f>SUM(M53,M59,M65,M71,M75,M79)</f>
        <v>0</v>
      </c>
      <c r="O53" s="195">
        <f>M45-N53</f>
        <v>0</v>
      </c>
    </row>
    <row r="54" spans="1:15" s="35" customFormat="1" hidden="1">
      <c r="A54" s="157"/>
      <c r="B54" s="87"/>
      <c r="C54" s="158"/>
      <c r="D54" s="114"/>
      <c r="E54" s="115"/>
      <c r="F54" s="115"/>
      <c r="G54" s="691"/>
      <c r="H54" s="691"/>
      <c r="I54" s="691"/>
      <c r="J54" s="691" t="s">
        <v>11696</v>
      </c>
      <c r="K54" s="691" t="s">
        <v>11641</v>
      </c>
      <c r="L54" s="696"/>
      <c r="M54" s="53"/>
      <c r="N54" s="558"/>
      <c r="O54" s="33"/>
    </row>
    <row r="55" spans="1:15" s="35" customFormat="1" ht="22.5" hidden="1">
      <c r="A55" s="157" t="s">
        <v>12543</v>
      </c>
      <c r="B55" s="87" t="s">
        <v>10852</v>
      </c>
      <c r="C55" s="158">
        <v>182</v>
      </c>
      <c r="D55" s="144" t="str">
        <f>PROPER(IF(B55="Saneago",VLOOKUP(C55,'SANEAGO-FEV.2016'!A:B,2,0),IF(B55="Sinapi",VLOOKUP(C55,'SINAPI-FEV.2017'!A:D,2,0),IF(B55="Cotação",VLOOKUP(C55,COTAÇÃO!A:D,2,0),IF(B55="Composição",VLOOKUP(C55,COMPOSIÇÃO!A:D,2,0))))))</f>
        <v>Escavação  Mecanizada  (Com Escavadeira Hidráulica)  Em Valas Com Material De 1ª Categoria - Profundidade De 2,0 A 4,0M</v>
      </c>
      <c r="E55" s="132"/>
      <c r="F55" s="132"/>
      <c r="G55" s="694"/>
      <c r="H55" s="694"/>
      <c r="I55" s="694"/>
      <c r="J55" s="72">
        <f>J53</f>
        <v>0.95</v>
      </c>
      <c r="K55" s="72">
        <f>K53</f>
        <v>0.9</v>
      </c>
      <c r="L55" s="694" t="s">
        <v>22</v>
      </c>
      <c r="M55" s="52">
        <f>K55*M$48*J55</f>
        <v>0</v>
      </c>
      <c r="N55" s="558">
        <f>SUM(M55,M61,M67,M73,M77,M81)</f>
        <v>0</v>
      </c>
      <c r="O55" s="195">
        <f>M47-N55</f>
        <v>0</v>
      </c>
    </row>
    <row r="56" spans="1:15" s="35" customFormat="1" hidden="1">
      <c r="A56" s="157"/>
      <c r="B56" s="87"/>
      <c r="C56" s="158"/>
      <c r="D56" s="114"/>
      <c r="E56" s="115"/>
      <c r="F56" s="115"/>
      <c r="G56" s="691"/>
      <c r="H56" s="691"/>
      <c r="I56" s="691"/>
      <c r="J56" s="691" t="s">
        <v>11696</v>
      </c>
      <c r="K56" s="691" t="s">
        <v>11641</v>
      </c>
      <c r="L56" s="696"/>
      <c r="M56" s="53"/>
      <c r="N56" s="558"/>
      <c r="O56" s="33"/>
    </row>
    <row r="57" spans="1:15" s="35" customFormat="1" ht="22.5" hidden="1">
      <c r="A57" s="157" t="s">
        <v>12544</v>
      </c>
      <c r="B57" s="87" t="s">
        <v>10852</v>
      </c>
      <c r="C57" s="158">
        <v>183</v>
      </c>
      <c r="D57" s="144" t="str">
        <f>PROPER(IF(B57="Saneago",VLOOKUP(C57,'SANEAGO-FEV.2016'!A:B,2,0),IF(B57="Sinapi",VLOOKUP(C57,'SINAPI-FEV.2017'!A:D,2,0),IF(B57="Cotação",VLOOKUP(C57,COTAÇÃO!A:D,2,0),IF(B57="Composição",VLOOKUP(C57,COMPOSIÇÃO!A:D,2,0))))))</f>
        <v>Escavação  Mecanizada  (Com Escavadeira Hidráulica)  Em Valas Com Material De 1ª Categoria - Profundidade De 4,0 A 6,0M</v>
      </c>
      <c r="E57" s="132"/>
      <c r="F57" s="132"/>
      <c r="G57" s="694"/>
      <c r="H57" s="694"/>
      <c r="I57" s="694"/>
      <c r="J57" s="72">
        <v>1</v>
      </c>
      <c r="K57" s="72">
        <f>K55</f>
        <v>0.9</v>
      </c>
      <c r="L57" s="694" t="s">
        <v>22</v>
      </c>
      <c r="M57" s="52">
        <f>K57*M$51*J57</f>
        <v>0</v>
      </c>
      <c r="N57" s="558">
        <f>SUM(M57,M63,M69,)</f>
        <v>0</v>
      </c>
      <c r="O57" s="195"/>
    </row>
    <row r="58" spans="1:15" s="35" customFormat="1" hidden="1">
      <c r="A58" s="157"/>
      <c r="B58" s="87"/>
      <c r="C58" s="158"/>
      <c r="D58" s="114"/>
      <c r="E58" s="115"/>
      <c r="F58" s="115"/>
      <c r="G58" s="691"/>
      <c r="H58" s="691"/>
      <c r="I58" s="691"/>
      <c r="J58" s="691" t="s">
        <v>11696</v>
      </c>
      <c r="K58" s="691" t="s">
        <v>11642</v>
      </c>
      <c r="L58" s="696"/>
      <c r="M58" s="53"/>
      <c r="N58" s="558"/>
      <c r="O58" s="33"/>
    </row>
    <row r="59" spans="1:15" s="35" customFormat="1" ht="33.75" hidden="1">
      <c r="A59" s="157" t="s">
        <v>12545</v>
      </c>
      <c r="B59" s="87" t="s">
        <v>10852</v>
      </c>
      <c r="C59" s="158">
        <v>184</v>
      </c>
      <c r="D59" s="144" t="str">
        <f>PROPER(IF(B59="Saneago",VLOOKUP(C59,'SANEAGO-FEV.2016'!A:B,2,0),IF(B59="Sinapi",VLOOKUP(C59,'SINAPI-FEV.2017'!A:D,2,0),IF(B59="Cotação",VLOOKUP(C59,COTAÇÃO!A:D,2,0),IF(B59="Composição",VLOOKUP(C59,COMPOSIÇÃO!A:D,2,0))))))</f>
        <v>Escavação  Mecanizada  (Com Escavadeira Hidráulica)  Em Valas Com Material De 2ª Categoria
- Profundidade Até 2,0 M</v>
      </c>
      <c r="E59" s="132"/>
      <c r="F59" s="132"/>
      <c r="G59" s="694"/>
      <c r="H59" s="694"/>
      <c r="I59" s="694"/>
      <c r="J59" s="72">
        <f>J55</f>
        <v>0.95</v>
      </c>
      <c r="K59" s="72">
        <f>M18</f>
        <v>0.05</v>
      </c>
      <c r="L59" s="694" t="s">
        <v>22</v>
      </c>
      <c r="M59" s="52">
        <f>K59*$M$45*J59</f>
        <v>0</v>
      </c>
      <c r="N59" s="558"/>
      <c r="O59" s="33"/>
    </row>
    <row r="60" spans="1:15" s="35" customFormat="1" hidden="1">
      <c r="A60" s="157"/>
      <c r="B60" s="87"/>
      <c r="C60" s="87"/>
      <c r="D60" s="114"/>
      <c r="E60" s="115"/>
      <c r="F60" s="115"/>
      <c r="G60" s="691"/>
      <c r="H60" s="691"/>
      <c r="I60" s="691"/>
      <c r="J60" s="691" t="s">
        <v>11696</v>
      </c>
      <c r="K60" s="691" t="s">
        <v>11642</v>
      </c>
      <c r="L60" s="696"/>
      <c r="M60" s="53"/>
      <c r="N60" s="693"/>
      <c r="O60" s="33"/>
    </row>
    <row r="61" spans="1:15" s="35" customFormat="1" ht="33.75" hidden="1">
      <c r="A61" s="157" t="s">
        <v>12546</v>
      </c>
      <c r="B61" s="87" t="s">
        <v>10852</v>
      </c>
      <c r="C61" s="158">
        <v>185</v>
      </c>
      <c r="D61" s="144" t="str">
        <f>PROPER(IF(B61="Saneago",VLOOKUP(C61,'SANEAGO-FEV.2016'!A:B,2,0),IF(B61="Sinapi",VLOOKUP(C61,'SINAPI-FEV.2017'!A:D,2,0),IF(B61="Cotação",VLOOKUP(C61,COTAÇÃO!A:D,2,0),IF(B61="Composição",VLOOKUP(C61,COMPOSIÇÃO!A:D,2,0))))))</f>
        <v>Escavação  Mecanizada  (Com Escavadeira Hidráulica)  Em Valas Com Material De 2ª Categoria
- Profundidade De 2,0 A 4,0 M</v>
      </c>
      <c r="E61" s="132"/>
      <c r="F61" s="132"/>
      <c r="G61" s="694"/>
      <c r="H61" s="694"/>
      <c r="I61" s="694"/>
      <c r="J61" s="72">
        <f>J59</f>
        <v>0.95</v>
      </c>
      <c r="K61" s="72">
        <f>K59</f>
        <v>0.05</v>
      </c>
      <c r="L61" s="694" t="s">
        <v>22</v>
      </c>
      <c r="M61" s="52">
        <f>K61*M$48*J61</f>
        <v>0</v>
      </c>
      <c r="N61" s="693"/>
      <c r="O61" s="33"/>
    </row>
    <row r="62" spans="1:15" s="35" customFormat="1" hidden="1">
      <c r="A62" s="157"/>
      <c r="B62" s="87"/>
      <c r="C62" s="158"/>
      <c r="D62" s="114"/>
      <c r="E62" s="115"/>
      <c r="F62" s="115"/>
      <c r="G62" s="691"/>
      <c r="H62" s="691"/>
      <c r="I62" s="691"/>
      <c r="J62" s="691" t="s">
        <v>11696</v>
      </c>
      <c r="K62" s="691" t="s">
        <v>11642</v>
      </c>
      <c r="L62" s="696"/>
      <c r="M62" s="53"/>
      <c r="N62" s="693"/>
      <c r="O62" s="33"/>
    </row>
    <row r="63" spans="1:15" s="35" customFormat="1" ht="33.75" hidden="1">
      <c r="A63" s="157" t="s">
        <v>12547</v>
      </c>
      <c r="B63" s="87" t="s">
        <v>10852</v>
      </c>
      <c r="C63" s="158">
        <v>186</v>
      </c>
      <c r="D63" s="144" t="str">
        <f>PROPER(IF(B63="Saneago",VLOOKUP(C63,'SANEAGO-FEV.2016'!A:B,2,0),IF(B63="Sinapi",VLOOKUP(C63,'SINAPI-FEV.2017'!A:D,2,0),IF(B63="Cotação",VLOOKUP(C63,COTAÇÃO!A:D,2,0),IF(B63="Composição",VLOOKUP(C63,COMPOSIÇÃO!A:D,2,0))))))</f>
        <v>Escavação  Mecanizada  (Com Escavadeira Hidráulica)  Em Valas Com Material De 2ª Categoria
- Profundidade De 4,0 A 6,0 M</v>
      </c>
      <c r="E63" s="132"/>
      <c r="F63" s="132"/>
      <c r="G63" s="694"/>
      <c r="H63" s="694"/>
      <c r="I63" s="694"/>
      <c r="J63" s="72">
        <v>1</v>
      </c>
      <c r="K63" s="72">
        <f>K61</f>
        <v>0.05</v>
      </c>
      <c r="L63" s="694" t="s">
        <v>22</v>
      </c>
      <c r="M63" s="52">
        <f>K63*M$51*J63</f>
        <v>0</v>
      </c>
      <c r="N63" s="693"/>
      <c r="O63" s="33"/>
    </row>
    <row r="64" spans="1:15" s="35" customFormat="1" hidden="1">
      <c r="A64" s="157"/>
      <c r="B64" s="87"/>
      <c r="C64" s="87"/>
      <c r="D64" s="114"/>
      <c r="E64" s="115"/>
      <c r="F64" s="115"/>
      <c r="G64" s="691"/>
      <c r="H64" s="691"/>
      <c r="I64" s="691"/>
      <c r="J64" s="691" t="s">
        <v>11696</v>
      </c>
      <c r="K64" s="691" t="s">
        <v>11677</v>
      </c>
      <c r="L64" s="696"/>
      <c r="M64" s="53"/>
      <c r="N64" s="693"/>
      <c r="O64" s="33"/>
    </row>
    <row r="65" spans="1:15" s="35" customFormat="1" ht="22.5" hidden="1">
      <c r="A65" s="157" t="s">
        <v>12576</v>
      </c>
      <c r="B65" s="87" t="s">
        <v>10852</v>
      </c>
      <c r="C65" s="158">
        <v>187</v>
      </c>
      <c r="D65" s="144" t="str">
        <f>PROPER(IF(B65="Saneago",VLOOKUP(C65,'SANEAGO-FEV.2016'!A:B,2,0),IF(B65="Sinapi",VLOOKUP(C65,'SINAPI-FEV.2017'!A:D,2,0),IF(B65="Cotação",VLOOKUP(C65,COTAÇÃO!A:D,2,0),IF(B65="Composição",VLOOKUP(C65,COMPOSIÇÃO!A:D,2,0))))))</f>
        <v>Escavação  Mecanizada  (Com Escavadeira Hidráulica)  Em Valas Com Material  De Solo Mole - Profundidade Até 2,0 M</v>
      </c>
      <c r="E65" s="132"/>
      <c r="F65" s="132"/>
      <c r="G65" s="694"/>
      <c r="H65" s="694"/>
      <c r="I65" s="694"/>
      <c r="J65" s="72">
        <f>J61</f>
        <v>0.95</v>
      </c>
      <c r="K65" s="72">
        <f>M20</f>
        <v>0.05</v>
      </c>
      <c r="L65" s="694" t="s">
        <v>22</v>
      </c>
      <c r="M65" s="52">
        <f>K65*$M$45*J65</f>
        <v>0</v>
      </c>
      <c r="N65" s="693"/>
      <c r="O65" s="33"/>
    </row>
    <row r="66" spans="1:15" s="35" customFormat="1" hidden="1">
      <c r="A66" s="157"/>
      <c r="B66" s="87"/>
      <c r="C66" s="87"/>
      <c r="D66" s="114"/>
      <c r="E66" s="115"/>
      <c r="F66" s="115"/>
      <c r="G66" s="691"/>
      <c r="H66" s="691"/>
      <c r="I66" s="691"/>
      <c r="J66" s="691" t="s">
        <v>11696</v>
      </c>
      <c r="K66" s="691" t="s">
        <v>11677</v>
      </c>
      <c r="L66" s="696"/>
      <c r="M66" s="53"/>
      <c r="N66" s="693"/>
      <c r="O66" s="33"/>
    </row>
    <row r="67" spans="1:15" s="35" customFormat="1" ht="22.5" hidden="1">
      <c r="A67" s="157" t="s">
        <v>12577</v>
      </c>
      <c r="B67" s="87" t="s">
        <v>10852</v>
      </c>
      <c r="C67" s="158">
        <v>188</v>
      </c>
      <c r="D67" s="144" t="str">
        <f>PROPER(IF(B67="Saneago",VLOOKUP(C67,'SANEAGO-FEV.2016'!A:B,2,0),IF(B67="Sinapi",VLOOKUP(C67,'SINAPI-FEV.2017'!A:D,2,0),IF(B67="Cotação",VLOOKUP(C67,COTAÇÃO!A:D,2,0),IF(B67="Composição",VLOOKUP(C67,COMPOSIÇÃO!A:D,2,0))))))</f>
        <v>Escavação  Mecanizada  (Com Escavadeira Hidráulica)  Em Valas Com Material  De Solo Mole - Profundidade De 2,0 A 4,0 M</v>
      </c>
      <c r="E67" s="132"/>
      <c r="F67" s="132"/>
      <c r="G67" s="694"/>
      <c r="H67" s="694"/>
      <c r="I67" s="694"/>
      <c r="J67" s="72">
        <f>J65</f>
        <v>0.95</v>
      </c>
      <c r="K67" s="72">
        <f>K65</f>
        <v>0.05</v>
      </c>
      <c r="L67" s="694" t="s">
        <v>22</v>
      </c>
      <c r="M67" s="52">
        <f>K67*M$48*J67</f>
        <v>0</v>
      </c>
      <c r="N67" s="693"/>
      <c r="O67" s="33"/>
    </row>
    <row r="68" spans="1:15" s="35" customFormat="1" hidden="1">
      <c r="A68" s="157"/>
      <c r="B68" s="87"/>
      <c r="C68" s="87"/>
      <c r="D68" s="114"/>
      <c r="E68" s="115"/>
      <c r="F68" s="115"/>
      <c r="G68" s="691"/>
      <c r="H68" s="691"/>
      <c r="I68" s="691"/>
      <c r="J68" s="691" t="s">
        <v>11696</v>
      </c>
      <c r="K68" s="691" t="s">
        <v>11677</v>
      </c>
      <c r="L68" s="696"/>
      <c r="M68" s="53"/>
      <c r="N68" s="693"/>
      <c r="O68" s="33"/>
    </row>
    <row r="69" spans="1:15" s="35" customFormat="1" ht="22.5" hidden="1">
      <c r="A69" s="157" t="s">
        <v>12578</v>
      </c>
      <c r="B69" s="87" t="s">
        <v>10852</v>
      </c>
      <c r="C69" s="158">
        <v>189</v>
      </c>
      <c r="D69" s="144" t="str">
        <f>PROPER(IF(B69="Saneago",VLOOKUP(C69,'SANEAGO-FEV.2016'!A:B,2,0),IF(B69="Sinapi",VLOOKUP(C69,'SINAPI-FEV.2017'!A:D,2,0),IF(B69="Cotação",VLOOKUP(C69,COTAÇÃO!A:D,2,0),IF(B69="Composição",VLOOKUP(C69,COMPOSIÇÃO!A:D,2,0))))))</f>
        <v>Escavação  Mecanizada  (Com Escavadeira Hidráulica)  Em Valas Com Material  De Solo Mole - Profundidade De 4,0 A 6,0 M</v>
      </c>
      <c r="E69" s="132"/>
      <c r="F69" s="132"/>
      <c r="G69" s="694"/>
      <c r="H69" s="694"/>
      <c r="I69" s="694"/>
      <c r="J69" s="72">
        <v>1</v>
      </c>
      <c r="K69" s="72">
        <f>K67</f>
        <v>0.05</v>
      </c>
      <c r="L69" s="694" t="s">
        <v>22</v>
      </c>
      <c r="M69" s="52">
        <f>K69*M$51*J69</f>
        <v>0</v>
      </c>
      <c r="N69" s="693"/>
      <c r="O69" s="33"/>
    </row>
    <row r="70" spans="1:15" s="35" customFormat="1" hidden="1">
      <c r="A70" s="157"/>
      <c r="B70" s="87"/>
      <c r="C70" s="87"/>
      <c r="D70" s="114"/>
      <c r="E70" s="115"/>
      <c r="F70" s="115"/>
      <c r="G70" s="691"/>
      <c r="H70" s="691"/>
      <c r="I70" s="691"/>
      <c r="J70" s="691" t="s">
        <v>11737</v>
      </c>
      <c r="K70" s="691" t="s">
        <v>11641</v>
      </c>
      <c r="L70" s="696"/>
      <c r="M70" s="53"/>
      <c r="N70" s="693"/>
      <c r="O70" s="33"/>
    </row>
    <row r="71" spans="1:15" s="35" customFormat="1" hidden="1">
      <c r="A71" s="157" t="s">
        <v>12548</v>
      </c>
      <c r="B71" s="87" t="s">
        <v>10852</v>
      </c>
      <c r="C71" s="158">
        <v>168</v>
      </c>
      <c r="D71" s="144" t="str">
        <f>PROPER(IF(B71="Saneago",VLOOKUP(C71,'SANEAGO-FEV.2016'!A:B,2,0),IF(B71="Sinapi",VLOOKUP(C71,'SINAPI-FEV.2017'!A:D,2,0),IF(B71="Cotação",VLOOKUP(C71,COTAÇÃO!A:D,2,0),IF(B71="Composição",VLOOKUP(C71,COMPOSIÇÃO!A:D,2,0))))))</f>
        <v>Escavação  Manual Em Valas Com Material De 1ª Categoria  - Profundidade Até 2,0M</v>
      </c>
      <c r="E71" s="132"/>
      <c r="F71" s="132"/>
      <c r="G71" s="694"/>
      <c r="H71" s="694"/>
      <c r="I71" s="694"/>
      <c r="J71" s="72">
        <f>M16</f>
        <v>0.05</v>
      </c>
      <c r="K71" s="72">
        <f>K53</f>
        <v>0.9</v>
      </c>
      <c r="L71" s="694" t="s">
        <v>22</v>
      </c>
      <c r="M71" s="52">
        <f>K71*$M$45*J71</f>
        <v>0</v>
      </c>
      <c r="N71" s="693"/>
      <c r="O71" s="33"/>
    </row>
    <row r="72" spans="1:15" s="35" customFormat="1" hidden="1">
      <c r="A72" s="157"/>
      <c r="B72" s="87"/>
      <c r="C72" s="158"/>
      <c r="D72" s="114"/>
      <c r="E72" s="115"/>
      <c r="F72" s="115"/>
      <c r="G72" s="691"/>
      <c r="H72" s="691"/>
      <c r="I72" s="691"/>
      <c r="J72" s="691" t="s">
        <v>11737</v>
      </c>
      <c r="K72" s="691" t="s">
        <v>11641</v>
      </c>
      <c r="L72" s="696"/>
      <c r="M72" s="53"/>
      <c r="N72" s="693"/>
      <c r="O72" s="33"/>
    </row>
    <row r="73" spans="1:15" s="35" customFormat="1" ht="22.5" hidden="1">
      <c r="A73" s="157" t="s">
        <v>12549</v>
      </c>
      <c r="B73" s="87" t="s">
        <v>10852</v>
      </c>
      <c r="C73" s="158">
        <v>169</v>
      </c>
      <c r="D73" s="144" t="str">
        <f>PROPER(IF(B73="Saneago",VLOOKUP(C73,'SANEAGO-FEV.2016'!A:B,2,0),IF(B73="Sinapi",VLOOKUP(C73,'SINAPI-FEV.2017'!A:D,2,0),IF(B73="Cotação",VLOOKUP(C73,COTAÇÃO!A:D,2,0),IF(B73="Composição",VLOOKUP(C73,COMPOSIÇÃO!A:D,2,0))))))</f>
        <v>Escavação  Manual Em Valas Com Material De 1ª Categoria  - Profundidade De 2,0 A 4,0 M</v>
      </c>
      <c r="E73" s="132"/>
      <c r="F73" s="132"/>
      <c r="G73" s="694"/>
      <c r="H73" s="694"/>
      <c r="I73" s="694"/>
      <c r="J73" s="72">
        <f>J71</f>
        <v>0.05</v>
      </c>
      <c r="K73" s="72">
        <f>K55</f>
        <v>0.9</v>
      </c>
      <c r="L73" s="694" t="s">
        <v>22</v>
      </c>
      <c r="M73" s="52">
        <f>K73*M$48*J73</f>
        <v>0</v>
      </c>
      <c r="N73" s="693"/>
      <c r="O73" s="33"/>
    </row>
    <row r="74" spans="1:15" s="35" customFormat="1" hidden="1">
      <c r="A74" s="157"/>
      <c r="B74" s="87"/>
      <c r="C74" s="158"/>
      <c r="D74" s="114"/>
      <c r="E74" s="115"/>
      <c r="F74" s="115"/>
      <c r="G74" s="691"/>
      <c r="H74" s="691"/>
      <c r="I74" s="691"/>
      <c r="J74" s="691" t="s">
        <v>11737</v>
      </c>
      <c r="K74" s="691" t="s">
        <v>11642</v>
      </c>
      <c r="L74" s="696"/>
      <c r="M74" s="53"/>
      <c r="N74" s="693"/>
      <c r="O74" s="33"/>
    </row>
    <row r="75" spans="1:15" s="35" customFormat="1" hidden="1">
      <c r="A75" s="157" t="s">
        <v>12550</v>
      </c>
      <c r="B75" s="87" t="s">
        <v>10852</v>
      </c>
      <c r="C75" s="158">
        <v>170</v>
      </c>
      <c r="D75" s="144" t="str">
        <f>PROPER(IF(B75="Saneago",VLOOKUP(C75,'SANEAGO-FEV.2016'!A:B,2,0),IF(B75="Sinapi",VLOOKUP(C75,'SINAPI-FEV.2017'!A:D,2,0),IF(B75="Cotação",VLOOKUP(C75,COTAÇÃO!A:D,2,0),IF(B75="Composição",VLOOKUP(C75,COMPOSIÇÃO!A:D,2,0))))))</f>
        <v>Escavação  Manual Em Valas Com Material De 2ª Categoria  - Profundidade Até 2,0 M</v>
      </c>
      <c r="E75" s="132"/>
      <c r="F75" s="132"/>
      <c r="G75" s="694"/>
      <c r="H75" s="694"/>
      <c r="I75" s="694"/>
      <c r="J75" s="72">
        <f>J73</f>
        <v>0.05</v>
      </c>
      <c r="K75" s="72">
        <f>K59</f>
        <v>0.05</v>
      </c>
      <c r="L75" s="694" t="s">
        <v>22</v>
      </c>
      <c r="M75" s="52">
        <f>K75*M$51*J75</f>
        <v>0</v>
      </c>
      <c r="N75" s="693"/>
      <c r="O75" s="33"/>
    </row>
    <row r="76" spans="1:15" s="35" customFormat="1" hidden="1">
      <c r="A76" s="157"/>
      <c r="B76" s="87"/>
      <c r="C76" s="87"/>
      <c r="D76" s="114"/>
      <c r="E76" s="115"/>
      <c r="F76" s="115"/>
      <c r="G76" s="691"/>
      <c r="H76" s="691"/>
      <c r="I76" s="691"/>
      <c r="J76" s="691" t="s">
        <v>11737</v>
      </c>
      <c r="K76" s="691" t="s">
        <v>11642</v>
      </c>
      <c r="L76" s="696"/>
      <c r="M76" s="53"/>
      <c r="N76" s="693"/>
      <c r="O76" s="33"/>
    </row>
    <row r="77" spans="1:15" s="35" customFormat="1" ht="22.5" hidden="1">
      <c r="A77" s="157" t="s">
        <v>12551</v>
      </c>
      <c r="B77" s="87" t="s">
        <v>10852</v>
      </c>
      <c r="C77" s="158">
        <v>171</v>
      </c>
      <c r="D77" s="144" t="str">
        <f>PROPER(IF(B77="Saneago",VLOOKUP(C77,'SANEAGO-FEV.2016'!A:B,2,0),IF(B77="Sinapi",VLOOKUP(C77,'SINAPI-FEV.2017'!A:D,2,0),IF(B77="Cotação",VLOOKUP(C77,COTAÇÃO!A:D,2,0),IF(B77="Composição",VLOOKUP(C77,COMPOSIÇÃO!A:D,2,0))))))</f>
        <v>Escavação  Manual Em Valas Com Material De 2ª Categoria  - Profundidade De 2,0 A 4,0 M</v>
      </c>
      <c r="E77" s="132"/>
      <c r="F77" s="132"/>
      <c r="G77" s="694"/>
      <c r="H77" s="694"/>
      <c r="I77" s="694"/>
      <c r="J77" s="72">
        <f>J75</f>
        <v>0.05</v>
      </c>
      <c r="K77" s="72">
        <f>K61</f>
        <v>0.05</v>
      </c>
      <c r="L77" s="694" t="s">
        <v>22</v>
      </c>
      <c r="M77" s="52">
        <f>K77*$M$45*J77</f>
        <v>0</v>
      </c>
      <c r="N77" s="693"/>
      <c r="O77" s="33"/>
    </row>
    <row r="78" spans="1:15" s="35" customFormat="1" hidden="1">
      <c r="A78" s="157"/>
      <c r="B78" s="87"/>
      <c r="C78" s="87"/>
      <c r="D78" s="114"/>
      <c r="E78" s="115"/>
      <c r="F78" s="115"/>
      <c r="G78" s="691"/>
      <c r="H78" s="691"/>
      <c r="I78" s="691"/>
      <c r="J78" s="691" t="s">
        <v>11737</v>
      </c>
      <c r="K78" s="691" t="s">
        <v>11677</v>
      </c>
      <c r="L78" s="696"/>
      <c r="M78" s="53"/>
      <c r="N78" s="693"/>
      <c r="O78" s="33"/>
    </row>
    <row r="79" spans="1:15" s="35" customFormat="1" ht="22.5" hidden="1">
      <c r="A79" s="157" t="s">
        <v>12552</v>
      </c>
      <c r="B79" s="87" t="s">
        <v>10852</v>
      </c>
      <c r="C79" s="158">
        <v>172</v>
      </c>
      <c r="D79" s="144" t="str">
        <f>PROPER(IF(B79="Saneago",VLOOKUP(C79,'SANEAGO-FEV.2016'!A:B,2,0),IF(B79="Sinapi",VLOOKUP(C79,'SINAPI-FEV.2017'!A:D,2,0),IF(B79="Cotação",VLOOKUP(C79,COTAÇÃO!A:D,2,0),IF(B79="Composição",VLOOKUP(C79,COMPOSIÇÃO!A:D,2,0))))))</f>
        <v>Escavação   Manual   Em  Valas  Com  Material   De  3ª  Categoria   Sem  Uso  De  Explosivo   Com Utilização  De Compressor E Rompedor  -  Profundidade Até 2,0M</v>
      </c>
      <c r="E79" s="132"/>
      <c r="F79" s="132"/>
      <c r="G79" s="694"/>
      <c r="H79" s="694"/>
      <c r="I79" s="694"/>
      <c r="J79" s="72">
        <f>J77</f>
        <v>0.05</v>
      </c>
      <c r="K79" s="72">
        <f>K65</f>
        <v>0.05</v>
      </c>
      <c r="L79" s="694" t="s">
        <v>22</v>
      </c>
      <c r="M79" s="52">
        <f>K79*M$48*J79</f>
        <v>0</v>
      </c>
      <c r="N79" s="693"/>
      <c r="O79" s="33"/>
    </row>
    <row r="80" spans="1:15" s="35" customFormat="1" hidden="1">
      <c r="A80" s="157"/>
      <c r="B80" s="87"/>
      <c r="C80" s="87"/>
      <c r="D80" s="114"/>
      <c r="E80" s="115"/>
      <c r="F80" s="115"/>
      <c r="G80" s="691"/>
      <c r="H80" s="691"/>
      <c r="I80" s="691"/>
      <c r="J80" s="691" t="s">
        <v>11696</v>
      </c>
      <c r="K80" s="691" t="s">
        <v>11677</v>
      </c>
      <c r="L80" s="696"/>
      <c r="M80" s="53"/>
      <c r="N80" s="693"/>
      <c r="O80" s="33"/>
    </row>
    <row r="81" spans="1:15" s="35" customFormat="1" ht="22.5" hidden="1">
      <c r="A81" s="157" t="s">
        <v>12553</v>
      </c>
      <c r="B81" s="87" t="s">
        <v>10852</v>
      </c>
      <c r="C81" s="158">
        <v>173</v>
      </c>
      <c r="D81" s="144" t="str">
        <f>PROPER(IF(B81="Saneago",VLOOKUP(C81,'SANEAGO-FEV.2016'!A:B,2,0),IF(B81="Sinapi",VLOOKUP(C81,'SINAPI-FEV.2017'!A:D,2,0),IF(B81="Cotação",VLOOKUP(C81,COTAÇÃO!A:D,2,0),IF(B81="Composição",VLOOKUP(C81,COMPOSIÇÃO!A:D,2,0))))))</f>
        <v>Escavação   Manual   Em  Valas  Com  Material   De  3ª  Categoria   Sem  Uso  De  Explosivo   Com Utilização  De Compressor E Rompedor   - Profundidade De 2,0 A 4,0M</v>
      </c>
      <c r="E81" s="132"/>
      <c r="F81" s="132"/>
      <c r="G81" s="694"/>
      <c r="H81" s="694"/>
      <c r="I81" s="694"/>
      <c r="J81" s="72">
        <f>J79</f>
        <v>0.05</v>
      </c>
      <c r="K81" s="72">
        <f>K67</f>
        <v>0.05</v>
      </c>
      <c r="L81" s="694" t="s">
        <v>22</v>
      </c>
      <c r="M81" s="52">
        <f>K81*M$51*J81</f>
        <v>0</v>
      </c>
      <c r="N81" s="693"/>
      <c r="O81" s="33"/>
    </row>
    <row r="82" spans="1:15" s="35" customFormat="1" hidden="1">
      <c r="A82" s="157"/>
      <c r="B82" s="87"/>
      <c r="C82" s="87"/>
      <c r="D82" s="114"/>
      <c r="E82" s="696" t="s">
        <v>30</v>
      </c>
      <c r="F82" s="696" t="s">
        <v>30</v>
      </c>
      <c r="G82" s="691" t="s">
        <v>30</v>
      </c>
      <c r="H82" s="691" t="s">
        <v>30</v>
      </c>
      <c r="I82" s="691" t="s">
        <v>30</v>
      </c>
      <c r="J82" s="691" t="s">
        <v>30</v>
      </c>
      <c r="K82" s="691" t="s">
        <v>30</v>
      </c>
      <c r="L82" s="696" t="s">
        <v>30</v>
      </c>
      <c r="M82" s="53" t="s">
        <v>30</v>
      </c>
      <c r="N82" s="693"/>
      <c r="O82" s="33"/>
    </row>
    <row r="83" spans="1:15" s="35" customFormat="1" hidden="1">
      <c r="A83" s="157" t="s">
        <v>12554</v>
      </c>
      <c r="B83" s="87" t="s">
        <v>11644</v>
      </c>
      <c r="C83" s="87" t="s">
        <v>349</v>
      </c>
      <c r="D83" s="144" t="e">
        <f>PROPER(IF(B83="Saneago",VLOOKUP(C83,'SANEAGO-FEV.2016'!A:B,2,0),IF(B83="Sinapi",VLOOKUP(C83,'SINAPI-FEV.2017'!A:D,2,0),IF(B83="Cotação",VLOOKUP(C83,COTAÇÃO!A:D,2,0),IF(B83="Composição",VLOOKUP(C83,COMPOSIÇÃO!A:D,2,0))))))</f>
        <v>#N/A</v>
      </c>
      <c r="E83" s="694"/>
      <c r="F83" s="694"/>
      <c r="G83" s="694"/>
      <c r="H83" s="694"/>
      <c r="I83" s="694"/>
      <c r="J83" s="72"/>
      <c r="K83" s="72"/>
      <c r="L83" s="694" t="s">
        <v>57</v>
      </c>
      <c r="M83" s="52">
        <f>(J83*K83)</f>
        <v>0</v>
      </c>
      <c r="N83" s="693"/>
      <c r="O83" s="33"/>
    </row>
    <row r="84" spans="1:15" s="35" customFormat="1" hidden="1">
      <c r="A84" s="157"/>
      <c r="B84" s="87"/>
      <c r="C84" s="87"/>
      <c r="D84" s="338"/>
      <c r="E84" s="691" t="s">
        <v>30</v>
      </c>
      <c r="F84" s="691" t="s">
        <v>30</v>
      </c>
      <c r="G84" s="691" t="s">
        <v>30</v>
      </c>
      <c r="H84" s="691" t="s">
        <v>30</v>
      </c>
      <c r="I84" s="691" t="s">
        <v>1275</v>
      </c>
      <c r="J84" s="692" t="s">
        <v>17</v>
      </c>
      <c r="K84" s="692" t="s">
        <v>19</v>
      </c>
      <c r="L84" s="691" t="s">
        <v>30</v>
      </c>
      <c r="M84" s="691" t="s">
        <v>30</v>
      </c>
      <c r="N84" s="693"/>
      <c r="O84" s="33"/>
    </row>
    <row r="85" spans="1:15" s="35" customFormat="1" hidden="1">
      <c r="A85" s="157"/>
      <c r="B85" s="87"/>
      <c r="C85" s="87"/>
      <c r="D85" s="125"/>
      <c r="E85" s="38"/>
      <c r="F85" s="105"/>
      <c r="G85" s="1733" t="s">
        <v>12573</v>
      </c>
      <c r="H85" s="1733"/>
      <c r="I85" s="196"/>
      <c r="J85" s="196"/>
      <c r="K85" s="196"/>
      <c r="L85" s="692" t="s">
        <v>21</v>
      </c>
      <c r="M85" s="55">
        <f>(J85*K85*I85)</f>
        <v>0</v>
      </c>
      <c r="N85" s="693"/>
      <c r="O85" s="33"/>
    </row>
    <row r="86" spans="1:15" s="35" customFormat="1" hidden="1">
      <c r="A86" s="157"/>
      <c r="B86" s="87"/>
      <c r="C86" s="87"/>
      <c r="D86" s="338"/>
      <c r="E86" s="105"/>
      <c r="F86" s="105"/>
      <c r="G86" s="690"/>
      <c r="H86" s="681"/>
      <c r="I86" s="691"/>
      <c r="J86" s="692"/>
      <c r="K86" s="692"/>
      <c r="L86" s="692"/>
      <c r="M86" s="55"/>
      <c r="N86" s="693"/>
      <c r="O86" s="33"/>
    </row>
    <row r="87" spans="1:15" s="35" customFormat="1" hidden="1">
      <c r="A87" s="157" t="s">
        <v>12555</v>
      </c>
      <c r="B87" s="87" t="s">
        <v>10852</v>
      </c>
      <c r="C87" s="87">
        <v>207</v>
      </c>
      <c r="D87" s="112" t="str">
        <f>PROPER(IF(B87="Saneago",VLOOKUP(C87,'SANEAGO-FEV.2016'!A:B,2,0),IF(B87="Sinapi",VLOOKUP(C87,'SINAPI-FEV.2017'!A:D,2,0),IF(B87="Cotação",VLOOKUP(C87,COTAÇÃO!A:D,2,0),IF(B87="Composição",VLOOKUP(C87,COMPOSIÇÃO!A:D,2,0))))))</f>
        <v>Acerto De Fundo De Vala Sem Compactação</v>
      </c>
      <c r="E87" s="695"/>
      <c r="F87" s="695"/>
      <c r="G87" s="698"/>
      <c r="H87" s="694"/>
      <c r="I87" s="694"/>
      <c r="J87" s="698"/>
      <c r="K87" s="688" t="s">
        <v>27</v>
      </c>
      <c r="L87" s="688" t="s">
        <v>21</v>
      </c>
      <c r="M87" s="81">
        <f>SUM(M85:M85)</f>
        <v>0</v>
      </c>
      <c r="N87" s="693"/>
      <c r="O87" s="33"/>
    </row>
    <row r="88" spans="1:15" s="35" customFormat="1" ht="45" hidden="1" customHeight="1">
      <c r="A88" s="157"/>
      <c r="B88" s="87"/>
      <c r="C88" s="87"/>
      <c r="D88" s="338"/>
      <c r="E88" s="691" t="s">
        <v>30</v>
      </c>
      <c r="F88" s="691" t="s">
        <v>30</v>
      </c>
      <c r="G88" s="691" t="s">
        <v>30</v>
      </c>
      <c r="H88" s="691" t="s">
        <v>30</v>
      </c>
      <c r="I88" s="691" t="s">
        <v>30</v>
      </c>
      <c r="J88" s="692" t="s">
        <v>12579</v>
      </c>
      <c r="K88" s="692" t="s">
        <v>12580</v>
      </c>
      <c r="L88" s="692" t="s">
        <v>30</v>
      </c>
      <c r="M88" s="558" t="s">
        <v>30</v>
      </c>
      <c r="N88" s="693"/>
      <c r="O88" s="33"/>
    </row>
    <row r="89" spans="1:15" s="35" customFormat="1" hidden="1">
      <c r="A89" s="157"/>
      <c r="B89" s="87"/>
      <c r="C89" s="87"/>
      <c r="D89" s="338"/>
      <c r="E89" s="105"/>
      <c r="F89" s="105"/>
      <c r="G89" s="1731"/>
      <c r="H89" s="1731"/>
      <c r="I89" s="120"/>
      <c r="J89" s="120">
        <f>0.6*M42</f>
        <v>0</v>
      </c>
      <c r="K89" s="120">
        <f>M42*0.4</f>
        <v>0</v>
      </c>
      <c r="L89" s="692" t="s">
        <v>22</v>
      </c>
      <c r="M89" s="55">
        <f>SUM(J89:K89)</f>
        <v>0</v>
      </c>
      <c r="N89" s="693"/>
      <c r="O89" s="33"/>
    </row>
    <row r="90" spans="1:15" s="35" customFormat="1" hidden="1">
      <c r="A90" s="157"/>
      <c r="B90" s="87"/>
      <c r="C90" s="87"/>
      <c r="D90" s="125"/>
      <c r="E90" s="38"/>
      <c r="F90" s="38"/>
      <c r="G90" s="681"/>
      <c r="H90" s="681"/>
      <c r="I90" s="120"/>
      <c r="J90" s="120"/>
      <c r="K90" s="692"/>
      <c r="L90" s="692"/>
      <c r="M90" s="55"/>
      <c r="N90" s="693"/>
      <c r="O90" s="33"/>
    </row>
    <row r="91" spans="1:15" s="35" customFormat="1" hidden="1">
      <c r="A91" s="157"/>
      <c r="B91" s="87"/>
      <c r="C91" s="87"/>
      <c r="D91" s="112" t="s">
        <v>11768</v>
      </c>
      <c r="E91" s="695"/>
      <c r="F91" s="695"/>
      <c r="G91" s="692"/>
      <c r="H91" s="692"/>
      <c r="I91" s="692"/>
      <c r="J91" s="1734" t="s">
        <v>42</v>
      </c>
      <c r="K91" s="1734"/>
      <c r="L91" s="687" t="s">
        <v>22</v>
      </c>
      <c r="M91" s="82">
        <f>M89</f>
        <v>0</v>
      </c>
      <c r="N91" s="693"/>
      <c r="O91" s="33"/>
    </row>
    <row r="92" spans="1:15" s="35" customFormat="1" hidden="1">
      <c r="A92" s="157"/>
      <c r="B92" s="87"/>
      <c r="C92" s="87"/>
      <c r="D92" s="143" t="s">
        <v>73</v>
      </c>
      <c r="E92" s="105"/>
      <c r="F92" s="105"/>
      <c r="G92" s="696" t="s">
        <v>30</v>
      </c>
      <c r="H92" s="696" t="s">
        <v>30</v>
      </c>
      <c r="I92" s="696" t="s">
        <v>30</v>
      </c>
      <c r="J92" s="696" t="s">
        <v>42</v>
      </c>
      <c r="K92" s="696" t="s">
        <v>50</v>
      </c>
      <c r="L92" s="696"/>
      <c r="M92" s="53"/>
      <c r="N92" s="693"/>
      <c r="O92" s="33"/>
    </row>
    <row r="93" spans="1:15" s="35" customFormat="1" hidden="1">
      <c r="A93" s="157" t="s">
        <v>12556</v>
      </c>
      <c r="B93" s="87" t="s">
        <v>11644</v>
      </c>
      <c r="C93" s="87" t="s">
        <v>835</v>
      </c>
      <c r="D93" s="112" t="e">
        <f>PROPER(IF(B93="Saneago",VLOOKUP(C93,'SANEAGO-FEV.2016'!A:B,2,0),IF(B93="Sinapi",VLOOKUP(C93,'SINAPI-FEV.2017'!A:D,2,0),IF(B93="Cotação",VLOOKUP(C93,COTAÇÃO!A:D,2,0),IF(B93="Composição",VLOOKUP(C93,COMPOSIÇÃO!A:D,2,0))))))</f>
        <v>#N/A</v>
      </c>
      <c r="E93" s="695"/>
      <c r="F93" s="695"/>
      <c r="G93" s="694"/>
      <c r="H93" s="694"/>
      <c r="I93" s="694"/>
      <c r="J93" s="698">
        <f>M91</f>
        <v>0</v>
      </c>
      <c r="K93" s="72">
        <f>M24</f>
        <v>1</v>
      </c>
      <c r="L93" s="694" t="s">
        <v>22</v>
      </c>
      <c r="M93" s="52">
        <f>J93*K93</f>
        <v>0</v>
      </c>
      <c r="N93" s="693"/>
      <c r="O93" s="33"/>
    </row>
    <row r="94" spans="1:15" s="35" customFormat="1" hidden="1">
      <c r="A94" s="157"/>
      <c r="B94" s="87"/>
      <c r="C94" s="87"/>
      <c r="D94" s="114"/>
      <c r="E94" s="115"/>
      <c r="F94" s="115"/>
      <c r="G94" s="691" t="s">
        <v>30</v>
      </c>
      <c r="H94" s="691" t="s">
        <v>30</v>
      </c>
      <c r="I94" s="691" t="s">
        <v>30</v>
      </c>
      <c r="J94" s="692" t="s">
        <v>42</v>
      </c>
      <c r="K94" s="692" t="s">
        <v>79</v>
      </c>
      <c r="L94" s="692"/>
      <c r="M94" s="55"/>
      <c r="N94" s="693"/>
      <c r="O94" s="33"/>
    </row>
    <row r="95" spans="1:15" s="35" customFormat="1" hidden="1">
      <c r="A95" s="157" t="s">
        <v>12557</v>
      </c>
      <c r="B95" s="87" t="s">
        <v>10852</v>
      </c>
      <c r="C95" s="87">
        <v>220</v>
      </c>
      <c r="D95" s="112" t="str">
        <f>PROPER(IF(B95="Saneago",VLOOKUP(C95,'SANEAGO-FEV.2016'!A:B,2,0),IF(B95="Sinapi",VLOOKUP(C95,'SINAPI-FEV.2017'!A:D,2,0),IF(B95="Cotação",VLOOKUP(C95,COTAÇÃO!A:D,2,0),IF(B95="Composição",VLOOKUP(C95,COMPOSIÇÃO!A:D,2,0))))))</f>
        <v>Reaterro  Manual Compactado Em Camadas De 20Cm</v>
      </c>
      <c r="E95" s="695"/>
      <c r="F95" s="695"/>
      <c r="G95" s="698"/>
      <c r="H95" s="698"/>
      <c r="I95" s="698"/>
      <c r="J95" s="698">
        <f>J93</f>
        <v>0</v>
      </c>
      <c r="K95" s="56">
        <f>M23</f>
        <v>0</v>
      </c>
      <c r="L95" s="698" t="s">
        <v>22</v>
      </c>
      <c r="M95" s="52">
        <f>J95*K95</f>
        <v>0</v>
      </c>
      <c r="N95" s="693"/>
      <c r="O95" s="33"/>
    </row>
    <row r="96" spans="1:15" s="35" customFormat="1" hidden="1">
      <c r="A96" s="157"/>
      <c r="B96" s="87"/>
      <c r="C96" s="87"/>
      <c r="D96" s="338"/>
      <c r="E96" s="105"/>
      <c r="F96" s="105"/>
      <c r="G96" s="692"/>
      <c r="H96" s="692"/>
      <c r="I96" s="692"/>
      <c r="J96" s="692"/>
      <c r="K96" s="197"/>
      <c r="L96" s="692"/>
      <c r="M96" s="55"/>
      <c r="N96" s="693"/>
      <c r="O96" s="33"/>
    </row>
    <row r="97" spans="1:15" s="38" customFormat="1" hidden="1" thickTop="1" thickBot="1">
      <c r="A97" s="159"/>
      <c r="B97" s="160"/>
      <c r="C97" s="160"/>
      <c r="D97" s="110" t="s">
        <v>12516</v>
      </c>
      <c r="E97" s="111"/>
      <c r="F97" s="111"/>
      <c r="G97" s="111"/>
      <c r="H97" s="111"/>
      <c r="I97" s="111"/>
      <c r="J97" s="111"/>
      <c r="K97" s="111"/>
      <c r="L97" s="682" t="s">
        <v>25</v>
      </c>
      <c r="M97" s="683" t="s">
        <v>27</v>
      </c>
      <c r="N97" s="693"/>
      <c r="O97" s="33"/>
    </row>
    <row r="98" spans="1:15" s="38" customFormat="1" ht="11.25" hidden="1">
      <c r="A98" s="159"/>
      <c r="B98" s="160"/>
      <c r="C98" s="160"/>
      <c r="D98" s="338"/>
      <c r="E98" s="105"/>
      <c r="F98" s="105"/>
      <c r="G98" s="692" t="s">
        <v>30</v>
      </c>
      <c r="H98" s="692" t="s">
        <v>30</v>
      </c>
      <c r="I98" s="692" t="s">
        <v>30</v>
      </c>
      <c r="J98" s="692" t="s">
        <v>30</v>
      </c>
      <c r="K98" s="692" t="s">
        <v>30</v>
      </c>
      <c r="L98" s="692"/>
      <c r="M98" s="55"/>
      <c r="N98" s="693"/>
      <c r="O98" s="33"/>
    </row>
    <row r="99" spans="1:15" s="38" customFormat="1" ht="11.25" hidden="1">
      <c r="A99" s="157" t="s">
        <v>12558</v>
      </c>
      <c r="B99" s="87" t="s">
        <v>10852</v>
      </c>
      <c r="C99" s="87">
        <v>232</v>
      </c>
      <c r="D99" s="112" t="str">
        <f>PROPER(IF(B99="Saneago",VLOOKUP(C99,'SANEAGO-FEV.2016'!A:B,2,0),IF(B99="Sinapi",VLOOKUP(C99,'SINAPI-FEV.2017'!A:D,2,0),IF(B99="Cotação",VLOOKUP(C99,COTAÇÃO!A:D,2,0),IF(B99="Composição",VLOOKUP(C99,COMPOSIÇÃO!A:D,2,0))))))</f>
        <v>Aquisição  De Material De Jazida</v>
      </c>
      <c r="E99" s="695"/>
      <c r="F99" s="695"/>
      <c r="G99" s="698"/>
      <c r="H99" s="698"/>
      <c r="I99" s="698"/>
      <c r="J99" s="698"/>
      <c r="K99" s="698"/>
      <c r="L99" s="698" t="s">
        <v>22</v>
      </c>
      <c r="M99" s="52">
        <f>K89</f>
        <v>0</v>
      </c>
      <c r="N99" s="693"/>
      <c r="O99" s="33"/>
    </row>
    <row r="100" spans="1:15" s="38" customFormat="1" ht="11.25" hidden="1">
      <c r="A100" s="159"/>
      <c r="B100" s="160"/>
      <c r="C100" s="160"/>
      <c r="D100" s="338"/>
      <c r="E100" s="105"/>
      <c r="F100" s="105"/>
      <c r="G100" s="692" t="s">
        <v>30</v>
      </c>
      <c r="H100" s="692" t="s">
        <v>30</v>
      </c>
      <c r="I100" s="692" t="s">
        <v>30</v>
      </c>
      <c r="J100" s="692" t="s">
        <v>30</v>
      </c>
      <c r="K100" s="692" t="s">
        <v>30</v>
      </c>
      <c r="L100" s="692"/>
      <c r="M100" s="55"/>
      <c r="N100" s="693"/>
      <c r="O100" s="33"/>
    </row>
    <row r="101" spans="1:15" s="38" customFormat="1" ht="22.5" hidden="1">
      <c r="A101" s="157" t="s">
        <v>12559</v>
      </c>
      <c r="B101" s="87" t="s">
        <v>10852</v>
      </c>
      <c r="C101" s="87">
        <v>237</v>
      </c>
      <c r="D101" s="112" t="str">
        <f>PROPER(IF(B101="Saneago",VLOOKUP(C101,'SANEAGO-FEV.2016'!A:B,2,0),IF(B101="Sinapi",VLOOKUP(C101,'SINAPI-FEV.2017'!A:D,2,0),IF(B101="Cotação",VLOOKUP(C101,COTAÇÃO!A:D,2,0),IF(B101="Composição",VLOOKUP(C101,COMPOSIÇÃO!A:D,2,0))))))</f>
        <v>Carga  Mecanizada   (Com  A  Pá  Frontal   Da  Retroescavadeira)  Em  Caminhão   Basculante  - Material De 1ª Categoria</v>
      </c>
      <c r="E101" s="695"/>
      <c r="F101" s="695"/>
      <c r="G101" s="698"/>
      <c r="H101" s="698"/>
      <c r="I101" s="698"/>
      <c r="J101" s="698"/>
      <c r="K101" s="56"/>
      <c r="L101" s="698" t="s">
        <v>22</v>
      </c>
      <c r="M101" s="52">
        <f>M99</f>
        <v>0</v>
      </c>
      <c r="N101" s="693"/>
      <c r="O101" s="33"/>
    </row>
    <row r="102" spans="1:15" s="38" customFormat="1" ht="11.25" hidden="1">
      <c r="A102" s="159"/>
      <c r="B102" s="87"/>
      <c r="C102" s="87"/>
      <c r="D102" s="338"/>
      <c r="E102" s="105"/>
      <c r="F102" s="105"/>
      <c r="G102" s="692" t="s">
        <v>30</v>
      </c>
      <c r="H102" s="692" t="s">
        <v>30</v>
      </c>
      <c r="I102" s="692" t="s">
        <v>30</v>
      </c>
      <c r="J102" s="692" t="s">
        <v>12581</v>
      </c>
      <c r="K102" s="692" t="s">
        <v>11774</v>
      </c>
      <c r="L102" s="692"/>
      <c r="M102" s="55"/>
      <c r="N102" s="693"/>
      <c r="O102" s="33"/>
    </row>
    <row r="103" spans="1:15" s="38" customFormat="1" ht="22.5" hidden="1">
      <c r="A103" s="157" t="s">
        <v>12560</v>
      </c>
      <c r="B103" s="87" t="s">
        <v>10852</v>
      </c>
      <c r="C103" s="87">
        <v>19315</v>
      </c>
      <c r="D103" s="112" t="str">
        <f>PROPER(IF(B103="Saneago",VLOOKUP(C103,'SANEAGO-FEV.2016'!A:B,2,0),IF(B103="Sinapi",VLOOKUP(C103,'SINAPI-FEV.2017'!A:D,2,0),IF(B103="Cotação",VLOOKUP(C103,COTAÇÃO!A:D,2,0),IF(B103="Composição",VLOOKUP(C103,COMPOSIÇÃO!A:D,2,0))))))</f>
        <v>Transporte E Descarga  De Material De 1ª Ou 2ª Categoria  (M3 X Km) - Em Caminhão  Basculante Cap. 10 M3 - Com Empolamento</v>
      </c>
      <c r="E103" s="695"/>
      <c r="F103" s="695"/>
      <c r="G103" s="698"/>
      <c r="H103" s="698"/>
      <c r="I103" s="698"/>
      <c r="J103" s="698">
        <f>M101</f>
        <v>0</v>
      </c>
      <c r="K103" s="698">
        <f>M14</f>
        <v>4.5999999999999996</v>
      </c>
      <c r="L103" s="698" t="s">
        <v>23</v>
      </c>
      <c r="M103" s="52">
        <f>J103*K103</f>
        <v>0</v>
      </c>
      <c r="N103" s="693"/>
      <c r="O103" s="33"/>
    </row>
    <row r="104" spans="1:15" s="38" customFormat="1" ht="11.25" hidden="1">
      <c r="A104" s="159"/>
      <c r="B104" s="160"/>
      <c r="C104" s="87"/>
      <c r="D104" s="338"/>
      <c r="E104" s="105"/>
      <c r="F104" s="105"/>
      <c r="G104" s="692" t="s">
        <v>30</v>
      </c>
      <c r="H104" s="692" t="s">
        <v>30</v>
      </c>
      <c r="I104" s="692" t="s">
        <v>30</v>
      </c>
      <c r="J104" s="692" t="s">
        <v>30</v>
      </c>
      <c r="K104" s="692" t="s">
        <v>30</v>
      </c>
      <c r="L104" s="692"/>
      <c r="M104" s="55"/>
      <c r="N104" s="693"/>
      <c r="O104" s="33"/>
    </row>
    <row r="105" spans="1:15" s="38" customFormat="1" ht="11.25" hidden="1">
      <c r="A105" s="157" t="s">
        <v>12561</v>
      </c>
      <c r="B105" s="87" t="s">
        <v>10852</v>
      </c>
      <c r="C105" s="87">
        <v>244</v>
      </c>
      <c r="D105" s="112" t="str">
        <f>PROPER(IF(B105="Saneago",VLOOKUP(C105,'SANEAGO-FEV.2016'!A:B,2,0),IF(B105="Sinapi",VLOOKUP(C105,'SINAPI-FEV.2017'!A:D,2,0),IF(B105="Cotação",VLOOKUP(C105,COTAÇÃO!A:D,2,0),IF(B105="Composição",VLOOKUP(C105,COMPOSIÇÃO!A:D,2,0))))))</f>
        <v>Espalhamento De Material Em Bota Fora Proveniente De Escavação</v>
      </c>
      <c r="E105" s="695"/>
      <c r="F105" s="695"/>
      <c r="G105" s="698"/>
      <c r="H105" s="698"/>
      <c r="I105" s="698"/>
      <c r="J105" s="698"/>
      <c r="K105" s="56"/>
      <c r="L105" s="698" t="s">
        <v>22</v>
      </c>
      <c r="M105" s="52">
        <f>M101</f>
        <v>0</v>
      </c>
      <c r="N105" s="693"/>
      <c r="O105" s="33"/>
    </row>
    <row r="106" spans="1:15" s="38" customFormat="1" ht="11.25" hidden="1">
      <c r="A106" s="159"/>
      <c r="B106" s="160"/>
      <c r="C106" s="160"/>
      <c r="D106" s="338"/>
      <c r="E106" s="105"/>
      <c r="F106" s="105"/>
      <c r="G106" s="691"/>
      <c r="H106" s="691"/>
      <c r="I106" s="691"/>
      <c r="J106" s="34"/>
      <c r="K106" s="691"/>
      <c r="L106" s="691"/>
      <c r="M106" s="54"/>
      <c r="N106" s="693"/>
      <c r="O106" s="33"/>
    </row>
    <row r="107" spans="1:15" s="38" customFormat="1" hidden="1" thickTop="1" thickBot="1">
      <c r="A107" s="159"/>
      <c r="B107" s="160"/>
      <c r="C107" s="160"/>
      <c r="D107" s="110" t="s">
        <v>12582</v>
      </c>
      <c r="E107" s="111"/>
      <c r="F107" s="111"/>
      <c r="G107" s="111"/>
      <c r="H107" s="111"/>
      <c r="I107" s="111"/>
      <c r="J107" s="111"/>
      <c r="K107" s="111"/>
      <c r="L107" s="682" t="s">
        <v>25</v>
      </c>
      <c r="M107" s="683" t="s">
        <v>27</v>
      </c>
      <c r="N107" s="693"/>
      <c r="O107" s="33"/>
    </row>
    <row r="108" spans="1:15" s="38" customFormat="1" ht="11.25" hidden="1">
      <c r="A108" s="159"/>
      <c r="B108" s="160"/>
      <c r="C108" s="160"/>
      <c r="D108" s="338"/>
      <c r="E108" s="105"/>
      <c r="F108" s="105"/>
      <c r="G108" s="692" t="s">
        <v>30</v>
      </c>
      <c r="H108" s="692" t="s">
        <v>30</v>
      </c>
      <c r="I108" s="692" t="s">
        <v>30</v>
      </c>
      <c r="J108" s="692" t="s">
        <v>30</v>
      </c>
      <c r="K108" s="692" t="s">
        <v>30</v>
      </c>
      <c r="L108" s="692"/>
      <c r="M108" s="55"/>
      <c r="N108" s="693"/>
      <c r="O108" s="33"/>
    </row>
    <row r="109" spans="1:15" s="38" customFormat="1" ht="22.5" hidden="1">
      <c r="A109" s="157" t="s">
        <v>12583</v>
      </c>
      <c r="B109" s="87" t="s">
        <v>10852</v>
      </c>
      <c r="C109" s="87">
        <v>237</v>
      </c>
      <c r="D109" s="112" t="str">
        <f>PROPER(IF(B109="Saneago",VLOOKUP(C109,'SANEAGO-FEV.2016'!A:B,2,0),IF(B109="Sinapi",VLOOKUP(C109,'SINAPI-FEV.2017'!A:D,2,0),IF(B109="Cotação",VLOOKUP(C109,COTAÇÃO!A:D,2,0),IF(B109="Composição",VLOOKUP(C109,COMPOSIÇÃO!A:D,2,0))))))</f>
        <v>Carga  Mecanizada   (Com  A  Pá  Frontal   Da  Retroescavadeira)  Em  Caminhão   Basculante  - Material De 1ª Categoria</v>
      </c>
      <c r="E109" s="695"/>
      <c r="F109" s="695"/>
      <c r="G109" s="698"/>
      <c r="H109" s="698"/>
      <c r="I109" s="698"/>
      <c r="J109" s="698"/>
      <c r="K109" s="56"/>
      <c r="L109" s="698" t="s">
        <v>22</v>
      </c>
      <c r="M109" s="52">
        <f>M99</f>
        <v>0</v>
      </c>
      <c r="N109" s="693"/>
      <c r="O109" s="33"/>
    </row>
    <row r="110" spans="1:15" s="38" customFormat="1" ht="11.25" hidden="1">
      <c r="A110" s="159"/>
      <c r="B110" s="87"/>
      <c r="C110" s="87"/>
      <c r="D110" s="338"/>
      <c r="E110" s="105"/>
      <c r="F110" s="105"/>
      <c r="G110" s="692" t="s">
        <v>30</v>
      </c>
      <c r="H110" s="692" t="s">
        <v>30</v>
      </c>
      <c r="I110" s="692" t="s">
        <v>30</v>
      </c>
      <c r="J110" s="692" t="s">
        <v>11680</v>
      </c>
      <c r="K110" s="692" t="s">
        <v>48</v>
      </c>
      <c r="L110" s="692"/>
      <c r="M110" s="55"/>
      <c r="N110" s="693"/>
      <c r="O110" s="33"/>
    </row>
    <row r="111" spans="1:15" s="38" customFormat="1" ht="22.5" hidden="1">
      <c r="A111" s="157" t="s">
        <v>12584</v>
      </c>
      <c r="B111" s="87" t="s">
        <v>10852</v>
      </c>
      <c r="C111" s="87">
        <v>19315</v>
      </c>
      <c r="D111" s="112" t="str">
        <f>PROPER(IF(B111="Saneago",VLOOKUP(C111,'SANEAGO-FEV.2016'!A:B,2,0),IF(B111="Sinapi",VLOOKUP(C111,'SINAPI-FEV.2017'!A:D,2,0),IF(B111="Cotação",VLOOKUP(C111,COTAÇÃO!A:D,2,0),IF(B111="Composição",VLOOKUP(C111,COMPOSIÇÃO!A:D,2,0))))))</f>
        <v>Transporte E Descarga  De Material De 1ª Ou 2ª Categoria  (M3 X Km) - Em Caminhão  Basculante Cap. 10 M3 - Com Empolamento</v>
      </c>
      <c r="E111" s="695"/>
      <c r="F111" s="695"/>
      <c r="G111" s="698"/>
      <c r="H111" s="698"/>
      <c r="I111" s="698"/>
      <c r="J111" s="698">
        <f>M109</f>
        <v>0</v>
      </c>
      <c r="K111" s="698">
        <f>M13</f>
        <v>7.5</v>
      </c>
      <c r="L111" s="698" t="s">
        <v>23</v>
      </c>
      <c r="M111" s="52">
        <f>J111*K111</f>
        <v>0</v>
      </c>
      <c r="N111" s="693"/>
      <c r="O111" s="33"/>
    </row>
    <row r="112" spans="1:15" s="38" customFormat="1" ht="11.25" hidden="1">
      <c r="A112" s="159"/>
      <c r="B112" s="160"/>
      <c r="C112" s="87"/>
      <c r="D112" s="338"/>
      <c r="E112" s="105"/>
      <c r="F112" s="105"/>
      <c r="G112" s="692" t="s">
        <v>30</v>
      </c>
      <c r="H112" s="692" t="s">
        <v>30</v>
      </c>
      <c r="I112" s="692" t="s">
        <v>30</v>
      </c>
      <c r="J112" s="692" t="s">
        <v>30</v>
      </c>
      <c r="K112" s="692" t="s">
        <v>30</v>
      </c>
      <c r="L112" s="692"/>
      <c r="M112" s="55"/>
      <c r="N112" s="693"/>
      <c r="O112" s="33"/>
    </row>
    <row r="113" spans="1:15" s="38" customFormat="1" ht="11.25" hidden="1">
      <c r="A113" s="157" t="s">
        <v>12585</v>
      </c>
      <c r="B113" s="87" t="s">
        <v>10852</v>
      </c>
      <c r="C113" s="87">
        <v>244</v>
      </c>
      <c r="D113" s="112" t="str">
        <f>PROPER(IF(B113="Saneago",VLOOKUP(C113,'SANEAGO-FEV.2016'!A:B,2,0),IF(B113="Sinapi",VLOOKUP(C113,'SINAPI-FEV.2017'!A:D,2,0),IF(B113="Cotação",VLOOKUP(C113,COTAÇÃO!A:D,2,0),IF(B113="Composição",VLOOKUP(C113,COMPOSIÇÃO!A:D,2,0))))))</f>
        <v>Espalhamento De Material Em Bota Fora Proveniente De Escavação</v>
      </c>
      <c r="E113" s="695"/>
      <c r="F113" s="695"/>
      <c r="G113" s="698"/>
      <c r="H113" s="698"/>
      <c r="I113" s="698"/>
      <c r="J113" s="698"/>
      <c r="K113" s="56"/>
      <c r="L113" s="698" t="s">
        <v>22</v>
      </c>
      <c r="M113" s="52">
        <f>M109</f>
        <v>0</v>
      </c>
      <c r="N113" s="693"/>
      <c r="O113" s="33"/>
    </row>
    <row r="114" spans="1:15" s="38" customFormat="1" ht="12" hidden="1" thickBot="1">
      <c r="A114" s="159"/>
      <c r="B114" s="160"/>
      <c r="C114" s="160"/>
      <c r="D114" s="338"/>
      <c r="E114" s="105"/>
      <c r="F114" s="105"/>
      <c r="G114" s="691"/>
      <c r="H114" s="691"/>
      <c r="I114" s="691"/>
      <c r="J114" s="34"/>
      <c r="K114" s="691"/>
      <c r="L114" s="691"/>
      <c r="M114" s="54"/>
      <c r="N114" s="693"/>
      <c r="O114" s="33"/>
    </row>
    <row r="115" spans="1:15" s="35" customFormat="1" ht="17.25" hidden="1" customHeight="1" thickTop="1" thickBot="1">
      <c r="A115" s="157"/>
      <c r="B115" s="87"/>
      <c r="C115" s="87"/>
      <c r="D115" s="110" t="s">
        <v>12520</v>
      </c>
      <c r="E115" s="111"/>
      <c r="F115" s="111"/>
      <c r="G115" s="111"/>
      <c r="H115" s="111"/>
      <c r="I115" s="111"/>
      <c r="J115" s="111"/>
      <c r="K115" s="111"/>
      <c r="L115" s="682" t="s">
        <v>25</v>
      </c>
      <c r="M115" s="683" t="s">
        <v>27</v>
      </c>
      <c r="N115" s="693"/>
      <c r="O115" s="33"/>
    </row>
    <row r="116" spans="1:15" s="35" customFormat="1" ht="13.5" hidden="1" thickTop="1">
      <c r="A116" s="157"/>
      <c r="B116" s="87"/>
      <c r="C116" s="87"/>
      <c r="D116" s="338"/>
      <c r="E116" s="691"/>
      <c r="F116" s="691"/>
      <c r="G116" s="135"/>
      <c r="H116" s="135"/>
      <c r="I116" s="692" t="s">
        <v>1275</v>
      </c>
      <c r="J116" s="692" t="s">
        <v>11684</v>
      </c>
      <c r="K116" s="692" t="s">
        <v>19</v>
      </c>
      <c r="L116" s="692" t="s">
        <v>30</v>
      </c>
      <c r="M116" s="558" t="s">
        <v>30</v>
      </c>
      <c r="N116" s="693"/>
      <c r="O116" s="33"/>
    </row>
    <row r="117" spans="1:15" s="35" customFormat="1" hidden="1">
      <c r="A117" s="157"/>
      <c r="B117" s="87"/>
      <c r="C117" s="87"/>
      <c r="D117" s="338"/>
      <c r="E117" s="38"/>
      <c r="F117" s="38"/>
      <c r="G117" s="38" t="s">
        <v>14280</v>
      </c>
      <c r="H117" s="38" t="s">
        <v>12518</v>
      </c>
      <c r="I117" s="34"/>
      <c r="J117" s="692"/>
      <c r="K117" s="692"/>
      <c r="L117" s="692" t="s">
        <v>21</v>
      </c>
      <c r="M117" s="558">
        <f>I117*J117*K117</f>
        <v>0</v>
      </c>
      <c r="N117" s="693"/>
      <c r="O117" s="33"/>
    </row>
    <row r="118" spans="1:15" s="35" customFormat="1" ht="23.25" hidden="1" thickBot="1">
      <c r="A118" s="157" t="s">
        <v>12562</v>
      </c>
      <c r="B118" s="87" t="s">
        <v>70</v>
      </c>
      <c r="C118" s="86">
        <v>95241</v>
      </c>
      <c r="D118" s="338" t="str">
        <f>PROPER(IF(B118="Saneago",VLOOKUP(C118,'SANEAGO-FEV.2016'!A:B,2,0),IF(B118="Sinapi",VLOOKUP(C118,'SINAPI-FEV.2017'!A:D,2,0),IF(B118="Cotação",VLOOKUP(C118,COTAÇÃO!A:D,2,0),IF(B118="Composição",VLOOKUP(C118,COMPOSIÇÃO!A:D,2,0))))))</f>
        <v>Lastro De Concreto, E = 5 Cm, Preparo Mecânico, Inclusos Lançamento E Adensamento. Af_07_2016</v>
      </c>
      <c r="E118" s="105"/>
      <c r="F118" s="105"/>
      <c r="G118" s="692"/>
      <c r="H118" s="692"/>
      <c r="I118" s="162"/>
      <c r="J118" s="162"/>
      <c r="K118" s="679" t="s">
        <v>27</v>
      </c>
      <c r="L118" s="679" t="s">
        <v>21</v>
      </c>
      <c r="M118" s="82">
        <f>SUM(M117:M117)</f>
        <v>0</v>
      </c>
      <c r="N118" s="693"/>
      <c r="O118" s="33"/>
    </row>
    <row r="119" spans="1:15" s="35" customFormat="1" ht="23.25" customHeight="1" thickBot="1">
      <c r="A119" s="157"/>
      <c r="B119" s="87"/>
      <c r="C119" s="86"/>
      <c r="D119" s="1735" t="s">
        <v>21025</v>
      </c>
      <c r="E119" s="1736"/>
      <c r="F119" s="1736"/>
      <c r="G119" s="1736"/>
      <c r="H119" s="1736"/>
      <c r="I119" s="1736"/>
      <c r="J119" s="1736"/>
      <c r="K119" s="1736"/>
      <c r="L119" s="1736"/>
      <c r="M119" s="1737"/>
      <c r="N119" s="693"/>
      <c r="O119" s="33"/>
    </row>
    <row r="120" spans="1:15" s="168" customFormat="1" ht="30" customHeight="1">
      <c r="A120" s="165"/>
      <c r="B120" s="166"/>
      <c r="C120" s="166"/>
      <c r="D120" s="124" t="s">
        <v>21029</v>
      </c>
      <c r="E120" s="687" t="s">
        <v>1275</v>
      </c>
      <c r="F120" s="687" t="s">
        <v>11684</v>
      </c>
      <c r="G120" s="687" t="s">
        <v>19</v>
      </c>
      <c r="H120" s="687" t="s">
        <v>32</v>
      </c>
      <c r="I120" s="687" t="s">
        <v>36</v>
      </c>
      <c r="J120" s="687" t="s">
        <v>12593</v>
      </c>
      <c r="K120" s="687" t="s">
        <v>30</v>
      </c>
      <c r="L120" s="687" t="s">
        <v>30</v>
      </c>
      <c r="M120" s="167" t="s">
        <v>21039</v>
      </c>
      <c r="N120" s="680"/>
      <c r="O120" s="127"/>
    </row>
    <row r="121" spans="1:15" s="35" customFormat="1">
      <c r="A121" s="157"/>
      <c r="B121" s="87"/>
      <c r="C121" s="87"/>
      <c r="D121" s="684" t="s">
        <v>21026</v>
      </c>
      <c r="E121" s="691">
        <v>2</v>
      </c>
      <c r="F121" s="692">
        <f>17.2+0.5</f>
        <v>17.7</v>
      </c>
      <c r="G121" s="692">
        <v>13.4</v>
      </c>
      <c r="H121" s="692">
        <v>0.3</v>
      </c>
      <c r="I121" s="692" t="s">
        <v>30</v>
      </c>
      <c r="J121" s="692" t="s">
        <v>30</v>
      </c>
      <c r="K121" s="692"/>
      <c r="L121" s="692" t="s">
        <v>21</v>
      </c>
      <c r="M121" s="558">
        <f>(F121*2+(G121*2+0.25))*H121</f>
        <v>18.734999999999999</v>
      </c>
      <c r="N121" s="693"/>
      <c r="O121" s="33"/>
    </row>
    <row r="122" spans="1:15" s="35" customFormat="1">
      <c r="A122" s="157"/>
      <c r="B122" s="87"/>
      <c r="C122" s="87"/>
      <c r="D122" s="684" t="s">
        <v>12620</v>
      </c>
      <c r="E122" s="691">
        <f>2*24</f>
        <v>48</v>
      </c>
      <c r="F122" s="692">
        <v>0.2</v>
      </c>
      <c r="G122" s="692">
        <v>0.2</v>
      </c>
      <c r="H122" s="692">
        <v>4.8499999999999996</v>
      </c>
      <c r="I122" s="692" t="s">
        <v>30</v>
      </c>
      <c r="J122" s="692" t="s">
        <v>30</v>
      </c>
      <c r="K122" s="692"/>
      <c r="L122" s="692" t="s">
        <v>21</v>
      </c>
      <c r="M122" s="558">
        <f>E122*(F122*2+G122*2)*H122</f>
        <v>186.24</v>
      </c>
      <c r="N122" s="693"/>
      <c r="O122" s="33"/>
    </row>
    <row r="123" spans="1:15" s="35" customFormat="1">
      <c r="A123" s="157"/>
      <c r="B123" s="87"/>
      <c r="C123" s="87"/>
      <c r="D123" s="684" t="s">
        <v>12621</v>
      </c>
      <c r="E123" s="691">
        <v>2</v>
      </c>
      <c r="F123" s="692">
        <v>0.15</v>
      </c>
      <c r="G123" s="692">
        <v>0.3</v>
      </c>
      <c r="H123" s="692">
        <v>3.25</v>
      </c>
      <c r="I123" s="692" t="s">
        <v>30</v>
      </c>
      <c r="J123" s="692" t="s">
        <v>30</v>
      </c>
      <c r="K123" s="692"/>
      <c r="L123" s="692" t="s">
        <v>21</v>
      </c>
      <c r="M123" s="558">
        <f>E123*(F123*2+G123*2)*H123</f>
        <v>5.85</v>
      </c>
      <c r="N123" s="693"/>
      <c r="O123" s="33"/>
    </row>
    <row r="124" spans="1:15" s="35" customFormat="1">
      <c r="A124" s="157"/>
      <c r="B124" s="87"/>
      <c r="C124" s="87"/>
      <c r="D124" s="684" t="s">
        <v>12595</v>
      </c>
      <c r="E124" s="691">
        <v>2</v>
      </c>
      <c r="F124" s="692">
        <v>0.5</v>
      </c>
      <c r="G124" s="692">
        <v>0.5</v>
      </c>
      <c r="H124" s="692">
        <v>0.5</v>
      </c>
      <c r="I124" s="692" t="s">
        <v>30</v>
      </c>
      <c r="J124" s="692" t="s">
        <v>30</v>
      </c>
      <c r="K124" s="692"/>
      <c r="L124" s="692" t="s">
        <v>21</v>
      </c>
      <c r="M124" s="558">
        <f>E124*(F124*2+G124*2)*H124</f>
        <v>2</v>
      </c>
      <c r="N124" s="693"/>
      <c r="O124" s="33"/>
    </row>
    <row r="125" spans="1:15" s="35" customFormat="1">
      <c r="A125" s="157"/>
      <c r="B125" s="87"/>
      <c r="C125" s="87"/>
      <c r="D125" s="684" t="s">
        <v>12594</v>
      </c>
      <c r="E125" s="691">
        <v>72</v>
      </c>
      <c r="F125" s="692">
        <v>0.3</v>
      </c>
      <c r="G125" s="701">
        <v>0.15</v>
      </c>
      <c r="H125" s="701">
        <v>1.35</v>
      </c>
      <c r="I125" s="692"/>
      <c r="J125" s="692" t="s">
        <v>30</v>
      </c>
      <c r="K125" s="692"/>
      <c r="L125" s="692" t="s">
        <v>21</v>
      </c>
      <c r="M125" s="558">
        <f>E125*(F125*2+G125*2)*H125</f>
        <v>87.48</v>
      </c>
      <c r="N125" s="693"/>
      <c r="O125" s="33"/>
    </row>
    <row r="126" spans="1:15" s="35" customFormat="1" ht="12.75" customHeight="1">
      <c r="A126" s="157"/>
      <c r="B126" s="87"/>
      <c r="C126" s="87"/>
      <c r="D126" s="684" t="s">
        <v>21013</v>
      </c>
      <c r="E126" s="691">
        <v>1</v>
      </c>
      <c r="F126" s="692">
        <f>17.2+0.5</f>
        <v>17.7</v>
      </c>
      <c r="G126" s="692">
        <f>13.4+0.5</f>
        <v>13.9</v>
      </c>
      <c r="H126" s="692">
        <f>4.7+0.15</f>
        <v>4.8500000000000005</v>
      </c>
      <c r="I126" s="692">
        <v>0.25</v>
      </c>
      <c r="J126" s="692" t="s">
        <v>30</v>
      </c>
      <c r="K126" s="692"/>
      <c r="L126" s="692" t="s">
        <v>21</v>
      </c>
      <c r="M126" s="558">
        <f>((2*F126+G126*4)*H126)+((4*(F126-0.5)+(G126-0.5)*4)*H126)</f>
        <v>1034.9900000000002</v>
      </c>
      <c r="N126" s="693"/>
      <c r="O126" s="33"/>
    </row>
    <row r="127" spans="1:15" s="168" customFormat="1" ht="39" customHeight="1">
      <c r="A127" s="165"/>
      <c r="B127" s="166"/>
      <c r="C127" s="166"/>
      <c r="D127" s="674" t="s">
        <v>21035</v>
      </c>
      <c r="E127" s="669" t="s">
        <v>1275</v>
      </c>
      <c r="F127" s="670" t="s">
        <v>12170</v>
      </c>
      <c r="G127" s="669" t="s">
        <v>43</v>
      </c>
      <c r="H127" s="669" t="s">
        <v>32</v>
      </c>
      <c r="I127" s="669"/>
      <c r="J127" s="671"/>
      <c r="K127" s="672"/>
      <c r="L127" s="673"/>
      <c r="M127" s="167" t="s">
        <v>21039</v>
      </c>
      <c r="N127" s="680"/>
      <c r="O127" s="127"/>
    </row>
    <row r="128" spans="1:15" s="35" customFormat="1">
      <c r="A128" s="157"/>
      <c r="B128" s="87"/>
      <c r="C128" s="87"/>
      <c r="D128" s="684" t="s">
        <v>21014</v>
      </c>
      <c r="E128" s="691">
        <v>2</v>
      </c>
      <c r="F128" s="692">
        <f>0.85+0.2*2+0.45</f>
        <v>1.7</v>
      </c>
      <c r="G128" s="692">
        <f>(13.4+0.25+0.125)-1.105+(0.2+0.45)</f>
        <v>13.32</v>
      </c>
      <c r="H128" s="692"/>
      <c r="I128" s="692"/>
      <c r="J128" s="692"/>
      <c r="K128" s="692"/>
      <c r="L128" s="692" t="s">
        <v>21</v>
      </c>
      <c r="M128" s="558">
        <f t="shared" ref="M128:M135" si="0">E128*F128*G128</f>
        <v>45.287999999999997</v>
      </c>
      <c r="N128" s="693"/>
      <c r="O128" s="33"/>
    </row>
    <row r="129" spans="1:15" s="35" customFormat="1">
      <c r="A129" s="157"/>
      <c r="B129" s="87"/>
      <c r="C129" s="87"/>
      <c r="D129" s="684" t="s">
        <v>21015</v>
      </c>
      <c r="E129" s="691">
        <v>2</v>
      </c>
      <c r="F129" s="692">
        <f>0.2+0.85+0.45</f>
        <v>1.5</v>
      </c>
      <c r="G129" s="692">
        <f>(13.4+0.25+0.125)-1.105+(0.45)</f>
        <v>13.12</v>
      </c>
      <c r="H129" s="692"/>
      <c r="I129" s="692"/>
      <c r="J129" s="692"/>
      <c r="K129" s="692"/>
      <c r="L129" s="692" t="s">
        <v>21</v>
      </c>
      <c r="M129" s="558">
        <f t="shared" si="0"/>
        <v>39.36</v>
      </c>
      <c r="N129" s="693"/>
      <c r="O129" s="33"/>
    </row>
    <row r="130" spans="1:15" s="35" customFormat="1">
      <c r="A130" s="157"/>
      <c r="B130" s="87"/>
      <c r="C130" s="87"/>
      <c r="D130" s="684" t="s">
        <v>21016</v>
      </c>
      <c r="E130" s="691">
        <f>2*2</f>
        <v>4</v>
      </c>
      <c r="F130" s="692">
        <f>0.65*2+0.11</f>
        <v>1.4100000000000001</v>
      </c>
      <c r="G130" s="692">
        <v>17.2</v>
      </c>
      <c r="H130" s="692"/>
      <c r="I130" s="692"/>
      <c r="J130" s="692"/>
      <c r="K130" s="692"/>
      <c r="L130" s="692" t="s">
        <v>21</v>
      </c>
      <c r="M130" s="558">
        <f t="shared" si="0"/>
        <v>97.00800000000001</v>
      </c>
      <c r="N130" s="693"/>
      <c r="O130" s="33"/>
    </row>
    <row r="131" spans="1:15" s="35" customFormat="1">
      <c r="A131" s="157"/>
      <c r="B131" s="87"/>
      <c r="C131" s="87"/>
      <c r="D131" s="684" t="s">
        <v>12598</v>
      </c>
      <c r="E131" s="691">
        <f>2*3</f>
        <v>6</v>
      </c>
      <c r="F131" s="692">
        <f>0.55*2+0.2+0.11*2+0.6*2</f>
        <v>2.7199999999999998</v>
      </c>
      <c r="G131" s="692">
        <v>17.2</v>
      </c>
      <c r="H131" s="692"/>
      <c r="I131" s="692"/>
      <c r="J131" s="692"/>
      <c r="K131" s="692"/>
      <c r="L131" s="692" t="s">
        <v>21</v>
      </c>
      <c r="M131" s="558">
        <f t="shared" si="0"/>
        <v>280.70400000000001</v>
      </c>
      <c r="N131" s="693"/>
      <c r="O131" s="33"/>
    </row>
    <row r="132" spans="1:15" s="35" customFormat="1">
      <c r="A132" s="157"/>
      <c r="B132" s="87"/>
      <c r="C132" s="87"/>
      <c r="D132" s="684" t="s">
        <v>21017</v>
      </c>
      <c r="E132" s="691">
        <v>2</v>
      </c>
      <c r="F132" s="692">
        <f>0.85+0.15*2+0.45</f>
        <v>1.5999999999999999</v>
      </c>
      <c r="G132" s="692">
        <f>(13.4+0.25+0.125)-1.105+(0.2+0.45)</f>
        <v>13.32</v>
      </c>
      <c r="H132" s="692"/>
      <c r="I132" s="692"/>
      <c r="J132" s="692"/>
      <c r="K132" s="692"/>
      <c r="L132" s="692" t="s">
        <v>21</v>
      </c>
      <c r="M132" s="558">
        <f t="shared" si="0"/>
        <v>42.623999999999995</v>
      </c>
      <c r="N132" s="693"/>
      <c r="O132" s="33"/>
    </row>
    <row r="133" spans="1:15" s="35" customFormat="1">
      <c r="A133" s="157"/>
      <c r="B133" s="87"/>
      <c r="C133" s="87"/>
      <c r="D133" s="684" t="s">
        <v>21018</v>
      </c>
      <c r="E133" s="691">
        <v>2</v>
      </c>
      <c r="F133" s="692">
        <f>0.15+0.85+0.45</f>
        <v>1.45</v>
      </c>
      <c r="G133" s="692">
        <f>(13.4+0.25+0.125)-1.105+(0.45)</f>
        <v>13.12</v>
      </c>
      <c r="H133" s="692"/>
      <c r="I133" s="692"/>
      <c r="J133" s="692"/>
      <c r="K133" s="692"/>
      <c r="L133" s="692" t="s">
        <v>21</v>
      </c>
      <c r="M133" s="558">
        <f t="shared" si="0"/>
        <v>38.047999999999995</v>
      </c>
      <c r="N133" s="693"/>
      <c r="O133" s="33"/>
    </row>
    <row r="134" spans="1:15" s="35" customFormat="1">
      <c r="A134" s="157"/>
      <c r="B134" s="87"/>
      <c r="C134" s="87"/>
      <c r="D134" s="684" t="s">
        <v>21019</v>
      </c>
      <c r="E134" s="691">
        <f>2*4</f>
        <v>8</v>
      </c>
      <c r="F134" s="701">
        <f>0.4*2</f>
        <v>0.8</v>
      </c>
      <c r="G134" s="692">
        <v>17.2</v>
      </c>
      <c r="H134" s="692"/>
      <c r="I134" s="692"/>
      <c r="J134" s="701" t="s">
        <v>21095</v>
      </c>
      <c r="K134" s="701">
        <f>0.3*0.4*2*2</f>
        <v>0.48</v>
      </c>
      <c r="L134" s="692" t="s">
        <v>21</v>
      </c>
      <c r="M134" s="558">
        <f>E134*F134*G134+K134</f>
        <v>110.56</v>
      </c>
      <c r="N134" s="693"/>
      <c r="O134" s="33"/>
    </row>
    <row r="135" spans="1:15" s="35" customFormat="1">
      <c r="A135" s="157"/>
      <c r="B135" s="87"/>
      <c r="C135" s="87"/>
      <c r="D135" s="684" t="s">
        <v>21020</v>
      </c>
      <c r="E135" s="691">
        <f>2*4</f>
        <v>8</v>
      </c>
      <c r="F135" s="701">
        <f>((0.4-0.12)*2)+0.3</f>
        <v>0.8600000000000001</v>
      </c>
      <c r="G135" s="692">
        <v>17.2</v>
      </c>
      <c r="H135" s="692"/>
      <c r="I135" s="692"/>
      <c r="J135" s="692"/>
      <c r="K135" s="692"/>
      <c r="L135" s="692" t="s">
        <v>21</v>
      </c>
      <c r="M135" s="558">
        <f t="shared" si="0"/>
        <v>118.33600000000001</v>
      </c>
      <c r="N135" s="693"/>
      <c r="O135" s="33"/>
    </row>
    <row r="136" spans="1:15" s="35" customFormat="1">
      <c r="A136" s="157"/>
      <c r="B136" s="87"/>
      <c r="C136" s="87"/>
      <c r="D136" s="684" t="s">
        <v>21021</v>
      </c>
      <c r="E136" s="691">
        <f>2*4</f>
        <v>8</v>
      </c>
      <c r="F136" s="692">
        <f>0.4+0.2+0.475+0.15</f>
        <v>1.2250000000000001</v>
      </c>
      <c r="G136" s="692"/>
      <c r="H136" s="692">
        <f>0.2+0.5+0.2+0.8</f>
        <v>1.7</v>
      </c>
      <c r="I136" s="692"/>
      <c r="J136" s="692"/>
      <c r="K136" s="692"/>
      <c r="L136" s="692" t="s">
        <v>21</v>
      </c>
      <c r="M136" s="558">
        <f t="shared" ref="M136:M141" si="1">E136*F136*H136</f>
        <v>16.66</v>
      </c>
      <c r="N136" s="693"/>
      <c r="O136" s="33"/>
    </row>
    <row r="137" spans="1:15" s="35" customFormat="1">
      <c r="A137" s="157"/>
      <c r="B137" s="87"/>
      <c r="C137" s="87"/>
      <c r="D137" s="684" t="s">
        <v>21022</v>
      </c>
      <c r="E137" s="691">
        <f>2*4</f>
        <v>8</v>
      </c>
      <c r="F137" s="692">
        <f>0.4+0.2+0.475</f>
        <v>1.0750000000000002</v>
      </c>
      <c r="G137" s="692"/>
      <c r="H137" s="692">
        <f>0.5+0.2+0.8</f>
        <v>1.5</v>
      </c>
      <c r="I137" s="692"/>
      <c r="J137" s="692"/>
      <c r="K137" s="692"/>
      <c r="L137" s="692" t="s">
        <v>21</v>
      </c>
      <c r="M137" s="558">
        <f t="shared" si="1"/>
        <v>12.900000000000002</v>
      </c>
      <c r="N137" s="693"/>
      <c r="O137" s="33"/>
    </row>
    <row r="138" spans="1:15" s="35" customFormat="1">
      <c r="A138" s="157"/>
      <c r="B138" s="87"/>
      <c r="C138" s="87"/>
      <c r="D138" s="684" t="s">
        <v>21023</v>
      </c>
      <c r="E138" s="691">
        <f>2*2</f>
        <v>4</v>
      </c>
      <c r="F138" s="692">
        <f>0.15*2+2.15</f>
        <v>2.4499999999999997</v>
      </c>
      <c r="G138" s="692"/>
      <c r="H138" s="692">
        <f>0.2+0.5+0.2+0.8</f>
        <v>1.7</v>
      </c>
      <c r="I138" s="692"/>
      <c r="J138" s="692"/>
      <c r="K138" s="692"/>
      <c r="L138" s="692" t="s">
        <v>21</v>
      </c>
      <c r="M138" s="558">
        <f t="shared" si="1"/>
        <v>16.659999999999997</v>
      </c>
      <c r="N138" s="693"/>
      <c r="O138" s="33"/>
    </row>
    <row r="139" spans="1:15" s="35" customFormat="1">
      <c r="A139" s="157"/>
      <c r="B139" s="87"/>
      <c r="C139" s="87"/>
      <c r="D139" s="684" t="s">
        <v>21024</v>
      </c>
      <c r="E139" s="691">
        <f>2*2</f>
        <v>4</v>
      </c>
      <c r="F139" s="692">
        <f>2.15</f>
        <v>2.15</v>
      </c>
      <c r="G139" s="692"/>
      <c r="H139" s="692">
        <f>0.5+0.2+0.8</f>
        <v>1.5</v>
      </c>
      <c r="I139" s="692"/>
      <c r="J139" s="692"/>
      <c r="K139" s="692"/>
      <c r="L139" s="692" t="s">
        <v>21</v>
      </c>
      <c r="M139" s="558">
        <f t="shared" si="1"/>
        <v>12.899999999999999</v>
      </c>
      <c r="N139" s="693"/>
      <c r="O139" s="33"/>
    </row>
    <row r="140" spans="1:15" s="35" customFormat="1">
      <c r="A140" s="157"/>
      <c r="B140" s="87"/>
      <c r="C140" s="87"/>
      <c r="D140" s="684" t="s">
        <v>21023</v>
      </c>
      <c r="E140" s="691">
        <f>2*2</f>
        <v>4</v>
      </c>
      <c r="F140" s="692">
        <f>0.15*2+2.15</f>
        <v>2.4499999999999997</v>
      </c>
      <c r="G140" s="692"/>
      <c r="H140" s="692">
        <v>0.8</v>
      </c>
      <c r="I140" s="692"/>
      <c r="J140" s="692"/>
      <c r="K140" s="692"/>
      <c r="L140" s="692" t="s">
        <v>21</v>
      </c>
      <c r="M140" s="558">
        <f t="shared" si="1"/>
        <v>7.84</v>
      </c>
      <c r="N140" s="693"/>
      <c r="O140" s="33"/>
    </row>
    <row r="141" spans="1:15" s="35" customFormat="1">
      <c r="A141" s="157"/>
      <c r="B141" s="87"/>
      <c r="C141" s="87"/>
      <c r="D141" s="684" t="s">
        <v>21024</v>
      </c>
      <c r="E141" s="691">
        <f>2*2</f>
        <v>4</v>
      </c>
      <c r="F141" s="692">
        <f>2.15</f>
        <v>2.15</v>
      </c>
      <c r="G141" s="692"/>
      <c r="H141" s="692">
        <v>0.8</v>
      </c>
      <c r="I141" s="692"/>
      <c r="J141" s="692"/>
      <c r="K141" s="692"/>
      <c r="L141" s="692" t="s">
        <v>21</v>
      </c>
      <c r="M141" s="558">
        <f t="shared" si="1"/>
        <v>6.88</v>
      </c>
      <c r="N141" s="693"/>
      <c r="O141" s="33"/>
    </row>
    <row r="142" spans="1:15" s="168" customFormat="1" ht="32.25" customHeight="1">
      <c r="A142" s="165"/>
      <c r="B142" s="166"/>
      <c r="C142" s="166"/>
      <c r="D142" s="674" t="s">
        <v>21038</v>
      </c>
      <c r="E142" s="669" t="s">
        <v>1275</v>
      </c>
      <c r="F142" s="687" t="s">
        <v>43</v>
      </c>
      <c r="G142" s="687" t="s">
        <v>19</v>
      </c>
      <c r="H142" s="687" t="s">
        <v>32</v>
      </c>
      <c r="I142" s="687" t="s">
        <v>21057</v>
      </c>
      <c r="J142" s="687" t="s">
        <v>21058</v>
      </c>
      <c r="K142" s="687"/>
      <c r="L142" s="687"/>
      <c r="M142" s="167" t="s">
        <v>21039</v>
      </c>
      <c r="N142" s="680"/>
      <c r="O142" s="127"/>
    </row>
    <row r="143" spans="1:15" s="35" customFormat="1">
      <c r="A143" s="157"/>
      <c r="B143" s="87"/>
      <c r="C143" s="87"/>
      <c r="D143" s="684" t="s">
        <v>21045</v>
      </c>
      <c r="E143" s="691">
        <v>2</v>
      </c>
      <c r="F143" s="692">
        <v>1.85</v>
      </c>
      <c r="G143" s="692">
        <v>0.15</v>
      </c>
      <c r="H143" s="701">
        <f>0.7+0.5+0.4+0.2</f>
        <v>1.8</v>
      </c>
      <c r="I143" s="692">
        <v>2</v>
      </c>
      <c r="J143" s="692">
        <v>0.2</v>
      </c>
      <c r="K143" s="692"/>
      <c r="L143" s="692" t="s">
        <v>21</v>
      </c>
      <c r="M143" s="558">
        <f>(E143*F143*H143)-(E143*I143*(3.14*(J143^2/4)))</f>
        <v>6.5343999999999998</v>
      </c>
      <c r="N143" s="693"/>
      <c r="O143" s="33"/>
    </row>
    <row r="144" spans="1:15" s="35" customFormat="1">
      <c r="A144" s="157"/>
      <c r="B144" s="87"/>
      <c r="C144" s="87"/>
      <c r="D144" s="684" t="s">
        <v>21046</v>
      </c>
      <c r="E144" s="691">
        <v>2</v>
      </c>
      <c r="F144" s="692">
        <f>1.85-0.15*2</f>
        <v>1.55</v>
      </c>
      <c r="G144" s="692">
        <v>0.15</v>
      </c>
      <c r="H144" s="692">
        <f>0.7+0.5+0.4</f>
        <v>1.6</v>
      </c>
      <c r="I144" s="692">
        <v>2</v>
      </c>
      <c r="J144" s="692">
        <v>0.2</v>
      </c>
      <c r="K144" s="692"/>
      <c r="L144" s="692" t="s">
        <v>21</v>
      </c>
      <c r="M144" s="558">
        <f>(E144*F144*H144)-(E144*I144*(3.14*(J144^2/4)))</f>
        <v>4.8344000000000005</v>
      </c>
      <c r="N144" s="693"/>
      <c r="O144" s="33"/>
    </row>
    <row r="145" spans="1:15" s="35" customFormat="1">
      <c r="A145" s="157"/>
      <c r="B145" s="87"/>
      <c r="C145" s="87"/>
      <c r="D145" s="684" t="s">
        <v>21050</v>
      </c>
      <c r="E145" s="691">
        <v>1</v>
      </c>
      <c r="F145" s="692">
        <v>1.1000000000000001</v>
      </c>
      <c r="G145" s="692">
        <v>0.15</v>
      </c>
      <c r="H145" s="701">
        <f>0.7+0.5+0.4+0.2</f>
        <v>1.8</v>
      </c>
      <c r="I145" s="692">
        <v>1</v>
      </c>
      <c r="J145" s="692">
        <v>0.4</v>
      </c>
      <c r="K145" s="692"/>
      <c r="L145" s="692" t="s">
        <v>21</v>
      </c>
      <c r="M145" s="558">
        <f>(E145*F145*H145)-(E145*I145*(3.14*(J145^2/4)))</f>
        <v>1.8544000000000003</v>
      </c>
      <c r="N145" s="693"/>
      <c r="O145" s="33"/>
    </row>
    <row r="146" spans="1:15" s="35" customFormat="1">
      <c r="A146" s="157"/>
      <c r="B146" s="87"/>
      <c r="C146" s="87"/>
      <c r="D146" s="684" t="s">
        <v>21051</v>
      </c>
      <c r="E146" s="691">
        <v>1</v>
      </c>
      <c r="F146" s="692">
        <f>F145-0.15*2</f>
        <v>0.8</v>
      </c>
      <c r="G146" s="692">
        <v>0.15</v>
      </c>
      <c r="H146" s="692">
        <f t="shared" ref="H146:H155" si="2">0.7+0.5+0.4</f>
        <v>1.6</v>
      </c>
      <c r="I146" s="692">
        <v>1</v>
      </c>
      <c r="J146" s="692">
        <v>0.4</v>
      </c>
      <c r="K146" s="692"/>
      <c r="L146" s="692" t="s">
        <v>21</v>
      </c>
      <c r="M146" s="558">
        <f>(E146*F146*H146)-(E146*I146*(3.14*(J146^2/4)))</f>
        <v>1.1544000000000003</v>
      </c>
      <c r="N146" s="693"/>
      <c r="O146" s="33"/>
    </row>
    <row r="147" spans="1:15" s="35" customFormat="1" ht="22.5">
      <c r="A147" s="157"/>
      <c r="B147" s="87"/>
      <c r="C147" s="87"/>
      <c r="D147" s="674" t="s">
        <v>21038</v>
      </c>
      <c r="E147" s="669" t="s">
        <v>1275</v>
      </c>
      <c r="F147" s="687" t="s">
        <v>43</v>
      </c>
      <c r="G147" s="687" t="s">
        <v>19</v>
      </c>
      <c r="H147" s="687" t="s">
        <v>32</v>
      </c>
      <c r="I147" s="687" t="s">
        <v>21057</v>
      </c>
      <c r="J147" s="687" t="s">
        <v>21055</v>
      </c>
      <c r="K147" s="687" t="s">
        <v>21056</v>
      </c>
      <c r="L147" s="687"/>
      <c r="M147" s="167" t="s">
        <v>21039</v>
      </c>
      <c r="N147" s="693"/>
      <c r="O147" s="33"/>
    </row>
    <row r="148" spans="1:15" s="35" customFormat="1">
      <c r="A148" s="157"/>
      <c r="B148" s="87"/>
      <c r="C148" s="87"/>
      <c r="D148" s="684" t="s">
        <v>21049</v>
      </c>
      <c r="E148" s="691">
        <v>2</v>
      </c>
      <c r="F148" s="692">
        <f>1.85-0.15*2</f>
        <v>1.55</v>
      </c>
      <c r="G148" s="692">
        <v>0.15</v>
      </c>
      <c r="H148" s="692">
        <f t="shared" si="2"/>
        <v>1.6</v>
      </c>
      <c r="I148" s="692">
        <v>2</v>
      </c>
      <c r="J148" s="692">
        <v>0.5</v>
      </c>
      <c r="K148" s="692">
        <v>0.5</v>
      </c>
      <c r="L148" s="692" t="s">
        <v>21</v>
      </c>
      <c r="M148" s="558">
        <f>E148*F148*H148-E148*I148*J148*K148</f>
        <v>3.9600000000000009</v>
      </c>
      <c r="N148" s="693"/>
      <c r="O148" s="33"/>
    </row>
    <row r="149" spans="1:15" s="35" customFormat="1">
      <c r="A149" s="157"/>
      <c r="B149" s="87"/>
      <c r="C149" s="87"/>
      <c r="D149" s="684" t="s">
        <v>21047</v>
      </c>
      <c r="E149" s="691">
        <v>2</v>
      </c>
      <c r="F149" s="692">
        <f>F148</f>
        <v>1.55</v>
      </c>
      <c r="G149" s="692">
        <v>0.15</v>
      </c>
      <c r="H149" s="692">
        <f t="shared" si="2"/>
        <v>1.6</v>
      </c>
      <c r="I149" s="692">
        <v>2</v>
      </c>
      <c r="J149" s="692">
        <v>0.5</v>
      </c>
      <c r="K149" s="692">
        <v>0.5</v>
      </c>
      <c r="L149" s="692" t="s">
        <v>21</v>
      </c>
      <c r="M149" s="558">
        <f t="shared" ref="M149:M156" si="3">E149*F149*H149-E149*I149*J149*K149</f>
        <v>3.9600000000000009</v>
      </c>
      <c r="N149" s="693"/>
      <c r="O149" s="33"/>
    </row>
    <row r="150" spans="1:15" s="35" customFormat="1">
      <c r="A150" s="157"/>
      <c r="B150" s="87"/>
      <c r="C150" s="87"/>
      <c r="D150" s="684" t="s">
        <v>21048</v>
      </c>
      <c r="E150" s="691">
        <v>4</v>
      </c>
      <c r="F150" s="692">
        <v>0.75</v>
      </c>
      <c r="G150" s="692">
        <v>0.15</v>
      </c>
      <c r="H150" s="692">
        <f t="shared" si="2"/>
        <v>1.6</v>
      </c>
      <c r="I150" s="692"/>
      <c r="J150" s="692"/>
      <c r="K150" s="692"/>
      <c r="L150" s="692" t="s">
        <v>21</v>
      </c>
      <c r="M150" s="558">
        <f t="shared" si="3"/>
        <v>4.8000000000000007</v>
      </c>
      <c r="N150" s="693"/>
      <c r="O150" s="33"/>
    </row>
    <row r="151" spans="1:15" s="35" customFormat="1">
      <c r="A151" s="157"/>
      <c r="B151" s="87"/>
      <c r="C151" s="87"/>
      <c r="D151" s="684" t="s">
        <v>21052</v>
      </c>
      <c r="E151" s="691">
        <v>2</v>
      </c>
      <c r="F151" s="692">
        <f>0.5+0.15*2</f>
        <v>0.8</v>
      </c>
      <c r="G151" s="692">
        <v>0.15</v>
      </c>
      <c r="H151" s="701">
        <f>0.7+0.5+0.4+0.2</f>
        <v>1.8</v>
      </c>
      <c r="I151" s="692"/>
      <c r="J151" s="692"/>
      <c r="K151" s="692"/>
      <c r="L151" s="692" t="s">
        <v>21</v>
      </c>
      <c r="M151" s="558">
        <f t="shared" si="3"/>
        <v>2.8800000000000003</v>
      </c>
      <c r="N151" s="693"/>
      <c r="O151" s="33"/>
    </row>
    <row r="152" spans="1:15" s="35" customFormat="1">
      <c r="A152" s="157"/>
      <c r="B152" s="87"/>
      <c r="C152" s="87"/>
      <c r="D152" s="684" t="s">
        <v>21053</v>
      </c>
      <c r="E152" s="691">
        <v>2</v>
      </c>
      <c r="F152" s="701">
        <v>0.8</v>
      </c>
      <c r="G152" s="692">
        <v>0.15</v>
      </c>
      <c r="H152" s="692">
        <f t="shared" si="2"/>
        <v>1.6</v>
      </c>
      <c r="I152" s="692"/>
      <c r="J152" s="692"/>
      <c r="K152" s="692"/>
      <c r="L152" s="692" t="s">
        <v>21</v>
      </c>
      <c r="M152" s="558">
        <f t="shared" si="3"/>
        <v>2.5600000000000005</v>
      </c>
      <c r="N152" s="693"/>
      <c r="O152" s="33"/>
    </row>
    <row r="153" spans="1:15" s="35" customFormat="1">
      <c r="A153" s="157"/>
      <c r="B153" s="87"/>
      <c r="C153" s="87"/>
      <c r="D153" s="684" t="s">
        <v>21054</v>
      </c>
      <c r="E153" s="691">
        <v>2</v>
      </c>
      <c r="F153" s="692">
        <v>0.8</v>
      </c>
      <c r="G153" s="692">
        <v>0.15</v>
      </c>
      <c r="H153" s="692">
        <v>0.75</v>
      </c>
      <c r="I153" s="692"/>
      <c r="J153" s="692"/>
      <c r="K153" s="692"/>
      <c r="L153" s="692" t="s">
        <v>21</v>
      </c>
      <c r="M153" s="558">
        <f t="shared" si="3"/>
        <v>1.2000000000000002</v>
      </c>
      <c r="N153" s="693"/>
      <c r="O153" s="33"/>
    </row>
    <row r="154" spans="1:15" s="35" customFormat="1">
      <c r="A154" s="157"/>
      <c r="B154" s="87"/>
      <c r="C154" s="87"/>
      <c r="D154" s="684" t="s">
        <v>12610</v>
      </c>
      <c r="E154" s="691">
        <v>4</v>
      </c>
      <c r="F154" s="692">
        <v>0.5</v>
      </c>
      <c r="G154" s="692">
        <v>0.15</v>
      </c>
      <c r="H154" s="692">
        <f t="shared" si="2"/>
        <v>1.6</v>
      </c>
      <c r="I154" s="692"/>
      <c r="J154" s="692"/>
      <c r="K154" s="692"/>
      <c r="L154" s="692" t="s">
        <v>21</v>
      </c>
      <c r="M154" s="558">
        <f t="shared" si="3"/>
        <v>3.2</v>
      </c>
      <c r="N154" s="693"/>
      <c r="O154" s="33"/>
    </row>
    <row r="155" spans="1:15" s="35" customFormat="1">
      <c r="A155" s="157"/>
      <c r="B155" s="87"/>
      <c r="C155" s="87"/>
      <c r="D155" s="702" t="s">
        <v>21091</v>
      </c>
      <c r="E155" s="691">
        <v>1</v>
      </c>
      <c r="F155" s="692">
        <f>0.95+1.1+0.95-0.15*2</f>
        <v>2.7</v>
      </c>
      <c r="G155" s="692">
        <v>0.15</v>
      </c>
      <c r="H155" s="692">
        <f t="shared" si="2"/>
        <v>1.6</v>
      </c>
      <c r="I155" s="692"/>
      <c r="J155" s="692"/>
      <c r="K155" s="692"/>
      <c r="L155" s="692" t="s">
        <v>21</v>
      </c>
      <c r="M155" s="558">
        <f>E155*F155*H155-E155*I155*J155*K155</f>
        <v>4.32</v>
      </c>
      <c r="N155" s="693"/>
      <c r="O155" s="33"/>
    </row>
    <row r="156" spans="1:15" s="35" customFormat="1">
      <c r="A156" s="157"/>
      <c r="B156" s="87"/>
      <c r="C156" s="87"/>
      <c r="D156" s="702" t="s">
        <v>21092</v>
      </c>
      <c r="E156" s="691">
        <v>1</v>
      </c>
      <c r="F156" s="692">
        <f>0.95+1.1+0.95-0.15*2</f>
        <v>2.7</v>
      </c>
      <c r="G156" s="692">
        <v>0.15</v>
      </c>
      <c r="H156" s="701">
        <v>1.8</v>
      </c>
      <c r="I156" s="692"/>
      <c r="J156" s="692"/>
      <c r="K156" s="692"/>
      <c r="L156" s="692" t="s">
        <v>21</v>
      </c>
      <c r="M156" s="558">
        <f t="shared" si="3"/>
        <v>4.8600000000000003</v>
      </c>
      <c r="N156" s="693"/>
      <c r="O156" s="33"/>
    </row>
    <row r="157" spans="1:15" s="35" customFormat="1">
      <c r="A157" s="157"/>
      <c r="B157" s="87"/>
      <c r="C157" s="87"/>
      <c r="D157" s="684"/>
      <c r="E157" s="691"/>
      <c r="F157" s="692"/>
      <c r="G157" s="692"/>
      <c r="H157" s="692"/>
      <c r="I157" s="692"/>
      <c r="J157" s="692"/>
      <c r="K157" s="692"/>
      <c r="L157" s="692"/>
      <c r="M157" s="558"/>
      <c r="N157" s="693"/>
      <c r="O157" s="33"/>
    </row>
    <row r="158" spans="1:15" s="168" customFormat="1" ht="27" customHeight="1">
      <c r="A158" s="165"/>
      <c r="B158" s="166"/>
      <c r="C158" s="166"/>
      <c r="D158" s="169" t="s">
        <v>12272</v>
      </c>
      <c r="E158" s="164" t="s">
        <v>1275</v>
      </c>
      <c r="F158" s="675" t="s">
        <v>43</v>
      </c>
      <c r="G158" s="675"/>
      <c r="H158" s="170" t="s">
        <v>32</v>
      </c>
      <c r="I158" s="170" t="s">
        <v>19</v>
      </c>
      <c r="J158" s="170"/>
      <c r="K158" s="170"/>
      <c r="L158" s="170"/>
      <c r="M158" s="170" t="s">
        <v>21039</v>
      </c>
      <c r="N158" s="680"/>
      <c r="O158" s="127"/>
    </row>
    <row r="159" spans="1:15" s="35" customFormat="1">
      <c r="A159" s="157"/>
      <c r="B159" s="87"/>
      <c r="C159" s="87"/>
      <c r="D159" s="702" t="s">
        <v>21093</v>
      </c>
      <c r="E159" s="691">
        <f>2*2</f>
        <v>4</v>
      </c>
      <c r="F159" s="692">
        <f>13.4-1.105+0.2+0.45</f>
        <v>12.944999999999999</v>
      </c>
      <c r="G159" s="699"/>
      <c r="H159" s="692">
        <f>0.8+0.2</f>
        <v>1</v>
      </c>
      <c r="I159" s="692">
        <v>0.2</v>
      </c>
      <c r="J159" s="692"/>
      <c r="K159" s="692"/>
      <c r="L159" s="692"/>
      <c r="M159" s="692">
        <f>E159*(2*F159*H159)</f>
        <v>103.55999999999999</v>
      </c>
      <c r="N159" s="693"/>
      <c r="O159" s="33"/>
    </row>
    <row r="160" spans="1:15" s="35" customFormat="1" ht="12.75" customHeight="1">
      <c r="A160" s="157"/>
      <c r="B160" s="87"/>
      <c r="C160" s="87"/>
      <c r="D160" s="684" t="s">
        <v>12587</v>
      </c>
      <c r="E160" s="691">
        <f>2*8</f>
        <v>16</v>
      </c>
      <c r="F160" s="692">
        <v>17.2</v>
      </c>
      <c r="G160" s="692" t="s">
        <v>30</v>
      </c>
      <c r="H160" s="692">
        <v>0.9</v>
      </c>
      <c r="I160" s="692">
        <v>0.2</v>
      </c>
      <c r="J160" s="692" t="s">
        <v>30</v>
      </c>
      <c r="K160" s="692"/>
      <c r="L160" s="692" t="s">
        <v>21</v>
      </c>
      <c r="M160" s="558">
        <f t="shared" ref="M160:M165" si="4">E160*((F160*I160)+(2*F160*H160))</f>
        <v>550.4</v>
      </c>
      <c r="N160" s="693"/>
      <c r="O160" s="33"/>
    </row>
    <row r="161" spans="1:15" s="35" customFormat="1" ht="12.75" customHeight="1">
      <c r="A161" s="157"/>
      <c r="B161" s="87"/>
      <c r="C161" s="87"/>
      <c r="D161" s="684" t="s">
        <v>12588</v>
      </c>
      <c r="E161" s="691">
        <f>2*4</f>
        <v>8</v>
      </c>
      <c r="F161" s="692">
        <v>2.4500000000000002</v>
      </c>
      <c r="G161" s="692" t="s">
        <v>30</v>
      </c>
      <c r="H161" s="692">
        <v>0.3</v>
      </c>
      <c r="I161" s="692">
        <v>0.2</v>
      </c>
      <c r="J161" s="692" t="s">
        <v>30</v>
      </c>
      <c r="K161" s="692"/>
      <c r="L161" s="692" t="s">
        <v>21</v>
      </c>
      <c r="M161" s="558">
        <f t="shared" si="4"/>
        <v>15.68</v>
      </c>
      <c r="N161" s="693"/>
      <c r="O161" s="33"/>
    </row>
    <row r="162" spans="1:15" s="35" customFormat="1" ht="12.75" customHeight="1">
      <c r="A162" s="157"/>
      <c r="B162" s="87"/>
      <c r="C162" s="87"/>
      <c r="D162" s="684" t="s">
        <v>12589</v>
      </c>
      <c r="E162" s="691">
        <f>2*4</f>
        <v>8</v>
      </c>
      <c r="F162" s="692">
        <v>4.5</v>
      </c>
      <c r="G162" s="692" t="s">
        <v>30</v>
      </c>
      <c r="H162" s="692">
        <v>0.3</v>
      </c>
      <c r="I162" s="692">
        <v>0.2</v>
      </c>
      <c r="J162" s="692" t="s">
        <v>30</v>
      </c>
      <c r="K162" s="692"/>
      <c r="L162" s="692" t="s">
        <v>21</v>
      </c>
      <c r="M162" s="558">
        <f t="shared" si="4"/>
        <v>28.799999999999997</v>
      </c>
      <c r="N162" s="693"/>
      <c r="O162" s="33"/>
    </row>
    <row r="163" spans="1:15" s="35" customFormat="1" ht="12.75" customHeight="1">
      <c r="A163" s="157"/>
      <c r="B163" s="87"/>
      <c r="C163" s="87"/>
      <c r="D163" s="684" t="s">
        <v>12590</v>
      </c>
      <c r="E163" s="691">
        <f>2*8</f>
        <v>16</v>
      </c>
      <c r="F163" s="692">
        <v>13.4</v>
      </c>
      <c r="G163" s="692" t="s">
        <v>30</v>
      </c>
      <c r="H163" s="692">
        <v>0.3</v>
      </c>
      <c r="I163" s="692">
        <v>0.2</v>
      </c>
      <c r="J163" s="692" t="s">
        <v>30</v>
      </c>
      <c r="K163" s="692"/>
      <c r="L163" s="692" t="s">
        <v>21</v>
      </c>
      <c r="M163" s="558">
        <f t="shared" si="4"/>
        <v>171.51999999999998</v>
      </c>
      <c r="N163" s="693"/>
      <c r="O163" s="33"/>
    </row>
    <row r="164" spans="1:15" s="35" customFormat="1">
      <c r="A164" s="157"/>
      <c r="B164" s="87"/>
      <c r="C164" s="87"/>
      <c r="D164" s="684" t="s">
        <v>12591</v>
      </c>
      <c r="E164" s="691">
        <v>2</v>
      </c>
      <c r="F164" s="692">
        <v>17.2</v>
      </c>
      <c r="G164" s="692" t="s">
        <v>30</v>
      </c>
      <c r="H164" s="692">
        <v>0.3</v>
      </c>
      <c r="I164" s="692">
        <v>0.2</v>
      </c>
      <c r="J164" s="692" t="s">
        <v>30</v>
      </c>
      <c r="K164" s="692"/>
      <c r="L164" s="692" t="s">
        <v>21</v>
      </c>
      <c r="M164" s="558">
        <f t="shared" si="4"/>
        <v>27.519999999999996</v>
      </c>
      <c r="N164" s="693"/>
      <c r="O164" s="33"/>
    </row>
    <row r="165" spans="1:15" s="35" customFormat="1">
      <c r="A165" s="157"/>
      <c r="B165" s="87"/>
      <c r="C165" s="87"/>
      <c r="D165" s="684" t="s">
        <v>12592</v>
      </c>
      <c r="E165" s="691">
        <f>8*2</f>
        <v>16</v>
      </c>
      <c r="F165" s="692">
        <v>12.8</v>
      </c>
      <c r="G165" s="692" t="s">
        <v>30</v>
      </c>
      <c r="H165" s="692">
        <v>0.15</v>
      </c>
      <c r="I165" s="692">
        <v>0.2</v>
      </c>
      <c r="J165" s="692" t="s">
        <v>30</v>
      </c>
      <c r="K165" s="692"/>
      <c r="L165" s="692" t="s">
        <v>21</v>
      </c>
      <c r="M165" s="558">
        <f t="shared" si="4"/>
        <v>102.4</v>
      </c>
      <c r="N165" s="693"/>
      <c r="O165" s="33"/>
    </row>
    <row r="166" spans="1:15" s="168" customFormat="1" ht="37.5" customHeight="1">
      <c r="A166" s="165"/>
      <c r="B166" s="166"/>
      <c r="C166" s="166"/>
      <c r="D166" s="169" t="s">
        <v>21030</v>
      </c>
      <c r="E166" s="164" t="s">
        <v>1275</v>
      </c>
      <c r="F166" s="675" t="s">
        <v>17</v>
      </c>
      <c r="G166" s="675" t="s">
        <v>19</v>
      </c>
      <c r="H166" s="170"/>
      <c r="I166" s="170" t="s">
        <v>36</v>
      </c>
      <c r="J166" s="170" t="s">
        <v>21043</v>
      </c>
      <c r="K166" s="170"/>
      <c r="L166" s="170"/>
      <c r="M166" s="170" t="s">
        <v>21039</v>
      </c>
      <c r="N166" s="680"/>
      <c r="O166" s="127"/>
    </row>
    <row r="167" spans="1:15" s="35" customFormat="1">
      <c r="A167" s="157"/>
      <c r="B167" s="87"/>
      <c r="C167" s="87"/>
      <c r="D167" s="684" t="s">
        <v>21031</v>
      </c>
      <c r="E167" s="691">
        <f>2*2</f>
        <v>4</v>
      </c>
      <c r="F167" s="699">
        <v>2.15</v>
      </c>
      <c r="G167" s="699">
        <v>1.125</v>
      </c>
      <c r="H167" s="692" t="s">
        <v>30</v>
      </c>
      <c r="I167" s="692">
        <v>0.15</v>
      </c>
      <c r="J167" s="692">
        <f t="shared" ref="J167:J172" si="5">E167*F167*G167</f>
        <v>9.6749999999999989</v>
      </c>
      <c r="K167" s="692"/>
      <c r="L167" s="692" t="s">
        <v>21</v>
      </c>
      <c r="M167" s="558">
        <f t="shared" ref="M167:M172" si="6">E167*(F167*2+G167*2)*I167</f>
        <v>3.9299999999999997</v>
      </c>
      <c r="N167" s="693"/>
      <c r="O167" s="33"/>
    </row>
    <row r="168" spans="1:15" s="35" customFormat="1">
      <c r="A168" s="157"/>
      <c r="B168" s="87"/>
      <c r="C168" s="87"/>
      <c r="D168" s="684" t="s">
        <v>21032</v>
      </c>
      <c r="E168" s="691">
        <f>2*2*8</f>
        <v>32</v>
      </c>
      <c r="F168" s="699">
        <v>0.6</v>
      </c>
      <c r="G168" s="699">
        <v>2.12</v>
      </c>
      <c r="H168" s="692" t="s">
        <v>30</v>
      </c>
      <c r="I168" s="692">
        <v>0.15</v>
      </c>
      <c r="J168" s="692">
        <f t="shared" si="5"/>
        <v>40.704000000000001</v>
      </c>
      <c r="K168" s="692"/>
      <c r="L168" s="692" t="s">
        <v>21</v>
      </c>
      <c r="M168" s="558">
        <f t="shared" si="6"/>
        <v>26.112000000000002</v>
      </c>
      <c r="N168" s="693"/>
      <c r="O168" s="33"/>
    </row>
    <row r="169" spans="1:15" s="35" customFormat="1">
      <c r="A169" s="157"/>
      <c r="B169" s="87"/>
      <c r="C169" s="87"/>
      <c r="D169" s="684" t="s">
        <v>21033</v>
      </c>
      <c r="E169" s="691">
        <f>2*4*8</f>
        <v>64</v>
      </c>
      <c r="F169" s="699">
        <v>0.6</v>
      </c>
      <c r="G169" s="699">
        <v>0.20100000000000001</v>
      </c>
      <c r="H169" s="692" t="s">
        <v>30</v>
      </c>
      <c r="I169" s="692">
        <v>0.15</v>
      </c>
      <c r="J169" s="692">
        <f t="shared" si="5"/>
        <v>7.7183999999999999</v>
      </c>
      <c r="K169" s="692"/>
      <c r="L169" s="692" t="s">
        <v>21</v>
      </c>
      <c r="M169" s="558">
        <f t="shared" si="6"/>
        <v>15.379199999999997</v>
      </c>
      <c r="N169" s="693"/>
      <c r="O169" s="33"/>
    </row>
    <row r="170" spans="1:15" s="35" customFormat="1">
      <c r="A170" s="157"/>
      <c r="B170" s="87"/>
      <c r="C170" s="87"/>
      <c r="D170" s="684" t="s">
        <v>21034</v>
      </c>
      <c r="E170" s="691">
        <f>2*6</f>
        <v>12</v>
      </c>
      <c r="F170" s="699">
        <v>1.32</v>
      </c>
      <c r="G170" s="699">
        <v>1.1000000000000001</v>
      </c>
      <c r="H170" s="692" t="s">
        <v>30</v>
      </c>
      <c r="I170" s="692">
        <v>0.15</v>
      </c>
      <c r="J170" s="692">
        <f t="shared" si="5"/>
        <v>17.423999999999999</v>
      </c>
      <c r="K170" s="692"/>
      <c r="L170" s="692" t="s">
        <v>21</v>
      </c>
      <c r="M170" s="558">
        <f t="shared" si="6"/>
        <v>8.7119999999999997</v>
      </c>
      <c r="N170" s="693"/>
      <c r="O170" s="33"/>
    </row>
    <row r="171" spans="1:15" s="35" customFormat="1">
      <c r="A171" s="157"/>
      <c r="B171" s="87"/>
      <c r="C171" s="87"/>
      <c r="D171" s="684" t="s">
        <v>21036</v>
      </c>
      <c r="E171" s="691">
        <f>2*6</f>
        <v>12</v>
      </c>
      <c r="F171" s="699">
        <v>1.76</v>
      </c>
      <c r="G171" s="699">
        <v>1.1000000000000001</v>
      </c>
      <c r="H171" s="692" t="s">
        <v>30</v>
      </c>
      <c r="I171" s="692">
        <v>0.15</v>
      </c>
      <c r="J171" s="692">
        <f t="shared" si="5"/>
        <v>23.232000000000003</v>
      </c>
      <c r="K171" s="692"/>
      <c r="L171" s="692" t="s">
        <v>21</v>
      </c>
      <c r="M171" s="558">
        <f t="shared" si="6"/>
        <v>10.296000000000001</v>
      </c>
      <c r="N171" s="693"/>
      <c r="O171" s="33"/>
    </row>
    <row r="172" spans="1:15" s="35" customFormat="1">
      <c r="A172" s="157"/>
      <c r="B172" s="87"/>
      <c r="C172" s="87"/>
      <c r="D172" s="684" t="s">
        <v>21037</v>
      </c>
      <c r="E172" s="691">
        <f>2*6</f>
        <v>12</v>
      </c>
      <c r="F172" s="699">
        <v>1.1000000000000001</v>
      </c>
      <c r="G172" s="699">
        <v>0.6</v>
      </c>
      <c r="H172" s="692" t="s">
        <v>30</v>
      </c>
      <c r="I172" s="692">
        <v>0.15</v>
      </c>
      <c r="J172" s="692">
        <f t="shared" si="5"/>
        <v>7.92</v>
      </c>
      <c r="K172" s="692"/>
      <c r="L172" s="692" t="s">
        <v>21</v>
      </c>
      <c r="M172" s="558">
        <f t="shared" si="6"/>
        <v>6.12</v>
      </c>
      <c r="N172" s="693"/>
      <c r="O172" s="33"/>
    </row>
    <row r="173" spans="1:15" s="35" customFormat="1" ht="15" customHeight="1">
      <c r="A173" s="157"/>
      <c r="B173" s="87"/>
      <c r="C173" s="87"/>
      <c r="D173" s="684"/>
      <c r="E173" s="691"/>
      <c r="F173" s="162"/>
      <c r="G173" s="162"/>
      <c r="H173" s="162"/>
      <c r="I173" s="162"/>
      <c r="J173" s="687"/>
      <c r="K173" s="687" t="s">
        <v>27</v>
      </c>
      <c r="L173" s="687" t="s">
        <v>21</v>
      </c>
      <c r="M173" s="687">
        <f>SUM(M167:M172)</f>
        <v>70.549200000000013</v>
      </c>
      <c r="N173" s="693"/>
      <c r="O173" s="33"/>
    </row>
    <row r="174" spans="1:15" s="35" customFormat="1" ht="15" customHeight="1">
      <c r="A174" s="157"/>
      <c r="B174" s="87"/>
      <c r="C174" s="87"/>
      <c r="D174" s="684"/>
      <c r="E174" s="691"/>
      <c r="F174" s="689"/>
      <c r="G174" s="689"/>
      <c r="H174" s="689"/>
      <c r="I174" s="689"/>
      <c r="J174" s="162"/>
      <c r="K174" s="162"/>
      <c r="L174" s="687"/>
      <c r="M174" s="687"/>
      <c r="N174" s="693"/>
      <c r="O174" s="33"/>
    </row>
    <row r="175" spans="1:15" s="35" customFormat="1">
      <c r="A175" s="157"/>
      <c r="B175" s="87"/>
      <c r="C175" s="87"/>
      <c r="D175" s="684" t="s">
        <v>12440</v>
      </c>
      <c r="E175" s="691">
        <v>2</v>
      </c>
      <c r="F175" s="692">
        <f>2.3+17.7+1.2</f>
        <v>21.2</v>
      </c>
      <c r="G175" s="692">
        <f>13.4+0.25+0.125</f>
        <v>13.775</v>
      </c>
      <c r="H175" s="692" t="s">
        <v>30</v>
      </c>
      <c r="I175" s="692">
        <v>0.15</v>
      </c>
      <c r="K175" s="692"/>
      <c r="L175" s="692" t="s">
        <v>21</v>
      </c>
      <c r="M175" s="692">
        <f>E175*F175*G175</f>
        <v>584.05999999999995</v>
      </c>
      <c r="N175" s="693"/>
      <c r="O175" s="33"/>
    </row>
    <row r="176" spans="1:15" s="35" customFormat="1">
      <c r="A176" s="157"/>
      <c r="B176" s="87"/>
      <c r="C176" s="87"/>
      <c r="D176" s="684"/>
      <c r="E176" s="691"/>
      <c r="F176" s="1732" t="s">
        <v>21044</v>
      </c>
      <c r="G176" s="1732"/>
      <c r="H176" s="1732"/>
      <c r="I176" s="1732"/>
      <c r="J176" s="1732"/>
      <c r="K176" s="1732"/>
      <c r="L176" s="687" t="s">
        <v>21</v>
      </c>
      <c r="M176" s="687">
        <f>M175-SUM(J167:J172)</f>
        <v>477.38659999999993</v>
      </c>
      <c r="N176" s="693"/>
      <c r="O176" s="33"/>
    </row>
    <row r="177" spans="1:15" s="168" customFormat="1">
      <c r="A177" s="165"/>
      <c r="B177" s="166"/>
      <c r="C177" s="166"/>
      <c r="D177" s="124" t="s">
        <v>21040</v>
      </c>
      <c r="E177" s="679" t="s">
        <v>1275</v>
      </c>
      <c r="F177" s="687" t="s">
        <v>17</v>
      </c>
      <c r="G177" s="687" t="s">
        <v>19</v>
      </c>
      <c r="H177" s="687" t="s">
        <v>36</v>
      </c>
      <c r="I177" s="689"/>
      <c r="J177" s="689"/>
      <c r="K177" s="689"/>
      <c r="L177" s="687"/>
      <c r="M177" s="687"/>
      <c r="N177" s="680"/>
      <c r="O177" s="127"/>
    </row>
    <row r="178" spans="1:15" s="35" customFormat="1">
      <c r="A178" s="157"/>
      <c r="B178" s="87"/>
      <c r="C178" s="87"/>
      <c r="D178" s="684" t="s">
        <v>21041</v>
      </c>
      <c r="E178" s="691">
        <v>1</v>
      </c>
      <c r="F178" s="692">
        <f>1.85+0.75</f>
        <v>2.6</v>
      </c>
      <c r="G178" s="692">
        <f>0.95+1.1+0.95</f>
        <v>3</v>
      </c>
      <c r="H178" s="692"/>
      <c r="I178" s="692"/>
      <c r="J178" s="692"/>
      <c r="K178" s="692"/>
      <c r="L178" s="692" t="s">
        <v>21</v>
      </c>
      <c r="M178" s="558">
        <f>E178*F178*G178</f>
        <v>7.8000000000000007</v>
      </c>
      <c r="N178" s="693"/>
      <c r="O178" s="33"/>
    </row>
    <row r="179" spans="1:15" s="35" customFormat="1">
      <c r="A179" s="157"/>
      <c r="B179" s="87"/>
      <c r="C179" s="87"/>
      <c r="D179" s="684" t="s">
        <v>21042</v>
      </c>
      <c r="E179" s="691">
        <v>2</v>
      </c>
      <c r="F179" s="692">
        <v>0.75</v>
      </c>
      <c r="G179" s="692">
        <v>0.95</v>
      </c>
      <c r="H179" s="692"/>
      <c r="I179" s="692"/>
      <c r="J179" s="692"/>
      <c r="K179" s="692"/>
      <c r="L179" s="692" t="s">
        <v>21</v>
      </c>
      <c r="M179" s="558">
        <f>E179*F179*G179</f>
        <v>1.4249999999999998</v>
      </c>
      <c r="N179" s="693"/>
      <c r="O179" s="33"/>
    </row>
    <row r="180" spans="1:15" s="35" customFormat="1">
      <c r="A180" s="157"/>
      <c r="B180" s="87"/>
      <c r="C180" s="87"/>
      <c r="D180" s="684"/>
      <c r="E180" s="691"/>
      <c r="F180" s="1732" t="s">
        <v>12659</v>
      </c>
      <c r="G180" s="1732"/>
      <c r="H180" s="1732"/>
      <c r="I180" s="1732"/>
      <c r="J180" s="1732"/>
      <c r="K180" s="1732"/>
      <c r="L180" s="687" t="s">
        <v>21</v>
      </c>
      <c r="M180" s="687">
        <f>M178-M179</f>
        <v>6.3750000000000009</v>
      </c>
      <c r="N180" s="693"/>
      <c r="O180" s="33"/>
    </row>
    <row r="181" spans="1:15" s="35" customFormat="1">
      <c r="A181" s="157"/>
      <c r="B181" s="87"/>
      <c r="C181" s="87"/>
      <c r="D181" s="124" t="s">
        <v>21065</v>
      </c>
      <c r="E181" s="679" t="s">
        <v>1275</v>
      </c>
      <c r="F181" s="687" t="s">
        <v>17</v>
      </c>
      <c r="G181" s="687" t="s">
        <v>19</v>
      </c>
      <c r="H181" s="687" t="s">
        <v>36</v>
      </c>
      <c r="I181" s="689"/>
      <c r="J181" s="689"/>
      <c r="K181" s="689"/>
      <c r="L181" s="687"/>
      <c r="M181" s="687"/>
      <c r="N181" s="693"/>
      <c r="O181" s="33"/>
    </row>
    <row r="182" spans="1:15" s="35" customFormat="1">
      <c r="A182" s="157"/>
      <c r="B182" s="87"/>
      <c r="C182" s="87"/>
      <c r="D182" s="702" t="s">
        <v>21094</v>
      </c>
      <c r="E182" s="691">
        <f>2*2</f>
        <v>4</v>
      </c>
      <c r="F182" s="692">
        <f>13.4-1.105</f>
        <v>12.295</v>
      </c>
      <c r="G182" s="692">
        <f>0.45+0.2</f>
        <v>0.65</v>
      </c>
      <c r="H182" s="692"/>
      <c r="I182" s="692"/>
      <c r="J182" s="692"/>
      <c r="K182" s="687" t="s">
        <v>27</v>
      </c>
      <c r="L182" s="687" t="s">
        <v>21</v>
      </c>
      <c r="M182" s="687">
        <f>E182*F182*G182</f>
        <v>31.967000000000002</v>
      </c>
      <c r="N182" s="693"/>
      <c r="O182" s="33"/>
    </row>
    <row r="183" spans="1:15" s="35" customFormat="1">
      <c r="A183" s="157"/>
      <c r="B183" s="87"/>
      <c r="C183" s="87"/>
      <c r="D183" s="684"/>
      <c r="E183" s="691"/>
      <c r="F183" s="692"/>
      <c r="G183" s="692"/>
      <c r="H183" s="692"/>
      <c r="I183" s="692"/>
      <c r="J183" s="692"/>
      <c r="K183" s="692"/>
      <c r="L183" s="692"/>
      <c r="M183" s="558"/>
      <c r="N183" s="693"/>
      <c r="O183" s="33"/>
    </row>
    <row r="184" spans="1:15" s="35" customFormat="1" ht="12.75" hidden="1" customHeight="1">
      <c r="A184" s="157"/>
      <c r="B184" s="87"/>
      <c r="C184" s="87"/>
      <c r="D184" s="703" t="s">
        <v>12619</v>
      </c>
      <c r="E184" s="170" t="s">
        <v>1275</v>
      </c>
      <c r="F184" s="170" t="s">
        <v>11684</v>
      </c>
      <c r="G184" s="170" t="s">
        <v>19</v>
      </c>
      <c r="H184" s="170" t="s">
        <v>32</v>
      </c>
      <c r="I184" s="692" t="s">
        <v>36</v>
      </c>
      <c r="J184" s="692" t="s">
        <v>12593</v>
      </c>
      <c r="K184" s="692" t="s">
        <v>30</v>
      </c>
      <c r="L184" s="692" t="s">
        <v>30</v>
      </c>
      <c r="M184" s="171" t="s">
        <v>14503</v>
      </c>
      <c r="N184" s="693"/>
      <c r="O184" s="33"/>
    </row>
    <row r="185" spans="1:15" s="35" customFormat="1" ht="12.75" hidden="1" customHeight="1">
      <c r="A185" s="157"/>
      <c r="B185" s="87"/>
      <c r="C185" s="87"/>
      <c r="D185" s="684" t="s">
        <v>12518</v>
      </c>
      <c r="E185" s="663">
        <v>0</v>
      </c>
      <c r="F185" s="692">
        <f>17.2+0.5</f>
        <v>17.7</v>
      </c>
      <c r="G185" s="692">
        <f>12.8+0.5</f>
        <v>13.3</v>
      </c>
      <c r="H185" s="692">
        <v>0.3</v>
      </c>
      <c r="I185" s="692" t="s">
        <v>30</v>
      </c>
      <c r="J185" s="692" t="s">
        <v>30</v>
      </c>
      <c r="K185" s="692"/>
      <c r="L185" s="692" t="s">
        <v>21</v>
      </c>
      <c r="M185" s="558">
        <f>E185*((2*F185+2*G185)*H185)</f>
        <v>0</v>
      </c>
      <c r="N185" s="693"/>
      <c r="O185" s="33"/>
    </row>
    <row r="186" spans="1:15" s="35" customFormat="1" ht="12.75" hidden="1" customHeight="1">
      <c r="A186" s="157"/>
      <c r="B186" s="87"/>
      <c r="C186" s="87"/>
      <c r="D186" s="684" t="s">
        <v>12620</v>
      </c>
      <c r="E186" s="691">
        <f>E122*2</f>
        <v>96</v>
      </c>
      <c r="F186" s="692">
        <v>0.2</v>
      </c>
      <c r="G186" s="692">
        <v>0.2</v>
      </c>
      <c r="H186" s="701">
        <f>4.85-1.55-0.174-0.11-0.15-0.15</f>
        <v>2.7160000000000002</v>
      </c>
      <c r="I186" s="692" t="s">
        <v>30</v>
      </c>
      <c r="J186" s="692" t="s">
        <v>30</v>
      </c>
      <c r="K186" s="692"/>
      <c r="L186" s="692" t="s">
        <v>21</v>
      </c>
      <c r="M186" s="558">
        <f>E186*((2*F186+2*G186)*H186)</f>
        <v>208.58879999999999</v>
      </c>
      <c r="N186" s="693"/>
      <c r="O186" s="33"/>
    </row>
    <row r="187" spans="1:15" s="35" customFormat="1" ht="12.75" hidden="1" customHeight="1">
      <c r="A187" s="157"/>
      <c r="B187" s="87"/>
      <c r="C187" s="87"/>
      <c r="D187" s="684" t="s">
        <v>12621</v>
      </c>
      <c r="E187" s="691">
        <f>E123*2</f>
        <v>4</v>
      </c>
      <c r="F187" s="692">
        <v>0.15</v>
      </c>
      <c r="G187" s="692">
        <v>0.3</v>
      </c>
      <c r="H187" s="701">
        <v>3.25</v>
      </c>
      <c r="I187" s="692" t="s">
        <v>30</v>
      </c>
      <c r="J187" s="692" t="s">
        <v>30</v>
      </c>
      <c r="K187" s="692"/>
      <c r="L187" s="692" t="s">
        <v>21</v>
      </c>
      <c r="M187" s="558">
        <f>E187*((2*F187+2*G187)*H187)</f>
        <v>11.7</v>
      </c>
      <c r="N187" s="693"/>
      <c r="O187" s="33"/>
    </row>
    <row r="188" spans="1:15" s="35" customFormat="1" ht="12.75" hidden="1" customHeight="1">
      <c r="A188" s="157"/>
      <c r="B188" s="87"/>
      <c r="C188" s="87"/>
      <c r="D188" s="684" t="s">
        <v>12595</v>
      </c>
      <c r="E188" s="691">
        <f>E124*2</f>
        <v>4</v>
      </c>
      <c r="F188" s="692">
        <v>0.5</v>
      </c>
      <c r="G188" s="692">
        <v>0.5</v>
      </c>
      <c r="H188" s="692">
        <v>0.5</v>
      </c>
      <c r="I188" s="692" t="s">
        <v>30</v>
      </c>
      <c r="J188" s="692" t="s">
        <v>30</v>
      </c>
      <c r="K188" s="692"/>
      <c r="L188" s="692" t="s">
        <v>21</v>
      </c>
      <c r="M188" s="558">
        <f>E188*((2*F188+2*G188)*H188)</f>
        <v>4</v>
      </c>
      <c r="N188" s="693"/>
      <c r="O188" s="33"/>
    </row>
    <row r="189" spans="1:15" s="35" customFormat="1" ht="12.75" hidden="1" customHeight="1">
      <c r="A189" s="157"/>
      <c r="B189" s="87"/>
      <c r="C189" s="87"/>
      <c r="D189" s="684" t="s">
        <v>12594</v>
      </c>
      <c r="E189" s="691">
        <v>0</v>
      </c>
      <c r="F189" s="692">
        <v>0.3</v>
      </c>
      <c r="G189" s="692">
        <v>0.05</v>
      </c>
      <c r="H189" s="692">
        <v>1.05</v>
      </c>
      <c r="I189" s="692"/>
      <c r="J189" s="692" t="s">
        <v>30</v>
      </c>
      <c r="K189" s="692"/>
      <c r="L189" s="692" t="s">
        <v>21</v>
      </c>
      <c r="M189" s="558">
        <f>E189*((2*F189+2*G189)*H189)</f>
        <v>0</v>
      </c>
      <c r="N189" s="693"/>
      <c r="O189" s="33"/>
    </row>
    <row r="190" spans="1:15" s="35" customFormat="1" ht="12.75" hidden="1" customHeight="1">
      <c r="A190" s="157"/>
      <c r="B190" s="87"/>
      <c r="C190" s="87"/>
      <c r="D190" s="684" t="s">
        <v>12586</v>
      </c>
      <c r="E190" s="691">
        <f>E126*2</f>
        <v>2</v>
      </c>
      <c r="F190" s="692">
        <f>17.2</f>
        <v>17.2</v>
      </c>
      <c r="G190" s="692">
        <f>13.4</f>
        <v>13.4</v>
      </c>
      <c r="H190" s="701">
        <v>1.1000000000000001</v>
      </c>
      <c r="I190" s="692">
        <v>0.25</v>
      </c>
      <c r="J190" s="692" t="s">
        <v>30</v>
      </c>
      <c r="K190" s="692"/>
      <c r="L190" s="692" t="s">
        <v>21</v>
      </c>
      <c r="M190" s="558">
        <f>(((E190*F190+E190*G190+2*35.15+2*13.9)*H190))*2</f>
        <v>350.46000000000004</v>
      </c>
      <c r="N190" s="693"/>
      <c r="O190" s="33"/>
    </row>
    <row r="191" spans="1:15" s="35" customFormat="1" ht="12.75" hidden="1" customHeight="1">
      <c r="A191" s="157"/>
      <c r="B191" s="87"/>
      <c r="C191" s="87"/>
      <c r="D191" s="684" t="s">
        <v>12587</v>
      </c>
      <c r="E191" s="691">
        <f t="shared" ref="E191:E196" si="7">E160*2</f>
        <v>32</v>
      </c>
      <c r="F191" s="692">
        <v>17.2</v>
      </c>
      <c r="G191" s="692" t="s">
        <v>30</v>
      </c>
      <c r="H191" s="692">
        <v>0.9</v>
      </c>
      <c r="I191" s="692">
        <v>0.2</v>
      </c>
      <c r="J191" s="692" t="s">
        <v>30</v>
      </c>
      <c r="K191" s="692"/>
      <c r="L191" s="692" t="s">
        <v>21</v>
      </c>
      <c r="M191" s="558">
        <f t="shared" ref="M191:M196" si="8">E191*((F191*I191)+(2*F191*H191))</f>
        <v>1100.8</v>
      </c>
      <c r="N191" s="693"/>
      <c r="O191" s="33"/>
    </row>
    <row r="192" spans="1:15" s="35" customFormat="1" ht="14.25" hidden="1" customHeight="1">
      <c r="A192" s="157"/>
      <c r="B192" s="87"/>
      <c r="C192" s="87"/>
      <c r="D192" s="684" t="s">
        <v>12588</v>
      </c>
      <c r="E192" s="691">
        <f t="shared" si="7"/>
        <v>16</v>
      </c>
      <c r="F192" s="692">
        <v>2.4500000000000002</v>
      </c>
      <c r="G192" s="692" t="s">
        <v>30</v>
      </c>
      <c r="H192" s="692">
        <v>0.3</v>
      </c>
      <c r="I192" s="692">
        <v>0.2</v>
      </c>
      <c r="J192" s="692" t="s">
        <v>30</v>
      </c>
      <c r="K192" s="692"/>
      <c r="L192" s="692" t="s">
        <v>21</v>
      </c>
      <c r="M192" s="558">
        <f t="shared" si="8"/>
        <v>31.36</v>
      </c>
      <c r="N192" s="693"/>
      <c r="O192" s="33"/>
    </row>
    <row r="193" spans="1:15" s="35" customFormat="1" ht="12.75" hidden="1" customHeight="1">
      <c r="A193" s="157"/>
      <c r="B193" s="87"/>
      <c r="C193" s="87"/>
      <c r="D193" s="684" t="s">
        <v>12589</v>
      </c>
      <c r="E193" s="691">
        <f t="shared" si="7"/>
        <v>16</v>
      </c>
      <c r="F193" s="692">
        <v>4.5</v>
      </c>
      <c r="G193" s="692" t="s">
        <v>30</v>
      </c>
      <c r="H193" s="692">
        <v>0.3</v>
      </c>
      <c r="I193" s="692">
        <v>0.2</v>
      </c>
      <c r="J193" s="692" t="s">
        <v>30</v>
      </c>
      <c r="K193" s="692"/>
      <c r="L193" s="692" t="s">
        <v>21</v>
      </c>
      <c r="M193" s="558">
        <f t="shared" si="8"/>
        <v>57.599999999999994</v>
      </c>
      <c r="N193" s="693"/>
      <c r="O193" s="33"/>
    </row>
    <row r="194" spans="1:15" s="35" customFormat="1" ht="12.75" hidden="1" customHeight="1">
      <c r="A194" s="157"/>
      <c r="B194" s="87"/>
      <c r="C194" s="87"/>
      <c r="D194" s="684" t="s">
        <v>12590</v>
      </c>
      <c r="E194" s="691">
        <f t="shared" si="7"/>
        <v>32</v>
      </c>
      <c r="F194" s="692">
        <v>12.8</v>
      </c>
      <c r="G194" s="692" t="s">
        <v>30</v>
      </c>
      <c r="H194" s="692">
        <v>0.3</v>
      </c>
      <c r="I194" s="692">
        <v>0.2</v>
      </c>
      <c r="J194" s="692" t="s">
        <v>30</v>
      </c>
      <c r="K194" s="692"/>
      <c r="L194" s="692" t="s">
        <v>21</v>
      </c>
      <c r="M194" s="558">
        <f t="shared" si="8"/>
        <v>327.68</v>
      </c>
      <c r="N194" s="693"/>
      <c r="O194" s="33"/>
    </row>
    <row r="195" spans="1:15" s="35" customFormat="1" ht="12.75" hidden="1" customHeight="1">
      <c r="A195" s="157"/>
      <c r="B195" s="87"/>
      <c r="C195" s="87"/>
      <c r="D195" s="684" t="s">
        <v>12591</v>
      </c>
      <c r="E195" s="691">
        <f t="shared" si="7"/>
        <v>4</v>
      </c>
      <c r="F195" s="692">
        <v>17.2</v>
      </c>
      <c r="G195" s="692" t="s">
        <v>30</v>
      </c>
      <c r="H195" s="692">
        <v>0.15</v>
      </c>
      <c r="I195" s="692">
        <v>0.2</v>
      </c>
      <c r="J195" s="692" t="s">
        <v>30</v>
      </c>
      <c r="K195" s="692"/>
      <c r="L195" s="692" t="s">
        <v>21</v>
      </c>
      <c r="M195" s="558">
        <f t="shared" si="8"/>
        <v>34.4</v>
      </c>
      <c r="N195" s="693"/>
      <c r="O195" s="33"/>
    </row>
    <row r="196" spans="1:15" s="35" customFormat="1" ht="12.75" hidden="1" customHeight="1">
      <c r="A196" s="157"/>
      <c r="B196" s="87"/>
      <c r="C196" s="87"/>
      <c r="D196" s="684" t="s">
        <v>12592</v>
      </c>
      <c r="E196" s="691">
        <f t="shared" si="7"/>
        <v>32</v>
      </c>
      <c r="F196" s="692">
        <v>12.8</v>
      </c>
      <c r="G196" s="692" t="s">
        <v>30</v>
      </c>
      <c r="H196" s="692">
        <v>0.3</v>
      </c>
      <c r="I196" s="692">
        <v>0.2</v>
      </c>
      <c r="J196" s="692" t="s">
        <v>30</v>
      </c>
      <c r="K196" s="692"/>
      <c r="L196" s="692" t="s">
        <v>21</v>
      </c>
      <c r="M196" s="558">
        <f t="shared" si="8"/>
        <v>327.68</v>
      </c>
      <c r="N196" s="693"/>
      <c r="O196" s="33"/>
    </row>
    <row r="197" spans="1:15" s="35" customFormat="1" ht="12.75" hidden="1" customHeight="1">
      <c r="A197" s="157"/>
      <c r="B197" s="87"/>
      <c r="C197" s="87"/>
      <c r="D197" s="697" t="s">
        <v>12596</v>
      </c>
      <c r="E197" s="696" t="e">
        <f>E127*2</f>
        <v>#VALUE!</v>
      </c>
      <c r="F197" s="559">
        <f>0.85+0.2*2+0.45</f>
        <v>1.7</v>
      </c>
      <c r="G197" s="559">
        <v>13.4</v>
      </c>
      <c r="H197" s="559"/>
      <c r="I197" s="692"/>
      <c r="J197" s="692"/>
      <c r="K197" s="692"/>
      <c r="L197" s="692" t="s">
        <v>21</v>
      </c>
      <c r="M197" s="172" t="e">
        <f t="shared" ref="M197:M204" si="9">E197*F197*G197</f>
        <v>#VALUE!</v>
      </c>
      <c r="N197" s="693"/>
      <c r="O197" s="33"/>
    </row>
    <row r="198" spans="1:15" s="35" customFormat="1" ht="12.75" hidden="1" customHeight="1">
      <c r="A198" s="157"/>
      <c r="B198" s="87"/>
      <c r="C198" s="87"/>
      <c r="D198" s="684" t="s">
        <v>12597</v>
      </c>
      <c r="E198" s="691">
        <v>0</v>
      </c>
      <c r="F198" s="692">
        <f>0.65*2+0.11</f>
        <v>1.4100000000000001</v>
      </c>
      <c r="G198" s="692">
        <v>17.2</v>
      </c>
      <c r="H198" s="692"/>
      <c r="I198" s="692"/>
      <c r="J198" s="692"/>
      <c r="K198" s="692"/>
      <c r="L198" s="692" t="s">
        <v>21</v>
      </c>
      <c r="M198" s="558">
        <f t="shared" si="9"/>
        <v>0</v>
      </c>
      <c r="N198" s="693"/>
      <c r="O198" s="33"/>
    </row>
    <row r="199" spans="1:15" s="35" customFormat="1" ht="12.75" hidden="1" customHeight="1">
      <c r="A199" s="157"/>
      <c r="B199" s="87"/>
      <c r="C199" s="87"/>
      <c r="D199" s="684" t="s">
        <v>12598</v>
      </c>
      <c r="E199" s="691">
        <v>0</v>
      </c>
      <c r="F199" s="692">
        <f>0.55*2+0.2+0.11*2+0.6*2</f>
        <v>2.7199999999999998</v>
      </c>
      <c r="G199" s="692">
        <v>17.2</v>
      </c>
      <c r="H199" s="692"/>
      <c r="I199" s="692"/>
      <c r="J199" s="692"/>
      <c r="K199" s="692"/>
      <c r="L199" s="692" t="s">
        <v>21</v>
      </c>
      <c r="M199" s="558">
        <f t="shared" si="9"/>
        <v>0</v>
      </c>
      <c r="N199" s="693"/>
      <c r="O199" s="33"/>
    </row>
    <row r="200" spans="1:15" s="35" customFormat="1" ht="12.75" hidden="1" customHeight="1">
      <c r="A200" s="157"/>
      <c r="B200" s="87"/>
      <c r="C200" s="87"/>
      <c r="D200" s="684" t="s">
        <v>12599</v>
      </c>
      <c r="E200" s="691">
        <f>E132*2</f>
        <v>4</v>
      </c>
      <c r="F200" s="692">
        <f>0.85+0.2*2+0.45</f>
        <v>1.7</v>
      </c>
      <c r="G200" s="692">
        <v>13.4</v>
      </c>
      <c r="H200" s="692"/>
      <c r="I200" s="692"/>
      <c r="J200" s="692"/>
      <c r="K200" s="692"/>
      <c r="L200" s="692" t="s">
        <v>21</v>
      </c>
      <c r="M200" s="558">
        <f t="shared" si="9"/>
        <v>91.12</v>
      </c>
      <c r="N200" s="693"/>
      <c r="O200" s="33"/>
    </row>
    <row r="201" spans="1:15" s="35" customFormat="1" ht="12.75" hidden="1" customHeight="1">
      <c r="A201" s="157"/>
      <c r="B201" s="87"/>
      <c r="C201" s="87"/>
      <c r="D201" s="684" t="s">
        <v>12600</v>
      </c>
      <c r="E201" s="691">
        <v>0</v>
      </c>
      <c r="F201" s="692">
        <v>0.4</v>
      </c>
      <c r="G201" s="692">
        <v>13.4</v>
      </c>
      <c r="H201" s="692"/>
      <c r="I201" s="692"/>
      <c r="J201" s="692"/>
      <c r="K201" s="692"/>
      <c r="L201" s="692" t="s">
        <v>21</v>
      </c>
      <c r="M201" s="558">
        <f t="shared" si="9"/>
        <v>0</v>
      </c>
      <c r="N201" s="693"/>
      <c r="O201" s="33"/>
    </row>
    <row r="202" spans="1:15" s="35" customFormat="1" ht="12.75" hidden="1" customHeight="1">
      <c r="A202" s="157"/>
      <c r="B202" s="87"/>
      <c r="C202" s="87"/>
      <c r="D202" s="684" t="s">
        <v>12601</v>
      </c>
      <c r="E202" s="691">
        <f>E134*2</f>
        <v>16</v>
      </c>
      <c r="F202" s="692">
        <v>1.5</v>
      </c>
      <c r="G202" s="692">
        <v>17.2</v>
      </c>
      <c r="H202" s="692"/>
      <c r="I202" s="692"/>
      <c r="J202" s="692"/>
      <c r="K202" s="692"/>
      <c r="L202" s="692" t="s">
        <v>21</v>
      </c>
      <c r="M202" s="558">
        <f t="shared" si="9"/>
        <v>412.79999999999995</v>
      </c>
      <c r="N202" s="693"/>
      <c r="O202" s="33"/>
    </row>
    <row r="203" spans="1:15" s="35" customFormat="1" ht="12.75" hidden="1" customHeight="1">
      <c r="A203" s="157"/>
      <c r="B203" s="87"/>
      <c r="C203" s="87"/>
      <c r="D203" s="414" t="s">
        <v>12602</v>
      </c>
      <c r="E203" s="694">
        <f>E141*2</f>
        <v>8</v>
      </c>
      <c r="F203" s="694">
        <f>(50+20+15+47.5+30+15+45)/100</f>
        <v>2.2250000000000001</v>
      </c>
      <c r="G203" s="698">
        <f>2.15+0.3</f>
        <v>2.4499999999999997</v>
      </c>
      <c r="H203" s="698"/>
      <c r="I203" s="692"/>
      <c r="J203" s="692"/>
      <c r="K203" s="692"/>
      <c r="L203" s="692" t="s">
        <v>21</v>
      </c>
      <c r="M203" s="133">
        <f t="shared" si="9"/>
        <v>43.61</v>
      </c>
      <c r="N203" s="693"/>
      <c r="O203" s="33"/>
    </row>
    <row r="204" spans="1:15" s="35" customFormat="1" ht="12.75" hidden="1" customHeight="1">
      <c r="A204" s="157"/>
      <c r="B204" s="87"/>
      <c r="C204" s="87"/>
      <c r="D204" s="697" t="s">
        <v>12613</v>
      </c>
      <c r="E204" s="696" t="e">
        <f>E166*2</f>
        <v>#VALUE!</v>
      </c>
      <c r="F204" s="173">
        <v>2.15</v>
      </c>
      <c r="G204" s="173">
        <v>1.125</v>
      </c>
      <c r="H204" s="559" t="s">
        <v>30</v>
      </c>
      <c r="I204" s="692">
        <v>0.15</v>
      </c>
      <c r="J204" s="692" t="e">
        <f>E204*F204*G204</f>
        <v>#VALUE!</v>
      </c>
      <c r="K204" s="692"/>
      <c r="L204" s="692" t="s">
        <v>21</v>
      </c>
      <c r="M204" s="172" t="e">
        <f t="shared" si="9"/>
        <v>#VALUE!</v>
      </c>
      <c r="N204" s="693"/>
      <c r="O204" s="33"/>
    </row>
    <row r="205" spans="1:15" s="35" customFormat="1" ht="12.75" hidden="1" customHeight="1">
      <c r="A205" s="157"/>
      <c r="B205" s="87"/>
      <c r="C205" s="87"/>
      <c r="D205" s="684" t="s">
        <v>12614</v>
      </c>
      <c r="E205" s="691">
        <f>E169*2</f>
        <v>128</v>
      </c>
      <c r="F205" s="699">
        <v>0.6</v>
      </c>
      <c r="G205" s="699">
        <v>0.20100000000000001</v>
      </c>
      <c r="H205" s="692" t="s">
        <v>30</v>
      </c>
      <c r="I205" s="692">
        <v>0.15</v>
      </c>
      <c r="J205" s="692">
        <f>E205*F205*G205</f>
        <v>15.4368</v>
      </c>
      <c r="K205" s="692"/>
      <c r="L205" s="692" t="s">
        <v>21</v>
      </c>
      <c r="M205" s="558">
        <f>E205*((F205*2+G205*2)*I205)</f>
        <v>30.758399999999995</v>
      </c>
      <c r="N205" s="693"/>
      <c r="O205" s="33"/>
    </row>
    <row r="206" spans="1:15" s="35" customFormat="1" ht="12.75" hidden="1" customHeight="1">
      <c r="A206" s="157"/>
      <c r="B206" s="87"/>
      <c r="C206" s="87"/>
      <c r="D206" s="684" t="s">
        <v>12615</v>
      </c>
      <c r="E206" s="691">
        <f>E170*2</f>
        <v>24</v>
      </c>
      <c r="F206" s="699">
        <v>1.32</v>
      </c>
      <c r="G206" s="699">
        <v>1.1000000000000001</v>
      </c>
      <c r="H206" s="692" t="s">
        <v>30</v>
      </c>
      <c r="I206" s="692">
        <v>0.15</v>
      </c>
      <c r="J206" s="692">
        <f>E206*F206*G206</f>
        <v>34.847999999999999</v>
      </c>
      <c r="K206" s="692"/>
      <c r="L206" s="692" t="s">
        <v>21</v>
      </c>
      <c r="M206" s="558">
        <f>E206*((F206*2+G206*2)*I206)</f>
        <v>17.423999999999999</v>
      </c>
      <c r="N206" s="693"/>
      <c r="O206" s="33"/>
    </row>
    <row r="207" spans="1:15" s="35" customFormat="1" ht="12.75" hidden="1" customHeight="1">
      <c r="A207" s="157"/>
      <c r="B207" s="87"/>
      <c r="C207" s="87"/>
      <c r="D207" s="684" t="s">
        <v>12616</v>
      </c>
      <c r="E207" s="691">
        <f>E171*2</f>
        <v>24</v>
      </c>
      <c r="F207" s="699">
        <v>1.76</v>
      </c>
      <c r="G207" s="699">
        <v>1.1000000000000001</v>
      </c>
      <c r="H207" s="692" t="s">
        <v>30</v>
      </c>
      <c r="I207" s="692">
        <v>0.15</v>
      </c>
      <c r="J207" s="692">
        <f>E207*F207*G207</f>
        <v>46.464000000000006</v>
      </c>
      <c r="K207" s="692"/>
      <c r="L207" s="692" t="s">
        <v>21</v>
      </c>
      <c r="M207" s="558">
        <f>E207*((F207*2+G207*2)*I207)</f>
        <v>20.592000000000002</v>
      </c>
      <c r="N207" s="693"/>
      <c r="O207" s="33"/>
    </row>
    <row r="208" spans="1:15" s="35" customFormat="1" ht="12.75" hidden="1" customHeight="1">
      <c r="A208" s="157"/>
      <c r="B208" s="87"/>
      <c r="C208" s="87"/>
      <c r="D208" s="684" t="s">
        <v>12617</v>
      </c>
      <c r="E208" s="691">
        <f>E172*2</f>
        <v>24</v>
      </c>
      <c r="F208" s="699">
        <v>1.1000000000000001</v>
      </c>
      <c r="G208" s="699">
        <v>0.6</v>
      </c>
      <c r="H208" s="692" t="s">
        <v>30</v>
      </c>
      <c r="I208" s="692">
        <v>0.15</v>
      </c>
      <c r="J208" s="692">
        <f>E208*F208*G208</f>
        <v>15.84</v>
      </c>
      <c r="K208" s="692"/>
      <c r="L208" s="692" t="s">
        <v>21</v>
      </c>
      <c r="M208" s="558">
        <f>E208*((F208*2+G208*2)*I208)</f>
        <v>12.24</v>
      </c>
      <c r="N208" s="693"/>
      <c r="O208" s="33"/>
    </row>
    <row r="209" spans="1:15" s="35" customFormat="1" ht="12.75" hidden="1" customHeight="1">
      <c r="A209" s="157"/>
      <c r="B209" s="87"/>
      <c r="C209" s="87"/>
      <c r="D209" s="414" t="s">
        <v>12440</v>
      </c>
      <c r="E209" s="694">
        <f>E175*2</f>
        <v>4</v>
      </c>
      <c r="F209" s="698">
        <f>2.3+17.7+1.2</f>
        <v>21.2</v>
      </c>
      <c r="G209" s="698">
        <v>13.9</v>
      </c>
      <c r="H209" s="698" t="s">
        <v>30</v>
      </c>
      <c r="I209" s="692">
        <v>0.15</v>
      </c>
      <c r="J209" s="692" t="e">
        <f>SUM(J204:J208)</f>
        <v>#VALUE!</v>
      </c>
      <c r="K209" s="692"/>
      <c r="L209" s="692" t="s">
        <v>21</v>
      </c>
      <c r="M209" s="133" t="e">
        <f>E209*((F209*G209)+((F209*2+G209*2)*I209))-J209</f>
        <v>#VALUE!</v>
      </c>
      <c r="N209" s="693"/>
      <c r="O209" s="33"/>
    </row>
    <row r="210" spans="1:15" s="35" customFormat="1" ht="12.75" hidden="1" customHeight="1">
      <c r="A210" s="157"/>
      <c r="B210" s="87"/>
      <c r="C210" s="87"/>
      <c r="D210" s="684" t="s">
        <v>12603</v>
      </c>
      <c r="E210" s="691">
        <f>E178*2</f>
        <v>2</v>
      </c>
      <c r="F210" s="692">
        <v>2.7</v>
      </c>
      <c r="G210" s="692">
        <v>1.85</v>
      </c>
      <c r="H210" s="692">
        <v>0.2</v>
      </c>
      <c r="I210" s="692"/>
      <c r="J210" s="692"/>
      <c r="K210" s="692"/>
      <c r="L210" s="692" t="s">
        <v>21</v>
      </c>
      <c r="M210" s="558">
        <f>E210*((F210*G210)+(F210*2+G210*2)*H210)</f>
        <v>13.630000000000003</v>
      </c>
      <c r="N210" s="693"/>
      <c r="O210" s="33"/>
    </row>
    <row r="211" spans="1:15" s="35" customFormat="1" ht="12.75" hidden="1" customHeight="1">
      <c r="A211" s="157"/>
      <c r="B211" s="87"/>
      <c r="C211" s="87"/>
      <c r="D211" s="684" t="s">
        <v>12603</v>
      </c>
      <c r="E211" s="691" t="e">
        <f>#REF!*2</f>
        <v>#REF!</v>
      </c>
      <c r="F211" s="692">
        <v>0.75</v>
      </c>
      <c r="G211" s="692">
        <v>1.1000000000000001</v>
      </c>
      <c r="H211" s="692">
        <v>0.2</v>
      </c>
      <c r="I211" s="692"/>
      <c r="J211" s="692"/>
      <c r="K211" s="692"/>
      <c r="L211" s="692" t="s">
        <v>21</v>
      </c>
      <c r="M211" s="558" t="e">
        <f>E211*((F211*G211)+(F211*2+G211*2)*H211)</f>
        <v>#REF!</v>
      </c>
      <c r="N211" s="693"/>
      <c r="O211" s="33"/>
    </row>
    <row r="212" spans="1:15" s="35" customFormat="1" ht="12.75" hidden="1" customHeight="1">
      <c r="A212" s="157"/>
      <c r="B212" s="87"/>
      <c r="C212" s="87"/>
      <c r="D212" s="684" t="s">
        <v>12604</v>
      </c>
      <c r="E212" s="691">
        <f>E143*2</f>
        <v>4</v>
      </c>
      <c r="F212" s="692">
        <v>1.85</v>
      </c>
      <c r="G212" s="692">
        <v>0.15</v>
      </c>
      <c r="H212" s="692">
        <v>1.8</v>
      </c>
      <c r="I212" s="692"/>
      <c r="J212" s="692"/>
      <c r="K212" s="692"/>
      <c r="L212" s="692" t="s">
        <v>21</v>
      </c>
      <c r="M212" s="558">
        <f>E212*(2*(F212*H212))</f>
        <v>26.64</v>
      </c>
      <c r="N212" s="693"/>
      <c r="O212" s="33"/>
    </row>
    <row r="213" spans="1:15" s="35" customFormat="1" ht="12.75" hidden="1" customHeight="1">
      <c r="A213" s="157"/>
      <c r="B213" s="87"/>
      <c r="C213" s="87"/>
      <c r="D213" s="684" t="s">
        <v>12605</v>
      </c>
      <c r="E213" s="691">
        <f>E148*2</f>
        <v>4</v>
      </c>
      <c r="F213" s="692">
        <v>1.85</v>
      </c>
      <c r="G213" s="692">
        <v>0.15</v>
      </c>
      <c r="H213" s="692">
        <v>1.8</v>
      </c>
      <c r="I213" s="692"/>
      <c r="J213" s="692"/>
      <c r="K213" s="692"/>
      <c r="L213" s="692" t="s">
        <v>21</v>
      </c>
      <c r="M213" s="558">
        <f t="shared" ref="M213:M219" si="10">E213*(2*(F213*H213))</f>
        <v>26.64</v>
      </c>
      <c r="N213" s="693"/>
      <c r="O213" s="33"/>
    </row>
    <row r="214" spans="1:15" s="35" customFormat="1" ht="12.75" hidden="1" customHeight="1">
      <c r="A214" s="157"/>
      <c r="B214" s="87"/>
      <c r="C214" s="87"/>
      <c r="D214" s="684" t="s">
        <v>12606</v>
      </c>
      <c r="E214" s="691">
        <f>E150*2</f>
        <v>8</v>
      </c>
      <c r="F214" s="692">
        <v>0.75</v>
      </c>
      <c r="G214" s="692">
        <v>0.15</v>
      </c>
      <c r="H214" s="692">
        <v>1.8</v>
      </c>
      <c r="I214" s="692"/>
      <c r="J214" s="692"/>
      <c r="K214" s="692"/>
      <c r="L214" s="692" t="s">
        <v>21</v>
      </c>
      <c r="M214" s="558">
        <f t="shared" si="10"/>
        <v>21.6</v>
      </c>
      <c r="N214" s="693"/>
      <c r="O214" s="33"/>
    </row>
    <row r="215" spans="1:15" s="35" customFormat="1" ht="12.75" hidden="1" customHeight="1">
      <c r="A215" s="157"/>
      <c r="B215" s="87"/>
      <c r="C215" s="87"/>
      <c r="D215" s="684" t="s">
        <v>12607</v>
      </c>
      <c r="E215" s="691">
        <f>E145*2</f>
        <v>2</v>
      </c>
      <c r="F215" s="692">
        <v>1.1000000000000001</v>
      </c>
      <c r="G215" s="692">
        <v>0.15</v>
      </c>
      <c r="H215" s="692">
        <v>1.8</v>
      </c>
      <c r="I215" s="692"/>
      <c r="J215" s="692"/>
      <c r="K215" s="692"/>
      <c r="L215" s="692" t="s">
        <v>21</v>
      </c>
      <c r="M215" s="558">
        <f t="shared" si="10"/>
        <v>7.9200000000000008</v>
      </c>
      <c r="N215" s="693"/>
      <c r="O215" s="33"/>
    </row>
    <row r="216" spans="1:15" s="35" customFormat="1" ht="12.75" hidden="1" customHeight="1">
      <c r="A216" s="157"/>
      <c r="B216" s="87"/>
      <c r="C216" s="87"/>
      <c r="D216" s="684" t="s">
        <v>12608</v>
      </c>
      <c r="E216" s="691">
        <f>E151*2</f>
        <v>4</v>
      </c>
      <c r="F216" s="692">
        <v>0.95</v>
      </c>
      <c r="G216" s="692">
        <v>0.15</v>
      </c>
      <c r="H216" s="692">
        <v>1.8</v>
      </c>
      <c r="I216" s="692"/>
      <c r="J216" s="692"/>
      <c r="K216" s="692"/>
      <c r="L216" s="692" t="s">
        <v>21</v>
      </c>
      <c r="M216" s="558">
        <f t="shared" si="10"/>
        <v>13.68</v>
      </c>
      <c r="N216" s="693"/>
      <c r="O216" s="33"/>
    </row>
    <row r="217" spans="1:15" s="35" customFormat="1" ht="12.75" hidden="1" customHeight="1">
      <c r="A217" s="157"/>
      <c r="B217" s="87"/>
      <c r="C217" s="87"/>
      <c r="D217" s="684" t="s">
        <v>12609</v>
      </c>
      <c r="E217" s="691">
        <f>E153*2</f>
        <v>4</v>
      </c>
      <c r="F217" s="692">
        <v>0.8</v>
      </c>
      <c r="G217" s="692">
        <v>0.15</v>
      </c>
      <c r="H217" s="692">
        <v>0.75</v>
      </c>
      <c r="I217" s="692"/>
      <c r="J217" s="692"/>
      <c r="K217" s="692"/>
      <c r="L217" s="692" t="s">
        <v>21</v>
      </c>
      <c r="M217" s="558">
        <f t="shared" si="10"/>
        <v>4.8000000000000007</v>
      </c>
      <c r="N217" s="693"/>
      <c r="O217" s="33"/>
    </row>
    <row r="218" spans="1:15" s="35" customFormat="1" ht="12.75" hidden="1" customHeight="1">
      <c r="A218" s="157"/>
      <c r="B218" s="87"/>
      <c r="C218" s="87"/>
      <c r="D218" s="684" t="s">
        <v>12610</v>
      </c>
      <c r="E218" s="691">
        <f>E154*2</f>
        <v>8</v>
      </c>
      <c r="F218" s="692">
        <v>0.5</v>
      </c>
      <c r="G218" s="692">
        <v>0.15</v>
      </c>
      <c r="H218" s="692">
        <v>1.8</v>
      </c>
      <c r="I218" s="692"/>
      <c r="J218" s="692"/>
      <c r="K218" s="692"/>
      <c r="L218" s="692" t="s">
        <v>21</v>
      </c>
      <c r="M218" s="558">
        <f>E218*(2*(F218*H218))</f>
        <v>14.4</v>
      </c>
      <c r="N218" s="693"/>
      <c r="O218" s="33"/>
    </row>
    <row r="219" spans="1:15" s="35" customFormat="1" ht="12.75" hidden="1" customHeight="1">
      <c r="A219" s="157"/>
      <c r="B219" s="87"/>
      <c r="C219" s="87"/>
      <c r="D219" s="684" t="s">
        <v>12611</v>
      </c>
      <c r="E219" s="691">
        <f>E156*2</f>
        <v>2</v>
      </c>
      <c r="F219" s="692">
        <v>2.7</v>
      </c>
      <c r="G219" s="692">
        <v>0.15</v>
      </c>
      <c r="H219" s="692">
        <v>1.8</v>
      </c>
      <c r="I219" s="692"/>
      <c r="J219" s="692"/>
      <c r="K219" s="692"/>
      <c r="L219" s="692" t="s">
        <v>21</v>
      </c>
      <c r="M219" s="558">
        <f t="shared" si="10"/>
        <v>19.440000000000001</v>
      </c>
      <c r="N219" s="693"/>
      <c r="O219" s="33"/>
    </row>
    <row r="220" spans="1:15" s="35" customFormat="1" ht="12.75" hidden="1" customHeight="1">
      <c r="A220" s="157"/>
      <c r="B220" s="87"/>
      <c r="C220" s="87"/>
      <c r="D220" s="684" t="s">
        <v>12612</v>
      </c>
      <c r="E220" s="691" t="e">
        <f>#REF!*2</f>
        <v>#REF!</v>
      </c>
      <c r="F220" s="692">
        <f>1.1+1.85</f>
        <v>2.95</v>
      </c>
      <c r="G220" s="692">
        <v>2.7</v>
      </c>
      <c r="H220" s="692">
        <v>0.15</v>
      </c>
      <c r="I220" s="692">
        <f>4*0.5*0.7+1.1*1.55+0.8*0.75</f>
        <v>3.7050000000000005</v>
      </c>
      <c r="J220" s="692"/>
      <c r="K220" s="692"/>
      <c r="L220" s="692" t="s">
        <v>21</v>
      </c>
      <c r="M220" s="558" t="e">
        <f>E220*((F220*G220)+(F220*2+G220*2)*H220)-I220</f>
        <v>#REF!</v>
      </c>
      <c r="N220" s="693"/>
      <c r="O220" s="33"/>
    </row>
    <row r="221" spans="1:15" s="35" customFormat="1" ht="15" hidden="1" customHeight="1">
      <c r="A221" s="157"/>
      <c r="B221" s="87"/>
      <c r="C221" s="87"/>
      <c r="D221" s="112"/>
      <c r="E221" s="694"/>
      <c r="F221" s="698"/>
      <c r="G221" s="698"/>
      <c r="H221" s="698"/>
      <c r="I221" s="692" t="s">
        <v>12622</v>
      </c>
      <c r="J221" s="692"/>
      <c r="K221" s="692"/>
      <c r="L221" s="692" t="s">
        <v>21</v>
      </c>
      <c r="M221" s="198" t="e">
        <f>SUM(M185:M220)</f>
        <v>#VALUE!</v>
      </c>
      <c r="N221" s="693"/>
      <c r="O221" s="33"/>
    </row>
    <row r="222" spans="1:15" s="35" customFormat="1" ht="24" customHeight="1">
      <c r="A222" s="157"/>
      <c r="B222" s="87"/>
      <c r="C222" s="87"/>
      <c r="D222" s="112"/>
      <c r="E222" s="694"/>
      <c r="F222" s="698"/>
      <c r="G222" s="698"/>
      <c r="H222" s="698"/>
      <c r="I222" s="1734" t="s">
        <v>20361</v>
      </c>
      <c r="J222" s="1734"/>
      <c r="K222" s="1734"/>
      <c r="L222" s="303" t="s">
        <v>21</v>
      </c>
      <c r="M222" s="198">
        <f>SUM(M120:M157)</f>
        <v>2227.1806000000006</v>
      </c>
      <c r="N222" s="693"/>
      <c r="O222" s="33"/>
    </row>
    <row r="223" spans="1:15" s="35" customFormat="1">
      <c r="A223" s="157"/>
      <c r="B223" s="87"/>
      <c r="C223" s="87"/>
      <c r="D223" s="112"/>
      <c r="E223" s="694"/>
      <c r="F223" s="698"/>
      <c r="G223" s="698"/>
      <c r="H223" s="698"/>
      <c r="I223" s="1738" t="s">
        <v>20359</v>
      </c>
      <c r="J223" s="1738"/>
      <c r="K223" s="1738"/>
      <c r="L223" s="303" t="s">
        <v>21</v>
      </c>
      <c r="M223" s="198">
        <f>SUM(M159:M165)</f>
        <v>999.87999999999977</v>
      </c>
      <c r="N223" s="693"/>
      <c r="O223" s="33"/>
    </row>
    <row r="224" spans="1:15" s="35" customFormat="1">
      <c r="A224" s="157"/>
      <c r="B224" s="87"/>
      <c r="C224" s="87"/>
      <c r="D224" s="112"/>
      <c r="E224" s="694"/>
      <c r="F224" s="698"/>
      <c r="G224" s="698"/>
      <c r="H224" s="698"/>
      <c r="I224" s="1738" t="s">
        <v>20360</v>
      </c>
      <c r="J224" s="1738"/>
      <c r="K224" s="1738"/>
      <c r="L224" s="303" t="s">
        <v>21</v>
      </c>
      <c r="M224" s="198">
        <f>SUM(M173,M176,M180,M182)</f>
        <v>586.27779999999996</v>
      </c>
      <c r="N224" s="693"/>
      <c r="O224" s="33"/>
    </row>
    <row r="225" spans="1:15" s="35" customFormat="1" ht="39" customHeight="1">
      <c r="A225" s="157" t="s">
        <v>20362</v>
      </c>
      <c r="B225" s="87" t="s">
        <v>70</v>
      </c>
      <c r="C225" s="87">
        <v>92415</v>
      </c>
      <c r="D225" s="112" t="str">
        <f>PROPER(IF(B225="Saneago",VLOOKUP(C225,'SANEAGO-FEV.2016'!A:B,2,0),IF(B225="Sinapi",VLOOKUP(C225,'SINAPI-FEV.2017'!A:D,2,0),IF(B225="Cotação",VLOOKUP(C225,COTAÇÃO!A:D,2,0),IF(B225="Composição",VLOOKUP(C225,COMPOSIÇÃO!A:D,2,0))))))</f>
        <v>Montagem E Desmontagem De Fôrma De Pilares Retangulares E Estruturas Similares Com Área Média Das Seções Maior Que 0,25 M², Pé-Direito Simples, Em Chapa De Madeira Compensada Resinada, 2 Utilizações. Af_12/2015</v>
      </c>
      <c r="E225" s="695"/>
      <c r="F225" s="695"/>
      <c r="G225" s="698"/>
      <c r="H225" s="698"/>
      <c r="I225" s="129"/>
      <c r="J225" s="685" t="s">
        <v>21027</v>
      </c>
      <c r="K225" s="688" t="s">
        <v>27</v>
      </c>
      <c r="L225" s="688" t="s">
        <v>21</v>
      </c>
      <c r="M225" s="81">
        <f>M222</f>
        <v>2227.1806000000006</v>
      </c>
      <c r="N225" s="693"/>
      <c r="O225" s="33"/>
    </row>
    <row r="226" spans="1:15" s="35" customFormat="1" ht="33" customHeight="1">
      <c r="A226" s="157" t="s">
        <v>20363</v>
      </c>
      <c r="B226" s="87" t="s">
        <v>70</v>
      </c>
      <c r="C226" s="87">
        <v>92452</v>
      </c>
      <c r="D226" s="112" t="str">
        <f>PROPER(IF(B226="Saneago",VLOOKUP(C226,'SANEAGO-FEV.2016'!A:B,2,0),IF(B226="Sinapi",VLOOKUP(C226,'SINAPI-FEV.2017'!A:D,2,0),IF(B226="Cotação",VLOOKUP(C226,COTAÇÃO!A:D,2,0),IF(B226="Composição",VLOOKUP(C226,COMPOSIÇÃO!A:D,2,0))))))</f>
        <v>Montagem E Desmontagem De Fôrma De Viga, Escoramento Metálico, Pé-Direito Simples, Em Chapa De Madeira Resinada, 2 Utilizações. Af_12/2015</v>
      </c>
      <c r="E226" s="695"/>
      <c r="F226" s="695"/>
      <c r="G226" s="698"/>
      <c r="H226" s="698"/>
      <c r="I226" s="129"/>
      <c r="J226" s="685" t="s">
        <v>21028</v>
      </c>
      <c r="K226" s="688" t="s">
        <v>27</v>
      </c>
      <c r="L226" s="688" t="s">
        <v>21</v>
      </c>
      <c r="M226" s="81">
        <f>M223</f>
        <v>999.87999999999977</v>
      </c>
      <c r="N226" s="693"/>
      <c r="O226" s="33"/>
    </row>
    <row r="227" spans="1:15" s="35" customFormat="1" ht="14.25" customHeight="1">
      <c r="A227" s="157"/>
      <c r="B227" s="87"/>
      <c r="C227" s="87"/>
      <c r="D227" s="338"/>
      <c r="E227" s="135" t="s">
        <v>30</v>
      </c>
      <c r="F227" s="135" t="s">
        <v>30</v>
      </c>
      <c r="G227" s="135" t="s">
        <v>30</v>
      </c>
      <c r="H227" s="135" t="s">
        <v>30</v>
      </c>
      <c r="I227" s="135" t="s">
        <v>30</v>
      </c>
      <c r="J227" s="135" t="s">
        <v>30</v>
      </c>
      <c r="K227" s="135" t="s">
        <v>30</v>
      </c>
      <c r="L227" s="135" t="s">
        <v>30</v>
      </c>
      <c r="M227" s="135" t="s">
        <v>30</v>
      </c>
      <c r="N227" s="693"/>
      <c r="O227" s="33"/>
    </row>
    <row r="228" spans="1:15" s="35" customFormat="1" ht="43.5" customHeight="1">
      <c r="A228" s="157" t="s">
        <v>14306</v>
      </c>
      <c r="B228" s="87" t="s">
        <v>70</v>
      </c>
      <c r="C228" s="87">
        <v>92508</v>
      </c>
      <c r="D228" s="112" t="str">
        <f>PROPER(IF(B228="Saneago",VLOOKUP(C228,'SANEAGO-FEV.2016'!A:B,2,0),IF(B228="Sinapi",VLOOKUP(C228,'SINAPI-FEV.2017'!A:D,2,0),IF(B228="Cotação",VLOOKUP(C228,COTAÇÃO!A:D,2,0),IF(B228="Composição",VLOOKUP(C228,COMPOSIÇÃO!A:D,2,0))))))</f>
        <v>Montagem E Desmontagem De Fôrma De Laje Maciça Com Área Média Maior Que 20 M², Pé-Direito Duplo, Em Chapa De Madeira Compensada Resinada, 2 Utilizações. Af_12/2015</v>
      </c>
      <c r="E228" s="695"/>
      <c r="F228" s="695"/>
      <c r="G228" s="698"/>
      <c r="H228" s="698"/>
      <c r="I228" s="129"/>
      <c r="J228" s="129"/>
      <c r="K228" s="688" t="s">
        <v>27</v>
      </c>
      <c r="L228" s="688" t="s">
        <v>22</v>
      </c>
      <c r="M228" s="81">
        <v>0</v>
      </c>
      <c r="N228" s="693"/>
      <c r="O228" s="33"/>
    </row>
    <row r="229" spans="1:15" s="35" customFormat="1">
      <c r="A229" s="157"/>
      <c r="B229" s="87"/>
      <c r="C229" s="87"/>
      <c r="D229" s="684"/>
      <c r="E229" s="691" t="s">
        <v>30</v>
      </c>
      <c r="F229" s="691" t="s">
        <v>30</v>
      </c>
      <c r="G229" s="691" t="s">
        <v>30</v>
      </c>
      <c r="H229" s="691" t="s">
        <v>30</v>
      </c>
      <c r="I229" s="691" t="s">
        <v>1275</v>
      </c>
      <c r="J229" s="691" t="s">
        <v>80</v>
      </c>
      <c r="K229" s="692" t="s">
        <v>91</v>
      </c>
      <c r="L229" s="679" t="s">
        <v>30</v>
      </c>
      <c r="M229" s="82" t="s">
        <v>12623</v>
      </c>
      <c r="N229" s="693"/>
      <c r="O229" s="33"/>
    </row>
    <row r="230" spans="1:15" s="35" customFormat="1">
      <c r="A230" s="157"/>
      <c r="B230" s="87"/>
      <c r="C230" s="87"/>
      <c r="D230" s="684"/>
      <c r="E230" s="105"/>
      <c r="F230" s="1739" t="s">
        <v>14281</v>
      </c>
      <c r="G230" s="1739"/>
      <c r="H230" s="1739"/>
      <c r="I230" s="34">
        <f>2*2</f>
        <v>4</v>
      </c>
      <c r="J230" s="692">
        <v>0.3</v>
      </c>
      <c r="K230" s="692">
        <f>6</f>
        <v>6</v>
      </c>
      <c r="L230" s="691" t="s">
        <v>18</v>
      </c>
      <c r="M230" s="55">
        <f>I230*K230</f>
        <v>24</v>
      </c>
      <c r="N230" s="693"/>
      <c r="O230" s="33"/>
    </row>
    <row r="231" spans="1:15" s="35" customFormat="1" ht="13.5" thickBot="1">
      <c r="A231" s="157" t="s">
        <v>14307</v>
      </c>
      <c r="B231" s="87" t="s">
        <v>10852</v>
      </c>
      <c r="C231" s="87">
        <v>286</v>
      </c>
      <c r="D231" s="338" t="str">
        <f>PROPER(IF(B231="Saneago",VLOOKUP(C231,'SANEAGO-FEV.2016'!A:B,2,0),IF(B231="Sinapi",VLOOKUP(C231,'SINAPI-FEV.2017'!A:D,2,0),IF(B231="Cotação",VLOOKUP(C231,COTAÇÃO!A:D,2,0),IF(B231="Composição",VLOOKUP(C231,COMPOSIÇÃO!A:D,2,0))))))</f>
        <v>Estacas Concreto  A Trado Fck=135Kg/Cm2 Com 20Kg Fer/M3 Dn 30Cm</v>
      </c>
      <c r="E231" s="105"/>
      <c r="F231" s="105"/>
      <c r="G231" s="692"/>
      <c r="H231" s="692"/>
      <c r="I231" s="162"/>
      <c r="J231" s="162"/>
      <c r="K231" s="679" t="s">
        <v>27</v>
      </c>
      <c r="L231" s="679" t="s">
        <v>18</v>
      </c>
      <c r="M231" s="82">
        <f>M230</f>
        <v>24</v>
      </c>
      <c r="N231" s="693"/>
      <c r="O231" s="33"/>
    </row>
    <row r="232" spans="1:15" s="35" customFormat="1" ht="21.75" customHeight="1" thickBot="1">
      <c r="A232" s="157"/>
      <c r="B232" s="87"/>
      <c r="C232" s="87"/>
      <c r="D232" s="1735" t="s">
        <v>21059</v>
      </c>
      <c r="E232" s="1736"/>
      <c r="F232" s="1736"/>
      <c r="G232" s="1736"/>
      <c r="H232" s="1736"/>
      <c r="I232" s="1736"/>
      <c r="J232" s="1736"/>
      <c r="K232" s="1736"/>
      <c r="L232" s="1736"/>
      <c r="M232" s="1737"/>
      <c r="N232" s="693"/>
      <c r="O232" s="33"/>
    </row>
    <row r="233" spans="1:15" s="35" customFormat="1">
      <c r="A233" s="157"/>
      <c r="B233" s="87"/>
      <c r="C233" s="87"/>
      <c r="D233" s="338"/>
      <c r="E233" s="105"/>
      <c r="F233" s="105"/>
      <c r="G233" s="692"/>
      <c r="H233" s="692"/>
      <c r="I233" s="162"/>
      <c r="J233" s="162"/>
      <c r="K233" s="679"/>
      <c r="L233" s="679"/>
      <c r="M233" s="82"/>
      <c r="N233" s="693"/>
      <c r="O233" s="33"/>
    </row>
    <row r="234" spans="1:15" s="35" customFormat="1" ht="22.5">
      <c r="A234" s="157"/>
      <c r="B234" s="87"/>
      <c r="C234" s="87"/>
      <c r="D234" s="124" t="s">
        <v>21029</v>
      </c>
      <c r="E234" s="687" t="s">
        <v>1275</v>
      </c>
      <c r="F234" s="687" t="s">
        <v>11684</v>
      </c>
      <c r="G234" s="687" t="s">
        <v>19</v>
      </c>
      <c r="H234" s="687" t="s">
        <v>32</v>
      </c>
      <c r="I234" s="687" t="s">
        <v>36</v>
      </c>
      <c r="J234" s="687" t="s">
        <v>12593</v>
      </c>
      <c r="K234" s="687" t="s">
        <v>30</v>
      </c>
      <c r="L234" s="687" t="s">
        <v>30</v>
      </c>
      <c r="M234" s="167" t="s">
        <v>21060</v>
      </c>
      <c r="N234" s="693"/>
      <c r="O234" s="33"/>
    </row>
    <row r="235" spans="1:15" s="35" customFormat="1">
      <c r="A235" s="157"/>
      <c r="B235" s="87"/>
      <c r="C235" s="87"/>
      <c r="D235" s="684" t="s">
        <v>12518</v>
      </c>
      <c r="E235" s="691">
        <v>2</v>
      </c>
      <c r="F235" s="692">
        <f>17.2+0.5</f>
        <v>17.7</v>
      </c>
      <c r="G235" s="692">
        <f>13.4+0.25+0.125</f>
        <v>13.775</v>
      </c>
      <c r="H235" s="692">
        <v>0.3</v>
      </c>
      <c r="I235" s="692" t="s">
        <v>30</v>
      </c>
      <c r="J235" s="692" t="s">
        <v>30</v>
      </c>
      <c r="K235" s="692"/>
      <c r="L235" s="701" t="s">
        <v>22</v>
      </c>
      <c r="M235" s="558">
        <f>E235*F235*G235*H235</f>
        <v>146.29049999999998</v>
      </c>
      <c r="N235" s="693"/>
      <c r="O235" s="33"/>
    </row>
    <row r="236" spans="1:15" s="35" customFormat="1">
      <c r="A236" s="157"/>
      <c r="B236" s="87"/>
      <c r="C236" s="87"/>
      <c r="D236" s="684" t="s">
        <v>12620</v>
      </c>
      <c r="E236" s="691">
        <f>2*24</f>
        <v>48</v>
      </c>
      <c r="F236" s="692">
        <v>0.2</v>
      </c>
      <c r="G236" s="692">
        <v>0.2</v>
      </c>
      <c r="H236" s="692">
        <v>4.8499999999999996</v>
      </c>
      <c r="I236" s="692" t="s">
        <v>30</v>
      </c>
      <c r="J236" s="692" t="s">
        <v>30</v>
      </c>
      <c r="K236" s="692"/>
      <c r="L236" s="701" t="s">
        <v>22</v>
      </c>
      <c r="M236" s="558">
        <f>E236*F236*G236*H236</f>
        <v>9.3120000000000012</v>
      </c>
      <c r="N236" s="693"/>
      <c r="O236" s="33"/>
    </row>
    <row r="237" spans="1:15" s="35" customFormat="1">
      <c r="A237" s="157"/>
      <c r="B237" s="87"/>
      <c r="C237" s="87"/>
      <c r="D237" s="684" t="s">
        <v>12621</v>
      </c>
      <c r="E237" s="691">
        <v>2</v>
      </c>
      <c r="F237" s="692">
        <v>0.15</v>
      </c>
      <c r="G237" s="692">
        <v>0.3</v>
      </c>
      <c r="H237" s="692">
        <v>3.25</v>
      </c>
      <c r="I237" s="692" t="s">
        <v>30</v>
      </c>
      <c r="J237" s="692" t="s">
        <v>30</v>
      </c>
      <c r="K237" s="692"/>
      <c r="L237" s="701" t="s">
        <v>22</v>
      </c>
      <c r="M237" s="558">
        <f>E237*F237*G237*H237</f>
        <v>0.29249999999999998</v>
      </c>
      <c r="N237" s="693"/>
      <c r="O237" s="33"/>
    </row>
    <row r="238" spans="1:15" s="35" customFormat="1">
      <c r="A238" s="157"/>
      <c r="B238" s="87"/>
      <c r="C238" s="87"/>
      <c r="D238" s="684" t="s">
        <v>12595</v>
      </c>
      <c r="E238" s="691">
        <v>2</v>
      </c>
      <c r="F238" s="692">
        <v>0.5</v>
      </c>
      <c r="G238" s="692">
        <v>0.5</v>
      </c>
      <c r="H238" s="692">
        <v>0.5</v>
      </c>
      <c r="I238" s="692" t="s">
        <v>30</v>
      </c>
      <c r="J238" s="692" t="s">
        <v>30</v>
      </c>
      <c r="K238" s="692"/>
      <c r="L238" s="701" t="s">
        <v>22</v>
      </c>
      <c r="M238" s="558">
        <f>E238*F238*G238*H238</f>
        <v>0.25</v>
      </c>
      <c r="N238" s="693"/>
      <c r="O238" s="33"/>
    </row>
    <row r="239" spans="1:15" s="35" customFormat="1">
      <c r="A239" s="157"/>
      <c r="B239" s="87"/>
      <c r="C239" s="87"/>
      <c r="D239" s="684" t="s">
        <v>12594</v>
      </c>
      <c r="E239" s="691">
        <v>72</v>
      </c>
      <c r="F239" s="692">
        <v>0.3</v>
      </c>
      <c r="G239" s="701">
        <v>0.15</v>
      </c>
      <c r="H239" s="701">
        <v>1.35</v>
      </c>
      <c r="I239" s="692"/>
      <c r="J239" s="692" t="s">
        <v>30</v>
      </c>
      <c r="K239" s="692"/>
      <c r="L239" s="701" t="s">
        <v>22</v>
      </c>
      <c r="M239" s="558">
        <f>E239*F239*G239*H239</f>
        <v>4.3739999999999997</v>
      </c>
      <c r="N239" s="693"/>
      <c r="O239" s="33"/>
    </row>
    <row r="240" spans="1:15" s="35" customFormat="1">
      <c r="A240" s="157"/>
      <c r="B240" s="87"/>
      <c r="C240" s="87"/>
      <c r="D240" s="684" t="s">
        <v>21013</v>
      </c>
      <c r="E240" s="691">
        <v>1</v>
      </c>
      <c r="F240" s="692">
        <f>17.2+0.5</f>
        <v>17.7</v>
      </c>
      <c r="G240" s="692">
        <f>13.4</f>
        <v>13.4</v>
      </c>
      <c r="H240" s="692">
        <f>4.7+0.15</f>
        <v>4.8500000000000005</v>
      </c>
      <c r="I240" s="692">
        <v>0.25</v>
      </c>
      <c r="J240" s="692" t="s">
        <v>30</v>
      </c>
      <c r="K240" s="692"/>
      <c r="L240" s="701" t="s">
        <v>22</v>
      </c>
      <c r="M240" s="558">
        <f>3*F240*I240*H240+4*G240*I240*H240</f>
        <v>129.37375000000003</v>
      </c>
      <c r="N240" s="693"/>
      <c r="O240" s="33"/>
    </row>
    <row r="241" spans="1:15" s="35" customFormat="1" ht="27" customHeight="1">
      <c r="A241" s="157"/>
      <c r="B241" s="87"/>
      <c r="C241" s="87"/>
      <c r="D241" s="674" t="s">
        <v>21035</v>
      </c>
      <c r="E241" s="669" t="s">
        <v>1275</v>
      </c>
      <c r="F241" s="670" t="s">
        <v>12170</v>
      </c>
      <c r="G241" s="669" t="s">
        <v>43</v>
      </c>
      <c r="H241" s="669" t="s">
        <v>36</v>
      </c>
      <c r="I241" s="669" t="s">
        <v>32</v>
      </c>
      <c r="J241" s="669" t="s">
        <v>21061</v>
      </c>
      <c r="K241" s="672"/>
      <c r="L241" s="673"/>
      <c r="M241" s="167" t="s">
        <v>21060</v>
      </c>
      <c r="N241" s="693"/>
      <c r="O241" s="33"/>
    </row>
    <row r="242" spans="1:15" s="35" customFormat="1">
      <c r="A242" s="157"/>
      <c r="B242" s="87"/>
      <c r="C242" s="87"/>
      <c r="D242" s="684" t="s">
        <v>12596</v>
      </c>
      <c r="E242" s="691">
        <v>2</v>
      </c>
      <c r="F242" s="692">
        <f>0.2+0.85+0.2+0.45</f>
        <v>1.7</v>
      </c>
      <c r="G242" s="692">
        <f>(13.4+0.25+0.125)-1.105+(0.45)</f>
        <v>13.12</v>
      </c>
      <c r="H242" s="692">
        <v>0.2</v>
      </c>
      <c r="J242" s="692"/>
      <c r="K242" s="692"/>
      <c r="L242" s="701" t="s">
        <v>22</v>
      </c>
      <c r="M242" s="558">
        <f>E242*F242*G242*H242</f>
        <v>8.9215999999999998</v>
      </c>
      <c r="N242" s="693"/>
      <c r="O242" s="33"/>
    </row>
    <row r="243" spans="1:15" s="35" customFormat="1">
      <c r="A243" s="157"/>
      <c r="B243" s="87"/>
      <c r="C243" s="87"/>
      <c r="D243" s="684" t="s">
        <v>21016</v>
      </c>
      <c r="E243" s="691">
        <f>2*2</f>
        <v>4</v>
      </c>
      <c r="F243" s="692"/>
      <c r="G243" s="692">
        <v>17.2</v>
      </c>
      <c r="H243" s="692"/>
      <c r="J243" s="692">
        <f>(0.11+(0.174+0.11))*0.65/2</f>
        <v>0.12805</v>
      </c>
      <c r="K243" s="692"/>
      <c r="L243" s="701" t="s">
        <v>22</v>
      </c>
      <c r="M243" s="558">
        <f>E243*G243*J243</f>
        <v>8.8098399999999994</v>
      </c>
      <c r="N243" s="693"/>
      <c r="O243" s="33"/>
    </row>
    <row r="244" spans="1:15" s="35" customFormat="1">
      <c r="A244" s="157"/>
      <c r="B244" s="87"/>
      <c r="C244" s="87"/>
      <c r="D244" s="684" t="s">
        <v>12598</v>
      </c>
      <c r="E244" s="691">
        <f>2*3</f>
        <v>6</v>
      </c>
      <c r="F244" s="692"/>
      <c r="G244" s="692">
        <v>17.2</v>
      </c>
      <c r="H244" s="692"/>
      <c r="J244" s="692">
        <f>2*(0.11+(0.174+0.11))*0.65/2</f>
        <v>0.25609999999999999</v>
      </c>
      <c r="K244" s="692"/>
      <c r="L244" s="701" t="s">
        <v>22</v>
      </c>
      <c r="M244" s="558">
        <f>E244*G244*J244</f>
        <v>26.429519999999997</v>
      </c>
      <c r="N244" s="693"/>
      <c r="O244" s="33"/>
    </row>
    <row r="245" spans="1:15" s="35" customFormat="1">
      <c r="A245" s="157"/>
      <c r="B245" s="87"/>
      <c r="C245" s="87"/>
      <c r="D245" s="684" t="s">
        <v>12599</v>
      </c>
      <c r="E245" s="691">
        <v>2</v>
      </c>
      <c r="F245" s="692">
        <f>0.15+0.85+0.15+0.45</f>
        <v>1.5999999999999999</v>
      </c>
      <c r="G245" s="692">
        <f>(13.4+0.25+0.125)-1.105+(0.45)</f>
        <v>13.12</v>
      </c>
      <c r="H245" s="701">
        <v>0.15</v>
      </c>
      <c r="I245" s="692"/>
      <c r="J245" s="692"/>
      <c r="K245" s="692"/>
      <c r="L245" s="701" t="s">
        <v>22</v>
      </c>
      <c r="M245" s="558">
        <f>E245*F245*G245*H245</f>
        <v>6.2975999999999992</v>
      </c>
      <c r="N245" s="693"/>
      <c r="O245" s="33"/>
    </row>
    <row r="246" spans="1:15" s="35" customFormat="1">
      <c r="A246" s="157"/>
      <c r="B246" s="87"/>
      <c r="C246" s="87"/>
      <c r="D246" s="684" t="s">
        <v>12601</v>
      </c>
      <c r="E246" s="691">
        <f>2*4</f>
        <v>8</v>
      </c>
      <c r="F246" s="692">
        <f>0.4*2+0.12*2+0.3</f>
        <v>1.34</v>
      </c>
      <c r="G246" s="692">
        <v>17.2</v>
      </c>
      <c r="H246" s="692">
        <v>0.12</v>
      </c>
      <c r="I246" s="692"/>
      <c r="J246" s="701">
        <f>0.3*0.4*H246*2</f>
        <v>2.8799999999999999E-2</v>
      </c>
      <c r="K246" s="692" t="s">
        <v>21095</v>
      </c>
      <c r="L246" s="701" t="s">
        <v>22</v>
      </c>
      <c r="M246" s="558">
        <f>E246*F246*G246*H246+J246</f>
        <v>22.154880000000002</v>
      </c>
      <c r="N246" s="693"/>
      <c r="O246" s="33"/>
    </row>
    <row r="247" spans="1:15" s="35" customFormat="1">
      <c r="A247" s="157"/>
      <c r="B247" s="87"/>
      <c r="C247" s="87"/>
      <c r="D247" s="684" t="s">
        <v>21062</v>
      </c>
      <c r="E247" s="691">
        <f>2*4</f>
        <v>8</v>
      </c>
      <c r="F247" s="692">
        <f>0.15+0.45+0.2+0.475+0.15</f>
        <v>1.4249999999999998</v>
      </c>
      <c r="G247" s="692"/>
      <c r="H247" s="692">
        <v>0.2</v>
      </c>
      <c r="I247" s="692">
        <f>0.2+0.5+0.2+0.8</f>
        <v>1.7</v>
      </c>
      <c r="J247" s="692"/>
      <c r="K247" s="692"/>
      <c r="L247" s="701" t="s">
        <v>22</v>
      </c>
      <c r="M247" s="558">
        <f>E247*F247*H247*I247</f>
        <v>3.8759999999999994</v>
      </c>
      <c r="N247" s="693"/>
      <c r="O247" s="33"/>
    </row>
    <row r="248" spans="1:15" s="35" customFormat="1">
      <c r="A248" s="157"/>
      <c r="B248" s="87"/>
      <c r="C248" s="87"/>
      <c r="D248" s="684" t="s">
        <v>21063</v>
      </c>
      <c r="E248" s="691">
        <f>2*2</f>
        <v>4</v>
      </c>
      <c r="F248" s="692">
        <v>2.15</v>
      </c>
      <c r="G248" s="692"/>
      <c r="H248" s="692">
        <v>0.2</v>
      </c>
      <c r="I248" s="692">
        <f>0.2+0.5+0.2+0.8</f>
        <v>1.7</v>
      </c>
      <c r="J248" s="692"/>
      <c r="K248" s="692"/>
      <c r="L248" s="701" t="s">
        <v>22</v>
      </c>
      <c r="M248" s="558">
        <f>E248*F248*H248*I248</f>
        <v>2.9239999999999999</v>
      </c>
      <c r="N248" s="693"/>
      <c r="O248" s="33"/>
    </row>
    <row r="249" spans="1:15" s="35" customFormat="1">
      <c r="A249" s="157"/>
      <c r="B249" s="87"/>
      <c r="C249" s="87"/>
      <c r="D249" s="684" t="s">
        <v>21063</v>
      </c>
      <c r="E249" s="691">
        <f>2*2</f>
        <v>4</v>
      </c>
      <c r="F249" s="692">
        <f>0.15*2+2.15</f>
        <v>2.4499999999999997</v>
      </c>
      <c r="G249" s="692"/>
      <c r="H249" s="692">
        <v>0.2</v>
      </c>
      <c r="I249" s="692">
        <v>0.8</v>
      </c>
      <c r="J249" s="692"/>
      <c r="K249" s="692"/>
      <c r="L249" s="701" t="s">
        <v>22</v>
      </c>
      <c r="M249" s="558">
        <f>E249*F249*H249*I249</f>
        <v>1.5680000000000001</v>
      </c>
      <c r="N249" s="693"/>
      <c r="O249" s="33"/>
    </row>
    <row r="250" spans="1:15" s="35" customFormat="1" ht="27" customHeight="1">
      <c r="A250" s="157"/>
      <c r="B250" s="87"/>
      <c r="C250" s="87"/>
      <c r="D250" s="674" t="s">
        <v>21038</v>
      </c>
      <c r="E250" s="669" t="s">
        <v>1275</v>
      </c>
      <c r="F250" s="687" t="s">
        <v>43</v>
      </c>
      <c r="G250" s="687" t="s">
        <v>19</v>
      </c>
      <c r="H250" s="687" t="s">
        <v>32</v>
      </c>
      <c r="I250" s="687" t="s">
        <v>21057</v>
      </c>
      <c r="J250" s="687" t="s">
        <v>21058</v>
      </c>
      <c r="K250" s="687"/>
      <c r="L250" s="687"/>
      <c r="M250" s="167" t="s">
        <v>21060</v>
      </c>
      <c r="N250" s="693"/>
      <c r="O250" s="33"/>
    </row>
    <row r="251" spans="1:15" s="35" customFormat="1">
      <c r="A251" s="157"/>
      <c r="B251" s="87"/>
      <c r="C251" s="87"/>
      <c r="D251" s="684" t="s">
        <v>21045</v>
      </c>
      <c r="E251" s="691">
        <v>2</v>
      </c>
      <c r="F251" s="692">
        <v>1.85</v>
      </c>
      <c r="G251" s="692">
        <v>0.15</v>
      </c>
      <c r="H251" s="692">
        <f>0.7+0.5+0.4</f>
        <v>1.6</v>
      </c>
      <c r="I251" s="692">
        <v>2</v>
      </c>
      <c r="J251" s="692">
        <v>0.2</v>
      </c>
      <c r="K251" s="692"/>
      <c r="L251" s="701" t="s">
        <v>22</v>
      </c>
      <c r="M251" s="558">
        <f>(E251*F251*H251*G251)-(E251*I251*(3.14*(J251^2/4))*G251)</f>
        <v>0.86916000000000015</v>
      </c>
      <c r="N251" s="693"/>
      <c r="O251" s="33"/>
    </row>
    <row r="252" spans="1:15" s="35" customFormat="1">
      <c r="A252" s="157"/>
      <c r="B252" s="87"/>
      <c r="C252" s="87"/>
      <c r="D252" s="684" t="s">
        <v>21046</v>
      </c>
      <c r="E252" s="691">
        <v>2</v>
      </c>
      <c r="F252" s="692">
        <f>1.85-0.15*2</f>
        <v>1.55</v>
      </c>
      <c r="G252" s="692">
        <v>0.15</v>
      </c>
      <c r="H252" s="692">
        <f>0.7+0.5+0.4</f>
        <v>1.6</v>
      </c>
      <c r="I252" s="692">
        <v>2</v>
      </c>
      <c r="J252" s="692">
        <v>0.2</v>
      </c>
      <c r="K252" s="692"/>
      <c r="L252" s="701" t="s">
        <v>22</v>
      </c>
      <c r="M252" s="558">
        <f>(E252*F252*H252*G252)-(E252*I252*(3.14*(J252^2/4))*G252)</f>
        <v>0.72516000000000014</v>
      </c>
      <c r="N252" s="693"/>
      <c r="O252" s="33"/>
    </row>
    <row r="253" spans="1:15" s="35" customFormat="1">
      <c r="A253" s="157"/>
      <c r="B253" s="87"/>
      <c r="C253" s="87"/>
      <c r="D253" s="684" t="s">
        <v>21050</v>
      </c>
      <c r="E253" s="691">
        <v>1</v>
      </c>
      <c r="F253" s="692">
        <v>1.1000000000000001</v>
      </c>
      <c r="G253" s="692">
        <v>0.15</v>
      </c>
      <c r="H253" s="692">
        <f t="shared" ref="H253:H263" si="11">0.7+0.5+0.4</f>
        <v>1.6</v>
      </c>
      <c r="I253" s="692">
        <v>1</v>
      </c>
      <c r="J253" s="692">
        <v>0.4</v>
      </c>
      <c r="K253" s="692"/>
      <c r="L253" s="701" t="s">
        <v>22</v>
      </c>
      <c r="M253" s="558">
        <f>(E253*F253*H253*G253)-(E253*I253*(3.14*(J253^2/4))*G253)</f>
        <v>0.24516000000000002</v>
      </c>
      <c r="N253" s="693"/>
      <c r="O253" s="33"/>
    </row>
    <row r="254" spans="1:15" s="35" customFormat="1">
      <c r="A254" s="157"/>
      <c r="B254" s="87"/>
      <c r="C254" s="87"/>
      <c r="D254" s="684" t="s">
        <v>21051</v>
      </c>
      <c r="E254" s="691">
        <v>1</v>
      </c>
      <c r="F254" s="692">
        <f>F253-0.15*2</f>
        <v>0.8</v>
      </c>
      <c r="G254" s="692">
        <v>0.15</v>
      </c>
      <c r="H254" s="692">
        <f t="shared" si="11"/>
        <v>1.6</v>
      </c>
      <c r="I254" s="692">
        <v>1</v>
      </c>
      <c r="J254" s="692">
        <v>0.4</v>
      </c>
      <c r="K254" s="692"/>
      <c r="L254" s="701" t="s">
        <v>22</v>
      </c>
      <c r="M254" s="558">
        <f>(E254*F254*H254*G254)-(E254*I254*(3.14*(J254^2/4))*G254)</f>
        <v>0.17316000000000004</v>
      </c>
      <c r="N254" s="693"/>
      <c r="O254" s="33"/>
    </row>
    <row r="255" spans="1:15" s="35" customFormat="1" ht="22.5">
      <c r="A255" s="157"/>
      <c r="B255" s="87"/>
      <c r="C255" s="87"/>
      <c r="D255" s="674" t="s">
        <v>21038</v>
      </c>
      <c r="E255" s="669" t="s">
        <v>1275</v>
      </c>
      <c r="F255" s="687" t="s">
        <v>43</v>
      </c>
      <c r="G255" s="687" t="s">
        <v>19</v>
      </c>
      <c r="H255" s="687" t="s">
        <v>32</v>
      </c>
      <c r="I255" s="687" t="s">
        <v>21057</v>
      </c>
      <c r="J255" s="687" t="s">
        <v>21055</v>
      </c>
      <c r="K255" s="687" t="s">
        <v>21056</v>
      </c>
      <c r="L255" s="687"/>
      <c r="M255" s="167" t="s">
        <v>21060</v>
      </c>
      <c r="N255" s="693"/>
      <c r="O255" s="33"/>
    </row>
    <row r="256" spans="1:15" s="35" customFormat="1">
      <c r="A256" s="157"/>
      <c r="B256" s="87"/>
      <c r="C256" s="87"/>
      <c r="D256" s="684" t="s">
        <v>21049</v>
      </c>
      <c r="E256" s="691">
        <v>2</v>
      </c>
      <c r="F256" s="692">
        <f>1.85-0.15*2</f>
        <v>1.55</v>
      </c>
      <c r="G256" s="692">
        <v>0.15</v>
      </c>
      <c r="H256" s="692">
        <f t="shared" si="11"/>
        <v>1.6</v>
      </c>
      <c r="I256" s="692">
        <v>2</v>
      </c>
      <c r="J256" s="692">
        <v>0.5</v>
      </c>
      <c r="K256" s="692">
        <v>0.5</v>
      </c>
      <c r="L256" s="701" t="s">
        <v>22</v>
      </c>
      <c r="M256" s="558">
        <f>E256*F256*H256*G256-E256*I256*J256*K256*G256</f>
        <v>0.59400000000000008</v>
      </c>
      <c r="N256" s="693"/>
      <c r="O256" s="33"/>
    </row>
    <row r="257" spans="1:15" s="35" customFormat="1">
      <c r="A257" s="157"/>
      <c r="B257" s="87"/>
      <c r="C257" s="87"/>
      <c r="D257" s="684" t="s">
        <v>21047</v>
      </c>
      <c r="E257" s="691">
        <v>2</v>
      </c>
      <c r="F257" s="692">
        <f>F256</f>
        <v>1.55</v>
      </c>
      <c r="G257" s="692">
        <v>0.15</v>
      </c>
      <c r="H257" s="692">
        <f t="shared" si="11"/>
        <v>1.6</v>
      </c>
      <c r="I257" s="692">
        <v>2</v>
      </c>
      <c r="J257" s="692">
        <v>0.5</v>
      </c>
      <c r="K257" s="692">
        <v>0.5</v>
      </c>
      <c r="L257" s="701" t="s">
        <v>22</v>
      </c>
      <c r="M257" s="558">
        <f t="shared" ref="M257:M263" si="12">E257*F257*H257*G257-E257*I257*J257*K257*G257</f>
        <v>0.59400000000000008</v>
      </c>
      <c r="N257" s="693"/>
      <c r="O257" s="33"/>
    </row>
    <row r="258" spans="1:15" s="35" customFormat="1">
      <c r="A258" s="157"/>
      <c r="B258" s="87"/>
      <c r="C258" s="87"/>
      <c r="D258" s="684" t="s">
        <v>21048</v>
      </c>
      <c r="E258" s="691">
        <v>4</v>
      </c>
      <c r="F258" s="692">
        <v>0.75</v>
      </c>
      <c r="G258" s="692">
        <v>0.15</v>
      </c>
      <c r="H258" s="692">
        <f t="shared" si="11"/>
        <v>1.6</v>
      </c>
      <c r="I258" s="692"/>
      <c r="J258" s="692"/>
      <c r="K258" s="692"/>
      <c r="L258" s="701" t="s">
        <v>22</v>
      </c>
      <c r="M258" s="558">
        <f t="shared" si="12"/>
        <v>0.72000000000000008</v>
      </c>
      <c r="N258" s="693"/>
      <c r="O258" s="33"/>
    </row>
    <row r="259" spans="1:15" s="35" customFormat="1">
      <c r="A259" s="157"/>
      <c r="B259" s="87"/>
      <c r="C259" s="87"/>
      <c r="D259" s="684" t="s">
        <v>21052</v>
      </c>
      <c r="E259" s="691">
        <v>2</v>
      </c>
      <c r="F259" s="692">
        <f>0.5+0.15*2</f>
        <v>0.8</v>
      </c>
      <c r="G259" s="692">
        <v>0.15</v>
      </c>
      <c r="H259" s="692">
        <f t="shared" si="11"/>
        <v>1.6</v>
      </c>
      <c r="I259" s="692"/>
      <c r="J259" s="692"/>
      <c r="K259" s="692"/>
      <c r="L259" s="701" t="s">
        <v>22</v>
      </c>
      <c r="M259" s="558">
        <f t="shared" si="12"/>
        <v>0.38400000000000006</v>
      </c>
      <c r="N259" s="693"/>
      <c r="O259" s="33"/>
    </row>
    <row r="260" spans="1:15" s="35" customFormat="1">
      <c r="A260" s="157"/>
      <c r="B260" s="87"/>
      <c r="C260" s="87"/>
      <c r="D260" s="684" t="s">
        <v>21053</v>
      </c>
      <c r="E260" s="691">
        <v>2</v>
      </c>
      <c r="F260" s="701">
        <v>0.8</v>
      </c>
      <c r="G260" s="692">
        <v>0.15</v>
      </c>
      <c r="H260" s="692">
        <f t="shared" si="11"/>
        <v>1.6</v>
      </c>
      <c r="I260" s="692"/>
      <c r="J260" s="692"/>
      <c r="K260" s="692"/>
      <c r="L260" s="701" t="s">
        <v>22</v>
      </c>
      <c r="M260" s="558">
        <f t="shared" si="12"/>
        <v>0.38400000000000006</v>
      </c>
      <c r="N260" s="693"/>
      <c r="O260" s="33"/>
    </row>
    <row r="261" spans="1:15" s="35" customFormat="1">
      <c r="A261" s="157"/>
      <c r="B261" s="87"/>
      <c r="C261" s="87"/>
      <c r="D261" s="684" t="s">
        <v>21054</v>
      </c>
      <c r="E261" s="691">
        <v>2</v>
      </c>
      <c r="F261" s="692">
        <v>0.8</v>
      </c>
      <c r="G261" s="692">
        <v>0.15</v>
      </c>
      <c r="H261" s="692">
        <v>0.75</v>
      </c>
      <c r="I261" s="692"/>
      <c r="J261" s="692"/>
      <c r="K261" s="692"/>
      <c r="L261" s="701" t="s">
        <v>22</v>
      </c>
      <c r="M261" s="558">
        <f t="shared" si="12"/>
        <v>0.18000000000000002</v>
      </c>
      <c r="N261" s="693"/>
      <c r="O261" s="33"/>
    </row>
    <row r="262" spans="1:15" s="35" customFormat="1">
      <c r="A262" s="157"/>
      <c r="B262" s="87"/>
      <c r="C262" s="87"/>
      <c r="D262" s="684" t="s">
        <v>12610</v>
      </c>
      <c r="E262" s="691">
        <v>4</v>
      </c>
      <c r="F262" s="692">
        <v>0.5</v>
      </c>
      <c r="G262" s="692">
        <v>0.15</v>
      </c>
      <c r="H262" s="692">
        <f t="shared" si="11"/>
        <v>1.6</v>
      </c>
      <c r="I262" s="692"/>
      <c r="J262" s="692"/>
      <c r="K262" s="692"/>
      <c r="L262" s="701" t="s">
        <v>22</v>
      </c>
      <c r="M262" s="558">
        <f t="shared" si="12"/>
        <v>0.48</v>
      </c>
      <c r="N262" s="693"/>
      <c r="O262" s="33"/>
    </row>
    <row r="263" spans="1:15" s="35" customFormat="1">
      <c r="A263" s="157"/>
      <c r="B263" s="87"/>
      <c r="C263" s="87"/>
      <c r="D263" s="684" t="s">
        <v>12611</v>
      </c>
      <c r="E263" s="691">
        <v>1</v>
      </c>
      <c r="F263" s="692">
        <f>0.95+1.1+0.95-0.15*2</f>
        <v>2.7</v>
      </c>
      <c r="G263" s="692">
        <v>0.15</v>
      </c>
      <c r="H263" s="692">
        <f t="shared" si="11"/>
        <v>1.6</v>
      </c>
      <c r="I263" s="692"/>
      <c r="J263" s="692"/>
      <c r="K263" s="692"/>
      <c r="L263" s="701" t="s">
        <v>22</v>
      </c>
      <c r="M263" s="558">
        <f t="shared" si="12"/>
        <v>0.64800000000000002</v>
      </c>
      <c r="N263" s="693"/>
      <c r="O263" s="33"/>
    </row>
    <row r="264" spans="1:15" s="35" customFormat="1">
      <c r="A264" s="157"/>
      <c r="B264" s="87"/>
      <c r="C264" s="87"/>
      <c r="D264" s="684"/>
      <c r="E264" s="691"/>
      <c r="F264" s="692"/>
      <c r="G264" s="692"/>
      <c r="H264" s="692"/>
      <c r="I264" s="692"/>
      <c r="J264" s="692"/>
      <c r="K264" s="692"/>
      <c r="L264" s="692"/>
      <c r="M264" s="558"/>
      <c r="N264" s="693"/>
      <c r="O264" s="33"/>
    </row>
    <row r="265" spans="1:15" s="35" customFormat="1" ht="22.5">
      <c r="A265" s="157"/>
      <c r="B265" s="87"/>
      <c r="C265" s="87"/>
      <c r="D265" s="169" t="s">
        <v>12272</v>
      </c>
      <c r="E265" s="164" t="s">
        <v>1275</v>
      </c>
      <c r="F265" s="675" t="s">
        <v>43</v>
      </c>
      <c r="G265" s="675"/>
      <c r="H265" s="170" t="s">
        <v>32</v>
      </c>
      <c r="I265" s="170" t="s">
        <v>21067</v>
      </c>
      <c r="J265" s="170"/>
      <c r="K265" s="170"/>
      <c r="L265" s="170"/>
      <c r="M265" s="170" t="s">
        <v>21060</v>
      </c>
      <c r="N265" s="693"/>
      <c r="O265" s="33"/>
    </row>
    <row r="266" spans="1:15" s="35" customFormat="1">
      <c r="A266" s="157"/>
      <c r="B266" s="87"/>
      <c r="C266" s="87"/>
      <c r="D266" s="702" t="s">
        <v>21093</v>
      </c>
      <c r="E266" s="691">
        <f>2*2</f>
        <v>4</v>
      </c>
      <c r="F266" s="692">
        <f>13.4-1.105+0.2+0.45</f>
        <v>12.944999999999999</v>
      </c>
      <c r="G266" s="699"/>
      <c r="H266" s="692">
        <f>0.8+0.2</f>
        <v>1</v>
      </c>
      <c r="I266" s="692">
        <v>0.2</v>
      </c>
      <c r="J266" s="692"/>
      <c r="K266" s="692"/>
      <c r="L266" s="692"/>
      <c r="M266" s="692">
        <f t="shared" ref="M266:M272" si="13">E266*(2*F266*H266*I266)</f>
        <v>20.712</v>
      </c>
      <c r="N266" s="693"/>
      <c r="O266" s="33"/>
    </row>
    <row r="267" spans="1:15" s="35" customFormat="1">
      <c r="A267" s="157"/>
      <c r="B267" s="87"/>
      <c r="C267" s="87"/>
      <c r="D267" s="684" t="s">
        <v>12587</v>
      </c>
      <c r="E267" s="691">
        <f>2*8</f>
        <v>16</v>
      </c>
      <c r="F267" s="692">
        <v>17.2</v>
      </c>
      <c r="G267" s="692" t="s">
        <v>30</v>
      </c>
      <c r="H267" s="692">
        <v>0.9</v>
      </c>
      <c r="I267" s="692">
        <v>0.2</v>
      </c>
      <c r="J267" s="692" t="s">
        <v>30</v>
      </c>
      <c r="K267" s="692"/>
      <c r="L267" s="701" t="s">
        <v>22</v>
      </c>
      <c r="M267" s="692">
        <f t="shared" si="13"/>
        <v>99.072000000000003</v>
      </c>
      <c r="N267" s="693"/>
      <c r="O267" s="33"/>
    </row>
    <row r="268" spans="1:15" s="35" customFormat="1">
      <c r="A268" s="157"/>
      <c r="B268" s="87"/>
      <c r="C268" s="87"/>
      <c r="D268" s="684" t="s">
        <v>12588</v>
      </c>
      <c r="E268" s="691">
        <f>2*4</f>
        <v>8</v>
      </c>
      <c r="F268" s="692">
        <v>2.4500000000000002</v>
      </c>
      <c r="G268" s="692" t="s">
        <v>30</v>
      </c>
      <c r="H268" s="692">
        <v>0.3</v>
      </c>
      <c r="I268" s="692">
        <v>0.2</v>
      </c>
      <c r="J268" s="692" t="s">
        <v>30</v>
      </c>
      <c r="K268" s="692"/>
      <c r="L268" s="701" t="s">
        <v>22</v>
      </c>
      <c r="M268" s="692">
        <f t="shared" si="13"/>
        <v>2.3519999999999999</v>
      </c>
      <c r="N268" s="693"/>
      <c r="O268" s="33"/>
    </row>
    <row r="269" spans="1:15" s="35" customFormat="1">
      <c r="A269" s="157"/>
      <c r="B269" s="87"/>
      <c r="C269" s="87"/>
      <c r="D269" s="684" t="s">
        <v>12589</v>
      </c>
      <c r="E269" s="691">
        <f>2*4</f>
        <v>8</v>
      </c>
      <c r="F269" s="692">
        <v>4.5</v>
      </c>
      <c r="G269" s="692" t="s">
        <v>30</v>
      </c>
      <c r="H269" s="692">
        <v>0.3</v>
      </c>
      <c r="I269" s="692">
        <v>0.2</v>
      </c>
      <c r="J269" s="692" t="s">
        <v>30</v>
      </c>
      <c r="K269" s="692"/>
      <c r="L269" s="701" t="s">
        <v>22</v>
      </c>
      <c r="M269" s="692">
        <f t="shared" si="13"/>
        <v>4.3199999999999994</v>
      </c>
      <c r="N269" s="693"/>
      <c r="O269" s="33"/>
    </row>
    <row r="270" spans="1:15" s="35" customFormat="1">
      <c r="A270" s="157"/>
      <c r="B270" s="87"/>
      <c r="C270" s="87"/>
      <c r="D270" s="684" t="s">
        <v>12590</v>
      </c>
      <c r="E270" s="691">
        <f>2*8</f>
        <v>16</v>
      </c>
      <c r="F270" s="692">
        <v>13.4</v>
      </c>
      <c r="G270" s="692" t="s">
        <v>30</v>
      </c>
      <c r="H270" s="692">
        <v>0.3</v>
      </c>
      <c r="I270" s="692">
        <v>0.2</v>
      </c>
      <c r="J270" s="692" t="s">
        <v>30</v>
      </c>
      <c r="K270" s="692"/>
      <c r="L270" s="701" t="s">
        <v>22</v>
      </c>
      <c r="M270" s="692">
        <f t="shared" si="13"/>
        <v>25.727999999999998</v>
      </c>
      <c r="N270" s="693"/>
      <c r="O270" s="33"/>
    </row>
    <row r="271" spans="1:15" s="35" customFormat="1">
      <c r="A271" s="157"/>
      <c r="B271" s="87"/>
      <c r="C271" s="87"/>
      <c r="D271" s="684" t="s">
        <v>12591</v>
      </c>
      <c r="E271" s="691">
        <v>2</v>
      </c>
      <c r="F271" s="692">
        <v>17.2</v>
      </c>
      <c r="G271" s="692" t="s">
        <v>30</v>
      </c>
      <c r="H271" s="692">
        <v>0.3</v>
      </c>
      <c r="I271" s="692">
        <v>0.2</v>
      </c>
      <c r="J271" s="692" t="s">
        <v>30</v>
      </c>
      <c r="K271" s="692"/>
      <c r="L271" s="701" t="s">
        <v>22</v>
      </c>
      <c r="M271" s="692">
        <f t="shared" si="13"/>
        <v>4.1279999999999992</v>
      </c>
      <c r="N271" s="693"/>
      <c r="O271" s="33"/>
    </row>
    <row r="272" spans="1:15" s="35" customFormat="1">
      <c r="A272" s="157"/>
      <c r="B272" s="87"/>
      <c r="C272" s="87"/>
      <c r="D272" s="684" t="s">
        <v>12592</v>
      </c>
      <c r="E272" s="691">
        <f>8*2</f>
        <v>16</v>
      </c>
      <c r="F272" s="692">
        <v>12.8</v>
      </c>
      <c r="G272" s="692" t="s">
        <v>30</v>
      </c>
      <c r="H272" s="692">
        <v>0.15</v>
      </c>
      <c r="I272" s="692">
        <v>0.2</v>
      </c>
      <c r="J272" s="692" t="s">
        <v>30</v>
      </c>
      <c r="K272" s="692"/>
      <c r="L272" s="701" t="s">
        <v>22</v>
      </c>
      <c r="M272" s="692">
        <f t="shared" si="13"/>
        <v>12.288</v>
      </c>
      <c r="N272" s="693"/>
      <c r="O272" s="33"/>
    </row>
    <row r="273" spans="1:15" s="35" customFormat="1" ht="36" customHeight="1">
      <c r="A273" s="157"/>
      <c r="B273" s="87"/>
      <c r="C273" s="87"/>
      <c r="D273" s="169" t="s">
        <v>21030</v>
      </c>
      <c r="E273" s="164" t="s">
        <v>1275</v>
      </c>
      <c r="F273" s="675" t="s">
        <v>17</v>
      </c>
      <c r="G273" s="675" t="s">
        <v>19</v>
      </c>
      <c r="H273" s="170"/>
      <c r="I273" s="170" t="s">
        <v>36</v>
      </c>
      <c r="J273" s="170" t="s">
        <v>21068</v>
      </c>
      <c r="K273" s="170"/>
      <c r="L273" s="170"/>
      <c r="M273" s="170"/>
      <c r="N273" s="693"/>
      <c r="O273" s="33"/>
    </row>
    <row r="274" spans="1:15" s="35" customFormat="1">
      <c r="A274" s="157"/>
      <c r="B274" s="87"/>
      <c r="C274" s="87"/>
      <c r="D274" s="684" t="s">
        <v>21031</v>
      </c>
      <c r="E274" s="691">
        <f>2*2</f>
        <v>4</v>
      </c>
      <c r="F274" s="699">
        <v>2.15</v>
      </c>
      <c r="G274" s="699">
        <v>1.125</v>
      </c>
      <c r="H274" s="692" t="s">
        <v>30</v>
      </c>
      <c r="I274" s="692">
        <v>0.15</v>
      </c>
      <c r="J274" s="692">
        <f t="shared" ref="J274:J279" si="14">E274*F274*G274*I274</f>
        <v>1.4512499999999997</v>
      </c>
      <c r="K274" s="692"/>
      <c r="L274" s="692"/>
      <c r="M274" s="558"/>
      <c r="N274" s="693"/>
      <c r="O274" s="33"/>
    </row>
    <row r="275" spans="1:15" s="35" customFormat="1">
      <c r="A275" s="157"/>
      <c r="B275" s="87"/>
      <c r="C275" s="87"/>
      <c r="D275" s="684" t="s">
        <v>21032</v>
      </c>
      <c r="E275" s="691">
        <f>2*2*8</f>
        <v>32</v>
      </c>
      <c r="F275" s="699">
        <v>0.6</v>
      </c>
      <c r="G275" s="699">
        <v>2.12</v>
      </c>
      <c r="H275" s="692" t="s">
        <v>30</v>
      </c>
      <c r="I275" s="692">
        <v>0.15</v>
      </c>
      <c r="J275" s="692">
        <f t="shared" si="14"/>
        <v>6.1055999999999999</v>
      </c>
      <c r="K275" s="692"/>
      <c r="L275" s="692"/>
      <c r="M275" s="558"/>
      <c r="N275" s="693"/>
      <c r="O275" s="33"/>
    </row>
    <row r="276" spans="1:15" s="35" customFormat="1">
      <c r="A276" s="157"/>
      <c r="B276" s="87"/>
      <c r="C276" s="87"/>
      <c r="D276" s="684" t="s">
        <v>21033</v>
      </c>
      <c r="E276" s="691">
        <f>2*4*8</f>
        <v>64</v>
      </c>
      <c r="F276" s="699">
        <v>0.6</v>
      </c>
      <c r="G276" s="699">
        <v>0.20100000000000001</v>
      </c>
      <c r="H276" s="692" t="s">
        <v>30</v>
      </c>
      <c r="I276" s="692">
        <v>0.15</v>
      </c>
      <c r="J276" s="692">
        <f t="shared" si="14"/>
        <v>1.1577599999999999</v>
      </c>
      <c r="K276" s="692"/>
      <c r="L276" s="692"/>
      <c r="M276" s="558"/>
      <c r="N276" s="693"/>
      <c r="O276" s="33"/>
    </row>
    <row r="277" spans="1:15" s="35" customFormat="1">
      <c r="A277" s="157"/>
      <c r="B277" s="87"/>
      <c r="C277" s="87"/>
      <c r="D277" s="684" t="s">
        <v>21034</v>
      </c>
      <c r="E277" s="691">
        <f>2*6</f>
        <v>12</v>
      </c>
      <c r="F277" s="699">
        <v>1.32</v>
      </c>
      <c r="G277" s="699">
        <v>1.1000000000000001</v>
      </c>
      <c r="H277" s="692" t="s">
        <v>30</v>
      </c>
      <c r="I277" s="692">
        <v>0.15</v>
      </c>
      <c r="J277" s="692">
        <f t="shared" si="14"/>
        <v>2.6135999999999999</v>
      </c>
      <c r="K277" s="692"/>
      <c r="L277" s="692"/>
      <c r="M277" s="558"/>
      <c r="N277" s="693"/>
      <c r="O277" s="33"/>
    </row>
    <row r="278" spans="1:15" s="35" customFormat="1">
      <c r="A278" s="157"/>
      <c r="B278" s="87"/>
      <c r="C278" s="87"/>
      <c r="D278" s="684" t="s">
        <v>21036</v>
      </c>
      <c r="E278" s="691">
        <f>2*6</f>
        <v>12</v>
      </c>
      <c r="F278" s="699">
        <v>1.76</v>
      </c>
      <c r="G278" s="699">
        <v>1.1000000000000001</v>
      </c>
      <c r="H278" s="692" t="s">
        <v>30</v>
      </c>
      <c r="I278" s="692">
        <v>0.15</v>
      </c>
      <c r="J278" s="692">
        <f t="shared" si="14"/>
        <v>3.4848000000000003</v>
      </c>
      <c r="K278" s="692"/>
      <c r="L278" s="692"/>
      <c r="M278" s="558"/>
      <c r="N278" s="693"/>
      <c r="O278" s="33"/>
    </row>
    <row r="279" spans="1:15" s="35" customFormat="1">
      <c r="A279" s="157"/>
      <c r="B279" s="87"/>
      <c r="C279" s="87"/>
      <c r="D279" s="684" t="s">
        <v>21037</v>
      </c>
      <c r="E279" s="691">
        <f>2*6</f>
        <v>12</v>
      </c>
      <c r="F279" s="699">
        <v>1.1000000000000001</v>
      </c>
      <c r="G279" s="699">
        <v>0.6</v>
      </c>
      <c r="H279" s="692" t="s">
        <v>30</v>
      </c>
      <c r="I279" s="692">
        <v>0.15</v>
      </c>
      <c r="J279" s="692">
        <f t="shared" si="14"/>
        <v>1.1879999999999999</v>
      </c>
      <c r="K279" s="692"/>
      <c r="L279" s="692"/>
      <c r="M279" s="558"/>
      <c r="N279" s="693"/>
      <c r="O279" s="33"/>
    </row>
    <row r="280" spans="1:15" s="35" customFormat="1">
      <c r="A280" s="157"/>
      <c r="B280" s="87"/>
      <c r="C280" s="87"/>
      <c r="D280" s="684"/>
      <c r="E280" s="691"/>
      <c r="F280" s="162"/>
      <c r="G280" s="162"/>
      <c r="H280" s="162"/>
      <c r="I280" s="162"/>
      <c r="J280" s="687"/>
      <c r="K280" s="687"/>
      <c r="L280" s="687"/>
      <c r="M280" s="687"/>
      <c r="N280" s="693"/>
      <c r="O280" s="33"/>
    </row>
    <row r="281" spans="1:15" s="35" customFormat="1">
      <c r="A281" s="157"/>
      <c r="B281" s="87"/>
      <c r="C281" s="87"/>
      <c r="D281" s="684"/>
      <c r="E281" s="691"/>
      <c r="F281" s="689"/>
      <c r="G281" s="689"/>
      <c r="H281" s="689"/>
      <c r="I281" s="689"/>
      <c r="J281" s="162"/>
      <c r="K281" s="162"/>
      <c r="L281" s="687"/>
      <c r="M281" s="687"/>
      <c r="N281" s="693"/>
      <c r="O281" s="33"/>
    </row>
    <row r="282" spans="1:15" s="35" customFormat="1">
      <c r="A282" s="157"/>
      <c r="B282" s="87"/>
      <c r="C282" s="87"/>
      <c r="D282" s="684" t="s">
        <v>12440</v>
      </c>
      <c r="E282" s="691">
        <v>2</v>
      </c>
      <c r="F282" s="692">
        <f>2.3+17.7+1.2</f>
        <v>21.2</v>
      </c>
      <c r="G282" s="692">
        <f>13.4+0.25+0.125</f>
        <v>13.775</v>
      </c>
      <c r="H282" s="692" t="s">
        <v>30</v>
      </c>
      <c r="I282" s="692">
        <v>0.15</v>
      </c>
      <c r="K282" s="692"/>
      <c r="L282" s="701" t="s">
        <v>22</v>
      </c>
      <c r="M282" s="692">
        <f>E282*F282*G282*I282</f>
        <v>87.608999999999995</v>
      </c>
      <c r="N282" s="693"/>
      <c r="O282" s="33"/>
    </row>
    <row r="283" spans="1:15" s="35" customFormat="1">
      <c r="A283" s="157"/>
      <c r="B283" s="87"/>
      <c r="C283" s="87"/>
      <c r="D283" s="684"/>
      <c r="E283" s="691"/>
      <c r="F283" s="1732" t="s">
        <v>21069</v>
      </c>
      <c r="G283" s="1732"/>
      <c r="H283" s="1732"/>
      <c r="I283" s="1732"/>
      <c r="J283" s="1732"/>
      <c r="K283" s="1732"/>
      <c r="L283" s="704" t="s">
        <v>22</v>
      </c>
      <c r="M283" s="687">
        <f>M282-SUM(J274:J279)</f>
        <v>71.607990000000001</v>
      </c>
      <c r="N283" s="693"/>
      <c r="O283" s="33"/>
    </row>
    <row r="284" spans="1:15" s="35" customFormat="1">
      <c r="A284" s="157"/>
      <c r="B284" s="87"/>
      <c r="C284" s="87"/>
      <c r="D284" s="124" t="s">
        <v>21040</v>
      </c>
      <c r="E284" s="679" t="s">
        <v>1275</v>
      </c>
      <c r="F284" s="687" t="s">
        <v>17</v>
      </c>
      <c r="G284" s="687" t="s">
        <v>19</v>
      </c>
      <c r="H284" s="687" t="s">
        <v>36</v>
      </c>
      <c r="I284" s="689"/>
      <c r="J284" s="689"/>
      <c r="K284" s="689"/>
      <c r="L284" s="687"/>
      <c r="M284" s="687"/>
      <c r="N284" s="693"/>
      <c r="O284" s="33"/>
    </row>
    <row r="285" spans="1:15" s="35" customFormat="1">
      <c r="A285" s="157"/>
      <c r="B285" s="87"/>
      <c r="C285" s="87"/>
      <c r="D285" s="684" t="s">
        <v>21041</v>
      </c>
      <c r="E285" s="691">
        <v>1</v>
      </c>
      <c r="F285" s="692">
        <f>1.85+0.75</f>
        <v>2.6</v>
      </c>
      <c r="G285" s="692">
        <f>0.95+1.1+0.95</f>
        <v>3</v>
      </c>
      <c r="H285" s="692">
        <v>0.2</v>
      </c>
      <c r="I285" s="692"/>
      <c r="J285" s="692"/>
      <c r="K285" s="692"/>
      <c r="L285" s="701" t="s">
        <v>22</v>
      </c>
      <c r="M285" s="558">
        <f>E285*F285*G285*H285</f>
        <v>1.5600000000000003</v>
      </c>
      <c r="N285" s="693"/>
      <c r="O285" s="33"/>
    </row>
    <row r="286" spans="1:15" s="35" customFormat="1">
      <c r="A286" s="157"/>
      <c r="B286" s="87"/>
      <c r="C286" s="87"/>
      <c r="D286" s="684" t="s">
        <v>21042</v>
      </c>
      <c r="E286" s="691">
        <v>2</v>
      </c>
      <c r="F286" s="692">
        <v>0.75</v>
      </c>
      <c r="G286" s="692">
        <v>0.95</v>
      </c>
      <c r="H286" s="692">
        <v>0.2</v>
      </c>
      <c r="I286" s="692"/>
      <c r="J286" s="692"/>
      <c r="K286" s="692"/>
      <c r="L286" s="701" t="s">
        <v>22</v>
      </c>
      <c r="M286" s="558">
        <f>E286*F286*G286*H286</f>
        <v>0.28499999999999998</v>
      </c>
      <c r="N286" s="693"/>
      <c r="O286" s="33"/>
    </row>
    <row r="287" spans="1:15" s="35" customFormat="1">
      <c r="A287" s="157"/>
      <c r="B287" s="87"/>
      <c r="C287" s="87"/>
      <c r="D287" s="684"/>
      <c r="E287" s="691"/>
      <c r="F287" s="692"/>
      <c r="G287" s="692"/>
      <c r="H287" s="692"/>
      <c r="I287" s="1732" t="s">
        <v>21070</v>
      </c>
      <c r="J287" s="1732"/>
      <c r="K287" s="1732"/>
      <c r="L287" s="704" t="s">
        <v>22</v>
      </c>
      <c r="M287" s="687">
        <f>M285-M286</f>
        <v>1.2750000000000004</v>
      </c>
      <c r="N287" s="693"/>
      <c r="O287" s="33"/>
    </row>
    <row r="288" spans="1:15" s="35" customFormat="1">
      <c r="A288" s="157"/>
      <c r="B288" s="87"/>
      <c r="C288" s="87"/>
      <c r="D288" s="124" t="s">
        <v>21065</v>
      </c>
      <c r="E288" s="679" t="s">
        <v>1275</v>
      </c>
      <c r="F288" s="687" t="s">
        <v>17</v>
      </c>
      <c r="G288" s="687" t="s">
        <v>19</v>
      </c>
      <c r="H288" s="687" t="s">
        <v>36</v>
      </c>
      <c r="I288" s="689"/>
      <c r="J288" s="689"/>
      <c r="K288" s="689"/>
      <c r="L288" s="687"/>
      <c r="M288" s="687"/>
      <c r="N288" s="693"/>
      <c r="O288" s="33"/>
    </row>
    <row r="289" spans="1:15" s="35" customFormat="1">
      <c r="A289" s="157"/>
      <c r="B289" s="87"/>
      <c r="C289" s="87"/>
      <c r="D289" s="702" t="s">
        <v>21094</v>
      </c>
      <c r="E289" s="691">
        <f>2*2</f>
        <v>4</v>
      </c>
      <c r="F289" s="692">
        <f>13.4-1.105</f>
        <v>12.295</v>
      </c>
      <c r="G289" s="692">
        <f>0.45+0.2</f>
        <v>0.65</v>
      </c>
      <c r="H289" s="692">
        <v>0.2</v>
      </c>
      <c r="I289" s="692"/>
      <c r="J289" s="692"/>
      <c r="K289" s="687" t="s">
        <v>27</v>
      </c>
      <c r="L289" s="704" t="s">
        <v>22</v>
      </c>
      <c r="M289" s="687">
        <f>E289*F289*G289*H289</f>
        <v>6.3934000000000006</v>
      </c>
      <c r="N289" s="693"/>
      <c r="O289" s="33"/>
    </row>
    <row r="290" spans="1:15" s="35" customFormat="1">
      <c r="A290" s="157"/>
      <c r="B290" s="87"/>
      <c r="C290" s="87"/>
      <c r="D290" s="338"/>
      <c r="E290" s="105"/>
      <c r="F290" s="105"/>
      <c r="G290" s="692"/>
      <c r="H290" s="692"/>
      <c r="I290" s="162"/>
      <c r="J290" s="162"/>
      <c r="K290" s="679"/>
      <c r="L290" s="679"/>
      <c r="M290" s="82"/>
      <c r="N290" s="693"/>
      <c r="O290" s="33"/>
    </row>
    <row r="291" spans="1:15" s="35" customFormat="1" ht="23.25" thickBot="1">
      <c r="A291" s="157" t="s">
        <v>12675</v>
      </c>
      <c r="B291" s="87" t="s">
        <v>10852</v>
      </c>
      <c r="C291" s="87">
        <v>316</v>
      </c>
      <c r="D291" s="338" t="str">
        <f>PROPER(IF(B291="Saneago",VLOOKUP(C291,'SANEAGO-FEV.2016'!A:B,2,0),IF(B291="Sinapi",VLOOKUP(C291,'SINAPI-FEV.2017'!A:D,2,0),IF(B291="Cotação",VLOOKUP(C291,COTAÇÃO!A:D,2,0),IF(B291="Composição",VLOOKUP(C291,COMPOSIÇÃO!A:D,2,0))))))</f>
        <v>Concreto  Estrutural Usinado Bombeado  Fck=40 Mpa, Com Adição De 8 À 10% De Microssílica (Incluindo  Lançamento, Aplicação  E Adensamento)</v>
      </c>
      <c r="E291" s="105"/>
      <c r="F291" s="105"/>
      <c r="G291" s="692"/>
      <c r="H291" s="692"/>
      <c r="I291" s="692"/>
      <c r="J291" s="699"/>
      <c r="K291" s="679" t="s">
        <v>27</v>
      </c>
      <c r="L291" s="705" t="s">
        <v>22</v>
      </c>
      <c r="M291" s="82">
        <f>SUM(M289,M287,M283,M266:M272,M256:M263,M251:M254,M242:M249,M235:M240)</f>
        <v>624.74721999999997</v>
      </c>
      <c r="N291" s="415"/>
      <c r="O291" s="33"/>
    </row>
    <row r="292" spans="1:15" s="35" customFormat="1" ht="21" hidden="1" customHeight="1">
      <c r="A292" s="157"/>
      <c r="B292" s="87"/>
      <c r="C292" s="87"/>
      <c r="D292" s="1735" t="s">
        <v>21072</v>
      </c>
      <c r="E292" s="1736"/>
      <c r="F292" s="1736"/>
      <c r="G292" s="1736"/>
      <c r="H292" s="1736"/>
      <c r="I292" s="1736"/>
      <c r="J292" s="1736"/>
      <c r="K292" s="1736"/>
      <c r="L292" s="1736"/>
      <c r="M292" s="1737"/>
      <c r="N292" s="415"/>
      <c r="O292" s="33"/>
    </row>
    <row r="293" spans="1:15" s="168" customFormat="1" ht="13.5" hidden="1" thickBot="1">
      <c r="A293" s="165"/>
      <c r="B293" s="166"/>
      <c r="C293" s="166"/>
      <c r="D293" s="124" t="s">
        <v>21071</v>
      </c>
      <c r="F293" s="679" t="s">
        <v>20351</v>
      </c>
      <c r="G293" s="679" t="s">
        <v>20352</v>
      </c>
      <c r="H293" s="679" t="s">
        <v>20353</v>
      </c>
      <c r="I293" s="679" t="s">
        <v>20354</v>
      </c>
      <c r="J293" s="679" t="s">
        <v>20355</v>
      </c>
      <c r="K293" s="679" t="s">
        <v>20356</v>
      </c>
      <c r="L293" s="679" t="s">
        <v>20364</v>
      </c>
      <c r="M293" s="676" t="s">
        <v>27</v>
      </c>
      <c r="N293" s="677"/>
      <c r="O293" s="127"/>
    </row>
    <row r="294" spans="1:15" s="35" customFormat="1" ht="13.5" hidden="1" thickBot="1">
      <c r="A294" s="157"/>
      <c r="B294" s="87"/>
      <c r="C294" s="87"/>
      <c r="D294" s="684" t="s">
        <v>20528</v>
      </c>
      <c r="E294" s="691" t="s">
        <v>33</v>
      </c>
      <c r="F294" s="34">
        <f>'Quant.AÇO-Concreto_REator'!B20</f>
        <v>24.096</v>
      </c>
      <c r="G294" s="34">
        <f>'Quant.AÇO-Concreto_REator'!C20</f>
        <v>0</v>
      </c>
      <c r="H294" s="34">
        <f>'Quant.AÇO-Concreto_REator'!D20</f>
        <v>25.6</v>
      </c>
      <c r="I294" s="34">
        <f>'Quant.AÇO-Concreto_REator'!E20</f>
        <v>0</v>
      </c>
      <c r="J294" s="34">
        <f>'Quant.AÇO-Concreto_REator'!F20</f>
        <v>38.4</v>
      </c>
      <c r="K294" s="34">
        <f>'Quant.AÇO-Concreto_REator'!G20</f>
        <v>0</v>
      </c>
      <c r="L294" s="34">
        <f>'Quant.AÇO-Concreto_REator'!H20</f>
        <v>0</v>
      </c>
      <c r="M294" s="54">
        <f>SUM(F294:L294)</f>
        <v>88.096000000000004</v>
      </c>
      <c r="N294" s="415"/>
      <c r="O294" s="33"/>
    </row>
    <row r="295" spans="1:15" s="35" customFormat="1" ht="13.5" hidden="1" thickBot="1">
      <c r="A295" s="157"/>
      <c r="B295" s="87"/>
      <c r="C295" s="87"/>
      <c r="D295" s="684" t="s">
        <v>21073</v>
      </c>
      <c r="E295" s="691" t="s">
        <v>33</v>
      </c>
      <c r="F295" s="34">
        <f>'Quant.AÇO-Concreto_REator'!B21</f>
        <v>0</v>
      </c>
      <c r="G295" s="34">
        <f>'Quant.AÇO-Concreto_REator'!C21</f>
        <v>153.36000000000001</v>
      </c>
      <c r="H295" s="34">
        <f>'Quant.AÇO-Concreto_REator'!D21</f>
        <v>214.84800000000001</v>
      </c>
      <c r="I295" s="34">
        <f>'Quant.AÇO-Concreto_REator'!E21</f>
        <v>0</v>
      </c>
      <c r="J295" s="34">
        <f>'Quant.AÇO-Concreto_REator'!F21</f>
        <v>0</v>
      </c>
      <c r="K295" s="34">
        <f>'Quant.AÇO-Concreto_REator'!G21</f>
        <v>0</v>
      </c>
      <c r="L295" s="34">
        <f>'Quant.AÇO-Concreto_REator'!H21</f>
        <v>0</v>
      </c>
      <c r="M295" s="54">
        <f t="shared" ref="M295:M303" si="15">SUM(F295:L295)</f>
        <v>368.20800000000003</v>
      </c>
      <c r="N295" s="415"/>
      <c r="O295" s="33"/>
    </row>
    <row r="296" spans="1:15" s="35" customFormat="1" ht="13.5" hidden="1" thickBot="1">
      <c r="A296" s="157"/>
      <c r="B296" s="87"/>
      <c r="C296" s="87"/>
      <c r="D296" s="684" t="s">
        <v>12518</v>
      </c>
      <c r="E296" s="691" t="s">
        <v>33</v>
      </c>
      <c r="F296" s="34">
        <f>'Quant.AÇO-Concreto_REator'!B22</f>
        <v>0</v>
      </c>
      <c r="G296" s="34">
        <f>'Quant.AÇO-Concreto_REator'!C22</f>
        <v>0</v>
      </c>
      <c r="H296" s="34">
        <f>'Quant.AÇO-Concreto_REator'!D22</f>
        <v>0</v>
      </c>
      <c r="I296" s="34">
        <f>'Quant.AÇO-Concreto_REator'!E22</f>
        <v>8818.0596000000005</v>
      </c>
      <c r="J296" s="34">
        <f>'Quant.AÇO-Concreto_REator'!F22</f>
        <v>0</v>
      </c>
      <c r="K296" s="34">
        <f>'Quant.AÇO-Concreto_REator'!G22</f>
        <v>9291.1679999999997</v>
      </c>
      <c r="L296" s="34">
        <f>'Quant.AÇO-Concreto_REator'!H22</f>
        <v>0</v>
      </c>
      <c r="M296" s="54">
        <f t="shared" si="15"/>
        <v>18109.227599999998</v>
      </c>
      <c r="N296" s="415"/>
      <c r="O296" s="33"/>
    </row>
    <row r="297" spans="1:15" s="35" customFormat="1" ht="13.5" hidden="1" thickBot="1">
      <c r="A297" s="157"/>
      <c r="B297" s="87"/>
      <c r="C297" s="87"/>
      <c r="D297" s="684" t="s">
        <v>21074</v>
      </c>
      <c r="E297" s="691" t="s">
        <v>33</v>
      </c>
      <c r="F297" s="34">
        <f>'Quant.AÇO-Concreto_REator'!B23</f>
        <v>0</v>
      </c>
      <c r="G297" s="34">
        <f>'Quant.AÇO-Concreto_REator'!C23</f>
        <v>0</v>
      </c>
      <c r="H297" s="34">
        <f>'Quant.AÇO-Concreto_REator'!D23</f>
        <v>407.28800000000001</v>
      </c>
      <c r="I297" s="34">
        <f>'Quant.AÇO-Concreto_REator'!E23</f>
        <v>0</v>
      </c>
      <c r="J297" s="34">
        <f>'Quant.AÇO-Concreto_REator'!F23</f>
        <v>40.56</v>
      </c>
      <c r="K297" s="34">
        <f>'Quant.AÇO-Concreto_REator'!G23</f>
        <v>129.792</v>
      </c>
      <c r="L297" s="34">
        <f>'Quant.AÇO-Concreto_REator'!H23</f>
        <v>0</v>
      </c>
      <c r="M297" s="54">
        <f t="shared" si="15"/>
        <v>577.64</v>
      </c>
      <c r="N297" s="415"/>
      <c r="O297" s="33"/>
    </row>
    <row r="298" spans="1:15" s="35" customFormat="1" ht="13.5" hidden="1" thickBot="1">
      <c r="A298" s="157"/>
      <c r="B298" s="87"/>
      <c r="C298" s="87"/>
      <c r="D298" s="684" t="s">
        <v>21075</v>
      </c>
      <c r="E298" s="691" t="s">
        <v>33</v>
      </c>
      <c r="F298" s="34">
        <f>'Quant.AÇO-Concreto_REator'!B24</f>
        <v>0</v>
      </c>
      <c r="G298" s="34">
        <f>'Quant.AÇO-Concreto_REator'!C24</f>
        <v>1721.14</v>
      </c>
      <c r="H298" s="34">
        <f>'Quant.AÇO-Concreto_REator'!D24</f>
        <v>1512.9920000000002</v>
      </c>
      <c r="I298" s="34">
        <f>'Quant.AÇO-Concreto_REator'!E24</f>
        <v>624.90959999999995</v>
      </c>
      <c r="J298" s="34">
        <f>'Quant.AÇO-Concreto_REator'!F24</f>
        <v>0</v>
      </c>
      <c r="K298" s="34">
        <f>'Quant.AÇO-Concreto_REator'!G24</f>
        <v>117.504</v>
      </c>
      <c r="L298" s="34">
        <f>'Quant.AÇO-Concreto_REator'!H24</f>
        <v>0</v>
      </c>
      <c r="M298" s="54">
        <f t="shared" si="15"/>
        <v>3976.5456000000004</v>
      </c>
      <c r="N298" s="415"/>
      <c r="O298" s="33"/>
    </row>
    <row r="299" spans="1:15" s="35" customFormat="1" ht="13.5" hidden="1" thickBot="1">
      <c r="A299" s="157"/>
      <c r="B299" s="87"/>
      <c r="C299" s="87"/>
      <c r="D299" s="684" t="s">
        <v>21076</v>
      </c>
      <c r="E299" s="691" t="s">
        <v>33</v>
      </c>
      <c r="F299" s="34">
        <f>'Quant.AÇO-Concreto_REator'!B25</f>
        <v>179.71200000000002</v>
      </c>
      <c r="G299" s="34">
        <f>'Quant.AÇO-Concreto_REator'!C25</f>
        <v>0</v>
      </c>
      <c r="H299" s="34">
        <f>'Quant.AÇO-Concreto_REator'!D25</f>
        <v>0</v>
      </c>
      <c r="I299" s="34">
        <f>'Quant.AÇO-Concreto_REator'!E25</f>
        <v>0</v>
      </c>
      <c r="J299" s="34">
        <f>'Quant.AÇO-Concreto_REator'!F25</f>
        <v>1115.52</v>
      </c>
      <c r="K299" s="34">
        <f>'Quant.AÇO-Concreto_REator'!G25</f>
        <v>0</v>
      </c>
      <c r="L299" s="34">
        <f>'Quant.AÇO-Concreto_REator'!H25</f>
        <v>0</v>
      </c>
      <c r="M299" s="54">
        <f t="shared" si="15"/>
        <v>1295.232</v>
      </c>
      <c r="N299" s="415"/>
      <c r="O299" s="33"/>
    </row>
    <row r="300" spans="1:15" s="35" customFormat="1" ht="13.5" hidden="1" thickBot="1">
      <c r="A300" s="157"/>
      <c r="B300" s="87"/>
      <c r="C300" s="87"/>
      <c r="D300" s="684" t="s">
        <v>12641</v>
      </c>
      <c r="E300" s="691" t="s">
        <v>33</v>
      </c>
      <c r="F300" s="34">
        <f>'Quant.AÇO-Concreto_REator'!B26</f>
        <v>0</v>
      </c>
      <c r="G300" s="34">
        <f>'Quant.AÇO-Concreto_REator'!C26</f>
        <v>0</v>
      </c>
      <c r="H300" s="34">
        <f>'Quant.AÇO-Concreto_REator'!D26</f>
        <v>4616</v>
      </c>
      <c r="I300" s="34">
        <f>'Quant.AÇO-Concreto_REator'!E26</f>
        <v>0</v>
      </c>
      <c r="J300" s="34">
        <f>'Quant.AÇO-Concreto_REator'!F26</f>
        <v>14337.54</v>
      </c>
      <c r="K300" s="34">
        <f>'Quant.AÇO-Concreto_REator'!G26</f>
        <v>0</v>
      </c>
      <c r="L300" s="34">
        <f>'Quant.AÇO-Concreto_REator'!H26</f>
        <v>892.5</v>
      </c>
      <c r="M300" s="54">
        <f t="shared" si="15"/>
        <v>19846.04</v>
      </c>
      <c r="N300" s="415"/>
      <c r="O300" s="33"/>
    </row>
    <row r="301" spans="1:15" s="35" customFormat="1" ht="13.5" hidden="1" thickBot="1">
      <c r="A301" s="157"/>
      <c r="B301" s="87"/>
      <c r="C301" s="87"/>
      <c r="D301" s="684" t="s">
        <v>12642</v>
      </c>
      <c r="E301" s="691" t="s">
        <v>33</v>
      </c>
      <c r="F301" s="34">
        <f>'Quant.AÇO-Concreto_REator'!B27</f>
        <v>0</v>
      </c>
      <c r="G301" s="34">
        <f>'Quant.AÇO-Concreto_REator'!C27</f>
        <v>0</v>
      </c>
      <c r="H301" s="34">
        <f>'Quant.AÇO-Concreto_REator'!D27</f>
        <v>121.52000000000001</v>
      </c>
      <c r="I301" s="34">
        <f>'Quant.AÇO-Concreto_REator'!E27</f>
        <v>14.011199999999999</v>
      </c>
      <c r="J301" s="34">
        <f>'Quant.AÇO-Concreto_REator'!F27</f>
        <v>24.64</v>
      </c>
      <c r="K301" s="34">
        <f>'Quant.AÇO-Concreto_REator'!G27</f>
        <v>0</v>
      </c>
      <c r="L301" s="34">
        <f>'Quant.AÇO-Concreto_REator'!H27</f>
        <v>0</v>
      </c>
      <c r="M301" s="54">
        <f t="shared" si="15"/>
        <v>160.1712</v>
      </c>
      <c r="N301" s="415"/>
      <c r="O301" s="33"/>
    </row>
    <row r="302" spans="1:15" s="35" customFormat="1" ht="13.5" hidden="1" thickBot="1">
      <c r="A302" s="157"/>
      <c r="B302" s="87"/>
      <c r="C302" s="87"/>
      <c r="D302" s="571" t="s">
        <v>12630</v>
      </c>
      <c r="E302" s="691" t="s">
        <v>33</v>
      </c>
      <c r="F302" s="34">
        <f>'Quant.AÇO-Concreto_REator'!B28</f>
        <v>0</v>
      </c>
      <c r="G302" s="34">
        <f>'Quant.AÇO-Concreto_REator'!C28</f>
        <v>0</v>
      </c>
      <c r="H302" s="34">
        <f>'Quant.AÇO-Concreto_REator'!D28</f>
        <v>180.4</v>
      </c>
      <c r="I302" s="34">
        <f>'Quant.AÇO-Concreto_REator'!E28</f>
        <v>13.23</v>
      </c>
      <c r="J302" s="34">
        <f>'Quant.AÇO-Concreto_REator'!F28</f>
        <v>24</v>
      </c>
      <c r="K302" s="34">
        <f>'Quant.AÇO-Concreto_REator'!G28</f>
        <v>0</v>
      </c>
      <c r="L302" s="34">
        <f>'Quant.AÇO-Concreto_REator'!H28</f>
        <v>0</v>
      </c>
      <c r="M302" s="54">
        <f t="shared" si="15"/>
        <v>217.63</v>
      </c>
      <c r="N302" s="415"/>
      <c r="O302" s="33"/>
    </row>
    <row r="303" spans="1:15" s="35" customFormat="1" ht="13.5" hidden="1" thickBot="1">
      <c r="A303" s="157"/>
      <c r="B303" s="87"/>
      <c r="C303" s="87"/>
      <c r="D303" s="571" t="s">
        <v>12631</v>
      </c>
      <c r="E303" s="691" t="s">
        <v>33</v>
      </c>
      <c r="F303" s="34">
        <f>'Quant.AÇO-Concreto_REator'!B29</f>
        <v>607.20000000000005</v>
      </c>
      <c r="G303" s="34">
        <f>'Quant.AÇO-Concreto_REator'!C29</f>
        <v>3691.75</v>
      </c>
      <c r="H303" s="34">
        <f>'Quant.AÇO-Concreto_REator'!D29</f>
        <v>684</v>
      </c>
      <c r="I303" s="34">
        <f>'Quant.AÇO-Concreto_REator'!E29</f>
        <v>377.37</v>
      </c>
      <c r="J303" s="34">
        <f>'Quant.AÇO-Concreto_REator'!F29</f>
        <v>954</v>
      </c>
      <c r="K303" s="34">
        <f>'Quant.AÇO-Concreto_REator'!G29</f>
        <v>2606.4</v>
      </c>
      <c r="L303" s="34">
        <f>'Quant.AÇO-Concreto_REator'!H29</f>
        <v>0</v>
      </c>
      <c r="M303" s="54">
        <f t="shared" si="15"/>
        <v>8920.7199999999993</v>
      </c>
      <c r="N303" s="415"/>
      <c r="O303" s="33"/>
    </row>
    <row r="304" spans="1:15" s="35" customFormat="1" ht="13.5" hidden="1" thickBot="1">
      <c r="A304" s="157"/>
      <c r="B304" s="87"/>
      <c r="C304" s="87"/>
      <c r="D304" s="569" t="s">
        <v>27</v>
      </c>
      <c r="E304" s="568"/>
      <c r="F304" s="568">
        <f>SUM(F294:F303)</f>
        <v>811.00800000000004</v>
      </c>
      <c r="G304" s="568">
        <f t="shared" ref="G304:M304" si="16">SUM(G294:G303)</f>
        <v>5566.25</v>
      </c>
      <c r="H304" s="568">
        <f t="shared" si="16"/>
        <v>7762.6480000000001</v>
      </c>
      <c r="I304" s="568">
        <f t="shared" si="16"/>
        <v>9847.5804000000007</v>
      </c>
      <c r="J304" s="568">
        <f t="shared" si="16"/>
        <v>16534.66</v>
      </c>
      <c r="K304" s="568">
        <f t="shared" si="16"/>
        <v>12144.864</v>
      </c>
      <c r="L304" s="568">
        <f t="shared" si="16"/>
        <v>892.5</v>
      </c>
      <c r="M304" s="568">
        <f t="shared" si="16"/>
        <v>53559.510399999992</v>
      </c>
      <c r="N304" s="415">
        <f>M304/M291</f>
        <v>85.729889922519376</v>
      </c>
      <c r="O304" s="33"/>
    </row>
    <row r="305" spans="1:15" s="35" customFormat="1" ht="21" customHeight="1" thickBot="1">
      <c r="A305" s="157"/>
      <c r="B305" s="87"/>
      <c r="C305" s="87"/>
      <c r="D305" s="1735" t="s">
        <v>21081</v>
      </c>
      <c r="E305" s="1736"/>
      <c r="F305" s="1736"/>
      <c r="G305" s="1736"/>
      <c r="H305" s="1736"/>
      <c r="I305" s="1736"/>
      <c r="J305" s="1736"/>
      <c r="K305" s="1736"/>
      <c r="L305" s="1736"/>
      <c r="M305" s="1737"/>
      <c r="N305" s="415"/>
      <c r="O305" s="33"/>
    </row>
    <row r="306" spans="1:15" s="168" customFormat="1" ht="20.25" customHeight="1">
      <c r="A306" s="165"/>
      <c r="B306" s="166"/>
      <c r="C306" s="166"/>
      <c r="D306" s="124" t="s">
        <v>21071</v>
      </c>
      <c r="F306" s="679" t="s">
        <v>20351</v>
      </c>
      <c r="G306" s="679" t="s">
        <v>20352</v>
      </c>
      <c r="H306" s="679" t="s">
        <v>20353</v>
      </c>
      <c r="I306" s="679" t="s">
        <v>20354</v>
      </c>
      <c r="J306" s="679" t="s">
        <v>20355</v>
      </c>
      <c r="K306" s="679" t="s">
        <v>20356</v>
      </c>
      <c r="L306" s="679" t="s">
        <v>20364</v>
      </c>
      <c r="M306" s="54"/>
      <c r="N306" s="677"/>
    </row>
    <row r="307" spans="1:15" s="35" customFormat="1">
      <c r="A307" s="157"/>
      <c r="B307" s="87"/>
      <c r="C307" s="87"/>
      <c r="D307" s="684" t="s">
        <v>20528</v>
      </c>
      <c r="E307" s="691" t="s">
        <v>33</v>
      </c>
      <c r="F307" s="120">
        <f>'Quant.AÇO-Concreto_REator'!B20</f>
        <v>24.096</v>
      </c>
      <c r="G307" s="120">
        <f>'Quant.AÇO-Concreto_REator'!C20</f>
        <v>0</v>
      </c>
      <c r="H307" s="120">
        <f>'Quant.AÇO-Concreto_REator'!D20</f>
        <v>25.6</v>
      </c>
      <c r="I307" s="120">
        <f>'Quant.AÇO-Concreto_REator'!E20</f>
        <v>0</v>
      </c>
      <c r="J307" s="120">
        <f>'Quant.AÇO-Concreto_REator'!F20</f>
        <v>38.4</v>
      </c>
      <c r="K307" s="120">
        <f>'Quant.AÇO-Concreto_REator'!G20</f>
        <v>0</v>
      </c>
      <c r="L307" s="120">
        <f>'Quant.AÇO-Concreto_REator'!H20</f>
        <v>0</v>
      </c>
      <c r="M307" s="54">
        <f>SUM(F307:L307)</f>
        <v>88.096000000000004</v>
      </c>
      <c r="N307" s="415"/>
    </row>
    <row r="308" spans="1:15" s="35" customFormat="1">
      <c r="A308" s="157"/>
      <c r="B308" s="87"/>
      <c r="C308" s="87"/>
      <c r="D308" s="684" t="s">
        <v>21073</v>
      </c>
      <c r="E308" s="691" t="s">
        <v>33</v>
      </c>
      <c r="F308" s="120">
        <f>'Quant.AÇO-Concreto_REator'!B21</f>
        <v>0</v>
      </c>
      <c r="G308" s="120">
        <f>'Quant.AÇO-Concreto_REator'!C21</f>
        <v>153.36000000000001</v>
      </c>
      <c r="H308" s="120">
        <f>'Quant.AÇO-Concreto_REator'!D21</f>
        <v>214.84800000000001</v>
      </c>
      <c r="I308" s="120">
        <f>'Quant.AÇO-Concreto_REator'!E21</f>
        <v>0</v>
      </c>
      <c r="J308" s="120">
        <f>'Quant.AÇO-Concreto_REator'!F21</f>
        <v>0</v>
      </c>
      <c r="K308" s="120">
        <f>'Quant.AÇO-Concreto_REator'!G21</f>
        <v>0</v>
      </c>
      <c r="L308" s="120">
        <f>'Quant.AÇO-Concreto_REator'!H21</f>
        <v>0</v>
      </c>
      <c r="M308" s="54">
        <f t="shared" ref="M308:M316" si="17">SUM(F308:L308)</f>
        <v>368.20800000000003</v>
      </c>
      <c r="N308" s="415"/>
    </row>
    <row r="309" spans="1:15" s="35" customFormat="1">
      <c r="A309" s="157"/>
      <c r="B309" s="87"/>
      <c r="C309" s="87"/>
      <c r="D309" s="684" t="s">
        <v>12518</v>
      </c>
      <c r="E309" s="691" t="s">
        <v>33</v>
      </c>
      <c r="F309" s="120">
        <f>'Quant.AÇO-Concreto_REator'!B22</f>
        <v>0</v>
      </c>
      <c r="G309" s="120">
        <f>'Quant.AÇO-Concreto_REator'!C22</f>
        <v>0</v>
      </c>
      <c r="H309" s="120">
        <f>'Quant.AÇO-Concreto_REator'!D22</f>
        <v>0</v>
      </c>
      <c r="I309" s="120">
        <f>'Quant.AÇO-Concreto_REator'!E22</f>
        <v>8818.0596000000005</v>
      </c>
      <c r="J309" s="120">
        <f>'Quant.AÇO-Concreto_REator'!F22</f>
        <v>0</v>
      </c>
      <c r="K309" s="120">
        <f>'Quant.AÇO-Concreto_REator'!G22</f>
        <v>9291.1679999999997</v>
      </c>
      <c r="L309" s="120">
        <f>'Quant.AÇO-Concreto_REator'!H22</f>
        <v>0</v>
      </c>
      <c r="M309" s="54">
        <f t="shared" si="17"/>
        <v>18109.227599999998</v>
      </c>
      <c r="N309" s="415"/>
    </row>
    <row r="310" spans="1:15" s="35" customFormat="1">
      <c r="A310" s="157"/>
      <c r="B310" s="87"/>
      <c r="C310" s="87"/>
      <c r="D310" s="684" t="s">
        <v>21074</v>
      </c>
      <c r="E310" s="691" t="s">
        <v>33</v>
      </c>
      <c r="F310" s="120">
        <f>'Quant.AÇO-Concreto_REator'!B23</f>
        <v>0</v>
      </c>
      <c r="G310" s="120">
        <f>'Quant.AÇO-Concreto_REator'!C23</f>
        <v>0</v>
      </c>
      <c r="H310" s="120">
        <f>'Quant.AÇO-Concreto_REator'!D23</f>
        <v>407.28800000000001</v>
      </c>
      <c r="I310" s="120">
        <f>'Quant.AÇO-Concreto_REator'!E23</f>
        <v>0</v>
      </c>
      <c r="J310" s="120">
        <f>'Quant.AÇO-Concreto_REator'!F23</f>
        <v>40.56</v>
      </c>
      <c r="K310" s="120">
        <f>'Quant.AÇO-Concreto_REator'!G23</f>
        <v>129.792</v>
      </c>
      <c r="L310" s="120">
        <f>'Quant.AÇO-Concreto_REator'!H23</f>
        <v>0</v>
      </c>
      <c r="M310" s="54">
        <f t="shared" si="17"/>
        <v>577.64</v>
      </c>
      <c r="N310" s="415"/>
    </row>
    <row r="311" spans="1:15" s="35" customFormat="1">
      <c r="A311" s="157"/>
      <c r="B311" s="87"/>
      <c r="C311" s="87"/>
      <c r="D311" s="684" t="s">
        <v>21075</v>
      </c>
      <c r="E311" s="691" t="s">
        <v>33</v>
      </c>
      <c r="F311" s="120">
        <f>'Quant.AÇO-Concreto_REator'!B24</f>
        <v>0</v>
      </c>
      <c r="G311" s="120">
        <f>'Quant.AÇO-Concreto_REator'!C24</f>
        <v>1721.14</v>
      </c>
      <c r="H311" s="120">
        <f>'Quant.AÇO-Concreto_REator'!D24</f>
        <v>1512.9920000000002</v>
      </c>
      <c r="I311" s="120">
        <f>'Quant.AÇO-Concreto_REator'!E24</f>
        <v>624.90959999999995</v>
      </c>
      <c r="J311" s="120">
        <f>'Quant.AÇO-Concreto_REator'!F24</f>
        <v>0</v>
      </c>
      <c r="K311" s="120">
        <f>'Quant.AÇO-Concreto_REator'!G24</f>
        <v>117.504</v>
      </c>
      <c r="L311" s="120">
        <f>'Quant.AÇO-Concreto_REator'!H24</f>
        <v>0</v>
      </c>
      <c r="M311" s="54">
        <f t="shared" si="17"/>
        <v>3976.5456000000004</v>
      </c>
      <c r="N311" s="415"/>
    </row>
    <row r="312" spans="1:15" s="35" customFormat="1">
      <c r="A312" s="157"/>
      <c r="B312" s="87"/>
      <c r="C312" s="87"/>
      <c r="D312" s="684" t="s">
        <v>21076</v>
      </c>
      <c r="E312" s="691" t="s">
        <v>33</v>
      </c>
      <c r="F312" s="120">
        <f>'Quant.AÇO-Concreto_REator'!B25</f>
        <v>179.71200000000002</v>
      </c>
      <c r="G312" s="120">
        <f>'Quant.AÇO-Concreto_REator'!C25</f>
        <v>0</v>
      </c>
      <c r="H312" s="120">
        <f>'Quant.AÇO-Concreto_REator'!D25</f>
        <v>0</v>
      </c>
      <c r="I312" s="120">
        <f>'Quant.AÇO-Concreto_REator'!E25</f>
        <v>0</v>
      </c>
      <c r="J312" s="120">
        <f>'Quant.AÇO-Concreto_REator'!F25</f>
        <v>1115.52</v>
      </c>
      <c r="K312" s="120">
        <f>'Quant.AÇO-Concreto_REator'!G25</f>
        <v>0</v>
      </c>
      <c r="L312" s="120">
        <f>'Quant.AÇO-Concreto_REator'!H25</f>
        <v>0</v>
      </c>
      <c r="M312" s="54">
        <f t="shared" si="17"/>
        <v>1295.232</v>
      </c>
      <c r="N312" s="415"/>
    </row>
    <row r="313" spans="1:15" s="35" customFormat="1">
      <c r="A313" s="157"/>
      <c r="B313" s="87"/>
      <c r="C313" s="87"/>
      <c r="D313" s="684" t="s">
        <v>12641</v>
      </c>
      <c r="E313" s="691" t="s">
        <v>33</v>
      </c>
      <c r="F313" s="120">
        <f>'Quant.AÇO-Concreto_REator'!B26</f>
        <v>0</v>
      </c>
      <c r="G313" s="120">
        <f>'Quant.AÇO-Concreto_REator'!C26</f>
        <v>0</v>
      </c>
      <c r="H313" s="120">
        <f>'Quant.AÇO-Concreto_REator'!D26</f>
        <v>4616</v>
      </c>
      <c r="I313" s="120">
        <f>'Quant.AÇO-Concreto_REator'!E26</f>
        <v>0</v>
      </c>
      <c r="J313" s="120">
        <f>'Quant.AÇO-Concreto_REator'!F26</f>
        <v>14337.54</v>
      </c>
      <c r="K313" s="120">
        <f>'Quant.AÇO-Concreto_REator'!G26</f>
        <v>0</v>
      </c>
      <c r="L313" s="120">
        <f>'Quant.AÇO-Concreto_REator'!H26</f>
        <v>892.5</v>
      </c>
      <c r="M313" s="54">
        <f t="shared" si="17"/>
        <v>19846.04</v>
      </c>
      <c r="N313" s="415"/>
    </row>
    <row r="314" spans="1:15" s="35" customFormat="1" ht="12.75" customHeight="1">
      <c r="A314" s="157"/>
      <c r="B314" s="87"/>
      <c r="C314" s="87"/>
      <c r="D314" s="684" t="s">
        <v>12642</v>
      </c>
      <c r="E314" s="691" t="s">
        <v>33</v>
      </c>
      <c r="F314" s="120">
        <f>'Quant.AÇO-Concreto_REator'!B27</f>
        <v>0</v>
      </c>
      <c r="G314" s="120">
        <f>'Quant.AÇO-Concreto_REator'!C27</f>
        <v>0</v>
      </c>
      <c r="H314" s="120">
        <f>'Quant.AÇO-Concreto_REator'!D27</f>
        <v>121.52000000000001</v>
      </c>
      <c r="I314" s="120">
        <f>'Quant.AÇO-Concreto_REator'!E27</f>
        <v>14.011199999999999</v>
      </c>
      <c r="J314" s="120">
        <f>'Quant.AÇO-Concreto_REator'!F27</f>
        <v>24.64</v>
      </c>
      <c r="K314" s="120">
        <f>'Quant.AÇO-Concreto_REator'!G27</f>
        <v>0</v>
      </c>
      <c r="L314" s="120">
        <f>'Quant.AÇO-Concreto_REator'!H27</f>
        <v>0</v>
      </c>
      <c r="M314" s="54">
        <f t="shared" si="17"/>
        <v>160.1712</v>
      </c>
      <c r="N314" s="415"/>
    </row>
    <row r="315" spans="1:15" s="35" customFormat="1" ht="12.75" customHeight="1">
      <c r="A315" s="157"/>
      <c r="B315" s="87"/>
      <c r="C315" s="87"/>
      <c r="D315" s="571" t="s">
        <v>12630</v>
      </c>
      <c r="E315" s="691" t="s">
        <v>33</v>
      </c>
      <c r="F315" s="120">
        <f>'Quant.AÇO-Concreto_REator'!B28</f>
        <v>0</v>
      </c>
      <c r="G315" s="120">
        <f>'Quant.AÇO-Concreto_REator'!C28</f>
        <v>0</v>
      </c>
      <c r="H315" s="120">
        <f>'Quant.AÇO-Concreto_REator'!D28</f>
        <v>180.4</v>
      </c>
      <c r="I315" s="120">
        <f>'Quant.AÇO-Concreto_REator'!E28</f>
        <v>13.23</v>
      </c>
      <c r="J315" s="120">
        <f>'Quant.AÇO-Concreto_REator'!F28</f>
        <v>24</v>
      </c>
      <c r="K315" s="120">
        <f>'Quant.AÇO-Concreto_REator'!G28</f>
        <v>0</v>
      </c>
      <c r="L315" s="120">
        <f>'Quant.AÇO-Concreto_REator'!H28</f>
        <v>0</v>
      </c>
      <c r="M315" s="54">
        <f t="shared" si="17"/>
        <v>217.63</v>
      </c>
      <c r="N315" s="415"/>
    </row>
    <row r="316" spans="1:15" s="35" customFormat="1">
      <c r="A316" s="157"/>
      <c r="B316" s="87"/>
      <c r="C316" s="87"/>
      <c r="D316" s="571" t="s">
        <v>12631</v>
      </c>
      <c r="E316" s="691" t="s">
        <v>33</v>
      </c>
      <c r="F316" s="120">
        <f>'Quant.AÇO-Concreto_REator'!B29</f>
        <v>607.20000000000005</v>
      </c>
      <c r="G316" s="120">
        <f>'Quant.AÇO-Concreto_REator'!C29</f>
        <v>3691.75</v>
      </c>
      <c r="H316" s="120">
        <f>'Quant.AÇO-Concreto_REator'!D29</f>
        <v>684</v>
      </c>
      <c r="I316" s="120">
        <f>'Quant.AÇO-Concreto_REator'!E29</f>
        <v>377.37</v>
      </c>
      <c r="J316" s="120">
        <f>'Quant.AÇO-Concreto_REator'!F29</f>
        <v>954</v>
      </c>
      <c r="K316" s="120">
        <f>'Quant.AÇO-Concreto_REator'!G29</f>
        <v>2606.4</v>
      </c>
      <c r="L316" s="120">
        <f>'Quant.AÇO-Concreto_REator'!H29</f>
        <v>0</v>
      </c>
      <c r="M316" s="54">
        <f t="shared" si="17"/>
        <v>8920.7199999999993</v>
      </c>
      <c r="N316" s="415"/>
    </row>
    <row r="317" spans="1:15" s="168" customFormat="1">
      <c r="A317" s="165"/>
      <c r="B317" s="166"/>
      <c r="C317" s="166"/>
      <c r="D317" s="569" t="s">
        <v>27</v>
      </c>
      <c r="E317" s="568"/>
      <c r="F317" s="568">
        <f t="shared" ref="F317:M317" si="18">SUM(F307:F316)</f>
        <v>811.00800000000004</v>
      </c>
      <c r="G317" s="568">
        <f t="shared" si="18"/>
        <v>5566.25</v>
      </c>
      <c r="H317" s="568">
        <f t="shared" si="18"/>
        <v>7762.6480000000001</v>
      </c>
      <c r="I317" s="568">
        <f t="shared" si="18"/>
        <v>9847.5804000000007</v>
      </c>
      <c r="J317" s="568">
        <f t="shared" si="18"/>
        <v>16534.66</v>
      </c>
      <c r="K317" s="568">
        <f t="shared" si="18"/>
        <v>12144.864</v>
      </c>
      <c r="L317" s="568">
        <f t="shared" si="18"/>
        <v>892.5</v>
      </c>
      <c r="M317" s="568">
        <f t="shared" si="18"/>
        <v>53559.510399999992</v>
      </c>
      <c r="N317" s="415">
        <f>M317/M291</f>
        <v>85.729889922519376</v>
      </c>
    </row>
    <row r="318" spans="1:15" s="35" customFormat="1" ht="38.25" customHeight="1">
      <c r="A318" s="161" t="s">
        <v>20372</v>
      </c>
      <c r="B318" s="87" t="s">
        <v>70</v>
      </c>
      <c r="C318" s="87">
        <v>92915</v>
      </c>
      <c r="D318" s="112" t="str">
        <f>PROPER(IF(B318="Saneago",VLOOKUP(C318,'SANEAGO-FEV.2016'!A:B,2,0),IF(B318="Sinapi",VLOOKUP(C318,'SINAPI-FEV.2017'!A:D,2,0),IF(B318="Cotação",VLOOKUP(C318,COTAÇÃO!A:D,2,0),IF(B318="Composição",VLOOKUP(C318,COMPOSIÇÃO!A:D,2,0))))))</f>
        <v>Armação De Estruturas De Concreto Armado, Exceto Vigas, Pilares, Lajes E Fundações Profundas (De Edifícios De Múltiplos Pavimentos, Edificação Térrea Ou Sobrado), Utilizando Aço Ca-60 De 5.0 Mm - Montagem. Af_12/2015</v>
      </c>
      <c r="E318" s="695"/>
      <c r="F318" s="695"/>
      <c r="G318" s="698"/>
      <c r="H318" s="698"/>
      <c r="I318" s="698"/>
      <c r="J318" s="75"/>
      <c r="K318" s="694" t="s">
        <v>27</v>
      </c>
      <c r="L318" s="694" t="s">
        <v>33</v>
      </c>
      <c r="M318" s="52">
        <f>F317</f>
        <v>811.00800000000004</v>
      </c>
      <c r="N318" s="415"/>
    </row>
    <row r="319" spans="1:15" s="35" customFormat="1">
      <c r="A319" s="161"/>
      <c r="B319" s="87"/>
      <c r="C319" s="87"/>
      <c r="D319" s="338"/>
      <c r="E319" s="105"/>
      <c r="F319" s="105"/>
      <c r="G319" s="692"/>
      <c r="H319" s="692"/>
      <c r="I319" s="692"/>
      <c r="J319" s="699"/>
      <c r="K319" s="691"/>
      <c r="L319" s="691"/>
      <c r="M319" s="55"/>
      <c r="N319" s="415"/>
    </row>
    <row r="320" spans="1:15" s="35" customFormat="1" ht="33.75">
      <c r="A320" s="161" t="s">
        <v>20373</v>
      </c>
      <c r="B320" s="87" t="s">
        <v>70</v>
      </c>
      <c r="C320" s="87">
        <v>92916</v>
      </c>
      <c r="D320" s="112" t="str">
        <f>PROPER(IF(B320="Saneago",VLOOKUP(C320,'SANEAGO-FEV.2016'!A:B,2,0),IF(B320="Sinapi",VLOOKUP(C320,'SINAPI-FEV.2017'!A:D,2,0),IF(B320="Cotação",VLOOKUP(C320,COTAÇÃO!A:D,2,0),IF(B320="Composição",VLOOKUP(C320,COMPOSIÇÃO!A:D,2,0))))))</f>
        <v>Armação De Estruturas De Concreto Armado, Exceto Vigas, Pilares, Lajes E Fundações Profundas (De Edifícios De Múltiplos Pavimentos, Edificação Térrea Ou Sobrado), Utilizando Aço Ca-50 De 6.3 Mm - Montagem. Af_12/2015</v>
      </c>
      <c r="E320" s="695"/>
      <c r="F320" s="695"/>
      <c r="G320" s="698"/>
      <c r="H320" s="698"/>
      <c r="I320" s="698"/>
      <c r="J320" s="75"/>
      <c r="K320" s="694" t="s">
        <v>27</v>
      </c>
      <c r="L320" s="694" t="s">
        <v>33</v>
      </c>
      <c r="M320" s="52">
        <f>G317</f>
        <v>5566.25</v>
      </c>
      <c r="N320" s="415"/>
    </row>
    <row r="321" spans="1:14" s="35" customFormat="1">
      <c r="A321" s="161"/>
      <c r="B321" s="87"/>
      <c r="C321" s="87"/>
      <c r="D321" s="338"/>
      <c r="E321" s="105"/>
      <c r="F321" s="105"/>
      <c r="G321" s="692"/>
      <c r="H321" s="692"/>
      <c r="I321" s="692"/>
      <c r="J321" s="699"/>
      <c r="K321" s="691"/>
      <c r="L321" s="691"/>
      <c r="M321" s="55"/>
      <c r="N321" s="415"/>
    </row>
    <row r="322" spans="1:14" s="35" customFormat="1" ht="33.75">
      <c r="A322" s="161" t="s">
        <v>20374</v>
      </c>
      <c r="B322" s="87" t="s">
        <v>70</v>
      </c>
      <c r="C322" s="87">
        <v>92917</v>
      </c>
      <c r="D322" s="112" t="str">
        <f>PROPER(IF(B322="Saneago",VLOOKUP(C322,'SANEAGO-FEV.2016'!A:B,2,0),IF(B322="Sinapi",VLOOKUP(C322,'SINAPI-FEV.2017'!A:D,2,0),IF(B322="Cotação",VLOOKUP(C322,COTAÇÃO!A:D,2,0),IF(B322="Composição",VLOOKUP(C322,COMPOSIÇÃO!A:D,2,0))))))</f>
        <v>Armação De Estruturas De Concreto Armado, Exceto Vigas, Pilares, Lajes E Fundações Profundas (De Edifícios De Múltiplos Pavimentos, Edificação Térrea Ou Sobrado), Utilizando Aço Ca-50 De 8.0 Mm - Montagem. Af_12/2015</v>
      </c>
      <c r="E322" s="695"/>
      <c r="F322" s="695"/>
      <c r="G322" s="698"/>
      <c r="H322" s="698"/>
      <c r="I322" s="698"/>
      <c r="J322" s="75"/>
      <c r="K322" s="694" t="s">
        <v>27</v>
      </c>
      <c r="L322" s="694" t="s">
        <v>33</v>
      </c>
      <c r="M322" s="52">
        <f>H317</f>
        <v>7762.6480000000001</v>
      </c>
      <c r="N322" s="415"/>
    </row>
    <row r="323" spans="1:14" s="35" customFormat="1">
      <c r="A323" s="161"/>
      <c r="B323" s="87"/>
      <c r="C323" s="87"/>
      <c r="D323" s="338"/>
      <c r="E323" s="105"/>
      <c r="F323" s="105"/>
      <c r="G323" s="692"/>
      <c r="H323" s="692"/>
      <c r="I323" s="692"/>
      <c r="J323" s="699"/>
      <c r="K323" s="691"/>
      <c r="L323" s="691"/>
      <c r="M323" s="55"/>
      <c r="N323" s="415"/>
    </row>
    <row r="324" spans="1:14" s="35" customFormat="1" ht="33.75">
      <c r="A324" s="161" t="s">
        <v>20375</v>
      </c>
      <c r="B324" s="87" t="s">
        <v>70</v>
      </c>
      <c r="C324" s="87">
        <v>92919</v>
      </c>
      <c r="D324" s="112" t="str">
        <f>PROPER(IF(B324="Saneago",VLOOKUP(C324,'SANEAGO-FEV.2016'!A:B,2,0),IF(B324="Sinapi",VLOOKUP(C324,'SINAPI-FEV.2017'!A:D,2,0),IF(B324="Cotação",VLOOKUP(C324,COTAÇÃO!A:D,2,0),IF(B324="Composição",VLOOKUP(C324,COMPOSIÇÃO!A:D,2,0))))))</f>
        <v>Armação De Estruturas De Concreto Armado, Exceto Vigas, Pilares, Lajes E Fundações Profundas (De Edifícios De Múltiplos Pavimentos, Edificação Térrea Ou Sobrado), Utilizando Aço Ca-50 De 10.0 Mm - Montagem. Af_12/2015</v>
      </c>
      <c r="E324" s="695"/>
      <c r="F324" s="695"/>
      <c r="G324" s="698"/>
      <c r="H324" s="698"/>
      <c r="I324" s="698"/>
      <c r="J324" s="75"/>
      <c r="K324" s="694" t="s">
        <v>27</v>
      </c>
      <c r="L324" s="694" t="s">
        <v>33</v>
      </c>
      <c r="M324" s="52">
        <f>I317</f>
        <v>9847.5804000000007</v>
      </c>
      <c r="N324" s="415"/>
    </row>
    <row r="325" spans="1:14" s="35" customFormat="1">
      <c r="A325" s="161"/>
      <c r="B325" s="87"/>
      <c r="C325" s="87"/>
      <c r="D325" s="338"/>
      <c r="E325" s="105"/>
      <c r="F325" s="105"/>
      <c r="G325" s="692"/>
      <c r="H325" s="692"/>
      <c r="I325" s="692"/>
      <c r="J325" s="699"/>
      <c r="K325" s="691"/>
      <c r="L325" s="691"/>
      <c r="M325" s="55"/>
      <c r="N325" s="415"/>
    </row>
    <row r="326" spans="1:14" s="35" customFormat="1" ht="33.75">
      <c r="A326" s="161" t="s">
        <v>20376</v>
      </c>
      <c r="B326" s="87" t="s">
        <v>70</v>
      </c>
      <c r="C326" s="87">
        <v>92921</v>
      </c>
      <c r="D326" s="112" t="str">
        <f>PROPER(IF(B326="Saneago",VLOOKUP(C326,'SANEAGO-FEV.2016'!A:B,2,0),IF(B326="Sinapi",VLOOKUP(C326,'SINAPI-FEV.2017'!A:D,2,0),IF(B326="Cotação",VLOOKUP(C326,COTAÇÃO!A:D,2,0),IF(B326="Composição",VLOOKUP(C326,COMPOSIÇÃO!A:D,2,0))))))</f>
        <v>Armação De Estruturas De Concreto Armado, Exceto Vigas, Pilares, Lajes E Fundações Profundas (De Edifícios De Múltiplos Pavimentos, Edificação Térrea Ou Sobrado), Utilizando Aço Ca-50 De 12.5 Mm - Montagem. Af_12/2015</v>
      </c>
      <c r="E326" s="695"/>
      <c r="F326" s="695"/>
      <c r="G326" s="698"/>
      <c r="H326" s="698"/>
      <c r="I326" s="698"/>
      <c r="J326" s="75"/>
      <c r="K326" s="694" t="s">
        <v>27</v>
      </c>
      <c r="L326" s="694" t="s">
        <v>33</v>
      </c>
      <c r="M326" s="52">
        <f>J317</f>
        <v>16534.66</v>
      </c>
      <c r="N326" s="415"/>
    </row>
    <row r="327" spans="1:14" s="35" customFormat="1">
      <c r="A327" s="161"/>
      <c r="B327" s="87"/>
      <c r="C327" s="87"/>
      <c r="D327" s="338"/>
      <c r="E327" s="105"/>
      <c r="F327" s="105"/>
      <c r="G327" s="692"/>
      <c r="H327" s="692"/>
      <c r="I327" s="692"/>
      <c r="J327" s="699"/>
      <c r="K327" s="691"/>
      <c r="L327" s="691"/>
      <c r="M327" s="55"/>
      <c r="N327" s="415"/>
    </row>
    <row r="328" spans="1:14" s="35" customFormat="1" ht="34.5" customHeight="1">
      <c r="A328" s="161" t="s">
        <v>20377</v>
      </c>
      <c r="B328" s="87" t="s">
        <v>70</v>
      </c>
      <c r="C328" s="87">
        <v>92922</v>
      </c>
      <c r="D328" s="112" t="str">
        <f>PROPER(IF(B328="Saneago",VLOOKUP(C328,'SANEAGO-FEV.2016'!A:B,2,0),IF(B328="Sinapi",VLOOKUP(C328,'SINAPI-FEV.2017'!A:D,2,0),IF(B328="Cotação",VLOOKUP(C328,COTAÇÃO!A:D,2,0),IF(B328="Composição",VLOOKUP(C328,COMPOSIÇÃO!A:D,2,0))))))</f>
        <v>Armação De Estruturas De Concreto Armado, Exceto Vigas, Pilares, Lajes E Fundações Profundas (De Edifícios De Múltiplos Pavimentos, Edificação Térrea Ou Sobrado), Utilizando Aço Ca-50 De 16.0 Mm - Montagem. Af_12/2015</v>
      </c>
      <c r="E328" s="695"/>
      <c r="F328" s="695"/>
      <c r="G328" s="698"/>
      <c r="H328" s="698"/>
      <c r="I328" s="698"/>
      <c r="J328" s="75"/>
      <c r="K328" s="694" t="s">
        <v>27</v>
      </c>
      <c r="L328" s="694" t="s">
        <v>33</v>
      </c>
      <c r="M328" s="52">
        <f>K317</f>
        <v>12144.864</v>
      </c>
      <c r="N328" s="415"/>
    </row>
    <row r="329" spans="1:14" s="35" customFormat="1">
      <c r="A329" s="157"/>
      <c r="B329" s="87"/>
      <c r="C329" s="87"/>
      <c r="D329" s="338"/>
      <c r="E329" s="105"/>
      <c r="F329" s="105"/>
      <c r="G329" s="692" t="s">
        <v>30</v>
      </c>
      <c r="H329" s="692" t="s">
        <v>30</v>
      </c>
      <c r="I329" s="692" t="s">
        <v>30</v>
      </c>
      <c r="J329" s="692" t="s">
        <v>30</v>
      </c>
      <c r="K329" s="692" t="s">
        <v>30</v>
      </c>
      <c r="L329" s="692" t="s">
        <v>30</v>
      </c>
      <c r="M329" s="558"/>
      <c r="N329" s="415"/>
    </row>
    <row r="330" spans="1:14" s="35" customFormat="1" ht="34.5" customHeight="1">
      <c r="A330" s="161" t="s">
        <v>20378</v>
      </c>
      <c r="B330" s="87" t="s">
        <v>70</v>
      </c>
      <c r="C330" s="87">
        <v>92923</v>
      </c>
      <c r="D330" s="112" t="str">
        <f>PROPER(IF(B330="Saneago",VLOOKUP(C330,'SANEAGO-FEV.2016'!A:B,2,0),IF(B330="Sinapi",VLOOKUP(C330,'SINAPI-FEV.2017'!A:D,2,0),IF(B330="Cotação",VLOOKUP(C330,COTAÇÃO!A:D,2,0),IF(B330="Composição",VLOOKUP(C330,COMPOSIÇÃO!A:D,2,0))))))</f>
        <v>Armação De Estruturas De Concreto Armado, Exceto Vigas, Pilares, Lajes E Fundações Profundas (De Edifícios De Múltiplos Pavimentos, Edificação Térrea Ou Sobrado), Utilizando Aço Ca-50 De 20.0 Mm - Montagem. Af_12/2015</v>
      </c>
      <c r="E330" s="695"/>
      <c r="F330" s="695"/>
      <c r="G330" s="698"/>
      <c r="H330" s="698"/>
      <c r="I330" s="698"/>
      <c r="J330" s="75"/>
      <c r="K330" s="694" t="s">
        <v>27</v>
      </c>
      <c r="L330" s="694" t="s">
        <v>33</v>
      </c>
      <c r="M330" s="52">
        <f>L317</f>
        <v>892.5</v>
      </c>
      <c r="N330" s="415"/>
    </row>
    <row r="331" spans="1:14" s="35" customFormat="1">
      <c r="A331" s="157"/>
      <c r="B331" s="87"/>
      <c r="C331" s="87"/>
      <c r="D331" s="338"/>
      <c r="E331" s="105"/>
      <c r="F331" s="105"/>
      <c r="G331" s="692" t="s">
        <v>30</v>
      </c>
      <c r="H331" s="692" t="s">
        <v>30</v>
      </c>
      <c r="I331" s="692" t="s">
        <v>30</v>
      </c>
      <c r="J331" s="692" t="s">
        <v>30</v>
      </c>
      <c r="K331" s="692" t="s">
        <v>30</v>
      </c>
      <c r="L331" s="692" t="s">
        <v>30</v>
      </c>
      <c r="M331" s="558" t="s">
        <v>30</v>
      </c>
      <c r="N331" s="693"/>
    </row>
    <row r="332" spans="1:14" s="35" customFormat="1">
      <c r="A332" s="157" t="s">
        <v>12566</v>
      </c>
      <c r="B332" s="87" t="s">
        <v>70</v>
      </c>
      <c r="C332" s="87" t="s">
        <v>19257</v>
      </c>
      <c r="D332" s="112" t="str">
        <f>PROPER(IF(B332="Saneago",VLOOKUP(C332,'SANEAGO-FEV.2016'!A:B,2,0),IF(B332="Sinapi",VLOOKUP(C332,'SINAPI-FEV.2017'!A:D,2,0),IF(B332="Cotação",VLOOKUP(C332,COTAÇÃO!A:D,2,0),IF(B332="Composição",VLOOKUP(C332,COMPOSIÇÃO!A:D,2,0))))))</f>
        <v>Ensaio De Consistencia Do Concreto Ccr - Indice Vebe</v>
      </c>
      <c r="E332" s="695"/>
      <c r="F332" s="695"/>
      <c r="G332" s="698"/>
      <c r="H332" s="698"/>
      <c r="I332" s="698"/>
      <c r="J332" s="698"/>
      <c r="K332" s="698"/>
      <c r="L332" s="694" t="s">
        <v>26</v>
      </c>
      <c r="M332" s="52">
        <f>ROUNDUP(M291/50,0)</f>
        <v>13</v>
      </c>
      <c r="N332" s="693"/>
    </row>
    <row r="333" spans="1:14" s="35" customFormat="1">
      <c r="A333" s="157"/>
      <c r="B333" s="87"/>
      <c r="C333" s="87"/>
      <c r="D333" s="338"/>
      <c r="E333" s="105"/>
      <c r="F333" s="105"/>
      <c r="G333" s="692"/>
      <c r="H333" s="692"/>
      <c r="I333" s="692"/>
      <c r="J333" s="692"/>
      <c r="K333" s="692"/>
      <c r="L333" s="691"/>
      <c r="M333" s="55"/>
      <c r="N333" s="693"/>
    </row>
    <row r="334" spans="1:14" s="35" customFormat="1" ht="14.25" hidden="1" thickTop="1" thickBot="1">
      <c r="A334" s="157"/>
      <c r="B334" s="87"/>
      <c r="C334" s="87"/>
      <c r="D334" s="110" t="s">
        <v>14309</v>
      </c>
      <c r="E334" s="111"/>
      <c r="F334" s="111"/>
      <c r="G334" s="111"/>
      <c r="H334" s="111"/>
      <c r="I334" s="111"/>
      <c r="J334" s="111"/>
      <c r="K334" s="111"/>
      <c r="L334" s="682" t="s">
        <v>25</v>
      </c>
      <c r="M334" s="683" t="s">
        <v>27</v>
      </c>
      <c r="N334" s="693"/>
    </row>
    <row r="335" spans="1:14" s="35" customFormat="1" ht="13.5" hidden="1" thickTop="1">
      <c r="A335" s="157"/>
      <c r="B335" s="87"/>
      <c r="C335" s="87"/>
      <c r="D335" s="338"/>
      <c r="E335" s="105"/>
      <c r="F335" s="105"/>
      <c r="G335" s="692" t="s">
        <v>30</v>
      </c>
      <c r="H335" s="692" t="s">
        <v>30</v>
      </c>
      <c r="I335" s="692" t="s">
        <v>30</v>
      </c>
      <c r="J335" s="692" t="s">
        <v>30</v>
      </c>
      <c r="K335" s="692" t="s">
        <v>30</v>
      </c>
      <c r="L335" s="692" t="s">
        <v>30</v>
      </c>
      <c r="M335" s="558" t="s">
        <v>30</v>
      </c>
      <c r="N335" s="693"/>
    </row>
    <row r="336" spans="1:14" s="35" customFormat="1" hidden="1">
      <c r="A336" s="157" t="s">
        <v>14308</v>
      </c>
      <c r="B336" s="87" t="s">
        <v>13957</v>
      </c>
      <c r="C336" s="87" t="s">
        <v>14310</v>
      </c>
      <c r="D336" s="112" t="str">
        <f>PROPER(IF(B336="Saneago",VLOOKUP(C336,'SANEAGO-FEV.2016'!A:B,2,0),IF(B336="Sinapi",VLOOKUP(C336,'SINAPI-FEV.2017'!A:D,2,0),IF(B336="Cotação",VLOOKUP(C336,COTAÇÃO!A:D,2,0),IF(B336="Composição",VLOOKUP(C336,COMPOSIÇÃO!A:D,2,0))))))</f>
        <v>Tamponamento Dos Furos Em Paredes De Concreto Aparente</v>
      </c>
      <c r="E336" s="695"/>
      <c r="F336" s="695"/>
      <c r="G336" s="698"/>
      <c r="H336" s="698"/>
      <c r="I336" s="698"/>
      <c r="J336" s="698"/>
      <c r="K336" s="698"/>
      <c r="L336" s="694" t="s">
        <v>26</v>
      </c>
      <c r="M336" s="140">
        <v>1400</v>
      </c>
      <c r="N336" s="693"/>
    </row>
    <row r="337" spans="1:15" s="35" customFormat="1" hidden="1">
      <c r="A337" s="157"/>
      <c r="B337" s="87"/>
      <c r="C337" s="87"/>
      <c r="D337" s="338"/>
      <c r="E337" s="105"/>
      <c r="F337" s="105"/>
      <c r="G337" s="692" t="s">
        <v>30</v>
      </c>
      <c r="H337" s="692" t="s">
        <v>30</v>
      </c>
      <c r="I337" s="692" t="s">
        <v>30</v>
      </c>
      <c r="J337" s="692" t="s">
        <v>30</v>
      </c>
      <c r="K337" s="692" t="s">
        <v>30</v>
      </c>
      <c r="L337" s="692" t="s">
        <v>30</v>
      </c>
      <c r="M337" s="336" t="s">
        <v>30</v>
      </c>
      <c r="N337" s="693"/>
    </row>
    <row r="338" spans="1:15" s="35" customFormat="1" hidden="1">
      <c r="A338" s="157" t="s">
        <v>14316</v>
      </c>
      <c r="B338" s="87" t="s">
        <v>13957</v>
      </c>
      <c r="C338" s="87" t="s">
        <v>14312</v>
      </c>
      <c r="D338" s="112" t="str">
        <f>PROPER(IF(B338="Saneago",VLOOKUP(C338,'SANEAGO-FEV.2016'!A:B,2,0),IF(B338="Sinapi",VLOOKUP(C338,'SINAPI-FEV.2017'!A:D,2,0),IF(B338="Cotação",VLOOKUP(C338,COTAÇÃO!A:D,2,0),IF(B338="Composição",VLOOKUP(C338,COMPOSIÇÃO!A:D,2,0))))))</f>
        <v>Jateamento Com Areia Em Estrutura Metálica (Aço Ca-50)</v>
      </c>
      <c r="E338" s="695"/>
      <c r="F338" s="695"/>
      <c r="G338" s="698"/>
      <c r="H338" s="698"/>
      <c r="I338" s="698"/>
      <c r="J338" s="698"/>
      <c r="K338" s="698"/>
      <c r="L338" s="694" t="s">
        <v>21</v>
      </c>
      <c r="M338" s="140">
        <v>860</v>
      </c>
      <c r="N338" s="693"/>
    </row>
    <row r="339" spans="1:15" s="35" customFormat="1" hidden="1">
      <c r="A339" s="157"/>
      <c r="B339" s="87"/>
      <c r="C339" s="87"/>
      <c r="D339" s="338"/>
      <c r="E339" s="105"/>
      <c r="F339" s="105"/>
      <c r="G339" s="692" t="s">
        <v>30</v>
      </c>
      <c r="H339" s="692" t="s">
        <v>30</v>
      </c>
      <c r="I339" s="692" t="s">
        <v>30</v>
      </c>
      <c r="J339" s="692" t="s">
        <v>30</v>
      </c>
      <c r="K339" s="692" t="s">
        <v>30</v>
      </c>
      <c r="L339" s="692" t="s">
        <v>30</v>
      </c>
      <c r="M339" s="336" t="s">
        <v>30</v>
      </c>
      <c r="N339" s="693"/>
    </row>
    <row r="340" spans="1:15" s="35" customFormat="1" hidden="1">
      <c r="A340" s="157" t="s">
        <v>12660</v>
      </c>
      <c r="B340" s="87" t="s">
        <v>13957</v>
      </c>
      <c r="C340" s="87" t="s">
        <v>14314</v>
      </c>
      <c r="D340" s="112" t="str">
        <f>PROPER(IF(B340="Saneago",VLOOKUP(C340,'SANEAGO-FEV.2016'!A:B,2,0),IF(B340="Sinapi",VLOOKUP(C340,'SINAPI-FEV.2017'!A:D,2,0),IF(B340="Cotação",VLOOKUP(C340,COTAÇÃO!A:D,2,0),IF(B340="Composição",VLOOKUP(C340,COMPOSIÇÃO!A:D,2,0))))))</f>
        <v>Regularização Da Superfície De Concreto Aparente</v>
      </c>
      <c r="E340" s="695"/>
      <c r="F340" s="695"/>
      <c r="G340" s="698"/>
      <c r="H340" s="698"/>
      <c r="I340" s="698"/>
      <c r="J340" s="698"/>
      <c r="K340" s="698"/>
      <c r="L340" s="694" t="s">
        <v>21</v>
      </c>
      <c r="M340" s="140">
        <v>160</v>
      </c>
      <c r="N340" s="693"/>
    </row>
    <row r="341" spans="1:15" s="35" customFormat="1" ht="13.5" hidden="1" thickBot="1">
      <c r="A341" s="157"/>
      <c r="B341" s="87"/>
      <c r="C341" s="87"/>
      <c r="D341" s="338"/>
      <c r="E341" s="105"/>
      <c r="F341" s="105"/>
      <c r="G341" s="691"/>
      <c r="H341" s="691"/>
      <c r="I341" s="691"/>
      <c r="J341" s="691"/>
      <c r="K341" s="691"/>
      <c r="L341" s="691"/>
      <c r="M341" s="54"/>
      <c r="N341" s="693"/>
    </row>
    <row r="342" spans="1:15" s="35" customFormat="1" ht="14.25" hidden="1" thickTop="1" thickBot="1">
      <c r="A342" s="157"/>
      <c r="B342" s="87"/>
      <c r="C342" s="87"/>
      <c r="D342" s="110" t="s">
        <v>55</v>
      </c>
      <c r="E342" s="111"/>
      <c r="F342" s="111"/>
      <c r="G342" s="111"/>
      <c r="H342" s="111"/>
      <c r="I342" s="111"/>
      <c r="J342" s="111"/>
      <c r="K342" s="111"/>
      <c r="L342" s="682" t="s">
        <v>25</v>
      </c>
      <c r="M342" s="683" t="s">
        <v>27</v>
      </c>
      <c r="N342" s="693"/>
    </row>
    <row r="343" spans="1:15" s="168" customFormat="1" ht="13.5" hidden="1" thickTop="1">
      <c r="A343" s="165"/>
      <c r="B343" s="166"/>
      <c r="C343" s="166"/>
      <c r="D343" s="124" t="s">
        <v>14324</v>
      </c>
      <c r="E343" s="687" t="s">
        <v>1275</v>
      </c>
      <c r="F343" s="687" t="s">
        <v>11684</v>
      </c>
      <c r="G343" s="687" t="s">
        <v>19</v>
      </c>
      <c r="H343" s="687" t="s">
        <v>32</v>
      </c>
      <c r="I343" s="687" t="s">
        <v>36</v>
      </c>
      <c r="J343" s="687" t="s">
        <v>12593</v>
      </c>
      <c r="K343" s="687" t="s">
        <v>30</v>
      </c>
      <c r="L343" s="687" t="s">
        <v>30</v>
      </c>
      <c r="M343" s="167" t="s">
        <v>30</v>
      </c>
      <c r="N343" s="680"/>
      <c r="O343" s="127"/>
    </row>
    <row r="344" spans="1:15" s="35" customFormat="1" hidden="1">
      <c r="A344" s="157"/>
      <c r="B344" s="87"/>
      <c r="C344" s="87"/>
      <c r="D344" s="684" t="s">
        <v>12518</v>
      </c>
      <c r="E344" s="691">
        <f>2*2</f>
        <v>4</v>
      </c>
      <c r="F344" s="692">
        <f>17.2</f>
        <v>17.2</v>
      </c>
      <c r="G344" s="692">
        <f>13.4</f>
        <v>13.4</v>
      </c>
      <c r="H344" s="692">
        <v>0.3</v>
      </c>
      <c r="I344" s="692" t="s">
        <v>30</v>
      </c>
      <c r="J344" s="692" t="s">
        <v>30</v>
      </c>
      <c r="K344" s="692"/>
      <c r="L344" s="692" t="s">
        <v>21</v>
      </c>
      <c r="M344" s="558">
        <f>E344*(F344*G344)</f>
        <v>921.92</v>
      </c>
      <c r="N344" s="693"/>
      <c r="O344" s="33"/>
    </row>
    <row r="345" spans="1:15" s="35" customFormat="1" hidden="1">
      <c r="A345" s="157"/>
      <c r="B345" s="87"/>
      <c r="C345" s="87"/>
      <c r="D345" s="684" t="s">
        <v>12620</v>
      </c>
      <c r="E345" s="691">
        <f>2*24*2</f>
        <v>96</v>
      </c>
      <c r="F345" s="692">
        <v>0.2</v>
      </c>
      <c r="G345" s="692">
        <v>0.2</v>
      </c>
      <c r="H345" s="692">
        <v>4.7</v>
      </c>
      <c r="I345" s="692" t="s">
        <v>30</v>
      </c>
      <c r="J345" s="692" t="s">
        <v>30</v>
      </c>
      <c r="K345" s="692"/>
      <c r="L345" s="692" t="s">
        <v>21</v>
      </c>
      <c r="M345" s="558">
        <f>E345*((2*F345+2*G345)*H345)</f>
        <v>360.96000000000004</v>
      </c>
      <c r="N345" s="693"/>
      <c r="O345" s="33"/>
    </row>
    <row r="346" spans="1:15" s="35" customFormat="1" hidden="1">
      <c r="A346" s="157"/>
      <c r="B346" s="87"/>
      <c r="C346" s="87"/>
      <c r="D346" s="684" t="s">
        <v>12594</v>
      </c>
      <c r="E346" s="691">
        <f>72*2</f>
        <v>144</v>
      </c>
      <c r="F346" s="692">
        <v>0.3</v>
      </c>
      <c r="G346" s="692">
        <v>0.05</v>
      </c>
      <c r="H346" s="692">
        <f>1.2+0.15</f>
        <v>1.3499999999999999</v>
      </c>
      <c r="I346" s="692"/>
      <c r="J346" s="692" t="s">
        <v>30</v>
      </c>
      <c r="K346" s="692"/>
      <c r="L346" s="692" t="s">
        <v>21</v>
      </c>
      <c r="M346" s="558">
        <f>E346*((2*F346+2*G346)*H346)</f>
        <v>136.07999999999998</v>
      </c>
      <c r="N346" s="693"/>
    </row>
    <row r="347" spans="1:15" s="35" customFormat="1" ht="12.75" hidden="1" customHeight="1">
      <c r="A347" s="157"/>
      <c r="B347" s="87"/>
      <c r="C347" s="87"/>
      <c r="D347" s="684" t="s">
        <v>12664</v>
      </c>
      <c r="E347" s="691">
        <v>4</v>
      </c>
      <c r="F347" s="692">
        <f>17.2</f>
        <v>17.2</v>
      </c>
      <c r="G347" s="692">
        <f>13.9-0.5</f>
        <v>13.4</v>
      </c>
      <c r="H347" s="692">
        <v>4.7</v>
      </c>
      <c r="I347" s="692">
        <v>0.25</v>
      </c>
      <c r="J347" s="692" t="s">
        <v>30</v>
      </c>
      <c r="K347" s="692"/>
      <c r="L347" s="692" t="s">
        <v>21</v>
      </c>
      <c r="M347" s="558">
        <f>E347*((2*F347+2*G347)*H347)</f>
        <v>1150.5600000000002</v>
      </c>
      <c r="N347" s="693"/>
    </row>
    <row r="348" spans="1:15" s="35" customFormat="1" ht="12.75" hidden="1" customHeight="1">
      <c r="A348" s="157"/>
      <c r="B348" s="87"/>
      <c r="C348" s="87"/>
      <c r="D348" s="684" t="s">
        <v>12665</v>
      </c>
      <c r="E348" s="691">
        <f>8*2*2</f>
        <v>32</v>
      </c>
      <c r="F348" s="692">
        <v>17.2</v>
      </c>
      <c r="G348" s="692" t="s">
        <v>30</v>
      </c>
      <c r="H348" s="692">
        <v>0.9</v>
      </c>
      <c r="I348" s="692">
        <v>0.2</v>
      </c>
      <c r="J348" s="692" t="s">
        <v>30</v>
      </c>
      <c r="K348" s="692"/>
      <c r="L348" s="692" t="s">
        <v>21</v>
      </c>
      <c r="M348" s="558">
        <f t="shared" ref="M348:M353" si="19">E348*((F348*I348)+(2*F348*H348))</f>
        <v>1100.8</v>
      </c>
      <c r="N348" s="693"/>
    </row>
    <row r="349" spans="1:15" s="35" customFormat="1" ht="12.75" hidden="1" customHeight="1">
      <c r="A349" s="157"/>
      <c r="B349" s="87"/>
      <c r="C349" s="87"/>
      <c r="D349" s="684" t="s">
        <v>12588</v>
      </c>
      <c r="E349" s="691">
        <f>4*2*2</f>
        <v>16</v>
      </c>
      <c r="F349" s="692">
        <v>2.4500000000000002</v>
      </c>
      <c r="G349" s="692" t="s">
        <v>30</v>
      </c>
      <c r="H349" s="692">
        <v>0.3</v>
      </c>
      <c r="I349" s="692">
        <v>0.2</v>
      </c>
      <c r="J349" s="692" t="s">
        <v>30</v>
      </c>
      <c r="K349" s="692"/>
      <c r="L349" s="692" t="s">
        <v>21</v>
      </c>
      <c r="M349" s="558">
        <f t="shared" si="19"/>
        <v>31.36</v>
      </c>
      <c r="N349" s="693"/>
    </row>
    <row r="350" spans="1:15" s="35" customFormat="1" ht="12.75" hidden="1" customHeight="1">
      <c r="A350" s="157"/>
      <c r="B350" s="87"/>
      <c r="C350" s="87"/>
      <c r="D350" s="684" t="s">
        <v>12589</v>
      </c>
      <c r="E350" s="691">
        <f>4*2*2</f>
        <v>16</v>
      </c>
      <c r="F350" s="692">
        <v>4.5</v>
      </c>
      <c r="G350" s="692" t="s">
        <v>30</v>
      </c>
      <c r="H350" s="692">
        <v>0.3</v>
      </c>
      <c r="I350" s="692">
        <v>0.2</v>
      </c>
      <c r="J350" s="692" t="s">
        <v>30</v>
      </c>
      <c r="K350" s="692"/>
      <c r="L350" s="692" t="s">
        <v>21</v>
      </c>
      <c r="M350" s="558">
        <f t="shared" si="19"/>
        <v>57.599999999999994</v>
      </c>
      <c r="N350" s="693"/>
    </row>
    <row r="351" spans="1:15" s="35" customFormat="1" ht="12.75" hidden="1" customHeight="1">
      <c r="A351" s="157"/>
      <c r="B351" s="87"/>
      <c r="C351" s="87"/>
      <c r="D351" s="684" t="s">
        <v>12590</v>
      </c>
      <c r="E351" s="691">
        <f>8*2*2</f>
        <v>32</v>
      </c>
      <c r="F351" s="692">
        <v>12.8</v>
      </c>
      <c r="G351" s="692" t="s">
        <v>30</v>
      </c>
      <c r="H351" s="692">
        <v>0.3</v>
      </c>
      <c r="I351" s="692">
        <v>0.2</v>
      </c>
      <c r="J351" s="692" t="s">
        <v>30</v>
      </c>
      <c r="K351" s="692"/>
      <c r="L351" s="692" t="s">
        <v>21</v>
      </c>
      <c r="M351" s="558">
        <f t="shared" si="19"/>
        <v>327.68</v>
      </c>
      <c r="N351" s="693"/>
    </row>
    <row r="352" spans="1:15" s="35" customFormat="1" hidden="1">
      <c r="A352" s="157"/>
      <c r="B352" s="87"/>
      <c r="C352" s="87"/>
      <c r="D352" s="684" t="s">
        <v>12591</v>
      </c>
      <c r="E352" s="691">
        <f>2*2</f>
        <v>4</v>
      </c>
      <c r="F352" s="692">
        <v>17.2</v>
      </c>
      <c r="G352" s="692" t="s">
        <v>30</v>
      </c>
      <c r="H352" s="692">
        <v>0.15</v>
      </c>
      <c r="I352" s="692">
        <v>0.2</v>
      </c>
      <c r="J352" s="692" t="s">
        <v>30</v>
      </c>
      <c r="K352" s="692"/>
      <c r="L352" s="692" t="s">
        <v>21</v>
      </c>
      <c r="M352" s="558">
        <f t="shared" si="19"/>
        <v>34.4</v>
      </c>
      <c r="N352" s="693"/>
    </row>
    <row r="353" spans="1:14" s="35" customFormat="1" hidden="1">
      <c r="A353" s="157"/>
      <c r="B353" s="87"/>
      <c r="C353" s="87"/>
      <c r="D353" s="684" t="s">
        <v>12592</v>
      </c>
      <c r="E353" s="691">
        <f>16*2</f>
        <v>32</v>
      </c>
      <c r="F353" s="692">
        <v>12.8</v>
      </c>
      <c r="G353" s="692" t="s">
        <v>30</v>
      </c>
      <c r="H353" s="692">
        <v>0.3</v>
      </c>
      <c r="I353" s="692">
        <v>0.2</v>
      </c>
      <c r="J353" s="692" t="s">
        <v>30</v>
      </c>
      <c r="K353" s="692"/>
      <c r="L353" s="692" t="s">
        <v>21</v>
      </c>
      <c r="M353" s="558">
        <f t="shared" si="19"/>
        <v>327.68</v>
      </c>
      <c r="N353" s="693"/>
    </row>
    <row r="354" spans="1:14" s="35" customFormat="1" hidden="1">
      <c r="A354" s="157"/>
      <c r="B354" s="87"/>
      <c r="C354" s="87"/>
      <c r="D354" s="697" t="s">
        <v>12596</v>
      </c>
      <c r="E354" s="696">
        <f>2*2</f>
        <v>4</v>
      </c>
      <c r="F354" s="559">
        <f>(0.85*2+0.45)</f>
        <v>2.15</v>
      </c>
      <c r="G354" s="559">
        <v>13.4</v>
      </c>
      <c r="H354" s="559"/>
      <c r="I354" s="559"/>
      <c r="J354" s="559"/>
      <c r="K354" s="559"/>
      <c r="L354" s="559" t="s">
        <v>21</v>
      </c>
      <c r="M354" s="172">
        <f t="shared" ref="M354:M360" si="20">E354*F354*G354</f>
        <v>115.24</v>
      </c>
      <c r="N354" s="693"/>
    </row>
    <row r="355" spans="1:14" s="35" customFormat="1" hidden="1">
      <c r="A355" s="157"/>
      <c r="B355" s="87"/>
      <c r="C355" s="87"/>
      <c r="D355" s="684" t="s">
        <v>12597</v>
      </c>
      <c r="E355" s="691">
        <f>4*2</f>
        <v>8</v>
      </c>
      <c r="F355" s="692">
        <f>0.65*2+0.11</f>
        <v>1.4100000000000001</v>
      </c>
      <c r="G355" s="692">
        <v>17.2</v>
      </c>
      <c r="H355" s="692"/>
      <c r="I355" s="692"/>
      <c r="J355" s="692"/>
      <c r="K355" s="692"/>
      <c r="L355" s="692" t="s">
        <v>21</v>
      </c>
      <c r="M355" s="558">
        <f t="shared" si="20"/>
        <v>194.01600000000002</v>
      </c>
      <c r="N355" s="693"/>
    </row>
    <row r="356" spans="1:14" s="35" customFormat="1" hidden="1">
      <c r="A356" s="157"/>
      <c r="B356" s="87"/>
      <c r="C356" s="87"/>
      <c r="D356" s="684" t="s">
        <v>12598</v>
      </c>
      <c r="E356" s="691">
        <f>6*2</f>
        <v>12</v>
      </c>
      <c r="F356" s="692">
        <f>0.55*2+0.2+0.11*2+0.6*2</f>
        <v>2.7199999999999998</v>
      </c>
      <c r="G356" s="692">
        <v>17.2</v>
      </c>
      <c r="H356" s="692"/>
      <c r="I356" s="692"/>
      <c r="J356" s="692"/>
      <c r="K356" s="692"/>
      <c r="L356" s="692" t="s">
        <v>21</v>
      </c>
      <c r="M356" s="558">
        <f t="shared" si="20"/>
        <v>561.40800000000002</v>
      </c>
      <c r="N356" s="693"/>
    </row>
    <row r="357" spans="1:14" s="35" customFormat="1" hidden="1">
      <c r="A357" s="157"/>
      <c r="B357" s="87"/>
      <c r="C357" s="87"/>
      <c r="D357" s="684" t="s">
        <v>12599</v>
      </c>
      <c r="E357" s="691">
        <f>2*2</f>
        <v>4</v>
      </c>
      <c r="F357" s="692">
        <f>0.85*2+0.45</f>
        <v>2.15</v>
      </c>
      <c r="G357" s="692">
        <v>13.4</v>
      </c>
      <c r="H357" s="692"/>
      <c r="I357" s="692"/>
      <c r="J357" s="692"/>
      <c r="K357" s="692"/>
      <c r="L357" s="692" t="s">
        <v>21</v>
      </c>
      <c r="M357" s="558">
        <f t="shared" si="20"/>
        <v>115.24</v>
      </c>
      <c r="N357" s="693"/>
    </row>
    <row r="358" spans="1:14" s="35" customFormat="1" hidden="1">
      <c r="A358" s="157"/>
      <c r="B358" s="87"/>
      <c r="C358" s="87"/>
      <c r="D358" s="684" t="s">
        <v>12600</v>
      </c>
      <c r="E358" s="691">
        <f>4*2</f>
        <v>8</v>
      </c>
      <c r="F358" s="692">
        <v>0.8</v>
      </c>
      <c r="G358" s="692">
        <v>0.8</v>
      </c>
      <c r="H358" s="692"/>
      <c r="I358" s="692"/>
      <c r="J358" s="692"/>
      <c r="K358" s="692"/>
      <c r="L358" s="692" t="s">
        <v>21</v>
      </c>
      <c r="M358" s="558">
        <f>E358*F358*G358</f>
        <v>5.120000000000001</v>
      </c>
      <c r="N358" s="693"/>
    </row>
    <row r="359" spans="1:14" s="35" customFormat="1" hidden="1">
      <c r="A359" s="157"/>
      <c r="B359" s="87"/>
      <c r="C359" s="87"/>
      <c r="D359" s="684" t="s">
        <v>12601</v>
      </c>
      <c r="E359" s="691">
        <f>8*2</f>
        <v>16</v>
      </c>
      <c r="F359" s="692">
        <v>1.5</v>
      </c>
      <c r="G359" s="692">
        <v>17.2</v>
      </c>
      <c r="H359" s="692"/>
      <c r="I359" s="692"/>
      <c r="J359" s="692"/>
      <c r="K359" s="692"/>
      <c r="L359" s="692" t="s">
        <v>21</v>
      </c>
      <c r="M359" s="558">
        <f t="shared" si="20"/>
        <v>412.79999999999995</v>
      </c>
      <c r="N359" s="693"/>
    </row>
    <row r="360" spans="1:14" s="35" customFormat="1" hidden="1">
      <c r="A360" s="157"/>
      <c r="B360" s="87"/>
      <c r="C360" s="87"/>
      <c r="D360" s="414" t="s">
        <v>12602</v>
      </c>
      <c r="E360" s="694">
        <f>4*2</f>
        <v>8</v>
      </c>
      <c r="F360" s="694">
        <f>(50+20+15+47.5+30+15+45)/100</f>
        <v>2.2250000000000001</v>
      </c>
      <c r="G360" s="698">
        <f>2.15+0.3</f>
        <v>2.4499999999999997</v>
      </c>
      <c r="H360" s="698"/>
      <c r="I360" s="698"/>
      <c r="J360" s="698"/>
      <c r="K360" s="698"/>
      <c r="L360" s="698" t="s">
        <v>21</v>
      </c>
      <c r="M360" s="133">
        <f t="shared" si="20"/>
        <v>43.61</v>
      </c>
      <c r="N360" s="693"/>
    </row>
    <row r="361" spans="1:14" s="35" customFormat="1" hidden="1">
      <c r="A361" s="157"/>
      <c r="B361" s="87"/>
      <c r="C361" s="87"/>
      <c r="D361" s="697" t="s">
        <v>12613</v>
      </c>
      <c r="E361" s="696">
        <f>2*2*2</f>
        <v>8</v>
      </c>
      <c r="F361" s="173">
        <v>2.15</v>
      </c>
      <c r="G361" s="173">
        <v>1.125</v>
      </c>
      <c r="H361" s="559" t="s">
        <v>30</v>
      </c>
      <c r="I361" s="559">
        <v>0.15</v>
      </c>
      <c r="J361" s="559">
        <f>E361*F361*G361</f>
        <v>19.349999999999998</v>
      </c>
      <c r="K361" s="559"/>
      <c r="L361" s="559" t="s">
        <v>21</v>
      </c>
      <c r="M361" s="172">
        <v>0</v>
      </c>
      <c r="N361" s="693"/>
    </row>
    <row r="362" spans="1:14" s="35" customFormat="1" hidden="1">
      <c r="A362" s="157"/>
      <c r="B362" s="87"/>
      <c r="C362" s="87"/>
      <c r="D362" s="684" t="s">
        <v>12614</v>
      </c>
      <c r="E362" s="691">
        <f>6*8*2*2</f>
        <v>192</v>
      </c>
      <c r="F362" s="699">
        <v>0.6</v>
      </c>
      <c r="G362" s="699">
        <v>0.20100000000000001</v>
      </c>
      <c r="H362" s="692" t="s">
        <v>30</v>
      </c>
      <c r="I362" s="692">
        <v>0.15</v>
      </c>
      <c r="J362" s="692">
        <f>E362*F362*G362</f>
        <v>23.155200000000001</v>
      </c>
      <c r="K362" s="692"/>
      <c r="L362" s="692" t="s">
        <v>21</v>
      </c>
      <c r="M362" s="558">
        <v>0</v>
      </c>
      <c r="N362" s="693"/>
    </row>
    <row r="363" spans="1:14" s="35" customFormat="1" hidden="1">
      <c r="A363" s="157"/>
      <c r="B363" s="87"/>
      <c r="C363" s="87"/>
      <c r="D363" s="684" t="s">
        <v>12615</v>
      </c>
      <c r="E363" s="691">
        <f>6*2*2</f>
        <v>24</v>
      </c>
      <c r="F363" s="699">
        <v>1.32</v>
      </c>
      <c r="G363" s="699">
        <v>1.1000000000000001</v>
      </c>
      <c r="H363" s="692" t="s">
        <v>30</v>
      </c>
      <c r="I363" s="692">
        <v>0.15</v>
      </c>
      <c r="J363" s="692">
        <f>E363*F363*G363</f>
        <v>34.847999999999999</v>
      </c>
      <c r="K363" s="692"/>
      <c r="L363" s="692" t="s">
        <v>21</v>
      </c>
      <c r="M363" s="558">
        <v>0</v>
      </c>
      <c r="N363" s="693"/>
    </row>
    <row r="364" spans="1:14" s="35" customFormat="1" hidden="1">
      <c r="A364" s="157"/>
      <c r="B364" s="87"/>
      <c r="C364" s="87"/>
      <c r="D364" s="684" t="s">
        <v>12616</v>
      </c>
      <c r="E364" s="691">
        <f>6*2*2</f>
        <v>24</v>
      </c>
      <c r="F364" s="699">
        <v>1.76</v>
      </c>
      <c r="G364" s="699">
        <v>1.1000000000000001</v>
      </c>
      <c r="H364" s="692" t="s">
        <v>30</v>
      </c>
      <c r="I364" s="692">
        <v>0.15</v>
      </c>
      <c r="J364" s="692">
        <f>E364*F364*G364</f>
        <v>46.464000000000006</v>
      </c>
      <c r="K364" s="692"/>
      <c r="L364" s="692" t="s">
        <v>21</v>
      </c>
      <c r="M364" s="558">
        <v>0</v>
      </c>
      <c r="N364" s="693"/>
    </row>
    <row r="365" spans="1:14" s="35" customFormat="1" hidden="1">
      <c r="A365" s="157"/>
      <c r="B365" s="87"/>
      <c r="C365" s="87"/>
      <c r="D365" s="684" t="s">
        <v>12617</v>
      </c>
      <c r="E365" s="691">
        <f>6*2*2</f>
        <v>24</v>
      </c>
      <c r="F365" s="699">
        <v>1.1000000000000001</v>
      </c>
      <c r="G365" s="699">
        <v>0.6</v>
      </c>
      <c r="H365" s="692" t="s">
        <v>30</v>
      </c>
      <c r="I365" s="692">
        <v>0.15</v>
      </c>
      <c r="J365" s="692">
        <f>E365*F365*G365</f>
        <v>15.84</v>
      </c>
      <c r="K365" s="692"/>
      <c r="L365" s="692" t="s">
        <v>21</v>
      </c>
      <c r="M365" s="558">
        <v>0</v>
      </c>
      <c r="N365" s="693"/>
    </row>
    <row r="366" spans="1:14" s="35" customFormat="1" hidden="1">
      <c r="A366" s="157"/>
      <c r="B366" s="87"/>
      <c r="C366" s="87"/>
      <c r="D366" s="414" t="s">
        <v>12440</v>
      </c>
      <c r="E366" s="694">
        <f>2*2</f>
        <v>4</v>
      </c>
      <c r="F366" s="698">
        <f>2.3+17.7+1.2</f>
        <v>21.2</v>
      </c>
      <c r="G366" s="698">
        <v>13.9</v>
      </c>
      <c r="H366" s="698" t="s">
        <v>30</v>
      </c>
      <c r="I366" s="698">
        <v>0.15</v>
      </c>
      <c r="J366" s="698">
        <f>SUM(J361:J365)</f>
        <v>139.65720000000002</v>
      </c>
      <c r="K366" s="698"/>
      <c r="L366" s="698" t="s">
        <v>21</v>
      </c>
      <c r="M366" s="133">
        <f>E366*((F366*G366))-J366</f>
        <v>1039.0627999999999</v>
      </c>
      <c r="N366" s="693"/>
    </row>
    <row r="367" spans="1:14" s="35" customFormat="1" hidden="1">
      <c r="A367" s="157"/>
      <c r="B367" s="87"/>
      <c r="C367" s="87"/>
      <c r="D367" s="684" t="s">
        <v>12603</v>
      </c>
      <c r="E367" s="691">
        <f>1*2</f>
        <v>2</v>
      </c>
      <c r="F367" s="692">
        <v>2.7</v>
      </c>
      <c r="G367" s="692">
        <v>1.85</v>
      </c>
      <c r="H367" s="692">
        <v>0.2</v>
      </c>
      <c r="I367" s="692"/>
      <c r="J367" s="692"/>
      <c r="K367" s="692"/>
      <c r="L367" s="692" t="s">
        <v>21</v>
      </c>
      <c r="M367" s="558">
        <f>E367*((F367*G367)+(F367*2+G367*2)*H367)</f>
        <v>13.630000000000003</v>
      </c>
      <c r="N367" s="693"/>
    </row>
    <row r="368" spans="1:14" s="35" customFormat="1" hidden="1">
      <c r="A368" s="157"/>
      <c r="B368" s="87"/>
      <c r="C368" s="87"/>
      <c r="D368" s="684" t="s">
        <v>12603</v>
      </c>
      <c r="E368" s="691">
        <f>1*2</f>
        <v>2</v>
      </c>
      <c r="F368" s="692">
        <v>0.75</v>
      </c>
      <c r="G368" s="692">
        <v>1.1000000000000001</v>
      </c>
      <c r="H368" s="692">
        <v>0.2</v>
      </c>
      <c r="I368" s="692"/>
      <c r="J368" s="692"/>
      <c r="K368" s="692"/>
      <c r="L368" s="692" t="s">
        <v>21</v>
      </c>
      <c r="M368" s="558">
        <f>E368*((F368*G368)+(F368*2+G368*2)*H368)</f>
        <v>3.1300000000000003</v>
      </c>
      <c r="N368" s="693"/>
    </row>
    <row r="369" spans="1:15" s="35" customFormat="1" hidden="1">
      <c r="A369" s="157"/>
      <c r="B369" s="87"/>
      <c r="C369" s="87"/>
      <c r="D369" s="684" t="s">
        <v>12604</v>
      </c>
      <c r="E369" s="691">
        <f>2*2</f>
        <v>4</v>
      </c>
      <c r="F369" s="692">
        <v>1.85</v>
      </c>
      <c r="G369" s="692">
        <v>0.15</v>
      </c>
      <c r="H369" s="692">
        <v>1.8</v>
      </c>
      <c r="I369" s="692"/>
      <c r="J369" s="692"/>
      <c r="K369" s="692"/>
      <c r="L369" s="692" t="s">
        <v>21</v>
      </c>
      <c r="M369" s="558">
        <f>E369*(2*(F369*H369))</f>
        <v>26.64</v>
      </c>
      <c r="N369" s="693"/>
      <c r="O369" s="33"/>
    </row>
    <row r="370" spans="1:15" s="35" customFormat="1" hidden="1">
      <c r="A370" s="157"/>
      <c r="B370" s="87"/>
      <c r="C370" s="87"/>
      <c r="D370" s="684" t="s">
        <v>12605</v>
      </c>
      <c r="E370" s="691">
        <f>2*2</f>
        <v>4</v>
      </c>
      <c r="F370" s="692">
        <v>1.85</v>
      </c>
      <c r="G370" s="692">
        <v>0.15</v>
      </c>
      <c r="H370" s="692">
        <v>1.8</v>
      </c>
      <c r="I370" s="692"/>
      <c r="J370" s="692"/>
      <c r="K370" s="692"/>
      <c r="L370" s="692" t="s">
        <v>21</v>
      </c>
      <c r="M370" s="558">
        <f t="shared" ref="M370:M376" si="21">E370*(2*(F370*H370))</f>
        <v>26.64</v>
      </c>
      <c r="N370" s="693"/>
      <c r="O370" s="33"/>
    </row>
    <row r="371" spans="1:15" s="35" customFormat="1" hidden="1">
      <c r="A371" s="157"/>
      <c r="B371" s="87"/>
      <c r="C371" s="87"/>
      <c r="D371" s="684" t="s">
        <v>12606</v>
      </c>
      <c r="E371" s="691">
        <f>2*2</f>
        <v>4</v>
      </c>
      <c r="F371" s="692">
        <v>0.75</v>
      </c>
      <c r="G371" s="692">
        <v>0.15</v>
      </c>
      <c r="H371" s="692">
        <v>1.8</v>
      </c>
      <c r="I371" s="692"/>
      <c r="J371" s="692"/>
      <c r="K371" s="692"/>
      <c r="L371" s="692" t="s">
        <v>21</v>
      </c>
      <c r="M371" s="558">
        <f t="shared" si="21"/>
        <v>10.8</v>
      </c>
      <c r="N371" s="693"/>
      <c r="O371" s="33"/>
    </row>
    <row r="372" spans="1:15" s="35" customFormat="1" hidden="1">
      <c r="A372" s="157"/>
      <c r="B372" s="87"/>
      <c r="C372" s="87"/>
      <c r="D372" s="684" t="s">
        <v>12607</v>
      </c>
      <c r="E372" s="691">
        <f>1*2</f>
        <v>2</v>
      </c>
      <c r="F372" s="692">
        <v>1.1000000000000001</v>
      </c>
      <c r="G372" s="692">
        <v>0.15</v>
      </c>
      <c r="H372" s="692">
        <v>1.8</v>
      </c>
      <c r="I372" s="692"/>
      <c r="J372" s="692"/>
      <c r="K372" s="692"/>
      <c r="L372" s="692" t="s">
        <v>21</v>
      </c>
      <c r="M372" s="558">
        <f t="shared" si="21"/>
        <v>7.9200000000000008</v>
      </c>
      <c r="N372" s="693"/>
      <c r="O372" s="33"/>
    </row>
    <row r="373" spans="1:15" s="35" customFormat="1" hidden="1">
      <c r="A373" s="157"/>
      <c r="B373" s="87"/>
      <c r="C373" s="87"/>
      <c r="D373" s="684" t="s">
        <v>12608</v>
      </c>
      <c r="E373" s="691">
        <f>2*2</f>
        <v>4</v>
      </c>
      <c r="F373" s="692">
        <v>0.95</v>
      </c>
      <c r="G373" s="692">
        <v>0.15</v>
      </c>
      <c r="H373" s="692">
        <v>1.8</v>
      </c>
      <c r="I373" s="692"/>
      <c r="J373" s="692"/>
      <c r="K373" s="692"/>
      <c r="L373" s="692" t="s">
        <v>21</v>
      </c>
      <c r="M373" s="558">
        <f t="shared" si="21"/>
        <v>13.68</v>
      </c>
      <c r="N373" s="693"/>
      <c r="O373" s="33"/>
    </row>
    <row r="374" spans="1:15" s="35" customFormat="1" hidden="1">
      <c r="A374" s="157"/>
      <c r="B374" s="87"/>
      <c r="C374" s="87"/>
      <c r="D374" s="684" t="s">
        <v>12609</v>
      </c>
      <c r="E374" s="691">
        <f>1*2</f>
        <v>2</v>
      </c>
      <c r="F374" s="692">
        <v>0.8</v>
      </c>
      <c r="G374" s="692">
        <v>0.15</v>
      </c>
      <c r="H374" s="692">
        <v>0.75</v>
      </c>
      <c r="I374" s="692"/>
      <c r="J374" s="692"/>
      <c r="K374" s="692"/>
      <c r="L374" s="692" t="s">
        <v>21</v>
      </c>
      <c r="M374" s="558">
        <f t="shared" si="21"/>
        <v>2.4000000000000004</v>
      </c>
      <c r="N374" s="693"/>
      <c r="O374" s="33"/>
    </row>
    <row r="375" spans="1:15" s="35" customFormat="1" hidden="1">
      <c r="A375" s="157"/>
      <c r="B375" s="87"/>
      <c r="C375" s="87"/>
      <c r="D375" s="684" t="s">
        <v>12610</v>
      </c>
      <c r="E375" s="691">
        <f>2*2</f>
        <v>4</v>
      </c>
      <c r="F375" s="692">
        <v>0.5</v>
      </c>
      <c r="G375" s="692">
        <v>0.15</v>
      </c>
      <c r="H375" s="692">
        <v>1.8</v>
      </c>
      <c r="I375" s="692"/>
      <c r="J375" s="692"/>
      <c r="K375" s="692"/>
      <c r="L375" s="692" t="s">
        <v>21</v>
      </c>
      <c r="M375" s="558">
        <f t="shared" si="21"/>
        <v>7.2</v>
      </c>
      <c r="N375" s="693"/>
      <c r="O375" s="33"/>
    </row>
    <row r="376" spans="1:15" s="35" customFormat="1" hidden="1">
      <c r="A376" s="157"/>
      <c r="B376" s="87"/>
      <c r="C376" s="87"/>
      <c r="D376" s="684" t="s">
        <v>12611</v>
      </c>
      <c r="E376" s="691">
        <f>1*2</f>
        <v>2</v>
      </c>
      <c r="F376" s="692">
        <v>2.7</v>
      </c>
      <c r="G376" s="692">
        <v>0.15</v>
      </c>
      <c r="H376" s="692">
        <v>1.8</v>
      </c>
      <c r="I376" s="692"/>
      <c r="J376" s="692"/>
      <c r="K376" s="692"/>
      <c r="L376" s="692" t="s">
        <v>21</v>
      </c>
      <c r="M376" s="558">
        <f t="shared" si="21"/>
        <v>19.440000000000001</v>
      </c>
      <c r="N376" s="693"/>
      <c r="O376" s="33"/>
    </row>
    <row r="377" spans="1:15" s="35" customFormat="1" hidden="1">
      <c r="A377" s="157"/>
      <c r="B377" s="87"/>
      <c r="C377" s="87"/>
      <c r="D377" s="684" t="s">
        <v>12612</v>
      </c>
      <c r="E377" s="691">
        <f>1*2</f>
        <v>2</v>
      </c>
      <c r="F377" s="692">
        <f>1.1+1.85</f>
        <v>2.95</v>
      </c>
      <c r="G377" s="692">
        <v>2.7</v>
      </c>
      <c r="H377" s="692">
        <v>0.15</v>
      </c>
      <c r="I377" s="692">
        <f>(4*0.5*0.7+1.1*1.55+0.8*0.75)*3</f>
        <v>11.115000000000002</v>
      </c>
      <c r="J377" s="692"/>
      <c r="K377" s="692"/>
      <c r="L377" s="692" t="s">
        <v>21</v>
      </c>
      <c r="M377" s="558">
        <f>E377*((F377*G377)+(F377*2+G377*2)*H377)-I377</f>
        <v>8.2049999999999983</v>
      </c>
      <c r="N377" s="693"/>
      <c r="O377" s="33"/>
    </row>
    <row r="378" spans="1:15" s="35" customFormat="1" hidden="1">
      <c r="A378" s="157"/>
      <c r="B378" s="87"/>
      <c r="C378" s="87"/>
      <c r="D378" s="684"/>
      <c r="E378" s="38"/>
      <c r="F378" s="691"/>
      <c r="G378" s="120"/>
      <c r="H378" s="120"/>
      <c r="I378" s="120"/>
      <c r="J378" s="120"/>
      <c r="K378" s="120"/>
      <c r="L378" s="691"/>
      <c r="M378" s="130"/>
      <c r="N378" s="693"/>
      <c r="O378" s="33"/>
    </row>
    <row r="379" spans="1:15" s="35" customFormat="1" hidden="1">
      <c r="A379" s="157"/>
      <c r="B379" s="87"/>
      <c r="C379" s="87"/>
      <c r="D379" s="338"/>
      <c r="E379" s="105"/>
      <c r="F379" s="105"/>
      <c r="G379" s="691" t="s">
        <v>1275</v>
      </c>
      <c r="H379" s="691" t="s">
        <v>11684</v>
      </c>
      <c r="I379" s="691" t="s">
        <v>19</v>
      </c>
      <c r="J379" s="691" t="s">
        <v>32</v>
      </c>
      <c r="K379" s="691" t="s">
        <v>12667</v>
      </c>
      <c r="L379" s="687" t="s">
        <v>30</v>
      </c>
      <c r="M379" s="687" t="s">
        <v>30</v>
      </c>
      <c r="N379" s="693"/>
      <c r="O379" s="33"/>
    </row>
    <row r="380" spans="1:15" s="35" customFormat="1" ht="15" hidden="1" customHeight="1">
      <c r="A380" s="157"/>
      <c r="B380" s="87"/>
      <c r="C380" s="87"/>
      <c r="D380" s="338"/>
      <c r="E380" s="1731" t="s">
        <v>14323</v>
      </c>
      <c r="F380" s="1731"/>
      <c r="G380" s="691">
        <v>2</v>
      </c>
      <c r="H380" s="691">
        <v>17.2</v>
      </c>
      <c r="I380" s="691">
        <v>13.4</v>
      </c>
      <c r="J380" s="687" t="s">
        <v>30</v>
      </c>
      <c r="K380" s="687" t="s">
        <v>30</v>
      </c>
      <c r="L380" s="691" t="s">
        <v>21</v>
      </c>
      <c r="M380" s="55"/>
      <c r="N380" s="693"/>
      <c r="O380" s="33"/>
    </row>
    <row r="381" spans="1:15" s="35" customFormat="1" hidden="1">
      <c r="A381" s="157"/>
      <c r="B381" s="87"/>
      <c r="C381" s="87"/>
      <c r="D381" s="338"/>
      <c r="E381" s="1731" t="s">
        <v>12669</v>
      </c>
      <c r="F381" s="1731"/>
      <c r="G381" s="691">
        <f>2*2*2</f>
        <v>8</v>
      </c>
      <c r="H381" s="691">
        <v>12.67</v>
      </c>
      <c r="I381" s="691">
        <v>0.45</v>
      </c>
      <c r="J381" s="692">
        <v>1</v>
      </c>
      <c r="K381" s="692" t="s">
        <v>30</v>
      </c>
      <c r="L381" s="691" t="s">
        <v>21</v>
      </c>
      <c r="M381" s="55">
        <f>G381*((J381*2+I381)*H381)</f>
        <v>248.33200000000002</v>
      </c>
      <c r="N381" s="693"/>
      <c r="O381" s="33"/>
    </row>
    <row r="382" spans="1:15" s="35" customFormat="1" hidden="1">
      <c r="A382" s="157"/>
      <c r="B382" s="87"/>
      <c r="C382" s="87"/>
      <c r="D382" s="684"/>
      <c r="E382" s="38"/>
      <c r="F382" s="691"/>
      <c r="G382" s="120"/>
      <c r="H382" s="120"/>
      <c r="I382" s="120"/>
      <c r="J382" s="120"/>
      <c r="K382" s="120"/>
      <c r="L382" s="691"/>
      <c r="M382" s="130"/>
      <c r="N382" s="693"/>
      <c r="O382" s="33"/>
    </row>
    <row r="383" spans="1:15" s="35" customFormat="1" hidden="1">
      <c r="A383" s="157"/>
      <c r="B383" s="87"/>
      <c r="C383" s="87"/>
      <c r="D383" s="684"/>
      <c r="E383" s="38"/>
      <c r="F383" s="691"/>
      <c r="G383" s="120"/>
      <c r="H383" s="120"/>
      <c r="I383" s="120"/>
      <c r="J383" s="120"/>
      <c r="K383" s="120"/>
      <c r="L383" s="691"/>
      <c r="M383" s="130"/>
      <c r="N383" s="693"/>
      <c r="O383" s="33"/>
    </row>
    <row r="384" spans="1:15" s="35" customFormat="1" ht="16.5" hidden="1" customHeight="1">
      <c r="A384" s="157" t="s">
        <v>12676</v>
      </c>
      <c r="B384" s="20" t="s">
        <v>11644</v>
      </c>
      <c r="C384" s="20" t="s">
        <v>16608</v>
      </c>
      <c r="D384" s="112" t="str">
        <f>PROPER(IF(B384="Saneago",VLOOKUP(C384,'SANEAGO-FEV.2016'!A:B,2,0),IF(B384="Sinapi",VLOOKUP(C384,'SINAPI-FEV.2017'!A:D,2,0),IF(B384="Cotação",VLOOKUP(C384,COTAÇÃO!A:D,2,0),IF(B384="Composição",VLOOKUP(C384,COMPOSIÇÃO!A:D,2,0))))))</f>
        <v>Impermeabilizacao Com Pintura A Base De Resina Epoxi Alcatrao, Duas Demaos.</v>
      </c>
      <c r="E384" s="695"/>
      <c r="F384" s="1740" t="s">
        <v>12662</v>
      </c>
      <c r="G384" s="1740"/>
      <c r="H384" s="1740"/>
      <c r="I384" s="1740"/>
      <c r="J384" s="1734" t="s">
        <v>12659</v>
      </c>
      <c r="K384" s="1734"/>
      <c r="L384" s="688" t="s">
        <v>21</v>
      </c>
      <c r="M384" s="81">
        <f>SUM(M344:M382)</f>
        <v>7323.5538000000006</v>
      </c>
      <c r="N384" s="693"/>
      <c r="O384" s="33"/>
    </row>
    <row r="385" spans="1:15" s="35" customFormat="1" hidden="1">
      <c r="A385" s="157"/>
      <c r="B385" s="87"/>
      <c r="C385" s="87"/>
      <c r="D385" s="124" t="s">
        <v>14324</v>
      </c>
      <c r="E385" s="687" t="s">
        <v>1275</v>
      </c>
      <c r="F385" s="687" t="s">
        <v>11684</v>
      </c>
      <c r="G385" s="687" t="s">
        <v>19</v>
      </c>
      <c r="H385" s="687" t="s">
        <v>32</v>
      </c>
      <c r="I385" s="687" t="s">
        <v>36</v>
      </c>
      <c r="J385" s="687" t="s">
        <v>12593</v>
      </c>
      <c r="K385" s="687" t="s">
        <v>30</v>
      </c>
      <c r="L385" s="687" t="s">
        <v>30</v>
      </c>
      <c r="M385" s="167" t="s">
        <v>30</v>
      </c>
      <c r="N385" s="693"/>
      <c r="O385" s="33"/>
    </row>
    <row r="386" spans="1:15" s="35" customFormat="1" hidden="1">
      <c r="A386" s="157"/>
      <c r="B386" s="87"/>
      <c r="C386" s="87"/>
      <c r="D386" s="338"/>
      <c r="E386" s="105"/>
      <c r="F386" s="105"/>
      <c r="G386" s="691"/>
      <c r="H386" s="691"/>
      <c r="I386" s="691"/>
      <c r="J386" s="691"/>
      <c r="K386" s="691"/>
      <c r="L386" s="691"/>
      <c r="M386" s="693"/>
      <c r="N386" s="693"/>
      <c r="O386" s="33"/>
    </row>
    <row r="387" spans="1:15" s="35" customFormat="1" hidden="1">
      <c r="A387" s="157"/>
      <c r="B387" s="87"/>
      <c r="C387" s="87"/>
      <c r="D387" s="684" t="s">
        <v>12586</v>
      </c>
      <c r="E387" s="691">
        <v>2</v>
      </c>
      <c r="F387" s="692">
        <f>17.2</f>
        <v>17.2</v>
      </c>
      <c r="G387" s="692">
        <f>13.4</f>
        <v>13.4</v>
      </c>
      <c r="H387" s="692">
        <f>4.7+0.15</f>
        <v>4.8500000000000005</v>
      </c>
      <c r="I387" s="692"/>
      <c r="J387" s="692" t="s">
        <v>30</v>
      </c>
      <c r="K387" s="692"/>
      <c r="L387" s="692" t="s">
        <v>21</v>
      </c>
      <c r="M387" s="558">
        <f>E387*((2*(F387*2+0.25*3)+2*(G387+0.25*2))*H387)</f>
        <v>951.57</v>
      </c>
      <c r="N387" s="693"/>
      <c r="O387" s="33"/>
    </row>
    <row r="388" spans="1:15" s="35" customFormat="1" hidden="1">
      <c r="A388" s="157"/>
      <c r="B388" s="87"/>
      <c r="C388" s="87"/>
      <c r="D388" s="684" t="s">
        <v>12603</v>
      </c>
      <c r="E388" s="691">
        <f>1*2</f>
        <v>2</v>
      </c>
      <c r="F388" s="692">
        <v>2.7</v>
      </c>
      <c r="G388" s="692">
        <v>1.85</v>
      </c>
      <c r="H388" s="692">
        <v>0.2</v>
      </c>
      <c r="I388" s="692"/>
      <c r="J388" s="692"/>
      <c r="K388" s="692"/>
      <c r="L388" s="692" t="s">
        <v>21</v>
      </c>
      <c r="M388" s="558">
        <f>E388*((F388*G388)+(F388*2+G388*2)*H388)</f>
        <v>13.630000000000003</v>
      </c>
      <c r="N388" s="693"/>
      <c r="O388" s="33"/>
    </row>
    <row r="389" spans="1:15" s="35" customFormat="1" hidden="1">
      <c r="A389" s="157"/>
      <c r="B389" s="87"/>
      <c r="C389" s="87"/>
      <c r="D389" s="684" t="s">
        <v>12603</v>
      </c>
      <c r="E389" s="691">
        <f>1*2</f>
        <v>2</v>
      </c>
      <c r="F389" s="692">
        <v>0.75</v>
      </c>
      <c r="G389" s="692">
        <v>1.1000000000000001</v>
      </c>
      <c r="H389" s="692">
        <v>0.2</v>
      </c>
      <c r="I389" s="692"/>
      <c r="J389" s="692"/>
      <c r="K389" s="692"/>
      <c r="L389" s="692" t="s">
        <v>21</v>
      </c>
      <c r="M389" s="558">
        <f>E389*((F389*G389)+(F389*2+G389*2)*H389)</f>
        <v>3.1300000000000003</v>
      </c>
      <c r="N389" s="693"/>
      <c r="O389" s="33"/>
    </row>
    <row r="390" spans="1:15" s="35" customFormat="1" hidden="1">
      <c r="A390" s="157"/>
      <c r="B390" s="87"/>
      <c r="C390" s="87"/>
      <c r="D390" s="684" t="s">
        <v>12604</v>
      </c>
      <c r="E390" s="691">
        <f>2*2</f>
        <v>4</v>
      </c>
      <c r="F390" s="692">
        <v>1.85</v>
      </c>
      <c r="G390" s="692">
        <v>0.15</v>
      </c>
      <c r="H390" s="692">
        <v>1.8</v>
      </c>
      <c r="I390" s="692"/>
      <c r="J390" s="692"/>
      <c r="K390" s="692"/>
      <c r="L390" s="692" t="s">
        <v>21</v>
      </c>
      <c r="M390" s="558">
        <f>E390*(2*(F390*H390))</f>
        <v>26.64</v>
      </c>
      <c r="N390" s="693"/>
      <c r="O390" s="33"/>
    </row>
    <row r="391" spans="1:15" s="35" customFormat="1" hidden="1">
      <c r="A391" s="157"/>
      <c r="B391" s="87"/>
      <c r="C391" s="87"/>
      <c r="D391" s="684" t="s">
        <v>12605</v>
      </c>
      <c r="E391" s="691">
        <f>2*2</f>
        <v>4</v>
      </c>
      <c r="F391" s="692">
        <v>1.85</v>
      </c>
      <c r="G391" s="692">
        <v>0.15</v>
      </c>
      <c r="H391" s="692">
        <v>1.8</v>
      </c>
      <c r="I391" s="692"/>
      <c r="J391" s="692"/>
      <c r="K391" s="692"/>
      <c r="L391" s="692" t="s">
        <v>21</v>
      </c>
      <c r="M391" s="558">
        <f t="shared" ref="M391:M397" si="22">E391*(2*(F391*H391))</f>
        <v>26.64</v>
      </c>
      <c r="N391" s="693"/>
      <c r="O391" s="33"/>
    </row>
    <row r="392" spans="1:15" s="35" customFormat="1" hidden="1">
      <c r="A392" s="157"/>
      <c r="B392" s="87"/>
      <c r="C392" s="87"/>
      <c r="D392" s="684" t="s">
        <v>12606</v>
      </c>
      <c r="E392" s="691">
        <f>2*2</f>
        <v>4</v>
      </c>
      <c r="F392" s="692">
        <v>0.75</v>
      </c>
      <c r="G392" s="692">
        <v>0.15</v>
      </c>
      <c r="H392" s="692">
        <v>1.8</v>
      </c>
      <c r="I392" s="692"/>
      <c r="J392" s="692"/>
      <c r="K392" s="692"/>
      <c r="L392" s="692" t="s">
        <v>21</v>
      </c>
      <c r="M392" s="558">
        <f t="shared" si="22"/>
        <v>10.8</v>
      </c>
      <c r="N392" s="693"/>
      <c r="O392" s="33"/>
    </row>
    <row r="393" spans="1:15" s="35" customFormat="1" hidden="1">
      <c r="A393" s="157"/>
      <c r="B393" s="87"/>
      <c r="C393" s="87"/>
      <c r="D393" s="684" t="s">
        <v>12607</v>
      </c>
      <c r="E393" s="691">
        <f>1*2</f>
        <v>2</v>
      </c>
      <c r="F393" s="692">
        <v>1.1000000000000001</v>
      </c>
      <c r="G393" s="692">
        <v>0.15</v>
      </c>
      <c r="H393" s="692">
        <v>1.8</v>
      </c>
      <c r="I393" s="692"/>
      <c r="J393" s="692"/>
      <c r="K393" s="692"/>
      <c r="L393" s="692" t="s">
        <v>21</v>
      </c>
      <c r="M393" s="558">
        <f t="shared" si="22"/>
        <v>7.9200000000000008</v>
      </c>
      <c r="N393" s="693"/>
      <c r="O393" s="33"/>
    </row>
    <row r="394" spans="1:15" s="35" customFormat="1" hidden="1">
      <c r="A394" s="157"/>
      <c r="B394" s="87"/>
      <c r="C394" s="87"/>
      <c r="D394" s="684" t="s">
        <v>12608</v>
      </c>
      <c r="E394" s="691">
        <f>2*2</f>
        <v>4</v>
      </c>
      <c r="F394" s="692">
        <v>0.95</v>
      </c>
      <c r="G394" s="692">
        <v>0.15</v>
      </c>
      <c r="H394" s="692">
        <v>1.8</v>
      </c>
      <c r="I394" s="692"/>
      <c r="J394" s="692"/>
      <c r="K394" s="692"/>
      <c r="L394" s="692" t="s">
        <v>21</v>
      </c>
      <c r="M394" s="558">
        <f t="shared" si="22"/>
        <v>13.68</v>
      </c>
      <c r="N394" s="693"/>
      <c r="O394" s="33"/>
    </row>
    <row r="395" spans="1:15" s="35" customFormat="1" hidden="1">
      <c r="A395" s="157"/>
      <c r="B395" s="87"/>
      <c r="C395" s="87"/>
      <c r="D395" s="684" t="s">
        <v>12609</v>
      </c>
      <c r="E395" s="691">
        <f>1*2</f>
        <v>2</v>
      </c>
      <c r="F395" s="692">
        <v>0.8</v>
      </c>
      <c r="G395" s="692">
        <v>0.15</v>
      </c>
      <c r="H395" s="692">
        <v>0.75</v>
      </c>
      <c r="I395" s="692"/>
      <c r="J395" s="692"/>
      <c r="K395" s="692"/>
      <c r="L395" s="692" t="s">
        <v>21</v>
      </c>
      <c r="M395" s="558">
        <f t="shared" si="22"/>
        <v>2.4000000000000004</v>
      </c>
      <c r="N395" s="693"/>
      <c r="O395" s="33"/>
    </row>
    <row r="396" spans="1:15" s="35" customFormat="1" hidden="1">
      <c r="A396" s="157"/>
      <c r="B396" s="87"/>
      <c r="C396" s="87"/>
      <c r="D396" s="684" t="s">
        <v>12610</v>
      </c>
      <c r="E396" s="700">
        <f>2*2</f>
        <v>4</v>
      </c>
      <c r="F396" s="692">
        <v>0.5</v>
      </c>
      <c r="G396" s="692">
        <v>0.15</v>
      </c>
      <c r="H396" s="692">
        <v>1.8</v>
      </c>
      <c r="I396" s="692"/>
      <c r="J396" s="692"/>
      <c r="K396" s="692"/>
      <c r="L396" s="692" t="s">
        <v>21</v>
      </c>
      <c r="M396" s="558">
        <f t="shared" si="22"/>
        <v>7.2</v>
      </c>
      <c r="N396" s="693"/>
      <c r="O396" s="33"/>
    </row>
    <row r="397" spans="1:15" s="35" customFormat="1" hidden="1">
      <c r="A397" s="157"/>
      <c r="B397" s="87"/>
      <c r="C397" s="87"/>
      <c r="D397" s="684" t="s">
        <v>12611</v>
      </c>
      <c r="E397" s="691">
        <f>1*2</f>
        <v>2</v>
      </c>
      <c r="F397" s="692">
        <v>2.7</v>
      </c>
      <c r="G397" s="692">
        <v>0.15</v>
      </c>
      <c r="H397" s="692">
        <v>1.8</v>
      </c>
      <c r="I397" s="692"/>
      <c r="J397" s="692"/>
      <c r="K397" s="692"/>
      <c r="L397" s="692" t="s">
        <v>21</v>
      </c>
      <c r="M397" s="558">
        <f t="shared" si="22"/>
        <v>19.440000000000001</v>
      </c>
      <c r="N397" s="693"/>
      <c r="O397" s="33"/>
    </row>
    <row r="398" spans="1:15" s="35" customFormat="1" hidden="1">
      <c r="A398" s="157"/>
      <c r="B398" s="87"/>
      <c r="C398" s="87"/>
      <c r="D398" s="684" t="s">
        <v>12612</v>
      </c>
      <c r="E398" s="691">
        <f>1*2</f>
        <v>2</v>
      </c>
      <c r="F398" s="692">
        <f>1.1+1.85</f>
        <v>2.95</v>
      </c>
      <c r="G398" s="692">
        <v>2.7</v>
      </c>
      <c r="H398" s="692">
        <v>0.15</v>
      </c>
      <c r="I398" s="692">
        <f>(4*0.5*0.7+1.1*1.55+0.8*0.75)*3</f>
        <v>11.115000000000002</v>
      </c>
      <c r="J398" s="692"/>
      <c r="K398" s="692"/>
      <c r="L398" s="692" t="s">
        <v>21</v>
      </c>
      <c r="M398" s="558">
        <f>E398*((F398*G398)+(F398*2+G398*2)*H398)-I398</f>
        <v>8.2049999999999983</v>
      </c>
      <c r="N398" s="693"/>
      <c r="O398" s="33"/>
    </row>
    <row r="399" spans="1:15" s="35" customFormat="1" hidden="1">
      <c r="A399" s="157"/>
      <c r="B399" s="87"/>
      <c r="C399" s="87"/>
      <c r="D399" s="684" t="s">
        <v>12440</v>
      </c>
      <c r="E399" s="691">
        <f>2*2</f>
        <v>4</v>
      </c>
      <c r="F399" s="692">
        <f>2.3+17.7+1.2</f>
        <v>21.2</v>
      </c>
      <c r="G399" s="692">
        <v>13.9</v>
      </c>
      <c r="H399" s="692" t="s">
        <v>30</v>
      </c>
      <c r="I399" s="692">
        <v>0.15</v>
      </c>
      <c r="J399" s="692">
        <f>J366</f>
        <v>139.65720000000002</v>
      </c>
      <c r="K399" s="692"/>
      <c r="L399" s="692" t="s">
        <v>21</v>
      </c>
      <c r="M399" s="558">
        <f>E399*((F399*G399))-J399</f>
        <v>1039.0627999999999</v>
      </c>
      <c r="N399" s="693"/>
      <c r="O399" s="33"/>
    </row>
    <row r="400" spans="1:15" s="35" customFormat="1" hidden="1">
      <c r="A400" s="157"/>
      <c r="B400" s="87"/>
      <c r="C400" s="87"/>
      <c r="D400" s="338"/>
      <c r="E400" s="105"/>
      <c r="F400" s="105"/>
      <c r="G400" s="691"/>
      <c r="H400" s="691"/>
      <c r="I400" s="691"/>
      <c r="J400" s="691"/>
      <c r="K400" s="691"/>
      <c r="L400" s="691"/>
      <c r="M400" s="693"/>
      <c r="N400" s="693"/>
      <c r="O400" s="33"/>
    </row>
    <row r="401" spans="1:15" s="35" customFormat="1" ht="27" hidden="1" customHeight="1">
      <c r="A401" s="157" t="s">
        <v>14322</v>
      </c>
      <c r="B401" s="87" t="s">
        <v>11644</v>
      </c>
      <c r="C401" s="87">
        <v>88489</v>
      </c>
      <c r="D401" s="112" t="str">
        <f>PROPER(IF(B401="Saneago",VLOOKUP(C401,'SANEAGO-FEV.2016'!A:B,2,0),IF(B401="Sinapi",VLOOKUP(C401,'SINAPI-FEV.2017'!A:D,2,0),IF(B401="Cotação",VLOOKUP(C401,COTAÇÃO!A:D,2,0),IF(B401="Composição",VLOOKUP(C401,COMPOSIÇÃO!A:D,2,0))))))</f>
        <v>Aplicação Manual De Pintura Com Tinta Látex Acrílica Em Paredes, Duas Demãos. Af_06/2014</v>
      </c>
      <c r="E401" s="1741" t="s">
        <v>14319</v>
      </c>
      <c r="F401" s="1741"/>
      <c r="G401" s="1741"/>
      <c r="H401" s="1741"/>
      <c r="I401" s="698"/>
      <c r="J401" s="1734" t="s">
        <v>12659</v>
      </c>
      <c r="K401" s="1734"/>
      <c r="L401" s="688" t="s">
        <v>21</v>
      </c>
      <c r="M401" s="81">
        <f>SUM(M387:M399)</f>
        <v>2130.3178000000003</v>
      </c>
      <c r="N401" s="693"/>
      <c r="O401" s="33"/>
    </row>
    <row r="402" spans="1:15" s="35" customFormat="1" ht="13.5" hidden="1" customHeight="1" thickBot="1">
      <c r="A402" s="157"/>
      <c r="B402" s="87"/>
      <c r="C402" s="87"/>
      <c r="D402" s="338"/>
      <c r="E402" s="105"/>
      <c r="F402" s="105"/>
      <c r="G402" s="691"/>
      <c r="H402" s="691"/>
      <c r="I402" s="691"/>
      <c r="J402" s="692"/>
      <c r="K402" s="692"/>
      <c r="L402" s="692"/>
      <c r="M402" s="55"/>
      <c r="N402" s="693"/>
      <c r="O402" s="33"/>
    </row>
    <row r="403" spans="1:15" ht="14.25" hidden="1" thickTop="1" thickBot="1">
      <c r="A403" s="161"/>
      <c r="D403" s="110" t="s">
        <v>14317</v>
      </c>
      <c r="E403" s="111"/>
      <c r="F403" s="111"/>
      <c r="G403" s="111"/>
      <c r="H403" s="111"/>
      <c r="I403" s="111"/>
      <c r="J403" s="111"/>
      <c r="K403" s="111"/>
      <c r="L403" s="682" t="s">
        <v>25</v>
      </c>
      <c r="M403" s="683" t="s">
        <v>27</v>
      </c>
      <c r="N403" s="693"/>
    </row>
    <row r="404" spans="1:15" s="35" customFormat="1" ht="14.25" hidden="1" customHeight="1" thickTop="1">
      <c r="A404" s="157"/>
      <c r="B404" s="87"/>
      <c r="C404" s="87"/>
      <c r="D404" s="338"/>
      <c r="E404" s="105"/>
      <c r="F404" s="105"/>
      <c r="G404" s="691" t="s">
        <v>1275</v>
      </c>
      <c r="H404" s="691" t="s">
        <v>11684</v>
      </c>
      <c r="I404" s="691" t="s">
        <v>19</v>
      </c>
      <c r="J404" s="691" t="s">
        <v>12667</v>
      </c>
      <c r="K404" s="687" t="s">
        <v>30</v>
      </c>
      <c r="L404" s="687" t="s">
        <v>30</v>
      </c>
      <c r="M404" s="687" t="s">
        <v>30</v>
      </c>
      <c r="N404" s="693"/>
      <c r="O404" s="33"/>
    </row>
    <row r="405" spans="1:15" s="35" customFormat="1" ht="27" hidden="1" customHeight="1">
      <c r="A405" s="157"/>
      <c r="B405" s="87"/>
      <c r="C405" s="87"/>
      <c r="D405" s="338"/>
      <c r="E405" s="681"/>
      <c r="F405" s="681" t="s">
        <v>12666</v>
      </c>
      <c r="G405" s="691">
        <v>2</v>
      </c>
      <c r="H405" s="691">
        <v>17.2</v>
      </c>
      <c r="I405" s="691">
        <v>13.4</v>
      </c>
      <c r="J405" s="687" t="s">
        <v>30</v>
      </c>
      <c r="K405" s="687"/>
      <c r="L405" s="691" t="s">
        <v>21</v>
      </c>
      <c r="M405" s="55">
        <f>G405*H405*I405</f>
        <v>460.96</v>
      </c>
      <c r="N405" s="693"/>
      <c r="O405" s="33"/>
    </row>
    <row r="406" spans="1:15" s="35" customFormat="1" ht="12.75" hidden="1" customHeight="1">
      <c r="A406" s="157"/>
      <c r="B406" s="87"/>
      <c r="C406" s="87"/>
      <c r="D406" s="338"/>
      <c r="E406" s="681"/>
      <c r="F406" s="681" t="s">
        <v>12668</v>
      </c>
      <c r="G406" s="691">
        <f>2*2*2</f>
        <v>8</v>
      </c>
      <c r="H406" s="691" t="s">
        <v>30</v>
      </c>
      <c r="I406" s="691" t="s">
        <v>30</v>
      </c>
      <c r="J406" s="692">
        <v>0.16250000000000001</v>
      </c>
      <c r="K406" s="692"/>
      <c r="L406" s="691" t="s">
        <v>21</v>
      </c>
      <c r="M406" s="55">
        <f>G406*J406</f>
        <v>1.3</v>
      </c>
      <c r="N406" s="693"/>
      <c r="O406" s="33"/>
    </row>
    <row r="407" spans="1:15" s="35" customFormat="1" ht="12.75" hidden="1" customHeight="1">
      <c r="A407" s="157"/>
      <c r="B407" s="87"/>
      <c r="C407" s="87"/>
      <c r="D407" s="338"/>
      <c r="E407" s="681"/>
      <c r="F407" s="681" t="s">
        <v>12598</v>
      </c>
      <c r="G407" s="691">
        <f>3*2*2</f>
        <v>12</v>
      </c>
      <c r="H407" s="691" t="s">
        <v>30</v>
      </c>
      <c r="I407" s="691" t="s">
        <v>30</v>
      </c>
      <c r="J407" s="692">
        <f>0.1625*2</f>
        <v>0.32500000000000001</v>
      </c>
      <c r="K407" s="692"/>
      <c r="L407" s="691" t="s">
        <v>21</v>
      </c>
      <c r="M407" s="55">
        <f>G407*J407</f>
        <v>3.9000000000000004</v>
      </c>
      <c r="N407" s="693"/>
      <c r="O407" s="33"/>
    </row>
    <row r="408" spans="1:15" s="35" customFormat="1" ht="12.75" hidden="1" customHeight="1">
      <c r="A408" s="157"/>
      <c r="B408" s="87"/>
      <c r="C408" s="87"/>
      <c r="D408" s="338"/>
      <c r="E408" s="1731" t="s">
        <v>12669</v>
      </c>
      <c r="F408" s="1731"/>
      <c r="G408" s="691">
        <f>2*2*2</f>
        <v>8</v>
      </c>
      <c r="H408" s="691">
        <f>13.4</f>
        <v>13.4</v>
      </c>
      <c r="I408" s="691">
        <v>0.45</v>
      </c>
      <c r="J408" s="692" t="s">
        <v>30</v>
      </c>
      <c r="K408" s="692"/>
      <c r="L408" s="691" t="s">
        <v>21</v>
      </c>
      <c r="M408" s="55">
        <f>G408*H408*I408</f>
        <v>48.24</v>
      </c>
      <c r="N408" s="693"/>
      <c r="O408" s="33"/>
    </row>
    <row r="409" spans="1:15" s="35" customFormat="1" ht="12" hidden="1" customHeight="1">
      <c r="A409" s="157"/>
      <c r="B409" s="87"/>
      <c r="C409" s="87"/>
      <c r="D409" s="338"/>
      <c r="E409" s="1731" t="s">
        <v>12670</v>
      </c>
      <c r="F409" s="1731"/>
      <c r="G409" s="691">
        <f>8*2*2</f>
        <v>32</v>
      </c>
      <c r="H409" s="691">
        <v>17.2</v>
      </c>
      <c r="I409" s="691">
        <v>0.35</v>
      </c>
      <c r="J409" s="691" t="s">
        <v>30</v>
      </c>
      <c r="K409" s="691"/>
      <c r="L409" s="691" t="s">
        <v>21</v>
      </c>
      <c r="M409" s="55">
        <f>G409*H409*I409</f>
        <v>192.64</v>
      </c>
      <c r="N409" s="693"/>
      <c r="O409" s="33"/>
    </row>
    <row r="410" spans="1:15" s="35" customFormat="1" ht="22.5" hidden="1">
      <c r="A410" s="157" t="s">
        <v>14320</v>
      </c>
      <c r="B410" s="87" t="s">
        <v>70</v>
      </c>
      <c r="C410" s="87" t="s">
        <v>18613</v>
      </c>
      <c r="D410" s="112" t="str">
        <f>PROPER(IF(B410="Saneago",VLOOKUP(C410,'SANEAGO-FEV.2016'!A:B,2,0),IF(B410="Sinapi",VLOOKUP(C410,'SINAPI-FEV.2017'!A:D,2,0),IF(B410="Cotação",VLOOKUP(C410,COTAÇÃO!A:D,2,0),IF(B410="Composição",VLOOKUP(C410,COMPOSIÇÃO!A:D,2,0))))))</f>
        <v>Piso Cimentado Traco 1:3 (Cimento E Areia), Com Acabamento Rustico E Frisado Espessura 2Cm, Preparo Manual</v>
      </c>
      <c r="E410" s="695"/>
      <c r="F410" s="1740"/>
      <c r="G410" s="1740"/>
      <c r="H410" s="1740"/>
      <c r="I410" s="1740"/>
      <c r="J410" s="1734" t="s">
        <v>12659</v>
      </c>
      <c r="K410" s="1734"/>
      <c r="L410" s="688" t="s">
        <v>21</v>
      </c>
      <c r="M410" s="81">
        <f>SUM(M405:M409)</f>
        <v>707.04</v>
      </c>
      <c r="N410" s="693"/>
      <c r="O410" s="33"/>
    </row>
    <row r="411" spans="1:15" s="35" customFormat="1" ht="12" hidden="1" customHeight="1">
      <c r="A411" s="157"/>
      <c r="B411" s="87"/>
      <c r="C411" s="87"/>
      <c r="D411" s="338"/>
      <c r="E411" s="1742" t="s">
        <v>30</v>
      </c>
      <c r="F411" s="1742"/>
      <c r="G411" s="1742" t="s">
        <v>30</v>
      </c>
      <c r="H411" s="1742"/>
      <c r="I411" s="1742" t="s">
        <v>30</v>
      </c>
      <c r="J411" s="1742"/>
      <c r="K411" s="1742" t="s">
        <v>30</v>
      </c>
      <c r="L411" s="1742"/>
      <c r="M411" s="1742" t="s">
        <v>30</v>
      </c>
      <c r="N411" s="1743"/>
      <c r="O411" s="33"/>
    </row>
    <row r="412" spans="1:15" s="35" customFormat="1" ht="22.5" hidden="1">
      <c r="A412" s="157" t="s">
        <v>14318</v>
      </c>
      <c r="B412" s="87" t="s">
        <v>70</v>
      </c>
      <c r="C412" s="20">
        <v>94990</v>
      </c>
      <c r="D412" s="112" t="str">
        <f>PROPER(IF(B412="Saneago",VLOOKUP(C412,'SANEAGO-FEV.2016'!A:B,2,0),IF(B412="Sinapi",VLOOKUP(C412,'SINAPI-FEV.2017'!A:D,2,0),IF(B412="Cotação",VLOOKUP(C412,COTAÇÃO!A:D,2,0),IF(B412="Composição",VLOOKUP(C412,COMPOSIÇÃO!A:D,2,0))))))</f>
        <v>Execução De Passeio (Calçada) Ou Piso De Concreto Com Concreto Moldado In Loco, Feito Em Obra, Acabamento Convencional, Não Armado. Af_07/2016</v>
      </c>
      <c r="E412" s="695"/>
      <c r="F412" s="1740"/>
      <c r="G412" s="1740"/>
      <c r="H412" s="1740"/>
      <c r="I412" s="1740"/>
      <c r="J412" s="1734" t="s">
        <v>12659</v>
      </c>
      <c r="K412" s="1734"/>
      <c r="L412" s="688" t="s">
        <v>22</v>
      </c>
      <c r="M412" s="81">
        <f>(1665-2*593)*0.06</f>
        <v>28.74</v>
      </c>
      <c r="N412" s="693"/>
      <c r="O412" s="33"/>
    </row>
    <row r="413" spans="1:15" s="35" customFormat="1" ht="13.5" hidden="1" customHeight="1" thickBot="1">
      <c r="A413" s="157"/>
      <c r="B413" s="87"/>
      <c r="C413" s="87"/>
      <c r="D413" s="338"/>
      <c r="E413" s="105"/>
      <c r="F413" s="105"/>
      <c r="G413" s="691"/>
      <c r="H413" s="691"/>
      <c r="I413" s="691"/>
      <c r="J413" s="692"/>
      <c r="K413" s="692"/>
      <c r="L413" s="692"/>
      <c r="M413" s="55"/>
      <c r="N413" s="693"/>
      <c r="O413" s="33"/>
    </row>
    <row r="414" spans="1:15" ht="14.25" hidden="1" thickTop="1" thickBot="1">
      <c r="A414" s="161"/>
      <c r="D414" s="110" t="s">
        <v>1231</v>
      </c>
      <c r="E414" s="111"/>
      <c r="F414" s="111"/>
      <c r="G414" s="111"/>
      <c r="H414" s="111"/>
      <c r="I414" s="111"/>
      <c r="J414" s="111"/>
      <c r="K414" s="111"/>
      <c r="L414" s="682" t="s">
        <v>25</v>
      </c>
      <c r="M414" s="683" t="s">
        <v>27</v>
      </c>
      <c r="N414" s="693"/>
    </row>
    <row r="415" spans="1:15" s="37" customFormat="1" ht="13.5" hidden="1" thickTop="1">
      <c r="A415" s="157"/>
      <c r="B415" s="87"/>
      <c r="C415" s="87"/>
      <c r="D415" s="338"/>
      <c r="E415" s="105"/>
      <c r="F415" s="105"/>
      <c r="G415" s="691" t="s">
        <v>30</v>
      </c>
      <c r="H415" s="691" t="s">
        <v>30</v>
      </c>
      <c r="I415" s="691" t="s">
        <v>30</v>
      </c>
      <c r="J415" s="691" t="s">
        <v>30</v>
      </c>
      <c r="K415" s="691" t="s">
        <v>30</v>
      </c>
      <c r="L415" s="691"/>
      <c r="M415" s="54"/>
      <c r="N415" s="63"/>
      <c r="O415" s="11"/>
    </row>
    <row r="416" spans="1:15" s="37" customFormat="1" ht="37.5" hidden="1" customHeight="1">
      <c r="A416" s="157" t="s">
        <v>14326</v>
      </c>
      <c r="B416" s="87" t="s">
        <v>10852</v>
      </c>
      <c r="C416" s="87">
        <v>862</v>
      </c>
      <c r="D416" s="104" t="str">
        <f>PROPER(IF(B416="Saneago",VLOOKUP(C416,'SANEAGO-FEV.2016'!A:B,2,0),IF(B416="Sinapi",VLOOKUP(C416,'SINAPI-FEV.2017'!A:D,2,0),IF(B416="Cotação",VLOOKUP(C416,COTAÇÃO!A:D,2,0),IF(B416="Composição",VLOOKUP(C416,COMPOSIÇÃO!A:D,2,0))))))</f>
        <v>Guarda-Corpo De Tubo Industrial  1.1/2" (40 Mm) Chapa 13;  H=1,0 M, C/ Tela Artística   3 X 3 Fio 12, Perfil  U  Dim.  19,05  X 19,05  X 3,17  Mm,  Barra  Retangular  Dim  9,52  X 6,35  Mm,  Fixada  Em  Chapa Metálica Dim: 0,20 X 0,10 X 0,05 Cm, C/ Injenção De Silicone,</v>
      </c>
      <c r="E416" s="695"/>
      <c r="F416" s="695"/>
      <c r="G416" s="698"/>
      <c r="H416" s="698"/>
      <c r="I416" s="84"/>
      <c r="J416" s="698"/>
      <c r="K416" s="698"/>
      <c r="L416" s="694" t="s">
        <v>12072</v>
      </c>
      <c r="M416" s="52">
        <f>96.5*2</f>
        <v>193</v>
      </c>
      <c r="N416" s="63"/>
      <c r="O416" s="11"/>
    </row>
    <row r="417" spans="1:15" s="37" customFormat="1" ht="14.25" hidden="1" customHeight="1">
      <c r="A417" s="157"/>
      <c r="B417" s="87"/>
      <c r="C417" s="87"/>
      <c r="D417" s="338"/>
      <c r="E417" s="105"/>
      <c r="F417" s="105"/>
      <c r="G417" s="691" t="s">
        <v>30</v>
      </c>
      <c r="H417" s="691" t="s">
        <v>30</v>
      </c>
      <c r="I417" s="691" t="s">
        <v>30</v>
      </c>
      <c r="J417" s="691" t="s">
        <v>30</v>
      </c>
      <c r="K417" s="691" t="s">
        <v>30</v>
      </c>
      <c r="L417" s="691"/>
      <c r="M417" s="54"/>
      <c r="N417" s="63"/>
      <c r="O417" s="11"/>
    </row>
    <row r="418" spans="1:15" s="37" customFormat="1" ht="14.25" hidden="1" customHeight="1">
      <c r="A418" s="157" t="s">
        <v>14325</v>
      </c>
      <c r="B418" s="87" t="s">
        <v>11722</v>
      </c>
      <c r="C418" s="706" t="s">
        <v>14428</v>
      </c>
      <c r="D418" s="104" t="str">
        <f>PROPER(IF(B418="Saneago",VLOOKUP(C418,'SANEAGO-FEV.2016'!A:B,2,0),IF(B418="Sinapi",VLOOKUP(C418,'SINAPI-FEV.2017'!A:D,2,0),IF(B418="Cotação",VLOOKUP(C418,COTAÇÃO!A:D,2,0),IF(B418="Composição",VLOOKUP(C418,COMPOSIÇÃO!A:D,2,0))))))</f>
        <v>Escada Metálica, Conforme Desenho Ct/E/T/Hra/D19</v>
      </c>
      <c r="E418" s="695"/>
      <c r="F418" s="695"/>
      <c r="G418" s="698"/>
      <c r="H418" s="698"/>
      <c r="I418" s="84"/>
      <c r="J418" s="698"/>
      <c r="K418" s="698"/>
      <c r="L418" s="694" t="s">
        <v>1274</v>
      </c>
      <c r="M418" s="52">
        <v>6</v>
      </c>
      <c r="N418" s="63"/>
      <c r="O418" s="11"/>
    </row>
    <row r="419" spans="1:15" s="37" customFormat="1" ht="14.25" hidden="1" customHeight="1">
      <c r="A419" s="157"/>
      <c r="B419" s="87"/>
      <c r="C419" s="87"/>
      <c r="D419" s="338"/>
      <c r="E419" s="105"/>
      <c r="F419" s="105"/>
      <c r="G419" s="691" t="s">
        <v>30</v>
      </c>
      <c r="H419" s="691" t="s">
        <v>30</v>
      </c>
      <c r="I419" s="691" t="s">
        <v>30</v>
      </c>
      <c r="J419" s="691" t="s">
        <v>30</v>
      </c>
      <c r="K419" s="691" t="s">
        <v>30</v>
      </c>
      <c r="L419" s="691"/>
      <c r="M419" s="54"/>
      <c r="N419" s="63"/>
      <c r="O419" s="11"/>
    </row>
    <row r="420" spans="1:15" s="37" customFormat="1" ht="14.25" hidden="1" customHeight="1">
      <c r="A420" s="157" t="s">
        <v>14659</v>
      </c>
      <c r="B420" s="87" t="s">
        <v>11722</v>
      </c>
      <c r="C420" s="706" t="s">
        <v>14658</v>
      </c>
      <c r="D420" s="104" t="str">
        <f>PROPER(IF(B420="Saneago",VLOOKUP(C420,'SANEAGO-FEV.2016'!A:B,2,0),IF(B420="Sinapi",VLOOKUP(C420,'SINAPI-FEV.2017'!A:D,2,0),IF(B420="Cotação",VLOOKUP(C420,COTAÇÃO!A:D,2,0),IF(B420="Composição",VLOOKUP(C420,COMPOSIÇÃO!A:D,2,0))))))</f>
        <v>Escada Metálica, Conforme Desenho Ct/E/T/Hra/D13</v>
      </c>
      <c r="E420" s="695"/>
      <c r="F420" s="695"/>
      <c r="G420" s="698"/>
      <c r="H420" s="698"/>
      <c r="I420" s="84"/>
      <c r="J420" s="698"/>
      <c r="K420" s="698"/>
      <c r="L420" s="694" t="s">
        <v>1274</v>
      </c>
      <c r="M420" s="52">
        <v>2</v>
      </c>
      <c r="N420" s="63"/>
      <c r="O420" s="11"/>
    </row>
    <row r="421" spans="1:15" s="37" customFormat="1" hidden="1">
      <c r="A421" s="157"/>
      <c r="B421" s="87"/>
      <c r="C421" s="706"/>
      <c r="D421" s="338"/>
      <c r="E421" s="105"/>
      <c r="F421" s="105"/>
      <c r="G421" s="691" t="s">
        <v>30</v>
      </c>
      <c r="H421" s="691" t="s">
        <v>30</v>
      </c>
      <c r="I421" s="691" t="s">
        <v>30</v>
      </c>
      <c r="J421" s="691" t="s">
        <v>30</v>
      </c>
      <c r="K421" s="691" t="s">
        <v>30</v>
      </c>
      <c r="L421" s="691"/>
      <c r="M421" s="54"/>
      <c r="N421" s="63"/>
      <c r="O421" s="11"/>
    </row>
    <row r="422" spans="1:15" s="37" customFormat="1" hidden="1">
      <c r="A422" s="157" t="s">
        <v>14327</v>
      </c>
      <c r="B422" s="87" t="s">
        <v>11722</v>
      </c>
      <c r="C422" s="706" t="s">
        <v>14429</v>
      </c>
      <c r="D422" s="104" t="str">
        <f>PROPER(IF(B422="Saneago",VLOOKUP(C422,'SANEAGO-FEV.2016'!A:B,2,0),IF(B422="Sinapi",VLOOKUP(C422,'SINAPI-FEV.2017'!A:D,2,0),IF(B422="Cotação",VLOOKUP(C422,COTAÇÃO!A:D,2,0),IF(B422="Composição",VLOOKUP(C422,COMPOSIÇÃO!A:D,2,0))))))</f>
        <v>Passarela Metálica, Conforme Desenho Ct/E/T/Hra/D19</v>
      </c>
      <c r="E422" s="695"/>
      <c r="F422" s="695"/>
      <c r="G422" s="698"/>
      <c r="H422" s="698"/>
      <c r="I422" s="84"/>
      <c r="J422" s="698"/>
      <c r="K422" s="698"/>
      <c r="L422" s="694" t="s">
        <v>21</v>
      </c>
      <c r="M422" s="52">
        <v>75</v>
      </c>
      <c r="N422" s="63"/>
      <c r="O422" s="11"/>
    </row>
    <row r="423" spans="1:15" s="37" customFormat="1" ht="13.5" hidden="1" thickBot="1">
      <c r="A423" s="157"/>
      <c r="B423" s="87"/>
      <c r="C423" s="87"/>
      <c r="D423" s="62"/>
      <c r="E423" s="105"/>
      <c r="F423" s="105"/>
      <c r="G423" s="692"/>
      <c r="H423" s="692"/>
      <c r="I423" s="337"/>
      <c r="J423" s="692"/>
      <c r="K423" s="692"/>
      <c r="L423" s="691"/>
      <c r="M423" s="55"/>
      <c r="N423" s="63"/>
      <c r="O423" s="11"/>
    </row>
    <row r="424" spans="1:15" ht="14.25" hidden="1" thickTop="1" thickBot="1">
      <c r="A424" s="161"/>
      <c r="D424" s="110" t="s">
        <v>24</v>
      </c>
      <c r="E424" s="111"/>
      <c r="F424" s="111"/>
      <c r="G424" s="111"/>
      <c r="H424" s="111"/>
      <c r="I424" s="111"/>
      <c r="J424" s="111"/>
      <c r="K424" s="111"/>
      <c r="L424" s="682" t="s">
        <v>25</v>
      </c>
      <c r="M424" s="683" t="s">
        <v>27</v>
      </c>
      <c r="N424" s="693"/>
    </row>
    <row r="425" spans="1:15" s="37" customFormat="1" ht="13.5" hidden="1" thickTop="1">
      <c r="A425" s="157"/>
      <c r="B425" s="87"/>
      <c r="C425" s="87"/>
      <c r="D425" s="338"/>
      <c r="E425" s="105"/>
      <c r="F425" s="105"/>
      <c r="G425" s="691" t="s">
        <v>30</v>
      </c>
      <c r="H425" s="691" t="s">
        <v>30</v>
      </c>
      <c r="I425" s="691" t="s">
        <v>30</v>
      </c>
      <c r="J425" s="691" t="s">
        <v>30</v>
      </c>
      <c r="K425" s="691" t="s">
        <v>30</v>
      </c>
      <c r="L425" s="691" t="s">
        <v>30</v>
      </c>
      <c r="M425" s="691" t="s">
        <v>30</v>
      </c>
      <c r="N425" s="63"/>
      <c r="O425" s="11"/>
    </row>
    <row r="426" spans="1:15" s="37" customFormat="1" ht="22.5" hidden="1">
      <c r="A426" s="157" t="s">
        <v>14481</v>
      </c>
      <c r="B426" s="87" t="s">
        <v>10852</v>
      </c>
      <c r="C426" s="87">
        <v>1737</v>
      </c>
      <c r="D426" s="104" t="str">
        <f>PROPER(IF(B426="Saneago",VLOOKUP(C426,'SANEAGO-FEV.2016'!A:B,2,0),IF(B426="Sinapi",VLOOKUP(C426,'SINAPI-FEV.2017'!A:D,2,0),IF(B426="Cotação",VLOOKUP(C426,COTAÇÃO!A:D,2,0),IF(B426="Composição",VLOOKUP(C426,COMPOSIÇÃO!A:D,2,0))))))</f>
        <v>Poço De Visita  Em Anéis De Concreto Diâmetros 60 Cm (Chaminé) E 90 Cm (Balão), Incluindo Anel Tampão De Concreto, Profundidade = 1,5 M</v>
      </c>
      <c r="E426" s="695"/>
      <c r="F426" s="695"/>
      <c r="G426" s="698"/>
      <c r="H426" s="698"/>
      <c r="I426" s="84"/>
      <c r="J426" s="698"/>
      <c r="K426" s="698"/>
      <c r="L426" s="694" t="s">
        <v>1274</v>
      </c>
      <c r="M426" s="52">
        <f>11*2</f>
        <v>22</v>
      </c>
      <c r="N426" s="63"/>
      <c r="O426" s="11"/>
    </row>
    <row r="427" spans="1:15" s="37" customFormat="1" hidden="1">
      <c r="A427" s="157"/>
      <c r="B427" s="87"/>
      <c r="C427" s="87"/>
      <c r="D427" s="338"/>
      <c r="E427" s="105"/>
      <c r="F427" s="105"/>
      <c r="G427" s="691" t="s">
        <v>30</v>
      </c>
      <c r="H427" s="691" t="s">
        <v>30</v>
      </c>
      <c r="I427" s="691" t="s">
        <v>30</v>
      </c>
      <c r="J427" s="691" t="s">
        <v>30</v>
      </c>
      <c r="K427" s="691" t="s">
        <v>30</v>
      </c>
      <c r="L427" s="691" t="s">
        <v>30</v>
      </c>
      <c r="M427" s="691" t="s">
        <v>30</v>
      </c>
      <c r="N427" s="63"/>
      <c r="O427" s="11"/>
    </row>
    <row r="428" spans="1:15" s="37" customFormat="1" ht="22.5" hidden="1">
      <c r="A428" s="157" t="s">
        <v>14482</v>
      </c>
      <c r="B428" s="87" t="s">
        <v>10852</v>
      </c>
      <c r="C428" s="87">
        <v>1612</v>
      </c>
      <c r="D428" s="104" t="str">
        <f>PROPER(IF(B428="Saneago",VLOOKUP(C428,'SANEAGO-FEV.2016'!A:B,2,0),IF(B428="Sinapi",VLOOKUP(C428,'SINAPI-FEV.2017'!A:D,2,0),IF(B428="Cotação",VLOOKUP(C428,COTAÇÃO!A:D,2,0),IF(B428="Composição",VLOOKUP(C428,COMPOSIÇÃO!A:D,2,0))))))</f>
        <v>Poço De Visita  Em Anéis De Concreto Diâmetros 60 Cm (Chaminé) E 90 Cm (Balão), Incluindo Anel Tampão De Concreto, Profundidade = 2,0 M</v>
      </c>
      <c r="E428" s="695"/>
      <c r="F428" s="695"/>
      <c r="G428" s="698"/>
      <c r="H428" s="698"/>
      <c r="I428" s="84"/>
      <c r="J428" s="698"/>
      <c r="K428" s="698"/>
      <c r="L428" s="694" t="s">
        <v>1274</v>
      </c>
      <c r="M428" s="52">
        <f>2*2</f>
        <v>4</v>
      </c>
      <c r="N428" s="63"/>
      <c r="O428" s="11"/>
    </row>
    <row r="429" spans="1:15" s="37" customFormat="1" hidden="1">
      <c r="A429" s="157"/>
      <c r="B429" s="87"/>
      <c r="C429" s="87"/>
      <c r="D429" s="338"/>
      <c r="E429" s="105"/>
      <c r="F429" s="105"/>
      <c r="G429" s="691" t="s">
        <v>30</v>
      </c>
      <c r="H429" s="691" t="s">
        <v>30</v>
      </c>
      <c r="I429" s="691" t="s">
        <v>30</v>
      </c>
      <c r="J429" s="691" t="s">
        <v>30</v>
      </c>
      <c r="K429" s="691" t="s">
        <v>30</v>
      </c>
      <c r="L429" s="691" t="s">
        <v>30</v>
      </c>
      <c r="M429" s="691" t="s">
        <v>30</v>
      </c>
      <c r="N429" s="63"/>
      <c r="O429" s="11"/>
    </row>
    <row r="430" spans="1:15" s="37" customFormat="1" hidden="1">
      <c r="A430" s="157" t="s">
        <v>12672</v>
      </c>
      <c r="B430" s="20" t="s">
        <v>11644</v>
      </c>
      <c r="C430" s="570">
        <v>9537</v>
      </c>
      <c r="D430" s="104" t="str">
        <f>PROPER(IF(B430="Saneago",VLOOKUP(C430,'SANEAGO-FEV.2016'!A:B,2,0),IF(B430="Sinapi",VLOOKUP(C430,'SINAPI-FEV.2017'!A:D,2,0),IF(B430="Cotação",VLOOKUP(C430,COTAÇÃO!A:D,2,0),IF(B430="Composição",VLOOKUP(C430,COMPOSIÇÃO!A:D,2,0))))))</f>
        <v>Limpeza Final Da Obra</v>
      </c>
      <c r="E430" s="695"/>
      <c r="F430" s="695"/>
      <c r="G430" s="698"/>
      <c r="H430" s="698"/>
      <c r="I430" s="84"/>
      <c r="J430" s="698"/>
      <c r="K430" s="698"/>
      <c r="L430" s="694" t="s">
        <v>21</v>
      </c>
      <c r="M430" s="52">
        <f>70*25-E387*F387*G387</f>
        <v>1289.04</v>
      </c>
      <c r="N430" s="63"/>
      <c r="O430" s="11"/>
    </row>
    <row r="431" spans="1:15" s="37" customFormat="1" hidden="1">
      <c r="A431" s="157"/>
      <c r="B431" s="87"/>
      <c r="C431" s="87"/>
      <c r="D431" s="338"/>
      <c r="E431" s="105"/>
      <c r="F431" s="105"/>
      <c r="G431" s="691" t="s">
        <v>30</v>
      </c>
      <c r="H431" s="691" t="s">
        <v>30</v>
      </c>
      <c r="I431" s="691" t="s">
        <v>30</v>
      </c>
      <c r="J431" s="691" t="s">
        <v>30</v>
      </c>
      <c r="K431" s="691" t="s">
        <v>30</v>
      </c>
      <c r="L431" s="691"/>
      <c r="M431" s="54"/>
      <c r="N431" s="63"/>
      <c r="O431" s="11"/>
    </row>
    <row r="432" spans="1:15" s="37" customFormat="1" hidden="1">
      <c r="A432" s="157" t="s">
        <v>12568</v>
      </c>
      <c r="B432" s="87" t="s">
        <v>11720</v>
      </c>
      <c r="C432" s="87" t="s">
        <v>12671</v>
      </c>
      <c r="D432" s="104" t="str">
        <f>PROPER(IF(B432="Saneago",VLOOKUP(C432,'SANEAGO-FEV.2016'!A:B,2,0),IF(B432="Sinapi",VLOOKUP(C432,'SINAPI-FEV.2017'!A:D,2,0),IF(B432="Cotação",VLOOKUP(C432,COTAÇÃO!A:D,2,0),IF(B432="Composição",VLOOKUP(C432,COMPOSIÇÃO!A:D,2,0))))))</f>
        <v>Montagem De Material Hidráulico Do Reator</v>
      </c>
      <c r="E432" s="695"/>
      <c r="F432" s="695"/>
      <c r="G432" s="698"/>
      <c r="H432" s="84"/>
      <c r="I432" s="698"/>
      <c r="J432" s="698"/>
      <c r="K432" s="698"/>
      <c r="L432" s="694" t="s">
        <v>1274</v>
      </c>
      <c r="M432" s="52">
        <v>1</v>
      </c>
      <c r="N432" s="63"/>
      <c r="O432" s="11"/>
    </row>
    <row r="433" spans="1:14" hidden="1">
      <c r="D433" s="338"/>
      <c r="E433" s="105"/>
      <c r="F433" s="105"/>
      <c r="G433" s="691" t="s">
        <v>30</v>
      </c>
      <c r="H433" s="691" t="s">
        <v>30</v>
      </c>
      <c r="I433" s="691" t="s">
        <v>30</v>
      </c>
      <c r="J433" s="691" t="s">
        <v>30</v>
      </c>
      <c r="K433" s="691" t="s">
        <v>30</v>
      </c>
      <c r="L433" s="691"/>
      <c r="M433" s="54"/>
      <c r="N433" s="693"/>
    </row>
    <row r="434" spans="1:14" hidden="1">
      <c r="A434" s="157" t="s">
        <v>14283</v>
      </c>
      <c r="B434" s="87" t="s">
        <v>11720</v>
      </c>
      <c r="C434" s="87" t="s">
        <v>14282</v>
      </c>
      <c r="D434" s="145" t="str">
        <f>PROPER(IF(B434="Saneago",VLOOKUP(C434,'SANEAGO-FEV.2016'!A:B,2,0),IF(B434="Sinapi",VLOOKUP(C434,'SINAPI-FEV.2017'!A:D,2,0),IF(B434="Cotação",VLOOKUP(C434,COTAÇÃO!A:D,2,0),IF(B434="Composição",VLOOKUP(C434,COMPOSIÇÃO!A:D,2,0))))))</f>
        <v>Montagem De Equipamentos Do Reator</v>
      </c>
      <c r="E434" s="136"/>
      <c r="F434" s="136"/>
      <c r="G434" s="137"/>
      <c r="H434" s="138"/>
      <c r="I434" s="137"/>
      <c r="J434" s="137"/>
      <c r="K434" s="137"/>
      <c r="L434" s="134" t="s">
        <v>1274</v>
      </c>
      <c r="M434" s="139">
        <v>1</v>
      </c>
      <c r="N434" s="416"/>
    </row>
  </sheetData>
  <mergeCells count="39">
    <mergeCell ref="F412:I412"/>
    <mergeCell ref="J412:K412"/>
    <mergeCell ref="F410:I410"/>
    <mergeCell ref="J410:K410"/>
    <mergeCell ref="E411:F411"/>
    <mergeCell ref="G411:H411"/>
    <mergeCell ref="I411:J411"/>
    <mergeCell ref="K411:L411"/>
    <mergeCell ref="E401:H401"/>
    <mergeCell ref="J401:K401"/>
    <mergeCell ref="E408:F408"/>
    <mergeCell ref="E409:F409"/>
    <mergeCell ref="M411:N411"/>
    <mergeCell ref="D292:M292"/>
    <mergeCell ref="D305:M305"/>
    <mergeCell ref="E380:F380"/>
    <mergeCell ref="E381:F381"/>
    <mergeCell ref="F384:I384"/>
    <mergeCell ref="J384:K384"/>
    <mergeCell ref="I224:K224"/>
    <mergeCell ref="F230:H230"/>
    <mergeCell ref="D232:M232"/>
    <mergeCell ref="F283:K283"/>
    <mergeCell ref="I287:K287"/>
    <mergeCell ref="D119:M119"/>
    <mergeCell ref="F176:K176"/>
    <mergeCell ref="F180:K180"/>
    <mergeCell ref="I222:K222"/>
    <mergeCell ref="I223:K223"/>
    <mergeCell ref="E31:G31"/>
    <mergeCell ref="I42:K42"/>
    <mergeCell ref="G85:H85"/>
    <mergeCell ref="G89:H89"/>
    <mergeCell ref="J91:K91"/>
    <mergeCell ref="D1:M4"/>
    <mergeCell ref="D8:F8"/>
    <mergeCell ref="D10:M10"/>
    <mergeCell ref="D12:M12"/>
    <mergeCell ref="E28:G28"/>
  </mergeCells>
  <conditionalFormatting sqref="L40:M42 L378:M378 K435:M65536 L32:M32 L228:M230 L413:M413 L423:M423 L382:M383 L290:M291">
    <cfRule type="cellIs" dxfId="1623" priority="146" operator="equal">
      <formula>0</formula>
    </cfRule>
  </conditionalFormatting>
  <conditionalFormatting sqref="L14">
    <cfRule type="cellIs" dxfId="1622" priority="142" operator="equal">
      <formula>0</formula>
    </cfRule>
  </conditionalFormatting>
  <conditionalFormatting sqref="L91:M91 M88 L88:L89">
    <cfRule type="cellIs" dxfId="1621" priority="136" operator="equal">
      <formula>0</formula>
    </cfRule>
  </conditionalFormatting>
  <conditionalFormatting sqref="L95:M96">
    <cfRule type="cellIs" dxfId="1620" priority="135" operator="equal">
      <formula>0</formula>
    </cfRule>
  </conditionalFormatting>
  <conditionalFormatting sqref="L341:M341">
    <cfRule type="cellIs" dxfId="1619" priority="139" operator="equal">
      <formula>0</formula>
    </cfRule>
  </conditionalFormatting>
  <conditionalFormatting sqref="L37:M37">
    <cfRule type="cellIs" dxfId="1618" priority="137" operator="equal">
      <formula>0</formula>
    </cfRule>
  </conditionalFormatting>
  <conditionalFormatting sqref="L109:M109">
    <cfRule type="cellIs" dxfId="1617" priority="132" operator="equal">
      <formula>0</formula>
    </cfRule>
  </conditionalFormatting>
  <conditionalFormatting sqref="L94:M94">
    <cfRule type="cellIs" dxfId="1616" priority="134" operator="equal">
      <formula>0</formula>
    </cfRule>
  </conditionalFormatting>
  <conditionalFormatting sqref="M113">
    <cfRule type="cellIs" dxfId="1615" priority="126" operator="equal">
      <formula>0</formula>
    </cfRule>
  </conditionalFormatting>
  <conditionalFormatting sqref="L332:M333">
    <cfRule type="cellIs" dxfId="1614" priority="122" operator="equal">
      <formula>0</formula>
    </cfRule>
  </conditionalFormatting>
  <conditionalFormatting sqref="L108:M108">
    <cfRule type="cellIs" dxfId="1613" priority="131" operator="equal">
      <formula>0</formula>
    </cfRule>
  </conditionalFormatting>
  <conditionalFormatting sqref="L111">
    <cfRule type="cellIs" dxfId="1612" priority="130" operator="equal">
      <formula>0</formula>
    </cfRule>
  </conditionalFormatting>
  <conditionalFormatting sqref="L110:M110">
    <cfRule type="cellIs" dxfId="1611" priority="129" operator="equal">
      <formula>0</formula>
    </cfRule>
  </conditionalFormatting>
  <conditionalFormatting sqref="L113">
    <cfRule type="cellIs" dxfId="1610" priority="128" operator="equal">
      <formula>0</formula>
    </cfRule>
  </conditionalFormatting>
  <conditionalFormatting sqref="L112:M112">
    <cfRule type="cellIs" dxfId="1609" priority="127" operator="equal">
      <formula>0</formula>
    </cfRule>
  </conditionalFormatting>
  <conditionalFormatting sqref="L402:M402">
    <cfRule type="cellIs" dxfId="1608" priority="123" operator="equal">
      <formula>0</formula>
    </cfRule>
  </conditionalFormatting>
  <conditionalFormatting sqref="L114:M114">
    <cfRule type="cellIs" dxfId="1607" priority="124" operator="equal">
      <formula>0</formula>
    </cfRule>
  </conditionalFormatting>
  <conditionalFormatting sqref="L39:M39">
    <cfRule type="cellIs" dxfId="1606" priority="117" operator="equal">
      <formula>0</formula>
    </cfRule>
  </conditionalFormatting>
  <conditionalFormatting sqref="L46:M47">
    <cfRule type="cellIs" dxfId="1605" priority="119" operator="equal">
      <formula>0</formula>
    </cfRule>
  </conditionalFormatting>
  <conditionalFormatting sqref="L34:M34">
    <cfRule type="cellIs" dxfId="1604" priority="120" operator="equal">
      <formula>0</formula>
    </cfRule>
  </conditionalFormatting>
  <conditionalFormatting sqref="L38:M38">
    <cfRule type="cellIs" dxfId="1603" priority="118" operator="equal">
      <formula>0</formula>
    </cfRule>
  </conditionalFormatting>
  <conditionalFormatting sqref="L85">
    <cfRule type="cellIs" dxfId="1602" priority="113" operator="equal">
      <formula>0</formula>
    </cfRule>
  </conditionalFormatting>
  <conditionalFormatting sqref="L87:M89">
    <cfRule type="cellIs" dxfId="1601" priority="112" operator="equal">
      <formula>0</formula>
    </cfRule>
  </conditionalFormatting>
  <conditionalFormatting sqref="L52:M52">
    <cfRule type="cellIs" dxfId="1600" priority="116" operator="equal">
      <formula>0</formula>
    </cfRule>
  </conditionalFormatting>
  <conditionalFormatting sqref="M48">
    <cfRule type="cellIs" dxfId="1599" priority="114" operator="equal">
      <formula>0</formula>
    </cfRule>
  </conditionalFormatting>
  <conditionalFormatting sqref="L53:M53">
    <cfRule type="cellIs" dxfId="1598" priority="115" operator="equal">
      <formula>0</formula>
    </cfRule>
  </conditionalFormatting>
  <conditionalFormatting sqref="M13:M14">
    <cfRule type="cellIs" dxfId="1597" priority="107" operator="equal">
      <formula>0</formula>
    </cfRule>
  </conditionalFormatting>
  <conditionalFormatting sqref="L92:M92">
    <cfRule type="cellIs" dxfId="1596" priority="111" operator="equal">
      <formula>0</formula>
    </cfRule>
  </conditionalFormatting>
  <conditionalFormatting sqref="L93:M93">
    <cfRule type="cellIs" dxfId="1595" priority="110" operator="equal">
      <formula>0</formula>
    </cfRule>
  </conditionalFormatting>
  <conditionalFormatting sqref="G92:K92">
    <cfRule type="cellIs" dxfId="1594" priority="109" operator="equal">
      <formula>0</formula>
    </cfRule>
  </conditionalFormatting>
  <conditionalFormatting sqref="L31:M31">
    <cfRule type="cellIs" dxfId="1593" priority="104" operator="equal">
      <formula>0</formula>
    </cfRule>
  </conditionalFormatting>
  <conditionalFormatting sqref="G93:K93">
    <cfRule type="cellIs" dxfId="1592" priority="108" operator="equal">
      <formula>0</formula>
    </cfRule>
  </conditionalFormatting>
  <conditionalFormatting sqref="L86:M86">
    <cfRule type="cellIs" dxfId="1591" priority="103" operator="equal">
      <formula>0</formula>
    </cfRule>
  </conditionalFormatting>
  <conditionalFormatting sqref="M85">
    <cfRule type="cellIs" dxfId="1590" priority="102" operator="equal">
      <formula>0</formula>
    </cfRule>
  </conditionalFormatting>
  <conditionalFormatting sqref="L430:M430">
    <cfRule type="cellIs" dxfId="1589" priority="99" operator="equal">
      <formula>0</formula>
    </cfRule>
  </conditionalFormatting>
  <conditionalFormatting sqref="M90">
    <cfRule type="cellIs" dxfId="1588" priority="100" operator="equal">
      <formula>0</formula>
    </cfRule>
  </conditionalFormatting>
  <conditionalFormatting sqref="L90">
    <cfRule type="cellIs" dxfId="1587" priority="101" operator="equal">
      <formula>0</formula>
    </cfRule>
  </conditionalFormatting>
  <conditionalFormatting sqref="L33">
    <cfRule type="cellIs" dxfId="1586" priority="105" operator="equal">
      <formula>0</formula>
    </cfRule>
  </conditionalFormatting>
  <conditionalFormatting sqref="M29">
    <cfRule type="cellIs" dxfId="1585" priority="98" operator="equal">
      <formula>0</formula>
    </cfRule>
  </conditionalFormatting>
  <conditionalFormatting sqref="L410">
    <cfRule type="cellIs" dxfId="1584" priority="96" operator="equal">
      <formula>0</formula>
    </cfRule>
  </conditionalFormatting>
  <conditionalFormatting sqref="L384:M384 L405:M407 M408:M409">
    <cfRule type="cellIs" dxfId="1583" priority="97" operator="equal">
      <formula>0</formula>
    </cfRule>
  </conditionalFormatting>
  <conditionalFormatting sqref="D12">
    <cfRule type="cellIs" dxfId="1582" priority="145" operator="equal">
      <formula>0</formula>
    </cfRule>
  </conditionalFormatting>
  <conditionalFormatting sqref="K5:M9 K25:M25 L13 K11:M11 L30:M30 L29">
    <cfRule type="cellIs" dxfId="1581" priority="144" operator="equal">
      <formula>0</formula>
    </cfRule>
  </conditionalFormatting>
  <conditionalFormatting sqref="L15:M24">
    <cfRule type="cellIs" dxfId="1580" priority="143" operator="equal">
      <formula>0</formula>
    </cfRule>
  </conditionalFormatting>
  <conditionalFormatting sqref="D36">
    <cfRule type="cellIs" dxfId="1579" priority="138" operator="equal">
      <formula>0</formula>
    </cfRule>
  </conditionalFormatting>
  <conditionalFormatting sqref="D10">
    <cfRule type="cellIs" dxfId="1578" priority="141" operator="equal">
      <formula>0</formula>
    </cfRule>
  </conditionalFormatting>
  <conditionalFormatting sqref="D35">
    <cfRule type="cellIs" dxfId="1577" priority="140" operator="equal">
      <formula>0</formula>
    </cfRule>
  </conditionalFormatting>
  <conditionalFormatting sqref="D107">
    <cfRule type="cellIs" dxfId="1576" priority="133" operator="equal">
      <formula>0</formula>
    </cfRule>
  </conditionalFormatting>
  <conditionalFormatting sqref="D342">
    <cfRule type="cellIs" dxfId="1575" priority="125" operator="equal">
      <formula>0</formula>
    </cfRule>
  </conditionalFormatting>
  <conditionalFormatting sqref="D26">
    <cfRule type="cellIs" dxfId="1574" priority="121" operator="equal">
      <formula>0</formula>
    </cfRule>
  </conditionalFormatting>
  <conditionalFormatting sqref="D424">
    <cfRule type="cellIs" dxfId="1573" priority="106" operator="equal">
      <formula>0</formula>
    </cfRule>
  </conditionalFormatting>
  <conditionalFormatting sqref="M410">
    <cfRule type="cellIs" dxfId="1572" priority="95" operator="equal">
      <formula>0</formula>
    </cfRule>
  </conditionalFormatting>
  <conditionalFormatting sqref="L48">
    <cfRule type="cellIs" dxfId="1571" priority="94" operator="equal">
      <formula>0</formula>
    </cfRule>
  </conditionalFormatting>
  <conditionalFormatting sqref="D115">
    <cfRule type="cellIs" dxfId="1570" priority="93" operator="equal">
      <formula>0</formula>
    </cfRule>
  </conditionalFormatting>
  <conditionalFormatting sqref="M33">
    <cfRule type="cellIs" dxfId="1569" priority="92" operator="equal">
      <formula>0</formula>
    </cfRule>
  </conditionalFormatting>
  <conditionalFormatting sqref="L43:M44">
    <cfRule type="cellIs" dxfId="1568" priority="91" operator="equal">
      <formula>0</formula>
    </cfRule>
  </conditionalFormatting>
  <conditionalFormatting sqref="L49:M50">
    <cfRule type="cellIs" dxfId="1567" priority="90" operator="equal">
      <formula>0</formula>
    </cfRule>
  </conditionalFormatting>
  <conditionalFormatting sqref="M45">
    <cfRule type="cellIs" dxfId="1566" priority="89" operator="equal">
      <formula>0</formula>
    </cfRule>
  </conditionalFormatting>
  <conditionalFormatting sqref="L45">
    <cfRule type="cellIs" dxfId="1565" priority="88" operator="equal">
      <formula>0</formula>
    </cfRule>
  </conditionalFormatting>
  <conditionalFormatting sqref="M51">
    <cfRule type="cellIs" dxfId="1564" priority="87" operator="equal">
      <formula>0</formula>
    </cfRule>
  </conditionalFormatting>
  <conditionalFormatting sqref="L51">
    <cfRule type="cellIs" dxfId="1563" priority="86" operator="equal">
      <formula>0</formula>
    </cfRule>
  </conditionalFormatting>
  <conditionalFormatting sqref="L54:M54 L56:M56 L58 L60 L62 L64 L66 L68 L70 L72 L74 L76 L78 L80 L82:M82">
    <cfRule type="cellIs" dxfId="1562" priority="85" operator="equal">
      <formula>0</formula>
    </cfRule>
  </conditionalFormatting>
  <conditionalFormatting sqref="L55:M55 L57:M57 L59 L61 L63 L65 L67 L69 L71 L73 L75 L77 L79 L81 L83:M83">
    <cfRule type="cellIs" dxfId="1561" priority="84" operator="equal">
      <formula>0</formula>
    </cfRule>
  </conditionalFormatting>
  <conditionalFormatting sqref="M58">
    <cfRule type="cellIs" dxfId="1560" priority="83" operator="equal">
      <formula>0</formula>
    </cfRule>
  </conditionalFormatting>
  <conditionalFormatting sqref="M70">
    <cfRule type="cellIs" dxfId="1559" priority="75" operator="equal">
      <formula>0</formula>
    </cfRule>
  </conditionalFormatting>
  <conditionalFormatting sqref="M71">
    <cfRule type="cellIs" dxfId="1558" priority="74" operator="equal">
      <formula>0</formula>
    </cfRule>
  </conditionalFormatting>
  <conditionalFormatting sqref="M61 M63">
    <cfRule type="cellIs" dxfId="1557" priority="80" operator="equal">
      <formula>0</formula>
    </cfRule>
  </conditionalFormatting>
  <conditionalFormatting sqref="M64">
    <cfRule type="cellIs" dxfId="1556" priority="79" operator="equal">
      <formula>0</formula>
    </cfRule>
  </conditionalFormatting>
  <conditionalFormatting sqref="M66 M68">
    <cfRule type="cellIs" dxfId="1555" priority="77" operator="equal">
      <formula>0</formula>
    </cfRule>
  </conditionalFormatting>
  <conditionalFormatting sqref="M65">
    <cfRule type="cellIs" dxfId="1554" priority="78" operator="equal">
      <formula>0</formula>
    </cfRule>
  </conditionalFormatting>
  <conditionalFormatting sqref="M72 M74">
    <cfRule type="cellIs" dxfId="1553" priority="73" operator="equal">
      <formula>0</formula>
    </cfRule>
  </conditionalFormatting>
  <conditionalFormatting sqref="M67 M69">
    <cfRule type="cellIs" dxfId="1552" priority="76" operator="equal">
      <formula>0</formula>
    </cfRule>
  </conditionalFormatting>
  <conditionalFormatting sqref="M59">
    <cfRule type="cellIs" dxfId="1551" priority="82" operator="equal">
      <formula>0</formula>
    </cfRule>
  </conditionalFormatting>
  <conditionalFormatting sqref="M60 M62">
    <cfRule type="cellIs" dxfId="1550" priority="81" operator="equal">
      <formula>0</formula>
    </cfRule>
  </conditionalFormatting>
  <conditionalFormatting sqref="M73 M75">
    <cfRule type="cellIs" dxfId="1549" priority="72" operator="equal">
      <formula>0</formula>
    </cfRule>
  </conditionalFormatting>
  <conditionalFormatting sqref="M77">
    <cfRule type="cellIs" dxfId="1548" priority="70" operator="equal">
      <formula>0</formula>
    </cfRule>
  </conditionalFormatting>
  <conditionalFormatting sqref="M76">
    <cfRule type="cellIs" dxfId="1547" priority="71" operator="equal">
      <formula>0</formula>
    </cfRule>
  </conditionalFormatting>
  <conditionalFormatting sqref="M78 M80">
    <cfRule type="cellIs" dxfId="1546" priority="69" operator="equal">
      <formula>0</formula>
    </cfRule>
  </conditionalFormatting>
  <conditionalFormatting sqref="M79 M81">
    <cfRule type="cellIs" dxfId="1545" priority="68" operator="equal">
      <formula>0</formula>
    </cfRule>
  </conditionalFormatting>
  <conditionalFormatting sqref="L98:M98">
    <cfRule type="cellIs" dxfId="1544" priority="57" operator="equal">
      <formula>0</formula>
    </cfRule>
  </conditionalFormatting>
  <conditionalFormatting sqref="M111">
    <cfRule type="cellIs" dxfId="1543" priority="56" operator="equal">
      <formula>0</formula>
    </cfRule>
  </conditionalFormatting>
  <conditionalFormatting sqref="L118:M118">
    <cfRule type="cellIs" dxfId="1542" priority="55" operator="equal">
      <formula>0</formula>
    </cfRule>
  </conditionalFormatting>
  <conditionalFormatting sqref="L101:M101">
    <cfRule type="cellIs" dxfId="1541" priority="66" operator="equal">
      <formula>0</formula>
    </cfRule>
  </conditionalFormatting>
  <conditionalFormatting sqref="L100:M100">
    <cfRule type="cellIs" dxfId="1540" priority="65" operator="equal">
      <formula>0</formula>
    </cfRule>
  </conditionalFormatting>
  <conditionalFormatting sqref="L103:M103">
    <cfRule type="cellIs" dxfId="1539" priority="64" operator="equal">
      <formula>0</formula>
    </cfRule>
  </conditionalFormatting>
  <conditionalFormatting sqref="L102:M102">
    <cfRule type="cellIs" dxfId="1538" priority="63" operator="equal">
      <formula>0</formula>
    </cfRule>
  </conditionalFormatting>
  <conditionalFormatting sqref="L104:M104">
    <cfRule type="cellIs" dxfId="1537" priority="61" operator="equal">
      <formula>0</formula>
    </cfRule>
  </conditionalFormatting>
  <conditionalFormatting sqref="L105">
    <cfRule type="cellIs" dxfId="1536" priority="62" operator="equal">
      <formula>0</formula>
    </cfRule>
  </conditionalFormatting>
  <conditionalFormatting sqref="M105">
    <cfRule type="cellIs" dxfId="1535" priority="60" operator="equal">
      <formula>0</formula>
    </cfRule>
  </conditionalFormatting>
  <conditionalFormatting sqref="L106:M106">
    <cfRule type="cellIs" dxfId="1534" priority="59" operator="equal">
      <formula>0</formula>
    </cfRule>
  </conditionalFormatting>
  <conditionalFormatting sqref="L99:M99">
    <cfRule type="cellIs" dxfId="1533" priority="58" operator="equal">
      <formula>0</formula>
    </cfRule>
  </conditionalFormatting>
  <conditionalFormatting sqref="D97">
    <cfRule type="cellIs" dxfId="1532" priority="67" operator="equal">
      <formula>0</formula>
    </cfRule>
  </conditionalFormatting>
  <conditionalFormatting sqref="L231:M231 L233:M233">
    <cfRule type="cellIs" dxfId="1531" priority="54" operator="equal">
      <formula>0</formula>
    </cfRule>
  </conditionalFormatting>
  <conditionalFormatting sqref="M401">
    <cfRule type="cellIs" dxfId="1530" priority="52" operator="equal">
      <formula>0</formula>
    </cfRule>
  </conditionalFormatting>
  <conditionalFormatting sqref="L401">
    <cfRule type="cellIs" dxfId="1529" priority="53" operator="equal">
      <formula>0</formula>
    </cfRule>
  </conditionalFormatting>
  <conditionalFormatting sqref="L408:L409">
    <cfRule type="cellIs" dxfId="1528" priority="51" operator="equal">
      <formula>0</formula>
    </cfRule>
  </conditionalFormatting>
  <conditionalFormatting sqref="L432">
    <cfRule type="cellIs" dxfId="1527" priority="49" operator="equal">
      <formula>0</formula>
    </cfRule>
  </conditionalFormatting>
  <conditionalFormatting sqref="L431:M431 M432">
    <cfRule type="cellIs" dxfId="1526" priority="50" operator="equal">
      <formula>0</formula>
    </cfRule>
  </conditionalFormatting>
  <conditionalFormatting sqref="L434">
    <cfRule type="cellIs" dxfId="1525" priority="47" operator="equal">
      <formula>0</formula>
    </cfRule>
  </conditionalFormatting>
  <conditionalFormatting sqref="L433:M433 M434">
    <cfRule type="cellIs" dxfId="1524" priority="48" operator="equal">
      <formula>0</formula>
    </cfRule>
  </conditionalFormatting>
  <conditionalFormatting sqref="L340">
    <cfRule type="cellIs" dxfId="1523" priority="42" operator="equal">
      <formula>0</formula>
    </cfRule>
  </conditionalFormatting>
  <conditionalFormatting sqref="D334">
    <cfRule type="cellIs" dxfId="1522" priority="46" operator="equal">
      <formula>0</formula>
    </cfRule>
  </conditionalFormatting>
  <conditionalFormatting sqref="L336:M336">
    <cfRule type="cellIs" dxfId="1521" priority="45" operator="equal">
      <formula>0</formula>
    </cfRule>
  </conditionalFormatting>
  <conditionalFormatting sqref="L338:M338">
    <cfRule type="cellIs" dxfId="1520" priority="44" operator="equal">
      <formula>0</formula>
    </cfRule>
  </conditionalFormatting>
  <conditionalFormatting sqref="M340">
    <cfRule type="cellIs" dxfId="1519" priority="43" operator="equal">
      <formula>0</formula>
    </cfRule>
  </conditionalFormatting>
  <conditionalFormatting sqref="D403">
    <cfRule type="cellIs" dxfId="1518" priority="41" operator="equal">
      <formula>0</formula>
    </cfRule>
  </conditionalFormatting>
  <conditionalFormatting sqref="L412">
    <cfRule type="cellIs" dxfId="1517" priority="40" operator="equal">
      <formula>0</formula>
    </cfRule>
  </conditionalFormatting>
  <conditionalFormatting sqref="M412">
    <cfRule type="cellIs" dxfId="1516" priority="39" operator="equal">
      <formula>0</formula>
    </cfRule>
  </conditionalFormatting>
  <conditionalFormatting sqref="L380:M380 M381">
    <cfRule type="cellIs" dxfId="1515" priority="38" operator="equal">
      <formula>0</formula>
    </cfRule>
  </conditionalFormatting>
  <conditionalFormatting sqref="L381">
    <cfRule type="cellIs" dxfId="1514" priority="37" operator="equal">
      <formula>0</formula>
    </cfRule>
  </conditionalFormatting>
  <conditionalFormatting sqref="L415:M416">
    <cfRule type="cellIs" dxfId="1513" priority="35" operator="equal">
      <formula>0</formula>
    </cfRule>
  </conditionalFormatting>
  <conditionalFormatting sqref="D414">
    <cfRule type="cellIs" dxfId="1512" priority="36" operator="equal">
      <formula>0</formula>
    </cfRule>
  </conditionalFormatting>
  <conditionalFormatting sqref="L417:M418">
    <cfRule type="cellIs" dxfId="1511" priority="34" operator="equal">
      <formula>0</formula>
    </cfRule>
  </conditionalFormatting>
  <conditionalFormatting sqref="L421:M422">
    <cfRule type="cellIs" dxfId="1510" priority="33" operator="equal">
      <formula>0</formula>
    </cfRule>
  </conditionalFormatting>
  <conditionalFormatting sqref="M426">
    <cfRule type="cellIs" dxfId="1509" priority="32" operator="equal">
      <formula>0</formula>
    </cfRule>
  </conditionalFormatting>
  <conditionalFormatting sqref="M428">
    <cfRule type="cellIs" dxfId="1508" priority="31" operator="equal">
      <formula>0</formula>
    </cfRule>
  </conditionalFormatting>
  <conditionalFormatting sqref="L426">
    <cfRule type="cellIs" dxfId="1507" priority="30" operator="equal">
      <formula>0</formula>
    </cfRule>
  </conditionalFormatting>
  <conditionalFormatting sqref="L428">
    <cfRule type="cellIs" dxfId="1506" priority="29" operator="equal">
      <formula>0</formula>
    </cfRule>
  </conditionalFormatting>
  <conditionalFormatting sqref="L419:M420">
    <cfRule type="cellIs" dxfId="1505" priority="28" operator="equal">
      <formula>0</formula>
    </cfRule>
  </conditionalFormatting>
  <conditionalFormatting sqref="L226:M226">
    <cfRule type="cellIs" dxfId="1504" priority="27" operator="equal">
      <formula>0</formula>
    </cfRule>
  </conditionalFormatting>
  <conditionalFormatting sqref="L225:M225">
    <cfRule type="cellIs" dxfId="1503" priority="26" operator="equal">
      <formula>0</formula>
    </cfRule>
  </conditionalFormatting>
  <conditionalFormatting sqref="L318:L319 L321 L323 L325:L326">
    <cfRule type="cellIs" dxfId="1502" priority="25" operator="equal">
      <formula>0</formula>
    </cfRule>
  </conditionalFormatting>
  <conditionalFormatting sqref="M318:M319 M321 M323 M325:M326">
    <cfRule type="cellIs" dxfId="1501" priority="24" operator="equal">
      <formula>0</formula>
    </cfRule>
  </conditionalFormatting>
  <conditionalFormatting sqref="L320">
    <cfRule type="cellIs" dxfId="1500" priority="23" operator="equal">
      <formula>0</formula>
    </cfRule>
  </conditionalFormatting>
  <conditionalFormatting sqref="M320">
    <cfRule type="cellIs" dxfId="1499" priority="22" operator="equal">
      <formula>0</formula>
    </cfRule>
  </conditionalFormatting>
  <conditionalFormatting sqref="L322">
    <cfRule type="cellIs" dxfId="1498" priority="21" operator="equal">
      <formula>0</formula>
    </cfRule>
  </conditionalFormatting>
  <conditionalFormatting sqref="M322">
    <cfRule type="cellIs" dxfId="1497" priority="20" operator="equal">
      <formula>0</formula>
    </cfRule>
  </conditionalFormatting>
  <conditionalFormatting sqref="L324">
    <cfRule type="cellIs" dxfId="1496" priority="19" operator="equal">
      <formula>0</formula>
    </cfRule>
  </conditionalFormatting>
  <conditionalFormatting sqref="M324">
    <cfRule type="cellIs" dxfId="1495" priority="18" operator="equal">
      <formula>0</formula>
    </cfRule>
  </conditionalFormatting>
  <conditionalFormatting sqref="L322">
    <cfRule type="cellIs" dxfId="1494" priority="17" operator="equal">
      <formula>0</formula>
    </cfRule>
  </conditionalFormatting>
  <conditionalFormatting sqref="M322">
    <cfRule type="cellIs" dxfId="1493" priority="16" operator="equal">
      <formula>0</formula>
    </cfRule>
  </conditionalFormatting>
  <conditionalFormatting sqref="L324">
    <cfRule type="cellIs" dxfId="1492" priority="15" operator="equal">
      <formula>0</formula>
    </cfRule>
  </conditionalFormatting>
  <conditionalFormatting sqref="M324">
    <cfRule type="cellIs" dxfId="1491" priority="14" operator="equal">
      <formula>0</formula>
    </cfRule>
  </conditionalFormatting>
  <conditionalFormatting sqref="L326">
    <cfRule type="cellIs" dxfId="1490" priority="13" operator="equal">
      <formula>0</formula>
    </cfRule>
  </conditionalFormatting>
  <conditionalFormatting sqref="M326">
    <cfRule type="cellIs" dxfId="1489" priority="12" operator="equal">
      <formula>0</formula>
    </cfRule>
  </conditionalFormatting>
  <conditionalFormatting sqref="L327:L328">
    <cfRule type="cellIs" dxfId="1488" priority="11" operator="equal">
      <formula>0</formula>
    </cfRule>
  </conditionalFormatting>
  <conditionalFormatting sqref="M327:M328">
    <cfRule type="cellIs" dxfId="1487" priority="10" operator="equal">
      <formula>0</formula>
    </cfRule>
  </conditionalFormatting>
  <conditionalFormatting sqref="L328">
    <cfRule type="cellIs" dxfId="1486" priority="9" operator="equal">
      <formula>0</formula>
    </cfRule>
  </conditionalFormatting>
  <conditionalFormatting sqref="M328">
    <cfRule type="cellIs" dxfId="1485" priority="8" operator="equal">
      <formula>0</formula>
    </cfRule>
  </conditionalFormatting>
  <conditionalFormatting sqref="L330">
    <cfRule type="cellIs" dxfId="1484" priority="7" operator="equal">
      <formula>0</formula>
    </cfRule>
  </conditionalFormatting>
  <conditionalFormatting sqref="M330">
    <cfRule type="cellIs" dxfId="1483" priority="6" operator="equal">
      <formula>0</formula>
    </cfRule>
  </conditionalFormatting>
  <conditionalFormatting sqref="L330">
    <cfRule type="cellIs" dxfId="1482" priority="5" operator="equal">
      <formula>0</formula>
    </cfRule>
  </conditionalFormatting>
  <conditionalFormatting sqref="M330">
    <cfRule type="cellIs" dxfId="1481" priority="4" operator="equal">
      <formula>0</formula>
    </cfRule>
  </conditionalFormatting>
  <conditionalFormatting sqref="M293:M303">
    <cfRule type="cellIs" dxfId="1480" priority="3" operator="equal">
      <formula>0</formula>
    </cfRule>
  </conditionalFormatting>
  <conditionalFormatting sqref="M306">
    <cfRule type="cellIs" dxfId="1479" priority="2" operator="equal">
      <formula>0</formula>
    </cfRule>
  </conditionalFormatting>
  <conditionalFormatting sqref="M307:M316">
    <cfRule type="cellIs" dxfId="1478" priority="1" operator="equal">
      <formula>0</formula>
    </cfRule>
  </conditionalFormatting>
  <pageMargins left="0.511811024" right="0.511811024" top="0.78740157499999996" bottom="0.78740157499999996" header="0.31496062000000002" footer="0.31496062000000002"/>
  <pageSetup paperSize="9" scale="49" orientation="portrait" horizontalDpi="1200" verticalDpi="1200" r:id="rId1"/>
  <rowBreaks count="2" manualBreakCount="2">
    <brk id="248" min="3" max="12" man="1"/>
    <brk id="317" min="3" max="12" man="1"/>
  </rowBreaks>
  <colBreaks count="1" manualBreakCount="1">
    <brk id="3" max="433" man="1"/>
  </colBreaks>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T91"/>
  <sheetViews>
    <sheetView view="pageBreakPreview" zoomScale="85" zoomScaleNormal="100" zoomScaleSheetLayoutView="85" workbookViewId="0">
      <selection activeCell="A2" sqref="A2:H2"/>
    </sheetView>
  </sheetViews>
  <sheetFormatPr defaultRowHeight="11.25"/>
  <cols>
    <col min="1" max="1" width="24.140625" style="1208" customWidth="1"/>
    <col min="2" max="8" width="10.5703125" style="737" customWidth="1"/>
    <col min="9" max="9" width="4.85546875" style="1151" customWidth="1"/>
    <col min="10" max="10" width="11.28515625" style="738" customWidth="1"/>
    <col min="11" max="11" width="22.28515625" style="736" customWidth="1"/>
    <col min="12" max="12" width="11.85546875" style="738" customWidth="1"/>
    <col min="13" max="19" width="10" style="738" customWidth="1"/>
    <col min="20" max="20" width="10.42578125" style="738" customWidth="1"/>
    <col min="21" max="16384" width="9.140625" style="738"/>
  </cols>
  <sheetData>
    <row r="1" spans="1:20" ht="28.5" customHeight="1" thickBot="1">
      <c r="A1" s="1753" t="s">
        <v>21087</v>
      </c>
      <c r="B1" s="1754"/>
      <c r="C1" s="1754"/>
      <c r="D1" s="1754"/>
      <c r="E1" s="1754"/>
      <c r="F1" s="1754"/>
      <c r="G1" s="1754"/>
      <c r="H1" s="1754"/>
      <c r="I1" s="1754"/>
      <c r="J1" s="1754"/>
      <c r="K1" s="1754"/>
      <c r="L1" s="1754"/>
      <c r="M1" s="1754"/>
      <c r="N1" s="1754"/>
      <c r="O1" s="1754"/>
      <c r="P1" s="1754"/>
      <c r="Q1" s="1754"/>
      <c r="R1" s="1754"/>
      <c r="S1" s="1754"/>
      <c r="T1" s="1755"/>
    </row>
    <row r="2" spans="1:20" ht="36.75" customHeight="1" thickBot="1">
      <c r="A2" s="1750" t="s">
        <v>21012</v>
      </c>
      <c r="B2" s="1751"/>
      <c r="C2" s="1751"/>
      <c r="D2" s="1751"/>
      <c r="E2" s="1751"/>
      <c r="F2" s="1751"/>
      <c r="G2" s="1751"/>
      <c r="H2" s="1752"/>
      <c r="J2" s="1151"/>
      <c r="K2" s="1750" t="s">
        <v>21082</v>
      </c>
      <c r="L2" s="1751"/>
      <c r="M2" s="1751"/>
      <c r="N2" s="1751"/>
      <c r="O2" s="1751"/>
      <c r="P2" s="1751"/>
      <c r="Q2" s="1751"/>
      <c r="R2" s="1751"/>
      <c r="S2" s="1752"/>
      <c r="T2" s="1151"/>
    </row>
    <row r="3" spans="1:20" ht="12" thickBot="1">
      <c r="A3" s="1744" t="s">
        <v>21077</v>
      </c>
      <c r="B3" s="1745"/>
      <c r="C3" s="1745"/>
      <c r="D3" s="1745"/>
      <c r="E3" s="1745"/>
      <c r="F3" s="1745"/>
      <c r="G3" s="1745"/>
      <c r="H3" s="1746"/>
      <c r="J3" s="1151"/>
      <c r="K3" s="1744" t="s">
        <v>21077</v>
      </c>
      <c r="L3" s="1745"/>
      <c r="M3" s="1745"/>
      <c r="N3" s="1745"/>
      <c r="O3" s="1745"/>
      <c r="P3" s="1745"/>
      <c r="Q3" s="1745"/>
      <c r="R3" s="1745"/>
      <c r="S3" s="1746"/>
      <c r="T3" s="1151"/>
    </row>
    <row r="4" spans="1:20" s="1156" customFormat="1" ht="27.75" customHeight="1" thickBot="1">
      <c r="A4" s="1152" t="s">
        <v>21071</v>
      </c>
      <c r="B4" s="1153" t="s">
        <v>20351</v>
      </c>
      <c r="C4" s="1153" t="s">
        <v>20352</v>
      </c>
      <c r="D4" s="1153" t="s">
        <v>20353</v>
      </c>
      <c r="E4" s="1153" t="s">
        <v>20354</v>
      </c>
      <c r="F4" s="1153" t="s">
        <v>20355</v>
      </c>
      <c r="G4" s="1153" t="s">
        <v>20356</v>
      </c>
      <c r="H4" s="1154" t="s">
        <v>20364</v>
      </c>
      <c r="I4" s="1155"/>
      <c r="J4" s="1155"/>
      <c r="K4" s="1152" t="s">
        <v>21071</v>
      </c>
      <c r="L4" s="879" t="s">
        <v>21083</v>
      </c>
      <c r="M4" s="1153" t="s">
        <v>20351</v>
      </c>
      <c r="N4" s="1153" t="s">
        <v>20352</v>
      </c>
      <c r="O4" s="1153" t="s">
        <v>20353</v>
      </c>
      <c r="P4" s="1153" t="s">
        <v>20354</v>
      </c>
      <c r="Q4" s="1153" t="s">
        <v>20355</v>
      </c>
      <c r="R4" s="1153" t="s">
        <v>20356</v>
      </c>
      <c r="S4" s="1154" t="s">
        <v>20364</v>
      </c>
      <c r="T4" s="1155"/>
    </row>
    <row r="5" spans="1:20" ht="12" thickBot="1">
      <c r="A5" s="1157" t="s">
        <v>20528</v>
      </c>
      <c r="B5" s="1158">
        <f>1122+1134+1176+7200+4428</f>
        <v>15060</v>
      </c>
      <c r="C5" s="1158"/>
      <c r="D5" s="1158">
        <v>6400</v>
      </c>
      <c r="E5" s="1158"/>
      <c r="F5" s="1158">
        <v>3840</v>
      </c>
      <c r="G5" s="1158"/>
      <c r="H5" s="1159"/>
      <c r="J5" s="1151"/>
      <c r="K5" s="1157" t="s">
        <v>20528</v>
      </c>
      <c r="L5" s="1160" t="s">
        <v>21084</v>
      </c>
      <c r="M5" s="1158">
        <f t="shared" ref="M5:S5" si="0">B5*2</f>
        <v>30120</v>
      </c>
      <c r="N5" s="1158">
        <f t="shared" si="0"/>
        <v>0</v>
      </c>
      <c r="O5" s="1158">
        <f t="shared" si="0"/>
        <v>12800</v>
      </c>
      <c r="P5" s="1158">
        <f t="shared" si="0"/>
        <v>0</v>
      </c>
      <c r="Q5" s="1158">
        <f t="shared" si="0"/>
        <v>7680</v>
      </c>
      <c r="R5" s="1158">
        <f t="shared" si="0"/>
        <v>0</v>
      </c>
      <c r="S5" s="1158">
        <f t="shared" si="0"/>
        <v>0</v>
      </c>
      <c r="T5" s="1151"/>
    </row>
    <row r="6" spans="1:20">
      <c r="A6" s="1161" t="s">
        <v>21073</v>
      </c>
      <c r="B6" s="1162"/>
      <c r="C6" s="1162">
        <v>61344</v>
      </c>
      <c r="D6" s="1162">
        <v>53712</v>
      </c>
      <c r="E6" s="1162"/>
      <c r="F6" s="1162"/>
      <c r="G6" s="1162"/>
      <c r="H6" s="1163"/>
      <c r="J6" s="1151"/>
      <c r="K6" s="1161" t="s">
        <v>21073</v>
      </c>
      <c r="L6" s="787" t="s">
        <v>21085</v>
      </c>
      <c r="M6" s="1162"/>
      <c r="N6" s="1162"/>
      <c r="O6" s="1162"/>
      <c r="P6" s="1162"/>
      <c r="Q6" s="1162"/>
      <c r="R6" s="1162"/>
      <c r="S6" s="1163"/>
      <c r="T6" s="1151"/>
    </row>
    <row r="7" spans="1:20">
      <c r="A7" s="1164" t="s">
        <v>12518</v>
      </c>
      <c r="B7" s="1165"/>
      <c r="C7" s="1165"/>
      <c r="D7" s="1165"/>
      <c r="E7" s="1165">
        <f>486200+160244+110608+352000+252800+22352+15488</f>
        <v>1399692</v>
      </c>
      <c r="F7" s="1165"/>
      <c r="G7" s="1165">
        <f>148780+380600+10134+15534+7884+17766</f>
        <v>580698</v>
      </c>
      <c r="H7" s="1166"/>
      <c r="J7" s="1151"/>
      <c r="K7" s="1164" t="s">
        <v>12518</v>
      </c>
      <c r="L7" s="1167" t="s">
        <v>21085</v>
      </c>
      <c r="M7" s="1165"/>
      <c r="N7" s="1165"/>
      <c r="O7" s="1165"/>
      <c r="P7" s="1165"/>
      <c r="Q7" s="1165"/>
      <c r="R7" s="1165"/>
      <c r="S7" s="1166"/>
      <c r="T7" s="1151"/>
    </row>
    <row r="8" spans="1:20">
      <c r="A8" s="1164" t="s">
        <v>21074</v>
      </c>
      <c r="B8" s="1165"/>
      <c r="C8" s="1165"/>
      <c r="D8" s="1165">
        <f>61544+40278</f>
        <v>101822</v>
      </c>
      <c r="E8" s="1165"/>
      <c r="F8" s="1165">
        <f>4056</f>
        <v>4056</v>
      </c>
      <c r="G8" s="1165">
        <v>8112</v>
      </c>
      <c r="H8" s="1166"/>
      <c r="J8" s="1151"/>
      <c r="K8" s="1164" t="s">
        <v>21074</v>
      </c>
      <c r="L8" s="1167" t="s">
        <v>21085</v>
      </c>
      <c r="M8" s="1165"/>
      <c r="N8" s="1165"/>
      <c r="O8" s="1165"/>
      <c r="P8" s="1165"/>
      <c r="Q8" s="1165"/>
      <c r="R8" s="1165"/>
      <c r="S8" s="1166"/>
      <c r="T8" s="1151"/>
    </row>
    <row r="9" spans="1:20">
      <c r="A9" s="1164" t="s">
        <v>21075</v>
      </c>
      <c r="B9" s="1165"/>
      <c r="C9" s="1165">
        <f>35910+162000+183048+35910+108000+128992+22272+12324</f>
        <v>688456</v>
      </c>
      <c r="D9" s="1165">
        <f>72000+87232+172800+20056+26160</f>
        <v>378248</v>
      </c>
      <c r="E9" s="1165">
        <f>25026+32250+6144+4872+10360+10400+10140</f>
        <v>99192</v>
      </c>
      <c r="F9" s="1165"/>
      <c r="G9" s="1165">
        <v>7344</v>
      </c>
      <c r="H9" s="1166"/>
      <c r="J9" s="1151"/>
      <c r="K9" s="1164" t="s">
        <v>21075</v>
      </c>
      <c r="L9" s="1167" t="s">
        <v>21085</v>
      </c>
      <c r="M9" s="1165"/>
      <c r="N9" s="1165"/>
      <c r="O9" s="1165"/>
      <c r="P9" s="1165"/>
      <c r="Q9" s="1165"/>
      <c r="R9" s="1165"/>
      <c r="S9" s="1166"/>
      <c r="T9" s="1151"/>
    </row>
    <row r="10" spans="1:20" ht="23.25" thickBot="1">
      <c r="A10" s="1168" t="s">
        <v>21076</v>
      </c>
      <c r="B10" s="1169">
        <v>112320</v>
      </c>
      <c r="C10" s="1169"/>
      <c r="D10" s="1169"/>
      <c r="E10" s="1169"/>
      <c r="F10" s="1169">
        <f>92352+19200</f>
        <v>111552</v>
      </c>
      <c r="G10" s="1169"/>
      <c r="H10" s="1170"/>
      <c r="J10" s="1151"/>
      <c r="K10" s="1168" t="s">
        <v>21076</v>
      </c>
      <c r="L10" s="1171" t="s">
        <v>21086</v>
      </c>
      <c r="M10" s="1169">
        <f t="shared" ref="M10:S11" si="1">B10*2*(1.1/4.85)</f>
        <v>50949.278350515473</v>
      </c>
      <c r="N10" s="1169">
        <f t="shared" si="1"/>
        <v>0</v>
      </c>
      <c r="O10" s="1169">
        <f t="shared" si="1"/>
        <v>0</v>
      </c>
      <c r="P10" s="1169">
        <f t="shared" si="1"/>
        <v>0</v>
      </c>
      <c r="Q10" s="1169">
        <f t="shared" si="1"/>
        <v>50600.907216494852</v>
      </c>
      <c r="R10" s="1169">
        <f t="shared" si="1"/>
        <v>0</v>
      </c>
      <c r="S10" s="1169">
        <f t="shared" si="1"/>
        <v>0</v>
      </c>
      <c r="T10" s="1151"/>
    </row>
    <row r="11" spans="1:20" ht="22.5">
      <c r="A11" s="1172" t="s">
        <v>12641</v>
      </c>
      <c r="B11" s="1162"/>
      <c r="C11" s="1162"/>
      <c r="D11" s="1162">
        <f>377400+185000+591600</f>
        <v>1154000</v>
      </c>
      <c r="E11" s="1162"/>
      <c r="F11" s="1162">
        <f>11400+456660+5700+228330+18000+713664</f>
        <v>1433754</v>
      </c>
      <c r="G11" s="1162"/>
      <c r="H11" s="1163">
        <f>11400+5700+18600</f>
        <v>35700</v>
      </c>
      <c r="J11" s="1151"/>
      <c r="K11" s="1172" t="s">
        <v>12641</v>
      </c>
      <c r="L11" s="1173" t="s">
        <v>21086</v>
      </c>
      <c r="M11" s="1162">
        <f t="shared" si="1"/>
        <v>0</v>
      </c>
      <c r="N11" s="1162">
        <f t="shared" si="1"/>
        <v>0</v>
      </c>
      <c r="O11" s="1162">
        <f t="shared" si="1"/>
        <v>523463.91752577329</v>
      </c>
      <c r="P11" s="1162">
        <f t="shared" si="1"/>
        <v>0</v>
      </c>
      <c r="Q11" s="1162">
        <f t="shared" si="1"/>
        <v>650362.63917525776</v>
      </c>
      <c r="R11" s="1162">
        <f t="shared" si="1"/>
        <v>0</v>
      </c>
      <c r="S11" s="1162">
        <f t="shared" si="1"/>
        <v>16193.814432989693</v>
      </c>
      <c r="T11" s="1151"/>
    </row>
    <row r="12" spans="1:20" ht="12" thickBot="1">
      <c r="A12" s="1168" t="s">
        <v>21079</v>
      </c>
      <c r="B12" s="1169"/>
      <c r="C12" s="1169"/>
      <c r="D12" s="1169">
        <f>5952+5516+5208+4728+480+2304+1104+2232+2856</f>
        <v>30380</v>
      </c>
      <c r="E12" s="1169">
        <f>868+868+488</f>
        <v>2224</v>
      </c>
      <c r="F12" s="1169">
        <f>948+948+568</f>
        <v>2464</v>
      </c>
      <c r="G12" s="1169"/>
      <c r="H12" s="1170"/>
      <c r="J12" s="1151"/>
      <c r="K12" s="1168" t="s">
        <v>21079</v>
      </c>
      <c r="L12" s="1171" t="s">
        <v>21084</v>
      </c>
      <c r="M12" s="1169">
        <f t="shared" ref="M12:S14" si="2">B12*2</f>
        <v>0</v>
      </c>
      <c r="N12" s="1169">
        <f t="shared" si="2"/>
        <v>0</v>
      </c>
      <c r="O12" s="1169">
        <f t="shared" si="2"/>
        <v>60760</v>
      </c>
      <c r="P12" s="1169">
        <f t="shared" si="2"/>
        <v>4448</v>
      </c>
      <c r="Q12" s="1169">
        <f t="shared" si="2"/>
        <v>4928</v>
      </c>
      <c r="R12" s="1169">
        <f t="shared" si="2"/>
        <v>0</v>
      </c>
      <c r="S12" s="1170">
        <f t="shared" si="2"/>
        <v>0</v>
      </c>
      <c r="T12" s="1151"/>
    </row>
    <row r="13" spans="1:20" ht="12" thickBot="1">
      <c r="A13" s="1174" t="s">
        <v>12630</v>
      </c>
      <c r="B13" s="1158"/>
      <c r="C13" s="1158"/>
      <c r="D13" s="1158">
        <f>451*100</f>
        <v>45100</v>
      </c>
      <c r="E13" s="1158">
        <f>21*100</f>
        <v>2100</v>
      </c>
      <c r="F13" s="1158">
        <f>24*100</f>
        <v>2400</v>
      </c>
      <c r="G13" s="1158"/>
      <c r="H13" s="1159"/>
      <c r="J13" s="1151"/>
      <c r="K13" s="1174" t="s">
        <v>12630</v>
      </c>
      <c r="L13" s="1175" t="s">
        <v>21084</v>
      </c>
      <c r="M13" s="1158">
        <f t="shared" si="2"/>
        <v>0</v>
      </c>
      <c r="N13" s="1158">
        <f t="shared" si="2"/>
        <v>0</v>
      </c>
      <c r="O13" s="1158">
        <f t="shared" si="2"/>
        <v>90200</v>
      </c>
      <c r="P13" s="1158">
        <f t="shared" si="2"/>
        <v>4200</v>
      </c>
      <c r="Q13" s="1158">
        <f t="shared" si="2"/>
        <v>4800</v>
      </c>
      <c r="R13" s="1158">
        <f t="shared" si="2"/>
        <v>0</v>
      </c>
      <c r="S13" s="1159">
        <f t="shared" si="2"/>
        <v>0</v>
      </c>
      <c r="T13" s="1151"/>
    </row>
    <row r="14" spans="1:20" ht="22.5">
      <c r="A14" s="1176" t="s">
        <v>12631</v>
      </c>
      <c r="B14" s="1165">
        <f>3795*100</f>
        <v>379500</v>
      </c>
      <c r="C14" s="1165">
        <f>14767*100</f>
        <v>1476700</v>
      </c>
      <c r="D14" s="1165">
        <f>1710*100</f>
        <v>171000</v>
      </c>
      <c r="E14" s="1165">
        <f>599*100</f>
        <v>59900</v>
      </c>
      <c r="F14" s="1165">
        <f>954*100</f>
        <v>95400</v>
      </c>
      <c r="G14" s="1165">
        <f>1629*100</f>
        <v>162900</v>
      </c>
      <c r="H14" s="1166"/>
      <c r="J14" s="1151"/>
      <c r="K14" s="1176" t="s">
        <v>12631</v>
      </c>
      <c r="L14" s="1177" t="s">
        <v>21084</v>
      </c>
      <c r="M14" s="1165">
        <f t="shared" si="2"/>
        <v>759000</v>
      </c>
      <c r="N14" s="1165">
        <f t="shared" si="2"/>
        <v>2953400</v>
      </c>
      <c r="O14" s="1165">
        <f t="shared" si="2"/>
        <v>342000</v>
      </c>
      <c r="P14" s="1165">
        <f t="shared" si="2"/>
        <v>119800</v>
      </c>
      <c r="Q14" s="1165">
        <f t="shared" si="2"/>
        <v>190800</v>
      </c>
      <c r="R14" s="1165">
        <f t="shared" si="2"/>
        <v>325800</v>
      </c>
      <c r="S14" s="1166">
        <f t="shared" si="2"/>
        <v>0</v>
      </c>
      <c r="T14" s="1151"/>
    </row>
    <row r="15" spans="1:20" s="1156" customFormat="1">
      <c r="A15" s="1178" t="s">
        <v>27</v>
      </c>
      <c r="B15" s="1179">
        <f t="shared" ref="B15:H15" si="3">SUM(B3:B14)</f>
        <v>506880</v>
      </c>
      <c r="C15" s="1179">
        <f t="shared" si="3"/>
        <v>2226500</v>
      </c>
      <c r="D15" s="1179">
        <f t="shared" si="3"/>
        <v>1940662</v>
      </c>
      <c r="E15" s="1179">
        <f t="shared" si="3"/>
        <v>1563108</v>
      </c>
      <c r="F15" s="1179">
        <f t="shared" si="3"/>
        <v>1653466</v>
      </c>
      <c r="G15" s="1179">
        <f t="shared" si="3"/>
        <v>759054</v>
      </c>
      <c r="H15" s="1180">
        <f t="shared" si="3"/>
        <v>35700</v>
      </c>
      <c r="I15" s="1155"/>
      <c r="J15" s="1155"/>
      <c r="K15" s="1178" t="s">
        <v>27</v>
      </c>
      <c r="L15" s="1181"/>
      <c r="M15" s="1179">
        <f t="shared" ref="M15:S15" si="4">SUM(M3:M14)</f>
        <v>840069.27835051552</v>
      </c>
      <c r="N15" s="1179">
        <f t="shared" si="4"/>
        <v>2953400</v>
      </c>
      <c r="O15" s="1179">
        <f t="shared" si="4"/>
        <v>1029223.9175257733</v>
      </c>
      <c r="P15" s="1179">
        <f t="shared" si="4"/>
        <v>128448</v>
      </c>
      <c r="Q15" s="1179">
        <f t="shared" si="4"/>
        <v>909171.54639175266</v>
      </c>
      <c r="R15" s="1179">
        <f t="shared" si="4"/>
        <v>325800</v>
      </c>
      <c r="S15" s="1180">
        <f t="shared" si="4"/>
        <v>16193.814432989693</v>
      </c>
      <c r="T15" s="1155"/>
    </row>
    <row r="16" spans="1:20" s="1151" customFormat="1" ht="12" thickBot="1">
      <c r="A16" s="1182"/>
      <c r="B16" s="1183"/>
      <c r="C16" s="1183"/>
      <c r="D16" s="1183"/>
      <c r="E16" s="1183"/>
      <c r="F16" s="1183"/>
      <c r="G16" s="1183"/>
      <c r="H16" s="1184"/>
      <c r="K16" s="1182"/>
      <c r="L16" s="1183"/>
      <c r="M16" s="1183"/>
      <c r="N16" s="1183"/>
      <c r="O16" s="1183"/>
      <c r="P16" s="1183"/>
      <c r="Q16" s="1183"/>
      <c r="R16" s="1183"/>
      <c r="S16" s="1184"/>
    </row>
    <row r="17" spans="1:20" ht="12" thickBot="1">
      <c r="A17" s="1747" t="s">
        <v>21080</v>
      </c>
      <c r="B17" s="1748"/>
      <c r="C17" s="1748"/>
      <c r="D17" s="1748"/>
      <c r="E17" s="1748"/>
      <c r="F17" s="1748"/>
      <c r="G17" s="1748"/>
      <c r="H17" s="1749"/>
      <c r="J17" s="1151"/>
      <c r="K17" s="1747" t="s">
        <v>21080</v>
      </c>
      <c r="L17" s="1748"/>
      <c r="M17" s="1748"/>
      <c r="N17" s="1748"/>
      <c r="O17" s="1748"/>
      <c r="P17" s="1748"/>
      <c r="Q17" s="1748"/>
      <c r="R17" s="1748"/>
      <c r="S17" s="1749"/>
      <c r="T17" s="1151"/>
    </row>
    <row r="18" spans="1:20" s="1156" customFormat="1" ht="23.25" thickBot="1">
      <c r="A18" s="1185" t="s">
        <v>21071</v>
      </c>
      <c r="B18" s="1186" t="s">
        <v>20351</v>
      </c>
      <c r="C18" s="1186" t="s">
        <v>20352</v>
      </c>
      <c r="D18" s="1186" t="s">
        <v>20353</v>
      </c>
      <c r="E18" s="1186" t="s">
        <v>20354</v>
      </c>
      <c r="F18" s="1186" t="s">
        <v>20355</v>
      </c>
      <c r="G18" s="1186" t="s">
        <v>20356</v>
      </c>
      <c r="H18" s="1187" t="s">
        <v>20364</v>
      </c>
      <c r="I18" s="1155"/>
      <c r="J18" s="1155"/>
      <c r="K18" s="1185" t="s">
        <v>21071</v>
      </c>
      <c r="L18" s="1188"/>
      <c r="M18" s="1186" t="s">
        <v>20351</v>
      </c>
      <c r="N18" s="1186" t="s">
        <v>20352</v>
      </c>
      <c r="O18" s="1186" t="s">
        <v>20353</v>
      </c>
      <c r="P18" s="1186" t="s">
        <v>20354</v>
      </c>
      <c r="Q18" s="1186" t="s">
        <v>20355</v>
      </c>
      <c r="R18" s="1186" t="s">
        <v>20356</v>
      </c>
      <c r="S18" s="1187" t="s">
        <v>20364</v>
      </c>
      <c r="T18" s="1155"/>
    </row>
    <row r="19" spans="1:20" ht="12" thickBot="1">
      <c r="A19" s="1161" t="s">
        <v>21078</v>
      </c>
      <c r="B19" s="1189">
        <v>0.16</v>
      </c>
      <c r="C19" s="1189">
        <v>0.25</v>
      </c>
      <c r="D19" s="1189">
        <v>0.4</v>
      </c>
      <c r="E19" s="1189">
        <v>0.63</v>
      </c>
      <c r="F19" s="1189">
        <v>1</v>
      </c>
      <c r="G19" s="1189">
        <v>1.6</v>
      </c>
      <c r="H19" s="1190">
        <v>2.5</v>
      </c>
      <c r="J19" s="1151"/>
      <c r="K19" s="1161" t="s">
        <v>21078</v>
      </c>
      <c r="L19" s="787"/>
      <c r="M19" s="1189">
        <v>0.16</v>
      </c>
      <c r="N19" s="1189">
        <v>0.25</v>
      </c>
      <c r="O19" s="1189">
        <v>0.4</v>
      </c>
      <c r="P19" s="1189">
        <v>0.63</v>
      </c>
      <c r="Q19" s="1189">
        <v>1</v>
      </c>
      <c r="R19" s="1189">
        <v>1.6</v>
      </c>
      <c r="S19" s="1190">
        <v>2.5</v>
      </c>
      <c r="T19" s="1151"/>
    </row>
    <row r="20" spans="1:20" ht="12" thickBot="1">
      <c r="A20" s="1157" t="s">
        <v>20528</v>
      </c>
      <c r="B20" s="1158">
        <f t="shared" ref="B20:H29" si="5">B5/100*B$19</f>
        <v>24.096</v>
      </c>
      <c r="C20" s="1158">
        <f t="shared" si="5"/>
        <v>0</v>
      </c>
      <c r="D20" s="1158">
        <f t="shared" si="5"/>
        <v>25.6</v>
      </c>
      <c r="E20" s="1158">
        <f t="shared" si="5"/>
        <v>0</v>
      </c>
      <c r="F20" s="1158">
        <f t="shared" si="5"/>
        <v>38.4</v>
      </c>
      <c r="G20" s="1158">
        <f t="shared" si="5"/>
        <v>0</v>
      </c>
      <c r="H20" s="1159">
        <f t="shared" si="5"/>
        <v>0</v>
      </c>
      <c r="J20" s="1151"/>
      <c r="K20" s="1157" t="s">
        <v>20528</v>
      </c>
      <c r="L20" s="1160"/>
      <c r="M20" s="1158">
        <f t="shared" ref="M20:S29" si="6">M5/100*M$19</f>
        <v>48.192</v>
      </c>
      <c r="N20" s="1158">
        <f t="shared" si="6"/>
        <v>0</v>
      </c>
      <c r="O20" s="1158">
        <f t="shared" si="6"/>
        <v>51.2</v>
      </c>
      <c r="P20" s="1158">
        <f t="shared" si="6"/>
        <v>0</v>
      </c>
      <c r="Q20" s="1158">
        <f t="shared" si="6"/>
        <v>76.8</v>
      </c>
      <c r="R20" s="1158">
        <f t="shared" si="6"/>
        <v>0</v>
      </c>
      <c r="S20" s="1159">
        <f t="shared" si="6"/>
        <v>0</v>
      </c>
      <c r="T20" s="1151"/>
    </row>
    <row r="21" spans="1:20">
      <c r="A21" s="1172" t="s">
        <v>21073</v>
      </c>
      <c r="B21" s="1162">
        <f t="shared" si="5"/>
        <v>0</v>
      </c>
      <c r="C21" s="1162">
        <f t="shared" si="5"/>
        <v>153.36000000000001</v>
      </c>
      <c r="D21" s="1162">
        <f t="shared" si="5"/>
        <v>214.84800000000001</v>
      </c>
      <c r="E21" s="1162">
        <f t="shared" si="5"/>
        <v>0</v>
      </c>
      <c r="F21" s="1162">
        <f t="shared" si="5"/>
        <v>0</v>
      </c>
      <c r="G21" s="1162">
        <f t="shared" si="5"/>
        <v>0</v>
      </c>
      <c r="H21" s="1163">
        <f t="shared" si="5"/>
        <v>0</v>
      </c>
      <c r="J21" s="1151"/>
      <c r="K21" s="1172" t="s">
        <v>21073</v>
      </c>
      <c r="L21" s="1173"/>
      <c r="M21" s="1162">
        <f t="shared" si="6"/>
        <v>0</v>
      </c>
      <c r="N21" s="1162">
        <f t="shared" si="6"/>
        <v>0</v>
      </c>
      <c r="O21" s="1162">
        <f t="shared" si="6"/>
        <v>0</v>
      </c>
      <c r="P21" s="1162">
        <f t="shared" si="6"/>
        <v>0</v>
      </c>
      <c r="Q21" s="1162">
        <f t="shared" si="6"/>
        <v>0</v>
      </c>
      <c r="R21" s="1162">
        <f t="shared" si="6"/>
        <v>0</v>
      </c>
      <c r="S21" s="1163">
        <f t="shared" si="6"/>
        <v>0</v>
      </c>
      <c r="T21" s="1151"/>
    </row>
    <row r="22" spans="1:20">
      <c r="A22" s="1164" t="s">
        <v>12518</v>
      </c>
      <c r="B22" s="1165">
        <f t="shared" si="5"/>
        <v>0</v>
      </c>
      <c r="C22" s="1165">
        <f t="shared" si="5"/>
        <v>0</v>
      </c>
      <c r="D22" s="1165">
        <f t="shared" si="5"/>
        <v>0</v>
      </c>
      <c r="E22" s="1165">
        <f t="shared" si="5"/>
        <v>8818.0596000000005</v>
      </c>
      <c r="F22" s="1165">
        <f t="shared" si="5"/>
        <v>0</v>
      </c>
      <c r="G22" s="1165">
        <f t="shared" si="5"/>
        <v>9291.1679999999997</v>
      </c>
      <c r="H22" s="1166">
        <f t="shared" si="5"/>
        <v>0</v>
      </c>
      <c r="J22" s="1151"/>
      <c r="K22" s="1164" t="s">
        <v>12518</v>
      </c>
      <c r="L22" s="1167"/>
      <c r="M22" s="1165">
        <f t="shared" si="6"/>
        <v>0</v>
      </c>
      <c r="N22" s="1165">
        <f t="shared" si="6"/>
        <v>0</v>
      </c>
      <c r="O22" s="1165">
        <f t="shared" si="6"/>
        <v>0</v>
      </c>
      <c r="P22" s="1165">
        <f t="shared" si="6"/>
        <v>0</v>
      </c>
      <c r="Q22" s="1165">
        <f t="shared" si="6"/>
        <v>0</v>
      </c>
      <c r="R22" s="1165">
        <f t="shared" si="6"/>
        <v>0</v>
      </c>
      <c r="S22" s="1166">
        <f t="shared" si="6"/>
        <v>0</v>
      </c>
      <c r="T22" s="1151"/>
    </row>
    <row r="23" spans="1:20">
      <c r="A23" s="1164" t="s">
        <v>21074</v>
      </c>
      <c r="B23" s="1165">
        <f t="shared" si="5"/>
        <v>0</v>
      </c>
      <c r="C23" s="1165">
        <f t="shared" si="5"/>
        <v>0</v>
      </c>
      <c r="D23" s="1165">
        <f t="shared" si="5"/>
        <v>407.28800000000001</v>
      </c>
      <c r="E23" s="1165">
        <f t="shared" si="5"/>
        <v>0</v>
      </c>
      <c r="F23" s="1165">
        <f t="shared" si="5"/>
        <v>40.56</v>
      </c>
      <c r="G23" s="1165">
        <f t="shared" si="5"/>
        <v>129.792</v>
      </c>
      <c r="H23" s="1166">
        <f t="shared" si="5"/>
        <v>0</v>
      </c>
      <c r="J23" s="1151"/>
      <c r="K23" s="1164" t="s">
        <v>21074</v>
      </c>
      <c r="L23" s="1167"/>
      <c r="M23" s="1165">
        <f t="shared" si="6"/>
        <v>0</v>
      </c>
      <c r="N23" s="1165">
        <f t="shared" si="6"/>
        <v>0</v>
      </c>
      <c r="O23" s="1165">
        <f t="shared" si="6"/>
        <v>0</v>
      </c>
      <c r="P23" s="1165">
        <f t="shared" si="6"/>
        <v>0</v>
      </c>
      <c r="Q23" s="1165">
        <f t="shared" si="6"/>
        <v>0</v>
      </c>
      <c r="R23" s="1165">
        <f t="shared" si="6"/>
        <v>0</v>
      </c>
      <c r="S23" s="1166">
        <f t="shared" si="6"/>
        <v>0</v>
      </c>
      <c r="T23" s="1151"/>
    </row>
    <row r="24" spans="1:20">
      <c r="A24" s="1164" t="s">
        <v>21075</v>
      </c>
      <c r="B24" s="1165">
        <f t="shared" si="5"/>
        <v>0</v>
      </c>
      <c r="C24" s="1165">
        <f t="shared" si="5"/>
        <v>1721.14</v>
      </c>
      <c r="D24" s="1165">
        <f t="shared" si="5"/>
        <v>1512.9920000000002</v>
      </c>
      <c r="E24" s="1165">
        <f t="shared" si="5"/>
        <v>624.90959999999995</v>
      </c>
      <c r="F24" s="1165">
        <f t="shared" si="5"/>
        <v>0</v>
      </c>
      <c r="G24" s="1165">
        <f t="shared" si="5"/>
        <v>117.504</v>
      </c>
      <c r="H24" s="1166">
        <f t="shared" si="5"/>
        <v>0</v>
      </c>
      <c r="J24" s="1151"/>
      <c r="K24" s="1164" t="s">
        <v>21075</v>
      </c>
      <c r="L24" s="1167"/>
      <c r="M24" s="1165">
        <f t="shared" si="6"/>
        <v>0</v>
      </c>
      <c r="N24" s="1165">
        <f t="shared" si="6"/>
        <v>0</v>
      </c>
      <c r="O24" s="1165">
        <f t="shared" si="6"/>
        <v>0</v>
      </c>
      <c r="P24" s="1165">
        <f t="shared" si="6"/>
        <v>0</v>
      </c>
      <c r="Q24" s="1165">
        <f t="shared" si="6"/>
        <v>0</v>
      </c>
      <c r="R24" s="1165">
        <f t="shared" si="6"/>
        <v>0</v>
      </c>
      <c r="S24" s="1166">
        <f t="shared" si="6"/>
        <v>0</v>
      </c>
      <c r="T24" s="1151"/>
    </row>
    <row r="25" spans="1:20" ht="12" thickBot="1">
      <c r="A25" s="1168" t="s">
        <v>21076</v>
      </c>
      <c r="B25" s="1169">
        <f t="shared" si="5"/>
        <v>179.71200000000002</v>
      </c>
      <c r="C25" s="1169">
        <f t="shared" si="5"/>
        <v>0</v>
      </c>
      <c r="D25" s="1169">
        <f t="shared" si="5"/>
        <v>0</v>
      </c>
      <c r="E25" s="1169">
        <f t="shared" si="5"/>
        <v>0</v>
      </c>
      <c r="F25" s="1169">
        <f t="shared" si="5"/>
        <v>1115.52</v>
      </c>
      <c r="G25" s="1169">
        <f t="shared" si="5"/>
        <v>0</v>
      </c>
      <c r="H25" s="1170">
        <f t="shared" si="5"/>
        <v>0</v>
      </c>
      <c r="J25" s="1151"/>
      <c r="K25" s="1168" t="s">
        <v>21076</v>
      </c>
      <c r="L25" s="1171"/>
      <c r="M25" s="1169">
        <f t="shared" si="6"/>
        <v>81.518845360824756</v>
      </c>
      <c r="N25" s="1169">
        <f t="shared" si="6"/>
        <v>0</v>
      </c>
      <c r="O25" s="1169">
        <f t="shared" si="6"/>
        <v>0</v>
      </c>
      <c r="P25" s="1169">
        <f t="shared" si="6"/>
        <v>0</v>
      </c>
      <c r="Q25" s="1169">
        <f t="shared" si="6"/>
        <v>506.00907216494852</v>
      </c>
      <c r="R25" s="1169">
        <f t="shared" si="6"/>
        <v>0</v>
      </c>
      <c r="S25" s="1170">
        <f t="shared" si="6"/>
        <v>0</v>
      </c>
      <c r="T25" s="1151"/>
    </row>
    <row r="26" spans="1:20">
      <c r="A26" s="1172" t="s">
        <v>12641</v>
      </c>
      <c r="B26" s="1162">
        <f t="shared" si="5"/>
        <v>0</v>
      </c>
      <c r="C26" s="1162">
        <f t="shared" si="5"/>
        <v>0</v>
      </c>
      <c r="D26" s="1162">
        <f t="shared" si="5"/>
        <v>4616</v>
      </c>
      <c r="E26" s="1162">
        <f t="shared" si="5"/>
        <v>0</v>
      </c>
      <c r="F26" s="1162">
        <f t="shared" si="5"/>
        <v>14337.54</v>
      </c>
      <c r="G26" s="1162">
        <f t="shared" si="5"/>
        <v>0</v>
      </c>
      <c r="H26" s="1163">
        <f t="shared" si="5"/>
        <v>892.5</v>
      </c>
      <c r="J26" s="1151"/>
      <c r="K26" s="1172" t="s">
        <v>12641</v>
      </c>
      <c r="L26" s="1173"/>
      <c r="M26" s="1162">
        <f t="shared" si="6"/>
        <v>0</v>
      </c>
      <c r="N26" s="1162">
        <f t="shared" si="6"/>
        <v>0</v>
      </c>
      <c r="O26" s="1162">
        <f t="shared" si="6"/>
        <v>2093.8556701030934</v>
      </c>
      <c r="P26" s="1162">
        <f t="shared" si="6"/>
        <v>0</v>
      </c>
      <c r="Q26" s="1162">
        <f t="shared" si="6"/>
        <v>6503.6263917525775</v>
      </c>
      <c r="R26" s="1162">
        <f t="shared" si="6"/>
        <v>0</v>
      </c>
      <c r="S26" s="1163">
        <f t="shared" si="6"/>
        <v>404.84536082474233</v>
      </c>
      <c r="T26" s="1151"/>
    </row>
    <row r="27" spans="1:20" ht="12" thickBot="1">
      <c r="A27" s="1168" t="s">
        <v>12642</v>
      </c>
      <c r="B27" s="1169">
        <f t="shared" si="5"/>
        <v>0</v>
      </c>
      <c r="C27" s="1169">
        <f t="shared" si="5"/>
        <v>0</v>
      </c>
      <c r="D27" s="1169">
        <f t="shared" si="5"/>
        <v>121.52000000000001</v>
      </c>
      <c r="E27" s="1169">
        <f t="shared" si="5"/>
        <v>14.011199999999999</v>
      </c>
      <c r="F27" s="1169">
        <f t="shared" si="5"/>
        <v>24.64</v>
      </c>
      <c r="G27" s="1169">
        <f t="shared" si="5"/>
        <v>0</v>
      </c>
      <c r="H27" s="1170">
        <f t="shared" si="5"/>
        <v>0</v>
      </c>
      <c r="J27" s="1151"/>
      <c r="K27" s="1168" t="s">
        <v>12642</v>
      </c>
      <c r="L27" s="1171"/>
      <c r="M27" s="1169">
        <f t="shared" si="6"/>
        <v>0</v>
      </c>
      <c r="N27" s="1169">
        <f t="shared" si="6"/>
        <v>0</v>
      </c>
      <c r="O27" s="1169">
        <f t="shared" si="6"/>
        <v>243.04000000000002</v>
      </c>
      <c r="P27" s="1169">
        <f t="shared" si="6"/>
        <v>28.022399999999998</v>
      </c>
      <c r="Q27" s="1169">
        <f t="shared" si="6"/>
        <v>49.28</v>
      </c>
      <c r="R27" s="1169">
        <f t="shared" si="6"/>
        <v>0</v>
      </c>
      <c r="S27" s="1170">
        <f t="shared" si="6"/>
        <v>0</v>
      </c>
      <c r="T27" s="1151"/>
    </row>
    <row r="28" spans="1:20" ht="12" thickBot="1">
      <c r="A28" s="1174" t="s">
        <v>12630</v>
      </c>
      <c r="B28" s="1158">
        <f t="shared" si="5"/>
        <v>0</v>
      </c>
      <c r="C28" s="1158">
        <f t="shared" si="5"/>
        <v>0</v>
      </c>
      <c r="D28" s="1158">
        <f t="shared" si="5"/>
        <v>180.4</v>
      </c>
      <c r="E28" s="1158">
        <f t="shared" si="5"/>
        <v>13.23</v>
      </c>
      <c r="F28" s="1158">
        <f t="shared" si="5"/>
        <v>24</v>
      </c>
      <c r="G28" s="1158">
        <f t="shared" si="5"/>
        <v>0</v>
      </c>
      <c r="H28" s="1159">
        <f t="shared" si="5"/>
        <v>0</v>
      </c>
      <c r="J28" s="1151"/>
      <c r="K28" s="1174" t="s">
        <v>12630</v>
      </c>
      <c r="L28" s="1175"/>
      <c r="M28" s="1158">
        <f t="shared" si="6"/>
        <v>0</v>
      </c>
      <c r="N28" s="1158">
        <f t="shared" si="6"/>
        <v>0</v>
      </c>
      <c r="O28" s="1158">
        <f t="shared" si="6"/>
        <v>360.8</v>
      </c>
      <c r="P28" s="1158">
        <f t="shared" si="6"/>
        <v>26.46</v>
      </c>
      <c r="Q28" s="1158">
        <f t="shared" si="6"/>
        <v>48</v>
      </c>
      <c r="R28" s="1158">
        <f t="shared" si="6"/>
        <v>0</v>
      </c>
      <c r="S28" s="1159">
        <f t="shared" si="6"/>
        <v>0</v>
      </c>
      <c r="T28" s="1151"/>
    </row>
    <row r="29" spans="1:20" ht="22.5">
      <c r="A29" s="1176" t="s">
        <v>12631</v>
      </c>
      <c r="B29" s="1165">
        <f t="shared" si="5"/>
        <v>607.20000000000005</v>
      </c>
      <c r="C29" s="1165">
        <f t="shared" si="5"/>
        <v>3691.75</v>
      </c>
      <c r="D29" s="1165">
        <f t="shared" si="5"/>
        <v>684</v>
      </c>
      <c r="E29" s="1165">
        <f t="shared" si="5"/>
        <v>377.37</v>
      </c>
      <c r="F29" s="1165">
        <f t="shared" si="5"/>
        <v>954</v>
      </c>
      <c r="G29" s="1165">
        <f t="shared" si="5"/>
        <v>2606.4</v>
      </c>
      <c r="H29" s="1166">
        <f t="shared" si="5"/>
        <v>0</v>
      </c>
      <c r="J29" s="1151"/>
      <c r="K29" s="1176" t="s">
        <v>12631</v>
      </c>
      <c r="L29" s="1177"/>
      <c r="M29" s="1165">
        <f t="shared" si="6"/>
        <v>1214.4000000000001</v>
      </c>
      <c r="N29" s="1165">
        <f t="shared" si="6"/>
        <v>7383.5</v>
      </c>
      <c r="O29" s="1165">
        <f t="shared" si="6"/>
        <v>1368</v>
      </c>
      <c r="P29" s="1165">
        <f t="shared" si="6"/>
        <v>754.74</v>
      </c>
      <c r="Q29" s="1165">
        <f t="shared" si="6"/>
        <v>1908</v>
      </c>
      <c r="R29" s="1165">
        <f t="shared" si="6"/>
        <v>5212.8</v>
      </c>
      <c r="S29" s="1166">
        <f t="shared" si="6"/>
        <v>0</v>
      </c>
      <c r="T29" s="1151"/>
    </row>
    <row r="30" spans="1:20" s="1156" customFormat="1" ht="12" thickBot="1">
      <c r="A30" s="1191" t="s">
        <v>27</v>
      </c>
      <c r="B30" s="1192">
        <f t="shared" ref="B30:H30" si="7">SUM(B20:B29)</f>
        <v>811.00800000000004</v>
      </c>
      <c r="C30" s="1192">
        <f t="shared" si="7"/>
        <v>5566.25</v>
      </c>
      <c r="D30" s="1192">
        <f t="shared" si="7"/>
        <v>7762.6480000000001</v>
      </c>
      <c r="E30" s="1192">
        <f t="shared" si="7"/>
        <v>9847.5804000000007</v>
      </c>
      <c r="F30" s="1192">
        <f t="shared" si="7"/>
        <v>16534.66</v>
      </c>
      <c r="G30" s="1192">
        <f t="shared" si="7"/>
        <v>12144.864</v>
      </c>
      <c r="H30" s="1193">
        <f t="shared" si="7"/>
        <v>892.5</v>
      </c>
      <c r="I30" s="1155"/>
      <c r="J30" s="1155"/>
      <c r="K30" s="1191" t="s">
        <v>27</v>
      </c>
      <c r="L30" s="1194"/>
      <c r="M30" s="1192">
        <f t="shared" ref="M30:S30" si="8">SUM(M20:M29)</f>
        <v>1344.1108453608249</v>
      </c>
      <c r="N30" s="1192">
        <f t="shared" si="8"/>
        <v>7383.5</v>
      </c>
      <c r="O30" s="1192">
        <f t="shared" si="8"/>
        <v>4116.8956701030929</v>
      </c>
      <c r="P30" s="1192">
        <f t="shared" si="8"/>
        <v>809.22239999999999</v>
      </c>
      <c r="Q30" s="1192">
        <f t="shared" si="8"/>
        <v>9091.715463917526</v>
      </c>
      <c r="R30" s="1192">
        <f t="shared" si="8"/>
        <v>5212.8</v>
      </c>
      <c r="S30" s="1193">
        <f t="shared" si="8"/>
        <v>404.84536082474233</v>
      </c>
      <c r="T30" s="1155"/>
    </row>
    <row r="31" spans="1:20" s="1156" customFormat="1" ht="12" thickBot="1">
      <c r="A31" s="1195"/>
      <c r="B31" s="873"/>
      <c r="C31" s="873"/>
      <c r="D31" s="873"/>
      <c r="E31" s="873"/>
      <c r="F31" s="873"/>
      <c r="G31" s="873"/>
      <c r="H31" s="873"/>
      <c r="I31" s="1155"/>
      <c r="J31" s="1195"/>
      <c r="K31" s="1196"/>
      <c r="L31" s="873"/>
      <c r="M31" s="873"/>
      <c r="N31" s="873"/>
      <c r="O31" s="873"/>
      <c r="P31" s="873"/>
      <c r="Q31" s="873"/>
      <c r="R31" s="873"/>
      <c r="T31" s="1155"/>
    </row>
    <row r="32" spans="1:20" ht="24" customHeight="1" thickBot="1">
      <c r="A32" s="1753" t="s">
        <v>21089</v>
      </c>
      <c r="B32" s="1754"/>
      <c r="C32" s="1754"/>
      <c r="D32" s="1754"/>
      <c r="E32" s="1754"/>
      <c r="F32" s="1754"/>
      <c r="G32" s="1754"/>
      <c r="H32" s="1754"/>
      <c r="I32" s="1754"/>
      <c r="J32" s="1754"/>
      <c r="K32" s="1754"/>
      <c r="L32" s="1754"/>
      <c r="M32" s="1754"/>
      <c r="N32" s="1754"/>
      <c r="O32" s="1754"/>
      <c r="P32" s="1754"/>
      <c r="Q32" s="1754"/>
      <c r="R32" s="1754"/>
      <c r="S32" s="1754"/>
      <c r="T32" s="1755"/>
    </row>
    <row r="33" spans="1:20" ht="21" customHeight="1" thickBot="1">
      <c r="A33" s="1756" t="s">
        <v>21059</v>
      </c>
      <c r="B33" s="1710"/>
      <c r="C33" s="1710"/>
      <c r="D33" s="1710"/>
      <c r="E33" s="1710"/>
      <c r="F33" s="1710"/>
      <c r="G33" s="1710"/>
      <c r="H33" s="1710"/>
      <c r="I33" s="1710"/>
      <c r="J33" s="1711"/>
      <c r="K33" s="1756" t="s">
        <v>21090</v>
      </c>
      <c r="L33" s="1710"/>
      <c r="M33" s="1710"/>
      <c r="N33" s="1710"/>
      <c r="O33" s="1710"/>
      <c r="P33" s="1710"/>
      <c r="Q33" s="1710"/>
      <c r="R33" s="1710"/>
      <c r="S33" s="1710"/>
      <c r="T33" s="1711"/>
    </row>
    <row r="34" spans="1:20" ht="22.5">
      <c r="A34" s="1197" t="s">
        <v>21029</v>
      </c>
      <c r="B34" s="901" t="s">
        <v>1275</v>
      </c>
      <c r="C34" s="901" t="s">
        <v>11684</v>
      </c>
      <c r="D34" s="901" t="s">
        <v>19</v>
      </c>
      <c r="E34" s="901" t="s">
        <v>32</v>
      </c>
      <c r="F34" s="901" t="s">
        <v>36</v>
      </c>
      <c r="G34" s="901" t="s">
        <v>12593</v>
      </c>
      <c r="H34" s="901" t="s">
        <v>30</v>
      </c>
      <c r="I34" s="901" t="s">
        <v>30</v>
      </c>
      <c r="J34" s="1198" t="s">
        <v>21060</v>
      </c>
      <c r="K34" s="1197" t="s">
        <v>21029</v>
      </c>
      <c r="L34" s="901" t="s">
        <v>1275</v>
      </c>
      <c r="M34" s="901" t="s">
        <v>11684</v>
      </c>
      <c r="N34" s="901" t="s">
        <v>19</v>
      </c>
      <c r="O34" s="901" t="s">
        <v>32</v>
      </c>
      <c r="P34" s="901" t="s">
        <v>36</v>
      </c>
      <c r="Q34" s="901" t="s">
        <v>12593</v>
      </c>
      <c r="R34" s="901" t="s">
        <v>30</v>
      </c>
      <c r="S34" s="901" t="s">
        <v>30</v>
      </c>
      <c r="T34" s="1198" t="s">
        <v>21060</v>
      </c>
    </row>
    <row r="35" spans="1:20">
      <c r="A35" s="1199" t="s">
        <v>12518</v>
      </c>
      <c r="B35" s="700">
        <v>2</v>
      </c>
      <c r="C35" s="828">
        <f>17.2+0.5</f>
        <v>17.7</v>
      </c>
      <c r="D35" s="828">
        <f>13.4+0.25+0.125</f>
        <v>13.775</v>
      </c>
      <c r="E35" s="828">
        <v>0.3</v>
      </c>
      <c r="F35" s="828" t="s">
        <v>30</v>
      </c>
      <c r="G35" s="828" t="s">
        <v>30</v>
      </c>
      <c r="H35" s="828"/>
      <c r="I35" s="828" t="s">
        <v>21</v>
      </c>
      <c r="J35" s="1200">
        <f>B35*C35*D35*E35</f>
        <v>146.29049999999998</v>
      </c>
      <c r="K35" s="1199" t="s">
        <v>12518</v>
      </c>
      <c r="L35" s="700">
        <v>0</v>
      </c>
      <c r="M35" s="828">
        <f>17.2+0.5</f>
        <v>17.7</v>
      </c>
      <c r="N35" s="828">
        <f>13.4+0.25+0.125</f>
        <v>13.775</v>
      </c>
      <c r="O35" s="828">
        <v>0.3</v>
      </c>
      <c r="P35" s="828" t="s">
        <v>30</v>
      </c>
      <c r="Q35" s="828" t="s">
        <v>30</v>
      </c>
      <c r="R35" s="828"/>
      <c r="S35" s="828" t="s">
        <v>21</v>
      </c>
      <c r="T35" s="1200">
        <f>L35*M35*N35*O35</f>
        <v>0</v>
      </c>
    </row>
    <row r="36" spans="1:20">
      <c r="A36" s="1199" t="s">
        <v>12620</v>
      </c>
      <c r="B36" s="700">
        <f>2*24</f>
        <v>48</v>
      </c>
      <c r="C36" s="828">
        <v>0.2</v>
      </c>
      <c r="D36" s="828">
        <v>0.2</v>
      </c>
      <c r="E36" s="828">
        <v>4.8499999999999996</v>
      </c>
      <c r="F36" s="828" t="s">
        <v>30</v>
      </c>
      <c r="G36" s="828" t="s">
        <v>30</v>
      </c>
      <c r="H36" s="828"/>
      <c r="I36" s="828" t="s">
        <v>21</v>
      </c>
      <c r="J36" s="1200">
        <f>B36*C36*D36*E36</f>
        <v>9.3120000000000012</v>
      </c>
      <c r="K36" s="1199" t="s">
        <v>12620</v>
      </c>
      <c r="L36" s="700">
        <f>2*24</f>
        <v>48</v>
      </c>
      <c r="M36" s="828">
        <v>0.2</v>
      </c>
      <c r="N36" s="828">
        <v>0.2</v>
      </c>
      <c r="O36" s="828">
        <v>4.8499999999999996</v>
      </c>
      <c r="P36" s="828" t="s">
        <v>30</v>
      </c>
      <c r="Q36" s="828" t="s">
        <v>30</v>
      </c>
      <c r="R36" s="828"/>
      <c r="S36" s="828" t="s">
        <v>21</v>
      </c>
      <c r="T36" s="1200">
        <f>L36*M36*N36*O36</f>
        <v>9.3120000000000012</v>
      </c>
    </row>
    <row r="37" spans="1:20">
      <c r="A37" s="1199" t="s">
        <v>12621</v>
      </c>
      <c r="B37" s="700">
        <v>2</v>
      </c>
      <c r="C37" s="828">
        <v>0.15</v>
      </c>
      <c r="D37" s="828">
        <v>0.3</v>
      </c>
      <c r="E37" s="828">
        <v>3.25</v>
      </c>
      <c r="F37" s="828" t="s">
        <v>30</v>
      </c>
      <c r="G37" s="828" t="s">
        <v>30</v>
      </c>
      <c r="H37" s="828"/>
      <c r="I37" s="828" t="s">
        <v>21</v>
      </c>
      <c r="J37" s="1200">
        <f>B37*C37*D37*E37</f>
        <v>0.29249999999999998</v>
      </c>
      <c r="K37" s="1199" t="s">
        <v>12621</v>
      </c>
      <c r="L37" s="700">
        <v>2</v>
      </c>
      <c r="M37" s="828">
        <v>0.15</v>
      </c>
      <c r="N37" s="828">
        <v>0.3</v>
      </c>
      <c r="O37" s="828">
        <v>3.25</v>
      </c>
      <c r="P37" s="828" t="s">
        <v>30</v>
      </c>
      <c r="Q37" s="828" t="s">
        <v>30</v>
      </c>
      <c r="R37" s="828"/>
      <c r="S37" s="828" t="s">
        <v>21</v>
      </c>
      <c r="T37" s="1200">
        <f>L37*M37*N37*O37</f>
        <v>0.29249999999999998</v>
      </c>
    </row>
    <row r="38" spans="1:20">
      <c r="A38" s="1199" t="s">
        <v>12595</v>
      </c>
      <c r="B38" s="700">
        <v>2</v>
      </c>
      <c r="C38" s="828">
        <v>0.5</v>
      </c>
      <c r="D38" s="828">
        <v>0.5</v>
      </c>
      <c r="E38" s="828">
        <v>0.5</v>
      </c>
      <c r="F38" s="828" t="s">
        <v>30</v>
      </c>
      <c r="G38" s="828" t="s">
        <v>30</v>
      </c>
      <c r="H38" s="828"/>
      <c r="I38" s="828" t="s">
        <v>21</v>
      </c>
      <c r="J38" s="1200">
        <f>B38*C38*D38*E38</f>
        <v>0.25</v>
      </c>
      <c r="K38" s="1199" t="s">
        <v>12595</v>
      </c>
      <c r="L38" s="700">
        <v>2</v>
      </c>
      <c r="M38" s="828">
        <v>0.5</v>
      </c>
      <c r="N38" s="828">
        <v>0.5</v>
      </c>
      <c r="O38" s="828">
        <v>0.5</v>
      </c>
      <c r="P38" s="828" t="s">
        <v>30</v>
      </c>
      <c r="Q38" s="828" t="s">
        <v>30</v>
      </c>
      <c r="R38" s="828"/>
      <c r="S38" s="828" t="s">
        <v>21</v>
      </c>
      <c r="T38" s="1200">
        <f>L38*M38*N38*O38</f>
        <v>0.25</v>
      </c>
    </row>
    <row r="39" spans="1:20">
      <c r="A39" s="1199" t="s">
        <v>12594</v>
      </c>
      <c r="B39" s="700">
        <v>72</v>
      </c>
      <c r="C39" s="828">
        <v>0.3</v>
      </c>
      <c r="D39" s="828">
        <v>0.05</v>
      </c>
      <c r="E39" s="828">
        <v>1.05</v>
      </c>
      <c r="F39" s="828"/>
      <c r="G39" s="828" t="s">
        <v>30</v>
      </c>
      <c r="H39" s="828"/>
      <c r="I39" s="828" t="s">
        <v>21</v>
      </c>
      <c r="J39" s="1200">
        <f>B39*C39*D39*E39</f>
        <v>1.1339999999999999</v>
      </c>
      <c r="K39" s="1199" t="s">
        <v>12594</v>
      </c>
      <c r="L39" s="700">
        <v>72</v>
      </c>
      <c r="M39" s="828">
        <v>0.3</v>
      </c>
      <c r="N39" s="828">
        <v>0.05</v>
      </c>
      <c r="O39" s="828">
        <v>1.05</v>
      </c>
      <c r="P39" s="828"/>
      <c r="Q39" s="828" t="s">
        <v>30</v>
      </c>
      <c r="R39" s="828"/>
      <c r="S39" s="828" t="s">
        <v>21</v>
      </c>
      <c r="T39" s="1200">
        <f>L39*M39*N39*O39</f>
        <v>1.1339999999999999</v>
      </c>
    </row>
    <row r="40" spans="1:20" ht="22.5">
      <c r="A40" s="1199" t="s">
        <v>21013</v>
      </c>
      <c r="B40" s="700">
        <v>1</v>
      </c>
      <c r="C40" s="828">
        <f>17.2+0.5</f>
        <v>17.7</v>
      </c>
      <c r="D40" s="828">
        <f>13.4</f>
        <v>13.4</v>
      </c>
      <c r="E40" s="828">
        <f>4.7+0.15</f>
        <v>4.8500000000000005</v>
      </c>
      <c r="F40" s="828">
        <v>0.25</v>
      </c>
      <c r="G40" s="828" t="s">
        <v>30</v>
      </c>
      <c r="H40" s="828"/>
      <c r="I40" s="828" t="s">
        <v>21</v>
      </c>
      <c r="J40" s="1200">
        <f>3*C40*F40*E40+4*D40*F40*E40</f>
        <v>129.37375000000003</v>
      </c>
      <c r="K40" s="1199" t="s">
        <v>21013</v>
      </c>
      <c r="L40" s="700">
        <v>1</v>
      </c>
      <c r="M40" s="828">
        <f>17.2+0.5</f>
        <v>17.7</v>
      </c>
      <c r="N40" s="828">
        <f>13.4</f>
        <v>13.4</v>
      </c>
      <c r="O40" s="828">
        <f>4.7+0.15</f>
        <v>4.8500000000000005</v>
      </c>
      <c r="P40" s="828">
        <v>0.25</v>
      </c>
      <c r="Q40" s="828" t="s">
        <v>30</v>
      </c>
      <c r="R40" s="828"/>
      <c r="S40" s="828" t="s">
        <v>21</v>
      </c>
      <c r="T40" s="1200">
        <f>3*M40*P40*O40+4*N40*P40*O40</f>
        <v>129.37375000000003</v>
      </c>
    </row>
    <row r="41" spans="1:20" ht="22.5">
      <c r="A41" s="1197" t="s">
        <v>21035</v>
      </c>
      <c r="B41" s="816" t="s">
        <v>1275</v>
      </c>
      <c r="C41" s="1201" t="s">
        <v>12170</v>
      </c>
      <c r="D41" s="816" t="s">
        <v>43</v>
      </c>
      <c r="E41" s="816" t="s">
        <v>36</v>
      </c>
      <c r="F41" s="816" t="s">
        <v>32</v>
      </c>
      <c r="G41" s="816" t="s">
        <v>21061</v>
      </c>
      <c r="H41" s="1202"/>
      <c r="I41" s="1022"/>
      <c r="J41" s="1198" t="s">
        <v>21060</v>
      </c>
      <c r="K41" s="1197" t="s">
        <v>21035</v>
      </c>
      <c r="L41" s="816" t="s">
        <v>1275</v>
      </c>
      <c r="M41" s="1201" t="s">
        <v>12170</v>
      </c>
      <c r="N41" s="816" t="s">
        <v>43</v>
      </c>
      <c r="O41" s="816" t="s">
        <v>36</v>
      </c>
      <c r="P41" s="816" t="s">
        <v>32</v>
      </c>
      <c r="Q41" s="816" t="s">
        <v>21061</v>
      </c>
      <c r="R41" s="1202"/>
      <c r="S41" s="1022"/>
      <c r="T41" s="1198" t="s">
        <v>21060</v>
      </c>
    </row>
    <row r="42" spans="1:20" ht="12.75">
      <c r="A42" s="1199" t="s">
        <v>12596</v>
      </c>
      <c r="B42" s="700">
        <v>2</v>
      </c>
      <c r="C42" s="828">
        <f>0.2+0.85+0.2+0.45</f>
        <v>1.7</v>
      </c>
      <c r="D42" s="828">
        <f>(13.4+0.25+0.125)-1.105+(0.45)</f>
        <v>13.12</v>
      </c>
      <c r="E42" s="828">
        <v>0.2</v>
      </c>
      <c r="F42" s="908"/>
      <c r="G42" s="828"/>
      <c r="H42" s="828"/>
      <c r="I42" s="828" t="s">
        <v>21</v>
      </c>
      <c r="J42" s="1200">
        <f>B42*C42*D42*E42</f>
        <v>8.9215999999999998</v>
      </c>
      <c r="K42" s="1199" t="s">
        <v>12596</v>
      </c>
      <c r="L42" s="700">
        <v>2</v>
      </c>
      <c r="M42" s="828">
        <f>0.2+0.85+0.2+0.45</f>
        <v>1.7</v>
      </c>
      <c r="N42" s="828">
        <f>(13.4+0.25+0.125)-1.105+(0.45)</f>
        <v>13.12</v>
      </c>
      <c r="O42" s="828">
        <v>0.2</v>
      </c>
      <c r="P42" s="908"/>
      <c r="Q42" s="828"/>
      <c r="R42" s="828"/>
      <c r="S42" s="828" t="s">
        <v>21</v>
      </c>
      <c r="T42" s="1200">
        <f>L42*M42*N42*O42</f>
        <v>8.9215999999999998</v>
      </c>
    </row>
    <row r="43" spans="1:20" ht="12.75">
      <c r="A43" s="1199" t="s">
        <v>21016</v>
      </c>
      <c r="B43" s="700">
        <f>2*2</f>
        <v>4</v>
      </c>
      <c r="C43" s="828"/>
      <c r="D43" s="828">
        <v>17.2</v>
      </c>
      <c r="E43" s="828"/>
      <c r="F43" s="908"/>
      <c r="G43" s="828">
        <f>(0.11+(0.174+0.11))*0.65/2</f>
        <v>0.12805</v>
      </c>
      <c r="H43" s="828"/>
      <c r="I43" s="828" t="s">
        <v>21</v>
      </c>
      <c r="J43" s="1200">
        <f>B43*D43*G43</f>
        <v>8.8098399999999994</v>
      </c>
      <c r="K43" s="1199" t="s">
        <v>21016</v>
      </c>
      <c r="L43" s="700">
        <f>2*2</f>
        <v>4</v>
      </c>
      <c r="M43" s="828"/>
      <c r="N43" s="828">
        <v>17.2</v>
      </c>
      <c r="O43" s="828"/>
      <c r="P43" s="908"/>
      <c r="Q43" s="828">
        <f>(0.11+(0.174+0.11))*0.65/2</f>
        <v>0.12805</v>
      </c>
      <c r="R43" s="828"/>
      <c r="S43" s="828" t="s">
        <v>21</v>
      </c>
      <c r="T43" s="1200">
        <f>L43*N43*Q43</f>
        <v>8.8098399999999994</v>
      </c>
    </row>
    <row r="44" spans="1:20" ht="12.75">
      <c r="A44" s="1199" t="s">
        <v>12598</v>
      </c>
      <c r="B44" s="700">
        <f>2*3</f>
        <v>6</v>
      </c>
      <c r="C44" s="828"/>
      <c r="D44" s="828">
        <v>17.2</v>
      </c>
      <c r="E44" s="828"/>
      <c r="F44" s="908"/>
      <c r="G44" s="828">
        <f>2*(0.11+(0.174+0.11))*0.65/2</f>
        <v>0.25609999999999999</v>
      </c>
      <c r="H44" s="828"/>
      <c r="I44" s="828" t="s">
        <v>21</v>
      </c>
      <c r="J44" s="1200">
        <f>B44*D44*G44</f>
        <v>26.429519999999997</v>
      </c>
      <c r="K44" s="1199" t="s">
        <v>12598</v>
      </c>
      <c r="L44" s="700">
        <f>2*3</f>
        <v>6</v>
      </c>
      <c r="M44" s="828"/>
      <c r="N44" s="828">
        <v>17.2</v>
      </c>
      <c r="O44" s="828"/>
      <c r="P44" s="908"/>
      <c r="Q44" s="828">
        <f>2*(0.11+(0.174+0.11))*0.65/2</f>
        <v>0.25609999999999999</v>
      </c>
      <c r="R44" s="828"/>
      <c r="S44" s="828" t="s">
        <v>21</v>
      </c>
      <c r="T44" s="1200">
        <f>L44*N44*Q44</f>
        <v>26.429519999999997</v>
      </c>
    </row>
    <row r="45" spans="1:20">
      <c r="A45" s="1199" t="s">
        <v>12599</v>
      </c>
      <c r="B45" s="700">
        <v>2</v>
      </c>
      <c r="C45" s="828">
        <f>0.15+0.85+0.15+0.45</f>
        <v>1.5999999999999999</v>
      </c>
      <c r="D45" s="828">
        <f>(13.4+0.25+0.125)-1.105+(0.45)</f>
        <v>13.12</v>
      </c>
      <c r="E45" s="828">
        <v>0.2</v>
      </c>
      <c r="F45" s="828"/>
      <c r="G45" s="828"/>
      <c r="H45" s="828"/>
      <c r="I45" s="828" t="s">
        <v>21</v>
      </c>
      <c r="J45" s="1200">
        <f>B45*C45*D45*E45</f>
        <v>8.3967999999999989</v>
      </c>
      <c r="K45" s="1199" t="s">
        <v>12599</v>
      </c>
      <c r="L45" s="700">
        <v>2</v>
      </c>
      <c r="M45" s="828">
        <f>0.15+0.85+0.15+0.45</f>
        <v>1.5999999999999999</v>
      </c>
      <c r="N45" s="828">
        <f>(13.4+0.25+0.125)-1.105+(0.45)</f>
        <v>13.12</v>
      </c>
      <c r="O45" s="828">
        <v>0.2</v>
      </c>
      <c r="P45" s="828"/>
      <c r="Q45" s="828"/>
      <c r="R45" s="828"/>
      <c r="S45" s="828" t="s">
        <v>21</v>
      </c>
      <c r="T45" s="1200">
        <f>L45*M45*N45*O45</f>
        <v>8.3967999999999989</v>
      </c>
    </row>
    <row r="46" spans="1:20">
      <c r="A46" s="1199" t="s">
        <v>12601</v>
      </c>
      <c r="B46" s="700">
        <f>2*4</f>
        <v>8</v>
      </c>
      <c r="C46" s="828">
        <f>0.4*2+0.12*2+0.3</f>
        <v>1.34</v>
      </c>
      <c r="D46" s="828">
        <v>17.2</v>
      </c>
      <c r="E46" s="828">
        <v>0.12</v>
      </c>
      <c r="F46" s="828"/>
      <c r="G46" s="828"/>
      <c r="H46" s="828"/>
      <c r="I46" s="828" t="s">
        <v>21</v>
      </c>
      <c r="J46" s="1200">
        <f>B46*C46*D46*E46</f>
        <v>22.126080000000002</v>
      </c>
      <c r="K46" s="1199" t="s">
        <v>12601</v>
      </c>
      <c r="L46" s="700">
        <f>2*4</f>
        <v>8</v>
      </c>
      <c r="M46" s="828">
        <f>0.4*2+0.12*2+0.3</f>
        <v>1.34</v>
      </c>
      <c r="N46" s="828">
        <v>17.2</v>
      </c>
      <c r="O46" s="828">
        <v>0.12</v>
      </c>
      <c r="P46" s="828"/>
      <c r="Q46" s="828"/>
      <c r="R46" s="828"/>
      <c r="S46" s="828" t="s">
        <v>21</v>
      </c>
      <c r="T46" s="1200">
        <f>L46*M46*N46*O46</f>
        <v>22.126080000000002</v>
      </c>
    </row>
    <row r="47" spans="1:20">
      <c r="A47" s="1199" t="s">
        <v>21062</v>
      </c>
      <c r="B47" s="700">
        <f>2*4</f>
        <v>8</v>
      </c>
      <c r="C47" s="828">
        <f>0.15+0.45+0.2+0.475+0.15</f>
        <v>1.4249999999999998</v>
      </c>
      <c r="D47" s="828"/>
      <c r="E47" s="828">
        <v>0.2</v>
      </c>
      <c r="F47" s="828">
        <f>0.2+0.5+0.2+0.8</f>
        <v>1.7</v>
      </c>
      <c r="G47" s="828"/>
      <c r="H47" s="828"/>
      <c r="I47" s="828" t="s">
        <v>21</v>
      </c>
      <c r="J47" s="1200">
        <f>B47*C47*E47*F47</f>
        <v>3.8759999999999994</v>
      </c>
      <c r="K47" s="1199" t="s">
        <v>21062</v>
      </c>
      <c r="L47" s="700">
        <f>2*4</f>
        <v>8</v>
      </c>
      <c r="M47" s="828">
        <f>0.15+0.45+0.2+0.475+0.15</f>
        <v>1.4249999999999998</v>
      </c>
      <c r="N47" s="828"/>
      <c r="O47" s="828">
        <v>0.2</v>
      </c>
      <c r="P47" s="828">
        <f>0.2+0.5+0.2+0.8</f>
        <v>1.7</v>
      </c>
      <c r="Q47" s="828"/>
      <c r="R47" s="828"/>
      <c r="S47" s="828" t="s">
        <v>21</v>
      </c>
      <c r="T47" s="1200">
        <f>L47*M47*O47*P47</f>
        <v>3.8759999999999994</v>
      </c>
    </row>
    <row r="48" spans="1:20">
      <c r="A48" s="1199" t="s">
        <v>21063</v>
      </c>
      <c r="B48" s="700">
        <f>2*2</f>
        <v>4</v>
      </c>
      <c r="C48" s="828">
        <v>2.15</v>
      </c>
      <c r="D48" s="828"/>
      <c r="E48" s="828">
        <v>0.2</v>
      </c>
      <c r="F48" s="828">
        <f>0.2+0.5+0.2+0.8</f>
        <v>1.7</v>
      </c>
      <c r="G48" s="828"/>
      <c r="H48" s="828"/>
      <c r="I48" s="828" t="s">
        <v>21</v>
      </c>
      <c r="J48" s="1200">
        <f>B48*C48*E48*F48</f>
        <v>2.9239999999999999</v>
      </c>
      <c r="K48" s="1199" t="s">
        <v>21063</v>
      </c>
      <c r="L48" s="700">
        <f>2*2</f>
        <v>4</v>
      </c>
      <c r="M48" s="828">
        <v>2.15</v>
      </c>
      <c r="N48" s="828"/>
      <c r="O48" s="828">
        <v>0.2</v>
      </c>
      <c r="P48" s="828">
        <f>0.2+0.5+0.2+0.8</f>
        <v>1.7</v>
      </c>
      <c r="Q48" s="828"/>
      <c r="R48" s="828"/>
      <c r="S48" s="828" t="s">
        <v>21</v>
      </c>
      <c r="T48" s="1200">
        <f>L48*M48*O48*P48</f>
        <v>2.9239999999999999</v>
      </c>
    </row>
    <row r="49" spans="1:20">
      <c r="A49" s="1199" t="s">
        <v>21063</v>
      </c>
      <c r="B49" s="700">
        <f>2*2</f>
        <v>4</v>
      </c>
      <c r="C49" s="828">
        <f>0.15*2+2.15</f>
        <v>2.4499999999999997</v>
      </c>
      <c r="D49" s="828"/>
      <c r="E49" s="828">
        <v>0.2</v>
      </c>
      <c r="F49" s="828">
        <v>0.8</v>
      </c>
      <c r="G49" s="828"/>
      <c r="H49" s="828"/>
      <c r="I49" s="828" t="s">
        <v>21</v>
      </c>
      <c r="J49" s="1200">
        <f>B49*C49*E49*F49</f>
        <v>1.5680000000000001</v>
      </c>
      <c r="K49" s="1199" t="s">
        <v>21063</v>
      </c>
      <c r="L49" s="700">
        <f>2*2</f>
        <v>4</v>
      </c>
      <c r="M49" s="828">
        <f>0.15*2+2.15</f>
        <v>2.4499999999999997</v>
      </c>
      <c r="N49" s="828"/>
      <c r="O49" s="828">
        <v>0.2</v>
      </c>
      <c r="P49" s="828">
        <v>0.8</v>
      </c>
      <c r="Q49" s="828"/>
      <c r="R49" s="828"/>
      <c r="S49" s="828" t="s">
        <v>21</v>
      </c>
      <c r="T49" s="1200">
        <f>L49*M49*O49*P49</f>
        <v>1.5680000000000001</v>
      </c>
    </row>
    <row r="50" spans="1:20" ht="22.5">
      <c r="A50" s="1197" t="s">
        <v>21038</v>
      </c>
      <c r="B50" s="816" t="s">
        <v>1275</v>
      </c>
      <c r="C50" s="901" t="s">
        <v>43</v>
      </c>
      <c r="D50" s="901" t="s">
        <v>19</v>
      </c>
      <c r="E50" s="901" t="s">
        <v>32</v>
      </c>
      <c r="F50" s="901" t="s">
        <v>21057</v>
      </c>
      <c r="G50" s="901" t="s">
        <v>21058</v>
      </c>
      <c r="H50" s="901"/>
      <c r="I50" s="901"/>
      <c r="J50" s="1198" t="s">
        <v>21060</v>
      </c>
      <c r="K50" s="1197" t="s">
        <v>21038</v>
      </c>
      <c r="L50" s="816" t="s">
        <v>1275</v>
      </c>
      <c r="M50" s="901" t="s">
        <v>43</v>
      </c>
      <c r="N50" s="901" t="s">
        <v>19</v>
      </c>
      <c r="O50" s="901" t="s">
        <v>32</v>
      </c>
      <c r="P50" s="901" t="s">
        <v>21057</v>
      </c>
      <c r="Q50" s="901" t="s">
        <v>21058</v>
      </c>
      <c r="R50" s="901"/>
      <c r="S50" s="901"/>
      <c r="T50" s="1198" t="s">
        <v>21060</v>
      </c>
    </row>
    <row r="51" spans="1:20" ht="22.5">
      <c r="A51" s="1199" t="s">
        <v>21045</v>
      </c>
      <c r="B51" s="700">
        <v>2</v>
      </c>
      <c r="C51" s="828">
        <v>1.85</v>
      </c>
      <c r="D51" s="828">
        <v>0.15</v>
      </c>
      <c r="E51" s="828">
        <f>0.7+0.5+0.4</f>
        <v>1.6</v>
      </c>
      <c r="F51" s="828">
        <v>2</v>
      </c>
      <c r="G51" s="828">
        <v>0.2</v>
      </c>
      <c r="H51" s="828"/>
      <c r="I51" s="828" t="s">
        <v>21</v>
      </c>
      <c r="J51" s="1200">
        <f>(B51*C51*E51*D51)-(B51*F51*(3.14*(G51^2/4))*D51)</f>
        <v>0.86916000000000015</v>
      </c>
      <c r="K51" s="1199" t="s">
        <v>21045</v>
      </c>
      <c r="L51" s="700">
        <v>2</v>
      </c>
      <c r="M51" s="828">
        <v>1.85</v>
      </c>
      <c r="N51" s="828">
        <v>0.15</v>
      </c>
      <c r="O51" s="828">
        <f>0.7+0.5+0.4</f>
        <v>1.6</v>
      </c>
      <c r="P51" s="828">
        <v>2</v>
      </c>
      <c r="Q51" s="828">
        <v>0.2</v>
      </c>
      <c r="R51" s="828"/>
      <c r="S51" s="828" t="s">
        <v>21</v>
      </c>
      <c r="T51" s="1200">
        <f>(L51*M51*O51*N51)-(L51*P51*(3.14*(Q51^2/4))*N51)</f>
        <v>0.86916000000000015</v>
      </c>
    </row>
    <row r="52" spans="1:20" ht="22.5">
      <c r="A52" s="1199" t="s">
        <v>21046</v>
      </c>
      <c r="B52" s="700">
        <v>2</v>
      </c>
      <c r="C52" s="828">
        <f>1.85-0.15*2</f>
        <v>1.55</v>
      </c>
      <c r="D52" s="828">
        <v>0.15</v>
      </c>
      <c r="E52" s="828">
        <f>0.7+0.5+0.4</f>
        <v>1.6</v>
      </c>
      <c r="F52" s="828">
        <v>2</v>
      </c>
      <c r="G52" s="828">
        <v>0.2</v>
      </c>
      <c r="H52" s="828"/>
      <c r="I52" s="828" t="s">
        <v>21</v>
      </c>
      <c r="J52" s="1200">
        <f>(B52*C52*E52*D52)-(B52*F52*(3.14*(G52^2/4))*D52)</f>
        <v>0.72516000000000014</v>
      </c>
      <c r="K52" s="1199" t="s">
        <v>21046</v>
      </c>
      <c r="L52" s="700">
        <v>2</v>
      </c>
      <c r="M52" s="828">
        <f>1.85-0.15*2</f>
        <v>1.55</v>
      </c>
      <c r="N52" s="828">
        <v>0.15</v>
      </c>
      <c r="O52" s="828">
        <f>0.7+0.5+0.4</f>
        <v>1.6</v>
      </c>
      <c r="P52" s="828">
        <v>2</v>
      </c>
      <c r="Q52" s="828">
        <v>0.2</v>
      </c>
      <c r="R52" s="828"/>
      <c r="S52" s="828" t="s">
        <v>21</v>
      </c>
      <c r="T52" s="1200">
        <f>(L52*M52*O52*N52)-(L52*P52*(3.14*(Q52^2/4))*N52)</f>
        <v>0.72516000000000014</v>
      </c>
    </row>
    <row r="53" spans="1:20" ht="22.5">
      <c r="A53" s="1199" t="s">
        <v>21050</v>
      </c>
      <c r="B53" s="700">
        <v>1</v>
      </c>
      <c r="C53" s="828">
        <v>1.1000000000000001</v>
      </c>
      <c r="D53" s="828">
        <v>0.15</v>
      </c>
      <c r="E53" s="828">
        <f t="shared" ref="E53:E63" si="9">0.7+0.5+0.4</f>
        <v>1.6</v>
      </c>
      <c r="F53" s="828">
        <v>1</v>
      </c>
      <c r="G53" s="828">
        <v>0.4</v>
      </c>
      <c r="H53" s="828"/>
      <c r="I53" s="828" t="s">
        <v>21</v>
      </c>
      <c r="J53" s="1200">
        <f>(B53*C53*E53*D53)-(B53*F53*(3.14*(G53^2/4))*D53)</f>
        <v>0.24516000000000002</v>
      </c>
      <c r="K53" s="1199" t="s">
        <v>21050</v>
      </c>
      <c r="L53" s="700">
        <v>1</v>
      </c>
      <c r="M53" s="828">
        <v>1.1000000000000001</v>
      </c>
      <c r="N53" s="828">
        <v>0.15</v>
      </c>
      <c r="O53" s="828">
        <f t="shared" ref="O53:O63" si="10">0.7+0.5+0.4</f>
        <v>1.6</v>
      </c>
      <c r="P53" s="828">
        <v>1</v>
      </c>
      <c r="Q53" s="828">
        <v>0.4</v>
      </c>
      <c r="R53" s="828"/>
      <c r="S53" s="828" t="s">
        <v>21</v>
      </c>
      <c r="T53" s="1200">
        <f>(L53*M53*O53*N53)-(L53*P53*(3.14*(Q53^2/4))*N53)</f>
        <v>0.24516000000000002</v>
      </c>
    </row>
    <row r="54" spans="1:20" ht="22.5">
      <c r="A54" s="1199" t="s">
        <v>21051</v>
      </c>
      <c r="B54" s="700">
        <v>1</v>
      </c>
      <c r="C54" s="828">
        <f>C53-0.15*2</f>
        <v>0.8</v>
      </c>
      <c r="D54" s="828">
        <v>0.15</v>
      </c>
      <c r="E54" s="828">
        <f t="shared" si="9"/>
        <v>1.6</v>
      </c>
      <c r="F54" s="828">
        <v>1</v>
      </c>
      <c r="G54" s="828">
        <v>0.4</v>
      </c>
      <c r="H54" s="828"/>
      <c r="I54" s="828" t="s">
        <v>21</v>
      </c>
      <c r="J54" s="1200">
        <f>(B54*C54*E54*D54)-(B54*F54*(3.14*(G54^2/4))*D54)</f>
        <v>0.17316000000000004</v>
      </c>
      <c r="K54" s="1199" t="s">
        <v>21051</v>
      </c>
      <c r="L54" s="700">
        <v>1</v>
      </c>
      <c r="M54" s="828">
        <f>M53-0.15*2</f>
        <v>0.8</v>
      </c>
      <c r="N54" s="828">
        <v>0.15</v>
      </c>
      <c r="O54" s="828">
        <f t="shared" si="10"/>
        <v>1.6</v>
      </c>
      <c r="P54" s="828">
        <v>1</v>
      </c>
      <c r="Q54" s="828">
        <v>0.4</v>
      </c>
      <c r="R54" s="828"/>
      <c r="S54" s="828" t="s">
        <v>21</v>
      </c>
      <c r="T54" s="1200">
        <f>(L54*M54*O54*N54)-(L54*P54*(3.14*(Q54^2/4))*N54)</f>
        <v>0.17316000000000004</v>
      </c>
    </row>
    <row r="55" spans="1:20" ht="22.5">
      <c r="A55" s="1197" t="s">
        <v>21038</v>
      </c>
      <c r="B55" s="816" t="s">
        <v>1275</v>
      </c>
      <c r="C55" s="901" t="s">
        <v>43</v>
      </c>
      <c r="D55" s="901" t="s">
        <v>19</v>
      </c>
      <c r="E55" s="901" t="s">
        <v>32</v>
      </c>
      <c r="F55" s="901" t="s">
        <v>21057</v>
      </c>
      <c r="G55" s="901" t="s">
        <v>21055</v>
      </c>
      <c r="H55" s="901" t="s">
        <v>21056</v>
      </c>
      <c r="I55" s="901"/>
      <c r="J55" s="1198" t="s">
        <v>21060</v>
      </c>
      <c r="K55" s="1197" t="s">
        <v>21038</v>
      </c>
      <c r="L55" s="816" t="s">
        <v>1275</v>
      </c>
      <c r="M55" s="901" t="s">
        <v>43</v>
      </c>
      <c r="N55" s="901" t="s">
        <v>19</v>
      </c>
      <c r="O55" s="901" t="s">
        <v>32</v>
      </c>
      <c r="P55" s="901" t="s">
        <v>21057</v>
      </c>
      <c r="Q55" s="901" t="s">
        <v>21055</v>
      </c>
      <c r="R55" s="901" t="s">
        <v>21056</v>
      </c>
      <c r="S55" s="901"/>
      <c r="T55" s="1198" t="s">
        <v>21060</v>
      </c>
    </row>
    <row r="56" spans="1:20" ht="22.5">
      <c r="A56" s="1199" t="s">
        <v>21049</v>
      </c>
      <c r="B56" s="700">
        <v>2</v>
      </c>
      <c r="C56" s="828">
        <f>1.85-0.15*2</f>
        <v>1.55</v>
      </c>
      <c r="D56" s="828">
        <v>0.15</v>
      </c>
      <c r="E56" s="828">
        <f t="shared" si="9"/>
        <v>1.6</v>
      </c>
      <c r="F56" s="828">
        <v>2</v>
      </c>
      <c r="G56" s="828">
        <v>0.5</v>
      </c>
      <c r="H56" s="828">
        <v>0.5</v>
      </c>
      <c r="I56" s="828" t="s">
        <v>21</v>
      </c>
      <c r="J56" s="1200">
        <f>B56*C56*E56*D56-B56*F56*G56*H56*D56</f>
        <v>0.59400000000000008</v>
      </c>
      <c r="K56" s="1199" t="s">
        <v>21049</v>
      </c>
      <c r="L56" s="700">
        <v>2</v>
      </c>
      <c r="M56" s="828">
        <f>1.85-0.15*2</f>
        <v>1.55</v>
      </c>
      <c r="N56" s="828">
        <v>0.15</v>
      </c>
      <c r="O56" s="828">
        <f t="shared" si="10"/>
        <v>1.6</v>
      </c>
      <c r="P56" s="828">
        <v>2</v>
      </c>
      <c r="Q56" s="828">
        <v>0.5</v>
      </c>
      <c r="R56" s="828">
        <v>0.5</v>
      </c>
      <c r="S56" s="828" t="s">
        <v>21</v>
      </c>
      <c r="T56" s="1200">
        <f>L56*M56*O56*N56-L56*P56*Q56*R56*N56</f>
        <v>0.59400000000000008</v>
      </c>
    </row>
    <row r="57" spans="1:20">
      <c r="A57" s="1199" t="s">
        <v>21047</v>
      </c>
      <c r="B57" s="700">
        <v>2</v>
      </c>
      <c r="C57" s="828">
        <f>C56</f>
        <v>1.55</v>
      </c>
      <c r="D57" s="828">
        <v>0.15</v>
      </c>
      <c r="E57" s="828">
        <f t="shared" si="9"/>
        <v>1.6</v>
      </c>
      <c r="F57" s="828">
        <v>2</v>
      </c>
      <c r="G57" s="828">
        <v>0.5</v>
      </c>
      <c r="H57" s="828">
        <v>0.5</v>
      </c>
      <c r="I57" s="828" t="s">
        <v>21</v>
      </c>
      <c r="J57" s="1200">
        <f t="shared" ref="J57:J63" si="11">B57*C57*E57*D57-B57*F57*G57*H57*D57</f>
        <v>0.59400000000000008</v>
      </c>
      <c r="K57" s="1199" t="s">
        <v>21047</v>
      </c>
      <c r="L57" s="700">
        <v>2</v>
      </c>
      <c r="M57" s="828">
        <f>M56</f>
        <v>1.55</v>
      </c>
      <c r="N57" s="828">
        <v>0.15</v>
      </c>
      <c r="O57" s="828">
        <f t="shared" si="10"/>
        <v>1.6</v>
      </c>
      <c r="P57" s="828">
        <v>2</v>
      </c>
      <c r="Q57" s="828">
        <v>0.5</v>
      </c>
      <c r="R57" s="828">
        <v>0.5</v>
      </c>
      <c r="S57" s="828" t="s">
        <v>21</v>
      </c>
      <c r="T57" s="1200">
        <f t="shared" ref="T57:T63" si="12">L57*M57*O57*N57-L57*P57*Q57*R57*N57</f>
        <v>0.59400000000000008</v>
      </c>
    </row>
    <row r="58" spans="1:20" ht="22.5">
      <c r="A58" s="1199" t="s">
        <v>21048</v>
      </c>
      <c r="B58" s="700">
        <v>4</v>
      </c>
      <c r="C58" s="828">
        <v>0.75</v>
      </c>
      <c r="D58" s="828">
        <v>0.15</v>
      </c>
      <c r="E58" s="828">
        <f t="shared" si="9"/>
        <v>1.6</v>
      </c>
      <c r="F58" s="828"/>
      <c r="G58" s="828"/>
      <c r="H58" s="828"/>
      <c r="I58" s="828" t="s">
        <v>21</v>
      </c>
      <c r="J58" s="1200">
        <f t="shared" si="11"/>
        <v>0.72000000000000008</v>
      </c>
      <c r="K58" s="1199" t="s">
        <v>21048</v>
      </c>
      <c r="L58" s="700">
        <v>4</v>
      </c>
      <c r="M58" s="828">
        <v>0.75</v>
      </c>
      <c r="N58" s="828">
        <v>0.15</v>
      </c>
      <c r="O58" s="828">
        <f t="shared" si="10"/>
        <v>1.6</v>
      </c>
      <c r="P58" s="828"/>
      <c r="Q58" s="828"/>
      <c r="R58" s="828"/>
      <c r="S58" s="828" t="s">
        <v>21</v>
      </c>
      <c r="T58" s="1200">
        <f t="shared" si="12"/>
        <v>0.72000000000000008</v>
      </c>
    </row>
    <row r="59" spans="1:20" ht="22.5">
      <c r="A59" s="1199" t="s">
        <v>21052</v>
      </c>
      <c r="B59" s="700">
        <v>2</v>
      </c>
      <c r="C59" s="828">
        <f>0.5+0.15*2</f>
        <v>0.8</v>
      </c>
      <c r="D59" s="828">
        <v>0.15</v>
      </c>
      <c r="E59" s="828">
        <f t="shared" si="9"/>
        <v>1.6</v>
      </c>
      <c r="F59" s="828"/>
      <c r="G59" s="828"/>
      <c r="H59" s="828"/>
      <c r="I59" s="828" t="s">
        <v>21</v>
      </c>
      <c r="J59" s="1200">
        <f t="shared" si="11"/>
        <v>0.38400000000000006</v>
      </c>
      <c r="K59" s="1199" t="s">
        <v>21052</v>
      </c>
      <c r="L59" s="700">
        <v>2</v>
      </c>
      <c r="M59" s="828">
        <f>0.5+0.15*2</f>
        <v>0.8</v>
      </c>
      <c r="N59" s="828">
        <v>0.15</v>
      </c>
      <c r="O59" s="828">
        <f t="shared" si="10"/>
        <v>1.6</v>
      </c>
      <c r="P59" s="828"/>
      <c r="Q59" s="828"/>
      <c r="R59" s="828"/>
      <c r="S59" s="828" t="s">
        <v>21</v>
      </c>
      <c r="T59" s="1200">
        <f t="shared" si="12"/>
        <v>0.38400000000000006</v>
      </c>
    </row>
    <row r="60" spans="1:20">
      <c r="A60" s="1199" t="s">
        <v>21053</v>
      </c>
      <c r="B60" s="700">
        <v>2</v>
      </c>
      <c r="C60" s="828">
        <f>C59-0.15*2</f>
        <v>0.5</v>
      </c>
      <c r="D60" s="828">
        <v>0.15</v>
      </c>
      <c r="E60" s="828">
        <f t="shared" si="9"/>
        <v>1.6</v>
      </c>
      <c r="F60" s="828"/>
      <c r="G60" s="828"/>
      <c r="H60" s="828"/>
      <c r="I60" s="828" t="s">
        <v>21</v>
      </c>
      <c r="J60" s="1200">
        <f t="shared" si="11"/>
        <v>0.24</v>
      </c>
      <c r="K60" s="1199" t="s">
        <v>21053</v>
      </c>
      <c r="L60" s="700">
        <v>2</v>
      </c>
      <c r="M60" s="828">
        <f>M59-0.15*2</f>
        <v>0.5</v>
      </c>
      <c r="N60" s="828">
        <v>0.15</v>
      </c>
      <c r="O60" s="828">
        <f t="shared" si="10"/>
        <v>1.6</v>
      </c>
      <c r="P60" s="828"/>
      <c r="Q60" s="828"/>
      <c r="R60" s="828"/>
      <c r="S60" s="828" t="s">
        <v>21</v>
      </c>
      <c r="T60" s="1200">
        <f t="shared" si="12"/>
        <v>0.24</v>
      </c>
    </row>
    <row r="61" spans="1:20" ht="22.5">
      <c r="A61" s="1199" t="s">
        <v>21054</v>
      </c>
      <c r="B61" s="700">
        <v>2</v>
      </c>
      <c r="C61" s="828">
        <v>0.8</v>
      </c>
      <c r="D61" s="828">
        <v>0.15</v>
      </c>
      <c r="E61" s="828">
        <v>0.75</v>
      </c>
      <c r="F61" s="828"/>
      <c r="G61" s="828"/>
      <c r="H61" s="828"/>
      <c r="I61" s="828" t="s">
        <v>21</v>
      </c>
      <c r="J61" s="1200">
        <f t="shared" si="11"/>
        <v>0.18000000000000002</v>
      </c>
      <c r="K61" s="1199" t="s">
        <v>21054</v>
      </c>
      <c r="L61" s="700">
        <v>2</v>
      </c>
      <c r="M61" s="828">
        <v>0.8</v>
      </c>
      <c r="N61" s="828">
        <v>0.15</v>
      </c>
      <c r="O61" s="828">
        <v>0.75</v>
      </c>
      <c r="P61" s="828"/>
      <c r="Q61" s="828"/>
      <c r="R61" s="828"/>
      <c r="S61" s="828" t="s">
        <v>21</v>
      </c>
      <c r="T61" s="1200">
        <f t="shared" si="12"/>
        <v>0.18000000000000002</v>
      </c>
    </row>
    <row r="62" spans="1:20">
      <c r="A62" s="1199" t="s">
        <v>12610</v>
      </c>
      <c r="B62" s="700">
        <v>4</v>
      </c>
      <c r="C62" s="828">
        <v>0.5</v>
      </c>
      <c r="D62" s="828">
        <v>0.15</v>
      </c>
      <c r="E62" s="828">
        <f t="shared" si="9"/>
        <v>1.6</v>
      </c>
      <c r="F62" s="828"/>
      <c r="G62" s="828"/>
      <c r="H62" s="828"/>
      <c r="I62" s="828" t="s">
        <v>21</v>
      </c>
      <c r="J62" s="1200">
        <f t="shared" si="11"/>
        <v>0.48</v>
      </c>
      <c r="K62" s="1199" t="s">
        <v>12610</v>
      </c>
      <c r="L62" s="700">
        <v>4</v>
      </c>
      <c r="M62" s="828">
        <v>0.5</v>
      </c>
      <c r="N62" s="828">
        <v>0.15</v>
      </c>
      <c r="O62" s="828">
        <f t="shared" si="10"/>
        <v>1.6</v>
      </c>
      <c r="P62" s="828"/>
      <c r="Q62" s="828"/>
      <c r="R62" s="828"/>
      <c r="S62" s="828" t="s">
        <v>21</v>
      </c>
      <c r="T62" s="1200">
        <f t="shared" si="12"/>
        <v>0.48</v>
      </c>
    </row>
    <row r="63" spans="1:20">
      <c r="A63" s="1199" t="s">
        <v>12611</v>
      </c>
      <c r="B63" s="700">
        <v>1</v>
      </c>
      <c r="C63" s="828">
        <f>0.95+1.1+0.95-0.15*2</f>
        <v>2.7</v>
      </c>
      <c r="D63" s="828">
        <v>0.15</v>
      </c>
      <c r="E63" s="828">
        <f t="shared" si="9"/>
        <v>1.6</v>
      </c>
      <c r="F63" s="828"/>
      <c r="G63" s="828"/>
      <c r="H63" s="828"/>
      <c r="I63" s="828" t="s">
        <v>21</v>
      </c>
      <c r="J63" s="1200">
        <f t="shared" si="11"/>
        <v>0.64800000000000002</v>
      </c>
      <c r="K63" s="1199" t="s">
        <v>12611</v>
      </c>
      <c r="L63" s="700">
        <v>1</v>
      </c>
      <c r="M63" s="828">
        <f>0.95+1.1+0.95-0.15*2</f>
        <v>2.7</v>
      </c>
      <c r="N63" s="828">
        <v>0.15</v>
      </c>
      <c r="O63" s="828">
        <f t="shared" si="10"/>
        <v>1.6</v>
      </c>
      <c r="P63" s="828"/>
      <c r="Q63" s="828"/>
      <c r="R63" s="828"/>
      <c r="S63" s="828" t="s">
        <v>21</v>
      </c>
      <c r="T63" s="1200">
        <f t="shared" si="12"/>
        <v>0.64800000000000002</v>
      </c>
    </row>
    <row r="64" spans="1:20">
      <c r="A64" s="1199"/>
      <c r="B64" s="700"/>
      <c r="C64" s="828"/>
      <c r="D64" s="828"/>
      <c r="E64" s="828"/>
      <c r="F64" s="828"/>
      <c r="G64" s="828"/>
      <c r="H64" s="828"/>
      <c r="I64" s="828"/>
      <c r="J64" s="1200"/>
      <c r="K64" s="1199"/>
      <c r="L64" s="700"/>
      <c r="M64" s="828"/>
      <c r="N64" s="828"/>
      <c r="O64" s="828"/>
      <c r="P64" s="828"/>
      <c r="Q64" s="828"/>
      <c r="R64" s="828"/>
      <c r="S64" s="828"/>
      <c r="T64" s="1200"/>
    </row>
    <row r="65" spans="1:20" ht="22.5">
      <c r="A65" s="1203" t="s">
        <v>12272</v>
      </c>
      <c r="B65" s="1144" t="s">
        <v>1275</v>
      </c>
      <c r="C65" s="1204" t="s">
        <v>43</v>
      </c>
      <c r="D65" s="1204"/>
      <c r="E65" s="1205" t="s">
        <v>32</v>
      </c>
      <c r="F65" s="1205" t="s">
        <v>21067</v>
      </c>
      <c r="G65" s="1205"/>
      <c r="H65" s="1205"/>
      <c r="I65" s="1205"/>
      <c r="J65" s="1206" t="s">
        <v>21060</v>
      </c>
      <c r="K65" s="1203" t="s">
        <v>12272</v>
      </c>
      <c r="L65" s="1144" t="s">
        <v>1275</v>
      </c>
      <c r="M65" s="1204" t="s">
        <v>43</v>
      </c>
      <c r="N65" s="1204"/>
      <c r="O65" s="1205" t="s">
        <v>32</v>
      </c>
      <c r="P65" s="1205" t="s">
        <v>21067</v>
      </c>
      <c r="Q65" s="1205"/>
      <c r="R65" s="1205"/>
      <c r="S65" s="1205"/>
      <c r="T65" s="1206" t="s">
        <v>21060</v>
      </c>
    </row>
    <row r="66" spans="1:20" ht="22.5">
      <c r="A66" s="1199" t="s">
        <v>21066</v>
      </c>
      <c r="B66" s="700">
        <f>2*2</f>
        <v>4</v>
      </c>
      <c r="C66" s="828">
        <f>13.4-1.105+0.2+0.45</f>
        <v>12.944999999999999</v>
      </c>
      <c r="D66" s="954"/>
      <c r="E66" s="828">
        <f>0.8+0.2</f>
        <v>1</v>
      </c>
      <c r="F66" s="828">
        <v>0.2</v>
      </c>
      <c r="G66" s="828"/>
      <c r="H66" s="828"/>
      <c r="I66" s="828"/>
      <c r="J66" s="1200">
        <f t="shared" ref="J66:J72" si="13">B66*(2*C66*E66*F66)</f>
        <v>20.712</v>
      </c>
      <c r="K66" s="1199" t="s">
        <v>21066</v>
      </c>
      <c r="L66" s="700">
        <f>2*2</f>
        <v>4</v>
      </c>
      <c r="M66" s="828">
        <f>13.4-1.105+0.2+0.45</f>
        <v>12.944999999999999</v>
      </c>
      <c r="N66" s="954"/>
      <c r="O66" s="828">
        <f>0.8+0.2</f>
        <v>1</v>
      </c>
      <c r="P66" s="828">
        <v>0.2</v>
      </c>
      <c r="Q66" s="828"/>
      <c r="R66" s="828"/>
      <c r="S66" s="828"/>
      <c r="T66" s="1200">
        <f t="shared" ref="T66:T72" si="14">L66*(2*M66*O66*P66)</f>
        <v>20.712</v>
      </c>
    </row>
    <row r="67" spans="1:20" ht="33.75">
      <c r="A67" s="1199" t="s">
        <v>12587</v>
      </c>
      <c r="B67" s="700">
        <f>2*8</f>
        <v>16</v>
      </c>
      <c r="C67" s="828">
        <v>17.2</v>
      </c>
      <c r="D67" s="828" t="s">
        <v>30</v>
      </c>
      <c r="E67" s="828">
        <v>0.9</v>
      </c>
      <c r="F67" s="828">
        <v>0.2</v>
      </c>
      <c r="G67" s="828" t="s">
        <v>30</v>
      </c>
      <c r="H67" s="828"/>
      <c r="I67" s="828" t="s">
        <v>21</v>
      </c>
      <c r="J67" s="1200">
        <f t="shared" si="13"/>
        <v>99.072000000000003</v>
      </c>
      <c r="K67" s="1199" t="s">
        <v>12587</v>
      </c>
      <c r="L67" s="700">
        <f>2*8</f>
        <v>16</v>
      </c>
      <c r="M67" s="828">
        <v>17.2</v>
      </c>
      <c r="N67" s="828" t="s">
        <v>30</v>
      </c>
      <c r="O67" s="828">
        <v>0.9</v>
      </c>
      <c r="P67" s="828">
        <v>0.2</v>
      </c>
      <c r="Q67" s="828" t="s">
        <v>30</v>
      </c>
      <c r="R67" s="828"/>
      <c r="S67" s="828" t="s">
        <v>21</v>
      </c>
      <c r="T67" s="1200">
        <f t="shared" si="14"/>
        <v>99.072000000000003</v>
      </c>
    </row>
    <row r="68" spans="1:20">
      <c r="A68" s="1199" t="s">
        <v>12588</v>
      </c>
      <c r="B68" s="700">
        <f>2*4</f>
        <v>8</v>
      </c>
      <c r="C68" s="828">
        <v>2.4500000000000002</v>
      </c>
      <c r="D68" s="828" t="s">
        <v>30</v>
      </c>
      <c r="E68" s="828">
        <v>0.3</v>
      </c>
      <c r="F68" s="828">
        <v>0.2</v>
      </c>
      <c r="G68" s="828" t="s">
        <v>30</v>
      </c>
      <c r="H68" s="828"/>
      <c r="I68" s="828" t="s">
        <v>21</v>
      </c>
      <c r="J68" s="1200">
        <f t="shared" si="13"/>
        <v>2.3519999999999999</v>
      </c>
      <c r="K68" s="1199" t="s">
        <v>12588</v>
      </c>
      <c r="L68" s="700">
        <f>2*4</f>
        <v>8</v>
      </c>
      <c r="M68" s="828">
        <v>2.4500000000000002</v>
      </c>
      <c r="N68" s="828" t="s">
        <v>30</v>
      </c>
      <c r="O68" s="828">
        <v>0.3</v>
      </c>
      <c r="P68" s="828">
        <v>0.2</v>
      </c>
      <c r="Q68" s="828" t="s">
        <v>30</v>
      </c>
      <c r="R68" s="828"/>
      <c r="S68" s="828" t="s">
        <v>21</v>
      </c>
      <c r="T68" s="1200">
        <f t="shared" si="14"/>
        <v>2.3519999999999999</v>
      </c>
    </row>
    <row r="69" spans="1:20">
      <c r="A69" s="1199" t="s">
        <v>12589</v>
      </c>
      <c r="B69" s="700">
        <f>2*4</f>
        <v>8</v>
      </c>
      <c r="C69" s="828">
        <v>4.5</v>
      </c>
      <c r="D69" s="828" t="s">
        <v>30</v>
      </c>
      <c r="E69" s="828">
        <v>0.3</v>
      </c>
      <c r="F69" s="828">
        <v>0.2</v>
      </c>
      <c r="G69" s="828" t="s">
        <v>30</v>
      </c>
      <c r="H69" s="828"/>
      <c r="I69" s="828" t="s">
        <v>21</v>
      </c>
      <c r="J69" s="1200">
        <f t="shared" si="13"/>
        <v>4.3199999999999994</v>
      </c>
      <c r="K69" s="1199" t="s">
        <v>12589</v>
      </c>
      <c r="L69" s="700">
        <f>2*4</f>
        <v>8</v>
      </c>
      <c r="M69" s="828">
        <v>4.5</v>
      </c>
      <c r="N69" s="828" t="s">
        <v>30</v>
      </c>
      <c r="O69" s="828">
        <v>0.3</v>
      </c>
      <c r="P69" s="828">
        <v>0.2</v>
      </c>
      <c r="Q69" s="828" t="s">
        <v>30</v>
      </c>
      <c r="R69" s="828"/>
      <c r="S69" s="828" t="s">
        <v>21</v>
      </c>
      <c r="T69" s="1200">
        <f t="shared" si="14"/>
        <v>4.3199999999999994</v>
      </c>
    </row>
    <row r="70" spans="1:20" ht="33.75">
      <c r="A70" s="1199" t="s">
        <v>12590</v>
      </c>
      <c r="B70" s="700">
        <f>2*8</f>
        <v>16</v>
      </c>
      <c r="C70" s="828">
        <v>13.4</v>
      </c>
      <c r="D70" s="828" t="s">
        <v>30</v>
      </c>
      <c r="E70" s="828">
        <v>0.3</v>
      </c>
      <c r="F70" s="828">
        <v>0.2</v>
      </c>
      <c r="G70" s="828" t="s">
        <v>30</v>
      </c>
      <c r="H70" s="828"/>
      <c r="I70" s="828" t="s">
        <v>21</v>
      </c>
      <c r="J70" s="1200">
        <f t="shared" si="13"/>
        <v>25.727999999999998</v>
      </c>
      <c r="K70" s="1199" t="s">
        <v>12590</v>
      </c>
      <c r="L70" s="700">
        <f>2*8</f>
        <v>16</v>
      </c>
      <c r="M70" s="828">
        <v>13.4</v>
      </c>
      <c r="N70" s="828" t="s">
        <v>30</v>
      </c>
      <c r="O70" s="828">
        <v>0.3</v>
      </c>
      <c r="P70" s="828">
        <v>0.2</v>
      </c>
      <c r="Q70" s="828" t="s">
        <v>30</v>
      </c>
      <c r="R70" s="828"/>
      <c r="S70" s="828" t="s">
        <v>21</v>
      </c>
      <c r="T70" s="1200">
        <f t="shared" si="14"/>
        <v>25.727999999999998</v>
      </c>
    </row>
    <row r="71" spans="1:20">
      <c r="A71" s="1199" t="s">
        <v>12591</v>
      </c>
      <c r="B71" s="700">
        <v>2</v>
      </c>
      <c r="C71" s="828">
        <v>17.2</v>
      </c>
      <c r="D71" s="828" t="s">
        <v>30</v>
      </c>
      <c r="E71" s="828">
        <v>0.3</v>
      </c>
      <c r="F71" s="828">
        <v>0.2</v>
      </c>
      <c r="G71" s="828" t="s">
        <v>30</v>
      </c>
      <c r="H71" s="828"/>
      <c r="I71" s="828" t="s">
        <v>21</v>
      </c>
      <c r="J71" s="1200">
        <f t="shared" si="13"/>
        <v>4.1279999999999992</v>
      </c>
      <c r="K71" s="1199" t="s">
        <v>12591</v>
      </c>
      <c r="L71" s="700">
        <v>2</v>
      </c>
      <c r="M71" s="828">
        <v>17.2</v>
      </c>
      <c r="N71" s="828" t="s">
        <v>30</v>
      </c>
      <c r="O71" s="828">
        <v>0.3</v>
      </c>
      <c r="P71" s="828">
        <v>0.2</v>
      </c>
      <c r="Q71" s="828" t="s">
        <v>30</v>
      </c>
      <c r="R71" s="828"/>
      <c r="S71" s="828" t="s">
        <v>21</v>
      </c>
      <c r="T71" s="1200">
        <f t="shared" si="14"/>
        <v>4.1279999999999992</v>
      </c>
    </row>
    <row r="72" spans="1:20">
      <c r="A72" s="1199" t="s">
        <v>12592</v>
      </c>
      <c r="B72" s="700">
        <f>8*2</f>
        <v>16</v>
      </c>
      <c r="C72" s="828">
        <v>12.8</v>
      </c>
      <c r="D72" s="828" t="s">
        <v>30</v>
      </c>
      <c r="E72" s="828">
        <v>0.15</v>
      </c>
      <c r="F72" s="828">
        <v>0.2</v>
      </c>
      <c r="G72" s="828" t="s">
        <v>30</v>
      </c>
      <c r="H72" s="828"/>
      <c r="I72" s="828" t="s">
        <v>21</v>
      </c>
      <c r="J72" s="1200">
        <f t="shared" si="13"/>
        <v>12.288</v>
      </c>
      <c r="K72" s="1199" t="s">
        <v>12592</v>
      </c>
      <c r="L72" s="700">
        <f>8*2</f>
        <v>16</v>
      </c>
      <c r="M72" s="828">
        <v>12.8</v>
      </c>
      <c r="N72" s="828" t="s">
        <v>30</v>
      </c>
      <c r="O72" s="828">
        <v>0.15</v>
      </c>
      <c r="P72" s="828">
        <v>0.2</v>
      </c>
      <c r="Q72" s="828" t="s">
        <v>30</v>
      </c>
      <c r="R72" s="828"/>
      <c r="S72" s="828" t="s">
        <v>21</v>
      </c>
      <c r="T72" s="1200">
        <f t="shared" si="14"/>
        <v>12.288</v>
      </c>
    </row>
    <row r="73" spans="1:20" ht="45">
      <c r="A73" s="1203" t="s">
        <v>21030</v>
      </c>
      <c r="B73" s="1144" t="s">
        <v>1275</v>
      </c>
      <c r="C73" s="1204" t="s">
        <v>17</v>
      </c>
      <c r="D73" s="1204" t="s">
        <v>19</v>
      </c>
      <c r="E73" s="1205"/>
      <c r="F73" s="1205" t="s">
        <v>36</v>
      </c>
      <c r="G73" s="1205" t="s">
        <v>21068</v>
      </c>
      <c r="H73" s="1205"/>
      <c r="I73" s="1205"/>
      <c r="J73" s="1206"/>
      <c r="K73" s="1203" t="s">
        <v>21030</v>
      </c>
      <c r="L73" s="1144" t="s">
        <v>1275</v>
      </c>
      <c r="M73" s="1204" t="s">
        <v>17</v>
      </c>
      <c r="N73" s="1204" t="s">
        <v>19</v>
      </c>
      <c r="O73" s="1205"/>
      <c r="P73" s="1205" t="s">
        <v>36</v>
      </c>
      <c r="Q73" s="1205" t="s">
        <v>21068</v>
      </c>
      <c r="R73" s="1205"/>
      <c r="S73" s="1205"/>
      <c r="T73" s="1206"/>
    </row>
    <row r="74" spans="1:20">
      <c r="A74" s="1199" t="s">
        <v>21031</v>
      </c>
      <c r="B74" s="700">
        <f>2*2</f>
        <v>4</v>
      </c>
      <c r="C74" s="954">
        <v>2.15</v>
      </c>
      <c r="D74" s="954">
        <v>1.125</v>
      </c>
      <c r="E74" s="828" t="s">
        <v>30</v>
      </c>
      <c r="F74" s="828">
        <v>0.15</v>
      </c>
      <c r="G74" s="828">
        <f t="shared" ref="G74:G79" si="15">B74*C74*D74*F74</f>
        <v>1.4512499999999997</v>
      </c>
      <c r="H74" s="828"/>
      <c r="I74" s="828"/>
      <c r="J74" s="1200"/>
      <c r="K74" s="1199" t="s">
        <v>21031</v>
      </c>
      <c r="L74" s="700">
        <f>2*2</f>
        <v>4</v>
      </c>
      <c r="M74" s="954">
        <v>2.15</v>
      </c>
      <c r="N74" s="954">
        <v>1.125</v>
      </c>
      <c r="O74" s="828" t="s">
        <v>30</v>
      </c>
      <c r="P74" s="828">
        <v>0.15</v>
      </c>
      <c r="Q74" s="828">
        <f t="shared" ref="Q74:Q79" si="16">L74*M74*N74*P74</f>
        <v>1.4512499999999997</v>
      </c>
      <c r="R74" s="828"/>
      <c r="S74" s="828"/>
      <c r="T74" s="1200"/>
    </row>
    <row r="75" spans="1:20">
      <c r="A75" s="1199" t="s">
        <v>21032</v>
      </c>
      <c r="B75" s="700">
        <f>2*2*8</f>
        <v>32</v>
      </c>
      <c r="C75" s="954">
        <v>0.6</v>
      </c>
      <c r="D75" s="954">
        <v>2.12</v>
      </c>
      <c r="E75" s="828" t="s">
        <v>30</v>
      </c>
      <c r="F75" s="828">
        <v>0.15</v>
      </c>
      <c r="G75" s="828">
        <f t="shared" si="15"/>
        <v>6.1055999999999999</v>
      </c>
      <c r="H75" s="828"/>
      <c r="I75" s="828"/>
      <c r="J75" s="1200"/>
      <c r="K75" s="1199" t="s">
        <v>21032</v>
      </c>
      <c r="L75" s="700">
        <f>2*2*8</f>
        <v>32</v>
      </c>
      <c r="M75" s="954">
        <v>0.6</v>
      </c>
      <c r="N75" s="954">
        <v>2.12</v>
      </c>
      <c r="O75" s="828" t="s">
        <v>30</v>
      </c>
      <c r="P75" s="828">
        <v>0.15</v>
      </c>
      <c r="Q75" s="828">
        <f t="shared" si="16"/>
        <v>6.1055999999999999</v>
      </c>
      <c r="R75" s="828"/>
      <c r="S75" s="828"/>
      <c r="T75" s="1200"/>
    </row>
    <row r="76" spans="1:20">
      <c r="A76" s="1199" t="s">
        <v>21033</v>
      </c>
      <c r="B76" s="700">
        <f>2*4*8</f>
        <v>64</v>
      </c>
      <c r="C76" s="954">
        <v>0.6</v>
      </c>
      <c r="D76" s="954">
        <v>0.20100000000000001</v>
      </c>
      <c r="E76" s="828" t="s">
        <v>30</v>
      </c>
      <c r="F76" s="828">
        <v>0.15</v>
      </c>
      <c r="G76" s="828">
        <f t="shared" si="15"/>
        <v>1.1577599999999999</v>
      </c>
      <c r="H76" s="828"/>
      <c r="I76" s="828"/>
      <c r="J76" s="1200"/>
      <c r="K76" s="1199" t="s">
        <v>21033</v>
      </c>
      <c r="L76" s="700">
        <f>2*4*8</f>
        <v>64</v>
      </c>
      <c r="M76" s="954">
        <v>0.6</v>
      </c>
      <c r="N76" s="954">
        <v>0.20100000000000001</v>
      </c>
      <c r="O76" s="828" t="s">
        <v>30</v>
      </c>
      <c r="P76" s="828">
        <v>0.15</v>
      </c>
      <c r="Q76" s="828">
        <f t="shared" si="16"/>
        <v>1.1577599999999999</v>
      </c>
      <c r="R76" s="828"/>
      <c r="S76" s="828"/>
      <c r="T76" s="1200"/>
    </row>
    <row r="77" spans="1:20">
      <c r="A77" s="1199" t="s">
        <v>21034</v>
      </c>
      <c r="B77" s="700">
        <f>2*6</f>
        <v>12</v>
      </c>
      <c r="C77" s="954">
        <v>1.32</v>
      </c>
      <c r="D77" s="954">
        <v>1.1000000000000001</v>
      </c>
      <c r="E77" s="828" t="s">
        <v>30</v>
      </c>
      <c r="F77" s="828">
        <v>0.15</v>
      </c>
      <c r="G77" s="828">
        <f t="shared" si="15"/>
        <v>2.6135999999999999</v>
      </c>
      <c r="H77" s="828"/>
      <c r="I77" s="828"/>
      <c r="J77" s="1200"/>
      <c r="K77" s="1199" t="s">
        <v>21034</v>
      </c>
      <c r="L77" s="700">
        <f>2*6</f>
        <v>12</v>
      </c>
      <c r="M77" s="954">
        <v>1.32</v>
      </c>
      <c r="N77" s="954">
        <v>1.1000000000000001</v>
      </c>
      <c r="O77" s="828" t="s">
        <v>30</v>
      </c>
      <c r="P77" s="828">
        <v>0.15</v>
      </c>
      <c r="Q77" s="828">
        <f t="shared" si="16"/>
        <v>2.6135999999999999</v>
      </c>
      <c r="R77" s="828"/>
      <c r="S77" s="828"/>
      <c r="T77" s="1200"/>
    </row>
    <row r="78" spans="1:20">
      <c r="A78" s="1199" t="s">
        <v>21036</v>
      </c>
      <c r="B78" s="700">
        <f>2*6</f>
        <v>12</v>
      </c>
      <c r="C78" s="954">
        <v>1.76</v>
      </c>
      <c r="D78" s="954">
        <v>1.1000000000000001</v>
      </c>
      <c r="E78" s="828" t="s">
        <v>30</v>
      </c>
      <c r="F78" s="828">
        <v>0.15</v>
      </c>
      <c r="G78" s="828">
        <f t="shared" si="15"/>
        <v>3.4848000000000003</v>
      </c>
      <c r="H78" s="828"/>
      <c r="I78" s="828"/>
      <c r="J78" s="1200"/>
      <c r="K78" s="1199" t="s">
        <v>21036</v>
      </c>
      <c r="L78" s="700">
        <f>2*6</f>
        <v>12</v>
      </c>
      <c r="M78" s="954">
        <v>1.76</v>
      </c>
      <c r="N78" s="954">
        <v>1.1000000000000001</v>
      </c>
      <c r="O78" s="828" t="s">
        <v>30</v>
      </c>
      <c r="P78" s="828">
        <v>0.15</v>
      </c>
      <c r="Q78" s="828">
        <f t="shared" si="16"/>
        <v>3.4848000000000003</v>
      </c>
      <c r="R78" s="828"/>
      <c r="S78" s="828"/>
      <c r="T78" s="1200"/>
    </row>
    <row r="79" spans="1:20">
      <c r="A79" s="1199" t="s">
        <v>21037</v>
      </c>
      <c r="B79" s="700">
        <f>2*6</f>
        <v>12</v>
      </c>
      <c r="C79" s="954">
        <v>1.1000000000000001</v>
      </c>
      <c r="D79" s="954">
        <v>0.6</v>
      </c>
      <c r="E79" s="828" t="s">
        <v>30</v>
      </c>
      <c r="F79" s="828">
        <v>0.15</v>
      </c>
      <c r="G79" s="828">
        <f t="shared" si="15"/>
        <v>1.1879999999999999</v>
      </c>
      <c r="H79" s="828"/>
      <c r="I79" s="828"/>
      <c r="J79" s="1200"/>
      <c r="K79" s="1199" t="s">
        <v>21037</v>
      </c>
      <c r="L79" s="700">
        <f>2*6</f>
        <v>12</v>
      </c>
      <c r="M79" s="954">
        <v>1.1000000000000001</v>
      </c>
      <c r="N79" s="954">
        <v>0.6</v>
      </c>
      <c r="O79" s="828" t="s">
        <v>30</v>
      </c>
      <c r="P79" s="828">
        <v>0.15</v>
      </c>
      <c r="Q79" s="828">
        <f t="shared" si="16"/>
        <v>1.1879999999999999</v>
      </c>
      <c r="R79" s="828"/>
      <c r="S79" s="828"/>
      <c r="T79" s="1200"/>
    </row>
    <row r="80" spans="1:20">
      <c r="A80" s="1199"/>
      <c r="B80" s="700"/>
      <c r="C80" s="911"/>
      <c r="D80" s="911"/>
      <c r="E80" s="911"/>
      <c r="F80" s="911"/>
      <c r="G80" s="901"/>
      <c r="H80" s="901"/>
      <c r="I80" s="901"/>
      <c r="J80" s="1198"/>
      <c r="K80" s="1199"/>
      <c r="L80" s="700"/>
      <c r="M80" s="911"/>
      <c r="N80" s="911"/>
      <c r="O80" s="911"/>
      <c r="P80" s="911"/>
      <c r="Q80" s="901"/>
      <c r="R80" s="901"/>
      <c r="S80" s="901"/>
      <c r="T80" s="1198"/>
    </row>
    <row r="81" spans="1:20">
      <c r="A81" s="1199"/>
      <c r="B81" s="700"/>
      <c r="C81" s="952"/>
      <c r="D81" s="952"/>
      <c r="E81" s="952"/>
      <c r="F81" s="952"/>
      <c r="G81" s="911"/>
      <c r="H81" s="911"/>
      <c r="I81" s="901"/>
      <c r="J81" s="1198"/>
      <c r="K81" s="1199"/>
      <c r="L81" s="700"/>
      <c r="M81" s="952"/>
      <c r="N81" s="952"/>
      <c r="O81" s="952"/>
      <c r="P81" s="952"/>
      <c r="Q81" s="911"/>
      <c r="R81" s="911"/>
      <c r="S81" s="901"/>
      <c r="T81" s="1198"/>
    </row>
    <row r="82" spans="1:20" ht="12.75">
      <c r="A82" s="1199" t="s">
        <v>12440</v>
      </c>
      <c r="B82" s="700">
        <v>2</v>
      </c>
      <c r="C82" s="828">
        <f>2.3+17.7+1.2</f>
        <v>21.2</v>
      </c>
      <c r="D82" s="828">
        <f>13.4+0.25+0.125</f>
        <v>13.775</v>
      </c>
      <c r="E82" s="828" t="s">
        <v>30</v>
      </c>
      <c r="F82" s="828">
        <v>0.15</v>
      </c>
      <c r="G82" s="908"/>
      <c r="H82" s="828"/>
      <c r="I82" s="828" t="s">
        <v>21</v>
      </c>
      <c r="J82" s="1200">
        <f>B82*C82*D82*F82</f>
        <v>87.608999999999995</v>
      </c>
      <c r="K82" s="1199" t="s">
        <v>12440</v>
      </c>
      <c r="L82" s="700">
        <v>2</v>
      </c>
      <c r="M82" s="828">
        <f>2.3+17.7+1.2</f>
        <v>21.2</v>
      </c>
      <c r="N82" s="828">
        <f>13.4+0.25+0.125</f>
        <v>13.775</v>
      </c>
      <c r="O82" s="828" t="s">
        <v>30</v>
      </c>
      <c r="P82" s="828">
        <v>0.15</v>
      </c>
      <c r="Q82" s="908"/>
      <c r="R82" s="828"/>
      <c r="S82" s="828" t="s">
        <v>21</v>
      </c>
      <c r="T82" s="1200">
        <f>L82*M82*N82*P82</f>
        <v>87.608999999999995</v>
      </c>
    </row>
    <row r="83" spans="1:20">
      <c r="A83" s="1199"/>
      <c r="B83" s="700"/>
      <c r="C83" s="1700" t="s">
        <v>21069</v>
      </c>
      <c r="D83" s="1700"/>
      <c r="E83" s="1700"/>
      <c r="F83" s="1700"/>
      <c r="G83" s="1700"/>
      <c r="H83" s="1700"/>
      <c r="I83" s="901" t="s">
        <v>21</v>
      </c>
      <c r="J83" s="1198">
        <f>J82-SUM(G74:G79)</f>
        <v>71.607990000000001</v>
      </c>
      <c r="K83" s="1199"/>
      <c r="L83" s="700"/>
      <c r="M83" s="1700" t="s">
        <v>21069</v>
      </c>
      <c r="N83" s="1700"/>
      <c r="O83" s="1700"/>
      <c r="P83" s="1700"/>
      <c r="Q83" s="1700"/>
      <c r="R83" s="1700"/>
      <c r="S83" s="901" t="s">
        <v>21</v>
      </c>
      <c r="T83" s="1198">
        <f>T82-SUM(Q74:Q79)</f>
        <v>71.607990000000001</v>
      </c>
    </row>
    <row r="84" spans="1:20" ht="22.5">
      <c r="A84" s="1197" t="s">
        <v>21040</v>
      </c>
      <c r="B84" s="816" t="s">
        <v>1275</v>
      </c>
      <c r="C84" s="901" t="s">
        <v>17</v>
      </c>
      <c r="D84" s="901" t="s">
        <v>19</v>
      </c>
      <c r="E84" s="901" t="s">
        <v>36</v>
      </c>
      <c r="F84" s="952"/>
      <c r="G84" s="952"/>
      <c r="H84" s="952"/>
      <c r="I84" s="901"/>
      <c r="J84" s="1198"/>
      <c r="K84" s="1197" t="s">
        <v>21040</v>
      </c>
      <c r="L84" s="816" t="s">
        <v>1275</v>
      </c>
      <c r="M84" s="901" t="s">
        <v>17</v>
      </c>
      <c r="N84" s="901" t="s">
        <v>19</v>
      </c>
      <c r="O84" s="901" t="s">
        <v>36</v>
      </c>
      <c r="P84" s="952"/>
      <c r="Q84" s="952"/>
      <c r="R84" s="952"/>
      <c r="S84" s="901"/>
      <c r="T84" s="1198"/>
    </row>
    <row r="85" spans="1:20">
      <c r="A85" s="1199" t="s">
        <v>21041</v>
      </c>
      <c r="B85" s="700">
        <v>1</v>
      </c>
      <c r="C85" s="828">
        <f>1.85+0.75</f>
        <v>2.6</v>
      </c>
      <c r="D85" s="828">
        <f>0.95+1.1+0.95</f>
        <v>3</v>
      </c>
      <c r="E85" s="828">
        <v>0.2</v>
      </c>
      <c r="F85" s="828"/>
      <c r="G85" s="828"/>
      <c r="H85" s="828"/>
      <c r="I85" s="828" t="s">
        <v>21</v>
      </c>
      <c r="J85" s="1200">
        <f>B85*C85*D85*E85</f>
        <v>1.5600000000000003</v>
      </c>
      <c r="K85" s="1199" t="s">
        <v>21041</v>
      </c>
      <c r="L85" s="700">
        <v>1</v>
      </c>
      <c r="M85" s="828">
        <f>1.85+0.75</f>
        <v>2.6</v>
      </c>
      <c r="N85" s="828">
        <f>0.95+1.1+0.95</f>
        <v>3</v>
      </c>
      <c r="O85" s="828">
        <v>0.2</v>
      </c>
      <c r="P85" s="828"/>
      <c r="Q85" s="828"/>
      <c r="R85" s="828"/>
      <c r="S85" s="828" t="s">
        <v>21</v>
      </c>
      <c r="T85" s="1200">
        <f>L85*M85*N85*O85</f>
        <v>1.5600000000000003</v>
      </c>
    </row>
    <row r="86" spans="1:20">
      <c r="A86" s="1199" t="s">
        <v>21042</v>
      </c>
      <c r="B86" s="700">
        <v>2</v>
      </c>
      <c r="C86" s="828">
        <v>0.75</v>
      </c>
      <c r="D86" s="828">
        <v>0.95</v>
      </c>
      <c r="E86" s="828">
        <v>0.2</v>
      </c>
      <c r="F86" s="828"/>
      <c r="G86" s="828"/>
      <c r="H86" s="828"/>
      <c r="I86" s="828" t="s">
        <v>21</v>
      </c>
      <c r="J86" s="1200">
        <f>B86*C86*D86*E86</f>
        <v>0.28499999999999998</v>
      </c>
      <c r="K86" s="1199" t="s">
        <v>21042</v>
      </c>
      <c r="L86" s="700">
        <v>2</v>
      </c>
      <c r="M86" s="828">
        <v>0.75</v>
      </c>
      <c r="N86" s="828">
        <v>0.95</v>
      </c>
      <c r="O86" s="828">
        <v>0.2</v>
      </c>
      <c r="P86" s="828"/>
      <c r="Q86" s="828"/>
      <c r="R86" s="828"/>
      <c r="S86" s="828" t="s">
        <v>21</v>
      </c>
      <c r="T86" s="1200">
        <f>L86*M86*N86*O86</f>
        <v>0.28499999999999998</v>
      </c>
    </row>
    <row r="87" spans="1:20">
      <c r="A87" s="1199"/>
      <c r="B87" s="700"/>
      <c r="C87" s="828"/>
      <c r="D87" s="828"/>
      <c r="E87" s="828"/>
      <c r="F87" s="1700" t="s">
        <v>21070</v>
      </c>
      <c r="G87" s="1700"/>
      <c r="H87" s="1700"/>
      <c r="I87" s="901" t="s">
        <v>21</v>
      </c>
      <c r="J87" s="1198">
        <f>J85-J86</f>
        <v>1.2750000000000004</v>
      </c>
      <c r="K87" s="1199"/>
      <c r="L87" s="700"/>
      <c r="M87" s="828"/>
      <c r="N87" s="828"/>
      <c r="O87" s="828"/>
      <c r="P87" s="1700" t="s">
        <v>21070</v>
      </c>
      <c r="Q87" s="1700"/>
      <c r="R87" s="1700"/>
      <c r="S87" s="901" t="s">
        <v>21</v>
      </c>
      <c r="T87" s="1198">
        <f>T85-T86</f>
        <v>1.2750000000000004</v>
      </c>
    </row>
    <row r="88" spans="1:20" ht="22.5">
      <c r="A88" s="1197" t="s">
        <v>21065</v>
      </c>
      <c r="B88" s="816" t="s">
        <v>1275</v>
      </c>
      <c r="C88" s="901" t="s">
        <v>17</v>
      </c>
      <c r="D88" s="901" t="s">
        <v>19</v>
      </c>
      <c r="E88" s="901" t="s">
        <v>36</v>
      </c>
      <c r="F88" s="952"/>
      <c r="G88" s="952"/>
      <c r="H88" s="952"/>
      <c r="I88" s="901"/>
      <c r="J88" s="1198"/>
      <c r="K88" s="1197" t="s">
        <v>21065</v>
      </c>
      <c r="L88" s="816" t="s">
        <v>1275</v>
      </c>
      <c r="M88" s="901" t="s">
        <v>17</v>
      </c>
      <c r="N88" s="901" t="s">
        <v>19</v>
      </c>
      <c r="O88" s="901" t="s">
        <v>36</v>
      </c>
      <c r="P88" s="952"/>
      <c r="Q88" s="952"/>
      <c r="R88" s="952"/>
      <c r="S88" s="901"/>
      <c r="T88" s="1198"/>
    </row>
    <row r="89" spans="1:20">
      <c r="A89" s="1199" t="s">
        <v>21064</v>
      </c>
      <c r="B89" s="700">
        <f>2*2</f>
        <v>4</v>
      </c>
      <c r="C89" s="828">
        <f>13.4-1.105</f>
        <v>12.295</v>
      </c>
      <c r="D89" s="828">
        <f>0.45+0.2</f>
        <v>0.65</v>
      </c>
      <c r="E89" s="828">
        <v>0.2</v>
      </c>
      <c r="F89" s="828"/>
      <c r="G89" s="828"/>
      <c r="H89" s="901" t="s">
        <v>27</v>
      </c>
      <c r="I89" s="901" t="s">
        <v>21</v>
      </c>
      <c r="J89" s="1198">
        <f>B89*C89*D89*E89</f>
        <v>6.3934000000000006</v>
      </c>
      <c r="K89" s="1199" t="s">
        <v>21064</v>
      </c>
      <c r="L89" s="700">
        <f>2*2</f>
        <v>4</v>
      </c>
      <c r="M89" s="828">
        <f>13.4-1.105</f>
        <v>12.295</v>
      </c>
      <c r="N89" s="828">
        <f>0.45+0.2</f>
        <v>0.65</v>
      </c>
      <c r="O89" s="828">
        <v>0.2</v>
      </c>
      <c r="P89" s="828"/>
      <c r="Q89" s="828"/>
      <c r="R89" s="901" t="s">
        <v>27</v>
      </c>
      <c r="S89" s="901" t="s">
        <v>21</v>
      </c>
      <c r="T89" s="1198">
        <f>L89*M89*N89*O89</f>
        <v>6.3934000000000006</v>
      </c>
    </row>
    <row r="90" spans="1:20">
      <c r="A90" s="1199"/>
      <c r="B90" s="700"/>
      <c r="C90" s="828"/>
      <c r="D90" s="828"/>
      <c r="E90" s="828"/>
      <c r="F90" s="828"/>
      <c r="G90" s="828"/>
      <c r="H90" s="901"/>
      <c r="I90" s="901"/>
      <c r="J90" s="1198"/>
      <c r="K90" s="1199"/>
      <c r="L90" s="700"/>
      <c r="M90" s="828"/>
      <c r="N90" s="828"/>
      <c r="O90" s="828"/>
      <c r="P90" s="828"/>
      <c r="Q90" s="828"/>
      <c r="R90" s="901"/>
      <c r="S90" s="901"/>
      <c r="T90" s="1198"/>
    </row>
    <row r="91" spans="1:20" ht="12" thickBot="1">
      <c r="A91" s="1757" t="s">
        <v>21088</v>
      </c>
      <c r="B91" s="1758"/>
      <c r="C91" s="1758"/>
      <c r="D91" s="1758"/>
      <c r="E91" s="1758"/>
      <c r="F91" s="1758"/>
      <c r="G91" s="1758"/>
      <c r="H91" s="1758"/>
      <c r="I91" s="901" t="s">
        <v>21</v>
      </c>
      <c r="J91" s="1207">
        <f>SUM(J89,J87,J83,J66:J72,J56:J63,J51:J54,J42:J49,J35:J40)</f>
        <v>623.43362000000002</v>
      </c>
      <c r="K91" s="1757" t="s">
        <v>21088</v>
      </c>
      <c r="L91" s="1758"/>
      <c r="M91" s="1758"/>
      <c r="N91" s="1758"/>
      <c r="O91" s="1758"/>
      <c r="P91" s="1758"/>
      <c r="Q91" s="1758"/>
      <c r="R91" s="1758"/>
      <c r="S91" s="901" t="s">
        <v>21</v>
      </c>
      <c r="T91" s="1207">
        <f>SUM(T89,T87,T83,T66:T72,T56:T63,T51:T54,T42:T49,T35:T40)</f>
        <v>477.14312000000001</v>
      </c>
    </row>
  </sheetData>
  <sheetProtection algorithmName="SHA-512" hashValue="d1c05OZCTI1iMRAvNnwBcf+jUL99AgenYerSyy8Adt2mJb3wHAPVJ2IvCnCtVc58y1MgJF1vG2ZefWYuKupiKQ==" saltValue="JXzuZqxnXYyVQAZx9/zgGQ==" spinCount="100000" sheet="1"/>
  <mergeCells count="16">
    <mergeCell ref="A1:T1"/>
    <mergeCell ref="A33:J33"/>
    <mergeCell ref="C83:H83"/>
    <mergeCell ref="F87:H87"/>
    <mergeCell ref="A91:H91"/>
    <mergeCell ref="K33:T33"/>
    <mergeCell ref="M83:R83"/>
    <mergeCell ref="P87:R87"/>
    <mergeCell ref="K91:R91"/>
    <mergeCell ref="A32:T32"/>
    <mergeCell ref="A3:H3"/>
    <mergeCell ref="A17:H17"/>
    <mergeCell ref="A2:H2"/>
    <mergeCell ref="K2:S2"/>
    <mergeCell ref="K3:S3"/>
    <mergeCell ref="K17:S17"/>
  </mergeCells>
  <conditionalFormatting sqref="J91">
    <cfRule type="cellIs" dxfId="1477" priority="4" operator="equal">
      <formula>0</formula>
    </cfRule>
  </conditionalFormatting>
  <conditionalFormatting sqref="T91">
    <cfRule type="cellIs" dxfId="1476" priority="2" operator="equal">
      <formula>0</formula>
    </cfRule>
  </conditionalFormatting>
  <pageMargins left="0.511811024" right="0.511811024" top="0.78740157499999996" bottom="0.78740157499999996" header="0.31496062000000002" footer="0.31496062000000002"/>
  <pageSetup paperSize="9" scale="3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X2433"/>
  <sheetViews>
    <sheetView showGridLines="0" tabSelected="1" topLeftCell="F1" zoomScale="85" zoomScaleNormal="85" zoomScaleSheetLayoutView="85" workbookViewId="0">
      <selection activeCell="K21" sqref="K21"/>
    </sheetView>
  </sheetViews>
  <sheetFormatPr defaultRowHeight="15"/>
  <cols>
    <col min="1" max="1" width="3" style="1461" customWidth="1"/>
    <col min="2" max="2" width="4" style="1461" customWidth="1"/>
    <col min="3" max="3" width="3.42578125" style="1470" customWidth="1"/>
    <col min="4" max="4" width="3.42578125" style="1471" customWidth="1"/>
    <col min="5" max="5" width="3.28515625" style="1471" customWidth="1"/>
    <col min="6" max="6" width="8.28515625" style="1464" customWidth="1"/>
    <col min="7" max="7" width="23.140625" style="968" customWidth="1"/>
    <col min="8" max="8" width="12.5703125" style="1023" customWidth="1"/>
    <col min="9" max="9" width="23" style="1023" customWidth="1"/>
    <col min="10" max="10" width="6.5703125" style="1027" customWidth="1"/>
    <col min="11" max="11" width="63.28515625" style="1023" customWidth="1"/>
    <col min="12" max="12" width="8.140625" style="1023" bestFit="1" customWidth="1"/>
    <col min="13" max="13" width="11" style="1581" bestFit="1" customWidth="1"/>
    <col min="14" max="14" width="13.42578125" style="402" customWidth="1"/>
    <col min="15" max="15" width="15.42578125" style="103" customWidth="1"/>
    <col min="16" max="16" width="17" style="103" customWidth="1"/>
    <col min="17" max="17" width="14" style="1472" customWidth="1"/>
    <col min="18" max="18" width="17.7109375" style="1473" customWidth="1"/>
    <col min="19" max="19" width="7.5703125" style="1467" customWidth="1"/>
    <col min="20" max="20" width="16.5703125" style="1257" bestFit="1" customWidth="1"/>
    <col min="21" max="21" width="9.140625" style="1257"/>
    <col min="22" max="22" width="4.85546875" style="1475" customWidth="1"/>
    <col min="23" max="23" width="4" style="1476" customWidth="1"/>
    <col min="24" max="24" width="4" style="1475" customWidth="1"/>
    <col min="25" max="25" width="5" style="779" customWidth="1"/>
    <col min="26" max="16384" width="9.140625" style="779"/>
  </cols>
  <sheetData>
    <row r="1" spans="1:24" ht="15.75" customHeight="1">
      <c r="C1" s="1462"/>
      <c r="D1" s="1463"/>
      <c r="E1" s="1463"/>
      <c r="H1" s="1645" t="s">
        <v>1276</v>
      </c>
      <c r="I1" s="1646"/>
      <c r="J1" s="1646"/>
      <c r="K1" s="1646"/>
      <c r="L1" s="1646"/>
      <c r="M1" s="1646"/>
      <c r="N1" s="1646"/>
      <c r="O1" s="1646"/>
      <c r="P1" s="1647"/>
      <c r="Q1" s="1465"/>
      <c r="R1" s="1466"/>
      <c r="V1" s="1468"/>
      <c r="W1" s="1469"/>
      <c r="X1" s="1468"/>
    </row>
    <row r="2" spans="1:24" ht="15.75" customHeight="1">
      <c r="H2" s="719"/>
      <c r="I2" s="720"/>
      <c r="J2" s="720"/>
      <c r="K2" s="720"/>
      <c r="L2" s="720"/>
      <c r="M2" s="720"/>
      <c r="N2" s="720"/>
      <c r="O2" s="720"/>
      <c r="P2" s="721"/>
      <c r="Q2" s="1465"/>
      <c r="R2" s="1466"/>
      <c r="V2" s="1468"/>
      <c r="W2" s="1469"/>
      <c r="X2" s="1468"/>
    </row>
    <row r="3" spans="1:24" ht="15.75" customHeight="1">
      <c r="H3" s="719"/>
      <c r="I3" s="720"/>
      <c r="J3" s="720"/>
      <c r="K3" s="720"/>
      <c r="L3" s="720"/>
      <c r="M3" s="720"/>
      <c r="N3" s="720"/>
      <c r="O3" s="720"/>
      <c r="P3" s="721"/>
      <c r="Q3" s="1465"/>
      <c r="R3" s="1466"/>
      <c r="V3" s="1468"/>
      <c r="W3" s="1469"/>
      <c r="X3" s="1468"/>
    </row>
    <row r="4" spans="1:24" ht="15.75" customHeight="1" thickBot="1">
      <c r="H4" s="722"/>
      <c r="I4" s="723"/>
      <c r="J4" s="723"/>
      <c r="K4" s="723"/>
      <c r="L4" s="723"/>
      <c r="M4" s="723"/>
      <c r="N4" s="723"/>
      <c r="O4" s="723"/>
      <c r="P4" s="724"/>
      <c r="V4" s="1468"/>
      <c r="W4" s="1469"/>
      <c r="X4" s="1468"/>
    </row>
    <row r="5" spans="1:24" ht="15" customHeight="1">
      <c r="H5" s="61"/>
      <c r="I5" s="18"/>
      <c r="J5" s="1"/>
      <c r="K5" s="18"/>
      <c r="L5" s="1656" t="s">
        <v>74</v>
      </c>
      <c r="M5" s="1656"/>
      <c r="N5" s="1656"/>
      <c r="O5" s="725" t="s">
        <v>12673</v>
      </c>
      <c r="P5" s="726"/>
      <c r="R5" s="1474"/>
    </row>
    <row r="6" spans="1:24" ht="15" customHeight="1">
      <c r="H6" s="61"/>
      <c r="I6" s="18"/>
      <c r="J6" s="1"/>
      <c r="K6" s="18"/>
      <c r="L6" s="1655" t="s">
        <v>20993</v>
      </c>
      <c r="M6" s="1655"/>
      <c r="N6" s="1655"/>
      <c r="O6" s="711">
        <v>42991</v>
      </c>
      <c r="P6" s="653"/>
      <c r="R6" s="1474"/>
    </row>
    <row r="7" spans="1:24" ht="15" customHeight="1">
      <c r="H7" s="3" t="s">
        <v>0</v>
      </c>
      <c r="I7" s="1649" t="s">
        <v>14560</v>
      </c>
      <c r="J7" s="1649"/>
      <c r="K7" s="1649"/>
      <c r="L7" s="1655" t="s">
        <v>75</v>
      </c>
      <c r="M7" s="1655"/>
      <c r="N7" s="1655"/>
      <c r="O7" s="1582">
        <v>0.2215</v>
      </c>
      <c r="P7" s="1583"/>
      <c r="Q7" s="1477"/>
      <c r="R7" s="1478"/>
    </row>
    <row r="8" spans="1:24" ht="15" customHeight="1">
      <c r="H8" s="3" t="s">
        <v>2</v>
      </c>
      <c r="I8" s="1649" t="s">
        <v>21113</v>
      </c>
      <c r="J8" s="1649"/>
      <c r="K8" s="1649"/>
      <c r="L8" s="1655" t="s">
        <v>76</v>
      </c>
      <c r="M8" s="1655"/>
      <c r="N8" s="1655"/>
      <c r="O8" s="1582">
        <v>0.12479999999999999</v>
      </c>
      <c r="P8" s="1583"/>
      <c r="Q8" s="1477"/>
      <c r="R8" s="1479"/>
    </row>
    <row r="9" spans="1:24" ht="15.75" customHeight="1">
      <c r="H9" s="89" t="s">
        <v>11707</v>
      </c>
      <c r="I9" s="1649" t="s">
        <v>14268</v>
      </c>
      <c r="J9" s="1649"/>
      <c r="K9" s="1649"/>
      <c r="L9" s="1655" t="s">
        <v>21000</v>
      </c>
      <c r="M9" s="1655"/>
      <c r="N9" s="1655"/>
      <c r="O9" s="1657" t="s">
        <v>20911</v>
      </c>
      <c r="P9" s="1658"/>
      <c r="Q9" s="1477"/>
      <c r="R9" s="1479"/>
    </row>
    <row r="10" spans="1:24" s="777" customFormat="1" ht="13.5" thickBot="1">
      <c r="A10" s="1461"/>
      <c r="B10" s="1461"/>
      <c r="C10" s="1470"/>
      <c r="D10" s="1470"/>
      <c r="E10" s="1470"/>
      <c r="F10" s="1480"/>
      <c r="G10" s="959"/>
      <c r="H10" s="12"/>
      <c r="I10" s="19"/>
      <c r="J10" s="498"/>
      <c r="K10" s="19"/>
      <c r="L10" s="16"/>
      <c r="M10" s="566"/>
      <c r="N10" s="393"/>
      <c r="O10" s="90"/>
      <c r="P10" s="91"/>
      <c r="Q10" s="1477"/>
      <c r="R10" s="1479"/>
      <c r="S10" s="1481"/>
      <c r="V10" s="1461"/>
      <c r="W10" s="1461"/>
      <c r="X10" s="1461"/>
    </row>
    <row r="11" spans="1:24" s="777" customFormat="1" ht="14.25" customHeight="1" thickTop="1" thickBot="1">
      <c r="A11" s="1482"/>
      <c r="B11" s="1482"/>
      <c r="C11" s="1483"/>
      <c r="D11" s="1483"/>
      <c r="E11" s="1483"/>
      <c r="F11" s="1484"/>
      <c r="G11" s="959"/>
      <c r="H11" s="1659" t="s">
        <v>1277</v>
      </c>
      <c r="I11" s="1660"/>
      <c r="J11" s="1660"/>
      <c r="K11" s="1660"/>
      <c r="L11" s="1660"/>
      <c r="M11" s="1660"/>
      <c r="N11" s="1660"/>
      <c r="O11" s="92" t="s">
        <v>78</v>
      </c>
      <c r="P11" s="93">
        <f>SUBTOTAL(9,P13:P2431)</f>
        <v>0</v>
      </c>
      <c r="Q11" s="1485"/>
      <c r="R11" s="1486"/>
      <c r="S11" s="1481"/>
      <c r="V11" s="1487"/>
      <c r="W11" s="1475"/>
      <c r="X11" s="1475"/>
    </row>
    <row r="12" spans="1:24" s="777" customFormat="1" ht="14.25" thickTop="1" thickBot="1">
      <c r="A12" s="1461"/>
      <c r="B12" s="1461"/>
      <c r="C12" s="1470"/>
      <c r="D12" s="1483"/>
      <c r="E12" s="1488"/>
      <c r="F12" s="1489"/>
      <c r="G12" s="959"/>
      <c r="H12" s="108"/>
      <c r="I12" s="109"/>
      <c r="J12" s="499"/>
      <c r="K12" s="109"/>
      <c r="L12" s="88"/>
      <c r="M12" s="126"/>
      <c r="N12" s="394"/>
      <c r="O12" s="94"/>
      <c r="P12" s="95"/>
      <c r="Q12" s="1490"/>
      <c r="R12" s="1491"/>
      <c r="S12" s="1481"/>
      <c r="V12" s="1475"/>
      <c r="W12" s="1475"/>
      <c r="X12" s="1475"/>
    </row>
    <row r="13" spans="1:24" s="777" customFormat="1" ht="16.5" customHeight="1" thickTop="1" thickBot="1">
      <c r="A13" s="1482"/>
      <c r="B13" s="1482"/>
      <c r="C13" s="1483"/>
      <c r="D13" s="1483"/>
      <c r="E13" s="1492"/>
      <c r="F13" s="1484"/>
      <c r="G13" s="959"/>
      <c r="H13" s="1493" t="s">
        <v>11980</v>
      </c>
      <c r="I13" s="1648" t="s">
        <v>11708</v>
      </c>
      <c r="J13" s="1648"/>
      <c r="K13" s="1648"/>
      <c r="L13" s="1648"/>
      <c r="M13" s="1648"/>
      <c r="N13" s="1648"/>
      <c r="O13" s="96" t="s">
        <v>78</v>
      </c>
      <c r="P13" s="97">
        <f>SUBTOTAL(9,P15:P1389)</f>
        <v>0</v>
      </c>
      <c r="Q13" s="1496"/>
      <c r="R13" s="1497"/>
      <c r="S13" s="1481"/>
      <c r="V13" s="1487"/>
      <c r="W13" s="1475"/>
      <c r="X13" s="1475"/>
    </row>
    <row r="14" spans="1:24" s="777" customFormat="1" ht="13.5" customHeight="1" thickTop="1" thickBot="1">
      <c r="A14" s="1482" t="s">
        <v>14038</v>
      </c>
      <c r="B14" s="1482" t="s">
        <v>14039</v>
      </c>
      <c r="C14" s="1483"/>
      <c r="D14" s="1483"/>
      <c r="E14" s="1492"/>
      <c r="F14" s="1484"/>
      <c r="G14" s="959"/>
      <c r="H14" s="719"/>
      <c r="I14" s="727"/>
      <c r="J14" s="40"/>
      <c r="K14" s="727"/>
      <c r="L14" s="720"/>
      <c r="M14" s="126"/>
      <c r="N14" s="394"/>
      <c r="O14" s="98"/>
      <c r="P14" s="95"/>
      <c r="Q14" s="1496"/>
      <c r="R14" s="1498"/>
      <c r="S14" s="1481"/>
      <c r="V14" s="1487"/>
      <c r="W14" s="1475"/>
      <c r="X14" s="1475"/>
    </row>
    <row r="15" spans="1:24" s="863" customFormat="1" ht="14.25" customHeight="1" thickTop="1" thickBot="1">
      <c r="A15" s="1482"/>
      <c r="B15" s="1482"/>
      <c r="C15" s="1483">
        <v>1</v>
      </c>
      <c r="D15" s="1483">
        <v>0</v>
      </c>
      <c r="E15" s="1492">
        <v>0</v>
      </c>
      <c r="F15" s="1484" t="s">
        <v>11708</v>
      </c>
      <c r="G15" s="862"/>
      <c r="H15" s="1499" t="str">
        <f>CONCATENATE(C15)</f>
        <v>1</v>
      </c>
      <c r="I15" s="1822" t="s">
        <v>11727</v>
      </c>
      <c r="J15" s="1822"/>
      <c r="K15" s="1822"/>
      <c r="L15" s="1822"/>
      <c r="M15" s="1822"/>
      <c r="N15" s="1822"/>
      <c r="O15" s="265" t="s">
        <v>11702</v>
      </c>
      <c r="P15" s="266">
        <f>SUBTOTAL(9,P17:P25)</f>
        <v>0</v>
      </c>
      <c r="Q15" s="1502"/>
      <c r="R15" s="1503"/>
      <c r="S15" s="1504"/>
      <c r="V15" s="1487"/>
      <c r="W15" s="1325"/>
      <c r="X15" s="1325"/>
    </row>
    <row r="16" spans="1:24" s="863" customFormat="1" ht="12.75" customHeight="1" thickTop="1" thickBot="1">
      <c r="A16" s="1325"/>
      <c r="B16" s="1325"/>
      <c r="C16" s="1483">
        <v>1</v>
      </c>
      <c r="D16" s="1492">
        <f t="shared" ref="D16:E19" si="0">D15+A16</f>
        <v>0</v>
      </c>
      <c r="E16" s="1492">
        <f t="shared" si="0"/>
        <v>0</v>
      </c>
      <c r="F16" s="1484" t="s">
        <v>11708</v>
      </c>
      <c r="G16" s="862"/>
      <c r="H16" s="719"/>
      <c r="I16" s="80"/>
      <c r="J16" s="500"/>
      <c r="K16" s="80"/>
      <c r="L16" s="49"/>
      <c r="M16" s="567"/>
      <c r="N16" s="394"/>
      <c r="O16" s="98"/>
      <c r="P16" s="95"/>
      <c r="Q16" s="1507"/>
      <c r="R16" s="1498"/>
      <c r="T16" s="1508"/>
      <c r="V16" s="1509"/>
      <c r="W16" s="1325"/>
      <c r="X16" s="1325"/>
    </row>
    <row r="17" spans="1:24" ht="16.5" customHeight="1" thickTop="1" thickBot="1">
      <c r="A17" s="1482">
        <v>1</v>
      </c>
      <c r="B17" s="1482"/>
      <c r="C17" s="1483">
        <v>1</v>
      </c>
      <c r="D17" s="1492">
        <f t="shared" si="0"/>
        <v>1</v>
      </c>
      <c r="E17" s="1492">
        <f t="shared" si="0"/>
        <v>0</v>
      </c>
      <c r="F17" s="1484" t="s">
        <v>11708</v>
      </c>
      <c r="H17" s="1510" t="str">
        <f>CONCATENATE(C17,".",D17)</f>
        <v>1.1</v>
      </c>
      <c r="I17" s="1644" t="s">
        <v>14040</v>
      </c>
      <c r="J17" s="1644"/>
      <c r="K17" s="1644"/>
      <c r="L17" s="1644"/>
      <c r="M17" s="1644"/>
      <c r="N17" s="1644"/>
      <c r="O17" s="99" t="s">
        <v>11702</v>
      </c>
      <c r="P17" s="100">
        <f>SUBTOTAL(9,P21:P22)</f>
        <v>0</v>
      </c>
      <c r="Q17" s="1513"/>
      <c r="R17" s="1503"/>
    </row>
    <row r="18" spans="1:24" s="863" customFormat="1" ht="13.5" thickTop="1">
      <c r="A18" s="1482"/>
      <c r="B18" s="1482"/>
      <c r="C18" s="1483">
        <v>1</v>
      </c>
      <c r="D18" s="1492">
        <f t="shared" si="0"/>
        <v>1</v>
      </c>
      <c r="E18" s="1492">
        <f t="shared" si="0"/>
        <v>0</v>
      </c>
      <c r="F18" s="1484" t="s">
        <v>11708</v>
      </c>
      <c r="G18" s="862"/>
      <c r="H18" s="789"/>
      <c r="I18" s="915"/>
      <c r="J18" s="1022"/>
      <c r="K18" s="915"/>
      <c r="L18" s="816"/>
      <c r="M18" s="874"/>
      <c r="N18" s="394"/>
      <c r="O18" s="98"/>
      <c r="P18" s="95"/>
      <c r="Q18" s="1507"/>
      <c r="R18" s="1498"/>
      <c r="V18" s="1325"/>
      <c r="W18" s="1325"/>
      <c r="X18" s="1325"/>
    </row>
    <row r="19" spans="1:24" s="863" customFormat="1" ht="12.75">
      <c r="A19" s="1482"/>
      <c r="B19" s="1482">
        <v>1</v>
      </c>
      <c r="C19" s="1483">
        <f t="shared" ref="C19:C25" si="1">C18</f>
        <v>1</v>
      </c>
      <c r="D19" s="1492">
        <f t="shared" si="0"/>
        <v>1</v>
      </c>
      <c r="E19" s="1492">
        <f t="shared" si="0"/>
        <v>1</v>
      </c>
      <c r="F19" s="1484" t="s">
        <v>11708</v>
      </c>
      <c r="G19" s="862"/>
      <c r="H19" s="1514" t="s">
        <v>11703</v>
      </c>
      <c r="I19" s="1515" t="s">
        <v>64</v>
      </c>
      <c r="J19" s="1516" t="str">
        <f>CONCATENATE(C19,".",D19,".",E19)</f>
        <v>1.1.1</v>
      </c>
      <c r="K19" s="1516" t="s">
        <v>11709</v>
      </c>
      <c r="L19" s="1517" t="s">
        <v>25</v>
      </c>
      <c r="M19" s="1518" t="s">
        <v>11704</v>
      </c>
      <c r="N19" s="398" t="s">
        <v>11705</v>
      </c>
      <c r="O19" s="207" t="s">
        <v>11706</v>
      </c>
      <c r="P19" s="208" t="s">
        <v>27</v>
      </c>
      <c r="Q19" s="1519" t="s">
        <v>11704</v>
      </c>
      <c r="R19" s="1503"/>
      <c r="V19" s="1487"/>
      <c r="W19" s="1325"/>
      <c r="X19" s="1325"/>
    </row>
    <row r="20" spans="1:24" s="863" customFormat="1" ht="12.75">
      <c r="A20" s="1482"/>
      <c r="B20" s="1482"/>
      <c r="C20" s="1483">
        <f t="shared" si="1"/>
        <v>1</v>
      </c>
      <c r="D20" s="1492">
        <f t="shared" ref="D20:E22" si="2">D19+A20</f>
        <v>1</v>
      </c>
      <c r="E20" s="1492">
        <f t="shared" si="2"/>
        <v>1</v>
      </c>
      <c r="F20" s="1484" t="s">
        <v>11708</v>
      </c>
      <c r="G20" s="862"/>
      <c r="H20" s="826"/>
      <c r="I20" s="790"/>
      <c r="J20" s="824"/>
      <c r="K20" s="790"/>
      <c r="L20" s="700"/>
      <c r="M20" s="870"/>
      <c r="N20" s="399"/>
      <c r="O20" s="121"/>
      <c r="P20" s="101"/>
      <c r="Q20" s="1507"/>
      <c r="R20" s="1498"/>
      <c r="S20" s="1521"/>
      <c r="V20" s="1325"/>
      <c r="W20" s="1325"/>
      <c r="X20" s="1325"/>
    </row>
    <row r="21" spans="1:24" s="863" customFormat="1" ht="12.75">
      <c r="A21" s="1482"/>
      <c r="B21" s="1482"/>
      <c r="C21" s="1483">
        <f t="shared" si="1"/>
        <v>1</v>
      </c>
      <c r="D21" s="1492">
        <f t="shared" si="2"/>
        <v>1</v>
      </c>
      <c r="E21" s="1492">
        <f t="shared" si="2"/>
        <v>1</v>
      </c>
      <c r="F21" s="1484" t="s">
        <v>11708</v>
      </c>
      <c r="G21" s="1522"/>
      <c r="H21" s="823" t="s">
        <v>13957</v>
      </c>
      <c r="I21" s="700" t="s">
        <v>14504</v>
      </c>
      <c r="J21" s="824"/>
      <c r="K21" s="790" t="s">
        <v>11728</v>
      </c>
      <c r="L21" s="700" t="s">
        <v>11716</v>
      </c>
      <c r="M21" s="870">
        <v>1</v>
      </c>
      <c r="N21" s="399">
        <v>0</v>
      </c>
      <c r="O21" s="102">
        <f>ROUND(IF(F21="Serviços",N21*(1+$O$7),IF(F21="Materiais",N21*(1+$O$8))),2)</f>
        <v>0</v>
      </c>
      <c r="P21" s="101">
        <f>ROUND(M21*O21,2)</f>
        <v>0</v>
      </c>
      <c r="Q21" s="1523">
        <v>1</v>
      </c>
      <c r="R21" s="1520"/>
      <c r="S21" s="1524"/>
      <c r="V21" s="1325"/>
      <c r="W21" s="1325"/>
      <c r="X21" s="1325"/>
    </row>
    <row r="22" spans="1:24" s="863" customFormat="1" ht="12.75">
      <c r="A22" s="1482"/>
      <c r="B22" s="1482"/>
      <c r="C22" s="1483">
        <f t="shared" si="1"/>
        <v>1</v>
      </c>
      <c r="D22" s="1492">
        <f t="shared" si="2"/>
        <v>1</v>
      </c>
      <c r="E22" s="1492">
        <f t="shared" si="2"/>
        <v>1</v>
      </c>
      <c r="F22" s="1484" t="s">
        <v>11708</v>
      </c>
      <c r="G22" s="1522"/>
      <c r="H22" s="823" t="s">
        <v>13957</v>
      </c>
      <c r="I22" s="700" t="s">
        <v>14505</v>
      </c>
      <c r="J22" s="824"/>
      <c r="K22" s="790" t="s">
        <v>11729</v>
      </c>
      <c r="L22" s="700" t="s">
        <v>11716</v>
      </c>
      <c r="M22" s="870">
        <v>1</v>
      </c>
      <c r="N22" s="399">
        <v>0</v>
      </c>
      <c r="O22" s="102">
        <f>ROUND(IF(F22="Serviços",N22*(1+$O$7),IF(F22="Materiais",N22*(1+$O$8))),2)</f>
        <v>0</v>
      </c>
      <c r="P22" s="101">
        <f>ROUND(M22*O22,2)</f>
        <v>0</v>
      </c>
      <c r="Q22" s="1523">
        <v>1</v>
      </c>
      <c r="R22" s="1520"/>
      <c r="S22" s="1524"/>
      <c r="V22" s="1325"/>
      <c r="W22" s="1325"/>
      <c r="X22" s="1325"/>
    </row>
    <row r="23" spans="1:24" s="863" customFormat="1" ht="13.5" thickBot="1">
      <c r="A23" s="1482"/>
      <c r="B23" s="1482"/>
      <c r="C23" s="1483">
        <f t="shared" si="1"/>
        <v>1</v>
      </c>
      <c r="D23" s="1492">
        <f t="shared" ref="D23:E25" si="3">D22+A23</f>
        <v>1</v>
      </c>
      <c r="E23" s="1492">
        <f t="shared" si="3"/>
        <v>1</v>
      </c>
      <c r="F23" s="1484" t="s">
        <v>11708</v>
      </c>
      <c r="G23" s="862"/>
      <c r="H23" s="826"/>
      <c r="I23" s="790"/>
      <c r="J23" s="824"/>
      <c r="K23" s="790"/>
      <c r="L23" s="700"/>
      <c r="M23" s="870"/>
      <c r="N23" s="399"/>
      <c r="O23" s="209"/>
      <c r="P23" s="101"/>
      <c r="Q23" s="1502"/>
      <c r="R23" s="1525"/>
      <c r="S23" s="1524"/>
      <c r="V23" s="1325"/>
      <c r="W23" s="1325"/>
      <c r="X23" s="1325"/>
    </row>
    <row r="24" spans="1:24" s="863" customFormat="1" ht="14.25" customHeight="1" thickTop="1" thickBot="1">
      <c r="A24" s="1482"/>
      <c r="B24" s="1482"/>
      <c r="C24" s="1483">
        <f t="shared" si="1"/>
        <v>1</v>
      </c>
      <c r="D24" s="1492">
        <f t="shared" si="3"/>
        <v>1</v>
      </c>
      <c r="E24" s="1492">
        <f t="shared" si="3"/>
        <v>1</v>
      </c>
      <c r="F24" s="1484" t="s">
        <v>11708</v>
      </c>
      <c r="G24" s="862"/>
      <c r="H24" s="1538" t="str">
        <f>"TOTAL ITEM: "&amp;J19 &amp;K19</f>
        <v>TOTAL ITEM: 1.1.1 SERVIÇOS PRELIMINARES</v>
      </c>
      <c r="I24" s="1539"/>
      <c r="J24" s="1539"/>
      <c r="K24" s="1539"/>
      <c r="L24" s="1539"/>
      <c r="M24" s="1539"/>
      <c r="N24" s="718"/>
      <c r="O24" s="718"/>
      <c r="P24" s="210">
        <f>SUBTOTAL(9,P21:P22)</f>
        <v>0</v>
      </c>
      <c r="Q24" s="1507"/>
      <c r="R24" s="1525"/>
      <c r="S24" s="1521"/>
      <c r="V24" s="1325"/>
      <c r="W24" s="1325"/>
      <c r="X24" s="1325"/>
    </row>
    <row r="25" spans="1:24" s="863" customFormat="1" ht="14.25" thickTop="1" thickBot="1">
      <c r="A25" s="1482"/>
      <c r="B25" s="1482"/>
      <c r="C25" s="1483">
        <f t="shared" si="1"/>
        <v>1</v>
      </c>
      <c r="D25" s="1492">
        <f t="shared" si="3"/>
        <v>1</v>
      </c>
      <c r="E25" s="1492">
        <f t="shared" si="3"/>
        <v>1</v>
      </c>
      <c r="F25" s="1484" t="s">
        <v>11708</v>
      </c>
      <c r="G25" s="862"/>
      <c r="H25" s="929"/>
      <c r="I25" s="1371"/>
      <c r="J25" s="1371"/>
      <c r="K25" s="1371"/>
      <c r="L25" s="1371"/>
      <c r="M25" s="1371"/>
      <c r="N25" s="728"/>
      <c r="O25" s="728"/>
      <c r="P25" s="95"/>
      <c r="Q25" s="1507"/>
      <c r="R25" s="1525"/>
      <c r="S25" s="1521"/>
      <c r="V25" s="1325"/>
      <c r="W25" s="1325"/>
      <c r="X25" s="1325"/>
    </row>
    <row r="26" spans="1:24" s="863" customFormat="1" ht="14.25" customHeight="1" thickTop="1" thickBot="1">
      <c r="A26" s="1482"/>
      <c r="B26" s="1482"/>
      <c r="C26" s="1483">
        <v>2</v>
      </c>
      <c r="D26" s="1492">
        <v>0</v>
      </c>
      <c r="E26" s="1492">
        <v>0</v>
      </c>
      <c r="F26" s="1526" t="s">
        <v>11708</v>
      </c>
      <c r="G26" s="959"/>
      <c r="H26" s="1493">
        <v>2</v>
      </c>
      <c r="I26" s="1648" t="s">
        <v>14626</v>
      </c>
      <c r="J26" s="1648"/>
      <c r="K26" s="1648"/>
      <c r="L26" s="1648"/>
      <c r="M26" s="1648"/>
      <c r="N26" s="1648"/>
      <c r="O26" s="591" t="s">
        <v>78</v>
      </c>
      <c r="P26" s="592">
        <f>SUBTOTAL(9,P28:P240)</f>
        <v>0</v>
      </c>
      <c r="Q26" s="1507"/>
      <c r="R26" s="1525"/>
      <c r="S26" s="1521"/>
      <c r="V26" s="1325"/>
      <c r="W26" s="1325"/>
      <c r="X26" s="1325"/>
    </row>
    <row r="27" spans="1:24" s="863" customFormat="1" ht="18" customHeight="1" thickTop="1" thickBot="1">
      <c r="A27" s="1482"/>
      <c r="B27" s="1482"/>
      <c r="C27" s="1483">
        <f t="shared" ref="C27:C437" si="4">C26</f>
        <v>2</v>
      </c>
      <c r="D27" s="1492">
        <f>D26+A27</f>
        <v>0</v>
      </c>
      <c r="E27" s="1492">
        <f>E26+B27</f>
        <v>0</v>
      </c>
      <c r="F27" s="1526" t="s">
        <v>11708</v>
      </c>
      <c r="G27" s="862"/>
      <c r="H27" s="878"/>
      <c r="I27" s="915"/>
      <c r="J27" s="1022"/>
      <c r="K27" s="915"/>
      <c r="L27" s="816"/>
      <c r="M27" s="874"/>
      <c r="N27" s="394"/>
      <c r="O27" s="341"/>
      <c r="P27" s="267"/>
      <c r="Q27" s="1507"/>
      <c r="R27" s="1525"/>
      <c r="S27" s="1521"/>
      <c r="V27" s="1325"/>
      <c r="W27" s="1325"/>
      <c r="X27" s="1325"/>
    </row>
    <row r="28" spans="1:24" s="863" customFormat="1" ht="14.25" hidden="1" customHeight="1" thickTop="1" thickBot="1">
      <c r="A28" s="1482">
        <v>1</v>
      </c>
      <c r="B28" s="1482"/>
      <c r="C28" s="1483">
        <f t="shared" si="4"/>
        <v>2</v>
      </c>
      <c r="D28" s="1492">
        <v>0</v>
      </c>
      <c r="E28" s="1492">
        <f t="shared" ref="E28:E90" si="5">E27+B28</f>
        <v>0</v>
      </c>
      <c r="F28" s="1526" t="s">
        <v>11708</v>
      </c>
      <c r="G28" s="959"/>
      <c r="H28" s="1510" t="str">
        <f>CONCATENATE(C28,".",D28)</f>
        <v>2.0</v>
      </c>
      <c r="I28" s="1585" t="s">
        <v>14627</v>
      </c>
      <c r="J28" s="1585"/>
      <c r="K28" s="1585"/>
      <c r="L28" s="1511"/>
      <c r="M28" s="1512"/>
      <c r="N28" s="397"/>
      <c r="O28" s="339" t="s">
        <v>11702</v>
      </c>
      <c r="P28" s="340">
        <f>SUBTOTAL(9,P32:P153)</f>
        <v>0</v>
      </c>
      <c r="Q28" s="1507"/>
      <c r="R28" s="1525"/>
      <c r="S28" s="1521"/>
      <c r="V28" s="1325"/>
      <c r="W28" s="1325"/>
      <c r="X28" s="1325"/>
    </row>
    <row r="29" spans="1:24" s="863" customFormat="1" ht="13.5" hidden="1" customHeight="1" thickTop="1">
      <c r="A29" s="1482"/>
      <c r="B29" s="1482"/>
      <c r="C29" s="1483">
        <f t="shared" si="4"/>
        <v>2</v>
      </c>
      <c r="D29" s="1492">
        <f t="shared" ref="D29:D90" si="6">D28+A29</f>
        <v>0</v>
      </c>
      <c r="E29" s="1492">
        <f t="shared" si="5"/>
        <v>0</v>
      </c>
      <c r="F29" s="1526" t="s">
        <v>11708</v>
      </c>
      <c r="G29" s="862"/>
      <c r="H29" s="789"/>
      <c r="I29" s="915"/>
      <c r="J29" s="1022"/>
      <c r="K29" s="915"/>
      <c r="L29" s="816"/>
      <c r="M29" s="874"/>
      <c r="N29" s="394"/>
      <c r="O29" s="341"/>
      <c r="P29" s="267"/>
      <c r="Q29" s="1507"/>
      <c r="R29" s="1525"/>
      <c r="S29" s="1521"/>
      <c r="V29" s="1325"/>
      <c r="W29" s="1325"/>
      <c r="X29" s="1325"/>
    </row>
    <row r="30" spans="1:24" s="863" customFormat="1" ht="12.75" hidden="1" customHeight="1">
      <c r="A30" s="1482"/>
      <c r="B30" s="1482">
        <v>1</v>
      </c>
      <c r="C30" s="1483">
        <f t="shared" si="4"/>
        <v>2</v>
      </c>
      <c r="D30" s="1492">
        <f t="shared" si="6"/>
        <v>0</v>
      </c>
      <c r="E30" s="1492">
        <f t="shared" si="5"/>
        <v>1</v>
      </c>
      <c r="F30" s="1526" t="s">
        <v>11708</v>
      </c>
      <c r="G30" s="862"/>
      <c r="H30" s="1527" t="s">
        <v>11703</v>
      </c>
      <c r="I30" s="1528" t="s">
        <v>64</v>
      </c>
      <c r="J30" s="1529" t="str">
        <f>CONCATENATE(C30,".",D30,".",E30)</f>
        <v>2.0.1</v>
      </c>
      <c r="K30" s="1530" t="s">
        <v>14041</v>
      </c>
      <c r="L30" s="1531" t="s">
        <v>25</v>
      </c>
      <c r="M30" s="1532" t="s">
        <v>11704</v>
      </c>
      <c r="N30" s="586" t="s">
        <v>11705</v>
      </c>
      <c r="O30" s="587" t="s">
        <v>11706</v>
      </c>
      <c r="P30" s="588" t="s">
        <v>27</v>
      </c>
      <c r="Q30" s="1507" t="s">
        <v>11704</v>
      </c>
      <c r="R30" s="1525"/>
      <c r="S30" s="1521"/>
      <c r="V30" s="1325"/>
      <c r="W30" s="1325"/>
      <c r="X30" s="1325"/>
    </row>
    <row r="31" spans="1:24" s="863" customFormat="1" ht="12.75" hidden="1" customHeight="1">
      <c r="A31" s="1482"/>
      <c r="B31" s="1482"/>
      <c r="C31" s="1483">
        <f t="shared" si="4"/>
        <v>2</v>
      </c>
      <c r="D31" s="1492">
        <f t="shared" si="6"/>
        <v>0</v>
      </c>
      <c r="E31" s="1492">
        <f t="shared" si="5"/>
        <v>1</v>
      </c>
      <c r="F31" s="1526" t="s">
        <v>11708</v>
      </c>
      <c r="G31" s="862"/>
      <c r="H31" s="826"/>
      <c r="I31" s="790"/>
      <c r="J31" s="824"/>
      <c r="K31" s="790"/>
      <c r="L31" s="700"/>
      <c r="M31" s="870"/>
      <c r="N31" s="399"/>
      <c r="O31" s="589"/>
      <c r="P31" s="342"/>
      <c r="Q31" s="1507"/>
      <c r="R31" s="1525"/>
      <c r="S31" s="1521"/>
      <c r="V31" s="1325"/>
      <c r="W31" s="1325"/>
      <c r="X31" s="1325"/>
    </row>
    <row r="32" spans="1:24" s="863" customFormat="1" ht="12.75" hidden="1" customHeight="1">
      <c r="A32" s="1482"/>
      <c r="B32" s="1482"/>
      <c r="C32" s="1483">
        <f t="shared" si="4"/>
        <v>2</v>
      </c>
      <c r="D32" s="1492">
        <f t="shared" si="6"/>
        <v>0</v>
      </c>
      <c r="E32" s="1492">
        <f t="shared" si="5"/>
        <v>1</v>
      </c>
      <c r="F32" s="1526" t="s">
        <v>11708</v>
      </c>
      <c r="G32" s="862" t="s">
        <v>20242</v>
      </c>
      <c r="H32" s="823" t="str">
        <f>VLOOKUP(G32,'MC_COLETOR CB'!C:P,2,0)</f>
        <v>SINAPI</v>
      </c>
      <c r="I32" s="700">
        <f>VLOOKUP(G32,'MC_COLETOR CB'!C:P,3,0)</f>
        <v>73610</v>
      </c>
      <c r="J32" s="824"/>
      <c r="K32" s="790" t="str">
        <f>(IF(H32="Saneago",VLOOKUP(I32,'SANEAGO-FEV.2016'!A:B,2,0),IF(H32="Sinapi",VLOOKUP(I32,'SINAPI-FEV.2017'!A:D,2,0),IF(H32="Cotação",VLOOKUP(I32,COTAÇÃO!A:D,2,0),IF(H32="Composição",VLOOKUP(I32,COMPOSIÇÃO!A:D,2,0))))))</f>
        <v>LOCAÇÃO DE REDES DE ÁGUA OU DE ESGOTO</v>
      </c>
      <c r="L32" s="700" t="str">
        <f>(IF(H32="Saneago",VLOOKUP(I32,'SANEAGO-FEV.2016'!A:D,3,0),IF(H32="Sinapi",VLOOKUP(I32,'SINAPI-FEV.2017'!A:D,3,0),IF(H32="Cotação",VLOOKUP(I32,COTAÇÃO!A:D,3,0),IF(H32="Composição",VLOOKUP(I32,COMPOSIÇÃO!A:D,3,0))))))</f>
        <v>M</v>
      </c>
      <c r="M32" s="870">
        <f>ROUND(VLOOKUP(G32,'MC_COLETOR CB'!C:P,13,0),2)</f>
        <v>0</v>
      </c>
      <c r="N32" s="399">
        <f>(IF(H32="Saneago",VLOOKUP(I32,'SANEAGO-FEV.2016'!A:D,4,0),IF(H32="Sinapi",VLOOKUP(I32,'SINAPI-FEV.2017'!A:D,4,0),IF(H32="Cotação",VLOOKUP(I32,COTAÇÃO!A:D,4,0),IF(H32="Composição",VLOOKUP(I32,COMPOSIÇÃO!A:D,4,0))))))</f>
        <v>0.97</v>
      </c>
      <c r="O32" s="102">
        <f>ROUND(IF(F32="Serviços",N32*(1+$O$7),IF(F32="Materiais",N32*(1+$O$8))),2)</f>
        <v>1.18</v>
      </c>
      <c r="P32" s="101">
        <f>ROUND(M32*O32,2)</f>
        <v>0</v>
      </c>
      <c r="Q32" s="1507">
        <v>0</v>
      </c>
      <c r="R32" s="1525"/>
      <c r="S32" s="1521"/>
      <c r="V32" s="1325"/>
      <c r="W32" s="1325"/>
      <c r="X32" s="1325"/>
    </row>
    <row r="33" spans="1:24" s="863" customFormat="1" ht="12.75" hidden="1" customHeight="1">
      <c r="A33" s="1482"/>
      <c r="B33" s="1482"/>
      <c r="C33" s="1483">
        <f t="shared" si="4"/>
        <v>2</v>
      </c>
      <c r="D33" s="1492">
        <f t="shared" si="6"/>
        <v>0</v>
      </c>
      <c r="E33" s="1492">
        <f t="shared" si="5"/>
        <v>1</v>
      </c>
      <c r="F33" s="1526" t="s">
        <v>11708</v>
      </c>
      <c r="G33" s="862" t="s">
        <v>20243</v>
      </c>
      <c r="H33" s="823" t="str">
        <f>VLOOKUP(G33,'MC_COLETOR CB'!C:P,2,0)</f>
        <v>SANEAGO</v>
      </c>
      <c r="I33" s="700">
        <f>VLOOKUP(G33,'MC_COLETOR CB'!C:P,3,0)</f>
        <v>1512</v>
      </c>
      <c r="J33" s="824"/>
      <c r="K33" s="790" t="str">
        <f>(IF(H33="Saneago",VLOOKUP(I33,'SANEAGO-FEV.2016'!A:B,2,0),IF(H33="Sinapi",VLOOKUP(I33,'SINAPI-FEV.2017'!A:D,2,0),IF(H33="Cotação",VLOOKUP(I33,COTAÇÃO!A:D,2,0),IF(H33="Composição",VLOOKUP(I33,COMPOSIÇÃO!A:D,2,0))))))</f>
        <v>CADASTRO  TÉCNICO DE REDES DE ESGOTO</v>
      </c>
      <c r="L33" s="700" t="str">
        <f>(IF(H33="Saneago",VLOOKUP(I33,'SANEAGO-FEV.2016'!A:D,3,0),IF(H33="Sinapi",VLOOKUP(I33,'SINAPI-FEV.2017'!A:D,3,0),IF(H33="Cotação",VLOOKUP(I33,COTAÇÃO!A:D,3,0),IF(H33="Composição",VLOOKUP(I33,COMPOSIÇÃO!A:D,3,0))))))</f>
        <v>M</v>
      </c>
      <c r="M33" s="870">
        <f>ROUND(VLOOKUP(G33,'MC_COLETOR CB'!C:P,13,0),2)</f>
        <v>0</v>
      </c>
      <c r="N33" s="399">
        <f>(IF(H33="Saneago",VLOOKUP(I33,'SANEAGO-FEV.2016'!A:D,4,0),IF(H33="Sinapi",VLOOKUP(I33,'SINAPI-FEV.2017'!A:D,4,0),IF(H33="Cotação",VLOOKUP(I33,COTAÇÃO!A:D,4,0),IF(H33="Composição",VLOOKUP(I33,COMPOSIÇÃO!A:D,4,0))))))</f>
        <v>1.26</v>
      </c>
      <c r="O33" s="102">
        <f>ROUND(IF(F33="Serviços",N33*(1+$O$7),IF(F33="Materiais",N33*(1+$O$8))),2)</f>
        <v>1.54</v>
      </c>
      <c r="P33" s="101">
        <f>ROUND(M33*O33,2)</f>
        <v>0</v>
      </c>
      <c r="Q33" s="1507">
        <v>0</v>
      </c>
      <c r="R33" s="1525"/>
      <c r="S33" s="1521"/>
      <c r="V33" s="1325"/>
      <c r="W33" s="1325"/>
      <c r="X33" s="1325"/>
    </row>
    <row r="34" spans="1:24" s="863" customFormat="1" ht="13.5" hidden="1" customHeight="1" thickBot="1">
      <c r="A34" s="1482"/>
      <c r="B34" s="1482"/>
      <c r="C34" s="1483">
        <f t="shared" si="4"/>
        <v>2</v>
      </c>
      <c r="D34" s="1492">
        <f t="shared" si="6"/>
        <v>0</v>
      </c>
      <c r="E34" s="1492">
        <f t="shared" si="5"/>
        <v>1</v>
      </c>
      <c r="F34" s="1526" t="s">
        <v>11708</v>
      </c>
      <c r="G34" s="862"/>
      <c r="H34" s="826"/>
      <c r="I34" s="790"/>
      <c r="J34" s="824"/>
      <c r="K34" s="790"/>
      <c r="L34" s="700"/>
      <c r="M34" s="870"/>
      <c r="N34" s="399"/>
      <c r="O34" s="590"/>
      <c r="P34" s="342"/>
      <c r="Q34" s="1507"/>
      <c r="R34" s="1525"/>
      <c r="S34" s="1521"/>
      <c r="V34" s="1325"/>
      <c r="W34" s="1325"/>
      <c r="X34" s="1325"/>
    </row>
    <row r="35" spans="1:24" s="863" customFormat="1" ht="14.25" hidden="1" customHeight="1" thickTop="1" thickBot="1">
      <c r="A35" s="1482"/>
      <c r="B35" s="1482"/>
      <c r="C35" s="1483">
        <f t="shared" si="4"/>
        <v>2</v>
      </c>
      <c r="D35" s="1492">
        <f t="shared" si="6"/>
        <v>0</v>
      </c>
      <c r="E35" s="1492">
        <f t="shared" si="5"/>
        <v>1</v>
      </c>
      <c r="F35" s="1526" t="s">
        <v>11708</v>
      </c>
      <c r="G35" s="862"/>
      <c r="H35" s="1538" t="str">
        <f>"TOTAL ITEM: "&amp;J30 &amp;K30</f>
        <v>TOTAL ITEM: 2.0.1 LOCAÇÃO E CADASTRO</v>
      </c>
      <c r="I35" s="1539"/>
      <c r="J35" s="1539"/>
      <c r="K35" s="1539"/>
      <c r="L35" s="1539"/>
      <c r="M35" s="1539"/>
      <c r="N35" s="718"/>
      <c r="O35" s="718"/>
      <c r="P35" s="343">
        <f>SUBTOTAL(9,P32:P33)</f>
        <v>0</v>
      </c>
      <c r="Q35" s="1507"/>
      <c r="R35" s="1525"/>
      <c r="S35" s="1521"/>
      <c r="V35" s="1325"/>
      <c r="W35" s="1325"/>
      <c r="X35" s="1325"/>
    </row>
    <row r="36" spans="1:24" s="863" customFormat="1" ht="13.5" hidden="1" customHeight="1" thickTop="1">
      <c r="A36" s="1482"/>
      <c r="B36" s="1482"/>
      <c r="C36" s="1483">
        <f t="shared" si="4"/>
        <v>2</v>
      </c>
      <c r="D36" s="1492">
        <f t="shared" si="6"/>
        <v>0</v>
      </c>
      <c r="E36" s="1492">
        <f t="shared" si="5"/>
        <v>1</v>
      </c>
      <c r="F36" s="1526" t="s">
        <v>11708</v>
      </c>
      <c r="G36" s="862"/>
      <c r="H36" s="826"/>
      <c r="I36" s="790"/>
      <c r="J36" s="824"/>
      <c r="K36" s="790"/>
      <c r="L36" s="700"/>
      <c r="M36" s="870"/>
      <c r="N36" s="399"/>
      <c r="O36" s="589"/>
      <c r="P36" s="342"/>
      <c r="Q36" s="1507"/>
      <c r="R36" s="1525"/>
      <c r="S36" s="1521"/>
      <c r="V36" s="1325"/>
      <c r="W36" s="1325"/>
      <c r="X36" s="1325"/>
    </row>
    <row r="37" spans="1:24" s="863" customFormat="1" ht="12.75" hidden="1" customHeight="1">
      <c r="A37" s="1482"/>
      <c r="B37" s="1482">
        <v>1</v>
      </c>
      <c r="C37" s="1483">
        <f t="shared" si="4"/>
        <v>2</v>
      </c>
      <c r="D37" s="1492">
        <f t="shared" si="6"/>
        <v>0</v>
      </c>
      <c r="E37" s="1492">
        <f t="shared" si="5"/>
        <v>2</v>
      </c>
      <c r="F37" s="1526" t="s">
        <v>11708</v>
      </c>
      <c r="G37" s="862"/>
      <c r="H37" s="1527" t="s">
        <v>11703</v>
      </c>
      <c r="I37" s="1528" t="s">
        <v>64</v>
      </c>
      <c r="J37" s="1529" t="str">
        <f>CONCATENATE(C37,".",D37,".",E37)</f>
        <v>2.0.2</v>
      </c>
      <c r="K37" s="1530" t="s">
        <v>14042</v>
      </c>
      <c r="L37" s="1531" t="s">
        <v>25</v>
      </c>
      <c r="M37" s="1532" t="s">
        <v>11704</v>
      </c>
      <c r="N37" s="586" t="s">
        <v>11705</v>
      </c>
      <c r="O37" s="587" t="s">
        <v>11706</v>
      </c>
      <c r="P37" s="588" t="s">
        <v>27</v>
      </c>
      <c r="Q37" s="1507" t="s">
        <v>11704</v>
      </c>
      <c r="R37" s="1525"/>
      <c r="S37" s="1521"/>
      <c r="V37" s="1325"/>
      <c r="W37" s="1325"/>
      <c r="X37" s="1325"/>
    </row>
    <row r="38" spans="1:24" s="863" customFormat="1" ht="12.75" hidden="1" customHeight="1">
      <c r="A38" s="1482"/>
      <c r="B38" s="1482"/>
      <c r="C38" s="1483">
        <f t="shared" si="4"/>
        <v>2</v>
      </c>
      <c r="D38" s="1492">
        <f t="shared" si="6"/>
        <v>0</v>
      </c>
      <c r="E38" s="1492">
        <f t="shared" si="5"/>
        <v>2</v>
      </c>
      <c r="F38" s="1526" t="s">
        <v>11708</v>
      </c>
      <c r="G38" s="862"/>
      <c r="H38" s="826"/>
      <c r="I38" s="790"/>
      <c r="J38" s="824"/>
      <c r="K38" s="790"/>
      <c r="L38" s="700"/>
      <c r="M38" s="870"/>
      <c r="N38" s="399"/>
      <c r="O38" s="589"/>
      <c r="P38" s="342"/>
      <c r="Q38" s="1507"/>
      <c r="R38" s="1525"/>
      <c r="S38" s="1521"/>
      <c r="V38" s="1325"/>
      <c r="W38" s="1325"/>
      <c r="X38" s="1325"/>
    </row>
    <row r="39" spans="1:24" s="863" customFormat="1" ht="12.75" hidden="1" customHeight="1">
      <c r="A39" s="1482"/>
      <c r="B39" s="1482"/>
      <c r="C39" s="1483">
        <f t="shared" si="4"/>
        <v>2</v>
      </c>
      <c r="D39" s="1492">
        <f t="shared" si="6"/>
        <v>0</v>
      </c>
      <c r="E39" s="1492">
        <f t="shared" si="5"/>
        <v>2</v>
      </c>
      <c r="F39" s="1526" t="s">
        <v>11708</v>
      </c>
      <c r="G39" s="862" t="s">
        <v>20244</v>
      </c>
      <c r="H39" s="823" t="str">
        <f>VLOOKUP(G39,'MC_COLETOR CB'!C:P,2,0)</f>
        <v>SANEAGO</v>
      </c>
      <c r="I39" s="700">
        <f>VLOOKUP(G39,'MC_COLETOR CB'!C:P,3,0)</f>
        <v>98</v>
      </c>
      <c r="J39" s="824"/>
      <c r="K39" s="790" t="str">
        <f>(IF(H39="Saneago",VLOOKUP(I39,'SANEAGO-FEV.2016'!A:B,2,0),IF(H39="Sinapi",VLOOKUP(I39,'SINAPI-FEV.2017'!A:D,2,0),IF(H39="Cotação",VLOOKUP(I39,COTAÇÃO!A:D,2,0),IF(H39="Composição",VLOOKUP(I39,COMPOSIÇÃO!A:D,2,0))))))</f>
        <v>CAVALETE  COM PLACA DE ADVERTÊNCIA 1,0 X 0,40 M (TIPOS I...V)</v>
      </c>
      <c r="L39" s="700" t="str">
        <f>(IF(H39="Saneago",VLOOKUP(I39,'SANEAGO-FEV.2016'!A:D,3,0),IF(H39="Sinapi",VLOOKUP(I39,'SINAPI-FEV.2017'!A:D,3,0),IF(H39="Cotação",VLOOKUP(I39,COTAÇÃO!A:D,3,0),IF(H39="Composição",VLOOKUP(I39,COMPOSIÇÃO!A:D,3,0))))))</f>
        <v>UN</v>
      </c>
      <c r="M39" s="870">
        <f>ROUND(VLOOKUP(G39,'MC_COLETOR CB'!C:P,13,0),2)</f>
        <v>0</v>
      </c>
      <c r="N39" s="399">
        <f>(IF(H39="Saneago",VLOOKUP(I39,'SANEAGO-FEV.2016'!A:D,4,0),IF(H39="Sinapi",VLOOKUP(I39,'SINAPI-FEV.2017'!A:D,4,0),IF(H39="Cotação",VLOOKUP(I39,COTAÇÃO!A:D,4,0),IF(H39="Composição",VLOOKUP(I39,COMPOSIÇÃO!A:D,4,0))))))</f>
        <v>251.81</v>
      </c>
      <c r="O39" s="102">
        <f>ROUND(IF(F39="Serviços",N39*(1+$O$7),IF(F39="Materiais",N39*(1+$O$8))),2)</f>
        <v>307.58999999999997</v>
      </c>
      <c r="P39" s="101">
        <f>ROUND(M39*O39,2)</f>
        <v>0</v>
      </c>
      <c r="Q39" s="1507">
        <v>0</v>
      </c>
      <c r="R39" s="1525"/>
      <c r="S39" s="1521"/>
      <c r="V39" s="1325"/>
      <c r="W39" s="1325"/>
      <c r="X39" s="1325"/>
    </row>
    <row r="40" spans="1:24" s="863" customFormat="1" ht="12.75" hidden="1" customHeight="1">
      <c r="A40" s="1482"/>
      <c r="B40" s="1482"/>
      <c r="C40" s="1483">
        <f t="shared" si="4"/>
        <v>2</v>
      </c>
      <c r="D40" s="1492">
        <f t="shared" si="6"/>
        <v>0</v>
      </c>
      <c r="E40" s="1492">
        <f t="shared" si="5"/>
        <v>2</v>
      </c>
      <c r="F40" s="1526" t="s">
        <v>11708</v>
      </c>
      <c r="G40" s="862" t="s">
        <v>20245</v>
      </c>
      <c r="H40" s="823" t="str">
        <f>VLOOKUP(G40,'MC_COLETOR CB'!C:P,2,0)</f>
        <v>SINAPI</v>
      </c>
      <c r="I40" s="700">
        <f>VLOOKUP(G40,'MC_COLETOR CB'!C:P,3,0)</f>
        <v>13244</v>
      </c>
      <c r="J40" s="824"/>
      <c r="K40" s="790" t="str">
        <f>(IF(H40="Saneago",VLOOKUP(I40,'SANEAGO-FEV.2016'!A:B,2,0),IF(H40="Sinapi",VLOOKUP(I40,'SINAPI-FEV.2017'!A:D,2,0),IF(H40="Cotação",VLOOKUP(I40,COTAÇÃO!A:D,2,0),IF(H40="Composição",VLOOKUP(I40,COMPOSIÇÃO!A:D,2,0))))))</f>
        <v>CONE DE SINALIZACAO EM PVC RIGIDO COM FAIXA REFLETIVA, H = 70 / 76 CM</v>
      </c>
      <c r="L40" s="700" t="str">
        <f>(IF(H40="Saneago",VLOOKUP(I40,'SANEAGO-FEV.2016'!A:D,3,0),IF(H40="Sinapi",VLOOKUP(I40,'SINAPI-FEV.2017'!A:D,3,0),IF(H40="Cotação",VLOOKUP(I40,COTAÇÃO!A:D,3,0),IF(H40="Composição",VLOOKUP(I40,COMPOSIÇÃO!A:D,3,0))))))</f>
        <v>UN</v>
      </c>
      <c r="M40" s="870">
        <f>ROUND(VLOOKUP(G40,'MC_COLETOR CB'!C:P,13,0),2)</f>
        <v>0</v>
      </c>
      <c r="N40" s="399">
        <f>(IF(H40="Saneago",VLOOKUP(I40,'SANEAGO-FEV.2016'!A:D,4,0),IF(H40="Sinapi",VLOOKUP(I40,'SINAPI-FEV.2017'!A:D,4,0),IF(H40="Cotação",VLOOKUP(I40,COTAÇÃO!A:D,4,0),IF(H40="Composição",VLOOKUP(I40,COMPOSIÇÃO!A:D,4,0))))))</f>
        <v>23.25</v>
      </c>
      <c r="O40" s="102">
        <f>ROUND(IF(F40="Serviços",N40*(1+$O$7),IF(F40="Materiais",N40*(1+$O$8))),2)</f>
        <v>28.4</v>
      </c>
      <c r="P40" s="101">
        <f>ROUND(M40*O40,2)</f>
        <v>0</v>
      </c>
      <c r="Q40" s="1507">
        <v>0</v>
      </c>
      <c r="R40" s="1525"/>
      <c r="S40" s="1521"/>
      <c r="V40" s="1325"/>
      <c r="W40" s="1325"/>
      <c r="X40" s="1325"/>
    </row>
    <row r="41" spans="1:24" s="863" customFormat="1" ht="12.75" hidden="1" customHeight="1">
      <c r="A41" s="1482"/>
      <c r="B41" s="1482"/>
      <c r="C41" s="1483">
        <f t="shared" si="4"/>
        <v>2</v>
      </c>
      <c r="D41" s="1492">
        <f t="shared" si="6"/>
        <v>0</v>
      </c>
      <c r="E41" s="1492">
        <f t="shared" si="5"/>
        <v>2</v>
      </c>
      <c r="F41" s="1526" t="s">
        <v>11708</v>
      </c>
      <c r="G41" s="862" t="s">
        <v>20246</v>
      </c>
      <c r="H41" s="823" t="str">
        <f>VLOOKUP(G41,'MC_COLETOR CB'!C:P,2,0)</f>
        <v>SANEAGO</v>
      </c>
      <c r="I41" s="700">
        <f>VLOOKUP(G41,'MC_COLETOR CB'!C:P,3,0)</f>
        <v>104</v>
      </c>
      <c r="J41" s="824"/>
      <c r="K41" s="790" t="str">
        <f>(IF(H41="Saneago",VLOOKUP(I41,'SANEAGO-FEV.2016'!A:B,2,0),IF(H41="Sinapi",VLOOKUP(I41,'SINAPI-FEV.2017'!A:D,2,0),IF(H41="Cotação",VLOOKUP(I41,COTAÇÃO!A:D,2,0),IF(H41="Composição",VLOOKUP(I41,COMPOSIÇÃO!A:D,2,0))))))</f>
        <v>PAINEL DE TAPUME MÓVEL</v>
      </c>
      <c r="L41" s="700" t="str">
        <f>(IF(H41="Saneago",VLOOKUP(I41,'SANEAGO-FEV.2016'!A:D,3,0),IF(H41="Sinapi",VLOOKUP(I41,'SINAPI-FEV.2017'!A:D,3,0),IF(H41="Cotação",VLOOKUP(I41,COTAÇÃO!A:D,3,0),IF(H41="Composição",VLOOKUP(I41,COMPOSIÇÃO!A:D,3,0))))))</f>
        <v>UN</v>
      </c>
      <c r="M41" s="870">
        <f>ROUND(VLOOKUP(G41,'MC_COLETOR CB'!C:P,13,0),2)</f>
        <v>0</v>
      </c>
      <c r="N41" s="399">
        <f>(IF(H41="Saneago",VLOOKUP(I41,'SANEAGO-FEV.2016'!A:D,4,0),IF(H41="Sinapi",VLOOKUP(I41,'SINAPI-FEV.2017'!A:D,4,0),IF(H41="Cotação",VLOOKUP(I41,COTAÇÃO!A:D,4,0),IF(H41="Composição",VLOOKUP(I41,COMPOSIÇÃO!A:D,4,0))))))</f>
        <v>444.96</v>
      </c>
      <c r="O41" s="102">
        <f>ROUND(IF(F41="Serviços",N41*(1+$O$7),IF(F41="Materiais",N41*(1+$O$8))),2)</f>
        <v>543.52</v>
      </c>
      <c r="P41" s="101">
        <f>ROUND(M41*O41,2)</f>
        <v>0</v>
      </c>
      <c r="Q41" s="1507">
        <v>0</v>
      </c>
      <c r="R41" s="1525"/>
      <c r="S41" s="1521"/>
      <c r="V41" s="1325"/>
      <c r="W41" s="1325"/>
      <c r="X41" s="1325"/>
    </row>
    <row r="42" spans="1:24" s="863" customFormat="1" ht="12.75" hidden="1" customHeight="1">
      <c r="A42" s="1482"/>
      <c r="B42" s="1482"/>
      <c r="C42" s="1483">
        <f t="shared" si="4"/>
        <v>2</v>
      </c>
      <c r="D42" s="1492">
        <f t="shared" si="6"/>
        <v>0</v>
      </c>
      <c r="E42" s="1492">
        <f t="shared" si="5"/>
        <v>2</v>
      </c>
      <c r="F42" s="1526" t="s">
        <v>11708</v>
      </c>
      <c r="G42" s="862" t="s">
        <v>20247</v>
      </c>
      <c r="H42" s="823" t="str">
        <f>VLOOKUP(G42,'MC_COLETOR CB'!C:P,2,0)</f>
        <v>SINAPI</v>
      </c>
      <c r="I42" s="700" t="str">
        <f>VLOOKUP(G42,'MC_COLETOR CB'!C:P,3,0)</f>
        <v>74219/1</v>
      </c>
      <c r="J42" s="824"/>
      <c r="K42" s="790" t="str">
        <f>(IF(H42="Saneago",VLOOKUP(I42,'SANEAGO-FEV.2016'!A:B,2,0),IF(H42="Sinapi",VLOOKUP(I42,'SINAPI-FEV.2017'!A:D,2,0),IF(H42="Cotação",VLOOKUP(I42,COTAÇÃO!A:D,2,0),IF(H42="Composição",VLOOKUP(I42,COMPOSIÇÃO!A:D,2,0))))))</f>
        <v>PASSADICOS COM TABUAS DE MADEIRA PARA PEDESTRES</v>
      </c>
      <c r="L42" s="700" t="str">
        <f>(IF(H42="Saneago",VLOOKUP(I42,'SANEAGO-FEV.2016'!A:D,3,0),IF(H42="Sinapi",VLOOKUP(I42,'SINAPI-FEV.2017'!A:D,3,0),IF(H42="Cotação",VLOOKUP(I42,COTAÇÃO!A:D,3,0),IF(H42="Composição",VLOOKUP(I42,COMPOSIÇÃO!A:D,3,0))))))</f>
        <v>M2</v>
      </c>
      <c r="M42" s="870">
        <f>ROUND(VLOOKUP(G42,'MC_COLETOR CB'!C:P,13,0),2)</f>
        <v>0</v>
      </c>
      <c r="N42" s="399">
        <f>(IF(H42="Saneago",VLOOKUP(I42,'SANEAGO-FEV.2016'!A:D,4,0),IF(H42="Sinapi",VLOOKUP(I42,'SINAPI-FEV.2017'!A:D,4,0),IF(H42="Cotação",VLOOKUP(I42,COTAÇÃO!A:D,4,0),IF(H42="Composição",VLOOKUP(I42,COMPOSIÇÃO!A:D,4,0))))))</f>
        <v>48.14</v>
      </c>
      <c r="O42" s="102">
        <f>ROUND(IF(F42="Serviços",N42*(1+$O$7),IF(F42="Materiais",N42*(1+$O$8))),2)</f>
        <v>58.8</v>
      </c>
      <c r="P42" s="101">
        <f>ROUND(M42*O42,2)</f>
        <v>0</v>
      </c>
      <c r="Q42" s="1507">
        <v>0</v>
      </c>
      <c r="R42" s="1525"/>
      <c r="S42" s="1521"/>
      <c r="V42" s="1325"/>
      <c r="W42" s="1325"/>
      <c r="X42" s="1325"/>
    </row>
    <row r="43" spans="1:24" s="863" customFormat="1" ht="12.75" hidden="1" customHeight="1">
      <c r="A43" s="1482"/>
      <c r="B43" s="1482"/>
      <c r="C43" s="1483">
        <f t="shared" si="4"/>
        <v>2</v>
      </c>
      <c r="D43" s="1492">
        <f t="shared" si="6"/>
        <v>0</v>
      </c>
      <c r="E43" s="1492">
        <f t="shared" si="5"/>
        <v>2</v>
      </c>
      <c r="F43" s="1526" t="s">
        <v>11708</v>
      </c>
      <c r="G43" s="862" t="s">
        <v>20248</v>
      </c>
      <c r="H43" s="823" t="str">
        <f>VLOOKUP(G43,'MC_COLETOR CB'!C:P,2,0)</f>
        <v>SANEAGO</v>
      </c>
      <c r="I43" s="700">
        <f>VLOOKUP(G43,'MC_COLETOR CB'!C:P,3,0)</f>
        <v>106</v>
      </c>
      <c r="J43" s="824"/>
      <c r="K43" s="790" t="str">
        <f>(IF(H43="Saneago",VLOOKUP(I43,'SANEAGO-FEV.2016'!A:B,2,0),IF(H43="Sinapi",VLOOKUP(I43,'SINAPI-FEV.2017'!A:D,2,0),IF(H43="Cotação",VLOOKUP(I43,COTAÇÃO!A:D,2,0),IF(H43="Composição",VLOOKUP(I43,COMPOSIÇÃO!A:D,2,0))))))</f>
        <v>PASSADIÇO  METÁLICO</v>
      </c>
      <c r="L43" s="700" t="str">
        <f>(IF(H43="Saneago",VLOOKUP(I43,'SANEAGO-FEV.2016'!A:D,3,0),IF(H43="Sinapi",VLOOKUP(I43,'SINAPI-FEV.2017'!A:D,3,0),IF(H43="Cotação",VLOOKUP(I43,COTAÇÃO!A:D,3,0),IF(H43="Composição",VLOOKUP(I43,COMPOSIÇÃO!A:D,3,0))))))</f>
        <v>KG</v>
      </c>
      <c r="M43" s="870">
        <f>ROUND(VLOOKUP(G43,'MC_COLETOR CB'!C:P,13,0),2)</f>
        <v>0</v>
      </c>
      <c r="N43" s="399">
        <f>(IF(H43="Saneago",VLOOKUP(I43,'SANEAGO-FEV.2016'!A:D,4,0),IF(H43="Sinapi",VLOOKUP(I43,'SINAPI-FEV.2017'!A:D,4,0),IF(H43="Cotação",VLOOKUP(I43,COTAÇÃO!A:D,4,0),IF(H43="Composição",VLOOKUP(I43,COMPOSIÇÃO!A:D,4,0))))))</f>
        <v>12.15</v>
      </c>
      <c r="O43" s="102">
        <f>ROUND(IF(F43="Serviços",N43*(1+$O$7),IF(F43="Materiais",N43*(1+$O$8))),2)</f>
        <v>14.84</v>
      </c>
      <c r="P43" s="101">
        <f>ROUND(M43*O43,2)</f>
        <v>0</v>
      </c>
      <c r="Q43" s="1507">
        <v>0</v>
      </c>
      <c r="R43" s="1525"/>
      <c r="S43" s="1521"/>
      <c r="V43" s="1325"/>
      <c r="W43" s="1325"/>
      <c r="X43" s="1325"/>
    </row>
    <row r="44" spans="1:24" s="863" customFormat="1" ht="13.5" hidden="1" customHeight="1" thickBot="1">
      <c r="A44" s="1482"/>
      <c r="B44" s="1482"/>
      <c r="C44" s="1483">
        <f t="shared" si="4"/>
        <v>2</v>
      </c>
      <c r="D44" s="1492">
        <f t="shared" si="6"/>
        <v>0</v>
      </c>
      <c r="E44" s="1492">
        <f t="shared" si="5"/>
        <v>2</v>
      </c>
      <c r="F44" s="1526" t="s">
        <v>11708</v>
      </c>
      <c r="G44" s="862"/>
      <c r="H44" s="823"/>
      <c r="I44" s="700"/>
      <c r="J44" s="824"/>
      <c r="K44" s="790"/>
      <c r="L44" s="700"/>
      <c r="M44" s="870"/>
      <c r="N44" s="399"/>
      <c r="O44" s="344"/>
      <c r="P44" s="342"/>
      <c r="Q44" s="1507"/>
      <c r="R44" s="1525"/>
      <c r="S44" s="1521"/>
      <c r="V44" s="1325"/>
      <c r="W44" s="1325"/>
      <c r="X44" s="1325"/>
    </row>
    <row r="45" spans="1:24" s="863" customFormat="1" ht="14.25" hidden="1" customHeight="1" thickTop="1" thickBot="1">
      <c r="A45" s="1482"/>
      <c r="B45" s="1482"/>
      <c r="C45" s="1483">
        <f t="shared" si="4"/>
        <v>2</v>
      </c>
      <c r="D45" s="1492">
        <f t="shared" si="6"/>
        <v>0</v>
      </c>
      <c r="E45" s="1492">
        <f t="shared" si="5"/>
        <v>2</v>
      </c>
      <c r="F45" s="1526" t="s">
        <v>11708</v>
      </c>
      <c r="G45" s="862"/>
      <c r="H45" s="1538" t="str">
        <f>"TOTAL ITEM: "&amp;J37 &amp;K37</f>
        <v>TOTAL ITEM: 2.0.2 SINALIZAÇÃO</v>
      </c>
      <c r="I45" s="1539"/>
      <c r="J45" s="1539"/>
      <c r="K45" s="1539"/>
      <c r="L45" s="1539"/>
      <c r="M45" s="1539"/>
      <c r="N45" s="718"/>
      <c r="O45" s="718"/>
      <c r="P45" s="343">
        <f>SUBTOTAL(9,P39:P43)</f>
        <v>0</v>
      </c>
      <c r="Q45" s="1507"/>
      <c r="R45" s="1525"/>
      <c r="S45" s="1521"/>
      <c r="V45" s="1325"/>
      <c r="W45" s="1325"/>
      <c r="X45" s="1325"/>
    </row>
    <row r="46" spans="1:24" s="863" customFormat="1" ht="13.5" hidden="1" customHeight="1" thickTop="1">
      <c r="A46" s="1482"/>
      <c r="B46" s="1482"/>
      <c r="C46" s="1483">
        <f t="shared" si="4"/>
        <v>2</v>
      </c>
      <c r="D46" s="1492">
        <f t="shared" si="6"/>
        <v>0</v>
      </c>
      <c r="E46" s="1492">
        <f t="shared" si="5"/>
        <v>2</v>
      </c>
      <c r="F46" s="1526" t="s">
        <v>11708</v>
      </c>
      <c r="G46" s="862"/>
      <c r="H46" s="823"/>
      <c r="I46" s="700"/>
      <c r="J46" s="824"/>
      <c r="K46" s="790"/>
      <c r="L46" s="700"/>
      <c r="M46" s="870"/>
      <c r="N46" s="399"/>
      <c r="O46" s="344"/>
      <c r="P46" s="342"/>
      <c r="Q46" s="1507"/>
      <c r="R46" s="1525"/>
      <c r="S46" s="1521"/>
      <c r="V46" s="1325"/>
      <c r="W46" s="1325"/>
      <c r="X46" s="1325"/>
    </row>
    <row r="47" spans="1:24" s="863" customFormat="1" ht="12.75" hidden="1" customHeight="1">
      <c r="A47" s="1482"/>
      <c r="B47" s="1482">
        <v>1</v>
      </c>
      <c r="C47" s="1483">
        <f t="shared" si="4"/>
        <v>2</v>
      </c>
      <c r="D47" s="1492">
        <f t="shared" si="6"/>
        <v>0</v>
      </c>
      <c r="E47" s="1492">
        <f t="shared" si="5"/>
        <v>3</v>
      </c>
      <c r="F47" s="1526" t="s">
        <v>11708</v>
      </c>
      <c r="G47" s="862"/>
      <c r="H47" s="1527" t="s">
        <v>11703</v>
      </c>
      <c r="I47" s="1528" t="s">
        <v>64</v>
      </c>
      <c r="J47" s="1529" t="str">
        <f>CONCATENATE(C47,".",D47,".",E47)</f>
        <v>2.0.3</v>
      </c>
      <c r="K47" s="1530" t="s">
        <v>11709</v>
      </c>
      <c r="L47" s="1531" t="s">
        <v>25</v>
      </c>
      <c r="M47" s="1532" t="s">
        <v>11704</v>
      </c>
      <c r="N47" s="586" t="s">
        <v>11705</v>
      </c>
      <c r="O47" s="587" t="s">
        <v>11706</v>
      </c>
      <c r="P47" s="588" t="s">
        <v>27</v>
      </c>
      <c r="Q47" s="1507" t="s">
        <v>11704</v>
      </c>
      <c r="R47" s="1525"/>
      <c r="S47" s="1521"/>
      <c r="V47" s="1325"/>
      <c r="W47" s="1325"/>
      <c r="X47" s="1325"/>
    </row>
    <row r="48" spans="1:24" s="863" customFormat="1" ht="12.75" hidden="1" customHeight="1">
      <c r="A48" s="1482"/>
      <c r="B48" s="1482"/>
      <c r="C48" s="1483">
        <f t="shared" si="4"/>
        <v>2</v>
      </c>
      <c r="D48" s="1492">
        <f t="shared" si="6"/>
        <v>0</v>
      </c>
      <c r="E48" s="1492">
        <f t="shared" si="5"/>
        <v>3</v>
      </c>
      <c r="F48" s="1526" t="s">
        <v>11708</v>
      </c>
      <c r="G48" s="862"/>
      <c r="H48" s="823"/>
      <c r="I48" s="700"/>
      <c r="J48" s="824"/>
      <c r="K48" s="790"/>
      <c r="L48" s="700"/>
      <c r="M48" s="870"/>
      <c r="N48" s="399"/>
      <c r="O48" s="344"/>
      <c r="P48" s="342"/>
      <c r="Q48" s="1507"/>
      <c r="R48" s="1525"/>
      <c r="S48" s="1521"/>
      <c r="V48" s="1325"/>
      <c r="W48" s="1325"/>
      <c r="X48" s="1325"/>
    </row>
    <row r="49" spans="1:24" s="863" customFormat="1" ht="22.5" hidden="1" customHeight="1">
      <c r="A49" s="1482"/>
      <c r="B49" s="1482"/>
      <c r="C49" s="1483">
        <f t="shared" si="4"/>
        <v>2</v>
      </c>
      <c r="D49" s="1492">
        <f t="shared" si="6"/>
        <v>0</v>
      </c>
      <c r="E49" s="1492">
        <f t="shared" si="5"/>
        <v>3</v>
      </c>
      <c r="F49" s="1526" t="s">
        <v>11708</v>
      </c>
      <c r="G49" s="862" t="s">
        <v>20249</v>
      </c>
      <c r="H49" s="823" t="str">
        <f>VLOOKUP(G49,'MC_COLETOR CB'!C:P,2,0)</f>
        <v>SINAPI</v>
      </c>
      <c r="I49" s="700">
        <f>VLOOKUP(G49,'MC_COLETOR CB'!C:P,3,0)</f>
        <v>73672</v>
      </c>
      <c r="J49" s="824"/>
      <c r="K49" s="790" t="str">
        <f>(IF(H49="Saneago",VLOOKUP(I49,'SANEAGO-FEV.2016'!A:B,2,0),IF(H49="Sinapi",VLOOKUP(I49,'SINAPI-FEV.2017'!A:D,2,0),IF(H49="Cotação",VLOOKUP(I49,COTAÇÃO!A:D,2,0),IF(H49="Composição",VLOOKUP(I49,COMPOSIÇÃO!A:D,2,0))))))</f>
        <v>DESMATAMENTO E LIMPEZA MECANIZADA DE TERRENO COM ARVORES ATE Ø 15CM, UTILIZANDO TRATOR DE ESTEIRAS</v>
      </c>
      <c r="L49" s="700" t="str">
        <f>(IF(H49="Saneago",VLOOKUP(I49,'SANEAGO-FEV.2016'!A:D,3,0),IF(H49="Sinapi",VLOOKUP(I49,'SINAPI-FEV.2017'!A:D,3,0),IF(H49="Cotação",VLOOKUP(I49,COTAÇÃO!A:D,3,0),IF(H49="Composição",VLOOKUP(I49,COMPOSIÇÃO!A:D,3,0))))))</f>
        <v>M2</v>
      </c>
      <c r="M49" s="870">
        <f>ROUND(VLOOKUP(G49,'MC_COLETOR CB'!C:P,13,0),2)</f>
        <v>0</v>
      </c>
      <c r="N49" s="399">
        <f>(IF(H49="Saneago",VLOOKUP(I49,'SANEAGO-FEV.2016'!A:D,4,0),IF(H49="Sinapi",VLOOKUP(I49,'SINAPI-FEV.2017'!A:D,4,0),IF(H49="Cotação",VLOOKUP(I49,COTAÇÃO!A:D,4,0),IF(H49="Composição",VLOOKUP(I49,COMPOSIÇÃO!A:D,4,0))))))</f>
        <v>0.46</v>
      </c>
      <c r="O49" s="102">
        <f>ROUND(IF(F49="Serviços",N49*(1+$O$7),IF(F49="Materiais",N49*(1+$O$8))),2)</f>
        <v>0.56000000000000005</v>
      </c>
      <c r="P49" s="101">
        <f>ROUND(M49*O49,2)</f>
        <v>0</v>
      </c>
      <c r="Q49" s="1507">
        <v>0</v>
      </c>
      <c r="R49" s="1525"/>
      <c r="S49" s="1521"/>
      <c r="V49" s="1325"/>
      <c r="W49" s="1325"/>
      <c r="X49" s="1325"/>
    </row>
    <row r="50" spans="1:24" s="863" customFormat="1" ht="13.5" hidden="1" customHeight="1" thickBot="1">
      <c r="A50" s="1482"/>
      <c r="B50" s="1482"/>
      <c r="C50" s="1483">
        <f t="shared" si="4"/>
        <v>2</v>
      </c>
      <c r="D50" s="1492">
        <f t="shared" si="6"/>
        <v>0</v>
      </c>
      <c r="E50" s="1492">
        <f t="shared" si="5"/>
        <v>3</v>
      </c>
      <c r="F50" s="1526" t="s">
        <v>11708</v>
      </c>
      <c r="G50" s="1522"/>
      <c r="H50" s="826"/>
      <c r="I50" s="790"/>
      <c r="J50" s="824"/>
      <c r="K50" s="790"/>
      <c r="L50" s="700"/>
      <c r="M50" s="870"/>
      <c r="N50" s="399"/>
      <c r="O50" s="589"/>
      <c r="P50" s="342"/>
      <c r="Q50" s="1507"/>
      <c r="R50" s="1525"/>
      <c r="S50" s="1521"/>
      <c r="V50" s="1325"/>
      <c r="W50" s="1325"/>
      <c r="X50" s="1325"/>
    </row>
    <row r="51" spans="1:24" s="863" customFormat="1" ht="14.25" hidden="1" customHeight="1" thickTop="1" thickBot="1">
      <c r="A51" s="1482"/>
      <c r="B51" s="1482"/>
      <c r="C51" s="1483">
        <f t="shared" si="4"/>
        <v>2</v>
      </c>
      <c r="D51" s="1492">
        <f t="shared" si="6"/>
        <v>0</v>
      </c>
      <c r="E51" s="1492">
        <f t="shared" si="5"/>
        <v>3</v>
      </c>
      <c r="F51" s="1526" t="s">
        <v>11708</v>
      </c>
      <c r="G51" s="1522"/>
      <c r="H51" s="1538" t="str">
        <f>"TOTAL ITEM: "&amp;J47 &amp;K47</f>
        <v>TOTAL ITEM: 2.0.3 SERVIÇOS PRELIMINARES</v>
      </c>
      <c r="I51" s="1539"/>
      <c r="J51" s="1539"/>
      <c r="K51" s="1539"/>
      <c r="L51" s="1539"/>
      <c r="M51" s="1539"/>
      <c r="N51" s="718"/>
      <c r="O51" s="718"/>
      <c r="P51" s="343">
        <f>SUBTOTAL(9,P49)</f>
        <v>0</v>
      </c>
      <c r="Q51" s="1507"/>
      <c r="R51" s="1525"/>
      <c r="S51" s="1521"/>
      <c r="V51" s="1325"/>
      <c r="W51" s="1325"/>
      <c r="X51" s="1325"/>
    </row>
    <row r="52" spans="1:24" s="863" customFormat="1" ht="13.5" hidden="1" customHeight="1" thickTop="1">
      <c r="A52" s="1482"/>
      <c r="B52" s="1482"/>
      <c r="C52" s="1483">
        <f t="shared" si="4"/>
        <v>2</v>
      </c>
      <c r="D52" s="1492">
        <f t="shared" si="6"/>
        <v>0</v>
      </c>
      <c r="E52" s="1492">
        <f t="shared" si="5"/>
        <v>3</v>
      </c>
      <c r="F52" s="1526" t="s">
        <v>11708</v>
      </c>
      <c r="G52" s="1522"/>
      <c r="H52" s="1533"/>
      <c r="I52" s="1002"/>
      <c r="J52" s="1534"/>
      <c r="K52" s="1002"/>
      <c r="L52" s="907"/>
      <c r="M52" s="870"/>
      <c r="N52" s="399"/>
      <c r="O52" s="589"/>
      <c r="P52" s="342"/>
      <c r="Q52" s="1507"/>
      <c r="R52" s="1525"/>
      <c r="S52" s="1521"/>
      <c r="V52" s="1325"/>
      <c r="W52" s="1325"/>
      <c r="X52" s="1325"/>
    </row>
    <row r="53" spans="1:24" s="863" customFormat="1" ht="12.75" hidden="1" customHeight="1">
      <c r="A53" s="1482"/>
      <c r="B53" s="1482">
        <v>1</v>
      </c>
      <c r="C53" s="1483">
        <f t="shared" si="4"/>
        <v>2</v>
      </c>
      <c r="D53" s="1492">
        <f t="shared" si="6"/>
        <v>0</v>
      </c>
      <c r="E53" s="1492">
        <f t="shared" si="5"/>
        <v>4</v>
      </c>
      <c r="F53" s="1526" t="s">
        <v>11708</v>
      </c>
      <c r="G53" s="1522"/>
      <c r="H53" s="1527" t="s">
        <v>11703</v>
      </c>
      <c r="I53" s="1528" t="s">
        <v>64</v>
      </c>
      <c r="J53" s="1529" t="str">
        <f>CONCATENATE(C53,".",D53,".",E53)</f>
        <v>2.0.4</v>
      </c>
      <c r="K53" s="1530" t="s">
        <v>11710</v>
      </c>
      <c r="L53" s="1531" t="s">
        <v>25</v>
      </c>
      <c r="M53" s="1532" t="s">
        <v>11704</v>
      </c>
      <c r="N53" s="586" t="s">
        <v>11705</v>
      </c>
      <c r="O53" s="587" t="s">
        <v>11706</v>
      </c>
      <c r="P53" s="588" t="s">
        <v>27</v>
      </c>
      <c r="Q53" s="1507" t="s">
        <v>11704</v>
      </c>
      <c r="R53" s="1525"/>
      <c r="S53" s="1521"/>
      <c r="V53" s="1325"/>
      <c r="W53" s="1325"/>
      <c r="X53" s="1325"/>
    </row>
    <row r="54" spans="1:24" s="863" customFormat="1" ht="12.75" hidden="1" customHeight="1">
      <c r="A54" s="1482"/>
      <c r="B54" s="1482"/>
      <c r="C54" s="1483">
        <f t="shared" si="4"/>
        <v>2</v>
      </c>
      <c r="D54" s="1492">
        <f t="shared" si="6"/>
        <v>0</v>
      </c>
      <c r="E54" s="1492">
        <f t="shared" si="5"/>
        <v>4</v>
      </c>
      <c r="F54" s="1526" t="s">
        <v>11708</v>
      </c>
      <c r="G54" s="1522"/>
      <c r="H54" s="826"/>
      <c r="I54" s="790"/>
      <c r="J54" s="824"/>
      <c r="K54" s="790"/>
      <c r="L54" s="700"/>
      <c r="M54" s="870"/>
      <c r="N54" s="399"/>
      <c r="O54" s="589"/>
      <c r="P54" s="342"/>
      <c r="Q54" s="1507"/>
      <c r="R54" s="1525"/>
      <c r="S54" s="1521"/>
      <c r="V54" s="1325"/>
      <c r="W54" s="1325"/>
      <c r="X54" s="1325"/>
    </row>
    <row r="55" spans="1:24" s="863" customFormat="1" ht="56.25" hidden="1" customHeight="1">
      <c r="A55" s="1482"/>
      <c r="B55" s="1482"/>
      <c r="C55" s="1483">
        <f t="shared" si="4"/>
        <v>2</v>
      </c>
      <c r="D55" s="1492">
        <f t="shared" si="6"/>
        <v>0</v>
      </c>
      <c r="E55" s="1492">
        <f t="shared" si="5"/>
        <v>4</v>
      </c>
      <c r="F55" s="1526" t="s">
        <v>11708</v>
      </c>
      <c r="G55" s="862" t="s">
        <v>20250</v>
      </c>
      <c r="H55" s="823" t="str">
        <f>VLOOKUP(G55,'MC_COLETOR CB'!C:P,2,0)</f>
        <v>SINAPI</v>
      </c>
      <c r="I55" s="700">
        <f>VLOOKUP(G55,'MC_COLETOR CB'!C:P,3,0)</f>
        <v>90105</v>
      </c>
      <c r="J55" s="824"/>
      <c r="K55" s="790" t="str">
        <f>(IF(H55="Saneago",VLOOKUP(I55,'SANEAGO-FEV.2016'!A:B,2,0),IF(H55="Sinapi",VLOOKUP(I55,'SINAPI-FEV.2017'!A:D,2,0),IF(H55="Cotação",VLOOKUP(I55,COTAÇÃO!A:D,2,0),IF(H55="Composição",VLOOKUP(I55,COMPOSIÇÃO!A:D,2,0))))))</f>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
      <c r="L55" s="700" t="str">
        <f>(IF(H55="Saneago",VLOOKUP(I55,'SANEAGO-FEV.2016'!A:D,3,0),IF(H55="Sinapi",VLOOKUP(I55,'SINAPI-FEV.2017'!A:D,3,0),IF(H55="Cotação",VLOOKUP(I55,COTAÇÃO!A:D,3,0),IF(H55="Composição",VLOOKUP(I55,COMPOSIÇÃO!A:D,3,0))))))</f>
        <v>M3</v>
      </c>
      <c r="M55" s="870">
        <f>ROUND(VLOOKUP(G55,'MC_COLETOR CB'!C:P,13,0),2)</f>
        <v>0</v>
      </c>
      <c r="N55" s="399">
        <f>(IF(H55="Saneago",VLOOKUP(I55,'SANEAGO-FEV.2016'!A:D,4,0),IF(H55="Sinapi",VLOOKUP(I55,'SINAPI-FEV.2017'!A:D,4,0),IF(H55="Cotação",VLOOKUP(I55,COTAÇÃO!A:D,4,0),IF(H55="Composição",VLOOKUP(I55,COMPOSIÇÃO!A:D,4,0))))))</f>
        <v>14.07</v>
      </c>
      <c r="O55" s="102">
        <f t="shared" ref="O55:O61" si="7">ROUND(IF(F55="Serviços",N55*(1+$O$7),IF(F55="Materiais",N55*(1+$O$8))),2)</f>
        <v>17.190000000000001</v>
      </c>
      <c r="P55" s="101">
        <f t="shared" ref="P55:P61" si="8">ROUND(M55*O55,2)</f>
        <v>0</v>
      </c>
      <c r="Q55" s="1507">
        <v>0</v>
      </c>
      <c r="R55" s="1525"/>
      <c r="S55" s="1521"/>
      <c r="V55" s="1325"/>
      <c r="W55" s="1325"/>
      <c r="X55" s="1325"/>
    </row>
    <row r="56" spans="1:24" s="863" customFormat="1" ht="56.25" hidden="1" customHeight="1">
      <c r="A56" s="1482"/>
      <c r="B56" s="1482"/>
      <c r="C56" s="1483">
        <f t="shared" si="4"/>
        <v>2</v>
      </c>
      <c r="D56" s="1492">
        <f t="shared" si="6"/>
        <v>0</v>
      </c>
      <c r="E56" s="1492">
        <f t="shared" si="5"/>
        <v>4</v>
      </c>
      <c r="F56" s="1526" t="s">
        <v>11708</v>
      </c>
      <c r="G56" s="862" t="s">
        <v>20251</v>
      </c>
      <c r="H56" s="823" t="str">
        <f>VLOOKUP(G56,'MC_COLETOR CB'!C:P,2,0)</f>
        <v>SINAPI</v>
      </c>
      <c r="I56" s="700">
        <f>VLOOKUP(G56,'MC_COLETOR CB'!C:P,3,0)</f>
        <v>90107</v>
      </c>
      <c r="J56" s="824"/>
      <c r="K56" s="790" t="str">
        <f>(IF(H56="Saneago",VLOOKUP(I56,'SANEAGO-FEV.2016'!A:B,2,0),IF(H56="Sinapi",VLOOKUP(I56,'SINAPI-FEV.2017'!A:D,2,0),IF(H56="Cotação",VLOOKUP(I56,COTAÇÃO!A:D,2,0),IF(H56="Composição",VLOOKUP(I56,COMPOSIÇÃO!A:D,2,0))))))</f>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
      <c r="L56" s="700" t="str">
        <f>(IF(H56="Saneago",VLOOKUP(I56,'SANEAGO-FEV.2016'!A:D,3,0),IF(H56="Sinapi",VLOOKUP(I56,'SINAPI-FEV.2017'!A:D,3,0),IF(H56="Cotação",VLOOKUP(I56,COTAÇÃO!A:D,3,0),IF(H56="Composição",VLOOKUP(I56,COMPOSIÇÃO!A:D,3,0))))))</f>
        <v>M3</v>
      </c>
      <c r="M56" s="870">
        <f>ROUND(VLOOKUP(G56,'MC_COLETOR CB'!C:P,13,0),2)</f>
        <v>0</v>
      </c>
      <c r="N56" s="399">
        <f>(IF(H56="Saneago",VLOOKUP(I56,'SANEAGO-FEV.2016'!A:D,4,0),IF(H56="Sinapi",VLOOKUP(I56,'SINAPI-FEV.2017'!A:D,4,0),IF(H56="Cotação",VLOOKUP(I56,COTAÇÃO!A:D,4,0),IF(H56="Composição",VLOOKUP(I56,COMPOSIÇÃO!A:D,4,0))))))</f>
        <v>11.87</v>
      </c>
      <c r="O56" s="102">
        <f t="shared" si="7"/>
        <v>14.5</v>
      </c>
      <c r="P56" s="101">
        <f t="shared" si="8"/>
        <v>0</v>
      </c>
      <c r="Q56" s="1507">
        <v>0</v>
      </c>
      <c r="R56" s="1525"/>
      <c r="S56" s="1521"/>
      <c r="V56" s="1325"/>
      <c r="W56" s="1325"/>
      <c r="X56" s="1325"/>
    </row>
    <row r="57" spans="1:24" s="863" customFormat="1" ht="22.5" hidden="1" customHeight="1">
      <c r="A57" s="1482"/>
      <c r="B57" s="1482"/>
      <c r="C57" s="1483">
        <f t="shared" si="4"/>
        <v>2</v>
      </c>
      <c r="D57" s="1492">
        <f t="shared" ref="D57:D68" si="9">D56+A57</f>
        <v>0</v>
      </c>
      <c r="E57" s="1492">
        <f t="shared" ref="E57:E68" si="10">E56+B57</f>
        <v>4</v>
      </c>
      <c r="F57" s="1526" t="s">
        <v>11708</v>
      </c>
      <c r="G57" s="862" t="s">
        <v>20252</v>
      </c>
      <c r="H57" s="823" t="str">
        <f>VLOOKUP(G57,'MC_COLETOR CB'!C:P,2,0)</f>
        <v>SANEAGO</v>
      </c>
      <c r="I57" s="700">
        <f>VLOOKUP(G57,'MC_COLETOR CB'!C:P,3,0)</f>
        <v>192</v>
      </c>
      <c r="J57" s="824"/>
      <c r="K57" s="790" t="str">
        <f>(IF(H57="Saneago",VLOOKUP(I57,'SANEAGO-FEV.2016'!A:B,2,0),IF(H57="Sinapi",VLOOKUP(I57,'SINAPI-FEV.2017'!A:D,2,0),IF(H57="Cotação",VLOOKUP(I57,COTAÇÃO!A:D,2,0),IF(H57="Composição",VLOOKUP(I57,COMPOSIÇÃO!A:D,2,0))))))</f>
        <v>ESCAVAÇÃO  MECANIZADA   (COM  RETROESCAVADEIRA)  EM VALAS  COM  MATERIAL  DE  2ª  CATEGORIA  - PROFUNDIDADE ATÉ 2,0 M</v>
      </c>
      <c r="L57" s="700" t="str">
        <f>(IF(H57="Saneago",VLOOKUP(I57,'SANEAGO-FEV.2016'!A:D,3,0),IF(H57="Sinapi",VLOOKUP(I57,'SINAPI-FEV.2017'!A:D,3,0),IF(H57="Cotação",VLOOKUP(I57,COTAÇÃO!A:D,3,0),IF(H57="Composição",VLOOKUP(I57,COMPOSIÇÃO!A:D,3,0))))))</f>
        <v>M3</v>
      </c>
      <c r="M57" s="870">
        <f>ROUND(VLOOKUP(G57,'MC_COLETOR CB'!C:P,13,0),2)</f>
        <v>0</v>
      </c>
      <c r="N57" s="399">
        <f>(IF(H57="Saneago",VLOOKUP(I57,'SANEAGO-FEV.2016'!A:D,4,0),IF(H57="Sinapi",VLOOKUP(I57,'SINAPI-FEV.2017'!A:D,4,0),IF(H57="Cotação",VLOOKUP(I57,COTAÇÃO!A:D,4,0),IF(H57="Composição",VLOOKUP(I57,COMPOSIÇÃO!A:D,4,0))))))</f>
        <v>7.65</v>
      </c>
      <c r="O57" s="102">
        <f t="shared" si="7"/>
        <v>9.34</v>
      </c>
      <c r="P57" s="101">
        <f t="shared" si="8"/>
        <v>0</v>
      </c>
      <c r="Q57" s="1507">
        <v>0</v>
      </c>
      <c r="R57" s="1525"/>
      <c r="S57" s="1521"/>
      <c r="V57" s="1325"/>
      <c r="W57" s="1325"/>
      <c r="X57" s="1325"/>
    </row>
    <row r="58" spans="1:24" s="863" customFormat="1" ht="22.5" hidden="1" customHeight="1">
      <c r="A58" s="1482"/>
      <c r="B58" s="1482"/>
      <c r="C58" s="1483">
        <f t="shared" ref="C58:C68" si="11">C57</f>
        <v>2</v>
      </c>
      <c r="D58" s="1492">
        <f t="shared" si="9"/>
        <v>0</v>
      </c>
      <c r="E58" s="1492">
        <f t="shared" si="10"/>
        <v>4</v>
      </c>
      <c r="F58" s="1526" t="s">
        <v>11708</v>
      </c>
      <c r="G58" s="862" t="s">
        <v>20281</v>
      </c>
      <c r="H58" s="823" t="str">
        <f>VLOOKUP(G58,'MC_COLETOR CB'!C:P,2,0)</f>
        <v>SANEAGO</v>
      </c>
      <c r="I58" s="700">
        <f>VLOOKUP(G58,'MC_COLETOR CB'!C:P,3,0)</f>
        <v>193</v>
      </c>
      <c r="J58" s="824"/>
      <c r="K58" s="790" t="str">
        <f>(IF(H58="Saneago",VLOOKUP(I58,'SANEAGO-FEV.2016'!A:B,2,0),IF(H58="Sinapi",VLOOKUP(I58,'SINAPI-FEV.2017'!A:D,2,0),IF(H58="Cotação",VLOOKUP(I58,COTAÇÃO!A:D,2,0),IF(H58="Composição",VLOOKUP(I58,COMPOSIÇÃO!A:D,2,0))))))</f>
        <v>ESCAVAÇÃO  MECANIZADA   (COM  RETROESCAVADEIRA)  EM VALAS  COM  MATERIAL  DE  2ª  CATEGORIA  - PROFUNDIDADE DE 2,0 A 4,0M</v>
      </c>
      <c r="L58" s="700" t="str">
        <f>(IF(H58="Saneago",VLOOKUP(I58,'SANEAGO-FEV.2016'!A:D,3,0),IF(H58="Sinapi",VLOOKUP(I58,'SINAPI-FEV.2017'!A:D,3,0),IF(H58="Cotação",VLOOKUP(I58,COTAÇÃO!A:D,3,0),IF(H58="Composição",VLOOKUP(I58,COMPOSIÇÃO!A:D,3,0))))))</f>
        <v>M3</v>
      </c>
      <c r="M58" s="870">
        <f>ROUND(VLOOKUP(G58,'MC_COLETOR CB'!C:P,13,0),2)</f>
        <v>0</v>
      </c>
      <c r="N58" s="399">
        <f>(IF(H58="Saneago",VLOOKUP(I58,'SANEAGO-FEV.2016'!A:D,4,0),IF(H58="Sinapi",VLOOKUP(I58,'SINAPI-FEV.2017'!A:D,4,0),IF(H58="Cotação",VLOOKUP(I58,COTAÇÃO!A:D,4,0),IF(H58="Composição",VLOOKUP(I58,COMPOSIÇÃO!A:D,4,0))))))</f>
        <v>9.56</v>
      </c>
      <c r="O58" s="102">
        <f t="shared" si="7"/>
        <v>11.68</v>
      </c>
      <c r="P58" s="101">
        <f t="shared" si="8"/>
        <v>0</v>
      </c>
      <c r="Q58" s="1507">
        <v>0</v>
      </c>
      <c r="R58" s="1525"/>
      <c r="S58" s="1521"/>
      <c r="V58" s="1325"/>
      <c r="W58" s="1325"/>
      <c r="X58" s="1325"/>
    </row>
    <row r="59" spans="1:24" s="863" customFormat="1" ht="22.5" hidden="1" customHeight="1">
      <c r="A59" s="1482"/>
      <c r="B59" s="1482"/>
      <c r="C59" s="1483">
        <f t="shared" si="11"/>
        <v>2</v>
      </c>
      <c r="D59" s="1492">
        <f t="shared" si="9"/>
        <v>0</v>
      </c>
      <c r="E59" s="1492">
        <f t="shared" si="10"/>
        <v>4</v>
      </c>
      <c r="F59" s="1526" t="s">
        <v>11708</v>
      </c>
      <c r="G59" s="862" t="s">
        <v>20253</v>
      </c>
      <c r="H59" s="823" t="str">
        <f>VLOOKUP(G59,'MC_COLETOR CB'!C:P,2,0)</f>
        <v>SANEAGO</v>
      </c>
      <c r="I59" s="700">
        <f>VLOOKUP(G59,'MC_COLETOR CB'!C:P,3,0)</f>
        <v>194</v>
      </c>
      <c r="J59" s="824"/>
      <c r="K59" s="790" t="str">
        <f>(IF(H59="Saneago",VLOOKUP(I59,'SANEAGO-FEV.2016'!A:B,2,0),IF(H59="Sinapi",VLOOKUP(I59,'SINAPI-FEV.2017'!A:D,2,0),IF(H59="Cotação",VLOOKUP(I59,COTAÇÃO!A:D,2,0),IF(H59="Composição",VLOOKUP(I59,COMPOSIÇÃO!A:D,2,0))))))</f>
        <v>ESCAVAÇÃO   MECANIZADA   (COM  RETROESCAVADEIRA)  EM  VALAS  COM  MATERIAL   DE  SOLO  MOLE  - PROFUNDIDADE ATÉ 2,0 M</v>
      </c>
      <c r="L59" s="700" t="str">
        <f>(IF(H59="Saneago",VLOOKUP(I59,'SANEAGO-FEV.2016'!A:D,3,0),IF(H59="Sinapi",VLOOKUP(I59,'SINAPI-FEV.2017'!A:D,3,0),IF(H59="Cotação",VLOOKUP(I59,COTAÇÃO!A:D,3,0),IF(H59="Composição",VLOOKUP(I59,COMPOSIÇÃO!A:D,3,0))))))</f>
        <v>M3</v>
      </c>
      <c r="M59" s="870">
        <f>ROUND(VLOOKUP(G59,'MC_COLETOR CB'!C:P,13,0),2)</f>
        <v>0</v>
      </c>
      <c r="N59" s="399">
        <f>(IF(H59="Saneago",VLOOKUP(I59,'SANEAGO-FEV.2016'!A:D,4,0),IF(H59="Sinapi",VLOOKUP(I59,'SINAPI-FEV.2017'!A:D,4,0),IF(H59="Cotação",VLOOKUP(I59,COTAÇÃO!A:D,4,0),IF(H59="Composição",VLOOKUP(I59,COMPOSIÇÃO!A:D,4,0))))))</f>
        <v>7.59</v>
      </c>
      <c r="O59" s="102">
        <f t="shared" si="7"/>
        <v>9.27</v>
      </c>
      <c r="P59" s="101">
        <f t="shared" si="8"/>
        <v>0</v>
      </c>
      <c r="Q59" s="1507">
        <v>0</v>
      </c>
      <c r="R59" s="1525"/>
      <c r="S59" s="1521"/>
      <c r="V59" s="1325"/>
      <c r="W59" s="1325"/>
      <c r="X59" s="1325"/>
    </row>
    <row r="60" spans="1:24" s="863" customFormat="1" ht="22.5" hidden="1" customHeight="1">
      <c r="A60" s="1482"/>
      <c r="B60" s="1482"/>
      <c r="C60" s="1483">
        <f t="shared" si="11"/>
        <v>2</v>
      </c>
      <c r="D60" s="1492">
        <f t="shared" si="9"/>
        <v>0</v>
      </c>
      <c r="E60" s="1492">
        <f t="shared" si="10"/>
        <v>4</v>
      </c>
      <c r="F60" s="1526" t="s">
        <v>11708</v>
      </c>
      <c r="G60" s="862" t="s">
        <v>20282</v>
      </c>
      <c r="H60" s="823" t="str">
        <f>VLOOKUP(G60,'MC_COLETOR CB'!C:P,2,0)</f>
        <v>SANEAGO</v>
      </c>
      <c r="I60" s="700">
        <f>VLOOKUP(G60,'MC_COLETOR CB'!C:P,3,0)</f>
        <v>195</v>
      </c>
      <c r="J60" s="824"/>
      <c r="K60" s="790" t="str">
        <f>(IF(H60="Saneago",VLOOKUP(I60,'SANEAGO-FEV.2016'!A:B,2,0),IF(H60="Sinapi",VLOOKUP(I60,'SINAPI-FEV.2017'!A:D,2,0),IF(H60="Cotação",VLOOKUP(I60,COTAÇÃO!A:D,2,0),IF(H60="Composição",VLOOKUP(I60,COMPOSIÇÃO!A:D,2,0))))))</f>
        <v>ESCAVAÇÃO   MECANIZADA   (COM  RETROESCAVADEIRA)  EM  VALAS  COM  MATERIAL   DE  SOLO  MOLE  - PROFUNDIDADE DE 2,0 A 4,0 M</v>
      </c>
      <c r="L60" s="700" t="str">
        <f>(IF(H60="Saneago",VLOOKUP(I60,'SANEAGO-FEV.2016'!A:D,3,0),IF(H60="Sinapi",VLOOKUP(I60,'SINAPI-FEV.2017'!A:D,3,0),IF(H60="Cotação",VLOOKUP(I60,COTAÇÃO!A:D,3,0),IF(H60="Composição",VLOOKUP(I60,COMPOSIÇÃO!A:D,3,0))))))</f>
        <v>M3</v>
      </c>
      <c r="M60" s="870">
        <f>ROUND(VLOOKUP(G60,'MC_COLETOR CB'!C:P,13,0),2)</f>
        <v>0</v>
      </c>
      <c r="N60" s="399">
        <f>(IF(H60="Saneago",VLOOKUP(I60,'SANEAGO-FEV.2016'!A:D,4,0),IF(H60="Sinapi",VLOOKUP(I60,'SINAPI-FEV.2017'!A:D,4,0),IF(H60="Cotação",VLOOKUP(I60,COTAÇÃO!A:D,4,0),IF(H60="Composição",VLOOKUP(I60,COMPOSIÇÃO!A:D,4,0))))))</f>
        <v>9.51</v>
      </c>
      <c r="O60" s="102">
        <f t="shared" si="7"/>
        <v>11.62</v>
      </c>
      <c r="P60" s="101">
        <f t="shared" si="8"/>
        <v>0</v>
      </c>
      <c r="Q60" s="1507">
        <v>0</v>
      </c>
      <c r="R60" s="1525"/>
      <c r="S60" s="1521"/>
      <c r="V60" s="1325"/>
      <c r="W60" s="1325"/>
      <c r="X60" s="1325"/>
    </row>
    <row r="61" spans="1:24" s="863" customFormat="1" ht="12.75" hidden="1" customHeight="1">
      <c r="A61" s="1482"/>
      <c r="B61" s="1482"/>
      <c r="C61" s="1483">
        <f t="shared" si="11"/>
        <v>2</v>
      </c>
      <c r="D61" s="1492">
        <f t="shared" si="9"/>
        <v>0</v>
      </c>
      <c r="E61" s="1492">
        <f t="shared" si="10"/>
        <v>4</v>
      </c>
      <c r="F61" s="1526" t="s">
        <v>11708</v>
      </c>
      <c r="G61" s="862" t="s">
        <v>20254</v>
      </c>
      <c r="H61" s="823" t="str">
        <f>VLOOKUP(G61,'MC_COLETOR CB'!C:P,2,0)</f>
        <v>SINAPI</v>
      </c>
      <c r="I61" s="700">
        <f>VLOOKUP(G61,'MC_COLETOR CB'!C:P,3,0)</f>
        <v>93358</v>
      </c>
      <c r="J61" s="824"/>
      <c r="K61" s="790" t="str">
        <f>(IF(H61="Saneago",VLOOKUP(I61,'SANEAGO-FEV.2016'!A:B,2,0),IF(H61="Sinapi",VLOOKUP(I61,'SINAPI-FEV.2017'!A:D,2,0),IF(H61="Cotação",VLOOKUP(I61,COTAÇÃO!A:D,2,0),IF(H61="Composição",VLOOKUP(I61,COMPOSIÇÃO!A:D,2,0))))))</f>
        <v>ESCAVAÇÃO MANUAL DE VALAS. AF_03/2016</v>
      </c>
      <c r="L61" s="700" t="str">
        <f>(IF(H61="Saneago",VLOOKUP(I61,'SANEAGO-FEV.2016'!A:D,3,0),IF(H61="Sinapi",VLOOKUP(I61,'SINAPI-FEV.2017'!A:D,3,0),IF(H61="Cotação",VLOOKUP(I61,COTAÇÃO!A:D,3,0),IF(H61="Composição",VLOOKUP(I61,COMPOSIÇÃO!A:D,3,0))))))</f>
        <v>M3</v>
      </c>
      <c r="M61" s="870">
        <f>ROUND(VLOOKUP(G61,'MC_COLETOR CB'!C:P,13,0),2)</f>
        <v>0</v>
      </c>
      <c r="N61" s="399">
        <f>(IF(H61="Saneago",VLOOKUP(I61,'SANEAGO-FEV.2016'!A:D,4,0),IF(H61="Sinapi",VLOOKUP(I61,'SINAPI-FEV.2017'!A:D,4,0),IF(H61="Cotação",VLOOKUP(I61,COTAÇÃO!A:D,4,0),IF(H61="Composição",VLOOKUP(I61,COMPOSIÇÃO!A:D,4,0))))))</f>
        <v>52.29</v>
      </c>
      <c r="O61" s="102">
        <f t="shared" si="7"/>
        <v>63.87</v>
      </c>
      <c r="P61" s="101">
        <f t="shared" si="8"/>
        <v>0</v>
      </c>
      <c r="Q61" s="1507">
        <v>0</v>
      </c>
      <c r="R61" s="1525"/>
      <c r="S61" s="1521"/>
      <c r="V61" s="1325"/>
      <c r="W61" s="1325"/>
      <c r="X61" s="1325"/>
    </row>
    <row r="62" spans="1:24" s="863" customFormat="1" ht="22.5" hidden="1" customHeight="1">
      <c r="A62" s="1482"/>
      <c r="B62" s="1482"/>
      <c r="C62" s="1483">
        <f t="shared" si="11"/>
        <v>2</v>
      </c>
      <c r="D62" s="1492">
        <f t="shared" si="9"/>
        <v>0</v>
      </c>
      <c r="E62" s="1492">
        <f t="shared" si="10"/>
        <v>4</v>
      </c>
      <c r="F62" s="1526" t="s">
        <v>11708</v>
      </c>
      <c r="G62" s="862" t="s">
        <v>20255</v>
      </c>
      <c r="H62" s="823" t="str">
        <f>VLOOKUP(G62,'MC_COLETOR CB'!C:P,2,0)</f>
        <v>SANEAGO</v>
      </c>
      <c r="I62" s="700">
        <f>VLOOKUP(G62,'MC_COLETOR CB'!C:P,3,0)</f>
        <v>170</v>
      </c>
      <c r="J62" s="824"/>
      <c r="K62" s="790" t="str">
        <f>(IF(H62="Saneago",VLOOKUP(I62,'SANEAGO-FEV.2016'!A:B,2,0),IF(H62="Sinapi",VLOOKUP(I62,'SINAPI-FEV.2017'!A:D,2,0),IF(H62="Cotação",VLOOKUP(I62,COTAÇÃO!A:D,2,0),IF(H62="Composição",VLOOKUP(I62,COMPOSIÇÃO!A:D,2,0))))))</f>
        <v>ESCAVAÇÃO  MANUAL EM VALAS COM MATERIAL DE 2ª CATEGORIA  - PROFUNDIDADE ATÉ 2,0 M</v>
      </c>
      <c r="L62" s="700" t="str">
        <f>(IF(H62="Saneago",VLOOKUP(I62,'SANEAGO-FEV.2016'!A:D,3,0),IF(H62="Sinapi",VLOOKUP(I62,'SINAPI-FEV.2017'!A:D,3,0),IF(H62="Cotação",VLOOKUP(I62,COTAÇÃO!A:D,3,0),IF(H62="Composição",VLOOKUP(I62,COMPOSIÇÃO!A:D,3,0))))))</f>
        <v>M3</v>
      </c>
      <c r="M62" s="870">
        <f>ROUND(VLOOKUP(G62,'MC_COLETOR CB'!C:P,13,0),2)</f>
        <v>0</v>
      </c>
      <c r="N62" s="399">
        <f>(IF(H62="Saneago",VLOOKUP(I62,'SANEAGO-FEV.2016'!A:D,4,0),IF(H62="Sinapi",VLOOKUP(I62,'SINAPI-FEV.2017'!A:D,4,0),IF(H62="Cotação",VLOOKUP(I62,COTAÇÃO!A:D,4,0),IF(H62="Composição",VLOOKUP(I62,COMPOSIÇÃO!A:D,4,0))))))</f>
        <v>55.58</v>
      </c>
      <c r="O62" s="102">
        <f>ROUND(IF(F62="Serviços",N62*(1+$O$7),IF(F62="Materiais",N62*(1+$O$8))),2)</f>
        <v>67.89</v>
      </c>
      <c r="P62" s="101">
        <f>ROUND(M62*O62,2)</f>
        <v>0</v>
      </c>
      <c r="Q62" s="1507">
        <v>0</v>
      </c>
      <c r="R62" s="1525"/>
      <c r="S62" s="1521"/>
      <c r="V62" s="1325"/>
      <c r="W62" s="1325"/>
      <c r="X62" s="1325"/>
    </row>
    <row r="63" spans="1:24" s="863" customFormat="1" ht="22.5" hidden="1" customHeight="1">
      <c r="A63" s="1482"/>
      <c r="B63" s="1482"/>
      <c r="C63" s="1483">
        <f t="shared" si="11"/>
        <v>2</v>
      </c>
      <c r="D63" s="1492">
        <f t="shared" si="9"/>
        <v>0</v>
      </c>
      <c r="E63" s="1492">
        <f t="shared" si="10"/>
        <v>4</v>
      </c>
      <c r="F63" s="1526" t="s">
        <v>11708</v>
      </c>
      <c r="G63" s="862" t="s">
        <v>20256</v>
      </c>
      <c r="H63" s="823" t="str">
        <f>VLOOKUP(G63,'MC_COLETOR CB'!C:P,2,0)</f>
        <v>SANEAGO</v>
      </c>
      <c r="I63" s="700">
        <f>VLOOKUP(G63,'MC_COLETOR CB'!C:P,3,0)</f>
        <v>171</v>
      </c>
      <c r="J63" s="824"/>
      <c r="K63" s="790" t="str">
        <f>(IF(H63="Saneago",VLOOKUP(I63,'SANEAGO-FEV.2016'!A:B,2,0),IF(H63="Sinapi",VLOOKUP(I63,'SINAPI-FEV.2017'!A:D,2,0),IF(H63="Cotação",VLOOKUP(I63,COTAÇÃO!A:D,2,0),IF(H63="Composição",VLOOKUP(I63,COMPOSIÇÃO!A:D,2,0))))))</f>
        <v>ESCAVAÇÃO  MANUAL EM VALAS COM MATERIAL DE 2ª CATEGORIA  - PROFUNDIDADE DE 2,0 A 4,0 M</v>
      </c>
      <c r="L63" s="700" t="str">
        <f>(IF(H63="Saneago",VLOOKUP(I63,'SANEAGO-FEV.2016'!A:D,3,0),IF(H63="Sinapi",VLOOKUP(I63,'SINAPI-FEV.2017'!A:D,3,0),IF(H63="Cotação",VLOOKUP(I63,COTAÇÃO!A:D,3,0),IF(H63="Composição",VLOOKUP(I63,COMPOSIÇÃO!A:D,3,0))))))</f>
        <v>M3</v>
      </c>
      <c r="M63" s="870">
        <f>ROUND(VLOOKUP(G63,'MC_COLETOR CB'!C:P,13,0),2)</f>
        <v>0</v>
      </c>
      <c r="N63" s="399">
        <f>(IF(H63="Saneago",VLOOKUP(I63,'SANEAGO-FEV.2016'!A:D,4,0),IF(H63="Sinapi",VLOOKUP(I63,'SINAPI-FEV.2017'!A:D,4,0),IF(H63="Cotação",VLOOKUP(I63,COTAÇÃO!A:D,4,0),IF(H63="Composição",VLOOKUP(I63,COMPOSIÇÃO!A:D,4,0))))))</f>
        <v>84.57</v>
      </c>
      <c r="O63" s="102">
        <f>ROUND(IF(F63="Serviços",N63*(1+$O$7),IF(F63="Materiais",N63*(1+$O$8))),2)</f>
        <v>103.3</v>
      </c>
      <c r="P63" s="101">
        <f>ROUND(M63*O63,2)</f>
        <v>0</v>
      </c>
      <c r="Q63" s="1507">
        <v>0</v>
      </c>
      <c r="R63" s="1525"/>
      <c r="S63" s="1521"/>
      <c r="V63" s="1325"/>
      <c r="W63" s="1325"/>
      <c r="X63" s="1325"/>
    </row>
    <row r="64" spans="1:24" s="863" customFormat="1" ht="33.75" hidden="1" customHeight="1">
      <c r="A64" s="1482"/>
      <c r="B64" s="1482"/>
      <c r="C64" s="1483">
        <f t="shared" si="11"/>
        <v>2</v>
      </c>
      <c r="D64" s="1492">
        <f t="shared" si="9"/>
        <v>0</v>
      </c>
      <c r="E64" s="1492">
        <f t="shared" si="10"/>
        <v>4</v>
      </c>
      <c r="F64" s="1526" t="s">
        <v>11708</v>
      </c>
      <c r="G64" s="862" t="s">
        <v>20257</v>
      </c>
      <c r="H64" s="823" t="str">
        <f>VLOOKUP(G64,'MC_COLETOR CB'!C:P,2,0)</f>
        <v>SANEAGO</v>
      </c>
      <c r="I64" s="700">
        <f>VLOOKUP(G64,'MC_COLETOR CB'!C:P,3,0)</f>
        <v>172</v>
      </c>
      <c r="J64" s="824"/>
      <c r="K64" s="790" t="str">
        <f>(IF(H64="Saneago",VLOOKUP(I64,'SANEAGO-FEV.2016'!A:B,2,0),IF(H64="Sinapi",VLOOKUP(I64,'SINAPI-FEV.2017'!A:D,2,0),IF(H64="Cotação",VLOOKUP(I64,COTAÇÃO!A:D,2,0),IF(H64="Composição",VLOOKUP(I64,COMPOSIÇÃO!A:D,2,0))))))</f>
        <v>ESCAVAÇÃO   MANUAL   EM  VALAS  COM  MATERIAL   DE  3ª  CATEGORIA   SEM  USO  DE  EXPLOSIVO   COM UTILIZAÇÃO  DE COMPRESSOR E ROMPEDOR  -  PROFUNDIDADE ATÉ 2,0M</v>
      </c>
      <c r="L64" s="700" t="str">
        <f>(IF(H64="Saneago",VLOOKUP(I64,'SANEAGO-FEV.2016'!A:D,3,0),IF(H64="Sinapi",VLOOKUP(I64,'SINAPI-FEV.2017'!A:D,3,0),IF(H64="Cotação",VLOOKUP(I64,COTAÇÃO!A:D,3,0),IF(H64="Composição",VLOOKUP(I64,COMPOSIÇÃO!A:D,3,0))))))</f>
        <v>M3</v>
      </c>
      <c r="M64" s="870">
        <f>ROUND(VLOOKUP(G64,'MC_COLETOR CB'!C:P,13,0),2)</f>
        <v>0</v>
      </c>
      <c r="N64" s="399">
        <f>(IF(H64="Saneago",VLOOKUP(I64,'SANEAGO-FEV.2016'!A:D,4,0),IF(H64="Sinapi",VLOOKUP(I64,'SINAPI-FEV.2017'!A:D,4,0),IF(H64="Cotação",VLOOKUP(I64,COTAÇÃO!A:D,4,0),IF(H64="Composição",VLOOKUP(I64,COMPOSIÇÃO!A:D,4,0))))))</f>
        <v>91.06</v>
      </c>
      <c r="O64" s="102">
        <f t="shared" ref="O64:O71" si="12">ROUND(IF(F64="Serviços",N64*(1+$O$7),IF(F64="Materiais",N64*(1+$O$8))),2)</f>
        <v>111.23</v>
      </c>
      <c r="P64" s="101">
        <f t="shared" ref="P64:P71" si="13">ROUND(M64*O64,2)</f>
        <v>0</v>
      </c>
      <c r="Q64" s="1507">
        <v>0</v>
      </c>
      <c r="R64" s="1525"/>
      <c r="S64" s="1521"/>
      <c r="V64" s="1325"/>
      <c r="W64" s="1325"/>
      <c r="X64" s="1325"/>
    </row>
    <row r="65" spans="1:24" s="863" customFormat="1" ht="33.75" hidden="1" customHeight="1">
      <c r="A65" s="1482"/>
      <c r="B65" s="1482"/>
      <c r="C65" s="1483">
        <f t="shared" si="11"/>
        <v>2</v>
      </c>
      <c r="D65" s="1492">
        <f t="shared" si="9"/>
        <v>0</v>
      </c>
      <c r="E65" s="1492">
        <f t="shared" si="10"/>
        <v>4</v>
      </c>
      <c r="F65" s="1526" t="s">
        <v>11708</v>
      </c>
      <c r="G65" s="862" t="s">
        <v>20258</v>
      </c>
      <c r="H65" s="823" t="str">
        <f>VLOOKUP(G65,'MC_COLETOR CB'!C:P,2,0)</f>
        <v>SANEAGO</v>
      </c>
      <c r="I65" s="700">
        <f>VLOOKUP(G65,'MC_COLETOR CB'!C:P,3,0)</f>
        <v>173</v>
      </c>
      <c r="J65" s="824"/>
      <c r="K65" s="790" t="str">
        <f>(IF(H65="Saneago",VLOOKUP(I65,'SANEAGO-FEV.2016'!A:B,2,0),IF(H65="Sinapi",VLOOKUP(I65,'SINAPI-FEV.2017'!A:D,2,0),IF(H65="Cotação",VLOOKUP(I65,COTAÇÃO!A:D,2,0),IF(H65="Composição",VLOOKUP(I65,COMPOSIÇÃO!A:D,2,0))))))</f>
        <v>ESCAVAÇÃO   MANUAL   EM  VALAS  COM  MATERIAL   DE  3ª  CATEGORIA   SEM  USO  DE  EXPLOSIVO   COM UTILIZAÇÃO  DE COMPRESSOR E ROMPEDOR   - PROFUNDIDADE DE 2,0 A 4,0M</v>
      </c>
      <c r="L65" s="700" t="str">
        <f>(IF(H65="Saneago",VLOOKUP(I65,'SANEAGO-FEV.2016'!A:D,3,0),IF(H65="Sinapi",VLOOKUP(I65,'SINAPI-FEV.2017'!A:D,3,0),IF(H65="Cotação",VLOOKUP(I65,COTAÇÃO!A:D,3,0),IF(H65="Composição",VLOOKUP(I65,COMPOSIÇÃO!A:D,3,0))))))</f>
        <v>M3</v>
      </c>
      <c r="M65" s="870">
        <f>ROUND(VLOOKUP(G65,'MC_COLETOR CB'!C:P,13,0),2)</f>
        <v>0</v>
      </c>
      <c r="N65" s="399">
        <f>(IF(H65="Saneago",VLOOKUP(I65,'SANEAGO-FEV.2016'!A:D,4,0),IF(H65="Sinapi",VLOOKUP(I65,'SINAPI-FEV.2017'!A:D,4,0),IF(H65="Cotação",VLOOKUP(I65,COTAÇÃO!A:D,4,0),IF(H65="Composição",VLOOKUP(I65,COMPOSIÇÃO!A:D,4,0))))))</f>
        <v>112.61</v>
      </c>
      <c r="O65" s="102">
        <f t="shared" si="12"/>
        <v>137.55000000000001</v>
      </c>
      <c r="P65" s="101">
        <f t="shared" si="13"/>
        <v>0</v>
      </c>
      <c r="Q65" s="1507">
        <v>0</v>
      </c>
      <c r="R65" s="1525"/>
      <c r="S65" s="1521"/>
      <c r="V65" s="1325"/>
      <c r="W65" s="1325"/>
      <c r="X65" s="1325"/>
    </row>
    <row r="66" spans="1:24" s="863" customFormat="1" ht="22.5" hidden="1" customHeight="1">
      <c r="A66" s="1482"/>
      <c r="B66" s="1482"/>
      <c r="C66" s="1483">
        <f t="shared" si="11"/>
        <v>2</v>
      </c>
      <c r="D66" s="1492">
        <f t="shared" si="9"/>
        <v>0</v>
      </c>
      <c r="E66" s="1492">
        <f t="shared" si="10"/>
        <v>4</v>
      </c>
      <c r="F66" s="1526" t="s">
        <v>11708</v>
      </c>
      <c r="G66" s="862" t="s">
        <v>20259</v>
      </c>
      <c r="H66" s="823" t="str">
        <f>VLOOKUP(G66,'MC_COLETOR CB'!C:P,2,0)</f>
        <v>SANEAGO</v>
      </c>
      <c r="I66" s="700">
        <f>VLOOKUP(G66,'MC_COLETOR CB'!C:P,3,0)</f>
        <v>176</v>
      </c>
      <c r="J66" s="824"/>
      <c r="K66" s="790" t="str">
        <f>(IF(H66="Saneago",VLOOKUP(I66,'SANEAGO-FEV.2016'!A:B,2,0),IF(H66="Sinapi",VLOOKUP(I66,'SINAPI-FEV.2017'!A:D,2,0),IF(H66="Cotação",VLOOKUP(I66,COTAÇÃO!A:D,2,0),IF(H66="Composição",VLOOKUP(I66,COMPOSIÇÃO!A:D,2,0))))))</f>
        <v>ESCAVAÇÃO  MANUAL EM VALAS COM MATERIAL DE BARRO - LAMA - PROFUNDIDADE ATÉ 2,0M</v>
      </c>
      <c r="L66" s="700" t="str">
        <f>(IF(H66="Saneago",VLOOKUP(I66,'SANEAGO-FEV.2016'!A:D,3,0),IF(H66="Sinapi",VLOOKUP(I66,'SINAPI-FEV.2017'!A:D,3,0),IF(H66="Cotação",VLOOKUP(I66,COTAÇÃO!A:D,3,0),IF(H66="Composição",VLOOKUP(I66,COMPOSIÇÃO!A:D,3,0))))))</f>
        <v>M3</v>
      </c>
      <c r="M66" s="870">
        <f>ROUND(VLOOKUP(G66,'MC_COLETOR CB'!C:P,13,0),2)</f>
        <v>0</v>
      </c>
      <c r="N66" s="399">
        <f>(IF(H66="Saneago",VLOOKUP(I66,'SANEAGO-FEV.2016'!A:D,4,0),IF(H66="Sinapi",VLOOKUP(I66,'SINAPI-FEV.2017'!A:D,4,0),IF(H66="Cotação",VLOOKUP(I66,COTAÇÃO!A:D,4,0),IF(H66="Composição",VLOOKUP(I66,COMPOSIÇÃO!A:D,4,0))))))</f>
        <v>47.89</v>
      </c>
      <c r="O66" s="102">
        <f t="shared" si="12"/>
        <v>58.5</v>
      </c>
      <c r="P66" s="101">
        <f t="shared" si="13"/>
        <v>0</v>
      </c>
      <c r="Q66" s="1507">
        <v>0</v>
      </c>
      <c r="R66" s="1525"/>
      <c r="S66" s="1521"/>
      <c r="V66" s="1325"/>
      <c r="W66" s="1325"/>
      <c r="X66" s="1325"/>
    </row>
    <row r="67" spans="1:24" s="863" customFormat="1" ht="22.5" hidden="1" customHeight="1">
      <c r="A67" s="1482"/>
      <c r="B67" s="1482"/>
      <c r="C67" s="1483">
        <f t="shared" si="11"/>
        <v>2</v>
      </c>
      <c r="D67" s="1492">
        <f t="shared" si="9"/>
        <v>0</v>
      </c>
      <c r="E67" s="1492">
        <f t="shared" si="10"/>
        <v>4</v>
      </c>
      <c r="F67" s="1526" t="s">
        <v>11708</v>
      </c>
      <c r="G67" s="862" t="s">
        <v>20260</v>
      </c>
      <c r="H67" s="823" t="str">
        <f>VLOOKUP(G67,'MC_COLETOR CB'!C:P,2,0)</f>
        <v>SANEAGO</v>
      </c>
      <c r="I67" s="700">
        <f>VLOOKUP(G67,'MC_COLETOR CB'!C:P,3,0)</f>
        <v>177</v>
      </c>
      <c r="J67" s="824"/>
      <c r="K67" s="790" t="str">
        <f>(IF(H67="Saneago",VLOOKUP(I67,'SANEAGO-FEV.2016'!A:B,2,0),IF(H67="Sinapi",VLOOKUP(I67,'SINAPI-FEV.2017'!A:D,2,0),IF(H67="Cotação",VLOOKUP(I67,COTAÇÃO!A:D,2,0),IF(H67="Composição",VLOOKUP(I67,COMPOSIÇÃO!A:D,2,0))))))</f>
        <v>ESCAVAÇÃO  MANUAL EM VALAS COM MATERIAL DE BARRO - LAMA - PROFUNDIDADE DE 2,0 A 4,0M</v>
      </c>
      <c r="L67" s="700" t="str">
        <f>(IF(H67="Saneago",VLOOKUP(I67,'SANEAGO-FEV.2016'!A:D,3,0),IF(H67="Sinapi",VLOOKUP(I67,'SINAPI-FEV.2017'!A:D,3,0),IF(H67="Cotação",VLOOKUP(I67,COTAÇÃO!A:D,3,0),IF(H67="Composição",VLOOKUP(I67,COMPOSIÇÃO!A:D,3,0))))))</f>
        <v>M3</v>
      </c>
      <c r="M67" s="870">
        <f>ROUND(VLOOKUP(G67,'MC_COLETOR CB'!C:P,13,0),2)</f>
        <v>0</v>
      </c>
      <c r="N67" s="399">
        <f>(IF(H67="Saneago",VLOOKUP(I67,'SANEAGO-FEV.2016'!A:D,4,0),IF(H67="Sinapi",VLOOKUP(I67,'SINAPI-FEV.2017'!A:D,4,0),IF(H67="Cotação",VLOOKUP(I67,COTAÇÃO!A:D,4,0),IF(H67="Composição",VLOOKUP(I67,COMPOSIÇÃO!A:D,4,0))))))</f>
        <v>58.46</v>
      </c>
      <c r="O67" s="102">
        <f t="shared" si="12"/>
        <v>71.41</v>
      </c>
      <c r="P67" s="101">
        <f t="shared" si="13"/>
        <v>0</v>
      </c>
      <c r="Q67" s="1507">
        <v>0</v>
      </c>
      <c r="R67" s="1525"/>
      <c r="S67" s="1521"/>
      <c r="V67" s="1325"/>
      <c r="W67" s="1325"/>
      <c r="X67" s="1325"/>
    </row>
    <row r="68" spans="1:24" s="863" customFormat="1" ht="22.5" hidden="1" customHeight="1">
      <c r="A68" s="1482"/>
      <c r="B68" s="1482"/>
      <c r="C68" s="1483">
        <f t="shared" si="11"/>
        <v>2</v>
      </c>
      <c r="D68" s="1492">
        <f t="shared" si="9"/>
        <v>0</v>
      </c>
      <c r="E68" s="1492">
        <f t="shared" si="10"/>
        <v>4</v>
      </c>
      <c r="F68" s="1526" t="s">
        <v>11708</v>
      </c>
      <c r="G68" s="862" t="s">
        <v>20261</v>
      </c>
      <c r="H68" s="823" t="str">
        <f>VLOOKUP(G68,'MC_COLETOR CB'!C:P,2,0)</f>
        <v>SINAPI</v>
      </c>
      <c r="I68" s="700">
        <f>VLOOKUP(G68,'MC_COLETOR CB'!C:P,3,0)</f>
        <v>94097</v>
      </c>
      <c r="J68" s="824"/>
      <c r="K68" s="790" t="str">
        <f>(IF(H68="Saneago",VLOOKUP(I68,'SANEAGO-FEV.2016'!A:B,2,0),IF(H68="Sinapi",VLOOKUP(I68,'SINAPI-FEV.2017'!A:D,2,0),IF(H68="Cotação",VLOOKUP(I68,COTAÇÃO!A:D,2,0),IF(H68="Composição",VLOOKUP(I68,COMPOSIÇÃO!A:D,2,0))))))</f>
        <v>PREPARO DE FUNDO DE VALA COM LARGURA MENOR QUE 1,5 M, EM LOCAL COM NÍVEL BAIXO DE INTERFERÊNCIA. AF_06/2016</v>
      </c>
      <c r="L68" s="700" t="str">
        <f>(IF(H68="Saneago",VLOOKUP(I68,'SANEAGO-FEV.2016'!A:D,3,0),IF(H68="Sinapi",VLOOKUP(I68,'SINAPI-FEV.2017'!A:D,3,0),IF(H68="Cotação",VLOOKUP(I68,COTAÇÃO!A:D,3,0),IF(H68="Composição",VLOOKUP(I68,COMPOSIÇÃO!A:D,3,0))))))</f>
        <v>M2</v>
      </c>
      <c r="M68" s="870">
        <f>ROUND(VLOOKUP(G68,'MC_COLETOR CB'!C:P,13,0),2)</f>
        <v>0</v>
      </c>
      <c r="N68" s="399">
        <f>(IF(H68="Saneago",VLOOKUP(I68,'SANEAGO-FEV.2016'!A:D,4,0),IF(H68="Sinapi",VLOOKUP(I68,'SINAPI-FEV.2017'!A:D,4,0),IF(H68="Cotação",VLOOKUP(I68,COTAÇÃO!A:D,4,0),IF(H68="Composição",VLOOKUP(I68,COMPOSIÇÃO!A:D,4,0))))))</f>
        <v>4.51</v>
      </c>
      <c r="O68" s="102">
        <f>ROUND(IF(F68="Serviços",N68*(1+$O$7),IF(F68="Materiais",N68*(1+$O$8))),2)</f>
        <v>5.51</v>
      </c>
      <c r="P68" s="101">
        <f t="shared" si="13"/>
        <v>0</v>
      </c>
      <c r="Q68" s="1507">
        <v>0</v>
      </c>
      <c r="R68" s="1525"/>
      <c r="S68" s="1521"/>
      <c r="V68" s="1325"/>
      <c r="W68" s="1325"/>
      <c r="X68" s="1325"/>
    </row>
    <row r="69" spans="1:24" s="863" customFormat="1" ht="12.75" hidden="1" customHeight="1">
      <c r="A69" s="1482"/>
      <c r="B69" s="1482"/>
      <c r="C69" s="1483">
        <f t="shared" si="4"/>
        <v>2</v>
      </c>
      <c r="D69" s="1492">
        <f t="shared" ref="D69:E73" si="14">D68+A69</f>
        <v>0</v>
      </c>
      <c r="E69" s="1492">
        <f t="shared" si="14"/>
        <v>4</v>
      </c>
      <c r="F69" s="1526" t="s">
        <v>11708</v>
      </c>
      <c r="G69" s="862" t="s">
        <v>20262</v>
      </c>
      <c r="H69" s="823" t="str">
        <f>VLOOKUP(G69,'MC_COLETOR CB'!C:P,2,0)</f>
        <v>SINAPI</v>
      </c>
      <c r="I69" s="700" t="str">
        <f>VLOOKUP(G69,'MC_COLETOR CB'!C:P,3,0)</f>
        <v>73964/6</v>
      </c>
      <c r="J69" s="824"/>
      <c r="K69" s="790" t="str">
        <f>(IF(H69="Saneago",VLOOKUP(I69,'SANEAGO-FEV.2016'!A:B,2,0),IF(H69="Sinapi",VLOOKUP(I69,'SINAPI-FEV.2017'!A:D,2,0),IF(H69="Cotação",VLOOKUP(I69,COTAÇÃO!A:D,2,0),IF(H69="Composição",VLOOKUP(I69,COMPOSIÇÃO!A:D,2,0))))))</f>
        <v>REATERRO DE VALA COM COMPACTAÇÃO MANUAL</v>
      </c>
      <c r="L69" s="700" t="str">
        <f>(IF(H69="Saneago",VLOOKUP(I69,'SANEAGO-FEV.2016'!A:D,3,0),IF(H69="Sinapi",VLOOKUP(I69,'SINAPI-FEV.2017'!A:D,3,0),IF(H69="Cotação",VLOOKUP(I69,COTAÇÃO!A:D,3,0),IF(H69="Composição",VLOOKUP(I69,COMPOSIÇÃO!A:D,3,0))))))</f>
        <v>M3</v>
      </c>
      <c r="M69" s="870">
        <f>ROUND(VLOOKUP(G69,'MC_COLETOR CB'!C:P,13,0),2)</f>
        <v>0</v>
      </c>
      <c r="N69" s="399">
        <f>(IF(H69="Saneago",VLOOKUP(I69,'SANEAGO-FEV.2016'!A:D,4,0),IF(H69="Sinapi",VLOOKUP(I69,'SINAPI-FEV.2017'!A:D,4,0),IF(H69="Cotação",VLOOKUP(I69,COTAÇÃO!A:D,4,0),IF(H69="Composição",VLOOKUP(I69,COMPOSIÇÃO!A:D,4,0))))))</f>
        <v>39.659999999999997</v>
      </c>
      <c r="O69" s="102">
        <f t="shared" si="12"/>
        <v>48.44</v>
      </c>
      <c r="P69" s="101">
        <f t="shared" si="13"/>
        <v>0</v>
      </c>
      <c r="Q69" s="1507">
        <v>0</v>
      </c>
      <c r="R69" s="1525"/>
      <c r="S69" s="1521"/>
      <c r="V69" s="1325"/>
      <c r="W69" s="1325"/>
      <c r="X69" s="1325"/>
    </row>
    <row r="70" spans="1:24" s="863" customFormat="1" ht="45" hidden="1" customHeight="1">
      <c r="A70" s="1482"/>
      <c r="B70" s="1482"/>
      <c r="C70" s="1483">
        <f t="shared" si="4"/>
        <v>2</v>
      </c>
      <c r="D70" s="1492">
        <f t="shared" si="14"/>
        <v>0</v>
      </c>
      <c r="E70" s="1492">
        <f t="shared" si="14"/>
        <v>4</v>
      </c>
      <c r="F70" s="1526" t="s">
        <v>11708</v>
      </c>
      <c r="G70" s="862" t="s">
        <v>20263</v>
      </c>
      <c r="H70" s="823" t="str">
        <f>VLOOKUP(G70,'MC_COLETOR CB'!C:P,2,0)</f>
        <v>SINAPI</v>
      </c>
      <c r="I70" s="700">
        <f>VLOOKUP(G70,'MC_COLETOR CB'!C:P,3,0)</f>
        <v>93379</v>
      </c>
      <c r="J70" s="824"/>
      <c r="K70" s="790" t="str">
        <f>(IF(H70="Saneago",VLOOKUP(I70,'SANEAGO-FEV.2016'!A:B,2,0),IF(H70="Sinapi",VLOOKUP(I70,'SINAPI-FEV.2017'!A:D,2,0),IF(H70="Cotação",VLOOKUP(I70,COTAÇÃO!A:D,2,0),IF(H70="Composição",VLOOKUP(I70,COMPOSIÇÃO!A:D,2,0))))))</f>
        <v>REATERRO MECANIZADO DE VALA COM RETROESCAVADEIRA (CAPACIDADE DA CAÇAMBA DA RETRO: 0,26 M³ / POTÊNCIA: 88 HP), LARGURA DE 0,8 A 1,5 M, PROFUNDIDADE ATÉ 1,5 M, COM SOLO (SEM SUBSTITUIÇÃO) DE 1ª CATEGORIA EM LOCAIS COM BAIXO NÍVEL DE INTERFERÊNCIA. AF_04/2016</v>
      </c>
      <c r="L70" s="700" t="str">
        <f>(IF(H70="Saneago",VLOOKUP(I70,'SANEAGO-FEV.2016'!A:D,3,0),IF(H70="Sinapi",VLOOKUP(I70,'SINAPI-FEV.2017'!A:D,3,0),IF(H70="Cotação",VLOOKUP(I70,COTAÇÃO!A:D,3,0),IF(H70="Composição",VLOOKUP(I70,COMPOSIÇÃO!A:D,3,0))))))</f>
        <v>M3</v>
      </c>
      <c r="M70" s="870">
        <f>ROUND(VLOOKUP(G70,'MC_COLETOR CB'!C:P,13,0),2)</f>
        <v>0</v>
      </c>
      <c r="N70" s="399">
        <f>(IF(H70="Saneago",VLOOKUP(I70,'SANEAGO-FEV.2016'!A:D,4,0),IF(H70="Sinapi",VLOOKUP(I70,'SINAPI-FEV.2017'!A:D,4,0),IF(H70="Cotação",VLOOKUP(I70,COTAÇÃO!A:D,4,0),IF(H70="Composição",VLOOKUP(I70,COMPOSIÇÃO!A:D,4,0))))))</f>
        <v>18.98</v>
      </c>
      <c r="O70" s="102">
        <f t="shared" si="12"/>
        <v>23.18</v>
      </c>
      <c r="P70" s="101">
        <f t="shared" si="13"/>
        <v>0</v>
      </c>
      <c r="Q70" s="1507">
        <v>0</v>
      </c>
      <c r="R70" s="1525"/>
      <c r="S70" s="1521"/>
      <c r="V70" s="1325"/>
      <c r="W70" s="1325"/>
      <c r="X70" s="1325"/>
    </row>
    <row r="71" spans="1:24" s="863" customFormat="1" ht="45" hidden="1" customHeight="1">
      <c r="A71" s="1482"/>
      <c r="B71" s="1482"/>
      <c r="C71" s="1483">
        <f t="shared" si="4"/>
        <v>2</v>
      </c>
      <c r="D71" s="1492">
        <f t="shared" si="14"/>
        <v>0</v>
      </c>
      <c r="E71" s="1492">
        <f t="shared" si="14"/>
        <v>4</v>
      </c>
      <c r="F71" s="1526" t="s">
        <v>11708</v>
      </c>
      <c r="G71" s="862" t="s">
        <v>20264</v>
      </c>
      <c r="H71" s="823" t="str">
        <f>VLOOKUP(G71,'MC_COLETOR CB'!C:P,2,0)</f>
        <v>SINAPI</v>
      </c>
      <c r="I71" s="700">
        <f>VLOOKUP(G71,'MC_COLETOR CB'!C:P,3,0)</f>
        <v>93381</v>
      </c>
      <c r="J71" s="824"/>
      <c r="K71" s="790" t="str">
        <f>(IF(H71="Saneago",VLOOKUP(I71,'SANEAGO-FEV.2016'!A:B,2,0),IF(H71="Sinapi",VLOOKUP(I71,'SINAPI-FEV.2017'!A:D,2,0),IF(H71="Cotação",VLOOKUP(I71,COTAÇÃO!A:D,2,0),IF(H71="Composição",VLOOKUP(I71,COMPOSIÇÃO!A:D,2,0))))))</f>
        <v>REATERRO MECANIZADO DE VALA COM RETROESCAVADEIRA (CAPACIDADE DA CAÇAMBA DA RETRO: 0,26 M³ / POTÊNCIA: 88 HP), LARGURA DE 0,8 A 1,5 M, PROFUNDIDADE DE 1,5 A 3,0 M, COM SOLO (SEM SUBSTITUIÇÃO) DE 1ª CATEGORIA EM LOCAIS COM BAIXO NÍVEL DE INTERFERÊNCIA. AF_04/2016</v>
      </c>
      <c r="L71" s="700" t="str">
        <f>(IF(H71="Saneago",VLOOKUP(I71,'SANEAGO-FEV.2016'!A:D,3,0),IF(H71="Sinapi",VLOOKUP(I71,'SINAPI-FEV.2017'!A:D,3,0),IF(H71="Cotação",VLOOKUP(I71,COTAÇÃO!A:D,3,0),IF(H71="Composição",VLOOKUP(I71,COMPOSIÇÃO!A:D,3,0))))))</f>
        <v>M3</v>
      </c>
      <c r="M71" s="870">
        <f>ROUND(VLOOKUP(G71,'MC_COLETOR CB'!C:P,13,0),2)</f>
        <v>0</v>
      </c>
      <c r="N71" s="399">
        <f>(IF(H71="Saneago",VLOOKUP(I71,'SANEAGO-FEV.2016'!A:D,4,0),IF(H71="Sinapi",VLOOKUP(I71,'SINAPI-FEV.2017'!A:D,4,0),IF(H71="Cotação",VLOOKUP(I71,COTAÇÃO!A:D,4,0),IF(H71="Composição",VLOOKUP(I71,COMPOSIÇÃO!A:D,4,0))))))</f>
        <v>9.17</v>
      </c>
      <c r="O71" s="102">
        <f t="shared" si="12"/>
        <v>11.2</v>
      </c>
      <c r="P71" s="101">
        <f t="shared" si="13"/>
        <v>0</v>
      </c>
      <c r="Q71" s="1507">
        <v>0</v>
      </c>
      <c r="R71" s="1525"/>
      <c r="S71" s="1521"/>
      <c r="V71" s="1325"/>
      <c r="W71" s="1325"/>
      <c r="X71" s="1325"/>
    </row>
    <row r="72" spans="1:24" s="863" customFormat="1" ht="13.5" hidden="1" customHeight="1" thickBot="1">
      <c r="A72" s="1482"/>
      <c r="B72" s="1482"/>
      <c r="C72" s="1483">
        <f t="shared" si="4"/>
        <v>2</v>
      </c>
      <c r="D72" s="1492">
        <f t="shared" si="14"/>
        <v>0</v>
      </c>
      <c r="E72" s="1492">
        <f t="shared" si="14"/>
        <v>4</v>
      </c>
      <c r="F72" s="1526" t="s">
        <v>11708</v>
      </c>
      <c r="G72" s="862"/>
      <c r="H72" s="823"/>
      <c r="I72" s="700"/>
      <c r="J72" s="824"/>
      <c r="K72" s="790"/>
      <c r="L72" s="700"/>
      <c r="M72" s="870"/>
      <c r="N72" s="399"/>
      <c r="O72" s="344"/>
      <c r="P72" s="342"/>
      <c r="Q72" s="1507"/>
      <c r="R72" s="1525"/>
      <c r="S72" s="1521"/>
      <c r="V72" s="1325"/>
      <c r="W72" s="1325"/>
      <c r="X72" s="1325"/>
    </row>
    <row r="73" spans="1:24" s="863" customFormat="1" ht="14.25" hidden="1" customHeight="1" thickTop="1" thickBot="1">
      <c r="A73" s="1482"/>
      <c r="B73" s="1482"/>
      <c r="C73" s="1483">
        <f t="shared" si="4"/>
        <v>2</v>
      </c>
      <c r="D73" s="1492">
        <f t="shared" si="14"/>
        <v>0</v>
      </c>
      <c r="E73" s="1492">
        <f t="shared" si="14"/>
        <v>4</v>
      </c>
      <c r="F73" s="1526" t="s">
        <v>11708</v>
      </c>
      <c r="G73" s="959"/>
      <c r="H73" s="1538" t="str">
        <f>"TOTAL ITEM: "&amp;J53 &amp;K53</f>
        <v>TOTAL ITEM: 2.0.4 MOVIMENTO DE TERRA</v>
      </c>
      <c r="I73" s="1539"/>
      <c r="J73" s="1539"/>
      <c r="K73" s="1539"/>
      <c r="L73" s="1539"/>
      <c r="M73" s="1539"/>
      <c r="N73" s="718"/>
      <c r="O73" s="718"/>
      <c r="P73" s="343">
        <f>SUBTOTAL(9,P55:P71)</f>
        <v>0</v>
      </c>
      <c r="Q73" s="1507"/>
      <c r="R73" s="1525"/>
      <c r="S73" s="1521"/>
      <c r="V73" s="1325"/>
      <c r="W73" s="1325"/>
      <c r="X73" s="1325"/>
    </row>
    <row r="74" spans="1:24" s="863" customFormat="1" ht="13.5" hidden="1" customHeight="1" thickTop="1">
      <c r="A74" s="1482"/>
      <c r="B74" s="1482"/>
      <c r="C74" s="1483">
        <f t="shared" si="4"/>
        <v>2</v>
      </c>
      <c r="D74" s="1492">
        <f t="shared" si="6"/>
        <v>0</v>
      </c>
      <c r="E74" s="1492">
        <f t="shared" si="5"/>
        <v>4</v>
      </c>
      <c r="F74" s="1526" t="s">
        <v>11708</v>
      </c>
      <c r="G74" s="862"/>
      <c r="H74" s="823"/>
      <c r="I74" s="700"/>
      <c r="J74" s="824"/>
      <c r="K74" s="700"/>
      <c r="L74" s="700"/>
      <c r="M74" s="870"/>
      <c r="N74" s="399"/>
      <c r="O74" s="344"/>
      <c r="P74" s="342"/>
      <c r="Q74" s="1507"/>
      <c r="R74" s="1525"/>
      <c r="S74" s="1521"/>
      <c r="V74" s="1325"/>
      <c r="W74" s="1325"/>
      <c r="X74" s="1325"/>
    </row>
    <row r="75" spans="1:24" s="863" customFormat="1" ht="12.75" hidden="1" customHeight="1">
      <c r="A75" s="1482"/>
      <c r="B75" s="1482">
        <v>1</v>
      </c>
      <c r="C75" s="1483">
        <f t="shared" si="4"/>
        <v>2</v>
      </c>
      <c r="D75" s="1492">
        <f t="shared" si="6"/>
        <v>0</v>
      </c>
      <c r="E75" s="1492">
        <f t="shared" si="5"/>
        <v>5</v>
      </c>
      <c r="F75" s="1526" t="s">
        <v>11708</v>
      </c>
      <c r="G75" s="862"/>
      <c r="H75" s="1527" t="s">
        <v>11703</v>
      </c>
      <c r="I75" s="1528" t="s">
        <v>64</v>
      </c>
      <c r="J75" s="1529" t="str">
        <f>CONCATENATE(C75,".",D75,".",E75)</f>
        <v>2.0.5</v>
      </c>
      <c r="K75" s="1530" t="s">
        <v>14074</v>
      </c>
      <c r="L75" s="1531" t="s">
        <v>25</v>
      </c>
      <c r="M75" s="1532" t="s">
        <v>11704</v>
      </c>
      <c r="N75" s="586" t="s">
        <v>11705</v>
      </c>
      <c r="O75" s="587" t="s">
        <v>11706</v>
      </c>
      <c r="P75" s="588" t="s">
        <v>27</v>
      </c>
      <c r="Q75" s="1507" t="s">
        <v>11704</v>
      </c>
      <c r="R75" s="1525"/>
      <c r="S75" s="1521"/>
      <c r="V75" s="1325"/>
      <c r="W75" s="1325"/>
      <c r="X75" s="1325"/>
    </row>
    <row r="76" spans="1:24" s="863" customFormat="1" ht="12.75" hidden="1" customHeight="1">
      <c r="A76" s="1482"/>
      <c r="B76" s="1482"/>
      <c r="C76" s="1483">
        <f t="shared" si="4"/>
        <v>2</v>
      </c>
      <c r="D76" s="1492">
        <f t="shared" si="6"/>
        <v>0</v>
      </c>
      <c r="E76" s="1492">
        <f t="shared" si="5"/>
        <v>5</v>
      </c>
      <c r="F76" s="1526" t="s">
        <v>11708</v>
      </c>
      <c r="G76" s="862"/>
      <c r="H76" s="823"/>
      <c r="I76" s="700"/>
      <c r="J76" s="824"/>
      <c r="K76" s="700"/>
      <c r="L76" s="700"/>
      <c r="M76" s="870"/>
      <c r="N76" s="399"/>
      <c r="O76" s="344"/>
      <c r="P76" s="342"/>
      <c r="Q76" s="1507"/>
      <c r="R76" s="1525"/>
      <c r="S76" s="1521"/>
      <c r="V76" s="1325"/>
      <c r="W76" s="1325"/>
      <c r="X76" s="1325"/>
    </row>
    <row r="77" spans="1:24" s="863" customFormat="1" ht="12.75" hidden="1" customHeight="1">
      <c r="A77" s="1482"/>
      <c r="B77" s="1482"/>
      <c r="C77" s="1483">
        <f t="shared" si="4"/>
        <v>2</v>
      </c>
      <c r="D77" s="1492">
        <f t="shared" si="6"/>
        <v>0</v>
      </c>
      <c r="E77" s="1492">
        <f t="shared" si="5"/>
        <v>5</v>
      </c>
      <c r="F77" s="1526" t="s">
        <v>11708</v>
      </c>
      <c r="G77" s="862" t="s">
        <v>20274</v>
      </c>
      <c r="H77" s="823" t="str">
        <f>VLOOKUP(G77,'MC_COLETOR CB'!C:P,2,0)</f>
        <v>SANEAGO</v>
      </c>
      <c r="I77" s="700">
        <f>VLOOKUP(G77,'MC_COLETOR CB'!C:P,3,0)</f>
        <v>229</v>
      </c>
      <c r="J77" s="824"/>
      <c r="K77" s="790" t="str">
        <f>(IF(H77="Saneago",VLOOKUP(I77,'SANEAGO-FEV.2016'!A:B,2,0),IF(H77="Sinapi",VLOOKUP(I77,'SINAPI-FEV.2017'!A:D,2,0),IF(H77="Cotação",VLOOKUP(I77,COTAÇÃO!A:D,2,0),IF(H77="Composição",VLOOKUP(I77,COMPOSIÇÃO!A:D,2,0))))))</f>
        <v>FORNECIMENTO E LANCAMENTO DE PEDRA DE MAO</v>
      </c>
      <c r="L77" s="700" t="str">
        <f>(IF(H77="Saneago",VLOOKUP(I77,'SANEAGO-FEV.2016'!A:D,3,0),IF(H77="Sinapi",VLOOKUP(I77,'SINAPI-FEV.2017'!A:D,3,0),IF(H77="Cotação",VLOOKUP(I77,COTAÇÃO!A:D,3,0),IF(H77="Composição",VLOOKUP(I77,COMPOSIÇÃO!A:D,3,0))))))</f>
        <v>M3</v>
      </c>
      <c r="M77" s="870">
        <f>ROUND(VLOOKUP(G77,'MC_COLETOR CB'!C:P,13,0),2)</f>
        <v>0</v>
      </c>
      <c r="N77" s="399">
        <f>(IF(H77="Saneago",VLOOKUP(I77,'SANEAGO-FEV.2016'!A:D,4,0),IF(H77="Sinapi",VLOOKUP(I77,'SINAPI-FEV.2017'!A:D,4,0),IF(H77="Cotação",VLOOKUP(I77,COTAÇÃO!A:D,4,0),IF(H77="Composição",VLOOKUP(I77,COMPOSIÇÃO!A:D,4,0))))))</f>
        <v>124.26</v>
      </c>
      <c r="O77" s="102">
        <f>ROUND(IF(F77="Serviços",N77*(1+$O$7),IF(F77="Materiais",N77*(1+$O$8))),2)</f>
        <v>151.78</v>
      </c>
      <c r="P77" s="101">
        <f>ROUND(M77*O77,2)</f>
        <v>0</v>
      </c>
      <c r="Q77" s="1507">
        <v>0</v>
      </c>
      <c r="R77" s="1525"/>
      <c r="S77" s="1521"/>
      <c r="V77" s="1325"/>
      <c r="W77" s="1325"/>
      <c r="X77" s="1325"/>
    </row>
    <row r="78" spans="1:24" s="863" customFormat="1" ht="12.75" hidden="1" customHeight="1">
      <c r="A78" s="1482"/>
      <c r="B78" s="1482"/>
      <c r="C78" s="1483">
        <f t="shared" ref="C78:C135" si="15">C77</f>
        <v>2</v>
      </c>
      <c r="D78" s="1492">
        <f t="shared" si="6"/>
        <v>0</v>
      </c>
      <c r="E78" s="1492">
        <f t="shared" si="5"/>
        <v>5</v>
      </c>
      <c r="F78" s="1526" t="s">
        <v>11708</v>
      </c>
      <c r="G78" s="862" t="s">
        <v>20284</v>
      </c>
      <c r="H78" s="823" t="str">
        <f>VLOOKUP(G78,'MC_COLETOR CB'!C:P,2,0)</f>
        <v>SANEAGO</v>
      </c>
      <c r="I78" s="700">
        <f>VLOOKUP(G78,'MC_COLETOR CB'!C:P,3,0)</f>
        <v>231</v>
      </c>
      <c r="J78" s="824"/>
      <c r="K78" s="790" t="str">
        <f>(IF(H78="Saneago",VLOOKUP(I78,'SANEAGO-FEV.2016'!A:B,2,0),IF(H78="Sinapi",VLOOKUP(I78,'SINAPI-FEV.2017'!A:D,2,0),IF(H78="Cotação",VLOOKUP(I78,COTAÇÃO!A:D,2,0),IF(H78="Composição",VLOOKUP(I78,COMPOSIÇÃO!A:D,2,0))))))</f>
        <v>LASTRO DE BRITA</v>
      </c>
      <c r="L78" s="700" t="str">
        <f>(IF(H78="Saneago",VLOOKUP(I78,'SANEAGO-FEV.2016'!A:D,3,0),IF(H78="Sinapi",VLOOKUP(I78,'SINAPI-FEV.2017'!A:D,3,0),IF(H78="Cotação",VLOOKUP(I78,COTAÇÃO!A:D,3,0),IF(H78="Composição",VLOOKUP(I78,COMPOSIÇÃO!A:D,3,0))))))</f>
        <v>M3</v>
      </c>
      <c r="M78" s="870">
        <f>ROUND(VLOOKUP(G78,'MC_COLETOR CB'!C:P,13,0),2)</f>
        <v>0</v>
      </c>
      <c r="N78" s="399">
        <f>(IF(H78="Saneago",VLOOKUP(I78,'SANEAGO-FEV.2016'!A:D,4,0),IF(H78="Sinapi",VLOOKUP(I78,'SINAPI-FEV.2017'!A:D,4,0),IF(H78="Cotação",VLOOKUP(I78,COTAÇÃO!A:D,4,0),IF(H78="Composição",VLOOKUP(I78,COMPOSIÇÃO!A:D,4,0))))))</f>
        <v>71.709999999999994</v>
      </c>
      <c r="O78" s="102">
        <f>ROUND(IF(F78="Serviços",N78*(1+$O$7),IF(F78="Materiais",N78*(1+$O$8))),2)</f>
        <v>87.59</v>
      </c>
      <c r="P78" s="101">
        <f>ROUND(M78*O78,2)</f>
        <v>0</v>
      </c>
      <c r="Q78" s="1507">
        <v>0</v>
      </c>
      <c r="R78" s="1525"/>
      <c r="S78" s="1521"/>
      <c r="V78" s="1325"/>
      <c r="W78" s="1325"/>
      <c r="X78" s="1325"/>
    </row>
    <row r="79" spans="1:24" s="863" customFormat="1" ht="13.5" hidden="1" customHeight="1" thickBot="1">
      <c r="A79" s="1482"/>
      <c r="B79" s="1482"/>
      <c r="C79" s="1483">
        <f t="shared" si="15"/>
        <v>2</v>
      </c>
      <c r="D79" s="1492">
        <f t="shared" si="6"/>
        <v>0</v>
      </c>
      <c r="E79" s="1492">
        <f t="shared" si="5"/>
        <v>5</v>
      </c>
      <c r="F79" s="1526" t="s">
        <v>11708</v>
      </c>
      <c r="G79" s="905"/>
      <c r="H79" s="823"/>
      <c r="I79" s="700"/>
      <c r="J79" s="824"/>
      <c r="K79" s="700"/>
      <c r="L79" s="700"/>
      <c r="M79" s="870"/>
      <c r="N79" s="399"/>
      <c r="O79" s="344"/>
      <c r="P79" s="342"/>
      <c r="Q79" s="1507"/>
      <c r="R79" s="1525"/>
      <c r="S79" s="1521"/>
      <c r="V79" s="1325"/>
      <c r="W79" s="1325"/>
      <c r="X79" s="1325"/>
    </row>
    <row r="80" spans="1:24" s="863" customFormat="1" ht="14.25" hidden="1" customHeight="1" thickTop="1" thickBot="1">
      <c r="A80" s="1482"/>
      <c r="B80" s="1482"/>
      <c r="C80" s="1483">
        <f t="shared" si="15"/>
        <v>2</v>
      </c>
      <c r="D80" s="1492">
        <f t="shared" si="6"/>
        <v>0</v>
      </c>
      <c r="E80" s="1492">
        <f t="shared" si="5"/>
        <v>5</v>
      </c>
      <c r="F80" s="1526" t="s">
        <v>11708</v>
      </c>
      <c r="G80" s="862"/>
      <c r="H80" s="1538" t="str">
        <f>"TOTAL ITEM: "&amp;J75 &amp;K75</f>
        <v>TOTAL ITEM: 2.0.5REFORÇO DO FUNDO DE VALA</v>
      </c>
      <c r="I80" s="1539"/>
      <c r="J80" s="1539"/>
      <c r="K80" s="1539"/>
      <c r="L80" s="1539"/>
      <c r="M80" s="1539"/>
      <c r="N80" s="718"/>
      <c r="O80" s="718"/>
      <c r="P80" s="343">
        <f>SUBTOTAL(9,P77:P78)</f>
        <v>0</v>
      </c>
      <c r="Q80" s="1507"/>
      <c r="R80" s="1525"/>
      <c r="S80" s="1521"/>
      <c r="V80" s="1325"/>
      <c r="W80" s="1325"/>
      <c r="X80" s="1325"/>
    </row>
    <row r="81" spans="1:24" s="863" customFormat="1" ht="13.5" hidden="1" customHeight="1" thickTop="1">
      <c r="A81" s="1482"/>
      <c r="B81" s="1482"/>
      <c r="C81" s="1483">
        <f t="shared" si="15"/>
        <v>2</v>
      </c>
      <c r="D81" s="1492">
        <f t="shared" si="6"/>
        <v>0</v>
      </c>
      <c r="E81" s="1492">
        <f t="shared" si="5"/>
        <v>5</v>
      </c>
      <c r="F81" s="1526" t="s">
        <v>11708</v>
      </c>
      <c r="G81" s="862"/>
      <c r="H81" s="823"/>
      <c r="I81" s="700"/>
      <c r="J81" s="824"/>
      <c r="K81" s="700"/>
      <c r="L81" s="700"/>
      <c r="M81" s="870"/>
      <c r="N81" s="399"/>
      <c r="O81" s="344"/>
      <c r="P81" s="342"/>
      <c r="Q81" s="1507"/>
      <c r="R81" s="1525"/>
      <c r="S81" s="1521"/>
      <c r="V81" s="1325"/>
      <c r="W81" s="1325"/>
      <c r="X81" s="1325"/>
    </row>
    <row r="82" spans="1:24" s="863" customFormat="1" ht="12.75" hidden="1" customHeight="1">
      <c r="A82" s="1482"/>
      <c r="B82" s="1482">
        <v>1</v>
      </c>
      <c r="C82" s="1483">
        <f t="shared" si="15"/>
        <v>2</v>
      </c>
      <c r="D82" s="1492">
        <f t="shared" si="6"/>
        <v>0</v>
      </c>
      <c r="E82" s="1492">
        <f t="shared" si="5"/>
        <v>6</v>
      </c>
      <c r="F82" s="1526" t="s">
        <v>11708</v>
      </c>
      <c r="G82" s="862"/>
      <c r="H82" s="1527" t="s">
        <v>11703</v>
      </c>
      <c r="I82" s="1528" t="s">
        <v>64</v>
      </c>
      <c r="J82" s="1529" t="str">
        <f>CONCATENATE(C82,".",D82,".",E82)</f>
        <v>2.0.6</v>
      </c>
      <c r="K82" s="1530" t="s">
        <v>13981</v>
      </c>
      <c r="L82" s="1531" t="s">
        <v>25</v>
      </c>
      <c r="M82" s="1532" t="s">
        <v>11704</v>
      </c>
      <c r="N82" s="586" t="s">
        <v>11705</v>
      </c>
      <c r="O82" s="587" t="s">
        <v>11706</v>
      </c>
      <c r="P82" s="588" t="s">
        <v>27</v>
      </c>
      <c r="Q82" s="1507" t="s">
        <v>11704</v>
      </c>
      <c r="R82" s="1525"/>
      <c r="S82" s="1521"/>
      <c r="V82" s="1325"/>
      <c r="W82" s="1325"/>
      <c r="X82" s="1325"/>
    </row>
    <row r="83" spans="1:24" s="863" customFormat="1" ht="12.75" hidden="1" customHeight="1">
      <c r="A83" s="1482"/>
      <c r="B83" s="1482"/>
      <c r="C83" s="1483">
        <f t="shared" si="15"/>
        <v>2</v>
      </c>
      <c r="D83" s="1492">
        <f t="shared" si="6"/>
        <v>0</v>
      </c>
      <c r="E83" s="1492">
        <f t="shared" si="5"/>
        <v>6</v>
      </c>
      <c r="F83" s="1526" t="s">
        <v>11708</v>
      </c>
      <c r="G83" s="862"/>
      <c r="H83" s="823"/>
      <c r="I83" s="700"/>
      <c r="J83" s="824"/>
      <c r="K83" s="700"/>
      <c r="L83" s="700"/>
      <c r="M83" s="870"/>
      <c r="N83" s="399"/>
      <c r="O83" s="344"/>
      <c r="P83" s="342"/>
      <c r="Q83" s="1507"/>
      <c r="R83" s="1525"/>
      <c r="S83" s="1521"/>
      <c r="V83" s="1325"/>
      <c r="W83" s="1325"/>
      <c r="X83" s="1325"/>
    </row>
    <row r="84" spans="1:24" s="863" customFormat="1" ht="33.75" hidden="1" customHeight="1">
      <c r="A84" s="1482"/>
      <c r="B84" s="1482"/>
      <c r="C84" s="1483">
        <f t="shared" si="15"/>
        <v>2</v>
      </c>
      <c r="D84" s="1492">
        <f t="shared" si="6"/>
        <v>0</v>
      </c>
      <c r="E84" s="1492">
        <f t="shared" si="5"/>
        <v>6</v>
      </c>
      <c r="F84" s="1526" t="s">
        <v>11708</v>
      </c>
      <c r="G84" s="862" t="s">
        <v>20283</v>
      </c>
      <c r="H84" s="823" t="str">
        <f>VLOOKUP(G84,'MC_COLETOR CB'!C:P,2,0)</f>
        <v>SINAPI</v>
      </c>
      <c r="I84" s="700" t="str">
        <f>VLOOKUP(G84,'MC_COLETOR CB'!C:P,3,0)</f>
        <v>74010/1</v>
      </c>
      <c r="J84" s="824"/>
      <c r="K84" s="790" t="str">
        <f>(IF(H84="Saneago",VLOOKUP(I84,'SANEAGO-FEV.2016'!A:B,2,0),IF(H84="Sinapi",VLOOKUP(I84,'SINAPI-FEV.2017'!A:D,2,0),IF(H84="Cotação",VLOOKUP(I84,COTAÇÃO!A:D,2,0),IF(H84="Composição",VLOOKUP(I84,COMPOSIÇÃO!A:D,2,0))))))</f>
        <v>CARGA E DESCARGA MECANICA DE SOLO UTILIZANDO CAMINHAO BASCULANTE 6,0M3/16T E PA CARREGADEIRA SOBRE PNEUS 128 HP, CAPACIDADE DA CAÇAMBA 1,7 A 2,8 M3, PESO OPERACIONAL 11632 KG</v>
      </c>
      <c r="L84" s="700" t="str">
        <f>(IF(H84="Saneago",VLOOKUP(I84,'SANEAGO-FEV.2016'!A:D,3,0),IF(H84="Sinapi",VLOOKUP(I84,'SINAPI-FEV.2017'!A:D,3,0),IF(H84="Cotação",VLOOKUP(I84,COTAÇÃO!A:D,3,0),IF(H84="Composição",VLOOKUP(I84,COMPOSIÇÃO!A:D,3,0))))))</f>
        <v>M3</v>
      </c>
      <c r="M84" s="870">
        <f>ROUND(VLOOKUP(G84,'MC_COLETOR CB'!C:P,13,0),2)</f>
        <v>0</v>
      </c>
      <c r="N84" s="399">
        <f>(IF(H84="Saneago",VLOOKUP(I84,'SANEAGO-FEV.2016'!A:D,4,0),IF(H84="Sinapi",VLOOKUP(I84,'SINAPI-FEV.2017'!A:D,4,0),IF(H84="Cotação",VLOOKUP(I84,COTAÇÃO!A:D,4,0),IF(H84="Composição",VLOOKUP(I84,COMPOSIÇÃO!A:D,4,0))))))</f>
        <v>1.76</v>
      </c>
      <c r="O84" s="102">
        <f>ROUND(IF(F84="Serviços",N84*(1+$O$7),IF(F84="Materiais",N84*(1+$O$8))),2)</f>
        <v>2.15</v>
      </c>
      <c r="P84" s="101">
        <f>ROUND(M84*O84,2)</f>
        <v>0</v>
      </c>
      <c r="Q84" s="1507">
        <v>0</v>
      </c>
      <c r="R84" s="1525"/>
      <c r="S84" s="1521"/>
      <c r="V84" s="1325"/>
      <c r="W84" s="1325"/>
      <c r="X84" s="1325"/>
    </row>
    <row r="85" spans="1:24" s="863" customFormat="1" ht="22.5" hidden="1" customHeight="1">
      <c r="A85" s="1482"/>
      <c r="B85" s="1482"/>
      <c r="C85" s="1483">
        <f t="shared" si="15"/>
        <v>2</v>
      </c>
      <c r="D85" s="1492">
        <f t="shared" si="6"/>
        <v>0</v>
      </c>
      <c r="E85" s="1492">
        <f t="shared" si="5"/>
        <v>6</v>
      </c>
      <c r="F85" s="1526" t="s">
        <v>11708</v>
      </c>
      <c r="G85" s="862" t="s">
        <v>20265</v>
      </c>
      <c r="H85" s="823" t="str">
        <f>VLOOKUP(G85,'MC_COLETOR CB'!C:P,2,0)</f>
        <v>SINAPI</v>
      </c>
      <c r="I85" s="700">
        <f>VLOOKUP(G85,'MC_COLETOR CB'!C:P,3,0)</f>
        <v>95302</v>
      </c>
      <c r="J85" s="824"/>
      <c r="K85" s="790" t="str">
        <f>(IF(H85="Saneago",VLOOKUP(I85,'SANEAGO-FEV.2016'!A:B,2,0),IF(H85="Sinapi",VLOOKUP(I85,'SINAPI-FEV.2017'!A:D,2,0),IF(H85="Cotação",VLOOKUP(I85,COTAÇÃO!A:D,2,0),IF(H85="Composição",VLOOKUP(I85,COMPOSIÇÃO!A:D,2,0))))))</f>
        <v>TRANSPORTE COM CAMINHÃO BASCULANTE 6 M3 EM RODOVIA PAVIMENTADA ( PARA DISTÂNCIAS SUPERIORES A 4 KM)</v>
      </c>
      <c r="L85" s="700" t="str">
        <f>(IF(H85="Saneago",VLOOKUP(I85,'SANEAGO-FEV.2016'!A:D,3,0),IF(H85="Sinapi",VLOOKUP(I85,'SINAPI-FEV.2017'!A:D,3,0),IF(H85="Cotação",VLOOKUP(I85,COTAÇÃO!A:D,3,0),IF(H85="Composição",VLOOKUP(I85,COMPOSIÇÃO!A:D,3,0))))))</f>
        <v>M3XKM</v>
      </c>
      <c r="M85" s="870">
        <f>ROUND(VLOOKUP(G85,'MC_COLETOR CB'!C:P,13,0),2)</f>
        <v>0</v>
      </c>
      <c r="N85" s="399">
        <f>(IF(H85="Saneago",VLOOKUP(I85,'SANEAGO-FEV.2016'!A:D,4,0),IF(H85="Sinapi",VLOOKUP(I85,'SINAPI-FEV.2017'!A:D,4,0),IF(H85="Cotação",VLOOKUP(I85,COTAÇÃO!A:D,4,0),IF(H85="Composição",VLOOKUP(I85,COMPOSIÇÃO!A:D,4,0))))))</f>
        <v>1.33</v>
      </c>
      <c r="O85" s="102">
        <f>ROUND(IF(F85="Serviços",N85*(1+$O$7),IF(F85="Materiais",N85*(1+$O$8))),2)</f>
        <v>1.62</v>
      </c>
      <c r="P85" s="101">
        <f>ROUND(M85*O85,2)</f>
        <v>0</v>
      </c>
      <c r="Q85" s="1507">
        <v>0</v>
      </c>
      <c r="R85" s="1525"/>
      <c r="S85" s="1521"/>
      <c r="V85" s="1325"/>
      <c r="W85" s="1325"/>
      <c r="X85" s="1325"/>
    </row>
    <row r="86" spans="1:24" s="863" customFormat="1" ht="22.5" hidden="1" customHeight="1">
      <c r="A86" s="1482"/>
      <c r="B86" s="1482"/>
      <c r="C86" s="1483">
        <f t="shared" si="15"/>
        <v>2</v>
      </c>
      <c r="D86" s="1492">
        <f t="shared" si="6"/>
        <v>0</v>
      </c>
      <c r="E86" s="1492">
        <f t="shared" si="5"/>
        <v>6</v>
      </c>
      <c r="F86" s="1526" t="s">
        <v>11708</v>
      </c>
      <c r="G86" s="862" t="s">
        <v>20266</v>
      </c>
      <c r="H86" s="823" t="str">
        <f>VLOOKUP(G86,'MC_COLETOR CB'!C:P,2,0)</f>
        <v>SINAPI</v>
      </c>
      <c r="I86" s="700">
        <f>VLOOKUP(G86,'MC_COLETOR CB'!C:P,3,0)</f>
        <v>83344</v>
      </c>
      <c r="J86" s="824"/>
      <c r="K86" s="790" t="str">
        <f>(IF(H86="Saneago",VLOOKUP(I86,'SANEAGO-FEV.2016'!A:B,2,0),IF(H86="Sinapi",VLOOKUP(I86,'SINAPI-FEV.2017'!A:D,2,0),IF(H86="Cotação",VLOOKUP(I86,COTAÇÃO!A:D,2,0),IF(H86="Composição",VLOOKUP(I86,COMPOSIÇÃO!A:D,2,0))))))</f>
        <v>ESPALHAMENTO DE MATERIAL EM BOTA FORA, COM UTILIZACAO DE TRATOR DE ESTEIRAS DE 165 HP</v>
      </c>
      <c r="L86" s="700" t="str">
        <f>(IF(H86="Saneago",VLOOKUP(I86,'SANEAGO-FEV.2016'!A:D,3,0),IF(H86="Sinapi",VLOOKUP(I86,'SINAPI-FEV.2017'!A:D,3,0),IF(H86="Cotação",VLOOKUP(I86,COTAÇÃO!A:D,3,0),IF(H86="Composição",VLOOKUP(I86,COMPOSIÇÃO!A:D,3,0))))))</f>
        <v>M3</v>
      </c>
      <c r="M86" s="870">
        <f>ROUND(VLOOKUP(G86,'MC_COLETOR CB'!C:P,13,0),2)</f>
        <v>0</v>
      </c>
      <c r="N86" s="399">
        <f>(IF(H86="Saneago",VLOOKUP(I86,'SANEAGO-FEV.2016'!A:D,4,0),IF(H86="Sinapi",VLOOKUP(I86,'SINAPI-FEV.2017'!A:D,4,0),IF(H86="Cotação",VLOOKUP(I86,COTAÇÃO!A:D,4,0),IF(H86="Composição",VLOOKUP(I86,COMPOSIÇÃO!A:D,4,0))))))</f>
        <v>1.02</v>
      </c>
      <c r="O86" s="102">
        <f>ROUND(IF(F86="Serviços",N86*(1+$O$7),IF(F86="Materiais",N86*(1+$O$8))),2)</f>
        <v>1.25</v>
      </c>
      <c r="P86" s="101">
        <f>ROUND(M86*O86,2)</f>
        <v>0</v>
      </c>
      <c r="Q86" s="1507">
        <v>0</v>
      </c>
      <c r="R86" s="1525"/>
      <c r="S86" s="1521"/>
      <c r="V86" s="1325"/>
      <c r="W86" s="1325"/>
      <c r="X86" s="1325"/>
    </row>
    <row r="87" spans="1:24" s="863" customFormat="1" ht="13.5" hidden="1" customHeight="1" thickBot="1">
      <c r="A87" s="1482"/>
      <c r="B87" s="1482"/>
      <c r="C87" s="1483">
        <f t="shared" si="15"/>
        <v>2</v>
      </c>
      <c r="D87" s="1492">
        <f t="shared" si="6"/>
        <v>0</v>
      </c>
      <c r="E87" s="1492">
        <f t="shared" si="5"/>
        <v>6</v>
      </c>
      <c r="F87" s="1526" t="s">
        <v>11708</v>
      </c>
      <c r="G87" s="905"/>
      <c r="H87" s="823"/>
      <c r="I87" s="700"/>
      <c r="J87" s="824"/>
      <c r="K87" s="700"/>
      <c r="L87" s="700"/>
      <c r="M87" s="870"/>
      <c r="N87" s="399"/>
      <c r="O87" s="344"/>
      <c r="P87" s="342"/>
      <c r="Q87" s="1507"/>
      <c r="R87" s="1525"/>
      <c r="S87" s="1521"/>
      <c r="V87" s="1325"/>
      <c r="W87" s="1325"/>
      <c r="X87" s="1325"/>
    </row>
    <row r="88" spans="1:24" s="863" customFormat="1" ht="14.25" hidden="1" customHeight="1" thickTop="1" thickBot="1">
      <c r="A88" s="1482"/>
      <c r="B88" s="1482"/>
      <c r="C88" s="1483">
        <f t="shared" si="15"/>
        <v>2</v>
      </c>
      <c r="D88" s="1492">
        <f t="shared" si="6"/>
        <v>0</v>
      </c>
      <c r="E88" s="1492">
        <f t="shared" si="5"/>
        <v>6</v>
      </c>
      <c r="F88" s="1526" t="s">
        <v>11708</v>
      </c>
      <c r="G88" s="862"/>
      <c r="H88" s="1538" t="str">
        <f>"TOTAL ITEM: "&amp;J82 &amp;K82</f>
        <v>TOTAL ITEM: 2.0.6CARGA, TRANSPORTES E DESCARGA DE MATERIAL (BOTA-FORA)</v>
      </c>
      <c r="I88" s="1539"/>
      <c r="J88" s="1539"/>
      <c r="K88" s="1539"/>
      <c r="L88" s="1539"/>
      <c r="M88" s="1539"/>
      <c r="N88" s="718"/>
      <c r="O88" s="718"/>
      <c r="P88" s="343">
        <f>SUBTOTAL(9,P84:P86)</f>
        <v>0</v>
      </c>
      <c r="Q88" s="1507"/>
      <c r="R88" s="1525"/>
      <c r="S88" s="1521"/>
      <c r="V88" s="1325"/>
      <c r="W88" s="1325"/>
      <c r="X88" s="1325"/>
    </row>
    <row r="89" spans="1:24" s="863" customFormat="1" ht="13.5" hidden="1" customHeight="1" thickTop="1">
      <c r="A89" s="1482"/>
      <c r="B89" s="1482"/>
      <c r="C89" s="1483">
        <f t="shared" si="15"/>
        <v>2</v>
      </c>
      <c r="D89" s="1492">
        <f t="shared" si="6"/>
        <v>0</v>
      </c>
      <c r="E89" s="1492">
        <f t="shared" si="5"/>
        <v>6</v>
      </c>
      <c r="F89" s="1526" t="s">
        <v>11708</v>
      </c>
      <c r="G89" s="862"/>
      <c r="H89" s="823"/>
      <c r="I89" s="700"/>
      <c r="J89" s="824"/>
      <c r="K89" s="700"/>
      <c r="L89" s="700"/>
      <c r="M89" s="870"/>
      <c r="N89" s="399"/>
      <c r="O89" s="344"/>
      <c r="P89" s="342"/>
      <c r="Q89" s="1507"/>
      <c r="R89" s="1525"/>
      <c r="S89" s="1521"/>
      <c r="V89" s="1325"/>
      <c r="W89" s="1325"/>
      <c r="X89" s="1325"/>
    </row>
    <row r="90" spans="1:24" s="863" customFormat="1" ht="12.75" hidden="1" customHeight="1">
      <c r="A90" s="1482"/>
      <c r="B90" s="1482">
        <v>1</v>
      </c>
      <c r="C90" s="1483">
        <f t="shared" si="15"/>
        <v>2</v>
      </c>
      <c r="D90" s="1492">
        <f t="shared" si="6"/>
        <v>0</v>
      </c>
      <c r="E90" s="1492">
        <f t="shared" si="5"/>
        <v>7</v>
      </c>
      <c r="F90" s="1526" t="s">
        <v>11708</v>
      </c>
      <c r="G90" s="862"/>
      <c r="H90" s="1527" t="s">
        <v>11703</v>
      </c>
      <c r="I90" s="1528" t="s">
        <v>64</v>
      </c>
      <c r="J90" s="1529" t="str">
        <f>CONCATENATE(C90,".",D90,".",E90)</f>
        <v>2.0.7</v>
      </c>
      <c r="K90" s="1530" t="s">
        <v>14043</v>
      </c>
      <c r="L90" s="1531" t="s">
        <v>25</v>
      </c>
      <c r="M90" s="1532" t="s">
        <v>11704</v>
      </c>
      <c r="N90" s="586" t="s">
        <v>11705</v>
      </c>
      <c r="O90" s="587" t="s">
        <v>11706</v>
      </c>
      <c r="P90" s="588" t="s">
        <v>27</v>
      </c>
      <c r="Q90" s="1507" t="s">
        <v>11704</v>
      </c>
      <c r="R90" s="1525"/>
      <c r="S90" s="1521"/>
      <c r="V90" s="1325"/>
      <c r="W90" s="1325"/>
      <c r="X90" s="1325"/>
    </row>
    <row r="91" spans="1:24" s="863" customFormat="1" ht="12.75" hidden="1" customHeight="1">
      <c r="A91" s="1482"/>
      <c r="B91" s="1482"/>
      <c r="C91" s="1483">
        <f t="shared" si="15"/>
        <v>2</v>
      </c>
      <c r="D91" s="1492">
        <f t="shared" ref="D91:D148" si="16">D90+A91</f>
        <v>0</v>
      </c>
      <c r="E91" s="1492">
        <f t="shared" ref="E91:E148" si="17">E90+B91</f>
        <v>7</v>
      </c>
      <c r="F91" s="1526" t="s">
        <v>11708</v>
      </c>
      <c r="G91" s="862"/>
      <c r="H91" s="823"/>
      <c r="I91" s="700"/>
      <c r="J91" s="824"/>
      <c r="K91" s="700"/>
      <c r="L91" s="700"/>
      <c r="M91" s="870"/>
      <c r="N91" s="399"/>
      <c r="O91" s="344"/>
      <c r="P91" s="342"/>
      <c r="Q91" s="1507"/>
      <c r="R91" s="1525"/>
      <c r="S91" s="1521"/>
      <c r="V91" s="1325"/>
      <c r="W91" s="1325"/>
      <c r="X91" s="1325"/>
    </row>
    <row r="92" spans="1:24" s="863" customFormat="1" ht="12.75" hidden="1" customHeight="1">
      <c r="A92" s="1482"/>
      <c r="B92" s="1482"/>
      <c r="C92" s="1483">
        <f t="shared" si="15"/>
        <v>2</v>
      </c>
      <c r="D92" s="1492">
        <f t="shared" si="16"/>
        <v>0</v>
      </c>
      <c r="E92" s="1492">
        <f t="shared" si="17"/>
        <v>7</v>
      </c>
      <c r="F92" s="1526" t="s">
        <v>11708</v>
      </c>
      <c r="G92" s="862" t="s">
        <v>20267</v>
      </c>
      <c r="H92" s="823" t="str">
        <f>VLOOKUP(G92,'MC_COLETOR CB'!C:P,2,0)</f>
        <v>SANEAGO</v>
      </c>
      <c r="I92" s="700">
        <f>VLOOKUP(G92,'MC_COLETOR CB'!C:P,3,0)</f>
        <v>232</v>
      </c>
      <c r="J92" s="824"/>
      <c r="K92" s="790" t="str">
        <f>(IF(H92="Saneago",VLOOKUP(I92,'SANEAGO-FEV.2016'!A:B,2,0),IF(H92="Sinapi",VLOOKUP(I92,'SINAPI-FEV.2017'!A:D,2,0),IF(H92="Cotação",VLOOKUP(I92,COTAÇÃO!A:D,2,0),IF(H92="Composição",VLOOKUP(I92,COMPOSIÇÃO!A:D,2,0))))))</f>
        <v>AQUISIÇÃO  DE MATERIAL DE JAZIDA</v>
      </c>
      <c r="L92" s="700" t="str">
        <f>(IF(H92="Saneago",VLOOKUP(I92,'SANEAGO-FEV.2016'!A:D,3,0),IF(H92="Sinapi",VLOOKUP(I92,'SINAPI-FEV.2017'!A:D,3,0),IF(H92="Cotação",VLOOKUP(I92,COTAÇÃO!A:D,3,0),IF(H92="Composição",VLOOKUP(I92,COMPOSIÇÃO!A:D,3,0))))))</f>
        <v>M3</v>
      </c>
      <c r="M92" s="870">
        <f>ROUND(VLOOKUP(G92,'MC_COLETOR CB'!C:P,13,0),2)</f>
        <v>0</v>
      </c>
      <c r="N92" s="399">
        <f>(IF(H92="Saneago",VLOOKUP(I92,'SANEAGO-FEV.2016'!A:D,4,0),IF(H92="Sinapi",VLOOKUP(I92,'SINAPI-FEV.2017'!A:D,4,0),IF(H92="Cotação",VLOOKUP(I92,COTAÇÃO!A:D,4,0),IF(H92="Composição",VLOOKUP(I92,COMPOSIÇÃO!A:D,4,0))))))</f>
        <v>1.46</v>
      </c>
      <c r="O92" s="102">
        <f>ROUND(IF(F92="Serviços",N92*(1+$O$7),IF(F92="Materiais",N92*(1+$O$8))),2)</f>
        <v>1.78</v>
      </c>
      <c r="P92" s="101">
        <f>ROUND(M92*O92,2)</f>
        <v>0</v>
      </c>
      <c r="Q92" s="1507">
        <v>0</v>
      </c>
      <c r="R92" s="1525"/>
      <c r="S92" s="1521"/>
      <c r="V92" s="1325"/>
      <c r="W92" s="1325"/>
      <c r="X92" s="1325"/>
    </row>
    <row r="93" spans="1:24" s="863" customFormat="1" ht="22.5" hidden="1" customHeight="1">
      <c r="A93" s="1482"/>
      <c r="B93" s="1482"/>
      <c r="C93" s="1483">
        <f t="shared" si="15"/>
        <v>2</v>
      </c>
      <c r="D93" s="1492">
        <f t="shared" si="16"/>
        <v>0</v>
      </c>
      <c r="E93" s="1492">
        <f t="shared" si="17"/>
        <v>7</v>
      </c>
      <c r="F93" s="1526" t="s">
        <v>11708</v>
      </c>
      <c r="G93" s="862" t="s">
        <v>20268</v>
      </c>
      <c r="H93" s="823" t="str">
        <f>VLOOKUP(G93,'MC_COLETOR CB'!C:P,2,0)</f>
        <v>SANEAGO</v>
      </c>
      <c r="I93" s="700">
        <f>VLOOKUP(G93,'MC_COLETOR CB'!C:P,3,0)</f>
        <v>233</v>
      </c>
      <c r="J93" s="824"/>
      <c r="K93" s="790" t="str">
        <f>(IF(H93="Saneago",VLOOKUP(I93,'SANEAGO-FEV.2016'!A:B,2,0),IF(H93="Sinapi",VLOOKUP(I93,'SINAPI-FEV.2017'!A:D,2,0),IF(H93="Cotação",VLOOKUP(I93,COTAÇÃO!A:D,2,0),IF(H93="Composição",VLOOKUP(I93,COMPOSIÇÃO!A:D,2,0))))))</f>
        <v>ESCAVAÇÃO  E CARGA DE MATERIAL DE JAZIDA (COM TRATOR E PÁ CARREGADEIRA)</v>
      </c>
      <c r="L93" s="700" t="str">
        <f>(IF(H93="Saneago",VLOOKUP(I93,'SANEAGO-FEV.2016'!A:D,3,0),IF(H93="Sinapi",VLOOKUP(I93,'SINAPI-FEV.2017'!A:D,3,0),IF(H93="Cotação",VLOOKUP(I93,COTAÇÃO!A:D,3,0),IF(H93="Composição",VLOOKUP(I93,COMPOSIÇÃO!A:D,3,0))))))</f>
        <v>M3</v>
      </c>
      <c r="M93" s="870">
        <f>ROUND(VLOOKUP(G93,'MC_COLETOR CB'!C:P,13,0),2)</f>
        <v>0</v>
      </c>
      <c r="N93" s="399">
        <f>(IF(H93="Saneago",VLOOKUP(I93,'SANEAGO-FEV.2016'!A:D,4,0),IF(H93="Sinapi",VLOOKUP(I93,'SINAPI-FEV.2017'!A:D,4,0),IF(H93="Cotação",VLOOKUP(I93,COTAÇÃO!A:D,4,0),IF(H93="Composição",VLOOKUP(I93,COMPOSIÇÃO!A:D,4,0))))))</f>
        <v>4.3499999999999996</v>
      </c>
      <c r="O93" s="102">
        <f>ROUND(IF(F93="Serviços",N93*(1+$O$7),IF(F93="Materiais",N93*(1+$O$8))),2)</f>
        <v>5.31</v>
      </c>
      <c r="P93" s="101">
        <f>ROUND(M93*O93,2)</f>
        <v>0</v>
      </c>
      <c r="Q93" s="1507">
        <v>0</v>
      </c>
      <c r="R93" s="1525"/>
      <c r="S93" s="1521"/>
      <c r="V93" s="1325"/>
      <c r="W93" s="1325"/>
      <c r="X93" s="1325"/>
    </row>
    <row r="94" spans="1:24" s="863" customFormat="1" ht="22.5" hidden="1" customHeight="1">
      <c r="A94" s="1482"/>
      <c r="B94" s="1482"/>
      <c r="C94" s="1483">
        <f t="shared" si="15"/>
        <v>2</v>
      </c>
      <c r="D94" s="1492">
        <f t="shared" si="16"/>
        <v>0</v>
      </c>
      <c r="E94" s="1492">
        <f t="shared" si="17"/>
        <v>7</v>
      </c>
      <c r="F94" s="1526" t="s">
        <v>11708</v>
      </c>
      <c r="G94" s="862" t="s">
        <v>20269</v>
      </c>
      <c r="H94" s="823" t="str">
        <f>VLOOKUP(G94,'MC_COLETOR CB'!C:P,2,0)</f>
        <v>SANEAGO</v>
      </c>
      <c r="I94" s="700">
        <f>VLOOKUP(G94,'MC_COLETOR CB'!C:P,3,0)</f>
        <v>246</v>
      </c>
      <c r="J94" s="824"/>
      <c r="K94" s="790" t="str">
        <f>(IF(H94="Saneago",VLOOKUP(I94,'SANEAGO-FEV.2016'!A:B,2,0),IF(H94="Sinapi",VLOOKUP(I94,'SINAPI-FEV.2017'!A:D,2,0),IF(H94="Cotação",VLOOKUP(I94,COTAÇÃO!A:D,2,0),IF(H94="Composição",VLOOKUP(I94,COMPOSIÇÃO!A:D,2,0))))))</f>
        <v>TRANSPORTE E DESCARGA  DE MATERIAL DE 1ª OU 2ª CATEGORIA  (M3 X KM) - EM CAMINHÃO  BASCULANTE CAP. 6 M3 - COM EMPOLAMENTO</v>
      </c>
      <c r="L94" s="700" t="str">
        <f>(IF(H94="Saneago",VLOOKUP(I94,'SANEAGO-FEV.2016'!A:D,3,0),IF(H94="Sinapi",VLOOKUP(I94,'SINAPI-FEV.2017'!A:D,3,0),IF(H94="Cotação",VLOOKUP(I94,COTAÇÃO!A:D,3,0),IF(H94="Composição",VLOOKUP(I94,COMPOSIÇÃO!A:D,3,0))))))</f>
        <v>M3XKM</v>
      </c>
      <c r="M94" s="870">
        <f>ROUND(VLOOKUP(G94,'MC_COLETOR CB'!C:P,13,0),2)</f>
        <v>0</v>
      </c>
      <c r="N94" s="399">
        <f>(IF(H94="Saneago",VLOOKUP(I94,'SANEAGO-FEV.2016'!A:D,4,0),IF(H94="Sinapi",VLOOKUP(I94,'SINAPI-FEV.2017'!A:D,4,0),IF(H94="Cotação",VLOOKUP(I94,COTAÇÃO!A:D,4,0),IF(H94="Composição",VLOOKUP(I94,COMPOSIÇÃO!A:D,4,0))))))</f>
        <v>1.91</v>
      </c>
      <c r="O94" s="102">
        <f>ROUND(IF(F94="Serviços",N94*(1+$O$7),IF(F94="Materiais",N94*(1+$O$8))),2)</f>
        <v>2.33</v>
      </c>
      <c r="P94" s="101">
        <f>ROUND(M94*O94,2)</f>
        <v>0</v>
      </c>
      <c r="Q94" s="1507">
        <v>0</v>
      </c>
      <c r="R94" s="1525"/>
      <c r="S94" s="1521"/>
      <c r="V94" s="1325"/>
      <c r="W94" s="1325"/>
      <c r="X94" s="1325"/>
    </row>
    <row r="95" spans="1:24" s="863" customFormat="1" ht="13.5" hidden="1" customHeight="1" thickBot="1">
      <c r="A95" s="1482"/>
      <c r="B95" s="1482"/>
      <c r="C95" s="1483">
        <f t="shared" si="15"/>
        <v>2</v>
      </c>
      <c r="D95" s="1492">
        <f t="shared" si="16"/>
        <v>0</v>
      </c>
      <c r="E95" s="1492">
        <f t="shared" si="17"/>
        <v>7</v>
      </c>
      <c r="F95" s="1526" t="s">
        <v>11708</v>
      </c>
      <c r="G95" s="862"/>
      <c r="H95" s="823"/>
      <c r="I95" s="700"/>
      <c r="J95" s="824"/>
      <c r="K95" s="700"/>
      <c r="L95" s="700"/>
      <c r="M95" s="870"/>
      <c r="N95" s="399"/>
      <c r="O95" s="344"/>
      <c r="P95" s="342"/>
      <c r="Q95" s="1507"/>
      <c r="R95" s="1525"/>
      <c r="S95" s="1521"/>
      <c r="V95" s="1325"/>
      <c r="W95" s="1325"/>
      <c r="X95" s="1325"/>
    </row>
    <row r="96" spans="1:24" s="863" customFormat="1" ht="14.25" hidden="1" customHeight="1" thickTop="1" thickBot="1">
      <c r="A96" s="1482"/>
      <c r="B96" s="1482"/>
      <c r="C96" s="1483">
        <f t="shared" si="15"/>
        <v>2</v>
      </c>
      <c r="D96" s="1492">
        <f t="shared" si="16"/>
        <v>0</v>
      </c>
      <c r="E96" s="1492">
        <f t="shared" si="17"/>
        <v>7</v>
      </c>
      <c r="F96" s="1526" t="s">
        <v>11708</v>
      </c>
      <c r="G96" s="862"/>
      <c r="H96" s="1538" t="str">
        <f>"TOTAL ITEM: "&amp;J90 &amp;K90</f>
        <v>TOTAL ITEM: 2.0.7 CARGA, TRANSPORTES E DESCARGA DE MATERIAL (JAZIDA)</v>
      </c>
      <c r="I96" s="1539"/>
      <c r="J96" s="1539"/>
      <c r="K96" s="1539"/>
      <c r="L96" s="1539"/>
      <c r="M96" s="1539"/>
      <c r="N96" s="718"/>
      <c r="O96" s="718"/>
      <c r="P96" s="343">
        <f>SUBTOTAL(9,P92:P94)</f>
        <v>0</v>
      </c>
      <c r="Q96" s="1507"/>
      <c r="R96" s="1525"/>
      <c r="S96" s="1521"/>
      <c r="V96" s="1325"/>
      <c r="W96" s="1325"/>
      <c r="X96" s="1325"/>
    </row>
    <row r="97" spans="1:24" s="863" customFormat="1" ht="13.5" hidden="1" customHeight="1" thickTop="1">
      <c r="A97" s="1482"/>
      <c r="B97" s="1482"/>
      <c r="C97" s="1483">
        <f t="shared" si="15"/>
        <v>2</v>
      </c>
      <c r="D97" s="1492">
        <f t="shared" si="16"/>
        <v>0</v>
      </c>
      <c r="E97" s="1492">
        <f t="shared" si="17"/>
        <v>7</v>
      </c>
      <c r="F97" s="1526" t="s">
        <v>11708</v>
      </c>
      <c r="G97" s="862"/>
      <c r="H97" s="823"/>
      <c r="I97" s="700"/>
      <c r="J97" s="824"/>
      <c r="K97" s="700"/>
      <c r="L97" s="700"/>
      <c r="M97" s="870"/>
      <c r="N97" s="399"/>
      <c r="O97" s="344"/>
      <c r="P97" s="342"/>
      <c r="Q97" s="1507"/>
      <c r="R97" s="1525"/>
      <c r="S97" s="1521"/>
      <c r="V97" s="1325"/>
      <c r="W97" s="1325"/>
      <c r="X97" s="1325"/>
    </row>
    <row r="98" spans="1:24" s="863" customFormat="1" ht="12.75" hidden="1" customHeight="1">
      <c r="A98" s="1482"/>
      <c r="B98" s="1482">
        <v>1</v>
      </c>
      <c r="C98" s="1483">
        <f t="shared" si="15"/>
        <v>2</v>
      </c>
      <c r="D98" s="1492">
        <f t="shared" si="16"/>
        <v>0</v>
      </c>
      <c r="E98" s="1492">
        <f t="shared" si="17"/>
        <v>8</v>
      </c>
      <c r="F98" s="1526" t="s">
        <v>11708</v>
      </c>
      <c r="G98" s="862"/>
      <c r="H98" s="1527" t="s">
        <v>11703</v>
      </c>
      <c r="I98" s="1528" t="s">
        <v>64</v>
      </c>
      <c r="J98" s="1529" t="str">
        <f>CONCATENATE(C98,".",D98,".",E98)</f>
        <v>2.0.8</v>
      </c>
      <c r="K98" s="1530" t="s">
        <v>13990</v>
      </c>
      <c r="L98" s="1531" t="s">
        <v>25</v>
      </c>
      <c r="M98" s="1532" t="s">
        <v>11704</v>
      </c>
      <c r="N98" s="586" t="s">
        <v>11705</v>
      </c>
      <c r="O98" s="587" t="s">
        <v>11706</v>
      </c>
      <c r="P98" s="588" t="s">
        <v>27</v>
      </c>
      <c r="Q98" s="1507" t="s">
        <v>11704</v>
      </c>
      <c r="R98" s="1525"/>
      <c r="S98" s="1521"/>
      <c r="V98" s="1325"/>
      <c r="W98" s="1325"/>
      <c r="X98" s="1325"/>
    </row>
    <row r="99" spans="1:24" s="863" customFormat="1" ht="12.75" hidden="1" customHeight="1">
      <c r="A99" s="1482"/>
      <c r="B99" s="1482"/>
      <c r="C99" s="1483">
        <f t="shared" si="15"/>
        <v>2</v>
      </c>
      <c r="D99" s="1492">
        <f t="shared" si="16"/>
        <v>0</v>
      </c>
      <c r="E99" s="1492">
        <f t="shared" si="17"/>
        <v>8</v>
      </c>
      <c r="F99" s="1526" t="s">
        <v>11708</v>
      </c>
      <c r="G99" s="862"/>
      <c r="H99" s="823"/>
      <c r="I99" s="700"/>
      <c r="J99" s="824"/>
      <c r="K99" s="700"/>
      <c r="L99" s="700"/>
      <c r="M99" s="870"/>
      <c r="N99" s="399"/>
      <c r="O99" s="344"/>
      <c r="P99" s="342"/>
      <c r="Q99" s="1507"/>
      <c r="R99" s="1525"/>
      <c r="S99" s="1521"/>
      <c r="V99" s="1325"/>
      <c r="W99" s="1325"/>
      <c r="X99" s="1325"/>
    </row>
    <row r="100" spans="1:24" s="863" customFormat="1" ht="33.75" hidden="1" customHeight="1">
      <c r="A100" s="1482"/>
      <c r="B100" s="1482"/>
      <c r="C100" s="1483">
        <f t="shared" si="15"/>
        <v>2</v>
      </c>
      <c r="D100" s="1492">
        <f t="shared" si="16"/>
        <v>0</v>
      </c>
      <c r="E100" s="1492">
        <f t="shared" si="17"/>
        <v>8</v>
      </c>
      <c r="F100" s="1526" t="s">
        <v>11708</v>
      </c>
      <c r="G100" s="862" t="s">
        <v>20270</v>
      </c>
      <c r="H100" s="823" t="str">
        <f>VLOOKUP(G100,'MC_COLETOR CB'!C:P,2,0)</f>
        <v>SINAPI</v>
      </c>
      <c r="I100" s="700">
        <f>VLOOKUP(G100,'MC_COLETOR CB'!C:P,3,0)</f>
        <v>94043</v>
      </c>
      <c r="J100" s="824"/>
      <c r="K100" s="790" t="str">
        <f>(IF(H100="Saneago",VLOOKUP(I100,'SANEAGO-FEV.2016'!A:B,2,0),IF(H100="Sinapi",VLOOKUP(I100,'SINAPI-FEV.2017'!A:D,2,0),IF(H100="Cotação",VLOOKUP(I100,COTAÇÃO!A:D,2,0),IF(H100="Composição",VLOOKUP(I100,COMPOSIÇÃO!A:D,2,0))))))</f>
        <v>ESCORAMENTO DE VALA, TIPO PONTALETEAMENTO, COM PROFUNDIDADE DE 0 A 1,5 M, LARGURA MENOR QUE 1,5 M, EM LOCAL COM NÍVEL BAIXO DE INTERFERÊNCIA. AF_06/2016</v>
      </c>
      <c r="L100" s="700" t="str">
        <f>(IF(H100="Saneago",VLOOKUP(I100,'SANEAGO-FEV.2016'!A:D,3,0),IF(H100="Sinapi",VLOOKUP(I100,'SINAPI-FEV.2017'!A:D,3,0),IF(H100="Cotação",VLOOKUP(I100,COTAÇÃO!A:D,3,0),IF(H100="Composição",VLOOKUP(I100,COMPOSIÇÃO!A:D,3,0))))))</f>
        <v>M2</v>
      </c>
      <c r="M100" s="870">
        <f>ROUND(VLOOKUP(G100,'MC_COLETOR CB'!C:P,13,0),2)</f>
        <v>0</v>
      </c>
      <c r="N100" s="399">
        <f>(IF(H100="Saneago",VLOOKUP(I100,'SANEAGO-FEV.2016'!A:D,4,0),IF(H100="Sinapi",VLOOKUP(I100,'SINAPI-FEV.2017'!A:D,4,0),IF(H100="Cotação",VLOOKUP(I100,COTAÇÃO!A:D,4,0),IF(H100="Composição",VLOOKUP(I100,COMPOSIÇÃO!A:D,4,0))))))</f>
        <v>14.48</v>
      </c>
      <c r="O100" s="102">
        <f>ROUND(IF(F100="Serviços",N100*(1+$O$7),IF(F100="Materiais",N100*(1+$O$8))),2)</f>
        <v>17.690000000000001</v>
      </c>
      <c r="P100" s="101">
        <f>ROUND(M100*O100,2)</f>
        <v>0</v>
      </c>
      <c r="Q100" s="1507">
        <v>0</v>
      </c>
      <c r="R100" s="1525"/>
      <c r="S100" s="1521"/>
      <c r="V100" s="1325"/>
      <c r="W100" s="1325"/>
      <c r="X100" s="1325"/>
    </row>
    <row r="101" spans="1:24" s="863" customFormat="1" ht="22.5" hidden="1" customHeight="1">
      <c r="A101" s="1482"/>
      <c r="B101" s="1482"/>
      <c r="C101" s="1483">
        <f t="shared" si="15"/>
        <v>2</v>
      </c>
      <c r="D101" s="1492">
        <f t="shared" si="16"/>
        <v>0</v>
      </c>
      <c r="E101" s="1492">
        <f t="shared" si="17"/>
        <v>8</v>
      </c>
      <c r="F101" s="1526" t="s">
        <v>11708</v>
      </c>
      <c r="G101" s="862" t="s">
        <v>20271</v>
      </c>
      <c r="H101" s="823" t="str">
        <f>VLOOKUP(G101,'MC_COLETOR CB'!C:P,2,0)</f>
        <v>SINAPI</v>
      </c>
      <c r="I101" s="700">
        <f>VLOOKUP(G101,'MC_COLETOR CB'!C:P,3,0)</f>
        <v>94045</v>
      </c>
      <c r="J101" s="824"/>
      <c r="K101" s="790" t="str">
        <f>(IF(H101="Saneago",VLOOKUP(I101,'SANEAGO-FEV.2016'!A:B,2,0),IF(H101="Sinapi",VLOOKUP(I101,'SINAPI-FEV.2017'!A:D,2,0),IF(H101="Cotação",VLOOKUP(I101,COTAÇÃO!A:D,2,0),IF(H101="Composição",VLOOKUP(I101,COMPOSIÇÃO!A:D,2,0))))))</f>
        <v>ESCORAMENTO DE VALA, TIPO PONTALETEAMENTO, COM PROFUNDIDADE DE 1,5 A 3,0 M, LARGURA MENOR QUE 1,5 M, EM LOCAL COM NÍVEL BAIXO DE INTERFERÊNCIA. AF_06/2016</v>
      </c>
      <c r="L101" s="700" t="str">
        <f>(IF(H101="Saneago",VLOOKUP(I101,'SANEAGO-FEV.2016'!A:D,3,0),IF(H101="Sinapi",VLOOKUP(I101,'SINAPI-FEV.2017'!A:D,3,0),IF(H101="Cotação",VLOOKUP(I101,COTAÇÃO!A:D,3,0),IF(H101="Composição",VLOOKUP(I101,COMPOSIÇÃO!A:D,3,0))))))</f>
        <v>M2</v>
      </c>
      <c r="M101" s="870">
        <f>ROUND(VLOOKUP(G101,'MC_COLETOR CB'!C:P,13,0),2)</f>
        <v>0</v>
      </c>
      <c r="N101" s="399">
        <f>(IF(H101="Saneago",VLOOKUP(I101,'SANEAGO-FEV.2016'!A:D,4,0),IF(H101="Sinapi",VLOOKUP(I101,'SINAPI-FEV.2017'!A:D,4,0),IF(H101="Cotação",VLOOKUP(I101,COTAÇÃO!A:D,4,0),IF(H101="Composição",VLOOKUP(I101,COMPOSIÇÃO!A:D,4,0))))))</f>
        <v>11.26</v>
      </c>
      <c r="O101" s="102">
        <f>ROUND(IF(F101="Serviços",N101*(1+$O$7),IF(F101="Materiais",N101*(1+$O$8))),2)</f>
        <v>13.75</v>
      </c>
      <c r="P101" s="101">
        <f>ROUND(M101*O101,2)</f>
        <v>0</v>
      </c>
      <c r="Q101" s="1507">
        <v>0</v>
      </c>
      <c r="R101" s="1525"/>
      <c r="S101" s="1521"/>
      <c r="V101" s="1325"/>
      <c r="W101" s="1325"/>
      <c r="X101" s="1325"/>
    </row>
    <row r="102" spans="1:24" s="863" customFormat="1" ht="22.5" hidden="1" customHeight="1">
      <c r="A102" s="1482"/>
      <c r="B102" s="1482"/>
      <c r="C102" s="1483">
        <f t="shared" si="15"/>
        <v>2</v>
      </c>
      <c r="D102" s="1492">
        <f t="shared" ref="D102:E105" si="18">D101+A102</f>
        <v>0</v>
      </c>
      <c r="E102" s="1492">
        <f t="shared" si="18"/>
        <v>8</v>
      </c>
      <c r="F102" s="1526" t="s">
        <v>11708</v>
      </c>
      <c r="G102" s="862" t="s">
        <v>20272</v>
      </c>
      <c r="H102" s="823" t="str">
        <f>VLOOKUP(G102,'MC_COLETOR CB'!C:P,2,0)</f>
        <v>SINAPI</v>
      </c>
      <c r="I102" s="700" t="str">
        <f>VLOOKUP(G102,'MC_COLETOR CB'!C:P,3,0)</f>
        <v>73877/2</v>
      </c>
      <c r="J102" s="824"/>
      <c r="K102" s="790" t="str">
        <f>(IF(H102="Saneago",VLOOKUP(I102,'SANEAGO-FEV.2016'!A:B,2,0),IF(H102="Sinapi",VLOOKUP(I102,'SINAPI-FEV.2017'!A:D,2,0),IF(H102="Cotação",VLOOKUP(I102,COTAÇÃO!A:D,2,0),IF(H102="Composição",VLOOKUP(I102,COMPOSIÇÃO!A:D,2,0))))))</f>
        <v>ESCORAMENTO DE VALAS COM PRANCHOES METALICOS - AREA NAO CRAVADA</v>
      </c>
      <c r="L102" s="700" t="str">
        <f>(IF(H102="Saneago",VLOOKUP(I102,'SANEAGO-FEV.2016'!A:D,3,0),IF(H102="Sinapi",VLOOKUP(I102,'SINAPI-FEV.2017'!A:D,3,0),IF(H102="Cotação",VLOOKUP(I102,COTAÇÃO!A:D,3,0),IF(H102="Composição",VLOOKUP(I102,COMPOSIÇÃO!A:D,3,0))))))</f>
        <v>M2</v>
      </c>
      <c r="M102" s="870">
        <f>ROUND(VLOOKUP(G102,'MC_COLETOR CB'!C:P,13,0),2)</f>
        <v>0</v>
      </c>
      <c r="N102" s="399">
        <f>(IF(H102="Saneago",VLOOKUP(I102,'SANEAGO-FEV.2016'!A:D,4,0),IF(H102="Sinapi",VLOOKUP(I102,'SINAPI-FEV.2017'!A:D,4,0),IF(H102="Cotação",VLOOKUP(I102,COTAÇÃO!A:D,4,0),IF(H102="Composição",VLOOKUP(I102,COMPOSIÇÃO!A:D,4,0))))))</f>
        <v>36.270000000000003</v>
      </c>
      <c r="O102" s="102">
        <f>ROUND(IF(F102="Serviços",N102*(1+$O$7),IF(F102="Materiais",N102*(1+$O$8))),2)</f>
        <v>44.3</v>
      </c>
      <c r="P102" s="101">
        <f>ROUND(M102*O102,2)</f>
        <v>0</v>
      </c>
      <c r="Q102" s="1507">
        <v>0</v>
      </c>
      <c r="R102" s="1525"/>
      <c r="S102" s="1521"/>
      <c r="V102" s="1325"/>
      <c r="W102" s="1325"/>
      <c r="X102" s="1325"/>
    </row>
    <row r="103" spans="1:24" s="863" customFormat="1" ht="13.5" hidden="1" customHeight="1" thickBot="1">
      <c r="A103" s="1482"/>
      <c r="B103" s="1482"/>
      <c r="C103" s="1483">
        <f t="shared" si="15"/>
        <v>2</v>
      </c>
      <c r="D103" s="1492">
        <f t="shared" si="18"/>
        <v>0</v>
      </c>
      <c r="E103" s="1492">
        <f t="shared" si="18"/>
        <v>8</v>
      </c>
      <c r="F103" s="1526" t="s">
        <v>11708</v>
      </c>
      <c r="G103" s="862"/>
      <c r="H103" s="823"/>
      <c r="I103" s="700"/>
      <c r="J103" s="824"/>
      <c r="K103" s="700"/>
      <c r="L103" s="700"/>
      <c r="M103" s="870"/>
      <c r="N103" s="399"/>
      <c r="O103" s="344"/>
      <c r="P103" s="342"/>
      <c r="Q103" s="1507"/>
      <c r="R103" s="1525"/>
      <c r="S103" s="1521"/>
      <c r="V103" s="1325"/>
      <c r="W103" s="1325"/>
      <c r="X103" s="1325"/>
    </row>
    <row r="104" spans="1:24" s="863" customFormat="1" ht="14.25" hidden="1" customHeight="1" thickTop="1" thickBot="1">
      <c r="A104" s="1482"/>
      <c r="B104" s="1482"/>
      <c r="C104" s="1483">
        <f t="shared" si="15"/>
        <v>2</v>
      </c>
      <c r="D104" s="1492">
        <f t="shared" si="18"/>
        <v>0</v>
      </c>
      <c r="E104" s="1492">
        <f t="shared" si="18"/>
        <v>8</v>
      </c>
      <c r="F104" s="1526" t="s">
        <v>11708</v>
      </c>
      <c r="G104" s="862"/>
      <c r="H104" s="1538" t="str">
        <f>"TOTAL ITEM: "&amp;J98 &amp;K98</f>
        <v>TOTAL ITEM: 2.0.8ESCORAMENTO</v>
      </c>
      <c r="I104" s="1539"/>
      <c r="J104" s="1539"/>
      <c r="K104" s="1539"/>
      <c r="L104" s="1539"/>
      <c r="M104" s="1539"/>
      <c r="N104" s="718"/>
      <c r="O104" s="718"/>
      <c r="P104" s="343">
        <f>SUBTOTAL(9,P100:P102)</f>
        <v>0</v>
      </c>
      <c r="Q104" s="1507"/>
      <c r="R104" s="1525"/>
      <c r="S104" s="1521"/>
      <c r="V104" s="1325"/>
      <c r="W104" s="1325"/>
      <c r="X104" s="1325"/>
    </row>
    <row r="105" spans="1:24" s="863" customFormat="1" ht="13.5" hidden="1" customHeight="1" thickTop="1">
      <c r="A105" s="1482"/>
      <c r="B105" s="1482"/>
      <c r="C105" s="1483">
        <f t="shared" si="15"/>
        <v>2</v>
      </c>
      <c r="D105" s="1492">
        <f t="shared" si="18"/>
        <v>0</v>
      </c>
      <c r="E105" s="1492">
        <f t="shared" si="18"/>
        <v>8</v>
      </c>
      <c r="F105" s="1526" t="s">
        <v>11708</v>
      </c>
      <c r="G105" s="862"/>
      <c r="H105" s="823"/>
      <c r="I105" s="700"/>
      <c r="J105" s="824"/>
      <c r="K105" s="700"/>
      <c r="L105" s="700"/>
      <c r="M105" s="870"/>
      <c r="N105" s="399"/>
      <c r="O105" s="344"/>
      <c r="P105" s="342"/>
      <c r="Q105" s="1507"/>
      <c r="R105" s="1525"/>
      <c r="S105" s="1521"/>
      <c r="V105" s="1325"/>
      <c r="W105" s="1325"/>
      <c r="X105" s="1325"/>
    </row>
    <row r="106" spans="1:24" s="863" customFormat="1" ht="12.75" hidden="1" customHeight="1">
      <c r="A106" s="1482"/>
      <c r="B106" s="1482">
        <v>1</v>
      </c>
      <c r="C106" s="1483">
        <f t="shared" si="15"/>
        <v>2</v>
      </c>
      <c r="D106" s="1492">
        <f t="shared" si="16"/>
        <v>0</v>
      </c>
      <c r="E106" s="1492">
        <f t="shared" si="17"/>
        <v>9</v>
      </c>
      <c r="F106" s="1526" t="s">
        <v>11708</v>
      </c>
      <c r="G106" s="862"/>
      <c r="H106" s="1527" t="s">
        <v>11703</v>
      </c>
      <c r="I106" s="1528" t="s">
        <v>64</v>
      </c>
      <c r="J106" s="1529" t="str">
        <f>CONCATENATE(C106,".",D106,".",E106)</f>
        <v>2.0.9</v>
      </c>
      <c r="K106" s="1530" t="s">
        <v>13996</v>
      </c>
      <c r="L106" s="1531" t="s">
        <v>25</v>
      </c>
      <c r="M106" s="1532" t="s">
        <v>11704</v>
      </c>
      <c r="N106" s="586" t="s">
        <v>11705</v>
      </c>
      <c r="O106" s="587" t="s">
        <v>11706</v>
      </c>
      <c r="P106" s="588" t="s">
        <v>27</v>
      </c>
      <c r="Q106" s="1507" t="s">
        <v>11704</v>
      </c>
      <c r="R106" s="1525"/>
      <c r="S106" s="1521"/>
      <c r="V106" s="1325"/>
      <c r="W106" s="1325"/>
      <c r="X106" s="1325"/>
    </row>
    <row r="107" spans="1:24" s="863" customFormat="1" ht="12.75" hidden="1" customHeight="1">
      <c r="A107" s="1482"/>
      <c r="B107" s="1482"/>
      <c r="C107" s="1483">
        <f t="shared" si="15"/>
        <v>2</v>
      </c>
      <c r="D107" s="1492">
        <f t="shared" si="16"/>
        <v>0</v>
      </c>
      <c r="E107" s="1492">
        <f t="shared" si="17"/>
        <v>9</v>
      </c>
      <c r="F107" s="1526" t="s">
        <v>11708</v>
      </c>
      <c r="G107" s="862"/>
      <c r="H107" s="823"/>
      <c r="I107" s="700"/>
      <c r="J107" s="824"/>
      <c r="K107" s="700"/>
      <c r="L107" s="700"/>
      <c r="M107" s="870"/>
      <c r="N107" s="399"/>
      <c r="O107" s="344"/>
      <c r="P107" s="342"/>
      <c r="Q107" s="1507"/>
      <c r="R107" s="1525"/>
      <c r="S107" s="1521"/>
      <c r="V107" s="1325"/>
      <c r="W107" s="1325"/>
      <c r="X107" s="1325"/>
    </row>
    <row r="108" spans="1:24" s="863" customFormat="1" ht="12.75" hidden="1" customHeight="1">
      <c r="A108" s="1482"/>
      <c r="B108" s="1482"/>
      <c r="C108" s="1483">
        <f t="shared" si="15"/>
        <v>2</v>
      </c>
      <c r="D108" s="1492">
        <f t="shared" si="16"/>
        <v>0</v>
      </c>
      <c r="E108" s="1492">
        <f t="shared" si="17"/>
        <v>9</v>
      </c>
      <c r="F108" s="1526" t="s">
        <v>11708</v>
      </c>
      <c r="G108" s="862" t="s">
        <v>20273</v>
      </c>
      <c r="H108" s="823" t="str">
        <f>VLOOKUP(G108,'MC_COLETOR CB'!C:P,2,0)</f>
        <v>SINAPI</v>
      </c>
      <c r="I108" s="700" t="str">
        <f>VLOOKUP(G108,'MC_COLETOR CB'!C:P,3,0)</f>
        <v>73891/1</v>
      </c>
      <c r="J108" s="824"/>
      <c r="K108" s="790" t="str">
        <f>(IF(H108="Saneago",VLOOKUP(I108,'SANEAGO-FEV.2016'!A:B,2,0),IF(H108="Sinapi",VLOOKUP(I108,'SINAPI-FEV.2017'!A:D,2,0),IF(H108="Cotação",VLOOKUP(I108,COTAÇÃO!A:D,2,0),IF(H108="Composição",VLOOKUP(I108,COMPOSIÇÃO!A:D,2,0))))))</f>
        <v>ESGOTAMENTO COM MOTO-BOMBA AUTOESCOVANTE</v>
      </c>
      <c r="L108" s="700" t="str">
        <f>(IF(H108="Saneago",VLOOKUP(I108,'SANEAGO-FEV.2016'!A:D,3,0),IF(H108="Sinapi",VLOOKUP(I108,'SINAPI-FEV.2017'!A:D,3,0),IF(H108="Cotação",VLOOKUP(I108,COTAÇÃO!A:D,3,0),IF(H108="Composição",VLOOKUP(I108,COMPOSIÇÃO!A:D,3,0))))))</f>
        <v>H</v>
      </c>
      <c r="M108" s="870">
        <f>ROUND(VLOOKUP(G108,'MC_COLETOR CB'!C:P,13,0),2)</f>
        <v>0</v>
      </c>
      <c r="N108" s="399">
        <f>(IF(H108="Saneago",VLOOKUP(I108,'SANEAGO-FEV.2016'!A:D,4,0),IF(H108="Sinapi",VLOOKUP(I108,'SINAPI-FEV.2017'!A:D,4,0),IF(H108="Cotação",VLOOKUP(I108,COTAÇÃO!A:D,4,0),IF(H108="Composição",VLOOKUP(I108,COMPOSIÇÃO!A:D,4,0))))))</f>
        <v>6.2</v>
      </c>
      <c r="O108" s="102">
        <f>ROUND(IF(F108="Serviços",N108*(1+$O$7),IF(F108="Materiais",N108*(1+$O$8))),2)</f>
        <v>7.57</v>
      </c>
      <c r="P108" s="101">
        <f>ROUND(M108*O108,2)</f>
        <v>0</v>
      </c>
      <c r="Q108" s="1507">
        <v>0</v>
      </c>
      <c r="R108" s="1525"/>
      <c r="S108" s="1521"/>
      <c r="V108" s="1325"/>
      <c r="W108" s="1325"/>
      <c r="X108" s="1325"/>
    </row>
    <row r="109" spans="1:24" s="863" customFormat="1" ht="13.5" hidden="1" customHeight="1" thickBot="1">
      <c r="A109" s="1482"/>
      <c r="B109" s="1482"/>
      <c r="C109" s="1483">
        <f t="shared" si="15"/>
        <v>2</v>
      </c>
      <c r="D109" s="1492">
        <f t="shared" si="16"/>
        <v>0</v>
      </c>
      <c r="E109" s="1492">
        <f t="shared" si="17"/>
        <v>9</v>
      </c>
      <c r="F109" s="1526" t="s">
        <v>11708</v>
      </c>
      <c r="G109" s="862"/>
      <c r="H109" s="823"/>
      <c r="I109" s="700"/>
      <c r="J109" s="824"/>
      <c r="K109" s="700"/>
      <c r="L109" s="700"/>
      <c r="M109" s="870"/>
      <c r="N109" s="399"/>
      <c r="O109" s="344"/>
      <c r="P109" s="342"/>
      <c r="Q109" s="1507"/>
      <c r="R109" s="1525"/>
      <c r="S109" s="1521"/>
      <c r="V109" s="1325"/>
      <c r="W109" s="1325"/>
      <c r="X109" s="1325"/>
    </row>
    <row r="110" spans="1:24" s="863" customFormat="1" ht="14.25" hidden="1" customHeight="1" thickTop="1" thickBot="1">
      <c r="A110" s="1482"/>
      <c r="B110" s="1482"/>
      <c r="C110" s="1483">
        <f t="shared" si="15"/>
        <v>2</v>
      </c>
      <c r="D110" s="1492">
        <f t="shared" si="16"/>
        <v>0</v>
      </c>
      <c r="E110" s="1492">
        <f t="shared" si="17"/>
        <v>9</v>
      </c>
      <c r="F110" s="1526" t="s">
        <v>11708</v>
      </c>
      <c r="G110" s="862"/>
      <c r="H110" s="1538" t="str">
        <f>"TOTAL ITEM: "&amp;J106 &amp;K106</f>
        <v xml:space="preserve">TOTAL ITEM: 2.0.9ESGOTAMENTO   </v>
      </c>
      <c r="I110" s="1539"/>
      <c r="J110" s="1539"/>
      <c r="K110" s="1539"/>
      <c r="L110" s="1539"/>
      <c r="M110" s="1539"/>
      <c r="N110" s="718"/>
      <c r="O110" s="718"/>
      <c r="P110" s="343">
        <f>SUBTOTAL(9,P108:P108)</f>
        <v>0</v>
      </c>
      <c r="Q110" s="1507"/>
      <c r="R110" s="1525"/>
      <c r="S110" s="1521"/>
      <c r="V110" s="1325"/>
      <c r="W110" s="1325"/>
      <c r="X110" s="1325"/>
    </row>
    <row r="111" spans="1:24" s="863" customFormat="1" ht="13.5" hidden="1" customHeight="1" thickTop="1">
      <c r="A111" s="1482"/>
      <c r="B111" s="1482"/>
      <c r="C111" s="1483">
        <f t="shared" si="15"/>
        <v>2</v>
      </c>
      <c r="D111" s="1492">
        <f t="shared" si="16"/>
        <v>0</v>
      </c>
      <c r="E111" s="1492">
        <f t="shared" si="17"/>
        <v>9</v>
      </c>
      <c r="F111" s="1526" t="s">
        <v>11708</v>
      </c>
      <c r="G111" s="862"/>
      <c r="H111" s="823"/>
      <c r="I111" s="700"/>
      <c r="J111" s="824"/>
      <c r="K111" s="700"/>
      <c r="L111" s="700"/>
      <c r="M111" s="870"/>
      <c r="N111" s="399"/>
      <c r="O111" s="344"/>
      <c r="P111" s="342"/>
      <c r="Q111" s="1507"/>
      <c r="R111" s="1525"/>
      <c r="S111" s="1521"/>
      <c r="V111" s="1325"/>
      <c r="W111" s="1325"/>
      <c r="X111" s="1325"/>
    </row>
    <row r="112" spans="1:24" s="863" customFormat="1" ht="12.75" hidden="1" customHeight="1">
      <c r="A112" s="1482"/>
      <c r="B112" s="1482">
        <v>1</v>
      </c>
      <c r="C112" s="1483">
        <f t="shared" si="15"/>
        <v>2</v>
      </c>
      <c r="D112" s="1492">
        <f t="shared" si="16"/>
        <v>0</v>
      </c>
      <c r="E112" s="1492">
        <f t="shared" si="17"/>
        <v>10</v>
      </c>
      <c r="F112" s="1526" t="s">
        <v>11708</v>
      </c>
      <c r="G112" s="862"/>
      <c r="H112" s="1527" t="s">
        <v>11703</v>
      </c>
      <c r="I112" s="1528" t="s">
        <v>64</v>
      </c>
      <c r="J112" s="1529" t="str">
        <f>CONCATENATE(C112,".",D112,".",E112)</f>
        <v>2.0.10</v>
      </c>
      <c r="K112" s="1530" t="s">
        <v>12681</v>
      </c>
      <c r="L112" s="1531" t="s">
        <v>25</v>
      </c>
      <c r="M112" s="1532" t="s">
        <v>11704</v>
      </c>
      <c r="N112" s="586" t="s">
        <v>11705</v>
      </c>
      <c r="O112" s="587" t="s">
        <v>11706</v>
      </c>
      <c r="P112" s="588" t="s">
        <v>27</v>
      </c>
      <c r="Q112" s="1507" t="s">
        <v>11704</v>
      </c>
      <c r="R112" s="1525"/>
      <c r="S112" s="1521"/>
      <c r="V112" s="1325"/>
      <c r="W112" s="1325"/>
      <c r="X112" s="1325"/>
    </row>
    <row r="113" spans="1:24" s="863" customFormat="1" ht="12.75" hidden="1" customHeight="1">
      <c r="A113" s="1482"/>
      <c r="B113" s="1482"/>
      <c r="C113" s="1483">
        <f t="shared" si="15"/>
        <v>2</v>
      </c>
      <c r="D113" s="1492">
        <f t="shared" si="16"/>
        <v>0</v>
      </c>
      <c r="E113" s="1492">
        <f t="shared" si="17"/>
        <v>10</v>
      </c>
      <c r="F113" s="1526" t="s">
        <v>11708</v>
      </c>
      <c r="G113" s="862"/>
      <c r="H113" s="823"/>
      <c r="I113" s="700"/>
      <c r="J113" s="824"/>
      <c r="K113" s="700"/>
      <c r="L113" s="700"/>
      <c r="M113" s="870"/>
      <c r="N113" s="399"/>
      <c r="O113" s="344"/>
      <c r="P113" s="342"/>
      <c r="Q113" s="1507"/>
      <c r="R113" s="1525"/>
      <c r="S113" s="1521"/>
      <c r="V113" s="1325"/>
      <c r="W113" s="1325"/>
      <c r="X113" s="1325"/>
    </row>
    <row r="114" spans="1:24" s="863" customFormat="1" ht="38.25" hidden="1" customHeight="1">
      <c r="A114" s="1482"/>
      <c r="B114" s="1482"/>
      <c r="C114" s="1483">
        <f t="shared" si="15"/>
        <v>2</v>
      </c>
      <c r="D114" s="1492">
        <f t="shared" si="16"/>
        <v>0</v>
      </c>
      <c r="E114" s="1492">
        <f t="shared" si="17"/>
        <v>10</v>
      </c>
      <c r="F114" s="1526" t="s">
        <v>11708</v>
      </c>
      <c r="G114" s="862" t="s">
        <v>20285</v>
      </c>
      <c r="H114" s="823" t="str">
        <f>VLOOKUP(G114,'MC_COLETOR CB'!C:P,2,0)</f>
        <v>SINAPI</v>
      </c>
      <c r="I114" s="700">
        <f>VLOOKUP(G114,'MC_COLETOR CB'!C:P,3,0)</f>
        <v>90739</v>
      </c>
      <c r="J114" s="824"/>
      <c r="K114" s="790" t="str">
        <f>(IF(H114="Saneago",VLOOKUP(I114,'SANEAGO-FEV.2016'!A:B,2,0),IF(H114="Sinapi",VLOOKUP(I114,'SINAPI-FEV.2017'!A:D,2,0),IF(H114="Cotação",VLOOKUP(I114,COTAÇÃO!A:D,2,0),IF(H114="Composição",VLOOKUP(I114,COMPOSIÇÃO!A:D,2,0))))))</f>
        <v>ASSENTAMENTO DE TUBO DE PVC PARA REDE COLETORA DE ESGOTO DE PAREDE MACIÇA, DN 400 MM, JUNTA ELÁSTICA, INSTALADO EM LOCAL COM NÍVEL BAIXO DE INTERFERÊNCIAS (NÃO INCLUI FORNECIMENTO). AF_06/2015</v>
      </c>
      <c r="L114" s="700" t="str">
        <f>(IF(H114="Saneago",VLOOKUP(I114,'SANEAGO-FEV.2016'!A:D,3,0),IF(H114="Sinapi",VLOOKUP(I114,'SINAPI-FEV.2017'!A:D,3,0),IF(H114="Cotação",VLOOKUP(I114,COTAÇÃO!A:D,3,0),IF(H114="Composição",VLOOKUP(I114,COMPOSIÇÃO!A:D,3,0))))))</f>
        <v>M</v>
      </c>
      <c r="M114" s="870">
        <f>ROUND(VLOOKUP(G114,'MC_COLETOR CB'!C:P,13,0),2)</f>
        <v>0</v>
      </c>
      <c r="N114" s="399">
        <f>(IF(H114="Saneago",VLOOKUP(I114,'SANEAGO-FEV.2016'!A:D,4,0),IF(H114="Sinapi",VLOOKUP(I114,'SINAPI-FEV.2017'!A:D,4,0),IF(H114="Cotação",VLOOKUP(I114,COTAÇÃO!A:D,4,0),IF(H114="Composição",VLOOKUP(I114,COMPOSIÇÃO!A:D,4,0))))))</f>
        <v>12.15</v>
      </c>
      <c r="O114" s="102">
        <f>ROUND(IF(F114="Serviços",N114*(1+$O$7),IF(F114="Materiais",N114*(1+$O$8))),2)</f>
        <v>14.84</v>
      </c>
      <c r="P114" s="101">
        <f>ROUND(M114*O114,2)</f>
        <v>0</v>
      </c>
      <c r="Q114" s="1507">
        <v>0</v>
      </c>
      <c r="R114" s="1525"/>
      <c r="S114" s="1521"/>
      <c r="V114" s="1325"/>
      <c r="W114" s="1325"/>
      <c r="X114" s="1325"/>
    </row>
    <row r="115" spans="1:24" s="863" customFormat="1" ht="12.75" hidden="1" customHeight="1">
      <c r="A115" s="1482"/>
      <c r="B115" s="1482"/>
      <c r="C115" s="1483">
        <f t="shared" si="15"/>
        <v>2</v>
      </c>
      <c r="D115" s="1492">
        <f t="shared" ref="D115:E118" si="19">D114+A115</f>
        <v>0</v>
      </c>
      <c r="E115" s="1492">
        <f t="shared" si="19"/>
        <v>10</v>
      </c>
      <c r="F115" s="1526" t="s">
        <v>11708</v>
      </c>
      <c r="G115" s="862" t="s">
        <v>20275</v>
      </c>
      <c r="H115" s="823" t="str">
        <f>VLOOKUP(G115,'MC_COLETOR CB'!C:P,2,0)</f>
        <v>SINAPI</v>
      </c>
      <c r="I115" s="700">
        <f>VLOOKUP(G115,'MC_COLETOR CB'!C:P,3,0)</f>
        <v>73509</v>
      </c>
      <c r="J115" s="824"/>
      <c r="K115" s="790" t="str">
        <f>(IF(H115="Saneago",VLOOKUP(I115,'SANEAGO-FEV.2016'!A:B,2,0),IF(H115="Sinapi",VLOOKUP(I115,'SINAPI-FEV.2017'!A:D,2,0),IF(H115="Cotação",VLOOKUP(I115,COTAÇÃO!A:D,2,0),IF(H115="Composição",VLOOKUP(I115,COMPOSIÇÃO!A:D,2,0))))))</f>
        <v>TRANSPORTE DE TUBOS DE PVC DN 400</v>
      </c>
      <c r="L115" s="700" t="str">
        <f>(IF(H115="Saneago",VLOOKUP(I115,'SANEAGO-FEV.2016'!A:D,3,0),IF(H115="Sinapi",VLOOKUP(I115,'SINAPI-FEV.2017'!A:D,3,0),IF(H115="Cotação",VLOOKUP(I115,COTAÇÃO!A:D,3,0),IF(H115="Composição",VLOOKUP(I115,COMPOSIÇÃO!A:D,3,0))))))</f>
        <v>M</v>
      </c>
      <c r="M115" s="870">
        <f>ROUND(VLOOKUP(G115,'MC_COLETOR CB'!C:P,13,0),2)</f>
        <v>0</v>
      </c>
      <c r="N115" s="399">
        <f>(IF(H115="Saneago",VLOOKUP(I115,'SANEAGO-FEV.2016'!A:D,4,0),IF(H115="Sinapi",VLOOKUP(I115,'SINAPI-FEV.2017'!A:D,4,0),IF(H115="Cotação",VLOOKUP(I115,COTAÇÃO!A:D,4,0),IF(H115="Composição",VLOOKUP(I115,COMPOSIÇÃO!A:D,4,0))))))</f>
        <v>1.87</v>
      </c>
      <c r="O115" s="102">
        <f>ROUND(IF(F115="Serviços",N115*(1+$O$7),IF(F115="Materiais",N115*(1+$O$8))),2)</f>
        <v>2.2799999999999998</v>
      </c>
      <c r="P115" s="101">
        <f>ROUND(M115*O115,2)</f>
        <v>0</v>
      </c>
      <c r="Q115" s="1507">
        <v>0</v>
      </c>
      <c r="R115" s="1525"/>
      <c r="S115" s="1521"/>
      <c r="V115" s="1325"/>
      <c r="W115" s="1325"/>
      <c r="X115" s="1325"/>
    </row>
    <row r="116" spans="1:24" s="863" customFormat="1" ht="22.5" hidden="1" customHeight="1">
      <c r="A116" s="1482"/>
      <c r="B116" s="1482"/>
      <c r="C116" s="1483">
        <f t="shared" si="15"/>
        <v>2</v>
      </c>
      <c r="D116" s="1492">
        <f t="shared" si="19"/>
        <v>0</v>
      </c>
      <c r="E116" s="1492">
        <f t="shared" si="19"/>
        <v>10</v>
      </c>
      <c r="F116" s="1526" t="s">
        <v>11708</v>
      </c>
      <c r="G116" s="862" t="s">
        <v>20276</v>
      </c>
      <c r="H116" s="823" t="str">
        <f>VLOOKUP(G116,'MC_COLETOR CB'!C:P,2,0)</f>
        <v>SINAPI</v>
      </c>
      <c r="I116" s="700" t="str">
        <f>VLOOKUP(G116,'MC_COLETOR CB'!C:P,3,0)</f>
        <v>73887/8</v>
      </c>
      <c r="J116" s="824"/>
      <c r="K116" s="790" t="str">
        <f>(IF(H116="Saneago",VLOOKUP(I116,'SANEAGO-FEV.2016'!A:B,2,0),IF(H116="Sinapi",VLOOKUP(I116,'SINAPI-FEV.2017'!A:D,2,0),IF(H116="Cotação",VLOOKUP(I116,COTAÇÃO!A:D,2,0),IF(H116="Composição",VLOOKUP(I116,COMPOSIÇÃO!A:D,2,0))))))</f>
        <v>ASSENTAMENTO SIMPLES DE TUBOS DE FERRO FUNDIDO (FOFO) C/ JUNTA ELASTICA - DN 400 MM - INCLUSIVE TRANSPORTE</v>
      </c>
      <c r="L116" s="700" t="str">
        <f>(IF(H116="Saneago",VLOOKUP(I116,'SANEAGO-FEV.2016'!A:D,3,0),IF(H116="Sinapi",VLOOKUP(I116,'SINAPI-FEV.2017'!A:D,3,0),IF(H116="Cotação",VLOOKUP(I116,COTAÇÃO!A:D,3,0),IF(H116="Composição",VLOOKUP(I116,COMPOSIÇÃO!A:D,3,0))))))</f>
        <v>M</v>
      </c>
      <c r="M116" s="870">
        <f>ROUND(VLOOKUP(G116,'MC_COLETOR CB'!C:P,13,0),2)</f>
        <v>0</v>
      </c>
      <c r="N116" s="399">
        <f>(IF(H116="Saneago",VLOOKUP(I116,'SANEAGO-FEV.2016'!A:D,4,0),IF(H116="Sinapi",VLOOKUP(I116,'SINAPI-FEV.2017'!A:D,4,0),IF(H116="Cotação",VLOOKUP(I116,COTAÇÃO!A:D,4,0),IF(H116="Composição",VLOOKUP(I116,COMPOSIÇÃO!A:D,4,0))))))</f>
        <v>14.44</v>
      </c>
      <c r="O116" s="102">
        <f>ROUND(IF(F116="Serviços",N116*(1+$O$7),IF(F116="Materiais",N116*(1+$O$8))),2)</f>
        <v>17.64</v>
      </c>
      <c r="P116" s="101">
        <f>ROUND(M116*O116,2)</f>
        <v>0</v>
      </c>
      <c r="Q116" s="1507">
        <v>0</v>
      </c>
      <c r="R116" s="1525"/>
      <c r="S116" s="1521"/>
      <c r="V116" s="1325"/>
      <c r="W116" s="1325"/>
      <c r="X116" s="1325"/>
    </row>
    <row r="117" spans="1:24" s="863" customFormat="1" ht="13.5" hidden="1" customHeight="1" thickBot="1">
      <c r="A117" s="1482"/>
      <c r="B117" s="1482"/>
      <c r="C117" s="1483">
        <f t="shared" si="15"/>
        <v>2</v>
      </c>
      <c r="D117" s="1492">
        <f t="shared" si="19"/>
        <v>0</v>
      </c>
      <c r="E117" s="1492">
        <f t="shared" si="19"/>
        <v>10</v>
      </c>
      <c r="F117" s="1526" t="s">
        <v>11708</v>
      </c>
      <c r="G117" s="862"/>
      <c r="H117" s="823"/>
      <c r="I117" s="700"/>
      <c r="J117" s="824"/>
      <c r="K117" s="790"/>
      <c r="L117" s="700"/>
      <c r="M117" s="870"/>
      <c r="N117" s="399"/>
      <c r="O117" s="344"/>
      <c r="P117" s="342"/>
      <c r="Q117" s="1507"/>
      <c r="R117" s="1525"/>
      <c r="S117" s="1521"/>
      <c r="V117" s="1325"/>
      <c r="W117" s="1325"/>
      <c r="X117" s="1325"/>
    </row>
    <row r="118" spans="1:24" s="863" customFormat="1" ht="14.25" hidden="1" customHeight="1" thickTop="1" thickBot="1">
      <c r="A118" s="1482"/>
      <c r="B118" s="1482"/>
      <c r="C118" s="1483">
        <f t="shared" si="15"/>
        <v>2</v>
      </c>
      <c r="D118" s="1492">
        <f t="shared" si="19"/>
        <v>0</v>
      </c>
      <c r="E118" s="1492">
        <f t="shared" si="19"/>
        <v>10</v>
      </c>
      <c r="F118" s="1526" t="s">
        <v>11708</v>
      </c>
      <c r="G118" s="862"/>
      <c r="H118" s="1538" t="str">
        <f>"TOTAL ITEM: "&amp;J112 &amp;K112</f>
        <v>TOTAL ITEM: 2.0.10CTD E MONTAGEM DE TUBOS</v>
      </c>
      <c r="I118" s="1539"/>
      <c r="J118" s="1539"/>
      <c r="K118" s="1539"/>
      <c r="L118" s="1539"/>
      <c r="M118" s="1539"/>
      <c r="N118" s="718"/>
      <c r="O118" s="718"/>
      <c r="P118" s="343">
        <f>SUBTOTAL(9,P114:P116)</f>
        <v>0</v>
      </c>
      <c r="Q118" s="1507"/>
      <c r="R118" s="1525"/>
      <c r="S118" s="1521"/>
      <c r="V118" s="1325"/>
      <c r="W118" s="1325"/>
      <c r="X118" s="1325"/>
    </row>
    <row r="119" spans="1:24" s="863" customFormat="1" ht="13.5" hidden="1" customHeight="1" thickTop="1">
      <c r="A119" s="1482"/>
      <c r="B119" s="1482"/>
      <c r="C119" s="1483">
        <f t="shared" si="15"/>
        <v>2</v>
      </c>
      <c r="D119" s="1492">
        <f t="shared" si="16"/>
        <v>0</v>
      </c>
      <c r="E119" s="1492">
        <f t="shared" si="17"/>
        <v>10</v>
      </c>
      <c r="F119" s="1526" t="s">
        <v>11708</v>
      </c>
      <c r="G119" s="862"/>
      <c r="H119" s="823"/>
      <c r="I119" s="700"/>
      <c r="J119" s="824"/>
      <c r="K119" s="790"/>
      <c r="L119" s="700"/>
      <c r="M119" s="870"/>
      <c r="N119" s="399"/>
      <c r="O119" s="344"/>
      <c r="P119" s="342"/>
      <c r="Q119" s="1507"/>
      <c r="R119" s="1525"/>
      <c r="S119" s="1521"/>
      <c r="V119" s="1325"/>
      <c r="W119" s="1325"/>
      <c r="X119" s="1325"/>
    </row>
    <row r="120" spans="1:24" s="863" customFormat="1" ht="12.75" hidden="1" customHeight="1">
      <c r="A120" s="1482"/>
      <c r="B120" s="1482">
        <v>1</v>
      </c>
      <c r="C120" s="1483">
        <f t="shared" si="15"/>
        <v>2</v>
      </c>
      <c r="D120" s="1492">
        <f t="shared" si="16"/>
        <v>0</v>
      </c>
      <c r="E120" s="1492">
        <f t="shared" si="17"/>
        <v>11</v>
      </c>
      <c r="F120" s="1526" t="s">
        <v>11708</v>
      </c>
      <c r="G120" s="862"/>
      <c r="H120" s="1527" t="s">
        <v>11703</v>
      </c>
      <c r="I120" s="1528" t="s">
        <v>64</v>
      </c>
      <c r="J120" s="1529" t="str">
        <f>CONCATENATE(C120,".",D120,".",E120)</f>
        <v>2.0.11</v>
      </c>
      <c r="K120" s="1530" t="s">
        <v>14629</v>
      </c>
      <c r="L120" s="1531" t="s">
        <v>25</v>
      </c>
      <c r="M120" s="1532" t="s">
        <v>11704</v>
      </c>
      <c r="N120" s="586" t="s">
        <v>11705</v>
      </c>
      <c r="O120" s="587" t="s">
        <v>11706</v>
      </c>
      <c r="P120" s="588" t="s">
        <v>27</v>
      </c>
      <c r="Q120" s="1507" t="s">
        <v>11704</v>
      </c>
      <c r="R120" s="1525"/>
      <c r="S120" s="1521"/>
      <c r="V120" s="1325"/>
      <c r="W120" s="1325"/>
      <c r="X120" s="1325"/>
    </row>
    <row r="121" spans="1:24" s="863" customFormat="1" ht="12.75" hidden="1" customHeight="1">
      <c r="A121" s="1482"/>
      <c r="B121" s="1482"/>
      <c r="C121" s="1483">
        <f t="shared" si="15"/>
        <v>2</v>
      </c>
      <c r="D121" s="1492">
        <f t="shared" si="16"/>
        <v>0</v>
      </c>
      <c r="E121" s="1492">
        <f t="shared" si="17"/>
        <v>11</v>
      </c>
      <c r="F121" s="1526" t="s">
        <v>11708</v>
      </c>
      <c r="G121" s="862"/>
      <c r="H121" s="823"/>
      <c r="I121" s="700"/>
      <c r="J121" s="824"/>
      <c r="K121" s="700"/>
      <c r="L121" s="700"/>
      <c r="M121" s="870"/>
      <c r="N121" s="399"/>
      <c r="O121" s="344"/>
      <c r="P121" s="342"/>
      <c r="Q121" s="1507"/>
      <c r="R121" s="1525"/>
      <c r="S121" s="1521"/>
      <c r="V121" s="1325"/>
      <c r="W121" s="1325"/>
      <c r="X121" s="1325"/>
    </row>
    <row r="122" spans="1:24" s="863" customFormat="1" ht="19.5" hidden="1" customHeight="1">
      <c r="A122" s="1482"/>
      <c r="B122" s="1482"/>
      <c r="C122" s="1483">
        <f t="shared" si="15"/>
        <v>2</v>
      </c>
      <c r="D122" s="1492">
        <f t="shared" si="16"/>
        <v>0</v>
      </c>
      <c r="E122" s="1492">
        <f t="shared" si="17"/>
        <v>11</v>
      </c>
      <c r="F122" s="1526" t="s">
        <v>11708</v>
      </c>
      <c r="G122" s="862" t="s">
        <v>20277</v>
      </c>
      <c r="H122" s="823" t="str">
        <f>VLOOKUP(G122,'MC_COLETOR CB'!C:P,2,0)</f>
        <v>SANEAGO</v>
      </c>
      <c r="I122" s="700">
        <f>VLOOKUP(G122,'MC_COLETOR CB'!C:P,3,0)</f>
        <v>1418</v>
      </c>
      <c r="J122" s="824"/>
      <c r="K122" s="790" t="str">
        <f>(IF(H122="Saneago",VLOOKUP(I122,'SANEAGO-FEV.2016'!A:B,2,0),IF(H122="Sinapi",VLOOKUP(I122,'SINAPI-FEV.2017'!A:D,2,0),IF(H122="Cotação",VLOOKUP(I122,COTAÇÃO!A:D,2,0),IF(H122="Composição",VLOOKUP(I122,COMPOSIÇÃO!A:D,2,0))))))</f>
        <v>CORTE E DEMOLIÇÃO  CALÇADA/PAVIMENTO ASFALTICO  COM EQUIPAMENTOS</v>
      </c>
      <c r="L122" s="700" t="str">
        <f>(IF(H122="Saneago",VLOOKUP(I122,'SANEAGO-FEV.2016'!A:D,3,0),IF(H122="Sinapi",VLOOKUP(I122,'SINAPI-FEV.2017'!A:D,3,0),IF(H122="Cotação",VLOOKUP(I122,COTAÇÃO!A:D,3,0),IF(H122="Composição",VLOOKUP(I122,COMPOSIÇÃO!A:D,3,0))))))</f>
        <v>M3</v>
      </c>
      <c r="M122" s="870">
        <f>ROUND(VLOOKUP(G122,'MC_COLETOR CB'!C:P,13,0),2)</f>
        <v>0</v>
      </c>
      <c r="N122" s="399">
        <f>(IF(H122="Saneago",VLOOKUP(I122,'SANEAGO-FEV.2016'!A:D,4,0),IF(H122="Sinapi",VLOOKUP(I122,'SINAPI-FEV.2017'!A:D,4,0),IF(H122="Cotação",VLOOKUP(I122,COTAÇÃO!A:D,4,0),IF(H122="Composição",VLOOKUP(I122,COMPOSIÇÃO!A:D,4,0))))))</f>
        <v>24.32</v>
      </c>
      <c r="O122" s="102">
        <f>ROUND(IF(F122="Serviços",N122*(1+$O$7),IF(F122="Materiais",N122*(1+$O$8))),2)</f>
        <v>29.71</v>
      </c>
      <c r="P122" s="101">
        <f>ROUND(M122*O122,2)</f>
        <v>0</v>
      </c>
      <c r="Q122" s="1507">
        <v>0</v>
      </c>
      <c r="R122" s="1525"/>
      <c r="S122" s="1521"/>
      <c r="V122" s="1325"/>
      <c r="W122" s="1325"/>
      <c r="X122" s="1325"/>
    </row>
    <row r="123" spans="1:24" s="863" customFormat="1" ht="33.75" hidden="1" customHeight="1">
      <c r="A123" s="1482"/>
      <c r="B123" s="1482"/>
      <c r="C123" s="1483">
        <f t="shared" si="15"/>
        <v>2</v>
      </c>
      <c r="D123" s="1492">
        <f t="shared" ref="D123:E127" si="20">D122+A123</f>
        <v>0</v>
      </c>
      <c r="E123" s="1492">
        <f t="shared" si="20"/>
        <v>11</v>
      </c>
      <c r="F123" s="1526" t="s">
        <v>11708</v>
      </c>
      <c r="G123" s="862" t="s">
        <v>20278</v>
      </c>
      <c r="H123" s="823" t="str">
        <f>VLOOKUP(G123,'MC_COLETOR CB'!C:P,2,0)</f>
        <v>SANEAGO</v>
      </c>
      <c r="I123" s="700">
        <f>VLOOKUP(G123,'MC_COLETOR CB'!C:P,3,0)</f>
        <v>1430</v>
      </c>
      <c r="J123" s="824"/>
      <c r="K123" s="790" t="str">
        <f>(IF(H123="Saneago",VLOOKUP(I123,'SANEAGO-FEV.2016'!A:B,2,0),IF(H123="Sinapi",VLOOKUP(I123,'SINAPI-FEV.2017'!A:D,2,0),IF(H123="Cotação",VLOOKUP(I123,COTAÇÃO!A:D,2,0),IF(H123="Composição",VLOOKUP(I123,COMPOSIÇÃO!A:D,2,0))))))</f>
        <v>REPOSIÇÃO    ASFÁLTICA    (REMENDO    PAVIMENTO    ESTABILIZADO+PRÉ-MISTURADO   A   FRIO   -   PMF)   -
EXCLUSIVE  MATERIAL DE EMPRÉSTIMO PARA BASE</v>
      </c>
      <c r="L123" s="700" t="str">
        <f>(IF(H123="Saneago",VLOOKUP(I123,'SANEAGO-FEV.2016'!A:D,3,0),IF(H123="Sinapi",VLOOKUP(I123,'SINAPI-FEV.2017'!A:D,3,0),IF(H123="Cotação",VLOOKUP(I123,COTAÇÃO!A:D,3,0),IF(H123="Composição",VLOOKUP(I123,COMPOSIÇÃO!A:D,3,0))))))</f>
        <v>M2</v>
      </c>
      <c r="M123" s="870">
        <f>ROUND(VLOOKUP(G123,'MC_COLETOR CB'!C:P,13,0),2)</f>
        <v>0</v>
      </c>
      <c r="N123" s="399">
        <f>(IF(H123="Saneago",VLOOKUP(I123,'SANEAGO-FEV.2016'!A:D,4,0),IF(H123="Sinapi",VLOOKUP(I123,'SINAPI-FEV.2017'!A:D,4,0),IF(H123="Cotação",VLOOKUP(I123,COTAÇÃO!A:D,4,0),IF(H123="Composição",VLOOKUP(I123,COMPOSIÇÃO!A:D,4,0))))))</f>
        <v>28.32</v>
      </c>
      <c r="O123" s="102">
        <f>ROUND(IF(F123="Serviços",N123*(1+$O$7),IF(F123="Materiais",N123*(1+$O$8))),2)</f>
        <v>34.590000000000003</v>
      </c>
      <c r="P123" s="101">
        <f>ROUND(M123*O123,2)</f>
        <v>0</v>
      </c>
      <c r="Q123" s="1507">
        <v>0</v>
      </c>
      <c r="R123" s="1525"/>
      <c r="S123" s="1521"/>
      <c r="V123" s="1325"/>
      <c r="W123" s="1325"/>
      <c r="X123" s="1325"/>
    </row>
    <row r="124" spans="1:24" s="863" customFormat="1" ht="12.75" hidden="1" customHeight="1">
      <c r="A124" s="1482"/>
      <c r="B124" s="1482"/>
      <c r="C124" s="1483">
        <f t="shared" si="15"/>
        <v>2</v>
      </c>
      <c r="D124" s="1492">
        <f t="shared" si="20"/>
        <v>0</v>
      </c>
      <c r="E124" s="1492">
        <f t="shared" si="20"/>
        <v>11</v>
      </c>
      <c r="F124" s="1526" t="s">
        <v>11708</v>
      </c>
      <c r="G124" s="862" t="s">
        <v>20279</v>
      </c>
      <c r="H124" s="823" t="str">
        <f>VLOOKUP(G124,'MC_COLETOR CB'!C:P,2,0)</f>
        <v>SANEAGO</v>
      </c>
      <c r="I124" s="700">
        <f>VLOOKUP(G124,'MC_COLETOR CB'!C:P,3,0)</f>
        <v>1424</v>
      </c>
      <c r="J124" s="824"/>
      <c r="K124" s="790" t="str">
        <f>(IF(H124="Saneago",VLOOKUP(I124,'SANEAGO-FEV.2016'!A:B,2,0),IF(H124="Sinapi",VLOOKUP(I124,'SINAPI-FEV.2017'!A:D,2,0),IF(H124="Cotação",VLOOKUP(I124,COTAÇÃO!A:D,2,0),IF(H124="Composição",VLOOKUP(I124,COMPOSIÇÃO!A:D,2,0))))))</f>
        <v>REMOÇÃO DE MEIO FIO EM CONCRETO</v>
      </c>
      <c r="L124" s="700" t="str">
        <f>(IF(H124="Saneago",VLOOKUP(I124,'SANEAGO-FEV.2016'!A:D,3,0),IF(H124="Sinapi",VLOOKUP(I124,'SINAPI-FEV.2017'!A:D,3,0),IF(H124="Cotação",VLOOKUP(I124,COTAÇÃO!A:D,3,0),IF(H124="Composição",VLOOKUP(I124,COMPOSIÇÃO!A:D,3,0))))))</f>
        <v>M</v>
      </c>
      <c r="M124" s="870">
        <f>ROUND(VLOOKUP(G124,'MC_COLETOR CB'!C:P,13,0),2)</f>
        <v>0</v>
      </c>
      <c r="N124" s="399">
        <f>(IF(H124="Saneago",VLOOKUP(I124,'SANEAGO-FEV.2016'!A:D,4,0),IF(H124="Sinapi",VLOOKUP(I124,'SINAPI-FEV.2017'!A:D,4,0),IF(H124="Cotação",VLOOKUP(I124,COTAÇÃO!A:D,4,0),IF(H124="Composição",VLOOKUP(I124,COMPOSIÇÃO!A:D,4,0))))))</f>
        <v>6.01</v>
      </c>
      <c r="O124" s="102">
        <f>ROUND(IF(F124="Serviços",N124*(1+$O$7),IF(F124="Materiais",N124*(1+$O$8))),2)</f>
        <v>7.34</v>
      </c>
      <c r="P124" s="101">
        <f>ROUND(M124*O124,2)</f>
        <v>0</v>
      </c>
      <c r="Q124" s="1507">
        <v>0</v>
      </c>
      <c r="R124" s="1525"/>
      <c r="S124" s="1521"/>
      <c r="V124" s="1325"/>
      <c r="W124" s="1325"/>
      <c r="X124" s="1325"/>
    </row>
    <row r="125" spans="1:24" s="863" customFormat="1" ht="45" hidden="1" customHeight="1">
      <c r="A125" s="1482"/>
      <c r="B125" s="1482"/>
      <c r="C125" s="1483">
        <f t="shared" si="15"/>
        <v>2</v>
      </c>
      <c r="D125" s="1492">
        <f t="shared" si="20"/>
        <v>0</v>
      </c>
      <c r="E125" s="1492">
        <f t="shared" si="20"/>
        <v>11</v>
      </c>
      <c r="F125" s="1526" t="s">
        <v>11708</v>
      </c>
      <c r="G125" s="862" t="s">
        <v>20286</v>
      </c>
      <c r="H125" s="823" t="str">
        <f>VLOOKUP(G125,'MC_COLETOR CB'!C:P,2,0)</f>
        <v>SINAPI</v>
      </c>
      <c r="I125" s="700">
        <f>VLOOKUP(G125,'MC_COLETOR CB'!C:P,3,0)</f>
        <v>94273</v>
      </c>
      <c r="J125" s="824"/>
      <c r="K125" s="790" t="str">
        <f>(IF(H125="Saneago",VLOOKUP(I125,'SANEAGO-FEV.2016'!A:B,2,0),IF(H125="Sinapi",VLOOKUP(I125,'SINAPI-FEV.2017'!A:D,2,0),IF(H125="Cotação",VLOOKUP(I125,COTAÇÃO!A:D,2,0),IF(H125="Composição",VLOOKUP(I125,COMPOSIÇÃO!A:D,2,0))))))</f>
        <v>ASSENTAMENTO DE GUIA (MEIO-FIO) EM TRECHO RETO, CONFECCIONADA EM CONCRETO PRÉ-FABRICADO, DIMENSÕES 100X15X13X30 CM (COMPRIMENTO X BASE INFERIOR X BASE SUPERIOR X ALTURA), PARA VIAS URBANAS (USO VIÁRIO). AF_06/2016</v>
      </c>
      <c r="L125" s="700" t="str">
        <f>(IF(H125="Saneago",VLOOKUP(I125,'SANEAGO-FEV.2016'!A:D,3,0),IF(H125="Sinapi",VLOOKUP(I125,'SINAPI-FEV.2017'!A:D,3,0),IF(H125="Cotação",VLOOKUP(I125,COTAÇÃO!A:D,3,0),IF(H125="Composição",VLOOKUP(I125,COMPOSIÇÃO!A:D,3,0))))))</f>
        <v>M</v>
      </c>
      <c r="M125" s="870">
        <f>ROUND(VLOOKUP(G125,'MC_COLETOR CB'!C:P,13,0),2)</f>
        <v>0</v>
      </c>
      <c r="N125" s="399">
        <f>(IF(H125="Saneago",VLOOKUP(I125,'SANEAGO-FEV.2016'!A:D,4,0),IF(H125="Sinapi",VLOOKUP(I125,'SINAPI-FEV.2017'!A:D,4,0),IF(H125="Cotação",VLOOKUP(I125,COTAÇÃO!A:D,4,0),IF(H125="Composição",VLOOKUP(I125,COMPOSIÇÃO!A:D,4,0))))))</f>
        <v>35.43</v>
      </c>
      <c r="O125" s="102">
        <f>ROUND(IF(F125="Serviços",N125*(1+$O$7),IF(F125="Materiais",N125*(1+$O$8))),2)</f>
        <v>43.28</v>
      </c>
      <c r="P125" s="101">
        <f>ROUND(M125*O125,2)</f>
        <v>0</v>
      </c>
      <c r="Q125" s="1507">
        <v>0</v>
      </c>
      <c r="R125" s="1525"/>
      <c r="S125" s="1521"/>
      <c r="V125" s="1325"/>
      <c r="W125" s="1325"/>
      <c r="X125" s="1325"/>
    </row>
    <row r="126" spans="1:24" s="863" customFormat="1" ht="13.5" hidden="1" customHeight="1" thickBot="1">
      <c r="A126" s="1482"/>
      <c r="B126" s="1482"/>
      <c r="C126" s="1483">
        <f t="shared" si="15"/>
        <v>2</v>
      </c>
      <c r="D126" s="1492">
        <f t="shared" si="20"/>
        <v>0</v>
      </c>
      <c r="E126" s="1492">
        <f t="shared" si="20"/>
        <v>11</v>
      </c>
      <c r="F126" s="1526" t="s">
        <v>11708</v>
      </c>
      <c r="G126" s="1535"/>
      <c r="H126" s="823"/>
      <c r="I126" s="700"/>
      <c r="J126" s="824"/>
      <c r="K126" s="790"/>
      <c r="L126" s="700"/>
      <c r="M126" s="870"/>
      <c r="N126" s="399"/>
      <c r="O126" s="344"/>
      <c r="P126" s="342"/>
      <c r="Q126" s="1507"/>
      <c r="R126" s="1525"/>
      <c r="S126" s="1521"/>
      <c r="V126" s="1325"/>
      <c r="W126" s="1325"/>
      <c r="X126" s="1325"/>
    </row>
    <row r="127" spans="1:24" s="863" customFormat="1" ht="14.25" hidden="1" customHeight="1" thickTop="1" thickBot="1">
      <c r="A127" s="1482"/>
      <c r="B127" s="1482"/>
      <c r="C127" s="1483">
        <f t="shared" si="15"/>
        <v>2</v>
      </c>
      <c r="D127" s="1492">
        <f t="shared" si="20"/>
        <v>0</v>
      </c>
      <c r="E127" s="1492">
        <f t="shared" si="20"/>
        <v>11</v>
      </c>
      <c r="F127" s="1526" t="s">
        <v>11708</v>
      </c>
      <c r="G127" s="1535"/>
      <c r="H127" s="1538" t="str">
        <f>"TOTAL ITEM: "&amp;J120 &amp;K120</f>
        <v>TOTAL ITEM: 2.0.11 CORTE E REPOSIÇÃO DE PAVIMENTOS</v>
      </c>
      <c r="I127" s="1539"/>
      <c r="J127" s="1539"/>
      <c r="K127" s="1539"/>
      <c r="L127" s="1539"/>
      <c r="M127" s="1539"/>
      <c r="N127" s="718"/>
      <c r="O127" s="718"/>
      <c r="P127" s="343">
        <f>SUBTOTAL(9,P122:P125)</f>
        <v>0</v>
      </c>
      <c r="Q127" s="1507"/>
      <c r="R127" s="1525"/>
      <c r="S127" s="1521"/>
      <c r="V127" s="1325"/>
      <c r="W127" s="1325"/>
      <c r="X127" s="1325"/>
    </row>
    <row r="128" spans="1:24" s="863" customFormat="1" ht="13.5" hidden="1" customHeight="1" thickTop="1">
      <c r="A128" s="1482"/>
      <c r="B128" s="1482"/>
      <c r="C128" s="1483">
        <f t="shared" si="15"/>
        <v>2</v>
      </c>
      <c r="D128" s="1492">
        <f t="shared" si="16"/>
        <v>0</v>
      </c>
      <c r="E128" s="1492">
        <f t="shared" si="17"/>
        <v>11</v>
      </c>
      <c r="F128" s="1526" t="s">
        <v>11708</v>
      </c>
      <c r="G128" s="1535"/>
      <c r="H128" s="823"/>
      <c r="I128" s="700"/>
      <c r="J128" s="824"/>
      <c r="K128" s="790"/>
      <c r="L128" s="700"/>
      <c r="M128" s="870"/>
      <c r="N128" s="399"/>
      <c r="O128" s="344"/>
      <c r="P128" s="342"/>
      <c r="Q128" s="1507"/>
      <c r="R128" s="1525"/>
      <c r="S128" s="1521"/>
      <c r="V128" s="1325"/>
      <c r="W128" s="1325"/>
      <c r="X128" s="1325"/>
    </row>
    <row r="129" spans="1:24" s="863" customFormat="1" ht="12.75" hidden="1" customHeight="1">
      <c r="A129" s="1482"/>
      <c r="B129" s="1482">
        <v>1</v>
      </c>
      <c r="C129" s="1483">
        <f t="shared" si="15"/>
        <v>2</v>
      </c>
      <c r="D129" s="1492">
        <f t="shared" si="16"/>
        <v>0</v>
      </c>
      <c r="E129" s="1492">
        <f t="shared" si="17"/>
        <v>12</v>
      </c>
      <c r="F129" s="1526" t="s">
        <v>11708</v>
      </c>
      <c r="G129" s="862"/>
      <c r="H129" s="1527" t="s">
        <v>11703</v>
      </c>
      <c r="I129" s="1528" t="s">
        <v>64</v>
      </c>
      <c r="J129" s="1529" t="str">
        <f>CONCATENATE(C129,".",D129,".",E129)</f>
        <v>2.0.12</v>
      </c>
      <c r="K129" s="1530" t="s">
        <v>14045</v>
      </c>
      <c r="L129" s="1531" t="s">
        <v>25</v>
      </c>
      <c r="M129" s="1532" t="s">
        <v>11704</v>
      </c>
      <c r="N129" s="586" t="s">
        <v>11705</v>
      </c>
      <c r="O129" s="587" t="s">
        <v>11706</v>
      </c>
      <c r="P129" s="588" t="s">
        <v>27</v>
      </c>
      <c r="Q129" s="1507" t="s">
        <v>11704</v>
      </c>
      <c r="R129" s="1525"/>
      <c r="S129" s="1521"/>
      <c r="V129" s="1325"/>
      <c r="W129" s="1325"/>
      <c r="X129" s="1325"/>
    </row>
    <row r="130" spans="1:24" s="863" customFormat="1" ht="12.75" hidden="1" customHeight="1">
      <c r="A130" s="1482"/>
      <c r="B130" s="1482"/>
      <c r="C130" s="1483">
        <f t="shared" si="15"/>
        <v>2</v>
      </c>
      <c r="D130" s="1492">
        <f t="shared" si="16"/>
        <v>0</v>
      </c>
      <c r="E130" s="1492">
        <f t="shared" si="17"/>
        <v>12</v>
      </c>
      <c r="F130" s="1526" t="s">
        <v>11708</v>
      </c>
      <c r="G130" s="862"/>
      <c r="H130" s="823"/>
      <c r="I130" s="700"/>
      <c r="J130" s="824"/>
      <c r="K130" s="700"/>
      <c r="L130" s="700"/>
      <c r="M130" s="870"/>
      <c r="N130" s="399"/>
      <c r="O130" s="344"/>
      <c r="P130" s="342"/>
      <c r="Q130" s="1507"/>
      <c r="R130" s="1525"/>
      <c r="S130" s="1521"/>
      <c r="V130" s="1325"/>
      <c r="W130" s="1325"/>
      <c r="X130" s="1325"/>
    </row>
    <row r="131" spans="1:24" s="863" customFormat="1" ht="12.75" hidden="1" customHeight="1">
      <c r="A131" s="1482"/>
      <c r="B131" s="1482"/>
      <c r="C131" s="1483">
        <f t="shared" si="15"/>
        <v>2</v>
      </c>
      <c r="D131" s="1492">
        <f t="shared" si="16"/>
        <v>0</v>
      </c>
      <c r="E131" s="1492">
        <f t="shared" si="17"/>
        <v>12</v>
      </c>
      <c r="F131" s="1526" t="s">
        <v>11708</v>
      </c>
      <c r="G131" s="862" t="s">
        <v>20280</v>
      </c>
      <c r="H131" s="823" t="str">
        <f>VLOOKUP(G131,'MC_COLETOR CB'!C:P,2,0)</f>
        <v>SANEAGO</v>
      </c>
      <c r="I131" s="700">
        <f>VLOOKUP(G131,'MC_COLETOR CB'!C:P,3,0)</f>
        <v>232</v>
      </c>
      <c r="J131" s="824"/>
      <c r="K131" s="790" t="str">
        <f>(IF(H131="Saneago",VLOOKUP(I131,'SANEAGO-FEV.2016'!A:B,2,0),IF(H131="Sinapi",VLOOKUP(I131,'SINAPI-FEV.2017'!A:D,2,0),IF(H131="Cotação",VLOOKUP(I131,COTAÇÃO!A:D,2,0),IF(H131="Composição",VLOOKUP(I131,COMPOSIÇÃO!A:D,2,0))))))</f>
        <v>AQUISIÇÃO  DE MATERIAL DE JAZIDA</v>
      </c>
      <c r="L131" s="700" t="str">
        <f>(IF(H131="Saneago",VLOOKUP(I131,'SANEAGO-FEV.2016'!A:D,3,0),IF(H131="Sinapi",VLOOKUP(I131,'SINAPI-FEV.2017'!A:D,3,0),IF(H131="Cotação",VLOOKUP(I131,COTAÇÃO!A:D,3,0),IF(H131="Composição",VLOOKUP(I131,COMPOSIÇÃO!A:D,3,0))))))</f>
        <v>M3</v>
      </c>
      <c r="M131" s="870">
        <f>ROUND(VLOOKUP(G131,'MC_COLETOR CB'!C:P,13,0),2)</f>
        <v>0</v>
      </c>
      <c r="N131" s="399">
        <f>(IF(H131="Saneago",VLOOKUP(I131,'SANEAGO-FEV.2016'!A:D,4,0),IF(H131="Sinapi",VLOOKUP(I131,'SINAPI-FEV.2017'!A:D,4,0),IF(H131="Cotação",VLOOKUP(I131,COTAÇÃO!A:D,4,0),IF(H131="Composição",VLOOKUP(I131,COMPOSIÇÃO!A:D,4,0))))))</f>
        <v>1.46</v>
      </c>
      <c r="O131" s="102">
        <f>ROUND(IF(F131="Serviços",N131*(1+$O$7),IF(F131="Materiais",N131*(1+$O$8))),2)</f>
        <v>1.78</v>
      </c>
      <c r="P131" s="101">
        <f>ROUND(M131*O131,2)</f>
        <v>0</v>
      </c>
      <c r="Q131" s="1507">
        <v>0</v>
      </c>
      <c r="R131" s="1525"/>
      <c r="S131" s="1521"/>
      <c r="V131" s="1325"/>
      <c r="W131" s="1325"/>
      <c r="X131" s="1325"/>
    </row>
    <row r="132" spans="1:24" s="863" customFormat="1" ht="22.5" hidden="1" customHeight="1">
      <c r="A132" s="1482"/>
      <c r="B132" s="1482"/>
      <c r="C132" s="1483">
        <f t="shared" si="15"/>
        <v>2</v>
      </c>
      <c r="D132" s="1492">
        <f t="shared" si="16"/>
        <v>0</v>
      </c>
      <c r="E132" s="1492">
        <f t="shared" si="17"/>
        <v>12</v>
      </c>
      <c r="F132" s="1526" t="s">
        <v>11708</v>
      </c>
      <c r="G132" s="862" t="s">
        <v>20287</v>
      </c>
      <c r="H132" s="823" t="str">
        <f>VLOOKUP(G132,'MC_COLETOR CB'!C:P,2,0)</f>
        <v>SANEAGO</v>
      </c>
      <c r="I132" s="700">
        <f>VLOOKUP(G132,'MC_COLETOR CB'!C:P,3,0)</f>
        <v>233</v>
      </c>
      <c r="J132" s="824"/>
      <c r="K132" s="790" t="str">
        <f>(IF(H132="Saneago",VLOOKUP(I132,'SANEAGO-FEV.2016'!A:B,2,0),IF(H132="Sinapi",VLOOKUP(I132,'SINAPI-FEV.2017'!A:D,2,0),IF(H132="Cotação",VLOOKUP(I132,COTAÇÃO!A:D,2,0),IF(H132="Composição",VLOOKUP(I132,COMPOSIÇÃO!A:D,2,0))))))</f>
        <v>ESCAVAÇÃO  E CARGA DE MATERIAL DE JAZIDA (COM TRATOR E PÁ CARREGADEIRA)</v>
      </c>
      <c r="L132" s="700" t="str">
        <f>(IF(H132="Saneago",VLOOKUP(I132,'SANEAGO-FEV.2016'!A:D,3,0),IF(H132="Sinapi",VLOOKUP(I132,'SINAPI-FEV.2017'!A:D,3,0),IF(H132="Cotação",VLOOKUP(I132,COTAÇÃO!A:D,3,0),IF(H132="Composição",VLOOKUP(I132,COMPOSIÇÃO!A:D,3,0))))))</f>
        <v>M3</v>
      </c>
      <c r="M132" s="870">
        <f>ROUND(VLOOKUP(G132,'MC_COLETOR CB'!C:P,13,0),2)</f>
        <v>0</v>
      </c>
      <c r="N132" s="399">
        <f>(IF(H132="Saneago",VLOOKUP(I132,'SANEAGO-FEV.2016'!A:D,4,0),IF(H132="Sinapi",VLOOKUP(I132,'SINAPI-FEV.2017'!A:D,4,0),IF(H132="Cotação",VLOOKUP(I132,COTAÇÃO!A:D,4,0),IF(H132="Composição",VLOOKUP(I132,COMPOSIÇÃO!A:D,4,0))))))</f>
        <v>4.3499999999999996</v>
      </c>
      <c r="O132" s="102">
        <f>ROUND(IF(F132="Serviços",N132*(1+$O$7),IF(F132="Materiais",N132*(1+$O$8))),2)</f>
        <v>5.31</v>
      </c>
      <c r="P132" s="101">
        <f>ROUND(M132*O132,2)</f>
        <v>0</v>
      </c>
      <c r="Q132" s="1507">
        <v>0</v>
      </c>
      <c r="R132" s="1525"/>
      <c r="S132" s="1521"/>
      <c r="V132" s="1325"/>
      <c r="W132" s="1325"/>
      <c r="X132" s="1325"/>
    </row>
    <row r="133" spans="1:24" s="863" customFormat="1" ht="22.5" hidden="1" customHeight="1">
      <c r="A133" s="1482"/>
      <c r="B133" s="1482"/>
      <c r="C133" s="1483">
        <f t="shared" si="15"/>
        <v>2</v>
      </c>
      <c r="D133" s="1492">
        <f t="shared" si="16"/>
        <v>0</v>
      </c>
      <c r="E133" s="1492">
        <f t="shared" si="17"/>
        <v>12</v>
      </c>
      <c r="F133" s="1526" t="s">
        <v>11708</v>
      </c>
      <c r="G133" s="862" t="s">
        <v>20288</v>
      </c>
      <c r="H133" s="823" t="str">
        <f>VLOOKUP(G133,'MC_COLETOR CB'!C:P,2,0)</f>
        <v>SANEAGO</v>
      </c>
      <c r="I133" s="700">
        <f>VLOOKUP(G133,'MC_COLETOR CB'!C:P,3,0)</f>
        <v>246</v>
      </c>
      <c r="J133" s="824"/>
      <c r="K133" s="790" t="str">
        <f>(IF(H133="Saneago",VLOOKUP(I133,'SANEAGO-FEV.2016'!A:B,2,0),IF(H133="Sinapi",VLOOKUP(I133,'SINAPI-FEV.2017'!A:D,2,0),IF(H133="Cotação",VLOOKUP(I133,COTAÇÃO!A:D,2,0),IF(H133="Composição",VLOOKUP(I133,COMPOSIÇÃO!A:D,2,0))))))</f>
        <v>TRANSPORTE E DESCARGA  DE MATERIAL DE 1ª OU 2ª CATEGORIA  (M3 X KM) - EM CAMINHÃO  BASCULANTE CAP. 6 M3 - COM EMPOLAMENTO</v>
      </c>
      <c r="L133" s="700" t="str">
        <f>(IF(H133="Saneago",VLOOKUP(I133,'SANEAGO-FEV.2016'!A:D,3,0),IF(H133="Sinapi",VLOOKUP(I133,'SINAPI-FEV.2017'!A:D,3,0),IF(H133="Cotação",VLOOKUP(I133,COTAÇÃO!A:D,3,0),IF(H133="Composição",VLOOKUP(I133,COMPOSIÇÃO!A:D,3,0))))))</f>
        <v>M3XKM</v>
      </c>
      <c r="M133" s="870">
        <f>ROUND(VLOOKUP(G133,'MC_COLETOR CB'!C:P,13,0),2)</f>
        <v>0</v>
      </c>
      <c r="N133" s="399">
        <f>(IF(H133="Saneago",VLOOKUP(I133,'SANEAGO-FEV.2016'!A:D,4,0),IF(H133="Sinapi",VLOOKUP(I133,'SINAPI-FEV.2017'!A:D,4,0),IF(H133="Cotação",VLOOKUP(I133,COTAÇÃO!A:D,4,0),IF(H133="Composição",VLOOKUP(I133,COMPOSIÇÃO!A:D,4,0))))))</f>
        <v>1.91</v>
      </c>
      <c r="O133" s="102">
        <f>ROUND(IF(F133="Serviços",N133*(1+$O$7),IF(F133="Materiais",N133*(1+$O$8))),2)</f>
        <v>2.33</v>
      </c>
      <c r="P133" s="101">
        <f>ROUND(M133*O133,2)</f>
        <v>0</v>
      </c>
      <c r="Q133" s="1507">
        <v>0</v>
      </c>
      <c r="R133" s="1525"/>
      <c r="S133" s="1521"/>
      <c r="V133" s="1325"/>
      <c r="W133" s="1325"/>
      <c r="X133" s="1325"/>
    </row>
    <row r="134" spans="1:24" s="863" customFormat="1" ht="13.5" hidden="1" customHeight="1" thickBot="1">
      <c r="A134" s="1482"/>
      <c r="B134" s="1482"/>
      <c r="C134" s="1483">
        <f t="shared" si="15"/>
        <v>2</v>
      </c>
      <c r="D134" s="1492">
        <f t="shared" si="16"/>
        <v>0</v>
      </c>
      <c r="E134" s="1492">
        <f t="shared" si="17"/>
        <v>12</v>
      </c>
      <c r="F134" s="1526" t="s">
        <v>11708</v>
      </c>
      <c r="G134" s="1535"/>
      <c r="H134" s="823"/>
      <c r="I134" s="700"/>
      <c r="J134" s="824"/>
      <c r="K134" s="790"/>
      <c r="L134" s="700"/>
      <c r="M134" s="870"/>
      <c r="N134" s="399"/>
      <c r="O134" s="344"/>
      <c r="P134" s="342"/>
      <c r="Q134" s="1507"/>
      <c r="R134" s="1525"/>
      <c r="S134" s="1521"/>
      <c r="V134" s="1325"/>
      <c r="W134" s="1325"/>
      <c r="X134" s="1325"/>
    </row>
    <row r="135" spans="1:24" s="863" customFormat="1" ht="14.25" hidden="1" customHeight="1" thickTop="1" thickBot="1">
      <c r="A135" s="1482"/>
      <c r="B135" s="1482"/>
      <c r="C135" s="1483">
        <f t="shared" si="15"/>
        <v>2</v>
      </c>
      <c r="D135" s="1492">
        <f t="shared" si="16"/>
        <v>0</v>
      </c>
      <c r="E135" s="1492">
        <f t="shared" si="17"/>
        <v>12</v>
      </c>
      <c r="F135" s="1526" t="s">
        <v>11708</v>
      </c>
      <c r="G135" s="1535"/>
      <c r="H135" s="1538" t="str">
        <f>"TOTAL ITEM: "&amp;J129 &amp;K129</f>
        <v>TOTAL ITEM: 2.0.12 MATERIAL DE EMPRÉSTIMO PARA BASE ASFÁLTICA</v>
      </c>
      <c r="I135" s="1539"/>
      <c r="J135" s="1539"/>
      <c r="K135" s="1539"/>
      <c r="L135" s="1539"/>
      <c r="M135" s="1539"/>
      <c r="N135" s="718"/>
      <c r="O135" s="718"/>
      <c r="P135" s="343">
        <f>SUBTOTAL(9,P131:P133)</f>
        <v>0</v>
      </c>
      <c r="Q135" s="1507"/>
      <c r="R135" s="1525"/>
      <c r="S135" s="1521"/>
      <c r="V135" s="1325"/>
      <c r="W135" s="1325"/>
      <c r="X135" s="1325"/>
    </row>
    <row r="136" spans="1:24" s="863" customFormat="1" ht="13.5" hidden="1" customHeight="1" thickTop="1">
      <c r="A136" s="1482"/>
      <c r="B136" s="1482"/>
      <c r="C136" s="1483">
        <f t="shared" ref="C136:C198" si="21">C135</f>
        <v>2</v>
      </c>
      <c r="D136" s="1492">
        <f t="shared" si="16"/>
        <v>0</v>
      </c>
      <c r="E136" s="1492">
        <f t="shared" si="17"/>
        <v>12</v>
      </c>
      <c r="F136" s="1526" t="s">
        <v>11708</v>
      </c>
      <c r="G136" s="862"/>
      <c r="H136" s="823"/>
      <c r="I136" s="700"/>
      <c r="J136" s="824"/>
      <c r="K136" s="790"/>
      <c r="L136" s="700"/>
      <c r="M136" s="870"/>
      <c r="N136" s="399"/>
      <c r="O136" s="344"/>
      <c r="P136" s="342"/>
      <c r="Q136" s="1507"/>
      <c r="R136" s="1525"/>
      <c r="S136" s="1521"/>
      <c r="V136" s="1325"/>
      <c r="W136" s="1325"/>
      <c r="X136" s="1325"/>
    </row>
    <row r="137" spans="1:24" s="863" customFormat="1" ht="12.75" hidden="1" customHeight="1">
      <c r="A137" s="1482"/>
      <c r="B137" s="1482">
        <v>1</v>
      </c>
      <c r="C137" s="1483">
        <f t="shared" si="21"/>
        <v>2</v>
      </c>
      <c r="D137" s="1492">
        <f t="shared" si="16"/>
        <v>0</v>
      </c>
      <c r="E137" s="1492">
        <f t="shared" si="17"/>
        <v>13</v>
      </c>
      <c r="F137" s="1526" t="s">
        <v>11708</v>
      </c>
      <c r="G137" s="862"/>
      <c r="H137" s="1527" t="s">
        <v>11703</v>
      </c>
      <c r="I137" s="1528" t="s">
        <v>64</v>
      </c>
      <c r="J137" s="1529" t="str">
        <f>CONCATENATE(C137,".",D137,".",E137)</f>
        <v>2.0.13</v>
      </c>
      <c r="K137" s="1530" t="s">
        <v>14046</v>
      </c>
      <c r="L137" s="1531" t="s">
        <v>25</v>
      </c>
      <c r="M137" s="1532" t="s">
        <v>11704</v>
      </c>
      <c r="N137" s="586" t="s">
        <v>11705</v>
      </c>
      <c r="O137" s="587" t="s">
        <v>11706</v>
      </c>
      <c r="P137" s="588" t="s">
        <v>27</v>
      </c>
      <c r="Q137" s="1507" t="s">
        <v>11704</v>
      </c>
      <c r="R137" s="1525"/>
      <c r="S137" s="1521"/>
      <c r="V137" s="1325"/>
      <c r="W137" s="1325"/>
      <c r="X137" s="1325"/>
    </row>
    <row r="138" spans="1:24" s="863" customFormat="1" ht="12.75" hidden="1" customHeight="1">
      <c r="A138" s="1482"/>
      <c r="B138" s="1482"/>
      <c r="C138" s="1483">
        <f t="shared" si="21"/>
        <v>2</v>
      </c>
      <c r="D138" s="1492">
        <f t="shared" si="16"/>
        <v>0</v>
      </c>
      <c r="E138" s="1492">
        <f t="shared" si="17"/>
        <v>13</v>
      </c>
      <c r="F138" s="1526" t="s">
        <v>11708</v>
      </c>
      <c r="G138" s="862"/>
      <c r="H138" s="823"/>
      <c r="I138" s="700"/>
      <c r="J138" s="824"/>
      <c r="K138" s="700"/>
      <c r="L138" s="700"/>
      <c r="M138" s="870"/>
      <c r="N138" s="399"/>
      <c r="O138" s="344"/>
      <c r="P138" s="342"/>
      <c r="Q138" s="1507"/>
      <c r="R138" s="1525"/>
      <c r="S138" s="1521"/>
      <c r="V138" s="1325"/>
      <c r="W138" s="1325"/>
      <c r="X138" s="1325"/>
    </row>
    <row r="139" spans="1:24" s="863" customFormat="1" ht="33.75" hidden="1" customHeight="1">
      <c r="A139" s="1482"/>
      <c r="B139" s="1482"/>
      <c r="C139" s="1483">
        <f t="shared" si="21"/>
        <v>2</v>
      </c>
      <c r="D139" s="1492">
        <f t="shared" si="16"/>
        <v>0</v>
      </c>
      <c r="E139" s="1492">
        <f t="shared" si="17"/>
        <v>13</v>
      </c>
      <c r="F139" s="1526" t="s">
        <v>11708</v>
      </c>
      <c r="G139" s="862" t="s">
        <v>20289</v>
      </c>
      <c r="H139" s="823" t="str">
        <f>VLOOKUP(G139,'MC_COLETOR CB'!C:P,2,0)</f>
        <v>SINAPI</v>
      </c>
      <c r="I139" s="700" t="str">
        <f>VLOOKUP(G139,'MC_COLETOR CB'!C:P,3,0)</f>
        <v>74010/1</v>
      </c>
      <c r="J139" s="824"/>
      <c r="K139" s="790" t="str">
        <f>(IF(H139="Saneago",VLOOKUP(I139,'SANEAGO-FEV.2016'!A:B,2,0),IF(H139="Sinapi",VLOOKUP(I139,'SINAPI-FEV.2017'!A:D,2,0),IF(H139="Cotação",VLOOKUP(I139,COTAÇÃO!A:D,2,0),IF(H139="Composição",VLOOKUP(I139,COMPOSIÇÃO!A:D,2,0))))))</f>
        <v>CARGA E DESCARGA MECANICA DE SOLO UTILIZANDO CAMINHAO BASCULANTE 6,0M3/16T E PA CARREGADEIRA SOBRE PNEUS 128 HP, CAPACIDADE DA CAÇAMBA 1,7 A 2,8 M3, PESO OPERACIONAL 11632 KG</v>
      </c>
      <c r="L139" s="700" t="str">
        <f>(IF(H139="Saneago",VLOOKUP(I139,'SANEAGO-FEV.2016'!A:D,3,0),IF(H139="Sinapi",VLOOKUP(I139,'SINAPI-FEV.2017'!A:D,3,0),IF(H139="Cotação",VLOOKUP(I139,COTAÇÃO!A:D,3,0),IF(H139="Composição",VLOOKUP(I139,COMPOSIÇÃO!A:D,3,0))))))</f>
        <v>M3</v>
      </c>
      <c r="M139" s="870">
        <f>ROUND(VLOOKUP(G139,'MC_COLETOR CB'!C:P,13,0),2)</f>
        <v>0</v>
      </c>
      <c r="N139" s="399">
        <f>(IF(H139="Saneago",VLOOKUP(I139,'SANEAGO-FEV.2016'!A:D,4,0),IF(H139="Sinapi",VLOOKUP(I139,'SINAPI-FEV.2017'!A:D,4,0),IF(H139="Cotação",VLOOKUP(I139,COTAÇÃO!A:D,4,0),IF(H139="Composição",VLOOKUP(I139,COMPOSIÇÃO!A:D,4,0))))))</f>
        <v>1.76</v>
      </c>
      <c r="O139" s="102">
        <f>ROUND(IF(F139="Serviços",N139*(1+$O$7),IF(F139="Materiais",N139*(1+$O$8))),2)</f>
        <v>2.15</v>
      </c>
      <c r="P139" s="101">
        <f>ROUND(M139*O139,2)</f>
        <v>0</v>
      </c>
      <c r="Q139" s="1507">
        <v>0</v>
      </c>
      <c r="R139" s="1525"/>
      <c r="S139" s="1521"/>
      <c r="V139" s="1325"/>
      <c r="W139" s="1325"/>
      <c r="X139" s="1325"/>
    </row>
    <row r="140" spans="1:24" s="863" customFormat="1" ht="22.5" hidden="1" customHeight="1">
      <c r="A140" s="1482"/>
      <c r="B140" s="1482"/>
      <c r="C140" s="1483">
        <f t="shared" si="21"/>
        <v>2</v>
      </c>
      <c r="D140" s="1492">
        <f t="shared" si="16"/>
        <v>0</v>
      </c>
      <c r="E140" s="1492">
        <f t="shared" si="17"/>
        <v>13</v>
      </c>
      <c r="F140" s="1526" t="s">
        <v>11708</v>
      </c>
      <c r="G140" s="862" t="s">
        <v>20290</v>
      </c>
      <c r="H140" s="823" t="str">
        <f>VLOOKUP(G140,'MC_COLETOR CB'!C:P,2,0)</f>
        <v>SINAPI</v>
      </c>
      <c r="I140" s="700">
        <f>VLOOKUP(G140,'MC_COLETOR CB'!C:P,3,0)</f>
        <v>95302</v>
      </c>
      <c r="J140" s="824"/>
      <c r="K140" s="790" t="str">
        <f>(IF(H140="Saneago",VLOOKUP(I140,'SANEAGO-FEV.2016'!A:B,2,0),IF(H140="Sinapi",VLOOKUP(I140,'SINAPI-FEV.2017'!A:D,2,0),IF(H140="Cotação",VLOOKUP(I140,COTAÇÃO!A:D,2,0),IF(H140="Composição",VLOOKUP(I140,COMPOSIÇÃO!A:D,2,0))))))</f>
        <v>TRANSPORTE COM CAMINHÃO BASCULANTE 6 M3 EM RODOVIA PAVIMENTADA ( PARA DISTÂNCIAS SUPERIORES A 4 KM)</v>
      </c>
      <c r="L140" s="700" t="str">
        <f>(IF(H140="Saneago",VLOOKUP(I140,'SANEAGO-FEV.2016'!A:D,3,0),IF(H140="Sinapi",VLOOKUP(I140,'SINAPI-FEV.2017'!A:D,3,0),IF(H140="Cotação",VLOOKUP(I140,COTAÇÃO!A:D,3,0),IF(H140="Composição",VLOOKUP(I140,COMPOSIÇÃO!A:D,3,0))))))</f>
        <v>M3XKM</v>
      </c>
      <c r="M140" s="870">
        <f>ROUND(VLOOKUP(G140,'MC_COLETOR CB'!C:P,13,0),2)</f>
        <v>0</v>
      </c>
      <c r="N140" s="399">
        <f>(IF(H140="Saneago",VLOOKUP(I140,'SANEAGO-FEV.2016'!A:D,4,0),IF(H140="Sinapi",VLOOKUP(I140,'SINAPI-FEV.2017'!A:D,4,0),IF(H140="Cotação",VLOOKUP(I140,COTAÇÃO!A:D,4,0),IF(H140="Composição",VLOOKUP(I140,COMPOSIÇÃO!A:D,4,0))))))</f>
        <v>1.33</v>
      </c>
      <c r="O140" s="102">
        <f>ROUND(IF(F140="Serviços",N140*(1+$O$7),IF(F140="Materiais",N140*(1+$O$8))),2)</f>
        <v>1.62</v>
      </c>
      <c r="P140" s="101">
        <f>ROUND(M140*O140,2)</f>
        <v>0</v>
      </c>
      <c r="Q140" s="1507">
        <v>0</v>
      </c>
      <c r="R140" s="1525"/>
      <c r="S140" s="1521"/>
      <c r="V140" s="1325"/>
      <c r="W140" s="1325"/>
      <c r="X140" s="1325"/>
    </row>
    <row r="141" spans="1:24" s="863" customFormat="1" ht="22.5" hidden="1" customHeight="1">
      <c r="A141" s="1482"/>
      <c r="B141" s="1482"/>
      <c r="C141" s="1483">
        <f t="shared" si="21"/>
        <v>2</v>
      </c>
      <c r="D141" s="1492">
        <f t="shared" si="16"/>
        <v>0</v>
      </c>
      <c r="E141" s="1492">
        <f t="shared" si="17"/>
        <v>13</v>
      </c>
      <c r="F141" s="1526" t="s">
        <v>11708</v>
      </c>
      <c r="G141" s="862" t="s">
        <v>20291</v>
      </c>
      <c r="H141" s="823" t="str">
        <f>VLOOKUP(G141,'MC_COLETOR CB'!C:P,2,0)</f>
        <v>SINAPI</v>
      </c>
      <c r="I141" s="700">
        <f>VLOOKUP(G141,'MC_COLETOR CB'!C:P,3,0)</f>
        <v>83344</v>
      </c>
      <c r="J141" s="824"/>
      <c r="K141" s="790" t="str">
        <f>(IF(H141="Saneago",VLOOKUP(I141,'SANEAGO-FEV.2016'!A:B,2,0),IF(H141="Sinapi",VLOOKUP(I141,'SINAPI-FEV.2017'!A:D,2,0),IF(H141="Cotação",VLOOKUP(I141,COTAÇÃO!A:D,2,0),IF(H141="Composição",VLOOKUP(I141,COMPOSIÇÃO!A:D,2,0))))))</f>
        <v>ESPALHAMENTO DE MATERIAL EM BOTA FORA, COM UTILIZACAO DE TRATOR DE ESTEIRAS DE 165 HP</v>
      </c>
      <c r="L141" s="700" t="str">
        <f>(IF(H141="Saneago",VLOOKUP(I141,'SANEAGO-FEV.2016'!A:D,3,0),IF(H141="Sinapi",VLOOKUP(I141,'SINAPI-FEV.2017'!A:D,3,0),IF(H141="Cotação",VLOOKUP(I141,COTAÇÃO!A:D,3,0),IF(H141="Composição",VLOOKUP(I141,COMPOSIÇÃO!A:D,3,0))))))</f>
        <v>M3</v>
      </c>
      <c r="M141" s="870">
        <f>ROUND(VLOOKUP(G141,'MC_COLETOR CB'!C:P,13,0),2)</f>
        <v>0</v>
      </c>
      <c r="N141" s="399">
        <f>(IF(H141="Saneago",VLOOKUP(I141,'SANEAGO-FEV.2016'!A:D,4,0),IF(H141="Sinapi",VLOOKUP(I141,'SINAPI-FEV.2017'!A:D,4,0),IF(H141="Cotação",VLOOKUP(I141,COTAÇÃO!A:D,4,0),IF(H141="Composição",VLOOKUP(I141,COMPOSIÇÃO!A:D,4,0))))))</f>
        <v>1.02</v>
      </c>
      <c r="O141" s="102">
        <f>ROUND(IF(F141="Serviços",N141*(1+$O$7),IF(F141="Materiais",N141*(1+$O$8))),2)</f>
        <v>1.25</v>
      </c>
      <c r="P141" s="101">
        <f>ROUND(M141*O141,2)</f>
        <v>0</v>
      </c>
      <c r="Q141" s="1507">
        <v>0</v>
      </c>
      <c r="R141" s="1525"/>
      <c r="S141" s="1521"/>
      <c r="V141" s="1325"/>
      <c r="W141" s="1325"/>
      <c r="X141" s="1325"/>
    </row>
    <row r="142" spans="1:24" s="863" customFormat="1" ht="13.5" hidden="1" customHeight="1" thickBot="1">
      <c r="A142" s="1482"/>
      <c r="B142" s="1482"/>
      <c r="C142" s="1483">
        <f t="shared" si="21"/>
        <v>2</v>
      </c>
      <c r="D142" s="1492">
        <f t="shared" si="16"/>
        <v>0</v>
      </c>
      <c r="E142" s="1492">
        <f t="shared" si="17"/>
        <v>13</v>
      </c>
      <c r="F142" s="1526" t="s">
        <v>11708</v>
      </c>
      <c r="G142" s="1535"/>
      <c r="H142" s="823"/>
      <c r="I142" s="700"/>
      <c r="J142" s="824"/>
      <c r="K142" s="790"/>
      <c r="L142" s="700"/>
      <c r="M142" s="870"/>
      <c r="N142" s="399"/>
      <c r="O142" s="344"/>
      <c r="P142" s="342"/>
      <c r="Q142" s="1507"/>
      <c r="R142" s="1525"/>
      <c r="S142" s="1521"/>
      <c r="V142" s="1325"/>
      <c r="W142" s="1325"/>
      <c r="X142" s="1325"/>
    </row>
    <row r="143" spans="1:24" s="863" customFormat="1" ht="14.25" hidden="1" customHeight="1" thickTop="1" thickBot="1">
      <c r="A143" s="1482"/>
      <c r="B143" s="1482"/>
      <c r="C143" s="1483">
        <f t="shared" si="21"/>
        <v>2</v>
      </c>
      <c r="D143" s="1492">
        <f t="shared" si="16"/>
        <v>0</v>
      </c>
      <c r="E143" s="1492">
        <f t="shared" si="17"/>
        <v>13</v>
      </c>
      <c r="F143" s="1526" t="s">
        <v>11708</v>
      </c>
      <c r="G143" s="1535"/>
      <c r="H143" s="1538" t="str">
        <f>"TOTAL ITEM: "&amp;J137 &amp;K137</f>
        <v>TOTAL ITEM: 2.0.13 BOTA-FORA DE ENTULHOS (PAVIMENTOS)</v>
      </c>
      <c r="I143" s="1539"/>
      <c r="J143" s="1539"/>
      <c r="K143" s="1539"/>
      <c r="L143" s="1539"/>
      <c r="M143" s="1539"/>
      <c r="N143" s="718"/>
      <c r="O143" s="718"/>
      <c r="P143" s="343">
        <f>SUBTOTAL(9,P139:P141)</f>
        <v>0</v>
      </c>
      <c r="Q143" s="1507"/>
      <c r="R143" s="1525"/>
      <c r="S143" s="1521"/>
      <c r="V143" s="1325"/>
      <c r="W143" s="1325"/>
      <c r="X143" s="1325"/>
    </row>
    <row r="144" spans="1:24" s="863" customFormat="1" ht="13.5" hidden="1" customHeight="1" thickTop="1">
      <c r="A144" s="1482"/>
      <c r="B144" s="1482"/>
      <c r="C144" s="1483">
        <f t="shared" si="21"/>
        <v>2</v>
      </c>
      <c r="D144" s="1492">
        <f t="shared" si="16"/>
        <v>0</v>
      </c>
      <c r="E144" s="1492">
        <f t="shared" si="17"/>
        <v>13</v>
      </c>
      <c r="F144" s="1526" t="s">
        <v>11708</v>
      </c>
      <c r="G144" s="862"/>
      <c r="H144" s="823"/>
      <c r="I144" s="700"/>
      <c r="J144" s="824"/>
      <c r="K144" s="790"/>
      <c r="L144" s="700"/>
      <c r="M144" s="870"/>
      <c r="N144" s="399"/>
      <c r="O144" s="344"/>
      <c r="P144" s="342"/>
      <c r="Q144" s="1507"/>
      <c r="R144" s="1525"/>
      <c r="S144" s="1521"/>
      <c r="V144" s="1325"/>
      <c r="W144" s="1325"/>
      <c r="X144" s="1325"/>
    </row>
    <row r="145" spans="1:24" s="863" customFormat="1" ht="12.75" hidden="1" customHeight="1">
      <c r="A145" s="1482"/>
      <c r="B145" s="1482">
        <v>1</v>
      </c>
      <c r="C145" s="1483">
        <f t="shared" si="21"/>
        <v>2</v>
      </c>
      <c r="D145" s="1492">
        <f t="shared" si="16"/>
        <v>0</v>
      </c>
      <c r="E145" s="1492">
        <f t="shared" si="17"/>
        <v>14</v>
      </c>
      <c r="F145" s="1526" t="s">
        <v>11708</v>
      </c>
      <c r="G145" s="862"/>
      <c r="H145" s="1527" t="s">
        <v>11703</v>
      </c>
      <c r="I145" s="1528" t="s">
        <v>64</v>
      </c>
      <c r="J145" s="1529" t="str">
        <f>CONCATENATE(C145,".",D145,".",E145)</f>
        <v>2.0.14</v>
      </c>
      <c r="K145" s="1530" t="s">
        <v>14047</v>
      </c>
      <c r="L145" s="1531" t="s">
        <v>25</v>
      </c>
      <c r="M145" s="1532" t="s">
        <v>11704</v>
      </c>
      <c r="N145" s="586" t="s">
        <v>11705</v>
      </c>
      <c r="O145" s="587" t="s">
        <v>11706</v>
      </c>
      <c r="P145" s="588" t="s">
        <v>27</v>
      </c>
      <c r="Q145" s="1507" t="s">
        <v>11704</v>
      </c>
      <c r="R145" s="1525"/>
      <c r="S145" s="1521"/>
      <c r="V145" s="1325"/>
      <c r="W145" s="1325"/>
      <c r="X145" s="1325"/>
    </row>
    <row r="146" spans="1:24" s="863" customFormat="1" ht="12.75" hidden="1" customHeight="1">
      <c r="A146" s="1482"/>
      <c r="B146" s="1482"/>
      <c r="C146" s="1483">
        <f t="shared" si="21"/>
        <v>2</v>
      </c>
      <c r="D146" s="1492">
        <f t="shared" si="16"/>
        <v>0</v>
      </c>
      <c r="E146" s="1492">
        <f t="shared" si="17"/>
        <v>14</v>
      </c>
      <c r="F146" s="1526" t="s">
        <v>11708</v>
      </c>
      <c r="G146" s="862"/>
      <c r="H146" s="823"/>
      <c r="I146" s="700"/>
      <c r="J146" s="824"/>
      <c r="K146" s="700"/>
      <c r="L146" s="700"/>
      <c r="M146" s="870"/>
      <c r="N146" s="399"/>
      <c r="O146" s="344"/>
      <c r="P146" s="342"/>
      <c r="Q146" s="1507"/>
      <c r="R146" s="1525"/>
      <c r="S146" s="1521"/>
      <c r="V146" s="1325"/>
      <c r="W146" s="1325"/>
      <c r="X146" s="1325"/>
    </row>
    <row r="147" spans="1:24" s="863" customFormat="1" ht="22.5" hidden="1" customHeight="1">
      <c r="A147" s="1482"/>
      <c r="B147" s="1482"/>
      <c r="C147" s="1483">
        <f t="shared" si="21"/>
        <v>2</v>
      </c>
      <c r="D147" s="1492">
        <f t="shared" si="16"/>
        <v>0</v>
      </c>
      <c r="E147" s="1492">
        <f t="shared" si="17"/>
        <v>14</v>
      </c>
      <c r="F147" s="1526" t="s">
        <v>11708</v>
      </c>
      <c r="G147" s="862" t="s">
        <v>20292</v>
      </c>
      <c r="H147" s="823" t="str">
        <f>VLOOKUP(G147,'MC_COLETOR CB'!C:P,2,0)</f>
        <v>SANEAGO</v>
      </c>
      <c r="I147" s="700">
        <f>VLOOKUP(G147,'MC_COLETOR CB'!C:P,3,0)</f>
        <v>1737</v>
      </c>
      <c r="J147" s="824"/>
      <c r="K147" s="790" t="str">
        <f>(IF(H147="Saneago",VLOOKUP(I147,'SANEAGO-FEV.2016'!A:B,2,0),IF(H147="Sinapi",VLOOKUP(I147,'SINAPI-FEV.2017'!A:D,2,0),IF(H147="Cotação",VLOOKUP(I147,COTAÇÃO!A:D,2,0),IF(H147="Composição",VLOOKUP(I147,COMPOSIÇÃO!A:D,2,0))))))</f>
        <v>POÇO DE VISITA  EM ANÉIS DE CONCRETO DIÂMETROS 60 CM (CHAMINÉ) E 90 CM (BALÃO), INCLUINDO ANEL TAMPÃO DE CONCRETO, PROFUNDIDADE = 1,5 M</v>
      </c>
      <c r="L147" s="700" t="str">
        <f>(IF(H147="Saneago",VLOOKUP(I147,'SANEAGO-FEV.2016'!A:D,3,0),IF(H147="Sinapi",VLOOKUP(I147,'SINAPI-FEV.2017'!A:D,3,0),IF(H147="Cotação",VLOOKUP(I147,COTAÇÃO!A:D,3,0),IF(H147="Composição",VLOOKUP(I147,COMPOSIÇÃO!A:D,3,0))))))</f>
        <v>UN</v>
      </c>
      <c r="M147" s="870">
        <f>ROUND(VLOOKUP(G147,'MC_COLETOR CB'!C:P,13,0),2)</f>
        <v>0</v>
      </c>
      <c r="N147" s="399">
        <f>(IF(H147="Saneago",VLOOKUP(I147,'SANEAGO-FEV.2016'!A:D,4,0),IF(H147="Sinapi",VLOOKUP(I147,'SINAPI-FEV.2017'!A:D,4,0),IF(H147="Cotação",VLOOKUP(I147,COTAÇÃO!A:D,4,0),IF(H147="Composição",VLOOKUP(I147,COMPOSIÇÃO!A:D,4,0))))))</f>
        <v>1146.05</v>
      </c>
      <c r="O147" s="102">
        <f>ROUND(IF(F147="Serviços",N147*(1+$O$7),IF(F147="Materiais",N147*(1+$O$8))),2)</f>
        <v>1399.9</v>
      </c>
      <c r="P147" s="101">
        <f>ROUND(M147*O147,2)</f>
        <v>0</v>
      </c>
      <c r="Q147" s="1507">
        <v>0</v>
      </c>
      <c r="R147" s="1525"/>
      <c r="S147" s="1521"/>
      <c r="V147" s="1325"/>
      <c r="W147" s="1325"/>
      <c r="X147" s="1325"/>
    </row>
    <row r="148" spans="1:24" s="863" customFormat="1" ht="22.5" hidden="1" customHeight="1">
      <c r="A148" s="1482"/>
      <c r="B148" s="1482"/>
      <c r="C148" s="1483">
        <f t="shared" si="21"/>
        <v>2</v>
      </c>
      <c r="D148" s="1492">
        <f t="shared" si="16"/>
        <v>0</v>
      </c>
      <c r="E148" s="1492">
        <f t="shared" si="17"/>
        <v>14</v>
      </c>
      <c r="F148" s="1526" t="s">
        <v>11708</v>
      </c>
      <c r="G148" s="862" t="s">
        <v>20293</v>
      </c>
      <c r="H148" s="823" t="str">
        <f>VLOOKUP(G148,'MC_COLETOR CB'!C:P,2,0)</f>
        <v>SANEAGO</v>
      </c>
      <c r="I148" s="700">
        <f>VLOOKUP(G148,'MC_COLETOR CB'!C:P,3,0)</f>
        <v>1612</v>
      </c>
      <c r="J148" s="824"/>
      <c r="K148" s="790" t="str">
        <f>(IF(H148="Saneago",VLOOKUP(I148,'SANEAGO-FEV.2016'!A:B,2,0),IF(H148="Sinapi",VLOOKUP(I148,'SINAPI-FEV.2017'!A:D,2,0),IF(H148="Cotação",VLOOKUP(I148,COTAÇÃO!A:D,2,0),IF(H148="Composição",VLOOKUP(I148,COMPOSIÇÃO!A:D,2,0))))))</f>
        <v>POÇO DE VISITA  EM ANÉIS DE CONCRETO DIÂMETROS 60 CM (CHAMINÉ) E 90 CM (BALÃO), INCLUINDO ANEL TAMPÃO DE CONCRETO, PROFUNDIDADE = 2,0 M</v>
      </c>
      <c r="L148" s="700" t="str">
        <f>(IF(H148="Saneago",VLOOKUP(I148,'SANEAGO-FEV.2016'!A:D,3,0),IF(H148="Sinapi",VLOOKUP(I148,'SINAPI-FEV.2017'!A:D,3,0),IF(H148="Cotação",VLOOKUP(I148,COTAÇÃO!A:D,3,0),IF(H148="Composição",VLOOKUP(I148,COMPOSIÇÃO!A:D,3,0))))))</f>
        <v>UN</v>
      </c>
      <c r="M148" s="870">
        <f>ROUND(VLOOKUP(G148,'MC_COLETOR CB'!C:P,13,0),2)</f>
        <v>0</v>
      </c>
      <c r="N148" s="399">
        <f>(IF(H148="Saneago",VLOOKUP(I148,'SANEAGO-FEV.2016'!A:D,4,0),IF(H148="Sinapi",VLOOKUP(I148,'SINAPI-FEV.2017'!A:D,4,0),IF(H148="Cotação",VLOOKUP(I148,COTAÇÃO!A:D,4,0),IF(H148="Composição",VLOOKUP(I148,COMPOSIÇÃO!A:D,4,0))))))</f>
        <v>1231.04</v>
      </c>
      <c r="O148" s="102">
        <f>ROUND(IF(F148="Serviços",N148*(1+$O$7),IF(F148="Materiais",N148*(1+$O$8))),2)</f>
        <v>1503.72</v>
      </c>
      <c r="P148" s="101">
        <f>ROUND(M148*O148,2)</f>
        <v>0</v>
      </c>
      <c r="Q148" s="1507">
        <v>0</v>
      </c>
      <c r="R148" s="1525"/>
      <c r="S148" s="1521"/>
      <c r="V148" s="1325"/>
      <c r="W148" s="1325"/>
      <c r="X148" s="1325"/>
    </row>
    <row r="149" spans="1:24" s="863" customFormat="1" ht="22.5" hidden="1" customHeight="1">
      <c r="A149" s="1482"/>
      <c r="B149" s="1482"/>
      <c r="C149" s="1483">
        <f t="shared" si="21"/>
        <v>2</v>
      </c>
      <c r="D149" s="1492">
        <f t="shared" ref="D149:E154" si="22">D148+A149</f>
        <v>0</v>
      </c>
      <c r="E149" s="1492">
        <f t="shared" si="22"/>
        <v>14</v>
      </c>
      <c r="F149" s="1526" t="s">
        <v>11708</v>
      </c>
      <c r="G149" s="862" t="s">
        <v>20294</v>
      </c>
      <c r="H149" s="823" t="str">
        <f>VLOOKUP(G149,'MC_COLETOR CB'!C:P,2,0)</f>
        <v>SANEAGO</v>
      </c>
      <c r="I149" s="700">
        <f>VLOOKUP(G149,'MC_COLETOR CB'!C:P,3,0)</f>
        <v>1613</v>
      </c>
      <c r="J149" s="824"/>
      <c r="K149" s="790" t="str">
        <f>(IF(H149="Saneago",VLOOKUP(I149,'SANEAGO-FEV.2016'!A:B,2,0),IF(H149="Sinapi",VLOOKUP(I149,'SINAPI-FEV.2017'!A:D,2,0),IF(H149="Cotação",VLOOKUP(I149,COTAÇÃO!A:D,2,0),IF(H149="Composição",VLOOKUP(I149,COMPOSIÇÃO!A:D,2,0))))))</f>
        <v>POÇO DE VISITA  EM ANÉIS DE CONCRETO DIÂMETROS 60 CM (CHAMINÉ) E 90 CM (BALÃO), INCLUINDO ANEL TAMPÃO DE CONCRETO, PROFUNDIDADE = 2,5 M</v>
      </c>
      <c r="L149" s="700" t="str">
        <f>(IF(H149="Saneago",VLOOKUP(I149,'SANEAGO-FEV.2016'!A:D,3,0),IF(H149="Sinapi",VLOOKUP(I149,'SINAPI-FEV.2017'!A:D,3,0),IF(H149="Cotação",VLOOKUP(I149,COTAÇÃO!A:D,3,0),IF(H149="Composição",VLOOKUP(I149,COMPOSIÇÃO!A:D,3,0))))))</f>
        <v>UN</v>
      </c>
      <c r="M149" s="870">
        <f>ROUND(VLOOKUP(G149,'MC_COLETOR CB'!C:P,13,0),2)</f>
        <v>0</v>
      </c>
      <c r="N149" s="399">
        <f>(IF(H149="Saneago",VLOOKUP(I149,'SANEAGO-FEV.2016'!A:D,4,0),IF(H149="Sinapi",VLOOKUP(I149,'SINAPI-FEV.2017'!A:D,4,0),IF(H149="Cotação",VLOOKUP(I149,COTAÇÃO!A:D,4,0),IF(H149="Composição",VLOOKUP(I149,COMPOSIÇÃO!A:D,4,0))))))</f>
        <v>1370.56</v>
      </c>
      <c r="O149" s="102">
        <f>ROUND(IF(F149="Serviços",N149*(1+$O$7),IF(F149="Materiais",N149*(1+$O$8))),2)</f>
        <v>1674.14</v>
      </c>
      <c r="P149" s="101">
        <f>ROUND(M149*O149,2)</f>
        <v>0</v>
      </c>
      <c r="Q149" s="1507">
        <v>0</v>
      </c>
      <c r="R149" s="1525"/>
      <c r="S149" s="1521"/>
      <c r="V149" s="1325"/>
      <c r="W149" s="1325"/>
      <c r="X149" s="1325"/>
    </row>
    <row r="150" spans="1:24" s="863" customFormat="1" ht="22.5" hidden="1" customHeight="1">
      <c r="A150" s="1482"/>
      <c r="B150" s="1482"/>
      <c r="C150" s="1483">
        <f t="shared" si="21"/>
        <v>2</v>
      </c>
      <c r="D150" s="1492">
        <f t="shared" si="22"/>
        <v>0</v>
      </c>
      <c r="E150" s="1492">
        <f t="shared" si="22"/>
        <v>14</v>
      </c>
      <c r="F150" s="1526" t="s">
        <v>11708</v>
      </c>
      <c r="G150" s="862" t="s">
        <v>20295</v>
      </c>
      <c r="H150" s="823" t="str">
        <f>VLOOKUP(G150,'MC_COLETOR CB'!C:P,2,0)</f>
        <v>SANEAGO</v>
      </c>
      <c r="I150" s="700">
        <f>VLOOKUP(G150,'MC_COLETOR CB'!C:P,3,0)</f>
        <v>1614</v>
      </c>
      <c r="J150" s="824"/>
      <c r="K150" s="790" t="str">
        <f>(IF(H150="Saneago",VLOOKUP(I150,'SANEAGO-FEV.2016'!A:B,2,0),IF(H150="Sinapi",VLOOKUP(I150,'SINAPI-FEV.2017'!A:D,2,0),IF(H150="Cotação",VLOOKUP(I150,COTAÇÃO!A:D,2,0),IF(H150="Composição",VLOOKUP(I150,COMPOSIÇÃO!A:D,2,0))))))</f>
        <v>POÇO DE VISITA  EM ANÉIS DE CONCRETO DIÂMETROS 60 CM (CHAMINÉ) E 90 CM (BALÃO), INCLUINDO ANEL TAMPÃO DE CONCRETO, PROFUNDIDADE = 3,0 M</v>
      </c>
      <c r="L150" s="700" t="str">
        <f>(IF(H150="Saneago",VLOOKUP(I150,'SANEAGO-FEV.2016'!A:D,3,0),IF(H150="Sinapi",VLOOKUP(I150,'SINAPI-FEV.2017'!A:D,3,0),IF(H150="Cotação",VLOOKUP(I150,COTAÇÃO!A:D,3,0),IF(H150="Composição",VLOOKUP(I150,COMPOSIÇÃO!A:D,3,0))))))</f>
        <v>UN</v>
      </c>
      <c r="M150" s="870">
        <f>ROUND(VLOOKUP(G150,'MC_COLETOR CB'!C:P,13,0),2)</f>
        <v>0</v>
      </c>
      <c r="N150" s="399">
        <f>(IF(H150="Saneago",VLOOKUP(I150,'SANEAGO-FEV.2016'!A:D,4,0),IF(H150="Sinapi",VLOOKUP(I150,'SINAPI-FEV.2017'!A:D,4,0),IF(H150="Cotação",VLOOKUP(I150,COTAÇÃO!A:D,4,0),IF(H150="Composição",VLOOKUP(I150,COMPOSIÇÃO!A:D,4,0))))))</f>
        <v>1501.81</v>
      </c>
      <c r="O150" s="102">
        <f>ROUND(IF(F150="Serviços",N150*(1+$O$7),IF(F150="Materiais",N150*(1+$O$8))),2)</f>
        <v>1834.46</v>
      </c>
      <c r="P150" s="101">
        <f>ROUND(M150*O150,2)</f>
        <v>0</v>
      </c>
      <c r="Q150" s="1507">
        <v>0</v>
      </c>
      <c r="R150" s="1525"/>
      <c r="S150" s="1521"/>
      <c r="V150" s="1325"/>
      <c r="W150" s="1325"/>
      <c r="X150" s="1325"/>
    </row>
    <row r="151" spans="1:24" s="863" customFormat="1" ht="22.5" hidden="1" customHeight="1">
      <c r="A151" s="1482"/>
      <c r="B151" s="1482"/>
      <c r="C151" s="1483">
        <f t="shared" si="21"/>
        <v>2</v>
      </c>
      <c r="D151" s="1492">
        <f t="shared" si="22"/>
        <v>0</v>
      </c>
      <c r="E151" s="1492">
        <f t="shared" si="22"/>
        <v>14</v>
      </c>
      <c r="F151" s="1526" t="s">
        <v>11708</v>
      </c>
      <c r="G151" s="862" t="s">
        <v>20296</v>
      </c>
      <c r="H151" s="823" t="str">
        <f>VLOOKUP(G151,'MC_COLETOR CB'!C:P,2,0)</f>
        <v>SANEAGO</v>
      </c>
      <c r="I151" s="700">
        <f>VLOOKUP(G151,'MC_COLETOR CB'!C:P,3,0)</f>
        <v>1616</v>
      </c>
      <c r="J151" s="824"/>
      <c r="K151" s="790" t="str">
        <f>(IF(H151="Saneago",VLOOKUP(I151,'SANEAGO-FEV.2016'!A:B,2,0),IF(H151="Sinapi",VLOOKUP(I151,'SINAPI-FEV.2017'!A:D,2,0),IF(H151="Cotação",VLOOKUP(I151,COTAÇÃO!A:D,2,0),IF(H151="Composição",VLOOKUP(I151,COMPOSIÇÃO!A:D,2,0))))))</f>
        <v>POÇO DE VISITA  EM ANÉIS DE CONCRETO DIÂMETROS 60 CM (CHAMINÉ) E 90 CM (BALÃO), INCLUINDO ANEL TAMPÃO DE CONCRETO, PROFUNDIDADE = 4,0 M</v>
      </c>
      <c r="L151" s="700" t="str">
        <f>(IF(H151="Saneago",VLOOKUP(I151,'SANEAGO-FEV.2016'!A:D,3,0),IF(H151="Sinapi",VLOOKUP(I151,'SINAPI-FEV.2017'!A:D,3,0),IF(H151="Cotação",VLOOKUP(I151,COTAÇÃO!A:D,3,0),IF(H151="Composição",VLOOKUP(I151,COMPOSIÇÃO!A:D,3,0))))))</f>
        <v>UN</v>
      </c>
      <c r="M151" s="870">
        <f>ROUND(VLOOKUP(G151,'MC_COLETOR CB'!C:P,13,0),2)</f>
        <v>0</v>
      </c>
      <c r="N151" s="399">
        <f>(IF(H151="Saneago",VLOOKUP(I151,'SANEAGO-FEV.2016'!A:D,4,0),IF(H151="Sinapi",VLOOKUP(I151,'SINAPI-FEV.2017'!A:D,4,0),IF(H151="Cotação",VLOOKUP(I151,COTAÇÃO!A:D,4,0),IF(H151="Composição",VLOOKUP(I151,COMPOSIÇÃO!A:D,4,0))))))</f>
        <v>1726.7</v>
      </c>
      <c r="O151" s="102">
        <f>ROUND(IF(F151="Serviços",N151*(1+$O$7),IF(F151="Materiais",N151*(1+$O$8))),2)</f>
        <v>2109.16</v>
      </c>
      <c r="P151" s="101">
        <f>ROUND(M151*O151,2)</f>
        <v>0</v>
      </c>
      <c r="Q151" s="1507">
        <v>0</v>
      </c>
      <c r="R151" s="1525"/>
      <c r="S151" s="1521"/>
      <c r="V151" s="1325"/>
      <c r="W151" s="1325"/>
      <c r="X151" s="1325"/>
    </row>
    <row r="152" spans="1:24" s="863" customFormat="1" ht="13.5" hidden="1" customHeight="1" thickBot="1">
      <c r="A152" s="1482"/>
      <c r="B152" s="1482"/>
      <c r="C152" s="1483">
        <f t="shared" si="21"/>
        <v>2</v>
      </c>
      <c r="D152" s="1492">
        <f t="shared" si="22"/>
        <v>0</v>
      </c>
      <c r="E152" s="1492">
        <f t="shared" si="22"/>
        <v>14</v>
      </c>
      <c r="F152" s="1526" t="s">
        <v>11708</v>
      </c>
      <c r="G152" s="862"/>
      <c r="H152" s="823"/>
      <c r="I152" s="700"/>
      <c r="J152" s="824"/>
      <c r="K152" s="790"/>
      <c r="L152" s="700"/>
      <c r="M152" s="870"/>
      <c r="N152" s="399"/>
      <c r="O152" s="344"/>
      <c r="P152" s="342"/>
      <c r="Q152" s="1507"/>
      <c r="R152" s="1525"/>
      <c r="S152" s="1521"/>
      <c r="V152" s="1325"/>
      <c r="W152" s="1325"/>
      <c r="X152" s="1325"/>
    </row>
    <row r="153" spans="1:24" s="863" customFormat="1" ht="14.25" hidden="1" customHeight="1" thickTop="1" thickBot="1">
      <c r="A153" s="1482"/>
      <c r="B153" s="1482"/>
      <c r="C153" s="1483">
        <f t="shared" si="21"/>
        <v>2</v>
      </c>
      <c r="D153" s="1492">
        <f t="shared" si="22"/>
        <v>0</v>
      </c>
      <c r="E153" s="1492">
        <f t="shared" si="22"/>
        <v>14</v>
      </c>
      <c r="F153" s="1526" t="s">
        <v>11708</v>
      </c>
      <c r="G153" s="1535"/>
      <c r="H153" s="1538" t="str">
        <f>"TOTAL ITEM: "&amp;J145 &amp;K145</f>
        <v>TOTAL ITEM: 2.0.14 POÇOS DE VISITA</v>
      </c>
      <c r="I153" s="1539"/>
      <c r="J153" s="1539"/>
      <c r="K153" s="1539"/>
      <c r="L153" s="1539"/>
      <c r="M153" s="1539"/>
      <c r="N153" s="718"/>
      <c r="O153" s="718"/>
      <c r="P153" s="343">
        <f>SUBTOTAL(9,P147:P151)</f>
        <v>0</v>
      </c>
      <c r="Q153" s="1507"/>
      <c r="R153" s="1525"/>
      <c r="S153" s="1521"/>
      <c r="V153" s="1325"/>
      <c r="W153" s="1325"/>
      <c r="X153" s="1325"/>
    </row>
    <row r="154" spans="1:24" s="863" customFormat="1" ht="14.25" hidden="1" customHeight="1" thickTop="1" thickBot="1">
      <c r="A154" s="1482"/>
      <c r="B154" s="1482"/>
      <c r="C154" s="1483">
        <f t="shared" si="21"/>
        <v>2</v>
      </c>
      <c r="D154" s="1492">
        <f t="shared" si="22"/>
        <v>0</v>
      </c>
      <c r="E154" s="1492">
        <f t="shared" si="22"/>
        <v>14</v>
      </c>
      <c r="F154" s="1526" t="s">
        <v>11708</v>
      </c>
      <c r="G154" s="1535"/>
      <c r="H154" s="929"/>
      <c r="I154" s="1371"/>
      <c r="J154" s="1022"/>
      <c r="K154" s="1371"/>
      <c r="L154" s="1371"/>
      <c r="M154" s="1536"/>
      <c r="N154" s="394"/>
      <c r="O154" s="728"/>
      <c r="P154" s="267"/>
      <c r="Q154" s="1507"/>
      <c r="R154" s="1525"/>
      <c r="S154" s="1521"/>
      <c r="V154" s="1325"/>
      <c r="W154" s="1325"/>
      <c r="X154" s="1325"/>
    </row>
    <row r="155" spans="1:24" s="863" customFormat="1" ht="35.25" customHeight="1" thickTop="1" thickBot="1">
      <c r="A155" s="1482">
        <v>1</v>
      </c>
      <c r="B155" s="1482"/>
      <c r="C155" s="1483">
        <f t="shared" si="21"/>
        <v>2</v>
      </c>
      <c r="D155" s="1492">
        <f t="shared" ref="D155:D163" si="23">D154+A155</f>
        <v>1</v>
      </c>
      <c r="E155" s="1492">
        <v>0</v>
      </c>
      <c r="F155" s="1526" t="s">
        <v>11708</v>
      </c>
      <c r="G155" s="959"/>
      <c r="H155" s="1510" t="str">
        <f>CONCATENATE(C155,".",D155)</f>
        <v>2.1</v>
      </c>
      <c r="I155" s="1644" t="s">
        <v>14628</v>
      </c>
      <c r="J155" s="1644"/>
      <c r="K155" s="1644"/>
      <c r="L155" s="1644"/>
      <c r="M155" s="1644"/>
      <c r="N155" s="1644"/>
      <c r="O155" s="339" t="s">
        <v>11702</v>
      </c>
      <c r="P155" s="340">
        <f>SUBTOTAL(9,P157:P240)</f>
        <v>0</v>
      </c>
      <c r="Q155" s="1507"/>
      <c r="R155" s="1525"/>
      <c r="S155" s="1521"/>
      <c r="V155" s="1325"/>
      <c r="W155" s="1325"/>
      <c r="X155" s="1325"/>
    </row>
    <row r="156" spans="1:24" s="863" customFormat="1" ht="13.5" thickTop="1">
      <c r="A156" s="1482"/>
      <c r="B156" s="1482"/>
      <c r="C156" s="1483">
        <f t="shared" si="21"/>
        <v>2</v>
      </c>
      <c r="D156" s="1492">
        <f t="shared" si="23"/>
        <v>1</v>
      </c>
      <c r="E156" s="1492">
        <f>E155+B156</f>
        <v>0</v>
      </c>
      <c r="F156" s="1526" t="s">
        <v>11708</v>
      </c>
      <c r="G156" s="862"/>
      <c r="H156" s="823"/>
      <c r="I156" s="700"/>
      <c r="J156" s="824"/>
      <c r="K156" s="700"/>
      <c r="L156" s="700"/>
      <c r="M156" s="870"/>
      <c r="N156" s="399"/>
      <c r="O156" s="344"/>
      <c r="P156" s="342"/>
      <c r="Q156" s="1507"/>
      <c r="R156" s="1525"/>
      <c r="S156" s="1521"/>
      <c r="V156" s="1325"/>
      <c r="W156" s="1325"/>
      <c r="X156" s="1325"/>
    </row>
    <row r="157" spans="1:24" s="863" customFormat="1" ht="12.75">
      <c r="A157" s="1482"/>
      <c r="B157" s="1482"/>
      <c r="C157" s="1483">
        <f t="shared" si="21"/>
        <v>2</v>
      </c>
      <c r="D157" s="1492">
        <f t="shared" si="23"/>
        <v>1</v>
      </c>
      <c r="E157" s="1492">
        <v>1</v>
      </c>
      <c r="F157" s="1526" t="s">
        <v>11708</v>
      </c>
      <c r="G157" s="916"/>
      <c r="H157" s="1527" t="s">
        <v>11703</v>
      </c>
      <c r="I157" s="1528" t="s">
        <v>64</v>
      </c>
      <c r="J157" s="1529" t="str">
        <f>CONCATENATE(C157,".",D157,".",E157)</f>
        <v>2.1.1</v>
      </c>
      <c r="K157" s="1530" t="s">
        <v>11709</v>
      </c>
      <c r="L157" s="1531" t="s">
        <v>25</v>
      </c>
      <c r="M157" s="1532" t="s">
        <v>11704</v>
      </c>
      <c r="N157" s="586" t="s">
        <v>11705</v>
      </c>
      <c r="O157" s="587" t="s">
        <v>11706</v>
      </c>
      <c r="P157" s="588" t="s">
        <v>27</v>
      </c>
      <c r="Q157" s="1507" t="s">
        <v>11704</v>
      </c>
      <c r="R157" s="1525"/>
      <c r="S157" s="1521"/>
      <c r="V157" s="1325"/>
      <c r="W157" s="1325"/>
      <c r="X157" s="1325"/>
    </row>
    <row r="158" spans="1:24" s="863" customFormat="1" ht="12.75">
      <c r="A158" s="1482"/>
      <c r="B158" s="1482"/>
      <c r="C158" s="1483">
        <f t="shared" si="21"/>
        <v>2</v>
      </c>
      <c r="D158" s="1492">
        <f t="shared" si="23"/>
        <v>1</v>
      </c>
      <c r="E158" s="1492">
        <f t="shared" ref="E158:E163" si="24">E157+B158</f>
        <v>1</v>
      </c>
      <c r="F158" s="1526" t="s">
        <v>11708</v>
      </c>
      <c r="G158" s="916"/>
      <c r="H158" s="823"/>
      <c r="I158" s="700"/>
      <c r="J158" s="824"/>
      <c r="K158" s="700"/>
      <c r="L158" s="700"/>
      <c r="M158" s="870"/>
      <c r="N158" s="399"/>
      <c r="O158" s="344"/>
      <c r="P158" s="342"/>
      <c r="Q158" s="1507"/>
      <c r="R158" s="1525"/>
      <c r="S158" s="1521"/>
      <c r="V158" s="1325"/>
      <c r="W158" s="1325"/>
      <c r="X158" s="1325"/>
    </row>
    <row r="159" spans="1:24" s="863" customFormat="1" ht="22.5">
      <c r="A159" s="1482"/>
      <c r="B159" s="1482"/>
      <c r="C159" s="1483">
        <f t="shared" si="21"/>
        <v>2</v>
      </c>
      <c r="D159" s="1492">
        <f t="shared" si="23"/>
        <v>1</v>
      </c>
      <c r="E159" s="1492">
        <f t="shared" si="24"/>
        <v>1</v>
      </c>
      <c r="F159" s="1526" t="s">
        <v>11708</v>
      </c>
      <c r="G159" s="921" t="s">
        <v>14597</v>
      </c>
      <c r="H159" s="823" t="str">
        <f>VLOOKUP(G159,MC_TRAVESSIA_COLETOR!A:M,2,0)</f>
        <v>SINAPI</v>
      </c>
      <c r="I159" s="700" t="str">
        <f>VLOOKUP(G159,MC_TRAVESSIA_COLETOR!A:M,3,0)</f>
        <v>73992/1</v>
      </c>
      <c r="J159" s="824"/>
      <c r="K159" s="790" t="str">
        <f>(IF(H159="Saneago",VLOOKUP(I159,'SANEAGO-FEV.2016'!A:B,2,0),IF(H159="Sinapi",VLOOKUP(I159,'SINAPI-FEV.2017'!A:D,2,0),IF(H159="Cotação",VLOOKUP(I159,COTAÇÃO!A:D,2,0),IF(H159="Composição",VLOOKUP(I159,COMPOSIÇÃO!A:D,2,0))))))</f>
        <v>LOCACAO CONVENCIONAL DE OBRA, ATRAVÉS DE GABARITO DE TABUAS CORRIDAS PONTALETADAS A CADA 1,50M, SEM REAPROVEITAMENTO</v>
      </c>
      <c r="L159" s="700" t="str">
        <f>(IF(H159="Saneago",VLOOKUP(I159,'SANEAGO-FEV.2016'!A:D,3,0),IF(H159="Sinapi",VLOOKUP(I159,'SINAPI-FEV.2017'!A:D,3,0),IF(H159="Cotação",VLOOKUP(I159,COTAÇÃO!A:D,3,0),IF(H159="Composição",VLOOKUP(I159,COMPOSIÇÃO!A:D,3,0))))))</f>
        <v>M2</v>
      </c>
      <c r="M159" s="870">
        <f>ROUND(VLOOKUP(G159,MC_TRAVESSIA_COLETOR!A:M,13,0),2)</f>
        <v>17.25</v>
      </c>
      <c r="N159" s="399">
        <v>0</v>
      </c>
      <c r="O159" s="102">
        <f>ROUND(IF(F159="Serviços",N159*(1+$O$7),IF(F159="Materiais",N159*(1+$O$8))),2)</f>
        <v>0</v>
      </c>
      <c r="P159" s="101">
        <f>ROUND(M159*O159,2)</f>
        <v>0</v>
      </c>
      <c r="Q159" s="1507">
        <v>17.25</v>
      </c>
      <c r="R159" s="1525"/>
      <c r="S159" s="1521"/>
      <c r="V159" s="1325"/>
      <c r="W159" s="1325"/>
      <c r="X159" s="1325"/>
    </row>
    <row r="160" spans="1:24" s="863" customFormat="1" ht="22.5">
      <c r="A160" s="1482"/>
      <c r="B160" s="1482"/>
      <c r="C160" s="1483">
        <f>C159</f>
        <v>2</v>
      </c>
      <c r="D160" s="1492">
        <f t="shared" si="23"/>
        <v>1</v>
      </c>
      <c r="E160" s="1492">
        <f>E159+B160</f>
        <v>1</v>
      </c>
      <c r="F160" s="1526" t="s">
        <v>11708</v>
      </c>
      <c r="G160" s="921" t="s">
        <v>14598</v>
      </c>
      <c r="H160" s="823" t="str">
        <f>VLOOKUP(G160,MC_TRAVESSIA_COLETOR!A:M,2,0)</f>
        <v>SINAPI</v>
      </c>
      <c r="I160" s="700">
        <f>VLOOKUP(G160,MC_TRAVESSIA_COLETOR!A:M,3,0)</f>
        <v>85323</v>
      </c>
      <c r="J160" s="824"/>
      <c r="K160" s="790" t="str">
        <f>(IF(H160="Saneago",VLOOKUP(I160,'SANEAGO-FEV.2016'!A:B,2,0),IF(H160="Sinapi",VLOOKUP(I160,'SINAPI-FEV.2017'!A:D,2,0),IF(H160="Cotação",VLOOKUP(I160,COTAÇÃO!A:D,2,0),IF(H160="Composição",VLOOKUP(I160,COMPOSIÇÃO!A:D,2,0))))))</f>
        <v>LOCACAO E NIVELAMENTO DE EMISSARIO/REDE COLETORA COM AUXILIO DE EQUIPAMENTO TOPOGRAFICO</v>
      </c>
      <c r="L160" s="700" t="str">
        <f>(IF(H160="Saneago",VLOOKUP(I160,'SANEAGO-FEV.2016'!A:D,3,0),IF(H160="Sinapi",VLOOKUP(I160,'SINAPI-FEV.2017'!A:D,3,0),IF(H160="Cotação",VLOOKUP(I160,COTAÇÃO!A:D,3,0),IF(H160="Composição",VLOOKUP(I160,COMPOSIÇÃO!A:D,3,0))))))</f>
        <v>M</v>
      </c>
      <c r="M160" s="870">
        <f>ROUND(VLOOKUP(G160,MC_TRAVESSIA_COLETOR!A:M,13,0),2)</f>
        <v>104</v>
      </c>
      <c r="N160" s="399">
        <v>0</v>
      </c>
      <c r="O160" s="102">
        <f>ROUND(IF(F160="Serviços",N160*(1+$O$7),IF(F160="Materiais",N160*(1+$O$8))),2)</f>
        <v>0</v>
      </c>
      <c r="P160" s="101">
        <f>ROUND(M160*O160,2)</f>
        <v>0</v>
      </c>
      <c r="Q160" s="1507">
        <v>104</v>
      </c>
      <c r="R160" s="1525"/>
      <c r="S160" s="1521"/>
      <c r="V160" s="1325"/>
      <c r="W160" s="1325"/>
      <c r="X160" s="1325"/>
    </row>
    <row r="161" spans="1:24" s="863" customFormat="1" ht="13.5" thickBot="1">
      <c r="A161" s="1482"/>
      <c r="B161" s="1482"/>
      <c r="C161" s="1483">
        <f>C160</f>
        <v>2</v>
      </c>
      <c r="D161" s="1492">
        <f t="shared" si="23"/>
        <v>1</v>
      </c>
      <c r="E161" s="1492">
        <f>E160+B161</f>
        <v>1</v>
      </c>
      <c r="F161" s="1526" t="s">
        <v>11708</v>
      </c>
      <c r="G161" s="1537"/>
      <c r="H161" s="823"/>
      <c r="I161" s="700"/>
      <c r="J161" s="824"/>
      <c r="K161" s="790"/>
      <c r="L161" s="700"/>
      <c r="M161" s="870"/>
      <c r="N161" s="399"/>
      <c r="O161" s="344"/>
      <c r="P161" s="342"/>
      <c r="Q161" s="1507"/>
      <c r="R161" s="1525"/>
      <c r="S161" s="1521"/>
      <c r="V161" s="1325"/>
      <c r="W161" s="1325"/>
      <c r="X161" s="1325"/>
    </row>
    <row r="162" spans="1:24" s="863" customFormat="1" ht="14.25" customHeight="1" thickTop="1" thickBot="1">
      <c r="A162" s="1482"/>
      <c r="B162" s="1482"/>
      <c r="C162" s="1483">
        <f>C161</f>
        <v>2</v>
      </c>
      <c r="D162" s="1492">
        <f t="shared" si="23"/>
        <v>1</v>
      </c>
      <c r="E162" s="1492">
        <f>E161+B162</f>
        <v>1</v>
      </c>
      <c r="F162" s="1526" t="s">
        <v>11708</v>
      </c>
      <c r="G162" s="1537"/>
      <c r="H162" s="1653" t="str">
        <f>"TOTAL ITEM: "&amp;J157 &amp;K157</f>
        <v>TOTAL ITEM: 2.1.1 SERVIÇOS PRELIMINARES</v>
      </c>
      <c r="I162" s="1654"/>
      <c r="J162" s="1654"/>
      <c r="K162" s="1654"/>
      <c r="L162" s="1654"/>
      <c r="M162" s="1654"/>
      <c r="N162" s="1654"/>
      <c r="O162" s="1654"/>
      <c r="P162" s="343">
        <f>SUBTOTAL(9,P159:P160)</f>
        <v>0</v>
      </c>
      <c r="Q162" s="1507"/>
      <c r="R162" s="1525"/>
      <c r="S162" s="1521"/>
      <c r="V162" s="1325"/>
      <c r="W162" s="1325"/>
      <c r="X162" s="1325"/>
    </row>
    <row r="163" spans="1:24" s="863" customFormat="1" ht="13.5" thickTop="1">
      <c r="A163" s="1482"/>
      <c r="B163" s="1482"/>
      <c r="C163" s="1483">
        <f t="shared" si="21"/>
        <v>2</v>
      </c>
      <c r="D163" s="1492">
        <f t="shared" si="23"/>
        <v>1</v>
      </c>
      <c r="E163" s="1492">
        <f t="shared" si="24"/>
        <v>1</v>
      </c>
      <c r="F163" s="1526"/>
      <c r="G163" s="1537"/>
      <c r="H163" s="929"/>
      <c r="I163" s="1371"/>
      <c r="J163" s="1022"/>
      <c r="K163" s="1371"/>
      <c r="L163" s="1371"/>
      <c r="M163" s="1536"/>
      <c r="N163" s="394"/>
      <c r="O163" s="728"/>
      <c r="P163" s="267"/>
      <c r="Q163" s="1507"/>
      <c r="R163" s="1525"/>
      <c r="S163" s="1521"/>
      <c r="V163" s="1325"/>
      <c r="W163" s="1325"/>
      <c r="X163" s="1325"/>
    </row>
    <row r="164" spans="1:24" s="863" customFormat="1" ht="12.75">
      <c r="A164" s="1482"/>
      <c r="B164" s="1482">
        <v>1</v>
      </c>
      <c r="C164" s="1483">
        <f>C162</f>
        <v>2</v>
      </c>
      <c r="D164" s="1492">
        <f>D162+A164</f>
        <v>1</v>
      </c>
      <c r="E164" s="1492">
        <f>E162+B164</f>
        <v>2</v>
      </c>
      <c r="F164" s="1526" t="s">
        <v>11708</v>
      </c>
      <c r="G164" s="862"/>
      <c r="H164" s="1527" t="s">
        <v>11703</v>
      </c>
      <c r="I164" s="1528" t="s">
        <v>64</v>
      </c>
      <c r="J164" s="1529" t="str">
        <f>CONCATENATE(C164,".",D164,".",E164)</f>
        <v>2.1.2</v>
      </c>
      <c r="K164" s="1530" t="s">
        <v>11710</v>
      </c>
      <c r="L164" s="1531" t="s">
        <v>25</v>
      </c>
      <c r="M164" s="1532" t="s">
        <v>11704</v>
      </c>
      <c r="N164" s="586" t="s">
        <v>11705</v>
      </c>
      <c r="O164" s="587" t="s">
        <v>11706</v>
      </c>
      <c r="P164" s="588" t="s">
        <v>27</v>
      </c>
      <c r="Q164" s="1507" t="s">
        <v>11704</v>
      </c>
      <c r="R164" s="1525"/>
      <c r="S164" s="1521"/>
      <c r="V164" s="1325"/>
      <c r="W164" s="1325"/>
      <c r="X164" s="1325"/>
    </row>
    <row r="165" spans="1:24" s="863" customFormat="1" ht="12.75">
      <c r="A165" s="1482"/>
      <c r="B165" s="1482"/>
      <c r="C165" s="1483">
        <f t="shared" si="21"/>
        <v>2</v>
      </c>
      <c r="D165" s="1492">
        <f t="shared" ref="D165:D223" si="25">D164+A165</f>
        <v>1</v>
      </c>
      <c r="E165" s="1492">
        <f t="shared" ref="E165:E204" si="26">E164+B165</f>
        <v>2</v>
      </c>
      <c r="F165" s="1526" t="s">
        <v>11708</v>
      </c>
      <c r="G165" s="862"/>
      <c r="H165" s="823"/>
      <c r="I165" s="700"/>
      <c r="J165" s="824"/>
      <c r="K165" s="700"/>
      <c r="L165" s="700"/>
      <c r="M165" s="870"/>
      <c r="N165" s="399"/>
      <c r="O165" s="344"/>
      <c r="P165" s="342"/>
      <c r="Q165" s="1507"/>
      <c r="R165" s="1525"/>
      <c r="S165" s="1521"/>
      <c r="V165" s="1325"/>
      <c r="W165" s="1325"/>
      <c r="X165" s="1325"/>
    </row>
    <row r="166" spans="1:24" s="863" customFormat="1" ht="60" customHeight="1">
      <c r="A166" s="1482"/>
      <c r="B166" s="1482"/>
      <c r="C166" s="1483">
        <f t="shared" si="21"/>
        <v>2</v>
      </c>
      <c r="D166" s="1492">
        <f t="shared" si="25"/>
        <v>1</v>
      </c>
      <c r="E166" s="1492">
        <f t="shared" si="26"/>
        <v>2</v>
      </c>
      <c r="F166" s="1526" t="s">
        <v>11708</v>
      </c>
      <c r="G166" s="916" t="s">
        <v>14599</v>
      </c>
      <c r="H166" s="823" t="str">
        <f>VLOOKUP(G166,MC_TRAVESSIA_COLETOR!A:M,2,0)</f>
        <v>SINAPI</v>
      </c>
      <c r="I166" s="700">
        <f>VLOOKUP(G166,MC_TRAVESSIA_COLETOR!A:M,3,0)</f>
        <v>90105</v>
      </c>
      <c r="J166" s="824"/>
      <c r="K166" s="790" t="str">
        <f>(IF(H166="Saneago",VLOOKUP(I166,'SANEAGO-FEV.2016'!A:B,2,0),IF(H166="Sinapi",VLOOKUP(I166,'SINAPI-FEV.2017'!A:D,2,0),IF(H166="Cotação",VLOOKUP(I166,COTAÇÃO!A:D,2,0),IF(H166="Composição",VLOOKUP(I166,COMPOSIÇÃO!A:D,2,0))))))</f>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
      <c r="L166" s="700" t="str">
        <f>(IF(H166="Saneago",VLOOKUP(I166,'SANEAGO-FEV.2016'!A:D,3,0),IF(H166="Sinapi",VLOOKUP(I166,'SINAPI-FEV.2017'!A:D,3,0),IF(H166="Cotação",VLOOKUP(I166,COTAÇÃO!A:D,3,0),IF(H166="Composição",VLOOKUP(I166,COMPOSIÇÃO!A:D,3,0))))))</f>
        <v>M3</v>
      </c>
      <c r="M166" s="870">
        <f>ROUND(VLOOKUP(G166,MC_TRAVESSIA_COLETOR!A:M,13,0),2)</f>
        <v>196.07</v>
      </c>
      <c r="N166" s="399">
        <v>0</v>
      </c>
      <c r="O166" s="102">
        <f t="shared" ref="O166:O182" si="27">ROUND(IF(F166="Serviços",N166*(1+$O$7),IF(F166="Materiais",N166*(1+$O$8))),2)</f>
        <v>0</v>
      </c>
      <c r="P166" s="101">
        <f t="shared" ref="P166:P182" si="28">ROUND(M166*O166,2)</f>
        <v>0</v>
      </c>
      <c r="Q166" s="1507">
        <v>196.07</v>
      </c>
      <c r="R166" s="1525"/>
      <c r="S166" s="1521"/>
      <c r="V166" s="1325"/>
      <c r="W166" s="1325"/>
      <c r="X166" s="1325"/>
    </row>
    <row r="167" spans="1:24" s="863" customFormat="1" ht="56.25">
      <c r="A167" s="1482"/>
      <c r="B167" s="1482"/>
      <c r="C167" s="1483">
        <f t="shared" si="21"/>
        <v>2</v>
      </c>
      <c r="D167" s="1492">
        <f t="shared" si="25"/>
        <v>1</v>
      </c>
      <c r="E167" s="1492">
        <f t="shared" si="26"/>
        <v>2</v>
      </c>
      <c r="F167" s="1526" t="s">
        <v>11708</v>
      </c>
      <c r="G167" s="916" t="s">
        <v>14600</v>
      </c>
      <c r="H167" s="823" t="str">
        <f>VLOOKUP(G167,MC_TRAVESSIA_COLETOR!A:M,2,0)</f>
        <v>SINAPI</v>
      </c>
      <c r="I167" s="700">
        <f>VLOOKUP(G167,MC_TRAVESSIA_COLETOR!A:M,3,0)</f>
        <v>90107</v>
      </c>
      <c r="J167" s="824"/>
      <c r="K167" s="790" t="str">
        <f>(IF(H167="Saneago",VLOOKUP(I167,'SANEAGO-FEV.2016'!A:B,2,0),IF(H167="Sinapi",VLOOKUP(I167,'SINAPI-FEV.2017'!A:D,2,0),IF(H167="Cotação",VLOOKUP(I167,COTAÇÃO!A:D,2,0),IF(H167="Composição",VLOOKUP(I167,COMPOSIÇÃO!A:D,2,0))))))</f>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
      <c r="L167" s="700" t="str">
        <f>(IF(H167="Saneago",VLOOKUP(I167,'SANEAGO-FEV.2016'!A:D,3,0),IF(H167="Sinapi",VLOOKUP(I167,'SINAPI-FEV.2017'!A:D,3,0),IF(H167="Cotação",VLOOKUP(I167,COTAÇÃO!A:D,3,0),IF(H167="Composição",VLOOKUP(I167,COMPOSIÇÃO!A:D,3,0))))))</f>
        <v>M3</v>
      </c>
      <c r="M167" s="870">
        <f>ROUND(VLOOKUP(G167,MC_TRAVESSIA_COLETOR!A:M,13,0),2)</f>
        <v>109.5</v>
      </c>
      <c r="N167" s="399">
        <v>0</v>
      </c>
      <c r="O167" s="102">
        <f t="shared" si="27"/>
        <v>0</v>
      </c>
      <c r="P167" s="101">
        <f t="shared" si="28"/>
        <v>0</v>
      </c>
      <c r="Q167" s="1507">
        <v>109.5</v>
      </c>
      <c r="R167" s="1525"/>
      <c r="S167" s="1521"/>
      <c r="V167" s="1325"/>
      <c r="W167" s="1325"/>
      <c r="X167" s="1325"/>
    </row>
    <row r="168" spans="1:24" s="863" customFormat="1" ht="45">
      <c r="A168" s="1482"/>
      <c r="B168" s="1482"/>
      <c r="C168" s="1483">
        <f>C167</f>
        <v>2</v>
      </c>
      <c r="D168" s="1492">
        <f>D167+A168</f>
        <v>1</v>
      </c>
      <c r="E168" s="1492">
        <f>E167+B168</f>
        <v>2</v>
      </c>
      <c r="F168" s="1526" t="s">
        <v>11708</v>
      </c>
      <c r="G168" s="916" t="s">
        <v>14601</v>
      </c>
      <c r="H168" s="823" t="str">
        <f>VLOOKUP(G168,MC_TRAVESSIA_COLETOR!A:M,2,0)</f>
        <v>SINAPI</v>
      </c>
      <c r="I168" s="700">
        <f>VLOOKUP(G168,MC_TRAVESSIA_COLETOR!A:M,3,0)</f>
        <v>90094</v>
      </c>
      <c r="J168" s="824"/>
      <c r="K168" s="790" t="str">
        <f>(IF(H168="Saneago",VLOOKUP(I168,'SANEAGO-FEV.2016'!A:B,2,0),IF(H168="Sinapi",VLOOKUP(I168,'SINAPI-FEV.2017'!A:D,2,0),IF(H168="Cotação",VLOOKUP(I168,COTAÇÃO!A:D,2,0),IF(H168="Composição",VLOOKUP(I168,COMPOSIÇÃO!A:D,2,0))))))</f>
        <v>ESCAVAÇÃO MECANIZADA DE VALA COM PROF. MAIOR QUE 3,0 M ATÉ 4,5 M (MÉDIA ENTRE MONTANTE E JUSANTE/UMA COMPOSIÇÃO POR TRECHO), COM ESCAVADEIRA HIDRÁULICA (0,8 M3/111 HP), LARG. MENOR QUE 1,5 M, EM SOLO DE 1A CATEGORIA, LOCAIS COM BAIXO NÍVEL DE INTERFERÊNCIA. AF_01/2015</v>
      </c>
      <c r="L168" s="700" t="str">
        <f>(IF(H168="Saneago",VLOOKUP(I168,'SANEAGO-FEV.2016'!A:D,3,0),IF(H168="Sinapi",VLOOKUP(I168,'SINAPI-FEV.2017'!A:D,3,0),IF(H168="Cotação",VLOOKUP(I168,COTAÇÃO!A:D,3,0),IF(H168="Composição",VLOOKUP(I168,COMPOSIÇÃO!A:D,3,0))))))</f>
        <v>M3</v>
      </c>
      <c r="M168" s="870">
        <f>ROUND(VLOOKUP(G168,MC_TRAVESSIA_COLETOR!A:M,13,0),2)</f>
        <v>16.52</v>
      </c>
      <c r="N168" s="399">
        <v>0</v>
      </c>
      <c r="O168" s="102">
        <f t="shared" si="27"/>
        <v>0</v>
      </c>
      <c r="P168" s="101">
        <f t="shared" si="28"/>
        <v>0</v>
      </c>
      <c r="Q168" s="1507">
        <v>16.52</v>
      </c>
      <c r="R168" s="1525"/>
      <c r="S168" s="1521"/>
      <c r="V168" s="1325"/>
      <c r="W168" s="1325"/>
      <c r="X168" s="1325"/>
    </row>
    <row r="169" spans="1:24" s="863" customFormat="1" ht="22.5">
      <c r="A169" s="1482"/>
      <c r="B169" s="1482"/>
      <c r="C169" s="1483">
        <f t="shared" si="21"/>
        <v>2</v>
      </c>
      <c r="D169" s="1492">
        <f t="shared" si="25"/>
        <v>1</v>
      </c>
      <c r="E169" s="1492">
        <f t="shared" si="26"/>
        <v>2</v>
      </c>
      <c r="F169" s="1526" t="s">
        <v>11708</v>
      </c>
      <c r="G169" s="916" t="s">
        <v>14602</v>
      </c>
      <c r="H169" s="823" t="str">
        <f>VLOOKUP(G169,MC_TRAVESSIA_COLETOR!A:M,2,0)</f>
        <v>SANEAGO</v>
      </c>
      <c r="I169" s="700">
        <f>VLOOKUP(G169,MC_TRAVESSIA_COLETOR!A:M,3,0)</f>
        <v>192</v>
      </c>
      <c r="J169" s="824"/>
      <c r="K169" s="790" t="str">
        <f>(IF(H169="Saneago",VLOOKUP(I169,'SANEAGO-FEV.2016'!A:B,2,0),IF(H169="Sinapi",VLOOKUP(I169,'SINAPI-FEV.2017'!A:D,2,0),IF(H169="Cotação",VLOOKUP(I169,COTAÇÃO!A:D,2,0),IF(H169="Composição",VLOOKUP(I169,COMPOSIÇÃO!A:D,2,0))))))</f>
        <v>ESCAVAÇÃO  MECANIZADA   (COM  RETROESCAVADEIRA)  EM VALAS  COM  MATERIAL  DE  2ª  CATEGORIA  - PROFUNDIDADE ATÉ 2,0 M</v>
      </c>
      <c r="L169" s="700" t="str">
        <f>(IF(H169="Saneago",VLOOKUP(I169,'SANEAGO-FEV.2016'!A:D,3,0),IF(H169="Sinapi",VLOOKUP(I169,'SINAPI-FEV.2017'!A:D,3,0),IF(H169="Cotação",VLOOKUP(I169,COTAÇÃO!A:D,3,0),IF(H169="Composição",VLOOKUP(I169,COMPOSIÇÃO!A:D,3,0))))))</f>
        <v>M3</v>
      </c>
      <c r="M169" s="870">
        <f>ROUND(VLOOKUP(G169,MC_TRAVESSIA_COLETOR!A:M,13,0),2)</f>
        <v>10.89</v>
      </c>
      <c r="N169" s="399">
        <v>0</v>
      </c>
      <c r="O169" s="102">
        <f t="shared" si="27"/>
        <v>0</v>
      </c>
      <c r="P169" s="101">
        <f t="shared" si="28"/>
        <v>0</v>
      </c>
      <c r="Q169" s="1507">
        <v>10.89</v>
      </c>
      <c r="R169" s="1525"/>
      <c r="S169" s="1521"/>
      <c r="V169" s="1325"/>
      <c r="W169" s="1325"/>
      <c r="X169" s="1325"/>
    </row>
    <row r="170" spans="1:24" s="863" customFormat="1" ht="22.5">
      <c r="A170" s="1482"/>
      <c r="B170" s="1482"/>
      <c r="C170" s="1483">
        <f>C169</f>
        <v>2</v>
      </c>
      <c r="D170" s="1492">
        <f>D169+A170</f>
        <v>1</v>
      </c>
      <c r="E170" s="1492">
        <f>E169+B170</f>
        <v>2</v>
      </c>
      <c r="F170" s="1526" t="s">
        <v>11708</v>
      </c>
      <c r="G170" s="916" t="s">
        <v>14603</v>
      </c>
      <c r="H170" s="823" t="str">
        <f>VLOOKUP(G170,MC_TRAVESSIA_COLETOR!A:M,2,0)</f>
        <v>SANEAGO</v>
      </c>
      <c r="I170" s="700">
        <f>VLOOKUP(G170,MC_TRAVESSIA_COLETOR!A:M,3,0)</f>
        <v>193</v>
      </c>
      <c r="J170" s="824"/>
      <c r="K170" s="790" t="str">
        <f>(IF(H170="Saneago",VLOOKUP(I170,'SANEAGO-FEV.2016'!A:B,2,0),IF(H170="Sinapi",VLOOKUP(I170,'SINAPI-FEV.2017'!A:D,2,0),IF(H170="Cotação",VLOOKUP(I170,COTAÇÃO!A:D,2,0),IF(H170="Composição",VLOOKUP(I170,COMPOSIÇÃO!A:D,2,0))))))</f>
        <v>ESCAVAÇÃO  MECANIZADA   (COM  RETROESCAVADEIRA)  EM VALAS  COM  MATERIAL  DE  2ª  CATEGORIA  - PROFUNDIDADE DE 2,0 A 4,0M</v>
      </c>
      <c r="L170" s="700" t="str">
        <f>(IF(H170="Saneago",VLOOKUP(I170,'SANEAGO-FEV.2016'!A:D,3,0),IF(H170="Sinapi",VLOOKUP(I170,'SINAPI-FEV.2017'!A:D,3,0),IF(H170="Cotação",VLOOKUP(I170,COTAÇÃO!A:D,3,0),IF(H170="Composição",VLOOKUP(I170,COMPOSIÇÃO!A:D,3,0))))))</f>
        <v>M3</v>
      </c>
      <c r="M170" s="870">
        <f>ROUND(VLOOKUP(G170,MC_TRAVESSIA_COLETOR!A:M,13,0),2)</f>
        <v>7</v>
      </c>
      <c r="N170" s="399">
        <v>0</v>
      </c>
      <c r="O170" s="102">
        <f t="shared" si="27"/>
        <v>0</v>
      </c>
      <c r="P170" s="101">
        <f t="shared" si="28"/>
        <v>0</v>
      </c>
      <c r="Q170" s="1507">
        <v>7</v>
      </c>
      <c r="R170" s="1525"/>
      <c r="S170" s="1521"/>
      <c r="V170" s="1325"/>
      <c r="W170" s="1325"/>
      <c r="X170" s="1325"/>
    </row>
    <row r="171" spans="1:24" s="863" customFormat="1" ht="22.5">
      <c r="A171" s="1482"/>
      <c r="B171" s="1482"/>
      <c r="C171" s="1483">
        <f t="shared" si="21"/>
        <v>2</v>
      </c>
      <c r="D171" s="1492">
        <f t="shared" si="25"/>
        <v>1</v>
      </c>
      <c r="E171" s="1492">
        <f t="shared" si="26"/>
        <v>2</v>
      </c>
      <c r="F171" s="1526" t="s">
        <v>11708</v>
      </c>
      <c r="G171" s="916" t="s">
        <v>14604</v>
      </c>
      <c r="H171" s="823" t="str">
        <f>VLOOKUP(G171,MC_TRAVESSIA_COLETOR!A:M,2,0)</f>
        <v>SANEAGO</v>
      </c>
      <c r="I171" s="700">
        <f>VLOOKUP(G171,MC_TRAVESSIA_COLETOR!A:M,3,0)</f>
        <v>194</v>
      </c>
      <c r="J171" s="824"/>
      <c r="K171" s="790" t="str">
        <f>(IF(H171="Saneago",VLOOKUP(I171,'SANEAGO-FEV.2016'!A:B,2,0),IF(H171="Sinapi",VLOOKUP(I171,'SINAPI-FEV.2017'!A:D,2,0),IF(H171="Cotação",VLOOKUP(I171,COTAÇÃO!A:D,2,0),IF(H171="Composição",VLOOKUP(I171,COMPOSIÇÃO!A:D,2,0))))))</f>
        <v>ESCAVAÇÃO   MECANIZADA   (COM  RETROESCAVADEIRA)  EM  VALAS  COM  MATERIAL   DE  SOLO  MOLE  - PROFUNDIDADE ATÉ 2,0 M</v>
      </c>
      <c r="L171" s="700" t="str">
        <f>(IF(H171="Saneago",VLOOKUP(I171,'SANEAGO-FEV.2016'!A:D,3,0),IF(H171="Sinapi",VLOOKUP(I171,'SINAPI-FEV.2017'!A:D,3,0),IF(H171="Cotação",VLOOKUP(I171,COTAÇÃO!A:D,3,0),IF(H171="Composição",VLOOKUP(I171,COMPOSIÇÃO!A:D,3,0))))))</f>
        <v>M3</v>
      </c>
      <c r="M171" s="870">
        <f>ROUND(VLOOKUP(G171,MC_TRAVESSIA_COLETOR!A:M,13,0),2)</f>
        <v>10.89</v>
      </c>
      <c r="N171" s="399">
        <v>0</v>
      </c>
      <c r="O171" s="102">
        <f t="shared" si="27"/>
        <v>0</v>
      </c>
      <c r="P171" s="101">
        <f t="shared" si="28"/>
        <v>0</v>
      </c>
      <c r="Q171" s="1507">
        <v>10.89</v>
      </c>
      <c r="R171" s="1525"/>
      <c r="S171" s="1521"/>
      <c r="V171" s="1325"/>
      <c r="W171" s="1325"/>
      <c r="X171" s="1325"/>
    </row>
    <row r="172" spans="1:24" s="863" customFormat="1" ht="22.5">
      <c r="A172" s="1482"/>
      <c r="B172" s="1482"/>
      <c r="C172" s="1483">
        <f>C171</f>
        <v>2</v>
      </c>
      <c r="D172" s="1492">
        <f>D171+A172</f>
        <v>1</v>
      </c>
      <c r="E172" s="1492">
        <f>E171+B172</f>
        <v>2</v>
      </c>
      <c r="F172" s="1526" t="s">
        <v>11708</v>
      </c>
      <c r="G172" s="916" t="s">
        <v>14605</v>
      </c>
      <c r="H172" s="823" t="str">
        <f>VLOOKUP(G172,MC_TRAVESSIA_COLETOR!A:M,2,0)</f>
        <v>SANEAGO</v>
      </c>
      <c r="I172" s="700">
        <f>VLOOKUP(G172,MC_TRAVESSIA_COLETOR!A:M,3,0)</f>
        <v>195</v>
      </c>
      <c r="J172" s="824"/>
      <c r="K172" s="790" t="str">
        <f>(IF(H172="Saneago",VLOOKUP(I172,'SANEAGO-FEV.2016'!A:B,2,0),IF(H172="Sinapi",VLOOKUP(I172,'SINAPI-FEV.2017'!A:D,2,0),IF(H172="Cotação",VLOOKUP(I172,COTAÇÃO!A:D,2,0),IF(H172="Composição",VLOOKUP(I172,COMPOSIÇÃO!A:D,2,0))))))</f>
        <v>ESCAVAÇÃO   MECANIZADA   (COM  RETROESCAVADEIRA)  EM  VALAS  COM  MATERIAL   DE  SOLO  MOLE  - PROFUNDIDADE DE 2,0 A 4,0 M</v>
      </c>
      <c r="L172" s="700" t="str">
        <f>(IF(H172="Saneago",VLOOKUP(I172,'SANEAGO-FEV.2016'!A:D,3,0),IF(H172="Sinapi",VLOOKUP(I172,'SINAPI-FEV.2017'!A:D,3,0),IF(H172="Cotação",VLOOKUP(I172,COTAÇÃO!A:D,3,0),IF(H172="Composição",VLOOKUP(I172,COMPOSIÇÃO!A:D,3,0))))))</f>
        <v>M3</v>
      </c>
      <c r="M172" s="870">
        <f>ROUND(VLOOKUP(G172,MC_TRAVESSIA_COLETOR!A:M,13,0),2)</f>
        <v>7</v>
      </c>
      <c r="N172" s="399">
        <v>0</v>
      </c>
      <c r="O172" s="102">
        <f t="shared" si="27"/>
        <v>0</v>
      </c>
      <c r="P172" s="101">
        <f t="shared" si="28"/>
        <v>0</v>
      </c>
      <c r="Q172" s="1507">
        <v>7</v>
      </c>
      <c r="R172" s="1525"/>
      <c r="S172" s="1521"/>
      <c r="V172" s="1325"/>
      <c r="W172" s="1325"/>
      <c r="X172" s="1325"/>
    </row>
    <row r="173" spans="1:24" s="863" customFormat="1" ht="12.75">
      <c r="A173" s="1482"/>
      <c r="B173" s="1482"/>
      <c r="C173" s="1483">
        <f t="shared" si="21"/>
        <v>2</v>
      </c>
      <c r="D173" s="1492">
        <f t="shared" si="25"/>
        <v>1</v>
      </c>
      <c r="E173" s="1492">
        <f t="shared" si="26"/>
        <v>2</v>
      </c>
      <c r="F173" s="1526" t="s">
        <v>11708</v>
      </c>
      <c r="G173" s="916" t="s">
        <v>14606</v>
      </c>
      <c r="H173" s="823" t="str">
        <f>VLOOKUP(G173,MC_TRAVESSIA_COLETOR!A:M,2,0)</f>
        <v>SINAPI</v>
      </c>
      <c r="I173" s="700">
        <f>VLOOKUP(G173,MC_TRAVESSIA_COLETOR!A:M,3,0)</f>
        <v>93358</v>
      </c>
      <c r="J173" s="824"/>
      <c r="K173" s="790" t="str">
        <f>(IF(H173="Saneago",VLOOKUP(I173,'SANEAGO-FEV.2016'!A:B,2,0),IF(H173="Sinapi",VLOOKUP(I173,'SINAPI-FEV.2017'!A:D,2,0),IF(H173="Cotação",VLOOKUP(I173,COTAÇÃO!A:D,2,0),IF(H173="Composição",VLOOKUP(I173,COMPOSIÇÃO!A:D,2,0))))))</f>
        <v>ESCAVAÇÃO MANUAL DE VALAS. AF_03/2016</v>
      </c>
      <c r="L173" s="700" t="str">
        <f>(IF(H173="Saneago",VLOOKUP(I173,'SANEAGO-FEV.2016'!A:D,3,0),IF(H173="Sinapi",VLOOKUP(I173,'SINAPI-FEV.2017'!A:D,3,0),IF(H173="Cotação",VLOOKUP(I173,COTAÇÃO!A:D,3,0),IF(H173="Composição",VLOOKUP(I173,COMPOSIÇÃO!A:D,3,0))))))</f>
        <v>M3</v>
      </c>
      <c r="M173" s="870">
        <f>ROUND(VLOOKUP(G173,MC_TRAVESSIA_COLETOR!A:M,13,0),2)</f>
        <v>16.95</v>
      </c>
      <c r="N173" s="399">
        <v>0</v>
      </c>
      <c r="O173" s="102">
        <f t="shared" si="27"/>
        <v>0</v>
      </c>
      <c r="P173" s="101">
        <f t="shared" si="28"/>
        <v>0</v>
      </c>
      <c r="Q173" s="1507">
        <v>16.95</v>
      </c>
      <c r="R173" s="1525"/>
      <c r="S173" s="1521"/>
      <c r="V173" s="1325"/>
      <c r="W173" s="1325"/>
      <c r="X173" s="1325"/>
    </row>
    <row r="174" spans="1:24" s="863" customFormat="1" ht="22.5">
      <c r="A174" s="1482"/>
      <c r="B174" s="1482"/>
      <c r="C174" s="1483">
        <f>C173</f>
        <v>2</v>
      </c>
      <c r="D174" s="1492">
        <f>D173+A174</f>
        <v>1</v>
      </c>
      <c r="E174" s="1492">
        <f>E173+B174</f>
        <v>2</v>
      </c>
      <c r="F174" s="1526" t="s">
        <v>11708</v>
      </c>
      <c r="G174" s="916" t="s">
        <v>14607</v>
      </c>
      <c r="H174" s="823" t="str">
        <f>VLOOKUP(G174,MC_TRAVESSIA_COLETOR!A:M,2,0)</f>
        <v>SANEAGO</v>
      </c>
      <c r="I174" s="700">
        <f>VLOOKUP(G174,MC_TRAVESSIA_COLETOR!A:M,3,0)</f>
        <v>170</v>
      </c>
      <c r="J174" s="824"/>
      <c r="K174" s="790" t="str">
        <f>(IF(H174="Saneago",VLOOKUP(I174,'SANEAGO-FEV.2016'!A:B,2,0),IF(H174="Sinapi",VLOOKUP(I174,'SINAPI-FEV.2017'!A:D,2,0),IF(H174="Cotação",VLOOKUP(I174,COTAÇÃO!A:D,2,0),IF(H174="Composição",VLOOKUP(I174,COMPOSIÇÃO!A:D,2,0))))))</f>
        <v>ESCAVAÇÃO  MANUAL EM VALAS COM MATERIAL DE 2ª CATEGORIA  - PROFUNDIDADE ATÉ 2,0 M</v>
      </c>
      <c r="L174" s="700" t="str">
        <f>(IF(H174="Saneago",VLOOKUP(I174,'SANEAGO-FEV.2016'!A:D,3,0),IF(H174="Sinapi",VLOOKUP(I174,'SINAPI-FEV.2017'!A:D,3,0),IF(H174="Cotação",VLOOKUP(I174,COTAÇÃO!A:D,3,0),IF(H174="Composição",VLOOKUP(I174,COMPOSIÇÃO!A:D,3,0))))))</f>
        <v>M3</v>
      </c>
      <c r="M174" s="870">
        <f>ROUND(VLOOKUP(G174,MC_TRAVESSIA_COLETOR!A:M,13,0),2)</f>
        <v>0.56999999999999995</v>
      </c>
      <c r="N174" s="399">
        <v>0</v>
      </c>
      <c r="O174" s="102">
        <f t="shared" si="27"/>
        <v>0</v>
      </c>
      <c r="P174" s="101">
        <f t="shared" si="28"/>
        <v>0</v>
      </c>
      <c r="Q174" s="1507">
        <v>0.56999999999999995</v>
      </c>
      <c r="R174" s="1525"/>
      <c r="S174" s="1521"/>
      <c r="V174" s="1325"/>
      <c r="W174" s="1325"/>
      <c r="X174" s="1325"/>
    </row>
    <row r="175" spans="1:24" s="863" customFormat="1" ht="22.5">
      <c r="A175" s="1482"/>
      <c r="B175" s="1482"/>
      <c r="C175" s="1483">
        <f t="shared" si="21"/>
        <v>2</v>
      </c>
      <c r="D175" s="1492">
        <f t="shared" si="25"/>
        <v>1</v>
      </c>
      <c r="E175" s="1492">
        <f t="shared" si="26"/>
        <v>2</v>
      </c>
      <c r="F175" s="1526" t="s">
        <v>11708</v>
      </c>
      <c r="G175" s="916" t="s">
        <v>14608</v>
      </c>
      <c r="H175" s="823" t="str">
        <f>VLOOKUP(G175,MC_TRAVESSIA_COLETOR!A:M,2,0)</f>
        <v>SANEAGO</v>
      </c>
      <c r="I175" s="700">
        <f>VLOOKUP(G175,MC_TRAVESSIA_COLETOR!A:M,3,0)</f>
        <v>171</v>
      </c>
      <c r="J175" s="824"/>
      <c r="K175" s="790" t="str">
        <f>(IF(H175="Saneago",VLOOKUP(I175,'SANEAGO-FEV.2016'!A:B,2,0),IF(H175="Sinapi",VLOOKUP(I175,'SINAPI-FEV.2017'!A:D,2,0),IF(H175="Cotação",VLOOKUP(I175,COTAÇÃO!A:D,2,0),IF(H175="Composição",VLOOKUP(I175,COMPOSIÇÃO!A:D,2,0))))))</f>
        <v>ESCAVAÇÃO  MANUAL EM VALAS COM MATERIAL DE 2ª CATEGORIA  - PROFUNDIDADE DE 2,0 A 4,0 M</v>
      </c>
      <c r="L175" s="700" t="str">
        <f>(IF(H175="Saneago",VLOOKUP(I175,'SANEAGO-FEV.2016'!A:D,3,0),IF(H175="Sinapi",VLOOKUP(I175,'SINAPI-FEV.2017'!A:D,3,0),IF(H175="Cotação",VLOOKUP(I175,COTAÇÃO!A:D,3,0),IF(H175="Composição",VLOOKUP(I175,COMPOSIÇÃO!A:D,3,0))))))</f>
        <v>M3</v>
      </c>
      <c r="M175" s="870">
        <f>ROUND(VLOOKUP(G175,MC_TRAVESSIA_COLETOR!A:M,13,0),2)</f>
        <v>0.37</v>
      </c>
      <c r="N175" s="399">
        <v>0</v>
      </c>
      <c r="O175" s="102">
        <f t="shared" si="27"/>
        <v>0</v>
      </c>
      <c r="P175" s="101">
        <f t="shared" si="28"/>
        <v>0</v>
      </c>
      <c r="Q175" s="1507">
        <v>0.37</v>
      </c>
      <c r="R175" s="1525"/>
      <c r="S175" s="1521"/>
      <c r="V175" s="1325"/>
      <c r="W175" s="1325"/>
      <c r="X175" s="1325"/>
    </row>
    <row r="176" spans="1:24" s="863" customFormat="1" ht="22.5">
      <c r="A176" s="1482"/>
      <c r="B176" s="1482"/>
      <c r="C176" s="1483">
        <f>C175</f>
        <v>2</v>
      </c>
      <c r="D176" s="1492">
        <f>D175+A176</f>
        <v>1</v>
      </c>
      <c r="E176" s="1492">
        <f>E175+B176</f>
        <v>2</v>
      </c>
      <c r="F176" s="1526" t="s">
        <v>11708</v>
      </c>
      <c r="G176" s="916" t="s">
        <v>14609</v>
      </c>
      <c r="H176" s="823" t="str">
        <f>VLOOKUP(G176,MC_TRAVESSIA_COLETOR!A:M,2,0)</f>
        <v>SANEAGO</v>
      </c>
      <c r="I176" s="700">
        <f>VLOOKUP(G176,MC_TRAVESSIA_COLETOR!A:M,3,0)</f>
        <v>176</v>
      </c>
      <c r="J176" s="824"/>
      <c r="K176" s="790" t="str">
        <f>(IF(H176="Saneago",VLOOKUP(I176,'SANEAGO-FEV.2016'!A:B,2,0),IF(H176="Sinapi",VLOOKUP(I176,'SINAPI-FEV.2017'!A:D,2,0),IF(H176="Cotação",VLOOKUP(I176,COTAÇÃO!A:D,2,0),IF(H176="Composição",VLOOKUP(I176,COMPOSIÇÃO!A:D,2,0))))))</f>
        <v>ESCAVAÇÃO  MANUAL EM VALAS COM MATERIAL DE BARRO - LAMA - PROFUNDIDADE ATÉ 2,0M</v>
      </c>
      <c r="L176" s="700" t="str">
        <f>(IF(H176="Saneago",VLOOKUP(I176,'SANEAGO-FEV.2016'!A:D,3,0),IF(H176="Sinapi",VLOOKUP(I176,'SINAPI-FEV.2017'!A:D,3,0),IF(H176="Cotação",VLOOKUP(I176,COTAÇÃO!A:D,3,0),IF(H176="Composição",VLOOKUP(I176,COMPOSIÇÃO!A:D,3,0))))))</f>
        <v>M3</v>
      </c>
      <c r="M176" s="870">
        <f>ROUND(VLOOKUP(G176,MC_TRAVESSIA_COLETOR!A:M,13,0),2)</f>
        <v>0.56999999999999995</v>
      </c>
      <c r="N176" s="399">
        <v>0</v>
      </c>
      <c r="O176" s="102">
        <f t="shared" si="27"/>
        <v>0</v>
      </c>
      <c r="P176" s="101">
        <f t="shared" si="28"/>
        <v>0</v>
      </c>
      <c r="Q176" s="1507">
        <v>0.56999999999999995</v>
      </c>
      <c r="R176" s="1525"/>
      <c r="S176" s="1521"/>
      <c r="V176" s="1325"/>
      <c r="W176" s="1325"/>
      <c r="X176" s="1325"/>
    </row>
    <row r="177" spans="1:24" s="863" customFormat="1" ht="22.5">
      <c r="A177" s="1482"/>
      <c r="B177" s="1482"/>
      <c r="C177" s="1483">
        <f t="shared" si="21"/>
        <v>2</v>
      </c>
      <c r="D177" s="1492">
        <f t="shared" si="25"/>
        <v>1</v>
      </c>
      <c r="E177" s="1492">
        <f t="shared" si="26"/>
        <v>2</v>
      </c>
      <c r="F177" s="1526" t="s">
        <v>11708</v>
      </c>
      <c r="G177" s="916" t="s">
        <v>14610</v>
      </c>
      <c r="H177" s="823" t="str">
        <f>VLOOKUP(G177,MC_TRAVESSIA_COLETOR!A:M,2,0)</f>
        <v>SANEAGO</v>
      </c>
      <c r="I177" s="700">
        <f>VLOOKUP(G177,MC_TRAVESSIA_COLETOR!A:M,3,0)</f>
        <v>177</v>
      </c>
      <c r="J177" s="824"/>
      <c r="K177" s="790" t="str">
        <f>(IF(H177="Saneago",VLOOKUP(I177,'SANEAGO-FEV.2016'!A:B,2,0),IF(H177="Sinapi",VLOOKUP(I177,'SINAPI-FEV.2017'!A:D,2,0),IF(H177="Cotação",VLOOKUP(I177,COTAÇÃO!A:D,2,0),IF(H177="Composição",VLOOKUP(I177,COMPOSIÇÃO!A:D,2,0))))))</f>
        <v>ESCAVAÇÃO  MANUAL EM VALAS COM MATERIAL DE BARRO - LAMA - PROFUNDIDADE DE 2,0 A 4,0M</v>
      </c>
      <c r="L177" s="700" t="str">
        <f>(IF(H177="Saneago",VLOOKUP(I177,'SANEAGO-FEV.2016'!A:D,3,0),IF(H177="Sinapi",VLOOKUP(I177,'SINAPI-FEV.2017'!A:D,3,0),IF(H177="Cotação",VLOOKUP(I177,COTAÇÃO!A:D,3,0),IF(H177="Composição",VLOOKUP(I177,COMPOSIÇÃO!A:D,3,0))))))</f>
        <v>M3</v>
      </c>
      <c r="M177" s="870">
        <f>ROUND(VLOOKUP(G177,MC_TRAVESSIA_COLETOR!A:M,13,0),2)</f>
        <v>0.37</v>
      </c>
      <c r="N177" s="399">
        <v>0</v>
      </c>
      <c r="O177" s="102">
        <f t="shared" si="27"/>
        <v>0</v>
      </c>
      <c r="P177" s="101">
        <f t="shared" si="28"/>
        <v>0</v>
      </c>
      <c r="Q177" s="1507">
        <v>0.37</v>
      </c>
      <c r="R177" s="1525"/>
      <c r="S177" s="1521"/>
      <c r="V177" s="1325"/>
      <c r="W177" s="1325"/>
      <c r="X177" s="1325"/>
    </row>
    <row r="178" spans="1:24" s="863" customFormat="1" ht="12.75">
      <c r="A178" s="1482"/>
      <c r="B178" s="1482"/>
      <c r="C178" s="1483">
        <f>C177</f>
        <v>2</v>
      </c>
      <c r="D178" s="1492">
        <f>D177+A178</f>
        <v>1</v>
      </c>
      <c r="E178" s="1492">
        <f>E177+B178</f>
        <v>2</v>
      </c>
      <c r="F178" s="1526" t="s">
        <v>11708</v>
      </c>
      <c r="G178" s="916" t="s">
        <v>14611</v>
      </c>
      <c r="H178" s="823" t="str">
        <f>VLOOKUP(G178,MC_TRAVESSIA_COLETOR!A:M,2,0)</f>
        <v>SINAPI</v>
      </c>
      <c r="I178" s="700" t="str">
        <f>VLOOKUP(G178,MC_TRAVESSIA_COLETOR!A:M,3,0)</f>
        <v>73891/1</v>
      </c>
      <c r="J178" s="824"/>
      <c r="K178" s="790" t="str">
        <f>(IF(H178="Saneago",VLOOKUP(I178,'SANEAGO-FEV.2016'!A:B,2,0),IF(H178="Sinapi",VLOOKUP(I178,'SINAPI-FEV.2017'!A:D,2,0),IF(H178="Cotação",VLOOKUP(I178,COTAÇÃO!A:D,2,0),IF(H178="Composição",VLOOKUP(I178,COMPOSIÇÃO!A:D,2,0))))))</f>
        <v>ESGOTAMENTO COM MOTO-BOMBA AUTOESCOVANTE</v>
      </c>
      <c r="L178" s="700" t="str">
        <f>(IF(H178="Saneago",VLOOKUP(I178,'SANEAGO-FEV.2016'!A:D,3,0),IF(H178="Sinapi",VLOOKUP(I178,'SINAPI-FEV.2017'!A:D,3,0),IF(H178="Cotação",VLOOKUP(I178,COTAÇÃO!A:D,3,0),IF(H178="Composição",VLOOKUP(I178,COMPOSIÇÃO!A:D,3,0))))))</f>
        <v>H</v>
      </c>
      <c r="M178" s="870">
        <f>ROUND(VLOOKUP(G178,MC_TRAVESSIA_COLETOR!A:M,13,0),2)</f>
        <v>5</v>
      </c>
      <c r="N178" s="399">
        <v>0</v>
      </c>
      <c r="O178" s="102">
        <f t="shared" si="27"/>
        <v>0</v>
      </c>
      <c r="P178" s="101">
        <f t="shared" si="28"/>
        <v>0</v>
      </c>
      <c r="Q178" s="1507">
        <v>5</v>
      </c>
      <c r="R178" s="1525"/>
      <c r="S178" s="1521"/>
      <c r="V178" s="1325"/>
      <c r="W178" s="1325"/>
      <c r="X178" s="1325"/>
    </row>
    <row r="179" spans="1:24" s="863" customFormat="1" ht="45">
      <c r="A179" s="1482"/>
      <c r="B179" s="1482"/>
      <c r="C179" s="1483">
        <f t="shared" si="21"/>
        <v>2</v>
      </c>
      <c r="D179" s="1492">
        <f t="shared" si="25"/>
        <v>1</v>
      </c>
      <c r="E179" s="1492">
        <f t="shared" si="26"/>
        <v>2</v>
      </c>
      <c r="F179" s="1526" t="s">
        <v>11708</v>
      </c>
      <c r="G179" s="916" t="s">
        <v>20301</v>
      </c>
      <c r="H179" s="823" t="str">
        <f>VLOOKUP(G179,MC_TRAVESSIA_COLETOR!A:M,2,0)</f>
        <v>SINAPI</v>
      </c>
      <c r="I179" s="700">
        <f>VLOOKUP(G179,MC_TRAVESSIA_COLETOR!A:M,3,0)</f>
        <v>93367</v>
      </c>
      <c r="J179" s="824"/>
      <c r="K179" s="790" t="str">
        <f>(IF(H179="Saneago",VLOOKUP(I179,'SANEAGO-FEV.2016'!A:B,2,0),IF(H179="Sinapi",VLOOKUP(I179,'SINAPI-FEV.2017'!A:D,2,0),IF(H179="Cotação",VLOOKUP(I179,COTAÇÃO!A:D,2,0),IF(H179="Composição",VLOOKUP(I179,COMPOSIÇÃO!A:D,2,0))))))</f>
        <v>REATERRO MECANIZADO DE VALA COM ESCAVADEIRA HIDRÁULICA (CAPACIDADE DA CAÇAMBA: 0,8 M³ / POTÊNCIA: 111 HP), LARGURA DE 1,5 A 2,5 M, PROFUNDIDADE ATÉ 1,5 M, COM SOLO (SEM SUBSTITUIÇÃO) DE 1ª CATEGORIA EM LOCAIS COM BAIXO NÍVEL DE INTERFERÊNCIA. AF_04/2016</v>
      </c>
      <c r="L179" s="700" t="str">
        <f>(IF(H179="Saneago",VLOOKUP(I179,'SANEAGO-FEV.2016'!A:D,3,0),IF(H179="Sinapi",VLOOKUP(I179,'SINAPI-FEV.2017'!A:D,3,0),IF(H179="Cotação",VLOOKUP(I179,COTAÇÃO!A:D,3,0),IF(H179="Composição",VLOOKUP(I179,COMPOSIÇÃO!A:D,3,0))))))</f>
        <v>M3</v>
      </c>
      <c r="M179" s="870">
        <f>ROUND(VLOOKUP(G179,MC_TRAVESSIA_COLETOR!A:M,13,0),2)</f>
        <v>183.1</v>
      </c>
      <c r="N179" s="399">
        <v>0</v>
      </c>
      <c r="O179" s="102">
        <f t="shared" si="27"/>
        <v>0</v>
      </c>
      <c r="P179" s="101">
        <f t="shared" si="28"/>
        <v>0</v>
      </c>
      <c r="Q179" s="1507">
        <v>183.1</v>
      </c>
      <c r="R179" s="1525"/>
      <c r="S179" s="1521"/>
      <c r="V179" s="1325"/>
      <c r="W179" s="1325"/>
      <c r="X179" s="1325"/>
    </row>
    <row r="180" spans="1:24" s="863" customFormat="1" ht="45">
      <c r="A180" s="1482"/>
      <c r="B180" s="1482"/>
      <c r="C180" s="1483">
        <f t="shared" si="21"/>
        <v>2</v>
      </c>
      <c r="D180" s="1492">
        <f t="shared" ref="D180:E182" si="29">D179+A180</f>
        <v>1</v>
      </c>
      <c r="E180" s="1492">
        <f t="shared" si="29"/>
        <v>2</v>
      </c>
      <c r="F180" s="1526" t="s">
        <v>11708</v>
      </c>
      <c r="G180" s="916" t="s">
        <v>20302</v>
      </c>
      <c r="H180" s="823" t="str">
        <f>VLOOKUP(G180,MC_TRAVESSIA_COLETOR!A:M,2,0)</f>
        <v>SINAPI</v>
      </c>
      <c r="I180" s="700">
        <f>VLOOKUP(G180,MC_TRAVESSIA_COLETOR!A:M,3,0)</f>
        <v>93369</v>
      </c>
      <c r="J180" s="824"/>
      <c r="K180" s="790" t="str">
        <f>(IF(H180="Saneago",VLOOKUP(I180,'SANEAGO-FEV.2016'!A:B,2,0),IF(H180="Sinapi",VLOOKUP(I180,'SINAPI-FEV.2017'!A:D,2,0),IF(H180="Cotação",VLOOKUP(I180,COTAÇÃO!A:D,2,0),IF(H180="Composição",VLOOKUP(I180,COMPOSIÇÃO!A:D,2,0))))))</f>
        <v>REATERRO MECANIZADO DE VALA COM ESCAVADEIRA HIDRÁULICA (CAPACIDADE DA CAÇAMBA: 0,8 M³ / POTÊNCIA: 111 HP), LARGURA DE 1,5 A 2,5 M, PROFUNDIDADE DE 1,5 A 3,0 M, COM SOLO (SEM SUBSTITUIÇÃO) DE 1ª CATEGORIA EM LOCAIS COM BAIXO NÍVEL DE INTERFERÊNCIA. AF_04/2016</v>
      </c>
      <c r="L180" s="700" t="str">
        <f>(IF(H180="Saneago",VLOOKUP(I180,'SANEAGO-FEV.2016'!A:D,3,0),IF(H180="Sinapi",VLOOKUP(I180,'SINAPI-FEV.2017'!A:D,3,0),IF(H180="Cotação",VLOOKUP(I180,COTAÇÃO!A:D,3,0),IF(H180="Composição",VLOOKUP(I180,COMPOSIÇÃO!A:D,3,0))))))</f>
        <v>M3</v>
      </c>
      <c r="M180" s="870">
        <f>ROUND(VLOOKUP(G180,MC_TRAVESSIA_COLETOR!A:M,13,0),2)</f>
        <v>95.7</v>
      </c>
      <c r="N180" s="399">
        <v>0</v>
      </c>
      <c r="O180" s="102">
        <f>ROUND(IF(F180="Serviços",N180*(1+$O$7),IF(F180="Materiais",N180*(1+$O$8))),2)</f>
        <v>0</v>
      </c>
      <c r="P180" s="101">
        <f>ROUND(M180*O180,2)</f>
        <v>0</v>
      </c>
      <c r="Q180" s="1507">
        <v>95.7</v>
      </c>
      <c r="R180" s="1525"/>
      <c r="S180" s="1521"/>
      <c r="V180" s="1325"/>
      <c r="W180" s="1325"/>
      <c r="X180" s="1325"/>
    </row>
    <row r="181" spans="1:24" s="863" customFormat="1" ht="45">
      <c r="A181" s="1482"/>
      <c r="B181" s="1482"/>
      <c r="C181" s="1483">
        <f t="shared" si="21"/>
        <v>2</v>
      </c>
      <c r="D181" s="1492">
        <f t="shared" si="29"/>
        <v>1</v>
      </c>
      <c r="E181" s="1492">
        <f t="shared" si="29"/>
        <v>2</v>
      </c>
      <c r="F181" s="1526" t="s">
        <v>11708</v>
      </c>
      <c r="G181" s="916" t="s">
        <v>20303</v>
      </c>
      <c r="H181" s="823" t="str">
        <f>VLOOKUP(G181,MC_TRAVESSIA_COLETOR!A:M,2,0)</f>
        <v>SINAPI</v>
      </c>
      <c r="I181" s="700">
        <f>VLOOKUP(G181,MC_TRAVESSIA_COLETOR!A:M,3,0)</f>
        <v>93371</v>
      </c>
      <c r="J181" s="824"/>
      <c r="K181" s="790" t="str">
        <f>(IF(H181="Saneago",VLOOKUP(I181,'SANEAGO-FEV.2016'!A:B,2,0),IF(H181="Sinapi",VLOOKUP(I181,'SINAPI-FEV.2017'!A:D,2,0),IF(H181="Cotação",VLOOKUP(I181,COTAÇÃO!A:D,2,0),IF(H181="Composição",VLOOKUP(I181,COMPOSIÇÃO!A:D,2,0))))))</f>
        <v>REATERRO MECANIZADO DE VALA COM ESCAVADEIRA HIDRÁULICA (CAPACIDADE DA CAÇAMBA: 0,8 M³ / POTÊNCIA: 111 HP), LARGURA DE 1,5 A 2,5 M, PROFUNDIDADE DE 3,0 A 4,5 M, COM SOLO (SEM SUBSTITUIÇÃO) DE 1ª CATEGORIA EM LOCAIS COM BAIXO NÍVEL DE INTERFERÊNCIA. AF_04/2016</v>
      </c>
      <c r="L181" s="700" t="str">
        <f>(IF(H181="Saneago",VLOOKUP(I181,'SANEAGO-FEV.2016'!A:D,3,0),IF(H181="Sinapi",VLOOKUP(I181,'SINAPI-FEV.2017'!A:D,3,0),IF(H181="Cotação",VLOOKUP(I181,COTAÇÃO!A:D,3,0),IF(H181="Composição",VLOOKUP(I181,COMPOSIÇÃO!A:D,3,0))))))</f>
        <v>M3</v>
      </c>
      <c r="M181" s="870">
        <f>ROUND(VLOOKUP(G181,MC_TRAVESSIA_COLETOR!A:M,13,0),2)</f>
        <v>13.66</v>
      </c>
      <c r="N181" s="399">
        <v>0</v>
      </c>
      <c r="O181" s="102">
        <f>ROUND(IF(F181="Serviços",N181*(1+$O$7),IF(F181="Materiais",N181*(1+$O$8))),2)</f>
        <v>0</v>
      </c>
      <c r="P181" s="101">
        <f>ROUND(M181*O181,2)</f>
        <v>0</v>
      </c>
      <c r="Q181" s="1507">
        <v>13.66</v>
      </c>
      <c r="R181" s="1525"/>
      <c r="S181" s="1521"/>
      <c r="V181" s="1325"/>
      <c r="W181" s="1325"/>
      <c r="X181" s="1325"/>
    </row>
    <row r="182" spans="1:24" s="863" customFormat="1" ht="12.75">
      <c r="A182" s="1482"/>
      <c r="B182" s="1482"/>
      <c r="C182" s="1483">
        <f t="shared" si="21"/>
        <v>2</v>
      </c>
      <c r="D182" s="1492">
        <f t="shared" si="29"/>
        <v>1</v>
      </c>
      <c r="E182" s="1492">
        <f t="shared" si="29"/>
        <v>2</v>
      </c>
      <c r="F182" s="1526" t="s">
        <v>11708</v>
      </c>
      <c r="G182" s="916" t="s">
        <v>14612</v>
      </c>
      <c r="H182" s="823" t="str">
        <f>VLOOKUP(G182,MC_TRAVESSIA_COLETOR!A:M,2,0)</f>
        <v>SINAPI</v>
      </c>
      <c r="I182" s="700" t="str">
        <f>VLOOKUP(G182,MC_TRAVESSIA_COLETOR!A:M,3,0)</f>
        <v>73964/6</v>
      </c>
      <c r="J182" s="824"/>
      <c r="K182" s="790" t="str">
        <f>(IF(H182="Saneago",VLOOKUP(I182,'SANEAGO-FEV.2016'!A:B,2,0),IF(H182="Sinapi",VLOOKUP(I182,'SINAPI-FEV.2017'!A:D,2,0),IF(H182="Cotação",VLOOKUP(I182,COTAÇÃO!A:D,2,0),IF(H182="Composição",VLOOKUP(I182,COMPOSIÇÃO!A:D,2,0))))))</f>
        <v>REATERRO DE VALA COM COMPACTAÇÃO MANUAL</v>
      </c>
      <c r="L182" s="700" t="str">
        <f>(IF(H182="Saneago",VLOOKUP(I182,'SANEAGO-FEV.2016'!A:D,3,0),IF(H182="Sinapi",VLOOKUP(I182,'SINAPI-FEV.2017'!A:D,3,0),IF(H182="Cotação",VLOOKUP(I182,COTAÇÃO!A:D,3,0),IF(H182="Composição",VLOOKUP(I182,COMPOSIÇÃO!A:D,3,0))))))</f>
        <v>M3</v>
      </c>
      <c r="M182" s="870">
        <f>ROUND(VLOOKUP(G182,MC_TRAVESSIA_COLETOR!A:M,13,0),2)</f>
        <v>32.5</v>
      </c>
      <c r="N182" s="399">
        <v>0</v>
      </c>
      <c r="O182" s="102">
        <f t="shared" si="27"/>
        <v>0</v>
      </c>
      <c r="P182" s="101">
        <f t="shared" si="28"/>
        <v>0</v>
      </c>
      <c r="Q182" s="1507">
        <v>32.5</v>
      </c>
      <c r="R182" s="1525"/>
      <c r="S182" s="1521"/>
      <c r="V182" s="1325"/>
      <c r="W182" s="1325"/>
      <c r="X182" s="1325"/>
    </row>
    <row r="183" spans="1:24" s="863" customFormat="1" ht="13.5" thickBot="1">
      <c r="A183" s="1482"/>
      <c r="B183" s="1482"/>
      <c r="C183" s="1483">
        <f t="shared" si="21"/>
        <v>2</v>
      </c>
      <c r="D183" s="1492">
        <f t="shared" si="25"/>
        <v>1</v>
      </c>
      <c r="E183" s="1492">
        <f t="shared" si="26"/>
        <v>2</v>
      </c>
      <c r="F183" s="1526" t="s">
        <v>11708</v>
      </c>
      <c r="G183" s="1535"/>
      <c r="H183" s="823"/>
      <c r="I183" s="700"/>
      <c r="J183" s="824"/>
      <c r="K183" s="790"/>
      <c r="L183" s="700"/>
      <c r="M183" s="870"/>
      <c r="N183" s="399"/>
      <c r="O183" s="344"/>
      <c r="P183" s="342"/>
      <c r="Q183" s="1507"/>
      <c r="R183" s="1525"/>
      <c r="S183" s="1521"/>
      <c r="V183" s="1325"/>
      <c r="W183" s="1325"/>
      <c r="X183" s="1325"/>
    </row>
    <row r="184" spans="1:24" s="863" customFormat="1" ht="14.25" customHeight="1" thickTop="1" thickBot="1">
      <c r="A184" s="1482"/>
      <c r="B184" s="1482"/>
      <c r="C184" s="1483">
        <f t="shared" si="21"/>
        <v>2</v>
      </c>
      <c r="D184" s="1492">
        <f t="shared" si="25"/>
        <v>1</v>
      </c>
      <c r="E184" s="1492">
        <f t="shared" si="26"/>
        <v>2</v>
      </c>
      <c r="F184" s="1526" t="s">
        <v>11708</v>
      </c>
      <c r="G184" s="1535"/>
      <c r="H184" s="1653" t="str">
        <f>"TOTAL ITEM: "&amp;J164 &amp;K164</f>
        <v>TOTAL ITEM: 2.1.2 MOVIMENTO DE TERRA</v>
      </c>
      <c r="I184" s="1654"/>
      <c r="J184" s="1654"/>
      <c r="K184" s="1654"/>
      <c r="L184" s="1654"/>
      <c r="M184" s="1654"/>
      <c r="N184" s="1654"/>
      <c r="O184" s="1654"/>
      <c r="P184" s="343">
        <f>SUBTOTAL(9,P166:P182)</f>
        <v>0</v>
      </c>
      <c r="Q184" s="1507"/>
      <c r="R184" s="1525"/>
      <c r="S184" s="1521"/>
      <c r="V184" s="1325"/>
      <c r="W184" s="1325"/>
      <c r="X184" s="1325"/>
    </row>
    <row r="185" spans="1:24" s="863" customFormat="1" ht="13.5" thickTop="1">
      <c r="A185" s="1482"/>
      <c r="B185" s="1482"/>
      <c r="C185" s="1483">
        <f t="shared" si="21"/>
        <v>2</v>
      </c>
      <c r="D185" s="1492">
        <f t="shared" si="25"/>
        <v>1</v>
      </c>
      <c r="E185" s="1492">
        <f t="shared" si="26"/>
        <v>2</v>
      </c>
      <c r="F185" s="1526" t="s">
        <v>11708</v>
      </c>
      <c r="G185" s="862"/>
      <c r="H185" s="823"/>
      <c r="I185" s="700"/>
      <c r="J185" s="824"/>
      <c r="K185" s="700"/>
      <c r="L185" s="700"/>
      <c r="M185" s="870"/>
      <c r="N185" s="399"/>
      <c r="O185" s="344"/>
      <c r="P185" s="342"/>
      <c r="Q185" s="1507"/>
      <c r="R185" s="1525"/>
      <c r="S185" s="1521"/>
      <c r="V185" s="1325"/>
      <c r="W185" s="1325"/>
      <c r="X185" s="1325"/>
    </row>
    <row r="186" spans="1:24" s="863" customFormat="1" ht="12.75">
      <c r="A186" s="1482"/>
      <c r="B186" s="1482">
        <v>1</v>
      </c>
      <c r="C186" s="1483">
        <f t="shared" si="21"/>
        <v>2</v>
      </c>
      <c r="D186" s="1492">
        <f t="shared" si="25"/>
        <v>1</v>
      </c>
      <c r="E186" s="1492">
        <f t="shared" si="26"/>
        <v>3</v>
      </c>
      <c r="F186" s="1526" t="s">
        <v>11708</v>
      </c>
      <c r="G186" s="862"/>
      <c r="H186" s="1527" t="s">
        <v>11703</v>
      </c>
      <c r="I186" s="1528" t="s">
        <v>64</v>
      </c>
      <c r="J186" s="1529" t="str">
        <f>CONCATENATE(C186,".",D186,".",E186)</f>
        <v>2.1.3</v>
      </c>
      <c r="K186" s="1530" t="s">
        <v>11713</v>
      </c>
      <c r="L186" s="1531" t="s">
        <v>25</v>
      </c>
      <c r="M186" s="1532" t="s">
        <v>11704</v>
      </c>
      <c r="N186" s="586" t="s">
        <v>11705</v>
      </c>
      <c r="O186" s="587" t="s">
        <v>11706</v>
      </c>
      <c r="P186" s="588" t="s">
        <v>27</v>
      </c>
      <c r="Q186" s="1507" t="s">
        <v>11704</v>
      </c>
      <c r="R186" s="1525"/>
      <c r="S186" s="1521"/>
      <c r="V186" s="1325"/>
      <c r="W186" s="1325"/>
      <c r="X186" s="1325"/>
    </row>
    <row r="187" spans="1:24" s="863" customFormat="1" ht="12.75">
      <c r="A187" s="1482"/>
      <c r="B187" s="1482"/>
      <c r="C187" s="1483">
        <f t="shared" si="21"/>
        <v>2</v>
      </c>
      <c r="D187" s="1492">
        <f t="shared" si="25"/>
        <v>1</v>
      </c>
      <c r="E187" s="1492">
        <f t="shared" si="26"/>
        <v>3</v>
      </c>
      <c r="F187" s="1526" t="s">
        <v>11708</v>
      </c>
      <c r="G187" s="862"/>
      <c r="H187" s="823"/>
      <c r="I187" s="700"/>
      <c r="J187" s="824"/>
      <c r="K187" s="700"/>
      <c r="L187" s="700"/>
      <c r="M187" s="870"/>
      <c r="N187" s="399"/>
      <c r="O187" s="344"/>
      <c r="P187" s="342"/>
      <c r="Q187" s="1507"/>
      <c r="R187" s="1525"/>
      <c r="S187" s="1521"/>
      <c r="V187" s="1325"/>
      <c r="W187" s="1325"/>
      <c r="X187" s="1325"/>
    </row>
    <row r="188" spans="1:24" s="863" customFormat="1" ht="33.75">
      <c r="A188" s="1482"/>
      <c r="B188" s="1482"/>
      <c r="C188" s="1483">
        <f t="shared" si="21"/>
        <v>2</v>
      </c>
      <c r="D188" s="1492">
        <f t="shared" si="25"/>
        <v>1</v>
      </c>
      <c r="E188" s="1492">
        <f t="shared" si="26"/>
        <v>3</v>
      </c>
      <c r="F188" s="1526" t="s">
        <v>11708</v>
      </c>
      <c r="G188" s="862" t="s">
        <v>14616</v>
      </c>
      <c r="H188" s="823" t="str">
        <f>VLOOKUP(G188,MC_TRAVESSIA_COLETOR!A:M,2,0)</f>
        <v>SINAPI</v>
      </c>
      <c r="I188" s="700" t="str">
        <f>VLOOKUP(G188,MC_TRAVESSIA_COLETOR!A:M,3,0)</f>
        <v>74010/1</v>
      </c>
      <c r="J188" s="824"/>
      <c r="K188" s="790" t="str">
        <f>(IF(H188="Saneago",VLOOKUP(I188,'SANEAGO-FEV.2016'!A:B,2,0),IF(H188="Sinapi",VLOOKUP(I188,'SINAPI-FEV.2017'!A:D,2,0),IF(H188="Cotação",VLOOKUP(I188,COTAÇÃO!A:D,2,0),IF(H188="Composição",VLOOKUP(I188,COMPOSIÇÃO!A:D,2,0))))))</f>
        <v>CARGA E DESCARGA MECANICA DE SOLO UTILIZANDO CAMINHAO BASCULANTE 6,0M3/16T E PA CARREGADEIRA SOBRE PNEUS 128 HP, CAPACIDADE DA CAÇAMBA 1,7 A 2,8 M3, PESO OPERACIONAL 11632 KG</v>
      </c>
      <c r="L188" s="700" t="str">
        <f>(IF(H188="Saneago",VLOOKUP(I188,'SANEAGO-FEV.2016'!A:D,3,0),IF(H188="Sinapi",VLOOKUP(I188,'SINAPI-FEV.2017'!A:D,3,0),IF(H188="Cotação",VLOOKUP(I188,COTAÇÃO!A:D,3,0),IF(H188="Composição",VLOOKUP(I188,COMPOSIÇÃO!A:D,3,0))))))</f>
        <v>M3</v>
      </c>
      <c r="M188" s="870">
        <f>ROUND(VLOOKUP(G188,MC_TRAVESSIA_COLETOR!A:M,13,0),2)</f>
        <v>51.75</v>
      </c>
      <c r="N188" s="399">
        <v>0</v>
      </c>
      <c r="O188" s="102">
        <f>ROUND(IF(F188="Serviços",N188*(1+$O$7),IF(F188="Materiais",N188*(1+$O$8))),2)</f>
        <v>0</v>
      </c>
      <c r="P188" s="101">
        <f>ROUND(M188*O188,2)</f>
        <v>0</v>
      </c>
      <c r="Q188" s="1507">
        <v>51.75</v>
      </c>
      <c r="R188" s="1525"/>
      <c r="S188" s="1521"/>
      <c r="V188" s="1325"/>
      <c r="W188" s="1325"/>
      <c r="X188" s="1325"/>
    </row>
    <row r="189" spans="1:24" s="863" customFormat="1" ht="22.5">
      <c r="A189" s="1482"/>
      <c r="B189" s="1482"/>
      <c r="C189" s="1483">
        <f t="shared" si="21"/>
        <v>2</v>
      </c>
      <c r="D189" s="1492">
        <f t="shared" si="25"/>
        <v>1</v>
      </c>
      <c r="E189" s="1492">
        <f t="shared" si="26"/>
        <v>3</v>
      </c>
      <c r="F189" s="1526" t="s">
        <v>11708</v>
      </c>
      <c r="G189" s="862" t="s">
        <v>14617</v>
      </c>
      <c r="H189" s="823" t="str">
        <f>VLOOKUP(G189,MC_TRAVESSIA_COLETOR!A:M,2,0)</f>
        <v>SINAPI</v>
      </c>
      <c r="I189" s="700">
        <f>VLOOKUP(G189,MC_TRAVESSIA_COLETOR!A:M,3,0)</f>
        <v>93590</v>
      </c>
      <c r="J189" s="824"/>
      <c r="K189" s="790" t="str">
        <f>(IF(H189="Saneago",VLOOKUP(I189,'SANEAGO-FEV.2016'!A:B,2,0),IF(H189="Sinapi",VLOOKUP(I189,'SINAPI-FEV.2017'!A:D,2,0),IF(H189="Cotação",VLOOKUP(I189,COTAÇÃO!A:D,2,0),IF(H189="Composição",VLOOKUP(I189,COMPOSIÇÃO!A:D,2,0))))))</f>
        <v>TRANSPORTE COM CAMINHÃO BASCULANTE DE 10 M3, EM VIA URBANA PAVIMENTADA, DMT ACIMA DE 30KM (UNIDADE: M3XKM). AF_04/2016</v>
      </c>
      <c r="L189" s="700" t="str">
        <f>(IF(H189="Saneago",VLOOKUP(I189,'SANEAGO-FEV.2016'!A:D,3,0),IF(H189="Sinapi",VLOOKUP(I189,'SINAPI-FEV.2017'!A:D,3,0),IF(H189="Cotação",VLOOKUP(I189,COTAÇÃO!A:D,3,0),IF(H189="Composição",VLOOKUP(I189,COMPOSIÇÃO!A:D,3,0))))))</f>
        <v>M3XKM</v>
      </c>
      <c r="M189" s="870">
        <f>ROUND(VLOOKUP(G189,MC_TRAVESSIA_COLETOR!A:M,13,0),2)</f>
        <v>414</v>
      </c>
      <c r="N189" s="399">
        <v>0</v>
      </c>
      <c r="O189" s="102">
        <f>ROUND(IF(F189="Serviços",N189*(1+$O$7),IF(F189="Materiais",N189*(1+$O$8))),2)</f>
        <v>0</v>
      </c>
      <c r="P189" s="101">
        <f>ROUND(M189*O189,2)</f>
        <v>0</v>
      </c>
      <c r="Q189" s="1507">
        <v>414</v>
      </c>
      <c r="R189" s="1525"/>
      <c r="S189" s="1521"/>
      <c r="V189" s="1325"/>
      <c r="W189" s="1325"/>
      <c r="X189" s="1325"/>
    </row>
    <row r="190" spans="1:24" s="863" customFormat="1" ht="22.5">
      <c r="A190" s="1482"/>
      <c r="B190" s="1482"/>
      <c r="C190" s="1483">
        <f t="shared" si="21"/>
        <v>2</v>
      </c>
      <c r="D190" s="1492">
        <f t="shared" si="25"/>
        <v>1</v>
      </c>
      <c r="E190" s="1492">
        <f t="shared" si="26"/>
        <v>3</v>
      </c>
      <c r="F190" s="1526" t="s">
        <v>11708</v>
      </c>
      <c r="G190" s="862" t="s">
        <v>14618</v>
      </c>
      <c r="H190" s="823" t="str">
        <f>VLOOKUP(G190,MC_TRAVESSIA_COLETOR!A:M,2,0)</f>
        <v>SINAPI</v>
      </c>
      <c r="I190" s="700">
        <f>VLOOKUP(G190,MC_TRAVESSIA_COLETOR!A:M,3,0)</f>
        <v>83344</v>
      </c>
      <c r="J190" s="824"/>
      <c r="K190" s="790" t="str">
        <f>(IF(H190="Saneago",VLOOKUP(I190,'SANEAGO-FEV.2016'!A:B,2,0),IF(H190="Sinapi",VLOOKUP(I190,'SINAPI-FEV.2017'!A:D,2,0),IF(H190="Cotação",VLOOKUP(I190,COTAÇÃO!A:D,2,0),IF(H190="Composição",VLOOKUP(I190,COMPOSIÇÃO!A:D,2,0))))))</f>
        <v>ESPALHAMENTO DE MATERIAL EM BOTA FORA, COM UTILIZACAO DE TRATOR DE ESTEIRAS DE 165 HP</v>
      </c>
      <c r="L190" s="700" t="str">
        <f>(IF(H190="Saneago",VLOOKUP(I190,'SANEAGO-FEV.2016'!A:D,3,0),IF(H190="Sinapi",VLOOKUP(I190,'SINAPI-FEV.2017'!A:D,3,0),IF(H190="Cotação",VLOOKUP(I190,COTAÇÃO!A:D,3,0),IF(H190="Composição",VLOOKUP(I190,COMPOSIÇÃO!A:D,3,0))))))</f>
        <v>M3</v>
      </c>
      <c r="M190" s="870">
        <f>ROUND(VLOOKUP(G190,MC_TRAVESSIA_COLETOR!A:M,13,0),2)</f>
        <v>51.75</v>
      </c>
      <c r="N190" s="399">
        <v>0</v>
      </c>
      <c r="O190" s="102">
        <f>ROUND(IF(F190="Serviços",N190*(1+$O$7),IF(F190="Materiais",N190*(1+$O$8))),2)</f>
        <v>0</v>
      </c>
      <c r="P190" s="101">
        <f>ROUND(M190*O190,2)</f>
        <v>0</v>
      </c>
      <c r="Q190" s="1507">
        <v>51.75</v>
      </c>
      <c r="R190" s="1525"/>
      <c r="S190" s="1521"/>
      <c r="V190" s="1325"/>
      <c r="W190" s="1325"/>
      <c r="X190" s="1325"/>
    </row>
    <row r="191" spans="1:24" s="863" customFormat="1" ht="13.5" thickBot="1">
      <c r="A191" s="1482"/>
      <c r="B191" s="1482"/>
      <c r="C191" s="1483">
        <f t="shared" si="21"/>
        <v>2</v>
      </c>
      <c r="D191" s="1492">
        <f t="shared" si="25"/>
        <v>1</v>
      </c>
      <c r="E191" s="1492">
        <f t="shared" si="26"/>
        <v>3</v>
      </c>
      <c r="F191" s="1526" t="s">
        <v>11708</v>
      </c>
      <c r="G191" s="905"/>
      <c r="H191" s="823"/>
      <c r="I191" s="700"/>
      <c r="J191" s="824"/>
      <c r="K191" s="790"/>
      <c r="L191" s="700"/>
      <c r="M191" s="870"/>
      <c r="N191" s="399"/>
      <c r="O191" s="344"/>
      <c r="P191" s="342"/>
      <c r="Q191" s="1507"/>
      <c r="R191" s="1525"/>
      <c r="S191" s="1521"/>
      <c r="V191" s="1325"/>
      <c r="W191" s="1325"/>
      <c r="X191" s="1325"/>
    </row>
    <row r="192" spans="1:24" s="863" customFormat="1" ht="14.25" customHeight="1" thickTop="1" thickBot="1">
      <c r="A192" s="1482"/>
      <c r="B192" s="1482"/>
      <c r="C192" s="1483">
        <f t="shared" si="21"/>
        <v>2</v>
      </c>
      <c r="D192" s="1492">
        <f t="shared" si="25"/>
        <v>1</v>
      </c>
      <c r="E192" s="1492">
        <f t="shared" si="26"/>
        <v>3</v>
      </c>
      <c r="F192" s="1526" t="s">
        <v>11708</v>
      </c>
      <c r="G192" s="862"/>
      <c r="H192" s="1653" t="str">
        <f>"TOTAL ITEM: "&amp;J186 &amp;K186</f>
        <v>TOTAL ITEM: 2.1.3 TRANSPORTE, CARGA E DESCARGA DE MATERIAL (BOTA FORA)</v>
      </c>
      <c r="I192" s="1654"/>
      <c r="J192" s="1654"/>
      <c r="K192" s="1654"/>
      <c r="L192" s="1654"/>
      <c r="M192" s="1654"/>
      <c r="N192" s="1654"/>
      <c r="O192" s="1654"/>
      <c r="P192" s="343">
        <f>SUBTOTAL(9,P188:P190)</f>
        <v>0</v>
      </c>
      <c r="Q192" s="1507"/>
      <c r="R192" s="1525"/>
      <c r="S192" s="1521"/>
      <c r="V192" s="1325"/>
      <c r="W192" s="1325"/>
      <c r="X192" s="1325"/>
    </row>
    <row r="193" spans="1:24" s="863" customFormat="1" ht="13.5" thickTop="1">
      <c r="A193" s="1482"/>
      <c r="B193" s="1482"/>
      <c r="C193" s="1483">
        <f t="shared" si="21"/>
        <v>2</v>
      </c>
      <c r="D193" s="1492">
        <f t="shared" si="25"/>
        <v>1</v>
      </c>
      <c r="E193" s="1492">
        <f t="shared" si="26"/>
        <v>3</v>
      </c>
      <c r="F193" s="1526"/>
      <c r="G193" s="862"/>
      <c r="H193" s="929"/>
      <c r="I193" s="1371"/>
      <c r="J193" s="1022"/>
      <c r="K193" s="1371"/>
      <c r="L193" s="1371"/>
      <c r="M193" s="1536"/>
      <c r="N193" s="394"/>
      <c r="O193" s="728"/>
      <c r="P193" s="267"/>
      <c r="Q193" s="1507"/>
      <c r="R193" s="1525"/>
      <c r="S193" s="1521"/>
      <c r="V193" s="1325"/>
      <c r="W193" s="1325"/>
      <c r="X193" s="1325"/>
    </row>
    <row r="194" spans="1:24" s="863" customFormat="1" ht="12.75">
      <c r="A194" s="1482"/>
      <c r="B194" s="1482">
        <v>1</v>
      </c>
      <c r="C194" s="1483">
        <f t="shared" si="21"/>
        <v>2</v>
      </c>
      <c r="D194" s="1492">
        <f t="shared" si="25"/>
        <v>1</v>
      </c>
      <c r="E194" s="1492">
        <f t="shared" si="26"/>
        <v>4</v>
      </c>
      <c r="F194" s="1526" t="s">
        <v>11708</v>
      </c>
      <c r="G194" s="862"/>
      <c r="H194" s="1527" t="s">
        <v>11703</v>
      </c>
      <c r="I194" s="1528" t="s">
        <v>64</v>
      </c>
      <c r="J194" s="1529" t="str">
        <f>CONCATENATE(C194,".",D194,".",E194)</f>
        <v>2.1.4</v>
      </c>
      <c r="K194" s="1530" t="s">
        <v>14252</v>
      </c>
      <c r="L194" s="1531" t="s">
        <v>25</v>
      </c>
      <c r="M194" s="1532" t="s">
        <v>11704</v>
      </c>
      <c r="N194" s="586" t="s">
        <v>11705</v>
      </c>
      <c r="O194" s="587" t="s">
        <v>11706</v>
      </c>
      <c r="P194" s="588" t="s">
        <v>27</v>
      </c>
      <c r="Q194" s="1507" t="s">
        <v>11704</v>
      </c>
      <c r="R194" s="1525"/>
      <c r="S194" s="1521"/>
      <c r="V194" s="1325"/>
      <c r="W194" s="1325"/>
      <c r="X194" s="1325"/>
    </row>
    <row r="195" spans="1:24" s="863" customFormat="1" ht="12.75">
      <c r="A195" s="1482"/>
      <c r="B195" s="1482"/>
      <c r="C195" s="1483">
        <f t="shared" si="21"/>
        <v>2</v>
      </c>
      <c r="D195" s="1492">
        <f t="shared" si="25"/>
        <v>1</v>
      </c>
      <c r="E195" s="1492">
        <f t="shared" si="26"/>
        <v>4</v>
      </c>
      <c r="F195" s="1526" t="s">
        <v>11708</v>
      </c>
      <c r="G195" s="862"/>
      <c r="H195" s="823"/>
      <c r="I195" s="700"/>
      <c r="J195" s="824"/>
      <c r="K195" s="700"/>
      <c r="L195" s="700"/>
      <c r="M195" s="870"/>
      <c r="N195" s="399"/>
      <c r="O195" s="344"/>
      <c r="P195" s="342"/>
      <c r="Q195" s="1507"/>
      <c r="R195" s="1525"/>
      <c r="S195" s="1521"/>
      <c r="V195" s="1325"/>
      <c r="W195" s="1325"/>
      <c r="X195" s="1325"/>
    </row>
    <row r="196" spans="1:24" s="863" customFormat="1" ht="12.75">
      <c r="A196" s="1482"/>
      <c r="B196" s="1482"/>
      <c r="C196" s="1483">
        <f t="shared" si="21"/>
        <v>2</v>
      </c>
      <c r="D196" s="1492">
        <f t="shared" si="25"/>
        <v>1</v>
      </c>
      <c r="E196" s="1492">
        <f t="shared" si="26"/>
        <v>4</v>
      </c>
      <c r="F196" s="1526" t="s">
        <v>11708</v>
      </c>
      <c r="G196" s="961" t="s">
        <v>14613</v>
      </c>
      <c r="H196" s="823" t="str">
        <f>VLOOKUP(G196,MC_TRAVESSIA_COLETOR!A:M,2,0)</f>
        <v>SINAPI</v>
      </c>
      <c r="I196" s="700">
        <f>VLOOKUP(G196,MC_TRAVESSIA_COLETOR!A:M,3,0)</f>
        <v>79472</v>
      </c>
      <c r="J196" s="824"/>
      <c r="K196" s="790" t="str">
        <f>(IF(H196="Saneago",VLOOKUP(I196,'SANEAGO-FEV.2016'!A:B,2,0),IF(H196="Sinapi",VLOOKUP(I196,'SINAPI-FEV.2017'!A:D,2,0),IF(H196="Cotação",VLOOKUP(I196,COTAÇÃO!A:D,2,0),IF(H196="Composição",VLOOKUP(I196,COMPOSIÇÃO!A:D,2,0))))))</f>
        <v>REGULARIZACAO DE SUPERFICIES EM TERRA COM MOTONIVELADORA</v>
      </c>
      <c r="L196" s="700" t="str">
        <f>(IF(H196="Saneago",VLOOKUP(I196,'SANEAGO-FEV.2016'!A:D,3,0),IF(H196="Sinapi",VLOOKUP(I196,'SINAPI-FEV.2017'!A:D,3,0),IF(H196="Cotação",VLOOKUP(I196,COTAÇÃO!A:D,3,0),IF(H196="Composição",VLOOKUP(I196,COMPOSIÇÃO!A:D,3,0))))))</f>
        <v>M2</v>
      </c>
      <c r="M196" s="870">
        <f>ROUND(VLOOKUP(G196,MC_TRAVESSIA_COLETOR!A:M,13,0),2)</f>
        <v>17.25</v>
      </c>
      <c r="N196" s="399">
        <v>0</v>
      </c>
      <c r="O196" s="102">
        <f>ROUND(IF(F196="Serviços",N196*(1+$O$7),IF(F196="Materiais",N196*(1+$O$8))),2)</f>
        <v>0</v>
      </c>
      <c r="P196" s="101">
        <f>ROUND(M196*O196,2)</f>
        <v>0</v>
      </c>
      <c r="Q196" s="1507">
        <v>17.25</v>
      </c>
      <c r="R196" s="1525"/>
      <c r="S196" s="1521"/>
      <c r="V196" s="1325"/>
      <c r="W196" s="1325"/>
      <c r="X196" s="1325"/>
    </row>
    <row r="197" spans="1:24" s="863" customFormat="1" ht="33.75">
      <c r="A197" s="1482"/>
      <c r="B197" s="1482"/>
      <c r="C197" s="1483">
        <f t="shared" si="21"/>
        <v>2</v>
      </c>
      <c r="D197" s="1492">
        <f t="shared" si="25"/>
        <v>1</v>
      </c>
      <c r="E197" s="1492">
        <f t="shared" si="26"/>
        <v>4</v>
      </c>
      <c r="F197" s="1526" t="s">
        <v>11708</v>
      </c>
      <c r="G197" s="961" t="s">
        <v>14614</v>
      </c>
      <c r="H197" s="823" t="str">
        <f>VLOOKUP(G197,MC_TRAVESSIA_COLETOR!A:M,2,0)</f>
        <v>SINAPI</v>
      </c>
      <c r="I197" s="700">
        <f>VLOOKUP(G197,MC_TRAVESSIA_COLETOR!A:M,3,0)</f>
        <v>94116</v>
      </c>
      <c r="J197" s="824"/>
      <c r="K197" s="790" t="str">
        <f>(IF(H197="Saneago",VLOOKUP(I197,'SANEAGO-FEV.2016'!A:B,2,0),IF(H197="Sinapi",VLOOKUP(I197,'SINAPI-FEV.2017'!A:D,2,0),IF(H197="Cotação",VLOOKUP(I197,COTAÇÃO!A:D,2,0),IF(H197="Composição",VLOOKUP(I197,COMPOSIÇÃO!A:D,2,0))))))</f>
        <v>LASTRO COM PREPARO DE FUNDO, LARGURA MAIOR OU IGUAL A 1,5 M, COM CAMADA DE BRITA, LANÇAMENTO MECANIZADO, EM LOCAL COM NÍVEL BAIXO DE INTERFERÊNCIA. AF_06/2016</v>
      </c>
      <c r="L197" s="700" t="str">
        <f>(IF(H197="Saneago",VLOOKUP(I197,'SANEAGO-FEV.2016'!A:D,3,0),IF(H197="Sinapi",VLOOKUP(I197,'SINAPI-FEV.2017'!A:D,3,0),IF(H197="Cotação",VLOOKUP(I197,COTAÇÃO!A:D,3,0),IF(H197="Composição",VLOOKUP(I197,COMPOSIÇÃO!A:D,3,0))))))</f>
        <v>M3</v>
      </c>
      <c r="M197" s="870">
        <f>ROUND(VLOOKUP(G197,MC_TRAVESSIA_COLETOR!A:M,13,0),2)</f>
        <v>2.59</v>
      </c>
      <c r="N197" s="399">
        <v>0</v>
      </c>
      <c r="O197" s="102">
        <f>ROUND(IF(F197="Serviços",N197*(1+$O$7),IF(F197="Materiais",N197*(1+$O$8))),2)</f>
        <v>0</v>
      </c>
      <c r="P197" s="101">
        <f>ROUND(M197*O197,2)</f>
        <v>0</v>
      </c>
      <c r="Q197" s="1507">
        <v>2.59</v>
      </c>
      <c r="R197" s="1525"/>
      <c r="S197" s="1521"/>
      <c r="V197" s="1325"/>
      <c r="W197" s="1325"/>
      <c r="X197" s="1325"/>
    </row>
    <row r="198" spans="1:24" s="863" customFormat="1" ht="22.5">
      <c r="A198" s="1482"/>
      <c r="B198" s="1482"/>
      <c r="C198" s="1483">
        <f t="shared" si="21"/>
        <v>2</v>
      </c>
      <c r="D198" s="1492">
        <f t="shared" si="25"/>
        <v>1</v>
      </c>
      <c r="E198" s="1492">
        <f t="shared" si="26"/>
        <v>4</v>
      </c>
      <c r="F198" s="1526" t="s">
        <v>11708</v>
      </c>
      <c r="G198" s="961" t="s">
        <v>14615</v>
      </c>
      <c r="H198" s="823" t="str">
        <f>VLOOKUP(G198,MC_TRAVESSIA_COLETOR!A:M,2,0)</f>
        <v>SINAPI</v>
      </c>
      <c r="I198" s="700">
        <f>VLOOKUP(G198,MC_TRAVESSIA_COLETOR!A:M,3,0)</f>
        <v>95241</v>
      </c>
      <c r="J198" s="824"/>
      <c r="K198" s="790" t="str">
        <f>(IF(H198="Saneago",VLOOKUP(I198,'SANEAGO-FEV.2016'!A:B,2,0),IF(H198="Sinapi",VLOOKUP(I198,'SINAPI-FEV.2017'!A:D,2,0),IF(H198="Cotação",VLOOKUP(I198,COTAÇÃO!A:D,2,0),IF(H198="Composição",VLOOKUP(I198,COMPOSIÇÃO!A:D,2,0))))))</f>
        <v>LASTRO DE CONCRETO, E = 5 CM, PREPARO MECÂNICO, INCLUSOS LANÇAMENTO E ADENSAMENTO. AF_07_2016</v>
      </c>
      <c r="L198" s="700" t="str">
        <f>(IF(H198="Saneago",VLOOKUP(I198,'SANEAGO-FEV.2016'!A:D,3,0),IF(H198="Sinapi",VLOOKUP(I198,'SINAPI-FEV.2017'!A:D,3,0),IF(H198="Cotação",VLOOKUP(I198,COTAÇÃO!A:D,3,0),IF(H198="Composição",VLOOKUP(I198,COMPOSIÇÃO!A:D,3,0))))))</f>
        <v>M2</v>
      </c>
      <c r="M198" s="870">
        <f>ROUND(VLOOKUP(G198,MC_TRAVESSIA_COLETOR!A:M,13,0),2)</f>
        <v>17.25</v>
      </c>
      <c r="N198" s="399">
        <v>0</v>
      </c>
      <c r="O198" s="102">
        <f>ROUND(IF(F198="Serviços",N198*(1+$O$7),IF(F198="Materiais",N198*(1+$O$8))),2)</f>
        <v>0</v>
      </c>
      <c r="P198" s="101">
        <f>ROUND(M198*O198,2)</f>
        <v>0</v>
      </c>
      <c r="Q198" s="1507">
        <v>17.25</v>
      </c>
      <c r="R198" s="1525"/>
      <c r="S198" s="1521"/>
      <c r="V198" s="1325"/>
      <c r="W198" s="1325"/>
      <c r="X198" s="1325"/>
    </row>
    <row r="199" spans="1:24" s="863" customFormat="1" ht="13.5" thickBot="1">
      <c r="A199" s="1482"/>
      <c r="B199" s="1482"/>
      <c r="C199" s="1483">
        <f>C198</f>
        <v>2</v>
      </c>
      <c r="D199" s="1492">
        <f>D198+A199</f>
        <v>1</v>
      </c>
      <c r="E199" s="1492">
        <f>E198+B199</f>
        <v>4</v>
      </c>
      <c r="F199" s="1526" t="s">
        <v>11708</v>
      </c>
      <c r="G199" s="905"/>
      <c r="H199" s="823"/>
      <c r="I199" s="700"/>
      <c r="J199" s="824"/>
      <c r="K199" s="790"/>
      <c r="L199" s="700"/>
      <c r="M199" s="870"/>
      <c r="N199" s="399"/>
      <c r="O199" s="344"/>
      <c r="P199" s="342"/>
      <c r="Q199" s="1507"/>
      <c r="R199" s="1525"/>
      <c r="S199" s="1521"/>
      <c r="V199" s="1325"/>
      <c r="W199" s="1325"/>
      <c r="X199" s="1325"/>
    </row>
    <row r="200" spans="1:24" s="863" customFormat="1" ht="14.25" customHeight="1" thickTop="1" thickBot="1">
      <c r="A200" s="1482"/>
      <c r="B200" s="1482"/>
      <c r="C200" s="1483">
        <f t="shared" ref="C200:C241" si="30">C199</f>
        <v>2</v>
      </c>
      <c r="D200" s="1492">
        <f t="shared" si="25"/>
        <v>1</v>
      </c>
      <c r="E200" s="1492">
        <f t="shared" si="26"/>
        <v>4</v>
      </c>
      <c r="F200" s="1526" t="s">
        <v>11708</v>
      </c>
      <c r="G200" s="862"/>
      <c r="H200" s="1653" t="str">
        <f>"TOTAL ITEM: "&amp;J194 &amp;K194</f>
        <v>TOTAL ITEM: 2.1.4 FUNDAÇÃO (TÍPICO PARA CAIXAS)</v>
      </c>
      <c r="I200" s="1654"/>
      <c r="J200" s="1654"/>
      <c r="K200" s="1654"/>
      <c r="L200" s="1654"/>
      <c r="M200" s="1654"/>
      <c r="N200" s="1654"/>
      <c r="O200" s="1654"/>
      <c r="P200" s="343">
        <f>SUBTOTAL(9,P196:P198)</f>
        <v>0</v>
      </c>
      <c r="Q200" s="1507"/>
      <c r="R200" s="1525"/>
      <c r="S200" s="1521"/>
      <c r="V200" s="1325"/>
      <c r="W200" s="1325"/>
      <c r="X200" s="1325"/>
    </row>
    <row r="201" spans="1:24" s="863" customFormat="1" ht="13.5" thickTop="1">
      <c r="A201" s="1482"/>
      <c r="B201" s="1482"/>
      <c r="C201" s="1483">
        <f t="shared" si="30"/>
        <v>2</v>
      </c>
      <c r="D201" s="1492">
        <f t="shared" si="25"/>
        <v>1</v>
      </c>
      <c r="E201" s="1492">
        <f t="shared" si="26"/>
        <v>4</v>
      </c>
      <c r="F201" s="1526"/>
      <c r="G201" s="862"/>
      <c r="H201" s="929"/>
      <c r="I201" s="1371"/>
      <c r="J201" s="1022"/>
      <c r="K201" s="1371"/>
      <c r="L201" s="1371"/>
      <c r="M201" s="1536"/>
      <c r="N201" s="394"/>
      <c r="O201" s="728"/>
      <c r="P201" s="267"/>
      <c r="Q201" s="1507"/>
      <c r="R201" s="1525"/>
      <c r="S201" s="1521"/>
      <c r="V201" s="1325"/>
      <c r="W201" s="1325"/>
      <c r="X201" s="1325"/>
    </row>
    <row r="202" spans="1:24" s="863" customFormat="1" ht="12.75">
      <c r="A202" s="1482"/>
      <c r="B202" s="1482"/>
      <c r="C202" s="1483">
        <f t="shared" si="30"/>
        <v>2</v>
      </c>
      <c r="D202" s="1492">
        <f t="shared" si="25"/>
        <v>1</v>
      </c>
      <c r="E202" s="1492">
        <f t="shared" si="26"/>
        <v>4</v>
      </c>
      <c r="F202" s="1526" t="s">
        <v>11708</v>
      </c>
      <c r="G202" s="862"/>
      <c r="H202" s="823"/>
      <c r="I202" s="700"/>
      <c r="J202" s="824"/>
      <c r="K202" s="700"/>
      <c r="L202" s="700"/>
      <c r="M202" s="870"/>
      <c r="N202" s="399"/>
      <c r="O202" s="344"/>
      <c r="P202" s="342"/>
      <c r="Q202" s="1507"/>
      <c r="R202" s="1525"/>
      <c r="S202" s="1521"/>
      <c r="V202" s="1325"/>
      <c r="W202" s="1325"/>
      <c r="X202" s="1325"/>
    </row>
    <row r="203" spans="1:24" s="863" customFormat="1" ht="12.75">
      <c r="A203" s="1482"/>
      <c r="B203" s="1482">
        <v>1</v>
      </c>
      <c r="C203" s="1483">
        <f t="shared" si="30"/>
        <v>2</v>
      </c>
      <c r="D203" s="1492">
        <f t="shared" si="25"/>
        <v>1</v>
      </c>
      <c r="E203" s="1492">
        <f t="shared" si="26"/>
        <v>5</v>
      </c>
      <c r="F203" s="1526" t="s">
        <v>11708</v>
      </c>
      <c r="G203" s="862"/>
      <c r="H203" s="1527" t="s">
        <v>11703</v>
      </c>
      <c r="I203" s="1528" t="s">
        <v>64</v>
      </c>
      <c r="J203" s="1529" t="str">
        <f>CONCATENATE(C203,".",D203,".",E203)</f>
        <v>2.1.5</v>
      </c>
      <c r="K203" s="1530" t="s">
        <v>11714</v>
      </c>
      <c r="L203" s="1531" t="s">
        <v>25</v>
      </c>
      <c r="M203" s="1532" t="s">
        <v>11704</v>
      </c>
      <c r="N203" s="586" t="s">
        <v>11705</v>
      </c>
      <c r="O203" s="587" t="s">
        <v>11706</v>
      </c>
      <c r="P203" s="588" t="s">
        <v>27</v>
      </c>
      <c r="Q203" s="1507" t="s">
        <v>11704</v>
      </c>
      <c r="R203" s="1525"/>
      <c r="S203" s="1521"/>
      <c r="V203" s="1325"/>
      <c r="W203" s="1325"/>
      <c r="X203" s="1325"/>
    </row>
    <row r="204" spans="1:24" s="863" customFormat="1" ht="12.75">
      <c r="A204" s="1482"/>
      <c r="B204" s="1482"/>
      <c r="C204" s="1483">
        <f t="shared" si="30"/>
        <v>2</v>
      </c>
      <c r="D204" s="1492">
        <f t="shared" si="25"/>
        <v>1</v>
      </c>
      <c r="E204" s="1492">
        <f t="shared" si="26"/>
        <v>5</v>
      </c>
      <c r="F204" s="1526" t="s">
        <v>11708</v>
      </c>
      <c r="G204" s="862"/>
      <c r="H204" s="823"/>
      <c r="I204" s="700"/>
      <c r="J204" s="824"/>
      <c r="K204" s="700"/>
      <c r="L204" s="700"/>
      <c r="M204" s="870"/>
      <c r="N204" s="399"/>
      <c r="O204" s="344"/>
      <c r="P204" s="342"/>
      <c r="Q204" s="1507"/>
      <c r="R204" s="1525"/>
      <c r="S204" s="1521"/>
      <c r="V204" s="1325"/>
      <c r="W204" s="1325"/>
      <c r="X204" s="1325"/>
    </row>
    <row r="205" spans="1:24" s="863" customFormat="1" ht="48.75" customHeight="1">
      <c r="A205" s="1482"/>
      <c r="B205" s="1482"/>
      <c r="C205" s="1483">
        <f t="shared" si="30"/>
        <v>2</v>
      </c>
      <c r="D205" s="1492">
        <f t="shared" si="25"/>
        <v>1</v>
      </c>
      <c r="E205" s="1492">
        <f>E204+B205</f>
        <v>5</v>
      </c>
      <c r="F205" s="1526" t="s">
        <v>11708</v>
      </c>
      <c r="G205" s="916" t="s">
        <v>20347</v>
      </c>
      <c r="H205" s="823" t="str">
        <f>VLOOKUP(G205,MC_TRAVESSIA_COLETOR!A:M,2,0)</f>
        <v>SINAPI</v>
      </c>
      <c r="I205" s="700">
        <f>VLOOKUP(G205,MC_TRAVESSIA_COLETOR!A:M,3,0)</f>
        <v>92415</v>
      </c>
      <c r="J205" s="824"/>
      <c r="K205" s="790" t="str">
        <f>(IF(H205="Saneago",VLOOKUP(I205,'SANEAGO-FEV.2016'!A:B,2,0),IF(H205="Sinapi",VLOOKUP(I205,'SINAPI-FEV.2017'!A:D,2,0),IF(H205="Cotação",VLOOKUP(I205,COTAÇÃO!A:D,2,0),IF(H205="Composição",VLOOKUP(I205,COMPOSIÇÃO!A:D,2,0))))))</f>
        <v>MONTAGEM E DESMONTAGEM DE FÔRMA DE PILARES RETANGULARES E ESTRUTURAS SIMILARES COM ÁREA MÉDIA DAS SEÇÕES MAIOR QUE 0,25 M², PÉ-DIREITO SIMPLES, EM CHAPA DE MADEIRA COMPENSADA RESINADA, 2 UTILIZAÇÕES. AF_12/2015</v>
      </c>
      <c r="L205" s="700" t="str">
        <f>(IF(H205="Saneago",VLOOKUP(I205,'SANEAGO-FEV.2016'!A:D,3,0),IF(H205="Sinapi",VLOOKUP(I205,'SINAPI-FEV.2017'!A:D,3,0),IF(H205="Cotação",VLOOKUP(I205,COTAÇÃO!A:D,3,0),IF(H205="Composição",VLOOKUP(I205,COMPOSIÇÃO!A:D,3,0))))))</f>
        <v>M2</v>
      </c>
      <c r="M205" s="870">
        <f>ROUND(VLOOKUP(G205,MC_TRAVESSIA_COLETOR!A:M,13,0),2)</f>
        <v>222.2</v>
      </c>
      <c r="N205" s="399">
        <v>0</v>
      </c>
      <c r="O205" s="102">
        <f t="shared" ref="O205:O214" si="31">ROUND(IF(F205="Serviços",N205*(1+$O$7),IF(F205="Materiais",N205*(1+$O$8))),2)</f>
        <v>0</v>
      </c>
      <c r="P205" s="101">
        <f t="shared" ref="P205:P214" si="32">ROUND(M205*O205,2)</f>
        <v>0</v>
      </c>
      <c r="Q205" s="1507">
        <v>222.2</v>
      </c>
      <c r="R205" s="1525"/>
      <c r="S205" s="1521"/>
      <c r="V205" s="1325"/>
      <c r="W205" s="1325"/>
      <c r="X205" s="1325"/>
    </row>
    <row r="206" spans="1:24" s="863" customFormat="1" ht="42" customHeight="1">
      <c r="A206" s="1482"/>
      <c r="B206" s="1482"/>
      <c r="C206" s="1483">
        <f t="shared" si="30"/>
        <v>2</v>
      </c>
      <c r="D206" s="1492">
        <f t="shared" ref="D206:E208" si="33">D205+A206</f>
        <v>1</v>
      </c>
      <c r="E206" s="1492">
        <f t="shared" si="33"/>
        <v>5</v>
      </c>
      <c r="F206" s="1526" t="s">
        <v>11708</v>
      </c>
      <c r="G206" s="916" t="s">
        <v>20348</v>
      </c>
      <c r="H206" s="823" t="str">
        <f>VLOOKUP(G206,MC_TRAVESSIA_COLETOR!A:M,2,0)</f>
        <v>SINAPI</v>
      </c>
      <c r="I206" s="700">
        <f>VLOOKUP(G206,MC_TRAVESSIA_COLETOR!A:M,3,0)</f>
        <v>92510</v>
      </c>
      <c r="J206" s="824"/>
      <c r="K206" s="790" t="str">
        <f>(IF(H206="Saneago",VLOOKUP(I206,'SANEAGO-FEV.2016'!A:B,2,0),IF(H206="Sinapi",VLOOKUP(I206,'SINAPI-FEV.2017'!A:D,2,0),IF(H206="Cotação",VLOOKUP(I206,COTAÇÃO!A:D,2,0),IF(H206="Composição",VLOOKUP(I206,COMPOSIÇÃO!A:D,2,0))))))</f>
        <v>MONTAGEM E DESMONTAGEM DE FÔRMA DE LAJE MACIÇA COM ÁREA MÉDIA MAIOR QUE 20 M², PÉ-DIREITO SIMPLES, EM CHAPA DE MADEIRA COMPENSADA RESINADA, 2 UTILIZAÇÕES. AF_12/2015</v>
      </c>
      <c r="L206" s="700" t="str">
        <f>(IF(H206="Saneago",VLOOKUP(I206,'SANEAGO-FEV.2016'!A:D,3,0),IF(H206="Sinapi",VLOOKUP(I206,'SINAPI-FEV.2017'!A:D,3,0),IF(H206="Cotação",VLOOKUP(I206,COTAÇÃO!A:D,3,0),IF(H206="Composição",VLOOKUP(I206,COMPOSIÇÃO!A:D,3,0))))))</f>
        <v>M2</v>
      </c>
      <c r="M206" s="870">
        <f>ROUND(VLOOKUP(G206,MC_TRAVESSIA_COLETOR!A:M,13,0),2)</f>
        <v>21.07</v>
      </c>
      <c r="N206" s="399">
        <v>0</v>
      </c>
      <c r="O206" s="102">
        <f>ROUND(IF(F206="Serviços",N206*(1+$O$7),IF(F206="Materiais",N206*(1+$O$8))),2)</f>
        <v>0</v>
      </c>
      <c r="P206" s="101">
        <f>ROUND(M206*O206,2)</f>
        <v>0</v>
      </c>
      <c r="Q206" s="1507">
        <v>21.07</v>
      </c>
      <c r="R206" s="1525"/>
      <c r="S206" s="1521"/>
      <c r="V206" s="1325"/>
      <c r="W206" s="1325"/>
      <c r="X206" s="1325"/>
    </row>
    <row r="207" spans="1:24" s="863" customFormat="1" ht="22.5">
      <c r="A207" s="1482"/>
      <c r="B207" s="1482"/>
      <c r="C207" s="1483">
        <f t="shared" si="30"/>
        <v>2</v>
      </c>
      <c r="D207" s="1492">
        <f t="shared" si="33"/>
        <v>1</v>
      </c>
      <c r="E207" s="1492">
        <f>E206+B207</f>
        <v>5</v>
      </c>
      <c r="F207" s="1526" t="s">
        <v>11708</v>
      </c>
      <c r="G207" s="862" t="s">
        <v>14619</v>
      </c>
      <c r="H207" s="823" t="str">
        <f>VLOOKUP(G207,MC_TRAVESSIA_COLETOR!A:M,2,0)</f>
        <v>SINAPI</v>
      </c>
      <c r="I207" s="700">
        <f>VLOOKUP(G207,MC_TRAVESSIA_COLETOR!A:M,3,0)</f>
        <v>34494</v>
      </c>
      <c r="J207" s="824"/>
      <c r="K207" s="790" t="str">
        <f>(IF(H207="Saneago",VLOOKUP(I207,'SANEAGO-FEV.2016'!A:B,2,0),IF(H207="Sinapi",VLOOKUP(I207,'SINAPI-FEV.2017'!A:D,2,0),IF(H207="Cotação",VLOOKUP(I207,COTAÇÃO!A:D,2,0),IF(H207="Composição",VLOOKUP(I207,COMPOSIÇÃO!A:D,2,0))))))</f>
        <v>CONCRETO USINADO BOMBEAVEL, CLASSE DE RESISTENCIA C30, COM BRITA 0 E 1, SLUMP = 100 +/- 20 MM, EXCLUI SERVICO DE BOMBEAMENTO (NBR 8953)</v>
      </c>
      <c r="L207" s="700" t="str">
        <f>(IF(H207="Saneago",VLOOKUP(I207,'SANEAGO-FEV.2016'!A:D,3,0),IF(H207="Sinapi",VLOOKUP(I207,'SINAPI-FEV.2017'!A:D,3,0),IF(H207="Cotação",VLOOKUP(I207,COTAÇÃO!A:D,3,0),IF(H207="Composição",VLOOKUP(I207,COMPOSIÇÃO!A:D,3,0))))))</f>
        <v>M3</v>
      </c>
      <c r="M207" s="870">
        <f>ROUND(VLOOKUP(G207,MC_TRAVESSIA_COLETOR!A:M,13,0),2)</f>
        <v>24</v>
      </c>
      <c r="N207" s="399">
        <v>0</v>
      </c>
      <c r="O207" s="102">
        <f t="shared" si="31"/>
        <v>0</v>
      </c>
      <c r="P207" s="101">
        <f t="shared" si="32"/>
        <v>0</v>
      </c>
      <c r="Q207" s="1507">
        <v>24</v>
      </c>
      <c r="R207" s="1525"/>
      <c r="S207" s="1521"/>
      <c r="V207" s="1325"/>
      <c r="W207" s="1325"/>
      <c r="X207" s="1325"/>
    </row>
    <row r="208" spans="1:24" s="863" customFormat="1" ht="22.5">
      <c r="A208" s="1482"/>
      <c r="B208" s="1482"/>
      <c r="C208" s="1483">
        <f t="shared" si="30"/>
        <v>2</v>
      </c>
      <c r="D208" s="1492">
        <f t="shared" si="33"/>
        <v>1</v>
      </c>
      <c r="E208" s="1492">
        <f>E207+B208</f>
        <v>5</v>
      </c>
      <c r="F208" s="1526" t="s">
        <v>11708</v>
      </c>
      <c r="G208" s="862" t="s">
        <v>20332</v>
      </c>
      <c r="H208" s="823" t="str">
        <f>VLOOKUP(G208,MC_TRAVESSIA_COLETOR!A:M,2,0)</f>
        <v>SINAPI</v>
      </c>
      <c r="I208" s="700">
        <f>VLOOKUP(G208,MC_TRAVESSIA_COLETOR!A:M,3,0)</f>
        <v>92874</v>
      </c>
      <c r="J208" s="824"/>
      <c r="K208" s="790" t="str">
        <f>(IF(H208="Saneago",VLOOKUP(I208,'SANEAGO-FEV.2016'!A:B,2,0),IF(H208="Sinapi",VLOOKUP(I208,'SINAPI-FEV.2017'!A:D,2,0),IF(H208="Cotação",VLOOKUP(I208,COTAÇÃO!A:D,2,0),IF(H208="Composição",VLOOKUP(I208,COMPOSIÇÃO!A:D,2,0))))))</f>
        <v>LANÇAMENTO COM USO DE BOMBA, ADENSAMENTO E ACABAMENTO DE CONCRETO EM ESTRUTURAS. AF_12/2015</v>
      </c>
      <c r="L208" s="700" t="str">
        <f>(IF(H208="Saneago",VLOOKUP(I208,'SANEAGO-FEV.2016'!A:D,3,0),IF(H208="Sinapi",VLOOKUP(I208,'SINAPI-FEV.2017'!A:D,3,0),IF(H208="Cotação",VLOOKUP(I208,COTAÇÃO!A:D,3,0),IF(H208="Composição",VLOOKUP(I208,COMPOSIÇÃO!A:D,3,0))))))</f>
        <v>M3</v>
      </c>
      <c r="M208" s="870">
        <f>ROUND(VLOOKUP(G208,MC_TRAVESSIA_COLETOR!A:M,13,0),2)</f>
        <v>24</v>
      </c>
      <c r="N208" s="399">
        <v>0</v>
      </c>
      <c r="O208" s="102">
        <f t="shared" si="31"/>
        <v>0</v>
      </c>
      <c r="P208" s="101">
        <f t="shared" si="32"/>
        <v>0</v>
      </c>
      <c r="Q208" s="1507">
        <v>24</v>
      </c>
      <c r="R208" s="1525"/>
      <c r="S208" s="1521"/>
      <c r="V208" s="1325"/>
      <c r="W208" s="1325"/>
      <c r="X208" s="1325"/>
    </row>
    <row r="209" spans="1:24" s="863" customFormat="1" ht="45">
      <c r="A209" s="1482"/>
      <c r="B209" s="1482"/>
      <c r="C209" s="1483">
        <f t="shared" si="30"/>
        <v>2</v>
      </c>
      <c r="D209" s="1492">
        <f>D208+A209</f>
        <v>1</v>
      </c>
      <c r="E209" s="1492">
        <f>E208+B209</f>
        <v>5</v>
      </c>
      <c r="F209" s="1526" t="s">
        <v>11708</v>
      </c>
      <c r="G209" s="862" t="s">
        <v>20305</v>
      </c>
      <c r="H209" s="823" t="str">
        <f>VLOOKUP(G209,MC_TRAVESSIA_COLETOR!A:M,2,0)</f>
        <v>SINAPI</v>
      </c>
      <c r="I209" s="700">
        <f>VLOOKUP(G209,MC_TRAVESSIA_COLETOR!A:M,3,0)</f>
        <v>92915</v>
      </c>
      <c r="J209" s="824"/>
      <c r="K209" s="790" t="str">
        <f>(IF(H209="Saneago",VLOOKUP(I209,'SANEAGO-FEV.2016'!A:B,2,0),IF(H209="Sinapi",VLOOKUP(I209,'SINAPI-FEV.2017'!A:D,2,0),IF(H209="Cotação",VLOOKUP(I209,COTAÇÃO!A:D,2,0),IF(H209="Composição",VLOOKUP(I209,COMPOSIÇÃO!A:D,2,0))))))</f>
        <v>ARMAÇÃO DE ESTRUTURAS DE CONCRETO ARMADO, EXCETO VIGAS, PILARES, LAJES E FUNDAÇÕES PROFUNDAS (DE EDIFÍCIOS DE MÚLTIPLOS PAVIMENTOS, EDIFICAÇÃO TÉRREA OU SOBRADO), UTILIZANDO AÇO CA-60 DE 5.0 MM - MONTAGEM. AF_12/2015</v>
      </c>
      <c r="L209" s="700" t="str">
        <f>(IF(H209="Saneago",VLOOKUP(I209,'SANEAGO-FEV.2016'!A:D,3,0),IF(H209="Sinapi",VLOOKUP(I209,'SINAPI-FEV.2017'!A:D,3,0),IF(H209="Cotação",VLOOKUP(I209,COTAÇÃO!A:D,3,0),IF(H209="Composição",VLOOKUP(I209,COMPOSIÇÃO!A:D,3,0))))))</f>
        <v>KG</v>
      </c>
      <c r="M209" s="870">
        <f>ROUND(VLOOKUP(G209,MC_TRAVESSIA_COLETOR!A:M,13,0),2)</f>
        <v>19</v>
      </c>
      <c r="N209" s="399">
        <v>0</v>
      </c>
      <c r="O209" s="102">
        <f t="shared" si="31"/>
        <v>0</v>
      </c>
      <c r="P209" s="101">
        <f t="shared" si="32"/>
        <v>0</v>
      </c>
      <c r="Q209" s="1507">
        <v>19</v>
      </c>
      <c r="R209" s="1525"/>
      <c r="S209" s="1521"/>
      <c r="V209" s="1325"/>
      <c r="W209" s="1325"/>
      <c r="X209" s="1325"/>
    </row>
    <row r="210" spans="1:24" s="863" customFormat="1" ht="45">
      <c r="A210" s="1482"/>
      <c r="B210" s="1482"/>
      <c r="C210" s="1483">
        <f t="shared" si="30"/>
        <v>2</v>
      </c>
      <c r="D210" s="1492">
        <f>D209+A210</f>
        <v>1</v>
      </c>
      <c r="E210" s="1492">
        <f>E209+B210</f>
        <v>5</v>
      </c>
      <c r="F210" s="1526" t="s">
        <v>11708</v>
      </c>
      <c r="G210" s="862" t="s">
        <v>20306</v>
      </c>
      <c r="H210" s="823" t="str">
        <f>VLOOKUP(G210,MC_TRAVESSIA_COLETOR!A:M,2,0)</f>
        <v>SINAPI</v>
      </c>
      <c r="I210" s="700">
        <f>VLOOKUP(G210,MC_TRAVESSIA_COLETOR!A:M,3,0)</f>
        <v>92917</v>
      </c>
      <c r="J210" s="824"/>
      <c r="K210" s="790" t="str">
        <f>(IF(H210="Saneago",VLOOKUP(I210,'SANEAGO-FEV.2016'!A:B,2,0),IF(H210="Sinapi",VLOOKUP(I210,'SINAPI-FEV.2017'!A:D,2,0),IF(H210="Cotação",VLOOKUP(I210,COTAÇÃO!A:D,2,0),IF(H210="Composição",VLOOKUP(I210,COMPOSIÇÃO!A:D,2,0))))))</f>
        <v>ARMAÇÃO DE ESTRUTURAS DE CONCRETO ARMADO, EXCETO VIGAS, PILARES, LAJES E FUNDAÇÕES PROFUNDAS (DE EDIFÍCIOS DE MÚLTIPLOS PAVIMENTOS, EDIFICAÇÃO TÉRREA OU SOBRADO), UTILIZANDO AÇO CA-50 DE 8.0 MM - MONTAGEM. AF_12/2015</v>
      </c>
      <c r="L210" s="700" t="str">
        <f>(IF(H210="Saneago",VLOOKUP(I210,'SANEAGO-FEV.2016'!A:D,3,0),IF(H210="Sinapi",VLOOKUP(I210,'SINAPI-FEV.2017'!A:D,3,0),IF(H210="Cotação",VLOOKUP(I210,COTAÇÃO!A:D,3,0),IF(H210="Composição",VLOOKUP(I210,COMPOSIÇÃO!A:D,3,0))))))</f>
        <v>KG</v>
      </c>
      <c r="M210" s="870">
        <f>ROUND(VLOOKUP(G210,MC_TRAVESSIA_COLETOR!A:M,13,0),2)</f>
        <v>1617.1</v>
      </c>
      <c r="N210" s="399">
        <v>0</v>
      </c>
      <c r="O210" s="102">
        <f t="shared" si="31"/>
        <v>0</v>
      </c>
      <c r="P210" s="101">
        <f t="shared" si="32"/>
        <v>0</v>
      </c>
      <c r="Q210" s="1507">
        <v>1617.1</v>
      </c>
      <c r="R210" s="1525"/>
      <c r="S210" s="1521"/>
      <c r="V210" s="1325"/>
      <c r="W210" s="1325"/>
      <c r="X210" s="1325"/>
    </row>
    <row r="211" spans="1:24" s="863" customFormat="1" ht="45">
      <c r="A211" s="1482"/>
      <c r="B211" s="1482"/>
      <c r="C211" s="1483">
        <f t="shared" si="30"/>
        <v>2</v>
      </c>
      <c r="D211" s="1492">
        <f t="shared" ref="D211:D216" si="34">D210+A211</f>
        <v>1</v>
      </c>
      <c r="E211" s="1492">
        <f t="shared" ref="E211:E216" si="35">E210+B211</f>
        <v>5</v>
      </c>
      <c r="F211" s="1526" t="s">
        <v>11708</v>
      </c>
      <c r="G211" s="862" t="s">
        <v>20307</v>
      </c>
      <c r="H211" s="823" t="str">
        <f>VLOOKUP(G211,MC_TRAVESSIA_COLETOR!A:M,2,0)</f>
        <v>SINAPI</v>
      </c>
      <c r="I211" s="700">
        <f>VLOOKUP(G211,MC_TRAVESSIA_COLETOR!A:M,3,0)</f>
        <v>92919</v>
      </c>
      <c r="J211" s="824"/>
      <c r="K211" s="790" t="str">
        <f>(IF(H211="Saneago",VLOOKUP(I211,'SANEAGO-FEV.2016'!A:B,2,0),IF(H211="Sinapi",VLOOKUP(I211,'SINAPI-FEV.2017'!A:D,2,0),IF(H211="Cotação",VLOOKUP(I211,COTAÇÃO!A:D,2,0),IF(H211="Composição",VLOOKUP(I211,COMPOSIÇÃO!A:D,2,0))))))</f>
        <v>ARMAÇÃO DE ESTRUTURAS DE CONCRETO ARMADO, EXCETO VIGAS, PILARES, LAJES E FUNDAÇÕES PROFUNDAS (DE EDIFÍCIOS DE MÚLTIPLOS PAVIMENTOS, EDIFICAÇÃO TÉRREA OU SOBRADO), UTILIZANDO AÇO CA-50 DE 10.0 MM - MONTAGEM. AF_12/2015</v>
      </c>
      <c r="L211" s="700" t="str">
        <f>(IF(H211="Saneago",VLOOKUP(I211,'SANEAGO-FEV.2016'!A:D,3,0),IF(H211="Sinapi",VLOOKUP(I211,'SINAPI-FEV.2017'!A:D,3,0),IF(H211="Cotação",VLOOKUP(I211,COTAÇÃO!A:D,3,0),IF(H211="Composição",VLOOKUP(I211,COMPOSIÇÃO!A:D,3,0))))))</f>
        <v>KG</v>
      </c>
      <c r="M211" s="870">
        <f>ROUND(VLOOKUP(G211,MC_TRAVESSIA_COLETOR!A:M,13,0),2)</f>
        <v>125</v>
      </c>
      <c r="N211" s="399">
        <v>0</v>
      </c>
      <c r="O211" s="102">
        <f t="shared" si="31"/>
        <v>0</v>
      </c>
      <c r="P211" s="101">
        <f t="shared" si="32"/>
        <v>0</v>
      </c>
      <c r="Q211" s="1507">
        <v>125</v>
      </c>
      <c r="R211" s="1525"/>
      <c r="S211" s="1521"/>
      <c r="V211" s="1325"/>
      <c r="W211" s="1325"/>
      <c r="X211" s="1325"/>
    </row>
    <row r="212" spans="1:24" s="863" customFormat="1" ht="45">
      <c r="A212" s="1482"/>
      <c r="B212" s="1482"/>
      <c r="C212" s="1483">
        <f t="shared" si="30"/>
        <v>2</v>
      </c>
      <c r="D212" s="1492">
        <f t="shared" si="34"/>
        <v>1</v>
      </c>
      <c r="E212" s="1492">
        <f t="shared" si="35"/>
        <v>5</v>
      </c>
      <c r="F212" s="1526" t="s">
        <v>11708</v>
      </c>
      <c r="G212" s="862" t="s">
        <v>20308</v>
      </c>
      <c r="H212" s="823" t="str">
        <f>VLOOKUP(G212,MC_TRAVESSIA_COLETOR!A:M,2,0)</f>
        <v>SINAPI</v>
      </c>
      <c r="I212" s="700">
        <f>VLOOKUP(G212,MC_TRAVESSIA_COLETOR!A:M,3,0)</f>
        <v>92921</v>
      </c>
      <c r="J212" s="824"/>
      <c r="K212" s="790" t="str">
        <f>(IF(H212="Saneago",VLOOKUP(I212,'SANEAGO-FEV.2016'!A:B,2,0),IF(H212="Sinapi",VLOOKUP(I212,'SINAPI-FEV.2017'!A:D,2,0),IF(H212="Cotação",VLOOKUP(I212,COTAÇÃO!A:D,2,0),IF(H212="Composição",VLOOKUP(I212,COMPOSIÇÃO!A:D,2,0))))))</f>
        <v>ARMAÇÃO DE ESTRUTURAS DE CONCRETO ARMADO, EXCETO VIGAS, PILARES, LAJES E FUNDAÇÕES PROFUNDAS (DE EDIFÍCIOS DE MÚLTIPLOS PAVIMENTOS, EDIFICAÇÃO TÉRREA OU SOBRADO), UTILIZANDO AÇO CA-50 DE 12.5 MM - MONTAGEM. AF_12/2015</v>
      </c>
      <c r="L212" s="700" t="str">
        <f>(IF(H212="Saneago",VLOOKUP(I212,'SANEAGO-FEV.2016'!A:D,3,0),IF(H212="Sinapi",VLOOKUP(I212,'SINAPI-FEV.2017'!A:D,3,0),IF(H212="Cotação",VLOOKUP(I212,COTAÇÃO!A:D,3,0),IF(H212="Composição",VLOOKUP(I212,COMPOSIÇÃO!A:D,3,0))))))</f>
        <v>KG</v>
      </c>
      <c r="M212" s="870">
        <f>ROUND(VLOOKUP(G212,MC_TRAVESSIA_COLETOR!A:M,13,0),2)</f>
        <v>552</v>
      </c>
      <c r="N212" s="399">
        <v>0</v>
      </c>
      <c r="O212" s="102">
        <f t="shared" si="31"/>
        <v>0</v>
      </c>
      <c r="P212" s="101">
        <f t="shared" si="32"/>
        <v>0</v>
      </c>
      <c r="Q212" s="1507">
        <v>552</v>
      </c>
      <c r="R212" s="1525"/>
      <c r="S212" s="1521"/>
      <c r="V212" s="1325"/>
      <c r="W212" s="1325"/>
      <c r="X212" s="1325"/>
    </row>
    <row r="213" spans="1:24" s="863" customFormat="1" ht="12.75">
      <c r="A213" s="1482"/>
      <c r="B213" s="1482"/>
      <c r="C213" s="1483">
        <f t="shared" si="30"/>
        <v>2</v>
      </c>
      <c r="D213" s="1492">
        <f t="shared" si="34"/>
        <v>1</v>
      </c>
      <c r="E213" s="1492">
        <f t="shared" si="35"/>
        <v>5</v>
      </c>
      <c r="F213" s="1526" t="s">
        <v>11708</v>
      </c>
      <c r="G213" s="862" t="s">
        <v>20304</v>
      </c>
      <c r="H213" s="823" t="str">
        <f>VLOOKUP(G213,MC_TRAVESSIA_COLETOR!A:M,2,0)</f>
        <v>SINAPI</v>
      </c>
      <c r="I213" s="700" t="str">
        <f>VLOOKUP(G213,MC_TRAVESSIA_COLETOR!A:M,3,0)</f>
        <v>74022/57</v>
      </c>
      <c r="J213" s="824"/>
      <c r="K213" s="790" t="str">
        <f>(IF(H213="Saneago",VLOOKUP(I213,'SANEAGO-FEV.2016'!A:B,2,0),IF(H213="Sinapi",VLOOKUP(I213,'SINAPI-FEV.2017'!A:D,2,0),IF(H213="Cotação",VLOOKUP(I213,COTAÇÃO!A:D,2,0),IF(H213="Composição",VLOOKUP(I213,COMPOSIÇÃO!A:D,2,0))))))</f>
        <v>ENSAIO DE CONSISTENCIA DO CONCRETO CCR - INDICE VEBE</v>
      </c>
      <c r="L213" s="700" t="str">
        <f>(IF(H213="Saneago",VLOOKUP(I213,'SANEAGO-FEV.2016'!A:D,3,0),IF(H213="Sinapi",VLOOKUP(I213,'SINAPI-FEV.2017'!A:D,3,0),IF(H213="Cotação",VLOOKUP(I213,COTAÇÃO!A:D,3,0),IF(H213="Composição",VLOOKUP(I213,COMPOSIÇÃO!A:D,3,0))))))</f>
        <v>UN</v>
      </c>
      <c r="M213" s="870">
        <f>ROUND(VLOOKUP(G213,MC_TRAVESSIA_COLETOR!A:M,13,0),2)</f>
        <v>1</v>
      </c>
      <c r="N213" s="399">
        <v>0</v>
      </c>
      <c r="O213" s="102">
        <f t="shared" si="31"/>
        <v>0</v>
      </c>
      <c r="P213" s="101">
        <f t="shared" si="32"/>
        <v>0</v>
      </c>
      <c r="Q213" s="1507">
        <v>1</v>
      </c>
      <c r="R213" s="1525"/>
      <c r="S213" s="1521"/>
      <c r="V213" s="1325"/>
      <c r="W213" s="1325"/>
      <c r="X213" s="1325"/>
    </row>
    <row r="214" spans="1:24" s="863" customFormat="1" ht="12.75">
      <c r="A214" s="1482"/>
      <c r="B214" s="1482"/>
      <c r="C214" s="1483">
        <f t="shared" si="30"/>
        <v>2</v>
      </c>
      <c r="D214" s="1492">
        <f t="shared" si="34"/>
        <v>1</v>
      </c>
      <c r="E214" s="1492">
        <f t="shared" si="35"/>
        <v>5</v>
      </c>
      <c r="F214" s="1526" t="s">
        <v>11708</v>
      </c>
      <c r="G214" s="862" t="s">
        <v>14620</v>
      </c>
      <c r="H214" s="823" t="str">
        <f>VLOOKUP(G214,MC_TRAVESSIA_COLETOR!A:M,2,0)</f>
        <v>SANEAGO</v>
      </c>
      <c r="I214" s="700" t="str">
        <f>VLOOKUP(G214,MC_TRAVESSIA_COLETOR!A:M,3,0)</f>
        <v>i1057</v>
      </c>
      <c r="J214" s="824"/>
      <c r="K214" s="790" t="str">
        <f>(IF(H214="Saneago",VLOOKUP(I214,'SANEAGO-FEV.2016'!A:B,2,0),IF(H214="Sinapi",VLOOKUP(I214,'SINAPI-FEV.2017'!A:D,2,0),IF(H214="Cotação",VLOOKUP(I214,COTAÇÃO!A:D,2,0),IF(H214="Composição",VLOOKUP(I214,COMPOSIÇÃO!A:D,2,0))))))</f>
        <v>TAMPAO E ANEL (CJ) EM CONCRETO PRE-MOLDADO P/ PV (PADRAO SANEAGO)</v>
      </c>
      <c r="L214" s="700" t="str">
        <f>(IF(H214="Saneago",VLOOKUP(I214,'SANEAGO-FEV.2016'!A:D,3,0),IF(H214="Sinapi",VLOOKUP(I214,'SINAPI-FEV.2017'!A:D,3,0),IF(H214="Cotação",VLOOKUP(I214,COTAÇÃO!A:D,3,0),IF(H214="Composição",VLOOKUP(I214,COMPOSIÇÃO!A:D,3,0))))))</f>
        <v>UM</v>
      </c>
      <c r="M214" s="870">
        <f>ROUND(VLOOKUP(G214,MC_TRAVESSIA_COLETOR!A:M,13,0),2)</f>
        <v>5</v>
      </c>
      <c r="N214" s="399">
        <v>0</v>
      </c>
      <c r="O214" s="102">
        <f t="shared" si="31"/>
        <v>0</v>
      </c>
      <c r="P214" s="101">
        <f t="shared" si="32"/>
        <v>0</v>
      </c>
      <c r="Q214" s="1507">
        <v>5</v>
      </c>
      <c r="R214" s="1525"/>
      <c r="S214" s="1521"/>
      <c r="V214" s="1325"/>
      <c r="W214" s="1325"/>
      <c r="X214" s="1325"/>
    </row>
    <row r="215" spans="1:24" s="863" customFormat="1" ht="13.5" thickBot="1">
      <c r="A215" s="1482"/>
      <c r="B215" s="1482"/>
      <c r="C215" s="1483">
        <f t="shared" si="30"/>
        <v>2</v>
      </c>
      <c r="D215" s="1492">
        <f t="shared" si="34"/>
        <v>1</v>
      </c>
      <c r="E215" s="1492">
        <f t="shared" si="35"/>
        <v>5</v>
      </c>
      <c r="F215" s="1526" t="s">
        <v>11708</v>
      </c>
      <c r="G215" s="862"/>
      <c r="H215" s="823"/>
      <c r="I215" s="700"/>
      <c r="J215" s="824"/>
      <c r="K215" s="790"/>
      <c r="L215" s="700"/>
      <c r="M215" s="870"/>
      <c r="N215" s="399"/>
      <c r="O215" s="344"/>
      <c r="P215" s="342"/>
      <c r="Q215" s="1507"/>
      <c r="R215" s="1525"/>
      <c r="S215" s="1521"/>
      <c r="V215" s="1325"/>
      <c r="W215" s="1325"/>
      <c r="X215" s="1325"/>
    </row>
    <row r="216" spans="1:24" s="863" customFormat="1" ht="14.25" customHeight="1" thickTop="1" thickBot="1">
      <c r="A216" s="1482"/>
      <c r="B216" s="1482"/>
      <c r="C216" s="1483">
        <f t="shared" si="30"/>
        <v>2</v>
      </c>
      <c r="D216" s="1492">
        <f t="shared" si="34"/>
        <v>1</v>
      </c>
      <c r="E216" s="1492">
        <f t="shared" si="35"/>
        <v>5</v>
      </c>
      <c r="F216" s="1526" t="s">
        <v>11708</v>
      </c>
      <c r="G216" s="862"/>
      <c r="H216" s="1653" t="str">
        <f>"TOTAL ITEM: "&amp;J203 &amp;K203</f>
        <v>TOTAL ITEM: 2.1.5 ESTRUTURAS DE CONCRETO ARMADO</v>
      </c>
      <c r="I216" s="1654"/>
      <c r="J216" s="1654"/>
      <c r="K216" s="1654"/>
      <c r="L216" s="1654"/>
      <c r="M216" s="1654"/>
      <c r="N216" s="1654"/>
      <c r="O216" s="1654"/>
      <c r="P216" s="343">
        <f>SUBTOTAL(9,P205:P214)</f>
        <v>0</v>
      </c>
      <c r="Q216" s="1507"/>
      <c r="R216" s="1525"/>
      <c r="S216" s="1521"/>
      <c r="V216" s="1325"/>
      <c r="W216" s="1325"/>
      <c r="X216" s="1325"/>
    </row>
    <row r="217" spans="1:24" s="863" customFormat="1" ht="13.5" thickTop="1">
      <c r="A217" s="1482"/>
      <c r="B217" s="1482"/>
      <c r="C217" s="1483">
        <f t="shared" si="30"/>
        <v>2</v>
      </c>
      <c r="D217" s="1492">
        <f>D216+A217</f>
        <v>1</v>
      </c>
      <c r="E217" s="1492">
        <f>E216+B217</f>
        <v>5</v>
      </c>
      <c r="F217" s="1526" t="s">
        <v>11708</v>
      </c>
      <c r="G217" s="862"/>
      <c r="H217" s="823"/>
      <c r="I217" s="700"/>
      <c r="J217" s="824"/>
      <c r="K217" s="700"/>
      <c r="L217" s="700"/>
      <c r="M217" s="870"/>
      <c r="N217" s="399"/>
      <c r="O217" s="344"/>
      <c r="P217" s="342"/>
      <c r="Q217" s="1507"/>
      <c r="R217" s="1525"/>
      <c r="S217" s="1521"/>
      <c r="V217" s="1325"/>
      <c r="W217" s="1325"/>
      <c r="X217" s="1325"/>
    </row>
    <row r="218" spans="1:24" s="863" customFormat="1" ht="12.75">
      <c r="A218" s="1482"/>
      <c r="B218" s="1482">
        <v>1</v>
      </c>
      <c r="C218" s="1483">
        <f t="shared" si="30"/>
        <v>2</v>
      </c>
      <c r="D218" s="1492">
        <f>D217+A218</f>
        <v>1</v>
      </c>
      <c r="E218" s="1492">
        <f>E217+B218</f>
        <v>6</v>
      </c>
      <c r="F218" s="1526" t="s">
        <v>11708</v>
      </c>
      <c r="G218" s="862"/>
      <c r="H218" s="1527" t="s">
        <v>11703</v>
      </c>
      <c r="I218" s="1528" t="s">
        <v>64</v>
      </c>
      <c r="J218" s="1529" t="str">
        <f>CONCATENATE(C218,".",D218,".",E218)</f>
        <v>2.1.6</v>
      </c>
      <c r="K218" s="1530" t="s">
        <v>14253</v>
      </c>
      <c r="L218" s="1531" t="s">
        <v>25</v>
      </c>
      <c r="M218" s="1532" t="s">
        <v>11704</v>
      </c>
      <c r="N218" s="586" t="s">
        <v>11705</v>
      </c>
      <c r="O218" s="587" t="s">
        <v>11706</v>
      </c>
      <c r="P218" s="588" t="s">
        <v>27</v>
      </c>
      <c r="Q218" s="1507" t="s">
        <v>11704</v>
      </c>
      <c r="R218" s="1525"/>
      <c r="S218" s="1521"/>
      <c r="V218" s="1325"/>
      <c r="W218" s="1325"/>
      <c r="X218" s="1325"/>
    </row>
    <row r="219" spans="1:24" s="863" customFormat="1" ht="12.75">
      <c r="A219" s="1482"/>
      <c r="B219" s="1482"/>
      <c r="C219" s="1483">
        <f t="shared" si="30"/>
        <v>2</v>
      </c>
      <c r="D219" s="1492">
        <f t="shared" si="25"/>
        <v>1</v>
      </c>
      <c r="E219" s="1492">
        <f t="shared" ref="E219:E226" si="36">E218+B219</f>
        <v>6</v>
      </c>
      <c r="F219" s="1526" t="s">
        <v>11708</v>
      </c>
      <c r="G219" s="862"/>
      <c r="H219" s="823"/>
      <c r="I219" s="700"/>
      <c r="J219" s="824"/>
      <c r="K219" s="700"/>
      <c r="L219" s="700"/>
      <c r="M219" s="870"/>
      <c r="N219" s="399"/>
      <c r="O219" s="344"/>
      <c r="P219" s="342"/>
      <c r="Q219" s="1507"/>
      <c r="R219" s="1525"/>
      <c r="S219" s="1521"/>
      <c r="V219" s="1325"/>
      <c r="W219" s="1325"/>
      <c r="X219" s="1325"/>
    </row>
    <row r="220" spans="1:24" s="863" customFormat="1" ht="22.5">
      <c r="A220" s="1482"/>
      <c r="B220" s="1482"/>
      <c r="C220" s="1483">
        <f t="shared" si="30"/>
        <v>2</v>
      </c>
      <c r="D220" s="1492">
        <f t="shared" si="25"/>
        <v>1</v>
      </c>
      <c r="E220" s="1492">
        <f t="shared" si="36"/>
        <v>6</v>
      </c>
      <c r="F220" s="1526" t="s">
        <v>11708</v>
      </c>
      <c r="G220" s="862" t="s">
        <v>14621</v>
      </c>
      <c r="H220" s="823" t="str">
        <f>VLOOKUP(G220,MC_TRAVESSIA_COLETOR!A:M,2,0)</f>
        <v>COMPOSIÇÃO</v>
      </c>
      <c r="I220" s="700" t="str">
        <f>VLOOKUP(G220,MC_TRAVESSIA_COLETOR!A:M,3,0)</f>
        <v>CT_TRAV.NÃO.DESTR.TUNEL LINER</v>
      </c>
      <c r="J220" s="824"/>
      <c r="K220" s="790" t="str">
        <f>(IF(H220="Saneago",VLOOKUP(I220,'SANEAGO-FEV.2016'!A:B,2,0),IF(H220="Sinapi",VLOOKUP(I220,'SINAPI-FEV.2017'!A:D,2,0),IF(H220="Cotação",VLOOKUP(I220,COTAÇÃO!A:D,2,0),IF(H220="Composição",VLOOKUP(I220,COMPOSIÇÃO!A:D,2,0))))))</f>
        <v>TRAVESSIA NÃO DESTRUTIVA EM TUNEL LINER, DN1200 (INLCUSO SERVIÇOS E MATERIAL)</v>
      </c>
      <c r="L220" s="700" t="str">
        <f>(IF(H220="Saneago",VLOOKUP(I220,'SANEAGO-FEV.2016'!A:D,3,0),IF(H220="Sinapi",VLOOKUP(I220,'SINAPI-FEV.2017'!A:D,3,0),IF(H220="Cotação",VLOOKUP(I220,COTAÇÃO!A:D,3,0),IF(H220="Composição",VLOOKUP(I220,COMPOSIÇÃO!A:D,3,0))))))</f>
        <v>M</v>
      </c>
      <c r="M220" s="870">
        <f>ROUND(VLOOKUP(G220,MC_TRAVESSIA_COLETOR!A:M,13,0),2)</f>
        <v>37</v>
      </c>
      <c r="N220" s="399">
        <v>0</v>
      </c>
      <c r="O220" s="102">
        <f>ROUND(IF(F220="Serviços",N220*(1+$O$7),IF(F220="Materiais",N220*(1+$O$8))),2)</f>
        <v>0</v>
      </c>
      <c r="P220" s="101">
        <f>ROUND(M220*O220,2)</f>
        <v>0</v>
      </c>
      <c r="Q220" s="1507">
        <v>37</v>
      </c>
      <c r="R220" s="1525"/>
      <c r="S220" s="1521"/>
      <c r="V220" s="1325"/>
      <c r="W220" s="1325"/>
      <c r="X220" s="1325"/>
    </row>
    <row r="221" spans="1:24" s="863" customFormat="1" ht="13.5" thickBot="1">
      <c r="A221" s="1482"/>
      <c r="B221" s="1482"/>
      <c r="C221" s="1483">
        <f t="shared" si="30"/>
        <v>2</v>
      </c>
      <c r="D221" s="1492">
        <f t="shared" si="25"/>
        <v>1</v>
      </c>
      <c r="E221" s="1492">
        <f t="shared" si="36"/>
        <v>6</v>
      </c>
      <c r="F221" s="1526" t="s">
        <v>11708</v>
      </c>
      <c r="G221" s="862"/>
      <c r="H221" s="823"/>
      <c r="I221" s="700"/>
      <c r="J221" s="824"/>
      <c r="K221" s="790"/>
      <c r="L221" s="700"/>
      <c r="M221" s="870"/>
      <c r="N221" s="399"/>
      <c r="O221" s="344"/>
      <c r="P221" s="342"/>
      <c r="Q221" s="1507"/>
      <c r="R221" s="1525"/>
      <c r="S221" s="1521"/>
      <c r="V221" s="1325"/>
      <c r="W221" s="1325"/>
      <c r="X221" s="1325"/>
    </row>
    <row r="222" spans="1:24" s="863" customFormat="1" ht="14.25" customHeight="1" thickTop="1" thickBot="1">
      <c r="A222" s="1482"/>
      <c r="B222" s="1482"/>
      <c r="C222" s="1483">
        <f t="shared" si="30"/>
        <v>2</v>
      </c>
      <c r="D222" s="1492">
        <f t="shared" si="25"/>
        <v>1</v>
      </c>
      <c r="E222" s="1492">
        <f t="shared" si="36"/>
        <v>6</v>
      </c>
      <c r="F222" s="1526" t="s">
        <v>11708</v>
      </c>
      <c r="G222" s="862"/>
      <c r="H222" s="1653" t="str">
        <f>"TOTAL ITEM: "&amp;J218 &amp;K218</f>
        <v>TOTAL ITEM: 2.1.6 TRAVESSIAS NÃO DESTRUTIVA</v>
      </c>
      <c r="I222" s="1654"/>
      <c r="J222" s="1654"/>
      <c r="K222" s="1654"/>
      <c r="L222" s="1654"/>
      <c r="M222" s="1654"/>
      <c r="N222" s="1654"/>
      <c r="O222" s="1654"/>
      <c r="P222" s="343">
        <f>SUBTOTAL(9,P220:P220)</f>
        <v>0</v>
      </c>
      <c r="Q222" s="1507"/>
      <c r="R222" s="1525"/>
      <c r="S222" s="1521"/>
      <c r="V222" s="1325"/>
      <c r="W222" s="1325"/>
      <c r="X222" s="1325"/>
    </row>
    <row r="223" spans="1:24" s="863" customFormat="1" ht="13.5" thickTop="1">
      <c r="A223" s="1482"/>
      <c r="B223" s="1482"/>
      <c r="C223" s="1483">
        <f t="shared" si="30"/>
        <v>2</v>
      </c>
      <c r="D223" s="1492">
        <f t="shared" si="25"/>
        <v>1</v>
      </c>
      <c r="E223" s="1492">
        <f t="shared" si="36"/>
        <v>6</v>
      </c>
      <c r="F223" s="1526" t="s">
        <v>11708</v>
      </c>
      <c r="G223" s="862"/>
      <c r="H223" s="823"/>
      <c r="I223" s="700"/>
      <c r="J223" s="824"/>
      <c r="K223" s="700"/>
      <c r="L223" s="700"/>
      <c r="M223" s="870"/>
      <c r="N223" s="399"/>
      <c r="O223" s="344"/>
      <c r="P223" s="342"/>
      <c r="Q223" s="1507"/>
      <c r="R223" s="1525"/>
      <c r="S223" s="1521"/>
      <c r="V223" s="1325"/>
      <c r="W223" s="1325"/>
      <c r="X223" s="1325"/>
    </row>
    <row r="224" spans="1:24" s="863" customFormat="1" ht="12.75">
      <c r="A224" s="1482"/>
      <c r="B224" s="1482">
        <v>1</v>
      </c>
      <c r="C224" s="1483">
        <f t="shared" si="30"/>
        <v>2</v>
      </c>
      <c r="D224" s="1492">
        <f>D223+A224</f>
        <v>1</v>
      </c>
      <c r="E224" s="1492">
        <f t="shared" si="36"/>
        <v>7</v>
      </c>
      <c r="F224" s="1526" t="s">
        <v>11708</v>
      </c>
      <c r="G224" s="862"/>
      <c r="H224" s="1527" t="s">
        <v>11703</v>
      </c>
      <c r="I224" s="1528" t="s">
        <v>64</v>
      </c>
      <c r="J224" s="1529" t="str">
        <f>CONCATENATE(C224,".",D224,".",E224)</f>
        <v>2.1.7</v>
      </c>
      <c r="K224" s="1530" t="s">
        <v>11717</v>
      </c>
      <c r="L224" s="1531" t="s">
        <v>25</v>
      </c>
      <c r="M224" s="1532" t="s">
        <v>11704</v>
      </c>
      <c r="N224" s="586" t="s">
        <v>11705</v>
      </c>
      <c r="O224" s="587" t="s">
        <v>11706</v>
      </c>
      <c r="P224" s="588" t="s">
        <v>27</v>
      </c>
      <c r="Q224" s="1507" t="s">
        <v>11704</v>
      </c>
      <c r="R224" s="1525"/>
      <c r="S224" s="1521"/>
      <c r="V224" s="1325"/>
      <c r="W224" s="1325"/>
      <c r="X224" s="1325"/>
    </row>
    <row r="225" spans="1:24" s="863" customFormat="1" ht="12.75">
      <c r="A225" s="1482"/>
      <c r="B225" s="1482"/>
      <c r="C225" s="1483">
        <f t="shared" si="30"/>
        <v>2</v>
      </c>
      <c r="D225" s="1492">
        <f>D224+A225</f>
        <v>1</v>
      </c>
      <c r="E225" s="1492">
        <f t="shared" si="36"/>
        <v>7</v>
      </c>
      <c r="F225" s="1526" t="s">
        <v>11708</v>
      </c>
      <c r="G225" s="862"/>
      <c r="H225" s="823"/>
      <c r="I225" s="700"/>
      <c r="J225" s="824"/>
      <c r="K225" s="700"/>
      <c r="L225" s="700"/>
      <c r="M225" s="870"/>
      <c r="N225" s="399"/>
      <c r="O225" s="344"/>
      <c r="P225" s="342"/>
      <c r="Q225" s="1507"/>
      <c r="R225" s="1525"/>
      <c r="S225" s="1521"/>
      <c r="V225" s="1325"/>
      <c r="W225" s="1325"/>
      <c r="X225" s="1325"/>
    </row>
    <row r="226" spans="1:24" s="863" customFormat="1" ht="49.5" customHeight="1">
      <c r="A226" s="1482"/>
      <c r="B226" s="1482"/>
      <c r="C226" s="1483">
        <f t="shared" si="30"/>
        <v>2</v>
      </c>
      <c r="D226" s="1492">
        <f>D225+A226</f>
        <v>1</v>
      </c>
      <c r="E226" s="1492">
        <f t="shared" si="36"/>
        <v>7</v>
      </c>
      <c r="F226" s="1526" t="s">
        <v>11708</v>
      </c>
      <c r="G226" s="921" t="s">
        <v>20357</v>
      </c>
      <c r="H226" s="823" t="str">
        <f>VLOOKUP(G226,MC_TRAVESSIA_COLETOR!A:M,2,0)</f>
        <v>SINAPI</v>
      </c>
      <c r="I226" s="700">
        <f>VLOOKUP(G226,MC_TRAVESSIA_COLETOR!A:M,3,0)</f>
        <v>73665</v>
      </c>
      <c r="J226" s="824"/>
      <c r="K226" s="790" t="str">
        <f>(IF(H226="Saneago",VLOOKUP(I226,'SANEAGO-FEV.2016'!A:B,2,0),IF(H226="Sinapi",VLOOKUP(I226,'SINAPI-FEV.2017'!A:D,2,0),IF(H226="Cotação",VLOOKUP(I226,COTAÇÃO!A:D,2,0),IF(H226="Composição",VLOOKUP(I226,COMPOSIÇÃO!A:D,2,0))))))</f>
        <v>ESCADA TIPO MARINHEIRO EM ACO CA-50 9,52MM INCLUSO PINTURA COM FUNDO ANTICORROSIVO TIPO ZARCAO</v>
      </c>
      <c r="L226" s="700" t="str">
        <f>(IF(H226="Saneago",VLOOKUP(I226,'SANEAGO-FEV.2016'!A:D,3,0),IF(H226="Sinapi",VLOOKUP(I226,'SINAPI-FEV.2017'!A:D,3,0),IF(H226="Cotação",VLOOKUP(I226,COTAÇÃO!A:D,3,0),IF(H226="Composição",VLOOKUP(I226,COMPOSIÇÃO!A:D,3,0))))))</f>
        <v>M</v>
      </c>
      <c r="M226" s="870">
        <f>ROUND(VLOOKUP(G226,MC_TRAVESSIA_COLETOR!A:M,13,0),2)</f>
        <v>12.3</v>
      </c>
      <c r="N226" s="399">
        <v>0</v>
      </c>
      <c r="O226" s="102">
        <f>ROUND(IF(F226="Serviços",N226*(1+$O$7),IF(F226="Materiais",N226*(1+$O$8))),2)</f>
        <v>0</v>
      </c>
      <c r="P226" s="101">
        <f>ROUND(M226*O226,2)</f>
        <v>0</v>
      </c>
      <c r="Q226" s="1507">
        <v>12.3</v>
      </c>
      <c r="R226" s="1525"/>
      <c r="S226" s="1521"/>
      <c r="V226" s="1325"/>
      <c r="W226" s="1325"/>
      <c r="X226" s="1325"/>
    </row>
    <row r="227" spans="1:24" s="863" customFormat="1" ht="13.5" thickBot="1">
      <c r="A227" s="1482"/>
      <c r="B227" s="1482"/>
      <c r="C227" s="1483">
        <f t="shared" si="30"/>
        <v>2</v>
      </c>
      <c r="D227" s="1492">
        <f t="shared" ref="D227:D240" si="37">D226+A227</f>
        <v>1</v>
      </c>
      <c r="E227" s="1492">
        <f t="shared" ref="E227:E240" si="38">E226+B227</f>
        <v>7</v>
      </c>
      <c r="F227" s="1526" t="s">
        <v>11708</v>
      </c>
      <c r="G227" s="862"/>
      <c r="H227" s="823"/>
      <c r="I227" s="700"/>
      <c r="J227" s="824"/>
      <c r="K227" s="790"/>
      <c r="L227" s="700"/>
      <c r="M227" s="870"/>
      <c r="N227" s="399"/>
      <c r="O227" s="344"/>
      <c r="P227" s="342"/>
      <c r="Q227" s="1507"/>
      <c r="R227" s="1525"/>
      <c r="S227" s="1521"/>
      <c r="V227" s="1325"/>
      <c r="W227" s="1325"/>
      <c r="X227" s="1325"/>
    </row>
    <row r="228" spans="1:24" s="863" customFormat="1" ht="14.25" customHeight="1" thickTop="1" thickBot="1">
      <c r="A228" s="1482"/>
      <c r="B228" s="1482"/>
      <c r="C228" s="1483">
        <f t="shared" si="30"/>
        <v>2</v>
      </c>
      <c r="D228" s="1492">
        <f t="shared" si="37"/>
        <v>1</v>
      </c>
      <c r="E228" s="1492">
        <f t="shared" si="38"/>
        <v>7</v>
      </c>
      <c r="F228" s="1526" t="s">
        <v>11708</v>
      </c>
      <c r="G228" s="862"/>
      <c r="H228" s="1653" t="str">
        <f>"TOTAL ITEM: "&amp;J224 &amp;K224</f>
        <v>TOTAL ITEM: 2.1.7 ESQUADRIAS</v>
      </c>
      <c r="I228" s="1654"/>
      <c r="J228" s="1654"/>
      <c r="K228" s="1654"/>
      <c r="L228" s="1654"/>
      <c r="M228" s="1654"/>
      <c r="N228" s="1654"/>
      <c r="O228" s="1654"/>
      <c r="P228" s="343">
        <f>SUBTOTAL(9,P226:P226)</f>
        <v>0</v>
      </c>
      <c r="Q228" s="1507"/>
      <c r="R228" s="1525"/>
      <c r="S228" s="1521"/>
      <c r="V228" s="1325"/>
      <c r="W228" s="1325"/>
      <c r="X228" s="1325"/>
    </row>
    <row r="229" spans="1:24" s="863" customFormat="1" ht="13.5" thickTop="1">
      <c r="A229" s="1482"/>
      <c r="B229" s="1482"/>
      <c r="C229" s="1483">
        <f t="shared" si="30"/>
        <v>2</v>
      </c>
      <c r="D229" s="1492">
        <f t="shared" si="37"/>
        <v>1</v>
      </c>
      <c r="E229" s="1492">
        <f t="shared" si="38"/>
        <v>7</v>
      </c>
      <c r="F229" s="1526" t="s">
        <v>11708</v>
      </c>
      <c r="G229" s="862"/>
      <c r="H229" s="823"/>
      <c r="I229" s="700"/>
      <c r="J229" s="824"/>
      <c r="K229" s="700"/>
      <c r="L229" s="700"/>
      <c r="M229" s="870"/>
      <c r="N229" s="399"/>
      <c r="O229" s="344"/>
      <c r="P229" s="342"/>
      <c r="Q229" s="1507"/>
      <c r="R229" s="1525"/>
      <c r="S229" s="1521"/>
      <c r="V229" s="1325"/>
      <c r="W229" s="1325"/>
      <c r="X229" s="1325"/>
    </row>
    <row r="230" spans="1:24" s="863" customFormat="1" ht="12.75">
      <c r="A230" s="1482"/>
      <c r="B230" s="1482">
        <v>1</v>
      </c>
      <c r="C230" s="1483">
        <f t="shared" si="30"/>
        <v>2</v>
      </c>
      <c r="D230" s="1492">
        <f t="shared" si="37"/>
        <v>1</v>
      </c>
      <c r="E230" s="1492">
        <f t="shared" si="38"/>
        <v>8</v>
      </c>
      <c r="F230" s="1526" t="s">
        <v>11708</v>
      </c>
      <c r="G230" s="862"/>
      <c r="H230" s="1527" t="s">
        <v>11703</v>
      </c>
      <c r="I230" s="1528" t="s">
        <v>64</v>
      </c>
      <c r="J230" s="1529" t="str">
        <f>CONCATENATE(C230,".",D230,".",E230)</f>
        <v>2.1.8</v>
      </c>
      <c r="K230" s="1530" t="s">
        <v>14254</v>
      </c>
      <c r="L230" s="1531" t="s">
        <v>25</v>
      </c>
      <c r="M230" s="1532" t="s">
        <v>11704</v>
      </c>
      <c r="N230" s="586" t="s">
        <v>11705</v>
      </c>
      <c r="O230" s="587" t="s">
        <v>11706</v>
      </c>
      <c r="P230" s="588" t="s">
        <v>27</v>
      </c>
      <c r="Q230" s="1507" t="s">
        <v>11704</v>
      </c>
      <c r="R230" s="1525"/>
      <c r="S230" s="1521"/>
      <c r="V230" s="1325"/>
      <c r="W230" s="1325"/>
      <c r="X230" s="1325"/>
    </row>
    <row r="231" spans="1:24" s="863" customFormat="1" ht="12.75">
      <c r="A231" s="1482"/>
      <c r="B231" s="1482"/>
      <c r="C231" s="1483">
        <f t="shared" si="30"/>
        <v>2</v>
      </c>
      <c r="D231" s="1492">
        <f t="shared" si="37"/>
        <v>1</v>
      </c>
      <c r="E231" s="1492">
        <f t="shared" si="38"/>
        <v>8</v>
      </c>
      <c r="F231" s="1526" t="s">
        <v>11708</v>
      </c>
      <c r="G231" s="862"/>
      <c r="H231" s="823"/>
      <c r="I231" s="700"/>
      <c r="J231" s="824"/>
      <c r="K231" s="700"/>
      <c r="L231" s="700"/>
      <c r="M231" s="870"/>
      <c r="N231" s="399"/>
      <c r="O231" s="344"/>
      <c r="P231" s="342"/>
      <c r="Q231" s="1507"/>
      <c r="R231" s="1525"/>
      <c r="S231" s="1521"/>
      <c r="V231" s="1325"/>
      <c r="W231" s="1325"/>
      <c r="X231" s="1325"/>
    </row>
    <row r="232" spans="1:24" s="863" customFormat="1" ht="22.5">
      <c r="A232" s="1482"/>
      <c r="B232" s="1482"/>
      <c r="C232" s="1483">
        <f t="shared" si="30"/>
        <v>2</v>
      </c>
      <c r="D232" s="1492">
        <f t="shared" si="37"/>
        <v>1</v>
      </c>
      <c r="E232" s="1492">
        <f t="shared" si="38"/>
        <v>8</v>
      </c>
      <c r="F232" s="1526" t="s">
        <v>11708</v>
      </c>
      <c r="G232" s="921" t="s">
        <v>14622</v>
      </c>
      <c r="H232" s="823" t="str">
        <f>VLOOKUP(G232,MC_TRAVESSIA_COLETOR!A:M,2,0)</f>
        <v>SINAPI</v>
      </c>
      <c r="I232" s="700" t="str">
        <f>VLOOKUP(G232,MC_TRAVESSIA_COLETOR!A:M,3,0)</f>
        <v>74106/1</v>
      </c>
      <c r="J232" s="824"/>
      <c r="K232" s="790" t="str">
        <f>(IF(H232="Saneago",VLOOKUP(I232,'SANEAGO-FEV.2016'!A:B,2,0),IF(H232="Sinapi",VLOOKUP(I232,'SINAPI-FEV.2017'!A:D,2,0),IF(H232="Cotação",VLOOKUP(I232,COTAÇÃO!A:D,2,0),IF(H232="Composição",VLOOKUP(I232,COMPOSIÇÃO!A:D,2,0))))))</f>
        <v>IMPERMEABILIZACAO DE ESTRUTURAS ENTERRADAS, COM TINTA ASFALTICA, DUAS DEMAOS.</v>
      </c>
      <c r="L232" s="700" t="str">
        <f>(IF(H232="Saneago",VLOOKUP(I232,'SANEAGO-FEV.2016'!A:D,3,0),IF(H232="Sinapi",VLOOKUP(I232,'SINAPI-FEV.2017'!A:D,3,0),IF(H232="Cotação",VLOOKUP(I232,COTAÇÃO!A:D,3,0),IF(H232="Composição",VLOOKUP(I232,COMPOSIÇÃO!A:D,3,0))))))</f>
        <v>M2</v>
      </c>
      <c r="M232" s="870">
        <f>ROUND(VLOOKUP(G232,MC_TRAVESSIA_COLETOR!A:M,13,0),2)</f>
        <v>121.6</v>
      </c>
      <c r="N232" s="399">
        <v>0</v>
      </c>
      <c r="O232" s="102">
        <f>ROUND(IF(F232="Serviços",N232*(1+$O$7),IF(F232="Materiais",N232*(1+$O$8))),2)</f>
        <v>0</v>
      </c>
      <c r="P232" s="101">
        <f>ROUND(M232*O232,2)</f>
        <v>0</v>
      </c>
      <c r="Q232" s="1507">
        <v>121.6</v>
      </c>
      <c r="R232" s="1525"/>
      <c r="S232" s="1521"/>
      <c r="V232" s="1325"/>
      <c r="W232" s="1325"/>
      <c r="X232" s="1325"/>
    </row>
    <row r="233" spans="1:24" s="863" customFormat="1" ht="13.5" thickBot="1">
      <c r="A233" s="1482"/>
      <c r="B233" s="1482"/>
      <c r="C233" s="1483">
        <f t="shared" si="30"/>
        <v>2</v>
      </c>
      <c r="D233" s="1492">
        <f t="shared" si="37"/>
        <v>1</v>
      </c>
      <c r="E233" s="1492">
        <f t="shared" si="38"/>
        <v>8</v>
      </c>
      <c r="F233" s="1526" t="s">
        <v>11708</v>
      </c>
      <c r="G233" s="862"/>
      <c r="H233" s="823"/>
      <c r="I233" s="700"/>
      <c r="J233" s="824"/>
      <c r="K233" s="790"/>
      <c r="L233" s="700"/>
      <c r="M233" s="870"/>
      <c r="N233" s="399"/>
      <c r="O233" s="344"/>
      <c r="P233" s="342"/>
      <c r="Q233" s="1507"/>
      <c r="R233" s="1525"/>
      <c r="S233" s="1521"/>
      <c r="V233" s="1325"/>
      <c r="W233" s="1325"/>
      <c r="X233" s="1325"/>
    </row>
    <row r="234" spans="1:24" s="863" customFormat="1" ht="14.25" customHeight="1" thickTop="1" thickBot="1">
      <c r="A234" s="1482"/>
      <c r="B234" s="1482"/>
      <c r="C234" s="1483">
        <f t="shared" si="30"/>
        <v>2</v>
      </c>
      <c r="D234" s="1492">
        <f t="shared" si="37"/>
        <v>1</v>
      </c>
      <c r="E234" s="1492">
        <f t="shared" si="38"/>
        <v>8</v>
      </c>
      <c r="F234" s="1526" t="s">
        <v>11708</v>
      </c>
      <c r="G234" s="862"/>
      <c r="H234" s="1653" t="str">
        <f>"TOTAL ITEM: "&amp;J230 &amp;K230</f>
        <v>TOTAL ITEM: 2.1.8 REVESTIMENTOS</v>
      </c>
      <c r="I234" s="1654"/>
      <c r="J234" s="1654"/>
      <c r="K234" s="1654"/>
      <c r="L234" s="1654"/>
      <c r="M234" s="1654"/>
      <c r="N234" s="1654"/>
      <c r="O234" s="1654"/>
      <c r="P234" s="343">
        <f>SUBTOTAL(9,P232:P232)</f>
        <v>0</v>
      </c>
      <c r="Q234" s="1507"/>
      <c r="R234" s="1525"/>
      <c r="S234" s="1521"/>
      <c r="V234" s="1325"/>
      <c r="W234" s="1325"/>
      <c r="X234" s="1325"/>
    </row>
    <row r="235" spans="1:24" s="863" customFormat="1" ht="13.5" thickTop="1">
      <c r="A235" s="1482"/>
      <c r="B235" s="1482"/>
      <c r="C235" s="1483">
        <f t="shared" si="30"/>
        <v>2</v>
      </c>
      <c r="D235" s="1492">
        <f t="shared" si="37"/>
        <v>1</v>
      </c>
      <c r="E235" s="1492">
        <f t="shared" si="38"/>
        <v>8</v>
      </c>
      <c r="F235" s="1526" t="s">
        <v>11708</v>
      </c>
      <c r="G235" s="862"/>
      <c r="H235" s="823"/>
      <c r="I235" s="700"/>
      <c r="J235" s="824"/>
      <c r="K235" s="700"/>
      <c r="L235" s="700"/>
      <c r="M235" s="870"/>
      <c r="N235" s="399"/>
      <c r="O235" s="344"/>
      <c r="P235" s="342"/>
      <c r="Q235" s="1507"/>
      <c r="R235" s="1525"/>
      <c r="S235" s="1521"/>
      <c r="V235" s="1325"/>
      <c r="W235" s="1325"/>
      <c r="X235" s="1325"/>
    </row>
    <row r="236" spans="1:24" s="863" customFormat="1" ht="12.75">
      <c r="A236" s="1482"/>
      <c r="B236" s="1482">
        <v>1</v>
      </c>
      <c r="C236" s="1483">
        <f t="shared" si="30"/>
        <v>2</v>
      </c>
      <c r="D236" s="1492">
        <f t="shared" si="37"/>
        <v>1</v>
      </c>
      <c r="E236" s="1492">
        <f t="shared" si="38"/>
        <v>9</v>
      </c>
      <c r="F236" s="1526" t="s">
        <v>11708</v>
      </c>
      <c r="G236" s="862"/>
      <c r="H236" s="1527" t="s">
        <v>11703</v>
      </c>
      <c r="I236" s="1528" t="s">
        <v>64</v>
      </c>
      <c r="J236" s="1529" t="str">
        <f>CONCATENATE(C236,".",D236,".",E236)</f>
        <v>2.1.9</v>
      </c>
      <c r="K236" s="1530" t="s">
        <v>20203</v>
      </c>
      <c r="L236" s="1531" t="s">
        <v>25</v>
      </c>
      <c r="M236" s="1532" t="s">
        <v>11704</v>
      </c>
      <c r="N236" s="586" t="s">
        <v>11705</v>
      </c>
      <c r="O236" s="587" t="s">
        <v>11706</v>
      </c>
      <c r="P236" s="588" t="s">
        <v>27</v>
      </c>
      <c r="Q236" s="1507" t="s">
        <v>11704</v>
      </c>
      <c r="R236" s="1525"/>
      <c r="S236" s="1521"/>
      <c r="V236" s="1325"/>
      <c r="W236" s="1325"/>
      <c r="X236" s="1325"/>
    </row>
    <row r="237" spans="1:24" s="863" customFormat="1" ht="12.75">
      <c r="A237" s="1482"/>
      <c r="B237" s="1482"/>
      <c r="C237" s="1483">
        <f t="shared" si="30"/>
        <v>2</v>
      </c>
      <c r="D237" s="1492">
        <f t="shared" si="37"/>
        <v>1</v>
      </c>
      <c r="E237" s="1492">
        <f t="shared" si="38"/>
        <v>9</v>
      </c>
      <c r="F237" s="1526" t="s">
        <v>11708</v>
      </c>
      <c r="G237" s="862"/>
      <c r="H237" s="823"/>
      <c r="I237" s="700"/>
      <c r="J237" s="824"/>
      <c r="K237" s="700"/>
      <c r="L237" s="700"/>
      <c r="M237" s="870"/>
      <c r="N237" s="399"/>
      <c r="O237" s="344"/>
      <c r="P237" s="342"/>
      <c r="Q237" s="1507"/>
      <c r="R237" s="1525"/>
      <c r="S237" s="1521"/>
      <c r="V237" s="1325"/>
      <c r="W237" s="1325"/>
      <c r="X237" s="1325"/>
    </row>
    <row r="238" spans="1:24" s="863" customFormat="1" ht="22.5">
      <c r="A238" s="1482"/>
      <c r="B238" s="1482"/>
      <c r="C238" s="1483">
        <f t="shared" si="30"/>
        <v>2</v>
      </c>
      <c r="D238" s="1492">
        <f t="shared" si="37"/>
        <v>1</v>
      </c>
      <c r="E238" s="1492">
        <f t="shared" si="38"/>
        <v>9</v>
      </c>
      <c r="F238" s="1526" t="s">
        <v>11708</v>
      </c>
      <c r="G238" s="921" t="s">
        <v>14623</v>
      </c>
      <c r="H238" s="823" t="str">
        <f>VLOOKUP(G238,MC_TRAVESSIA_COLETOR!A:M,2,0)</f>
        <v>SINAPI</v>
      </c>
      <c r="I238" s="700" t="str">
        <f>VLOOKUP(G238,MC_TRAVESSIA_COLETOR!A:M,3,0)</f>
        <v>73923/3</v>
      </c>
      <c r="J238" s="824"/>
      <c r="K238" s="790" t="str">
        <f>(IF(H238="Saneago",VLOOKUP(I238,'SANEAGO-FEV.2016'!A:B,2,0),IF(H238="Sinapi",VLOOKUP(I238,'SINAPI-FEV.2017'!A:D,2,0),IF(H238="Cotação",VLOOKUP(I238,COTAÇÃO!A:D,2,0),IF(H238="Composição",VLOOKUP(I238,COMPOSIÇÃO!A:D,2,0))))))</f>
        <v>PISO CIMENTADO TRACO 1:3 (CIMENTO E AREIA), COM ACABAMENTO RUSTICO E FRISADO ESPESSURA 2CM, PREPARO MANUAL</v>
      </c>
      <c r="L238" s="700" t="str">
        <f>(IF(H238="Saneago",VLOOKUP(I238,'SANEAGO-FEV.2016'!A:D,3,0),IF(H238="Sinapi",VLOOKUP(I238,'SINAPI-FEV.2017'!A:D,3,0),IF(H238="Cotação",VLOOKUP(I238,COTAÇÃO!A:D,3,0),IF(H238="Composição",VLOOKUP(I238,COMPOSIÇÃO!A:D,3,0))))))</f>
        <v>M2</v>
      </c>
      <c r="M238" s="870">
        <f>ROUND(VLOOKUP(G238,MC_TRAVESSIA_COLETOR!A:M,13,0),2)</f>
        <v>17.25</v>
      </c>
      <c r="N238" s="399">
        <v>0</v>
      </c>
      <c r="O238" s="102">
        <f>ROUND(IF(F238="Serviços",N238*(1+$O$7),IF(F238="Materiais",N238*(1+$O$8))),2)</f>
        <v>0</v>
      </c>
      <c r="P238" s="101">
        <f>ROUND(M238*O238,2)</f>
        <v>0</v>
      </c>
      <c r="Q238" s="1507">
        <v>17.25</v>
      </c>
      <c r="R238" s="1525"/>
      <c r="S238" s="1521"/>
      <c r="V238" s="1325"/>
      <c r="W238" s="1325"/>
      <c r="X238" s="1325"/>
    </row>
    <row r="239" spans="1:24" s="863" customFormat="1" ht="13.5" thickBot="1">
      <c r="A239" s="1482"/>
      <c r="B239" s="1482"/>
      <c r="C239" s="1483">
        <f t="shared" si="30"/>
        <v>2</v>
      </c>
      <c r="D239" s="1492">
        <f t="shared" si="37"/>
        <v>1</v>
      </c>
      <c r="E239" s="1492">
        <f t="shared" si="38"/>
        <v>9</v>
      </c>
      <c r="F239" s="1526" t="s">
        <v>11708</v>
      </c>
      <c r="G239" s="862"/>
      <c r="H239" s="823"/>
      <c r="I239" s="700"/>
      <c r="J239" s="824"/>
      <c r="K239" s="790"/>
      <c r="L239" s="700"/>
      <c r="M239" s="870"/>
      <c r="N239" s="399"/>
      <c r="O239" s="344"/>
      <c r="P239" s="342"/>
      <c r="Q239" s="1507"/>
      <c r="R239" s="1525"/>
      <c r="S239" s="1521"/>
      <c r="V239" s="1325"/>
      <c r="W239" s="1325"/>
      <c r="X239" s="1325"/>
    </row>
    <row r="240" spans="1:24" s="863" customFormat="1" ht="14.25" customHeight="1" thickTop="1" thickBot="1">
      <c r="A240" s="1482"/>
      <c r="B240" s="1482"/>
      <c r="C240" s="1483">
        <f t="shared" si="30"/>
        <v>2</v>
      </c>
      <c r="D240" s="1492">
        <f t="shared" si="37"/>
        <v>1</v>
      </c>
      <c r="E240" s="1492">
        <f t="shared" si="38"/>
        <v>9</v>
      </c>
      <c r="F240" s="1526" t="s">
        <v>11708</v>
      </c>
      <c r="G240" s="862"/>
      <c r="H240" s="1653" t="str">
        <f>"TOTAL ITEM: "&amp;J236 &amp;K236</f>
        <v>TOTAL ITEM: 2.1.9 REGULARIZAÇÃO DE PISO</v>
      </c>
      <c r="I240" s="1654"/>
      <c r="J240" s="1654"/>
      <c r="K240" s="1654"/>
      <c r="L240" s="1654"/>
      <c r="M240" s="1654"/>
      <c r="N240" s="1654"/>
      <c r="O240" s="1654"/>
      <c r="P240" s="343">
        <f>SUBTOTAL(9,P238:P238)</f>
        <v>0</v>
      </c>
      <c r="Q240" s="1507"/>
      <c r="R240" s="1525"/>
      <c r="S240" s="1521"/>
      <c r="V240" s="1325"/>
      <c r="W240" s="1325"/>
      <c r="X240" s="1325"/>
    </row>
    <row r="241" spans="1:24" s="863" customFormat="1" ht="14.25" thickTop="1" thickBot="1">
      <c r="A241" s="1482"/>
      <c r="B241" s="1482"/>
      <c r="C241" s="1483">
        <f t="shared" si="30"/>
        <v>2</v>
      </c>
      <c r="D241" s="1492">
        <f>D240+A241</f>
        <v>1</v>
      </c>
      <c r="E241" s="1492">
        <f>E240+B241</f>
        <v>9</v>
      </c>
      <c r="F241" s="1526" t="s">
        <v>11708</v>
      </c>
      <c r="G241" s="862"/>
      <c r="H241" s="1538"/>
      <c r="I241" s="1539"/>
      <c r="J241" s="1540"/>
      <c r="K241" s="1539"/>
      <c r="L241" s="1539"/>
      <c r="M241" s="1541"/>
      <c r="N241" s="718"/>
      <c r="O241" s="718"/>
      <c r="P241" s="343"/>
      <c r="Q241" s="1507"/>
      <c r="R241" s="1525"/>
      <c r="S241" s="1521"/>
      <c r="V241" s="1325"/>
      <c r="W241" s="1325"/>
      <c r="X241" s="1325"/>
    </row>
    <row r="242" spans="1:24" s="863" customFormat="1" ht="14.25" customHeight="1" thickTop="1" thickBot="1">
      <c r="A242" s="1482"/>
      <c r="B242" s="1482"/>
      <c r="C242" s="1483">
        <v>5</v>
      </c>
      <c r="D242" s="1492">
        <v>0</v>
      </c>
      <c r="E242" s="1492">
        <v>0</v>
      </c>
      <c r="F242" s="1526" t="s">
        <v>11708</v>
      </c>
      <c r="G242" s="959"/>
      <c r="H242" s="1493">
        <v>5</v>
      </c>
      <c r="I242" s="1648" t="s">
        <v>14630</v>
      </c>
      <c r="J242" s="1648"/>
      <c r="K242" s="1648"/>
      <c r="L242" s="1648"/>
      <c r="M242" s="1648"/>
      <c r="N242" s="1648"/>
      <c r="O242" s="591" t="s">
        <v>78</v>
      </c>
      <c r="P242" s="592">
        <f>SUBTOTAL(9,P244:P443)</f>
        <v>0</v>
      </c>
      <c r="Q242" s="1507"/>
      <c r="R242" s="1525"/>
      <c r="S242" s="1521"/>
      <c r="V242" s="1325"/>
      <c r="W242" s="1325"/>
      <c r="X242" s="1325"/>
    </row>
    <row r="243" spans="1:24" s="863" customFormat="1" ht="14.25" thickTop="1" thickBot="1">
      <c r="A243" s="1482"/>
      <c r="B243" s="1482"/>
      <c r="C243" s="1483">
        <f t="shared" si="4"/>
        <v>5</v>
      </c>
      <c r="D243" s="1492">
        <f>D242+A243</f>
        <v>0</v>
      </c>
      <c r="E243" s="1492">
        <f>E242+B243</f>
        <v>0</v>
      </c>
      <c r="F243" s="1526" t="s">
        <v>11708</v>
      </c>
      <c r="G243" s="862"/>
      <c r="H243" s="878"/>
      <c r="I243" s="915"/>
      <c r="J243" s="1022"/>
      <c r="K243" s="915"/>
      <c r="L243" s="816"/>
      <c r="M243" s="874"/>
      <c r="N243" s="394"/>
      <c r="O243" s="341"/>
      <c r="P243" s="267"/>
      <c r="Q243" s="1507"/>
      <c r="R243" s="1525"/>
      <c r="S243" s="1521"/>
      <c r="V243" s="1325"/>
      <c r="W243" s="1325"/>
      <c r="X243" s="1325"/>
    </row>
    <row r="244" spans="1:24" s="863" customFormat="1" ht="14.25" customHeight="1" thickTop="1" thickBot="1">
      <c r="A244" s="1482">
        <v>1</v>
      </c>
      <c r="B244" s="1482"/>
      <c r="C244" s="1483">
        <f t="shared" si="4"/>
        <v>5</v>
      </c>
      <c r="D244" s="1492">
        <f t="shared" ref="D244:D304" si="39">D243+A244</f>
        <v>1</v>
      </c>
      <c r="E244" s="1492">
        <f t="shared" ref="E244:E304" si="40">E243+B244</f>
        <v>0</v>
      </c>
      <c r="F244" s="1526" t="s">
        <v>11708</v>
      </c>
      <c r="G244" s="959"/>
      <c r="H244" s="1510" t="str">
        <f>CONCATENATE(C244,".",D244)</f>
        <v>5.1</v>
      </c>
      <c r="I244" s="1644" t="s">
        <v>14631</v>
      </c>
      <c r="J244" s="1644"/>
      <c r="K244" s="1644"/>
      <c r="L244" s="1644"/>
      <c r="M244" s="1644"/>
      <c r="N244" s="1644"/>
      <c r="O244" s="339" t="s">
        <v>11702</v>
      </c>
      <c r="P244" s="340">
        <f>SUBTOTAL(9,P248:P375)</f>
        <v>0</v>
      </c>
      <c r="Q244" s="1507"/>
      <c r="R244" s="1525"/>
      <c r="S244" s="1521"/>
      <c r="V244" s="1325"/>
      <c r="W244" s="1325"/>
      <c r="X244" s="1325"/>
    </row>
    <row r="245" spans="1:24" s="863" customFormat="1" ht="13.5" thickTop="1">
      <c r="A245" s="1482"/>
      <c r="B245" s="1482"/>
      <c r="C245" s="1483">
        <f t="shared" si="4"/>
        <v>5</v>
      </c>
      <c r="D245" s="1492">
        <f t="shared" si="39"/>
        <v>1</v>
      </c>
      <c r="E245" s="1492">
        <f t="shared" si="40"/>
        <v>0</v>
      </c>
      <c r="F245" s="1526" t="s">
        <v>11708</v>
      </c>
      <c r="G245" s="862"/>
      <c r="H245" s="789"/>
      <c r="I245" s="915"/>
      <c r="J245" s="1022"/>
      <c r="K245" s="915"/>
      <c r="L245" s="816"/>
      <c r="M245" s="874"/>
      <c r="N245" s="394"/>
      <c r="O245" s="341"/>
      <c r="P245" s="267"/>
      <c r="Q245" s="1507"/>
      <c r="R245" s="1525"/>
      <c r="S245" s="1521"/>
      <c r="V245" s="1325"/>
      <c r="W245" s="1325"/>
      <c r="X245" s="1325"/>
    </row>
    <row r="246" spans="1:24" s="863" customFormat="1" ht="12.75">
      <c r="A246" s="1482"/>
      <c r="B246" s="1482">
        <v>1</v>
      </c>
      <c r="C246" s="1483">
        <f t="shared" si="4"/>
        <v>5</v>
      </c>
      <c r="D246" s="1492">
        <f t="shared" si="39"/>
        <v>1</v>
      </c>
      <c r="E246" s="1492">
        <f t="shared" si="40"/>
        <v>1</v>
      </c>
      <c r="F246" s="1526" t="s">
        <v>11708</v>
      </c>
      <c r="G246" s="862"/>
      <c r="H246" s="1527" t="s">
        <v>11703</v>
      </c>
      <c r="I246" s="1528" t="s">
        <v>64</v>
      </c>
      <c r="J246" s="1529" t="str">
        <f>CONCATENATE(C246,".",D246,".",E246)</f>
        <v>5.1.1</v>
      </c>
      <c r="K246" s="1530" t="s">
        <v>14041</v>
      </c>
      <c r="L246" s="1531" t="s">
        <v>25</v>
      </c>
      <c r="M246" s="1532" t="s">
        <v>11704</v>
      </c>
      <c r="N246" s="586" t="s">
        <v>11705</v>
      </c>
      <c r="O246" s="587" t="s">
        <v>11706</v>
      </c>
      <c r="P246" s="588" t="s">
        <v>27</v>
      </c>
      <c r="Q246" s="1507" t="s">
        <v>11704</v>
      </c>
      <c r="R246" s="1525"/>
      <c r="S246" s="1521"/>
      <c r="V246" s="1325"/>
      <c r="W246" s="1325"/>
      <c r="X246" s="1325"/>
    </row>
    <row r="247" spans="1:24" s="863" customFormat="1" ht="12.75">
      <c r="A247" s="1482"/>
      <c r="B247" s="1482"/>
      <c r="C247" s="1483">
        <f t="shared" si="4"/>
        <v>5</v>
      </c>
      <c r="D247" s="1492">
        <f t="shared" si="39"/>
        <v>1</v>
      </c>
      <c r="E247" s="1492">
        <f t="shared" si="40"/>
        <v>1</v>
      </c>
      <c r="F247" s="1526" t="s">
        <v>11708</v>
      </c>
      <c r="G247" s="862"/>
      <c r="H247" s="826"/>
      <c r="I247" s="790"/>
      <c r="J247" s="824"/>
      <c r="K247" s="790"/>
      <c r="L247" s="700"/>
      <c r="M247" s="870"/>
      <c r="N247" s="399"/>
      <c r="O247" s="589"/>
      <c r="P247" s="342"/>
      <c r="Q247" s="1507"/>
      <c r="R247" s="1525"/>
      <c r="S247" s="1521"/>
      <c r="V247" s="1325"/>
      <c r="W247" s="1325"/>
      <c r="X247" s="1325"/>
    </row>
    <row r="248" spans="1:24" s="863" customFormat="1" ht="12.75">
      <c r="A248" s="1482"/>
      <c r="B248" s="1482"/>
      <c r="C248" s="1483">
        <f t="shared" si="4"/>
        <v>5</v>
      </c>
      <c r="D248" s="1492">
        <f t="shared" si="39"/>
        <v>1</v>
      </c>
      <c r="E248" s="1492">
        <f t="shared" si="40"/>
        <v>1</v>
      </c>
      <c r="F248" s="1526" t="s">
        <v>11708</v>
      </c>
      <c r="G248" s="862" t="s">
        <v>14078</v>
      </c>
      <c r="H248" s="823" t="str">
        <f>VLOOKUP(G248,MC_INTERCEPTORES!C:P,2,0)</f>
        <v>SINAPI</v>
      </c>
      <c r="I248" s="700">
        <f>VLOOKUP(G248,MC_INTERCEPTORES!C:P,3,0)</f>
        <v>73610</v>
      </c>
      <c r="J248" s="824"/>
      <c r="K248" s="790" t="str">
        <f>(IF(H248="Saneago",VLOOKUP(I248,'SANEAGO-FEV.2016'!A:B,2,0),IF(H248="Sinapi",VLOOKUP(I248,'SINAPI-FEV.2017'!A:D,2,0),IF(H248="Cotação",VLOOKUP(I248,COTAÇÃO!A:D,2,0),IF(H248="Composição",VLOOKUP(I248,COMPOSIÇÃO!A:D,2,0))))))</f>
        <v>LOCAÇÃO DE REDES DE ÁGUA OU DE ESGOTO</v>
      </c>
      <c r="L248" s="700" t="str">
        <f>(IF(H248="Saneago",VLOOKUP(I248,'SANEAGO-FEV.2016'!A:D,3,0),IF(H248="Sinapi",VLOOKUP(I248,'SINAPI-FEV.2017'!A:D,3,0),IF(H248="Cotação",VLOOKUP(I248,COTAÇÃO!A:D,3,0),IF(H248="Composição",VLOOKUP(I248,COMPOSIÇÃO!A:D,3,0))))))</f>
        <v>M</v>
      </c>
      <c r="M248" s="870">
        <f>ROUND(VLOOKUP(G248,MC_INTERCEPTORES!C:P,13,0),2)</f>
        <v>1474</v>
      </c>
      <c r="N248" s="399">
        <v>0</v>
      </c>
      <c r="O248" s="102">
        <f>ROUND(IF(F248="Serviços",N248*(1+$O$7),IF(F248="Materiais",N248*(1+$O$8))),2)</f>
        <v>0</v>
      </c>
      <c r="P248" s="101">
        <f>ROUND(M248*O248,2)</f>
        <v>0</v>
      </c>
      <c r="Q248" s="1507">
        <v>1474</v>
      </c>
      <c r="R248" s="1525"/>
      <c r="S248" s="1521"/>
      <c r="V248" s="1325"/>
      <c r="W248" s="1325"/>
      <c r="X248" s="1325"/>
    </row>
    <row r="249" spans="1:24" s="863" customFormat="1" ht="12.75">
      <c r="A249" s="1482"/>
      <c r="B249" s="1482"/>
      <c r="C249" s="1483">
        <f t="shared" si="4"/>
        <v>5</v>
      </c>
      <c r="D249" s="1492">
        <f t="shared" si="39"/>
        <v>1</v>
      </c>
      <c r="E249" s="1492">
        <f t="shared" si="40"/>
        <v>1</v>
      </c>
      <c r="F249" s="1526" t="s">
        <v>11708</v>
      </c>
      <c r="G249" s="862" t="s">
        <v>14079</v>
      </c>
      <c r="H249" s="823" t="str">
        <f>VLOOKUP(G249,MC_INTERCEPTORES!C:P,2,0)</f>
        <v>SANEAGO</v>
      </c>
      <c r="I249" s="700">
        <f>VLOOKUP(G249,MC_INTERCEPTORES!C:P,3,0)</f>
        <v>1512</v>
      </c>
      <c r="J249" s="824"/>
      <c r="K249" s="790" t="str">
        <f>(IF(H249="Saneago",VLOOKUP(I249,'SANEAGO-FEV.2016'!A:B,2,0),IF(H249="Sinapi",VLOOKUP(I249,'SINAPI-FEV.2017'!A:D,2,0),IF(H249="Cotação",VLOOKUP(I249,COTAÇÃO!A:D,2,0),IF(H249="Composição",VLOOKUP(I249,COMPOSIÇÃO!A:D,2,0))))))</f>
        <v>CADASTRO  TÉCNICO DE REDES DE ESGOTO</v>
      </c>
      <c r="L249" s="700" t="str">
        <f>(IF(H249="Saneago",VLOOKUP(I249,'SANEAGO-FEV.2016'!A:D,3,0),IF(H249="Sinapi",VLOOKUP(I249,'SINAPI-FEV.2017'!A:D,3,0),IF(H249="Cotação",VLOOKUP(I249,COTAÇÃO!A:D,3,0),IF(H249="Composição",VLOOKUP(I249,COMPOSIÇÃO!A:D,3,0))))))</f>
        <v>M</v>
      </c>
      <c r="M249" s="870">
        <f>ROUND(VLOOKUP(G249,MC_INTERCEPTORES!C:P,13,0),2)</f>
        <v>1474</v>
      </c>
      <c r="N249" s="399">
        <v>0</v>
      </c>
      <c r="O249" s="102">
        <f>ROUND(IF(F249="Serviços",N249*(1+$O$7),IF(F249="Materiais",N249*(1+$O$8))),2)</f>
        <v>0</v>
      </c>
      <c r="P249" s="101">
        <f>ROUND(M249*O249,2)</f>
        <v>0</v>
      </c>
      <c r="Q249" s="1507">
        <v>1474</v>
      </c>
      <c r="R249" s="1525"/>
      <c r="S249" s="1521"/>
      <c r="V249" s="1325"/>
      <c r="W249" s="1325"/>
      <c r="X249" s="1325"/>
    </row>
    <row r="250" spans="1:24" s="863" customFormat="1" ht="13.5" thickBot="1">
      <c r="A250" s="1482"/>
      <c r="B250" s="1482"/>
      <c r="C250" s="1483">
        <f t="shared" si="4"/>
        <v>5</v>
      </c>
      <c r="D250" s="1492">
        <f t="shared" si="39"/>
        <v>1</v>
      </c>
      <c r="E250" s="1492">
        <f t="shared" si="40"/>
        <v>1</v>
      </c>
      <c r="F250" s="1526" t="s">
        <v>11708</v>
      </c>
      <c r="G250" s="862"/>
      <c r="H250" s="826"/>
      <c r="I250" s="790"/>
      <c r="J250" s="824"/>
      <c r="K250" s="790"/>
      <c r="L250" s="700"/>
      <c r="M250" s="870"/>
      <c r="N250" s="399"/>
      <c r="O250" s="590"/>
      <c r="P250" s="342"/>
      <c r="Q250" s="1507"/>
      <c r="R250" s="1525"/>
      <c r="S250" s="1521"/>
      <c r="V250" s="1325"/>
      <c r="W250" s="1325"/>
      <c r="X250" s="1325"/>
    </row>
    <row r="251" spans="1:24" s="863" customFormat="1" ht="14.25" customHeight="1" thickTop="1" thickBot="1">
      <c r="A251" s="1482"/>
      <c r="B251" s="1482"/>
      <c r="C251" s="1483">
        <f t="shared" si="4"/>
        <v>5</v>
      </c>
      <c r="D251" s="1492">
        <f t="shared" si="39"/>
        <v>1</v>
      </c>
      <c r="E251" s="1492">
        <f t="shared" si="40"/>
        <v>1</v>
      </c>
      <c r="F251" s="1526" t="s">
        <v>11708</v>
      </c>
      <c r="G251" s="862"/>
      <c r="H251" s="1653" t="str">
        <f>"TOTAL ITEM: "&amp;J246 &amp;K246</f>
        <v>TOTAL ITEM: 5.1.1 LOCAÇÃO E CADASTRO</v>
      </c>
      <c r="I251" s="1654"/>
      <c r="J251" s="1654"/>
      <c r="K251" s="1654"/>
      <c r="L251" s="1654"/>
      <c r="M251" s="1654"/>
      <c r="N251" s="1654"/>
      <c r="O251" s="1654"/>
      <c r="P251" s="343">
        <f>SUBTOTAL(9,P248:P249)</f>
        <v>0</v>
      </c>
      <c r="Q251" s="1507"/>
      <c r="R251" s="1525"/>
      <c r="S251" s="1521"/>
      <c r="V251" s="1325"/>
      <c r="W251" s="1325"/>
      <c r="X251" s="1325"/>
    </row>
    <row r="252" spans="1:24" s="863" customFormat="1" ht="13.5" thickTop="1">
      <c r="A252" s="1482"/>
      <c r="B252" s="1482"/>
      <c r="C252" s="1483">
        <f t="shared" si="4"/>
        <v>5</v>
      </c>
      <c r="D252" s="1492">
        <f t="shared" si="39"/>
        <v>1</v>
      </c>
      <c r="E252" s="1492">
        <f t="shared" si="40"/>
        <v>1</v>
      </c>
      <c r="F252" s="1526" t="s">
        <v>11708</v>
      </c>
      <c r="G252" s="862"/>
      <c r="H252" s="826"/>
      <c r="I252" s="790"/>
      <c r="J252" s="824"/>
      <c r="K252" s="790"/>
      <c r="L252" s="700"/>
      <c r="M252" s="870"/>
      <c r="N252" s="399"/>
      <c r="O252" s="589"/>
      <c r="P252" s="342"/>
      <c r="Q252" s="1507"/>
      <c r="R252" s="1525"/>
      <c r="S252" s="1521"/>
      <c r="V252" s="1325"/>
      <c r="W252" s="1325"/>
      <c r="X252" s="1325"/>
    </row>
    <row r="253" spans="1:24" s="863" customFormat="1" ht="12.75">
      <c r="A253" s="1482"/>
      <c r="B253" s="1482">
        <v>1</v>
      </c>
      <c r="C253" s="1483">
        <f t="shared" si="4"/>
        <v>5</v>
      </c>
      <c r="D253" s="1492">
        <f t="shared" si="39"/>
        <v>1</v>
      </c>
      <c r="E253" s="1492">
        <f t="shared" si="40"/>
        <v>2</v>
      </c>
      <c r="F253" s="1526" t="s">
        <v>11708</v>
      </c>
      <c r="G253" s="862"/>
      <c r="H253" s="1527" t="s">
        <v>11703</v>
      </c>
      <c r="I253" s="1528" t="s">
        <v>64</v>
      </c>
      <c r="J253" s="1529" t="str">
        <f>CONCATENATE(C253,".",D253,".",E253)</f>
        <v>5.1.2</v>
      </c>
      <c r="K253" s="1530" t="s">
        <v>14042</v>
      </c>
      <c r="L253" s="1531" t="s">
        <v>25</v>
      </c>
      <c r="M253" s="1532" t="s">
        <v>11704</v>
      </c>
      <c r="N253" s="586" t="s">
        <v>11705</v>
      </c>
      <c r="O253" s="587" t="s">
        <v>11706</v>
      </c>
      <c r="P253" s="588" t="s">
        <v>27</v>
      </c>
      <c r="Q253" s="1507" t="s">
        <v>11704</v>
      </c>
      <c r="R253" s="1525"/>
      <c r="S253" s="1521"/>
      <c r="V253" s="1325"/>
      <c r="W253" s="1325"/>
      <c r="X253" s="1325"/>
    </row>
    <row r="254" spans="1:24" s="863" customFormat="1" ht="12.75">
      <c r="A254" s="1482"/>
      <c r="B254" s="1482"/>
      <c r="C254" s="1483">
        <f t="shared" si="4"/>
        <v>5</v>
      </c>
      <c r="D254" s="1492">
        <f t="shared" si="39"/>
        <v>1</v>
      </c>
      <c r="E254" s="1492">
        <f t="shared" si="40"/>
        <v>2</v>
      </c>
      <c r="F254" s="1526" t="s">
        <v>11708</v>
      </c>
      <c r="G254" s="862"/>
      <c r="H254" s="826"/>
      <c r="I254" s="790"/>
      <c r="J254" s="824"/>
      <c r="K254" s="790"/>
      <c r="L254" s="700"/>
      <c r="M254" s="870"/>
      <c r="N254" s="399"/>
      <c r="O254" s="589"/>
      <c r="P254" s="342"/>
      <c r="Q254" s="1507"/>
      <c r="R254" s="1525"/>
      <c r="S254" s="1521"/>
      <c r="V254" s="1325"/>
      <c r="W254" s="1325"/>
      <c r="X254" s="1325"/>
    </row>
    <row r="255" spans="1:24" s="863" customFormat="1" ht="12.75">
      <c r="A255" s="1482"/>
      <c r="B255" s="1482"/>
      <c r="C255" s="1483">
        <f t="shared" si="4"/>
        <v>5</v>
      </c>
      <c r="D255" s="1492">
        <f t="shared" si="39"/>
        <v>1</v>
      </c>
      <c r="E255" s="1492">
        <f t="shared" si="40"/>
        <v>2</v>
      </c>
      <c r="F255" s="1526" t="s">
        <v>11708</v>
      </c>
      <c r="G255" s="862" t="s">
        <v>14080</v>
      </c>
      <c r="H255" s="823" t="str">
        <f>VLOOKUP(G255,MC_INTERCEPTORES!C:P,2,0)</f>
        <v>SANEAGO</v>
      </c>
      <c r="I255" s="700">
        <f>VLOOKUP(G255,MC_INTERCEPTORES!C:P,3,0)</f>
        <v>98</v>
      </c>
      <c r="J255" s="824"/>
      <c r="K255" s="790" t="str">
        <f>(IF(H255="Saneago",VLOOKUP(I255,'SANEAGO-FEV.2016'!A:B,2,0),IF(H255="Sinapi",VLOOKUP(I255,'SINAPI-FEV.2017'!A:D,2,0),IF(H255="Cotação",VLOOKUP(I255,COTAÇÃO!A:D,2,0),IF(H255="Composição",VLOOKUP(I255,COMPOSIÇÃO!A:D,2,0))))))</f>
        <v>CAVALETE  COM PLACA DE ADVERTÊNCIA 1,0 X 0,40 M (TIPOS I...V)</v>
      </c>
      <c r="L255" s="700" t="str">
        <f>(IF(H255="Saneago",VLOOKUP(I255,'SANEAGO-FEV.2016'!A:D,3,0),IF(H255="Sinapi",VLOOKUP(I255,'SINAPI-FEV.2017'!A:D,3,0),IF(H255="Cotação",VLOOKUP(I255,COTAÇÃO!A:D,3,0),IF(H255="Composição",VLOOKUP(I255,COMPOSIÇÃO!A:D,3,0))))))</f>
        <v>UN</v>
      </c>
      <c r="M255" s="870">
        <f>ROUND(VLOOKUP(G255,MC_INTERCEPTORES!C:P,13,0),2)</f>
        <v>4</v>
      </c>
      <c r="N255" s="399">
        <v>0</v>
      </c>
      <c r="O255" s="102">
        <f>ROUND(IF(F255="Serviços",N255*(1+$O$7),IF(F255="Materiais",N255*(1+$O$8))),2)</f>
        <v>0</v>
      </c>
      <c r="P255" s="101">
        <f>ROUND(M255*O255,2)</f>
        <v>0</v>
      </c>
      <c r="Q255" s="1507">
        <v>4</v>
      </c>
      <c r="R255" s="1525"/>
      <c r="S255" s="1521"/>
      <c r="V255" s="1325"/>
      <c r="W255" s="1325"/>
      <c r="X255" s="1325"/>
    </row>
    <row r="256" spans="1:24" s="863" customFormat="1" ht="12.75">
      <c r="A256" s="1482"/>
      <c r="B256" s="1482"/>
      <c r="C256" s="1483">
        <f t="shared" si="4"/>
        <v>5</v>
      </c>
      <c r="D256" s="1492">
        <f t="shared" si="39"/>
        <v>1</v>
      </c>
      <c r="E256" s="1492">
        <f t="shared" si="40"/>
        <v>2</v>
      </c>
      <c r="F256" s="1526" t="s">
        <v>11708</v>
      </c>
      <c r="G256" s="862" t="s">
        <v>14081</v>
      </c>
      <c r="H256" s="823" t="str">
        <f>VLOOKUP(G256,MC_INTERCEPTORES!C:P,2,0)</f>
        <v>SINAPI</v>
      </c>
      <c r="I256" s="700">
        <f>VLOOKUP(G256,MC_INTERCEPTORES!C:P,3,0)</f>
        <v>13244</v>
      </c>
      <c r="J256" s="824"/>
      <c r="K256" s="790" t="str">
        <f>(IF(H256="Saneago",VLOOKUP(I256,'SANEAGO-FEV.2016'!A:B,2,0),IF(H256="Sinapi",VLOOKUP(I256,'SINAPI-FEV.2017'!A:D,2,0),IF(H256="Cotação",VLOOKUP(I256,COTAÇÃO!A:D,2,0),IF(H256="Composição",VLOOKUP(I256,COMPOSIÇÃO!A:D,2,0))))))</f>
        <v>CONE DE SINALIZACAO EM PVC RIGIDO COM FAIXA REFLETIVA, H = 70 / 76 CM</v>
      </c>
      <c r="L256" s="700" t="str">
        <f>(IF(H256="Saneago",VLOOKUP(I256,'SANEAGO-FEV.2016'!A:D,3,0),IF(H256="Sinapi",VLOOKUP(I256,'SINAPI-FEV.2017'!A:D,3,0),IF(H256="Cotação",VLOOKUP(I256,COTAÇÃO!A:D,3,0),IF(H256="Composição",VLOOKUP(I256,COMPOSIÇÃO!A:D,3,0))))))</f>
        <v>UN</v>
      </c>
      <c r="M256" s="870">
        <f>ROUND(VLOOKUP(G256,MC_INTERCEPTORES!C:P,13,0),2)</f>
        <v>8</v>
      </c>
      <c r="N256" s="399">
        <v>0</v>
      </c>
      <c r="O256" s="102">
        <f>ROUND(IF(F256="Serviços",N256*(1+$O$7),IF(F256="Materiais",N256*(1+$O$8))),2)</f>
        <v>0</v>
      </c>
      <c r="P256" s="101">
        <f>ROUND(M256*O256,2)</f>
        <v>0</v>
      </c>
      <c r="Q256" s="1507">
        <v>8</v>
      </c>
      <c r="R256" s="1525"/>
      <c r="S256" s="1521"/>
      <c r="V256" s="1325"/>
      <c r="W256" s="1325"/>
      <c r="X256" s="1325"/>
    </row>
    <row r="257" spans="1:24" s="863" customFormat="1" ht="12.75">
      <c r="A257" s="1482"/>
      <c r="B257" s="1482"/>
      <c r="C257" s="1483">
        <f t="shared" si="4"/>
        <v>5</v>
      </c>
      <c r="D257" s="1492">
        <f t="shared" si="39"/>
        <v>1</v>
      </c>
      <c r="E257" s="1492">
        <f t="shared" si="40"/>
        <v>2</v>
      </c>
      <c r="F257" s="1526" t="s">
        <v>11708</v>
      </c>
      <c r="G257" s="862" t="s">
        <v>14082</v>
      </c>
      <c r="H257" s="823" t="str">
        <f>VLOOKUP(G257,MC_INTERCEPTORES!C:P,2,0)</f>
        <v>SANEAGO</v>
      </c>
      <c r="I257" s="700">
        <f>VLOOKUP(G257,MC_INTERCEPTORES!C:P,3,0)</f>
        <v>104</v>
      </c>
      <c r="J257" s="824"/>
      <c r="K257" s="790" t="str">
        <f>(IF(H257="Saneago",VLOOKUP(I257,'SANEAGO-FEV.2016'!A:B,2,0),IF(H257="Sinapi",VLOOKUP(I257,'SINAPI-FEV.2017'!A:D,2,0),IF(H257="Cotação",VLOOKUP(I257,COTAÇÃO!A:D,2,0),IF(H257="Composição",VLOOKUP(I257,COMPOSIÇÃO!A:D,2,0))))))</f>
        <v>PAINEL DE TAPUME MÓVEL</v>
      </c>
      <c r="L257" s="700" t="str">
        <f>(IF(H257="Saneago",VLOOKUP(I257,'SANEAGO-FEV.2016'!A:D,3,0),IF(H257="Sinapi",VLOOKUP(I257,'SINAPI-FEV.2017'!A:D,3,0),IF(H257="Cotação",VLOOKUP(I257,COTAÇÃO!A:D,3,0),IF(H257="Composição",VLOOKUP(I257,COMPOSIÇÃO!A:D,3,0))))))</f>
        <v>UN</v>
      </c>
      <c r="M257" s="870">
        <f>ROUND(VLOOKUP(G257,MC_INTERCEPTORES!C:P,13,0),2)</f>
        <v>4</v>
      </c>
      <c r="N257" s="399">
        <v>0</v>
      </c>
      <c r="O257" s="102">
        <f>ROUND(IF(F257="Serviços",N257*(1+$O$7),IF(F257="Materiais",N257*(1+$O$8))),2)</f>
        <v>0</v>
      </c>
      <c r="P257" s="101">
        <f>ROUND(M257*O257,2)</f>
        <v>0</v>
      </c>
      <c r="Q257" s="1507">
        <v>4</v>
      </c>
      <c r="R257" s="1525"/>
      <c r="S257" s="1521"/>
      <c r="V257" s="1325"/>
      <c r="W257" s="1325"/>
      <c r="X257" s="1325"/>
    </row>
    <row r="258" spans="1:24" s="863" customFormat="1" ht="12.75">
      <c r="A258" s="1482"/>
      <c r="B258" s="1482"/>
      <c r="C258" s="1483">
        <f t="shared" si="4"/>
        <v>5</v>
      </c>
      <c r="D258" s="1492">
        <f t="shared" si="39"/>
        <v>1</v>
      </c>
      <c r="E258" s="1492">
        <f t="shared" si="40"/>
        <v>2</v>
      </c>
      <c r="F258" s="1526" t="s">
        <v>11708</v>
      </c>
      <c r="G258" s="862" t="s">
        <v>14083</v>
      </c>
      <c r="H258" s="823" t="str">
        <f>VLOOKUP(G258,MC_INTERCEPTORES!C:P,2,0)</f>
        <v>SINAPI</v>
      </c>
      <c r="I258" s="700" t="str">
        <f>VLOOKUP(G258,MC_INTERCEPTORES!C:P,3,0)</f>
        <v>74219/1</v>
      </c>
      <c r="J258" s="824"/>
      <c r="K258" s="790" t="str">
        <f>(IF(H258="Saneago",VLOOKUP(I258,'SANEAGO-FEV.2016'!A:B,2,0),IF(H258="Sinapi",VLOOKUP(I258,'SINAPI-FEV.2017'!A:D,2,0),IF(H258="Cotação",VLOOKUP(I258,COTAÇÃO!A:D,2,0),IF(H258="Composição",VLOOKUP(I258,COMPOSIÇÃO!A:D,2,0))))))</f>
        <v>PASSADICOS COM TABUAS DE MADEIRA PARA PEDESTRES</v>
      </c>
      <c r="L258" s="700" t="str">
        <f>(IF(H258="Saneago",VLOOKUP(I258,'SANEAGO-FEV.2016'!A:D,3,0),IF(H258="Sinapi",VLOOKUP(I258,'SINAPI-FEV.2017'!A:D,3,0),IF(H258="Cotação",VLOOKUP(I258,COTAÇÃO!A:D,3,0),IF(H258="Composição",VLOOKUP(I258,COMPOSIÇÃO!A:D,3,0))))))</f>
        <v>M2</v>
      </c>
      <c r="M258" s="870">
        <f>ROUND(VLOOKUP(G258,MC_INTERCEPTORES!C:P,13,0),2)</f>
        <v>6</v>
      </c>
      <c r="N258" s="399">
        <v>0</v>
      </c>
      <c r="O258" s="102">
        <f>ROUND(IF(F258="Serviços",N258*(1+$O$7),IF(F258="Materiais",N258*(1+$O$8))),2)</f>
        <v>0</v>
      </c>
      <c r="P258" s="101">
        <f>ROUND(M258*O258,2)</f>
        <v>0</v>
      </c>
      <c r="Q258" s="1507">
        <v>6</v>
      </c>
      <c r="R258" s="1525"/>
      <c r="S258" s="1521"/>
      <c r="V258" s="1325"/>
      <c r="W258" s="1325"/>
      <c r="X258" s="1325"/>
    </row>
    <row r="259" spans="1:24" s="863" customFormat="1" ht="12.75">
      <c r="A259" s="1482"/>
      <c r="B259" s="1482"/>
      <c r="C259" s="1483">
        <f t="shared" si="4"/>
        <v>5</v>
      </c>
      <c r="D259" s="1492">
        <f t="shared" si="39"/>
        <v>1</v>
      </c>
      <c r="E259" s="1492">
        <f t="shared" si="40"/>
        <v>2</v>
      </c>
      <c r="F259" s="1526" t="s">
        <v>11708</v>
      </c>
      <c r="G259" s="862" t="s">
        <v>14084</v>
      </c>
      <c r="H259" s="823" t="str">
        <f>VLOOKUP(G259,MC_INTERCEPTORES!C:P,2,0)</f>
        <v>SANEAGO</v>
      </c>
      <c r="I259" s="700">
        <f>VLOOKUP(G259,MC_INTERCEPTORES!C:P,3,0)</f>
        <v>106</v>
      </c>
      <c r="J259" s="824"/>
      <c r="K259" s="790" t="str">
        <f>(IF(H259="Saneago",VLOOKUP(I259,'SANEAGO-FEV.2016'!A:B,2,0),IF(H259="Sinapi",VLOOKUP(I259,'SINAPI-FEV.2017'!A:D,2,0),IF(H259="Cotação",VLOOKUP(I259,COTAÇÃO!A:D,2,0),IF(H259="Composição",VLOOKUP(I259,COMPOSIÇÃO!A:D,2,0))))))</f>
        <v>PASSADIÇO  METÁLICO</v>
      </c>
      <c r="L259" s="700" t="str">
        <f>(IF(H259="Saneago",VLOOKUP(I259,'SANEAGO-FEV.2016'!A:D,3,0),IF(H259="Sinapi",VLOOKUP(I259,'SINAPI-FEV.2017'!A:D,3,0),IF(H259="Cotação",VLOOKUP(I259,COTAÇÃO!A:D,3,0),IF(H259="Composição",VLOOKUP(I259,COMPOSIÇÃO!A:D,3,0))))))</f>
        <v>KG</v>
      </c>
      <c r="M259" s="870">
        <f>ROUND(VLOOKUP(G259,MC_INTERCEPTORES!C:P,13,0),2)</f>
        <v>120</v>
      </c>
      <c r="N259" s="399">
        <v>0</v>
      </c>
      <c r="O259" s="102">
        <f>ROUND(IF(F259="Serviços",N259*(1+$O$7),IF(F259="Materiais",N259*(1+$O$8))),2)</f>
        <v>0</v>
      </c>
      <c r="P259" s="101">
        <f>ROUND(M259*O259,2)</f>
        <v>0</v>
      </c>
      <c r="Q259" s="1507">
        <v>120</v>
      </c>
      <c r="R259" s="1525"/>
      <c r="S259" s="1521"/>
      <c r="V259" s="1325"/>
      <c r="W259" s="1325"/>
      <c r="X259" s="1325"/>
    </row>
    <row r="260" spans="1:24" s="863" customFormat="1" ht="13.5" thickBot="1">
      <c r="A260" s="1482"/>
      <c r="B260" s="1482"/>
      <c r="C260" s="1483">
        <f t="shared" si="4"/>
        <v>5</v>
      </c>
      <c r="D260" s="1492">
        <f t="shared" si="39"/>
        <v>1</v>
      </c>
      <c r="E260" s="1492">
        <f t="shared" si="40"/>
        <v>2</v>
      </c>
      <c r="F260" s="1526" t="s">
        <v>11708</v>
      </c>
      <c r="G260" s="862"/>
      <c r="H260" s="823"/>
      <c r="I260" s="700"/>
      <c r="J260" s="824"/>
      <c r="K260" s="790"/>
      <c r="L260" s="700"/>
      <c r="M260" s="870"/>
      <c r="N260" s="399"/>
      <c r="O260" s="344"/>
      <c r="P260" s="342"/>
      <c r="Q260" s="1507"/>
      <c r="R260" s="1525"/>
      <c r="S260" s="1521"/>
      <c r="V260" s="1325"/>
      <c r="W260" s="1325"/>
      <c r="X260" s="1325"/>
    </row>
    <row r="261" spans="1:24" s="863" customFormat="1" ht="14.25" customHeight="1" thickTop="1" thickBot="1">
      <c r="A261" s="1482"/>
      <c r="B261" s="1482"/>
      <c r="C261" s="1483">
        <f t="shared" si="4"/>
        <v>5</v>
      </c>
      <c r="D261" s="1492">
        <f t="shared" si="39"/>
        <v>1</v>
      </c>
      <c r="E261" s="1492">
        <f t="shared" si="40"/>
        <v>2</v>
      </c>
      <c r="F261" s="1526" t="s">
        <v>11708</v>
      </c>
      <c r="G261" s="862"/>
      <c r="H261" s="1653" t="str">
        <f>"TOTAL ITEM: "&amp;J253 &amp;K253</f>
        <v>TOTAL ITEM: 5.1.2 SINALIZAÇÃO</v>
      </c>
      <c r="I261" s="1654"/>
      <c r="J261" s="1654"/>
      <c r="K261" s="1654"/>
      <c r="L261" s="1654"/>
      <c r="M261" s="1654"/>
      <c r="N261" s="1654"/>
      <c r="O261" s="1654"/>
      <c r="P261" s="343">
        <f>SUBTOTAL(9,P255:P259)</f>
        <v>0</v>
      </c>
      <c r="Q261" s="1507"/>
      <c r="R261" s="1525"/>
      <c r="S261" s="1521"/>
      <c r="V261" s="1325"/>
      <c r="W261" s="1325"/>
      <c r="X261" s="1325"/>
    </row>
    <row r="262" spans="1:24" s="863" customFormat="1" ht="13.5" thickTop="1">
      <c r="A262" s="1482"/>
      <c r="B262" s="1482"/>
      <c r="C262" s="1483">
        <f t="shared" si="4"/>
        <v>5</v>
      </c>
      <c r="D262" s="1492">
        <f t="shared" si="39"/>
        <v>1</v>
      </c>
      <c r="E262" s="1492">
        <f t="shared" si="40"/>
        <v>2</v>
      </c>
      <c r="F262" s="1526" t="s">
        <v>11708</v>
      </c>
      <c r="G262" s="862"/>
      <c r="H262" s="823"/>
      <c r="I262" s="700"/>
      <c r="J262" s="824"/>
      <c r="K262" s="790"/>
      <c r="L262" s="700"/>
      <c r="M262" s="870"/>
      <c r="N262" s="399"/>
      <c r="O262" s="344"/>
      <c r="P262" s="342"/>
      <c r="Q262" s="1507"/>
      <c r="R262" s="1525"/>
      <c r="S262" s="1521"/>
      <c r="V262" s="1325"/>
      <c r="W262" s="1325"/>
      <c r="X262" s="1325"/>
    </row>
    <row r="263" spans="1:24" s="863" customFormat="1" ht="12.75">
      <c r="A263" s="1482"/>
      <c r="B263" s="1482">
        <v>1</v>
      </c>
      <c r="C263" s="1483">
        <f t="shared" si="4"/>
        <v>5</v>
      </c>
      <c r="D263" s="1492">
        <f t="shared" si="39"/>
        <v>1</v>
      </c>
      <c r="E263" s="1492">
        <f t="shared" si="40"/>
        <v>3</v>
      </c>
      <c r="F263" s="1526" t="s">
        <v>11708</v>
      </c>
      <c r="G263" s="862"/>
      <c r="H263" s="1527" t="s">
        <v>11703</v>
      </c>
      <c r="I263" s="1528" t="s">
        <v>64</v>
      </c>
      <c r="J263" s="1529" t="str">
        <f>CONCATENATE(C263,".",D263,".",E263)</f>
        <v>5.1.3</v>
      </c>
      <c r="K263" s="1530" t="s">
        <v>11709</v>
      </c>
      <c r="L263" s="1531" t="s">
        <v>25</v>
      </c>
      <c r="M263" s="1532" t="s">
        <v>11704</v>
      </c>
      <c r="N263" s="586" t="s">
        <v>11705</v>
      </c>
      <c r="O263" s="587" t="s">
        <v>11706</v>
      </c>
      <c r="P263" s="588" t="s">
        <v>27</v>
      </c>
      <c r="Q263" s="1507" t="s">
        <v>11704</v>
      </c>
      <c r="R263" s="1525"/>
      <c r="S263" s="1521"/>
      <c r="V263" s="1325"/>
      <c r="W263" s="1325"/>
      <c r="X263" s="1325"/>
    </row>
    <row r="264" spans="1:24" s="863" customFormat="1" ht="12.75">
      <c r="A264" s="1482"/>
      <c r="B264" s="1482"/>
      <c r="C264" s="1483">
        <f t="shared" si="4"/>
        <v>5</v>
      </c>
      <c r="D264" s="1492">
        <f t="shared" si="39"/>
        <v>1</v>
      </c>
      <c r="E264" s="1492">
        <f t="shared" si="40"/>
        <v>3</v>
      </c>
      <c r="F264" s="1526" t="s">
        <v>11708</v>
      </c>
      <c r="G264" s="862"/>
      <c r="H264" s="823"/>
      <c r="I264" s="700"/>
      <c r="J264" s="824"/>
      <c r="K264" s="790"/>
      <c r="L264" s="700"/>
      <c r="M264" s="870"/>
      <c r="N264" s="399"/>
      <c r="O264" s="344"/>
      <c r="P264" s="342"/>
      <c r="Q264" s="1507"/>
      <c r="R264" s="1525"/>
      <c r="S264" s="1521"/>
      <c r="V264" s="1325"/>
      <c r="W264" s="1325"/>
      <c r="X264" s="1325"/>
    </row>
    <row r="265" spans="1:24" s="863" customFormat="1" ht="22.5">
      <c r="A265" s="1482"/>
      <c r="B265" s="1482"/>
      <c r="C265" s="1483">
        <f t="shared" si="4"/>
        <v>5</v>
      </c>
      <c r="D265" s="1492">
        <f t="shared" si="39"/>
        <v>1</v>
      </c>
      <c r="E265" s="1492">
        <f t="shared" si="40"/>
        <v>3</v>
      </c>
      <c r="F265" s="1526" t="s">
        <v>11708</v>
      </c>
      <c r="G265" s="862" t="s">
        <v>14085</v>
      </c>
      <c r="H265" s="823" t="str">
        <f>VLOOKUP(G265,MC_INTERCEPTORES!C:P,2,0)</f>
        <v>SINAPI</v>
      </c>
      <c r="I265" s="700">
        <f>VLOOKUP(G265,MC_INTERCEPTORES!C:P,3,0)</f>
        <v>73672</v>
      </c>
      <c r="J265" s="824"/>
      <c r="K265" s="790" t="str">
        <f>(IF(H265="Saneago",VLOOKUP(I265,'SANEAGO-FEV.2016'!A:B,2,0),IF(H265="Sinapi",VLOOKUP(I265,'SINAPI-FEV.2017'!A:D,2,0),IF(H265="Cotação",VLOOKUP(I265,COTAÇÃO!A:D,2,0),IF(H265="Composição",VLOOKUP(I265,COMPOSIÇÃO!A:D,2,0))))))</f>
        <v>DESMATAMENTO E LIMPEZA MECANIZADA DE TERRENO COM ARVORES ATE Ø 15CM, UTILIZANDO TRATOR DE ESTEIRAS</v>
      </c>
      <c r="L265" s="700" t="str">
        <f>(IF(H265="Saneago",VLOOKUP(I265,'SANEAGO-FEV.2016'!A:D,3,0),IF(H265="Sinapi",VLOOKUP(I265,'SINAPI-FEV.2017'!A:D,3,0),IF(H265="Cotação",VLOOKUP(I265,COTAÇÃO!A:D,3,0),IF(H265="Composição",VLOOKUP(I265,COMPOSIÇÃO!A:D,3,0))))))</f>
        <v>M2</v>
      </c>
      <c r="M265" s="870">
        <f>ROUND(VLOOKUP(G265,MC_INTERCEPTORES!C:P,13,0),2)</f>
        <v>1180.0999999999999</v>
      </c>
      <c r="N265" s="399">
        <v>0</v>
      </c>
      <c r="O265" s="102">
        <f>ROUND(IF(F265="Serviços",N265*(1+$O$7),IF(F265="Materiais",N265*(1+$O$8))),2)</f>
        <v>0</v>
      </c>
      <c r="P265" s="101">
        <f>ROUND(M265*O265,2)</f>
        <v>0</v>
      </c>
      <c r="Q265" s="1507">
        <v>1180.0999999999999</v>
      </c>
      <c r="R265" s="1525"/>
      <c r="S265" s="1521"/>
      <c r="V265" s="1325"/>
      <c r="W265" s="1325"/>
      <c r="X265" s="1325"/>
    </row>
    <row r="266" spans="1:24" s="863" customFormat="1" ht="13.5" thickBot="1">
      <c r="A266" s="1482"/>
      <c r="B266" s="1482"/>
      <c r="C266" s="1483">
        <f t="shared" si="4"/>
        <v>5</v>
      </c>
      <c r="D266" s="1492">
        <f t="shared" si="39"/>
        <v>1</v>
      </c>
      <c r="E266" s="1492">
        <f t="shared" si="40"/>
        <v>3</v>
      </c>
      <c r="F266" s="1526" t="s">
        <v>11708</v>
      </c>
      <c r="G266" s="1522"/>
      <c r="H266" s="826"/>
      <c r="I266" s="790"/>
      <c r="J266" s="824"/>
      <c r="K266" s="790"/>
      <c r="L266" s="700"/>
      <c r="M266" s="870"/>
      <c r="N266" s="399"/>
      <c r="O266" s="589"/>
      <c r="P266" s="342"/>
      <c r="Q266" s="1507"/>
      <c r="R266" s="1525"/>
      <c r="S266" s="1521"/>
      <c r="V266" s="1325"/>
      <c r="W266" s="1325"/>
      <c r="X266" s="1325"/>
    </row>
    <row r="267" spans="1:24" s="863" customFormat="1" ht="14.25" customHeight="1" thickTop="1" thickBot="1">
      <c r="A267" s="1482"/>
      <c r="B267" s="1482"/>
      <c r="C267" s="1483">
        <f t="shared" si="4"/>
        <v>5</v>
      </c>
      <c r="D267" s="1492">
        <f t="shared" si="39"/>
        <v>1</v>
      </c>
      <c r="E267" s="1492">
        <f t="shared" si="40"/>
        <v>3</v>
      </c>
      <c r="F267" s="1526" t="s">
        <v>11708</v>
      </c>
      <c r="G267" s="1522"/>
      <c r="H267" s="1653" t="str">
        <f>"TOTAL ITEM: "&amp;J263 &amp;K263</f>
        <v>TOTAL ITEM: 5.1.3 SERVIÇOS PRELIMINARES</v>
      </c>
      <c r="I267" s="1654"/>
      <c r="J267" s="1654"/>
      <c r="K267" s="1654"/>
      <c r="L267" s="1654"/>
      <c r="M267" s="1654"/>
      <c r="N267" s="1654"/>
      <c r="O267" s="1654"/>
      <c r="P267" s="343">
        <f>SUBTOTAL(9,P265)</f>
        <v>0</v>
      </c>
      <c r="Q267" s="1507"/>
      <c r="R267" s="1525"/>
      <c r="S267" s="1521"/>
      <c r="V267" s="1325"/>
      <c r="W267" s="1325"/>
      <c r="X267" s="1325"/>
    </row>
    <row r="268" spans="1:24" s="863" customFormat="1" ht="13.5" thickTop="1">
      <c r="A268" s="1482"/>
      <c r="B268" s="1482"/>
      <c r="C268" s="1483">
        <f t="shared" si="4"/>
        <v>5</v>
      </c>
      <c r="D268" s="1492">
        <f t="shared" si="39"/>
        <v>1</v>
      </c>
      <c r="E268" s="1492">
        <f t="shared" si="40"/>
        <v>3</v>
      </c>
      <c r="F268" s="1526" t="s">
        <v>11708</v>
      </c>
      <c r="G268" s="1522"/>
      <c r="H268" s="1533"/>
      <c r="I268" s="1002"/>
      <c r="J268" s="1534"/>
      <c r="K268" s="1002"/>
      <c r="L268" s="907"/>
      <c r="M268" s="870"/>
      <c r="N268" s="399"/>
      <c r="O268" s="589"/>
      <c r="P268" s="342"/>
      <c r="Q268" s="1507"/>
      <c r="R268" s="1525"/>
      <c r="S268" s="1521"/>
      <c r="V268" s="1325"/>
      <c r="W268" s="1325"/>
      <c r="X268" s="1325"/>
    </row>
    <row r="269" spans="1:24" s="863" customFormat="1" ht="12.75">
      <c r="A269" s="1482"/>
      <c r="B269" s="1482">
        <v>1</v>
      </c>
      <c r="C269" s="1483">
        <f t="shared" si="4"/>
        <v>5</v>
      </c>
      <c r="D269" s="1492">
        <f t="shared" si="39"/>
        <v>1</v>
      </c>
      <c r="E269" s="1492">
        <f t="shared" si="40"/>
        <v>4</v>
      </c>
      <c r="F269" s="1526" t="s">
        <v>11708</v>
      </c>
      <c r="G269" s="1522"/>
      <c r="H269" s="1527" t="s">
        <v>11703</v>
      </c>
      <c r="I269" s="1528" t="s">
        <v>64</v>
      </c>
      <c r="J269" s="1529" t="str">
        <f>CONCATENATE(C269,".",D269,".",E269)</f>
        <v>5.1.4</v>
      </c>
      <c r="K269" s="1530" t="s">
        <v>11710</v>
      </c>
      <c r="L269" s="1531" t="s">
        <v>25</v>
      </c>
      <c r="M269" s="1532" t="s">
        <v>11704</v>
      </c>
      <c r="N269" s="586" t="s">
        <v>11705</v>
      </c>
      <c r="O269" s="587" t="s">
        <v>11706</v>
      </c>
      <c r="P269" s="588" t="s">
        <v>27</v>
      </c>
      <c r="Q269" s="1507" t="s">
        <v>11704</v>
      </c>
      <c r="R269" s="1525"/>
      <c r="S269" s="1521"/>
      <c r="V269" s="1325"/>
      <c r="W269" s="1325"/>
      <c r="X269" s="1325"/>
    </row>
    <row r="270" spans="1:24" s="863" customFormat="1" ht="12.75">
      <c r="A270" s="1482"/>
      <c r="B270" s="1482"/>
      <c r="C270" s="1483">
        <f t="shared" si="4"/>
        <v>5</v>
      </c>
      <c r="D270" s="1492">
        <f t="shared" si="39"/>
        <v>1</v>
      </c>
      <c r="E270" s="1492">
        <f t="shared" si="40"/>
        <v>4</v>
      </c>
      <c r="F270" s="1526" t="s">
        <v>11708</v>
      </c>
      <c r="G270" s="1522"/>
      <c r="H270" s="826"/>
      <c r="I270" s="790"/>
      <c r="J270" s="824"/>
      <c r="K270" s="790"/>
      <c r="L270" s="700"/>
      <c r="M270" s="870"/>
      <c r="N270" s="399"/>
      <c r="O270" s="589"/>
      <c r="P270" s="342"/>
      <c r="Q270" s="1507"/>
      <c r="R270" s="1525"/>
      <c r="S270" s="1521"/>
      <c r="V270" s="1325"/>
      <c r="W270" s="1325"/>
      <c r="X270" s="1325"/>
    </row>
    <row r="271" spans="1:24" s="863" customFormat="1" ht="56.25">
      <c r="A271" s="1482"/>
      <c r="B271" s="1482"/>
      <c r="C271" s="1483">
        <f t="shared" si="4"/>
        <v>5</v>
      </c>
      <c r="D271" s="1492">
        <f t="shared" si="39"/>
        <v>1</v>
      </c>
      <c r="E271" s="1492">
        <f t="shared" si="40"/>
        <v>4</v>
      </c>
      <c r="F271" s="1526" t="s">
        <v>11708</v>
      </c>
      <c r="G271" s="862" t="s">
        <v>14086</v>
      </c>
      <c r="H271" s="823" t="str">
        <f>VLOOKUP(G271,MC_INTERCEPTORES!C:P,2,0)</f>
        <v>SINAPI</v>
      </c>
      <c r="I271" s="700">
        <f>VLOOKUP(G271,MC_INTERCEPTORES!C:P,3,0)</f>
        <v>90105</v>
      </c>
      <c r="J271" s="824"/>
      <c r="K271" s="790" t="str">
        <f>(IF(H271="Saneago",VLOOKUP(I271,'SANEAGO-FEV.2016'!A:B,2,0),IF(H271="Sinapi",VLOOKUP(I271,'SINAPI-FEV.2017'!A:D,2,0),IF(H271="Cotação",VLOOKUP(I271,COTAÇÃO!A:D,2,0),IF(H271="Composição",VLOOKUP(I271,COMPOSIÇÃO!A:D,2,0))))))</f>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
      <c r="L271" s="700" t="str">
        <f>(IF(H271="Saneago",VLOOKUP(I271,'SANEAGO-FEV.2016'!A:D,3,0),IF(H271="Sinapi",VLOOKUP(I271,'SINAPI-FEV.2017'!A:D,3,0),IF(H271="Cotação",VLOOKUP(I271,COTAÇÃO!A:D,3,0),IF(H271="Composição",VLOOKUP(I271,COMPOSIÇÃO!A:D,3,0))))))</f>
        <v>M3</v>
      </c>
      <c r="M271" s="870">
        <f>ROUND(VLOOKUP(G271,MC_INTERCEPTORES!C:P,13,0),2)</f>
        <v>1735.9</v>
      </c>
      <c r="N271" s="399">
        <v>0</v>
      </c>
      <c r="O271" s="102">
        <f t="shared" ref="O271:O283" si="41">ROUND(IF(F271="Serviços",N271*(1+$O$7),IF(F271="Materiais",N271*(1+$O$8))),2)</f>
        <v>0</v>
      </c>
      <c r="P271" s="101">
        <f t="shared" ref="P271:P283" si="42">ROUND(M271*O271,2)</f>
        <v>0</v>
      </c>
      <c r="Q271" s="1507">
        <v>1735.9</v>
      </c>
      <c r="R271" s="1525"/>
      <c r="S271" s="1521"/>
      <c r="V271" s="1325"/>
      <c r="W271" s="1325"/>
      <c r="X271" s="1325"/>
    </row>
    <row r="272" spans="1:24" s="863" customFormat="1" ht="56.25">
      <c r="A272" s="1482"/>
      <c r="B272" s="1482"/>
      <c r="C272" s="1483">
        <f t="shared" si="4"/>
        <v>5</v>
      </c>
      <c r="D272" s="1492">
        <f t="shared" si="39"/>
        <v>1</v>
      </c>
      <c r="E272" s="1492">
        <f t="shared" si="40"/>
        <v>4</v>
      </c>
      <c r="F272" s="1526" t="s">
        <v>11708</v>
      </c>
      <c r="G272" s="862" t="s">
        <v>14087</v>
      </c>
      <c r="H272" s="823" t="str">
        <f>VLOOKUP(G272,MC_INTERCEPTORES!C:P,2,0)</f>
        <v>SINAPI</v>
      </c>
      <c r="I272" s="700">
        <f>VLOOKUP(G272,MC_INTERCEPTORES!C:P,3,0)</f>
        <v>90107</v>
      </c>
      <c r="J272" s="824"/>
      <c r="K272" s="790" t="str">
        <f>(IF(H272="Saneago",VLOOKUP(I272,'SANEAGO-FEV.2016'!A:B,2,0),IF(H272="Sinapi",VLOOKUP(I272,'SINAPI-FEV.2017'!A:D,2,0),IF(H272="Cotação",VLOOKUP(I272,COTAÇÃO!A:D,2,0),IF(H272="Composição",VLOOKUP(I272,COMPOSIÇÃO!A:D,2,0))))))</f>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
      <c r="L272" s="700" t="str">
        <f>(IF(H272="Saneago",VLOOKUP(I272,'SANEAGO-FEV.2016'!A:D,3,0),IF(H272="Sinapi",VLOOKUP(I272,'SINAPI-FEV.2017'!A:D,3,0),IF(H272="Cotação",VLOOKUP(I272,COTAÇÃO!A:D,3,0),IF(H272="Composição",VLOOKUP(I272,COMPOSIÇÃO!A:D,3,0))))))</f>
        <v>M3</v>
      </c>
      <c r="M272" s="870">
        <f>ROUND(VLOOKUP(G272,MC_INTERCEPTORES!C:P,13,0),2)</f>
        <v>1233.48</v>
      </c>
      <c r="N272" s="399">
        <v>0</v>
      </c>
      <c r="O272" s="102">
        <f t="shared" si="41"/>
        <v>0</v>
      </c>
      <c r="P272" s="101">
        <f t="shared" si="42"/>
        <v>0</v>
      </c>
      <c r="Q272" s="1507">
        <v>1233.48</v>
      </c>
      <c r="R272" s="1525"/>
      <c r="S272" s="1521"/>
      <c r="V272" s="1325"/>
      <c r="W272" s="1325"/>
      <c r="X272" s="1325"/>
    </row>
    <row r="273" spans="1:24" s="863" customFormat="1" ht="22.5">
      <c r="A273" s="1482"/>
      <c r="B273" s="1482"/>
      <c r="C273" s="1483">
        <f t="shared" si="4"/>
        <v>5</v>
      </c>
      <c r="D273" s="1492">
        <f t="shared" ref="D273:D281" si="43">D272+A273</f>
        <v>1</v>
      </c>
      <c r="E273" s="1492">
        <f t="shared" ref="E273:E281" si="44">E272+B273</f>
        <v>4</v>
      </c>
      <c r="F273" s="1526" t="s">
        <v>11708</v>
      </c>
      <c r="G273" s="862" t="s">
        <v>14088</v>
      </c>
      <c r="H273" s="823" t="str">
        <f>VLOOKUP(G273,MC_INTERCEPTORES!C:P,2,0)</f>
        <v>SANEAGO</v>
      </c>
      <c r="I273" s="700">
        <f>VLOOKUP(G273,MC_INTERCEPTORES!C:P,3,0)</f>
        <v>192</v>
      </c>
      <c r="J273" s="824"/>
      <c r="K273" s="790" t="str">
        <f>(IF(H273="Saneago",VLOOKUP(I273,'SANEAGO-FEV.2016'!A:B,2,0),IF(H273="Sinapi",VLOOKUP(I273,'SINAPI-FEV.2017'!A:D,2,0),IF(H273="Cotação",VLOOKUP(I273,COTAÇÃO!A:D,2,0),IF(H273="Composição",VLOOKUP(I273,COMPOSIÇÃO!A:D,2,0))))))</f>
        <v>ESCAVAÇÃO  MECANIZADA   (COM  RETROESCAVADEIRA)  EM VALAS  COM  MATERIAL  DE  2ª  CATEGORIA  - PROFUNDIDADE ATÉ 2,0 M</v>
      </c>
      <c r="L273" s="700" t="str">
        <f>(IF(H273="Saneago",VLOOKUP(I273,'SANEAGO-FEV.2016'!A:D,3,0),IF(H273="Sinapi",VLOOKUP(I273,'SINAPI-FEV.2017'!A:D,3,0),IF(H273="Cotação",VLOOKUP(I273,COTAÇÃO!A:D,3,0),IF(H273="Composição",VLOOKUP(I273,COMPOSIÇÃO!A:D,3,0))))))</f>
        <v>M3</v>
      </c>
      <c r="M273" s="870">
        <f>ROUND(VLOOKUP(G273,MC_INTERCEPTORES!C:P,13,0),2)</f>
        <v>56.61</v>
      </c>
      <c r="N273" s="399">
        <v>0</v>
      </c>
      <c r="O273" s="102">
        <f t="shared" si="41"/>
        <v>0</v>
      </c>
      <c r="P273" s="101">
        <f t="shared" si="42"/>
        <v>0</v>
      </c>
      <c r="Q273" s="1507">
        <v>56.61</v>
      </c>
      <c r="R273" s="1525"/>
      <c r="S273" s="1521"/>
      <c r="V273" s="1325"/>
      <c r="W273" s="1325"/>
      <c r="X273" s="1325"/>
    </row>
    <row r="274" spans="1:24" s="863" customFormat="1" ht="22.5">
      <c r="A274" s="1482"/>
      <c r="B274" s="1482"/>
      <c r="C274" s="1483">
        <f t="shared" si="4"/>
        <v>5</v>
      </c>
      <c r="D274" s="1492">
        <f t="shared" si="43"/>
        <v>1</v>
      </c>
      <c r="E274" s="1492">
        <f t="shared" si="44"/>
        <v>4</v>
      </c>
      <c r="F274" s="1526" t="s">
        <v>11708</v>
      </c>
      <c r="G274" s="862" t="s">
        <v>14089</v>
      </c>
      <c r="H274" s="823" t="str">
        <f>VLOOKUP(G274,MC_INTERCEPTORES!C:P,2,0)</f>
        <v>SANEAGO</v>
      </c>
      <c r="I274" s="700">
        <f>VLOOKUP(G274,MC_INTERCEPTORES!C:P,3,0)</f>
        <v>194</v>
      </c>
      <c r="J274" s="824"/>
      <c r="K274" s="790" t="str">
        <f>(IF(H274="Saneago",VLOOKUP(I274,'SANEAGO-FEV.2016'!A:B,2,0),IF(H274="Sinapi",VLOOKUP(I274,'SINAPI-FEV.2017'!A:D,2,0),IF(H274="Cotação",VLOOKUP(I274,COTAÇÃO!A:D,2,0),IF(H274="Composição",VLOOKUP(I274,COMPOSIÇÃO!A:D,2,0))))))</f>
        <v>ESCAVAÇÃO   MECANIZADA   (COM  RETROESCAVADEIRA)  EM  VALAS  COM  MATERIAL   DE  SOLO  MOLE  - PROFUNDIDADE ATÉ 2,0 M</v>
      </c>
      <c r="L274" s="700" t="str">
        <f>(IF(H274="Saneago",VLOOKUP(I274,'SANEAGO-FEV.2016'!A:D,3,0),IF(H274="Sinapi",VLOOKUP(I274,'SINAPI-FEV.2017'!A:D,3,0),IF(H274="Cotação",VLOOKUP(I274,COTAÇÃO!A:D,3,0),IF(H274="Composição",VLOOKUP(I274,COMPOSIÇÃO!A:D,3,0))))))</f>
        <v>M3</v>
      </c>
      <c r="M274" s="870">
        <f>ROUND(VLOOKUP(G274,MC_INTERCEPTORES!C:P,13,0),2)</f>
        <v>56.61</v>
      </c>
      <c r="N274" s="399">
        <v>0</v>
      </c>
      <c r="O274" s="102">
        <f t="shared" si="41"/>
        <v>0</v>
      </c>
      <c r="P274" s="101">
        <f t="shared" si="42"/>
        <v>0</v>
      </c>
      <c r="Q274" s="1507">
        <v>56.61</v>
      </c>
      <c r="R274" s="1525"/>
      <c r="S274" s="1521"/>
      <c r="V274" s="1325"/>
      <c r="W274" s="1325"/>
      <c r="X274" s="1325"/>
    </row>
    <row r="275" spans="1:24" s="863" customFormat="1" ht="12.75">
      <c r="A275" s="1482"/>
      <c r="B275" s="1482"/>
      <c r="C275" s="1483">
        <f t="shared" si="4"/>
        <v>5</v>
      </c>
      <c r="D275" s="1492">
        <f t="shared" si="43"/>
        <v>1</v>
      </c>
      <c r="E275" s="1492">
        <f t="shared" si="44"/>
        <v>4</v>
      </c>
      <c r="F275" s="1526" t="s">
        <v>11708</v>
      </c>
      <c r="G275" s="862" t="s">
        <v>14090</v>
      </c>
      <c r="H275" s="823" t="str">
        <f>VLOOKUP(G275,MC_INTERCEPTORES!C:P,2,0)</f>
        <v>SINAPI</v>
      </c>
      <c r="I275" s="700">
        <f>VLOOKUP(G275,MC_INTERCEPTORES!C:P,3,0)</f>
        <v>93358</v>
      </c>
      <c r="J275" s="824"/>
      <c r="K275" s="790" t="str">
        <f>(IF(H275="Saneago",VLOOKUP(I275,'SANEAGO-FEV.2016'!A:B,2,0),IF(H275="Sinapi",VLOOKUP(I275,'SINAPI-FEV.2017'!A:D,2,0),IF(H275="Cotação",VLOOKUP(I275,COTAÇÃO!A:D,2,0),IF(H275="Composição",VLOOKUP(I275,COMPOSIÇÃO!A:D,2,0))))))</f>
        <v>ESCAVAÇÃO MANUAL DE VALAS. AF_03/2016</v>
      </c>
      <c r="L275" s="700" t="str">
        <f>(IF(H275="Saneago",VLOOKUP(I275,'SANEAGO-FEV.2016'!A:D,3,0),IF(H275="Sinapi",VLOOKUP(I275,'SINAPI-FEV.2017'!A:D,3,0),IF(H275="Cotação",VLOOKUP(I275,COTAÇÃO!A:D,3,0),IF(H275="Composição",VLOOKUP(I275,COMPOSIÇÃO!A:D,3,0))))))</f>
        <v>M3</v>
      </c>
      <c r="M275" s="870">
        <f>ROUND(VLOOKUP(G275,MC_INTERCEPTORES!C:P,13,0),2)</f>
        <v>156.28</v>
      </c>
      <c r="N275" s="399">
        <v>0</v>
      </c>
      <c r="O275" s="102">
        <f t="shared" si="41"/>
        <v>0</v>
      </c>
      <c r="P275" s="101">
        <f t="shared" si="42"/>
        <v>0</v>
      </c>
      <c r="Q275" s="1507">
        <v>156.28</v>
      </c>
      <c r="R275" s="1525"/>
      <c r="S275" s="1521"/>
      <c r="V275" s="1325"/>
      <c r="W275" s="1325"/>
      <c r="X275" s="1325"/>
    </row>
    <row r="276" spans="1:24" s="863" customFormat="1" ht="22.5">
      <c r="A276" s="1482"/>
      <c r="B276" s="1482"/>
      <c r="C276" s="1483">
        <f t="shared" si="4"/>
        <v>5</v>
      </c>
      <c r="D276" s="1492">
        <f t="shared" si="43"/>
        <v>1</v>
      </c>
      <c r="E276" s="1492">
        <f t="shared" si="44"/>
        <v>4</v>
      </c>
      <c r="F276" s="1526" t="s">
        <v>11708</v>
      </c>
      <c r="G276" s="862" t="s">
        <v>14091</v>
      </c>
      <c r="H276" s="823" t="str">
        <f>VLOOKUP(G276,MC_INTERCEPTORES!C:P,2,0)</f>
        <v>SANEAGO</v>
      </c>
      <c r="I276" s="700">
        <f>VLOOKUP(G276,MC_INTERCEPTORES!C:P,3,0)</f>
        <v>170</v>
      </c>
      <c r="J276" s="824"/>
      <c r="K276" s="790" t="str">
        <f>(IF(H276="Saneago",VLOOKUP(I276,'SANEAGO-FEV.2016'!A:B,2,0),IF(H276="Sinapi",VLOOKUP(I276,'SINAPI-FEV.2017'!A:D,2,0),IF(H276="Cotação",VLOOKUP(I276,COTAÇÃO!A:D,2,0),IF(H276="Composição",VLOOKUP(I276,COMPOSIÇÃO!A:D,2,0))))))</f>
        <v>ESCAVAÇÃO  MANUAL EM VALAS COM MATERIAL DE 2ª CATEGORIA  - PROFUNDIDADE ATÉ 2,0 M</v>
      </c>
      <c r="L276" s="700" t="str">
        <f>(IF(H276="Saneago",VLOOKUP(I276,'SANEAGO-FEV.2016'!A:D,3,0),IF(H276="Sinapi",VLOOKUP(I276,'SINAPI-FEV.2017'!A:D,3,0),IF(H276="Cotação",VLOOKUP(I276,COTAÇÃO!A:D,3,0),IF(H276="Composição",VLOOKUP(I276,COMPOSIÇÃO!A:D,3,0))))))</f>
        <v>M3</v>
      </c>
      <c r="M276" s="870">
        <f>ROUND(VLOOKUP(G276,MC_INTERCEPTORES!C:P,13,0),2)</f>
        <v>2.98</v>
      </c>
      <c r="N276" s="399">
        <v>0</v>
      </c>
      <c r="O276" s="102">
        <f t="shared" si="41"/>
        <v>0</v>
      </c>
      <c r="P276" s="101">
        <f t="shared" si="42"/>
        <v>0</v>
      </c>
      <c r="Q276" s="1507">
        <v>2.98</v>
      </c>
      <c r="R276" s="1525"/>
      <c r="S276" s="1521"/>
      <c r="V276" s="1325"/>
      <c r="W276" s="1325"/>
      <c r="X276" s="1325"/>
    </row>
    <row r="277" spans="1:24" s="863" customFormat="1" ht="22.5">
      <c r="A277" s="1482"/>
      <c r="B277" s="1482"/>
      <c r="C277" s="1483">
        <f t="shared" si="4"/>
        <v>5</v>
      </c>
      <c r="D277" s="1492">
        <f t="shared" si="43"/>
        <v>1</v>
      </c>
      <c r="E277" s="1492">
        <f t="shared" si="44"/>
        <v>4</v>
      </c>
      <c r="F277" s="1526" t="s">
        <v>11708</v>
      </c>
      <c r="G277" s="862" t="s">
        <v>14092</v>
      </c>
      <c r="H277" s="823" t="str">
        <f>VLOOKUP(G277,MC_INTERCEPTORES!C:P,2,0)</f>
        <v>SANEAGO</v>
      </c>
      <c r="I277" s="700">
        <f>VLOOKUP(G277,MC_INTERCEPTORES!C:P,3,0)</f>
        <v>171</v>
      </c>
      <c r="J277" s="824"/>
      <c r="K277" s="790" t="str">
        <f>(IF(H277="Saneago",VLOOKUP(I277,'SANEAGO-FEV.2016'!A:B,2,0),IF(H277="Sinapi",VLOOKUP(I277,'SINAPI-FEV.2017'!A:D,2,0),IF(H277="Cotação",VLOOKUP(I277,COTAÇÃO!A:D,2,0),IF(H277="Composição",VLOOKUP(I277,COMPOSIÇÃO!A:D,2,0))))))</f>
        <v>ESCAVAÇÃO  MANUAL EM VALAS COM MATERIAL DE 2ª CATEGORIA  - PROFUNDIDADE DE 2,0 A 4,0 M</v>
      </c>
      <c r="L277" s="700" t="str">
        <f>(IF(H277="Saneago",VLOOKUP(I277,'SANEAGO-FEV.2016'!A:D,3,0),IF(H277="Sinapi",VLOOKUP(I277,'SINAPI-FEV.2017'!A:D,3,0),IF(H277="Cotação",VLOOKUP(I277,COTAÇÃO!A:D,3,0),IF(H277="Composição",VLOOKUP(I277,COMPOSIÇÃO!A:D,3,0))))))</f>
        <v>M3</v>
      </c>
      <c r="M277" s="870">
        <f>ROUND(VLOOKUP(G277,MC_INTERCEPTORES!C:P,13,0),2)</f>
        <v>2.12</v>
      </c>
      <c r="N277" s="399">
        <v>0</v>
      </c>
      <c r="O277" s="102">
        <f t="shared" si="41"/>
        <v>0</v>
      </c>
      <c r="P277" s="101">
        <f t="shared" si="42"/>
        <v>0</v>
      </c>
      <c r="Q277" s="1507">
        <v>2.12</v>
      </c>
      <c r="R277" s="1525"/>
      <c r="S277" s="1521"/>
      <c r="V277" s="1325"/>
      <c r="W277" s="1325"/>
      <c r="X277" s="1325"/>
    </row>
    <row r="278" spans="1:24" s="863" customFormat="1" ht="33.75">
      <c r="A278" s="1482"/>
      <c r="B278" s="1482"/>
      <c r="C278" s="1483">
        <f t="shared" si="4"/>
        <v>5</v>
      </c>
      <c r="D278" s="1492">
        <f t="shared" si="43"/>
        <v>1</v>
      </c>
      <c r="E278" s="1492">
        <f t="shared" si="44"/>
        <v>4</v>
      </c>
      <c r="F278" s="1526" t="s">
        <v>11708</v>
      </c>
      <c r="G278" s="862" t="s">
        <v>14093</v>
      </c>
      <c r="H278" s="823" t="str">
        <f>VLOOKUP(G278,MC_INTERCEPTORES!C:P,2,0)</f>
        <v>SANEAGO</v>
      </c>
      <c r="I278" s="700">
        <f>VLOOKUP(G278,MC_INTERCEPTORES!C:P,3,0)</f>
        <v>172</v>
      </c>
      <c r="J278" s="824"/>
      <c r="K278" s="790" t="str">
        <f>(IF(H278="Saneago",VLOOKUP(I278,'SANEAGO-FEV.2016'!A:B,2,0),IF(H278="Sinapi",VLOOKUP(I278,'SINAPI-FEV.2017'!A:D,2,0),IF(H278="Cotação",VLOOKUP(I278,COTAÇÃO!A:D,2,0),IF(H278="Composição",VLOOKUP(I278,COMPOSIÇÃO!A:D,2,0))))))</f>
        <v>ESCAVAÇÃO   MANUAL   EM  VALAS  COM  MATERIAL   DE  3ª  CATEGORIA   SEM  USO  DE  EXPLOSIVO   COM UTILIZAÇÃO  DE COMPRESSOR E ROMPEDOR  -  PROFUNDIDADE ATÉ 2,0M</v>
      </c>
      <c r="L278" s="700" t="str">
        <f>(IF(H278="Saneago",VLOOKUP(I278,'SANEAGO-FEV.2016'!A:D,3,0),IF(H278="Sinapi",VLOOKUP(I278,'SINAPI-FEV.2017'!A:D,3,0),IF(H278="Cotação",VLOOKUP(I278,COTAÇÃO!A:D,3,0),IF(H278="Composição",VLOOKUP(I278,COMPOSIÇÃO!A:D,3,0))))))</f>
        <v>M3</v>
      </c>
      <c r="M278" s="870">
        <f>ROUND(VLOOKUP(G278,MC_INTERCEPTORES!C:P,13,0),2)</f>
        <v>39.72</v>
      </c>
      <c r="N278" s="399">
        <v>0</v>
      </c>
      <c r="O278" s="102">
        <f t="shared" si="41"/>
        <v>0</v>
      </c>
      <c r="P278" s="101">
        <f t="shared" si="42"/>
        <v>0</v>
      </c>
      <c r="Q278" s="1507">
        <v>39.72</v>
      </c>
      <c r="R278" s="1525"/>
      <c r="S278" s="1521"/>
      <c r="V278" s="1325"/>
      <c r="W278" s="1325"/>
      <c r="X278" s="1325"/>
    </row>
    <row r="279" spans="1:24" s="863" customFormat="1" ht="33.75">
      <c r="A279" s="1482"/>
      <c r="B279" s="1482"/>
      <c r="C279" s="1483">
        <f t="shared" si="4"/>
        <v>5</v>
      </c>
      <c r="D279" s="1492">
        <f t="shared" si="43"/>
        <v>1</v>
      </c>
      <c r="E279" s="1492">
        <f t="shared" si="44"/>
        <v>4</v>
      </c>
      <c r="F279" s="1526" t="s">
        <v>11708</v>
      </c>
      <c r="G279" s="862" t="s">
        <v>14094</v>
      </c>
      <c r="H279" s="823" t="str">
        <f>VLOOKUP(G279,MC_INTERCEPTORES!C:P,2,0)</f>
        <v>SANEAGO</v>
      </c>
      <c r="I279" s="700">
        <f>VLOOKUP(G279,MC_INTERCEPTORES!C:P,3,0)</f>
        <v>173</v>
      </c>
      <c r="J279" s="824"/>
      <c r="K279" s="790" t="str">
        <f>(IF(H279="Saneago",VLOOKUP(I279,'SANEAGO-FEV.2016'!A:B,2,0),IF(H279="Sinapi",VLOOKUP(I279,'SINAPI-FEV.2017'!A:D,2,0),IF(H279="Cotação",VLOOKUP(I279,COTAÇÃO!A:D,2,0),IF(H279="Composição",VLOOKUP(I279,COMPOSIÇÃO!A:D,2,0))))))</f>
        <v>ESCAVAÇÃO   MANUAL   EM  VALAS  COM  MATERIAL   DE  3ª  CATEGORIA   SEM  USO  DE  EXPLOSIVO   COM UTILIZAÇÃO  DE COMPRESSOR E ROMPEDOR   - PROFUNDIDADE DE 2,0 A 4,0M</v>
      </c>
      <c r="L279" s="700" t="str">
        <f>(IF(H279="Saneago",VLOOKUP(I279,'SANEAGO-FEV.2016'!A:D,3,0),IF(H279="Sinapi",VLOOKUP(I279,'SINAPI-FEV.2017'!A:D,3,0),IF(H279="Cotação",VLOOKUP(I279,COTAÇÃO!A:D,3,0),IF(H279="Composição",VLOOKUP(I279,COMPOSIÇÃO!A:D,3,0))))))</f>
        <v>M3</v>
      </c>
      <c r="M279" s="870">
        <f>ROUND(VLOOKUP(G279,MC_INTERCEPTORES!C:P,13,0),2)</f>
        <v>28.23</v>
      </c>
      <c r="N279" s="399">
        <v>0</v>
      </c>
      <c r="O279" s="102">
        <f t="shared" si="41"/>
        <v>0</v>
      </c>
      <c r="P279" s="101">
        <f t="shared" si="42"/>
        <v>0</v>
      </c>
      <c r="Q279" s="1507">
        <v>28.23</v>
      </c>
      <c r="R279" s="1525"/>
      <c r="S279" s="1521"/>
      <c r="V279" s="1325"/>
      <c r="W279" s="1325"/>
      <c r="X279" s="1325"/>
    </row>
    <row r="280" spans="1:24" s="863" customFormat="1" ht="22.5">
      <c r="A280" s="1482"/>
      <c r="B280" s="1482"/>
      <c r="C280" s="1483">
        <f t="shared" si="4"/>
        <v>5</v>
      </c>
      <c r="D280" s="1492">
        <f t="shared" si="43"/>
        <v>1</v>
      </c>
      <c r="E280" s="1492">
        <f t="shared" si="44"/>
        <v>4</v>
      </c>
      <c r="F280" s="1526" t="s">
        <v>11708</v>
      </c>
      <c r="G280" s="862" t="s">
        <v>14095</v>
      </c>
      <c r="H280" s="823" t="str">
        <f>VLOOKUP(G280,MC_INTERCEPTORES!C:P,2,0)</f>
        <v>SANEAGO</v>
      </c>
      <c r="I280" s="700">
        <f>VLOOKUP(G280,MC_INTERCEPTORES!C:P,3,0)</f>
        <v>176</v>
      </c>
      <c r="J280" s="824"/>
      <c r="K280" s="790" t="str">
        <f>(IF(H280="Saneago",VLOOKUP(I280,'SANEAGO-FEV.2016'!A:B,2,0),IF(H280="Sinapi",VLOOKUP(I280,'SINAPI-FEV.2017'!A:D,2,0),IF(H280="Cotação",VLOOKUP(I280,COTAÇÃO!A:D,2,0),IF(H280="Composição",VLOOKUP(I280,COMPOSIÇÃO!A:D,2,0))))))</f>
        <v>ESCAVAÇÃO  MANUAL EM VALAS COM MATERIAL DE BARRO - LAMA - PROFUNDIDADE ATÉ 2,0M</v>
      </c>
      <c r="L280" s="700" t="str">
        <f>(IF(H280="Saneago",VLOOKUP(I280,'SANEAGO-FEV.2016'!A:D,3,0),IF(H280="Sinapi",VLOOKUP(I280,'SINAPI-FEV.2017'!A:D,3,0),IF(H280="Cotação",VLOOKUP(I280,COTAÇÃO!A:D,3,0),IF(H280="Composição",VLOOKUP(I280,COMPOSIÇÃO!A:D,3,0))))))</f>
        <v>M3</v>
      </c>
      <c r="M280" s="870">
        <f>ROUND(VLOOKUP(G280,MC_INTERCEPTORES!C:P,13,0),2)</f>
        <v>2.98</v>
      </c>
      <c r="N280" s="399">
        <v>0</v>
      </c>
      <c r="O280" s="102">
        <f t="shared" si="41"/>
        <v>0</v>
      </c>
      <c r="P280" s="101">
        <f t="shared" si="42"/>
        <v>0</v>
      </c>
      <c r="Q280" s="1507">
        <v>2.98</v>
      </c>
      <c r="R280" s="1525"/>
      <c r="S280" s="1521"/>
      <c r="V280" s="1325"/>
      <c r="W280" s="1325"/>
      <c r="X280" s="1325"/>
    </row>
    <row r="281" spans="1:24" s="863" customFormat="1" ht="22.5">
      <c r="A281" s="1482"/>
      <c r="B281" s="1482"/>
      <c r="C281" s="1483">
        <f t="shared" si="4"/>
        <v>5</v>
      </c>
      <c r="D281" s="1492">
        <f t="shared" si="43"/>
        <v>1</v>
      </c>
      <c r="E281" s="1492">
        <f t="shared" si="44"/>
        <v>4</v>
      </c>
      <c r="F281" s="1526" t="s">
        <v>11708</v>
      </c>
      <c r="G281" s="862" t="s">
        <v>14096</v>
      </c>
      <c r="H281" s="823" t="str">
        <f>VLOOKUP(G281,MC_INTERCEPTORES!C:P,2,0)</f>
        <v>SANEAGO</v>
      </c>
      <c r="I281" s="700">
        <f>VLOOKUP(G281,MC_INTERCEPTORES!C:P,3,0)</f>
        <v>177</v>
      </c>
      <c r="J281" s="824"/>
      <c r="K281" s="790" t="str">
        <f>(IF(H281="Saneago",VLOOKUP(I281,'SANEAGO-FEV.2016'!A:B,2,0),IF(H281="Sinapi",VLOOKUP(I281,'SINAPI-FEV.2017'!A:D,2,0),IF(H281="Cotação",VLOOKUP(I281,COTAÇÃO!A:D,2,0),IF(H281="Composição",VLOOKUP(I281,COMPOSIÇÃO!A:D,2,0))))))</f>
        <v>ESCAVAÇÃO  MANUAL EM VALAS COM MATERIAL DE BARRO - LAMA - PROFUNDIDADE DE 2,0 A 4,0M</v>
      </c>
      <c r="L281" s="700" t="str">
        <f>(IF(H281="Saneago",VLOOKUP(I281,'SANEAGO-FEV.2016'!A:D,3,0),IF(H281="Sinapi",VLOOKUP(I281,'SINAPI-FEV.2017'!A:D,3,0),IF(H281="Cotação",VLOOKUP(I281,COTAÇÃO!A:D,3,0),IF(H281="Composição",VLOOKUP(I281,COMPOSIÇÃO!A:D,3,0))))))</f>
        <v>M3</v>
      </c>
      <c r="M281" s="870">
        <f>ROUND(VLOOKUP(G281,MC_INTERCEPTORES!C:P,13,0),2)</f>
        <v>2.12</v>
      </c>
      <c r="N281" s="399">
        <v>0</v>
      </c>
      <c r="O281" s="102">
        <f t="shared" si="41"/>
        <v>0</v>
      </c>
      <c r="P281" s="101">
        <f t="shared" si="42"/>
        <v>0</v>
      </c>
      <c r="Q281" s="1507">
        <v>2.12</v>
      </c>
      <c r="R281" s="1525"/>
      <c r="S281" s="1521"/>
      <c r="V281" s="1325"/>
      <c r="W281" s="1325"/>
      <c r="X281" s="1325"/>
    </row>
    <row r="282" spans="1:24" s="863" customFormat="1" ht="22.5">
      <c r="A282" s="1482"/>
      <c r="B282" s="1482"/>
      <c r="C282" s="1483">
        <f t="shared" si="4"/>
        <v>5</v>
      </c>
      <c r="D282" s="1492">
        <f t="shared" si="39"/>
        <v>1</v>
      </c>
      <c r="E282" s="1492">
        <f t="shared" si="40"/>
        <v>4</v>
      </c>
      <c r="F282" s="1526" t="s">
        <v>11708</v>
      </c>
      <c r="G282" s="862" t="s">
        <v>14097</v>
      </c>
      <c r="H282" s="823" t="str">
        <f>VLOOKUP(G282,MC_INTERCEPTORES!C:P,2,0)</f>
        <v>SINAPI</v>
      </c>
      <c r="I282" s="700">
        <f>VLOOKUP(G282,MC_INTERCEPTORES!C:P,3,0)</f>
        <v>94097</v>
      </c>
      <c r="J282" s="824"/>
      <c r="K282" s="790" t="str">
        <f>(IF(H282="Saneago",VLOOKUP(I282,'SANEAGO-FEV.2016'!A:B,2,0),IF(H282="Sinapi",VLOOKUP(I282,'SINAPI-FEV.2017'!A:D,2,0),IF(H282="Cotação",VLOOKUP(I282,COTAÇÃO!A:D,2,0),IF(H282="Composição",VLOOKUP(I282,COMPOSIÇÃO!A:D,2,0))))))</f>
        <v>PREPARO DE FUNDO DE VALA COM LARGURA MENOR QUE 1,5 M, EM LOCAL COM NÍVEL BAIXO DE INTERFERÊNCIA. AF_06/2016</v>
      </c>
      <c r="L282" s="700" t="str">
        <f>(IF(H282="Saneago",VLOOKUP(I282,'SANEAGO-FEV.2016'!A:D,3,0),IF(H282="Sinapi",VLOOKUP(I282,'SINAPI-FEV.2017'!A:D,3,0),IF(H282="Cotação",VLOOKUP(I282,COTAÇÃO!A:D,3,0),IF(H282="Composição",VLOOKUP(I282,COMPOSIÇÃO!A:D,3,0))))))</f>
        <v>M2</v>
      </c>
      <c r="M282" s="870">
        <f>ROUND(VLOOKUP(G282,MC_INTERCEPTORES!C:P,13,0),2)</f>
        <v>1324.1</v>
      </c>
      <c r="N282" s="399">
        <v>0</v>
      </c>
      <c r="O282" s="102">
        <f t="shared" si="41"/>
        <v>0</v>
      </c>
      <c r="P282" s="101">
        <f t="shared" si="42"/>
        <v>0</v>
      </c>
      <c r="Q282" s="1507">
        <v>1324.1</v>
      </c>
      <c r="R282" s="1525"/>
      <c r="S282" s="1521"/>
      <c r="V282" s="1325"/>
      <c r="W282" s="1325"/>
      <c r="X282" s="1325"/>
    </row>
    <row r="283" spans="1:24" s="863" customFormat="1" ht="12.75">
      <c r="A283" s="1482"/>
      <c r="B283" s="1482"/>
      <c r="C283" s="1483">
        <f t="shared" si="4"/>
        <v>5</v>
      </c>
      <c r="D283" s="1492">
        <f t="shared" si="39"/>
        <v>1</v>
      </c>
      <c r="E283" s="1492">
        <f t="shared" si="40"/>
        <v>4</v>
      </c>
      <c r="F283" s="1526" t="s">
        <v>11708</v>
      </c>
      <c r="G283" s="862" t="s">
        <v>14098</v>
      </c>
      <c r="H283" s="823" t="str">
        <f>VLOOKUP(G283,MC_INTERCEPTORES!C:P,2,0)</f>
        <v>SINAPI</v>
      </c>
      <c r="I283" s="700" t="str">
        <f>VLOOKUP(G283,MC_INTERCEPTORES!C:P,3,0)</f>
        <v>73964/6</v>
      </c>
      <c r="J283" s="824"/>
      <c r="K283" s="790" t="str">
        <f>(IF(H283="Saneago",VLOOKUP(I283,'SANEAGO-FEV.2016'!A:B,2,0),IF(H283="Sinapi",VLOOKUP(I283,'SINAPI-FEV.2017'!A:D,2,0),IF(H283="Cotação",VLOOKUP(I283,COTAÇÃO!A:D,2,0),IF(H283="Composição",VLOOKUP(I283,COMPOSIÇÃO!A:D,2,0))))))</f>
        <v>REATERRO DE VALA COM COMPACTAÇÃO MANUAL</v>
      </c>
      <c r="L283" s="700" t="str">
        <f>(IF(H283="Saneago",VLOOKUP(I283,'SANEAGO-FEV.2016'!A:D,3,0),IF(H283="Sinapi",VLOOKUP(I283,'SINAPI-FEV.2017'!A:D,3,0),IF(H283="Cotação",VLOOKUP(I283,COTAÇÃO!A:D,3,0),IF(H283="Composição",VLOOKUP(I283,COMPOSIÇÃO!A:D,3,0))))))</f>
        <v>M3</v>
      </c>
      <c r="M283" s="870">
        <f>ROUND(VLOOKUP(G283,MC_INTERCEPTORES!C:P,13,0),2)</f>
        <v>694.28</v>
      </c>
      <c r="N283" s="399">
        <v>0</v>
      </c>
      <c r="O283" s="102">
        <f t="shared" si="41"/>
        <v>0</v>
      </c>
      <c r="P283" s="101">
        <f t="shared" si="42"/>
        <v>0</v>
      </c>
      <c r="Q283" s="1507">
        <v>694.28</v>
      </c>
      <c r="R283" s="1525"/>
      <c r="S283" s="1521"/>
      <c r="V283" s="1325"/>
      <c r="W283" s="1325"/>
      <c r="X283" s="1325"/>
    </row>
    <row r="284" spans="1:24" s="863" customFormat="1" ht="45">
      <c r="A284" s="1482"/>
      <c r="B284" s="1482"/>
      <c r="C284" s="1483">
        <f t="shared" si="4"/>
        <v>5</v>
      </c>
      <c r="D284" s="1492">
        <f>D283+A284</f>
        <v>1</v>
      </c>
      <c r="E284" s="1492">
        <f>E283+B284</f>
        <v>4</v>
      </c>
      <c r="F284" s="1526" t="s">
        <v>11708</v>
      </c>
      <c r="G284" s="862" t="s">
        <v>14099</v>
      </c>
      <c r="H284" s="823" t="str">
        <f>VLOOKUP(G284,MC_INTERCEPTORES!C:P,2,0)</f>
        <v>SINAPI</v>
      </c>
      <c r="I284" s="700">
        <f>VLOOKUP(G284,MC_INTERCEPTORES!C:P,3,0)</f>
        <v>93379</v>
      </c>
      <c r="J284" s="824"/>
      <c r="K284" s="790" t="str">
        <f>(IF(H284="Saneago",VLOOKUP(I284,'SANEAGO-FEV.2016'!A:B,2,0),IF(H284="Sinapi",VLOOKUP(I284,'SINAPI-FEV.2017'!A:D,2,0),IF(H284="Cotação",VLOOKUP(I284,COTAÇÃO!A:D,2,0),IF(H284="Composição",VLOOKUP(I284,COMPOSIÇÃO!A:D,2,0))))))</f>
        <v>REATERRO MECANIZADO DE VALA COM RETROESCAVADEIRA (CAPACIDADE DA CAÇAMBA DA RETRO: 0,26 M³ / POTÊNCIA: 88 HP), LARGURA DE 0,8 A 1,5 M, PROFUNDIDADE ATÉ 1,5 M, COM SOLO (SEM SUBSTITUIÇÃO) DE 1ª CATEGORIA EM LOCAIS COM BAIXO NÍVEL DE INTERFERÊNCIA. AF_04/2016</v>
      </c>
      <c r="L284" s="700" t="str">
        <f>(IF(H284="Saneago",VLOOKUP(I284,'SANEAGO-FEV.2016'!A:D,3,0),IF(H284="Sinapi",VLOOKUP(I284,'SINAPI-FEV.2017'!A:D,3,0),IF(H284="Cotação",VLOOKUP(I284,COTAÇÃO!A:D,3,0),IF(H284="Composição",VLOOKUP(I284,COMPOSIÇÃO!A:D,3,0))))))</f>
        <v>M3</v>
      </c>
      <c r="M284" s="870">
        <f>ROUND(VLOOKUP(G284,MC_INTERCEPTORES!C:P,13,0),2)</f>
        <v>173.36</v>
      </c>
      <c r="N284" s="399">
        <v>0</v>
      </c>
      <c r="O284" s="102">
        <f>ROUND(IF(F284="Serviços",N284*(1+$O$7),IF(F284="Materiais",N284*(1+$O$8))),2)</f>
        <v>0</v>
      </c>
      <c r="P284" s="101">
        <f>ROUND(M284*O284,2)</f>
        <v>0</v>
      </c>
      <c r="Q284" s="1507">
        <v>173.36</v>
      </c>
      <c r="R284" s="1525"/>
      <c r="S284" s="1521"/>
      <c r="V284" s="1325"/>
      <c r="W284" s="1325"/>
      <c r="X284" s="1325"/>
    </row>
    <row r="285" spans="1:24" s="863" customFormat="1" ht="45">
      <c r="A285" s="1482"/>
      <c r="B285" s="1482"/>
      <c r="C285" s="1483">
        <f t="shared" si="4"/>
        <v>5</v>
      </c>
      <c r="D285" s="1492">
        <f>D284+A285</f>
        <v>1</v>
      </c>
      <c r="E285" s="1492">
        <f>E284+B285</f>
        <v>4</v>
      </c>
      <c r="F285" s="1526" t="s">
        <v>11708</v>
      </c>
      <c r="G285" s="862" t="s">
        <v>14100</v>
      </c>
      <c r="H285" s="823" t="str">
        <f>VLOOKUP(G285,MC_INTERCEPTORES!C:P,2,0)</f>
        <v>SINAPI</v>
      </c>
      <c r="I285" s="700">
        <f>VLOOKUP(G285,MC_INTERCEPTORES!C:P,3,0)</f>
        <v>93381</v>
      </c>
      <c r="J285" s="824"/>
      <c r="K285" s="790" t="str">
        <f>(IF(H285="Saneago",VLOOKUP(I285,'SANEAGO-FEV.2016'!A:B,2,0),IF(H285="Sinapi",VLOOKUP(I285,'SINAPI-FEV.2017'!A:D,2,0),IF(H285="Cotação",VLOOKUP(I285,COTAÇÃO!A:D,2,0),IF(H285="Composição",VLOOKUP(I285,COMPOSIÇÃO!A:D,2,0))))))</f>
        <v>REATERRO MECANIZADO DE VALA COM RETROESCAVADEIRA (CAPACIDADE DA CAÇAMBA DA RETRO: 0,26 M³ / POTÊNCIA: 88 HP), LARGURA DE 0,8 A 1,5 M, PROFUNDIDADE DE 1,5 A 3,0 M, COM SOLO (SEM SUBSTITUIÇÃO) DE 1ª CATEGORIA EM LOCAIS COM BAIXO NÍVEL DE INTERFERÊNCIA. AF_04/2016</v>
      </c>
      <c r="L285" s="700" t="str">
        <f>(IF(H285="Saneago",VLOOKUP(I285,'SANEAGO-FEV.2016'!A:D,3,0),IF(H285="Sinapi",VLOOKUP(I285,'SINAPI-FEV.2017'!A:D,3,0),IF(H285="Cotação",VLOOKUP(I285,COTAÇÃO!A:D,3,0),IF(H285="Composição",VLOOKUP(I285,COMPOSIÇÃO!A:D,3,0))))))</f>
        <v>M3</v>
      </c>
      <c r="M285" s="870">
        <f>ROUND(VLOOKUP(G285,MC_INTERCEPTORES!C:P,13,0),2)</f>
        <v>1768.21</v>
      </c>
      <c r="N285" s="399">
        <v>0</v>
      </c>
      <c r="O285" s="102">
        <f>ROUND(IF(F285="Serviços",N285*(1+$O$7),IF(F285="Materiais",N285*(1+$O$8))),2)</f>
        <v>0</v>
      </c>
      <c r="P285" s="101">
        <f>ROUND(M285*O285,2)</f>
        <v>0</v>
      </c>
      <c r="Q285" s="1507">
        <v>1768.21</v>
      </c>
      <c r="R285" s="1525"/>
      <c r="S285" s="1521"/>
      <c r="V285" s="1325"/>
      <c r="W285" s="1325"/>
      <c r="X285" s="1325"/>
    </row>
    <row r="286" spans="1:24" s="863" customFormat="1" ht="13.5" thickBot="1">
      <c r="A286" s="1482"/>
      <c r="B286" s="1482"/>
      <c r="C286" s="1483">
        <f t="shared" si="4"/>
        <v>5</v>
      </c>
      <c r="D286" s="1492">
        <f t="shared" si="39"/>
        <v>1</v>
      </c>
      <c r="E286" s="1492">
        <f t="shared" si="40"/>
        <v>4</v>
      </c>
      <c r="F286" s="1526" t="s">
        <v>11708</v>
      </c>
      <c r="G286" s="862"/>
      <c r="H286" s="823"/>
      <c r="I286" s="700"/>
      <c r="J286" s="824"/>
      <c r="K286" s="790"/>
      <c r="L286" s="700"/>
      <c r="M286" s="870"/>
      <c r="N286" s="399"/>
      <c r="O286" s="344"/>
      <c r="P286" s="342"/>
      <c r="Q286" s="1507"/>
      <c r="R286" s="1525"/>
      <c r="S286" s="1521"/>
      <c r="V286" s="1325"/>
      <c r="W286" s="1325"/>
      <c r="X286" s="1325"/>
    </row>
    <row r="287" spans="1:24" s="863" customFormat="1" ht="14.25" customHeight="1" thickTop="1" thickBot="1">
      <c r="A287" s="1482"/>
      <c r="B287" s="1482"/>
      <c r="C287" s="1483">
        <f t="shared" si="4"/>
        <v>5</v>
      </c>
      <c r="D287" s="1492">
        <f t="shared" si="39"/>
        <v>1</v>
      </c>
      <c r="E287" s="1492">
        <f t="shared" si="40"/>
        <v>4</v>
      </c>
      <c r="F287" s="1526" t="s">
        <v>11708</v>
      </c>
      <c r="G287" s="959"/>
      <c r="H287" s="1653" t="str">
        <f>"TOTAL ITEM: "&amp;J269 &amp;K269</f>
        <v>TOTAL ITEM: 5.1.4 MOVIMENTO DE TERRA</v>
      </c>
      <c r="I287" s="1654"/>
      <c r="J287" s="1654"/>
      <c r="K287" s="1654"/>
      <c r="L287" s="1654"/>
      <c r="M287" s="1654"/>
      <c r="N287" s="1654"/>
      <c r="O287" s="1654"/>
      <c r="P287" s="343">
        <f>SUBTOTAL(9,P271:P285)</f>
        <v>0</v>
      </c>
      <c r="Q287" s="1507"/>
      <c r="R287" s="1525"/>
      <c r="S287" s="1521"/>
      <c r="V287" s="1325"/>
      <c r="W287" s="1325"/>
      <c r="X287" s="1325"/>
    </row>
    <row r="288" spans="1:24" s="863" customFormat="1" ht="13.5" thickTop="1">
      <c r="A288" s="1482"/>
      <c r="B288" s="1482"/>
      <c r="C288" s="1483">
        <f t="shared" si="4"/>
        <v>5</v>
      </c>
      <c r="D288" s="1492">
        <f t="shared" si="39"/>
        <v>1</v>
      </c>
      <c r="E288" s="1492">
        <f t="shared" si="40"/>
        <v>4</v>
      </c>
      <c r="F288" s="1526" t="s">
        <v>11708</v>
      </c>
      <c r="G288" s="862"/>
      <c r="H288" s="823"/>
      <c r="I288" s="700"/>
      <c r="J288" s="824"/>
      <c r="K288" s="700"/>
      <c r="L288" s="700"/>
      <c r="M288" s="870"/>
      <c r="N288" s="399"/>
      <c r="O288" s="344"/>
      <c r="P288" s="342"/>
      <c r="Q288" s="1507"/>
      <c r="R288" s="1525"/>
      <c r="S288" s="1521"/>
      <c r="V288" s="1325"/>
      <c r="W288" s="1325"/>
      <c r="X288" s="1325"/>
    </row>
    <row r="289" spans="1:24" s="863" customFormat="1" ht="12.75">
      <c r="A289" s="1482"/>
      <c r="B289" s="1482">
        <v>1</v>
      </c>
      <c r="C289" s="1483">
        <f t="shared" si="4"/>
        <v>5</v>
      </c>
      <c r="D289" s="1492">
        <f t="shared" si="39"/>
        <v>1</v>
      </c>
      <c r="E289" s="1492">
        <f t="shared" si="40"/>
        <v>5</v>
      </c>
      <c r="F289" s="1526" t="s">
        <v>11708</v>
      </c>
      <c r="G289" s="862"/>
      <c r="H289" s="1527" t="s">
        <v>11703</v>
      </c>
      <c r="I289" s="1528" t="s">
        <v>64</v>
      </c>
      <c r="J289" s="1529" t="str">
        <f>CONCATENATE(C289,".",D289,".",E289)</f>
        <v>5.1.5</v>
      </c>
      <c r="K289" s="1530" t="s">
        <v>14074</v>
      </c>
      <c r="L289" s="1531" t="s">
        <v>25</v>
      </c>
      <c r="M289" s="1532" t="s">
        <v>11704</v>
      </c>
      <c r="N289" s="586" t="s">
        <v>11705</v>
      </c>
      <c r="O289" s="587" t="s">
        <v>11706</v>
      </c>
      <c r="P289" s="588" t="s">
        <v>27</v>
      </c>
      <c r="Q289" s="1507" t="s">
        <v>11704</v>
      </c>
      <c r="R289" s="1525"/>
      <c r="S289" s="1521"/>
      <c r="V289" s="1325"/>
      <c r="W289" s="1325"/>
      <c r="X289" s="1325"/>
    </row>
    <row r="290" spans="1:24" s="863" customFormat="1" ht="12.75">
      <c r="A290" s="1482"/>
      <c r="B290" s="1482"/>
      <c r="C290" s="1483">
        <f t="shared" si="4"/>
        <v>5</v>
      </c>
      <c r="D290" s="1492">
        <f t="shared" si="39"/>
        <v>1</v>
      </c>
      <c r="E290" s="1492">
        <f t="shared" si="40"/>
        <v>5</v>
      </c>
      <c r="F290" s="1526" t="s">
        <v>11708</v>
      </c>
      <c r="G290" s="862"/>
      <c r="H290" s="823"/>
      <c r="I290" s="700"/>
      <c r="J290" s="824"/>
      <c r="K290" s="700"/>
      <c r="L290" s="700"/>
      <c r="M290" s="870"/>
      <c r="N290" s="399"/>
      <c r="O290" s="344"/>
      <c r="P290" s="342"/>
      <c r="Q290" s="1507"/>
      <c r="R290" s="1525"/>
      <c r="S290" s="1521"/>
      <c r="V290" s="1325"/>
      <c r="W290" s="1325"/>
      <c r="X290" s="1325"/>
    </row>
    <row r="291" spans="1:24" s="863" customFormat="1" ht="12.75">
      <c r="A291" s="1482"/>
      <c r="B291" s="1482"/>
      <c r="C291" s="1483">
        <f t="shared" si="4"/>
        <v>5</v>
      </c>
      <c r="D291" s="1492">
        <f t="shared" si="39"/>
        <v>1</v>
      </c>
      <c r="E291" s="1492">
        <f t="shared" si="40"/>
        <v>5</v>
      </c>
      <c r="F291" s="1526" t="s">
        <v>11708</v>
      </c>
      <c r="G291" s="862" t="s">
        <v>14110</v>
      </c>
      <c r="H291" s="823" t="str">
        <f>VLOOKUP(G291,MC_INTERCEPTORES!C:P,2,0)</f>
        <v>SANEAGO</v>
      </c>
      <c r="I291" s="700">
        <f>VLOOKUP(G291,MC_INTERCEPTORES!C:P,3,0)</f>
        <v>229</v>
      </c>
      <c r="J291" s="824"/>
      <c r="K291" s="790" t="str">
        <f>(IF(H291="Saneago",VLOOKUP(I291,'SANEAGO-FEV.2016'!A:B,2,0),IF(H291="Sinapi",VLOOKUP(I291,'SINAPI-FEV.2017'!A:D,2,0),IF(H291="Cotação",VLOOKUP(I291,COTAÇÃO!A:D,2,0),IF(H291="Composição",VLOOKUP(I291,COMPOSIÇÃO!A:D,2,0))))))</f>
        <v>FORNECIMENTO E LANCAMENTO DE PEDRA DE MAO</v>
      </c>
      <c r="L291" s="700" t="str">
        <f>(IF(H291="Saneago",VLOOKUP(I291,'SANEAGO-FEV.2016'!A:D,3,0),IF(H291="Sinapi",VLOOKUP(I291,'SINAPI-FEV.2017'!A:D,3,0),IF(H291="Cotação",VLOOKUP(I291,COTAÇÃO!A:D,3,0),IF(H291="Composição",VLOOKUP(I291,COMPOSIÇÃO!A:D,3,0))))))</f>
        <v>M3</v>
      </c>
      <c r="M291" s="870">
        <f>ROUND(VLOOKUP(G291,MC_INTERCEPTORES!C:P,13,0),2)</f>
        <v>384.33</v>
      </c>
      <c r="N291" s="399">
        <v>0</v>
      </c>
      <c r="O291" s="102">
        <f>ROUND(IF(F291="Serviços",N291*(1+$O$7),IF(F291="Materiais",N291*(1+$O$8))),2)</f>
        <v>0</v>
      </c>
      <c r="P291" s="101">
        <f>ROUND(M291*O291,2)</f>
        <v>0</v>
      </c>
      <c r="Q291" s="1507">
        <v>384.33</v>
      </c>
      <c r="R291" s="1525"/>
      <c r="S291" s="1521"/>
      <c r="V291" s="1325"/>
      <c r="W291" s="1325"/>
      <c r="X291" s="1325"/>
    </row>
    <row r="292" spans="1:24" s="863" customFormat="1" ht="12.75">
      <c r="A292" s="1482"/>
      <c r="B292" s="1482"/>
      <c r="C292" s="1483">
        <f t="shared" si="4"/>
        <v>5</v>
      </c>
      <c r="D292" s="1492">
        <f t="shared" si="39"/>
        <v>1</v>
      </c>
      <c r="E292" s="1492">
        <f t="shared" si="40"/>
        <v>5</v>
      </c>
      <c r="F292" s="1526" t="s">
        <v>11708</v>
      </c>
      <c r="G292" s="862" t="s">
        <v>14111</v>
      </c>
      <c r="H292" s="823" t="str">
        <f>VLOOKUP(G292,MC_INTERCEPTORES!C:P,2,0)</f>
        <v>SANEAGO</v>
      </c>
      <c r="I292" s="700">
        <f>VLOOKUP(G292,MC_INTERCEPTORES!C:P,3,0)</f>
        <v>231</v>
      </c>
      <c r="J292" s="824"/>
      <c r="K292" s="790" t="str">
        <f>(IF(H292="Saneago",VLOOKUP(I292,'SANEAGO-FEV.2016'!A:B,2,0),IF(H292="Sinapi",VLOOKUP(I292,'SINAPI-FEV.2017'!A:D,2,0),IF(H292="Cotação",VLOOKUP(I292,COTAÇÃO!A:D,2,0),IF(H292="Composição",VLOOKUP(I292,COMPOSIÇÃO!A:D,2,0))))))</f>
        <v>LASTRO DE BRITA</v>
      </c>
      <c r="L292" s="700" t="str">
        <f>(IF(H292="Saneago",VLOOKUP(I292,'SANEAGO-FEV.2016'!A:D,3,0),IF(H292="Sinapi",VLOOKUP(I292,'SINAPI-FEV.2017'!A:D,3,0),IF(H292="Cotação",VLOOKUP(I292,COTAÇÃO!A:D,3,0),IF(H292="Composição",VLOOKUP(I292,COMPOSIÇÃO!A:D,3,0))))))</f>
        <v>M3</v>
      </c>
      <c r="M292" s="870">
        <f>ROUND(VLOOKUP(G292,MC_INTERCEPTORES!C:P,13,0),2)</f>
        <v>192.17</v>
      </c>
      <c r="N292" s="399">
        <v>0</v>
      </c>
      <c r="O292" s="102">
        <f>ROUND(IF(F292="Serviços",N292*(1+$O$7),IF(F292="Materiais",N292*(1+$O$8))),2)</f>
        <v>0</v>
      </c>
      <c r="P292" s="101">
        <f>ROUND(M292*O292,2)</f>
        <v>0</v>
      </c>
      <c r="Q292" s="1507">
        <v>192.17</v>
      </c>
      <c r="R292" s="1525"/>
      <c r="S292" s="1521"/>
      <c r="V292" s="1325"/>
      <c r="W292" s="1325"/>
      <c r="X292" s="1325"/>
    </row>
    <row r="293" spans="1:24" s="863" customFormat="1" ht="13.5" thickBot="1">
      <c r="A293" s="1482"/>
      <c r="B293" s="1482"/>
      <c r="C293" s="1483">
        <f t="shared" si="4"/>
        <v>5</v>
      </c>
      <c r="D293" s="1492">
        <f t="shared" si="39"/>
        <v>1</v>
      </c>
      <c r="E293" s="1492">
        <f t="shared" si="40"/>
        <v>5</v>
      </c>
      <c r="F293" s="1526" t="s">
        <v>11708</v>
      </c>
      <c r="G293" s="905"/>
      <c r="H293" s="823"/>
      <c r="I293" s="700"/>
      <c r="J293" s="824"/>
      <c r="K293" s="700"/>
      <c r="L293" s="700"/>
      <c r="M293" s="870"/>
      <c r="N293" s="399"/>
      <c r="O293" s="344"/>
      <c r="P293" s="342"/>
      <c r="Q293" s="1507"/>
      <c r="R293" s="1525"/>
      <c r="S293" s="1521"/>
      <c r="V293" s="1325"/>
      <c r="W293" s="1325"/>
      <c r="X293" s="1325"/>
    </row>
    <row r="294" spans="1:24" s="863" customFormat="1" ht="14.25" customHeight="1" thickTop="1" thickBot="1">
      <c r="A294" s="1482"/>
      <c r="B294" s="1482"/>
      <c r="C294" s="1483">
        <f t="shared" si="4"/>
        <v>5</v>
      </c>
      <c r="D294" s="1492">
        <f t="shared" si="39"/>
        <v>1</v>
      </c>
      <c r="E294" s="1492">
        <f t="shared" si="40"/>
        <v>5</v>
      </c>
      <c r="F294" s="1526" t="s">
        <v>11708</v>
      </c>
      <c r="G294" s="862"/>
      <c r="H294" s="1653" t="str">
        <f>"TOTAL ITEM: "&amp;J289 &amp;K289</f>
        <v>TOTAL ITEM: 5.1.5REFORÇO DO FUNDO DE VALA</v>
      </c>
      <c r="I294" s="1654"/>
      <c r="J294" s="1654"/>
      <c r="K294" s="1654"/>
      <c r="L294" s="1654"/>
      <c r="M294" s="1654"/>
      <c r="N294" s="1654"/>
      <c r="O294" s="1654"/>
      <c r="P294" s="343">
        <f>SUBTOTAL(9,P291:P292)</f>
        <v>0</v>
      </c>
      <c r="Q294" s="1507"/>
      <c r="R294" s="1525"/>
      <c r="S294" s="1521"/>
      <c r="V294" s="1325"/>
      <c r="W294" s="1325"/>
      <c r="X294" s="1325"/>
    </row>
    <row r="295" spans="1:24" s="863" customFormat="1" ht="13.5" thickTop="1">
      <c r="A295" s="1482"/>
      <c r="B295" s="1482"/>
      <c r="C295" s="1483">
        <f t="shared" si="4"/>
        <v>5</v>
      </c>
      <c r="D295" s="1492">
        <f t="shared" si="39"/>
        <v>1</v>
      </c>
      <c r="E295" s="1492">
        <f t="shared" si="40"/>
        <v>5</v>
      </c>
      <c r="F295" s="1526" t="s">
        <v>11708</v>
      </c>
      <c r="G295" s="862"/>
      <c r="H295" s="823"/>
      <c r="I295" s="700"/>
      <c r="J295" s="824"/>
      <c r="K295" s="700"/>
      <c r="L295" s="700"/>
      <c r="M295" s="870"/>
      <c r="N295" s="399"/>
      <c r="O295" s="344"/>
      <c r="P295" s="342"/>
      <c r="Q295" s="1507"/>
      <c r="R295" s="1525"/>
      <c r="S295" s="1521"/>
      <c r="V295" s="1325"/>
      <c r="W295" s="1325"/>
      <c r="X295" s="1325"/>
    </row>
    <row r="296" spans="1:24" s="863" customFormat="1" ht="12.75">
      <c r="A296" s="1482"/>
      <c r="B296" s="1482">
        <v>1</v>
      </c>
      <c r="C296" s="1483">
        <f t="shared" si="4"/>
        <v>5</v>
      </c>
      <c r="D296" s="1492">
        <f t="shared" si="39"/>
        <v>1</v>
      </c>
      <c r="E296" s="1492">
        <f t="shared" si="40"/>
        <v>6</v>
      </c>
      <c r="F296" s="1526" t="s">
        <v>11708</v>
      </c>
      <c r="G296" s="862"/>
      <c r="H296" s="1527" t="s">
        <v>11703</v>
      </c>
      <c r="I296" s="1528" t="s">
        <v>64</v>
      </c>
      <c r="J296" s="1529" t="str">
        <f>CONCATENATE(C296,".",D296,".",E296)</f>
        <v>5.1.6</v>
      </c>
      <c r="K296" s="1530" t="s">
        <v>13981</v>
      </c>
      <c r="L296" s="1531" t="s">
        <v>25</v>
      </c>
      <c r="M296" s="1532" t="s">
        <v>11704</v>
      </c>
      <c r="N296" s="586" t="s">
        <v>11705</v>
      </c>
      <c r="O296" s="587" t="s">
        <v>11706</v>
      </c>
      <c r="P296" s="588" t="s">
        <v>27</v>
      </c>
      <c r="Q296" s="1507" t="s">
        <v>11704</v>
      </c>
      <c r="R296" s="1525"/>
      <c r="S296" s="1521"/>
      <c r="V296" s="1325"/>
      <c r="W296" s="1325"/>
      <c r="X296" s="1325"/>
    </row>
    <row r="297" spans="1:24" s="863" customFormat="1" ht="12.75">
      <c r="A297" s="1482"/>
      <c r="B297" s="1482"/>
      <c r="C297" s="1483">
        <f t="shared" si="4"/>
        <v>5</v>
      </c>
      <c r="D297" s="1492">
        <f t="shared" si="39"/>
        <v>1</v>
      </c>
      <c r="E297" s="1492">
        <f t="shared" si="40"/>
        <v>6</v>
      </c>
      <c r="F297" s="1526" t="s">
        <v>11708</v>
      </c>
      <c r="G297" s="862"/>
      <c r="H297" s="823"/>
      <c r="I297" s="700"/>
      <c r="J297" s="824"/>
      <c r="K297" s="700"/>
      <c r="L297" s="700"/>
      <c r="M297" s="870"/>
      <c r="N297" s="399"/>
      <c r="O297" s="344"/>
      <c r="P297" s="342"/>
      <c r="Q297" s="1507"/>
      <c r="R297" s="1525"/>
      <c r="S297" s="1521"/>
      <c r="V297" s="1325"/>
      <c r="W297" s="1325"/>
      <c r="X297" s="1325"/>
    </row>
    <row r="298" spans="1:24" s="863" customFormat="1" ht="33.75">
      <c r="A298" s="1482"/>
      <c r="B298" s="1482"/>
      <c r="C298" s="1483">
        <f t="shared" si="4"/>
        <v>5</v>
      </c>
      <c r="D298" s="1492">
        <f t="shared" si="39"/>
        <v>1</v>
      </c>
      <c r="E298" s="1492">
        <f t="shared" si="40"/>
        <v>6</v>
      </c>
      <c r="F298" s="1526" t="s">
        <v>11708</v>
      </c>
      <c r="G298" s="862" t="s">
        <v>20310</v>
      </c>
      <c r="H298" s="823" t="str">
        <f>VLOOKUP(G298,MC_INTERCEPTORES!C:P,2,0)</f>
        <v>SINAPI</v>
      </c>
      <c r="I298" s="700" t="str">
        <f>VLOOKUP(G298,MC_INTERCEPTORES!C:P,3,0)</f>
        <v>74010/1</v>
      </c>
      <c r="J298" s="824"/>
      <c r="K298" s="790" t="str">
        <f>(IF(H298="Saneago",VLOOKUP(I298,'SANEAGO-FEV.2016'!A:B,2,0),IF(H298="Sinapi",VLOOKUP(I298,'SINAPI-FEV.2017'!A:D,2,0),IF(H298="Cotação",VLOOKUP(I298,COTAÇÃO!A:D,2,0),IF(H298="Composição",VLOOKUP(I298,COMPOSIÇÃO!A:D,2,0))))))</f>
        <v>CARGA E DESCARGA MECANICA DE SOLO UTILIZANDO CAMINHAO BASCULANTE 6,0M3/16T E PA CARREGADEIRA SOBRE PNEUS 128 HP, CAPACIDADE DA CAÇAMBA 1,7 A 2,8 M3, PESO OPERACIONAL 11632 KG</v>
      </c>
      <c r="L298" s="700" t="str">
        <f>(IF(H298="Saneago",VLOOKUP(I298,'SANEAGO-FEV.2016'!A:D,3,0),IF(H298="Sinapi",VLOOKUP(I298,'SINAPI-FEV.2017'!A:D,3,0),IF(H298="Cotação",VLOOKUP(I298,COTAÇÃO!A:D,3,0),IF(H298="Composição",VLOOKUP(I298,COMPOSIÇÃO!A:D,3,0))))))</f>
        <v>M3</v>
      </c>
      <c r="M298" s="870">
        <f>ROUND(VLOOKUP(G298,MC_INTERCEPTORES!C:P,13,0),2)</f>
        <v>271.8</v>
      </c>
      <c r="N298" s="399">
        <v>0</v>
      </c>
      <c r="O298" s="102">
        <f>ROUND(IF(F298="Serviços",N298*(1+$O$7),IF(F298="Materiais",N298*(1+$O$8))),2)</f>
        <v>0</v>
      </c>
      <c r="P298" s="101">
        <f>ROUND(M298*O298,2)</f>
        <v>0</v>
      </c>
      <c r="Q298" s="1507">
        <v>271.8</v>
      </c>
      <c r="R298" s="1525"/>
      <c r="S298" s="1521"/>
      <c r="V298" s="1325"/>
      <c r="W298" s="1325"/>
      <c r="X298" s="1325"/>
    </row>
    <row r="299" spans="1:24" s="863" customFormat="1" ht="22.5">
      <c r="A299" s="1482"/>
      <c r="B299" s="1482"/>
      <c r="C299" s="1483">
        <f t="shared" si="4"/>
        <v>5</v>
      </c>
      <c r="D299" s="1492">
        <f t="shared" si="39"/>
        <v>1</v>
      </c>
      <c r="E299" s="1492">
        <f t="shared" si="40"/>
        <v>6</v>
      </c>
      <c r="F299" s="1526" t="s">
        <v>11708</v>
      </c>
      <c r="G299" s="862" t="s">
        <v>14101</v>
      </c>
      <c r="H299" s="823" t="str">
        <f>VLOOKUP(G299,MC_INTERCEPTORES!C:P,2,0)</f>
        <v>SINAPI</v>
      </c>
      <c r="I299" s="700">
        <f>VLOOKUP(G299,MC_INTERCEPTORES!C:P,3,0)</f>
        <v>93590</v>
      </c>
      <c r="J299" s="824"/>
      <c r="K299" s="790" t="str">
        <f>(IF(H299="Saneago",VLOOKUP(I299,'SANEAGO-FEV.2016'!A:B,2,0),IF(H299="Sinapi",VLOOKUP(I299,'SINAPI-FEV.2017'!A:D,2,0),IF(H299="Cotação",VLOOKUP(I299,COTAÇÃO!A:D,2,0),IF(H299="Composição",VLOOKUP(I299,COMPOSIÇÃO!A:D,2,0))))))</f>
        <v>TRANSPORTE COM CAMINHÃO BASCULANTE DE 10 M3, EM VIA URBANA PAVIMENTADA, DMT ACIMA DE 30KM (UNIDADE: M3XKM). AF_04/2016</v>
      </c>
      <c r="L299" s="700" t="str">
        <f>(IF(H299="Saneago",VLOOKUP(I299,'SANEAGO-FEV.2016'!A:D,3,0),IF(H299="Sinapi",VLOOKUP(I299,'SINAPI-FEV.2017'!A:D,3,0),IF(H299="Cotação",VLOOKUP(I299,COTAÇÃO!A:D,3,0),IF(H299="Composição",VLOOKUP(I299,COMPOSIÇÃO!A:D,3,0))))))</f>
        <v>M3XKM</v>
      </c>
      <c r="M299" s="870">
        <f>ROUND(VLOOKUP(G299,MC_INTERCEPTORES!C:P,13,0),2)</f>
        <v>1978.23</v>
      </c>
      <c r="N299" s="399">
        <v>0</v>
      </c>
      <c r="O299" s="102">
        <f>ROUND(IF(F299="Serviços",N299*(1+$O$7),IF(F299="Materiais",N299*(1+$O$8))),2)</f>
        <v>0</v>
      </c>
      <c r="P299" s="101">
        <f>ROUND(M299*O299,2)</f>
        <v>0</v>
      </c>
      <c r="Q299" s="1507">
        <v>1978.23</v>
      </c>
      <c r="R299" s="1525"/>
      <c r="S299" s="1521"/>
      <c r="V299" s="1325"/>
      <c r="W299" s="1325"/>
      <c r="X299" s="1325"/>
    </row>
    <row r="300" spans="1:24" s="863" customFormat="1" ht="22.5">
      <c r="A300" s="1482"/>
      <c r="B300" s="1482"/>
      <c r="C300" s="1483">
        <f t="shared" si="4"/>
        <v>5</v>
      </c>
      <c r="D300" s="1492">
        <f t="shared" si="39"/>
        <v>1</v>
      </c>
      <c r="E300" s="1492">
        <f t="shared" si="40"/>
        <v>6</v>
      </c>
      <c r="F300" s="1526" t="s">
        <v>11708</v>
      </c>
      <c r="G300" s="862" t="s">
        <v>14102</v>
      </c>
      <c r="H300" s="823" t="str">
        <f>VLOOKUP(G300,MC_INTERCEPTORES!C:P,2,0)</f>
        <v>SINAPI</v>
      </c>
      <c r="I300" s="700">
        <f>VLOOKUP(G300,MC_INTERCEPTORES!C:P,3,0)</f>
        <v>83344</v>
      </c>
      <c r="J300" s="824"/>
      <c r="K300" s="790" t="str">
        <f>(IF(H300="Saneago",VLOOKUP(I300,'SANEAGO-FEV.2016'!A:B,2,0),IF(H300="Sinapi",VLOOKUP(I300,'SINAPI-FEV.2017'!A:D,2,0),IF(H300="Cotação",VLOOKUP(I300,COTAÇÃO!A:D,2,0),IF(H300="Composição",VLOOKUP(I300,COMPOSIÇÃO!A:D,2,0))))))</f>
        <v>ESPALHAMENTO DE MATERIAL EM BOTA FORA, COM UTILIZACAO DE TRATOR DE ESTEIRAS DE 165 HP</v>
      </c>
      <c r="L300" s="700" t="str">
        <f>(IF(H300="Saneago",VLOOKUP(I300,'SANEAGO-FEV.2016'!A:D,3,0),IF(H300="Sinapi",VLOOKUP(I300,'SINAPI-FEV.2017'!A:D,3,0),IF(H300="Cotação",VLOOKUP(I300,COTAÇÃO!A:D,3,0),IF(H300="Composição",VLOOKUP(I300,COMPOSIÇÃO!A:D,3,0))))))</f>
        <v>M3</v>
      </c>
      <c r="M300" s="870">
        <f>ROUND(VLOOKUP(G300,MC_INTERCEPTORES!C:P,13,0),2)</f>
        <v>271.8</v>
      </c>
      <c r="N300" s="399">
        <v>0</v>
      </c>
      <c r="O300" s="102">
        <f>ROUND(IF(F300="Serviços",N300*(1+$O$7),IF(F300="Materiais",N300*(1+$O$8))),2)</f>
        <v>0</v>
      </c>
      <c r="P300" s="101">
        <f>ROUND(M300*O300,2)</f>
        <v>0</v>
      </c>
      <c r="Q300" s="1507">
        <v>271.8</v>
      </c>
      <c r="R300" s="1525"/>
      <c r="S300" s="1521"/>
      <c r="V300" s="1325"/>
      <c r="W300" s="1325"/>
      <c r="X300" s="1325"/>
    </row>
    <row r="301" spans="1:24" s="863" customFormat="1" ht="13.5" thickBot="1">
      <c r="A301" s="1482"/>
      <c r="B301" s="1482"/>
      <c r="C301" s="1483">
        <f t="shared" si="4"/>
        <v>5</v>
      </c>
      <c r="D301" s="1492">
        <f t="shared" si="39"/>
        <v>1</v>
      </c>
      <c r="E301" s="1492">
        <f t="shared" si="40"/>
        <v>6</v>
      </c>
      <c r="F301" s="1526" t="s">
        <v>11708</v>
      </c>
      <c r="G301" s="905"/>
      <c r="H301" s="823"/>
      <c r="I301" s="700"/>
      <c r="J301" s="824"/>
      <c r="K301" s="700"/>
      <c r="L301" s="700"/>
      <c r="M301" s="870"/>
      <c r="N301" s="399"/>
      <c r="O301" s="344"/>
      <c r="P301" s="342"/>
      <c r="Q301" s="1507"/>
      <c r="R301" s="1525"/>
      <c r="S301" s="1521"/>
      <c r="V301" s="1325"/>
      <c r="W301" s="1325"/>
      <c r="X301" s="1325"/>
    </row>
    <row r="302" spans="1:24" s="863" customFormat="1" ht="14.25" customHeight="1" thickTop="1" thickBot="1">
      <c r="A302" s="1482"/>
      <c r="B302" s="1482"/>
      <c r="C302" s="1483">
        <f t="shared" si="4"/>
        <v>5</v>
      </c>
      <c r="D302" s="1492">
        <f t="shared" si="39"/>
        <v>1</v>
      </c>
      <c r="E302" s="1492">
        <f t="shared" si="40"/>
        <v>6</v>
      </c>
      <c r="F302" s="1526" t="s">
        <v>11708</v>
      </c>
      <c r="G302" s="862"/>
      <c r="H302" s="1653" t="str">
        <f>"TOTAL ITEM: "&amp;J296 &amp;K296</f>
        <v>TOTAL ITEM: 5.1.6CARGA, TRANSPORTES E DESCARGA DE MATERIAL (BOTA-FORA)</v>
      </c>
      <c r="I302" s="1654"/>
      <c r="J302" s="1654"/>
      <c r="K302" s="1654"/>
      <c r="L302" s="1654"/>
      <c r="M302" s="1654"/>
      <c r="N302" s="1654"/>
      <c r="O302" s="1654"/>
      <c r="P302" s="343">
        <f>SUBTOTAL(9,P298:P300)</f>
        <v>0</v>
      </c>
      <c r="Q302" s="1507"/>
      <c r="R302" s="1525"/>
      <c r="S302" s="1521"/>
      <c r="V302" s="1325"/>
      <c r="W302" s="1325"/>
      <c r="X302" s="1325"/>
    </row>
    <row r="303" spans="1:24" s="863" customFormat="1" ht="13.5" thickTop="1">
      <c r="A303" s="1482"/>
      <c r="B303" s="1482"/>
      <c r="C303" s="1483">
        <f t="shared" si="4"/>
        <v>5</v>
      </c>
      <c r="D303" s="1492">
        <f t="shared" si="39"/>
        <v>1</v>
      </c>
      <c r="E303" s="1492">
        <f t="shared" si="40"/>
        <v>6</v>
      </c>
      <c r="F303" s="1526" t="s">
        <v>11708</v>
      </c>
      <c r="G303" s="862"/>
      <c r="H303" s="823"/>
      <c r="I303" s="700"/>
      <c r="J303" s="824"/>
      <c r="K303" s="700"/>
      <c r="L303" s="700"/>
      <c r="M303" s="870"/>
      <c r="N303" s="399"/>
      <c r="O303" s="344"/>
      <c r="P303" s="342"/>
      <c r="Q303" s="1507"/>
      <c r="R303" s="1525"/>
      <c r="S303" s="1521"/>
      <c r="V303" s="1325"/>
      <c r="W303" s="1325"/>
      <c r="X303" s="1325"/>
    </row>
    <row r="304" spans="1:24" s="863" customFormat="1" ht="12.75">
      <c r="A304" s="1482"/>
      <c r="B304" s="1482">
        <v>1</v>
      </c>
      <c r="C304" s="1483">
        <f t="shared" si="4"/>
        <v>5</v>
      </c>
      <c r="D304" s="1492">
        <f t="shared" si="39"/>
        <v>1</v>
      </c>
      <c r="E304" s="1492">
        <f t="shared" si="40"/>
        <v>7</v>
      </c>
      <c r="F304" s="1526" t="s">
        <v>11708</v>
      </c>
      <c r="G304" s="862"/>
      <c r="H304" s="1527" t="s">
        <v>11703</v>
      </c>
      <c r="I304" s="1528" t="s">
        <v>64</v>
      </c>
      <c r="J304" s="1529" t="str">
        <f>CONCATENATE(C304,".",D304,".",E304)</f>
        <v>5.1.7</v>
      </c>
      <c r="K304" s="1530" t="s">
        <v>14043</v>
      </c>
      <c r="L304" s="1531" t="s">
        <v>25</v>
      </c>
      <c r="M304" s="1532" t="s">
        <v>11704</v>
      </c>
      <c r="N304" s="586" t="s">
        <v>11705</v>
      </c>
      <c r="O304" s="587" t="s">
        <v>11706</v>
      </c>
      <c r="P304" s="588" t="s">
        <v>27</v>
      </c>
      <c r="Q304" s="1507" t="s">
        <v>11704</v>
      </c>
      <c r="R304" s="1525"/>
      <c r="S304" s="1521"/>
      <c r="V304" s="1325"/>
      <c r="W304" s="1325"/>
      <c r="X304" s="1325"/>
    </row>
    <row r="305" spans="1:24" s="863" customFormat="1" ht="12.75">
      <c r="A305" s="1482"/>
      <c r="B305" s="1482"/>
      <c r="C305" s="1483">
        <f t="shared" si="4"/>
        <v>5</v>
      </c>
      <c r="D305" s="1492">
        <f t="shared" ref="D305:D370" si="45">D304+A305</f>
        <v>1</v>
      </c>
      <c r="E305" s="1492">
        <f t="shared" ref="E305:E370" si="46">E304+B305</f>
        <v>7</v>
      </c>
      <c r="F305" s="1526" t="s">
        <v>11708</v>
      </c>
      <c r="G305" s="862"/>
      <c r="H305" s="823"/>
      <c r="I305" s="700"/>
      <c r="J305" s="824"/>
      <c r="K305" s="700"/>
      <c r="L305" s="700"/>
      <c r="M305" s="870"/>
      <c r="N305" s="399"/>
      <c r="O305" s="344"/>
      <c r="P305" s="342"/>
      <c r="Q305" s="1507"/>
      <c r="R305" s="1525"/>
      <c r="S305" s="1521"/>
      <c r="V305" s="1325"/>
      <c r="W305" s="1325"/>
      <c r="X305" s="1325"/>
    </row>
    <row r="306" spans="1:24" s="863" customFormat="1" ht="12.75">
      <c r="A306" s="1482"/>
      <c r="B306" s="1482"/>
      <c r="C306" s="1483">
        <f t="shared" si="4"/>
        <v>5</v>
      </c>
      <c r="D306" s="1492">
        <f t="shared" si="45"/>
        <v>1</v>
      </c>
      <c r="E306" s="1492">
        <f t="shared" si="46"/>
        <v>7</v>
      </c>
      <c r="F306" s="1526" t="s">
        <v>11708</v>
      </c>
      <c r="G306" s="862" t="s">
        <v>14103</v>
      </c>
      <c r="H306" s="823" t="str">
        <f>VLOOKUP(G306,MC_INTERCEPTORES!C:P,2,0)</f>
        <v>SANEAGO</v>
      </c>
      <c r="I306" s="700">
        <f>VLOOKUP(G306,MC_INTERCEPTORES!C:P,3,0)</f>
        <v>232</v>
      </c>
      <c r="J306" s="824"/>
      <c r="K306" s="790" t="str">
        <f>(IF(H306="Saneago",VLOOKUP(I306,'SANEAGO-FEV.2016'!A:B,2,0),IF(H306="Sinapi",VLOOKUP(I306,'SINAPI-FEV.2017'!A:D,2,0),IF(H306="Cotação",VLOOKUP(I306,COTAÇÃO!A:D,2,0),IF(H306="Composição",VLOOKUP(I306,COMPOSIÇÃO!A:D,2,0))))))</f>
        <v>AQUISIÇÃO  DE MATERIAL DE JAZIDA</v>
      </c>
      <c r="L306" s="700" t="str">
        <f>(IF(H306="Saneago",VLOOKUP(I306,'SANEAGO-FEV.2016'!A:D,3,0),IF(H306="Sinapi",VLOOKUP(I306,'SINAPI-FEV.2017'!A:D,3,0),IF(H306="Cotação",VLOOKUP(I306,COTAÇÃO!A:D,3,0),IF(H306="Composição",VLOOKUP(I306,COMPOSIÇÃO!A:D,3,0))))))</f>
        <v>M3</v>
      </c>
      <c r="M306" s="870">
        <f>ROUND(VLOOKUP(G306,MC_INTERCEPTORES!C:P,13,0),2)</f>
        <v>123.84</v>
      </c>
      <c r="N306" s="399">
        <v>0</v>
      </c>
      <c r="O306" s="102">
        <f>ROUND(IF(F306="Serviços",N306*(1+$O$7),IF(F306="Materiais",N306*(1+$O$8))),2)</f>
        <v>0</v>
      </c>
      <c r="P306" s="101">
        <f>ROUND(M306*O306,2)</f>
        <v>0</v>
      </c>
      <c r="Q306" s="1507">
        <v>123.84</v>
      </c>
      <c r="R306" s="1525"/>
      <c r="S306" s="1521"/>
      <c r="V306" s="1325"/>
      <c r="W306" s="1325"/>
      <c r="X306" s="1325"/>
    </row>
    <row r="307" spans="1:24" s="863" customFormat="1" ht="22.5">
      <c r="A307" s="1482"/>
      <c r="B307" s="1482"/>
      <c r="C307" s="1483">
        <f t="shared" si="4"/>
        <v>5</v>
      </c>
      <c r="D307" s="1492">
        <f t="shared" si="45"/>
        <v>1</v>
      </c>
      <c r="E307" s="1492">
        <f t="shared" si="46"/>
        <v>7</v>
      </c>
      <c r="F307" s="1526" t="s">
        <v>11708</v>
      </c>
      <c r="G307" s="862" t="s">
        <v>14104</v>
      </c>
      <c r="H307" s="823" t="str">
        <f>VLOOKUP(G307,MC_INTERCEPTORES!C:P,2,0)</f>
        <v>SANEAGO</v>
      </c>
      <c r="I307" s="700">
        <f>VLOOKUP(G307,MC_INTERCEPTORES!C:P,3,0)</f>
        <v>233</v>
      </c>
      <c r="J307" s="824"/>
      <c r="K307" s="790" t="str">
        <f>(IF(H307="Saneago",VLOOKUP(I307,'SANEAGO-FEV.2016'!A:B,2,0),IF(H307="Sinapi",VLOOKUP(I307,'SINAPI-FEV.2017'!A:D,2,0),IF(H307="Cotação",VLOOKUP(I307,COTAÇÃO!A:D,2,0),IF(H307="Composição",VLOOKUP(I307,COMPOSIÇÃO!A:D,2,0))))))</f>
        <v>ESCAVAÇÃO  E CARGA DE MATERIAL DE JAZIDA (COM TRATOR E PÁ CARREGADEIRA)</v>
      </c>
      <c r="L307" s="700" t="str">
        <f>(IF(H307="Saneago",VLOOKUP(I307,'SANEAGO-FEV.2016'!A:D,3,0),IF(H307="Sinapi",VLOOKUP(I307,'SINAPI-FEV.2017'!A:D,3,0),IF(H307="Cotação",VLOOKUP(I307,COTAÇÃO!A:D,3,0),IF(H307="Composição",VLOOKUP(I307,COMPOSIÇÃO!A:D,3,0))))))</f>
        <v>M3</v>
      </c>
      <c r="M307" s="870">
        <f>ROUND(VLOOKUP(G307,MC_INTERCEPTORES!C:P,13,0),2)</f>
        <v>123.84</v>
      </c>
      <c r="N307" s="399">
        <v>0</v>
      </c>
      <c r="O307" s="102">
        <f>ROUND(IF(F307="Serviços",N307*(1+$O$7),IF(F307="Materiais",N307*(1+$O$8))),2)</f>
        <v>0</v>
      </c>
      <c r="P307" s="101">
        <f>ROUND(M307*O307,2)</f>
        <v>0</v>
      </c>
      <c r="Q307" s="1507">
        <v>123.84</v>
      </c>
      <c r="R307" s="1525"/>
      <c r="S307" s="1521"/>
      <c r="V307" s="1325"/>
      <c r="W307" s="1325"/>
      <c r="X307" s="1325"/>
    </row>
    <row r="308" spans="1:24" s="863" customFormat="1" ht="22.5">
      <c r="A308" s="1482"/>
      <c r="B308" s="1482"/>
      <c r="C308" s="1483">
        <f t="shared" si="4"/>
        <v>5</v>
      </c>
      <c r="D308" s="1492">
        <f t="shared" si="45"/>
        <v>1</v>
      </c>
      <c r="E308" s="1492">
        <f t="shared" si="46"/>
        <v>7</v>
      </c>
      <c r="F308" s="1526" t="s">
        <v>11708</v>
      </c>
      <c r="G308" s="862" t="s">
        <v>14105</v>
      </c>
      <c r="H308" s="823" t="str">
        <f>VLOOKUP(G308,MC_INTERCEPTORES!C:P,2,0)</f>
        <v>SANEAGO</v>
      </c>
      <c r="I308" s="700">
        <f>VLOOKUP(G308,MC_INTERCEPTORES!C:P,3,0)</f>
        <v>246</v>
      </c>
      <c r="J308" s="824"/>
      <c r="K308" s="790" t="str">
        <f>(IF(H308="Saneago",VLOOKUP(I308,'SANEAGO-FEV.2016'!A:B,2,0),IF(H308="Sinapi",VLOOKUP(I308,'SINAPI-FEV.2017'!A:D,2,0),IF(H308="Cotação",VLOOKUP(I308,COTAÇÃO!A:D,2,0),IF(H308="Composição",VLOOKUP(I308,COMPOSIÇÃO!A:D,2,0))))))</f>
        <v>TRANSPORTE E DESCARGA  DE MATERIAL DE 1ª OU 2ª CATEGORIA  (M3 X KM) - EM CAMINHÃO  BASCULANTE CAP. 6 M3 - COM EMPOLAMENTO</v>
      </c>
      <c r="L308" s="700" t="str">
        <f>(IF(H308="Saneago",VLOOKUP(I308,'SANEAGO-FEV.2016'!A:D,3,0),IF(H308="Sinapi",VLOOKUP(I308,'SINAPI-FEV.2017'!A:D,3,0),IF(H308="Cotação",VLOOKUP(I308,COTAÇÃO!A:D,3,0),IF(H308="Composição",VLOOKUP(I308,COMPOSIÇÃO!A:D,3,0))))))</f>
        <v>M3XKM</v>
      </c>
      <c r="M308" s="870">
        <f>ROUND(VLOOKUP(G308,MC_INTERCEPTORES!C:P,13,0),2)</f>
        <v>570.64</v>
      </c>
      <c r="N308" s="399">
        <v>0</v>
      </c>
      <c r="O308" s="102">
        <f>ROUND(IF(F308="Serviços",N308*(1+$O$7),IF(F308="Materiais",N308*(1+$O$8))),2)</f>
        <v>0</v>
      </c>
      <c r="P308" s="101">
        <f>ROUND(M308*O308,2)</f>
        <v>0</v>
      </c>
      <c r="Q308" s="1507">
        <v>570.64</v>
      </c>
      <c r="R308" s="1525"/>
      <c r="S308" s="1521"/>
      <c r="V308" s="1325"/>
      <c r="W308" s="1325"/>
      <c r="X308" s="1325"/>
    </row>
    <row r="309" spans="1:24" s="863" customFormat="1" ht="13.5" thickBot="1">
      <c r="A309" s="1482"/>
      <c r="B309" s="1482"/>
      <c r="C309" s="1483">
        <f t="shared" si="4"/>
        <v>5</v>
      </c>
      <c r="D309" s="1492">
        <f t="shared" si="45"/>
        <v>1</v>
      </c>
      <c r="E309" s="1492">
        <f t="shared" si="46"/>
        <v>7</v>
      </c>
      <c r="F309" s="1526" t="s">
        <v>11708</v>
      </c>
      <c r="G309" s="862"/>
      <c r="H309" s="823"/>
      <c r="I309" s="700"/>
      <c r="J309" s="824"/>
      <c r="K309" s="700"/>
      <c r="L309" s="700"/>
      <c r="M309" s="870"/>
      <c r="N309" s="399"/>
      <c r="O309" s="344"/>
      <c r="P309" s="342"/>
      <c r="Q309" s="1507"/>
      <c r="R309" s="1525"/>
      <c r="S309" s="1521"/>
      <c r="V309" s="1325"/>
      <c r="W309" s="1325"/>
      <c r="X309" s="1325"/>
    </row>
    <row r="310" spans="1:24" s="863" customFormat="1" ht="14.25" customHeight="1" thickTop="1" thickBot="1">
      <c r="A310" s="1482"/>
      <c r="B310" s="1482"/>
      <c r="C310" s="1483">
        <f t="shared" si="4"/>
        <v>5</v>
      </c>
      <c r="D310" s="1492">
        <f t="shared" si="45"/>
        <v>1</v>
      </c>
      <c r="E310" s="1492">
        <f t="shared" si="46"/>
        <v>7</v>
      </c>
      <c r="F310" s="1526" t="s">
        <v>11708</v>
      </c>
      <c r="G310" s="862"/>
      <c r="H310" s="1653" t="str">
        <f>"TOTAL ITEM: "&amp;J304 &amp;K304</f>
        <v>TOTAL ITEM: 5.1.7 CARGA, TRANSPORTES E DESCARGA DE MATERIAL (JAZIDA)</v>
      </c>
      <c r="I310" s="1654"/>
      <c r="J310" s="1654"/>
      <c r="K310" s="1654"/>
      <c r="L310" s="1654"/>
      <c r="M310" s="1654"/>
      <c r="N310" s="1654"/>
      <c r="O310" s="1654"/>
      <c r="P310" s="343">
        <f>SUBTOTAL(9,P306:P308)</f>
        <v>0</v>
      </c>
      <c r="Q310" s="1507"/>
      <c r="R310" s="1525"/>
      <c r="S310" s="1521"/>
      <c r="V310" s="1325"/>
      <c r="W310" s="1325"/>
      <c r="X310" s="1325"/>
    </row>
    <row r="311" spans="1:24" s="863" customFormat="1" ht="13.5" thickTop="1">
      <c r="A311" s="1482"/>
      <c r="B311" s="1482"/>
      <c r="C311" s="1483">
        <f t="shared" si="4"/>
        <v>5</v>
      </c>
      <c r="D311" s="1492">
        <f t="shared" si="45"/>
        <v>1</v>
      </c>
      <c r="E311" s="1492">
        <f t="shared" si="46"/>
        <v>7</v>
      </c>
      <c r="F311" s="1526" t="s">
        <v>11708</v>
      </c>
      <c r="G311" s="862"/>
      <c r="H311" s="823"/>
      <c r="I311" s="700"/>
      <c r="J311" s="824"/>
      <c r="K311" s="700"/>
      <c r="L311" s="700"/>
      <c r="M311" s="870"/>
      <c r="N311" s="399"/>
      <c r="O311" s="344"/>
      <c r="P311" s="342"/>
      <c r="Q311" s="1507"/>
      <c r="R311" s="1525"/>
      <c r="S311" s="1521"/>
      <c r="V311" s="1325"/>
      <c r="W311" s="1325"/>
      <c r="X311" s="1325"/>
    </row>
    <row r="312" spans="1:24" s="863" customFormat="1" ht="12.75">
      <c r="A312" s="1482"/>
      <c r="B312" s="1482">
        <v>1</v>
      </c>
      <c r="C312" s="1483">
        <f t="shared" si="4"/>
        <v>5</v>
      </c>
      <c r="D312" s="1492">
        <f t="shared" si="45"/>
        <v>1</v>
      </c>
      <c r="E312" s="1492">
        <f t="shared" si="46"/>
        <v>8</v>
      </c>
      <c r="F312" s="1526" t="s">
        <v>11708</v>
      </c>
      <c r="G312" s="862"/>
      <c r="H312" s="1527" t="s">
        <v>11703</v>
      </c>
      <c r="I312" s="1528" t="s">
        <v>64</v>
      </c>
      <c r="J312" s="1529" t="str">
        <f>CONCATENATE(C312,".",D312,".",E312)</f>
        <v>5.1.8</v>
      </c>
      <c r="K312" s="1530" t="s">
        <v>13990</v>
      </c>
      <c r="L312" s="1531" t="s">
        <v>25</v>
      </c>
      <c r="M312" s="1532" t="s">
        <v>11704</v>
      </c>
      <c r="N312" s="586" t="s">
        <v>11705</v>
      </c>
      <c r="O312" s="587" t="s">
        <v>11706</v>
      </c>
      <c r="P312" s="588" t="s">
        <v>27</v>
      </c>
      <c r="Q312" s="1507" t="s">
        <v>11704</v>
      </c>
      <c r="R312" s="1525"/>
      <c r="S312" s="1521"/>
      <c r="V312" s="1325"/>
      <c r="W312" s="1325"/>
      <c r="X312" s="1325"/>
    </row>
    <row r="313" spans="1:24" s="863" customFormat="1" ht="12.75">
      <c r="A313" s="1482"/>
      <c r="B313" s="1482"/>
      <c r="C313" s="1483">
        <f t="shared" si="4"/>
        <v>5</v>
      </c>
      <c r="D313" s="1492">
        <f t="shared" si="45"/>
        <v>1</v>
      </c>
      <c r="E313" s="1492">
        <f t="shared" si="46"/>
        <v>8</v>
      </c>
      <c r="F313" s="1526" t="s">
        <v>11708</v>
      </c>
      <c r="G313" s="862"/>
      <c r="H313" s="823"/>
      <c r="I313" s="700"/>
      <c r="J313" s="824"/>
      <c r="K313" s="700"/>
      <c r="L313" s="700"/>
      <c r="M313" s="870"/>
      <c r="N313" s="399"/>
      <c r="O313" s="344"/>
      <c r="P313" s="342"/>
      <c r="Q313" s="1507"/>
      <c r="R313" s="1525"/>
      <c r="S313" s="1521"/>
      <c r="V313" s="1325"/>
      <c r="W313" s="1325"/>
      <c r="X313" s="1325"/>
    </row>
    <row r="314" spans="1:24" s="863" customFormat="1" ht="39.75" customHeight="1">
      <c r="A314" s="1482"/>
      <c r="B314" s="1482"/>
      <c r="C314" s="1483">
        <f t="shared" si="4"/>
        <v>5</v>
      </c>
      <c r="D314" s="1492">
        <f t="shared" si="45"/>
        <v>1</v>
      </c>
      <c r="E314" s="1492">
        <f t="shared" si="46"/>
        <v>8</v>
      </c>
      <c r="F314" s="1526" t="s">
        <v>11708</v>
      </c>
      <c r="G314" s="862" t="s">
        <v>14106</v>
      </c>
      <c r="H314" s="823" t="str">
        <f>VLOOKUP(G314,MC_INTERCEPTORES!C:P,2,0)</f>
        <v>SINAPI</v>
      </c>
      <c r="I314" s="700">
        <f>VLOOKUP(G314,MC_INTERCEPTORES!C:P,3,0)</f>
        <v>94043</v>
      </c>
      <c r="J314" s="824"/>
      <c r="K314" s="790" t="str">
        <f>(IF(H314="Saneago",VLOOKUP(I314,'SANEAGO-FEV.2016'!A:B,2,0),IF(H314="Sinapi",VLOOKUP(I314,'SINAPI-FEV.2017'!A:D,2,0),IF(H314="Cotação",VLOOKUP(I314,COTAÇÃO!A:D,2,0),IF(H314="Composição",VLOOKUP(I314,COMPOSIÇÃO!A:D,2,0))))))</f>
        <v>ESCORAMENTO DE VALA, TIPO PONTALETEAMENTO, COM PROFUNDIDADE DE 0 A 1,5 M, LARGURA MENOR QUE 1,5 M, EM LOCAL COM NÍVEL BAIXO DE INTERFERÊNCIA. AF_06/2016</v>
      </c>
      <c r="L314" s="700" t="str">
        <f>(IF(H314="Saneago",VLOOKUP(I314,'SANEAGO-FEV.2016'!A:D,3,0),IF(H314="Sinapi",VLOOKUP(I314,'SINAPI-FEV.2017'!A:D,3,0),IF(H314="Cotação",VLOOKUP(I314,COTAÇÃO!A:D,3,0),IF(H314="Composição",VLOOKUP(I314,COMPOSIÇÃO!A:D,3,0))))))</f>
        <v>M2</v>
      </c>
      <c r="M314" s="870">
        <f>ROUND(VLOOKUP(G314,MC_INTERCEPTORES!C:P,13,0),2)</f>
        <v>573.27</v>
      </c>
      <c r="N314" s="399">
        <v>0</v>
      </c>
      <c r="O314" s="102">
        <f>ROUND(IF(F314="Serviços",N314*(1+$O$7),IF(F314="Materiais",N314*(1+$O$8))),2)</f>
        <v>0</v>
      </c>
      <c r="P314" s="101">
        <f>ROUND(M314*O314,2)</f>
        <v>0</v>
      </c>
      <c r="Q314" s="1507">
        <v>573.27</v>
      </c>
      <c r="R314" s="1525"/>
      <c r="S314" s="1521"/>
      <c r="V314" s="1325"/>
      <c r="W314" s="1325"/>
      <c r="X314" s="1325"/>
    </row>
    <row r="315" spans="1:24" s="863" customFormat="1" ht="37.5" customHeight="1">
      <c r="A315" s="1482"/>
      <c r="B315" s="1482"/>
      <c r="C315" s="1483">
        <f t="shared" si="4"/>
        <v>5</v>
      </c>
      <c r="D315" s="1492">
        <f>D314+A315</f>
        <v>1</v>
      </c>
      <c r="E315" s="1492">
        <f>E314+B315</f>
        <v>8</v>
      </c>
      <c r="F315" s="1526" t="s">
        <v>11708</v>
      </c>
      <c r="G315" s="862" t="s">
        <v>14107</v>
      </c>
      <c r="H315" s="823" t="str">
        <f>VLOOKUP(G315,MC_INTERCEPTORES!C:P,2,0)</f>
        <v>SINAPI</v>
      </c>
      <c r="I315" s="700">
        <f>VLOOKUP(G315,MC_INTERCEPTORES!C:P,3,0)</f>
        <v>94045</v>
      </c>
      <c r="J315" s="824"/>
      <c r="K315" s="790" t="str">
        <f>(IF(H315="Saneago",VLOOKUP(I315,'SANEAGO-FEV.2016'!A:B,2,0),IF(H315="Sinapi",VLOOKUP(I315,'SINAPI-FEV.2017'!A:D,2,0),IF(H315="Cotação",VLOOKUP(I315,COTAÇÃO!A:D,2,0),IF(H315="Composição",VLOOKUP(I315,COMPOSIÇÃO!A:D,2,0))))))</f>
        <v>ESCORAMENTO DE VALA, TIPO PONTALETEAMENTO, COM PROFUNDIDADE DE 1,5 A 3,0 M, LARGURA MENOR QUE 1,5 M, EM LOCAL COM NÍVEL BAIXO DE INTERFERÊNCIA. AF_06/2016</v>
      </c>
      <c r="L315" s="700" t="str">
        <f>(IF(H315="Saneago",VLOOKUP(I315,'SANEAGO-FEV.2016'!A:D,3,0),IF(H315="Sinapi",VLOOKUP(I315,'SINAPI-FEV.2017'!A:D,3,0),IF(H315="Cotação",VLOOKUP(I315,COTAÇÃO!A:D,3,0),IF(H315="Composição",VLOOKUP(I315,COMPOSIÇÃO!A:D,3,0))))))</f>
        <v>M2</v>
      </c>
      <c r="M315" s="870">
        <f>ROUND(VLOOKUP(G315,MC_INTERCEPTORES!C:P,13,0),2)</f>
        <v>4559.1499999999996</v>
      </c>
      <c r="N315" s="399">
        <v>0</v>
      </c>
      <c r="O315" s="102">
        <f>ROUND(IF(F315="Serviços",N315*(1+$O$7),IF(F315="Materiais",N315*(1+$O$8))),2)</f>
        <v>0</v>
      </c>
      <c r="P315" s="101">
        <f>ROUND(M315*O315,2)</f>
        <v>0</v>
      </c>
      <c r="Q315" s="1507">
        <v>4559.1499999999996</v>
      </c>
      <c r="R315" s="1525"/>
      <c r="S315" s="1521"/>
      <c r="V315" s="1325"/>
      <c r="W315" s="1325"/>
      <c r="X315" s="1325"/>
    </row>
    <row r="316" spans="1:24" s="863" customFormat="1" ht="28.5" customHeight="1">
      <c r="A316" s="1482"/>
      <c r="B316" s="1482"/>
      <c r="C316" s="1483">
        <f t="shared" si="4"/>
        <v>5</v>
      </c>
      <c r="D316" s="1492">
        <f t="shared" ref="D316:D325" si="47">D315+A316</f>
        <v>1</v>
      </c>
      <c r="E316" s="1492">
        <f t="shared" ref="E316:E325" si="48">E315+B316</f>
        <v>8</v>
      </c>
      <c r="F316" s="1526" t="s">
        <v>11708</v>
      </c>
      <c r="G316" s="862" t="s">
        <v>14108</v>
      </c>
      <c r="H316" s="823" t="str">
        <f>VLOOKUP(G316,MC_INTERCEPTORES!C:P,2,0)</f>
        <v>SINAPI</v>
      </c>
      <c r="I316" s="700" t="str">
        <f>VLOOKUP(G316,MC_INTERCEPTORES!C:P,3,0)</f>
        <v>73877/2</v>
      </c>
      <c r="J316" s="824"/>
      <c r="K316" s="790" t="str">
        <f>(IF(H316="Saneago",VLOOKUP(I316,'SANEAGO-FEV.2016'!A:B,2,0),IF(H316="Sinapi",VLOOKUP(I316,'SINAPI-FEV.2017'!A:D,2,0),IF(H316="Cotação",VLOOKUP(I316,COTAÇÃO!A:D,2,0),IF(H316="Composição",VLOOKUP(I316,COMPOSIÇÃO!A:D,2,0))))))</f>
        <v>ESCORAMENTO DE VALAS COM PRANCHOES METALICOS - AREA NAO CRAVADA</v>
      </c>
      <c r="L316" s="700" t="str">
        <f>(IF(H316="Saneago",VLOOKUP(I316,'SANEAGO-FEV.2016'!A:D,3,0),IF(H316="Sinapi",VLOOKUP(I316,'SINAPI-FEV.2017'!A:D,3,0),IF(H316="Cotação",VLOOKUP(I316,COTAÇÃO!A:D,3,0),IF(H316="Composição",VLOOKUP(I316,COMPOSIÇÃO!A:D,3,0))))))</f>
        <v>M2</v>
      </c>
      <c r="M316" s="870">
        <f>ROUND(VLOOKUP(G316,MC_INTERCEPTORES!C:P,13,0),2)</f>
        <v>158.72999999999999</v>
      </c>
      <c r="N316" s="399">
        <v>0</v>
      </c>
      <c r="O316" s="102">
        <f>ROUND(IF(F316="Serviços",N316*(1+$O$7),IF(F316="Materiais",N316*(1+$O$8))),2)</f>
        <v>0</v>
      </c>
      <c r="P316" s="101">
        <f>ROUND(M316*O316,2)</f>
        <v>0</v>
      </c>
      <c r="Q316" s="1507">
        <v>158.72999999999999</v>
      </c>
      <c r="R316" s="1525"/>
      <c r="S316" s="1521"/>
      <c r="V316" s="1325"/>
      <c r="W316" s="1325"/>
      <c r="X316" s="1325"/>
    </row>
    <row r="317" spans="1:24" s="863" customFormat="1" ht="13.5" thickBot="1">
      <c r="A317" s="1482"/>
      <c r="B317" s="1482"/>
      <c r="C317" s="1483">
        <f t="shared" si="4"/>
        <v>5</v>
      </c>
      <c r="D317" s="1492">
        <f t="shared" si="47"/>
        <v>1</v>
      </c>
      <c r="E317" s="1492">
        <f t="shared" si="48"/>
        <v>8</v>
      </c>
      <c r="F317" s="1526" t="s">
        <v>11708</v>
      </c>
      <c r="G317" s="862"/>
      <c r="H317" s="823"/>
      <c r="I317" s="700"/>
      <c r="J317" s="824"/>
      <c r="K317" s="700"/>
      <c r="L317" s="700"/>
      <c r="M317" s="870"/>
      <c r="N317" s="399"/>
      <c r="O317" s="344"/>
      <c r="P317" s="342"/>
      <c r="Q317" s="1507"/>
      <c r="R317" s="1525"/>
      <c r="S317" s="1521"/>
      <c r="V317" s="1325"/>
      <c r="W317" s="1325"/>
      <c r="X317" s="1325"/>
    </row>
    <row r="318" spans="1:24" s="863" customFormat="1" ht="14.25" customHeight="1" thickTop="1" thickBot="1">
      <c r="A318" s="1482"/>
      <c r="B318" s="1482"/>
      <c r="C318" s="1483">
        <f t="shared" si="4"/>
        <v>5</v>
      </c>
      <c r="D318" s="1492">
        <f t="shared" si="47"/>
        <v>1</v>
      </c>
      <c r="E318" s="1492">
        <f t="shared" si="48"/>
        <v>8</v>
      </c>
      <c r="F318" s="1526" t="s">
        <v>11708</v>
      </c>
      <c r="G318" s="862"/>
      <c r="H318" s="1653" t="str">
        <f>"TOTAL ITEM: "&amp;J312 &amp;K312</f>
        <v>TOTAL ITEM: 5.1.8ESCORAMENTO</v>
      </c>
      <c r="I318" s="1654"/>
      <c r="J318" s="1654"/>
      <c r="K318" s="1654"/>
      <c r="L318" s="1654"/>
      <c r="M318" s="1654"/>
      <c r="N318" s="1654"/>
      <c r="O318" s="1654"/>
      <c r="P318" s="343">
        <f>SUBTOTAL(9,P314:P316)</f>
        <v>0</v>
      </c>
      <c r="Q318" s="1507"/>
      <c r="R318" s="1525"/>
      <c r="S318" s="1521"/>
      <c r="V318" s="1325"/>
      <c r="W318" s="1325"/>
      <c r="X318" s="1325"/>
    </row>
    <row r="319" spans="1:24" s="863" customFormat="1" ht="13.5" thickTop="1">
      <c r="A319" s="1482"/>
      <c r="B319" s="1482"/>
      <c r="C319" s="1483">
        <f t="shared" si="4"/>
        <v>5</v>
      </c>
      <c r="D319" s="1492">
        <f t="shared" si="47"/>
        <v>1</v>
      </c>
      <c r="E319" s="1492">
        <f t="shared" si="48"/>
        <v>8</v>
      </c>
      <c r="F319" s="1526" t="s">
        <v>11708</v>
      </c>
      <c r="G319" s="862"/>
      <c r="H319" s="823"/>
      <c r="I319" s="700"/>
      <c r="J319" s="824"/>
      <c r="K319" s="700"/>
      <c r="L319" s="700"/>
      <c r="M319" s="870"/>
      <c r="N319" s="399"/>
      <c r="O319" s="344"/>
      <c r="P319" s="342"/>
      <c r="Q319" s="1507"/>
      <c r="R319" s="1525"/>
      <c r="S319" s="1521"/>
      <c r="V319" s="1325"/>
      <c r="W319" s="1325"/>
      <c r="X319" s="1325"/>
    </row>
    <row r="320" spans="1:24" s="863" customFormat="1" ht="12.75">
      <c r="A320" s="1482"/>
      <c r="B320" s="1482">
        <v>1</v>
      </c>
      <c r="C320" s="1483">
        <f t="shared" si="4"/>
        <v>5</v>
      </c>
      <c r="D320" s="1492">
        <f t="shared" si="47"/>
        <v>1</v>
      </c>
      <c r="E320" s="1492">
        <f t="shared" si="48"/>
        <v>9</v>
      </c>
      <c r="F320" s="1526" t="s">
        <v>11708</v>
      </c>
      <c r="G320" s="862"/>
      <c r="H320" s="1527" t="s">
        <v>11703</v>
      </c>
      <c r="I320" s="1528" t="s">
        <v>64</v>
      </c>
      <c r="J320" s="1529" t="str">
        <f>CONCATENATE(C320,".",D320,".",E320)</f>
        <v>5.1.9</v>
      </c>
      <c r="K320" s="1530" t="s">
        <v>13996</v>
      </c>
      <c r="L320" s="1531" t="s">
        <v>25</v>
      </c>
      <c r="M320" s="1532" t="s">
        <v>11704</v>
      </c>
      <c r="N320" s="586" t="s">
        <v>11705</v>
      </c>
      <c r="O320" s="587" t="s">
        <v>11706</v>
      </c>
      <c r="P320" s="588" t="s">
        <v>27</v>
      </c>
      <c r="Q320" s="1507" t="s">
        <v>11704</v>
      </c>
      <c r="R320" s="1525"/>
      <c r="S320" s="1521"/>
      <c r="V320" s="1325"/>
      <c r="W320" s="1325"/>
      <c r="X320" s="1325"/>
    </row>
    <row r="321" spans="1:24" s="863" customFormat="1" ht="12.75">
      <c r="A321" s="1482"/>
      <c r="B321" s="1482"/>
      <c r="C321" s="1483">
        <f t="shared" si="4"/>
        <v>5</v>
      </c>
      <c r="D321" s="1492">
        <f t="shared" si="47"/>
        <v>1</v>
      </c>
      <c r="E321" s="1492">
        <f t="shared" si="48"/>
        <v>9</v>
      </c>
      <c r="F321" s="1526" t="s">
        <v>11708</v>
      </c>
      <c r="G321" s="862"/>
      <c r="H321" s="823"/>
      <c r="I321" s="700"/>
      <c r="J321" s="824"/>
      <c r="K321" s="700"/>
      <c r="L321" s="700"/>
      <c r="M321" s="870"/>
      <c r="N321" s="399"/>
      <c r="O321" s="344"/>
      <c r="P321" s="342"/>
      <c r="Q321" s="1507"/>
      <c r="R321" s="1525"/>
      <c r="S321" s="1521"/>
      <c r="V321" s="1325"/>
      <c r="W321" s="1325"/>
      <c r="X321" s="1325"/>
    </row>
    <row r="322" spans="1:24" s="863" customFormat="1" ht="12.75">
      <c r="A322" s="1482"/>
      <c r="B322" s="1482"/>
      <c r="C322" s="1483">
        <f t="shared" si="4"/>
        <v>5</v>
      </c>
      <c r="D322" s="1492">
        <f t="shared" si="47"/>
        <v>1</v>
      </c>
      <c r="E322" s="1492">
        <f t="shared" si="48"/>
        <v>9</v>
      </c>
      <c r="F322" s="1526" t="s">
        <v>11708</v>
      </c>
      <c r="G322" s="862" t="s">
        <v>14109</v>
      </c>
      <c r="H322" s="823" t="str">
        <f>VLOOKUP(G322,MC_INTERCEPTORES!C:P,2,0)</f>
        <v>SINAPI</v>
      </c>
      <c r="I322" s="700" t="str">
        <f>VLOOKUP(G322,MC_INTERCEPTORES!C:P,3,0)</f>
        <v>73891/1</v>
      </c>
      <c r="J322" s="824"/>
      <c r="K322" s="790" t="str">
        <f>(IF(H322="Saneago",VLOOKUP(I322,'SANEAGO-FEV.2016'!A:B,2,0),IF(H322="Sinapi",VLOOKUP(I322,'SINAPI-FEV.2017'!A:D,2,0),IF(H322="Cotação",VLOOKUP(I322,COTAÇÃO!A:D,2,0),IF(H322="Composição",VLOOKUP(I322,COMPOSIÇÃO!A:D,2,0))))))</f>
        <v>ESGOTAMENTO COM MOTO-BOMBA AUTOESCOVANTE</v>
      </c>
      <c r="L322" s="700" t="str">
        <f>(IF(H322="Saneago",VLOOKUP(I322,'SANEAGO-FEV.2016'!A:D,3,0),IF(H322="Sinapi",VLOOKUP(I322,'SINAPI-FEV.2017'!A:D,3,0),IF(H322="Cotação",VLOOKUP(I322,COTAÇÃO!A:D,3,0),IF(H322="Composição",VLOOKUP(I322,COMPOSIÇÃO!A:D,3,0))))))</f>
        <v>H</v>
      </c>
      <c r="M322" s="870">
        <f>ROUND(VLOOKUP(G322,MC_INTERCEPTORES!C:P,13,0),2)</f>
        <v>60</v>
      </c>
      <c r="N322" s="399">
        <v>0</v>
      </c>
      <c r="O322" s="102">
        <f>ROUND(IF(F322="Serviços",N322*(1+$O$7),IF(F322="Materiais",N322*(1+$O$8))),2)</f>
        <v>0</v>
      </c>
      <c r="P322" s="101">
        <f>ROUND(M322*O322,2)</f>
        <v>0</v>
      </c>
      <c r="Q322" s="1507">
        <v>60</v>
      </c>
      <c r="R322" s="1525"/>
      <c r="S322" s="1521"/>
      <c r="V322" s="1325"/>
      <c r="W322" s="1325"/>
      <c r="X322" s="1325"/>
    </row>
    <row r="323" spans="1:24" s="863" customFormat="1" ht="13.5" thickBot="1">
      <c r="A323" s="1482"/>
      <c r="B323" s="1482"/>
      <c r="C323" s="1483">
        <f t="shared" si="4"/>
        <v>5</v>
      </c>
      <c r="D323" s="1492">
        <f t="shared" si="47"/>
        <v>1</v>
      </c>
      <c r="E323" s="1492">
        <f t="shared" si="48"/>
        <v>9</v>
      </c>
      <c r="F323" s="1526" t="s">
        <v>11708</v>
      </c>
      <c r="G323" s="862"/>
      <c r="H323" s="823"/>
      <c r="I323" s="700"/>
      <c r="J323" s="824"/>
      <c r="K323" s="700"/>
      <c r="L323" s="700"/>
      <c r="M323" s="870"/>
      <c r="N323" s="399"/>
      <c r="O323" s="344"/>
      <c r="P323" s="342"/>
      <c r="Q323" s="1507"/>
      <c r="R323" s="1525"/>
      <c r="S323" s="1521"/>
      <c r="V323" s="1325"/>
      <c r="W323" s="1325"/>
      <c r="X323" s="1325"/>
    </row>
    <row r="324" spans="1:24" s="863" customFormat="1" ht="14.25" customHeight="1" thickTop="1" thickBot="1">
      <c r="A324" s="1482"/>
      <c r="B324" s="1482"/>
      <c r="C324" s="1483">
        <f t="shared" si="4"/>
        <v>5</v>
      </c>
      <c r="D324" s="1492">
        <f t="shared" si="47"/>
        <v>1</v>
      </c>
      <c r="E324" s="1492">
        <f t="shared" si="48"/>
        <v>9</v>
      </c>
      <c r="F324" s="1526" t="s">
        <v>11708</v>
      </c>
      <c r="G324" s="862"/>
      <c r="H324" s="1653" t="str">
        <f>"TOTAL ITEM: "&amp;J320 &amp;K320</f>
        <v xml:space="preserve">TOTAL ITEM: 5.1.9ESGOTAMENTO   </v>
      </c>
      <c r="I324" s="1654"/>
      <c r="J324" s="1654"/>
      <c r="K324" s="1654"/>
      <c r="L324" s="1654"/>
      <c r="M324" s="1654"/>
      <c r="N324" s="1654"/>
      <c r="O324" s="1654"/>
      <c r="P324" s="343">
        <f>SUBTOTAL(9,P322:P322)</f>
        <v>0</v>
      </c>
      <c r="Q324" s="1507"/>
      <c r="R324" s="1525"/>
      <c r="S324" s="1521"/>
      <c r="V324" s="1325"/>
      <c r="W324" s="1325"/>
      <c r="X324" s="1325"/>
    </row>
    <row r="325" spans="1:24" s="863" customFormat="1" ht="13.5" thickTop="1">
      <c r="A325" s="1482"/>
      <c r="B325" s="1482"/>
      <c r="C325" s="1483">
        <f t="shared" si="4"/>
        <v>5</v>
      </c>
      <c r="D325" s="1492">
        <f t="shared" si="47"/>
        <v>1</v>
      </c>
      <c r="E325" s="1492">
        <f t="shared" si="48"/>
        <v>9</v>
      </c>
      <c r="F325" s="1526" t="s">
        <v>11708</v>
      </c>
      <c r="G325" s="862"/>
      <c r="H325" s="823"/>
      <c r="I325" s="700"/>
      <c r="J325" s="824"/>
      <c r="K325" s="700"/>
      <c r="L325" s="700"/>
      <c r="M325" s="870"/>
      <c r="N325" s="399"/>
      <c r="O325" s="344"/>
      <c r="P325" s="342"/>
      <c r="Q325" s="1507"/>
      <c r="R325" s="1525"/>
      <c r="S325" s="1521"/>
      <c r="V325" s="1325"/>
      <c r="W325" s="1325"/>
      <c r="X325" s="1325"/>
    </row>
    <row r="326" spans="1:24" s="863" customFormat="1" ht="12.75">
      <c r="A326" s="1482"/>
      <c r="B326" s="1482">
        <v>1</v>
      </c>
      <c r="C326" s="1483">
        <f t="shared" si="4"/>
        <v>5</v>
      </c>
      <c r="D326" s="1492">
        <f t="shared" si="45"/>
        <v>1</v>
      </c>
      <c r="E326" s="1492">
        <f t="shared" si="46"/>
        <v>10</v>
      </c>
      <c r="F326" s="1526" t="s">
        <v>11708</v>
      </c>
      <c r="G326" s="862"/>
      <c r="H326" s="1527" t="s">
        <v>11703</v>
      </c>
      <c r="I326" s="1528" t="s">
        <v>64</v>
      </c>
      <c r="J326" s="1529" t="str">
        <f>CONCATENATE(C326,".",D326,".",E326)</f>
        <v>5.1.10</v>
      </c>
      <c r="K326" s="1530" t="s">
        <v>12681</v>
      </c>
      <c r="L326" s="1531" t="s">
        <v>25</v>
      </c>
      <c r="M326" s="1532" t="s">
        <v>11704</v>
      </c>
      <c r="N326" s="586" t="s">
        <v>11705</v>
      </c>
      <c r="O326" s="587" t="s">
        <v>11706</v>
      </c>
      <c r="P326" s="588" t="s">
        <v>27</v>
      </c>
      <c r="Q326" s="1507" t="s">
        <v>11704</v>
      </c>
      <c r="R326" s="1525"/>
      <c r="S326" s="1521"/>
      <c r="V326" s="1325"/>
      <c r="W326" s="1325"/>
      <c r="X326" s="1325"/>
    </row>
    <row r="327" spans="1:24" s="863" customFormat="1" ht="12.75">
      <c r="A327" s="1482"/>
      <c r="B327" s="1482"/>
      <c r="C327" s="1483">
        <f t="shared" si="4"/>
        <v>5</v>
      </c>
      <c r="D327" s="1492">
        <f t="shared" si="45"/>
        <v>1</v>
      </c>
      <c r="E327" s="1492">
        <f t="shared" si="46"/>
        <v>10</v>
      </c>
      <c r="F327" s="1526" t="s">
        <v>11708</v>
      </c>
      <c r="G327" s="862"/>
      <c r="H327" s="823"/>
      <c r="I327" s="700"/>
      <c r="J327" s="824"/>
      <c r="K327" s="700"/>
      <c r="L327" s="700"/>
      <c r="M327" s="870"/>
      <c r="N327" s="399"/>
      <c r="O327" s="344"/>
      <c r="P327" s="342"/>
      <c r="Q327" s="1507"/>
      <c r="R327" s="1525"/>
      <c r="S327" s="1521"/>
      <c r="V327" s="1325"/>
      <c r="W327" s="1325"/>
      <c r="X327" s="1325"/>
    </row>
    <row r="328" spans="1:24" s="863" customFormat="1" ht="33.75">
      <c r="A328" s="1482"/>
      <c r="B328" s="1482"/>
      <c r="C328" s="1483">
        <f t="shared" si="4"/>
        <v>5</v>
      </c>
      <c r="D328" s="1492">
        <f t="shared" si="45"/>
        <v>1</v>
      </c>
      <c r="E328" s="1492">
        <f t="shared" si="46"/>
        <v>10</v>
      </c>
      <c r="F328" s="1526" t="s">
        <v>11708</v>
      </c>
      <c r="G328" s="862" t="s">
        <v>14112</v>
      </c>
      <c r="H328" s="823" t="str">
        <f>VLOOKUP(G328,MC_INTERCEPTORES!C:P,2,0)</f>
        <v>SINAPI</v>
      </c>
      <c r="I328" s="700">
        <f>VLOOKUP(G328,MC_INTERCEPTORES!C:P,3,0)</f>
        <v>90739</v>
      </c>
      <c r="J328" s="824"/>
      <c r="K328" s="790" t="str">
        <f>(IF(H328="Saneago",VLOOKUP(I328,'SANEAGO-FEV.2016'!A:B,2,0),IF(H328="Sinapi",VLOOKUP(I328,'SINAPI-FEV.2017'!A:D,2,0),IF(H328="Cotação",VLOOKUP(I328,COTAÇÃO!A:D,2,0),IF(H328="Composição",VLOOKUP(I328,COMPOSIÇÃO!A:D,2,0))))))</f>
        <v>ASSENTAMENTO DE TUBO DE PVC PARA REDE COLETORA DE ESGOTO DE PAREDE MACIÇA, DN 400 MM, JUNTA ELÁSTICA, INSTALADO EM LOCAL COM NÍVEL BAIXO DE INTERFERÊNCIAS (NÃO INCLUI FORNECIMENTO). AF_06/2015</v>
      </c>
      <c r="L328" s="700" t="str">
        <f>(IF(H328="Saneago",VLOOKUP(I328,'SANEAGO-FEV.2016'!A:D,3,0),IF(H328="Sinapi",VLOOKUP(I328,'SINAPI-FEV.2017'!A:D,3,0),IF(H328="Cotação",VLOOKUP(I328,COTAÇÃO!A:D,3,0),IF(H328="Composição",VLOOKUP(I328,COMPOSIÇÃO!A:D,3,0))))))</f>
        <v>M</v>
      </c>
      <c r="M328" s="870">
        <f>ROUND(VLOOKUP(G328,MC_INTERCEPTORES!C:P,13,0),2)</f>
        <v>512</v>
      </c>
      <c r="N328" s="399">
        <v>0</v>
      </c>
      <c r="O328" s="102">
        <f t="shared" ref="O328:O333" si="49">ROUND(IF(F328="Serviços",N328*(1+$O$7),IF(F328="Materiais",N328*(1+$O$8))),2)</f>
        <v>0</v>
      </c>
      <c r="P328" s="101">
        <f t="shared" ref="P328:P333" si="50">ROUND(M328*O328,2)</f>
        <v>0</v>
      </c>
      <c r="Q328" s="1507">
        <v>512</v>
      </c>
      <c r="R328" s="1525"/>
      <c r="S328" s="1521"/>
      <c r="V328" s="1325"/>
      <c r="W328" s="1325"/>
      <c r="X328" s="1325"/>
    </row>
    <row r="329" spans="1:24" s="863" customFormat="1" ht="12.75">
      <c r="A329" s="1482"/>
      <c r="B329" s="1482"/>
      <c r="C329" s="1483">
        <f t="shared" si="4"/>
        <v>5</v>
      </c>
      <c r="D329" s="1492">
        <f t="shared" si="45"/>
        <v>1</v>
      </c>
      <c r="E329" s="1492">
        <f t="shared" si="46"/>
        <v>10</v>
      </c>
      <c r="F329" s="1526" t="s">
        <v>11708</v>
      </c>
      <c r="G329" s="862" t="s">
        <v>14113</v>
      </c>
      <c r="H329" s="823" t="str">
        <f>VLOOKUP(G329,MC_INTERCEPTORES!C:P,2,0)</f>
        <v>SINAPI</v>
      </c>
      <c r="I329" s="700">
        <f>VLOOKUP(G329,MC_INTERCEPTORES!C:P,3,0)</f>
        <v>73509</v>
      </c>
      <c r="J329" s="824"/>
      <c r="K329" s="790" t="str">
        <f>(IF(H329="Saneago",VLOOKUP(I329,'SANEAGO-FEV.2016'!A:B,2,0),IF(H329="Sinapi",VLOOKUP(I329,'SINAPI-FEV.2017'!A:D,2,0),IF(H329="Cotação",VLOOKUP(I329,COTAÇÃO!A:D,2,0),IF(H329="Composição",VLOOKUP(I329,COMPOSIÇÃO!A:D,2,0))))))</f>
        <v>TRANSPORTE DE TUBOS DE PVC DN 400</v>
      </c>
      <c r="L329" s="700" t="str">
        <f>(IF(H329="Saneago",VLOOKUP(I329,'SANEAGO-FEV.2016'!A:D,3,0),IF(H329="Sinapi",VLOOKUP(I329,'SINAPI-FEV.2017'!A:D,3,0),IF(H329="Cotação",VLOOKUP(I329,COTAÇÃO!A:D,3,0),IF(H329="Composição",VLOOKUP(I329,COMPOSIÇÃO!A:D,3,0))))))</f>
        <v>M</v>
      </c>
      <c r="M329" s="870">
        <f>ROUND(VLOOKUP(G329,MC_INTERCEPTORES!C:P,13,0),2)</f>
        <v>512</v>
      </c>
      <c r="N329" s="399">
        <v>0</v>
      </c>
      <c r="O329" s="102">
        <f t="shared" si="49"/>
        <v>0</v>
      </c>
      <c r="P329" s="101">
        <f t="shared" si="50"/>
        <v>0</v>
      </c>
      <c r="Q329" s="1507">
        <v>512</v>
      </c>
      <c r="R329" s="1525"/>
      <c r="S329" s="1521"/>
      <c r="V329" s="1325"/>
      <c r="W329" s="1325"/>
      <c r="X329" s="1325"/>
    </row>
    <row r="330" spans="1:24" s="863" customFormat="1" ht="33.75">
      <c r="A330" s="1482"/>
      <c r="B330" s="1482"/>
      <c r="C330" s="1483">
        <f t="shared" si="4"/>
        <v>5</v>
      </c>
      <c r="D330" s="1492">
        <f t="shared" si="45"/>
        <v>1</v>
      </c>
      <c r="E330" s="1492">
        <f t="shared" si="46"/>
        <v>10</v>
      </c>
      <c r="F330" s="1526" t="s">
        <v>11708</v>
      </c>
      <c r="G330" s="862" t="s">
        <v>14114</v>
      </c>
      <c r="H330" s="823" t="str">
        <f>VLOOKUP(G330,MC_INTERCEPTORES!C:P,2,0)</f>
        <v>SINAPI</v>
      </c>
      <c r="I330" s="700">
        <f>VLOOKUP(G330,MC_INTERCEPTORES!C:P,3,0)</f>
        <v>92838</v>
      </c>
      <c r="J330" s="824"/>
      <c r="K330" s="790" t="str">
        <f>(IF(H330="Saneago",VLOOKUP(I330,'SANEAGO-FEV.2016'!A:B,2,0),IF(H330="Sinapi",VLOOKUP(I330,'SINAPI-FEV.2017'!A:D,2,0),IF(H330="Cotação",VLOOKUP(I330,COTAÇÃO!A:D,2,0),IF(H330="Composição",VLOOKUP(I330,COMPOSIÇÃO!A:D,2,0))))))</f>
        <v>ASSENTAMENTO DE TUBO DE CONCRETO PARA REDES COLETORAS DE ESGOTO SANITÁRIO, DIÂMETRO DE 500 MM, JUNTA ELÁSTICA, INSTALADO EM LOCAL COM BAIXO NÍVEL DE INTERFERÊNCIAS (NÃO INCLUI FORNECIMENTO). AF_12/2015</v>
      </c>
      <c r="L330" s="700" t="str">
        <f>(IF(H330="Saneago",VLOOKUP(I330,'SANEAGO-FEV.2016'!A:D,3,0),IF(H330="Sinapi",VLOOKUP(I330,'SINAPI-FEV.2017'!A:D,3,0),IF(H330="Cotação",VLOOKUP(I330,COTAÇÃO!A:D,3,0),IF(H330="Composição",VLOOKUP(I330,COMPOSIÇÃO!A:D,3,0))))))</f>
        <v>M</v>
      </c>
      <c r="M330" s="870">
        <f>ROUND(VLOOKUP(G330,MC_INTERCEPTORES!C:P,13,0),2)</f>
        <v>422</v>
      </c>
      <c r="N330" s="399">
        <v>0</v>
      </c>
      <c r="O330" s="102">
        <f t="shared" si="49"/>
        <v>0</v>
      </c>
      <c r="P330" s="101">
        <f t="shared" si="50"/>
        <v>0</v>
      </c>
      <c r="Q330" s="1507">
        <v>422</v>
      </c>
      <c r="R330" s="1525"/>
      <c r="S330" s="1521"/>
      <c r="V330" s="1325"/>
      <c r="W330" s="1325"/>
      <c r="X330" s="1325"/>
    </row>
    <row r="331" spans="1:24" s="863" customFormat="1" ht="12.75">
      <c r="A331" s="1482"/>
      <c r="B331" s="1482"/>
      <c r="C331" s="1483">
        <f t="shared" si="4"/>
        <v>5</v>
      </c>
      <c r="D331" s="1492">
        <f t="shared" si="45"/>
        <v>1</v>
      </c>
      <c r="E331" s="1492">
        <f t="shared" si="46"/>
        <v>10</v>
      </c>
      <c r="F331" s="1526" t="s">
        <v>11708</v>
      </c>
      <c r="G331" s="862" t="s">
        <v>14115</v>
      </c>
      <c r="H331" s="823" t="str">
        <f>VLOOKUP(G331,MC_INTERCEPTORES!C:P,2,0)</f>
        <v>SINAPI</v>
      </c>
      <c r="I331" s="700">
        <f>VLOOKUP(G331,MC_INTERCEPTORES!C:P,3,0)</f>
        <v>73508</v>
      </c>
      <c r="J331" s="824"/>
      <c r="K331" s="790" t="str">
        <f>(IF(H331="Saneago",VLOOKUP(I331,'SANEAGO-FEV.2016'!A:B,2,0),IF(H331="Sinapi",VLOOKUP(I331,'SINAPI-FEV.2017'!A:D,2,0),IF(H331="Cotação",VLOOKUP(I331,COTAÇÃO!A:D,2,0),IF(H331="Composição",VLOOKUP(I331,COMPOSIÇÃO!A:D,2,0))))))</f>
        <v>TRANSPORTE DE TUBOS DE PVC DN 500</v>
      </c>
      <c r="L331" s="700" t="str">
        <f>(IF(H331="Saneago",VLOOKUP(I331,'SANEAGO-FEV.2016'!A:D,3,0),IF(H331="Sinapi",VLOOKUP(I331,'SINAPI-FEV.2017'!A:D,3,0),IF(H331="Cotação",VLOOKUP(I331,COTAÇÃO!A:D,3,0),IF(H331="Composição",VLOOKUP(I331,COMPOSIÇÃO!A:D,3,0))))))</f>
        <v>M</v>
      </c>
      <c r="M331" s="870">
        <f>ROUND(VLOOKUP(G331,MC_INTERCEPTORES!C:P,13,0),2)</f>
        <v>422</v>
      </c>
      <c r="N331" s="399">
        <v>0</v>
      </c>
      <c r="O331" s="102">
        <f t="shared" si="49"/>
        <v>0</v>
      </c>
      <c r="P331" s="101">
        <f t="shared" si="50"/>
        <v>0</v>
      </c>
      <c r="Q331" s="1507">
        <v>422</v>
      </c>
      <c r="R331" s="1525"/>
      <c r="S331" s="1521"/>
      <c r="V331" s="1325"/>
      <c r="W331" s="1325"/>
      <c r="X331" s="1325"/>
    </row>
    <row r="332" spans="1:24" s="863" customFormat="1" ht="22.5">
      <c r="A332" s="1482"/>
      <c r="B332" s="1482"/>
      <c r="C332" s="1483">
        <f t="shared" si="4"/>
        <v>5</v>
      </c>
      <c r="D332" s="1492">
        <f t="shared" ref="D332:E338" si="51">D331+A332</f>
        <v>1</v>
      </c>
      <c r="E332" s="1492">
        <f t="shared" si="51"/>
        <v>10</v>
      </c>
      <c r="F332" s="1526" t="s">
        <v>11708</v>
      </c>
      <c r="G332" s="862" t="s">
        <v>14116</v>
      </c>
      <c r="H332" s="823" t="str">
        <f>VLOOKUP(G332,MC_INTERCEPTORES!C:P,2,0)</f>
        <v>SINAPI</v>
      </c>
      <c r="I332" s="700" t="str">
        <f>VLOOKUP(G332,MC_INTERCEPTORES!C:P,3,0)</f>
        <v>73887/8</v>
      </c>
      <c r="J332" s="824"/>
      <c r="K332" s="790" t="str">
        <f>(IF(H332="Saneago",VLOOKUP(I332,'SANEAGO-FEV.2016'!A:B,2,0),IF(H332="Sinapi",VLOOKUP(I332,'SINAPI-FEV.2017'!A:D,2,0),IF(H332="Cotação",VLOOKUP(I332,COTAÇÃO!A:D,2,0),IF(H332="Composição",VLOOKUP(I332,COMPOSIÇÃO!A:D,2,0))))))</f>
        <v>ASSENTAMENTO SIMPLES DE TUBOS DE FERRO FUNDIDO (FOFO) C/ JUNTA ELASTICA - DN 400 MM - INCLUSIVE TRANSPORTE</v>
      </c>
      <c r="L332" s="700" t="str">
        <f>(IF(H332="Saneago",VLOOKUP(I332,'SANEAGO-FEV.2016'!A:D,3,0),IF(H332="Sinapi",VLOOKUP(I332,'SINAPI-FEV.2017'!A:D,3,0),IF(H332="Cotação",VLOOKUP(I332,COTAÇÃO!A:D,3,0),IF(H332="Composição",VLOOKUP(I332,COMPOSIÇÃO!A:D,3,0))))))</f>
        <v>M</v>
      </c>
      <c r="M332" s="870">
        <f>ROUND(VLOOKUP(G332,MC_INTERCEPTORES!C:P,13,0),2)</f>
        <v>6</v>
      </c>
      <c r="N332" s="399">
        <v>0</v>
      </c>
      <c r="O332" s="102">
        <f>ROUND(IF(F332="Serviços",N332*(1+$O$7),IF(F332="Materiais",N332*(1+$O$8))),2)</f>
        <v>0</v>
      </c>
      <c r="P332" s="101">
        <f>ROUND(M332*O332,2)</f>
        <v>0</v>
      </c>
      <c r="Q332" s="1507">
        <v>6</v>
      </c>
      <c r="R332" s="1525"/>
      <c r="S332" s="1521"/>
      <c r="V332" s="1325"/>
      <c r="W332" s="1325"/>
      <c r="X332" s="1325"/>
    </row>
    <row r="333" spans="1:24" s="863" customFormat="1" ht="22.5">
      <c r="A333" s="1482"/>
      <c r="B333" s="1482"/>
      <c r="C333" s="1483">
        <f t="shared" si="4"/>
        <v>5</v>
      </c>
      <c r="D333" s="1492">
        <f t="shared" si="51"/>
        <v>1</v>
      </c>
      <c r="E333" s="1492">
        <f t="shared" si="51"/>
        <v>10</v>
      </c>
      <c r="F333" s="1526" t="s">
        <v>11708</v>
      </c>
      <c r="G333" s="862" t="s">
        <v>14117</v>
      </c>
      <c r="H333" s="823" t="str">
        <f>VLOOKUP(G333,MC_INTERCEPTORES!C:P,2,0)</f>
        <v>SINAPI</v>
      </c>
      <c r="I333" s="700" t="str">
        <f>VLOOKUP(G333,MC_INTERCEPTORES!C:P,3,0)</f>
        <v>73887/10</v>
      </c>
      <c r="J333" s="824"/>
      <c r="K333" s="790" t="str">
        <f>(IF(H333="Saneago",VLOOKUP(I333,'SANEAGO-FEV.2016'!A:B,2,0),IF(H333="Sinapi",VLOOKUP(I333,'SINAPI-FEV.2017'!A:D,2,0),IF(H333="Cotação",VLOOKUP(I333,COTAÇÃO!A:D,2,0),IF(H333="Composição",VLOOKUP(I333,COMPOSIÇÃO!A:D,2,0))))))</f>
        <v>ASSENTAMENTO SIMPLES DE TUBOS DE FERRO FUNDIDO (FOFO) C/ JUNTA ELASTICA - DN 500 MM - INCLUSIVE TRANSPORTE</v>
      </c>
      <c r="L333" s="700" t="str">
        <f>(IF(H333="Saneago",VLOOKUP(I333,'SANEAGO-FEV.2016'!A:D,3,0),IF(H333="Sinapi",VLOOKUP(I333,'SINAPI-FEV.2017'!A:D,3,0),IF(H333="Cotação",VLOOKUP(I333,COTAÇÃO!A:D,3,0),IF(H333="Composição",VLOOKUP(I333,COMPOSIÇÃO!A:D,3,0))))))</f>
        <v>M</v>
      </c>
      <c r="M333" s="870">
        <f>ROUND(VLOOKUP(G333,MC_INTERCEPTORES!C:P,13,0),2)</f>
        <v>64</v>
      </c>
      <c r="N333" s="399">
        <v>0</v>
      </c>
      <c r="O333" s="102">
        <f t="shared" si="49"/>
        <v>0</v>
      </c>
      <c r="P333" s="101">
        <f t="shared" si="50"/>
        <v>0</v>
      </c>
      <c r="Q333" s="1507">
        <v>64</v>
      </c>
      <c r="R333" s="1525"/>
      <c r="S333" s="1521"/>
      <c r="V333" s="1325"/>
      <c r="W333" s="1325"/>
      <c r="X333" s="1325"/>
    </row>
    <row r="334" spans="1:24" s="863" customFormat="1" ht="22.5">
      <c r="A334" s="1482"/>
      <c r="B334" s="1482"/>
      <c r="C334" s="1483">
        <f t="shared" si="4"/>
        <v>5</v>
      </c>
      <c r="D334" s="1492">
        <f t="shared" si="51"/>
        <v>1</v>
      </c>
      <c r="E334" s="1492">
        <f t="shared" si="51"/>
        <v>10</v>
      </c>
      <c r="F334" s="1526" t="s">
        <v>11708</v>
      </c>
      <c r="G334" s="862" t="s">
        <v>14118</v>
      </c>
      <c r="H334" s="823" t="str">
        <f>VLOOKUP(G334,MC_INTERCEPTORES!C:P,2,0)</f>
        <v>SINAPI</v>
      </c>
      <c r="I334" s="700" t="str">
        <f>VLOOKUP(G334,MC_INTERCEPTORES!C:P,3,0)</f>
        <v>73887/12</v>
      </c>
      <c r="J334" s="824"/>
      <c r="K334" s="790" t="str">
        <f>(IF(H334="Saneago",VLOOKUP(I334,'SANEAGO-FEV.2016'!A:B,2,0),IF(H334="Sinapi",VLOOKUP(I334,'SINAPI-FEV.2017'!A:D,2,0),IF(H334="Cotação",VLOOKUP(I334,COTAÇÃO!A:D,2,0),IF(H334="Composição",VLOOKUP(I334,COMPOSIÇÃO!A:D,2,0))))))</f>
        <v>ASSENTAMENTO SIMPLES DE TUBOS DE FERRO FUNDIDO (FOFO) C/ JUNTA ELASTICA - DN 700 MM - INCLUSIVE TRANSPORTE</v>
      </c>
      <c r="L334" s="700" t="str">
        <f>(IF(H334="Saneago",VLOOKUP(I334,'SANEAGO-FEV.2016'!A:D,3,0),IF(H334="Sinapi",VLOOKUP(I334,'SINAPI-FEV.2017'!A:D,3,0),IF(H334="Cotação",VLOOKUP(I334,COTAÇÃO!A:D,3,0),IF(H334="Composição",VLOOKUP(I334,COMPOSIÇÃO!A:D,3,0))))))</f>
        <v>M</v>
      </c>
      <c r="M334" s="870">
        <f>ROUND(VLOOKUP(G334,MC_INTERCEPTORES!C:P,13,0),2)</f>
        <v>207</v>
      </c>
      <c r="N334" s="399">
        <v>0</v>
      </c>
      <c r="O334" s="102">
        <f>ROUND(IF(F334="Serviços",N334*(1+$O$7),IF(F334="Materiais",N334*(1+$O$8))),2)</f>
        <v>0</v>
      </c>
      <c r="P334" s="101">
        <f>ROUND(M334*O334,2)</f>
        <v>0</v>
      </c>
      <c r="Q334" s="1507">
        <v>207</v>
      </c>
      <c r="R334" s="1525"/>
      <c r="S334" s="1521"/>
      <c r="V334" s="1325"/>
      <c r="W334" s="1325"/>
      <c r="X334" s="1325"/>
    </row>
    <row r="335" spans="1:24" s="863" customFormat="1" ht="33.75">
      <c r="A335" s="1482"/>
      <c r="B335" s="1482"/>
      <c r="C335" s="1483">
        <f t="shared" si="4"/>
        <v>5</v>
      </c>
      <c r="D335" s="1492">
        <f t="shared" si="51"/>
        <v>1</v>
      </c>
      <c r="E335" s="1492">
        <f t="shared" si="51"/>
        <v>10</v>
      </c>
      <c r="F335" s="1526" t="s">
        <v>11708</v>
      </c>
      <c r="G335" s="862" t="s">
        <v>14119</v>
      </c>
      <c r="H335" s="823" t="str">
        <f>VLOOKUP(G335,MC_INTERCEPTORES!C:P,2,0)</f>
        <v>SINAPI</v>
      </c>
      <c r="I335" s="700">
        <f>VLOOKUP(G335,MC_INTERCEPTORES!C:P,3,0)</f>
        <v>92842</v>
      </c>
      <c r="J335" s="824"/>
      <c r="K335" s="790" t="str">
        <f>(IF(H335="Saneago",VLOOKUP(I335,'SANEAGO-FEV.2016'!A:B,2,0),IF(H335="Sinapi",VLOOKUP(I335,'SINAPI-FEV.2017'!A:D,2,0),IF(H335="Cotação",VLOOKUP(I335,COTAÇÃO!A:D,2,0),IF(H335="Composição",VLOOKUP(I335,COMPOSIÇÃO!A:D,2,0))))))</f>
        <v>ASSENTAMENTO DE TUBO DE CONCRETO PARA REDES COLETORAS DE ESGOTO SANITÁRIO, DIÂMETRO DE 700 MM, JUNTA ELÁSTICA, INSTALADO EM LOCAL COM BAIXO NÍVEL DE INTERFERÊNCIAS (NÃO INCLUI FORNECIMENTO). AF_12/2015</v>
      </c>
      <c r="L335" s="700" t="str">
        <f>(IF(H335="Saneago",VLOOKUP(I335,'SANEAGO-FEV.2016'!A:D,3,0),IF(H335="Sinapi",VLOOKUP(I335,'SINAPI-FEV.2017'!A:D,3,0),IF(H335="Cotação",VLOOKUP(I335,COTAÇÃO!A:D,3,0),IF(H335="Composição",VLOOKUP(I335,COMPOSIÇÃO!A:D,3,0))))))</f>
        <v>M</v>
      </c>
      <c r="M335" s="870">
        <f>ROUND(VLOOKUP(G335,MC_INTERCEPTORES!C:P,13,0),2)</f>
        <v>263</v>
      </c>
      <c r="N335" s="399">
        <v>0</v>
      </c>
      <c r="O335" s="102">
        <f>ROUND(IF(F335="Serviços",N335*(1+$O$7),IF(F335="Materiais",N335*(1+$O$8))),2)</f>
        <v>0</v>
      </c>
      <c r="P335" s="101">
        <f>ROUND(M335*O335,2)</f>
        <v>0</v>
      </c>
      <c r="Q335" s="1507">
        <v>263</v>
      </c>
      <c r="R335" s="1525"/>
      <c r="S335" s="1521"/>
      <c r="V335" s="1325"/>
      <c r="W335" s="1325"/>
      <c r="X335" s="1325"/>
    </row>
    <row r="336" spans="1:24" s="863" customFormat="1" ht="12.75">
      <c r="A336" s="1482"/>
      <c r="B336" s="1482"/>
      <c r="C336" s="1483">
        <f t="shared" si="4"/>
        <v>5</v>
      </c>
      <c r="D336" s="1492">
        <f t="shared" si="51"/>
        <v>1</v>
      </c>
      <c r="E336" s="1492">
        <f t="shared" si="51"/>
        <v>10</v>
      </c>
      <c r="F336" s="1526" t="s">
        <v>11708</v>
      </c>
      <c r="G336" s="862" t="s">
        <v>14120</v>
      </c>
      <c r="H336" s="823" t="str">
        <f>VLOOKUP(G336,MC_INTERCEPTORES!C:P,2,0)</f>
        <v>SINAPI</v>
      </c>
      <c r="I336" s="700" t="str">
        <f>VLOOKUP(G336,MC_INTERCEPTORES!C:P,3,0)</f>
        <v>73515A</v>
      </c>
      <c r="J336" s="824"/>
      <c r="K336" s="790" t="str">
        <f>(IF(H336="Saneago",VLOOKUP(I336,'SANEAGO-FEV.2016'!A:B,2,0),IF(H336="Sinapi",VLOOKUP(I336,'SINAPI-FEV.2017'!A:D,2,0),IF(H336="Cotação",VLOOKUP(I336,COTAÇÃO!A:D,2,0),IF(H336="Composição",VLOOKUP(I336,COMPOSIÇÃO!A:D,2,0))))))</f>
        <v>TRANSPORTE DE TUBOS DE CONCRETO ARMADO DN 700</v>
      </c>
      <c r="L336" s="700" t="str">
        <f>(IF(H336="Saneago",VLOOKUP(I336,'SANEAGO-FEV.2016'!A:D,3,0),IF(H336="Sinapi",VLOOKUP(I336,'SINAPI-FEV.2017'!A:D,3,0),IF(H336="Cotação",VLOOKUP(I336,COTAÇÃO!A:D,3,0),IF(H336="Composição",VLOOKUP(I336,COMPOSIÇÃO!A:D,3,0))))))</f>
        <v>M</v>
      </c>
      <c r="M336" s="870">
        <f>ROUND(VLOOKUP(G336,MC_INTERCEPTORES!C:P,13,0),2)</f>
        <v>263</v>
      </c>
      <c r="N336" s="399">
        <v>0</v>
      </c>
      <c r="O336" s="102">
        <f>ROUND(IF(F336="Serviços",N336*(1+$O$7),IF(F336="Materiais",N336*(1+$O$8))),2)</f>
        <v>0</v>
      </c>
      <c r="P336" s="101">
        <f>ROUND(M336*O336,2)</f>
        <v>0</v>
      </c>
      <c r="Q336" s="1507">
        <v>263</v>
      </c>
      <c r="R336" s="1525"/>
      <c r="S336" s="1521"/>
      <c r="V336" s="1325"/>
      <c r="W336" s="1325"/>
      <c r="X336" s="1325"/>
    </row>
    <row r="337" spans="1:24" s="863" customFormat="1" ht="13.5" thickBot="1">
      <c r="A337" s="1482"/>
      <c r="B337" s="1482"/>
      <c r="C337" s="1483">
        <f t="shared" si="4"/>
        <v>5</v>
      </c>
      <c r="D337" s="1492">
        <f t="shared" si="51"/>
        <v>1</v>
      </c>
      <c r="E337" s="1492">
        <f t="shared" si="51"/>
        <v>10</v>
      </c>
      <c r="F337" s="1526" t="s">
        <v>11708</v>
      </c>
      <c r="G337" s="862"/>
      <c r="H337" s="823"/>
      <c r="I337" s="700"/>
      <c r="J337" s="824"/>
      <c r="K337" s="790"/>
      <c r="L337" s="700"/>
      <c r="M337" s="870"/>
      <c r="N337" s="399"/>
      <c r="O337" s="344"/>
      <c r="P337" s="342"/>
      <c r="Q337" s="1507"/>
      <c r="R337" s="1525"/>
      <c r="S337" s="1521"/>
      <c r="V337" s="1325"/>
      <c r="W337" s="1325"/>
      <c r="X337" s="1325"/>
    </row>
    <row r="338" spans="1:24" s="863" customFormat="1" ht="14.25" customHeight="1" thickTop="1" thickBot="1">
      <c r="A338" s="1482"/>
      <c r="B338" s="1482"/>
      <c r="C338" s="1483">
        <f t="shared" si="4"/>
        <v>5</v>
      </c>
      <c r="D338" s="1492">
        <f t="shared" si="51"/>
        <v>1</v>
      </c>
      <c r="E338" s="1492">
        <f t="shared" si="51"/>
        <v>10</v>
      </c>
      <c r="F338" s="1526" t="s">
        <v>11708</v>
      </c>
      <c r="G338" s="862"/>
      <c r="H338" s="1653" t="str">
        <f>"TOTAL ITEM: "&amp;J326 &amp;K326</f>
        <v>TOTAL ITEM: 5.1.10CTD E MONTAGEM DE TUBOS</v>
      </c>
      <c r="I338" s="1654"/>
      <c r="J338" s="1654"/>
      <c r="K338" s="1654"/>
      <c r="L338" s="1654"/>
      <c r="M338" s="1654"/>
      <c r="N338" s="1654"/>
      <c r="O338" s="1654"/>
      <c r="P338" s="343">
        <f>SUBTOTAL(9,P328:P336)</f>
        <v>0</v>
      </c>
      <c r="Q338" s="1507"/>
      <c r="R338" s="1525"/>
      <c r="S338" s="1521"/>
      <c r="V338" s="1325"/>
      <c r="W338" s="1325"/>
      <c r="X338" s="1325"/>
    </row>
    <row r="339" spans="1:24" s="863" customFormat="1" ht="13.5" thickTop="1">
      <c r="A339" s="1482"/>
      <c r="B339" s="1482"/>
      <c r="C339" s="1483">
        <f t="shared" si="4"/>
        <v>5</v>
      </c>
      <c r="D339" s="1492">
        <f t="shared" si="45"/>
        <v>1</v>
      </c>
      <c r="E339" s="1492">
        <f t="shared" si="46"/>
        <v>10</v>
      </c>
      <c r="F339" s="1526" t="s">
        <v>11708</v>
      </c>
      <c r="G339" s="862"/>
      <c r="H339" s="823"/>
      <c r="I339" s="700"/>
      <c r="J339" s="824"/>
      <c r="K339" s="790"/>
      <c r="L339" s="700"/>
      <c r="M339" s="870"/>
      <c r="N339" s="399"/>
      <c r="O339" s="344"/>
      <c r="P339" s="342"/>
      <c r="Q339" s="1507"/>
      <c r="R339" s="1525"/>
      <c r="S339" s="1521"/>
      <c r="V339" s="1325"/>
      <c r="W339" s="1325"/>
      <c r="X339" s="1325"/>
    </row>
    <row r="340" spans="1:24" s="863" customFormat="1" ht="12.75">
      <c r="A340" s="1482"/>
      <c r="B340" s="1482">
        <v>1</v>
      </c>
      <c r="C340" s="1483">
        <f t="shared" si="4"/>
        <v>5</v>
      </c>
      <c r="D340" s="1492">
        <f t="shared" si="45"/>
        <v>1</v>
      </c>
      <c r="E340" s="1492">
        <f t="shared" si="46"/>
        <v>11</v>
      </c>
      <c r="F340" s="1526" t="s">
        <v>11708</v>
      </c>
      <c r="G340" s="862"/>
      <c r="H340" s="1527" t="s">
        <v>11703</v>
      </c>
      <c r="I340" s="1528" t="s">
        <v>64</v>
      </c>
      <c r="J340" s="1529" t="str">
        <f>CONCATENATE(C340,".",D340,".",E340)</f>
        <v>5.1.11</v>
      </c>
      <c r="K340" s="1530" t="s">
        <v>14044</v>
      </c>
      <c r="L340" s="1531" t="s">
        <v>25</v>
      </c>
      <c r="M340" s="1532" t="s">
        <v>11704</v>
      </c>
      <c r="N340" s="586" t="s">
        <v>11705</v>
      </c>
      <c r="O340" s="587" t="s">
        <v>11706</v>
      </c>
      <c r="P340" s="588" t="s">
        <v>27</v>
      </c>
      <c r="Q340" s="1507" t="s">
        <v>11704</v>
      </c>
      <c r="R340" s="1525"/>
      <c r="S340" s="1521"/>
      <c r="V340" s="1325"/>
      <c r="W340" s="1325"/>
      <c r="X340" s="1325"/>
    </row>
    <row r="341" spans="1:24" s="863" customFormat="1" ht="12.75">
      <c r="A341" s="1482"/>
      <c r="B341" s="1482"/>
      <c r="C341" s="1483">
        <f t="shared" si="4"/>
        <v>5</v>
      </c>
      <c r="D341" s="1492">
        <f t="shared" si="45"/>
        <v>1</v>
      </c>
      <c r="E341" s="1492">
        <f t="shared" si="46"/>
        <v>11</v>
      </c>
      <c r="F341" s="1526" t="s">
        <v>11708</v>
      </c>
      <c r="G341" s="862"/>
      <c r="H341" s="823"/>
      <c r="I341" s="700"/>
      <c r="J341" s="824"/>
      <c r="K341" s="700"/>
      <c r="L341" s="700"/>
      <c r="M341" s="870"/>
      <c r="N341" s="399"/>
      <c r="O341" s="344"/>
      <c r="P341" s="342"/>
      <c r="Q341" s="1507"/>
      <c r="R341" s="1525"/>
      <c r="S341" s="1521"/>
      <c r="V341" s="1325"/>
      <c r="W341" s="1325"/>
      <c r="X341" s="1325"/>
    </row>
    <row r="342" spans="1:24" s="863" customFormat="1" ht="12.75">
      <c r="A342" s="1482"/>
      <c r="B342" s="1482"/>
      <c r="C342" s="1483">
        <f t="shared" si="4"/>
        <v>5</v>
      </c>
      <c r="D342" s="1492">
        <f t="shared" si="45"/>
        <v>1</v>
      </c>
      <c r="E342" s="1492">
        <f t="shared" si="46"/>
        <v>11</v>
      </c>
      <c r="F342" s="1526" t="s">
        <v>11708</v>
      </c>
      <c r="G342" s="862" t="s">
        <v>14121</v>
      </c>
      <c r="H342" s="823" t="str">
        <f>VLOOKUP(G342,MC_INTERCEPTORES!C:P,2,0)</f>
        <v>SANEAGO</v>
      </c>
      <c r="I342" s="700">
        <f>VLOOKUP(G342,MC_INTERCEPTORES!C:P,3,0)</f>
        <v>1418</v>
      </c>
      <c r="J342" s="824"/>
      <c r="K342" s="790" t="str">
        <f>(IF(H342="Saneago",VLOOKUP(I342,'SANEAGO-FEV.2016'!A:B,2,0),IF(H342="Sinapi",VLOOKUP(I342,'SINAPI-FEV.2017'!A:D,2,0),IF(H342="Cotação",VLOOKUP(I342,COTAÇÃO!A:D,2,0),IF(H342="Composição",VLOOKUP(I342,COMPOSIÇÃO!A:D,2,0))))))</f>
        <v>CORTE E DEMOLIÇÃO  CALÇADA/PAVIMENTO ASFALTICO  COM EQUIPAMENTOS</v>
      </c>
      <c r="L342" s="700" t="str">
        <f>(IF(H342="Saneago",VLOOKUP(I342,'SANEAGO-FEV.2016'!A:D,3,0),IF(H342="Sinapi",VLOOKUP(I342,'SINAPI-FEV.2017'!A:D,3,0),IF(H342="Cotação",VLOOKUP(I342,COTAÇÃO!A:D,3,0),IF(H342="Composição",VLOOKUP(I342,COMPOSIÇÃO!A:D,3,0))))))</f>
        <v>M3</v>
      </c>
      <c r="M342" s="870">
        <f>ROUND(VLOOKUP(G342,MC_INTERCEPTORES!C:P,13,0),2)</f>
        <v>8.3699999999999992</v>
      </c>
      <c r="N342" s="399">
        <v>0</v>
      </c>
      <c r="O342" s="102">
        <f t="shared" ref="O342:O347" si="52">ROUND(IF(F342="Serviços",N342*(1+$O$7),IF(F342="Materiais",N342*(1+$O$8))),2)</f>
        <v>0</v>
      </c>
      <c r="P342" s="101">
        <f t="shared" ref="P342:P347" si="53">ROUND(M342*O342,2)</f>
        <v>0</v>
      </c>
      <c r="Q342" s="1507">
        <v>8.3699999999999992</v>
      </c>
      <c r="R342" s="1525"/>
      <c r="S342" s="1521"/>
      <c r="V342" s="1325"/>
      <c r="W342" s="1325"/>
      <c r="X342" s="1325"/>
    </row>
    <row r="343" spans="1:24" s="863" customFormat="1" ht="12.75">
      <c r="A343" s="1482"/>
      <c r="B343" s="1482"/>
      <c r="C343" s="1483">
        <f t="shared" si="4"/>
        <v>5</v>
      </c>
      <c r="D343" s="1492">
        <f t="shared" si="45"/>
        <v>1</v>
      </c>
      <c r="E343" s="1492">
        <f t="shared" si="46"/>
        <v>11</v>
      </c>
      <c r="F343" s="1526" t="s">
        <v>11708</v>
      </c>
      <c r="G343" s="862" t="s">
        <v>14122</v>
      </c>
      <c r="H343" s="823" t="str">
        <f>VLOOKUP(G343,MC_INTERCEPTORES!C:P,2,0)</f>
        <v>SANEAGO</v>
      </c>
      <c r="I343" s="700">
        <f>VLOOKUP(G343,MC_INTERCEPTORES!C:P,3,0)</f>
        <v>1419</v>
      </c>
      <c r="J343" s="824"/>
      <c r="K343" s="790" t="str">
        <f>(IF(H343="Saneago",VLOOKUP(I343,'SANEAGO-FEV.2016'!A:B,2,0),IF(H343="Sinapi",VLOOKUP(I343,'SINAPI-FEV.2017'!A:D,2,0),IF(H343="Cotação",VLOOKUP(I343,COTAÇÃO!A:D,2,0),IF(H343="Composição",VLOOKUP(I343,COMPOSIÇÃO!A:D,2,0))))))</f>
        <v>CORTE E DEMOLIÇÃO  DE CALCADA/PAVIMENTO ASFALTICO  MANUAL</v>
      </c>
      <c r="L343" s="700" t="str">
        <f>(IF(H343="Saneago",VLOOKUP(I343,'SANEAGO-FEV.2016'!A:D,3,0),IF(H343="Sinapi",VLOOKUP(I343,'SINAPI-FEV.2017'!A:D,3,0),IF(H343="Cotação",VLOOKUP(I343,COTAÇÃO!A:D,3,0),IF(H343="Composição",VLOOKUP(I343,COMPOSIÇÃO!A:D,3,0))))))</f>
        <v>M3</v>
      </c>
      <c r="M343" s="870">
        <f>ROUND(VLOOKUP(G343,MC_INTERCEPTORES!C:P,13,0),2)</f>
        <v>0.27</v>
      </c>
      <c r="N343" s="399">
        <v>0</v>
      </c>
      <c r="O343" s="102">
        <f t="shared" si="52"/>
        <v>0</v>
      </c>
      <c r="P343" s="101">
        <f t="shared" si="53"/>
        <v>0</v>
      </c>
      <c r="Q343" s="1507">
        <v>0.27</v>
      </c>
      <c r="R343" s="1525"/>
      <c r="S343" s="1521"/>
      <c r="V343" s="1325"/>
      <c r="W343" s="1325"/>
      <c r="X343" s="1325"/>
    </row>
    <row r="344" spans="1:24" s="863" customFormat="1" ht="33.75">
      <c r="A344" s="1482"/>
      <c r="B344" s="1482"/>
      <c r="C344" s="1483">
        <f t="shared" si="4"/>
        <v>5</v>
      </c>
      <c r="D344" s="1492">
        <f t="shared" si="45"/>
        <v>1</v>
      </c>
      <c r="E344" s="1492">
        <f t="shared" si="46"/>
        <v>11</v>
      </c>
      <c r="F344" s="1526" t="s">
        <v>11708</v>
      </c>
      <c r="G344" s="862" t="s">
        <v>14123</v>
      </c>
      <c r="H344" s="823" t="str">
        <f>VLOOKUP(G344,MC_INTERCEPTORES!C:P,2,0)</f>
        <v>SANEAGO</v>
      </c>
      <c r="I344" s="700">
        <f>VLOOKUP(G344,MC_INTERCEPTORES!C:P,3,0)</f>
        <v>1430</v>
      </c>
      <c r="J344" s="824"/>
      <c r="K344" s="790" t="str">
        <f>(IF(H344="Saneago",VLOOKUP(I344,'SANEAGO-FEV.2016'!A:B,2,0),IF(H344="Sinapi",VLOOKUP(I344,'SINAPI-FEV.2017'!A:D,2,0),IF(H344="Cotação",VLOOKUP(I344,COTAÇÃO!A:D,2,0),IF(H344="Composição",VLOOKUP(I344,COMPOSIÇÃO!A:D,2,0))))))</f>
        <v>REPOSIÇÃO    ASFÁLTICA    (REMENDO    PAVIMENTO    ESTABILIZADO+PRÉ-MISTURADO   A   FRIO   -   PMF)   -
EXCLUSIVE  MATERIAL DE EMPRÉSTIMO PARA BASE</v>
      </c>
      <c r="L344" s="700" t="str">
        <f>(IF(H344="Saneago",VLOOKUP(I344,'SANEAGO-FEV.2016'!A:D,3,0),IF(H344="Sinapi",VLOOKUP(I344,'SINAPI-FEV.2017'!A:D,3,0),IF(H344="Cotação",VLOOKUP(I344,COTAÇÃO!A:D,3,0),IF(H344="Composição",VLOOKUP(I344,COMPOSIÇÃO!A:D,3,0))))))</f>
        <v>M2</v>
      </c>
      <c r="M344" s="870">
        <f>ROUND(VLOOKUP(G344,MC_INTERCEPTORES!C:P,13,0),2)</f>
        <v>114</v>
      </c>
      <c r="N344" s="399">
        <v>0</v>
      </c>
      <c r="O344" s="102">
        <f t="shared" si="52"/>
        <v>0</v>
      </c>
      <c r="P344" s="101">
        <f t="shared" si="53"/>
        <v>0</v>
      </c>
      <c r="Q344" s="1507">
        <v>114</v>
      </c>
      <c r="R344" s="1525"/>
      <c r="S344" s="1521"/>
      <c r="V344" s="1325"/>
      <c r="W344" s="1325"/>
      <c r="X344" s="1325"/>
    </row>
    <row r="345" spans="1:24" s="863" customFormat="1" ht="33.75">
      <c r="A345" s="1482"/>
      <c r="B345" s="1482"/>
      <c r="C345" s="1483">
        <f t="shared" si="4"/>
        <v>5</v>
      </c>
      <c r="D345" s="1492">
        <f t="shared" si="45"/>
        <v>1</v>
      </c>
      <c r="E345" s="1492">
        <f t="shared" si="46"/>
        <v>11</v>
      </c>
      <c r="F345" s="1526" t="s">
        <v>11708</v>
      </c>
      <c r="G345" s="862" t="s">
        <v>14273</v>
      </c>
      <c r="H345" s="823" t="str">
        <f>VLOOKUP(G345,MC_INTERCEPTORES!C:P,2,0)</f>
        <v>SINAPI</v>
      </c>
      <c r="I345" s="700">
        <f>VLOOKUP(G345,MC_INTERCEPTORES!C:P,3,0)</f>
        <v>94990</v>
      </c>
      <c r="J345" s="824"/>
      <c r="K345" s="790" t="str">
        <f>(IF(H345="Saneago",VLOOKUP(I345,'SANEAGO-FEV.2016'!A:B,2,0),IF(H345="Sinapi",VLOOKUP(I345,'SINAPI-FEV.2017'!A:D,2,0),IF(H345="Cotação",VLOOKUP(I345,COTAÇÃO!A:D,2,0),IF(H345="Composição",VLOOKUP(I345,COMPOSIÇÃO!A:D,2,0))))))</f>
        <v>EXECUÇÃO DE PASSEIO (CALÇADA) OU PISO DE CONCRETO COM CONCRETO MOLDADO IN LOCO, FEITO EM OBRA, ACABAMENTO CONVENCIONAL, NÃO ARMADO. AF_07/2016</v>
      </c>
      <c r="L345" s="700" t="str">
        <f>(IF(H345="Saneago",VLOOKUP(I345,'SANEAGO-FEV.2016'!A:D,3,0),IF(H345="Sinapi",VLOOKUP(I345,'SINAPI-FEV.2017'!A:D,3,0),IF(H345="Cotação",VLOOKUP(I345,COTAÇÃO!A:D,3,0),IF(H345="Composição",VLOOKUP(I345,COMPOSIÇÃO!A:D,3,0))))))</f>
        <v>M3</v>
      </c>
      <c r="M345" s="870">
        <f>ROUND(VLOOKUP(G345,MC_INTERCEPTORES!C:P,13,0),2)</f>
        <v>1.8</v>
      </c>
      <c r="N345" s="399">
        <v>0</v>
      </c>
      <c r="O345" s="102">
        <f t="shared" si="52"/>
        <v>0</v>
      </c>
      <c r="P345" s="101">
        <f t="shared" si="53"/>
        <v>0</v>
      </c>
      <c r="Q345" s="1507">
        <v>1.8</v>
      </c>
      <c r="R345" s="1525"/>
      <c r="S345" s="1521"/>
      <c r="V345" s="1325"/>
      <c r="W345" s="1325"/>
      <c r="X345" s="1325"/>
    </row>
    <row r="346" spans="1:24" s="863" customFormat="1" ht="12.75">
      <c r="A346" s="1482"/>
      <c r="B346" s="1482"/>
      <c r="C346" s="1483">
        <f t="shared" si="4"/>
        <v>5</v>
      </c>
      <c r="D346" s="1492">
        <f t="shared" si="45"/>
        <v>1</v>
      </c>
      <c r="E346" s="1492">
        <f t="shared" si="46"/>
        <v>11</v>
      </c>
      <c r="F346" s="1526" t="s">
        <v>11708</v>
      </c>
      <c r="G346" s="862" t="s">
        <v>20311</v>
      </c>
      <c r="H346" s="823" t="str">
        <f>VLOOKUP(G346,MC_INTERCEPTORES!C:P,2,0)</f>
        <v>SANEAGO</v>
      </c>
      <c r="I346" s="700">
        <f>VLOOKUP(G346,MC_INTERCEPTORES!C:P,3,0)</f>
        <v>1424</v>
      </c>
      <c r="J346" s="824"/>
      <c r="K346" s="790" t="str">
        <f>(IF(H346="Saneago",VLOOKUP(I346,'SANEAGO-FEV.2016'!A:B,2,0),IF(H346="Sinapi",VLOOKUP(I346,'SINAPI-FEV.2017'!A:D,2,0),IF(H346="Cotação",VLOOKUP(I346,COTAÇÃO!A:D,2,0),IF(H346="Composição",VLOOKUP(I346,COMPOSIÇÃO!A:D,2,0))))))</f>
        <v>REMOÇÃO DE MEIO FIO EM CONCRETO</v>
      </c>
      <c r="L346" s="700" t="str">
        <f>(IF(H346="Saneago",VLOOKUP(I346,'SANEAGO-FEV.2016'!A:D,3,0),IF(H346="Sinapi",VLOOKUP(I346,'SINAPI-FEV.2017'!A:D,3,0),IF(H346="Cotação",VLOOKUP(I346,COTAÇÃO!A:D,3,0),IF(H346="Composição",VLOOKUP(I346,COMPOSIÇÃO!A:D,3,0))))))</f>
        <v>M</v>
      </c>
      <c r="M346" s="870">
        <f>ROUND(VLOOKUP(G346,MC_INTERCEPTORES!C:P,13,0),2)</f>
        <v>14.74</v>
      </c>
      <c r="N346" s="399">
        <v>0</v>
      </c>
      <c r="O346" s="102">
        <f t="shared" si="52"/>
        <v>0</v>
      </c>
      <c r="P346" s="101">
        <f t="shared" si="53"/>
        <v>0</v>
      </c>
      <c r="Q346" s="1507">
        <v>14.74</v>
      </c>
      <c r="R346" s="1525"/>
      <c r="S346" s="1521"/>
      <c r="V346" s="1325"/>
      <c r="W346" s="1325"/>
      <c r="X346" s="1325"/>
    </row>
    <row r="347" spans="1:24" s="863" customFormat="1" ht="45">
      <c r="A347" s="1482"/>
      <c r="B347" s="1482"/>
      <c r="C347" s="1483">
        <f t="shared" si="4"/>
        <v>5</v>
      </c>
      <c r="D347" s="1492">
        <f t="shared" si="45"/>
        <v>1</v>
      </c>
      <c r="E347" s="1492">
        <f t="shared" si="46"/>
        <v>11</v>
      </c>
      <c r="F347" s="1526" t="s">
        <v>11708</v>
      </c>
      <c r="G347" s="862" t="s">
        <v>20312</v>
      </c>
      <c r="H347" s="823" t="str">
        <f>VLOOKUP(G347,MC_INTERCEPTORES!C:P,2,0)</f>
        <v>SINAPI</v>
      </c>
      <c r="I347" s="700">
        <f>VLOOKUP(G347,MC_INTERCEPTORES!C:P,3,0)</f>
        <v>94273</v>
      </c>
      <c r="J347" s="824"/>
      <c r="K347" s="790" t="str">
        <f>(IF(H347="Saneago",VLOOKUP(I347,'SANEAGO-FEV.2016'!A:B,2,0),IF(H347="Sinapi",VLOOKUP(I347,'SINAPI-FEV.2017'!A:D,2,0),IF(H347="Cotação",VLOOKUP(I347,COTAÇÃO!A:D,2,0),IF(H347="Composição",VLOOKUP(I347,COMPOSIÇÃO!A:D,2,0))))))</f>
        <v>ASSENTAMENTO DE GUIA (MEIO-FIO) EM TRECHO RETO, CONFECCIONADA EM CONCRETO PRÉ-FABRICADO, DIMENSÕES 100X15X13X30 CM (COMPRIMENTO X BASE INFERIOR X BASE SUPERIOR X ALTURA), PARA VIAS URBANAS (USO VIÁRIO). AF_06/2016</v>
      </c>
      <c r="L347" s="700" t="str">
        <f>(IF(H347="Saneago",VLOOKUP(I347,'SANEAGO-FEV.2016'!A:D,3,0),IF(H347="Sinapi",VLOOKUP(I347,'SINAPI-FEV.2017'!A:D,3,0),IF(H347="Cotação",VLOOKUP(I347,COTAÇÃO!A:D,3,0),IF(H347="Composição",VLOOKUP(I347,COMPOSIÇÃO!A:D,3,0))))))</f>
        <v>M</v>
      </c>
      <c r="M347" s="870">
        <f>ROUND(VLOOKUP(G347,MC_INTERCEPTORES!C:P,13,0),2)</f>
        <v>14.74</v>
      </c>
      <c r="N347" s="399">
        <v>0</v>
      </c>
      <c r="O347" s="102">
        <f t="shared" si="52"/>
        <v>0</v>
      </c>
      <c r="P347" s="101">
        <f t="shared" si="53"/>
        <v>0</v>
      </c>
      <c r="Q347" s="1507">
        <v>14.74</v>
      </c>
      <c r="R347" s="1525"/>
      <c r="S347" s="1521"/>
      <c r="V347" s="1325"/>
      <c r="W347" s="1325"/>
      <c r="X347" s="1325"/>
    </row>
    <row r="348" spans="1:24" s="863" customFormat="1" ht="13.5" thickBot="1">
      <c r="A348" s="1482"/>
      <c r="B348" s="1482"/>
      <c r="C348" s="1483">
        <f t="shared" si="4"/>
        <v>5</v>
      </c>
      <c r="D348" s="1492">
        <f>D347+A348</f>
        <v>1</v>
      </c>
      <c r="E348" s="1492">
        <f>E347+B348</f>
        <v>11</v>
      </c>
      <c r="F348" s="1526" t="s">
        <v>11708</v>
      </c>
      <c r="G348" s="1535"/>
      <c r="H348" s="823"/>
      <c r="I348" s="700"/>
      <c r="J348" s="824"/>
      <c r="K348" s="790"/>
      <c r="L348" s="700"/>
      <c r="M348" s="870"/>
      <c r="N348" s="399"/>
      <c r="O348" s="344"/>
      <c r="P348" s="342"/>
      <c r="Q348" s="1507"/>
      <c r="R348" s="1525"/>
      <c r="S348" s="1521"/>
      <c r="V348" s="1325"/>
      <c r="W348" s="1325"/>
      <c r="X348" s="1325"/>
    </row>
    <row r="349" spans="1:24" s="863" customFormat="1" ht="14.25" customHeight="1" thickTop="1" thickBot="1">
      <c r="A349" s="1482"/>
      <c r="B349" s="1482"/>
      <c r="C349" s="1483">
        <f t="shared" si="4"/>
        <v>5</v>
      </c>
      <c r="D349" s="1492">
        <f t="shared" si="45"/>
        <v>1</v>
      </c>
      <c r="E349" s="1492">
        <f t="shared" si="46"/>
        <v>11</v>
      </c>
      <c r="F349" s="1526" t="s">
        <v>11708</v>
      </c>
      <c r="G349" s="1535"/>
      <c r="H349" s="1653" t="str">
        <f>"TOTAL ITEM: "&amp;J340 &amp;K340</f>
        <v>TOTAL ITEM: 5.1.11 CORTE E REPOSIÇÃO DE PAVIMENTOS - REDE</v>
      </c>
      <c r="I349" s="1654"/>
      <c r="J349" s="1654"/>
      <c r="K349" s="1654"/>
      <c r="L349" s="1654"/>
      <c r="M349" s="1654"/>
      <c r="N349" s="1654"/>
      <c r="O349" s="1654"/>
      <c r="P349" s="343">
        <f>SUBTOTAL(9,P342:P347)</f>
        <v>0</v>
      </c>
      <c r="Q349" s="1507"/>
      <c r="R349" s="1525"/>
      <c r="S349" s="1521"/>
      <c r="V349" s="1325"/>
      <c r="W349" s="1325"/>
      <c r="X349" s="1325"/>
    </row>
    <row r="350" spans="1:24" s="863" customFormat="1" ht="13.5" thickTop="1">
      <c r="A350" s="1482"/>
      <c r="B350" s="1482"/>
      <c r="C350" s="1483">
        <f t="shared" si="4"/>
        <v>5</v>
      </c>
      <c r="D350" s="1492">
        <f t="shared" si="45"/>
        <v>1</v>
      </c>
      <c r="E350" s="1492">
        <f t="shared" si="46"/>
        <v>11</v>
      </c>
      <c r="F350" s="1526" t="s">
        <v>11708</v>
      </c>
      <c r="G350" s="1535"/>
      <c r="H350" s="823"/>
      <c r="I350" s="700"/>
      <c r="J350" s="824"/>
      <c r="K350" s="790"/>
      <c r="L350" s="700"/>
      <c r="M350" s="870"/>
      <c r="N350" s="399"/>
      <c r="O350" s="344"/>
      <c r="P350" s="342"/>
      <c r="Q350" s="1507"/>
      <c r="R350" s="1525"/>
      <c r="S350" s="1521"/>
      <c r="V350" s="1325"/>
      <c r="W350" s="1325"/>
      <c r="X350" s="1325"/>
    </row>
    <row r="351" spans="1:24" s="863" customFormat="1" ht="12.75">
      <c r="A351" s="1482"/>
      <c r="B351" s="1482">
        <v>1</v>
      </c>
      <c r="C351" s="1483">
        <f t="shared" si="4"/>
        <v>5</v>
      </c>
      <c r="D351" s="1492">
        <f t="shared" si="45"/>
        <v>1</v>
      </c>
      <c r="E351" s="1492">
        <f t="shared" si="46"/>
        <v>12</v>
      </c>
      <c r="F351" s="1526" t="s">
        <v>11708</v>
      </c>
      <c r="G351" s="862"/>
      <c r="H351" s="1527" t="s">
        <v>11703</v>
      </c>
      <c r="I351" s="1528" t="s">
        <v>64</v>
      </c>
      <c r="J351" s="1529" t="str">
        <f>CONCATENATE(C351,".",D351,".",E351)</f>
        <v>5.1.12</v>
      </c>
      <c r="K351" s="1530" t="s">
        <v>14045</v>
      </c>
      <c r="L351" s="1531" t="s">
        <v>25</v>
      </c>
      <c r="M351" s="1532" t="s">
        <v>11704</v>
      </c>
      <c r="N351" s="586" t="s">
        <v>11705</v>
      </c>
      <c r="O351" s="587" t="s">
        <v>11706</v>
      </c>
      <c r="P351" s="588" t="s">
        <v>27</v>
      </c>
      <c r="Q351" s="1507" t="s">
        <v>11704</v>
      </c>
      <c r="R351" s="1525"/>
      <c r="S351" s="1521"/>
      <c r="V351" s="1325"/>
      <c r="W351" s="1325"/>
      <c r="X351" s="1325"/>
    </row>
    <row r="352" spans="1:24" s="863" customFormat="1" ht="12.75">
      <c r="A352" s="1482"/>
      <c r="B352" s="1482"/>
      <c r="C352" s="1483">
        <f t="shared" si="4"/>
        <v>5</v>
      </c>
      <c r="D352" s="1492">
        <f t="shared" si="45"/>
        <v>1</v>
      </c>
      <c r="E352" s="1492">
        <f t="shared" si="46"/>
        <v>12</v>
      </c>
      <c r="F352" s="1526" t="s">
        <v>11708</v>
      </c>
      <c r="G352" s="862"/>
      <c r="H352" s="823"/>
      <c r="I352" s="700"/>
      <c r="J352" s="824"/>
      <c r="K352" s="700"/>
      <c r="L352" s="700"/>
      <c r="M352" s="870"/>
      <c r="N352" s="399"/>
      <c r="O352" s="344"/>
      <c r="P352" s="342"/>
      <c r="Q352" s="1507"/>
      <c r="R352" s="1525"/>
      <c r="S352" s="1521"/>
      <c r="V352" s="1325"/>
      <c r="W352" s="1325"/>
      <c r="X352" s="1325"/>
    </row>
    <row r="353" spans="1:24" s="863" customFormat="1" ht="12.75">
      <c r="A353" s="1482"/>
      <c r="B353" s="1482"/>
      <c r="C353" s="1483">
        <f t="shared" si="4"/>
        <v>5</v>
      </c>
      <c r="D353" s="1492">
        <f t="shared" si="45"/>
        <v>1</v>
      </c>
      <c r="E353" s="1492">
        <f t="shared" si="46"/>
        <v>12</v>
      </c>
      <c r="F353" s="1526" t="s">
        <v>11708</v>
      </c>
      <c r="G353" s="862" t="s">
        <v>20316</v>
      </c>
      <c r="H353" s="823" t="str">
        <f>VLOOKUP(G353,MC_INTERCEPTORES!C:P,2,0)</f>
        <v>SANEAGO</v>
      </c>
      <c r="I353" s="700">
        <f>VLOOKUP(G353,MC_INTERCEPTORES!C:P,3,0)</f>
        <v>232</v>
      </c>
      <c r="J353" s="824"/>
      <c r="K353" s="790" t="str">
        <f>(IF(H353="Saneago",VLOOKUP(I353,'SANEAGO-FEV.2016'!A:B,2,0),IF(H353="Sinapi",VLOOKUP(I353,'SINAPI-FEV.2017'!A:D,2,0),IF(H353="Cotação",VLOOKUP(I353,COTAÇÃO!A:D,2,0),IF(H353="Composição",VLOOKUP(I353,COMPOSIÇÃO!A:D,2,0))))))</f>
        <v>AQUISIÇÃO  DE MATERIAL DE JAZIDA</v>
      </c>
      <c r="L353" s="700" t="str">
        <f>(IF(H353="Saneago",VLOOKUP(I353,'SANEAGO-FEV.2016'!A:D,3,0),IF(H353="Sinapi",VLOOKUP(I353,'SINAPI-FEV.2017'!A:D,3,0),IF(H353="Cotação",VLOOKUP(I353,COTAÇÃO!A:D,3,0),IF(H353="Composição",VLOOKUP(I353,COMPOSIÇÃO!A:D,3,0))))))</f>
        <v>M3</v>
      </c>
      <c r="M353" s="870">
        <f>ROUND(VLOOKUP(G353,MC_INTERCEPTORES!C:P,13,0),2)</f>
        <v>17.100000000000001</v>
      </c>
      <c r="N353" s="399">
        <v>0</v>
      </c>
      <c r="O353" s="102">
        <f>ROUND(IF(F353="Serviços",N353*(1+$O$7),IF(F353="Materiais",N353*(1+$O$8))),2)</f>
        <v>0</v>
      </c>
      <c r="P353" s="101">
        <f>ROUND(M353*O353,2)</f>
        <v>0</v>
      </c>
      <c r="Q353" s="1507">
        <v>17.100000000000001</v>
      </c>
      <c r="R353" s="1525"/>
      <c r="S353" s="1521"/>
      <c r="V353" s="1325"/>
      <c r="W353" s="1325"/>
      <c r="X353" s="1325"/>
    </row>
    <row r="354" spans="1:24" s="863" customFormat="1" ht="22.5">
      <c r="A354" s="1482"/>
      <c r="B354" s="1482"/>
      <c r="C354" s="1483">
        <f t="shared" si="4"/>
        <v>5</v>
      </c>
      <c r="D354" s="1492">
        <f t="shared" si="45"/>
        <v>1</v>
      </c>
      <c r="E354" s="1492">
        <f t="shared" si="46"/>
        <v>12</v>
      </c>
      <c r="F354" s="1526" t="s">
        <v>11708</v>
      </c>
      <c r="G354" s="862" t="s">
        <v>20317</v>
      </c>
      <c r="H354" s="823" t="str">
        <f>VLOOKUP(G354,MC_INTERCEPTORES!C:P,2,0)</f>
        <v>SANEAGO</v>
      </c>
      <c r="I354" s="700">
        <f>VLOOKUP(G354,MC_INTERCEPTORES!C:P,3,0)</f>
        <v>233</v>
      </c>
      <c r="J354" s="824"/>
      <c r="K354" s="790" t="str">
        <f>(IF(H354="Saneago",VLOOKUP(I354,'SANEAGO-FEV.2016'!A:B,2,0),IF(H354="Sinapi",VLOOKUP(I354,'SINAPI-FEV.2017'!A:D,2,0),IF(H354="Cotação",VLOOKUP(I354,COTAÇÃO!A:D,2,0),IF(H354="Composição",VLOOKUP(I354,COMPOSIÇÃO!A:D,2,0))))))</f>
        <v>ESCAVAÇÃO  E CARGA DE MATERIAL DE JAZIDA (COM TRATOR E PÁ CARREGADEIRA)</v>
      </c>
      <c r="L354" s="700" t="str">
        <f>(IF(H354="Saneago",VLOOKUP(I354,'SANEAGO-FEV.2016'!A:D,3,0),IF(H354="Sinapi",VLOOKUP(I354,'SINAPI-FEV.2017'!A:D,3,0),IF(H354="Cotação",VLOOKUP(I354,COTAÇÃO!A:D,3,0),IF(H354="Composição",VLOOKUP(I354,COMPOSIÇÃO!A:D,3,0))))))</f>
        <v>M3</v>
      </c>
      <c r="M354" s="870">
        <f>ROUND(VLOOKUP(G354,MC_INTERCEPTORES!C:P,13,0),2)</f>
        <v>17.100000000000001</v>
      </c>
      <c r="N354" s="399">
        <v>0</v>
      </c>
      <c r="O354" s="102">
        <f>ROUND(IF(F354="Serviços",N354*(1+$O$7),IF(F354="Materiais",N354*(1+$O$8))),2)</f>
        <v>0</v>
      </c>
      <c r="P354" s="101">
        <f>ROUND(M354*O354,2)</f>
        <v>0</v>
      </c>
      <c r="Q354" s="1507">
        <v>17.100000000000001</v>
      </c>
      <c r="R354" s="1525"/>
      <c r="S354" s="1521"/>
      <c r="V354" s="1325"/>
      <c r="W354" s="1325"/>
      <c r="X354" s="1325"/>
    </row>
    <row r="355" spans="1:24" s="863" customFormat="1" ht="22.5">
      <c r="A355" s="1482"/>
      <c r="B355" s="1482"/>
      <c r="C355" s="1483">
        <f t="shared" si="4"/>
        <v>5</v>
      </c>
      <c r="D355" s="1492">
        <f t="shared" si="45"/>
        <v>1</v>
      </c>
      <c r="E355" s="1492">
        <f t="shared" si="46"/>
        <v>12</v>
      </c>
      <c r="F355" s="1526" t="s">
        <v>11708</v>
      </c>
      <c r="G355" s="862" t="s">
        <v>20318</v>
      </c>
      <c r="H355" s="823" t="str">
        <f>VLOOKUP(G355,MC_INTERCEPTORES!C:P,2,0)</f>
        <v>SANEAGO</v>
      </c>
      <c r="I355" s="700">
        <f>VLOOKUP(G355,MC_INTERCEPTORES!C:P,3,0)</f>
        <v>246</v>
      </c>
      <c r="J355" s="824"/>
      <c r="K355" s="790" t="str">
        <f>(IF(H355="Saneago",VLOOKUP(I355,'SANEAGO-FEV.2016'!A:B,2,0),IF(H355="Sinapi",VLOOKUP(I355,'SINAPI-FEV.2017'!A:D,2,0),IF(H355="Cotação",VLOOKUP(I355,COTAÇÃO!A:D,2,0),IF(H355="Composição",VLOOKUP(I355,COMPOSIÇÃO!A:D,2,0))))))</f>
        <v>TRANSPORTE E DESCARGA  DE MATERIAL DE 1ª OU 2ª CATEGORIA  (M3 X KM) - EM CAMINHÃO  BASCULANTE CAP. 6 M3 - COM EMPOLAMENTO</v>
      </c>
      <c r="L355" s="700" t="str">
        <f>(IF(H355="Saneago",VLOOKUP(I355,'SANEAGO-FEV.2016'!A:D,3,0),IF(H355="Sinapi",VLOOKUP(I355,'SINAPI-FEV.2017'!A:D,3,0),IF(H355="Cotação",VLOOKUP(I355,COTAÇÃO!A:D,3,0),IF(H355="Composição",VLOOKUP(I355,COMPOSIÇÃO!A:D,3,0))))))</f>
        <v>M3XKM</v>
      </c>
      <c r="M355" s="870">
        <f>ROUND(VLOOKUP(G355,MC_INTERCEPTORES!C:P,13,0),2)</f>
        <v>63.27</v>
      </c>
      <c r="N355" s="399">
        <v>0</v>
      </c>
      <c r="O355" s="102">
        <f>ROUND(IF(F355="Serviços",N355*(1+$O$7),IF(F355="Materiais",N355*(1+$O$8))),2)</f>
        <v>0</v>
      </c>
      <c r="P355" s="101">
        <f>ROUND(M355*O355,2)</f>
        <v>0</v>
      </c>
      <c r="Q355" s="1507">
        <v>63.27</v>
      </c>
      <c r="R355" s="1525"/>
      <c r="S355" s="1521"/>
      <c r="V355" s="1325"/>
      <c r="W355" s="1325"/>
      <c r="X355" s="1325"/>
    </row>
    <row r="356" spans="1:24" s="863" customFormat="1" ht="13.5" thickBot="1">
      <c r="A356" s="1482"/>
      <c r="B356" s="1482"/>
      <c r="C356" s="1483">
        <f t="shared" si="4"/>
        <v>5</v>
      </c>
      <c r="D356" s="1492">
        <f t="shared" si="45"/>
        <v>1</v>
      </c>
      <c r="E356" s="1492">
        <f t="shared" si="46"/>
        <v>12</v>
      </c>
      <c r="F356" s="1526" t="s">
        <v>11708</v>
      </c>
      <c r="G356" s="1535"/>
      <c r="H356" s="823"/>
      <c r="I356" s="700"/>
      <c r="J356" s="824"/>
      <c r="K356" s="790"/>
      <c r="L356" s="700"/>
      <c r="M356" s="870"/>
      <c r="N356" s="399"/>
      <c r="O356" s="344"/>
      <c r="P356" s="342"/>
      <c r="Q356" s="1507"/>
      <c r="R356" s="1525"/>
      <c r="S356" s="1521"/>
      <c r="V356" s="1325"/>
      <c r="W356" s="1325"/>
      <c r="X356" s="1325"/>
    </row>
    <row r="357" spans="1:24" s="863" customFormat="1" ht="14.25" customHeight="1" thickTop="1" thickBot="1">
      <c r="A357" s="1482"/>
      <c r="B357" s="1482"/>
      <c r="C357" s="1483">
        <f t="shared" si="4"/>
        <v>5</v>
      </c>
      <c r="D357" s="1492">
        <f t="shared" si="45"/>
        <v>1</v>
      </c>
      <c r="E357" s="1492">
        <f t="shared" si="46"/>
        <v>12</v>
      </c>
      <c r="F357" s="1526" t="s">
        <v>11708</v>
      </c>
      <c r="G357" s="1535"/>
      <c r="H357" s="1653" t="str">
        <f>"TOTAL ITEM: "&amp;J351 &amp;K351</f>
        <v>TOTAL ITEM: 5.1.12 MATERIAL DE EMPRÉSTIMO PARA BASE ASFÁLTICA</v>
      </c>
      <c r="I357" s="1654"/>
      <c r="J357" s="1654"/>
      <c r="K357" s="1654"/>
      <c r="L357" s="1654"/>
      <c r="M357" s="1654"/>
      <c r="N357" s="1654"/>
      <c r="O357" s="1654"/>
      <c r="P357" s="343">
        <f>SUBTOTAL(9,P353:P355)</f>
        <v>0</v>
      </c>
      <c r="Q357" s="1507"/>
      <c r="R357" s="1525"/>
      <c r="S357" s="1521"/>
      <c r="V357" s="1325"/>
      <c r="W357" s="1325"/>
      <c r="X357" s="1325"/>
    </row>
    <row r="358" spans="1:24" s="863" customFormat="1" ht="13.5" thickTop="1">
      <c r="A358" s="1482"/>
      <c r="B358" s="1482"/>
      <c r="C358" s="1483">
        <f t="shared" si="4"/>
        <v>5</v>
      </c>
      <c r="D358" s="1492">
        <f t="shared" si="45"/>
        <v>1</v>
      </c>
      <c r="E358" s="1492">
        <f t="shared" si="46"/>
        <v>12</v>
      </c>
      <c r="F358" s="1526" t="s">
        <v>11708</v>
      </c>
      <c r="G358" s="862"/>
      <c r="H358" s="823"/>
      <c r="I358" s="700"/>
      <c r="J358" s="824"/>
      <c r="K358" s="790"/>
      <c r="L358" s="700"/>
      <c r="M358" s="870"/>
      <c r="N358" s="399"/>
      <c r="O358" s="344"/>
      <c r="P358" s="342"/>
      <c r="Q358" s="1507"/>
      <c r="R358" s="1525"/>
      <c r="S358" s="1521"/>
      <c r="V358" s="1325"/>
      <c r="W358" s="1325"/>
      <c r="X358" s="1325"/>
    </row>
    <row r="359" spans="1:24" s="863" customFormat="1" ht="12.75">
      <c r="A359" s="1482"/>
      <c r="B359" s="1482">
        <v>1</v>
      </c>
      <c r="C359" s="1483">
        <f t="shared" si="4"/>
        <v>5</v>
      </c>
      <c r="D359" s="1492">
        <f t="shared" si="45"/>
        <v>1</v>
      </c>
      <c r="E359" s="1492">
        <f t="shared" si="46"/>
        <v>13</v>
      </c>
      <c r="F359" s="1526" t="s">
        <v>11708</v>
      </c>
      <c r="G359" s="862"/>
      <c r="H359" s="1527" t="s">
        <v>11703</v>
      </c>
      <c r="I359" s="1528" t="s">
        <v>64</v>
      </c>
      <c r="J359" s="1529" t="str">
        <f>CONCATENATE(C359,".",D359,".",E359)</f>
        <v>5.1.13</v>
      </c>
      <c r="K359" s="1530" t="s">
        <v>14046</v>
      </c>
      <c r="L359" s="1531" t="s">
        <v>25</v>
      </c>
      <c r="M359" s="1532" t="s">
        <v>11704</v>
      </c>
      <c r="N359" s="586" t="s">
        <v>11705</v>
      </c>
      <c r="O359" s="587" t="s">
        <v>11706</v>
      </c>
      <c r="P359" s="588" t="s">
        <v>27</v>
      </c>
      <c r="Q359" s="1507" t="s">
        <v>11704</v>
      </c>
      <c r="R359" s="1525"/>
      <c r="S359" s="1521"/>
      <c r="V359" s="1325"/>
      <c r="W359" s="1325"/>
      <c r="X359" s="1325"/>
    </row>
    <row r="360" spans="1:24" s="863" customFormat="1" ht="12.75">
      <c r="A360" s="1482"/>
      <c r="B360" s="1482"/>
      <c r="C360" s="1483">
        <f t="shared" si="4"/>
        <v>5</v>
      </c>
      <c r="D360" s="1492">
        <f t="shared" si="45"/>
        <v>1</v>
      </c>
      <c r="E360" s="1492">
        <f t="shared" si="46"/>
        <v>13</v>
      </c>
      <c r="F360" s="1526" t="s">
        <v>11708</v>
      </c>
      <c r="G360" s="862"/>
      <c r="H360" s="823"/>
      <c r="I360" s="700"/>
      <c r="J360" s="824"/>
      <c r="K360" s="700"/>
      <c r="L360" s="700"/>
      <c r="M360" s="870"/>
      <c r="N360" s="399"/>
      <c r="O360" s="344"/>
      <c r="P360" s="342"/>
      <c r="Q360" s="1507"/>
      <c r="R360" s="1525"/>
      <c r="S360" s="1521"/>
      <c r="V360" s="1325"/>
      <c r="W360" s="1325"/>
      <c r="X360" s="1325"/>
    </row>
    <row r="361" spans="1:24" s="863" customFormat="1" ht="33.75">
      <c r="A361" s="1482"/>
      <c r="B361" s="1482"/>
      <c r="C361" s="1483">
        <f t="shared" si="4"/>
        <v>5</v>
      </c>
      <c r="D361" s="1492">
        <f t="shared" si="45"/>
        <v>1</v>
      </c>
      <c r="E361" s="1492">
        <f t="shared" si="46"/>
        <v>13</v>
      </c>
      <c r="F361" s="1526" t="s">
        <v>11708</v>
      </c>
      <c r="G361" s="862" t="s">
        <v>20313</v>
      </c>
      <c r="H361" s="823" t="str">
        <f>VLOOKUP(G361,MC_INTERCEPTORES!C:P,2,0)</f>
        <v>SINAPI</v>
      </c>
      <c r="I361" s="700" t="str">
        <f>VLOOKUP(G361,MC_INTERCEPTORES!C:P,3,0)</f>
        <v>74010/1</v>
      </c>
      <c r="J361" s="824"/>
      <c r="K361" s="790" t="str">
        <f>(IF(H361="Saneago",VLOOKUP(I361,'SANEAGO-FEV.2016'!A:B,2,0),IF(H361="Sinapi",VLOOKUP(I361,'SINAPI-FEV.2017'!A:D,2,0),IF(H361="Cotação",VLOOKUP(I361,COTAÇÃO!A:D,2,0),IF(H361="Composição",VLOOKUP(I361,COMPOSIÇÃO!A:D,2,0))))))</f>
        <v>CARGA E DESCARGA MECANICA DE SOLO UTILIZANDO CAMINHAO BASCULANTE 6,0M3/16T E PA CARREGADEIRA SOBRE PNEUS 128 HP, CAPACIDADE DA CAÇAMBA 1,7 A 2,8 M3, PESO OPERACIONAL 11632 KG</v>
      </c>
      <c r="L361" s="700" t="str">
        <f>(IF(H361="Saneago",VLOOKUP(I361,'SANEAGO-FEV.2016'!A:D,3,0),IF(H361="Sinapi",VLOOKUP(I361,'SINAPI-FEV.2017'!A:D,3,0),IF(H361="Cotação",VLOOKUP(I361,COTAÇÃO!A:D,3,0),IF(H361="Composição",VLOOKUP(I361,COMPOSIÇÃO!A:D,3,0))))))</f>
        <v>M3</v>
      </c>
      <c r="M361" s="870">
        <f>ROUND(VLOOKUP(G361,MC_INTERCEPTORES!C:P,13,0),2)</f>
        <v>6.84</v>
      </c>
      <c r="N361" s="399">
        <v>0</v>
      </c>
      <c r="O361" s="102">
        <f>ROUND(IF(F361="Serviços",N361*(1+$O$7),IF(F361="Materiais",N361*(1+$O$8))),2)</f>
        <v>0</v>
      </c>
      <c r="P361" s="101">
        <f>ROUND(M361*O361,2)</f>
        <v>0</v>
      </c>
      <c r="Q361" s="1507">
        <v>6.84</v>
      </c>
      <c r="R361" s="1525"/>
      <c r="S361" s="1521"/>
      <c r="V361" s="1325"/>
      <c r="W361" s="1325"/>
      <c r="X361" s="1325"/>
    </row>
    <row r="362" spans="1:24" s="863" customFormat="1" ht="22.5">
      <c r="A362" s="1482"/>
      <c r="B362" s="1482"/>
      <c r="C362" s="1483">
        <f t="shared" si="4"/>
        <v>5</v>
      </c>
      <c r="D362" s="1492">
        <f t="shared" si="45"/>
        <v>1</v>
      </c>
      <c r="E362" s="1492">
        <f t="shared" si="46"/>
        <v>13</v>
      </c>
      <c r="F362" s="1526" t="s">
        <v>11708</v>
      </c>
      <c r="G362" s="862" t="s">
        <v>20314</v>
      </c>
      <c r="H362" s="823" t="str">
        <f>VLOOKUP(G362,MC_INTERCEPTORES!C:P,2,0)</f>
        <v>SINAPI</v>
      </c>
      <c r="I362" s="700">
        <f>VLOOKUP(G362,MC_INTERCEPTORES!C:P,3,0)</f>
        <v>93590</v>
      </c>
      <c r="J362" s="824"/>
      <c r="K362" s="790" t="str">
        <f>(IF(H362="Saneago",VLOOKUP(I362,'SANEAGO-FEV.2016'!A:B,2,0),IF(H362="Sinapi",VLOOKUP(I362,'SINAPI-FEV.2017'!A:D,2,0),IF(H362="Cotação",VLOOKUP(I362,COTAÇÃO!A:D,2,0),IF(H362="Composição",VLOOKUP(I362,COMPOSIÇÃO!A:D,2,0))))))</f>
        <v>TRANSPORTE COM CAMINHÃO BASCULANTE DE 10 M3, EM VIA URBANA PAVIMENTADA, DMT ACIMA DE 30KM (UNIDADE: M3XKM). AF_04/2016</v>
      </c>
      <c r="L362" s="700" t="str">
        <f>(IF(H362="Saneago",VLOOKUP(I362,'SANEAGO-FEV.2016'!A:D,3,0),IF(H362="Sinapi",VLOOKUP(I362,'SINAPI-FEV.2017'!A:D,3,0),IF(H362="Cotação",VLOOKUP(I362,COTAÇÃO!A:D,3,0),IF(H362="Composição",VLOOKUP(I362,COMPOSIÇÃO!A:D,3,0))))))</f>
        <v>M3XKM</v>
      </c>
      <c r="M362" s="870">
        <f>ROUND(VLOOKUP(G362,MC_INTERCEPTORES!C:P,13,0),2)</f>
        <v>25.31</v>
      </c>
      <c r="N362" s="399">
        <v>0</v>
      </c>
      <c r="O362" s="102">
        <f>ROUND(IF(F362="Serviços",N362*(1+$O$7),IF(F362="Materiais",N362*(1+$O$8))),2)</f>
        <v>0</v>
      </c>
      <c r="P362" s="101">
        <f>ROUND(M362*O362,2)</f>
        <v>0</v>
      </c>
      <c r="Q362" s="1507">
        <v>25.31</v>
      </c>
      <c r="R362" s="1525"/>
      <c r="S362" s="1521"/>
      <c r="V362" s="1325"/>
      <c r="W362" s="1325"/>
      <c r="X362" s="1325"/>
    </row>
    <row r="363" spans="1:24" s="863" customFormat="1" ht="22.5">
      <c r="A363" s="1482"/>
      <c r="B363" s="1482"/>
      <c r="C363" s="1483">
        <f t="shared" si="4"/>
        <v>5</v>
      </c>
      <c r="D363" s="1492">
        <f t="shared" si="45"/>
        <v>1</v>
      </c>
      <c r="E363" s="1492">
        <f t="shared" si="46"/>
        <v>13</v>
      </c>
      <c r="F363" s="1526" t="s">
        <v>11708</v>
      </c>
      <c r="G363" s="862" t="s">
        <v>20315</v>
      </c>
      <c r="H363" s="823" t="str">
        <f>VLOOKUP(G363,MC_INTERCEPTORES!C:P,2,0)</f>
        <v>SINAPI</v>
      </c>
      <c r="I363" s="700">
        <f>VLOOKUP(G363,MC_INTERCEPTORES!C:P,3,0)</f>
        <v>83344</v>
      </c>
      <c r="J363" s="824"/>
      <c r="K363" s="790" t="str">
        <f>(IF(H363="Saneago",VLOOKUP(I363,'SANEAGO-FEV.2016'!A:B,2,0),IF(H363="Sinapi",VLOOKUP(I363,'SINAPI-FEV.2017'!A:D,2,0),IF(H363="Cotação",VLOOKUP(I363,COTAÇÃO!A:D,2,0),IF(H363="Composição",VLOOKUP(I363,COMPOSIÇÃO!A:D,2,0))))))</f>
        <v>ESPALHAMENTO DE MATERIAL EM BOTA FORA, COM UTILIZACAO DE TRATOR DE ESTEIRAS DE 165 HP</v>
      </c>
      <c r="L363" s="700" t="str">
        <f>(IF(H363="Saneago",VLOOKUP(I363,'SANEAGO-FEV.2016'!A:D,3,0),IF(H363="Sinapi",VLOOKUP(I363,'SINAPI-FEV.2017'!A:D,3,0),IF(H363="Cotação",VLOOKUP(I363,COTAÇÃO!A:D,3,0),IF(H363="Composição",VLOOKUP(I363,COMPOSIÇÃO!A:D,3,0))))))</f>
        <v>M3</v>
      </c>
      <c r="M363" s="870">
        <f>ROUND(VLOOKUP(G363,MC_INTERCEPTORES!C:P,13,0),2)</f>
        <v>6.84</v>
      </c>
      <c r="N363" s="399">
        <v>0</v>
      </c>
      <c r="O363" s="102">
        <f>ROUND(IF(F363="Serviços",N363*(1+$O$7),IF(F363="Materiais",N363*(1+$O$8))),2)</f>
        <v>0</v>
      </c>
      <c r="P363" s="101">
        <f>ROUND(M363*O363,2)</f>
        <v>0</v>
      </c>
      <c r="Q363" s="1507">
        <v>6.84</v>
      </c>
      <c r="R363" s="1525"/>
      <c r="S363" s="1521"/>
      <c r="V363" s="1325"/>
      <c r="W363" s="1325"/>
      <c r="X363" s="1325"/>
    </row>
    <row r="364" spans="1:24" s="863" customFormat="1" ht="13.5" thickBot="1">
      <c r="A364" s="1482"/>
      <c r="B364" s="1482"/>
      <c r="C364" s="1483">
        <f t="shared" si="4"/>
        <v>5</v>
      </c>
      <c r="D364" s="1492">
        <f t="shared" si="45"/>
        <v>1</v>
      </c>
      <c r="E364" s="1492">
        <f t="shared" si="46"/>
        <v>13</v>
      </c>
      <c r="F364" s="1526" t="s">
        <v>11708</v>
      </c>
      <c r="G364" s="1535"/>
      <c r="H364" s="823"/>
      <c r="I364" s="700"/>
      <c r="J364" s="824"/>
      <c r="K364" s="790"/>
      <c r="L364" s="700"/>
      <c r="M364" s="870"/>
      <c r="N364" s="399"/>
      <c r="O364" s="344"/>
      <c r="P364" s="342"/>
      <c r="Q364" s="1507"/>
      <c r="R364" s="1525"/>
      <c r="S364" s="1521"/>
      <c r="V364" s="1325"/>
      <c r="W364" s="1325"/>
      <c r="X364" s="1325"/>
    </row>
    <row r="365" spans="1:24" s="863" customFormat="1" ht="14.25" customHeight="1" thickTop="1" thickBot="1">
      <c r="A365" s="1482"/>
      <c r="B365" s="1482"/>
      <c r="C365" s="1483">
        <f t="shared" si="4"/>
        <v>5</v>
      </c>
      <c r="D365" s="1492">
        <f t="shared" si="45"/>
        <v>1</v>
      </c>
      <c r="E365" s="1492">
        <f t="shared" si="46"/>
        <v>13</v>
      </c>
      <c r="F365" s="1526" t="s">
        <v>11708</v>
      </c>
      <c r="G365" s="1535"/>
      <c r="H365" s="1653" t="str">
        <f>"TOTAL ITEM: "&amp;J359 &amp;K359</f>
        <v>TOTAL ITEM: 5.1.13 BOTA-FORA DE ENTULHOS (PAVIMENTOS)</v>
      </c>
      <c r="I365" s="1654"/>
      <c r="J365" s="1654"/>
      <c r="K365" s="1654"/>
      <c r="L365" s="1654"/>
      <c r="M365" s="1654"/>
      <c r="N365" s="1654"/>
      <c r="O365" s="1654"/>
      <c r="P365" s="343">
        <f>SUBTOTAL(9,P361:P363)</f>
        <v>0</v>
      </c>
      <c r="Q365" s="1507"/>
      <c r="R365" s="1525"/>
      <c r="S365" s="1521"/>
      <c r="V365" s="1325"/>
      <c r="W365" s="1325"/>
      <c r="X365" s="1325"/>
    </row>
    <row r="366" spans="1:24" s="863" customFormat="1" ht="13.5" thickTop="1">
      <c r="A366" s="1482"/>
      <c r="B366" s="1482"/>
      <c r="C366" s="1483">
        <f t="shared" si="4"/>
        <v>5</v>
      </c>
      <c r="D366" s="1492">
        <f t="shared" si="45"/>
        <v>1</v>
      </c>
      <c r="E366" s="1492">
        <f t="shared" si="46"/>
        <v>13</v>
      </c>
      <c r="F366" s="1526" t="s">
        <v>11708</v>
      </c>
      <c r="G366" s="862"/>
      <c r="H366" s="823"/>
      <c r="I366" s="700"/>
      <c r="J366" s="824"/>
      <c r="K366" s="790"/>
      <c r="L366" s="700"/>
      <c r="M366" s="870"/>
      <c r="N366" s="399"/>
      <c r="O366" s="344"/>
      <c r="P366" s="342"/>
      <c r="Q366" s="1507"/>
      <c r="R366" s="1525"/>
      <c r="S366" s="1521"/>
      <c r="V366" s="1325"/>
      <c r="W366" s="1325"/>
      <c r="X366" s="1325"/>
    </row>
    <row r="367" spans="1:24" s="863" customFormat="1" ht="12.75">
      <c r="A367" s="1482"/>
      <c r="B367" s="1482">
        <v>1</v>
      </c>
      <c r="C367" s="1483">
        <f t="shared" si="4"/>
        <v>5</v>
      </c>
      <c r="D367" s="1492">
        <f t="shared" si="45"/>
        <v>1</v>
      </c>
      <c r="E367" s="1492">
        <f t="shared" si="46"/>
        <v>14</v>
      </c>
      <c r="F367" s="1526" t="s">
        <v>11708</v>
      </c>
      <c r="G367" s="862"/>
      <c r="H367" s="1527" t="s">
        <v>11703</v>
      </c>
      <c r="I367" s="1528" t="s">
        <v>64</v>
      </c>
      <c r="J367" s="1529" t="str">
        <f>CONCATENATE(C367,".",D367,".",E367)</f>
        <v>5.1.14</v>
      </c>
      <c r="K367" s="1530" t="s">
        <v>14047</v>
      </c>
      <c r="L367" s="1531" t="s">
        <v>25</v>
      </c>
      <c r="M367" s="1532" t="s">
        <v>11704</v>
      </c>
      <c r="N367" s="586" t="s">
        <v>11705</v>
      </c>
      <c r="O367" s="587" t="s">
        <v>11706</v>
      </c>
      <c r="P367" s="588" t="s">
        <v>27</v>
      </c>
      <c r="Q367" s="1507" t="s">
        <v>11704</v>
      </c>
      <c r="R367" s="1525"/>
      <c r="S367" s="1521"/>
      <c r="V367" s="1325"/>
      <c r="W367" s="1325"/>
      <c r="X367" s="1325"/>
    </row>
    <row r="368" spans="1:24" s="863" customFormat="1" ht="12.75">
      <c r="A368" s="1482"/>
      <c r="B368" s="1482"/>
      <c r="C368" s="1483">
        <f t="shared" si="4"/>
        <v>5</v>
      </c>
      <c r="D368" s="1492">
        <f t="shared" si="45"/>
        <v>1</v>
      </c>
      <c r="E368" s="1492">
        <f t="shared" si="46"/>
        <v>14</v>
      </c>
      <c r="F368" s="1526" t="s">
        <v>11708</v>
      </c>
      <c r="G368" s="862"/>
      <c r="H368" s="823"/>
      <c r="I368" s="700"/>
      <c r="J368" s="824"/>
      <c r="K368" s="700"/>
      <c r="L368" s="700"/>
      <c r="M368" s="870"/>
      <c r="N368" s="399"/>
      <c r="O368" s="344"/>
      <c r="P368" s="342"/>
      <c r="Q368" s="1507"/>
      <c r="R368" s="1525"/>
      <c r="S368" s="1521"/>
      <c r="V368" s="1325"/>
      <c r="W368" s="1325"/>
      <c r="X368" s="1325"/>
    </row>
    <row r="369" spans="1:24" s="863" customFormat="1" ht="22.5">
      <c r="A369" s="1482"/>
      <c r="B369" s="1482"/>
      <c r="C369" s="1483">
        <f t="shared" si="4"/>
        <v>5</v>
      </c>
      <c r="D369" s="1492">
        <f t="shared" si="45"/>
        <v>1</v>
      </c>
      <c r="E369" s="1492">
        <f t="shared" si="46"/>
        <v>14</v>
      </c>
      <c r="F369" s="1526" t="s">
        <v>11708</v>
      </c>
      <c r="G369" s="862" t="s">
        <v>20319</v>
      </c>
      <c r="H369" s="823" t="str">
        <f>VLOOKUP(G369,MC_INTERCEPTORES!C:P,2,0)</f>
        <v>SANEAGO</v>
      </c>
      <c r="I369" s="700">
        <f>VLOOKUP(G369,MC_INTERCEPTORES!C:P,3,0)</f>
        <v>1737</v>
      </c>
      <c r="J369" s="824"/>
      <c r="K369" s="790" t="str">
        <f>(IF(H369="Saneago",VLOOKUP(I369,'SANEAGO-FEV.2016'!A:B,2,0),IF(H369="Sinapi",VLOOKUP(I369,'SINAPI-FEV.2017'!A:D,2,0),IF(H369="Cotação",VLOOKUP(I369,COTAÇÃO!A:D,2,0),IF(H369="Composição",VLOOKUP(I369,COMPOSIÇÃO!A:D,2,0))))))</f>
        <v>POÇO DE VISITA  EM ANÉIS DE CONCRETO DIÂMETROS 60 CM (CHAMINÉ) E 90 CM (BALÃO), INCLUINDO ANEL TAMPÃO DE CONCRETO, PROFUNDIDADE = 1,5 M</v>
      </c>
      <c r="L369" s="700" t="str">
        <f>(IF(H369="Saneago",VLOOKUP(I369,'SANEAGO-FEV.2016'!A:D,3,0),IF(H369="Sinapi",VLOOKUP(I369,'SINAPI-FEV.2017'!A:D,3,0),IF(H369="Cotação",VLOOKUP(I369,COTAÇÃO!A:D,3,0),IF(H369="Composição",VLOOKUP(I369,COMPOSIÇÃO!A:D,3,0))))))</f>
        <v>UN</v>
      </c>
      <c r="M369" s="870">
        <f>ROUND(VLOOKUP(G369,MC_INTERCEPTORES!C:P,13,0),2)</f>
        <v>3</v>
      </c>
      <c r="N369" s="399">
        <v>0</v>
      </c>
      <c r="O369" s="102">
        <f>ROUND(IF(F369="Serviços",N369*(1+$O$7),IF(F369="Materiais",N369*(1+$O$8))),2)</f>
        <v>0</v>
      </c>
      <c r="P369" s="101">
        <f>ROUND(M369*O369,2)</f>
        <v>0</v>
      </c>
      <c r="Q369" s="1507">
        <v>3</v>
      </c>
      <c r="R369" s="1525"/>
      <c r="S369" s="1521"/>
      <c r="V369" s="1325"/>
      <c r="W369" s="1325"/>
      <c r="X369" s="1325"/>
    </row>
    <row r="370" spans="1:24" s="863" customFormat="1" ht="22.5">
      <c r="A370" s="1482"/>
      <c r="B370" s="1482"/>
      <c r="C370" s="1483">
        <f t="shared" si="4"/>
        <v>5</v>
      </c>
      <c r="D370" s="1492">
        <f t="shared" si="45"/>
        <v>1</v>
      </c>
      <c r="E370" s="1492">
        <f t="shared" si="46"/>
        <v>14</v>
      </c>
      <c r="F370" s="1526" t="s">
        <v>11708</v>
      </c>
      <c r="G370" s="862" t="s">
        <v>20320</v>
      </c>
      <c r="H370" s="823" t="str">
        <f>VLOOKUP(G370,MC_INTERCEPTORES!C:P,2,0)</f>
        <v>SANEAGO</v>
      </c>
      <c r="I370" s="700">
        <f>VLOOKUP(G370,MC_INTERCEPTORES!C:P,3,0)</f>
        <v>1612</v>
      </c>
      <c r="J370" s="824"/>
      <c r="K370" s="790" t="str">
        <f>(IF(H370="Saneago",VLOOKUP(I370,'SANEAGO-FEV.2016'!A:B,2,0),IF(H370="Sinapi",VLOOKUP(I370,'SINAPI-FEV.2017'!A:D,2,0),IF(H370="Cotação",VLOOKUP(I370,COTAÇÃO!A:D,2,0),IF(H370="Composição",VLOOKUP(I370,COMPOSIÇÃO!A:D,2,0))))))</f>
        <v>POÇO DE VISITA  EM ANÉIS DE CONCRETO DIÂMETROS 60 CM (CHAMINÉ) E 90 CM (BALÃO), INCLUINDO ANEL TAMPÃO DE CONCRETO, PROFUNDIDADE = 2,0 M</v>
      </c>
      <c r="L370" s="700" t="str">
        <f>(IF(H370="Saneago",VLOOKUP(I370,'SANEAGO-FEV.2016'!A:D,3,0),IF(H370="Sinapi",VLOOKUP(I370,'SINAPI-FEV.2017'!A:D,3,0),IF(H370="Cotação",VLOOKUP(I370,COTAÇÃO!A:D,3,0),IF(H370="Composição",VLOOKUP(I370,COMPOSIÇÃO!A:D,3,0))))))</f>
        <v>UN</v>
      </c>
      <c r="M370" s="870">
        <f>ROUND(VLOOKUP(G370,MC_INTERCEPTORES!C:P,13,0),2)</f>
        <v>4</v>
      </c>
      <c r="N370" s="399">
        <v>0</v>
      </c>
      <c r="O370" s="102">
        <f>ROUND(IF(F370="Serviços",N370*(1+$O$7),IF(F370="Materiais",N370*(1+$O$8))),2)</f>
        <v>0</v>
      </c>
      <c r="P370" s="101">
        <f>ROUND(M370*O370,2)</f>
        <v>0</v>
      </c>
      <c r="Q370" s="1507">
        <v>4</v>
      </c>
      <c r="R370" s="1525"/>
      <c r="S370" s="1521"/>
      <c r="V370" s="1325"/>
      <c r="W370" s="1325"/>
      <c r="X370" s="1325"/>
    </row>
    <row r="371" spans="1:24" s="863" customFormat="1" ht="22.5">
      <c r="A371" s="1482"/>
      <c r="B371" s="1482"/>
      <c r="C371" s="1483">
        <f t="shared" si="4"/>
        <v>5</v>
      </c>
      <c r="D371" s="1492">
        <f t="shared" ref="D371:E373" si="54">D370+A371</f>
        <v>1</v>
      </c>
      <c r="E371" s="1492">
        <f t="shared" si="54"/>
        <v>14</v>
      </c>
      <c r="F371" s="1526" t="s">
        <v>11708</v>
      </c>
      <c r="G371" s="862" t="s">
        <v>20321</v>
      </c>
      <c r="H371" s="823" t="str">
        <f>VLOOKUP(G371,MC_INTERCEPTORES!C:P,2,0)</f>
        <v>SANEAGO</v>
      </c>
      <c r="I371" s="700">
        <f>VLOOKUP(G371,MC_INTERCEPTORES!C:P,3,0)</f>
        <v>1613</v>
      </c>
      <c r="J371" s="824"/>
      <c r="K371" s="790" t="str">
        <f>(IF(H371="Saneago",VLOOKUP(I371,'SANEAGO-FEV.2016'!A:B,2,0),IF(H371="Sinapi",VLOOKUP(I371,'SINAPI-FEV.2017'!A:D,2,0),IF(H371="Cotação",VLOOKUP(I371,COTAÇÃO!A:D,2,0),IF(H371="Composição",VLOOKUP(I371,COMPOSIÇÃO!A:D,2,0))))))</f>
        <v>POÇO DE VISITA  EM ANÉIS DE CONCRETO DIÂMETROS 60 CM (CHAMINÉ) E 90 CM (BALÃO), INCLUINDO ANEL TAMPÃO DE CONCRETO, PROFUNDIDADE = 2,5 M</v>
      </c>
      <c r="L371" s="700" t="str">
        <f>(IF(H371="Saneago",VLOOKUP(I371,'SANEAGO-FEV.2016'!A:D,3,0),IF(H371="Sinapi",VLOOKUP(I371,'SINAPI-FEV.2017'!A:D,3,0),IF(H371="Cotação",VLOOKUP(I371,COTAÇÃO!A:D,3,0),IF(H371="Composição",VLOOKUP(I371,COMPOSIÇÃO!A:D,3,0))))))</f>
        <v>UN</v>
      </c>
      <c r="M371" s="870">
        <f>ROUND(VLOOKUP(G371,MC_INTERCEPTORES!C:P,13,0),2)</f>
        <v>7</v>
      </c>
      <c r="N371" s="399">
        <v>0</v>
      </c>
      <c r="O371" s="102">
        <f>ROUND(IF(F371="Serviços",N371*(1+$O$7),IF(F371="Materiais",N371*(1+$O$8))),2)</f>
        <v>0</v>
      </c>
      <c r="P371" s="101">
        <f>ROUND(M371*O371,2)</f>
        <v>0</v>
      </c>
      <c r="Q371" s="1507">
        <v>7</v>
      </c>
      <c r="R371" s="1525"/>
      <c r="S371" s="1521"/>
      <c r="V371" s="1325"/>
      <c r="W371" s="1325"/>
      <c r="X371" s="1325"/>
    </row>
    <row r="372" spans="1:24" s="863" customFormat="1" ht="22.5">
      <c r="A372" s="1482"/>
      <c r="B372" s="1482"/>
      <c r="C372" s="1483">
        <f t="shared" si="4"/>
        <v>5</v>
      </c>
      <c r="D372" s="1492">
        <f t="shared" si="54"/>
        <v>1</v>
      </c>
      <c r="E372" s="1492">
        <f t="shared" si="54"/>
        <v>14</v>
      </c>
      <c r="F372" s="1526" t="s">
        <v>11708</v>
      </c>
      <c r="G372" s="862" t="s">
        <v>20322</v>
      </c>
      <c r="H372" s="823" t="str">
        <f>VLOOKUP(G372,MC_INTERCEPTORES!C:P,2,0)</f>
        <v>SANEAGO</v>
      </c>
      <c r="I372" s="700">
        <f>VLOOKUP(G372,MC_INTERCEPTORES!C:P,3,0)</f>
        <v>1614</v>
      </c>
      <c r="J372" s="824"/>
      <c r="K372" s="790" t="str">
        <f>(IF(H372="Saneago",VLOOKUP(I372,'SANEAGO-FEV.2016'!A:B,2,0),IF(H372="Sinapi",VLOOKUP(I372,'SINAPI-FEV.2017'!A:D,2,0),IF(H372="Cotação",VLOOKUP(I372,COTAÇÃO!A:D,2,0),IF(H372="Composição",VLOOKUP(I372,COMPOSIÇÃO!A:D,2,0))))))</f>
        <v>POÇO DE VISITA  EM ANÉIS DE CONCRETO DIÂMETROS 60 CM (CHAMINÉ) E 90 CM (BALÃO), INCLUINDO ANEL TAMPÃO DE CONCRETO, PROFUNDIDADE = 3,0 M</v>
      </c>
      <c r="L372" s="700" t="str">
        <f>(IF(H372="Saneago",VLOOKUP(I372,'SANEAGO-FEV.2016'!A:D,3,0),IF(H372="Sinapi",VLOOKUP(I372,'SINAPI-FEV.2017'!A:D,3,0),IF(H372="Cotação",VLOOKUP(I372,COTAÇÃO!A:D,3,0),IF(H372="Composição",VLOOKUP(I372,COMPOSIÇÃO!A:D,3,0))))))</f>
        <v>UN</v>
      </c>
      <c r="M372" s="870">
        <f>ROUND(VLOOKUP(G372,MC_INTERCEPTORES!C:P,13,0),2)</f>
        <v>4</v>
      </c>
      <c r="N372" s="399">
        <v>0</v>
      </c>
      <c r="O372" s="102">
        <f>ROUND(IF(F372="Serviços",N372*(1+$O$7),IF(F372="Materiais",N372*(1+$O$8))),2)</f>
        <v>0</v>
      </c>
      <c r="P372" s="101">
        <f>ROUND(M372*O372,2)</f>
        <v>0</v>
      </c>
      <c r="Q372" s="1507">
        <v>4</v>
      </c>
      <c r="R372" s="1525"/>
      <c r="S372" s="1521"/>
      <c r="V372" s="1325"/>
      <c r="W372" s="1325"/>
      <c r="X372" s="1325"/>
    </row>
    <row r="373" spans="1:24" s="863" customFormat="1" ht="22.5">
      <c r="A373" s="1482"/>
      <c r="B373" s="1482"/>
      <c r="C373" s="1483">
        <f t="shared" si="4"/>
        <v>5</v>
      </c>
      <c r="D373" s="1492">
        <f t="shared" si="54"/>
        <v>1</v>
      </c>
      <c r="E373" s="1492">
        <f t="shared" si="54"/>
        <v>14</v>
      </c>
      <c r="F373" s="1526" t="s">
        <v>11708</v>
      </c>
      <c r="G373" s="862" t="s">
        <v>20323</v>
      </c>
      <c r="H373" s="823" t="str">
        <f>VLOOKUP(G373,MC_INTERCEPTORES!C:P,2,0)</f>
        <v>SANEAGO</v>
      </c>
      <c r="I373" s="700">
        <f>VLOOKUP(G373,MC_INTERCEPTORES!C:P,3,0)</f>
        <v>1615</v>
      </c>
      <c r="J373" s="824"/>
      <c r="K373" s="790" t="str">
        <f>(IF(H373="Saneago",VLOOKUP(I373,'SANEAGO-FEV.2016'!A:B,2,0),IF(H373="Sinapi",VLOOKUP(I373,'SINAPI-FEV.2017'!A:D,2,0),IF(H373="Cotação",VLOOKUP(I373,COTAÇÃO!A:D,2,0),IF(H373="Composição",VLOOKUP(I373,COMPOSIÇÃO!A:D,2,0))))))</f>
        <v>POÇO DE VISITA  EM ANÉIS DE CONCRETO DIÂMETROS 60 CM (CHAMINÉ) E 90 CM (BALÃO), INCLUINDO ANEL TAMPÃO DE CONCRETO, PROFUNDIDADE = 3,5 M</v>
      </c>
      <c r="L373" s="700" t="str">
        <f>(IF(H373="Saneago",VLOOKUP(I373,'SANEAGO-FEV.2016'!A:D,3,0),IF(H373="Sinapi",VLOOKUP(I373,'SINAPI-FEV.2017'!A:D,3,0),IF(H373="Cotação",VLOOKUP(I373,COTAÇÃO!A:D,3,0),IF(H373="Composição",VLOOKUP(I373,COMPOSIÇÃO!A:D,3,0))))))</f>
        <v>UN</v>
      </c>
      <c r="M373" s="870">
        <f>ROUND(VLOOKUP(G373,MC_INTERCEPTORES!C:P,13,0),2)</f>
        <v>1</v>
      </c>
      <c r="N373" s="399">
        <v>0</v>
      </c>
      <c r="O373" s="102">
        <f>ROUND(IF(F373="Serviços",N373*(1+$O$7),IF(F373="Materiais",N373*(1+$O$8))),2)</f>
        <v>0</v>
      </c>
      <c r="P373" s="101">
        <f>ROUND(M373*O373,2)</f>
        <v>0</v>
      </c>
      <c r="Q373" s="1507">
        <v>1</v>
      </c>
      <c r="R373" s="1525"/>
      <c r="S373" s="1521"/>
      <c r="V373" s="1325"/>
      <c r="W373" s="1325"/>
      <c r="X373" s="1325"/>
    </row>
    <row r="374" spans="1:24" s="863" customFormat="1" ht="13.5" thickBot="1">
      <c r="A374" s="1482"/>
      <c r="B374" s="1482"/>
      <c r="C374" s="1483">
        <f t="shared" si="4"/>
        <v>5</v>
      </c>
      <c r="D374" s="1492">
        <f t="shared" ref="D374:E376" si="55">D373+A374</f>
        <v>1</v>
      </c>
      <c r="E374" s="1492">
        <f t="shared" si="55"/>
        <v>14</v>
      </c>
      <c r="F374" s="1526" t="s">
        <v>11708</v>
      </c>
      <c r="G374" s="862"/>
      <c r="H374" s="823"/>
      <c r="I374" s="700"/>
      <c r="J374" s="824"/>
      <c r="K374" s="790"/>
      <c r="L374" s="700"/>
      <c r="M374" s="870"/>
      <c r="N374" s="399"/>
      <c r="O374" s="344"/>
      <c r="P374" s="342"/>
      <c r="Q374" s="1507"/>
      <c r="R374" s="1525"/>
      <c r="S374" s="1521"/>
      <c r="V374" s="1325"/>
      <c r="W374" s="1325"/>
      <c r="X374" s="1325"/>
    </row>
    <row r="375" spans="1:24" s="863" customFormat="1" ht="14.25" customHeight="1" thickTop="1" thickBot="1">
      <c r="A375" s="1482"/>
      <c r="B375" s="1482"/>
      <c r="C375" s="1483">
        <f t="shared" si="4"/>
        <v>5</v>
      </c>
      <c r="D375" s="1492">
        <f t="shared" si="55"/>
        <v>1</v>
      </c>
      <c r="E375" s="1492">
        <f t="shared" si="55"/>
        <v>14</v>
      </c>
      <c r="F375" s="1526" t="s">
        <v>11708</v>
      </c>
      <c r="G375" s="1535"/>
      <c r="H375" s="1653" t="str">
        <f>"TOTAL ITEM: "&amp;J367 &amp;K367</f>
        <v>TOTAL ITEM: 5.1.14 POÇOS DE VISITA</v>
      </c>
      <c r="I375" s="1654"/>
      <c r="J375" s="1654"/>
      <c r="K375" s="1654"/>
      <c r="L375" s="1654"/>
      <c r="M375" s="1654"/>
      <c r="N375" s="1654"/>
      <c r="O375" s="1654"/>
      <c r="P375" s="343">
        <f>SUBTOTAL(9,P369:P373)</f>
        <v>0</v>
      </c>
      <c r="Q375" s="1507"/>
      <c r="R375" s="1525"/>
      <c r="S375" s="1521"/>
      <c r="V375" s="1325"/>
      <c r="W375" s="1325"/>
      <c r="X375" s="1325"/>
    </row>
    <row r="376" spans="1:24" s="863" customFormat="1" ht="14.25" thickTop="1" thickBot="1">
      <c r="A376" s="1482"/>
      <c r="B376" s="1482"/>
      <c r="C376" s="1483">
        <f t="shared" si="4"/>
        <v>5</v>
      </c>
      <c r="D376" s="1492">
        <f t="shared" si="55"/>
        <v>1</v>
      </c>
      <c r="E376" s="1492">
        <f t="shared" si="55"/>
        <v>14</v>
      </c>
      <c r="F376" s="1526" t="s">
        <v>11708</v>
      </c>
      <c r="G376" s="1535"/>
      <c r="H376" s="929"/>
      <c r="I376" s="1371"/>
      <c r="J376" s="1022"/>
      <c r="K376" s="1371"/>
      <c r="L376" s="1371"/>
      <c r="M376" s="1536"/>
      <c r="N376" s="394"/>
      <c r="O376" s="728"/>
      <c r="P376" s="267"/>
      <c r="Q376" s="1507"/>
      <c r="R376" s="1525"/>
      <c r="S376" s="1521"/>
      <c r="V376" s="1325"/>
      <c r="W376" s="1325"/>
      <c r="X376" s="1325"/>
    </row>
    <row r="377" spans="1:24" s="863" customFormat="1" ht="14.25" customHeight="1" thickTop="1" thickBot="1">
      <c r="A377" s="1482">
        <v>1</v>
      </c>
      <c r="B377" s="1482"/>
      <c r="C377" s="1483">
        <f t="shared" si="4"/>
        <v>5</v>
      </c>
      <c r="D377" s="1492">
        <f>D376+A377</f>
        <v>2</v>
      </c>
      <c r="E377" s="1492">
        <v>0</v>
      </c>
      <c r="F377" s="1526" t="s">
        <v>11708</v>
      </c>
      <c r="G377" s="959"/>
      <c r="H377" s="1510" t="str">
        <f>CONCATENATE(C377,".",D377)</f>
        <v>5.2</v>
      </c>
      <c r="I377" s="1644" t="s">
        <v>14632</v>
      </c>
      <c r="J377" s="1644"/>
      <c r="K377" s="1644"/>
      <c r="L377" s="1644"/>
      <c r="M377" s="1644"/>
      <c r="N377" s="1644"/>
      <c r="O377" s="339" t="s">
        <v>11702</v>
      </c>
      <c r="P377" s="340">
        <f>SUBTOTAL(9,P379:P442)</f>
        <v>0</v>
      </c>
      <c r="Q377" s="1507"/>
      <c r="R377" s="1525"/>
      <c r="S377" s="1521"/>
      <c r="V377" s="1325"/>
      <c r="W377" s="1325"/>
      <c r="X377" s="1325"/>
    </row>
    <row r="378" spans="1:24" s="863" customFormat="1" ht="13.5" thickTop="1">
      <c r="A378" s="1482"/>
      <c r="B378" s="1482"/>
      <c r="C378" s="1483">
        <f t="shared" si="4"/>
        <v>5</v>
      </c>
      <c r="D378" s="1492">
        <f>D377+A378</f>
        <v>2</v>
      </c>
      <c r="E378" s="1492">
        <f>E377+B378</f>
        <v>0</v>
      </c>
      <c r="F378" s="1526" t="s">
        <v>11708</v>
      </c>
      <c r="G378" s="862"/>
      <c r="H378" s="823"/>
      <c r="I378" s="700"/>
      <c r="J378" s="824"/>
      <c r="K378" s="700"/>
      <c r="L378" s="700"/>
      <c r="M378" s="870"/>
      <c r="N378" s="399"/>
      <c r="O378" s="344"/>
      <c r="P378" s="342"/>
      <c r="Q378" s="1507"/>
      <c r="R378" s="1525"/>
      <c r="S378" s="1521"/>
      <c r="V378" s="1325"/>
      <c r="W378" s="1325"/>
      <c r="X378" s="1325"/>
    </row>
    <row r="379" spans="1:24" s="863" customFormat="1" ht="12.75">
      <c r="A379" s="1482"/>
      <c r="B379" s="1482"/>
      <c r="C379" s="1483">
        <f t="shared" si="4"/>
        <v>5</v>
      </c>
      <c r="D379" s="1492">
        <f t="shared" ref="D379:D385" si="56">D378+A379</f>
        <v>2</v>
      </c>
      <c r="E379" s="1492">
        <v>1</v>
      </c>
      <c r="F379" s="1526" t="s">
        <v>11708</v>
      </c>
      <c r="G379" s="916"/>
      <c r="H379" s="1527" t="s">
        <v>11703</v>
      </c>
      <c r="I379" s="1528" t="s">
        <v>64</v>
      </c>
      <c r="J379" s="1529" t="str">
        <f>CONCATENATE(C379,".",D379,".",E379)</f>
        <v>5.2.1</v>
      </c>
      <c r="K379" s="1530" t="s">
        <v>11709</v>
      </c>
      <c r="L379" s="1531" t="s">
        <v>25</v>
      </c>
      <c r="M379" s="1532" t="s">
        <v>11704</v>
      </c>
      <c r="N379" s="586" t="s">
        <v>11705</v>
      </c>
      <c r="O379" s="587" t="s">
        <v>11706</v>
      </c>
      <c r="P379" s="588" t="s">
        <v>27</v>
      </c>
      <c r="Q379" s="1507" t="s">
        <v>11704</v>
      </c>
      <c r="R379" s="1525"/>
      <c r="S379" s="1521"/>
      <c r="V379" s="1325"/>
      <c r="W379" s="1325"/>
      <c r="X379" s="1325"/>
    </row>
    <row r="380" spans="1:24" s="863" customFormat="1" ht="12.75">
      <c r="A380" s="1482"/>
      <c r="B380" s="1482"/>
      <c r="C380" s="1483">
        <f t="shared" si="4"/>
        <v>5</v>
      </c>
      <c r="D380" s="1492">
        <f t="shared" si="56"/>
        <v>2</v>
      </c>
      <c r="E380" s="1492">
        <f t="shared" ref="E380:E385" si="57">E379+B380</f>
        <v>1</v>
      </c>
      <c r="F380" s="1526" t="s">
        <v>11708</v>
      </c>
      <c r="G380" s="916"/>
      <c r="H380" s="823"/>
      <c r="I380" s="700"/>
      <c r="J380" s="824"/>
      <c r="K380" s="700"/>
      <c r="L380" s="700"/>
      <c r="M380" s="870"/>
      <c r="N380" s="399"/>
      <c r="O380" s="344"/>
      <c r="P380" s="342"/>
      <c r="Q380" s="1507"/>
      <c r="R380" s="1525"/>
      <c r="S380" s="1521"/>
      <c r="V380" s="1325"/>
      <c r="W380" s="1325"/>
      <c r="X380" s="1325"/>
    </row>
    <row r="381" spans="1:24" s="863" customFormat="1" ht="22.5">
      <c r="A381" s="1482"/>
      <c r="B381" s="1482"/>
      <c r="C381" s="1483">
        <f t="shared" si="4"/>
        <v>5</v>
      </c>
      <c r="D381" s="1492">
        <f>D380+A381</f>
        <v>2</v>
      </c>
      <c r="E381" s="1492">
        <f>E380+B381</f>
        <v>1</v>
      </c>
      <c r="F381" s="1526" t="s">
        <v>11708</v>
      </c>
      <c r="G381" s="921" t="s">
        <v>14563</v>
      </c>
      <c r="H381" s="823" t="str">
        <f>VLOOKUP(G381,MC_TRAVESSIA.AEREA!A:M,2,0)</f>
        <v>SINAPI</v>
      </c>
      <c r="I381" s="700">
        <f>VLOOKUP(G381,MC_TRAVESSIA.AEREA!A:M,3,0)</f>
        <v>85323</v>
      </c>
      <c r="J381" s="824"/>
      <c r="K381" s="790" t="str">
        <f>(IF(H381="Saneago",VLOOKUP(I381,'SANEAGO-FEV.2016'!A:B,2,0),IF(H381="Sinapi",VLOOKUP(I381,'SINAPI-FEV.2017'!A:D,2,0),IF(H381="Cotação",VLOOKUP(I381,COTAÇÃO!A:D,2,0),IF(H381="Composição",VLOOKUP(I381,COMPOSIÇÃO!A:D,2,0))))))</f>
        <v>LOCACAO E NIVELAMENTO DE EMISSARIO/REDE COLETORA COM AUXILIO DE EQUIPAMENTO TOPOGRAFICO</v>
      </c>
      <c r="L381" s="700" t="str">
        <f>(IF(H381="Saneago",VLOOKUP(I381,'SANEAGO-FEV.2016'!A:D,3,0),IF(H381="Sinapi",VLOOKUP(I381,'SINAPI-FEV.2017'!A:D,3,0),IF(H381="Cotação",VLOOKUP(I381,COTAÇÃO!A:D,3,0),IF(H381="Composição",VLOOKUP(I381,COMPOSIÇÃO!A:D,3,0))))))</f>
        <v>M</v>
      </c>
      <c r="M381" s="870">
        <f>ROUND(VLOOKUP(G381,MC_TRAVESSIA.AEREA!A:M,13,0),2)</f>
        <v>207</v>
      </c>
      <c r="N381" s="399">
        <v>0</v>
      </c>
      <c r="O381" s="102">
        <f>ROUND(IF(F381="Serviços",N381*(1+$O$7),IF(F381="Materiais",N381*(1+$O$8))),2)</f>
        <v>0</v>
      </c>
      <c r="P381" s="101">
        <f>ROUND(M381*O381,2)</f>
        <v>0</v>
      </c>
      <c r="Q381" s="1507">
        <v>207</v>
      </c>
      <c r="R381" s="1525"/>
      <c r="S381" s="1521"/>
      <c r="V381" s="1325"/>
      <c r="W381" s="1325"/>
      <c r="X381" s="1325"/>
    </row>
    <row r="382" spans="1:24" s="863" customFormat="1" ht="12.75">
      <c r="A382" s="1482"/>
      <c r="B382" s="1482"/>
      <c r="C382" s="1483">
        <f t="shared" si="4"/>
        <v>5</v>
      </c>
      <c r="D382" s="1492">
        <f>D381+A382</f>
        <v>2</v>
      </c>
      <c r="E382" s="1492">
        <f t="shared" si="57"/>
        <v>1</v>
      </c>
      <c r="F382" s="1526" t="s">
        <v>11708</v>
      </c>
      <c r="G382" s="848" t="s">
        <v>14564</v>
      </c>
      <c r="H382" s="823" t="str">
        <f>VLOOKUP(G382,MC_TRAVESSIA.AEREA!A:M,2,0)</f>
        <v>COMPOSIÇÃO</v>
      </c>
      <c r="I382" s="700" t="str">
        <f>VLOOKUP(G382,MC_TRAVESSIA.AEREA!A:M,3,0)</f>
        <v>CT.ESTRADA</v>
      </c>
      <c r="J382" s="824"/>
      <c r="K382" s="790" t="str">
        <f>(IF(H382="Saneago",VLOOKUP(I382,'SANEAGO-FEV.2016'!A:B,2,0),IF(H382="Sinapi",VLOOKUP(I382,'SINAPI-FEV.2017'!A:D,2,0),IF(H382="Cotação",VLOOKUP(I382,COTAÇÃO!A:D,2,0),IF(H382="Composição",VLOOKUP(I382,COMPOSIÇÃO!A:D,2,0))))))</f>
        <v>ESTRADA DE ACESSO</v>
      </c>
      <c r="L382" s="700" t="str">
        <f>(IF(H382="Saneago",VLOOKUP(I382,'SANEAGO-FEV.2016'!A:D,3,0),IF(H382="Sinapi",VLOOKUP(I382,'SINAPI-FEV.2017'!A:D,3,0),IF(H382="Cotação",VLOOKUP(I382,COTAÇÃO!A:D,3,0),IF(H382="Composição",VLOOKUP(I382,COMPOSIÇÃO!A:D,3,0))))))</f>
        <v>M²</v>
      </c>
      <c r="M382" s="870">
        <f>ROUND(VLOOKUP(G382,MC_TRAVESSIA.AEREA!A:M,13,0),2)</f>
        <v>500</v>
      </c>
      <c r="N382" s="399">
        <v>0</v>
      </c>
      <c r="O382" s="102">
        <f>ROUND(IF(F382="Serviços",N382*(1+$O$7),IF(F382="Materiais",N382*(1+$O$8))),2)</f>
        <v>0</v>
      </c>
      <c r="P382" s="101">
        <f>ROUND(M382*O382,2)</f>
        <v>0</v>
      </c>
      <c r="Q382" s="1507">
        <v>500</v>
      </c>
      <c r="R382" s="1525"/>
      <c r="S382" s="1521"/>
      <c r="V382" s="1325"/>
      <c r="W382" s="1325"/>
      <c r="X382" s="1325"/>
    </row>
    <row r="383" spans="1:24" s="863" customFormat="1" ht="13.5" thickBot="1">
      <c r="A383" s="1482"/>
      <c r="B383" s="1482"/>
      <c r="C383" s="1483">
        <f t="shared" si="4"/>
        <v>5</v>
      </c>
      <c r="D383" s="1492">
        <f>D382+A383</f>
        <v>2</v>
      </c>
      <c r="E383" s="1492">
        <f t="shared" si="57"/>
        <v>1</v>
      </c>
      <c r="F383" s="1526" t="s">
        <v>11708</v>
      </c>
      <c r="G383" s="1537"/>
      <c r="H383" s="823"/>
      <c r="I383" s="700"/>
      <c r="J383" s="824"/>
      <c r="K383" s="790"/>
      <c r="L383" s="700"/>
      <c r="M383" s="870"/>
      <c r="N383" s="399"/>
      <c r="O383" s="344"/>
      <c r="P383" s="342"/>
      <c r="Q383" s="1507"/>
      <c r="R383" s="1525"/>
      <c r="S383" s="1521"/>
      <c r="V383" s="1325"/>
      <c r="W383" s="1325"/>
      <c r="X383" s="1325"/>
    </row>
    <row r="384" spans="1:24" s="863" customFormat="1" ht="14.25" customHeight="1" thickTop="1" thickBot="1">
      <c r="A384" s="1482"/>
      <c r="B384" s="1482"/>
      <c r="C384" s="1483">
        <f t="shared" si="4"/>
        <v>5</v>
      </c>
      <c r="D384" s="1492">
        <f>D383+A384</f>
        <v>2</v>
      </c>
      <c r="E384" s="1492">
        <f t="shared" si="57"/>
        <v>1</v>
      </c>
      <c r="F384" s="1526" t="s">
        <v>11708</v>
      </c>
      <c r="G384" s="1537"/>
      <c r="H384" s="1653" t="str">
        <f>"TOTAL ITEM: "&amp;J379 &amp;K379</f>
        <v>TOTAL ITEM: 5.2.1 SERVIÇOS PRELIMINARES</v>
      </c>
      <c r="I384" s="1654"/>
      <c r="J384" s="1654"/>
      <c r="K384" s="1654"/>
      <c r="L384" s="1654"/>
      <c r="M384" s="1654"/>
      <c r="N384" s="1654"/>
      <c r="O384" s="1654"/>
      <c r="P384" s="343">
        <f>SUBTOTAL(9,P381:P382)</f>
        <v>0</v>
      </c>
      <c r="Q384" s="1507"/>
      <c r="R384" s="1525"/>
      <c r="S384" s="1521"/>
      <c r="V384" s="1325"/>
      <c r="W384" s="1325"/>
      <c r="X384" s="1325"/>
    </row>
    <row r="385" spans="1:24" s="863" customFormat="1" ht="13.5" thickTop="1">
      <c r="A385" s="1482"/>
      <c r="B385" s="1482"/>
      <c r="C385" s="1483">
        <f t="shared" si="4"/>
        <v>5</v>
      </c>
      <c r="D385" s="1492">
        <f t="shared" si="56"/>
        <v>2</v>
      </c>
      <c r="E385" s="1492">
        <f t="shared" si="57"/>
        <v>1</v>
      </c>
      <c r="F385" s="1526"/>
      <c r="G385" s="1537"/>
      <c r="H385" s="929"/>
      <c r="I385" s="1371"/>
      <c r="J385" s="1022"/>
      <c r="K385" s="1371"/>
      <c r="L385" s="1371"/>
      <c r="M385" s="1536"/>
      <c r="N385" s="394"/>
      <c r="O385" s="728"/>
      <c r="P385" s="267"/>
      <c r="Q385" s="1507"/>
      <c r="R385" s="1525"/>
      <c r="S385" s="1521"/>
      <c r="V385" s="1325"/>
      <c r="W385" s="1325"/>
      <c r="X385" s="1325"/>
    </row>
    <row r="386" spans="1:24" s="863" customFormat="1" ht="12.75">
      <c r="A386" s="1482"/>
      <c r="B386" s="1482">
        <v>1</v>
      </c>
      <c r="C386" s="1483">
        <f>C384</f>
        <v>5</v>
      </c>
      <c r="D386" s="1492">
        <f>D384+A386</f>
        <v>2</v>
      </c>
      <c r="E386" s="1492">
        <f>E384+B386</f>
        <v>2</v>
      </c>
      <c r="F386" s="1526" t="s">
        <v>11708</v>
      </c>
      <c r="G386" s="862"/>
      <c r="H386" s="1527" t="s">
        <v>11703</v>
      </c>
      <c r="I386" s="1528" t="s">
        <v>64</v>
      </c>
      <c r="J386" s="1529" t="str">
        <f>CONCATENATE(C386,".",D386,".",E386)</f>
        <v>5.2.2</v>
      </c>
      <c r="K386" s="1530" t="s">
        <v>11710</v>
      </c>
      <c r="L386" s="1531" t="s">
        <v>25</v>
      </c>
      <c r="M386" s="1532" t="s">
        <v>11704</v>
      </c>
      <c r="N386" s="586" t="s">
        <v>11705</v>
      </c>
      <c r="O386" s="587" t="s">
        <v>11706</v>
      </c>
      <c r="P386" s="588" t="s">
        <v>27</v>
      </c>
      <c r="Q386" s="1507" t="s">
        <v>11704</v>
      </c>
      <c r="R386" s="1525"/>
      <c r="S386" s="1521"/>
      <c r="V386" s="1325"/>
      <c r="W386" s="1325"/>
      <c r="X386" s="1325"/>
    </row>
    <row r="387" spans="1:24" s="863" customFormat="1" ht="12.75">
      <c r="A387" s="1482"/>
      <c r="B387" s="1482"/>
      <c r="C387" s="1483">
        <f t="shared" si="4"/>
        <v>5</v>
      </c>
      <c r="D387" s="1492">
        <f>D386+A387</f>
        <v>2</v>
      </c>
      <c r="E387" s="1492">
        <f>E386+B387</f>
        <v>2</v>
      </c>
      <c r="F387" s="1526" t="s">
        <v>11708</v>
      </c>
      <c r="G387" s="862"/>
      <c r="H387" s="823"/>
      <c r="I387" s="700"/>
      <c r="J387" s="824"/>
      <c r="K387" s="700"/>
      <c r="L387" s="700"/>
      <c r="M387" s="870"/>
      <c r="N387" s="399"/>
      <c r="O387" s="344"/>
      <c r="P387" s="342"/>
      <c r="Q387" s="1507"/>
      <c r="R387" s="1525"/>
      <c r="S387" s="1521"/>
      <c r="V387" s="1325"/>
      <c r="W387" s="1325"/>
      <c r="X387" s="1325"/>
    </row>
    <row r="388" spans="1:24" s="863" customFormat="1" ht="56.25">
      <c r="A388" s="1482"/>
      <c r="B388" s="1482"/>
      <c r="C388" s="1483">
        <f t="shared" si="4"/>
        <v>5</v>
      </c>
      <c r="D388" s="1492">
        <f>D387+A388</f>
        <v>2</v>
      </c>
      <c r="E388" s="1492">
        <f>E387+B388</f>
        <v>2</v>
      </c>
      <c r="F388" s="1526" t="s">
        <v>11708</v>
      </c>
      <c r="G388" s="916" t="s">
        <v>14565</v>
      </c>
      <c r="H388" s="823" t="str">
        <f>VLOOKUP(G388,MC_TRAVESSIA.AEREA!A:M,2,0)</f>
        <v>SINAPI</v>
      </c>
      <c r="I388" s="700">
        <f>VLOOKUP(G388,MC_TRAVESSIA.AEREA!A:M,3,0)</f>
        <v>90105</v>
      </c>
      <c r="J388" s="824"/>
      <c r="K388" s="790" t="str">
        <f>(IF(H388="Saneago",VLOOKUP(I388,'SANEAGO-FEV.2016'!A:B,2,0),IF(H388="Sinapi",VLOOKUP(I388,'SINAPI-FEV.2017'!A:D,2,0),IF(H388="Cotação",VLOOKUP(I388,COTAÇÃO!A:D,2,0),IF(H388="Composição",VLOOKUP(I388,COMPOSIÇÃO!A:D,2,0))))))</f>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
      <c r="L388" s="700" t="str">
        <f>(IF(H388="Saneago",VLOOKUP(I388,'SANEAGO-FEV.2016'!A:D,3,0),IF(H388="Sinapi",VLOOKUP(I388,'SINAPI-FEV.2017'!A:D,3,0),IF(H388="Cotação",VLOOKUP(I388,COTAÇÃO!A:D,3,0),IF(H388="Composição",VLOOKUP(I388,COMPOSIÇÃO!A:D,3,0))))))</f>
        <v>M3</v>
      </c>
      <c r="M388" s="870">
        <f>ROUND(VLOOKUP(G388,MC_TRAVESSIA.AEREA!A:M,13,0),2)</f>
        <v>208.98</v>
      </c>
      <c r="N388" s="399">
        <v>0</v>
      </c>
      <c r="O388" s="102">
        <f t="shared" ref="O388:O396" si="58">ROUND(IF(F388="Serviços",N388*(1+$O$7),IF(F388="Materiais",N388*(1+$O$8))),2)</f>
        <v>0</v>
      </c>
      <c r="P388" s="101">
        <f t="shared" ref="P388:P396" si="59">ROUND(M388*O388,2)</f>
        <v>0</v>
      </c>
      <c r="Q388" s="1507">
        <v>208.98</v>
      </c>
      <c r="R388" s="1525"/>
      <c r="S388" s="1521"/>
      <c r="V388" s="1325"/>
      <c r="W388" s="1325"/>
      <c r="X388" s="1325"/>
    </row>
    <row r="389" spans="1:24" s="863" customFormat="1" ht="22.5">
      <c r="A389" s="1482"/>
      <c r="B389" s="1482"/>
      <c r="C389" s="1483">
        <f t="shared" si="4"/>
        <v>5</v>
      </c>
      <c r="D389" s="1492">
        <f t="shared" ref="D389:D402" si="60">D388+A389</f>
        <v>2</v>
      </c>
      <c r="E389" s="1492">
        <f t="shared" ref="E389:E402" si="61">E388+B389</f>
        <v>2</v>
      </c>
      <c r="F389" s="1526" t="s">
        <v>11708</v>
      </c>
      <c r="G389" s="916" t="s">
        <v>14567</v>
      </c>
      <c r="H389" s="823" t="str">
        <f>VLOOKUP(G389,MC_TRAVESSIA.AEREA!A:M,2,0)</f>
        <v>SANEAGO</v>
      </c>
      <c r="I389" s="700">
        <f>VLOOKUP(G389,MC_TRAVESSIA.AEREA!A:M,3,0)</f>
        <v>192</v>
      </c>
      <c r="J389" s="824"/>
      <c r="K389" s="790" t="str">
        <f>(IF(H389="Saneago",VLOOKUP(I389,'SANEAGO-FEV.2016'!A:B,2,0),IF(H389="Sinapi",VLOOKUP(I389,'SINAPI-FEV.2017'!A:D,2,0),IF(H389="Cotação",VLOOKUP(I389,COTAÇÃO!A:D,2,0),IF(H389="Composição",VLOOKUP(I389,COMPOSIÇÃO!A:D,2,0))))))</f>
        <v>ESCAVAÇÃO  MECANIZADA   (COM  RETROESCAVADEIRA)  EM VALAS  COM  MATERIAL  DE  2ª  CATEGORIA  - PROFUNDIDADE ATÉ 2,0 M</v>
      </c>
      <c r="L389" s="700" t="str">
        <f>(IF(H389="Saneago",VLOOKUP(I389,'SANEAGO-FEV.2016'!A:D,3,0),IF(H389="Sinapi",VLOOKUP(I389,'SINAPI-FEV.2017'!A:D,3,0),IF(H389="Cotação",VLOOKUP(I389,COTAÇÃO!A:D,3,0),IF(H389="Composição",VLOOKUP(I389,COMPOSIÇÃO!A:D,3,0))))))</f>
        <v>M3</v>
      </c>
      <c r="M389" s="870">
        <f>ROUND(VLOOKUP(G389,MC_TRAVESSIA.AEREA!A:M,13,0),2)</f>
        <v>11.61</v>
      </c>
      <c r="N389" s="399">
        <v>0</v>
      </c>
      <c r="O389" s="102">
        <f t="shared" si="58"/>
        <v>0</v>
      </c>
      <c r="P389" s="101">
        <f t="shared" si="59"/>
        <v>0</v>
      </c>
      <c r="Q389" s="1507">
        <v>11.61</v>
      </c>
      <c r="R389" s="1525"/>
      <c r="S389" s="1521"/>
      <c r="V389" s="1325"/>
      <c r="W389" s="1325"/>
      <c r="X389" s="1325"/>
    </row>
    <row r="390" spans="1:24" s="863" customFormat="1" ht="22.5">
      <c r="A390" s="1482"/>
      <c r="B390" s="1482"/>
      <c r="C390" s="1483">
        <f t="shared" si="4"/>
        <v>5</v>
      </c>
      <c r="D390" s="1492">
        <f t="shared" si="60"/>
        <v>2</v>
      </c>
      <c r="E390" s="1492">
        <f t="shared" si="61"/>
        <v>2</v>
      </c>
      <c r="F390" s="1526" t="s">
        <v>11708</v>
      </c>
      <c r="G390" s="916" t="s">
        <v>14569</v>
      </c>
      <c r="H390" s="823" t="str">
        <f>VLOOKUP(G390,MC_TRAVESSIA.AEREA!A:M,2,0)</f>
        <v>SANEAGO</v>
      </c>
      <c r="I390" s="700">
        <f>VLOOKUP(G390,MC_TRAVESSIA.AEREA!A:M,3,0)</f>
        <v>194</v>
      </c>
      <c r="J390" s="824"/>
      <c r="K390" s="790" t="str">
        <f>(IF(H390="Saneago",VLOOKUP(I390,'SANEAGO-FEV.2016'!A:B,2,0),IF(H390="Sinapi",VLOOKUP(I390,'SINAPI-FEV.2017'!A:D,2,0),IF(H390="Cotação",VLOOKUP(I390,COTAÇÃO!A:D,2,0),IF(H390="Composição",VLOOKUP(I390,COMPOSIÇÃO!A:D,2,0))))))</f>
        <v>ESCAVAÇÃO   MECANIZADA   (COM  RETROESCAVADEIRA)  EM  VALAS  COM  MATERIAL   DE  SOLO  MOLE  - PROFUNDIDADE ATÉ 2,0 M</v>
      </c>
      <c r="L390" s="700" t="str">
        <f>(IF(H390="Saneago",VLOOKUP(I390,'SANEAGO-FEV.2016'!A:D,3,0),IF(H390="Sinapi",VLOOKUP(I390,'SINAPI-FEV.2017'!A:D,3,0),IF(H390="Cotação",VLOOKUP(I390,COTAÇÃO!A:D,3,0),IF(H390="Composição",VLOOKUP(I390,COMPOSIÇÃO!A:D,3,0))))))</f>
        <v>M3</v>
      </c>
      <c r="M390" s="870">
        <f>ROUND(VLOOKUP(G390,MC_TRAVESSIA.AEREA!A:M,13,0),2)</f>
        <v>11.61</v>
      </c>
      <c r="N390" s="399">
        <v>0</v>
      </c>
      <c r="O390" s="102">
        <f t="shared" si="58"/>
        <v>0</v>
      </c>
      <c r="P390" s="101">
        <f t="shared" si="59"/>
        <v>0</v>
      </c>
      <c r="Q390" s="1507">
        <v>11.61</v>
      </c>
      <c r="R390" s="1525"/>
      <c r="S390" s="1521"/>
      <c r="V390" s="1325"/>
      <c r="W390" s="1325"/>
      <c r="X390" s="1325"/>
    </row>
    <row r="391" spans="1:24" s="863" customFormat="1" ht="12.75">
      <c r="A391" s="1482"/>
      <c r="B391" s="1482"/>
      <c r="C391" s="1483">
        <f t="shared" si="4"/>
        <v>5</v>
      </c>
      <c r="D391" s="1492">
        <f t="shared" si="60"/>
        <v>2</v>
      </c>
      <c r="E391" s="1492">
        <f t="shared" si="61"/>
        <v>2</v>
      </c>
      <c r="F391" s="1526" t="s">
        <v>11708</v>
      </c>
      <c r="G391" s="916" t="s">
        <v>14571</v>
      </c>
      <c r="H391" s="823" t="str">
        <f>VLOOKUP(G391,MC_TRAVESSIA.AEREA!A:M,2,0)</f>
        <v>SINAPI</v>
      </c>
      <c r="I391" s="700">
        <f>VLOOKUP(G391,MC_TRAVESSIA.AEREA!A:M,3,0)</f>
        <v>93358</v>
      </c>
      <c r="J391" s="824"/>
      <c r="K391" s="790" t="str">
        <f>(IF(H391="Saneago",VLOOKUP(I391,'SANEAGO-FEV.2016'!A:B,2,0),IF(H391="Sinapi",VLOOKUP(I391,'SINAPI-FEV.2017'!A:D,2,0),IF(H391="Cotação",VLOOKUP(I391,COTAÇÃO!A:D,2,0),IF(H391="Composição",VLOOKUP(I391,COMPOSIÇÃO!A:D,2,0))))))</f>
        <v>ESCAVAÇÃO MANUAL DE VALAS. AF_03/2016</v>
      </c>
      <c r="L391" s="700" t="str">
        <f>(IF(H391="Saneago",VLOOKUP(I391,'SANEAGO-FEV.2016'!A:D,3,0),IF(H391="Sinapi",VLOOKUP(I391,'SINAPI-FEV.2017'!A:D,3,0),IF(H391="Cotação",VLOOKUP(I391,COTAÇÃO!A:D,3,0),IF(H391="Composição",VLOOKUP(I391,COMPOSIÇÃO!A:D,3,0))))))</f>
        <v>M3</v>
      </c>
      <c r="M391" s="870">
        <f>ROUND(VLOOKUP(G391,MC_TRAVESSIA.AEREA!A:M,13,0),2)</f>
        <v>11</v>
      </c>
      <c r="N391" s="399">
        <v>0</v>
      </c>
      <c r="O391" s="102">
        <f t="shared" si="58"/>
        <v>0</v>
      </c>
      <c r="P391" s="101">
        <f t="shared" si="59"/>
        <v>0</v>
      </c>
      <c r="Q391" s="1507">
        <v>11</v>
      </c>
      <c r="R391" s="1525"/>
      <c r="S391" s="1521"/>
      <c r="V391" s="1325"/>
      <c r="W391" s="1325"/>
      <c r="X391" s="1325"/>
    </row>
    <row r="392" spans="1:24" s="863" customFormat="1" ht="22.5">
      <c r="A392" s="1482"/>
      <c r="B392" s="1482"/>
      <c r="C392" s="1483">
        <f t="shared" si="4"/>
        <v>5</v>
      </c>
      <c r="D392" s="1492">
        <f t="shared" si="60"/>
        <v>2</v>
      </c>
      <c r="E392" s="1492">
        <f t="shared" si="61"/>
        <v>2</v>
      </c>
      <c r="F392" s="1526" t="s">
        <v>11708</v>
      </c>
      <c r="G392" s="916" t="s">
        <v>14573</v>
      </c>
      <c r="H392" s="823" t="str">
        <f>VLOOKUP(G392,MC_TRAVESSIA.AEREA!A:M,2,0)</f>
        <v>SANEAGO</v>
      </c>
      <c r="I392" s="700">
        <f>VLOOKUP(G392,MC_TRAVESSIA.AEREA!A:M,3,0)</f>
        <v>170</v>
      </c>
      <c r="J392" s="824"/>
      <c r="K392" s="790" t="str">
        <f>(IF(H392="Saneago",VLOOKUP(I392,'SANEAGO-FEV.2016'!A:B,2,0),IF(H392="Sinapi",VLOOKUP(I392,'SINAPI-FEV.2017'!A:D,2,0),IF(H392="Cotação",VLOOKUP(I392,COTAÇÃO!A:D,2,0),IF(H392="Composição",VLOOKUP(I392,COMPOSIÇÃO!A:D,2,0))))))</f>
        <v>ESCAVAÇÃO  MANUAL EM VALAS COM MATERIAL DE 2ª CATEGORIA  - PROFUNDIDADE ATÉ 2,0 M</v>
      </c>
      <c r="L392" s="700" t="str">
        <f>(IF(H392="Saneago",VLOOKUP(I392,'SANEAGO-FEV.2016'!A:D,3,0),IF(H392="Sinapi",VLOOKUP(I392,'SINAPI-FEV.2017'!A:D,3,0),IF(H392="Cotação",VLOOKUP(I392,COTAÇÃO!A:D,3,0),IF(H392="Composição",VLOOKUP(I392,COMPOSIÇÃO!A:D,3,0))))))</f>
        <v>M3</v>
      </c>
      <c r="M392" s="870">
        <f>ROUND(VLOOKUP(G392,MC_TRAVESSIA.AEREA!A:M,13,0),2)</f>
        <v>0.61</v>
      </c>
      <c r="N392" s="399">
        <v>0</v>
      </c>
      <c r="O392" s="102">
        <f t="shared" si="58"/>
        <v>0</v>
      </c>
      <c r="P392" s="101">
        <f t="shared" si="59"/>
        <v>0</v>
      </c>
      <c r="Q392" s="1507">
        <v>0.61</v>
      </c>
      <c r="R392" s="1525"/>
      <c r="S392" s="1521"/>
      <c r="V392" s="1325"/>
      <c r="W392" s="1325"/>
      <c r="X392" s="1325"/>
    </row>
    <row r="393" spans="1:24" s="863" customFormat="1" ht="22.5">
      <c r="A393" s="1482"/>
      <c r="B393" s="1482"/>
      <c r="C393" s="1483">
        <f t="shared" si="4"/>
        <v>5</v>
      </c>
      <c r="D393" s="1492">
        <f t="shared" si="60"/>
        <v>2</v>
      </c>
      <c r="E393" s="1492">
        <f t="shared" si="61"/>
        <v>2</v>
      </c>
      <c r="F393" s="1526" t="s">
        <v>11708</v>
      </c>
      <c r="G393" s="916" t="s">
        <v>14575</v>
      </c>
      <c r="H393" s="823" t="str">
        <f>VLOOKUP(G393,MC_TRAVESSIA.AEREA!A:M,2,0)</f>
        <v>SANEAGO</v>
      </c>
      <c r="I393" s="700">
        <f>VLOOKUP(G393,MC_TRAVESSIA.AEREA!A:M,3,0)</f>
        <v>176</v>
      </c>
      <c r="J393" s="824"/>
      <c r="K393" s="790" t="str">
        <f>(IF(H393="Saneago",VLOOKUP(I393,'SANEAGO-FEV.2016'!A:B,2,0),IF(H393="Sinapi",VLOOKUP(I393,'SINAPI-FEV.2017'!A:D,2,0),IF(H393="Cotação",VLOOKUP(I393,COTAÇÃO!A:D,2,0),IF(H393="Composição",VLOOKUP(I393,COMPOSIÇÃO!A:D,2,0))))))</f>
        <v>ESCAVAÇÃO  MANUAL EM VALAS COM MATERIAL DE BARRO - LAMA - PROFUNDIDADE ATÉ 2,0M</v>
      </c>
      <c r="L393" s="700" t="str">
        <f>(IF(H393="Saneago",VLOOKUP(I393,'SANEAGO-FEV.2016'!A:D,3,0),IF(H393="Sinapi",VLOOKUP(I393,'SINAPI-FEV.2017'!A:D,3,0),IF(H393="Cotação",VLOOKUP(I393,COTAÇÃO!A:D,3,0),IF(H393="Composição",VLOOKUP(I393,COMPOSIÇÃO!A:D,3,0))))))</f>
        <v>M3</v>
      </c>
      <c r="M393" s="870">
        <f>ROUND(VLOOKUP(G393,MC_TRAVESSIA.AEREA!A:M,13,0),2)</f>
        <v>0.61</v>
      </c>
      <c r="N393" s="399">
        <v>0</v>
      </c>
      <c r="O393" s="102">
        <f t="shared" si="58"/>
        <v>0</v>
      </c>
      <c r="P393" s="101">
        <f t="shared" si="59"/>
        <v>0</v>
      </c>
      <c r="Q393" s="1507">
        <v>0.61</v>
      </c>
      <c r="R393" s="1525"/>
      <c r="S393" s="1521"/>
      <c r="V393" s="1325"/>
      <c r="W393" s="1325"/>
      <c r="X393" s="1325"/>
    </row>
    <row r="394" spans="1:24" s="863" customFormat="1" ht="12.75">
      <c r="A394" s="1482"/>
      <c r="B394" s="1482"/>
      <c r="C394" s="1483">
        <f t="shared" si="4"/>
        <v>5</v>
      </c>
      <c r="D394" s="1492">
        <f t="shared" si="60"/>
        <v>2</v>
      </c>
      <c r="E394" s="1492">
        <f t="shared" si="61"/>
        <v>2</v>
      </c>
      <c r="F394" s="1526" t="s">
        <v>11708</v>
      </c>
      <c r="G394" s="916" t="s">
        <v>14577</v>
      </c>
      <c r="H394" s="823" t="str">
        <f>VLOOKUP(G394,MC_TRAVESSIA.AEREA!A:M,2,0)</f>
        <v>SINAPI</v>
      </c>
      <c r="I394" s="700" t="str">
        <f>VLOOKUP(G394,MC_TRAVESSIA.AEREA!A:M,3,0)</f>
        <v>73891/1</v>
      </c>
      <c r="J394" s="824"/>
      <c r="K394" s="790" t="str">
        <f>(IF(H394="Saneago",VLOOKUP(I394,'SANEAGO-FEV.2016'!A:B,2,0),IF(H394="Sinapi",VLOOKUP(I394,'SINAPI-FEV.2017'!A:D,2,0),IF(H394="Cotação",VLOOKUP(I394,COTAÇÃO!A:D,2,0),IF(H394="Composição",VLOOKUP(I394,COMPOSIÇÃO!A:D,2,0))))))</f>
        <v>ESGOTAMENTO COM MOTO-BOMBA AUTOESCOVANTE</v>
      </c>
      <c r="L394" s="700" t="str">
        <f>(IF(H394="Saneago",VLOOKUP(I394,'SANEAGO-FEV.2016'!A:D,3,0),IF(H394="Sinapi",VLOOKUP(I394,'SINAPI-FEV.2017'!A:D,3,0),IF(H394="Cotação",VLOOKUP(I394,COTAÇÃO!A:D,3,0),IF(H394="Composição",VLOOKUP(I394,COMPOSIÇÃO!A:D,3,0))))))</f>
        <v>H</v>
      </c>
      <c r="M394" s="870">
        <f>ROUND(VLOOKUP(G394,MC_TRAVESSIA.AEREA!A:M,13,0),2)</f>
        <v>5</v>
      </c>
      <c r="N394" s="399">
        <v>0</v>
      </c>
      <c r="O394" s="102">
        <f t="shared" si="58"/>
        <v>0</v>
      </c>
      <c r="P394" s="101">
        <f t="shared" si="59"/>
        <v>0</v>
      </c>
      <c r="Q394" s="1507">
        <v>5</v>
      </c>
      <c r="R394" s="1525"/>
      <c r="S394" s="1521"/>
      <c r="V394" s="1325"/>
      <c r="W394" s="1325"/>
      <c r="X394" s="1325"/>
    </row>
    <row r="395" spans="1:24" s="863" customFormat="1" ht="45">
      <c r="A395" s="1482"/>
      <c r="B395" s="1482"/>
      <c r="C395" s="1483">
        <f t="shared" ref="C395:C402" si="62">C394</f>
        <v>5</v>
      </c>
      <c r="D395" s="1492">
        <f t="shared" si="60"/>
        <v>2</v>
      </c>
      <c r="E395" s="1492">
        <f t="shared" si="61"/>
        <v>2</v>
      </c>
      <c r="F395" s="1526" t="s">
        <v>11708</v>
      </c>
      <c r="G395" s="916" t="s">
        <v>14578</v>
      </c>
      <c r="H395" s="823" t="str">
        <f>VLOOKUP(G395,MC_TRAVESSIA.AEREA!A:M,2,0)</f>
        <v>SINAPI</v>
      </c>
      <c r="I395" s="700">
        <f>VLOOKUP(G395,MC_TRAVESSIA.AEREA!A:M,3,0)</f>
        <v>93367</v>
      </c>
      <c r="J395" s="824"/>
      <c r="K395" s="790" t="str">
        <f>(IF(H395="Saneago",VLOOKUP(I395,'SANEAGO-FEV.2016'!A:B,2,0),IF(H395="Sinapi",VLOOKUP(I395,'SINAPI-FEV.2017'!A:D,2,0),IF(H395="Cotação",VLOOKUP(I395,COTAÇÃO!A:D,2,0),IF(H395="Composição",VLOOKUP(I395,COMPOSIÇÃO!A:D,2,0))))))</f>
        <v>REATERRO MECANIZADO DE VALA COM ESCAVADEIRA HIDRÁULICA (CAPACIDADE DA CAÇAMBA: 0,8 M³ / POTÊNCIA: 111 HP), LARGURA DE 1,5 A 2,5 M, PROFUNDIDADE ATÉ 1,5 M, COM SOLO (SEM SUBSTITUIÇÃO) DE 1ª CATEGORIA EM LOCAIS COM BAIXO NÍVEL DE INTERFERÊNCIA. AF_04/2016</v>
      </c>
      <c r="L395" s="700" t="str">
        <f>(IF(H395="Saneago",VLOOKUP(I395,'SANEAGO-FEV.2016'!A:D,3,0),IF(H395="Sinapi",VLOOKUP(I395,'SINAPI-FEV.2017'!A:D,3,0),IF(H395="Cotação",VLOOKUP(I395,COTAÇÃO!A:D,3,0),IF(H395="Composição",VLOOKUP(I395,COMPOSIÇÃO!A:D,3,0))))))</f>
        <v>M3</v>
      </c>
      <c r="M395" s="870">
        <f>ROUND(VLOOKUP(G395,MC_TRAVESSIA.AEREA!A:M,13,0),2)</f>
        <v>184.85</v>
      </c>
      <c r="N395" s="399">
        <v>0</v>
      </c>
      <c r="O395" s="102">
        <f t="shared" si="58"/>
        <v>0</v>
      </c>
      <c r="P395" s="101">
        <f t="shared" si="59"/>
        <v>0</v>
      </c>
      <c r="Q395" s="1507">
        <v>184.85</v>
      </c>
      <c r="R395" s="1525"/>
      <c r="S395" s="1521"/>
      <c r="V395" s="1325"/>
      <c r="W395" s="1325"/>
      <c r="X395" s="1325"/>
    </row>
    <row r="396" spans="1:24" s="863" customFormat="1" ht="12.75">
      <c r="A396" s="1482"/>
      <c r="B396" s="1482"/>
      <c r="C396" s="1483">
        <f t="shared" si="62"/>
        <v>5</v>
      </c>
      <c r="D396" s="1492">
        <f t="shared" si="60"/>
        <v>2</v>
      </c>
      <c r="E396" s="1492">
        <f t="shared" si="61"/>
        <v>2</v>
      </c>
      <c r="F396" s="1526" t="s">
        <v>11708</v>
      </c>
      <c r="G396" s="916" t="s">
        <v>14579</v>
      </c>
      <c r="H396" s="823" t="str">
        <f>VLOOKUP(G396,MC_TRAVESSIA.AEREA!A:M,2,0)</f>
        <v>SANEAGO</v>
      </c>
      <c r="I396" s="700">
        <f>VLOOKUP(G396,MC_TRAVESSIA.AEREA!A:M,3,0)</f>
        <v>220</v>
      </c>
      <c r="J396" s="824"/>
      <c r="K396" s="790" t="str">
        <f>(IF(H396="Saneago",VLOOKUP(I396,'SANEAGO-FEV.2016'!A:B,2,0),IF(H396="Sinapi",VLOOKUP(I396,'SINAPI-FEV.2017'!A:D,2,0),IF(H396="Cotação",VLOOKUP(I396,COTAÇÃO!A:D,2,0),IF(H396="Composição",VLOOKUP(I396,COMPOSIÇÃO!A:D,2,0))))))</f>
        <v>REATERRO  MANUAL COMPACTADO EM CAMADAS DE 20CM</v>
      </c>
      <c r="L396" s="700" t="str">
        <f>(IF(H396="Saneago",VLOOKUP(I396,'SANEAGO-FEV.2016'!A:D,3,0),IF(H396="Sinapi",VLOOKUP(I396,'SINAPI-FEV.2017'!A:D,3,0),IF(H396="Cotação",VLOOKUP(I396,COTAÇÃO!A:D,3,0),IF(H396="Composição",VLOOKUP(I396,COMPOSIÇÃO!A:D,3,0))))))</f>
        <v>M3</v>
      </c>
      <c r="M396" s="870">
        <f>ROUND(VLOOKUP(G396,MC_TRAVESSIA.AEREA!A:M,13,0),2)</f>
        <v>20.54</v>
      </c>
      <c r="N396" s="399">
        <v>0</v>
      </c>
      <c r="O396" s="102">
        <f t="shared" si="58"/>
        <v>0</v>
      </c>
      <c r="P396" s="101">
        <f t="shared" si="59"/>
        <v>0</v>
      </c>
      <c r="Q396" s="1507">
        <v>20.54</v>
      </c>
      <c r="R396" s="1525"/>
      <c r="S396" s="1521"/>
      <c r="V396" s="1325"/>
      <c r="W396" s="1325"/>
      <c r="X396" s="1325"/>
    </row>
    <row r="397" spans="1:24" s="863" customFormat="1" ht="13.5" thickBot="1">
      <c r="A397" s="1482"/>
      <c r="B397" s="1482"/>
      <c r="C397" s="1483">
        <f t="shared" si="62"/>
        <v>5</v>
      </c>
      <c r="D397" s="1492">
        <f t="shared" si="60"/>
        <v>2</v>
      </c>
      <c r="E397" s="1492">
        <f t="shared" si="61"/>
        <v>2</v>
      </c>
      <c r="F397" s="1526" t="s">
        <v>11708</v>
      </c>
      <c r="G397" s="1535"/>
      <c r="H397" s="823"/>
      <c r="I397" s="700"/>
      <c r="J397" s="824"/>
      <c r="K397" s="790"/>
      <c r="L397" s="700"/>
      <c r="M397" s="870"/>
      <c r="N397" s="399"/>
      <c r="O397" s="344"/>
      <c r="P397" s="342"/>
      <c r="Q397" s="1507"/>
      <c r="R397" s="1525"/>
      <c r="S397" s="1521"/>
      <c r="V397" s="1325"/>
      <c r="W397" s="1325"/>
      <c r="X397" s="1325"/>
    </row>
    <row r="398" spans="1:24" s="863" customFormat="1" ht="14.25" customHeight="1" thickTop="1" thickBot="1">
      <c r="A398" s="1482"/>
      <c r="B398" s="1482"/>
      <c r="C398" s="1483">
        <f t="shared" si="62"/>
        <v>5</v>
      </c>
      <c r="D398" s="1492">
        <f t="shared" si="60"/>
        <v>2</v>
      </c>
      <c r="E398" s="1492">
        <f t="shared" si="61"/>
        <v>2</v>
      </c>
      <c r="F398" s="1526" t="s">
        <v>11708</v>
      </c>
      <c r="G398" s="1535"/>
      <c r="H398" s="1653" t="str">
        <f>"TOTAL ITEM: "&amp;J386 &amp;K386</f>
        <v>TOTAL ITEM: 5.2.2 MOVIMENTO DE TERRA</v>
      </c>
      <c r="I398" s="1654"/>
      <c r="J398" s="1654"/>
      <c r="K398" s="1654"/>
      <c r="L398" s="1654"/>
      <c r="M398" s="1654"/>
      <c r="N398" s="1654"/>
      <c r="O398" s="1654"/>
      <c r="P398" s="343">
        <f>SUBTOTAL(9,P388:P396)</f>
        <v>0</v>
      </c>
      <c r="Q398" s="1507"/>
      <c r="R398" s="1525"/>
      <c r="S398" s="1521"/>
      <c r="V398" s="1325"/>
      <c r="W398" s="1325"/>
      <c r="X398" s="1325"/>
    </row>
    <row r="399" spans="1:24" s="863" customFormat="1" ht="13.5" thickTop="1">
      <c r="A399" s="1482"/>
      <c r="B399" s="1482"/>
      <c r="C399" s="1483">
        <f t="shared" si="62"/>
        <v>5</v>
      </c>
      <c r="D399" s="1492">
        <f t="shared" si="60"/>
        <v>2</v>
      </c>
      <c r="E399" s="1492">
        <f t="shared" si="61"/>
        <v>2</v>
      </c>
      <c r="F399" s="1526" t="s">
        <v>11708</v>
      </c>
      <c r="G399" s="862"/>
      <c r="H399" s="823"/>
      <c r="I399" s="700"/>
      <c r="J399" s="824"/>
      <c r="K399" s="700"/>
      <c r="L399" s="700"/>
      <c r="M399" s="870"/>
      <c r="N399" s="399"/>
      <c r="O399" s="344"/>
      <c r="P399" s="342"/>
      <c r="Q399" s="1507"/>
      <c r="R399" s="1525"/>
      <c r="S399" s="1521"/>
      <c r="V399" s="1325"/>
      <c r="W399" s="1325"/>
      <c r="X399" s="1325"/>
    </row>
    <row r="400" spans="1:24" s="863" customFormat="1" ht="12.75">
      <c r="A400" s="1482"/>
      <c r="B400" s="1482">
        <v>1</v>
      </c>
      <c r="C400" s="1483">
        <f t="shared" si="62"/>
        <v>5</v>
      </c>
      <c r="D400" s="1492">
        <f t="shared" si="60"/>
        <v>2</v>
      </c>
      <c r="E400" s="1492">
        <f t="shared" si="61"/>
        <v>3</v>
      </c>
      <c r="F400" s="1526" t="s">
        <v>11708</v>
      </c>
      <c r="G400" s="862"/>
      <c r="H400" s="1527" t="s">
        <v>11703</v>
      </c>
      <c r="I400" s="1528" t="s">
        <v>64</v>
      </c>
      <c r="J400" s="1529" t="str">
        <f>CONCATENATE(C400,".",D400,".",E400)</f>
        <v>5.2.3</v>
      </c>
      <c r="K400" s="1530" t="s">
        <v>11713</v>
      </c>
      <c r="L400" s="1531" t="s">
        <v>25</v>
      </c>
      <c r="M400" s="1532" t="s">
        <v>11704</v>
      </c>
      <c r="N400" s="586" t="s">
        <v>11705</v>
      </c>
      <c r="O400" s="587" t="s">
        <v>11706</v>
      </c>
      <c r="P400" s="588" t="s">
        <v>27</v>
      </c>
      <c r="Q400" s="1507" t="s">
        <v>11704</v>
      </c>
      <c r="R400" s="1525"/>
      <c r="S400" s="1521"/>
      <c r="V400" s="1325"/>
      <c r="W400" s="1325"/>
      <c r="X400" s="1325"/>
    </row>
    <row r="401" spans="1:24" s="863" customFormat="1" ht="12.75">
      <c r="A401" s="1482"/>
      <c r="B401" s="1482"/>
      <c r="C401" s="1483">
        <f t="shared" si="62"/>
        <v>5</v>
      </c>
      <c r="D401" s="1492">
        <f t="shared" si="60"/>
        <v>2</v>
      </c>
      <c r="E401" s="1492">
        <f t="shared" si="61"/>
        <v>3</v>
      </c>
      <c r="F401" s="1526" t="s">
        <v>11708</v>
      </c>
      <c r="G401" s="862"/>
      <c r="H401" s="823"/>
      <c r="I401" s="700"/>
      <c r="J401" s="824"/>
      <c r="K401" s="700"/>
      <c r="L401" s="700"/>
      <c r="M401" s="870"/>
      <c r="N401" s="399"/>
      <c r="O401" s="344"/>
      <c r="P401" s="342"/>
      <c r="Q401" s="1507"/>
      <c r="R401" s="1525"/>
      <c r="S401" s="1521"/>
      <c r="V401" s="1325"/>
      <c r="W401" s="1325"/>
      <c r="X401" s="1325"/>
    </row>
    <row r="402" spans="1:24" s="863" customFormat="1" ht="33.75">
      <c r="A402" s="1482"/>
      <c r="B402" s="1482"/>
      <c r="C402" s="1483">
        <f t="shared" si="62"/>
        <v>5</v>
      </c>
      <c r="D402" s="1492">
        <f t="shared" si="60"/>
        <v>2</v>
      </c>
      <c r="E402" s="1492">
        <f t="shared" si="61"/>
        <v>3</v>
      </c>
      <c r="F402" s="1526" t="s">
        <v>11708</v>
      </c>
      <c r="G402" s="862" t="s">
        <v>14581</v>
      </c>
      <c r="H402" s="823" t="str">
        <f>VLOOKUP(G402,MC_TRAVESSIA.AEREA!A:M,2,0)</f>
        <v>SINAPI</v>
      </c>
      <c r="I402" s="700" t="str">
        <f>VLOOKUP(G402,MC_TRAVESSIA.AEREA!A:M,3,0)</f>
        <v>74010/1</v>
      </c>
      <c r="J402" s="824"/>
      <c r="K402" s="790" t="str">
        <f>(IF(H402="Saneago",VLOOKUP(I402,'SANEAGO-FEV.2016'!A:B,2,0),IF(H402="Sinapi",VLOOKUP(I402,'SINAPI-FEV.2017'!A:D,2,0),IF(H402="Cotação",VLOOKUP(I402,COTAÇÃO!A:D,2,0),IF(H402="Composição",VLOOKUP(I402,COMPOSIÇÃO!A:D,2,0))))))</f>
        <v>CARGA E DESCARGA MECANICA DE SOLO UTILIZANDO CAMINHAO BASCULANTE 6,0M3/16T E PA CARREGADEIRA SOBRE PNEUS 128 HP, CAPACIDADE DA CAÇAMBA 1,7 A 2,8 M3, PESO OPERACIONAL 11632 KG</v>
      </c>
      <c r="L402" s="700" t="str">
        <f>(IF(H402="Saneago",VLOOKUP(I402,'SANEAGO-FEV.2016'!A:D,3,0),IF(H402="Sinapi",VLOOKUP(I402,'SINAPI-FEV.2017'!A:D,3,0),IF(H402="Cotação",VLOOKUP(I402,COTAÇÃO!A:D,3,0),IF(H402="Composição",VLOOKUP(I402,COMPOSIÇÃO!A:D,3,0))))))</f>
        <v>M3</v>
      </c>
      <c r="M402" s="870">
        <f>ROUND(VLOOKUP(G402,MC_TRAVESSIA.AEREA!A:M,13,0),2)</f>
        <v>39.03</v>
      </c>
      <c r="N402" s="399">
        <v>0</v>
      </c>
      <c r="O402" s="102">
        <f>ROUND(IF(F402="Serviços",N402*(1+$O$7),IF(F402="Materiais",N402*(1+$O$8))),2)</f>
        <v>0</v>
      </c>
      <c r="P402" s="101">
        <f>ROUND(M402*O402,2)</f>
        <v>0</v>
      </c>
      <c r="Q402" s="1507">
        <v>39.03</v>
      </c>
      <c r="R402" s="1525"/>
      <c r="S402" s="1521"/>
      <c r="V402" s="1325"/>
      <c r="W402" s="1325"/>
      <c r="X402" s="1325"/>
    </row>
    <row r="403" spans="1:24" s="863" customFormat="1" ht="22.5">
      <c r="A403" s="1482"/>
      <c r="B403" s="1482"/>
      <c r="C403" s="1483">
        <f t="shared" si="4"/>
        <v>5</v>
      </c>
      <c r="D403" s="1492">
        <f t="shared" ref="D403:E406" si="63">D402+A403</f>
        <v>2</v>
      </c>
      <c r="E403" s="1492">
        <f t="shared" si="63"/>
        <v>3</v>
      </c>
      <c r="F403" s="1526" t="s">
        <v>11708</v>
      </c>
      <c r="G403" s="862" t="s">
        <v>14582</v>
      </c>
      <c r="H403" s="823" t="str">
        <f>VLOOKUP(G403,MC_TRAVESSIA.AEREA!A:M,2,0)</f>
        <v>SINAPI</v>
      </c>
      <c r="I403" s="700">
        <f>VLOOKUP(G403,MC_TRAVESSIA.AEREA!A:M,3,0)</f>
        <v>93590</v>
      </c>
      <c r="J403" s="824"/>
      <c r="K403" s="790" t="str">
        <f>(IF(H403="Saneago",VLOOKUP(I403,'SANEAGO-FEV.2016'!A:B,2,0),IF(H403="Sinapi",VLOOKUP(I403,'SINAPI-FEV.2017'!A:D,2,0),IF(H403="Cotação",VLOOKUP(I403,COTAÇÃO!A:D,2,0),IF(H403="Composição",VLOOKUP(I403,COMPOSIÇÃO!A:D,2,0))))))</f>
        <v>TRANSPORTE COM CAMINHÃO BASCULANTE DE 10 M3, EM VIA URBANA PAVIMENTADA, DMT ACIMA DE 30KM (UNIDADE: M3XKM). AF_04/2016</v>
      </c>
      <c r="L403" s="700" t="str">
        <f>(IF(H403="Saneago",VLOOKUP(I403,'SANEAGO-FEV.2016'!A:D,3,0),IF(H403="Sinapi",VLOOKUP(I403,'SINAPI-FEV.2017'!A:D,3,0),IF(H403="Cotação",VLOOKUP(I403,COTAÇÃO!A:D,3,0),IF(H403="Composição",VLOOKUP(I403,COMPOSIÇÃO!A:D,3,0))))))</f>
        <v>M3XKM</v>
      </c>
      <c r="M403" s="870">
        <f>ROUND(VLOOKUP(G403,MC_TRAVESSIA.AEREA!A:M,13,0),2)</f>
        <v>269.31</v>
      </c>
      <c r="N403" s="399">
        <v>0</v>
      </c>
      <c r="O403" s="102">
        <f>ROUND(IF(F403="Serviços",N403*(1+$O$7),IF(F403="Materiais",N403*(1+$O$8))),2)</f>
        <v>0</v>
      </c>
      <c r="P403" s="101">
        <f>ROUND(M403*O403,2)</f>
        <v>0</v>
      </c>
      <c r="Q403" s="1507">
        <v>269.31</v>
      </c>
      <c r="R403" s="1525"/>
      <c r="S403" s="1521"/>
      <c r="V403" s="1325"/>
      <c r="W403" s="1325"/>
      <c r="X403" s="1325"/>
    </row>
    <row r="404" spans="1:24" s="863" customFormat="1" ht="22.5">
      <c r="A404" s="1482"/>
      <c r="B404" s="1482"/>
      <c r="C404" s="1483">
        <f t="shared" si="4"/>
        <v>5</v>
      </c>
      <c r="D404" s="1492">
        <f t="shared" si="63"/>
        <v>2</v>
      </c>
      <c r="E404" s="1492">
        <f t="shared" si="63"/>
        <v>3</v>
      </c>
      <c r="F404" s="1526" t="s">
        <v>11708</v>
      </c>
      <c r="G404" s="862" t="s">
        <v>14583</v>
      </c>
      <c r="H404" s="823" t="str">
        <f>VLOOKUP(G404,MC_TRAVESSIA.AEREA!A:M,2,0)</f>
        <v>SINAPI</v>
      </c>
      <c r="I404" s="700">
        <f>VLOOKUP(G404,MC_TRAVESSIA.AEREA!A:M,3,0)</f>
        <v>83344</v>
      </c>
      <c r="J404" s="824"/>
      <c r="K404" s="790" t="str">
        <f>(IF(H404="Saneago",VLOOKUP(I404,'SANEAGO-FEV.2016'!A:B,2,0),IF(H404="Sinapi",VLOOKUP(I404,'SINAPI-FEV.2017'!A:D,2,0),IF(H404="Cotação",VLOOKUP(I404,COTAÇÃO!A:D,2,0),IF(H404="Composição",VLOOKUP(I404,COMPOSIÇÃO!A:D,2,0))))))</f>
        <v>ESPALHAMENTO DE MATERIAL EM BOTA FORA, COM UTILIZACAO DE TRATOR DE ESTEIRAS DE 165 HP</v>
      </c>
      <c r="L404" s="700" t="str">
        <f>(IF(H404="Saneago",VLOOKUP(I404,'SANEAGO-FEV.2016'!A:D,3,0),IF(H404="Sinapi",VLOOKUP(I404,'SINAPI-FEV.2017'!A:D,3,0),IF(H404="Cotação",VLOOKUP(I404,COTAÇÃO!A:D,3,0),IF(H404="Composição",VLOOKUP(I404,COMPOSIÇÃO!A:D,3,0))))))</f>
        <v>M3</v>
      </c>
      <c r="M404" s="870">
        <f>ROUND(VLOOKUP(G404,MC_TRAVESSIA.AEREA!A:M,13,0),2)</f>
        <v>39.03</v>
      </c>
      <c r="N404" s="399">
        <v>0</v>
      </c>
      <c r="O404" s="102">
        <f>ROUND(IF(F404="Serviços",N404*(1+$O$7),IF(F404="Materiais",N404*(1+$O$8))),2)</f>
        <v>0</v>
      </c>
      <c r="P404" s="101">
        <f>ROUND(M404*O404,2)</f>
        <v>0</v>
      </c>
      <c r="Q404" s="1507">
        <v>39.03</v>
      </c>
      <c r="R404" s="1525"/>
      <c r="S404" s="1521"/>
      <c r="V404" s="1325"/>
      <c r="W404" s="1325"/>
      <c r="X404" s="1325"/>
    </row>
    <row r="405" spans="1:24" s="863" customFormat="1" ht="13.5" thickBot="1">
      <c r="A405" s="1482"/>
      <c r="B405" s="1482"/>
      <c r="C405" s="1483">
        <f t="shared" si="4"/>
        <v>5</v>
      </c>
      <c r="D405" s="1492">
        <f t="shared" si="63"/>
        <v>2</v>
      </c>
      <c r="E405" s="1492">
        <f t="shared" si="63"/>
        <v>3</v>
      </c>
      <c r="F405" s="1526" t="s">
        <v>11708</v>
      </c>
      <c r="G405" s="905"/>
      <c r="H405" s="823"/>
      <c r="I405" s="700"/>
      <c r="J405" s="824"/>
      <c r="K405" s="790"/>
      <c r="L405" s="700"/>
      <c r="M405" s="870"/>
      <c r="N405" s="399"/>
      <c r="O405" s="344"/>
      <c r="P405" s="342"/>
      <c r="Q405" s="1507"/>
      <c r="R405" s="1525"/>
      <c r="S405" s="1521"/>
      <c r="V405" s="1325"/>
      <c r="W405" s="1325"/>
      <c r="X405" s="1325"/>
    </row>
    <row r="406" spans="1:24" s="863" customFormat="1" ht="14.25" customHeight="1" thickTop="1" thickBot="1">
      <c r="A406" s="1482"/>
      <c r="B406" s="1482"/>
      <c r="C406" s="1483">
        <f t="shared" si="4"/>
        <v>5</v>
      </c>
      <c r="D406" s="1492">
        <f t="shared" si="63"/>
        <v>2</v>
      </c>
      <c r="E406" s="1492">
        <f t="shared" si="63"/>
        <v>3</v>
      </c>
      <c r="F406" s="1526" t="s">
        <v>11708</v>
      </c>
      <c r="G406" s="862"/>
      <c r="H406" s="1653" t="str">
        <f>"TOTAL ITEM: "&amp;J400 &amp;K400</f>
        <v>TOTAL ITEM: 5.2.3 TRANSPORTE, CARGA E DESCARGA DE MATERIAL (BOTA FORA)</v>
      </c>
      <c r="I406" s="1654"/>
      <c r="J406" s="1654"/>
      <c r="K406" s="1654"/>
      <c r="L406" s="1654"/>
      <c r="M406" s="1654"/>
      <c r="N406" s="1654"/>
      <c r="O406" s="1654"/>
      <c r="P406" s="343">
        <f>SUBTOTAL(9,P402:P404)</f>
        <v>0</v>
      </c>
      <c r="Q406" s="1507"/>
      <c r="R406" s="1525"/>
      <c r="S406" s="1521"/>
      <c r="V406" s="1325"/>
      <c r="W406" s="1325"/>
      <c r="X406" s="1325"/>
    </row>
    <row r="407" spans="1:24" s="863" customFormat="1" ht="13.5" thickTop="1">
      <c r="A407" s="1482"/>
      <c r="B407" s="1482"/>
      <c r="C407" s="1483">
        <f t="shared" si="4"/>
        <v>5</v>
      </c>
      <c r="D407" s="1492">
        <f t="shared" ref="D407:D416" si="64">D406+A407</f>
        <v>2</v>
      </c>
      <c r="E407" s="1492">
        <f t="shared" ref="E407:E416" si="65">E406+B407</f>
        <v>3</v>
      </c>
      <c r="F407" s="1526"/>
      <c r="G407" s="862"/>
      <c r="H407" s="929"/>
      <c r="I407" s="1371"/>
      <c r="J407" s="1022"/>
      <c r="K407" s="1371"/>
      <c r="L407" s="1371"/>
      <c r="M407" s="1536"/>
      <c r="N407" s="394"/>
      <c r="O407" s="728"/>
      <c r="P407" s="267"/>
      <c r="Q407" s="1507"/>
      <c r="R407" s="1525"/>
      <c r="S407" s="1521"/>
      <c r="V407" s="1325"/>
      <c r="W407" s="1325"/>
      <c r="X407" s="1325"/>
    </row>
    <row r="408" spans="1:24" s="863" customFormat="1" ht="12.75">
      <c r="A408" s="1482"/>
      <c r="B408" s="1482">
        <v>1</v>
      </c>
      <c r="C408" s="1483">
        <f t="shared" si="4"/>
        <v>5</v>
      </c>
      <c r="D408" s="1492">
        <f t="shared" si="64"/>
        <v>2</v>
      </c>
      <c r="E408" s="1492">
        <f t="shared" si="65"/>
        <v>4</v>
      </c>
      <c r="F408" s="1526" t="s">
        <v>11708</v>
      </c>
      <c r="G408" s="862"/>
      <c r="H408" s="1527" t="s">
        <v>11703</v>
      </c>
      <c r="I408" s="1528" t="s">
        <v>64</v>
      </c>
      <c r="J408" s="1529" t="str">
        <f>CONCATENATE(C408,".",D408,".",E408)</f>
        <v>5.2.4</v>
      </c>
      <c r="K408" s="1530" t="s">
        <v>14252</v>
      </c>
      <c r="L408" s="1531" t="s">
        <v>25</v>
      </c>
      <c r="M408" s="1532" t="s">
        <v>11704</v>
      </c>
      <c r="N408" s="586" t="s">
        <v>11705</v>
      </c>
      <c r="O408" s="587" t="s">
        <v>11706</v>
      </c>
      <c r="P408" s="588" t="s">
        <v>27</v>
      </c>
      <c r="Q408" s="1507" t="s">
        <v>11704</v>
      </c>
      <c r="R408" s="1525"/>
      <c r="S408" s="1521"/>
      <c r="V408" s="1325"/>
      <c r="W408" s="1325"/>
      <c r="X408" s="1325"/>
    </row>
    <row r="409" spans="1:24" s="863" customFormat="1" ht="12.75">
      <c r="A409" s="1482"/>
      <c r="B409" s="1482"/>
      <c r="C409" s="1483">
        <f t="shared" si="4"/>
        <v>5</v>
      </c>
      <c r="D409" s="1492">
        <f t="shared" si="64"/>
        <v>2</v>
      </c>
      <c r="E409" s="1492">
        <f t="shared" si="65"/>
        <v>4</v>
      </c>
      <c r="F409" s="1526" t="s">
        <v>11708</v>
      </c>
      <c r="G409" s="862"/>
      <c r="H409" s="823"/>
      <c r="I409" s="700"/>
      <c r="J409" s="824"/>
      <c r="K409" s="700"/>
      <c r="L409" s="700"/>
      <c r="M409" s="870"/>
      <c r="N409" s="399"/>
      <c r="O409" s="344"/>
      <c r="P409" s="342"/>
      <c r="Q409" s="1507"/>
      <c r="R409" s="1525"/>
      <c r="S409" s="1521"/>
      <c r="V409" s="1325"/>
      <c r="W409" s="1325"/>
      <c r="X409" s="1325"/>
    </row>
    <row r="410" spans="1:24" s="863" customFormat="1" ht="12.75">
      <c r="A410" s="1482"/>
      <c r="B410" s="1482"/>
      <c r="C410" s="1483">
        <f t="shared" si="4"/>
        <v>5</v>
      </c>
      <c r="D410" s="1492">
        <f t="shared" si="64"/>
        <v>2</v>
      </c>
      <c r="E410" s="1492">
        <f t="shared" si="65"/>
        <v>4</v>
      </c>
      <c r="F410" s="1526" t="s">
        <v>11708</v>
      </c>
      <c r="G410" s="961" t="s">
        <v>14580</v>
      </c>
      <c r="H410" s="823" t="str">
        <f>VLOOKUP(G410,MC_TRAVESSIA.AEREA!A:M,2,0)</f>
        <v>SINAPI</v>
      </c>
      <c r="I410" s="700">
        <f>VLOOKUP(G410,MC_TRAVESSIA.AEREA!A:M,3,0)</f>
        <v>79472</v>
      </c>
      <c r="J410" s="824"/>
      <c r="K410" s="790" t="str">
        <f>(IF(H410="Saneago",VLOOKUP(I410,'SANEAGO-FEV.2016'!A:B,2,0),IF(H410="Sinapi",VLOOKUP(I410,'SINAPI-FEV.2017'!A:D,2,0),IF(H410="Cotação",VLOOKUP(I410,COTAÇÃO!A:D,2,0),IF(H410="Composição",VLOOKUP(I410,COMPOSIÇÃO!A:D,2,0))))))</f>
        <v>REGULARIZACAO DE SUPERFICIES EM TERRA COM MOTONIVELADORA</v>
      </c>
      <c r="L410" s="700" t="str">
        <f>(IF(H410="Saneago",VLOOKUP(I410,'SANEAGO-FEV.2016'!A:D,3,0),IF(H410="Sinapi",VLOOKUP(I410,'SINAPI-FEV.2017'!A:D,3,0),IF(H410="Cotação",VLOOKUP(I410,COTAÇÃO!A:D,3,0),IF(H410="Composição",VLOOKUP(I410,COMPOSIÇÃO!A:D,3,0))))))</f>
        <v>M2</v>
      </c>
      <c r="M410" s="870">
        <f>ROUND(VLOOKUP(G410,MC_TRAVESSIA.AEREA!A:M,13,0),2)</f>
        <v>10.94</v>
      </c>
      <c r="N410" s="399">
        <v>0</v>
      </c>
      <c r="O410" s="102">
        <f>ROUND(IF(F410="Serviços",N410*(1+$O$7),IF(F410="Materiais",N410*(1+$O$8))),2)</f>
        <v>0</v>
      </c>
      <c r="P410" s="101">
        <f>ROUND(M410*O410,2)</f>
        <v>0</v>
      </c>
      <c r="Q410" s="1507">
        <v>10.94</v>
      </c>
      <c r="R410" s="1525"/>
      <c r="S410" s="1521"/>
      <c r="V410" s="1325"/>
      <c r="W410" s="1325"/>
      <c r="X410" s="1325"/>
    </row>
    <row r="411" spans="1:24" s="863" customFormat="1" ht="13.5" thickBot="1">
      <c r="A411" s="1482"/>
      <c r="B411" s="1482"/>
      <c r="C411" s="1483">
        <f t="shared" si="4"/>
        <v>5</v>
      </c>
      <c r="D411" s="1492">
        <f>D410+A411</f>
        <v>2</v>
      </c>
      <c r="E411" s="1492">
        <f>E410+B411</f>
        <v>4</v>
      </c>
      <c r="F411" s="1526" t="s">
        <v>11708</v>
      </c>
      <c r="G411" s="905"/>
      <c r="H411" s="823"/>
      <c r="I411" s="700"/>
      <c r="J411" s="824"/>
      <c r="K411" s="790"/>
      <c r="L411" s="700"/>
      <c r="M411" s="870"/>
      <c r="N411" s="399"/>
      <c r="O411" s="344"/>
      <c r="P411" s="342"/>
      <c r="Q411" s="1507"/>
      <c r="R411" s="1525"/>
      <c r="S411" s="1521"/>
      <c r="V411" s="1325"/>
      <c r="W411" s="1325"/>
      <c r="X411" s="1325"/>
    </row>
    <row r="412" spans="1:24" s="863" customFormat="1" ht="14.25" customHeight="1" thickTop="1" thickBot="1">
      <c r="A412" s="1482"/>
      <c r="B412" s="1482"/>
      <c r="C412" s="1483">
        <f t="shared" si="4"/>
        <v>5</v>
      </c>
      <c r="D412" s="1492">
        <f t="shared" si="64"/>
        <v>2</v>
      </c>
      <c r="E412" s="1492">
        <f t="shared" si="65"/>
        <v>4</v>
      </c>
      <c r="F412" s="1526" t="s">
        <v>11708</v>
      </c>
      <c r="G412" s="862"/>
      <c r="H412" s="1653" t="str">
        <f>"TOTAL ITEM: "&amp;J408 &amp;K408</f>
        <v>TOTAL ITEM: 5.2.4 FUNDAÇÃO (TÍPICO PARA CAIXAS)</v>
      </c>
      <c r="I412" s="1654"/>
      <c r="J412" s="1654"/>
      <c r="K412" s="1654"/>
      <c r="L412" s="1654"/>
      <c r="M412" s="1654"/>
      <c r="N412" s="1654"/>
      <c r="O412" s="1654"/>
      <c r="P412" s="343">
        <f>SUBTOTAL(9,P410:P410)</f>
        <v>0</v>
      </c>
      <c r="Q412" s="1507"/>
      <c r="R412" s="1525"/>
      <c r="S412" s="1521"/>
      <c r="V412" s="1325"/>
      <c r="W412" s="1325"/>
      <c r="X412" s="1325"/>
    </row>
    <row r="413" spans="1:24" s="863" customFormat="1" ht="13.5" thickTop="1">
      <c r="A413" s="1482"/>
      <c r="B413" s="1482"/>
      <c r="C413" s="1483">
        <f t="shared" si="4"/>
        <v>5</v>
      </c>
      <c r="D413" s="1492">
        <f t="shared" si="64"/>
        <v>2</v>
      </c>
      <c r="E413" s="1492">
        <f t="shared" si="65"/>
        <v>4</v>
      </c>
      <c r="F413" s="1526"/>
      <c r="G413" s="862"/>
      <c r="H413" s="929"/>
      <c r="I413" s="1371"/>
      <c r="J413" s="1022"/>
      <c r="K413" s="1371"/>
      <c r="L413" s="1371"/>
      <c r="M413" s="1536"/>
      <c r="N413" s="394"/>
      <c r="O413" s="728"/>
      <c r="P413" s="267"/>
      <c r="Q413" s="1507"/>
      <c r="R413" s="1525"/>
      <c r="S413" s="1521"/>
      <c r="V413" s="1325"/>
      <c r="W413" s="1325"/>
      <c r="X413" s="1325"/>
    </row>
    <row r="414" spans="1:24" s="863" customFormat="1" ht="12.75">
      <c r="A414" s="1482"/>
      <c r="B414" s="1482"/>
      <c r="C414" s="1483">
        <f t="shared" si="4"/>
        <v>5</v>
      </c>
      <c r="D414" s="1492">
        <f t="shared" si="64"/>
        <v>2</v>
      </c>
      <c r="E414" s="1492">
        <f t="shared" si="65"/>
        <v>4</v>
      </c>
      <c r="F414" s="1526" t="s">
        <v>11708</v>
      </c>
      <c r="G414" s="862"/>
      <c r="H414" s="823"/>
      <c r="I414" s="700"/>
      <c r="J414" s="824"/>
      <c r="K414" s="700"/>
      <c r="L414" s="700"/>
      <c r="M414" s="870"/>
      <c r="N414" s="399"/>
      <c r="O414" s="344"/>
      <c r="P414" s="342"/>
      <c r="Q414" s="1507"/>
      <c r="R414" s="1525"/>
      <c r="S414" s="1521"/>
      <c r="V414" s="1325"/>
      <c r="W414" s="1325"/>
      <c r="X414" s="1325"/>
    </row>
    <row r="415" spans="1:24" s="863" customFormat="1" ht="12.75">
      <c r="A415" s="1482"/>
      <c r="B415" s="1482">
        <v>1</v>
      </c>
      <c r="C415" s="1483">
        <f t="shared" si="4"/>
        <v>5</v>
      </c>
      <c r="D415" s="1492">
        <f t="shared" si="64"/>
        <v>2</v>
      </c>
      <c r="E415" s="1492">
        <f t="shared" si="65"/>
        <v>5</v>
      </c>
      <c r="F415" s="1526" t="s">
        <v>11708</v>
      </c>
      <c r="G415" s="862"/>
      <c r="H415" s="1527" t="s">
        <v>11703</v>
      </c>
      <c r="I415" s="1528" t="s">
        <v>64</v>
      </c>
      <c r="J415" s="1529" t="str">
        <f>CONCATENATE(C415,".",D415,".",E415)</f>
        <v>5.2.5</v>
      </c>
      <c r="K415" s="1530" t="s">
        <v>11714</v>
      </c>
      <c r="L415" s="1531" t="s">
        <v>25</v>
      </c>
      <c r="M415" s="1532" t="s">
        <v>11704</v>
      </c>
      <c r="N415" s="586" t="s">
        <v>11705</v>
      </c>
      <c r="O415" s="587" t="s">
        <v>11706</v>
      </c>
      <c r="P415" s="588" t="s">
        <v>27</v>
      </c>
      <c r="Q415" s="1507" t="s">
        <v>11704</v>
      </c>
      <c r="R415" s="1525"/>
      <c r="S415" s="1521"/>
      <c r="V415" s="1325"/>
      <c r="W415" s="1325"/>
      <c r="X415" s="1325"/>
    </row>
    <row r="416" spans="1:24" s="863" customFormat="1" ht="12.75">
      <c r="A416" s="1482"/>
      <c r="B416" s="1482"/>
      <c r="C416" s="1483">
        <f t="shared" si="4"/>
        <v>5</v>
      </c>
      <c r="D416" s="1492">
        <f t="shared" si="64"/>
        <v>2</v>
      </c>
      <c r="E416" s="1492">
        <f t="shared" si="65"/>
        <v>5</v>
      </c>
      <c r="F416" s="1526" t="s">
        <v>11708</v>
      </c>
      <c r="G416" s="862"/>
      <c r="H416" s="823"/>
      <c r="I416" s="700"/>
      <c r="J416" s="824"/>
      <c r="K416" s="700"/>
      <c r="L416" s="700"/>
      <c r="M416" s="870"/>
      <c r="N416" s="399"/>
      <c r="O416" s="344"/>
      <c r="P416" s="342"/>
      <c r="Q416" s="1507"/>
      <c r="R416" s="1525"/>
      <c r="S416" s="1521"/>
      <c r="V416" s="1325"/>
      <c r="W416" s="1325"/>
      <c r="X416" s="1325"/>
    </row>
    <row r="417" spans="1:24" s="863" customFormat="1" ht="45">
      <c r="A417" s="1482"/>
      <c r="B417" s="1482"/>
      <c r="C417" s="1483">
        <f t="shared" si="4"/>
        <v>5</v>
      </c>
      <c r="D417" s="1492">
        <f t="shared" ref="D417:E419" si="66">D416+A417</f>
        <v>2</v>
      </c>
      <c r="E417" s="1492">
        <f t="shared" si="66"/>
        <v>5</v>
      </c>
      <c r="F417" s="1526" t="s">
        <v>11708</v>
      </c>
      <c r="G417" s="916" t="s">
        <v>14584</v>
      </c>
      <c r="H417" s="823" t="str">
        <f>VLOOKUP(G417,MC_TRAVESSIA.AEREA!A:M,2,0)</f>
        <v>SINAPI</v>
      </c>
      <c r="I417" s="700">
        <f>VLOOKUP(G417,MC_TRAVESSIA.AEREA!A:M,3,0)</f>
        <v>92415</v>
      </c>
      <c r="J417" s="824"/>
      <c r="K417" s="790" t="str">
        <f>(IF(H417="Saneago",VLOOKUP(I417,'SANEAGO-FEV.2016'!A:B,2,0),IF(H417="Sinapi",VLOOKUP(I417,'SINAPI-FEV.2017'!A:D,2,0),IF(H417="Cotação",VLOOKUP(I417,COTAÇÃO!A:D,2,0),IF(H417="Composição",VLOOKUP(I417,COMPOSIÇÃO!A:D,2,0))))))</f>
        <v>MONTAGEM E DESMONTAGEM DE FÔRMA DE PILARES RETANGULARES E ESTRUTURAS SIMILARES COM ÁREA MÉDIA DAS SEÇÕES MAIOR QUE 0,25 M², PÉ-DIREITO SIMPLES, EM CHAPA DE MADEIRA COMPENSADA RESINADA, 2 UTILIZAÇÕES. AF_12/2015</v>
      </c>
      <c r="L417" s="700" t="str">
        <f>(IF(H417="Saneago",VLOOKUP(I417,'SANEAGO-FEV.2016'!A:D,3,0),IF(H417="Sinapi",VLOOKUP(I417,'SINAPI-FEV.2017'!A:D,3,0),IF(H417="Cotação",VLOOKUP(I417,COTAÇÃO!A:D,3,0),IF(H417="Composição",VLOOKUP(I417,COMPOSIÇÃO!A:D,3,0))))))</f>
        <v>M2</v>
      </c>
      <c r="M417" s="870">
        <f>ROUND(VLOOKUP(G417,MC_TRAVESSIA.AEREA!A:M,13,0),2)</f>
        <v>280.43</v>
      </c>
      <c r="N417" s="399">
        <v>0</v>
      </c>
      <c r="O417" s="102">
        <f t="shared" ref="O417:O427" si="67">ROUND(IF(F417="Serviços",N417*(1+$O$7),IF(F417="Materiais",N417*(1+$O$8))),2)</f>
        <v>0</v>
      </c>
      <c r="P417" s="101">
        <f t="shared" ref="P417:P427" si="68">ROUND(M417*O417,2)</f>
        <v>0</v>
      </c>
      <c r="Q417" s="1507">
        <v>280.43</v>
      </c>
      <c r="R417" s="1525"/>
      <c r="S417" s="1521"/>
      <c r="V417" s="1325"/>
      <c r="W417" s="1325"/>
      <c r="X417" s="1325"/>
    </row>
    <row r="418" spans="1:24" s="863" customFormat="1" ht="22.5">
      <c r="A418" s="1482"/>
      <c r="B418" s="1482"/>
      <c r="C418" s="1483">
        <f t="shared" si="4"/>
        <v>5</v>
      </c>
      <c r="D418" s="1492">
        <f t="shared" si="66"/>
        <v>2</v>
      </c>
      <c r="E418" s="1492">
        <f t="shared" si="66"/>
        <v>5</v>
      </c>
      <c r="F418" s="1526" t="s">
        <v>11708</v>
      </c>
      <c r="G418" s="862" t="s">
        <v>14585</v>
      </c>
      <c r="H418" s="823" t="str">
        <f>VLOOKUP(G418,MC_TRAVESSIA.AEREA!A:M,2,0)</f>
        <v>SINAPI</v>
      </c>
      <c r="I418" s="700">
        <f>VLOOKUP(G418,MC_TRAVESSIA.AEREA!A:M,3,0)</f>
        <v>34493</v>
      </c>
      <c r="J418" s="824"/>
      <c r="K418" s="790" t="str">
        <f>(IF(H418="Saneago",VLOOKUP(I418,'SANEAGO-FEV.2016'!A:B,2,0),IF(H418="Sinapi",VLOOKUP(I418,'SINAPI-FEV.2017'!A:D,2,0),IF(H418="Cotação",VLOOKUP(I418,COTAÇÃO!A:D,2,0),IF(H418="Composição",VLOOKUP(I418,COMPOSIÇÃO!A:D,2,0))))))</f>
        <v>CONCRETO USINADO BOMBEAVEL, CLASSE DE RESISTENCIA C25, COM BRITA 0 E 1, SLUMP = 100 +/- 20 MM, EXCLUI SERVICO DE BOMBEAMENTO (NBR 8953)</v>
      </c>
      <c r="L418" s="700" t="str">
        <f>(IF(H418="Saneago",VLOOKUP(I418,'SANEAGO-FEV.2016'!A:D,3,0),IF(H418="Sinapi",VLOOKUP(I418,'SINAPI-FEV.2017'!A:D,3,0),IF(H418="Cotação",VLOOKUP(I418,COTAÇÃO!A:D,3,0),IF(H418="Composição",VLOOKUP(I418,COMPOSIÇÃO!A:D,3,0))))))</f>
        <v>M3</v>
      </c>
      <c r="M418" s="870">
        <f>ROUND(VLOOKUP(G418,MC_TRAVESSIA.AEREA!A:M,13,0),2)</f>
        <v>48.72</v>
      </c>
      <c r="N418" s="399">
        <v>0</v>
      </c>
      <c r="O418" s="102">
        <f t="shared" si="67"/>
        <v>0</v>
      </c>
      <c r="P418" s="101">
        <f t="shared" si="68"/>
        <v>0</v>
      </c>
      <c r="Q418" s="1507">
        <v>48.72</v>
      </c>
      <c r="R418" s="1525"/>
      <c r="S418" s="1521"/>
      <c r="V418" s="1325"/>
      <c r="W418" s="1325"/>
      <c r="X418" s="1325"/>
    </row>
    <row r="419" spans="1:24" s="863" customFormat="1" ht="22.5">
      <c r="A419" s="1482"/>
      <c r="B419" s="1482"/>
      <c r="C419" s="1483">
        <f t="shared" si="4"/>
        <v>5</v>
      </c>
      <c r="D419" s="1492">
        <f t="shared" si="66"/>
        <v>2</v>
      </c>
      <c r="E419" s="1492">
        <f t="shared" si="66"/>
        <v>5</v>
      </c>
      <c r="F419" s="1526" t="s">
        <v>11708</v>
      </c>
      <c r="G419" s="862" t="s">
        <v>20333</v>
      </c>
      <c r="H419" s="823" t="str">
        <f>VLOOKUP(G419,MC_TRAVESSIA.AEREA!A:M,2,0)</f>
        <v>SINAPI</v>
      </c>
      <c r="I419" s="700">
        <f>VLOOKUP(G419,MC_TRAVESSIA.AEREA!A:M,3,0)</f>
        <v>92874</v>
      </c>
      <c r="J419" s="824"/>
      <c r="K419" s="790" t="str">
        <f>(IF(H419="Saneago",VLOOKUP(I419,'SANEAGO-FEV.2016'!A:B,2,0),IF(H419="Sinapi",VLOOKUP(I419,'SINAPI-FEV.2017'!A:D,2,0),IF(H419="Cotação",VLOOKUP(I419,COTAÇÃO!A:D,2,0),IF(H419="Composição",VLOOKUP(I419,COMPOSIÇÃO!A:D,2,0))))))</f>
        <v>LANÇAMENTO COM USO DE BOMBA, ADENSAMENTO E ACABAMENTO DE CONCRETO EM ESTRUTURAS. AF_12/2015</v>
      </c>
      <c r="L419" s="700" t="str">
        <f>(IF(H419="Saneago",VLOOKUP(I419,'SANEAGO-FEV.2016'!A:D,3,0),IF(H419="Sinapi",VLOOKUP(I419,'SINAPI-FEV.2017'!A:D,3,0),IF(H419="Cotação",VLOOKUP(I419,COTAÇÃO!A:D,3,0),IF(H419="Composição",VLOOKUP(I419,COMPOSIÇÃO!A:D,3,0))))))</f>
        <v>M3</v>
      </c>
      <c r="M419" s="870">
        <f>ROUND(VLOOKUP(G419,MC_TRAVESSIA.AEREA!A:M,13,0),2)</f>
        <v>48.72</v>
      </c>
      <c r="N419" s="399">
        <v>0</v>
      </c>
      <c r="O419" s="102">
        <f>ROUND(IF(F419="Serviços",N419*(1+$O$7),IF(F419="Materiais",N419*(1+$O$8))),2)</f>
        <v>0</v>
      </c>
      <c r="P419" s="101">
        <f>ROUND(M419*O419,2)</f>
        <v>0</v>
      </c>
      <c r="Q419" s="1507">
        <v>48.72</v>
      </c>
      <c r="R419" s="1525"/>
      <c r="S419" s="1521"/>
      <c r="V419" s="1325"/>
      <c r="W419" s="1325"/>
      <c r="X419" s="1325"/>
    </row>
    <row r="420" spans="1:24" s="863" customFormat="1" ht="45">
      <c r="A420" s="1482"/>
      <c r="B420" s="1482"/>
      <c r="C420" s="1483">
        <f t="shared" si="4"/>
        <v>5</v>
      </c>
      <c r="D420" s="1492">
        <f t="shared" ref="D420:D426" si="69">D419+A420</f>
        <v>2</v>
      </c>
      <c r="E420" s="1492">
        <f t="shared" ref="E420:E426" si="70">E419+B420</f>
        <v>5</v>
      </c>
      <c r="F420" s="1526" t="s">
        <v>11708</v>
      </c>
      <c r="G420" s="916" t="s">
        <v>20328</v>
      </c>
      <c r="H420" s="823" t="str">
        <f>VLOOKUP(G420,MC_TRAVESSIA.AEREA!A:M,2,0)</f>
        <v>SINAPI</v>
      </c>
      <c r="I420" s="700">
        <f>VLOOKUP(G420,MC_TRAVESSIA.AEREA!A:M,3,0)</f>
        <v>92916</v>
      </c>
      <c r="J420" s="824"/>
      <c r="K420" s="790" t="str">
        <f>(IF(H420="Saneago",VLOOKUP(I420,'SANEAGO-FEV.2016'!A:B,2,0),IF(H420="Sinapi",VLOOKUP(I420,'SINAPI-FEV.2017'!A:D,2,0),IF(H420="Cotação",VLOOKUP(I420,COTAÇÃO!A:D,2,0),IF(H420="Composição",VLOOKUP(I420,COMPOSIÇÃO!A:D,2,0))))))</f>
        <v>ARMAÇÃO DE ESTRUTURAS DE CONCRETO ARMADO, EXCETO VIGAS, PILARES, LAJES E FUNDAÇÕES PROFUNDAS (DE EDIFÍCIOS DE MÚLTIPLOS PAVIMENTOS, EDIFICAÇÃO TÉRREA OU SOBRADO), UTILIZANDO AÇO CA-50 DE 6.3 MM - MONTAGEM. AF_12/2015</v>
      </c>
      <c r="L420" s="700" t="str">
        <f>(IF(H420="Saneago",VLOOKUP(I420,'SANEAGO-FEV.2016'!A:D,3,0),IF(H420="Sinapi",VLOOKUP(I420,'SINAPI-FEV.2017'!A:D,3,0),IF(H420="Cotação",VLOOKUP(I420,COTAÇÃO!A:D,3,0),IF(H420="Composição",VLOOKUP(I420,COMPOSIÇÃO!A:D,3,0))))))</f>
        <v>KG</v>
      </c>
      <c r="M420" s="870">
        <f>ROUND(VLOOKUP(G420,MC_TRAVESSIA.AEREA!A:M,13,0),2)</f>
        <v>574.9</v>
      </c>
      <c r="N420" s="399">
        <v>0</v>
      </c>
      <c r="O420" s="102">
        <f t="shared" si="67"/>
        <v>0</v>
      </c>
      <c r="P420" s="101">
        <f t="shared" si="68"/>
        <v>0</v>
      </c>
      <c r="Q420" s="1507">
        <v>574.9</v>
      </c>
      <c r="R420" s="1525"/>
      <c r="S420" s="1521"/>
      <c r="V420" s="1325"/>
      <c r="W420" s="1325"/>
      <c r="X420" s="1325"/>
    </row>
    <row r="421" spans="1:24" s="863" customFormat="1" ht="45">
      <c r="A421" s="1482"/>
      <c r="B421" s="1482"/>
      <c r="C421" s="1483">
        <f t="shared" si="4"/>
        <v>5</v>
      </c>
      <c r="D421" s="1492">
        <f t="shared" si="69"/>
        <v>2</v>
      </c>
      <c r="E421" s="1492">
        <f t="shared" si="70"/>
        <v>5</v>
      </c>
      <c r="F421" s="1526" t="s">
        <v>11708</v>
      </c>
      <c r="G421" s="916" t="s">
        <v>20329</v>
      </c>
      <c r="H421" s="823" t="str">
        <f>VLOOKUP(G421,MC_TRAVESSIA.AEREA!A:M,2,0)</f>
        <v>SINAPI</v>
      </c>
      <c r="I421" s="700">
        <f>VLOOKUP(G421,MC_TRAVESSIA.AEREA!A:M,3,0)</f>
        <v>92917</v>
      </c>
      <c r="J421" s="824"/>
      <c r="K421" s="790" t="str">
        <f>(IF(H421="Saneago",VLOOKUP(I421,'SANEAGO-FEV.2016'!A:B,2,0),IF(H421="Sinapi",VLOOKUP(I421,'SINAPI-FEV.2017'!A:D,2,0),IF(H421="Cotação",VLOOKUP(I421,COTAÇÃO!A:D,2,0),IF(H421="Composição",VLOOKUP(I421,COMPOSIÇÃO!A:D,2,0))))))</f>
        <v>ARMAÇÃO DE ESTRUTURAS DE CONCRETO ARMADO, EXCETO VIGAS, PILARES, LAJES E FUNDAÇÕES PROFUNDAS (DE EDIFÍCIOS DE MÚLTIPLOS PAVIMENTOS, EDIFICAÇÃO TÉRREA OU SOBRADO), UTILIZANDO AÇO CA-50 DE 8.0 MM - MONTAGEM. AF_12/2015</v>
      </c>
      <c r="L421" s="700" t="str">
        <f>(IF(H421="Saneago",VLOOKUP(I421,'SANEAGO-FEV.2016'!A:D,3,0),IF(H421="Sinapi",VLOOKUP(I421,'SINAPI-FEV.2017'!A:D,3,0),IF(H421="Cotação",VLOOKUP(I421,COTAÇÃO!A:D,3,0),IF(H421="Composição",VLOOKUP(I421,COMPOSIÇÃO!A:D,3,0))))))</f>
        <v>KG</v>
      </c>
      <c r="M421" s="870">
        <f>ROUND(VLOOKUP(G421,MC_TRAVESSIA.AEREA!A:M,13,0),2)</f>
        <v>347.32</v>
      </c>
      <c r="N421" s="399">
        <v>0</v>
      </c>
      <c r="O421" s="102">
        <f>ROUND(IF(F421="Serviços",N421*(1+$O$7),IF(F421="Materiais",N421*(1+$O$8))),2)</f>
        <v>0</v>
      </c>
      <c r="P421" s="101">
        <f>ROUND(M421*O421,2)</f>
        <v>0</v>
      </c>
      <c r="Q421" s="1507">
        <v>347.32</v>
      </c>
      <c r="R421" s="1525"/>
      <c r="S421" s="1521"/>
      <c r="V421" s="1325"/>
      <c r="W421" s="1325"/>
      <c r="X421" s="1325"/>
    </row>
    <row r="422" spans="1:24" s="863" customFormat="1" ht="45">
      <c r="A422" s="1482"/>
      <c r="B422" s="1482"/>
      <c r="C422" s="1483">
        <f t="shared" si="4"/>
        <v>5</v>
      </c>
      <c r="D422" s="1492">
        <f t="shared" si="69"/>
        <v>2</v>
      </c>
      <c r="E422" s="1492">
        <f t="shared" si="70"/>
        <v>5</v>
      </c>
      <c r="F422" s="1526" t="s">
        <v>11708</v>
      </c>
      <c r="G422" s="916" t="s">
        <v>20330</v>
      </c>
      <c r="H422" s="823" t="str">
        <f>VLOOKUP(G422,MC_TRAVESSIA.AEREA!A:M,2,0)</f>
        <v>SINAPI</v>
      </c>
      <c r="I422" s="700">
        <f>VLOOKUP(G422,MC_TRAVESSIA.AEREA!A:M,3,0)</f>
        <v>92919</v>
      </c>
      <c r="J422" s="824"/>
      <c r="K422" s="790" t="str">
        <f>(IF(H422="Saneago",VLOOKUP(I422,'SANEAGO-FEV.2016'!A:B,2,0),IF(H422="Sinapi",VLOOKUP(I422,'SINAPI-FEV.2017'!A:D,2,0),IF(H422="Cotação",VLOOKUP(I422,COTAÇÃO!A:D,2,0),IF(H422="Composição",VLOOKUP(I422,COMPOSIÇÃO!A:D,2,0))))))</f>
        <v>ARMAÇÃO DE ESTRUTURAS DE CONCRETO ARMADO, EXCETO VIGAS, PILARES, LAJES E FUNDAÇÕES PROFUNDAS (DE EDIFÍCIOS DE MÚLTIPLOS PAVIMENTOS, EDIFICAÇÃO TÉRREA OU SOBRADO), UTILIZANDO AÇO CA-50 DE 10.0 MM - MONTAGEM. AF_12/2015</v>
      </c>
      <c r="L422" s="700" t="str">
        <f>(IF(H422="Saneago",VLOOKUP(I422,'SANEAGO-FEV.2016'!A:D,3,0),IF(H422="Sinapi",VLOOKUP(I422,'SINAPI-FEV.2017'!A:D,3,0),IF(H422="Cotação",VLOOKUP(I422,COTAÇÃO!A:D,3,0),IF(H422="Composição",VLOOKUP(I422,COMPOSIÇÃO!A:D,3,0))))))</f>
        <v>KG</v>
      </c>
      <c r="M422" s="870">
        <f>ROUND(VLOOKUP(G422,MC_TRAVESSIA.AEREA!A:M,13,0),2)</f>
        <v>959.72</v>
      </c>
      <c r="N422" s="399">
        <v>0</v>
      </c>
      <c r="O422" s="102">
        <f>ROUND(IF(F422="Serviços",N422*(1+$O$7),IF(F422="Materiais",N422*(1+$O$8))),2)</f>
        <v>0</v>
      </c>
      <c r="P422" s="101">
        <f>ROUND(M422*O422,2)</f>
        <v>0</v>
      </c>
      <c r="Q422" s="1507">
        <v>959.72</v>
      </c>
      <c r="R422" s="1525"/>
      <c r="S422" s="1521"/>
      <c r="V422" s="1325"/>
      <c r="W422" s="1325"/>
      <c r="X422" s="1325"/>
    </row>
    <row r="423" spans="1:24" s="863" customFormat="1" ht="45">
      <c r="A423" s="1482"/>
      <c r="B423" s="1482"/>
      <c r="C423" s="1483">
        <f t="shared" si="4"/>
        <v>5</v>
      </c>
      <c r="D423" s="1492">
        <f t="shared" si="69"/>
        <v>2</v>
      </c>
      <c r="E423" s="1492">
        <f t="shared" si="70"/>
        <v>5</v>
      </c>
      <c r="F423" s="1526" t="s">
        <v>11708</v>
      </c>
      <c r="G423" s="916" t="s">
        <v>20331</v>
      </c>
      <c r="H423" s="823" t="str">
        <f>VLOOKUP(G423,MC_TRAVESSIA.AEREA!A:M,2,0)</f>
        <v>SINAPI</v>
      </c>
      <c r="I423" s="700">
        <f>VLOOKUP(G423,MC_TRAVESSIA.AEREA!A:M,3,0)</f>
        <v>92921</v>
      </c>
      <c r="J423" s="824"/>
      <c r="K423" s="790" t="str">
        <f>(IF(H423="Saneago",VLOOKUP(I423,'SANEAGO-FEV.2016'!A:B,2,0),IF(H423="Sinapi",VLOOKUP(I423,'SINAPI-FEV.2017'!A:D,2,0),IF(H423="Cotação",VLOOKUP(I423,COTAÇÃO!A:D,2,0),IF(H423="Composição",VLOOKUP(I423,COMPOSIÇÃO!A:D,2,0))))))</f>
        <v>ARMAÇÃO DE ESTRUTURAS DE CONCRETO ARMADO, EXCETO VIGAS, PILARES, LAJES E FUNDAÇÕES PROFUNDAS (DE EDIFÍCIOS DE MÚLTIPLOS PAVIMENTOS, EDIFICAÇÃO TÉRREA OU SOBRADO), UTILIZANDO AÇO CA-50 DE 12.5 MM - MONTAGEM. AF_12/2015</v>
      </c>
      <c r="L423" s="700" t="str">
        <f>(IF(H423="Saneago",VLOOKUP(I423,'SANEAGO-FEV.2016'!A:D,3,0),IF(H423="Sinapi",VLOOKUP(I423,'SINAPI-FEV.2017'!A:D,3,0),IF(H423="Cotação",VLOOKUP(I423,COTAÇÃO!A:D,3,0),IF(H423="Composição",VLOOKUP(I423,COMPOSIÇÃO!A:D,3,0))))))</f>
        <v>KG</v>
      </c>
      <c r="M423" s="870">
        <f>ROUND(VLOOKUP(G423,MC_TRAVESSIA.AEREA!A:M,13,0),2)</f>
        <v>975.06</v>
      </c>
      <c r="N423" s="399">
        <v>0</v>
      </c>
      <c r="O423" s="102">
        <f>ROUND(IF(F423="Serviços",N423*(1+$O$7),IF(F423="Materiais",N423*(1+$O$8))),2)</f>
        <v>0</v>
      </c>
      <c r="P423" s="101">
        <f>ROUND(M423*O423,2)</f>
        <v>0</v>
      </c>
      <c r="Q423" s="1507">
        <v>975.06</v>
      </c>
      <c r="R423" s="1525"/>
      <c r="S423" s="1521"/>
      <c r="V423" s="1325"/>
      <c r="W423" s="1325"/>
      <c r="X423" s="1325"/>
    </row>
    <row r="424" spans="1:24" s="863" customFormat="1" ht="12.75">
      <c r="A424" s="1482"/>
      <c r="B424" s="1482"/>
      <c r="C424" s="1483">
        <f t="shared" si="4"/>
        <v>5</v>
      </c>
      <c r="D424" s="1492">
        <f t="shared" si="69"/>
        <v>2</v>
      </c>
      <c r="E424" s="1492">
        <f t="shared" si="70"/>
        <v>5</v>
      </c>
      <c r="F424" s="1526" t="s">
        <v>11708</v>
      </c>
      <c r="G424" s="916" t="s">
        <v>14586</v>
      </c>
      <c r="H424" s="823" t="str">
        <f>VLOOKUP(G424,MC_TRAVESSIA.AEREA!A:M,2,0)</f>
        <v>SINAPI</v>
      </c>
      <c r="I424" s="700" t="str">
        <f>VLOOKUP(G424,MC_TRAVESSIA.AEREA!A:M,3,0)</f>
        <v>74022/57</v>
      </c>
      <c r="J424" s="824"/>
      <c r="K424" s="790" t="str">
        <f>(IF(H424="Saneago",VLOOKUP(I424,'SANEAGO-FEV.2016'!A:B,2,0),IF(H424="Sinapi",VLOOKUP(I424,'SINAPI-FEV.2017'!A:D,2,0),IF(H424="Cotação",VLOOKUP(I424,COTAÇÃO!A:D,2,0),IF(H424="Composição",VLOOKUP(I424,COMPOSIÇÃO!A:D,2,0))))))</f>
        <v>ENSAIO DE CONSISTENCIA DO CONCRETO CCR - INDICE VEBE</v>
      </c>
      <c r="L424" s="700" t="str">
        <f>(IF(H424="Saneago",VLOOKUP(I424,'SANEAGO-FEV.2016'!A:D,3,0),IF(H424="Sinapi",VLOOKUP(I424,'SINAPI-FEV.2017'!A:D,3,0),IF(H424="Cotação",VLOOKUP(I424,COTAÇÃO!A:D,3,0),IF(H424="Composição",VLOOKUP(I424,COMPOSIÇÃO!A:D,3,0))))))</f>
        <v>UN</v>
      </c>
      <c r="M424" s="870">
        <f>ROUND(VLOOKUP(G424,MC_TRAVESSIA.AEREA!A:M,13,0),2)</f>
        <v>1</v>
      </c>
      <c r="N424" s="399">
        <v>0</v>
      </c>
      <c r="O424" s="102">
        <f>ROUND(IF(F424="Serviços",N424*(1+$O$7),IF(F424="Materiais",N424*(1+$O$8))),2)</f>
        <v>0</v>
      </c>
      <c r="P424" s="101">
        <f>ROUND(M424*O424,2)</f>
        <v>0</v>
      </c>
      <c r="Q424" s="1507">
        <v>1</v>
      </c>
      <c r="R424" s="1525"/>
      <c r="S424" s="1521"/>
      <c r="V424" s="1325"/>
      <c r="W424" s="1325"/>
      <c r="X424" s="1325"/>
    </row>
    <row r="425" spans="1:24" s="863" customFormat="1" ht="22.5">
      <c r="A425" s="1482"/>
      <c r="B425" s="1482"/>
      <c r="C425" s="1483">
        <f t="shared" si="4"/>
        <v>5</v>
      </c>
      <c r="D425" s="1492">
        <f t="shared" si="69"/>
        <v>2</v>
      </c>
      <c r="E425" s="1492">
        <f t="shared" si="70"/>
        <v>5</v>
      </c>
      <c r="F425" s="1526" t="s">
        <v>11708</v>
      </c>
      <c r="G425" s="916" t="s">
        <v>14587</v>
      </c>
      <c r="H425" s="823" t="str">
        <f>VLOOKUP(G425,MC_TRAVESSIA.AEREA!A:M,2,0)</f>
        <v>SINAPI</v>
      </c>
      <c r="I425" s="700">
        <f>VLOOKUP(G425,MC_TRAVESSIA.AEREA!A:M,3,0)</f>
        <v>11421</v>
      </c>
      <c r="J425" s="824"/>
      <c r="K425" s="790" t="str">
        <f>(IF(H425="Saneago",VLOOKUP(I425,'SANEAGO-FEV.2016'!A:B,2,0),IF(H425="Sinapi",VLOOKUP(I425,'SINAPI-FEV.2017'!A:D,2,0),IF(H425="Cotação",VLOOKUP(I425,COTAÇÃO!A:D,2,0),IF(H425="Composição",VLOOKUP(I425,COMPOSIÇÃO!A:D,2,0))))))</f>
        <v>!PROCESSO DE DESATIVACAO! TRILHO (TIPO FERROVIA) UTILIZADO PARA ESTACAS EM FUNDACOES PREDIAIS</v>
      </c>
      <c r="L425" s="700" t="str">
        <f>(IF(H425="Saneago",VLOOKUP(I425,'SANEAGO-FEV.2016'!A:D,3,0),IF(H425="Sinapi",VLOOKUP(I425,'SINAPI-FEV.2017'!A:D,3,0),IF(H425="Cotação",VLOOKUP(I425,COTAÇÃO!A:D,3,0),IF(H425="Composição",VLOOKUP(I425,COMPOSIÇÃO!A:D,3,0))))))</f>
        <v>KG</v>
      </c>
      <c r="M425" s="870">
        <f>ROUND(VLOOKUP(G425,MC_TRAVESSIA.AEREA!A:M,13,0),2)</f>
        <v>1285.92</v>
      </c>
      <c r="N425" s="399">
        <v>0</v>
      </c>
      <c r="O425" s="102">
        <f>ROUND(IF(F425="Serviços",N425*(1+$O$7),IF(F425="Materiais",N425*(1+$O$8))),2)</f>
        <v>0</v>
      </c>
      <c r="P425" s="101">
        <f>ROUND(M425*O425,2)</f>
        <v>0</v>
      </c>
      <c r="Q425" s="1507">
        <v>1285.92</v>
      </c>
      <c r="R425" s="1525"/>
      <c r="S425" s="1521"/>
      <c r="V425" s="1325"/>
      <c r="W425" s="1325"/>
      <c r="X425" s="1325"/>
    </row>
    <row r="426" spans="1:24" s="863" customFormat="1" ht="22.5">
      <c r="A426" s="1482"/>
      <c r="B426" s="1482"/>
      <c r="C426" s="1483">
        <f t="shared" si="4"/>
        <v>5</v>
      </c>
      <c r="D426" s="1492">
        <f t="shared" si="69"/>
        <v>2</v>
      </c>
      <c r="E426" s="1492">
        <f t="shared" si="70"/>
        <v>5</v>
      </c>
      <c r="F426" s="1526" t="s">
        <v>11708</v>
      </c>
      <c r="G426" s="916" t="s">
        <v>14588</v>
      </c>
      <c r="H426" s="823" t="str">
        <f>VLOOKUP(G426,MC_TRAVESSIA.AEREA!A:M,2,0)</f>
        <v>SINAPI</v>
      </c>
      <c r="I426" s="700">
        <f>VLOOKUP(G426,MC_TRAVESSIA.AEREA!A:M,3,0)</f>
        <v>84132</v>
      </c>
      <c r="J426" s="824"/>
      <c r="K426" s="790" t="str">
        <f>(IF(H426="Saneago",VLOOKUP(I426,'SANEAGO-FEV.2016'!A:B,2,0),IF(H426="Sinapi",VLOOKUP(I426,'SINAPI-FEV.2017'!A:D,2,0),IF(H426="Cotação",VLOOKUP(I426,COTAÇÃO!A:D,2,0),IF(H426="Composição",VLOOKUP(I426,COMPOSIÇÃO!A:D,2,0))))))</f>
        <v>SOLDA DE TOPO DESCENDENTE, EM CHAPA ACO CHANFR 5/16" ESP (P/ ASSENT TUBULACAO OU PECA DE ACO) UTILIZANDO CONVERSOR DIESEL.</v>
      </c>
      <c r="L426" s="700" t="str">
        <f>(IF(H426="Saneago",VLOOKUP(I426,'SANEAGO-FEV.2016'!A:D,3,0),IF(H426="Sinapi",VLOOKUP(I426,'SINAPI-FEV.2017'!A:D,3,0),IF(H426="Cotação",VLOOKUP(I426,COTAÇÃO!A:D,3,0),IF(H426="Composição",VLOOKUP(I426,COMPOSIÇÃO!A:D,3,0))))))</f>
        <v>M</v>
      </c>
      <c r="M426" s="870">
        <f>ROUND(VLOOKUP(G426,MC_TRAVESSIA.AEREA!A:M,13,0),2)</f>
        <v>20</v>
      </c>
      <c r="N426" s="399">
        <v>0</v>
      </c>
      <c r="O426" s="102">
        <f t="shared" si="67"/>
        <v>0</v>
      </c>
      <c r="P426" s="101">
        <f t="shared" si="68"/>
        <v>0</v>
      </c>
      <c r="Q426" s="1507">
        <v>20</v>
      </c>
      <c r="R426" s="1525"/>
      <c r="S426" s="1521"/>
      <c r="V426" s="1325"/>
      <c r="W426" s="1325"/>
      <c r="X426" s="1325"/>
    </row>
    <row r="427" spans="1:24" s="863" customFormat="1" ht="22.5">
      <c r="A427" s="1482"/>
      <c r="B427" s="1482"/>
      <c r="C427" s="1483">
        <f t="shared" si="4"/>
        <v>5</v>
      </c>
      <c r="D427" s="1492">
        <f>D426+A427</f>
        <v>2</v>
      </c>
      <c r="E427" s="1492">
        <f>E426+B427</f>
        <v>5</v>
      </c>
      <c r="F427" s="1526" t="s">
        <v>11708</v>
      </c>
      <c r="G427" s="916" t="s">
        <v>14589</v>
      </c>
      <c r="H427" s="823" t="str">
        <f>VLOOKUP(G427,MC_TRAVESSIA.AEREA!A:M,2,0)</f>
        <v>COTAÇÃO</v>
      </c>
      <c r="I427" s="700" t="str">
        <f>VLOOKUP(G427,MC_TRAVESSIA.AEREA!A:M,3,0)</f>
        <v>CT_TRELIÇA</v>
      </c>
      <c r="J427" s="824"/>
      <c r="K427" s="790" t="str">
        <f>(IF(H427="Saneago",VLOOKUP(I427,'SANEAGO-FEV.2016'!A:B,2,0),IF(H427="Sinapi",VLOOKUP(I427,'SINAPI-FEV.2017'!A:D,2,0),IF(H427="Cotação",VLOOKUP(I427,COTAÇÃO!A:D,2,0),IF(H427="Composição",VLOOKUP(I427,COMPOSIÇÃO!A:D,2,0))))))</f>
        <v>TRELIÇA METÁLICA (VÃO 21 M), CONFORME DETALHAMENTO DO PROJETO HIDROMECÂNICO</v>
      </c>
      <c r="L427" s="700" t="str">
        <f>(IF(H427="Saneago",VLOOKUP(I427,'SANEAGO-FEV.2016'!A:D,3,0),IF(H427="Sinapi",VLOOKUP(I427,'SINAPI-FEV.2017'!A:D,3,0),IF(H427="Cotação",VLOOKUP(I427,COTAÇÃO!A:D,3,0),IF(H427="Composição",VLOOKUP(I427,COMPOSIÇÃO!A:D,3,0))))))</f>
        <v>UNID.</v>
      </c>
      <c r="M427" s="870">
        <f>ROUND(VLOOKUP(G427,MC_TRAVESSIA.AEREA!A:M,13,0),2)</f>
        <v>1</v>
      </c>
      <c r="N427" s="399">
        <v>0</v>
      </c>
      <c r="O427" s="102">
        <f t="shared" si="67"/>
        <v>0</v>
      </c>
      <c r="P427" s="101">
        <f t="shared" si="68"/>
        <v>0</v>
      </c>
      <c r="Q427" s="1507">
        <v>1</v>
      </c>
      <c r="R427" s="1525"/>
      <c r="S427" s="1521"/>
      <c r="V427" s="1325"/>
      <c r="W427" s="1325"/>
      <c r="X427" s="1325"/>
    </row>
    <row r="428" spans="1:24" s="863" customFormat="1" ht="13.5" thickBot="1">
      <c r="A428" s="1482"/>
      <c r="B428" s="1482"/>
      <c r="C428" s="1483">
        <f t="shared" si="4"/>
        <v>5</v>
      </c>
      <c r="D428" s="1492">
        <f>D427+A428</f>
        <v>2</v>
      </c>
      <c r="E428" s="1492">
        <f>E427+B428</f>
        <v>5</v>
      </c>
      <c r="F428" s="1526" t="s">
        <v>11708</v>
      </c>
      <c r="G428" s="862"/>
      <c r="H428" s="823"/>
      <c r="I428" s="700"/>
      <c r="J428" s="824"/>
      <c r="K428" s="790"/>
      <c r="L428" s="700"/>
      <c r="M428" s="870"/>
      <c r="N428" s="399"/>
      <c r="O428" s="344"/>
      <c r="P428" s="342"/>
      <c r="Q428" s="1507"/>
      <c r="R428" s="1525"/>
      <c r="S428" s="1521"/>
      <c r="V428" s="1325"/>
      <c r="W428" s="1325"/>
      <c r="X428" s="1325"/>
    </row>
    <row r="429" spans="1:24" s="863" customFormat="1" ht="14.25" customHeight="1" thickTop="1" thickBot="1">
      <c r="A429" s="1482"/>
      <c r="B429" s="1482"/>
      <c r="C429" s="1483">
        <f t="shared" si="4"/>
        <v>5</v>
      </c>
      <c r="D429" s="1492">
        <f t="shared" ref="D429:D437" si="71">D428+A429</f>
        <v>2</v>
      </c>
      <c r="E429" s="1492">
        <f t="shared" ref="E429:E437" si="72">E428+B429</f>
        <v>5</v>
      </c>
      <c r="F429" s="1526" t="s">
        <v>11708</v>
      </c>
      <c r="G429" s="862"/>
      <c r="H429" s="1538" t="str">
        <f>"TOTAL ITEM: "&amp;J415 &amp;K415</f>
        <v>TOTAL ITEM: 5.2.5 ESTRUTURAS DE CONCRETO ARMADO</v>
      </c>
      <c r="I429" s="1539"/>
      <c r="J429" s="1539"/>
      <c r="K429" s="1539"/>
      <c r="L429" s="1539"/>
      <c r="M429" s="1539"/>
      <c r="N429" s="718"/>
      <c r="O429" s="718"/>
      <c r="P429" s="343">
        <f>SUBTOTAL(9,P417:P427)</f>
        <v>0</v>
      </c>
      <c r="Q429" s="1507"/>
      <c r="R429" s="1525"/>
      <c r="S429" s="1521"/>
      <c r="V429" s="1325"/>
      <c r="W429" s="1325"/>
      <c r="X429" s="1325"/>
    </row>
    <row r="430" spans="1:24" s="863" customFormat="1" ht="13.5" thickTop="1">
      <c r="A430" s="1482"/>
      <c r="B430" s="1482"/>
      <c r="C430" s="1483">
        <f t="shared" si="4"/>
        <v>5</v>
      </c>
      <c r="D430" s="1492">
        <f t="shared" si="71"/>
        <v>2</v>
      </c>
      <c r="E430" s="1492">
        <f t="shared" si="72"/>
        <v>5</v>
      </c>
      <c r="F430" s="1526" t="s">
        <v>11708</v>
      </c>
      <c r="G430" s="862"/>
      <c r="H430" s="823"/>
      <c r="I430" s="700"/>
      <c r="J430" s="824"/>
      <c r="K430" s="700"/>
      <c r="L430" s="700"/>
      <c r="M430" s="870"/>
      <c r="N430" s="399"/>
      <c r="O430" s="344"/>
      <c r="P430" s="342"/>
      <c r="Q430" s="1507"/>
      <c r="R430" s="1525"/>
      <c r="S430" s="1521"/>
      <c r="V430" s="1325"/>
      <c r="W430" s="1325"/>
      <c r="X430" s="1325"/>
    </row>
    <row r="431" spans="1:24" s="863" customFormat="1" ht="12.75">
      <c r="A431" s="1482"/>
      <c r="B431" s="1482">
        <v>1</v>
      </c>
      <c r="C431" s="1483">
        <f t="shared" si="4"/>
        <v>5</v>
      </c>
      <c r="D431" s="1492">
        <f t="shared" si="71"/>
        <v>2</v>
      </c>
      <c r="E431" s="1492">
        <f t="shared" si="72"/>
        <v>6</v>
      </c>
      <c r="F431" s="1526" t="s">
        <v>11708</v>
      </c>
      <c r="G431" s="862"/>
      <c r="H431" s="1527" t="s">
        <v>11703</v>
      </c>
      <c r="I431" s="1528" t="s">
        <v>64</v>
      </c>
      <c r="J431" s="1529" t="str">
        <f>CONCATENATE(C431,".",D431,".",E431)</f>
        <v>5.2.6</v>
      </c>
      <c r="K431" s="1530" t="s">
        <v>14171</v>
      </c>
      <c r="L431" s="1531" t="s">
        <v>25</v>
      </c>
      <c r="M431" s="1532" t="s">
        <v>11704</v>
      </c>
      <c r="N431" s="586" t="s">
        <v>11705</v>
      </c>
      <c r="O431" s="587" t="s">
        <v>11706</v>
      </c>
      <c r="P431" s="588" t="s">
        <v>27</v>
      </c>
      <c r="Q431" s="1507" t="s">
        <v>11704</v>
      </c>
      <c r="R431" s="1525"/>
      <c r="S431" s="1521"/>
      <c r="V431" s="1325"/>
      <c r="W431" s="1325"/>
      <c r="X431" s="1325"/>
    </row>
    <row r="432" spans="1:24" s="863" customFormat="1" ht="12.75">
      <c r="A432" s="1482"/>
      <c r="B432" s="1482"/>
      <c r="C432" s="1483">
        <f t="shared" si="4"/>
        <v>5</v>
      </c>
      <c r="D432" s="1492">
        <f t="shared" si="71"/>
        <v>2</v>
      </c>
      <c r="E432" s="1492">
        <f t="shared" si="72"/>
        <v>6</v>
      </c>
      <c r="F432" s="1526" t="s">
        <v>11708</v>
      </c>
      <c r="G432" s="862"/>
      <c r="H432" s="823"/>
      <c r="I432" s="700"/>
      <c r="J432" s="824"/>
      <c r="K432" s="700"/>
      <c r="L432" s="700"/>
      <c r="M432" s="870"/>
      <c r="N432" s="399"/>
      <c r="O432" s="344"/>
      <c r="P432" s="342"/>
      <c r="Q432" s="1507"/>
      <c r="R432" s="1525"/>
      <c r="S432" s="1521"/>
      <c r="V432" s="1325"/>
      <c r="W432" s="1325"/>
      <c r="X432" s="1325"/>
    </row>
    <row r="433" spans="1:24" s="863" customFormat="1" ht="22.5">
      <c r="A433" s="1482"/>
      <c r="B433" s="1482"/>
      <c r="C433" s="1483">
        <f t="shared" si="4"/>
        <v>5</v>
      </c>
      <c r="D433" s="1492">
        <f t="shared" si="71"/>
        <v>2</v>
      </c>
      <c r="E433" s="1492">
        <f t="shared" si="72"/>
        <v>6</v>
      </c>
      <c r="F433" s="1526" t="s">
        <v>11708</v>
      </c>
      <c r="G433" s="862" t="s">
        <v>14590</v>
      </c>
      <c r="H433" s="823" t="str">
        <f>VLOOKUP(G433,MC_TRAVESSIA.AEREA!A:M,2,0)</f>
        <v>SINAPI</v>
      </c>
      <c r="I433" s="700">
        <f>VLOOKUP(G433,MC_TRAVESSIA.AEREA!A:M,3,0)</f>
        <v>84152</v>
      </c>
      <c r="J433" s="824"/>
      <c r="K433" s="790" t="str">
        <f>(IF(H433="Saneago",VLOOKUP(I433,'SANEAGO-FEV.2016'!A:B,2,0),IF(H433="Sinapi",VLOOKUP(I433,'SINAPI-FEV.2017'!A:D,2,0),IF(H433="Cotação",VLOOKUP(I433,COTAÇÃO!A:D,2,0),IF(H433="Composição",VLOOKUP(I433,COMPOSIÇÃO!A:D,2,0))))))</f>
        <v>DEMOLICAO MANUAL CONCRETO ARMADO (PILAR / VIGA / LAJE) - INCL EMPILHACAO LATERAL NO CANTEIRO</v>
      </c>
      <c r="L433" s="700" t="str">
        <f>(IF(H433="Saneago",VLOOKUP(I433,'SANEAGO-FEV.2016'!A:D,3,0),IF(H433="Sinapi",VLOOKUP(I433,'SINAPI-FEV.2017'!A:D,3,0),IF(H433="Cotação",VLOOKUP(I433,COTAÇÃO!A:D,3,0),IF(H433="Composição",VLOOKUP(I433,COMPOSIÇÃO!A:D,3,0))))))</f>
        <v>M3</v>
      </c>
      <c r="M433" s="870">
        <f>ROUND(VLOOKUP(G433,MC_TRAVESSIA.AEREA!A:M,13,0),2)</f>
        <v>0.33</v>
      </c>
      <c r="N433" s="399">
        <v>0</v>
      </c>
      <c r="O433" s="102">
        <f>ROUND(IF(F433="Serviços",N433*(1+$O$7),IF(F433="Materiais",N433*(1+$O$8))),2)</f>
        <v>0</v>
      </c>
      <c r="P433" s="101">
        <f>ROUND(M433*O433,2)</f>
        <v>0</v>
      </c>
      <c r="Q433" s="1507">
        <v>0.33</v>
      </c>
      <c r="R433" s="1525"/>
      <c r="S433" s="1521"/>
      <c r="V433" s="1325"/>
      <c r="W433" s="1325"/>
      <c r="X433" s="1325"/>
    </row>
    <row r="434" spans="1:24" s="863" customFormat="1" ht="22.5">
      <c r="A434" s="1482"/>
      <c r="B434" s="1482"/>
      <c r="C434" s="1483">
        <f t="shared" si="4"/>
        <v>5</v>
      </c>
      <c r="D434" s="1492">
        <f t="shared" si="71"/>
        <v>2</v>
      </c>
      <c r="E434" s="1492">
        <f t="shared" si="72"/>
        <v>6</v>
      </c>
      <c r="F434" s="1526" t="s">
        <v>11708</v>
      </c>
      <c r="G434" s="862" t="s">
        <v>14591</v>
      </c>
      <c r="H434" s="823" t="str">
        <f>VLOOKUP(G434,MC_TRAVESSIA.AEREA!A:M,2,0)</f>
        <v>SINAPI</v>
      </c>
      <c r="I434" s="700">
        <f>VLOOKUP(G434,MC_TRAVESSIA.AEREA!A:M,3,0)</f>
        <v>90278</v>
      </c>
      <c r="J434" s="824"/>
      <c r="K434" s="790" t="str">
        <f>(IF(H434="Saneago",VLOOKUP(I434,'SANEAGO-FEV.2016'!A:B,2,0),IF(H434="Sinapi",VLOOKUP(I434,'SINAPI-FEV.2017'!A:D,2,0),IF(H434="Cotação",VLOOKUP(I434,COTAÇÃO!A:D,2,0),IF(H434="Composição",VLOOKUP(I434,COMPOSIÇÃO!A:D,2,0))))))</f>
        <v>GRAUTE FGK=15 MPA; TRAÇO 1:0,04:2,0:2,4 (CIMENTO/ CAL/ AREIA GROSSA/ BRITA 0) - PREPARO MECÂNICO COM BETONEIRA 400 L. AF_02/2015</v>
      </c>
      <c r="L434" s="700" t="str">
        <f>(IF(H434="Saneago",VLOOKUP(I434,'SANEAGO-FEV.2016'!A:D,3,0),IF(H434="Sinapi",VLOOKUP(I434,'SINAPI-FEV.2017'!A:D,3,0),IF(H434="Cotação",VLOOKUP(I434,COTAÇÃO!A:D,3,0),IF(H434="Composição",VLOOKUP(I434,COMPOSIÇÃO!A:D,3,0))))))</f>
        <v>M3</v>
      </c>
      <c r="M434" s="870">
        <f>ROUND(VLOOKUP(G434,MC_TRAVESSIA.AEREA!A:M,13,0),2)</f>
        <v>0.33</v>
      </c>
      <c r="N434" s="399">
        <v>0</v>
      </c>
      <c r="O434" s="102">
        <f>ROUND(IF(F434="Serviços",N434*(1+$O$7),IF(F434="Materiais",N434*(1+$O$8))),2)</f>
        <v>0</v>
      </c>
      <c r="P434" s="101">
        <f>ROUND(M434*O434,2)</f>
        <v>0</v>
      </c>
      <c r="Q434" s="1507">
        <v>0.33</v>
      </c>
      <c r="R434" s="1525"/>
      <c r="S434" s="1521"/>
      <c r="V434" s="1325"/>
      <c r="W434" s="1325"/>
      <c r="X434" s="1325"/>
    </row>
    <row r="435" spans="1:24" s="863" customFormat="1" ht="13.5" thickBot="1">
      <c r="A435" s="1482"/>
      <c r="B435" s="1482"/>
      <c r="C435" s="1483">
        <f t="shared" si="4"/>
        <v>5</v>
      </c>
      <c r="D435" s="1492">
        <f t="shared" si="71"/>
        <v>2</v>
      </c>
      <c r="E435" s="1492">
        <f t="shared" si="72"/>
        <v>6</v>
      </c>
      <c r="F435" s="1526" t="s">
        <v>11708</v>
      </c>
      <c r="G435" s="862"/>
      <c r="H435" s="823"/>
      <c r="I435" s="700"/>
      <c r="J435" s="824"/>
      <c r="K435" s="790"/>
      <c r="L435" s="700"/>
      <c r="M435" s="870"/>
      <c r="N435" s="399"/>
      <c r="O435" s="344"/>
      <c r="P435" s="342"/>
      <c r="Q435" s="1507"/>
      <c r="R435" s="1525"/>
      <c r="S435" s="1521"/>
      <c r="V435" s="1325"/>
      <c r="W435" s="1325"/>
      <c r="X435" s="1325"/>
    </row>
    <row r="436" spans="1:24" s="863" customFormat="1" ht="14.25" customHeight="1" thickTop="1" thickBot="1">
      <c r="A436" s="1482"/>
      <c r="B436" s="1482"/>
      <c r="C436" s="1483">
        <f t="shared" si="4"/>
        <v>5</v>
      </c>
      <c r="D436" s="1492">
        <f t="shared" si="71"/>
        <v>2</v>
      </c>
      <c r="E436" s="1492">
        <f t="shared" si="72"/>
        <v>6</v>
      </c>
      <c r="F436" s="1526" t="s">
        <v>11708</v>
      </c>
      <c r="G436" s="862"/>
      <c r="H436" s="1653" t="str">
        <f>"TOTAL ITEM: "&amp;J431 &amp;K431</f>
        <v>TOTAL ITEM: 5.2.6 TRAVESSIAS EM BUEIROS</v>
      </c>
      <c r="I436" s="1654"/>
      <c r="J436" s="1654"/>
      <c r="K436" s="1654"/>
      <c r="L436" s="1654"/>
      <c r="M436" s="1654"/>
      <c r="N436" s="1654"/>
      <c r="O436" s="1654"/>
      <c r="P436" s="343">
        <f>SUBTOTAL(9,P433:P434)</f>
        <v>0</v>
      </c>
      <c r="Q436" s="1507"/>
      <c r="R436" s="1525"/>
      <c r="S436" s="1521"/>
      <c r="V436" s="1325"/>
      <c r="W436" s="1325"/>
      <c r="X436" s="1325"/>
    </row>
    <row r="437" spans="1:24" s="863" customFormat="1" ht="13.5" thickTop="1">
      <c r="A437" s="1482"/>
      <c r="B437" s="1482"/>
      <c r="C437" s="1483">
        <f t="shared" si="4"/>
        <v>5</v>
      </c>
      <c r="D437" s="1492">
        <f t="shared" si="71"/>
        <v>2</v>
      </c>
      <c r="E437" s="1492">
        <f t="shared" si="72"/>
        <v>6</v>
      </c>
      <c r="F437" s="1526" t="s">
        <v>11708</v>
      </c>
      <c r="G437" s="862"/>
      <c r="H437" s="823"/>
      <c r="I437" s="700"/>
      <c r="J437" s="824"/>
      <c r="K437" s="700"/>
      <c r="L437" s="700"/>
      <c r="M437" s="870"/>
      <c r="N437" s="399"/>
      <c r="O437" s="344"/>
      <c r="P437" s="342"/>
      <c r="Q437" s="1507"/>
      <c r="R437" s="1525"/>
      <c r="S437" s="1521"/>
      <c r="V437" s="1325"/>
      <c r="W437" s="1325"/>
      <c r="X437" s="1325"/>
    </row>
    <row r="438" spans="1:24" s="863" customFormat="1" ht="12.75">
      <c r="A438" s="1482"/>
      <c r="B438" s="1482">
        <v>1</v>
      </c>
      <c r="C438" s="1483">
        <f t="shared" ref="C438:C444" si="73">C437</f>
        <v>5</v>
      </c>
      <c r="D438" s="1492">
        <f t="shared" ref="D438:D444" si="74">D437+A438</f>
        <v>2</v>
      </c>
      <c r="E438" s="1492">
        <f t="shared" ref="E438:E444" si="75">E437+B438</f>
        <v>7</v>
      </c>
      <c r="F438" s="1526" t="s">
        <v>11708</v>
      </c>
      <c r="G438" s="862"/>
      <c r="H438" s="1527" t="s">
        <v>11703</v>
      </c>
      <c r="I438" s="1528" t="s">
        <v>64</v>
      </c>
      <c r="J438" s="1529" t="str">
        <f>CONCATENATE(C438,".",D438,".",E438)</f>
        <v>5.2.7</v>
      </c>
      <c r="K438" s="1530" t="s">
        <v>14500</v>
      </c>
      <c r="L438" s="1531" t="s">
        <v>25</v>
      </c>
      <c r="M438" s="1532" t="s">
        <v>11704</v>
      </c>
      <c r="N438" s="586" t="s">
        <v>11705</v>
      </c>
      <c r="O438" s="587" t="s">
        <v>11706</v>
      </c>
      <c r="P438" s="588" t="s">
        <v>27</v>
      </c>
      <c r="Q438" s="1507" t="s">
        <v>11704</v>
      </c>
      <c r="R438" s="1525"/>
      <c r="S438" s="1521"/>
      <c r="V438" s="1325"/>
      <c r="W438" s="1325"/>
      <c r="X438" s="1325"/>
    </row>
    <row r="439" spans="1:24" s="863" customFormat="1" ht="12.75">
      <c r="A439" s="1482"/>
      <c r="B439" s="1482"/>
      <c r="C439" s="1483">
        <f t="shared" si="73"/>
        <v>5</v>
      </c>
      <c r="D439" s="1492">
        <f t="shared" si="74"/>
        <v>2</v>
      </c>
      <c r="E439" s="1492">
        <f t="shared" si="75"/>
        <v>7</v>
      </c>
      <c r="F439" s="1526" t="s">
        <v>11708</v>
      </c>
      <c r="G439" s="862"/>
      <c r="H439" s="823"/>
      <c r="I439" s="700"/>
      <c r="J439" s="824"/>
      <c r="K439" s="700"/>
      <c r="L439" s="700"/>
      <c r="M439" s="870"/>
      <c r="N439" s="399"/>
      <c r="O439" s="344"/>
      <c r="P439" s="342"/>
      <c r="Q439" s="1507"/>
      <c r="R439" s="1525"/>
      <c r="S439" s="1521"/>
      <c r="V439" s="1325"/>
      <c r="W439" s="1325"/>
      <c r="X439" s="1325"/>
    </row>
    <row r="440" spans="1:24" s="863" customFormat="1" ht="27.75" customHeight="1">
      <c r="A440" s="1482"/>
      <c r="B440" s="1482"/>
      <c r="C440" s="1483">
        <f t="shared" si="73"/>
        <v>5</v>
      </c>
      <c r="D440" s="1492">
        <f t="shared" si="74"/>
        <v>2</v>
      </c>
      <c r="E440" s="1492">
        <f t="shared" si="75"/>
        <v>7</v>
      </c>
      <c r="F440" s="1526" t="s">
        <v>11708</v>
      </c>
      <c r="G440" s="862" t="s">
        <v>14592</v>
      </c>
      <c r="H440" s="823" t="str">
        <f>VLOOKUP(G440,MC_TRAVESSIA.AEREA!A:M,2,0)</f>
        <v>COMPOSIÇÃO</v>
      </c>
      <c r="I440" s="700" t="str">
        <f>VLOOKUP(G440,MC_TRAVESSIA.AEREA!A:M,3,0)</f>
        <v>CT.TRAVESSIA.AEREA_AEREA</v>
      </c>
      <c r="J440" s="824"/>
      <c r="K440" s="790" t="str">
        <f>(IF(H440="Saneago",VLOOKUP(I440,'SANEAGO-FEV.2016'!A:B,2,0),IF(H440="Sinapi",VLOOKUP(I440,'SINAPI-FEV.2017'!A:D,2,0),IF(H440="Cotação",VLOOKUP(I440,COTAÇÃO!A:D,2,0),IF(H440="Composição",VLOOKUP(I440,COMPOSIÇÃO!A:D,2,0))))))</f>
        <v>MONTAGEM DA TRAVESSIA AEREA (EMISSÁRIO)</v>
      </c>
      <c r="L440" s="700" t="str">
        <f>(IF(H440="Saneago",VLOOKUP(I440,'SANEAGO-FEV.2016'!A:D,3,0),IF(H440="Sinapi",VLOOKUP(I440,'SINAPI-FEV.2017'!A:D,3,0),IF(H440="Cotação",VLOOKUP(I440,COTAÇÃO!A:D,3,0),IF(H440="Composição",VLOOKUP(I440,COMPOSIÇÃO!A:D,3,0))))))</f>
        <v>M</v>
      </c>
      <c r="M440" s="870">
        <f>ROUND(VLOOKUP(G440,MC_TRAVESSIA.AEREA!A:M,13,0),2)</f>
        <v>207</v>
      </c>
      <c r="N440" s="399">
        <v>0</v>
      </c>
      <c r="O440" s="102">
        <f>ROUND(IF(F440="Serviços",N440*(1+$O$7),IF(F440="Materiais",N440*(1+$O$8))),2)</f>
        <v>0</v>
      </c>
      <c r="P440" s="101">
        <f>ROUND(M440*O440,2)</f>
        <v>0</v>
      </c>
      <c r="Q440" s="1507">
        <v>207</v>
      </c>
      <c r="R440" s="1525"/>
      <c r="S440" s="1521"/>
      <c r="V440" s="1325"/>
      <c r="W440" s="1325"/>
      <c r="X440" s="1325"/>
    </row>
    <row r="441" spans="1:24" s="863" customFormat="1" ht="13.5" thickBot="1">
      <c r="A441" s="1482"/>
      <c r="B441" s="1482"/>
      <c r="C441" s="1483">
        <f t="shared" si="73"/>
        <v>5</v>
      </c>
      <c r="D441" s="1492">
        <f t="shared" si="74"/>
        <v>2</v>
      </c>
      <c r="E441" s="1492">
        <f t="shared" si="75"/>
        <v>7</v>
      </c>
      <c r="F441" s="1526" t="s">
        <v>11708</v>
      </c>
      <c r="G441" s="862"/>
      <c r="H441" s="823"/>
      <c r="I441" s="700"/>
      <c r="J441" s="824"/>
      <c r="K441" s="790"/>
      <c r="L441" s="700"/>
      <c r="M441" s="870"/>
      <c r="N441" s="399"/>
      <c r="O441" s="344"/>
      <c r="P441" s="342"/>
      <c r="Q441" s="1507"/>
      <c r="R441" s="1525"/>
      <c r="S441" s="1521"/>
      <c r="V441" s="1325"/>
      <c r="W441" s="1325"/>
      <c r="X441" s="1325"/>
    </row>
    <row r="442" spans="1:24" s="863" customFormat="1" ht="14.25" customHeight="1" thickTop="1" thickBot="1">
      <c r="A442" s="1482"/>
      <c r="B442" s="1482"/>
      <c r="C442" s="1483">
        <f t="shared" si="73"/>
        <v>5</v>
      </c>
      <c r="D442" s="1492">
        <f t="shared" si="74"/>
        <v>2</v>
      </c>
      <c r="E442" s="1492">
        <f t="shared" si="75"/>
        <v>7</v>
      </c>
      <c r="F442" s="1526" t="s">
        <v>11708</v>
      </c>
      <c r="G442" s="862"/>
      <c r="H442" s="1653" t="str">
        <f>"TOTAL ITEM: "&amp;J438 &amp;K438</f>
        <v>TOTAL ITEM: 5.2.7 MONTAGEM DA TRAVESSIA AEREA</v>
      </c>
      <c r="I442" s="1654"/>
      <c r="J442" s="1654"/>
      <c r="K442" s="1654"/>
      <c r="L442" s="1654"/>
      <c r="M442" s="1654"/>
      <c r="N442" s="1654"/>
      <c r="O442" s="1654"/>
      <c r="P442" s="343">
        <f>SUBTOTAL(9,P440:P440)</f>
        <v>0</v>
      </c>
      <c r="Q442" s="1507"/>
      <c r="R442" s="1525"/>
      <c r="S442" s="1521"/>
      <c r="V442" s="1325"/>
      <c r="W442" s="1325"/>
      <c r="X442" s="1325"/>
    </row>
    <row r="443" spans="1:24" s="863" customFormat="1" ht="13.5" thickTop="1">
      <c r="A443" s="1482"/>
      <c r="B443" s="1482"/>
      <c r="C443" s="1483">
        <f t="shared" si="73"/>
        <v>5</v>
      </c>
      <c r="D443" s="1492">
        <f t="shared" si="74"/>
        <v>2</v>
      </c>
      <c r="E443" s="1492">
        <f t="shared" si="75"/>
        <v>7</v>
      </c>
      <c r="F443" s="1526" t="s">
        <v>11708</v>
      </c>
      <c r="G443" s="862"/>
      <c r="H443" s="823"/>
      <c r="I443" s="700"/>
      <c r="J443" s="824"/>
      <c r="K443" s="700"/>
      <c r="L443" s="700"/>
      <c r="M443" s="870"/>
      <c r="N443" s="399"/>
      <c r="O443" s="344"/>
      <c r="P443" s="342"/>
      <c r="Q443" s="1507"/>
      <c r="R443" s="1525"/>
      <c r="S443" s="1521"/>
      <c r="V443" s="1325"/>
      <c r="W443" s="1325"/>
      <c r="X443" s="1325"/>
    </row>
    <row r="444" spans="1:24" s="863" customFormat="1" ht="13.5" thickBot="1">
      <c r="A444" s="1482"/>
      <c r="B444" s="1482"/>
      <c r="C444" s="1483">
        <f t="shared" si="73"/>
        <v>5</v>
      </c>
      <c r="D444" s="1492">
        <f t="shared" si="74"/>
        <v>2</v>
      </c>
      <c r="E444" s="1492">
        <f t="shared" si="75"/>
        <v>7</v>
      </c>
      <c r="F444" s="1526" t="s">
        <v>11708</v>
      </c>
      <c r="G444" s="862"/>
      <c r="H444" s="929"/>
      <c r="I444" s="1371"/>
      <c r="J444" s="1022"/>
      <c r="K444" s="1371"/>
      <c r="L444" s="1371"/>
      <c r="M444" s="1536"/>
      <c r="N444" s="394"/>
      <c r="O444" s="728"/>
      <c r="P444" s="95"/>
      <c r="Q444" s="1507"/>
      <c r="R444" s="1525"/>
      <c r="S444" s="1521"/>
      <c r="V444" s="1325"/>
      <c r="W444" s="1325"/>
      <c r="X444" s="1325"/>
    </row>
    <row r="445" spans="1:24" s="863" customFormat="1" ht="14.25" thickTop="1" thickBot="1">
      <c r="A445" s="1482"/>
      <c r="B445" s="1482"/>
      <c r="C445" s="1483">
        <v>6</v>
      </c>
      <c r="D445" s="1492">
        <v>0</v>
      </c>
      <c r="E445" s="1492">
        <v>0</v>
      </c>
      <c r="F445" s="1526" t="s">
        <v>11708</v>
      </c>
      <c r="G445" s="862"/>
      <c r="H445" s="1499" t="str">
        <f>CONCATENATE(C445)</f>
        <v>6</v>
      </c>
      <c r="I445" s="1586" t="s">
        <v>14037</v>
      </c>
      <c r="J445" s="1586"/>
      <c r="K445" s="1586"/>
      <c r="L445" s="1500"/>
      <c r="M445" s="1501"/>
      <c r="N445" s="396"/>
      <c r="O445" s="265" t="s">
        <v>11702</v>
      </c>
      <c r="P445" s="266">
        <f>SUBTOTAL(9,P447:P1389)</f>
        <v>0</v>
      </c>
      <c r="Q445" s="1507"/>
      <c r="R445" s="1525"/>
      <c r="S445" s="1521"/>
      <c r="V445" s="1325"/>
      <c r="W445" s="1325"/>
      <c r="X445" s="1325"/>
    </row>
    <row r="446" spans="1:24" ht="16.5" thickTop="1" thickBot="1">
      <c r="A446" s="1482"/>
      <c r="B446" s="1482"/>
      <c r="C446" s="1483">
        <v>6</v>
      </c>
      <c r="D446" s="1492">
        <f t="shared" ref="D446:D511" si="76">D445+A446</f>
        <v>0</v>
      </c>
      <c r="E446" s="1492">
        <f t="shared" ref="E446:E511" si="77">E445+B446</f>
        <v>0</v>
      </c>
      <c r="F446" s="1526" t="s">
        <v>11708</v>
      </c>
      <c r="H446" s="1095"/>
      <c r="I446" s="780"/>
      <c r="J446" s="834"/>
      <c r="K446" s="780"/>
      <c r="L446" s="780"/>
      <c r="M446" s="1270"/>
      <c r="N446" s="400"/>
      <c r="O446" s="122"/>
      <c r="P446" s="123"/>
    </row>
    <row r="447" spans="1:24" ht="16.5" thickTop="1" thickBot="1">
      <c r="A447" s="1482">
        <v>1</v>
      </c>
      <c r="B447" s="1482">
        <v>1</v>
      </c>
      <c r="C447" s="1483">
        <f t="shared" ref="C447:C510" si="78">C446</f>
        <v>6</v>
      </c>
      <c r="D447" s="1492">
        <f t="shared" si="76"/>
        <v>1</v>
      </c>
      <c r="E447" s="1492">
        <f t="shared" si="77"/>
        <v>1</v>
      </c>
      <c r="F447" s="1484" t="s">
        <v>11708</v>
      </c>
      <c r="H447" s="1510" t="str">
        <f>CONCATENATE(C447,".",D447)</f>
        <v>6.1</v>
      </c>
      <c r="I447" s="1644" t="s">
        <v>11760</v>
      </c>
      <c r="J447" s="1644"/>
      <c r="K447" s="1644"/>
      <c r="L447" s="1644"/>
      <c r="M447" s="1644"/>
      <c r="N447" s="1644"/>
      <c r="O447" s="99" t="s">
        <v>11702</v>
      </c>
      <c r="P447" s="100">
        <f>SUBTOTAL(9,P451:P547)</f>
        <v>0</v>
      </c>
      <c r="Q447" s="1513"/>
    </row>
    <row r="448" spans="1:24" ht="15.75" thickTop="1">
      <c r="A448" s="1482"/>
      <c r="B448" s="1482"/>
      <c r="C448" s="1483">
        <f t="shared" si="78"/>
        <v>6</v>
      </c>
      <c r="D448" s="1492">
        <f t="shared" si="76"/>
        <v>1</v>
      </c>
      <c r="E448" s="1492">
        <f t="shared" si="77"/>
        <v>1</v>
      </c>
      <c r="F448" s="1484" t="s">
        <v>11708</v>
      </c>
      <c r="H448" s="789"/>
      <c r="I448" s="915"/>
      <c r="J448" s="1022"/>
      <c r="K448" s="915"/>
      <c r="L448" s="816"/>
      <c r="M448" s="874"/>
      <c r="N448" s="394"/>
      <c r="O448" s="98"/>
      <c r="P448" s="95"/>
      <c r="Q448" s="1513"/>
    </row>
    <row r="449" spans="1:17">
      <c r="A449" s="1482"/>
      <c r="B449" s="1482">
        <v>1</v>
      </c>
      <c r="C449" s="1483">
        <f t="shared" si="78"/>
        <v>6</v>
      </c>
      <c r="D449" s="1492">
        <f t="shared" si="76"/>
        <v>1</v>
      </c>
      <c r="E449" s="1492">
        <f t="shared" si="77"/>
        <v>2</v>
      </c>
      <c r="F449" s="1484" t="s">
        <v>11708</v>
      </c>
      <c r="H449" s="1514" t="s">
        <v>11703</v>
      </c>
      <c r="I449" s="1515" t="s">
        <v>64</v>
      </c>
      <c r="J449" s="1516" t="str">
        <f>CONCATENATE(C449,".",D449,".",E449)</f>
        <v>6.1.2</v>
      </c>
      <c r="K449" s="1516" t="s">
        <v>11709</v>
      </c>
      <c r="L449" s="1517" t="s">
        <v>25</v>
      </c>
      <c r="M449" s="1518" t="s">
        <v>11704</v>
      </c>
      <c r="N449" s="398" t="s">
        <v>11705</v>
      </c>
      <c r="O449" s="207" t="s">
        <v>11706</v>
      </c>
      <c r="P449" s="208" t="s">
        <v>27</v>
      </c>
      <c r="Q449" s="1472" t="s">
        <v>11704</v>
      </c>
    </row>
    <row r="450" spans="1:17">
      <c r="A450" s="1482"/>
      <c r="B450" s="1482"/>
      <c r="C450" s="1483">
        <f t="shared" si="78"/>
        <v>6</v>
      </c>
      <c r="D450" s="1492">
        <f t="shared" si="76"/>
        <v>1</v>
      </c>
      <c r="E450" s="1492">
        <f t="shared" si="77"/>
        <v>2</v>
      </c>
      <c r="F450" s="1484" t="s">
        <v>11708</v>
      </c>
      <c r="H450" s="826"/>
      <c r="I450" s="790"/>
      <c r="J450" s="824"/>
      <c r="K450" s="790"/>
      <c r="L450" s="700"/>
      <c r="M450" s="870"/>
      <c r="N450" s="399"/>
      <c r="O450" s="121"/>
      <c r="P450" s="101"/>
    </row>
    <row r="451" spans="1:17" ht="22.5">
      <c r="A451" s="1482"/>
      <c r="B451" s="1482"/>
      <c r="C451" s="1483">
        <f t="shared" si="78"/>
        <v>6</v>
      </c>
      <c r="D451" s="1492">
        <f t="shared" si="76"/>
        <v>1</v>
      </c>
      <c r="E451" s="1492">
        <f t="shared" si="77"/>
        <v>2</v>
      </c>
      <c r="F451" s="1484" t="s">
        <v>11708</v>
      </c>
      <c r="G451" s="968" t="s">
        <v>14190</v>
      </c>
      <c r="H451" s="1542" t="str">
        <f>VLOOKUP(G451,TRAT.PRELIMINAR!A:M,2,0)</f>
        <v>SINAPI</v>
      </c>
      <c r="I451" s="1543" t="str">
        <f>VLOOKUP(G451,TRAT.PRELIMINAR!A:M,3,0)</f>
        <v>73822/2</v>
      </c>
      <c r="J451" s="1544"/>
      <c r="K451" s="1545" t="str">
        <f>(IF(H451="Saneago",VLOOKUP(I451,'SANEAGO-FEV.2016'!A:B,2,0),IF(H451="Sinapi",VLOOKUP(I451,'SINAPI-FEV.2017'!A:D,2,0),IF(H451="Cotação",VLOOKUP(I451,COTAÇÃO!A:D,2,0),IF(H451="Composição",VLOOKUP(I451,COMPOSIÇÃO!A:D,2,0))))))</f>
        <v>LIMPEZA MECANIZADA DE TERRENO COM REMOCAO DE CAMADA VEGETAL, UTILIZANDO MOTONIVELADORA</v>
      </c>
      <c r="L451" s="1543" t="str">
        <f>(IF(H451="Saneago",VLOOKUP(I451,'SANEAGO-FEV.2016'!A:D,3,0),IF(H451="Sinapi",VLOOKUP(I451,'SINAPI-FEV.2017'!A:D,3,0),IF(H451="Cotação",VLOOKUP(I451,COTAÇÃO!A:D,3,0),IF(H451="Composição",VLOOKUP(I451,COMPOSIÇÃO!A:D,3,0))))))</f>
        <v>M2</v>
      </c>
      <c r="M451" s="1546">
        <f>ROUND(VLOOKUP(G451,TRAT.PRELIMINAR!A:M,13,0),2)</f>
        <v>3149</v>
      </c>
      <c r="N451" s="707">
        <v>0</v>
      </c>
      <c r="O451" s="708">
        <f>ROUND(IF(F451="Serviços",N451*(1+$O$7),IF(F451="Materiais",N451*(1+$O$8))),2)</f>
        <v>0</v>
      </c>
      <c r="P451" s="709">
        <f>ROUND(M451*O451,2)</f>
        <v>0</v>
      </c>
      <c r="Q451" s="1472">
        <v>3149</v>
      </c>
    </row>
    <row r="452" spans="1:17" ht="22.5">
      <c r="A452" s="1482"/>
      <c r="B452" s="1482"/>
      <c r="C452" s="1483">
        <f t="shared" si="78"/>
        <v>6</v>
      </c>
      <c r="D452" s="1492">
        <f t="shared" si="76"/>
        <v>1</v>
      </c>
      <c r="E452" s="1492">
        <f t="shared" si="77"/>
        <v>2</v>
      </c>
      <c r="F452" s="1484" t="s">
        <v>11708</v>
      </c>
      <c r="G452" s="968" t="s">
        <v>14191</v>
      </c>
      <c r="H452" s="1542" t="str">
        <f>VLOOKUP(G452,TRAT.PRELIMINAR!A:M,2,0)</f>
        <v>SINAPI</v>
      </c>
      <c r="I452" s="1543" t="str">
        <f>VLOOKUP(G452,TRAT.PRELIMINAR!A:M,3,0)</f>
        <v>73992/1</v>
      </c>
      <c r="J452" s="1544"/>
      <c r="K452" s="1545" t="str">
        <f>(IF(H452="Saneago",VLOOKUP(I452,'SANEAGO-FEV.2016'!A:B,2,0),IF(H452="Sinapi",VLOOKUP(I452,'SINAPI-FEV.2017'!A:D,2,0),IF(H452="Cotação",VLOOKUP(I452,COTAÇÃO!A:D,2,0),IF(H452="Composição",VLOOKUP(I452,COMPOSIÇÃO!A:D,2,0))))))</f>
        <v>LOCACAO CONVENCIONAL DE OBRA, ATRAVÉS DE GABARITO DE TABUAS CORRIDAS PONTALETADAS A CADA 1,50M, SEM REAPROVEITAMENTO</v>
      </c>
      <c r="L452" s="1543" t="str">
        <f>(IF(H452="Saneago",VLOOKUP(I452,'SANEAGO-FEV.2016'!A:D,3,0),IF(H452="Sinapi",VLOOKUP(I452,'SINAPI-FEV.2017'!A:D,3,0),IF(H452="Cotação",VLOOKUP(I452,COTAÇÃO!A:D,3,0),IF(H452="Composição",VLOOKUP(I452,COMPOSIÇÃO!A:D,3,0))))))</f>
        <v>M2</v>
      </c>
      <c r="M452" s="1546">
        <f>ROUND(VLOOKUP(G452,TRAT.PRELIMINAR!A:M,13,0),2)</f>
        <v>781.22</v>
      </c>
      <c r="N452" s="707">
        <v>0</v>
      </c>
      <c r="O452" s="708">
        <f>ROUND(IF(F452="Serviços",N452*(1+$O$7),IF(F452="Materiais",N452*(1+$O$8))),2)</f>
        <v>0</v>
      </c>
      <c r="P452" s="709">
        <f>ROUND(M452*O452,2)</f>
        <v>0</v>
      </c>
      <c r="Q452" s="1472">
        <v>781.22</v>
      </c>
    </row>
    <row r="453" spans="1:17" ht="15.75" thickBot="1">
      <c r="A453" s="1482"/>
      <c r="B453" s="1482"/>
      <c r="C453" s="1483">
        <f t="shared" si="78"/>
        <v>6</v>
      </c>
      <c r="D453" s="1492">
        <f t="shared" si="76"/>
        <v>1</v>
      </c>
      <c r="E453" s="1492">
        <f t="shared" si="77"/>
        <v>2</v>
      </c>
      <c r="F453" s="1484" t="s">
        <v>11708</v>
      </c>
      <c r="H453" s="826"/>
      <c r="I453" s="790"/>
      <c r="J453" s="824"/>
      <c r="K453" s="790"/>
      <c r="L453" s="700"/>
      <c r="M453" s="870"/>
      <c r="N453" s="399"/>
      <c r="O453" s="209"/>
      <c r="P453" s="101"/>
    </row>
    <row r="454" spans="1:17" ht="16.5" customHeight="1" thickTop="1" thickBot="1">
      <c r="A454" s="1482"/>
      <c r="B454" s="1482"/>
      <c r="C454" s="1483">
        <f t="shared" si="78"/>
        <v>6</v>
      </c>
      <c r="D454" s="1492">
        <f t="shared" si="76"/>
        <v>1</v>
      </c>
      <c r="E454" s="1492">
        <f t="shared" si="77"/>
        <v>2</v>
      </c>
      <c r="F454" s="1484" t="s">
        <v>11708</v>
      </c>
      <c r="H454" s="1653" t="str">
        <f>"TOTAL ITEM: "&amp;J449 &amp;K449</f>
        <v>TOTAL ITEM: 6.1.2 SERVIÇOS PRELIMINARES</v>
      </c>
      <c r="I454" s="1654"/>
      <c r="J454" s="1654"/>
      <c r="K454" s="1654"/>
      <c r="L454" s="1654"/>
      <c r="M454" s="1654"/>
      <c r="N454" s="1654"/>
      <c r="O454" s="1654"/>
      <c r="P454" s="210">
        <f>SUBTOTAL(9,P451:P452)</f>
        <v>0</v>
      </c>
    </row>
    <row r="455" spans="1:17" ht="15.75" thickTop="1">
      <c r="A455" s="1482"/>
      <c r="B455" s="1482"/>
      <c r="C455" s="1483">
        <f t="shared" si="78"/>
        <v>6</v>
      </c>
      <c r="D455" s="1492">
        <f t="shared" si="76"/>
        <v>1</v>
      </c>
      <c r="E455" s="1492">
        <f t="shared" si="77"/>
        <v>2</v>
      </c>
      <c r="F455" s="1484" t="s">
        <v>11708</v>
      </c>
      <c r="H455" s="826"/>
      <c r="I455" s="790"/>
      <c r="J455" s="824"/>
      <c r="K455" s="790"/>
      <c r="L455" s="700"/>
      <c r="M455" s="870"/>
      <c r="N455" s="399"/>
      <c r="O455" s="121"/>
      <c r="P455" s="101"/>
    </row>
    <row r="456" spans="1:17">
      <c r="A456" s="1482"/>
      <c r="B456" s="1482">
        <v>1</v>
      </c>
      <c r="C456" s="1483">
        <f t="shared" si="78"/>
        <v>6</v>
      </c>
      <c r="D456" s="1492">
        <f t="shared" si="76"/>
        <v>1</v>
      </c>
      <c r="E456" s="1492">
        <f t="shared" si="77"/>
        <v>3</v>
      </c>
      <c r="F456" s="1484" t="s">
        <v>11708</v>
      </c>
      <c r="H456" s="1514" t="s">
        <v>11703</v>
      </c>
      <c r="I456" s="1515" t="s">
        <v>64</v>
      </c>
      <c r="J456" s="1516" t="str">
        <f>CONCATENATE(C456,".",D456,".",E456)</f>
        <v>6.1.3</v>
      </c>
      <c r="K456" s="1516" t="s">
        <v>11710</v>
      </c>
      <c r="L456" s="1517" t="s">
        <v>25</v>
      </c>
      <c r="M456" s="1518" t="s">
        <v>11704</v>
      </c>
      <c r="N456" s="398" t="s">
        <v>11705</v>
      </c>
      <c r="O456" s="207" t="s">
        <v>11706</v>
      </c>
      <c r="P456" s="208" t="s">
        <v>27</v>
      </c>
      <c r="Q456" s="1472" t="s">
        <v>11704</v>
      </c>
    </row>
    <row r="457" spans="1:17">
      <c r="A457" s="1482"/>
      <c r="B457" s="1482"/>
      <c r="C457" s="1483">
        <f t="shared" si="78"/>
        <v>6</v>
      </c>
      <c r="D457" s="1492">
        <f t="shared" si="76"/>
        <v>1</v>
      </c>
      <c r="E457" s="1492">
        <f t="shared" si="77"/>
        <v>3</v>
      </c>
      <c r="F457" s="1484" t="s">
        <v>11708</v>
      </c>
      <c r="H457" s="826"/>
      <c r="I457" s="790"/>
      <c r="J457" s="824"/>
      <c r="K457" s="790"/>
      <c r="L457" s="700"/>
      <c r="M457" s="870"/>
      <c r="N457" s="399"/>
      <c r="O457" s="121"/>
      <c r="P457" s="101"/>
    </row>
    <row r="458" spans="1:17" ht="56.25">
      <c r="A458" s="1482"/>
      <c r="B458" s="1482"/>
      <c r="C458" s="1483">
        <f t="shared" si="78"/>
        <v>6</v>
      </c>
      <c r="D458" s="1492">
        <f t="shared" si="76"/>
        <v>1</v>
      </c>
      <c r="E458" s="1492">
        <f t="shared" si="77"/>
        <v>3</v>
      </c>
      <c r="F458" s="1484" t="s">
        <v>11708</v>
      </c>
      <c r="G458" s="921" t="s">
        <v>14192</v>
      </c>
      <c r="H458" s="823" t="str">
        <f>VLOOKUP(G458,TRAT.PRELIMINAR!A:M,2,0)</f>
        <v>SINAPI</v>
      </c>
      <c r="I458" s="700">
        <f>VLOOKUP(G458,TRAT.PRELIMINAR!A:M,3,0)</f>
        <v>90105</v>
      </c>
      <c r="J458" s="824"/>
      <c r="K458" s="790" t="str">
        <f>(IF(H458="Saneago",VLOOKUP(I458,'SANEAGO-FEV.2016'!A:B,2,0),IF(H458="Sinapi",VLOOKUP(I458,'SINAPI-FEV.2017'!A:D,2,0),IF(H458="Cotação",VLOOKUP(I458,COTAÇÃO!A:D,2,0),IF(H458="Composição",VLOOKUP(I458,COMPOSIÇÃO!A:D,2,0))))))</f>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
      <c r="L458" s="700" t="str">
        <f>(IF(H458="Saneago",VLOOKUP(I458,'SANEAGO-FEV.2016'!A:D,3,0),IF(H458="Sinapi",VLOOKUP(I458,'SINAPI-FEV.2017'!A:D,3,0),IF(H458="Cotação",VLOOKUP(I458,COTAÇÃO!A:D,3,0),IF(H458="Composição",VLOOKUP(I458,COMPOSIÇÃO!A:D,3,0))))))</f>
        <v>M3</v>
      </c>
      <c r="M458" s="870">
        <f>ROUND(VLOOKUP(G458,TRAT.PRELIMINAR!A:M,13,0),2)</f>
        <v>398.75</v>
      </c>
      <c r="N458" s="399">
        <v>0</v>
      </c>
      <c r="O458" s="102">
        <f>ROUND(IF(F458="Serviços",N458*(1+$O$7),IF(F458="Materiais",N458*(1+$O$8))),2)</f>
        <v>0</v>
      </c>
      <c r="P458" s="101">
        <f>ROUND(M458*O458,2)</f>
        <v>0</v>
      </c>
      <c r="Q458" s="1472">
        <v>1235.1300000000001</v>
      </c>
    </row>
    <row r="459" spans="1:17" ht="56.25">
      <c r="A459" s="1482"/>
      <c r="B459" s="1482"/>
      <c r="C459" s="1483">
        <f t="shared" si="78"/>
        <v>6</v>
      </c>
      <c r="D459" s="1492">
        <f t="shared" ref="D459:D472" si="79">D458+A459</f>
        <v>1</v>
      </c>
      <c r="E459" s="1492">
        <f t="shared" ref="E459:E472" si="80">E458+B459</f>
        <v>3</v>
      </c>
      <c r="F459" s="1484" t="s">
        <v>11708</v>
      </c>
      <c r="G459" s="921" t="s">
        <v>14193</v>
      </c>
      <c r="H459" s="823" t="str">
        <f>VLOOKUP(G459,TRAT.PRELIMINAR!A:M,2,0)</f>
        <v>SINAPI</v>
      </c>
      <c r="I459" s="700">
        <f>VLOOKUP(G459,TRAT.PRELIMINAR!A:M,3,0)</f>
        <v>90107</v>
      </c>
      <c r="J459" s="824"/>
      <c r="K459" s="790" t="str">
        <f>(IF(H459="Saneago",VLOOKUP(I459,'SANEAGO-FEV.2016'!A:B,2,0),IF(H459="Sinapi",VLOOKUP(I459,'SINAPI-FEV.2017'!A:D,2,0),IF(H459="Cotação",VLOOKUP(I459,COTAÇÃO!A:D,2,0),IF(H459="Composição",VLOOKUP(I459,COMPOSIÇÃO!A:D,2,0))))))</f>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
      <c r="L459" s="700" t="str">
        <f>(IF(H459="Saneago",VLOOKUP(I459,'SANEAGO-FEV.2016'!A:D,3,0),IF(H459="Sinapi",VLOOKUP(I459,'SINAPI-FEV.2017'!A:D,3,0),IF(H459="Cotação",VLOOKUP(I459,COTAÇÃO!A:D,3,0),IF(H459="Composição",VLOOKUP(I459,COMPOSIÇÃO!A:D,3,0))))))</f>
        <v>M3</v>
      </c>
      <c r="M459" s="870">
        <f>ROUND(VLOOKUP(G459,TRAT.PRELIMINAR!A:M,13,0),2)</f>
        <v>31</v>
      </c>
      <c r="N459" s="399">
        <v>0</v>
      </c>
      <c r="O459" s="102">
        <f>ROUND(IF(F459="Serviços",N459*(1+$O$7),IF(F459="Materiais",N459*(1+$O$8))),2)</f>
        <v>0</v>
      </c>
      <c r="P459" s="101">
        <f>ROUND(M459*O459,2)</f>
        <v>0</v>
      </c>
      <c r="Q459" s="1472">
        <v>364.18</v>
      </c>
    </row>
    <row r="460" spans="1:17" ht="45" hidden="1" customHeight="1">
      <c r="A460" s="1482"/>
      <c r="B460" s="1482"/>
      <c r="C460" s="1483">
        <f t="shared" si="78"/>
        <v>6</v>
      </c>
      <c r="D460" s="1492">
        <f t="shared" si="79"/>
        <v>1</v>
      </c>
      <c r="E460" s="1492">
        <f t="shared" si="80"/>
        <v>3</v>
      </c>
      <c r="F460" s="1484" t="s">
        <v>11708</v>
      </c>
      <c r="G460" s="921" t="s">
        <v>14194</v>
      </c>
      <c r="H460" s="823" t="str">
        <f>VLOOKUP(G460,TRAT.PRELIMINAR!A:M,2,0)</f>
        <v>SINAPI</v>
      </c>
      <c r="I460" s="700">
        <f>VLOOKUP(G460,TRAT.PRELIMINAR!A:M,3,0)</f>
        <v>90094</v>
      </c>
      <c r="J460" s="824"/>
      <c r="K460" s="790" t="str">
        <f>(IF(H460="Saneago",VLOOKUP(I460,'SANEAGO-FEV.2016'!A:B,2,0),IF(H460="Sinapi",VLOOKUP(I460,'SINAPI-FEV.2017'!A:D,2,0),IF(H460="Cotação",VLOOKUP(I460,COTAÇÃO!A:D,2,0),IF(H460="Composição",VLOOKUP(I460,COMPOSIÇÃO!A:D,2,0))))))</f>
        <v>ESCAVAÇÃO MECANIZADA DE VALA COM PROF. MAIOR QUE 3,0 M ATÉ 4,5 M (MÉDIA ENTRE MONTANTE E JUSANTE/UMA COMPOSIÇÃO POR TRECHO), COM ESCAVADEIRA HIDRÁULICA (0,8 M3/111 HP), LARG. MENOR QUE 1,5 M, EM SOLO DE 1A CATEGORIA, LOCAIS COM BAIXO NÍVEL DE INTERFERÊNCIA. AF_01/2015</v>
      </c>
      <c r="L460" s="700" t="str">
        <f>(IF(H460="Saneago",VLOOKUP(I460,'SANEAGO-FEV.2016'!A:D,3,0),IF(H460="Sinapi",VLOOKUP(I460,'SINAPI-FEV.2017'!A:D,3,0),IF(H460="Cotação",VLOOKUP(I460,COTAÇÃO!A:D,3,0),IF(H460="Composição",VLOOKUP(I460,COMPOSIÇÃO!A:D,3,0))))))</f>
        <v>M3</v>
      </c>
      <c r="M460" s="870">
        <f>ROUND(VLOOKUP(G460,TRAT.PRELIMINAR!A:M,13,0),2)</f>
        <v>0</v>
      </c>
      <c r="N460" s="399">
        <v>0</v>
      </c>
      <c r="O460" s="102">
        <f>ROUND(IF(F460="Serviços",N460*(1+$O$7),IF(F460="Materiais",N460*(1+$O$8))),2)</f>
        <v>0</v>
      </c>
      <c r="P460" s="101">
        <f>ROUND(M460*O460,2)</f>
        <v>0</v>
      </c>
      <c r="Q460" s="1472">
        <v>110.68</v>
      </c>
    </row>
    <row r="461" spans="1:17" ht="22.5">
      <c r="A461" s="1482"/>
      <c r="B461" s="1482"/>
      <c r="C461" s="1483">
        <f t="shared" si="78"/>
        <v>6</v>
      </c>
      <c r="D461" s="1492">
        <f t="shared" si="79"/>
        <v>1</v>
      </c>
      <c r="E461" s="1492">
        <f t="shared" si="80"/>
        <v>3</v>
      </c>
      <c r="F461" s="1484" t="s">
        <v>11708</v>
      </c>
      <c r="G461" s="921" t="s">
        <v>14195</v>
      </c>
      <c r="H461" s="823" t="str">
        <f>VLOOKUP(G461,TRAT.PRELIMINAR!A:M,2,0)</f>
        <v>Saneago</v>
      </c>
      <c r="I461" s="700">
        <f>VLOOKUP(G461,TRAT.PRELIMINAR!A:M,3,0)</f>
        <v>192</v>
      </c>
      <c r="J461" s="824"/>
      <c r="K461" s="790" t="str">
        <f>(IF(H461="Saneago",VLOOKUP(I461,'SANEAGO-FEV.2016'!A:B,2,0),IF(H461="Sinapi",VLOOKUP(I461,'SINAPI-FEV.2017'!A:D,2,0),IF(H461="Cotação",VLOOKUP(I461,COTAÇÃO!A:D,2,0),IF(H461="Composição",VLOOKUP(I461,COMPOSIÇÃO!A:D,2,0))))))</f>
        <v>ESCAVAÇÃO  MECANIZADA   (COM  RETROESCAVADEIRA)  EM VALAS  COM  MATERIAL  DE  2ª  CATEGORIA  - PROFUNDIDADE ATÉ 2,0 M</v>
      </c>
      <c r="L461" s="700" t="str">
        <f>(IF(H461="Saneago",VLOOKUP(I461,'SANEAGO-FEV.2016'!A:D,3,0),IF(H461="Sinapi",VLOOKUP(I461,'SINAPI-FEV.2017'!A:D,3,0),IF(H461="Cotação",VLOOKUP(I461,COTAÇÃO!A:D,3,0),IF(H461="Composição",VLOOKUP(I461,COMPOSIÇÃO!A:D,3,0))))))</f>
        <v>M3</v>
      </c>
      <c r="M461" s="870">
        <f>ROUND(VLOOKUP(G461,TRAT.PRELIMINAR!A:M,13,0),2)</f>
        <v>22.15</v>
      </c>
      <c r="N461" s="399">
        <v>0</v>
      </c>
      <c r="O461" s="102">
        <f>ROUND(IF(F461="Serviços",N461*(1+$O$7),IF(F461="Materiais",N461*(1+$O$8))),2)</f>
        <v>0</v>
      </c>
      <c r="P461" s="101">
        <f>ROUND(M461*O461,2)</f>
        <v>0</v>
      </c>
      <c r="Q461" s="1472">
        <v>68.62</v>
      </c>
    </row>
    <row r="462" spans="1:17" ht="22.5">
      <c r="A462" s="1482"/>
      <c r="B462" s="1482"/>
      <c r="C462" s="1483">
        <f t="shared" si="78"/>
        <v>6</v>
      </c>
      <c r="D462" s="1492">
        <f t="shared" si="79"/>
        <v>1</v>
      </c>
      <c r="E462" s="1492">
        <f t="shared" si="80"/>
        <v>3</v>
      </c>
      <c r="F462" s="1484" t="s">
        <v>11708</v>
      </c>
      <c r="G462" s="921" t="s">
        <v>14196</v>
      </c>
      <c r="H462" s="823" t="str">
        <f>VLOOKUP(G462,TRAT.PRELIMINAR!A:M,2,0)</f>
        <v>Saneago</v>
      </c>
      <c r="I462" s="700">
        <f>VLOOKUP(G462,TRAT.PRELIMINAR!A:M,3,0)</f>
        <v>193</v>
      </c>
      <c r="J462" s="824"/>
      <c r="K462" s="790" t="str">
        <f>(IF(H462="Saneago",VLOOKUP(I462,'SANEAGO-FEV.2016'!A:B,2,0),IF(H462="Sinapi",VLOOKUP(I462,'SINAPI-FEV.2017'!A:D,2,0),IF(H462="Cotação",VLOOKUP(I462,COTAÇÃO!A:D,2,0),IF(H462="Composição",VLOOKUP(I462,COMPOSIÇÃO!A:D,2,0))))))</f>
        <v>ESCAVAÇÃO  MECANIZADA   (COM  RETROESCAVADEIRA)  EM VALAS  COM  MATERIAL  DE  2ª  CATEGORIA  - PROFUNDIDADE DE 2,0 A 4,0M</v>
      </c>
      <c r="L462" s="700" t="str">
        <f>(IF(H462="Saneago",VLOOKUP(I462,'SANEAGO-FEV.2016'!A:D,3,0),IF(H462="Sinapi",VLOOKUP(I462,'SINAPI-FEV.2017'!A:D,3,0),IF(H462="Cotação",VLOOKUP(I462,COTAÇÃO!A:D,3,0),IF(H462="Composição",VLOOKUP(I462,COMPOSIÇÃO!A:D,3,0))))))</f>
        <v>M3</v>
      </c>
      <c r="M462" s="870">
        <f>ROUND(VLOOKUP(G462,TRAT.PRELIMINAR!A:M,13,0),2)</f>
        <v>1.72</v>
      </c>
      <c r="N462" s="399">
        <v>0</v>
      </c>
      <c r="O462" s="102">
        <f t="shared" ref="O462:O471" si="81">ROUND(IF(F462="Serviços",N462*(1+$O$7),IF(F462="Materiais",N462*(1+$O$8))),2)</f>
        <v>0</v>
      </c>
      <c r="P462" s="101">
        <f t="shared" ref="P462:P471" si="82">ROUND(M462*O462,2)</f>
        <v>0</v>
      </c>
      <c r="Q462" s="1472">
        <v>26.38</v>
      </c>
    </row>
    <row r="463" spans="1:17" ht="22.5">
      <c r="A463" s="1482"/>
      <c r="B463" s="1482"/>
      <c r="C463" s="1483">
        <f t="shared" si="78"/>
        <v>6</v>
      </c>
      <c r="D463" s="1492">
        <f t="shared" si="79"/>
        <v>1</v>
      </c>
      <c r="E463" s="1492">
        <f t="shared" si="80"/>
        <v>3</v>
      </c>
      <c r="F463" s="1484" t="s">
        <v>11708</v>
      </c>
      <c r="G463" s="921" t="s">
        <v>14197</v>
      </c>
      <c r="H463" s="823" t="str">
        <f>VLOOKUP(G463,TRAT.PRELIMINAR!A:M,2,0)</f>
        <v>Saneago</v>
      </c>
      <c r="I463" s="700">
        <f>VLOOKUP(G463,TRAT.PRELIMINAR!A:M,3,0)</f>
        <v>194</v>
      </c>
      <c r="J463" s="824"/>
      <c r="K463" s="790" t="str">
        <f>(IF(H463="Saneago",VLOOKUP(I463,'SANEAGO-FEV.2016'!A:B,2,0),IF(H463="Sinapi",VLOOKUP(I463,'SINAPI-FEV.2017'!A:D,2,0),IF(H463="Cotação",VLOOKUP(I463,COTAÇÃO!A:D,2,0),IF(H463="Composição",VLOOKUP(I463,COMPOSIÇÃO!A:D,2,0))))))</f>
        <v>ESCAVAÇÃO   MECANIZADA   (COM  RETROESCAVADEIRA)  EM  VALAS  COM  MATERIAL   DE  SOLO  MOLE  - PROFUNDIDADE ATÉ 2,0 M</v>
      </c>
      <c r="L463" s="700" t="str">
        <f>(IF(H463="Saneago",VLOOKUP(I463,'SANEAGO-FEV.2016'!A:D,3,0),IF(H463="Sinapi",VLOOKUP(I463,'SINAPI-FEV.2017'!A:D,3,0),IF(H463="Cotação",VLOOKUP(I463,COTAÇÃO!A:D,3,0),IF(H463="Composição",VLOOKUP(I463,COMPOSIÇÃO!A:D,3,0))))))</f>
        <v>M3</v>
      </c>
      <c r="M463" s="870">
        <f>ROUND(VLOOKUP(G463,TRAT.PRELIMINAR!A:M,13,0),2)</f>
        <v>22.15</v>
      </c>
      <c r="N463" s="399">
        <v>0</v>
      </c>
      <c r="O463" s="102">
        <f t="shared" si="81"/>
        <v>0</v>
      </c>
      <c r="P463" s="101">
        <f t="shared" si="82"/>
        <v>0</v>
      </c>
      <c r="Q463" s="1472">
        <v>68.62</v>
      </c>
    </row>
    <row r="464" spans="1:17" ht="22.5">
      <c r="A464" s="1482"/>
      <c r="B464" s="1482"/>
      <c r="C464" s="1483">
        <f t="shared" si="78"/>
        <v>6</v>
      </c>
      <c r="D464" s="1492">
        <f t="shared" si="79"/>
        <v>1</v>
      </c>
      <c r="E464" s="1492">
        <f t="shared" si="80"/>
        <v>3</v>
      </c>
      <c r="F464" s="1484" t="s">
        <v>11708</v>
      </c>
      <c r="G464" s="921" t="s">
        <v>20337</v>
      </c>
      <c r="H464" s="823" t="str">
        <f>VLOOKUP(G464,TRAT.PRELIMINAR!A:M,2,0)</f>
        <v>Saneago</v>
      </c>
      <c r="I464" s="700">
        <f>VLOOKUP(G464,TRAT.PRELIMINAR!A:M,3,0)</f>
        <v>195</v>
      </c>
      <c r="J464" s="824"/>
      <c r="K464" s="790" t="str">
        <f>(IF(H464="Saneago",VLOOKUP(I464,'SANEAGO-FEV.2016'!A:B,2,0),IF(H464="Sinapi",VLOOKUP(I464,'SINAPI-FEV.2017'!A:D,2,0),IF(H464="Cotação",VLOOKUP(I464,COTAÇÃO!A:D,2,0),IF(H464="Composição",VLOOKUP(I464,COMPOSIÇÃO!A:D,2,0))))))</f>
        <v>ESCAVAÇÃO   MECANIZADA   (COM  RETROESCAVADEIRA)  EM  VALAS  COM  MATERIAL   DE  SOLO  MOLE  - PROFUNDIDADE DE 2,0 A 4,0 M</v>
      </c>
      <c r="L464" s="700" t="str">
        <f>(IF(H464="Saneago",VLOOKUP(I464,'SANEAGO-FEV.2016'!A:D,3,0),IF(H464="Sinapi",VLOOKUP(I464,'SINAPI-FEV.2017'!A:D,3,0),IF(H464="Cotação",VLOOKUP(I464,COTAÇÃO!A:D,3,0),IF(H464="Composição",VLOOKUP(I464,COMPOSIÇÃO!A:D,3,0))))))</f>
        <v>M3</v>
      </c>
      <c r="M464" s="870">
        <f>ROUND(VLOOKUP(G464,TRAT.PRELIMINAR!A:M,13,0),2)</f>
        <v>1.72</v>
      </c>
      <c r="N464" s="399">
        <v>0</v>
      </c>
      <c r="O464" s="102">
        <f t="shared" si="81"/>
        <v>0</v>
      </c>
      <c r="P464" s="101">
        <f t="shared" si="82"/>
        <v>0</v>
      </c>
      <c r="Q464" s="1472">
        <v>26.38</v>
      </c>
    </row>
    <row r="465" spans="1:17">
      <c r="A465" s="1482"/>
      <c r="B465" s="1482"/>
      <c r="C465" s="1483">
        <f t="shared" si="78"/>
        <v>6</v>
      </c>
      <c r="D465" s="1492">
        <f t="shared" si="79"/>
        <v>1</v>
      </c>
      <c r="E465" s="1492">
        <f t="shared" si="80"/>
        <v>3</v>
      </c>
      <c r="F465" s="1484" t="s">
        <v>11708</v>
      </c>
      <c r="G465" s="921" t="s">
        <v>14198</v>
      </c>
      <c r="H465" s="823" t="str">
        <f>VLOOKUP(G465,TRAT.PRELIMINAR!A:M,2,0)</f>
        <v>SINAPI</v>
      </c>
      <c r="I465" s="700">
        <f>VLOOKUP(G465,TRAT.PRELIMINAR!A:M,3,0)</f>
        <v>93358</v>
      </c>
      <c r="J465" s="824"/>
      <c r="K465" s="790" t="str">
        <f>(IF(H465="Saneago",VLOOKUP(I465,'SANEAGO-FEV.2016'!A:B,2,0),IF(H465="Sinapi",VLOOKUP(I465,'SINAPI-FEV.2017'!A:D,2,0),IF(H465="Cotação",VLOOKUP(I465,COTAÇÃO!A:D,2,0),IF(H465="Composição",VLOOKUP(I465,COMPOSIÇÃO!A:D,2,0))))))</f>
        <v>ESCAVAÇÃO MANUAL DE VALAS. AF_03/2016</v>
      </c>
      <c r="L465" s="700" t="str">
        <f>(IF(H465="Saneago",VLOOKUP(I465,'SANEAGO-FEV.2016'!A:D,3,0),IF(H465="Sinapi",VLOOKUP(I465,'SINAPI-FEV.2017'!A:D,3,0),IF(H465="Cotação",VLOOKUP(I465,COTAÇÃO!A:D,3,0),IF(H465="Composição",VLOOKUP(I465,COMPOSIÇÃO!A:D,3,0))))))</f>
        <v>M3</v>
      </c>
      <c r="M465" s="870">
        <f>ROUND(VLOOKUP(G465,TRAT.PRELIMINAR!A:M,13,0),2)</f>
        <v>22.62</v>
      </c>
      <c r="N465" s="399">
        <v>0</v>
      </c>
      <c r="O465" s="102">
        <f t="shared" si="81"/>
        <v>0</v>
      </c>
      <c r="P465" s="101">
        <f t="shared" si="82"/>
        <v>0</v>
      </c>
      <c r="Q465" s="1472">
        <v>90</v>
      </c>
    </row>
    <row r="466" spans="1:17" ht="22.5">
      <c r="A466" s="1482"/>
      <c r="B466" s="1482"/>
      <c r="C466" s="1483">
        <f t="shared" si="78"/>
        <v>6</v>
      </c>
      <c r="D466" s="1492">
        <f t="shared" si="79"/>
        <v>1</v>
      </c>
      <c r="E466" s="1492">
        <f t="shared" si="80"/>
        <v>3</v>
      </c>
      <c r="F466" s="1484" t="s">
        <v>11708</v>
      </c>
      <c r="G466" s="921" t="s">
        <v>14199</v>
      </c>
      <c r="H466" s="823" t="str">
        <f>VLOOKUP(G466,TRAT.PRELIMINAR!A:M,2,0)</f>
        <v>Saneago</v>
      </c>
      <c r="I466" s="700">
        <f>VLOOKUP(G466,TRAT.PRELIMINAR!A:M,3,0)</f>
        <v>170</v>
      </c>
      <c r="J466" s="824"/>
      <c r="K466" s="790" t="str">
        <f>(IF(H466="Saneago",VLOOKUP(I466,'SANEAGO-FEV.2016'!A:B,2,0),IF(H466="Sinapi",VLOOKUP(I466,'SINAPI-FEV.2017'!A:D,2,0),IF(H466="Cotação",VLOOKUP(I466,COTAÇÃO!A:D,2,0),IF(H466="Composição",VLOOKUP(I466,COMPOSIÇÃO!A:D,2,0))))))</f>
        <v>ESCAVAÇÃO  MANUAL EM VALAS COM MATERIAL DE 2ª CATEGORIA  - PROFUNDIDADE ATÉ 2,0 M</v>
      </c>
      <c r="L466" s="700" t="str">
        <f>(IF(H466="Saneago",VLOOKUP(I466,'SANEAGO-FEV.2016'!A:D,3,0),IF(H466="Sinapi",VLOOKUP(I466,'SINAPI-FEV.2017'!A:D,3,0),IF(H466="Cotação",VLOOKUP(I466,COTAÇÃO!A:D,3,0),IF(H466="Composição",VLOOKUP(I466,COMPOSIÇÃO!A:D,3,0))))))</f>
        <v>M3</v>
      </c>
      <c r="M466" s="870">
        <f>ROUND(VLOOKUP(G466,TRAT.PRELIMINAR!A:M,13,0),2)</f>
        <v>1.17</v>
      </c>
      <c r="N466" s="399">
        <v>0</v>
      </c>
      <c r="O466" s="102">
        <f t="shared" si="81"/>
        <v>0</v>
      </c>
      <c r="P466" s="101">
        <f t="shared" si="82"/>
        <v>0</v>
      </c>
      <c r="Q466" s="1472">
        <v>3.61</v>
      </c>
    </row>
    <row r="467" spans="1:17" ht="22.5">
      <c r="A467" s="1482"/>
      <c r="B467" s="1482"/>
      <c r="C467" s="1483">
        <f t="shared" si="78"/>
        <v>6</v>
      </c>
      <c r="D467" s="1492">
        <f t="shared" si="79"/>
        <v>1</v>
      </c>
      <c r="E467" s="1492">
        <f t="shared" si="80"/>
        <v>3</v>
      </c>
      <c r="F467" s="1484" t="s">
        <v>11708</v>
      </c>
      <c r="G467" s="921" t="s">
        <v>14200</v>
      </c>
      <c r="H467" s="823" t="str">
        <f>VLOOKUP(G467,TRAT.PRELIMINAR!A:M,2,0)</f>
        <v>Saneago</v>
      </c>
      <c r="I467" s="700">
        <f>VLOOKUP(G467,TRAT.PRELIMINAR!A:M,3,0)</f>
        <v>171</v>
      </c>
      <c r="J467" s="824"/>
      <c r="K467" s="790" t="str">
        <f>(IF(H467="Saneago",VLOOKUP(I467,'SANEAGO-FEV.2016'!A:B,2,0),IF(H467="Sinapi",VLOOKUP(I467,'SINAPI-FEV.2017'!A:D,2,0),IF(H467="Cotação",VLOOKUP(I467,COTAÇÃO!A:D,2,0),IF(H467="Composição",VLOOKUP(I467,COMPOSIÇÃO!A:D,2,0))))))</f>
        <v>ESCAVAÇÃO  MANUAL EM VALAS COM MATERIAL DE 2ª CATEGORIA  - PROFUNDIDADE DE 2,0 A 4,0 M</v>
      </c>
      <c r="L467" s="700" t="str">
        <f>(IF(H467="Saneago",VLOOKUP(I467,'SANEAGO-FEV.2016'!A:D,3,0),IF(H467="Sinapi",VLOOKUP(I467,'SINAPI-FEV.2017'!A:D,3,0),IF(H467="Cotação",VLOOKUP(I467,COTAÇÃO!A:D,3,0),IF(H467="Composição",VLOOKUP(I467,COMPOSIÇÃO!A:D,3,0))))))</f>
        <v>M3</v>
      </c>
      <c r="M467" s="870">
        <f>ROUND(VLOOKUP(G467,TRAT.PRELIMINAR!A:M,13,0),2)</f>
        <v>0.09</v>
      </c>
      <c r="N467" s="399">
        <v>0</v>
      </c>
      <c r="O467" s="102">
        <f t="shared" si="81"/>
        <v>0</v>
      </c>
      <c r="P467" s="101">
        <f t="shared" si="82"/>
        <v>0</v>
      </c>
      <c r="Q467" s="1472">
        <v>1.39</v>
      </c>
    </row>
    <row r="468" spans="1:17" ht="33.75">
      <c r="A468" s="1482"/>
      <c r="B468" s="1482"/>
      <c r="C468" s="1483">
        <f t="shared" si="78"/>
        <v>6</v>
      </c>
      <c r="D468" s="1492">
        <f t="shared" si="79"/>
        <v>1</v>
      </c>
      <c r="E468" s="1492">
        <f t="shared" si="80"/>
        <v>3</v>
      </c>
      <c r="F468" s="1484" t="s">
        <v>11708</v>
      </c>
      <c r="G468" s="921" t="s">
        <v>14201</v>
      </c>
      <c r="H468" s="823" t="str">
        <f>VLOOKUP(G468,TRAT.PRELIMINAR!A:M,2,0)</f>
        <v>Saneago</v>
      </c>
      <c r="I468" s="700">
        <f>VLOOKUP(G468,TRAT.PRELIMINAR!A:M,3,0)</f>
        <v>172</v>
      </c>
      <c r="J468" s="824"/>
      <c r="K468" s="790" t="str">
        <f>(IF(H468="Saneago",VLOOKUP(I468,'SANEAGO-FEV.2016'!A:B,2,0),IF(H468="Sinapi",VLOOKUP(I468,'SINAPI-FEV.2017'!A:D,2,0),IF(H468="Cotação",VLOOKUP(I468,COTAÇÃO!A:D,2,0),IF(H468="Composição",VLOOKUP(I468,COMPOSIÇÃO!A:D,2,0))))))</f>
        <v>ESCAVAÇÃO   MANUAL   EM  VALAS  COM  MATERIAL   DE  3ª  CATEGORIA   SEM  USO  DE  EXPLOSIVO   COM UTILIZAÇÃO  DE COMPRESSOR E ROMPEDOR  -  PROFUNDIDADE ATÉ 2,0M</v>
      </c>
      <c r="L468" s="700" t="str">
        <f>(IF(H468="Saneago",VLOOKUP(I468,'SANEAGO-FEV.2016'!A:D,3,0),IF(H468="Sinapi",VLOOKUP(I468,'SINAPI-FEV.2017'!A:D,3,0),IF(H468="Cotação",VLOOKUP(I468,COTAÇÃO!A:D,3,0),IF(H468="Composição",VLOOKUP(I468,COMPOSIÇÃO!A:D,3,0))))))</f>
        <v>M3</v>
      </c>
      <c r="M468" s="870">
        <f>ROUND(VLOOKUP(G468,TRAT.PRELIMINAR!A:M,13,0),2)</f>
        <v>1.17</v>
      </c>
      <c r="N468" s="399">
        <v>0</v>
      </c>
      <c r="O468" s="102">
        <f t="shared" si="81"/>
        <v>0</v>
      </c>
      <c r="P468" s="101">
        <f t="shared" si="82"/>
        <v>0</v>
      </c>
      <c r="Q468" s="1472">
        <v>3.61</v>
      </c>
    </row>
    <row r="469" spans="1:17" ht="33.75">
      <c r="A469" s="1482"/>
      <c r="B469" s="1482"/>
      <c r="C469" s="1483">
        <f t="shared" si="78"/>
        <v>6</v>
      </c>
      <c r="D469" s="1492">
        <f t="shared" si="79"/>
        <v>1</v>
      </c>
      <c r="E469" s="1492">
        <f t="shared" si="80"/>
        <v>3</v>
      </c>
      <c r="F469" s="1484" t="s">
        <v>11708</v>
      </c>
      <c r="G469" s="921" t="s">
        <v>14202</v>
      </c>
      <c r="H469" s="823" t="str">
        <f>VLOOKUP(G469,TRAT.PRELIMINAR!A:M,2,0)</f>
        <v>Saneago</v>
      </c>
      <c r="I469" s="700">
        <f>VLOOKUP(G469,TRAT.PRELIMINAR!A:M,3,0)</f>
        <v>173</v>
      </c>
      <c r="J469" s="824"/>
      <c r="K469" s="790" t="str">
        <f>(IF(H469="Saneago",VLOOKUP(I469,'SANEAGO-FEV.2016'!A:B,2,0),IF(H469="Sinapi",VLOOKUP(I469,'SINAPI-FEV.2017'!A:D,2,0),IF(H469="Cotação",VLOOKUP(I469,COTAÇÃO!A:D,2,0),IF(H469="Composição",VLOOKUP(I469,COMPOSIÇÃO!A:D,2,0))))))</f>
        <v>ESCAVAÇÃO   MANUAL   EM  VALAS  COM  MATERIAL   DE  3ª  CATEGORIA   SEM  USO  DE  EXPLOSIVO   COM UTILIZAÇÃO  DE COMPRESSOR E ROMPEDOR   - PROFUNDIDADE DE 2,0 A 4,0M</v>
      </c>
      <c r="L469" s="700" t="str">
        <f>(IF(H469="Saneago",VLOOKUP(I469,'SANEAGO-FEV.2016'!A:D,3,0),IF(H469="Sinapi",VLOOKUP(I469,'SINAPI-FEV.2017'!A:D,3,0),IF(H469="Cotação",VLOOKUP(I469,COTAÇÃO!A:D,3,0),IF(H469="Composição",VLOOKUP(I469,COMPOSIÇÃO!A:D,3,0))))))</f>
        <v>M3</v>
      </c>
      <c r="M469" s="870">
        <f>ROUND(VLOOKUP(G469,TRAT.PRELIMINAR!A:M,13,0),2)</f>
        <v>0.09</v>
      </c>
      <c r="N469" s="399">
        <v>0</v>
      </c>
      <c r="O469" s="102">
        <f t="shared" si="81"/>
        <v>0</v>
      </c>
      <c r="P469" s="101">
        <f t="shared" si="82"/>
        <v>0</v>
      </c>
      <c r="Q469" s="1472">
        <v>1.39</v>
      </c>
    </row>
    <row r="470" spans="1:17">
      <c r="A470" s="1482"/>
      <c r="B470" s="1482"/>
      <c r="C470" s="1483">
        <f t="shared" si="78"/>
        <v>6</v>
      </c>
      <c r="D470" s="1492">
        <f>D469+A470</f>
        <v>1</v>
      </c>
      <c r="E470" s="1492">
        <f>E469+B470</f>
        <v>3</v>
      </c>
      <c r="F470" s="1484" t="s">
        <v>11708</v>
      </c>
      <c r="G470" s="921" t="s">
        <v>14203</v>
      </c>
      <c r="H470" s="823" t="str">
        <f>VLOOKUP(G470,TRAT.PRELIMINAR!A:M,2,0)</f>
        <v>SINAPI</v>
      </c>
      <c r="I470" s="700" t="str">
        <f>VLOOKUP(G470,TRAT.PRELIMINAR!A:M,3,0)</f>
        <v>73891/1</v>
      </c>
      <c r="J470" s="824"/>
      <c r="K470" s="790" t="str">
        <f>(IF(H470="Saneago",VLOOKUP(I470,'SANEAGO-FEV.2016'!A:B,2,0),IF(H470="Sinapi",VLOOKUP(I470,'SINAPI-FEV.2017'!A:D,2,0),IF(H470="Cotação",VLOOKUP(I470,COTAÇÃO!A:D,2,0),IF(H470="Composição",VLOOKUP(I470,COMPOSIÇÃO!A:D,2,0))))))</f>
        <v>ESGOTAMENTO COM MOTO-BOMBA AUTOESCOVANTE</v>
      </c>
      <c r="L470" s="700" t="str">
        <f>(IF(H470="Saneago",VLOOKUP(I470,'SANEAGO-FEV.2016'!A:D,3,0),IF(H470="Sinapi",VLOOKUP(I470,'SINAPI-FEV.2017'!A:D,3,0),IF(H470="Cotação",VLOOKUP(I470,COTAÇÃO!A:D,3,0),IF(H470="Composição",VLOOKUP(I470,COMPOSIÇÃO!A:D,3,0))))))</f>
        <v>H</v>
      </c>
      <c r="M470" s="870">
        <f>ROUND(VLOOKUP(G470,TRAT.PRELIMINAR!A:M,13,0),2)</f>
        <v>30</v>
      </c>
      <c r="N470" s="399">
        <v>0</v>
      </c>
      <c r="O470" s="102">
        <f t="shared" si="81"/>
        <v>0</v>
      </c>
      <c r="P470" s="101">
        <f t="shared" si="82"/>
        <v>0</v>
      </c>
      <c r="Q470" s="1472">
        <v>30</v>
      </c>
    </row>
    <row r="471" spans="1:17">
      <c r="A471" s="1482"/>
      <c r="B471" s="1482"/>
      <c r="C471" s="1483">
        <f t="shared" si="78"/>
        <v>6</v>
      </c>
      <c r="D471" s="1492">
        <f>D470+A471</f>
        <v>1</v>
      </c>
      <c r="E471" s="1492">
        <f>E470+B471</f>
        <v>3</v>
      </c>
      <c r="F471" s="1484" t="s">
        <v>11708</v>
      </c>
      <c r="G471" s="921" t="s">
        <v>14204</v>
      </c>
      <c r="H471" s="823" t="str">
        <f>VLOOKUP(G471,TRAT.PRELIMINAR!A:M,2,0)</f>
        <v>SINAPI</v>
      </c>
      <c r="I471" s="700">
        <f>VLOOKUP(G471,TRAT.PRELIMINAR!A:M,3,0)</f>
        <v>79472</v>
      </c>
      <c r="J471" s="824"/>
      <c r="K471" s="790" t="str">
        <f>(IF(H471="Saneago",VLOOKUP(I471,'SANEAGO-FEV.2016'!A:B,2,0),IF(H471="Sinapi",VLOOKUP(I471,'SINAPI-FEV.2017'!A:D,2,0),IF(H471="Cotação",VLOOKUP(I471,COTAÇÃO!A:D,2,0),IF(H471="Composição",VLOOKUP(I471,COMPOSIÇÃO!A:D,2,0))))))</f>
        <v>REGULARIZACAO DE SUPERFICIES EM TERRA COM MOTONIVELADORA</v>
      </c>
      <c r="L471" s="700" t="str">
        <f>(IF(H471="Saneago",VLOOKUP(I471,'SANEAGO-FEV.2016'!A:D,3,0),IF(H471="Sinapi",VLOOKUP(I471,'SINAPI-FEV.2017'!A:D,3,0),IF(H471="Cotação",VLOOKUP(I471,COTAÇÃO!A:D,3,0),IF(H471="Composição",VLOOKUP(I471,COMPOSIÇÃO!A:D,3,0))))))</f>
        <v>M2</v>
      </c>
      <c r="M471" s="870">
        <f>ROUND(VLOOKUP(G471,TRAT.PRELIMINAR!A:M,13,0),2)</f>
        <v>313.60000000000002</v>
      </c>
      <c r="N471" s="399">
        <v>0</v>
      </c>
      <c r="O471" s="102">
        <f t="shared" si="81"/>
        <v>0</v>
      </c>
      <c r="P471" s="101">
        <f t="shared" si="82"/>
        <v>0</v>
      </c>
      <c r="Q471" s="1472">
        <v>313.60000000000002</v>
      </c>
    </row>
    <row r="472" spans="1:17" ht="45">
      <c r="A472" s="1482"/>
      <c r="B472" s="1482"/>
      <c r="C472" s="1483">
        <f t="shared" si="78"/>
        <v>6</v>
      </c>
      <c r="D472" s="1492">
        <f t="shared" si="79"/>
        <v>1</v>
      </c>
      <c r="E472" s="1492">
        <f t="shared" si="80"/>
        <v>3</v>
      </c>
      <c r="F472" s="1484" t="s">
        <v>11708</v>
      </c>
      <c r="G472" s="968" t="s">
        <v>20342</v>
      </c>
      <c r="H472" s="823" t="str">
        <f>VLOOKUP(G472,TRAT.PRELIMINAR!A:M,2,0)</f>
        <v>SINAPI</v>
      </c>
      <c r="I472" s="700">
        <f>VLOOKUP(G472,TRAT.PRELIMINAR!A:M,3,0)</f>
        <v>93367</v>
      </c>
      <c r="J472" s="824"/>
      <c r="K472" s="790" t="str">
        <f>(IF(H472="Saneago",VLOOKUP(I472,'SANEAGO-FEV.2016'!A:B,2,0),IF(H472="Sinapi",VLOOKUP(I472,'SINAPI-FEV.2017'!A:D,2,0),IF(H472="Cotação",VLOOKUP(I472,COTAÇÃO!A:D,2,0),IF(H472="Composição",VLOOKUP(I472,COMPOSIÇÃO!A:D,2,0))))))</f>
        <v>REATERRO MECANIZADO DE VALA COM ESCAVADEIRA HIDRÁULICA (CAPACIDADE DA CAÇAMBA: 0,8 M³ / POTÊNCIA: 111 HP), LARGURA DE 1,5 A 2,5 M, PROFUNDIDADE ATÉ 1,5 M, COM SOLO (SEM SUBSTITUIÇÃO) DE 1ª CATEGORIA EM LOCAIS COM BAIXO NÍVEL DE INTERFERÊNCIA. AF_04/2016</v>
      </c>
      <c r="L472" s="700" t="str">
        <f>(IF(H472="Saneago",VLOOKUP(I472,'SANEAGO-FEV.2016'!A:D,3,0),IF(H472="Sinapi",VLOOKUP(I472,'SINAPI-FEV.2017'!A:D,3,0),IF(H472="Cotação",VLOOKUP(I472,COTAÇÃO!A:D,3,0),IF(H472="Composição",VLOOKUP(I472,COMPOSIÇÃO!A:D,3,0))))))</f>
        <v>M3</v>
      </c>
      <c r="M472" s="870">
        <f>ROUND(VLOOKUP(G472,TRAT.PRELIMINAR!A:M,13,0),2)</f>
        <v>562.75</v>
      </c>
      <c r="N472" s="399">
        <v>0</v>
      </c>
      <c r="O472" s="102">
        <f>ROUND(IF(F472="Serviços",N472*(1+$O$7),IF(F472="Materiais",N472*(1+$O$8))),2)</f>
        <v>0</v>
      </c>
      <c r="P472" s="101">
        <f>ROUND(M472*O472,2)</f>
        <v>0</v>
      </c>
      <c r="Q472" s="1472">
        <v>1755.1</v>
      </c>
    </row>
    <row r="473" spans="1:17" ht="45">
      <c r="A473" s="1482"/>
      <c r="B473" s="1482"/>
      <c r="C473" s="1483">
        <f t="shared" si="78"/>
        <v>6</v>
      </c>
      <c r="D473" s="1492">
        <f t="shared" ref="D473:E477" si="83">D472+A473</f>
        <v>1</v>
      </c>
      <c r="E473" s="1492">
        <f t="shared" si="83"/>
        <v>3</v>
      </c>
      <c r="F473" s="1484" t="s">
        <v>11708</v>
      </c>
      <c r="G473" s="968" t="s">
        <v>20343</v>
      </c>
      <c r="H473" s="823" t="str">
        <f>VLOOKUP(G473,TRAT.PRELIMINAR!A:M,2,0)</f>
        <v>SINAPI</v>
      </c>
      <c r="I473" s="700">
        <f>VLOOKUP(G473,TRAT.PRELIMINAR!A:M,3,0)</f>
        <v>93369</v>
      </c>
      <c r="J473" s="824"/>
      <c r="K473" s="790" t="str">
        <f>(IF(H473="Saneago",VLOOKUP(I473,'SANEAGO-FEV.2016'!A:B,2,0),IF(H473="Sinapi",VLOOKUP(I473,'SINAPI-FEV.2017'!A:D,2,0),IF(H473="Cotação",VLOOKUP(I473,COTAÇÃO!A:D,2,0),IF(H473="Composição",VLOOKUP(I473,COMPOSIÇÃO!A:D,2,0))))))</f>
        <v>REATERRO MECANIZADO DE VALA COM ESCAVADEIRA HIDRÁULICA (CAPACIDADE DA CAÇAMBA: 0,8 M³ / POTÊNCIA: 111 HP), LARGURA DE 1,5 A 2,5 M, PROFUNDIDADE DE 1,5 A 3,0 M, COM SOLO (SEM SUBSTITUIÇÃO) DE 1ª CATEGORIA EM LOCAIS COM BAIXO NÍVEL DE INTERFERÊNCIA. AF_04/2016</v>
      </c>
      <c r="L473" s="700" t="str">
        <f>(IF(H473="Saneago",VLOOKUP(I473,'SANEAGO-FEV.2016'!A:D,3,0),IF(H473="Sinapi",VLOOKUP(I473,'SINAPI-FEV.2017'!A:D,3,0),IF(H473="Cotação",VLOOKUP(I473,COTAÇÃO!A:D,3,0),IF(H473="Composição",VLOOKUP(I473,COMPOSIÇÃO!A:D,3,0))))))</f>
        <v>M3</v>
      </c>
      <c r="M473" s="870">
        <f>ROUND(VLOOKUP(G473,TRAT.PRELIMINAR!A:M,13,0),2)</f>
        <v>64.45</v>
      </c>
      <c r="N473" s="399">
        <v>0</v>
      </c>
      <c r="O473" s="102">
        <f>ROUND(IF(F473="Serviços",N473*(1+$O$7),IF(F473="Materiais",N473*(1+$O$8))),2)</f>
        <v>0</v>
      </c>
      <c r="P473" s="101">
        <f>ROUND(M473*O473,2)</f>
        <v>0</v>
      </c>
      <c r="Q473" s="1472">
        <v>168.08</v>
      </c>
    </row>
    <row r="474" spans="1:17" ht="45">
      <c r="A474" s="1482"/>
      <c r="B474" s="1482"/>
      <c r="C474" s="1483">
        <f t="shared" si="78"/>
        <v>6</v>
      </c>
      <c r="D474" s="1492">
        <f t="shared" si="83"/>
        <v>1</v>
      </c>
      <c r="E474" s="1492">
        <f t="shared" si="83"/>
        <v>3</v>
      </c>
      <c r="F474" s="1484" t="s">
        <v>11708</v>
      </c>
      <c r="G474" s="968" t="s">
        <v>20344</v>
      </c>
      <c r="H474" s="823" t="str">
        <f>VLOOKUP(G474,TRAT.PRELIMINAR!A:M,2,0)</f>
        <v>SINAPI</v>
      </c>
      <c r="I474" s="700">
        <f>VLOOKUP(G474,TRAT.PRELIMINAR!A:M,3,0)</f>
        <v>93371</v>
      </c>
      <c r="J474" s="824"/>
      <c r="K474" s="790" t="str">
        <f>(IF(H474="Saneago",VLOOKUP(I474,'SANEAGO-FEV.2016'!A:B,2,0),IF(H474="Sinapi",VLOOKUP(I474,'SINAPI-FEV.2017'!A:D,2,0),IF(H474="Cotação",VLOOKUP(I474,COTAÇÃO!A:D,2,0),IF(H474="Composição",VLOOKUP(I474,COMPOSIÇÃO!A:D,2,0))))))</f>
        <v>REATERRO MECANIZADO DE VALA COM ESCAVADEIRA HIDRÁULICA (CAPACIDADE DA CAÇAMBA: 0,8 M³ / POTÊNCIA: 111 HP), LARGURA DE 1,5 A 2,5 M, PROFUNDIDADE DE 3,0 A 4,5 M, COM SOLO (SEM SUBSTITUIÇÃO) DE 1ª CATEGORIA EM LOCAIS COM BAIXO NÍVEL DE INTERFERÊNCIA. AF_04/2016</v>
      </c>
      <c r="L474" s="700" t="str">
        <f>(IF(H474="Saneago",VLOOKUP(I474,'SANEAGO-FEV.2016'!A:D,3,0),IF(H474="Sinapi",VLOOKUP(I474,'SINAPI-FEV.2017'!A:D,3,0),IF(H474="Cotação",VLOOKUP(I474,COTAÇÃO!A:D,3,0),IF(H474="Composição",VLOOKUP(I474,COMPOSIÇÃO!A:D,3,0))))))</f>
        <v>M3</v>
      </c>
      <c r="M474" s="870">
        <f>ROUND(VLOOKUP(G474,TRAT.PRELIMINAR!A:M,13,0),2)</f>
        <v>28.31</v>
      </c>
      <c r="N474" s="399">
        <v>0</v>
      </c>
      <c r="O474" s="102">
        <f>ROUND(IF(F474="Serviços",N474*(1+$O$7),IF(F474="Materiais",N474*(1+$O$8))),2)</f>
        <v>0</v>
      </c>
      <c r="P474" s="101">
        <f>ROUND(M474*O474,2)</f>
        <v>0</v>
      </c>
      <c r="Q474" s="1472">
        <v>28.76</v>
      </c>
    </row>
    <row r="475" spans="1:17" ht="15.75" thickBot="1">
      <c r="A475" s="1482"/>
      <c r="B475" s="1482"/>
      <c r="C475" s="1483">
        <f t="shared" si="78"/>
        <v>6</v>
      </c>
      <c r="D475" s="1492">
        <f t="shared" si="83"/>
        <v>1</v>
      </c>
      <c r="E475" s="1492">
        <f t="shared" si="83"/>
        <v>3</v>
      </c>
      <c r="F475" s="1484" t="s">
        <v>11708</v>
      </c>
      <c r="H475" s="823"/>
      <c r="I475" s="700"/>
      <c r="J475" s="824"/>
      <c r="K475" s="790"/>
      <c r="L475" s="700"/>
      <c r="M475" s="870"/>
      <c r="N475" s="399"/>
      <c r="O475" s="102"/>
      <c r="P475" s="101"/>
    </row>
    <row r="476" spans="1:17" ht="16.5" customHeight="1" thickTop="1" thickBot="1">
      <c r="A476" s="1482"/>
      <c r="B476" s="1482"/>
      <c r="C476" s="1483">
        <f t="shared" si="78"/>
        <v>6</v>
      </c>
      <c r="D476" s="1492">
        <f t="shared" si="83"/>
        <v>1</v>
      </c>
      <c r="E476" s="1492">
        <f t="shared" si="83"/>
        <v>3</v>
      </c>
      <c r="F476" s="1484" t="s">
        <v>11708</v>
      </c>
      <c r="G476" s="921"/>
      <c r="H476" s="1538" t="str">
        <f>"TOTAL ITEM: "&amp;J456 &amp;K456</f>
        <v>TOTAL ITEM: 6.1.3 MOVIMENTO DE TERRA</v>
      </c>
      <c r="I476" s="1539"/>
      <c r="J476" s="1539"/>
      <c r="K476" s="1539"/>
      <c r="L476" s="1539"/>
      <c r="M476" s="1539"/>
      <c r="N476" s="718"/>
      <c r="O476" s="718"/>
      <c r="P476" s="210">
        <f>SUBTOTAL(9,P458:P474)</f>
        <v>0</v>
      </c>
    </row>
    <row r="477" spans="1:17" ht="15.75" thickTop="1">
      <c r="A477" s="1482"/>
      <c r="B477" s="1482"/>
      <c r="C477" s="1483">
        <f t="shared" si="78"/>
        <v>6</v>
      </c>
      <c r="D477" s="1492">
        <f t="shared" si="83"/>
        <v>1</v>
      </c>
      <c r="E477" s="1492">
        <f t="shared" si="83"/>
        <v>3</v>
      </c>
      <c r="F477" s="1484" t="s">
        <v>11708</v>
      </c>
      <c r="H477" s="1533"/>
      <c r="I477" s="1002"/>
      <c r="J477" s="1534"/>
      <c r="K477" s="1002"/>
      <c r="L477" s="907"/>
      <c r="M477" s="870"/>
      <c r="N477" s="399"/>
      <c r="O477" s="121"/>
      <c r="P477" s="101"/>
    </row>
    <row r="478" spans="1:17">
      <c r="A478" s="1482"/>
      <c r="B478" s="1482">
        <v>1</v>
      </c>
      <c r="C478" s="1483">
        <f t="shared" si="78"/>
        <v>6</v>
      </c>
      <c r="D478" s="1492">
        <f t="shared" si="76"/>
        <v>1</v>
      </c>
      <c r="E478" s="1492">
        <f t="shared" si="77"/>
        <v>4</v>
      </c>
      <c r="F478" s="1484" t="s">
        <v>11708</v>
      </c>
      <c r="H478" s="1514" t="s">
        <v>11703</v>
      </c>
      <c r="I478" s="1515" t="s">
        <v>64</v>
      </c>
      <c r="J478" s="1516" t="str">
        <f>CONCATENATE(C478,".",D478,".",E478)</f>
        <v>6.1.4</v>
      </c>
      <c r="K478" s="1516" t="s">
        <v>12674</v>
      </c>
      <c r="L478" s="1517" t="s">
        <v>25</v>
      </c>
      <c r="M478" s="1518" t="s">
        <v>11704</v>
      </c>
      <c r="N478" s="398" t="s">
        <v>11705</v>
      </c>
      <c r="O478" s="207" t="s">
        <v>11706</v>
      </c>
      <c r="P478" s="208" t="s">
        <v>27</v>
      </c>
      <c r="Q478" s="1472" t="s">
        <v>11704</v>
      </c>
    </row>
    <row r="479" spans="1:17">
      <c r="A479" s="1482"/>
      <c r="B479" s="1482"/>
      <c r="C479" s="1483">
        <f t="shared" si="78"/>
        <v>6</v>
      </c>
      <c r="D479" s="1492">
        <f t="shared" si="76"/>
        <v>1</v>
      </c>
      <c r="E479" s="1492">
        <f t="shared" si="77"/>
        <v>4</v>
      </c>
      <c r="F479" s="1484" t="s">
        <v>11708</v>
      </c>
      <c r="H479" s="826"/>
      <c r="I479" s="790"/>
      <c r="J479" s="824"/>
      <c r="K479" s="790"/>
      <c r="L479" s="700"/>
      <c r="M479" s="870"/>
      <c r="N479" s="399"/>
      <c r="O479" s="121"/>
      <c r="P479" s="101"/>
    </row>
    <row r="480" spans="1:17" ht="33.75">
      <c r="A480" s="1482"/>
      <c r="B480" s="1482"/>
      <c r="C480" s="1483">
        <f t="shared" si="78"/>
        <v>6</v>
      </c>
      <c r="D480" s="1492">
        <f t="shared" si="76"/>
        <v>1</v>
      </c>
      <c r="E480" s="1492">
        <f t="shared" si="77"/>
        <v>4</v>
      </c>
      <c r="F480" s="1484" t="s">
        <v>11708</v>
      </c>
      <c r="G480" s="968" t="s">
        <v>14205</v>
      </c>
      <c r="H480" s="823" t="str">
        <f>VLOOKUP(G480,TRAT.PRELIMINAR!A:M,2,0)</f>
        <v>SINAPI</v>
      </c>
      <c r="I480" s="700" t="str">
        <f>VLOOKUP(G480,TRAT.PRELIMINAR!A:M,3,0)</f>
        <v>74010/1</v>
      </c>
      <c r="J480" s="824"/>
      <c r="K480" s="790" t="str">
        <f>(IF(H480="Saneago",VLOOKUP(I480,'SANEAGO-FEV.2016'!A:B,2,0),IF(H480="Sinapi",VLOOKUP(I480,'SINAPI-FEV.2017'!A:D,2,0),IF(H480="Cotação",VLOOKUP(I480,COTAÇÃO!A:D,2,0),IF(H480="Composição",VLOOKUP(I480,COMPOSIÇÃO!A:D,2,0))))))</f>
        <v>CARGA E DESCARGA MECANICA DE SOLO UTILIZANDO CAMINHAO BASCULANTE 6,0M3/16T E PA CARREGADEIRA SOBRE PNEUS 128 HP, CAPACIDADE DA CAÇAMBA 1,7 A 2,8 M3, PESO OPERACIONAL 11632 KG</v>
      </c>
      <c r="L480" s="700" t="str">
        <f>(IF(H480="Saneago",VLOOKUP(I480,'SANEAGO-FEV.2016'!A:D,3,0),IF(H480="Sinapi",VLOOKUP(I480,'SINAPI-FEV.2017'!A:D,3,0),IF(H480="Cotação",VLOOKUP(I480,COTAÇÃO!A:D,3,0),IF(H480="Composição",VLOOKUP(I480,COMPOSIÇÃO!A:D,3,0))))))</f>
        <v>M3</v>
      </c>
      <c r="M480" s="870">
        <f>ROUND(VLOOKUP(G480,TRAT.PRELIMINAR!A:M,13,0),2)</f>
        <v>603.04</v>
      </c>
      <c r="N480" s="399">
        <v>0</v>
      </c>
      <c r="O480" s="102">
        <f t="shared" ref="O480:O485" si="84">ROUND(IF(F480="Serviços",N480*(1+$O$7),IF(F480="Materiais",N480*(1+$O$8))),2)</f>
        <v>0</v>
      </c>
      <c r="P480" s="101">
        <f t="shared" ref="P480:P485" si="85">ROUND(M480*O480,2)</f>
        <v>0</v>
      </c>
      <c r="Q480" s="1472">
        <v>1775.8</v>
      </c>
    </row>
    <row r="481" spans="1:17" ht="22.5">
      <c r="A481" s="1482"/>
      <c r="B481" s="1482"/>
      <c r="C481" s="1483">
        <f t="shared" si="78"/>
        <v>6</v>
      </c>
      <c r="D481" s="1492">
        <f t="shared" si="76"/>
        <v>1</v>
      </c>
      <c r="E481" s="1492">
        <f t="shared" si="77"/>
        <v>4</v>
      </c>
      <c r="F481" s="1484" t="s">
        <v>11708</v>
      </c>
      <c r="G481" s="968" t="s">
        <v>14206</v>
      </c>
      <c r="H481" s="823" t="str">
        <f>VLOOKUP(G481,TRAT.PRELIMINAR!A:M,2,0)</f>
        <v>SINAPI</v>
      </c>
      <c r="I481" s="700">
        <f>VLOOKUP(G481,TRAT.PRELIMINAR!A:M,3,0)</f>
        <v>93590</v>
      </c>
      <c r="J481" s="824"/>
      <c r="K481" s="790" t="str">
        <f>(IF(H481="Saneago",VLOOKUP(I481,'SANEAGO-FEV.2016'!A:B,2,0),IF(H481="Sinapi",VLOOKUP(I481,'SINAPI-FEV.2017'!A:D,2,0),IF(H481="Cotação",VLOOKUP(I481,COTAÇÃO!A:D,2,0),IF(H481="Composição",VLOOKUP(I481,COMPOSIÇÃO!A:D,2,0))))))</f>
        <v>TRANSPORTE COM CAMINHÃO BASCULANTE DE 10 M3, EM VIA URBANA PAVIMENTADA, DMT ACIMA DE 30KM (UNIDADE: M3XKM). AF_04/2016</v>
      </c>
      <c r="L481" s="700" t="str">
        <f>(IF(H481="Saneago",VLOOKUP(I481,'SANEAGO-FEV.2016'!A:D,3,0),IF(H481="Sinapi",VLOOKUP(I481,'SINAPI-FEV.2017'!A:D,3,0),IF(H481="Cotação",VLOOKUP(I481,COTAÇÃO!A:D,3,0),IF(H481="Composição",VLOOKUP(I481,COMPOSIÇÃO!A:D,3,0))))))</f>
        <v>M3XKM</v>
      </c>
      <c r="M481" s="870">
        <f>ROUND(VLOOKUP(G481,TRAT.PRELIMINAR!A:M,13,0),2)</f>
        <v>4522.7700000000004</v>
      </c>
      <c r="N481" s="399">
        <v>0</v>
      </c>
      <c r="O481" s="102">
        <f t="shared" si="84"/>
        <v>0</v>
      </c>
      <c r="P481" s="101">
        <f t="shared" si="85"/>
        <v>0</v>
      </c>
      <c r="Q481" s="1472">
        <v>13318.51</v>
      </c>
    </row>
    <row r="482" spans="1:17" ht="22.5">
      <c r="A482" s="1482"/>
      <c r="B482" s="1482"/>
      <c r="C482" s="1483">
        <f t="shared" si="78"/>
        <v>6</v>
      </c>
      <c r="D482" s="1492">
        <f t="shared" si="76"/>
        <v>1</v>
      </c>
      <c r="E482" s="1492">
        <f t="shared" si="77"/>
        <v>4</v>
      </c>
      <c r="F482" s="1484" t="s">
        <v>11708</v>
      </c>
      <c r="G482" s="968" t="s">
        <v>14207</v>
      </c>
      <c r="H482" s="823" t="str">
        <f>VLOOKUP(G482,TRAT.PRELIMINAR!A:M,2,0)</f>
        <v>SINAPI</v>
      </c>
      <c r="I482" s="700">
        <f>VLOOKUP(G482,TRAT.PRELIMINAR!A:M,3,0)</f>
        <v>83344</v>
      </c>
      <c r="J482" s="824"/>
      <c r="K482" s="790" t="str">
        <f>(IF(H482="Saneago",VLOOKUP(I482,'SANEAGO-FEV.2016'!A:B,2,0),IF(H482="Sinapi",VLOOKUP(I482,'SINAPI-FEV.2017'!A:D,2,0),IF(H482="Cotação",VLOOKUP(I482,COTAÇÃO!A:D,2,0),IF(H482="Composição",VLOOKUP(I482,COMPOSIÇÃO!A:D,2,0))))))</f>
        <v>ESPALHAMENTO DE MATERIAL EM BOTA FORA, COM UTILIZACAO DE TRATOR DE ESTEIRAS DE 165 HP</v>
      </c>
      <c r="L482" s="700" t="str">
        <f>(IF(H482="Saneago",VLOOKUP(I482,'SANEAGO-FEV.2016'!A:D,3,0),IF(H482="Sinapi",VLOOKUP(I482,'SINAPI-FEV.2017'!A:D,3,0),IF(H482="Cotação",VLOOKUP(I482,COTAÇÃO!A:D,3,0),IF(H482="Composição",VLOOKUP(I482,COMPOSIÇÃO!A:D,3,0))))))</f>
        <v>M3</v>
      </c>
      <c r="M482" s="870">
        <f>ROUND(VLOOKUP(G482,TRAT.PRELIMINAR!A:M,13,0),2)</f>
        <v>603.04</v>
      </c>
      <c r="N482" s="399">
        <v>0</v>
      </c>
      <c r="O482" s="102">
        <f t="shared" si="84"/>
        <v>0</v>
      </c>
      <c r="P482" s="101">
        <f t="shared" si="85"/>
        <v>0</v>
      </c>
      <c r="Q482" s="1472">
        <v>1775.8</v>
      </c>
    </row>
    <row r="483" spans="1:17">
      <c r="A483" s="1482"/>
      <c r="B483" s="1482"/>
      <c r="C483" s="1483">
        <f t="shared" si="78"/>
        <v>6</v>
      </c>
      <c r="D483" s="1492">
        <f t="shared" si="76"/>
        <v>1</v>
      </c>
      <c r="E483" s="1492">
        <f t="shared" si="77"/>
        <v>4</v>
      </c>
      <c r="F483" s="1484" t="s">
        <v>11708</v>
      </c>
      <c r="G483" s="959" t="s">
        <v>11770</v>
      </c>
      <c r="H483" s="823" t="str">
        <f>VLOOKUP(G483,TRAT.PRELIMINAR!A:M,2,0)</f>
        <v>Saneago</v>
      </c>
      <c r="I483" s="700">
        <f>VLOOKUP(G483,TRAT.PRELIMINAR!A:M,3,0)</f>
        <v>232</v>
      </c>
      <c r="J483" s="824"/>
      <c r="K483" s="790" t="str">
        <f>(IF(H483="Saneago",VLOOKUP(I483,'SANEAGO-FEV.2016'!A:B,2,0),IF(H483="Sinapi",VLOOKUP(I483,'SINAPI-FEV.2017'!A:D,2,0),IF(H483="Cotação",VLOOKUP(I483,COTAÇÃO!A:D,2,0),IF(H483="Composição",VLOOKUP(I483,COMPOSIÇÃO!A:D,2,0))))))</f>
        <v>AQUISIÇÃO  DE MATERIAL DE JAZIDA</v>
      </c>
      <c r="L483" s="700" t="str">
        <f>(IF(H483="Saneago",VLOOKUP(I483,'SANEAGO-FEV.2016'!A:D,3,0),IF(H483="Sinapi",VLOOKUP(I483,'SINAPI-FEV.2017'!A:D,3,0),IF(H483="Cotação",VLOOKUP(I483,COTAÇÃO!A:D,3,0),IF(H483="Composição",VLOOKUP(I483,COMPOSIÇÃO!A:D,3,0))))))</f>
        <v>M3</v>
      </c>
      <c r="M483" s="870">
        <f>ROUND(VLOOKUP(G483,TRAT.PRELIMINAR!A:M,13,0),2)</f>
        <v>655.5</v>
      </c>
      <c r="N483" s="399">
        <v>0</v>
      </c>
      <c r="O483" s="102">
        <f t="shared" si="84"/>
        <v>0</v>
      </c>
      <c r="P483" s="101">
        <f t="shared" si="85"/>
        <v>0</v>
      </c>
      <c r="Q483" s="1472">
        <v>225</v>
      </c>
    </row>
    <row r="484" spans="1:17" ht="22.5">
      <c r="A484" s="1482"/>
      <c r="B484" s="1482"/>
      <c r="C484" s="1483">
        <f t="shared" si="78"/>
        <v>6</v>
      </c>
      <c r="D484" s="1492">
        <f t="shared" si="76"/>
        <v>1</v>
      </c>
      <c r="E484" s="1492">
        <f t="shared" si="77"/>
        <v>4</v>
      </c>
      <c r="F484" s="1484" t="s">
        <v>11708</v>
      </c>
      <c r="G484" s="959" t="s">
        <v>11769</v>
      </c>
      <c r="H484" s="823" t="str">
        <f>VLOOKUP(G484,TRAT.PRELIMINAR!A:M,2,0)</f>
        <v>Saneago</v>
      </c>
      <c r="I484" s="700">
        <f>VLOOKUP(G484,TRAT.PRELIMINAR!A:M,3,0)</f>
        <v>233</v>
      </c>
      <c r="J484" s="824"/>
      <c r="K484" s="790" t="str">
        <f>(IF(H484="Saneago",VLOOKUP(I484,'SANEAGO-FEV.2016'!A:B,2,0),IF(H484="Sinapi",VLOOKUP(I484,'SINAPI-FEV.2017'!A:D,2,0),IF(H484="Cotação",VLOOKUP(I484,COTAÇÃO!A:D,2,0),IF(H484="Composição",VLOOKUP(I484,COMPOSIÇÃO!A:D,2,0))))))</f>
        <v>ESCAVAÇÃO  E CARGA DE MATERIAL DE JAZIDA (COM TRATOR E PÁ CARREGADEIRA)</v>
      </c>
      <c r="L484" s="700" t="str">
        <f>(IF(H484="Saneago",VLOOKUP(I484,'SANEAGO-FEV.2016'!A:D,3,0),IF(H484="Sinapi",VLOOKUP(I484,'SINAPI-FEV.2017'!A:D,3,0),IF(H484="Cotação",VLOOKUP(I484,COTAÇÃO!A:D,3,0),IF(H484="Composição",VLOOKUP(I484,COMPOSIÇÃO!A:D,3,0))))))</f>
        <v>M3</v>
      </c>
      <c r="M484" s="870">
        <f>ROUND(VLOOKUP(G484,TRAT.PRELIMINAR!A:M,13,0),2)</f>
        <v>655.5</v>
      </c>
      <c r="N484" s="399">
        <v>0</v>
      </c>
      <c r="O484" s="102">
        <f t="shared" si="84"/>
        <v>0</v>
      </c>
      <c r="P484" s="101">
        <f t="shared" si="85"/>
        <v>0</v>
      </c>
      <c r="Q484" s="1472">
        <v>225</v>
      </c>
    </row>
    <row r="485" spans="1:17" ht="22.5">
      <c r="A485" s="1482"/>
      <c r="B485" s="1482"/>
      <c r="C485" s="1483">
        <f t="shared" si="78"/>
        <v>6</v>
      </c>
      <c r="D485" s="1492">
        <f t="shared" si="76"/>
        <v>1</v>
      </c>
      <c r="E485" s="1492">
        <f t="shared" si="77"/>
        <v>4</v>
      </c>
      <c r="F485" s="1484" t="s">
        <v>11708</v>
      </c>
      <c r="G485" s="959" t="s">
        <v>11771</v>
      </c>
      <c r="H485" s="823" t="str">
        <f>VLOOKUP(G485,TRAT.PRELIMINAR!A:M,2,0)</f>
        <v>Saneago</v>
      </c>
      <c r="I485" s="700">
        <f>VLOOKUP(G485,TRAT.PRELIMINAR!A:M,3,0)</f>
        <v>19314</v>
      </c>
      <c r="J485" s="824"/>
      <c r="K485" s="790" t="str">
        <f>(IF(H485="Saneago",VLOOKUP(I485,'SANEAGO-FEV.2016'!A:B,2,0),IF(H485="Sinapi",VLOOKUP(I485,'SINAPI-FEV.2017'!A:D,2,0),IF(H485="Cotação",VLOOKUP(I485,COTAÇÃO!A:D,2,0),IF(H485="Composição",VLOOKUP(I485,COMPOSIÇÃO!A:D,2,0))))))</f>
        <v>TRANSPORTE E DESCARGA  DE MATERIAL  DE JAZIDA (M3 X KM) - EM CAMINHÃO  BASCULANTE CAP. 10 M3 - COM EMPOLAMENTO</v>
      </c>
      <c r="L485" s="700" t="str">
        <f>(IF(H485="Saneago",VLOOKUP(I485,'SANEAGO-FEV.2016'!A:D,3,0),IF(H485="Sinapi",VLOOKUP(I485,'SINAPI-FEV.2017'!A:D,3,0),IF(H485="Cotação",VLOOKUP(I485,COTAÇÃO!A:D,3,0),IF(H485="Composição",VLOOKUP(I485,COMPOSIÇÃO!A:D,3,0))))))</f>
        <v>M3XKM</v>
      </c>
      <c r="M485" s="870">
        <f>ROUND(VLOOKUP(G485,TRAT.PRELIMINAR!A:M,13,0),2)</f>
        <v>3015.31</v>
      </c>
      <c r="N485" s="399">
        <v>0</v>
      </c>
      <c r="O485" s="102">
        <f t="shared" si="84"/>
        <v>0</v>
      </c>
      <c r="P485" s="101">
        <f t="shared" si="85"/>
        <v>0</v>
      </c>
      <c r="Q485" s="1472">
        <v>1035.02</v>
      </c>
    </row>
    <row r="486" spans="1:17" ht="15.75" thickBot="1">
      <c r="A486" s="1482"/>
      <c r="B486" s="1482"/>
      <c r="C486" s="1483">
        <f t="shared" si="78"/>
        <v>6</v>
      </c>
      <c r="D486" s="1492">
        <f t="shared" si="76"/>
        <v>1</v>
      </c>
      <c r="E486" s="1492">
        <f t="shared" si="77"/>
        <v>4</v>
      </c>
      <c r="F486" s="1484" t="s">
        <v>11708</v>
      </c>
      <c r="H486" s="1095"/>
      <c r="I486" s="780"/>
      <c r="J486" s="834"/>
      <c r="K486" s="780"/>
      <c r="L486" s="780"/>
      <c r="M486" s="1270"/>
      <c r="N486" s="400"/>
      <c r="O486" s="122"/>
      <c r="P486" s="123"/>
    </row>
    <row r="487" spans="1:17" ht="16.5" customHeight="1" thickTop="1" thickBot="1">
      <c r="A487" s="1482"/>
      <c r="B487" s="1482"/>
      <c r="C487" s="1483">
        <f t="shared" si="78"/>
        <v>6</v>
      </c>
      <c r="D487" s="1492">
        <f t="shared" si="76"/>
        <v>1</v>
      </c>
      <c r="E487" s="1492">
        <f t="shared" si="77"/>
        <v>4</v>
      </c>
      <c r="F487" s="1484" t="s">
        <v>11708</v>
      </c>
      <c r="H487" s="1653" t="str">
        <f>"TOTAL ITEM: "&amp;J478 &amp;K478</f>
        <v>TOTAL ITEM: 6.1.4TRANSPORTE, CARGA E DESCARGA DE MATERIAL (BOTA FORA E JAZIDA)</v>
      </c>
      <c r="I487" s="1654"/>
      <c r="J487" s="1654"/>
      <c r="K487" s="1654"/>
      <c r="L487" s="1654"/>
      <c r="M487" s="1654"/>
      <c r="N487" s="1654"/>
      <c r="O487" s="1654"/>
      <c r="P487" s="210">
        <f>SUBTOTAL(9,P480:P485)</f>
        <v>0</v>
      </c>
    </row>
    <row r="488" spans="1:17" ht="15.75" thickTop="1">
      <c r="A488" s="1482"/>
      <c r="B488" s="1482"/>
      <c r="C488" s="1483">
        <f t="shared" si="78"/>
        <v>6</v>
      </c>
      <c r="D488" s="1492">
        <f t="shared" si="76"/>
        <v>1</v>
      </c>
      <c r="E488" s="1492">
        <f t="shared" si="77"/>
        <v>4</v>
      </c>
      <c r="F488" s="1484" t="s">
        <v>11708</v>
      </c>
      <c r="H488" s="1095"/>
      <c r="I488" s="780"/>
      <c r="J488" s="834"/>
      <c r="K488" s="780"/>
      <c r="L488" s="780"/>
      <c r="M488" s="1270"/>
      <c r="N488" s="400"/>
      <c r="O488" s="122"/>
      <c r="P488" s="123"/>
    </row>
    <row r="489" spans="1:17">
      <c r="A489" s="1482"/>
      <c r="B489" s="1482">
        <v>1</v>
      </c>
      <c r="C489" s="1483">
        <f t="shared" si="78"/>
        <v>6</v>
      </c>
      <c r="D489" s="1492">
        <f t="shared" si="76"/>
        <v>1</v>
      </c>
      <c r="E489" s="1492">
        <f t="shared" si="77"/>
        <v>5</v>
      </c>
      <c r="F489" s="1484" t="s">
        <v>11708</v>
      </c>
      <c r="H489" s="1514" t="s">
        <v>11703</v>
      </c>
      <c r="I489" s="1515" t="s">
        <v>64</v>
      </c>
      <c r="J489" s="1516" t="str">
        <f>CONCATENATE(C489,".",D489,".",E489)</f>
        <v>6.1.5</v>
      </c>
      <c r="K489" s="1516" t="s">
        <v>14353</v>
      </c>
      <c r="L489" s="1517" t="s">
        <v>25</v>
      </c>
      <c r="M489" s="1518" t="s">
        <v>11704</v>
      </c>
      <c r="N489" s="398" t="s">
        <v>11705</v>
      </c>
      <c r="O489" s="207" t="s">
        <v>11706</v>
      </c>
      <c r="P489" s="208" t="s">
        <v>27</v>
      </c>
      <c r="Q489" s="1472" t="s">
        <v>11704</v>
      </c>
    </row>
    <row r="490" spans="1:17">
      <c r="A490" s="1482"/>
      <c r="B490" s="1482"/>
      <c r="C490" s="1483">
        <f t="shared" si="78"/>
        <v>6</v>
      </c>
      <c r="D490" s="1492">
        <f t="shared" si="76"/>
        <v>1</v>
      </c>
      <c r="E490" s="1492">
        <f t="shared" si="77"/>
        <v>5</v>
      </c>
      <c r="F490" s="1484" t="s">
        <v>11708</v>
      </c>
      <c r="H490" s="1095"/>
      <c r="I490" s="780"/>
      <c r="J490" s="834"/>
      <c r="K490" s="780"/>
      <c r="L490" s="780"/>
      <c r="M490" s="1270"/>
      <c r="N490" s="400"/>
      <c r="O490" s="122"/>
      <c r="P490" s="123"/>
    </row>
    <row r="491" spans="1:17" ht="27.75" customHeight="1">
      <c r="A491" s="1482"/>
      <c r="B491" s="1482"/>
      <c r="C491" s="1483">
        <f t="shared" si="78"/>
        <v>6</v>
      </c>
      <c r="D491" s="1492">
        <f t="shared" si="76"/>
        <v>1</v>
      </c>
      <c r="E491" s="1492">
        <f t="shared" si="77"/>
        <v>5</v>
      </c>
      <c r="F491" s="1484" t="s">
        <v>11708</v>
      </c>
      <c r="G491" s="968" t="s">
        <v>14208</v>
      </c>
      <c r="H491" s="823" t="str">
        <f>VLOOKUP(G491,TRAT.PRELIMINAR!A:M,2,0)</f>
        <v>SINAPI</v>
      </c>
      <c r="I491" s="700">
        <f>VLOOKUP(G491,TRAT.PRELIMINAR!A:M,3,0)</f>
        <v>95241</v>
      </c>
      <c r="J491" s="824"/>
      <c r="K491" s="790" t="str">
        <f>(IF(H491="Saneago",VLOOKUP(I491,'SANEAGO-FEV.2016'!A:B,2,0),IF(H491="Sinapi",VLOOKUP(I491,'SINAPI-FEV.2017'!A:D,2,0),IF(H491="Cotação",VLOOKUP(I491,COTAÇÃO!A:D,2,0),IF(H491="Composição",VLOOKUP(I491,COMPOSIÇÃO!A:D,2,0))))))</f>
        <v>LASTRO DE CONCRETO, E = 5 CM, PREPARO MECÂNICO, INCLUSOS LANÇAMENTO E ADENSAMENTO. AF_07_2016</v>
      </c>
      <c r="L491" s="700" t="str">
        <f>(IF(H491="Saneago",VLOOKUP(I491,'SANEAGO-FEV.2016'!A:D,3,0),IF(H491="Sinapi",VLOOKUP(I491,'SINAPI-FEV.2017'!A:D,3,0),IF(H491="Cotação",VLOOKUP(I491,COTAÇÃO!A:D,3,0),IF(H491="Composição",VLOOKUP(I491,COMPOSIÇÃO!A:D,3,0))))))</f>
        <v>M2</v>
      </c>
      <c r="M491" s="870">
        <f>ROUND(VLOOKUP(G491,TRAT.PRELIMINAR!A:M,13,0),2)</f>
        <v>218.06</v>
      </c>
      <c r="N491" s="399">
        <v>0</v>
      </c>
      <c r="O491" s="102">
        <f t="shared" ref="O491:O502" si="86">ROUND(IF(F491="Serviços",N491*(1+$O$7),IF(F491="Materiais",N491*(1+$O$8))),2)</f>
        <v>0</v>
      </c>
      <c r="P491" s="101">
        <f t="shared" ref="P491:P502" si="87">ROUND(M491*O491,2)</f>
        <v>0</v>
      </c>
      <c r="Q491" s="1472">
        <v>318.68</v>
      </c>
    </row>
    <row r="492" spans="1:17" ht="42" customHeight="1">
      <c r="A492" s="1482"/>
      <c r="B492" s="1482"/>
      <c r="C492" s="1483">
        <f t="shared" si="78"/>
        <v>6</v>
      </c>
      <c r="D492" s="1492">
        <f t="shared" si="76"/>
        <v>1</v>
      </c>
      <c r="E492" s="1492">
        <f t="shared" si="77"/>
        <v>5</v>
      </c>
      <c r="F492" s="1484" t="s">
        <v>11708</v>
      </c>
      <c r="G492" s="968" t="s">
        <v>14209</v>
      </c>
      <c r="H492" s="823" t="str">
        <f>VLOOKUP(G492,TRAT.PRELIMINAR!A:M,2,0)</f>
        <v>SINAPI</v>
      </c>
      <c r="I492" s="700">
        <f>VLOOKUP(G492,TRAT.PRELIMINAR!A:M,3,0)</f>
        <v>94116</v>
      </c>
      <c r="J492" s="824"/>
      <c r="K492" s="790" t="str">
        <f>(IF(H492="Saneago",VLOOKUP(I492,'SANEAGO-FEV.2016'!A:B,2,0),IF(H492="Sinapi",VLOOKUP(I492,'SINAPI-FEV.2017'!A:D,2,0),IF(H492="Cotação",VLOOKUP(I492,COTAÇÃO!A:D,2,0),IF(H492="Composição",VLOOKUP(I492,COMPOSIÇÃO!A:D,2,0))))))</f>
        <v>LASTRO COM PREPARO DE FUNDO, LARGURA MAIOR OU IGUAL A 1,5 M, COM CAMADA DE BRITA, LANÇAMENTO MECANIZADO, EM LOCAL COM NÍVEL BAIXO DE INTERFERÊNCIA. AF_06/2016</v>
      </c>
      <c r="L492" s="700" t="str">
        <f>(IF(H492="Saneago",VLOOKUP(I492,'SANEAGO-FEV.2016'!A:D,3,0),IF(H492="Sinapi",VLOOKUP(I492,'SINAPI-FEV.2017'!A:D,3,0),IF(H492="Cotação",VLOOKUP(I492,COTAÇÃO!A:D,3,0),IF(H492="Composição",VLOOKUP(I492,COMPOSIÇÃO!A:D,3,0))))))</f>
        <v>M3</v>
      </c>
      <c r="M492" s="870">
        <f>ROUND(VLOOKUP(G492,TRAT.PRELIMINAR!A:M,13,0),2)</f>
        <v>32.71</v>
      </c>
      <c r="N492" s="399">
        <v>0</v>
      </c>
      <c r="O492" s="102">
        <f t="shared" si="86"/>
        <v>0</v>
      </c>
      <c r="P492" s="101">
        <f t="shared" si="87"/>
        <v>0</v>
      </c>
      <c r="Q492" s="1472">
        <v>318.68</v>
      </c>
    </row>
    <row r="493" spans="1:17" ht="50.25" customHeight="1">
      <c r="A493" s="1482"/>
      <c r="B493" s="1482"/>
      <c r="C493" s="1483">
        <f t="shared" si="78"/>
        <v>6</v>
      </c>
      <c r="D493" s="1492">
        <f t="shared" si="76"/>
        <v>1</v>
      </c>
      <c r="E493" s="1492">
        <f t="shared" si="77"/>
        <v>5</v>
      </c>
      <c r="F493" s="1484" t="s">
        <v>11708</v>
      </c>
      <c r="G493" s="968" t="s">
        <v>14210</v>
      </c>
      <c r="H493" s="823" t="str">
        <f>VLOOKUP(G493,TRAT.PRELIMINAR!A:M,2,0)</f>
        <v>SINAPI</v>
      </c>
      <c r="I493" s="700">
        <f>VLOOKUP(G493,TRAT.PRELIMINAR!A:M,3,0)</f>
        <v>92415</v>
      </c>
      <c r="J493" s="824"/>
      <c r="K493" s="790" t="str">
        <f>(IF(H493="Saneago",VLOOKUP(I493,'SANEAGO-FEV.2016'!A:B,2,0),IF(H493="Sinapi",VLOOKUP(I493,'SINAPI-FEV.2017'!A:D,2,0),IF(H493="Cotação",VLOOKUP(I493,COTAÇÃO!A:D,2,0),IF(H493="Composição",VLOOKUP(I493,COMPOSIÇÃO!A:D,2,0))))))</f>
        <v>MONTAGEM E DESMONTAGEM DE FÔRMA DE PILARES RETANGULARES E ESTRUTURAS SIMILARES COM ÁREA MÉDIA DAS SEÇÕES MAIOR QUE 0,25 M², PÉ-DIREITO SIMPLES, EM CHAPA DE MADEIRA COMPENSADA RESINADA, 2 UTILIZAÇÕES. AF_12/2015</v>
      </c>
      <c r="L493" s="700" t="str">
        <f>(IF(H493="Saneago",VLOOKUP(I493,'SANEAGO-FEV.2016'!A:D,3,0),IF(H493="Sinapi",VLOOKUP(I493,'SINAPI-FEV.2017'!A:D,3,0),IF(H493="Cotação",VLOOKUP(I493,COTAÇÃO!A:D,3,0),IF(H493="Composição",VLOOKUP(I493,COMPOSIÇÃO!A:D,3,0))))))</f>
        <v>M2</v>
      </c>
      <c r="M493" s="870">
        <f>ROUND(VLOOKUP(G493,TRAT.PRELIMINAR!A:M,13,0),2)</f>
        <v>712.47</v>
      </c>
      <c r="N493" s="399">
        <v>0</v>
      </c>
      <c r="O493" s="102">
        <f t="shared" si="86"/>
        <v>0</v>
      </c>
      <c r="P493" s="101">
        <f t="shared" si="87"/>
        <v>0</v>
      </c>
      <c r="Q493" s="1472">
        <v>738.63</v>
      </c>
    </row>
    <row r="494" spans="1:17" ht="39.75" customHeight="1">
      <c r="A494" s="1482"/>
      <c r="B494" s="1482"/>
      <c r="C494" s="1483">
        <f t="shared" si="78"/>
        <v>6</v>
      </c>
      <c r="D494" s="1492">
        <f t="shared" si="76"/>
        <v>1</v>
      </c>
      <c r="E494" s="1492">
        <f t="shared" si="77"/>
        <v>5</v>
      </c>
      <c r="F494" s="1484" t="s">
        <v>11708</v>
      </c>
      <c r="G494" s="968" t="s">
        <v>14211</v>
      </c>
      <c r="H494" s="823" t="str">
        <f>VLOOKUP(G494,TRAT.PRELIMINAR!A:M,2,0)</f>
        <v>Saneago</v>
      </c>
      <c r="I494" s="700">
        <f>VLOOKUP(G494,TRAT.PRELIMINAR!A:M,3,0)</f>
        <v>316</v>
      </c>
      <c r="J494" s="824"/>
      <c r="K494" s="790" t="str">
        <f>(IF(H494="Saneago",VLOOKUP(I494,'SANEAGO-FEV.2016'!A:B,2,0),IF(H494="Sinapi",VLOOKUP(I494,'SINAPI-FEV.2017'!A:D,2,0),IF(H494="Cotação",VLOOKUP(I494,COTAÇÃO!A:D,2,0),IF(H494="Composição",VLOOKUP(I494,COMPOSIÇÃO!A:D,2,0))))))</f>
        <v>CONCRETO  ESTRUTURAL USINADO BOMBEADO  FCK=40 MPA, COM ADIÇÃO DE 8 À 10% DE MICROSSÍLICA (INCLUINDO  LANÇAMENTO, APLICAÇÃO  E ADENSAMENTO)</v>
      </c>
      <c r="L494" s="700" t="str">
        <f>(IF(H494="Saneago",VLOOKUP(I494,'SANEAGO-FEV.2016'!A:D,3,0),IF(H494="Sinapi",VLOOKUP(I494,'SINAPI-FEV.2017'!A:D,3,0),IF(H494="Cotação",VLOOKUP(I494,COTAÇÃO!A:D,3,0),IF(H494="Composição",VLOOKUP(I494,COMPOSIÇÃO!A:D,3,0))))))</f>
        <v>M3</v>
      </c>
      <c r="M494" s="870">
        <f>ROUND(VLOOKUP(G494,TRAT.PRELIMINAR!A:M,13,0),2)</f>
        <v>177.27</v>
      </c>
      <c r="N494" s="399">
        <v>0</v>
      </c>
      <c r="O494" s="102">
        <f t="shared" si="86"/>
        <v>0</v>
      </c>
      <c r="P494" s="101">
        <f t="shared" si="87"/>
        <v>0</v>
      </c>
      <c r="Q494" s="1472">
        <v>177.27</v>
      </c>
    </row>
    <row r="495" spans="1:17" ht="51.75" customHeight="1">
      <c r="A495" s="1482"/>
      <c r="B495" s="1482"/>
      <c r="C495" s="1483">
        <f t="shared" si="78"/>
        <v>6</v>
      </c>
      <c r="D495" s="1492">
        <f t="shared" si="76"/>
        <v>1</v>
      </c>
      <c r="E495" s="1492">
        <f t="shared" si="77"/>
        <v>5</v>
      </c>
      <c r="F495" s="1484" t="s">
        <v>11708</v>
      </c>
      <c r="G495" s="912" t="s">
        <v>20365</v>
      </c>
      <c r="H495" s="823" t="str">
        <f>VLOOKUP(G495,TRAT.PRELIMINAR!A:M,2,0)</f>
        <v>SINAPI</v>
      </c>
      <c r="I495" s="700">
        <f>VLOOKUP(G495,TRAT.PRELIMINAR!A:M,3,0)</f>
        <v>92915</v>
      </c>
      <c r="J495" s="824"/>
      <c r="K495" s="790" t="str">
        <f>(IF(H495="Saneago",VLOOKUP(I495,'SANEAGO-FEV.2016'!A:B,2,0),IF(H495="Sinapi",VLOOKUP(I495,'SINAPI-FEV.2017'!A:D,2,0),IF(H495="Cotação",VLOOKUP(I495,COTAÇÃO!A:D,2,0),IF(H495="Composição",VLOOKUP(I495,COMPOSIÇÃO!A:D,2,0))))))</f>
        <v>ARMAÇÃO DE ESTRUTURAS DE CONCRETO ARMADO, EXCETO VIGAS, PILARES, LAJES E FUNDAÇÕES PROFUNDAS (DE EDIFÍCIOS DE MÚLTIPLOS PAVIMENTOS, EDIFICAÇÃO TÉRREA OU SOBRADO), UTILIZANDO AÇO CA-60 DE 5.0 MM - MONTAGEM. AF_12/2015</v>
      </c>
      <c r="L495" s="700" t="str">
        <f>(IF(H495="Saneago",VLOOKUP(I495,'SANEAGO-FEV.2016'!A:D,3,0),IF(H495="Sinapi",VLOOKUP(I495,'SINAPI-FEV.2017'!A:D,3,0),IF(H495="Cotação",VLOOKUP(I495,COTAÇÃO!A:D,3,0),IF(H495="Composição",VLOOKUP(I495,COMPOSIÇÃO!A:D,3,0))))))</f>
        <v>KG</v>
      </c>
      <c r="M495" s="870">
        <f>ROUND(VLOOKUP(G495,TRAT.PRELIMINAR!A:M,13,0),2)</f>
        <v>127.89</v>
      </c>
      <c r="N495" s="399">
        <v>0</v>
      </c>
      <c r="O495" s="102">
        <f t="shared" si="86"/>
        <v>0</v>
      </c>
      <c r="P495" s="101">
        <f t="shared" si="87"/>
        <v>0</v>
      </c>
      <c r="Q495" s="1472">
        <v>127.89</v>
      </c>
    </row>
    <row r="496" spans="1:17" ht="45">
      <c r="A496" s="1482"/>
      <c r="B496" s="1482"/>
      <c r="C496" s="1483">
        <f t="shared" si="78"/>
        <v>6</v>
      </c>
      <c r="D496" s="1492">
        <f t="shared" ref="D496:E503" si="88">D495+A496</f>
        <v>1</v>
      </c>
      <c r="E496" s="1492">
        <f t="shared" si="88"/>
        <v>5</v>
      </c>
      <c r="F496" s="1484" t="s">
        <v>11708</v>
      </c>
      <c r="G496" s="912" t="s">
        <v>20366</v>
      </c>
      <c r="H496" s="823" t="str">
        <f>VLOOKUP(G496,TRAT.PRELIMINAR!A:M,2,0)</f>
        <v>SINAPI</v>
      </c>
      <c r="I496" s="700">
        <f>VLOOKUP(G496,TRAT.PRELIMINAR!A:M,3,0)</f>
        <v>92916</v>
      </c>
      <c r="J496" s="824"/>
      <c r="K496" s="790" t="str">
        <f>(IF(H496="Saneago",VLOOKUP(I496,'SANEAGO-FEV.2016'!A:B,2,0),IF(H496="Sinapi",VLOOKUP(I496,'SINAPI-FEV.2017'!A:D,2,0),IF(H496="Cotação",VLOOKUP(I496,COTAÇÃO!A:D,2,0),IF(H496="Composição",VLOOKUP(I496,COMPOSIÇÃO!A:D,2,0))))))</f>
        <v>ARMAÇÃO DE ESTRUTURAS DE CONCRETO ARMADO, EXCETO VIGAS, PILARES, LAJES E FUNDAÇÕES PROFUNDAS (DE EDIFÍCIOS DE MÚLTIPLOS PAVIMENTOS, EDIFICAÇÃO TÉRREA OU SOBRADO), UTILIZANDO AÇO CA-50 DE 6.3 MM - MONTAGEM. AF_12/2015</v>
      </c>
      <c r="L496" s="700" t="str">
        <f>(IF(H496="Saneago",VLOOKUP(I496,'SANEAGO-FEV.2016'!A:D,3,0),IF(H496="Sinapi",VLOOKUP(I496,'SINAPI-FEV.2017'!A:D,3,0),IF(H496="Cotação",VLOOKUP(I496,COTAÇÃO!A:D,3,0),IF(H496="Composição",VLOOKUP(I496,COMPOSIÇÃO!A:D,3,0))))))</f>
        <v>KG</v>
      </c>
      <c r="M496" s="870">
        <f>ROUND(VLOOKUP(G496,TRAT.PRELIMINAR!A:M,13,0),2)</f>
        <v>2598.5</v>
      </c>
      <c r="N496" s="399">
        <v>0</v>
      </c>
      <c r="O496" s="102">
        <f t="shared" ref="O496:O501" si="89">ROUND(IF(F496="Serviços",N496*(1+$O$7),IF(F496="Materiais",N496*(1+$O$8))),2)</f>
        <v>0</v>
      </c>
      <c r="P496" s="101">
        <f t="shared" ref="P496:P501" si="90">ROUND(M496*O496,2)</f>
        <v>0</v>
      </c>
      <c r="Q496" s="1472">
        <v>2600.63</v>
      </c>
    </row>
    <row r="497" spans="1:17" ht="45">
      <c r="A497" s="1482"/>
      <c r="B497" s="1482"/>
      <c r="C497" s="1483">
        <f t="shared" si="78"/>
        <v>6</v>
      </c>
      <c r="D497" s="1492">
        <f t="shared" si="88"/>
        <v>1</v>
      </c>
      <c r="E497" s="1492">
        <f t="shared" si="88"/>
        <v>5</v>
      </c>
      <c r="F497" s="1484" t="s">
        <v>11708</v>
      </c>
      <c r="G497" s="912" t="s">
        <v>20367</v>
      </c>
      <c r="H497" s="823" t="str">
        <f>VLOOKUP(G497,TRAT.PRELIMINAR!A:M,2,0)</f>
        <v>SINAPI</v>
      </c>
      <c r="I497" s="700">
        <f>VLOOKUP(G497,TRAT.PRELIMINAR!A:M,3,0)</f>
        <v>92917</v>
      </c>
      <c r="J497" s="824"/>
      <c r="K497" s="790" t="str">
        <f>(IF(H497="Saneago",VLOOKUP(I497,'SANEAGO-FEV.2016'!A:B,2,0),IF(H497="Sinapi",VLOOKUP(I497,'SINAPI-FEV.2017'!A:D,2,0),IF(H497="Cotação",VLOOKUP(I497,COTAÇÃO!A:D,2,0),IF(H497="Composição",VLOOKUP(I497,COMPOSIÇÃO!A:D,2,0))))))</f>
        <v>ARMAÇÃO DE ESTRUTURAS DE CONCRETO ARMADO, EXCETO VIGAS, PILARES, LAJES E FUNDAÇÕES PROFUNDAS (DE EDIFÍCIOS DE MÚLTIPLOS PAVIMENTOS, EDIFICAÇÃO TÉRREA OU SOBRADO), UTILIZANDO AÇO CA-50 DE 8.0 MM - MONTAGEM. AF_12/2015</v>
      </c>
      <c r="L497" s="700" t="str">
        <f>(IF(H497="Saneago",VLOOKUP(I497,'SANEAGO-FEV.2016'!A:D,3,0),IF(H497="Sinapi",VLOOKUP(I497,'SINAPI-FEV.2017'!A:D,3,0),IF(H497="Cotação",VLOOKUP(I497,COTAÇÃO!A:D,3,0),IF(H497="Composição",VLOOKUP(I497,COMPOSIÇÃO!A:D,3,0))))))</f>
        <v>KG</v>
      </c>
      <c r="M497" s="870">
        <f>ROUND(VLOOKUP(G497,TRAT.PRELIMINAR!A:M,13,0),2)</f>
        <v>4823.72</v>
      </c>
      <c r="N497" s="399">
        <v>0</v>
      </c>
      <c r="O497" s="102">
        <f t="shared" si="89"/>
        <v>0</v>
      </c>
      <c r="P497" s="101">
        <f t="shared" si="90"/>
        <v>0</v>
      </c>
      <c r="Q497" s="1472">
        <v>7453.84</v>
      </c>
    </row>
    <row r="498" spans="1:17" ht="45">
      <c r="A498" s="1482"/>
      <c r="B498" s="1482"/>
      <c r="C498" s="1483">
        <f t="shared" si="78"/>
        <v>6</v>
      </c>
      <c r="D498" s="1492">
        <f t="shared" si="88"/>
        <v>1</v>
      </c>
      <c r="E498" s="1492">
        <f t="shared" si="88"/>
        <v>5</v>
      </c>
      <c r="F498" s="1484" t="s">
        <v>11708</v>
      </c>
      <c r="G498" s="912" t="s">
        <v>20368</v>
      </c>
      <c r="H498" s="823" t="str">
        <f>VLOOKUP(G498,TRAT.PRELIMINAR!A:M,2,0)</f>
        <v>SINAPI</v>
      </c>
      <c r="I498" s="700">
        <f>VLOOKUP(G498,TRAT.PRELIMINAR!A:M,3,0)</f>
        <v>92919</v>
      </c>
      <c r="J498" s="824"/>
      <c r="K498" s="790" t="str">
        <f>(IF(H498="Saneago",VLOOKUP(I498,'SANEAGO-FEV.2016'!A:B,2,0),IF(H498="Sinapi",VLOOKUP(I498,'SINAPI-FEV.2017'!A:D,2,0),IF(H498="Cotação",VLOOKUP(I498,COTAÇÃO!A:D,2,0),IF(H498="Composição",VLOOKUP(I498,COMPOSIÇÃO!A:D,2,0))))))</f>
        <v>ARMAÇÃO DE ESTRUTURAS DE CONCRETO ARMADO, EXCETO VIGAS, PILARES, LAJES E FUNDAÇÕES PROFUNDAS (DE EDIFÍCIOS DE MÚLTIPLOS PAVIMENTOS, EDIFICAÇÃO TÉRREA OU SOBRADO), UTILIZANDO AÇO CA-50 DE 10.0 MM - MONTAGEM. AF_12/2015</v>
      </c>
      <c r="L498" s="700" t="str">
        <f>(IF(H498="Saneago",VLOOKUP(I498,'SANEAGO-FEV.2016'!A:D,3,0),IF(H498="Sinapi",VLOOKUP(I498,'SINAPI-FEV.2017'!A:D,3,0),IF(H498="Cotação",VLOOKUP(I498,COTAÇÃO!A:D,3,0),IF(H498="Composição",VLOOKUP(I498,COMPOSIÇÃO!A:D,3,0))))))</f>
        <v>KG</v>
      </c>
      <c r="M498" s="870">
        <f>ROUND(VLOOKUP(G498,TRAT.PRELIMINAR!A:M,13,0),2)</f>
        <v>2282.4</v>
      </c>
      <c r="N498" s="399">
        <v>0</v>
      </c>
      <c r="O498" s="102">
        <f t="shared" si="89"/>
        <v>0</v>
      </c>
      <c r="P498" s="101">
        <f t="shared" si="90"/>
        <v>0</v>
      </c>
      <c r="Q498" s="1472">
        <v>3480.31</v>
      </c>
    </row>
    <row r="499" spans="1:17" ht="45">
      <c r="A499" s="1482"/>
      <c r="B499" s="1482"/>
      <c r="C499" s="1483">
        <f t="shared" si="78"/>
        <v>6</v>
      </c>
      <c r="D499" s="1492">
        <f t="shared" si="88"/>
        <v>1</v>
      </c>
      <c r="E499" s="1492">
        <f t="shared" si="88"/>
        <v>5</v>
      </c>
      <c r="F499" s="1484" t="s">
        <v>11708</v>
      </c>
      <c r="G499" s="912" t="s">
        <v>20369</v>
      </c>
      <c r="H499" s="823" t="str">
        <f>VLOOKUP(G499,TRAT.PRELIMINAR!A:M,2,0)</f>
        <v>SINAPI</v>
      </c>
      <c r="I499" s="700">
        <f>VLOOKUP(G499,TRAT.PRELIMINAR!A:M,3,0)</f>
        <v>92921</v>
      </c>
      <c r="J499" s="824"/>
      <c r="K499" s="790" t="str">
        <f>(IF(H499="Saneago",VLOOKUP(I499,'SANEAGO-FEV.2016'!A:B,2,0),IF(H499="Sinapi",VLOOKUP(I499,'SINAPI-FEV.2017'!A:D,2,0),IF(H499="Cotação",VLOOKUP(I499,COTAÇÃO!A:D,2,0),IF(H499="Composição",VLOOKUP(I499,COMPOSIÇÃO!A:D,2,0))))))</f>
        <v>ARMAÇÃO DE ESTRUTURAS DE CONCRETO ARMADO, EXCETO VIGAS, PILARES, LAJES E FUNDAÇÕES PROFUNDAS (DE EDIFÍCIOS DE MÚLTIPLOS PAVIMENTOS, EDIFICAÇÃO TÉRREA OU SOBRADO), UTILIZANDO AÇO CA-50 DE 12.5 MM - MONTAGEM. AF_12/2015</v>
      </c>
      <c r="L499" s="700" t="str">
        <f>(IF(H499="Saneago",VLOOKUP(I499,'SANEAGO-FEV.2016'!A:D,3,0),IF(H499="Sinapi",VLOOKUP(I499,'SINAPI-FEV.2017'!A:D,3,0),IF(H499="Cotação",VLOOKUP(I499,COTAÇÃO!A:D,3,0),IF(H499="Composição",VLOOKUP(I499,COMPOSIÇÃO!A:D,3,0))))))</f>
        <v>KG</v>
      </c>
      <c r="M499" s="870">
        <f>ROUND(VLOOKUP(G499,TRAT.PRELIMINAR!A:M,13,0),2)</f>
        <v>1061.31</v>
      </c>
      <c r="N499" s="399">
        <v>0</v>
      </c>
      <c r="O499" s="102">
        <f t="shared" si="89"/>
        <v>0</v>
      </c>
      <c r="P499" s="101">
        <f t="shared" si="90"/>
        <v>0</v>
      </c>
      <c r="Q499" s="1472">
        <v>1313.7</v>
      </c>
    </row>
    <row r="500" spans="1:17" ht="45" hidden="1" customHeight="1">
      <c r="A500" s="1482"/>
      <c r="B500" s="1482"/>
      <c r="C500" s="1483">
        <f t="shared" si="78"/>
        <v>6</v>
      </c>
      <c r="D500" s="1492">
        <f t="shared" si="88"/>
        <v>1</v>
      </c>
      <c r="E500" s="1492">
        <f t="shared" si="88"/>
        <v>5</v>
      </c>
      <c r="F500" s="1484" t="s">
        <v>11708</v>
      </c>
      <c r="G500" s="912" t="s">
        <v>20370</v>
      </c>
      <c r="H500" s="823" t="str">
        <f>VLOOKUP(G500,TRAT.PRELIMINAR!A:M,2,0)</f>
        <v>SINAPI</v>
      </c>
      <c r="I500" s="700">
        <f>VLOOKUP(G500,TRAT.PRELIMINAR!A:M,3,0)</f>
        <v>92922</v>
      </c>
      <c r="J500" s="824"/>
      <c r="K500" s="790" t="str">
        <f>(IF(H500="Saneago",VLOOKUP(I500,'SANEAGO-FEV.2016'!A:B,2,0),IF(H500="Sinapi",VLOOKUP(I500,'SINAPI-FEV.2017'!A:D,2,0),IF(H500="Cotação",VLOOKUP(I500,COTAÇÃO!A:D,2,0),IF(H500="Composição",VLOOKUP(I500,COMPOSIÇÃO!A:D,2,0))))))</f>
        <v>ARMAÇÃO DE ESTRUTURAS DE CONCRETO ARMADO, EXCETO VIGAS, PILARES, LAJES E FUNDAÇÕES PROFUNDAS (DE EDIFÍCIOS DE MÚLTIPLOS PAVIMENTOS, EDIFICAÇÃO TÉRREA OU SOBRADO), UTILIZANDO AÇO CA-50 DE 16.0 MM - MONTAGEM. AF_12/2015</v>
      </c>
      <c r="L500" s="700" t="str">
        <f>(IF(H500="Saneago",VLOOKUP(I500,'SANEAGO-FEV.2016'!A:D,3,0),IF(H500="Sinapi",VLOOKUP(I500,'SINAPI-FEV.2017'!A:D,3,0),IF(H500="Cotação",VLOOKUP(I500,COTAÇÃO!A:D,3,0),IF(H500="Composição",VLOOKUP(I500,COMPOSIÇÃO!A:D,3,0))))))</f>
        <v>KG</v>
      </c>
      <c r="M500" s="870">
        <f>ROUND(VLOOKUP(G500,TRAT.PRELIMINAR!A:M,13,0),2)</f>
        <v>0</v>
      </c>
      <c r="N500" s="399">
        <v>0</v>
      </c>
      <c r="O500" s="102">
        <f t="shared" si="89"/>
        <v>0</v>
      </c>
      <c r="P500" s="101">
        <f t="shared" si="90"/>
        <v>0</v>
      </c>
      <c r="Q500" s="1472">
        <v>475.12</v>
      </c>
    </row>
    <row r="501" spans="1:17">
      <c r="A501" s="1482"/>
      <c r="B501" s="1482"/>
      <c r="C501" s="1483">
        <f t="shared" si="78"/>
        <v>6</v>
      </c>
      <c r="D501" s="1492">
        <f t="shared" si="88"/>
        <v>1</v>
      </c>
      <c r="E501" s="1492">
        <f t="shared" si="88"/>
        <v>5</v>
      </c>
      <c r="F501" s="1484" t="s">
        <v>11708</v>
      </c>
      <c r="G501" s="968" t="s">
        <v>14212</v>
      </c>
      <c r="H501" s="823" t="str">
        <f>VLOOKUP(G501,TRAT.PRELIMINAR!A:M,2,0)</f>
        <v>Sinapi</v>
      </c>
      <c r="I501" s="700">
        <f>VLOOKUP(G501,TRAT.PRELIMINAR!A:M,3,0)</f>
        <v>3681</v>
      </c>
      <c r="J501" s="824"/>
      <c r="K501" s="790" t="str">
        <f>(IF(H501="Saneago",VLOOKUP(I501,'SANEAGO-FEV.2016'!A:B,2,0),IF(H501="Sinapi",VLOOKUP(I501,'SINAPI-FEV.2017'!A:D,2,0),IF(H501="Cotação",VLOOKUP(I501,COTAÇÃO!A:D,2,0),IF(H501="Composição",VLOOKUP(I501,COMPOSIÇÃO!A:D,2,0))))))</f>
        <v>JUNTA DILATACAO ELASTICA PARA CONCRETO (FUGENBAND) O-22, ATE 30 MCA</v>
      </c>
      <c r="L501" s="700" t="str">
        <f>(IF(H501="Saneago",VLOOKUP(I501,'SANEAGO-FEV.2016'!A:D,3,0),IF(H501="Sinapi",VLOOKUP(I501,'SINAPI-FEV.2017'!A:D,3,0),IF(H501="Cotação",VLOOKUP(I501,COTAÇÃO!A:D,3,0),IF(H501="Composição",VLOOKUP(I501,COMPOSIÇÃO!A:D,3,0))))))</f>
        <v>M</v>
      </c>
      <c r="M501" s="870">
        <f>ROUND(VLOOKUP(G501,TRAT.PRELIMINAR!A:M,13,0),2)</f>
        <v>13.05</v>
      </c>
      <c r="N501" s="399">
        <v>0</v>
      </c>
      <c r="O501" s="102">
        <f t="shared" si="89"/>
        <v>0</v>
      </c>
      <c r="P501" s="101">
        <f t="shared" si="90"/>
        <v>0</v>
      </c>
      <c r="Q501" s="1472">
        <v>13.05</v>
      </c>
    </row>
    <row r="502" spans="1:17">
      <c r="A502" s="1482"/>
      <c r="B502" s="1482"/>
      <c r="C502" s="1483">
        <f t="shared" si="78"/>
        <v>6</v>
      </c>
      <c r="D502" s="1492">
        <f t="shared" si="88"/>
        <v>1</v>
      </c>
      <c r="E502" s="1492">
        <f t="shared" si="88"/>
        <v>5</v>
      </c>
      <c r="F502" s="1484" t="s">
        <v>11708</v>
      </c>
      <c r="G502" s="968" t="s">
        <v>14213</v>
      </c>
      <c r="H502" s="823" t="str">
        <f>VLOOKUP(G502,TRAT.PRELIMINAR!A:M,2,0)</f>
        <v>SINAPI</v>
      </c>
      <c r="I502" s="700" t="str">
        <f>VLOOKUP(G502,TRAT.PRELIMINAR!A:M,3,0)</f>
        <v>74022/57</v>
      </c>
      <c r="J502" s="824"/>
      <c r="K502" s="790" t="str">
        <f>(IF(H502="Saneago",VLOOKUP(I502,'SANEAGO-FEV.2016'!A:B,2,0),IF(H502="Sinapi",VLOOKUP(I502,'SINAPI-FEV.2017'!A:D,2,0),IF(H502="Cotação",VLOOKUP(I502,COTAÇÃO!A:D,2,0),IF(H502="Composição",VLOOKUP(I502,COMPOSIÇÃO!A:D,2,0))))))</f>
        <v>ENSAIO DE CONSISTENCIA DO CONCRETO CCR - INDICE VEBE</v>
      </c>
      <c r="L502" s="700" t="str">
        <f>(IF(H502="Saneago",VLOOKUP(I502,'SANEAGO-FEV.2016'!A:D,3,0),IF(H502="Sinapi",VLOOKUP(I502,'SINAPI-FEV.2017'!A:D,3,0),IF(H502="Cotação",VLOOKUP(I502,COTAÇÃO!A:D,3,0),IF(H502="Composição",VLOOKUP(I502,COMPOSIÇÃO!A:D,3,0))))))</f>
        <v>UN</v>
      </c>
      <c r="M502" s="870">
        <f>ROUND(VLOOKUP(G502,TRAT.PRELIMINAR!A:M,13,0),2)</f>
        <v>4</v>
      </c>
      <c r="N502" s="399">
        <v>0</v>
      </c>
      <c r="O502" s="102">
        <f t="shared" si="86"/>
        <v>0</v>
      </c>
      <c r="P502" s="101">
        <f t="shared" si="87"/>
        <v>0</v>
      </c>
      <c r="Q502" s="1472">
        <v>4</v>
      </c>
    </row>
    <row r="503" spans="1:17" ht="15.75" thickBot="1">
      <c r="A503" s="1482"/>
      <c r="B503" s="1482"/>
      <c r="C503" s="1483">
        <f t="shared" si="78"/>
        <v>6</v>
      </c>
      <c r="D503" s="1492">
        <f t="shared" si="88"/>
        <v>1</v>
      </c>
      <c r="E503" s="1492">
        <f t="shared" si="88"/>
        <v>5</v>
      </c>
      <c r="F503" s="1484" t="s">
        <v>11708</v>
      </c>
      <c r="G503" s="965"/>
      <c r="H503" s="1095"/>
      <c r="I503" s="780"/>
      <c r="J503" s="834"/>
      <c r="K503" s="780"/>
      <c r="L503" s="780"/>
      <c r="M503" s="1270"/>
      <c r="N503" s="400"/>
      <c r="O503" s="122"/>
      <c r="P503" s="123"/>
    </row>
    <row r="504" spans="1:17" ht="16.5" customHeight="1" thickTop="1" thickBot="1">
      <c r="A504" s="1482"/>
      <c r="B504" s="1482"/>
      <c r="C504" s="1483">
        <f t="shared" si="78"/>
        <v>6</v>
      </c>
      <c r="D504" s="1492">
        <f t="shared" si="76"/>
        <v>1</v>
      </c>
      <c r="E504" s="1492">
        <f t="shared" si="77"/>
        <v>5</v>
      </c>
      <c r="F504" s="1484" t="s">
        <v>11708</v>
      </c>
      <c r="G504" s="921"/>
      <c r="H504" s="1653" t="str">
        <f>"TOTAL ITEM: "&amp;J489 &amp;K489</f>
        <v>TOTAL ITEM: 6.1.5 ESTRUTURA DE CONCRETO ARMADO</v>
      </c>
      <c r="I504" s="1654"/>
      <c r="J504" s="1654"/>
      <c r="K504" s="1654"/>
      <c r="L504" s="1654"/>
      <c r="M504" s="1654"/>
      <c r="N504" s="1654"/>
      <c r="O504" s="1654"/>
      <c r="P504" s="210">
        <f>SUBTOTAL(9,P491:P502)</f>
        <v>0</v>
      </c>
    </row>
    <row r="505" spans="1:17" ht="15.75" thickTop="1">
      <c r="A505" s="1482"/>
      <c r="B505" s="1482"/>
      <c r="C505" s="1483">
        <f t="shared" si="78"/>
        <v>6</v>
      </c>
      <c r="D505" s="1492">
        <f t="shared" si="76"/>
        <v>1</v>
      </c>
      <c r="E505" s="1492">
        <f t="shared" si="77"/>
        <v>5</v>
      </c>
      <c r="F505" s="1484" t="s">
        <v>11708</v>
      </c>
      <c r="H505" s="1095"/>
      <c r="I505" s="780"/>
      <c r="J505" s="834"/>
      <c r="K505" s="780"/>
      <c r="L505" s="780"/>
      <c r="M505" s="1270"/>
      <c r="N505" s="400"/>
      <c r="O505" s="122"/>
      <c r="P505" s="123"/>
    </row>
    <row r="506" spans="1:17">
      <c r="A506" s="1482"/>
      <c r="B506" s="1482">
        <v>1</v>
      </c>
      <c r="C506" s="1483">
        <f t="shared" si="78"/>
        <v>6</v>
      </c>
      <c r="D506" s="1492">
        <f t="shared" si="76"/>
        <v>1</v>
      </c>
      <c r="E506" s="1492">
        <f t="shared" si="77"/>
        <v>6</v>
      </c>
      <c r="F506" s="1484" t="s">
        <v>11708</v>
      </c>
      <c r="H506" s="1514" t="s">
        <v>11703</v>
      </c>
      <c r="I506" s="1515" t="s">
        <v>64</v>
      </c>
      <c r="J506" s="1516" t="str">
        <f>CONCATENATE(C506,".",D506,".",E506)</f>
        <v>6.1.6</v>
      </c>
      <c r="K506" s="1516" t="s">
        <v>1231</v>
      </c>
      <c r="L506" s="1517" t="s">
        <v>25</v>
      </c>
      <c r="M506" s="1518" t="s">
        <v>11704</v>
      </c>
      <c r="N506" s="398" t="s">
        <v>11705</v>
      </c>
      <c r="O506" s="207" t="s">
        <v>11706</v>
      </c>
      <c r="P506" s="208" t="s">
        <v>27</v>
      </c>
      <c r="Q506" s="1472" t="s">
        <v>11704</v>
      </c>
    </row>
    <row r="507" spans="1:17">
      <c r="A507" s="1482"/>
      <c r="B507" s="1482"/>
      <c r="C507" s="1483">
        <f t="shared" si="78"/>
        <v>6</v>
      </c>
      <c r="D507" s="1492">
        <f t="shared" si="76"/>
        <v>1</v>
      </c>
      <c r="E507" s="1492">
        <f t="shared" si="77"/>
        <v>6</v>
      </c>
      <c r="F507" s="1484" t="s">
        <v>11708</v>
      </c>
      <c r="H507" s="1095"/>
      <c r="I507" s="780"/>
      <c r="J507" s="834"/>
      <c r="K507" s="780"/>
      <c r="L507" s="780"/>
      <c r="M507" s="1270"/>
      <c r="N507" s="400"/>
      <c r="O507" s="122"/>
      <c r="P507" s="123"/>
    </row>
    <row r="508" spans="1:17" ht="45">
      <c r="A508" s="1482"/>
      <c r="B508" s="1482"/>
      <c r="C508" s="1483">
        <f t="shared" si="78"/>
        <v>6</v>
      </c>
      <c r="D508" s="1492">
        <f t="shared" si="76"/>
        <v>1</v>
      </c>
      <c r="E508" s="1492">
        <f t="shared" si="77"/>
        <v>6</v>
      </c>
      <c r="F508" s="1484" t="s">
        <v>11708</v>
      </c>
      <c r="G508" s="968" t="s">
        <v>14214</v>
      </c>
      <c r="H508" s="823" t="str">
        <f>VLOOKUP(G508,TRAT.PRELIMINAR!A:M,2,0)</f>
        <v>Saneago</v>
      </c>
      <c r="I508" s="700">
        <f>VLOOKUP(G508,TRAT.PRELIMINAR!A:M,3,0)</f>
        <v>862</v>
      </c>
      <c r="J508" s="824"/>
      <c r="K508" s="790" t="str">
        <f>(IF(H508="Saneago",VLOOKUP(I508,'SANEAGO-FEV.2016'!A:B,2,0),IF(H508="Sinapi",VLOOKUP(I508,'SINAPI-FEV.2017'!A:D,2,0),IF(H508="Cotação",VLOOKUP(I508,COTAÇÃO!A:D,2,0),IF(H508="Composição",VLOOKUP(I508,COMPOSIÇÃO!A:D,2,0))))))</f>
        <v>GUARDA-CORPO DE TUBO INDUSTRIAL  1.1/2" (40 MM) CHAPA 13;  H=1,0 M, C/ TELA ARTÍSTICA   3 X 3 FIO 12, PERFIL  U  DIM.  19,05  X 19,05  X 3,17  MM,  BARRA  RETANGULAR  DIM  9,52  X 6,35  MM,  FIXADA  EM  CHAPA METÁLICA DIM: 0,20 X 0,10 X 0,05 CM, C/ INJENÇÃO DE SILICONE,</v>
      </c>
      <c r="L508" s="700" t="str">
        <f>(IF(H508="Saneago",VLOOKUP(I508,'SANEAGO-FEV.2016'!A:D,3,0),IF(H508="Sinapi",VLOOKUP(I508,'SINAPI-FEV.2017'!A:D,3,0),IF(H508="Cotação",VLOOKUP(I508,COTAÇÃO!A:D,3,0),IF(H508="Composição",VLOOKUP(I508,COMPOSIÇÃO!A:D,3,0))))))</f>
        <v>M</v>
      </c>
      <c r="M508" s="870">
        <f>ROUND(VLOOKUP(G508,TRAT.PRELIMINAR!A:M,13,0),2)</f>
        <v>118</v>
      </c>
      <c r="N508" s="399">
        <v>0</v>
      </c>
      <c r="O508" s="102">
        <f t="shared" ref="O508:O513" si="91">ROUND(IF(F508="Serviços",N508*(1+$O$7),IF(F508="Materiais",N508*(1+$O$8))),2)</f>
        <v>0</v>
      </c>
      <c r="P508" s="101">
        <f t="shared" ref="P508:P513" si="92">ROUND(M508*O508,2)</f>
        <v>0</v>
      </c>
      <c r="Q508" s="1472">
        <v>118</v>
      </c>
    </row>
    <row r="509" spans="1:17" ht="22.5">
      <c r="A509" s="1482"/>
      <c r="B509" s="1482"/>
      <c r="C509" s="1483">
        <f t="shared" si="78"/>
        <v>6</v>
      </c>
      <c r="D509" s="1492">
        <f t="shared" si="76"/>
        <v>1</v>
      </c>
      <c r="E509" s="1492">
        <f t="shared" si="77"/>
        <v>6</v>
      </c>
      <c r="F509" s="1484" t="s">
        <v>11708</v>
      </c>
      <c r="G509" s="968" t="s">
        <v>14215</v>
      </c>
      <c r="H509" s="823" t="str">
        <f>VLOOKUP(G509,TRAT.PRELIMINAR!A:M,2,0)</f>
        <v>SINAPI</v>
      </c>
      <c r="I509" s="700">
        <f>VLOOKUP(G509,TRAT.PRELIMINAR!A:M,3,0)</f>
        <v>73665</v>
      </c>
      <c r="J509" s="824"/>
      <c r="K509" s="790" t="str">
        <f>(IF(H509="Saneago",VLOOKUP(I509,'SANEAGO-FEV.2016'!A:B,2,0),IF(H509="Sinapi",VLOOKUP(I509,'SINAPI-FEV.2017'!A:D,2,0),IF(H509="Cotação",VLOOKUP(I509,COTAÇÃO!A:D,2,0),IF(H509="Composição",VLOOKUP(I509,COMPOSIÇÃO!A:D,2,0))))))</f>
        <v>ESCADA TIPO MARINHEIRO EM ACO CA-50 9,52MM INCLUSO PINTURA COM FUNDO ANTICORROSIVO TIPO ZARCAO</v>
      </c>
      <c r="L509" s="700" t="str">
        <f>(IF(H509="Saneago",VLOOKUP(I509,'SANEAGO-FEV.2016'!A:D,3,0),IF(H509="Sinapi",VLOOKUP(I509,'SINAPI-FEV.2017'!A:D,3,0),IF(H509="Cotação",VLOOKUP(I509,COTAÇÃO!A:D,3,0),IF(H509="Composição",VLOOKUP(I509,COMPOSIÇÃO!A:D,3,0))))))</f>
        <v>M</v>
      </c>
      <c r="M509" s="870">
        <f>ROUND(VLOOKUP(G509,TRAT.PRELIMINAR!A:M,13,0),2)</f>
        <v>1.8</v>
      </c>
      <c r="N509" s="399">
        <v>0</v>
      </c>
      <c r="O509" s="102">
        <f t="shared" si="91"/>
        <v>0</v>
      </c>
      <c r="P509" s="101">
        <f t="shared" si="92"/>
        <v>0</v>
      </c>
      <c r="Q509" s="1472">
        <v>1.8</v>
      </c>
    </row>
    <row r="510" spans="1:17">
      <c r="A510" s="1482"/>
      <c r="B510" s="1482"/>
      <c r="C510" s="1483">
        <f t="shared" si="78"/>
        <v>6</v>
      </c>
      <c r="D510" s="1492">
        <f>D509+A510</f>
        <v>1</v>
      </c>
      <c r="E510" s="1492">
        <f>E509+B510</f>
        <v>6</v>
      </c>
      <c r="F510" s="1484" t="s">
        <v>11708</v>
      </c>
      <c r="G510" s="968" t="s">
        <v>14217</v>
      </c>
      <c r="H510" s="823" t="str">
        <f>VLOOKUP(G510,TRAT.PRELIMINAR!A:M,2,0)</f>
        <v>COTAÇÃO</v>
      </c>
      <c r="I510" s="700" t="str">
        <f>VLOOKUP(G510,TRAT.PRELIMINAR!A:M,3,0)</f>
        <v>CP_APOIO TUBO</v>
      </c>
      <c r="J510" s="824"/>
      <c r="K510" s="790" t="str">
        <f>(IF(H510="Saneago",VLOOKUP(I510,'SANEAGO-FEV.2016'!A:B,2,0),IF(H510="Sinapi",VLOOKUP(I510,'SINAPI-FEV.2017'!A:D,2,0),IF(H510="Cotação",VLOOKUP(I510,COTAÇÃO!A:D,2,0),IF(H510="Composição",VLOOKUP(I510,COMPOSIÇÃO!A:D,2,0))))))</f>
        <v>APOIO METÁLICO DA TUBULAÇÃO</v>
      </c>
      <c r="L510" s="700" t="str">
        <f>(IF(H510="Saneago",VLOOKUP(I510,'SANEAGO-FEV.2016'!A:D,3,0),IF(H510="Sinapi",VLOOKUP(I510,'SINAPI-FEV.2017'!A:D,3,0),IF(H510="Cotação",VLOOKUP(I510,COTAÇÃO!A:D,3,0),IF(H510="Composição",VLOOKUP(I510,COMPOSIÇÃO!A:D,3,0))))))</f>
        <v>um.</v>
      </c>
      <c r="M510" s="870">
        <f>ROUND(VLOOKUP(G510,TRAT.PRELIMINAR!A:M,13,0),2)</f>
        <v>4</v>
      </c>
      <c r="N510" s="399">
        <v>0</v>
      </c>
      <c r="O510" s="102">
        <f t="shared" si="91"/>
        <v>0</v>
      </c>
      <c r="P510" s="101">
        <f t="shared" si="92"/>
        <v>0</v>
      </c>
      <c r="Q510" s="1472">
        <v>4</v>
      </c>
    </row>
    <row r="511" spans="1:17">
      <c r="A511" s="1482"/>
      <c r="B511" s="1482"/>
      <c r="C511" s="1483">
        <f t="shared" ref="C511:C556" si="93">C510</f>
        <v>6</v>
      </c>
      <c r="D511" s="1492">
        <f t="shared" si="76"/>
        <v>1</v>
      </c>
      <c r="E511" s="1492">
        <f t="shared" si="77"/>
        <v>6</v>
      </c>
      <c r="F511" s="1484" t="s">
        <v>11708</v>
      </c>
      <c r="G511" s="968" t="s">
        <v>14218</v>
      </c>
      <c r="H511" s="823" t="str">
        <f>VLOOKUP(G511,TRAT.PRELIMINAR!A:M,2,0)</f>
        <v>COTAÇÃO</v>
      </c>
      <c r="I511" s="700" t="str">
        <f>VLOOKUP(G511,TRAT.PRELIMINAR!A:M,3,0)</f>
        <v>CP_SUPORTE 1</v>
      </c>
      <c r="J511" s="824"/>
      <c r="K511" s="790" t="str">
        <f>(IF(H511="Saneago",VLOOKUP(I511,'SANEAGO-FEV.2016'!A:B,2,0),IF(H511="Sinapi",VLOOKUP(I511,'SINAPI-FEV.2017'!A:D,2,0),IF(H511="Cotação",VLOOKUP(I511,COTAÇÃO!A:D,2,0),IF(H511="Composição",VLOOKUP(I511,COMPOSIÇÃO!A:D,2,0))))))</f>
        <v>SUPORTE TIPO 1</v>
      </c>
      <c r="L511" s="700" t="str">
        <f>(IF(H511="Saneago",VLOOKUP(I511,'SANEAGO-FEV.2016'!A:D,3,0),IF(H511="Sinapi",VLOOKUP(I511,'SINAPI-FEV.2017'!A:D,3,0),IF(H511="Cotação",VLOOKUP(I511,COTAÇÃO!A:D,3,0),IF(H511="Composição",VLOOKUP(I511,COMPOSIÇÃO!A:D,3,0))))))</f>
        <v>um.</v>
      </c>
      <c r="M511" s="870">
        <f>ROUND(VLOOKUP(G511,TRAT.PRELIMINAR!A:M,13,0),2)</f>
        <v>4</v>
      </c>
      <c r="N511" s="399">
        <v>0</v>
      </c>
      <c r="O511" s="102">
        <f t="shared" si="91"/>
        <v>0</v>
      </c>
      <c r="P511" s="101">
        <f t="shared" si="92"/>
        <v>0</v>
      </c>
      <c r="Q511" s="1472">
        <v>4</v>
      </c>
    </row>
    <row r="512" spans="1:17">
      <c r="A512" s="1482"/>
      <c r="B512" s="1482"/>
      <c r="C512" s="1483">
        <f t="shared" si="93"/>
        <v>6</v>
      </c>
      <c r="D512" s="1492">
        <f t="shared" ref="D512:D555" si="94">D511+A512</f>
        <v>1</v>
      </c>
      <c r="E512" s="1492">
        <f t="shared" ref="E512:E555" si="95">E511+B512</f>
        <v>6</v>
      </c>
      <c r="F512" s="1484" t="s">
        <v>11708</v>
      </c>
      <c r="G512" s="968" t="s">
        <v>14219</v>
      </c>
      <c r="H512" s="823" t="str">
        <f>VLOOKUP(G512,TRAT.PRELIMINAR!A:M,2,0)</f>
        <v>COTAÇÃO</v>
      </c>
      <c r="I512" s="700" t="str">
        <f>VLOOKUP(G512,TRAT.PRELIMINAR!A:M,3,0)</f>
        <v>CP_SUPORTE 2</v>
      </c>
      <c r="J512" s="824"/>
      <c r="K512" s="790" t="str">
        <f>(IF(H512="Saneago",VLOOKUP(I512,'SANEAGO-FEV.2016'!A:B,2,0),IF(H512="Sinapi",VLOOKUP(I512,'SINAPI-FEV.2017'!A:D,2,0),IF(H512="Cotação",VLOOKUP(I512,COTAÇÃO!A:D,2,0),IF(H512="Composição",VLOOKUP(I512,COMPOSIÇÃO!A:D,2,0))))))</f>
        <v>SUPORTE TIPO 2</v>
      </c>
      <c r="L512" s="700" t="str">
        <f>(IF(H512="Saneago",VLOOKUP(I512,'SANEAGO-FEV.2016'!A:D,3,0),IF(H512="Sinapi",VLOOKUP(I512,'SINAPI-FEV.2017'!A:D,3,0),IF(H512="Cotação",VLOOKUP(I512,COTAÇÃO!A:D,3,0),IF(H512="Composição",VLOOKUP(I512,COMPOSIÇÃO!A:D,3,0))))))</f>
        <v>um.</v>
      </c>
      <c r="M512" s="870">
        <f>ROUND(VLOOKUP(G512,TRAT.PRELIMINAR!A:M,13,0),2)</f>
        <v>4</v>
      </c>
      <c r="N512" s="399">
        <v>0</v>
      </c>
      <c r="O512" s="102">
        <f t="shared" si="91"/>
        <v>0</v>
      </c>
      <c r="P512" s="101">
        <f t="shared" si="92"/>
        <v>0</v>
      </c>
      <c r="Q512" s="1472">
        <v>4</v>
      </c>
    </row>
    <row r="513" spans="1:17">
      <c r="A513" s="1482"/>
      <c r="B513" s="1482"/>
      <c r="C513" s="1483">
        <f t="shared" si="93"/>
        <v>6</v>
      </c>
      <c r="D513" s="1492">
        <f t="shared" si="94"/>
        <v>1</v>
      </c>
      <c r="E513" s="1492">
        <f t="shared" si="95"/>
        <v>6</v>
      </c>
      <c r="F513" s="1484" t="s">
        <v>11708</v>
      </c>
      <c r="G513" s="968" t="s">
        <v>14220</v>
      </c>
      <c r="H513" s="823" t="str">
        <f>VLOOKUP(G513,TRAT.PRELIMINAR!A:M,2,0)</f>
        <v>COTAÇÃO</v>
      </c>
      <c r="I513" s="700" t="str">
        <f>VLOOKUP(G513,TRAT.PRELIMINAR!A:M,3,0)</f>
        <v>CP_APOIO FLANGE</v>
      </c>
      <c r="J513" s="824"/>
      <c r="K513" s="790" t="str">
        <f>(IF(H513="Saneago",VLOOKUP(I513,'SANEAGO-FEV.2016'!A:B,2,0),IF(H513="Sinapi",VLOOKUP(I513,'SINAPI-FEV.2017'!A:D,2,0),IF(H513="Cotação",VLOOKUP(I513,COTAÇÃO!A:D,2,0),IF(H513="Composição",VLOOKUP(I513,COMPOSIÇÃO!A:D,2,0))))))</f>
        <v>APOIO METÁLICO DA FLANGE</v>
      </c>
      <c r="L513" s="700" t="str">
        <f>(IF(H513="Saneago",VLOOKUP(I513,'SANEAGO-FEV.2016'!A:D,3,0),IF(H513="Sinapi",VLOOKUP(I513,'SINAPI-FEV.2017'!A:D,3,0),IF(H513="Cotação",VLOOKUP(I513,COTAÇÃO!A:D,3,0),IF(H513="Composição",VLOOKUP(I513,COMPOSIÇÃO!A:D,3,0))))))</f>
        <v>um.</v>
      </c>
      <c r="M513" s="870">
        <f>ROUND(VLOOKUP(G513,TRAT.PRELIMINAR!A:M,13,0),2)</f>
        <v>4</v>
      </c>
      <c r="N513" s="399">
        <v>0</v>
      </c>
      <c r="O513" s="102">
        <f t="shared" si="91"/>
        <v>0</v>
      </c>
      <c r="P513" s="101">
        <f t="shared" si="92"/>
        <v>0</v>
      </c>
      <c r="Q513" s="1472">
        <v>4</v>
      </c>
    </row>
    <row r="514" spans="1:17" ht="15.75" thickBot="1">
      <c r="A514" s="1482"/>
      <c r="B514" s="1482"/>
      <c r="C514" s="1483">
        <f t="shared" si="93"/>
        <v>6</v>
      </c>
      <c r="D514" s="1492">
        <f t="shared" si="94"/>
        <v>1</v>
      </c>
      <c r="E514" s="1492">
        <f t="shared" si="95"/>
        <v>6</v>
      </c>
      <c r="F514" s="1484" t="s">
        <v>11708</v>
      </c>
      <c r="H514" s="1095"/>
      <c r="I514" s="780"/>
      <c r="J514" s="834"/>
      <c r="K514" s="780"/>
      <c r="L514" s="780"/>
      <c r="M514" s="1270"/>
      <c r="N514" s="400"/>
      <c r="O514" s="122"/>
      <c r="P514" s="123"/>
    </row>
    <row r="515" spans="1:17" ht="16.5" customHeight="1" thickTop="1" thickBot="1">
      <c r="A515" s="1482"/>
      <c r="B515" s="1482"/>
      <c r="C515" s="1483">
        <f t="shared" si="93"/>
        <v>6</v>
      </c>
      <c r="D515" s="1492">
        <f t="shared" si="94"/>
        <v>1</v>
      </c>
      <c r="E515" s="1492">
        <f t="shared" si="95"/>
        <v>6</v>
      </c>
      <c r="F515" s="1484" t="s">
        <v>11708</v>
      </c>
      <c r="H515" s="1653" t="str">
        <f>"TOTAL ITEM: "&amp;J506 &amp;K506</f>
        <v>TOTAL ITEM: 6.1.6ESQUADRIAS</v>
      </c>
      <c r="I515" s="1654"/>
      <c r="J515" s="1654"/>
      <c r="K515" s="1654"/>
      <c r="L515" s="1654"/>
      <c r="M515" s="1654"/>
      <c r="N515" s="1654"/>
      <c r="O515" s="1654"/>
      <c r="P515" s="210">
        <f>SUBTOTAL(9,P508:P513)</f>
        <v>0</v>
      </c>
    </row>
    <row r="516" spans="1:17" ht="15.75" thickTop="1">
      <c r="A516" s="1482"/>
      <c r="B516" s="1482"/>
      <c r="C516" s="1483">
        <f t="shared" si="93"/>
        <v>6</v>
      </c>
      <c r="D516" s="1492">
        <f t="shared" si="94"/>
        <v>1</v>
      </c>
      <c r="E516" s="1492">
        <f t="shared" si="95"/>
        <v>6</v>
      </c>
      <c r="F516" s="1484" t="s">
        <v>11708</v>
      </c>
      <c r="H516" s="1095"/>
      <c r="I516" s="780"/>
      <c r="J516" s="834"/>
      <c r="K516" s="780"/>
      <c r="L516" s="780"/>
      <c r="M516" s="1270"/>
      <c r="N516" s="400"/>
      <c r="O516" s="122"/>
      <c r="P516" s="123"/>
    </row>
    <row r="517" spans="1:17">
      <c r="A517" s="1482"/>
      <c r="B517" s="1482">
        <v>1</v>
      </c>
      <c r="C517" s="1483">
        <f t="shared" si="93"/>
        <v>6</v>
      </c>
      <c r="D517" s="1492">
        <f t="shared" si="94"/>
        <v>1</v>
      </c>
      <c r="E517" s="1492">
        <f t="shared" si="95"/>
        <v>7</v>
      </c>
      <c r="F517" s="1484" t="s">
        <v>11708</v>
      </c>
      <c r="H517" s="1514" t="s">
        <v>11703</v>
      </c>
      <c r="I517" s="1515" t="s">
        <v>64</v>
      </c>
      <c r="J517" s="1516" t="str">
        <f>CONCATENATE(C517,".",D517,".",E517)</f>
        <v>6.1.7</v>
      </c>
      <c r="K517" s="1516" t="s">
        <v>11715</v>
      </c>
      <c r="L517" s="1517" t="s">
        <v>25</v>
      </c>
      <c r="M517" s="1518" t="s">
        <v>11704</v>
      </c>
      <c r="N517" s="398" t="s">
        <v>11705</v>
      </c>
      <c r="O517" s="207" t="s">
        <v>11706</v>
      </c>
      <c r="P517" s="208" t="s">
        <v>27</v>
      </c>
      <c r="Q517" s="1472" t="s">
        <v>11704</v>
      </c>
    </row>
    <row r="518" spans="1:17">
      <c r="A518" s="1482"/>
      <c r="B518" s="1482"/>
      <c r="C518" s="1483">
        <f t="shared" si="93"/>
        <v>6</v>
      </c>
      <c r="D518" s="1492">
        <f t="shared" si="94"/>
        <v>1</v>
      </c>
      <c r="E518" s="1492">
        <f t="shared" si="95"/>
        <v>7</v>
      </c>
      <c r="F518" s="1484" t="s">
        <v>11708</v>
      </c>
      <c r="H518" s="1095"/>
      <c r="I518" s="780"/>
      <c r="J518" s="834"/>
      <c r="K518" s="780"/>
      <c r="L518" s="780"/>
      <c r="M518" s="1270"/>
      <c r="N518" s="400"/>
      <c r="O518" s="122"/>
      <c r="P518" s="123"/>
    </row>
    <row r="519" spans="1:17" ht="22.5">
      <c r="A519" s="1482"/>
      <c r="B519" s="1482"/>
      <c r="C519" s="1483">
        <f t="shared" si="93"/>
        <v>6</v>
      </c>
      <c r="D519" s="1492">
        <f t="shared" si="94"/>
        <v>1</v>
      </c>
      <c r="E519" s="1492">
        <f t="shared" si="95"/>
        <v>7</v>
      </c>
      <c r="F519" s="1484" t="s">
        <v>11708</v>
      </c>
      <c r="G519" s="968" t="s">
        <v>14221</v>
      </c>
      <c r="H519" s="823" t="str">
        <f>VLOOKUP(G519,TRAT.PRELIMINAR!A:M,2,0)</f>
        <v>SINAPI</v>
      </c>
      <c r="I519" s="700" t="str">
        <f>VLOOKUP(G519,TRAT.PRELIMINAR!A:M,3,0)</f>
        <v>74106/1</v>
      </c>
      <c r="J519" s="824"/>
      <c r="K519" s="790" t="str">
        <f>(IF(H519="Saneago",VLOOKUP(I519,'SANEAGO-FEV.2016'!A:B,2,0),IF(H519="Sinapi",VLOOKUP(I519,'SINAPI-FEV.2017'!A:D,2,0),IF(H519="Cotação",VLOOKUP(I519,COTAÇÃO!A:D,2,0),IF(H519="Composição",VLOOKUP(I519,COMPOSIÇÃO!A:D,2,0))))))</f>
        <v>IMPERMEABILIZACAO DE ESTRUTURAS ENTERRADAS, COM TINTA ASFALTICA, DUAS DEMAOS.</v>
      </c>
      <c r="L519" s="700" t="str">
        <f>(IF(H519="Saneago",VLOOKUP(I519,'SANEAGO-FEV.2016'!A:D,3,0),IF(H519="Sinapi",VLOOKUP(I519,'SINAPI-FEV.2017'!A:D,3,0),IF(H519="Cotação",VLOOKUP(I519,COTAÇÃO!A:D,3,0),IF(H519="Composição",VLOOKUP(I519,COMPOSIÇÃO!A:D,3,0))))))</f>
        <v>M2</v>
      </c>
      <c r="M519" s="870">
        <f>ROUND(VLOOKUP(G519,TRAT.PRELIMINAR!A:M,13,0),2)</f>
        <v>437.59</v>
      </c>
      <c r="N519" s="399">
        <v>0</v>
      </c>
      <c r="O519" s="102">
        <f>ROUND(IF(F519="Serviços",N519*(1+$O$7),IF(F519="Materiais",N519*(1+$O$8))),2)</f>
        <v>0</v>
      </c>
      <c r="P519" s="101">
        <f>ROUND(M519*O519,2)</f>
        <v>0</v>
      </c>
      <c r="Q519" s="1472">
        <v>437.59</v>
      </c>
    </row>
    <row r="520" spans="1:17" ht="22.5">
      <c r="A520" s="1482"/>
      <c r="B520" s="1482"/>
      <c r="C520" s="1483">
        <f t="shared" si="93"/>
        <v>6</v>
      </c>
      <c r="D520" s="1492">
        <f t="shared" ref="D520:E522" si="96">D519+A520</f>
        <v>1</v>
      </c>
      <c r="E520" s="1492">
        <f t="shared" si="96"/>
        <v>7</v>
      </c>
      <c r="F520" s="1484" t="s">
        <v>11708</v>
      </c>
      <c r="G520" s="968" t="s">
        <v>14284</v>
      </c>
      <c r="H520" s="823" t="str">
        <f>VLOOKUP(G520,TRAT.PRELIMINAR!A:M,2,0)</f>
        <v>Sinapi</v>
      </c>
      <c r="I520" s="700" t="str">
        <f>VLOOKUP(G520,TRAT.PRELIMINAR!A:M,3,0)</f>
        <v>73872/2</v>
      </c>
      <c r="J520" s="824"/>
      <c r="K520" s="790" t="str">
        <f>(IF(H520="Saneago",VLOOKUP(I520,'SANEAGO-FEV.2016'!A:B,2,0),IF(H520="Sinapi",VLOOKUP(I520,'SINAPI-FEV.2017'!A:D,2,0),IF(H520="Cotação",VLOOKUP(I520,COTAÇÃO!A:D,2,0),IF(H520="Composição",VLOOKUP(I520,COMPOSIÇÃO!A:D,2,0))))))</f>
        <v>IMPERMEABILIZACAO COM PINTURA A BASE DE RESINA EPOXI ALCATRAO, DUAS DEMAOS.</v>
      </c>
      <c r="L520" s="700" t="str">
        <f>(IF(H520="Saneago",VLOOKUP(I520,'SANEAGO-FEV.2016'!A:D,3,0),IF(H520="Sinapi",VLOOKUP(I520,'SINAPI-FEV.2017'!A:D,3,0),IF(H520="Cotação",VLOOKUP(I520,COTAÇÃO!A:D,3,0),IF(H520="Composição",VLOOKUP(I520,COMPOSIÇÃO!A:D,3,0))))))</f>
        <v>M2</v>
      </c>
      <c r="M520" s="870">
        <f>ROUND(VLOOKUP(G520,TRAT.PRELIMINAR!A:M,13,0),2)</f>
        <v>882.34</v>
      </c>
      <c r="N520" s="399">
        <v>0</v>
      </c>
      <c r="O520" s="102">
        <f>ROUND(IF(F520="Serviços",N520*(1+$O$7),IF(F520="Materiais",N520*(1+$O$8))),2)</f>
        <v>0</v>
      </c>
      <c r="P520" s="101">
        <f>ROUND(M520*O520,2)</f>
        <v>0</v>
      </c>
      <c r="Q520" s="1472">
        <v>882.34</v>
      </c>
    </row>
    <row r="521" spans="1:17" ht="22.5">
      <c r="A521" s="1482"/>
      <c r="B521" s="1482"/>
      <c r="C521" s="1483">
        <f t="shared" si="93"/>
        <v>6</v>
      </c>
      <c r="D521" s="1492">
        <f t="shared" si="96"/>
        <v>1</v>
      </c>
      <c r="E521" s="1492">
        <f t="shared" si="96"/>
        <v>7</v>
      </c>
      <c r="F521" s="1484" t="s">
        <v>11708</v>
      </c>
      <c r="G521" s="968" t="s">
        <v>14222</v>
      </c>
      <c r="H521" s="823" t="str">
        <f>VLOOKUP(G521,TRAT.PRELIMINAR!A:M,2,0)</f>
        <v>Sinapi</v>
      </c>
      <c r="I521" s="700">
        <f>VLOOKUP(G521,TRAT.PRELIMINAR!A:M,3,0)</f>
        <v>87372</v>
      </c>
      <c r="J521" s="824"/>
      <c r="K521" s="790" t="str">
        <f>(IF(H521="Saneago",VLOOKUP(I521,'SANEAGO-FEV.2016'!A:B,2,0),IF(H521="Sinapi",VLOOKUP(I521,'SINAPI-FEV.2017'!A:D,2,0),IF(H521="Cotação",VLOOKUP(I521,COTAÇÃO!A:D,2,0),IF(H521="Composição",VLOOKUP(I521,COMPOSIÇÃO!A:D,2,0))))))</f>
        <v>ARGAMASSA TRAÇO 1:3 (CIMENTO E AREIA MÉDIA) PARA CONTRAPISO, PREPARO MANUAL. AF_06/2014</v>
      </c>
      <c r="L521" s="700" t="str">
        <f>(IF(H521="Saneago",VLOOKUP(I521,'SANEAGO-FEV.2016'!A:D,3,0),IF(H521="Sinapi",VLOOKUP(I521,'SINAPI-FEV.2017'!A:D,3,0),IF(H521="Cotação",VLOOKUP(I521,COTAÇÃO!A:D,3,0),IF(H521="Composição",VLOOKUP(I521,COMPOSIÇÃO!A:D,3,0))))))</f>
        <v>M3</v>
      </c>
      <c r="M521" s="870">
        <f>ROUND(VLOOKUP(G521,TRAT.PRELIMINAR!A:M,13,0),2)</f>
        <v>110.47</v>
      </c>
      <c r="N521" s="399">
        <v>0</v>
      </c>
      <c r="O521" s="102">
        <f>ROUND(IF(F521="Serviços",N521*(1+$O$7),IF(F521="Materiais",N521*(1+$O$8))),2)</f>
        <v>0</v>
      </c>
      <c r="P521" s="101">
        <f>ROUND(M521*O521,2)</f>
        <v>0</v>
      </c>
      <c r="Q521" s="1472">
        <v>110.47</v>
      </c>
    </row>
    <row r="522" spans="1:17" ht="15.75" thickBot="1">
      <c r="A522" s="1482"/>
      <c r="B522" s="1482"/>
      <c r="C522" s="1483">
        <f t="shared" si="93"/>
        <v>6</v>
      </c>
      <c r="D522" s="1492">
        <f t="shared" si="96"/>
        <v>1</v>
      </c>
      <c r="E522" s="1492">
        <f t="shared" si="96"/>
        <v>7</v>
      </c>
      <c r="F522" s="1484" t="s">
        <v>11708</v>
      </c>
      <c r="G522" s="921"/>
      <c r="H522" s="1095"/>
      <c r="I522" s="780"/>
      <c r="J522" s="834"/>
      <c r="K522" s="780"/>
      <c r="L522" s="780"/>
      <c r="M522" s="1270"/>
      <c r="N522" s="400"/>
      <c r="O522" s="122"/>
      <c r="P522" s="123"/>
    </row>
    <row r="523" spans="1:17" ht="16.5" customHeight="1" thickTop="1" thickBot="1">
      <c r="A523" s="1482"/>
      <c r="B523" s="1482"/>
      <c r="C523" s="1483">
        <f t="shared" si="93"/>
        <v>6</v>
      </c>
      <c r="D523" s="1492">
        <f t="shared" si="94"/>
        <v>1</v>
      </c>
      <c r="E523" s="1492">
        <f t="shared" si="95"/>
        <v>7</v>
      </c>
      <c r="F523" s="1484" t="s">
        <v>11708</v>
      </c>
      <c r="G523" s="921"/>
      <c r="H523" s="1653" t="str">
        <f>"TOTAL ITEM: "&amp;J517 &amp;K517</f>
        <v>TOTAL ITEM: 6.1.7 REVESTIMENTOS E PINTURAS</v>
      </c>
      <c r="I523" s="1654"/>
      <c r="J523" s="1654"/>
      <c r="K523" s="1654"/>
      <c r="L523" s="1654"/>
      <c r="M523" s="1654"/>
      <c r="N523" s="1654"/>
      <c r="O523" s="1654"/>
      <c r="P523" s="210">
        <f>SUBTOTAL(9,P519:P521)</f>
        <v>0</v>
      </c>
    </row>
    <row r="524" spans="1:17" ht="15.75" thickTop="1">
      <c r="A524" s="1482"/>
      <c r="B524" s="1482"/>
      <c r="C524" s="1483">
        <f t="shared" si="93"/>
        <v>6</v>
      </c>
      <c r="D524" s="1492">
        <f t="shared" si="94"/>
        <v>1</v>
      </c>
      <c r="E524" s="1492">
        <f t="shared" si="95"/>
        <v>7</v>
      </c>
      <c r="F524" s="1484" t="s">
        <v>11708</v>
      </c>
      <c r="G524" s="921"/>
      <c r="H524" s="1095"/>
      <c r="I524" s="780"/>
      <c r="J524" s="834"/>
      <c r="K524" s="780"/>
      <c r="L524" s="780"/>
      <c r="M524" s="1270"/>
      <c r="N524" s="400"/>
      <c r="O524" s="122"/>
      <c r="P524" s="123"/>
    </row>
    <row r="525" spans="1:17">
      <c r="A525" s="1482"/>
      <c r="B525" s="1482">
        <v>1</v>
      </c>
      <c r="C525" s="1483">
        <f t="shared" si="93"/>
        <v>6</v>
      </c>
      <c r="D525" s="1492">
        <f t="shared" si="94"/>
        <v>1</v>
      </c>
      <c r="E525" s="1492">
        <f t="shared" si="95"/>
        <v>8</v>
      </c>
      <c r="F525" s="1484" t="s">
        <v>11708</v>
      </c>
      <c r="H525" s="1514" t="s">
        <v>11703</v>
      </c>
      <c r="I525" s="1515" t="s">
        <v>64</v>
      </c>
      <c r="J525" s="1516" t="str">
        <f>CONCATENATE(C525,".",D525,".",E525)</f>
        <v>6.1.8</v>
      </c>
      <c r="K525" s="1516" t="s">
        <v>20203</v>
      </c>
      <c r="L525" s="1517" t="s">
        <v>25</v>
      </c>
      <c r="M525" s="1518" t="s">
        <v>11704</v>
      </c>
      <c r="N525" s="398" t="s">
        <v>11705</v>
      </c>
      <c r="O525" s="207" t="s">
        <v>11706</v>
      </c>
      <c r="P525" s="208" t="s">
        <v>27</v>
      </c>
      <c r="Q525" s="1472" t="s">
        <v>11704</v>
      </c>
    </row>
    <row r="526" spans="1:17">
      <c r="A526" s="1482"/>
      <c r="B526" s="1482"/>
      <c r="C526" s="1483">
        <f t="shared" si="93"/>
        <v>6</v>
      </c>
      <c r="D526" s="1492">
        <f t="shared" si="94"/>
        <v>1</v>
      </c>
      <c r="E526" s="1492">
        <f t="shared" si="95"/>
        <v>8</v>
      </c>
      <c r="F526" s="1484" t="s">
        <v>11708</v>
      </c>
      <c r="H526" s="1095"/>
      <c r="I526" s="780"/>
      <c r="J526" s="834"/>
      <c r="K526" s="780"/>
      <c r="L526" s="780"/>
      <c r="M526" s="1270"/>
      <c r="N526" s="400"/>
      <c r="O526" s="122"/>
      <c r="P526" s="123"/>
    </row>
    <row r="527" spans="1:17" ht="22.5">
      <c r="A527" s="1482"/>
      <c r="B527" s="1482"/>
      <c r="C527" s="1483">
        <f t="shared" si="93"/>
        <v>6</v>
      </c>
      <c r="D527" s="1492">
        <f t="shared" si="94"/>
        <v>1</v>
      </c>
      <c r="E527" s="1492">
        <f t="shared" si="95"/>
        <v>8</v>
      </c>
      <c r="F527" s="1484" t="s">
        <v>11708</v>
      </c>
      <c r="G527" s="968" t="s">
        <v>14303</v>
      </c>
      <c r="H527" s="823" t="str">
        <f>VLOOKUP(G527,TRAT.PRELIMINAR!A:M,2,0)</f>
        <v>SINAPI</v>
      </c>
      <c r="I527" s="700" t="str">
        <f>VLOOKUP(G527,TRAT.PRELIMINAR!A:M,3,0)</f>
        <v>73923/3</v>
      </c>
      <c r="J527" s="824"/>
      <c r="K527" s="790" t="str">
        <f>(IF(H527="Saneago",VLOOKUP(I527,'SANEAGO-FEV.2016'!A:B,2,0),IF(H527="Sinapi",VLOOKUP(I527,'SINAPI-FEV.2017'!A:D,2,0),IF(H527="Cotação",VLOOKUP(I527,COTAÇÃO!A:D,2,0),IF(H527="Composição",VLOOKUP(I527,COMPOSIÇÃO!A:D,2,0))))))</f>
        <v>PISO CIMENTADO TRACO 1:3 (CIMENTO E AREIA), COM ACABAMENTO RUSTICO E FRISADO ESPESSURA 2CM, PREPARO MANUAL</v>
      </c>
      <c r="L527" s="700" t="str">
        <f>(IF(H527="Saneago",VLOOKUP(I527,'SANEAGO-FEV.2016'!A:D,3,0),IF(H527="Sinapi",VLOOKUP(I527,'SINAPI-FEV.2017'!A:D,3,0),IF(H527="Cotação",VLOOKUP(I527,COTAÇÃO!A:D,3,0),IF(H527="Composição",VLOOKUP(I527,COMPOSIÇÃO!A:D,3,0))))))</f>
        <v>M2</v>
      </c>
      <c r="M527" s="870">
        <f>ROUND(VLOOKUP(G527,TRAT.PRELIMINAR!A:M,13,0),2)</f>
        <v>201.6</v>
      </c>
      <c r="N527" s="399">
        <v>0</v>
      </c>
      <c r="O527" s="102">
        <f>ROUND(IF(F527="Serviços",N527*(1+$O$7),IF(F527="Materiais",N527*(1+$O$8))),2)</f>
        <v>0</v>
      </c>
      <c r="P527" s="101">
        <f>ROUND(M527*O527,2)</f>
        <v>0</v>
      </c>
      <c r="Q527" s="1472">
        <v>201.6</v>
      </c>
    </row>
    <row r="528" spans="1:17" ht="33.75">
      <c r="A528" s="1482"/>
      <c r="B528" s="1482"/>
      <c r="C528" s="1483">
        <f t="shared" si="93"/>
        <v>6</v>
      </c>
      <c r="D528" s="1492">
        <f t="shared" si="94"/>
        <v>1</v>
      </c>
      <c r="E528" s="1492">
        <f t="shared" si="95"/>
        <v>8</v>
      </c>
      <c r="F528" s="1484" t="s">
        <v>11708</v>
      </c>
      <c r="G528" s="968" t="s">
        <v>14304</v>
      </c>
      <c r="H528" s="823" t="str">
        <f>VLOOKUP(G528,TRAT.PRELIMINAR!A:M,2,0)</f>
        <v>SINAPI</v>
      </c>
      <c r="I528" s="700">
        <f>VLOOKUP(G528,TRAT.PRELIMINAR!A:M,3,0)</f>
        <v>94990</v>
      </c>
      <c r="J528" s="824"/>
      <c r="K528" s="790" t="str">
        <f>(IF(H528="Saneago",VLOOKUP(I528,'SANEAGO-FEV.2016'!A:B,2,0),IF(H528="Sinapi",VLOOKUP(I528,'SINAPI-FEV.2017'!A:D,2,0),IF(H528="Cotação",VLOOKUP(I528,COTAÇÃO!A:D,2,0),IF(H528="Composição",VLOOKUP(I528,COMPOSIÇÃO!A:D,2,0))))))</f>
        <v>EXECUÇÃO DE PASSEIO (CALÇADA) OU PISO DE CONCRETO COM CONCRETO MOLDADO IN LOCO, FEITO EM OBRA, ACABAMENTO CONVENCIONAL, NÃO ARMADO. AF_07/2016</v>
      </c>
      <c r="L528" s="700" t="str">
        <f>(IF(H528="Saneago",VLOOKUP(I528,'SANEAGO-FEV.2016'!A:D,3,0),IF(H528="Sinapi",VLOOKUP(I528,'SINAPI-FEV.2017'!A:D,3,0),IF(H528="Cotação",VLOOKUP(I528,COTAÇÃO!A:D,3,0),IF(H528="Composição",VLOOKUP(I528,COMPOSIÇÃO!A:D,3,0))))))</f>
        <v>M3</v>
      </c>
      <c r="M528" s="870">
        <f>ROUND(VLOOKUP(G528,TRAT.PRELIMINAR!A:M,13,0),2)</f>
        <v>10.08</v>
      </c>
      <c r="N528" s="399">
        <v>0</v>
      </c>
      <c r="O528" s="102">
        <f>ROUND(IF(F528="Serviços",N528*(1+$O$7),IF(F528="Materiais",N528*(1+$O$8))),2)</f>
        <v>0</v>
      </c>
      <c r="P528" s="101">
        <f>ROUND(M528*O528,2)</f>
        <v>0</v>
      </c>
      <c r="Q528" s="1472">
        <v>10.08</v>
      </c>
    </row>
    <row r="529" spans="1:17" ht="15.75" thickBot="1">
      <c r="A529" s="1482"/>
      <c r="B529" s="1482"/>
      <c r="C529" s="1483">
        <f t="shared" si="93"/>
        <v>6</v>
      </c>
      <c r="D529" s="1492">
        <f t="shared" si="94"/>
        <v>1</v>
      </c>
      <c r="E529" s="1492">
        <f t="shared" si="95"/>
        <v>8</v>
      </c>
      <c r="F529" s="1484" t="s">
        <v>11708</v>
      </c>
      <c r="H529" s="1095"/>
      <c r="I529" s="780"/>
      <c r="J529" s="834"/>
      <c r="K529" s="780"/>
      <c r="L529" s="780"/>
      <c r="M529" s="1270"/>
      <c r="N529" s="400"/>
      <c r="O529" s="122"/>
      <c r="P529" s="123"/>
    </row>
    <row r="530" spans="1:17" ht="16.5" customHeight="1" thickTop="1" thickBot="1">
      <c r="A530" s="1482"/>
      <c r="B530" s="1482"/>
      <c r="C530" s="1483">
        <f t="shared" si="93"/>
        <v>6</v>
      </c>
      <c r="D530" s="1492">
        <f t="shared" si="94"/>
        <v>1</v>
      </c>
      <c r="E530" s="1492">
        <f t="shared" si="95"/>
        <v>8</v>
      </c>
      <c r="F530" s="1484" t="s">
        <v>11708</v>
      </c>
      <c r="G530" s="921"/>
      <c r="H530" s="1653" t="str">
        <f>"TOTAL ITEM: "&amp;J525 &amp;K525</f>
        <v>TOTAL ITEM: 6.1.8 REGULARIZAÇÃO DE PISO</v>
      </c>
      <c r="I530" s="1654"/>
      <c r="J530" s="1654"/>
      <c r="K530" s="1654"/>
      <c r="L530" s="1654"/>
      <c r="M530" s="1654"/>
      <c r="N530" s="1654"/>
      <c r="O530" s="1654"/>
      <c r="P530" s="210">
        <f>SUBTOTAL(9,P527:P528)</f>
        <v>0</v>
      </c>
    </row>
    <row r="531" spans="1:17" ht="15.75" thickTop="1">
      <c r="A531" s="1482"/>
      <c r="B531" s="1482"/>
      <c r="C531" s="1483">
        <f t="shared" si="93"/>
        <v>6</v>
      </c>
      <c r="D531" s="1492">
        <f t="shared" si="94"/>
        <v>1</v>
      </c>
      <c r="E531" s="1492">
        <f t="shared" si="95"/>
        <v>8</v>
      </c>
      <c r="F531" s="1484" t="s">
        <v>11708</v>
      </c>
      <c r="G531" s="921"/>
      <c r="H531" s="1095"/>
      <c r="I531" s="780"/>
      <c r="J531" s="834"/>
      <c r="K531" s="780"/>
      <c r="L531" s="780"/>
      <c r="M531" s="1270"/>
      <c r="N531" s="400"/>
      <c r="O531" s="122"/>
      <c r="P531" s="123"/>
    </row>
    <row r="532" spans="1:17">
      <c r="A532" s="1482"/>
      <c r="B532" s="1482">
        <v>1</v>
      </c>
      <c r="C532" s="1483">
        <f t="shared" si="93"/>
        <v>6</v>
      </c>
      <c r="D532" s="1492">
        <f t="shared" si="94"/>
        <v>1</v>
      </c>
      <c r="E532" s="1492">
        <f t="shared" si="95"/>
        <v>9</v>
      </c>
      <c r="F532" s="1484" t="s">
        <v>11708</v>
      </c>
      <c r="G532" s="921"/>
      <c r="H532" s="1514" t="s">
        <v>11703</v>
      </c>
      <c r="I532" s="1515" t="s">
        <v>64</v>
      </c>
      <c r="J532" s="1516" t="str">
        <f>CONCATENATE(C532,".",D532,".",E532)</f>
        <v>6.1.9</v>
      </c>
      <c r="K532" s="1516" t="s">
        <v>11718</v>
      </c>
      <c r="L532" s="1517" t="s">
        <v>25</v>
      </c>
      <c r="M532" s="1518" t="s">
        <v>11704</v>
      </c>
      <c r="N532" s="398" t="s">
        <v>11705</v>
      </c>
      <c r="O532" s="207" t="s">
        <v>11706</v>
      </c>
      <c r="P532" s="208" t="s">
        <v>27</v>
      </c>
      <c r="Q532" s="1472" t="s">
        <v>11704</v>
      </c>
    </row>
    <row r="533" spans="1:17">
      <c r="A533" s="1482"/>
      <c r="B533" s="1482"/>
      <c r="C533" s="1483">
        <f t="shared" si="93"/>
        <v>6</v>
      </c>
      <c r="D533" s="1492">
        <f t="shared" si="94"/>
        <v>1</v>
      </c>
      <c r="E533" s="1492">
        <f t="shared" si="95"/>
        <v>9</v>
      </c>
      <c r="F533" s="1484" t="s">
        <v>11708</v>
      </c>
      <c r="H533" s="1095"/>
      <c r="I533" s="780"/>
      <c r="J533" s="834"/>
      <c r="K533" s="780"/>
      <c r="L533" s="780"/>
      <c r="M533" s="1270"/>
      <c r="N533" s="400"/>
      <c r="O533" s="122"/>
      <c r="P533" s="123"/>
    </row>
    <row r="534" spans="1:17" ht="23.25" customHeight="1">
      <c r="A534" s="1482"/>
      <c r="B534" s="1482"/>
      <c r="C534" s="1483">
        <f t="shared" si="93"/>
        <v>6</v>
      </c>
      <c r="D534" s="1492">
        <f t="shared" si="94"/>
        <v>1</v>
      </c>
      <c r="E534" s="1492">
        <f t="shared" si="95"/>
        <v>9</v>
      </c>
      <c r="F534" s="1484" t="s">
        <v>11708</v>
      </c>
      <c r="G534" s="1261" t="s">
        <v>14223</v>
      </c>
      <c r="H534" s="823" t="str">
        <f>VLOOKUP(G534,TRAT.PRELIMINAR!A:M,2,0)</f>
        <v>Sinapi</v>
      </c>
      <c r="I534" s="700">
        <f>VLOOKUP(G534,TRAT.PRELIMINAR!A:M,3,0)</f>
        <v>94216</v>
      </c>
      <c r="J534" s="824"/>
      <c r="K534" s="790" t="str">
        <f>(IF(H534="Saneago",VLOOKUP(I534,'SANEAGO-FEV.2016'!A:B,2,0),IF(H534="Sinapi",VLOOKUP(I534,'SINAPI-FEV.2017'!A:D,2,0),IF(H534="Cotação",VLOOKUP(I534,COTAÇÃO!A:D,2,0),IF(H534="Composição",VLOOKUP(I534,COMPOSIÇÃO!A:D,2,0))))))</f>
        <v>TELHAMENTO COM TELHA METÁLICA TERMOACÚSTICA E = 30 MM, COM ATÉ 2 ÁGUAS, INCLUSO IÇAMENTO. AF_06/2016</v>
      </c>
      <c r="L534" s="700" t="str">
        <f>(IF(H534="Saneago",VLOOKUP(I534,'SANEAGO-FEV.2016'!A:D,3,0),IF(H534="Sinapi",VLOOKUP(I534,'SINAPI-FEV.2017'!A:D,3,0),IF(H534="Cotação",VLOOKUP(I534,COTAÇÃO!A:D,3,0),IF(H534="Composição",VLOOKUP(I534,COMPOSIÇÃO!A:D,3,0))))))</f>
        <v>M2</v>
      </c>
      <c r="M534" s="870">
        <f>ROUND(VLOOKUP(G534,TRAT.PRELIMINAR!A:M,13,0),2)</f>
        <v>295.36</v>
      </c>
      <c r="N534" s="399">
        <v>0</v>
      </c>
      <c r="O534" s="102">
        <f>ROUND(IF(F534="Serviços",N534*(1+$O$7),IF(F534="Materiais",N534*(1+$O$8))),2)</f>
        <v>0</v>
      </c>
      <c r="P534" s="101">
        <f>ROUND(M534*O534,2)</f>
        <v>0</v>
      </c>
      <c r="Q534" s="1472">
        <v>295.36</v>
      </c>
    </row>
    <row r="535" spans="1:17" ht="17.25" customHeight="1">
      <c r="A535" s="1482"/>
      <c r="B535" s="1482"/>
      <c r="C535" s="1483">
        <f t="shared" si="93"/>
        <v>6</v>
      </c>
      <c r="D535" s="1492">
        <f>D534+A535</f>
        <v>1</v>
      </c>
      <c r="E535" s="1492">
        <f>E534+B535</f>
        <v>9</v>
      </c>
      <c r="F535" s="1484" t="s">
        <v>11708</v>
      </c>
      <c r="G535" s="1261" t="s">
        <v>14224</v>
      </c>
      <c r="H535" s="823" t="str">
        <f>VLOOKUP(G535,TRAT.PRELIMINAR!A:M,2,0)</f>
        <v>Sinapi</v>
      </c>
      <c r="I535" s="700" t="str">
        <f>VLOOKUP(G535,TRAT.PRELIMINAR!A:M,3,0)</f>
        <v>73970/2</v>
      </c>
      <c r="J535" s="824"/>
      <c r="K535" s="790" t="str">
        <f>(IF(H535="Saneago",VLOOKUP(I535,'SANEAGO-FEV.2016'!A:B,2,0),IF(H535="Sinapi",VLOOKUP(I535,'SINAPI-FEV.2017'!A:D,2,0),IF(H535="Cotação",VLOOKUP(I535,COTAÇÃO!A:D,2,0),IF(H535="Composição",VLOOKUP(I535,COMPOSIÇÃO!A:D,2,0))))))</f>
        <v>ESTRUTURA METALICA EM ACO ESTRUTURAL PERFIL I 6 X 3 3/8</v>
      </c>
      <c r="L535" s="700" t="str">
        <f>(IF(H535="Saneago",VLOOKUP(I535,'SANEAGO-FEV.2016'!A:D,3,0),IF(H535="Sinapi",VLOOKUP(I535,'SINAPI-FEV.2017'!A:D,3,0),IF(H535="Cotação",VLOOKUP(I535,COTAÇÃO!A:D,3,0),IF(H535="Composição",VLOOKUP(I535,COMPOSIÇÃO!A:D,3,0))))))</f>
        <v>KG</v>
      </c>
      <c r="M535" s="870">
        <f>ROUND(VLOOKUP(G535,TRAT.PRELIMINAR!A:M,13,0),2)</f>
        <v>3608</v>
      </c>
      <c r="N535" s="399">
        <v>0</v>
      </c>
      <c r="O535" s="102">
        <f>ROUND(IF(F535="Serviços",N535*(1+$O$7),IF(F535="Materiais",N535*(1+$O$8))),2)</f>
        <v>0</v>
      </c>
      <c r="P535" s="101">
        <f>ROUND(M535*O535,2)</f>
        <v>0</v>
      </c>
      <c r="Q535" s="1472">
        <v>3608</v>
      </c>
    </row>
    <row r="536" spans="1:17" ht="15.75" thickBot="1">
      <c r="A536" s="1482"/>
      <c r="B536" s="1482"/>
      <c r="C536" s="1483">
        <f t="shared" si="93"/>
        <v>6</v>
      </c>
      <c r="D536" s="1492">
        <f t="shared" si="94"/>
        <v>1</v>
      </c>
      <c r="E536" s="1492">
        <f t="shared" si="95"/>
        <v>9</v>
      </c>
      <c r="F536" s="1484" t="s">
        <v>11708</v>
      </c>
      <c r="G536" s="1261"/>
      <c r="H536" s="1095"/>
      <c r="I536" s="780"/>
      <c r="J536" s="834"/>
      <c r="K536" s="780"/>
      <c r="L536" s="780"/>
      <c r="M536" s="1270"/>
      <c r="N536" s="400"/>
      <c r="O536" s="122"/>
      <c r="P536" s="123"/>
    </row>
    <row r="537" spans="1:17" ht="16.5" customHeight="1" thickTop="1" thickBot="1">
      <c r="A537" s="1482"/>
      <c r="B537" s="1482"/>
      <c r="C537" s="1483">
        <f t="shared" si="93"/>
        <v>6</v>
      </c>
      <c r="D537" s="1492">
        <f t="shared" si="94"/>
        <v>1</v>
      </c>
      <c r="E537" s="1492">
        <f t="shared" si="95"/>
        <v>9</v>
      </c>
      <c r="F537" s="1484" t="s">
        <v>11708</v>
      </c>
      <c r="G537" s="1261"/>
      <c r="H537" s="1653" t="str">
        <f>"TOTAL ITEM: "&amp;J532 &amp;K532</f>
        <v>TOTAL ITEM: 6.1.9 COBERTURA</v>
      </c>
      <c r="I537" s="1654"/>
      <c r="J537" s="1654"/>
      <c r="K537" s="1654"/>
      <c r="L537" s="1654"/>
      <c r="M537" s="1654"/>
      <c r="N537" s="1654"/>
      <c r="O537" s="1654"/>
      <c r="P537" s="210">
        <f>SUBTOTAL(9,P534:P535)</f>
        <v>0</v>
      </c>
    </row>
    <row r="538" spans="1:17" ht="15.75" thickTop="1">
      <c r="A538" s="1482"/>
      <c r="B538" s="1482"/>
      <c r="C538" s="1483">
        <f t="shared" si="93"/>
        <v>6</v>
      </c>
      <c r="D538" s="1492">
        <f t="shared" si="94"/>
        <v>1</v>
      </c>
      <c r="E538" s="1492">
        <f t="shared" si="95"/>
        <v>9</v>
      </c>
      <c r="F538" s="1484" t="s">
        <v>11708</v>
      </c>
      <c r="G538" s="1261"/>
      <c r="H538" s="929"/>
      <c r="I538" s="1371"/>
      <c r="J538" s="1022"/>
      <c r="K538" s="1371"/>
      <c r="L538" s="1371"/>
      <c r="M538" s="1536"/>
      <c r="N538" s="394"/>
      <c r="O538" s="728"/>
      <c r="P538" s="95"/>
    </row>
    <row r="539" spans="1:17">
      <c r="A539" s="1482"/>
      <c r="B539" s="1482">
        <v>1</v>
      </c>
      <c r="C539" s="1483">
        <f t="shared" si="93"/>
        <v>6</v>
      </c>
      <c r="D539" s="1492">
        <f t="shared" si="94"/>
        <v>1</v>
      </c>
      <c r="E539" s="1492">
        <f t="shared" si="95"/>
        <v>10</v>
      </c>
      <c r="F539" s="1484" t="s">
        <v>11708</v>
      </c>
      <c r="G539" s="921"/>
      <c r="H539" s="1514" t="s">
        <v>11703</v>
      </c>
      <c r="I539" s="1515" t="s">
        <v>64</v>
      </c>
      <c r="J539" s="1516" t="str">
        <f>CONCATENATE(C539,".",D539,".",E539)</f>
        <v>6.1.10</v>
      </c>
      <c r="K539" s="1516" t="s">
        <v>11738</v>
      </c>
      <c r="L539" s="1517" t="s">
        <v>25</v>
      </c>
      <c r="M539" s="1518" t="s">
        <v>11704</v>
      </c>
      <c r="N539" s="398" t="s">
        <v>11705</v>
      </c>
      <c r="O539" s="207" t="s">
        <v>11706</v>
      </c>
      <c r="P539" s="208" t="s">
        <v>27</v>
      </c>
      <c r="Q539" s="1472" t="s">
        <v>11704</v>
      </c>
    </row>
    <row r="540" spans="1:17">
      <c r="A540" s="1482"/>
      <c r="B540" s="1482"/>
      <c r="C540" s="1483">
        <f t="shared" si="93"/>
        <v>6</v>
      </c>
      <c r="D540" s="1492">
        <f t="shared" si="94"/>
        <v>1</v>
      </c>
      <c r="E540" s="1492">
        <f t="shared" si="95"/>
        <v>10</v>
      </c>
      <c r="F540" s="1484" t="s">
        <v>11708</v>
      </c>
      <c r="H540" s="1095"/>
      <c r="I540" s="780"/>
      <c r="J540" s="834"/>
      <c r="K540" s="780"/>
      <c r="L540" s="780"/>
      <c r="M540" s="1270"/>
      <c r="N540" s="400"/>
      <c r="O540" s="122"/>
      <c r="P540" s="123"/>
    </row>
    <row r="541" spans="1:17">
      <c r="A541" s="1482"/>
      <c r="B541" s="1482"/>
      <c r="C541" s="1483">
        <f t="shared" si="93"/>
        <v>6</v>
      </c>
      <c r="D541" s="1492">
        <f>D540+A541</f>
        <v>1</v>
      </c>
      <c r="E541" s="1492">
        <f>E540+B541</f>
        <v>10</v>
      </c>
      <c r="F541" s="1484" t="s">
        <v>11708</v>
      </c>
      <c r="G541" s="921" t="s">
        <v>14302</v>
      </c>
      <c r="H541" s="823" t="str">
        <f>VLOOKUP(G541,TRAT.PRELIMINAR!A:M,2,0)</f>
        <v>Sinapi</v>
      </c>
      <c r="I541" s="700">
        <f>VLOOKUP(G541,TRAT.PRELIMINAR!A:M,3,0)</f>
        <v>9537</v>
      </c>
      <c r="J541" s="824"/>
      <c r="K541" s="790" t="str">
        <f>(IF(H541="Saneago",VLOOKUP(I541,'SANEAGO-FEV.2016'!A:B,2,0),IF(H541="Sinapi",VLOOKUP(I541,'SINAPI-FEV.2017'!A:D,2,0),IF(H541="Cotação",VLOOKUP(I541,COTAÇÃO!A:D,2,0),IF(H541="Composição",VLOOKUP(I541,COMPOSIÇÃO!A:D,2,0))))))</f>
        <v>LIMPEZA FINAL DA OBRA</v>
      </c>
      <c r="L541" s="700" t="str">
        <f>(IF(H541="Saneago",VLOOKUP(I541,'SANEAGO-FEV.2016'!A:D,3,0),IF(H541="Sinapi",VLOOKUP(I541,'SINAPI-FEV.2017'!A:D,3,0),IF(H541="Cotação",VLOOKUP(I541,COTAÇÃO!A:D,3,0),IF(H541="Composição",VLOOKUP(I541,COMPOSIÇÃO!A:D,3,0))))))</f>
        <v>M2</v>
      </c>
      <c r="M541" s="870">
        <f>ROUND(VLOOKUP(G541,TRAT.PRELIMINAR!A:M,13,0),2)</f>
        <v>781.22</v>
      </c>
      <c r="N541" s="399">
        <v>0</v>
      </c>
      <c r="O541" s="102">
        <f>ROUND(IF(F541="Serviços",N541*(1+$O$7),IF(F541="Materiais",N541*(1+$O$8))),2)</f>
        <v>0</v>
      </c>
      <c r="P541" s="101">
        <f>ROUND(M541*O541,2)</f>
        <v>0</v>
      </c>
      <c r="Q541" s="1472">
        <v>781.22</v>
      </c>
    </row>
    <row r="542" spans="1:17">
      <c r="A542" s="1482"/>
      <c r="B542" s="1482"/>
      <c r="C542" s="1483">
        <f t="shared" si="93"/>
        <v>6</v>
      </c>
      <c r="D542" s="1492">
        <f>D541+A542</f>
        <v>1</v>
      </c>
      <c r="E542" s="1492">
        <f>E541+B542</f>
        <v>10</v>
      </c>
      <c r="F542" s="1484" t="s">
        <v>11708</v>
      </c>
      <c r="G542" s="921" t="s">
        <v>14225</v>
      </c>
      <c r="H542" s="823" t="str">
        <f>VLOOKUP(G542,TRAT.PRELIMINAR!A:M,2,0)</f>
        <v>Composição</v>
      </c>
      <c r="I542" s="700" t="str">
        <f>VLOOKUP(G542,TRAT.PRELIMINAR!A:M,3,0)</f>
        <v>CP_TP.MAT.HIDR.</v>
      </c>
      <c r="J542" s="824"/>
      <c r="K542" s="790" t="str">
        <f>(IF(H542="Saneago",VLOOKUP(I542,'SANEAGO-FEV.2016'!A:B,2,0),IF(H542="Sinapi",VLOOKUP(I542,'SINAPI-FEV.2017'!A:D,2,0),IF(H542="Cotação",VLOOKUP(I542,COTAÇÃO!A:D,2,0),IF(H542="Composição",VLOOKUP(I542,COMPOSIÇÃO!A:D,2,0))))))</f>
        <v>MONTAGEM DE MATERIAL HIDRÁULICO  DO TRATAMENTO PRELIMINAR</v>
      </c>
      <c r="L542" s="700" t="str">
        <f>(IF(H542="Saneago",VLOOKUP(I542,'SANEAGO-FEV.2016'!A:D,3,0),IF(H542="Sinapi",VLOOKUP(I542,'SINAPI-FEV.2017'!A:D,3,0),IF(H542="Cotação",VLOOKUP(I542,COTAÇÃO!A:D,3,0),IF(H542="Composição",VLOOKUP(I542,COMPOSIÇÃO!A:D,3,0))))))</f>
        <v>um.</v>
      </c>
      <c r="M542" s="870">
        <f>ROUND(VLOOKUP(G542,TRAT.PRELIMINAR!A:M,13,0),2)</f>
        <v>1</v>
      </c>
      <c r="N542" s="399">
        <v>0</v>
      </c>
      <c r="O542" s="102">
        <f>ROUND(IF(F542="Serviços",N542*(1+$O$7),IF(F542="Materiais",N542*(1+$O$8))),2)</f>
        <v>0</v>
      </c>
      <c r="P542" s="101">
        <f>ROUND(M542*O542,2)</f>
        <v>0</v>
      </c>
      <c r="Q542" s="1472">
        <v>1</v>
      </c>
    </row>
    <row r="543" spans="1:17">
      <c r="A543" s="1482"/>
      <c r="B543" s="1482"/>
      <c r="C543" s="1483">
        <f t="shared" si="93"/>
        <v>6</v>
      </c>
      <c r="D543" s="1492">
        <f t="shared" si="94"/>
        <v>1</v>
      </c>
      <c r="E543" s="1492">
        <f t="shared" si="95"/>
        <v>10</v>
      </c>
      <c r="F543" s="1484" t="s">
        <v>11708</v>
      </c>
      <c r="G543" s="921" t="s">
        <v>14226</v>
      </c>
      <c r="H543" s="823" t="str">
        <f>VLOOKUP(G543,TRAT.PRELIMINAR!A:M,2,0)</f>
        <v>Composição</v>
      </c>
      <c r="I543" s="700" t="str">
        <f>VLOOKUP(G543,TRAT.PRELIMINAR!A:M,3,0)</f>
        <v>CP_TP.EQUIP.</v>
      </c>
      <c r="J543" s="824"/>
      <c r="K543" s="790" t="str">
        <f>(IF(H543="Saneago",VLOOKUP(I543,'SANEAGO-FEV.2016'!A:B,2,0),IF(H543="Sinapi",VLOOKUP(I543,'SINAPI-FEV.2017'!A:D,2,0),IF(H543="Cotação",VLOOKUP(I543,COTAÇÃO!A:D,2,0),IF(H543="Composição",VLOOKUP(I543,COMPOSIÇÃO!A:D,2,0))))))</f>
        <v>MONTAGEM DE EQUIPAMENTOS  DO TRATAMENTO PRELIMINAR</v>
      </c>
      <c r="L543" s="700" t="str">
        <f>(IF(H543="Saneago",VLOOKUP(I543,'SANEAGO-FEV.2016'!A:D,3,0),IF(H543="Sinapi",VLOOKUP(I543,'SINAPI-FEV.2017'!A:D,3,0),IF(H543="Cotação",VLOOKUP(I543,COTAÇÃO!A:D,3,0),IF(H543="Composição",VLOOKUP(I543,COMPOSIÇÃO!A:D,3,0))))))</f>
        <v>um.</v>
      </c>
      <c r="M543" s="870">
        <f>ROUND(VLOOKUP(G543,TRAT.PRELIMINAR!A:M,13,0),2)</f>
        <v>1</v>
      </c>
      <c r="N543" s="399">
        <v>0</v>
      </c>
      <c r="O543" s="102">
        <f>ROUND(IF(F543="Serviços",N543*(1+$O$7),IF(F543="Materiais",N543*(1+$O$8))),2)</f>
        <v>0</v>
      </c>
      <c r="P543" s="101">
        <f>ROUND(M543*O543,2)</f>
        <v>0</v>
      </c>
      <c r="Q543" s="1472">
        <v>1</v>
      </c>
    </row>
    <row r="544" spans="1:17">
      <c r="A544" s="1482"/>
      <c r="B544" s="1482"/>
      <c r="C544" s="1483">
        <f t="shared" si="93"/>
        <v>6</v>
      </c>
      <c r="D544" s="1492">
        <f t="shared" si="94"/>
        <v>1</v>
      </c>
      <c r="E544" s="1492">
        <f t="shared" si="95"/>
        <v>10</v>
      </c>
      <c r="F544" s="1484" t="s">
        <v>11708</v>
      </c>
      <c r="G544" s="921" t="s">
        <v>14227</v>
      </c>
      <c r="H544" s="823" t="str">
        <f>VLOOKUP(G544,TRAT.PRELIMINAR!A:M,2,0)</f>
        <v>Composição</v>
      </c>
      <c r="I544" s="700" t="str">
        <f>VLOOKUP(G544,TRAT.PRELIMINAR!A:M,3,0)</f>
        <v>CP_TP.MAT.ELÉTR.</v>
      </c>
      <c r="J544" s="824"/>
      <c r="K544" s="790" t="str">
        <f>(IF(H544="Saneago",VLOOKUP(I544,'SANEAGO-FEV.2016'!A:B,2,0),IF(H544="Sinapi",VLOOKUP(I544,'SINAPI-FEV.2017'!A:D,2,0),IF(H544="Cotação",VLOOKUP(I544,COTAÇÃO!A:D,2,0),IF(H544="Composição",VLOOKUP(I544,COMPOSIÇÃO!A:D,2,0))))))</f>
        <v>MONTAGEM DE MATERIAL ELÉTRICO DO TRATAMENTO PRELIMINAR</v>
      </c>
      <c r="L544" s="700" t="str">
        <f>(IF(H544="Saneago",VLOOKUP(I544,'SANEAGO-FEV.2016'!A:D,3,0),IF(H544="Sinapi",VLOOKUP(I544,'SINAPI-FEV.2017'!A:D,3,0),IF(H544="Cotação",VLOOKUP(I544,COTAÇÃO!A:D,3,0),IF(H544="Composição",VLOOKUP(I544,COMPOSIÇÃO!A:D,3,0))))))</f>
        <v>um.</v>
      </c>
      <c r="M544" s="870">
        <f>ROUND(VLOOKUP(G544,TRAT.PRELIMINAR!A:M,13,0),2)</f>
        <v>1</v>
      </c>
      <c r="N544" s="399">
        <v>0</v>
      </c>
      <c r="O544" s="102">
        <f>ROUND(IF(F544="Serviços",N544*(1+$O$7),IF(F544="Materiais",N544*(1+$O$8))),2)</f>
        <v>0</v>
      </c>
      <c r="P544" s="101">
        <f>ROUND(M544*O544,2)</f>
        <v>0</v>
      </c>
      <c r="Q544" s="1472">
        <v>1</v>
      </c>
    </row>
    <row r="545" spans="1:17" ht="15.75" thickBot="1">
      <c r="A545" s="1482"/>
      <c r="B545" s="1482"/>
      <c r="C545" s="1483">
        <f t="shared" si="93"/>
        <v>6</v>
      </c>
      <c r="D545" s="1492">
        <f t="shared" si="94"/>
        <v>1</v>
      </c>
      <c r="E545" s="1492">
        <f t="shared" si="95"/>
        <v>10</v>
      </c>
      <c r="F545" s="1484" t="s">
        <v>11708</v>
      </c>
      <c r="G545" s="921"/>
      <c r="H545" s="1095"/>
      <c r="I545" s="780"/>
      <c r="J545" s="834"/>
      <c r="K545" s="780"/>
      <c r="L545" s="780"/>
      <c r="M545" s="1270"/>
      <c r="N545" s="400"/>
      <c r="O545" s="122"/>
      <c r="P545" s="123"/>
    </row>
    <row r="546" spans="1:17" ht="16.5" customHeight="1" thickTop="1" thickBot="1">
      <c r="A546" s="1482"/>
      <c r="B546" s="1482"/>
      <c r="C546" s="1483">
        <f t="shared" si="93"/>
        <v>6</v>
      </c>
      <c r="D546" s="1492">
        <f t="shared" si="94"/>
        <v>1</v>
      </c>
      <c r="E546" s="1492">
        <f t="shared" si="95"/>
        <v>10</v>
      </c>
      <c r="F546" s="1484" t="s">
        <v>11708</v>
      </c>
      <c r="G546" s="921"/>
      <c r="H546" s="1653" t="str">
        <f>"TOTAL ITEM: "&amp;J539 &amp;K539</f>
        <v>TOTAL ITEM: 6.1.10 DIVERSOS</v>
      </c>
      <c r="I546" s="1654"/>
      <c r="J546" s="1654"/>
      <c r="K546" s="1654"/>
      <c r="L546" s="1654"/>
      <c r="M546" s="1654"/>
      <c r="N546" s="1654"/>
      <c r="O546" s="1654"/>
      <c r="P546" s="210">
        <f>SUBTOTAL(9,P541:P544)</f>
        <v>0</v>
      </c>
    </row>
    <row r="547" spans="1:17" ht="16.5" thickTop="1" thickBot="1">
      <c r="A547" s="1482"/>
      <c r="B547" s="1482"/>
      <c r="C547" s="1483">
        <f t="shared" si="93"/>
        <v>6</v>
      </c>
      <c r="D547" s="1492">
        <f t="shared" si="94"/>
        <v>1</v>
      </c>
      <c r="E547" s="1492">
        <f t="shared" si="95"/>
        <v>10</v>
      </c>
      <c r="F547" s="1484" t="s">
        <v>11708</v>
      </c>
      <c r="H547" s="1095"/>
      <c r="I547" s="780"/>
      <c r="J547" s="834"/>
      <c r="K547" s="780"/>
      <c r="L547" s="780"/>
      <c r="M547" s="1270"/>
      <c r="N547" s="400"/>
      <c r="O547" s="122"/>
      <c r="P547" s="123"/>
    </row>
    <row r="548" spans="1:17" ht="16.5" customHeight="1" thickTop="1" thickBot="1">
      <c r="A548" s="1482">
        <v>1</v>
      </c>
      <c r="B548" s="1482"/>
      <c r="C548" s="1483">
        <f t="shared" si="93"/>
        <v>6</v>
      </c>
      <c r="D548" s="1492">
        <f t="shared" si="94"/>
        <v>2</v>
      </c>
      <c r="E548" s="1492">
        <v>0</v>
      </c>
      <c r="F548" s="1484" t="s">
        <v>11708</v>
      </c>
      <c r="H548" s="1510" t="str">
        <f>CONCATENATE(C548,".",D548)</f>
        <v>6.2</v>
      </c>
      <c r="I548" s="1644" t="s">
        <v>14279</v>
      </c>
      <c r="J548" s="1644"/>
      <c r="K548" s="1644"/>
      <c r="L548" s="1644"/>
      <c r="M548" s="1644"/>
      <c r="N548" s="1644"/>
      <c r="O548" s="99" t="s">
        <v>11702</v>
      </c>
      <c r="P548" s="100">
        <f>SUBTOTAL(9,P552:P616)</f>
        <v>0</v>
      </c>
      <c r="Q548" s="1513"/>
    </row>
    <row r="549" spans="1:17" ht="15.75" thickTop="1">
      <c r="A549" s="1482"/>
      <c r="B549" s="1482"/>
      <c r="C549" s="1483">
        <f t="shared" si="93"/>
        <v>6</v>
      </c>
      <c r="D549" s="1492">
        <f t="shared" si="94"/>
        <v>2</v>
      </c>
      <c r="E549" s="1492">
        <f t="shared" si="95"/>
        <v>0</v>
      </c>
      <c r="F549" s="1484" t="s">
        <v>11708</v>
      </c>
      <c r="H549" s="789"/>
      <c r="I549" s="915"/>
      <c r="J549" s="1022"/>
      <c r="K549" s="915"/>
      <c r="L549" s="816"/>
      <c r="M549" s="874"/>
      <c r="N549" s="394"/>
      <c r="O549" s="98"/>
      <c r="P549" s="95"/>
    </row>
    <row r="550" spans="1:17" ht="15" hidden="1" customHeight="1">
      <c r="A550" s="1482"/>
      <c r="B550" s="1482">
        <v>1</v>
      </c>
      <c r="C550" s="1483">
        <f t="shared" si="93"/>
        <v>6</v>
      </c>
      <c r="D550" s="1492">
        <f t="shared" si="94"/>
        <v>2</v>
      </c>
      <c r="E550" s="1492">
        <f t="shared" si="95"/>
        <v>1</v>
      </c>
      <c r="F550" s="1484" t="s">
        <v>11708</v>
      </c>
      <c r="H550" s="1514" t="s">
        <v>11703</v>
      </c>
      <c r="I550" s="1515" t="s">
        <v>64</v>
      </c>
      <c r="J550" s="1516" t="str">
        <f>CONCATENATE(C550,".",D550,".",E550)</f>
        <v>6.2.1</v>
      </c>
      <c r="K550" s="1516" t="s">
        <v>11709</v>
      </c>
      <c r="L550" s="1517" t="s">
        <v>25</v>
      </c>
      <c r="M550" s="1518" t="s">
        <v>11704</v>
      </c>
      <c r="N550" s="398" t="s">
        <v>11705</v>
      </c>
      <c r="O550" s="207" t="s">
        <v>11706</v>
      </c>
      <c r="P550" s="208" t="s">
        <v>27</v>
      </c>
      <c r="Q550" s="1472" t="s">
        <v>11704</v>
      </c>
    </row>
    <row r="551" spans="1:17" ht="15" hidden="1" customHeight="1">
      <c r="A551" s="1482"/>
      <c r="B551" s="1482"/>
      <c r="C551" s="1483">
        <f t="shared" si="93"/>
        <v>6</v>
      </c>
      <c r="D551" s="1492">
        <f t="shared" si="94"/>
        <v>2</v>
      </c>
      <c r="E551" s="1492">
        <f t="shared" si="95"/>
        <v>1</v>
      </c>
      <c r="F551" s="1484" t="s">
        <v>11708</v>
      </c>
      <c r="H551" s="826"/>
      <c r="I551" s="790"/>
      <c r="J551" s="824"/>
      <c r="K551" s="790"/>
      <c r="L551" s="700"/>
      <c r="M551" s="870"/>
      <c r="N551" s="399"/>
      <c r="O551" s="121"/>
      <c r="P551" s="101"/>
    </row>
    <row r="552" spans="1:17" ht="27" hidden="1" customHeight="1">
      <c r="A552" s="1482"/>
      <c r="B552" s="1482"/>
      <c r="C552" s="1483">
        <f t="shared" si="93"/>
        <v>6</v>
      </c>
      <c r="D552" s="1492">
        <f t="shared" si="94"/>
        <v>2</v>
      </c>
      <c r="E552" s="1492">
        <f t="shared" si="95"/>
        <v>1</v>
      </c>
      <c r="F552" s="1484" t="s">
        <v>11708</v>
      </c>
      <c r="G552" s="862" t="s">
        <v>12540</v>
      </c>
      <c r="H552" s="823" t="str">
        <f>VLOOKUP(G552,'REATOR (x2)'!A:M,2,0)</f>
        <v>SINAPI</v>
      </c>
      <c r="I552" s="700" t="str">
        <f>VLOOKUP(G552,'REATOR (x2)'!A:M,3,0)</f>
        <v>73822/2</v>
      </c>
      <c r="J552" s="824"/>
      <c r="K552" s="790" t="str">
        <f>(IF(H552="Saneago",VLOOKUP(I552,'SANEAGO-FEV.2016'!A:B,2,0),IF(H552="Sinapi",VLOOKUP(I552,'SINAPI-FEV.2017'!A:D,2,0),IF(H552="Cotação",VLOOKUP(I552,COTAÇÃO!A:D,2,0),IF(H552="Composição",VLOOKUP(I552,COMPOSIÇÃO!A:D,2,0))))))</f>
        <v>LIMPEZA MECANIZADA DE TERRENO COM REMOCAO DE CAMADA VEGETAL, UTILIZANDO MOTONIVELADORA</v>
      </c>
      <c r="L552" s="700" t="str">
        <f>(IF(H552="Saneago",VLOOKUP(I552,'SANEAGO-FEV.2016'!A:D,3,0),IF(H552="Sinapi",VLOOKUP(I552,'SINAPI-FEV.2017'!A:D,3,0),IF(H552="Cotação",VLOOKUP(I552,COTAÇÃO!A:D,3,0),IF(H552="Composição",VLOOKUP(I552,COMPOSIÇÃO!A:D,3,0))))))</f>
        <v>M2</v>
      </c>
      <c r="M552" s="870">
        <f>ROUND(VLOOKUP(G552,'REATOR (x2)'!A:M,13,0),2)</f>
        <v>0</v>
      </c>
      <c r="N552" s="399">
        <f>(IF(H552="Saneago",VLOOKUP(I552,'SANEAGO-FEV.2016'!A:D,4,0),IF(H552="Sinapi",VLOOKUP(I552,'SINAPI-FEV.2017'!A:D,4,0),IF(H552="Cotação",VLOOKUP(I552,COTAÇÃO!A:D,4,0),IF(H552="Composição",VLOOKUP(I552,COMPOSIÇÃO!A:D,4,0))))))</f>
        <v>0.59</v>
      </c>
      <c r="O552" s="102">
        <f>ROUND(IF(F552="Serviços",N552*(1+$O$7),IF(F552="Materiais",N552*(1+$O$8))),2)</f>
        <v>0.72</v>
      </c>
      <c r="P552" s="101">
        <f>ROUND(M552*O552,2)</f>
        <v>0</v>
      </c>
      <c r="Q552" s="1472">
        <v>825</v>
      </c>
    </row>
    <row r="553" spans="1:17" ht="15.75" hidden="1" customHeight="1" thickBot="1">
      <c r="A553" s="1482"/>
      <c r="B553" s="1482"/>
      <c r="C553" s="1483">
        <f t="shared" si="93"/>
        <v>6</v>
      </c>
      <c r="D553" s="1492">
        <f>D552+A553</f>
        <v>2</v>
      </c>
      <c r="E553" s="1492">
        <f>E552+B553</f>
        <v>1</v>
      </c>
      <c r="F553" s="1484" t="s">
        <v>11708</v>
      </c>
      <c r="H553" s="823"/>
      <c r="I553" s="700"/>
      <c r="J553" s="824"/>
      <c r="K553" s="790"/>
      <c r="L553" s="700"/>
      <c r="M553" s="870"/>
      <c r="N553" s="399"/>
      <c r="O553" s="102"/>
      <c r="P553" s="101"/>
    </row>
    <row r="554" spans="1:17" ht="16.5" hidden="1" customHeight="1" thickTop="1" thickBot="1">
      <c r="A554" s="1482"/>
      <c r="B554" s="1482"/>
      <c r="C554" s="1483">
        <f t="shared" si="93"/>
        <v>6</v>
      </c>
      <c r="D554" s="1492">
        <f t="shared" si="94"/>
        <v>2</v>
      </c>
      <c r="E554" s="1492">
        <f t="shared" si="95"/>
        <v>1</v>
      </c>
      <c r="F554" s="1484" t="s">
        <v>11708</v>
      </c>
      <c r="H554" s="1538" t="str">
        <f>"TOTAL ITEM: "&amp;J550 &amp;K550</f>
        <v>TOTAL ITEM: 6.2.1 SERVIÇOS PRELIMINARES</v>
      </c>
      <c r="I554" s="1539"/>
      <c r="J554" s="1539"/>
      <c r="K554" s="1539"/>
      <c r="L554" s="1539"/>
      <c r="M554" s="1539"/>
      <c r="N554" s="718"/>
      <c r="O554" s="718"/>
      <c r="P554" s="210">
        <f>SUBTOTAL(9,P552:P552)</f>
        <v>0</v>
      </c>
    </row>
    <row r="555" spans="1:17" ht="15.75" hidden="1" customHeight="1" thickTop="1">
      <c r="A555" s="1482"/>
      <c r="B555" s="1482"/>
      <c r="C555" s="1483">
        <f t="shared" si="93"/>
        <v>6</v>
      </c>
      <c r="D555" s="1492">
        <f t="shared" si="94"/>
        <v>2</v>
      </c>
      <c r="E555" s="1492">
        <f t="shared" si="95"/>
        <v>1</v>
      </c>
      <c r="F555" s="1484" t="s">
        <v>11708</v>
      </c>
      <c r="H555" s="826"/>
      <c r="I555" s="790"/>
      <c r="J555" s="824"/>
      <c r="K555" s="790"/>
      <c r="L555" s="700"/>
      <c r="M555" s="870"/>
      <c r="N555" s="399"/>
      <c r="O555" s="121"/>
      <c r="P555" s="101"/>
    </row>
    <row r="556" spans="1:17" ht="15" hidden="1" customHeight="1">
      <c r="A556" s="1482"/>
      <c r="B556" s="1482"/>
      <c r="C556" s="1483">
        <f t="shared" si="93"/>
        <v>6</v>
      </c>
      <c r="D556" s="1492">
        <f t="shared" ref="D556:E559" si="97">D555+A556</f>
        <v>2</v>
      </c>
      <c r="E556" s="1492">
        <f t="shared" si="97"/>
        <v>1</v>
      </c>
      <c r="F556" s="1484" t="s">
        <v>11708</v>
      </c>
      <c r="G556" s="905"/>
      <c r="H556" s="1095"/>
      <c r="I556" s="780"/>
      <c r="J556" s="834"/>
      <c r="K556" s="780"/>
      <c r="L556" s="780"/>
      <c r="M556" s="1270"/>
      <c r="N556" s="400"/>
      <c r="O556" s="122"/>
      <c r="P556" s="123"/>
    </row>
    <row r="557" spans="1:17">
      <c r="A557" s="1482"/>
      <c r="B557" s="1482">
        <v>1</v>
      </c>
      <c r="C557" s="1483">
        <f t="shared" ref="C557:C630" si="98">C556</f>
        <v>6</v>
      </c>
      <c r="D557" s="1492">
        <f t="shared" si="97"/>
        <v>2</v>
      </c>
      <c r="E557" s="1492">
        <v>1</v>
      </c>
      <c r="F557" s="1484" t="s">
        <v>11708</v>
      </c>
      <c r="G557" s="862"/>
      <c r="H557" s="1514" t="s">
        <v>11703</v>
      </c>
      <c r="I557" s="1515" t="s">
        <v>64</v>
      </c>
      <c r="J557" s="1516" t="str">
        <f>CONCATENATE(C557,".",D557,".",E557)</f>
        <v>6.2.1</v>
      </c>
      <c r="K557" s="1516" t="s">
        <v>11714</v>
      </c>
      <c r="L557" s="1517" t="s">
        <v>25</v>
      </c>
      <c r="M557" s="1518" t="s">
        <v>11704</v>
      </c>
      <c r="N557" s="398" t="s">
        <v>11705</v>
      </c>
      <c r="O557" s="207" t="s">
        <v>11706</v>
      </c>
      <c r="P557" s="208" t="s">
        <v>27</v>
      </c>
      <c r="Q557" s="1472" t="s">
        <v>11704</v>
      </c>
    </row>
    <row r="558" spans="1:17">
      <c r="A558" s="1482"/>
      <c r="B558" s="1482"/>
      <c r="C558" s="1483">
        <f t="shared" si="98"/>
        <v>6</v>
      </c>
      <c r="D558" s="1492">
        <f t="shared" si="97"/>
        <v>2</v>
      </c>
      <c r="E558" s="1492">
        <f t="shared" si="97"/>
        <v>1</v>
      </c>
      <c r="F558" s="1484" t="s">
        <v>11708</v>
      </c>
      <c r="G558" s="905"/>
      <c r="H558" s="1095"/>
      <c r="I558" s="780"/>
      <c r="J558" s="834"/>
      <c r="K558" s="780"/>
      <c r="L558" s="780"/>
      <c r="M558" s="1270"/>
      <c r="N558" s="400"/>
      <c r="O558" s="122"/>
      <c r="P558" s="123"/>
    </row>
    <row r="559" spans="1:17" ht="45">
      <c r="A559" s="1482"/>
      <c r="B559" s="1482"/>
      <c r="C559" s="1483">
        <f t="shared" si="98"/>
        <v>6</v>
      </c>
      <c r="D559" s="1492">
        <f t="shared" si="97"/>
        <v>2</v>
      </c>
      <c r="E559" s="1492">
        <f t="shared" si="97"/>
        <v>1</v>
      </c>
      <c r="F559" s="1484" t="s">
        <v>11708</v>
      </c>
      <c r="G559" s="862" t="s">
        <v>20362</v>
      </c>
      <c r="H559" s="823" t="str">
        <f>VLOOKUP(G559,'REATOR (x2)'!A:M,2,0)</f>
        <v>SINAPI</v>
      </c>
      <c r="I559" s="700">
        <f>VLOOKUP(G559,'REATOR (x2)'!A:M,3,0)</f>
        <v>92415</v>
      </c>
      <c r="J559" s="824"/>
      <c r="K559" s="790" t="str">
        <f>(IF(H559="Saneago",VLOOKUP(I559,'SANEAGO-FEV.2016'!A:B,2,0),IF(H559="Sinapi",VLOOKUP(I559,'SINAPI-FEV.2017'!A:D,2,0),IF(H559="Cotação",VLOOKUP(I559,COTAÇÃO!A:D,2,0),IF(H559="Composição",VLOOKUP(I559,COMPOSIÇÃO!A:D,2,0))))))</f>
        <v>MONTAGEM E DESMONTAGEM DE FÔRMA DE PILARES RETANGULARES E ESTRUTURAS SIMILARES COM ÁREA MÉDIA DAS SEÇÕES MAIOR QUE 0,25 M², PÉ-DIREITO SIMPLES, EM CHAPA DE MADEIRA COMPENSADA RESINADA, 2 UTILIZAÇÕES. AF_12/2015</v>
      </c>
      <c r="L559" s="700" t="str">
        <f>(IF(H559="Saneago",VLOOKUP(I559,'SANEAGO-FEV.2016'!A:D,3,0),IF(H559="Sinapi",VLOOKUP(I559,'SINAPI-FEV.2017'!A:D,3,0),IF(H559="Cotação",VLOOKUP(I559,COTAÇÃO!A:D,3,0),IF(H559="Composição",VLOOKUP(I559,COMPOSIÇÃO!A:D,3,0))))))</f>
        <v>M2</v>
      </c>
      <c r="M559" s="870">
        <f>ROUND(VLOOKUP(G559,'REATOR (x2)'!A:M,13,0),2)</f>
        <v>1784.04</v>
      </c>
      <c r="N559" s="399">
        <v>0</v>
      </c>
      <c r="O559" s="102">
        <f t="shared" ref="O559:O564" si="99">ROUND(IF(F559="Serviços",N559*(1+$O$7),IF(F559="Materiais",N559*(1+$O$8))),2)</f>
        <v>0</v>
      </c>
      <c r="P559" s="101">
        <f t="shared" ref="P559:P564" si="100">ROUND(M559*O559,2)</f>
        <v>0</v>
      </c>
      <c r="Q559" s="1472">
        <v>1485.8</v>
      </c>
    </row>
    <row r="560" spans="1:17" ht="22.5">
      <c r="A560" s="1482"/>
      <c r="B560" s="1482"/>
      <c r="C560" s="1483">
        <f t="shared" si="98"/>
        <v>6</v>
      </c>
      <c r="D560" s="1492">
        <f t="shared" ref="D560:E564" si="101">D559+A560</f>
        <v>2</v>
      </c>
      <c r="E560" s="1492">
        <f t="shared" si="101"/>
        <v>1</v>
      </c>
      <c r="F560" s="1484" t="s">
        <v>11708</v>
      </c>
      <c r="G560" s="862" t="s">
        <v>20363</v>
      </c>
      <c r="H560" s="823" t="str">
        <f>VLOOKUP(G560,'REATOR (x2)'!A:M,2,0)</f>
        <v>SINAPI</v>
      </c>
      <c r="I560" s="700">
        <f>VLOOKUP(G560,'REATOR (x2)'!A:M,3,0)</f>
        <v>92452</v>
      </c>
      <c r="J560" s="824"/>
      <c r="K560" s="790" t="str">
        <f>(IF(H560="Saneago",VLOOKUP(I560,'SANEAGO-FEV.2016'!A:B,2,0),IF(H560="Sinapi",VLOOKUP(I560,'SINAPI-FEV.2017'!A:D,2,0),IF(H560="Cotação",VLOOKUP(I560,COTAÇÃO!A:D,2,0),IF(H560="Composição",VLOOKUP(I560,COMPOSIÇÃO!A:D,2,0))))))</f>
        <v>MONTAGEM E DESMONTAGEM DE FÔRMA DE VIGA, ESCORAMENTO METÁLICO, PÉ-DIREITO SIMPLES, EM CHAPA DE MADEIRA RESINADA, 2 UTILIZAÇÕES. AF_12/2015</v>
      </c>
      <c r="L560" s="700" t="str">
        <f>(IF(H560="Saneago",VLOOKUP(I560,'SANEAGO-FEV.2016'!A:D,3,0),IF(H560="Sinapi",VLOOKUP(I560,'SINAPI-FEV.2017'!A:D,3,0),IF(H560="Cotação",VLOOKUP(I560,COTAÇÃO!A:D,3,0),IF(H560="Composição",VLOOKUP(I560,COMPOSIÇÃO!A:D,3,0))))))</f>
        <v>M2</v>
      </c>
      <c r="M560" s="870">
        <f>ROUND(VLOOKUP(G560,'REATOR (x2)'!A:M,13,0),2)</f>
        <v>1999.76</v>
      </c>
      <c r="N560" s="399">
        <v>0</v>
      </c>
      <c r="O560" s="102">
        <f t="shared" si="99"/>
        <v>0</v>
      </c>
      <c r="P560" s="101">
        <f t="shared" si="100"/>
        <v>0</v>
      </c>
      <c r="Q560" s="1472">
        <v>1879.52</v>
      </c>
    </row>
    <row r="561" spans="1:17" ht="33.75">
      <c r="A561" s="1482"/>
      <c r="B561" s="1482"/>
      <c r="C561" s="1483">
        <f t="shared" si="98"/>
        <v>6</v>
      </c>
      <c r="D561" s="1492">
        <f>D560+A561</f>
        <v>2</v>
      </c>
      <c r="E561" s="1492">
        <f>E560+B561</f>
        <v>1</v>
      </c>
      <c r="F561" s="1484" t="s">
        <v>11708</v>
      </c>
      <c r="G561" s="862" t="s">
        <v>14306</v>
      </c>
      <c r="H561" s="823" t="str">
        <f>VLOOKUP(G561,'REATOR (x2)'!A:M,2,0)</f>
        <v>SINAPI</v>
      </c>
      <c r="I561" s="700">
        <f>VLOOKUP(G561,'REATOR (x2)'!A:M,3,0)</f>
        <v>92508</v>
      </c>
      <c r="J561" s="824"/>
      <c r="K561" s="790" t="str">
        <f>(IF(H561="Saneago",VLOOKUP(I561,'SANEAGO-FEV.2016'!A:B,2,0),IF(H561="Sinapi",VLOOKUP(I561,'SINAPI-FEV.2017'!A:D,2,0),IF(H561="Cotação",VLOOKUP(I561,COTAÇÃO!A:D,2,0),IF(H561="Composição",VLOOKUP(I561,COMPOSIÇÃO!A:D,2,0))))))</f>
        <v>MONTAGEM E DESMONTAGEM DE FÔRMA DE LAJE MACIÇA COM ÁREA MÉDIA MAIOR QUE 20 M², PÉ-DIREITO DUPLO, EM CHAPA DE MADEIRA COMPENSADA RESINADA, 2 UTILIZAÇÕES. AF_12/2015</v>
      </c>
      <c r="L561" s="700" t="str">
        <f>(IF(H561="Saneago",VLOOKUP(I561,'SANEAGO-FEV.2016'!A:D,3,0),IF(H561="Sinapi",VLOOKUP(I561,'SINAPI-FEV.2017'!A:D,3,0),IF(H561="Cotação",VLOOKUP(I561,COTAÇÃO!A:D,3,0),IF(H561="Composição",VLOOKUP(I561,COMPOSIÇÃO!A:D,3,0))))))</f>
        <v>M2</v>
      </c>
      <c r="M561" s="870">
        <f>ROUND(VLOOKUP(G561,'REATOR (x2)'!A:M,13,0),2)</f>
        <v>1172.56</v>
      </c>
      <c r="N561" s="399">
        <v>0</v>
      </c>
      <c r="O561" s="102">
        <f>ROUND(IF(F561="Serviços",N561*(1+$O$7),IF(F561="Materiais",N561*(1+$O$8))),2)</f>
        <v>0</v>
      </c>
      <c r="P561" s="101">
        <f>ROUND(M561*O561,2)</f>
        <v>0</v>
      </c>
    </row>
    <row r="562" spans="1:17" ht="18" customHeight="1">
      <c r="A562" s="1482"/>
      <c r="B562" s="1482"/>
      <c r="C562" s="1483">
        <f t="shared" si="98"/>
        <v>6</v>
      </c>
      <c r="D562" s="1492">
        <f>D561+A562</f>
        <v>2</v>
      </c>
      <c r="E562" s="1492">
        <f>E561+B562</f>
        <v>1</v>
      </c>
      <c r="F562" s="1484" t="s">
        <v>11708</v>
      </c>
      <c r="G562" s="862" t="s">
        <v>14307</v>
      </c>
      <c r="H562" s="823" t="str">
        <f>VLOOKUP(G562,'REATOR (x2)'!A:M,2,0)</f>
        <v>Saneago</v>
      </c>
      <c r="I562" s="700">
        <f>VLOOKUP(G562,'REATOR (x2)'!A:M,3,0)</f>
        <v>286</v>
      </c>
      <c r="J562" s="824"/>
      <c r="K562" s="790" t="str">
        <f>(IF(H562="Saneago",VLOOKUP(I562,'SANEAGO-FEV.2016'!A:B,2,0),IF(H562="Sinapi",VLOOKUP(I562,'SINAPI-FEV.2017'!A:D,2,0),IF(H562="Cotação",VLOOKUP(I562,COTAÇÃO!A:D,2,0),IF(H562="Composição",VLOOKUP(I562,COMPOSIÇÃO!A:D,2,0))))))</f>
        <v>ESTACAS CONCRETO  A TRADO FCK=135KG/CM2 COM 20KG FER/M3 DN 30CM</v>
      </c>
      <c r="L562" s="700" t="str">
        <f>(IF(H562="Saneago",VLOOKUP(I562,'SANEAGO-FEV.2016'!A:D,3,0),IF(H562="Sinapi",VLOOKUP(I562,'SINAPI-FEV.2017'!A:D,3,0),IF(H562="Cotação",VLOOKUP(I562,COTAÇÃO!A:D,3,0),IF(H562="Composição",VLOOKUP(I562,COMPOSIÇÃO!A:D,3,0))))))</f>
        <v>M</v>
      </c>
      <c r="M562" s="870">
        <f>ROUND(VLOOKUP(G562,'REATOR (x2)'!A:M,13,0),2)</f>
        <v>24</v>
      </c>
      <c r="N562" s="399">
        <v>0</v>
      </c>
      <c r="O562" s="102">
        <f t="shared" si="99"/>
        <v>0</v>
      </c>
      <c r="P562" s="101">
        <f t="shared" si="100"/>
        <v>0</v>
      </c>
      <c r="Q562" s="1472">
        <v>24</v>
      </c>
    </row>
    <row r="563" spans="1:17" ht="22.5">
      <c r="A563" s="1482"/>
      <c r="B563" s="1482"/>
      <c r="C563" s="1483">
        <f t="shared" si="98"/>
        <v>6</v>
      </c>
      <c r="D563" s="1492">
        <f t="shared" si="101"/>
        <v>2</v>
      </c>
      <c r="E563" s="1492">
        <f t="shared" si="101"/>
        <v>1</v>
      </c>
      <c r="F563" s="1484" t="s">
        <v>11708</v>
      </c>
      <c r="G563" s="862" t="s">
        <v>12675</v>
      </c>
      <c r="H563" s="823" t="str">
        <f>VLOOKUP(G563,'REATOR (x2)'!A:M,2,0)</f>
        <v>Saneago</v>
      </c>
      <c r="I563" s="700">
        <f>VLOOKUP(G563,'REATOR (x2)'!A:M,3,0)</f>
        <v>316</v>
      </c>
      <c r="J563" s="824"/>
      <c r="K563" s="790" t="str">
        <f>(IF(H563="Saneago",VLOOKUP(I563,'SANEAGO-FEV.2016'!A:B,2,0),IF(H563="Sinapi",VLOOKUP(I563,'SINAPI-FEV.2017'!A:D,2,0),IF(H563="Cotação",VLOOKUP(I563,COTAÇÃO!A:D,2,0),IF(H563="Composição",VLOOKUP(I563,COMPOSIÇÃO!A:D,2,0))))))</f>
        <v>CONCRETO  ESTRUTURAL USINADO BOMBEADO  FCK=40 MPA, COM ADIÇÃO DE 8 À 10% DE MICROSSÍLICA (INCLUINDO  LANÇAMENTO, APLICAÇÃO  E ADENSAMENTO)</v>
      </c>
      <c r="L563" s="700" t="str">
        <f>(IF(H563="Saneago",VLOOKUP(I563,'SANEAGO-FEV.2016'!A:D,3,0),IF(H563="Sinapi",VLOOKUP(I563,'SINAPI-FEV.2017'!A:D,3,0),IF(H563="Cotação",VLOOKUP(I563,COTAÇÃO!A:D,3,0),IF(H563="Composição",VLOOKUP(I563,COMPOSIÇÃO!A:D,3,0))))))</f>
        <v>M3</v>
      </c>
      <c r="M563" s="870">
        <f>ROUND(VLOOKUP(G563,'REATOR (x2)'!A:M,13,0),2)</f>
        <v>529.66</v>
      </c>
      <c r="N563" s="399">
        <v>0</v>
      </c>
      <c r="O563" s="102">
        <f t="shared" si="99"/>
        <v>0</v>
      </c>
      <c r="P563" s="101">
        <f t="shared" si="100"/>
        <v>0</v>
      </c>
      <c r="Q563" s="1472">
        <v>476.58</v>
      </c>
    </row>
    <row r="564" spans="1:17" ht="45">
      <c r="A564" s="1482"/>
      <c r="B564" s="1482"/>
      <c r="C564" s="1483">
        <f t="shared" si="98"/>
        <v>6</v>
      </c>
      <c r="D564" s="1492">
        <f t="shared" si="101"/>
        <v>2</v>
      </c>
      <c r="E564" s="1492">
        <f t="shared" si="101"/>
        <v>1</v>
      </c>
      <c r="F564" s="1484" t="s">
        <v>11708</v>
      </c>
      <c r="G564" s="912" t="s">
        <v>20372</v>
      </c>
      <c r="H564" s="823" t="str">
        <f>VLOOKUP(G564,'REATOR (x2)'!A:M,2,0)</f>
        <v>SINAPI</v>
      </c>
      <c r="I564" s="700">
        <f>VLOOKUP(G564,'REATOR (x2)'!A:M,3,0)</f>
        <v>92915</v>
      </c>
      <c r="J564" s="824"/>
      <c r="K564" s="790" t="str">
        <f>(IF(H564="Saneago",VLOOKUP(I564,'SANEAGO-FEV.2016'!A:B,2,0),IF(H564="Sinapi",VLOOKUP(I564,'SINAPI-FEV.2017'!A:D,2,0),IF(H564="Cotação",VLOOKUP(I564,COTAÇÃO!A:D,2,0),IF(H564="Composição",VLOOKUP(I564,COMPOSIÇÃO!A:D,2,0))))))</f>
        <v>ARMAÇÃO DE ESTRUTURAS DE CONCRETO ARMADO, EXCETO VIGAS, PILARES, LAJES E FUNDAÇÕES PROFUNDAS (DE EDIFÍCIOS DE MÚLTIPLOS PAVIMENTOS, EDIFICAÇÃO TÉRREA OU SOBRADO), UTILIZANDO AÇO CA-60 DE 5.0 MM - MONTAGEM. AF_12/2015</v>
      </c>
      <c r="L564" s="700" t="str">
        <f>(IF(H564="Saneago",VLOOKUP(I564,'SANEAGO-FEV.2016'!A:D,3,0),IF(H564="Sinapi",VLOOKUP(I564,'SINAPI-FEV.2017'!A:D,3,0),IF(H564="Cotação",VLOOKUP(I564,COTAÇÃO!A:D,3,0),IF(H564="Composição",VLOOKUP(I564,COMPOSIÇÃO!A:D,3,0))))))</f>
        <v>KG</v>
      </c>
      <c r="M564" s="870">
        <f>ROUND(VLOOKUP(G564,'REATOR (x2)'!A:M,13,0),2)</f>
        <v>1344.11</v>
      </c>
      <c r="N564" s="399">
        <v>0</v>
      </c>
      <c r="O564" s="102">
        <f t="shared" si="99"/>
        <v>0</v>
      </c>
      <c r="P564" s="101">
        <f t="shared" si="100"/>
        <v>0</v>
      </c>
      <c r="Q564" s="1472">
        <v>1262</v>
      </c>
    </row>
    <row r="565" spans="1:17" ht="45">
      <c r="A565" s="1482"/>
      <c r="B565" s="1482"/>
      <c r="C565" s="1483">
        <f t="shared" si="98"/>
        <v>6</v>
      </c>
      <c r="D565" s="1492">
        <f t="shared" ref="D565:D572" si="102">D564+A565</f>
        <v>2</v>
      </c>
      <c r="E565" s="1492">
        <f t="shared" ref="E565:E572" si="103">E564+B565</f>
        <v>1</v>
      </c>
      <c r="F565" s="1484" t="s">
        <v>11708</v>
      </c>
      <c r="G565" s="912" t="s">
        <v>20373</v>
      </c>
      <c r="H565" s="823" t="str">
        <f>VLOOKUP(G565,'REATOR (x2)'!A:M,2,0)</f>
        <v>SINAPI</v>
      </c>
      <c r="I565" s="700">
        <f>VLOOKUP(G565,'REATOR (x2)'!A:M,3,0)</f>
        <v>92916</v>
      </c>
      <c r="J565" s="824"/>
      <c r="K565" s="790" t="str">
        <f>(IF(H565="Saneago",VLOOKUP(I565,'SANEAGO-FEV.2016'!A:B,2,0),IF(H565="Sinapi",VLOOKUP(I565,'SINAPI-FEV.2017'!A:D,2,0),IF(H565="Cotação",VLOOKUP(I565,COTAÇÃO!A:D,2,0),IF(H565="Composição",VLOOKUP(I565,COMPOSIÇÃO!A:D,2,0))))))</f>
        <v>ARMAÇÃO DE ESTRUTURAS DE CONCRETO ARMADO, EXCETO VIGAS, PILARES, LAJES E FUNDAÇÕES PROFUNDAS (DE EDIFÍCIOS DE MÚLTIPLOS PAVIMENTOS, EDIFICAÇÃO TÉRREA OU SOBRADO), UTILIZANDO AÇO CA-50 DE 6.3 MM - MONTAGEM. AF_12/2015</v>
      </c>
      <c r="L565" s="700" t="str">
        <f>(IF(H565="Saneago",VLOOKUP(I565,'SANEAGO-FEV.2016'!A:D,3,0),IF(H565="Sinapi",VLOOKUP(I565,'SINAPI-FEV.2017'!A:D,3,0),IF(H565="Cotação",VLOOKUP(I565,COTAÇÃO!A:D,3,0),IF(H565="Composição",VLOOKUP(I565,COMPOSIÇÃO!A:D,3,0))))))</f>
        <v>KG</v>
      </c>
      <c r="M565" s="870">
        <f>ROUND(VLOOKUP(G565,'REATOR (x2)'!A:M,13,0),2)</f>
        <v>7383.5</v>
      </c>
      <c r="N565" s="399">
        <v>0</v>
      </c>
      <c r="O565" s="102">
        <f t="shared" ref="O565:O570" si="104">ROUND(IF(F565="Serviços",N565*(1+$O$7),IF(F565="Materiais",N565*(1+$O$8))),2)</f>
        <v>0</v>
      </c>
      <c r="P565" s="101">
        <f t="shared" ref="P565:P570" si="105">ROUND(M565*O565,2)</f>
        <v>0</v>
      </c>
      <c r="Q565" s="1472">
        <v>9101.0400000000009</v>
      </c>
    </row>
    <row r="566" spans="1:17" ht="45">
      <c r="A566" s="1482"/>
      <c r="B566" s="1482"/>
      <c r="C566" s="1483">
        <f t="shared" si="98"/>
        <v>6</v>
      </c>
      <c r="D566" s="1492">
        <f t="shared" si="102"/>
        <v>2</v>
      </c>
      <c r="E566" s="1492">
        <f t="shared" si="103"/>
        <v>1</v>
      </c>
      <c r="F566" s="1484" t="s">
        <v>11708</v>
      </c>
      <c r="G566" s="912" t="s">
        <v>20374</v>
      </c>
      <c r="H566" s="823" t="str">
        <f>VLOOKUP(G566,'REATOR (x2)'!A:M,2,0)</f>
        <v>SINAPI</v>
      </c>
      <c r="I566" s="700">
        <f>VLOOKUP(G566,'REATOR (x2)'!A:M,3,0)</f>
        <v>92917</v>
      </c>
      <c r="J566" s="824"/>
      <c r="K566" s="790" t="str">
        <f>(IF(H566="Saneago",VLOOKUP(I566,'SANEAGO-FEV.2016'!A:B,2,0),IF(H566="Sinapi",VLOOKUP(I566,'SINAPI-FEV.2017'!A:D,2,0),IF(H566="Cotação",VLOOKUP(I566,COTAÇÃO!A:D,2,0),IF(H566="Composição",VLOOKUP(I566,COMPOSIÇÃO!A:D,2,0))))))</f>
        <v>ARMAÇÃO DE ESTRUTURAS DE CONCRETO ARMADO, EXCETO VIGAS, PILARES, LAJES E FUNDAÇÕES PROFUNDAS (DE EDIFÍCIOS DE MÚLTIPLOS PAVIMENTOS, EDIFICAÇÃO TÉRREA OU SOBRADO), UTILIZANDO AÇO CA-50 DE 8.0 MM - MONTAGEM. AF_12/2015</v>
      </c>
      <c r="L566" s="700" t="str">
        <f>(IF(H566="Saneago",VLOOKUP(I566,'SANEAGO-FEV.2016'!A:D,3,0),IF(H566="Sinapi",VLOOKUP(I566,'SINAPI-FEV.2017'!A:D,3,0),IF(H566="Cotação",VLOOKUP(I566,COTAÇÃO!A:D,3,0),IF(H566="Composição",VLOOKUP(I566,COMPOSIÇÃO!A:D,3,0))))))</f>
        <v>KG</v>
      </c>
      <c r="M566" s="870">
        <f>ROUND(VLOOKUP(G566,'REATOR (x2)'!A:M,13,0),2)</f>
        <v>4116.8999999999996</v>
      </c>
      <c r="N566" s="399">
        <v>0</v>
      </c>
      <c r="O566" s="102">
        <f t="shared" si="104"/>
        <v>0</v>
      </c>
      <c r="P566" s="101">
        <f t="shared" si="105"/>
        <v>0</v>
      </c>
      <c r="Q566" s="1472">
        <v>4484.1000000000004</v>
      </c>
    </row>
    <row r="567" spans="1:17" ht="45">
      <c r="A567" s="1482"/>
      <c r="B567" s="1482"/>
      <c r="C567" s="1483">
        <f t="shared" si="98"/>
        <v>6</v>
      </c>
      <c r="D567" s="1492">
        <f t="shared" si="102"/>
        <v>2</v>
      </c>
      <c r="E567" s="1492">
        <f t="shared" si="103"/>
        <v>1</v>
      </c>
      <c r="F567" s="1484" t="s">
        <v>11708</v>
      </c>
      <c r="G567" s="912" t="s">
        <v>20375</v>
      </c>
      <c r="H567" s="823" t="str">
        <f>VLOOKUP(G567,'REATOR (x2)'!A:M,2,0)</f>
        <v>SINAPI</v>
      </c>
      <c r="I567" s="700">
        <f>VLOOKUP(G567,'REATOR (x2)'!A:M,3,0)</f>
        <v>92919</v>
      </c>
      <c r="J567" s="824"/>
      <c r="K567" s="790" t="str">
        <f>(IF(H567="Saneago",VLOOKUP(I567,'SANEAGO-FEV.2016'!A:B,2,0),IF(H567="Sinapi",VLOOKUP(I567,'SINAPI-FEV.2017'!A:D,2,0),IF(H567="Cotação",VLOOKUP(I567,COTAÇÃO!A:D,2,0),IF(H567="Composição",VLOOKUP(I567,COMPOSIÇÃO!A:D,2,0))))))</f>
        <v>ARMAÇÃO DE ESTRUTURAS DE CONCRETO ARMADO, EXCETO VIGAS, PILARES, LAJES E FUNDAÇÕES PROFUNDAS (DE EDIFÍCIOS DE MÚLTIPLOS PAVIMENTOS, EDIFICAÇÃO TÉRREA OU SOBRADO), UTILIZANDO AÇO CA-50 DE 10.0 MM - MONTAGEM. AF_12/2015</v>
      </c>
      <c r="L567" s="700" t="str">
        <f>(IF(H567="Saneago",VLOOKUP(I567,'SANEAGO-FEV.2016'!A:D,3,0),IF(H567="Sinapi",VLOOKUP(I567,'SINAPI-FEV.2017'!A:D,3,0),IF(H567="Cotação",VLOOKUP(I567,COTAÇÃO!A:D,3,0),IF(H567="Composição",VLOOKUP(I567,COMPOSIÇÃO!A:D,3,0))))))</f>
        <v>KG</v>
      </c>
      <c r="M567" s="870">
        <f>ROUND(VLOOKUP(G567,'REATOR (x2)'!A:M,13,0),2)</f>
        <v>809.22</v>
      </c>
      <c r="N567" s="399">
        <v>0</v>
      </c>
      <c r="O567" s="102">
        <f t="shared" si="104"/>
        <v>0</v>
      </c>
      <c r="P567" s="101">
        <f t="shared" si="105"/>
        <v>0</v>
      </c>
      <c r="Q567" s="1472">
        <v>1906.5</v>
      </c>
    </row>
    <row r="568" spans="1:17" ht="45">
      <c r="A568" s="1482"/>
      <c r="B568" s="1482"/>
      <c r="C568" s="1483">
        <f t="shared" si="98"/>
        <v>6</v>
      </c>
      <c r="D568" s="1492">
        <f t="shared" si="102"/>
        <v>2</v>
      </c>
      <c r="E568" s="1492">
        <f t="shared" si="103"/>
        <v>1</v>
      </c>
      <c r="F568" s="1484" t="s">
        <v>11708</v>
      </c>
      <c r="G568" s="912" t="s">
        <v>20376</v>
      </c>
      <c r="H568" s="823" t="str">
        <f>VLOOKUP(G568,'REATOR (x2)'!A:M,2,0)</f>
        <v>SINAPI</v>
      </c>
      <c r="I568" s="700">
        <f>VLOOKUP(G568,'REATOR (x2)'!A:M,3,0)</f>
        <v>92921</v>
      </c>
      <c r="J568" s="824"/>
      <c r="K568" s="790" t="str">
        <f>(IF(H568="Saneago",VLOOKUP(I568,'SANEAGO-FEV.2016'!A:B,2,0),IF(H568="Sinapi",VLOOKUP(I568,'SINAPI-FEV.2017'!A:D,2,0),IF(H568="Cotação",VLOOKUP(I568,COTAÇÃO!A:D,2,0),IF(H568="Composição",VLOOKUP(I568,COMPOSIÇÃO!A:D,2,0))))))</f>
        <v>ARMAÇÃO DE ESTRUTURAS DE CONCRETO ARMADO, EXCETO VIGAS, PILARES, LAJES E FUNDAÇÕES PROFUNDAS (DE EDIFÍCIOS DE MÚLTIPLOS PAVIMENTOS, EDIFICAÇÃO TÉRREA OU SOBRADO), UTILIZANDO AÇO CA-50 DE 12.5 MM - MONTAGEM. AF_12/2015</v>
      </c>
      <c r="L568" s="700" t="str">
        <f>(IF(H568="Saneago",VLOOKUP(I568,'SANEAGO-FEV.2016'!A:D,3,0),IF(H568="Sinapi",VLOOKUP(I568,'SINAPI-FEV.2017'!A:D,3,0),IF(H568="Cotação",VLOOKUP(I568,COTAÇÃO!A:D,3,0),IF(H568="Composição",VLOOKUP(I568,COMPOSIÇÃO!A:D,3,0))))))</f>
        <v>KG</v>
      </c>
      <c r="M568" s="870">
        <f>ROUND(VLOOKUP(G568,'REATOR (x2)'!A:M,13,0),2)</f>
        <v>9091.7199999999993</v>
      </c>
      <c r="N568" s="399">
        <v>0</v>
      </c>
      <c r="O568" s="102">
        <f t="shared" si="104"/>
        <v>0</v>
      </c>
      <c r="P568" s="101">
        <f t="shared" si="105"/>
        <v>0</v>
      </c>
      <c r="Q568" s="1472">
        <v>8724.86</v>
      </c>
    </row>
    <row r="569" spans="1:17" ht="45">
      <c r="A569" s="1482"/>
      <c r="B569" s="1482"/>
      <c r="C569" s="1483">
        <f t="shared" si="98"/>
        <v>6</v>
      </c>
      <c r="D569" s="1492">
        <f t="shared" si="102"/>
        <v>2</v>
      </c>
      <c r="E569" s="1492">
        <f t="shared" si="103"/>
        <v>1</v>
      </c>
      <c r="F569" s="1484" t="s">
        <v>11708</v>
      </c>
      <c r="G569" s="912" t="s">
        <v>20377</v>
      </c>
      <c r="H569" s="823" t="str">
        <f>VLOOKUP(G569,'REATOR (x2)'!A:M,2,0)</f>
        <v>SINAPI</v>
      </c>
      <c r="I569" s="700">
        <f>VLOOKUP(G569,'REATOR (x2)'!A:M,3,0)</f>
        <v>92922</v>
      </c>
      <c r="J569" s="824"/>
      <c r="K569" s="790" t="str">
        <f>(IF(H569="Saneago",VLOOKUP(I569,'SANEAGO-FEV.2016'!A:B,2,0),IF(H569="Sinapi",VLOOKUP(I569,'SINAPI-FEV.2017'!A:D,2,0),IF(H569="Cotação",VLOOKUP(I569,COTAÇÃO!A:D,2,0),IF(H569="Composição",VLOOKUP(I569,COMPOSIÇÃO!A:D,2,0))))))</f>
        <v>ARMAÇÃO DE ESTRUTURAS DE CONCRETO ARMADO, EXCETO VIGAS, PILARES, LAJES E FUNDAÇÕES PROFUNDAS (DE EDIFÍCIOS DE MÚLTIPLOS PAVIMENTOS, EDIFICAÇÃO TÉRREA OU SOBRADO), UTILIZANDO AÇO CA-50 DE 16.0 MM - MONTAGEM. AF_12/2015</v>
      </c>
      <c r="L569" s="700" t="str">
        <f>(IF(H569="Saneago",VLOOKUP(I569,'SANEAGO-FEV.2016'!A:D,3,0),IF(H569="Sinapi",VLOOKUP(I569,'SINAPI-FEV.2017'!A:D,3,0),IF(H569="Cotação",VLOOKUP(I569,COTAÇÃO!A:D,3,0),IF(H569="Composição",VLOOKUP(I569,COMPOSIÇÃO!A:D,3,0))))))</f>
        <v>KG</v>
      </c>
      <c r="M569" s="870">
        <f>ROUND(VLOOKUP(G569,'REATOR (x2)'!A:M,13,0),2)</f>
        <v>5212.8</v>
      </c>
      <c r="N569" s="399">
        <v>0</v>
      </c>
      <c r="O569" s="102">
        <f t="shared" si="104"/>
        <v>0</v>
      </c>
      <c r="P569" s="101">
        <f t="shared" si="105"/>
        <v>0</v>
      </c>
      <c r="Q569" s="1472">
        <v>5212</v>
      </c>
    </row>
    <row r="570" spans="1:17" ht="45">
      <c r="A570" s="1482"/>
      <c r="B570" s="1482"/>
      <c r="C570" s="1483">
        <f t="shared" si="98"/>
        <v>6</v>
      </c>
      <c r="D570" s="1492">
        <f t="shared" si="102"/>
        <v>2</v>
      </c>
      <c r="E570" s="1492">
        <f t="shared" si="103"/>
        <v>1</v>
      </c>
      <c r="F570" s="1484" t="s">
        <v>11708</v>
      </c>
      <c r="G570" s="912" t="s">
        <v>20378</v>
      </c>
      <c r="H570" s="823" t="str">
        <f>VLOOKUP(G570,'REATOR (x2)'!A:M,2,0)</f>
        <v>SINAPI</v>
      </c>
      <c r="I570" s="700">
        <f>VLOOKUP(G570,'REATOR (x2)'!A:M,3,0)</f>
        <v>92923</v>
      </c>
      <c r="J570" s="824"/>
      <c r="K570" s="790" t="str">
        <f>(IF(H570="Saneago",VLOOKUP(I570,'SANEAGO-FEV.2016'!A:B,2,0),IF(H570="Sinapi",VLOOKUP(I570,'SINAPI-FEV.2017'!A:D,2,0),IF(H570="Cotação",VLOOKUP(I570,COTAÇÃO!A:D,2,0),IF(H570="Composição",VLOOKUP(I570,COMPOSIÇÃO!A:D,2,0))))))</f>
        <v>ARMAÇÃO DE ESTRUTURAS DE CONCRETO ARMADO, EXCETO VIGAS, PILARES, LAJES E FUNDAÇÕES PROFUNDAS (DE EDIFÍCIOS DE MÚLTIPLOS PAVIMENTOS, EDIFICAÇÃO TÉRREA OU SOBRADO), UTILIZANDO AÇO CA-50 DE 20.0 MM - MONTAGEM. AF_12/2015</v>
      </c>
      <c r="L570" s="700" t="str">
        <f>(IF(H570="Saneago",VLOOKUP(I570,'SANEAGO-FEV.2016'!A:D,3,0),IF(H570="Sinapi",VLOOKUP(I570,'SINAPI-FEV.2017'!A:D,3,0),IF(H570="Cotação",VLOOKUP(I570,COTAÇÃO!A:D,3,0),IF(H570="Composição",VLOOKUP(I570,COMPOSIÇÃO!A:D,3,0))))))</f>
        <v>KG</v>
      </c>
      <c r="M570" s="870">
        <f>ROUND(VLOOKUP(G570,'REATOR (x2)'!A:M,13,0),2)</f>
        <v>404.85</v>
      </c>
      <c r="N570" s="399">
        <v>0</v>
      </c>
      <c r="O570" s="102">
        <f t="shared" si="104"/>
        <v>0</v>
      </c>
      <c r="P570" s="101">
        <f t="shared" si="105"/>
        <v>0</v>
      </c>
      <c r="Q570" s="1472">
        <v>374.32</v>
      </c>
    </row>
    <row r="571" spans="1:17">
      <c r="A571" s="1482"/>
      <c r="B571" s="1482"/>
      <c r="C571" s="1483">
        <f t="shared" si="98"/>
        <v>6</v>
      </c>
      <c r="D571" s="1492">
        <f t="shared" si="102"/>
        <v>2</v>
      </c>
      <c r="E571" s="1492">
        <f t="shared" si="103"/>
        <v>1</v>
      </c>
      <c r="F571" s="1484" t="s">
        <v>11708</v>
      </c>
      <c r="G571" s="862" t="s">
        <v>12566</v>
      </c>
      <c r="H571" s="823" t="str">
        <f>VLOOKUP(G571,'REATOR (x2)'!A:M,2,0)</f>
        <v>SINAPI</v>
      </c>
      <c r="I571" s="700" t="str">
        <f>VLOOKUP(G571,'REATOR (x2)'!A:M,3,0)</f>
        <v>74022/57</v>
      </c>
      <c r="J571" s="824"/>
      <c r="K571" s="790" t="str">
        <f>(IF(H571="Saneago",VLOOKUP(I571,'SANEAGO-FEV.2016'!A:B,2,0),IF(H571="Sinapi",VLOOKUP(I571,'SINAPI-FEV.2017'!A:D,2,0),IF(H571="Cotação",VLOOKUP(I571,COTAÇÃO!A:D,2,0),IF(H571="Composição",VLOOKUP(I571,COMPOSIÇÃO!A:D,2,0))))))</f>
        <v>ENSAIO DE CONSISTENCIA DO CONCRETO CCR - INDICE VEBE</v>
      </c>
      <c r="L571" s="700" t="str">
        <f>(IF(H571="Saneago",VLOOKUP(I571,'SANEAGO-FEV.2016'!A:D,3,0),IF(H571="Sinapi",VLOOKUP(I571,'SINAPI-FEV.2017'!A:D,3,0),IF(H571="Cotação",VLOOKUP(I571,COTAÇÃO!A:D,3,0),IF(H571="Composição",VLOOKUP(I571,COMPOSIÇÃO!A:D,3,0))))))</f>
        <v>UN</v>
      </c>
      <c r="M571" s="870">
        <f>ROUND(VLOOKUP(G571,'REATOR (x2)'!A:M,13,0),2)</f>
        <v>6</v>
      </c>
      <c r="N571" s="399">
        <v>0</v>
      </c>
      <c r="O571" s="102">
        <f>ROUND(IF(F571="Serviços",N571*(1+$O$7),IF(F571="Materiais",N571*(1+$O$8))),2)</f>
        <v>0</v>
      </c>
      <c r="P571" s="101">
        <f>ROUND(M571*O571,2)</f>
        <v>0</v>
      </c>
      <c r="Q571" s="1472">
        <v>10</v>
      </c>
    </row>
    <row r="572" spans="1:17" ht="15.75" thickBot="1">
      <c r="A572" s="1482"/>
      <c r="B572" s="1482"/>
      <c r="C572" s="1483">
        <f t="shared" si="98"/>
        <v>6</v>
      </c>
      <c r="D572" s="1492">
        <f t="shared" si="102"/>
        <v>2</v>
      </c>
      <c r="E572" s="1492">
        <f t="shared" si="103"/>
        <v>1</v>
      </c>
      <c r="F572" s="1484" t="s">
        <v>11708</v>
      </c>
      <c r="G572" s="862"/>
      <c r="H572" s="1095"/>
      <c r="I572" s="780"/>
      <c r="J572" s="834"/>
      <c r="K572" s="780"/>
      <c r="L572" s="780"/>
      <c r="M572" s="1270"/>
      <c r="N572" s="400"/>
      <c r="O572" s="122"/>
      <c r="P572" s="123"/>
    </row>
    <row r="573" spans="1:17" ht="16.5" customHeight="1" thickTop="1" thickBot="1">
      <c r="A573" s="1482"/>
      <c r="B573" s="1482"/>
      <c r="C573" s="1483">
        <f t="shared" si="98"/>
        <v>6</v>
      </c>
      <c r="D573" s="1492">
        <f t="shared" ref="D573:D590" si="106">D572+A573</f>
        <v>2</v>
      </c>
      <c r="E573" s="1492">
        <f t="shared" ref="E573:E590" si="107">E572+B573</f>
        <v>1</v>
      </c>
      <c r="F573" s="1484" t="s">
        <v>11708</v>
      </c>
      <c r="H573" s="1653" t="str">
        <f>"TOTAL ITEM: "&amp;J557 &amp;K557</f>
        <v>TOTAL ITEM: 6.2.1 ESTRUTURAS DE CONCRETO ARMADO</v>
      </c>
      <c r="I573" s="1654"/>
      <c r="J573" s="1654"/>
      <c r="K573" s="1654"/>
      <c r="L573" s="1654"/>
      <c r="M573" s="1654"/>
      <c r="N573" s="1654"/>
      <c r="O573" s="1654"/>
      <c r="P573" s="210">
        <f>SUBTOTAL(9,P559:P571)</f>
        <v>0</v>
      </c>
    </row>
    <row r="574" spans="1:17" ht="15.75" thickTop="1">
      <c r="A574" s="1482"/>
      <c r="B574" s="1482"/>
      <c r="C574" s="1483">
        <f t="shared" si="98"/>
        <v>6</v>
      </c>
      <c r="D574" s="1492">
        <f t="shared" si="106"/>
        <v>2</v>
      </c>
      <c r="E574" s="1492">
        <f t="shared" si="107"/>
        <v>1</v>
      </c>
      <c r="F574" s="1484" t="s">
        <v>11708</v>
      </c>
      <c r="H574" s="929"/>
      <c r="I574" s="1371"/>
      <c r="J574" s="1022"/>
      <c r="K574" s="1371"/>
      <c r="L574" s="1371"/>
      <c r="M574" s="1536"/>
      <c r="N574" s="394"/>
      <c r="O574" s="728"/>
      <c r="P574" s="95"/>
    </row>
    <row r="575" spans="1:17">
      <c r="A575" s="1482"/>
      <c r="B575" s="1482">
        <v>1</v>
      </c>
      <c r="C575" s="1483">
        <f t="shared" si="98"/>
        <v>6</v>
      </c>
      <c r="D575" s="1492">
        <f t="shared" si="106"/>
        <v>2</v>
      </c>
      <c r="E575" s="1492">
        <f t="shared" si="107"/>
        <v>2</v>
      </c>
      <c r="F575" s="1484" t="s">
        <v>11708</v>
      </c>
      <c r="H575" s="1514" t="s">
        <v>11703</v>
      </c>
      <c r="I575" s="1515" t="s">
        <v>64</v>
      </c>
      <c r="J575" s="1516" t="str">
        <f>CONCATENATE(C575,".",D575,".",E575)</f>
        <v>6.2.2</v>
      </c>
      <c r="K575" s="1516" t="s">
        <v>20991</v>
      </c>
      <c r="L575" s="1517" t="s">
        <v>25</v>
      </c>
      <c r="M575" s="1518" t="s">
        <v>11704</v>
      </c>
      <c r="N575" s="398" t="s">
        <v>11705</v>
      </c>
      <c r="O575" s="207" t="s">
        <v>11706</v>
      </c>
      <c r="P575" s="208" t="s">
        <v>27</v>
      </c>
      <c r="Q575" s="1472" t="s">
        <v>11704</v>
      </c>
    </row>
    <row r="576" spans="1:17">
      <c r="A576" s="1482"/>
      <c r="B576" s="1482"/>
      <c r="C576" s="1483">
        <f t="shared" si="98"/>
        <v>6</v>
      </c>
      <c r="D576" s="1492">
        <f t="shared" si="106"/>
        <v>2</v>
      </c>
      <c r="E576" s="1492">
        <f t="shared" si="107"/>
        <v>2</v>
      </c>
      <c r="F576" s="1484" t="s">
        <v>11708</v>
      </c>
      <c r="H576" s="1095"/>
      <c r="I576" s="780"/>
      <c r="J576" s="834"/>
      <c r="K576" s="780"/>
      <c r="L576" s="780"/>
      <c r="M576" s="1270"/>
      <c r="N576" s="400"/>
      <c r="O576" s="122"/>
      <c r="P576" s="123"/>
    </row>
    <row r="577" spans="1:17">
      <c r="A577" s="1482"/>
      <c r="B577" s="1482"/>
      <c r="C577" s="1483">
        <f t="shared" si="98"/>
        <v>6</v>
      </c>
      <c r="D577" s="1492">
        <f t="shared" si="106"/>
        <v>2</v>
      </c>
      <c r="E577" s="1492">
        <f t="shared" si="107"/>
        <v>2</v>
      </c>
      <c r="F577" s="1484" t="s">
        <v>11708</v>
      </c>
      <c r="G577" s="862" t="s">
        <v>14308</v>
      </c>
      <c r="H577" s="823" t="str">
        <f>VLOOKUP(G577,'REATOR (x2)'!A:M,2,0)</f>
        <v>COMPOSIÇÃO</v>
      </c>
      <c r="I577" s="700" t="str">
        <f>VLOOKUP(G577,'REATOR (x2)'!A:M,3,0)</f>
        <v>CT_TAMPONAMENTO</v>
      </c>
      <c r="J577" s="824"/>
      <c r="K577" s="790" t="str">
        <f>(IF(H577="Saneago",VLOOKUP(I577,'SANEAGO-FEV.2016'!A:B,2,0),IF(H577="Sinapi",VLOOKUP(I577,'SINAPI-FEV.2017'!A:D,2,0),IF(H577="Cotação",VLOOKUP(I577,COTAÇÃO!A:D,2,0),IF(H577="Composição",VLOOKUP(I577,COMPOSIÇÃO!A:D,2,0))))))</f>
        <v>TAMPONAMENTO DOS FUROS EM PAREDES DE CONCRETO APARENTE</v>
      </c>
      <c r="L577" s="700" t="str">
        <f>(IF(H577="Saneago",VLOOKUP(I577,'SANEAGO-FEV.2016'!A:D,3,0),IF(H577="Sinapi",VLOOKUP(I577,'SINAPI-FEV.2017'!A:D,3,0),IF(H577="Cotação",VLOOKUP(I577,COTAÇÃO!A:D,3,0),IF(H577="Composição",VLOOKUP(I577,COMPOSIÇÃO!A:D,3,0))))))</f>
        <v>UNID.</v>
      </c>
      <c r="M577" s="870">
        <f>ROUND(VLOOKUP(G577,'REATOR (x2)'!A:M,13,0),2)</f>
        <v>1400</v>
      </c>
      <c r="N577" s="399">
        <v>0</v>
      </c>
      <c r="O577" s="102">
        <f>ROUND(IF(F577="Serviços",N577*(1+$O$7),IF(F577="Materiais",N577*(1+$O$8))),2)</f>
        <v>0</v>
      </c>
      <c r="P577" s="101">
        <f>ROUND(M577*O577,2)</f>
        <v>0</v>
      </c>
      <c r="Q577" s="1472">
        <v>1400</v>
      </c>
    </row>
    <row r="578" spans="1:17">
      <c r="A578" s="1482"/>
      <c r="B578" s="1482"/>
      <c r="C578" s="1483">
        <f t="shared" si="98"/>
        <v>6</v>
      </c>
      <c r="D578" s="1492">
        <f t="shared" ref="D578:E581" si="108">D577+A578</f>
        <v>2</v>
      </c>
      <c r="E578" s="1492">
        <f t="shared" si="108"/>
        <v>2</v>
      </c>
      <c r="F578" s="1484" t="s">
        <v>11708</v>
      </c>
      <c r="G578" s="862" t="s">
        <v>14316</v>
      </c>
      <c r="H578" s="823" t="str">
        <f>VLOOKUP(G578,'REATOR (x2)'!A:M,2,0)</f>
        <v>COMPOSIÇÃO</v>
      </c>
      <c r="I578" s="700" t="str">
        <f>VLOOKUP(G578,'REATOR (x2)'!A:M,3,0)</f>
        <v>CT_JATEAMENTO</v>
      </c>
      <c r="J578" s="824"/>
      <c r="K578" s="790" t="str">
        <f>(IF(H578="Saneago",VLOOKUP(I578,'SANEAGO-FEV.2016'!A:B,2,0),IF(H578="Sinapi",VLOOKUP(I578,'SINAPI-FEV.2017'!A:D,2,0),IF(H578="Cotação",VLOOKUP(I578,COTAÇÃO!A:D,2,0),IF(H578="Composição",VLOOKUP(I578,COMPOSIÇÃO!A:D,2,0))))))</f>
        <v>JATEAMENTO COM AREIA EM ESTRUTURA METÁLICA (AÇO CA-50)</v>
      </c>
      <c r="L578" s="700" t="str">
        <f>(IF(H578="Saneago",VLOOKUP(I578,'SANEAGO-FEV.2016'!A:D,3,0),IF(H578="Sinapi",VLOOKUP(I578,'SINAPI-FEV.2017'!A:D,3,0),IF(H578="Cotação",VLOOKUP(I578,COTAÇÃO!A:D,3,0),IF(H578="Composição",VLOOKUP(I578,COMPOSIÇÃO!A:D,3,0))))))</f>
        <v>M²</v>
      </c>
      <c r="M578" s="870">
        <f>ROUND(VLOOKUP(G578,'REATOR (x2)'!A:M,13,0),2)</f>
        <v>860</v>
      </c>
      <c r="N578" s="399">
        <v>0</v>
      </c>
      <c r="O578" s="102">
        <f>ROUND(IF(F578="Serviços",N578*(1+$O$7),IF(F578="Materiais",N578*(1+$O$8))),2)</f>
        <v>0</v>
      </c>
      <c r="P578" s="101">
        <f>ROUND(M578*O578,2)</f>
        <v>0</v>
      </c>
      <c r="Q578" s="1472">
        <v>860</v>
      </c>
    </row>
    <row r="579" spans="1:17">
      <c r="A579" s="1482"/>
      <c r="B579" s="1482"/>
      <c r="C579" s="1483">
        <f t="shared" si="98"/>
        <v>6</v>
      </c>
      <c r="D579" s="1492">
        <f t="shared" si="108"/>
        <v>2</v>
      </c>
      <c r="E579" s="1492">
        <f t="shared" si="108"/>
        <v>2</v>
      </c>
      <c r="F579" s="1484" t="s">
        <v>11708</v>
      </c>
      <c r="G579" s="862" t="s">
        <v>12660</v>
      </c>
      <c r="H579" s="823" t="str">
        <f>VLOOKUP(G579,'REATOR (x2)'!A:M,2,0)</f>
        <v>COMPOSIÇÃO</v>
      </c>
      <c r="I579" s="700" t="str">
        <f>VLOOKUP(G579,'REATOR (x2)'!A:M,3,0)</f>
        <v>CT_REGULARIZAÇÃO</v>
      </c>
      <c r="J579" s="824"/>
      <c r="K579" s="790" t="str">
        <f>(IF(H579="Saneago",VLOOKUP(I579,'SANEAGO-FEV.2016'!A:B,2,0),IF(H579="Sinapi",VLOOKUP(I579,'SINAPI-FEV.2017'!A:D,2,0),IF(H579="Cotação",VLOOKUP(I579,COTAÇÃO!A:D,2,0),IF(H579="Composição",VLOOKUP(I579,COMPOSIÇÃO!A:D,2,0))))))</f>
        <v>REGULARIZAÇÃO DA SUPERFÍCIE DE CONCRETO APARENTE</v>
      </c>
      <c r="L579" s="700" t="str">
        <f>(IF(H579="Saneago",VLOOKUP(I579,'SANEAGO-FEV.2016'!A:D,3,0),IF(H579="Sinapi",VLOOKUP(I579,'SINAPI-FEV.2017'!A:D,3,0),IF(H579="Cotação",VLOOKUP(I579,COTAÇÃO!A:D,3,0),IF(H579="Composição",VLOOKUP(I579,COMPOSIÇÃO!A:D,3,0))))))</f>
        <v>M²</v>
      </c>
      <c r="M579" s="870">
        <f>ROUND(VLOOKUP(G579,'REATOR (x2)'!A:M,13,0),2)</f>
        <v>160</v>
      </c>
      <c r="N579" s="399">
        <v>0</v>
      </c>
      <c r="O579" s="102">
        <f>ROUND(IF(F579="Serviços",N579*(1+$O$7),IF(F579="Materiais",N579*(1+$O$8))),2)</f>
        <v>0</v>
      </c>
      <c r="P579" s="101">
        <f>ROUND(M579*O579,2)</f>
        <v>0</v>
      </c>
      <c r="Q579" s="1472">
        <v>160</v>
      </c>
    </row>
    <row r="580" spans="1:17" ht="15.75" thickBot="1">
      <c r="A580" s="1482"/>
      <c r="B580" s="1482"/>
      <c r="C580" s="1483">
        <f t="shared" si="98"/>
        <v>6</v>
      </c>
      <c r="D580" s="1492">
        <f t="shared" si="108"/>
        <v>2</v>
      </c>
      <c r="E580" s="1492">
        <f t="shared" si="108"/>
        <v>2</v>
      </c>
      <c r="F580" s="1484" t="s">
        <v>11708</v>
      </c>
      <c r="G580" s="862"/>
      <c r="H580" s="823"/>
      <c r="I580" s="700"/>
      <c r="J580" s="824"/>
      <c r="K580" s="790"/>
      <c r="L580" s="700"/>
      <c r="M580" s="870"/>
      <c r="N580" s="399"/>
      <c r="O580" s="102"/>
      <c r="P580" s="101"/>
    </row>
    <row r="581" spans="1:17" ht="16.5" customHeight="1" thickTop="1" thickBot="1">
      <c r="A581" s="1482"/>
      <c r="B581" s="1482"/>
      <c r="C581" s="1483">
        <f t="shared" si="98"/>
        <v>6</v>
      </c>
      <c r="D581" s="1492">
        <f t="shared" si="108"/>
        <v>2</v>
      </c>
      <c r="E581" s="1492">
        <f t="shared" si="108"/>
        <v>2</v>
      </c>
      <c r="F581" s="1484" t="s">
        <v>11708</v>
      </c>
      <c r="G581" s="862"/>
      <c r="H581" s="1653" t="str">
        <f>"TOTAL ITEM: "&amp;J575 &amp;K575</f>
        <v>TOTAL ITEM: 6.2.2RECUPERAÇÃO DAS ESTRUTURAS DE CONCRETO</v>
      </c>
      <c r="I581" s="1654"/>
      <c r="J581" s="1654"/>
      <c r="K581" s="1654"/>
      <c r="L581" s="1654"/>
      <c r="M581" s="1654"/>
      <c r="N581" s="1654"/>
      <c r="O581" s="1654"/>
      <c r="P581" s="210">
        <f>SUBTOTAL(9,P577:P579)</f>
        <v>0</v>
      </c>
    </row>
    <row r="582" spans="1:17" ht="15.75" thickTop="1">
      <c r="A582" s="1482"/>
      <c r="B582" s="1482"/>
      <c r="C582" s="1483">
        <f t="shared" si="98"/>
        <v>6</v>
      </c>
      <c r="D582" s="1492">
        <f t="shared" si="106"/>
        <v>2</v>
      </c>
      <c r="E582" s="1492">
        <f t="shared" si="107"/>
        <v>2</v>
      </c>
      <c r="F582" s="1484" t="s">
        <v>11708</v>
      </c>
      <c r="H582" s="929"/>
      <c r="I582" s="1371"/>
      <c r="J582" s="1022"/>
      <c r="K582" s="1371"/>
      <c r="L582" s="1371"/>
      <c r="M582" s="1536"/>
      <c r="N582" s="394"/>
      <c r="O582" s="728"/>
      <c r="P582" s="95"/>
    </row>
    <row r="583" spans="1:17">
      <c r="A583" s="1482"/>
      <c r="B583" s="1482">
        <v>1</v>
      </c>
      <c r="C583" s="1483">
        <f t="shared" si="98"/>
        <v>6</v>
      </c>
      <c r="D583" s="1492">
        <f t="shared" si="106"/>
        <v>2</v>
      </c>
      <c r="E583" s="1492">
        <f t="shared" si="107"/>
        <v>3</v>
      </c>
      <c r="F583" s="1484" t="s">
        <v>11708</v>
      </c>
      <c r="H583" s="1514" t="s">
        <v>11703</v>
      </c>
      <c r="I583" s="1515" t="s">
        <v>64</v>
      </c>
      <c r="J583" s="1516" t="str">
        <f>CONCATENATE(C583,".",D583,".",E583)</f>
        <v>6.2.3</v>
      </c>
      <c r="K583" s="1516" t="s">
        <v>55</v>
      </c>
      <c r="L583" s="1517" t="s">
        <v>25</v>
      </c>
      <c r="M583" s="1518" t="s">
        <v>11704</v>
      </c>
      <c r="N583" s="398" t="s">
        <v>11705</v>
      </c>
      <c r="O583" s="207" t="s">
        <v>11706</v>
      </c>
      <c r="P583" s="208" t="s">
        <v>27</v>
      </c>
      <c r="Q583" s="1472" t="s">
        <v>11704</v>
      </c>
    </row>
    <row r="584" spans="1:17">
      <c r="A584" s="1482"/>
      <c r="B584" s="1482"/>
      <c r="C584" s="1483">
        <f t="shared" si="98"/>
        <v>6</v>
      </c>
      <c r="D584" s="1492">
        <f t="shared" si="106"/>
        <v>2</v>
      </c>
      <c r="E584" s="1492">
        <f t="shared" si="107"/>
        <v>3</v>
      </c>
      <c r="F584" s="1484" t="s">
        <v>11708</v>
      </c>
      <c r="H584" s="1095"/>
      <c r="I584" s="780"/>
      <c r="J584" s="834"/>
      <c r="K584" s="780"/>
      <c r="L584" s="780"/>
      <c r="M584" s="1270"/>
      <c r="N584" s="400"/>
      <c r="O584" s="122"/>
      <c r="P584" s="123"/>
    </row>
    <row r="585" spans="1:17" ht="22.5">
      <c r="A585" s="1482"/>
      <c r="B585" s="1482"/>
      <c r="C585" s="1483">
        <f t="shared" si="98"/>
        <v>6</v>
      </c>
      <c r="D585" s="1492">
        <f t="shared" si="106"/>
        <v>2</v>
      </c>
      <c r="E585" s="1492">
        <f t="shared" si="107"/>
        <v>3</v>
      </c>
      <c r="F585" s="1484" t="s">
        <v>11708</v>
      </c>
      <c r="G585" s="862" t="s">
        <v>12676</v>
      </c>
      <c r="H585" s="823" t="str">
        <f>VLOOKUP(G585,'REATOR (x2)'!A:M,2,0)</f>
        <v>Sinapi</v>
      </c>
      <c r="I585" s="700" t="str">
        <f>VLOOKUP(G585,'REATOR (x2)'!A:M,3,0)</f>
        <v>73872/2</v>
      </c>
      <c r="J585" s="824"/>
      <c r="K585" s="790" t="str">
        <f>(IF(H585="Saneago",VLOOKUP(I585,'SANEAGO-FEV.2016'!A:B,2,0),IF(H585="Sinapi",VLOOKUP(I585,'SINAPI-FEV.2017'!A:D,2,0),IF(H585="Cotação",VLOOKUP(I585,COTAÇÃO!A:D,2,0),IF(H585="Composição",VLOOKUP(I585,COMPOSIÇÃO!A:D,2,0))))))</f>
        <v>IMPERMEABILIZACAO COM PINTURA A BASE DE RESINA EPOXI ALCATRAO, DUAS DEMAOS.</v>
      </c>
      <c r="L585" s="700" t="str">
        <f>(IF(H585="Saneago",VLOOKUP(I585,'SANEAGO-FEV.2016'!A:D,3,0),IF(H585="Sinapi",VLOOKUP(I585,'SINAPI-FEV.2017'!A:D,3,0),IF(H585="Cotação",VLOOKUP(I585,COTAÇÃO!A:D,3,0),IF(H585="Composição",VLOOKUP(I585,COMPOSIÇÃO!A:D,3,0))))))</f>
        <v>M2</v>
      </c>
      <c r="M585" s="870">
        <f>ROUND(VLOOKUP(G585,'REATOR (x2)'!A:M,13,0),2)</f>
        <v>7323.55</v>
      </c>
      <c r="N585" s="399">
        <v>0</v>
      </c>
      <c r="O585" s="102">
        <f>ROUND(IF(F585="Serviços",N585*(1+$O$7),IF(F585="Materiais",N585*(1+$O$8))),2)</f>
        <v>0</v>
      </c>
      <c r="P585" s="101">
        <f>ROUND(M585*O585,2)</f>
        <v>0</v>
      </c>
      <c r="Q585" s="1472">
        <v>8362.6200000000008</v>
      </c>
    </row>
    <row r="586" spans="1:17" ht="22.5">
      <c r="A586" s="1482"/>
      <c r="B586" s="1482"/>
      <c r="C586" s="1483">
        <f t="shared" si="98"/>
        <v>6</v>
      </c>
      <c r="D586" s="1492">
        <f t="shared" si="106"/>
        <v>2</v>
      </c>
      <c r="E586" s="1492">
        <f t="shared" si="107"/>
        <v>3</v>
      </c>
      <c r="F586" s="1484" t="s">
        <v>11708</v>
      </c>
      <c r="G586" s="862" t="s">
        <v>14322</v>
      </c>
      <c r="H586" s="823" t="str">
        <f>VLOOKUP(G586,'REATOR (x2)'!A:M,2,0)</f>
        <v>Sinapi</v>
      </c>
      <c r="I586" s="700">
        <f>VLOOKUP(G586,'REATOR (x2)'!A:M,3,0)</f>
        <v>88489</v>
      </c>
      <c r="J586" s="824"/>
      <c r="K586" s="790" t="str">
        <f>(IF(H586="Saneago",VLOOKUP(I586,'SANEAGO-FEV.2016'!A:B,2,0),IF(H586="Sinapi",VLOOKUP(I586,'SINAPI-FEV.2017'!A:D,2,0),IF(H586="Cotação",VLOOKUP(I586,COTAÇÃO!A:D,2,0),IF(H586="Composição",VLOOKUP(I586,COMPOSIÇÃO!A:D,2,0))))))</f>
        <v>APLICAÇÃO MANUAL DE PINTURA COM TINTA LÁTEX ACRÍLICA EM PAREDES, DUAS DEMÃOS. AF_06/2014</v>
      </c>
      <c r="L586" s="700" t="str">
        <f>(IF(H586="Saneago",VLOOKUP(I586,'SANEAGO-FEV.2016'!A:D,3,0),IF(H586="Sinapi",VLOOKUP(I586,'SINAPI-FEV.2017'!A:D,3,0),IF(H586="Cotação",VLOOKUP(I586,COTAÇÃO!A:D,3,0),IF(H586="Composição",VLOOKUP(I586,COMPOSIÇÃO!A:D,3,0))))))</f>
        <v>M2</v>
      </c>
      <c r="M586" s="870">
        <f>ROUND(VLOOKUP(G586,'REATOR (x2)'!A:M,13,0),2)</f>
        <v>2130.3200000000002</v>
      </c>
      <c r="N586" s="399">
        <v>0</v>
      </c>
      <c r="O586" s="102">
        <f>ROUND(IF(F586="Serviços",N586*(1+$O$7),IF(F586="Materiais",N586*(1+$O$8))),2)</f>
        <v>0</v>
      </c>
      <c r="P586" s="101">
        <f>ROUND(M586*O586,2)</f>
        <v>0</v>
      </c>
      <c r="Q586" s="1472">
        <v>2130.3200000000002</v>
      </c>
    </row>
    <row r="587" spans="1:17" ht="15.75" thickBot="1">
      <c r="A587" s="1482"/>
      <c r="B587" s="1482"/>
      <c r="C587" s="1483">
        <f t="shared" si="98"/>
        <v>6</v>
      </c>
      <c r="D587" s="1492">
        <f t="shared" si="106"/>
        <v>2</v>
      </c>
      <c r="E587" s="1492">
        <f t="shared" si="107"/>
        <v>3</v>
      </c>
      <c r="F587" s="1484" t="s">
        <v>11708</v>
      </c>
      <c r="G587" s="862"/>
      <c r="H587" s="823"/>
      <c r="I587" s="700"/>
      <c r="J587" s="824"/>
      <c r="K587" s="790"/>
      <c r="L587" s="700"/>
      <c r="M587" s="870"/>
      <c r="N587" s="399"/>
      <c r="O587" s="102"/>
      <c r="P587" s="101"/>
    </row>
    <row r="588" spans="1:17" ht="16.5" customHeight="1" thickTop="1" thickBot="1">
      <c r="A588" s="1482"/>
      <c r="B588" s="1482"/>
      <c r="C588" s="1483">
        <f t="shared" si="98"/>
        <v>6</v>
      </c>
      <c r="D588" s="1492">
        <f t="shared" si="106"/>
        <v>2</v>
      </c>
      <c r="E588" s="1492">
        <f t="shared" si="107"/>
        <v>3</v>
      </c>
      <c r="F588" s="1484" t="s">
        <v>11708</v>
      </c>
      <c r="H588" s="1653" t="str">
        <f>"TOTAL ITEM: "&amp;J583 &amp;K583</f>
        <v>TOTAL ITEM: 6.2.3REVESTIMENTOS E PINTURAS</v>
      </c>
      <c r="I588" s="1654"/>
      <c r="J588" s="1654"/>
      <c r="K588" s="1654"/>
      <c r="L588" s="1654"/>
      <c r="M588" s="1654"/>
      <c r="N588" s="1654"/>
      <c r="O588" s="1654"/>
      <c r="P588" s="210">
        <f>SUBTOTAL(9,P585:P586)</f>
        <v>0</v>
      </c>
    </row>
    <row r="589" spans="1:17" ht="15.75" thickTop="1">
      <c r="A589" s="1482"/>
      <c r="B589" s="1482"/>
      <c r="C589" s="1483">
        <f t="shared" si="98"/>
        <v>6</v>
      </c>
      <c r="D589" s="1492">
        <f t="shared" si="106"/>
        <v>2</v>
      </c>
      <c r="E589" s="1492">
        <f t="shared" si="107"/>
        <v>3</v>
      </c>
      <c r="F589" s="1484" t="s">
        <v>11708</v>
      </c>
      <c r="H589" s="929"/>
      <c r="I589" s="1371"/>
      <c r="J589" s="1022"/>
      <c r="K589" s="1371"/>
      <c r="L589" s="1371"/>
      <c r="M589" s="1536"/>
      <c r="N589" s="394"/>
      <c r="O589" s="728"/>
      <c r="P589" s="95"/>
    </row>
    <row r="590" spans="1:17">
      <c r="A590" s="1482"/>
      <c r="B590" s="1482">
        <v>1</v>
      </c>
      <c r="C590" s="1483">
        <f t="shared" si="98"/>
        <v>6</v>
      </c>
      <c r="D590" s="1492">
        <f t="shared" si="106"/>
        <v>2</v>
      </c>
      <c r="E590" s="1492">
        <f t="shared" si="107"/>
        <v>4</v>
      </c>
      <c r="F590" s="1484" t="s">
        <v>11708</v>
      </c>
      <c r="H590" s="1514" t="s">
        <v>11703</v>
      </c>
      <c r="I590" s="1515" t="s">
        <v>64</v>
      </c>
      <c r="J590" s="1516" t="str">
        <f>CONCATENATE(C590,".",D590,".",E590)</f>
        <v>6.2.4</v>
      </c>
      <c r="K590" s="1516" t="s">
        <v>20203</v>
      </c>
      <c r="L590" s="1517" t="s">
        <v>25</v>
      </c>
      <c r="M590" s="1518" t="s">
        <v>11704</v>
      </c>
      <c r="N590" s="398" t="s">
        <v>11705</v>
      </c>
      <c r="O590" s="207" t="s">
        <v>11706</v>
      </c>
      <c r="P590" s="208" t="s">
        <v>27</v>
      </c>
      <c r="Q590" s="1472" t="s">
        <v>11704</v>
      </c>
    </row>
    <row r="591" spans="1:17">
      <c r="A591" s="1482"/>
      <c r="B591" s="1482"/>
      <c r="C591" s="1483">
        <f t="shared" si="98"/>
        <v>6</v>
      </c>
      <c r="D591" s="1492">
        <f t="shared" ref="D591:E595" si="109">D590+A591</f>
        <v>2</v>
      </c>
      <c r="E591" s="1492">
        <f t="shared" si="109"/>
        <v>4</v>
      </c>
      <c r="F591" s="1484" t="s">
        <v>11708</v>
      </c>
      <c r="H591" s="1095"/>
      <c r="I591" s="780"/>
      <c r="J591" s="834"/>
      <c r="K591" s="780"/>
      <c r="L591" s="780"/>
      <c r="M591" s="1270"/>
      <c r="N591" s="400"/>
      <c r="O591" s="122"/>
      <c r="P591" s="123"/>
    </row>
    <row r="592" spans="1:17" ht="22.5">
      <c r="A592" s="1482"/>
      <c r="B592" s="1482"/>
      <c r="C592" s="1483">
        <f t="shared" si="98"/>
        <v>6</v>
      </c>
      <c r="D592" s="1492">
        <f t="shared" si="109"/>
        <v>2</v>
      </c>
      <c r="E592" s="1492">
        <f t="shared" si="109"/>
        <v>4</v>
      </c>
      <c r="F592" s="1484" t="s">
        <v>11708</v>
      </c>
      <c r="G592" s="862" t="s">
        <v>14320</v>
      </c>
      <c r="H592" s="823" t="str">
        <f>VLOOKUP(G592,'REATOR (x2)'!A:M,2,0)</f>
        <v>SINAPI</v>
      </c>
      <c r="I592" s="700" t="str">
        <f>VLOOKUP(G592,'REATOR (x2)'!A:M,3,0)</f>
        <v>73923/3</v>
      </c>
      <c r="J592" s="824"/>
      <c r="K592" s="790" t="str">
        <f>(IF(H592="Saneago",VLOOKUP(I592,'SANEAGO-FEV.2016'!A:B,2,0),IF(H592="Sinapi",VLOOKUP(I592,'SINAPI-FEV.2017'!A:D,2,0),IF(H592="Cotação",VLOOKUP(I592,COTAÇÃO!A:D,2,0),IF(H592="Composição",VLOOKUP(I592,COMPOSIÇÃO!A:D,2,0))))))</f>
        <v>PISO CIMENTADO TRACO 1:3 (CIMENTO E AREIA), COM ACABAMENTO RUSTICO E FRISADO ESPESSURA 2CM, PREPARO MANUAL</v>
      </c>
      <c r="L592" s="700" t="str">
        <f>(IF(H592="Saneago",VLOOKUP(I592,'SANEAGO-FEV.2016'!A:D,3,0),IF(H592="Sinapi",VLOOKUP(I592,'SINAPI-FEV.2017'!A:D,3,0),IF(H592="Cotação",VLOOKUP(I592,COTAÇÃO!A:D,3,0),IF(H592="Composição",VLOOKUP(I592,COMPOSIÇÃO!A:D,3,0))))))</f>
        <v>M2</v>
      </c>
      <c r="M592" s="870">
        <f>ROUND(VLOOKUP(G592,'REATOR (x2)'!A:M,13,0),2)</f>
        <v>707.04</v>
      </c>
      <c r="N592" s="399">
        <v>0</v>
      </c>
      <c r="O592" s="102">
        <f>ROUND(IF(F592="Serviços",N592*(1+$O$7),IF(F592="Materiais",N592*(1+$O$8))),2)</f>
        <v>0</v>
      </c>
      <c r="P592" s="101">
        <f>ROUND(M592*O592,2)</f>
        <v>0</v>
      </c>
      <c r="Q592" s="1472">
        <v>707.04</v>
      </c>
    </row>
    <row r="593" spans="1:17" ht="33.75">
      <c r="A593" s="1482"/>
      <c r="B593" s="1482"/>
      <c r="C593" s="1483">
        <f t="shared" si="98"/>
        <v>6</v>
      </c>
      <c r="D593" s="1492">
        <f t="shared" si="109"/>
        <v>2</v>
      </c>
      <c r="E593" s="1492">
        <f t="shared" si="109"/>
        <v>4</v>
      </c>
      <c r="F593" s="1484" t="s">
        <v>11708</v>
      </c>
      <c r="G593" s="862" t="s">
        <v>14318</v>
      </c>
      <c r="H593" s="823" t="str">
        <f>VLOOKUP(G593,'REATOR (x2)'!A:M,2,0)</f>
        <v>SINAPI</v>
      </c>
      <c r="I593" s="700">
        <f>VLOOKUP(G593,'REATOR (x2)'!A:M,3,0)</f>
        <v>94990</v>
      </c>
      <c r="J593" s="824"/>
      <c r="K593" s="790" t="str">
        <f>(IF(H593="Saneago",VLOOKUP(I593,'SANEAGO-FEV.2016'!A:B,2,0),IF(H593="Sinapi",VLOOKUP(I593,'SINAPI-FEV.2017'!A:D,2,0),IF(H593="Cotação",VLOOKUP(I593,COTAÇÃO!A:D,2,0),IF(H593="Composição",VLOOKUP(I593,COMPOSIÇÃO!A:D,2,0))))))</f>
        <v>EXECUÇÃO DE PASSEIO (CALÇADA) OU PISO DE CONCRETO COM CONCRETO MOLDADO IN LOCO, FEITO EM OBRA, ACABAMENTO CONVENCIONAL, NÃO ARMADO. AF_07/2016</v>
      </c>
      <c r="L593" s="700" t="str">
        <f>(IF(H593="Saneago",VLOOKUP(I593,'SANEAGO-FEV.2016'!A:D,3,0),IF(H593="Sinapi",VLOOKUP(I593,'SINAPI-FEV.2017'!A:D,3,0),IF(H593="Cotação",VLOOKUP(I593,COTAÇÃO!A:D,3,0),IF(H593="Composição",VLOOKUP(I593,COMPOSIÇÃO!A:D,3,0))))))</f>
        <v>M3</v>
      </c>
      <c r="M593" s="870">
        <f>ROUND(VLOOKUP(G593,'REATOR (x2)'!A:M,13,0),2)</f>
        <v>28.74</v>
      </c>
      <c r="N593" s="399">
        <v>0</v>
      </c>
      <c r="O593" s="102">
        <f>ROUND(IF(F593="Serviços",N593*(1+$O$7),IF(F593="Materiais",N593*(1+$O$8))),2)</f>
        <v>0</v>
      </c>
      <c r="P593" s="101">
        <f>ROUND(M593*O593,2)</f>
        <v>0</v>
      </c>
      <c r="Q593" s="1472">
        <v>28.74</v>
      </c>
    </row>
    <row r="594" spans="1:17" ht="15.75" thickBot="1">
      <c r="A594" s="1482"/>
      <c r="B594" s="1482"/>
      <c r="C594" s="1483">
        <f t="shared" si="98"/>
        <v>6</v>
      </c>
      <c r="D594" s="1492">
        <f t="shared" si="109"/>
        <v>2</v>
      </c>
      <c r="E594" s="1492">
        <f t="shared" si="109"/>
        <v>4</v>
      </c>
      <c r="F594" s="1484" t="s">
        <v>11708</v>
      </c>
      <c r="G594" s="862"/>
      <c r="H594" s="823"/>
      <c r="I594" s="700"/>
      <c r="J594" s="824"/>
      <c r="K594" s="790"/>
      <c r="L594" s="700"/>
      <c r="M594" s="870"/>
      <c r="N594" s="399"/>
      <c r="O594" s="102"/>
      <c r="P594" s="101"/>
    </row>
    <row r="595" spans="1:17" ht="16.5" customHeight="1" thickTop="1" thickBot="1">
      <c r="A595" s="1482"/>
      <c r="B595" s="1482"/>
      <c r="C595" s="1483">
        <f t="shared" si="98"/>
        <v>6</v>
      </c>
      <c r="D595" s="1492">
        <f t="shared" si="109"/>
        <v>2</v>
      </c>
      <c r="E595" s="1492">
        <f t="shared" si="109"/>
        <v>4</v>
      </c>
      <c r="F595" s="1484" t="s">
        <v>11708</v>
      </c>
      <c r="H595" s="1653" t="str">
        <f>"TOTAL ITEM: "&amp;J590 &amp;K590</f>
        <v>TOTAL ITEM: 6.2.4 REGULARIZAÇÃO DE PISO</v>
      </c>
      <c r="I595" s="1654"/>
      <c r="J595" s="1654"/>
      <c r="K595" s="1654"/>
      <c r="L595" s="1654"/>
      <c r="M595" s="1654"/>
      <c r="N595" s="1654"/>
      <c r="O595" s="1654"/>
      <c r="P595" s="210">
        <f>SUBTOTAL(9,P592:P593)</f>
        <v>0</v>
      </c>
    </row>
    <row r="596" spans="1:17" ht="15.75" thickTop="1">
      <c r="A596" s="1482"/>
      <c r="B596" s="1482"/>
      <c r="C596" s="1483">
        <f t="shared" si="98"/>
        <v>6</v>
      </c>
      <c r="D596" s="1492">
        <f t="shared" ref="D596:D608" si="110">D595+A596</f>
        <v>2</v>
      </c>
      <c r="E596" s="1492">
        <f t="shared" ref="E596:E608" si="111">E595+B596</f>
        <v>4</v>
      </c>
      <c r="F596" s="1484" t="s">
        <v>11708</v>
      </c>
      <c r="H596" s="929"/>
      <c r="I596" s="1371"/>
      <c r="J596" s="1022"/>
      <c r="K596" s="1371"/>
      <c r="L596" s="1371"/>
      <c r="M596" s="1536"/>
      <c r="N596" s="394"/>
      <c r="O596" s="728"/>
      <c r="P596" s="95"/>
    </row>
    <row r="597" spans="1:17">
      <c r="A597" s="1482"/>
      <c r="B597" s="1482">
        <v>1</v>
      </c>
      <c r="C597" s="1483">
        <f t="shared" si="98"/>
        <v>6</v>
      </c>
      <c r="D597" s="1492">
        <f t="shared" si="110"/>
        <v>2</v>
      </c>
      <c r="E597" s="1492">
        <f t="shared" si="111"/>
        <v>5</v>
      </c>
      <c r="F597" s="1484" t="s">
        <v>11708</v>
      </c>
      <c r="H597" s="1514" t="s">
        <v>11703</v>
      </c>
      <c r="I597" s="1515" t="s">
        <v>64</v>
      </c>
      <c r="J597" s="1516" t="str">
        <f>CONCATENATE(C597,".",D597,".",E597)</f>
        <v>6.2.5</v>
      </c>
      <c r="K597" s="1516" t="s">
        <v>11717</v>
      </c>
      <c r="L597" s="1517" t="s">
        <v>25</v>
      </c>
      <c r="M597" s="1518" t="s">
        <v>11704</v>
      </c>
      <c r="N597" s="398" t="s">
        <v>11705</v>
      </c>
      <c r="O597" s="207" t="s">
        <v>11706</v>
      </c>
      <c r="P597" s="208" t="s">
        <v>27</v>
      </c>
      <c r="Q597" s="1472" t="s">
        <v>11704</v>
      </c>
    </row>
    <row r="598" spans="1:17">
      <c r="A598" s="1482"/>
      <c r="B598" s="1482"/>
      <c r="C598" s="1483">
        <f t="shared" si="98"/>
        <v>6</v>
      </c>
      <c r="D598" s="1492">
        <f t="shared" si="110"/>
        <v>2</v>
      </c>
      <c r="E598" s="1492">
        <f t="shared" si="111"/>
        <v>5</v>
      </c>
      <c r="F598" s="1484" t="s">
        <v>11708</v>
      </c>
      <c r="H598" s="1095"/>
      <c r="I598" s="780"/>
      <c r="J598" s="834"/>
      <c r="K598" s="780"/>
      <c r="L598" s="780"/>
      <c r="M598" s="1270"/>
      <c r="N598" s="400"/>
      <c r="O598" s="122"/>
      <c r="P598" s="123"/>
    </row>
    <row r="599" spans="1:17" ht="52.5" customHeight="1">
      <c r="A599" s="1482"/>
      <c r="B599" s="1482"/>
      <c r="C599" s="1483">
        <f t="shared" si="98"/>
        <v>6</v>
      </c>
      <c r="D599" s="1492">
        <f t="shared" si="110"/>
        <v>2</v>
      </c>
      <c r="E599" s="1492">
        <f t="shared" si="111"/>
        <v>5</v>
      </c>
      <c r="F599" s="1484" t="s">
        <v>11708</v>
      </c>
      <c r="G599" s="862" t="s">
        <v>14326</v>
      </c>
      <c r="H599" s="823" t="str">
        <f>VLOOKUP(G599,'REATOR (x2)'!A:M,2,0)</f>
        <v>Saneago</v>
      </c>
      <c r="I599" s="700">
        <f>VLOOKUP(G599,'REATOR (x2)'!A:M,3,0)</f>
        <v>862</v>
      </c>
      <c r="J599" s="824"/>
      <c r="K599" s="790" t="str">
        <f>(IF(H599="Saneago",VLOOKUP(I599,'SANEAGO-FEV.2016'!A:B,2,0),IF(H599="Sinapi",VLOOKUP(I599,'SINAPI-FEV.2017'!A:D,2,0),IF(H599="Cotação",VLOOKUP(I599,COTAÇÃO!A:D,2,0),IF(H599="Composição",VLOOKUP(I599,COMPOSIÇÃO!A:D,2,0))))))</f>
        <v>GUARDA-CORPO DE TUBO INDUSTRIAL  1.1/2" (40 MM) CHAPA 13;  H=1,0 M, C/ TELA ARTÍSTICA   3 X 3 FIO 12, PERFIL  U  DIM.  19,05  X 19,05  X 3,17  MM,  BARRA  RETANGULAR  DIM  9,52  X 6,35  MM,  FIXADA  EM  CHAPA METÁLICA DIM: 0,20 X 0,10 X 0,05 CM, C/ INJENÇÃO DE SILICONE,</v>
      </c>
      <c r="L599" s="700" t="str">
        <f>(IF(H599="Saneago",VLOOKUP(I599,'SANEAGO-FEV.2016'!A:D,3,0),IF(H599="Sinapi",VLOOKUP(I599,'SINAPI-FEV.2017'!A:D,3,0),IF(H599="Cotação",VLOOKUP(I599,COTAÇÃO!A:D,3,0),IF(H599="Composição",VLOOKUP(I599,COMPOSIÇÃO!A:D,3,0))))))</f>
        <v>M</v>
      </c>
      <c r="M599" s="870">
        <f>ROUND(VLOOKUP(G599,'REATOR (x2)'!A:M,13,0),2)</f>
        <v>193</v>
      </c>
      <c r="N599" s="399">
        <v>0</v>
      </c>
      <c r="O599" s="102">
        <f>ROUND(IF(F599="Serviços",N599*(1+$O$7),IF(F599="Materiais",N599*(1+$O$8))),2)</f>
        <v>0</v>
      </c>
      <c r="P599" s="101">
        <f>ROUND(M599*O599,2)</f>
        <v>0</v>
      </c>
      <c r="Q599" s="1472">
        <v>193</v>
      </c>
    </row>
    <row r="600" spans="1:17">
      <c r="A600" s="1482"/>
      <c r="B600" s="1482"/>
      <c r="C600" s="1483">
        <f t="shared" si="98"/>
        <v>6</v>
      </c>
      <c r="D600" s="1492">
        <f t="shared" si="110"/>
        <v>2</v>
      </c>
      <c r="E600" s="1492">
        <f t="shared" si="111"/>
        <v>5</v>
      </c>
      <c r="F600" s="1484" t="s">
        <v>11708</v>
      </c>
      <c r="G600" s="862" t="s">
        <v>14325</v>
      </c>
      <c r="H600" s="823" t="str">
        <f>VLOOKUP(G600,'REATOR (x2)'!A:M,2,0)</f>
        <v>COTAÇÃO</v>
      </c>
      <c r="I600" s="700" t="str">
        <f>VLOOKUP(G600,'REATOR (x2)'!A:M,3,0)</f>
        <v>CT_ESCADA.REATOR</v>
      </c>
      <c r="J600" s="824"/>
      <c r="K600" s="790" t="str">
        <f>(IF(H600="Saneago",VLOOKUP(I600,'SANEAGO-FEV.2016'!A:B,2,0),IF(H600="Sinapi",VLOOKUP(I600,'SINAPI-FEV.2017'!A:D,2,0),IF(H600="Cotação",VLOOKUP(I600,COTAÇÃO!A:D,2,0),IF(H600="Composição",VLOOKUP(I600,COMPOSIÇÃO!A:D,2,0))))))</f>
        <v>Escada metálica, conforme desenho CT/E/T/HRA/D19</v>
      </c>
      <c r="L600" s="700" t="str">
        <f>(IF(H600="Saneago",VLOOKUP(I600,'SANEAGO-FEV.2016'!A:D,3,0),IF(H600="Sinapi",VLOOKUP(I600,'SINAPI-FEV.2017'!A:D,3,0),IF(H600="Cotação",VLOOKUP(I600,COTAÇÃO!A:D,3,0),IF(H600="Composição",VLOOKUP(I600,COMPOSIÇÃO!A:D,3,0))))))</f>
        <v>UM</v>
      </c>
      <c r="M600" s="870">
        <f>ROUND(VLOOKUP(G600,'REATOR (x2)'!A:M,13,0),2)</f>
        <v>6</v>
      </c>
      <c r="N600" s="399">
        <v>0</v>
      </c>
      <c r="O600" s="102">
        <f>ROUND(IF(F600="Serviços",N600*(1+$O$7),IF(F600="Materiais",N600*(1+$O$8))),2)</f>
        <v>0</v>
      </c>
      <c r="P600" s="101">
        <f>ROUND(M600*O600,2)</f>
        <v>0</v>
      </c>
      <c r="Q600" s="1472">
        <v>6</v>
      </c>
    </row>
    <row r="601" spans="1:17">
      <c r="A601" s="1482"/>
      <c r="B601" s="1482"/>
      <c r="C601" s="1483">
        <f t="shared" si="98"/>
        <v>6</v>
      </c>
      <c r="D601" s="1492">
        <f t="shared" ref="D601:E605" si="112">D600+A601</f>
        <v>2</v>
      </c>
      <c r="E601" s="1492">
        <f t="shared" si="112"/>
        <v>5</v>
      </c>
      <c r="F601" s="1484" t="s">
        <v>11708</v>
      </c>
      <c r="G601" s="862" t="s">
        <v>14659</v>
      </c>
      <c r="H601" s="823" t="str">
        <f>VLOOKUP(G601,'REATOR (x2)'!A:M,2,0)</f>
        <v>COTAÇÃO</v>
      </c>
      <c r="I601" s="700" t="str">
        <f>VLOOKUP(G601,'REATOR (x2)'!A:M,3,0)</f>
        <v>CT_ESCADA.CDG</v>
      </c>
      <c r="J601" s="824"/>
      <c r="K601" s="790" t="str">
        <f>(IF(H601="Saneago",VLOOKUP(I601,'SANEAGO-FEV.2016'!A:B,2,0),IF(H601="Sinapi",VLOOKUP(I601,'SINAPI-FEV.2017'!A:D,2,0),IF(H601="Cotação",VLOOKUP(I601,COTAÇÃO!A:D,2,0),IF(H601="Composição",VLOOKUP(I601,COMPOSIÇÃO!A:D,2,0))))))</f>
        <v>Escada metálica, conforme desenho CT/E/T/HRA/D13</v>
      </c>
      <c r="L601" s="700" t="str">
        <f>(IF(H601="Saneago",VLOOKUP(I601,'SANEAGO-FEV.2016'!A:D,3,0),IF(H601="Sinapi",VLOOKUP(I601,'SINAPI-FEV.2017'!A:D,3,0),IF(H601="Cotação",VLOOKUP(I601,COTAÇÃO!A:D,3,0),IF(H601="Composição",VLOOKUP(I601,COMPOSIÇÃO!A:D,3,0))))))</f>
        <v>UM</v>
      </c>
      <c r="M601" s="870">
        <f>ROUND(VLOOKUP(G601,'REATOR (x2)'!A:M,13,0),2)</f>
        <v>2</v>
      </c>
      <c r="N601" s="399">
        <v>0</v>
      </c>
      <c r="O601" s="102">
        <f>ROUND(IF(F601="Serviços",N601*(1+$O$7),IF(F601="Materiais",N601*(1+$O$8))),2)</f>
        <v>0</v>
      </c>
      <c r="P601" s="101">
        <f>ROUND(M601*O601,2)</f>
        <v>0</v>
      </c>
      <c r="Q601" s="1472">
        <v>2</v>
      </c>
    </row>
    <row r="602" spans="1:17">
      <c r="A602" s="1482"/>
      <c r="B602" s="1482"/>
      <c r="C602" s="1483">
        <f t="shared" si="98"/>
        <v>6</v>
      </c>
      <c r="D602" s="1492">
        <f t="shared" si="112"/>
        <v>2</v>
      </c>
      <c r="E602" s="1492">
        <f t="shared" si="112"/>
        <v>5</v>
      </c>
      <c r="F602" s="1484" t="s">
        <v>11708</v>
      </c>
      <c r="G602" s="862" t="s">
        <v>14327</v>
      </c>
      <c r="H602" s="823" t="str">
        <f>VLOOKUP(G602,'REATOR (x2)'!A:M,2,0)</f>
        <v>COTAÇÃO</v>
      </c>
      <c r="I602" s="700" t="str">
        <f>VLOOKUP(G602,'REATOR (x2)'!A:M,3,0)</f>
        <v>CT_PASSARELA.REATOR</v>
      </c>
      <c r="J602" s="824"/>
      <c r="K602" s="790" t="str">
        <f>(IF(H602="Saneago",VLOOKUP(I602,'SANEAGO-FEV.2016'!A:B,2,0),IF(H602="Sinapi",VLOOKUP(I602,'SINAPI-FEV.2017'!A:D,2,0),IF(H602="Cotação",VLOOKUP(I602,COTAÇÃO!A:D,2,0),IF(H602="Composição",VLOOKUP(I602,COMPOSIÇÃO!A:D,2,0))))))</f>
        <v>Passarela metálica, conforme desenho CT/E/T/HRA/D19</v>
      </c>
      <c r="L602" s="700" t="str">
        <f>(IF(H602="Saneago",VLOOKUP(I602,'SANEAGO-FEV.2016'!A:D,3,0),IF(H602="Sinapi",VLOOKUP(I602,'SINAPI-FEV.2017'!A:D,3,0),IF(H602="Cotação",VLOOKUP(I602,COTAÇÃO!A:D,3,0),IF(H602="Composição",VLOOKUP(I602,COMPOSIÇÃO!A:D,3,0))))))</f>
        <v>M²</v>
      </c>
      <c r="M602" s="870">
        <f>ROUND(VLOOKUP(G602,'REATOR (x2)'!A:M,13,0),2)</f>
        <v>75</v>
      </c>
      <c r="N602" s="399">
        <v>0</v>
      </c>
      <c r="O602" s="102">
        <f>ROUND(IF(F602="Serviços",N602*(1+$O$7),IF(F602="Materiais",N602*(1+$O$8))),2)</f>
        <v>0</v>
      </c>
      <c r="P602" s="101">
        <f>ROUND(M602*O602,2)</f>
        <v>0</v>
      </c>
      <c r="Q602" s="1472">
        <v>75</v>
      </c>
    </row>
    <row r="603" spans="1:17" ht="15.75" thickBot="1">
      <c r="A603" s="1482"/>
      <c r="B603" s="1482"/>
      <c r="C603" s="1483">
        <f t="shared" si="98"/>
        <v>6</v>
      </c>
      <c r="D603" s="1492">
        <f t="shared" si="112"/>
        <v>2</v>
      </c>
      <c r="E603" s="1492">
        <f t="shared" si="112"/>
        <v>5</v>
      </c>
      <c r="F603" s="1484" t="s">
        <v>11708</v>
      </c>
      <c r="G603" s="862"/>
      <c r="H603" s="1095"/>
      <c r="I603" s="780"/>
      <c r="J603" s="834"/>
      <c r="K603" s="780"/>
      <c r="L603" s="780"/>
      <c r="M603" s="1270"/>
      <c r="N603" s="400"/>
      <c r="O603" s="122"/>
      <c r="P603" s="123"/>
    </row>
    <row r="604" spans="1:17" ht="16.5" customHeight="1" thickTop="1" thickBot="1">
      <c r="A604" s="1482"/>
      <c r="B604" s="1482"/>
      <c r="C604" s="1483">
        <f t="shared" si="98"/>
        <v>6</v>
      </c>
      <c r="D604" s="1492">
        <f t="shared" si="112"/>
        <v>2</v>
      </c>
      <c r="E604" s="1492">
        <f t="shared" si="112"/>
        <v>5</v>
      </c>
      <c r="F604" s="1484" t="s">
        <v>11708</v>
      </c>
      <c r="G604" s="862"/>
      <c r="H604" s="1653" t="str">
        <f>"TOTAL ITEM: "&amp;J597 &amp;K597</f>
        <v>TOTAL ITEM: 6.2.5 ESQUADRIAS</v>
      </c>
      <c r="I604" s="1654"/>
      <c r="J604" s="1654"/>
      <c r="K604" s="1654"/>
      <c r="L604" s="1654"/>
      <c r="M604" s="1654"/>
      <c r="N604" s="1654"/>
      <c r="O604" s="1654"/>
      <c r="P604" s="210">
        <f>SUBTOTAL(9,P599:P602)</f>
        <v>0</v>
      </c>
    </row>
    <row r="605" spans="1:17" ht="15.75" thickTop="1">
      <c r="A605" s="1482"/>
      <c r="B605" s="1482"/>
      <c r="C605" s="1483">
        <f t="shared" si="98"/>
        <v>6</v>
      </c>
      <c r="D605" s="1492">
        <f t="shared" si="112"/>
        <v>2</v>
      </c>
      <c r="E605" s="1492">
        <f t="shared" si="112"/>
        <v>5</v>
      </c>
      <c r="F605" s="1484" t="s">
        <v>11708</v>
      </c>
      <c r="H605" s="929"/>
      <c r="I605" s="1371"/>
      <c r="J605" s="1022"/>
      <c r="K605" s="1371"/>
      <c r="L605" s="1371"/>
      <c r="M605" s="1536"/>
      <c r="N605" s="394"/>
      <c r="O605" s="728"/>
      <c r="P605" s="95"/>
    </row>
    <row r="606" spans="1:17">
      <c r="A606" s="1482"/>
      <c r="B606" s="1482"/>
      <c r="C606" s="1483">
        <f t="shared" si="98"/>
        <v>6</v>
      </c>
      <c r="D606" s="1492">
        <f t="shared" si="110"/>
        <v>2</v>
      </c>
      <c r="E606" s="1492">
        <f t="shared" si="111"/>
        <v>5</v>
      </c>
      <c r="F606" s="1484" t="s">
        <v>11708</v>
      </c>
      <c r="H606" s="1095"/>
      <c r="I606" s="780"/>
      <c r="J606" s="834"/>
      <c r="K606" s="780"/>
      <c r="L606" s="780"/>
      <c r="M606" s="1270"/>
      <c r="N606" s="400"/>
      <c r="O606" s="122"/>
      <c r="P606" s="123"/>
    </row>
    <row r="607" spans="1:17">
      <c r="A607" s="1482"/>
      <c r="B607" s="1482">
        <v>1</v>
      </c>
      <c r="C607" s="1483">
        <f t="shared" si="98"/>
        <v>6</v>
      </c>
      <c r="D607" s="1492">
        <f t="shared" si="110"/>
        <v>2</v>
      </c>
      <c r="E607" s="1492">
        <f t="shared" si="111"/>
        <v>6</v>
      </c>
      <c r="F607" s="1484" t="s">
        <v>11708</v>
      </c>
      <c r="H607" s="1514" t="s">
        <v>11703</v>
      </c>
      <c r="I607" s="1515" t="s">
        <v>64</v>
      </c>
      <c r="J607" s="1516" t="str">
        <f>CONCATENATE(C607,".",D607,".",E607)</f>
        <v>6.2.6</v>
      </c>
      <c r="K607" s="1516" t="s">
        <v>11738</v>
      </c>
      <c r="L607" s="1517" t="s">
        <v>25</v>
      </c>
      <c r="M607" s="1518" t="s">
        <v>11704</v>
      </c>
      <c r="N607" s="398" t="s">
        <v>11705</v>
      </c>
      <c r="O607" s="207" t="s">
        <v>11706</v>
      </c>
      <c r="P607" s="208" t="s">
        <v>27</v>
      </c>
      <c r="Q607" s="1472" t="s">
        <v>11704</v>
      </c>
    </row>
    <row r="608" spans="1:17">
      <c r="A608" s="1482"/>
      <c r="B608" s="1482"/>
      <c r="C608" s="1483">
        <f t="shared" si="98"/>
        <v>6</v>
      </c>
      <c r="D608" s="1492">
        <f t="shared" si="110"/>
        <v>2</v>
      </c>
      <c r="E608" s="1492">
        <f t="shared" si="111"/>
        <v>6</v>
      </c>
      <c r="F608" s="1484" t="s">
        <v>11708</v>
      </c>
      <c r="G608" s="862"/>
      <c r="H608" s="1095"/>
      <c r="I608" s="780"/>
      <c r="J608" s="834"/>
      <c r="K608" s="780"/>
      <c r="L608" s="780"/>
      <c r="M608" s="1270"/>
      <c r="N608" s="400"/>
      <c r="O608" s="122"/>
      <c r="P608" s="123"/>
    </row>
    <row r="609" spans="1:17" ht="22.5">
      <c r="A609" s="1482"/>
      <c r="B609" s="1482"/>
      <c r="C609" s="1483">
        <f t="shared" si="98"/>
        <v>6</v>
      </c>
      <c r="D609" s="1492">
        <f t="shared" ref="D609:E616" si="113">D608+A609</f>
        <v>2</v>
      </c>
      <c r="E609" s="1492">
        <f t="shared" si="113"/>
        <v>6</v>
      </c>
      <c r="F609" s="1484" t="s">
        <v>11708</v>
      </c>
      <c r="G609" s="862" t="s">
        <v>14481</v>
      </c>
      <c r="H609" s="823" t="str">
        <f>VLOOKUP(G609,'REATOR (x2)'!A:M,2,0)</f>
        <v>Saneago</v>
      </c>
      <c r="I609" s="700">
        <f>VLOOKUP(G609,'REATOR (x2)'!A:M,3,0)</f>
        <v>1737</v>
      </c>
      <c r="J609" s="824"/>
      <c r="K609" s="790" t="str">
        <f>(IF(H609="Saneago",VLOOKUP(I609,'SANEAGO-FEV.2016'!A:B,2,0),IF(H609="Sinapi",VLOOKUP(I609,'SINAPI-FEV.2017'!A:D,2,0),IF(H609="Cotação",VLOOKUP(I609,COTAÇÃO!A:D,2,0),IF(H609="Composição",VLOOKUP(I609,COMPOSIÇÃO!A:D,2,0))))))</f>
        <v>POÇO DE VISITA  EM ANÉIS DE CONCRETO DIÂMETROS 60 CM (CHAMINÉ) E 90 CM (BALÃO), INCLUINDO ANEL TAMPÃO DE CONCRETO, PROFUNDIDADE = 1,5 M</v>
      </c>
      <c r="L609" s="700" t="str">
        <f>(IF(H609="Saneago",VLOOKUP(I609,'SANEAGO-FEV.2016'!A:D,3,0),IF(H609="Sinapi",VLOOKUP(I609,'SINAPI-FEV.2017'!A:D,3,0),IF(H609="Cotação",VLOOKUP(I609,COTAÇÃO!A:D,3,0),IF(H609="Composição",VLOOKUP(I609,COMPOSIÇÃO!A:D,3,0))))))</f>
        <v>UN</v>
      </c>
      <c r="M609" s="870">
        <f>ROUND(VLOOKUP(G609,'REATOR (x2)'!A:M,13,0),2)</f>
        <v>22</v>
      </c>
      <c r="N609" s="399">
        <v>0</v>
      </c>
      <c r="O609" s="102">
        <f>ROUND(IF(F609="Serviços",N609*(1+$O$7),IF(F609="Materiais",N609*(1+$O$8))),2)</f>
        <v>0</v>
      </c>
      <c r="P609" s="101">
        <f>ROUND(M609*O609,2)</f>
        <v>0</v>
      </c>
      <c r="Q609" s="1472">
        <v>22</v>
      </c>
    </row>
    <row r="610" spans="1:17" ht="22.5">
      <c r="A610" s="1482"/>
      <c r="B610" s="1482"/>
      <c r="C610" s="1483">
        <f t="shared" si="98"/>
        <v>6</v>
      </c>
      <c r="D610" s="1492">
        <f t="shared" si="113"/>
        <v>2</v>
      </c>
      <c r="E610" s="1492">
        <f t="shared" si="113"/>
        <v>6</v>
      </c>
      <c r="F610" s="1484" t="s">
        <v>11708</v>
      </c>
      <c r="G610" s="862" t="s">
        <v>14482</v>
      </c>
      <c r="H610" s="823" t="str">
        <f>VLOOKUP(G610,'REATOR (x2)'!A:M,2,0)</f>
        <v>Saneago</v>
      </c>
      <c r="I610" s="700">
        <f>VLOOKUP(G610,'REATOR (x2)'!A:M,3,0)</f>
        <v>1612</v>
      </c>
      <c r="J610" s="824"/>
      <c r="K610" s="790" t="str">
        <f>(IF(H610="Saneago",VLOOKUP(I610,'SANEAGO-FEV.2016'!A:B,2,0),IF(H610="Sinapi",VLOOKUP(I610,'SINAPI-FEV.2017'!A:D,2,0),IF(H610="Cotação",VLOOKUP(I610,COTAÇÃO!A:D,2,0),IF(H610="Composição",VLOOKUP(I610,COMPOSIÇÃO!A:D,2,0))))))</f>
        <v>POÇO DE VISITA  EM ANÉIS DE CONCRETO DIÂMETROS 60 CM (CHAMINÉ) E 90 CM (BALÃO), INCLUINDO ANEL TAMPÃO DE CONCRETO, PROFUNDIDADE = 2,0 M</v>
      </c>
      <c r="L610" s="700" t="str">
        <f>(IF(H610="Saneago",VLOOKUP(I610,'SANEAGO-FEV.2016'!A:D,3,0),IF(H610="Sinapi",VLOOKUP(I610,'SINAPI-FEV.2017'!A:D,3,0),IF(H610="Cotação",VLOOKUP(I610,COTAÇÃO!A:D,3,0),IF(H610="Composição",VLOOKUP(I610,COMPOSIÇÃO!A:D,3,0))))))</f>
        <v>UN</v>
      </c>
      <c r="M610" s="870">
        <f>ROUND(VLOOKUP(G610,'REATOR (x2)'!A:M,13,0),2)</f>
        <v>4</v>
      </c>
      <c r="N610" s="399">
        <v>0</v>
      </c>
      <c r="O610" s="102">
        <f>ROUND(IF(F610="Serviços",N610*(1+$O$7),IF(F610="Materiais",N610*(1+$O$8))),2)</f>
        <v>0</v>
      </c>
      <c r="P610" s="101">
        <f>ROUND(M610*O610,2)</f>
        <v>0</v>
      </c>
      <c r="Q610" s="1472">
        <v>4</v>
      </c>
    </row>
    <row r="611" spans="1:17">
      <c r="A611" s="1482"/>
      <c r="B611" s="1482"/>
      <c r="C611" s="1483">
        <f t="shared" si="98"/>
        <v>6</v>
      </c>
      <c r="D611" s="1492">
        <f t="shared" si="113"/>
        <v>2</v>
      </c>
      <c r="E611" s="1492">
        <f t="shared" si="113"/>
        <v>6</v>
      </c>
      <c r="F611" s="1484" t="s">
        <v>11708</v>
      </c>
      <c r="G611" s="862" t="s">
        <v>12672</v>
      </c>
      <c r="H611" s="823" t="str">
        <f>VLOOKUP(G611,'REATOR (x2)'!A:M,2,0)</f>
        <v>Sinapi</v>
      </c>
      <c r="I611" s="700">
        <f>VLOOKUP(G611,'REATOR (x2)'!A:M,3,0)</f>
        <v>9537</v>
      </c>
      <c r="J611" s="824"/>
      <c r="K611" s="790" t="str">
        <f>(IF(H611="Saneago",VLOOKUP(I611,'SANEAGO-FEV.2016'!A:B,2,0),IF(H611="Sinapi",VLOOKUP(I611,'SINAPI-FEV.2017'!A:D,2,0),IF(H611="Cotação",VLOOKUP(I611,COTAÇÃO!A:D,2,0),IF(H611="Composição",VLOOKUP(I611,COMPOSIÇÃO!A:D,2,0))))))</f>
        <v>LIMPEZA FINAL DA OBRA</v>
      </c>
      <c r="L611" s="700" t="str">
        <f>(IF(H611="Saneago",VLOOKUP(I611,'SANEAGO-FEV.2016'!A:D,3,0),IF(H611="Sinapi",VLOOKUP(I611,'SINAPI-FEV.2017'!A:D,3,0),IF(H611="Cotação",VLOOKUP(I611,COTAÇÃO!A:D,3,0),IF(H611="Composição",VLOOKUP(I611,COMPOSIÇÃO!A:D,3,0))))))</f>
        <v>M2</v>
      </c>
      <c r="M611" s="870">
        <f>ROUND(VLOOKUP(G611,'REATOR (x2)'!A:M,13,0),2)</f>
        <v>1289.04</v>
      </c>
      <c r="N611" s="399">
        <v>0</v>
      </c>
      <c r="O611" s="102">
        <f>ROUND(IF(F611="Serviços",N611*(1+$O$7),IF(F611="Materiais",N611*(1+$O$8))),2)</f>
        <v>0</v>
      </c>
      <c r="P611" s="101">
        <f>ROUND(M611*O611,2)</f>
        <v>0</v>
      </c>
      <c r="Q611" s="1472">
        <v>1289.04</v>
      </c>
    </row>
    <row r="612" spans="1:17">
      <c r="A612" s="1482"/>
      <c r="B612" s="1482"/>
      <c r="C612" s="1483">
        <f t="shared" si="98"/>
        <v>6</v>
      </c>
      <c r="D612" s="1492">
        <f t="shared" si="113"/>
        <v>2</v>
      </c>
      <c r="E612" s="1492">
        <f t="shared" si="113"/>
        <v>6</v>
      </c>
      <c r="F612" s="1484" t="s">
        <v>11708</v>
      </c>
      <c r="G612" s="862" t="s">
        <v>12568</v>
      </c>
      <c r="H612" s="823" t="str">
        <f>VLOOKUP(G612,'REATOR (x2)'!A:M,2,0)</f>
        <v>Composição</v>
      </c>
      <c r="I612" s="700" t="str">
        <f>VLOOKUP(G612,'REATOR (x2)'!A:M,3,0)</f>
        <v>CP_REATOR.MAT.HIDR.</v>
      </c>
      <c r="J612" s="824"/>
      <c r="K612" s="790" t="str">
        <f>(IF(H612="Saneago",VLOOKUP(I612,'SANEAGO-FEV.2016'!A:B,2,0),IF(H612="Sinapi",VLOOKUP(I612,'SINAPI-FEV.2017'!A:D,2,0),IF(H612="Cotação",VLOOKUP(I612,COTAÇÃO!A:D,2,0),IF(H612="Composição",VLOOKUP(I612,COMPOSIÇÃO!A:D,2,0))))))</f>
        <v>MONTAGEM DE MATERIAL HIDRÁULICO DO REATOR</v>
      </c>
      <c r="L612" s="700" t="str">
        <f>(IF(H612="Saneago",VLOOKUP(I612,'SANEAGO-FEV.2016'!A:D,3,0),IF(H612="Sinapi",VLOOKUP(I612,'SINAPI-FEV.2017'!A:D,3,0),IF(H612="Cotação",VLOOKUP(I612,COTAÇÃO!A:D,3,0),IF(H612="Composição",VLOOKUP(I612,COMPOSIÇÃO!A:D,3,0))))))</f>
        <v>um.</v>
      </c>
      <c r="M612" s="870">
        <f>ROUND(VLOOKUP(G612,'REATOR (x2)'!A:M,13,0),2)</f>
        <v>1</v>
      </c>
      <c r="N612" s="399">
        <v>0</v>
      </c>
      <c r="O612" s="102">
        <f>ROUND(IF(F612="Serviços",N612*(1+$O$7),IF(F612="Materiais",N612*(1+$O$8))),2)</f>
        <v>0</v>
      </c>
      <c r="P612" s="101">
        <f>ROUND(M612*O612,2)</f>
        <v>0</v>
      </c>
      <c r="Q612" s="1472">
        <v>1</v>
      </c>
    </row>
    <row r="613" spans="1:17">
      <c r="A613" s="1482"/>
      <c r="B613" s="1482"/>
      <c r="C613" s="1483">
        <f t="shared" si="98"/>
        <v>6</v>
      </c>
      <c r="D613" s="1492">
        <f t="shared" si="113"/>
        <v>2</v>
      </c>
      <c r="E613" s="1492">
        <f t="shared" si="113"/>
        <v>6</v>
      </c>
      <c r="F613" s="1484" t="s">
        <v>11708</v>
      </c>
      <c r="G613" s="862" t="s">
        <v>14283</v>
      </c>
      <c r="H613" s="823" t="str">
        <f>VLOOKUP(G613,'REATOR (x2)'!A:M,2,0)</f>
        <v>Composição</v>
      </c>
      <c r="I613" s="700" t="str">
        <f>VLOOKUP(G613,'REATOR (x2)'!A:M,3,0)</f>
        <v>CP_REATOR.EQUIP.</v>
      </c>
      <c r="J613" s="824"/>
      <c r="K613" s="790" t="str">
        <f>(IF(H613="Saneago",VLOOKUP(I613,'SANEAGO-FEV.2016'!A:B,2,0),IF(H613="Sinapi",VLOOKUP(I613,'SINAPI-FEV.2017'!A:D,2,0),IF(H613="Cotação",VLOOKUP(I613,COTAÇÃO!A:D,2,0),IF(H613="Composição",VLOOKUP(I613,COMPOSIÇÃO!A:D,2,0))))))</f>
        <v>MONTAGEM DE EQUIPAMENTOS DO REATOR</v>
      </c>
      <c r="L613" s="700" t="str">
        <f>(IF(H613="Saneago",VLOOKUP(I613,'SANEAGO-FEV.2016'!A:D,3,0),IF(H613="Sinapi",VLOOKUP(I613,'SINAPI-FEV.2017'!A:D,3,0),IF(H613="Cotação",VLOOKUP(I613,COTAÇÃO!A:D,3,0),IF(H613="Composição",VLOOKUP(I613,COMPOSIÇÃO!A:D,3,0))))))</f>
        <v>um.</v>
      </c>
      <c r="M613" s="870">
        <f>ROUND(VLOOKUP(G613,'REATOR (x2)'!A:M,13,0),2)</f>
        <v>1</v>
      </c>
      <c r="N613" s="399">
        <v>0</v>
      </c>
      <c r="O613" s="102">
        <f>ROUND(IF(F613="Serviços",N613*(1+$O$7),IF(F613="Materiais",N613*(1+$O$8))),2)</f>
        <v>0</v>
      </c>
      <c r="P613" s="101">
        <f>ROUND(M613*O613,2)</f>
        <v>0</v>
      </c>
      <c r="Q613" s="1472">
        <v>1</v>
      </c>
    </row>
    <row r="614" spans="1:17" ht="15.75" thickBot="1">
      <c r="A614" s="1482"/>
      <c r="B614" s="1482"/>
      <c r="C614" s="1483">
        <f t="shared" si="98"/>
        <v>6</v>
      </c>
      <c r="D614" s="1492">
        <f t="shared" si="113"/>
        <v>2</v>
      </c>
      <c r="E614" s="1492">
        <f t="shared" si="113"/>
        <v>6</v>
      </c>
      <c r="F614" s="1484" t="s">
        <v>11708</v>
      </c>
      <c r="G614" s="862"/>
      <c r="H614" s="1095"/>
      <c r="I614" s="780"/>
      <c r="J614" s="834"/>
      <c r="K614" s="780"/>
      <c r="L614" s="780"/>
      <c r="M614" s="1270"/>
      <c r="N614" s="400"/>
      <c r="O614" s="122"/>
      <c r="P614" s="123"/>
    </row>
    <row r="615" spans="1:17" ht="16.5" customHeight="1" thickTop="1" thickBot="1">
      <c r="A615" s="1482"/>
      <c r="B615" s="1482"/>
      <c r="C615" s="1483">
        <f t="shared" si="98"/>
        <v>6</v>
      </c>
      <c r="D615" s="1492">
        <f t="shared" si="113"/>
        <v>2</v>
      </c>
      <c r="E615" s="1492">
        <f t="shared" si="113"/>
        <v>6</v>
      </c>
      <c r="F615" s="1484" t="s">
        <v>11708</v>
      </c>
      <c r="G615" s="862"/>
      <c r="H615" s="1653" t="str">
        <f>"TOTAL ITEM: "&amp;J607 &amp;K607</f>
        <v>TOTAL ITEM: 6.2.6 DIVERSOS</v>
      </c>
      <c r="I615" s="1654"/>
      <c r="J615" s="1654"/>
      <c r="K615" s="1654"/>
      <c r="L615" s="1654"/>
      <c r="M615" s="1654"/>
      <c r="N615" s="1654"/>
      <c r="O615" s="1654"/>
      <c r="P615" s="210">
        <f>SUBTOTAL(9,P609:P613)</f>
        <v>0</v>
      </c>
    </row>
    <row r="616" spans="1:17" ht="16.5" thickTop="1" thickBot="1">
      <c r="A616" s="1482"/>
      <c r="B616" s="1482"/>
      <c r="C616" s="1483">
        <f t="shared" si="98"/>
        <v>6</v>
      </c>
      <c r="D616" s="1492">
        <f t="shared" si="113"/>
        <v>2</v>
      </c>
      <c r="E616" s="1492">
        <f t="shared" si="113"/>
        <v>6</v>
      </c>
      <c r="F616" s="1484" t="s">
        <v>11708</v>
      </c>
      <c r="G616" s="862"/>
      <c r="H616" s="1095"/>
      <c r="I616" s="780"/>
      <c r="J616" s="834"/>
      <c r="K616" s="780"/>
      <c r="L616" s="780"/>
      <c r="M616" s="1270"/>
      <c r="N616" s="400"/>
      <c r="O616" s="122"/>
      <c r="P616" s="123"/>
    </row>
    <row r="617" spans="1:17" ht="15.75" customHeight="1" thickTop="1" thickBot="1">
      <c r="A617" s="1482">
        <v>1</v>
      </c>
      <c r="B617" s="1482"/>
      <c r="C617" s="1483">
        <f t="shared" si="98"/>
        <v>6</v>
      </c>
      <c r="D617" s="1492">
        <f>D616+A617</f>
        <v>3</v>
      </c>
      <c r="E617" s="1492">
        <v>0</v>
      </c>
      <c r="F617" s="1484" t="s">
        <v>11708</v>
      </c>
      <c r="H617" s="1510" t="str">
        <f>CONCATENATE(C617,".",D617)</f>
        <v>6.3</v>
      </c>
      <c r="I617" s="1644" t="s">
        <v>14485</v>
      </c>
      <c r="J617" s="1644"/>
      <c r="K617" s="1644"/>
      <c r="L617" s="1644"/>
      <c r="M617" s="1644"/>
      <c r="N617" s="1644"/>
      <c r="O617" s="99" t="s">
        <v>11702</v>
      </c>
      <c r="P617" s="100">
        <f>SUBTOTAL(9,P621:P696)</f>
        <v>0</v>
      </c>
    </row>
    <row r="618" spans="1:17" ht="15.75" thickTop="1">
      <c r="A618" s="1482"/>
      <c r="B618" s="1482"/>
      <c r="C618" s="1483">
        <f t="shared" si="98"/>
        <v>6</v>
      </c>
      <c r="D618" s="1492">
        <f>D617+A618</f>
        <v>3</v>
      </c>
      <c r="E618" s="1492">
        <f>E617+B618</f>
        <v>0</v>
      </c>
      <c r="F618" s="1484" t="s">
        <v>11708</v>
      </c>
      <c r="H618" s="789"/>
      <c r="I618" s="915"/>
      <c r="J618" s="1022"/>
      <c r="K618" s="915"/>
      <c r="L618" s="816"/>
      <c r="M618" s="874"/>
      <c r="N618" s="394"/>
      <c r="O618" s="98"/>
      <c r="P618" s="95"/>
    </row>
    <row r="619" spans="1:17">
      <c r="A619" s="1482"/>
      <c r="B619" s="1482">
        <v>1</v>
      </c>
      <c r="C619" s="1483">
        <f t="shared" si="98"/>
        <v>6</v>
      </c>
      <c r="D619" s="1492">
        <f>D618+A619</f>
        <v>3</v>
      </c>
      <c r="E619" s="1492">
        <f>E618+B619</f>
        <v>1</v>
      </c>
      <c r="F619" s="1484" t="s">
        <v>11708</v>
      </c>
      <c r="H619" s="1514" t="s">
        <v>11703</v>
      </c>
      <c r="I619" s="1515" t="s">
        <v>64</v>
      </c>
      <c r="J619" s="1516" t="str">
        <f>CONCATENATE(C619,".",D619,".",E619)</f>
        <v>6.3.1</v>
      </c>
      <c r="K619" s="1516" t="s">
        <v>11709</v>
      </c>
      <c r="L619" s="1517" t="s">
        <v>25</v>
      </c>
      <c r="M619" s="1518" t="s">
        <v>11704</v>
      </c>
      <c r="N619" s="398" t="s">
        <v>11705</v>
      </c>
      <c r="O619" s="207" t="s">
        <v>11706</v>
      </c>
      <c r="P619" s="208" t="s">
        <v>27</v>
      </c>
      <c r="Q619" s="1472" t="s">
        <v>11704</v>
      </c>
    </row>
    <row r="620" spans="1:17">
      <c r="A620" s="1482"/>
      <c r="B620" s="1482"/>
      <c r="C620" s="1483">
        <f t="shared" si="98"/>
        <v>6</v>
      </c>
      <c r="D620" s="1492">
        <f>D619+A620</f>
        <v>3</v>
      </c>
      <c r="E620" s="1492">
        <f>E619+B620</f>
        <v>1</v>
      </c>
      <c r="F620" s="1484" t="s">
        <v>11708</v>
      </c>
      <c r="H620" s="826"/>
      <c r="I620" s="790"/>
      <c r="J620" s="824"/>
      <c r="K620" s="790"/>
      <c r="L620" s="700"/>
      <c r="M620" s="870"/>
      <c r="N620" s="399"/>
      <c r="O620" s="121"/>
      <c r="P620" s="101"/>
    </row>
    <row r="621" spans="1:17" ht="22.5">
      <c r="A621" s="1482"/>
      <c r="B621" s="1482"/>
      <c r="C621" s="1483">
        <f t="shared" si="98"/>
        <v>6</v>
      </c>
      <c r="D621" s="1492">
        <f>D620+A621</f>
        <v>3</v>
      </c>
      <c r="E621" s="1492">
        <f>E620+B621</f>
        <v>1</v>
      </c>
      <c r="F621" s="1484" t="s">
        <v>11708</v>
      </c>
      <c r="G621" s="862" t="s">
        <v>14330</v>
      </c>
      <c r="H621" s="1542" t="str">
        <f>VLOOKUP(G621,LEITOS_SECAGEM!A:M,2,0)</f>
        <v>SINAPI</v>
      </c>
      <c r="I621" s="1543" t="str">
        <f>VLOOKUP(G621,LEITOS_SECAGEM!A:M,3,0)</f>
        <v>73822/2</v>
      </c>
      <c r="J621" s="1544"/>
      <c r="K621" s="1545" t="str">
        <f>(IF(H621="Saneago",VLOOKUP(I621,'SANEAGO-FEV.2016'!A:B,2,0),IF(H621="Sinapi",VLOOKUP(I621,'SINAPI-FEV.2017'!A:D,2,0),IF(H621="Cotação",VLOOKUP(I621,COTAÇÃO!A:D,2,0),IF(H621="Composição",VLOOKUP(I621,COMPOSIÇÃO!A:D,2,0))))))</f>
        <v>LIMPEZA MECANIZADA DE TERRENO COM REMOCAO DE CAMADA VEGETAL, UTILIZANDO MOTONIVELADORA</v>
      </c>
      <c r="L621" s="1543" t="str">
        <f>(IF(H621="Saneago",VLOOKUP(I621,'SANEAGO-FEV.2016'!A:D,3,0),IF(H621="Sinapi",VLOOKUP(I621,'SINAPI-FEV.2017'!A:D,3,0),IF(H621="Cotação",VLOOKUP(I621,COTAÇÃO!A:D,3,0),IF(H621="Composição",VLOOKUP(I621,COMPOSIÇÃO!A:D,3,0))))))</f>
        <v>M2</v>
      </c>
      <c r="M621" s="1546">
        <f>ROUND(VLOOKUP(G621,LEITOS_SECAGEM!A:M,13,0),2)</f>
        <v>1350</v>
      </c>
      <c r="N621" s="707">
        <v>0</v>
      </c>
      <c r="O621" s="708">
        <f>ROUND(IF(F621="Serviços",N621*(1+$O$7),IF(F621="Materiais",N621*(1+$O$8))),2)</f>
        <v>0</v>
      </c>
      <c r="P621" s="709">
        <f>ROUND(M621*O621,2)</f>
        <v>0</v>
      </c>
      <c r="Q621" s="1472">
        <v>1350</v>
      </c>
    </row>
    <row r="622" spans="1:17">
      <c r="A622" s="1482"/>
      <c r="B622" s="1482"/>
      <c r="C622" s="1483">
        <f t="shared" si="98"/>
        <v>6</v>
      </c>
      <c r="D622" s="1492">
        <f t="shared" ref="D622:D628" si="114">D621+A622</f>
        <v>3</v>
      </c>
      <c r="E622" s="1492">
        <f t="shared" ref="E622:E628" si="115">E621+B622</f>
        <v>1</v>
      </c>
      <c r="F622" s="1484" t="s">
        <v>11708</v>
      </c>
      <c r="G622" s="862" t="s">
        <v>14331</v>
      </c>
      <c r="H622" s="1542" t="str">
        <f>VLOOKUP(G622,LEITOS_SECAGEM!A:M,2,0)</f>
        <v>SINAPI</v>
      </c>
      <c r="I622" s="1543" t="str">
        <f>VLOOKUP(G622,LEITOS_SECAGEM!A:M,3,0)</f>
        <v>73948/16</v>
      </c>
      <c r="J622" s="1544"/>
      <c r="K622" s="1545" t="str">
        <f>(IF(H622="Saneago",VLOOKUP(I622,'SANEAGO-FEV.2016'!A:B,2,0),IF(H622="Sinapi",VLOOKUP(I622,'SINAPI-FEV.2017'!A:D,2,0),IF(H622="Cotação",VLOOKUP(I622,COTAÇÃO!A:D,2,0),IF(H622="Composição",VLOOKUP(I622,COMPOSIÇÃO!A:D,2,0))))))</f>
        <v>LIMPEZA MANUAL DO TERRENO (C/ RASPAGEM SUPERFICIAL)</v>
      </c>
      <c r="L622" s="1543" t="str">
        <f>(IF(H622="Saneago",VLOOKUP(I622,'SANEAGO-FEV.2016'!A:D,3,0),IF(H622="Sinapi",VLOOKUP(I622,'SINAPI-FEV.2017'!A:D,3,0),IF(H622="Cotação",VLOOKUP(I622,COTAÇÃO!A:D,3,0),IF(H622="Composição",VLOOKUP(I622,COMPOSIÇÃO!A:D,3,0))))))</f>
        <v>M2</v>
      </c>
      <c r="M622" s="1546">
        <f>ROUND(VLOOKUP(G622,LEITOS_SECAGEM!A:M,13,0),2)</f>
        <v>1350</v>
      </c>
      <c r="N622" s="707">
        <v>0</v>
      </c>
      <c r="O622" s="708">
        <f>ROUND(IF(F622="Serviços",N622*(1+$O$7),IF(F622="Materiais",N622*(1+$O$8))),2)</f>
        <v>0</v>
      </c>
      <c r="P622" s="709">
        <f>ROUND(M622*O622,2)</f>
        <v>0</v>
      </c>
      <c r="Q622" s="1472">
        <v>1350</v>
      </c>
    </row>
    <row r="623" spans="1:17" ht="22.5">
      <c r="A623" s="1482"/>
      <c r="B623" s="1482"/>
      <c r="C623" s="1483">
        <f t="shared" si="98"/>
        <v>6</v>
      </c>
      <c r="D623" s="1492">
        <f t="shared" si="114"/>
        <v>3</v>
      </c>
      <c r="E623" s="1492">
        <f t="shared" si="115"/>
        <v>1</v>
      </c>
      <c r="F623" s="1484" t="s">
        <v>11708</v>
      </c>
      <c r="G623" s="862" t="s">
        <v>12491</v>
      </c>
      <c r="H623" s="1542" t="str">
        <f>VLOOKUP(G623,LEITOS_SECAGEM!A:M,2,0)</f>
        <v>SINAPI</v>
      </c>
      <c r="I623" s="1543" t="str">
        <f>VLOOKUP(G623,LEITOS_SECAGEM!A:M,3,0)</f>
        <v>73992/1</v>
      </c>
      <c r="J623" s="1544"/>
      <c r="K623" s="1545" t="str">
        <f>(IF(H623="Saneago",VLOOKUP(I623,'SANEAGO-FEV.2016'!A:B,2,0),IF(H623="Sinapi",VLOOKUP(I623,'SINAPI-FEV.2017'!A:D,2,0),IF(H623="Cotação",VLOOKUP(I623,COTAÇÃO!A:D,2,0),IF(H623="Composição",VLOOKUP(I623,COMPOSIÇÃO!A:D,2,0))))))</f>
        <v>LOCACAO CONVENCIONAL DE OBRA, ATRAVÉS DE GABARITO DE TABUAS CORRIDAS PONTALETADAS A CADA 1,50M, SEM REAPROVEITAMENTO</v>
      </c>
      <c r="L623" s="1543" t="str">
        <f>(IF(H623="Saneago",VLOOKUP(I623,'SANEAGO-FEV.2016'!A:D,3,0),IF(H623="Sinapi",VLOOKUP(I623,'SINAPI-FEV.2017'!A:D,3,0),IF(H623="Cotação",VLOOKUP(I623,COTAÇÃO!A:D,3,0),IF(H623="Composição",VLOOKUP(I623,COMPOSIÇÃO!A:D,3,0))))))</f>
        <v>M2</v>
      </c>
      <c r="M623" s="1546">
        <f>ROUND(VLOOKUP(G623,LEITOS_SECAGEM!A:M,13,0),2)</f>
        <v>873</v>
      </c>
      <c r="N623" s="707">
        <v>0</v>
      </c>
      <c r="O623" s="708">
        <f>ROUND(IF(F623="Serviços",N623*(1+$O$7),IF(F623="Materiais",N623*(1+$O$8))),2)</f>
        <v>0</v>
      </c>
      <c r="P623" s="709">
        <f>ROUND(M623*O623,2)</f>
        <v>0</v>
      </c>
      <c r="Q623" s="1472">
        <v>880</v>
      </c>
    </row>
    <row r="624" spans="1:17" ht="15.75" thickBot="1">
      <c r="A624" s="1482"/>
      <c r="B624" s="1482"/>
      <c r="C624" s="1483">
        <f t="shared" si="98"/>
        <v>6</v>
      </c>
      <c r="D624" s="1492">
        <f t="shared" si="114"/>
        <v>3</v>
      </c>
      <c r="E624" s="1492">
        <f t="shared" si="115"/>
        <v>1</v>
      </c>
      <c r="F624" s="1484" t="s">
        <v>11708</v>
      </c>
      <c r="G624" s="862"/>
      <c r="H624" s="826"/>
      <c r="I624" s="790"/>
      <c r="J624" s="824"/>
      <c r="K624" s="790"/>
      <c r="L624" s="700"/>
      <c r="M624" s="870"/>
      <c r="N624" s="399"/>
      <c r="O624" s="209"/>
      <c r="P624" s="101"/>
    </row>
    <row r="625" spans="1:17" ht="16.5" customHeight="1" thickTop="1" thickBot="1">
      <c r="A625" s="1482"/>
      <c r="B625" s="1482"/>
      <c r="C625" s="1483">
        <f t="shared" si="98"/>
        <v>6</v>
      </c>
      <c r="D625" s="1492">
        <f t="shared" si="114"/>
        <v>3</v>
      </c>
      <c r="E625" s="1492">
        <f t="shared" si="115"/>
        <v>1</v>
      </c>
      <c r="F625" s="1484" t="s">
        <v>11708</v>
      </c>
      <c r="H625" s="1653" t="str">
        <f>"TOTAL ITEM: "&amp;J619 &amp;K619</f>
        <v>TOTAL ITEM: 6.3.1 SERVIÇOS PRELIMINARES</v>
      </c>
      <c r="I625" s="1654"/>
      <c r="J625" s="1654"/>
      <c r="K625" s="1654"/>
      <c r="L625" s="1654"/>
      <c r="M625" s="1654"/>
      <c r="N625" s="1654"/>
      <c r="O625" s="1654"/>
      <c r="P625" s="210">
        <f>SUBTOTAL(9,P621:P623)</f>
        <v>0</v>
      </c>
    </row>
    <row r="626" spans="1:17" ht="15.75" thickTop="1">
      <c r="A626" s="1482"/>
      <c r="B626" s="1482"/>
      <c r="C626" s="1483">
        <f t="shared" si="98"/>
        <v>6</v>
      </c>
      <c r="D626" s="1492">
        <f t="shared" si="114"/>
        <v>3</v>
      </c>
      <c r="E626" s="1492">
        <f t="shared" si="115"/>
        <v>1</v>
      </c>
      <c r="F626" s="1484" t="s">
        <v>11708</v>
      </c>
      <c r="H626" s="826"/>
      <c r="I626" s="790"/>
      <c r="J626" s="824"/>
      <c r="K626" s="790"/>
      <c r="L626" s="700"/>
      <c r="M626" s="870"/>
      <c r="N626" s="399"/>
      <c r="O626" s="121"/>
      <c r="P626" s="101"/>
    </row>
    <row r="627" spans="1:17">
      <c r="A627" s="1482"/>
      <c r="B627" s="1482">
        <v>1</v>
      </c>
      <c r="C627" s="1483">
        <f t="shared" si="98"/>
        <v>6</v>
      </c>
      <c r="D627" s="1492">
        <f t="shared" si="114"/>
        <v>3</v>
      </c>
      <c r="E627" s="1492">
        <f t="shared" si="115"/>
        <v>2</v>
      </c>
      <c r="F627" s="1484" t="s">
        <v>11708</v>
      </c>
      <c r="G627" s="961"/>
      <c r="H627" s="1514" t="s">
        <v>11703</v>
      </c>
      <c r="I627" s="1515" t="s">
        <v>64</v>
      </c>
      <c r="J627" s="1516" t="str">
        <f>CONCATENATE(C627,".",D627,".",E627)</f>
        <v>6.3.2</v>
      </c>
      <c r="K627" s="1516" t="s">
        <v>11710</v>
      </c>
      <c r="L627" s="1517" t="s">
        <v>25</v>
      </c>
      <c r="M627" s="1518" t="s">
        <v>11704</v>
      </c>
      <c r="N627" s="398" t="s">
        <v>11705</v>
      </c>
      <c r="O627" s="207" t="s">
        <v>11706</v>
      </c>
      <c r="P627" s="208" t="s">
        <v>27</v>
      </c>
      <c r="Q627" s="1472" t="s">
        <v>11704</v>
      </c>
    </row>
    <row r="628" spans="1:17">
      <c r="A628" s="1482"/>
      <c r="B628" s="1482"/>
      <c r="C628" s="1483">
        <f t="shared" si="98"/>
        <v>6</v>
      </c>
      <c r="D628" s="1492">
        <f t="shared" si="114"/>
        <v>3</v>
      </c>
      <c r="E628" s="1492">
        <f t="shared" si="115"/>
        <v>2</v>
      </c>
      <c r="F628" s="1484" t="s">
        <v>11708</v>
      </c>
      <c r="G628" s="961"/>
      <c r="H628" s="826"/>
      <c r="I628" s="790"/>
      <c r="J628" s="824"/>
      <c r="K628" s="790"/>
      <c r="L628" s="700"/>
      <c r="M628" s="870"/>
      <c r="N628" s="399"/>
      <c r="O628" s="121"/>
      <c r="P628" s="101"/>
    </row>
    <row r="629" spans="1:17" ht="56.25">
      <c r="A629" s="1482"/>
      <c r="B629" s="1482"/>
      <c r="C629" s="1483">
        <f t="shared" si="98"/>
        <v>6</v>
      </c>
      <c r="D629" s="1492">
        <f t="shared" ref="D629:D639" si="116">D628+A629</f>
        <v>3</v>
      </c>
      <c r="E629" s="1492">
        <f t="shared" ref="E629:E639" si="117">E628+B629</f>
        <v>2</v>
      </c>
      <c r="F629" s="1484" t="s">
        <v>11708</v>
      </c>
      <c r="G629" s="862" t="s">
        <v>12492</v>
      </c>
      <c r="H629" s="823" t="str">
        <f>VLOOKUP(G629,LEITOS_SECAGEM!A:M,2,0)</f>
        <v>SINAPI</v>
      </c>
      <c r="I629" s="700">
        <f>VLOOKUP(G629,LEITOS_SECAGEM!A:M,3,0)</f>
        <v>90105</v>
      </c>
      <c r="J629" s="824"/>
      <c r="K629" s="790" t="str">
        <f>(IF(H629="Saneago",VLOOKUP(I629,'SANEAGO-FEV.2016'!A:B,2,0),IF(H629="Sinapi",VLOOKUP(I629,'SINAPI-FEV.2017'!A:D,2,0),IF(H629="Cotação",VLOOKUP(I629,COTAÇÃO!A:D,2,0),IF(H629="Composição",VLOOKUP(I629,COMPOSIÇÃO!A:D,2,0))))))</f>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
      <c r="L629" s="700" t="str">
        <f>(IF(H629="Saneago",VLOOKUP(I629,'SANEAGO-FEV.2016'!A:D,3,0),IF(H629="Sinapi",VLOOKUP(I629,'SINAPI-FEV.2017'!A:D,3,0),IF(H629="Cotação",VLOOKUP(I629,COTAÇÃO!A:D,3,0),IF(H629="Composição",VLOOKUP(I629,COMPOSIÇÃO!A:D,3,0))))))</f>
        <v>M3</v>
      </c>
      <c r="M629" s="870">
        <f>ROUND(VLOOKUP(G629,LEITOS_SECAGEM!A:M,13,0),2)</f>
        <v>61.56</v>
      </c>
      <c r="N629" s="399">
        <v>0</v>
      </c>
      <c r="O629" s="102">
        <f t="shared" ref="O629:O635" si="118">ROUND(IF(F629="Serviços",N629*(1+$O$7),IF(F629="Materiais",N629*(1+$O$8))),2)</f>
        <v>0</v>
      </c>
      <c r="P629" s="101">
        <f t="shared" ref="P629:P635" si="119">ROUND(M629*O629,2)</f>
        <v>0</v>
      </c>
      <c r="Q629" s="1472">
        <v>61.56</v>
      </c>
    </row>
    <row r="630" spans="1:17" ht="33.75">
      <c r="A630" s="1482"/>
      <c r="B630" s="1482"/>
      <c r="C630" s="1483">
        <f t="shared" si="98"/>
        <v>6</v>
      </c>
      <c r="D630" s="1492">
        <f t="shared" si="116"/>
        <v>3</v>
      </c>
      <c r="E630" s="1492">
        <f t="shared" si="117"/>
        <v>2</v>
      </c>
      <c r="F630" s="1484" t="s">
        <v>11708</v>
      </c>
      <c r="G630" s="862" t="s">
        <v>12494</v>
      </c>
      <c r="H630" s="823" t="str">
        <f>VLOOKUP(G630,LEITOS_SECAGEM!A:M,2,0)</f>
        <v>Saneago</v>
      </c>
      <c r="I630" s="700">
        <f>VLOOKUP(G630,LEITOS_SECAGEM!A:M,3,0)</f>
        <v>184</v>
      </c>
      <c r="J630" s="824"/>
      <c r="K630" s="790" t="str">
        <f>(IF(H630="Saneago",VLOOKUP(I630,'SANEAGO-FEV.2016'!A:B,2,0),IF(H630="Sinapi",VLOOKUP(I630,'SINAPI-FEV.2017'!A:D,2,0),IF(H630="Cotação",VLOOKUP(I630,COTAÇÃO!A:D,2,0),IF(H630="Composição",VLOOKUP(I630,COMPOSIÇÃO!A:D,2,0))))))</f>
        <v>ESCAVAÇÃO  MECANIZADA  (COM ESCAVADEIRA HIDRÁULICA)  EM VALAS COM MATERIAL DE 2ª CATEGORIA
- PROFUNDIDADE ATÉ 2,0 M</v>
      </c>
      <c r="L630" s="700" t="str">
        <f>(IF(H630="Saneago",VLOOKUP(I630,'SANEAGO-FEV.2016'!A:D,3,0),IF(H630="Sinapi",VLOOKUP(I630,'SINAPI-FEV.2017'!A:D,3,0),IF(H630="Cotação",VLOOKUP(I630,COTAÇÃO!A:D,3,0),IF(H630="Composição",VLOOKUP(I630,COMPOSIÇÃO!A:D,3,0))))))</f>
        <v>M3</v>
      </c>
      <c r="M630" s="870">
        <f>ROUND(VLOOKUP(G630,LEITOS_SECAGEM!A:M,13,0),2)</f>
        <v>3.42</v>
      </c>
      <c r="N630" s="399">
        <v>0</v>
      </c>
      <c r="O630" s="102">
        <f t="shared" si="118"/>
        <v>0</v>
      </c>
      <c r="P630" s="101">
        <f t="shared" si="119"/>
        <v>0</v>
      </c>
      <c r="Q630" s="1472">
        <v>3.42</v>
      </c>
    </row>
    <row r="631" spans="1:17" ht="22.5">
      <c r="A631" s="1482"/>
      <c r="B631" s="1482"/>
      <c r="C631" s="1483">
        <f t="shared" ref="C631:C639" si="120">C630</f>
        <v>6</v>
      </c>
      <c r="D631" s="1492">
        <f t="shared" si="116"/>
        <v>3</v>
      </c>
      <c r="E631" s="1492">
        <f t="shared" si="117"/>
        <v>2</v>
      </c>
      <c r="F631" s="1484" t="s">
        <v>11708</v>
      </c>
      <c r="G631" s="862" t="s">
        <v>12496</v>
      </c>
      <c r="H631" s="823" t="str">
        <f>VLOOKUP(G631,LEITOS_SECAGEM!A:M,2,0)</f>
        <v>Saneago</v>
      </c>
      <c r="I631" s="700">
        <f>VLOOKUP(G631,LEITOS_SECAGEM!A:M,3,0)</f>
        <v>187</v>
      </c>
      <c r="J631" s="824"/>
      <c r="K631" s="790" t="str">
        <f>(IF(H631="Saneago",VLOOKUP(I631,'SANEAGO-FEV.2016'!A:B,2,0),IF(H631="Sinapi",VLOOKUP(I631,'SINAPI-FEV.2017'!A:D,2,0),IF(H631="Cotação",VLOOKUP(I631,COTAÇÃO!A:D,2,0),IF(H631="Composição",VLOOKUP(I631,COMPOSIÇÃO!A:D,2,0))))))</f>
        <v>ESCAVAÇÃO  MECANIZADA  (COM ESCAVADEIRA HIDRÁULICA)  EM VALAS COM MATERIAL  DE SOLO MOLE - PROFUNDIDADE ATÉ 2,0 M</v>
      </c>
      <c r="L631" s="700" t="str">
        <f>(IF(H631="Saneago",VLOOKUP(I631,'SANEAGO-FEV.2016'!A:D,3,0),IF(H631="Sinapi",VLOOKUP(I631,'SINAPI-FEV.2017'!A:D,3,0),IF(H631="Cotação",VLOOKUP(I631,COTAÇÃO!A:D,3,0),IF(H631="Composição",VLOOKUP(I631,COMPOSIÇÃO!A:D,3,0))))))</f>
        <v>M3</v>
      </c>
      <c r="M631" s="870">
        <f>ROUND(VLOOKUP(G631,LEITOS_SECAGEM!A:M,13,0),2)</f>
        <v>3.42</v>
      </c>
      <c r="N631" s="399">
        <v>0</v>
      </c>
      <c r="O631" s="102">
        <f t="shared" si="118"/>
        <v>0</v>
      </c>
      <c r="P631" s="101">
        <f t="shared" si="119"/>
        <v>0</v>
      </c>
      <c r="Q631" s="1472">
        <v>3.42</v>
      </c>
    </row>
    <row r="632" spans="1:17">
      <c r="A632" s="1482"/>
      <c r="B632" s="1482"/>
      <c r="C632" s="1483">
        <f t="shared" si="120"/>
        <v>6</v>
      </c>
      <c r="D632" s="1492">
        <f t="shared" si="116"/>
        <v>3</v>
      </c>
      <c r="E632" s="1492">
        <f t="shared" si="117"/>
        <v>2</v>
      </c>
      <c r="F632" s="1484" t="s">
        <v>11708</v>
      </c>
      <c r="G632" s="862" t="s">
        <v>12498</v>
      </c>
      <c r="H632" s="823" t="str">
        <f>VLOOKUP(G632,LEITOS_SECAGEM!A:M,2,0)</f>
        <v>SINAPI</v>
      </c>
      <c r="I632" s="700">
        <f>VLOOKUP(G632,LEITOS_SECAGEM!A:M,3,0)</f>
        <v>93358</v>
      </c>
      <c r="J632" s="824"/>
      <c r="K632" s="790" t="str">
        <f>(IF(H632="Saneago",VLOOKUP(I632,'SANEAGO-FEV.2016'!A:B,2,0),IF(H632="Sinapi",VLOOKUP(I632,'SINAPI-FEV.2017'!A:D,2,0),IF(H632="Cotação",VLOOKUP(I632,COTAÇÃO!A:D,2,0),IF(H632="Composição",VLOOKUP(I632,COMPOSIÇÃO!A:D,2,0))))))</f>
        <v>ESCAVAÇÃO MANUAL DE VALAS. AF_03/2016</v>
      </c>
      <c r="L632" s="700" t="str">
        <f>(IF(H632="Saneago",VLOOKUP(I632,'SANEAGO-FEV.2016'!A:D,3,0),IF(H632="Sinapi",VLOOKUP(I632,'SINAPI-FEV.2017'!A:D,3,0),IF(H632="Cotação",VLOOKUP(I632,COTAÇÃO!A:D,3,0),IF(H632="Composição",VLOOKUP(I632,COMPOSIÇÃO!A:D,3,0))))))</f>
        <v>M3</v>
      </c>
      <c r="M632" s="870">
        <f>ROUND(VLOOKUP(G632,LEITOS_SECAGEM!A:M,13,0),2)</f>
        <v>3.24</v>
      </c>
      <c r="N632" s="399">
        <v>0</v>
      </c>
      <c r="O632" s="102">
        <f t="shared" si="118"/>
        <v>0</v>
      </c>
      <c r="P632" s="101">
        <f t="shared" si="119"/>
        <v>0</v>
      </c>
      <c r="Q632" s="1472">
        <v>3.24</v>
      </c>
    </row>
    <row r="633" spans="1:17" ht="22.5">
      <c r="A633" s="1482"/>
      <c r="B633" s="1482"/>
      <c r="C633" s="1483">
        <f t="shared" si="120"/>
        <v>6</v>
      </c>
      <c r="D633" s="1492">
        <f t="shared" si="116"/>
        <v>3</v>
      </c>
      <c r="E633" s="1492">
        <f t="shared" si="117"/>
        <v>2</v>
      </c>
      <c r="F633" s="1484" t="s">
        <v>11708</v>
      </c>
      <c r="G633" s="862" t="s">
        <v>12500</v>
      </c>
      <c r="H633" s="823" t="str">
        <f>VLOOKUP(G633,LEITOS_SECAGEM!A:M,2,0)</f>
        <v>Saneago</v>
      </c>
      <c r="I633" s="700">
        <f>VLOOKUP(G633,LEITOS_SECAGEM!A:M,3,0)</f>
        <v>170</v>
      </c>
      <c r="J633" s="824"/>
      <c r="K633" s="790" t="str">
        <f>(IF(H633="Saneago",VLOOKUP(I633,'SANEAGO-FEV.2016'!A:B,2,0),IF(H633="Sinapi",VLOOKUP(I633,'SINAPI-FEV.2017'!A:D,2,0),IF(H633="Cotação",VLOOKUP(I633,COTAÇÃO!A:D,2,0),IF(H633="Composição",VLOOKUP(I633,COMPOSIÇÃO!A:D,2,0))))))</f>
        <v>ESCAVAÇÃO  MANUAL EM VALAS COM MATERIAL DE 2ª CATEGORIA  - PROFUNDIDADE ATÉ 2,0 M</v>
      </c>
      <c r="L633" s="700" t="str">
        <f>(IF(H633="Saneago",VLOOKUP(I633,'SANEAGO-FEV.2016'!A:D,3,0),IF(H633="Sinapi",VLOOKUP(I633,'SINAPI-FEV.2017'!A:D,3,0),IF(H633="Cotação",VLOOKUP(I633,COTAÇÃO!A:D,3,0),IF(H633="Composição",VLOOKUP(I633,COMPOSIÇÃO!A:D,3,0))))))</f>
        <v>M3</v>
      </c>
      <c r="M633" s="870">
        <f>ROUND(VLOOKUP(G633,LEITOS_SECAGEM!A:M,13,0),2)</f>
        <v>0.18</v>
      </c>
      <c r="N633" s="399">
        <v>0</v>
      </c>
      <c r="O633" s="102">
        <f t="shared" si="118"/>
        <v>0</v>
      </c>
      <c r="P633" s="101">
        <f t="shared" si="119"/>
        <v>0</v>
      </c>
      <c r="Q633" s="1472">
        <v>0.18</v>
      </c>
    </row>
    <row r="634" spans="1:17" ht="33.75">
      <c r="A634" s="1482"/>
      <c r="B634" s="1482"/>
      <c r="C634" s="1483">
        <f t="shared" si="120"/>
        <v>6</v>
      </c>
      <c r="D634" s="1492">
        <f t="shared" si="116"/>
        <v>3</v>
      </c>
      <c r="E634" s="1492">
        <f t="shared" si="117"/>
        <v>2</v>
      </c>
      <c r="F634" s="1484" t="s">
        <v>11708</v>
      </c>
      <c r="G634" s="862" t="s">
        <v>12502</v>
      </c>
      <c r="H634" s="823" t="str">
        <f>VLOOKUP(G634,LEITOS_SECAGEM!A:M,2,0)</f>
        <v>Saneago</v>
      </c>
      <c r="I634" s="700">
        <f>VLOOKUP(G634,LEITOS_SECAGEM!A:M,3,0)</f>
        <v>172</v>
      </c>
      <c r="J634" s="824"/>
      <c r="K634" s="790" t="str">
        <f>(IF(H634="Saneago",VLOOKUP(I634,'SANEAGO-FEV.2016'!A:B,2,0),IF(H634="Sinapi",VLOOKUP(I634,'SINAPI-FEV.2017'!A:D,2,0),IF(H634="Cotação",VLOOKUP(I634,COTAÇÃO!A:D,2,0),IF(H634="Composição",VLOOKUP(I634,COMPOSIÇÃO!A:D,2,0))))))</f>
        <v>ESCAVAÇÃO   MANUAL   EM  VALAS  COM  MATERIAL   DE  3ª  CATEGORIA   SEM  USO  DE  EXPLOSIVO   COM UTILIZAÇÃO  DE COMPRESSOR E ROMPEDOR  -  PROFUNDIDADE ATÉ 2,0M</v>
      </c>
      <c r="L634" s="700" t="str">
        <f>(IF(H634="Saneago",VLOOKUP(I634,'SANEAGO-FEV.2016'!A:D,3,0),IF(H634="Sinapi",VLOOKUP(I634,'SINAPI-FEV.2017'!A:D,3,0),IF(H634="Cotação",VLOOKUP(I634,COTAÇÃO!A:D,3,0),IF(H634="Composição",VLOOKUP(I634,COMPOSIÇÃO!A:D,3,0))))))</f>
        <v>M3</v>
      </c>
      <c r="M634" s="870">
        <f>ROUND(VLOOKUP(G634,LEITOS_SECAGEM!A:M,13,0),2)</f>
        <v>0.18</v>
      </c>
      <c r="N634" s="399">
        <v>0</v>
      </c>
      <c r="O634" s="102">
        <f t="shared" si="118"/>
        <v>0</v>
      </c>
      <c r="P634" s="101">
        <f t="shared" si="119"/>
        <v>0</v>
      </c>
      <c r="Q634" s="1472">
        <v>0.18</v>
      </c>
    </row>
    <row r="635" spans="1:17">
      <c r="A635" s="1482"/>
      <c r="B635" s="1482"/>
      <c r="C635" s="1483">
        <f t="shared" si="120"/>
        <v>6</v>
      </c>
      <c r="D635" s="1492">
        <f t="shared" si="116"/>
        <v>3</v>
      </c>
      <c r="E635" s="1492">
        <f t="shared" si="117"/>
        <v>2</v>
      </c>
      <c r="F635" s="1484" t="s">
        <v>11708</v>
      </c>
      <c r="G635" s="862" t="s">
        <v>12505</v>
      </c>
      <c r="H635" s="823" t="str">
        <f>VLOOKUP(G635,LEITOS_SECAGEM!A:M,2,0)</f>
        <v>SINAPI</v>
      </c>
      <c r="I635" s="700">
        <f>VLOOKUP(G635,LEITOS_SECAGEM!A:M,3,0)</f>
        <v>79472</v>
      </c>
      <c r="J635" s="824"/>
      <c r="K635" s="790" t="str">
        <f>(IF(H635="Saneago",VLOOKUP(I635,'SANEAGO-FEV.2016'!A:B,2,0),IF(H635="Sinapi",VLOOKUP(I635,'SINAPI-FEV.2017'!A:D,2,0),IF(H635="Cotação",VLOOKUP(I635,COTAÇÃO!A:D,2,0),IF(H635="Composição",VLOOKUP(I635,COMPOSIÇÃO!A:D,2,0))))))</f>
        <v>REGULARIZACAO DE SUPERFICIES EM TERRA COM MOTONIVELADORA</v>
      </c>
      <c r="L635" s="700" t="str">
        <f>(IF(H635="Saneago",VLOOKUP(I635,'SANEAGO-FEV.2016'!A:D,3,0),IF(H635="Sinapi",VLOOKUP(I635,'SINAPI-FEV.2017'!A:D,3,0),IF(H635="Cotação",VLOOKUP(I635,COTAÇÃO!A:D,3,0),IF(H635="Composição",VLOOKUP(I635,COMPOSIÇÃO!A:D,3,0))))))</f>
        <v>M2</v>
      </c>
      <c r="M635" s="870">
        <f>ROUND(VLOOKUP(G635,LEITOS_SECAGEM!A:M,13,0),2)</f>
        <v>1746</v>
      </c>
      <c r="N635" s="399">
        <v>0</v>
      </c>
      <c r="O635" s="102">
        <f t="shared" si="118"/>
        <v>0</v>
      </c>
      <c r="P635" s="101">
        <f t="shared" si="119"/>
        <v>0</v>
      </c>
      <c r="Q635" s="1472">
        <v>1760</v>
      </c>
    </row>
    <row r="636" spans="1:17" ht="45">
      <c r="A636" s="1482"/>
      <c r="B636" s="1482"/>
      <c r="C636" s="1483">
        <f t="shared" si="120"/>
        <v>6</v>
      </c>
      <c r="D636" s="1492">
        <f t="shared" si="116"/>
        <v>3</v>
      </c>
      <c r="E636" s="1492">
        <f t="shared" si="117"/>
        <v>2</v>
      </c>
      <c r="F636" s="1484" t="s">
        <v>11708</v>
      </c>
      <c r="G636" s="862" t="s">
        <v>12506</v>
      </c>
      <c r="H636" s="823" t="str">
        <f>VLOOKUP(G636,LEITOS_SECAGEM!A:M,2,0)</f>
        <v>SINAPI</v>
      </c>
      <c r="I636" s="700">
        <f>VLOOKUP(G636,LEITOS_SECAGEM!A:M,3,0)</f>
        <v>93367</v>
      </c>
      <c r="J636" s="824"/>
      <c r="K636" s="790" t="str">
        <f>(IF(H636="Saneago",VLOOKUP(I636,'SANEAGO-FEV.2016'!A:B,2,0),IF(H636="Sinapi",VLOOKUP(I636,'SINAPI-FEV.2017'!A:D,2,0),IF(H636="Cotação",VLOOKUP(I636,COTAÇÃO!A:D,2,0),IF(H636="Composição",VLOOKUP(I636,COMPOSIÇÃO!A:D,2,0))))))</f>
        <v>REATERRO MECANIZADO DE VALA COM ESCAVADEIRA HIDRÁULICA (CAPACIDADE DA CAÇAMBA: 0,8 M³ / POTÊNCIA: 111 HP), LARGURA DE 1,5 A 2,5 M, PROFUNDIDADE ATÉ 1,5 M, COM SOLO (SEM SUBSTITUIÇÃO) DE 1ª CATEGORIA EM LOCAIS COM BAIXO NÍVEL DE INTERFERÊNCIA. AF_04/2016</v>
      </c>
      <c r="L636" s="700" t="str">
        <f>(IF(H636="Saneago",VLOOKUP(I636,'SANEAGO-FEV.2016'!A:D,3,0),IF(H636="Sinapi",VLOOKUP(I636,'SINAPI-FEV.2017'!A:D,3,0),IF(H636="Cotação",VLOOKUP(I636,COTAÇÃO!A:D,3,0),IF(H636="Composição",VLOOKUP(I636,COMPOSIÇÃO!A:D,3,0))))))</f>
        <v>M3</v>
      </c>
      <c r="M636" s="870">
        <f>ROUND(VLOOKUP(G636,LEITOS_SECAGEM!A:M,13,0),2)</f>
        <v>3001.5</v>
      </c>
      <c r="N636" s="399">
        <v>0</v>
      </c>
      <c r="O636" s="102">
        <f>ROUND(IF(F636="Serviços",N636*(1+$O$7),IF(F636="Materiais",N636*(1+$O$8))),2)</f>
        <v>0</v>
      </c>
      <c r="P636" s="101">
        <f>ROUND(M636*O636,2)</f>
        <v>0</v>
      </c>
      <c r="Q636" s="1472">
        <v>3001.5</v>
      </c>
    </row>
    <row r="637" spans="1:17">
      <c r="A637" s="1482"/>
      <c r="B637" s="1482"/>
      <c r="C637" s="1483">
        <f t="shared" si="120"/>
        <v>6</v>
      </c>
      <c r="D637" s="1492">
        <f t="shared" si="116"/>
        <v>3</v>
      </c>
      <c r="E637" s="1492">
        <f t="shared" si="117"/>
        <v>2</v>
      </c>
      <c r="F637" s="1484" t="s">
        <v>11708</v>
      </c>
      <c r="G637" s="862" t="s">
        <v>12507</v>
      </c>
      <c r="H637" s="823" t="str">
        <f>VLOOKUP(G637,LEITOS_SECAGEM!A:M,2,0)</f>
        <v>SINAPI</v>
      </c>
      <c r="I637" s="700" t="str">
        <f>VLOOKUP(G637,LEITOS_SECAGEM!A:M,3,0)</f>
        <v>73964/6</v>
      </c>
      <c r="J637" s="824"/>
      <c r="K637" s="790" t="str">
        <f>(IF(H637="Saneago",VLOOKUP(I637,'SANEAGO-FEV.2016'!A:B,2,0),IF(H637="Sinapi",VLOOKUP(I637,'SINAPI-FEV.2017'!A:D,2,0),IF(H637="Cotação",VLOOKUP(I637,COTAÇÃO!A:D,2,0),IF(H637="Composição",VLOOKUP(I637,COMPOSIÇÃO!A:D,2,0))))))</f>
        <v>REATERRO DE VALA COM COMPACTAÇÃO MANUAL</v>
      </c>
      <c r="L637" s="700" t="str">
        <f>(IF(H637="Saneago",VLOOKUP(I637,'SANEAGO-FEV.2016'!A:D,3,0),IF(H637="Sinapi",VLOOKUP(I637,'SINAPI-FEV.2017'!A:D,3,0),IF(H637="Cotação",VLOOKUP(I637,COTAÇÃO!A:D,3,0),IF(H637="Composição",VLOOKUP(I637,COMPOSIÇÃO!A:D,3,0))))))</f>
        <v>M3</v>
      </c>
      <c r="M637" s="870">
        <f>ROUND(VLOOKUP(G637,LEITOS_SECAGEM!A:M,13,0),2)</f>
        <v>333.5</v>
      </c>
      <c r="N637" s="399">
        <v>0</v>
      </c>
      <c r="O637" s="102">
        <f>ROUND(IF(F637="Serviços",N637*(1+$O$7),IF(F637="Materiais",N637*(1+$O$8))),2)</f>
        <v>0</v>
      </c>
      <c r="P637" s="101">
        <f>ROUND(M637*O637,2)</f>
        <v>0</v>
      </c>
      <c r="Q637" s="1472">
        <v>333.5</v>
      </c>
    </row>
    <row r="638" spans="1:17" ht="15.75" thickBot="1">
      <c r="A638" s="1482"/>
      <c r="B638" s="1482"/>
      <c r="C638" s="1483">
        <f t="shared" si="120"/>
        <v>6</v>
      </c>
      <c r="D638" s="1492">
        <f t="shared" si="116"/>
        <v>3</v>
      </c>
      <c r="E638" s="1492">
        <f t="shared" si="117"/>
        <v>2</v>
      </c>
      <c r="F638" s="1484" t="s">
        <v>11708</v>
      </c>
      <c r="G638" s="862"/>
      <c r="H638" s="823"/>
      <c r="I638" s="700"/>
      <c r="J638" s="824"/>
      <c r="K638" s="790"/>
      <c r="L638" s="700"/>
      <c r="M638" s="870"/>
      <c r="N638" s="399"/>
      <c r="O638" s="102"/>
      <c r="P638" s="101"/>
    </row>
    <row r="639" spans="1:17" ht="16.5" customHeight="1" thickTop="1" thickBot="1">
      <c r="A639" s="1482"/>
      <c r="B639" s="1482"/>
      <c r="C639" s="1483">
        <f t="shared" si="120"/>
        <v>6</v>
      </c>
      <c r="D639" s="1492">
        <f t="shared" si="116"/>
        <v>3</v>
      </c>
      <c r="E639" s="1492">
        <f t="shared" si="117"/>
        <v>2</v>
      </c>
      <c r="F639" s="1484" t="s">
        <v>11708</v>
      </c>
      <c r="G639" s="862"/>
      <c r="H639" s="1653" t="str">
        <f>"TOTAL ITEM: "&amp;J627 &amp;K627</f>
        <v>TOTAL ITEM: 6.3.2 MOVIMENTO DE TERRA</v>
      </c>
      <c r="I639" s="1654"/>
      <c r="J639" s="1654"/>
      <c r="K639" s="1654"/>
      <c r="L639" s="1654"/>
      <c r="M639" s="1654"/>
      <c r="N639" s="1654"/>
      <c r="O639" s="1654"/>
      <c r="P639" s="210">
        <f>SUBTOTAL(9,P629:P637)</f>
        <v>0</v>
      </c>
    </row>
    <row r="640" spans="1:17" ht="15.75" thickTop="1">
      <c r="A640" s="1482"/>
      <c r="B640" s="1482"/>
      <c r="C640" s="1483">
        <f t="shared" ref="C640:C697" si="121">C639</f>
        <v>6</v>
      </c>
      <c r="D640" s="1492">
        <f t="shared" ref="D640:D698" si="122">D639+A640</f>
        <v>3</v>
      </c>
      <c r="E640" s="1492">
        <f t="shared" ref="E640:E698" si="123">E639+B640</f>
        <v>2</v>
      </c>
      <c r="F640" s="1484" t="s">
        <v>11708</v>
      </c>
      <c r="H640" s="1095"/>
      <c r="I640" s="780"/>
      <c r="J640" s="834"/>
      <c r="K640" s="780"/>
      <c r="L640" s="780"/>
      <c r="M640" s="1270"/>
      <c r="N640" s="400"/>
      <c r="O640" s="122"/>
      <c r="P640" s="123"/>
    </row>
    <row r="641" spans="1:17">
      <c r="A641" s="1482"/>
      <c r="B641" s="1482">
        <v>1</v>
      </c>
      <c r="C641" s="1483">
        <f t="shared" si="121"/>
        <v>6</v>
      </c>
      <c r="D641" s="1492">
        <f t="shared" si="122"/>
        <v>3</v>
      </c>
      <c r="E641" s="1492">
        <f t="shared" si="123"/>
        <v>3</v>
      </c>
      <c r="F641" s="1484" t="s">
        <v>11708</v>
      </c>
      <c r="H641" s="1514" t="s">
        <v>11703</v>
      </c>
      <c r="I641" s="1515" t="s">
        <v>64</v>
      </c>
      <c r="J641" s="1516" t="str">
        <f>CONCATENATE(C641,".",D641,".",E641)</f>
        <v>6.3.3</v>
      </c>
      <c r="K641" s="1516" t="s">
        <v>20392</v>
      </c>
      <c r="L641" s="1517" t="s">
        <v>25</v>
      </c>
      <c r="M641" s="1518" t="s">
        <v>11704</v>
      </c>
      <c r="N641" s="398" t="s">
        <v>11705</v>
      </c>
      <c r="O641" s="207" t="s">
        <v>11706</v>
      </c>
      <c r="P641" s="208" t="s">
        <v>27</v>
      </c>
      <c r="Q641" s="1472" t="s">
        <v>11704</v>
      </c>
    </row>
    <row r="642" spans="1:17">
      <c r="A642" s="1482"/>
      <c r="B642" s="1482"/>
      <c r="C642" s="1483">
        <f t="shared" si="121"/>
        <v>6</v>
      </c>
      <c r="D642" s="1492">
        <f t="shared" si="122"/>
        <v>3</v>
      </c>
      <c r="E642" s="1492">
        <f t="shared" si="123"/>
        <v>3</v>
      </c>
      <c r="F642" s="1484" t="s">
        <v>11708</v>
      </c>
      <c r="H642" s="1095"/>
      <c r="I642" s="780"/>
      <c r="J642" s="834"/>
      <c r="K642" s="780"/>
      <c r="L642" s="780"/>
      <c r="M642" s="1270"/>
      <c r="N642" s="400"/>
      <c r="O642" s="122"/>
      <c r="P642" s="123"/>
    </row>
    <row r="643" spans="1:17">
      <c r="A643" s="1482"/>
      <c r="B643" s="1482"/>
      <c r="C643" s="1483">
        <f t="shared" si="121"/>
        <v>6</v>
      </c>
      <c r="D643" s="1492">
        <f>D642+A643</f>
        <v>3</v>
      </c>
      <c r="E643" s="1492">
        <f>E642+B643</f>
        <v>3</v>
      </c>
      <c r="F643" s="1484" t="s">
        <v>11708</v>
      </c>
      <c r="G643" s="862" t="s">
        <v>20381</v>
      </c>
      <c r="H643" s="823" t="str">
        <f>VLOOKUP(G643,LEITOS_SECAGEM!A:M,2,0)</f>
        <v>Saneago</v>
      </c>
      <c r="I643" s="700">
        <f>VLOOKUP(G643,LEITOS_SECAGEM!A:M,3,0)</f>
        <v>232</v>
      </c>
      <c r="J643" s="824"/>
      <c r="K643" s="790" t="str">
        <f>(IF(H643="Saneago",VLOOKUP(I643,'SANEAGO-FEV.2016'!A:B,2,0),IF(H643="Sinapi",VLOOKUP(I643,'SINAPI-FEV.2017'!A:D,2,0),IF(H643="Cotação",VLOOKUP(I643,COTAÇÃO!A:D,2,0),IF(H643="Composição",VLOOKUP(I643,COMPOSIÇÃO!A:D,2,0))))))</f>
        <v>AQUISIÇÃO  DE MATERIAL DE JAZIDA</v>
      </c>
      <c r="L643" s="700" t="str">
        <f>(IF(H643="Saneago",VLOOKUP(I643,'SANEAGO-FEV.2016'!A:D,3,0),IF(H643="Sinapi",VLOOKUP(I643,'SINAPI-FEV.2017'!A:D,3,0),IF(H643="Cotação",VLOOKUP(I643,COTAÇÃO!A:D,3,0),IF(H643="Composição",VLOOKUP(I643,COMPOSIÇÃO!A:D,3,0))))))</f>
        <v>M3</v>
      </c>
      <c r="M643" s="870">
        <f>ROUND(VLOOKUP(G643,LEITOS_SECAGEM!A:M,13,0),2)</f>
        <v>4002</v>
      </c>
      <c r="N643" s="399">
        <v>0</v>
      </c>
      <c r="O643" s="102">
        <f>ROUND(IF(F643="Serviços",N643*(1+$O$7),IF(F643="Materiais",N643*(1+$O$8))),2)</f>
        <v>0</v>
      </c>
      <c r="P643" s="101">
        <f>ROUND(M643*O643,2)</f>
        <v>0</v>
      </c>
      <c r="Q643" s="1472">
        <v>4002</v>
      </c>
    </row>
    <row r="644" spans="1:17" ht="22.5">
      <c r="A644" s="1482"/>
      <c r="B644" s="1482"/>
      <c r="C644" s="1483">
        <f t="shared" si="121"/>
        <v>6</v>
      </c>
      <c r="D644" s="1492">
        <f t="shared" si="122"/>
        <v>3</v>
      </c>
      <c r="E644" s="1492">
        <f t="shared" si="123"/>
        <v>3</v>
      </c>
      <c r="F644" s="1484" t="s">
        <v>11708</v>
      </c>
      <c r="G644" s="862" t="s">
        <v>20382</v>
      </c>
      <c r="H644" s="823" t="str">
        <f>VLOOKUP(G644,LEITOS_SECAGEM!A:M,2,0)</f>
        <v>Saneago</v>
      </c>
      <c r="I644" s="700">
        <f>VLOOKUP(G644,LEITOS_SECAGEM!A:M,3,0)</f>
        <v>233</v>
      </c>
      <c r="J644" s="824"/>
      <c r="K644" s="790" t="str">
        <f>(IF(H644="Saneago",VLOOKUP(I644,'SANEAGO-FEV.2016'!A:B,2,0),IF(H644="Sinapi",VLOOKUP(I644,'SINAPI-FEV.2017'!A:D,2,0),IF(H644="Cotação",VLOOKUP(I644,COTAÇÃO!A:D,2,0),IF(H644="Composição",VLOOKUP(I644,COMPOSIÇÃO!A:D,2,0))))))</f>
        <v>ESCAVAÇÃO  E CARGA DE MATERIAL DE JAZIDA (COM TRATOR E PÁ CARREGADEIRA)</v>
      </c>
      <c r="L644" s="700" t="str">
        <f>(IF(H644="Saneago",VLOOKUP(I644,'SANEAGO-FEV.2016'!A:D,3,0),IF(H644="Sinapi",VLOOKUP(I644,'SINAPI-FEV.2017'!A:D,3,0),IF(H644="Cotação",VLOOKUP(I644,COTAÇÃO!A:D,3,0),IF(H644="Composição",VLOOKUP(I644,COMPOSIÇÃO!A:D,3,0))))))</f>
        <v>M3</v>
      </c>
      <c r="M644" s="870">
        <f>ROUND(VLOOKUP(G644,LEITOS_SECAGEM!A:M,13,0),2)</f>
        <v>4002</v>
      </c>
      <c r="N644" s="399">
        <v>0</v>
      </c>
      <c r="O644" s="102">
        <f>ROUND(IF(F644="Serviços",N644*(1+$O$7),IF(F644="Materiais",N644*(1+$O$8))),2)</f>
        <v>0</v>
      </c>
      <c r="P644" s="101">
        <f>ROUND(M644*O644,2)</f>
        <v>0</v>
      </c>
      <c r="Q644" s="1472">
        <v>4002</v>
      </c>
    </row>
    <row r="645" spans="1:17" ht="22.5">
      <c r="A645" s="1482"/>
      <c r="B645" s="1482"/>
      <c r="C645" s="1483">
        <f t="shared" si="121"/>
        <v>6</v>
      </c>
      <c r="D645" s="1492">
        <f t="shared" si="122"/>
        <v>3</v>
      </c>
      <c r="E645" s="1492">
        <f t="shared" si="123"/>
        <v>3</v>
      </c>
      <c r="F645" s="1484" t="s">
        <v>11708</v>
      </c>
      <c r="G645" s="862" t="s">
        <v>20383</v>
      </c>
      <c r="H645" s="823" t="str">
        <f>VLOOKUP(G645,LEITOS_SECAGEM!A:M,2,0)</f>
        <v>Saneago</v>
      </c>
      <c r="I645" s="700">
        <f>VLOOKUP(G645,LEITOS_SECAGEM!A:M,3,0)</f>
        <v>19314</v>
      </c>
      <c r="J645" s="824"/>
      <c r="K645" s="790" t="str">
        <f>(IF(H645="Saneago",VLOOKUP(I645,'SANEAGO-FEV.2016'!A:B,2,0),IF(H645="Sinapi",VLOOKUP(I645,'SINAPI-FEV.2017'!A:D,2,0),IF(H645="Cotação",VLOOKUP(I645,COTAÇÃO!A:D,2,0),IF(H645="Composição",VLOOKUP(I645,COMPOSIÇÃO!A:D,2,0))))))</f>
        <v>TRANSPORTE E DESCARGA  DE MATERIAL  DE JAZIDA (M3 X KM) - EM CAMINHÃO  BASCULANTE CAP. 10 M3 - COM EMPOLAMENTO</v>
      </c>
      <c r="L645" s="700" t="str">
        <f>(IF(H645="Saneago",VLOOKUP(I645,'SANEAGO-FEV.2016'!A:D,3,0),IF(H645="Sinapi",VLOOKUP(I645,'SINAPI-FEV.2017'!A:D,3,0),IF(H645="Cotação",VLOOKUP(I645,COTAÇÃO!A:D,3,0),IF(H645="Composição",VLOOKUP(I645,COMPOSIÇÃO!A:D,3,0))))))</f>
        <v>M3XKM</v>
      </c>
      <c r="M645" s="870">
        <f>ROUND(VLOOKUP(G645,LEITOS_SECAGEM!A:M,13,0),2)</f>
        <v>15341</v>
      </c>
      <c r="N645" s="399">
        <v>0</v>
      </c>
      <c r="O645" s="102">
        <f>ROUND(IF(F645="Serviços",N645*(1+$O$7),IF(F645="Materiais",N645*(1+$O$8))),2)</f>
        <v>0</v>
      </c>
      <c r="P645" s="101">
        <f>ROUND(M645*O645,2)</f>
        <v>0</v>
      </c>
      <c r="Q645" s="1472">
        <v>15341</v>
      </c>
    </row>
    <row r="646" spans="1:17" ht="15.75" thickBot="1">
      <c r="A646" s="1482"/>
      <c r="B646" s="1482"/>
      <c r="C646" s="1483">
        <f t="shared" si="121"/>
        <v>6</v>
      </c>
      <c r="D646" s="1492">
        <f t="shared" si="122"/>
        <v>3</v>
      </c>
      <c r="E646" s="1492">
        <f t="shared" si="123"/>
        <v>3</v>
      </c>
      <c r="F646" s="1484" t="s">
        <v>11708</v>
      </c>
      <c r="G646" s="905"/>
      <c r="H646" s="1095"/>
      <c r="I646" s="780"/>
      <c r="J646" s="834"/>
      <c r="K646" s="780"/>
      <c r="L646" s="780"/>
      <c r="M646" s="1270"/>
      <c r="N646" s="400"/>
      <c r="O646" s="122"/>
      <c r="P646" s="123"/>
    </row>
    <row r="647" spans="1:17" ht="16.5" customHeight="1" thickTop="1" thickBot="1">
      <c r="A647" s="1482"/>
      <c r="B647" s="1482"/>
      <c r="C647" s="1483">
        <f t="shared" si="121"/>
        <v>6</v>
      </c>
      <c r="D647" s="1492">
        <f t="shared" si="122"/>
        <v>3</v>
      </c>
      <c r="E647" s="1492">
        <f t="shared" si="123"/>
        <v>3</v>
      </c>
      <c r="F647" s="1484" t="s">
        <v>11708</v>
      </c>
      <c r="G647" s="862"/>
      <c r="H647" s="1653" t="str">
        <f>"TOTAL ITEM: "&amp;J641 &amp;K641</f>
        <v>TOTAL ITEM: 6.3.3 AQUISIÇÃO DE MATERIAL DE JAZIDA</v>
      </c>
      <c r="I647" s="1654"/>
      <c r="J647" s="1654"/>
      <c r="K647" s="1654"/>
      <c r="L647" s="1654"/>
      <c r="M647" s="1654"/>
      <c r="N647" s="1654"/>
      <c r="O647" s="1654"/>
      <c r="P647" s="210">
        <f>SUBTOTAL(9,P643:P645)</f>
        <v>0</v>
      </c>
    </row>
    <row r="648" spans="1:17" ht="15.75" thickTop="1">
      <c r="A648" s="1482"/>
      <c r="B648" s="1482"/>
      <c r="C648" s="1483">
        <f t="shared" si="121"/>
        <v>6</v>
      </c>
      <c r="D648" s="1492">
        <f t="shared" si="122"/>
        <v>3</v>
      </c>
      <c r="E648" s="1492">
        <f t="shared" si="123"/>
        <v>3</v>
      </c>
      <c r="F648" s="1484" t="s">
        <v>11708</v>
      </c>
      <c r="G648" s="905"/>
      <c r="H648" s="1095"/>
      <c r="I648" s="780"/>
      <c r="J648" s="834"/>
      <c r="K648" s="780"/>
      <c r="L648" s="780"/>
      <c r="M648" s="1270"/>
      <c r="N648" s="400"/>
      <c r="O648" s="122"/>
      <c r="P648" s="123"/>
    </row>
    <row r="649" spans="1:17">
      <c r="A649" s="1482"/>
      <c r="B649" s="1482">
        <v>1</v>
      </c>
      <c r="C649" s="1483">
        <f t="shared" si="121"/>
        <v>6</v>
      </c>
      <c r="D649" s="1492">
        <f t="shared" si="122"/>
        <v>3</v>
      </c>
      <c r="E649" s="1492">
        <f t="shared" si="123"/>
        <v>4</v>
      </c>
      <c r="F649" s="1484" t="s">
        <v>11708</v>
      </c>
      <c r="H649" s="1514" t="s">
        <v>11703</v>
      </c>
      <c r="I649" s="1515" t="s">
        <v>64</v>
      </c>
      <c r="J649" s="1516" t="str">
        <f>CONCATENATE(C649,".",D649,".",E649)</f>
        <v>6.3.4</v>
      </c>
      <c r="K649" s="1516" t="s">
        <v>12517</v>
      </c>
      <c r="L649" s="1517" t="s">
        <v>25</v>
      </c>
      <c r="M649" s="1518" t="s">
        <v>11704</v>
      </c>
      <c r="N649" s="398" t="s">
        <v>11705</v>
      </c>
      <c r="O649" s="207" t="s">
        <v>11706</v>
      </c>
      <c r="P649" s="208" t="s">
        <v>27</v>
      </c>
      <c r="Q649" s="1472" t="s">
        <v>11704</v>
      </c>
    </row>
    <row r="650" spans="1:17">
      <c r="A650" s="1482"/>
      <c r="B650" s="1482"/>
      <c r="C650" s="1483">
        <f t="shared" si="121"/>
        <v>6</v>
      </c>
      <c r="D650" s="1492">
        <f t="shared" si="122"/>
        <v>3</v>
      </c>
      <c r="E650" s="1492">
        <f t="shared" si="123"/>
        <v>4</v>
      </c>
      <c r="F650" s="1484" t="s">
        <v>11708</v>
      </c>
      <c r="H650" s="1095"/>
      <c r="I650" s="780"/>
      <c r="J650" s="834"/>
      <c r="K650" s="780"/>
      <c r="L650" s="780"/>
      <c r="M650" s="1270"/>
      <c r="N650" s="400"/>
      <c r="O650" s="122"/>
      <c r="P650" s="123"/>
    </row>
    <row r="651" spans="1:17" ht="33.75">
      <c r="A651" s="1482"/>
      <c r="B651" s="1482"/>
      <c r="C651" s="1483">
        <f t="shared" si="121"/>
        <v>6</v>
      </c>
      <c r="D651" s="1492">
        <f t="shared" si="122"/>
        <v>3</v>
      </c>
      <c r="E651" s="1492">
        <f t="shared" si="123"/>
        <v>4</v>
      </c>
      <c r="F651" s="1484" t="s">
        <v>11708</v>
      </c>
      <c r="G651" s="862" t="s">
        <v>12525</v>
      </c>
      <c r="H651" s="823" t="str">
        <f>VLOOKUP(G651,LEITOS_SECAGEM!A:M,2,0)</f>
        <v>SINAPI</v>
      </c>
      <c r="I651" s="700">
        <f>VLOOKUP(G651,LEITOS_SECAGEM!A:M,3,0)</f>
        <v>94116</v>
      </c>
      <c r="J651" s="824"/>
      <c r="K651" s="790" t="str">
        <f>(IF(H651="Saneago",VLOOKUP(I651,'SANEAGO-FEV.2016'!A:B,2,0),IF(H651="Sinapi",VLOOKUP(I651,'SINAPI-FEV.2017'!A:D,2,0),IF(H651="Cotação",VLOOKUP(I651,COTAÇÃO!A:D,2,0),IF(H651="Composição",VLOOKUP(I651,COMPOSIÇÃO!A:D,2,0))))))</f>
        <v>LASTRO COM PREPARO DE FUNDO, LARGURA MAIOR OU IGUAL A 1,5 M, COM CAMADA DE BRITA, LANÇAMENTO MECANIZADO, EM LOCAL COM NÍVEL BAIXO DE INTERFERÊNCIA. AF_06/2016</v>
      </c>
      <c r="L651" s="700" t="str">
        <f>(IF(H651="Saneago",VLOOKUP(I651,'SANEAGO-FEV.2016'!A:D,3,0),IF(H651="Sinapi",VLOOKUP(I651,'SINAPI-FEV.2017'!A:D,3,0),IF(H651="Cotação",VLOOKUP(I651,COTAÇÃO!A:D,3,0),IF(H651="Composição",VLOOKUP(I651,COMPOSIÇÃO!A:D,3,0))))))</f>
        <v>M3</v>
      </c>
      <c r="M651" s="870">
        <f>ROUND(VLOOKUP(G651,LEITOS_SECAGEM!A:M,13,0),2)</f>
        <v>52.38</v>
      </c>
      <c r="N651" s="399">
        <v>0</v>
      </c>
      <c r="O651" s="102">
        <f t="shared" ref="O651:O656" si="124">ROUND(IF(F651="Serviços",N651*(1+$O$7),IF(F651="Materiais",N651*(1+$O$8))),2)</f>
        <v>0</v>
      </c>
      <c r="P651" s="101">
        <f t="shared" ref="P651:P656" si="125">ROUND(M651*O651,2)</f>
        <v>0</v>
      </c>
      <c r="Q651" s="1472">
        <v>53.12</v>
      </c>
    </row>
    <row r="652" spans="1:17" ht="22.5">
      <c r="A652" s="1482"/>
      <c r="B652" s="1482"/>
      <c r="C652" s="1483">
        <f t="shared" si="121"/>
        <v>6</v>
      </c>
      <c r="D652" s="1492">
        <f t="shared" si="122"/>
        <v>3</v>
      </c>
      <c r="E652" s="1492">
        <f t="shared" si="123"/>
        <v>4</v>
      </c>
      <c r="F652" s="1484" t="s">
        <v>11708</v>
      </c>
      <c r="G652" s="862" t="s">
        <v>12523</v>
      </c>
      <c r="H652" s="823" t="str">
        <f>VLOOKUP(G652,LEITOS_SECAGEM!A:M,2,0)</f>
        <v>SINAPI</v>
      </c>
      <c r="I652" s="700">
        <f>VLOOKUP(G652,LEITOS_SECAGEM!A:M,3,0)</f>
        <v>95241</v>
      </c>
      <c r="J652" s="824"/>
      <c r="K652" s="790" t="str">
        <f>(IF(H652="Saneago",VLOOKUP(I652,'SANEAGO-FEV.2016'!A:B,2,0),IF(H652="Sinapi",VLOOKUP(I652,'SINAPI-FEV.2017'!A:D,2,0),IF(H652="Cotação",VLOOKUP(I652,COTAÇÃO!A:D,2,0),IF(H652="Composição",VLOOKUP(I652,COMPOSIÇÃO!A:D,2,0))))))</f>
        <v>LASTRO DE CONCRETO, E = 5 CM, PREPARO MECÂNICO, INCLUSOS LANÇAMENTO E ADENSAMENTO. AF_07_2016</v>
      </c>
      <c r="L652" s="700" t="str">
        <f>(IF(H652="Saneago",VLOOKUP(I652,'SANEAGO-FEV.2016'!A:D,3,0),IF(H652="Sinapi",VLOOKUP(I652,'SINAPI-FEV.2017'!A:D,3,0),IF(H652="Cotação",VLOOKUP(I652,COTAÇÃO!A:D,3,0),IF(H652="Composição",VLOOKUP(I652,COMPOSIÇÃO!A:D,3,0))))))</f>
        <v>M2</v>
      </c>
      <c r="M652" s="870">
        <f>ROUND(VLOOKUP(G652,LEITOS_SECAGEM!A:M,13,0),2)</f>
        <v>1746</v>
      </c>
      <c r="N652" s="399">
        <v>0</v>
      </c>
      <c r="O652" s="102">
        <f t="shared" si="124"/>
        <v>0</v>
      </c>
      <c r="P652" s="101">
        <f t="shared" si="125"/>
        <v>0</v>
      </c>
      <c r="Q652" s="1472">
        <v>1770.81</v>
      </c>
    </row>
    <row r="653" spans="1:17">
      <c r="A653" s="1482"/>
      <c r="B653" s="1482"/>
      <c r="C653" s="1483">
        <f t="shared" si="121"/>
        <v>6</v>
      </c>
      <c r="D653" s="1492">
        <f t="shared" si="122"/>
        <v>3</v>
      </c>
      <c r="E653" s="1492">
        <f t="shared" si="123"/>
        <v>4</v>
      </c>
      <c r="F653" s="1484" t="s">
        <v>11708</v>
      </c>
      <c r="G653" s="862" t="s">
        <v>12521</v>
      </c>
      <c r="H653" s="823" t="str">
        <f>VLOOKUP(G653,LEITOS_SECAGEM!A:M,2,0)</f>
        <v>Sinapi</v>
      </c>
      <c r="I653" s="700">
        <f>VLOOKUP(G653,LEITOS_SECAGEM!A:M,3,0)</f>
        <v>4718</v>
      </c>
      <c r="J653" s="824"/>
      <c r="K653" s="790" t="str">
        <f>(IF(H653="Saneago",VLOOKUP(I653,'SANEAGO-FEV.2016'!A:B,2,0),IF(H653="Sinapi",VLOOKUP(I653,'SINAPI-FEV.2017'!A:D,2,0),IF(H653="Cotação",VLOOKUP(I653,COTAÇÃO!A:D,2,0),IF(H653="Composição",VLOOKUP(I653,COMPOSIÇÃO!A:D,2,0))))))</f>
        <v>PEDRA BRITADA N. 2 (19 A 38 MM) POSTO PEDREIRA/FORNECEDOR, SEM FRETE</v>
      </c>
      <c r="L653" s="700" t="str">
        <f>(IF(H653="Saneago",VLOOKUP(I653,'SANEAGO-FEV.2016'!A:D,3,0),IF(H653="Sinapi",VLOOKUP(I653,'SINAPI-FEV.2017'!A:D,3,0),IF(H653="Cotação",VLOOKUP(I653,COTAÇÃO!A:D,3,0),IF(H653="Composição",VLOOKUP(I653,COMPOSIÇÃO!A:D,3,0))))))</f>
        <v>M3</v>
      </c>
      <c r="M653" s="870">
        <f>ROUND(VLOOKUP(G653,LEITOS_SECAGEM!A:M,13,0),2)</f>
        <v>349.2</v>
      </c>
      <c r="N653" s="399">
        <v>0</v>
      </c>
      <c r="O653" s="102">
        <f t="shared" si="124"/>
        <v>0</v>
      </c>
      <c r="P653" s="101">
        <f t="shared" si="125"/>
        <v>0</v>
      </c>
      <c r="Q653" s="1472">
        <v>354.16</v>
      </c>
    </row>
    <row r="654" spans="1:17">
      <c r="A654" s="1482"/>
      <c r="B654" s="1482"/>
      <c r="C654" s="1483">
        <f t="shared" si="121"/>
        <v>6</v>
      </c>
      <c r="D654" s="1492">
        <f t="shared" si="122"/>
        <v>3</v>
      </c>
      <c r="E654" s="1492">
        <f t="shared" si="123"/>
        <v>4</v>
      </c>
      <c r="F654" s="1484" t="s">
        <v>11708</v>
      </c>
      <c r="G654" s="862" t="s">
        <v>12678</v>
      </c>
      <c r="H654" s="823" t="str">
        <f>VLOOKUP(G654,LEITOS_SECAGEM!A:M,2,0)</f>
        <v>Sinapi</v>
      </c>
      <c r="I654" s="700">
        <f>VLOOKUP(G654,LEITOS_SECAGEM!A:M,3,0)</f>
        <v>4721</v>
      </c>
      <c r="J654" s="824"/>
      <c r="K654" s="790" t="str">
        <f>(IF(H654="Saneago",VLOOKUP(I654,'SANEAGO-FEV.2016'!A:B,2,0),IF(H654="Sinapi",VLOOKUP(I654,'SINAPI-FEV.2017'!A:D,2,0),IF(H654="Cotação",VLOOKUP(I654,COTAÇÃO!A:D,2,0),IF(H654="Composição",VLOOKUP(I654,COMPOSIÇÃO!A:D,2,0))))))</f>
        <v>PEDRA BRITADA N. 1 (9,5 a 19 MM) POSTO PEDREIRA/FORNECEDOR, SEM FRETE</v>
      </c>
      <c r="L654" s="700" t="str">
        <f>(IF(H654="Saneago",VLOOKUP(I654,'SANEAGO-FEV.2016'!A:D,3,0),IF(H654="Sinapi",VLOOKUP(I654,'SINAPI-FEV.2017'!A:D,3,0),IF(H654="Cotação",VLOOKUP(I654,COTAÇÃO!A:D,3,0),IF(H654="Composição",VLOOKUP(I654,COMPOSIÇÃO!A:D,3,0))))))</f>
        <v>M3</v>
      </c>
      <c r="M654" s="870">
        <f>ROUND(VLOOKUP(G654,LEITOS_SECAGEM!A:M,13,0),2)</f>
        <v>87.3</v>
      </c>
      <c r="N654" s="399">
        <v>0</v>
      </c>
      <c r="O654" s="102">
        <f t="shared" si="124"/>
        <v>0</v>
      </c>
      <c r="P654" s="101">
        <f t="shared" si="125"/>
        <v>0</v>
      </c>
      <c r="Q654" s="1472">
        <v>88.54</v>
      </c>
    </row>
    <row r="655" spans="1:17" ht="22.5">
      <c r="A655" s="1482"/>
      <c r="B655" s="1482"/>
      <c r="C655" s="1483">
        <f t="shared" si="121"/>
        <v>6</v>
      </c>
      <c r="D655" s="1492">
        <f t="shared" si="122"/>
        <v>3</v>
      </c>
      <c r="E655" s="1492">
        <f t="shared" si="123"/>
        <v>4</v>
      </c>
      <c r="F655" s="1484" t="s">
        <v>11708</v>
      </c>
      <c r="G655" s="862" t="s">
        <v>12522</v>
      </c>
      <c r="H655" s="823" t="str">
        <f>VLOOKUP(G655,LEITOS_SECAGEM!A:M,2,0)</f>
        <v>Sinapi</v>
      </c>
      <c r="I655" s="700">
        <f>VLOOKUP(G655,LEITOS_SECAGEM!A:M,3,0)</f>
        <v>4720</v>
      </c>
      <c r="J655" s="824"/>
      <c r="K655" s="790" t="str">
        <f>(IF(H655="Saneago",VLOOKUP(I655,'SANEAGO-FEV.2016'!A:B,2,0),IF(H655="Sinapi",VLOOKUP(I655,'SINAPI-FEV.2017'!A:D,2,0),IF(H655="Cotação",VLOOKUP(I655,COTAÇÃO!A:D,2,0),IF(H655="Composição",VLOOKUP(I655,COMPOSIÇÃO!A:D,2,0))))))</f>
        <v>PEDRA BRITADA N. 0, OU PEDRISCO (4,8 A 9,5 MM) POSTO PEDREIRA/FORNECEDOR, SEM FRETE</v>
      </c>
      <c r="L655" s="700" t="str">
        <f>(IF(H655="Saneago",VLOOKUP(I655,'SANEAGO-FEV.2016'!A:D,3,0),IF(H655="Sinapi",VLOOKUP(I655,'SINAPI-FEV.2017'!A:D,3,0),IF(H655="Cotação",VLOOKUP(I655,COTAÇÃO!A:D,3,0),IF(H655="Composição",VLOOKUP(I655,COMPOSIÇÃO!A:D,3,0))))))</f>
        <v>M3</v>
      </c>
      <c r="M655" s="870">
        <f>ROUND(VLOOKUP(G655,LEITOS_SECAGEM!A:M,13,0),2)</f>
        <v>349.2</v>
      </c>
      <c r="N655" s="399">
        <v>0</v>
      </c>
      <c r="O655" s="102">
        <f t="shared" si="124"/>
        <v>0</v>
      </c>
      <c r="P655" s="101">
        <f t="shared" si="125"/>
        <v>0</v>
      </c>
      <c r="Q655" s="1472">
        <v>354.16</v>
      </c>
    </row>
    <row r="656" spans="1:17" ht="33.75">
      <c r="A656" s="1482"/>
      <c r="B656" s="1482"/>
      <c r="C656" s="1483">
        <f t="shared" si="121"/>
        <v>6</v>
      </c>
      <c r="D656" s="1492">
        <f t="shared" si="122"/>
        <v>3</v>
      </c>
      <c r="E656" s="1492">
        <f t="shared" si="123"/>
        <v>4</v>
      </c>
      <c r="F656" s="1484" t="s">
        <v>11708</v>
      </c>
      <c r="G656" s="862" t="s">
        <v>12524</v>
      </c>
      <c r="H656" s="823" t="str">
        <f>VLOOKUP(G656,LEITOS_SECAGEM!A:M,2,0)</f>
        <v>Sinapi</v>
      </c>
      <c r="I656" s="700">
        <f>VLOOKUP(G656,LEITOS_SECAGEM!A:M,3,0)</f>
        <v>94115</v>
      </c>
      <c r="J656" s="824"/>
      <c r="K656" s="790" t="str">
        <f>(IF(H656="Saneago",VLOOKUP(I656,'SANEAGO-FEV.2016'!A:B,2,0),IF(H656="Sinapi",VLOOKUP(I656,'SINAPI-FEV.2017'!A:D,2,0),IF(H656="Cotação",VLOOKUP(I656,COTAÇÃO!A:D,2,0),IF(H656="Composição",VLOOKUP(I656,COMPOSIÇÃO!A:D,2,0))))))</f>
        <v>LASTRO COM PREPARO DE FUNDO, LARGURA MAIOR OU IGUAL A 1,5 M, COM CAMADA DE AREIA, LANÇAMENTO MECANIZADO, EM LOCAL COM NÍVEL BAIXO DE INTERFERÊNCIA. AF_06/2016</v>
      </c>
      <c r="L656" s="700" t="str">
        <f>(IF(H656="Saneago",VLOOKUP(I656,'SANEAGO-FEV.2016'!A:D,3,0),IF(H656="Sinapi",VLOOKUP(I656,'SINAPI-FEV.2017'!A:D,3,0),IF(H656="Cotação",VLOOKUP(I656,COTAÇÃO!A:D,3,0),IF(H656="Composição",VLOOKUP(I656,COMPOSIÇÃO!A:D,3,0))))))</f>
        <v>M3</v>
      </c>
      <c r="M656" s="870">
        <f>ROUND(VLOOKUP(G656,LEITOS_SECAGEM!A:M,13,0),2)</f>
        <v>87.3</v>
      </c>
      <c r="N656" s="399">
        <v>0</v>
      </c>
      <c r="O656" s="102">
        <f t="shared" si="124"/>
        <v>0</v>
      </c>
      <c r="P656" s="101">
        <f t="shared" si="125"/>
        <v>0</v>
      </c>
      <c r="Q656" s="1472">
        <v>88.54</v>
      </c>
    </row>
    <row r="657" spans="1:17">
      <c r="A657" s="1482"/>
      <c r="B657" s="1482"/>
      <c r="C657" s="1483">
        <f t="shared" si="121"/>
        <v>6</v>
      </c>
      <c r="D657" s="1492">
        <f t="shared" si="122"/>
        <v>3</v>
      </c>
      <c r="E657" s="1492">
        <f t="shared" si="123"/>
        <v>4</v>
      </c>
      <c r="F657" s="1484" t="s">
        <v>11708</v>
      </c>
      <c r="G657" s="862" t="s">
        <v>14469</v>
      </c>
      <c r="H657" s="823" t="str">
        <f>VLOOKUP(G657,LEITOS_SECAGEM!A:M,2,0)</f>
        <v>COMPOSIÇÃO</v>
      </c>
      <c r="I657" s="700" t="str">
        <f>VLOOKUP(G657,LEITOS_SECAGEM!A:M,3,0)</f>
        <v>CT_ASSENT.TIJOLO</v>
      </c>
      <c r="J657" s="824"/>
      <c r="K657" s="790" t="str">
        <f>(IF(H657="Saneago",VLOOKUP(I657,'SANEAGO-FEV.2016'!A:B,2,0),IF(H657="Sinapi",VLOOKUP(I657,'SINAPI-FEV.2017'!A:D,2,0),IF(H657="Cotação",VLOOKUP(I657,COTAÇÃO!A:D,2,0),IF(H657="Composição",VLOOKUP(I657,COMPOSIÇÃO!A:D,2,0))))))</f>
        <v>ASSENTAMENTO DE TIJOLO MAÇICO</v>
      </c>
      <c r="L657" s="700" t="str">
        <f>(IF(H657="Saneago",VLOOKUP(I657,'SANEAGO-FEV.2016'!A:D,3,0),IF(H657="Sinapi",VLOOKUP(I657,'SINAPI-FEV.2017'!A:D,3,0),IF(H657="Cotação",VLOOKUP(I657,COTAÇÃO!A:D,3,0),IF(H657="Composição",VLOOKUP(I657,COMPOSIÇÃO!A:D,3,0))))))</f>
        <v>m²</v>
      </c>
      <c r="M657" s="870">
        <f>ROUND(VLOOKUP(G657,LEITOS_SECAGEM!A:M,13,0),2)</f>
        <v>1746</v>
      </c>
      <c r="N657" s="399">
        <v>0</v>
      </c>
      <c r="O657" s="102">
        <f>ROUND(IF(F657="Serviços",N657*(1+$O$7),IF(F657="Materiais",N657*(1+$O$8))),2)</f>
        <v>0</v>
      </c>
      <c r="P657" s="101">
        <f>ROUND(M657*O657,2)</f>
        <v>0</v>
      </c>
      <c r="Q657" s="1472">
        <v>1770.81</v>
      </c>
    </row>
    <row r="658" spans="1:17" ht="15.75" thickBot="1">
      <c r="A658" s="1482"/>
      <c r="B658" s="1482"/>
      <c r="C658" s="1483"/>
      <c r="D658" s="1492"/>
      <c r="E658" s="1492"/>
      <c r="F658" s="1484"/>
      <c r="G658" s="862"/>
      <c r="H658" s="823"/>
      <c r="I658" s="700"/>
      <c r="J658" s="824"/>
      <c r="K658" s="790"/>
      <c r="L658" s="700"/>
      <c r="M658" s="870"/>
      <c r="N658" s="399"/>
      <c r="O658" s="102"/>
      <c r="P658" s="101"/>
    </row>
    <row r="659" spans="1:17" ht="16.5" customHeight="1" thickTop="1" thickBot="1">
      <c r="A659" s="1482"/>
      <c r="B659" s="1482"/>
      <c r="C659" s="1483">
        <f>C657</f>
        <v>6</v>
      </c>
      <c r="D659" s="1492">
        <f>D657+A659</f>
        <v>3</v>
      </c>
      <c r="E659" s="1492">
        <f>E657+B659</f>
        <v>4</v>
      </c>
      <c r="F659" s="1484" t="s">
        <v>11708</v>
      </c>
      <c r="G659" s="862"/>
      <c r="H659" s="1653" t="str">
        <f>"TOTAL ITEM: "&amp;J649 &amp;K649</f>
        <v>TOTAL ITEM: 6.3.4CAMADA FILTRANTE</v>
      </c>
      <c r="I659" s="1654"/>
      <c r="J659" s="1654"/>
      <c r="K659" s="1654"/>
      <c r="L659" s="1654"/>
      <c r="M659" s="1654"/>
      <c r="N659" s="1654"/>
      <c r="O659" s="1654"/>
      <c r="P659" s="210">
        <f>SUBTOTAL(9,P651:P657)</f>
        <v>0</v>
      </c>
    </row>
    <row r="660" spans="1:17" ht="15.75" thickTop="1">
      <c r="A660" s="1482"/>
      <c r="B660" s="1482"/>
      <c r="C660" s="1483">
        <f t="shared" si="121"/>
        <v>6</v>
      </c>
      <c r="D660" s="1492">
        <f t="shared" si="122"/>
        <v>3</v>
      </c>
      <c r="E660" s="1492">
        <f t="shared" si="123"/>
        <v>4</v>
      </c>
      <c r="F660" s="1484" t="s">
        <v>11708</v>
      </c>
      <c r="G660" s="862"/>
      <c r="H660" s="1095"/>
      <c r="I660" s="780"/>
      <c r="J660" s="834"/>
      <c r="K660" s="780"/>
      <c r="L660" s="780"/>
      <c r="M660" s="1270"/>
      <c r="N660" s="400"/>
      <c r="O660" s="122"/>
      <c r="P660" s="123"/>
    </row>
    <row r="661" spans="1:17">
      <c r="A661" s="1482"/>
      <c r="B661" s="1482">
        <v>1</v>
      </c>
      <c r="C661" s="1483">
        <f t="shared" si="121"/>
        <v>6</v>
      </c>
      <c r="D661" s="1492">
        <f t="shared" si="122"/>
        <v>3</v>
      </c>
      <c r="E661" s="1492">
        <f t="shared" si="123"/>
        <v>5</v>
      </c>
      <c r="F661" s="1484" t="s">
        <v>11708</v>
      </c>
      <c r="G661" s="862"/>
      <c r="H661" s="1514" t="s">
        <v>11703</v>
      </c>
      <c r="I661" s="1515" t="s">
        <v>64</v>
      </c>
      <c r="J661" s="1516" t="str">
        <f>CONCATENATE(C661,".",D661,".",E661)</f>
        <v>6.3.5</v>
      </c>
      <c r="K661" s="1516" t="s">
        <v>11714</v>
      </c>
      <c r="L661" s="1517" t="s">
        <v>25</v>
      </c>
      <c r="M661" s="1518" t="s">
        <v>11704</v>
      </c>
      <c r="N661" s="398" t="s">
        <v>11705</v>
      </c>
      <c r="O661" s="207" t="s">
        <v>11706</v>
      </c>
      <c r="P661" s="208" t="s">
        <v>27</v>
      </c>
      <c r="Q661" s="1472" t="s">
        <v>11704</v>
      </c>
    </row>
    <row r="662" spans="1:17">
      <c r="A662" s="1482"/>
      <c r="B662" s="1482"/>
      <c r="C662" s="1483">
        <f t="shared" si="121"/>
        <v>6</v>
      </c>
      <c r="D662" s="1492">
        <f t="shared" si="122"/>
        <v>3</v>
      </c>
      <c r="E662" s="1492">
        <f t="shared" si="123"/>
        <v>5</v>
      </c>
      <c r="F662" s="1484" t="s">
        <v>11708</v>
      </c>
      <c r="G662" s="862"/>
      <c r="H662" s="1095"/>
      <c r="I662" s="780"/>
      <c r="J662" s="834"/>
      <c r="K662" s="780"/>
      <c r="L662" s="780"/>
      <c r="M662" s="1270"/>
      <c r="N662" s="400"/>
      <c r="O662" s="122"/>
      <c r="P662" s="123"/>
    </row>
    <row r="663" spans="1:17" ht="45">
      <c r="A663" s="1482"/>
      <c r="B663" s="1482"/>
      <c r="C663" s="1483">
        <f t="shared" si="121"/>
        <v>6</v>
      </c>
      <c r="D663" s="1492">
        <f t="shared" si="122"/>
        <v>3</v>
      </c>
      <c r="E663" s="1492">
        <f t="shared" si="123"/>
        <v>5</v>
      </c>
      <c r="F663" s="1484" t="s">
        <v>11708</v>
      </c>
      <c r="G663" s="862" t="s">
        <v>20386</v>
      </c>
      <c r="H663" s="823" t="str">
        <f>VLOOKUP(G663,LEITOS_SECAGEM!A:M,2,0)</f>
        <v>SINAPI</v>
      </c>
      <c r="I663" s="700">
        <f>VLOOKUP(G663,LEITOS_SECAGEM!A:M,3,0)</f>
        <v>92419</v>
      </c>
      <c r="J663" s="824"/>
      <c r="K663" s="790" t="str">
        <f>(IF(H663="Saneago",VLOOKUP(I663,'SANEAGO-FEV.2016'!A:B,2,0),IF(H663="Sinapi",VLOOKUP(I663,'SINAPI-FEV.2017'!A:D,2,0),IF(H663="Cotação",VLOOKUP(I663,COTAÇÃO!A:D,2,0),IF(H663="Composição",VLOOKUP(I663,COMPOSIÇÃO!A:D,2,0))))))</f>
        <v>MONTAGEM E DESMONTAGEM DE FÔRMA DE PILARES RETANGULARES E ESTRUTURAS SIMILARES COM ÁREA MÉDIA DAS SEÇÕES MAIOR QUE 0,25 M², PÉ-DIREITO SIMPLES, EM CHAPA DE MADEIRA COMPENSADA RESINADA, 4 UTILIZAÇÕES. AF_12/2015</v>
      </c>
      <c r="L663" s="700" t="str">
        <f>(IF(H663="Saneago",VLOOKUP(I663,'SANEAGO-FEV.2016'!A:D,3,0),IF(H663="Sinapi",VLOOKUP(I663,'SINAPI-FEV.2017'!A:D,3,0),IF(H663="Cotação",VLOOKUP(I663,COTAÇÃO!A:D,3,0),IF(H663="Composição",VLOOKUP(I663,COMPOSIÇÃO!A:D,3,0))))))</f>
        <v>M2</v>
      </c>
      <c r="M663" s="870">
        <f>ROUND(VLOOKUP(G663,LEITOS_SECAGEM!A:M,13,0),2)</f>
        <v>253.44</v>
      </c>
      <c r="N663" s="399">
        <v>0</v>
      </c>
      <c r="O663" s="102">
        <f t="shared" ref="O663:O670" si="126">ROUND(IF(F663="Serviços",N663*(1+$O$7),IF(F663="Materiais",N663*(1+$O$8))),2)</f>
        <v>0</v>
      </c>
      <c r="P663" s="101">
        <f t="shared" ref="P663:P670" si="127">ROUND(M663*O663,2)</f>
        <v>0</v>
      </c>
      <c r="Q663" s="1472">
        <v>228.48</v>
      </c>
    </row>
    <row r="664" spans="1:17" ht="33.75">
      <c r="A664" s="1482"/>
      <c r="B664" s="1482"/>
      <c r="C664" s="1483">
        <f t="shared" si="121"/>
        <v>6</v>
      </c>
      <c r="D664" s="1492">
        <f t="shared" si="122"/>
        <v>3</v>
      </c>
      <c r="E664" s="1492">
        <f t="shared" si="123"/>
        <v>5</v>
      </c>
      <c r="F664" s="1484" t="s">
        <v>11708</v>
      </c>
      <c r="G664" s="862" t="s">
        <v>20387</v>
      </c>
      <c r="H664" s="823" t="str">
        <f>VLOOKUP(G664,LEITOS_SECAGEM!A:M,2,0)</f>
        <v>SINAPI</v>
      </c>
      <c r="I664" s="700">
        <f>VLOOKUP(G664,LEITOS_SECAGEM!A:M,3,0)</f>
        <v>92448</v>
      </c>
      <c r="J664" s="824"/>
      <c r="K664" s="790" t="str">
        <f>(IF(H664="Saneago",VLOOKUP(I664,'SANEAGO-FEV.2016'!A:B,2,0),IF(H664="Sinapi",VLOOKUP(I664,'SINAPI-FEV.2017'!A:D,2,0),IF(H664="Cotação",VLOOKUP(I664,COTAÇÃO!A:D,2,0),IF(H664="Composição",VLOOKUP(I664,COMPOSIÇÃO!A:D,2,0))))))</f>
        <v>MONTAGEM E DESMONTAGEM DE FÔRMA DE VIGA, ESCORAMENTO COM PONTALETE DE MADEIRA, PÉ-DIREITO SIMPLES, EM MADEIRA SERRADA, 4 UTILIZAÇÕES. AF_12/2015</v>
      </c>
      <c r="L664" s="700" t="str">
        <f>(IF(H664="Saneago",VLOOKUP(I664,'SANEAGO-FEV.2016'!A:D,3,0),IF(H664="Sinapi",VLOOKUP(I664,'SINAPI-FEV.2017'!A:D,3,0),IF(H664="Cotação",VLOOKUP(I664,COTAÇÃO!A:D,3,0),IF(H664="Composição",VLOOKUP(I664,COMPOSIÇÃO!A:D,3,0))))))</f>
        <v>M2</v>
      </c>
      <c r="M664" s="870">
        <f>ROUND(VLOOKUP(G664,LEITOS_SECAGEM!A:M,13,0),2)</f>
        <v>238.47</v>
      </c>
      <c r="N664" s="399">
        <v>0</v>
      </c>
      <c r="O664" s="102">
        <f t="shared" si="126"/>
        <v>0</v>
      </c>
      <c r="P664" s="101">
        <f t="shared" si="127"/>
        <v>0</v>
      </c>
      <c r="Q664" s="1472">
        <v>339.4</v>
      </c>
    </row>
    <row r="665" spans="1:17" ht="22.5">
      <c r="A665" s="1482"/>
      <c r="B665" s="1482"/>
      <c r="C665" s="1483">
        <f t="shared" si="121"/>
        <v>6</v>
      </c>
      <c r="D665" s="1492">
        <f t="shared" ref="D665:D670" si="128">D664+A665</f>
        <v>3</v>
      </c>
      <c r="E665" s="1492">
        <f t="shared" ref="E665:E670" si="129">E664+B665</f>
        <v>5</v>
      </c>
      <c r="F665" s="1484" t="s">
        <v>11708</v>
      </c>
      <c r="G665" s="862" t="s">
        <v>20389</v>
      </c>
      <c r="H665" s="823" t="str">
        <f>VLOOKUP(G665,LEITOS_SECAGEM!A:M,2,0)</f>
        <v>SINAPI</v>
      </c>
      <c r="I665" s="700">
        <f>VLOOKUP(G665,LEITOS_SECAGEM!A:M,3,0)</f>
        <v>34492</v>
      </c>
      <c r="J665" s="824"/>
      <c r="K665" s="790" t="str">
        <f>(IF(H665="Saneago",VLOOKUP(I665,'SANEAGO-FEV.2016'!A:B,2,0),IF(H665="Sinapi",VLOOKUP(I665,'SINAPI-FEV.2017'!A:D,2,0),IF(H665="Cotação",VLOOKUP(I665,COTAÇÃO!A:D,2,0),IF(H665="Composição",VLOOKUP(I665,COMPOSIÇÃO!A:D,2,0))))))</f>
        <v>CONCRETO USINADO BOMBEAVEL, CLASSE DE RESISTENCIA C20, COM BRITA 0 E 1, SLUMP = 100 +/- 20 MM, EXCLUI SERVICO DE BOMBEAMENTO (NBR 8953)</v>
      </c>
      <c r="L665" s="700" t="str">
        <f>(IF(H665="Saneago",VLOOKUP(I665,'SANEAGO-FEV.2016'!A:D,3,0),IF(H665="Sinapi",VLOOKUP(I665,'SINAPI-FEV.2017'!A:D,3,0),IF(H665="Cotação",VLOOKUP(I665,COTAÇÃO!A:D,3,0),IF(H665="Composição",VLOOKUP(I665,COMPOSIÇÃO!A:D,3,0))))))</f>
        <v>M3</v>
      </c>
      <c r="M665" s="870">
        <f>ROUND(VLOOKUP(G665,LEITOS_SECAGEM!A:M,13,0),2)</f>
        <v>162.71</v>
      </c>
      <c r="N665" s="399">
        <v>0</v>
      </c>
      <c r="O665" s="102">
        <f t="shared" si="126"/>
        <v>0</v>
      </c>
      <c r="P665" s="101">
        <f t="shared" si="127"/>
        <v>0</v>
      </c>
      <c r="Q665" s="1472">
        <v>207.86</v>
      </c>
    </row>
    <row r="666" spans="1:17" ht="22.5">
      <c r="A666" s="1482"/>
      <c r="B666" s="1482"/>
      <c r="C666" s="1483">
        <f t="shared" si="121"/>
        <v>6</v>
      </c>
      <c r="D666" s="1492">
        <f t="shared" si="128"/>
        <v>3</v>
      </c>
      <c r="E666" s="1492">
        <f t="shared" si="129"/>
        <v>5</v>
      </c>
      <c r="F666" s="1484" t="s">
        <v>11708</v>
      </c>
      <c r="G666" s="912" t="s">
        <v>20388</v>
      </c>
      <c r="H666" s="823" t="str">
        <f>VLOOKUP(G666,LEITOS_SECAGEM!A:M,2,0)</f>
        <v>SINAPI</v>
      </c>
      <c r="I666" s="700">
        <f>VLOOKUP(G666,LEITOS_SECAGEM!A:M,3,0)</f>
        <v>92874</v>
      </c>
      <c r="J666" s="824"/>
      <c r="K666" s="790" t="str">
        <f>(IF(H666="Saneago",VLOOKUP(I666,'SANEAGO-FEV.2016'!A:B,2,0),IF(H666="Sinapi",VLOOKUP(I666,'SINAPI-FEV.2017'!A:D,2,0),IF(H666="Cotação",VLOOKUP(I666,COTAÇÃO!A:D,2,0),IF(H666="Composição",VLOOKUP(I666,COMPOSIÇÃO!A:D,2,0))))))</f>
        <v>LANÇAMENTO COM USO DE BOMBA, ADENSAMENTO E ACABAMENTO DE CONCRETO EM ESTRUTURAS. AF_12/2015</v>
      </c>
      <c r="L666" s="700" t="str">
        <f>(IF(H666="Saneago",VLOOKUP(I666,'SANEAGO-FEV.2016'!A:D,3,0),IF(H666="Sinapi",VLOOKUP(I666,'SINAPI-FEV.2017'!A:D,3,0),IF(H666="Cotação",VLOOKUP(I666,COTAÇÃO!A:D,3,0),IF(H666="Composição",VLOOKUP(I666,COMPOSIÇÃO!A:D,3,0))))))</f>
        <v>M3</v>
      </c>
      <c r="M666" s="870">
        <f>ROUND(VLOOKUP(G666,LEITOS_SECAGEM!A:M,13,0),2)</f>
        <v>162.71</v>
      </c>
      <c r="N666" s="399">
        <v>0</v>
      </c>
      <c r="O666" s="102">
        <f t="shared" si="126"/>
        <v>0</v>
      </c>
      <c r="P666" s="101">
        <f t="shared" si="127"/>
        <v>0</v>
      </c>
      <c r="Q666" s="1472">
        <v>207.86</v>
      </c>
    </row>
    <row r="667" spans="1:17" ht="45">
      <c r="A667" s="1482"/>
      <c r="B667" s="1482"/>
      <c r="C667" s="1483">
        <f t="shared" si="121"/>
        <v>6</v>
      </c>
      <c r="D667" s="1492">
        <f t="shared" si="128"/>
        <v>3</v>
      </c>
      <c r="E667" s="1492">
        <f t="shared" si="129"/>
        <v>5</v>
      </c>
      <c r="F667" s="1484" t="s">
        <v>11708</v>
      </c>
      <c r="G667" s="862" t="s">
        <v>20390</v>
      </c>
      <c r="H667" s="823" t="str">
        <f>VLOOKUP(G667,LEITOS_SECAGEM!A:M,2,0)</f>
        <v>SINAPI</v>
      </c>
      <c r="I667" s="700">
        <f>VLOOKUP(G667,LEITOS_SECAGEM!A:M,3,0)</f>
        <v>92915</v>
      </c>
      <c r="J667" s="824"/>
      <c r="K667" s="790" t="str">
        <f>(IF(H667="Saneago",VLOOKUP(I667,'SANEAGO-FEV.2016'!A:B,2,0),IF(H667="Sinapi",VLOOKUP(I667,'SINAPI-FEV.2017'!A:D,2,0),IF(H667="Cotação",VLOOKUP(I667,COTAÇÃO!A:D,2,0),IF(H667="Composição",VLOOKUP(I667,COMPOSIÇÃO!A:D,2,0))))))</f>
        <v>ARMAÇÃO DE ESTRUTURAS DE CONCRETO ARMADO, EXCETO VIGAS, PILARES, LAJES E FUNDAÇÕES PROFUNDAS (DE EDIFÍCIOS DE MÚLTIPLOS PAVIMENTOS, EDIFICAÇÃO TÉRREA OU SOBRADO), UTILIZANDO AÇO CA-60 DE 5.0 MM - MONTAGEM. AF_12/2015</v>
      </c>
      <c r="L667" s="700" t="str">
        <f>(IF(H667="Saneago",VLOOKUP(I667,'SANEAGO-FEV.2016'!A:D,3,0),IF(H667="Sinapi",VLOOKUP(I667,'SINAPI-FEV.2017'!A:D,3,0),IF(H667="Cotação",VLOOKUP(I667,COTAÇÃO!A:D,3,0),IF(H667="Composição",VLOOKUP(I667,COMPOSIÇÃO!A:D,3,0))))))</f>
        <v>KG</v>
      </c>
      <c r="M667" s="870">
        <f>ROUND(VLOOKUP(G667,LEITOS_SECAGEM!A:M,13,0),2)</f>
        <v>561.20000000000005</v>
      </c>
      <c r="N667" s="399">
        <v>0</v>
      </c>
      <c r="O667" s="102">
        <f t="shared" si="126"/>
        <v>0</v>
      </c>
      <c r="P667" s="101">
        <f t="shared" si="127"/>
        <v>0</v>
      </c>
      <c r="Q667" s="1472">
        <v>1684.55</v>
      </c>
    </row>
    <row r="668" spans="1:17" ht="45">
      <c r="A668" s="1482"/>
      <c r="B668" s="1482"/>
      <c r="C668" s="1483">
        <f t="shared" si="121"/>
        <v>6</v>
      </c>
      <c r="D668" s="1492">
        <f t="shared" si="128"/>
        <v>3</v>
      </c>
      <c r="E668" s="1492">
        <f t="shared" si="129"/>
        <v>5</v>
      </c>
      <c r="F668" s="1484" t="s">
        <v>11708</v>
      </c>
      <c r="G668" s="862" t="s">
        <v>20391</v>
      </c>
      <c r="H668" s="823" t="str">
        <f>VLOOKUP(G668,LEITOS_SECAGEM!A:M,2,0)</f>
        <v>SINAPI</v>
      </c>
      <c r="I668" s="700">
        <f>VLOOKUP(G668,LEITOS_SECAGEM!A:M,3,0)</f>
        <v>92917</v>
      </c>
      <c r="J668" s="824"/>
      <c r="K668" s="790" t="str">
        <f>(IF(H668="Saneago",VLOOKUP(I668,'SANEAGO-FEV.2016'!A:B,2,0),IF(H668="Sinapi",VLOOKUP(I668,'SINAPI-FEV.2017'!A:D,2,0),IF(H668="Cotação",VLOOKUP(I668,COTAÇÃO!A:D,2,0),IF(H668="Composição",VLOOKUP(I668,COMPOSIÇÃO!A:D,2,0))))))</f>
        <v>ARMAÇÃO DE ESTRUTURAS DE CONCRETO ARMADO, EXCETO VIGAS, PILARES, LAJES E FUNDAÇÕES PROFUNDAS (DE EDIFÍCIOS DE MÚLTIPLOS PAVIMENTOS, EDIFICAÇÃO TÉRREA OU SOBRADO), UTILIZANDO AÇO CA-50 DE 8.0 MM - MONTAGEM. AF_12/2015</v>
      </c>
      <c r="L668" s="700" t="str">
        <f>(IF(H668="Saneago",VLOOKUP(I668,'SANEAGO-FEV.2016'!A:D,3,0),IF(H668="Sinapi",VLOOKUP(I668,'SINAPI-FEV.2017'!A:D,3,0),IF(H668="Cotação",VLOOKUP(I668,COTAÇÃO!A:D,3,0),IF(H668="Composição",VLOOKUP(I668,COMPOSIÇÃO!A:D,3,0))))))</f>
        <v>KG</v>
      </c>
      <c r="M668" s="870">
        <f>ROUND(VLOOKUP(G668,LEITOS_SECAGEM!A:M,13,0),2)</f>
        <v>1563.35</v>
      </c>
      <c r="N668" s="399">
        <v>0</v>
      </c>
      <c r="O668" s="102">
        <f t="shared" si="126"/>
        <v>0</v>
      </c>
      <c r="P668" s="101">
        <f t="shared" si="127"/>
        <v>0</v>
      </c>
      <c r="Q668" s="1472">
        <v>407.99</v>
      </c>
    </row>
    <row r="669" spans="1:17">
      <c r="A669" s="1482"/>
      <c r="B669" s="1482"/>
      <c r="C669" s="1483">
        <f t="shared" si="121"/>
        <v>6</v>
      </c>
      <c r="D669" s="1492">
        <f t="shared" si="128"/>
        <v>3</v>
      </c>
      <c r="E669" s="1492">
        <f t="shared" si="129"/>
        <v>5</v>
      </c>
      <c r="F669" s="1484" t="s">
        <v>11708</v>
      </c>
      <c r="G669" s="862" t="s">
        <v>12508</v>
      </c>
      <c r="H669" s="823" t="str">
        <f>VLOOKUP(G669,LEITOS_SECAGEM!A:M,2,0)</f>
        <v>SINAPI</v>
      </c>
      <c r="I669" s="700" t="str">
        <f>VLOOKUP(G669,LEITOS_SECAGEM!A:M,3,0)</f>
        <v>74022/57</v>
      </c>
      <c r="J669" s="824"/>
      <c r="K669" s="790" t="str">
        <f>(IF(H669="Saneago",VLOOKUP(I669,'SANEAGO-FEV.2016'!A:B,2,0),IF(H669="Sinapi",VLOOKUP(I669,'SINAPI-FEV.2017'!A:D,2,0),IF(H669="Cotação",VLOOKUP(I669,COTAÇÃO!A:D,2,0),IF(H669="Composição",VLOOKUP(I669,COMPOSIÇÃO!A:D,2,0))))))</f>
        <v>ENSAIO DE CONSISTENCIA DO CONCRETO CCR - INDICE VEBE</v>
      </c>
      <c r="L669" s="700" t="str">
        <f>(IF(H669="Saneago",VLOOKUP(I669,'SANEAGO-FEV.2016'!A:D,3,0),IF(H669="Sinapi",VLOOKUP(I669,'SINAPI-FEV.2017'!A:D,3,0),IF(H669="Cotação",VLOOKUP(I669,COTAÇÃO!A:D,3,0),IF(H669="Composição",VLOOKUP(I669,COMPOSIÇÃO!A:D,3,0))))))</f>
        <v>UN</v>
      </c>
      <c r="M669" s="870">
        <f>ROUND(VLOOKUP(G669,LEITOS_SECAGEM!A:M,13,0),2)</f>
        <v>4</v>
      </c>
      <c r="N669" s="399">
        <v>0</v>
      </c>
      <c r="O669" s="102">
        <f t="shared" si="126"/>
        <v>0</v>
      </c>
      <c r="P669" s="101">
        <f t="shared" si="127"/>
        <v>0</v>
      </c>
      <c r="Q669" s="1472">
        <v>5</v>
      </c>
    </row>
    <row r="670" spans="1:17">
      <c r="A670" s="1482"/>
      <c r="B670" s="1482"/>
      <c r="C670" s="1483">
        <f t="shared" si="121"/>
        <v>6</v>
      </c>
      <c r="D670" s="1492">
        <f t="shared" si="128"/>
        <v>3</v>
      </c>
      <c r="E670" s="1492">
        <f t="shared" si="129"/>
        <v>5</v>
      </c>
      <c r="F670" s="1484" t="s">
        <v>11708</v>
      </c>
      <c r="G670" s="862" t="s">
        <v>14483</v>
      </c>
      <c r="H670" s="823" t="str">
        <f>VLOOKUP(G670,LEITOS_SECAGEM!A:M,2,0)</f>
        <v>Sinapi</v>
      </c>
      <c r="I670" s="700">
        <f>VLOOKUP(G670,LEITOS_SECAGEM!A:M,3,0)</f>
        <v>11063</v>
      </c>
      <c r="J670" s="824"/>
      <c r="K670" s="790" t="str">
        <f>(IF(H670="Saneago",VLOOKUP(I670,'SANEAGO-FEV.2016'!A:B,2,0),IF(H670="Sinapi",VLOOKUP(I670,'SINAPI-FEV.2017'!A:D,2,0),IF(H670="Cotação",VLOOKUP(I670,COTAÇÃO!A:D,2,0),IF(H670="Composição",VLOOKUP(I670,COMPOSIÇÃO!A:D,2,0))))))</f>
        <v>PLACA CIMENTICIA LISA E = 6 MM, DE 1,20 X 3,00 M (SEM AMIANTO)</v>
      </c>
      <c r="L670" s="700" t="str">
        <f>(IF(H670="Saneago",VLOOKUP(I670,'SANEAGO-FEV.2016'!A:D,3,0),IF(H670="Sinapi",VLOOKUP(I670,'SINAPI-FEV.2017'!A:D,3,0),IF(H670="Cotação",VLOOKUP(I670,COTAÇÃO!A:D,3,0),IF(H670="Composição",VLOOKUP(I670,COMPOSIÇÃO!A:D,3,0))))))</f>
        <v>M2</v>
      </c>
      <c r="M670" s="870">
        <f>ROUND(VLOOKUP(G670,LEITOS_SECAGEM!A:M,13,0),2)</f>
        <v>12</v>
      </c>
      <c r="N670" s="399">
        <v>0</v>
      </c>
      <c r="O670" s="102">
        <f t="shared" si="126"/>
        <v>0</v>
      </c>
      <c r="P670" s="101">
        <f t="shared" si="127"/>
        <v>0</v>
      </c>
      <c r="Q670" s="1472">
        <v>12</v>
      </c>
    </row>
    <row r="671" spans="1:17" ht="15.75" thickBot="1">
      <c r="A671" s="1482"/>
      <c r="B671" s="1482"/>
      <c r="C671" s="1483">
        <f t="shared" si="121"/>
        <v>6</v>
      </c>
      <c r="D671" s="1492">
        <f>D670+A671</f>
        <v>3</v>
      </c>
      <c r="E671" s="1492">
        <f>E670+B671</f>
        <v>5</v>
      </c>
      <c r="F671" s="1484"/>
      <c r="G671" s="862"/>
      <c r="H671" s="823"/>
      <c r="I671" s="700"/>
      <c r="J671" s="824"/>
      <c r="K671" s="790"/>
      <c r="L671" s="700"/>
      <c r="M671" s="870"/>
      <c r="N671" s="399"/>
      <c r="O671" s="102"/>
      <c r="P671" s="101"/>
    </row>
    <row r="672" spans="1:17" ht="16.5" customHeight="1" thickTop="1" thickBot="1">
      <c r="A672" s="1482"/>
      <c r="B672" s="1482"/>
      <c r="C672" s="1483">
        <f>C670</f>
        <v>6</v>
      </c>
      <c r="D672" s="1492">
        <f>D670+A672</f>
        <v>3</v>
      </c>
      <c r="E672" s="1492">
        <f>E670+B672</f>
        <v>5</v>
      </c>
      <c r="F672" s="1484" t="s">
        <v>11708</v>
      </c>
      <c r="G672" s="921"/>
      <c r="H672" s="1653" t="str">
        <f>"TOTAL ITEM: "&amp;J661 &amp;K661</f>
        <v>TOTAL ITEM: 6.3.5 ESTRUTURAS DE CONCRETO ARMADO</v>
      </c>
      <c r="I672" s="1654"/>
      <c r="J672" s="1654"/>
      <c r="K672" s="1654"/>
      <c r="L672" s="1654"/>
      <c r="M672" s="1654"/>
      <c r="N672" s="1654"/>
      <c r="O672" s="1654"/>
      <c r="P672" s="210">
        <f>SUBTOTAL(9,P663:P670)</f>
        <v>0</v>
      </c>
    </row>
    <row r="673" spans="1:17" ht="15.75" thickTop="1">
      <c r="A673" s="1482"/>
      <c r="B673" s="1482"/>
      <c r="C673" s="1483">
        <f t="shared" si="121"/>
        <v>6</v>
      </c>
      <c r="D673" s="1492">
        <f t="shared" si="122"/>
        <v>3</v>
      </c>
      <c r="E673" s="1492">
        <f t="shared" si="123"/>
        <v>5</v>
      </c>
      <c r="F673" s="1484" t="s">
        <v>11708</v>
      </c>
      <c r="G673" s="921"/>
      <c r="H673" s="1095"/>
      <c r="I673" s="780"/>
      <c r="J673" s="834"/>
      <c r="K673" s="780"/>
      <c r="L673" s="780"/>
      <c r="M673" s="1270"/>
      <c r="N673" s="400"/>
      <c r="O673" s="122"/>
      <c r="P673" s="123"/>
    </row>
    <row r="674" spans="1:17">
      <c r="A674" s="1482"/>
      <c r="B674" s="1482">
        <v>1</v>
      </c>
      <c r="C674" s="1483">
        <f t="shared" si="121"/>
        <v>6</v>
      </c>
      <c r="D674" s="1492">
        <f t="shared" si="122"/>
        <v>3</v>
      </c>
      <c r="E674" s="1492">
        <f t="shared" si="123"/>
        <v>6</v>
      </c>
      <c r="F674" s="1484" t="s">
        <v>11708</v>
      </c>
      <c r="G674" s="921"/>
      <c r="H674" s="1514" t="s">
        <v>11703</v>
      </c>
      <c r="I674" s="1515" t="s">
        <v>64</v>
      </c>
      <c r="J674" s="1516" t="str">
        <f>CONCATENATE(C674,".",D674,".",E674)</f>
        <v>6.3.6</v>
      </c>
      <c r="K674" s="1516" t="s">
        <v>11739</v>
      </c>
      <c r="L674" s="1517" t="s">
        <v>25</v>
      </c>
      <c r="M674" s="1518" t="s">
        <v>11704</v>
      </c>
      <c r="N674" s="398" t="s">
        <v>11705</v>
      </c>
      <c r="O674" s="207" t="s">
        <v>11706</v>
      </c>
      <c r="P674" s="208" t="s">
        <v>27</v>
      </c>
      <c r="Q674" s="1472" t="s">
        <v>11704</v>
      </c>
    </row>
    <row r="675" spans="1:17">
      <c r="A675" s="1482"/>
      <c r="B675" s="1482"/>
      <c r="C675" s="1483">
        <f t="shared" si="121"/>
        <v>6</v>
      </c>
      <c r="D675" s="1492">
        <f t="shared" si="122"/>
        <v>3</v>
      </c>
      <c r="E675" s="1492">
        <f t="shared" si="123"/>
        <v>6</v>
      </c>
      <c r="F675" s="1484" t="s">
        <v>11708</v>
      </c>
      <c r="G675" s="921"/>
      <c r="H675" s="1095"/>
      <c r="I675" s="780"/>
      <c r="J675" s="834"/>
      <c r="K675" s="780"/>
      <c r="L675" s="780"/>
      <c r="M675" s="1270"/>
      <c r="N675" s="400"/>
      <c r="O675" s="122"/>
      <c r="P675" s="123"/>
    </row>
    <row r="676" spans="1:17" ht="22.5">
      <c r="A676" s="1482"/>
      <c r="B676" s="1482"/>
      <c r="C676" s="1483">
        <f t="shared" si="121"/>
        <v>6</v>
      </c>
      <c r="D676" s="1492">
        <f t="shared" si="122"/>
        <v>3</v>
      </c>
      <c r="E676" s="1492">
        <f t="shared" si="123"/>
        <v>6</v>
      </c>
      <c r="F676" s="1484" t="s">
        <v>11708</v>
      </c>
      <c r="G676" s="862" t="s">
        <v>12509</v>
      </c>
      <c r="H676" s="823" t="str">
        <f>VLOOKUP(G676,LEITOS_SECAGEM!A:M,2,0)</f>
        <v>Sinapi</v>
      </c>
      <c r="I676" s="700">
        <f>VLOOKUP(G676,LEITOS_SECAGEM!A:M,3,0)</f>
        <v>72132</v>
      </c>
      <c r="J676" s="824"/>
      <c r="K676" s="790" t="str">
        <f>(IF(H676="Saneago",VLOOKUP(I676,'SANEAGO-FEV.2016'!A:B,2,0),IF(H676="Sinapi",VLOOKUP(I676,'SINAPI-FEV.2017'!A:D,2,0),IF(H676="Cotação",VLOOKUP(I676,COTAÇÃO!A:D,2,0),IF(H676="Composição",VLOOKUP(I676,COMPOSIÇÃO!A:D,2,0))))))</f>
        <v>ALVENARIA EM TIJOLO CERAMICO MACICO 5X10X20CM 1/2 VEZ (ESPESSURA 10CM), ASSENTADO COM ARGAMASSA TRACO 1:2:8 (CIMENTO, CAL E AREIA)</v>
      </c>
      <c r="L676" s="700" t="str">
        <f>(IF(H676="Saneago",VLOOKUP(I676,'SANEAGO-FEV.2016'!A:D,3,0),IF(H676="Sinapi",VLOOKUP(I676,'SINAPI-FEV.2017'!A:D,3,0),IF(H676="Cotação",VLOOKUP(I676,COTAÇÃO!A:D,3,0),IF(H676="Composição",VLOOKUP(I676,COMPOSIÇÃO!A:D,3,0))))))</f>
        <v>M2</v>
      </c>
      <c r="M676" s="870">
        <f>ROUND(VLOOKUP(G676,LEITOS_SECAGEM!A:M,13,0),2)</f>
        <v>385.2</v>
      </c>
      <c r="N676" s="399">
        <v>0</v>
      </c>
      <c r="O676" s="102">
        <f>ROUND(IF(F676="Serviços",N676*(1+$O$7),IF(F676="Materiais",N676*(1+$O$8))),2)</f>
        <v>0</v>
      </c>
      <c r="P676" s="101">
        <f>ROUND(M676*O676,2)</f>
        <v>0</v>
      </c>
      <c r="Q676" s="1472">
        <v>393.57</v>
      </c>
    </row>
    <row r="677" spans="1:17" ht="15.75" thickBot="1">
      <c r="A677" s="1482"/>
      <c r="B677" s="1482"/>
      <c r="C677" s="1483">
        <f t="shared" si="121"/>
        <v>6</v>
      </c>
      <c r="D677" s="1492">
        <f>D676+A677</f>
        <v>3</v>
      </c>
      <c r="E677" s="1492">
        <f>E676+B677</f>
        <v>6</v>
      </c>
      <c r="F677" s="1484" t="s">
        <v>11708</v>
      </c>
      <c r="G677" s="862"/>
      <c r="H677" s="1095"/>
      <c r="I677" s="780"/>
      <c r="J677" s="834"/>
      <c r="K677" s="780"/>
      <c r="L677" s="780"/>
      <c r="M677" s="1270"/>
      <c r="N677" s="400"/>
      <c r="O677" s="122"/>
      <c r="P677" s="123"/>
    </row>
    <row r="678" spans="1:17" ht="16.5" customHeight="1" thickTop="1" thickBot="1">
      <c r="A678" s="1482"/>
      <c r="B678" s="1482"/>
      <c r="C678" s="1483">
        <f t="shared" si="121"/>
        <v>6</v>
      </c>
      <c r="D678" s="1492">
        <f t="shared" si="122"/>
        <v>3</v>
      </c>
      <c r="E678" s="1492">
        <f t="shared" si="123"/>
        <v>6</v>
      </c>
      <c r="F678" s="1484" t="s">
        <v>11708</v>
      </c>
      <c r="G678" s="862"/>
      <c r="H678" s="1653" t="str">
        <f>"TOTAL ITEM: "&amp;J674 &amp;K674</f>
        <v>TOTAL ITEM: 6.3.6 ALVENARIAS</v>
      </c>
      <c r="I678" s="1654"/>
      <c r="J678" s="1654"/>
      <c r="K678" s="1654"/>
      <c r="L678" s="1654"/>
      <c r="M678" s="1654"/>
      <c r="N678" s="1654"/>
      <c r="O678" s="1654"/>
      <c r="P678" s="210">
        <f>SUBTOTAL(9,P676:P676)</f>
        <v>0</v>
      </c>
    </row>
    <row r="679" spans="1:17" ht="15.75" thickTop="1">
      <c r="A679" s="1482"/>
      <c r="B679" s="1482"/>
      <c r="C679" s="1483">
        <f t="shared" si="121"/>
        <v>6</v>
      </c>
      <c r="D679" s="1492">
        <f t="shared" si="122"/>
        <v>3</v>
      </c>
      <c r="E679" s="1492">
        <f t="shared" si="123"/>
        <v>6</v>
      </c>
      <c r="F679" s="1484" t="s">
        <v>11708</v>
      </c>
      <c r="G679" s="862" t="s">
        <v>12508</v>
      </c>
      <c r="H679" s="929"/>
      <c r="I679" s="1371"/>
      <c r="J679" s="1022"/>
      <c r="K679" s="1371"/>
      <c r="L679" s="816"/>
      <c r="M679" s="874"/>
      <c r="N679" s="394"/>
      <c r="O679" s="728"/>
      <c r="P679" s="95"/>
    </row>
    <row r="680" spans="1:17">
      <c r="A680" s="1482"/>
      <c r="B680" s="1482">
        <v>1</v>
      </c>
      <c r="C680" s="1483">
        <f t="shared" si="121"/>
        <v>6</v>
      </c>
      <c r="D680" s="1492">
        <f t="shared" si="122"/>
        <v>3</v>
      </c>
      <c r="E680" s="1492">
        <f t="shared" si="123"/>
        <v>7</v>
      </c>
      <c r="F680" s="1484" t="s">
        <v>11708</v>
      </c>
      <c r="G680" s="921"/>
      <c r="H680" s="1514" t="s">
        <v>11703</v>
      </c>
      <c r="I680" s="1515" t="s">
        <v>64</v>
      </c>
      <c r="J680" s="1516" t="str">
        <f>CONCATENATE(C680,".",D680,".",E680)</f>
        <v>6.3.7</v>
      </c>
      <c r="K680" s="1516" t="s">
        <v>11715</v>
      </c>
      <c r="L680" s="1517" t="s">
        <v>25</v>
      </c>
      <c r="M680" s="1518" t="s">
        <v>11704</v>
      </c>
      <c r="N680" s="398" t="s">
        <v>11705</v>
      </c>
      <c r="O680" s="207" t="s">
        <v>11706</v>
      </c>
      <c r="P680" s="208" t="s">
        <v>27</v>
      </c>
      <c r="Q680" s="1472" t="s">
        <v>11704</v>
      </c>
    </row>
    <row r="681" spans="1:17">
      <c r="A681" s="1482"/>
      <c r="B681" s="1482"/>
      <c r="C681" s="1483">
        <f t="shared" si="121"/>
        <v>6</v>
      </c>
      <c r="D681" s="1492">
        <f t="shared" si="122"/>
        <v>3</v>
      </c>
      <c r="E681" s="1492">
        <f t="shared" si="123"/>
        <v>7</v>
      </c>
      <c r="F681" s="1484" t="s">
        <v>11708</v>
      </c>
      <c r="G681" s="921"/>
      <c r="H681" s="1095"/>
      <c r="I681" s="780"/>
      <c r="J681" s="834"/>
      <c r="K681" s="780"/>
      <c r="L681" s="780"/>
      <c r="M681" s="1270"/>
      <c r="N681" s="400"/>
      <c r="O681" s="122"/>
      <c r="P681" s="123"/>
    </row>
    <row r="682" spans="1:17" ht="33.75">
      <c r="A682" s="1482"/>
      <c r="B682" s="1482"/>
      <c r="C682" s="1483">
        <f t="shared" si="121"/>
        <v>6</v>
      </c>
      <c r="D682" s="1492">
        <f t="shared" si="122"/>
        <v>3</v>
      </c>
      <c r="E682" s="1492">
        <f t="shared" si="123"/>
        <v>7</v>
      </c>
      <c r="F682" s="1484" t="s">
        <v>11708</v>
      </c>
      <c r="G682" s="862" t="s">
        <v>12510</v>
      </c>
      <c r="H682" s="823" t="str">
        <f>VLOOKUP(G682,LEITOS_SECAGEM!A:M,2,0)</f>
        <v>Sinapi</v>
      </c>
      <c r="I682" s="700">
        <f>VLOOKUP(G682,LEITOS_SECAGEM!A:M,3,0)</f>
        <v>87908</v>
      </c>
      <c r="J682" s="824"/>
      <c r="K682" s="790" t="str">
        <f>(IF(H682="Saneago",VLOOKUP(I682,'SANEAGO-FEV.2016'!A:B,2,0),IF(H682="Sinapi",VLOOKUP(I682,'SINAPI-FEV.2017'!A:D,2,0),IF(H682="Cotação",VLOOKUP(I682,COTAÇÃO!A:D,2,0),IF(H682="Composição",VLOOKUP(I682,COMPOSIÇÃO!A:D,2,0))))))</f>
        <v>CHAPISCO APLICADO EM ALVENARIA (COM PRESENÇA DE VÃOS) E ESTRUTURAS DE CONCRETO DE FACHADA, COM EQUIPAMENTO DE PROJEÇÃO.  ARGAMASSA TRAÇO 1:3 COM PREPARO EM BETONEIRA 400 L. AF_06/2014</v>
      </c>
      <c r="L682" s="700" t="str">
        <f>(IF(H682="Saneago",VLOOKUP(I682,'SANEAGO-FEV.2016'!A:D,3,0),IF(H682="Sinapi",VLOOKUP(I682,'SINAPI-FEV.2017'!A:D,3,0),IF(H682="Cotação",VLOOKUP(I682,COTAÇÃO!A:D,3,0),IF(H682="Composição",VLOOKUP(I682,COMPOSIÇÃO!A:D,3,0))))))</f>
        <v>M2</v>
      </c>
      <c r="M682" s="870">
        <f>ROUND(VLOOKUP(G682,LEITOS_SECAGEM!A:M,13,0),2)</f>
        <v>888</v>
      </c>
      <c r="N682" s="399">
        <v>0</v>
      </c>
      <c r="O682" s="102">
        <f>ROUND(IF(F682="Serviços",N682*(1+$O$7),IF(F682="Materiais",N682*(1+$O$8))),2)</f>
        <v>0</v>
      </c>
      <c r="P682" s="101">
        <f>ROUND(M682*O682,2)</f>
        <v>0</v>
      </c>
      <c r="Q682" s="1472">
        <v>914.52</v>
      </c>
    </row>
    <row r="683" spans="1:17" ht="33.75">
      <c r="A683" s="1482"/>
      <c r="B683" s="1482"/>
      <c r="C683" s="1483">
        <f t="shared" si="121"/>
        <v>6</v>
      </c>
      <c r="D683" s="1492">
        <f t="shared" si="122"/>
        <v>3</v>
      </c>
      <c r="E683" s="1492">
        <f t="shared" si="123"/>
        <v>7</v>
      </c>
      <c r="F683" s="1484" t="s">
        <v>11708</v>
      </c>
      <c r="G683" s="862" t="s">
        <v>12511</v>
      </c>
      <c r="H683" s="823" t="str">
        <f>VLOOKUP(G683,LEITOS_SECAGEM!A:M,2,0)</f>
        <v>Sinapi</v>
      </c>
      <c r="I683" s="700">
        <f>VLOOKUP(G683,LEITOS_SECAGEM!A:M,3,0)</f>
        <v>87296</v>
      </c>
      <c r="J683" s="824"/>
      <c r="K683" s="790" t="str">
        <f>(IF(H683="Saneago",VLOOKUP(I683,'SANEAGO-FEV.2016'!A:B,2,0),IF(H683="Sinapi",VLOOKUP(I683,'SINAPI-FEV.2017'!A:D,2,0),IF(H683="Cotação",VLOOKUP(I683,COTAÇÃO!A:D,2,0),IF(H683="Composição",VLOOKUP(I683,COMPOSIÇÃO!A:D,2,0))))))</f>
        <v>ARGAMASSA TRAÇO 1:3:12 (CIMENTO, CAL E AREIA MÉDIA) PARA EMBOÇO/MASSA ÚNICA/ASSENTAMENTO DE ALVENARIA DE VEDAÇÃO, PREPARO MECÂNICO COM BETONEIRA 600 L. AF_06/2014</v>
      </c>
      <c r="L683" s="700" t="str">
        <f>(IF(H683="Saneago",VLOOKUP(I683,'SANEAGO-FEV.2016'!A:D,3,0),IF(H683="Sinapi",VLOOKUP(I683,'SINAPI-FEV.2017'!A:D,3,0),IF(H683="Cotação",VLOOKUP(I683,COTAÇÃO!A:D,3,0),IF(H683="Composição",VLOOKUP(I683,COMPOSIÇÃO!A:D,3,0))))))</f>
        <v>M3</v>
      </c>
      <c r="M683" s="870">
        <f>ROUND(VLOOKUP(G683,LEITOS_SECAGEM!A:M,13,0),2)</f>
        <v>22.2</v>
      </c>
      <c r="N683" s="399">
        <v>0</v>
      </c>
      <c r="O683" s="102">
        <f>ROUND(IF(F683="Serviços",N683*(1+$O$7),IF(F683="Materiais",N683*(1+$O$8))),2)</f>
        <v>0</v>
      </c>
      <c r="P683" s="101">
        <f>ROUND(M683*O683,2)</f>
        <v>0</v>
      </c>
      <c r="Q683" s="1472">
        <v>22.86</v>
      </c>
    </row>
    <row r="684" spans="1:17" ht="15.75" thickBot="1">
      <c r="A684" s="1482"/>
      <c r="B684" s="1482"/>
      <c r="C684" s="1483">
        <f t="shared" si="121"/>
        <v>6</v>
      </c>
      <c r="D684" s="1492">
        <f t="shared" si="122"/>
        <v>3</v>
      </c>
      <c r="E684" s="1492">
        <f t="shared" si="123"/>
        <v>7</v>
      </c>
      <c r="F684" s="1484" t="s">
        <v>11708</v>
      </c>
      <c r="G684" s="862"/>
      <c r="H684" s="1095"/>
      <c r="I684" s="780"/>
      <c r="J684" s="834"/>
      <c r="K684" s="780"/>
      <c r="L684" s="780"/>
      <c r="M684" s="1270"/>
      <c r="N684" s="400"/>
      <c r="O684" s="122"/>
      <c r="P684" s="123"/>
    </row>
    <row r="685" spans="1:17" ht="16.5" customHeight="1" thickTop="1" thickBot="1">
      <c r="A685" s="1482"/>
      <c r="B685" s="1482"/>
      <c r="C685" s="1483">
        <f t="shared" si="121"/>
        <v>6</v>
      </c>
      <c r="D685" s="1492">
        <f t="shared" si="122"/>
        <v>3</v>
      </c>
      <c r="E685" s="1492">
        <f t="shared" si="123"/>
        <v>7</v>
      </c>
      <c r="F685" s="1484" t="s">
        <v>11708</v>
      </c>
      <c r="G685" s="921"/>
      <c r="H685" s="1653" t="str">
        <f>"TOTAL ITEM: "&amp;J680 &amp;K680</f>
        <v>TOTAL ITEM: 6.3.7 REVESTIMENTOS E PINTURAS</v>
      </c>
      <c r="I685" s="1654"/>
      <c r="J685" s="1654"/>
      <c r="K685" s="1654"/>
      <c r="L685" s="1654"/>
      <c r="M685" s="1654"/>
      <c r="N685" s="1654"/>
      <c r="O685" s="1654"/>
      <c r="P685" s="210">
        <f>SUBTOTAL(9,P682:P683)</f>
        <v>0</v>
      </c>
    </row>
    <row r="686" spans="1:17" ht="15.75" thickTop="1">
      <c r="A686" s="1482"/>
      <c r="B686" s="1482"/>
      <c r="C686" s="1483">
        <f t="shared" si="121"/>
        <v>6</v>
      </c>
      <c r="D686" s="1492">
        <f t="shared" si="122"/>
        <v>3</v>
      </c>
      <c r="E686" s="1492">
        <f t="shared" si="123"/>
        <v>7</v>
      </c>
      <c r="F686" s="1484" t="s">
        <v>11708</v>
      </c>
      <c r="G686" s="921"/>
      <c r="H686" s="1095"/>
      <c r="I686" s="780"/>
      <c r="J686" s="834"/>
      <c r="K686" s="780"/>
      <c r="L686" s="780"/>
      <c r="M686" s="1270"/>
      <c r="N686" s="400"/>
      <c r="O686" s="122"/>
      <c r="P686" s="123"/>
    </row>
    <row r="687" spans="1:17">
      <c r="A687" s="1482"/>
      <c r="B687" s="1482">
        <v>1</v>
      </c>
      <c r="C687" s="1483">
        <f t="shared" si="121"/>
        <v>6</v>
      </c>
      <c r="D687" s="1492">
        <f t="shared" si="122"/>
        <v>3</v>
      </c>
      <c r="E687" s="1492">
        <f t="shared" si="123"/>
        <v>8</v>
      </c>
      <c r="F687" s="1484" t="s">
        <v>11708</v>
      </c>
      <c r="H687" s="1514" t="s">
        <v>11703</v>
      </c>
      <c r="I687" s="1515" t="s">
        <v>64</v>
      </c>
      <c r="J687" s="1516" t="str">
        <f>CONCATENATE(C687,".",D687,".",E687)</f>
        <v>6.3.8</v>
      </c>
      <c r="K687" s="1516" t="s">
        <v>11738</v>
      </c>
      <c r="L687" s="1517" t="s">
        <v>25</v>
      </c>
      <c r="M687" s="1518" t="s">
        <v>11704</v>
      </c>
      <c r="N687" s="398" t="s">
        <v>11705</v>
      </c>
      <c r="O687" s="207" t="s">
        <v>11706</v>
      </c>
      <c r="P687" s="208" t="s">
        <v>27</v>
      </c>
      <c r="Q687" s="1472" t="s">
        <v>11704</v>
      </c>
    </row>
    <row r="688" spans="1:17">
      <c r="A688" s="1482"/>
      <c r="B688" s="1482"/>
      <c r="C688" s="1483">
        <f t="shared" si="121"/>
        <v>6</v>
      </c>
      <c r="D688" s="1492">
        <f t="shared" si="122"/>
        <v>3</v>
      </c>
      <c r="E688" s="1492">
        <f t="shared" si="123"/>
        <v>8</v>
      </c>
      <c r="F688" s="1484" t="s">
        <v>11708</v>
      </c>
      <c r="H688" s="1095"/>
      <c r="I688" s="780"/>
      <c r="J688" s="834"/>
      <c r="K688" s="780"/>
      <c r="L688" s="780"/>
      <c r="M688" s="1270"/>
      <c r="N688" s="400"/>
      <c r="O688" s="122"/>
      <c r="P688" s="123"/>
    </row>
    <row r="689" spans="1:17" ht="22.5">
      <c r="A689" s="1482"/>
      <c r="B689" s="1482"/>
      <c r="C689" s="1483">
        <f t="shared" si="121"/>
        <v>6</v>
      </c>
      <c r="D689" s="1492">
        <f t="shared" si="122"/>
        <v>3</v>
      </c>
      <c r="E689" s="1492">
        <f t="shared" si="123"/>
        <v>8</v>
      </c>
      <c r="F689" s="1484" t="s">
        <v>11708</v>
      </c>
      <c r="G689" s="862" t="s">
        <v>12537</v>
      </c>
      <c r="H689" s="823" t="str">
        <f>VLOOKUP(G689,LEITOS_SECAGEM!A:M,2,0)</f>
        <v>Saneago</v>
      </c>
      <c r="I689" s="700">
        <f>VLOOKUP(G689,LEITOS_SECAGEM!A:M,3,0)</f>
        <v>1737</v>
      </c>
      <c r="J689" s="824"/>
      <c r="K689" s="790" t="str">
        <f>(IF(H689="Saneago",VLOOKUP(I689,'SANEAGO-FEV.2016'!A:B,2,0),IF(H689="Sinapi",VLOOKUP(I689,'SINAPI-FEV.2017'!A:D,2,0),IF(H689="Cotação",VLOOKUP(I689,COTAÇÃO!A:D,2,0),IF(H689="Composição",VLOOKUP(I689,COMPOSIÇÃO!A:D,2,0))))))</f>
        <v>POÇO DE VISITA  EM ANÉIS DE CONCRETO DIÂMETROS 60 CM (CHAMINÉ) E 90 CM (BALÃO), INCLUINDO ANEL TAMPÃO DE CONCRETO, PROFUNDIDADE = 1,5 M</v>
      </c>
      <c r="L689" s="700" t="str">
        <f>(IF(H689="Saneago",VLOOKUP(I689,'SANEAGO-FEV.2016'!A:D,3,0),IF(H689="Sinapi",VLOOKUP(I689,'SINAPI-FEV.2017'!A:D,3,0),IF(H689="Cotação",VLOOKUP(I689,COTAÇÃO!A:D,3,0),IF(H689="Composição",VLOOKUP(I689,COMPOSIÇÃO!A:D,3,0))))))</f>
        <v>UN</v>
      </c>
      <c r="M689" s="870">
        <f>ROUND(VLOOKUP(G689,LEITOS_SECAGEM!A:M,13,0),2)</f>
        <v>17</v>
      </c>
      <c r="N689" s="399">
        <v>0</v>
      </c>
      <c r="O689" s="102">
        <f>ROUND(IF(F689="Serviços",N689*(1+$O$7),IF(F689="Materiais",N689*(1+$O$8))),2)</f>
        <v>0</v>
      </c>
      <c r="P689" s="101">
        <f>ROUND(M689*O689,2)</f>
        <v>0</v>
      </c>
      <c r="Q689" s="1472">
        <v>17</v>
      </c>
    </row>
    <row r="690" spans="1:17" ht="22.5">
      <c r="A690" s="1482"/>
      <c r="B690" s="1482"/>
      <c r="C690" s="1483">
        <f t="shared" si="121"/>
        <v>6</v>
      </c>
      <c r="D690" s="1492">
        <f t="shared" si="122"/>
        <v>3</v>
      </c>
      <c r="E690" s="1492">
        <f t="shared" si="123"/>
        <v>8</v>
      </c>
      <c r="F690" s="1484" t="s">
        <v>11708</v>
      </c>
      <c r="G690" s="862" t="s">
        <v>12538</v>
      </c>
      <c r="H690" s="823" t="str">
        <f>VLOOKUP(G690,LEITOS_SECAGEM!A:M,2,0)</f>
        <v>Saneago</v>
      </c>
      <c r="I690" s="700">
        <f>VLOOKUP(G690,LEITOS_SECAGEM!A:M,3,0)</f>
        <v>1612</v>
      </c>
      <c r="J690" s="824"/>
      <c r="K690" s="790" t="str">
        <f>(IF(H690="Saneago",VLOOKUP(I690,'SANEAGO-FEV.2016'!A:B,2,0),IF(H690="Sinapi",VLOOKUP(I690,'SINAPI-FEV.2017'!A:D,2,0),IF(H690="Cotação",VLOOKUP(I690,COTAÇÃO!A:D,2,0),IF(H690="Composição",VLOOKUP(I690,COMPOSIÇÃO!A:D,2,0))))))</f>
        <v>POÇO DE VISITA  EM ANÉIS DE CONCRETO DIÂMETROS 60 CM (CHAMINÉ) E 90 CM (BALÃO), INCLUINDO ANEL TAMPÃO DE CONCRETO, PROFUNDIDADE = 2,0 M</v>
      </c>
      <c r="L690" s="700" t="str">
        <f>(IF(H690="Saneago",VLOOKUP(I690,'SANEAGO-FEV.2016'!A:D,3,0),IF(H690="Sinapi",VLOOKUP(I690,'SINAPI-FEV.2017'!A:D,3,0),IF(H690="Cotação",VLOOKUP(I690,COTAÇÃO!A:D,3,0),IF(H690="Composição",VLOOKUP(I690,COMPOSIÇÃO!A:D,3,0))))))</f>
        <v>UN</v>
      </c>
      <c r="M690" s="870">
        <f>ROUND(VLOOKUP(G690,LEITOS_SECAGEM!A:M,13,0),2)</f>
        <v>10</v>
      </c>
      <c r="N690" s="399">
        <v>0</v>
      </c>
      <c r="O690" s="102">
        <f>ROUND(IF(F690="Serviços",N690*(1+$O$7),IF(F690="Materiais",N690*(1+$O$8))),2)</f>
        <v>0</v>
      </c>
      <c r="P690" s="101">
        <f>ROUND(M690*O690,2)</f>
        <v>0</v>
      </c>
      <c r="Q690" s="1472">
        <v>10</v>
      </c>
    </row>
    <row r="691" spans="1:17">
      <c r="A691" s="1482"/>
      <c r="B691" s="1482"/>
      <c r="C691" s="1483">
        <f t="shared" si="121"/>
        <v>6</v>
      </c>
      <c r="D691" s="1492">
        <f t="shared" si="122"/>
        <v>3</v>
      </c>
      <c r="E691" s="1492">
        <f t="shared" si="123"/>
        <v>8</v>
      </c>
      <c r="F691" s="1484" t="s">
        <v>11708</v>
      </c>
      <c r="G691" s="862" t="s">
        <v>12539</v>
      </c>
      <c r="H691" s="823" t="str">
        <f>VLOOKUP(G691,LEITOS_SECAGEM!A:M,2,0)</f>
        <v>Sinapi</v>
      </c>
      <c r="I691" s="700">
        <f>VLOOKUP(G691,LEITOS_SECAGEM!A:M,3,0)</f>
        <v>83449</v>
      </c>
      <c r="J691" s="824"/>
      <c r="K691" s="790" t="str">
        <f>(IF(H691="Saneago",VLOOKUP(I691,'SANEAGO-FEV.2016'!A:B,2,0),IF(H691="Sinapi",VLOOKUP(I691,'SINAPI-FEV.2017'!A:D,2,0),IF(H691="Cotação",VLOOKUP(I691,COTAÇÃO!A:D,2,0),IF(H691="Composição",VLOOKUP(I691,COMPOSIÇÃO!A:D,2,0))))))</f>
        <v>CAIXA DE PASSAGEM 60X60X70 FUNDO BRITA COM TAMPA</v>
      </c>
      <c r="L691" s="700" t="str">
        <f>(IF(H691="Saneago",VLOOKUP(I691,'SANEAGO-FEV.2016'!A:D,3,0),IF(H691="Sinapi",VLOOKUP(I691,'SINAPI-FEV.2017'!A:D,3,0),IF(H691="Cotação",VLOOKUP(I691,COTAÇÃO!A:D,3,0),IF(H691="Composição",VLOOKUP(I691,COMPOSIÇÃO!A:D,3,0))))))</f>
        <v>UN</v>
      </c>
      <c r="M691" s="870">
        <f>ROUND(VLOOKUP(G691,LEITOS_SECAGEM!A:M,13,0),2)</f>
        <v>40</v>
      </c>
      <c r="N691" s="399">
        <v>0</v>
      </c>
      <c r="O691" s="102">
        <f>ROUND(IF(F691="Serviços",N691*(1+$O$7),IF(F691="Materiais",N691*(1+$O$8))),2)</f>
        <v>0</v>
      </c>
      <c r="P691" s="101">
        <f>ROUND(M691*O691,2)</f>
        <v>0</v>
      </c>
      <c r="Q691" s="1472">
        <v>40</v>
      </c>
    </row>
    <row r="692" spans="1:17">
      <c r="A692" s="1482"/>
      <c r="B692" s="1482"/>
      <c r="C692" s="1483">
        <f t="shared" si="121"/>
        <v>6</v>
      </c>
      <c r="D692" s="1492">
        <f t="shared" si="122"/>
        <v>3</v>
      </c>
      <c r="E692" s="1492">
        <f t="shared" si="123"/>
        <v>8</v>
      </c>
      <c r="F692" s="1484" t="s">
        <v>11708</v>
      </c>
      <c r="G692" s="862" t="s">
        <v>12512</v>
      </c>
      <c r="H692" s="823" t="str">
        <f>VLOOKUP(G692,LEITOS_SECAGEM!A:M,2,0)</f>
        <v>Composição</v>
      </c>
      <c r="I692" s="700" t="str">
        <f>VLOOKUP(G692,LEITOS_SECAGEM!A:M,3,0)</f>
        <v>CP_LEITO.MAT.HIDR.</v>
      </c>
      <c r="J692" s="824"/>
      <c r="K692" s="790" t="str">
        <f>(IF(H692="Saneago",VLOOKUP(I692,'SANEAGO-FEV.2016'!A:B,2,0),IF(H692="Sinapi",VLOOKUP(I692,'SINAPI-FEV.2017'!A:D,2,0),IF(H692="Cotação",VLOOKUP(I692,COTAÇÃO!A:D,2,0),IF(H692="Composição",VLOOKUP(I692,COMPOSIÇÃO!A:D,2,0))))))</f>
        <v>MONTAGEM DE MATERIAL HIDRÁULICO DOS LEITOS DE SECAGEM</v>
      </c>
      <c r="L692" s="700" t="str">
        <f>(IF(H692="Saneago",VLOOKUP(I692,'SANEAGO-FEV.2016'!A:D,3,0),IF(H692="Sinapi",VLOOKUP(I692,'SINAPI-FEV.2017'!A:D,3,0),IF(H692="Cotação",VLOOKUP(I692,COTAÇÃO!A:D,3,0),IF(H692="Composição",VLOOKUP(I692,COMPOSIÇÃO!A:D,3,0))))))</f>
        <v>um.</v>
      </c>
      <c r="M692" s="870">
        <f>ROUND(VLOOKUP(G692,LEITOS_SECAGEM!A:M,13,0),2)</f>
        <v>1</v>
      </c>
      <c r="N692" s="399">
        <v>0</v>
      </c>
      <c r="O692" s="102">
        <f>ROUND(IF(F692="Serviços",N692*(1+$O$7),IF(F692="Materiais",N692*(1+$O$8))),2)</f>
        <v>0</v>
      </c>
      <c r="P692" s="101">
        <f>ROUND(M692*O692,2)</f>
        <v>0</v>
      </c>
      <c r="Q692" s="1472">
        <v>1</v>
      </c>
    </row>
    <row r="693" spans="1:17">
      <c r="A693" s="1482"/>
      <c r="B693" s="1482"/>
      <c r="C693" s="1483">
        <f t="shared" si="121"/>
        <v>6</v>
      </c>
      <c r="D693" s="1492">
        <f t="shared" si="122"/>
        <v>3</v>
      </c>
      <c r="E693" s="1492">
        <f t="shared" si="123"/>
        <v>8</v>
      </c>
      <c r="F693" s="1484" t="s">
        <v>11708</v>
      </c>
      <c r="G693" s="862" t="s">
        <v>14340</v>
      </c>
      <c r="H693" s="823" t="str">
        <f>VLOOKUP(G693,LEITOS_SECAGEM!A:M,2,0)</f>
        <v>Sinapi</v>
      </c>
      <c r="I693" s="700">
        <f>VLOOKUP(G693,LEITOS_SECAGEM!A:M,3,0)</f>
        <v>9537</v>
      </c>
      <c r="J693" s="824"/>
      <c r="K693" s="790" t="str">
        <f>(IF(H693="Saneago",VLOOKUP(I693,'SANEAGO-FEV.2016'!A:B,2,0),IF(H693="Sinapi",VLOOKUP(I693,'SINAPI-FEV.2017'!A:D,2,0),IF(H693="Cotação",VLOOKUP(I693,COTAÇÃO!A:D,2,0),IF(H693="Composição",VLOOKUP(I693,COMPOSIÇÃO!A:D,2,0))))))</f>
        <v>LIMPEZA FINAL DA OBRA</v>
      </c>
      <c r="L693" s="700" t="str">
        <f>(IF(H693="Saneago",VLOOKUP(I693,'SANEAGO-FEV.2016'!A:D,3,0),IF(H693="Sinapi",VLOOKUP(I693,'SINAPI-FEV.2017'!A:D,3,0),IF(H693="Cotação",VLOOKUP(I693,COTAÇÃO!A:D,3,0),IF(H693="Composição",VLOOKUP(I693,COMPOSIÇÃO!A:D,3,0))))))</f>
        <v>M2</v>
      </c>
      <c r="M693" s="870">
        <f>ROUND(VLOOKUP(G693,LEITOS_SECAGEM!A:M,13,0),2)</f>
        <v>2700</v>
      </c>
      <c r="N693" s="399">
        <v>0</v>
      </c>
      <c r="O693" s="102">
        <f>ROUND(IF(F693="Serviços",N693*(1+$O$7),IF(F693="Materiais",N693*(1+$O$8))),2)</f>
        <v>0</v>
      </c>
      <c r="P693" s="101">
        <f>ROUND(M693*O693,2)</f>
        <v>0</v>
      </c>
      <c r="Q693" s="1472">
        <v>2700</v>
      </c>
    </row>
    <row r="694" spans="1:17" ht="15.75" thickBot="1">
      <c r="A694" s="1482"/>
      <c r="B694" s="1482"/>
      <c r="C694" s="1483">
        <f t="shared" si="121"/>
        <v>6</v>
      </c>
      <c r="D694" s="1492">
        <f t="shared" ref="D694:E697" si="130">D693+A694</f>
        <v>3</v>
      </c>
      <c r="E694" s="1492">
        <f t="shared" si="130"/>
        <v>8</v>
      </c>
      <c r="F694" s="1484" t="s">
        <v>11708</v>
      </c>
      <c r="G694" s="862"/>
      <c r="H694" s="1095"/>
      <c r="I694" s="780"/>
      <c r="J694" s="834"/>
      <c r="K694" s="780"/>
      <c r="L694" s="780"/>
      <c r="M694" s="1270"/>
      <c r="N694" s="400"/>
      <c r="O694" s="122"/>
      <c r="P694" s="123"/>
    </row>
    <row r="695" spans="1:17" ht="16.5" customHeight="1" thickTop="1" thickBot="1">
      <c r="A695" s="1482"/>
      <c r="B695" s="1482"/>
      <c r="C695" s="1483">
        <f t="shared" si="121"/>
        <v>6</v>
      </c>
      <c r="D695" s="1492">
        <f t="shared" si="130"/>
        <v>3</v>
      </c>
      <c r="E695" s="1492">
        <f t="shared" si="130"/>
        <v>8</v>
      </c>
      <c r="F695" s="1484" t="s">
        <v>11708</v>
      </c>
      <c r="G695" s="862"/>
      <c r="H695" s="1653" t="str">
        <f>"TOTAL ITEM: "&amp;J687 &amp;K687</f>
        <v>TOTAL ITEM: 6.3.8 DIVERSOS</v>
      </c>
      <c r="I695" s="1654"/>
      <c r="J695" s="1654"/>
      <c r="K695" s="1654"/>
      <c r="L695" s="1654"/>
      <c r="M695" s="1654"/>
      <c r="N695" s="1654"/>
      <c r="O695" s="1654"/>
      <c r="P695" s="210">
        <f>SUBTOTAL(9,P689:P693)</f>
        <v>0</v>
      </c>
    </row>
    <row r="696" spans="1:17" ht="16.5" thickTop="1" thickBot="1">
      <c r="A696" s="1482"/>
      <c r="B696" s="1482"/>
      <c r="C696" s="1483">
        <f t="shared" si="121"/>
        <v>6</v>
      </c>
      <c r="D696" s="1492">
        <f t="shared" si="130"/>
        <v>3</v>
      </c>
      <c r="E696" s="1492">
        <f t="shared" si="130"/>
        <v>8</v>
      </c>
      <c r="F696" s="1484" t="s">
        <v>11708</v>
      </c>
      <c r="H696" s="1095"/>
      <c r="I696" s="780"/>
      <c r="J696" s="834"/>
      <c r="K696" s="780"/>
      <c r="L696" s="780"/>
      <c r="M696" s="1270"/>
      <c r="N696" s="400"/>
      <c r="O696" s="122"/>
      <c r="P696" s="123"/>
    </row>
    <row r="697" spans="1:17" ht="16.5" thickTop="1" thickBot="1">
      <c r="A697" s="1482">
        <v>1</v>
      </c>
      <c r="B697" s="1482"/>
      <c r="C697" s="1483">
        <f t="shared" si="121"/>
        <v>6</v>
      </c>
      <c r="D697" s="1492">
        <f t="shared" si="130"/>
        <v>4</v>
      </c>
      <c r="E697" s="1492">
        <f t="shared" si="130"/>
        <v>8</v>
      </c>
      <c r="F697" s="1484" t="s">
        <v>11708</v>
      </c>
      <c r="H697" s="1510" t="str">
        <f>CONCATENATE(C697,".",D697)</f>
        <v>6.4</v>
      </c>
      <c r="I697" s="1644" t="s">
        <v>14333</v>
      </c>
      <c r="J697" s="1644"/>
      <c r="K697" s="1644"/>
      <c r="L697" s="1644"/>
      <c r="M697" s="1644"/>
      <c r="N697" s="1644"/>
      <c r="O697" s="99" t="s">
        <v>11702</v>
      </c>
      <c r="P697" s="100">
        <f>SUBTOTAL(9,P701:P779)</f>
        <v>0</v>
      </c>
    </row>
    <row r="698" spans="1:17" ht="15.75" thickTop="1">
      <c r="A698" s="1482"/>
      <c r="B698" s="1482"/>
      <c r="C698" s="1483">
        <f t="shared" ref="C698:C770" si="131">C697</f>
        <v>6</v>
      </c>
      <c r="D698" s="1492">
        <f t="shared" si="122"/>
        <v>4</v>
      </c>
      <c r="E698" s="1492">
        <f t="shared" si="123"/>
        <v>8</v>
      </c>
      <c r="F698" s="1484" t="s">
        <v>11708</v>
      </c>
      <c r="H698" s="789"/>
      <c r="I698" s="915"/>
      <c r="J698" s="1022"/>
      <c r="K698" s="915"/>
      <c r="L698" s="816"/>
      <c r="M698" s="874"/>
      <c r="N698" s="394"/>
      <c r="O698" s="98"/>
      <c r="P698" s="95"/>
    </row>
    <row r="699" spans="1:17">
      <c r="A699" s="1482"/>
      <c r="B699" s="1482">
        <v>1</v>
      </c>
      <c r="C699" s="1483">
        <f t="shared" si="131"/>
        <v>6</v>
      </c>
      <c r="D699" s="1492">
        <f t="shared" ref="D699:D771" si="132">D698+A699</f>
        <v>4</v>
      </c>
      <c r="E699" s="1492">
        <f t="shared" ref="E699:E771" si="133">E698+B699</f>
        <v>9</v>
      </c>
      <c r="F699" s="1484" t="s">
        <v>11708</v>
      </c>
      <c r="H699" s="1514" t="s">
        <v>11703</v>
      </c>
      <c r="I699" s="1515" t="s">
        <v>64</v>
      </c>
      <c r="J699" s="1516" t="str">
        <f>CONCATENATE(C699,".",D699,".",E699)</f>
        <v>6.4.9</v>
      </c>
      <c r="K699" s="1516" t="s">
        <v>11709</v>
      </c>
      <c r="L699" s="1517" t="s">
        <v>25</v>
      </c>
      <c r="M699" s="1518" t="s">
        <v>11704</v>
      </c>
      <c r="N699" s="398" t="s">
        <v>11705</v>
      </c>
      <c r="O699" s="207" t="s">
        <v>11706</v>
      </c>
      <c r="P699" s="208" t="s">
        <v>27</v>
      </c>
      <c r="Q699" s="1472" t="s">
        <v>11704</v>
      </c>
    </row>
    <row r="700" spans="1:17">
      <c r="A700" s="1482"/>
      <c r="B700" s="1482"/>
      <c r="C700" s="1483">
        <f t="shared" si="131"/>
        <v>6</v>
      </c>
      <c r="D700" s="1492">
        <f t="shared" si="132"/>
        <v>4</v>
      </c>
      <c r="E700" s="1492">
        <f t="shared" si="133"/>
        <v>9</v>
      </c>
      <c r="F700" s="1484" t="s">
        <v>11708</v>
      </c>
      <c r="H700" s="826"/>
      <c r="I700" s="790"/>
      <c r="J700" s="824"/>
      <c r="K700" s="790"/>
      <c r="L700" s="700"/>
      <c r="M700" s="870"/>
      <c r="N700" s="399"/>
      <c r="O700" s="121"/>
      <c r="P700" s="101"/>
    </row>
    <row r="701" spans="1:17">
      <c r="A701" s="1482"/>
      <c r="B701" s="1482"/>
      <c r="C701" s="1483">
        <f t="shared" si="131"/>
        <v>6</v>
      </c>
      <c r="D701" s="1492">
        <f t="shared" si="132"/>
        <v>4</v>
      </c>
      <c r="E701" s="1492">
        <f t="shared" si="133"/>
        <v>9</v>
      </c>
      <c r="F701" s="1484" t="s">
        <v>11708</v>
      </c>
      <c r="G701" s="1522" t="s">
        <v>12031</v>
      </c>
      <c r="H701" s="823" t="str">
        <f>VLOOKUP(G701,TUBULAÇÕES!A:M,2,0)</f>
        <v>SINAPI</v>
      </c>
      <c r="I701" s="700">
        <f>VLOOKUP(G701,TUBULAÇÕES!A:M,3,0)</f>
        <v>73610</v>
      </c>
      <c r="J701" s="824"/>
      <c r="K701" s="790" t="str">
        <f>(IF(H701="Saneago",VLOOKUP(I701,'SANEAGO-FEV.2016'!A:B,2,0),IF(H701="Sinapi",VLOOKUP(I701,'SINAPI-FEV.2017'!A:D,2,0),IF(H701="Cotação",VLOOKUP(I701,COTAÇÃO!A:D,2,0),IF(H701="Composição",VLOOKUP(I701,COMPOSIÇÃO!A:D,2,0))))))</f>
        <v>LOCAÇÃO DE REDES DE ÁGUA OU DE ESGOTO</v>
      </c>
      <c r="L701" s="700" t="str">
        <f>(IF(H701="Saneago",VLOOKUP(I701,'SANEAGO-FEV.2016'!A:D,3,0),IF(H701="Sinapi",VLOOKUP(I701,'SINAPI-FEV.2017'!A:D,3,0),IF(H701="Cotação",VLOOKUP(I701,COTAÇÃO!A:D,3,0),IF(H701="Composição",VLOOKUP(I701,COMPOSIÇÃO!A:D,3,0))))))</f>
        <v>M</v>
      </c>
      <c r="M701" s="870">
        <f>VLOOKUP(G701,TUBULAÇÕES!A:M,13,0)</f>
        <v>3373.3700000000003</v>
      </c>
      <c r="N701" s="399">
        <v>0</v>
      </c>
      <c r="O701" s="102">
        <f>ROUND(IF(F701="Serviços",N701*(1+$O$7),IF(F701="Materiais",N701*(1+$O$8))),2)</f>
        <v>0</v>
      </c>
      <c r="P701" s="101">
        <f>ROUND(M701*O701,2)</f>
        <v>0</v>
      </c>
      <c r="Q701" s="1472">
        <v>3373.3700000000003</v>
      </c>
    </row>
    <row r="702" spans="1:17" ht="22.5">
      <c r="A702" s="1482"/>
      <c r="B702" s="1482"/>
      <c r="C702" s="1483">
        <f t="shared" si="131"/>
        <v>6</v>
      </c>
      <c r="D702" s="1492">
        <f t="shared" si="132"/>
        <v>4</v>
      </c>
      <c r="E702" s="1492">
        <f t="shared" si="133"/>
        <v>9</v>
      </c>
      <c r="F702" s="1484" t="s">
        <v>11708</v>
      </c>
      <c r="G702" s="1522" t="s">
        <v>12032</v>
      </c>
      <c r="H702" s="823" t="str">
        <f>VLOOKUP(G702,TUBULAÇÕES!A:M,2,0)</f>
        <v>SINAPI</v>
      </c>
      <c r="I702" s="700" t="str">
        <f>VLOOKUP(G702,TUBULAÇÕES!A:M,3,0)</f>
        <v>73822/2</v>
      </c>
      <c r="J702" s="824"/>
      <c r="K702" s="790" t="str">
        <f>(IF(H702="Saneago",VLOOKUP(I702,'SANEAGO-FEV.2016'!A:B,2,0),IF(H702="Sinapi",VLOOKUP(I702,'SINAPI-FEV.2017'!A:D,2,0),IF(H702="Cotação",VLOOKUP(I702,COTAÇÃO!A:D,2,0),IF(H702="Composição",VLOOKUP(I702,COMPOSIÇÃO!A:D,2,0))))))</f>
        <v>LIMPEZA MECANIZADA DE TERRENO COM REMOCAO DE CAMADA VEGETAL, UTILIZANDO MOTONIVELADORA</v>
      </c>
      <c r="L702" s="700" t="str">
        <f>(IF(H702="Saneago",VLOOKUP(I702,'SANEAGO-FEV.2016'!A:D,3,0),IF(H702="Sinapi",VLOOKUP(I702,'SINAPI-FEV.2017'!A:D,3,0),IF(H702="Cotação",VLOOKUP(I702,COTAÇÃO!A:D,3,0),IF(H702="Composição",VLOOKUP(I702,COMPOSIÇÃO!A:D,3,0))))))</f>
        <v>M2</v>
      </c>
      <c r="M702" s="870">
        <f>VLOOKUP(G702,TUBULAÇÕES!A:M,13,0)</f>
        <v>3942.9333895574923</v>
      </c>
      <c r="N702" s="399">
        <v>0</v>
      </c>
      <c r="O702" s="102">
        <f>ROUND(IF(F702="Serviços",N702*(1+$O$7),IF(F702="Materiais",N702*(1+$O$8))),2)</f>
        <v>0</v>
      </c>
      <c r="P702" s="101">
        <f>ROUND(M702*O702,2)</f>
        <v>0</v>
      </c>
      <c r="Q702" s="1472">
        <v>3942.9333895574923</v>
      </c>
    </row>
    <row r="703" spans="1:17">
      <c r="A703" s="1482"/>
      <c r="B703" s="1482"/>
      <c r="C703" s="1483">
        <f t="shared" si="131"/>
        <v>6</v>
      </c>
      <c r="D703" s="1492">
        <f t="shared" si="132"/>
        <v>4</v>
      </c>
      <c r="E703" s="1492">
        <f t="shared" si="133"/>
        <v>9</v>
      </c>
      <c r="F703" s="1484" t="s">
        <v>11708</v>
      </c>
      <c r="G703" s="1522" t="s">
        <v>12679</v>
      </c>
      <c r="H703" s="823" t="str">
        <f>VLOOKUP(G703,TUBULAÇÕES!A:M,2,0)</f>
        <v>Saneago</v>
      </c>
      <c r="I703" s="700">
        <f>VLOOKUP(G703,TUBULAÇÕES!A:M,3,0)</f>
        <v>1511</v>
      </c>
      <c r="J703" s="824"/>
      <c r="K703" s="790" t="str">
        <f>(IF(H703="Saneago",VLOOKUP(I703,'SANEAGO-FEV.2016'!A:B,2,0),IF(H703="Sinapi",VLOOKUP(I703,'SINAPI-FEV.2017'!A:D,2,0),IF(H703="Cotação",VLOOKUP(I703,COTAÇÃO!A:D,2,0),IF(H703="Composição",VLOOKUP(I703,COMPOSIÇÃO!A:D,2,0))))))</f>
        <v>CADASTRO DE REDES E ADUTORAS</v>
      </c>
      <c r="L703" s="700" t="str">
        <f>(IF(H703="Saneago",VLOOKUP(I703,'SANEAGO-FEV.2016'!A:D,3,0),IF(H703="Sinapi",VLOOKUP(I703,'SINAPI-FEV.2017'!A:D,3,0),IF(H703="Cotação",VLOOKUP(I703,COTAÇÃO!A:D,3,0),IF(H703="Composição",VLOOKUP(I703,COMPOSIÇÃO!A:D,3,0))))))</f>
        <v>M</v>
      </c>
      <c r="M703" s="870">
        <f>VLOOKUP(G703,TUBULAÇÕES!A:M,13,0)</f>
        <v>3373.3700000000003</v>
      </c>
      <c r="N703" s="399">
        <v>0</v>
      </c>
      <c r="O703" s="102">
        <f>ROUND(IF(F703="Serviços",N703*(1+$O$7),IF(F703="Materiais",N703*(1+$O$8))),2)</f>
        <v>0</v>
      </c>
      <c r="P703" s="101">
        <f>ROUND(M703*O703,2)</f>
        <v>0</v>
      </c>
      <c r="Q703" s="1472">
        <v>3373.3700000000003</v>
      </c>
    </row>
    <row r="704" spans="1:17" ht="15.75" thickBot="1">
      <c r="A704" s="1482"/>
      <c r="B704" s="1482"/>
      <c r="C704" s="1483">
        <f t="shared" si="131"/>
        <v>6</v>
      </c>
      <c r="D704" s="1492">
        <f t="shared" si="132"/>
        <v>4</v>
      </c>
      <c r="E704" s="1492">
        <f t="shared" si="133"/>
        <v>9</v>
      </c>
      <c r="F704" s="1484" t="s">
        <v>11708</v>
      </c>
      <c r="G704" s="1522"/>
      <c r="H704" s="826"/>
      <c r="I704" s="790"/>
      <c r="J704" s="824"/>
      <c r="K704" s="790"/>
      <c r="L704" s="700"/>
      <c r="M704" s="870"/>
      <c r="N704" s="399"/>
      <c r="O704" s="209"/>
      <c r="P704" s="101"/>
    </row>
    <row r="705" spans="1:17" ht="16.5" customHeight="1" thickTop="1" thickBot="1">
      <c r="A705" s="1482"/>
      <c r="B705" s="1482"/>
      <c r="C705" s="1483">
        <f t="shared" si="131"/>
        <v>6</v>
      </c>
      <c r="D705" s="1492">
        <f t="shared" si="132"/>
        <v>4</v>
      </c>
      <c r="E705" s="1492">
        <f t="shared" si="133"/>
        <v>9</v>
      </c>
      <c r="F705" s="1484" t="s">
        <v>11708</v>
      </c>
      <c r="G705" s="1522"/>
      <c r="H705" s="1653" t="str">
        <f>"TOTAL ITEM: "&amp;J699 &amp;K699</f>
        <v>TOTAL ITEM: 6.4.9 SERVIÇOS PRELIMINARES</v>
      </c>
      <c r="I705" s="1654"/>
      <c r="J705" s="1654"/>
      <c r="K705" s="1654"/>
      <c r="L705" s="1654"/>
      <c r="M705" s="1654"/>
      <c r="N705" s="1654"/>
      <c r="O705" s="1654"/>
      <c r="P705" s="210">
        <f>SUBTOTAL(9,P701:P703)</f>
        <v>0</v>
      </c>
    </row>
    <row r="706" spans="1:17" ht="15.75" thickTop="1">
      <c r="A706" s="1482"/>
      <c r="B706" s="1482"/>
      <c r="C706" s="1483">
        <f t="shared" si="131"/>
        <v>6</v>
      </c>
      <c r="D706" s="1492">
        <f t="shared" si="132"/>
        <v>4</v>
      </c>
      <c r="E706" s="1492">
        <f t="shared" si="133"/>
        <v>9</v>
      </c>
      <c r="F706" s="1484" t="s">
        <v>11708</v>
      </c>
      <c r="G706" s="961"/>
      <c r="H706" s="1533"/>
      <c r="I706" s="1002"/>
      <c r="J706" s="1534"/>
      <c r="K706" s="1002"/>
      <c r="L706" s="907"/>
      <c r="M706" s="870"/>
      <c r="N706" s="399"/>
      <c r="O706" s="121"/>
      <c r="P706" s="101"/>
    </row>
    <row r="707" spans="1:17">
      <c r="A707" s="1482"/>
      <c r="B707" s="1482">
        <v>1</v>
      </c>
      <c r="C707" s="1483">
        <f t="shared" si="131"/>
        <v>6</v>
      </c>
      <c r="D707" s="1492">
        <f t="shared" si="132"/>
        <v>4</v>
      </c>
      <c r="E707" s="1492">
        <f t="shared" si="133"/>
        <v>10</v>
      </c>
      <c r="F707" s="1484" t="s">
        <v>11708</v>
      </c>
      <c r="G707" s="961"/>
      <c r="H707" s="1514" t="s">
        <v>11703</v>
      </c>
      <c r="I707" s="1515" t="s">
        <v>64</v>
      </c>
      <c r="J707" s="1516" t="str">
        <f>CONCATENATE(C707,".",D707,".",E707)</f>
        <v>6.4.10</v>
      </c>
      <c r="K707" s="1516" t="s">
        <v>11710</v>
      </c>
      <c r="L707" s="1517" t="s">
        <v>25</v>
      </c>
      <c r="M707" s="1518" t="s">
        <v>11704</v>
      </c>
      <c r="N707" s="398" t="s">
        <v>11705</v>
      </c>
      <c r="O707" s="207" t="s">
        <v>11706</v>
      </c>
      <c r="P707" s="208" t="s">
        <v>27</v>
      </c>
      <c r="Q707" s="1472" t="s">
        <v>11704</v>
      </c>
    </row>
    <row r="708" spans="1:17">
      <c r="A708" s="1482"/>
      <c r="B708" s="1482"/>
      <c r="C708" s="1483">
        <f t="shared" si="131"/>
        <v>6</v>
      </c>
      <c r="D708" s="1492">
        <f t="shared" si="132"/>
        <v>4</v>
      </c>
      <c r="E708" s="1492">
        <f t="shared" si="133"/>
        <v>10</v>
      </c>
      <c r="F708" s="1484" t="s">
        <v>11708</v>
      </c>
      <c r="G708" s="961"/>
      <c r="H708" s="826"/>
      <c r="I708" s="790"/>
      <c r="J708" s="824"/>
      <c r="K708" s="790"/>
      <c r="L708" s="700"/>
      <c r="M708" s="870"/>
      <c r="N708" s="399"/>
      <c r="O708" s="121"/>
      <c r="P708" s="101"/>
    </row>
    <row r="709" spans="1:17" ht="56.25">
      <c r="A709" s="1482"/>
      <c r="B709" s="1482"/>
      <c r="C709" s="1483">
        <f t="shared" si="131"/>
        <v>6</v>
      </c>
      <c r="D709" s="1492">
        <f t="shared" si="132"/>
        <v>4</v>
      </c>
      <c r="E709" s="1492">
        <f t="shared" si="133"/>
        <v>10</v>
      </c>
      <c r="F709" s="1484" t="s">
        <v>11708</v>
      </c>
      <c r="G709" s="921" t="s">
        <v>12033</v>
      </c>
      <c r="H709" s="823" t="str">
        <f>VLOOKUP(G709,TUBULAÇÕES!A:M,2,0)</f>
        <v>SINAPI</v>
      </c>
      <c r="I709" s="700">
        <f>VLOOKUP(G709,TUBULAÇÕES!A:M,3,0)</f>
        <v>90105</v>
      </c>
      <c r="J709" s="824"/>
      <c r="K709" s="790" t="str">
        <f>(IF(H709="Saneago",VLOOKUP(I709,'SANEAGO-FEV.2016'!A:B,2,0),IF(H709="Sinapi",VLOOKUP(I709,'SINAPI-FEV.2017'!A:D,2,0),IF(H709="Cotação",VLOOKUP(I709,COTAÇÃO!A:D,2,0),IF(H709="Composição",VLOOKUP(I709,COMPOSIÇÃO!A:D,2,0))))))</f>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
      <c r="L709" s="700" t="str">
        <f>(IF(H709="Saneago",VLOOKUP(I709,'SANEAGO-FEV.2016'!A:D,3,0),IF(H709="Sinapi",VLOOKUP(I709,'SINAPI-FEV.2017'!A:D,3,0),IF(H709="Cotação",VLOOKUP(I709,COTAÇÃO!A:D,3,0),IF(H709="Composição",VLOOKUP(I709,COMPOSIÇÃO!A:D,3,0))))))</f>
        <v>M3</v>
      </c>
      <c r="M709" s="870">
        <f>VLOOKUP(G709,TUBULAÇÕES!A:M,13,0)</f>
        <v>3715.3720570251726</v>
      </c>
      <c r="N709" s="399">
        <v>0</v>
      </c>
      <c r="O709" s="102">
        <f t="shared" ref="O709:O723" si="134">ROUND(IF(F709="Serviços",N709*(1+$O$7),IF(F709="Materiais",N709*(1+$O$8))),2)</f>
        <v>0</v>
      </c>
      <c r="P709" s="101">
        <f t="shared" ref="P709:P723" si="135">ROUND(M709*O709,2)</f>
        <v>0</v>
      </c>
      <c r="Q709" s="1472">
        <v>3715.3720570251726</v>
      </c>
    </row>
    <row r="710" spans="1:17" ht="56.25">
      <c r="A710" s="1482"/>
      <c r="B710" s="1482"/>
      <c r="C710" s="1483">
        <f t="shared" si="131"/>
        <v>6</v>
      </c>
      <c r="D710" s="1492">
        <f t="shared" si="132"/>
        <v>4</v>
      </c>
      <c r="E710" s="1492">
        <f t="shared" si="133"/>
        <v>10</v>
      </c>
      <c r="F710" s="1484" t="s">
        <v>11708</v>
      </c>
      <c r="G710" s="921" t="s">
        <v>12034</v>
      </c>
      <c r="H710" s="823" t="str">
        <f>VLOOKUP(G710,TUBULAÇÕES!A:M,2,0)</f>
        <v>SINAPI</v>
      </c>
      <c r="I710" s="700">
        <f>VLOOKUP(G710,TUBULAÇÕES!A:M,3,0)</f>
        <v>90107</v>
      </c>
      <c r="J710" s="824"/>
      <c r="K710" s="790" t="str">
        <f>(IF(H710="Saneago",VLOOKUP(I710,'SANEAGO-FEV.2016'!A:B,2,0),IF(H710="Sinapi",VLOOKUP(I710,'SINAPI-FEV.2017'!A:D,2,0),IF(H710="Cotação",VLOOKUP(I710,COTAÇÃO!A:D,2,0),IF(H710="Composição",VLOOKUP(I710,COMPOSIÇÃO!A:D,2,0))))))</f>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
      <c r="L710" s="700" t="str">
        <f>(IF(H710="Saneago",VLOOKUP(I710,'SANEAGO-FEV.2016'!A:D,3,0),IF(H710="Sinapi",VLOOKUP(I710,'SINAPI-FEV.2017'!A:D,3,0),IF(H710="Cotação",VLOOKUP(I710,COTAÇÃO!A:D,3,0),IF(H710="Composição",VLOOKUP(I710,COMPOSIÇÃO!A:D,3,0))))))</f>
        <v>M3</v>
      </c>
      <c r="M710" s="870">
        <f>VLOOKUP(G710,TUBULAÇÕES!A:M,13,0)</f>
        <v>632.46506529344811</v>
      </c>
      <c r="N710" s="399">
        <v>0</v>
      </c>
      <c r="O710" s="102">
        <f t="shared" si="134"/>
        <v>0</v>
      </c>
      <c r="P710" s="101">
        <f t="shared" si="135"/>
        <v>0</v>
      </c>
      <c r="Q710" s="1472">
        <v>632.46506529344811</v>
      </c>
    </row>
    <row r="711" spans="1:17" ht="33.75">
      <c r="A711" s="1482"/>
      <c r="B711" s="1482"/>
      <c r="C711" s="1483">
        <f t="shared" si="131"/>
        <v>6</v>
      </c>
      <c r="D711" s="1492">
        <f t="shared" si="132"/>
        <v>4</v>
      </c>
      <c r="E711" s="1492">
        <f t="shared" si="133"/>
        <v>10</v>
      </c>
      <c r="F711" s="1484" t="s">
        <v>11708</v>
      </c>
      <c r="G711" s="921" t="s">
        <v>12035</v>
      </c>
      <c r="H711" s="823" t="str">
        <f>VLOOKUP(G711,TUBULAÇÕES!A:M,2,0)</f>
        <v>SANEAGO</v>
      </c>
      <c r="I711" s="700">
        <f>VLOOKUP(G711,TUBULAÇÕES!A:M,3,0)</f>
        <v>184</v>
      </c>
      <c r="J711" s="824"/>
      <c r="K711" s="790" t="str">
        <f>(IF(H711="Saneago",VLOOKUP(I711,'SANEAGO-FEV.2016'!A:B,2,0),IF(H711="Sinapi",VLOOKUP(I711,'SINAPI-FEV.2017'!A:D,2,0),IF(H711="Cotação",VLOOKUP(I711,COTAÇÃO!A:D,2,0),IF(H711="Composição",VLOOKUP(I711,COMPOSIÇÃO!A:D,2,0))))))</f>
        <v>ESCAVAÇÃO  MECANIZADA  (COM ESCAVADEIRA HIDRÁULICA)  EM VALAS COM MATERIAL DE 2ª CATEGORIA
- PROFUNDIDADE ATÉ 2,0 M</v>
      </c>
      <c r="L711" s="700" t="str">
        <f>(IF(H711="Saneago",VLOOKUP(I711,'SANEAGO-FEV.2016'!A:D,3,0),IF(H711="Sinapi",VLOOKUP(I711,'SINAPI-FEV.2017'!A:D,3,0),IF(H711="Cotação",VLOOKUP(I711,COTAÇÃO!A:D,3,0),IF(H711="Composição",VLOOKUP(I711,COMPOSIÇÃO!A:D,3,0))))))</f>
        <v>M3</v>
      </c>
      <c r="M711" s="870">
        <f>VLOOKUP(G711,TUBULAÇÕES!A:M,13,0)</f>
        <v>206.40955872362071</v>
      </c>
      <c r="N711" s="399">
        <v>0</v>
      </c>
      <c r="O711" s="102">
        <f t="shared" si="134"/>
        <v>0</v>
      </c>
      <c r="P711" s="101">
        <f t="shared" si="135"/>
        <v>0</v>
      </c>
      <c r="Q711" s="1472">
        <v>206.40955872362071</v>
      </c>
    </row>
    <row r="712" spans="1:17" ht="33.75">
      <c r="A712" s="1482"/>
      <c r="B712" s="1482"/>
      <c r="C712" s="1483">
        <f t="shared" si="131"/>
        <v>6</v>
      </c>
      <c r="D712" s="1492">
        <f t="shared" si="132"/>
        <v>4</v>
      </c>
      <c r="E712" s="1492">
        <f t="shared" si="133"/>
        <v>10</v>
      </c>
      <c r="F712" s="1484" t="s">
        <v>11708</v>
      </c>
      <c r="G712" s="921" t="s">
        <v>12036</v>
      </c>
      <c r="H712" s="823" t="str">
        <f>VLOOKUP(G712,TUBULAÇÕES!A:M,2,0)</f>
        <v>SANEAGO</v>
      </c>
      <c r="I712" s="700">
        <f>VLOOKUP(G712,TUBULAÇÕES!A:M,3,0)</f>
        <v>185</v>
      </c>
      <c r="J712" s="824"/>
      <c r="K712" s="790" t="str">
        <f>(IF(H712="Saneago",VLOOKUP(I712,'SANEAGO-FEV.2016'!A:B,2,0),IF(H712="Sinapi",VLOOKUP(I712,'SINAPI-FEV.2017'!A:D,2,0),IF(H712="Cotação",VLOOKUP(I712,COTAÇÃO!A:D,2,0),IF(H712="Composição",VLOOKUP(I712,COMPOSIÇÃO!A:D,2,0))))))</f>
        <v>ESCAVAÇÃO  MECANIZADA  (COM ESCAVADEIRA HIDRÁULICA)  EM VALAS COM MATERIAL DE 2ª CATEGORIA
- PROFUNDIDADE DE 2,0 A 4,0 M</v>
      </c>
      <c r="L712" s="700" t="str">
        <f>(IF(H712="Saneago",VLOOKUP(I712,'SANEAGO-FEV.2016'!A:D,3,0),IF(H712="Sinapi",VLOOKUP(I712,'SINAPI-FEV.2017'!A:D,3,0),IF(H712="Cotação",VLOOKUP(I712,COTAÇÃO!A:D,3,0),IF(H712="Composição",VLOOKUP(I712,COMPOSIÇÃO!A:D,3,0))))))</f>
        <v>M3</v>
      </c>
      <c r="M712" s="870">
        <f>VLOOKUP(G712,TUBULAÇÕES!A:M,13,0)</f>
        <v>35.136948071858228</v>
      </c>
      <c r="N712" s="399">
        <v>0</v>
      </c>
      <c r="O712" s="102">
        <f t="shared" si="134"/>
        <v>0</v>
      </c>
      <c r="P712" s="101">
        <f t="shared" si="135"/>
        <v>0</v>
      </c>
      <c r="Q712" s="1472">
        <v>35.136948071858228</v>
      </c>
    </row>
    <row r="713" spans="1:17" ht="22.5">
      <c r="A713" s="1482"/>
      <c r="B713" s="1482"/>
      <c r="C713" s="1483">
        <f t="shared" si="131"/>
        <v>6</v>
      </c>
      <c r="D713" s="1492">
        <f t="shared" si="132"/>
        <v>4</v>
      </c>
      <c r="E713" s="1492">
        <f t="shared" si="133"/>
        <v>10</v>
      </c>
      <c r="F713" s="1484" t="s">
        <v>11708</v>
      </c>
      <c r="G713" s="921" t="s">
        <v>12037</v>
      </c>
      <c r="H713" s="823" t="str">
        <f>VLOOKUP(G713,TUBULAÇÕES!A:M,2,0)</f>
        <v>SANEAGO</v>
      </c>
      <c r="I713" s="700">
        <f>VLOOKUP(G713,TUBULAÇÕES!A:M,3,0)</f>
        <v>187</v>
      </c>
      <c r="J713" s="824"/>
      <c r="K713" s="790" t="str">
        <f>(IF(H713="Saneago",VLOOKUP(I713,'SANEAGO-FEV.2016'!A:B,2,0),IF(H713="Sinapi",VLOOKUP(I713,'SINAPI-FEV.2017'!A:D,2,0),IF(H713="Cotação",VLOOKUP(I713,COTAÇÃO!A:D,2,0),IF(H713="Composição",VLOOKUP(I713,COMPOSIÇÃO!A:D,2,0))))))</f>
        <v>ESCAVAÇÃO  MECANIZADA  (COM ESCAVADEIRA HIDRÁULICA)  EM VALAS COM MATERIAL  DE SOLO MOLE - PROFUNDIDADE ATÉ 2,0 M</v>
      </c>
      <c r="L713" s="700" t="str">
        <f>(IF(H713="Saneago",VLOOKUP(I713,'SANEAGO-FEV.2016'!A:D,3,0),IF(H713="Sinapi",VLOOKUP(I713,'SINAPI-FEV.2017'!A:D,3,0),IF(H713="Cotação",VLOOKUP(I713,COTAÇÃO!A:D,3,0),IF(H713="Composição",VLOOKUP(I713,COMPOSIÇÃO!A:D,3,0))))))</f>
        <v>M3</v>
      </c>
      <c r="M713" s="870">
        <f>VLOOKUP(G713,TUBULAÇÕES!A:M,13,0)</f>
        <v>206.40955872362071</v>
      </c>
      <c r="N713" s="399">
        <v>0</v>
      </c>
      <c r="O713" s="102">
        <f t="shared" si="134"/>
        <v>0</v>
      </c>
      <c r="P713" s="101">
        <f t="shared" si="135"/>
        <v>0</v>
      </c>
      <c r="Q713" s="1472">
        <v>206.40955872362071</v>
      </c>
    </row>
    <row r="714" spans="1:17" ht="22.5">
      <c r="A714" s="1482"/>
      <c r="B714" s="1482"/>
      <c r="C714" s="1483">
        <f t="shared" si="131"/>
        <v>6</v>
      </c>
      <c r="D714" s="1492">
        <f t="shared" si="132"/>
        <v>4</v>
      </c>
      <c r="E714" s="1492">
        <f t="shared" si="133"/>
        <v>10</v>
      </c>
      <c r="F714" s="1484" t="s">
        <v>11708</v>
      </c>
      <c r="G714" s="921" t="s">
        <v>12038</v>
      </c>
      <c r="H714" s="823" t="str">
        <f>VLOOKUP(G714,TUBULAÇÕES!A:M,2,0)</f>
        <v>SANEAGO</v>
      </c>
      <c r="I714" s="700">
        <f>VLOOKUP(G714,TUBULAÇÕES!A:M,3,0)</f>
        <v>188</v>
      </c>
      <c r="J714" s="824"/>
      <c r="K714" s="790" t="str">
        <f>(IF(H714="Saneago",VLOOKUP(I714,'SANEAGO-FEV.2016'!A:B,2,0),IF(H714="Sinapi",VLOOKUP(I714,'SINAPI-FEV.2017'!A:D,2,0),IF(H714="Cotação",VLOOKUP(I714,COTAÇÃO!A:D,2,0),IF(H714="Composição",VLOOKUP(I714,COMPOSIÇÃO!A:D,2,0))))))</f>
        <v>ESCAVAÇÃO  MECANIZADA  (COM ESCAVADEIRA HIDRÁULICA)  EM VALAS COM MATERIAL  DE SOLO MOLE - PROFUNDIDADE DE 2,0 A 4,0 M</v>
      </c>
      <c r="L714" s="700" t="str">
        <f>(IF(H714="Saneago",VLOOKUP(I714,'SANEAGO-FEV.2016'!A:D,3,0),IF(H714="Sinapi",VLOOKUP(I714,'SINAPI-FEV.2017'!A:D,3,0),IF(H714="Cotação",VLOOKUP(I714,COTAÇÃO!A:D,3,0),IF(H714="Composição",VLOOKUP(I714,COMPOSIÇÃO!A:D,3,0))))))</f>
        <v>M3</v>
      </c>
      <c r="M714" s="870">
        <f>VLOOKUP(G714,TUBULAÇÕES!A:M,13,0)</f>
        <v>35.136948071858228</v>
      </c>
      <c r="N714" s="399">
        <v>0</v>
      </c>
      <c r="O714" s="102">
        <f t="shared" si="134"/>
        <v>0</v>
      </c>
      <c r="P714" s="101">
        <f t="shared" si="135"/>
        <v>0</v>
      </c>
      <c r="Q714" s="1472">
        <v>35.136948071858228</v>
      </c>
    </row>
    <row r="715" spans="1:17">
      <c r="A715" s="1482"/>
      <c r="B715" s="1482"/>
      <c r="C715" s="1483">
        <f t="shared" si="131"/>
        <v>6</v>
      </c>
      <c r="D715" s="1492">
        <f t="shared" si="132"/>
        <v>4</v>
      </c>
      <c r="E715" s="1492">
        <f t="shared" si="133"/>
        <v>10</v>
      </c>
      <c r="F715" s="1484" t="s">
        <v>11708</v>
      </c>
      <c r="G715" s="921" t="s">
        <v>12039</v>
      </c>
      <c r="H715" s="823" t="str">
        <f>VLOOKUP(G715,TUBULAÇÕES!A:M,2,0)</f>
        <v>SINAPI</v>
      </c>
      <c r="I715" s="700">
        <f>VLOOKUP(G715,TUBULAÇÕES!A:M,3,0)</f>
        <v>93358</v>
      </c>
      <c r="J715" s="824"/>
      <c r="K715" s="790" t="str">
        <f>(IF(H715="Saneago",VLOOKUP(I715,'SANEAGO-FEV.2016'!A:B,2,0),IF(H715="Sinapi",VLOOKUP(I715,'SINAPI-FEV.2017'!A:D,2,0),IF(H715="Cotação",VLOOKUP(I715,COTAÇÃO!A:D,2,0),IF(H715="Composição",VLOOKUP(I715,COMPOSIÇÃO!A:D,2,0))))))</f>
        <v>ESCAVAÇÃO MANUAL DE VALAS. AF_03/2016</v>
      </c>
      <c r="L715" s="700" t="str">
        <f>(IF(H715="Saneago",VLOOKUP(I715,'SANEAGO-FEV.2016'!A:D,3,0),IF(H715="Sinapi",VLOOKUP(I715,'SINAPI-FEV.2017'!A:D,3,0),IF(H715="Cotação",VLOOKUP(I715,COTAÇÃO!A:D,3,0),IF(H715="Composição",VLOOKUP(I715,COMPOSIÇÃO!A:D,3,0))))))</f>
        <v>M3</v>
      </c>
      <c r="M715" s="870">
        <f>VLOOKUP(G715,TUBULAÇÕES!A:M,13,0)</f>
        <v>228.83353275361162</v>
      </c>
      <c r="N715" s="399">
        <v>0</v>
      </c>
      <c r="O715" s="102">
        <f t="shared" si="134"/>
        <v>0</v>
      </c>
      <c r="P715" s="101">
        <f t="shared" si="135"/>
        <v>0</v>
      </c>
      <c r="Q715" s="1472">
        <v>228.83353275361162</v>
      </c>
    </row>
    <row r="716" spans="1:17" ht="22.5">
      <c r="A716" s="1482"/>
      <c r="B716" s="1482"/>
      <c r="C716" s="1483">
        <f t="shared" si="131"/>
        <v>6</v>
      </c>
      <c r="D716" s="1492">
        <f>D715+A716</f>
        <v>4</v>
      </c>
      <c r="E716" s="1492">
        <f>E715+B716</f>
        <v>10</v>
      </c>
      <c r="F716" s="1484" t="s">
        <v>11708</v>
      </c>
      <c r="G716" s="921" t="s">
        <v>12040</v>
      </c>
      <c r="H716" s="823" t="str">
        <f>VLOOKUP(G716,TUBULAÇÕES!A:M,2,0)</f>
        <v>SANEAGO</v>
      </c>
      <c r="I716" s="700">
        <f>VLOOKUP(G716,TUBULAÇÕES!A:M,3,0)</f>
        <v>170</v>
      </c>
      <c r="J716" s="824"/>
      <c r="K716" s="790" t="str">
        <f>(IF(H716="Saneago",VLOOKUP(I716,'SANEAGO-FEV.2016'!A:B,2,0),IF(H716="Sinapi",VLOOKUP(I716,'SINAPI-FEV.2017'!A:D,2,0),IF(H716="Cotação",VLOOKUP(I716,COTAÇÃO!A:D,2,0),IF(H716="Composição",VLOOKUP(I716,COMPOSIÇÃO!A:D,2,0))))))</f>
        <v>ESCAVAÇÃO  MANUAL EM VALAS COM MATERIAL DE 2ª CATEGORIA  - PROFUNDIDADE ATÉ 2,0 M</v>
      </c>
      <c r="L716" s="700" t="str">
        <f>(IF(H716="Saneago",VLOOKUP(I716,'SANEAGO-FEV.2016'!A:D,3,0),IF(H716="Sinapi",VLOOKUP(I716,'SINAPI-FEV.2017'!A:D,3,0),IF(H716="Cotação",VLOOKUP(I716,COTAÇÃO!A:D,3,0),IF(H716="Composição",VLOOKUP(I716,COMPOSIÇÃO!A:D,3,0))))))</f>
        <v>M3</v>
      </c>
      <c r="M716" s="870">
        <f>VLOOKUP(G716,TUBULAÇÕES!A:M,13,0)</f>
        <v>10.863660985453722</v>
      </c>
      <c r="N716" s="399">
        <v>0</v>
      </c>
      <c r="O716" s="102">
        <f t="shared" si="134"/>
        <v>0</v>
      </c>
      <c r="P716" s="101">
        <f t="shared" si="135"/>
        <v>0</v>
      </c>
      <c r="Q716" s="1472">
        <v>10.863660985453722</v>
      </c>
    </row>
    <row r="717" spans="1:17" ht="22.5">
      <c r="A717" s="1482"/>
      <c r="B717" s="1482"/>
      <c r="C717" s="1483">
        <f t="shared" si="131"/>
        <v>6</v>
      </c>
      <c r="D717" s="1492">
        <f>D716+A717</f>
        <v>4</v>
      </c>
      <c r="E717" s="1492">
        <f>E716+B717</f>
        <v>10</v>
      </c>
      <c r="F717" s="1484" t="s">
        <v>11708</v>
      </c>
      <c r="G717" s="921" t="s">
        <v>12041</v>
      </c>
      <c r="H717" s="823" t="str">
        <f>VLOOKUP(G717,TUBULAÇÕES!A:M,2,0)</f>
        <v>SANEAGO</v>
      </c>
      <c r="I717" s="700">
        <f>VLOOKUP(G717,TUBULAÇÕES!A:M,3,0)</f>
        <v>171</v>
      </c>
      <c r="J717" s="824"/>
      <c r="K717" s="790" t="str">
        <f>(IF(H717="Saneago",VLOOKUP(I717,'SANEAGO-FEV.2016'!A:B,2,0),IF(H717="Sinapi",VLOOKUP(I717,'SINAPI-FEV.2017'!A:D,2,0),IF(H717="Cotação",VLOOKUP(I717,COTAÇÃO!A:D,2,0),IF(H717="Composição",VLOOKUP(I717,COMPOSIÇÃO!A:D,2,0))))))</f>
        <v>ESCAVAÇÃO  MANUAL EM VALAS COM MATERIAL DE 2ª CATEGORIA  - PROFUNDIDADE DE 2,0 A 4,0 M</v>
      </c>
      <c r="L717" s="700" t="str">
        <f>(IF(H717="Saneago",VLOOKUP(I717,'SANEAGO-FEV.2016'!A:D,3,0),IF(H717="Sinapi",VLOOKUP(I717,'SINAPI-FEV.2017'!A:D,3,0),IF(H717="Cotação",VLOOKUP(I717,COTAÇÃO!A:D,3,0),IF(H717="Composição",VLOOKUP(I717,COMPOSIÇÃO!A:D,3,0))))))</f>
        <v>M3</v>
      </c>
      <c r="M717" s="870">
        <f>VLOOKUP(G717,TUBULAÇÕES!A:M,13,0)</f>
        <v>1.8493130564135911</v>
      </c>
      <c r="N717" s="399">
        <v>0</v>
      </c>
      <c r="O717" s="102">
        <f t="shared" si="134"/>
        <v>0</v>
      </c>
      <c r="P717" s="101">
        <f t="shared" si="135"/>
        <v>0</v>
      </c>
      <c r="Q717" s="1472">
        <v>1.8493130564135911</v>
      </c>
    </row>
    <row r="718" spans="1:17" ht="22.5">
      <c r="A718" s="1482"/>
      <c r="B718" s="1482"/>
      <c r="C718" s="1483">
        <f t="shared" si="131"/>
        <v>6</v>
      </c>
      <c r="D718" s="1492">
        <f t="shared" si="132"/>
        <v>4</v>
      </c>
      <c r="E718" s="1492">
        <f t="shared" si="133"/>
        <v>10</v>
      </c>
      <c r="F718" s="1484" t="s">
        <v>11708</v>
      </c>
      <c r="G718" s="921" t="s">
        <v>12042</v>
      </c>
      <c r="H718" s="823" t="str">
        <f>VLOOKUP(G718,TUBULAÇÕES!A:M,2,0)</f>
        <v>SANEAGO</v>
      </c>
      <c r="I718" s="700">
        <f>VLOOKUP(G718,TUBULAÇÕES!A:M,3,0)</f>
        <v>176</v>
      </c>
      <c r="J718" s="824"/>
      <c r="K718" s="790" t="str">
        <f>(IF(H718="Saneago",VLOOKUP(I718,'SANEAGO-FEV.2016'!A:B,2,0),IF(H718="Sinapi",VLOOKUP(I718,'SINAPI-FEV.2017'!A:D,2,0),IF(H718="Cotação",VLOOKUP(I718,COTAÇÃO!A:D,2,0),IF(H718="Composição",VLOOKUP(I718,COMPOSIÇÃO!A:D,2,0))))))</f>
        <v>ESCAVAÇÃO  MANUAL EM VALAS COM MATERIAL DE BARRO - LAMA - PROFUNDIDADE ATÉ 2,0M</v>
      </c>
      <c r="L718" s="700" t="str">
        <f>(IF(H718="Saneago",VLOOKUP(I718,'SANEAGO-FEV.2016'!A:D,3,0),IF(H718="Sinapi",VLOOKUP(I718,'SINAPI-FEV.2017'!A:D,3,0),IF(H718="Cotação",VLOOKUP(I718,COTAÇÃO!A:D,3,0),IF(H718="Composição",VLOOKUP(I718,COMPOSIÇÃO!A:D,3,0))))))</f>
        <v>M3</v>
      </c>
      <c r="M718" s="870">
        <f>VLOOKUP(G718,TUBULAÇÕES!A:M,13,0)</f>
        <v>10.863660985453722</v>
      </c>
      <c r="N718" s="399">
        <v>0</v>
      </c>
      <c r="O718" s="102">
        <f t="shared" si="134"/>
        <v>0</v>
      </c>
      <c r="P718" s="101">
        <f t="shared" si="135"/>
        <v>0</v>
      </c>
      <c r="Q718" s="1472">
        <v>10.863660985453722</v>
      </c>
    </row>
    <row r="719" spans="1:17" ht="22.5">
      <c r="A719" s="1482"/>
      <c r="B719" s="1482"/>
      <c r="C719" s="1483">
        <f t="shared" si="131"/>
        <v>6</v>
      </c>
      <c r="D719" s="1492">
        <f t="shared" si="132"/>
        <v>4</v>
      </c>
      <c r="E719" s="1492">
        <f t="shared" si="133"/>
        <v>10</v>
      </c>
      <c r="F719" s="1484" t="s">
        <v>11708</v>
      </c>
      <c r="G719" s="921" t="s">
        <v>12043</v>
      </c>
      <c r="H719" s="823" t="str">
        <f>VLOOKUP(G719,TUBULAÇÕES!A:M,2,0)</f>
        <v>SANEAGO</v>
      </c>
      <c r="I719" s="700">
        <f>VLOOKUP(G719,TUBULAÇÕES!A:M,3,0)</f>
        <v>177</v>
      </c>
      <c r="J719" s="824"/>
      <c r="K719" s="790" t="str">
        <f>(IF(H719="Saneago",VLOOKUP(I719,'SANEAGO-FEV.2016'!A:B,2,0),IF(H719="Sinapi",VLOOKUP(I719,'SINAPI-FEV.2017'!A:D,2,0),IF(H719="Cotação",VLOOKUP(I719,COTAÇÃO!A:D,2,0),IF(H719="Composição",VLOOKUP(I719,COMPOSIÇÃO!A:D,2,0))))))</f>
        <v>ESCAVAÇÃO  MANUAL EM VALAS COM MATERIAL DE BARRO - LAMA - PROFUNDIDADE DE 2,0 A 4,0M</v>
      </c>
      <c r="L719" s="700" t="str">
        <f>(IF(H719="Saneago",VLOOKUP(I719,'SANEAGO-FEV.2016'!A:D,3,0),IF(H719="Sinapi",VLOOKUP(I719,'SINAPI-FEV.2017'!A:D,3,0),IF(H719="Cotação",VLOOKUP(I719,COTAÇÃO!A:D,3,0),IF(H719="Composição",VLOOKUP(I719,COMPOSIÇÃO!A:D,3,0))))))</f>
        <v>M3</v>
      </c>
      <c r="M719" s="870">
        <f>VLOOKUP(G719,TUBULAÇÕES!A:M,13,0)</f>
        <v>1.8493130564135911</v>
      </c>
      <c r="N719" s="399">
        <v>0</v>
      </c>
      <c r="O719" s="102">
        <f t="shared" si="134"/>
        <v>0</v>
      </c>
      <c r="P719" s="101">
        <f t="shared" si="135"/>
        <v>0</v>
      </c>
      <c r="Q719" s="1472">
        <v>1.8493130564135911</v>
      </c>
    </row>
    <row r="720" spans="1:17">
      <c r="A720" s="1482"/>
      <c r="B720" s="1482"/>
      <c r="C720" s="1483">
        <f t="shared" si="131"/>
        <v>6</v>
      </c>
      <c r="D720" s="1492">
        <f t="shared" si="132"/>
        <v>4</v>
      </c>
      <c r="E720" s="1492">
        <f t="shared" si="133"/>
        <v>10</v>
      </c>
      <c r="F720" s="1484" t="s">
        <v>11708</v>
      </c>
      <c r="G720" s="921" t="s">
        <v>12044</v>
      </c>
      <c r="H720" s="823" t="str">
        <f>VLOOKUP(G720,TUBULAÇÕES!A:M,2,0)</f>
        <v>SINAPI</v>
      </c>
      <c r="I720" s="700" t="str">
        <f>VLOOKUP(G720,TUBULAÇÕES!A:M,3,0)</f>
        <v>73891/1</v>
      </c>
      <c r="J720" s="824"/>
      <c r="K720" s="790" t="str">
        <f>(IF(H720="Saneago",VLOOKUP(I720,'SANEAGO-FEV.2016'!A:B,2,0),IF(H720="Sinapi",VLOOKUP(I720,'SINAPI-FEV.2017'!A:D,2,0),IF(H720="Cotação",VLOOKUP(I720,COTAÇÃO!A:D,2,0),IF(H720="Composição",VLOOKUP(I720,COMPOSIÇÃO!A:D,2,0))))))</f>
        <v>ESGOTAMENTO COM MOTO-BOMBA AUTOESCOVANTE</v>
      </c>
      <c r="L720" s="700" t="str">
        <f>(IF(H720="Saneago",VLOOKUP(I720,'SANEAGO-FEV.2016'!A:D,3,0),IF(H720="Sinapi",VLOOKUP(I720,'SINAPI-FEV.2017'!A:D,3,0),IF(H720="Cotação",VLOOKUP(I720,COTAÇÃO!A:D,3,0),IF(H720="Composição",VLOOKUP(I720,COMPOSIÇÃO!A:D,3,0))))))</f>
        <v>H</v>
      </c>
      <c r="M720" s="870">
        <f>VLOOKUP(G720,TUBULAÇÕES!A:M,13,0)</f>
        <v>20</v>
      </c>
      <c r="N720" s="399">
        <v>0</v>
      </c>
      <c r="O720" s="102">
        <f t="shared" si="134"/>
        <v>0</v>
      </c>
      <c r="P720" s="101">
        <f t="shared" si="135"/>
        <v>0</v>
      </c>
      <c r="Q720" s="1472">
        <v>20</v>
      </c>
    </row>
    <row r="721" spans="1:17" ht="22.5">
      <c r="A721" s="1482"/>
      <c r="B721" s="1482"/>
      <c r="C721" s="1483">
        <f t="shared" si="131"/>
        <v>6</v>
      </c>
      <c r="D721" s="1492">
        <f t="shared" si="132"/>
        <v>4</v>
      </c>
      <c r="E721" s="1492">
        <f t="shared" si="133"/>
        <v>10</v>
      </c>
      <c r="F721" s="1484" t="s">
        <v>11708</v>
      </c>
      <c r="G721" s="968" t="s">
        <v>12045</v>
      </c>
      <c r="H721" s="823" t="str">
        <f>VLOOKUP(G721,TUBULAÇÕES!A:M,2,0)</f>
        <v>SINAPI</v>
      </c>
      <c r="I721" s="700">
        <f>VLOOKUP(G721,TUBULAÇÕES!A:M,3,0)</f>
        <v>94097</v>
      </c>
      <c r="J721" s="824"/>
      <c r="K721" s="790" t="str">
        <f>(IF(H721="Saneago",VLOOKUP(I721,'SANEAGO-FEV.2016'!A:B,2,0),IF(H721="Sinapi",VLOOKUP(I721,'SINAPI-FEV.2017'!A:D,2,0),IF(H721="Cotação",VLOOKUP(I721,COTAÇÃO!A:D,2,0),IF(H721="Composição",VLOOKUP(I721,COMPOSIÇÃO!A:D,2,0))))))</f>
        <v>PREPARO DE FUNDO DE VALA COM LARGURA MENOR QUE 1,5 M, EM LOCAL COM NÍVEL BAIXO DE INTERFERÊNCIA. AF_06/2016</v>
      </c>
      <c r="L721" s="700" t="str">
        <f>(IF(H721="Saneago",VLOOKUP(I721,'SANEAGO-FEV.2016'!A:D,3,0),IF(H721="Sinapi",VLOOKUP(I721,'SINAPI-FEV.2017'!A:D,3,0),IF(H721="Cotação",VLOOKUP(I721,COTAÇÃO!A:D,3,0),IF(H721="Composição",VLOOKUP(I721,COMPOSIÇÃO!A:D,3,0))))))</f>
        <v>M2</v>
      </c>
      <c r="M721" s="870">
        <f>VLOOKUP(G721,TUBULAÇÕES!A:M,13,0)</f>
        <v>3373.3700000000003</v>
      </c>
      <c r="N721" s="399">
        <v>0</v>
      </c>
      <c r="O721" s="102">
        <f t="shared" si="134"/>
        <v>0</v>
      </c>
      <c r="P721" s="101">
        <f t="shared" si="135"/>
        <v>0</v>
      </c>
      <c r="Q721" s="1472">
        <v>3373.3700000000003</v>
      </c>
    </row>
    <row r="722" spans="1:17" ht="45">
      <c r="A722" s="1482"/>
      <c r="B722" s="1482"/>
      <c r="C722" s="1483">
        <f t="shared" si="131"/>
        <v>6</v>
      </c>
      <c r="D722" s="1492">
        <f t="shared" si="132"/>
        <v>4</v>
      </c>
      <c r="E722" s="1492">
        <f t="shared" si="133"/>
        <v>10</v>
      </c>
      <c r="F722" s="1484" t="s">
        <v>11708</v>
      </c>
      <c r="G722" s="968" t="s">
        <v>12053</v>
      </c>
      <c r="H722" s="823" t="str">
        <f>VLOOKUP(G722,TUBULAÇÕES!A:M,2,0)</f>
        <v>SINAPI</v>
      </c>
      <c r="I722" s="700">
        <f>VLOOKUP(G722,TUBULAÇÕES!A:M,3,0)</f>
        <v>93380</v>
      </c>
      <c r="J722" s="824"/>
      <c r="K722" s="790" t="str">
        <f>(IF(H722="Saneago",VLOOKUP(I722,'SANEAGO-FEV.2016'!A:B,2,0),IF(H722="Sinapi",VLOOKUP(I722,'SINAPI-FEV.2017'!A:D,2,0),IF(H722="Cotação",VLOOKUP(I722,COTAÇÃO!A:D,2,0),IF(H722="Composição",VLOOKUP(I722,COMPOSIÇÃO!A:D,2,0))))))</f>
        <v>REATERRO MECANIZADO DE VALA COM RETROESCAVADEIRA (CAPACIDADE DA CAÇAMBA DA RETRO: 0,26 M³ / POTÊNCIA: 88 HP), LARGURA ATÉ 0,8 M, PROFUNDIDADE DE 1,5 A 3,0 M, COM SOLO (SEM SUBSTITUIÇÃO) DE 1ª CATEGORIA EM LOCAIS COM BAIXO NÍVEL DE INTERFERÊNCIA. AF_04/2016</v>
      </c>
      <c r="L722" s="700" t="str">
        <f>(IF(H722="Saneago",VLOOKUP(I722,'SANEAGO-FEV.2016'!A:D,3,0),IF(H722="Sinapi",VLOOKUP(I722,'SINAPI-FEV.2017'!A:D,3,0),IF(H722="Cotação",VLOOKUP(I722,COTAÇÃO!A:D,3,0),IF(H722="Composição",VLOOKUP(I722,COMPOSIÇÃO!A:D,3,0))))))</f>
        <v>M3</v>
      </c>
      <c r="M722" s="870">
        <f>VLOOKUP(G722,TUBULAÇÕES!A:M,13,0)</f>
        <v>228.97686064553886</v>
      </c>
      <c r="N722" s="399">
        <v>0</v>
      </c>
      <c r="O722" s="102">
        <f t="shared" si="134"/>
        <v>0</v>
      </c>
      <c r="P722" s="101">
        <f t="shared" si="135"/>
        <v>0</v>
      </c>
      <c r="Q722" s="1472">
        <v>228.97686064553886</v>
      </c>
    </row>
    <row r="723" spans="1:17" ht="45">
      <c r="A723" s="1482"/>
      <c r="B723" s="1482"/>
      <c r="C723" s="1483">
        <f t="shared" si="131"/>
        <v>6</v>
      </c>
      <c r="D723" s="1492">
        <f t="shared" si="132"/>
        <v>4</v>
      </c>
      <c r="E723" s="1492">
        <f t="shared" si="133"/>
        <v>10</v>
      </c>
      <c r="F723" s="1484" t="s">
        <v>11708</v>
      </c>
      <c r="G723" s="968" t="s">
        <v>12054</v>
      </c>
      <c r="H723" s="823" t="str">
        <f>VLOOKUP(G723,TUBULAÇÕES!A:M,2,0)</f>
        <v>SINAPI</v>
      </c>
      <c r="I723" s="700">
        <f>VLOOKUP(G723,TUBULAÇÕES!A:M,3,0)</f>
        <v>93379</v>
      </c>
      <c r="J723" s="824"/>
      <c r="K723" s="790" t="str">
        <f>(IF(H723="Saneago",VLOOKUP(I723,'SANEAGO-FEV.2016'!A:B,2,0),IF(H723="Sinapi",VLOOKUP(I723,'SINAPI-FEV.2017'!A:D,2,0),IF(H723="Cotação",VLOOKUP(I723,COTAÇÃO!A:D,2,0),IF(H723="Composição",VLOOKUP(I723,COMPOSIÇÃO!A:D,2,0))))))</f>
        <v>REATERRO MECANIZADO DE VALA COM RETROESCAVADEIRA (CAPACIDADE DA CAÇAMBA DA RETRO: 0,26 M³ / POTÊNCIA: 88 HP), LARGURA DE 0,8 A 1,5 M, PROFUNDIDADE ATÉ 1,5 M, COM SOLO (SEM SUBSTITUIÇÃO) DE 1ª CATEGORIA EM LOCAIS COM BAIXO NÍVEL DE INTERFERÊNCIA. AF_04/2016</v>
      </c>
      <c r="L723" s="700" t="str">
        <f>(IF(H723="Saneago",VLOOKUP(I723,'SANEAGO-FEV.2016'!A:D,3,0),IF(H723="Sinapi",VLOOKUP(I723,'SINAPI-FEV.2017'!A:D,3,0),IF(H723="Cotação",VLOOKUP(I723,COTAÇÃO!A:D,3,0),IF(H723="Composição",VLOOKUP(I723,COMPOSIÇÃO!A:D,3,0))))))</f>
        <v>M3</v>
      </c>
      <c r="M723" s="870">
        <f>VLOOKUP(G723,TUBULAÇÕES!A:M,13,0)</f>
        <v>874.4292792900003</v>
      </c>
      <c r="N723" s="399">
        <v>0</v>
      </c>
      <c r="O723" s="102">
        <f t="shared" si="134"/>
        <v>0</v>
      </c>
      <c r="P723" s="101">
        <f t="shared" si="135"/>
        <v>0</v>
      </c>
      <c r="Q723" s="1472">
        <v>874.4292792900003</v>
      </c>
    </row>
    <row r="724" spans="1:17" ht="23.25" customHeight="1">
      <c r="A724" s="1482"/>
      <c r="B724" s="1482"/>
      <c r="C724" s="1483">
        <f t="shared" si="131"/>
        <v>6</v>
      </c>
      <c r="D724" s="1492">
        <f t="shared" ref="D724:E728" si="136">D723+A724</f>
        <v>4</v>
      </c>
      <c r="E724" s="1492">
        <f t="shared" si="136"/>
        <v>10</v>
      </c>
      <c r="F724" s="1484" t="s">
        <v>11708</v>
      </c>
      <c r="G724" s="968" t="s">
        <v>20420</v>
      </c>
      <c r="H724" s="823" t="str">
        <f>VLOOKUP(G724,TUBULAÇÕES!A:M,2,0)</f>
        <v>SINAPI</v>
      </c>
      <c r="I724" s="700">
        <f>VLOOKUP(G724,TUBULAÇÕES!A:M,3,0)</f>
        <v>93381</v>
      </c>
      <c r="J724" s="824"/>
      <c r="K724" s="790" t="str">
        <f>(IF(H724="Saneago",VLOOKUP(I724,'SANEAGO-FEV.2016'!A:B,2,0),IF(H724="Sinapi",VLOOKUP(I724,'SINAPI-FEV.2017'!A:D,2,0),IF(H724="Cotação",VLOOKUP(I724,COTAÇÃO!A:D,2,0),IF(H724="Composição",VLOOKUP(I724,COMPOSIÇÃO!A:D,2,0))))))</f>
        <v>REATERRO MECANIZADO DE VALA COM RETROESCAVADEIRA (CAPACIDADE DA CAÇAMBA DA RETRO: 0,26 M³ / POTÊNCIA: 88 HP), LARGURA DE 0,8 A 1,5 M, PROFUNDIDADE DE 1,5 A 3,0 M, COM SOLO (SEM SUBSTITUIÇÃO) DE 1ª CATEGORIA EM LOCAIS COM BAIXO NÍVEL DE INTERFERÊNCIA. AF_04/2016</v>
      </c>
      <c r="L724" s="700" t="str">
        <f>(IF(H724="Saneago",VLOOKUP(I724,'SANEAGO-FEV.2016'!A:D,3,0),IF(H724="Sinapi",VLOOKUP(I724,'SINAPI-FEV.2017'!A:D,3,0),IF(H724="Cotação",VLOOKUP(I724,COTAÇÃO!A:D,3,0),IF(H724="Composição",VLOOKUP(I724,COMPOSIÇÃO!A:D,3,0))))))</f>
        <v>M3</v>
      </c>
      <c r="M724" s="870">
        <f>VLOOKUP(G724,TUBULAÇÕES!A:M,13,0)</f>
        <v>1641.2365111071417</v>
      </c>
      <c r="N724" s="399">
        <v>0</v>
      </c>
      <c r="O724" s="102">
        <f>ROUND(IF(F724="Serviços",N724*(1+$O$7),IF(F724="Materiais",N724*(1+$O$8))),2)</f>
        <v>0</v>
      </c>
      <c r="P724" s="101">
        <f>ROUND(M724*O724,2)</f>
        <v>0</v>
      </c>
      <c r="Q724" s="1472">
        <v>1641.2365111071417</v>
      </c>
    </row>
    <row r="725" spans="1:17" ht="23.25" customHeight="1">
      <c r="A725" s="1482"/>
      <c r="B725" s="1482"/>
      <c r="C725" s="1483">
        <f t="shared" si="131"/>
        <v>6</v>
      </c>
      <c r="D725" s="1492">
        <f t="shared" si="136"/>
        <v>4</v>
      </c>
      <c r="E725" s="1492">
        <f t="shared" si="136"/>
        <v>10</v>
      </c>
      <c r="F725" s="1484" t="s">
        <v>11708</v>
      </c>
      <c r="G725" s="1076" t="s">
        <v>20421</v>
      </c>
      <c r="H725" s="823" t="str">
        <f>VLOOKUP(G725,TUBULAÇÕES!A:M,2,0)</f>
        <v>SINAPI</v>
      </c>
      <c r="I725" s="700" t="str">
        <f>VLOOKUP(G725,TUBULAÇÕES!A:M,3,0)</f>
        <v>73964/6</v>
      </c>
      <c r="J725" s="824"/>
      <c r="K725" s="790" t="str">
        <f>(IF(H725="Saneago",VLOOKUP(I725,'SANEAGO-FEV.2016'!A:B,2,0),IF(H725="Sinapi",VLOOKUP(I725,'SINAPI-FEV.2017'!A:D,2,0),IF(H725="Cotação",VLOOKUP(I725,COTAÇÃO!A:D,2,0),IF(H725="Composição",VLOOKUP(I725,COMPOSIÇÃO!A:D,2,0))))))</f>
        <v>REATERRO DE VALA COM COMPACTAÇÃO MANUAL</v>
      </c>
      <c r="L725" s="700" t="str">
        <f>(IF(H725="Saneago",VLOOKUP(I725,'SANEAGO-FEV.2016'!A:D,3,0),IF(H725="Sinapi",VLOOKUP(I725,'SINAPI-FEV.2017'!A:D,3,0),IF(H725="Cotação",VLOOKUP(I725,COTAÇÃO!A:D,3,0),IF(H725="Composição",VLOOKUP(I725,COMPOSIÇÃO!A:D,3,0))))))</f>
        <v>M3</v>
      </c>
      <c r="M725" s="870">
        <f>VLOOKUP(G725,TUBULAÇÕES!A:M,13,0)</f>
        <v>1988.5015028109476</v>
      </c>
      <c r="N725" s="399">
        <v>0</v>
      </c>
      <c r="O725" s="102">
        <f>ROUND(IF(F725="Serviços",N725*(1+$O$7),IF(F725="Materiais",N725*(1+$O$8))),2)</f>
        <v>0</v>
      </c>
      <c r="P725" s="101">
        <f>ROUND(M725*O725,2)</f>
        <v>0</v>
      </c>
      <c r="Q725" s="1472">
        <v>1988.5015028109476</v>
      </c>
    </row>
    <row r="726" spans="1:17" ht="15.75" thickBot="1">
      <c r="A726" s="1482"/>
      <c r="B726" s="1482"/>
      <c r="C726" s="1483">
        <f t="shared" si="131"/>
        <v>6</v>
      </c>
      <c r="D726" s="1492">
        <f t="shared" si="136"/>
        <v>4</v>
      </c>
      <c r="E726" s="1492">
        <f t="shared" si="136"/>
        <v>10</v>
      </c>
      <c r="F726" s="1484" t="s">
        <v>11708</v>
      </c>
      <c r="G726" s="921"/>
      <c r="H726" s="1095"/>
      <c r="I726" s="780"/>
      <c r="J726" s="834"/>
      <c r="K726" s="780"/>
      <c r="L726" s="780"/>
      <c r="M726" s="1270"/>
      <c r="N726" s="400"/>
      <c r="O726" s="122"/>
      <c r="P726" s="123"/>
    </row>
    <row r="727" spans="1:17" ht="16.5" customHeight="1" thickTop="1" thickBot="1">
      <c r="A727" s="1482"/>
      <c r="B727" s="1482"/>
      <c r="C727" s="1483">
        <f t="shared" si="131"/>
        <v>6</v>
      </c>
      <c r="D727" s="1492">
        <f t="shared" si="136"/>
        <v>4</v>
      </c>
      <c r="E727" s="1492">
        <f t="shared" si="136"/>
        <v>10</v>
      </c>
      <c r="F727" s="1484" t="s">
        <v>11708</v>
      </c>
      <c r="H727" s="1653" t="str">
        <f>"TOTAL ITEM: "&amp;J707 &amp;K707</f>
        <v>TOTAL ITEM: 6.4.10 MOVIMENTO DE TERRA</v>
      </c>
      <c r="I727" s="1654"/>
      <c r="J727" s="1654"/>
      <c r="K727" s="1654"/>
      <c r="L727" s="1654"/>
      <c r="M727" s="1654"/>
      <c r="N727" s="1654"/>
      <c r="O727" s="1654"/>
      <c r="P727" s="210">
        <f>SUBTOTAL(9,P709:P725)</f>
        <v>0</v>
      </c>
    </row>
    <row r="728" spans="1:17" ht="15.75" thickTop="1">
      <c r="A728" s="1482"/>
      <c r="B728" s="1482"/>
      <c r="C728" s="1483">
        <f t="shared" si="131"/>
        <v>6</v>
      </c>
      <c r="D728" s="1492">
        <f t="shared" si="136"/>
        <v>4</v>
      </c>
      <c r="E728" s="1492">
        <f t="shared" si="136"/>
        <v>10</v>
      </c>
      <c r="F728" s="1484" t="s">
        <v>11708</v>
      </c>
      <c r="H728" s="1095"/>
      <c r="I728" s="780"/>
      <c r="J728" s="834"/>
      <c r="K728" s="780"/>
      <c r="L728" s="780"/>
      <c r="M728" s="1270"/>
      <c r="N728" s="400"/>
      <c r="O728" s="122"/>
      <c r="P728" s="123"/>
    </row>
    <row r="729" spans="1:17">
      <c r="A729" s="1482"/>
      <c r="B729" s="1482">
        <v>1</v>
      </c>
      <c r="C729" s="1483">
        <f t="shared" si="131"/>
        <v>6</v>
      </c>
      <c r="D729" s="1492">
        <f t="shared" si="132"/>
        <v>4</v>
      </c>
      <c r="E729" s="1492">
        <f t="shared" si="133"/>
        <v>11</v>
      </c>
      <c r="F729" s="1484" t="s">
        <v>11708</v>
      </c>
      <c r="H729" s="1514" t="s">
        <v>11703</v>
      </c>
      <c r="I729" s="1515" t="s">
        <v>64</v>
      </c>
      <c r="J729" s="1516" t="str">
        <f>CONCATENATE(C729,".",D729,".",E729)</f>
        <v>6.4.11</v>
      </c>
      <c r="K729" s="1516" t="s">
        <v>11713</v>
      </c>
      <c r="L729" s="1517" t="s">
        <v>25</v>
      </c>
      <c r="M729" s="1518" t="s">
        <v>11704</v>
      </c>
      <c r="N729" s="398" t="s">
        <v>11705</v>
      </c>
      <c r="O729" s="207" t="s">
        <v>11706</v>
      </c>
      <c r="P729" s="208" t="s">
        <v>27</v>
      </c>
      <c r="Q729" s="1472" t="s">
        <v>11704</v>
      </c>
    </row>
    <row r="730" spans="1:17">
      <c r="A730" s="1482"/>
      <c r="B730" s="1482"/>
      <c r="C730" s="1483">
        <f t="shared" si="131"/>
        <v>6</v>
      </c>
      <c r="D730" s="1492">
        <f t="shared" si="132"/>
        <v>4</v>
      </c>
      <c r="E730" s="1492">
        <f t="shared" si="133"/>
        <v>11</v>
      </c>
      <c r="F730" s="1484" t="s">
        <v>11708</v>
      </c>
      <c r="H730" s="1095"/>
      <c r="I730" s="780"/>
      <c r="J730" s="834"/>
      <c r="K730" s="780"/>
      <c r="L730" s="780"/>
      <c r="M730" s="1270"/>
      <c r="N730" s="400"/>
      <c r="O730" s="122"/>
      <c r="P730" s="123"/>
    </row>
    <row r="731" spans="1:17" ht="33.75">
      <c r="A731" s="1482"/>
      <c r="B731" s="1482"/>
      <c r="C731" s="1483">
        <f t="shared" si="131"/>
        <v>6</v>
      </c>
      <c r="D731" s="1492">
        <f t="shared" si="132"/>
        <v>4</v>
      </c>
      <c r="E731" s="1492">
        <f t="shared" si="133"/>
        <v>11</v>
      </c>
      <c r="F731" s="1484" t="s">
        <v>11708</v>
      </c>
      <c r="G731" s="968" t="s">
        <v>12046</v>
      </c>
      <c r="H731" s="823" t="str">
        <f>VLOOKUP(G731,TUBULAÇÕES!A:M,2,0)</f>
        <v>SINAPI</v>
      </c>
      <c r="I731" s="700" t="str">
        <f>VLOOKUP(G731,TUBULAÇÕES!A:M,3,0)</f>
        <v>74010/1</v>
      </c>
      <c r="J731" s="824"/>
      <c r="K731" s="790" t="str">
        <f>(IF(H731="Saneago",VLOOKUP(I731,'SANEAGO-FEV.2016'!A:B,2,0),IF(H731="Sinapi",VLOOKUP(I731,'SINAPI-FEV.2017'!A:D,2,0),IF(H731="Cotação",VLOOKUP(I731,COTAÇÃO!A:D,2,0),IF(H731="Composição",VLOOKUP(I731,COMPOSIÇÃO!A:D,2,0))))))</f>
        <v>CARGA E DESCARGA MECANICA DE SOLO UTILIZANDO CAMINHAO BASCULANTE 6,0M3/16T E PA CARREGADEIRA SOBRE PNEUS 128 HP, CAPACIDADE DA CAÇAMBA 1,7 A 2,8 M3, PESO OPERACIONAL 11632 KG</v>
      </c>
      <c r="L731" s="700" t="str">
        <f>(IF(H731="Saneago",VLOOKUP(I731,'SANEAGO-FEV.2016'!A:D,3,0),IF(H731="Sinapi",VLOOKUP(I731,'SINAPI-FEV.2017'!A:D,3,0),IF(H731="Cotação",VLOOKUP(I731,COTAÇÃO!A:D,3,0),IF(H731="Composição",VLOOKUP(I731,COMPOSIÇÃO!A:D,3,0))))))</f>
        <v>M3</v>
      </c>
      <c r="M731" s="870">
        <f>VLOOKUP(G731,TUBULAÇÕES!A:M,13,0)</f>
        <v>439.02201998310517</v>
      </c>
      <c r="N731" s="399">
        <v>0</v>
      </c>
      <c r="O731" s="102">
        <f>ROUND(IF(F731="Serviços",N731*(1+$O$7),IF(F731="Materiais",N731*(1+$O$8))),2)</f>
        <v>0</v>
      </c>
      <c r="P731" s="101">
        <f>ROUND(M731*O731,2)</f>
        <v>0</v>
      </c>
      <c r="Q731" s="1472">
        <v>439.02201998310517</v>
      </c>
    </row>
    <row r="732" spans="1:17" ht="22.5">
      <c r="A732" s="1482"/>
      <c r="B732" s="1482"/>
      <c r="C732" s="1483">
        <f t="shared" si="131"/>
        <v>6</v>
      </c>
      <c r="D732" s="1492">
        <f t="shared" si="132"/>
        <v>4</v>
      </c>
      <c r="E732" s="1492">
        <f t="shared" si="133"/>
        <v>11</v>
      </c>
      <c r="F732" s="1484" t="s">
        <v>11708</v>
      </c>
      <c r="G732" s="968" t="s">
        <v>12047</v>
      </c>
      <c r="H732" s="823" t="str">
        <f>VLOOKUP(G732,TUBULAÇÕES!A:M,2,0)</f>
        <v>SINAPI</v>
      </c>
      <c r="I732" s="700">
        <f>VLOOKUP(G732,TUBULAÇÕES!A:M,3,0)</f>
        <v>93590</v>
      </c>
      <c r="J732" s="824"/>
      <c r="K732" s="790" t="str">
        <f>(IF(H732="Saneago",VLOOKUP(I732,'SANEAGO-FEV.2016'!A:B,2,0),IF(H732="Sinapi",VLOOKUP(I732,'SINAPI-FEV.2017'!A:D,2,0),IF(H732="Cotação",VLOOKUP(I732,COTAÇÃO!A:D,2,0),IF(H732="Composição",VLOOKUP(I732,COMPOSIÇÃO!A:D,2,0))))))</f>
        <v>TRANSPORTE COM CAMINHÃO BASCULANTE DE 10 M3, EM VIA URBANA PAVIMENTADA, DMT ACIMA DE 30KM (UNIDADE: M3XKM). AF_04/2016</v>
      </c>
      <c r="L732" s="700" t="str">
        <f>(IF(H732="Saneago",VLOOKUP(I732,'SANEAGO-FEV.2016'!A:D,3,0),IF(H732="Sinapi",VLOOKUP(I732,'SINAPI-FEV.2017'!A:D,3,0),IF(H732="Cotação",VLOOKUP(I732,COTAÇÃO!A:D,3,0),IF(H732="Composição",VLOOKUP(I732,COMPOSIÇÃO!A:D,3,0))))))</f>
        <v>M3XKM</v>
      </c>
      <c r="M732" s="870">
        <f>VLOOKUP(G732,TUBULAÇÕES!A:M,13,0)</f>
        <v>3292.6651498732886</v>
      </c>
      <c r="N732" s="399">
        <v>0</v>
      </c>
      <c r="O732" s="102">
        <f>ROUND(IF(F732="Serviços",N732*(1+$O$7),IF(F732="Materiais",N732*(1+$O$8))),2)</f>
        <v>0</v>
      </c>
      <c r="P732" s="101">
        <f>ROUND(M732*O732,2)</f>
        <v>0</v>
      </c>
      <c r="Q732" s="1472">
        <v>3292.6651498732886</v>
      </c>
    </row>
    <row r="733" spans="1:17" ht="30" customHeight="1">
      <c r="A733" s="1482"/>
      <c r="B733" s="1482"/>
      <c r="C733" s="1483">
        <f t="shared" si="131"/>
        <v>6</v>
      </c>
      <c r="D733" s="1492">
        <f t="shared" si="132"/>
        <v>4</v>
      </c>
      <c r="E733" s="1492">
        <f t="shared" si="133"/>
        <v>11</v>
      </c>
      <c r="F733" s="1484" t="s">
        <v>11708</v>
      </c>
      <c r="G733" s="968" t="s">
        <v>12048</v>
      </c>
      <c r="H733" s="823" t="str">
        <f>VLOOKUP(G733,TUBULAÇÕES!A:M,2,0)</f>
        <v>SINAPI</v>
      </c>
      <c r="I733" s="700">
        <f>VLOOKUP(G733,TUBULAÇÕES!A:M,3,0)</f>
        <v>83344</v>
      </c>
      <c r="J733" s="824"/>
      <c r="K733" s="790" t="str">
        <f>(IF(H733="Saneago",VLOOKUP(I733,'SANEAGO-FEV.2016'!A:B,2,0),IF(H733="Sinapi",VLOOKUP(I733,'SINAPI-FEV.2017'!A:D,2,0),IF(H733="Cotação",VLOOKUP(I733,COTAÇÃO!A:D,2,0),IF(H733="Composição",VLOOKUP(I733,COMPOSIÇÃO!A:D,2,0))))))</f>
        <v>ESPALHAMENTO DE MATERIAL EM BOTA FORA, COM UTILIZACAO DE TRATOR DE ESTEIRAS DE 165 HP</v>
      </c>
      <c r="L733" s="700" t="str">
        <f>(IF(H733="Saneago",VLOOKUP(I733,'SANEAGO-FEV.2016'!A:D,3,0),IF(H733="Sinapi",VLOOKUP(I733,'SINAPI-FEV.2017'!A:D,3,0),IF(H733="Cotação",VLOOKUP(I733,COTAÇÃO!A:D,3,0),IF(H733="Composição",VLOOKUP(I733,COMPOSIÇÃO!A:D,3,0))))))</f>
        <v>M3</v>
      </c>
      <c r="M733" s="870">
        <f>VLOOKUP(G733,TUBULAÇÕES!A:M,13,0)</f>
        <v>439.02201998310517</v>
      </c>
      <c r="N733" s="399">
        <v>0</v>
      </c>
      <c r="O733" s="102">
        <f>ROUND(IF(F733="Serviços",N733*(1+$O$7),IF(F733="Materiais",N733*(1+$O$8))),2)</f>
        <v>0</v>
      </c>
      <c r="P733" s="101">
        <f>ROUND(M733*O733,2)</f>
        <v>0</v>
      </c>
      <c r="Q733" s="1472">
        <v>439.02201998310517</v>
      </c>
    </row>
    <row r="734" spans="1:17" ht="15.75" thickBot="1">
      <c r="A734" s="1482"/>
      <c r="B734" s="1482"/>
      <c r="C734" s="1483">
        <f t="shared" si="131"/>
        <v>6</v>
      </c>
      <c r="D734" s="1492">
        <f t="shared" si="132"/>
        <v>4</v>
      </c>
      <c r="E734" s="1492">
        <f t="shared" si="133"/>
        <v>11</v>
      </c>
      <c r="F734" s="1484" t="s">
        <v>11708</v>
      </c>
      <c r="H734" s="1095"/>
      <c r="I734" s="780"/>
      <c r="J734" s="834"/>
      <c r="K734" s="780"/>
      <c r="L734" s="780"/>
      <c r="M734" s="1270"/>
      <c r="N734" s="400"/>
      <c r="O734" s="122"/>
      <c r="P734" s="123"/>
    </row>
    <row r="735" spans="1:17" ht="16.5" customHeight="1" thickTop="1" thickBot="1">
      <c r="A735" s="1482"/>
      <c r="B735" s="1482"/>
      <c r="C735" s="1483">
        <f t="shared" si="131"/>
        <v>6</v>
      </c>
      <c r="D735" s="1492">
        <f t="shared" si="132"/>
        <v>4</v>
      </c>
      <c r="E735" s="1492">
        <f t="shared" si="133"/>
        <v>11</v>
      </c>
      <c r="F735" s="1484" t="s">
        <v>11708</v>
      </c>
      <c r="H735" s="1538" t="str">
        <f>"TOTAL ITEM: "&amp;J729 &amp;K729</f>
        <v>TOTAL ITEM: 6.4.11 TRANSPORTE, CARGA E DESCARGA DE MATERIAL (BOTA FORA)</v>
      </c>
      <c r="I735" s="1539"/>
      <c r="J735" s="1539"/>
      <c r="K735" s="1539"/>
      <c r="L735" s="1539"/>
      <c r="M735" s="1539"/>
      <c r="N735" s="718"/>
      <c r="O735" s="718"/>
      <c r="P735" s="210">
        <f>SUBTOTAL(9,P731:P733)</f>
        <v>0</v>
      </c>
    </row>
    <row r="736" spans="1:17" ht="15.75" thickTop="1">
      <c r="A736" s="1482"/>
      <c r="B736" s="1482"/>
      <c r="C736" s="1483">
        <f t="shared" si="131"/>
        <v>6</v>
      </c>
      <c r="D736" s="1492">
        <f t="shared" si="132"/>
        <v>4</v>
      </c>
      <c r="E736" s="1492">
        <f t="shared" si="133"/>
        <v>11</v>
      </c>
      <c r="F736" s="1484" t="s">
        <v>11708</v>
      </c>
      <c r="H736" s="1095"/>
      <c r="I736" s="780"/>
      <c r="J736" s="834"/>
      <c r="K736" s="780"/>
      <c r="L736" s="780"/>
      <c r="M736" s="1270"/>
      <c r="N736" s="400"/>
      <c r="O736" s="122"/>
      <c r="P736" s="123"/>
    </row>
    <row r="737" spans="1:17">
      <c r="A737" s="1482"/>
      <c r="B737" s="1482">
        <v>1</v>
      </c>
      <c r="C737" s="1483">
        <f t="shared" si="131"/>
        <v>6</v>
      </c>
      <c r="D737" s="1492">
        <f t="shared" si="132"/>
        <v>4</v>
      </c>
      <c r="E737" s="1492">
        <f t="shared" si="133"/>
        <v>12</v>
      </c>
      <c r="F737" s="1484" t="s">
        <v>11708</v>
      </c>
      <c r="H737" s="1514" t="s">
        <v>11703</v>
      </c>
      <c r="I737" s="1515" t="s">
        <v>64</v>
      </c>
      <c r="J737" s="1516" t="str">
        <f>CONCATENATE(C737,".",D737,".",E737)</f>
        <v>6.4.12</v>
      </c>
      <c r="K737" s="1516" t="s">
        <v>11711</v>
      </c>
      <c r="L737" s="1517" t="s">
        <v>25</v>
      </c>
      <c r="M737" s="1518" t="s">
        <v>11704</v>
      </c>
      <c r="N737" s="398" t="s">
        <v>11705</v>
      </c>
      <c r="O737" s="207" t="s">
        <v>11706</v>
      </c>
      <c r="P737" s="208" t="s">
        <v>27</v>
      </c>
      <c r="Q737" s="1472" t="s">
        <v>11704</v>
      </c>
    </row>
    <row r="738" spans="1:17">
      <c r="A738" s="1482"/>
      <c r="B738" s="1482"/>
      <c r="C738" s="1483">
        <f t="shared" si="131"/>
        <v>6</v>
      </c>
      <c r="D738" s="1492">
        <f t="shared" si="132"/>
        <v>4</v>
      </c>
      <c r="E738" s="1492">
        <f t="shared" si="133"/>
        <v>12</v>
      </c>
      <c r="F738" s="1484" t="s">
        <v>11708</v>
      </c>
      <c r="H738" s="1095"/>
      <c r="I738" s="780"/>
      <c r="J738" s="834"/>
      <c r="K738" s="780"/>
      <c r="L738" s="780"/>
      <c r="M738" s="1270"/>
      <c r="N738" s="400"/>
      <c r="O738" s="122"/>
      <c r="P738" s="123"/>
    </row>
    <row r="739" spans="1:17" ht="33.75">
      <c r="A739" s="1482"/>
      <c r="B739" s="1482"/>
      <c r="C739" s="1483">
        <f t="shared" si="131"/>
        <v>6</v>
      </c>
      <c r="D739" s="1492">
        <f t="shared" si="132"/>
        <v>4</v>
      </c>
      <c r="E739" s="1492">
        <f t="shared" si="133"/>
        <v>12</v>
      </c>
      <c r="F739" s="1484" t="s">
        <v>11708</v>
      </c>
      <c r="G739" s="968" t="s">
        <v>20406</v>
      </c>
      <c r="H739" s="823" t="str">
        <f>VLOOKUP(G739,TUBULAÇÕES!A:M,2,0)</f>
        <v>SINAPI</v>
      </c>
      <c r="I739" s="700">
        <f>VLOOKUP(G739,TUBULAÇÕES!A:M,3,0)</f>
        <v>94043</v>
      </c>
      <c r="J739" s="824"/>
      <c r="K739" s="790" t="str">
        <f>(IF(H739="Saneago",VLOOKUP(I739,'SANEAGO-FEV.2016'!A:B,2,0),IF(H739="Sinapi",VLOOKUP(I739,'SINAPI-FEV.2017'!A:D,2,0),IF(H739="Cotação",VLOOKUP(I739,COTAÇÃO!A:D,2,0),IF(H739="Composição",VLOOKUP(I739,COMPOSIÇÃO!A:D,2,0))))))</f>
        <v>ESCORAMENTO DE VALA, TIPO PONTALETEAMENTO, COM PROFUNDIDADE DE 0 A 1,5 M, LARGURA MENOR QUE 1,5 M, EM LOCAL COM NÍVEL BAIXO DE INTERFERÊNCIA. AF_06/2016</v>
      </c>
      <c r="L739" s="700" t="str">
        <f>(IF(H739="Saneago",VLOOKUP(I739,'SANEAGO-FEV.2016'!A:D,3,0),IF(H739="Sinapi",VLOOKUP(I739,'SINAPI-FEV.2017'!A:D,3,0),IF(H739="Cotação",VLOOKUP(I739,COTAÇÃO!A:D,3,0),IF(H739="Composição",VLOOKUP(I739,COMPOSIÇÃO!A:D,3,0))))))</f>
        <v>M2</v>
      </c>
      <c r="M739" s="870">
        <f>VLOOKUP(G739,TUBULAÇÕES!A:M,13,0)</f>
        <v>540.45732499999997</v>
      </c>
      <c r="N739" s="399">
        <v>0</v>
      </c>
      <c r="O739" s="102">
        <f>ROUND(IF(F739="Serviços",N739*(1+$O$7),IF(F739="Materiais",N739*(1+$O$8))),2)</f>
        <v>0</v>
      </c>
      <c r="P739" s="101">
        <f>ROUND(M739*O739,2)</f>
        <v>0</v>
      </c>
      <c r="Q739" s="1472">
        <v>540.45732499999997</v>
      </c>
    </row>
    <row r="740" spans="1:17" ht="33.75">
      <c r="A740" s="1482"/>
      <c r="B740" s="1482"/>
      <c r="C740" s="1483">
        <f t="shared" si="131"/>
        <v>6</v>
      </c>
      <c r="D740" s="1492">
        <f t="shared" si="132"/>
        <v>4</v>
      </c>
      <c r="E740" s="1492">
        <f t="shared" si="133"/>
        <v>12</v>
      </c>
      <c r="F740" s="1484" t="s">
        <v>11708</v>
      </c>
      <c r="G740" s="968" t="s">
        <v>20407</v>
      </c>
      <c r="H740" s="823" t="str">
        <f>VLOOKUP(G740,TUBULAÇÕES!A:M,2,0)</f>
        <v>SINAPI</v>
      </c>
      <c r="I740" s="700">
        <f>VLOOKUP(G740,TUBULAÇÕES!A:M,3,0)</f>
        <v>94045</v>
      </c>
      <c r="J740" s="824"/>
      <c r="K740" s="790" t="str">
        <f>(IF(H740="Saneago",VLOOKUP(I740,'SANEAGO-FEV.2016'!A:B,2,0),IF(H740="Sinapi",VLOOKUP(I740,'SINAPI-FEV.2017'!A:D,2,0),IF(H740="Cotação",VLOOKUP(I740,COTAÇÃO!A:D,2,0),IF(H740="Composição",VLOOKUP(I740,COMPOSIÇÃO!A:D,2,0))))))</f>
        <v>ESCORAMENTO DE VALA, TIPO PONTALETEAMENTO, COM PROFUNDIDADE DE 1,5 A 3,0 M, LARGURA MENOR QUE 1,5 M, EM LOCAL COM NÍVEL BAIXO DE INTERFERÊNCIA. AF_06/2016</v>
      </c>
      <c r="L740" s="700" t="str">
        <f>(IF(H740="Saneago",VLOOKUP(I740,'SANEAGO-FEV.2016'!A:D,3,0),IF(H740="Sinapi",VLOOKUP(I740,'SINAPI-FEV.2017'!A:D,3,0),IF(H740="Cotação",VLOOKUP(I740,COTAÇÃO!A:D,3,0),IF(H740="Composição",VLOOKUP(I740,COMPOSIÇÃO!A:D,3,0))))))</f>
        <v>M2</v>
      </c>
      <c r="M740" s="870">
        <f>VLOOKUP(G740,TUBULAÇÕES!A:M,13,0)</f>
        <v>3258.9895099999999</v>
      </c>
      <c r="N740" s="399">
        <v>0</v>
      </c>
      <c r="O740" s="102">
        <f>ROUND(IF(F740="Serviços",N740*(1+$O$7),IF(F740="Materiais",N740*(1+$O$8))),2)</f>
        <v>0</v>
      </c>
      <c r="P740" s="101">
        <f>ROUND(M740*O740,2)</f>
        <v>0</v>
      </c>
      <c r="Q740" s="1472">
        <v>3258.9895099999999</v>
      </c>
    </row>
    <row r="741" spans="1:17" ht="27" customHeight="1">
      <c r="A741" s="1482"/>
      <c r="B741" s="1482"/>
      <c r="C741" s="1483">
        <f t="shared" si="131"/>
        <v>6</v>
      </c>
      <c r="D741" s="1492">
        <f t="shared" si="132"/>
        <v>4</v>
      </c>
      <c r="E741" s="1492">
        <f t="shared" si="133"/>
        <v>12</v>
      </c>
      <c r="F741" s="1484" t="s">
        <v>11708</v>
      </c>
      <c r="G741" s="1076" t="s">
        <v>12680</v>
      </c>
      <c r="H741" s="823" t="str">
        <f>VLOOKUP(G741,TUBULAÇÕES!A:M,2,0)</f>
        <v>SINAPI</v>
      </c>
      <c r="I741" s="700" t="str">
        <f>VLOOKUP(G741,TUBULAÇÕES!A:M,3,0)</f>
        <v>73877/2</v>
      </c>
      <c r="J741" s="824"/>
      <c r="K741" s="790" t="str">
        <f>(IF(H741="Saneago",VLOOKUP(I741,'SANEAGO-FEV.2016'!A:B,2,0),IF(H741="Sinapi",VLOOKUP(I741,'SINAPI-FEV.2017'!A:D,2,0),IF(H741="Cotação",VLOOKUP(I741,COTAÇÃO!A:D,2,0),IF(H741="Composição",VLOOKUP(I741,COMPOSIÇÃO!A:D,2,0))))))</f>
        <v>ESCORAMENTO DE VALAS COM PRANCHOES METALICOS - AREA NAO CRAVADA</v>
      </c>
      <c r="L741" s="700" t="str">
        <f>(IF(H741="Saneago",VLOOKUP(I741,'SANEAGO-FEV.2016'!A:D,3,0),IF(H741="Sinapi",VLOOKUP(I741,'SINAPI-FEV.2017'!A:D,3,0),IF(H741="Cotação",VLOOKUP(I741,COTAÇÃO!A:D,3,0),IF(H741="Composição",VLOOKUP(I741,COMPOSIÇÃO!A:D,3,0))))))</f>
        <v>M2</v>
      </c>
      <c r="M741" s="870">
        <f>VLOOKUP(G741,TUBULAÇÕES!A:M,13,0)</f>
        <v>117.50866499999999</v>
      </c>
      <c r="N741" s="399">
        <v>0</v>
      </c>
      <c r="O741" s="102">
        <f>ROUND(IF(F741="Serviços",N741*(1+$O$7),IF(F741="Materiais",N741*(1+$O$8))),2)</f>
        <v>0</v>
      </c>
      <c r="P741" s="101">
        <f>ROUND(M741*O741,2)</f>
        <v>0</v>
      </c>
      <c r="Q741" s="1472">
        <v>117.50866499999999</v>
      </c>
    </row>
    <row r="742" spans="1:17" ht="15.75" thickBot="1">
      <c r="A742" s="1482"/>
      <c r="B742" s="1482"/>
      <c r="C742" s="1483">
        <f>C741</f>
        <v>6</v>
      </c>
      <c r="D742" s="1492">
        <f>D741+A742</f>
        <v>4</v>
      </c>
      <c r="E742" s="1492">
        <f>E741+B742</f>
        <v>12</v>
      </c>
      <c r="F742" s="1484" t="s">
        <v>11708</v>
      </c>
      <c r="H742" s="1095"/>
      <c r="I742" s="780"/>
      <c r="J742" s="834"/>
      <c r="K742" s="780"/>
      <c r="L742" s="780"/>
      <c r="M742" s="1270"/>
      <c r="N742" s="400"/>
      <c r="O742" s="122"/>
      <c r="P742" s="123"/>
    </row>
    <row r="743" spans="1:17" ht="16.5" customHeight="1" thickTop="1" thickBot="1">
      <c r="A743" s="1482"/>
      <c r="B743" s="1482"/>
      <c r="C743" s="1483">
        <f t="shared" si="131"/>
        <v>6</v>
      </c>
      <c r="D743" s="1492">
        <f t="shared" si="132"/>
        <v>4</v>
      </c>
      <c r="E743" s="1492">
        <f t="shared" si="133"/>
        <v>12</v>
      </c>
      <c r="F743" s="1484" t="s">
        <v>11708</v>
      </c>
      <c r="H743" s="1653" t="str">
        <f>"TOTAL ITEM: "&amp;J737 &amp;K737</f>
        <v>TOTAL ITEM: 6.4.12 ESCORAMENTO DE VALAS</v>
      </c>
      <c r="I743" s="1654"/>
      <c r="J743" s="1654"/>
      <c r="K743" s="1654"/>
      <c r="L743" s="1654"/>
      <c r="M743" s="1654"/>
      <c r="N743" s="1654"/>
      <c r="O743" s="1654"/>
      <c r="P743" s="210">
        <f>SUBTOTAL(9,P739:P741)</f>
        <v>0</v>
      </c>
    </row>
    <row r="744" spans="1:17" ht="15.75" thickTop="1">
      <c r="A744" s="1482"/>
      <c r="B744" s="1482"/>
      <c r="C744" s="1483">
        <f t="shared" si="131"/>
        <v>6</v>
      </c>
      <c r="D744" s="1492">
        <f t="shared" si="132"/>
        <v>4</v>
      </c>
      <c r="E744" s="1492">
        <f t="shared" si="133"/>
        <v>12</v>
      </c>
      <c r="F744" s="1484" t="s">
        <v>11708</v>
      </c>
      <c r="G744" s="921"/>
      <c r="H744" s="1095"/>
      <c r="I744" s="780"/>
      <c r="J744" s="834"/>
      <c r="K744" s="780"/>
      <c r="L744" s="780"/>
      <c r="M744" s="1270"/>
      <c r="N744" s="400"/>
      <c r="O744" s="122"/>
      <c r="P744" s="123"/>
    </row>
    <row r="745" spans="1:17">
      <c r="A745" s="1482"/>
      <c r="B745" s="1482">
        <v>1</v>
      </c>
      <c r="C745" s="1483">
        <f t="shared" si="131"/>
        <v>6</v>
      </c>
      <c r="D745" s="1492">
        <f t="shared" si="132"/>
        <v>4</v>
      </c>
      <c r="E745" s="1492">
        <f t="shared" si="133"/>
        <v>13</v>
      </c>
      <c r="F745" s="1484" t="s">
        <v>11708</v>
      </c>
      <c r="G745" s="921"/>
      <c r="H745" s="1514" t="s">
        <v>11703</v>
      </c>
      <c r="I745" s="1515" t="s">
        <v>64</v>
      </c>
      <c r="J745" s="1516" t="str">
        <f>CONCATENATE(C745,".",D745,".",E745)</f>
        <v>6.4.13</v>
      </c>
      <c r="K745" s="1516" t="s">
        <v>12681</v>
      </c>
      <c r="L745" s="1517" t="s">
        <v>25</v>
      </c>
      <c r="M745" s="1518" t="s">
        <v>11704</v>
      </c>
      <c r="N745" s="398" t="s">
        <v>11705</v>
      </c>
      <c r="O745" s="207" t="s">
        <v>11706</v>
      </c>
      <c r="P745" s="208" t="s">
        <v>27</v>
      </c>
      <c r="Q745" s="1472" t="s">
        <v>11704</v>
      </c>
    </row>
    <row r="746" spans="1:17">
      <c r="A746" s="1482"/>
      <c r="B746" s="1482"/>
      <c r="C746" s="1483">
        <f t="shared" si="131"/>
        <v>6</v>
      </c>
      <c r="D746" s="1492">
        <f t="shared" si="132"/>
        <v>4</v>
      </c>
      <c r="E746" s="1492">
        <f t="shared" si="133"/>
        <v>13</v>
      </c>
      <c r="F746" s="1484" t="s">
        <v>11708</v>
      </c>
      <c r="G746" s="921"/>
      <c r="H746" s="1095"/>
      <c r="I746" s="780"/>
      <c r="J746" s="834"/>
      <c r="K746" s="780"/>
      <c r="L746" s="780"/>
      <c r="M746" s="1270"/>
      <c r="N746" s="400"/>
      <c r="O746" s="122"/>
      <c r="P746" s="123"/>
    </row>
    <row r="747" spans="1:17" ht="33.75">
      <c r="A747" s="1482"/>
      <c r="B747" s="1482"/>
      <c r="C747" s="1483">
        <f t="shared" si="131"/>
        <v>6</v>
      </c>
      <c r="D747" s="1492">
        <f t="shared" si="132"/>
        <v>4</v>
      </c>
      <c r="E747" s="1492">
        <f t="shared" si="133"/>
        <v>13</v>
      </c>
      <c r="F747" s="1484" t="s">
        <v>11708</v>
      </c>
      <c r="G747" s="1076" t="s">
        <v>12057</v>
      </c>
      <c r="H747" s="823" t="str">
        <f>VLOOKUP(G747,TUBULAÇÕES!A:M,2,0)</f>
        <v>SINAPI</v>
      </c>
      <c r="I747" s="700">
        <f>VLOOKUP(G747,TUBULAÇÕES!A:M,3,0)</f>
        <v>92842</v>
      </c>
      <c r="J747" s="824"/>
      <c r="K747" s="790" t="str">
        <f>(IF(H747="Saneago",VLOOKUP(I747,'SANEAGO-FEV.2016'!A:B,2,0),IF(H747="Sinapi",VLOOKUP(I747,'SINAPI-FEV.2017'!A:D,2,0),IF(H747="Cotação",VLOOKUP(I747,COTAÇÃO!A:D,2,0),IF(H747="Composição",VLOOKUP(I747,COMPOSIÇÃO!A:D,2,0))))))</f>
        <v>ASSENTAMENTO DE TUBO DE CONCRETO PARA REDES COLETORAS DE ESGOTO SANITÁRIO, DIÂMETRO DE 700 MM, JUNTA ELÁSTICA, INSTALADO EM LOCAL COM BAIXO NÍVEL DE INTERFERÊNCIAS (NÃO INCLUI FORNECIMENTO). AF_12/2015</v>
      </c>
      <c r="L747" s="700" t="str">
        <f>(IF(H747="Saneago",VLOOKUP(I747,'SANEAGO-FEV.2016'!A:D,3,0),IF(H747="Sinapi",VLOOKUP(I747,'SINAPI-FEV.2017'!A:D,3,0),IF(H747="Cotação",VLOOKUP(I747,COTAÇÃO!A:D,3,0),IF(H747="Composição",VLOOKUP(I747,COMPOSIÇÃO!A:D,3,0))))))</f>
        <v>M</v>
      </c>
      <c r="M747" s="870">
        <f>VLOOKUP(G747,TUBULAÇÕES!A:M,13,0)</f>
        <v>134.47</v>
      </c>
      <c r="N747" s="399">
        <v>0</v>
      </c>
      <c r="O747" s="102">
        <f>ROUND(IF(F747="Serviços",N747*(1+$O$7),IF(F747="Materiais",N747*(1+$O$8))),2)</f>
        <v>0</v>
      </c>
      <c r="P747" s="101">
        <f>ROUND(M747*O747,2)</f>
        <v>0</v>
      </c>
      <c r="Q747" s="1472">
        <v>134.47</v>
      </c>
    </row>
    <row r="748" spans="1:17">
      <c r="A748" s="1482"/>
      <c r="B748" s="1482"/>
      <c r="C748" s="1483">
        <f t="shared" si="131"/>
        <v>6</v>
      </c>
      <c r="D748" s="1492">
        <f t="shared" si="132"/>
        <v>4</v>
      </c>
      <c r="E748" s="1492">
        <f t="shared" si="133"/>
        <v>13</v>
      </c>
      <c r="F748" s="1484" t="s">
        <v>11708</v>
      </c>
      <c r="G748" s="1076" t="s">
        <v>20408</v>
      </c>
      <c r="H748" s="823" t="str">
        <f>VLOOKUP(G748,TUBULAÇÕES!A:M,2,0)</f>
        <v>SINAPI</v>
      </c>
      <c r="I748" s="700" t="str">
        <f>VLOOKUP(G748,TUBULAÇÕES!A:M,3,0)</f>
        <v>73515A</v>
      </c>
      <c r="J748" s="824"/>
      <c r="K748" s="790" t="str">
        <f>(IF(H748="Saneago",VLOOKUP(I748,'SANEAGO-FEV.2016'!A:B,2,0),IF(H748="Sinapi",VLOOKUP(I748,'SINAPI-FEV.2017'!A:D,2,0),IF(H748="Cotação",VLOOKUP(I748,COTAÇÃO!A:D,2,0),IF(H748="Composição",VLOOKUP(I748,COMPOSIÇÃO!A:D,2,0))))))</f>
        <v>TRANSPORTE DE TUBOS DE CONCRETO ARMADO DN 700</v>
      </c>
      <c r="L748" s="700" t="str">
        <f>(IF(H748="Saneago",VLOOKUP(I748,'SANEAGO-FEV.2016'!A:D,3,0),IF(H748="Sinapi",VLOOKUP(I748,'SINAPI-FEV.2017'!A:D,3,0),IF(H748="Cotação",VLOOKUP(I748,COTAÇÃO!A:D,3,0),IF(H748="Composição",VLOOKUP(I748,COMPOSIÇÃO!A:D,3,0))))))</f>
        <v>M</v>
      </c>
      <c r="M748" s="870">
        <f>VLOOKUP(G748,TUBULAÇÕES!A:M,13,0)</f>
        <v>134.47</v>
      </c>
      <c r="N748" s="399">
        <v>0</v>
      </c>
      <c r="O748" s="102">
        <f t="shared" ref="O748:O757" si="137">ROUND(IF(F748="Serviços",N748*(1+$O$7),IF(F748="Materiais",N748*(1+$O$8))),2)</f>
        <v>0</v>
      </c>
      <c r="P748" s="101">
        <f t="shared" ref="P748:P757" si="138">ROUND(M748*O748,2)</f>
        <v>0</v>
      </c>
      <c r="Q748" s="1472">
        <v>134.47</v>
      </c>
    </row>
    <row r="749" spans="1:17" ht="22.5">
      <c r="A749" s="1482"/>
      <c r="B749" s="1482"/>
      <c r="C749" s="1483">
        <f t="shared" si="131"/>
        <v>6</v>
      </c>
      <c r="D749" s="1492">
        <f t="shared" si="132"/>
        <v>4</v>
      </c>
      <c r="E749" s="1492">
        <f t="shared" si="133"/>
        <v>13</v>
      </c>
      <c r="F749" s="1484" t="s">
        <v>11708</v>
      </c>
      <c r="G749" s="1076" t="s">
        <v>12058</v>
      </c>
      <c r="H749" s="823" t="str">
        <f>VLOOKUP(G749,TUBULAÇÕES!A:M,2,0)</f>
        <v>SINAPI</v>
      </c>
      <c r="I749" s="700" t="str">
        <f>VLOOKUP(G749,TUBULAÇÕES!A:M,3,0)</f>
        <v>73887/8</v>
      </c>
      <c r="J749" s="824"/>
      <c r="K749" s="790" t="str">
        <f>(IF(H749="Saneago",VLOOKUP(I749,'SANEAGO-FEV.2016'!A:B,2,0),IF(H749="Sinapi",VLOOKUP(I749,'SINAPI-FEV.2017'!A:D,2,0),IF(H749="Cotação",VLOOKUP(I749,COTAÇÃO!A:D,2,0),IF(H749="Composição",VLOOKUP(I749,COMPOSIÇÃO!A:D,2,0))))))</f>
        <v>ASSENTAMENTO SIMPLES DE TUBOS DE FERRO FUNDIDO (FOFO) C/ JUNTA ELASTICA - DN 400 MM - INCLUSIVE TRANSPORTE</v>
      </c>
      <c r="L749" s="700" t="str">
        <f>(IF(H749="Saneago",VLOOKUP(I749,'SANEAGO-FEV.2016'!A:D,3,0),IF(H749="Sinapi",VLOOKUP(I749,'SINAPI-FEV.2017'!A:D,3,0),IF(H749="Cotação",VLOOKUP(I749,COTAÇÃO!A:D,3,0),IF(H749="Composição",VLOOKUP(I749,COMPOSIÇÃO!A:D,3,0))))))</f>
        <v>M</v>
      </c>
      <c r="M749" s="870">
        <f>VLOOKUP(G749,TUBULAÇÕES!A:M,13,0)</f>
        <v>41</v>
      </c>
      <c r="N749" s="399">
        <v>0</v>
      </c>
      <c r="O749" s="102">
        <f t="shared" si="137"/>
        <v>0</v>
      </c>
      <c r="P749" s="101">
        <f t="shared" si="138"/>
        <v>0</v>
      </c>
      <c r="Q749" s="1472">
        <v>41</v>
      </c>
    </row>
    <row r="750" spans="1:17" ht="22.5">
      <c r="A750" s="1482"/>
      <c r="B750" s="1482"/>
      <c r="C750" s="1483">
        <f t="shared" si="131"/>
        <v>6</v>
      </c>
      <c r="D750" s="1492">
        <f t="shared" si="132"/>
        <v>4</v>
      </c>
      <c r="E750" s="1492">
        <f t="shared" si="133"/>
        <v>13</v>
      </c>
      <c r="F750" s="1484" t="s">
        <v>11708</v>
      </c>
      <c r="G750" s="1076" t="s">
        <v>12059</v>
      </c>
      <c r="H750" s="823" t="str">
        <f>VLOOKUP(G750,TUBULAÇÕES!A:M,2,0)</f>
        <v>SINAPI</v>
      </c>
      <c r="I750" s="700" t="str">
        <f>VLOOKUP(G750,TUBULAÇÕES!A:M,3,0)</f>
        <v>73887/11</v>
      </c>
      <c r="J750" s="824"/>
      <c r="K750" s="790" t="str">
        <f>(IF(H750="Saneago",VLOOKUP(I750,'SANEAGO-FEV.2016'!A:B,2,0),IF(H750="Sinapi",VLOOKUP(I750,'SINAPI-FEV.2017'!A:D,2,0),IF(H750="Cotação",VLOOKUP(I750,COTAÇÃO!A:D,2,0),IF(H750="Composição",VLOOKUP(I750,COMPOSIÇÃO!A:D,2,0))))))</f>
        <v>ASSENTAMENTO SIMPLES DE TUBOS DE FERRO FUNDIDO (FOFO) C/ JUNTA ELASTICA - DN 600 MM - INCLUSIVE TRANSPORTE</v>
      </c>
      <c r="L750" s="700" t="str">
        <f>(IF(H750="Saneago",VLOOKUP(I750,'SANEAGO-FEV.2016'!A:D,3,0),IF(H750="Sinapi",VLOOKUP(I750,'SINAPI-FEV.2017'!A:D,3,0),IF(H750="Cotação",VLOOKUP(I750,COTAÇÃO!A:D,3,0),IF(H750="Composição",VLOOKUP(I750,COMPOSIÇÃO!A:D,3,0))))))</f>
        <v>M</v>
      </c>
      <c r="M750" s="870">
        <f>VLOOKUP(G750,TUBULAÇÕES!A:M,13,0)</f>
        <v>47</v>
      </c>
      <c r="N750" s="399">
        <v>0</v>
      </c>
      <c r="O750" s="102">
        <f t="shared" si="137"/>
        <v>0</v>
      </c>
      <c r="P750" s="101">
        <f t="shared" si="138"/>
        <v>0</v>
      </c>
      <c r="Q750" s="1472">
        <v>47</v>
      </c>
    </row>
    <row r="751" spans="1:17" ht="33.75">
      <c r="A751" s="1482"/>
      <c r="B751" s="1482"/>
      <c r="C751" s="1483">
        <f t="shared" si="131"/>
        <v>6</v>
      </c>
      <c r="D751" s="1492">
        <f t="shared" si="132"/>
        <v>4</v>
      </c>
      <c r="E751" s="1492">
        <f t="shared" si="133"/>
        <v>13</v>
      </c>
      <c r="F751" s="1484" t="s">
        <v>11708</v>
      </c>
      <c r="G751" s="1076" t="s">
        <v>12060</v>
      </c>
      <c r="H751" s="823" t="str">
        <f>VLOOKUP(G751,TUBULAÇÕES!A:M,2,0)</f>
        <v>SINAPI</v>
      </c>
      <c r="I751" s="700">
        <f>VLOOKUP(G751,TUBULAÇÕES!A:M,3,0)</f>
        <v>90733</v>
      </c>
      <c r="J751" s="824"/>
      <c r="K751" s="790" t="str">
        <f>(IF(H751="Saneago",VLOOKUP(I751,'SANEAGO-FEV.2016'!A:B,2,0),IF(H751="Sinapi",VLOOKUP(I751,'SINAPI-FEV.2017'!A:D,2,0),IF(H751="Cotação",VLOOKUP(I751,COTAÇÃO!A:D,2,0),IF(H751="Composição",VLOOKUP(I751,COMPOSIÇÃO!A:D,2,0))))))</f>
        <v>ASSENTAMENTO DE TUBO DE PVC PARA REDE COLETORA DE ESGOTO DE PAREDE MACIÇA, DN 100 MM, JUNTA ELÁSTICA, INSTALADO EM LOCAL COM NÍVEL BAIXO DE INTERFERÊNCIAS (NÃO INCLUI FORNECIMENTO). AF_06/2015</v>
      </c>
      <c r="L751" s="700" t="str">
        <f>(IF(H751="Saneago",VLOOKUP(I751,'SANEAGO-FEV.2016'!A:D,3,0),IF(H751="Sinapi",VLOOKUP(I751,'SINAPI-FEV.2017'!A:D,3,0),IF(H751="Cotação",VLOOKUP(I751,COTAÇÃO!A:D,3,0),IF(H751="Composição",VLOOKUP(I751,COMPOSIÇÃO!A:D,3,0))))))</f>
        <v>M</v>
      </c>
      <c r="M751" s="870">
        <f>VLOOKUP(G751,TUBULAÇÕES!A:M,13,0)</f>
        <v>1218</v>
      </c>
      <c r="N751" s="399">
        <v>0</v>
      </c>
      <c r="O751" s="102">
        <f t="shared" si="137"/>
        <v>0</v>
      </c>
      <c r="P751" s="101">
        <f t="shared" si="138"/>
        <v>0</v>
      </c>
      <c r="Q751" s="1472">
        <v>1218</v>
      </c>
    </row>
    <row r="752" spans="1:17" ht="33.75">
      <c r="A752" s="1482"/>
      <c r="B752" s="1482"/>
      <c r="C752" s="1483">
        <f t="shared" si="131"/>
        <v>6</v>
      </c>
      <c r="D752" s="1492">
        <f t="shared" si="132"/>
        <v>4</v>
      </c>
      <c r="E752" s="1492">
        <f t="shared" si="133"/>
        <v>13</v>
      </c>
      <c r="F752" s="1484" t="s">
        <v>11708</v>
      </c>
      <c r="G752" s="1076" t="s">
        <v>12049</v>
      </c>
      <c r="H752" s="823" t="str">
        <f>VLOOKUP(G752,TUBULAÇÕES!A:M,2,0)</f>
        <v>SINAPI</v>
      </c>
      <c r="I752" s="700">
        <f>VLOOKUP(G752,TUBULAÇÕES!A:M,3,0)</f>
        <v>90734</v>
      </c>
      <c r="J752" s="824"/>
      <c r="K752" s="790" t="str">
        <f>(IF(H752="Saneago",VLOOKUP(I752,'SANEAGO-FEV.2016'!A:B,2,0),IF(H752="Sinapi",VLOOKUP(I752,'SINAPI-FEV.2017'!A:D,2,0),IF(H752="Cotação",VLOOKUP(I752,COTAÇÃO!A:D,2,0),IF(H752="Composição",VLOOKUP(I752,COMPOSIÇÃO!A:D,2,0))))))</f>
        <v>ASSENTAMENTO DE TUBO DE PVC PARA REDE COLETORA DE ESGOTO DE PAREDE MACIÇA, DN 150 MM, JUNTA ELÁSTICA, INSTALADO EM LOCAL COM NÍVEL BAIXO DE INTERFERÊNCIAS (NÃO INCLUI FORNECIMENTO). AF_06/2015</v>
      </c>
      <c r="L752" s="700" t="str">
        <f>(IF(H752="Saneago",VLOOKUP(I752,'SANEAGO-FEV.2016'!A:D,3,0),IF(H752="Sinapi",VLOOKUP(I752,'SINAPI-FEV.2017'!A:D,3,0),IF(H752="Cotação",VLOOKUP(I752,COTAÇÃO!A:D,3,0),IF(H752="Composição",VLOOKUP(I752,COMPOSIÇÃO!A:D,3,0))))))</f>
        <v>M</v>
      </c>
      <c r="M752" s="870">
        <f>VLOOKUP(G752,TUBULAÇÕES!A:M,13,0)</f>
        <v>47</v>
      </c>
      <c r="N752" s="399">
        <v>0</v>
      </c>
      <c r="O752" s="102">
        <f t="shared" si="137"/>
        <v>0</v>
      </c>
      <c r="P752" s="101">
        <f t="shared" si="138"/>
        <v>0</v>
      </c>
      <c r="Q752" s="1472">
        <v>47</v>
      </c>
    </row>
    <row r="753" spans="1:17" ht="33.75">
      <c r="A753" s="1482"/>
      <c r="B753" s="1482"/>
      <c r="C753" s="1483">
        <f t="shared" si="131"/>
        <v>6</v>
      </c>
      <c r="D753" s="1492">
        <f t="shared" si="132"/>
        <v>4</v>
      </c>
      <c r="E753" s="1492">
        <f t="shared" si="133"/>
        <v>13</v>
      </c>
      <c r="F753" s="1484" t="s">
        <v>11708</v>
      </c>
      <c r="G753" s="1076" t="s">
        <v>20409</v>
      </c>
      <c r="H753" s="823" t="str">
        <f>VLOOKUP(G753,TUBULAÇÕES!A:M,2,0)</f>
        <v>SINAPI</v>
      </c>
      <c r="I753" s="700">
        <f>VLOOKUP(G753,TUBULAÇÕES!A:M,3,0)</f>
        <v>91108</v>
      </c>
      <c r="J753" s="824"/>
      <c r="K753" s="790" t="str">
        <f>(IF(H753="Saneago",VLOOKUP(I753,'SANEAGO-FEV.2016'!A:B,2,0),IF(H753="Sinapi",VLOOKUP(I753,'SINAPI-FEV.2017'!A:D,2,0),IF(H753="Cotação",VLOOKUP(I753,COTAÇÃO!A:D,2,0),IF(H753="Composição",VLOOKUP(I753,COMPOSIÇÃO!A:D,2,0))))))</f>
        <v>TRANSPORTE HORIZONTAL, TUBOS DE PVC SÉRIE NORMAL - ESGOTO PREDIAL, OU REFORÇADO PARA ESGOTO OU ÁGUAS PLUVIAIS PREDIAL, COM DIÂMETRO MAIOR QUE 100 MM E MENOR OU IGUAL A 150 MM, MANUAL, 30M. AF_06/2015</v>
      </c>
      <c r="L753" s="700" t="str">
        <f>(IF(H753="Saneago",VLOOKUP(I753,'SANEAGO-FEV.2016'!A:D,3,0),IF(H753="Sinapi",VLOOKUP(I753,'SINAPI-FEV.2017'!A:D,3,0),IF(H753="Cotação",VLOOKUP(I753,COTAÇÃO!A:D,3,0),IF(H753="Composição",VLOOKUP(I753,COMPOSIÇÃO!A:D,3,0))))))</f>
        <v>M</v>
      </c>
      <c r="M753" s="870">
        <f>VLOOKUP(G753,TUBULAÇÕES!A:M,13,0)</f>
        <v>1265</v>
      </c>
      <c r="N753" s="399">
        <v>0</v>
      </c>
      <c r="O753" s="102">
        <f t="shared" si="137"/>
        <v>0</v>
      </c>
      <c r="P753" s="101">
        <f t="shared" si="138"/>
        <v>0</v>
      </c>
      <c r="Q753" s="1472">
        <v>1265</v>
      </c>
    </row>
    <row r="754" spans="1:17" ht="33.75">
      <c r="A754" s="1482"/>
      <c r="B754" s="1482"/>
      <c r="C754" s="1483">
        <f t="shared" si="131"/>
        <v>6</v>
      </c>
      <c r="D754" s="1492">
        <f t="shared" si="132"/>
        <v>4</v>
      </c>
      <c r="E754" s="1492">
        <f t="shared" si="133"/>
        <v>13</v>
      </c>
      <c r="F754" s="1484" t="s">
        <v>11708</v>
      </c>
      <c r="G754" s="1076" t="s">
        <v>12061</v>
      </c>
      <c r="H754" s="823" t="str">
        <f>VLOOKUP(G754,TUBULAÇÕES!A:M,2,0)</f>
        <v>SINAPI</v>
      </c>
      <c r="I754" s="700">
        <f>VLOOKUP(G754,TUBULAÇÕES!A:M,3,0)</f>
        <v>90735</v>
      </c>
      <c r="J754" s="824"/>
      <c r="K754" s="790" t="str">
        <f>(IF(H754="Saneago",VLOOKUP(I754,'SANEAGO-FEV.2016'!A:B,2,0),IF(H754="Sinapi",VLOOKUP(I754,'SINAPI-FEV.2017'!A:D,2,0),IF(H754="Cotação",VLOOKUP(I754,COTAÇÃO!A:D,2,0),IF(H754="Composição",VLOOKUP(I754,COMPOSIÇÃO!A:D,2,0))))))</f>
        <v>ASSENTAMENTO DE TUBO DE PVC PARA REDE COLETORA DE ESGOTO DE PAREDE MACIÇA, DN 200 MM, JUNTA ELÁSTICA, INSTALADO EM LOCAL COM NÍVEL BAIXO DE INTERFERÊNCIAS (NÃO INCLUI FORNECIMENTO). AF_06/2015</v>
      </c>
      <c r="L754" s="700" t="str">
        <f>(IF(H754="Saneago",VLOOKUP(I754,'SANEAGO-FEV.2016'!A:D,3,0),IF(H754="Sinapi",VLOOKUP(I754,'SINAPI-FEV.2017'!A:D,3,0),IF(H754="Cotação",VLOOKUP(I754,COTAÇÃO!A:D,3,0),IF(H754="Composição",VLOOKUP(I754,COMPOSIÇÃO!A:D,3,0))))))</f>
        <v>M</v>
      </c>
      <c r="M754" s="870">
        <f>VLOOKUP(G754,TUBULAÇÕES!A:M,13,0)</f>
        <v>224.8</v>
      </c>
      <c r="N754" s="399">
        <v>0</v>
      </c>
      <c r="O754" s="102">
        <f t="shared" si="137"/>
        <v>0</v>
      </c>
      <c r="P754" s="101">
        <f t="shared" si="138"/>
        <v>0</v>
      </c>
      <c r="Q754" s="1472">
        <v>224.8</v>
      </c>
    </row>
    <row r="755" spans="1:17">
      <c r="A755" s="1482"/>
      <c r="B755" s="1482"/>
      <c r="C755" s="1483">
        <f t="shared" si="131"/>
        <v>6</v>
      </c>
      <c r="D755" s="1492">
        <f t="shared" si="132"/>
        <v>4</v>
      </c>
      <c r="E755" s="1492">
        <f t="shared" si="133"/>
        <v>13</v>
      </c>
      <c r="F755" s="1484" t="s">
        <v>11708</v>
      </c>
      <c r="G755" s="1076" t="s">
        <v>20410</v>
      </c>
      <c r="H755" s="823" t="str">
        <f>VLOOKUP(G755,TUBULAÇÕES!A:M,2,0)</f>
        <v>SINAPI</v>
      </c>
      <c r="I755" s="700">
        <f>VLOOKUP(G755,TUBULAÇÕES!A:M,3,0)</f>
        <v>73590</v>
      </c>
      <c r="J755" s="824"/>
      <c r="K755" s="790" t="str">
        <f>(IF(H755="Saneago",VLOOKUP(I755,'SANEAGO-FEV.2016'!A:B,2,0),IF(H755="Sinapi",VLOOKUP(I755,'SINAPI-FEV.2017'!A:D,2,0),IF(H755="Cotação",VLOOKUP(I755,COTAÇÃO!A:D,2,0),IF(H755="Composição",VLOOKUP(I755,COMPOSIÇÃO!A:D,2,0))))))</f>
        <v>TRANSPORTE DE TUBOS DE PVC DN 200</v>
      </c>
      <c r="L755" s="700" t="str">
        <f>(IF(H755="Saneago",VLOOKUP(I755,'SANEAGO-FEV.2016'!A:D,3,0),IF(H755="Sinapi",VLOOKUP(I755,'SINAPI-FEV.2017'!A:D,3,0),IF(H755="Cotação",VLOOKUP(I755,COTAÇÃO!A:D,3,0),IF(H755="Composição",VLOOKUP(I755,COMPOSIÇÃO!A:D,3,0))))))</f>
        <v>M</v>
      </c>
      <c r="M755" s="870">
        <f>VLOOKUP(G755,TUBULAÇÕES!A:M,13,0)</f>
        <v>224.8</v>
      </c>
      <c r="N755" s="399">
        <v>0</v>
      </c>
      <c r="O755" s="102">
        <f t="shared" si="137"/>
        <v>0</v>
      </c>
      <c r="P755" s="101">
        <f t="shared" si="138"/>
        <v>0</v>
      </c>
      <c r="Q755" s="1472">
        <v>224.8</v>
      </c>
    </row>
    <row r="756" spans="1:17" ht="22.5">
      <c r="A756" s="1482"/>
      <c r="B756" s="1482"/>
      <c r="C756" s="1483">
        <f t="shared" si="131"/>
        <v>6</v>
      </c>
      <c r="D756" s="1492">
        <f t="shared" si="132"/>
        <v>4</v>
      </c>
      <c r="E756" s="1492">
        <f t="shared" si="133"/>
        <v>13</v>
      </c>
      <c r="F756" s="1484" t="s">
        <v>11708</v>
      </c>
      <c r="G756" s="1076" t="s">
        <v>12062</v>
      </c>
      <c r="H756" s="823" t="str">
        <f>VLOOKUP(G756,TUBULAÇÕES!A:M,2,0)</f>
        <v>SINAPI</v>
      </c>
      <c r="I756" s="700" t="str">
        <f>VLOOKUP(G756,TUBULAÇÕES!A:M,3,0)</f>
        <v>73888/11</v>
      </c>
      <c r="J756" s="824"/>
      <c r="K756" s="790" t="str">
        <f>(IF(H756="Saneago",VLOOKUP(I756,'SANEAGO-FEV.2016'!A:B,2,0),IF(H756="Sinapi",VLOOKUP(I756,'SINAPI-FEV.2017'!A:D,2,0),IF(H756="Cotação",VLOOKUP(I756,COTAÇÃO!A:D,2,0),IF(H756="Composição",VLOOKUP(I756,COMPOSIÇÃO!A:D,2,0))))))</f>
        <v>ASSENTAMENTO TUBO PVC COM JUNTA ELASTICA, DN 600 MM - (OU RPVC, OU PVC DEFOFO, OU PRFV) - PARA AGUA.</v>
      </c>
      <c r="L756" s="700" t="str">
        <f>(IF(H756="Saneago",VLOOKUP(I756,'SANEAGO-FEV.2016'!A:D,3,0),IF(H756="Sinapi",VLOOKUP(I756,'SINAPI-FEV.2017'!A:D,3,0),IF(H756="Cotação",VLOOKUP(I756,COTAÇÃO!A:D,3,0),IF(H756="Composição",VLOOKUP(I756,COMPOSIÇÃO!A:D,3,0))))))</f>
        <v>M</v>
      </c>
      <c r="M756" s="870">
        <f>VLOOKUP(G756,TUBULAÇÕES!A:M,13,0)</f>
        <v>280</v>
      </c>
      <c r="N756" s="399">
        <v>0</v>
      </c>
      <c r="O756" s="102">
        <f t="shared" si="137"/>
        <v>0</v>
      </c>
      <c r="P756" s="101">
        <f t="shared" si="138"/>
        <v>0</v>
      </c>
      <c r="Q756" s="1472">
        <v>280</v>
      </c>
    </row>
    <row r="757" spans="1:17">
      <c r="A757" s="1482"/>
      <c r="B757" s="1482"/>
      <c r="C757" s="1483">
        <f t="shared" si="131"/>
        <v>6</v>
      </c>
      <c r="D757" s="1492">
        <f t="shared" si="132"/>
        <v>4</v>
      </c>
      <c r="E757" s="1492">
        <f t="shared" si="133"/>
        <v>13</v>
      </c>
      <c r="F757" s="1484" t="s">
        <v>11708</v>
      </c>
      <c r="G757" s="1076" t="s">
        <v>20413</v>
      </c>
      <c r="H757" s="823" t="str">
        <f>VLOOKUP(G757,TUBULAÇÕES!A:M,2,0)</f>
        <v>SINAPI</v>
      </c>
      <c r="I757" s="700">
        <f>VLOOKUP(G757,TUBULAÇÕES!A:M,3,0)</f>
        <v>73507</v>
      </c>
      <c r="J757" s="824"/>
      <c r="K757" s="790" t="str">
        <f>(IF(H757="Saneago",VLOOKUP(I757,'SANEAGO-FEV.2016'!A:B,2,0),IF(H757="Sinapi",VLOOKUP(I757,'SINAPI-FEV.2017'!A:D,2,0),IF(H757="Cotação",VLOOKUP(I757,COTAÇÃO!A:D,2,0),IF(H757="Composição",VLOOKUP(I757,COMPOSIÇÃO!A:D,2,0))))))</f>
        <v>TRANSPORTE DE TUBOS DE PVC DN 600</v>
      </c>
      <c r="L757" s="700" t="str">
        <f>(IF(H757="Saneago",VLOOKUP(I757,'SANEAGO-FEV.2016'!A:D,3,0),IF(H757="Sinapi",VLOOKUP(I757,'SINAPI-FEV.2017'!A:D,3,0),IF(H757="Cotação",VLOOKUP(I757,COTAÇÃO!A:D,3,0),IF(H757="Composição",VLOOKUP(I757,COMPOSIÇÃO!A:D,3,0))))))</f>
        <v>M</v>
      </c>
      <c r="M757" s="870">
        <f>VLOOKUP(G757,TUBULAÇÕES!A:M,13,0)</f>
        <v>280</v>
      </c>
      <c r="N757" s="399">
        <v>0</v>
      </c>
      <c r="O757" s="102">
        <f t="shared" si="137"/>
        <v>0</v>
      </c>
      <c r="P757" s="101">
        <f t="shared" si="138"/>
        <v>0</v>
      </c>
      <c r="Q757" s="1472">
        <v>280</v>
      </c>
    </row>
    <row r="758" spans="1:17" ht="22.5">
      <c r="A758" s="1482"/>
      <c r="B758" s="1482"/>
      <c r="C758" s="1483">
        <f t="shared" si="131"/>
        <v>6</v>
      </c>
      <c r="D758" s="1492">
        <f t="shared" ref="D758:D766" si="139">D757+A758</f>
        <v>4</v>
      </c>
      <c r="E758" s="1492">
        <f t="shared" ref="E758:E766" si="140">E757+B758</f>
        <v>13</v>
      </c>
      <c r="F758" s="1484" t="s">
        <v>11708</v>
      </c>
      <c r="G758" s="1076" t="s">
        <v>12063</v>
      </c>
      <c r="H758" s="823" t="str">
        <f>VLOOKUP(G758,TUBULAÇÕES!A:M,2,0)</f>
        <v>COMPOSIÇÃO</v>
      </c>
      <c r="I758" s="700" t="str">
        <f>VLOOKUP(G758,TUBULAÇÕES!A:M,3,0)</f>
        <v>CT_ASSENT.TUBO.PRFV.DN150</v>
      </c>
      <c r="J758" s="824"/>
      <c r="K758" s="790" t="str">
        <f>(IF(H758="Saneago",VLOOKUP(I758,'SANEAGO-FEV.2016'!A:B,2,0),IF(H758="Sinapi",VLOOKUP(I758,'SINAPI-FEV.2017'!A:D,2,0),IF(H758="Cotação",VLOOKUP(I758,COTAÇÃO!A:D,2,0),IF(H758="Composição",VLOOKUP(I758,COMPOSIÇÃO!A:D,2,0))))))</f>
        <v xml:space="preserve"> ASSENTAMENTO TUBO PVC COM JUNTA ELASTICA, DN 150 MM - (OU RPVC, OU PVC DEFOFO, OU PRFV) - PARA AGUA</v>
      </c>
      <c r="L758" s="700" t="str">
        <f>(IF(H758="Saneago",VLOOKUP(I758,'SANEAGO-FEV.2016'!A:D,3,0),IF(H758="Sinapi",VLOOKUP(I758,'SINAPI-FEV.2017'!A:D,3,0),IF(H758="Cotação",VLOOKUP(I758,COTAÇÃO!A:D,3,0),IF(H758="Composição",VLOOKUP(I758,COMPOSIÇÃO!A:D,3,0))))))</f>
        <v>m</v>
      </c>
      <c r="M758" s="870">
        <f>VLOOKUP(G758,TUBULAÇÕES!A:M,13,0)</f>
        <v>572</v>
      </c>
      <c r="N758" s="399">
        <v>0</v>
      </c>
      <c r="O758" s="102">
        <f t="shared" ref="O758:O765" si="141">ROUND(IF(F758="Serviços",N758*(1+$O$7),IF(F758="Materiais",N758*(1+$O$8))),2)</f>
        <v>0</v>
      </c>
      <c r="P758" s="101">
        <f t="shared" ref="P758:P765" si="142">ROUND(M758*O758,2)</f>
        <v>0</v>
      </c>
      <c r="Q758" s="1472">
        <v>572</v>
      </c>
    </row>
    <row r="759" spans="1:17" ht="22.5">
      <c r="A759" s="1482"/>
      <c r="B759" s="1482"/>
      <c r="C759" s="1483">
        <f t="shared" si="131"/>
        <v>6</v>
      </c>
      <c r="D759" s="1492">
        <f t="shared" si="139"/>
        <v>4</v>
      </c>
      <c r="E759" s="1492">
        <f t="shared" si="140"/>
        <v>13</v>
      </c>
      <c r="F759" s="1484" t="s">
        <v>11708</v>
      </c>
      <c r="G759" s="1076" t="s">
        <v>20416</v>
      </c>
      <c r="H759" s="823" t="str">
        <f>VLOOKUP(G759,TUBULAÇÕES!A:M,2,0)</f>
        <v>COMPOSIÇÃO</v>
      </c>
      <c r="I759" s="700" t="str">
        <f>VLOOKUP(G759,TUBULAÇÕES!A:M,3,0)</f>
        <v>CT_TRANSP.TUBO.PRFV.DN150</v>
      </c>
      <c r="J759" s="824"/>
      <c r="K759" s="790" t="str">
        <f>(IF(H759="Saneago",VLOOKUP(I759,'SANEAGO-FEV.2016'!A:B,2,0),IF(H759="Sinapi",VLOOKUP(I759,'SINAPI-FEV.2017'!A:D,2,0),IF(H759="Cotação",VLOOKUP(I759,COTAÇÃO!A:D,2,0),IF(H759="Composição",VLOOKUP(I759,COMPOSIÇÃO!A:D,2,0))))))</f>
        <v>TRANSPORTE DE TUBOS DE PVC DN 150</v>
      </c>
      <c r="L759" s="700" t="str">
        <f>(IF(H759="Saneago",VLOOKUP(I759,'SANEAGO-FEV.2016'!A:D,3,0),IF(H759="Sinapi",VLOOKUP(I759,'SINAPI-FEV.2017'!A:D,3,0),IF(H759="Cotação",VLOOKUP(I759,COTAÇÃO!A:D,3,0),IF(H759="Composição",VLOOKUP(I759,COMPOSIÇÃO!A:D,3,0))))))</f>
        <v>m</v>
      </c>
      <c r="M759" s="870">
        <f>VLOOKUP(G759,TUBULAÇÕES!A:M,13,0)</f>
        <v>572</v>
      </c>
      <c r="N759" s="399">
        <v>0</v>
      </c>
      <c r="O759" s="102">
        <f t="shared" si="141"/>
        <v>0</v>
      </c>
      <c r="P759" s="101">
        <f t="shared" si="142"/>
        <v>0</v>
      </c>
      <c r="Q759" s="1472">
        <v>572</v>
      </c>
    </row>
    <row r="760" spans="1:17" ht="22.5">
      <c r="A760" s="1482"/>
      <c r="B760" s="1482"/>
      <c r="C760" s="1483">
        <f t="shared" si="131"/>
        <v>6</v>
      </c>
      <c r="D760" s="1492">
        <f t="shared" si="139"/>
        <v>4</v>
      </c>
      <c r="E760" s="1492">
        <f t="shared" si="140"/>
        <v>13</v>
      </c>
      <c r="F760" s="1484" t="s">
        <v>11708</v>
      </c>
      <c r="G760" s="1076" t="s">
        <v>12064</v>
      </c>
      <c r="H760" s="823" t="str">
        <f>VLOOKUP(G760,TUBULAÇÕES!A:M,2,0)</f>
        <v>SINAPI</v>
      </c>
      <c r="I760" s="700" t="str">
        <f>VLOOKUP(G760,TUBULAÇÕES!A:M,3,0)</f>
        <v>73888/12</v>
      </c>
      <c r="J760" s="824"/>
      <c r="K760" s="790" t="str">
        <f>(IF(H760="Saneago",VLOOKUP(I760,'SANEAGO-FEV.2016'!A:B,2,0),IF(H760="Sinapi",VLOOKUP(I760,'SINAPI-FEV.2017'!A:D,2,0),IF(H760="Cotação",VLOOKUP(I760,COTAÇÃO!A:D,2,0),IF(H760="Composição",VLOOKUP(I760,COMPOSIÇÃO!A:D,2,0))))))</f>
        <v>ASSENTAMENTO TUBO PVC COM JUNTA ELASTICA, DN 700 MM - (OU RPVC, OU PVC DEFOFO, OU PRFV) - PARA AGUA.</v>
      </c>
      <c r="L760" s="700" t="str">
        <f>(IF(H760="Saneago",VLOOKUP(I760,'SANEAGO-FEV.2016'!A:D,3,0),IF(H760="Sinapi",VLOOKUP(I760,'SINAPI-FEV.2017'!A:D,3,0),IF(H760="Cotação",VLOOKUP(I760,COTAÇÃO!A:D,3,0),IF(H760="Composição",VLOOKUP(I760,COMPOSIÇÃO!A:D,3,0))))))</f>
        <v>M</v>
      </c>
      <c r="M760" s="870">
        <f>VLOOKUP(G760,TUBULAÇÕES!A:M,13,0)</f>
        <v>317.7</v>
      </c>
      <c r="N760" s="399">
        <v>0</v>
      </c>
      <c r="O760" s="102">
        <v>0</v>
      </c>
      <c r="P760" s="101">
        <f t="shared" si="142"/>
        <v>0</v>
      </c>
      <c r="Q760" s="1472">
        <v>317.7</v>
      </c>
    </row>
    <row r="761" spans="1:17">
      <c r="A761" s="1482"/>
      <c r="B761" s="1482"/>
      <c r="C761" s="1483">
        <f t="shared" si="131"/>
        <v>6</v>
      </c>
      <c r="D761" s="1492">
        <f t="shared" si="139"/>
        <v>4</v>
      </c>
      <c r="E761" s="1492">
        <f t="shared" si="140"/>
        <v>13</v>
      </c>
      <c r="F761" s="1484" t="s">
        <v>11708</v>
      </c>
      <c r="G761" s="1076" t="s">
        <v>20414</v>
      </c>
      <c r="H761" s="823" t="str">
        <f>VLOOKUP(G761,TUBULAÇÕES!A:M,2,0)</f>
        <v>SINAPI</v>
      </c>
      <c r="I761" s="700">
        <f>VLOOKUP(G761,TUBULAÇÕES!A:M,3,0)</f>
        <v>73506</v>
      </c>
      <c r="J761" s="824"/>
      <c r="K761" s="790" t="str">
        <f>(IF(H761="Saneago",VLOOKUP(I761,'SANEAGO-FEV.2016'!A:B,2,0),IF(H761="Sinapi",VLOOKUP(I761,'SINAPI-FEV.2017'!A:D,2,0),IF(H761="Cotação",VLOOKUP(I761,COTAÇÃO!A:D,2,0),IF(H761="Composição",VLOOKUP(I761,COMPOSIÇÃO!A:D,2,0))))))</f>
        <v>TRANSPORTE DE TUBOS DE PVC DN 700</v>
      </c>
      <c r="L761" s="700" t="str">
        <f>(IF(H761="Saneago",VLOOKUP(I761,'SANEAGO-FEV.2016'!A:D,3,0),IF(H761="Sinapi",VLOOKUP(I761,'SINAPI-FEV.2017'!A:D,3,0),IF(H761="Cotação",VLOOKUP(I761,COTAÇÃO!A:D,3,0),IF(H761="Composição",VLOOKUP(I761,COMPOSIÇÃO!A:D,3,0))))))</f>
        <v>M</v>
      </c>
      <c r="M761" s="870">
        <f>VLOOKUP(G761,TUBULAÇÕES!A:M,13,0)</f>
        <v>317.7</v>
      </c>
      <c r="N761" s="399">
        <v>0</v>
      </c>
      <c r="O761" s="102">
        <f t="shared" si="141"/>
        <v>0</v>
      </c>
      <c r="P761" s="101">
        <f t="shared" si="142"/>
        <v>0</v>
      </c>
      <c r="Q761" s="1472">
        <v>317.7</v>
      </c>
    </row>
    <row r="762" spans="1:17" ht="22.5">
      <c r="A762" s="1482"/>
      <c r="B762" s="1482"/>
      <c r="C762" s="1483">
        <f t="shared" si="131"/>
        <v>6</v>
      </c>
      <c r="D762" s="1492">
        <f t="shared" si="139"/>
        <v>4</v>
      </c>
      <c r="E762" s="1492">
        <f t="shared" si="140"/>
        <v>13</v>
      </c>
      <c r="F762" s="1484" t="s">
        <v>11708</v>
      </c>
      <c r="G762" s="1076" t="s">
        <v>12065</v>
      </c>
      <c r="H762" s="823" t="str">
        <f>VLOOKUP(G762,TUBULAÇÕES!A:M,2,0)</f>
        <v>SINAPI</v>
      </c>
      <c r="I762" s="700" t="str">
        <f>VLOOKUP(G762,TUBULAÇÕES!A:M,3,0)</f>
        <v>73888/10</v>
      </c>
      <c r="J762" s="824"/>
      <c r="K762" s="790" t="str">
        <f>(IF(H762="Saneago",VLOOKUP(I762,'SANEAGO-FEV.2016'!A:B,2,0),IF(H762="Sinapi",VLOOKUP(I762,'SINAPI-FEV.2017'!A:D,2,0),IF(H762="Cotação",VLOOKUP(I762,COTAÇÃO!A:D,2,0),IF(H762="Composição",VLOOKUP(I762,COMPOSIÇÃO!A:D,2,0))))))</f>
        <v>ASSENTAMENTO TUBO PVC COM JUNTA ELASTICA, DN 500 MM - (OU RPVC, OU PVC DEFOFO, OU PRFV) - PARA AGUA.</v>
      </c>
      <c r="L762" s="700" t="str">
        <f>(IF(H762="Saneago",VLOOKUP(I762,'SANEAGO-FEV.2016'!A:D,3,0),IF(H762="Sinapi",VLOOKUP(I762,'SINAPI-FEV.2017'!A:D,3,0),IF(H762="Cotação",VLOOKUP(I762,COTAÇÃO!A:D,3,0),IF(H762="Composição",VLOOKUP(I762,COMPOSIÇÃO!A:D,3,0))))))</f>
        <v>M</v>
      </c>
      <c r="M762" s="870">
        <f>VLOOKUP(G762,TUBULAÇÕES!A:M,13,0)</f>
        <v>336.40000000000003</v>
      </c>
      <c r="N762" s="399">
        <v>0</v>
      </c>
      <c r="O762" s="102">
        <f t="shared" si="141"/>
        <v>0</v>
      </c>
      <c r="P762" s="101">
        <f t="shared" si="142"/>
        <v>0</v>
      </c>
      <c r="Q762" s="1472">
        <v>336.40000000000003</v>
      </c>
    </row>
    <row r="763" spans="1:17">
      <c r="A763" s="1482"/>
      <c r="B763" s="1482"/>
      <c r="C763" s="1483">
        <f t="shared" si="131"/>
        <v>6</v>
      </c>
      <c r="D763" s="1492">
        <f t="shared" si="139"/>
        <v>4</v>
      </c>
      <c r="E763" s="1492">
        <f t="shared" si="140"/>
        <v>13</v>
      </c>
      <c r="F763" s="1484" t="s">
        <v>11708</v>
      </c>
      <c r="G763" s="1076" t="s">
        <v>20415</v>
      </c>
      <c r="H763" s="823" t="str">
        <f>VLOOKUP(G763,TUBULAÇÕES!A:M,2,0)</f>
        <v>SINAPI</v>
      </c>
      <c r="I763" s="700">
        <f>VLOOKUP(G763,TUBULAÇÕES!A:M,3,0)</f>
        <v>73508</v>
      </c>
      <c r="J763" s="824"/>
      <c r="K763" s="790" t="str">
        <f>(IF(H763="Saneago",VLOOKUP(I763,'SANEAGO-FEV.2016'!A:B,2,0),IF(H763="Sinapi",VLOOKUP(I763,'SINAPI-FEV.2017'!A:D,2,0),IF(H763="Cotação",VLOOKUP(I763,COTAÇÃO!A:D,2,0),IF(H763="Composição",VLOOKUP(I763,COMPOSIÇÃO!A:D,2,0))))))</f>
        <v>TRANSPORTE DE TUBOS DE PVC DN 500</v>
      </c>
      <c r="L763" s="700" t="str">
        <f>(IF(H763="Saneago",VLOOKUP(I763,'SANEAGO-FEV.2016'!A:D,3,0),IF(H763="Sinapi",VLOOKUP(I763,'SINAPI-FEV.2017'!A:D,3,0),IF(H763="Cotação",VLOOKUP(I763,COTAÇÃO!A:D,3,0),IF(H763="Composição",VLOOKUP(I763,COMPOSIÇÃO!A:D,3,0))))))</f>
        <v>M</v>
      </c>
      <c r="M763" s="870">
        <f>VLOOKUP(G763,TUBULAÇÕES!A:M,13,0)</f>
        <v>336.40000000000003</v>
      </c>
      <c r="N763" s="399">
        <v>0</v>
      </c>
      <c r="O763" s="102">
        <f t="shared" si="141"/>
        <v>0</v>
      </c>
      <c r="P763" s="101">
        <f t="shared" si="142"/>
        <v>0</v>
      </c>
      <c r="Q763" s="1472">
        <v>336.40000000000003</v>
      </c>
    </row>
    <row r="764" spans="1:17" ht="22.5">
      <c r="A764" s="1482"/>
      <c r="B764" s="1482"/>
      <c r="C764" s="1483">
        <f t="shared" si="131"/>
        <v>6</v>
      </c>
      <c r="D764" s="1492">
        <f t="shared" si="139"/>
        <v>4</v>
      </c>
      <c r="E764" s="1492">
        <f t="shared" si="140"/>
        <v>13</v>
      </c>
      <c r="F764" s="1484" t="s">
        <v>11708</v>
      </c>
      <c r="G764" s="1076" t="s">
        <v>12366</v>
      </c>
      <c r="H764" s="823" t="str">
        <f>VLOOKUP(G764,TUBULAÇÕES!A:M,2,0)</f>
        <v>SINAPI</v>
      </c>
      <c r="I764" s="700" t="str">
        <f>VLOOKUP(G764,TUBULAÇÕES!A:M,3,0)</f>
        <v>73887/1</v>
      </c>
      <c r="J764" s="824"/>
      <c r="K764" s="790" t="str">
        <f>(IF(H764="Saneago",VLOOKUP(I764,'SANEAGO-FEV.2016'!A:B,2,0),IF(H764="Sinapi",VLOOKUP(I764,'SINAPI-FEV.2017'!A:D,2,0),IF(H764="Cotação",VLOOKUP(I764,COTAÇÃO!A:D,2,0),IF(H764="Composição",VLOOKUP(I764,COMPOSIÇÃO!A:D,2,0))))))</f>
        <v>ASSENTAMENTO SIMPLES DE TUBOS DE FERRO FUNDIDO (FOFO) C/ JUNTA ELASTICA -  DN 75 MM - INCLUSIVE TRANSPORTE</v>
      </c>
      <c r="L764" s="700" t="str">
        <f>(IF(H764="Saneago",VLOOKUP(I764,'SANEAGO-FEV.2016'!A:D,3,0),IF(H764="Sinapi",VLOOKUP(I764,'SINAPI-FEV.2017'!A:D,3,0),IF(H764="Cotação",VLOOKUP(I764,COTAÇÃO!A:D,3,0),IF(H764="Composição",VLOOKUP(I764,COMPOSIÇÃO!A:D,3,0))))))</f>
        <v>M</v>
      </c>
      <c r="M764" s="870">
        <f>VLOOKUP(G764,TUBULAÇÕES!A:M,13,0)</f>
        <v>155</v>
      </c>
      <c r="N764" s="399">
        <v>0</v>
      </c>
      <c r="O764" s="102">
        <f t="shared" si="141"/>
        <v>0</v>
      </c>
      <c r="P764" s="101">
        <f t="shared" si="142"/>
        <v>0</v>
      </c>
      <c r="Q764" s="1472">
        <v>155</v>
      </c>
    </row>
    <row r="765" spans="1:17">
      <c r="A765" s="1482"/>
      <c r="B765" s="1482"/>
      <c r="C765" s="1483">
        <f t="shared" si="131"/>
        <v>6</v>
      </c>
      <c r="D765" s="1492">
        <f t="shared" si="139"/>
        <v>4</v>
      </c>
      <c r="E765" s="1492">
        <f t="shared" si="140"/>
        <v>13</v>
      </c>
      <c r="F765" s="1484" t="s">
        <v>11708</v>
      </c>
      <c r="G765" s="1076" t="s">
        <v>20419</v>
      </c>
      <c r="H765" s="823" t="str">
        <f>VLOOKUP(G765,TUBULAÇÕES!A:M,2,0)</f>
        <v>SINAPI</v>
      </c>
      <c r="I765" s="700">
        <f>VLOOKUP(G765,TUBULAÇÕES!A:M,3,0)</f>
        <v>73598</v>
      </c>
      <c r="J765" s="824"/>
      <c r="K765" s="790" t="str">
        <f>(IF(H765="Saneago",VLOOKUP(I765,'SANEAGO-FEV.2016'!A:B,2,0),IF(H765="Sinapi",VLOOKUP(I765,'SINAPI-FEV.2017'!A:D,2,0),IF(H765="Cotação",VLOOKUP(I765,COTAÇÃO!A:D,2,0),IF(H765="Composição",VLOOKUP(I765,COMPOSIÇÃO!A:D,2,0))))))</f>
        <v>TRANSPORTE DE TUBOS DE FERRO DUTIL DN 75</v>
      </c>
      <c r="L765" s="700" t="str">
        <f>(IF(H765="Saneago",VLOOKUP(I765,'SANEAGO-FEV.2016'!A:D,3,0),IF(H765="Sinapi",VLOOKUP(I765,'SINAPI-FEV.2017'!A:D,3,0),IF(H765="Cotação",VLOOKUP(I765,COTAÇÃO!A:D,3,0),IF(H765="Composição",VLOOKUP(I765,COMPOSIÇÃO!A:D,3,0))))))</f>
        <v>M</v>
      </c>
      <c r="M765" s="870">
        <f>VLOOKUP(G765,TUBULAÇÕES!A:M,13,0)</f>
        <v>155</v>
      </c>
      <c r="N765" s="399">
        <v>0</v>
      </c>
      <c r="O765" s="102">
        <f t="shared" si="141"/>
        <v>0</v>
      </c>
      <c r="P765" s="101">
        <f t="shared" si="142"/>
        <v>0</v>
      </c>
      <c r="Q765" s="1472">
        <v>155</v>
      </c>
    </row>
    <row r="766" spans="1:17" ht="15.75" thickBot="1">
      <c r="A766" s="1482"/>
      <c r="B766" s="1482"/>
      <c r="C766" s="1483">
        <f t="shared" si="131"/>
        <v>6</v>
      </c>
      <c r="D766" s="1492">
        <f t="shared" si="139"/>
        <v>4</v>
      </c>
      <c r="E766" s="1492">
        <f t="shared" si="140"/>
        <v>13</v>
      </c>
      <c r="F766" s="1484" t="s">
        <v>11708</v>
      </c>
      <c r="G766" s="921"/>
      <c r="H766" s="1095"/>
      <c r="I766" s="780"/>
      <c r="J766" s="834"/>
      <c r="K766" s="780"/>
      <c r="L766" s="780"/>
      <c r="M766" s="1270"/>
      <c r="N766" s="400"/>
      <c r="O766" s="122"/>
      <c r="P766" s="123"/>
    </row>
    <row r="767" spans="1:17" ht="16.5" customHeight="1" thickTop="1" thickBot="1">
      <c r="A767" s="1482"/>
      <c r="B767" s="1482"/>
      <c r="C767" s="1483">
        <f t="shared" si="131"/>
        <v>6</v>
      </c>
      <c r="D767" s="1492">
        <f t="shared" si="132"/>
        <v>4</v>
      </c>
      <c r="E767" s="1492">
        <f t="shared" si="133"/>
        <v>13</v>
      </c>
      <c r="F767" s="1484" t="s">
        <v>11708</v>
      </c>
      <c r="G767" s="921"/>
      <c r="H767" s="1653" t="str">
        <f>"TOTAL ITEM: "&amp;J745 &amp;K745</f>
        <v>TOTAL ITEM: 6.4.13CTD E MONTAGEM DE TUBOS</v>
      </c>
      <c r="I767" s="1654"/>
      <c r="J767" s="1654"/>
      <c r="K767" s="1654"/>
      <c r="L767" s="1654"/>
      <c r="M767" s="1654"/>
      <c r="N767" s="1654"/>
      <c r="O767" s="1654"/>
      <c r="P767" s="210">
        <f>SUBTOTAL(9,P747:P765)</f>
        <v>0</v>
      </c>
    </row>
    <row r="768" spans="1:17" ht="15.75" thickTop="1">
      <c r="A768" s="1482"/>
      <c r="B768" s="1482"/>
      <c r="C768" s="1483">
        <f t="shared" si="131"/>
        <v>6</v>
      </c>
      <c r="D768" s="1492">
        <f t="shared" si="132"/>
        <v>4</v>
      </c>
      <c r="E768" s="1492">
        <f t="shared" si="133"/>
        <v>13</v>
      </c>
      <c r="F768" s="1484" t="s">
        <v>11708</v>
      </c>
      <c r="G768" s="921"/>
      <c r="H768" s="1095"/>
      <c r="I768" s="780"/>
      <c r="J768" s="834"/>
      <c r="K768" s="780"/>
      <c r="L768" s="780"/>
      <c r="M768" s="1270"/>
      <c r="N768" s="400"/>
      <c r="O768" s="122"/>
      <c r="P768" s="123"/>
    </row>
    <row r="769" spans="1:24">
      <c r="A769" s="1482"/>
      <c r="B769" s="1482">
        <v>1</v>
      </c>
      <c r="C769" s="1483">
        <f t="shared" si="131"/>
        <v>6</v>
      </c>
      <c r="D769" s="1492">
        <f t="shared" si="132"/>
        <v>4</v>
      </c>
      <c r="E769" s="1492">
        <f t="shared" si="133"/>
        <v>14</v>
      </c>
      <c r="F769" s="1484" t="s">
        <v>11708</v>
      </c>
      <c r="G769" s="921"/>
      <c r="H769" s="1514" t="s">
        <v>11703</v>
      </c>
      <c r="I769" s="1515" t="s">
        <v>64</v>
      </c>
      <c r="J769" s="1516" t="str">
        <f>CONCATENATE(C769,".",D769,".",E769)</f>
        <v>6.4.14</v>
      </c>
      <c r="K769" s="1516" t="s">
        <v>11698</v>
      </c>
      <c r="L769" s="1517" t="s">
        <v>25</v>
      </c>
      <c r="M769" s="1518" t="s">
        <v>11704</v>
      </c>
      <c r="N769" s="398" t="s">
        <v>11705</v>
      </c>
      <c r="O769" s="207" t="s">
        <v>11706</v>
      </c>
      <c r="P769" s="208" t="s">
        <v>27</v>
      </c>
      <c r="Q769" s="1472" t="s">
        <v>11704</v>
      </c>
    </row>
    <row r="770" spans="1:24">
      <c r="A770" s="1482"/>
      <c r="B770" s="1482"/>
      <c r="C770" s="1483">
        <f t="shared" si="131"/>
        <v>6</v>
      </c>
      <c r="D770" s="1492">
        <f t="shared" si="132"/>
        <v>4</v>
      </c>
      <c r="E770" s="1492">
        <f t="shared" si="133"/>
        <v>14</v>
      </c>
      <c r="F770" s="1484" t="s">
        <v>11708</v>
      </c>
      <c r="G770" s="921"/>
      <c r="H770" s="1095"/>
      <c r="I770" s="780"/>
      <c r="J770" s="834"/>
      <c r="K770" s="780"/>
      <c r="L770" s="780"/>
      <c r="M770" s="1270"/>
      <c r="N770" s="400"/>
      <c r="O770" s="122"/>
      <c r="P770" s="123"/>
    </row>
    <row r="771" spans="1:24" ht="22.5">
      <c r="A771" s="1482"/>
      <c r="B771" s="1482"/>
      <c r="C771" s="1483">
        <f t="shared" ref="C771:C843" si="143">C770</f>
        <v>6</v>
      </c>
      <c r="D771" s="1492">
        <f t="shared" si="132"/>
        <v>4</v>
      </c>
      <c r="E771" s="1492">
        <f t="shared" si="133"/>
        <v>14</v>
      </c>
      <c r="F771" s="1484" t="s">
        <v>11708</v>
      </c>
      <c r="G771" s="968" t="s">
        <v>12066</v>
      </c>
      <c r="H771" s="823" t="str">
        <f>VLOOKUP(G771,TUBULAÇÕES!A:M,2,0)</f>
        <v>SANEAGO</v>
      </c>
      <c r="I771" s="700">
        <f>VLOOKUP(G771,TUBULAÇÕES!A:M,3,0)</f>
        <v>1611</v>
      </c>
      <c r="J771" s="824"/>
      <c r="K771" s="790" t="str">
        <f>(IF(H771="Saneago",VLOOKUP(I771,'SANEAGO-FEV.2016'!A:B,2,0),IF(H771="Sinapi",VLOOKUP(I771,'SINAPI-FEV.2017'!A:D,2,0),IF(H771="Cotação",VLOOKUP(I771,COTAÇÃO!A:D,2,0),IF(H771="Composição",VLOOKUP(I771,COMPOSIÇÃO!A:D,2,0))))))</f>
        <v>POÇO DE VISITA  EM ANÉIS DE CONCRETO DIÂMETROS 60 CM (CHAMINÉ) E 90 CM (BALÃO), INCLUINDO ANEL TAMPÃO DE CONCRETO, PROFUNDIDADE = 1,0 M</v>
      </c>
      <c r="L771" s="700" t="str">
        <f>(IF(H771="Saneago",VLOOKUP(I771,'SANEAGO-FEV.2016'!A:D,3,0),IF(H771="Sinapi",VLOOKUP(I771,'SINAPI-FEV.2017'!A:D,3,0),IF(H771="Cotação",VLOOKUP(I771,COTAÇÃO!A:D,3,0),IF(H771="Composição",VLOOKUP(I771,COMPOSIÇÃO!A:D,3,0))))))</f>
        <v>UN</v>
      </c>
      <c r="M771" s="870">
        <f>VLOOKUP(G771,TUBULAÇÕES!A:M,13,0)</f>
        <v>3</v>
      </c>
      <c r="N771" s="399">
        <v>0</v>
      </c>
      <c r="O771" s="102">
        <f t="shared" ref="O771:O776" si="144">ROUND(IF(F771="Serviços",N771*(1+$O$7),IF(F771="Materiais",N771*(1+$O$8))),2)</f>
        <v>0</v>
      </c>
      <c r="P771" s="101">
        <f t="shared" ref="P771:P776" si="145">ROUND(M771*O771,2)</f>
        <v>0</v>
      </c>
      <c r="Q771" s="1472">
        <v>3</v>
      </c>
    </row>
    <row r="772" spans="1:24" ht="22.5">
      <c r="A772" s="1482"/>
      <c r="B772" s="1482"/>
      <c r="C772" s="1483">
        <f t="shared" si="143"/>
        <v>6</v>
      </c>
      <c r="D772" s="1492">
        <f t="shared" ref="D772:D844" si="146">D771+A772</f>
        <v>4</v>
      </c>
      <c r="E772" s="1492">
        <f t="shared" ref="E772:E844" si="147">E771+B772</f>
        <v>14</v>
      </c>
      <c r="F772" s="1484" t="s">
        <v>11708</v>
      </c>
      <c r="G772" s="968" t="s">
        <v>12067</v>
      </c>
      <c r="H772" s="823" t="str">
        <f>VLOOKUP(G772,TUBULAÇÕES!A:M,2,0)</f>
        <v>SANEAGO</v>
      </c>
      <c r="I772" s="700">
        <f>VLOOKUP(G772,TUBULAÇÕES!A:M,3,0)</f>
        <v>1737</v>
      </c>
      <c r="J772" s="824"/>
      <c r="K772" s="790" t="str">
        <f>(IF(H772="Saneago",VLOOKUP(I772,'SANEAGO-FEV.2016'!A:B,2,0),IF(H772="Sinapi",VLOOKUP(I772,'SINAPI-FEV.2017'!A:D,2,0),IF(H772="Cotação",VLOOKUP(I772,COTAÇÃO!A:D,2,0),IF(H772="Composição",VLOOKUP(I772,COMPOSIÇÃO!A:D,2,0))))))</f>
        <v>POÇO DE VISITA  EM ANÉIS DE CONCRETO DIÂMETROS 60 CM (CHAMINÉ) E 90 CM (BALÃO), INCLUINDO ANEL TAMPÃO DE CONCRETO, PROFUNDIDADE = 1,5 M</v>
      </c>
      <c r="L772" s="700" t="str">
        <f>(IF(H772="Saneago",VLOOKUP(I772,'SANEAGO-FEV.2016'!A:D,3,0),IF(H772="Sinapi",VLOOKUP(I772,'SINAPI-FEV.2017'!A:D,3,0),IF(H772="Cotação",VLOOKUP(I772,COTAÇÃO!A:D,3,0),IF(H772="Composição",VLOOKUP(I772,COMPOSIÇÃO!A:D,3,0))))))</f>
        <v>UN</v>
      </c>
      <c r="M772" s="870">
        <f>VLOOKUP(G772,TUBULAÇÕES!A:M,13,0)</f>
        <v>3</v>
      </c>
      <c r="N772" s="399">
        <v>0</v>
      </c>
      <c r="O772" s="102">
        <f t="shared" si="144"/>
        <v>0</v>
      </c>
      <c r="P772" s="101">
        <f t="shared" si="145"/>
        <v>0</v>
      </c>
      <c r="Q772" s="1472">
        <v>3</v>
      </c>
    </row>
    <row r="773" spans="1:24" ht="22.5">
      <c r="A773" s="1482"/>
      <c r="B773" s="1482"/>
      <c r="C773" s="1483">
        <f t="shared" si="143"/>
        <v>6</v>
      </c>
      <c r="D773" s="1492">
        <f t="shared" si="146"/>
        <v>4</v>
      </c>
      <c r="E773" s="1492">
        <f t="shared" si="147"/>
        <v>14</v>
      </c>
      <c r="F773" s="1484" t="s">
        <v>11708</v>
      </c>
      <c r="G773" s="968" t="s">
        <v>12050</v>
      </c>
      <c r="H773" s="823" t="str">
        <f>VLOOKUP(G773,TUBULAÇÕES!A:M,2,0)</f>
        <v>SANEAGO</v>
      </c>
      <c r="I773" s="700">
        <f>VLOOKUP(G773,TUBULAÇÕES!A:M,3,0)</f>
        <v>1612</v>
      </c>
      <c r="J773" s="824"/>
      <c r="K773" s="790" t="str">
        <f>(IF(H773="Saneago",VLOOKUP(I773,'SANEAGO-FEV.2016'!A:B,2,0),IF(H773="Sinapi",VLOOKUP(I773,'SINAPI-FEV.2017'!A:D,2,0),IF(H773="Cotação",VLOOKUP(I773,COTAÇÃO!A:D,2,0),IF(H773="Composição",VLOOKUP(I773,COMPOSIÇÃO!A:D,2,0))))))</f>
        <v>POÇO DE VISITA  EM ANÉIS DE CONCRETO DIÂMETROS 60 CM (CHAMINÉ) E 90 CM (BALÃO), INCLUINDO ANEL TAMPÃO DE CONCRETO, PROFUNDIDADE = 2,0 M</v>
      </c>
      <c r="L773" s="700" t="str">
        <f>(IF(H773="Saneago",VLOOKUP(I773,'SANEAGO-FEV.2016'!A:D,3,0),IF(H773="Sinapi",VLOOKUP(I773,'SINAPI-FEV.2017'!A:D,3,0),IF(H773="Cotação",VLOOKUP(I773,COTAÇÃO!A:D,3,0),IF(H773="Composição",VLOOKUP(I773,COMPOSIÇÃO!A:D,3,0))))))</f>
        <v>UN</v>
      </c>
      <c r="M773" s="870">
        <f>VLOOKUP(G773,TUBULAÇÕES!A:M,13,0)</f>
        <v>4</v>
      </c>
      <c r="N773" s="399">
        <v>0</v>
      </c>
      <c r="O773" s="102">
        <f t="shared" si="144"/>
        <v>0</v>
      </c>
      <c r="P773" s="101">
        <f t="shared" si="145"/>
        <v>0</v>
      </c>
      <c r="Q773" s="1472">
        <v>4</v>
      </c>
    </row>
    <row r="774" spans="1:24" ht="22.5">
      <c r="A774" s="1482"/>
      <c r="B774" s="1482"/>
      <c r="C774" s="1483">
        <f t="shared" si="143"/>
        <v>6</v>
      </c>
      <c r="D774" s="1492">
        <f t="shared" si="146"/>
        <v>4</v>
      </c>
      <c r="E774" s="1492">
        <f t="shared" si="147"/>
        <v>14</v>
      </c>
      <c r="F774" s="1484" t="s">
        <v>11708</v>
      </c>
      <c r="G774" s="968" t="s">
        <v>12052</v>
      </c>
      <c r="H774" s="823" t="str">
        <f>VLOOKUP(G774,TUBULAÇÕES!A:M,2,0)</f>
        <v>SANEAGO</v>
      </c>
      <c r="I774" s="700">
        <f>VLOOKUP(G774,TUBULAÇÕES!A:M,3,0)</f>
        <v>1613</v>
      </c>
      <c r="J774" s="824"/>
      <c r="K774" s="790" t="str">
        <f>(IF(H774="Saneago",VLOOKUP(I774,'SANEAGO-FEV.2016'!A:B,2,0),IF(H774="Sinapi",VLOOKUP(I774,'SINAPI-FEV.2017'!A:D,2,0),IF(H774="Cotação",VLOOKUP(I774,COTAÇÃO!A:D,2,0),IF(H774="Composição",VLOOKUP(I774,COMPOSIÇÃO!A:D,2,0))))))</f>
        <v>POÇO DE VISITA  EM ANÉIS DE CONCRETO DIÂMETROS 60 CM (CHAMINÉ) E 90 CM (BALÃO), INCLUINDO ANEL TAMPÃO DE CONCRETO, PROFUNDIDADE = 2,5 M</v>
      </c>
      <c r="L774" s="700" t="str">
        <f>(IF(H774="Saneago",VLOOKUP(I774,'SANEAGO-FEV.2016'!A:D,3,0),IF(H774="Sinapi",VLOOKUP(I774,'SINAPI-FEV.2017'!A:D,3,0),IF(H774="Cotação",VLOOKUP(I774,COTAÇÃO!A:D,3,0),IF(H774="Composição",VLOOKUP(I774,COMPOSIÇÃO!A:D,3,0))))))</f>
        <v>UN</v>
      </c>
      <c r="M774" s="870">
        <f>VLOOKUP(G774,TUBULAÇÕES!A:M,13,0)</f>
        <v>1</v>
      </c>
      <c r="N774" s="399">
        <v>0</v>
      </c>
      <c r="O774" s="102">
        <f t="shared" si="144"/>
        <v>0</v>
      </c>
      <c r="P774" s="101">
        <f t="shared" si="145"/>
        <v>0</v>
      </c>
      <c r="Q774" s="1472">
        <v>1</v>
      </c>
    </row>
    <row r="775" spans="1:24" ht="22.5">
      <c r="A775" s="1482"/>
      <c r="B775" s="1482"/>
      <c r="C775" s="1483">
        <f t="shared" si="143"/>
        <v>6</v>
      </c>
      <c r="D775" s="1492">
        <f t="shared" si="146"/>
        <v>4</v>
      </c>
      <c r="E775" s="1492">
        <f t="shared" si="147"/>
        <v>14</v>
      </c>
      <c r="F775" s="1484" t="s">
        <v>11708</v>
      </c>
      <c r="G775" s="968" t="s">
        <v>12051</v>
      </c>
      <c r="H775" s="823" t="str">
        <f>VLOOKUP(G775,TUBULAÇÕES!A:M,2,0)</f>
        <v>SANEAGO</v>
      </c>
      <c r="I775" s="700">
        <f>VLOOKUP(G775,TUBULAÇÕES!A:M,3,0)</f>
        <v>1614</v>
      </c>
      <c r="J775" s="824"/>
      <c r="K775" s="790" t="str">
        <f>(IF(H775="Saneago",VLOOKUP(I775,'SANEAGO-FEV.2016'!A:B,2,0),IF(H775="Sinapi",VLOOKUP(I775,'SINAPI-FEV.2017'!A:D,2,0),IF(H775="Cotação",VLOOKUP(I775,COTAÇÃO!A:D,2,0),IF(H775="Composição",VLOOKUP(I775,COMPOSIÇÃO!A:D,2,0))))))</f>
        <v>POÇO DE VISITA  EM ANÉIS DE CONCRETO DIÂMETROS 60 CM (CHAMINÉ) E 90 CM (BALÃO), INCLUINDO ANEL TAMPÃO DE CONCRETO, PROFUNDIDADE = 3,0 M</v>
      </c>
      <c r="L775" s="700" t="str">
        <f>(IF(H775="Saneago",VLOOKUP(I775,'SANEAGO-FEV.2016'!A:D,3,0),IF(H775="Sinapi",VLOOKUP(I775,'SINAPI-FEV.2017'!A:D,3,0),IF(H775="Cotação",VLOOKUP(I775,COTAÇÃO!A:D,3,0),IF(H775="Composição",VLOOKUP(I775,COMPOSIÇÃO!A:D,3,0))))))</f>
        <v>UN</v>
      </c>
      <c r="M775" s="870">
        <f>VLOOKUP(G775,TUBULAÇÕES!A:M,13,0)</f>
        <v>1</v>
      </c>
      <c r="N775" s="399">
        <v>0</v>
      </c>
      <c r="O775" s="102">
        <f t="shared" si="144"/>
        <v>0</v>
      </c>
      <c r="P775" s="101">
        <f t="shared" si="145"/>
        <v>0</v>
      </c>
      <c r="Q775" s="1472">
        <v>1</v>
      </c>
    </row>
    <row r="776" spans="1:24" ht="22.5">
      <c r="A776" s="1482"/>
      <c r="B776" s="1482"/>
      <c r="C776" s="1483">
        <f t="shared" si="143"/>
        <v>6</v>
      </c>
      <c r="D776" s="1492">
        <f t="shared" si="146"/>
        <v>4</v>
      </c>
      <c r="E776" s="1492">
        <f t="shared" si="147"/>
        <v>14</v>
      </c>
      <c r="F776" s="1484" t="s">
        <v>11708</v>
      </c>
      <c r="G776" s="968" t="s">
        <v>12068</v>
      </c>
      <c r="H776" s="823" t="str">
        <f>VLOOKUP(G776,TUBULAÇÕES!A:M,2,0)</f>
        <v>SANEAGO</v>
      </c>
      <c r="I776" s="700">
        <f>VLOOKUP(G776,TUBULAÇÕES!A:M,3,0)</f>
        <v>1615</v>
      </c>
      <c r="J776" s="824"/>
      <c r="K776" s="790" t="str">
        <f>(IF(H776="Saneago",VLOOKUP(I776,'SANEAGO-FEV.2016'!A:B,2,0),IF(H776="Sinapi",VLOOKUP(I776,'SINAPI-FEV.2017'!A:D,2,0),IF(H776="Cotação",VLOOKUP(I776,COTAÇÃO!A:D,2,0),IF(H776="Composição",VLOOKUP(I776,COMPOSIÇÃO!A:D,2,0))))))</f>
        <v>POÇO DE VISITA  EM ANÉIS DE CONCRETO DIÂMETROS 60 CM (CHAMINÉ) E 90 CM (BALÃO), INCLUINDO ANEL TAMPÃO DE CONCRETO, PROFUNDIDADE = 3,5 M</v>
      </c>
      <c r="L776" s="700" t="str">
        <f>(IF(H776="Saneago",VLOOKUP(I776,'SANEAGO-FEV.2016'!A:D,3,0),IF(H776="Sinapi",VLOOKUP(I776,'SINAPI-FEV.2017'!A:D,3,0),IF(H776="Cotação",VLOOKUP(I776,COTAÇÃO!A:D,3,0),IF(H776="Composição",VLOOKUP(I776,COMPOSIÇÃO!A:D,3,0))))))</f>
        <v>UN</v>
      </c>
      <c r="M776" s="870">
        <f>VLOOKUP(G776,TUBULAÇÕES!A:M,13,0)</f>
        <v>1</v>
      </c>
      <c r="N776" s="399">
        <v>0</v>
      </c>
      <c r="O776" s="102">
        <f t="shared" si="144"/>
        <v>0</v>
      </c>
      <c r="P776" s="101">
        <f t="shared" si="145"/>
        <v>0</v>
      </c>
      <c r="Q776" s="1472">
        <v>1</v>
      </c>
    </row>
    <row r="777" spans="1:24" ht="15.75" thickBot="1">
      <c r="A777" s="1482"/>
      <c r="B777" s="1482"/>
      <c r="C777" s="1483">
        <f t="shared" si="143"/>
        <v>6</v>
      </c>
      <c r="D777" s="1492">
        <f t="shared" si="146"/>
        <v>4</v>
      </c>
      <c r="E777" s="1492">
        <f t="shared" si="147"/>
        <v>14</v>
      </c>
      <c r="F777" s="1484" t="s">
        <v>11708</v>
      </c>
      <c r="G777" s="921"/>
      <c r="H777" s="1095"/>
      <c r="I777" s="780"/>
      <c r="J777" s="834"/>
      <c r="K777" s="780"/>
      <c r="L777" s="780"/>
      <c r="M777" s="1270"/>
      <c r="N777" s="400"/>
      <c r="O777" s="122"/>
      <c r="P777" s="123"/>
    </row>
    <row r="778" spans="1:24" ht="16.5" customHeight="1" thickTop="1" thickBot="1">
      <c r="A778" s="1482"/>
      <c r="B778" s="1482"/>
      <c r="C778" s="1483">
        <f t="shared" si="143"/>
        <v>6</v>
      </c>
      <c r="D778" s="1492">
        <f t="shared" si="146"/>
        <v>4</v>
      </c>
      <c r="E778" s="1492">
        <f t="shared" si="147"/>
        <v>14</v>
      </c>
      <c r="F778" s="1484" t="s">
        <v>11708</v>
      </c>
      <c r="G778" s="921"/>
      <c r="H778" s="1653" t="str">
        <f>"TOTAL ITEM: "&amp;J769 &amp;K769</f>
        <v>TOTAL ITEM: 6.4.14POÇO DE VISITA</v>
      </c>
      <c r="I778" s="1654"/>
      <c r="J778" s="1654"/>
      <c r="K778" s="1654"/>
      <c r="L778" s="1654"/>
      <c r="M778" s="1654"/>
      <c r="N778" s="1654"/>
      <c r="O778" s="1654"/>
      <c r="P778" s="210">
        <f>SUBTOTAL(9,P771:P776)</f>
        <v>0</v>
      </c>
    </row>
    <row r="779" spans="1:24" ht="16.5" thickTop="1" thickBot="1">
      <c r="A779" s="1482"/>
      <c r="B779" s="1482"/>
      <c r="C779" s="1483">
        <f t="shared" si="143"/>
        <v>6</v>
      </c>
      <c r="D779" s="1492">
        <f t="shared" si="146"/>
        <v>4</v>
      </c>
      <c r="E779" s="1492">
        <f t="shared" si="147"/>
        <v>14</v>
      </c>
      <c r="F779" s="1484" t="s">
        <v>11708</v>
      </c>
      <c r="G779" s="921"/>
      <c r="H779" s="1095"/>
      <c r="I779" s="780"/>
      <c r="J779" s="834"/>
      <c r="K779" s="780"/>
      <c r="L779" s="780"/>
      <c r="M779" s="1270"/>
      <c r="N779" s="400"/>
      <c r="O779" s="122"/>
      <c r="P779" s="123"/>
    </row>
    <row r="780" spans="1:24" s="863" customFormat="1" ht="14.25" customHeight="1" thickTop="1" thickBot="1">
      <c r="A780" s="1482">
        <v>1</v>
      </c>
      <c r="B780" s="1482"/>
      <c r="C780" s="1483">
        <f t="shared" si="143"/>
        <v>6</v>
      </c>
      <c r="D780" s="1492">
        <f t="shared" si="146"/>
        <v>5</v>
      </c>
      <c r="E780" s="1492">
        <v>0</v>
      </c>
      <c r="F780" s="1484" t="s">
        <v>11708</v>
      </c>
      <c r="G780" s="862"/>
      <c r="H780" s="1510" t="str">
        <f>CONCATENATE(C780,".",D780)</f>
        <v>6.5</v>
      </c>
      <c r="I780" s="1644" t="s">
        <v>14336</v>
      </c>
      <c r="J780" s="1644"/>
      <c r="K780" s="1644"/>
      <c r="L780" s="1644"/>
      <c r="M780" s="1644"/>
      <c r="N780" s="1644"/>
      <c r="O780" s="99" t="s">
        <v>11702</v>
      </c>
      <c r="P780" s="100">
        <f>SUBTOTAL(9,P784:P879)</f>
        <v>0</v>
      </c>
      <c r="Q780" s="1507"/>
      <c r="R780" s="1525"/>
      <c r="S780" s="1504"/>
      <c r="V780" s="1487"/>
      <c r="W780" s="1325"/>
      <c r="X780" s="1325"/>
    </row>
    <row r="781" spans="1:24" s="863" customFormat="1" ht="13.5" thickTop="1">
      <c r="A781" s="1482"/>
      <c r="B781" s="1482"/>
      <c r="C781" s="1483">
        <f t="shared" si="143"/>
        <v>6</v>
      </c>
      <c r="D781" s="1492">
        <f t="shared" si="146"/>
        <v>5</v>
      </c>
      <c r="E781" s="1492">
        <f t="shared" si="147"/>
        <v>0</v>
      </c>
      <c r="F781" s="1484" t="s">
        <v>11708</v>
      </c>
      <c r="G781" s="862"/>
      <c r="H781" s="789"/>
      <c r="I781" s="915"/>
      <c r="J781" s="1022"/>
      <c r="K781" s="915"/>
      <c r="L781" s="816"/>
      <c r="M781" s="874"/>
      <c r="N781" s="394"/>
      <c r="O781" s="98"/>
      <c r="P781" s="95"/>
      <c r="Q781" s="1507"/>
      <c r="R781" s="1525"/>
      <c r="S781" s="1504"/>
      <c r="V781" s="1325"/>
      <c r="W781" s="1325"/>
      <c r="X781" s="1325"/>
    </row>
    <row r="782" spans="1:24" s="863" customFormat="1" ht="12.75">
      <c r="A782" s="1482"/>
      <c r="B782" s="1482">
        <v>1</v>
      </c>
      <c r="C782" s="1483">
        <f t="shared" si="143"/>
        <v>6</v>
      </c>
      <c r="D782" s="1492">
        <f t="shared" si="146"/>
        <v>5</v>
      </c>
      <c r="E782" s="1492">
        <f t="shared" si="147"/>
        <v>1</v>
      </c>
      <c r="F782" s="1484" t="s">
        <v>11708</v>
      </c>
      <c r="G782" s="862"/>
      <c r="H782" s="1514" t="s">
        <v>11703</v>
      </c>
      <c r="I782" s="1515" t="s">
        <v>64</v>
      </c>
      <c r="J782" s="1516" t="str">
        <f>CONCATENATE(C782,".",D782,".",E782)</f>
        <v>6.5.1</v>
      </c>
      <c r="K782" s="1516" t="s">
        <v>11709</v>
      </c>
      <c r="L782" s="1517" t="s">
        <v>25</v>
      </c>
      <c r="M782" s="1518" t="s">
        <v>11704</v>
      </c>
      <c r="N782" s="398" t="s">
        <v>11705</v>
      </c>
      <c r="O782" s="207" t="s">
        <v>11706</v>
      </c>
      <c r="P782" s="208" t="s">
        <v>27</v>
      </c>
      <c r="Q782" s="1507" t="s">
        <v>11704</v>
      </c>
      <c r="R782" s="1525"/>
      <c r="S782" s="1504"/>
      <c r="V782" s="1487"/>
      <c r="W782" s="1325"/>
      <c r="X782" s="1325"/>
    </row>
    <row r="783" spans="1:24" s="863" customFormat="1" ht="12.75">
      <c r="A783" s="1482"/>
      <c r="B783" s="1482"/>
      <c r="C783" s="1483">
        <f t="shared" si="143"/>
        <v>6</v>
      </c>
      <c r="D783" s="1492">
        <f>D782+A783</f>
        <v>5</v>
      </c>
      <c r="E783" s="1492">
        <f>E782+B783</f>
        <v>1</v>
      </c>
      <c r="F783" s="1484" t="s">
        <v>11708</v>
      </c>
      <c r="G783" s="862"/>
      <c r="H783" s="1547"/>
      <c r="I783" s="1548"/>
      <c r="J783" s="1549"/>
      <c r="K783" s="1549"/>
      <c r="L783" s="1550"/>
      <c r="M783" s="1551"/>
      <c r="N783" s="593"/>
      <c r="O783" s="594"/>
      <c r="P783" s="595"/>
      <c r="Q783" s="1507"/>
      <c r="R783" s="1525"/>
      <c r="S783" s="1504"/>
      <c r="V783" s="1487"/>
      <c r="W783" s="1325"/>
      <c r="X783" s="1325"/>
    </row>
    <row r="784" spans="1:24" s="863" customFormat="1" ht="22.5">
      <c r="A784" s="1482"/>
      <c r="B784" s="1482"/>
      <c r="C784" s="1483">
        <f>C782</f>
        <v>6</v>
      </c>
      <c r="D784" s="1492">
        <f>D782+A784</f>
        <v>5</v>
      </c>
      <c r="E784" s="1492">
        <f>E782+B784</f>
        <v>1</v>
      </c>
      <c r="F784" s="1484" t="s">
        <v>11708</v>
      </c>
      <c r="G784" s="862" t="s">
        <v>14335</v>
      </c>
      <c r="H784" s="823" t="str">
        <f>VLOOKUP(G784,CAIXAS!A:M,2,0)</f>
        <v>SINAPI</v>
      </c>
      <c r="I784" s="700" t="str">
        <f>VLOOKUP(G784,CAIXAS!A:M,3,0)</f>
        <v>73822/2</v>
      </c>
      <c r="J784" s="824"/>
      <c r="K784" s="790" t="str">
        <f>(IF(H784="Saneago",VLOOKUP(I784,'SANEAGO-FEV.2016'!A:B,2,0),IF(H784="Sinapi",VLOOKUP(I784,'SINAPI-FEV.2017'!A:D,2,0),IF(H784="Cotação",VLOOKUP(I784,COTAÇÃO!A:D,2,0),IF(H784="Composição",VLOOKUP(I784,COMPOSIÇÃO!A:D,2,0))))))</f>
        <v>LIMPEZA MECANIZADA DE TERRENO COM REMOCAO DE CAMADA VEGETAL, UTILIZANDO MOTONIVELADORA</v>
      </c>
      <c r="L784" s="700" t="str">
        <f>(IF(H784="Saneago",VLOOKUP(I784,'SANEAGO-FEV.2016'!A:D,3,0),IF(H784="Sinapi",VLOOKUP(I784,'SINAPI-FEV.2017'!A:D,3,0),IF(H784="Cotação",VLOOKUP(I784,COTAÇÃO!A:D,3,0),IF(H784="Composição",VLOOKUP(I784,COMPOSIÇÃO!A:D,3,0))))))</f>
        <v>M2</v>
      </c>
      <c r="M784" s="870">
        <f>ROUND(VLOOKUP(G784,CAIXAS!A:M,13,0),2)</f>
        <v>149.91</v>
      </c>
      <c r="N784" s="399">
        <v>0</v>
      </c>
      <c r="O784" s="102">
        <f>ROUND(IF(F784="Serviços",N784*(1+$O$7),IF(F784="Materiais",N784*(1+$O$8))),2)</f>
        <v>0</v>
      </c>
      <c r="P784" s="101">
        <f>ROUND(M784*O784,2)</f>
        <v>0</v>
      </c>
      <c r="Q784" s="1507">
        <v>149.91</v>
      </c>
      <c r="R784" s="1525"/>
      <c r="S784" s="1504"/>
      <c r="V784" s="1325"/>
      <c r="W784" s="1325"/>
      <c r="X784" s="1325"/>
    </row>
    <row r="785" spans="1:24" s="863" customFormat="1" ht="22.5">
      <c r="A785" s="1482"/>
      <c r="B785" s="1482"/>
      <c r="C785" s="1483">
        <f t="shared" si="143"/>
        <v>6</v>
      </c>
      <c r="D785" s="1492">
        <f t="shared" si="146"/>
        <v>5</v>
      </c>
      <c r="E785" s="1492">
        <f t="shared" si="147"/>
        <v>1</v>
      </c>
      <c r="F785" s="1484" t="s">
        <v>11708</v>
      </c>
      <c r="G785" s="921" t="s">
        <v>11844</v>
      </c>
      <c r="H785" s="823" t="str">
        <f>VLOOKUP(G785,CAIXAS!A:M,2,0)</f>
        <v>SINAPI</v>
      </c>
      <c r="I785" s="700" t="str">
        <f>VLOOKUP(G785,CAIXAS!A:M,3,0)</f>
        <v>73992/1</v>
      </c>
      <c r="J785" s="824"/>
      <c r="K785" s="790" t="str">
        <f>(IF(H785="Saneago",VLOOKUP(I785,'SANEAGO-FEV.2016'!A:B,2,0),IF(H785="Sinapi",VLOOKUP(I785,'SINAPI-FEV.2017'!A:D,2,0),IF(H785="Cotação",VLOOKUP(I785,COTAÇÃO!A:D,2,0),IF(H785="Composição",VLOOKUP(I785,COMPOSIÇÃO!A:D,2,0))))))</f>
        <v>LOCACAO CONVENCIONAL DE OBRA, ATRAVÉS DE GABARITO DE TABUAS CORRIDAS PONTALETADAS A CADA 1,50M, SEM REAPROVEITAMENTO</v>
      </c>
      <c r="L785" s="700" t="str">
        <f>(IF(H785="Saneago",VLOOKUP(I785,'SANEAGO-FEV.2016'!A:D,3,0),IF(H785="Sinapi",VLOOKUP(I785,'SINAPI-FEV.2017'!A:D,3,0),IF(H785="Cotação",VLOOKUP(I785,COTAÇÃO!A:D,3,0),IF(H785="Composição",VLOOKUP(I785,COMPOSIÇÃO!A:D,3,0))))))</f>
        <v>M2</v>
      </c>
      <c r="M785" s="870">
        <f>ROUND(VLOOKUP(G785,CAIXAS!A:M,13,0),2)</f>
        <v>59.6</v>
      </c>
      <c r="N785" s="399">
        <v>0</v>
      </c>
      <c r="O785" s="102">
        <f>ROUND(IF(F785="Serviços",N785*(1+$O$7),IF(F785="Materiais",N785*(1+$O$8))),2)</f>
        <v>0</v>
      </c>
      <c r="P785" s="101">
        <f>ROUND(M785*O785,2)</f>
        <v>0</v>
      </c>
      <c r="Q785" s="1507">
        <v>59.6</v>
      </c>
      <c r="R785" s="1525"/>
      <c r="S785" s="1504"/>
      <c r="V785" s="1325"/>
      <c r="W785" s="1325"/>
      <c r="X785" s="1325"/>
    </row>
    <row r="786" spans="1:24" s="863" customFormat="1" ht="13.5" thickBot="1">
      <c r="A786" s="1482"/>
      <c r="B786" s="1482"/>
      <c r="C786" s="1483">
        <f t="shared" si="143"/>
        <v>6</v>
      </c>
      <c r="D786" s="1492">
        <f t="shared" si="146"/>
        <v>5</v>
      </c>
      <c r="E786" s="1492">
        <f t="shared" si="147"/>
        <v>1</v>
      </c>
      <c r="F786" s="1484" t="s">
        <v>11708</v>
      </c>
      <c r="G786" s="1522"/>
      <c r="H786" s="826"/>
      <c r="I786" s="790"/>
      <c r="J786" s="824"/>
      <c r="K786" s="790"/>
      <c r="L786" s="700"/>
      <c r="M786" s="870"/>
      <c r="N786" s="399"/>
      <c r="O786" s="209"/>
      <c r="P786" s="101"/>
      <c r="Q786" s="1507"/>
      <c r="R786" s="1525"/>
      <c r="S786" s="1504"/>
      <c r="V786" s="1325"/>
      <c r="W786" s="1325"/>
      <c r="X786" s="1325"/>
    </row>
    <row r="787" spans="1:24" s="863" customFormat="1" ht="14.25" customHeight="1" thickTop="1" thickBot="1">
      <c r="A787" s="1482"/>
      <c r="B787" s="1482"/>
      <c r="C787" s="1483">
        <f t="shared" si="143"/>
        <v>6</v>
      </c>
      <c r="D787" s="1492">
        <f t="shared" si="146"/>
        <v>5</v>
      </c>
      <c r="E787" s="1492">
        <f t="shared" si="147"/>
        <v>1</v>
      </c>
      <c r="F787" s="1484" t="s">
        <v>11708</v>
      </c>
      <c r="G787" s="862"/>
      <c r="H787" s="1653" t="str">
        <f>"TOTAL ITEM: "&amp;J782 &amp;K782</f>
        <v>TOTAL ITEM: 6.5.1 SERVIÇOS PRELIMINARES</v>
      </c>
      <c r="I787" s="1654"/>
      <c r="J787" s="1654"/>
      <c r="K787" s="1654"/>
      <c r="L787" s="1654"/>
      <c r="M787" s="1654"/>
      <c r="N787" s="1654"/>
      <c r="O787" s="1654"/>
      <c r="P787" s="210">
        <f>SUBTOTAL(9,P784:P785)</f>
        <v>0</v>
      </c>
      <c r="Q787" s="1507"/>
      <c r="R787" s="1525"/>
      <c r="S787" s="1504"/>
      <c r="V787" s="1325"/>
      <c r="W787" s="1325"/>
      <c r="X787" s="1325"/>
    </row>
    <row r="788" spans="1:24" s="863" customFormat="1" ht="13.5" thickTop="1">
      <c r="A788" s="1482"/>
      <c r="B788" s="1482"/>
      <c r="C788" s="1483">
        <f t="shared" si="143"/>
        <v>6</v>
      </c>
      <c r="D788" s="1492">
        <f t="shared" si="146"/>
        <v>5</v>
      </c>
      <c r="E788" s="1492">
        <f t="shared" si="147"/>
        <v>1</v>
      </c>
      <c r="F788" s="1484" t="s">
        <v>11708</v>
      </c>
      <c r="G788" s="862"/>
      <c r="H788" s="929"/>
      <c r="I788" s="1371"/>
      <c r="J788" s="1022"/>
      <c r="K788" s="1371"/>
      <c r="L788" s="1371"/>
      <c r="M788" s="1536"/>
      <c r="N788" s="394"/>
      <c r="O788" s="728"/>
      <c r="P788" s="95"/>
      <c r="Q788" s="1507"/>
      <c r="R788" s="1525"/>
      <c r="S788" s="1504"/>
      <c r="V788" s="1325"/>
      <c r="W788" s="1325"/>
      <c r="X788" s="1325"/>
    </row>
    <row r="789" spans="1:24">
      <c r="A789" s="1482"/>
      <c r="B789" s="1482">
        <v>1</v>
      </c>
      <c r="C789" s="1483">
        <f t="shared" si="143"/>
        <v>6</v>
      </c>
      <c r="D789" s="1492">
        <f t="shared" si="146"/>
        <v>5</v>
      </c>
      <c r="E789" s="1492">
        <f t="shared" si="147"/>
        <v>2</v>
      </c>
      <c r="F789" s="1484" t="s">
        <v>11708</v>
      </c>
      <c r="H789" s="1514" t="s">
        <v>11703</v>
      </c>
      <c r="I789" s="1515" t="s">
        <v>64</v>
      </c>
      <c r="J789" s="1516" t="str">
        <f>CONCATENATE(C789,".",D789,".",E789)</f>
        <v>6.5.2</v>
      </c>
      <c r="K789" s="1516" t="s">
        <v>14470</v>
      </c>
      <c r="L789" s="1517" t="s">
        <v>25</v>
      </c>
      <c r="M789" s="1518" t="s">
        <v>11704</v>
      </c>
      <c r="N789" s="398" t="s">
        <v>11705</v>
      </c>
      <c r="O789" s="207" t="s">
        <v>11706</v>
      </c>
      <c r="P789" s="208" t="s">
        <v>27</v>
      </c>
      <c r="Q789" s="1472" t="s">
        <v>11704</v>
      </c>
    </row>
    <row r="790" spans="1:24">
      <c r="A790" s="1482"/>
      <c r="B790" s="1482"/>
      <c r="C790" s="1483">
        <f t="shared" si="143"/>
        <v>6</v>
      </c>
      <c r="D790" s="1492">
        <f t="shared" si="146"/>
        <v>5</v>
      </c>
      <c r="E790" s="1492">
        <f t="shared" si="147"/>
        <v>2</v>
      </c>
      <c r="F790" s="1484" t="s">
        <v>11708</v>
      </c>
      <c r="H790" s="1095"/>
      <c r="I790" s="780"/>
      <c r="J790" s="834"/>
      <c r="K790" s="780"/>
      <c r="L790" s="780"/>
      <c r="M790" s="1270"/>
      <c r="N790" s="400"/>
      <c r="O790" s="122"/>
      <c r="P790" s="123"/>
    </row>
    <row r="791" spans="1:24">
      <c r="A791" s="1482"/>
      <c r="B791" s="1482"/>
      <c r="C791" s="1483">
        <f t="shared" si="143"/>
        <v>6</v>
      </c>
      <c r="D791" s="1492">
        <f t="shared" si="146"/>
        <v>5</v>
      </c>
      <c r="E791" s="1492">
        <f t="shared" si="147"/>
        <v>2</v>
      </c>
      <c r="F791" s="1484" t="s">
        <v>11708</v>
      </c>
      <c r="G791" s="961" t="s">
        <v>11845</v>
      </c>
      <c r="H791" s="823" t="str">
        <f>VLOOKUP(G791,CAIXAS!A:M,2,0)</f>
        <v>SINAPI</v>
      </c>
      <c r="I791" s="700">
        <f>VLOOKUP(G791,CAIXAS!A:M,3,0)</f>
        <v>79472</v>
      </c>
      <c r="J791" s="824"/>
      <c r="K791" s="790" t="str">
        <f>(IF(H791="Saneago",VLOOKUP(I791,'SANEAGO-FEV.2016'!A:B,2,0),IF(H791="Sinapi",VLOOKUP(I791,'SINAPI-FEV.2017'!A:D,2,0),IF(H791="Cotação",VLOOKUP(I791,COTAÇÃO!A:D,2,0),IF(H791="Composição",VLOOKUP(I791,COMPOSIÇÃO!A:D,2,0))))))</f>
        <v>REGULARIZACAO DE SUPERFICIES EM TERRA COM MOTONIVELADORA</v>
      </c>
      <c r="L791" s="700" t="str">
        <f>(IF(H791="Saneago",VLOOKUP(I791,'SANEAGO-FEV.2016'!A:D,3,0),IF(H791="Sinapi",VLOOKUP(I791,'SINAPI-FEV.2017'!A:D,3,0),IF(H791="Cotação",VLOOKUP(I791,COTAÇÃO!A:D,3,0),IF(H791="Composição",VLOOKUP(I791,COMPOSIÇÃO!A:D,3,0))))))</f>
        <v>M2</v>
      </c>
      <c r="M791" s="870">
        <f>ROUND(VLOOKUP(G791,CAIXAS!A:M,13,0),2)</f>
        <v>60.44</v>
      </c>
      <c r="N791" s="399">
        <v>0</v>
      </c>
      <c r="O791" s="102">
        <f>ROUND(IF(F791="Serviços",N791*(1+$O$7),IF(F791="Materiais",N791*(1+$O$8))),2)</f>
        <v>0</v>
      </c>
      <c r="P791" s="101">
        <f>ROUND(M791*O791,2)</f>
        <v>0</v>
      </c>
      <c r="Q791" s="1472">
        <v>60.44</v>
      </c>
    </row>
    <row r="792" spans="1:24" ht="22.5">
      <c r="A792" s="1482"/>
      <c r="B792" s="1482"/>
      <c r="C792" s="1483">
        <f t="shared" si="143"/>
        <v>6</v>
      </c>
      <c r="D792" s="1492">
        <f t="shared" si="146"/>
        <v>5</v>
      </c>
      <c r="E792" s="1492">
        <f t="shared" si="147"/>
        <v>2</v>
      </c>
      <c r="F792" s="1484" t="s">
        <v>11708</v>
      </c>
      <c r="G792" s="961" t="s">
        <v>11846</v>
      </c>
      <c r="H792" s="823" t="str">
        <f>VLOOKUP(G792,CAIXAS!A:M,2,0)</f>
        <v>SINAPI</v>
      </c>
      <c r="I792" s="700" t="str">
        <f>VLOOKUP(G792,CAIXAS!A:M,3,0)</f>
        <v>74005/2</v>
      </c>
      <c r="J792" s="824"/>
      <c r="K792" s="790" t="str">
        <f>(IF(H792="Saneago",VLOOKUP(I792,'SANEAGO-FEV.2016'!A:B,2,0),IF(H792="Sinapi",VLOOKUP(I792,'SINAPI-FEV.2017'!A:D,2,0),IF(H792="Cotação",VLOOKUP(I792,COTAÇÃO!A:D,2,0),IF(H792="Composição",VLOOKUP(I792,COMPOSIÇÃO!A:D,2,0))))))</f>
        <v>COMPACTACAO MECANICA C/ CONTROLE DO GC&gt;=95% DO PN (AREAS) (C/MONIVELADORA 140 HP E ROLO COMPRESSOR VIBRATORIO 80 HP)</v>
      </c>
      <c r="L792" s="700" t="str">
        <f>(IF(H792="Saneago",VLOOKUP(I792,'SANEAGO-FEV.2016'!A:D,3,0),IF(H792="Sinapi",VLOOKUP(I792,'SINAPI-FEV.2017'!A:D,3,0),IF(H792="Cotação",VLOOKUP(I792,COTAÇÃO!A:D,3,0),IF(H792="Composição",VLOOKUP(I792,COMPOSIÇÃO!A:D,3,0))))))</f>
        <v>M3</v>
      </c>
      <c r="M792" s="870">
        <f>ROUND(VLOOKUP(G792,CAIXAS!A:M,13,0),2)</f>
        <v>14.44</v>
      </c>
      <c r="N792" s="399">
        <v>0</v>
      </c>
      <c r="O792" s="102">
        <f>ROUND(IF(F792="Serviços",N792*(1+$O$7),IF(F792="Materiais",N792*(1+$O$8))),2)</f>
        <v>0</v>
      </c>
      <c r="P792" s="101">
        <f>ROUND(M792*O792,2)</f>
        <v>0</v>
      </c>
      <c r="Q792" s="1472">
        <v>14.44</v>
      </c>
    </row>
    <row r="793" spans="1:24" ht="33.75">
      <c r="A793" s="1482"/>
      <c r="B793" s="1482"/>
      <c r="C793" s="1483">
        <f t="shared" si="143"/>
        <v>6</v>
      </c>
      <c r="D793" s="1492">
        <f t="shared" si="146"/>
        <v>5</v>
      </c>
      <c r="E793" s="1492">
        <f t="shared" si="147"/>
        <v>2</v>
      </c>
      <c r="F793" s="1484" t="s">
        <v>11708</v>
      </c>
      <c r="G793" s="961" t="s">
        <v>11847</v>
      </c>
      <c r="H793" s="823" t="str">
        <f>VLOOKUP(G793,CAIXAS!A:M,2,0)</f>
        <v>SINAPI</v>
      </c>
      <c r="I793" s="700">
        <f>VLOOKUP(G793,CAIXAS!A:M,3,0)</f>
        <v>94116</v>
      </c>
      <c r="J793" s="824"/>
      <c r="K793" s="790" t="str">
        <f>(IF(H793="Saneago",VLOOKUP(I793,'SANEAGO-FEV.2016'!A:B,2,0),IF(H793="Sinapi",VLOOKUP(I793,'SINAPI-FEV.2017'!A:D,2,0),IF(H793="Cotação",VLOOKUP(I793,COTAÇÃO!A:D,2,0),IF(H793="Composição",VLOOKUP(I793,COMPOSIÇÃO!A:D,2,0))))))</f>
        <v>LASTRO COM PREPARO DE FUNDO, LARGURA MAIOR OU IGUAL A 1,5 M, COM CAMADA DE BRITA, LANÇAMENTO MECANIZADO, EM LOCAL COM NÍVEL BAIXO DE INTERFERÊNCIA. AF_06/2016</v>
      </c>
      <c r="L793" s="700" t="str">
        <f>(IF(H793="Saneago",VLOOKUP(I793,'SANEAGO-FEV.2016'!A:D,3,0),IF(H793="Sinapi",VLOOKUP(I793,'SINAPI-FEV.2017'!A:D,3,0),IF(H793="Cotação",VLOOKUP(I793,COTAÇÃO!A:D,3,0),IF(H793="Composição",VLOOKUP(I793,COMPOSIÇÃO!A:D,3,0))))))</f>
        <v>M3</v>
      </c>
      <c r="M793" s="870">
        <f>ROUND(VLOOKUP(G793,CAIXAS!A:M,13,0),2)</f>
        <v>8.66</v>
      </c>
      <c r="N793" s="399">
        <v>0</v>
      </c>
      <c r="O793" s="102">
        <f>ROUND(IF(F793="Serviços",N793*(1+$O$7),IF(F793="Materiais",N793*(1+$O$8))),2)</f>
        <v>0</v>
      </c>
      <c r="P793" s="101">
        <f>ROUND(M793*O793,2)</f>
        <v>0</v>
      </c>
      <c r="Q793" s="1472">
        <v>8.66</v>
      </c>
    </row>
    <row r="794" spans="1:24" ht="22.5">
      <c r="A794" s="1482"/>
      <c r="B794" s="1482"/>
      <c r="C794" s="1483">
        <f t="shared" si="143"/>
        <v>6</v>
      </c>
      <c r="D794" s="1492">
        <f t="shared" si="146"/>
        <v>5</v>
      </c>
      <c r="E794" s="1492">
        <f t="shared" si="147"/>
        <v>2</v>
      </c>
      <c r="F794" s="1484" t="s">
        <v>11708</v>
      </c>
      <c r="G794" s="961" t="s">
        <v>11848</v>
      </c>
      <c r="H794" s="823" t="str">
        <f>VLOOKUP(G794,CAIXAS!A:M,2,0)</f>
        <v>SINAPI</v>
      </c>
      <c r="I794" s="700">
        <f>VLOOKUP(G794,CAIXAS!A:M,3,0)</f>
        <v>95241</v>
      </c>
      <c r="J794" s="824"/>
      <c r="K794" s="790" t="str">
        <f>(IF(H794="Saneago",VLOOKUP(I794,'SANEAGO-FEV.2016'!A:B,2,0),IF(H794="Sinapi",VLOOKUP(I794,'SINAPI-FEV.2017'!A:D,2,0),IF(H794="Cotação",VLOOKUP(I794,COTAÇÃO!A:D,2,0),IF(H794="Composição",VLOOKUP(I794,COMPOSIÇÃO!A:D,2,0))))))</f>
        <v>LASTRO DE CONCRETO, E = 5 CM, PREPARO MECÂNICO, INCLUSOS LANÇAMENTO E ADENSAMENTO. AF_07_2016</v>
      </c>
      <c r="L794" s="700" t="str">
        <f>(IF(H794="Saneago",VLOOKUP(I794,'SANEAGO-FEV.2016'!A:D,3,0),IF(H794="Sinapi",VLOOKUP(I794,'SINAPI-FEV.2017'!A:D,3,0),IF(H794="Cotação",VLOOKUP(I794,COTAÇÃO!A:D,3,0),IF(H794="Composição",VLOOKUP(I794,COMPOSIÇÃO!A:D,3,0))))))</f>
        <v>M2</v>
      </c>
      <c r="M794" s="870">
        <f>ROUND(VLOOKUP(G794,CAIXAS!A:M,13,0),2)</f>
        <v>2.89</v>
      </c>
      <c r="N794" s="399">
        <v>0</v>
      </c>
      <c r="O794" s="102">
        <f>ROUND(IF(F794="Serviços",N794*(1+$O$7),IF(F794="Materiais",N794*(1+$O$8))),2)</f>
        <v>0</v>
      </c>
      <c r="P794" s="101">
        <f>ROUND(M794*O794,2)</f>
        <v>0</v>
      </c>
      <c r="Q794" s="1472">
        <v>2.89</v>
      </c>
    </row>
    <row r="795" spans="1:24" ht="15.75" thickBot="1">
      <c r="A795" s="1482"/>
      <c r="B795" s="1482"/>
      <c r="C795" s="1483">
        <f t="shared" si="143"/>
        <v>6</v>
      </c>
      <c r="D795" s="1492">
        <f t="shared" si="146"/>
        <v>5</v>
      </c>
      <c r="E795" s="1492">
        <f t="shared" si="147"/>
        <v>2</v>
      </c>
      <c r="F795" s="1484" t="s">
        <v>11708</v>
      </c>
      <c r="G795" s="961"/>
      <c r="H795" s="1095"/>
      <c r="I795" s="780"/>
      <c r="J795" s="834"/>
      <c r="K795" s="780"/>
      <c r="L795" s="780"/>
      <c r="M795" s="1270"/>
      <c r="N795" s="400"/>
      <c r="O795" s="122"/>
      <c r="P795" s="123"/>
    </row>
    <row r="796" spans="1:24" ht="16.5" customHeight="1" thickTop="1" thickBot="1">
      <c r="A796" s="1482"/>
      <c r="B796" s="1482"/>
      <c r="C796" s="1483">
        <f t="shared" si="143"/>
        <v>6</v>
      </c>
      <c r="D796" s="1492">
        <f t="shared" si="146"/>
        <v>5</v>
      </c>
      <c r="E796" s="1492">
        <f t="shared" si="147"/>
        <v>2</v>
      </c>
      <c r="F796" s="1484" t="s">
        <v>11708</v>
      </c>
      <c r="H796" s="1653" t="str">
        <f>"TOTAL ITEM: "&amp;J789 &amp;K789</f>
        <v>TOTAL ITEM: 6.5.2FUNDAÇÃO DAS CAIXAS</v>
      </c>
      <c r="I796" s="1654"/>
      <c r="J796" s="1654"/>
      <c r="K796" s="1654"/>
      <c r="L796" s="1654"/>
      <c r="M796" s="1654"/>
      <c r="N796" s="1654"/>
      <c r="O796" s="1654"/>
      <c r="P796" s="210">
        <f>SUBTOTAL(9,P791:P794)</f>
        <v>0</v>
      </c>
    </row>
    <row r="797" spans="1:24" s="863" customFormat="1" ht="13.5" thickTop="1">
      <c r="A797" s="1482"/>
      <c r="B797" s="1482"/>
      <c r="C797" s="1483">
        <f t="shared" si="143"/>
        <v>6</v>
      </c>
      <c r="D797" s="1492">
        <f t="shared" si="146"/>
        <v>5</v>
      </c>
      <c r="E797" s="1492">
        <f t="shared" si="147"/>
        <v>2</v>
      </c>
      <c r="F797" s="1484" t="s">
        <v>11708</v>
      </c>
      <c r="G797" s="862"/>
      <c r="H797" s="826"/>
      <c r="I797" s="790"/>
      <c r="J797" s="824"/>
      <c r="K797" s="790"/>
      <c r="L797" s="700"/>
      <c r="M797" s="870"/>
      <c r="N797" s="399"/>
      <c r="O797" s="121"/>
      <c r="P797" s="101"/>
      <c r="Q797" s="1507"/>
      <c r="R797" s="1525"/>
      <c r="S797" s="1504"/>
      <c r="V797" s="1325"/>
      <c r="W797" s="1325"/>
      <c r="X797" s="1325"/>
    </row>
    <row r="798" spans="1:24">
      <c r="A798" s="1482"/>
      <c r="B798" s="1482">
        <v>1</v>
      </c>
      <c r="C798" s="1483">
        <f t="shared" si="143"/>
        <v>6</v>
      </c>
      <c r="D798" s="1492">
        <f t="shared" si="146"/>
        <v>5</v>
      </c>
      <c r="E798" s="1492">
        <f t="shared" si="147"/>
        <v>3</v>
      </c>
      <c r="F798" s="1484" t="s">
        <v>11708</v>
      </c>
      <c r="H798" s="1514" t="s">
        <v>11703</v>
      </c>
      <c r="I798" s="1515" t="s">
        <v>64</v>
      </c>
      <c r="J798" s="1516" t="str">
        <f>CONCATENATE(C798,".",D798,".",E798)</f>
        <v>6.5.3</v>
      </c>
      <c r="K798" s="1516" t="s">
        <v>11710</v>
      </c>
      <c r="L798" s="1517" t="s">
        <v>25</v>
      </c>
      <c r="M798" s="1518" t="s">
        <v>11704</v>
      </c>
      <c r="N798" s="398" t="s">
        <v>11705</v>
      </c>
      <c r="O798" s="207" t="s">
        <v>11706</v>
      </c>
      <c r="P798" s="208" t="s">
        <v>27</v>
      </c>
      <c r="Q798" s="1472" t="s">
        <v>11704</v>
      </c>
    </row>
    <row r="799" spans="1:24">
      <c r="A799" s="1482"/>
      <c r="B799" s="1482"/>
      <c r="C799" s="1483">
        <f t="shared" si="143"/>
        <v>6</v>
      </c>
      <c r="D799" s="1492">
        <f t="shared" si="146"/>
        <v>5</v>
      </c>
      <c r="E799" s="1492">
        <f t="shared" si="147"/>
        <v>3</v>
      </c>
      <c r="F799" s="1484" t="s">
        <v>11708</v>
      </c>
      <c r="H799" s="826"/>
      <c r="I799" s="790"/>
      <c r="J799" s="824"/>
      <c r="K799" s="790"/>
      <c r="L799" s="700"/>
      <c r="M799" s="870"/>
      <c r="N799" s="399"/>
      <c r="O799" s="121"/>
      <c r="P799" s="101"/>
    </row>
    <row r="800" spans="1:24" ht="56.25">
      <c r="A800" s="1482"/>
      <c r="B800" s="1482"/>
      <c r="C800" s="1483">
        <f t="shared" si="143"/>
        <v>6</v>
      </c>
      <c r="D800" s="1492">
        <f t="shared" si="146"/>
        <v>5</v>
      </c>
      <c r="E800" s="1492">
        <f t="shared" si="147"/>
        <v>3</v>
      </c>
      <c r="F800" s="1484" t="s">
        <v>11708</v>
      </c>
      <c r="G800" s="921" t="s">
        <v>11849</v>
      </c>
      <c r="H800" s="823" t="str">
        <f>VLOOKUP(G800,CAIXAS!A:M,2,0)</f>
        <v>SINAPI</v>
      </c>
      <c r="I800" s="700">
        <f>VLOOKUP(G800,CAIXAS!A:M,3,0)</f>
        <v>90105</v>
      </c>
      <c r="J800" s="824"/>
      <c r="K800" s="790" t="str">
        <f>(IF(H800="Saneago",VLOOKUP(I800,'SANEAGO-FEV.2016'!A:B,2,0),IF(H800="Sinapi",VLOOKUP(I800,'SINAPI-FEV.2017'!A:D,2,0),IF(H800="Cotação",VLOOKUP(I800,COTAÇÃO!A:D,2,0),IF(H800="Composição",VLOOKUP(I800,COMPOSIÇÃO!A:D,2,0))))))</f>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
      <c r="L800" s="700" t="str">
        <f>(IF(H800="Saneago",VLOOKUP(I800,'SANEAGO-FEV.2016'!A:D,3,0),IF(H800="Sinapi",VLOOKUP(I800,'SINAPI-FEV.2017'!A:D,3,0),IF(H800="Cotação",VLOOKUP(I800,COTAÇÃO!A:D,3,0),IF(H800="Composição",VLOOKUP(I800,COMPOSIÇÃO!A:D,3,0))))))</f>
        <v>M3</v>
      </c>
      <c r="M800" s="870">
        <f>ROUND(VLOOKUP(G800,CAIXAS!A:M,13,0),2)</f>
        <v>468.51</v>
      </c>
      <c r="N800" s="399">
        <v>0</v>
      </c>
      <c r="O800" s="102">
        <f t="shared" ref="O800:O816" si="148">ROUND(IF(F800="Serviços",N800*(1+$O$7),IF(F800="Materiais",N800*(1+$O$8))),2)</f>
        <v>0</v>
      </c>
      <c r="P800" s="101">
        <f t="shared" ref="P800:P816" si="149">ROUND(M800*O800,2)</f>
        <v>0</v>
      </c>
      <c r="Q800" s="1472">
        <v>468.51</v>
      </c>
    </row>
    <row r="801" spans="1:17" ht="56.25">
      <c r="A801" s="1482"/>
      <c r="B801" s="1482"/>
      <c r="C801" s="1483">
        <f t="shared" si="143"/>
        <v>6</v>
      </c>
      <c r="D801" s="1492">
        <f t="shared" si="146"/>
        <v>5</v>
      </c>
      <c r="E801" s="1492">
        <f t="shared" si="147"/>
        <v>3</v>
      </c>
      <c r="F801" s="1484" t="s">
        <v>11708</v>
      </c>
      <c r="G801" s="921" t="s">
        <v>11850</v>
      </c>
      <c r="H801" s="823" t="str">
        <f>VLOOKUP(G801,CAIXAS!A:M,2,0)</f>
        <v>SINAPI</v>
      </c>
      <c r="I801" s="700">
        <f>VLOOKUP(G801,CAIXAS!A:M,3,0)</f>
        <v>90107</v>
      </c>
      <c r="J801" s="824"/>
      <c r="K801" s="790" t="str">
        <f>(IF(H801="Saneago",VLOOKUP(I801,'SANEAGO-FEV.2016'!A:B,2,0),IF(H801="Sinapi",VLOOKUP(I801,'SINAPI-FEV.2017'!A:D,2,0),IF(H801="Cotação",VLOOKUP(I801,COTAÇÃO!A:D,2,0),IF(H801="Composição",VLOOKUP(I801,COMPOSIÇÃO!A:D,2,0))))))</f>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
      <c r="L801" s="700" t="str">
        <f>(IF(H801="Saneago",VLOOKUP(I801,'SANEAGO-FEV.2016'!A:D,3,0),IF(H801="Sinapi",VLOOKUP(I801,'SINAPI-FEV.2017'!A:D,3,0),IF(H801="Cotação",VLOOKUP(I801,COTAÇÃO!A:D,3,0),IF(H801="Composição",VLOOKUP(I801,COMPOSIÇÃO!A:D,3,0))))))</f>
        <v>M3</v>
      </c>
      <c r="M801" s="870">
        <f>ROUND(VLOOKUP(G801,CAIXAS!A:M,13,0),2)</f>
        <v>159.36000000000001</v>
      </c>
      <c r="N801" s="399">
        <v>0</v>
      </c>
      <c r="O801" s="102">
        <f t="shared" si="148"/>
        <v>0</v>
      </c>
      <c r="P801" s="101">
        <f t="shared" si="149"/>
        <v>0</v>
      </c>
      <c r="Q801" s="1472">
        <v>159.36000000000001</v>
      </c>
    </row>
    <row r="802" spans="1:17" ht="45">
      <c r="A802" s="1482"/>
      <c r="B802" s="1482"/>
      <c r="C802" s="1483">
        <f t="shared" si="143"/>
        <v>6</v>
      </c>
      <c r="D802" s="1492">
        <f t="shared" si="146"/>
        <v>5</v>
      </c>
      <c r="E802" s="1492">
        <f t="shared" si="147"/>
        <v>3</v>
      </c>
      <c r="F802" s="1484" t="s">
        <v>11708</v>
      </c>
      <c r="G802" s="921" t="s">
        <v>11851</v>
      </c>
      <c r="H802" s="823" t="str">
        <f>VLOOKUP(G802,CAIXAS!A:M,2,0)</f>
        <v>SINAPI</v>
      </c>
      <c r="I802" s="700">
        <f>VLOOKUP(G802,CAIXAS!A:M,3,0)</f>
        <v>90094</v>
      </c>
      <c r="J802" s="824"/>
      <c r="K802" s="790" t="str">
        <f>(IF(H802="Saneago",VLOOKUP(I802,'SANEAGO-FEV.2016'!A:B,2,0),IF(H802="Sinapi",VLOOKUP(I802,'SINAPI-FEV.2017'!A:D,2,0),IF(H802="Cotação",VLOOKUP(I802,COTAÇÃO!A:D,2,0),IF(H802="Composição",VLOOKUP(I802,COMPOSIÇÃO!A:D,2,0))))))</f>
        <v>ESCAVAÇÃO MECANIZADA DE VALA COM PROF. MAIOR QUE 3,0 M ATÉ 4,5 M (MÉDIA ENTRE MONTANTE E JUSANTE/UMA COMPOSIÇÃO POR TRECHO), COM ESCAVADEIRA HIDRÁULICA (0,8 M3/111 HP), LARG. MENOR QUE 1,5 M, EM SOLO DE 1A CATEGORIA, LOCAIS COM BAIXO NÍVEL DE INTERFERÊNCIA. AF_01/2015</v>
      </c>
      <c r="L802" s="700" t="str">
        <f>(IF(H802="Saneago",VLOOKUP(I802,'SANEAGO-FEV.2016'!A:D,3,0),IF(H802="Sinapi",VLOOKUP(I802,'SINAPI-FEV.2017'!A:D,3,0),IF(H802="Cotação",VLOOKUP(I802,COTAÇÃO!A:D,3,0),IF(H802="Composição",VLOOKUP(I802,COMPOSIÇÃO!A:D,3,0))))))</f>
        <v>M3</v>
      </c>
      <c r="M802" s="870">
        <f>ROUND(VLOOKUP(G802,CAIXAS!A:M,13,0),2)</f>
        <v>11.23</v>
      </c>
      <c r="N802" s="399">
        <v>0</v>
      </c>
      <c r="O802" s="102">
        <f t="shared" si="148"/>
        <v>0</v>
      </c>
      <c r="P802" s="101">
        <f t="shared" si="149"/>
        <v>0</v>
      </c>
      <c r="Q802" s="1472">
        <v>11.23</v>
      </c>
    </row>
    <row r="803" spans="1:17" ht="33.75">
      <c r="A803" s="1482"/>
      <c r="B803" s="1482"/>
      <c r="C803" s="1483">
        <f t="shared" si="143"/>
        <v>6</v>
      </c>
      <c r="D803" s="1492">
        <f t="shared" si="146"/>
        <v>5</v>
      </c>
      <c r="E803" s="1492">
        <f t="shared" si="147"/>
        <v>3</v>
      </c>
      <c r="F803" s="1484" t="s">
        <v>11708</v>
      </c>
      <c r="G803" s="921" t="s">
        <v>11852</v>
      </c>
      <c r="H803" s="823" t="str">
        <f>VLOOKUP(G803,CAIXAS!A:M,2,0)</f>
        <v>Saneago</v>
      </c>
      <c r="I803" s="700">
        <f>VLOOKUP(G803,CAIXAS!A:M,3,0)</f>
        <v>184</v>
      </c>
      <c r="J803" s="824"/>
      <c r="K803" s="790" t="str">
        <f>(IF(H803="Saneago",VLOOKUP(I803,'SANEAGO-FEV.2016'!A:B,2,0),IF(H803="Sinapi",VLOOKUP(I803,'SINAPI-FEV.2017'!A:D,2,0),IF(H803="Cotação",VLOOKUP(I803,COTAÇÃO!A:D,2,0),IF(H803="Composição",VLOOKUP(I803,COMPOSIÇÃO!A:D,2,0))))))</f>
        <v>ESCAVAÇÃO  MECANIZADA  (COM ESCAVADEIRA HIDRÁULICA)  EM VALAS COM MATERIAL DE 2ª CATEGORIA
- PROFUNDIDADE ATÉ 2,0 M</v>
      </c>
      <c r="L803" s="700" t="str">
        <f>(IF(H803="Saneago",VLOOKUP(I803,'SANEAGO-FEV.2016'!A:D,3,0),IF(H803="Sinapi",VLOOKUP(I803,'SINAPI-FEV.2017'!A:D,3,0),IF(H803="Cotação",VLOOKUP(I803,COTAÇÃO!A:D,3,0),IF(H803="Composição",VLOOKUP(I803,COMPOSIÇÃO!A:D,3,0))))))</f>
        <v>M3</v>
      </c>
      <c r="M803" s="870">
        <f>ROUND(VLOOKUP(G803,CAIXAS!A:M,13,0),2)</f>
        <v>26.03</v>
      </c>
      <c r="N803" s="399">
        <v>0</v>
      </c>
      <c r="O803" s="102">
        <f t="shared" si="148"/>
        <v>0</v>
      </c>
      <c r="P803" s="101">
        <f t="shared" si="149"/>
        <v>0</v>
      </c>
      <c r="Q803" s="1472">
        <v>26.03</v>
      </c>
    </row>
    <row r="804" spans="1:17" ht="33.75">
      <c r="A804" s="1482"/>
      <c r="B804" s="1482"/>
      <c r="C804" s="1483">
        <f t="shared" si="143"/>
        <v>6</v>
      </c>
      <c r="D804" s="1492">
        <f t="shared" si="146"/>
        <v>5</v>
      </c>
      <c r="E804" s="1492">
        <f t="shared" si="147"/>
        <v>3</v>
      </c>
      <c r="F804" s="1484" t="s">
        <v>11708</v>
      </c>
      <c r="G804" s="921" t="s">
        <v>11853</v>
      </c>
      <c r="H804" s="823" t="str">
        <f>VLOOKUP(G804,CAIXAS!A:M,2,0)</f>
        <v>Saneago</v>
      </c>
      <c r="I804" s="700">
        <f>VLOOKUP(G804,CAIXAS!A:M,3,0)</f>
        <v>185</v>
      </c>
      <c r="J804" s="824"/>
      <c r="K804" s="790" t="str">
        <f>(IF(H804="Saneago",VLOOKUP(I804,'SANEAGO-FEV.2016'!A:B,2,0),IF(H804="Sinapi",VLOOKUP(I804,'SINAPI-FEV.2017'!A:D,2,0),IF(H804="Cotação",VLOOKUP(I804,COTAÇÃO!A:D,2,0),IF(H804="Composição",VLOOKUP(I804,COMPOSIÇÃO!A:D,2,0))))))</f>
        <v>ESCAVAÇÃO  MECANIZADA  (COM ESCAVADEIRA HIDRÁULICA)  EM VALAS COM MATERIAL DE 2ª CATEGORIA
- PROFUNDIDADE DE 2,0 A 4,0 M</v>
      </c>
      <c r="L804" s="700" t="str">
        <f>(IF(H804="Saneago",VLOOKUP(I804,'SANEAGO-FEV.2016'!A:D,3,0),IF(H804="Sinapi",VLOOKUP(I804,'SINAPI-FEV.2017'!A:D,3,0),IF(H804="Cotação",VLOOKUP(I804,COTAÇÃO!A:D,3,0),IF(H804="Composição",VLOOKUP(I804,COMPOSIÇÃO!A:D,3,0))))))</f>
        <v>M3</v>
      </c>
      <c r="M804" s="870">
        <f>ROUND(VLOOKUP(G804,CAIXAS!A:M,13,0),2)</f>
        <v>8.85</v>
      </c>
      <c r="N804" s="399">
        <v>0</v>
      </c>
      <c r="O804" s="102">
        <f t="shared" si="148"/>
        <v>0</v>
      </c>
      <c r="P804" s="101">
        <f t="shared" si="149"/>
        <v>0</v>
      </c>
      <c r="Q804" s="1472">
        <v>8.85</v>
      </c>
    </row>
    <row r="805" spans="1:17" ht="22.5">
      <c r="A805" s="1482"/>
      <c r="B805" s="1482"/>
      <c r="C805" s="1483">
        <f t="shared" si="143"/>
        <v>6</v>
      </c>
      <c r="D805" s="1492">
        <f t="shared" si="146"/>
        <v>5</v>
      </c>
      <c r="E805" s="1492">
        <f t="shared" si="147"/>
        <v>3</v>
      </c>
      <c r="F805" s="1484" t="s">
        <v>11708</v>
      </c>
      <c r="G805" s="921" t="s">
        <v>11854</v>
      </c>
      <c r="H805" s="823" t="str">
        <f>VLOOKUP(G805,CAIXAS!A:M,2,0)</f>
        <v>Saneago</v>
      </c>
      <c r="I805" s="700">
        <f>VLOOKUP(G805,CAIXAS!A:M,3,0)</f>
        <v>187</v>
      </c>
      <c r="J805" s="824"/>
      <c r="K805" s="790" t="str">
        <f>(IF(H805="Saneago",VLOOKUP(I805,'SANEAGO-FEV.2016'!A:B,2,0),IF(H805="Sinapi",VLOOKUP(I805,'SINAPI-FEV.2017'!A:D,2,0),IF(H805="Cotação",VLOOKUP(I805,COTAÇÃO!A:D,2,0),IF(H805="Composição",VLOOKUP(I805,COMPOSIÇÃO!A:D,2,0))))))</f>
        <v>ESCAVAÇÃO  MECANIZADA  (COM ESCAVADEIRA HIDRÁULICA)  EM VALAS COM MATERIAL  DE SOLO MOLE - PROFUNDIDADE ATÉ 2,0 M</v>
      </c>
      <c r="L805" s="700" t="str">
        <f>(IF(H805="Saneago",VLOOKUP(I805,'SANEAGO-FEV.2016'!A:D,3,0),IF(H805="Sinapi",VLOOKUP(I805,'SINAPI-FEV.2017'!A:D,3,0),IF(H805="Cotação",VLOOKUP(I805,COTAÇÃO!A:D,3,0),IF(H805="Composição",VLOOKUP(I805,COMPOSIÇÃO!A:D,3,0))))))</f>
        <v>M3</v>
      </c>
      <c r="M805" s="870">
        <f>ROUND(VLOOKUP(G805,CAIXAS!A:M,13,0),2)</f>
        <v>26.03</v>
      </c>
      <c r="N805" s="399">
        <v>0</v>
      </c>
      <c r="O805" s="102">
        <f t="shared" si="148"/>
        <v>0</v>
      </c>
      <c r="P805" s="101">
        <f t="shared" si="149"/>
        <v>0</v>
      </c>
      <c r="Q805" s="1472">
        <v>26.03</v>
      </c>
    </row>
    <row r="806" spans="1:17" ht="22.5">
      <c r="A806" s="1482"/>
      <c r="B806" s="1482"/>
      <c r="C806" s="1483">
        <f t="shared" si="143"/>
        <v>6</v>
      </c>
      <c r="D806" s="1492">
        <f>D805+A806</f>
        <v>5</v>
      </c>
      <c r="E806" s="1492">
        <f>E805+B806</f>
        <v>3</v>
      </c>
      <c r="F806" s="1484" t="s">
        <v>11708</v>
      </c>
      <c r="G806" s="921" t="s">
        <v>20448</v>
      </c>
      <c r="H806" s="823" t="str">
        <f>VLOOKUP(G806,CAIXAS!A:M,2,0)</f>
        <v>Saneago</v>
      </c>
      <c r="I806" s="700">
        <f>VLOOKUP(G806,CAIXAS!A:M,3,0)</f>
        <v>188</v>
      </c>
      <c r="J806" s="824"/>
      <c r="K806" s="790" t="str">
        <f>(IF(H806="Saneago",VLOOKUP(I806,'SANEAGO-FEV.2016'!A:B,2,0),IF(H806="Sinapi",VLOOKUP(I806,'SINAPI-FEV.2017'!A:D,2,0),IF(H806="Cotação",VLOOKUP(I806,COTAÇÃO!A:D,2,0),IF(H806="Composição",VLOOKUP(I806,COMPOSIÇÃO!A:D,2,0))))))</f>
        <v>ESCAVAÇÃO  MECANIZADA  (COM ESCAVADEIRA HIDRÁULICA)  EM VALAS COM MATERIAL  DE SOLO MOLE - PROFUNDIDADE DE 2,0 A 4,0 M</v>
      </c>
      <c r="L806" s="700" t="str">
        <f>(IF(H806="Saneago",VLOOKUP(I806,'SANEAGO-FEV.2016'!A:D,3,0),IF(H806="Sinapi",VLOOKUP(I806,'SINAPI-FEV.2017'!A:D,3,0),IF(H806="Cotação",VLOOKUP(I806,COTAÇÃO!A:D,3,0),IF(H806="Composição",VLOOKUP(I806,COMPOSIÇÃO!A:D,3,0))))))</f>
        <v>M3</v>
      </c>
      <c r="M806" s="870">
        <f>ROUND(VLOOKUP(G806,CAIXAS!A:M,13,0),2)</f>
        <v>8.85</v>
      </c>
      <c r="N806" s="399">
        <v>0</v>
      </c>
      <c r="O806" s="102">
        <f>ROUND(IF(F806="Serviços",N806*(1+$O$7),IF(F806="Materiais",N806*(1+$O$8))),2)</f>
        <v>0</v>
      </c>
      <c r="P806" s="101">
        <f>ROUND(M806*O806,2)</f>
        <v>0</v>
      </c>
      <c r="Q806" s="1472">
        <v>8.85</v>
      </c>
    </row>
    <row r="807" spans="1:17">
      <c r="A807" s="1482"/>
      <c r="B807" s="1482"/>
      <c r="C807" s="1483">
        <f>C805</f>
        <v>6</v>
      </c>
      <c r="D807" s="1492">
        <f>D805+A807</f>
        <v>5</v>
      </c>
      <c r="E807" s="1492">
        <f>E805+B807</f>
        <v>3</v>
      </c>
      <c r="F807" s="1484" t="s">
        <v>11708</v>
      </c>
      <c r="G807" s="968" t="s">
        <v>11855</v>
      </c>
      <c r="H807" s="823" t="str">
        <f>VLOOKUP(G807,CAIXAS!A:M,2,0)</f>
        <v>SINAPI</v>
      </c>
      <c r="I807" s="700">
        <f>VLOOKUP(G807,CAIXAS!A:M,3,0)</f>
        <v>93358</v>
      </c>
      <c r="J807" s="824"/>
      <c r="K807" s="790" t="str">
        <f>(IF(H807="Saneago",VLOOKUP(I807,'SANEAGO-FEV.2016'!A:B,2,0),IF(H807="Sinapi",VLOOKUP(I807,'SINAPI-FEV.2017'!A:D,2,0),IF(H807="Cotação",VLOOKUP(I807,COTAÇÃO!A:D,2,0),IF(H807="Composição",VLOOKUP(I807,COMPOSIÇÃO!A:D,2,0))))))</f>
        <v>ESCAVAÇÃO MANUAL DE VALAS. AF_03/2016</v>
      </c>
      <c r="L807" s="700" t="str">
        <f>(IF(H807="Saneago",VLOOKUP(I807,'SANEAGO-FEV.2016'!A:D,3,0),IF(H807="Sinapi",VLOOKUP(I807,'SINAPI-FEV.2017'!A:D,3,0),IF(H807="Cotação",VLOOKUP(I807,COTAÇÃO!A:D,3,0),IF(H807="Composição",VLOOKUP(I807,COMPOSIÇÃO!A:D,3,0))))))</f>
        <v>M3</v>
      </c>
      <c r="M807" s="870">
        <f>ROUND(VLOOKUP(G807,CAIXAS!A:M,13,0),2)</f>
        <v>33.64</v>
      </c>
      <c r="N807" s="399">
        <v>0</v>
      </c>
      <c r="O807" s="102">
        <f t="shared" si="148"/>
        <v>0</v>
      </c>
      <c r="P807" s="101">
        <f t="shared" si="149"/>
        <v>0</v>
      </c>
      <c r="Q807" s="1472">
        <v>33.64</v>
      </c>
    </row>
    <row r="808" spans="1:17" ht="22.5">
      <c r="A808" s="1482"/>
      <c r="B808" s="1482"/>
      <c r="C808" s="1483">
        <f>C806</f>
        <v>6</v>
      </c>
      <c r="D808" s="1492">
        <f>D806+A808</f>
        <v>5</v>
      </c>
      <c r="E808" s="1492">
        <f>E806+B808</f>
        <v>3</v>
      </c>
      <c r="F808" s="1484" t="s">
        <v>11708</v>
      </c>
      <c r="G808" s="968" t="s">
        <v>11856</v>
      </c>
      <c r="H808" s="823" t="str">
        <f>VLOOKUP(G808,CAIXAS!A:M,2,0)</f>
        <v>Saneago</v>
      </c>
      <c r="I808" s="700">
        <f>VLOOKUP(G808,CAIXAS!A:M,3,0)</f>
        <v>170</v>
      </c>
      <c r="J808" s="824"/>
      <c r="K808" s="790" t="str">
        <f>(IF(H808="Saneago",VLOOKUP(I808,'SANEAGO-FEV.2016'!A:B,2,0),IF(H808="Sinapi",VLOOKUP(I808,'SINAPI-FEV.2017'!A:D,2,0),IF(H808="Cotação",VLOOKUP(I808,COTAÇÃO!A:D,2,0),IF(H808="Composição",VLOOKUP(I808,COMPOSIÇÃO!A:D,2,0))))))</f>
        <v>ESCAVAÇÃO  MANUAL EM VALAS COM MATERIAL DE 2ª CATEGORIA  - PROFUNDIDADE ATÉ 2,0 M</v>
      </c>
      <c r="L808" s="700" t="str">
        <f>(IF(H808="Saneago",VLOOKUP(I808,'SANEAGO-FEV.2016'!A:D,3,0),IF(H808="Sinapi",VLOOKUP(I808,'SINAPI-FEV.2017'!A:D,3,0),IF(H808="Cotação",VLOOKUP(I808,COTAÇÃO!A:D,3,0),IF(H808="Composição",VLOOKUP(I808,COMPOSIÇÃO!A:D,3,0))))))</f>
        <v>M3</v>
      </c>
      <c r="M808" s="870">
        <f>ROUND(VLOOKUP(G808,CAIXAS!A:M,13,0),2)</f>
        <v>1.37</v>
      </c>
      <c r="N808" s="399">
        <v>0</v>
      </c>
      <c r="O808" s="102">
        <f t="shared" si="148"/>
        <v>0</v>
      </c>
      <c r="P808" s="101">
        <f t="shared" si="149"/>
        <v>0</v>
      </c>
      <c r="Q808" s="1472">
        <v>1.37</v>
      </c>
    </row>
    <row r="809" spans="1:17" ht="22.5">
      <c r="A809" s="1482"/>
      <c r="B809" s="1482"/>
      <c r="C809" s="1483">
        <f t="shared" si="143"/>
        <v>6</v>
      </c>
      <c r="D809" s="1492">
        <f t="shared" si="146"/>
        <v>5</v>
      </c>
      <c r="E809" s="1492">
        <f t="shared" si="147"/>
        <v>3</v>
      </c>
      <c r="F809" s="1484" t="s">
        <v>11708</v>
      </c>
      <c r="G809" s="968" t="s">
        <v>11857</v>
      </c>
      <c r="H809" s="823" t="str">
        <f>VLOOKUP(G809,CAIXAS!A:M,2,0)</f>
        <v>Saneago</v>
      </c>
      <c r="I809" s="700">
        <f>VLOOKUP(G809,CAIXAS!A:M,3,0)</f>
        <v>171</v>
      </c>
      <c r="J809" s="824"/>
      <c r="K809" s="790" t="str">
        <f>(IF(H809="Saneago",VLOOKUP(I809,'SANEAGO-FEV.2016'!A:B,2,0),IF(H809="Sinapi",VLOOKUP(I809,'SINAPI-FEV.2017'!A:D,2,0),IF(H809="Cotação",VLOOKUP(I809,COTAÇÃO!A:D,2,0),IF(H809="Composição",VLOOKUP(I809,COMPOSIÇÃO!A:D,2,0))))))</f>
        <v>ESCAVAÇÃO  MANUAL EM VALAS COM MATERIAL DE 2ª CATEGORIA  - PROFUNDIDADE DE 2,0 A 4,0 M</v>
      </c>
      <c r="L809" s="700" t="str">
        <f>(IF(H809="Saneago",VLOOKUP(I809,'SANEAGO-FEV.2016'!A:D,3,0),IF(H809="Sinapi",VLOOKUP(I809,'SINAPI-FEV.2017'!A:D,3,0),IF(H809="Cotação",VLOOKUP(I809,COTAÇÃO!A:D,3,0),IF(H809="Composição",VLOOKUP(I809,COMPOSIÇÃO!A:D,3,0))))))</f>
        <v>M3</v>
      </c>
      <c r="M809" s="870">
        <f>ROUND(VLOOKUP(G809,CAIXAS!A:M,13,0),2)</f>
        <v>0.5</v>
      </c>
      <c r="N809" s="399">
        <v>0</v>
      </c>
      <c r="O809" s="102">
        <f t="shared" si="148"/>
        <v>0</v>
      </c>
      <c r="P809" s="101">
        <f t="shared" si="149"/>
        <v>0</v>
      </c>
      <c r="Q809" s="1472">
        <v>0.5</v>
      </c>
    </row>
    <row r="810" spans="1:17" ht="33.75">
      <c r="A810" s="1482"/>
      <c r="B810" s="1482"/>
      <c r="C810" s="1483">
        <f t="shared" si="143"/>
        <v>6</v>
      </c>
      <c r="D810" s="1492">
        <f t="shared" si="146"/>
        <v>5</v>
      </c>
      <c r="E810" s="1492">
        <f t="shared" si="147"/>
        <v>3</v>
      </c>
      <c r="F810" s="1484" t="s">
        <v>11708</v>
      </c>
      <c r="G810" s="968" t="s">
        <v>11858</v>
      </c>
      <c r="H810" s="823" t="str">
        <f>VLOOKUP(G810,CAIXAS!A:M,2,0)</f>
        <v>Saneago</v>
      </c>
      <c r="I810" s="700">
        <f>VLOOKUP(G810,CAIXAS!A:M,3,0)</f>
        <v>172</v>
      </c>
      <c r="J810" s="824"/>
      <c r="K810" s="790" t="str">
        <f>(IF(H810="Saneago",VLOOKUP(I810,'SANEAGO-FEV.2016'!A:B,2,0),IF(H810="Sinapi",VLOOKUP(I810,'SINAPI-FEV.2017'!A:D,2,0),IF(H810="Cotação",VLOOKUP(I810,COTAÇÃO!A:D,2,0),IF(H810="Composição",VLOOKUP(I810,COMPOSIÇÃO!A:D,2,0))))))</f>
        <v>ESCAVAÇÃO   MANUAL   EM  VALAS  COM  MATERIAL   DE  3ª  CATEGORIA   SEM  USO  DE  EXPLOSIVO   COM UTILIZAÇÃO  DE COMPRESSOR E ROMPEDOR  -  PROFUNDIDADE ATÉ 2,0M</v>
      </c>
      <c r="L810" s="700" t="str">
        <f>(IF(H810="Saneago",VLOOKUP(I810,'SANEAGO-FEV.2016'!A:D,3,0),IF(H810="Sinapi",VLOOKUP(I810,'SINAPI-FEV.2017'!A:D,3,0),IF(H810="Cotação",VLOOKUP(I810,COTAÇÃO!A:D,3,0),IF(H810="Composição",VLOOKUP(I810,COMPOSIÇÃO!A:D,3,0))))))</f>
        <v>M3</v>
      </c>
      <c r="M810" s="870">
        <f>ROUND(VLOOKUP(G810,CAIXAS!A:M,13,0),2)</f>
        <v>1.37</v>
      </c>
      <c r="N810" s="399">
        <v>0</v>
      </c>
      <c r="O810" s="102">
        <f t="shared" si="148"/>
        <v>0</v>
      </c>
      <c r="P810" s="101">
        <f t="shared" si="149"/>
        <v>0</v>
      </c>
      <c r="Q810" s="1472">
        <v>1.37</v>
      </c>
    </row>
    <row r="811" spans="1:17" ht="33.75">
      <c r="A811" s="1482"/>
      <c r="B811" s="1482"/>
      <c r="C811" s="1483">
        <f t="shared" si="143"/>
        <v>6</v>
      </c>
      <c r="D811" s="1492">
        <f t="shared" si="146"/>
        <v>5</v>
      </c>
      <c r="E811" s="1492">
        <f t="shared" si="147"/>
        <v>3</v>
      </c>
      <c r="F811" s="1484" t="s">
        <v>11708</v>
      </c>
      <c r="G811" s="968" t="s">
        <v>11859</v>
      </c>
      <c r="H811" s="823" t="str">
        <f>VLOOKUP(G811,CAIXAS!A:M,2,0)</f>
        <v>Saneago</v>
      </c>
      <c r="I811" s="700">
        <f>VLOOKUP(G811,CAIXAS!A:M,3,0)</f>
        <v>173</v>
      </c>
      <c r="J811" s="824"/>
      <c r="K811" s="790" t="str">
        <f>(IF(H811="Saneago",VLOOKUP(I811,'SANEAGO-FEV.2016'!A:B,2,0),IF(H811="Sinapi",VLOOKUP(I811,'SINAPI-FEV.2017'!A:D,2,0),IF(H811="Cotação",VLOOKUP(I811,COTAÇÃO!A:D,2,0),IF(H811="Composição",VLOOKUP(I811,COMPOSIÇÃO!A:D,2,0))))))</f>
        <v>ESCAVAÇÃO   MANUAL   EM  VALAS  COM  MATERIAL   DE  3ª  CATEGORIA   SEM  USO  DE  EXPLOSIVO   COM UTILIZAÇÃO  DE COMPRESSOR E ROMPEDOR   - PROFUNDIDADE DE 2,0 A 4,0M</v>
      </c>
      <c r="L811" s="700" t="str">
        <f>(IF(H811="Saneago",VLOOKUP(I811,'SANEAGO-FEV.2016'!A:D,3,0),IF(H811="Sinapi",VLOOKUP(I811,'SINAPI-FEV.2017'!A:D,3,0),IF(H811="Cotação",VLOOKUP(I811,COTAÇÃO!A:D,3,0),IF(H811="Composição",VLOOKUP(I811,COMPOSIÇÃO!A:D,3,0))))))</f>
        <v>M3</v>
      </c>
      <c r="M811" s="870">
        <f>ROUND(VLOOKUP(G811,CAIXAS!A:M,13,0),2)</f>
        <v>0.5</v>
      </c>
      <c r="N811" s="399">
        <v>0</v>
      </c>
      <c r="O811" s="102">
        <f t="shared" si="148"/>
        <v>0</v>
      </c>
      <c r="P811" s="101">
        <f t="shared" si="149"/>
        <v>0</v>
      </c>
      <c r="Q811" s="1472">
        <v>0.5</v>
      </c>
    </row>
    <row r="812" spans="1:17">
      <c r="A812" s="1482"/>
      <c r="B812" s="1482"/>
      <c r="C812" s="1483">
        <f t="shared" si="143"/>
        <v>6</v>
      </c>
      <c r="D812" s="1492">
        <f t="shared" si="146"/>
        <v>5</v>
      </c>
      <c r="E812" s="1492">
        <f t="shared" si="147"/>
        <v>3</v>
      </c>
      <c r="F812" s="1484" t="s">
        <v>11708</v>
      </c>
      <c r="G812" s="921" t="s">
        <v>11860</v>
      </c>
      <c r="H812" s="823" t="str">
        <f>VLOOKUP(G812,CAIXAS!A:M,2,0)</f>
        <v>SINAPI</v>
      </c>
      <c r="I812" s="700" t="str">
        <f>VLOOKUP(G812,CAIXAS!A:M,3,0)</f>
        <v>73891/1</v>
      </c>
      <c r="J812" s="824"/>
      <c r="K812" s="790" t="str">
        <f>(IF(H812="Saneago",VLOOKUP(I812,'SANEAGO-FEV.2016'!A:B,2,0),IF(H812="Sinapi",VLOOKUP(I812,'SINAPI-FEV.2017'!A:D,2,0),IF(H812="Cotação",VLOOKUP(I812,COTAÇÃO!A:D,2,0),IF(H812="Composição",VLOOKUP(I812,COMPOSIÇÃO!A:D,2,0))))))</f>
        <v>ESGOTAMENTO COM MOTO-BOMBA AUTOESCOVANTE</v>
      </c>
      <c r="L812" s="700" t="str">
        <f>(IF(H812="Saneago",VLOOKUP(I812,'SANEAGO-FEV.2016'!A:D,3,0),IF(H812="Sinapi",VLOOKUP(I812,'SINAPI-FEV.2017'!A:D,3,0),IF(H812="Cotação",VLOOKUP(I812,COTAÇÃO!A:D,3,0),IF(H812="Composição",VLOOKUP(I812,COMPOSIÇÃO!A:D,3,0))))))</f>
        <v>H</v>
      </c>
      <c r="M812" s="870">
        <f>ROUND(VLOOKUP(G812,CAIXAS!A:M,13,0),2)</f>
        <v>20</v>
      </c>
      <c r="N812" s="399">
        <v>0</v>
      </c>
      <c r="O812" s="102">
        <f t="shared" si="148"/>
        <v>0</v>
      </c>
      <c r="P812" s="101">
        <f t="shared" si="149"/>
        <v>0</v>
      </c>
      <c r="Q812" s="1472">
        <v>20</v>
      </c>
    </row>
    <row r="813" spans="1:17" ht="45">
      <c r="A813" s="1482"/>
      <c r="B813" s="1482"/>
      <c r="C813" s="1483">
        <f t="shared" si="143"/>
        <v>6</v>
      </c>
      <c r="D813" s="1492">
        <f t="shared" si="146"/>
        <v>5</v>
      </c>
      <c r="E813" s="1492">
        <f t="shared" si="147"/>
        <v>3</v>
      </c>
      <c r="F813" s="1484" t="s">
        <v>11708</v>
      </c>
      <c r="G813" s="921" t="s">
        <v>20449</v>
      </c>
      <c r="H813" s="823" t="str">
        <f>VLOOKUP(G813,CAIXAS!A:M,2,0)</f>
        <v>SINAPI</v>
      </c>
      <c r="I813" s="700">
        <f>VLOOKUP(G813,CAIXAS!A:M,3,0)</f>
        <v>93367</v>
      </c>
      <c r="J813" s="824"/>
      <c r="K813" s="790" t="str">
        <f>(IF(H813="Saneago",VLOOKUP(I813,'SANEAGO-FEV.2016'!A:B,2,0),IF(H813="Sinapi",VLOOKUP(I813,'SINAPI-FEV.2017'!A:D,2,0),IF(H813="Cotação",VLOOKUP(I813,COTAÇÃO!A:D,2,0),IF(H813="Composição",VLOOKUP(I813,COMPOSIÇÃO!A:D,2,0))))))</f>
        <v>REATERRO MECANIZADO DE VALA COM ESCAVADEIRA HIDRÁULICA (CAPACIDADE DA CAÇAMBA: 0,8 M³ / POTÊNCIA: 111 HP), LARGURA DE 1,5 A 2,5 M, PROFUNDIDADE ATÉ 1,5 M, COM SOLO (SEM SUBSTITUIÇÃO) DE 1ª CATEGORIA EM LOCAIS COM BAIXO NÍVEL DE INTERFERÊNCIA. AF_04/2016</v>
      </c>
      <c r="L813" s="700" t="str">
        <f>(IF(H813="Saneago",VLOOKUP(I813,'SANEAGO-FEV.2016'!A:D,3,0),IF(H813="Sinapi",VLOOKUP(I813,'SINAPI-FEV.2017'!A:D,3,0),IF(H813="Cotação",VLOOKUP(I813,COTAÇÃO!A:D,3,0),IF(H813="Composição",VLOOKUP(I813,COMPOSIÇÃO!A:D,3,0))))))</f>
        <v>M3</v>
      </c>
      <c r="M813" s="870">
        <f>ROUND(VLOOKUP(G813,CAIXAS!A:M,13,0),2)</f>
        <v>429.96</v>
      </c>
      <c r="N813" s="399">
        <v>0</v>
      </c>
      <c r="O813" s="102">
        <f t="shared" si="148"/>
        <v>0</v>
      </c>
      <c r="P813" s="101">
        <f t="shared" si="149"/>
        <v>0</v>
      </c>
      <c r="Q813" s="1472">
        <v>429.96</v>
      </c>
    </row>
    <row r="814" spans="1:17" ht="45">
      <c r="A814" s="1482"/>
      <c r="B814" s="1482"/>
      <c r="C814" s="1483">
        <f t="shared" si="143"/>
        <v>6</v>
      </c>
      <c r="D814" s="1492">
        <f>D813+A814</f>
        <v>5</v>
      </c>
      <c r="E814" s="1492">
        <f>E813+B814</f>
        <v>3</v>
      </c>
      <c r="F814" s="1484" t="s">
        <v>11708</v>
      </c>
      <c r="G814" s="921" t="s">
        <v>20450</v>
      </c>
      <c r="H814" s="823" t="str">
        <f>VLOOKUP(G814,CAIXAS!A:M,2,0)</f>
        <v>SINAPI</v>
      </c>
      <c r="I814" s="700">
        <f>VLOOKUP(G814,CAIXAS!A:M,3,0)</f>
        <v>93369</v>
      </c>
      <c r="J814" s="824"/>
      <c r="K814" s="790" t="str">
        <f>(IF(H814="Saneago",VLOOKUP(I814,'SANEAGO-FEV.2016'!A:B,2,0),IF(H814="Sinapi",VLOOKUP(I814,'SINAPI-FEV.2017'!A:D,2,0),IF(H814="Cotação",VLOOKUP(I814,COTAÇÃO!A:D,2,0),IF(H814="Composição",VLOOKUP(I814,COMPOSIÇÃO!A:D,2,0))))))</f>
        <v>REATERRO MECANIZADO DE VALA COM ESCAVADEIRA HIDRÁULICA (CAPACIDADE DA CAÇAMBA: 0,8 M³ / POTÊNCIA: 111 HP), LARGURA DE 1,5 A 2,5 M, PROFUNDIDADE DE 1,5 A 3,0 M, COM SOLO (SEM SUBSTITUIÇÃO) DE 1ª CATEGORIA EM LOCAIS COM BAIXO NÍVEL DE INTERFERÊNCIA. AF_04/2016</v>
      </c>
      <c r="L814" s="700" t="str">
        <f>(IF(H814="Saneago",VLOOKUP(I814,'SANEAGO-FEV.2016'!A:D,3,0),IF(H814="Sinapi",VLOOKUP(I814,'SINAPI-FEV.2017'!A:D,3,0),IF(H814="Cotação",VLOOKUP(I814,COTAÇÃO!A:D,3,0),IF(H814="Composição",VLOOKUP(I814,COMPOSIÇÃO!A:D,3,0))))))</f>
        <v>M3</v>
      </c>
      <c r="M814" s="870">
        <f>ROUND(VLOOKUP(G814,CAIXAS!A:M,13,0),2)</f>
        <v>149.72999999999999</v>
      </c>
      <c r="N814" s="399">
        <v>0</v>
      </c>
      <c r="O814" s="102">
        <f>ROUND(IF(F814="Serviços",N814*(1+$O$7),IF(F814="Materiais",N814*(1+$O$8))),2)</f>
        <v>0</v>
      </c>
      <c r="P814" s="101">
        <f>ROUND(M814*O814,2)</f>
        <v>0</v>
      </c>
      <c r="Q814" s="1472">
        <v>149.72999999999999</v>
      </c>
    </row>
    <row r="815" spans="1:17" ht="45">
      <c r="A815" s="1482"/>
      <c r="B815" s="1482"/>
      <c r="C815" s="1483">
        <f t="shared" si="143"/>
        <v>6</v>
      </c>
      <c r="D815" s="1492">
        <f>D814+A815</f>
        <v>5</v>
      </c>
      <c r="E815" s="1492">
        <f>E814+B815</f>
        <v>3</v>
      </c>
      <c r="F815" s="1484" t="s">
        <v>11708</v>
      </c>
      <c r="G815" s="921" t="s">
        <v>20451</v>
      </c>
      <c r="H815" s="823" t="str">
        <f>VLOOKUP(G815,CAIXAS!A:M,2,0)</f>
        <v>SINAPI</v>
      </c>
      <c r="I815" s="700">
        <f>VLOOKUP(G815,CAIXAS!A:M,3,0)</f>
        <v>93371</v>
      </c>
      <c r="J815" s="824"/>
      <c r="K815" s="790" t="str">
        <f>(IF(H815="Saneago",VLOOKUP(I815,'SANEAGO-FEV.2016'!A:B,2,0),IF(H815="Sinapi",VLOOKUP(I815,'SINAPI-FEV.2017'!A:D,2,0),IF(H815="Cotação",VLOOKUP(I815,COTAÇÃO!A:D,2,0),IF(H815="Composição",VLOOKUP(I815,COMPOSIÇÃO!A:D,2,0))))))</f>
        <v>REATERRO MECANIZADO DE VALA COM ESCAVADEIRA HIDRÁULICA (CAPACIDADE DA CAÇAMBA: 0,8 M³ / POTÊNCIA: 111 HP), LARGURA DE 1,5 A 2,5 M, PROFUNDIDADE DE 3,0 A 4,5 M, COM SOLO (SEM SUBSTITUIÇÃO) DE 1ª CATEGORIA EM LOCAIS COM BAIXO NÍVEL DE INTERFERÊNCIA. AF_04/2016</v>
      </c>
      <c r="L815" s="700" t="str">
        <f>(IF(H815="Saneago",VLOOKUP(I815,'SANEAGO-FEV.2016'!A:D,3,0),IF(H815="Sinapi",VLOOKUP(I815,'SINAPI-FEV.2017'!A:D,3,0),IF(H815="Cotação",VLOOKUP(I815,COTAÇÃO!A:D,3,0),IF(H815="Composição",VLOOKUP(I815,COMPOSIÇÃO!A:D,3,0))))))</f>
        <v>M3</v>
      </c>
      <c r="M815" s="870">
        <f>ROUND(VLOOKUP(G815,CAIXAS!A:M,13,0),2)</f>
        <v>10.83</v>
      </c>
      <c r="N815" s="399">
        <v>0</v>
      </c>
      <c r="O815" s="102">
        <f>ROUND(IF(F815="Serviços",N815*(1+$O$7),IF(F815="Materiais",N815*(1+$O$8))),2)</f>
        <v>0</v>
      </c>
      <c r="P815" s="101">
        <f>ROUND(M815*O815,2)</f>
        <v>0</v>
      </c>
      <c r="Q815" s="1472">
        <v>10.83</v>
      </c>
    </row>
    <row r="816" spans="1:17">
      <c r="A816" s="1482"/>
      <c r="B816" s="1482"/>
      <c r="C816" s="1483">
        <f>C813</f>
        <v>6</v>
      </c>
      <c r="D816" s="1492">
        <f>D813+A816</f>
        <v>5</v>
      </c>
      <c r="E816" s="1492">
        <f>E813+B816</f>
        <v>3</v>
      </c>
      <c r="F816" s="1484" t="s">
        <v>11708</v>
      </c>
      <c r="G816" s="921" t="s">
        <v>11861</v>
      </c>
      <c r="H816" s="823" t="str">
        <f>VLOOKUP(G816,CAIXAS!A:M,2,0)</f>
        <v>SINAPI</v>
      </c>
      <c r="I816" s="700" t="str">
        <f>VLOOKUP(G816,CAIXAS!A:M,3,0)</f>
        <v>73964/6</v>
      </c>
      <c r="J816" s="824"/>
      <c r="K816" s="790" t="str">
        <f>(IF(H816="Saneago",VLOOKUP(I816,'SANEAGO-FEV.2016'!A:B,2,0),IF(H816="Sinapi",VLOOKUP(I816,'SINAPI-FEV.2017'!A:D,2,0),IF(H816="Cotação",VLOOKUP(I816,COTAÇÃO!A:D,2,0),IF(H816="Composição",VLOOKUP(I816,COMPOSIÇÃO!A:D,2,0))))))</f>
        <v>REATERRO DE VALA COM COMPACTAÇÃO MANUAL</v>
      </c>
      <c r="L816" s="700" t="str">
        <f>(IF(H816="Saneago",VLOOKUP(I816,'SANEAGO-FEV.2016'!A:D,3,0),IF(H816="Sinapi",VLOOKUP(I816,'SINAPI-FEV.2017'!A:D,3,0),IF(H816="Cotação",VLOOKUP(I816,COTAÇÃO!A:D,3,0),IF(H816="Composição",VLOOKUP(I816,COMPOSIÇÃO!A:D,3,0))))))</f>
        <v>M3</v>
      </c>
      <c r="M816" s="870">
        <f>ROUND(VLOOKUP(G816,CAIXAS!A:M,13,0),2)</f>
        <v>65.61</v>
      </c>
      <c r="N816" s="399">
        <v>0</v>
      </c>
      <c r="O816" s="102">
        <f t="shared" si="148"/>
        <v>0</v>
      </c>
      <c r="P816" s="101">
        <f t="shared" si="149"/>
        <v>0</v>
      </c>
      <c r="Q816" s="1472">
        <v>65.61</v>
      </c>
    </row>
    <row r="817" spans="1:17" ht="15.75" thickBot="1">
      <c r="A817" s="1482"/>
      <c r="B817" s="1482"/>
      <c r="C817" s="1483">
        <f t="shared" si="143"/>
        <v>6</v>
      </c>
      <c r="D817" s="1492">
        <f t="shared" si="146"/>
        <v>5</v>
      </c>
      <c r="E817" s="1492">
        <f t="shared" si="147"/>
        <v>3</v>
      </c>
      <c r="F817" s="1484" t="s">
        <v>11708</v>
      </c>
      <c r="H817" s="1095"/>
      <c r="I817" s="780"/>
      <c r="J817" s="834"/>
      <c r="K817" s="780"/>
      <c r="L817" s="780"/>
      <c r="M817" s="1270"/>
      <c r="N817" s="400"/>
      <c r="O817" s="122"/>
      <c r="P817" s="123"/>
    </row>
    <row r="818" spans="1:17" ht="16.5" customHeight="1" thickTop="1" thickBot="1">
      <c r="A818" s="1482"/>
      <c r="B818" s="1482"/>
      <c r="C818" s="1483">
        <f t="shared" si="143"/>
        <v>6</v>
      </c>
      <c r="D818" s="1492">
        <f t="shared" si="146"/>
        <v>5</v>
      </c>
      <c r="E818" s="1492">
        <f t="shared" si="147"/>
        <v>3</v>
      </c>
      <c r="F818" s="1484" t="s">
        <v>11708</v>
      </c>
      <c r="H818" s="1653" t="str">
        <f>"TOTAL ITEM: "&amp;J798 &amp;K798</f>
        <v>TOTAL ITEM: 6.5.3 MOVIMENTO DE TERRA</v>
      </c>
      <c r="I818" s="1654"/>
      <c r="J818" s="1654"/>
      <c r="K818" s="1654"/>
      <c r="L818" s="1654"/>
      <c r="M818" s="1654"/>
      <c r="N818" s="1654"/>
      <c r="O818" s="1654"/>
      <c r="P818" s="210">
        <f>SUBTOTAL(9,P800:P816)</f>
        <v>0</v>
      </c>
    </row>
    <row r="819" spans="1:17" ht="15.75" thickTop="1">
      <c r="A819" s="1482"/>
      <c r="B819" s="1482"/>
      <c r="C819" s="1483">
        <f t="shared" si="143"/>
        <v>6</v>
      </c>
      <c r="D819" s="1492">
        <f t="shared" si="146"/>
        <v>5</v>
      </c>
      <c r="E819" s="1492">
        <f t="shared" si="147"/>
        <v>3</v>
      </c>
      <c r="F819" s="1484" t="s">
        <v>11708</v>
      </c>
      <c r="H819" s="1095"/>
      <c r="I819" s="780"/>
      <c r="J819" s="834"/>
      <c r="K819" s="780"/>
      <c r="L819" s="780"/>
      <c r="M819" s="1270"/>
      <c r="N819" s="400"/>
      <c r="O819" s="122"/>
      <c r="P819" s="123"/>
    </row>
    <row r="820" spans="1:17">
      <c r="A820" s="1482"/>
      <c r="B820" s="1482">
        <v>1</v>
      </c>
      <c r="C820" s="1483">
        <f t="shared" si="143"/>
        <v>6</v>
      </c>
      <c r="D820" s="1492">
        <f t="shared" si="146"/>
        <v>5</v>
      </c>
      <c r="E820" s="1492">
        <f t="shared" si="147"/>
        <v>4</v>
      </c>
      <c r="F820" s="1484" t="s">
        <v>11708</v>
      </c>
      <c r="H820" s="1514" t="s">
        <v>11703</v>
      </c>
      <c r="I820" s="1515" t="s">
        <v>64</v>
      </c>
      <c r="J820" s="1516" t="str">
        <f>CONCATENATE(C820,".",D820,".",E820)</f>
        <v>6.5.4</v>
      </c>
      <c r="K820" s="1516" t="s">
        <v>11712</v>
      </c>
      <c r="L820" s="1517" t="s">
        <v>25</v>
      </c>
      <c r="M820" s="1518" t="s">
        <v>11704</v>
      </c>
      <c r="N820" s="398" t="s">
        <v>11705</v>
      </c>
      <c r="O820" s="207" t="s">
        <v>11706</v>
      </c>
      <c r="P820" s="208" t="s">
        <v>27</v>
      </c>
      <c r="Q820" s="1472" t="s">
        <v>11704</v>
      </c>
    </row>
    <row r="821" spans="1:17">
      <c r="A821" s="1482"/>
      <c r="B821" s="1482"/>
      <c r="C821" s="1483">
        <f t="shared" si="143"/>
        <v>6</v>
      </c>
      <c r="D821" s="1492">
        <f t="shared" si="146"/>
        <v>5</v>
      </c>
      <c r="E821" s="1492">
        <f t="shared" si="147"/>
        <v>4</v>
      </c>
      <c r="F821" s="1484" t="s">
        <v>11708</v>
      </c>
      <c r="H821" s="1095"/>
      <c r="I821" s="780"/>
      <c r="J821" s="834"/>
      <c r="K821" s="780"/>
      <c r="L821" s="780"/>
      <c r="M821" s="1270"/>
      <c r="N821" s="400"/>
      <c r="O821" s="122"/>
      <c r="P821" s="123"/>
    </row>
    <row r="822" spans="1:17" ht="33.75">
      <c r="A822" s="1482"/>
      <c r="B822" s="1482"/>
      <c r="C822" s="1483">
        <f t="shared" si="143"/>
        <v>6</v>
      </c>
      <c r="D822" s="1492">
        <f t="shared" si="146"/>
        <v>5</v>
      </c>
      <c r="E822" s="1492">
        <f t="shared" si="147"/>
        <v>4</v>
      </c>
      <c r="F822" s="1484" t="s">
        <v>11708</v>
      </c>
      <c r="G822" s="921" t="s">
        <v>11862</v>
      </c>
      <c r="H822" s="823" t="str">
        <f>VLOOKUP(G822,CAIXAS!A:M,2,0)</f>
        <v>SINAPI</v>
      </c>
      <c r="I822" s="700" t="str">
        <f>VLOOKUP(G822,CAIXAS!A:M,3,0)</f>
        <v>74010/1</v>
      </c>
      <c r="J822" s="824"/>
      <c r="K822" s="790" t="str">
        <f>(IF(H822="Saneago",VLOOKUP(I822,'SANEAGO-FEV.2016'!A:B,2,0),IF(H822="Sinapi",VLOOKUP(I822,'SINAPI-FEV.2017'!A:D,2,0),IF(H822="Cotação",VLOOKUP(I822,COTAÇÃO!A:D,2,0),IF(H822="Composição",VLOOKUP(I822,COMPOSIÇÃO!A:D,2,0))))))</f>
        <v>CARGA E DESCARGA MECANICA DE SOLO UTILIZANDO CAMINHAO BASCULANTE 6,0M3/16T E PA CARREGADEIRA SOBRE PNEUS 128 HP, CAPACIDADE DA CAÇAMBA 1,7 A 2,8 M3, PESO OPERACIONAL 11632 KG</v>
      </c>
      <c r="L822" s="700" t="str">
        <f>(IF(H822="Saneago",VLOOKUP(I822,'SANEAGO-FEV.2016'!A:D,3,0),IF(H822="Sinapi",VLOOKUP(I822,'SINAPI-FEV.2017'!A:D,3,0),IF(H822="Cotação",VLOOKUP(I822,COTAÇÃO!A:D,3,0),IF(H822="Composição",VLOOKUP(I822,COMPOSIÇÃO!A:D,3,0))))))</f>
        <v>M3</v>
      </c>
      <c r="M822" s="870">
        <f>ROUND(VLOOKUP(G822,CAIXAS!A:M,13,0),2)</f>
        <v>185.2</v>
      </c>
      <c r="N822" s="399">
        <v>0</v>
      </c>
      <c r="O822" s="102">
        <f>ROUND(IF(F822="Serviços",N822*(1+$O$7),IF(F822="Materiais",N822*(1+$O$8))),2)</f>
        <v>0</v>
      </c>
      <c r="P822" s="101">
        <f>ROUND(M822*O822,2)</f>
        <v>0</v>
      </c>
      <c r="Q822" s="1472">
        <v>185.2</v>
      </c>
    </row>
    <row r="823" spans="1:17" ht="22.5">
      <c r="A823" s="1482"/>
      <c r="B823" s="1482"/>
      <c r="C823" s="1483">
        <f t="shared" si="143"/>
        <v>6</v>
      </c>
      <c r="D823" s="1492">
        <f t="shared" si="146"/>
        <v>5</v>
      </c>
      <c r="E823" s="1492">
        <f t="shared" si="147"/>
        <v>4</v>
      </c>
      <c r="F823" s="1484" t="s">
        <v>11708</v>
      </c>
      <c r="G823" s="921" t="s">
        <v>11863</v>
      </c>
      <c r="H823" s="823" t="str">
        <f>VLOOKUP(G823,CAIXAS!A:M,2,0)</f>
        <v>SINAPI</v>
      </c>
      <c r="I823" s="700">
        <f>VLOOKUP(G823,CAIXAS!A:M,3,0)</f>
        <v>93590</v>
      </c>
      <c r="J823" s="824"/>
      <c r="K823" s="790" t="str">
        <f>(IF(H823="Saneago",VLOOKUP(I823,'SANEAGO-FEV.2016'!A:B,2,0),IF(H823="Sinapi",VLOOKUP(I823,'SINAPI-FEV.2017'!A:D,2,0),IF(H823="Cotação",VLOOKUP(I823,COTAÇÃO!A:D,2,0),IF(H823="Composição",VLOOKUP(I823,COMPOSIÇÃO!A:D,2,0))))))</f>
        <v>TRANSPORTE COM CAMINHÃO BASCULANTE DE 10 M3, EM VIA URBANA PAVIMENTADA, DMT ACIMA DE 30KM (UNIDADE: M3XKM). AF_04/2016</v>
      </c>
      <c r="L823" s="700" t="str">
        <f>(IF(H823="Saneago",VLOOKUP(I823,'SANEAGO-FEV.2016'!A:D,3,0),IF(H823="Sinapi",VLOOKUP(I823,'SINAPI-FEV.2017'!A:D,3,0),IF(H823="Cotação",VLOOKUP(I823,COTAÇÃO!A:D,3,0),IF(H823="Composição",VLOOKUP(I823,COMPOSIÇÃO!A:D,3,0))))))</f>
        <v>M3XKM</v>
      </c>
      <c r="M823" s="870">
        <f>ROUND(VLOOKUP(G823,CAIXAS!A:M,13,0),2)</f>
        <v>1388.99</v>
      </c>
      <c r="N823" s="399">
        <v>0</v>
      </c>
      <c r="O823" s="102">
        <f>ROUND(IF(F823="Serviços",N823*(1+$O$7),IF(F823="Materiais",N823*(1+$O$8))),2)</f>
        <v>0</v>
      </c>
      <c r="P823" s="101">
        <f>ROUND(M823*O823,2)</f>
        <v>0</v>
      </c>
      <c r="Q823" s="1472">
        <v>1388.99</v>
      </c>
    </row>
    <row r="824" spans="1:17" ht="22.5">
      <c r="A824" s="1482"/>
      <c r="B824" s="1482"/>
      <c r="C824" s="1483">
        <f t="shared" si="143"/>
        <v>6</v>
      </c>
      <c r="D824" s="1492">
        <f t="shared" si="146"/>
        <v>5</v>
      </c>
      <c r="E824" s="1492">
        <f t="shared" si="147"/>
        <v>4</v>
      </c>
      <c r="F824" s="1484" t="s">
        <v>11708</v>
      </c>
      <c r="G824" s="921" t="s">
        <v>11864</v>
      </c>
      <c r="H824" s="823" t="str">
        <f>VLOOKUP(G824,CAIXAS!A:M,2,0)</f>
        <v>SINAPI</v>
      </c>
      <c r="I824" s="700">
        <f>VLOOKUP(G824,CAIXAS!A:M,3,0)</f>
        <v>83344</v>
      </c>
      <c r="J824" s="824"/>
      <c r="K824" s="790" t="str">
        <f>(IF(H824="Saneago",VLOOKUP(I824,'SANEAGO-FEV.2016'!A:B,2,0),IF(H824="Sinapi",VLOOKUP(I824,'SINAPI-FEV.2017'!A:D,2,0),IF(H824="Cotação",VLOOKUP(I824,COTAÇÃO!A:D,2,0),IF(H824="Composição",VLOOKUP(I824,COMPOSIÇÃO!A:D,2,0))))))</f>
        <v>ESPALHAMENTO DE MATERIAL EM BOTA FORA, COM UTILIZACAO DE TRATOR DE ESTEIRAS DE 165 HP</v>
      </c>
      <c r="L824" s="700" t="str">
        <f>(IF(H824="Saneago",VLOOKUP(I824,'SANEAGO-FEV.2016'!A:D,3,0),IF(H824="Sinapi",VLOOKUP(I824,'SINAPI-FEV.2017'!A:D,3,0),IF(H824="Cotação",VLOOKUP(I824,COTAÇÃO!A:D,3,0),IF(H824="Composição",VLOOKUP(I824,COMPOSIÇÃO!A:D,3,0))))))</f>
        <v>M3</v>
      </c>
      <c r="M824" s="870">
        <f>ROUND(VLOOKUP(G824,CAIXAS!A:M,13,0),2)</f>
        <v>177.48</v>
      </c>
      <c r="N824" s="399">
        <v>0</v>
      </c>
      <c r="O824" s="102">
        <f>ROUND(IF(F824="Serviços",N824*(1+$O$7),IF(F824="Materiais",N824*(1+$O$8))),2)</f>
        <v>0</v>
      </c>
      <c r="P824" s="101">
        <f>ROUND(M824*O824,2)</f>
        <v>0</v>
      </c>
      <c r="Q824" s="1472">
        <v>177.48</v>
      </c>
    </row>
    <row r="825" spans="1:17" ht="15.75" thickBot="1">
      <c r="A825" s="1482"/>
      <c r="B825" s="1482"/>
      <c r="C825" s="1483">
        <f t="shared" si="143"/>
        <v>6</v>
      </c>
      <c r="D825" s="1492">
        <f t="shared" si="146"/>
        <v>5</v>
      </c>
      <c r="E825" s="1492">
        <f t="shared" si="147"/>
        <v>4</v>
      </c>
      <c r="F825" s="1484" t="s">
        <v>11708</v>
      </c>
      <c r="G825" s="965"/>
      <c r="H825" s="1095"/>
      <c r="I825" s="780"/>
      <c r="J825" s="834"/>
      <c r="K825" s="780"/>
      <c r="L825" s="780"/>
      <c r="M825" s="1270"/>
      <c r="N825" s="400"/>
      <c r="O825" s="122"/>
      <c r="P825" s="123"/>
    </row>
    <row r="826" spans="1:17" ht="16.5" customHeight="1" thickTop="1" thickBot="1">
      <c r="A826" s="1482"/>
      <c r="B826" s="1482"/>
      <c r="C826" s="1483">
        <f t="shared" si="143"/>
        <v>6</v>
      </c>
      <c r="D826" s="1492">
        <f t="shared" si="146"/>
        <v>5</v>
      </c>
      <c r="E826" s="1492">
        <f t="shared" si="147"/>
        <v>4</v>
      </c>
      <c r="F826" s="1484" t="s">
        <v>11708</v>
      </c>
      <c r="G826" s="921"/>
      <c r="H826" s="1653" t="str">
        <f>"TOTAL ITEM: "&amp;J820 &amp;K820</f>
        <v>TOTAL ITEM: 6.5.4 BOTA FORA DE MATERIAL DE ESCAVAÇÃO (SOLO 1º E 2º CATEGORIA)</v>
      </c>
      <c r="I826" s="1654"/>
      <c r="J826" s="1654"/>
      <c r="K826" s="1654"/>
      <c r="L826" s="1654"/>
      <c r="M826" s="1654"/>
      <c r="N826" s="1654"/>
      <c r="O826" s="1654"/>
      <c r="P826" s="210">
        <f>SUBTOTAL(9,P822:P824)</f>
        <v>0</v>
      </c>
    </row>
    <row r="827" spans="1:17" ht="15.75" thickTop="1">
      <c r="A827" s="1482"/>
      <c r="B827" s="1482"/>
      <c r="C827" s="1483">
        <f t="shared" si="143"/>
        <v>6</v>
      </c>
      <c r="D827" s="1492">
        <f t="shared" si="146"/>
        <v>5</v>
      </c>
      <c r="E827" s="1492">
        <f t="shared" si="147"/>
        <v>4</v>
      </c>
      <c r="F827" s="1484" t="s">
        <v>11708</v>
      </c>
      <c r="H827" s="1095"/>
      <c r="I827" s="780"/>
      <c r="J827" s="834"/>
      <c r="K827" s="780"/>
      <c r="L827" s="780"/>
      <c r="M827" s="1270"/>
      <c r="N827" s="400"/>
      <c r="O827" s="122"/>
      <c r="P827" s="123"/>
    </row>
    <row r="828" spans="1:17">
      <c r="A828" s="1482"/>
      <c r="B828" s="1482">
        <v>1</v>
      </c>
      <c r="C828" s="1483">
        <f t="shared" si="143"/>
        <v>6</v>
      </c>
      <c r="D828" s="1492">
        <f t="shared" si="146"/>
        <v>5</v>
      </c>
      <c r="E828" s="1492">
        <f t="shared" si="147"/>
        <v>5</v>
      </c>
      <c r="F828" s="1484" t="s">
        <v>11708</v>
      </c>
      <c r="H828" s="1514" t="s">
        <v>11703</v>
      </c>
      <c r="I828" s="1515" t="s">
        <v>64</v>
      </c>
      <c r="J828" s="1516" t="str">
        <f>CONCATENATE(C828,".",D828,".",E828)</f>
        <v>6.5.5</v>
      </c>
      <c r="K828" s="1516" t="s">
        <v>1225</v>
      </c>
      <c r="L828" s="1517" t="s">
        <v>25</v>
      </c>
      <c r="M828" s="1518" t="s">
        <v>11704</v>
      </c>
      <c r="N828" s="398" t="s">
        <v>11705</v>
      </c>
      <c r="O828" s="207" t="s">
        <v>11706</v>
      </c>
      <c r="P828" s="208" t="s">
        <v>27</v>
      </c>
      <c r="Q828" s="1472" t="s">
        <v>11704</v>
      </c>
    </row>
    <row r="829" spans="1:17">
      <c r="A829" s="1482"/>
      <c r="B829" s="1482"/>
      <c r="C829" s="1483">
        <f t="shared" si="143"/>
        <v>6</v>
      </c>
      <c r="D829" s="1492">
        <f t="shared" si="146"/>
        <v>5</v>
      </c>
      <c r="E829" s="1492">
        <f t="shared" si="147"/>
        <v>5</v>
      </c>
      <c r="F829" s="1484" t="s">
        <v>11708</v>
      </c>
      <c r="H829" s="1095"/>
      <c r="I829" s="780"/>
      <c r="J829" s="834"/>
      <c r="K829" s="780"/>
      <c r="L829" s="780"/>
      <c r="M829" s="1270"/>
      <c r="N829" s="400"/>
      <c r="O829" s="122"/>
      <c r="P829" s="123"/>
    </row>
    <row r="830" spans="1:17" ht="45">
      <c r="A830" s="1482"/>
      <c r="B830" s="1482"/>
      <c r="C830" s="1483">
        <f t="shared" si="143"/>
        <v>6</v>
      </c>
      <c r="D830" s="1492">
        <f t="shared" si="146"/>
        <v>5</v>
      </c>
      <c r="E830" s="1492">
        <f t="shared" si="147"/>
        <v>5</v>
      </c>
      <c r="F830" s="1484" t="s">
        <v>11708</v>
      </c>
      <c r="G830" s="921" t="s">
        <v>20434</v>
      </c>
      <c r="H830" s="823" t="str">
        <f>VLOOKUP(G830,CAIXAS!A:M,2,0)</f>
        <v>SINAPI</v>
      </c>
      <c r="I830" s="700">
        <f>VLOOKUP(G830,CAIXAS!A:M,3,0)</f>
        <v>92418</v>
      </c>
      <c r="J830" s="824"/>
      <c r="K830" s="790" t="str">
        <f>(IF(H830="Saneago",VLOOKUP(I830,'SANEAGO-FEV.2016'!A:B,2,0),IF(H830="Sinapi",VLOOKUP(I830,'SINAPI-FEV.2017'!A:D,2,0),IF(H830="Cotação",VLOOKUP(I830,COTAÇÃO!A:D,2,0),IF(H830="Composição",VLOOKUP(I830,COMPOSIÇÃO!A:D,2,0))))))</f>
        <v>MONTAGEM E DESMONTAGEM DE FÔRMA DE PILARES RETANGULARES E ESTRUTURAS SIMILARES COM ÁREA MÉDIA DAS SEÇÕES MENOR OU IGUAL A 0,25 M², PÉ-DIREITO SIMPLES, EM CHAPA DE MADEIRA COMPENSADA RESINADA, 4 UTILIZAÇÕES. AF_12/2015</v>
      </c>
      <c r="L830" s="700" t="str">
        <f>(IF(H830="Saneago",VLOOKUP(I830,'SANEAGO-FEV.2016'!A:D,3,0),IF(H830="Sinapi",VLOOKUP(I830,'SINAPI-FEV.2017'!A:D,3,0),IF(H830="Cotação",VLOOKUP(I830,COTAÇÃO!A:D,3,0),IF(H830="Composição",VLOOKUP(I830,COMPOSIÇÃO!A:D,3,0))))))</f>
        <v>M2</v>
      </c>
      <c r="M830" s="870">
        <f>ROUND(VLOOKUP(G830,CAIXAS!A:M,13,0),2)</f>
        <v>27.96</v>
      </c>
      <c r="N830" s="399">
        <v>0</v>
      </c>
      <c r="O830" s="102">
        <f>ROUND(IF(F830="Serviços",N830*(1+$O$7),IF(F830="Materiais",N830*(1+$O$8))),2)</f>
        <v>0</v>
      </c>
      <c r="P830" s="101">
        <f>ROUND(M830*O830,2)</f>
        <v>0</v>
      </c>
      <c r="Q830" s="1472">
        <v>50.76</v>
      </c>
    </row>
    <row r="831" spans="1:17" ht="33.75">
      <c r="A831" s="1482"/>
      <c r="B831" s="1482"/>
      <c r="C831" s="1483">
        <f t="shared" si="143"/>
        <v>6</v>
      </c>
      <c r="D831" s="1492">
        <f>D830+A831</f>
        <v>5</v>
      </c>
      <c r="E831" s="1492">
        <f>E830+B831</f>
        <v>5</v>
      </c>
      <c r="F831" s="1484" t="s">
        <v>11708</v>
      </c>
      <c r="G831" s="921" t="s">
        <v>20435</v>
      </c>
      <c r="H831" s="823" t="str">
        <f>VLOOKUP(G831,CAIXAS!A:M,2,0)</f>
        <v>SINAPI</v>
      </c>
      <c r="I831" s="700">
        <f>VLOOKUP(G831,CAIXAS!A:M,3,0)</f>
        <v>92514</v>
      </c>
      <c r="J831" s="824"/>
      <c r="K831" s="790" t="str">
        <f>(IF(H831="Saneago",VLOOKUP(I831,'SANEAGO-FEV.2016'!A:B,2,0),IF(H831="Sinapi",VLOOKUP(I831,'SINAPI-FEV.2017'!A:D,2,0),IF(H831="Cotação",VLOOKUP(I831,COTAÇÃO!A:D,2,0),IF(H831="Composição",VLOOKUP(I831,COMPOSIÇÃO!A:D,2,0))))))</f>
        <v>MONTAGEM E DESMONTAGEM DE FÔRMA DE LAJE MACIÇA COM ÁREA MÉDIA MAIOR QUE 20 M², PÉ-DIREITO SIMPLES, EM CHAPA DE MADEIRA COMPENSADA RESINADA, 4 UTILIZAÇÕES. AF_12/2015</v>
      </c>
      <c r="L831" s="700" t="str">
        <f>(IF(H831="Saneago",VLOOKUP(I831,'SANEAGO-FEV.2016'!A:D,3,0),IF(H831="Sinapi",VLOOKUP(I831,'SINAPI-FEV.2017'!A:D,3,0),IF(H831="Cotação",VLOOKUP(I831,COTAÇÃO!A:D,3,0),IF(H831="Composição",VLOOKUP(I831,COMPOSIÇÃO!A:D,3,0))))))</f>
        <v>M2</v>
      </c>
      <c r="M831" s="870">
        <f>ROUND(VLOOKUP(G831,CAIXAS!A:M,13,0),2)</f>
        <v>324.05</v>
      </c>
      <c r="N831" s="399">
        <v>0</v>
      </c>
      <c r="O831" s="102">
        <f>ROUND(IF(F831="Serviços",N831*(1+$O$7),IF(F831="Materiais",N831*(1+$O$8))),2)</f>
        <v>0</v>
      </c>
      <c r="P831" s="101">
        <f>ROUND(M831*O831,2)</f>
        <v>0</v>
      </c>
      <c r="Q831" s="1472">
        <v>324.05</v>
      </c>
    </row>
    <row r="832" spans="1:17" ht="22.5">
      <c r="A832" s="1482"/>
      <c r="B832" s="1482"/>
      <c r="C832" s="1483">
        <f t="shared" si="143"/>
        <v>6</v>
      </c>
      <c r="D832" s="1492">
        <f>D831+A832</f>
        <v>5</v>
      </c>
      <c r="E832" s="1492">
        <f>E831+B832</f>
        <v>5</v>
      </c>
      <c r="F832" s="1484" t="s">
        <v>11708</v>
      </c>
      <c r="G832" s="921" t="s">
        <v>11950</v>
      </c>
      <c r="H832" s="823" t="str">
        <f>VLOOKUP(G832,CAIXAS!A:M,2,0)</f>
        <v>Saneago</v>
      </c>
      <c r="I832" s="700">
        <f>VLOOKUP(G832,CAIXAS!A:M,3,0)</f>
        <v>316</v>
      </c>
      <c r="J832" s="824"/>
      <c r="K832" s="790" t="str">
        <f>(IF(H832="Saneago",VLOOKUP(I832,'SANEAGO-FEV.2016'!A:B,2,0),IF(H832="Sinapi",VLOOKUP(I832,'SINAPI-FEV.2017'!A:D,2,0),IF(H832="Cotação",VLOOKUP(I832,COTAÇÃO!A:D,2,0),IF(H832="Composição",VLOOKUP(I832,COMPOSIÇÃO!A:D,2,0))))))</f>
        <v>CONCRETO  ESTRUTURAL USINADO BOMBEADO  FCK=40 MPA, COM ADIÇÃO DE 8 À 10% DE MICROSSÍLICA (INCLUINDO  LANÇAMENTO, APLICAÇÃO  E ADENSAMENTO)</v>
      </c>
      <c r="L832" s="700" t="str">
        <f>(IF(H832="Saneago",VLOOKUP(I832,'SANEAGO-FEV.2016'!A:D,3,0),IF(H832="Sinapi",VLOOKUP(I832,'SINAPI-FEV.2017'!A:D,3,0),IF(H832="Cotação",VLOOKUP(I832,COTAÇÃO!A:D,3,0),IF(H832="Composição",VLOOKUP(I832,COMPOSIÇÃO!A:D,3,0))))))</f>
        <v>M3</v>
      </c>
      <c r="M832" s="870">
        <f>ROUND(VLOOKUP(G832,CAIXAS!A:M,13,0),2)</f>
        <v>39.81</v>
      </c>
      <c r="N832" s="399">
        <v>0</v>
      </c>
      <c r="O832" s="102">
        <f t="shared" ref="O832:O840" si="150">ROUND(IF(F832="Serviços",N832*(1+$O$7),IF(F832="Materiais",N832*(1+$O$8))),2)</f>
        <v>0</v>
      </c>
      <c r="P832" s="101">
        <f t="shared" ref="P832:P840" si="151">ROUND(M832*O832,2)</f>
        <v>0</v>
      </c>
      <c r="Q832" s="1472">
        <v>39.81</v>
      </c>
    </row>
    <row r="833" spans="1:17" ht="22.5">
      <c r="A833" s="1482"/>
      <c r="B833" s="1482"/>
      <c r="C833" s="1483">
        <f t="shared" si="143"/>
        <v>6</v>
      </c>
      <c r="D833" s="1492">
        <f t="shared" si="146"/>
        <v>5</v>
      </c>
      <c r="E833" s="1492">
        <f t="shared" si="147"/>
        <v>5</v>
      </c>
      <c r="F833" s="1484" t="s">
        <v>11708</v>
      </c>
      <c r="G833" s="921" t="s">
        <v>20436</v>
      </c>
      <c r="H833" s="823" t="str">
        <f>VLOOKUP(G833,CAIXAS!A:M,2,0)</f>
        <v>SINAPI</v>
      </c>
      <c r="I833" s="700">
        <f>VLOOKUP(G833,CAIXAS!A:M,3,0)</f>
        <v>34493</v>
      </c>
      <c r="J833" s="824"/>
      <c r="K833" s="790" t="str">
        <f>(IF(H833="Saneago",VLOOKUP(I833,'SANEAGO-FEV.2016'!A:B,2,0),IF(H833="Sinapi",VLOOKUP(I833,'SINAPI-FEV.2017'!A:D,2,0),IF(H833="Cotação",VLOOKUP(I833,COTAÇÃO!A:D,2,0),IF(H833="Composição",VLOOKUP(I833,COMPOSIÇÃO!A:D,2,0))))))</f>
        <v>CONCRETO USINADO BOMBEAVEL, CLASSE DE RESISTENCIA C25, COM BRITA 0 E 1, SLUMP = 100 +/- 20 MM, EXCLUI SERVICO DE BOMBEAMENTO (NBR 8953)</v>
      </c>
      <c r="L833" s="700" t="str">
        <f>(IF(H833="Saneago",VLOOKUP(I833,'SANEAGO-FEV.2016'!A:D,3,0),IF(H833="Sinapi",VLOOKUP(I833,'SINAPI-FEV.2017'!A:D,3,0),IF(H833="Cotação",VLOOKUP(I833,COTAÇÃO!A:D,3,0),IF(H833="Composição",VLOOKUP(I833,COMPOSIÇÃO!A:D,3,0))))))</f>
        <v>M3</v>
      </c>
      <c r="M833" s="870">
        <f>ROUND(VLOOKUP(G833,CAIXAS!A:M,13,0),2)</f>
        <v>13.15</v>
      </c>
      <c r="N833" s="399">
        <v>0</v>
      </c>
      <c r="O833" s="102">
        <f t="shared" si="150"/>
        <v>0</v>
      </c>
      <c r="P833" s="101">
        <f t="shared" si="151"/>
        <v>0</v>
      </c>
      <c r="Q833" s="1472">
        <v>13.15</v>
      </c>
    </row>
    <row r="834" spans="1:17" ht="22.5">
      <c r="A834" s="1482"/>
      <c r="B834" s="1482"/>
      <c r="C834" s="1483">
        <f t="shared" si="143"/>
        <v>6</v>
      </c>
      <c r="D834" s="1492">
        <f>D833+A834</f>
        <v>5</v>
      </c>
      <c r="E834" s="1492">
        <f>E833+B834</f>
        <v>5</v>
      </c>
      <c r="F834" s="1484" t="s">
        <v>11708</v>
      </c>
      <c r="G834" s="921" t="s">
        <v>20437</v>
      </c>
      <c r="H834" s="823" t="str">
        <f>VLOOKUP(G834,CAIXAS!A:M,2,0)</f>
        <v>SINAPI</v>
      </c>
      <c r="I834" s="700">
        <f>VLOOKUP(G834,CAIXAS!A:M,3,0)</f>
        <v>92874</v>
      </c>
      <c r="J834" s="824"/>
      <c r="K834" s="790" t="str">
        <f>(IF(H834="Saneago",VLOOKUP(I834,'SANEAGO-FEV.2016'!A:B,2,0),IF(H834="Sinapi",VLOOKUP(I834,'SINAPI-FEV.2017'!A:D,2,0),IF(H834="Cotação",VLOOKUP(I834,COTAÇÃO!A:D,2,0),IF(H834="Composição",VLOOKUP(I834,COMPOSIÇÃO!A:D,2,0))))))</f>
        <v>LANÇAMENTO COM USO DE BOMBA, ADENSAMENTO E ACABAMENTO DE CONCRETO EM ESTRUTURAS. AF_12/2015</v>
      </c>
      <c r="L834" s="700" t="str">
        <f>(IF(H834="Saneago",VLOOKUP(I834,'SANEAGO-FEV.2016'!A:D,3,0),IF(H834="Sinapi",VLOOKUP(I834,'SINAPI-FEV.2017'!A:D,3,0),IF(H834="Cotação",VLOOKUP(I834,COTAÇÃO!A:D,3,0),IF(H834="Composição",VLOOKUP(I834,COMPOSIÇÃO!A:D,3,0))))))</f>
        <v>M3</v>
      </c>
      <c r="M834" s="870">
        <f>ROUND(VLOOKUP(G834,CAIXAS!A:M,13,0),2)</f>
        <v>13.15</v>
      </c>
      <c r="N834" s="399">
        <v>0</v>
      </c>
      <c r="O834" s="102">
        <f t="shared" si="150"/>
        <v>0</v>
      </c>
      <c r="P834" s="101">
        <f t="shared" si="151"/>
        <v>0</v>
      </c>
      <c r="Q834" s="1472">
        <v>13.15</v>
      </c>
    </row>
    <row r="835" spans="1:17" ht="45">
      <c r="A835" s="1482"/>
      <c r="B835" s="1482"/>
      <c r="C835" s="1483">
        <f t="shared" si="143"/>
        <v>6</v>
      </c>
      <c r="D835" s="1492">
        <f>D834+A835</f>
        <v>5</v>
      </c>
      <c r="E835" s="1492">
        <f>E834+B835</f>
        <v>5</v>
      </c>
      <c r="F835" s="1484" t="s">
        <v>11708</v>
      </c>
      <c r="G835" s="912" t="s">
        <v>20443</v>
      </c>
      <c r="H835" s="823" t="str">
        <f>VLOOKUP(G835,CAIXAS!A:M,2,0)</f>
        <v>SINAPI</v>
      </c>
      <c r="I835" s="700">
        <f>VLOOKUP(G835,CAIXAS!A:M,3,0)</f>
        <v>92915</v>
      </c>
      <c r="J835" s="824"/>
      <c r="K835" s="790" t="str">
        <f>(IF(H835="Saneago",VLOOKUP(I835,'SANEAGO-FEV.2016'!A:B,2,0),IF(H835="Sinapi",VLOOKUP(I835,'SINAPI-FEV.2017'!A:D,2,0),IF(H835="Cotação",VLOOKUP(I835,COTAÇÃO!A:D,2,0),IF(H835="Composição",VLOOKUP(I835,COMPOSIÇÃO!A:D,2,0))))))</f>
        <v>ARMAÇÃO DE ESTRUTURAS DE CONCRETO ARMADO, EXCETO VIGAS, PILARES, LAJES E FUNDAÇÕES PROFUNDAS (DE EDIFÍCIOS DE MÚLTIPLOS PAVIMENTOS, EDIFICAÇÃO TÉRREA OU SOBRADO), UTILIZANDO AÇO CA-60 DE 5.0 MM - MONTAGEM. AF_12/2015</v>
      </c>
      <c r="L835" s="700" t="str">
        <f>(IF(H835="Saneago",VLOOKUP(I835,'SANEAGO-FEV.2016'!A:D,3,0),IF(H835="Sinapi",VLOOKUP(I835,'SINAPI-FEV.2017'!A:D,3,0),IF(H835="Cotação",VLOOKUP(I835,COTAÇÃO!A:D,3,0),IF(H835="Composição",VLOOKUP(I835,COMPOSIÇÃO!A:D,3,0))))))</f>
        <v>KG</v>
      </c>
      <c r="M835" s="870">
        <f>ROUND(VLOOKUP(G835,CAIXAS!A:M,13,0),2)</f>
        <v>35.130000000000003</v>
      </c>
      <c r="N835" s="399">
        <v>0</v>
      </c>
      <c r="O835" s="102">
        <f t="shared" si="150"/>
        <v>0</v>
      </c>
      <c r="P835" s="101">
        <f t="shared" si="151"/>
        <v>0</v>
      </c>
      <c r="Q835" s="1472">
        <v>35.130000000000003</v>
      </c>
    </row>
    <row r="836" spans="1:17" ht="45">
      <c r="A836" s="1482"/>
      <c r="B836" s="1482"/>
      <c r="C836" s="1483">
        <f t="shared" si="143"/>
        <v>6</v>
      </c>
      <c r="D836" s="1492">
        <f t="shared" ref="D836:D843" si="152">D835+A836</f>
        <v>5</v>
      </c>
      <c r="E836" s="1492">
        <f t="shared" ref="E836:E843" si="153">E835+B836</f>
        <v>5</v>
      </c>
      <c r="F836" s="1484" t="s">
        <v>11708</v>
      </c>
      <c r="G836" s="912" t="s">
        <v>20444</v>
      </c>
      <c r="H836" s="823" t="str">
        <f>VLOOKUP(G836,CAIXAS!A:M,2,0)</f>
        <v>SINAPI</v>
      </c>
      <c r="I836" s="700">
        <f>VLOOKUP(G836,CAIXAS!A:M,3,0)</f>
        <v>92916</v>
      </c>
      <c r="J836" s="824"/>
      <c r="K836" s="790" t="str">
        <f>(IF(H836="Saneago",VLOOKUP(I836,'SANEAGO-FEV.2016'!A:B,2,0),IF(H836="Sinapi",VLOOKUP(I836,'SINAPI-FEV.2017'!A:D,2,0),IF(H836="Cotação",VLOOKUP(I836,COTAÇÃO!A:D,2,0),IF(H836="Composição",VLOOKUP(I836,COMPOSIÇÃO!A:D,2,0))))))</f>
        <v>ARMAÇÃO DE ESTRUTURAS DE CONCRETO ARMADO, EXCETO VIGAS, PILARES, LAJES E FUNDAÇÕES PROFUNDAS (DE EDIFÍCIOS DE MÚLTIPLOS PAVIMENTOS, EDIFICAÇÃO TÉRREA OU SOBRADO), UTILIZANDO AÇO CA-50 DE 6.3 MM - MONTAGEM. AF_12/2015</v>
      </c>
      <c r="L836" s="700" t="str">
        <f>(IF(H836="Saneago",VLOOKUP(I836,'SANEAGO-FEV.2016'!A:D,3,0),IF(H836="Sinapi",VLOOKUP(I836,'SINAPI-FEV.2017'!A:D,3,0),IF(H836="Cotação",VLOOKUP(I836,COTAÇÃO!A:D,3,0),IF(H836="Composição",VLOOKUP(I836,COMPOSIÇÃO!A:D,3,0))))))</f>
        <v>KG</v>
      </c>
      <c r="M836" s="870">
        <f>ROUND(VLOOKUP(G836,CAIXAS!A:M,13,0),2)</f>
        <v>2508.4499999999998</v>
      </c>
      <c r="N836" s="399">
        <v>0</v>
      </c>
      <c r="O836" s="102">
        <f t="shared" si="150"/>
        <v>0</v>
      </c>
      <c r="P836" s="101">
        <f t="shared" si="151"/>
        <v>0</v>
      </c>
      <c r="Q836" s="1472">
        <v>2508.4499999999998</v>
      </c>
    </row>
    <row r="837" spans="1:17" ht="45">
      <c r="A837" s="1482"/>
      <c r="B837" s="1482"/>
      <c r="C837" s="1483">
        <f t="shared" si="143"/>
        <v>6</v>
      </c>
      <c r="D837" s="1492">
        <f t="shared" si="152"/>
        <v>5</v>
      </c>
      <c r="E837" s="1492">
        <f t="shared" si="153"/>
        <v>5</v>
      </c>
      <c r="F837" s="1484" t="s">
        <v>11708</v>
      </c>
      <c r="G837" s="912" t="s">
        <v>20445</v>
      </c>
      <c r="H837" s="823" t="str">
        <f>VLOOKUP(G837,CAIXAS!A:M,2,0)</f>
        <v>SINAPI</v>
      </c>
      <c r="I837" s="700">
        <f>VLOOKUP(G837,CAIXAS!A:M,3,0)</f>
        <v>92917</v>
      </c>
      <c r="J837" s="824"/>
      <c r="K837" s="790" t="str">
        <f>(IF(H837="Saneago",VLOOKUP(I837,'SANEAGO-FEV.2016'!A:B,2,0),IF(H837="Sinapi",VLOOKUP(I837,'SINAPI-FEV.2017'!A:D,2,0),IF(H837="Cotação",VLOOKUP(I837,COTAÇÃO!A:D,2,0),IF(H837="Composição",VLOOKUP(I837,COMPOSIÇÃO!A:D,2,0))))))</f>
        <v>ARMAÇÃO DE ESTRUTURAS DE CONCRETO ARMADO, EXCETO VIGAS, PILARES, LAJES E FUNDAÇÕES PROFUNDAS (DE EDIFÍCIOS DE MÚLTIPLOS PAVIMENTOS, EDIFICAÇÃO TÉRREA OU SOBRADO), UTILIZANDO AÇO CA-50 DE 8.0 MM - MONTAGEM. AF_12/2015</v>
      </c>
      <c r="L837" s="700" t="str">
        <f>(IF(H837="Saneago",VLOOKUP(I837,'SANEAGO-FEV.2016'!A:D,3,0),IF(H837="Sinapi",VLOOKUP(I837,'SINAPI-FEV.2017'!A:D,3,0),IF(H837="Cotação",VLOOKUP(I837,COTAÇÃO!A:D,3,0),IF(H837="Composição",VLOOKUP(I837,COMPOSIÇÃO!A:D,3,0))))))</f>
        <v>KG</v>
      </c>
      <c r="M837" s="870">
        <f>ROUND(VLOOKUP(G837,CAIXAS!A:M,13,0),2)</f>
        <v>1722.99</v>
      </c>
      <c r="N837" s="399">
        <v>0</v>
      </c>
      <c r="O837" s="102">
        <f t="shared" si="150"/>
        <v>0</v>
      </c>
      <c r="P837" s="101">
        <f t="shared" si="151"/>
        <v>0</v>
      </c>
      <c r="Q837" s="1472">
        <v>1722.99</v>
      </c>
    </row>
    <row r="838" spans="1:17" ht="45">
      <c r="A838" s="1482"/>
      <c r="B838" s="1482"/>
      <c r="C838" s="1483">
        <f t="shared" si="143"/>
        <v>6</v>
      </c>
      <c r="D838" s="1492">
        <f t="shared" si="152"/>
        <v>5</v>
      </c>
      <c r="E838" s="1492">
        <f t="shared" si="153"/>
        <v>5</v>
      </c>
      <c r="F838" s="1484" t="s">
        <v>11708</v>
      </c>
      <c r="G838" s="912" t="s">
        <v>20446</v>
      </c>
      <c r="H838" s="823" t="str">
        <f>VLOOKUP(G838,CAIXAS!A:M,2,0)</f>
        <v>SINAPI</v>
      </c>
      <c r="I838" s="700">
        <f>VLOOKUP(G838,CAIXAS!A:M,3,0)</f>
        <v>92919</v>
      </c>
      <c r="J838" s="824"/>
      <c r="K838" s="790" t="str">
        <f>(IF(H838="Saneago",VLOOKUP(I838,'SANEAGO-FEV.2016'!A:B,2,0),IF(H838="Sinapi",VLOOKUP(I838,'SINAPI-FEV.2017'!A:D,2,0),IF(H838="Cotação",VLOOKUP(I838,COTAÇÃO!A:D,2,0),IF(H838="Composição",VLOOKUP(I838,COMPOSIÇÃO!A:D,2,0))))))</f>
        <v>ARMAÇÃO DE ESTRUTURAS DE CONCRETO ARMADO, EXCETO VIGAS, PILARES, LAJES E FUNDAÇÕES PROFUNDAS (DE EDIFÍCIOS DE MÚLTIPLOS PAVIMENTOS, EDIFICAÇÃO TÉRREA OU SOBRADO), UTILIZANDO AÇO CA-50 DE 10.0 MM - MONTAGEM. AF_12/2015</v>
      </c>
      <c r="L838" s="700" t="str">
        <f>(IF(H838="Saneago",VLOOKUP(I838,'SANEAGO-FEV.2016'!A:D,3,0),IF(H838="Sinapi",VLOOKUP(I838,'SINAPI-FEV.2017'!A:D,3,0),IF(H838="Cotação",VLOOKUP(I838,COTAÇÃO!A:D,3,0),IF(H838="Composição",VLOOKUP(I838,COMPOSIÇÃO!A:D,3,0))))))</f>
        <v>KG</v>
      </c>
      <c r="M838" s="870">
        <f>ROUND(VLOOKUP(G838,CAIXAS!A:M,13,0),2)</f>
        <v>1481.46</v>
      </c>
      <c r="N838" s="399">
        <v>0</v>
      </c>
      <c r="O838" s="102">
        <f t="shared" si="150"/>
        <v>0</v>
      </c>
      <c r="P838" s="101">
        <f t="shared" si="151"/>
        <v>0</v>
      </c>
      <c r="Q838" s="1472">
        <v>2561.46</v>
      </c>
    </row>
    <row r="839" spans="1:17" ht="45">
      <c r="A839" s="1482"/>
      <c r="B839" s="1482"/>
      <c r="C839" s="1483">
        <f t="shared" si="143"/>
        <v>6</v>
      </c>
      <c r="D839" s="1492">
        <f t="shared" si="152"/>
        <v>5</v>
      </c>
      <c r="E839" s="1492">
        <f t="shared" si="153"/>
        <v>5</v>
      </c>
      <c r="F839" s="1484" t="s">
        <v>11708</v>
      </c>
      <c r="G839" s="912" t="s">
        <v>20447</v>
      </c>
      <c r="H839" s="823" t="str">
        <f>VLOOKUP(G839,CAIXAS!A:M,2,0)</f>
        <v>SINAPI</v>
      </c>
      <c r="I839" s="700">
        <f>VLOOKUP(G839,CAIXAS!A:M,3,0)</f>
        <v>92921</v>
      </c>
      <c r="J839" s="824"/>
      <c r="K839" s="790" t="str">
        <f>(IF(H839="Saneago",VLOOKUP(I839,'SANEAGO-FEV.2016'!A:B,2,0),IF(H839="Sinapi",VLOOKUP(I839,'SINAPI-FEV.2017'!A:D,2,0),IF(H839="Cotação",VLOOKUP(I839,COTAÇÃO!A:D,2,0),IF(H839="Composição",VLOOKUP(I839,COMPOSIÇÃO!A:D,2,0))))))</f>
        <v>ARMAÇÃO DE ESTRUTURAS DE CONCRETO ARMADO, EXCETO VIGAS, PILARES, LAJES E FUNDAÇÕES PROFUNDAS (DE EDIFÍCIOS DE MÚLTIPLOS PAVIMENTOS, EDIFICAÇÃO TÉRREA OU SOBRADO), UTILIZANDO AÇO CA-50 DE 12.5 MM - MONTAGEM. AF_12/2015</v>
      </c>
      <c r="L839" s="700" t="str">
        <f>(IF(H839="Saneago",VLOOKUP(I839,'SANEAGO-FEV.2016'!A:D,3,0),IF(H839="Sinapi",VLOOKUP(I839,'SINAPI-FEV.2017'!A:D,3,0),IF(H839="Cotação",VLOOKUP(I839,COTAÇÃO!A:D,3,0),IF(H839="Composição",VLOOKUP(I839,COMPOSIÇÃO!A:D,3,0))))))</f>
        <v>KG</v>
      </c>
      <c r="M839" s="870">
        <f>ROUND(VLOOKUP(G839,CAIXAS!A:M,13,0),2)</f>
        <v>209.75</v>
      </c>
      <c r="N839" s="399">
        <v>0</v>
      </c>
      <c r="O839" s="102">
        <f t="shared" si="150"/>
        <v>0</v>
      </c>
      <c r="P839" s="101">
        <f t="shared" si="151"/>
        <v>0</v>
      </c>
      <c r="Q839" s="1472">
        <v>209.75</v>
      </c>
    </row>
    <row r="840" spans="1:17">
      <c r="A840" s="1482"/>
      <c r="B840" s="1482"/>
      <c r="C840" s="1483">
        <f t="shared" si="143"/>
        <v>6</v>
      </c>
      <c r="D840" s="1492">
        <f t="shared" ref="D840:E842" si="154">D839+A840</f>
        <v>5</v>
      </c>
      <c r="E840" s="1492">
        <f t="shared" si="154"/>
        <v>5</v>
      </c>
      <c r="F840" s="1484" t="s">
        <v>11708</v>
      </c>
      <c r="G840" s="921" t="s">
        <v>11865</v>
      </c>
      <c r="H840" s="823" t="str">
        <f>VLOOKUP(G840,CAIXAS!A:M,2,0)</f>
        <v>SINAPI</v>
      </c>
      <c r="I840" s="700" t="str">
        <f>VLOOKUP(G840,CAIXAS!A:M,3,0)</f>
        <v>74022/57</v>
      </c>
      <c r="J840" s="824"/>
      <c r="K840" s="790" t="str">
        <f>(IF(H840="Saneago",VLOOKUP(I840,'SANEAGO-FEV.2016'!A:B,2,0),IF(H840="Sinapi",VLOOKUP(I840,'SINAPI-FEV.2017'!A:D,2,0),IF(H840="Cotação",VLOOKUP(I840,COTAÇÃO!A:D,2,0),IF(H840="Composição",VLOOKUP(I840,COMPOSIÇÃO!A:D,2,0))))))</f>
        <v>ENSAIO DE CONSISTENCIA DO CONCRETO CCR - INDICE VEBE</v>
      </c>
      <c r="L840" s="700" t="str">
        <f>(IF(H840="Saneago",VLOOKUP(I840,'SANEAGO-FEV.2016'!A:D,3,0),IF(H840="Sinapi",VLOOKUP(I840,'SINAPI-FEV.2017'!A:D,3,0),IF(H840="Cotação",VLOOKUP(I840,COTAÇÃO!A:D,3,0),IF(H840="Composição",VLOOKUP(I840,COMPOSIÇÃO!A:D,3,0))))))</f>
        <v>UN</v>
      </c>
      <c r="M840" s="870">
        <f>ROUND(VLOOKUP(G840,CAIXAS!A:M,13,0),2)</f>
        <v>14</v>
      </c>
      <c r="N840" s="399">
        <v>0</v>
      </c>
      <c r="O840" s="102">
        <f t="shared" si="150"/>
        <v>0</v>
      </c>
      <c r="P840" s="101">
        <f t="shared" si="151"/>
        <v>0</v>
      </c>
      <c r="Q840" s="1472">
        <v>14</v>
      </c>
    </row>
    <row r="841" spans="1:17" ht="15.75" thickBot="1">
      <c r="A841" s="1482"/>
      <c r="B841" s="1482"/>
      <c r="C841" s="1483">
        <f t="shared" si="143"/>
        <v>6</v>
      </c>
      <c r="D841" s="1492">
        <f t="shared" si="154"/>
        <v>5</v>
      </c>
      <c r="E841" s="1492">
        <f t="shared" si="154"/>
        <v>5</v>
      </c>
      <c r="F841" s="1484" t="s">
        <v>11708</v>
      </c>
      <c r="G841" s="921"/>
      <c r="H841" s="1095"/>
      <c r="I841" s="780"/>
      <c r="J841" s="834"/>
      <c r="K841" s="780"/>
      <c r="L841" s="780"/>
      <c r="M841" s="1270"/>
      <c r="N841" s="400"/>
      <c r="O841" s="122"/>
      <c r="P841" s="123"/>
    </row>
    <row r="842" spans="1:17" ht="16.5" customHeight="1" thickTop="1" thickBot="1">
      <c r="A842" s="1482"/>
      <c r="B842" s="1482"/>
      <c r="C842" s="1483">
        <f t="shared" si="143"/>
        <v>6</v>
      </c>
      <c r="D842" s="1492">
        <f t="shared" si="154"/>
        <v>5</v>
      </c>
      <c r="E842" s="1492">
        <f t="shared" si="154"/>
        <v>5</v>
      </c>
      <c r="F842" s="1484" t="s">
        <v>11708</v>
      </c>
      <c r="H842" s="1653" t="str">
        <f>"TOTAL ITEM: "&amp;J828 &amp;K828</f>
        <v>TOTAL ITEM: 6.5.5ESTRUTURAS DE CONCRETO ARMADO</v>
      </c>
      <c r="I842" s="1654"/>
      <c r="J842" s="1654"/>
      <c r="K842" s="1654"/>
      <c r="L842" s="1654"/>
      <c r="M842" s="1654"/>
      <c r="N842" s="1654"/>
      <c r="O842" s="1654"/>
      <c r="P842" s="210">
        <f>SUBTOTAL(9,P830:P840)</f>
        <v>0</v>
      </c>
    </row>
    <row r="843" spans="1:17" ht="15.75" thickTop="1">
      <c r="A843" s="1482"/>
      <c r="B843" s="1482"/>
      <c r="C843" s="1483">
        <f t="shared" si="143"/>
        <v>6</v>
      </c>
      <c r="D843" s="1492">
        <f t="shared" si="152"/>
        <v>5</v>
      </c>
      <c r="E843" s="1492">
        <f t="shared" si="153"/>
        <v>5</v>
      </c>
      <c r="F843" s="1484" t="s">
        <v>11708</v>
      </c>
      <c r="H843" s="1095"/>
      <c r="I843" s="780"/>
      <c r="J843" s="834"/>
      <c r="K843" s="780"/>
      <c r="L843" s="780"/>
      <c r="M843" s="1270"/>
      <c r="N843" s="400"/>
      <c r="O843" s="122"/>
      <c r="P843" s="123"/>
    </row>
    <row r="844" spans="1:17">
      <c r="A844" s="1482"/>
      <c r="B844" s="1482">
        <v>1</v>
      </c>
      <c r="C844" s="1483">
        <f t="shared" ref="C844:C908" si="155">C843</f>
        <v>6</v>
      </c>
      <c r="D844" s="1492">
        <f t="shared" si="146"/>
        <v>5</v>
      </c>
      <c r="E844" s="1492">
        <f t="shared" si="147"/>
        <v>6</v>
      </c>
      <c r="F844" s="1484" t="s">
        <v>11708</v>
      </c>
      <c r="H844" s="1514" t="s">
        <v>11703</v>
      </c>
      <c r="I844" s="1515" t="s">
        <v>64</v>
      </c>
      <c r="J844" s="1516" t="str">
        <f>CONCATENATE(C844,".",D844,".",E844)</f>
        <v>6.5.6</v>
      </c>
      <c r="K844" s="1516" t="s">
        <v>11717</v>
      </c>
      <c r="L844" s="1517" t="s">
        <v>25</v>
      </c>
      <c r="M844" s="1518" t="s">
        <v>11704</v>
      </c>
      <c r="N844" s="398" t="s">
        <v>11705</v>
      </c>
      <c r="O844" s="207" t="s">
        <v>11706</v>
      </c>
      <c r="P844" s="208" t="s">
        <v>27</v>
      </c>
      <c r="Q844" s="1472" t="s">
        <v>11704</v>
      </c>
    </row>
    <row r="845" spans="1:17">
      <c r="A845" s="1482"/>
      <c r="B845" s="1482"/>
      <c r="C845" s="1483">
        <f t="shared" si="155"/>
        <v>6</v>
      </c>
      <c r="D845" s="1492">
        <f t="shared" ref="D845:D909" si="156">D844+A845</f>
        <v>5</v>
      </c>
      <c r="E845" s="1492">
        <f t="shared" ref="E845:E909" si="157">E844+B845</f>
        <v>6</v>
      </c>
      <c r="F845" s="1484" t="s">
        <v>11708</v>
      </c>
      <c r="H845" s="1095"/>
      <c r="I845" s="780"/>
      <c r="J845" s="834"/>
      <c r="K845" s="780"/>
      <c r="L845" s="780"/>
      <c r="M845" s="1270"/>
      <c r="N845" s="400"/>
      <c r="O845" s="122"/>
      <c r="P845" s="123"/>
    </row>
    <row r="846" spans="1:17" ht="22.5">
      <c r="A846" s="1482"/>
      <c r="B846" s="1482"/>
      <c r="C846" s="1483">
        <f t="shared" si="155"/>
        <v>6</v>
      </c>
      <c r="D846" s="1492">
        <f t="shared" si="156"/>
        <v>5</v>
      </c>
      <c r="E846" s="1492">
        <f t="shared" si="157"/>
        <v>6</v>
      </c>
      <c r="F846" s="1484" t="s">
        <v>11708</v>
      </c>
      <c r="G846" s="921" t="s">
        <v>11866</v>
      </c>
      <c r="H846" s="823" t="str">
        <f>VLOOKUP(G846,CAIXAS!A:M,2,0)</f>
        <v>SINAPI</v>
      </c>
      <c r="I846" s="700">
        <f>VLOOKUP(G846,CAIXAS!A:M,3,0)</f>
        <v>73665</v>
      </c>
      <c r="J846" s="824"/>
      <c r="K846" s="790" t="str">
        <f>(IF(H846="Saneago",VLOOKUP(I846,'SANEAGO-FEV.2016'!A:B,2,0),IF(H846="Sinapi",VLOOKUP(I846,'SINAPI-FEV.2017'!A:D,2,0),IF(H846="Cotação",VLOOKUP(I846,COTAÇÃO!A:D,2,0),IF(H846="Composição",VLOOKUP(I846,COMPOSIÇÃO!A:D,2,0))))))</f>
        <v>ESCADA TIPO MARINHEIRO EM ACO CA-50 9,52MM INCLUSO PINTURA COM FUNDO ANTICORROSIVO TIPO ZARCAO</v>
      </c>
      <c r="L846" s="700" t="str">
        <f>(IF(H846="Saneago",VLOOKUP(I846,'SANEAGO-FEV.2016'!A:D,3,0),IF(H846="Sinapi",VLOOKUP(I846,'SINAPI-FEV.2017'!A:D,3,0),IF(H846="Cotação",VLOOKUP(I846,COTAÇÃO!A:D,3,0),IF(H846="Composição",VLOOKUP(I846,COMPOSIÇÃO!A:D,3,0))))))</f>
        <v>M</v>
      </c>
      <c r="M846" s="870">
        <f>ROUND(VLOOKUP(G846,CAIXAS!A:M,13,0),2)</f>
        <v>1.5</v>
      </c>
      <c r="N846" s="399">
        <v>0</v>
      </c>
      <c r="O846" s="102">
        <f>ROUND(IF(F846="Serviços",N846*(1+$O$7),IF(F846="Materiais",N846*(1+$O$8))),2)</f>
        <v>0</v>
      </c>
      <c r="P846" s="101">
        <f>ROUND(M846*O846,2)</f>
        <v>0</v>
      </c>
      <c r="Q846" s="1472">
        <v>1.5</v>
      </c>
    </row>
    <row r="847" spans="1:17" ht="45">
      <c r="A847" s="1482"/>
      <c r="B847" s="1482"/>
      <c r="C847" s="1483">
        <f t="shared" si="155"/>
        <v>6</v>
      </c>
      <c r="D847" s="1492">
        <f t="shared" si="156"/>
        <v>5</v>
      </c>
      <c r="E847" s="1492">
        <f t="shared" si="157"/>
        <v>6</v>
      </c>
      <c r="F847" s="1484" t="s">
        <v>11708</v>
      </c>
      <c r="G847" s="921" t="s">
        <v>11867</v>
      </c>
      <c r="H847" s="823" t="str">
        <f>VLOOKUP(G847,CAIXAS!A:M,2,0)</f>
        <v>Saneago</v>
      </c>
      <c r="I847" s="700">
        <f>VLOOKUP(G847,CAIXAS!A:M,3,0)</f>
        <v>862</v>
      </c>
      <c r="J847" s="824"/>
      <c r="K847" s="790" t="str">
        <f>(IF(H847="Saneago",VLOOKUP(I847,'SANEAGO-FEV.2016'!A:B,2,0),IF(H847="Sinapi",VLOOKUP(I847,'SINAPI-FEV.2017'!A:D,2,0),IF(H847="Cotação",VLOOKUP(I847,COTAÇÃO!A:D,2,0),IF(H847="Composição",VLOOKUP(I847,COMPOSIÇÃO!A:D,2,0))))))</f>
        <v>GUARDA-CORPO DE TUBO INDUSTRIAL  1.1/2" (40 MM) CHAPA 13;  H=1,0 M, C/ TELA ARTÍSTICA   3 X 3 FIO 12, PERFIL  U  DIM.  19,05  X 19,05  X 3,17  MM,  BARRA  RETANGULAR  DIM  9,52  X 6,35  MM,  FIXADA  EM  CHAPA METÁLICA DIM: 0,20 X 0,10 X 0,05 CM, C/ INJENÇÃO DE SILICONE,</v>
      </c>
      <c r="L847" s="700" t="str">
        <f>(IF(H847="Saneago",VLOOKUP(I847,'SANEAGO-FEV.2016'!A:D,3,0),IF(H847="Sinapi",VLOOKUP(I847,'SINAPI-FEV.2017'!A:D,3,0),IF(H847="Cotação",VLOOKUP(I847,COTAÇÃO!A:D,3,0),IF(H847="Composição",VLOOKUP(I847,COMPOSIÇÃO!A:D,3,0))))))</f>
        <v>M</v>
      </c>
      <c r="M847" s="870">
        <f>ROUND(VLOOKUP(G847,CAIXAS!A:M,13,0),2)</f>
        <v>29.75</v>
      </c>
      <c r="N847" s="399">
        <v>0</v>
      </c>
      <c r="O847" s="102">
        <f>ROUND(IF(F847="Serviços",N847*(1+$O$7),IF(F847="Materiais",N847*(1+$O$8))),2)</f>
        <v>0</v>
      </c>
      <c r="P847" s="101">
        <f>ROUND(M847*O847,2)</f>
        <v>0</v>
      </c>
      <c r="Q847" s="1472">
        <v>29.75</v>
      </c>
    </row>
    <row r="848" spans="1:17" ht="22.5">
      <c r="A848" s="1482"/>
      <c r="B848" s="1482"/>
      <c r="C848" s="1483">
        <f t="shared" si="155"/>
        <v>6</v>
      </c>
      <c r="D848" s="1492">
        <f t="shared" si="156"/>
        <v>5</v>
      </c>
      <c r="E848" s="1492">
        <f t="shared" si="157"/>
        <v>6</v>
      </c>
      <c r="F848" s="1484" t="s">
        <v>11708</v>
      </c>
      <c r="G848" s="921" t="s">
        <v>11949</v>
      </c>
      <c r="H848" s="823" t="str">
        <f>VLOOKUP(G848,CAIXAS!A:M,2,0)</f>
        <v>SINAPI</v>
      </c>
      <c r="I848" s="700">
        <f>VLOOKUP(G848,CAIXAS!A:M,3,0)</f>
        <v>91341</v>
      </c>
      <c r="J848" s="824"/>
      <c r="K848" s="790" t="str">
        <f>(IF(H848="Saneago",VLOOKUP(I848,'SANEAGO-FEV.2016'!A:B,2,0),IF(H848="Sinapi",VLOOKUP(I848,'SINAPI-FEV.2017'!A:D,2,0),IF(H848="Cotação",VLOOKUP(I848,COTAÇÃO!A:D,2,0),IF(H848="Composição",VLOOKUP(I848,COMPOSIÇÃO!A:D,2,0))))))</f>
        <v>PORTA EM ALUMÍNIO DE ABRIR TIPO VENEZIANA COM GUARNIÇÃO, FIXAÇÃO COM PARAFUSOS - FORNECIMENTO E INSTALAÇÃO. AF_08/2015</v>
      </c>
      <c r="L848" s="700" t="str">
        <f>(IF(H848="Saneago",VLOOKUP(I848,'SANEAGO-FEV.2016'!A:D,3,0),IF(H848="Sinapi",VLOOKUP(I848,'SINAPI-FEV.2017'!A:D,3,0),IF(H848="Cotação",VLOOKUP(I848,COTAÇÃO!A:D,3,0),IF(H848="Composição",VLOOKUP(I848,COMPOSIÇÃO!A:D,3,0))))))</f>
        <v>M2</v>
      </c>
      <c r="M848" s="870">
        <f>ROUND(VLOOKUP(G848,CAIXAS!A:M,13,0),2)</f>
        <v>1</v>
      </c>
      <c r="N848" s="399">
        <v>0</v>
      </c>
      <c r="O848" s="102">
        <f>ROUND(IF(F848="Serviços",N848*(1+$O$7),IF(F848="Materiais",N848*(1+$O$8))),2)</f>
        <v>0</v>
      </c>
      <c r="P848" s="101">
        <f>ROUND(M848*O848,2)</f>
        <v>0</v>
      </c>
      <c r="Q848" s="1472">
        <v>1</v>
      </c>
    </row>
    <row r="849" spans="1:17" ht="15.75" thickBot="1">
      <c r="A849" s="1482"/>
      <c r="B849" s="1482"/>
      <c r="C849" s="1483">
        <f t="shared" si="155"/>
        <v>6</v>
      </c>
      <c r="D849" s="1492">
        <f t="shared" si="156"/>
        <v>5</v>
      </c>
      <c r="E849" s="1492">
        <f t="shared" si="157"/>
        <v>6</v>
      </c>
      <c r="F849" s="1484" t="s">
        <v>11708</v>
      </c>
      <c r="G849" s="959"/>
      <c r="H849" s="1095"/>
      <c r="I849" s="780"/>
      <c r="J849" s="834"/>
      <c r="K849" s="780"/>
      <c r="L849" s="780"/>
      <c r="M849" s="1270"/>
      <c r="N849" s="400"/>
      <c r="O849" s="122"/>
      <c r="P849" s="123"/>
    </row>
    <row r="850" spans="1:17" ht="16.5" customHeight="1" thickTop="1" thickBot="1">
      <c r="A850" s="1482"/>
      <c r="B850" s="1482"/>
      <c r="C850" s="1483">
        <f t="shared" si="155"/>
        <v>6</v>
      </c>
      <c r="D850" s="1492">
        <f t="shared" si="156"/>
        <v>5</v>
      </c>
      <c r="E850" s="1492">
        <f t="shared" si="157"/>
        <v>6</v>
      </c>
      <c r="F850" s="1484" t="s">
        <v>11708</v>
      </c>
      <c r="H850" s="1653" t="str">
        <f>"TOTAL ITEM: "&amp;J844 &amp;K844</f>
        <v>TOTAL ITEM: 6.5.6 ESQUADRIAS</v>
      </c>
      <c r="I850" s="1654"/>
      <c r="J850" s="1654"/>
      <c r="K850" s="1654"/>
      <c r="L850" s="1654"/>
      <c r="M850" s="1654"/>
      <c r="N850" s="1654"/>
      <c r="O850" s="1654"/>
      <c r="P850" s="210">
        <f>SUBTOTAL(9,P846:P848)</f>
        <v>0</v>
      </c>
    </row>
    <row r="851" spans="1:17" ht="15.75" thickTop="1">
      <c r="A851" s="1482"/>
      <c r="B851" s="1482"/>
      <c r="C851" s="1483">
        <f t="shared" si="155"/>
        <v>6</v>
      </c>
      <c r="D851" s="1492">
        <f t="shared" si="156"/>
        <v>5</v>
      </c>
      <c r="E851" s="1492">
        <f t="shared" si="157"/>
        <v>6</v>
      </c>
      <c r="F851" s="1484" t="s">
        <v>11708</v>
      </c>
      <c r="G851" s="959"/>
      <c r="H851" s="1095"/>
      <c r="I851" s="780"/>
      <c r="J851" s="834"/>
      <c r="K851" s="780"/>
      <c r="L851" s="780"/>
      <c r="M851" s="1270"/>
      <c r="N851" s="400"/>
      <c r="O851" s="122"/>
      <c r="P851" s="123"/>
    </row>
    <row r="852" spans="1:17">
      <c r="A852" s="1482"/>
      <c r="B852" s="1482">
        <v>1</v>
      </c>
      <c r="C852" s="1483">
        <f t="shared" si="155"/>
        <v>6</v>
      </c>
      <c r="D852" s="1492">
        <f t="shared" si="156"/>
        <v>5</v>
      </c>
      <c r="E852" s="1492">
        <f t="shared" si="157"/>
        <v>7</v>
      </c>
      <c r="F852" s="1484" t="s">
        <v>11708</v>
      </c>
      <c r="H852" s="1514" t="s">
        <v>11703</v>
      </c>
      <c r="I852" s="1515" t="s">
        <v>64</v>
      </c>
      <c r="J852" s="1516" t="str">
        <f>CONCATENATE(C852,".",D852,".",E852)</f>
        <v>6.5.7</v>
      </c>
      <c r="K852" s="1516" t="s">
        <v>11739</v>
      </c>
      <c r="L852" s="1517" t="s">
        <v>25</v>
      </c>
      <c r="M852" s="1518" t="s">
        <v>11704</v>
      </c>
      <c r="N852" s="398" t="s">
        <v>11705</v>
      </c>
      <c r="O852" s="207" t="s">
        <v>11706</v>
      </c>
      <c r="P852" s="208" t="s">
        <v>27</v>
      </c>
      <c r="Q852" s="1472" t="s">
        <v>11704</v>
      </c>
    </row>
    <row r="853" spans="1:17">
      <c r="A853" s="1482"/>
      <c r="B853" s="1482"/>
      <c r="C853" s="1483">
        <f t="shared" si="155"/>
        <v>6</v>
      </c>
      <c r="D853" s="1492">
        <f t="shared" si="156"/>
        <v>5</v>
      </c>
      <c r="E853" s="1492">
        <f t="shared" si="157"/>
        <v>7</v>
      </c>
      <c r="F853" s="1484" t="s">
        <v>11708</v>
      </c>
      <c r="G853" s="959"/>
      <c r="H853" s="1095"/>
      <c r="I853" s="780"/>
      <c r="J853" s="834"/>
      <c r="K853" s="780"/>
      <c r="L853" s="780"/>
      <c r="M853" s="1270"/>
      <c r="N853" s="400"/>
      <c r="O853" s="122"/>
      <c r="P853" s="123"/>
    </row>
    <row r="854" spans="1:17" ht="45">
      <c r="A854" s="1482"/>
      <c r="B854" s="1482"/>
      <c r="C854" s="1483">
        <f t="shared" si="155"/>
        <v>6</v>
      </c>
      <c r="D854" s="1492">
        <f t="shared" si="156"/>
        <v>5</v>
      </c>
      <c r="E854" s="1492">
        <f t="shared" si="157"/>
        <v>7</v>
      </c>
      <c r="F854" s="1484" t="s">
        <v>11708</v>
      </c>
      <c r="G854" s="921" t="s">
        <v>11928</v>
      </c>
      <c r="H854" s="823" t="str">
        <f>VLOOKUP(G854,CAIXAS!A:M,2,0)</f>
        <v>SINAPI</v>
      </c>
      <c r="I854" s="700">
        <f>VLOOKUP(G854,CAIXAS!A:M,3,0)</f>
        <v>87469</v>
      </c>
      <c r="J854" s="824"/>
      <c r="K854" s="790" t="str">
        <f>(IF(H854="Saneago",VLOOKUP(I854,'SANEAGO-FEV.2016'!A:B,2,0),IF(H854="Sinapi",VLOOKUP(I854,'SINAPI-FEV.2017'!A:D,2,0),IF(H854="Cotação",VLOOKUP(I854,COTAÇÃO!A:D,2,0),IF(H854="Composição",VLOOKUP(I854,COMPOSIÇÃO!A:D,2,0))))))</f>
        <v>ALVENARIA DE VEDAÇÃO DE BLOCOS VAZADOS DE CONCRETO DE 19X19X39CM (ESPESSURA 19CM) DE PAREDES COM ÁREA LÍQUIDA MAIOR OU IGUAL A 6M² COM VÃOS E ARGAMASSA DE ASSENTAMENTO COM PREPARO EM BETONEIRA. AF_06/2014</v>
      </c>
      <c r="L854" s="700" t="str">
        <f>(IF(H854="Saneago",VLOOKUP(I854,'SANEAGO-FEV.2016'!A:D,3,0),IF(H854="Sinapi",VLOOKUP(I854,'SINAPI-FEV.2017'!A:D,3,0),IF(H854="Cotação",VLOOKUP(I854,COTAÇÃO!A:D,3,0),IF(H854="Composição",VLOOKUP(I854,COMPOSIÇÃO!A:D,3,0))))))</f>
        <v>M2</v>
      </c>
      <c r="M854" s="870">
        <f>ROUND(VLOOKUP(G854,CAIXAS!A:M,13,0),2)</f>
        <v>125.28</v>
      </c>
      <c r="N854" s="399">
        <v>0</v>
      </c>
      <c r="O854" s="102">
        <f>ROUND(IF(F854="Serviços",N854*(1+$O$7),IF(F854="Materiais",N854*(1+$O$8))),2)</f>
        <v>0</v>
      </c>
      <c r="P854" s="101">
        <f>ROUND(M854*O854,2)</f>
        <v>0</v>
      </c>
      <c r="Q854" s="1472">
        <v>125.28</v>
      </c>
    </row>
    <row r="855" spans="1:17" ht="22.5">
      <c r="A855" s="1482"/>
      <c r="B855" s="1482"/>
      <c r="C855" s="1483">
        <f t="shared" si="155"/>
        <v>6</v>
      </c>
      <c r="D855" s="1492">
        <f t="shared" si="156"/>
        <v>5</v>
      </c>
      <c r="E855" s="1492">
        <f t="shared" si="157"/>
        <v>7</v>
      </c>
      <c r="F855" s="1484" t="s">
        <v>11708</v>
      </c>
      <c r="G855" s="921" t="s">
        <v>11948</v>
      </c>
      <c r="H855" s="823" t="str">
        <f>VLOOKUP(G855,CAIXAS!A:M,2,0)</f>
        <v>SINAPI</v>
      </c>
      <c r="I855" s="700" t="str">
        <f>VLOOKUP(G855,CAIXAS!A:M,3,0)</f>
        <v>73937/1</v>
      </c>
      <c r="J855" s="824"/>
      <c r="K855" s="790" t="str">
        <f>(IF(H855="Saneago",VLOOKUP(I855,'SANEAGO-FEV.2016'!A:B,2,0),IF(H855="Sinapi",VLOOKUP(I855,'SINAPI-FEV.2017'!A:D,2,0),IF(H855="Cotação",VLOOKUP(I855,COTAÇÃO!A:D,2,0),IF(H855="Composição",VLOOKUP(I855,COMPOSIÇÃO!A:D,2,0))))))</f>
        <v>COBOGO DE CONCRETO (ELEMENTO VAZADO), 7X50X50CM, ASSENTADO COM ARGAMASSA TRACO 1:4 (CIMENTO E AREIA)</v>
      </c>
      <c r="L855" s="700" t="str">
        <f>(IF(H855="Saneago",VLOOKUP(I855,'SANEAGO-FEV.2016'!A:D,3,0),IF(H855="Sinapi",VLOOKUP(I855,'SINAPI-FEV.2017'!A:D,3,0),IF(H855="Cotação",VLOOKUP(I855,COTAÇÃO!A:D,3,0),IF(H855="Composição",VLOOKUP(I855,COMPOSIÇÃO!A:D,3,0))))))</f>
        <v>M2</v>
      </c>
      <c r="M855" s="870">
        <f>ROUND(VLOOKUP(G855,CAIXAS!A:M,13,0),2)</f>
        <v>14</v>
      </c>
      <c r="N855" s="399">
        <v>0</v>
      </c>
      <c r="O855" s="102">
        <f>ROUND(IF(F855="Serviços",N855*(1+$O$7),IF(F855="Materiais",N855*(1+$O$8))),2)</f>
        <v>0</v>
      </c>
      <c r="P855" s="101">
        <f>ROUND(M855*O855,2)</f>
        <v>0</v>
      </c>
      <c r="Q855" s="1472">
        <v>14</v>
      </c>
    </row>
    <row r="856" spans="1:17" ht="45">
      <c r="A856" s="1482"/>
      <c r="B856" s="1482"/>
      <c r="C856" s="1483">
        <f t="shared" si="155"/>
        <v>6</v>
      </c>
      <c r="D856" s="1492">
        <f t="shared" si="156"/>
        <v>5</v>
      </c>
      <c r="E856" s="1492">
        <f t="shared" si="157"/>
        <v>7</v>
      </c>
      <c r="F856" s="1484" t="s">
        <v>11708</v>
      </c>
      <c r="G856" s="921" t="s">
        <v>11947</v>
      </c>
      <c r="H856" s="823" t="str">
        <f>VLOOKUP(G856,CAIXAS!A:M,2,0)</f>
        <v>SINAPI</v>
      </c>
      <c r="I856" s="700">
        <f>VLOOKUP(G856,CAIXAS!A:M,3,0)</f>
        <v>87513</v>
      </c>
      <c r="J856" s="824"/>
      <c r="K856" s="790" t="str">
        <f>(IF(H856="Saneago",VLOOKUP(I856,'SANEAGO-FEV.2016'!A:B,2,0),IF(H856="Sinapi",VLOOKUP(I856,'SINAPI-FEV.2017'!A:D,2,0),IF(H856="Cotação",VLOOKUP(I856,COTAÇÃO!A:D,2,0),IF(H856="Composição",VLOOKUP(I856,COMPOSIÇÃO!A:D,2,0))))))</f>
        <v>ALVENARIA DE VEDAÇÃO DE BLOCOS CERÂMICOS FURADOS NA HORIZONTAL DE 11,5X19X19CM (ESPESSURA 11,5CM) DE PAREDES COM ÁREA LÍQUIDA MENOR QUE 6M² COM VÃOS E ARGAMASSA DE ASSENTAMENTO COM PREPARO EM BETONEIRA. AF_06/2014</v>
      </c>
      <c r="L856" s="700" t="str">
        <f>(IF(H856="Saneago",VLOOKUP(I856,'SANEAGO-FEV.2016'!A:D,3,0),IF(H856="Sinapi",VLOOKUP(I856,'SINAPI-FEV.2017'!A:D,3,0),IF(H856="Cotação",VLOOKUP(I856,COTAÇÃO!A:D,3,0),IF(H856="Composição",VLOOKUP(I856,COMPOSIÇÃO!A:D,3,0))))))</f>
        <v>M2</v>
      </c>
      <c r="M856" s="870">
        <f>ROUND(VLOOKUP(G856,CAIXAS!A:M,13,0),2)</f>
        <v>34.369999999999997</v>
      </c>
      <c r="N856" s="399">
        <v>0</v>
      </c>
      <c r="O856" s="102">
        <f>ROUND(IF(F856="Serviços",N856*(1+$O$7),IF(F856="Materiais",N856*(1+$O$8))),2)</f>
        <v>0</v>
      </c>
      <c r="P856" s="101">
        <f>ROUND(M856*O856,2)</f>
        <v>0</v>
      </c>
      <c r="Q856" s="1472">
        <v>34.369999999999997</v>
      </c>
    </row>
    <row r="857" spans="1:17" ht="15.75" thickBot="1">
      <c r="A857" s="1482"/>
      <c r="B857" s="1482"/>
      <c r="C857" s="1483">
        <f t="shared" si="155"/>
        <v>6</v>
      </c>
      <c r="D857" s="1492">
        <f t="shared" si="156"/>
        <v>5</v>
      </c>
      <c r="E857" s="1492">
        <f t="shared" si="157"/>
        <v>7</v>
      </c>
      <c r="F857" s="1484" t="s">
        <v>11708</v>
      </c>
      <c r="H857" s="1095"/>
      <c r="I857" s="780"/>
      <c r="J857" s="834"/>
      <c r="K857" s="780"/>
      <c r="L857" s="780"/>
      <c r="M857" s="1270"/>
      <c r="N857" s="400"/>
      <c r="O857" s="122"/>
      <c r="P857" s="123"/>
    </row>
    <row r="858" spans="1:17" ht="16.5" customHeight="1" thickTop="1" thickBot="1">
      <c r="A858" s="1482"/>
      <c r="B858" s="1482"/>
      <c r="C858" s="1483">
        <f t="shared" si="155"/>
        <v>6</v>
      </c>
      <c r="D858" s="1492">
        <f t="shared" si="156"/>
        <v>5</v>
      </c>
      <c r="E858" s="1492">
        <f t="shared" si="157"/>
        <v>7</v>
      </c>
      <c r="F858" s="1484" t="s">
        <v>11708</v>
      </c>
      <c r="G858" s="959"/>
      <c r="H858" s="1653" t="str">
        <f>"TOTAL ITEM: "&amp;J852 &amp;K852</f>
        <v>TOTAL ITEM: 6.5.7 ALVENARIAS</v>
      </c>
      <c r="I858" s="1654"/>
      <c r="J858" s="1654"/>
      <c r="K858" s="1654"/>
      <c r="L858" s="1654"/>
      <c r="M858" s="1654"/>
      <c r="N858" s="1654"/>
      <c r="O858" s="1654"/>
      <c r="P858" s="210">
        <f>SUBTOTAL(9,P854:P856)</f>
        <v>0</v>
      </c>
    </row>
    <row r="859" spans="1:17" ht="15.75" thickTop="1">
      <c r="A859" s="1482"/>
      <c r="B859" s="1482"/>
      <c r="C859" s="1483">
        <f t="shared" si="155"/>
        <v>6</v>
      </c>
      <c r="D859" s="1492">
        <f t="shared" si="156"/>
        <v>5</v>
      </c>
      <c r="E859" s="1492">
        <f t="shared" si="157"/>
        <v>7</v>
      </c>
      <c r="F859" s="1484" t="s">
        <v>11708</v>
      </c>
      <c r="G859" s="959"/>
      <c r="H859" s="1095"/>
      <c r="I859" s="780"/>
      <c r="J859" s="834"/>
      <c r="K859" s="780"/>
      <c r="L859" s="780"/>
      <c r="M859" s="1270"/>
      <c r="N859" s="400"/>
      <c r="O859" s="122"/>
      <c r="P859" s="123"/>
    </row>
    <row r="860" spans="1:17">
      <c r="A860" s="1482"/>
      <c r="B860" s="1482">
        <v>1</v>
      </c>
      <c r="C860" s="1483">
        <f t="shared" si="155"/>
        <v>6</v>
      </c>
      <c r="D860" s="1492">
        <f t="shared" si="156"/>
        <v>5</v>
      </c>
      <c r="E860" s="1492">
        <f t="shared" si="157"/>
        <v>8</v>
      </c>
      <c r="F860" s="1484" t="s">
        <v>11708</v>
      </c>
      <c r="H860" s="1514" t="s">
        <v>11703</v>
      </c>
      <c r="I860" s="1515" t="s">
        <v>64</v>
      </c>
      <c r="J860" s="1516" t="str">
        <f>CONCATENATE(C860,".",D860,".",E860)</f>
        <v>6.5.8</v>
      </c>
      <c r="K860" s="1516" t="s">
        <v>11715</v>
      </c>
      <c r="L860" s="1517" t="s">
        <v>25</v>
      </c>
      <c r="M860" s="1518" t="s">
        <v>11704</v>
      </c>
      <c r="N860" s="398" t="s">
        <v>11705</v>
      </c>
      <c r="O860" s="207" t="s">
        <v>11706</v>
      </c>
      <c r="P860" s="208" t="s">
        <v>27</v>
      </c>
      <c r="Q860" s="1472" t="s">
        <v>11704</v>
      </c>
    </row>
    <row r="861" spans="1:17">
      <c r="A861" s="1482"/>
      <c r="B861" s="1482"/>
      <c r="C861" s="1483">
        <f t="shared" si="155"/>
        <v>6</v>
      </c>
      <c r="D861" s="1492">
        <f t="shared" si="156"/>
        <v>5</v>
      </c>
      <c r="E861" s="1492">
        <f t="shared" si="157"/>
        <v>8</v>
      </c>
      <c r="F861" s="1484" t="s">
        <v>11708</v>
      </c>
      <c r="G861" s="959"/>
      <c r="H861" s="1095"/>
      <c r="I861" s="780"/>
      <c r="J861" s="834"/>
      <c r="K861" s="780"/>
      <c r="L861" s="780"/>
      <c r="M861" s="1270"/>
      <c r="N861" s="400"/>
      <c r="O861" s="122"/>
      <c r="P861" s="123"/>
    </row>
    <row r="862" spans="1:17" ht="33.75">
      <c r="A862" s="1482"/>
      <c r="B862" s="1482"/>
      <c r="C862" s="1483">
        <f t="shared" si="155"/>
        <v>6</v>
      </c>
      <c r="D862" s="1492">
        <f t="shared" si="156"/>
        <v>5</v>
      </c>
      <c r="E862" s="1492">
        <f t="shared" si="157"/>
        <v>8</v>
      </c>
      <c r="F862" s="1484" t="s">
        <v>11708</v>
      </c>
      <c r="G862" s="921" t="s">
        <v>11944</v>
      </c>
      <c r="H862" s="823" t="str">
        <f>VLOOKUP(G862,CAIXAS!A:M,2,0)</f>
        <v>SINAPI</v>
      </c>
      <c r="I862" s="700">
        <f>VLOOKUP(G862,CAIXAS!A:M,3,0)</f>
        <v>87908</v>
      </c>
      <c r="J862" s="824"/>
      <c r="K862" s="790" t="str">
        <f>(IF(H862="Saneago",VLOOKUP(I862,'SANEAGO-FEV.2016'!A:B,2,0),IF(H862="Sinapi",VLOOKUP(I862,'SINAPI-FEV.2017'!A:D,2,0),IF(H862="Cotação",VLOOKUP(I862,COTAÇÃO!A:D,2,0),IF(H862="Composição",VLOOKUP(I862,COMPOSIÇÃO!A:D,2,0))))))</f>
        <v>CHAPISCO APLICADO EM ALVENARIA (COM PRESENÇA DE VÃOS) E ESTRUTURAS DE CONCRETO DE FACHADA, COM EQUIPAMENTO DE PROJEÇÃO.  ARGAMASSA TRAÇO 1:3 COM PREPARO EM BETONEIRA 400 L. AF_06/2014</v>
      </c>
      <c r="L862" s="700" t="str">
        <f>(IF(H862="Saneago",VLOOKUP(I862,'SANEAGO-FEV.2016'!A:D,3,0),IF(H862="Sinapi",VLOOKUP(I862,'SINAPI-FEV.2017'!A:D,3,0),IF(H862="Cotação",VLOOKUP(I862,COTAÇÃO!A:D,3,0),IF(H862="Composição",VLOOKUP(I862,COMPOSIÇÃO!A:D,3,0))))))</f>
        <v>M2</v>
      </c>
      <c r="M862" s="870">
        <f>ROUND(VLOOKUP(G862,CAIXAS!A:M,13,0),2)</f>
        <v>68.739999999999995</v>
      </c>
      <c r="N862" s="399">
        <v>0</v>
      </c>
      <c r="O862" s="102">
        <f t="shared" ref="O862:O868" si="158">ROUND(IF(F862="Serviços",N862*(1+$O$7),IF(F862="Materiais",N862*(1+$O$8))),2)</f>
        <v>0</v>
      </c>
      <c r="P862" s="101">
        <f t="shared" ref="P862:P868" si="159">ROUND(M862*O862,2)</f>
        <v>0</v>
      </c>
      <c r="Q862" s="1472">
        <v>68.739999999999995</v>
      </c>
    </row>
    <row r="863" spans="1:17" ht="33.75">
      <c r="A863" s="1482"/>
      <c r="B863" s="1482"/>
      <c r="C863" s="1483">
        <f t="shared" si="155"/>
        <v>6</v>
      </c>
      <c r="D863" s="1492">
        <f t="shared" si="156"/>
        <v>5</v>
      </c>
      <c r="E863" s="1492">
        <f t="shared" si="157"/>
        <v>8</v>
      </c>
      <c r="F863" s="1484" t="s">
        <v>11708</v>
      </c>
      <c r="G863" s="921" t="s">
        <v>11945</v>
      </c>
      <c r="H863" s="823" t="str">
        <f>VLOOKUP(G863,CAIXAS!A:M,2,0)</f>
        <v>SINAPI</v>
      </c>
      <c r="I863" s="700">
        <f>VLOOKUP(G863,CAIXAS!A:M,3,0)</f>
        <v>87882</v>
      </c>
      <c r="J863" s="824"/>
      <c r="K863" s="790" t="str">
        <f>(IF(H863="Saneago",VLOOKUP(I863,'SANEAGO-FEV.2016'!A:B,2,0),IF(H863="Sinapi",VLOOKUP(I863,'SINAPI-FEV.2017'!A:D,2,0),IF(H863="Cotação",VLOOKUP(I863,COTAÇÃO!A:D,2,0),IF(H863="Composição",VLOOKUP(I863,COMPOSIÇÃO!A:D,2,0))))))</f>
        <v>CHAPISCO APLICADO NO TETO, COM ROLO PARA TEXTURA ACRÍLICA. ARGAMASSA TRAÇO 1:4 E EMULSÃO POLIMÉRICA (ADESIVO) COM PREPARO EM BETONEIRA 400L. AF_06/2014</v>
      </c>
      <c r="L863" s="700" t="str">
        <f>(IF(H863="Saneago",VLOOKUP(I863,'SANEAGO-FEV.2016'!A:D,3,0),IF(H863="Sinapi",VLOOKUP(I863,'SINAPI-FEV.2017'!A:D,3,0),IF(H863="Cotação",VLOOKUP(I863,COTAÇÃO!A:D,3,0),IF(H863="Composição",VLOOKUP(I863,COMPOSIÇÃO!A:D,3,0))))))</f>
        <v>M2</v>
      </c>
      <c r="M863" s="870">
        <f>ROUND(VLOOKUP(G863,CAIXAS!A:M,13,0),2)</f>
        <v>10.8</v>
      </c>
      <c r="N863" s="399">
        <v>0</v>
      </c>
      <c r="O863" s="102">
        <f t="shared" si="158"/>
        <v>0</v>
      </c>
      <c r="P863" s="101">
        <f t="shared" si="159"/>
        <v>0</v>
      </c>
      <c r="Q863" s="1472">
        <v>10.8</v>
      </c>
    </row>
    <row r="864" spans="1:17" ht="33.75">
      <c r="A864" s="1482"/>
      <c r="B864" s="1482"/>
      <c r="C864" s="1483">
        <f t="shared" si="155"/>
        <v>6</v>
      </c>
      <c r="D864" s="1492">
        <f t="shared" si="156"/>
        <v>5</v>
      </c>
      <c r="E864" s="1492">
        <f t="shared" si="157"/>
        <v>8</v>
      </c>
      <c r="F864" s="1484" t="s">
        <v>11708</v>
      </c>
      <c r="G864" s="921" t="s">
        <v>11946</v>
      </c>
      <c r="H864" s="823" t="str">
        <f>VLOOKUP(G864,CAIXAS!A:M,2,0)</f>
        <v>SINAPI</v>
      </c>
      <c r="I864" s="700">
        <f>VLOOKUP(G864,CAIXAS!A:M,3,0)</f>
        <v>87296</v>
      </c>
      <c r="J864" s="824"/>
      <c r="K864" s="790" t="str">
        <f>(IF(H864="Saneago",VLOOKUP(I864,'SANEAGO-FEV.2016'!A:B,2,0),IF(H864="Sinapi",VLOOKUP(I864,'SINAPI-FEV.2017'!A:D,2,0),IF(H864="Cotação",VLOOKUP(I864,COTAÇÃO!A:D,2,0),IF(H864="Composição",VLOOKUP(I864,COMPOSIÇÃO!A:D,2,0))))))</f>
        <v>ARGAMASSA TRAÇO 1:3:12 (CIMENTO, CAL E AREIA MÉDIA) PARA EMBOÇO/MASSA ÚNICA/ASSENTAMENTO DE ALVENARIA DE VEDAÇÃO, PREPARO MECÂNICO COM BETONEIRA 600 L. AF_06/2014</v>
      </c>
      <c r="L864" s="700" t="str">
        <f>(IF(H864="Saneago",VLOOKUP(I864,'SANEAGO-FEV.2016'!A:D,3,0),IF(H864="Sinapi",VLOOKUP(I864,'SINAPI-FEV.2017'!A:D,3,0),IF(H864="Cotação",VLOOKUP(I864,COTAÇÃO!A:D,3,0),IF(H864="Composição",VLOOKUP(I864,COMPOSIÇÃO!A:D,3,0))))))</f>
        <v>M3</v>
      </c>
      <c r="M864" s="870">
        <f>ROUND(VLOOKUP(G864,CAIXAS!A:M,13,0),2)</f>
        <v>3.44</v>
      </c>
      <c r="N864" s="399">
        <v>0</v>
      </c>
      <c r="O864" s="102">
        <f t="shared" si="158"/>
        <v>0</v>
      </c>
      <c r="P864" s="101">
        <f t="shared" si="159"/>
        <v>0</v>
      </c>
      <c r="Q864" s="1472">
        <v>3.44</v>
      </c>
    </row>
    <row r="865" spans="1:17" ht="22.5">
      <c r="A865" s="1482"/>
      <c r="B865" s="1482"/>
      <c r="C865" s="1483">
        <f t="shared" si="155"/>
        <v>6</v>
      </c>
      <c r="D865" s="1492">
        <f t="shared" si="156"/>
        <v>5</v>
      </c>
      <c r="E865" s="1492">
        <f t="shared" si="157"/>
        <v>8</v>
      </c>
      <c r="F865" s="1484" t="s">
        <v>11708</v>
      </c>
      <c r="G865" s="921" t="s">
        <v>11939</v>
      </c>
      <c r="H865" s="823" t="str">
        <f>VLOOKUP(G865,CAIXAS!A:M,2,0)</f>
        <v>SINAPI</v>
      </c>
      <c r="I865" s="700">
        <f>VLOOKUP(G865,CAIXAS!A:M,3,0)</f>
        <v>88489</v>
      </c>
      <c r="J865" s="824"/>
      <c r="K865" s="790" t="str">
        <f>(IF(H865="Saneago",VLOOKUP(I865,'SANEAGO-FEV.2016'!A:B,2,0),IF(H865="Sinapi",VLOOKUP(I865,'SINAPI-FEV.2017'!A:D,2,0),IF(H865="Cotação",VLOOKUP(I865,COTAÇÃO!A:D,2,0),IF(H865="Composição",VLOOKUP(I865,COMPOSIÇÃO!A:D,2,0))))))</f>
        <v>APLICAÇÃO MANUAL DE PINTURA COM TINTA LÁTEX ACRÍLICA EM PAREDES, DUAS DEMÃOS. AF_06/2014</v>
      </c>
      <c r="L865" s="700" t="str">
        <f>(IF(H865="Saneago",VLOOKUP(I865,'SANEAGO-FEV.2016'!A:D,3,0),IF(H865="Sinapi",VLOOKUP(I865,'SINAPI-FEV.2017'!A:D,3,0),IF(H865="Cotação",VLOOKUP(I865,COTAÇÃO!A:D,3,0),IF(H865="Composição",VLOOKUP(I865,COMPOSIÇÃO!A:D,3,0))))))</f>
        <v>M2</v>
      </c>
      <c r="M865" s="870">
        <f>ROUND(VLOOKUP(G865,CAIXAS!A:M,13,0),2)</f>
        <v>1.72</v>
      </c>
      <c r="N865" s="399">
        <v>0</v>
      </c>
      <c r="O865" s="102">
        <f t="shared" si="158"/>
        <v>0</v>
      </c>
      <c r="P865" s="101">
        <f t="shared" si="159"/>
        <v>0</v>
      </c>
      <c r="Q865" s="1472">
        <v>1.72</v>
      </c>
    </row>
    <row r="866" spans="1:17">
      <c r="A866" s="1482"/>
      <c r="B866" s="1482"/>
      <c r="C866" s="1483">
        <f t="shared" si="155"/>
        <v>6</v>
      </c>
      <c r="D866" s="1492">
        <f t="shared" si="156"/>
        <v>5</v>
      </c>
      <c r="E866" s="1492">
        <f t="shared" si="157"/>
        <v>8</v>
      </c>
      <c r="F866" s="1484" t="s">
        <v>11708</v>
      </c>
      <c r="G866" s="921" t="s">
        <v>11940</v>
      </c>
      <c r="H866" s="823" t="str">
        <f>VLOOKUP(G866,CAIXAS!A:M,2,0)</f>
        <v>SINAPI</v>
      </c>
      <c r="I866" s="700">
        <f>VLOOKUP(G866,CAIXAS!A:M,3,0)</f>
        <v>95305</v>
      </c>
      <c r="J866" s="824"/>
      <c r="K866" s="790" t="str">
        <f>(IF(H866="Saneago",VLOOKUP(I866,'SANEAGO-FEV.2016'!A:B,2,0),IF(H866="Sinapi",VLOOKUP(I866,'SINAPI-FEV.2017'!A:D,2,0),IF(H866="Cotação",VLOOKUP(I866,COTAÇÃO!A:D,2,0),IF(H866="Composição",VLOOKUP(I866,COMPOSIÇÃO!A:D,2,0))))))</f>
        <v>TEXTURA ACRÍLICA, APLICAÇÃO MANUAL EM PAREDE, UMA DEMÃO. AF_09/2016</v>
      </c>
      <c r="L866" s="700" t="str">
        <f>(IF(H866="Saneago",VLOOKUP(I866,'SANEAGO-FEV.2016'!A:D,3,0),IF(H866="Sinapi",VLOOKUP(I866,'SINAPI-FEV.2017'!A:D,3,0),IF(H866="Cotação",VLOOKUP(I866,COTAÇÃO!A:D,3,0),IF(H866="Composição",VLOOKUP(I866,COMPOSIÇÃO!A:D,3,0))))))</f>
        <v>M2</v>
      </c>
      <c r="M866" s="870">
        <f>ROUND(VLOOKUP(G866,CAIXAS!A:M,13,0),2)</f>
        <v>1.72</v>
      </c>
      <c r="N866" s="399">
        <v>0</v>
      </c>
      <c r="O866" s="102">
        <f t="shared" si="158"/>
        <v>0</v>
      </c>
      <c r="P866" s="101">
        <f t="shared" si="159"/>
        <v>0</v>
      </c>
      <c r="Q866" s="1472">
        <v>1.72</v>
      </c>
    </row>
    <row r="867" spans="1:17" ht="22.5">
      <c r="A867" s="1482"/>
      <c r="B867" s="1482"/>
      <c r="C867" s="1483">
        <f t="shared" si="155"/>
        <v>6</v>
      </c>
      <c r="D867" s="1492">
        <f t="shared" si="156"/>
        <v>5</v>
      </c>
      <c r="E867" s="1492">
        <f t="shared" si="157"/>
        <v>8</v>
      </c>
      <c r="F867" s="1484" t="s">
        <v>11708</v>
      </c>
      <c r="G867" s="921" t="s">
        <v>11868</v>
      </c>
      <c r="H867" s="823" t="str">
        <f>VLOOKUP(G867,CAIXAS!A:M,2,0)</f>
        <v>SINAPI</v>
      </c>
      <c r="I867" s="700" t="str">
        <f>VLOOKUP(G867,CAIXAS!A:M,3,0)</f>
        <v>74106/1</v>
      </c>
      <c r="J867" s="824"/>
      <c r="K867" s="790" t="str">
        <f>(IF(H867="Saneago",VLOOKUP(I867,'SANEAGO-FEV.2016'!A:B,2,0),IF(H867="Sinapi",VLOOKUP(I867,'SINAPI-FEV.2017'!A:D,2,0),IF(H867="Cotação",VLOOKUP(I867,COTAÇÃO!A:D,2,0),IF(H867="Composição",VLOOKUP(I867,COMPOSIÇÃO!A:D,2,0))))))</f>
        <v>IMPERMEABILIZACAO DE ESTRUTURAS ENTERRADAS, COM TINTA ASFALTICA, DUAS DEMAOS.</v>
      </c>
      <c r="L867" s="700" t="str">
        <f>(IF(H867="Saneago",VLOOKUP(I867,'SANEAGO-FEV.2016'!A:D,3,0),IF(H867="Sinapi",VLOOKUP(I867,'SINAPI-FEV.2017'!A:D,3,0),IF(H867="Cotação",VLOOKUP(I867,COTAÇÃO!A:D,3,0),IF(H867="Composição",VLOOKUP(I867,COMPOSIÇÃO!A:D,3,0))))))</f>
        <v>M2</v>
      </c>
      <c r="M867" s="870">
        <f>ROUND(VLOOKUP(G867,CAIXAS!A:M,13,0),2)</f>
        <v>63.2</v>
      </c>
      <c r="N867" s="399">
        <v>0</v>
      </c>
      <c r="O867" s="102">
        <f t="shared" si="158"/>
        <v>0</v>
      </c>
      <c r="P867" s="101">
        <f t="shared" si="159"/>
        <v>0</v>
      </c>
      <c r="Q867" s="1472">
        <v>63.2</v>
      </c>
    </row>
    <row r="868" spans="1:17" ht="22.5">
      <c r="A868" s="1482"/>
      <c r="B868" s="1482"/>
      <c r="C868" s="1483">
        <f t="shared" si="155"/>
        <v>6</v>
      </c>
      <c r="D868" s="1492">
        <f t="shared" si="156"/>
        <v>5</v>
      </c>
      <c r="E868" s="1492">
        <f t="shared" si="157"/>
        <v>8</v>
      </c>
      <c r="F868" s="1484" t="s">
        <v>11708</v>
      </c>
      <c r="G868" s="921" t="s">
        <v>11941</v>
      </c>
      <c r="H868" s="823" t="str">
        <f>VLOOKUP(G868,CAIXAS!A:M,2,0)</f>
        <v>SINAPI</v>
      </c>
      <c r="I868" s="700">
        <f>VLOOKUP(G868,CAIXAS!A:M,3,0)</f>
        <v>87298</v>
      </c>
      <c r="J868" s="824"/>
      <c r="K868" s="790" t="str">
        <f>(IF(H868="Saneago",VLOOKUP(I868,'SANEAGO-FEV.2016'!A:B,2,0),IF(H868="Sinapi",VLOOKUP(I868,'SINAPI-FEV.2017'!A:D,2,0),IF(H868="Cotação",VLOOKUP(I868,COTAÇÃO!A:D,2,0),IF(H868="Composição",VLOOKUP(I868,COMPOSIÇÃO!A:D,2,0))))))</f>
        <v>ARGAMASSA TRAÇO 1:3 (CIMENTO E AREIA MÉDIA) PARA CONTRAPISO, PREPARO MECÂNICO COM BETONEIRA 400 L. AF_06/2014</v>
      </c>
      <c r="L868" s="700" t="str">
        <f>(IF(H868="Saneago",VLOOKUP(I868,'SANEAGO-FEV.2016'!A:D,3,0),IF(H868="Sinapi",VLOOKUP(I868,'SINAPI-FEV.2017'!A:D,3,0),IF(H868="Cotação",VLOOKUP(I868,COTAÇÃO!A:D,3,0),IF(H868="Composição",VLOOKUP(I868,COMPOSIÇÃO!A:D,3,0))))))</f>
        <v>M3</v>
      </c>
      <c r="M868" s="870">
        <f>ROUND(VLOOKUP(G868,CAIXAS!A:M,13,0),2)</f>
        <v>10.24</v>
      </c>
      <c r="N868" s="399">
        <v>0</v>
      </c>
      <c r="O868" s="102">
        <f t="shared" si="158"/>
        <v>0</v>
      </c>
      <c r="P868" s="101">
        <f t="shared" si="159"/>
        <v>0</v>
      </c>
      <c r="Q868" s="1472">
        <v>10.24</v>
      </c>
    </row>
    <row r="869" spans="1:17" ht="15.75" thickBot="1">
      <c r="A869" s="1482"/>
      <c r="B869" s="1482"/>
      <c r="C869" s="1483">
        <f t="shared" si="155"/>
        <v>6</v>
      </c>
      <c r="D869" s="1492">
        <f t="shared" si="156"/>
        <v>5</v>
      </c>
      <c r="E869" s="1492">
        <f t="shared" si="157"/>
        <v>8</v>
      </c>
      <c r="F869" s="1484" t="s">
        <v>11708</v>
      </c>
      <c r="H869" s="1095"/>
      <c r="I869" s="780"/>
      <c r="J869" s="834"/>
      <c r="K869" s="780"/>
      <c r="L869" s="780"/>
      <c r="M869" s="1270"/>
      <c r="N869" s="400"/>
      <c r="O869" s="122"/>
      <c r="P869" s="123"/>
    </row>
    <row r="870" spans="1:17" ht="16.5" customHeight="1" thickTop="1" thickBot="1">
      <c r="A870" s="1482"/>
      <c r="B870" s="1482"/>
      <c r="C870" s="1483">
        <f t="shared" si="155"/>
        <v>6</v>
      </c>
      <c r="D870" s="1492">
        <f t="shared" si="156"/>
        <v>5</v>
      </c>
      <c r="E870" s="1492">
        <f t="shared" si="157"/>
        <v>8</v>
      </c>
      <c r="F870" s="1484" t="s">
        <v>11708</v>
      </c>
      <c r="G870" s="959"/>
      <c r="H870" s="1653" t="str">
        <f>"TOTAL ITEM: "&amp;J860 &amp;K860</f>
        <v>TOTAL ITEM: 6.5.8 REVESTIMENTOS E PINTURAS</v>
      </c>
      <c r="I870" s="1654"/>
      <c r="J870" s="1654"/>
      <c r="K870" s="1654"/>
      <c r="L870" s="1654"/>
      <c r="M870" s="1654"/>
      <c r="N870" s="1654"/>
      <c r="O870" s="1654"/>
      <c r="P870" s="210">
        <f>SUBTOTAL(9,P862:P868)</f>
        <v>0</v>
      </c>
    </row>
    <row r="871" spans="1:17" ht="15.75" thickTop="1">
      <c r="A871" s="1482"/>
      <c r="B871" s="1482"/>
      <c r="C871" s="1483">
        <f t="shared" si="155"/>
        <v>6</v>
      </c>
      <c r="D871" s="1492">
        <f t="shared" si="156"/>
        <v>5</v>
      </c>
      <c r="E871" s="1492">
        <f t="shared" si="157"/>
        <v>8</v>
      </c>
      <c r="F871" s="1484" t="s">
        <v>11708</v>
      </c>
      <c r="G871" s="959"/>
      <c r="H871" s="929"/>
      <c r="I871" s="1371"/>
      <c r="J871" s="1022"/>
      <c r="K871" s="1371"/>
      <c r="L871" s="1371"/>
      <c r="M871" s="1536"/>
      <c r="N871" s="394"/>
      <c r="O871" s="728"/>
      <c r="P871" s="95"/>
    </row>
    <row r="872" spans="1:17">
      <c r="A872" s="1482"/>
      <c r="B872" s="1482">
        <v>1</v>
      </c>
      <c r="C872" s="1483">
        <f t="shared" si="155"/>
        <v>6</v>
      </c>
      <c r="D872" s="1492">
        <f t="shared" si="156"/>
        <v>5</v>
      </c>
      <c r="E872" s="1492">
        <f t="shared" si="157"/>
        <v>9</v>
      </c>
      <c r="F872" s="1484" t="s">
        <v>11708</v>
      </c>
      <c r="H872" s="1514" t="s">
        <v>11703</v>
      </c>
      <c r="I872" s="1515" t="s">
        <v>64</v>
      </c>
      <c r="J872" s="1516" t="str">
        <f>CONCATENATE(C872,".",D872,".",E872)</f>
        <v>6.5.9</v>
      </c>
      <c r="K872" s="1516" t="s">
        <v>20203</v>
      </c>
      <c r="L872" s="1517" t="s">
        <v>25</v>
      </c>
      <c r="M872" s="1518" t="s">
        <v>11704</v>
      </c>
      <c r="N872" s="398" t="s">
        <v>11705</v>
      </c>
      <c r="O872" s="207" t="s">
        <v>11706</v>
      </c>
      <c r="P872" s="208" t="s">
        <v>27</v>
      </c>
      <c r="Q872" s="1472" t="s">
        <v>11704</v>
      </c>
    </row>
    <row r="873" spans="1:17">
      <c r="A873" s="1482"/>
      <c r="B873" s="1482"/>
      <c r="C873" s="1483">
        <f t="shared" si="155"/>
        <v>6</v>
      </c>
      <c r="D873" s="1492">
        <f t="shared" si="156"/>
        <v>5</v>
      </c>
      <c r="E873" s="1492">
        <f t="shared" si="157"/>
        <v>9</v>
      </c>
      <c r="F873" s="1484" t="s">
        <v>11708</v>
      </c>
      <c r="G873" s="959"/>
      <c r="H873" s="1095"/>
      <c r="I873" s="780"/>
      <c r="J873" s="834"/>
      <c r="K873" s="780"/>
      <c r="L873" s="780"/>
      <c r="M873" s="1270"/>
      <c r="N873" s="400"/>
      <c r="O873" s="122"/>
      <c r="P873" s="123"/>
    </row>
    <row r="874" spans="1:17" ht="22.5">
      <c r="A874" s="1482"/>
      <c r="B874" s="1482"/>
      <c r="C874" s="1483">
        <f t="shared" si="155"/>
        <v>6</v>
      </c>
      <c r="D874" s="1492">
        <f t="shared" si="156"/>
        <v>5</v>
      </c>
      <c r="E874" s="1492">
        <f t="shared" si="157"/>
        <v>9</v>
      </c>
      <c r="F874" s="1484" t="s">
        <v>11708</v>
      </c>
      <c r="G874" s="921" t="s">
        <v>11869</v>
      </c>
      <c r="H874" s="823" t="str">
        <f>VLOOKUP(G874,CAIXAS!A:M,2,0)</f>
        <v>SINAPI</v>
      </c>
      <c r="I874" s="700" t="str">
        <f>VLOOKUP(G874,CAIXAS!A:M,3,0)</f>
        <v>73923/3</v>
      </c>
      <c r="J874" s="824"/>
      <c r="K874" s="790" t="str">
        <f>(IF(H874="Saneago",VLOOKUP(I874,'SANEAGO-FEV.2016'!A:B,2,0),IF(H874="Sinapi",VLOOKUP(I874,'SINAPI-FEV.2017'!A:D,2,0),IF(H874="Cotação",VLOOKUP(I874,COTAÇÃO!A:D,2,0),IF(H874="Composição",VLOOKUP(I874,COMPOSIÇÃO!A:D,2,0))))))</f>
        <v>PISO CIMENTADO TRACO 1:3 (CIMENTO E AREIA), COM ACABAMENTO RUSTICO E FRISADO ESPESSURA 2CM, PREPARO MANUAL</v>
      </c>
      <c r="L874" s="700" t="str">
        <f>(IF(H874="Saneago",VLOOKUP(I874,'SANEAGO-FEV.2016'!A:D,3,0),IF(H874="Sinapi",VLOOKUP(I874,'SINAPI-FEV.2017'!A:D,3,0),IF(H874="Cotação",VLOOKUP(I874,COTAÇÃO!A:D,3,0),IF(H874="Composição",VLOOKUP(I874,COMPOSIÇÃO!A:D,3,0))))))</f>
        <v>M2</v>
      </c>
      <c r="M874" s="870">
        <f>ROUND(VLOOKUP(G874,CAIXAS!A:M,13,0),2)</f>
        <v>8.2799999999999994</v>
      </c>
      <c r="N874" s="399">
        <v>0</v>
      </c>
      <c r="O874" s="102">
        <f>ROUND(IF(F874="Serviços",N874*(1+$O$7),IF(F874="Materiais",N874*(1+$O$8))),2)</f>
        <v>0</v>
      </c>
      <c r="P874" s="101">
        <f>ROUND(M874*O874,2)</f>
        <v>0</v>
      </c>
      <c r="Q874" s="1472">
        <v>8.2799999999999994</v>
      </c>
    </row>
    <row r="875" spans="1:17" ht="33.75">
      <c r="A875" s="1482"/>
      <c r="B875" s="1482"/>
      <c r="C875" s="1483">
        <f t="shared" si="155"/>
        <v>6</v>
      </c>
      <c r="D875" s="1492">
        <f t="shared" si="156"/>
        <v>5</v>
      </c>
      <c r="E875" s="1492">
        <f t="shared" si="157"/>
        <v>9</v>
      </c>
      <c r="F875" s="1484" t="s">
        <v>11708</v>
      </c>
      <c r="G875" s="921" t="s">
        <v>11942</v>
      </c>
      <c r="H875" s="823" t="str">
        <f>VLOOKUP(G875,CAIXAS!A:M,2,0)</f>
        <v>SINAPI</v>
      </c>
      <c r="I875" s="700">
        <f>VLOOKUP(G875,CAIXAS!A:M,3,0)</f>
        <v>94990</v>
      </c>
      <c r="J875" s="824"/>
      <c r="K875" s="790" t="str">
        <f>(IF(H875="Saneago",VLOOKUP(I875,'SANEAGO-FEV.2016'!A:B,2,0),IF(H875="Sinapi",VLOOKUP(I875,'SINAPI-FEV.2017'!A:D,2,0),IF(H875="Cotação",VLOOKUP(I875,COTAÇÃO!A:D,2,0),IF(H875="Composição",VLOOKUP(I875,COMPOSIÇÃO!A:D,2,0))))))</f>
        <v>EXECUÇÃO DE PASSEIO (CALÇADA) OU PISO DE CONCRETO COM CONCRETO MOLDADO IN LOCO, FEITO EM OBRA, ACABAMENTO CONVENCIONAL, NÃO ARMADO. AF_07/2016</v>
      </c>
      <c r="L875" s="700" t="str">
        <f>(IF(H875="Saneago",VLOOKUP(I875,'SANEAGO-FEV.2016'!A:D,3,0),IF(H875="Sinapi",VLOOKUP(I875,'SINAPI-FEV.2017'!A:D,3,0),IF(H875="Cotação",VLOOKUP(I875,COTAÇÃO!A:D,3,0),IF(H875="Composição",VLOOKUP(I875,COMPOSIÇÃO!A:D,3,0))))))</f>
        <v>M3</v>
      </c>
      <c r="M875" s="870">
        <f>ROUND(VLOOKUP(G875,CAIXAS!A:M,13,0),2)</f>
        <v>0.8</v>
      </c>
      <c r="N875" s="399">
        <v>0</v>
      </c>
      <c r="O875" s="102">
        <f>ROUND(IF(F875="Serviços",N875*(1+$O$7),IF(F875="Materiais",N875*(1+$O$8))),2)</f>
        <v>0</v>
      </c>
      <c r="P875" s="101">
        <f>ROUND(M875*O875,2)</f>
        <v>0</v>
      </c>
      <c r="Q875" s="1472">
        <v>0.8</v>
      </c>
    </row>
    <row r="876" spans="1:17" ht="22.5">
      <c r="A876" s="1482"/>
      <c r="B876" s="1482"/>
      <c r="C876" s="1483">
        <f t="shared" si="155"/>
        <v>6</v>
      </c>
      <c r="D876" s="1492">
        <f t="shared" si="156"/>
        <v>5</v>
      </c>
      <c r="E876" s="1492">
        <f t="shared" si="157"/>
        <v>9</v>
      </c>
      <c r="F876" s="1484" t="s">
        <v>11708</v>
      </c>
      <c r="G876" s="921" t="s">
        <v>11943</v>
      </c>
      <c r="H876" s="823" t="str">
        <f>VLOOKUP(G876,CAIXAS!A:M,2,0)</f>
        <v>SINAPI</v>
      </c>
      <c r="I876" s="700">
        <f>VLOOKUP(G876,CAIXAS!A:M,3,0)</f>
        <v>94969</v>
      </c>
      <c r="J876" s="824"/>
      <c r="K876" s="790" t="str">
        <f>(IF(H876="Saneago",VLOOKUP(I876,'SANEAGO-FEV.2016'!A:B,2,0),IF(H876="Sinapi",VLOOKUP(I876,'SINAPI-FEV.2017'!A:D,2,0),IF(H876="Cotação",VLOOKUP(I876,COTAÇÃO!A:D,2,0),IF(H876="Composição",VLOOKUP(I876,COMPOSIÇÃO!A:D,2,0))))))</f>
        <v>CONCRETO FCK = 15MPA, TRAÇO 1:3,4:3,5 (CIMENTO/ AREIA MÉDIA/ BRITA 1)  - PREPARO MECÂNICO COM BETONEIRA 600 L. AF_07/2016</v>
      </c>
      <c r="L876" s="700" t="str">
        <f>(IF(H876="Saneago",VLOOKUP(I876,'SANEAGO-FEV.2016'!A:D,3,0),IF(H876="Sinapi",VLOOKUP(I876,'SINAPI-FEV.2017'!A:D,3,0),IF(H876="Cotação",VLOOKUP(I876,COTAÇÃO!A:D,3,0),IF(H876="Composição",VLOOKUP(I876,COMPOSIÇÃO!A:D,3,0))))))</f>
        <v>M3</v>
      </c>
      <c r="M876" s="870">
        <f>ROUND(VLOOKUP(G876,CAIXAS!A:M,13,0),2)</f>
        <v>0.41</v>
      </c>
      <c r="N876" s="399">
        <v>0</v>
      </c>
      <c r="O876" s="102">
        <f>ROUND(IF(F876="Serviços",N876*(1+$O$7),IF(F876="Materiais",N876*(1+$O$8))),2)</f>
        <v>0</v>
      </c>
      <c r="P876" s="101">
        <f>ROUND(M876*O876,2)</f>
        <v>0</v>
      </c>
      <c r="Q876" s="1472">
        <v>0.41</v>
      </c>
    </row>
    <row r="877" spans="1:17">
      <c r="A877" s="1482"/>
      <c r="B877" s="1482"/>
      <c r="C877" s="1483">
        <f t="shared" si="155"/>
        <v>6</v>
      </c>
      <c r="D877" s="1492">
        <f t="shared" ref="D877:E879" si="160">D876+A877</f>
        <v>5</v>
      </c>
      <c r="E877" s="1492">
        <f t="shared" si="160"/>
        <v>9</v>
      </c>
      <c r="F877" s="1484" t="s">
        <v>11708</v>
      </c>
      <c r="G877" s="921" t="s">
        <v>14334</v>
      </c>
      <c r="H877" s="823" t="str">
        <f>VLOOKUP(G877,CAIXAS!A:M,2,0)</f>
        <v>SINAPI</v>
      </c>
      <c r="I877" s="700">
        <f>VLOOKUP(G877,CAIXAS!A:M,3,0)</f>
        <v>9537</v>
      </c>
      <c r="J877" s="824"/>
      <c r="K877" s="790" t="str">
        <f>(IF(H877="Saneago",VLOOKUP(I877,'SANEAGO-FEV.2016'!A:B,2,0),IF(H877="Sinapi",VLOOKUP(I877,'SINAPI-FEV.2017'!A:D,2,0),IF(H877="Cotação",VLOOKUP(I877,COTAÇÃO!A:D,2,0),IF(H877="Composição",VLOOKUP(I877,COMPOSIÇÃO!A:D,2,0))))))</f>
        <v>LIMPEZA FINAL DA OBRA</v>
      </c>
      <c r="L877" s="700" t="str">
        <f>(IF(H877="Saneago",VLOOKUP(I877,'SANEAGO-FEV.2016'!A:D,3,0),IF(H877="Sinapi",VLOOKUP(I877,'SINAPI-FEV.2017'!A:D,3,0),IF(H877="Cotação",VLOOKUP(I877,COTAÇÃO!A:D,3,0),IF(H877="Composição",VLOOKUP(I877,COMPOSIÇÃO!A:D,3,0))))))</f>
        <v>M2</v>
      </c>
      <c r="M877" s="870">
        <f>ROUND(VLOOKUP(G877,CAIXAS!A:M,13,0),2)</f>
        <v>59.6</v>
      </c>
      <c r="N877" s="399">
        <v>0</v>
      </c>
      <c r="O877" s="102">
        <f>ROUND(IF(F877="Serviços",N877*(1+$O$7),IF(F877="Materiais",N877*(1+$O$8))),2)</f>
        <v>0</v>
      </c>
      <c r="P877" s="101">
        <f>ROUND(M877*O877,2)</f>
        <v>0</v>
      </c>
      <c r="Q877" s="1472">
        <v>59.6</v>
      </c>
    </row>
    <row r="878" spans="1:17" ht="15.75" thickBot="1">
      <c r="A878" s="1482"/>
      <c r="B878" s="1482"/>
      <c r="C878" s="1483">
        <f t="shared" si="155"/>
        <v>6</v>
      </c>
      <c r="D878" s="1492">
        <f t="shared" si="160"/>
        <v>5</v>
      </c>
      <c r="E878" s="1492">
        <f t="shared" si="160"/>
        <v>9</v>
      </c>
      <c r="F878" s="1484" t="s">
        <v>11708</v>
      </c>
      <c r="G878" s="921"/>
      <c r="H878" s="929"/>
      <c r="I878" s="1371"/>
      <c r="J878" s="1022"/>
      <c r="K878" s="1371"/>
      <c r="L878" s="1371"/>
      <c r="M878" s="1536"/>
      <c r="N878" s="394"/>
      <c r="O878" s="728"/>
      <c r="P878" s="95"/>
    </row>
    <row r="879" spans="1:17" ht="16.5" customHeight="1" thickTop="1" thickBot="1">
      <c r="A879" s="1482"/>
      <c r="B879" s="1482"/>
      <c r="C879" s="1483">
        <f t="shared" si="155"/>
        <v>6</v>
      </c>
      <c r="D879" s="1492">
        <f t="shared" si="160"/>
        <v>5</v>
      </c>
      <c r="E879" s="1492">
        <f t="shared" si="160"/>
        <v>9</v>
      </c>
      <c r="F879" s="1484" t="s">
        <v>11708</v>
      </c>
      <c r="G879" s="921"/>
      <c r="H879" s="1653" t="str">
        <f>"TOTAL ITEM: "&amp;J872 &amp;K872</f>
        <v>TOTAL ITEM: 6.5.9 REGULARIZAÇÃO DE PISO</v>
      </c>
      <c r="I879" s="1654"/>
      <c r="J879" s="1654"/>
      <c r="K879" s="1654"/>
      <c r="L879" s="1654"/>
      <c r="M879" s="1654"/>
      <c r="N879" s="1654"/>
      <c r="O879" s="1654"/>
      <c r="P879" s="210">
        <f>SUBTOTAL(9,P874:P877)</f>
        <v>0</v>
      </c>
    </row>
    <row r="880" spans="1:17" ht="16.5" thickTop="1" thickBot="1">
      <c r="A880" s="1482"/>
      <c r="B880" s="1482"/>
      <c r="C880" s="1483">
        <f t="shared" si="155"/>
        <v>6</v>
      </c>
      <c r="D880" s="1492">
        <f t="shared" si="156"/>
        <v>5</v>
      </c>
      <c r="E880" s="1492">
        <f t="shared" si="157"/>
        <v>9</v>
      </c>
      <c r="F880" s="1484" t="s">
        <v>11708</v>
      </c>
      <c r="G880" s="921"/>
      <c r="H880" s="929"/>
      <c r="I880" s="1371"/>
      <c r="J880" s="1022"/>
      <c r="K880" s="1371"/>
      <c r="L880" s="1371"/>
      <c r="M880" s="1536"/>
      <c r="N880" s="394"/>
      <c r="O880" s="728"/>
      <c r="P880" s="95"/>
    </row>
    <row r="881" spans="1:24" s="863" customFormat="1" ht="16.5" customHeight="1" thickTop="1" thickBot="1">
      <c r="A881" s="1482">
        <v>1</v>
      </c>
      <c r="B881" s="1482"/>
      <c r="C881" s="1483">
        <f t="shared" si="155"/>
        <v>6</v>
      </c>
      <c r="D881" s="1492">
        <f t="shared" si="156"/>
        <v>6</v>
      </c>
      <c r="E881" s="1492">
        <v>0</v>
      </c>
      <c r="F881" s="1484" t="s">
        <v>11708</v>
      </c>
      <c r="G881" s="862"/>
      <c r="H881" s="1510" t="str">
        <f>CONCATENATE(C881,".",D881)</f>
        <v>6.6</v>
      </c>
      <c r="I881" s="1644" t="s">
        <v>12682</v>
      </c>
      <c r="J881" s="1644"/>
      <c r="K881" s="1644"/>
      <c r="L881" s="1644"/>
      <c r="M881" s="1644"/>
      <c r="N881" s="1644"/>
      <c r="O881" s="99" t="s">
        <v>11702</v>
      </c>
      <c r="P881" s="100">
        <f>SUBTOTAL(9,P885:P975)</f>
        <v>0</v>
      </c>
      <c r="Q881" s="1507"/>
      <c r="R881" s="1525"/>
      <c r="S881" s="1504"/>
      <c r="V881" s="1487"/>
      <c r="W881" s="1325"/>
      <c r="X881" s="1325"/>
    </row>
    <row r="882" spans="1:24" s="863" customFormat="1" ht="13.5" thickTop="1">
      <c r="A882" s="1482"/>
      <c r="B882" s="1482"/>
      <c r="C882" s="1483">
        <f t="shared" si="155"/>
        <v>6</v>
      </c>
      <c r="D882" s="1492">
        <f t="shared" si="156"/>
        <v>6</v>
      </c>
      <c r="E882" s="1492">
        <f t="shared" si="157"/>
        <v>0</v>
      </c>
      <c r="F882" s="1484" t="s">
        <v>11708</v>
      </c>
      <c r="G882" s="862"/>
      <c r="H882" s="789"/>
      <c r="I882" s="915"/>
      <c r="J882" s="1022"/>
      <c r="K882" s="915"/>
      <c r="L882" s="816"/>
      <c r="M882" s="874"/>
      <c r="N882" s="394"/>
      <c r="O882" s="98"/>
      <c r="P882" s="95"/>
      <c r="Q882" s="1507"/>
      <c r="R882" s="1525"/>
      <c r="S882" s="1504"/>
      <c r="V882" s="1325"/>
      <c r="W882" s="1325"/>
      <c r="X882" s="1325"/>
    </row>
    <row r="883" spans="1:24" s="863" customFormat="1" ht="12.75">
      <c r="A883" s="1482"/>
      <c r="B883" s="1482">
        <v>1</v>
      </c>
      <c r="C883" s="1483">
        <f t="shared" si="155"/>
        <v>6</v>
      </c>
      <c r="D883" s="1492">
        <f t="shared" si="156"/>
        <v>6</v>
      </c>
      <c r="E883" s="1492">
        <f t="shared" si="157"/>
        <v>1</v>
      </c>
      <c r="F883" s="1484" t="s">
        <v>11708</v>
      </c>
      <c r="G883" s="862"/>
      <c r="H883" s="1514" t="s">
        <v>11703</v>
      </c>
      <c r="I883" s="1515" t="s">
        <v>64</v>
      </c>
      <c r="J883" s="1516" t="str">
        <f>CONCATENATE(C883,".",D883,".",E883)</f>
        <v>6.6.1</v>
      </c>
      <c r="K883" s="1516" t="s">
        <v>11709</v>
      </c>
      <c r="L883" s="1517" t="s">
        <v>25</v>
      </c>
      <c r="M883" s="1518" t="s">
        <v>11704</v>
      </c>
      <c r="N883" s="398" t="s">
        <v>11705</v>
      </c>
      <c r="O883" s="207" t="s">
        <v>11706</v>
      </c>
      <c r="P883" s="208" t="s">
        <v>27</v>
      </c>
      <c r="Q883" s="1507" t="s">
        <v>11704</v>
      </c>
      <c r="R883" s="1525"/>
      <c r="S883" s="1504"/>
      <c r="V883" s="1487"/>
      <c r="W883" s="1325"/>
      <c r="X883" s="1325"/>
    </row>
    <row r="884" spans="1:24" s="863" customFormat="1" ht="12.75">
      <c r="A884" s="1482"/>
      <c r="B884" s="1482"/>
      <c r="C884" s="1483">
        <f t="shared" si="155"/>
        <v>6</v>
      </c>
      <c r="D884" s="1492">
        <f t="shared" si="156"/>
        <v>6</v>
      </c>
      <c r="E884" s="1492">
        <f t="shared" si="157"/>
        <v>1</v>
      </c>
      <c r="F884" s="1484" t="s">
        <v>11708</v>
      </c>
      <c r="G884" s="862"/>
      <c r="H884" s="826"/>
      <c r="I884" s="790"/>
      <c r="J884" s="824"/>
      <c r="K884" s="790"/>
      <c r="L884" s="700"/>
      <c r="M884" s="870"/>
      <c r="N884" s="399"/>
      <c r="O884" s="121"/>
      <c r="P884" s="101"/>
      <c r="Q884" s="1507"/>
      <c r="R884" s="1525"/>
      <c r="S884" s="1504"/>
      <c r="V884" s="1325"/>
      <c r="W884" s="1325"/>
      <c r="X884" s="1325"/>
    </row>
    <row r="885" spans="1:24" s="863" customFormat="1" ht="22.5">
      <c r="A885" s="1482"/>
      <c r="B885" s="1482"/>
      <c r="C885" s="1483">
        <f t="shared" si="155"/>
        <v>6</v>
      </c>
      <c r="D885" s="1492">
        <f t="shared" si="156"/>
        <v>6</v>
      </c>
      <c r="E885" s="1492">
        <f t="shared" si="157"/>
        <v>1</v>
      </c>
      <c r="F885" s="1484" t="s">
        <v>11708</v>
      </c>
      <c r="G885" s="862" t="s">
        <v>12306</v>
      </c>
      <c r="H885" s="823" t="str">
        <f>VLOOKUP(G885,BIOGAS!A:M,2,0)</f>
        <v>SINAPI</v>
      </c>
      <c r="I885" s="700" t="str">
        <f>VLOOKUP(G885,BIOGAS!A:M,3,0)</f>
        <v>73822/2</v>
      </c>
      <c r="J885" s="824"/>
      <c r="K885" s="790" t="str">
        <f>(IF(H885="Saneago",VLOOKUP(I885,'SANEAGO-FEV.2016'!A:B,2,0),IF(H885="Sinapi",VLOOKUP(I885,'SINAPI-FEV.2017'!A:D,2,0),IF(H885="Cotação",VLOOKUP(I885,COTAÇÃO!A:D,2,0),IF(H885="Composição",VLOOKUP(I885,COMPOSIÇÃO!A:D,2,0))))))</f>
        <v>LIMPEZA MECANIZADA DE TERRENO COM REMOCAO DE CAMADA VEGETAL, UTILIZANDO MOTONIVELADORA</v>
      </c>
      <c r="L885" s="700" t="str">
        <f>(IF(H885="Saneago",VLOOKUP(I885,'SANEAGO-FEV.2016'!A:D,3,0),IF(H885="Sinapi",VLOOKUP(I885,'SINAPI-FEV.2017'!A:D,3,0),IF(H885="Cotação",VLOOKUP(I885,COTAÇÃO!A:D,3,0),IF(H885="Composição",VLOOKUP(I885,COMPOSIÇÃO!A:D,3,0))))))</f>
        <v>M2</v>
      </c>
      <c r="M885" s="870">
        <f>ROUND(VLOOKUP(G885,BIOGAS!A:M,13,0),2)</f>
        <v>342.76</v>
      </c>
      <c r="N885" s="399">
        <v>0</v>
      </c>
      <c r="O885" s="102">
        <f>ROUND(IF(F885="Serviços",N885*(1+$O$7),IF(F885="Materiais",N885*(1+$O$8))),2)</f>
        <v>0</v>
      </c>
      <c r="P885" s="101">
        <f>ROUND(M885*O885,2)</f>
        <v>0</v>
      </c>
      <c r="Q885" s="1507">
        <v>342.76</v>
      </c>
      <c r="R885" s="1525"/>
      <c r="S885" s="1504"/>
      <c r="V885" s="1325"/>
      <c r="W885" s="1325"/>
      <c r="X885" s="1325"/>
    </row>
    <row r="886" spans="1:24" s="863" customFormat="1" ht="22.5">
      <c r="A886" s="1482"/>
      <c r="B886" s="1482"/>
      <c r="C886" s="1483">
        <f t="shared" si="155"/>
        <v>6</v>
      </c>
      <c r="D886" s="1492">
        <f t="shared" si="156"/>
        <v>6</v>
      </c>
      <c r="E886" s="1492">
        <f t="shared" si="157"/>
        <v>1</v>
      </c>
      <c r="F886" s="1484" t="s">
        <v>11708</v>
      </c>
      <c r="G886" s="862" t="s">
        <v>12307</v>
      </c>
      <c r="H886" s="823" t="str">
        <f>VLOOKUP(G886,BIOGAS!A:M,2,0)</f>
        <v>SINAPI</v>
      </c>
      <c r="I886" s="700" t="str">
        <f>VLOOKUP(G886,BIOGAS!A:M,3,0)</f>
        <v>73992/1</v>
      </c>
      <c r="J886" s="824"/>
      <c r="K886" s="790" t="str">
        <f>(IF(H886="Saneago",VLOOKUP(I886,'SANEAGO-FEV.2016'!A:B,2,0),IF(H886="Sinapi",VLOOKUP(I886,'SINAPI-FEV.2017'!A:D,2,0),IF(H886="Cotação",VLOOKUP(I886,COTAÇÃO!A:D,2,0),IF(H886="Composição",VLOOKUP(I886,COMPOSIÇÃO!A:D,2,0))))))</f>
        <v>LOCACAO CONVENCIONAL DE OBRA, ATRAVÉS DE GABARITO DE TABUAS CORRIDAS PONTALETADAS A CADA 1,50M, SEM REAPROVEITAMENTO</v>
      </c>
      <c r="L886" s="700" t="str">
        <f>(IF(H886="Saneago",VLOOKUP(I886,'SANEAGO-FEV.2016'!A:D,3,0),IF(H886="Sinapi",VLOOKUP(I886,'SINAPI-FEV.2017'!A:D,3,0),IF(H886="Cotação",VLOOKUP(I886,COTAÇÃO!A:D,3,0),IF(H886="Composição",VLOOKUP(I886,COMPOSIÇÃO!A:D,3,0))))))</f>
        <v>M2</v>
      </c>
      <c r="M886" s="870">
        <f>ROUND(VLOOKUP(G886,BIOGAS!A:M,13,0),2)</f>
        <v>204.82</v>
      </c>
      <c r="N886" s="399">
        <v>0</v>
      </c>
      <c r="O886" s="102">
        <f>ROUND(IF(F886="Serviços",N886*(1+$O$7),IF(F886="Materiais",N886*(1+$O$8))),2)</f>
        <v>0</v>
      </c>
      <c r="P886" s="101">
        <f>ROUND(M886*O886,2)</f>
        <v>0</v>
      </c>
      <c r="Q886" s="1507">
        <v>204.82</v>
      </c>
      <c r="R886" s="1525"/>
      <c r="S886" s="1504"/>
      <c r="V886" s="1325"/>
      <c r="W886" s="1325"/>
      <c r="X886" s="1325"/>
    </row>
    <row r="887" spans="1:24" s="863" customFormat="1" ht="13.5" thickBot="1">
      <c r="A887" s="1482"/>
      <c r="B887" s="1482"/>
      <c r="C887" s="1483">
        <f t="shared" si="155"/>
        <v>6</v>
      </c>
      <c r="D887" s="1492">
        <f t="shared" si="156"/>
        <v>6</v>
      </c>
      <c r="E887" s="1492">
        <f t="shared" si="157"/>
        <v>1</v>
      </c>
      <c r="F887" s="1484" t="s">
        <v>11708</v>
      </c>
      <c r="G887" s="1522"/>
      <c r="H887" s="826"/>
      <c r="I887" s="790"/>
      <c r="J887" s="824"/>
      <c r="K887" s="790"/>
      <c r="L887" s="700"/>
      <c r="M887" s="870"/>
      <c r="N887" s="399"/>
      <c r="O887" s="209"/>
      <c r="P887" s="101"/>
      <c r="Q887" s="1507"/>
      <c r="R887" s="1525"/>
      <c r="S887" s="1504"/>
      <c r="V887" s="1325"/>
      <c r="W887" s="1325"/>
      <c r="X887" s="1325"/>
    </row>
    <row r="888" spans="1:24" s="863" customFormat="1" ht="14.25" customHeight="1" thickTop="1" thickBot="1">
      <c r="A888" s="1482"/>
      <c r="B888" s="1482"/>
      <c r="C888" s="1483">
        <f t="shared" si="155"/>
        <v>6</v>
      </c>
      <c r="D888" s="1492">
        <f t="shared" si="156"/>
        <v>6</v>
      </c>
      <c r="E888" s="1492">
        <f t="shared" si="157"/>
        <v>1</v>
      </c>
      <c r="F888" s="1484" t="s">
        <v>11708</v>
      </c>
      <c r="G888" s="862"/>
      <c r="H888" s="1653" t="str">
        <f>"TOTAL ITEM: "&amp;J883 &amp;K883</f>
        <v>TOTAL ITEM: 6.6.1 SERVIÇOS PRELIMINARES</v>
      </c>
      <c r="I888" s="1654"/>
      <c r="J888" s="1654"/>
      <c r="K888" s="1654"/>
      <c r="L888" s="1654"/>
      <c r="M888" s="1654"/>
      <c r="N888" s="1654"/>
      <c r="O888" s="1654"/>
      <c r="P888" s="210">
        <f>SUBTOTAL(9,P885:P886)</f>
        <v>0</v>
      </c>
      <c r="Q888" s="1507"/>
      <c r="R888" s="1525"/>
      <c r="S888" s="1504"/>
      <c r="V888" s="1325"/>
      <c r="W888" s="1325"/>
      <c r="X888" s="1325"/>
    </row>
    <row r="889" spans="1:24" s="863" customFormat="1" ht="13.5" thickTop="1">
      <c r="A889" s="1482"/>
      <c r="B889" s="1482"/>
      <c r="C889" s="1483">
        <f t="shared" si="155"/>
        <v>6</v>
      </c>
      <c r="D889" s="1492">
        <f t="shared" si="156"/>
        <v>6</v>
      </c>
      <c r="E889" s="1492">
        <f t="shared" si="157"/>
        <v>1</v>
      </c>
      <c r="F889" s="1484" t="s">
        <v>11708</v>
      </c>
      <c r="G889" s="862"/>
      <c r="H889" s="929"/>
      <c r="I889" s="1371"/>
      <c r="J889" s="1022"/>
      <c r="K889" s="1371"/>
      <c r="L889" s="1371"/>
      <c r="M889" s="1536"/>
      <c r="N889" s="394"/>
      <c r="O889" s="728"/>
      <c r="P889" s="95"/>
      <c r="Q889" s="1507"/>
      <c r="R889" s="1525"/>
      <c r="S889" s="1504"/>
      <c r="V889" s="1325"/>
      <c r="W889" s="1325"/>
      <c r="X889" s="1325"/>
    </row>
    <row r="890" spans="1:24">
      <c r="A890" s="1482"/>
      <c r="B890" s="1482">
        <v>1</v>
      </c>
      <c r="C890" s="1483">
        <f t="shared" si="155"/>
        <v>6</v>
      </c>
      <c r="D890" s="1492">
        <f t="shared" si="156"/>
        <v>6</v>
      </c>
      <c r="E890" s="1492">
        <f t="shared" si="157"/>
        <v>2</v>
      </c>
      <c r="F890" s="1484" t="s">
        <v>11708</v>
      </c>
      <c r="H890" s="1514" t="s">
        <v>11703</v>
      </c>
      <c r="I890" s="1515" t="s">
        <v>64</v>
      </c>
      <c r="J890" s="1516" t="str">
        <f>CONCATENATE(C890,".",D890,".",E890)</f>
        <v>6.6.2</v>
      </c>
      <c r="K890" s="1516" t="s">
        <v>11710</v>
      </c>
      <c r="L890" s="1517" t="s">
        <v>25</v>
      </c>
      <c r="M890" s="1518" t="s">
        <v>11704</v>
      </c>
      <c r="N890" s="398" t="s">
        <v>11705</v>
      </c>
      <c r="O890" s="207" t="s">
        <v>11706</v>
      </c>
      <c r="P890" s="208" t="s">
        <v>27</v>
      </c>
      <c r="Q890" s="1472" t="s">
        <v>11704</v>
      </c>
    </row>
    <row r="891" spans="1:24">
      <c r="A891" s="1482"/>
      <c r="B891" s="1482"/>
      <c r="C891" s="1483">
        <f t="shared" si="155"/>
        <v>6</v>
      </c>
      <c r="D891" s="1492">
        <f t="shared" si="156"/>
        <v>6</v>
      </c>
      <c r="E891" s="1492">
        <f t="shared" si="157"/>
        <v>2</v>
      </c>
      <c r="F891" s="1484" t="s">
        <v>11708</v>
      </c>
      <c r="H891" s="826"/>
      <c r="I891" s="790"/>
      <c r="J891" s="824"/>
      <c r="K891" s="790"/>
      <c r="L891" s="700"/>
      <c r="M891" s="870"/>
      <c r="N891" s="399"/>
      <c r="O891" s="121"/>
      <c r="P891" s="101"/>
    </row>
    <row r="892" spans="1:24" ht="56.25">
      <c r="A892" s="1482"/>
      <c r="B892" s="1482"/>
      <c r="C892" s="1483">
        <f t="shared" si="155"/>
        <v>6</v>
      </c>
      <c r="D892" s="1492">
        <f t="shared" si="156"/>
        <v>6</v>
      </c>
      <c r="E892" s="1492">
        <f t="shared" si="157"/>
        <v>2</v>
      </c>
      <c r="F892" s="1484" t="s">
        <v>11708</v>
      </c>
      <c r="G892" s="862" t="s">
        <v>12308</v>
      </c>
      <c r="H892" s="823" t="str">
        <f>VLOOKUP(G892,BIOGAS!A:M,2,0)</f>
        <v>SINAPI</v>
      </c>
      <c r="I892" s="700">
        <f>VLOOKUP(G892,BIOGAS!A:M,3,0)</f>
        <v>90105</v>
      </c>
      <c r="J892" s="824"/>
      <c r="K892" s="790" t="str">
        <f>(IF(H892="Saneago",VLOOKUP(I892,'SANEAGO-FEV.2016'!A:B,2,0),IF(H892="Sinapi",VLOOKUP(I892,'SINAPI-FEV.2017'!A:D,2,0),IF(H892="Cotação",VLOOKUP(I892,COTAÇÃO!A:D,2,0),IF(H892="Composição",VLOOKUP(I892,COMPOSIÇÃO!A:D,2,0))))))</f>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
      <c r="L892" s="700" t="str">
        <f>(IF(H892="Saneago",VLOOKUP(I892,'SANEAGO-FEV.2016'!A:D,3,0),IF(H892="Sinapi",VLOOKUP(I892,'SINAPI-FEV.2017'!A:D,3,0),IF(H892="Cotação",VLOOKUP(I892,COTAÇÃO!A:D,3,0),IF(H892="Composição",VLOOKUP(I892,COMPOSIÇÃO!A:D,3,0))))))</f>
        <v>M3</v>
      </c>
      <c r="M892" s="870">
        <f>ROUND(VLOOKUP(G892,BIOGAS!A:M,13,0),2)</f>
        <v>174.9</v>
      </c>
      <c r="N892" s="399">
        <v>0</v>
      </c>
      <c r="O892" s="102">
        <f t="shared" ref="O892:O902" si="161">ROUND(IF(F892="Serviços",N892*(1+$O$7),IF(F892="Materiais",N892*(1+$O$8))),2)</f>
        <v>0</v>
      </c>
      <c r="P892" s="101">
        <f t="shared" ref="P892:P902" si="162">ROUND(M892*O892,2)</f>
        <v>0</v>
      </c>
      <c r="Q892" s="1472">
        <v>174.9</v>
      </c>
    </row>
    <row r="893" spans="1:24" ht="33.75">
      <c r="A893" s="1482"/>
      <c r="B893" s="1482"/>
      <c r="C893" s="1483">
        <f t="shared" si="155"/>
        <v>6</v>
      </c>
      <c r="D893" s="1492">
        <f t="shared" si="156"/>
        <v>6</v>
      </c>
      <c r="E893" s="1492">
        <f t="shared" si="157"/>
        <v>2</v>
      </c>
      <c r="F893" s="1484" t="s">
        <v>11708</v>
      </c>
      <c r="G893" s="862" t="s">
        <v>12310</v>
      </c>
      <c r="H893" s="823" t="str">
        <f>VLOOKUP(G893,BIOGAS!A:M,2,0)</f>
        <v>Saneago</v>
      </c>
      <c r="I893" s="700">
        <f>VLOOKUP(G893,BIOGAS!A:M,3,0)</f>
        <v>184</v>
      </c>
      <c r="J893" s="824"/>
      <c r="K893" s="790" t="str">
        <f>(IF(H893="Saneago",VLOOKUP(I893,'SANEAGO-FEV.2016'!A:B,2,0),IF(H893="Sinapi",VLOOKUP(I893,'SINAPI-FEV.2017'!A:D,2,0),IF(H893="Cotação",VLOOKUP(I893,COTAÇÃO!A:D,2,0),IF(H893="Composição",VLOOKUP(I893,COMPOSIÇÃO!A:D,2,0))))))</f>
        <v>ESCAVAÇÃO  MECANIZADA  (COM ESCAVADEIRA HIDRÁULICA)  EM VALAS COM MATERIAL DE 2ª CATEGORIA
- PROFUNDIDADE ATÉ 2,0 M</v>
      </c>
      <c r="L893" s="700" t="str">
        <f>(IF(H893="Saneago",VLOOKUP(I893,'SANEAGO-FEV.2016'!A:D,3,0),IF(H893="Sinapi",VLOOKUP(I893,'SINAPI-FEV.2017'!A:D,3,0),IF(H893="Cotação",VLOOKUP(I893,COTAÇÃO!A:D,3,0),IF(H893="Composição",VLOOKUP(I893,COMPOSIÇÃO!A:D,3,0))))))</f>
        <v>M3</v>
      </c>
      <c r="M893" s="870">
        <f>ROUND(VLOOKUP(G893,BIOGAS!A:M,13,0),2)</f>
        <v>9.7200000000000006</v>
      </c>
      <c r="N893" s="399">
        <v>0</v>
      </c>
      <c r="O893" s="102">
        <f t="shared" si="161"/>
        <v>0</v>
      </c>
      <c r="P893" s="101">
        <f t="shared" si="162"/>
        <v>0</v>
      </c>
      <c r="Q893" s="1472">
        <v>9.7200000000000006</v>
      </c>
    </row>
    <row r="894" spans="1:24" ht="22.5">
      <c r="A894" s="1482"/>
      <c r="B894" s="1482"/>
      <c r="C894" s="1483">
        <f t="shared" si="155"/>
        <v>6</v>
      </c>
      <c r="D894" s="1492">
        <f t="shared" si="156"/>
        <v>6</v>
      </c>
      <c r="E894" s="1492">
        <f t="shared" si="157"/>
        <v>2</v>
      </c>
      <c r="F894" s="1484" t="s">
        <v>11708</v>
      </c>
      <c r="G894" s="862" t="s">
        <v>12312</v>
      </c>
      <c r="H894" s="823" t="str">
        <f>VLOOKUP(G894,BIOGAS!A:M,2,0)</f>
        <v>Saneago</v>
      </c>
      <c r="I894" s="700">
        <f>VLOOKUP(G894,BIOGAS!A:M,3,0)</f>
        <v>187</v>
      </c>
      <c r="J894" s="824"/>
      <c r="K894" s="790" t="str">
        <f>(IF(H894="Saneago",VLOOKUP(I894,'SANEAGO-FEV.2016'!A:B,2,0),IF(H894="Sinapi",VLOOKUP(I894,'SINAPI-FEV.2017'!A:D,2,0),IF(H894="Cotação",VLOOKUP(I894,COTAÇÃO!A:D,2,0),IF(H894="Composição",VLOOKUP(I894,COMPOSIÇÃO!A:D,2,0))))))</f>
        <v>ESCAVAÇÃO  MECANIZADA  (COM ESCAVADEIRA HIDRÁULICA)  EM VALAS COM MATERIAL  DE SOLO MOLE - PROFUNDIDADE ATÉ 2,0 M</v>
      </c>
      <c r="L894" s="700" t="str">
        <f>(IF(H894="Saneago",VLOOKUP(I894,'SANEAGO-FEV.2016'!A:D,3,0),IF(H894="Sinapi",VLOOKUP(I894,'SINAPI-FEV.2017'!A:D,3,0),IF(H894="Cotação",VLOOKUP(I894,COTAÇÃO!A:D,3,0),IF(H894="Composição",VLOOKUP(I894,COMPOSIÇÃO!A:D,3,0))))))</f>
        <v>M3</v>
      </c>
      <c r="M894" s="870">
        <f>ROUND(VLOOKUP(G894,BIOGAS!A:M,13,0),2)</f>
        <v>9.7200000000000006</v>
      </c>
      <c r="N894" s="399">
        <v>0</v>
      </c>
      <c r="O894" s="102">
        <f t="shared" si="161"/>
        <v>0</v>
      </c>
      <c r="P894" s="101">
        <f t="shared" si="162"/>
        <v>0</v>
      </c>
      <c r="Q894" s="1472">
        <v>9.7200000000000006</v>
      </c>
    </row>
    <row r="895" spans="1:24">
      <c r="A895" s="1482"/>
      <c r="B895" s="1482"/>
      <c r="C895" s="1483">
        <f t="shared" si="155"/>
        <v>6</v>
      </c>
      <c r="D895" s="1492">
        <f t="shared" si="156"/>
        <v>6</v>
      </c>
      <c r="E895" s="1492">
        <f t="shared" si="157"/>
        <v>2</v>
      </c>
      <c r="F895" s="1484" t="s">
        <v>11708</v>
      </c>
      <c r="G895" s="862" t="s">
        <v>12314</v>
      </c>
      <c r="H895" s="823" t="str">
        <f>VLOOKUP(G895,BIOGAS!A:M,2,0)</f>
        <v>SINAPI</v>
      </c>
      <c r="I895" s="700">
        <f>VLOOKUP(G895,BIOGAS!A:M,3,0)</f>
        <v>93358</v>
      </c>
      <c r="J895" s="824"/>
      <c r="K895" s="790" t="str">
        <f>(IF(H895="Saneago",VLOOKUP(I895,'SANEAGO-FEV.2016'!A:B,2,0),IF(H895="Sinapi",VLOOKUP(I895,'SINAPI-FEV.2017'!A:D,2,0),IF(H895="Cotação",VLOOKUP(I895,COTAÇÃO!A:D,2,0),IF(H895="Composição",VLOOKUP(I895,COMPOSIÇÃO!A:D,2,0))))))</f>
        <v>ESCAVAÇÃO MANUAL DE VALAS. AF_03/2016</v>
      </c>
      <c r="L895" s="700" t="str">
        <f>(IF(H895="Saneago",VLOOKUP(I895,'SANEAGO-FEV.2016'!A:D,3,0),IF(H895="Sinapi",VLOOKUP(I895,'SINAPI-FEV.2017'!A:D,3,0),IF(H895="Cotação",VLOOKUP(I895,COTAÇÃO!A:D,3,0),IF(H895="Composição",VLOOKUP(I895,COMPOSIÇÃO!A:D,3,0))))))</f>
        <v>M3</v>
      </c>
      <c r="M895" s="870">
        <f>ROUND(VLOOKUP(G895,BIOGAS!A:M,13,0),2)</f>
        <v>9.2100000000000009</v>
      </c>
      <c r="N895" s="399">
        <v>0</v>
      </c>
      <c r="O895" s="102">
        <f t="shared" si="161"/>
        <v>0</v>
      </c>
      <c r="P895" s="101">
        <f t="shared" si="162"/>
        <v>0</v>
      </c>
      <c r="Q895" s="1472">
        <v>9.2100000000000009</v>
      </c>
    </row>
    <row r="896" spans="1:24" ht="22.5">
      <c r="A896" s="1482"/>
      <c r="B896" s="1482"/>
      <c r="C896" s="1483">
        <f t="shared" si="155"/>
        <v>6</v>
      </c>
      <c r="D896" s="1492">
        <f t="shared" si="156"/>
        <v>6</v>
      </c>
      <c r="E896" s="1492">
        <f t="shared" si="157"/>
        <v>2</v>
      </c>
      <c r="F896" s="1484" t="s">
        <v>11708</v>
      </c>
      <c r="G896" s="862" t="s">
        <v>12316</v>
      </c>
      <c r="H896" s="823" t="str">
        <f>VLOOKUP(G896,BIOGAS!A:M,2,0)</f>
        <v>Saneago</v>
      </c>
      <c r="I896" s="700">
        <f>VLOOKUP(G896,BIOGAS!A:M,3,0)</f>
        <v>170</v>
      </c>
      <c r="J896" s="824"/>
      <c r="K896" s="790" t="str">
        <f>(IF(H896="Saneago",VLOOKUP(I896,'SANEAGO-FEV.2016'!A:B,2,0),IF(H896="Sinapi",VLOOKUP(I896,'SINAPI-FEV.2017'!A:D,2,0),IF(H896="Cotação",VLOOKUP(I896,COTAÇÃO!A:D,2,0),IF(H896="Composição",VLOOKUP(I896,COMPOSIÇÃO!A:D,2,0))))))</f>
        <v>ESCAVAÇÃO  MANUAL EM VALAS COM MATERIAL DE 2ª CATEGORIA  - PROFUNDIDADE ATÉ 2,0 M</v>
      </c>
      <c r="L896" s="700" t="str">
        <f>(IF(H896="Saneago",VLOOKUP(I896,'SANEAGO-FEV.2016'!A:D,3,0),IF(H896="Sinapi",VLOOKUP(I896,'SINAPI-FEV.2017'!A:D,3,0),IF(H896="Cotação",VLOOKUP(I896,COTAÇÃO!A:D,3,0),IF(H896="Composição",VLOOKUP(I896,COMPOSIÇÃO!A:D,3,0))))))</f>
        <v>M3</v>
      </c>
      <c r="M896" s="870">
        <f>ROUND(VLOOKUP(G896,BIOGAS!A:M,13,0),2)</f>
        <v>0.51</v>
      </c>
      <c r="N896" s="399">
        <v>0</v>
      </c>
      <c r="O896" s="102">
        <f t="shared" si="161"/>
        <v>0</v>
      </c>
      <c r="P896" s="101">
        <f t="shared" si="162"/>
        <v>0</v>
      </c>
      <c r="Q896" s="1472">
        <v>0.51</v>
      </c>
    </row>
    <row r="897" spans="1:17" ht="33.75">
      <c r="A897" s="1482"/>
      <c r="B897" s="1482"/>
      <c r="C897" s="1483">
        <f t="shared" si="155"/>
        <v>6</v>
      </c>
      <c r="D897" s="1492">
        <f t="shared" si="156"/>
        <v>6</v>
      </c>
      <c r="E897" s="1492">
        <f t="shared" si="157"/>
        <v>2</v>
      </c>
      <c r="F897" s="1484" t="s">
        <v>11708</v>
      </c>
      <c r="G897" s="862" t="s">
        <v>12318</v>
      </c>
      <c r="H897" s="823" t="str">
        <f>VLOOKUP(G897,BIOGAS!A:M,2,0)</f>
        <v>Saneago</v>
      </c>
      <c r="I897" s="700">
        <f>VLOOKUP(G897,BIOGAS!A:M,3,0)</f>
        <v>172</v>
      </c>
      <c r="J897" s="824"/>
      <c r="K897" s="790" t="str">
        <f>(IF(H897="Saneago",VLOOKUP(I897,'SANEAGO-FEV.2016'!A:B,2,0),IF(H897="Sinapi",VLOOKUP(I897,'SINAPI-FEV.2017'!A:D,2,0),IF(H897="Cotação",VLOOKUP(I897,COTAÇÃO!A:D,2,0),IF(H897="Composição",VLOOKUP(I897,COMPOSIÇÃO!A:D,2,0))))))</f>
        <v>ESCAVAÇÃO   MANUAL   EM  VALAS  COM  MATERIAL   DE  3ª  CATEGORIA   SEM  USO  DE  EXPLOSIVO   COM UTILIZAÇÃO  DE COMPRESSOR E ROMPEDOR  -  PROFUNDIDADE ATÉ 2,0M</v>
      </c>
      <c r="L897" s="700" t="str">
        <f>(IF(H897="Saneago",VLOOKUP(I897,'SANEAGO-FEV.2016'!A:D,3,0),IF(H897="Sinapi",VLOOKUP(I897,'SINAPI-FEV.2017'!A:D,3,0),IF(H897="Cotação",VLOOKUP(I897,COTAÇÃO!A:D,3,0),IF(H897="Composição",VLOOKUP(I897,COMPOSIÇÃO!A:D,3,0))))))</f>
        <v>M3</v>
      </c>
      <c r="M897" s="870">
        <f>ROUND(VLOOKUP(G897,BIOGAS!A:M,13,0),2)</f>
        <v>0.51</v>
      </c>
      <c r="N897" s="399">
        <v>0</v>
      </c>
      <c r="O897" s="102">
        <f t="shared" si="161"/>
        <v>0</v>
      </c>
      <c r="P897" s="101">
        <f t="shared" si="162"/>
        <v>0</v>
      </c>
      <c r="Q897" s="1472">
        <v>0.51</v>
      </c>
    </row>
    <row r="898" spans="1:17">
      <c r="A898" s="1482"/>
      <c r="B898" s="1482"/>
      <c r="C898" s="1483">
        <f t="shared" si="155"/>
        <v>6</v>
      </c>
      <c r="D898" s="1492">
        <f t="shared" si="156"/>
        <v>6</v>
      </c>
      <c r="E898" s="1492">
        <f t="shared" si="157"/>
        <v>2</v>
      </c>
      <c r="F898" s="1484" t="s">
        <v>11708</v>
      </c>
      <c r="G898" s="862" t="s">
        <v>12320</v>
      </c>
      <c r="H898" s="823" t="str">
        <f>VLOOKUP(G898,BIOGAS!A:M,2,0)</f>
        <v>SINAPI</v>
      </c>
      <c r="I898" s="700" t="str">
        <f>VLOOKUP(G898,BIOGAS!A:M,3,0)</f>
        <v>73891/1</v>
      </c>
      <c r="J898" s="824"/>
      <c r="K898" s="790" t="str">
        <f>(IF(H898="Saneago",VLOOKUP(I898,'SANEAGO-FEV.2016'!A:B,2,0),IF(H898="Sinapi",VLOOKUP(I898,'SINAPI-FEV.2017'!A:D,2,0),IF(H898="Cotação",VLOOKUP(I898,COTAÇÃO!A:D,2,0),IF(H898="Composição",VLOOKUP(I898,COMPOSIÇÃO!A:D,2,0))))))</f>
        <v>ESGOTAMENTO COM MOTO-BOMBA AUTOESCOVANTE</v>
      </c>
      <c r="L898" s="700" t="str">
        <f>(IF(H898="Saneago",VLOOKUP(I898,'SANEAGO-FEV.2016'!A:D,3,0),IF(H898="Sinapi",VLOOKUP(I898,'SINAPI-FEV.2017'!A:D,3,0),IF(H898="Cotação",VLOOKUP(I898,COTAÇÃO!A:D,3,0),IF(H898="Composição",VLOOKUP(I898,COMPOSIÇÃO!A:D,3,0))))))</f>
        <v>H</v>
      </c>
      <c r="M898" s="870">
        <f>ROUND(VLOOKUP(G898,BIOGAS!A:M,13,0),2)</f>
        <v>10</v>
      </c>
      <c r="N898" s="399">
        <v>0</v>
      </c>
      <c r="O898" s="102">
        <f t="shared" si="161"/>
        <v>0</v>
      </c>
      <c r="P898" s="101">
        <f t="shared" si="162"/>
        <v>0</v>
      </c>
      <c r="Q898" s="1472">
        <v>10</v>
      </c>
    </row>
    <row r="899" spans="1:17">
      <c r="A899" s="1482"/>
      <c r="B899" s="1482"/>
      <c r="C899" s="1483">
        <f t="shared" si="155"/>
        <v>6</v>
      </c>
      <c r="D899" s="1492">
        <f t="shared" si="156"/>
        <v>6</v>
      </c>
      <c r="E899" s="1492">
        <f t="shared" si="157"/>
        <v>2</v>
      </c>
      <c r="F899" s="1484" t="s">
        <v>11708</v>
      </c>
      <c r="G899" s="862" t="s">
        <v>12321</v>
      </c>
      <c r="H899" s="823" t="str">
        <f>VLOOKUP(G899,BIOGAS!A:M,2,0)</f>
        <v>SINAPI</v>
      </c>
      <c r="I899" s="700">
        <f>VLOOKUP(G899,BIOGAS!A:M,3,0)</f>
        <v>79472</v>
      </c>
      <c r="J899" s="824"/>
      <c r="K899" s="790" t="str">
        <f>(IF(H899="Saneago",VLOOKUP(I899,'SANEAGO-FEV.2016'!A:B,2,0),IF(H899="Sinapi",VLOOKUP(I899,'SINAPI-FEV.2017'!A:D,2,0),IF(H899="Cotação",VLOOKUP(I899,COTAÇÃO!A:D,2,0),IF(H899="Composição",VLOOKUP(I899,COMPOSIÇÃO!A:D,2,0))))))</f>
        <v>REGULARIZACAO DE SUPERFICIES EM TERRA COM MOTONIVELADORA</v>
      </c>
      <c r="L899" s="700" t="str">
        <f>(IF(H899="Saneago",VLOOKUP(I899,'SANEAGO-FEV.2016'!A:D,3,0),IF(H899="Sinapi",VLOOKUP(I899,'SINAPI-FEV.2017'!A:D,3,0),IF(H899="Cotação",VLOOKUP(I899,COTAÇÃO!A:D,3,0),IF(H899="Composição",VLOOKUP(I899,COMPOSIÇÃO!A:D,3,0))))))</f>
        <v>M2</v>
      </c>
      <c r="M899" s="870">
        <f>ROUND(VLOOKUP(G899,BIOGAS!A:M,13,0),2)</f>
        <v>91.06</v>
      </c>
      <c r="N899" s="399">
        <v>0</v>
      </c>
      <c r="O899" s="102">
        <f t="shared" si="161"/>
        <v>0</v>
      </c>
      <c r="P899" s="101">
        <f t="shared" si="162"/>
        <v>0</v>
      </c>
      <c r="Q899" s="1472">
        <v>91.06</v>
      </c>
    </row>
    <row r="900" spans="1:17" ht="45">
      <c r="A900" s="1482"/>
      <c r="B900" s="1482"/>
      <c r="C900" s="1483">
        <f t="shared" si="155"/>
        <v>6</v>
      </c>
      <c r="D900" s="1492">
        <f t="shared" si="156"/>
        <v>6</v>
      </c>
      <c r="E900" s="1492">
        <f t="shared" si="157"/>
        <v>2</v>
      </c>
      <c r="F900" s="1484" t="s">
        <v>11708</v>
      </c>
      <c r="G900" s="862" t="s">
        <v>12322</v>
      </c>
      <c r="H900" s="823" t="str">
        <f>VLOOKUP(G900,BIOGAS!A:M,2,0)</f>
        <v>SINAPI</v>
      </c>
      <c r="I900" s="700">
        <f>VLOOKUP(G900,BIOGAS!A:M,3,0)</f>
        <v>93367</v>
      </c>
      <c r="J900" s="824"/>
      <c r="K900" s="790" t="str">
        <f>(IF(H900="Saneago",VLOOKUP(I900,'SANEAGO-FEV.2016'!A:B,2,0),IF(H900="Sinapi",VLOOKUP(I900,'SINAPI-FEV.2017'!A:D,2,0),IF(H900="Cotação",VLOOKUP(I900,COTAÇÃO!A:D,2,0),IF(H900="Composição",VLOOKUP(I900,COMPOSIÇÃO!A:D,2,0))))))</f>
        <v>REATERRO MECANIZADO DE VALA COM ESCAVADEIRA HIDRÁULICA (CAPACIDADE DA CAÇAMBA: 0,8 M³ / POTÊNCIA: 111 HP), LARGURA DE 1,5 A 2,5 M, PROFUNDIDADE ATÉ 1,5 M, COM SOLO (SEM SUBSTITUIÇÃO) DE 1ª CATEGORIA EM LOCAIS COM BAIXO NÍVEL DE INTERFERÊNCIA. AF_04/2016</v>
      </c>
      <c r="L900" s="700" t="str">
        <f>(IF(H900="Saneago",VLOOKUP(I900,'SANEAGO-FEV.2016'!A:D,3,0),IF(H900="Sinapi",VLOOKUP(I900,'SINAPI-FEV.2017'!A:D,3,0),IF(H900="Cotação",VLOOKUP(I900,COTAÇÃO!A:D,3,0),IF(H900="Composição",VLOOKUP(I900,COMPOSIÇÃO!A:D,3,0))))))</f>
        <v>M3</v>
      </c>
      <c r="M900" s="870">
        <f>ROUND(VLOOKUP(G900,BIOGAS!A:M,13,0),2)</f>
        <v>112.15</v>
      </c>
      <c r="N900" s="399">
        <v>0</v>
      </c>
      <c r="O900" s="102">
        <f t="shared" si="161"/>
        <v>0</v>
      </c>
      <c r="P900" s="101">
        <f t="shared" si="162"/>
        <v>0</v>
      </c>
      <c r="Q900" s="1472">
        <v>112.15</v>
      </c>
    </row>
    <row r="901" spans="1:17">
      <c r="A901" s="1482"/>
      <c r="B901" s="1482"/>
      <c r="C901" s="1483">
        <f t="shared" si="155"/>
        <v>6</v>
      </c>
      <c r="D901" s="1492">
        <f t="shared" si="156"/>
        <v>6</v>
      </c>
      <c r="E901" s="1492">
        <f t="shared" si="157"/>
        <v>2</v>
      </c>
      <c r="F901" s="1484" t="s">
        <v>11708</v>
      </c>
      <c r="G901" s="862" t="s">
        <v>12323</v>
      </c>
      <c r="H901" s="823" t="str">
        <f>VLOOKUP(G901,BIOGAS!A:M,2,0)</f>
        <v>SINAPI</v>
      </c>
      <c r="I901" s="700" t="str">
        <f>VLOOKUP(G901,BIOGAS!A:M,3,0)</f>
        <v>73964/6</v>
      </c>
      <c r="J901" s="824"/>
      <c r="K901" s="790" t="str">
        <f>(IF(H901="Saneago",VLOOKUP(I901,'SANEAGO-FEV.2016'!A:B,2,0),IF(H901="Sinapi",VLOOKUP(I901,'SINAPI-FEV.2017'!A:D,2,0),IF(H901="Cotação",VLOOKUP(I901,COTAÇÃO!A:D,2,0),IF(H901="Composição",VLOOKUP(I901,COMPOSIÇÃO!A:D,2,0))))))</f>
        <v>REATERRO DE VALA COM COMPACTAÇÃO MANUAL</v>
      </c>
      <c r="L901" s="700" t="str">
        <f>(IF(H901="Saneago",VLOOKUP(I901,'SANEAGO-FEV.2016'!A:D,3,0),IF(H901="Sinapi",VLOOKUP(I901,'SINAPI-FEV.2017'!A:D,3,0),IF(H901="Cotação",VLOOKUP(I901,COTAÇÃO!A:D,3,0),IF(H901="Composição",VLOOKUP(I901,COMPOSIÇÃO!A:D,3,0))))))</f>
        <v>M3</v>
      </c>
      <c r="M901" s="870">
        <f>ROUND(VLOOKUP(G901,BIOGAS!A:M,13,0),2)</f>
        <v>12.46</v>
      </c>
      <c r="N901" s="399">
        <v>0</v>
      </c>
      <c r="O901" s="102">
        <f t="shared" si="161"/>
        <v>0</v>
      </c>
      <c r="P901" s="101">
        <f t="shared" si="162"/>
        <v>0</v>
      </c>
      <c r="Q901" s="1472">
        <v>12.46</v>
      </c>
    </row>
    <row r="902" spans="1:17">
      <c r="A902" s="1482"/>
      <c r="B902" s="1482"/>
      <c r="C902" s="1483">
        <f t="shared" si="155"/>
        <v>6</v>
      </c>
      <c r="D902" s="1492">
        <f t="shared" si="156"/>
        <v>6</v>
      </c>
      <c r="E902" s="1492">
        <f t="shared" si="157"/>
        <v>2</v>
      </c>
      <c r="F902" s="1484" t="s">
        <v>11708</v>
      </c>
      <c r="G902" s="862" t="s">
        <v>12323</v>
      </c>
      <c r="H902" s="823" t="str">
        <f>VLOOKUP(G902,BIOGAS!A:M,2,0)</f>
        <v>SINAPI</v>
      </c>
      <c r="I902" s="700" t="str">
        <f>VLOOKUP(G902,BIOGAS!A:M,3,0)</f>
        <v>73964/6</v>
      </c>
      <c r="J902" s="824"/>
      <c r="K902" s="790" t="str">
        <f>(IF(H902="Saneago",VLOOKUP(I902,'SANEAGO-FEV.2016'!A:B,2,0),IF(H902="Sinapi",VLOOKUP(I902,'SINAPI-FEV.2017'!A:D,2,0),IF(H902="Cotação",VLOOKUP(I902,COTAÇÃO!A:D,2,0),IF(H902="Composição",VLOOKUP(I902,COMPOSIÇÃO!A:D,2,0))))))</f>
        <v>REATERRO DE VALA COM COMPACTAÇÃO MANUAL</v>
      </c>
      <c r="L902" s="700" t="str">
        <f>(IF(H902="Saneago",VLOOKUP(I902,'SANEAGO-FEV.2016'!A:D,3,0),IF(H902="Sinapi",VLOOKUP(I902,'SINAPI-FEV.2017'!A:D,3,0),IF(H902="Cotação",VLOOKUP(I902,COTAÇÃO!A:D,3,0),IF(H902="Composição",VLOOKUP(I902,COMPOSIÇÃO!A:D,3,0))))))</f>
        <v>M3</v>
      </c>
      <c r="M902" s="870">
        <f>ROUND(VLOOKUP(G902,BIOGAS!A:M,13,0),2)</f>
        <v>12.46</v>
      </c>
      <c r="N902" s="399">
        <v>0</v>
      </c>
      <c r="O902" s="102">
        <f t="shared" si="161"/>
        <v>0</v>
      </c>
      <c r="P902" s="101">
        <f t="shared" si="162"/>
        <v>0</v>
      </c>
      <c r="Q902" s="1472">
        <v>12.46</v>
      </c>
    </row>
    <row r="903" spans="1:17" ht="15.75" thickBot="1">
      <c r="A903" s="1482"/>
      <c r="B903" s="1482"/>
      <c r="C903" s="1483">
        <f t="shared" si="155"/>
        <v>6</v>
      </c>
      <c r="D903" s="1492">
        <f t="shared" si="156"/>
        <v>6</v>
      </c>
      <c r="E903" s="1492">
        <f t="shared" si="157"/>
        <v>2</v>
      </c>
      <c r="F903" s="1484" t="s">
        <v>11708</v>
      </c>
      <c r="H903" s="1095"/>
      <c r="I903" s="780"/>
      <c r="J903" s="834"/>
      <c r="K903" s="780"/>
      <c r="L903" s="780"/>
      <c r="M903" s="1270"/>
      <c r="N903" s="400"/>
      <c r="O903" s="122"/>
      <c r="P903" s="123"/>
    </row>
    <row r="904" spans="1:17" ht="16.5" customHeight="1" thickTop="1" thickBot="1">
      <c r="A904" s="1482"/>
      <c r="B904" s="1482"/>
      <c r="C904" s="1483">
        <f t="shared" si="155"/>
        <v>6</v>
      </c>
      <c r="D904" s="1492">
        <f t="shared" si="156"/>
        <v>6</v>
      </c>
      <c r="E904" s="1492">
        <f t="shared" si="157"/>
        <v>2</v>
      </c>
      <c r="F904" s="1484" t="s">
        <v>11708</v>
      </c>
      <c r="H904" s="1653" t="str">
        <f>"TOTAL ITEM: "&amp;J890 &amp;K890</f>
        <v>TOTAL ITEM: 6.6.2 MOVIMENTO DE TERRA</v>
      </c>
      <c r="I904" s="1654"/>
      <c r="J904" s="1654"/>
      <c r="K904" s="1654"/>
      <c r="L904" s="1654"/>
      <c r="M904" s="1654"/>
      <c r="N904" s="1654"/>
      <c r="O904" s="1654"/>
      <c r="P904" s="210">
        <f>SUBTOTAL(9,P892:P902)</f>
        <v>0</v>
      </c>
    </row>
    <row r="905" spans="1:17" ht="15.75" thickTop="1">
      <c r="A905" s="1482"/>
      <c r="B905" s="1482"/>
      <c r="C905" s="1483">
        <f t="shared" si="155"/>
        <v>6</v>
      </c>
      <c r="D905" s="1492">
        <f t="shared" si="156"/>
        <v>6</v>
      </c>
      <c r="E905" s="1492">
        <f t="shared" si="157"/>
        <v>2</v>
      </c>
      <c r="F905" s="1484" t="s">
        <v>11708</v>
      </c>
      <c r="H905" s="1095"/>
      <c r="I905" s="780"/>
      <c r="J905" s="834"/>
      <c r="K905" s="780"/>
      <c r="L905" s="780"/>
      <c r="M905" s="1270"/>
      <c r="N905" s="400"/>
      <c r="O905" s="122"/>
      <c r="P905" s="123"/>
    </row>
    <row r="906" spans="1:17">
      <c r="A906" s="1482"/>
      <c r="B906" s="1482">
        <v>1</v>
      </c>
      <c r="C906" s="1483">
        <f t="shared" si="155"/>
        <v>6</v>
      </c>
      <c r="D906" s="1492">
        <f t="shared" si="156"/>
        <v>6</v>
      </c>
      <c r="E906" s="1492">
        <f t="shared" si="157"/>
        <v>3</v>
      </c>
      <c r="F906" s="1484" t="s">
        <v>11708</v>
      </c>
      <c r="H906" s="1514" t="s">
        <v>11703</v>
      </c>
      <c r="I906" s="1515" t="s">
        <v>64</v>
      </c>
      <c r="J906" s="1516" t="str">
        <f>CONCATENATE(C906,".",D906,".",E906)</f>
        <v>6.6.3</v>
      </c>
      <c r="K906" s="1516" t="s">
        <v>11712</v>
      </c>
      <c r="L906" s="1517" t="s">
        <v>25</v>
      </c>
      <c r="M906" s="1518" t="s">
        <v>11704</v>
      </c>
      <c r="N906" s="398" t="s">
        <v>11705</v>
      </c>
      <c r="O906" s="207" t="s">
        <v>11706</v>
      </c>
      <c r="P906" s="208" t="s">
        <v>27</v>
      </c>
      <c r="Q906" s="1472" t="s">
        <v>11704</v>
      </c>
    </row>
    <row r="907" spans="1:17">
      <c r="A907" s="1482"/>
      <c r="B907" s="1482"/>
      <c r="C907" s="1483">
        <f t="shared" si="155"/>
        <v>6</v>
      </c>
      <c r="D907" s="1492">
        <f t="shared" si="156"/>
        <v>6</v>
      </c>
      <c r="E907" s="1492">
        <f t="shared" si="157"/>
        <v>3</v>
      </c>
      <c r="F907" s="1484" t="s">
        <v>11708</v>
      </c>
      <c r="H907" s="1095"/>
      <c r="I907" s="780"/>
      <c r="J907" s="834"/>
      <c r="K907" s="780"/>
      <c r="L907" s="780"/>
      <c r="M907" s="1270"/>
      <c r="N907" s="400"/>
      <c r="O907" s="122"/>
      <c r="P907" s="123"/>
    </row>
    <row r="908" spans="1:17" ht="33.75">
      <c r="A908" s="1482"/>
      <c r="B908" s="1482"/>
      <c r="C908" s="1483">
        <f t="shared" si="155"/>
        <v>6</v>
      </c>
      <c r="D908" s="1492">
        <f t="shared" si="156"/>
        <v>6</v>
      </c>
      <c r="E908" s="1492">
        <f t="shared" si="157"/>
        <v>3</v>
      </c>
      <c r="F908" s="1484" t="s">
        <v>11708</v>
      </c>
      <c r="G908" s="862" t="s">
        <v>12324</v>
      </c>
      <c r="H908" s="823" t="str">
        <f>VLOOKUP(G908,BIOGAS!A:M,2,0)</f>
        <v>SINAPI</v>
      </c>
      <c r="I908" s="700" t="str">
        <f>VLOOKUP(G908,BIOGAS!A:M,3,0)</f>
        <v>74010/1</v>
      </c>
      <c r="J908" s="824"/>
      <c r="K908" s="790" t="str">
        <f>(IF(H908="Saneago",VLOOKUP(I908,'SANEAGO-FEV.2016'!A:B,2,0),IF(H908="Sinapi",VLOOKUP(I908,'SINAPI-FEV.2017'!A:D,2,0),IF(H908="Cotação",VLOOKUP(I908,COTAÇÃO!A:D,2,0),IF(H908="Composição",VLOOKUP(I908,COMPOSIÇÃO!A:D,2,0))))))</f>
        <v>CARGA E DESCARGA MECANICA DE SOLO UTILIZANDO CAMINHAO BASCULANTE 6,0M3/16T E PA CARREGADEIRA SOBRE PNEUS 128 HP, CAPACIDADE DA CAÇAMBA 1,7 A 2,8 M3, PESO OPERACIONAL 11632 KG</v>
      </c>
      <c r="L908" s="700" t="str">
        <f>(IF(H908="Saneago",VLOOKUP(I908,'SANEAGO-FEV.2016'!A:D,3,0),IF(H908="Sinapi",VLOOKUP(I908,'SINAPI-FEV.2017'!A:D,3,0),IF(H908="Cotação",VLOOKUP(I908,COTAÇÃO!A:D,3,0),IF(H908="Composição",VLOOKUP(I908,COMPOSIÇÃO!A:D,3,0))))))</f>
        <v>M3</v>
      </c>
      <c r="M908" s="870">
        <f>ROUND(VLOOKUP(G908,BIOGAS!A:M,13,0),2)</f>
        <v>95.95</v>
      </c>
      <c r="N908" s="399">
        <v>0</v>
      </c>
      <c r="O908" s="102">
        <f>ROUND(IF(F908="Serviços",N908*(1+$O$7),IF(F908="Materiais",N908*(1+$O$8))),2)</f>
        <v>0</v>
      </c>
      <c r="P908" s="101">
        <f>ROUND(M908*O908,2)</f>
        <v>0</v>
      </c>
      <c r="Q908" s="1472">
        <v>95.95</v>
      </c>
    </row>
    <row r="909" spans="1:17" ht="22.5">
      <c r="A909" s="1482"/>
      <c r="B909" s="1482"/>
      <c r="C909" s="1483">
        <f t="shared" ref="C909:C976" si="163">C908</f>
        <v>6</v>
      </c>
      <c r="D909" s="1492">
        <f t="shared" si="156"/>
        <v>6</v>
      </c>
      <c r="E909" s="1492">
        <f t="shared" si="157"/>
        <v>3</v>
      </c>
      <c r="F909" s="1484" t="s">
        <v>11708</v>
      </c>
      <c r="G909" s="862" t="s">
        <v>12325</v>
      </c>
      <c r="H909" s="823" t="str">
        <f>VLOOKUP(G909,BIOGAS!A:M,2,0)</f>
        <v>SINAPI</v>
      </c>
      <c r="I909" s="700">
        <f>VLOOKUP(G909,BIOGAS!A:M,3,0)</f>
        <v>93590</v>
      </c>
      <c r="J909" s="824"/>
      <c r="K909" s="790" t="str">
        <f>(IF(H909="Saneago",VLOOKUP(I909,'SANEAGO-FEV.2016'!A:B,2,0),IF(H909="Sinapi",VLOOKUP(I909,'SINAPI-FEV.2017'!A:D,2,0),IF(H909="Cotação",VLOOKUP(I909,COTAÇÃO!A:D,2,0),IF(H909="Composição",VLOOKUP(I909,COMPOSIÇÃO!A:D,2,0))))))</f>
        <v>TRANSPORTE COM CAMINHÃO BASCULANTE DE 10 M3, EM VIA URBANA PAVIMENTADA, DMT ACIMA DE 30KM (UNIDADE: M3XKM). AF_04/2016</v>
      </c>
      <c r="L909" s="700" t="str">
        <f>(IF(H909="Saneago",VLOOKUP(I909,'SANEAGO-FEV.2016'!A:D,3,0),IF(H909="Sinapi",VLOOKUP(I909,'SINAPI-FEV.2017'!A:D,3,0),IF(H909="Cotação",VLOOKUP(I909,COTAÇÃO!A:D,3,0),IF(H909="Composição",VLOOKUP(I909,COMPOSIÇÃO!A:D,3,0))))))</f>
        <v>M3XKM</v>
      </c>
      <c r="M909" s="870">
        <f>ROUND(VLOOKUP(G909,BIOGAS!A:M,13,0),2)</f>
        <v>719.6</v>
      </c>
      <c r="N909" s="399">
        <v>0</v>
      </c>
      <c r="O909" s="102">
        <f>ROUND(IF(F909="Serviços",N909*(1+$O$7),IF(F909="Materiais",N909*(1+$O$8))),2)</f>
        <v>0</v>
      </c>
      <c r="P909" s="101">
        <f>ROUND(M909*O909,2)</f>
        <v>0</v>
      </c>
      <c r="Q909" s="1472">
        <v>719.6</v>
      </c>
    </row>
    <row r="910" spans="1:17" ht="22.5">
      <c r="A910" s="1482"/>
      <c r="B910" s="1482"/>
      <c r="C910" s="1483">
        <f t="shared" si="163"/>
        <v>6</v>
      </c>
      <c r="D910" s="1492">
        <f t="shared" ref="D910:D977" si="164">D909+A910</f>
        <v>6</v>
      </c>
      <c r="E910" s="1492">
        <f t="shared" ref="E910:E973" si="165">E909+B910</f>
        <v>3</v>
      </c>
      <c r="F910" s="1484" t="s">
        <v>11708</v>
      </c>
      <c r="G910" s="862" t="s">
        <v>12326</v>
      </c>
      <c r="H910" s="823" t="str">
        <f>VLOOKUP(G910,BIOGAS!A:M,2,0)</f>
        <v>SINAPI</v>
      </c>
      <c r="I910" s="700">
        <f>VLOOKUP(G910,BIOGAS!A:M,3,0)</f>
        <v>83344</v>
      </c>
      <c r="J910" s="824"/>
      <c r="K910" s="790" t="str">
        <f>(IF(H910="Saneago",VLOOKUP(I910,'SANEAGO-FEV.2016'!A:B,2,0),IF(H910="Sinapi",VLOOKUP(I910,'SINAPI-FEV.2017'!A:D,2,0),IF(H910="Cotação",VLOOKUP(I910,COTAÇÃO!A:D,2,0),IF(H910="Composição",VLOOKUP(I910,COMPOSIÇÃO!A:D,2,0))))))</f>
        <v>ESPALHAMENTO DE MATERIAL EM BOTA FORA, COM UTILIZACAO DE TRATOR DE ESTEIRAS DE 165 HP</v>
      </c>
      <c r="L910" s="700" t="str">
        <f>(IF(H910="Saneago",VLOOKUP(I910,'SANEAGO-FEV.2016'!A:D,3,0),IF(H910="Sinapi",VLOOKUP(I910,'SINAPI-FEV.2017'!A:D,3,0),IF(H910="Cotação",VLOOKUP(I910,COTAÇÃO!A:D,3,0),IF(H910="Composição",VLOOKUP(I910,COMPOSIÇÃO!A:D,3,0))))))</f>
        <v>M3</v>
      </c>
      <c r="M910" s="870">
        <f>ROUND(VLOOKUP(G910,BIOGAS!A:M,13,0),2)</f>
        <v>91.95</v>
      </c>
      <c r="N910" s="399">
        <v>0</v>
      </c>
      <c r="O910" s="102">
        <f>ROUND(IF(F910="Serviços",N910*(1+$O$7),IF(F910="Materiais",N910*(1+$O$8))),2)</f>
        <v>0</v>
      </c>
      <c r="P910" s="101">
        <f>ROUND(M910*O910,2)</f>
        <v>0</v>
      </c>
      <c r="Q910" s="1472">
        <v>91.95</v>
      </c>
    </row>
    <row r="911" spans="1:17" ht="15.75" thickBot="1">
      <c r="A911" s="1482"/>
      <c r="B911" s="1482"/>
      <c r="C911" s="1483">
        <f t="shared" si="163"/>
        <v>6</v>
      </c>
      <c r="D911" s="1492">
        <f t="shared" si="164"/>
        <v>6</v>
      </c>
      <c r="E911" s="1492">
        <f t="shared" si="165"/>
        <v>3</v>
      </c>
      <c r="F911" s="1484" t="s">
        <v>11708</v>
      </c>
      <c r="G911" s="905"/>
      <c r="H911" s="1095"/>
      <c r="I911" s="780"/>
      <c r="J911" s="834"/>
      <c r="K911" s="780"/>
      <c r="L911" s="780"/>
      <c r="M911" s="1270"/>
      <c r="N911" s="400"/>
      <c r="O911" s="122"/>
      <c r="P911" s="123"/>
    </row>
    <row r="912" spans="1:17" ht="16.5" customHeight="1" thickTop="1" thickBot="1">
      <c r="A912" s="1482"/>
      <c r="B912" s="1482"/>
      <c r="C912" s="1483">
        <f t="shared" si="163"/>
        <v>6</v>
      </c>
      <c r="D912" s="1492">
        <f t="shared" si="164"/>
        <v>6</v>
      </c>
      <c r="E912" s="1492">
        <f t="shared" si="165"/>
        <v>3</v>
      </c>
      <c r="F912" s="1484" t="s">
        <v>11708</v>
      </c>
      <c r="G912" s="862"/>
      <c r="H912" s="1653" t="str">
        <f>"TOTAL ITEM: "&amp;J906 &amp;K906</f>
        <v>TOTAL ITEM: 6.6.3 BOTA FORA DE MATERIAL DE ESCAVAÇÃO (SOLO 1º E 2º CATEGORIA)</v>
      </c>
      <c r="I912" s="1654"/>
      <c r="J912" s="1654"/>
      <c r="K912" s="1654"/>
      <c r="L912" s="1654"/>
      <c r="M912" s="1654"/>
      <c r="N912" s="1654"/>
      <c r="O912" s="1654"/>
      <c r="P912" s="210">
        <f>SUBTOTAL(9,P908:P910)</f>
        <v>0</v>
      </c>
    </row>
    <row r="913" spans="1:17" ht="15.75" thickTop="1">
      <c r="A913" s="1482"/>
      <c r="B913" s="1482"/>
      <c r="C913" s="1483">
        <f t="shared" si="163"/>
        <v>6</v>
      </c>
      <c r="D913" s="1492">
        <f t="shared" si="164"/>
        <v>6</v>
      </c>
      <c r="E913" s="1492">
        <f t="shared" si="165"/>
        <v>3</v>
      </c>
      <c r="F913" s="1484" t="s">
        <v>11708</v>
      </c>
      <c r="H913" s="1095"/>
      <c r="I913" s="780"/>
      <c r="J913" s="834"/>
      <c r="K913" s="780"/>
      <c r="L913" s="780"/>
      <c r="M913" s="1270"/>
      <c r="N913" s="400"/>
      <c r="O913" s="122"/>
      <c r="P913" s="123"/>
    </row>
    <row r="914" spans="1:17">
      <c r="A914" s="1482"/>
      <c r="B914" s="1482">
        <v>1</v>
      </c>
      <c r="C914" s="1483">
        <f t="shared" si="163"/>
        <v>6</v>
      </c>
      <c r="D914" s="1492">
        <f t="shared" si="164"/>
        <v>6</v>
      </c>
      <c r="E914" s="1492">
        <f t="shared" si="165"/>
        <v>4</v>
      </c>
      <c r="F914" s="1484" t="s">
        <v>11708</v>
      </c>
      <c r="H914" s="1514" t="s">
        <v>11703</v>
      </c>
      <c r="I914" s="1515" t="s">
        <v>64</v>
      </c>
      <c r="J914" s="1516" t="str">
        <f>CONCATENATE(C914,".",D914,".",E914)</f>
        <v>6.6.4</v>
      </c>
      <c r="K914" s="1516" t="s">
        <v>1225</v>
      </c>
      <c r="L914" s="1517" t="s">
        <v>25</v>
      </c>
      <c r="M914" s="1518" t="s">
        <v>11704</v>
      </c>
      <c r="N914" s="398" t="s">
        <v>11705</v>
      </c>
      <c r="O914" s="207" t="s">
        <v>11706</v>
      </c>
      <c r="P914" s="208" t="s">
        <v>27</v>
      </c>
      <c r="Q914" s="1472" t="s">
        <v>11704</v>
      </c>
    </row>
    <row r="915" spans="1:17">
      <c r="A915" s="1482"/>
      <c r="B915" s="1482"/>
      <c r="C915" s="1483">
        <f t="shared" si="163"/>
        <v>6</v>
      </c>
      <c r="D915" s="1492">
        <f t="shared" si="164"/>
        <v>6</v>
      </c>
      <c r="E915" s="1492">
        <f t="shared" si="165"/>
        <v>4</v>
      </c>
      <c r="F915" s="1484" t="s">
        <v>11708</v>
      </c>
      <c r="H915" s="1095"/>
      <c r="I915" s="780"/>
      <c r="J915" s="834"/>
      <c r="K915" s="780"/>
      <c r="L915" s="780"/>
      <c r="M915" s="1270"/>
      <c r="N915" s="400"/>
      <c r="O915" s="122"/>
      <c r="P915" s="123"/>
    </row>
    <row r="916" spans="1:17" ht="33.75">
      <c r="A916" s="1482"/>
      <c r="B916" s="1482"/>
      <c r="C916" s="1483">
        <f t="shared" si="163"/>
        <v>6</v>
      </c>
      <c r="D916" s="1492">
        <f t="shared" si="164"/>
        <v>6</v>
      </c>
      <c r="E916" s="1492">
        <f t="shared" si="165"/>
        <v>4</v>
      </c>
      <c r="F916" s="1484" t="s">
        <v>11708</v>
      </c>
      <c r="G916" s="862" t="s">
        <v>12342</v>
      </c>
      <c r="H916" s="823" t="str">
        <f>VLOOKUP(G916,BIOGAS!A:M,2,0)</f>
        <v>SINAPI</v>
      </c>
      <c r="I916" s="700">
        <f>VLOOKUP(G916,BIOGAS!A:M,3,0)</f>
        <v>94116</v>
      </c>
      <c r="J916" s="824"/>
      <c r="K916" s="790" t="str">
        <f>(IF(H916="Saneago",VLOOKUP(I916,'SANEAGO-FEV.2016'!A:B,2,0),IF(H916="Sinapi",VLOOKUP(I916,'SINAPI-FEV.2017'!A:D,2,0),IF(H916="Cotação",VLOOKUP(I916,COTAÇÃO!A:D,2,0),IF(H916="Composição",VLOOKUP(I916,COMPOSIÇÃO!A:D,2,0))))))</f>
        <v>LASTRO COM PREPARO DE FUNDO, LARGURA MAIOR OU IGUAL A 1,5 M, COM CAMADA DE BRITA, LANÇAMENTO MECANIZADO, EM LOCAL COM NÍVEL BAIXO DE INTERFERÊNCIA. AF_06/2016</v>
      </c>
      <c r="L916" s="700" t="str">
        <f>(IF(H916="Saneago",VLOOKUP(I916,'SANEAGO-FEV.2016'!A:D,3,0),IF(H916="Sinapi",VLOOKUP(I916,'SINAPI-FEV.2017'!A:D,3,0),IF(H916="Cotação",VLOOKUP(I916,COTAÇÃO!A:D,3,0),IF(H916="Composição",VLOOKUP(I916,COMPOSIÇÃO!A:D,3,0))))))</f>
        <v>M3</v>
      </c>
      <c r="M916" s="870">
        <f>ROUND(VLOOKUP(G916,BIOGAS!A:M,13,0),2)</f>
        <v>11.22</v>
      </c>
      <c r="N916" s="399">
        <v>0</v>
      </c>
      <c r="O916" s="102">
        <f t="shared" ref="O916:O928" si="166">ROUND(IF(F916="Serviços",N916*(1+$O$7),IF(F916="Materiais",N916*(1+$O$8))),2)</f>
        <v>0</v>
      </c>
      <c r="P916" s="101">
        <f t="shared" ref="P916:P928" si="167">ROUND(M916*O916,2)</f>
        <v>0</v>
      </c>
      <c r="Q916" s="1472">
        <v>11.22</v>
      </c>
    </row>
    <row r="917" spans="1:17" ht="22.5">
      <c r="A917" s="1482"/>
      <c r="B917" s="1482"/>
      <c r="C917" s="1483">
        <f t="shared" si="163"/>
        <v>6</v>
      </c>
      <c r="D917" s="1492">
        <f t="shared" si="164"/>
        <v>6</v>
      </c>
      <c r="E917" s="1492">
        <f t="shared" si="165"/>
        <v>4</v>
      </c>
      <c r="F917" s="1484" t="s">
        <v>11708</v>
      </c>
      <c r="G917" s="862" t="s">
        <v>12343</v>
      </c>
      <c r="H917" s="823" t="str">
        <f>VLOOKUP(G917,BIOGAS!A:M,2,0)</f>
        <v>SINAPI</v>
      </c>
      <c r="I917" s="700">
        <f>VLOOKUP(G917,BIOGAS!A:M,3,0)</f>
        <v>95241</v>
      </c>
      <c r="J917" s="824"/>
      <c r="K917" s="790" t="str">
        <f>(IF(H917="Saneago",VLOOKUP(I917,'SANEAGO-FEV.2016'!A:B,2,0),IF(H917="Sinapi",VLOOKUP(I917,'SINAPI-FEV.2017'!A:D,2,0),IF(H917="Cotação",VLOOKUP(I917,COTAÇÃO!A:D,2,0),IF(H917="Composição",VLOOKUP(I917,COMPOSIÇÃO!A:D,2,0))))))</f>
        <v>LASTRO DE CONCRETO, E = 5 CM, PREPARO MECÂNICO, INCLUSOS LANÇAMENTO E ADENSAMENTO. AF_07_2016</v>
      </c>
      <c r="L917" s="700" t="str">
        <f>(IF(H917="Saneago",VLOOKUP(I917,'SANEAGO-FEV.2016'!A:D,3,0),IF(H917="Sinapi",VLOOKUP(I917,'SINAPI-FEV.2017'!A:D,3,0),IF(H917="Cotação",VLOOKUP(I917,COTAÇÃO!A:D,3,0),IF(H917="Composição",VLOOKUP(I917,COMPOSIÇÃO!A:D,3,0))))))</f>
        <v>M2</v>
      </c>
      <c r="M917" s="870">
        <f>ROUND(VLOOKUP(G917,BIOGAS!A:M,13,0),2)</f>
        <v>85.42</v>
      </c>
      <c r="N917" s="399">
        <v>0</v>
      </c>
      <c r="O917" s="102">
        <f t="shared" si="166"/>
        <v>0</v>
      </c>
      <c r="P917" s="101">
        <f t="shared" si="167"/>
        <v>0</v>
      </c>
      <c r="Q917" s="1472">
        <v>85.42</v>
      </c>
    </row>
    <row r="918" spans="1:17" ht="45">
      <c r="A918" s="1482"/>
      <c r="B918" s="1482"/>
      <c r="C918" s="1483">
        <f t="shared" si="163"/>
        <v>6</v>
      </c>
      <c r="D918" s="1492">
        <f t="shared" ref="D918:D933" si="168">D917+A918</f>
        <v>6</v>
      </c>
      <c r="E918" s="1492">
        <f t="shared" ref="E918:E933" si="169">E917+B918</f>
        <v>4</v>
      </c>
      <c r="F918" s="1484" t="s">
        <v>11708</v>
      </c>
      <c r="G918" s="862" t="s">
        <v>12327</v>
      </c>
      <c r="H918" s="823" t="str">
        <f>VLOOKUP(G918,BIOGAS!A:M,2,0)</f>
        <v>SINAPI</v>
      </c>
      <c r="I918" s="700">
        <f>VLOOKUP(G918,BIOGAS!A:M,3,0)</f>
        <v>92415</v>
      </c>
      <c r="J918" s="824"/>
      <c r="K918" s="790" t="str">
        <f>(IF(H918="Saneago",VLOOKUP(I918,'SANEAGO-FEV.2016'!A:B,2,0),IF(H918="Sinapi",VLOOKUP(I918,'SINAPI-FEV.2017'!A:D,2,0),IF(H918="Cotação",VLOOKUP(I918,COTAÇÃO!A:D,2,0),IF(H918="Composição",VLOOKUP(I918,COMPOSIÇÃO!A:D,2,0))))))</f>
        <v>MONTAGEM E DESMONTAGEM DE FÔRMA DE PILARES RETANGULARES E ESTRUTURAS SIMILARES COM ÁREA MÉDIA DAS SEÇÕES MAIOR QUE 0,25 M², PÉ-DIREITO SIMPLES, EM CHAPA DE MADEIRA COMPENSADA RESINADA, 2 UTILIZAÇÕES. AF_12/2015</v>
      </c>
      <c r="L918" s="700" t="str">
        <f>(IF(H918="Saneago",VLOOKUP(I918,'SANEAGO-FEV.2016'!A:D,3,0),IF(H918="Sinapi",VLOOKUP(I918,'SINAPI-FEV.2017'!A:D,3,0),IF(H918="Cotação",VLOOKUP(I918,COTAÇÃO!A:D,3,0),IF(H918="Composição",VLOOKUP(I918,COMPOSIÇÃO!A:D,3,0))))))</f>
        <v>M2</v>
      </c>
      <c r="M918" s="870">
        <f>ROUND(VLOOKUP(G918,BIOGAS!A:M,13,0),2)</f>
        <v>88.42</v>
      </c>
      <c r="N918" s="399">
        <v>0</v>
      </c>
      <c r="O918" s="102">
        <f t="shared" si="166"/>
        <v>0</v>
      </c>
      <c r="P918" s="101">
        <f t="shared" si="167"/>
        <v>0</v>
      </c>
      <c r="Q918" s="1472">
        <v>88.42</v>
      </c>
    </row>
    <row r="919" spans="1:17" ht="22.5">
      <c r="A919" s="1482"/>
      <c r="B919" s="1482"/>
      <c r="C919" s="1483">
        <f t="shared" si="163"/>
        <v>6</v>
      </c>
      <c r="D919" s="1492">
        <f t="shared" si="168"/>
        <v>6</v>
      </c>
      <c r="E919" s="1492">
        <f t="shared" si="169"/>
        <v>4</v>
      </c>
      <c r="F919" s="1484" t="s">
        <v>11708</v>
      </c>
      <c r="G919" s="862" t="s">
        <v>12352</v>
      </c>
      <c r="H919" s="823" t="str">
        <f>VLOOKUP(G919,BIOGAS!A:M,2,0)</f>
        <v>SINAPI</v>
      </c>
      <c r="I919" s="700">
        <f>VLOOKUP(G919,BIOGAS!A:M,3,0)</f>
        <v>34493</v>
      </c>
      <c r="J919" s="824"/>
      <c r="K919" s="790" t="str">
        <f>(IF(H919="Saneago",VLOOKUP(I919,'SANEAGO-FEV.2016'!A:B,2,0),IF(H919="Sinapi",VLOOKUP(I919,'SINAPI-FEV.2017'!A:D,2,0),IF(H919="Cotação",VLOOKUP(I919,COTAÇÃO!A:D,2,0),IF(H919="Composição",VLOOKUP(I919,COMPOSIÇÃO!A:D,2,0))))))</f>
        <v>CONCRETO USINADO BOMBEAVEL, CLASSE DE RESISTENCIA C25, COM BRITA 0 E 1, SLUMP = 100 +/- 20 MM, EXCLUI SERVICO DE BOMBEAMENTO (NBR 8953)</v>
      </c>
      <c r="L919" s="700" t="str">
        <f>(IF(H919="Saneago",VLOOKUP(I919,'SANEAGO-FEV.2016'!A:D,3,0),IF(H919="Sinapi",VLOOKUP(I919,'SINAPI-FEV.2017'!A:D,3,0),IF(H919="Cotação",VLOOKUP(I919,COTAÇÃO!A:D,3,0),IF(H919="Composição",VLOOKUP(I919,COMPOSIÇÃO!A:D,3,0))))))</f>
        <v>M3</v>
      </c>
      <c r="M919" s="870">
        <f>ROUND(VLOOKUP(G919,BIOGAS!A:M,13,0),2)</f>
        <v>8.8000000000000007</v>
      </c>
      <c r="N919" s="399">
        <v>0</v>
      </c>
      <c r="O919" s="102">
        <f t="shared" si="166"/>
        <v>0</v>
      </c>
      <c r="P919" s="101">
        <f t="shared" si="167"/>
        <v>0</v>
      </c>
      <c r="Q919" s="1472">
        <v>8.8000000000000007</v>
      </c>
    </row>
    <row r="920" spans="1:17" ht="22.5">
      <c r="A920" s="1482"/>
      <c r="B920" s="1482"/>
      <c r="C920" s="1483">
        <f t="shared" si="163"/>
        <v>6</v>
      </c>
      <c r="D920" s="1492">
        <f t="shared" si="168"/>
        <v>6</v>
      </c>
      <c r="E920" s="1492">
        <f t="shared" si="169"/>
        <v>4</v>
      </c>
      <c r="F920" s="1484" t="s">
        <v>11708</v>
      </c>
      <c r="G920" s="862" t="s">
        <v>20452</v>
      </c>
      <c r="H920" s="823" t="str">
        <f>VLOOKUP(G920,BIOGAS!A:M,2,0)</f>
        <v>SINAPI</v>
      </c>
      <c r="I920" s="700">
        <f>VLOOKUP(G920,BIOGAS!A:M,3,0)</f>
        <v>92874</v>
      </c>
      <c r="J920" s="824"/>
      <c r="K920" s="790" t="str">
        <f>(IF(H920="Saneago",VLOOKUP(I920,'SANEAGO-FEV.2016'!A:B,2,0),IF(H920="Sinapi",VLOOKUP(I920,'SINAPI-FEV.2017'!A:D,2,0),IF(H920="Cotação",VLOOKUP(I920,COTAÇÃO!A:D,2,0),IF(H920="Composição",VLOOKUP(I920,COMPOSIÇÃO!A:D,2,0))))))</f>
        <v>LANÇAMENTO COM USO DE BOMBA, ADENSAMENTO E ACABAMENTO DE CONCRETO EM ESTRUTURAS. AF_12/2015</v>
      </c>
      <c r="L920" s="700" t="str">
        <f>(IF(H920="Saneago",VLOOKUP(I920,'SANEAGO-FEV.2016'!A:D,3,0),IF(H920="Sinapi",VLOOKUP(I920,'SINAPI-FEV.2017'!A:D,3,0),IF(H920="Cotação",VLOOKUP(I920,COTAÇÃO!A:D,3,0),IF(H920="Composição",VLOOKUP(I920,COMPOSIÇÃO!A:D,3,0))))))</f>
        <v>M3</v>
      </c>
      <c r="M920" s="870">
        <f>ROUND(VLOOKUP(G920,BIOGAS!A:M,13,0),2)</f>
        <v>8.8000000000000007</v>
      </c>
      <c r="N920" s="399">
        <v>0</v>
      </c>
      <c r="O920" s="102">
        <f>ROUND(IF(F920="Serviços",N920*(1+$O$7),IF(F920="Materiais",N920*(1+$O$8))),2)</f>
        <v>0</v>
      </c>
      <c r="P920" s="101">
        <f>ROUND(M920*O920,2)</f>
        <v>0</v>
      </c>
      <c r="Q920" s="1472">
        <v>8.8000000000000007</v>
      </c>
    </row>
    <row r="921" spans="1:17" ht="22.5">
      <c r="A921" s="1482"/>
      <c r="B921" s="1482"/>
      <c r="C921" s="1483">
        <f t="shared" si="163"/>
        <v>6</v>
      </c>
      <c r="D921" s="1492">
        <f t="shared" si="168"/>
        <v>6</v>
      </c>
      <c r="E921" s="1492">
        <f t="shared" si="169"/>
        <v>4</v>
      </c>
      <c r="F921" s="1484" t="s">
        <v>11708</v>
      </c>
      <c r="G921" s="862" t="s">
        <v>12353</v>
      </c>
      <c r="H921" s="823" t="str">
        <f>VLOOKUP(G921,BIOGAS!A:M,2,0)</f>
        <v>Saneago</v>
      </c>
      <c r="I921" s="700">
        <f>VLOOKUP(G921,BIOGAS!A:M,3,0)</f>
        <v>316</v>
      </c>
      <c r="J921" s="824"/>
      <c r="K921" s="790" t="str">
        <f>(IF(H921="Saneago",VLOOKUP(I921,'SANEAGO-FEV.2016'!A:B,2,0),IF(H921="Sinapi",VLOOKUP(I921,'SINAPI-FEV.2017'!A:D,2,0),IF(H921="Cotação",VLOOKUP(I921,COTAÇÃO!A:D,2,0),IF(H921="Composição",VLOOKUP(I921,COMPOSIÇÃO!A:D,2,0))))))</f>
        <v>CONCRETO  ESTRUTURAL USINADO BOMBEADO  FCK=40 MPA, COM ADIÇÃO DE 8 À 10% DE MICROSSÍLICA (INCLUINDO  LANÇAMENTO, APLICAÇÃO  E ADENSAMENTO)</v>
      </c>
      <c r="L921" s="700" t="str">
        <f>(IF(H921="Saneago",VLOOKUP(I921,'SANEAGO-FEV.2016'!A:D,3,0),IF(H921="Sinapi",VLOOKUP(I921,'SINAPI-FEV.2017'!A:D,3,0),IF(H921="Cotação",VLOOKUP(I921,COTAÇÃO!A:D,3,0),IF(H921="Composição",VLOOKUP(I921,COMPOSIÇÃO!A:D,3,0))))))</f>
        <v>M3</v>
      </c>
      <c r="M921" s="870">
        <f>ROUND(VLOOKUP(G921,BIOGAS!A:M,13,0),2)</f>
        <v>3.74</v>
      </c>
      <c r="N921" s="399">
        <v>0</v>
      </c>
      <c r="O921" s="102">
        <f t="shared" si="166"/>
        <v>0</v>
      </c>
      <c r="P921" s="101">
        <f t="shared" si="167"/>
        <v>0</v>
      </c>
      <c r="Q921" s="1472">
        <v>3.74</v>
      </c>
    </row>
    <row r="922" spans="1:17" ht="22.5">
      <c r="A922" s="1482"/>
      <c r="B922" s="1482"/>
      <c r="C922" s="1483">
        <f t="shared" si="163"/>
        <v>6</v>
      </c>
      <c r="D922" s="1492">
        <f t="shared" si="168"/>
        <v>6</v>
      </c>
      <c r="E922" s="1492">
        <f t="shared" si="169"/>
        <v>4</v>
      </c>
      <c r="F922" s="1484" t="s">
        <v>11708</v>
      </c>
      <c r="G922" s="862" t="s">
        <v>20453</v>
      </c>
      <c r="H922" s="823" t="str">
        <f>VLOOKUP(G922,BIOGAS!A:M,2,0)</f>
        <v>SINAPI</v>
      </c>
      <c r="I922" s="700">
        <f>VLOOKUP(G922,BIOGAS!A:M,3,0)</f>
        <v>94969</v>
      </c>
      <c r="J922" s="824"/>
      <c r="K922" s="790" t="str">
        <f>(IF(H922="Saneago",VLOOKUP(I922,'SANEAGO-FEV.2016'!A:B,2,0),IF(H922="Sinapi",VLOOKUP(I922,'SINAPI-FEV.2017'!A:D,2,0),IF(H922="Cotação",VLOOKUP(I922,COTAÇÃO!A:D,2,0),IF(H922="Composição",VLOOKUP(I922,COMPOSIÇÃO!A:D,2,0))))))</f>
        <v>CONCRETO FCK = 15MPA, TRAÇO 1:3,4:3,5 (CIMENTO/ AREIA MÉDIA/ BRITA 1)  - PREPARO MECÂNICO COM BETONEIRA 600 L. AF_07/2016</v>
      </c>
      <c r="L922" s="700" t="str">
        <f>(IF(H922="Saneago",VLOOKUP(I922,'SANEAGO-FEV.2016'!A:D,3,0),IF(H922="Sinapi",VLOOKUP(I922,'SINAPI-FEV.2017'!A:D,3,0),IF(H922="Cotação",VLOOKUP(I922,COTAÇÃO!A:D,3,0),IF(H922="Composição",VLOOKUP(I922,COMPOSIÇÃO!A:D,3,0))))))</f>
        <v>M3</v>
      </c>
      <c r="M922" s="870">
        <f>ROUND(VLOOKUP(G922,BIOGAS!A:M,13,0),2)</f>
        <v>3.3</v>
      </c>
      <c r="N922" s="399">
        <v>0</v>
      </c>
      <c r="O922" s="102">
        <f t="shared" si="166"/>
        <v>0</v>
      </c>
      <c r="P922" s="101">
        <f t="shared" si="167"/>
        <v>0</v>
      </c>
      <c r="Q922" s="1472">
        <v>3.3</v>
      </c>
    </row>
    <row r="923" spans="1:17" ht="22.5">
      <c r="A923" s="1482"/>
      <c r="B923" s="1482"/>
      <c r="C923" s="1483">
        <f t="shared" si="163"/>
        <v>6</v>
      </c>
      <c r="D923" s="1492">
        <f t="shared" si="168"/>
        <v>6</v>
      </c>
      <c r="E923" s="1492">
        <f t="shared" si="169"/>
        <v>4</v>
      </c>
      <c r="F923" s="1484" t="s">
        <v>11708</v>
      </c>
      <c r="G923" s="862" t="s">
        <v>20454</v>
      </c>
      <c r="H923" s="823" t="str">
        <f>VLOOKUP(G923,BIOGAS!A:M,2,0)</f>
        <v>SINAPI</v>
      </c>
      <c r="I923" s="700">
        <f>VLOOKUP(G923,BIOGAS!A:M,3,0)</f>
        <v>92873</v>
      </c>
      <c r="J923" s="824"/>
      <c r="K923" s="790" t="str">
        <f>(IF(H923="Saneago",VLOOKUP(I923,'SANEAGO-FEV.2016'!A:B,2,0),IF(H923="Sinapi",VLOOKUP(I923,'SINAPI-FEV.2017'!A:D,2,0),IF(H923="Cotação",VLOOKUP(I923,COTAÇÃO!A:D,2,0),IF(H923="Composição",VLOOKUP(I923,COMPOSIÇÃO!A:D,2,0))))))</f>
        <v>LANÇAMENTO COM USO DE BALDES, ADENSAMENTO E ACABAMENTO DE CONCRETO EM ESTRUTURAS. AF_12/2015</v>
      </c>
      <c r="L923" s="700" t="str">
        <f>(IF(H923="Saneago",VLOOKUP(I923,'SANEAGO-FEV.2016'!A:D,3,0),IF(H923="Sinapi",VLOOKUP(I923,'SINAPI-FEV.2017'!A:D,3,0),IF(H923="Cotação",VLOOKUP(I923,COTAÇÃO!A:D,3,0),IF(H923="Composição",VLOOKUP(I923,COMPOSIÇÃO!A:D,3,0))))))</f>
        <v>M3</v>
      </c>
      <c r="M923" s="870">
        <f>ROUND(VLOOKUP(G923,BIOGAS!A:M,13,0),2)</f>
        <v>3.3</v>
      </c>
      <c r="N923" s="399">
        <v>0</v>
      </c>
      <c r="O923" s="102">
        <f>ROUND(IF(F923="Serviços",N923*(1+$O$7),IF(F923="Materiais",N923*(1+$O$8))),2)</f>
        <v>0</v>
      </c>
      <c r="P923" s="101">
        <f>ROUND(M923*O923,2)</f>
        <v>0</v>
      </c>
      <c r="Q923" s="1472">
        <v>3.3</v>
      </c>
    </row>
    <row r="924" spans="1:17" ht="45">
      <c r="A924" s="1482"/>
      <c r="B924" s="1482"/>
      <c r="C924" s="1483">
        <f t="shared" si="163"/>
        <v>6</v>
      </c>
      <c r="D924" s="1492">
        <f t="shared" si="168"/>
        <v>6</v>
      </c>
      <c r="E924" s="1492">
        <f t="shared" si="169"/>
        <v>4</v>
      </c>
      <c r="F924" s="1484" t="s">
        <v>11708</v>
      </c>
      <c r="G924" s="912" t="s">
        <v>20459</v>
      </c>
      <c r="H924" s="823" t="str">
        <f>VLOOKUP(G924,BIOGAS!A:M,2,0)</f>
        <v>SINAPI</v>
      </c>
      <c r="I924" s="700">
        <f>VLOOKUP(G924,BIOGAS!A:M,3,0)</f>
        <v>92915</v>
      </c>
      <c r="J924" s="824"/>
      <c r="K924" s="790" t="str">
        <f>(IF(H924="Saneago",VLOOKUP(I924,'SANEAGO-FEV.2016'!A:B,2,0),IF(H924="Sinapi",VLOOKUP(I924,'SINAPI-FEV.2017'!A:D,2,0),IF(H924="Cotação",VLOOKUP(I924,COTAÇÃO!A:D,2,0),IF(H924="Composição",VLOOKUP(I924,COMPOSIÇÃO!A:D,2,0))))))</f>
        <v>ARMAÇÃO DE ESTRUTURAS DE CONCRETO ARMADO, EXCETO VIGAS, PILARES, LAJES E FUNDAÇÕES PROFUNDAS (DE EDIFÍCIOS DE MÚLTIPLOS PAVIMENTOS, EDIFICAÇÃO TÉRREA OU SOBRADO), UTILIZANDO AÇO CA-60 DE 5.0 MM - MONTAGEM. AF_12/2015</v>
      </c>
      <c r="L924" s="700" t="str">
        <f>(IF(H924="Saneago",VLOOKUP(I924,'SANEAGO-FEV.2016'!A:D,3,0),IF(H924="Sinapi",VLOOKUP(I924,'SINAPI-FEV.2017'!A:D,3,0),IF(H924="Cotação",VLOOKUP(I924,COTAÇÃO!A:D,3,0),IF(H924="Composição",VLOOKUP(I924,COMPOSIÇÃO!A:D,3,0))))))</f>
        <v>KG</v>
      </c>
      <c r="M924" s="870">
        <f>ROUND(VLOOKUP(G924,BIOGAS!A:M,13,0),2)</f>
        <v>141.83000000000001</v>
      </c>
      <c r="N924" s="399">
        <v>0</v>
      </c>
      <c r="O924" s="102">
        <f>ROUND(IF(F924="Serviços",N924*(1+$O$7),IF(F924="Materiais",N924*(1+$O$8))),2)</f>
        <v>0</v>
      </c>
      <c r="P924" s="101">
        <f>ROUND(M924*O924,2)</f>
        <v>0</v>
      </c>
      <c r="Q924" s="1472">
        <v>141.83000000000001</v>
      </c>
    </row>
    <row r="925" spans="1:17" ht="45">
      <c r="A925" s="1482"/>
      <c r="B925" s="1482"/>
      <c r="C925" s="1483">
        <f t="shared" si="163"/>
        <v>6</v>
      </c>
      <c r="D925" s="1492">
        <f t="shared" si="168"/>
        <v>6</v>
      </c>
      <c r="E925" s="1492">
        <f t="shared" si="169"/>
        <v>4</v>
      </c>
      <c r="F925" s="1484" t="s">
        <v>11708</v>
      </c>
      <c r="G925" s="912" t="s">
        <v>20460</v>
      </c>
      <c r="H925" s="823" t="str">
        <f>VLOOKUP(G925,BIOGAS!A:M,2,0)</f>
        <v>SINAPI</v>
      </c>
      <c r="I925" s="700">
        <f>VLOOKUP(G925,BIOGAS!A:M,3,0)</f>
        <v>92916</v>
      </c>
      <c r="J925" s="824"/>
      <c r="K925" s="790" t="str">
        <f>(IF(H925="Saneago",VLOOKUP(I925,'SANEAGO-FEV.2016'!A:B,2,0),IF(H925="Sinapi",VLOOKUP(I925,'SINAPI-FEV.2017'!A:D,2,0),IF(H925="Cotação",VLOOKUP(I925,COTAÇÃO!A:D,2,0),IF(H925="Composição",VLOOKUP(I925,COMPOSIÇÃO!A:D,2,0))))))</f>
        <v>ARMAÇÃO DE ESTRUTURAS DE CONCRETO ARMADO, EXCETO VIGAS, PILARES, LAJES E FUNDAÇÕES PROFUNDAS (DE EDIFÍCIOS DE MÚLTIPLOS PAVIMENTOS, EDIFICAÇÃO TÉRREA OU SOBRADO), UTILIZANDO AÇO CA-50 DE 6.3 MM - MONTAGEM. AF_12/2015</v>
      </c>
      <c r="L925" s="700" t="str">
        <f>(IF(H925="Saneago",VLOOKUP(I925,'SANEAGO-FEV.2016'!A:D,3,0),IF(H925="Sinapi",VLOOKUP(I925,'SINAPI-FEV.2017'!A:D,3,0),IF(H925="Cotação",VLOOKUP(I925,COTAÇÃO!A:D,3,0),IF(H925="Composição",VLOOKUP(I925,COMPOSIÇÃO!A:D,3,0))))))</f>
        <v>KG</v>
      </c>
      <c r="M925" s="870">
        <f>ROUND(VLOOKUP(G925,BIOGAS!A:M,13,0),2)</f>
        <v>628.99</v>
      </c>
      <c r="N925" s="399">
        <v>0</v>
      </c>
      <c r="O925" s="102">
        <f>ROUND(IF(F925="Serviços",N925*(1+$O$7),IF(F925="Materiais",N925*(1+$O$8))),2)</f>
        <v>0</v>
      </c>
      <c r="P925" s="101">
        <f>ROUND(M925*O925,2)</f>
        <v>0</v>
      </c>
      <c r="Q925" s="1472">
        <v>628.99</v>
      </c>
    </row>
    <row r="926" spans="1:17" ht="45">
      <c r="A926" s="1482"/>
      <c r="B926" s="1482"/>
      <c r="C926" s="1483">
        <f t="shared" si="163"/>
        <v>6</v>
      </c>
      <c r="D926" s="1492">
        <f t="shared" si="168"/>
        <v>6</v>
      </c>
      <c r="E926" s="1492">
        <f t="shared" si="169"/>
        <v>4</v>
      </c>
      <c r="F926" s="1484" t="s">
        <v>11708</v>
      </c>
      <c r="G926" s="912" t="s">
        <v>20461</v>
      </c>
      <c r="H926" s="823" t="str">
        <f>VLOOKUP(G926,BIOGAS!A:M,2,0)</f>
        <v>SINAPI</v>
      </c>
      <c r="I926" s="700">
        <f>VLOOKUP(G926,BIOGAS!A:M,3,0)</f>
        <v>92917</v>
      </c>
      <c r="J926" s="824"/>
      <c r="K926" s="790" t="str">
        <f>(IF(H926="Saneago",VLOOKUP(I926,'SANEAGO-FEV.2016'!A:B,2,0),IF(H926="Sinapi",VLOOKUP(I926,'SINAPI-FEV.2017'!A:D,2,0),IF(H926="Cotação",VLOOKUP(I926,COTAÇÃO!A:D,2,0),IF(H926="Composição",VLOOKUP(I926,COMPOSIÇÃO!A:D,2,0))))))</f>
        <v>ARMAÇÃO DE ESTRUTURAS DE CONCRETO ARMADO, EXCETO VIGAS, PILARES, LAJES E FUNDAÇÕES PROFUNDAS (DE EDIFÍCIOS DE MÚLTIPLOS PAVIMENTOS, EDIFICAÇÃO TÉRREA OU SOBRADO), UTILIZANDO AÇO CA-50 DE 8.0 MM - MONTAGEM. AF_12/2015</v>
      </c>
      <c r="L926" s="700" t="str">
        <f>(IF(H926="Saneago",VLOOKUP(I926,'SANEAGO-FEV.2016'!A:D,3,0),IF(H926="Sinapi",VLOOKUP(I926,'SINAPI-FEV.2017'!A:D,3,0),IF(H926="Cotação",VLOOKUP(I926,COTAÇÃO!A:D,3,0),IF(H926="Composição",VLOOKUP(I926,COMPOSIÇÃO!A:D,3,0))))))</f>
        <v>KG</v>
      </c>
      <c r="M926" s="870">
        <f>ROUND(VLOOKUP(G926,BIOGAS!A:M,13,0),2)</f>
        <v>169.93</v>
      </c>
      <c r="N926" s="399">
        <v>0</v>
      </c>
      <c r="O926" s="102">
        <f>ROUND(IF(F926="Serviços",N926*(1+$O$7),IF(F926="Materiais",N926*(1+$O$8))),2)</f>
        <v>0</v>
      </c>
      <c r="P926" s="101">
        <f>ROUND(M926*O926,2)</f>
        <v>0</v>
      </c>
      <c r="Q926" s="1472">
        <v>169.93</v>
      </c>
    </row>
    <row r="927" spans="1:17" ht="45">
      <c r="A927" s="1482"/>
      <c r="B927" s="1482"/>
      <c r="C927" s="1483">
        <f t="shared" si="163"/>
        <v>6</v>
      </c>
      <c r="D927" s="1492">
        <f t="shared" si="168"/>
        <v>6</v>
      </c>
      <c r="E927" s="1492">
        <f t="shared" si="169"/>
        <v>4</v>
      </c>
      <c r="F927" s="1484" t="s">
        <v>11708</v>
      </c>
      <c r="G927" s="912" t="s">
        <v>20462</v>
      </c>
      <c r="H927" s="823" t="str">
        <f>VLOOKUP(G927,BIOGAS!A:M,2,0)</f>
        <v>SINAPI</v>
      </c>
      <c r="I927" s="700">
        <f>VLOOKUP(G927,BIOGAS!A:M,3,0)</f>
        <v>92919</v>
      </c>
      <c r="J927" s="824"/>
      <c r="K927" s="790" t="str">
        <f>(IF(H927="Saneago",VLOOKUP(I927,'SANEAGO-FEV.2016'!A:B,2,0),IF(H927="Sinapi",VLOOKUP(I927,'SINAPI-FEV.2017'!A:D,2,0),IF(H927="Cotação",VLOOKUP(I927,COTAÇÃO!A:D,2,0),IF(H927="Composição",VLOOKUP(I927,COMPOSIÇÃO!A:D,2,0))))))</f>
        <v>ARMAÇÃO DE ESTRUTURAS DE CONCRETO ARMADO, EXCETO VIGAS, PILARES, LAJES E FUNDAÇÕES PROFUNDAS (DE EDIFÍCIOS DE MÚLTIPLOS PAVIMENTOS, EDIFICAÇÃO TÉRREA OU SOBRADO), UTILIZANDO AÇO CA-50 DE 10.0 MM - MONTAGEM. AF_12/2015</v>
      </c>
      <c r="L927" s="700" t="str">
        <f>(IF(H927="Saneago",VLOOKUP(I927,'SANEAGO-FEV.2016'!A:D,3,0),IF(H927="Sinapi",VLOOKUP(I927,'SINAPI-FEV.2017'!A:D,3,0),IF(H927="Cotação",VLOOKUP(I927,COTAÇÃO!A:D,3,0),IF(H927="Composição",VLOOKUP(I927,COMPOSIÇÃO!A:D,3,0))))))</f>
        <v>KG</v>
      </c>
      <c r="M927" s="870">
        <f>ROUND(VLOOKUP(G927,BIOGAS!A:M,13,0),2)</f>
        <v>445.61</v>
      </c>
      <c r="N927" s="399">
        <v>0</v>
      </c>
      <c r="O927" s="102">
        <f>ROUND(IF(F927="Serviços",N927*(1+$O$7),IF(F927="Materiais",N927*(1+$O$8))),2)</f>
        <v>0</v>
      </c>
      <c r="P927" s="101">
        <f>ROUND(M927*O927,2)</f>
        <v>0</v>
      </c>
      <c r="Q927" s="1472">
        <v>445.61</v>
      </c>
    </row>
    <row r="928" spans="1:17">
      <c r="A928" s="1482"/>
      <c r="B928" s="1482"/>
      <c r="C928" s="1483">
        <f t="shared" si="163"/>
        <v>6</v>
      </c>
      <c r="D928" s="1492">
        <f t="shared" si="168"/>
        <v>6</v>
      </c>
      <c r="E928" s="1492">
        <f t="shared" si="169"/>
        <v>4</v>
      </c>
      <c r="F928" s="1484" t="s">
        <v>11708</v>
      </c>
      <c r="G928" s="862" t="s">
        <v>12328</v>
      </c>
      <c r="H928" s="823" t="str">
        <f>VLOOKUP(G928,BIOGAS!A:M,2,0)</f>
        <v>SINAPI</v>
      </c>
      <c r="I928" s="700" t="str">
        <f>VLOOKUP(G928,BIOGAS!A:M,3,0)</f>
        <v>74022/57</v>
      </c>
      <c r="J928" s="824"/>
      <c r="K928" s="790" t="str">
        <f>(IF(H928="Saneago",VLOOKUP(I928,'SANEAGO-FEV.2016'!A:B,2,0),IF(H928="Sinapi",VLOOKUP(I928,'SINAPI-FEV.2017'!A:D,2,0),IF(H928="Cotação",VLOOKUP(I928,COTAÇÃO!A:D,2,0),IF(H928="Composição",VLOOKUP(I928,COMPOSIÇÃO!A:D,2,0))))))</f>
        <v>ENSAIO DE CONSISTENCIA DO CONCRETO CCR - INDICE VEBE</v>
      </c>
      <c r="L928" s="700" t="str">
        <f>(IF(H928="Saneago",VLOOKUP(I928,'SANEAGO-FEV.2016'!A:D,3,0),IF(H928="Sinapi",VLOOKUP(I928,'SINAPI-FEV.2017'!A:D,3,0),IF(H928="Cotação",VLOOKUP(I928,COTAÇÃO!A:D,3,0),IF(H928="Composição",VLOOKUP(I928,COMPOSIÇÃO!A:D,3,0))))))</f>
        <v>UN</v>
      </c>
      <c r="M928" s="870">
        <f>ROUND(VLOOKUP(G928,BIOGAS!A:M,13,0),2)</f>
        <v>1</v>
      </c>
      <c r="N928" s="399">
        <v>0</v>
      </c>
      <c r="O928" s="102">
        <f t="shared" si="166"/>
        <v>0</v>
      </c>
      <c r="P928" s="101">
        <f t="shared" si="167"/>
        <v>0</v>
      </c>
      <c r="Q928" s="1472">
        <v>1</v>
      </c>
    </row>
    <row r="929" spans="1:17" ht="15.75" thickBot="1">
      <c r="A929" s="1482"/>
      <c r="B929" s="1482"/>
      <c r="C929" s="1483">
        <f t="shared" si="163"/>
        <v>6</v>
      </c>
      <c r="D929" s="1492">
        <f t="shared" si="168"/>
        <v>6</v>
      </c>
      <c r="E929" s="1492">
        <f t="shared" si="169"/>
        <v>4</v>
      </c>
      <c r="F929" s="1484" t="s">
        <v>11708</v>
      </c>
      <c r="G929" s="921"/>
      <c r="H929" s="1095"/>
      <c r="I929" s="780"/>
      <c r="J929" s="834"/>
      <c r="K929" s="780"/>
      <c r="L929" s="780"/>
      <c r="M929" s="1270"/>
      <c r="N929" s="400"/>
      <c r="O929" s="122"/>
      <c r="P929" s="123"/>
    </row>
    <row r="930" spans="1:17" ht="16.5" customHeight="1" thickTop="1" thickBot="1">
      <c r="A930" s="1482"/>
      <c r="B930" s="1482"/>
      <c r="C930" s="1483">
        <f t="shared" si="163"/>
        <v>6</v>
      </c>
      <c r="D930" s="1492">
        <f t="shared" si="168"/>
        <v>6</v>
      </c>
      <c r="E930" s="1492">
        <f t="shared" si="169"/>
        <v>4</v>
      </c>
      <c r="F930" s="1484" t="s">
        <v>11708</v>
      </c>
      <c r="H930" s="1653" t="str">
        <f>"TOTAL ITEM: "&amp;J914 &amp;K914</f>
        <v>TOTAL ITEM: 6.6.4ESTRUTURAS DE CONCRETO ARMADO</v>
      </c>
      <c r="I930" s="1654"/>
      <c r="J930" s="1654"/>
      <c r="K930" s="1654"/>
      <c r="L930" s="1654"/>
      <c r="M930" s="1654"/>
      <c r="N930" s="1654"/>
      <c r="O930" s="1654"/>
      <c r="P930" s="210">
        <f>SUBTOTAL(9,P916:P928)</f>
        <v>0</v>
      </c>
    </row>
    <row r="931" spans="1:17" ht="15.75" thickTop="1">
      <c r="A931" s="1482"/>
      <c r="B931" s="1482"/>
      <c r="C931" s="1483">
        <f t="shared" si="163"/>
        <v>6</v>
      </c>
      <c r="D931" s="1492">
        <f t="shared" si="168"/>
        <v>6</v>
      </c>
      <c r="E931" s="1492">
        <f t="shared" si="169"/>
        <v>4</v>
      </c>
      <c r="F931" s="1484" t="s">
        <v>11708</v>
      </c>
      <c r="H931" s="1095"/>
      <c r="I931" s="780"/>
      <c r="J931" s="834"/>
      <c r="K931" s="780"/>
      <c r="L931" s="780"/>
      <c r="M931" s="1270"/>
      <c r="N931" s="400"/>
      <c r="O931" s="122"/>
      <c r="P931" s="123"/>
    </row>
    <row r="932" spans="1:17">
      <c r="A932" s="1482"/>
      <c r="B932" s="1482">
        <v>1</v>
      </c>
      <c r="C932" s="1483">
        <f t="shared" si="163"/>
        <v>6</v>
      </c>
      <c r="D932" s="1492">
        <f t="shared" si="168"/>
        <v>6</v>
      </c>
      <c r="E932" s="1492">
        <f t="shared" si="169"/>
        <v>5</v>
      </c>
      <c r="F932" s="1484" t="s">
        <v>11708</v>
      </c>
      <c r="H932" s="1514" t="s">
        <v>11703</v>
      </c>
      <c r="I932" s="1515" t="s">
        <v>64</v>
      </c>
      <c r="J932" s="1516" t="str">
        <f>CONCATENATE(C932,".",D932,".",E932)</f>
        <v>6.6.5</v>
      </c>
      <c r="K932" s="1516" t="s">
        <v>12683</v>
      </c>
      <c r="L932" s="1517" t="s">
        <v>25</v>
      </c>
      <c r="M932" s="1518" t="s">
        <v>11704</v>
      </c>
      <c r="N932" s="398" t="s">
        <v>11705</v>
      </c>
      <c r="O932" s="207" t="s">
        <v>11706</v>
      </c>
      <c r="P932" s="208" t="s">
        <v>27</v>
      </c>
      <c r="Q932" s="1472" t="s">
        <v>11704</v>
      </c>
    </row>
    <row r="933" spans="1:17">
      <c r="A933" s="1482"/>
      <c r="B933" s="1482"/>
      <c r="C933" s="1483">
        <f t="shared" si="163"/>
        <v>6</v>
      </c>
      <c r="D933" s="1492">
        <f t="shared" si="168"/>
        <v>6</v>
      </c>
      <c r="E933" s="1492">
        <f t="shared" si="169"/>
        <v>5</v>
      </c>
      <c r="F933" s="1484" t="s">
        <v>11708</v>
      </c>
      <c r="H933" s="1095"/>
      <c r="I933" s="780"/>
      <c r="J933" s="834"/>
      <c r="K933" s="780"/>
      <c r="L933" s="780"/>
      <c r="M933" s="1270"/>
      <c r="N933" s="400"/>
      <c r="O933" s="122"/>
      <c r="P933" s="123"/>
    </row>
    <row r="934" spans="1:17" ht="45">
      <c r="A934" s="1482"/>
      <c r="B934" s="1482"/>
      <c r="C934" s="1483">
        <f t="shared" si="163"/>
        <v>6</v>
      </c>
      <c r="D934" s="1492">
        <f t="shared" si="164"/>
        <v>6</v>
      </c>
      <c r="E934" s="1492">
        <f t="shared" si="165"/>
        <v>5</v>
      </c>
      <c r="F934" s="1484" t="s">
        <v>11708</v>
      </c>
      <c r="G934" s="862" t="s">
        <v>12329</v>
      </c>
      <c r="H934" s="823" t="str">
        <f>VLOOKUP(G934,BIOGAS!A:M,2,0)</f>
        <v>Saneago</v>
      </c>
      <c r="I934" s="700">
        <f>VLOOKUP(G934,BIOGAS!A:M,3,0)</f>
        <v>862</v>
      </c>
      <c r="J934" s="824"/>
      <c r="K934" s="790" t="str">
        <f>(IF(H934="Saneago",VLOOKUP(I934,'SANEAGO-FEV.2016'!A:B,2,0),IF(H934="Sinapi",VLOOKUP(I934,'SINAPI-FEV.2017'!A:D,2,0),IF(H934="Cotação",VLOOKUP(I934,COTAÇÃO!A:D,2,0),IF(H934="Composição",VLOOKUP(I934,COMPOSIÇÃO!A:D,2,0))))))</f>
        <v>GUARDA-CORPO DE TUBO INDUSTRIAL  1.1/2" (40 MM) CHAPA 13;  H=1,0 M, C/ TELA ARTÍSTICA   3 X 3 FIO 12, PERFIL  U  DIM.  19,05  X 19,05  X 3,17  MM,  BARRA  RETANGULAR  DIM  9,52  X 6,35  MM,  FIXADA  EM  CHAPA METÁLICA DIM: 0,20 X 0,10 X 0,05 CM, C/ INJENÇÃO DE SILICONE,</v>
      </c>
      <c r="L934" s="700" t="str">
        <f>(IF(H934="Saneago",VLOOKUP(I934,'SANEAGO-FEV.2016'!A:D,3,0),IF(H934="Sinapi",VLOOKUP(I934,'SINAPI-FEV.2017'!A:D,3,0),IF(H934="Cotação",VLOOKUP(I934,COTAÇÃO!A:D,3,0),IF(H934="Composição",VLOOKUP(I934,COMPOSIÇÃO!A:D,3,0))))))</f>
        <v>M</v>
      </c>
      <c r="M934" s="870">
        <f>ROUND(VLOOKUP(G934,BIOGAS!A:M,13,0),2)</f>
        <v>3.6</v>
      </c>
      <c r="N934" s="399">
        <v>0</v>
      </c>
      <c r="O934" s="102">
        <f t="shared" ref="O934:O939" si="170">ROUND(IF(F934="Serviços",N934*(1+$O$7),IF(F934="Materiais",N934*(1+$O$8))),2)</f>
        <v>0</v>
      </c>
      <c r="P934" s="101">
        <f t="shared" ref="P934:P939" si="171">ROUND(M934*O934,2)</f>
        <v>0</v>
      </c>
      <c r="Q934" s="1472">
        <v>3.6</v>
      </c>
    </row>
    <row r="935" spans="1:17">
      <c r="A935" s="1482"/>
      <c r="B935" s="1482"/>
      <c r="C935" s="1483">
        <f t="shared" si="163"/>
        <v>6</v>
      </c>
      <c r="D935" s="1492">
        <f t="shared" si="164"/>
        <v>6</v>
      </c>
      <c r="E935" s="1492">
        <f t="shared" si="165"/>
        <v>5</v>
      </c>
      <c r="F935" s="1484" t="s">
        <v>11708</v>
      </c>
      <c r="G935" s="862" t="s">
        <v>12346</v>
      </c>
      <c r="H935" s="823" t="str">
        <f>VLOOKUP(G935,BIOGAS!A:M,2,0)</f>
        <v>Composição</v>
      </c>
      <c r="I935" s="700" t="str">
        <f>VLOOKUP(G935,BIOGAS!A:M,3,0)</f>
        <v>CP_SUPORTE.CARVÃO</v>
      </c>
      <c r="J935" s="824"/>
      <c r="K935" s="790" t="str">
        <f>(IF(H935="Saneago",VLOOKUP(I935,'SANEAGO-FEV.2016'!A:B,2,0),IF(H935="Sinapi",VLOOKUP(I935,'SINAPI-FEV.2017'!A:D,2,0),IF(H935="Cotação",VLOOKUP(I935,COTAÇÃO!A:D,2,0),IF(H935="Composição",VLOOKUP(I935,COMPOSIÇÃO!A:D,2,0))))))</f>
        <v>SUPORTE METÁLICO DO CARVÃO VEGETAL</v>
      </c>
      <c r="L935" s="700" t="str">
        <f>(IF(H935="Saneago",VLOOKUP(I935,'SANEAGO-FEV.2016'!A:D,3,0),IF(H935="Sinapi",VLOOKUP(I935,'SINAPI-FEV.2017'!A:D,3,0),IF(H935="Cotação",VLOOKUP(I935,COTAÇÃO!A:D,3,0),IF(H935="Composição",VLOOKUP(I935,COMPOSIÇÃO!A:D,3,0))))))</f>
        <v>um.</v>
      </c>
      <c r="M935" s="870">
        <f>ROUND(VLOOKUP(G935,BIOGAS!A:M,13,0),2)</f>
        <v>1</v>
      </c>
      <c r="N935" s="399">
        <v>0</v>
      </c>
      <c r="O935" s="102">
        <f t="shared" si="170"/>
        <v>0</v>
      </c>
      <c r="P935" s="101">
        <f t="shared" si="171"/>
        <v>0</v>
      </c>
      <c r="Q935" s="1472">
        <v>1</v>
      </c>
    </row>
    <row r="936" spans="1:17">
      <c r="A936" s="1482"/>
      <c r="B936" s="1482"/>
      <c r="C936" s="1483">
        <f t="shared" si="163"/>
        <v>6</v>
      </c>
      <c r="D936" s="1492">
        <f t="shared" si="164"/>
        <v>6</v>
      </c>
      <c r="E936" s="1492">
        <f t="shared" si="165"/>
        <v>5</v>
      </c>
      <c r="F936" s="1484" t="s">
        <v>11708</v>
      </c>
      <c r="G936" s="862" t="s">
        <v>12347</v>
      </c>
      <c r="H936" s="823" t="str">
        <f>VLOOKUP(G936,BIOGAS!A:M,2,0)</f>
        <v>COTAÇÃO</v>
      </c>
      <c r="I936" s="700" t="str">
        <f>VLOOKUP(G936,BIOGAS!A:M,3,0)</f>
        <v>CP_GRADE.PISO</v>
      </c>
      <c r="J936" s="824"/>
      <c r="K936" s="790" t="str">
        <f>(IF(H936="Saneago",VLOOKUP(I936,'SANEAGO-FEV.2016'!A:B,2,0),IF(H936="Sinapi",VLOOKUP(I936,'SINAPI-FEV.2017'!A:D,2,0),IF(H936="Cotação",VLOOKUP(I936,COTAÇÃO!A:D,2,0),IF(H936="Composição",VLOOKUP(I936,COMPOSIÇÃO!A:D,2,0))))))</f>
        <v>Grade em fibra de vidro</v>
      </c>
      <c r="L936" s="700" t="str">
        <f>(IF(H936="Saneago",VLOOKUP(I936,'SANEAGO-FEV.2016'!A:D,3,0),IF(H936="Sinapi",VLOOKUP(I936,'SINAPI-FEV.2017'!A:D,3,0),IF(H936="Cotação",VLOOKUP(I936,COTAÇÃO!A:D,3,0),IF(H936="Composição",VLOOKUP(I936,COMPOSIÇÃO!A:D,3,0))))))</f>
        <v>m²</v>
      </c>
      <c r="M936" s="870">
        <f>ROUND(VLOOKUP(G936,BIOGAS!A:M,13,0),2)</f>
        <v>4.05</v>
      </c>
      <c r="N936" s="399">
        <v>0</v>
      </c>
      <c r="O936" s="102">
        <f t="shared" si="170"/>
        <v>0</v>
      </c>
      <c r="P936" s="101">
        <f t="shared" si="171"/>
        <v>0</v>
      </c>
      <c r="Q936" s="1472">
        <v>4.05</v>
      </c>
    </row>
    <row r="937" spans="1:17" ht="33.75">
      <c r="A937" s="1482"/>
      <c r="B937" s="1482"/>
      <c r="C937" s="1483">
        <f t="shared" si="163"/>
        <v>6</v>
      </c>
      <c r="D937" s="1492">
        <f t="shared" si="164"/>
        <v>6</v>
      </c>
      <c r="E937" s="1492">
        <f t="shared" si="165"/>
        <v>5</v>
      </c>
      <c r="F937" s="1484" t="s">
        <v>11708</v>
      </c>
      <c r="G937" s="862" t="s">
        <v>12348</v>
      </c>
      <c r="H937" s="823" t="str">
        <f>VLOOKUP(G937,BIOGAS!A:M,2,0)</f>
        <v>Sinapi</v>
      </c>
      <c r="I937" s="700">
        <f>VLOOKUP(G937,BIOGAS!A:M,3,0)</f>
        <v>38968</v>
      </c>
      <c r="J937" s="824"/>
      <c r="K937" s="790" t="str">
        <f>(IF(H937="Saneago",VLOOKUP(I937,'SANEAGO-FEV.2016'!A:B,2,0),IF(H937="Sinapi",VLOOKUP(I937,'SINAPI-FEV.2017'!A:D,2,0),IF(H937="Cotação",VLOOKUP(I937,COTAÇÃO!A:D,2,0),IF(H937="Composição",VLOOKUP(I937,COMPOSIÇÃO!A:D,2,0))))))</f>
        <v>GRADIL *1320 X 2170* MM (A X L) EM BARRA DE ACO CHATA *25 MM X 2* MM, ENTRELACADA COM BARRA ACO REDONDA *5* MM, MALHA *65 X 132* MM, GALVANIZADO E PINTURA ELETROSTATICA, COR PRETO</v>
      </c>
      <c r="L937" s="700" t="str">
        <f>(IF(H937="Saneago",VLOOKUP(I937,'SANEAGO-FEV.2016'!A:D,3,0),IF(H937="Sinapi",VLOOKUP(I937,'SINAPI-FEV.2017'!A:D,3,0),IF(H937="Cotação",VLOOKUP(I937,COTAÇÃO!A:D,3,0),IF(H937="Composição",VLOOKUP(I937,COMPOSIÇÃO!A:D,3,0))))))</f>
        <v>M2</v>
      </c>
      <c r="M937" s="870">
        <f>ROUND(VLOOKUP(G937,BIOGAS!A:M,13,0),2)</f>
        <v>121</v>
      </c>
      <c r="N937" s="399">
        <v>0</v>
      </c>
      <c r="O937" s="102">
        <f t="shared" si="170"/>
        <v>0</v>
      </c>
      <c r="P937" s="101">
        <f t="shared" si="171"/>
        <v>0</v>
      </c>
      <c r="Q937" s="1472">
        <v>121</v>
      </c>
    </row>
    <row r="938" spans="1:17">
      <c r="A938" s="1482"/>
      <c r="B938" s="1482"/>
      <c r="C938" s="1483">
        <f t="shared" si="163"/>
        <v>6</v>
      </c>
      <c r="D938" s="1492">
        <f t="shared" si="164"/>
        <v>6</v>
      </c>
      <c r="E938" s="1492">
        <f t="shared" si="165"/>
        <v>5</v>
      </c>
      <c r="F938" s="1484" t="s">
        <v>11708</v>
      </c>
      <c r="G938" s="862" t="s">
        <v>12403</v>
      </c>
      <c r="H938" s="823" t="str">
        <f>VLOOKUP(G938,BIOGAS!A:M,2,0)</f>
        <v>Saneago</v>
      </c>
      <c r="I938" s="700">
        <f>VLOOKUP(G938,BIOGAS!A:M,3,0)</f>
        <v>1495</v>
      </c>
      <c r="J938" s="824"/>
      <c r="K938" s="790" t="str">
        <f>(IF(H938="Saneago",VLOOKUP(I938,'SANEAGO-FEV.2016'!A:B,2,0),IF(H938="Sinapi",VLOOKUP(I938,'SINAPI-FEV.2017'!A:D,2,0),IF(H938="Cotação",VLOOKUP(I938,COTAÇÃO!A:D,2,0),IF(H938="Composição",VLOOKUP(I938,COMPOSIÇÃO!A:D,2,0))))))</f>
        <v>PORTÃO METÁLICO  PADRÃO SANEAGO PARA CERCA TIPO A:1,00 X 1,80 M</v>
      </c>
      <c r="L938" s="700" t="str">
        <f>(IF(H938="Saneago",VLOOKUP(I938,'SANEAGO-FEV.2016'!A:D,3,0),IF(H938="Sinapi",VLOOKUP(I938,'SINAPI-FEV.2017'!A:D,3,0),IF(H938="Cotação",VLOOKUP(I938,COTAÇÃO!A:D,3,0),IF(H938="Composição",VLOOKUP(I938,COMPOSIÇÃO!A:D,3,0))))))</f>
        <v>UN</v>
      </c>
      <c r="M938" s="870">
        <f>ROUND(VLOOKUP(G938,BIOGAS!A:M,13,0),2)</f>
        <v>1</v>
      </c>
      <c r="N938" s="399">
        <v>0</v>
      </c>
      <c r="O938" s="102">
        <f t="shared" si="170"/>
        <v>0</v>
      </c>
      <c r="P938" s="101">
        <f t="shared" si="171"/>
        <v>0</v>
      </c>
      <c r="Q938" s="1472">
        <v>1</v>
      </c>
    </row>
    <row r="939" spans="1:17" ht="22.5">
      <c r="A939" s="1482"/>
      <c r="B939" s="1482"/>
      <c r="C939" s="1483">
        <f t="shared" si="163"/>
        <v>6</v>
      </c>
      <c r="D939" s="1492">
        <f t="shared" si="164"/>
        <v>6</v>
      </c>
      <c r="E939" s="1492">
        <f t="shared" si="165"/>
        <v>5</v>
      </c>
      <c r="F939" s="1484" t="s">
        <v>11708</v>
      </c>
      <c r="G939" s="862" t="s">
        <v>12404</v>
      </c>
      <c r="H939" s="823" t="str">
        <f>VLOOKUP(G939,BIOGAS!A:M,2,0)</f>
        <v>Sinapi</v>
      </c>
      <c r="I939" s="700">
        <f>VLOOKUP(G939,BIOGAS!A:M,3,0)</f>
        <v>83623</v>
      </c>
      <c r="J939" s="824"/>
      <c r="K939" s="790" t="str">
        <f>(IF(H939="Saneago",VLOOKUP(I939,'SANEAGO-FEV.2016'!A:B,2,0),IF(H939="Sinapi",VLOOKUP(I939,'SINAPI-FEV.2017'!A:D,2,0),IF(H939="Cotação",VLOOKUP(I939,COTAÇÃO!A:D,2,0),IF(H939="Composição",VLOOKUP(I939,COMPOSIÇÃO!A:D,2,0))))))</f>
        <v>GRELHA DE FERRO FUNDIDO PARA CANALETA LARG = 30CM, FORNECIMENTO E ASSENTAMENTO</v>
      </c>
      <c r="L939" s="700" t="str">
        <f>(IF(H939="Saneago",VLOOKUP(I939,'SANEAGO-FEV.2016'!A:D,3,0),IF(H939="Sinapi",VLOOKUP(I939,'SINAPI-FEV.2017'!A:D,3,0),IF(H939="Cotação",VLOOKUP(I939,COTAÇÃO!A:D,3,0),IF(H939="Composição",VLOOKUP(I939,COMPOSIÇÃO!A:D,3,0))))))</f>
        <v>M</v>
      </c>
      <c r="M939" s="870">
        <f>ROUND(VLOOKUP(G939,BIOGAS!A:M,13,0),2)</f>
        <v>0.4</v>
      </c>
      <c r="N939" s="399">
        <v>0</v>
      </c>
      <c r="O939" s="102">
        <f t="shared" si="170"/>
        <v>0</v>
      </c>
      <c r="P939" s="101">
        <f t="shared" si="171"/>
        <v>0</v>
      </c>
      <c r="Q939" s="1472">
        <v>0.4</v>
      </c>
    </row>
    <row r="940" spans="1:17" ht="15.75" thickBot="1">
      <c r="A940" s="1482"/>
      <c r="B940" s="1482"/>
      <c r="C940" s="1483">
        <f t="shared" si="163"/>
        <v>6</v>
      </c>
      <c r="D940" s="1492">
        <f t="shared" si="164"/>
        <v>6</v>
      </c>
      <c r="E940" s="1492">
        <f t="shared" si="165"/>
        <v>5</v>
      </c>
      <c r="F940" s="1484" t="s">
        <v>11708</v>
      </c>
      <c r="G940" s="862"/>
      <c r="H940" s="1095"/>
      <c r="I940" s="780"/>
      <c r="J940" s="834"/>
      <c r="K940" s="780"/>
      <c r="L940" s="780"/>
      <c r="M940" s="1270"/>
      <c r="N940" s="400"/>
      <c r="O940" s="122"/>
      <c r="P940" s="123"/>
    </row>
    <row r="941" spans="1:17" ht="16.5" customHeight="1" thickTop="1" thickBot="1">
      <c r="A941" s="1482"/>
      <c r="B941" s="1482"/>
      <c r="C941" s="1483">
        <f t="shared" si="163"/>
        <v>6</v>
      </c>
      <c r="D941" s="1492">
        <f t="shared" si="164"/>
        <v>6</v>
      </c>
      <c r="E941" s="1492">
        <f t="shared" si="165"/>
        <v>5</v>
      </c>
      <c r="F941" s="1484" t="s">
        <v>11708</v>
      </c>
      <c r="G941" s="862"/>
      <c r="H941" s="1653" t="str">
        <f>"TOTAL ITEM: "&amp;J932 &amp;K932</f>
        <v>TOTAL ITEM: 6.6.5 ESTRUTURAS METÁLICAS</v>
      </c>
      <c r="I941" s="1654"/>
      <c r="J941" s="1654"/>
      <c r="K941" s="1654"/>
      <c r="L941" s="1654"/>
      <c r="M941" s="1654"/>
      <c r="N941" s="1654"/>
      <c r="O941" s="1654"/>
      <c r="P941" s="210">
        <f>SUBTOTAL(9,P934:P939)</f>
        <v>0</v>
      </c>
    </row>
    <row r="942" spans="1:17" ht="15.75" thickTop="1">
      <c r="A942" s="1482"/>
      <c r="B942" s="1482"/>
      <c r="C942" s="1483">
        <f t="shared" si="163"/>
        <v>6</v>
      </c>
      <c r="D942" s="1492">
        <f t="shared" si="164"/>
        <v>6</v>
      </c>
      <c r="E942" s="1492">
        <f t="shared" si="165"/>
        <v>5</v>
      </c>
      <c r="F942" s="1484" t="s">
        <v>11708</v>
      </c>
      <c r="G942" s="862"/>
      <c r="H942" s="1095"/>
      <c r="I942" s="780"/>
      <c r="J942" s="834"/>
      <c r="K942" s="780"/>
      <c r="L942" s="780"/>
      <c r="M942" s="1270"/>
      <c r="N942" s="400"/>
      <c r="O942" s="122"/>
      <c r="P942" s="123"/>
    </row>
    <row r="943" spans="1:17">
      <c r="A943" s="1482"/>
      <c r="B943" s="1482">
        <v>1</v>
      </c>
      <c r="C943" s="1483">
        <f t="shared" si="163"/>
        <v>6</v>
      </c>
      <c r="D943" s="1492">
        <f t="shared" si="164"/>
        <v>6</v>
      </c>
      <c r="E943" s="1492">
        <f t="shared" si="165"/>
        <v>6</v>
      </c>
      <c r="F943" s="1484" t="s">
        <v>11708</v>
      </c>
      <c r="G943" s="862"/>
      <c r="H943" s="1514" t="s">
        <v>11703</v>
      </c>
      <c r="I943" s="1515" t="s">
        <v>64</v>
      </c>
      <c r="J943" s="1516" t="str">
        <f>CONCATENATE(C943,".",D943,".",E943)</f>
        <v>6.6.6</v>
      </c>
      <c r="K943" s="1516" t="s">
        <v>11739</v>
      </c>
      <c r="L943" s="1517" t="s">
        <v>25</v>
      </c>
      <c r="M943" s="1518" t="s">
        <v>11704</v>
      </c>
      <c r="N943" s="398" t="s">
        <v>11705</v>
      </c>
      <c r="O943" s="207" t="s">
        <v>11706</v>
      </c>
      <c r="P943" s="208" t="s">
        <v>27</v>
      </c>
      <c r="Q943" s="1472" t="s">
        <v>11704</v>
      </c>
    </row>
    <row r="944" spans="1:17">
      <c r="A944" s="1482"/>
      <c r="B944" s="1482"/>
      <c r="C944" s="1483">
        <f t="shared" si="163"/>
        <v>6</v>
      </c>
      <c r="D944" s="1492">
        <f t="shared" si="164"/>
        <v>6</v>
      </c>
      <c r="E944" s="1492">
        <f t="shared" si="165"/>
        <v>6</v>
      </c>
      <c r="F944" s="1484" t="s">
        <v>11708</v>
      </c>
      <c r="G944" s="959"/>
      <c r="H944" s="1095"/>
      <c r="I944" s="780"/>
      <c r="J944" s="834"/>
      <c r="K944" s="780"/>
      <c r="L944" s="780"/>
      <c r="M944" s="1270"/>
      <c r="N944" s="400"/>
      <c r="O944" s="122"/>
      <c r="P944" s="123"/>
    </row>
    <row r="945" spans="1:17" ht="45">
      <c r="A945" s="1482"/>
      <c r="B945" s="1482"/>
      <c r="C945" s="1483">
        <f t="shared" si="163"/>
        <v>6</v>
      </c>
      <c r="D945" s="1492">
        <f t="shared" si="164"/>
        <v>6</v>
      </c>
      <c r="E945" s="1492">
        <f t="shared" si="165"/>
        <v>6</v>
      </c>
      <c r="F945" s="1484" t="s">
        <v>11708</v>
      </c>
      <c r="G945" s="862" t="s">
        <v>12351</v>
      </c>
      <c r="H945" s="823" t="str">
        <f>VLOOKUP(G945,BIOGAS!A:M,2,0)</f>
        <v>Sinapi</v>
      </c>
      <c r="I945" s="700">
        <f>VLOOKUP(G945,BIOGAS!A:M,3,0)</f>
        <v>87467</v>
      </c>
      <c r="J945" s="824"/>
      <c r="K945" s="790" t="str">
        <f>(IF(H945="Saneago",VLOOKUP(I945,'SANEAGO-FEV.2016'!A:B,2,0),IF(H945="Sinapi",VLOOKUP(I945,'SINAPI-FEV.2017'!A:D,2,0),IF(H945="Cotação",VLOOKUP(I945,COTAÇÃO!A:D,2,0),IF(H945="Composição",VLOOKUP(I945,COMPOSIÇÃO!A:D,2,0))))))</f>
        <v>ALVENARIA DE VEDAÇÃO DE BLOCOS VAZADOS DE CONCRETO DE 14X19X39CM (ESPESSURA 14CM) DE PAREDES COM ÁREA LÍQUIDA MAIOR OU IGUAL A 6M² COM VÃOS E ARGAMASSA DE ASSENTAMENTO COM PREPARO EM BETONEIRA. AF_06/2014</v>
      </c>
      <c r="L945" s="700" t="str">
        <f>(IF(H945="Saneago",VLOOKUP(I945,'SANEAGO-FEV.2016'!A:D,3,0),IF(H945="Sinapi",VLOOKUP(I945,'SINAPI-FEV.2017'!A:D,3,0),IF(H945="Cotação",VLOOKUP(I945,COTAÇÃO!A:D,3,0),IF(H945="Composição",VLOOKUP(I945,COMPOSIÇÃO!A:D,3,0))))))</f>
        <v>M2</v>
      </c>
      <c r="M945" s="870">
        <f>ROUND(VLOOKUP(G945,BIOGAS!A:M,13,0),2)</f>
        <v>25.97</v>
      </c>
      <c r="N945" s="399">
        <v>0</v>
      </c>
      <c r="O945" s="102">
        <f>ROUND(IF(F945="Serviços",N945*(1+$O$7),IF(F945="Materiais",N945*(1+$O$8))),2)</f>
        <v>0</v>
      </c>
      <c r="P945" s="101">
        <f>ROUND(M945*O945,2)</f>
        <v>0</v>
      </c>
      <c r="Q945" s="1472">
        <v>25.97</v>
      </c>
    </row>
    <row r="946" spans="1:17" ht="15.75" thickBot="1">
      <c r="A946" s="1482"/>
      <c r="B946" s="1482"/>
      <c r="C946" s="1483">
        <f t="shared" si="163"/>
        <v>6</v>
      </c>
      <c r="D946" s="1492">
        <f t="shared" si="164"/>
        <v>6</v>
      </c>
      <c r="E946" s="1492">
        <f t="shared" si="165"/>
        <v>6</v>
      </c>
      <c r="F946" s="1484" t="s">
        <v>11708</v>
      </c>
      <c r="H946" s="1095"/>
      <c r="I946" s="780"/>
      <c r="J946" s="834"/>
      <c r="K946" s="780"/>
      <c r="L946" s="780"/>
      <c r="M946" s="1270"/>
      <c r="N946" s="400"/>
      <c r="O946" s="122"/>
      <c r="P946" s="123"/>
    </row>
    <row r="947" spans="1:17" ht="16.5" customHeight="1" thickTop="1" thickBot="1">
      <c r="A947" s="1482"/>
      <c r="B947" s="1482"/>
      <c r="C947" s="1483">
        <f t="shared" si="163"/>
        <v>6</v>
      </c>
      <c r="D947" s="1492">
        <f t="shared" si="164"/>
        <v>6</v>
      </c>
      <c r="E947" s="1492">
        <f t="shared" si="165"/>
        <v>6</v>
      </c>
      <c r="F947" s="1484" t="s">
        <v>11708</v>
      </c>
      <c r="G947" s="959"/>
      <c r="H947" s="1653" t="str">
        <f>"TOTAL ITEM: "&amp;J943 &amp;K943</f>
        <v>TOTAL ITEM: 6.6.6 ALVENARIAS</v>
      </c>
      <c r="I947" s="1654"/>
      <c r="J947" s="1654"/>
      <c r="K947" s="1654"/>
      <c r="L947" s="1654"/>
      <c r="M947" s="1654"/>
      <c r="N947" s="1654"/>
      <c r="O947" s="1654"/>
      <c r="P947" s="210">
        <f>SUBTOTAL(9,P945:P945)</f>
        <v>0</v>
      </c>
    </row>
    <row r="948" spans="1:17" ht="15.75" thickTop="1">
      <c r="A948" s="1482"/>
      <c r="B948" s="1482"/>
      <c r="C948" s="1483">
        <f t="shared" si="163"/>
        <v>6</v>
      </c>
      <c r="D948" s="1492">
        <f t="shared" si="164"/>
        <v>6</v>
      </c>
      <c r="E948" s="1492">
        <f t="shared" si="165"/>
        <v>6</v>
      </c>
      <c r="F948" s="1484" t="s">
        <v>11708</v>
      </c>
      <c r="G948" s="959"/>
      <c r="H948" s="1095"/>
      <c r="I948" s="780"/>
      <c r="J948" s="834"/>
      <c r="K948" s="780"/>
      <c r="L948" s="780"/>
      <c r="M948" s="1270"/>
      <c r="N948" s="400"/>
      <c r="O948" s="122"/>
      <c r="P948" s="123"/>
    </row>
    <row r="949" spans="1:17">
      <c r="A949" s="1482"/>
      <c r="B949" s="1482">
        <v>1</v>
      </c>
      <c r="C949" s="1483">
        <f t="shared" si="163"/>
        <v>6</v>
      </c>
      <c r="D949" s="1492">
        <f t="shared" si="164"/>
        <v>6</v>
      </c>
      <c r="E949" s="1492">
        <f t="shared" si="165"/>
        <v>7</v>
      </c>
      <c r="F949" s="1484" t="s">
        <v>11708</v>
      </c>
      <c r="H949" s="1514" t="s">
        <v>11703</v>
      </c>
      <c r="I949" s="1515" t="s">
        <v>64</v>
      </c>
      <c r="J949" s="1516" t="str">
        <f>CONCATENATE(C949,".",D949,".",E949)</f>
        <v>6.6.7</v>
      </c>
      <c r="K949" s="1516" t="s">
        <v>11715</v>
      </c>
      <c r="L949" s="1517" t="s">
        <v>25</v>
      </c>
      <c r="M949" s="1518" t="s">
        <v>11704</v>
      </c>
      <c r="N949" s="398" t="s">
        <v>11705</v>
      </c>
      <c r="O949" s="207" t="s">
        <v>11706</v>
      </c>
      <c r="P949" s="208" t="s">
        <v>27</v>
      </c>
      <c r="Q949" s="1472" t="s">
        <v>11704</v>
      </c>
    </row>
    <row r="950" spans="1:17">
      <c r="A950" s="1482"/>
      <c r="B950" s="1482"/>
      <c r="C950" s="1483">
        <f t="shared" si="163"/>
        <v>6</v>
      </c>
      <c r="D950" s="1492">
        <f t="shared" si="164"/>
        <v>6</v>
      </c>
      <c r="E950" s="1492">
        <f t="shared" si="165"/>
        <v>7</v>
      </c>
      <c r="F950" s="1484" t="s">
        <v>11708</v>
      </c>
      <c r="G950" s="959"/>
      <c r="H950" s="1095"/>
      <c r="I950" s="780"/>
      <c r="J950" s="834"/>
      <c r="K950" s="780"/>
      <c r="L950" s="780"/>
      <c r="M950" s="1270"/>
      <c r="N950" s="400"/>
      <c r="O950" s="122"/>
      <c r="P950" s="123"/>
    </row>
    <row r="951" spans="1:17" ht="22.5">
      <c r="A951" s="1482"/>
      <c r="B951" s="1482"/>
      <c r="C951" s="1483">
        <f t="shared" si="163"/>
        <v>6</v>
      </c>
      <c r="D951" s="1492">
        <f t="shared" si="164"/>
        <v>6</v>
      </c>
      <c r="E951" s="1492">
        <f t="shared" si="165"/>
        <v>7</v>
      </c>
      <c r="F951" s="1484" t="s">
        <v>11708</v>
      </c>
      <c r="G951" s="862" t="s">
        <v>12330</v>
      </c>
      <c r="H951" s="823" t="str">
        <f>VLOOKUP(G951,BIOGAS!A:M,2,0)</f>
        <v>Sinapi</v>
      </c>
      <c r="I951" s="700">
        <f>VLOOKUP(G951,BIOGAS!A:M,3,0)</f>
        <v>88489</v>
      </c>
      <c r="J951" s="824"/>
      <c r="K951" s="790" t="str">
        <f>(IF(H951="Saneago",VLOOKUP(I951,'SANEAGO-FEV.2016'!A:B,2,0),IF(H951="Sinapi",VLOOKUP(I951,'SINAPI-FEV.2017'!A:D,2,0),IF(H951="Cotação",VLOOKUP(I951,COTAÇÃO!A:D,2,0),IF(H951="Composição",VLOOKUP(I951,COMPOSIÇÃO!A:D,2,0))))))</f>
        <v>APLICAÇÃO MANUAL DE PINTURA COM TINTA LÁTEX ACRÍLICA EM PAREDES, DUAS DEMÃOS. AF_06/2014</v>
      </c>
      <c r="L951" s="700" t="str">
        <f>(IF(H951="Saneago",VLOOKUP(I951,'SANEAGO-FEV.2016'!A:D,3,0),IF(H951="Sinapi",VLOOKUP(I951,'SINAPI-FEV.2017'!A:D,3,0),IF(H951="Cotação",VLOOKUP(I951,COTAÇÃO!A:D,3,0),IF(H951="Composição",VLOOKUP(I951,COMPOSIÇÃO!A:D,3,0))))))</f>
        <v>M2</v>
      </c>
      <c r="M951" s="870">
        <f>ROUND(VLOOKUP(G951,BIOGAS!A:M,13,0),2)</f>
        <v>25.97</v>
      </c>
      <c r="N951" s="399">
        <v>0</v>
      </c>
      <c r="O951" s="102">
        <f>ROUND(IF(F951="Serviços",N951*(1+$O$7),IF(F951="Materiais",N951*(1+$O$8))),2)</f>
        <v>0</v>
      </c>
      <c r="P951" s="101">
        <f>ROUND(M951*O951,2)</f>
        <v>0</v>
      </c>
      <c r="Q951" s="1472">
        <v>25.97</v>
      </c>
    </row>
    <row r="952" spans="1:17" ht="15.75" thickBot="1">
      <c r="A952" s="1482"/>
      <c r="B952" s="1482"/>
      <c r="C952" s="1483">
        <f t="shared" si="163"/>
        <v>6</v>
      </c>
      <c r="D952" s="1492">
        <f t="shared" si="164"/>
        <v>6</v>
      </c>
      <c r="E952" s="1492">
        <f t="shared" si="165"/>
        <v>7</v>
      </c>
      <c r="F952" s="1484" t="s">
        <v>11708</v>
      </c>
      <c r="H952" s="1095"/>
      <c r="I952" s="780"/>
      <c r="J952" s="834"/>
      <c r="K952" s="780"/>
      <c r="L952" s="780"/>
      <c r="M952" s="1270"/>
      <c r="N952" s="400"/>
      <c r="O952" s="122"/>
      <c r="P952" s="123"/>
    </row>
    <row r="953" spans="1:17" ht="16.5" customHeight="1" thickTop="1" thickBot="1">
      <c r="A953" s="1482"/>
      <c r="B953" s="1482"/>
      <c r="C953" s="1483">
        <f t="shared" si="163"/>
        <v>6</v>
      </c>
      <c r="D953" s="1492">
        <f t="shared" si="164"/>
        <v>6</v>
      </c>
      <c r="E953" s="1492">
        <f t="shared" si="165"/>
        <v>7</v>
      </c>
      <c r="F953" s="1484" t="s">
        <v>11708</v>
      </c>
      <c r="G953" s="959"/>
      <c r="H953" s="1653" t="str">
        <f>"TOTAL ITEM: "&amp;J949 &amp;K949</f>
        <v>TOTAL ITEM: 6.6.7 REVESTIMENTOS E PINTURAS</v>
      </c>
      <c r="I953" s="1654"/>
      <c r="J953" s="1654"/>
      <c r="K953" s="1654"/>
      <c r="L953" s="1654"/>
      <c r="M953" s="1654"/>
      <c r="N953" s="1654"/>
      <c r="O953" s="1654"/>
      <c r="P953" s="210">
        <f>SUBTOTAL(9,P951:P951)</f>
        <v>0</v>
      </c>
    </row>
    <row r="954" spans="1:17" ht="15.75" thickTop="1">
      <c r="A954" s="1482"/>
      <c r="B954" s="1482"/>
      <c r="C954" s="1483">
        <f t="shared" si="163"/>
        <v>6</v>
      </c>
      <c r="D954" s="1492">
        <f t="shared" si="164"/>
        <v>6</v>
      </c>
      <c r="E954" s="1492">
        <f t="shared" si="165"/>
        <v>7</v>
      </c>
      <c r="F954" s="1484" t="s">
        <v>11708</v>
      </c>
      <c r="G954" s="959"/>
      <c r="H954" s="929"/>
      <c r="I954" s="1371"/>
      <c r="J954" s="1022"/>
      <c r="K954" s="1371"/>
      <c r="L954" s="1371"/>
      <c r="M954" s="1536"/>
      <c r="N954" s="394"/>
      <c r="O954" s="728"/>
      <c r="P954" s="95"/>
    </row>
    <row r="955" spans="1:17">
      <c r="A955" s="1482"/>
      <c r="B955" s="1482">
        <v>1</v>
      </c>
      <c r="C955" s="1483">
        <f t="shared" si="163"/>
        <v>6</v>
      </c>
      <c r="D955" s="1492">
        <f t="shared" si="164"/>
        <v>6</v>
      </c>
      <c r="E955" s="1492">
        <f t="shared" si="165"/>
        <v>8</v>
      </c>
      <c r="F955" s="1484" t="s">
        <v>11708</v>
      </c>
      <c r="H955" s="1514" t="s">
        <v>11703</v>
      </c>
      <c r="I955" s="1515" t="s">
        <v>64</v>
      </c>
      <c r="J955" s="1516" t="str">
        <f>CONCATENATE(C955,".",D955,".",E955)</f>
        <v>6.6.8</v>
      </c>
      <c r="K955" s="1516" t="s">
        <v>20203</v>
      </c>
      <c r="L955" s="1517" t="s">
        <v>25</v>
      </c>
      <c r="M955" s="1518" t="s">
        <v>11704</v>
      </c>
      <c r="N955" s="398" t="s">
        <v>11705</v>
      </c>
      <c r="O955" s="207" t="s">
        <v>11706</v>
      </c>
      <c r="P955" s="208" t="s">
        <v>27</v>
      </c>
      <c r="Q955" s="1472" t="s">
        <v>11704</v>
      </c>
    </row>
    <row r="956" spans="1:17">
      <c r="A956" s="1482"/>
      <c r="B956" s="1482"/>
      <c r="C956" s="1483">
        <f t="shared" si="163"/>
        <v>6</v>
      </c>
      <c r="D956" s="1492">
        <f t="shared" si="164"/>
        <v>6</v>
      </c>
      <c r="E956" s="1492">
        <f t="shared" si="165"/>
        <v>8</v>
      </c>
      <c r="F956" s="1484" t="s">
        <v>11708</v>
      </c>
      <c r="G956" s="862"/>
      <c r="H956" s="1095"/>
      <c r="I956" s="780"/>
      <c r="J956" s="834"/>
      <c r="K956" s="780"/>
      <c r="L956" s="780"/>
      <c r="M956" s="1270"/>
      <c r="N956" s="400"/>
      <c r="O956" s="122"/>
      <c r="P956" s="123"/>
    </row>
    <row r="957" spans="1:17" ht="33.75">
      <c r="A957" s="1482"/>
      <c r="B957" s="1482"/>
      <c r="C957" s="1483">
        <f t="shared" si="163"/>
        <v>6</v>
      </c>
      <c r="D957" s="1492">
        <f t="shared" si="164"/>
        <v>6</v>
      </c>
      <c r="E957" s="1492">
        <f t="shared" si="165"/>
        <v>8</v>
      </c>
      <c r="F957" s="1484" t="s">
        <v>11708</v>
      </c>
      <c r="G957" s="862" t="s">
        <v>12331</v>
      </c>
      <c r="H957" s="823" t="str">
        <f>VLOOKUP(G957,BIOGAS!A:M,2,0)</f>
        <v>SINAPI</v>
      </c>
      <c r="I957" s="700">
        <f>VLOOKUP(G957,BIOGAS!A:M,3,0)</f>
        <v>94990</v>
      </c>
      <c r="J957" s="824"/>
      <c r="K957" s="790" t="str">
        <f>(IF(H957="Saneago",VLOOKUP(I957,'SANEAGO-FEV.2016'!A:B,2,0),IF(H957="Sinapi",VLOOKUP(I957,'SINAPI-FEV.2017'!A:D,2,0),IF(H957="Cotação",VLOOKUP(I957,COTAÇÃO!A:D,2,0),IF(H957="Composição",VLOOKUP(I957,COMPOSIÇÃO!A:D,2,0))))))</f>
        <v>EXECUÇÃO DE PASSEIO (CALÇADA) OU PISO DE CONCRETO COM CONCRETO MOLDADO IN LOCO, FEITO EM OBRA, ACABAMENTO CONVENCIONAL, NÃO ARMADO. AF_07/2016</v>
      </c>
      <c r="L957" s="700" t="str">
        <f>(IF(H957="Saneago",VLOOKUP(I957,'SANEAGO-FEV.2016'!A:D,3,0),IF(H957="Sinapi",VLOOKUP(I957,'SINAPI-FEV.2017'!A:D,3,0),IF(H957="Cotação",VLOOKUP(I957,COTAÇÃO!A:D,3,0),IF(H957="Composição",VLOOKUP(I957,COMPOSIÇÃO!A:D,3,0))))))</f>
        <v>M3</v>
      </c>
      <c r="M957" s="870">
        <f>ROUND(VLOOKUP(G957,BIOGAS!A:M,13,0),2)</f>
        <v>5.88</v>
      </c>
      <c r="N957" s="399">
        <v>0</v>
      </c>
      <c r="O957" s="102">
        <f>ROUND(IF(F957="Serviços",N957*(1+$O$7),IF(F957="Materiais",N957*(1+$O$8))),2)</f>
        <v>0</v>
      </c>
      <c r="P957" s="101">
        <f>ROUND(M957*O957,2)</f>
        <v>0</v>
      </c>
      <c r="Q957" s="1472">
        <v>5.88</v>
      </c>
    </row>
    <row r="958" spans="1:17" ht="22.5">
      <c r="A958" s="1482"/>
      <c r="B958" s="1482"/>
      <c r="C958" s="1483">
        <f t="shared" si="163"/>
        <v>6</v>
      </c>
      <c r="D958" s="1492">
        <f t="shared" si="164"/>
        <v>6</v>
      </c>
      <c r="E958" s="1492">
        <f t="shared" si="165"/>
        <v>8</v>
      </c>
      <c r="F958" s="1484" t="s">
        <v>11708</v>
      </c>
      <c r="G958" s="862" t="s">
        <v>12405</v>
      </c>
      <c r="H958" s="823" t="str">
        <f>VLOOKUP(G958,BIOGAS!A:M,2,0)</f>
        <v>SINAPI</v>
      </c>
      <c r="I958" s="700" t="str">
        <f>VLOOKUP(G958,BIOGAS!A:M,3,0)</f>
        <v>73923/3</v>
      </c>
      <c r="J958" s="824"/>
      <c r="K958" s="790" t="str">
        <f>(IF(H958="Saneago",VLOOKUP(I958,'SANEAGO-FEV.2016'!A:B,2,0),IF(H958="Sinapi",VLOOKUP(I958,'SINAPI-FEV.2017'!A:D,2,0),IF(H958="Cotação",VLOOKUP(I958,COTAÇÃO!A:D,2,0),IF(H958="Composição",VLOOKUP(I958,COMPOSIÇÃO!A:D,2,0))))))</f>
        <v>PISO CIMENTADO TRACO 1:3 (CIMENTO E AREIA), COM ACABAMENTO RUSTICO E FRISADO ESPESSURA 2CM, PREPARO MANUAL</v>
      </c>
      <c r="L958" s="700" t="str">
        <f>(IF(H958="Saneago",VLOOKUP(I958,'SANEAGO-FEV.2016'!A:D,3,0),IF(H958="Sinapi",VLOOKUP(I958,'SINAPI-FEV.2017'!A:D,3,0),IF(H958="Cotação",VLOOKUP(I958,COTAÇÃO!A:D,3,0),IF(H958="Composição",VLOOKUP(I958,COMPOSIÇÃO!A:D,3,0))))))</f>
        <v>M2</v>
      </c>
      <c r="M958" s="870">
        <f>ROUND(VLOOKUP(G958,BIOGAS!A:M,13,0),2)</f>
        <v>3.98</v>
      </c>
      <c r="N958" s="399">
        <v>0</v>
      </c>
      <c r="O958" s="102">
        <f>ROUND(IF(F958="Serviços",N958*(1+$O$7),IF(F958="Materiais",N958*(1+$O$8))),2)</f>
        <v>0</v>
      </c>
      <c r="P958" s="101">
        <f>ROUND(M958*O958,2)</f>
        <v>0</v>
      </c>
      <c r="Q958" s="1472">
        <v>3.98</v>
      </c>
    </row>
    <row r="959" spans="1:17" ht="15.75" thickBot="1">
      <c r="A959" s="1482"/>
      <c r="B959" s="1482"/>
      <c r="C959" s="1483">
        <f t="shared" si="163"/>
        <v>6</v>
      </c>
      <c r="D959" s="1492">
        <f t="shared" si="164"/>
        <v>6</v>
      </c>
      <c r="E959" s="1492">
        <f t="shared" si="165"/>
        <v>8</v>
      </c>
      <c r="F959" s="1484" t="s">
        <v>11708</v>
      </c>
      <c r="G959" s="921"/>
      <c r="H959" s="929"/>
      <c r="I959" s="1371"/>
      <c r="J959" s="1022"/>
      <c r="K959" s="1371"/>
      <c r="L959" s="1371"/>
      <c r="M959" s="1536"/>
      <c r="N959" s="394"/>
      <c r="O959" s="728"/>
      <c r="P959" s="95"/>
    </row>
    <row r="960" spans="1:17" ht="16.5" customHeight="1" thickTop="1" thickBot="1">
      <c r="A960" s="1482"/>
      <c r="B960" s="1482"/>
      <c r="C960" s="1483">
        <f t="shared" si="163"/>
        <v>6</v>
      </c>
      <c r="D960" s="1492">
        <f t="shared" si="164"/>
        <v>6</v>
      </c>
      <c r="E960" s="1492">
        <f t="shared" si="165"/>
        <v>8</v>
      </c>
      <c r="F960" s="1484" t="s">
        <v>11708</v>
      </c>
      <c r="G960" s="921"/>
      <c r="H960" s="1653" t="str">
        <f>"TOTAL ITEM: "&amp;J955 &amp;K955</f>
        <v>TOTAL ITEM: 6.6.8 REGULARIZAÇÃO DE PISO</v>
      </c>
      <c r="I960" s="1654"/>
      <c r="J960" s="1654"/>
      <c r="K960" s="1654"/>
      <c r="L960" s="1654"/>
      <c r="M960" s="1654"/>
      <c r="N960" s="1654"/>
      <c r="O960" s="1654"/>
      <c r="P960" s="210">
        <f>SUBTOTAL(9,P957:P958)</f>
        <v>0</v>
      </c>
    </row>
    <row r="961" spans="1:17" ht="15.75" thickTop="1">
      <c r="A961" s="1482"/>
      <c r="B961" s="1482"/>
      <c r="C961" s="1483">
        <f t="shared" si="163"/>
        <v>6</v>
      </c>
      <c r="D961" s="1492">
        <f t="shared" si="164"/>
        <v>6</v>
      </c>
      <c r="E961" s="1492">
        <f t="shared" si="165"/>
        <v>8</v>
      </c>
      <c r="F961" s="1484" t="s">
        <v>11708</v>
      </c>
      <c r="G961" s="959"/>
      <c r="H961" s="929"/>
      <c r="I961" s="1371"/>
      <c r="J961" s="1022"/>
      <c r="K961" s="1371"/>
      <c r="L961" s="1371"/>
      <c r="M961" s="1536"/>
      <c r="N961" s="394"/>
      <c r="O961" s="728"/>
      <c r="P961" s="95"/>
    </row>
    <row r="962" spans="1:17">
      <c r="A962" s="1482"/>
      <c r="B962" s="1482">
        <v>1</v>
      </c>
      <c r="C962" s="1483">
        <f t="shared" si="163"/>
        <v>6</v>
      </c>
      <c r="D962" s="1492">
        <f t="shared" si="164"/>
        <v>6</v>
      </c>
      <c r="E962" s="1492">
        <f t="shared" si="165"/>
        <v>9</v>
      </c>
      <c r="F962" s="1484" t="s">
        <v>11708</v>
      </c>
      <c r="H962" s="1514" t="s">
        <v>11703</v>
      </c>
      <c r="I962" s="1515" t="s">
        <v>64</v>
      </c>
      <c r="J962" s="1516" t="str">
        <f>CONCATENATE(C962,".",D962,".",E962)</f>
        <v>6.6.9</v>
      </c>
      <c r="K962" s="1516" t="s">
        <v>11718</v>
      </c>
      <c r="L962" s="1517" t="s">
        <v>25</v>
      </c>
      <c r="M962" s="1518" t="s">
        <v>11704</v>
      </c>
      <c r="N962" s="398" t="s">
        <v>11705</v>
      </c>
      <c r="O962" s="207" t="s">
        <v>11706</v>
      </c>
      <c r="P962" s="208" t="s">
        <v>27</v>
      </c>
      <c r="Q962" s="1472" t="s">
        <v>11704</v>
      </c>
    </row>
    <row r="963" spans="1:17">
      <c r="A963" s="1482"/>
      <c r="B963" s="1482"/>
      <c r="C963" s="1483">
        <f t="shared" si="163"/>
        <v>6</v>
      </c>
      <c r="D963" s="1492">
        <f t="shared" si="164"/>
        <v>6</v>
      </c>
      <c r="E963" s="1492">
        <f t="shared" si="165"/>
        <v>9</v>
      </c>
      <c r="F963" s="1484" t="s">
        <v>11708</v>
      </c>
      <c r="G963" s="862"/>
      <c r="H963" s="1095"/>
      <c r="I963" s="780"/>
      <c r="J963" s="834"/>
      <c r="K963" s="780"/>
      <c r="L963" s="780"/>
      <c r="M963" s="1270"/>
      <c r="N963" s="400"/>
      <c r="O963" s="122"/>
      <c r="P963" s="123"/>
    </row>
    <row r="964" spans="1:17" ht="22.5">
      <c r="A964" s="1482"/>
      <c r="B964" s="1482"/>
      <c r="C964" s="1483">
        <f t="shared" si="163"/>
        <v>6</v>
      </c>
      <c r="D964" s="1492">
        <f t="shared" si="164"/>
        <v>6</v>
      </c>
      <c r="E964" s="1492">
        <f t="shared" si="165"/>
        <v>9</v>
      </c>
      <c r="F964" s="1484" t="s">
        <v>11708</v>
      </c>
      <c r="G964" s="905" t="s">
        <v>12354</v>
      </c>
      <c r="H964" s="823" t="str">
        <f>VLOOKUP(G964,BIOGAS!A:M,2,0)</f>
        <v>Saneago</v>
      </c>
      <c r="I964" s="700">
        <f>VLOOKUP(G964,BIOGAS!A:M,3,0)</f>
        <v>407</v>
      </c>
      <c r="J964" s="824"/>
      <c r="K964" s="790" t="str">
        <f>(IF(H964="Saneago",VLOOKUP(I964,'SANEAGO-FEV.2016'!A:B,2,0),IF(H964="Sinapi",VLOOKUP(I964,'SINAPI-FEV.2017'!A:D,2,0),IF(H964="Cotação",VLOOKUP(I964,COTAÇÃO!A:D,2,0),IF(H964="Composição",VLOOKUP(I964,COMPOSIÇÃO!A:D,2,0))))))</f>
        <v>COBERTURA  COM TELHAS DE PERFIL TRAPEZOIDAL TIPO K-49, KALHETA OU SIMILAR</v>
      </c>
      <c r="L964" s="700" t="str">
        <f>(IF(H964="Saneago",VLOOKUP(I964,'SANEAGO-FEV.2016'!A:D,3,0),IF(H964="Sinapi",VLOOKUP(I964,'SINAPI-FEV.2017'!A:D,3,0),IF(H964="Cotação",VLOOKUP(I964,COTAÇÃO!A:D,3,0),IF(H964="Composição",VLOOKUP(I964,COMPOSIÇÃO!A:D,3,0))))))</f>
        <v>M2</v>
      </c>
      <c r="M964" s="870">
        <f>ROUND(VLOOKUP(G964,BIOGAS!A:M,13,0),2)</f>
        <v>58.8</v>
      </c>
      <c r="N964" s="399">
        <v>0</v>
      </c>
      <c r="O964" s="102">
        <f>ROUND(IF(F964="Serviços",N964*(1+$O$7),IF(F964="Materiais",N964*(1+$O$8))),2)</f>
        <v>0</v>
      </c>
      <c r="P964" s="101">
        <f>ROUND(M964*O964,2)</f>
        <v>0</v>
      </c>
      <c r="Q964" s="1472">
        <v>58.8</v>
      </c>
    </row>
    <row r="965" spans="1:17" ht="15.75" thickBot="1">
      <c r="A965" s="1482"/>
      <c r="B965" s="1482"/>
      <c r="C965" s="1483">
        <f t="shared" si="163"/>
        <v>6</v>
      </c>
      <c r="D965" s="1492">
        <f>D964+A965</f>
        <v>6</v>
      </c>
      <c r="E965" s="1492">
        <f>E964+B965</f>
        <v>9</v>
      </c>
      <c r="F965" s="1484" t="s">
        <v>11708</v>
      </c>
      <c r="G965" s="905"/>
      <c r="H965" s="929"/>
      <c r="I965" s="1371"/>
      <c r="J965" s="1022"/>
      <c r="K965" s="1371"/>
      <c r="L965" s="1371"/>
      <c r="M965" s="1536"/>
      <c r="N965" s="394"/>
      <c r="O965" s="728"/>
      <c r="P965" s="95"/>
    </row>
    <row r="966" spans="1:17" ht="16.5" customHeight="1" thickTop="1" thickBot="1">
      <c r="A966" s="1482"/>
      <c r="B966" s="1482"/>
      <c r="C966" s="1483">
        <f t="shared" si="163"/>
        <v>6</v>
      </c>
      <c r="D966" s="1492">
        <f t="shared" si="164"/>
        <v>6</v>
      </c>
      <c r="E966" s="1492">
        <f t="shared" si="165"/>
        <v>9</v>
      </c>
      <c r="F966" s="1484" t="s">
        <v>11708</v>
      </c>
      <c r="G966" s="965"/>
      <c r="H966" s="1653" t="str">
        <f>"TOTAL ITEM: "&amp;J962 &amp;K962</f>
        <v>TOTAL ITEM: 6.6.9 COBERTURA</v>
      </c>
      <c r="I966" s="1654"/>
      <c r="J966" s="1654"/>
      <c r="K966" s="1654"/>
      <c r="L966" s="1654"/>
      <c r="M966" s="1654"/>
      <c r="N966" s="1654"/>
      <c r="O966" s="1654"/>
      <c r="P966" s="210">
        <f>SUBTOTAL(9,P964:P964)</f>
        <v>0</v>
      </c>
    </row>
    <row r="967" spans="1:17" ht="15.75" thickTop="1">
      <c r="A967" s="1482"/>
      <c r="B967" s="1482"/>
      <c r="C967" s="1483">
        <f t="shared" si="163"/>
        <v>6</v>
      </c>
      <c r="D967" s="1492">
        <f t="shared" si="164"/>
        <v>6</v>
      </c>
      <c r="E967" s="1492">
        <f t="shared" si="165"/>
        <v>9</v>
      </c>
      <c r="F967" s="1484" t="s">
        <v>11708</v>
      </c>
      <c r="G967" s="959"/>
      <c r="H967" s="929"/>
      <c r="I967" s="1371"/>
      <c r="J967" s="1022"/>
      <c r="K967" s="1371"/>
      <c r="L967" s="1371"/>
      <c r="M967" s="1536"/>
      <c r="N967" s="394"/>
      <c r="O967" s="728"/>
      <c r="P967" s="95"/>
    </row>
    <row r="968" spans="1:17">
      <c r="A968" s="1482"/>
      <c r="B968" s="1482">
        <v>1</v>
      </c>
      <c r="C968" s="1483">
        <f t="shared" si="163"/>
        <v>6</v>
      </c>
      <c r="D968" s="1492">
        <f t="shared" si="164"/>
        <v>6</v>
      </c>
      <c r="E968" s="1492">
        <f t="shared" si="165"/>
        <v>10</v>
      </c>
      <c r="F968" s="1484" t="s">
        <v>11708</v>
      </c>
      <c r="H968" s="1514" t="s">
        <v>11703</v>
      </c>
      <c r="I968" s="1515" t="s">
        <v>64</v>
      </c>
      <c r="J968" s="1516" t="str">
        <f>CONCATENATE(C968,".",D968,".",E968)</f>
        <v>6.6.10</v>
      </c>
      <c r="K968" s="1516" t="s">
        <v>11738</v>
      </c>
      <c r="L968" s="1517" t="s">
        <v>25</v>
      </c>
      <c r="M968" s="1518" t="s">
        <v>11704</v>
      </c>
      <c r="N968" s="398" t="s">
        <v>11705</v>
      </c>
      <c r="O968" s="207" t="s">
        <v>11706</v>
      </c>
      <c r="P968" s="208" t="s">
        <v>27</v>
      </c>
      <c r="Q968" s="1472" t="s">
        <v>11704</v>
      </c>
    </row>
    <row r="969" spans="1:17">
      <c r="A969" s="1482"/>
      <c r="B969" s="1482"/>
      <c r="C969" s="1483">
        <f t="shared" si="163"/>
        <v>6</v>
      </c>
      <c r="D969" s="1492">
        <f t="shared" si="164"/>
        <v>6</v>
      </c>
      <c r="E969" s="1492">
        <f t="shared" si="165"/>
        <v>10</v>
      </c>
      <c r="F969" s="1484" t="s">
        <v>11708</v>
      </c>
      <c r="G969" s="862"/>
      <c r="H969" s="1095"/>
      <c r="I969" s="780"/>
      <c r="J969" s="834"/>
      <c r="K969" s="780"/>
      <c r="L969" s="780"/>
      <c r="M969" s="1270"/>
      <c r="N969" s="400"/>
      <c r="O969" s="122"/>
      <c r="P969" s="123"/>
    </row>
    <row r="970" spans="1:17">
      <c r="A970" s="1482"/>
      <c r="B970" s="1482"/>
      <c r="C970" s="1483">
        <f t="shared" si="163"/>
        <v>6</v>
      </c>
      <c r="D970" s="1492">
        <f t="shared" si="164"/>
        <v>6</v>
      </c>
      <c r="E970" s="1492">
        <f t="shared" si="165"/>
        <v>10</v>
      </c>
      <c r="F970" s="1484" t="s">
        <v>11708</v>
      </c>
      <c r="G970" s="921" t="s">
        <v>12358</v>
      </c>
      <c r="H970" s="823" t="str">
        <f>VLOOKUP(G970,BIOGAS!A:M,2,0)</f>
        <v>Composição</v>
      </c>
      <c r="I970" s="700" t="str">
        <f>VLOOKUP(G970,BIOGAS!A:M,3,0)</f>
        <v>CP_BIOGAS.MAT.HIDR.</v>
      </c>
      <c r="J970" s="824"/>
      <c r="K970" s="790" t="str">
        <f>(IF(H970="Saneago",VLOOKUP(I970,'SANEAGO-FEV.2016'!A:B,2,0),IF(H970="Sinapi",VLOOKUP(I970,'SINAPI-FEV.2017'!A:D,2,0),IF(H970="Cotação",VLOOKUP(I970,COTAÇÃO!A:D,2,0),IF(H970="Composição",VLOOKUP(I970,COMPOSIÇÃO!A:D,2,0))))))</f>
        <v>MONTAGEM DE MATERIAL HIDRÁULICO DO BIOGAS</v>
      </c>
      <c r="L970" s="700" t="str">
        <f>(IF(H970="Saneago",VLOOKUP(I970,'SANEAGO-FEV.2016'!A:D,3,0),IF(H970="Sinapi",VLOOKUP(I970,'SINAPI-FEV.2017'!A:D,3,0),IF(H970="Cotação",VLOOKUP(I970,COTAÇÃO!A:D,3,0),IF(H970="Composição",VLOOKUP(I970,COMPOSIÇÃO!A:D,3,0))))))</f>
        <v>um.</v>
      </c>
      <c r="M970" s="870">
        <f>ROUND(VLOOKUP(G970,BIOGAS!A:M,13,0),2)</f>
        <v>1</v>
      </c>
      <c r="N970" s="399">
        <v>0</v>
      </c>
      <c r="O970" s="102">
        <f>ROUND(IF(F970="Serviços",N970*(1+$O$7),IF(F970="Materiais",N970*(1+$O$8))),2)</f>
        <v>0</v>
      </c>
      <c r="P970" s="101">
        <f>ROUND(M970*O970,2)</f>
        <v>0</v>
      </c>
      <c r="Q970" s="1472">
        <v>1</v>
      </c>
    </row>
    <row r="971" spans="1:17">
      <c r="A971" s="1482"/>
      <c r="B971" s="1482"/>
      <c r="C971" s="1483">
        <f t="shared" si="163"/>
        <v>6</v>
      </c>
      <c r="D971" s="1492">
        <f t="shared" si="164"/>
        <v>6</v>
      </c>
      <c r="E971" s="1492">
        <f t="shared" si="165"/>
        <v>10</v>
      </c>
      <c r="F971" s="1484" t="s">
        <v>11708</v>
      </c>
      <c r="G971" s="921" t="s">
        <v>12359</v>
      </c>
      <c r="H971" s="823" t="str">
        <f>VLOOKUP(G971,BIOGAS!A:M,2,0)</f>
        <v>Composição</v>
      </c>
      <c r="I971" s="700" t="str">
        <f>VLOOKUP(G971,BIOGAS!A:M,3,0)</f>
        <v>CP_BIOGAS.EQUIP.</v>
      </c>
      <c r="J971" s="824"/>
      <c r="K971" s="790" t="str">
        <f>(IF(H971="Saneago",VLOOKUP(I971,'SANEAGO-FEV.2016'!A:B,2,0),IF(H971="Sinapi",VLOOKUP(I971,'SINAPI-FEV.2017'!A:D,2,0),IF(H971="Cotação",VLOOKUP(I971,COTAÇÃO!A:D,2,0),IF(H971="Composição",VLOOKUP(I971,COMPOSIÇÃO!A:D,2,0))))))</f>
        <v>MONTAGEM DE EQUIPAMENTOS  DO BIOGAS</v>
      </c>
      <c r="L971" s="700" t="str">
        <f>(IF(H971="Saneago",VLOOKUP(I971,'SANEAGO-FEV.2016'!A:D,3,0),IF(H971="Sinapi",VLOOKUP(I971,'SINAPI-FEV.2017'!A:D,3,0),IF(H971="Cotação",VLOOKUP(I971,COTAÇÃO!A:D,3,0),IF(H971="Composição",VLOOKUP(I971,COMPOSIÇÃO!A:D,3,0))))))</f>
        <v>um.</v>
      </c>
      <c r="M971" s="870">
        <f>ROUND(VLOOKUP(G971,BIOGAS!A:M,13,0),2)</f>
        <v>1</v>
      </c>
      <c r="N971" s="399">
        <v>0</v>
      </c>
      <c r="O971" s="102">
        <f>ROUND(IF(F971="Serviços",N971*(1+$O$7),IF(F971="Materiais",N971*(1+$O$8))),2)</f>
        <v>0</v>
      </c>
      <c r="P971" s="101">
        <f>ROUND(M971*O971,2)</f>
        <v>0</v>
      </c>
      <c r="Q971" s="1472">
        <v>1</v>
      </c>
    </row>
    <row r="972" spans="1:17">
      <c r="A972" s="1482"/>
      <c r="B972" s="1482"/>
      <c r="C972" s="1483">
        <f t="shared" si="163"/>
        <v>6</v>
      </c>
      <c r="D972" s="1492">
        <f t="shared" si="164"/>
        <v>6</v>
      </c>
      <c r="E972" s="1492">
        <f t="shared" si="165"/>
        <v>10</v>
      </c>
      <c r="F972" s="1484" t="s">
        <v>11708</v>
      </c>
      <c r="G972" s="921" t="s">
        <v>12360</v>
      </c>
      <c r="H972" s="823" t="str">
        <f>VLOOKUP(G972,BIOGAS!A:M,2,0)</f>
        <v>Composição</v>
      </c>
      <c r="I972" s="700" t="str">
        <f>VLOOKUP(G972,BIOGAS!A:M,3,0)</f>
        <v>CP_BIOGAS.MAT.ELÉTR.</v>
      </c>
      <c r="J972" s="824"/>
      <c r="K972" s="790" t="str">
        <f>(IF(H972="Saneago",VLOOKUP(I972,'SANEAGO-FEV.2016'!A:B,2,0),IF(H972="Sinapi",VLOOKUP(I972,'SINAPI-FEV.2017'!A:D,2,0),IF(H972="Cotação",VLOOKUP(I972,COTAÇÃO!A:D,2,0),IF(H972="Composição",VLOOKUP(I972,COMPOSIÇÃO!A:D,2,0))))))</f>
        <v>MONTAGEM DE MATERIAL ELÉTRICO DO BIOGAS</v>
      </c>
      <c r="L972" s="700" t="str">
        <f>(IF(H972="Saneago",VLOOKUP(I972,'SANEAGO-FEV.2016'!A:D,3,0),IF(H972="Sinapi",VLOOKUP(I972,'SINAPI-FEV.2017'!A:D,3,0),IF(H972="Cotação",VLOOKUP(I972,COTAÇÃO!A:D,3,0),IF(H972="Composição",VLOOKUP(I972,COMPOSIÇÃO!A:D,3,0))))))</f>
        <v>um.</v>
      </c>
      <c r="M972" s="870">
        <f>ROUND(VLOOKUP(G972,BIOGAS!A:M,13,0),2)</f>
        <v>1</v>
      </c>
      <c r="N972" s="399">
        <v>0</v>
      </c>
      <c r="O972" s="102">
        <f>ROUND(IF(F972="Serviços",N972*(1+$O$7),IF(F972="Materiais",N972*(1+$O$8))),2)</f>
        <v>0</v>
      </c>
      <c r="P972" s="101">
        <f>ROUND(M972*O972,2)</f>
        <v>0</v>
      </c>
      <c r="Q972" s="1472">
        <v>1</v>
      </c>
    </row>
    <row r="973" spans="1:17">
      <c r="A973" s="1482"/>
      <c r="B973" s="1482"/>
      <c r="C973" s="1483">
        <f t="shared" si="163"/>
        <v>6</v>
      </c>
      <c r="D973" s="1492">
        <f t="shared" si="164"/>
        <v>6</v>
      </c>
      <c r="E973" s="1492">
        <f t="shared" si="165"/>
        <v>10</v>
      </c>
      <c r="F973" s="1484" t="s">
        <v>11708</v>
      </c>
      <c r="G973" s="921" t="s">
        <v>14341</v>
      </c>
      <c r="H973" s="823" t="str">
        <f>VLOOKUP(G973,BIOGAS!A:M,2,0)</f>
        <v>SINAPI</v>
      </c>
      <c r="I973" s="700">
        <f>VLOOKUP(G973,BIOGAS!A:M,3,0)</f>
        <v>9537</v>
      </c>
      <c r="J973" s="824"/>
      <c r="K973" s="790" t="str">
        <f>(IF(H973="Saneago",VLOOKUP(I973,'SANEAGO-FEV.2016'!A:B,2,0),IF(H973="Sinapi",VLOOKUP(I973,'SINAPI-FEV.2017'!A:D,2,0),IF(H973="Cotação",VLOOKUP(I973,COTAÇÃO!A:D,2,0),IF(H973="Composição",VLOOKUP(I973,COMPOSIÇÃO!A:D,2,0))))))</f>
        <v>LIMPEZA FINAL DA OBRA</v>
      </c>
      <c r="L973" s="700" t="str">
        <f>(IF(H973="Saneago",VLOOKUP(I973,'SANEAGO-FEV.2016'!A:D,3,0),IF(H973="Sinapi",VLOOKUP(I973,'SINAPI-FEV.2017'!A:D,3,0),IF(H973="Cotação",VLOOKUP(I973,COTAÇÃO!A:D,3,0),IF(H973="Composição",VLOOKUP(I973,COMPOSIÇÃO!A:D,3,0))))))</f>
        <v>M2</v>
      </c>
      <c r="M973" s="870">
        <f>ROUND(VLOOKUP(G973,BIOGAS!A:M,13,0),2)</f>
        <v>342.76</v>
      </c>
      <c r="N973" s="399">
        <v>0</v>
      </c>
      <c r="O973" s="102">
        <f>ROUND(IF(F973="Serviços",N973*(1+$O$7),IF(F973="Materiais",N973*(1+$O$8))),2)</f>
        <v>0</v>
      </c>
      <c r="P973" s="101">
        <f>ROUND(M973*O973,2)</f>
        <v>0</v>
      </c>
      <c r="Q973" s="1472">
        <v>342.76</v>
      </c>
    </row>
    <row r="974" spans="1:17" ht="15.75" thickBot="1">
      <c r="A974" s="1482"/>
      <c r="B974" s="1482"/>
      <c r="C974" s="1483">
        <f t="shared" si="163"/>
        <v>6</v>
      </c>
      <c r="D974" s="1492">
        <f t="shared" ref="D974:E976" si="172">D973+A974</f>
        <v>6</v>
      </c>
      <c r="E974" s="1492">
        <f t="shared" si="172"/>
        <v>10</v>
      </c>
      <c r="F974" s="1484" t="s">
        <v>11708</v>
      </c>
      <c r="G974" s="921"/>
      <c r="H974" s="823"/>
      <c r="I974" s="700"/>
      <c r="J974" s="824"/>
      <c r="K974" s="790"/>
      <c r="L974" s="700"/>
      <c r="M974" s="870"/>
      <c r="N974" s="399"/>
      <c r="O974" s="102"/>
      <c r="P974" s="101"/>
    </row>
    <row r="975" spans="1:17" ht="16.5" customHeight="1" thickTop="1" thickBot="1">
      <c r="A975" s="1482"/>
      <c r="B975" s="1482"/>
      <c r="C975" s="1483">
        <f t="shared" si="163"/>
        <v>6</v>
      </c>
      <c r="D975" s="1492">
        <f t="shared" si="172"/>
        <v>6</v>
      </c>
      <c r="E975" s="1492">
        <f t="shared" si="172"/>
        <v>10</v>
      </c>
      <c r="F975" s="1484" t="s">
        <v>11708</v>
      </c>
      <c r="G975" s="921"/>
      <c r="H975" s="1653" t="str">
        <f>"TOTAL ITEM: "&amp;J968 &amp;K968</f>
        <v>TOTAL ITEM: 6.6.10 DIVERSOS</v>
      </c>
      <c r="I975" s="1654"/>
      <c r="J975" s="1654"/>
      <c r="K975" s="1654"/>
      <c r="L975" s="1654"/>
      <c r="M975" s="1654"/>
      <c r="N975" s="1654"/>
      <c r="O975" s="1654"/>
      <c r="P975" s="210">
        <f>SUBTOTAL(9,P970:P973)</f>
        <v>0</v>
      </c>
    </row>
    <row r="976" spans="1:17" ht="16.5" thickTop="1" thickBot="1">
      <c r="A976" s="1482"/>
      <c r="B976" s="1482"/>
      <c r="C976" s="1483">
        <f t="shared" si="163"/>
        <v>6</v>
      </c>
      <c r="D976" s="1492">
        <f t="shared" si="172"/>
        <v>6</v>
      </c>
      <c r="E976" s="1492">
        <f t="shared" si="172"/>
        <v>10</v>
      </c>
      <c r="F976" s="1484" t="s">
        <v>11708</v>
      </c>
      <c r="G976" s="921"/>
      <c r="H976" s="929"/>
      <c r="I976" s="1371"/>
      <c r="J976" s="1022"/>
      <c r="K976" s="1371"/>
      <c r="L976" s="1371"/>
      <c r="M976" s="1536"/>
      <c r="N976" s="394"/>
      <c r="O976" s="728"/>
      <c r="P976" s="95"/>
    </row>
    <row r="977" spans="1:24" s="863" customFormat="1" ht="14.25" customHeight="1" thickTop="1" thickBot="1">
      <c r="A977" s="1482">
        <v>1</v>
      </c>
      <c r="B977" s="1482"/>
      <c r="C977" s="1483">
        <f t="shared" ref="C977:C1047" si="173">C976</f>
        <v>6</v>
      </c>
      <c r="D977" s="1492">
        <f t="shared" si="164"/>
        <v>7</v>
      </c>
      <c r="E977" s="1492">
        <v>0</v>
      </c>
      <c r="F977" s="1484" t="s">
        <v>11708</v>
      </c>
      <c r="G977" s="862"/>
      <c r="H977" s="1510" t="str">
        <f>CONCATENATE(C977,".",D977)</f>
        <v>6.7</v>
      </c>
      <c r="I977" s="1644" t="s">
        <v>12685</v>
      </c>
      <c r="J977" s="1644"/>
      <c r="K977" s="1644"/>
      <c r="L977" s="1644"/>
      <c r="M977" s="1644"/>
      <c r="N977" s="1644"/>
      <c r="O977" s="99" t="s">
        <v>11702</v>
      </c>
      <c r="P977" s="100">
        <f>SUBTOTAL(9,P981:P1075)</f>
        <v>0</v>
      </c>
      <c r="Q977" s="1507"/>
      <c r="R977" s="1525"/>
      <c r="S977" s="1504"/>
      <c r="V977" s="1487"/>
      <c r="W977" s="1325"/>
      <c r="X977" s="1325"/>
    </row>
    <row r="978" spans="1:24" s="863" customFormat="1" ht="13.5" thickTop="1">
      <c r="A978" s="1482"/>
      <c r="B978" s="1482"/>
      <c r="C978" s="1483">
        <f t="shared" si="173"/>
        <v>6</v>
      </c>
      <c r="D978" s="1492">
        <f t="shared" ref="D978:D1048" si="174">D977+A978</f>
        <v>7</v>
      </c>
      <c r="E978" s="1492">
        <f t="shared" ref="E978:E1048" si="175">E977+B978</f>
        <v>0</v>
      </c>
      <c r="F978" s="1484" t="s">
        <v>11708</v>
      </c>
      <c r="G978" s="862"/>
      <c r="H978" s="789"/>
      <c r="I978" s="915"/>
      <c r="J978" s="1022"/>
      <c r="K978" s="915"/>
      <c r="L978" s="816"/>
      <c r="M978" s="874"/>
      <c r="N978" s="394"/>
      <c r="O978" s="98"/>
      <c r="P978" s="95"/>
      <c r="Q978" s="1507"/>
      <c r="R978" s="1525"/>
      <c r="S978" s="1504"/>
      <c r="V978" s="1325"/>
      <c r="W978" s="1325"/>
      <c r="X978" s="1325"/>
    </row>
    <row r="979" spans="1:24" s="863" customFormat="1" ht="12.75">
      <c r="A979" s="1482"/>
      <c r="B979" s="1482">
        <v>1</v>
      </c>
      <c r="C979" s="1483">
        <f t="shared" si="173"/>
        <v>6</v>
      </c>
      <c r="D979" s="1492">
        <f t="shared" si="174"/>
        <v>7</v>
      </c>
      <c r="E979" s="1492">
        <f t="shared" si="175"/>
        <v>1</v>
      </c>
      <c r="F979" s="1484" t="s">
        <v>11708</v>
      </c>
      <c r="G979" s="862"/>
      <c r="H979" s="1514" t="s">
        <v>11703</v>
      </c>
      <c r="I979" s="1515" t="s">
        <v>64</v>
      </c>
      <c r="J979" s="1516" t="str">
        <f>CONCATENATE(C979,".",D979,".",E979)</f>
        <v>6.7.1</v>
      </c>
      <c r="K979" s="1516" t="s">
        <v>11709</v>
      </c>
      <c r="L979" s="1517" t="s">
        <v>25</v>
      </c>
      <c r="M979" s="1518" t="s">
        <v>11704</v>
      </c>
      <c r="N979" s="398" t="s">
        <v>11705</v>
      </c>
      <c r="O979" s="207" t="s">
        <v>11706</v>
      </c>
      <c r="P979" s="208" t="s">
        <v>27</v>
      </c>
      <c r="Q979" s="1507" t="s">
        <v>11704</v>
      </c>
      <c r="R979" s="1525"/>
      <c r="S979" s="1504"/>
      <c r="V979" s="1487"/>
      <c r="W979" s="1325"/>
      <c r="X979" s="1325"/>
    </row>
    <row r="980" spans="1:24" s="863" customFormat="1" ht="12.75">
      <c r="A980" s="1482"/>
      <c r="B980" s="1482"/>
      <c r="C980" s="1483">
        <f t="shared" si="173"/>
        <v>6</v>
      </c>
      <c r="D980" s="1492">
        <f t="shared" si="174"/>
        <v>7</v>
      </c>
      <c r="E980" s="1492">
        <f t="shared" si="175"/>
        <v>1</v>
      </c>
      <c r="F980" s="1484" t="s">
        <v>11708</v>
      </c>
      <c r="G980" s="862"/>
      <c r="H980" s="826"/>
      <c r="I980" s="790"/>
      <c r="J980" s="824"/>
      <c r="K980" s="790"/>
      <c r="L980" s="700"/>
      <c r="M980" s="870"/>
      <c r="N980" s="399"/>
      <c r="O980" s="121"/>
      <c r="P980" s="101"/>
      <c r="Q980" s="1507"/>
      <c r="R980" s="1525"/>
      <c r="S980" s="1504"/>
      <c r="V980" s="1325"/>
      <c r="W980" s="1325"/>
      <c r="X980" s="1325"/>
    </row>
    <row r="981" spans="1:24" s="863" customFormat="1" ht="22.5">
      <c r="A981" s="1482"/>
      <c r="B981" s="1482"/>
      <c r="C981" s="1483">
        <f t="shared" si="173"/>
        <v>6</v>
      </c>
      <c r="D981" s="1492">
        <f t="shared" si="174"/>
        <v>7</v>
      </c>
      <c r="E981" s="1492">
        <f t="shared" si="175"/>
        <v>1</v>
      </c>
      <c r="F981" s="1484" t="s">
        <v>11708</v>
      </c>
      <c r="G981" s="862" t="s">
        <v>12369</v>
      </c>
      <c r="H981" s="823" t="str">
        <f>VLOOKUP(G981,HIPOCLORITO!A:M,2,0)</f>
        <v>SINAPI</v>
      </c>
      <c r="I981" s="700" t="str">
        <f>VLOOKUP(G981,HIPOCLORITO!A:M,3,0)</f>
        <v>73822/2</v>
      </c>
      <c r="J981" s="824"/>
      <c r="K981" s="790" t="str">
        <f>(IF(H981="Saneago",VLOOKUP(I981,'SANEAGO-FEV.2016'!A:B,2,0),IF(H981="Sinapi",VLOOKUP(I981,'SINAPI-FEV.2017'!A:D,2,0),IF(H981="Cotação",VLOOKUP(I981,COTAÇÃO!A:D,2,0),IF(H981="Composição",VLOOKUP(I981,COMPOSIÇÃO!A:D,2,0))))))</f>
        <v>LIMPEZA MECANIZADA DE TERRENO COM REMOCAO DE CAMADA VEGETAL, UTILIZANDO MOTONIVELADORA</v>
      </c>
      <c r="L981" s="700" t="str">
        <f>(IF(H981="Saneago",VLOOKUP(I981,'SANEAGO-FEV.2016'!A:D,3,0),IF(H981="Sinapi",VLOOKUP(I981,'SINAPI-FEV.2017'!A:D,3,0),IF(H981="Cotação",VLOOKUP(I981,COTAÇÃO!A:D,3,0),IF(H981="Composição",VLOOKUP(I981,COMPOSIÇÃO!A:D,3,0))))))</f>
        <v>M2</v>
      </c>
      <c r="M981" s="870">
        <f>ROUND(VLOOKUP(G981,HIPOCLORITO!A:M,13,0),2)</f>
        <v>108.9</v>
      </c>
      <c r="N981" s="399">
        <v>0</v>
      </c>
      <c r="O981" s="102">
        <f>ROUND(IF(F981="Serviços",N981*(1+$O$7),IF(F981="Materiais",N981*(1+$O$8))),2)</f>
        <v>0</v>
      </c>
      <c r="P981" s="101">
        <f>ROUND(M981*O981,2)</f>
        <v>0</v>
      </c>
      <c r="Q981" s="1507">
        <v>108.9</v>
      </c>
      <c r="R981" s="1525"/>
      <c r="S981" s="1504"/>
      <c r="V981" s="1325"/>
      <c r="W981" s="1325"/>
      <c r="X981" s="1325"/>
    </row>
    <row r="982" spans="1:24" s="863" customFormat="1" ht="22.5">
      <c r="A982" s="1482"/>
      <c r="B982" s="1482"/>
      <c r="C982" s="1483">
        <f t="shared" si="173"/>
        <v>6</v>
      </c>
      <c r="D982" s="1492">
        <f t="shared" si="174"/>
        <v>7</v>
      </c>
      <c r="E982" s="1492">
        <f t="shared" si="175"/>
        <v>1</v>
      </c>
      <c r="F982" s="1484" t="s">
        <v>11708</v>
      </c>
      <c r="G982" s="862" t="s">
        <v>12370</v>
      </c>
      <c r="H982" s="823" t="str">
        <f>VLOOKUP(G982,HIPOCLORITO!A:M,2,0)</f>
        <v>SINAPI</v>
      </c>
      <c r="I982" s="700" t="str">
        <f>VLOOKUP(G982,HIPOCLORITO!A:M,3,0)</f>
        <v>73992/1</v>
      </c>
      <c r="J982" s="824"/>
      <c r="K982" s="790" t="str">
        <f>(IF(H982="Saneago",VLOOKUP(I982,'SANEAGO-FEV.2016'!A:B,2,0),IF(H982="Sinapi",VLOOKUP(I982,'SINAPI-FEV.2017'!A:D,2,0),IF(H982="Cotação",VLOOKUP(I982,COTAÇÃO!A:D,2,0),IF(H982="Composição",VLOOKUP(I982,COMPOSIÇÃO!A:D,2,0))))))</f>
        <v>LOCACAO CONVENCIONAL DE OBRA, ATRAVÉS DE GABARITO DE TABUAS CORRIDAS PONTALETADAS A CADA 1,50M, SEM REAPROVEITAMENTO</v>
      </c>
      <c r="L982" s="700" t="str">
        <f>(IF(H982="Saneago",VLOOKUP(I982,'SANEAGO-FEV.2016'!A:D,3,0),IF(H982="Sinapi",VLOOKUP(I982,'SINAPI-FEV.2017'!A:D,3,0),IF(H982="Cotação",VLOOKUP(I982,COTAÇÃO!A:D,3,0),IF(H982="Composição",VLOOKUP(I982,COMPOSIÇÃO!A:D,3,0))))))</f>
        <v>M2</v>
      </c>
      <c r="M982" s="870">
        <f>ROUND(VLOOKUP(G982,HIPOCLORITO!A:M,13,0),2)</f>
        <v>41.3</v>
      </c>
      <c r="N982" s="399">
        <v>0</v>
      </c>
      <c r="O982" s="102">
        <f>ROUND(IF(F982="Serviços",N982*(1+$O$7),IF(F982="Materiais",N982*(1+$O$8))),2)</f>
        <v>0</v>
      </c>
      <c r="P982" s="101">
        <f>ROUND(M982*O982,2)</f>
        <v>0</v>
      </c>
      <c r="Q982" s="1507">
        <v>41.3</v>
      </c>
      <c r="R982" s="1525"/>
      <c r="S982" s="1504"/>
      <c r="V982" s="1325"/>
      <c r="W982" s="1325"/>
      <c r="X982" s="1325"/>
    </row>
    <row r="983" spans="1:24" s="863" customFormat="1" ht="13.5" thickBot="1">
      <c r="A983" s="1482"/>
      <c r="B983" s="1482"/>
      <c r="C983" s="1483">
        <f t="shared" si="173"/>
        <v>6</v>
      </c>
      <c r="D983" s="1492">
        <f t="shared" si="174"/>
        <v>7</v>
      </c>
      <c r="E983" s="1492">
        <f t="shared" si="175"/>
        <v>1</v>
      </c>
      <c r="F983" s="1484" t="s">
        <v>11708</v>
      </c>
      <c r="G983" s="1522"/>
      <c r="H983" s="826"/>
      <c r="I983" s="790"/>
      <c r="J983" s="824"/>
      <c r="K983" s="790"/>
      <c r="L983" s="700"/>
      <c r="M983" s="870"/>
      <c r="N983" s="399"/>
      <c r="O983" s="209"/>
      <c r="P983" s="101"/>
      <c r="Q983" s="1507"/>
      <c r="R983" s="1525"/>
      <c r="S983" s="1504"/>
      <c r="V983" s="1325"/>
      <c r="W983" s="1325"/>
      <c r="X983" s="1325"/>
    </row>
    <row r="984" spans="1:24" s="863" customFormat="1" ht="14.25" customHeight="1" thickTop="1" thickBot="1">
      <c r="A984" s="1482"/>
      <c r="B984" s="1482"/>
      <c r="C984" s="1483">
        <f t="shared" si="173"/>
        <v>6</v>
      </c>
      <c r="D984" s="1492">
        <f t="shared" si="174"/>
        <v>7</v>
      </c>
      <c r="E984" s="1492">
        <f t="shared" si="175"/>
        <v>1</v>
      </c>
      <c r="F984" s="1484" t="s">
        <v>11708</v>
      </c>
      <c r="G984" s="862"/>
      <c r="H984" s="1653" t="str">
        <f>"TOTAL ITEM: "&amp;J979 &amp;K979</f>
        <v>TOTAL ITEM: 6.7.1 SERVIÇOS PRELIMINARES</v>
      </c>
      <c r="I984" s="1654"/>
      <c r="J984" s="1654"/>
      <c r="K984" s="1654"/>
      <c r="L984" s="1654"/>
      <c r="M984" s="1654"/>
      <c r="N984" s="1654"/>
      <c r="O984" s="1654"/>
      <c r="P984" s="210">
        <f>SUBTOTAL(9,P981:P982)</f>
        <v>0</v>
      </c>
      <c r="Q984" s="1507"/>
      <c r="R984" s="1525"/>
      <c r="S984" s="1504"/>
      <c r="V984" s="1325"/>
      <c r="W984" s="1325"/>
      <c r="X984" s="1325"/>
    </row>
    <row r="985" spans="1:24" s="863" customFormat="1" ht="13.5" thickTop="1">
      <c r="A985" s="1482"/>
      <c r="B985" s="1482"/>
      <c r="C985" s="1483">
        <f t="shared" si="173"/>
        <v>6</v>
      </c>
      <c r="D985" s="1492">
        <f t="shared" si="174"/>
        <v>7</v>
      </c>
      <c r="E985" s="1492">
        <f t="shared" si="175"/>
        <v>1</v>
      </c>
      <c r="F985" s="1484" t="s">
        <v>11708</v>
      </c>
      <c r="G985" s="862"/>
      <c r="H985" s="929"/>
      <c r="I985" s="1371"/>
      <c r="J985" s="1022"/>
      <c r="K985" s="1371"/>
      <c r="L985" s="1371"/>
      <c r="M985" s="1536"/>
      <c r="N985" s="394"/>
      <c r="O985" s="728"/>
      <c r="P985" s="95"/>
      <c r="Q985" s="1507"/>
      <c r="R985" s="1525"/>
      <c r="S985" s="1504"/>
      <c r="V985" s="1325"/>
      <c r="W985" s="1325"/>
      <c r="X985" s="1325"/>
    </row>
    <row r="986" spans="1:24">
      <c r="A986" s="1482"/>
      <c r="B986" s="1482">
        <v>1</v>
      </c>
      <c r="C986" s="1483">
        <f t="shared" si="173"/>
        <v>6</v>
      </c>
      <c r="D986" s="1492">
        <f t="shared" si="174"/>
        <v>7</v>
      </c>
      <c r="E986" s="1492">
        <f t="shared" si="175"/>
        <v>2</v>
      </c>
      <c r="F986" s="1484" t="s">
        <v>11708</v>
      </c>
      <c r="H986" s="1514" t="s">
        <v>11703</v>
      </c>
      <c r="I986" s="1515" t="s">
        <v>64</v>
      </c>
      <c r="J986" s="1516" t="str">
        <f>CONCATENATE(C986,".",D986,".",E986)</f>
        <v>6.7.2</v>
      </c>
      <c r="K986" s="1516" t="s">
        <v>11710</v>
      </c>
      <c r="L986" s="1517" t="s">
        <v>25</v>
      </c>
      <c r="M986" s="1518" t="s">
        <v>11704</v>
      </c>
      <c r="N986" s="398" t="s">
        <v>11705</v>
      </c>
      <c r="O986" s="207" t="s">
        <v>11706</v>
      </c>
      <c r="P986" s="208" t="s">
        <v>27</v>
      </c>
      <c r="Q986" s="1472" t="s">
        <v>11704</v>
      </c>
    </row>
    <row r="987" spans="1:24">
      <c r="A987" s="1482"/>
      <c r="B987" s="1482"/>
      <c r="C987" s="1483">
        <f t="shared" si="173"/>
        <v>6</v>
      </c>
      <c r="D987" s="1492">
        <f t="shared" si="174"/>
        <v>7</v>
      </c>
      <c r="E987" s="1492">
        <f t="shared" si="175"/>
        <v>2</v>
      </c>
      <c r="F987" s="1484" t="s">
        <v>11708</v>
      </c>
      <c r="H987" s="826"/>
      <c r="I987" s="790"/>
      <c r="J987" s="824"/>
      <c r="K987" s="790"/>
      <c r="L987" s="700"/>
      <c r="M987" s="870"/>
      <c r="N987" s="399"/>
      <c r="O987" s="121"/>
      <c r="P987" s="101"/>
    </row>
    <row r="988" spans="1:24" ht="56.25">
      <c r="A988" s="1482"/>
      <c r="B988" s="1482"/>
      <c r="C988" s="1483">
        <f t="shared" si="173"/>
        <v>6</v>
      </c>
      <c r="D988" s="1492">
        <f t="shared" si="174"/>
        <v>7</v>
      </c>
      <c r="E988" s="1492">
        <f t="shared" si="175"/>
        <v>2</v>
      </c>
      <c r="F988" s="1484" t="s">
        <v>11708</v>
      </c>
      <c r="G988" s="862" t="s">
        <v>12371</v>
      </c>
      <c r="H988" s="823" t="str">
        <f>VLOOKUP(G988,HIPOCLORITO!A:M,2,0)</f>
        <v>SINAPI</v>
      </c>
      <c r="I988" s="700">
        <f>VLOOKUP(G988,HIPOCLORITO!A:M,3,0)</f>
        <v>90105</v>
      </c>
      <c r="J988" s="824"/>
      <c r="K988" s="790" t="str">
        <f>(IF(H988="Saneago",VLOOKUP(I988,'SANEAGO-FEV.2016'!A:B,2,0),IF(H988="Sinapi",VLOOKUP(I988,'SINAPI-FEV.2017'!A:D,2,0),IF(H988="Cotação",VLOOKUP(I988,COTAÇÃO!A:D,2,0),IF(H988="Composição",VLOOKUP(I988,COMPOSIÇÃO!A:D,2,0))))))</f>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
      <c r="L988" s="700" t="str">
        <f>(IF(H988="Saneago",VLOOKUP(I988,'SANEAGO-FEV.2016'!A:D,3,0),IF(H988="Sinapi",VLOOKUP(I988,'SINAPI-FEV.2017'!A:D,3,0),IF(H988="Cotação",VLOOKUP(I988,COTAÇÃO!A:D,3,0),IF(H988="Composição",VLOOKUP(I988,COMPOSIÇÃO!A:D,3,0))))))</f>
        <v>M3</v>
      </c>
      <c r="M988" s="870">
        <f>ROUND(VLOOKUP(G988,HIPOCLORITO!A:M,13,0),2)</f>
        <v>101.23</v>
      </c>
      <c r="N988" s="399">
        <v>0</v>
      </c>
      <c r="O988" s="102">
        <f t="shared" ref="O988:O997" si="176">ROUND(IF(F988="Serviços",N988*(1+$O$7),IF(F988="Materiais",N988*(1+$O$8))),2)</f>
        <v>0</v>
      </c>
      <c r="P988" s="101">
        <f t="shared" ref="P988:P997" si="177">ROUND(M988*O988,2)</f>
        <v>0</v>
      </c>
      <c r="Q988" s="1472">
        <v>101.23</v>
      </c>
    </row>
    <row r="989" spans="1:24" ht="33.75">
      <c r="A989" s="1482"/>
      <c r="B989" s="1482"/>
      <c r="C989" s="1483">
        <f t="shared" si="173"/>
        <v>6</v>
      </c>
      <c r="D989" s="1492">
        <f t="shared" si="174"/>
        <v>7</v>
      </c>
      <c r="E989" s="1492">
        <f t="shared" si="175"/>
        <v>2</v>
      </c>
      <c r="F989" s="1484" t="s">
        <v>11708</v>
      </c>
      <c r="G989" s="862" t="s">
        <v>12373</v>
      </c>
      <c r="H989" s="823" t="str">
        <f>VLOOKUP(G989,HIPOCLORITO!A:M,2,0)</f>
        <v>Saneago</v>
      </c>
      <c r="I989" s="700">
        <f>VLOOKUP(G989,HIPOCLORITO!A:M,3,0)</f>
        <v>184</v>
      </c>
      <c r="J989" s="824"/>
      <c r="K989" s="790" t="str">
        <f>(IF(H989="Saneago",VLOOKUP(I989,'SANEAGO-FEV.2016'!A:B,2,0),IF(H989="Sinapi",VLOOKUP(I989,'SINAPI-FEV.2017'!A:D,2,0),IF(H989="Cotação",VLOOKUP(I989,COTAÇÃO!A:D,2,0),IF(H989="Composição",VLOOKUP(I989,COMPOSIÇÃO!A:D,2,0))))))</f>
        <v>ESCAVAÇÃO  MECANIZADA  (COM ESCAVADEIRA HIDRÁULICA)  EM VALAS COM MATERIAL DE 2ª CATEGORIA
- PROFUNDIDADE ATÉ 2,0 M</v>
      </c>
      <c r="L989" s="700" t="str">
        <f>(IF(H989="Saneago",VLOOKUP(I989,'SANEAGO-FEV.2016'!A:D,3,0),IF(H989="Sinapi",VLOOKUP(I989,'SINAPI-FEV.2017'!A:D,3,0),IF(H989="Cotação",VLOOKUP(I989,COTAÇÃO!A:D,3,0),IF(H989="Composição",VLOOKUP(I989,COMPOSIÇÃO!A:D,3,0))))))</f>
        <v>M3</v>
      </c>
      <c r="M989" s="870">
        <f>ROUND(VLOOKUP(G989,HIPOCLORITO!A:M,13,0),2)</f>
        <v>5.62</v>
      </c>
      <c r="N989" s="399">
        <v>0</v>
      </c>
      <c r="O989" s="102">
        <f t="shared" si="176"/>
        <v>0</v>
      </c>
      <c r="P989" s="101">
        <f t="shared" si="177"/>
        <v>0</v>
      </c>
      <c r="Q989" s="1472">
        <v>5.62</v>
      </c>
    </row>
    <row r="990" spans="1:24" ht="22.5">
      <c r="A990" s="1482"/>
      <c r="B990" s="1482"/>
      <c r="C990" s="1483">
        <f t="shared" si="173"/>
        <v>6</v>
      </c>
      <c r="D990" s="1492">
        <f t="shared" si="174"/>
        <v>7</v>
      </c>
      <c r="E990" s="1492">
        <f t="shared" si="175"/>
        <v>2</v>
      </c>
      <c r="F990" s="1484" t="s">
        <v>11708</v>
      </c>
      <c r="G990" s="862" t="s">
        <v>12375</v>
      </c>
      <c r="H990" s="823" t="str">
        <f>VLOOKUP(G990,HIPOCLORITO!A:M,2,0)</f>
        <v>Saneago</v>
      </c>
      <c r="I990" s="700">
        <f>VLOOKUP(G990,HIPOCLORITO!A:M,3,0)</f>
        <v>187</v>
      </c>
      <c r="J990" s="824"/>
      <c r="K990" s="790" t="str">
        <f>(IF(H990="Saneago",VLOOKUP(I990,'SANEAGO-FEV.2016'!A:B,2,0),IF(H990="Sinapi",VLOOKUP(I990,'SINAPI-FEV.2017'!A:D,2,0),IF(H990="Cotação",VLOOKUP(I990,COTAÇÃO!A:D,2,0),IF(H990="Composição",VLOOKUP(I990,COMPOSIÇÃO!A:D,2,0))))))</f>
        <v>ESCAVAÇÃO  MECANIZADA  (COM ESCAVADEIRA HIDRÁULICA)  EM VALAS COM MATERIAL  DE SOLO MOLE - PROFUNDIDADE ATÉ 2,0 M</v>
      </c>
      <c r="L990" s="700" t="str">
        <f>(IF(H990="Saneago",VLOOKUP(I990,'SANEAGO-FEV.2016'!A:D,3,0),IF(H990="Sinapi",VLOOKUP(I990,'SINAPI-FEV.2017'!A:D,3,0),IF(H990="Cotação",VLOOKUP(I990,COTAÇÃO!A:D,3,0),IF(H990="Composição",VLOOKUP(I990,COMPOSIÇÃO!A:D,3,0))))))</f>
        <v>M3</v>
      </c>
      <c r="M990" s="870">
        <f>ROUND(VLOOKUP(G990,HIPOCLORITO!A:M,13,0),2)</f>
        <v>5.62</v>
      </c>
      <c r="N990" s="399">
        <v>0</v>
      </c>
      <c r="O990" s="102">
        <f t="shared" si="176"/>
        <v>0</v>
      </c>
      <c r="P990" s="101">
        <f t="shared" si="177"/>
        <v>0</v>
      </c>
      <c r="Q990" s="1472">
        <v>5.62</v>
      </c>
    </row>
    <row r="991" spans="1:24">
      <c r="A991" s="1482"/>
      <c r="B991" s="1482"/>
      <c r="C991" s="1483">
        <f t="shared" si="173"/>
        <v>6</v>
      </c>
      <c r="D991" s="1492">
        <f t="shared" si="174"/>
        <v>7</v>
      </c>
      <c r="E991" s="1492">
        <f t="shared" si="175"/>
        <v>2</v>
      </c>
      <c r="F991" s="1484" t="s">
        <v>11708</v>
      </c>
      <c r="G991" s="862" t="s">
        <v>12377</v>
      </c>
      <c r="H991" s="823" t="str">
        <f>VLOOKUP(G991,HIPOCLORITO!A:M,2,0)</f>
        <v>SINAPI</v>
      </c>
      <c r="I991" s="700">
        <f>VLOOKUP(G991,HIPOCLORITO!A:M,3,0)</f>
        <v>93358</v>
      </c>
      <c r="J991" s="824"/>
      <c r="K991" s="790" t="str">
        <f>(IF(H991="Saneago",VLOOKUP(I991,'SANEAGO-FEV.2016'!A:B,2,0),IF(H991="Sinapi",VLOOKUP(I991,'SINAPI-FEV.2017'!A:D,2,0),IF(H991="Cotação",VLOOKUP(I991,COTAÇÃO!A:D,2,0),IF(H991="Composição",VLOOKUP(I991,COMPOSIÇÃO!A:D,2,0))))))</f>
        <v>ESCAVAÇÃO MANUAL DE VALAS. AF_03/2016</v>
      </c>
      <c r="L991" s="700" t="str">
        <f>(IF(H991="Saneago",VLOOKUP(I991,'SANEAGO-FEV.2016'!A:D,3,0),IF(H991="Sinapi",VLOOKUP(I991,'SINAPI-FEV.2017'!A:D,3,0),IF(H991="Cotação",VLOOKUP(I991,COTAÇÃO!A:D,3,0),IF(H991="Composição",VLOOKUP(I991,COMPOSIÇÃO!A:D,3,0))))))</f>
        <v>M3</v>
      </c>
      <c r="M991" s="870">
        <f>ROUND(VLOOKUP(G991,HIPOCLORITO!A:M,13,0),2)</f>
        <v>5.33</v>
      </c>
      <c r="N991" s="399">
        <v>0</v>
      </c>
      <c r="O991" s="102">
        <f t="shared" si="176"/>
        <v>0</v>
      </c>
      <c r="P991" s="101">
        <f t="shared" si="177"/>
        <v>0</v>
      </c>
      <c r="Q991" s="1472">
        <v>5.33</v>
      </c>
    </row>
    <row r="992" spans="1:24" ht="22.5">
      <c r="A992" s="1482"/>
      <c r="B992" s="1482"/>
      <c r="C992" s="1483">
        <f t="shared" si="173"/>
        <v>6</v>
      </c>
      <c r="D992" s="1492">
        <f t="shared" si="174"/>
        <v>7</v>
      </c>
      <c r="E992" s="1492">
        <f t="shared" si="175"/>
        <v>2</v>
      </c>
      <c r="F992" s="1484" t="s">
        <v>11708</v>
      </c>
      <c r="G992" s="862" t="s">
        <v>12379</v>
      </c>
      <c r="H992" s="823" t="str">
        <f>VLOOKUP(G992,HIPOCLORITO!A:M,2,0)</f>
        <v>Saneago</v>
      </c>
      <c r="I992" s="700">
        <f>VLOOKUP(G992,HIPOCLORITO!A:M,3,0)</f>
        <v>170</v>
      </c>
      <c r="J992" s="824"/>
      <c r="K992" s="790" t="str">
        <f>(IF(H992="Saneago",VLOOKUP(I992,'SANEAGO-FEV.2016'!A:B,2,0),IF(H992="Sinapi",VLOOKUP(I992,'SINAPI-FEV.2017'!A:D,2,0),IF(H992="Cotação",VLOOKUP(I992,COTAÇÃO!A:D,2,0),IF(H992="Composição",VLOOKUP(I992,COMPOSIÇÃO!A:D,2,0))))))</f>
        <v>ESCAVAÇÃO  MANUAL EM VALAS COM MATERIAL DE 2ª CATEGORIA  - PROFUNDIDADE ATÉ 2,0 M</v>
      </c>
      <c r="L992" s="700" t="str">
        <f>(IF(H992="Saneago",VLOOKUP(I992,'SANEAGO-FEV.2016'!A:D,3,0),IF(H992="Sinapi",VLOOKUP(I992,'SINAPI-FEV.2017'!A:D,3,0),IF(H992="Cotação",VLOOKUP(I992,COTAÇÃO!A:D,3,0),IF(H992="Composição",VLOOKUP(I992,COMPOSIÇÃO!A:D,3,0))))))</f>
        <v>M3</v>
      </c>
      <c r="M992" s="870">
        <f>ROUND(VLOOKUP(G992,HIPOCLORITO!A:M,13,0),2)</f>
        <v>0.3</v>
      </c>
      <c r="N992" s="399">
        <v>0</v>
      </c>
      <c r="O992" s="102">
        <f t="shared" si="176"/>
        <v>0</v>
      </c>
      <c r="P992" s="101">
        <f t="shared" si="177"/>
        <v>0</v>
      </c>
      <c r="Q992" s="1472">
        <v>0.3</v>
      </c>
    </row>
    <row r="993" spans="1:17" ht="33.75">
      <c r="A993" s="1482"/>
      <c r="B993" s="1482"/>
      <c r="C993" s="1483">
        <f t="shared" si="173"/>
        <v>6</v>
      </c>
      <c r="D993" s="1492">
        <f t="shared" si="174"/>
        <v>7</v>
      </c>
      <c r="E993" s="1492">
        <f t="shared" si="175"/>
        <v>2</v>
      </c>
      <c r="F993" s="1484" t="s">
        <v>11708</v>
      </c>
      <c r="G993" s="862" t="s">
        <v>12381</v>
      </c>
      <c r="H993" s="823" t="str">
        <f>VLOOKUP(G993,HIPOCLORITO!A:M,2,0)</f>
        <v>Saneago</v>
      </c>
      <c r="I993" s="700">
        <f>VLOOKUP(G993,HIPOCLORITO!A:M,3,0)</f>
        <v>172</v>
      </c>
      <c r="J993" s="824"/>
      <c r="K993" s="790" t="str">
        <f>(IF(H993="Saneago",VLOOKUP(I993,'SANEAGO-FEV.2016'!A:B,2,0),IF(H993="Sinapi",VLOOKUP(I993,'SINAPI-FEV.2017'!A:D,2,0),IF(H993="Cotação",VLOOKUP(I993,COTAÇÃO!A:D,2,0),IF(H993="Composição",VLOOKUP(I993,COMPOSIÇÃO!A:D,2,0))))))</f>
        <v>ESCAVAÇÃO   MANUAL   EM  VALAS  COM  MATERIAL   DE  3ª  CATEGORIA   SEM  USO  DE  EXPLOSIVO   COM UTILIZAÇÃO  DE COMPRESSOR E ROMPEDOR  -  PROFUNDIDADE ATÉ 2,0M</v>
      </c>
      <c r="L993" s="700" t="str">
        <f>(IF(H993="Saneago",VLOOKUP(I993,'SANEAGO-FEV.2016'!A:D,3,0),IF(H993="Sinapi",VLOOKUP(I993,'SINAPI-FEV.2017'!A:D,3,0),IF(H993="Cotação",VLOOKUP(I993,COTAÇÃO!A:D,3,0),IF(H993="Composição",VLOOKUP(I993,COMPOSIÇÃO!A:D,3,0))))))</f>
        <v>M3</v>
      </c>
      <c r="M993" s="870">
        <f>ROUND(VLOOKUP(G993,HIPOCLORITO!A:M,13,0),2)</f>
        <v>0.3</v>
      </c>
      <c r="N993" s="399">
        <v>0</v>
      </c>
      <c r="O993" s="102">
        <f t="shared" si="176"/>
        <v>0</v>
      </c>
      <c r="P993" s="101">
        <f t="shared" si="177"/>
        <v>0</v>
      </c>
      <c r="Q993" s="1472">
        <v>0.3</v>
      </c>
    </row>
    <row r="994" spans="1:17">
      <c r="A994" s="1482"/>
      <c r="B994" s="1482"/>
      <c r="C994" s="1483">
        <f t="shared" si="173"/>
        <v>6</v>
      </c>
      <c r="D994" s="1492">
        <f t="shared" si="174"/>
        <v>7</v>
      </c>
      <c r="E994" s="1492">
        <f t="shared" si="175"/>
        <v>2</v>
      </c>
      <c r="F994" s="1484" t="s">
        <v>11708</v>
      </c>
      <c r="G994" s="862" t="s">
        <v>12383</v>
      </c>
      <c r="H994" s="823" t="str">
        <f>VLOOKUP(G994,HIPOCLORITO!A:M,2,0)</f>
        <v>SINAPI</v>
      </c>
      <c r="I994" s="700" t="str">
        <f>VLOOKUP(G994,HIPOCLORITO!A:M,3,0)</f>
        <v>73891/1</v>
      </c>
      <c r="J994" s="824"/>
      <c r="K994" s="790" t="str">
        <f>(IF(H994="Saneago",VLOOKUP(I994,'SANEAGO-FEV.2016'!A:B,2,0),IF(H994="Sinapi",VLOOKUP(I994,'SINAPI-FEV.2017'!A:D,2,0),IF(H994="Cotação",VLOOKUP(I994,COTAÇÃO!A:D,2,0),IF(H994="Composição",VLOOKUP(I994,COMPOSIÇÃO!A:D,2,0))))))</f>
        <v>ESGOTAMENTO COM MOTO-BOMBA AUTOESCOVANTE</v>
      </c>
      <c r="L994" s="700" t="str">
        <f>(IF(H994="Saneago",VLOOKUP(I994,'SANEAGO-FEV.2016'!A:D,3,0),IF(H994="Sinapi",VLOOKUP(I994,'SINAPI-FEV.2017'!A:D,3,0),IF(H994="Cotação",VLOOKUP(I994,COTAÇÃO!A:D,3,0),IF(H994="Composição",VLOOKUP(I994,COMPOSIÇÃO!A:D,3,0))))))</f>
        <v>H</v>
      </c>
      <c r="M994" s="870">
        <f>ROUND(VLOOKUP(G994,HIPOCLORITO!A:M,13,0),2)</f>
        <v>5</v>
      </c>
      <c r="N994" s="399">
        <v>0</v>
      </c>
      <c r="O994" s="102">
        <f t="shared" si="176"/>
        <v>0</v>
      </c>
      <c r="P994" s="101">
        <f t="shared" si="177"/>
        <v>0</v>
      </c>
      <c r="Q994" s="1472">
        <v>5</v>
      </c>
    </row>
    <row r="995" spans="1:17">
      <c r="A995" s="1482"/>
      <c r="B995" s="1482"/>
      <c r="C995" s="1483">
        <f t="shared" si="173"/>
        <v>6</v>
      </c>
      <c r="D995" s="1492">
        <f t="shared" si="174"/>
        <v>7</v>
      </c>
      <c r="E995" s="1492">
        <f t="shared" si="175"/>
        <v>2</v>
      </c>
      <c r="F995" s="1484" t="s">
        <v>11708</v>
      </c>
      <c r="G995" s="862" t="s">
        <v>12384</v>
      </c>
      <c r="H995" s="823" t="str">
        <f>VLOOKUP(G995,HIPOCLORITO!A:M,2,0)</f>
        <v>SINAPI</v>
      </c>
      <c r="I995" s="700">
        <f>VLOOKUP(G995,HIPOCLORITO!A:M,3,0)</f>
        <v>79472</v>
      </c>
      <c r="J995" s="824"/>
      <c r="K995" s="790" t="str">
        <f>(IF(H995="Saneago",VLOOKUP(I995,'SANEAGO-FEV.2016'!A:B,2,0),IF(H995="Sinapi",VLOOKUP(I995,'SINAPI-FEV.2017'!A:D,2,0),IF(H995="Cotação",VLOOKUP(I995,COTAÇÃO!A:D,2,0),IF(H995="Composição",VLOOKUP(I995,COMPOSIÇÃO!A:D,2,0))))))</f>
        <v>REGULARIZACAO DE SUPERFICIES EM TERRA COM MOTONIVELADORA</v>
      </c>
      <c r="L995" s="700" t="str">
        <f>(IF(H995="Saneago",VLOOKUP(I995,'SANEAGO-FEV.2016'!A:D,3,0),IF(H995="Sinapi",VLOOKUP(I995,'SINAPI-FEV.2017'!A:D,3,0),IF(H995="Cotação",VLOOKUP(I995,COTAÇÃO!A:D,3,0),IF(H995="Composição",VLOOKUP(I995,COMPOSIÇÃO!A:D,3,0))))))</f>
        <v>M2</v>
      </c>
      <c r="M995" s="870">
        <f>ROUND(VLOOKUP(G995,HIPOCLORITO!A:M,13,0),2)</f>
        <v>46.8</v>
      </c>
      <c r="N995" s="399">
        <v>0</v>
      </c>
      <c r="O995" s="102">
        <f t="shared" si="176"/>
        <v>0</v>
      </c>
      <c r="P995" s="101">
        <f t="shared" si="177"/>
        <v>0</v>
      </c>
      <c r="Q995" s="1472">
        <v>46.8</v>
      </c>
    </row>
    <row r="996" spans="1:17" ht="45">
      <c r="A996" s="1482"/>
      <c r="B996" s="1482"/>
      <c r="C996" s="1483">
        <f t="shared" si="173"/>
        <v>6</v>
      </c>
      <c r="D996" s="1492">
        <f t="shared" si="174"/>
        <v>7</v>
      </c>
      <c r="E996" s="1492">
        <f t="shared" si="175"/>
        <v>2</v>
      </c>
      <c r="F996" s="1484" t="s">
        <v>11708</v>
      </c>
      <c r="G996" s="862" t="s">
        <v>12385</v>
      </c>
      <c r="H996" s="823" t="str">
        <f>VLOOKUP(G996,HIPOCLORITO!A:M,2,0)</f>
        <v>SINAPI</v>
      </c>
      <c r="I996" s="700">
        <f>VLOOKUP(G996,HIPOCLORITO!A:M,3,0)</f>
        <v>93367</v>
      </c>
      <c r="J996" s="824"/>
      <c r="K996" s="790" t="str">
        <f>(IF(H996="Saneago",VLOOKUP(I996,'SANEAGO-FEV.2016'!A:B,2,0),IF(H996="Sinapi",VLOOKUP(I996,'SINAPI-FEV.2017'!A:D,2,0),IF(H996="Cotação",VLOOKUP(I996,COTAÇÃO!A:D,2,0),IF(H996="Composição",VLOOKUP(I996,COMPOSIÇÃO!A:D,2,0))))))</f>
        <v>REATERRO MECANIZADO DE VALA COM ESCAVADEIRA HIDRÁULICA (CAPACIDADE DA CAÇAMBA: 0,8 M³ / POTÊNCIA: 111 HP), LARGURA DE 1,5 A 2,5 M, PROFUNDIDADE ATÉ 1,5 M, COM SOLO (SEM SUBSTITUIÇÃO) DE 1ª CATEGORIA EM LOCAIS COM BAIXO NÍVEL DE INTERFERÊNCIA. AF_04/2016</v>
      </c>
      <c r="L996" s="700" t="str">
        <f>(IF(H996="Saneago",VLOOKUP(I996,'SANEAGO-FEV.2016'!A:D,3,0),IF(H996="Sinapi",VLOOKUP(I996,'SINAPI-FEV.2017'!A:D,3,0),IF(H996="Cotação",VLOOKUP(I996,COTAÇÃO!A:D,3,0),IF(H996="Composição",VLOOKUP(I996,COMPOSIÇÃO!A:D,3,0))))))</f>
        <v>M3</v>
      </c>
      <c r="M996" s="870">
        <f>ROUND(VLOOKUP(G996,HIPOCLORITO!A:M,13,0),2)</f>
        <v>88.67</v>
      </c>
      <c r="N996" s="399">
        <v>0</v>
      </c>
      <c r="O996" s="102">
        <f t="shared" si="176"/>
        <v>0</v>
      </c>
      <c r="P996" s="101">
        <f t="shared" si="177"/>
        <v>0</v>
      </c>
      <c r="Q996" s="1472">
        <v>88.67</v>
      </c>
    </row>
    <row r="997" spans="1:17">
      <c r="A997" s="1482"/>
      <c r="B997" s="1482"/>
      <c r="C997" s="1483">
        <f t="shared" si="173"/>
        <v>6</v>
      </c>
      <c r="D997" s="1492">
        <f t="shared" si="174"/>
        <v>7</v>
      </c>
      <c r="E997" s="1492">
        <f t="shared" si="175"/>
        <v>2</v>
      </c>
      <c r="F997" s="1484" t="s">
        <v>11708</v>
      </c>
      <c r="G997" s="862" t="s">
        <v>12386</v>
      </c>
      <c r="H997" s="823" t="str">
        <f>VLOOKUP(G997,HIPOCLORITO!A:M,2,0)</f>
        <v>SINAPI</v>
      </c>
      <c r="I997" s="700" t="str">
        <f>VLOOKUP(G997,HIPOCLORITO!A:M,3,0)</f>
        <v>73964/6</v>
      </c>
      <c r="J997" s="824"/>
      <c r="K997" s="790" t="str">
        <f>(IF(H997="Saneago",VLOOKUP(I997,'SANEAGO-FEV.2016'!A:B,2,0),IF(H997="Sinapi",VLOOKUP(I997,'SINAPI-FEV.2017'!A:D,2,0),IF(H997="Cotação",VLOOKUP(I997,COTAÇÃO!A:D,2,0),IF(H997="Composição",VLOOKUP(I997,COMPOSIÇÃO!A:D,2,0))))))</f>
        <v>REATERRO DE VALA COM COMPACTAÇÃO MANUAL</v>
      </c>
      <c r="L997" s="700" t="str">
        <f>(IF(H997="Saneago",VLOOKUP(I997,'SANEAGO-FEV.2016'!A:D,3,0),IF(H997="Sinapi",VLOOKUP(I997,'SINAPI-FEV.2017'!A:D,3,0),IF(H997="Cotação",VLOOKUP(I997,COTAÇÃO!A:D,3,0),IF(H997="Composição",VLOOKUP(I997,COMPOSIÇÃO!A:D,3,0))))))</f>
        <v>M3</v>
      </c>
      <c r="M997" s="870">
        <f>ROUND(VLOOKUP(G997,HIPOCLORITO!A:M,13,0),2)</f>
        <v>9.85</v>
      </c>
      <c r="N997" s="399">
        <v>0</v>
      </c>
      <c r="O997" s="102">
        <f t="shared" si="176"/>
        <v>0</v>
      </c>
      <c r="P997" s="101">
        <f t="shared" si="177"/>
        <v>0</v>
      </c>
      <c r="Q997" s="1472">
        <v>9.85</v>
      </c>
    </row>
    <row r="998" spans="1:17" ht="15.75" thickBot="1">
      <c r="A998" s="1482"/>
      <c r="B998" s="1482"/>
      <c r="C998" s="1483">
        <f t="shared" si="173"/>
        <v>6</v>
      </c>
      <c r="D998" s="1492">
        <f t="shared" si="174"/>
        <v>7</v>
      </c>
      <c r="E998" s="1492">
        <f t="shared" si="175"/>
        <v>2</v>
      </c>
      <c r="F998" s="1484" t="s">
        <v>11708</v>
      </c>
      <c r="H998" s="1095"/>
      <c r="I998" s="780"/>
      <c r="J998" s="834"/>
      <c r="K998" s="780"/>
      <c r="L998" s="780"/>
      <c r="M998" s="1270"/>
      <c r="N998" s="400"/>
      <c r="O998" s="122"/>
      <c r="P998" s="123"/>
    </row>
    <row r="999" spans="1:17" ht="16.5" customHeight="1" thickTop="1" thickBot="1">
      <c r="A999" s="1482"/>
      <c r="B999" s="1482"/>
      <c r="C999" s="1483">
        <f t="shared" si="173"/>
        <v>6</v>
      </c>
      <c r="D999" s="1492">
        <f t="shared" si="174"/>
        <v>7</v>
      </c>
      <c r="E999" s="1492">
        <f t="shared" si="175"/>
        <v>2</v>
      </c>
      <c r="F999" s="1484" t="s">
        <v>11708</v>
      </c>
      <c r="H999" s="1653" t="str">
        <f>"TOTAL ITEM: "&amp;J986 &amp;K986</f>
        <v>TOTAL ITEM: 6.7.2 MOVIMENTO DE TERRA</v>
      </c>
      <c r="I999" s="1654"/>
      <c r="J999" s="1654"/>
      <c r="K999" s="1654"/>
      <c r="L999" s="1654"/>
      <c r="M999" s="1654"/>
      <c r="N999" s="1654"/>
      <c r="O999" s="1654"/>
      <c r="P999" s="210">
        <f>SUBTOTAL(9,P988:P997)</f>
        <v>0</v>
      </c>
    </row>
    <row r="1000" spans="1:17" ht="15.75" thickTop="1">
      <c r="A1000" s="1482"/>
      <c r="B1000" s="1482"/>
      <c r="C1000" s="1483">
        <f t="shared" si="173"/>
        <v>6</v>
      </c>
      <c r="D1000" s="1492">
        <f t="shared" si="174"/>
        <v>7</v>
      </c>
      <c r="E1000" s="1492">
        <f t="shared" si="175"/>
        <v>2</v>
      </c>
      <c r="F1000" s="1484" t="s">
        <v>11708</v>
      </c>
      <c r="H1000" s="1095"/>
      <c r="I1000" s="780"/>
      <c r="J1000" s="834"/>
      <c r="K1000" s="780"/>
      <c r="L1000" s="780"/>
      <c r="M1000" s="1270"/>
      <c r="N1000" s="400"/>
      <c r="O1000" s="122"/>
      <c r="P1000" s="123"/>
    </row>
    <row r="1001" spans="1:17">
      <c r="A1001" s="1482"/>
      <c r="B1001" s="1482">
        <v>1</v>
      </c>
      <c r="C1001" s="1483">
        <f t="shared" si="173"/>
        <v>6</v>
      </c>
      <c r="D1001" s="1492">
        <f t="shared" si="174"/>
        <v>7</v>
      </c>
      <c r="E1001" s="1492">
        <f t="shared" si="175"/>
        <v>3</v>
      </c>
      <c r="F1001" s="1484" t="s">
        <v>11708</v>
      </c>
      <c r="H1001" s="1514" t="s">
        <v>11703</v>
      </c>
      <c r="I1001" s="1515" t="s">
        <v>64</v>
      </c>
      <c r="J1001" s="1516" t="str">
        <f>CONCATENATE(C1001,".",D1001,".",E1001)</f>
        <v>6.7.3</v>
      </c>
      <c r="K1001" s="1516" t="s">
        <v>11712</v>
      </c>
      <c r="L1001" s="1517" t="s">
        <v>25</v>
      </c>
      <c r="M1001" s="1518" t="s">
        <v>11704</v>
      </c>
      <c r="N1001" s="398" t="s">
        <v>11705</v>
      </c>
      <c r="O1001" s="207" t="s">
        <v>11706</v>
      </c>
      <c r="P1001" s="208" t="s">
        <v>27</v>
      </c>
      <c r="Q1001" s="1472" t="s">
        <v>11704</v>
      </c>
    </row>
    <row r="1002" spans="1:17">
      <c r="A1002" s="1482"/>
      <c r="B1002" s="1482"/>
      <c r="C1002" s="1483">
        <f t="shared" si="173"/>
        <v>6</v>
      </c>
      <c r="D1002" s="1492">
        <f t="shared" si="174"/>
        <v>7</v>
      </c>
      <c r="E1002" s="1492">
        <f t="shared" si="175"/>
        <v>3</v>
      </c>
      <c r="F1002" s="1484" t="s">
        <v>11708</v>
      </c>
      <c r="H1002" s="1095"/>
      <c r="I1002" s="780"/>
      <c r="J1002" s="834"/>
      <c r="K1002" s="780"/>
      <c r="L1002" s="780"/>
      <c r="M1002" s="1270"/>
      <c r="N1002" s="400"/>
      <c r="O1002" s="122"/>
      <c r="P1002" s="123"/>
    </row>
    <row r="1003" spans="1:17" ht="33.75">
      <c r="A1003" s="1482"/>
      <c r="B1003" s="1482"/>
      <c r="C1003" s="1483">
        <f t="shared" si="173"/>
        <v>6</v>
      </c>
      <c r="D1003" s="1492">
        <f t="shared" si="174"/>
        <v>7</v>
      </c>
      <c r="E1003" s="1492">
        <f t="shared" si="175"/>
        <v>3</v>
      </c>
      <c r="F1003" s="1484" t="s">
        <v>11708</v>
      </c>
      <c r="G1003" s="862" t="s">
        <v>12387</v>
      </c>
      <c r="H1003" s="823" t="str">
        <f>VLOOKUP(G1003,HIPOCLORITO!A:M,2,0)</f>
        <v>SINAPI</v>
      </c>
      <c r="I1003" s="700" t="str">
        <f>VLOOKUP(G1003,HIPOCLORITO!A:M,3,0)</f>
        <v>74010/1</v>
      </c>
      <c r="J1003" s="824"/>
      <c r="K1003" s="790" t="str">
        <f>(IF(H1003="Saneago",VLOOKUP(I1003,'SANEAGO-FEV.2016'!A:B,2,0),IF(H1003="Sinapi",VLOOKUP(I1003,'SINAPI-FEV.2017'!A:D,2,0),IF(H1003="Cotação",VLOOKUP(I1003,COTAÇÃO!A:D,2,0),IF(H1003="Composição",VLOOKUP(I1003,COMPOSIÇÃO!A:D,2,0))))))</f>
        <v>CARGA E DESCARGA MECANICA DE SOLO UTILIZANDO CAMINHAO BASCULANTE 6,0M3/16T E PA CARREGADEIRA SOBRE PNEUS 128 HP, CAPACIDADE DA CAÇAMBA 1,7 A 2,8 M3, PESO OPERACIONAL 11632 KG</v>
      </c>
      <c r="L1003" s="700" t="str">
        <f>(IF(H1003="Saneago",VLOOKUP(I1003,'SANEAGO-FEV.2016'!A:D,3,0),IF(H1003="Sinapi",VLOOKUP(I1003,'SINAPI-FEV.2017'!A:D,3,0),IF(H1003="Cotação",VLOOKUP(I1003,COTAÇÃO!A:D,3,0),IF(H1003="Composição",VLOOKUP(I1003,COMPOSIÇÃO!A:D,3,0))))))</f>
        <v>M3</v>
      </c>
      <c r="M1003" s="870">
        <f>ROUND(VLOOKUP(G1003,HIPOCLORITO!A:M,13,0),2)</f>
        <v>22.85</v>
      </c>
      <c r="N1003" s="399">
        <v>0</v>
      </c>
      <c r="O1003" s="102">
        <f>ROUND(IF(F1003="Serviços",N1003*(1+$O$7),IF(F1003="Materiais",N1003*(1+$O$8))),2)</f>
        <v>0</v>
      </c>
      <c r="P1003" s="101">
        <f>ROUND(M1003*O1003,2)</f>
        <v>0</v>
      </c>
      <c r="Q1003" s="1472">
        <v>22.85</v>
      </c>
    </row>
    <row r="1004" spans="1:17" ht="22.5">
      <c r="A1004" s="1482"/>
      <c r="B1004" s="1482"/>
      <c r="C1004" s="1483">
        <f t="shared" si="173"/>
        <v>6</v>
      </c>
      <c r="D1004" s="1492">
        <f t="shared" si="174"/>
        <v>7</v>
      </c>
      <c r="E1004" s="1492">
        <f t="shared" si="175"/>
        <v>3</v>
      </c>
      <c r="F1004" s="1484" t="s">
        <v>11708</v>
      </c>
      <c r="G1004" s="862" t="s">
        <v>12388</v>
      </c>
      <c r="H1004" s="823" t="str">
        <f>VLOOKUP(G1004,HIPOCLORITO!A:M,2,0)</f>
        <v>SINAPI</v>
      </c>
      <c r="I1004" s="700">
        <f>VLOOKUP(G1004,HIPOCLORITO!A:M,3,0)</f>
        <v>93590</v>
      </c>
      <c r="J1004" s="824"/>
      <c r="K1004" s="790" t="str">
        <f>(IF(H1004="Saneago",VLOOKUP(I1004,'SANEAGO-FEV.2016'!A:B,2,0),IF(H1004="Sinapi",VLOOKUP(I1004,'SINAPI-FEV.2017'!A:D,2,0),IF(H1004="Cotação",VLOOKUP(I1004,COTAÇÃO!A:D,2,0),IF(H1004="Composição",VLOOKUP(I1004,COMPOSIÇÃO!A:D,2,0))))))</f>
        <v>TRANSPORTE COM CAMINHÃO BASCULANTE DE 10 M3, EM VIA URBANA PAVIMENTADA, DMT ACIMA DE 30KM (UNIDADE: M3XKM). AF_04/2016</v>
      </c>
      <c r="L1004" s="700" t="str">
        <f>(IF(H1004="Saneago",VLOOKUP(I1004,'SANEAGO-FEV.2016'!A:D,3,0),IF(H1004="Sinapi",VLOOKUP(I1004,'SINAPI-FEV.2017'!A:D,3,0),IF(H1004="Cotação",VLOOKUP(I1004,COTAÇÃO!A:D,3,0),IF(H1004="Composição",VLOOKUP(I1004,COMPOSIÇÃO!A:D,3,0))))))</f>
        <v>M3XKM</v>
      </c>
      <c r="M1004" s="870">
        <f>ROUND(VLOOKUP(G1004,HIPOCLORITO!A:M,13,0),2)</f>
        <v>171.4</v>
      </c>
      <c r="N1004" s="399">
        <v>0</v>
      </c>
      <c r="O1004" s="102">
        <f>ROUND(IF(F1004="Serviços",N1004*(1+$O$7),IF(F1004="Materiais",N1004*(1+$O$8))),2)</f>
        <v>0</v>
      </c>
      <c r="P1004" s="101">
        <f>ROUND(M1004*O1004,2)</f>
        <v>0</v>
      </c>
      <c r="Q1004" s="1472">
        <v>171.4</v>
      </c>
    </row>
    <row r="1005" spans="1:17" ht="22.5">
      <c r="A1005" s="1482"/>
      <c r="B1005" s="1482"/>
      <c r="C1005" s="1483">
        <f t="shared" si="173"/>
        <v>6</v>
      </c>
      <c r="D1005" s="1492">
        <f t="shared" si="174"/>
        <v>7</v>
      </c>
      <c r="E1005" s="1492">
        <f t="shared" si="175"/>
        <v>3</v>
      </c>
      <c r="F1005" s="1484" t="s">
        <v>11708</v>
      </c>
      <c r="G1005" s="862" t="s">
        <v>12389</v>
      </c>
      <c r="H1005" s="823" t="str">
        <f>VLOOKUP(G1005,HIPOCLORITO!A:M,2,0)</f>
        <v>SINAPI</v>
      </c>
      <c r="I1005" s="700">
        <f>VLOOKUP(G1005,HIPOCLORITO!A:M,3,0)</f>
        <v>83344</v>
      </c>
      <c r="J1005" s="824"/>
      <c r="K1005" s="790" t="str">
        <f>(IF(H1005="Saneago",VLOOKUP(I1005,'SANEAGO-FEV.2016'!A:B,2,0),IF(H1005="Sinapi",VLOOKUP(I1005,'SINAPI-FEV.2017'!A:D,2,0),IF(H1005="Cotação",VLOOKUP(I1005,COTAÇÃO!A:D,2,0),IF(H1005="Composição",VLOOKUP(I1005,COMPOSIÇÃO!A:D,2,0))))))</f>
        <v>ESPALHAMENTO DE MATERIAL EM BOTA FORA, COM UTILIZACAO DE TRATOR DE ESTEIRAS DE 165 HP</v>
      </c>
      <c r="L1005" s="700" t="str">
        <f>(IF(H1005="Saneago",VLOOKUP(I1005,'SANEAGO-FEV.2016'!A:D,3,0),IF(H1005="Sinapi",VLOOKUP(I1005,'SINAPI-FEV.2017'!A:D,3,0),IF(H1005="Cotação",VLOOKUP(I1005,COTAÇÃO!A:D,3,0),IF(H1005="Composição",VLOOKUP(I1005,COMPOSIÇÃO!A:D,3,0))))))</f>
        <v>M3</v>
      </c>
      <c r="M1005" s="870">
        <f>ROUND(VLOOKUP(G1005,HIPOCLORITO!A:M,13,0),2)</f>
        <v>22.85</v>
      </c>
      <c r="N1005" s="399">
        <v>0</v>
      </c>
      <c r="O1005" s="102">
        <f>ROUND(IF(F1005="Serviços",N1005*(1+$O$7),IF(F1005="Materiais",N1005*(1+$O$8))),2)</f>
        <v>0</v>
      </c>
      <c r="P1005" s="101">
        <f>ROUND(M1005*O1005,2)</f>
        <v>0</v>
      </c>
      <c r="Q1005" s="1472">
        <v>22.85</v>
      </c>
    </row>
    <row r="1006" spans="1:17" ht="15.75" thickBot="1">
      <c r="A1006" s="1482"/>
      <c r="B1006" s="1482"/>
      <c r="C1006" s="1483">
        <f t="shared" si="173"/>
        <v>6</v>
      </c>
      <c r="D1006" s="1492">
        <f t="shared" si="174"/>
        <v>7</v>
      </c>
      <c r="E1006" s="1492">
        <f t="shared" si="175"/>
        <v>3</v>
      </c>
      <c r="F1006" s="1484" t="s">
        <v>11708</v>
      </c>
      <c r="G1006" s="905"/>
      <c r="H1006" s="1095"/>
      <c r="I1006" s="780"/>
      <c r="J1006" s="834"/>
      <c r="K1006" s="780"/>
      <c r="L1006" s="780"/>
      <c r="M1006" s="1270"/>
      <c r="N1006" s="400"/>
      <c r="O1006" s="122"/>
      <c r="P1006" s="123"/>
    </row>
    <row r="1007" spans="1:17" ht="16.5" customHeight="1" thickTop="1" thickBot="1">
      <c r="A1007" s="1482"/>
      <c r="B1007" s="1482"/>
      <c r="C1007" s="1483">
        <f t="shared" si="173"/>
        <v>6</v>
      </c>
      <c r="D1007" s="1492">
        <f t="shared" si="174"/>
        <v>7</v>
      </c>
      <c r="E1007" s="1492">
        <f t="shared" si="175"/>
        <v>3</v>
      </c>
      <c r="F1007" s="1484" t="s">
        <v>11708</v>
      </c>
      <c r="G1007" s="862"/>
      <c r="H1007" s="1653" t="str">
        <f>"TOTAL ITEM: "&amp;J1001 &amp;K1001</f>
        <v>TOTAL ITEM: 6.7.3 BOTA FORA DE MATERIAL DE ESCAVAÇÃO (SOLO 1º E 2º CATEGORIA)</v>
      </c>
      <c r="I1007" s="1654"/>
      <c r="J1007" s="1654"/>
      <c r="K1007" s="1654"/>
      <c r="L1007" s="1654"/>
      <c r="M1007" s="1654"/>
      <c r="N1007" s="1654"/>
      <c r="O1007" s="1654"/>
      <c r="P1007" s="210">
        <f>SUBTOTAL(9,P1003:P1005)</f>
        <v>0</v>
      </c>
    </row>
    <row r="1008" spans="1:17" ht="15.75" thickTop="1">
      <c r="A1008" s="1482"/>
      <c r="B1008" s="1482"/>
      <c r="C1008" s="1483">
        <f t="shared" si="173"/>
        <v>6</v>
      </c>
      <c r="D1008" s="1492">
        <f t="shared" si="174"/>
        <v>7</v>
      </c>
      <c r="E1008" s="1492">
        <f t="shared" si="175"/>
        <v>3</v>
      </c>
      <c r="F1008" s="1484" t="s">
        <v>11708</v>
      </c>
      <c r="H1008" s="1095"/>
      <c r="I1008" s="780"/>
      <c r="J1008" s="834"/>
      <c r="K1008" s="780"/>
      <c r="L1008" s="780"/>
      <c r="M1008" s="1270"/>
      <c r="N1008" s="400"/>
      <c r="O1008" s="122"/>
      <c r="P1008" s="123"/>
    </row>
    <row r="1009" spans="1:17">
      <c r="A1009" s="1482"/>
      <c r="B1009" s="1482">
        <v>1</v>
      </c>
      <c r="C1009" s="1483">
        <f t="shared" si="173"/>
        <v>6</v>
      </c>
      <c r="D1009" s="1492">
        <f t="shared" si="174"/>
        <v>7</v>
      </c>
      <c r="E1009" s="1492">
        <f t="shared" si="175"/>
        <v>4</v>
      </c>
      <c r="F1009" s="1484" t="s">
        <v>11708</v>
      </c>
      <c r="H1009" s="1514" t="s">
        <v>11703</v>
      </c>
      <c r="I1009" s="1515" t="s">
        <v>64</v>
      </c>
      <c r="J1009" s="1516" t="str">
        <f>CONCATENATE(C1009,".",D1009,".",E1009)</f>
        <v>6.7.4</v>
      </c>
      <c r="K1009" s="1516" t="s">
        <v>1225</v>
      </c>
      <c r="L1009" s="1517" t="s">
        <v>25</v>
      </c>
      <c r="M1009" s="1518" t="s">
        <v>11704</v>
      </c>
      <c r="N1009" s="398" t="s">
        <v>11705</v>
      </c>
      <c r="O1009" s="207" t="s">
        <v>11706</v>
      </c>
      <c r="P1009" s="208" t="s">
        <v>27</v>
      </c>
      <c r="Q1009" s="1472" t="s">
        <v>11704</v>
      </c>
    </row>
    <row r="1010" spans="1:17">
      <c r="A1010" s="1482"/>
      <c r="B1010" s="1482"/>
      <c r="C1010" s="1483">
        <f t="shared" si="173"/>
        <v>6</v>
      </c>
      <c r="D1010" s="1492">
        <f t="shared" si="174"/>
        <v>7</v>
      </c>
      <c r="E1010" s="1492">
        <f t="shared" si="175"/>
        <v>4</v>
      </c>
      <c r="F1010" s="1484" t="s">
        <v>11708</v>
      </c>
      <c r="H1010" s="1095"/>
      <c r="I1010" s="780"/>
      <c r="J1010" s="834"/>
      <c r="K1010" s="780"/>
      <c r="L1010" s="780"/>
      <c r="M1010" s="1270"/>
      <c r="N1010" s="400"/>
      <c r="O1010" s="122"/>
      <c r="P1010" s="123"/>
    </row>
    <row r="1011" spans="1:17" ht="33.75">
      <c r="A1011" s="1482"/>
      <c r="B1011" s="1482"/>
      <c r="C1011" s="1483">
        <f t="shared" si="173"/>
        <v>6</v>
      </c>
      <c r="D1011" s="1492">
        <f t="shared" si="174"/>
        <v>7</v>
      </c>
      <c r="E1011" s="1492">
        <f t="shared" si="175"/>
        <v>4</v>
      </c>
      <c r="F1011" s="1484" t="s">
        <v>11708</v>
      </c>
      <c r="G1011" s="862" t="s">
        <v>12408</v>
      </c>
      <c r="H1011" s="823" t="str">
        <f>VLOOKUP(G1011,HIPOCLORITO!A:M,2,0)</f>
        <v>SINAPI</v>
      </c>
      <c r="I1011" s="700">
        <f>VLOOKUP(G1011,HIPOCLORITO!A:M,3,0)</f>
        <v>94116</v>
      </c>
      <c r="J1011" s="824"/>
      <c r="K1011" s="790" t="str">
        <f>(IF(H1011="Saneago",VLOOKUP(I1011,'SANEAGO-FEV.2016'!A:B,2,0),IF(H1011="Sinapi",VLOOKUP(I1011,'SINAPI-FEV.2017'!A:D,2,0),IF(H1011="Cotação",VLOOKUP(I1011,COTAÇÃO!A:D,2,0),IF(H1011="Composição",VLOOKUP(I1011,COMPOSIÇÃO!A:D,2,0))))))</f>
        <v>LASTRO COM PREPARO DE FUNDO, LARGURA MAIOR OU IGUAL A 1,5 M, COM CAMADA DE BRITA, LANÇAMENTO MECANIZADO, EM LOCAL COM NÍVEL BAIXO DE INTERFERÊNCIA. AF_06/2016</v>
      </c>
      <c r="L1011" s="700" t="str">
        <f>(IF(H1011="Saneago",VLOOKUP(I1011,'SANEAGO-FEV.2016'!A:D,3,0),IF(H1011="Sinapi",VLOOKUP(I1011,'SINAPI-FEV.2017'!A:D,3,0),IF(H1011="Cotação",VLOOKUP(I1011,COTAÇÃO!A:D,3,0),IF(H1011="Composição",VLOOKUP(I1011,COMPOSIÇÃO!A:D,3,0))))))</f>
        <v>M3</v>
      </c>
      <c r="M1011" s="870">
        <f>ROUND(VLOOKUP(G1011,HIPOCLORITO!A:M,13,0),2)</f>
        <v>7.02</v>
      </c>
      <c r="N1011" s="399">
        <v>0</v>
      </c>
      <c r="O1011" s="102">
        <f t="shared" ref="O1011:O1020" si="178">ROUND(IF(F1011="Serviços",N1011*(1+$O$7),IF(F1011="Materiais",N1011*(1+$O$8))),2)</f>
        <v>0</v>
      </c>
      <c r="P1011" s="101">
        <f t="shared" ref="P1011:P1020" si="179">ROUND(M1011*O1011,2)</f>
        <v>0</v>
      </c>
      <c r="Q1011" s="1472">
        <v>7.02</v>
      </c>
    </row>
    <row r="1012" spans="1:17" ht="22.5">
      <c r="A1012" s="1482"/>
      <c r="B1012" s="1482"/>
      <c r="C1012" s="1483">
        <f t="shared" si="173"/>
        <v>6</v>
      </c>
      <c r="D1012" s="1492">
        <f t="shared" si="174"/>
        <v>7</v>
      </c>
      <c r="E1012" s="1492">
        <f t="shared" si="175"/>
        <v>4</v>
      </c>
      <c r="F1012" s="1484" t="s">
        <v>11708</v>
      </c>
      <c r="G1012" s="862" t="s">
        <v>12409</v>
      </c>
      <c r="H1012" s="823" t="str">
        <f>VLOOKUP(G1012,HIPOCLORITO!A:M,2,0)</f>
        <v>SINAPI</v>
      </c>
      <c r="I1012" s="700">
        <f>VLOOKUP(G1012,HIPOCLORITO!A:M,3,0)</f>
        <v>95241</v>
      </c>
      <c r="J1012" s="824"/>
      <c r="K1012" s="790" t="str">
        <f>(IF(H1012="Saneago",VLOOKUP(I1012,'SANEAGO-FEV.2016'!A:B,2,0),IF(H1012="Sinapi",VLOOKUP(I1012,'SINAPI-FEV.2017'!A:D,2,0),IF(H1012="Cotação",VLOOKUP(I1012,COTAÇÃO!A:D,2,0),IF(H1012="Composição",VLOOKUP(I1012,COMPOSIÇÃO!A:D,2,0))))))</f>
        <v>LASTRO DE CONCRETO, E = 5 CM, PREPARO MECÂNICO, INCLUSOS LANÇAMENTO E ADENSAMENTO. AF_07_2016</v>
      </c>
      <c r="L1012" s="700" t="str">
        <f>(IF(H1012="Saneago",VLOOKUP(I1012,'SANEAGO-FEV.2016'!A:D,3,0),IF(H1012="Sinapi",VLOOKUP(I1012,'SINAPI-FEV.2017'!A:D,3,0),IF(H1012="Cotação",VLOOKUP(I1012,COTAÇÃO!A:D,3,0),IF(H1012="Composição",VLOOKUP(I1012,COMPOSIÇÃO!A:D,3,0))))))</f>
        <v>M2</v>
      </c>
      <c r="M1012" s="870">
        <f>ROUND(VLOOKUP(G1012,HIPOCLORITO!A:M,13,0),2)</f>
        <v>46.8</v>
      </c>
      <c r="N1012" s="399">
        <v>0</v>
      </c>
      <c r="O1012" s="102">
        <f t="shared" si="178"/>
        <v>0</v>
      </c>
      <c r="P1012" s="101">
        <f t="shared" si="179"/>
        <v>0</v>
      </c>
      <c r="Q1012" s="1472">
        <v>46.8</v>
      </c>
    </row>
    <row r="1013" spans="1:17" ht="45">
      <c r="A1013" s="1482"/>
      <c r="B1013" s="1482"/>
      <c r="C1013" s="1483">
        <f t="shared" si="173"/>
        <v>6</v>
      </c>
      <c r="D1013" s="1492">
        <f t="shared" si="174"/>
        <v>7</v>
      </c>
      <c r="E1013" s="1492">
        <f t="shared" si="175"/>
        <v>4</v>
      </c>
      <c r="F1013" s="1484" t="s">
        <v>11708</v>
      </c>
      <c r="G1013" s="862" t="s">
        <v>20467</v>
      </c>
      <c r="H1013" s="823" t="str">
        <f>VLOOKUP(G1013,HIPOCLORITO!A:M,2,0)</f>
        <v>SINAPI</v>
      </c>
      <c r="I1013" s="700">
        <f>VLOOKUP(G1013,HIPOCLORITO!A:M,3,0)</f>
        <v>92415</v>
      </c>
      <c r="J1013" s="824"/>
      <c r="K1013" s="790" t="str">
        <f>(IF(H1013="Saneago",VLOOKUP(I1013,'SANEAGO-FEV.2016'!A:B,2,0),IF(H1013="Sinapi",VLOOKUP(I1013,'SINAPI-FEV.2017'!A:D,2,0),IF(H1013="Cotação",VLOOKUP(I1013,COTAÇÃO!A:D,2,0),IF(H1013="Composição",VLOOKUP(I1013,COMPOSIÇÃO!A:D,2,0))))))</f>
        <v>MONTAGEM E DESMONTAGEM DE FÔRMA DE PILARES RETANGULARES E ESTRUTURAS SIMILARES COM ÁREA MÉDIA DAS SEÇÕES MAIOR QUE 0,25 M², PÉ-DIREITO SIMPLES, EM CHAPA DE MADEIRA COMPENSADA RESINADA, 2 UTILIZAÇÕES. AF_12/2015</v>
      </c>
      <c r="L1013" s="700" t="str">
        <f>(IF(H1013="Saneago",VLOOKUP(I1013,'SANEAGO-FEV.2016'!A:D,3,0),IF(H1013="Sinapi",VLOOKUP(I1013,'SINAPI-FEV.2017'!A:D,3,0),IF(H1013="Cotação",VLOOKUP(I1013,COTAÇÃO!A:D,3,0),IF(H1013="Composição",VLOOKUP(I1013,COMPOSIÇÃO!A:D,3,0))))))</f>
        <v>M2</v>
      </c>
      <c r="M1013" s="870">
        <f>ROUND(VLOOKUP(G1013,HIPOCLORITO!A:M,13,0),2)</f>
        <v>78.08</v>
      </c>
      <c r="N1013" s="399">
        <v>0</v>
      </c>
      <c r="O1013" s="102">
        <f t="shared" si="178"/>
        <v>0</v>
      </c>
      <c r="P1013" s="101">
        <f t="shared" si="179"/>
        <v>0</v>
      </c>
      <c r="Q1013" s="1472">
        <v>78.08</v>
      </c>
    </row>
    <row r="1014" spans="1:17" ht="22.5">
      <c r="A1014" s="1482"/>
      <c r="B1014" s="1482"/>
      <c r="C1014" s="1483">
        <f t="shared" si="173"/>
        <v>6</v>
      </c>
      <c r="D1014" s="1492">
        <f t="shared" ref="D1014:E1016" si="180">D1013+A1014</f>
        <v>7</v>
      </c>
      <c r="E1014" s="1492">
        <f t="shared" si="180"/>
        <v>4</v>
      </c>
      <c r="F1014" s="1484" t="s">
        <v>11708</v>
      </c>
      <c r="G1014" s="862" t="s">
        <v>20468</v>
      </c>
      <c r="H1014" s="823" t="str">
        <f>VLOOKUP(G1014,HIPOCLORITO!A:M,2,0)</f>
        <v>SINAPI</v>
      </c>
      <c r="I1014" s="700">
        <f>VLOOKUP(G1014,HIPOCLORITO!A:M,3,0)</f>
        <v>92452</v>
      </c>
      <c r="J1014" s="824"/>
      <c r="K1014" s="790" t="str">
        <f>(IF(H1014="Saneago",VLOOKUP(I1014,'SANEAGO-FEV.2016'!A:B,2,0),IF(H1014="Sinapi",VLOOKUP(I1014,'SINAPI-FEV.2017'!A:D,2,0),IF(H1014="Cotação",VLOOKUP(I1014,COTAÇÃO!A:D,2,0),IF(H1014="Composição",VLOOKUP(I1014,COMPOSIÇÃO!A:D,2,0))))))</f>
        <v>MONTAGEM E DESMONTAGEM DE FÔRMA DE VIGA, ESCORAMENTO METÁLICO, PÉ-DIREITO SIMPLES, EM CHAPA DE MADEIRA RESINADA, 2 UTILIZAÇÕES. AF_12/2015</v>
      </c>
      <c r="L1014" s="700" t="str">
        <f>(IF(H1014="Saneago",VLOOKUP(I1014,'SANEAGO-FEV.2016'!A:D,3,0),IF(H1014="Sinapi",VLOOKUP(I1014,'SINAPI-FEV.2017'!A:D,3,0),IF(H1014="Cotação",VLOOKUP(I1014,COTAÇÃO!A:D,3,0),IF(H1014="Composição",VLOOKUP(I1014,COMPOSIÇÃO!A:D,3,0))))))</f>
        <v>M2</v>
      </c>
      <c r="M1014" s="870">
        <f>ROUND(VLOOKUP(G1014,HIPOCLORITO!A:M,13,0),2)</f>
        <v>11.04</v>
      </c>
      <c r="N1014" s="399">
        <v>0</v>
      </c>
      <c r="O1014" s="102">
        <f>ROUND(IF(F1014="Serviços",N1014*(1+$O$7),IF(F1014="Materiais",N1014*(1+$O$8))),2)</f>
        <v>0</v>
      </c>
      <c r="P1014" s="101">
        <f>ROUND(M1014*O1014,2)</f>
        <v>0</v>
      </c>
      <c r="Q1014" s="1472">
        <v>11.04</v>
      </c>
    </row>
    <row r="1015" spans="1:17" ht="33.75">
      <c r="A1015" s="1482"/>
      <c r="B1015" s="1482"/>
      <c r="C1015" s="1483">
        <f t="shared" si="173"/>
        <v>6</v>
      </c>
      <c r="D1015" s="1492">
        <f t="shared" si="180"/>
        <v>7</v>
      </c>
      <c r="E1015" s="1492">
        <f t="shared" si="180"/>
        <v>4</v>
      </c>
      <c r="F1015" s="1484" t="s">
        <v>11708</v>
      </c>
      <c r="G1015" s="862" t="s">
        <v>20469</v>
      </c>
      <c r="H1015" s="823" t="str">
        <f>VLOOKUP(G1015,HIPOCLORITO!A:M,2,0)</f>
        <v>SINAPI</v>
      </c>
      <c r="I1015" s="700">
        <f>VLOOKUP(G1015,HIPOCLORITO!A:M,3,0)</f>
        <v>92510</v>
      </c>
      <c r="J1015" s="824"/>
      <c r="K1015" s="790" t="str">
        <f>(IF(H1015="Saneago",VLOOKUP(I1015,'SANEAGO-FEV.2016'!A:B,2,0),IF(H1015="Sinapi",VLOOKUP(I1015,'SINAPI-FEV.2017'!A:D,2,0),IF(H1015="Cotação",VLOOKUP(I1015,COTAÇÃO!A:D,2,0),IF(H1015="Composição",VLOOKUP(I1015,COMPOSIÇÃO!A:D,2,0))))))</f>
        <v>MONTAGEM E DESMONTAGEM DE FÔRMA DE LAJE MACIÇA COM ÁREA MÉDIA MAIOR QUE 20 M², PÉ-DIREITO SIMPLES, EM CHAPA DE MADEIRA COMPENSADA RESINADA, 2 UTILIZAÇÕES. AF_12/2015</v>
      </c>
      <c r="L1015" s="700" t="str">
        <f>(IF(H1015="Saneago",VLOOKUP(I1015,'SANEAGO-FEV.2016'!A:D,3,0),IF(H1015="Sinapi",VLOOKUP(I1015,'SINAPI-FEV.2017'!A:D,3,0),IF(H1015="Cotação",VLOOKUP(I1015,COTAÇÃO!A:D,3,0),IF(H1015="Composição",VLOOKUP(I1015,COMPOSIÇÃO!A:D,3,0))))))</f>
        <v>M2</v>
      </c>
      <c r="M1015" s="870">
        <f>ROUND(VLOOKUP(G1015,HIPOCLORITO!A:M,13,0),2)</f>
        <v>6.83</v>
      </c>
      <c r="N1015" s="399">
        <v>0</v>
      </c>
      <c r="O1015" s="102">
        <f>ROUND(IF(F1015="Serviços",N1015*(1+$O$7),IF(F1015="Materiais",N1015*(1+$O$8))),2)</f>
        <v>0</v>
      </c>
      <c r="P1015" s="101">
        <f>ROUND(M1015*O1015,2)</f>
        <v>0</v>
      </c>
      <c r="Q1015" s="1472">
        <v>6.83</v>
      </c>
    </row>
    <row r="1016" spans="1:17" ht="22.5">
      <c r="A1016" s="1482"/>
      <c r="B1016" s="1482"/>
      <c r="C1016" s="1483">
        <f t="shared" si="173"/>
        <v>6</v>
      </c>
      <c r="D1016" s="1492">
        <f t="shared" si="180"/>
        <v>7</v>
      </c>
      <c r="E1016" s="1492">
        <f t="shared" si="180"/>
        <v>4</v>
      </c>
      <c r="F1016" s="1484" t="s">
        <v>11708</v>
      </c>
      <c r="G1016" s="862" t="s">
        <v>20470</v>
      </c>
      <c r="H1016" s="823" t="str">
        <f>VLOOKUP(G1016,HIPOCLORITO!A:M,2,0)</f>
        <v>SINAPI</v>
      </c>
      <c r="I1016" s="700">
        <f>VLOOKUP(G1016,HIPOCLORITO!A:M,3,0)</f>
        <v>95939</v>
      </c>
      <c r="J1016" s="824"/>
      <c r="K1016" s="790" t="str">
        <f>(IF(H1016="Saneago",VLOOKUP(I1016,'SANEAGO-FEV.2016'!A:B,2,0),IF(H1016="Sinapi",VLOOKUP(I1016,'SINAPI-FEV.2017'!A:D,2,0),IF(H1016="Cotação",VLOOKUP(I1016,COTAÇÃO!A:D,2,0),IF(H1016="Composição",VLOOKUP(I1016,COMPOSIÇÃO!A:D,2,0))))))</f>
        <v>MONTAGEM E DESMONTAGEM DE FÔRMA PARA ESCADAS, COM 2 LANCES, EM CHAPA DE MADEIRA COMPENSADA RESINADA, 4 UTILIZAÇÕES. AF_01/2017</v>
      </c>
      <c r="L1016" s="700" t="str">
        <f>(IF(H1016="Saneago",VLOOKUP(I1016,'SANEAGO-FEV.2016'!A:D,3,0),IF(H1016="Sinapi",VLOOKUP(I1016,'SINAPI-FEV.2017'!A:D,3,0),IF(H1016="Cotação",VLOOKUP(I1016,COTAÇÃO!A:D,3,0),IF(H1016="Composição",VLOOKUP(I1016,COMPOSIÇÃO!A:D,3,0))))))</f>
        <v>M2</v>
      </c>
      <c r="M1016" s="870">
        <f>ROUND(VLOOKUP(G1016,HIPOCLORITO!A:M,13,0),2)</f>
        <v>6.2</v>
      </c>
      <c r="N1016" s="399">
        <v>0</v>
      </c>
      <c r="O1016" s="102">
        <f>ROUND(IF(F1016="Serviços",N1016*(1+$O$7),IF(F1016="Materiais",N1016*(1+$O$8))),2)</f>
        <v>0</v>
      </c>
      <c r="P1016" s="101">
        <f>ROUND(M1016*O1016,2)</f>
        <v>0</v>
      </c>
      <c r="Q1016" s="1472">
        <v>6.2</v>
      </c>
    </row>
    <row r="1017" spans="1:17" ht="22.5">
      <c r="A1017" s="1482"/>
      <c r="B1017" s="1482"/>
      <c r="C1017" s="1483">
        <f>C1015</f>
        <v>6</v>
      </c>
      <c r="D1017" s="1492">
        <f>D1015+A1017</f>
        <v>7</v>
      </c>
      <c r="E1017" s="1492">
        <f>E1015+B1017</f>
        <v>4</v>
      </c>
      <c r="F1017" s="1484" t="s">
        <v>11708</v>
      </c>
      <c r="G1017" s="862" t="s">
        <v>20477</v>
      </c>
      <c r="H1017" s="823" t="str">
        <f>VLOOKUP(G1017,HIPOCLORITO!A:M,2,0)</f>
        <v>Saneago</v>
      </c>
      <c r="I1017" s="700">
        <f>VLOOKUP(G1017,HIPOCLORITO!A:M,3,0)</f>
        <v>316</v>
      </c>
      <c r="J1017" s="824"/>
      <c r="K1017" s="790" t="str">
        <f>(IF(H1017="Saneago",VLOOKUP(I1017,'SANEAGO-FEV.2016'!A:B,2,0),IF(H1017="Sinapi",VLOOKUP(I1017,'SINAPI-FEV.2017'!A:D,2,0),IF(H1017="Cotação",VLOOKUP(I1017,COTAÇÃO!A:D,2,0),IF(H1017="Composição",VLOOKUP(I1017,COMPOSIÇÃO!A:D,2,0))))))</f>
        <v>CONCRETO  ESTRUTURAL USINADO BOMBEADO  FCK=40 MPA, COM ADIÇÃO DE 8 À 10% DE MICROSSÍLICA (INCLUINDO  LANÇAMENTO, APLICAÇÃO  E ADENSAMENTO)</v>
      </c>
      <c r="L1017" s="700" t="str">
        <f>(IF(H1017="Saneago",VLOOKUP(I1017,'SANEAGO-FEV.2016'!A:D,3,0),IF(H1017="Sinapi",VLOOKUP(I1017,'SINAPI-FEV.2017'!A:D,3,0),IF(H1017="Cotação",VLOOKUP(I1017,COTAÇÃO!A:D,3,0),IF(H1017="Composição",VLOOKUP(I1017,COMPOSIÇÃO!A:D,3,0))))))</f>
        <v>M3</v>
      </c>
      <c r="M1017" s="870">
        <f>ROUND(VLOOKUP(G1017,HIPOCLORITO!A:M,13,0),2)</f>
        <v>18.690000000000001</v>
      </c>
      <c r="N1017" s="399">
        <v>0</v>
      </c>
      <c r="O1017" s="102">
        <f t="shared" si="178"/>
        <v>0</v>
      </c>
      <c r="P1017" s="101">
        <f t="shared" si="179"/>
        <v>0</v>
      </c>
      <c r="Q1017" s="1472">
        <v>18.690000000000001</v>
      </c>
    </row>
    <row r="1018" spans="1:17" ht="22.5">
      <c r="A1018" s="1482"/>
      <c r="B1018" s="1482"/>
      <c r="C1018" s="1483">
        <f t="shared" si="173"/>
        <v>6</v>
      </c>
      <c r="D1018" s="1492">
        <f t="shared" ref="D1018:E1025" si="181">D1017+A1018</f>
        <v>7</v>
      </c>
      <c r="E1018" s="1492">
        <f t="shared" si="181"/>
        <v>4</v>
      </c>
      <c r="F1018" s="1484" t="s">
        <v>11708</v>
      </c>
      <c r="G1018" s="862" t="s">
        <v>12410</v>
      </c>
      <c r="H1018" s="823" t="str">
        <f>VLOOKUP(G1018,HIPOCLORITO!A:M,2,0)</f>
        <v>SINAPI</v>
      </c>
      <c r="I1018" s="700">
        <f>VLOOKUP(G1018,HIPOCLORITO!A:M,3,0)</f>
        <v>34493</v>
      </c>
      <c r="J1018" s="824"/>
      <c r="K1018" s="790" t="str">
        <f>(IF(H1018="Saneago",VLOOKUP(I1018,'SANEAGO-FEV.2016'!A:B,2,0),IF(H1018="Sinapi",VLOOKUP(I1018,'SINAPI-FEV.2017'!A:D,2,0),IF(H1018="Cotação",VLOOKUP(I1018,COTAÇÃO!A:D,2,0),IF(H1018="Composição",VLOOKUP(I1018,COMPOSIÇÃO!A:D,2,0))))))</f>
        <v>CONCRETO USINADO BOMBEAVEL, CLASSE DE RESISTENCIA C25, COM BRITA 0 E 1, SLUMP = 100 +/- 20 MM, EXCLUI SERVICO DE BOMBEAMENTO (NBR 8953)</v>
      </c>
      <c r="L1018" s="700" t="str">
        <f>(IF(H1018="Saneago",VLOOKUP(I1018,'SANEAGO-FEV.2016'!A:D,3,0),IF(H1018="Sinapi",VLOOKUP(I1018,'SINAPI-FEV.2017'!A:D,3,0),IF(H1018="Cotação",VLOOKUP(I1018,COTAÇÃO!A:D,3,0),IF(H1018="Composição",VLOOKUP(I1018,COMPOSIÇÃO!A:D,3,0))))))</f>
        <v>M3</v>
      </c>
      <c r="M1018" s="870">
        <f>ROUND(VLOOKUP(G1018,HIPOCLORITO!A:M,13,0),2)</f>
        <v>0.72</v>
      </c>
      <c r="N1018" s="399">
        <v>0</v>
      </c>
      <c r="O1018" s="102">
        <f t="shared" si="178"/>
        <v>0</v>
      </c>
      <c r="P1018" s="101">
        <f t="shared" si="179"/>
        <v>0</v>
      </c>
      <c r="Q1018" s="1472">
        <v>0.72</v>
      </c>
    </row>
    <row r="1019" spans="1:17" ht="22.5">
      <c r="A1019" s="1482"/>
      <c r="B1019" s="1482"/>
      <c r="C1019" s="1483">
        <f t="shared" si="173"/>
        <v>6</v>
      </c>
      <c r="D1019" s="1492">
        <f t="shared" si="181"/>
        <v>7</v>
      </c>
      <c r="E1019" s="1492">
        <f t="shared" si="181"/>
        <v>4</v>
      </c>
      <c r="F1019" s="1484" t="s">
        <v>11708</v>
      </c>
      <c r="G1019" s="862" t="s">
        <v>20471</v>
      </c>
      <c r="H1019" s="823" t="str">
        <f>VLOOKUP(G1019,HIPOCLORITO!A:M,2,0)</f>
        <v>SINAPI</v>
      </c>
      <c r="I1019" s="700">
        <f>VLOOKUP(G1019,HIPOCLORITO!A:M,3,0)</f>
        <v>92874</v>
      </c>
      <c r="J1019" s="824"/>
      <c r="K1019" s="790" t="str">
        <f>(IF(H1019="Saneago",VLOOKUP(I1019,'SANEAGO-FEV.2016'!A:B,2,0),IF(H1019="Sinapi",VLOOKUP(I1019,'SINAPI-FEV.2017'!A:D,2,0),IF(H1019="Cotação",VLOOKUP(I1019,COTAÇÃO!A:D,2,0),IF(H1019="Composição",VLOOKUP(I1019,COMPOSIÇÃO!A:D,2,0))))))</f>
        <v>LANÇAMENTO COM USO DE BOMBA, ADENSAMENTO E ACABAMENTO DE CONCRETO EM ESTRUTURAS. AF_12/2015</v>
      </c>
      <c r="L1019" s="700" t="str">
        <f>(IF(H1019="Saneago",VLOOKUP(I1019,'SANEAGO-FEV.2016'!A:D,3,0),IF(H1019="Sinapi",VLOOKUP(I1019,'SINAPI-FEV.2017'!A:D,3,0),IF(H1019="Cotação",VLOOKUP(I1019,COTAÇÃO!A:D,3,0),IF(H1019="Composição",VLOOKUP(I1019,COMPOSIÇÃO!A:D,3,0))))))</f>
        <v>M3</v>
      </c>
      <c r="M1019" s="870">
        <f>ROUND(VLOOKUP(G1019,HIPOCLORITO!A:M,13,0),2)</f>
        <v>0.72</v>
      </c>
      <c r="N1019" s="399">
        <v>0</v>
      </c>
      <c r="O1019" s="102">
        <f>ROUND(IF(F1019="Serviços",N1019*(1+$O$7),IF(F1019="Materiais",N1019*(1+$O$8))),2)</f>
        <v>0</v>
      </c>
      <c r="P1019" s="101">
        <f>ROUND(M1019*O1019,2)</f>
        <v>0</v>
      </c>
      <c r="Q1019" s="1472">
        <v>0.72</v>
      </c>
    </row>
    <row r="1020" spans="1:17" ht="45">
      <c r="A1020" s="1482"/>
      <c r="B1020" s="1482"/>
      <c r="C1020" s="1483">
        <f t="shared" si="173"/>
        <v>6</v>
      </c>
      <c r="D1020" s="1492">
        <f t="shared" si="181"/>
        <v>7</v>
      </c>
      <c r="E1020" s="1492">
        <f t="shared" si="181"/>
        <v>4</v>
      </c>
      <c r="F1020" s="1484" t="s">
        <v>11708</v>
      </c>
      <c r="G1020" s="912" t="s">
        <v>20473</v>
      </c>
      <c r="H1020" s="823" t="str">
        <f>VLOOKUP(G1020,HIPOCLORITO!A:M,2,0)</f>
        <v>SINAPI</v>
      </c>
      <c r="I1020" s="700">
        <f>VLOOKUP(G1020,HIPOCLORITO!A:M,3,0)</f>
        <v>92915</v>
      </c>
      <c r="J1020" s="824"/>
      <c r="K1020" s="790" t="str">
        <f>(IF(H1020="Saneago",VLOOKUP(I1020,'SANEAGO-FEV.2016'!A:B,2,0),IF(H1020="Sinapi",VLOOKUP(I1020,'SINAPI-FEV.2017'!A:D,2,0),IF(H1020="Cotação",VLOOKUP(I1020,COTAÇÃO!A:D,2,0),IF(H1020="Composição",VLOOKUP(I1020,COMPOSIÇÃO!A:D,2,0))))))</f>
        <v>ARMAÇÃO DE ESTRUTURAS DE CONCRETO ARMADO, EXCETO VIGAS, PILARES, LAJES E FUNDAÇÕES PROFUNDAS (DE EDIFÍCIOS DE MÚLTIPLOS PAVIMENTOS, EDIFICAÇÃO TÉRREA OU SOBRADO), UTILIZANDO AÇO CA-60 DE 5.0 MM - MONTAGEM. AF_12/2015</v>
      </c>
      <c r="L1020" s="700" t="str">
        <f>(IF(H1020="Saneago",VLOOKUP(I1020,'SANEAGO-FEV.2016'!A:D,3,0),IF(H1020="Sinapi",VLOOKUP(I1020,'SINAPI-FEV.2017'!A:D,3,0),IF(H1020="Cotação",VLOOKUP(I1020,COTAÇÃO!A:D,3,0),IF(H1020="Composição",VLOOKUP(I1020,COMPOSIÇÃO!A:D,3,0))))))</f>
        <v>KG</v>
      </c>
      <c r="M1020" s="870">
        <f>ROUND(VLOOKUP(G1020,HIPOCLORITO!A:M,13,0),2)</f>
        <v>252.25</v>
      </c>
      <c r="N1020" s="399">
        <v>0</v>
      </c>
      <c r="O1020" s="102">
        <f t="shared" si="178"/>
        <v>0</v>
      </c>
      <c r="P1020" s="101">
        <f t="shared" si="179"/>
        <v>0</v>
      </c>
      <c r="Q1020" s="1472">
        <v>252.25</v>
      </c>
    </row>
    <row r="1021" spans="1:17" ht="45">
      <c r="A1021" s="1482"/>
      <c r="B1021" s="1482"/>
      <c r="C1021" s="1483">
        <f t="shared" si="173"/>
        <v>6</v>
      </c>
      <c r="D1021" s="1492">
        <f t="shared" si="181"/>
        <v>7</v>
      </c>
      <c r="E1021" s="1492">
        <f t="shared" si="181"/>
        <v>4</v>
      </c>
      <c r="F1021" s="1484" t="s">
        <v>11708</v>
      </c>
      <c r="G1021" s="912" t="s">
        <v>20474</v>
      </c>
      <c r="H1021" s="823" t="str">
        <f>VLOOKUP(G1021,HIPOCLORITO!A:M,2,0)</f>
        <v>SINAPI</v>
      </c>
      <c r="I1021" s="700">
        <f>VLOOKUP(G1021,HIPOCLORITO!A:M,3,0)</f>
        <v>92916</v>
      </c>
      <c r="J1021" s="824"/>
      <c r="K1021" s="790" t="str">
        <f>(IF(H1021="Saneago",VLOOKUP(I1021,'SANEAGO-FEV.2016'!A:B,2,0),IF(H1021="Sinapi",VLOOKUP(I1021,'SINAPI-FEV.2017'!A:D,2,0),IF(H1021="Cotação",VLOOKUP(I1021,COTAÇÃO!A:D,2,0),IF(H1021="Composição",VLOOKUP(I1021,COMPOSIÇÃO!A:D,2,0))))))</f>
        <v>ARMAÇÃO DE ESTRUTURAS DE CONCRETO ARMADO, EXCETO VIGAS, PILARES, LAJES E FUNDAÇÕES PROFUNDAS (DE EDIFÍCIOS DE MÚLTIPLOS PAVIMENTOS, EDIFICAÇÃO TÉRREA OU SOBRADO), UTILIZANDO AÇO CA-50 DE 6.3 MM - MONTAGEM. AF_12/2015</v>
      </c>
      <c r="L1021" s="700" t="str">
        <f>(IF(H1021="Saneago",VLOOKUP(I1021,'SANEAGO-FEV.2016'!A:D,3,0),IF(H1021="Sinapi",VLOOKUP(I1021,'SINAPI-FEV.2017'!A:D,3,0),IF(H1021="Cotação",VLOOKUP(I1021,COTAÇÃO!A:D,3,0),IF(H1021="Composição",VLOOKUP(I1021,COMPOSIÇÃO!A:D,3,0))))))</f>
        <v>KG</v>
      </c>
      <c r="M1021" s="870">
        <f>ROUND(VLOOKUP(G1021,HIPOCLORITO!A:M,13,0),2)</f>
        <v>369.96</v>
      </c>
      <c r="N1021" s="399">
        <v>0</v>
      </c>
      <c r="O1021" s="102">
        <f>ROUND(IF(F1021="Serviços",N1021*(1+$O$7),IF(F1021="Materiais",N1021*(1+$O$8))),2)</f>
        <v>0</v>
      </c>
      <c r="P1021" s="101">
        <f>ROUND(M1021*O1021,2)</f>
        <v>0</v>
      </c>
      <c r="Q1021" s="1472">
        <v>369.96</v>
      </c>
    </row>
    <row r="1022" spans="1:17" ht="45">
      <c r="A1022" s="1482"/>
      <c r="B1022" s="1482"/>
      <c r="C1022" s="1483">
        <f t="shared" si="173"/>
        <v>6</v>
      </c>
      <c r="D1022" s="1492">
        <f t="shared" si="181"/>
        <v>7</v>
      </c>
      <c r="E1022" s="1492">
        <f t="shared" si="181"/>
        <v>4</v>
      </c>
      <c r="F1022" s="1484" t="s">
        <v>11708</v>
      </c>
      <c r="G1022" s="912" t="s">
        <v>20475</v>
      </c>
      <c r="H1022" s="823" t="str">
        <f>VLOOKUP(G1022,HIPOCLORITO!A:M,2,0)</f>
        <v>SINAPI</v>
      </c>
      <c r="I1022" s="700">
        <f>VLOOKUP(G1022,HIPOCLORITO!A:M,3,0)</f>
        <v>92917</v>
      </c>
      <c r="J1022" s="824"/>
      <c r="K1022" s="790" t="str">
        <f>(IF(H1022="Saneago",VLOOKUP(I1022,'SANEAGO-FEV.2016'!A:B,2,0),IF(H1022="Sinapi",VLOOKUP(I1022,'SINAPI-FEV.2017'!A:D,2,0),IF(H1022="Cotação",VLOOKUP(I1022,COTAÇÃO!A:D,2,0),IF(H1022="Composição",VLOOKUP(I1022,COMPOSIÇÃO!A:D,2,0))))))</f>
        <v>ARMAÇÃO DE ESTRUTURAS DE CONCRETO ARMADO, EXCETO VIGAS, PILARES, LAJES E FUNDAÇÕES PROFUNDAS (DE EDIFÍCIOS DE MÚLTIPLOS PAVIMENTOS, EDIFICAÇÃO TÉRREA OU SOBRADO), UTILIZANDO AÇO CA-50 DE 8.0 MM - MONTAGEM. AF_12/2015</v>
      </c>
      <c r="L1022" s="700" t="str">
        <f>(IF(H1022="Saneago",VLOOKUP(I1022,'SANEAGO-FEV.2016'!A:D,3,0),IF(H1022="Sinapi",VLOOKUP(I1022,'SINAPI-FEV.2017'!A:D,3,0),IF(H1022="Cotação",VLOOKUP(I1022,COTAÇÃO!A:D,3,0),IF(H1022="Composição",VLOOKUP(I1022,COMPOSIÇÃO!A:D,3,0))))))</f>
        <v>KG</v>
      </c>
      <c r="M1022" s="870">
        <f>ROUND(VLOOKUP(G1022,HIPOCLORITO!A:M,13,0),2)</f>
        <v>285.88</v>
      </c>
      <c r="N1022" s="399">
        <v>0</v>
      </c>
      <c r="O1022" s="102">
        <f>ROUND(IF(F1022="Serviços",N1022*(1+$O$7),IF(F1022="Materiais",N1022*(1+$O$8))),2)</f>
        <v>0</v>
      </c>
      <c r="P1022" s="101">
        <f>ROUND(M1022*O1022,2)</f>
        <v>0</v>
      </c>
      <c r="Q1022" s="1472">
        <v>285.88</v>
      </c>
    </row>
    <row r="1023" spans="1:17" ht="45">
      <c r="A1023" s="1482"/>
      <c r="B1023" s="1482"/>
      <c r="C1023" s="1483">
        <f t="shared" si="173"/>
        <v>6</v>
      </c>
      <c r="D1023" s="1492">
        <f t="shared" si="181"/>
        <v>7</v>
      </c>
      <c r="E1023" s="1492">
        <f t="shared" si="181"/>
        <v>4</v>
      </c>
      <c r="F1023" s="1484" t="s">
        <v>11708</v>
      </c>
      <c r="G1023" s="912" t="s">
        <v>20476</v>
      </c>
      <c r="H1023" s="823" t="str">
        <f>VLOOKUP(G1023,HIPOCLORITO!A:M,2,0)</f>
        <v>SINAPI</v>
      </c>
      <c r="I1023" s="700">
        <f>VLOOKUP(G1023,HIPOCLORITO!A:M,3,0)</f>
        <v>92919</v>
      </c>
      <c r="J1023" s="824"/>
      <c r="K1023" s="790" t="str">
        <f>(IF(H1023="Saneago",VLOOKUP(I1023,'SANEAGO-FEV.2016'!A:B,2,0),IF(H1023="Sinapi",VLOOKUP(I1023,'SINAPI-FEV.2017'!A:D,2,0),IF(H1023="Cotação",VLOOKUP(I1023,COTAÇÃO!A:D,2,0),IF(H1023="Composição",VLOOKUP(I1023,COMPOSIÇÃO!A:D,2,0))))))</f>
        <v>ARMAÇÃO DE ESTRUTURAS DE CONCRETO ARMADO, EXCETO VIGAS, PILARES, LAJES E FUNDAÇÕES PROFUNDAS (DE EDIFÍCIOS DE MÚLTIPLOS PAVIMENTOS, EDIFICAÇÃO TÉRREA OU SOBRADO), UTILIZANDO AÇO CA-50 DE 10.0 MM - MONTAGEM. AF_12/2015</v>
      </c>
      <c r="L1023" s="700" t="str">
        <f>(IF(H1023="Saneago",VLOOKUP(I1023,'SANEAGO-FEV.2016'!A:D,3,0),IF(H1023="Sinapi",VLOOKUP(I1023,'SINAPI-FEV.2017'!A:D,3,0),IF(H1023="Cotação",VLOOKUP(I1023,COTAÇÃO!A:D,3,0),IF(H1023="Composição",VLOOKUP(I1023,COMPOSIÇÃO!A:D,3,0))))))</f>
        <v>KG</v>
      </c>
      <c r="M1023" s="870">
        <f>ROUND(VLOOKUP(G1023,HIPOCLORITO!A:M,13,0),2)</f>
        <v>756.74</v>
      </c>
      <c r="N1023" s="399">
        <v>0</v>
      </c>
      <c r="O1023" s="102">
        <f>ROUND(IF(F1023="Serviços",N1023*(1+$O$7),IF(F1023="Materiais",N1023*(1+$O$8))),2)</f>
        <v>0</v>
      </c>
      <c r="P1023" s="101">
        <f>ROUND(M1023*O1023,2)</f>
        <v>0</v>
      </c>
      <c r="Q1023" s="1472">
        <v>756.74</v>
      </c>
    </row>
    <row r="1024" spans="1:17">
      <c r="A1024" s="1482"/>
      <c r="B1024" s="1482"/>
      <c r="C1024" s="1483">
        <f t="shared" si="173"/>
        <v>6</v>
      </c>
      <c r="D1024" s="1492">
        <f t="shared" si="181"/>
        <v>7</v>
      </c>
      <c r="E1024" s="1492">
        <f t="shared" si="181"/>
        <v>4</v>
      </c>
      <c r="F1024" s="1484" t="s">
        <v>11708</v>
      </c>
      <c r="G1024" s="862" t="s">
        <v>12390</v>
      </c>
      <c r="H1024" s="823" t="str">
        <f>VLOOKUP(G1024,HIPOCLORITO!A:M,2,0)</f>
        <v>SINAPI</v>
      </c>
      <c r="I1024" s="700" t="str">
        <f>VLOOKUP(G1024,HIPOCLORITO!A:M,3,0)</f>
        <v>74022/57</v>
      </c>
      <c r="J1024" s="824"/>
      <c r="K1024" s="790" t="str">
        <f>(IF(H1024="Saneago",VLOOKUP(I1024,'SANEAGO-FEV.2016'!A:B,2,0),IF(H1024="Sinapi",VLOOKUP(I1024,'SINAPI-FEV.2017'!A:D,2,0),IF(H1024="Cotação",VLOOKUP(I1024,COTAÇÃO!A:D,2,0),IF(H1024="Composição",VLOOKUP(I1024,COMPOSIÇÃO!A:D,2,0))))))</f>
        <v>ENSAIO DE CONSISTENCIA DO CONCRETO CCR - INDICE VEBE</v>
      </c>
      <c r="L1024" s="700" t="str">
        <f>(IF(H1024="Saneago",VLOOKUP(I1024,'SANEAGO-FEV.2016'!A:D,3,0),IF(H1024="Sinapi",VLOOKUP(I1024,'SINAPI-FEV.2017'!A:D,3,0),IF(H1024="Cotação",VLOOKUP(I1024,COTAÇÃO!A:D,3,0),IF(H1024="Composição",VLOOKUP(I1024,COMPOSIÇÃO!A:D,3,0))))))</f>
        <v>UN</v>
      </c>
      <c r="M1024" s="870">
        <f>ROUND(VLOOKUP(G1024,HIPOCLORITO!A:M,13,0),2)</f>
        <v>1</v>
      </c>
      <c r="N1024" s="399">
        <v>0</v>
      </c>
      <c r="O1024" s="102">
        <f>ROUND(IF(F1024="Serviços",N1024*(1+$O$7),IF(F1024="Materiais",N1024*(1+$O$8))),2)</f>
        <v>0</v>
      </c>
      <c r="P1024" s="101">
        <f>ROUND(M1024*O1024,2)</f>
        <v>0</v>
      </c>
      <c r="Q1024" s="1472">
        <v>1</v>
      </c>
    </row>
    <row r="1025" spans="1:17" ht="15.75" thickBot="1">
      <c r="A1025" s="1482"/>
      <c r="B1025" s="1482"/>
      <c r="C1025" s="1483">
        <f t="shared" si="173"/>
        <v>6</v>
      </c>
      <c r="D1025" s="1492">
        <f t="shared" si="181"/>
        <v>7</v>
      </c>
      <c r="E1025" s="1492">
        <f t="shared" si="181"/>
        <v>4</v>
      </c>
      <c r="F1025" s="1484" t="s">
        <v>11708</v>
      </c>
      <c r="G1025" s="862"/>
      <c r="H1025" s="1095"/>
      <c r="I1025" s="780"/>
      <c r="J1025" s="834"/>
      <c r="K1025" s="780"/>
      <c r="L1025" s="780"/>
      <c r="M1025" s="1270"/>
      <c r="N1025" s="400"/>
      <c r="O1025" s="122"/>
      <c r="P1025" s="123"/>
    </row>
    <row r="1026" spans="1:17" ht="16.5" customHeight="1" thickTop="1" thickBot="1">
      <c r="A1026" s="1482"/>
      <c r="B1026" s="1482"/>
      <c r="C1026" s="1483">
        <f t="shared" si="173"/>
        <v>6</v>
      </c>
      <c r="D1026" s="1492">
        <f t="shared" si="174"/>
        <v>7</v>
      </c>
      <c r="E1026" s="1492">
        <f t="shared" si="175"/>
        <v>4</v>
      </c>
      <c r="F1026" s="1484" t="s">
        <v>11708</v>
      </c>
      <c r="H1026" s="1653" t="str">
        <f>"TOTAL ITEM: "&amp;J1009 &amp;K1009</f>
        <v>TOTAL ITEM: 6.7.4ESTRUTURAS DE CONCRETO ARMADO</v>
      </c>
      <c r="I1026" s="1654"/>
      <c r="J1026" s="1654"/>
      <c r="K1026" s="1654"/>
      <c r="L1026" s="1654"/>
      <c r="M1026" s="1654"/>
      <c r="N1026" s="1654"/>
      <c r="O1026" s="1654"/>
      <c r="P1026" s="210">
        <f>SUBTOTAL(9,P1011:P1024)</f>
        <v>0</v>
      </c>
    </row>
    <row r="1027" spans="1:17" ht="15.75" thickTop="1">
      <c r="A1027" s="1482"/>
      <c r="B1027" s="1482"/>
      <c r="C1027" s="1483">
        <f t="shared" si="173"/>
        <v>6</v>
      </c>
      <c r="D1027" s="1492">
        <f t="shared" si="174"/>
        <v>7</v>
      </c>
      <c r="E1027" s="1492">
        <f t="shared" si="175"/>
        <v>4</v>
      </c>
      <c r="F1027" s="1484" t="s">
        <v>11708</v>
      </c>
      <c r="H1027" s="1095"/>
      <c r="I1027" s="780"/>
      <c r="J1027" s="834"/>
      <c r="K1027" s="780"/>
      <c r="L1027" s="780"/>
      <c r="M1027" s="1270"/>
      <c r="N1027" s="400"/>
      <c r="O1027" s="122"/>
      <c r="P1027" s="123"/>
    </row>
    <row r="1028" spans="1:17">
      <c r="A1028" s="1482"/>
      <c r="B1028" s="1482">
        <v>1</v>
      </c>
      <c r="C1028" s="1483">
        <f t="shared" si="173"/>
        <v>6</v>
      </c>
      <c r="D1028" s="1492">
        <f t="shared" si="174"/>
        <v>7</v>
      </c>
      <c r="E1028" s="1492">
        <f t="shared" si="175"/>
        <v>5</v>
      </c>
      <c r="F1028" s="1484" t="s">
        <v>11708</v>
      </c>
      <c r="H1028" s="1514" t="s">
        <v>11703</v>
      </c>
      <c r="I1028" s="1515" t="s">
        <v>64</v>
      </c>
      <c r="J1028" s="1516" t="str">
        <f>CONCATENATE(C1028,".",D1028,".",E1028)</f>
        <v>6.7.5</v>
      </c>
      <c r="K1028" s="1516" t="s">
        <v>12683</v>
      </c>
      <c r="L1028" s="1517" t="s">
        <v>25</v>
      </c>
      <c r="M1028" s="1518" t="s">
        <v>11704</v>
      </c>
      <c r="N1028" s="398" t="s">
        <v>11705</v>
      </c>
      <c r="O1028" s="207" t="s">
        <v>11706</v>
      </c>
      <c r="P1028" s="208" t="s">
        <v>27</v>
      </c>
      <c r="Q1028" s="1472" t="s">
        <v>11704</v>
      </c>
    </row>
    <row r="1029" spans="1:17">
      <c r="A1029" s="1482"/>
      <c r="B1029" s="1482"/>
      <c r="C1029" s="1483">
        <f t="shared" si="173"/>
        <v>6</v>
      </c>
      <c r="D1029" s="1492">
        <f t="shared" si="174"/>
        <v>7</v>
      </c>
      <c r="E1029" s="1492">
        <f t="shared" si="175"/>
        <v>5</v>
      </c>
      <c r="F1029" s="1484" t="s">
        <v>11708</v>
      </c>
      <c r="H1029" s="1095"/>
      <c r="I1029" s="780"/>
      <c r="J1029" s="834"/>
      <c r="K1029" s="780"/>
      <c r="L1029" s="780"/>
      <c r="M1029" s="1270"/>
      <c r="N1029" s="400"/>
      <c r="O1029" s="122"/>
      <c r="P1029" s="123"/>
    </row>
    <row r="1030" spans="1:17" ht="45">
      <c r="A1030" s="1482"/>
      <c r="B1030" s="1482"/>
      <c r="C1030" s="1483">
        <f t="shared" si="173"/>
        <v>6</v>
      </c>
      <c r="D1030" s="1492">
        <f t="shared" si="174"/>
        <v>7</v>
      </c>
      <c r="E1030" s="1492">
        <f t="shared" si="175"/>
        <v>5</v>
      </c>
      <c r="F1030" s="1484" t="s">
        <v>11708</v>
      </c>
      <c r="G1030" s="862" t="s">
        <v>12391</v>
      </c>
      <c r="H1030" s="823" t="str">
        <f>VLOOKUP(G1030,HIPOCLORITO!A:M,2,0)</f>
        <v>Saneago</v>
      </c>
      <c r="I1030" s="700">
        <f>VLOOKUP(G1030,HIPOCLORITO!A:M,3,0)</f>
        <v>862</v>
      </c>
      <c r="J1030" s="824"/>
      <c r="K1030" s="790" t="str">
        <f>(IF(H1030="Saneago",VLOOKUP(I1030,'SANEAGO-FEV.2016'!A:B,2,0),IF(H1030="Sinapi",VLOOKUP(I1030,'SINAPI-FEV.2017'!A:D,2,0),IF(H1030="Cotação",VLOOKUP(I1030,COTAÇÃO!A:D,2,0),IF(H1030="Composição",VLOOKUP(I1030,COMPOSIÇÃO!A:D,2,0))))))</f>
        <v>GUARDA-CORPO DE TUBO INDUSTRIAL  1.1/2" (40 MM) CHAPA 13;  H=1,0 M, C/ TELA ARTÍSTICA   3 X 3 FIO 12, PERFIL  U  DIM.  19,05  X 19,05  X 3,17  MM,  BARRA  RETANGULAR  DIM  9,52  X 6,35  MM,  FIXADA  EM  CHAPA METÁLICA DIM: 0,20 X 0,10 X 0,05 CM, C/ INJENÇÃO DE SILICONE,</v>
      </c>
      <c r="L1030" s="700" t="str">
        <f>(IF(H1030="Saneago",VLOOKUP(I1030,'SANEAGO-FEV.2016'!A:D,3,0),IF(H1030="Sinapi",VLOOKUP(I1030,'SINAPI-FEV.2017'!A:D,3,0),IF(H1030="Cotação",VLOOKUP(I1030,COTAÇÃO!A:D,3,0),IF(H1030="Composição",VLOOKUP(I1030,COMPOSIÇÃO!A:D,3,0))))))</f>
        <v>M</v>
      </c>
      <c r="M1030" s="870">
        <f>ROUND(VLOOKUP(G1030,HIPOCLORITO!A:M,13,0),2)</f>
        <v>8</v>
      </c>
      <c r="N1030" s="399">
        <v>0</v>
      </c>
      <c r="O1030" s="102">
        <f t="shared" ref="O1030:O1037" si="182">ROUND(IF(F1030="Serviços",N1030*(1+$O$7),IF(F1030="Materiais",N1030*(1+$O$8))),2)</f>
        <v>0</v>
      </c>
      <c r="P1030" s="101">
        <f t="shared" ref="P1030:P1037" si="183">ROUND(M1030*O1030,2)</f>
        <v>0</v>
      </c>
      <c r="Q1030" s="1472">
        <v>8</v>
      </c>
    </row>
    <row r="1031" spans="1:17">
      <c r="A1031" s="1482"/>
      <c r="B1031" s="1482"/>
      <c r="C1031" s="1483">
        <f t="shared" si="173"/>
        <v>6</v>
      </c>
      <c r="D1031" s="1492">
        <f t="shared" si="174"/>
        <v>7</v>
      </c>
      <c r="E1031" s="1492">
        <f t="shared" si="175"/>
        <v>5</v>
      </c>
      <c r="F1031" s="1484" t="s">
        <v>11708</v>
      </c>
      <c r="G1031" s="862" t="s">
        <v>12411</v>
      </c>
      <c r="H1031" s="823" t="str">
        <f>VLOOKUP(G1031,HIPOCLORITO!A:M,2,0)</f>
        <v>COTAÇÃO</v>
      </c>
      <c r="I1031" s="700" t="str">
        <f>VLOOKUP(G1031,HIPOCLORITO!A:M,3,0)</f>
        <v>CP_APOIO TUBO</v>
      </c>
      <c r="J1031" s="824"/>
      <c r="K1031" s="790" t="str">
        <f>(IF(H1031="Saneago",VLOOKUP(I1031,'SANEAGO-FEV.2016'!A:B,2,0),IF(H1031="Sinapi",VLOOKUP(I1031,'SINAPI-FEV.2017'!A:D,2,0),IF(H1031="Cotação",VLOOKUP(I1031,COTAÇÃO!A:D,2,0),IF(H1031="Composição",VLOOKUP(I1031,COMPOSIÇÃO!A:D,2,0))))))</f>
        <v>APOIO METÁLICO DA TUBULAÇÃO</v>
      </c>
      <c r="L1031" s="700" t="str">
        <f>(IF(H1031="Saneago",VLOOKUP(I1031,'SANEAGO-FEV.2016'!A:D,3,0),IF(H1031="Sinapi",VLOOKUP(I1031,'SINAPI-FEV.2017'!A:D,3,0),IF(H1031="Cotação",VLOOKUP(I1031,COTAÇÃO!A:D,3,0),IF(H1031="Composição",VLOOKUP(I1031,COMPOSIÇÃO!A:D,3,0))))))</f>
        <v>um.</v>
      </c>
      <c r="M1031" s="870">
        <f>ROUND(VLOOKUP(G1031,HIPOCLORITO!A:M,13,0),2)</f>
        <v>7</v>
      </c>
      <c r="N1031" s="399">
        <v>0</v>
      </c>
      <c r="O1031" s="102">
        <f t="shared" si="182"/>
        <v>0</v>
      </c>
      <c r="P1031" s="101">
        <f t="shared" si="183"/>
        <v>0</v>
      </c>
      <c r="Q1031" s="1472">
        <v>7</v>
      </c>
    </row>
    <row r="1032" spans="1:17">
      <c r="A1032" s="1482"/>
      <c r="B1032" s="1482"/>
      <c r="C1032" s="1483">
        <f t="shared" si="173"/>
        <v>6</v>
      </c>
      <c r="D1032" s="1492">
        <f t="shared" si="174"/>
        <v>7</v>
      </c>
      <c r="E1032" s="1492">
        <f t="shared" si="175"/>
        <v>5</v>
      </c>
      <c r="F1032" s="1484" t="s">
        <v>11708</v>
      </c>
      <c r="G1032" s="862" t="s">
        <v>12412</v>
      </c>
      <c r="H1032" s="823" t="str">
        <f>VLOOKUP(G1032,HIPOCLORITO!A:M,2,0)</f>
        <v>COTAÇÃO</v>
      </c>
      <c r="I1032" s="700" t="str">
        <f>VLOOKUP(G1032,HIPOCLORITO!A:M,3,0)</f>
        <v>CP_GRADE.PISO</v>
      </c>
      <c r="J1032" s="824"/>
      <c r="K1032" s="790" t="str">
        <f>(IF(H1032="Saneago",VLOOKUP(I1032,'SANEAGO-FEV.2016'!A:B,2,0),IF(H1032="Sinapi",VLOOKUP(I1032,'SINAPI-FEV.2017'!A:D,2,0),IF(H1032="Cotação",VLOOKUP(I1032,COTAÇÃO!A:D,2,0),IF(H1032="Composição",VLOOKUP(I1032,COMPOSIÇÃO!A:D,2,0))))))</f>
        <v>Grade em fibra de vidro</v>
      </c>
      <c r="L1032" s="700" t="str">
        <f>(IF(H1032="Saneago",VLOOKUP(I1032,'SANEAGO-FEV.2016'!A:D,3,0),IF(H1032="Sinapi",VLOOKUP(I1032,'SINAPI-FEV.2017'!A:D,3,0),IF(H1032="Cotação",VLOOKUP(I1032,COTAÇÃO!A:D,3,0),IF(H1032="Composição",VLOOKUP(I1032,COMPOSIÇÃO!A:D,3,0))))))</f>
        <v>m²</v>
      </c>
      <c r="M1032" s="870">
        <f>ROUND(VLOOKUP(G1032,HIPOCLORITO!A:M,13,0),2)</f>
        <v>0.64</v>
      </c>
      <c r="N1032" s="399">
        <v>0</v>
      </c>
      <c r="O1032" s="102">
        <f t="shared" si="182"/>
        <v>0</v>
      </c>
      <c r="P1032" s="101">
        <f t="shared" si="183"/>
        <v>0</v>
      </c>
      <c r="Q1032" s="1472">
        <v>0.64</v>
      </c>
    </row>
    <row r="1033" spans="1:17" ht="22.5">
      <c r="A1033" s="1482"/>
      <c r="B1033" s="1482"/>
      <c r="C1033" s="1483">
        <f t="shared" si="173"/>
        <v>6</v>
      </c>
      <c r="D1033" s="1492">
        <f t="shared" si="174"/>
        <v>7</v>
      </c>
      <c r="E1033" s="1492">
        <f t="shared" si="175"/>
        <v>5</v>
      </c>
      <c r="F1033" s="1484" t="s">
        <v>11708</v>
      </c>
      <c r="G1033" s="862" t="s">
        <v>12413</v>
      </c>
      <c r="H1033" s="823" t="str">
        <f>VLOOKUP(G1033,HIPOCLORITO!A:M,2,0)</f>
        <v>SINAPI</v>
      </c>
      <c r="I1033" s="700">
        <f>VLOOKUP(G1033,HIPOCLORITO!A:M,3,0)</f>
        <v>91341</v>
      </c>
      <c r="J1033" s="824"/>
      <c r="K1033" s="790" t="str">
        <f>(IF(H1033="Saneago",VLOOKUP(I1033,'SANEAGO-FEV.2016'!A:B,2,0),IF(H1033="Sinapi",VLOOKUP(I1033,'SINAPI-FEV.2017'!A:D,2,0),IF(H1033="Cotação",VLOOKUP(I1033,COTAÇÃO!A:D,2,0),IF(H1033="Composição",VLOOKUP(I1033,COMPOSIÇÃO!A:D,2,0))))))</f>
        <v>PORTA EM ALUMÍNIO DE ABRIR TIPO VENEZIANA COM GUARNIÇÃO, FIXAÇÃO COM PARAFUSOS - FORNECIMENTO E INSTALAÇÃO. AF_08/2015</v>
      </c>
      <c r="L1033" s="700" t="str">
        <f>(IF(H1033="Saneago",VLOOKUP(I1033,'SANEAGO-FEV.2016'!A:D,3,0),IF(H1033="Sinapi",VLOOKUP(I1033,'SINAPI-FEV.2017'!A:D,3,0),IF(H1033="Cotação",VLOOKUP(I1033,COTAÇÃO!A:D,3,0),IF(H1033="Composição",VLOOKUP(I1033,COMPOSIÇÃO!A:D,3,0))))))</f>
        <v>M2</v>
      </c>
      <c r="M1033" s="870">
        <f>ROUND(VLOOKUP(G1033,HIPOCLORITO!A:M,13,0),2)</f>
        <v>9.1999999999999993</v>
      </c>
      <c r="N1033" s="399">
        <v>0</v>
      </c>
      <c r="O1033" s="102">
        <f t="shared" si="182"/>
        <v>0</v>
      </c>
      <c r="P1033" s="101">
        <f t="shared" si="183"/>
        <v>0</v>
      </c>
      <c r="Q1033" s="1472">
        <v>9.1999999999999993</v>
      </c>
    </row>
    <row r="1034" spans="1:17" ht="22.5">
      <c r="A1034" s="1482"/>
      <c r="B1034" s="1482"/>
      <c r="C1034" s="1483">
        <f t="shared" si="173"/>
        <v>6</v>
      </c>
      <c r="D1034" s="1492">
        <f t="shared" si="174"/>
        <v>7</v>
      </c>
      <c r="E1034" s="1492">
        <f t="shared" si="175"/>
        <v>5</v>
      </c>
      <c r="F1034" s="1484" t="s">
        <v>11708</v>
      </c>
      <c r="G1034" s="862" t="s">
        <v>12434</v>
      </c>
      <c r="H1034" s="823" t="str">
        <f>VLOOKUP(G1034,HIPOCLORITO!A:M,2,0)</f>
        <v>SINAPI</v>
      </c>
      <c r="I1034" s="700">
        <f>VLOOKUP(G1034,HIPOCLORITO!A:M,3,0)</f>
        <v>93188</v>
      </c>
      <c r="J1034" s="824"/>
      <c r="K1034" s="790" t="str">
        <f>(IF(H1034="Saneago",VLOOKUP(I1034,'SANEAGO-FEV.2016'!A:B,2,0),IF(H1034="Sinapi",VLOOKUP(I1034,'SINAPI-FEV.2017'!A:D,2,0),IF(H1034="Cotação",VLOOKUP(I1034,COTAÇÃO!A:D,2,0),IF(H1034="Composição",VLOOKUP(I1034,COMPOSIÇÃO!A:D,2,0))))))</f>
        <v>VERGA MOLDADA IN LOCO EM CONCRETO PARA PORTAS COM ATÉ 1,5 M DE VÃO. AF_03/2016</v>
      </c>
      <c r="L1034" s="700" t="str">
        <f>(IF(H1034="Saneago",VLOOKUP(I1034,'SANEAGO-FEV.2016'!A:D,3,0),IF(H1034="Sinapi",VLOOKUP(I1034,'SINAPI-FEV.2017'!A:D,3,0),IF(H1034="Cotação",VLOOKUP(I1034,COTAÇÃO!A:D,3,0),IF(H1034="Composição",VLOOKUP(I1034,COMPOSIÇÃO!A:D,3,0))))))</f>
        <v>M</v>
      </c>
      <c r="M1034" s="870">
        <f>ROUND(VLOOKUP(G1034,HIPOCLORITO!A:M,13,0),2)</f>
        <v>4.5999999999999996</v>
      </c>
      <c r="N1034" s="399">
        <v>0</v>
      </c>
      <c r="O1034" s="102">
        <f t="shared" si="182"/>
        <v>0</v>
      </c>
      <c r="P1034" s="101">
        <f t="shared" si="183"/>
        <v>0</v>
      </c>
      <c r="Q1034" s="1472">
        <v>4.5999999999999996</v>
      </c>
    </row>
    <row r="1035" spans="1:17" ht="22.5">
      <c r="A1035" s="1482"/>
      <c r="B1035" s="1482"/>
      <c r="C1035" s="1483">
        <f t="shared" si="173"/>
        <v>6</v>
      </c>
      <c r="D1035" s="1492">
        <f t="shared" si="174"/>
        <v>7</v>
      </c>
      <c r="E1035" s="1492">
        <f t="shared" si="175"/>
        <v>5</v>
      </c>
      <c r="F1035" s="1484" t="s">
        <v>11708</v>
      </c>
      <c r="G1035" s="862" t="s">
        <v>12435</v>
      </c>
      <c r="H1035" s="823" t="str">
        <f>VLOOKUP(G1035,HIPOCLORITO!A:M,2,0)</f>
        <v>SINAPI</v>
      </c>
      <c r="I1035" s="700">
        <f>VLOOKUP(G1035,HIPOCLORITO!A:M,3,0)</f>
        <v>93196</v>
      </c>
      <c r="J1035" s="824"/>
      <c r="K1035" s="790" t="str">
        <f>(IF(H1035="Saneago",VLOOKUP(I1035,'SANEAGO-FEV.2016'!A:B,2,0),IF(H1035="Sinapi",VLOOKUP(I1035,'SINAPI-FEV.2017'!A:D,2,0),IF(H1035="Cotação",VLOOKUP(I1035,COTAÇÃO!A:D,2,0),IF(H1035="Composição",VLOOKUP(I1035,COMPOSIÇÃO!A:D,2,0))))))</f>
        <v>CONTRAVERGA MOLDADA IN LOCO EM CONCRETO PARA VÃOS DE ATÉ 1,5 M DE COMPRIMENTO. AF_03/2016</v>
      </c>
      <c r="L1035" s="700" t="str">
        <f>(IF(H1035="Saneago",VLOOKUP(I1035,'SANEAGO-FEV.2016'!A:D,3,0),IF(H1035="Sinapi",VLOOKUP(I1035,'SINAPI-FEV.2017'!A:D,3,0),IF(H1035="Cotação",VLOOKUP(I1035,COTAÇÃO!A:D,3,0),IF(H1035="Composição",VLOOKUP(I1035,COMPOSIÇÃO!A:D,3,0))))))</f>
        <v>M</v>
      </c>
      <c r="M1035" s="870">
        <f>ROUND(VLOOKUP(G1035,HIPOCLORITO!A:M,13,0),2)</f>
        <v>4.5999999999999996</v>
      </c>
      <c r="N1035" s="399">
        <v>0</v>
      </c>
      <c r="O1035" s="102">
        <f t="shared" si="182"/>
        <v>0</v>
      </c>
      <c r="P1035" s="101">
        <f t="shared" si="183"/>
        <v>0</v>
      </c>
      <c r="Q1035" s="1472">
        <v>4.5999999999999996</v>
      </c>
    </row>
    <row r="1036" spans="1:17" ht="22.5">
      <c r="A1036" s="1482"/>
      <c r="B1036" s="1482"/>
      <c r="C1036" s="1483">
        <f t="shared" si="173"/>
        <v>6</v>
      </c>
      <c r="D1036" s="1492">
        <f t="shared" si="174"/>
        <v>7</v>
      </c>
      <c r="E1036" s="1492">
        <f t="shared" si="175"/>
        <v>5</v>
      </c>
      <c r="F1036" s="1484" t="s">
        <v>11708</v>
      </c>
      <c r="G1036" s="862" t="s">
        <v>12392</v>
      </c>
      <c r="H1036" s="823" t="str">
        <f>VLOOKUP(G1036,HIPOCLORITO!A:M,2,0)</f>
        <v>SINAPI</v>
      </c>
      <c r="I1036" s="700">
        <f>VLOOKUP(G1036,HIPOCLORITO!A:M,3,0)</f>
        <v>83623</v>
      </c>
      <c r="J1036" s="824"/>
      <c r="K1036" s="790" t="str">
        <f>(IF(H1036="Saneago",VLOOKUP(I1036,'SANEAGO-FEV.2016'!A:B,2,0),IF(H1036="Sinapi",VLOOKUP(I1036,'SINAPI-FEV.2017'!A:D,2,0),IF(H1036="Cotação",VLOOKUP(I1036,COTAÇÃO!A:D,2,0),IF(H1036="Composição",VLOOKUP(I1036,COMPOSIÇÃO!A:D,2,0))))))</f>
        <v>GRELHA DE FERRO FUNDIDO PARA CANALETA LARG = 30CM, FORNECIMENTO E ASSENTAMENTO</v>
      </c>
      <c r="L1036" s="700" t="str">
        <f>(IF(H1036="Saneago",VLOOKUP(I1036,'SANEAGO-FEV.2016'!A:D,3,0),IF(H1036="Sinapi",VLOOKUP(I1036,'SINAPI-FEV.2017'!A:D,3,0),IF(H1036="Cotação",VLOOKUP(I1036,COTAÇÃO!A:D,3,0),IF(H1036="Composição",VLOOKUP(I1036,COMPOSIÇÃO!A:D,3,0))))))</f>
        <v>M</v>
      </c>
      <c r="M1036" s="870">
        <f>ROUND(VLOOKUP(G1036,HIPOCLORITO!A:M,13,0),2)</f>
        <v>0.51</v>
      </c>
      <c r="N1036" s="399">
        <v>0</v>
      </c>
      <c r="O1036" s="102">
        <f t="shared" si="182"/>
        <v>0</v>
      </c>
      <c r="P1036" s="101">
        <f t="shared" si="183"/>
        <v>0</v>
      </c>
      <c r="Q1036" s="1472">
        <v>0.51</v>
      </c>
    </row>
    <row r="1037" spans="1:17">
      <c r="A1037" s="1482"/>
      <c r="B1037" s="1482"/>
      <c r="C1037" s="1483">
        <f t="shared" si="173"/>
        <v>6</v>
      </c>
      <c r="D1037" s="1492">
        <f t="shared" si="174"/>
        <v>7</v>
      </c>
      <c r="E1037" s="1492">
        <f t="shared" si="175"/>
        <v>5</v>
      </c>
      <c r="F1037" s="1484" t="s">
        <v>11708</v>
      </c>
      <c r="G1037" s="862" t="s">
        <v>12449</v>
      </c>
      <c r="H1037" s="823" t="str">
        <f>VLOOKUP(G1037,HIPOCLORITO!A:M,2,0)</f>
        <v>COTAÇÃO</v>
      </c>
      <c r="I1037" s="700" t="str">
        <f>VLOOKUP(G1037,HIPOCLORITO!A:M,3,0)</f>
        <v>CT_CHUVEIRO</v>
      </c>
      <c r="J1037" s="824"/>
      <c r="K1037" s="790" t="str">
        <f>(IF(H1037="Saneago",VLOOKUP(I1037,'SANEAGO-FEV.2016'!A:B,2,0),IF(H1037="Sinapi",VLOOKUP(I1037,'SINAPI-FEV.2017'!A:D,2,0),IF(H1037="Cotação",VLOOKUP(I1037,COTAÇÃO!A:D,2,0),IF(H1037="Composição",VLOOKUP(I1037,COMPOSIÇÃO!A:D,2,0))))))</f>
        <v>Chuveiro Lava Olhos</v>
      </c>
      <c r="L1037" s="700" t="str">
        <f>(IF(H1037="Saneago",VLOOKUP(I1037,'SANEAGO-FEV.2016'!A:D,3,0),IF(H1037="Sinapi",VLOOKUP(I1037,'SINAPI-FEV.2017'!A:D,3,0),IF(H1037="Cotação",VLOOKUP(I1037,COTAÇÃO!A:D,3,0),IF(H1037="Composição",VLOOKUP(I1037,COMPOSIÇÃO!A:D,3,0))))))</f>
        <v>UM</v>
      </c>
      <c r="M1037" s="870">
        <f>ROUND(VLOOKUP(G1037,HIPOCLORITO!A:M,13,0),2)</f>
        <v>1</v>
      </c>
      <c r="N1037" s="399">
        <v>0</v>
      </c>
      <c r="O1037" s="102">
        <f t="shared" si="182"/>
        <v>0</v>
      </c>
      <c r="P1037" s="101">
        <f t="shared" si="183"/>
        <v>0</v>
      </c>
      <c r="Q1037" s="1472">
        <v>1</v>
      </c>
    </row>
    <row r="1038" spans="1:17" ht="15.75" thickBot="1">
      <c r="A1038" s="1482"/>
      <c r="B1038" s="1482"/>
      <c r="C1038" s="1483">
        <f t="shared" si="173"/>
        <v>6</v>
      </c>
      <c r="D1038" s="1492">
        <f t="shared" si="174"/>
        <v>7</v>
      </c>
      <c r="E1038" s="1492">
        <f t="shared" si="175"/>
        <v>5</v>
      </c>
      <c r="F1038" s="1484" t="s">
        <v>11708</v>
      </c>
      <c r="G1038" s="862"/>
      <c r="H1038" s="1095"/>
      <c r="I1038" s="780"/>
      <c r="J1038" s="834"/>
      <c r="K1038" s="780"/>
      <c r="L1038" s="780"/>
      <c r="M1038" s="1270"/>
      <c r="N1038" s="400"/>
      <c r="O1038" s="122"/>
      <c r="P1038" s="123"/>
    </row>
    <row r="1039" spans="1:17" ht="16.5" customHeight="1" thickTop="1" thickBot="1">
      <c r="A1039" s="1482"/>
      <c r="B1039" s="1482"/>
      <c r="C1039" s="1483">
        <f t="shared" si="173"/>
        <v>6</v>
      </c>
      <c r="D1039" s="1492">
        <f t="shared" si="174"/>
        <v>7</v>
      </c>
      <c r="E1039" s="1492">
        <f t="shared" si="175"/>
        <v>5</v>
      </c>
      <c r="F1039" s="1484" t="s">
        <v>11708</v>
      </c>
      <c r="G1039" s="862"/>
      <c r="H1039" s="1653" t="str">
        <f>"TOTAL ITEM: "&amp;J1028 &amp;K1028</f>
        <v>TOTAL ITEM: 6.7.5 ESTRUTURAS METÁLICAS</v>
      </c>
      <c r="I1039" s="1654"/>
      <c r="J1039" s="1654"/>
      <c r="K1039" s="1654"/>
      <c r="L1039" s="1654"/>
      <c r="M1039" s="1654"/>
      <c r="N1039" s="1654"/>
      <c r="O1039" s="1654"/>
      <c r="P1039" s="210">
        <f>SUBTOTAL(9,P1030:P1037)</f>
        <v>0</v>
      </c>
    </row>
    <row r="1040" spans="1:17" ht="15.75" thickTop="1">
      <c r="A1040" s="1482"/>
      <c r="B1040" s="1482"/>
      <c r="C1040" s="1483">
        <f t="shared" si="173"/>
        <v>6</v>
      </c>
      <c r="D1040" s="1492">
        <f t="shared" si="174"/>
        <v>7</v>
      </c>
      <c r="E1040" s="1492">
        <f t="shared" si="175"/>
        <v>5</v>
      </c>
      <c r="F1040" s="1484" t="s">
        <v>11708</v>
      </c>
      <c r="G1040" s="862"/>
      <c r="H1040" s="1095"/>
      <c r="I1040" s="780"/>
      <c r="J1040" s="834"/>
      <c r="K1040" s="780"/>
      <c r="L1040" s="780"/>
      <c r="M1040" s="1270"/>
      <c r="N1040" s="400"/>
      <c r="O1040" s="122"/>
      <c r="P1040" s="123"/>
    </row>
    <row r="1041" spans="1:17">
      <c r="A1041" s="1482"/>
      <c r="B1041" s="1482">
        <v>1</v>
      </c>
      <c r="C1041" s="1483">
        <f t="shared" si="173"/>
        <v>6</v>
      </c>
      <c r="D1041" s="1492">
        <f t="shared" si="174"/>
        <v>7</v>
      </c>
      <c r="E1041" s="1492">
        <f t="shared" si="175"/>
        <v>6</v>
      </c>
      <c r="F1041" s="1484" t="s">
        <v>11708</v>
      </c>
      <c r="G1041" s="862"/>
      <c r="H1041" s="1514" t="s">
        <v>11703</v>
      </c>
      <c r="I1041" s="1515" t="s">
        <v>64</v>
      </c>
      <c r="J1041" s="1516" t="str">
        <f>CONCATENATE(C1041,".",D1041,".",E1041)</f>
        <v>6.7.6</v>
      </c>
      <c r="K1041" s="1516" t="s">
        <v>11739</v>
      </c>
      <c r="L1041" s="1517" t="s">
        <v>25</v>
      </c>
      <c r="M1041" s="1518" t="s">
        <v>11704</v>
      </c>
      <c r="N1041" s="398" t="s">
        <v>11705</v>
      </c>
      <c r="O1041" s="207" t="s">
        <v>11706</v>
      </c>
      <c r="P1041" s="208" t="s">
        <v>27</v>
      </c>
      <c r="Q1041" s="1472" t="s">
        <v>11704</v>
      </c>
    </row>
    <row r="1042" spans="1:17">
      <c r="A1042" s="1482"/>
      <c r="B1042" s="1482"/>
      <c r="C1042" s="1483">
        <f t="shared" si="173"/>
        <v>6</v>
      </c>
      <c r="D1042" s="1492">
        <f t="shared" si="174"/>
        <v>7</v>
      </c>
      <c r="E1042" s="1492">
        <f t="shared" si="175"/>
        <v>6</v>
      </c>
      <c r="F1042" s="1484" t="s">
        <v>11708</v>
      </c>
      <c r="G1042" s="959"/>
      <c r="H1042" s="1095"/>
      <c r="I1042" s="780"/>
      <c r="J1042" s="834"/>
      <c r="K1042" s="780"/>
      <c r="L1042" s="780"/>
      <c r="M1042" s="1270"/>
      <c r="N1042" s="400"/>
      <c r="O1042" s="122"/>
      <c r="P1042" s="123"/>
    </row>
    <row r="1043" spans="1:17" ht="22.5">
      <c r="A1043" s="1482"/>
      <c r="B1043" s="1482"/>
      <c r="C1043" s="1483">
        <f t="shared" si="173"/>
        <v>6</v>
      </c>
      <c r="D1043" s="1492">
        <f t="shared" si="174"/>
        <v>7</v>
      </c>
      <c r="E1043" s="1492">
        <f t="shared" si="175"/>
        <v>6</v>
      </c>
      <c r="F1043" s="1484" t="s">
        <v>11708</v>
      </c>
      <c r="G1043" s="862" t="s">
        <v>12393</v>
      </c>
      <c r="H1043" s="823" t="str">
        <f>VLOOKUP(G1043,HIPOCLORITO!A:M,2,0)</f>
        <v>SINAPI</v>
      </c>
      <c r="I1043" s="700" t="str">
        <f>VLOOKUP(G1043,HIPOCLORITO!A:M,3,0)</f>
        <v>73937/1</v>
      </c>
      <c r="J1043" s="824"/>
      <c r="K1043" s="790" t="str">
        <f>(IF(H1043="Saneago",VLOOKUP(I1043,'SANEAGO-FEV.2016'!A:B,2,0),IF(H1043="Sinapi",VLOOKUP(I1043,'SINAPI-FEV.2017'!A:D,2,0),IF(H1043="Cotação",VLOOKUP(I1043,COTAÇÃO!A:D,2,0),IF(H1043="Composição",VLOOKUP(I1043,COMPOSIÇÃO!A:D,2,0))))))</f>
        <v>COBOGO DE CONCRETO (ELEMENTO VAZADO), 7X50X50CM, ASSENTADO COM ARGAMASSA TRACO 1:4 (CIMENTO E AREIA)</v>
      </c>
      <c r="L1043" s="700" t="str">
        <f>(IF(H1043="Saneago",VLOOKUP(I1043,'SANEAGO-FEV.2016'!A:D,3,0),IF(H1043="Sinapi",VLOOKUP(I1043,'SINAPI-FEV.2017'!A:D,3,0),IF(H1043="Cotação",VLOOKUP(I1043,COTAÇÃO!A:D,3,0),IF(H1043="Composição",VLOOKUP(I1043,COMPOSIÇÃO!A:D,3,0))))))</f>
        <v>M2</v>
      </c>
      <c r="M1043" s="870">
        <f>ROUND(VLOOKUP(G1043,HIPOCLORITO!A:M,13,0),2)</f>
        <v>1.75</v>
      </c>
      <c r="N1043" s="399">
        <v>0</v>
      </c>
      <c r="O1043" s="102">
        <f>ROUND(IF(F1043="Serviços",N1043*(1+$O$7),IF(F1043="Materiais",N1043*(1+$O$8))),2)</f>
        <v>0</v>
      </c>
      <c r="P1043" s="101">
        <f>ROUND(M1043*O1043,2)</f>
        <v>0</v>
      </c>
      <c r="Q1043" s="1472">
        <v>1.75</v>
      </c>
    </row>
    <row r="1044" spans="1:17" ht="45">
      <c r="A1044" s="1482"/>
      <c r="B1044" s="1482"/>
      <c r="C1044" s="1483">
        <f t="shared" si="173"/>
        <v>6</v>
      </c>
      <c r="D1044" s="1492">
        <f t="shared" si="174"/>
        <v>7</v>
      </c>
      <c r="E1044" s="1492">
        <f t="shared" si="175"/>
        <v>6</v>
      </c>
      <c r="F1044" s="1484" t="s">
        <v>11708</v>
      </c>
      <c r="G1044" s="862" t="s">
        <v>12446</v>
      </c>
      <c r="H1044" s="823" t="str">
        <f>VLOOKUP(G1044,HIPOCLORITO!A:M,2,0)</f>
        <v>SINAPI</v>
      </c>
      <c r="I1044" s="700">
        <f>VLOOKUP(G1044,HIPOCLORITO!A:M,3,0)</f>
        <v>87513</v>
      </c>
      <c r="J1044" s="824"/>
      <c r="K1044" s="790" t="str">
        <f>(IF(H1044="Saneago",VLOOKUP(I1044,'SANEAGO-FEV.2016'!A:B,2,0),IF(H1044="Sinapi",VLOOKUP(I1044,'SINAPI-FEV.2017'!A:D,2,0),IF(H1044="Cotação",VLOOKUP(I1044,COTAÇÃO!A:D,2,0),IF(H1044="Composição",VLOOKUP(I1044,COMPOSIÇÃO!A:D,2,0))))))</f>
        <v>ALVENARIA DE VEDAÇÃO DE BLOCOS CERÂMICOS FURADOS NA HORIZONTAL DE 11,5X19X19CM (ESPESSURA 11,5CM) DE PAREDES COM ÁREA LÍQUIDA MENOR QUE 6M² COM VÃOS E ARGAMASSA DE ASSENTAMENTO COM PREPARO EM BETONEIRA. AF_06/2014</v>
      </c>
      <c r="L1044" s="700" t="str">
        <f>(IF(H1044="Saneago",VLOOKUP(I1044,'SANEAGO-FEV.2016'!A:D,3,0),IF(H1044="Sinapi",VLOOKUP(I1044,'SINAPI-FEV.2017'!A:D,3,0),IF(H1044="Cotação",VLOOKUP(I1044,COTAÇÃO!A:D,3,0),IF(H1044="Composição",VLOOKUP(I1044,COMPOSIÇÃO!A:D,3,0))))))</f>
        <v>M2</v>
      </c>
      <c r="M1044" s="870">
        <f>ROUND(VLOOKUP(G1044,HIPOCLORITO!A:M,13,0),2)</f>
        <v>28.44</v>
      </c>
      <c r="N1044" s="399">
        <v>0</v>
      </c>
      <c r="O1044" s="102">
        <f>ROUND(IF(F1044="Serviços",N1044*(1+$O$7),IF(F1044="Materiais",N1044*(1+$O$8))),2)</f>
        <v>0</v>
      </c>
      <c r="P1044" s="101">
        <f>ROUND(M1044*O1044,2)</f>
        <v>0</v>
      </c>
      <c r="Q1044" s="1472">
        <v>28.44</v>
      </c>
    </row>
    <row r="1045" spans="1:17" ht="15.75" thickBot="1">
      <c r="A1045" s="1482"/>
      <c r="B1045" s="1482"/>
      <c r="C1045" s="1483">
        <f t="shared" si="173"/>
        <v>6</v>
      </c>
      <c r="D1045" s="1492">
        <f t="shared" si="174"/>
        <v>7</v>
      </c>
      <c r="E1045" s="1492">
        <f t="shared" si="175"/>
        <v>6</v>
      </c>
      <c r="F1045" s="1484" t="s">
        <v>11708</v>
      </c>
      <c r="H1045" s="1095"/>
      <c r="I1045" s="780"/>
      <c r="J1045" s="834"/>
      <c r="K1045" s="780"/>
      <c r="L1045" s="780"/>
      <c r="M1045" s="1270"/>
      <c r="N1045" s="400"/>
      <c r="O1045" s="122"/>
      <c r="P1045" s="123"/>
    </row>
    <row r="1046" spans="1:17" ht="16.5" customHeight="1" thickTop="1" thickBot="1">
      <c r="A1046" s="1482"/>
      <c r="B1046" s="1482"/>
      <c r="C1046" s="1483">
        <f t="shared" si="173"/>
        <v>6</v>
      </c>
      <c r="D1046" s="1492">
        <f t="shared" si="174"/>
        <v>7</v>
      </c>
      <c r="E1046" s="1492">
        <f t="shared" si="175"/>
        <v>6</v>
      </c>
      <c r="F1046" s="1484" t="s">
        <v>11708</v>
      </c>
      <c r="G1046" s="959"/>
      <c r="H1046" s="1653" t="str">
        <f>"TOTAL ITEM: "&amp;J1041 &amp;K1041</f>
        <v>TOTAL ITEM: 6.7.6 ALVENARIAS</v>
      </c>
      <c r="I1046" s="1654"/>
      <c r="J1046" s="1654"/>
      <c r="K1046" s="1654"/>
      <c r="L1046" s="1654"/>
      <c r="M1046" s="1654"/>
      <c r="N1046" s="1654"/>
      <c r="O1046" s="1654"/>
      <c r="P1046" s="210">
        <f>SUBTOTAL(9,P1043:P1044)</f>
        <v>0</v>
      </c>
    </row>
    <row r="1047" spans="1:17" ht="15.75" thickTop="1">
      <c r="A1047" s="1482"/>
      <c r="B1047" s="1482"/>
      <c r="C1047" s="1483">
        <f t="shared" si="173"/>
        <v>6</v>
      </c>
      <c r="D1047" s="1492">
        <f t="shared" si="174"/>
        <v>7</v>
      </c>
      <c r="E1047" s="1492">
        <f t="shared" si="175"/>
        <v>6</v>
      </c>
      <c r="F1047" s="1484" t="s">
        <v>11708</v>
      </c>
      <c r="G1047" s="959"/>
      <c r="H1047" s="1095"/>
      <c r="I1047" s="780"/>
      <c r="J1047" s="834"/>
      <c r="K1047" s="780"/>
      <c r="L1047" s="780"/>
      <c r="M1047" s="1270"/>
      <c r="N1047" s="400"/>
      <c r="O1047" s="122"/>
      <c r="P1047" s="123"/>
    </row>
    <row r="1048" spans="1:17">
      <c r="A1048" s="1482"/>
      <c r="B1048" s="1482">
        <v>1</v>
      </c>
      <c r="C1048" s="1483">
        <f t="shared" ref="C1048:C1113" si="184">C1047</f>
        <v>6</v>
      </c>
      <c r="D1048" s="1492">
        <f t="shared" si="174"/>
        <v>7</v>
      </c>
      <c r="E1048" s="1492">
        <f t="shared" si="175"/>
        <v>7</v>
      </c>
      <c r="F1048" s="1484" t="s">
        <v>11708</v>
      </c>
      <c r="G1048" s="862"/>
      <c r="H1048" s="1514" t="s">
        <v>11703</v>
      </c>
      <c r="I1048" s="1515" t="s">
        <v>64</v>
      </c>
      <c r="J1048" s="1516" t="str">
        <f>CONCATENATE(C1048,".",D1048,".",E1048)</f>
        <v>6.7.7</v>
      </c>
      <c r="K1048" s="1516" t="s">
        <v>11715</v>
      </c>
      <c r="L1048" s="1517" t="s">
        <v>25</v>
      </c>
      <c r="M1048" s="1518" t="s">
        <v>11704</v>
      </c>
      <c r="N1048" s="398" t="s">
        <v>11705</v>
      </c>
      <c r="O1048" s="207" t="s">
        <v>11706</v>
      </c>
      <c r="P1048" s="208" t="s">
        <v>27</v>
      </c>
      <c r="Q1048" s="1472" t="s">
        <v>11704</v>
      </c>
    </row>
    <row r="1049" spans="1:17">
      <c r="A1049" s="1482"/>
      <c r="B1049" s="1482"/>
      <c r="C1049" s="1483">
        <f t="shared" si="184"/>
        <v>6</v>
      </c>
      <c r="D1049" s="1492">
        <f t="shared" ref="D1049:D1109" si="185">D1048+A1049</f>
        <v>7</v>
      </c>
      <c r="E1049" s="1492">
        <f t="shared" ref="E1049:E1109" si="186">E1048+B1049</f>
        <v>7</v>
      </c>
      <c r="F1049" s="1484" t="s">
        <v>11708</v>
      </c>
      <c r="G1049" s="862"/>
      <c r="H1049" s="1095"/>
      <c r="I1049" s="780"/>
      <c r="J1049" s="834"/>
      <c r="K1049" s="780"/>
      <c r="L1049" s="780"/>
      <c r="M1049" s="1270"/>
      <c r="N1049" s="400"/>
      <c r="O1049" s="122"/>
      <c r="P1049" s="123"/>
    </row>
    <row r="1050" spans="1:17" ht="33.75">
      <c r="A1050" s="1482"/>
      <c r="B1050" s="1482"/>
      <c r="C1050" s="1483">
        <f t="shared" si="184"/>
        <v>6</v>
      </c>
      <c r="D1050" s="1492">
        <f t="shared" si="185"/>
        <v>7</v>
      </c>
      <c r="E1050" s="1492">
        <f t="shared" si="186"/>
        <v>7</v>
      </c>
      <c r="F1050" s="1484" t="s">
        <v>11708</v>
      </c>
      <c r="G1050" s="862" t="s">
        <v>12394</v>
      </c>
      <c r="H1050" s="823" t="str">
        <f>VLOOKUP(G1050,HIPOCLORITO!A:M,2,0)</f>
        <v>SINAPI</v>
      </c>
      <c r="I1050" s="700">
        <f>VLOOKUP(G1050,HIPOCLORITO!A:M,3,0)</f>
        <v>87908</v>
      </c>
      <c r="J1050" s="824"/>
      <c r="K1050" s="790" t="str">
        <f>(IF(H1050="Saneago",VLOOKUP(I1050,'SANEAGO-FEV.2016'!A:B,2,0),IF(H1050="Sinapi",VLOOKUP(I1050,'SINAPI-FEV.2017'!A:D,2,0),IF(H1050="Cotação",VLOOKUP(I1050,COTAÇÃO!A:D,2,0),IF(H1050="Composição",VLOOKUP(I1050,COMPOSIÇÃO!A:D,2,0))))))</f>
        <v>CHAPISCO APLICADO EM ALVENARIA (COM PRESENÇA DE VÃOS) E ESTRUTURAS DE CONCRETO DE FACHADA, COM EQUIPAMENTO DE PROJEÇÃO.  ARGAMASSA TRAÇO 1:3 COM PREPARO EM BETONEIRA 400 L. AF_06/2014</v>
      </c>
      <c r="L1050" s="700" t="str">
        <f>(IF(H1050="Saneago",VLOOKUP(I1050,'SANEAGO-FEV.2016'!A:D,3,0),IF(H1050="Sinapi",VLOOKUP(I1050,'SINAPI-FEV.2017'!A:D,3,0),IF(H1050="Cotação",VLOOKUP(I1050,COTAÇÃO!A:D,3,0),IF(H1050="Composição",VLOOKUP(I1050,COMPOSIÇÃO!A:D,3,0))))))</f>
        <v>M2</v>
      </c>
      <c r="M1050" s="870">
        <f>ROUND(VLOOKUP(G1050,HIPOCLORITO!A:M,13,0),2)</f>
        <v>56.88</v>
      </c>
      <c r="N1050" s="399">
        <v>0</v>
      </c>
      <c r="O1050" s="102">
        <f t="shared" ref="O1050:O1056" si="187">ROUND(IF(F1050="Serviços",N1050*(1+$O$7),IF(F1050="Materiais",N1050*(1+$O$8))),2)</f>
        <v>0</v>
      </c>
      <c r="P1050" s="101">
        <f t="shared" ref="P1050:P1056" si="188">ROUND(M1050*O1050,2)</f>
        <v>0</v>
      </c>
      <c r="Q1050" s="1472">
        <v>56.88</v>
      </c>
    </row>
    <row r="1051" spans="1:17" ht="33.75">
      <c r="A1051" s="1482"/>
      <c r="B1051" s="1482"/>
      <c r="C1051" s="1483">
        <f t="shared" si="184"/>
        <v>6</v>
      </c>
      <c r="D1051" s="1492">
        <f t="shared" si="185"/>
        <v>7</v>
      </c>
      <c r="E1051" s="1492">
        <f t="shared" si="186"/>
        <v>7</v>
      </c>
      <c r="F1051" s="1484" t="s">
        <v>11708</v>
      </c>
      <c r="G1051" s="862" t="s">
        <v>12395</v>
      </c>
      <c r="H1051" s="823" t="str">
        <f>VLOOKUP(G1051,HIPOCLORITO!A:M,2,0)</f>
        <v>SINAPI</v>
      </c>
      <c r="I1051" s="700">
        <f>VLOOKUP(G1051,HIPOCLORITO!A:M,3,0)</f>
        <v>87882</v>
      </c>
      <c r="J1051" s="824"/>
      <c r="K1051" s="790" t="str">
        <f>(IF(H1051="Saneago",VLOOKUP(I1051,'SANEAGO-FEV.2016'!A:B,2,0),IF(H1051="Sinapi",VLOOKUP(I1051,'SINAPI-FEV.2017'!A:D,2,0),IF(H1051="Cotação",VLOOKUP(I1051,COTAÇÃO!A:D,2,0),IF(H1051="Composição",VLOOKUP(I1051,COMPOSIÇÃO!A:D,2,0))))))</f>
        <v>CHAPISCO APLICADO NO TETO, COM ROLO PARA TEXTURA ACRÍLICA. ARGAMASSA TRAÇO 1:4 E EMULSÃO POLIMÉRICA (ADESIVO) COM PREPARO EM BETONEIRA 400L. AF_06/2014</v>
      </c>
      <c r="L1051" s="700" t="str">
        <f>(IF(H1051="Saneago",VLOOKUP(I1051,'SANEAGO-FEV.2016'!A:D,3,0),IF(H1051="Sinapi",VLOOKUP(I1051,'SINAPI-FEV.2017'!A:D,3,0),IF(H1051="Cotação",VLOOKUP(I1051,COTAÇÃO!A:D,3,0),IF(H1051="Composição",VLOOKUP(I1051,COMPOSIÇÃO!A:D,3,0))))))</f>
        <v>M2</v>
      </c>
      <c r="M1051" s="870">
        <f>ROUND(VLOOKUP(G1051,HIPOCLORITO!A:M,13,0),2)</f>
        <v>8.3699999999999992</v>
      </c>
      <c r="N1051" s="399">
        <v>0</v>
      </c>
      <c r="O1051" s="102">
        <f t="shared" si="187"/>
        <v>0</v>
      </c>
      <c r="P1051" s="101">
        <f t="shared" si="188"/>
        <v>0</v>
      </c>
      <c r="Q1051" s="1472">
        <v>8.3699999999999992</v>
      </c>
    </row>
    <row r="1052" spans="1:17" ht="33.75">
      <c r="A1052" s="1482"/>
      <c r="B1052" s="1482"/>
      <c r="C1052" s="1483">
        <f t="shared" si="184"/>
        <v>6</v>
      </c>
      <c r="D1052" s="1492">
        <f t="shared" si="185"/>
        <v>7</v>
      </c>
      <c r="E1052" s="1492">
        <f t="shared" si="186"/>
        <v>7</v>
      </c>
      <c r="F1052" s="1484" t="s">
        <v>11708</v>
      </c>
      <c r="G1052" s="862" t="s">
        <v>12396</v>
      </c>
      <c r="H1052" s="823" t="str">
        <f>VLOOKUP(G1052,HIPOCLORITO!A:M,2,0)</f>
        <v>SINAPI</v>
      </c>
      <c r="I1052" s="700">
        <f>VLOOKUP(G1052,HIPOCLORITO!A:M,3,0)</f>
        <v>87296</v>
      </c>
      <c r="J1052" s="824"/>
      <c r="K1052" s="790" t="str">
        <f>(IF(H1052="Saneago",VLOOKUP(I1052,'SANEAGO-FEV.2016'!A:B,2,0),IF(H1052="Sinapi",VLOOKUP(I1052,'SINAPI-FEV.2017'!A:D,2,0),IF(H1052="Cotação",VLOOKUP(I1052,COTAÇÃO!A:D,2,0),IF(H1052="Composição",VLOOKUP(I1052,COMPOSIÇÃO!A:D,2,0))))))</f>
        <v>ARGAMASSA TRAÇO 1:3:12 (CIMENTO, CAL E AREIA MÉDIA) PARA EMBOÇO/MASSA ÚNICA/ASSENTAMENTO DE ALVENARIA DE VEDAÇÃO, PREPARO MECÂNICO COM BETONEIRA 600 L. AF_06/2014</v>
      </c>
      <c r="L1052" s="700" t="str">
        <f>(IF(H1052="Saneago",VLOOKUP(I1052,'SANEAGO-FEV.2016'!A:D,3,0),IF(H1052="Sinapi",VLOOKUP(I1052,'SINAPI-FEV.2017'!A:D,3,0),IF(H1052="Cotação",VLOOKUP(I1052,COTAÇÃO!A:D,3,0),IF(H1052="Composição",VLOOKUP(I1052,COMPOSIÇÃO!A:D,3,0))))))</f>
        <v>M3</v>
      </c>
      <c r="M1052" s="870">
        <f>ROUND(VLOOKUP(G1052,HIPOCLORITO!A:M,13,0),2)</f>
        <v>2.84</v>
      </c>
      <c r="N1052" s="399">
        <v>0</v>
      </c>
      <c r="O1052" s="102">
        <f t="shared" si="187"/>
        <v>0</v>
      </c>
      <c r="P1052" s="101">
        <f t="shared" si="188"/>
        <v>0</v>
      </c>
      <c r="Q1052" s="1472">
        <v>2.84</v>
      </c>
    </row>
    <row r="1053" spans="1:17" ht="22.5">
      <c r="A1053" s="1482"/>
      <c r="B1053" s="1482"/>
      <c r="C1053" s="1483">
        <f t="shared" si="184"/>
        <v>6</v>
      </c>
      <c r="D1053" s="1492">
        <f t="shared" si="185"/>
        <v>7</v>
      </c>
      <c r="E1053" s="1492">
        <f t="shared" si="186"/>
        <v>7</v>
      </c>
      <c r="F1053" s="1484" t="s">
        <v>11708</v>
      </c>
      <c r="G1053" s="862" t="s">
        <v>12397</v>
      </c>
      <c r="H1053" s="823" t="str">
        <f>VLOOKUP(G1053,HIPOCLORITO!A:M,2,0)</f>
        <v>SINAPI</v>
      </c>
      <c r="I1053" s="700">
        <f>VLOOKUP(G1053,HIPOCLORITO!A:M,3,0)</f>
        <v>88487</v>
      </c>
      <c r="J1053" s="824"/>
      <c r="K1053" s="790" t="str">
        <f>(IF(H1053="Saneago",VLOOKUP(I1053,'SANEAGO-FEV.2016'!A:B,2,0),IF(H1053="Sinapi",VLOOKUP(I1053,'SINAPI-FEV.2017'!A:D,2,0),IF(H1053="Cotação",VLOOKUP(I1053,COTAÇÃO!A:D,2,0),IF(H1053="Composição",VLOOKUP(I1053,COMPOSIÇÃO!A:D,2,0))))))</f>
        <v>APLICAÇÃO MANUAL DE PINTURA COM TINTA LÁTEX PVA EM PAREDES, DUAS DEMÃOS. AF_06/2014</v>
      </c>
      <c r="L1053" s="700" t="str">
        <f>(IF(H1053="Saneago",VLOOKUP(I1053,'SANEAGO-FEV.2016'!A:D,3,0),IF(H1053="Sinapi",VLOOKUP(I1053,'SINAPI-FEV.2017'!A:D,3,0),IF(H1053="Cotação",VLOOKUP(I1053,COTAÇÃO!A:D,3,0),IF(H1053="Composição",VLOOKUP(I1053,COMPOSIÇÃO!A:D,3,0))))))</f>
        <v>M2</v>
      </c>
      <c r="M1053" s="870">
        <f>ROUND(VLOOKUP(G1053,HIPOCLORITO!A:M,13,0),2)</f>
        <v>13.24</v>
      </c>
      <c r="N1053" s="399">
        <v>0</v>
      </c>
      <c r="O1053" s="102">
        <f t="shared" si="187"/>
        <v>0</v>
      </c>
      <c r="P1053" s="101">
        <f t="shared" si="188"/>
        <v>0</v>
      </c>
      <c r="Q1053" s="1472">
        <v>13.24</v>
      </c>
    </row>
    <row r="1054" spans="1:17" ht="22.5">
      <c r="A1054" s="1482"/>
      <c r="B1054" s="1482"/>
      <c r="C1054" s="1483">
        <f t="shared" si="184"/>
        <v>6</v>
      </c>
      <c r="D1054" s="1492">
        <f t="shared" si="185"/>
        <v>7</v>
      </c>
      <c r="E1054" s="1492">
        <f t="shared" si="186"/>
        <v>7</v>
      </c>
      <c r="F1054" s="1484" t="s">
        <v>11708</v>
      </c>
      <c r="G1054" s="862" t="s">
        <v>12398</v>
      </c>
      <c r="H1054" s="823" t="str">
        <f>VLOOKUP(G1054,HIPOCLORITO!A:M,2,0)</f>
        <v>SINAPI</v>
      </c>
      <c r="I1054" s="700">
        <f>VLOOKUP(G1054,HIPOCLORITO!A:M,3,0)</f>
        <v>88489</v>
      </c>
      <c r="J1054" s="824"/>
      <c r="K1054" s="790" t="str">
        <f>(IF(H1054="Saneago",VLOOKUP(I1054,'SANEAGO-FEV.2016'!A:B,2,0),IF(H1054="Sinapi",VLOOKUP(I1054,'SINAPI-FEV.2017'!A:D,2,0),IF(H1054="Cotação",VLOOKUP(I1054,COTAÇÃO!A:D,2,0),IF(H1054="Composição",VLOOKUP(I1054,COMPOSIÇÃO!A:D,2,0))))))</f>
        <v>APLICAÇÃO MANUAL DE PINTURA COM TINTA LÁTEX ACRÍLICA EM PAREDES, DUAS DEMÃOS. AF_06/2014</v>
      </c>
      <c r="L1054" s="700" t="str">
        <f>(IF(H1054="Saneago",VLOOKUP(I1054,'SANEAGO-FEV.2016'!A:D,3,0),IF(H1054="Sinapi",VLOOKUP(I1054,'SINAPI-FEV.2017'!A:D,3,0),IF(H1054="Cotação",VLOOKUP(I1054,COTAÇÃO!A:D,3,0),IF(H1054="Composição",VLOOKUP(I1054,COMPOSIÇÃO!A:D,3,0))))))</f>
        <v>M2</v>
      </c>
      <c r="M1054" s="870">
        <f>ROUND(VLOOKUP(G1054,HIPOCLORITO!A:M,13,0),2)</f>
        <v>6.84</v>
      </c>
      <c r="N1054" s="399">
        <v>0</v>
      </c>
      <c r="O1054" s="102">
        <f t="shared" si="187"/>
        <v>0</v>
      </c>
      <c r="P1054" s="101">
        <f t="shared" si="188"/>
        <v>0</v>
      </c>
      <c r="Q1054" s="1472">
        <v>6.84</v>
      </c>
    </row>
    <row r="1055" spans="1:17" ht="22.5">
      <c r="A1055" s="1482"/>
      <c r="B1055" s="1482"/>
      <c r="C1055" s="1483">
        <f t="shared" si="184"/>
        <v>6</v>
      </c>
      <c r="D1055" s="1492">
        <f t="shared" si="185"/>
        <v>7</v>
      </c>
      <c r="E1055" s="1492">
        <f t="shared" si="186"/>
        <v>7</v>
      </c>
      <c r="F1055" s="1484" t="s">
        <v>11708</v>
      </c>
      <c r="G1055" s="862" t="s">
        <v>12439</v>
      </c>
      <c r="H1055" s="823" t="str">
        <f>VLOOKUP(G1055,HIPOCLORITO!A:M,2,0)</f>
        <v>SINAPI</v>
      </c>
      <c r="I1055" s="700">
        <f>VLOOKUP(G1055,HIPOCLORITO!A:M,3,0)</f>
        <v>88486</v>
      </c>
      <c r="J1055" s="824"/>
      <c r="K1055" s="790" t="str">
        <f>(IF(H1055="Saneago",VLOOKUP(I1055,'SANEAGO-FEV.2016'!A:B,2,0),IF(H1055="Sinapi",VLOOKUP(I1055,'SINAPI-FEV.2017'!A:D,2,0),IF(H1055="Cotação",VLOOKUP(I1055,COTAÇÃO!A:D,2,0),IF(H1055="Composição",VLOOKUP(I1055,COMPOSIÇÃO!A:D,2,0))))))</f>
        <v>APLICAÇÃO MANUAL DE PINTURA COM TINTA LÁTEX PVA EM TETO, DUAS DEMÃOS. AF_06/2014</v>
      </c>
      <c r="L1055" s="700" t="str">
        <f>(IF(H1055="Saneago",VLOOKUP(I1055,'SANEAGO-FEV.2016'!A:D,3,0),IF(H1055="Sinapi",VLOOKUP(I1055,'SINAPI-FEV.2017'!A:D,3,0),IF(H1055="Cotação",VLOOKUP(I1055,COTAÇÃO!A:D,3,0),IF(H1055="Composição",VLOOKUP(I1055,COMPOSIÇÃO!A:D,3,0))))))</f>
        <v>M2</v>
      </c>
      <c r="M1055" s="870">
        <f>ROUND(VLOOKUP(G1055,HIPOCLORITO!A:M,13,0),2)</f>
        <v>8.3699999999999992</v>
      </c>
      <c r="N1055" s="399">
        <v>0</v>
      </c>
      <c r="O1055" s="102">
        <f t="shared" si="187"/>
        <v>0</v>
      </c>
      <c r="P1055" s="101">
        <f t="shared" si="188"/>
        <v>0</v>
      </c>
      <c r="Q1055" s="1472">
        <v>8.3699999999999992</v>
      </c>
    </row>
    <row r="1056" spans="1:17" ht="22.5">
      <c r="A1056" s="1482"/>
      <c r="B1056" s="1482"/>
      <c r="C1056" s="1483">
        <f t="shared" si="184"/>
        <v>6</v>
      </c>
      <c r="D1056" s="1492">
        <f t="shared" si="185"/>
        <v>7</v>
      </c>
      <c r="E1056" s="1492">
        <f t="shared" si="186"/>
        <v>7</v>
      </c>
      <c r="F1056" s="1484" t="s">
        <v>11708</v>
      </c>
      <c r="G1056" s="862" t="s">
        <v>12399</v>
      </c>
      <c r="H1056" s="823" t="str">
        <f>VLOOKUP(G1056,HIPOCLORITO!A:M,2,0)</f>
        <v>SINAPI</v>
      </c>
      <c r="I1056" s="700">
        <f>VLOOKUP(G1056,HIPOCLORITO!A:M,3,0)</f>
        <v>88415</v>
      </c>
      <c r="J1056" s="824"/>
      <c r="K1056" s="790" t="str">
        <f>(IF(H1056="Saneago",VLOOKUP(I1056,'SANEAGO-FEV.2016'!A:B,2,0),IF(H1056="Sinapi",VLOOKUP(I1056,'SINAPI-FEV.2017'!A:D,2,0),IF(H1056="Cotação",VLOOKUP(I1056,COTAÇÃO!A:D,2,0),IF(H1056="Composição",VLOOKUP(I1056,COMPOSIÇÃO!A:D,2,0))))))</f>
        <v>APLICAÇÃO MANUAL DE FUNDO SELADOR ACRÍLICO EM PAREDES EXTERNAS DE CASAS. AF_06/2014</v>
      </c>
      <c r="L1056" s="700" t="str">
        <f>(IF(H1056="Saneago",VLOOKUP(I1056,'SANEAGO-FEV.2016'!A:D,3,0),IF(H1056="Sinapi",VLOOKUP(I1056,'SINAPI-FEV.2017'!A:D,3,0),IF(H1056="Cotação",VLOOKUP(I1056,COTAÇÃO!A:D,3,0),IF(H1056="Composição",VLOOKUP(I1056,COMPOSIÇÃO!A:D,3,0))))))</f>
        <v>M2</v>
      </c>
      <c r="M1056" s="870">
        <f>ROUND(VLOOKUP(G1056,HIPOCLORITO!A:M,13,0),2)</f>
        <v>63.36</v>
      </c>
      <c r="N1056" s="399">
        <v>0</v>
      </c>
      <c r="O1056" s="102">
        <f t="shared" si="187"/>
        <v>0</v>
      </c>
      <c r="P1056" s="101">
        <f t="shared" si="188"/>
        <v>0</v>
      </c>
      <c r="Q1056" s="1472">
        <v>63.36</v>
      </c>
    </row>
    <row r="1057" spans="1:17" ht="15.75" thickBot="1">
      <c r="A1057" s="1482"/>
      <c r="B1057" s="1482"/>
      <c r="C1057" s="1483">
        <f t="shared" si="184"/>
        <v>6</v>
      </c>
      <c r="D1057" s="1492">
        <f t="shared" si="185"/>
        <v>7</v>
      </c>
      <c r="E1057" s="1492">
        <f t="shared" si="186"/>
        <v>7</v>
      </c>
      <c r="F1057" s="1484" t="s">
        <v>11708</v>
      </c>
      <c r="G1057" s="862"/>
      <c r="H1057" s="1095"/>
      <c r="I1057" s="780"/>
      <c r="J1057" s="834"/>
      <c r="K1057" s="780"/>
      <c r="L1057" s="780"/>
      <c r="M1057" s="1270"/>
      <c r="N1057" s="400"/>
      <c r="O1057" s="122"/>
      <c r="P1057" s="123"/>
    </row>
    <row r="1058" spans="1:17" ht="16.5" customHeight="1" thickTop="1" thickBot="1">
      <c r="A1058" s="1482"/>
      <c r="B1058" s="1482"/>
      <c r="C1058" s="1483">
        <f t="shared" si="184"/>
        <v>6</v>
      </c>
      <c r="D1058" s="1492">
        <f t="shared" si="185"/>
        <v>7</v>
      </c>
      <c r="E1058" s="1492">
        <f t="shared" si="186"/>
        <v>7</v>
      </c>
      <c r="F1058" s="1484" t="s">
        <v>11708</v>
      </c>
      <c r="G1058" s="862"/>
      <c r="H1058" s="1653" t="str">
        <f>"TOTAL ITEM: "&amp;J1048 &amp;K1048</f>
        <v>TOTAL ITEM: 6.7.7 REVESTIMENTOS E PINTURAS</v>
      </c>
      <c r="I1058" s="1654"/>
      <c r="J1058" s="1654"/>
      <c r="K1058" s="1654"/>
      <c r="L1058" s="1654"/>
      <c r="M1058" s="1654"/>
      <c r="N1058" s="1654"/>
      <c r="O1058" s="1654"/>
      <c r="P1058" s="210">
        <f>SUBTOTAL(9,P1050:P1056)</f>
        <v>0</v>
      </c>
    </row>
    <row r="1059" spans="1:17" ht="15.75" thickTop="1">
      <c r="A1059" s="1482"/>
      <c r="B1059" s="1482"/>
      <c r="C1059" s="1483">
        <f t="shared" si="184"/>
        <v>6</v>
      </c>
      <c r="D1059" s="1492">
        <f t="shared" si="185"/>
        <v>7</v>
      </c>
      <c r="E1059" s="1492">
        <f t="shared" si="186"/>
        <v>7</v>
      </c>
      <c r="F1059" s="1484" t="s">
        <v>11708</v>
      </c>
      <c r="G1059" s="862"/>
      <c r="H1059" s="929"/>
      <c r="I1059" s="1371"/>
      <c r="J1059" s="1022"/>
      <c r="K1059" s="1371"/>
      <c r="L1059" s="1371"/>
      <c r="M1059" s="1536"/>
      <c r="N1059" s="394"/>
      <c r="O1059" s="728"/>
      <c r="P1059" s="95"/>
    </row>
    <row r="1060" spans="1:17">
      <c r="A1060" s="1482"/>
      <c r="B1060" s="1482">
        <v>1</v>
      </c>
      <c r="C1060" s="1483">
        <f t="shared" si="184"/>
        <v>6</v>
      </c>
      <c r="D1060" s="1492">
        <f t="shared" si="185"/>
        <v>7</v>
      </c>
      <c r="E1060" s="1492">
        <f t="shared" si="186"/>
        <v>8</v>
      </c>
      <c r="F1060" s="1484" t="s">
        <v>11708</v>
      </c>
      <c r="G1060" s="862"/>
      <c r="H1060" s="1514" t="s">
        <v>11703</v>
      </c>
      <c r="I1060" s="1515" t="s">
        <v>64</v>
      </c>
      <c r="J1060" s="1516" t="str">
        <f>CONCATENATE(C1060,".",D1060,".",E1060)</f>
        <v>6.7.8</v>
      </c>
      <c r="K1060" s="1516" t="s">
        <v>20204</v>
      </c>
      <c r="L1060" s="1517" t="s">
        <v>25</v>
      </c>
      <c r="M1060" s="1518" t="s">
        <v>11704</v>
      </c>
      <c r="N1060" s="398" t="s">
        <v>11705</v>
      </c>
      <c r="O1060" s="207" t="s">
        <v>11706</v>
      </c>
      <c r="P1060" s="208" t="s">
        <v>27</v>
      </c>
      <c r="Q1060" s="1472" t="s">
        <v>11704</v>
      </c>
    </row>
    <row r="1061" spans="1:17">
      <c r="A1061" s="1482"/>
      <c r="B1061" s="1482"/>
      <c r="C1061" s="1483">
        <f t="shared" si="184"/>
        <v>6</v>
      </c>
      <c r="D1061" s="1492">
        <f t="shared" si="185"/>
        <v>7</v>
      </c>
      <c r="E1061" s="1492">
        <f t="shared" si="186"/>
        <v>8</v>
      </c>
      <c r="F1061" s="1484" t="s">
        <v>11708</v>
      </c>
      <c r="G1061" s="862"/>
      <c r="H1061" s="1095"/>
      <c r="I1061" s="780"/>
      <c r="J1061" s="834"/>
      <c r="K1061" s="780"/>
      <c r="L1061" s="780"/>
      <c r="M1061" s="1270"/>
      <c r="N1061" s="400"/>
      <c r="O1061" s="122"/>
      <c r="P1061" s="123"/>
    </row>
    <row r="1062" spans="1:17" ht="22.5">
      <c r="A1062" s="1482"/>
      <c r="B1062" s="1482"/>
      <c r="C1062" s="1483">
        <f t="shared" si="184"/>
        <v>6</v>
      </c>
      <c r="D1062" s="1492">
        <f t="shared" si="185"/>
        <v>7</v>
      </c>
      <c r="E1062" s="1492">
        <f t="shared" si="186"/>
        <v>8</v>
      </c>
      <c r="F1062" s="1484" t="s">
        <v>11708</v>
      </c>
      <c r="G1062" s="862" t="s">
        <v>12414</v>
      </c>
      <c r="H1062" s="823" t="str">
        <f>VLOOKUP(G1062,HIPOCLORITO!A:M,2,0)</f>
        <v>SINAPI</v>
      </c>
      <c r="I1062" s="700">
        <f>VLOOKUP(G1062,HIPOCLORITO!A:M,3,0)</f>
        <v>94962</v>
      </c>
      <c r="J1062" s="824"/>
      <c r="K1062" s="790" t="str">
        <f>(IF(H1062="Saneago",VLOOKUP(I1062,'SANEAGO-FEV.2016'!A:B,2,0),IF(H1062="Sinapi",VLOOKUP(I1062,'SINAPI-FEV.2017'!A:D,2,0),IF(H1062="Cotação",VLOOKUP(I1062,COTAÇÃO!A:D,2,0),IF(H1062="Composição",VLOOKUP(I1062,COMPOSIÇÃO!A:D,2,0))))))</f>
        <v>CONCRETO MAGRO PARA LASTRO, TRAÇO 1:4,5:4,5 (CIMENTO/ AREIA MÉDIA/ BRITA 1)  - PREPARO MECÂNICO COM BETONEIRA 400 L. AF_07/2016</v>
      </c>
      <c r="L1062" s="700" t="str">
        <f>(IF(H1062="Saneago",VLOOKUP(I1062,'SANEAGO-FEV.2016'!A:D,3,0),IF(H1062="Sinapi",VLOOKUP(I1062,'SINAPI-FEV.2017'!A:D,3,0),IF(H1062="Cotação",VLOOKUP(I1062,COTAÇÃO!A:D,3,0),IF(H1062="Composição",VLOOKUP(I1062,COMPOSIÇÃO!A:D,3,0))))))</f>
        <v>M3</v>
      </c>
      <c r="M1062" s="870">
        <f>ROUND(VLOOKUP(G1062,HIPOCLORITO!A:M,13,0),2)</f>
        <v>3.29</v>
      </c>
      <c r="N1062" s="399">
        <v>0</v>
      </c>
      <c r="O1062" s="102">
        <f>ROUND(IF(F1062="Serviços",N1062*(1+$O$7),IF(F1062="Materiais",N1062*(1+$O$8))),2)</f>
        <v>0</v>
      </c>
      <c r="P1062" s="101">
        <f>ROUND(M1062*O1062,2)</f>
        <v>0</v>
      </c>
      <c r="Q1062" s="1472">
        <v>3.29</v>
      </c>
    </row>
    <row r="1063" spans="1:17" ht="22.5">
      <c r="A1063" s="1482"/>
      <c r="B1063" s="1482"/>
      <c r="C1063" s="1483">
        <f t="shared" si="184"/>
        <v>6</v>
      </c>
      <c r="D1063" s="1492">
        <f t="shared" si="185"/>
        <v>7</v>
      </c>
      <c r="E1063" s="1492">
        <f t="shared" si="186"/>
        <v>8</v>
      </c>
      <c r="F1063" s="1484" t="s">
        <v>11708</v>
      </c>
      <c r="G1063" s="862" t="s">
        <v>12415</v>
      </c>
      <c r="H1063" s="823" t="str">
        <f>VLOOKUP(G1063,HIPOCLORITO!A:M,2,0)</f>
        <v>SINAPI</v>
      </c>
      <c r="I1063" s="700" t="str">
        <f>VLOOKUP(G1063,HIPOCLORITO!A:M,3,0)</f>
        <v>73923/3</v>
      </c>
      <c r="J1063" s="824"/>
      <c r="K1063" s="790" t="str">
        <f>(IF(H1063="Saneago",VLOOKUP(I1063,'SANEAGO-FEV.2016'!A:B,2,0),IF(H1063="Sinapi",VLOOKUP(I1063,'SINAPI-FEV.2017'!A:D,2,0),IF(H1063="Cotação",VLOOKUP(I1063,COTAÇÃO!A:D,2,0),IF(H1063="Composição",VLOOKUP(I1063,COMPOSIÇÃO!A:D,2,0))))))</f>
        <v>PISO CIMENTADO TRACO 1:3 (CIMENTO E AREIA), COM ACABAMENTO RUSTICO E FRISADO ESPESSURA 2CM, PREPARO MANUAL</v>
      </c>
      <c r="L1063" s="700" t="str">
        <f>(IF(H1063="Saneago",VLOOKUP(I1063,'SANEAGO-FEV.2016'!A:D,3,0),IF(H1063="Sinapi",VLOOKUP(I1063,'SINAPI-FEV.2017'!A:D,3,0),IF(H1063="Cotação",VLOOKUP(I1063,COTAÇÃO!A:D,3,0),IF(H1063="Composição",VLOOKUP(I1063,COMPOSIÇÃO!A:D,3,0))))))</f>
        <v>M2</v>
      </c>
      <c r="M1063" s="870">
        <f>ROUND(VLOOKUP(G1063,HIPOCLORITO!A:M,13,0),2)</f>
        <v>55.17</v>
      </c>
      <c r="N1063" s="399">
        <v>0</v>
      </c>
      <c r="O1063" s="102">
        <f>ROUND(IF(F1063="Serviços",N1063*(1+$O$7),IF(F1063="Materiais",N1063*(1+$O$8))),2)</f>
        <v>0</v>
      </c>
      <c r="P1063" s="101">
        <f>ROUND(M1063*O1063,2)</f>
        <v>0</v>
      </c>
      <c r="Q1063" s="1472">
        <v>55.17</v>
      </c>
    </row>
    <row r="1064" spans="1:17" ht="33.75">
      <c r="A1064" s="1482"/>
      <c r="B1064" s="1482"/>
      <c r="C1064" s="1483">
        <f t="shared" si="184"/>
        <v>6</v>
      </c>
      <c r="D1064" s="1492">
        <f t="shared" si="185"/>
        <v>7</v>
      </c>
      <c r="E1064" s="1492">
        <f t="shared" si="186"/>
        <v>8</v>
      </c>
      <c r="F1064" s="1484" t="s">
        <v>11708</v>
      </c>
      <c r="G1064" s="862" t="s">
        <v>12445</v>
      </c>
      <c r="H1064" s="823" t="str">
        <f>VLOOKUP(G1064,HIPOCLORITO!A:M,2,0)</f>
        <v>SINAPI</v>
      </c>
      <c r="I1064" s="700">
        <f>VLOOKUP(G1064,HIPOCLORITO!A:M,3,0)</f>
        <v>94990</v>
      </c>
      <c r="J1064" s="824"/>
      <c r="K1064" s="790" t="str">
        <f>(IF(H1064="Saneago",VLOOKUP(I1064,'SANEAGO-FEV.2016'!A:B,2,0),IF(H1064="Sinapi",VLOOKUP(I1064,'SINAPI-FEV.2017'!A:D,2,0),IF(H1064="Cotação",VLOOKUP(I1064,COTAÇÃO!A:D,2,0),IF(H1064="Composição",VLOOKUP(I1064,COMPOSIÇÃO!A:D,2,0))))))</f>
        <v>EXECUÇÃO DE PASSEIO (CALÇADA) OU PISO DE CONCRETO COM CONCRETO MOLDADO IN LOCO, FEITO EM OBRA, ACABAMENTO CONVENCIONAL, NÃO ARMADO. AF_07/2016</v>
      </c>
      <c r="L1064" s="700" t="str">
        <f>(IF(H1064="Saneago",VLOOKUP(I1064,'SANEAGO-FEV.2016'!A:D,3,0),IF(H1064="Sinapi",VLOOKUP(I1064,'SINAPI-FEV.2017'!A:D,3,0),IF(H1064="Cotação",VLOOKUP(I1064,COTAÇÃO!A:D,3,0),IF(H1064="Composição",VLOOKUP(I1064,COMPOSIÇÃO!A:D,3,0))))))</f>
        <v>M3</v>
      </c>
      <c r="M1064" s="870">
        <f>ROUND(VLOOKUP(G1064,HIPOCLORITO!A:M,13,0),2)</f>
        <v>14</v>
      </c>
      <c r="N1064" s="399">
        <v>0</v>
      </c>
      <c r="O1064" s="102">
        <f>ROUND(IF(F1064="Serviços",N1064*(1+$O$7),IF(F1064="Materiais",N1064*(1+$O$8))),2)</f>
        <v>0</v>
      </c>
      <c r="P1064" s="101">
        <f>ROUND(M1064*O1064,2)</f>
        <v>0</v>
      </c>
      <c r="Q1064" s="1472">
        <v>14</v>
      </c>
    </row>
    <row r="1065" spans="1:17" ht="15.75" thickBot="1">
      <c r="A1065" s="1482"/>
      <c r="B1065" s="1482"/>
      <c r="C1065" s="1483">
        <f t="shared" si="184"/>
        <v>6</v>
      </c>
      <c r="D1065" s="1492">
        <f t="shared" si="185"/>
        <v>7</v>
      </c>
      <c r="E1065" s="1492">
        <f t="shared" si="186"/>
        <v>8</v>
      </c>
      <c r="F1065" s="1484" t="s">
        <v>11708</v>
      </c>
      <c r="G1065" s="862"/>
      <c r="H1065" s="929"/>
      <c r="I1065" s="1371"/>
      <c r="J1065" s="1022"/>
      <c r="K1065" s="1371"/>
      <c r="L1065" s="1371"/>
      <c r="M1065" s="1536"/>
      <c r="N1065" s="394"/>
      <c r="O1065" s="728"/>
      <c r="P1065" s="95"/>
    </row>
    <row r="1066" spans="1:17" ht="16.5" customHeight="1" thickTop="1" thickBot="1">
      <c r="A1066" s="1482"/>
      <c r="B1066" s="1482"/>
      <c r="C1066" s="1483">
        <f t="shared" si="184"/>
        <v>6</v>
      </c>
      <c r="D1066" s="1492">
        <f t="shared" si="185"/>
        <v>7</v>
      </c>
      <c r="E1066" s="1492">
        <f t="shared" si="186"/>
        <v>8</v>
      </c>
      <c r="F1066" s="1484" t="s">
        <v>11708</v>
      </c>
      <c r="G1066" s="921"/>
      <c r="H1066" s="1653" t="str">
        <f>"TOTAL ITEM: "&amp;J1060 &amp;K1060</f>
        <v xml:space="preserve">TOTAL ITEM: 6.7.8 REGULARIZAÇÃO DE PISO </v>
      </c>
      <c r="I1066" s="1654"/>
      <c r="J1066" s="1654"/>
      <c r="K1066" s="1654"/>
      <c r="L1066" s="1654"/>
      <c r="M1066" s="1654"/>
      <c r="N1066" s="1654"/>
      <c r="O1066" s="1654"/>
      <c r="P1066" s="210">
        <f>SUBTOTAL(9,P1062:P1064)</f>
        <v>0</v>
      </c>
    </row>
    <row r="1067" spans="1:17" ht="15.75" thickTop="1">
      <c r="A1067" s="1482"/>
      <c r="B1067" s="1482"/>
      <c r="C1067" s="1483">
        <f t="shared" si="184"/>
        <v>6</v>
      </c>
      <c r="D1067" s="1492">
        <f t="shared" si="185"/>
        <v>7</v>
      </c>
      <c r="E1067" s="1492">
        <f t="shared" si="186"/>
        <v>8</v>
      </c>
      <c r="F1067" s="1484" t="s">
        <v>11708</v>
      </c>
      <c r="G1067" s="959"/>
      <c r="H1067" s="929"/>
      <c r="I1067" s="1371"/>
      <c r="J1067" s="1022"/>
      <c r="K1067" s="1371"/>
      <c r="L1067" s="1371"/>
      <c r="M1067" s="1536"/>
      <c r="N1067" s="394"/>
      <c r="O1067" s="728"/>
      <c r="P1067" s="95"/>
    </row>
    <row r="1068" spans="1:17">
      <c r="A1068" s="1482"/>
      <c r="B1068" s="1482">
        <v>1</v>
      </c>
      <c r="C1068" s="1483">
        <f t="shared" si="184"/>
        <v>6</v>
      </c>
      <c r="D1068" s="1492">
        <f t="shared" si="185"/>
        <v>7</v>
      </c>
      <c r="E1068" s="1492">
        <f t="shared" si="186"/>
        <v>9</v>
      </c>
      <c r="F1068" s="1484" t="s">
        <v>11708</v>
      </c>
      <c r="H1068" s="1514" t="s">
        <v>11703</v>
      </c>
      <c r="I1068" s="1515" t="s">
        <v>64</v>
      </c>
      <c r="J1068" s="1516" t="str">
        <f>CONCATENATE(C1068,".",D1068,".",E1068)</f>
        <v>6.7.9</v>
      </c>
      <c r="K1068" s="1516" t="s">
        <v>11738</v>
      </c>
      <c r="L1068" s="1517" t="s">
        <v>25</v>
      </c>
      <c r="M1068" s="1518" t="s">
        <v>11704</v>
      </c>
      <c r="N1068" s="398" t="s">
        <v>11705</v>
      </c>
      <c r="O1068" s="207" t="s">
        <v>11706</v>
      </c>
      <c r="P1068" s="208" t="s">
        <v>27</v>
      </c>
      <c r="Q1068" s="1472" t="s">
        <v>11704</v>
      </c>
    </row>
    <row r="1069" spans="1:17">
      <c r="A1069" s="1482"/>
      <c r="B1069" s="1482"/>
      <c r="C1069" s="1483">
        <f t="shared" si="184"/>
        <v>6</v>
      </c>
      <c r="D1069" s="1492">
        <f t="shared" si="185"/>
        <v>7</v>
      </c>
      <c r="E1069" s="1492">
        <f t="shared" si="186"/>
        <v>9</v>
      </c>
      <c r="F1069" s="1484" t="s">
        <v>11708</v>
      </c>
      <c r="G1069" s="862"/>
      <c r="H1069" s="1095"/>
      <c r="I1069" s="780"/>
      <c r="J1069" s="834"/>
      <c r="K1069" s="780"/>
      <c r="L1069" s="780"/>
      <c r="M1069" s="1270"/>
      <c r="N1069" s="400"/>
      <c r="O1069" s="122"/>
      <c r="P1069" s="123"/>
    </row>
    <row r="1070" spans="1:17">
      <c r="A1070" s="1482"/>
      <c r="B1070" s="1482"/>
      <c r="C1070" s="1483">
        <f t="shared" si="184"/>
        <v>6</v>
      </c>
      <c r="D1070" s="1492">
        <f t="shared" si="185"/>
        <v>7</v>
      </c>
      <c r="E1070" s="1492">
        <f t="shared" si="186"/>
        <v>9</v>
      </c>
      <c r="F1070" s="1484" t="s">
        <v>11708</v>
      </c>
      <c r="G1070" s="862" t="s">
        <v>12400</v>
      </c>
      <c r="H1070" s="823" t="str">
        <f>VLOOKUP(G1070,HIPOCLORITO!A:M,2,0)</f>
        <v>Composição</v>
      </c>
      <c r="I1070" s="700" t="str">
        <f>VLOOKUP(G1070,HIPOCLORITO!A:M,3,0)</f>
        <v>CP_BIOGAS.MAT.HIDR.</v>
      </c>
      <c r="J1070" s="824"/>
      <c r="K1070" s="790" t="str">
        <f>(IF(H1070="Saneago",VLOOKUP(I1070,'SANEAGO-FEV.2016'!A:B,2,0),IF(H1070="Sinapi",VLOOKUP(I1070,'SINAPI-FEV.2017'!A:D,2,0),IF(H1070="Cotação",VLOOKUP(I1070,COTAÇÃO!A:D,2,0),IF(H1070="Composição",VLOOKUP(I1070,COMPOSIÇÃO!A:D,2,0))))))</f>
        <v>MONTAGEM DE MATERIAL HIDRÁULICO DO BIOGAS</v>
      </c>
      <c r="L1070" s="700" t="str">
        <f>(IF(H1070="Saneago",VLOOKUP(I1070,'SANEAGO-FEV.2016'!A:D,3,0),IF(H1070="Sinapi",VLOOKUP(I1070,'SINAPI-FEV.2017'!A:D,3,0),IF(H1070="Cotação",VLOOKUP(I1070,COTAÇÃO!A:D,3,0),IF(H1070="Composição",VLOOKUP(I1070,COMPOSIÇÃO!A:D,3,0))))))</f>
        <v>um.</v>
      </c>
      <c r="M1070" s="870">
        <f>ROUND(VLOOKUP(G1070,HIPOCLORITO!A:M,13,0),2)</f>
        <v>1</v>
      </c>
      <c r="N1070" s="399">
        <v>0</v>
      </c>
      <c r="O1070" s="102">
        <f>ROUND(IF(F1070="Serviços",N1070*(1+$O$7),IF(F1070="Materiais",N1070*(1+$O$8))),2)</f>
        <v>0</v>
      </c>
      <c r="P1070" s="101">
        <f>ROUND(M1070*O1070,2)</f>
        <v>0</v>
      </c>
      <c r="Q1070" s="1472">
        <v>1</v>
      </c>
    </row>
    <row r="1071" spans="1:17">
      <c r="A1071" s="1482"/>
      <c r="B1071" s="1482"/>
      <c r="C1071" s="1483">
        <f t="shared" si="184"/>
        <v>6</v>
      </c>
      <c r="D1071" s="1492">
        <f t="shared" si="185"/>
        <v>7</v>
      </c>
      <c r="E1071" s="1492">
        <f t="shared" si="186"/>
        <v>9</v>
      </c>
      <c r="F1071" s="1484" t="s">
        <v>11708</v>
      </c>
      <c r="G1071" s="862" t="s">
        <v>12401</v>
      </c>
      <c r="H1071" s="823" t="str">
        <f>VLOOKUP(G1071,HIPOCLORITO!A:M,2,0)</f>
        <v>Composição</v>
      </c>
      <c r="I1071" s="700" t="str">
        <f>VLOOKUP(G1071,HIPOCLORITO!A:M,3,0)</f>
        <v>CP_BIOGAS.EQUIP.</v>
      </c>
      <c r="J1071" s="824"/>
      <c r="K1071" s="790" t="str">
        <f>(IF(H1071="Saneago",VLOOKUP(I1071,'SANEAGO-FEV.2016'!A:B,2,0),IF(H1071="Sinapi",VLOOKUP(I1071,'SINAPI-FEV.2017'!A:D,2,0),IF(H1071="Cotação",VLOOKUP(I1071,COTAÇÃO!A:D,2,0),IF(H1071="Composição",VLOOKUP(I1071,COMPOSIÇÃO!A:D,2,0))))))</f>
        <v>MONTAGEM DE EQUIPAMENTOS  DO BIOGAS</v>
      </c>
      <c r="L1071" s="700" t="str">
        <f>(IF(H1071="Saneago",VLOOKUP(I1071,'SANEAGO-FEV.2016'!A:D,3,0),IF(H1071="Sinapi",VLOOKUP(I1071,'SINAPI-FEV.2017'!A:D,3,0),IF(H1071="Cotação",VLOOKUP(I1071,COTAÇÃO!A:D,3,0),IF(H1071="Composição",VLOOKUP(I1071,COMPOSIÇÃO!A:D,3,0))))))</f>
        <v>um.</v>
      </c>
      <c r="M1071" s="870">
        <f>ROUND(VLOOKUP(G1071,HIPOCLORITO!A:M,13,0),2)</f>
        <v>1</v>
      </c>
      <c r="N1071" s="399">
        <v>0</v>
      </c>
      <c r="O1071" s="102">
        <f>ROUND(IF(F1071="Serviços",N1071*(1+$O$7),IF(F1071="Materiais",N1071*(1+$O$8))),2)</f>
        <v>0</v>
      </c>
      <c r="P1071" s="101">
        <f>ROUND(M1071*O1071,2)</f>
        <v>0</v>
      </c>
      <c r="Q1071" s="1472">
        <v>1</v>
      </c>
    </row>
    <row r="1072" spans="1:17">
      <c r="A1072" s="1482"/>
      <c r="B1072" s="1482"/>
      <c r="C1072" s="1483">
        <f t="shared" si="184"/>
        <v>6</v>
      </c>
      <c r="D1072" s="1492">
        <f t="shared" si="185"/>
        <v>7</v>
      </c>
      <c r="E1072" s="1492">
        <f t="shared" si="186"/>
        <v>9</v>
      </c>
      <c r="F1072" s="1484" t="s">
        <v>11708</v>
      </c>
      <c r="G1072" s="862" t="s">
        <v>12402</v>
      </c>
      <c r="H1072" s="823" t="str">
        <f>VLOOKUP(G1072,HIPOCLORITO!A:M,2,0)</f>
        <v>Composição</v>
      </c>
      <c r="I1072" s="700" t="str">
        <f>VLOOKUP(G1072,HIPOCLORITO!A:M,3,0)</f>
        <v>CP_BIOGAS.MAT.ELÉTR.</v>
      </c>
      <c r="J1072" s="824"/>
      <c r="K1072" s="790" t="str">
        <f>(IF(H1072="Saneago",VLOOKUP(I1072,'SANEAGO-FEV.2016'!A:B,2,0),IF(H1072="Sinapi",VLOOKUP(I1072,'SINAPI-FEV.2017'!A:D,2,0),IF(H1072="Cotação",VLOOKUP(I1072,COTAÇÃO!A:D,2,0),IF(H1072="Composição",VLOOKUP(I1072,COMPOSIÇÃO!A:D,2,0))))))</f>
        <v>MONTAGEM DE MATERIAL ELÉTRICO DO BIOGAS</v>
      </c>
      <c r="L1072" s="700" t="str">
        <f>(IF(H1072="Saneago",VLOOKUP(I1072,'SANEAGO-FEV.2016'!A:D,3,0),IF(H1072="Sinapi",VLOOKUP(I1072,'SINAPI-FEV.2017'!A:D,3,0),IF(H1072="Cotação",VLOOKUP(I1072,COTAÇÃO!A:D,3,0),IF(H1072="Composição",VLOOKUP(I1072,COMPOSIÇÃO!A:D,3,0))))))</f>
        <v>um.</v>
      </c>
      <c r="M1072" s="870">
        <f>ROUND(VLOOKUP(G1072,HIPOCLORITO!A:M,13,0),2)</f>
        <v>1</v>
      </c>
      <c r="N1072" s="399">
        <v>0</v>
      </c>
      <c r="O1072" s="102">
        <f>ROUND(IF(F1072="Serviços",N1072*(1+$O$7),IF(F1072="Materiais",N1072*(1+$O$8))),2)</f>
        <v>0</v>
      </c>
      <c r="P1072" s="101">
        <f>ROUND(M1072*O1072,2)</f>
        <v>0</v>
      </c>
      <c r="Q1072" s="1472">
        <v>1</v>
      </c>
    </row>
    <row r="1073" spans="1:24">
      <c r="A1073" s="1482"/>
      <c r="B1073" s="1482"/>
      <c r="C1073" s="1483">
        <f t="shared" si="184"/>
        <v>6</v>
      </c>
      <c r="D1073" s="1492">
        <f t="shared" si="185"/>
        <v>7</v>
      </c>
      <c r="E1073" s="1492">
        <f t="shared" si="186"/>
        <v>9</v>
      </c>
      <c r="F1073" s="1484" t="s">
        <v>11708</v>
      </c>
      <c r="G1073" s="862" t="s">
        <v>14342</v>
      </c>
      <c r="H1073" s="823" t="str">
        <f>VLOOKUP(G1073,HIPOCLORITO!A:M,2,0)</f>
        <v>SINAPI</v>
      </c>
      <c r="I1073" s="700">
        <f>VLOOKUP(G1073,HIPOCLORITO!A:M,3,0)</f>
        <v>9537</v>
      </c>
      <c r="J1073" s="824"/>
      <c r="K1073" s="790" t="str">
        <f>(IF(H1073="Saneago",VLOOKUP(I1073,'SANEAGO-FEV.2016'!A:B,2,0),IF(H1073="Sinapi",VLOOKUP(I1073,'SINAPI-FEV.2017'!A:D,2,0),IF(H1073="Cotação",VLOOKUP(I1073,COTAÇÃO!A:D,2,0),IF(H1073="Composição",VLOOKUP(I1073,COMPOSIÇÃO!A:D,2,0))))))</f>
        <v>LIMPEZA FINAL DA OBRA</v>
      </c>
      <c r="L1073" s="700" t="str">
        <f>(IF(H1073="Saneago",VLOOKUP(I1073,'SANEAGO-FEV.2016'!A:D,3,0),IF(H1073="Sinapi",VLOOKUP(I1073,'SINAPI-FEV.2017'!A:D,3,0),IF(H1073="Cotação",VLOOKUP(I1073,COTAÇÃO!A:D,3,0),IF(H1073="Composição",VLOOKUP(I1073,COMPOSIÇÃO!A:D,3,0))))))</f>
        <v>M2</v>
      </c>
      <c r="M1073" s="870">
        <f>ROUND(VLOOKUP(G1073,HIPOCLORITO!A:M,13,0),2)</f>
        <v>108.9</v>
      </c>
      <c r="N1073" s="399">
        <v>0</v>
      </c>
      <c r="O1073" s="102">
        <f>ROUND(IF(F1073="Serviços",N1073*(1+$O$7),IF(F1073="Materiais",N1073*(1+$O$8))),2)</f>
        <v>0</v>
      </c>
      <c r="P1073" s="101">
        <f>ROUND(M1073*O1073,2)</f>
        <v>0</v>
      </c>
      <c r="Q1073" s="1472">
        <v>108.9</v>
      </c>
    </row>
    <row r="1074" spans="1:24" ht="15.75" thickBot="1">
      <c r="A1074" s="1482"/>
      <c r="B1074" s="1482"/>
      <c r="C1074" s="1483">
        <f t="shared" si="184"/>
        <v>6</v>
      </c>
      <c r="D1074" s="1492">
        <f t="shared" ref="D1074:E1076" si="189">D1073+A1074</f>
        <v>7</v>
      </c>
      <c r="E1074" s="1492">
        <f t="shared" si="189"/>
        <v>9</v>
      </c>
      <c r="F1074" s="1484" t="s">
        <v>11708</v>
      </c>
      <c r="G1074" s="862"/>
      <c r="H1074" s="929"/>
      <c r="I1074" s="1371"/>
      <c r="J1074" s="1022"/>
      <c r="K1074" s="1371"/>
      <c r="L1074" s="1371"/>
      <c r="M1074" s="1536"/>
      <c r="N1074" s="394"/>
      <c r="O1074" s="728"/>
      <c r="P1074" s="95"/>
    </row>
    <row r="1075" spans="1:24" ht="16.5" customHeight="1" thickTop="1" thickBot="1">
      <c r="A1075" s="1482"/>
      <c r="B1075" s="1482"/>
      <c r="C1075" s="1483">
        <f t="shared" si="184"/>
        <v>6</v>
      </c>
      <c r="D1075" s="1492">
        <f t="shared" si="189"/>
        <v>7</v>
      </c>
      <c r="E1075" s="1492">
        <f t="shared" si="189"/>
        <v>9</v>
      </c>
      <c r="F1075" s="1484" t="s">
        <v>11708</v>
      </c>
      <c r="G1075" s="862"/>
      <c r="H1075" s="1653" t="str">
        <f>"TOTAL ITEM: "&amp;J1068 &amp;K1068</f>
        <v>TOTAL ITEM: 6.7.9 DIVERSOS</v>
      </c>
      <c r="I1075" s="1654"/>
      <c r="J1075" s="1654"/>
      <c r="K1075" s="1654"/>
      <c r="L1075" s="1654"/>
      <c r="M1075" s="1654"/>
      <c r="N1075" s="1654"/>
      <c r="O1075" s="1654"/>
      <c r="P1075" s="210">
        <f>SUBTOTAL(9,P1070:P1073)</f>
        <v>0</v>
      </c>
    </row>
    <row r="1076" spans="1:24" ht="16.5" thickTop="1" thickBot="1">
      <c r="A1076" s="1482"/>
      <c r="B1076" s="1482"/>
      <c r="C1076" s="1483">
        <f t="shared" si="184"/>
        <v>6</v>
      </c>
      <c r="D1076" s="1492">
        <f t="shared" si="189"/>
        <v>7</v>
      </c>
      <c r="E1076" s="1492">
        <f t="shared" si="189"/>
        <v>9</v>
      </c>
      <c r="F1076" s="1484" t="s">
        <v>11708</v>
      </c>
      <c r="G1076" s="921"/>
      <c r="H1076" s="929"/>
      <c r="I1076" s="1371"/>
      <c r="J1076" s="1022"/>
      <c r="K1076" s="1371"/>
      <c r="L1076" s="1371"/>
      <c r="M1076" s="1536"/>
      <c r="N1076" s="394"/>
      <c r="O1076" s="728"/>
      <c r="P1076" s="95"/>
    </row>
    <row r="1077" spans="1:24" s="863" customFormat="1" ht="14.25" thickTop="1" thickBot="1">
      <c r="A1077" s="1482">
        <v>1</v>
      </c>
      <c r="B1077" s="1482"/>
      <c r="C1077" s="1483">
        <f t="shared" si="184"/>
        <v>6</v>
      </c>
      <c r="D1077" s="1492">
        <f>D1076+A1077</f>
        <v>8</v>
      </c>
      <c r="E1077" s="1492">
        <v>0</v>
      </c>
      <c r="F1077" s="1484" t="s">
        <v>11708</v>
      </c>
      <c r="G1077" s="862"/>
      <c r="H1077" s="1510" t="str">
        <f>CONCATENATE(C1077,".",D1077)</f>
        <v>6.8</v>
      </c>
      <c r="I1077" s="1585" t="s">
        <v>12687</v>
      </c>
      <c r="J1077" s="1585"/>
      <c r="K1077" s="1585"/>
      <c r="L1077" s="1511"/>
      <c r="M1077" s="1512"/>
      <c r="N1077" s="397"/>
      <c r="O1077" s="99" t="s">
        <v>11702</v>
      </c>
      <c r="P1077" s="100">
        <f>SUBTOTAL(9,P1081:P1182)</f>
        <v>0</v>
      </c>
      <c r="Q1077" s="1507"/>
      <c r="R1077" s="1525"/>
      <c r="S1077" s="1504"/>
      <c r="V1077" s="1487"/>
      <c r="W1077" s="1325"/>
      <c r="X1077" s="1325"/>
    </row>
    <row r="1078" spans="1:24" s="863" customFormat="1" ht="13.5" thickTop="1">
      <c r="A1078" s="1482"/>
      <c r="B1078" s="1482"/>
      <c r="C1078" s="1483">
        <f t="shared" si="184"/>
        <v>6</v>
      </c>
      <c r="D1078" s="1492">
        <f t="shared" si="185"/>
        <v>8</v>
      </c>
      <c r="E1078" s="1492">
        <f t="shared" si="186"/>
        <v>0</v>
      </c>
      <c r="F1078" s="1484" t="s">
        <v>11708</v>
      </c>
      <c r="G1078" s="862"/>
      <c r="H1078" s="789"/>
      <c r="I1078" s="915"/>
      <c r="J1078" s="1022"/>
      <c r="K1078" s="915"/>
      <c r="L1078" s="816"/>
      <c r="M1078" s="874"/>
      <c r="N1078" s="394"/>
      <c r="O1078" s="98"/>
      <c r="P1078" s="95"/>
      <c r="Q1078" s="1507"/>
      <c r="R1078" s="1525"/>
      <c r="S1078" s="1504"/>
      <c r="V1078" s="1325"/>
      <c r="W1078" s="1325"/>
      <c r="X1078" s="1325"/>
    </row>
    <row r="1079" spans="1:24" s="863" customFormat="1" ht="12.75">
      <c r="A1079" s="1482"/>
      <c r="B1079" s="1482">
        <v>1</v>
      </c>
      <c r="C1079" s="1483">
        <f t="shared" si="184"/>
        <v>6</v>
      </c>
      <c r="D1079" s="1492">
        <f t="shared" si="185"/>
        <v>8</v>
      </c>
      <c r="E1079" s="1492">
        <f t="shared" si="186"/>
        <v>1</v>
      </c>
      <c r="F1079" s="1484" t="s">
        <v>11708</v>
      </c>
      <c r="G1079" s="862"/>
      <c r="H1079" s="1514" t="s">
        <v>11703</v>
      </c>
      <c r="I1079" s="1515" t="s">
        <v>64</v>
      </c>
      <c r="J1079" s="1516" t="str">
        <f>CONCATENATE(C1079,".",D1079,".",E1079)</f>
        <v>6.8.1</v>
      </c>
      <c r="K1079" s="1516" t="s">
        <v>11709</v>
      </c>
      <c r="L1079" s="1517" t="s">
        <v>25</v>
      </c>
      <c r="M1079" s="1518" t="s">
        <v>11704</v>
      </c>
      <c r="N1079" s="398" t="s">
        <v>11705</v>
      </c>
      <c r="O1079" s="207" t="s">
        <v>11706</v>
      </c>
      <c r="P1079" s="208" t="s">
        <v>27</v>
      </c>
      <c r="Q1079" s="1507" t="s">
        <v>11704</v>
      </c>
      <c r="R1079" s="1525"/>
      <c r="S1079" s="1504"/>
      <c r="V1079" s="1487"/>
      <c r="W1079" s="1325"/>
      <c r="X1079" s="1325"/>
    </row>
    <row r="1080" spans="1:24" s="863" customFormat="1" ht="12.75">
      <c r="A1080" s="1482"/>
      <c r="B1080" s="1482"/>
      <c r="C1080" s="1483">
        <f t="shared" si="184"/>
        <v>6</v>
      </c>
      <c r="D1080" s="1492">
        <f t="shared" si="185"/>
        <v>8</v>
      </c>
      <c r="E1080" s="1492">
        <f t="shared" si="186"/>
        <v>1</v>
      </c>
      <c r="F1080" s="1484" t="s">
        <v>11708</v>
      </c>
      <c r="G1080" s="862"/>
      <c r="H1080" s="826"/>
      <c r="I1080" s="790"/>
      <c r="J1080" s="824"/>
      <c r="K1080" s="790"/>
      <c r="L1080" s="700"/>
      <c r="M1080" s="870"/>
      <c r="N1080" s="399"/>
      <c r="O1080" s="121"/>
      <c r="P1080" s="101"/>
      <c r="Q1080" s="1507"/>
      <c r="R1080" s="1525"/>
      <c r="S1080" s="1504"/>
      <c r="V1080" s="1325"/>
      <c r="W1080" s="1325"/>
      <c r="X1080" s="1325"/>
    </row>
    <row r="1081" spans="1:24" s="863" customFormat="1" ht="22.5">
      <c r="A1081" s="1482"/>
      <c r="B1081" s="1482"/>
      <c r="C1081" s="1483">
        <f t="shared" si="184"/>
        <v>6</v>
      </c>
      <c r="D1081" s="1492">
        <f t="shared" si="185"/>
        <v>8</v>
      </c>
      <c r="E1081" s="1492">
        <f t="shared" si="186"/>
        <v>1</v>
      </c>
      <c r="F1081" s="1484" t="s">
        <v>11708</v>
      </c>
      <c r="G1081" s="862" t="s">
        <v>12229</v>
      </c>
      <c r="H1081" s="823" t="str">
        <f>VLOOKUP(G1081,'SALA ELÉTRICA'!A:M,2,0)</f>
        <v>SINAPI</v>
      </c>
      <c r="I1081" s="700" t="str">
        <f>VLOOKUP(G1081,'SALA ELÉTRICA'!A:M,3,0)</f>
        <v>73822/2</v>
      </c>
      <c r="J1081" s="824"/>
      <c r="K1081" s="790" t="str">
        <f>(IF(H1081="Saneago",VLOOKUP(I1081,'SANEAGO-FEV.2016'!A:B,2,0),IF(H1081="Sinapi",VLOOKUP(I1081,'SINAPI-FEV.2017'!A:D,2,0),IF(H1081="Cotação",VLOOKUP(I1081,COTAÇÃO!A:D,2,0),IF(H1081="Composição",VLOOKUP(I1081,COMPOSIÇÃO!A:D,2,0))))))</f>
        <v>LIMPEZA MECANIZADA DE TERRENO COM REMOCAO DE CAMADA VEGETAL, UTILIZANDO MOTONIVELADORA</v>
      </c>
      <c r="L1081" s="700" t="str">
        <f>(IF(H1081="Saneago",VLOOKUP(I1081,'SANEAGO-FEV.2016'!A:D,3,0),IF(H1081="Sinapi",VLOOKUP(I1081,'SINAPI-FEV.2017'!A:D,3,0),IF(H1081="Cotação",VLOOKUP(I1081,COTAÇÃO!A:D,3,0),IF(H1081="Composição",VLOOKUP(I1081,COMPOSIÇÃO!A:D,3,0))))))</f>
        <v>M2</v>
      </c>
      <c r="M1081" s="870">
        <f>ROUND(VLOOKUP(G1081,'SALA ELÉTRICA'!A:M,13,0),2)</f>
        <v>46.54</v>
      </c>
      <c r="N1081" s="399">
        <v>0</v>
      </c>
      <c r="O1081" s="102">
        <f>ROUND(IF(F1081="Serviços",N1081*(1+$O$7),IF(F1081="Materiais",N1081*(1+$O$8))),2)</f>
        <v>0</v>
      </c>
      <c r="P1081" s="101">
        <f>ROUND(M1081*O1081,2)</f>
        <v>0</v>
      </c>
      <c r="Q1081" s="1507">
        <v>46.54</v>
      </c>
      <c r="R1081" s="1525"/>
      <c r="S1081" s="1504"/>
      <c r="V1081" s="1325"/>
      <c r="W1081" s="1325"/>
      <c r="X1081" s="1325"/>
    </row>
    <row r="1082" spans="1:24" s="863" customFormat="1" ht="22.5">
      <c r="A1082" s="1482"/>
      <c r="B1082" s="1482"/>
      <c r="C1082" s="1483">
        <f t="shared" si="184"/>
        <v>6</v>
      </c>
      <c r="D1082" s="1492">
        <f t="shared" si="185"/>
        <v>8</v>
      </c>
      <c r="E1082" s="1492">
        <f t="shared" si="186"/>
        <v>1</v>
      </c>
      <c r="F1082" s="1484" t="s">
        <v>11708</v>
      </c>
      <c r="G1082" s="862" t="s">
        <v>12230</v>
      </c>
      <c r="H1082" s="823" t="str">
        <f>VLOOKUP(G1082,'SALA ELÉTRICA'!A:M,2,0)</f>
        <v>SINAPI</v>
      </c>
      <c r="I1082" s="700" t="str">
        <f>VLOOKUP(G1082,'SALA ELÉTRICA'!A:M,3,0)</f>
        <v>73992/1</v>
      </c>
      <c r="J1082" s="824"/>
      <c r="K1082" s="790" t="str">
        <f>(IF(H1082="Saneago",VLOOKUP(I1082,'SANEAGO-FEV.2016'!A:B,2,0),IF(H1082="Sinapi",VLOOKUP(I1082,'SINAPI-FEV.2017'!A:D,2,0),IF(H1082="Cotação",VLOOKUP(I1082,COTAÇÃO!A:D,2,0),IF(H1082="Composição",VLOOKUP(I1082,COMPOSIÇÃO!A:D,2,0))))))</f>
        <v>LOCACAO CONVENCIONAL DE OBRA, ATRAVÉS DE GABARITO DE TABUAS CORRIDAS PONTALETADAS A CADA 1,50M, SEM REAPROVEITAMENTO</v>
      </c>
      <c r="L1082" s="700" t="str">
        <f>(IF(H1082="Saneago",VLOOKUP(I1082,'SANEAGO-FEV.2016'!A:D,3,0),IF(H1082="Sinapi",VLOOKUP(I1082,'SINAPI-FEV.2017'!A:D,3,0),IF(H1082="Cotação",VLOOKUP(I1082,COTAÇÃO!A:D,3,0),IF(H1082="Composição",VLOOKUP(I1082,COMPOSIÇÃO!A:D,3,0))))))</f>
        <v>M2</v>
      </c>
      <c r="M1082" s="870">
        <f>ROUND(VLOOKUP(G1082,'SALA ELÉTRICA'!A:M,13,0),2)</f>
        <v>21.96</v>
      </c>
      <c r="N1082" s="399">
        <v>0</v>
      </c>
      <c r="O1082" s="102">
        <f>ROUND(IF(F1082="Serviços",N1082*(1+$O$7),IF(F1082="Materiais",N1082*(1+$O$8))),2)</f>
        <v>0</v>
      </c>
      <c r="P1082" s="101">
        <f>ROUND(M1082*O1082,2)</f>
        <v>0</v>
      </c>
      <c r="Q1082" s="1507">
        <v>21.96</v>
      </c>
      <c r="R1082" s="1525"/>
      <c r="S1082" s="1504"/>
      <c r="V1082" s="1325"/>
      <c r="W1082" s="1325"/>
      <c r="X1082" s="1325"/>
    </row>
    <row r="1083" spans="1:24" s="863" customFormat="1" ht="13.5" thickBot="1">
      <c r="A1083" s="1482"/>
      <c r="B1083" s="1482"/>
      <c r="C1083" s="1483">
        <f t="shared" si="184"/>
        <v>6</v>
      </c>
      <c r="D1083" s="1492">
        <f t="shared" si="185"/>
        <v>8</v>
      </c>
      <c r="E1083" s="1492">
        <f t="shared" si="186"/>
        <v>1</v>
      </c>
      <c r="F1083" s="1484" t="s">
        <v>11708</v>
      </c>
      <c r="G1083" s="862"/>
      <c r="H1083" s="826"/>
      <c r="I1083" s="790"/>
      <c r="J1083" s="824"/>
      <c r="K1083" s="790"/>
      <c r="L1083" s="700"/>
      <c r="M1083" s="870"/>
      <c r="N1083" s="399"/>
      <c r="O1083" s="209"/>
      <c r="P1083" s="101"/>
      <c r="Q1083" s="1507"/>
      <c r="R1083" s="1525"/>
      <c r="S1083" s="1504"/>
      <c r="V1083" s="1325"/>
      <c r="W1083" s="1325"/>
      <c r="X1083" s="1325"/>
    </row>
    <row r="1084" spans="1:24" s="863" customFormat="1" ht="14.25" customHeight="1" thickTop="1" thickBot="1">
      <c r="A1084" s="1482"/>
      <c r="B1084" s="1482"/>
      <c r="C1084" s="1483">
        <f t="shared" si="184"/>
        <v>6</v>
      </c>
      <c r="D1084" s="1492">
        <f t="shared" si="185"/>
        <v>8</v>
      </c>
      <c r="E1084" s="1492">
        <f t="shared" si="186"/>
        <v>1</v>
      </c>
      <c r="F1084" s="1484" t="s">
        <v>11708</v>
      </c>
      <c r="G1084" s="862"/>
      <c r="H1084" s="1653" t="str">
        <f>"TOTAL ITEM: "&amp;J1079 &amp;K1079</f>
        <v>TOTAL ITEM: 6.8.1 SERVIÇOS PRELIMINARES</v>
      </c>
      <c r="I1084" s="1654"/>
      <c r="J1084" s="1654"/>
      <c r="K1084" s="1654"/>
      <c r="L1084" s="1654"/>
      <c r="M1084" s="1654"/>
      <c r="N1084" s="1654"/>
      <c r="O1084" s="1654"/>
      <c r="P1084" s="210">
        <f>SUBTOTAL(9,P1081:P1082)</f>
        <v>0</v>
      </c>
      <c r="Q1084" s="1507"/>
      <c r="R1084" s="1525"/>
      <c r="S1084" s="1504"/>
      <c r="V1084" s="1325"/>
      <c r="W1084" s="1325"/>
      <c r="X1084" s="1325"/>
    </row>
    <row r="1085" spans="1:24" s="863" customFormat="1" ht="13.5" thickTop="1">
      <c r="A1085" s="1482"/>
      <c r="B1085" s="1482"/>
      <c r="C1085" s="1483">
        <f t="shared" si="184"/>
        <v>6</v>
      </c>
      <c r="D1085" s="1492">
        <f t="shared" si="185"/>
        <v>8</v>
      </c>
      <c r="E1085" s="1492">
        <f t="shared" si="186"/>
        <v>1</v>
      </c>
      <c r="F1085" s="1484" t="s">
        <v>11708</v>
      </c>
      <c r="G1085" s="862"/>
      <c r="H1085" s="929"/>
      <c r="I1085" s="1371"/>
      <c r="J1085" s="1022"/>
      <c r="K1085" s="1371"/>
      <c r="L1085" s="1371"/>
      <c r="M1085" s="1536"/>
      <c r="N1085" s="394"/>
      <c r="O1085" s="728"/>
      <c r="P1085" s="95"/>
      <c r="Q1085" s="1507"/>
      <c r="R1085" s="1525"/>
      <c r="S1085" s="1504"/>
      <c r="V1085" s="1325"/>
      <c r="W1085" s="1325"/>
      <c r="X1085" s="1325"/>
    </row>
    <row r="1086" spans="1:24">
      <c r="A1086" s="1482"/>
      <c r="B1086" s="1482">
        <v>1</v>
      </c>
      <c r="C1086" s="1483">
        <f t="shared" si="184"/>
        <v>6</v>
      </c>
      <c r="D1086" s="1492">
        <f t="shared" si="185"/>
        <v>8</v>
      </c>
      <c r="E1086" s="1492">
        <f t="shared" si="186"/>
        <v>2</v>
      </c>
      <c r="F1086" s="1484" t="s">
        <v>11708</v>
      </c>
      <c r="H1086" s="1514" t="s">
        <v>11703</v>
      </c>
      <c r="I1086" s="1515" t="s">
        <v>64</v>
      </c>
      <c r="J1086" s="1516" t="str">
        <f>CONCATENATE(C1086,".",D1086,".",E1086)</f>
        <v>6.8.2</v>
      </c>
      <c r="K1086" s="1516" t="s">
        <v>11710</v>
      </c>
      <c r="L1086" s="1517" t="s">
        <v>25</v>
      </c>
      <c r="M1086" s="1518" t="s">
        <v>11704</v>
      </c>
      <c r="N1086" s="398" t="s">
        <v>11705</v>
      </c>
      <c r="O1086" s="207" t="s">
        <v>11706</v>
      </c>
      <c r="P1086" s="208" t="s">
        <v>27</v>
      </c>
      <c r="Q1086" s="1472" t="s">
        <v>11704</v>
      </c>
    </row>
    <row r="1087" spans="1:24">
      <c r="A1087" s="1482"/>
      <c r="B1087" s="1482"/>
      <c r="C1087" s="1483">
        <f t="shared" si="184"/>
        <v>6</v>
      </c>
      <c r="D1087" s="1492">
        <f t="shared" si="185"/>
        <v>8</v>
      </c>
      <c r="E1087" s="1492">
        <f t="shared" si="186"/>
        <v>2</v>
      </c>
      <c r="F1087" s="1484" t="s">
        <v>11708</v>
      </c>
      <c r="H1087" s="826"/>
      <c r="I1087" s="790"/>
      <c r="J1087" s="824"/>
      <c r="K1087" s="790"/>
      <c r="L1087" s="700"/>
      <c r="M1087" s="870"/>
      <c r="N1087" s="399"/>
      <c r="O1087" s="121"/>
      <c r="P1087" s="101"/>
    </row>
    <row r="1088" spans="1:24" ht="56.25">
      <c r="A1088" s="1482"/>
      <c r="B1088" s="1482"/>
      <c r="C1088" s="1483">
        <f t="shared" si="184"/>
        <v>6</v>
      </c>
      <c r="D1088" s="1492">
        <f t="shared" si="185"/>
        <v>8</v>
      </c>
      <c r="E1088" s="1492">
        <f t="shared" si="186"/>
        <v>2</v>
      </c>
      <c r="F1088" s="1484" t="s">
        <v>11708</v>
      </c>
      <c r="G1088" s="862" t="s">
        <v>12231</v>
      </c>
      <c r="H1088" s="823" t="str">
        <f>VLOOKUP(G1088,'SALA ELÉTRICA'!A:M,2,0)</f>
        <v>SINAPI</v>
      </c>
      <c r="I1088" s="700">
        <f>VLOOKUP(G1088,'SALA ELÉTRICA'!A:M,3,0)</f>
        <v>90105</v>
      </c>
      <c r="J1088" s="824"/>
      <c r="K1088" s="790" t="str">
        <f>(IF(H1088="Saneago",VLOOKUP(I1088,'SANEAGO-FEV.2016'!A:B,2,0),IF(H1088="Sinapi",VLOOKUP(I1088,'SINAPI-FEV.2017'!A:D,2,0),IF(H1088="Cotação",VLOOKUP(I1088,COTAÇÃO!A:D,2,0),IF(H1088="Composição",VLOOKUP(I1088,COMPOSIÇÃO!A:D,2,0))))))</f>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
      <c r="L1088" s="700" t="str">
        <f>(IF(H1088="Saneago",VLOOKUP(I1088,'SANEAGO-FEV.2016'!A:D,3,0),IF(H1088="Sinapi",VLOOKUP(I1088,'SINAPI-FEV.2017'!A:D,3,0),IF(H1088="Cotação",VLOOKUP(I1088,COTAÇÃO!A:D,3,0),IF(H1088="Composição",VLOOKUP(I1088,COMPOSIÇÃO!A:D,3,0))))))</f>
        <v>M3</v>
      </c>
      <c r="M1088" s="870">
        <f>ROUND(VLOOKUP(G1088,'SALA ELÉTRICA'!A:M,13,0),2)</f>
        <v>30.59</v>
      </c>
      <c r="N1088" s="399">
        <v>0</v>
      </c>
      <c r="O1088" s="102">
        <f t="shared" ref="O1088:O1097" si="190">ROUND(IF(F1088="Serviços",N1088*(1+$O$7),IF(F1088="Materiais",N1088*(1+$O$8))),2)</f>
        <v>0</v>
      </c>
      <c r="P1088" s="101">
        <f t="shared" ref="P1088:P1097" si="191">ROUND(M1088*O1088,2)</f>
        <v>0</v>
      </c>
      <c r="Q1088" s="1472">
        <v>30.59</v>
      </c>
    </row>
    <row r="1089" spans="1:17" ht="33.75">
      <c r="A1089" s="1482"/>
      <c r="B1089" s="1482"/>
      <c r="C1089" s="1483">
        <f t="shared" si="184"/>
        <v>6</v>
      </c>
      <c r="D1089" s="1492">
        <f t="shared" si="185"/>
        <v>8</v>
      </c>
      <c r="E1089" s="1492">
        <f t="shared" si="186"/>
        <v>2</v>
      </c>
      <c r="F1089" s="1484" t="s">
        <v>11708</v>
      </c>
      <c r="G1089" s="862" t="s">
        <v>12233</v>
      </c>
      <c r="H1089" s="823" t="str">
        <f>VLOOKUP(G1089,'SALA ELÉTRICA'!A:M,2,0)</f>
        <v>Saneago</v>
      </c>
      <c r="I1089" s="700">
        <f>VLOOKUP(G1089,'SALA ELÉTRICA'!A:M,3,0)</f>
        <v>184</v>
      </c>
      <c r="J1089" s="824"/>
      <c r="K1089" s="790" t="str">
        <f>(IF(H1089="Saneago",VLOOKUP(I1089,'SANEAGO-FEV.2016'!A:B,2,0),IF(H1089="Sinapi",VLOOKUP(I1089,'SINAPI-FEV.2017'!A:D,2,0),IF(H1089="Cotação",VLOOKUP(I1089,COTAÇÃO!A:D,2,0),IF(H1089="Composição",VLOOKUP(I1089,COMPOSIÇÃO!A:D,2,0))))))</f>
        <v>ESCAVAÇÃO  MECANIZADA  (COM ESCAVADEIRA HIDRÁULICA)  EM VALAS COM MATERIAL DE 2ª CATEGORIA
- PROFUNDIDADE ATÉ 2,0 M</v>
      </c>
      <c r="L1089" s="700" t="str">
        <f>(IF(H1089="Saneago",VLOOKUP(I1089,'SANEAGO-FEV.2016'!A:D,3,0),IF(H1089="Sinapi",VLOOKUP(I1089,'SINAPI-FEV.2017'!A:D,3,0),IF(H1089="Cotação",VLOOKUP(I1089,COTAÇÃO!A:D,3,0),IF(H1089="Composição",VLOOKUP(I1089,COMPOSIÇÃO!A:D,3,0))))))</f>
        <v>M3</v>
      </c>
      <c r="M1089" s="870">
        <f>ROUND(VLOOKUP(G1089,'SALA ELÉTRICA'!A:M,13,0),2)</f>
        <v>1.7</v>
      </c>
      <c r="N1089" s="399">
        <v>0</v>
      </c>
      <c r="O1089" s="102">
        <f t="shared" si="190"/>
        <v>0</v>
      </c>
      <c r="P1089" s="101">
        <f t="shared" si="191"/>
        <v>0</v>
      </c>
      <c r="Q1089" s="1472">
        <v>1.7</v>
      </c>
    </row>
    <row r="1090" spans="1:17" ht="22.5">
      <c r="A1090" s="1482"/>
      <c r="B1090" s="1482"/>
      <c r="C1090" s="1483">
        <f t="shared" si="184"/>
        <v>6</v>
      </c>
      <c r="D1090" s="1492">
        <f t="shared" si="185"/>
        <v>8</v>
      </c>
      <c r="E1090" s="1492">
        <f t="shared" si="186"/>
        <v>2</v>
      </c>
      <c r="F1090" s="1484" t="s">
        <v>11708</v>
      </c>
      <c r="G1090" s="862" t="s">
        <v>12235</v>
      </c>
      <c r="H1090" s="823" t="str">
        <f>VLOOKUP(G1090,'SALA ELÉTRICA'!A:M,2,0)</f>
        <v>Saneago</v>
      </c>
      <c r="I1090" s="700">
        <f>VLOOKUP(G1090,'SALA ELÉTRICA'!A:M,3,0)</f>
        <v>187</v>
      </c>
      <c r="J1090" s="824"/>
      <c r="K1090" s="790" t="str">
        <f>(IF(H1090="Saneago",VLOOKUP(I1090,'SANEAGO-FEV.2016'!A:B,2,0),IF(H1090="Sinapi",VLOOKUP(I1090,'SINAPI-FEV.2017'!A:D,2,0),IF(H1090="Cotação",VLOOKUP(I1090,COTAÇÃO!A:D,2,0),IF(H1090="Composição",VLOOKUP(I1090,COMPOSIÇÃO!A:D,2,0))))))</f>
        <v>ESCAVAÇÃO  MECANIZADA  (COM ESCAVADEIRA HIDRÁULICA)  EM VALAS COM MATERIAL  DE SOLO MOLE - PROFUNDIDADE ATÉ 2,0 M</v>
      </c>
      <c r="L1090" s="700" t="str">
        <f>(IF(H1090="Saneago",VLOOKUP(I1090,'SANEAGO-FEV.2016'!A:D,3,0),IF(H1090="Sinapi",VLOOKUP(I1090,'SINAPI-FEV.2017'!A:D,3,0),IF(H1090="Cotação",VLOOKUP(I1090,COTAÇÃO!A:D,3,0),IF(H1090="Composição",VLOOKUP(I1090,COMPOSIÇÃO!A:D,3,0))))))</f>
        <v>M3</v>
      </c>
      <c r="M1090" s="870">
        <f>ROUND(VLOOKUP(G1090,'SALA ELÉTRICA'!A:M,13,0),2)</f>
        <v>1.7</v>
      </c>
      <c r="N1090" s="399">
        <v>0</v>
      </c>
      <c r="O1090" s="102">
        <f t="shared" si="190"/>
        <v>0</v>
      </c>
      <c r="P1090" s="101">
        <f t="shared" si="191"/>
        <v>0</v>
      </c>
      <c r="Q1090" s="1472">
        <v>1.7</v>
      </c>
    </row>
    <row r="1091" spans="1:17">
      <c r="A1091" s="1482"/>
      <c r="B1091" s="1482"/>
      <c r="C1091" s="1483">
        <f t="shared" si="184"/>
        <v>6</v>
      </c>
      <c r="D1091" s="1492">
        <f t="shared" si="185"/>
        <v>8</v>
      </c>
      <c r="E1091" s="1492">
        <f t="shared" si="186"/>
        <v>2</v>
      </c>
      <c r="F1091" s="1484" t="s">
        <v>11708</v>
      </c>
      <c r="G1091" s="862" t="s">
        <v>12237</v>
      </c>
      <c r="H1091" s="823" t="str">
        <f>VLOOKUP(G1091,'SALA ELÉTRICA'!A:M,2,0)</f>
        <v>SINAPI</v>
      </c>
      <c r="I1091" s="700">
        <f>VLOOKUP(G1091,'SALA ELÉTRICA'!A:M,3,0)</f>
        <v>93358</v>
      </c>
      <c r="J1091" s="824"/>
      <c r="K1091" s="790" t="str">
        <f>(IF(H1091="Saneago",VLOOKUP(I1091,'SANEAGO-FEV.2016'!A:B,2,0),IF(H1091="Sinapi",VLOOKUP(I1091,'SINAPI-FEV.2017'!A:D,2,0),IF(H1091="Cotação",VLOOKUP(I1091,COTAÇÃO!A:D,2,0),IF(H1091="Composição",VLOOKUP(I1091,COMPOSIÇÃO!A:D,2,0))))))</f>
        <v>ESCAVAÇÃO MANUAL DE VALAS. AF_03/2016</v>
      </c>
      <c r="L1091" s="700" t="str">
        <f>(IF(H1091="Saneago",VLOOKUP(I1091,'SANEAGO-FEV.2016'!A:D,3,0),IF(H1091="Sinapi",VLOOKUP(I1091,'SINAPI-FEV.2017'!A:D,3,0),IF(H1091="Cotação",VLOOKUP(I1091,COTAÇÃO!A:D,3,0),IF(H1091="Composição",VLOOKUP(I1091,COMPOSIÇÃO!A:D,3,0))))))</f>
        <v>M3</v>
      </c>
      <c r="M1091" s="870">
        <f>ROUND(VLOOKUP(G1091,'SALA ELÉTRICA'!A:M,13,0),2)</f>
        <v>1.61</v>
      </c>
      <c r="N1091" s="399">
        <v>0</v>
      </c>
      <c r="O1091" s="102">
        <f t="shared" si="190"/>
        <v>0</v>
      </c>
      <c r="P1091" s="101">
        <f t="shared" si="191"/>
        <v>0</v>
      </c>
      <c r="Q1091" s="1472">
        <v>1.61</v>
      </c>
    </row>
    <row r="1092" spans="1:17" ht="22.5">
      <c r="A1092" s="1482"/>
      <c r="B1092" s="1482"/>
      <c r="C1092" s="1483">
        <f t="shared" si="184"/>
        <v>6</v>
      </c>
      <c r="D1092" s="1492">
        <f t="shared" si="185"/>
        <v>8</v>
      </c>
      <c r="E1092" s="1492">
        <f t="shared" si="186"/>
        <v>2</v>
      </c>
      <c r="F1092" s="1484" t="s">
        <v>11708</v>
      </c>
      <c r="G1092" s="862" t="s">
        <v>12239</v>
      </c>
      <c r="H1092" s="823" t="str">
        <f>VLOOKUP(G1092,'SALA ELÉTRICA'!A:M,2,0)</f>
        <v>Saneago</v>
      </c>
      <c r="I1092" s="700">
        <f>VLOOKUP(G1092,'SALA ELÉTRICA'!A:M,3,0)</f>
        <v>170</v>
      </c>
      <c r="J1092" s="824"/>
      <c r="K1092" s="790" t="str">
        <f>(IF(H1092="Saneago",VLOOKUP(I1092,'SANEAGO-FEV.2016'!A:B,2,0),IF(H1092="Sinapi",VLOOKUP(I1092,'SINAPI-FEV.2017'!A:D,2,0),IF(H1092="Cotação",VLOOKUP(I1092,COTAÇÃO!A:D,2,0),IF(H1092="Composição",VLOOKUP(I1092,COMPOSIÇÃO!A:D,2,0))))))</f>
        <v>ESCAVAÇÃO  MANUAL EM VALAS COM MATERIAL DE 2ª CATEGORIA  - PROFUNDIDADE ATÉ 2,0 M</v>
      </c>
      <c r="L1092" s="700" t="str">
        <f>(IF(H1092="Saneago",VLOOKUP(I1092,'SANEAGO-FEV.2016'!A:D,3,0),IF(H1092="Sinapi",VLOOKUP(I1092,'SINAPI-FEV.2017'!A:D,3,0),IF(H1092="Cotação",VLOOKUP(I1092,COTAÇÃO!A:D,3,0),IF(H1092="Composição",VLOOKUP(I1092,COMPOSIÇÃO!A:D,3,0))))))</f>
        <v>M3</v>
      </c>
      <c r="M1092" s="870">
        <f>ROUND(VLOOKUP(G1092,'SALA ELÉTRICA'!A:M,13,0),2)</f>
        <v>0.09</v>
      </c>
      <c r="N1092" s="399">
        <v>0</v>
      </c>
      <c r="O1092" s="102">
        <f t="shared" si="190"/>
        <v>0</v>
      </c>
      <c r="P1092" s="101">
        <f t="shared" si="191"/>
        <v>0</v>
      </c>
      <c r="Q1092" s="1472">
        <v>0.09</v>
      </c>
    </row>
    <row r="1093" spans="1:17" ht="33.75">
      <c r="A1093" s="1482"/>
      <c r="B1093" s="1482"/>
      <c r="C1093" s="1483">
        <f t="shared" si="184"/>
        <v>6</v>
      </c>
      <c r="D1093" s="1492">
        <f t="shared" si="185"/>
        <v>8</v>
      </c>
      <c r="E1093" s="1492">
        <f t="shared" si="186"/>
        <v>2</v>
      </c>
      <c r="F1093" s="1484" t="s">
        <v>11708</v>
      </c>
      <c r="G1093" s="862" t="s">
        <v>12241</v>
      </c>
      <c r="H1093" s="823" t="str">
        <f>VLOOKUP(G1093,'SALA ELÉTRICA'!A:M,2,0)</f>
        <v>Saneago</v>
      </c>
      <c r="I1093" s="700">
        <f>VLOOKUP(G1093,'SALA ELÉTRICA'!A:M,3,0)</f>
        <v>172</v>
      </c>
      <c r="J1093" s="824"/>
      <c r="K1093" s="790" t="str">
        <f>(IF(H1093="Saneago",VLOOKUP(I1093,'SANEAGO-FEV.2016'!A:B,2,0),IF(H1093="Sinapi",VLOOKUP(I1093,'SINAPI-FEV.2017'!A:D,2,0),IF(H1093="Cotação",VLOOKUP(I1093,COTAÇÃO!A:D,2,0),IF(H1093="Composição",VLOOKUP(I1093,COMPOSIÇÃO!A:D,2,0))))))</f>
        <v>ESCAVAÇÃO   MANUAL   EM  VALAS  COM  MATERIAL   DE  3ª  CATEGORIA   SEM  USO  DE  EXPLOSIVO   COM UTILIZAÇÃO  DE COMPRESSOR E ROMPEDOR  -  PROFUNDIDADE ATÉ 2,0M</v>
      </c>
      <c r="L1093" s="700" t="str">
        <f>(IF(H1093="Saneago",VLOOKUP(I1093,'SANEAGO-FEV.2016'!A:D,3,0),IF(H1093="Sinapi",VLOOKUP(I1093,'SINAPI-FEV.2017'!A:D,3,0),IF(H1093="Cotação",VLOOKUP(I1093,COTAÇÃO!A:D,3,0),IF(H1093="Composição",VLOOKUP(I1093,COMPOSIÇÃO!A:D,3,0))))))</f>
        <v>M3</v>
      </c>
      <c r="M1093" s="870">
        <f>ROUND(VLOOKUP(G1093,'SALA ELÉTRICA'!A:M,13,0),2)</f>
        <v>0.09</v>
      </c>
      <c r="N1093" s="399">
        <v>0</v>
      </c>
      <c r="O1093" s="102">
        <f t="shared" si="190"/>
        <v>0</v>
      </c>
      <c r="P1093" s="101">
        <f t="shared" si="191"/>
        <v>0</v>
      </c>
      <c r="Q1093" s="1472">
        <v>0.09</v>
      </c>
    </row>
    <row r="1094" spans="1:17">
      <c r="A1094" s="1482"/>
      <c r="B1094" s="1482"/>
      <c r="C1094" s="1483">
        <f t="shared" si="184"/>
        <v>6</v>
      </c>
      <c r="D1094" s="1492">
        <f t="shared" si="185"/>
        <v>8</v>
      </c>
      <c r="E1094" s="1492">
        <f t="shared" si="186"/>
        <v>2</v>
      </c>
      <c r="F1094" s="1484" t="s">
        <v>11708</v>
      </c>
      <c r="G1094" s="862" t="s">
        <v>12243</v>
      </c>
      <c r="H1094" s="823" t="str">
        <f>VLOOKUP(G1094,'SALA ELÉTRICA'!A:M,2,0)</f>
        <v>SINAPI</v>
      </c>
      <c r="I1094" s="700" t="str">
        <f>VLOOKUP(G1094,'SALA ELÉTRICA'!A:M,3,0)</f>
        <v>73891/1</v>
      </c>
      <c r="J1094" s="824"/>
      <c r="K1094" s="790" t="str">
        <f>(IF(H1094="Saneago",VLOOKUP(I1094,'SANEAGO-FEV.2016'!A:B,2,0),IF(H1094="Sinapi",VLOOKUP(I1094,'SINAPI-FEV.2017'!A:D,2,0),IF(H1094="Cotação",VLOOKUP(I1094,COTAÇÃO!A:D,2,0),IF(H1094="Composição",VLOOKUP(I1094,COMPOSIÇÃO!A:D,2,0))))))</f>
        <v>ESGOTAMENTO COM MOTO-BOMBA AUTOESCOVANTE</v>
      </c>
      <c r="L1094" s="700" t="str">
        <f>(IF(H1094="Saneago",VLOOKUP(I1094,'SANEAGO-FEV.2016'!A:D,3,0),IF(H1094="Sinapi",VLOOKUP(I1094,'SINAPI-FEV.2017'!A:D,3,0),IF(H1094="Cotação",VLOOKUP(I1094,COTAÇÃO!A:D,3,0),IF(H1094="Composição",VLOOKUP(I1094,COMPOSIÇÃO!A:D,3,0))))))</f>
        <v>H</v>
      </c>
      <c r="M1094" s="870">
        <f>ROUND(VLOOKUP(G1094,'SALA ELÉTRICA'!A:M,13,0),2)</f>
        <v>5</v>
      </c>
      <c r="N1094" s="399">
        <v>0</v>
      </c>
      <c r="O1094" s="102">
        <f t="shared" si="190"/>
        <v>0</v>
      </c>
      <c r="P1094" s="101">
        <f t="shared" si="191"/>
        <v>0</v>
      </c>
      <c r="Q1094" s="1472">
        <v>5</v>
      </c>
    </row>
    <row r="1095" spans="1:17">
      <c r="A1095" s="1482"/>
      <c r="B1095" s="1482"/>
      <c r="C1095" s="1483">
        <f t="shared" si="184"/>
        <v>6</v>
      </c>
      <c r="D1095" s="1492">
        <f t="shared" si="185"/>
        <v>8</v>
      </c>
      <c r="E1095" s="1492">
        <f t="shared" si="186"/>
        <v>2</v>
      </c>
      <c r="F1095" s="1484" t="s">
        <v>11708</v>
      </c>
      <c r="G1095" s="862" t="s">
        <v>12244</v>
      </c>
      <c r="H1095" s="823" t="str">
        <f>VLOOKUP(G1095,'SALA ELÉTRICA'!A:M,2,0)</f>
        <v>SINAPI</v>
      </c>
      <c r="I1095" s="700">
        <f>VLOOKUP(G1095,'SALA ELÉTRICA'!A:M,3,0)</f>
        <v>79472</v>
      </c>
      <c r="J1095" s="824"/>
      <c r="K1095" s="790" t="str">
        <f>(IF(H1095="Saneago",VLOOKUP(I1095,'SANEAGO-FEV.2016'!A:B,2,0),IF(H1095="Sinapi",VLOOKUP(I1095,'SINAPI-FEV.2017'!A:D,2,0),IF(H1095="Cotação",VLOOKUP(I1095,COTAÇÃO!A:D,2,0),IF(H1095="Composição",VLOOKUP(I1095,COMPOSIÇÃO!A:D,2,0))))))</f>
        <v>REGULARIZACAO DE SUPERFICIES EM TERRA COM MOTONIVELADORA</v>
      </c>
      <c r="L1095" s="700" t="str">
        <f>(IF(H1095="Saneago",VLOOKUP(I1095,'SANEAGO-FEV.2016'!A:D,3,0),IF(H1095="Sinapi",VLOOKUP(I1095,'SINAPI-FEV.2017'!A:D,3,0),IF(H1095="Cotação",VLOOKUP(I1095,COTAÇÃO!A:D,3,0),IF(H1095="Composição",VLOOKUP(I1095,COMPOSIÇÃO!A:D,3,0))))))</f>
        <v>M2</v>
      </c>
      <c r="M1095" s="870">
        <f>ROUND(VLOOKUP(G1095,'SALA ELÉTRICA'!A:M,13,0),2)</f>
        <v>7.38</v>
      </c>
      <c r="N1095" s="399">
        <v>0</v>
      </c>
      <c r="O1095" s="102">
        <f t="shared" si="190"/>
        <v>0</v>
      </c>
      <c r="P1095" s="101">
        <f t="shared" si="191"/>
        <v>0</v>
      </c>
      <c r="Q1095" s="1472">
        <v>7.38</v>
      </c>
    </row>
    <row r="1096" spans="1:17" ht="45">
      <c r="A1096" s="1482"/>
      <c r="B1096" s="1482"/>
      <c r="C1096" s="1483">
        <f t="shared" si="184"/>
        <v>6</v>
      </c>
      <c r="D1096" s="1492">
        <f t="shared" si="185"/>
        <v>8</v>
      </c>
      <c r="E1096" s="1492">
        <f t="shared" si="186"/>
        <v>2</v>
      </c>
      <c r="F1096" s="1484" t="s">
        <v>11708</v>
      </c>
      <c r="G1096" s="862" t="s">
        <v>12245</v>
      </c>
      <c r="H1096" s="823" t="str">
        <f>VLOOKUP(G1096,'SALA ELÉTRICA'!A:M,2,0)</f>
        <v>SINAPI</v>
      </c>
      <c r="I1096" s="700">
        <f>VLOOKUP(G1096,'SALA ELÉTRICA'!A:M,3,0)</f>
        <v>93367</v>
      </c>
      <c r="J1096" s="824"/>
      <c r="K1096" s="790" t="str">
        <f>(IF(H1096="Saneago",VLOOKUP(I1096,'SANEAGO-FEV.2016'!A:B,2,0),IF(H1096="Sinapi",VLOOKUP(I1096,'SINAPI-FEV.2017'!A:D,2,0),IF(H1096="Cotação",VLOOKUP(I1096,COTAÇÃO!A:D,2,0),IF(H1096="Composição",VLOOKUP(I1096,COMPOSIÇÃO!A:D,2,0))))))</f>
        <v>REATERRO MECANIZADO DE VALA COM ESCAVADEIRA HIDRÁULICA (CAPACIDADE DA CAÇAMBA: 0,8 M³ / POTÊNCIA: 111 HP), LARGURA DE 1,5 A 2,5 M, PROFUNDIDADE ATÉ 1,5 M, COM SOLO (SEM SUBSTITUIÇÃO) DE 1ª CATEGORIA EM LOCAIS COM BAIXO NÍVEL DE INTERFERÊNCIA. AF_04/2016</v>
      </c>
      <c r="L1096" s="700" t="str">
        <f>(IF(H1096="Saneago",VLOOKUP(I1096,'SANEAGO-FEV.2016'!A:D,3,0),IF(H1096="Sinapi",VLOOKUP(I1096,'SINAPI-FEV.2017'!A:D,3,0),IF(H1096="Cotação",VLOOKUP(I1096,COTAÇÃO!A:D,3,0),IF(H1096="Composição",VLOOKUP(I1096,COMPOSIÇÃO!A:D,3,0))))))</f>
        <v>M3</v>
      </c>
      <c r="M1096" s="870">
        <f>ROUND(VLOOKUP(G1096,'SALA ELÉTRICA'!A:M,13,0),2)</f>
        <v>29.77</v>
      </c>
      <c r="N1096" s="399">
        <v>0</v>
      </c>
      <c r="O1096" s="102">
        <f t="shared" si="190"/>
        <v>0</v>
      </c>
      <c r="P1096" s="101">
        <f t="shared" si="191"/>
        <v>0</v>
      </c>
      <c r="Q1096" s="1472">
        <v>29.77</v>
      </c>
    </row>
    <row r="1097" spans="1:17">
      <c r="A1097" s="1482"/>
      <c r="B1097" s="1482"/>
      <c r="C1097" s="1483">
        <f t="shared" si="184"/>
        <v>6</v>
      </c>
      <c r="D1097" s="1492">
        <f t="shared" si="185"/>
        <v>8</v>
      </c>
      <c r="E1097" s="1492">
        <f t="shared" si="186"/>
        <v>2</v>
      </c>
      <c r="F1097" s="1484" t="s">
        <v>11708</v>
      </c>
      <c r="G1097" s="862" t="s">
        <v>12246</v>
      </c>
      <c r="H1097" s="823" t="str">
        <f>VLOOKUP(G1097,'SALA ELÉTRICA'!A:M,2,0)</f>
        <v>SINAPI</v>
      </c>
      <c r="I1097" s="700" t="str">
        <f>VLOOKUP(G1097,'SALA ELÉTRICA'!A:M,3,0)</f>
        <v>73964/6</v>
      </c>
      <c r="J1097" s="824"/>
      <c r="K1097" s="790" t="str">
        <f>(IF(H1097="Saneago",VLOOKUP(I1097,'SANEAGO-FEV.2016'!A:B,2,0),IF(H1097="Sinapi",VLOOKUP(I1097,'SINAPI-FEV.2017'!A:D,2,0),IF(H1097="Cotação",VLOOKUP(I1097,COTAÇÃO!A:D,2,0),IF(H1097="Composição",VLOOKUP(I1097,COMPOSIÇÃO!A:D,2,0))))))</f>
        <v>REATERRO DE VALA COM COMPACTAÇÃO MANUAL</v>
      </c>
      <c r="L1097" s="700" t="str">
        <f>(IF(H1097="Saneago",VLOOKUP(I1097,'SANEAGO-FEV.2016'!A:D,3,0),IF(H1097="Sinapi",VLOOKUP(I1097,'SINAPI-FEV.2017'!A:D,3,0),IF(H1097="Cotação",VLOOKUP(I1097,COTAÇÃO!A:D,3,0),IF(H1097="Composição",VLOOKUP(I1097,COMPOSIÇÃO!A:D,3,0))))))</f>
        <v>M3</v>
      </c>
      <c r="M1097" s="870">
        <f>ROUND(VLOOKUP(G1097,'SALA ELÉTRICA'!A:M,13,0),2)</f>
        <v>3.31</v>
      </c>
      <c r="N1097" s="399">
        <v>0</v>
      </c>
      <c r="O1097" s="102">
        <f t="shared" si="190"/>
        <v>0</v>
      </c>
      <c r="P1097" s="101">
        <f t="shared" si="191"/>
        <v>0</v>
      </c>
      <c r="Q1097" s="1472">
        <v>3.31</v>
      </c>
    </row>
    <row r="1098" spans="1:17" ht="15.75" thickBot="1">
      <c r="A1098" s="1482"/>
      <c r="B1098" s="1482"/>
      <c r="C1098" s="1483">
        <f t="shared" si="184"/>
        <v>6</v>
      </c>
      <c r="D1098" s="1492">
        <f t="shared" si="185"/>
        <v>8</v>
      </c>
      <c r="E1098" s="1492">
        <f t="shared" si="186"/>
        <v>2</v>
      </c>
      <c r="F1098" s="1484" t="s">
        <v>11708</v>
      </c>
      <c r="G1098" s="862"/>
      <c r="H1098" s="1095"/>
      <c r="I1098" s="780"/>
      <c r="J1098" s="834"/>
      <c r="K1098" s="780"/>
      <c r="L1098" s="780"/>
      <c r="M1098" s="1270"/>
      <c r="N1098" s="400"/>
      <c r="O1098" s="122"/>
      <c r="P1098" s="123"/>
    </row>
    <row r="1099" spans="1:17" ht="16.5" customHeight="1" thickTop="1" thickBot="1">
      <c r="A1099" s="1482"/>
      <c r="B1099" s="1482"/>
      <c r="C1099" s="1483">
        <f t="shared" si="184"/>
        <v>6</v>
      </c>
      <c r="D1099" s="1492">
        <f t="shared" si="185"/>
        <v>8</v>
      </c>
      <c r="E1099" s="1492">
        <f t="shared" si="186"/>
        <v>2</v>
      </c>
      <c r="F1099" s="1484" t="s">
        <v>11708</v>
      </c>
      <c r="H1099" s="1653" t="str">
        <f>"TOTAL ITEM: "&amp;J1086 &amp;K1086</f>
        <v>TOTAL ITEM: 6.8.2 MOVIMENTO DE TERRA</v>
      </c>
      <c r="I1099" s="1654"/>
      <c r="J1099" s="1654"/>
      <c r="K1099" s="1654"/>
      <c r="L1099" s="1654"/>
      <c r="M1099" s="1654"/>
      <c r="N1099" s="1654"/>
      <c r="O1099" s="1654"/>
      <c r="P1099" s="210">
        <f>SUBTOTAL(9,P1088:P1097)</f>
        <v>0</v>
      </c>
    </row>
    <row r="1100" spans="1:17" ht="15.75" thickTop="1">
      <c r="A1100" s="1482"/>
      <c r="B1100" s="1482"/>
      <c r="C1100" s="1483">
        <f t="shared" si="184"/>
        <v>6</v>
      </c>
      <c r="D1100" s="1492">
        <f t="shared" si="185"/>
        <v>8</v>
      </c>
      <c r="E1100" s="1492">
        <f t="shared" si="186"/>
        <v>2</v>
      </c>
      <c r="F1100" s="1484" t="s">
        <v>11708</v>
      </c>
      <c r="H1100" s="1095"/>
      <c r="I1100" s="780"/>
      <c r="J1100" s="834"/>
      <c r="K1100" s="780"/>
      <c r="L1100" s="780"/>
      <c r="M1100" s="1270"/>
      <c r="N1100" s="400"/>
      <c r="O1100" s="122"/>
      <c r="P1100" s="123"/>
    </row>
    <row r="1101" spans="1:17">
      <c r="A1101" s="1482"/>
      <c r="B1101" s="1482">
        <v>1</v>
      </c>
      <c r="C1101" s="1483">
        <f t="shared" si="184"/>
        <v>6</v>
      </c>
      <c r="D1101" s="1492">
        <f t="shared" si="185"/>
        <v>8</v>
      </c>
      <c r="E1101" s="1492">
        <f t="shared" si="186"/>
        <v>3</v>
      </c>
      <c r="F1101" s="1484" t="s">
        <v>11708</v>
      </c>
      <c r="H1101" s="1514" t="s">
        <v>11703</v>
      </c>
      <c r="I1101" s="1515" t="s">
        <v>64</v>
      </c>
      <c r="J1101" s="1516" t="str">
        <f>CONCATENATE(C1101,".",D1101,".",E1101)</f>
        <v>6.8.3</v>
      </c>
      <c r="K1101" s="1516" t="s">
        <v>11712</v>
      </c>
      <c r="L1101" s="1517" t="s">
        <v>25</v>
      </c>
      <c r="M1101" s="1518" t="s">
        <v>11704</v>
      </c>
      <c r="N1101" s="398" t="s">
        <v>11705</v>
      </c>
      <c r="O1101" s="207" t="s">
        <v>11706</v>
      </c>
      <c r="P1101" s="208" t="s">
        <v>27</v>
      </c>
      <c r="Q1101" s="1472" t="s">
        <v>11704</v>
      </c>
    </row>
    <row r="1102" spans="1:17">
      <c r="A1102" s="1482"/>
      <c r="B1102" s="1482"/>
      <c r="C1102" s="1483">
        <f t="shared" si="184"/>
        <v>6</v>
      </c>
      <c r="D1102" s="1492">
        <f t="shared" si="185"/>
        <v>8</v>
      </c>
      <c r="E1102" s="1492">
        <f t="shared" si="186"/>
        <v>3</v>
      </c>
      <c r="F1102" s="1484" t="s">
        <v>11708</v>
      </c>
      <c r="H1102" s="1095"/>
      <c r="I1102" s="780"/>
      <c r="J1102" s="834"/>
      <c r="K1102" s="780"/>
      <c r="L1102" s="780"/>
      <c r="M1102" s="1270"/>
      <c r="N1102" s="400"/>
      <c r="O1102" s="122"/>
      <c r="P1102" s="123"/>
    </row>
    <row r="1103" spans="1:17" ht="33.75">
      <c r="A1103" s="1482"/>
      <c r="B1103" s="1482"/>
      <c r="C1103" s="1483">
        <f t="shared" si="184"/>
        <v>6</v>
      </c>
      <c r="D1103" s="1492">
        <f t="shared" si="185"/>
        <v>8</v>
      </c>
      <c r="E1103" s="1492">
        <f t="shared" si="186"/>
        <v>3</v>
      </c>
      <c r="F1103" s="1484" t="s">
        <v>11708</v>
      </c>
      <c r="G1103" s="862" t="s">
        <v>12247</v>
      </c>
      <c r="H1103" s="823" t="str">
        <f>VLOOKUP(G1103,'SALA ELÉTRICA'!A:M,2,0)</f>
        <v>SINAPI</v>
      </c>
      <c r="I1103" s="700" t="str">
        <f>VLOOKUP(G1103,'SALA ELÉTRICA'!A:M,3,0)</f>
        <v>74010/1</v>
      </c>
      <c r="J1103" s="824"/>
      <c r="K1103" s="790" t="str">
        <f>(IF(H1103="Saneago",VLOOKUP(I1103,'SANEAGO-FEV.2016'!A:B,2,0),IF(H1103="Sinapi",VLOOKUP(I1103,'SINAPI-FEV.2017'!A:D,2,0),IF(H1103="Cotação",VLOOKUP(I1103,COTAÇÃO!A:D,2,0),IF(H1103="Composição",VLOOKUP(I1103,COMPOSIÇÃO!A:D,2,0))))))</f>
        <v>CARGA E DESCARGA MECANICA DE SOLO UTILIZANDO CAMINHAO BASCULANTE 6,0M3/16T E PA CARREGADEIRA SOBRE PNEUS 128 HP, CAPACIDADE DA CAÇAMBA 1,7 A 2,8 M3, PESO OPERACIONAL 11632 KG</v>
      </c>
      <c r="L1103" s="700" t="str">
        <f>(IF(H1103="Saneago",VLOOKUP(I1103,'SANEAGO-FEV.2016'!A:D,3,0),IF(H1103="Sinapi",VLOOKUP(I1103,'SINAPI-FEV.2017'!A:D,3,0),IF(H1103="Cotação",VLOOKUP(I1103,COTAÇÃO!A:D,3,0),IF(H1103="Composição",VLOOKUP(I1103,COMPOSIÇÃO!A:D,3,0))))))</f>
        <v>M3</v>
      </c>
      <c r="M1103" s="870">
        <f>ROUND(VLOOKUP(G1103,'SALA ELÉTRICA'!A:M,13,0),2)</f>
        <v>3.1</v>
      </c>
      <c r="N1103" s="399">
        <v>0</v>
      </c>
      <c r="O1103" s="102">
        <f>ROUND(IF(F1103="Serviços",N1103*(1+$O$7),IF(F1103="Materiais",N1103*(1+$O$8))),2)</f>
        <v>0</v>
      </c>
      <c r="P1103" s="101">
        <f>ROUND(M1103*O1103,2)</f>
        <v>0</v>
      </c>
      <c r="Q1103" s="1472">
        <v>3.1</v>
      </c>
    </row>
    <row r="1104" spans="1:17" ht="22.5">
      <c r="A1104" s="1482"/>
      <c r="B1104" s="1482"/>
      <c r="C1104" s="1483">
        <f t="shared" si="184"/>
        <v>6</v>
      </c>
      <c r="D1104" s="1492">
        <f t="shared" si="185"/>
        <v>8</v>
      </c>
      <c r="E1104" s="1492">
        <f t="shared" si="186"/>
        <v>3</v>
      </c>
      <c r="F1104" s="1484" t="s">
        <v>11708</v>
      </c>
      <c r="G1104" s="862" t="s">
        <v>12248</v>
      </c>
      <c r="H1104" s="823" t="str">
        <f>VLOOKUP(G1104,'SALA ELÉTRICA'!A:M,2,0)</f>
        <v>SINAPI</v>
      </c>
      <c r="I1104" s="700">
        <f>VLOOKUP(G1104,'SALA ELÉTRICA'!A:M,3,0)</f>
        <v>93590</v>
      </c>
      <c r="J1104" s="824"/>
      <c r="K1104" s="790" t="str">
        <f>(IF(H1104="Saneago",VLOOKUP(I1104,'SANEAGO-FEV.2016'!A:B,2,0),IF(H1104="Sinapi",VLOOKUP(I1104,'SINAPI-FEV.2017'!A:D,2,0),IF(H1104="Cotação",VLOOKUP(I1104,COTAÇÃO!A:D,2,0),IF(H1104="Composição",VLOOKUP(I1104,COMPOSIÇÃO!A:D,2,0))))))</f>
        <v>TRANSPORTE COM CAMINHÃO BASCULANTE DE 10 M3, EM VIA URBANA PAVIMENTADA, DMT ACIMA DE 30KM (UNIDADE: M3XKM). AF_04/2016</v>
      </c>
      <c r="L1104" s="700" t="str">
        <f>(IF(H1104="Saneago",VLOOKUP(I1104,'SANEAGO-FEV.2016'!A:D,3,0),IF(H1104="Sinapi",VLOOKUP(I1104,'SINAPI-FEV.2017'!A:D,3,0),IF(H1104="Cotação",VLOOKUP(I1104,COTAÇÃO!A:D,3,0),IF(H1104="Composição",VLOOKUP(I1104,COMPOSIÇÃO!A:D,3,0))))))</f>
        <v>M3XKM</v>
      </c>
      <c r="M1104" s="870">
        <f>ROUND(VLOOKUP(G1104,'SALA ELÉTRICA'!A:M,13,0),2)</f>
        <v>23.22</v>
      </c>
      <c r="N1104" s="399">
        <v>0</v>
      </c>
      <c r="O1104" s="102">
        <f>ROUND(IF(F1104="Serviços",N1104*(1+$O$7),IF(F1104="Materiais",N1104*(1+$O$8))),2)</f>
        <v>0</v>
      </c>
      <c r="P1104" s="101">
        <f>ROUND(M1104*O1104,2)</f>
        <v>0</v>
      </c>
      <c r="Q1104" s="1472">
        <v>23.22</v>
      </c>
    </row>
    <row r="1105" spans="1:17" ht="22.5">
      <c r="A1105" s="1482"/>
      <c r="B1105" s="1482"/>
      <c r="C1105" s="1483">
        <f t="shared" si="184"/>
        <v>6</v>
      </c>
      <c r="D1105" s="1492">
        <f t="shared" si="185"/>
        <v>8</v>
      </c>
      <c r="E1105" s="1492">
        <f t="shared" si="186"/>
        <v>3</v>
      </c>
      <c r="F1105" s="1484" t="s">
        <v>11708</v>
      </c>
      <c r="G1105" s="862" t="s">
        <v>12249</v>
      </c>
      <c r="H1105" s="823" t="str">
        <f>VLOOKUP(G1105,'SALA ELÉTRICA'!A:M,2,0)</f>
        <v>SINAPI</v>
      </c>
      <c r="I1105" s="700">
        <f>VLOOKUP(G1105,'SALA ELÉTRICA'!A:M,3,0)</f>
        <v>83344</v>
      </c>
      <c r="J1105" s="824"/>
      <c r="K1105" s="790" t="str">
        <f>(IF(H1105="Saneago",VLOOKUP(I1105,'SANEAGO-FEV.2016'!A:B,2,0),IF(H1105="Sinapi",VLOOKUP(I1105,'SINAPI-FEV.2017'!A:D,2,0),IF(H1105="Cotação",VLOOKUP(I1105,COTAÇÃO!A:D,2,0),IF(H1105="Composição",VLOOKUP(I1105,COMPOSIÇÃO!A:D,2,0))))))</f>
        <v>ESPALHAMENTO DE MATERIAL EM BOTA FORA, COM UTILIZACAO DE TRATOR DE ESTEIRAS DE 165 HP</v>
      </c>
      <c r="L1105" s="700" t="str">
        <f>(IF(H1105="Saneago",VLOOKUP(I1105,'SANEAGO-FEV.2016'!A:D,3,0),IF(H1105="Sinapi",VLOOKUP(I1105,'SINAPI-FEV.2017'!A:D,3,0),IF(H1105="Cotação",VLOOKUP(I1105,COTAÇÃO!A:D,3,0),IF(H1105="Composição",VLOOKUP(I1105,COMPOSIÇÃO!A:D,3,0))))))</f>
        <v>M3</v>
      </c>
      <c r="M1105" s="870">
        <f>ROUND(VLOOKUP(G1105,'SALA ELÉTRICA'!A:M,13,0),2)</f>
        <v>3.1</v>
      </c>
      <c r="N1105" s="399">
        <v>0</v>
      </c>
      <c r="O1105" s="102">
        <f>ROUND(IF(F1105="Serviços",N1105*(1+$O$7),IF(F1105="Materiais",N1105*(1+$O$8))),2)</f>
        <v>0</v>
      </c>
      <c r="P1105" s="101">
        <f>ROUND(M1105*O1105,2)</f>
        <v>0</v>
      </c>
      <c r="Q1105" s="1472">
        <v>3.1</v>
      </c>
    </row>
    <row r="1106" spans="1:17" ht="15.75" thickBot="1">
      <c r="A1106" s="1482"/>
      <c r="B1106" s="1482"/>
      <c r="C1106" s="1483">
        <f t="shared" si="184"/>
        <v>6</v>
      </c>
      <c r="D1106" s="1492">
        <f t="shared" si="185"/>
        <v>8</v>
      </c>
      <c r="E1106" s="1492">
        <f t="shared" si="186"/>
        <v>3</v>
      </c>
      <c r="F1106" s="1484" t="s">
        <v>11708</v>
      </c>
      <c r="G1106" s="905"/>
      <c r="H1106" s="1095"/>
      <c r="I1106" s="780"/>
      <c r="J1106" s="834"/>
      <c r="K1106" s="780"/>
      <c r="L1106" s="780"/>
      <c r="M1106" s="1270"/>
      <c r="N1106" s="400"/>
      <c r="O1106" s="122"/>
      <c r="P1106" s="123"/>
    </row>
    <row r="1107" spans="1:17" ht="16.5" customHeight="1" thickTop="1" thickBot="1">
      <c r="A1107" s="1482"/>
      <c r="B1107" s="1482"/>
      <c r="C1107" s="1483">
        <f t="shared" si="184"/>
        <v>6</v>
      </c>
      <c r="D1107" s="1492">
        <f t="shared" si="185"/>
        <v>8</v>
      </c>
      <c r="E1107" s="1492">
        <f t="shared" si="186"/>
        <v>3</v>
      </c>
      <c r="F1107" s="1484" t="s">
        <v>11708</v>
      </c>
      <c r="G1107" s="862"/>
      <c r="H1107" s="1653" t="str">
        <f>"TOTAL ITEM: "&amp;J1101 &amp;K1101</f>
        <v>TOTAL ITEM: 6.8.3 BOTA FORA DE MATERIAL DE ESCAVAÇÃO (SOLO 1º E 2º CATEGORIA)</v>
      </c>
      <c r="I1107" s="1654"/>
      <c r="J1107" s="1654"/>
      <c r="K1107" s="1654"/>
      <c r="L1107" s="1654"/>
      <c r="M1107" s="1654"/>
      <c r="N1107" s="1654"/>
      <c r="O1107" s="1654"/>
      <c r="P1107" s="210">
        <f>SUBTOTAL(9,P1103:P1105)</f>
        <v>0</v>
      </c>
    </row>
    <row r="1108" spans="1:17" ht="15.75" thickTop="1">
      <c r="A1108" s="1482"/>
      <c r="B1108" s="1482"/>
      <c r="C1108" s="1483">
        <f t="shared" si="184"/>
        <v>6</v>
      </c>
      <c r="D1108" s="1492">
        <f t="shared" si="185"/>
        <v>8</v>
      </c>
      <c r="E1108" s="1492">
        <f t="shared" si="186"/>
        <v>3</v>
      </c>
      <c r="F1108" s="1484" t="s">
        <v>11708</v>
      </c>
      <c r="H1108" s="1095"/>
      <c r="I1108" s="780"/>
      <c r="J1108" s="834"/>
      <c r="K1108" s="780"/>
      <c r="L1108" s="780"/>
      <c r="M1108" s="1270"/>
      <c r="N1108" s="400"/>
      <c r="O1108" s="122"/>
      <c r="P1108" s="123"/>
    </row>
    <row r="1109" spans="1:17">
      <c r="A1109" s="1482"/>
      <c r="B1109" s="1482">
        <v>1</v>
      </c>
      <c r="C1109" s="1483">
        <f t="shared" si="184"/>
        <v>6</v>
      </c>
      <c r="D1109" s="1492">
        <f t="shared" si="185"/>
        <v>8</v>
      </c>
      <c r="E1109" s="1492">
        <f t="shared" si="186"/>
        <v>4</v>
      </c>
      <c r="F1109" s="1484" t="s">
        <v>11708</v>
      </c>
      <c r="H1109" s="1514" t="s">
        <v>11703</v>
      </c>
      <c r="I1109" s="1515" t="s">
        <v>64</v>
      </c>
      <c r="J1109" s="1516" t="str">
        <f>CONCATENATE(C1109,".",D1109,".",E1109)</f>
        <v>6.8.4</v>
      </c>
      <c r="K1109" s="1516" t="s">
        <v>1225</v>
      </c>
      <c r="L1109" s="1517" t="s">
        <v>25</v>
      </c>
      <c r="M1109" s="1518" t="s">
        <v>11704</v>
      </c>
      <c r="N1109" s="398" t="s">
        <v>11705</v>
      </c>
      <c r="O1109" s="207" t="s">
        <v>11706</v>
      </c>
      <c r="P1109" s="208" t="s">
        <v>27</v>
      </c>
      <c r="Q1109" s="1472" t="s">
        <v>11704</v>
      </c>
    </row>
    <row r="1110" spans="1:17">
      <c r="A1110" s="1482"/>
      <c r="B1110" s="1482"/>
      <c r="C1110" s="1483">
        <f t="shared" si="184"/>
        <v>6</v>
      </c>
      <c r="D1110" s="1492">
        <f t="shared" ref="D1110:E1115" si="192">D1109+A1110</f>
        <v>8</v>
      </c>
      <c r="E1110" s="1492">
        <f t="shared" si="192"/>
        <v>4</v>
      </c>
      <c r="F1110" s="1484" t="s">
        <v>11708</v>
      </c>
      <c r="H1110" s="1547"/>
      <c r="I1110" s="1548"/>
      <c r="J1110" s="1549"/>
      <c r="K1110" s="1549"/>
      <c r="L1110" s="1550"/>
      <c r="M1110" s="1551"/>
      <c r="N1110" s="593"/>
      <c r="O1110" s="594"/>
      <c r="P1110" s="595"/>
    </row>
    <row r="1111" spans="1:17" ht="22.5">
      <c r="A1111" s="1482"/>
      <c r="B1111" s="1482"/>
      <c r="C1111" s="1483">
        <f t="shared" si="184"/>
        <v>6</v>
      </c>
      <c r="D1111" s="1492">
        <f t="shared" si="192"/>
        <v>8</v>
      </c>
      <c r="E1111" s="1492">
        <f t="shared" si="192"/>
        <v>4</v>
      </c>
      <c r="F1111" s="1484" t="s">
        <v>11708</v>
      </c>
      <c r="G1111" s="862" t="s">
        <v>14338</v>
      </c>
      <c r="H1111" s="823" t="str">
        <f>VLOOKUP(G1111,'SALA ELÉTRICA'!A:M,2,0)</f>
        <v>SINAPI</v>
      </c>
      <c r="I1111" s="700">
        <f>VLOOKUP(G1111,'SALA ELÉTRICA'!A:M,3,0)</f>
        <v>95241</v>
      </c>
      <c r="J1111" s="824"/>
      <c r="K1111" s="790" t="str">
        <f>(IF(H1111="Saneago",VLOOKUP(I1111,'SANEAGO-FEV.2016'!A:B,2,0),IF(H1111="Sinapi",VLOOKUP(I1111,'SINAPI-FEV.2017'!A:D,2,0),IF(H1111="Cotação",VLOOKUP(I1111,COTAÇÃO!A:D,2,0),IF(H1111="Composição",VLOOKUP(I1111,COMPOSIÇÃO!A:D,2,0))))))</f>
        <v>LASTRO DE CONCRETO, E = 5 CM, PREPARO MECÂNICO, INCLUSOS LANÇAMENTO E ADENSAMENTO. AF_07_2016</v>
      </c>
      <c r="L1111" s="700" t="str">
        <f>(IF(H1111="Saneago",VLOOKUP(I1111,'SANEAGO-FEV.2016'!A:D,3,0),IF(H1111="Sinapi",VLOOKUP(I1111,'SINAPI-FEV.2017'!A:D,3,0),IF(H1111="Cotação",VLOOKUP(I1111,COTAÇÃO!A:D,3,0),IF(H1111="Composição",VLOOKUP(I1111,COMPOSIÇÃO!A:D,3,0))))))</f>
        <v>M2</v>
      </c>
      <c r="M1111" s="870">
        <f>ROUND(VLOOKUP(G1111,'SALA ELÉTRICA'!A:M,13,0),2)</f>
        <v>7.38</v>
      </c>
      <c r="N1111" s="399">
        <v>0</v>
      </c>
      <c r="O1111" s="102">
        <f>ROUND(IF(F1111="Serviços",N1111*(1+$O$7),IF(F1111="Materiais",N1111*(1+$O$8))),2)</f>
        <v>0</v>
      </c>
      <c r="P1111" s="101">
        <f>ROUND(M1111*O1111,2)</f>
        <v>0</v>
      </c>
      <c r="Q1111" s="1472">
        <v>7.38</v>
      </c>
    </row>
    <row r="1112" spans="1:17" ht="45">
      <c r="A1112" s="1482"/>
      <c r="B1112" s="1482"/>
      <c r="C1112" s="1483">
        <f t="shared" si="184"/>
        <v>6</v>
      </c>
      <c r="D1112" s="1492">
        <f t="shared" si="192"/>
        <v>8</v>
      </c>
      <c r="E1112" s="1492">
        <f t="shared" si="192"/>
        <v>4</v>
      </c>
      <c r="F1112" s="1484" t="s">
        <v>11708</v>
      </c>
      <c r="G1112" s="862" t="s">
        <v>20478</v>
      </c>
      <c r="H1112" s="823" t="str">
        <f>VLOOKUP(G1112,'SALA ELÉTRICA'!A:M,2,0)</f>
        <v>SINAPI</v>
      </c>
      <c r="I1112" s="700">
        <f>VLOOKUP(G1112,'SALA ELÉTRICA'!A:M,3,0)</f>
        <v>92415</v>
      </c>
      <c r="J1112" s="824"/>
      <c r="K1112" s="790" t="str">
        <f>(IF(H1112="Saneago",VLOOKUP(I1112,'SANEAGO-FEV.2016'!A:B,2,0),IF(H1112="Sinapi",VLOOKUP(I1112,'SINAPI-FEV.2017'!A:D,2,0),IF(H1112="Cotação",VLOOKUP(I1112,COTAÇÃO!A:D,2,0),IF(H1112="Composição",VLOOKUP(I1112,COMPOSIÇÃO!A:D,2,0))))))</f>
        <v>MONTAGEM E DESMONTAGEM DE FÔRMA DE PILARES RETANGULARES E ESTRUTURAS SIMILARES COM ÁREA MÉDIA DAS SEÇÕES MAIOR QUE 0,25 M², PÉ-DIREITO SIMPLES, EM CHAPA DE MADEIRA COMPENSADA RESINADA, 2 UTILIZAÇÕES. AF_12/2015</v>
      </c>
      <c r="L1112" s="700" t="str">
        <f>(IF(H1112="Saneago",VLOOKUP(I1112,'SANEAGO-FEV.2016'!A:D,3,0),IF(H1112="Sinapi",VLOOKUP(I1112,'SINAPI-FEV.2017'!A:D,3,0),IF(H1112="Cotação",VLOOKUP(I1112,COTAÇÃO!A:D,3,0),IF(H1112="Composição",VLOOKUP(I1112,COMPOSIÇÃO!A:D,3,0))))))</f>
        <v>M2</v>
      </c>
      <c r="M1112" s="870">
        <f>ROUND(VLOOKUP(G1112,'SALA ELÉTRICA'!A:M,13,0),2)</f>
        <v>12.54</v>
      </c>
      <c r="N1112" s="399">
        <v>0</v>
      </c>
      <c r="O1112" s="102">
        <f>ROUND(IF(F1112="Serviços",N1112*(1+$O$7),IF(F1112="Materiais",N1112*(1+$O$8))),2)</f>
        <v>0</v>
      </c>
      <c r="P1112" s="101">
        <f>ROUND(M1112*O1112,2)</f>
        <v>0</v>
      </c>
      <c r="Q1112" s="1472">
        <v>12.54</v>
      </c>
    </row>
    <row r="1113" spans="1:17" ht="22.5">
      <c r="A1113" s="1482"/>
      <c r="B1113" s="1482"/>
      <c r="C1113" s="1483">
        <f t="shared" si="184"/>
        <v>6</v>
      </c>
      <c r="D1113" s="1492">
        <f t="shared" si="192"/>
        <v>8</v>
      </c>
      <c r="E1113" s="1492">
        <f t="shared" si="192"/>
        <v>4</v>
      </c>
      <c r="F1113" s="1484" t="s">
        <v>11708</v>
      </c>
      <c r="G1113" s="862" t="s">
        <v>20479</v>
      </c>
      <c r="H1113" s="823" t="str">
        <f>VLOOKUP(G1113,'SALA ELÉTRICA'!A:M,2,0)</f>
        <v>SINAPI</v>
      </c>
      <c r="I1113" s="700">
        <f>VLOOKUP(G1113,'SALA ELÉTRICA'!A:M,3,0)</f>
        <v>92452</v>
      </c>
      <c r="J1113" s="824"/>
      <c r="K1113" s="790" t="str">
        <f>(IF(H1113="Saneago",VLOOKUP(I1113,'SANEAGO-FEV.2016'!A:B,2,0),IF(H1113="Sinapi",VLOOKUP(I1113,'SINAPI-FEV.2017'!A:D,2,0),IF(H1113="Cotação",VLOOKUP(I1113,COTAÇÃO!A:D,2,0),IF(H1113="Composição",VLOOKUP(I1113,COMPOSIÇÃO!A:D,2,0))))))</f>
        <v>MONTAGEM E DESMONTAGEM DE FÔRMA DE VIGA, ESCORAMENTO METÁLICO, PÉ-DIREITO SIMPLES, EM CHAPA DE MADEIRA RESINADA, 2 UTILIZAÇÕES. AF_12/2015</v>
      </c>
      <c r="L1113" s="700" t="str">
        <f>(IF(H1113="Saneago",VLOOKUP(I1113,'SANEAGO-FEV.2016'!A:D,3,0),IF(H1113="Sinapi",VLOOKUP(I1113,'SINAPI-FEV.2017'!A:D,3,0),IF(H1113="Cotação",VLOOKUP(I1113,COTAÇÃO!A:D,3,0),IF(H1113="Composição",VLOOKUP(I1113,COMPOSIÇÃO!A:D,3,0))))))</f>
        <v>M2</v>
      </c>
      <c r="M1113" s="870">
        <f>ROUND(VLOOKUP(G1113,'SALA ELÉTRICA'!A:M,13,0),2)</f>
        <v>9.41</v>
      </c>
      <c r="N1113" s="399">
        <v>0</v>
      </c>
      <c r="O1113" s="102">
        <f>ROUND(IF(F1113="Serviços",N1113*(1+$O$7),IF(F1113="Materiais",N1113*(1+$O$8))),2)</f>
        <v>0</v>
      </c>
      <c r="P1113" s="101">
        <f>ROUND(M1113*O1113,2)</f>
        <v>0</v>
      </c>
      <c r="Q1113" s="1472">
        <v>9.41</v>
      </c>
    </row>
    <row r="1114" spans="1:17" ht="33.75">
      <c r="A1114" s="1482"/>
      <c r="B1114" s="1482"/>
      <c r="C1114" s="1483">
        <f>C1113</f>
        <v>6</v>
      </c>
      <c r="D1114" s="1492">
        <f t="shared" si="192"/>
        <v>8</v>
      </c>
      <c r="E1114" s="1492">
        <f t="shared" si="192"/>
        <v>4</v>
      </c>
      <c r="F1114" s="1484" t="s">
        <v>11708</v>
      </c>
      <c r="G1114" s="862" t="s">
        <v>20480</v>
      </c>
      <c r="H1114" s="823" t="str">
        <f>VLOOKUP(G1114,'SALA ELÉTRICA'!A:M,2,0)</f>
        <v>SINAPI</v>
      </c>
      <c r="I1114" s="700">
        <f>VLOOKUP(G1114,'SALA ELÉTRICA'!A:M,3,0)</f>
        <v>92510</v>
      </c>
      <c r="J1114" s="824"/>
      <c r="K1114" s="790" t="str">
        <f>(IF(H1114="Saneago",VLOOKUP(I1114,'SANEAGO-FEV.2016'!A:B,2,0),IF(H1114="Sinapi",VLOOKUP(I1114,'SINAPI-FEV.2017'!A:D,2,0),IF(H1114="Cotação",VLOOKUP(I1114,COTAÇÃO!A:D,2,0),IF(H1114="Composição",VLOOKUP(I1114,COMPOSIÇÃO!A:D,2,0))))))</f>
        <v>MONTAGEM E DESMONTAGEM DE FÔRMA DE LAJE MACIÇA COM ÁREA MÉDIA MAIOR QUE 20 M², PÉ-DIREITO SIMPLES, EM CHAPA DE MADEIRA COMPENSADA RESINADA, 2 UTILIZAÇÕES. AF_12/2015</v>
      </c>
      <c r="L1114" s="700" t="str">
        <f>(IF(H1114="Saneago",VLOOKUP(I1114,'SANEAGO-FEV.2016'!A:D,3,0),IF(H1114="Sinapi",VLOOKUP(I1114,'SINAPI-FEV.2017'!A:D,3,0),IF(H1114="Cotação",VLOOKUP(I1114,COTAÇÃO!A:D,3,0),IF(H1114="Composição",VLOOKUP(I1114,COMPOSIÇÃO!A:D,3,0))))))</f>
        <v>M2</v>
      </c>
      <c r="M1114" s="870">
        <f>ROUND(VLOOKUP(G1114,'SALA ELÉTRICA'!A:M,13,0),2)</f>
        <v>40.76</v>
      </c>
      <c r="N1114" s="399">
        <v>0</v>
      </c>
      <c r="O1114" s="102">
        <f>ROUND(IF(F1114="Serviços",N1114*(1+$O$7),IF(F1114="Materiais",N1114*(1+$O$8))),2)</f>
        <v>0</v>
      </c>
      <c r="P1114" s="101">
        <f>ROUND(M1114*O1114,2)</f>
        <v>0</v>
      </c>
      <c r="Q1114" s="1472">
        <v>40.76</v>
      </c>
    </row>
    <row r="1115" spans="1:17" ht="22.5">
      <c r="A1115" s="1482"/>
      <c r="B1115" s="1482"/>
      <c r="C1115" s="1483">
        <f>C1114</f>
        <v>6</v>
      </c>
      <c r="D1115" s="1492">
        <f t="shared" si="192"/>
        <v>8</v>
      </c>
      <c r="E1115" s="1492">
        <f t="shared" si="192"/>
        <v>4</v>
      </c>
      <c r="F1115" s="1484" t="s">
        <v>11708</v>
      </c>
      <c r="G1115" s="862" t="s">
        <v>20481</v>
      </c>
      <c r="H1115" s="823" t="str">
        <f>VLOOKUP(G1115,'SALA ELÉTRICA'!A:M,2,0)</f>
        <v>SINAPI</v>
      </c>
      <c r="I1115" s="700">
        <f>VLOOKUP(G1115,'SALA ELÉTRICA'!A:M,3,0)</f>
        <v>34493</v>
      </c>
      <c r="J1115" s="824"/>
      <c r="K1115" s="790" t="str">
        <f>(IF(H1115="Saneago",VLOOKUP(I1115,'SANEAGO-FEV.2016'!A:B,2,0),IF(H1115="Sinapi",VLOOKUP(I1115,'SINAPI-FEV.2017'!A:D,2,0),IF(H1115="Cotação",VLOOKUP(I1115,COTAÇÃO!A:D,2,0),IF(H1115="Composição",VLOOKUP(I1115,COMPOSIÇÃO!A:D,2,0))))))</f>
        <v>CONCRETO USINADO BOMBEAVEL, CLASSE DE RESISTENCIA C25, COM BRITA 0 E 1, SLUMP = 100 +/- 20 MM, EXCLUI SERVICO DE BOMBEAMENTO (NBR 8953)</v>
      </c>
      <c r="L1115" s="700" t="str">
        <f>(IF(H1115="Saneago",VLOOKUP(I1115,'SANEAGO-FEV.2016'!A:D,3,0),IF(H1115="Sinapi",VLOOKUP(I1115,'SINAPI-FEV.2017'!A:D,3,0),IF(H1115="Cotação",VLOOKUP(I1115,COTAÇÃO!A:D,3,0),IF(H1115="Composição",VLOOKUP(I1115,COMPOSIÇÃO!A:D,3,0))))))</f>
        <v>M3</v>
      </c>
      <c r="M1115" s="870">
        <f>ROUND(VLOOKUP(G1115,'SALA ELÉTRICA'!A:M,13,0),2)</f>
        <v>4.5</v>
      </c>
      <c r="N1115" s="399">
        <v>0</v>
      </c>
      <c r="O1115" s="102">
        <f>ROUND(IF(F1115="Serviços",N1115*(1+$O$7),IF(F1115="Materiais",N1115*(1+$O$8))),2)</f>
        <v>0</v>
      </c>
      <c r="P1115" s="101">
        <f>ROUND(M1115*O1115,2)</f>
        <v>0</v>
      </c>
      <c r="Q1115" s="1472">
        <v>4.5</v>
      </c>
    </row>
    <row r="1116" spans="1:17">
      <c r="A1116" s="1482"/>
      <c r="B1116" s="1482"/>
      <c r="C1116" s="1483"/>
      <c r="D1116" s="1492">
        <f t="shared" ref="D1116:D1124" si="193">D1115+A1116</f>
        <v>8</v>
      </c>
      <c r="E1116" s="1492">
        <f t="shared" ref="E1116:E1124" si="194">E1115+B1116</f>
        <v>4</v>
      </c>
      <c r="F1116" s="1484" t="s">
        <v>11708</v>
      </c>
      <c r="G1116" s="862" t="s">
        <v>20482</v>
      </c>
      <c r="H1116" s="823"/>
      <c r="I1116" s="700"/>
      <c r="J1116" s="824"/>
      <c r="K1116" s="790"/>
      <c r="L1116" s="700"/>
      <c r="M1116" s="870"/>
      <c r="N1116" s="399"/>
      <c r="O1116" s="102"/>
      <c r="P1116" s="101"/>
    </row>
    <row r="1117" spans="1:17" ht="45">
      <c r="A1117" s="1482"/>
      <c r="B1117" s="1482"/>
      <c r="C1117" s="1483">
        <f>C1115</f>
        <v>6</v>
      </c>
      <c r="D1117" s="1492">
        <f t="shared" si="193"/>
        <v>8</v>
      </c>
      <c r="E1117" s="1492">
        <f t="shared" si="194"/>
        <v>4</v>
      </c>
      <c r="F1117" s="1484" t="s">
        <v>11708</v>
      </c>
      <c r="G1117" s="912" t="s">
        <v>20473</v>
      </c>
      <c r="H1117" s="823" t="str">
        <f>VLOOKUP(G1117,'SALA ELÉTRICA'!A:M,2,0)</f>
        <v>SINAPI</v>
      </c>
      <c r="I1117" s="700">
        <f>VLOOKUP(G1117,'SALA ELÉTRICA'!A:M,3,0)</f>
        <v>92915</v>
      </c>
      <c r="J1117" s="824"/>
      <c r="K1117" s="790" t="str">
        <f>(IF(H1117="Saneago",VLOOKUP(I1117,'SANEAGO-FEV.2016'!A:B,2,0),IF(H1117="Sinapi",VLOOKUP(I1117,'SINAPI-FEV.2017'!A:D,2,0),IF(H1117="Cotação",VLOOKUP(I1117,COTAÇÃO!A:D,2,0),IF(H1117="Composição",VLOOKUP(I1117,COMPOSIÇÃO!A:D,2,0))))))</f>
        <v>ARMAÇÃO DE ESTRUTURAS DE CONCRETO ARMADO, EXCETO VIGAS, PILARES, LAJES E FUNDAÇÕES PROFUNDAS (DE EDIFÍCIOS DE MÚLTIPLOS PAVIMENTOS, EDIFICAÇÃO TÉRREA OU SOBRADO), UTILIZANDO AÇO CA-60 DE 5.0 MM - MONTAGEM. AF_12/2015</v>
      </c>
      <c r="L1117" s="700" t="str">
        <f>(IF(H1117="Saneago",VLOOKUP(I1117,'SANEAGO-FEV.2016'!A:D,3,0),IF(H1117="Sinapi",VLOOKUP(I1117,'SINAPI-FEV.2017'!A:D,3,0),IF(H1117="Cotação",VLOOKUP(I1117,COTAÇÃO!A:D,3,0),IF(H1117="Composição",VLOOKUP(I1117,COMPOSIÇÃO!A:D,3,0))))))</f>
        <v>KG</v>
      </c>
      <c r="M1117" s="870">
        <f>ROUND(VLOOKUP(G1117,'SALA ELÉTRICA'!A:M,13,0),2)</f>
        <v>66.05</v>
      </c>
      <c r="N1117" s="399">
        <v>0</v>
      </c>
      <c r="O1117" s="102">
        <f>ROUND(IF(F1117="Serviços",N1117*(1+$O$7),IF(F1117="Materiais",N1117*(1+$O$8))),2)</f>
        <v>0</v>
      </c>
      <c r="P1117" s="101">
        <f>ROUND(M1117*O1117,2)</f>
        <v>0</v>
      </c>
      <c r="Q1117" s="1472">
        <v>66.05</v>
      </c>
    </row>
    <row r="1118" spans="1:17" ht="45">
      <c r="A1118" s="1482"/>
      <c r="B1118" s="1482"/>
      <c r="C1118" s="1483"/>
      <c r="D1118" s="1492">
        <f t="shared" si="193"/>
        <v>8</v>
      </c>
      <c r="E1118" s="1492">
        <f t="shared" si="194"/>
        <v>4</v>
      </c>
      <c r="F1118" s="1484" t="s">
        <v>11708</v>
      </c>
      <c r="G1118" s="912" t="s">
        <v>20474</v>
      </c>
      <c r="H1118" s="823" t="str">
        <f>VLOOKUP(G1118,'SALA ELÉTRICA'!A:M,2,0)</f>
        <v>SINAPI</v>
      </c>
      <c r="I1118" s="700">
        <f>VLOOKUP(G1118,'SALA ELÉTRICA'!A:M,3,0)</f>
        <v>92916</v>
      </c>
      <c r="J1118" s="824"/>
      <c r="K1118" s="790" t="str">
        <f>(IF(H1118="Saneago",VLOOKUP(I1118,'SANEAGO-FEV.2016'!A:B,2,0),IF(H1118="Sinapi",VLOOKUP(I1118,'SINAPI-FEV.2017'!A:D,2,0),IF(H1118="Cotação",VLOOKUP(I1118,COTAÇÃO!A:D,2,0),IF(H1118="Composição",VLOOKUP(I1118,COMPOSIÇÃO!A:D,2,0))))))</f>
        <v>ARMAÇÃO DE ESTRUTURAS DE CONCRETO ARMADO, EXCETO VIGAS, PILARES, LAJES E FUNDAÇÕES PROFUNDAS (DE EDIFÍCIOS DE MÚLTIPLOS PAVIMENTOS, EDIFICAÇÃO TÉRREA OU SOBRADO), UTILIZANDO AÇO CA-50 DE 6.3 MM - MONTAGEM. AF_12/2015</v>
      </c>
      <c r="L1118" s="700" t="str">
        <f>(IF(H1118="Saneago",VLOOKUP(I1118,'SANEAGO-FEV.2016'!A:D,3,0),IF(H1118="Sinapi",VLOOKUP(I1118,'SINAPI-FEV.2017'!A:D,3,0),IF(H1118="Cotação",VLOOKUP(I1118,COTAÇÃO!A:D,3,0),IF(H1118="Composição",VLOOKUP(I1118,COMPOSIÇÃO!A:D,3,0))))))</f>
        <v>KG</v>
      </c>
      <c r="M1118" s="870">
        <f>ROUND(VLOOKUP(G1118,'SALA ELÉTRICA'!A:M,13,0),2)</f>
        <v>102.11</v>
      </c>
      <c r="N1118" s="399">
        <v>0</v>
      </c>
      <c r="O1118" s="102">
        <f>ROUND(IF(F1118="Serviços",N1118*(1+$O$7),IF(F1118="Materiais",N1118*(1+$O$8))),2)</f>
        <v>0</v>
      </c>
      <c r="P1118" s="101">
        <f>ROUND(M1118*O1118,2)</f>
        <v>0</v>
      </c>
      <c r="Q1118" s="1472">
        <v>102.11</v>
      </c>
    </row>
    <row r="1119" spans="1:17" ht="45">
      <c r="A1119" s="1482"/>
      <c r="B1119" s="1482"/>
      <c r="C1119" s="1483"/>
      <c r="D1119" s="1492">
        <f t="shared" si="193"/>
        <v>8</v>
      </c>
      <c r="E1119" s="1492">
        <f t="shared" si="194"/>
        <v>4</v>
      </c>
      <c r="F1119" s="1484" t="s">
        <v>11708</v>
      </c>
      <c r="G1119" s="912" t="s">
        <v>20475</v>
      </c>
      <c r="H1119" s="823" t="str">
        <f>VLOOKUP(G1119,'SALA ELÉTRICA'!A:M,2,0)</f>
        <v>SINAPI</v>
      </c>
      <c r="I1119" s="700">
        <f>VLOOKUP(G1119,'SALA ELÉTRICA'!A:M,3,0)</f>
        <v>92917</v>
      </c>
      <c r="J1119" s="824"/>
      <c r="K1119" s="790" t="str">
        <f>(IF(H1119="Saneago",VLOOKUP(I1119,'SANEAGO-FEV.2016'!A:B,2,0),IF(H1119="Sinapi",VLOOKUP(I1119,'SINAPI-FEV.2017'!A:D,2,0),IF(H1119="Cotação",VLOOKUP(I1119,COTAÇÃO!A:D,2,0),IF(H1119="Composição",VLOOKUP(I1119,COMPOSIÇÃO!A:D,2,0))))))</f>
        <v>ARMAÇÃO DE ESTRUTURAS DE CONCRETO ARMADO, EXCETO VIGAS, PILARES, LAJES E FUNDAÇÕES PROFUNDAS (DE EDIFÍCIOS DE MÚLTIPLOS PAVIMENTOS, EDIFICAÇÃO TÉRREA OU SOBRADO), UTILIZANDO AÇO CA-50 DE 8.0 MM - MONTAGEM. AF_12/2015</v>
      </c>
      <c r="L1119" s="700" t="str">
        <f>(IF(H1119="Saneago",VLOOKUP(I1119,'SANEAGO-FEV.2016'!A:D,3,0),IF(H1119="Sinapi",VLOOKUP(I1119,'SINAPI-FEV.2017'!A:D,3,0),IF(H1119="Cotação",VLOOKUP(I1119,COTAÇÃO!A:D,3,0),IF(H1119="Composição",VLOOKUP(I1119,COMPOSIÇÃO!A:D,3,0))))))</f>
        <v>KG</v>
      </c>
      <c r="M1119" s="870">
        <f>ROUND(VLOOKUP(G1119,'SALA ELÉTRICA'!A:M,13,0),2)</f>
        <v>94.67</v>
      </c>
      <c r="N1119" s="399">
        <v>0</v>
      </c>
      <c r="O1119" s="102">
        <f>ROUND(IF(F1119="Serviços",N1119*(1+$O$7),IF(F1119="Materiais",N1119*(1+$O$8))),2)</f>
        <v>0</v>
      </c>
      <c r="P1119" s="101">
        <f>ROUND(M1119*O1119,2)</f>
        <v>0</v>
      </c>
      <c r="Q1119" s="1472">
        <v>94.67</v>
      </c>
    </row>
    <row r="1120" spans="1:17" ht="45">
      <c r="A1120" s="1482"/>
      <c r="B1120" s="1482"/>
      <c r="C1120" s="1483"/>
      <c r="D1120" s="1492">
        <f t="shared" si="193"/>
        <v>8</v>
      </c>
      <c r="E1120" s="1492">
        <f t="shared" si="194"/>
        <v>4</v>
      </c>
      <c r="F1120" s="1484" t="s">
        <v>11708</v>
      </c>
      <c r="G1120" s="912" t="s">
        <v>20476</v>
      </c>
      <c r="H1120" s="823" t="str">
        <f>VLOOKUP(G1120,'SALA ELÉTRICA'!A:M,2,0)</f>
        <v>SINAPI</v>
      </c>
      <c r="I1120" s="700">
        <f>VLOOKUP(G1120,'SALA ELÉTRICA'!A:M,3,0)</f>
        <v>92919</v>
      </c>
      <c r="J1120" s="824"/>
      <c r="K1120" s="790" t="str">
        <f>(IF(H1120="Saneago",VLOOKUP(I1120,'SANEAGO-FEV.2016'!A:B,2,0),IF(H1120="Sinapi",VLOOKUP(I1120,'SINAPI-FEV.2017'!A:D,2,0),IF(H1120="Cotação",VLOOKUP(I1120,COTAÇÃO!A:D,2,0),IF(H1120="Composição",VLOOKUP(I1120,COMPOSIÇÃO!A:D,2,0))))))</f>
        <v>ARMAÇÃO DE ESTRUTURAS DE CONCRETO ARMADO, EXCETO VIGAS, PILARES, LAJES E FUNDAÇÕES PROFUNDAS (DE EDIFÍCIOS DE MÚLTIPLOS PAVIMENTOS, EDIFICAÇÃO TÉRREA OU SOBRADO), UTILIZANDO AÇO CA-50 DE 10.0 MM - MONTAGEM. AF_12/2015</v>
      </c>
      <c r="L1120" s="700" t="str">
        <f>(IF(H1120="Saneago",VLOOKUP(I1120,'SANEAGO-FEV.2016'!A:D,3,0),IF(H1120="Sinapi",VLOOKUP(I1120,'SINAPI-FEV.2017'!A:D,3,0),IF(H1120="Cotação",VLOOKUP(I1120,COTAÇÃO!A:D,3,0),IF(H1120="Composição",VLOOKUP(I1120,COMPOSIÇÃO!A:D,3,0))))))</f>
        <v>KG</v>
      </c>
      <c r="M1120" s="870">
        <f>ROUND(VLOOKUP(G1120,'SALA ELÉTRICA'!A:M,13,0),2)</f>
        <v>87.15</v>
      </c>
      <c r="N1120" s="399">
        <v>0</v>
      </c>
      <c r="O1120" s="102">
        <f>ROUND(IF(F1120="Serviços",N1120*(1+$O$7),IF(F1120="Materiais",N1120*(1+$O$8))),2)</f>
        <v>0</v>
      </c>
      <c r="P1120" s="101">
        <f>ROUND(M1120*O1120,2)</f>
        <v>0</v>
      </c>
      <c r="Q1120" s="1472">
        <v>87.15</v>
      </c>
    </row>
    <row r="1121" spans="1:17">
      <c r="A1121" s="1482"/>
      <c r="B1121" s="1482"/>
      <c r="C1121" s="1483">
        <f>C1117</f>
        <v>6</v>
      </c>
      <c r="D1121" s="1492">
        <f t="shared" si="193"/>
        <v>8</v>
      </c>
      <c r="E1121" s="1492">
        <f t="shared" si="194"/>
        <v>4</v>
      </c>
      <c r="F1121" s="1484" t="s">
        <v>11708</v>
      </c>
      <c r="G1121" s="862" t="s">
        <v>12250</v>
      </c>
      <c r="H1121" s="823" t="str">
        <f>VLOOKUP(G1121,'SALA ELÉTRICA'!A:M,2,0)</f>
        <v>SINAPI</v>
      </c>
      <c r="I1121" s="700" t="str">
        <f>VLOOKUP(G1121,'SALA ELÉTRICA'!A:M,3,0)</f>
        <v>74022/57</v>
      </c>
      <c r="J1121" s="824"/>
      <c r="K1121" s="790" t="str">
        <f>(IF(H1121="Saneago",VLOOKUP(I1121,'SANEAGO-FEV.2016'!A:B,2,0),IF(H1121="Sinapi",VLOOKUP(I1121,'SINAPI-FEV.2017'!A:D,2,0),IF(H1121="Cotação",VLOOKUP(I1121,COTAÇÃO!A:D,2,0),IF(H1121="Composição",VLOOKUP(I1121,COMPOSIÇÃO!A:D,2,0))))))</f>
        <v>ENSAIO DE CONSISTENCIA DO CONCRETO CCR - INDICE VEBE</v>
      </c>
      <c r="L1121" s="700" t="str">
        <f>(IF(H1121="Saneago",VLOOKUP(I1121,'SANEAGO-FEV.2016'!A:D,3,0),IF(H1121="Sinapi",VLOOKUP(I1121,'SINAPI-FEV.2017'!A:D,3,0),IF(H1121="Cotação",VLOOKUP(I1121,COTAÇÃO!A:D,3,0),IF(H1121="Composição",VLOOKUP(I1121,COMPOSIÇÃO!A:D,3,0))))))</f>
        <v>UN</v>
      </c>
      <c r="M1121" s="870">
        <f>ROUND(VLOOKUP(G1121,'SALA ELÉTRICA'!A:M,13,0),2)</f>
        <v>1</v>
      </c>
      <c r="N1121" s="399">
        <v>0</v>
      </c>
      <c r="O1121" s="102">
        <f>ROUND(IF(F1121="Serviços",N1121*(1+$O$7),IF(F1121="Materiais",N1121*(1+$O$8))),2)</f>
        <v>0</v>
      </c>
      <c r="P1121" s="101">
        <f>ROUND(M1121*O1121,2)</f>
        <v>0</v>
      </c>
      <c r="Q1121" s="1472">
        <v>1</v>
      </c>
    </row>
    <row r="1122" spans="1:17" ht="15.75" thickBot="1">
      <c r="A1122" s="1482"/>
      <c r="B1122" s="1482"/>
      <c r="C1122" s="1483">
        <f t="shared" ref="C1122:C1181" si="195">C1121</f>
        <v>6</v>
      </c>
      <c r="D1122" s="1492">
        <f t="shared" si="193"/>
        <v>8</v>
      </c>
      <c r="E1122" s="1492">
        <f t="shared" si="194"/>
        <v>4</v>
      </c>
      <c r="F1122" s="1484" t="s">
        <v>11708</v>
      </c>
      <c r="G1122" s="862"/>
      <c r="H1122" s="1095"/>
      <c r="I1122" s="780"/>
      <c r="J1122" s="834"/>
      <c r="K1122" s="780"/>
      <c r="L1122" s="780"/>
      <c r="M1122" s="1270"/>
      <c r="N1122" s="400"/>
      <c r="O1122" s="122"/>
      <c r="P1122" s="123"/>
    </row>
    <row r="1123" spans="1:17" ht="16.5" customHeight="1" thickTop="1" thickBot="1">
      <c r="A1123" s="1482"/>
      <c r="B1123" s="1482"/>
      <c r="C1123" s="1483">
        <f t="shared" si="195"/>
        <v>6</v>
      </c>
      <c r="D1123" s="1492">
        <f t="shared" si="193"/>
        <v>8</v>
      </c>
      <c r="E1123" s="1492">
        <f t="shared" si="194"/>
        <v>4</v>
      </c>
      <c r="F1123" s="1484" t="s">
        <v>11708</v>
      </c>
      <c r="G1123" s="862"/>
      <c r="H1123" s="1653" t="str">
        <f>"TOTAL ITEM: "&amp;J1109 &amp;K1109</f>
        <v>TOTAL ITEM: 6.8.4ESTRUTURAS DE CONCRETO ARMADO</v>
      </c>
      <c r="I1123" s="1654"/>
      <c r="J1123" s="1654"/>
      <c r="K1123" s="1654"/>
      <c r="L1123" s="1654"/>
      <c r="M1123" s="1654"/>
      <c r="N1123" s="1654"/>
      <c r="O1123" s="1654"/>
      <c r="P1123" s="210">
        <f>SUBTOTAL(9,P1111:P1121)</f>
        <v>0</v>
      </c>
    </row>
    <row r="1124" spans="1:17" ht="15.75" thickTop="1">
      <c r="A1124" s="1482"/>
      <c r="B1124" s="1482"/>
      <c r="C1124" s="1483">
        <f t="shared" si="195"/>
        <v>6</v>
      </c>
      <c r="D1124" s="1492">
        <f t="shared" si="193"/>
        <v>8</v>
      </c>
      <c r="E1124" s="1492">
        <f t="shared" si="194"/>
        <v>4</v>
      </c>
      <c r="F1124" s="1484" t="s">
        <v>11708</v>
      </c>
      <c r="H1124" s="1095"/>
      <c r="I1124" s="780"/>
      <c r="J1124" s="834"/>
      <c r="K1124" s="780"/>
      <c r="L1124" s="780"/>
      <c r="M1124" s="1270"/>
      <c r="N1124" s="400"/>
      <c r="O1124" s="122"/>
      <c r="P1124" s="123"/>
    </row>
    <row r="1125" spans="1:17">
      <c r="A1125" s="1482"/>
      <c r="B1125" s="1482">
        <v>1</v>
      </c>
      <c r="C1125" s="1483">
        <f t="shared" si="195"/>
        <v>6</v>
      </c>
      <c r="D1125" s="1492">
        <f t="shared" ref="D1125:D1183" si="196">D1124+A1125</f>
        <v>8</v>
      </c>
      <c r="E1125" s="1492">
        <f t="shared" ref="E1125:E1183" si="197">E1124+B1125</f>
        <v>5</v>
      </c>
      <c r="F1125" s="1484" t="s">
        <v>11708</v>
      </c>
      <c r="H1125" s="1514" t="s">
        <v>11703</v>
      </c>
      <c r="I1125" s="1515" t="s">
        <v>64</v>
      </c>
      <c r="J1125" s="1516" t="str">
        <f>CONCATENATE(C1125,".",D1125,".",E1125)</f>
        <v>6.8.5</v>
      </c>
      <c r="K1125" s="1516" t="s">
        <v>11717</v>
      </c>
      <c r="L1125" s="1517" t="s">
        <v>25</v>
      </c>
      <c r="M1125" s="1518" t="s">
        <v>11704</v>
      </c>
      <c r="N1125" s="398" t="s">
        <v>11705</v>
      </c>
      <c r="O1125" s="207" t="s">
        <v>11706</v>
      </c>
      <c r="P1125" s="208" t="s">
        <v>27</v>
      </c>
      <c r="Q1125" s="1472" t="s">
        <v>11704</v>
      </c>
    </row>
    <row r="1126" spans="1:17">
      <c r="A1126" s="1482"/>
      <c r="B1126" s="1482"/>
      <c r="C1126" s="1483">
        <f t="shared" si="195"/>
        <v>6</v>
      </c>
      <c r="D1126" s="1492">
        <f t="shared" si="196"/>
        <v>8</v>
      </c>
      <c r="E1126" s="1492">
        <f t="shared" si="197"/>
        <v>5</v>
      </c>
      <c r="F1126" s="1484" t="s">
        <v>11708</v>
      </c>
      <c r="H1126" s="1095"/>
      <c r="I1126" s="780"/>
      <c r="J1126" s="834"/>
      <c r="K1126" s="780"/>
      <c r="L1126" s="780"/>
      <c r="M1126" s="1270"/>
      <c r="N1126" s="400"/>
      <c r="O1126" s="122"/>
      <c r="P1126" s="123"/>
    </row>
    <row r="1127" spans="1:17" ht="33.75">
      <c r="A1127" s="1482"/>
      <c r="B1127" s="1482"/>
      <c r="C1127" s="1483">
        <f t="shared" si="195"/>
        <v>6</v>
      </c>
      <c r="D1127" s="1492">
        <f t="shared" si="196"/>
        <v>8</v>
      </c>
      <c r="E1127" s="1492">
        <f t="shared" si="197"/>
        <v>5</v>
      </c>
      <c r="F1127" s="1484" t="s">
        <v>11708</v>
      </c>
      <c r="G1127" s="862" t="s">
        <v>12251</v>
      </c>
      <c r="H1127" s="823" t="str">
        <f>VLOOKUP(G1127,'SALA ELÉTRICA'!A:M,2,0)</f>
        <v>SINAPI</v>
      </c>
      <c r="I1127" s="700">
        <f>VLOOKUP(G1127,'SALA ELÉTRICA'!A:M,3,0)</f>
        <v>91011</v>
      </c>
      <c r="J1127" s="824"/>
      <c r="K1127" s="790" t="str">
        <f>(IF(H1127="Saneago",VLOOKUP(I1127,'SANEAGO-FEV.2016'!A:B,2,0),IF(H1127="Sinapi",VLOOKUP(I1127,'SINAPI-FEV.2017'!A:D,2,0),IF(H1127="Cotação",VLOOKUP(I1127,COTAÇÃO!A:D,2,0),IF(H1127="Composição",VLOOKUP(I1127,COMPOSIÇÃO!A:D,2,0))))))</f>
        <v>PORTA DE MADEIRA PARA VERNIZ, SEMI-OCA (LEVE OU MÉDIA), 80X210CM, ESPESSURA DE 3,5CM, INCLUSO DOBRADIÇAS - FORNECIMENTO E INSTALAÇÃO. AF_08/2015</v>
      </c>
      <c r="L1127" s="700" t="str">
        <f>(IF(H1127="Saneago",VLOOKUP(I1127,'SANEAGO-FEV.2016'!A:D,3,0),IF(H1127="Sinapi",VLOOKUP(I1127,'SINAPI-FEV.2017'!A:D,3,0),IF(H1127="Cotação",VLOOKUP(I1127,COTAÇÃO!A:D,3,0),IF(H1127="Composição",VLOOKUP(I1127,COMPOSIÇÃO!A:D,3,0))))))</f>
        <v>UN</v>
      </c>
      <c r="M1127" s="870">
        <f>ROUND(VLOOKUP(G1127,'SALA ELÉTRICA'!A:M,13,0),2)</f>
        <v>1</v>
      </c>
      <c r="N1127" s="399">
        <v>0</v>
      </c>
      <c r="O1127" s="102">
        <f t="shared" ref="O1127:O1134" si="198">ROUND(IF(F1127="Serviços",N1127*(1+$O$7),IF(F1127="Materiais",N1127*(1+$O$8))),2)</f>
        <v>0</v>
      </c>
      <c r="P1127" s="101">
        <f t="shared" ref="P1127:P1134" si="199">ROUND(M1127*O1127,2)</f>
        <v>0</v>
      </c>
      <c r="Q1127" s="1472">
        <v>1</v>
      </c>
    </row>
    <row r="1128" spans="1:17" ht="22.5">
      <c r="A1128" s="1482"/>
      <c r="B1128" s="1482"/>
      <c r="C1128" s="1483">
        <f t="shared" si="195"/>
        <v>6</v>
      </c>
      <c r="D1128" s="1492">
        <f t="shared" si="196"/>
        <v>8</v>
      </c>
      <c r="E1128" s="1492">
        <f t="shared" si="197"/>
        <v>5</v>
      </c>
      <c r="F1128" s="1484" t="s">
        <v>11708</v>
      </c>
      <c r="G1128" s="862" t="s">
        <v>12252</v>
      </c>
      <c r="H1128" s="823" t="str">
        <f>VLOOKUP(G1128,'SALA ELÉTRICA'!A:M,2,0)</f>
        <v>SINAPI</v>
      </c>
      <c r="I1128" s="700">
        <f>VLOOKUP(G1128,'SALA ELÉTRICA'!A:M,3,0)</f>
        <v>93188</v>
      </c>
      <c r="J1128" s="824"/>
      <c r="K1128" s="790" t="str">
        <f>(IF(H1128="Saneago",VLOOKUP(I1128,'SANEAGO-FEV.2016'!A:B,2,0),IF(H1128="Sinapi",VLOOKUP(I1128,'SINAPI-FEV.2017'!A:D,2,0),IF(H1128="Cotação",VLOOKUP(I1128,COTAÇÃO!A:D,2,0),IF(H1128="Composição",VLOOKUP(I1128,COMPOSIÇÃO!A:D,2,0))))))</f>
        <v>VERGA MOLDADA IN LOCO EM CONCRETO PARA PORTAS COM ATÉ 1,5 M DE VÃO. AF_03/2016</v>
      </c>
      <c r="L1128" s="700" t="str">
        <f>(IF(H1128="Saneago",VLOOKUP(I1128,'SANEAGO-FEV.2016'!A:D,3,0),IF(H1128="Sinapi",VLOOKUP(I1128,'SINAPI-FEV.2017'!A:D,3,0),IF(H1128="Cotação",VLOOKUP(I1128,COTAÇÃO!A:D,3,0),IF(H1128="Composição",VLOOKUP(I1128,COMPOSIÇÃO!A:D,3,0))))))</f>
        <v>M</v>
      </c>
      <c r="M1128" s="870">
        <f>ROUND(VLOOKUP(G1128,'SALA ELÉTRICA'!A:M,13,0),2)</f>
        <v>0.8</v>
      </c>
      <c r="N1128" s="399">
        <v>0</v>
      </c>
      <c r="O1128" s="102">
        <f t="shared" si="198"/>
        <v>0</v>
      </c>
      <c r="P1128" s="101">
        <f t="shared" si="199"/>
        <v>0</v>
      </c>
      <c r="Q1128" s="1472">
        <v>0.8</v>
      </c>
    </row>
    <row r="1129" spans="1:17" ht="22.5">
      <c r="A1129" s="1482"/>
      <c r="B1129" s="1482"/>
      <c r="C1129" s="1483">
        <f t="shared" si="195"/>
        <v>6</v>
      </c>
      <c r="D1129" s="1492">
        <f t="shared" si="196"/>
        <v>8</v>
      </c>
      <c r="E1129" s="1492">
        <f t="shared" si="197"/>
        <v>5</v>
      </c>
      <c r="F1129" s="1484" t="s">
        <v>11708</v>
      </c>
      <c r="G1129" s="862" t="s">
        <v>12253</v>
      </c>
      <c r="H1129" s="823" t="str">
        <f>VLOOKUP(G1129,'SALA ELÉTRICA'!A:M,2,0)</f>
        <v>SINAPI</v>
      </c>
      <c r="I1129" s="700">
        <f>VLOOKUP(G1129,'SALA ELÉTRICA'!A:M,3,0)</f>
        <v>93196</v>
      </c>
      <c r="J1129" s="824"/>
      <c r="K1129" s="790" t="str">
        <f>(IF(H1129="Saneago",VLOOKUP(I1129,'SANEAGO-FEV.2016'!A:B,2,0),IF(H1129="Sinapi",VLOOKUP(I1129,'SINAPI-FEV.2017'!A:D,2,0),IF(H1129="Cotação",VLOOKUP(I1129,COTAÇÃO!A:D,2,0),IF(H1129="Composição",VLOOKUP(I1129,COMPOSIÇÃO!A:D,2,0))))))</f>
        <v>CONTRAVERGA MOLDADA IN LOCO EM CONCRETO PARA VÃOS DE ATÉ 1,5 M DE COMPRIMENTO. AF_03/2016</v>
      </c>
      <c r="L1129" s="700" t="str">
        <f>(IF(H1129="Saneago",VLOOKUP(I1129,'SANEAGO-FEV.2016'!A:D,3,0),IF(H1129="Sinapi",VLOOKUP(I1129,'SINAPI-FEV.2017'!A:D,3,0),IF(H1129="Cotação",VLOOKUP(I1129,COTAÇÃO!A:D,3,0),IF(H1129="Composição",VLOOKUP(I1129,COMPOSIÇÃO!A:D,3,0))))))</f>
        <v>M</v>
      </c>
      <c r="M1129" s="870">
        <f>ROUND(VLOOKUP(G1129,'SALA ELÉTRICA'!A:M,13,0),2)</f>
        <v>0.8</v>
      </c>
      <c r="N1129" s="399">
        <v>0</v>
      </c>
      <c r="O1129" s="102">
        <f t="shared" si="198"/>
        <v>0</v>
      </c>
      <c r="P1129" s="101">
        <f t="shared" si="199"/>
        <v>0</v>
      </c>
      <c r="Q1129" s="1472">
        <v>0.8</v>
      </c>
    </row>
    <row r="1130" spans="1:17" ht="33.75">
      <c r="A1130" s="1482"/>
      <c r="B1130" s="1482"/>
      <c r="C1130" s="1483">
        <f t="shared" si="195"/>
        <v>6</v>
      </c>
      <c r="D1130" s="1492">
        <f t="shared" si="196"/>
        <v>8</v>
      </c>
      <c r="E1130" s="1492">
        <f t="shared" si="197"/>
        <v>5</v>
      </c>
      <c r="F1130" s="1484" t="s">
        <v>11708</v>
      </c>
      <c r="G1130" s="862" t="s">
        <v>12282</v>
      </c>
      <c r="H1130" s="823" t="str">
        <f>VLOOKUP(G1130,'SALA ELÉTRICA'!A:M,2,0)</f>
        <v>SINAPI</v>
      </c>
      <c r="I1130" s="700">
        <f>VLOOKUP(G1130,'SALA ELÉTRICA'!A:M,3,0)</f>
        <v>94570</v>
      </c>
      <c r="J1130" s="824"/>
      <c r="K1130" s="790" t="str">
        <f>(IF(H1130="Saneago",VLOOKUP(I1130,'SANEAGO-FEV.2016'!A:B,2,0),IF(H1130="Sinapi",VLOOKUP(I1130,'SINAPI-FEV.2017'!A:D,2,0),IF(H1130="Cotação",VLOOKUP(I1130,COTAÇÃO!A:D,2,0),IF(H1130="Composição",VLOOKUP(I1130,COMPOSIÇÃO!A:D,2,0))))))</f>
        <v>JANELA DE ALUMÍNIO DE CORRER, 2 FOLHAS, FIXAÇÃO COM PARAFUSO SOBRE CONTRAMARCO (EXCLUSIVE CONTRAMARCO), COM VIDROS PADRONIZADA. AF_07/2016</v>
      </c>
      <c r="L1130" s="700" t="str">
        <f>(IF(H1130="Saneago",VLOOKUP(I1130,'SANEAGO-FEV.2016'!A:D,3,0),IF(H1130="Sinapi",VLOOKUP(I1130,'SINAPI-FEV.2017'!A:D,3,0),IF(H1130="Cotação",VLOOKUP(I1130,COTAÇÃO!A:D,3,0),IF(H1130="Composição",VLOOKUP(I1130,COMPOSIÇÃO!A:D,3,0))))))</f>
        <v>M2</v>
      </c>
      <c r="M1130" s="870">
        <f>ROUND(VLOOKUP(G1130,'SALA ELÉTRICA'!A:M,13,0),2)</f>
        <v>6.47</v>
      </c>
      <c r="N1130" s="399">
        <v>0</v>
      </c>
      <c r="O1130" s="102">
        <f t="shared" si="198"/>
        <v>0</v>
      </c>
      <c r="P1130" s="101">
        <f t="shared" si="199"/>
        <v>0</v>
      </c>
      <c r="Q1130" s="1472">
        <v>6.47</v>
      </c>
    </row>
    <row r="1131" spans="1:17" ht="22.5">
      <c r="A1131" s="1482"/>
      <c r="B1131" s="1482"/>
      <c r="C1131" s="1483">
        <f t="shared" si="195"/>
        <v>6</v>
      </c>
      <c r="D1131" s="1492">
        <f t="shared" si="196"/>
        <v>8</v>
      </c>
      <c r="E1131" s="1492">
        <f t="shared" si="197"/>
        <v>5</v>
      </c>
      <c r="F1131" s="1484" t="s">
        <v>11708</v>
      </c>
      <c r="G1131" s="862" t="s">
        <v>12283</v>
      </c>
      <c r="H1131" s="823" t="str">
        <f>VLOOKUP(G1131,'SALA ELÉTRICA'!A:M,2,0)</f>
        <v>SINAPI</v>
      </c>
      <c r="I1131" s="700">
        <f>VLOOKUP(G1131,'SALA ELÉTRICA'!A:M,3,0)</f>
        <v>93186</v>
      </c>
      <c r="J1131" s="824"/>
      <c r="K1131" s="790" t="str">
        <f>(IF(H1131="Saneago",VLOOKUP(I1131,'SANEAGO-FEV.2016'!A:B,2,0),IF(H1131="Sinapi",VLOOKUP(I1131,'SINAPI-FEV.2017'!A:D,2,0),IF(H1131="Cotação",VLOOKUP(I1131,COTAÇÃO!A:D,2,0),IF(H1131="Composição",VLOOKUP(I1131,COMPOSIÇÃO!A:D,2,0))))))</f>
        <v>VERGA MOLDADA IN LOCO EM CONCRETO PARA JANELAS COM ATÉ 1,5 M DE VÃO. AF_03/2016</v>
      </c>
      <c r="L1131" s="700" t="str">
        <f>(IF(H1131="Saneago",VLOOKUP(I1131,'SANEAGO-FEV.2016'!A:D,3,0),IF(H1131="Sinapi",VLOOKUP(I1131,'SINAPI-FEV.2017'!A:D,3,0),IF(H1131="Cotação",VLOOKUP(I1131,COTAÇÃO!A:D,3,0),IF(H1131="Composição",VLOOKUP(I1131,COMPOSIÇÃO!A:D,3,0))))))</f>
        <v>M</v>
      </c>
      <c r="M1131" s="870">
        <f>ROUND(VLOOKUP(G1131,'SALA ELÉTRICA'!A:M,13,0),2)</f>
        <v>1.1000000000000001</v>
      </c>
      <c r="N1131" s="399">
        <v>0</v>
      </c>
      <c r="O1131" s="102">
        <f t="shared" si="198"/>
        <v>0</v>
      </c>
      <c r="P1131" s="101">
        <f t="shared" si="199"/>
        <v>0</v>
      </c>
      <c r="Q1131" s="1472">
        <v>1.1000000000000001</v>
      </c>
    </row>
    <row r="1132" spans="1:17" ht="22.5">
      <c r="A1132" s="1482"/>
      <c r="B1132" s="1482"/>
      <c r="C1132" s="1483">
        <f t="shared" si="195"/>
        <v>6</v>
      </c>
      <c r="D1132" s="1492">
        <f t="shared" si="196"/>
        <v>8</v>
      </c>
      <c r="E1132" s="1492">
        <f t="shared" si="197"/>
        <v>5</v>
      </c>
      <c r="F1132" s="1484" t="s">
        <v>11708</v>
      </c>
      <c r="G1132" s="862" t="s">
        <v>12284</v>
      </c>
      <c r="H1132" s="823" t="str">
        <f>VLOOKUP(G1132,'SALA ELÉTRICA'!A:M,2,0)</f>
        <v>SINAPI</v>
      </c>
      <c r="I1132" s="700">
        <f>VLOOKUP(G1132,'SALA ELÉTRICA'!A:M,3,0)</f>
        <v>93187</v>
      </c>
      <c r="J1132" s="824"/>
      <c r="K1132" s="790" t="str">
        <f>(IF(H1132="Saneago",VLOOKUP(I1132,'SANEAGO-FEV.2016'!A:B,2,0),IF(H1132="Sinapi",VLOOKUP(I1132,'SINAPI-FEV.2017'!A:D,2,0),IF(H1132="Cotação",VLOOKUP(I1132,COTAÇÃO!A:D,2,0),IF(H1132="Composição",VLOOKUP(I1132,COMPOSIÇÃO!A:D,2,0))))))</f>
        <v>VERGA MOLDADA IN LOCO EM CONCRETO PARA JANELAS COM MAIS DE 1,5 M DE VÃO. AF_03/2016</v>
      </c>
      <c r="L1132" s="700" t="str">
        <f>(IF(H1132="Saneago",VLOOKUP(I1132,'SANEAGO-FEV.2016'!A:D,3,0),IF(H1132="Sinapi",VLOOKUP(I1132,'SINAPI-FEV.2017'!A:D,3,0),IF(H1132="Cotação",VLOOKUP(I1132,COTAÇÃO!A:D,3,0),IF(H1132="Composição",VLOOKUP(I1132,COMPOSIÇÃO!A:D,3,0))))))</f>
        <v>M</v>
      </c>
      <c r="M1132" s="870">
        <f>ROUND(VLOOKUP(G1132,'SALA ELÉTRICA'!A:M,13,0),2)</f>
        <v>3.65</v>
      </c>
      <c r="N1132" s="399">
        <v>0</v>
      </c>
      <c r="O1132" s="102">
        <f t="shared" si="198"/>
        <v>0</v>
      </c>
      <c r="P1132" s="101">
        <f t="shared" si="199"/>
        <v>0</v>
      </c>
      <c r="Q1132" s="1472">
        <v>3.65</v>
      </c>
    </row>
    <row r="1133" spans="1:17" ht="22.5">
      <c r="A1133" s="1482"/>
      <c r="B1133" s="1482"/>
      <c r="C1133" s="1483">
        <f t="shared" si="195"/>
        <v>6</v>
      </c>
      <c r="D1133" s="1492">
        <f t="shared" si="196"/>
        <v>8</v>
      </c>
      <c r="E1133" s="1492">
        <f t="shared" si="197"/>
        <v>5</v>
      </c>
      <c r="F1133" s="1484" t="s">
        <v>11708</v>
      </c>
      <c r="G1133" s="862" t="s">
        <v>12254</v>
      </c>
      <c r="H1133" s="823" t="str">
        <f>VLOOKUP(G1133,'SALA ELÉTRICA'!A:M,2,0)</f>
        <v>SINAPI</v>
      </c>
      <c r="I1133" s="700">
        <f>VLOOKUP(G1133,'SALA ELÉTRICA'!A:M,3,0)</f>
        <v>93196</v>
      </c>
      <c r="J1133" s="824"/>
      <c r="K1133" s="790" t="str">
        <f>(IF(H1133="Saneago",VLOOKUP(I1133,'SANEAGO-FEV.2016'!A:B,2,0),IF(H1133="Sinapi",VLOOKUP(I1133,'SINAPI-FEV.2017'!A:D,2,0),IF(H1133="Cotação",VLOOKUP(I1133,COTAÇÃO!A:D,2,0),IF(H1133="Composição",VLOOKUP(I1133,COMPOSIÇÃO!A:D,2,0))))))</f>
        <v>CONTRAVERGA MOLDADA IN LOCO EM CONCRETO PARA VÃOS DE ATÉ 1,5 M DE COMPRIMENTO. AF_03/2016</v>
      </c>
      <c r="L1133" s="700" t="str">
        <f>(IF(H1133="Saneago",VLOOKUP(I1133,'SANEAGO-FEV.2016'!A:D,3,0),IF(H1133="Sinapi",VLOOKUP(I1133,'SINAPI-FEV.2017'!A:D,3,0),IF(H1133="Cotação",VLOOKUP(I1133,COTAÇÃO!A:D,3,0),IF(H1133="Composição",VLOOKUP(I1133,COMPOSIÇÃO!A:D,3,0))))))</f>
        <v>M</v>
      </c>
      <c r="M1133" s="870">
        <f>ROUND(VLOOKUP(G1133,'SALA ELÉTRICA'!A:M,13,0),2)</f>
        <v>1.1000000000000001</v>
      </c>
      <c r="N1133" s="399">
        <v>0</v>
      </c>
      <c r="O1133" s="102">
        <f t="shared" si="198"/>
        <v>0</v>
      </c>
      <c r="P1133" s="101">
        <f t="shared" si="199"/>
        <v>0</v>
      </c>
      <c r="Q1133" s="1472">
        <v>1.1000000000000001</v>
      </c>
    </row>
    <row r="1134" spans="1:17" ht="22.5">
      <c r="A1134" s="1482"/>
      <c r="B1134" s="1482"/>
      <c r="C1134" s="1483">
        <f t="shared" si="195"/>
        <v>6</v>
      </c>
      <c r="D1134" s="1492">
        <f t="shared" si="196"/>
        <v>8</v>
      </c>
      <c r="E1134" s="1492">
        <f t="shared" si="197"/>
        <v>5</v>
      </c>
      <c r="F1134" s="1484" t="s">
        <v>11708</v>
      </c>
      <c r="G1134" s="862" t="s">
        <v>12285</v>
      </c>
      <c r="H1134" s="823" t="str">
        <f>VLOOKUP(G1134,'SALA ELÉTRICA'!A:M,2,0)</f>
        <v>SINAPI</v>
      </c>
      <c r="I1134" s="700">
        <f>VLOOKUP(G1134,'SALA ELÉTRICA'!A:M,3,0)</f>
        <v>93197</v>
      </c>
      <c r="J1134" s="824"/>
      <c r="K1134" s="790" t="str">
        <f>(IF(H1134="Saneago",VLOOKUP(I1134,'SANEAGO-FEV.2016'!A:B,2,0),IF(H1134="Sinapi",VLOOKUP(I1134,'SINAPI-FEV.2017'!A:D,2,0),IF(H1134="Cotação",VLOOKUP(I1134,COTAÇÃO!A:D,2,0),IF(H1134="Composição",VLOOKUP(I1134,COMPOSIÇÃO!A:D,2,0))))))</f>
        <v>CONTRAVERGA MOLDADA IN LOCO EM CONCRETO PARA VÃOS DE MAIS DE 1,5 M DE COMPRIMENTO. AF_03/2016</v>
      </c>
      <c r="L1134" s="700" t="str">
        <f>(IF(H1134="Saneago",VLOOKUP(I1134,'SANEAGO-FEV.2016'!A:D,3,0),IF(H1134="Sinapi",VLOOKUP(I1134,'SINAPI-FEV.2017'!A:D,3,0),IF(H1134="Cotação",VLOOKUP(I1134,COTAÇÃO!A:D,3,0),IF(H1134="Composição",VLOOKUP(I1134,COMPOSIÇÃO!A:D,3,0))))))</f>
        <v>M</v>
      </c>
      <c r="M1134" s="870">
        <f>ROUND(VLOOKUP(G1134,'SALA ELÉTRICA'!A:M,13,0),2)</f>
        <v>3.65</v>
      </c>
      <c r="N1134" s="399">
        <v>0</v>
      </c>
      <c r="O1134" s="102">
        <f t="shared" si="198"/>
        <v>0</v>
      </c>
      <c r="P1134" s="101">
        <f t="shared" si="199"/>
        <v>0</v>
      </c>
      <c r="Q1134" s="1472">
        <v>3.65</v>
      </c>
    </row>
    <row r="1135" spans="1:17" ht="15.75" thickBot="1">
      <c r="A1135" s="1482"/>
      <c r="B1135" s="1482"/>
      <c r="C1135" s="1483">
        <f t="shared" si="195"/>
        <v>6</v>
      </c>
      <c r="D1135" s="1492">
        <f t="shared" si="196"/>
        <v>8</v>
      </c>
      <c r="E1135" s="1492">
        <f t="shared" si="197"/>
        <v>5</v>
      </c>
      <c r="F1135" s="1484" t="s">
        <v>11708</v>
      </c>
      <c r="G1135" s="862"/>
      <c r="H1135" s="1095"/>
      <c r="I1135" s="780"/>
      <c r="J1135" s="834"/>
      <c r="K1135" s="780"/>
      <c r="L1135" s="780"/>
      <c r="M1135" s="1270"/>
      <c r="N1135" s="400"/>
      <c r="O1135" s="122"/>
      <c r="P1135" s="123"/>
    </row>
    <row r="1136" spans="1:17" ht="16.5" customHeight="1" thickTop="1" thickBot="1">
      <c r="A1136" s="1482"/>
      <c r="B1136" s="1482"/>
      <c r="C1136" s="1483">
        <f t="shared" si="195"/>
        <v>6</v>
      </c>
      <c r="D1136" s="1492">
        <f t="shared" si="196"/>
        <v>8</v>
      </c>
      <c r="E1136" s="1492">
        <f t="shared" si="197"/>
        <v>5</v>
      </c>
      <c r="F1136" s="1484" t="s">
        <v>11708</v>
      </c>
      <c r="G1136" s="862"/>
      <c r="H1136" s="1653" t="str">
        <f>"TOTAL ITEM: "&amp;J1125 &amp;K1125</f>
        <v>TOTAL ITEM: 6.8.5 ESQUADRIAS</v>
      </c>
      <c r="I1136" s="1654"/>
      <c r="J1136" s="1654"/>
      <c r="K1136" s="1654"/>
      <c r="L1136" s="1654"/>
      <c r="M1136" s="1654"/>
      <c r="N1136" s="1654"/>
      <c r="O1136" s="1654"/>
      <c r="P1136" s="210">
        <f>SUBTOTAL(9,P1127:P1134)</f>
        <v>0</v>
      </c>
    </row>
    <row r="1137" spans="1:17" ht="15.75" thickTop="1">
      <c r="A1137" s="1482"/>
      <c r="B1137" s="1482"/>
      <c r="C1137" s="1483">
        <f t="shared" si="195"/>
        <v>6</v>
      </c>
      <c r="D1137" s="1492">
        <f t="shared" si="196"/>
        <v>8</v>
      </c>
      <c r="E1137" s="1492">
        <f t="shared" si="197"/>
        <v>5</v>
      </c>
      <c r="F1137" s="1484" t="s">
        <v>11708</v>
      </c>
      <c r="G1137" s="862"/>
      <c r="H1137" s="1095"/>
      <c r="I1137" s="780"/>
      <c r="J1137" s="834"/>
      <c r="K1137" s="780"/>
      <c r="L1137" s="780"/>
      <c r="M1137" s="1270"/>
      <c r="N1137" s="400"/>
      <c r="O1137" s="122"/>
      <c r="P1137" s="123"/>
    </row>
    <row r="1138" spans="1:17">
      <c r="A1138" s="1482"/>
      <c r="B1138" s="1482">
        <v>1</v>
      </c>
      <c r="C1138" s="1483">
        <f t="shared" si="195"/>
        <v>6</v>
      </c>
      <c r="D1138" s="1492">
        <f t="shared" si="196"/>
        <v>8</v>
      </c>
      <c r="E1138" s="1492">
        <f t="shared" si="197"/>
        <v>6</v>
      </c>
      <c r="F1138" s="1484" t="s">
        <v>11708</v>
      </c>
      <c r="G1138" s="862"/>
      <c r="H1138" s="1514" t="s">
        <v>11703</v>
      </c>
      <c r="I1138" s="1515" t="s">
        <v>64</v>
      </c>
      <c r="J1138" s="1516" t="str">
        <f>CONCATENATE(C1138,".",D1138,".",E1138)</f>
        <v>6.8.6</v>
      </c>
      <c r="K1138" s="1516" t="s">
        <v>11739</v>
      </c>
      <c r="L1138" s="1517" t="s">
        <v>25</v>
      </c>
      <c r="M1138" s="1518" t="s">
        <v>11704</v>
      </c>
      <c r="N1138" s="398" t="s">
        <v>11705</v>
      </c>
      <c r="O1138" s="207" t="s">
        <v>11706</v>
      </c>
      <c r="P1138" s="208" t="s">
        <v>27</v>
      </c>
      <c r="Q1138" s="1472" t="s">
        <v>11704</v>
      </c>
    </row>
    <row r="1139" spans="1:17">
      <c r="A1139" s="1482"/>
      <c r="B1139" s="1482"/>
      <c r="C1139" s="1483">
        <f t="shared" si="195"/>
        <v>6</v>
      </c>
      <c r="D1139" s="1492">
        <f t="shared" si="196"/>
        <v>8</v>
      </c>
      <c r="E1139" s="1492">
        <f t="shared" si="197"/>
        <v>6</v>
      </c>
      <c r="F1139" s="1484" t="s">
        <v>11708</v>
      </c>
      <c r="G1139" s="959"/>
      <c r="H1139" s="1095"/>
      <c r="I1139" s="780"/>
      <c r="J1139" s="834"/>
      <c r="K1139" s="780"/>
      <c r="L1139" s="780"/>
      <c r="M1139" s="1270"/>
      <c r="N1139" s="400"/>
      <c r="O1139" s="122"/>
      <c r="P1139" s="123"/>
    </row>
    <row r="1140" spans="1:17" ht="45">
      <c r="A1140" s="1482"/>
      <c r="B1140" s="1482"/>
      <c r="C1140" s="1483">
        <f t="shared" si="195"/>
        <v>6</v>
      </c>
      <c r="D1140" s="1492">
        <f t="shared" si="196"/>
        <v>8</v>
      </c>
      <c r="E1140" s="1492">
        <f t="shared" si="197"/>
        <v>6</v>
      </c>
      <c r="F1140" s="1484" t="s">
        <v>11708</v>
      </c>
      <c r="G1140" s="862" t="s">
        <v>12255</v>
      </c>
      <c r="H1140" s="823" t="str">
        <f>VLOOKUP(G1140,'SALA ELÉTRICA'!A:M,2,0)</f>
        <v>SINAPI</v>
      </c>
      <c r="I1140" s="700">
        <f>VLOOKUP(G1140,'SALA ELÉTRICA'!A:M,3,0)</f>
        <v>87513</v>
      </c>
      <c r="J1140" s="824"/>
      <c r="K1140" s="790" t="str">
        <f>(IF(H1140="Saneago",VLOOKUP(I1140,'SANEAGO-FEV.2016'!A:B,2,0),IF(H1140="Sinapi",VLOOKUP(I1140,'SINAPI-FEV.2017'!A:D,2,0),IF(H1140="Cotação",VLOOKUP(I1140,COTAÇÃO!A:D,2,0),IF(H1140="Composição",VLOOKUP(I1140,COMPOSIÇÃO!A:D,2,0))))))</f>
        <v>ALVENARIA DE VEDAÇÃO DE BLOCOS CERÂMICOS FURADOS NA HORIZONTAL DE 11,5X19X19CM (ESPESSURA 11,5CM) DE PAREDES COM ÁREA LÍQUIDA MENOR QUE 6M² COM VÃOS E ARGAMASSA DE ASSENTAMENTO COM PREPARO EM BETONEIRA. AF_06/2014</v>
      </c>
      <c r="L1140" s="700" t="str">
        <f>(IF(H1140="Saneago",VLOOKUP(I1140,'SANEAGO-FEV.2016'!A:D,3,0),IF(H1140="Sinapi",VLOOKUP(I1140,'SINAPI-FEV.2017'!A:D,3,0),IF(H1140="Cotação",VLOOKUP(I1140,COTAÇÃO!A:D,3,0),IF(H1140="Composição",VLOOKUP(I1140,COMPOSIÇÃO!A:D,3,0))))))</f>
        <v>M2</v>
      </c>
      <c r="M1140" s="870">
        <f>ROUND(VLOOKUP(G1140,'SALA ELÉTRICA'!A:M,13,0),2)</f>
        <v>48.75</v>
      </c>
      <c r="N1140" s="399">
        <v>0</v>
      </c>
      <c r="O1140" s="102">
        <f>ROUND(IF(F1140="Serviços",N1140*(1+$O$7),IF(F1140="Materiais",N1140*(1+$O$8))),2)</f>
        <v>0</v>
      </c>
      <c r="P1140" s="101">
        <f>ROUND(M1140*O1140,2)</f>
        <v>0</v>
      </c>
      <c r="Q1140" s="1472">
        <v>48.75</v>
      </c>
    </row>
    <row r="1141" spans="1:17" ht="15.75" thickBot="1">
      <c r="A1141" s="1482"/>
      <c r="B1141" s="1482"/>
      <c r="C1141" s="1483">
        <f t="shared" si="195"/>
        <v>6</v>
      </c>
      <c r="D1141" s="1492">
        <f t="shared" si="196"/>
        <v>8</v>
      </c>
      <c r="E1141" s="1492">
        <f t="shared" si="197"/>
        <v>6</v>
      </c>
      <c r="F1141" s="1484" t="s">
        <v>11708</v>
      </c>
      <c r="H1141" s="1095"/>
      <c r="I1141" s="780"/>
      <c r="J1141" s="834"/>
      <c r="K1141" s="780"/>
      <c r="L1141" s="780"/>
      <c r="M1141" s="1270"/>
      <c r="N1141" s="400"/>
      <c r="O1141" s="122"/>
      <c r="P1141" s="123"/>
    </row>
    <row r="1142" spans="1:17" ht="16.5" customHeight="1" thickTop="1" thickBot="1">
      <c r="A1142" s="1482"/>
      <c r="B1142" s="1482"/>
      <c r="C1142" s="1483">
        <f t="shared" si="195"/>
        <v>6</v>
      </c>
      <c r="D1142" s="1492">
        <f t="shared" si="196"/>
        <v>8</v>
      </c>
      <c r="E1142" s="1492">
        <f t="shared" si="197"/>
        <v>6</v>
      </c>
      <c r="F1142" s="1484" t="s">
        <v>11708</v>
      </c>
      <c r="G1142" s="959"/>
      <c r="H1142" s="1653" t="str">
        <f>"TOTAL ITEM: "&amp;J1138 &amp;K1138</f>
        <v>TOTAL ITEM: 6.8.6 ALVENARIAS</v>
      </c>
      <c r="I1142" s="1654"/>
      <c r="J1142" s="1654"/>
      <c r="K1142" s="1654"/>
      <c r="L1142" s="1654"/>
      <c r="M1142" s="1654"/>
      <c r="N1142" s="1654"/>
      <c r="O1142" s="1654"/>
      <c r="P1142" s="210">
        <f>SUBTOTAL(9,P1140:P1140)</f>
        <v>0</v>
      </c>
    </row>
    <row r="1143" spans="1:17" ht="15.75" thickTop="1">
      <c r="A1143" s="1482"/>
      <c r="B1143" s="1482"/>
      <c r="C1143" s="1483">
        <f t="shared" si="195"/>
        <v>6</v>
      </c>
      <c r="D1143" s="1492">
        <f t="shared" si="196"/>
        <v>8</v>
      </c>
      <c r="E1143" s="1492">
        <f t="shared" si="197"/>
        <v>6</v>
      </c>
      <c r="F1143" s="1484" t="s">
        <v>11708</v>
      </c>
      <c r="G1143" s="959"/>
      <c r="H1143" s="1095"/>
      <c r="I1143" s="780"/>
      <c r="J1143" s="834"/>
      <c r="K1143" s="780"/>
      <c r="L1143" s="780"/>
      <c r="M1143" s="1270"/>
      <c r="N1143" s="400"/>
      <c r="O1143" s="122"/>
      <c r="P1143" s="123"/>
    </row>
    <row r="1144" spans="1:17">
      <c r="A1144" s="1482"/>
      <c r="B1144" s="1482">
        <v>1</v>
      </c>
      <c r="C1144" s="1483">
        <f t="shared" si="195"/>
        <v>6</v>
      </c>
      <c r="D1144" s="1492">
        <f t="shared" si="196"/>
        <v>8</v>
      </c>
      <c r="E1144" s="1492">
        <f t="shared" si="197"/>
        <v>7</v>
      </c>
      <c r="F1144" s="1484" t="s">
        <v>11708</v>
      </c>
      <c r="G1144" s="862"/>
      <c r="H1144" s="1514" t="s">
        <v>11703</v>
      </c>
      <c r="I1144" s="1515" t="s">
        <v>64</v>
      </c>
      <c r="J1144" s="1516" t="str">
        <f>CONCATENATE(C1144,".",D1144,".",E1144)</f>
        <v>6.8.7</v>
      </c>
      <c r="K1144" s="1516" t="s">
        <v>11715</v>
      </c>
      <c r="L1144" s="1517" t="s">
        <v>25</v>
      </c>
      <c r="M1144" s="1518" t="s">
        <v>11704</v>
      </c>
      <c r="N1144" s="398" t="s">
        <v>11705</v>
      </c>
      <c r="O1144" s="207" t="s">
        <v>11706</v>
      </c>
      <c r="P1144" s="208" t="s">
        <v>27</v>
      </c>
      <c r="Q1144" s="1472" t="s">
        <v>11704</v>
      </c>
    </row>
    <row r="1145" spans="1:17">
      <c r="A1145" s="1482"/>
      <c r="B1145" s="1482"/>
      <c r="C1145" s="1483">
        <f t="shared" si="195"/>
        <v>6</v>
      </c>
      <c r="D1145" s="1492">
        <f t="shared" si="196"/>
        <v>8</v>
      </c>
      <c r="E1145" s="1492">
        <f t="shared" si="197"/>
        <v>7</v>
      </c>
      <c r="F1145" s="1484" t="s">
        <v>11708</v>
      </c>
      <c r="G1145" s="862"/>
      <c r="H1145" s="1095"/>
      <c r="I1145" s="780"/>
      <c r="J1145" s="834"/>
      <c r="K1145" s="780"/>
      <c r="L1145" s="780"/>
      <c r="M1145" s="1270"/>
      <c r="N1145" s="400"/>
      <c r="O1145" s="122"/>
      <c r="P1145" s="123"/>
    </row>
    <row r="1146" spans="1:17" ht="33.75">
      <c r="A1146" s="1482"/>
      <c r="B1146" s="1482"/>
      <c r="C1146" s="1483">
        <f t="shared" si="195"/>
        <v>6</v>
      </c>
      <c r="D1146" s="1492">
        <f t="shared" si="196"/>
        <v>8</v>
      </c>
      <c r="E1146" s="1492">
        <f t="shared" si="197"/>
        <v>7</v>
      </c>
      <c r="F1146" s="1484" t="s">
        <v>11708</v>
      </c>
      <c r="G1146" s="862" t="s">
        <v>12256</v>
      </c>
      <c r="H1146" s="823" t="str">
        <f>VLOOKUP(G1146,'SALA ELÉTRICA'!A:M,2,0)</f>
        <v>SINAPI</v>
      </c>
      <c r="I1146" s="700">
        <f>VLOOKUP(G1146,'SALA ELÉTRICA'!A:M,3,0)</f>
        <v>87908</v>
      </c>
      <c r="J1146" s="824"/>
      <c r="K1146" s="790" t="str">
        <f>(IF(H1146="Saneago",VLOOKUP(I1146,'SANEAGO-FEV.2016'!A:B,2,0),IF(H1146="Sinapi",VLOOKUP(I1146,'SINAPI-FEV.2017'!A:D,2,0),IF(H1146="Cotação",VLOOKUP(I1146,COTAÇÃO!A:D,2,0),IF(H1146="Composição",VLOOKUP(I1146,COMPOSIÇÃO!A:D,2,0))))))</f>
        <v>CHAPISCO APLICADO EM ALVENARIA (COM PRESENÇA DE VÃOS) E ESTRUTURAS DE CONCRETO DE FACHADA, COM EQUIPAMENTO DE PROJEÇÃO.  ARGAMASSA TRAÇO 1:3 COM PREPARO EM BETONEIRA 400 L. AF_06/2014</v>
      </c>
      <c r="L1146" s="700" t="str">
        <f>(IF(H1146="Saneago",VLOOKUP(I1146,'SANEAGO-FEV.2016'!A:D,3,0),IF(H1146="Sinapi",VLOOKUP(I1146,'SINAPI-FEV.2017'!A:D,3,0),IF(H1146="Cotação",VLOOKUP(I1146,COTAÇÃO!A:D,3,0),IF(H1146="Composição",VLOOKUP(I1146,COMPOSIÇÃO!A:D,3,0))))))</f>
        <v>M2</v>
      </c>
      <c r="M1146" s="870">
        <f>ROUND(VLOOKUP(G1146,'SALA ELÉTRICA'!A:M,13,0),2)</f>
        <v>95.41</v>
      </c>
      <c r="N1146" s="399">
        <v>0</v>
      </c>
      <c r="O1146" s="102">
        <f t="shared" ref="O1146:O1151" si="200">ROUND(IF(F1146="Serviços",N1146*(1+$O$7),IF(F1146="Materiais",N1146*(1+$O$8))),2)</f>
        <v>0</v>
      </c>
      <c r="P1146" s="101">
        <f t="shared" ref="P1146:P1151" si="201">ROUND(M1146*O1146,2)</f>
        <v>0</v>
      </c>
      <c r="Q1146" s="1472">
        <v>95.41</v>
      </c>
    </row>
    <row r="1147" spans="1:17" ht="33.75">
      <c r="A1147" s="1482"/>
      <c r="B1147" s="1482"/>
      <c r="C1147" s="1483">
        <f t="shared" si="195"/>
        <v>6</v>
      </c>
      <c r="D1147" s="1492">
        <f t="shared" si="196"/>
        <v>8</v>
      </c>
      <c r="E1147" s="1492">
        <f t="shared" si="197"/>
        <v>7</v>
      </c>
      <c r="F1147" s="1484" t="s">
        <v>11708</v>
      </c>
      <c r="G1147" s="862" t="s">
        <v>12257</v>
      </c>
      <c r="H1147" s="823" t="str">
        <f>VLOOKUP(G1147,'SALA ELÉTRICA'!A:M,2,0)</f>
        <v>SINAPI</v>
      </c>
      <c r="I1147" s="700">
        <f>VLOOKUP(G1147,'SALA ELÉTRICA'!A:M,3,0)</f>
        <v>87882</v>
      </c>
      <c r="J1147" s="824"/>
      <c r="K1147" s="790" t="str">
        <f>(IF(H1147="Saneago",VLOOKUP(I1147,'SANEAGO-FEV.2016'!A:B,2,0),IF(H1147="Sinapi",VLOOKUP(I1147,'SINAPI-FEV.2017'!A:D,2,0),IF(H1147="Cotação",VLOOKUP(I1147,COTAÇÃO!A:D,2,0),IF(H1147="Composição",VLOOKUP(I1147,COMPOSIÇÃO!A:D,2,0))))))</f>
        <v>CHAPISCO APLICADO NO TETO, COM ROLO PARA TEXTURA ACRÍLICA. ARGAMASSA TRAÇO 1:4 E EMULSÃO POLIMÉRICA (ADESIVO) COM PREPARO EM BETONEIRA 400L. AF_06/2014</v>
      </c>
      <c r="L1147" s="700" t="str">
        <f>(IF(H1147="Saneago",VLOOKUP(I1147,'SANEAGO-FEV.2016'!A:D,3,0),IF(H1147="Sinapi",VLOOKUP(I1147,'SINAPI-FEV.2017'!A:D,3,0),IF(H1147="Cotação",VLOOKUP(I1147,COTAÇÃO!A:D,3,0),IF(H1147="Composição",VLOOKUP(I1147,COMPOSIÇÃO!A:D,3,0))))))</f>
        <v>M2</v>
      </c>
      <c r="M1147" s="870">
        <f>ROUND(VLOOKUP(G1147,'SALA ELÉTRICA'!A:M,13,0),2)</f>
        <v>21.35</v>
      </c>
      <c r="N1147" s="399">
        <v>0</v>
      </c>
      <c r="O1147" s="102">
        <f t="shared" si="200"/>
        <v>0</v>
      </c>
      <c r="P1147" s="101">
        <f t="shared" si="201"/>
        <v>0</v>
      </c>
      <c r="Q1147" s="1472">
        <v>21.35</v>
      </c>
    </row>
    <row r="1148" spans="1:17" ht="33.75">
      <c r="A1148" s="1482"/>
      <c r="B1148" s="1482"/>
      <c r="C1148" s="1483">
        <f t="shared" si="195"/>
        <v>6</v>
      </c>
      <c r="D1148" s="1492">
        <f t="shared" si="196"/>
        <v>8</v>
      </c>
      <c r="E1148" s="1492">
        <f t="shared" si="197"/>
        <v>7</v>
      </c>
      <c r="F1148" s="1484" t="s">
        <v>11708</v>
      </c>
      <c r="G1148" s="862" t="s">
        <v>12258</v>
      </c>
      <c r="H1148" s="823" t="str">
        <f>VLOOKUP(G1148,'SALA ELÉTRICA'!A:M,2,0)</f>
        <v>SINAPI</v>
      </c>
      <c r="I1148" s="700">
        <f>VLOOKUP(G1148,'SALA ELÉTRICA'!A:M,3,0)</f>
        <v>87296</v>
      </c>
      <c r="J1148" s="824"/>
      <c r="K1148" s="790" t="str">
        <f>(IF(H1148="Saneago",VLOOKUP(I1148,'SANEAGO-FEV.2016'!A:B,2,0),IF(H1148="Sinapi",VLOOKUP(I1148,'SINAPI-FEV.2017'!A:D,2,0),IF(H1148="Cotação",VLOOKUP(I1148,COTAÇÃO!A:D,2,0),IF(H1148="Composição",VLOOKUP(I1148,COMPOSIÇÃO!A:D,2,0))))))</f>
        <v>ARGAMASSA TRAÇO 1:3:12 (CIMENTO, CAL E AREIA MÉDIA) PARA EMBOÇO/MASSA ÚNICA/ASSENTAMENTO DE ALVENARIA DE VEDAÇÃO, PREPARO MECÂNICO COM BETONEIRA 600 L. AF_06/2014</v>
      </c>
      <c r="L1148" s="700" t="str">
        <f>(IF(H1148="Saneago",VLOOKUP(I1148,'SANEAGO-FEV.2016'!A:D,3,0),IF(H1148="Sinapi",VLOOKUP(I1148,'SINAPI-FEV.2017'!A:D,3,0),IF(H1148="Cotação",VLOOKUP(I1148,COTAÇÃO!A:D,3,0),IF(H1148="Composição",VLOOKUP(I1148,COMPOSIÇÃO!A:D,3,0))))))</f>
        <v>M3</v>
      </c>
      <c r="M1148" s="870">
        <f>ROUND(VLOOKUP(G1148,'SALA ELÉTRICA'!A:M,13,0),2)</f>
        <v>4.7699999999999996</v>
      </c>
      <c r="N1148" s="399">
        <v>0</v>
      </c>
      <c r="O1148" s="102">
        <f t="shared" si="200"/>
        <v>0</v>
      </c>
      <c r="P1148" s="101">
        <f t="shared" si="201"/>
        <v>0</v>
      </c>
      <c r="Q1148" s="1472">
        <v>4.7699999999999996</v>
      </c>
    </row>
    <row r="1149" spans="1:17" ht="22.5">
      <c r="A1149" s="1482"/>
      <c r="B1149" s="1482"/>
      <c r="C1149" s="1483">
        <f t="shared" si="195"/>
        <v>6</v>
      </c>
      <c r="D1149" s="1492">
        <f t="shared" si="196"/>
        <v>8</v>
      </c>
      <c r="E1149" s="1492">
        <f t="shared" si="197"/>
        <v>7</v>
      </c>
      <c r="F1149" s="1484" t="s">
        <v>11708</v>
      </c>
      <c r="G1149" s="862" t="s">
        <v>12294</v>
      </c>
      <c r="H1149" s="823" t="str">
        <f>VLOOKUP(G1149,'SALA ELÉTRICA'!A:M,2,0)</f>
        <v>SINAPI</v>
      </c>
      <c r="I1149" s="700">
        <f>VLOOKUP(G1149,'SALA ELÉTRICA'!A:M,3,0)</f>
        <v>88487</v>
      </c>
      <c r="J1149" s="824"/>
      <c r="K1149" s="790" t="str">
        <f>(IF(H1149="Saneago",VLOOKUP(I1149,'SANEAGO-FEV.2016'!A:B,2,0),IF(H1149="Sinapi",VLOOKUP(I1149,'SINAPI-FEV.2017'!A:D,2,0),IF(H1149="Cotação",VLOOKUP(I1149,COTAÇÃO!A:D,2,0),IF(H1149="Composição",VLOOKUP(I1149,COMPOSIÇÃO!A:D,2,0))))))</f>
        <v>APLICAÇÃO MANUAL DE PINTURA COM TINTA LÁTEX PVA EM PAREDES, DUAS DEMÃOS. AF_06/2014</v>
      </c>
      <c r="L1149" s="700" t="str">
        <f>(IF(H1149="Saneago",VLOOKUP(I1149,'SANEAGO-FEV.2016'!A:D,3,0),IF(H1149="Sinapi",VLOOKUP(I1149,'SINAPI-FEV.2017'!A:D,3,0),IF(H1149="Cotação",VLOOKUP(I1149,COTAÇÃO!A:D,3,0),IF(H1149="Composição",VLOOKUP(I1149,COMPOSIÇÃO!A:D,3,0))))))</f>
        <v>M2</v>
      </c>
      <c r="M1149" s="870">
        <f>ROUND(VLOOKUP(G1149,'SALA ELÉTRICA'!A:M,13,0),2)</f>
        <v>54.96</v>
      </c>
      <c r="N1149" s="399">
        <v>0</v>
      </c>
      <c r="O1149" s="102">
        <f t="shared" si="200"/>
        <v>0</v>
      </c>
      <c r="P1149" s="101">
        <f t="shared" si="201"/>
        <v>0</v>
      </c>
      <c r="Q1149" s="1472">
        <v>54.96</v>
      </c>
    </row>
    <row r="1150" spans="1:17" ht="22.5">
      <c r="A1150" s="1482"/>
      <c r="B1150" s="1482"/>
      <c r="C1150" s="1483">
        <f t="shared" si="195"/>
        <v>6</v>
      </c>
      <c r="D1150" s="1492">
        <f t="shared" si="196"/>
        <v>8</v>
      </c>
      <c r="E1150" s="1492">
        <f t="shared" si="197"/>
        <v>7</v>
      </c>
      <c r="F1150" s="1484" t="s">
        <v>11708</v>
      </c>
      <c r="G1150" s="862" t="s">
        <v>12259</v>
      </c>
      <c r="H1150" s="823" t="str">
        <f>VLOOKUP(G1150,'SALA ELÉTRICA'!A:M,2,0)</f>
        <v>SINAPI</v>
      </c>
      <c r="I1150" s="700">
        <f>VLOOKUP(G1150,'SALA ELÉTRICA'!A:M,3,0)</f>
        <v>88489</v>
      </c>
      <c r="J1150" s="824"/>
      <c r="K1150" s="790" t="str">
        <f>(IF(H1150="Saneago",VLOOKUP(I1150,'SANEAGO-FEV.2016'!A:B,2,0),IF(H1150="Sinapi",VLOOKUP(I1150,'SINAPI-FEV.2017'!A:D,2,0),IF(H1150="Cotação",VLOOKUP(I1150,COTAÇÃO!A:D,2,0),IF(H1150="Composição",VLOOKUP(I1150,COMPOSIÇÃO!A:D,2,0))))))</f>
        <v>APLICAÇÃO MANUAL DE PINTURA COM TINTA LÁTEX ACRÍLICA EM PAREDES, DUAS DEMÃOS. AF_06/2014</v>
      </c>
      <c r="L1150" s="700" t="str">
        <f>(IF(H1150="Saneago",VLOOKUP(I1150,'SANEAGO-FEV.2016'!A:D,3,0),IF(H1150="Sinapi",VLOOKUP(I1150,'SINAPI-FEV.2017'!A:D,3,0),IF(H1150="Cotação",VLOOKUP(I1150,COTAÇÃO!A:D,3,0),IF(H1150="Composição",VLOOKUP(I1150,COMPOSIÇÃO!A:D,3,0))))))</f>
        <v>M2</v>
      </c>
      <c r="M1150" s="870">
        <f>ROUND(VLOOKUP(G1150,'SALA ELÉTRICA'!A:M,13,0),2)</f>
        <v>40.46</v>
      </c>
      <c r="N1150" s="399">
        <v>0</v>
      </c>
      <c r="O1150" s="102">
        <f t="shared" si="200"/>
        <v>0</v>
      </c>
      <c r="P1150" s="101">
        <f t="shared" si="201"/>
        <v>0</v>
      </c>
      <c r="Q1150" s="1472">
        <v>40.46</v>
      </c>
    </row>
    <row r="1151" spans="1:17" ht="22.5">
      <c r="A1151" s="1482"/>
      <c r="B1151" s="1482"/>
      <c r="C1151" s="1483">
        <f t="shared" si="195"/>
        <v>6</v>
      </c>
      <c r="D1151" s="1492">
        <f t="shared" si="196"/>
        <v>8</v>
      </c>
      <c r="E1151" s="1492">
        <f t="shared" si="197"/>
        <v>7</v>
      </c>
      <c r="F1151" s="1484" t="s">
        <v>11708</v>
      </c>
      <c r="G1151" s="862" t="s">
        <v>12296</v>
      </c>
      <c r="H1151" s="823" t="str">
        <f>VLOOKUP(G1151,'SALA ELÉTRICA'!A:M,2,0)</f>
        <v>SINAPI</v>
      </c>
      <c r="I1151" s="700">
        <f>VLOOKUP(G1151,'SALA ELÉTRICA'!A:M,3,0)</f>
        <v>88486</v>
      </c>
      <c r="J1151" s="824"/>
      <c r="K1151" s="790" t="str">
        <f>(IF(H1151="Saneago",VLOOKUP(I1151,'SANEAGO-FEV.2016'!A:B,2,0),IF(H1151="Sinapi",VLOOKUP(I1151,'SINAPI-FEV.2017'!A:D,2,0),IF(H1151="Cotação",VLOOKUP(I1151,COTAÇÃO!A:D,2,0),IF(H1151="Composição",VLOOKUP(I1151,COMPOSIÇÃO!A:D,2,0))))))</f>
        <v>APLICAÇÃO MANUAL DE PINTURA COM TINTA LÁTEX PVA EM TETO, DUAS DEMÃOS. AF_06/2014</v>
      </c>
      <c r="L1151" s="700" t="str">
        <f>(IF(H1151="Saneago",VLOOKUP(I1151,'SANEAGO-FEV.2016'!A:D,3,0),IF(H1151="Sinapi",VLOOKUP(I1151,'SINAPI-FEV.2017'!A:D,3,0),IF(H1151="Cotação",VLOOKUP(I1151,COTAÇÃO!A:D,3,0),IF(H1151="Composição",VLOOKUP(I1151,COMPOSIÇÃO!A:D,3,0))))))</f>
        <v>M2</v>
      </c>
      <c r="M1151" s="870">
        <f>ROUND(VLOOKUP(G1151,'SALA ELÉTRICA'!A:M,13,0),2)</f>
        <v>21.35</v>
      </c>
      <c r="N1151" s="399">
        <v>0</v>
      </c>
      <c r="O1151" s="102">
        <f t="shared" si="200"/>
        <v>0</v>
      </c>
      <c r="P1151" s="101">
        <f t="shared" si="201"/>
        <v>0</v>
      </c>
      <c r="Q1151" s="1472">
        <v>21.35</v>
      </c>
    </row>
    <row r="1152" spans="1:17" ht="15.75" thickBot="1">
      <c r="A1152" s="1482"/>
      <c r="B1152" s="1482"/>
      <c r="C1152" s="1483">
        <f t="shared" si="195"/>
        <v>6</v>
      </c>
      <c r="D1152" s="1492">
        <f t="shared" si="196"/>
        <v>8</v>
      </c>
      <c r="E1152" s="1492">
        <f t="shared" si="197"/>
        <v>7</v>
      </c>
      <c r="F1152" s="1484" t="s">
        <v>11708</v>
      </c>
      <c r="G1152" s="862"/>
      <c r="H1152" s="1095"/>
      <c r="I1152" s="780"/>
      <c r="J1152" s="834"/>
      <c r="K1152" s="780"/>
      <c r="L1152" s="780"/>
      <c r="M1152" s="1270"/>
      <c r="N1152" s="400"/>
      <c r="O1152" s="122"/>
      <c r="P1152" s="123"/>
    </row>
    <row r="1153" spans="1:17" ht="16.5" customHeight="1" thickTop="1" thickBot="1">
      <c r="A1153" s="1482"/>
      <c r="B1153" s="1482"/>
      <c r="C1153" s="1483">
        <f t="shared" si="195"/>
        <v>6</v>
      </c>
      <c r="D1153" s="1492">
        <f t="shared" si="196"/>
        <v>8</v>
      </c>
      <c r="E1153" s="1492">
        <f t="shared" si="197"/>
        <v>7</v>
      </c>
      <c r="F1153" s="1484" t="s">
        <v>11708</v>
      </c>
      <c r="G1153" s="862"/>
      <c r="H1153" s="1653" t="str">
        <f>"TOTAL ITEM: "&amp;J1144 &amp;K1144</f>
        <v>TOTAL ITEM: 6.8.7 REVESTIMENTOS E PINTURAS</v>
      </c>
      <c r="I1153" s="1654"/>
      <c r="J1153" s="1654"/>
      <c r="K1153" s="1654"/>
      <c r="L1153" s="1654"/>
      <c r="M1153" s="1654"/>
      <c r="N1153" s="1654"/>
      <c r="O1153" s="1654"/>
      <c r="P1153" s="210">
        <f>SUBTOTAL(9,P1146:P1151)</f>
        <v>0</v>
      </c>
    </row>
    <row r="1154" spans="1:17" ht="15.75" thickTop="1">
      <c r="A1154" s="1482"/>
      <c r="B1154" s="1482"/>
      <c r="C1154" s="1483">
        <f t="shared" si="195"/>
        <v>6</v>
      </c>
      <c r="D1154" s="1492">
        <f t="shared" si="196"/>
        <v>8</v>
      </c>
      <c r="E1154" s="1492">
        <f t="shared" si="197"/>
        <v>7</v>
      </c>
      <c r="F1154" s="1484" t="s">
        <v>11708</v>
      </c>
      <c r="G1154" s="862"/>
      <c r="H1154" s="929"/>
      <c r="I1154" s="1371"/>
      <c r="J1154" s="1022"/>
      <c r="K1154" s="1371"/>
      <c r="L1154" s="1371"/>
      <c r="M1154" s="1536"/>
      <c r="N1154" s="394"/>
      <c r="O1154" s="728"/>
      <c r="P1154" s="95"/>
    </row>
    <row r="1155" spans="1:17">
      <c r="A1155" s="1482"/>
      <c r="B1155" s="1482">
        <v>1</v>
      </c>
      <c r="C1155" s="1483">
        <f t="shared" si="195"/>
        <v>6</v>
      </c>
      <c r="D1155" s="1492">
        <f t="shared" si="196"/>
        <v>8</v>
      </c>
      <c r="E1155" s="1492">
        <f t="shared" si="197"/>
        <v>8</v>
      </c>
      <c r="F1155" s="1484" t="s">
        <v>11708</v>
      </c>
      <c r="G1155" s="862"/>
      <c r="H1155" s="1514" t="s">
        <v>11703</v>
      </c>
      <c r="I1155" s="1515" t="s">
        <v>64</v>
      </c>
      <c r="J1155" s="1516" t="str">
        <f>CONCATENATE(C1155,".",D1155,".",E1155)</f>
        <v>6.8.8</v>
      </c>
      <c r="K1155" s="1516" t="s">
        <v>20203</v>
      </c>
      <c r="L1155" s="1517" t="s">
        <v>25</v>
      </c>
      <c r="M1155" s="1518" t="s">
        <v>11704</v>
      </c>
      <c r="N1155" s="398" t="s">
        <v>11705</v>
      </c>
      <c r="O1155" s="207" t="s">
        <v>11706</v>
      </c>
      <c r="P1155" s="208" t="s">
        <v>27</v>
      </c>
      <c r="Q1155" s="1472" t="s">
        <v>11704</v>
      </c>
    </row>
    <row r="1156" spans="1:17">
      <c r="A1156" s="1482"/>
      <c r="B1156" s="1482"/>
      <c r="C1156" s="1483">
        <f t="shared" si="195"/>
        <v>6</v>
      </c>
      <c r="D1156" s="1492">
        <f t="shared" si="196"/>
        <v>8</v>
      </c>
      <c r="E1156" s="1492">
        <f t="shared" si="197"/>
        <v>8</v>
      </c>
      <c r="F1156" s="1484" t="s">
        <v>11708</v>
      </c>
      <c r="G1156" s="862"/>
      <c r="H1156" s="1095"/>
      <c r="I1156" s="780"/>
      <c r="J1156" s="834"/>
      <c r="K1156" s="780"/>
      <c r="L1156" s="780"/>
      <c r="M1156" s="1270"/>
      <c r="N1156" s="400"/>
      <c r="O1156" s="122"/>
      <c r="P1156" s="123"/>
    </row>
    <row r="1157" spans="1:17" ht="22.5">
      <c r="A1157" s="1482"/>
      <c r="B1157" s="1482"/>
      <c r="C1157" s="1483">
        <f t="shared" si="195"/>
        <v>6</v>
      </c>
      <c r="D1157" s="1492">
        <f t="shared" si="196"/>
        <v>8</v>
      </c>
      <c r="E1157" s="1492">
        <f t="shared" si="197"/>
        <v>8</v>
      </c>
      <c r="F1157" s="1484" t="s">
        <v>11708</v>
      </c>
      <c r="G1157" s="862" t="s">
        <v>12260</v>
      </c>
      <c r="H1157" s="823" t="str">
        <f>VLOOKUP(G1157,'SALA ELÉTRICA'!A:M,2,0)</f>
        <v>SINAPI</v>
      </c>
      <c r="I1157" s="700" t="str">
        <f>VLOOKUP(G1157,'SALA ELÉTRICA'!A:M,3,0)</f>
        <v>73923/3</v>
      </c>
      <c r="J1157" s="824"/>
      <c r="K1157" s="790" t="str">
        <f>(IF(H1157="Saneago",VLOOKUP(I1157,'SANEAGO-FEV.2016'!A:B,2,0),IF(H1157="Sinapi",VLOOKUP(I1157,'SINAPI-FEV.2017'!A:D,2,0),IF(H1157="Cotação",VLOOKUP(I1157,COTAÇÃO!A:D,2,0),IF(H1157="Composição",VLOOKUP(I1157,COMPOSIÇÃO!A:D,2,0))))))</f>
        <v>PISO CIMENTADO TRACO 1:3 (CIMENTO E AREIA), COM ACABAMENTO RUSTICO E FRISADO ESPESSURA 2CM, PREPARO MANUAL</v>
      </c>
      <c r="L1157" s="700" t="str">
        <f>(IF(H1157="Saneago",VLOOKUP(I1157,'SANEAGO-FEV.2016'!A:D,3,0),IF(H1157="Sinapi",VLOOKUP(I1157,'SINAPI-FEV.2017'!A:D,3,0),IF(H1157="Cotação",VLOOKUP(I1157,COTAÇÃO!A:D,3,0),IF(H1157="Composição",VLOOKUP(I1157,COMPOSIÇÃO!A:D,3,0))))))</f>
        <v>M2</v>
      </c>
      <c r="M1157" s="870">
        <f>ROUND(VLOOKUP(G1157,'SALA ELÉTRICA'!A:M,13,0),2)</f>
        <v>18.8</v>
      </c>
      <c r="N1157" s="399">
        <v>0</v>
      </c>
      <c r="O1157" s="102">
        <f>ROUND(IF(F1157="Serviços",N1157*(1+$O$7),IF(F1157="Materiais",N1157*(1+$O$8))),2)</f>
        <v>0</v>
      </c>
      <c r="P1157" s="101">
        <f>ROUND(M1157*O1157,2)</f>
        <v>0</v>
      </c>
      <c r="Q1157" s="1472">
        <v>18.8</v>
      </c>
    </row>
    <row r="1158" spans="1:17" ht="22.5">
      <c r="A1158" s="1482"/>
      <c r="B1158" s="1482"/>
      <c r="C1158" s="1483">
        <f t="shared" si="195"/>
        <v>6</v>
      </c>
      <c r="D1158" s="1492">
        <f t="shared" si="196"/>
        <v>8</v>
      </c>
      <c r="E1158" s="1492">
        <f t="shared" si="197"/>
        <v>8</v>
      </c>
      <c r="F1158" s="1484" t="s">
        <v>11708</v>
      </c>
      <c r="G1158" s="862" t="s">
        <v>12261</v>
      </c>
      <c r="H1158" s="823" t="str">
        <f>VLOOKUP(G1158,'SALA ELÉTRICA'!A:M,2,0)</f>
        <v>SINAPI</v>
      </c>
      <c r="I1158" s="700">
        <f>VLOOKUP(G1158,'SALA ELÉTRICA'!A:M,3,0)</f>
        <v>87247</v>
      </c>
      <c r="J1158" s="824"/>
      <c r="K1158" s="790" t="str">
        <f>(IF(H1158="Saneago",VLOOKUP(I1158,'SANEAGO-FEV.2016'!A:B,2,0),IF(H1158="Sinapi",VLOOKUP(I1158,'SINAPI-FEV.2017'!A:D,2,0),IF(H1158="Cotação",VLOOKUP(I1158,COTAÇÃO!A:D,2,0),IF(H1158="Composição",VLOOKUP(I1158,COMPOSIÇÃO!A:D,2,0))))))</f>
        <v>REVESTIMENTO CERÂMICO PARA PISO COM PLACAS TIPO GRÊS DE DIMENSÕES 35X35 CM APLICADA EM AMBIENTES DE ÁREA ENTRE 5 M2 E 10 M2. AF_06/2014</v>
      </c>
      <c r="L1158" s="700" t="str">
        <f>(IF(H1158="Saneago",VLOOKUP(I1158,'SANEAGO-FEV.2016'!A:D,3,0),IF(H1158="Sinapi",VLOOKUP(I1158,'SINAPI-FEV.2017'!A:D,3,0),IF(H1158="Cotação",VLOOKUP(I1158,COTAÇÃO!A:D,3,0),IF(H1158="Composição",VLOOKUP(I1158,COMPOSIÇÃO!A:D,3,0))))))</f>
        <v>M2</v>
      </c>
      <c r="M1158" s="870">
        <f>ROUND(VLOOKUP(G1158,'SALA ELÉTRICA'!A:M,13,0),2)</f>
        <v>18.8</v>
      </c>
      <c r="N1158" s="399">
        <v>0</v>
      </c>
      <c r="O1158" s="102">
        <f>ROUND(IF(F1158="Serviços",N1158*(1+$O$7),IF(F1158="Materiais",N1158*(1+$O$8))),2)</f>
        <v>0</v>
      </c>
      <c r="P1158" s="101">
        <f>ROUND(M1158*O1158,2)</f>
        <v>0</v>
      </c>
      <c r="Q1158" s="1472">
        <v>18.8</v>
      </c>
    </row>
    <row r="1159" spans="1:17" ht="33.75">
      <c r="A1159" s="1482"/>
      <c r="B1159" s="1482"/>
      <c r="C1159" s="1483">
        <f t="shared" si="195"/>
        <v>6</v>
      </c>
      <c r="D1159" s="1492">
        <f t="shared" si="196"/>
        <v>8</v>
      </c>
      <c r="E1159" s="1492">
        <f t="shared" si="197"/>
        <v>8</v>
      </c>
      <c r="F1159" s="1484" t="s">
        <v>11708</v>
      </c>
      <c r="G1159" s="862" t="s">
        <v>12262</v>
      </c>
      <c r="H1159" s="823" t="str">
        <f>VLOOKUP(G1159,'SALA ELÉTRICA'!A:M,2,0)</f>
        <v>SINAPI</v>
      </c>
      <c r="I1159" s="700">
        <f>VLOOKUP(G1159,'SALA ELÉTRICA'!A:M,3,0)</f>
        <v>94990</v>
      </c>
      <c r="J1159" s="824"/>
      <c r="K1159" s="790" t="str">
        <f>(IF(H1159="Saneago",VLOOKUP(I1159,'SANEAGO-FEV.2016'!A:B,2,0),IF(H1159="Sinapi",VLOOKUP(I1159,'SINAPI-FEV.2017'!A:D,2,0),IF(H1159="Cotação",VLOOKUP(I1159,COTAÇÃO!A:D,2,0),IF(H1159="Composição",VLOOKUP(I1159,COMPOSIÇÃO!A:D,2,0))))))</f>
        <v>EXECUÇÃO DE PASSEIO (CALÇADA) OU PISO DE CONCRETO COM CONCRETO MOLDADO IN LOCO, FEITO EM OBRA, ACABAMENTO CONVENCIONAL, NÃO ARMADO. AF_07/2016</v>
      </c>
      <c r="L1159" s="700" t="str">
        <f>(IF(H1159="Saneago",VLOOKUP(I1159,'SANEAGO-FEV.2016'!A:D,3,0),IF(H1159="Sinapi",VLOOKUP(I1159,'SINAPI-FEV.2017'!A:D,3,0),IF(H1159="Cotação",VLOOKUP(I1159,COTAÇÃO!A:D,3,0),IF(H1159="Composição",VLOOKUP(I1159,COMPOSIÇÃO!A:D,3,0))))))</f>
        <v>M3</v>
      </c>
      <c r="M1159" s="870">
        <f>ROUND(VLOOKUP(G1159,'SALA ELÉTRICA'!A:M,13,0),2)</f>
        <v>0.96</v>
      </c>
      <c r="N1159" s="399">
        <v>0</v>
      </c>
      <c r="O1159" s="102">
        <f>ROUND(IF(F1159="Serviços",N1159*(1+$O$7),IF(F1159="Materiais",N1159*(1+$O$8))),2)</f>
        <v>0</v>
      </c>
      <c r="P1159" s="101">
        <f>ROUND(M1159*O1159,2)</f>
        <v>0</v>
      </c>
      <c r="Q1159" s="1472">
        <v>0.96</v>
      </c>
    </row>
    <row r="1160" spans="1:17" ht="33.75">
      <c r="A1160" s="1482"/>
      <c r="B1160" s="1482"/>
      <c r="C1160" s="1483">
        <f t="shared" si="195"/>
        <v>6</v>
      </c>
      <c r="D1160" s="1492">
        <f t="shared" si="196"/>
        <v>8</v>
      </c>
      <c r="E1160" s="1492">
        <f t="shared" si="197"/>
        <v>8</v>
      </c>
      <c r="F1160" s="1484" t="s">
        <v>11708</v>
      </c>
      <c r="G1160" s="862" t="s">
        <v>12263</v>
      </c>
      <c r="H1160" s="823" t="str">
        <f>VLOOKUP(G1160,'SALA ELÉTRICA'!A:M,2,0)</f>
        <v>SINAPI</v>
      </c>
      <c r="I1160" s="700">
        <f>VLOOKUP(G1160,'SALA ELÉTRICA'!A:M,3,0)</f>
        <v>20231</v>
      </c>
      <c r="J1160" s="824"/>
      <c r="K1160" s="790" t="str">
        <f>(IF(H1160="Saneago",VLOOKUP(I1160,'SANEAGO-FEV.2016'!A:B,2,0),IF(H1160="Sinapi",VLOOKUP(I1160,'SINAPI-FEV.2017'!A:D,2,0),IF(H1160="Cotação",VLOOKUP(I1160,COTAÇÃO!A:D,2,0),IF(H1160="Composição",VLOOKUP(I1160,COMPOSIÇÃO!A:D,2,0))))))</f>
        <v>RODAPE OU RODABANCADA EM GRANITO, POLIDO, TIPO ANDORINHA/ QUARTZ/ CASTELO/ CORUMBA OU OUTROS EQUIVALENTES DA REGIAO, H= 10 CM, E=  *2,0* CM</v>
      </c>
      <c r="L1160" s="700" t="str">
        <f>(IF(H1160="Saneago",VLOOKUP(I1160,'SANEAGO-FEV.2016'!A:D,3,0),IF(H1160="Sinapi",VLOOKUP(I1160,'SINAPI-FEV.2017'!A:D,3,0),IF(H1160="Cotação",VLOOKUP(I1160,COTAÇÃO!A:D,3,0),IF(H1160="Composição",VLOOKUP(I1160,COMPOSIÇÃO!A:D,3,0))))))</f>
        <v>M</v>
      </c>
      <c r="M1160" s="870">
        <f>ROUND(VLOOKUP(G1160,'SALA ELÉTRICA'!A:M,13,0),2)</f>
        <v>19.75</v>
      </c>
      <c r="N1160" s="399">
        <v>0</v>
      </c>
      <c r="O1160" s="102">
        <f>ROUND(IF(F1160="Serviços",N1160*(1+$O$7),IF(F1160="Materiais",N1160*(1+$O$8))),2)</f>
        <v>0</v>
      </c>
      <c r="P1160" s="101">
        <f>ROUND(M1160*O1160,2)</f>
        <v>0</v>
      </c>
      <c r="Q1160" s="1472">
        <v>19.75</v>
      </c>
    </row>
    <row r="1161" spans="1:17" ht="22.5">
      <c r="A1161" s="1482"/>
      <c r="B1161" s="1482"/>
      <c r="C1161" s="1483">
        <f t="shared" si="195"/>
        <v>6</v>
      </c>
      <c r="D1161" s="1492">
        <f t="shared" si="196"/>
        <v>8</v>
      </c>
      <c r="E1161" s="1492">
        <f t="shared" si="197"/>
        <v>8</v>
      </c>
      <c r="F1161" s="1484" t="s">
        <v>11708</v>
      </c>
      <c r="G1161" s="862" t="s">
        <v>12264</v>
      </c>
      <c r="H1161" s="823" t="str">
        <f>VLOOKUP(G1161,'SALA ELÉTRICA'!A:M,2,0)</f>
        <v>SINAPI</v>
      </c>
      <c r="I1161" s="700">
        <f>VLOOKUP(G1161,'SALA ELÉTRICA'!A:M,3,0)</f>
        <v>20232</v>
      </c>
      <c r="J1161" s="824"/>
      <c r="K1161" s="790" t="str">
        <f>(IF(H1161="Saneago",VLOOKUP(I1161,'SANEAGO-FEV.2016'!A:B,2,0),IF(H1161="Sinapi",VLOOKUP(I1161,'SINAPI-FEV.2017'!A:D,2,0),IF(H1161="Cotação",VLOOKUP(I1161,COTAÇÃO!A:D,2,0),IF(H1161="Composição",VLOOKUP(I1161,COMPOSIÇÃO!A:D,2,0))))))</f>
        <v>SOLEIRA EM GRANITO, POLIDO, TIPO ANDORINHA/ QUARTZ/ CASTELO/ CORUMBA OU OUTROS EQUIVALENTES DA REGIAO, L= *15* CM, E=  *2,0* CM</v>
      </c>
      <c r="L1161" s="700" t="str">
        <f>(IF(H1161="Saneago",VLOOKUP(I1161,'SANEAGO-FEV.2016'!A:D,3,0),IF(H1161="Sinapi",VLOOKUP(I1161,'SINAPI-FEV.2017'!A:D,3,0),IF(H1161="Cotação",VLOOKUP(I1161,COTAÇÃO!A:D,3,0),IF(H1161="Composição",VLOOKUP(I1161,COMPOSIÇÃO!A:D,3,0))))))</f>
        <v>M</v>
      </c>
      <c r="M1161" s="870">
        <f>ROUND(VLOOKUP(G1161,'SALA ELÉTRICA'!A:M,13,0),2)</f>
        <v>0.8</v>
      </c>
      <c r="N1161" s="399">
        <v>0</v>
      </c>
      <c r="O1161" s="102">
        <f>ROUND(IF(F1161="Serviços",N1161*(1+$O$7),IF(F1161="Materiais",N1161*(1+$O$8))),2)</f>
        <v>0</v>
      </c>
      <c r="P1161" s="101">
        <f>ROUND(M1161*O1161,2)</f>
        <v>0</v>
      </c>
      <c r="Q1161" s="1472">
        <v>0.8</v>
      </c>
    </row>
    <row r="1162" spans="1:17" ht="15.75" thickBot="1">
      <c r="A1162" s="1482"/>
      <c r="B1162" s="1482"/>
      <c r="C1162" s="1483">
        <f t="shared" si="195"/>
        <v>6</v>
      </c>
      <c r="D1162" s="1492">
        <f t="shared" si="196"/>
        <v>8</v>
      </c>
      <c r="E1162" s="1492">
        <f t="shared" si="197"/>
        <v>8</v>
      </c>
      <c r="F1162" s="1484" t="s">
        <v>11708</v>
      </c>
      <c r="G1162" s="862"/>
      <c r="H1162" s="929"/>
      <c r="I1162" s="1371"/>
      <c r="J1162" s="1022"/>
      <c r="K1162" s="1371"/>
      <c r="L1162" s="1371"/>
      <c r="M1162" s="1536"/>
      <c r="N1162" s="394"/>
      <c r="O1162" s="728"/>
      <c r="P1162" s="95"/>
    </row>
    <row r="1163" spans="1:17" ht="16.5" customHeight="1" thickTop="1" thickBot="1">
      <c r="A1163" s="1482"/>
      <c r="B1163" s="1482"/>
      <c r="C1163" s="1483">
        <f t="shared" si="195"/>
        <v>6</v>
      </c>
      <c r="D1163" s="1492">
        <f t="shared" si="196"/>
        <v>8</v>
      </c>
      <c r="E1163" s="1492">
        <f t="shared" si="197"/>
        <v>8</v>
      </c>
      <c r="F1163" s="1484" t="s">
        <v>11708</v>
      </c>
      <c r="G1163" s="862"/>
      <c r="H1163" s="1653" t="str">
        <f>"TOTAL ITEM: "&amp;J1155 &amp;K1155</f>
        <v>TOTAL ITEM: 6.8.8 REGULARIZAÇÃO DE PISO</v>
      </c>
      <c r="I1163" s="1654"/>
      <c r="J1163" s="1654"/>
      <c r="K1163" s="1654"/>
      <c r="L1163" s="1654"/>
      <c r="M1163" s="1654"/>
      <c r="N1163" s="1654"/>
      <c r="O1163" s="1654"/>
      <c r="P1163" s="210">
        <f>SUBTOTAL(9,P1157:P1161)</f>
        <v>0</v>
      </c>
    </row>
    <row r="1164" spans="1:17" ht="15.75" thickTop="1">
      <c r="A1164" s="1482"/>
      <c r="B1164" s="1482"/>
      <c r="C1164" s="1483">
        <f t="shared" si="195"/>
        <v>6</v>
      </c>
      <c r="D1164" s="1492">
        <f t="shared" si="196"/>
        <v>8</v>
      </c>
      <c r="E1164" s="1492">
        <f t="shared" si="197"/>
        <v>8</v>
      </c>
      <c r="F1164" s="1484" t="s">
        <v>11708</v>
      </c>
      <c r="G1164" s="862"/>
      <c r="H1164" s="929"/>
      <c r="I1164" s="1371"/>
      <c r="J1164" s="1022"/>
      <c r="K1164" s="1371"/>
      <c r="L1164" s="1371"/>
      <c r="M1164" s="1536"/>
      <c r="N1164" s="394"/>
      <c r="O1164" s="728"/>
      <c r="P1164" s="95"/>
    </row>
    <row r="1165" spans="1:17">
      <c r="A1165" s="1482"/>
      <c r="B1165" s="1482">
        <v>1</v>
      </c>
      <c r="C1165" s="1483">
        <f t="shared" si="195"/>
        <v>6</v>
      </c>
      <c r="D1165" s="1492">
        <f t="shared" si="196"/>
        <v>8</v>
      </c>
      <c r="E1165" s="1492">
        <f t="shared" si="197"/>
        <v>9</v>
      </c>
      <c r="F1165" s="1484" t="s">
        <v>11708</v>
      </c>
      <c r="G1165" s="862"/>
      <c r="H1165" s="1514" t="s">
        <v>11703</v>
      </c>
      <c r="I1165" s="1515" t="s">
        <v>64</v>
      </c>
      <c r="J1165" s="1516" t="str">
        <f>CONCATENATE(C1165,".",D1165,".",E1165)</f>
        <v>6.8.9</v>
      </c>
      <c r="K1165" s="1516" t="s">
        <v>11738</v>
      </c>
      <c r="L1165" s="1517" t="s">
        <v>25</v>
      </c>
      <c r="M1165" s="1518" t="s">
        <v>11704</v>
      </c>
      <c r="N1165" s="398" t="s">
        <v>11705</v>
      </c>
      <c r="O1165" s="207" t="s">
        <v>11706</v>
      </c>
      <c r="P1165" s="208" t="s">
        <v>27</v>
      </c>
      <c r="Q1165" s="1472" t="s">
        <v>11704</v>
      </c>
    </row>
    <row r="1166" spans="1:17">
      <c r="A1166" s="1482"/>
      <c r="B1166" s="1482"/>
      <c r="C1166" s="1483">
        <f t="shared" si="195"/>
        <v>6</v>
      </c>
      <c r="D1166" s="1492">
        <f t="shared" si="196"/>
        <v>8</v>
      </c>
      <c r="E1166" s="1492">
        <f t="shared" si="197"/>
        <v>9</v>
      </c>
      <c r="F1166" s="1484" t="s">
        <v>11708</v>
      </c>
      <c r="G1166" s="862"/>
      <c r="H1166" s="1095"/>
      <c r="I1166" s="780"/>
      <c r="J1166" s="834"/>
      <c r="K1166" s="780"/>
      <c r="L1166" s="780"/>
      <c r="M1166" s="1270"/>
      <c r="N1166" s="400"/>
      <c r="O1166" s="122"/>
      <c r="P1166" s="123"/>
    </row>
    <row r="1167" spans="1:17">
      <c r="A1167" s="1482"/>
      <c r="B1167" s="1482"/>
      <c r="C1167" s="1483">
        <f t="shared" si="195"/>
        <v>6</v>
      </c>
      <c r="D1167" s="1492">
        <f t="shared" si="196"/>
        <v>8</v>
      </c>
      <c r="E1167" s="1492">
        <f t="shared" si="197"/>
        <v>9</v>
      </c>
      <c r="F1167" s="1484" t="s">
        <v>11708</v>
      </c>
      <c r="G1167" s="862" t="s">
        <v>12265</v>
      </c>
      <c r="H1167" s="823" t="str">
        <f>VLOOKUP(G1167,'SALA ELÉTRICA'!A:M,2,0)</f>
        <v>Saneago</v>
      </c>
      <c r="I1167" s="700">
        <f>VLOOKUP(G1167,'SALA ELÉTRICA'!A:M,3,0)</f>
        <v>409</v>
      </c>
      <c r="J1167" s="824"/>
      <c r="K1167" s="790" t="str">
        <f>(IF(H1167="Saneago",VLOOKUP(I1167,'SANEAGO-FEV.2016'!A:B,2,0),IF(H1167="Sinapi",VLOOKUP(I1167,'SINAPI-FEV.2017'!A:D,2,0),IF(H1167="Cotação",VLOOKUP(I1167,COTAÇÃO!A:D,2,0),IF(H1167="Composição",VLOOKUP(I1167,COMPOSIÇÃO!A:D,2,0))))))</f>
        <v>COBERTURA  COM TELHAS ONDULADAS  FIBRO CIMENTO ESP.=6 MM</v>
      </c>
      <c r="L1167" s="700" t="str">
        <f>(IF(H1167="Saneago",VLOOKUP(I1167,'SANEAGO-FEV.2016'!A:D,3,0),IF(H1167="Sinapi",VLOOKUP(I1167,'SINAPI-FEV.2017'!A:D,3,0),IF(H1167="Cotação",VLOOKUP(I1167,COTAÇÃO!A:D,3,0),IF(H1167="Composição",VLOOKUP(I1167,COMPOSIÇÃO!A:D,3,0))))))</f>
        <v>M2</v>
      </c>
      <c r="M1167" s="870">
        <f>ROUND(VLOOKUP(G1167,'SALA ELÉTRICA'!A:M,13,0),2)</f>
        <v>18.2</v>
      </c>
      <c r="N1167" s="399">
        <v>0</v>
      </c>
      <c r="O1167" s="102">
        <f t="shared" ref="O1167:O1172" si="202">ROUND(IF(F1167="Serviços",N1167*(1+$O$7),IF(F1167="Materiais",N1167*(1+$O$8))),2)</f>
        <v>0</v>
      </c>
      <c r="P1167" s="101">
        <f t="shared" ref="P1167:P1172" si="203">ROUND(M1167*O1167,2)</f>
        <v>0</v>
      </c>
      <c r="Q1167" s="1472">
        <v>18.2</v>
      </c>
    </row>
    <row r="1168" spans="1:17" ht="33.75">
      <c r="A1168" s="1482"/>
      <c r="B1168" s="1482"/>
      <c r="C1168" s="1483">
        <f t="shared" si="195"/>
        <v>6</v>
      </c>
      <c r="D1168" s="1492">
        <f t="shared" si="196"/>
        <v>8</v>
      </c>
      <c r="E1168" s="1492">
        <f t="shared" si="197"/>
        <v>9</v>
      </c>
      <c r="F1168" s="1484" t="s">
        <v>11708</v>
      </c>
      <c r="G1168" s="862" t="s">
        <v>12266</v>
      </c>
      <c r="H1168" s="823" t="str">
        <f>VLOOKUP(G1168,'SALA ELÉTRICA'!A:M,2,0)</f>
        <v>SINAPI</v>
      </c>
      <c r="I1168" s="700">
        <f>VLOOKUP(G1168,'SALA ELÉTRICA'!A:M,3,0)</f>
        <v>92580</v>
      </c>
      <c r="J1168" s="824"/>
      <c r="K1168" s="790" t="str">
        <f>(IF(H1168="Saneago",VLOOKUP(I1168,'SANEAGO-FEV.2016'!A:B,2,0),IF(H1168="Sinapi",VLOOKUP(I1168,'SINAPI-FEV.2017'!A:D,2,0),IF(H1168="Cotação",VLOOKUP(I1168,COTAÇÃO!A:D,2,0),IF(H1168="Composição",VLOOKUP(I1168,COMPOSIÇÃO!A:D,2,0))))))</f>
        <v>TRAMA DE AÇO COMPOSTA POR TERÇAS PARA TELHADOS DE ATÉ 2 ÁGUAS PARA TELHA ONDULADA DE FIBROCIMENTO, METÁLICA, PLÁSTICA OU TERMOACÚSTICA, INCLUSO TRANSPORTE VERTICAL. AF_12/2015</v>
      </c>
      <c r="L1168" s="700" t="str">
        <f>(IF(H1168="Saneago",VLOOKUP(I1168,'SANEAGO-FEV.2016'!A:D,3,0),IF(H1168="Sinapi",VLOOKUP(I1168,'SINAPI-FEV.2017'!A:D,3,0),IF(H1168="Cotação",VLOOKUP(I1168,COTAÇÃO!A:D,3,0),IF(H1168="Composição",VLOOKUP(I1168,COMPOSIÇÃO!A:D,3,0))))))</f>
        <v>M2</v>
      </c>
      <c r="M1168" s="870">
        <f>ROUND(VLOOKUP(G1168,'SALA ELÉTRICA'!A:M,13,0),2)</f>
        <v>18.2</v>
      </c>
      <c r="N1168" s="399">
        <v>0</v>
      </c>
      <c r="O1168" s="102">
        <f t="shared" si="202"/>
        <v>0</v>
      </c>
      <c r="P1168" s="101">
        <f t="shared" si="203"/>
        <v>0</v>
      </c>
      <c r="Q1168" s="1472">
        <v>18.2</v>
      </c>
    </row>
    <row r="1169" spans="1:24">
      <c r="A1169" s="1482"/>
      <c r="B1169" s="1482"/>
      <c r="C1169" s="1483">
        <f t="shared" si="195"/>
        <v>6</v>
      </c>
      <c r="D1169" s="1492">
        <f t="shared" si="196"/>
        <v>8</v>
      </c>
      <c r="E1169" s="1492">
        <f t="shared" si="197"/>
        <v>9</v>
      </c>
      <c r="F1169" s="1484" t="s">
        <v>11708</v>
      </c>
      <c r="G1169" s="862" t="s">
        <v>12267</v>
      </c>
      <c r="H1169" s="823" t="str">
        <f>VLOOKUP(G1169,'SALA ELÉTRICA'!A:M,2,0)</f>
        <v>SINAPI</v>
      </c>
      <c r="I1169" s="700">
        <f>VLOOKUP(G1169,'SALA ELÉTRICA'!A:M,3,0)</f>
        <v>1109</v>
      </c>
      <c r="J1169" s="824"/>
      <c r="K1169" s="790" t="str">
        <f>(IF(H1169="Saneago",VLOOKUP(I1169,'SANEAGO-FEV.2016'!A:B,2,0),IF(H1169="Sinapi",VLOOKUP(I1169,'SINAPI-FEV.2017'!A:D,2,0),IF(H1169="Cotação",VLOOKUP(I1169,COTAÇÃO!A:D,2,0),IF(H1169="Composição",VLOOKUP(I1169,COMPOSIÇÃO!A:D,2,0))))))</f>
        <v>CALHA QUADRADA DE CHAPA DE ACO GALVANIZADA NUM 26, CORTE 33 CM</v>
      </c>
      <c r="L1169" s="700" t="str">
        <f>(IF(H1169="Saneago",VLOOKUP(I1169,'SANEAGO-FEV.2016'!A:D,3,0),IF(H1169="Sinapi",VLOOKUP(I1169,'SINAPI-FEV.2017'!A:D,3,0),IF(H1169="Cotação",VLOOKUP(I1169,COTAÇÃO!A:D,3,0),IF(H1169="Composição",VLOOKUP(I1169,COMPOSIÇÃO!A:D,3,0))))))</f>
        <v>M</v>
      </c>
      <c r="M1169" s="870">
        <f>ROUND(VLOOKUP(G1169,'SALA ELÉTRICA'!A:M,13,0),2)</f>
        <v>7</v>
      </c>
      <c r="N1169" s="399">
        <v>0</v>
      </c>
      <c r="O1169" s="102">
        <f t="shared" si="202"/>
        <v>0</v>
      </c>
      <c r="P1169" s="101">
        <f t="shared" si="203"/>
        <v>0</v>
      </c>
      <c r="Q1169" s="1472">
        <v>7</v>
      </c>
    </row>
    <row r="1170" spans="1:24" ht="22.5">
      <c r="A1170" s="1482"/>
      <c r="B1170" s="1482"/>
      <c r="C1170" s="1483">
        <f t="shared" si="195"/>
        <v>6</v>
      </c>
      <c r="D1170" s="1492">
        <f t="shared" si="196"/>
        <v>8</v>
      </c>
      <c r="E1170" s="1492">
        <f t="shared" si="197"/>
        <v>9</v>
      </c>
      <c r="F1170" s="1484" t="s">
        <v>11708</v>
      </c>
      <c r="G1170" s="862" t="s">
        <v>12268</v>
      </c>
      <c r="H1170" s="823" t="str">
        <f>VLOOKUP(G1170,'SALA ELÉTRICA'!A:M,2,0)</f>
        <v>SINAPI</v>
      </c>
      <c r="I1170" s="700">
        <f>VLOOKUP(G1170,'SALA ELÉTRICA'!A:M,3,0)</f>
        <v>7219</v>
      </c>
      <c r="J1170" s="824"/>
      <c r="K1170" s="790" t="str">
        <f>(IF(H1170="Saneago",VLOOKUP(I1170,'SANEAGO-FEV.2016'!A:B,2,0),IF(H1170="Sinapi",VLOOKUP(I1170,'SINAPI-FEV.2017'!A:D,2,0),IF(H1170="Cotação",VLOOKUP(I1170,COTAÇÃO!A:D,2,0),IF(H1170="Composição",VLOOKUP(I1170,COMPOSIÇÃO!A:D,2,0))))))</f>
        <v>CUMEEIRA UNIVERSAL PARA TELHA ONDULADA DE FIBROCIMENTO, E = 6 MM, ABA 210 MM, COMPRIMENTO 1100 MM (SEM AMIANTO)</v>
      </c>
      <c r="L1170" s="700" t="str">
        <f>(IF(H1170="Saneago",VLOOKUP(I1170,'SANEAGO-FEV.2016'!A:D,3,0),IF(H1170="Sinapi",VLOOKUP(I1170,'SINAPI-FEV.2017'!A:D,3,0),IF(H1170="Cotação",VLOOKUP(I1170,COTAÇÃO!A:D,3,0),IF(H1170="Composição",VLOOKUP(I1170,COMPOSIÇÃO!A:D,3,0))))))</f>
        <v>UN</v>
      </c>
      <c r="M1170" s="870">
        <f>ROUND(VLOOKUP(G1170,'SALA ELÉTRICA'!A:M,13,0),2)</f>
        <v>7</v>
      </c>
      <c r="N1170" s="399">
        <v>0</v>
      </c>
      <c r="O1170" s="102">
        <f t="shared" si="202"/>
        <v>0</v>
      </c>
      <c r="P1170" s="101">
        <f t="shared" si="203"/>
        <v>0</v>
      </c>
      <c r="Q1170" s="1472">
        <v>7</v>
      </c>
    </row>
    <row r="1171" spans="1:24" ht="25.5" customHeight="1">
      <c r="A1171" s="1482"/>
      <c r="B1171" s="1482"/>
      <c r="C1171" s="1483">
        <f t="shared" si="195"/>
        <v>6</v>
      </c>
      <c r="D1171" s="1492">
        <f t="shared" si="196"/>
        <v>8</v>
      </c>
      <c r="E1171" s="1492">
        <f t="shared" si="197"/>
        <v>9</v>
      </c>
      <c r="F1171" s="1484" t="s">
        <v>11708</v>
      </c>
      <c r="G1171" s="862" t="s">
        <v>12269</v>
      </c>
      <c r="H1171" s="823" t="str">
        <f>VLOOKUP(G1171,'SALA ELÉTRICA'!A:M,2,0)</f>
        <v>SINAPI</v>
      </c>
      <c r="I1171" s="700">
        <f>VLOOKUP(G1171,'SALA ELÉTRICA'!A:M,3,0)</f>
        <v>1113</v>
      </c>
      <c r="J1171" s="824"/>
      <c r="K1171" s="790" t="str">
        <f>(IF(H1171="Saneago",VLOOKUP(I1171,'SANEAGO-FEV.2016'!A:B,2,0),IF(H1171="Sinapi",VLOOKUP(I1171,'SINAPI-FEV.2017'!A:D,2,0),IF(H1171="Cotação",VLOOKUP(I1171,COTAÇÃO!A:D,2,0),IF(H1171="Composição",VLOOKUP(I1171,COMPOSIÇÃO!A:D,2,0))))))</f>
        <v>RUFO EXTERNO/INTERNO DE CHAPA DE ACO GALVANIZADA NUM 26, CORTE 33 CM</v>
      </c>
      <c r="L1171" s="700" t="str">
        <f>(IF(H1171="Saneago",VLOOKUP(I1171,'SANEAGO-FEV.2016'!A:D,3,0),IF(H1171="Sinapi",VLOOKUP(I1171,'SINAPI-FEV.2017'!A:D,3,0),IF(H1171="Cotação",VLOOKUP(I1171,COTAÇÃO!A:D,3,0),IF(H1171="Composição",VLOOKUP(I1171,COMPOSIÇÃO!A:D,3,0))))))</f>
        <v>M</v>
      </c>
      <c r="M1171" s="870">
        <f>ROUND(VLOOKUP(G1171,'SALA ELÉTRICA'!A:M,13,0),2)</f>
        <v>12.5</v>
      </c>
      <c r="N1171" s="399">
        <v>0</v>
      </c>
      <c r="O1171" s="102">
        <f t="shared" si="202"/>
        <v>0</v>
      </c>
      <c r="P1171" s="101">
        <f t="shared" si="203"/>
        <v>0</v>
      </c>
      <c r="Q1171" s="1472">
        <v>12.5</v>
      </c>
    </row>
    <row r="1172" spans="1:24" ht="22.5">
      <c r="A1172" s="1482"/>
      <c r="B1172" s="1482"/>
      <c r="C1172" s="1483">
        <f t="shared" si="195"/>
        <v>6</v>
      </c>
      <c r="D1172" s="1492">
        <f t="shared" si="196"/>
        <v>8</v>
      </c>
      <c r="E1172" s="1492">
        <f t="shared" si="197"/>
        <v>9</v>
      </c>
      <c r="F1172" s="1484" t="s">
        <v>11708</v>
      </c>
      <c r="G1172" s="862" t="s">
        <v>12270</v>
      </c>
      <c r="H1172" s="823" t="str">
        <f>VLOOKUP(G1172,'SALA ELÉTRICA'!A:M,2,0)</f>
        <v>SINAPI</v>
      </c>
      <c r="I1172" s="700">
        <f>VLOOKUP(G1172,'SALA ELÉTRICA'!A:M,3,0)</f>
        <v>73549</v>
      </c>
      <c r="J1172" s="824"/>
      <c r="K1172" s="790" t="str">
        <f>(IF(H1172="Saneago",VLOOKUP(I1172,'SANEAGO-FEV.2016'!A:B,2,0),IF(H1172="Sinapi",VLOOKUP(I1172,'SINAPI-FEV.2017'!A:D,2,0),IF(H1172="Cotação",VLOOKUP(I1172,COTAÇÃO!A:D,2,0),IF(H1172="Composição",VLOOKUP(I1172,COMPOSIÇÃO!A:D,2,0))))))</f>
        <v>ARGAMASSA TRACO 1:4 (CIMENTO E AREIA), PREPARO MANUAL, INCLUSO ADITIVO IMPERMEABILIZANTE</v>
      </c>
      <c r="L1172" s="700" t="str">
        <f>(IF(H1172="Saneago",VLOOKUP(I1172,'SANEAGO-FEV.2016'!A:D,3,0),IF(H1172="Sinapi",VLOOKUP(I1172,'SINAPI-FEV.2017'!A:D,3,0),IF(H1172="Cotação",VLOOKUP(I1172,COTAÇÃO!A:D,3,0),IF(H1172="Composição",VLOOKUP(I1172,COMPOSIÇÃO!A:D,3,0))))))</f>
        <v>M3</v>
      </c>
      <c r="M1172" s="870">
        <f>ROUND(VLOOKUP(G1172,'SALA ELÉTRICA'!A:M,13,0),2)</f>
        <v>0.19</v>
      </c>
      <c r="N1172" s="399">
        <v>0</v>
      </c>
      <c r="O1172" s="102">
        <f t="shared" si="202"/>
        <v>0</v>
      </c>
      <c r="P1172" s="101">
        <f t="shared" si="203"/>
        <v>0</v>
      </c>
      <c r="Q1172" s="1472">
        <v>0.19</v>
      </c>
    </row>
    <row r="1173" spans="1:24" ht="15.75" thickBot="1">
      <c r="A1173" s="1482"/>
      <c r="B1173" s="1482"/>
      <c r="C1173" s="1483">
        <f t="shared" si="195"/>
        <v>6</v>
      </c>
      <c r="D1173" s="1492">
        <f>D1172+A1173</f>
        <v>8</v>
      </c>
      <c r="E1173" s="1492">
        <f>E1172+B1173</f>
        <v>9</v>
      </c>
      <c r="F1173" s="1484" t="s">
        <v>11708</v>
      </c>
      <c r="G1173" s="905"/>
      <c r="H1173" s="929"/>
      <c r="I1173" s="1371"/>
      <c r="J1173" s="1022"/>
      <c r="K1173" s="1371"/>
      <c r="L1173" s="1371"/>
      <c r="M1173" s="1536"/>
      <c r="N1173" s="394"/>
      <c r="O1173" s="728"/>
      <c r="P1173" s="95"/>
    </row>
    <row r="1174" spans="1:24" ht="16.5" customHeight="1" thickTop="1" thickBot="1">
      <c r="A1174" s="1482"/>
      <c r="B1174" s="1482"/>
      <c r="C1174" s="1483">
        <f t="shared" si="195"/>
        <v>6</v>
      </c>
      <c r="D1174" s="1492">
        <f t="shared" si="196"/>
        <v>8</v>
      </c>
      <c r="E1174" s="1492">
        <f t="shared" si="197"/>
        <v>9</v>
      </c>
      <c r="F1174" s="1484" t="s">
        <v>11708</v>
      </c>
      <c r="G1174" s="862"/>
      <c r="H1174" s="1653" t="str">
        <f>"TOTAL ITEM: "&amp;J1165 &amp;K1165</f>
        <v>TOTAL ITEM: 6.8.9 DIVERSOS</v>
      </c>
      <c r="I1174" s="1654"/>
      <c r="J1174" s="1654"/>
      <c r="K1174" s="1654"/>
      <c r="L1174" s="1654"/>
      <c r="M1174" s="1654"/>
      <c r="N1174" s="1654"/>
      <c r="O1174" s="1654"/>
      <c r="P1174" s="210">
        <f>SUBTOTAL(9,P1167:P1172)</f>
        <v>0</v>
      </c>
    </row>
    <row r="1175" spans="1:24" ht="15.75" thickTop="1">
      <c r="A1175" s="1482"/>
      <c r="B1175" s="1482"/>
      <c r="C1175" s="1483">
        <f t="shared" si="195"/>
        <v>6</v>
      </c>
      <c r="D1175" s="1492">
        <f t="shared" si="196"/>
        <v>8</v>
      </c>
      <c r="E1175" s="1492">
        <f t="shared" si="197"/>
        <v>9</v>
      </c>
      <c r="F1175" s="1484" t="s">
        <v>11708</v>
      </c>
      <c r="G1175" s="905"/>
      <c r="H1175" s="929"/>
      <c r="I1175" s="1371"/>
      <c r="J1175" s="1022"/>
      <c r="K1175" s="1371"/>
      <c r="L1175" s="1371"/>
      <c r="M1175" s="1536"/>
      <c r="N1175" s="394"/>
      <c r="O1175" s="728"/>
      <c r="P1175" s="95"/>
    </row>
    <row r="1176" spans="1:24">
      <c r="A1176" s="1482"/>
      <c r="B1176" s="1482">
        <v>1</v>
      </c>
      <c r="C1176" s="1483">
        <f t="shared" si="195"/>
        <v>6</v>
      </c>
      <c r="D1176" s="1492">
        <f t="shared" si="196"/>
        <v>8</v>
      </c>
      <c r="E1176" s="1492">
        <f t="shared" si="197"/>
        <v>10</v>
      </c>
      <c r="F1176" s="1484" t="s">
        <v>11708</v>
      </c>
      <c r="G1176" s="862"/>
      <c r="H1176" s="1514" t="s">
        <v>11703</v>
      </c>
      <c r="I1176" s="1515" t="s">
        <v>64</v>
      </c>
      <c r="J1176" s="1516" t="str">
        <f>CONCATENATE(C1176,".",D1176,".",E1176)</f>
        <v>6.8.10</v>
      </c>
      <c r="K1176" s="1516" t="s">
        <v>11738</v>
      </c>
      <c r="L1176" s="1517" t="s">
        <v>25</v>
      </c>
      <c r="M1176" s="1518" t="s">
        <v>11704</v>
      </c>
      <c r="N1176" s="398" t="s">
        <v>11705</v>
      </c>
      <c r="O1176" s="207" t="s">
        <v>11706</v>
      </c>
      <c r="P1176" s="208" t="s">
        <v>27</v>
      </c>
      <c r="Q1176" s="1472" t="s">
        <v>11704</v>
      </c>
    </row>
    <row r="1177" spans="1:24">
      <c r="A1177" s="1482"/>
      <c r="B1177" s="1482"/>
      <c r="C1177" s="1483">
        <f t="shared" si="195"/>
        <v>6</v>
      </c>
      <c r="D1177" s="1492">
        <f t="shared" si="196"/>
        <v>8</v>
      </c>
      <c r="E1177" s="1492">
        <f t="shared" si="197"/>
        <v>10</v>
      </c>
      <c r="F1177" s="1484" t="s">
        <v>11708</v>
      </c>
      <c r="G1177" s="862"/>
      <c r="H1177" s="1095"/>
      <c r="I1177" s="780"/>
      <c r="J1177" s="834"/>
      <c r="K1177" s="780"/>
      <c r="L1177" s="780"/>
      <c r="M1177" s="1270"/>
      <c r="N1177" s="400"/>
      <c r="O1177" s="122"/>
      <c r="P1177" s="123"/>
    </row>
    <row r="1178" spans="1:24" ht="22.5">
      <c r="A1178" s="1482"/>
      <c r="B1178" s="1482"/>
      <c r="C1178" s="1483">
        <f t="shared" si="195"/>
        <v>6</v>
      </c>
      <c r="D1178" s="1492">
        <f t="shared" si="196"/>
        <v>8</v>
      </c>
      <c r="E1178" s="1492">
        <f t="shared" si="197"/>
        <v>10</v>
      </c>
      <c r="F1178" s="1484" t="s">
        <v>11708</v>
      </c>
      <c r="G1178" s="862" t="s">
        <v>12271</v>
      </c>
      <c r="H1178" s="823" t="str">
        <f>VLOOKUP(G1178,'SALA ELÉTRICA'!A:M,2,0)</f>
        <v>SINAPI</v>
      </c>
      <c r="I1178" s="700">
        <f>VLOOKUP(G1178,'SALA ELÉTRICA'!A:M,3,0)</f>
        <v>11795</v>
      </c>
      <c r="J1178" s="824"/>
      <c r="K1178" s="790" t="str">
        <f>(IF(H1178="Saneago",VLOOKUP(I1178,'SANEAGO-FEV.2016'!A:B,2,0),IF(H1178="Sinapi",VLOOKUP(I1178,'SINAPI-FEV.2017'!A:D,2,0),IF(H1178="Cotação",VLOOKUP(I1178,COTAÇÃO!A:D,2,0),IF(H1178="Composição",VLOOKUP(I1178,COMPOSIÇÃO!A:D,2,0))))))</f>
        <v>GRANITO PARA BANCADA, POLIDO, TIPO ANDORINHA/ QUARTZ/ CASTELO/ CORUMBA OU OUTROS EQUIVALENTES DA REGIAO, E=  *2,5* CM</v>
      </c>
      <c r="L1178" s="700" t="str">
        <f>(IF(H1178="Saneago",VLOOKUP(I1178,'SANEAGO-FEV.2016'!A:D,3,0),IF(H1178="Sinapi",VLOOKUP(I1178,'SINAPI-FEV.2017'!A:D,3,0),IF(H1178="Cotação",VLOOKUP(I1178,COTAÇÃO!A:D,3,0),IF(H1178="Composição",VLOOKUP(I1178,COMPOSIÇÃO!A:D,3,0))))))</f>
        <v>M2</v>
      </c>
      <c r="M1178" s="870">
        <f>ROUND(VLOOKUP(G1178,'SALA ELÉTRICA'!A:M,13,0),2)</f>
        <v>2.25</v>
      </c>
      <c r="N1178" s="399">
        <v>0</v>
      </c>
      <c r="O1178" s="102">
        <f>ROUND(IF(F1178="Serviços",N1178*(1+$O$7),IF(F1178="Materiais",N1178*(1+$O$8))),2)</f>
        <v>0</v>
      </c>
      <c r="P1178" s="101">
        <f>ROUND(M1178*O1178,2)</f>
        <v>0</v>
      </c>
      <c r="Q1178" s="1472">
        <v>2.25</v>
      </c>
    </row>
    <row r="1179" spans="1:24">
      <c r="A1179" s="1482"/>
      <c r="B1179" s="1482"/>
      <c r="C1179" s="1483">
        <f t="shared" si="195"/>
        <v>6</v>
      </c>
      <c r="D1179" s="1492">
        <f t="shared" si="196"/>
        <v>8</v>
      </c>
      <c r="E1179" s="1492">
        <f t="shared" si="197"/>
        <v>10</v>
      </c>
      <c r="F1179" s="1484" t="s">
        <v>11708</v>
      </c>
      <c r="G1179" s="862" t="s">
        <v>12298</v>
      </c>
      <c r="H1179" s="823" t="str">
        <f>VLOOKUP(G1179,'SALA ELÉTRICA'!A:M,2,0)</f>
        <v>COTAÇÃO</v>
      </c>
      <c r="I1179" s="700" t="str">
        <f>VLOOKUP(G1179,'SALA ELÉTRICA'!A:M,3,0)</f>
        <v>CT_ARMARIO</v>
      </c>
      <c r="J1179" s="824"/>
      <c r="K1179" s="790" t="str">
        <f>(IF(H1179="Saneago",VLOOKUP(I1179,'SANEAGO-FEV.2016'!A:B,2,0),IF(H1179="Sinapi",VLOOKUP(I1179,'SINAPI-FEV.2017'!A:D,2,0),IF(H1179="Cotação",VLOOKUP(I1179,COTAÇÃO!A:D,2,0),IF(H1179="Composição",VLOOKUP(I1179,COMPOSIÇÃO!A:D,2,0))))))</f>
        <v>Armario de cozinha</v>
      </c>
      <c r="L1179" s="700" t="str">
        <f>(IF(H1179="Saneago",VLOOKUP(I1179,'SANEAGO-FEV.2016'!A:D,3,0),IF(H1179="Sinapi",VLOOKUP(I1179,'SINAPI-FEV.2017'!A:D,3,0),IF(H1179="Cotação",VLOOKUP(I1179,COTAÇÃO!A:D,3,0),IF(H1179="Composição",VLOOKUP(I1179,COMPOSIÇÃO!A:D,3,0))))))</f>
        <v>UM</v>
      </c>
      <c r="M1179" s="870">
        <f>ROUND(VLOOKUP(G1179,'SALA ELÉTRICA'!A:M,13,0),2)</f>
        <v>1</v>
      </c>
      <c r="N1179" s="399">
        <v>0</v>
      </c>
      <c r="O1179" s="102">
        <f>ROUND(IF(F1179="Serviços",N1179*(1+$O$7),IF(F1179="Materiais",N1179*(1+$O$8))),2)</f>
        <v>0</v>
      </c>
      <c r="P1179" s="101">
        <f>ROUND(M1179*O1179,2)</f>
        <v>0</v>
      </c>
      <c r="Q1179" s="1472">
        <v>1</v>
      </c>
    </row>
    <row r="1180" spans="1:24">
      <c r="A1180" s="1482"/>
      <c r="B1180" s="1482"/>
      <c r="C1180" s="1483">
        <f t="shared" si="195"/>
        <v>6</v>
      </c>
      <c r="D1180" s="1492">
        <f t="shared" si="196"/>
        <v>8</v>
      </c>
      <c r="E1180" s="1492">
        <f t="shared" si="197"/>
        <v>10</v>
      </c>
      <c r="F1180" s="1484" t="s">
        <v>11708</v>
      </c>
      <c r="G1180" s="862" t="s">
        <v>14343</v>
      </c>
      <c r="H1180" s="823" t="str">
        <f>VLOOKUP(G1180,'SALA ELÉTRICA'!A:M,2,0)</f>
        <v>SINAPI</v>
      </c>
      <c r="I1180" s="700">
        <f>VLOOKUP(G1180,'SALA ELÉTRICA'!A:M,3,0)</f>
        <v>9537</v>
      </c>
      <c r="J1180" s="824"/>
      <c r="K1180" s="790" t="str">
        <f>(IF(H1180="Saneago",VLOOKUP(I1180,'SANEAGO-FEV.2016'!A:B,2,0),IF(H1180="Sinapi",VLOOKUP(I1180,'SINAPI-FEV.2017'!A:D,2,0),IF(H1180="Cotação",VLOOKUP(I1180,COTAÇÃO!A:D,2,0),IF(H1180="Composição",VLOOKUP(I1180,COMPOSIÇÃO!A:D,2,0))))))</f>
        <v>LIMPEZA FINAL DA OBRA</v>
      </c>
      <c r="L1180" s="700" t="str">
        <f>(IF(H1180="Saneago",VLOOKUP(I1180,'SANEAGO-FEV.2016'!A:D,3,0),IF(H1180="Sinapi",VLOOKUP(I1180,'SINAPI-FEV.2017'!A:D,3,0),IF(H1180="Cotação",VLOOKUP(I1180,COTAÇÃO!A:D,3,0),IF(H1180="Composição",VLOOKUP(I1180,COMPOSIÇÃO!A:D,3,0))))))</f>
        <v>M2</v>
      </c>
      <c r="M1180" s="870">
        <f>ROUND(VLOOKUP(G1180,'SALA ELÉTRICA'!A:M,13,0),2)</f>
        <v>46.54</v>
      </c>
      <c r="N1180" s="399">
        <v>0</v>
      </c>
      <c r="O1180" s="102">
        <f>ROUND(IF(F1180="Serviços",N1180*(1+$O$7),IF(F1180="Materiais",N1180*(1+$O$8))),2)</f>
        <v>0</v>
      </c>
      <c r="P1180" s="101">
        <f>ROUND(M1180*O1180,2)</f>
        <v>0</v>
      </c>
      <c r="Q1180" s="1472">
        <v>46.54</v>
      </c>
    </row>
    <row r="1181" spans="1:24" ht="15.75" thickBot="1">
      <c r="A1181" s="1482"/>
      <c r="B1181" s="1482"/>
      <c r="C1181" s="1483">
        <f t="shared" si="195"/>
        <v>6</v>
      </c>
      <c r="D1181" s="1492">
        <f>D1180+A1181</f>
        <v>8</v>
      </c>
      <c r="E1181" s="1492">
        <f>E1180+B1181</f>
        <v>10</v>
      </c>
      <c r="F1181" s="1484" t="s">
        <v>11708</v>
      </c>
      <c r="G1181" s="862"/>
      <c r="H1181" s="823"/>
      <c r="I1181" s="700"/>
      <c r="J1181" s="824"/>
      <c r="K1181" s="790"/>
      <c r="L1181" s="700"/>
      <c r="M1181" s="870"/>
      <c r="N1181" s="399"/>
      <c r="O1181" s="102"/>
      <c r="P1181" s="101"/>
    </row>
    <row r="1182" spans="1:24" ht="16.5" customHeight="1" thickTop="1" thickBot="1">
      <c r="A1182" s="1482"/>
      <c r="B1182" s="1482"/>
      <c r="C1182" s="1483">
        <f>C1181</f>
        <v>6</v>
      </c>
      <c r="D1182" s="1492">
        <f>D1181+A1182</f>
        <v>8</v>
      </c>
      <c r="E1182" s="1492">
        <f>E1181+B1182</f>
        <v>10</v>
      </c>
      <c r="F1182" s="1484" t="s">
        <v>11708</v>
      </c>
      <c r="G1182" s="862"/>
      <c r="H1182" s="1653" t="str">
        <f>"TOTAL ITEM: "&amp;J1176 &amp;K1176</f>
        <v>TOTAL ITEM: 6.8.10 DIVERSOS</v>
      </c>
      <c r="I1182" s="1654"/>
      <c r="J1182" s="1654"/>
      <c r="K1182" s="1654"/>
      <c r="L1182" s="1654"/>
      <c r="M1182" s="1654"/>
      <c r="N1182" s="1654"/>
      <c r="O1182" s="1654"/>
      <c r="P1182" s="210">
        <f>SUBTOTAL(9,P1178:P1180)</f>
        <v>0</v>
      </c>
    </row>
    <row r="1183" spans="1:24" ht="16.5" thickTop="1" thickBot="1">
      <c r="A1183" s="1482"/>
      <c r="B1183" s="1482"/>
      <c r="C1183" s="1483">
        <f t="shared" ref="C1183:C1250" si="204">C1182</f>
        <v>6</v>
      </c>
      <c r="D1183" s="1492">
        <f t="shared" si="196"/>
        <v>8</v>
      </c>
      <c r="E1183" s="1492">
        <f t="shared" si="197"/>
        <v>10</v>
      </c>
      <c r="F1183" s="1484" t="s">
        <v>11708</v>
      </c>
      <c r="G1183" s="921"/>
      <c r="H1183" s="929"/>
      <c r="I1183" s="1371"/>
      <c r="J1183" s="1022"/>
      <c r="K1183" s="1371"/>
      <c r="L1183" s="1371"/>
      <c r="M1183" s="1536"/>
      <c r="N1183" s="394"/>
      <c r="O1183" s="728"/>
      <c r="P1183" s="95"/>
    </row>
    <row r="1184" spans="1:24" s="863" customFormat="1" ht="14.25" thickTop="1" thickBot="1">
      <c r="A1184" s="1482">
        <v>1</v>
      </c>
      <c r="B1184" s="1482"/>
      <c r="C1184" s="1483">
        <f t="shared" si="204"/>
        <v>6</v>
      </c>
      <c r="D1184" s="1492">
        <f t="shared" ref="D1184:D1251" si="205">D1183+A1184</f>
        <v>9</v>
      </c>
      <c r="E1184" s="1492">
        <v>0</v>
      </c>
      <c r="F1184" s="1484" t="s">
        <v>11708</v>
      </c>
      <c r="G1184" s="862"/>
      <c r="H1184" s="1510" t="str">
        <f>CONCATENATE(C1184,".",D1184)</f>
        <v>6.9</v>
      </c>
      <c r="I1184" s="1585" t="s">
        <v>13357</v>
      </c>
      <c r="J1184" s="1585"/>
      <c r="K1184" s="1585"/>
      <c r="L1184" s="1511"/>
      <c r="M1184" s="1512"/>
      <c r="N1184" s="397"/>
      <c r="O1184" s="99" t="s">
        <v>11702</v>
      </c>
      <c r="P1184" s="100">
        <f>SUBTOTAL(9,P1186:P1265)</f>
        <v>0</v>
      </c>
      <c r="Q1184" s="1507"/>
      <c r="R1184" s="1525"/>
      <c r="S1184" s="1504"/>
      <c r="V1184" s="1487"/>
      <c r="W1184" s="1325"/>
      <c r="X1184" s="1325"/>
    </row>
    <row r="1185" spans="1:24" s="863" customFormat="1" ht="13.5" thickTop="1">
      <c r="A1185" s="1482"/>
      <c r="B1185" s="1482"/>
      <c r="C1185" s="1483">
        <f t="shared" si="204"/>
        <v>6</v>
      </c>
      <c r="D1185" s="1492">
        <f t="shared" si="205"/>
        <v>9</v>
      </c>
      <c r="E1185" s="1492">
        <f t="shared" ref="E1185:E1251" si="206">E1184+B1185</f>
        <v>0</v>
      </c>
      <c r="F1185" s="1484" t="s">
        <v>11708</v>
      </c>
      <c r="G1185" s="862"/>
      <c r="H1185" s="789"/>
      <c r="I1185" s="915"/>
      <c r="J1185" s="1022"/>
      <c r="K1185" s="915"/>
      <c r="L1185" s="816"/>
      <c r="M1185" s="874"/>
      <c r="N1185" s="394"/>
      <c r="O1185" s="98"/>
      <c r="P1185" s="95"/>
      <c r="Q1185" s="1507"/>
      <c r="R1185" s="1525"/>
      <c r="S1185" s="1504"/>
      <c r="V1185" s="1325"/>
      <c r="W1185" s="1325"/>
      <c r="X1185" s="1325"/>
    </row>
    <row r="1186" spans="1:24">
      <c r="A1186" s="1482"/>
      <c r="B1186" s="1482">
        <v>1</v>
      </c>
      <c r="C1186" s="1483">
        <f t="shared" si="204"/>
        <v>6</v>
      </c>
      <c r="D1186" s="1492">
        <f t="shared" si="205"/>
        <v>9</v>
      </c>
      <c r="E1186" s="1492">
        <f t="shared" si="206"/>
        <v>1</v>
      </c>
      <c r="F1186" s="1484" t="s">
        <v>11708</v>
      </c>
      <c r="H1186" s="1514" t="s">
        <v>11703</v>
      </c>
      <c r="I1186" s="1515" t="s">
        <v>64</v>
      </c>
      <c r="J1186" s="1516" t="str">
        <f>CONCATENATE(C1186,".",D1186,".",E1186)</f>
        <v>6.9.1</v>
      </c>
      <c r="K1186" s="1516" t="s">
        <v>1225</v>
      </c>
      <c r="L1186" s="1517" t="s">
        <v>25</v>
      </c>
      <c r="M1186" s="1518" t="s">
        <v>11704</v>
      </c>
      <c r="N1186" s="398" t="s">
        <v>11705</v>
      </c>
      <c r="O1186" s="207" t="s">
        <v>11706</v>
      </c>
      <c r="P1186" s="208" t="s">
        <v>27</v>
      </c>
      <c r="Q1186" s="1472" t="s">
        <v>11704</v>
      </c>
    </row>
    <row r="1187" spans="1:24">
      <c r="A1187" s="1482"/>
      <c r="B1187" s="1482"/>
      <c r="C1187" s="1483">
        <f t="shared" si="204"/>
        <v>6</v>
      </c>
      <c r="D1187" s="1492">
        <f t="shared" si="205"/>
        <v>9</v>
      </c>
      <c r="E1187" s="1492">
        <f t="shared" si="206"/>
        <v>1</v>
      </c>
      <c r="F1187" s="1484" t="s">
        <v>11708</v>
      </c>
      <c r="H1187" s="1095"/>
      <c r="I1187" s="780"/>
      <c r="J1187" s="834"/>
      <c r="K1187" s="780"/>
      <c r="L1187" s="780"/>
      <c r="M1187" s="1270"/>
      <c r="N1187" s="400"/>
      <c r="O1187" s="122"/>
      <c r="P1187" s="123"/>
    </row>
    <row r="1188" spans="1:24" ht="22.5">
      <c r="A1188" s="1482"/>
      <c r="B1188" s="1482"/>
      <c r="C1188" s="1483">
        <f t="shared" si="204"/>
        <v>6</v>
      </c>
      <c r="D1188" s="1492">
        <f t="shared" si="205"/>
        <v>9</v>
      </c>
      <c r="E1188" s="1492">
        <f t="shared" si="206"/>
        <v>1</v>
      </c>
      <c r="F1188" s="1484" t="s">
        <v>11708</v>
      </c>
      <c r="G1188" s="862" t="s">
        <v>20483</v>
      </c>
      <c r="H1188" s="823" t="str">
        <f>VLOOKUP(G1188,'CASA DE CONTROLE'!A:M,2,0)</f>
        <v>SINAPI</v>
      </c>
      <c r="I1188" s="700">
        <f>VLOOKUP(G1188,'CASA DE CONTROLE'!A:M,3,0)</f>
        <v>92452</v>
      </c>
      <c r="J1188" s="824"/>
      <c r="K1188" s="790" t="str">
        <f>(IF(H1188="Saneago",VLOOKUP(I1188,'SANEAGO-FEV.2016'!A:B,2,0),IF(H1188="Sinapi",VLOOKUP(I1188,'SINAPI-FEV.2017'!A:D,2,0),IF(H1188="Cotação",VLOOKUP(I1188,COTAÇÃO!A:D,2,0),IF(H1188="Composição",VLOOKUP(I1188,COMPOSIÇÃO!A:D,2,0))))))</f>
        <v>MONTAGEM E DESMONTAGEM DE FÔRMA DE VIGA, ESCORAMENTO METÁLICO, PÉ-DIREITO SIMPLES, EM CHAPA DE MADEIRA RESINADA, 2 UTILIZAÇÕES. AF_12/2015</v>
      </c>
      <c r="L1188" s="700" t="str">
        <f>(IF(H1188="Saneago",VLOOKUP(I1188,'SANEAGO-FEV.2016'!A:D,3,0),IF(H1188="Sinapi",VLOOKUP(I1188,'SINAPI-FEV.2017'!A:D,3,0),IF(H1188="Cotação",VLOOKUP(I1188,COTAÇÃO!A:D,3,0),IF(H1188="Composição",VLOOKUP(I1188,COMPOSIÇÃO!A:D,3,0))))))</f>
        <v>M2</v>
      </c>
      <c r="M1188" s="870">
        <f>ROUND(VLOOKUP(G1188,'CASA DE CONTROLE'!A:M,13,0),2)</f>
        <v>20.98</v>
      </c>
      <c r="N1188" s="399">
        <v>0</v>
      </c>
      <c r="O1188" s="102">
        <f t="shared" ref="O1188:O1197" si="207">ROUND(IF(F1188="Serviços",N1188*(1+$O$7),IF(F1188="Materiais",N1188*(1+$O$8))),2)</f>
        <v>0</v>
      </c>
      <c r="P1188" s="101">
        <f t="shared" ref="P1188:P1197" si="208">ROUND(M1188*O1188,2)</f>
        <v>0</v>
      </c>
      <c r="Q1188" s="1472">
        <v>41.96</v>
      </c>
    </row>
    <row r="1189" spans="1:24" ht="33.75">
      <c r="A1189" s="1482"/>
      <c r="B1189" s="1482"/>
      <c r="C1189" s="1483">
        <f t="shared" si="204"/>
        <v>6</v>
      </c>
      <c r="D1189" s="1492">
        <f>D1188+A1189</f>
        <v>9</v>
      </c>
      <c r="E1189" s="1492">
        <f>E1188+B1189</f>
        <v>1</v>
      </c>
      <c r="F1189" s="1484" t="s">
        <v>11708</v>
      </c>
      <c r="G1189" s="862" t="s">
        <v>20484</v>
      </c>
      <c r="H1189" s="823" t="str">
        <f>VLOOKUP(G1189,'CASA DE CONTROLE'!A:M,2,0)</f>
        <v>SINAPI</v>
      </c>
      <c r="I1189" s="700">
        <f>VLOOKUP(G1189,'CASA DE CONTROLE'!A:M,3,0)</f>
        <v>92510</v>
      </c>
      <c r="J1189" s="824"/>
      <c r="K1189" s="790" t="str">
        <f>(IF(H1189="Saneago",VLOOKUP(I1189,'SANEAGO-FEV.2016'!A:B,2,0),IF(H1189="Sinapi",VLOOKUP(I1189,'SINAPI-FEV.2017'!A:D,2,0),IF(H1189="Cotação",VLOOKUP(I1189,COTAÇÃO!A:D,2,0),IF(H1189="Composição",VLOOKUP(I1189,COMPOSIÇÃO!A:D,2,0))))))</f>
        <v>MONTAGEM E DESMONTAGEM DE FÔRMA DE LAJE MACIÇA COM ÁREA MÉDIA MAIOR QUE 20 M², PÉ-DIREITO SIMPLES, EM CHAPA DE MADEIRA COMPENSADA RESINADA, 2 UTILIZAÇÕES. AF_12/2015</v>
      </c>
      <c r="L1189" s="700" t="str">
        <f>(IF(H1189="Saneago",VLOOKUP(I1189,'SANEAGO-FEV.2016'!A:D,3,0),IF(H1189="Sinapi",VLOOKUP(I1189,'SINAPI-FEV.2017'!A:D,3,0),IF(H1189="Cotação",VLOOKUP(I1189,COTAÇÃO!A:D,3,0),IF(H1189="Composição",VLOOKUP(I1189,COMPOSIÇÃO!A:D,3,0))))))</f>
        <v>M2</v>
      </c>
      <c r="M1189" s="870">
        <f>ROUND(VLOOKUP(G1189,'CASA DE CONTROLE'!A:M,13,0),2)</f>
        <v>34.6</v>
      </c>
      <c r="N1189" s="399">
        <v>0</v>
      </c>
      <c r="O1189" s="102">
        <f t="shared" si="207"/>
        <v>0</v>
      </c>
      <c r="P1189" s="101">
        <f t="shared" si="208"/>
        <v>0</v>
      </c>
      <c r="Q1189" s="1472">
        <v>69.19</v>
      </c>
    </row>
    <row r="1190" spans="1:24" ht="22.5">
      <c r="A1190" s="1482"/>
      <c r="B1190" s="1482"/>
      <c r="C1190" s="1483">
        <f>C1188</f>
        <v>6</v>
      </c>
      <c r="D1190" s="1492">
        <f t="shared" ref="D1190:D1198" si="209">D1188+A1190</f>
        <v>9</v>
      </c>
      <c r="E1190" s="1492">
        <f t="shared" ref="E1190:E1198" si="210">E1188+B1190</f>
        <v>1</v>
      </c>
      <c r="F1190" s="1484" t="s">
        <v>11708</v>
      </c>
      <c r="G1190" s="862" t="s">
        <v>12122</v>
      </c>
      <c r="H1190" s="823" t="str">
        <f>VLOOKUP(G1190,'CASA DE CONTROLE'!A:M,2,0)</f>
        <v>SINAPI</v>
      </c>
      <c r="I1190" s="700">
        <f>VLOOKUP(G1190,'CASA DE CONTROLE'!A:M,3,0)</f>
        <v>34493</v>
      </c>
      <c r="J1190" s="824"/>
      <c r="K1190" s="790" t="str">
        <f>(IF(H1190="Saneago",VLOOKUP(I1190,'SANEAGO-FEV.2016'!A:B,2,0),IF(H1190="Sinapi",VLOOKUP(I1190,'SINAPI-FEV.2017'!A:D,2,0),IF(H1190="Cotação",VLOOKUP(I1190,COTAÇÃO!A:D,2,0),IF(H1190="Composição",VLOOKUP(I1190,COMPOSIÇÃO!A:D,2,0))))))</f>
        <v>CONCRETO USINADO BOMBEAVEL, CLASSE DE RESISTENCIA C25, COM BRITA 0 E 1, SLUMP = 100 +/- 20 MM, EXCLUI SERVICO DE BOMBEAMENTO (NBR 8953)</v>
      </c>
      <c r="L1190" s="700" t="str">
        <f>(IF(H1190="Saneago",VLOOKUP(I1190,'SANEAGO-FEV.2016'!A:D,3,0),IF(H1190="Sinapi",VLOOKUP(I1190,'SINAPI-FEV.2017'!A:D,3,0),IF(H1190="Cotação",VLOOKUP(I1190,COTAÇÃO!A:D,3,0),IF(H1190="Composição",VLOOKUP(I1190,COMPOSIÇÃO!A:D,3,0))))))</f>
        <v>M3</v>
      </c>
      <c r="M1190" s="870">
        <f>ROUND(VLOOKUP(G1190,'CASA DE CONTROLE'!A:M,13,0),2)</f>
        <v>8.8000000000000007</v>
      </c>
      <c r="N1190" s="399">
        <v>0</v>
      </c>
      <c r="O1190" s="102">
        <f t="shared" si="207"/>
        <v>0</v>
      </c>
      <c r="P1190" s="101">
        <f t="shared" si="208"/>
        <v>0</v>
      </c>
      <c r="Q1190" s="1472">
        <v>8.8000000000000007</v>
      </c>
    </row>
    <row r="1191" spans="1:24" ht="22.5">
      <c r="A1191" s="1482"/>
      <c r="B1191" s="1482"/>
      <c r="C1191" s="1483">
        <f t="shared" ref="C1191:C1198" si="211">C1189</f>
        <v>6</v>
      </c>
      <c r="D1191" s="1492">
        <f t="shared" si="209"/>
        <v>9</v>
      </c>
      <c r="E1191" s="1492">
        <f t="shared" si="210"/>
        <v>1</v>
      </c>
      <c r="F1191" s="1484" t="s">
        <v>11708</v>
      </c>
      <c r="G1191" s="862" t="s">
        <v>20487</v>
      </c>
      <c r="H1191" s="823" t="str">
        <f>VLOOKUP(G1191,'CASA DE CONTROLE'!A:M,2,0)</f>
        <v>SINAPI</v>
      </c>
      <c r="I1191" s="700">
        <f>VLOOKUP(G1191,'CASA DE CONTROLE'!A:M,3,0)</f>
        <v>92874</v>
      </c>
      <c r="J1191" s="824"/>
      <c r="K1191" s="790" t="str">
        <f>(IF(H1191="Saneago",VLOOKUP(I1191,'SANEAGO-FEV.2016'!A:B,2,0),IF(H1191="Sinapi",VLOOKUP(I1191,'SINAPI-FEV.2017'!A:D,2,0),IF(H1191="Cotação",VLOOKUP(I1191,COTAÇÃO!A:D,2,0),IF(H1191="Composição",VLOOKUP(I1191,COMPOSIÇÃO!A:D,2,0))))))</f>
        <v>LANÇAMENTO COM USO DE BOMBA, ADENSAMENTO E ACABAMENTO DE CONCRETO EM ESTRUTURAS. AF_12/2015</v>
      </c>
      <c r="L1191" s="700" t="str">
        <f>(IF(H1191="Saneago",VLOOKUP(I1191,'SANEAGO-FEV.2016'!A:D,3,0),IF(H1191="Sinapi",VLOOKUP(I1191,'SINAPI-FEV.2017'!A:D,3,0),IF(H1191="Cotação",VLOOKUP(I1191,COTAÇÃO!A:D,3,0),IF(H1191="Composição",VLOOKUP(I1191,COMPOSIÇÃO!A:D,3,0))))))</f>
        <v>M3</v>
      </c>
      <c r="M1191" s="870">
        <f>ROUND(VLOOKUP(G1191,'CASA DE CONTROLE'!A:M,13,0),2)</f>
        <v>8.8000000000000007</v>
      </c>
      <c r="N1191" s="399">
        <v>0</v>
      </c>
      <c r="O1191" s="102">
        <f t="shared" si="207"/>
        <v>0</v>
      </c>
      <c r="P1191" s="101">
        <f t="shared" si="208"/>
        <v>0</v>
      </c>
      <c r="Q1191" s="1472">
        <v>8.8000000000000007</v>
      </c>
    </row>
    <row r="1192" spans="1:24" ht="45">
      <c r="A1192" s="1482"/>
      <c r="B1192" s="1482"/>
      <c r="C1192" s="1483">
        <f t="shared" si="211"/>
        <v>6</v>
      </c>
      <c r="D1192" s="1492">
        <f t="shared" si="209"/>
        <v>9</v>
      </c>
      <c r="E1192" s="1492">
        <f t="shared" si="210"/>
        <v>1</v>
      </c>
      <c r="F1192" s="1484" t="s">
        <v>11708</v>
      </c>
      <c r="G1192" s="912" t="s">
        <v>20473</v>
      </c>
      <c r="H1192" s="823" t="str">
        <f>VLOOKUP(G1192,'CASA DE CONTROLE'!A:M,2,0)</f>
        <v>SINAPI</v>
      </c>
      <c r="I1192" s="700">
        <f>VLOOKUP(G1192,'CASA DE CONTROLE'!A:M,3,0)</f>
        <v>92915</v>
      </c>
      <c r="J1192" s="824"/>
      <c r="K1192" s="790" t="str">
        <f>(IF(H1192="Saneago",VLOOKUP(I1192,'SANEAGO-FEV.2016'!A:B,2,0),IF(H1192="Sinapi",VLOOKUP(I1192,'SINAPI-FEV.2017'!A:D,2,0),IF(H1192="Cotação",VLOOKUP(I1192,COTAÇÃO!A:D,2,0),IF(H1192="Composição",VLOOKUP(I1192,COMPOSIÇÃO!A:D,2,0))))))</f>
        <v>ARMAÇÃO DE ESTRUTURAS DE CONCRETO ARMADO, EXCETO VIGAS, PILARES, LAJES E FUNDAÇÕES PROFUNDAS (DE EDIFÍCIOS DE MÚLTIPLOS PAVIMENTOS, EDIFICAÇÃO TÉRREA OU SOBRADO), UTILIZANDO AÇO CA-60 DE 5.0 MM - MONTAGEM. AF_12/2015</v>
      </c>
      <c r="L1192" s="700" t="str">
        <f>(IF(H1192="Saneago",VLOOKUP(I1192,'SANEAGO-FEV.2016'!A:D,3,0),IF(H1192="Sinapi",VLOOKUP(I1192,'SINAPI-FEV.2017'!A:D,3,0),IF(H1192="Cotação",VLOOKUP(I1192,COTAÇÃO!A:D,3,0),IF(H1192="Composição",VLOOKUP(I1192,COMPOSIÇÃO!A:D,3,0))))))</f>
        <v>KG</v>
      </c>
      <c r="M1192" s="870">
        <f>ROUND(VLOOKUP(G1192,'CASA DE CONTROLE'!A:M,13,0),2)</f>
        <v>45.21</v>
      </c>
      <c r="N1192" s="399">
        <v>0</v>
      </c>
      <c r="O1192" s="102">
        <f t="shared" si="207"/>
        <v>0</v>
      </c>
      <c r="P1192" s="101">
        <f t="shared" si="208"/>
        <v>0</v>
      </c>
      <c r="Q1192" s="1472">
        <v>45.21</v>
      </c>
    </row>
    <row r="1193" spans="1:24" ht="45">
      <c r="A1193" s="1482"/>
      <c r="B1193" s="1482"/>
      <c r="C1193" s="1483">
        <f t="shared" si="211"/>
        <v>6</v>
      </c>
      <c r="D1193" s="1492">
        <f t="shared" si="209"/>
        <v>9</v>
      </c>
      <c r="E1193" s="1492">
        <f t="shared" si="210"/>
        <v>1</v>
      </c>
      <c r="F1193" s="1484" t="s">
        <v>11708</v>
      </c>
      <c r="G1193" s="912" t="s">
        <v>20474</v>
      </c>
      <c r="H1193" s="823" t="str">
        <f>VLOOKUP(G1193,'CASA DE CONTROLE'!A:M,2,0)</f>
        <v>SINAPI</v>
      </c>
      <c r="I1193" s="700">
        <f>VLOOKUP(G1193,'CASA DE CONTROLE'!A:M,3,0)</f>
        <v>92916</v>
      </c>
      <c r="J1193" s="824"/>
      <c r="K1193" s="790" t="str">
        <f>(IF(H1193="Saneago",VLOOKUP(I1193,'SANEAGO-FEV.2016'!A:B,2,0),IF(H1193="Sinapi",VLOOKUP(I1193,'SINAPI-FEV.2017'!A:D,2,0),IF(H1193="Cotação",VLOOKUP(I1193,COTAÇÃO!A:D,2,0),IF(H1193="Composição",VLOOKUP(I1193,COMPOSIÇÃO!A:D,2,0))))))</f>
        <v>ARMAÇÃO DE ESTRUTURAS DE CONCRETO ARMADO, EXCETO VIGAS, PILARES, LAJES E FUNDAÇÕES PROFUNDAS (DE EDIFÍCIOS DE MÚLTIPLOS PAVIMENTOS, EDIFICAÇÃO TÉRREA OU SOBRADO), UTILIZANDO AÇO CA-50 DE 6.3 MM - MONTAGEM. AF_12/2015</v>
      </c>
      <c r="L1193" s="700" t="str">
        <f>(IF(H1193="Saneago",VLOOKUP(I1193,'SANEAGO-FEV.2016'!A:D,3,0),IF(H1193="Sinapi",VLOOKUP(I1193,'SINAPI-FEV.2017'!A:D,3,0),IF(H1193="Cotação",VLOOKUP(I1193,COTAÇÃO!A:D,3,0),IF(H1193="Composição",VLOOKUP(I1193,COMPOSIÇÃO!A:D,3,0))))))</f>
        <v>KG</v>
      </c>
      <c r="M1193" s="870">
        <f>ROUND(VLOOKUP(G1193,'CASA DE CONTROLE'!A:M,13,0),2)</f>
        <v>324.14</v>
      </c>
      <c r="N1193" s="399">
        <v>0</v>
      </c>
      <c r="O1193" s="102">
        <f t="shared" si="207"/>
        <v>0</v>
      </c>
      <c r="P1193" s="101">
        <f t="shared" si="208"/>
        <v>0</v>
      </c>
      <c r="Q1193" s="1472">
        <v>324.14</v>
      </c>
    </row>
    <row r="1194" spans="1:24" ht="45">
      <c r="A1194" s="1482"/>
      <c r="B1194" s="1482"/>
      <c r="C1194" s="1483">
        <f t="shared" si="211"/>
        <v>6</v>
      </c>
      <c r="D1194" s="1492">
        <f t="shared" si="209"/>
        <v>9</v>
      </c>
      <c r="E1194" s="1492">
        <f t="shared" si="210"/>
        <v>1</v>
      </c>
      <c r="F1194" s="1484" t="s">
        <v>11708</v>
      </c>
      <c r="G1194" s="912" t="s">
        <v>20475</v>
      </c>
      <c r="H1194" s="823" t="str">
        <f>VLOOKUP(G1194,'CASA DE CONTROLE'!A:M,2,0)</f>
        <v>SINAPI</v>
      </c>
      <c r="I1194" s="700">
        <f>VLOOKUP(G1194,'CASA DE CONTROLE'!A:M,3,0)</f>
        <v>92917</v>
      </c>
      <c r="J1194" s="824"/>
      <c r="K1194" s="790" t="str">
        <f>(IF(H1194="Saneago",VLOOKUP(I1194,'SANEAGO-FEV.2016'!A:B,2,0),IF(H1194="Sinapi",VLOOKUP(I1194,'SINAPI-FEV.2017'!A:D,2,0),IF(H1194="Cotação",VLOOKUP(I1194,COTAÇÃO!A:D,2,0),IF(H1194="Composição",VLOOKUP(I1194,COMPOSIÇÃO!A:D,2,0))))))</f>
        <v>ARMAÇÃO DE ESTRUTURAS DE CONCRETO ARMADO, EXCETO VIGAS, PILARES, LAJES E FUNDAÇÕES PROFUNDAS (DE EDIFÍCIOS DE MÚLTIPLOS PAVIMENTOS, EDIFICAÇÃO TÉRREA OU SOBRADO), UTILIZANDO AÇO CA-50 DE 8.0 MM - MONTAGEM. AF_12/2015</v>
      </c>
      <c r="L1194" s="700" t="str">
        <f>(IF(H1194="Saneago",VLOOKUP(I1194,'SANEAGO-FEV.2016'!A:D,3,0),IF(H1194="Sinapi",VLOOKUP(I1194,'SINAPI-FEV.2017'!A:D,3,0),IF(H1194="Cotação",VLOOKUP(I1194,COTAÇÃO!A:D,3,0),IF(H1194="Composição",VLOOKUP(I1194,COMPOSIÇÃO!A:D,3,0))))))</f>
        <v>KG</v>
      </c>
      <c r="M1194" s="870">
        <f>ROUND(VLOOKUP(G1194,'CASA DE CONTROLE'!A:M,13,0),2)</f>
        <v>26.38</v>
      </c>
      <c r="N1194" s="399">
        <v>0</v>
      </c>
      <c r="O1194" s="102">
        <f t="shared" si="207"/>
        <v>0</v>
      </c>
      <c r="P1194" s="101">
        <f t="shared" si="208"/>
        <v>0</v>
      </c>
      <c r="Q1194" s="1472">
        <v>26.38</v>
      </c>
    </row>
    <row r="1195" spans="1:24" ht="45">
      <c r="A1195" s="1482"/>
      <c r="B1195" s="1482"/>
      <c r="C1195" s="1483">
        <f t="shared" si="211"/>
        <v>6</v>
      </c>
      <c r="D1195" s="1492">
        <f t="shared" si="209"/>
        <v>9</v>
      </c>
      <c r="E1195" s="1492">
        <f t="shared" si="210"/>
        <v>1</v>
      </c>
      <c r="F1195" s="1484" t="s">
        <v>11708</v>
      </c>
      <c r="G1195" s="912" t="s">
        <v>20476</v>
      </c>
      <c r="H1195" s="823" t="str">
        <f>VLOOKUP(G1195,'CASA DE CONTROLE'!A:M,2,0)</f>
        <v>SINAPI</v>
      </c>
      <c r="I1195" s="700">
        <f>VLOOKUP(G1195,'CASA DE CONTROLE'!A:M,3,0)</f>
        <v>92919</v>
      </c>
      <c r="J1195" s="824"/>
      <c r="K1195" s="790" t="str">
        <f>(IF(H1195="Saneago",VLOOKUP(I1195,'SANEAGO-FEV.2016'!A:B,2,0),IF(H1195="Sinapi",VLOOKUP(I1195,'SINAPI-FEV.2017'!A:D,2,0),IF(H1195="Cotação",VLOOKUP(I1195,COTAÇÃO!A:D,2,0),IF(H1195="Composição",VLOOKUP(I1195,COMPOSIÇÃO!A:D,2,0))))))</f>
        <v>ARMAÇÃO DE ESTRUTURAS DE CONCRETO ARMADO, EXCETO VIGAS, PILARES, LAJES E FUNDAÇÕES PROFUNDAS (DE EDIFÍCIOS DE MÚLTIPLOS PAVIMENTOS, EDIFICAÇÃO TÉRREA OU SOBRADO), UTILIZANDO AÇO CA-50 DE 10.0 MM - MONTAGEM. AF_12/2015</v>
      </c>
      <c r="L1195" s="700" t="str">
        <f>(IF(H1195="Saneago",VLOOKUP(I1195,'SANEAGO-FEV.2016'!A:D,3,0),IF(H1195="Sinapi",VLOOKUP(I1195,'SINAPI-FEV.2017'!A:D,3,0),IF(H1195="Cotação",VLOOKUP(I1195,COTAÇÃO!A:D,3,0),IF(H1195="Composição",VLOOKUP(I1195,COMPOSIÇÃO!A:D,3,0))))))</f>
        <v>KG</v>
      </c>
      <c r="M1195" s="870">
        <f>ROUND(VLOOKUP(G1195,'CASA DE CONTROLE'!A:M,13,0),2)</f>
        <v>45.53</v>
      </c>
      <c r="N1195" s="399">
        <v>0</v>
      </c>
      <c r="O1195" s="102">
        <f t="shared" si="207"/>
        <v>0</v>
      </c>
      <c r="P1195" s="101">
        <f t="shared" si="208"/>
        <v>0</v>
      </c>
      <c r="Q1195" s="1472">
        <v>45.53</v>
      </c>
    </row>
    <row r="1196" spans="1:24" ht="45">
      <c r="A1196" s="1482"/>
      <c r="B1196" s="1482"/>
      <c r="C1196" s="1483">
        <f t="shared" si="211"/>
        <v>6</v>
      </c>
      <c r="D1196" s="1492">
        <f t="shared" si="209"/>
        <v>9</v>
      </c>
      <c r="E1196" s="1492">
        <f t="shared" si="210"/>
        <v>1</v>
      </c>
      <c r="F1196" s="1484" t="s">
        <v>11708</v>
      </c>
      <c r="G1196" s="912" t="s">
        <v>20486</v>
      </c>
      <c r="H1196" s="823" t="str">
        <f>VLOOKUP(G1196,'CASA DE CONTROLE'!A:M,2,0)</f>
        <v>SINAPI</v>
      </c>
      <c r="I1196" s="700">
        <f>VLOOKUP(G1196,'CASA DE CONTROLE'!A:M,3,0)</f>
        <v>92921</v>
      </c>
      <c r="J1196" s="824"/>
      <c r="K1196" s="790" t="str">
        <f>(IF(H1196="Saneago",VLOOKUP(I1196,'SANEAGO-FEV.2016'!A:B,2,0),IF(H1196="Sinapi",VLOOKUP(I1196,'SINAPI-FEV.2017'!A:D,2,0),IF(H1196="Cotação",VLOOKUP(I1196,COTAÇÃO!A:D,2,0),IF(H1196="Composição",VLOOKUP(I1196,COMPOSIÇÃO!A:D,2,0))))))</f>
        <v>ARMAÇÃO DE ESTRUTURAS DE CONCRETO ARMADO, EXCETO VIGAS, PILARES, LAJES E FUNDAÇÕES PROFUNDAS (DE EDIFÍCIOS DE MÚLTIPLOS PAVIMENTOS, EDIFICAÇÃO TÉRREA OU SOBRADO), UTILIZANDO AÇO CA-50 DE 12.5 MM - MONTAGEM. AF_12/2015</v>
      </c>
      <c r="L1196" s="700" t="str">
        <f>(IF(H1196="Saneago",VLOOKUP(I1196,'SANEAGO-FEV.2016'!A:D,3,0),IF(H1196="Sinapi",VLOOKUP(I1196,'SINAPI-FEV.2017'!A:D,3,0),IF(H1196="Cotação",VLOOKUP(I1196,COTAÇÃO!A:D,3,0),IF(H1196="Composição",VLOOKUP(I1196,COMPOSIÇÃO!A:D,3,0))))))</f>
        <v>KG</v>
      </c>
      <c r="M1196" s="870">
        <f>ROUND(VLOOKUP(G1196,'CASA DE CONTROLE'!A:M,13,0),2)</f>
        <v>26.46</v>
      </c>
      <c r="N1196" s="399">
        <v>0</v>
      </c>
      <c r="O1196" s="102">
        <f t="shared" si="207"/>
        <v>0</v>
      </c>
      <c r="P1196" s="101">
        <f t="shared" si="208"/>
        <v>0</v>
      </c>
      <c r="Q1196" s="1472">
        <v>26.46</v>
      </c>
    </row>
    <row r="1197" spans="1:24">
      <c r="A1197" s="1482"/>
      <c r="B1197" s="1482"/>
      <c r="C1197" s="1483">
        <f t="shared" si="211"/>
        <v>6</v>
      </c>
      <c r="D1197" s="1492">
        <f t="shared" si="209"/>
        <v>9</v>
      </c>
      <c r="E1197" s="1492">
        <f t="shared" si="210"/>
        <v>1</v>
      </c>
      <c r="F1197" s="1484" t="s">
        <v>11708</v>
      </c>
      <c r="G1197" s="862" t="s">
        <v>12123</v>
      </c>
      <c r="H1197" s="823" t="str">
        <f>VLOOKUP(G1197,'CASA DE CONTROLE'!A:M,2,0)</f>
        <v>SINAPI</v>
      </c>
      <c r="I1197" s="700" t="str">
        <f>VLOOKUP(G1197,'CASA DE CONTROLE'!A:M,3,0)</f>
        <v>74022/57</v>
      </c>
      <c r="J1197" s="824"/>
      <c r="K1197" s="790" t="str">
        <f>(IF(H1197="Saneago",VLOOKUP(I1197,'SANEAGO-FEV.2016'!A:B,2,0),IF(H1197="Sinapi",VLOOKUP(I1197,'SINAPI-FEV.2017'!A:D,2,0),IF(H1197="Cotação",VLOOKUP(I1197,COTAÇÃO!A:D,2,0),IF(H1197="Composição",VLOOKUP(I1197,COMPOSIÇÃO!A:D,2,0))))))</f>
        <v>ENSAIO DE CONSISTENCIA DO CONCRETO CCR - INDICE VEBE</v>
      </c>
      <c r="L1197" s="700" t="str">
        <f>(IF(H1197="Saneago",VLOOKUP(I1197,'SANEAGO-FEV.2016'!A:D,3,0),IF(H1197="Sinapi",VLOOKUP(I1197,'SINAPI-FEV.2017'!A:D,3,0),IF(H1197="Cotação",VLOOKUP(I1197,COTAÇÃO!A:D,3,0),IF(H1197="Composição",VLOOKUP(I1197,COMPOSIÇÃO!A:D,3,0))))))</f>
        <v>UN</v>
      </c>
      <c r="M1197" s="870">
        <f>ROUND(VLOOKUP(G1197,'CASA DE CONTROLE'!A:M,13,0),2)</f>
        <v>1</v>
      </c>
      <c r="N1197" s="399">
        <v>0</v>
      </c>
      <c r="O1197" s="102">
        <f t="shared" si="207"/>
        <v>0</v>
      </c>
      <c r="P1197" s="101">
        <f t="shared" si="208"/>
        <v>0</v>
      </c>
      <c r="Q1197" s="1472">
        <v>1</v>
      </c>
    </row>
    <row r="1198" spans="1:24" ht="15.75" thickBot="1">
      <c r="A1198" s="1482"/>
      <c r="B1198" s="1482"/>
      <c r="C1198" s="1483">
        <f t="shared" si="211"/>
        <v>6</v>
      </c>
      <c r="D1198" s="1492">
        <f t="shared" si="209"/>
        <v>9</v>
      </c>
      <c r="E1198" s="1492">
        <f t="shared" si="210"/>
        <v>1</v>
      </c>
      <c r="F1198" s="1484" t="s">
        <v>11708</v>
      </c>
      <c r="G1198" s="862"/>
      <c r="H1198" s="1095"/>
      <c r="I1198" s="780"/>
      <c r="J1198" s="834"/>
      <c r="K1198" s="780"/>
      <c r="L1198" s="780"/>
      <c r="M1198" s="1270"/>
      <c r="N1198" s="400"/>
      <c r="O1198" s="122"/>
      <c r="P1198" s="123"/>
    </row>
    <row r="1199" spans="1:24" ht="16.5" customHeight="1" thickTop="1" thickBot="1">
      <c r="A1199" s="1482"/>
      <c r="B1199" s="1482"/>
      <c r="C1199" s="1483">
        <f t="shared" si="204"/>
        <v>6</v>
      </c>
      <c r="D1199" s="1492">
        <f t="shared" si="205"/>
        <v>9</v>
      </c>
      <c r="E1199" s="1492">
        <f t="shared" si="206"/>
        <v>1</v>
      </c>
      <c r="F1199" s="1484" t="s">
        <v>11708</v>
      </c>
      <c r="G1199" s="862"/>
      <c r="H1199" s="1653" t="str">
        <f>"TOTAL ITEM: "&amp;J1186 &amp;K1186</f>
        <v>TOTAL ITEM: 6.9.1ESTRUTURAS DE CONCRETO ARMADO</v>
      </c>
      <c r="I1199" s="1654"/>
      <c r="J1199" s="1654"/>
      <c r="K1199" s="1654"/>
      <c r="L1199" s="1654"/>
      <c r="M1199" s="1654"/>
      <c r="N1199" s="1654"/>
      <c r="O1199" s="1654"/>
      <c r="P1199" s="210">
        <f>SUBTOTAL(9,P1188:P1197)</f>
        <v>0</v>
      </c>
    </row>
    <row r="1200" spans="1:24" ht="15.75" thickTop="1">
      <c r="A1200" s="1482"/>
      <c r="B1200" s="1482"/>
      <c r="C1200" s="1483">
        <f t="shared" si="204"/>
        <v>6</v>
      </c>
      <c r="D1200" s="1492">
        <f t="shared" si="205"/>
        <v>9</v>
      </c>
      <c r="E1200" s="1492">
        <f t="shared" si="206"/>
        <v>1</v>
      </c>
      <c r="F1200" s="1484" t="s">
        <v>11708</v>
      </c>
      <c r="H1200" s="1095"/>
      <c r="I1200" s="780"/>
      <c r="J1200" s="834"/>
      <c r="K1200" s="780"/>
      <c r="L1200" s="780"/>
      <c r="M1200" s="1270"/>
      <c r="N1200" s="400"/>
      <c r="O1200" s="122"/>
      <c r="P1200" s="123"/>
    </row>
    <row r="1201" spans="1:17">
      <c r="A1201" s="1482"/>
      <c r="B1201" s="1482">
        <v>1</v>
      </c>
      <c r="C1201" s="1483">
        <f t="shared" si="204"/>
        <v>6</v>
      </c>
      <c r="D1201" s="1492">
        <f t="shared" si="205"/>
        <v>9</v>
      </c>
      <c r="E1201" s="1492">
        <f t="shared" si="206"/>
        <v>2</v>
      </c>
      <c r="F1201" s="1484" t="s">
        <v>11708</v>
      </c>
      <c r="H1201" s="1514" t="s">
        <v>11703</v>
      </c>
      <c r="I1201" s="1515" t="s">
        <v>64</v>
      </c>
      <c r="J1201" s="1516" t="str">
        <f>CONCATENATE(C1201,".",D1201,".",E1201)</f>
        <v>6.9.2</v>
      </c>
      <c r="K1201" s="1516" t="s">
        <v>11717</v>
      </c>
      <c r="L1201" s="1517" t="s">
        <v>25</v>
      </c>
      <c r="M1201" s="1518" t="s">
        <v>11704</v>
      </c>
      <c r="N1201" s="398" t="s">
        <v>11705</v>
      </c>
      <c r="O1201" s="207" t="s">
        <v>11706</v>
      </c>
      <c r="P1201" s="208" t="s">
        <v>27</v>
      </c>
      <c r="Q1201" s="1472" t="s">
        <v>11704</v>
      </c>
    </row>
    <row r="1202" spans="1:17">
      <c r="A1202" s="1482"/>
      <c r="B1202" s="1482"/>
      <c r="C1202" s="1483">
        <f t="shared" si="204"/>
        <v>6</v>
      </c>
      <c r="D1202" s="1492">
        <f t="shared" si="205"/>
        <v>9</v>
      </c>
      <c r="E1202" s="1492">
        <f t="shared" si="206"/>
        <v>2</v>
      </c>
      <c r="F1202" s="1484" t="s">
        <v>11708</v>
      </c>
      <c r="H1202" s="1095"/>
      <c r="I1202" s="780"/>
      <c r="J1202" s="834"/>
      <c r="K1202" s="780"/>
      <c r="L1202" s="780"/>
      <c r="M1202" s="1270"/>
      <c r="N1202" s="400"/>
      <c r="O1202" s="122"/>
      <c r="P1202" s="123"/>
    </row>
    <row r="1203" spans="1:17" ht="22.5">
      <c r="A1203" s="1482"/>
      <c r="B1203" s="1482"/>
      <c r="C1203" s="1483">
        <f t="shared" si="204"/>
        <v>6</v>
      </c>
      <c r="D1203" s="1492">
        <f t="shared" si="205"/>
        <v>9</v>
      </c>
      <c r="E1203" s="1492">
        <f t="shared" si="206"/>
        <v>2</v>
      </c>
      <c r="F1203" s="1484" t="s">
        <v>11708</v>
      </c>
      <c r="G1203" s="862" t="s">
        <v>12152</v>
      </c>
      <c r="H1203" s="823" t="str">
        <f>VLOOKUP(G1203,'CASA DE CONTROLE'!A:M,2,0)</f>
        <v>SINAPI</v>
      </c>
      <c r="I1203" s="700">
        <f>VLOOKUP(G1203,'CASA DE CONTROLE'!A:M,3,0)</f>
        <v>91341</v>
      </c>
      <c r="J1203" s="824"/>
      <c r="K1203" s="790" t="str">
        <f>(IF(H1203="Saneago",VLOOKUP(I1203,'SANEAGO-FEV.2016'!A:B,2,0),IF(H1203="Sinapi",VLOOKUP(I1203,'SINAPI-FEV.2017'!A:D,2,0),IF(H1203="Cotação",VLOOKUP(I1203,COTAÇÃO!A:D,2,0),IF(H1203="Composição",VLOOKUP(I1203,COMPOSIÇÃO!A:D,2,0))))))</f>
        <v>PORTA EM ALUMÍNIO DE ABRIR TIPO VENEZIANA COM GUARNIÇÃO, FIXAÇÃO COM PARAFUSOS - FORNECIMENTO E INSTALAÇÃO. AF_08/2015</v>
      </c>
      <c r="L1203" s="700" t="str">
        <f>(IF(H1203="Saneago",VLOOKUP(I1203,'SANEAGO-FEV.2016'!A:D,3,0),IF(H1203="Sinapi",VLOOKUP(I1203,'SINAPI-FEV.2017'!A:D,3,0),IF(H1203="Cotação",VLOOKUP(I1203,COTAÇÃO!A:D,3,0),IF(H1203="Composição",VLOOKUP(I1203,COMPOSIÇÃO!A:D,3,0))))))</f>
        <v>M2</v>
      </c>
      <c r="M1203" s="870">
        <f>ROUND(VLOOKUP(G1203,'CASA DE CONTROLE'!A:M,13,0),2)</f>
        <v>4.42</v>
      </c>
      <c r="N1203" s="399">
        <v>0</v>
      </c>
      <c r="O1203" s="102">
        <f t="shared" ref="O1203:O1210" si="212">ROUND(IF(F1203="Serviços",N1203*(1+$O$7),IF(F1203="Materiais",N1203*(1+$O$8))),2)</f>
        <v>0</v>
      </c>
      <c r="P1203" s="101">
        <f t="shared" ref="P1203:P1210" si="213">ROUND(M1203*O1203,2)</f>
        <v>0</v>
      </c>
      <c r="Q1203" s="1472">
        <v>4.42</v>
      </c>
    </row>
    <row r="1204" spans="1:17" ht="33.75">
      <c r="A1204" s="1482"/>
      <c r="B1204" s="1482"/>
      <c r="C1204" s="1483">
        <f t="shared" si="204"/>
        <v>6</v>
      </c>
      <c r="D1204" s="1492">
        <f t="shared" si="205"/>
        <v>9</v>
      </c>
      <c r="E1204" s="1492">
        <f t="shared" si="206"/>
        <v>2</v>
      </c>
      <c r="F1204" s="1484" t="s">
        <v>11708</v>
      </c>
      <c r="G1204" s="862" t="s">
        <v>12124</v>
      </c>
      <c r="H1204" s="823" t="str">
        <f>VLOOKUP(G1204,'CASA DE CONTROLE'!A:M,2,0)</f>
        <v>SINAPI</v>
      </c>
      <c r="I1204" s="700">
        <f>VLOOKUP(G1204,'CASA DE CONTROLE'!A:M,3,0)</f>
        <v>91011</v>
      </c>
      <c r="J1204" s="824"/>
      <c r="K1204" s="790" t="str">
        <f>(IF(H1204="Saneago",VLOOKUP(I1204,'SANEAGO-FEV.2016'!A:B,2,0),IF(H1204="Sinapi",VLOOKUP(I1204,'SINAPI-FEV.2017'!A:D,2,0),IF(H1204="Cotação",VLOOKUP(I1204,COTAÇÃO!A:D,2,0),IF(H1204="Composição",VLOOKUP(I1204,COMPOSIÇÃO!A:D,2,0))))))</f>
        <v>PORTA DE MADEIRA PARA VERNIZ, SEMI-OCA (LEVE OU MÉDIA), 80X210CM, ESPESSURA DE 3,5CM, INCLUSO DOBRADIÇAS - FORNECIMENTO E INSTALAÇÃO. AF_08/2015</v>
      </c>
      <c r="L1204" s="700" t="str">
        <f>(IF(H1204="Saneago",VLOOKUP(I1204,'SANEAGO-FEV.2016'!A:D,3,0),IF(H1204="Sinapi",VLOOKUP(I1204,'SINAPI-FEV.2017'!A:D,3,0),IF(H1204="Cotação",VLOOKUP(I1204,COTAÇÃO!A:D,3,0),IF(H1204="Composição",VLOOKUP(I1204,COMPOSIÇÃO!A:D,3,0))))))</f>
        <v>UN</v>
      </c>
      <c r="M1204" s="870">
        <f>ROUND(VLOOKUP(G1204,'CASA DE CONTROLE'!A:M,13,0),2)</f>
        <v>2</v>
      </c>
      <c r="N1204" s="399">
        <v>0</v>
      </c>
      <c r="O1204" s="102">
        <f t="shared" si="212"/>
        <v>0</v>
      </c>
      <c r="P1204" s="101">
        <f t="shared" si="213"/>
        <v>0</v>
      </c>
      <c r="Q1204" s="1472">
        <v>2</v>
      </c>
    </row>
    <row r="1205" spans="1:17" ht="33.75">
      <c r="A1205" s="1482"/>
      <c r="B1205" s="1482"/>
      <c r="C1205" s="1483">
        <f t="shared" si="204"/>
        <v>6</v>
      </c>
      <c r="D1205" s="1492">
        <f t="shared" si="205"/>
        <v>9</v>
      </c>
      <c r="E1205" s="1492">
        <f t="shared" si="206"/>
        <v>2</v>
      </c>
      <c r="F1205" s="1484" t="s">
        <v>11708</v>
      </c>
      <c r="G1205" s="862" t="s">
        <v>12160</v>
      </c>
      <c r="H1205" s="823" t="str">
        <f>VLOOKUP(G1205,'CASA DE CONTROLE'!A:M,2,0)</f>
        <v>SINAPI</v>
      </c>
      <c r="I1205" s="700">
        <f>VLOOKUP(G1205,'CASA DE CONTROLE'!A:M,3,0)</f>
        <v>91009</v>
      </c>
      <c r="J1205" s="824"/>
      <c r="K1205" s="790" t="str">
        <f>(IF(H1205="Saneago",VLOOKUP(I1205,'SANEAGO-FEV.2016'!A:B,2,0),IF(H1205="Sinapi",VLOOKUP(I1205,'SINAPI-FEV.2017'!A:D,2,0),IF(H1205="Cotação",VLOOKUP(I1205,COTAÇÃO!A:D,2,0),IF(H1205="Composição",VLOOKUP(I1205,COMPOSIÇÃO!A:D,2,0))))))</f>
        <v>PORTA DE MADEIRA PARA VERNIZ, SEMI-OCA (LEVE OU MÉDIA), 60X210CM, ESPESSURA DE 3,5CM, INCLUSO DOBRADIÇAS - FORNECIMENTO E INSTALAÇÃO. AF_08/2015</v>
      </c>
      <c r="L1205" s="700" t="str">
        <f>(IF(H1205="Saneago",VLOOKUP(I1205,'SANEAGO-FEV.2016'!A:D,3,0),IF(H1205="Sinapi",VLOOKUP(I1205,'SINAPI-FEV.2017'!A:D,3,0),IF(H1205="Cotação",VLOOKUP(I1205,COTAÇÃO!A:D,3,0),IF(H1205="Composição",VLOOKUP(I1205,COMPOSIÇÃO!A:D,3,0))))))</f>
        <v>UN</v>
      </c>
      <c r="M1205" s="870">
        <f>ROUND(VLOOKUP(G1205,'CASA DE CONTROLE'!A:M,13,0),2)</f>
        <v>1</v>
      </c>
      <c r="N1205" s="399">
        <v>0</v>
      </c>
      <c r="O1205" s="102">
        <f t="shared" si="212"/>
        <v>0</v>
      </c>
      <c r="P1205" s="101">
        <f t="shared" si="213"/>
        <v>0</v>
      </c>
      <c r="Q1205" s="1472">
        <v>1</v>
      </c>
    </row>
    <row r="1206" spans="1:17" ht="22.5">
      <c r="A1206" s="1482"/>
      <c r="B1206" s="1482"/>
      <c r="C1206" s="1483">
        <f t="shared" si="204"/>
        <v>6</v>
      </c>
      <c r="D1206" s="1492">
        <f t="shared" si="205"/>
        <v>9</v>
      </c>
      <c r="E1206" s="1492">
        <f t="shared" si="206"/>
        <v>2</v>
      </c>
      <c r="F1206" s="1484" t="s">
        <v>11708</v>
      </c>
      <c r="G1206" s="862" t="s">
        <v>12161</v>
      </c>
      <c r="H1206" s="823" t="str">
        <f>VLOOKUP(G1206,'CASA DE CONTROLE'!A:M,2,0)</f>
        <v>SINAPI</v>
      </c>
      <c r="I1206" s="700" t="str">
        <f>VLOOKUP(G1206,'CASA DE CONTROLE'!A:M,3,0)</f>
        <v>73933/4</v>
      </c>
      <c r="J1206" s="824"/>
      <c r="K1206" s="790" t="str">
        <f>(IF(H1206="Saneago",VLOOKUP(I1206,'SANEAGO-FEV.2016'!A:B,2,0),IF(H1206="Sinapi",VLOOKUP(I1206,'SINAPI-FEV.2017'!A:D,2,0),IF(H1206="Cotação",VLOOKUP(I1206,COTAÇÃO!A:D,2,0),IF(H1206="Composição",VLOOKUP(I1206,COMPOSIÇÃO!A:D,2,0))))))</f>
        <v>PORTA DE FERRO DE ABRIR TIPO BARRA CHATA, COM REQUADRO E GUARNICAO COMPLETA</v>
      </c>
      <c r="L1206" s="700" t="str">
        <f>(IF(H1206="Saneago",VLOOKUP(I1206,'SANEAGO-FEV.2016'!A:D,3,0),IF(H1206="Sinapi",VLOOKUP(I1206,'SINAPI-FEV.2017'!A:D,3,0),IF(H1206="Cotação",VLOOKUP(I1206,COTAÇÃO!A:D,3,0),IF(H1206="Composição",VLOOKUP(I1206,COMPOSIÇÃO!A:D,3,0))))))</f>
        <v>M2</v>
      </c>
      <c r="M1206" s="870">
        <f>ROUND(VLOOKUP(G1206,'CASA DE CONTROLE'!A:M,13,0),2)</f>
        <v>10.050000000000001</v>
      </c>
      <c r="N1206" s="399">
        <v>0</v>
      </c>
      <c r="O1206" s="102">
        <f t="shared" si="212"/>
        <v>0</v>
      </c>
      <c r="P1206" s="101">
        <f t="shared" si="213"/>
        <v>0</v>
      </c>
      <c r="Q1206" s="1472">
        <v>10.050000000000001</v>
      </c>
    </row>
    <row r="1207" spans="1:17" ht="22.5">
      <c r="A1207" s="1482"/>
      <c r="B1207" s="1482"/>
      <c r="C1207" s="1483">
        <f t="shared" si="204"/>
        <v>6</v>
      </c>
      <c r="D1207" s="1492">
        <f t="shared" si="205"/>
        <v>9</v>
      </c>
      <c r="E1207" s="1492">
        <f t="shared" si="206"/>
        <v>2</v>
      </c>
      <c r="F1207" s="1484" t="s">
        <v>11708</v>
      </c>
      <c r="G1207" s="862" t="s">
        <v>12162</v>
      </c>
      <c r="H1207" s="823" t="str">
        <f>VLOOKUP(G1207,'CASA DE CONTROLE'!A:M,2,0)</f>
        <v>SINAPI</v>
      </c>
      <c r="I1207" s="700">
        <f>VLOOKUP(G1207,'CASA DE CONTROLE'!A:M,3,0)</f>
        <v>93188</v>
      </c>
      <c r="J1207" s="824"/>
      <c r="K1207" s="790" t="str">
        <f>(IF(H1207="Saneago",VLOOKUP(I1207,'SANEAGO-FEV.2016'!A:B,2,0),IF(H1207="Sinapi",VLOOKUP(I1207,'SINAPI-FEV.2017'!A:D,2,0),IF(H1207="Cotação",VLOOKUP(I1207,COTAÇÃO!A:D,2,0),IF(H1207="Composição",VLOOKUP(I1207,COMPOSIÇÃO!A:D,2,0))))))</f>
        <v>VERGA MOLDADA IN LOCO EM CONCRETO PARA PORTAS COM ATÉ 1,5 M DE VÃO. AF_03/2016</v>
      </c>
      <c r="L1207" s="700" t="str">
        <f>(IF(H1207="Saneago",VLOOKUP(I1207,'SANEAGO-FEV.2016'!A:D,3,0),IF(H1207="Sinapi",VLOOKUP(I1207,'SINAPI-FEV.2017'!A:D,3,0),IF(H1207="Cotação",VLOOKUP(I1207,COTAÇÃO!A:D,3,0),IF(H1207="Composição",VLOOKUP(I1207,COMPOSIÇÃO!A:D,3,0))))))</f>
        <v>M</v>
      </c>
      <c r="M1207" s="870">
        <f>ROUND(VLOOKUP(G1207,'CASA DE CONTROLE'!A:M,13,0),2)</f>
        <v>8.61</v>
      </c>
      <c r="N1207" s="399">
        <v>0</v>
      </c>
      <c r="O1207" s="102">
        <f t="shared" si="212"/>
        <v>0</v>
      </c>
      <c r="P1207" s="101">
        <f t="shared" si="213"/>
        <v>0</v>
      </c>
      <c r="Q1207" s="1472">
        <v>8.61</v>
      </c>
    </row>
    <row r="1208" spans="1:17" ht="22.5">
      <c r="A1208" s="1482"/>
      <c r="B1208" s="1482"/>
      <c r="C1208" s="1483">
        <f t="shared" si="204"/>
        <v>6</v>
      </c>
      <c r="D1208" s="1492">
        <f t="shared" si="205"/>
        <v>9</v>
      </c>
      <c r="E1208" s="1492">
        <f t="shared" si="206"/>
        <v>2</v>
      </c>
      <c r="F1208" s="1484" t="s">
        <v>11708</v>
      </c>
      <c r="G1208" s="862" t="s">
        <v>12163</v>
      </c>
      <c r="H1208" s="823" t="str">
        <f>VLOOKUP(G1208,'CASA DE CONTROLE'!A:M,2,0)</f>
        <v>SINAPI</v>
      </c>
      <c r="I1208" s="700">
        <f>VLOOKUP(G1208,'CASA DE CONTROLE'!A:M,3,0)</f>
        <v>93196</v>
      </c>
      <c r="J1208" s="824"/>
      <c r="K1208" s="790" t="str">
        <f>(IF(H1208="Saneago",VLOOKUP(I1208,'SANEAGO-FEV.2016'!A:B,2,0),IF(H1208="Sinapi",VLOOKUP(I1208,'SINAPI-FEV.2017'!A:D,2,0),IF(H1208="Cotação",VLOOKUP(I1208,COTAÇÃO!A:D,2,0),IF(H1208="Composição",VLOOKUP(I1208,COMPOSIÇÃO!A:D,2,0))))))</f>
        <v>CONTRAVERGA MOLDADA IN LOCO EM CONCRETO PARA VÃOS DE ATÉ 1,5 M DE COMPRIMENTO. AF_03/2016</v>
      </c>
      <c r="L1208" s="700" t="str">
        <f>(IF(H1208="Saneago",VLOOKUP(I1208,'SANEAGO-FEV.2016'!A:D,3,0),IF(H1208="Sinapi",VLOOKUP(I1208,'SINAPI-FEV.2017'!A:D,3,0),IF(H1208="Cotação",VLOOKUP(I1208,COTAÇÃO!A:D,3,0),IF(H1208="Composição",VLOOKUP(I1208,COMPOSIÇÃO!A:D,3,0))))))</f>
        <v>M</v>
      </c>
      <c r="M1208" s="870">
        <f>ROUND(VLOOKUP(G1208,'CASA DE CONTROLE'!A:M,13,0),2)</f>
        <v>8.61</v>
      </c>
      <c r="N1208" s="399">
        <v>0</v>
      </c>
      <c r="O1208" s="102">
        <f t="shared" si="212"/>
        <v>0</v>
      </c>
      <c r="P1208" s="101">
        <f t="shared" si="213"/>
        <v>0</v>
      </c>
      <c r="Q1208" s="1472">
        <v>8.61</v>
      </c>
    </row>
    <row r="1209" spans="1:17" ht="33.75">
      <c r="A1209" s="1482"/>
      <c r="B1209" s="1482"/>
      <c r="C1209" s="1483">
        <f t="shared" si="204"/>
        <v>6</v>
      </c>
      <c r="D1209" s="1492">
        <f t="shared" si="205"/>
        <v>9</v>
      </c>
      <c r="E1209" s="1492">
        <f t="shared" si="206"/>
        <v>2</v>
      </c>
      <c r="F1209" s="1484" t="s">
        <v>11708</v>
      </c>
      <c r="G1209" s="862" t="s">
        <v>12276</v>
      </c>
      <c r="H1209" s="823" t="str">
        <f>VLOOKUP(G1209,'CASA DE CONTROLE'!A:M,2,0)</f>
        <v>SINAPI</v>
      </c>
      <c r="I1209" s="700">
        <f>VLOOKUP(G1209,'CASA DE CONTROLE'!A:M,3,0)</f>
        <v>94570</v>
      </c>
      <c r="J1209" s="824"/>
      <c r="K1209" s="790" t="str">
        <f>(IF(H1209="Saneago",VLOOKUP(I1209,'SANEAGO-FEV.2016'!A:B,2,0),IF(H1209="Sinapi",VLOOKUP(I1209,'SINAPI-FEV.2017'!A:D,2,0),IF(H1209="Cotação",VLOOKUP(I1209,COTAÇÃO!A:D,2,0),IF(H1209="Composição",VLOOKUP(I1209,COMPOSIÇÃO!A:D,2,0))))))</f>
        <v>JANELA DE ALUMÍNIO DE CORRER, 2 FOLHAS, FIXAÇÃO COM PARAFUSO SOBRE CONTRAMARCO (EXCLUSIVE CONTRAMARCO), COM VIDROS PADRONIZADA. AF_07/2016</v>
      </c>
      <c r="L1209" s="700" t="str">
        <f>(IF(H1209="Saneago",VLOOKUP(I1209,'SANEAGO-FEV.2016'!A:D,3,0),IF(H1209="Sinapi",VLOOKUP(I1209,'SINAPI-FEV.2017'!A:D,3,0),IF(H1209="Cotação",VLOOKUP(I1209,COTAÇÃO!A:D,3,0),IF(H1209="Composição",VLOOKUP(I1209,COMPOSIÇÃO!A:D,3,0))))))</f>
        <v>M2</v>
      </c>
      <c r="M1209" s="870">
        <f>ROUND(VLOOKUP(G1209,'CASA DE CONTROLE'!A:M,13,0),2)</f>
        <v>5.12</v>
      </c>
      <c r="N1209" s="399">
        <v>0</v>
      </c>
      <c r="O1209" s="102">
        <f t="shared" si="212"/>
        <v>0</v>
      </c>
      <c r="P1209" s="101">
        <f t="shared" si="213"/>
        <v>0</v>
      </c>
      <c r="Q1209" s="1472">
        <v>5.12</v>
      </c>
    </row>
    <row r="1210" spans="1:17" ht="33.75">
      <c r="A1210" s="1482"/>
      <c r="B1210" s="1482"/>
      <c r="C1210" s="1483">
        <f t="shared" si="204"/>
        <v>6</v>
      </c>
      <c r="D1210" s="1492">
        <f t="shared" si="205"/>
        <v>9</v>
      </c>
      <c r="E1210" s="1492">
        <f t="shared" si="206"/>
        <v>2</v>
      </c>
      <c r="F1210" s="1484" t="s">
        <v>11708</v>
      </c>
      <c r="G1210" s="862" t="s">
        <v>12277</v>
      </c>
      <c r="H1210" s="823" t="str">
        <f>VLOOKUP(G1210,'CASA DE CONTROLE'!A:M,2,0)</f>
        <v>SINAPI</v>
      </c>
      <c r="I1210" s="700">
        <f>VLOOKUP(G1210,'CASA DE CONTROLE'!A:M,3,0)</f>
        <v>94574</v>
      </c>
      <c r="J1210" s="824"/>
      <c r="K1210" s="790" t="str">
        <f>(IF(H1210="Saneago",VLOOKUP(I1210,'SANEAGO-FEV.2016'!A:B,2,0),IF(H1210="Sinapi",VLOOKUP(I1210,'SINAPI-FEV.2017'!A:D,2,0),IF(H1210="Cotação",VLOOKUP(I1210,COTAÇÃO!A:D,2,0),IF(H1210="Composição",VLOOKUP(I1210,COMPOSIÇÃO!A:D,2,0))))))</f>
        <v>JANELA DE ALUMÍNIO DE CORRER, 6 FOLHAS, FIXAÇÃO COM PARAFUSO SOBRE CONTRAMARCO (EXCLUSIVE CONTRAMARCO), COM VIDROS, PADRONIZADA. AF_07/2016</v>
      </c>
      <c r="L1210" s="700" t="str">
        <f>(IF(H1210="Saneago",VLOOKUP(I1210,'SANEAGO-FEV.2016'!A:D,3,0),IF(H1210="Sinapi",VLOOKUP(I1210,'SINAPI-FEV.2017'!A:D,3,0),IF(H1210="Cotação",VLOOKUP(I1210,COTAÇÃO!A:D,3,0),IF(H1210="Composição",VLOOKUP(I1210,COMPOSIÇÃO!A:D,3,0))))))</f>
        <v>M2</v>
      </c>
      <c r="M1210" s="870">
        <f>ROUND(VLOOKUP(G1210,'CASA DE CONTROLE'!A:M,13,0),2)</f>
        <v>2.88</v>
      </c>
      <c r="N1210" s="399">
        <v>0</v>
      </c>
      <c r="O1210" s="102">
        <f t="shared" si="212"/>
        <v>0</v>
      </c>
      <c r="P1210" s="101">
        <f t="shared" si="213"/>
        <v>0</v>
      </c>
      <c r="Q1210" s="1472">
        <v>2.88</v>
      </c>
    </row>
    <row r="1211" spans="1:17" ht="22.5">
      <c r="A1211" s="1482"/>
      <c r="B1211" s="1482"/>
      <c r="C1211" s="1483">
        <f t="shared" si="204"/>
        <v>6</v>
      </c>
      <c r="D1211" s="1492">
        <f t="shared" si="205"/>
        <v>9</v>
      </c>
      <c r="E1211" s="1492">
        <f t="shared" si="206"/>
        <v>2</v>
      </c>
      <c r="F1211" s="1484" t="s">
        <v>11708</v>
      </c>
      <c r="G1211" s="862" t="s">
        <v>12279</v>
      </c>
      <c r="H1211" s="823" t="str">
        <f>VLOOKUP(G1211,'CASA DE CONTROLE'!A:M,2,0)</f>
        <v>SINAPI</v>
      </c>
      <c r="I1211" s="700">
        <f>VLOOKUP(G1211,'CASA DE CONTROLE'!A:M,3,0)</f>
        <v>93186</v>
      </c>
      <c r="J1211" s="824"/>
      <c r="K1211" s="790" t="str">
        <f>(IF(H1211="Saneago",VLOOKUP(I1211,'SANEAGO-FEV.2016'!A:B,2,0),IF(H1211="Sinapi",VLOOKUP(I1211,'SINAPI-FEV.2017'!A:D,2,0),IF(H1211="Cotação",VLOOKUP(I1211,COTAÇÃO!A:D,2,0),IF(H1211="Composição",VLOOKUP(I1211,COMPOSIÇÃO!A:D,2,0))))))</f>
        <v>VERGA MOLDADA IN LOCO EM CONCRETO PARA JANELAS COM ATÉ 1,5 M DE VÃO. AF_03/2016</v>
      </c>
      <c r="L1211" s="700" t="str">
        <f>(IF(H1211="Saneago",VLOOKUP(I1211,'SANEAGO-FEV.2016'!A:D,3,0),IF(H1211="Sinapi",VLOOKUP(I1211,'SINAPI-FEV.2017'!A:D,3,0),IF(H1211="Cotação",VLOOKUP(I1211,COTAÇÃO!A:D,3,0),IF(H1211="Composição",VLOOKUP(I1211,COMPOSIÇÃO!A:D,3,0))))))</f>
        <v>M</v>
      </c>
      <c r="M1211" s="870">
        <f>ROUND(VLOOKUP(G1211,'CASA DE CONTROLE'!A:M,13,0),2)</f>
        <v>4.8</v>
      </c>
      <c r="N1211" s="399">
        <v>0</v>
      </c>
      <c r="O1211" s="102">
        <f>ROUND(IF(F1211="Serviços",N1211*(1+$O$7),IF(F1211="Materiais",N1211*(1+$O$8))),2)</f>
        <v>0</v>
      </c>
      <c r="P1211" s="101">
        <f>ROUND(M1211*O1211,2)</f>
        <v>0</v>
      </c>
      <c r="Q1211" s="1472">
        <v>4.8</v>
      </c>
    </row>
    <row r="1212" spans="1:17" ht="22.5">
      <c r="A1212" s="1482"/>
      <c r="B1212" s="1482"/>
      <c r="C1212" s="1483">
        <f t="shared" si="204"/>
        <v>6</v>
      </c>
      <c r="D1212" s="1492">
        <f t="shared" si="205"/>
        <v>9</v>
      </c>
      <c r="E1212" s="1492">
        <f t="shared" si="206"/>
        <v>2</v>
      </c>
      <c r="F1212" s="1484" t="s">
        <v>11708</v>
      </c>
      <c r="G1212" s="862" t="s">
        <v>12280</v>
      </c>
      <c r="H1212" s="823" t="str">
        <f>VLOOKUP(G1212,'CASA DE CONTROLE'!A:M,2,0)</f>
        <v>SINAPI</v>
      </c>
      <c r="I1212" s="700">
        <f>VLOOKUP(G1212,'CASA DE CONTROLE'!A:M,3,0)</f>
        <v>93187</v>
      </c>
      <c r="J1212" s="824"/>
      <c r="K1212" s="790" t="str">
        <f>(IF(H1212="Saneago",VLOOKUP(I1212,'SANEAGO-FEV.2016'!A:B,2,0),IF(H1212="Sinapi",VLOOKUP(I1212,'SINAPI-FEV.2017'!A:D,2,0),IF(H1212="Cotação",VLOOKUP(I1212,COTAÇÃO!A:D,2,0),IF(H1212="Composição",VLOOKUP(I1212,COMPOSIÇÃO!A:D,2,0))))))</f>
        <v>VERGA MOLDADA IN LOCO EM CONCRETO PARA JANELAS COM MAIS DE 1,5 M DE VÃO. AF_03/2016</v>
      </c>
      <c r="L1212" s="700" t="str">
        <f>(IF(H1212="Saneago",VLOOKUP(I1212,'SANEAGO-FEV.2016'!A:D,3,0),IF(H1212="Sinapi",VLOOKUP(I1212,'SINAPI-FEV.2017'!A:D,3,0),IF(H1212="Cotação",VLOOKUP(I1212,COTAÇÃO!A:D,3,0),IF(H1212="Composição",VLOOKUP(I1212,COMPOSIÇÃO!A:D,3,0))))))</f>
        <v>M</v>
      </c>
      <c r="M1212" s="870">
        <f>ROUND(VLOOKUP(G1212,'CASA DE CONTROLE'!A:M,13,0),2)</f>
        <v>3.2</v>
      </c>
      <c r="N1212" s="399">
        <v>0</v>
      </c>
      <c r="O1212" s="102">
        <f>ROUND(IF(F1212="Serviços",N1212*(1+$O$7),IF(F1212="Materiais",N1212*(1+$O$8))),2)</f>
        <v>0</v>
      </c>
      <c r="P1212" s="101">
        <f>ROUND(M1212*O1212,2)</f>
        <v>0</v>
      </c>
      <c r="Q1212" s="1472">
        <v>3.2</v>
      </c>
    </row>
    <row r="1213" spans="1:17" ht="22.5">
      <c r="A1213" s="1482"/>
      <c r="B1213" s="1482"/>
      <c r="C1213" s="1483">
        <f t="shared" si="204"/>
        <v>6</v>
      </c>
      <c r="D1213" s="1492">
        <f t="shared" si="205"/>
        <v>9</v>
      </c>
      <c r="E1213" s="1492">
        <f t="shared" si="206"/>
        <v>2</v>
      </c>
      <c r="F1213" s="1484" t="s">
        <v>11708</v>
      </c>
      <c r="G1213" s="862" t="s">
        <v>12278</v>
      </c>
      <c r="H1213" s="823" t="str">
        <f>VLOOKUP(G1213,'CASA DE CONTROLE'!A:M,2,0)</f>
        <v>SINAPI</v>
      </c>
      <c r="I1213" s="700">
        <f>VLOOKUP(G1213,'CASA DE CONTROLE'!A:M,3,0)</f>
        <v>93196</v>
      </c>
      <c r="J1213" s="824"/>
      <c r="K1213" s="790" t="str">
        <f>(IF(H1213="Saneago",VLOOKUP(I1213,'SANEAGO-FEV.2016'!A:B,2,0),IF(H1213="Sinapi",VLOOKUP(I1213,'SINAPI-FEV.2017'!A:D,2,0),IF(H1213="Cotação",VLOOKUP(I1213,COTAÇÃO!A:D,2,0),IF(H1213="Composição",VLOOKUP(I1213,COMPOSIÇÃO!A:D,2,0))))))</f>
        <v>CONTRAVERGA MOLDADA IN LOCO EM CONCRETO PARA VÃOS DE ATÉ 1,5 M DE COMPRIMENTO. AF_03/2016</v>
      </c>
      <c r="L1213" s="700" t="str">
        <f>(IF(H1213="Saneago",VLOOKUP(I1213,'SANEAGO-FEV.2016'!A:D,3,0),IF(H1213="Sinapi",VLOOKUP(I1213,'SINAPI-FEV.2017'!A:D,3,0),IF(H1213="Cotação",VLOOKUP(I1213,COTAÇÃO!A:D,3,0),IF(H1213="Composição",VLOOKUP(I1213,COMPOSIÇÃO!A:D,3,0))))))</f>
        <v>M</v>
      </c>
      <c r="M1213" s="870">
        <f>ROUND(VLOOKUP(G1213,'CASA DE CONTROLE'!A:M,13,0),2)</f>
        <v>4.8</v>
      </c>
      <c r="N1213" s="399">
        <v>0</v>
      </c>
      <c r="O1213" s="102">
        <f>ROUND(IF(F1213="Serviços",N1213*(1+$O$7),IF(F1213="Materiais",N1213*(1+$O$8))),2)</f>
        <v>0</v>
      </c>
      <c r="P1213" s="101">
        <f>ROUND(M1213*O1213,2)</f>
        <v>0</v>
      </c>
      <c r="Q1213" s="1472">
        <v>4.8</v>
      </c>
    </row>
    <row r="1214" spans="1:17" ht="22.5">
      <c r="A1214" s="1482"/>
      <c r="B1214" s="1482"/>
      <c r="C1214" s="1483">
        <f t="shared" si="204"/>
        <v>6</v>
      </c>
      <c r="D1214" s="1492">
        <f t="shared" si="205"/>
        <v>9</v>
      </c>
      <c r="E1214" s="1492">
        <f t="shared" si="206"/>
        <v>2</v>
      </c>
      <c r="F1214" s="1484" t="s">
        <v>11708</v>
      </c>
      <c r="G1214" s="862" t="s">
        <v>12281</v>
      </c>
      <c r="H1214" s="823" t="str">
        <f>VLOOKUP(G1214,'CASA DE CONTROLE'!A:M,2,0)</f>
        <v>SINAPI</v>
      </c>
      <c r="I1214" s="700">
        <f>VLOOKUP(G1214,'CASA DE CONTROLE'!A:M,3,0)</f>
        <v>93197</v>
      </c>
      <c r="J1214" s="824"/>
      <c r="K1214" s="790" t="str">
        <f>(IF(H1214="Saneago",VLOOKUP(I1214,'SANEAGO-FEV.2016'!A:B,2,0),IF(H1214="Sinapi",VLOOKUP(I1214,'SINAPI-FEV.2017'!A:D,2,0),IF(H1214="Cotação",VLOOKUP(I1214,COTAÇÃO!A:D,2,0),IF(H1214="Composição",VLOOKUP(I1214,COMPOSIÇÃO!A:D,2,0))))))</f>
        <v>CONTRAVERGA MOLDADA IN LOCO EM CONCRETO PARA VÃOS DE MAIS DE 1,5 M DE COMPRIMENTO. AF_03/2016</v>
      </c>
      <c r="L1214" s="700" t="str">
        <f>(IF(H1214="Saneago",VLOOKUP(I1214,'SANEAGO-FEV.2016'!A:D,3,0),IF(H1214="Sinapi",VLOOKUP(I1214,'SINAPI-FEV.2017'!A:D,3,0),IF(H1214="Cotação",VLOOKUP(I1214,COTAÇÃO!A:D,3,0),IF(H1214="Composição",VLOOKUP(I1214,COMPOSIÇÃO!A:D,3,0))))))</f>
        <v>M</v>
      </c>
      <c r="M1214" s="870">
        <f>ROUND(VLOOKUP(G1214,'CASA DE CONTROLE'!A:M,13,0),2)</f>
        <v>3.2</v>
      </c>
      <c r="N1214" s="399">
        <v>0</v>
      </c>
      <c r="O1214" s="102">
        <f>ROUND(IF(F1214="Serviços",N1214*(1+$O$7),IF(F1214="Materiais",N1214*(1+$O$8))),2)</f>
        <v>0</v>
      </c>
      <c r="P1214" s="101">
        <f>ROUND(M1214*O1214,2)</f>
        <v>0</v>
      </c>
      <c r="Q1214" s="1472">
        <v>3.2</v>
      </c>
    </row>
    <row r="1215" spans="1:17" ht="15.75" thickBot="1">
      <c r="A1215" s="1482"/>
      <c r="B1215" s="1482"/>
      <c r="C1215" s="1483">
        <f t="shared" si="204"/>
        <v>6</v>
      </c>
      <c r="D1215" s="1492">
        <f>D1214+A1215</f>
        <v>9</v>
      </c>
      <c r="E1215" s="1492">
        <f>E1214+B1215</f>
        <v>2</v>
      </c>
      <c r="F1215" s="1484" t="s">
        <v>11708</v>
      </c>
      <c r="G1215" s="862"/>
      <c r="H1215" s="1095"/>
      <c r="I1215" s="780"/>
      <c r="J1215" s="834"/>
      <c r="K1215" s="780"/>
      <c r="L1215" s="780"/>
      <c r="M1215" s="1270"/>
      <c r="N1215" s="400"/>
      <c r="O1215" s="122"/>
      <c r="P1215" s="123"/>
    </row>
    <row r="1216" spans="1:17" ht="16.5" customHeight="1" thickTop="1" thickBot="1">
      <c r="A1216" s="1482"/>
      <c r="B1216" s="1482"/>
      <c r="C1216" s="1483">
        <f t="shared" si="204"/>
        <v>6</v>
      </c>
      <c r="D1216" s="1492">
        <f>D1215+A1216</f>
        <v>9</v>
      </c>
      <c r="E1216" s="1492">
        <f>E1215+B1216</f>
        <v>2</v>
      </c>
      <c r="F1216" s="1484" t="s">
        <v>11708</v>
      </c>
      <c r="G1216" s="862"/>
      <c r="H1216" s="1653" t="str">
        <f>"TOTAL ITEM: "&amp;J1201 &amp;K1201</f>
        <v>TOTAL ITEM: 6.9.2 ESQUADRIAS</v>
      </c>
      <c r="I1216" s="1654"/>
      <c r="J1216" s="1654"/>
      <c r="K1216" s="1654"/>
      <c r="L1216" s="1654"/>
      <c r="M1216" s="1654"/>
      <c r="N1216" s="1654"/>
      <c r="O1216" s="1654"/>
      <c r="P1216" s="210">
        <f>SUBTOTAL(9,P1203:P1214)</f>
        <v>0</v>
      </c>
    </row>
    <row r="1217" spans="1:17" ht="15.75" thickTop="1">
      <c r="A1217" s="1482"/>
      <c r="B1217" s="1482"/>
      <c r="C1217" s="1483">
        <f t="shared" si="204"/>
        <v>6</v>
      </c>
      <c r="D1217" s="1492">
        <f t="shared" si="205"/>
        <v>9</v>
      </c>
      <c r="E1217" s="1492">
        <f t="shared" si="206"/>
        <v>2</v>
      </c>
      <c r="F1217" s="1484" t="s">
        <v>11708</v>
      </c>
      <c r="G1217" s="862"/>
      <c r="H1217" s="1095"/>
      <c r="I1217" s="780"/>
      <c r="J1217" s="834"/>
      <c r="K1217" s="780"/>
      <c r="L1217" s="780"/>
      <c r="M1217" s="1270"/>
      <c r="N1217" s="400"/>
      <c r="O1217" s="122"/>
      <c r="P1217" s="123"/>
    </row>
    <row r="1218" spans="1:17">
      <c r="A1218" s="1482"/>
      <c r="B1218" s="1482">
        <v>1</v>
      </c>
      <c r="C1218" s="1483">
        <f t="shared" si="204"/>
        <v>6</v>
      </c>
      <c r="D1218" s="1492">
        <f t="shared" si="205"/>
        <v>9</v>
      </c>
      <c r="E1218" s="1492">
        <f t="shared" si="206"/>
        <v>3</v>
      </c>
      <c r="F1218" s="1484" t="s">
        <v>11708</v>
      </c>
      <c r="G1218" s="862"/>
      <c r="H1218" s="1514" t="s">
        <v>11703</v>
      </c>
      <c r="I1218" s="1515" t="s">
        <v>64</v>
      </c>
      <c r="J1218" s="1516" t="str">
        <f>CONCATENATE(C1218,".",D1218,".",E1218)</f>
        <v>6.9.3</v>
      </c>
      <c r="K1218" s="1516" t="s">
        <v>11739</v>
      </c>
      <c r="L1218" s="1517" t="s">
        <v>25</v>
      </c>
      <c r="M1218" s="1518" t="s">
        <v>11704</v>
      </c>
      <c r="N1218" s="398" t="s">
        <v>11705</v>
      </c>
      <c r="O1218" s="207" t="s">
        <v>11706</v>
      </c>
      <c r="P1218" s="208" t="s">
        <v>27</v>
      </c>
      <c r="Q1218" s="1472" t="s">
        <v>11704</v>
      </c>
    </row>
    <row r="1219" spans="1:17">
      <c r="A1219" s="1482"/>
      <c r="B1219" s="1482"/>
      <c r="C1219" s="1483">
        <f t="shared" si="204"/>
        <v>6</v>
      </c>
      <c r="D1219" s="1492">
        <f t="shared" si="205"/>
        <v>9</v>
      </c>
      <c r="E1219" s="1492">
        <f t="shared" si="206"/>
        <v>3</v>
      </c>
      <c r="F1219" s="1484" t="s">
        <v>11708</v>
      </c>
      <c r="G1219" s="959"/>
      <c r="H1219" s="1095"/>
      <c r="I1219" s="780"/>
      <c r="J1219" s="834"/>
      <c r="K1219" s="780"/>
      <c r="L1219" s="780"/>
      <c r="M1219" s="1270"/>
      <c r="N1219" s="400"/>
      <c r="O1219" s="122"/>
      <c r="P1219" s="123"/>
    </row>
    <row r="1220" spans="1:17" ht="45">
      <c r="A1220" s="1482"/>
      <c r="B1220" s="1482"/>
      <c r="C1220" s="1483">
        <f t="shared" si="204"/>
        <v>6</v>
      </c>
      <c r="D1220" s="1492">
        <f t="shared" si="205"/>
        <v>9</v>
      </c>
      <c r="E1220" s="1492">
        <f t="shared" si="206"/>
        <v>3</v>
      </c>
      <c r="F1220" s="1484" t="s">
        <v>11708</v>
      </c>
      <c r="G1220" s="862" t="s">
        <v>12126</v>
      </c>
      <c r="H1220" s="823" t="str">
        <f>VLOOKUP(G1220,'CASA DE CONTROLE'!A:M,2,0)</f>
        <v>SINAPI</v>
      </c>
      <c r="I1220" s="700">
        <f>VLOOKUP(G1220,'CASA DE CONTROLE'!A:M,3,0)</f>
        <v>87513</v>
      </c>
      <c r="J1220" s="824"/>
      <c r="K1220" s="790" t="str">
        <f>(IF(H1220="Saneago",VLOOKUP(I1220,'SANEAGO-FEV.2016'!A:B,2,0),IF(H1220="Sinapi",VLOOKUP(I1220,'SINAPI-FEV.2017'!A:D,2,0),IF(H1220="Cotação",VLOOKUP(I1220,COTAÇÃO!A:D,2,0),IF(H1220="Composição",VLOOKUP(I1220,COMPOSIÇÃO!A:D,2,0))))))</f>
        <v>ALVENARIA DE VEDAÇÃO DE BLOCOS CERÂMICOS FURADOS NA HORIZONTAL DE 11,5X19X19CM (ESPESSURA 11,5CM) DE PAREDES COM ÁREA LÍQUIDA MENOR QUE 6M² COM VÃOS E ARGAMASSA DE ASSENTAMENTO COM PREPARO EM BETONEIRA. AF_06/2014</v>
      </c>
      <c r="L1220" s="700" t="str">
        <f>(IF(H1220="Saneago",VLOOKUP(I1220,'SANEAGO-FEV.2016'!A:D,3,0),IF(H1220="Sinapi",VLOOKUP(I1220,'SINAPI-FEV.2017'!A:D,3,0),IF(H1220="Cotação",VLOOKUP(I1220,COTAÇÃO!A:D,3,0),IF(H1220="Composição",VLOOKUP(I1220,COMPOSIÇÃO!A:D,3,0))))))</f>
        <v>M2</v>
      </c>
      <c r="M1220" s="870">
        <f>ROUND(VLOOKUP(G1220,'CASA DE CONTROLE'!A:M,13,0),2)</f>
        <v>75.510000000000005</v>
      </c>
      <c r="N1220" s="399">
        <v>0</v>
      </c>
      <c r="O1220" s="102">
        <f>ROUND(IF(F1220="Serviços",N1220*(1+$O$7),IF(F1220="Materiais",N1220*(1+$O$8))),2)</f>
        <v>0</v>
      </c>
      <c r="P1220" s="101">
        <f>ROUND(M1220*O1220,2)</f>
        <v>0</v>
      </c>
      <c r="Q1220" s="1472">
        <v>43.44</v>
      </c>
    </row>
    <row r="1221" spans="1:17" ht="15.75" thickBot="1">
      <c r="A1221" s="1482"/>
      <c r="B1221" s="1482"/>
      <c r="C1221" s="1483">
        <f t="shared" si="204"/>
        <v>6</v>
      </c>
      <c r="D1221" s="1492">
        <f t="shared" si="205"/>
        <v>9</v>
      </c>
      <c r="E1221" s="1492">
        <f t="shared" si="206"/>
        <v>3</v>
      </c>
      <c r="F1221" s="1484" t="s">
        <v>11708</v>
      </c>
      <c r="H1221" s="1095"/>
      <c r="I1221" s="780"/>
      <c r="J1221" s="834"/>
      <c r="K1221" s="780"/>
      <c r="L1221" s="780"/>
      <c r="M1221" s="1270"/>
      <c r="N1221" s="400"/>
      <c r="O1221" s="122"/>
      <c r="P1221" s="123"/>
    </row>
    <row r="1222" spans="1:17" ht="16.5" customHeight="1" thickTop="1" thickBot="1">
      <c r="A1222" s="1482"/>
      <c r="B1222" s="1482"/>
      <c r="C1222" s="1483">
        <f t="shared" si="204"/>
        <v>6</v>
      </c>
      <c r="D1222" s="1492">
        <f t="shared" si="205"/>
        <v>9</v>
      </c>
      <c r="E1222" s="1492">
        <f t="shared" si="206"/>
        <v>3</v>
      </c>
      <c r="F1222" s="1484" t="s">
        <v>11708</v>
      </c>
      <c r="G1222" s="959"/>
      <c r="H1222" s="1653" t="str">
        <f>"TOTAL ITEM: "&amp;J1218 &amp;K1218</f>
        <v>TOTAL ITEM: 6.9.3 ALVENARIAS</v>
      </c>
      <c r="I1222" s="1654"/>
      <c r="J1222" s="1654"/>
      <c r="K1222" s="1654"/>
      <c r="L1222" s="1654"/>
      <c r="M1222" s="1654"/>
      <c r="N1222" s="1654"/>
      <c r="O1222" s="1654"/>
      <c r="P1222" s="210">
        <f>SUBTOTAL(9,P1220:P1220)</f>
        <v>0</v>
      </c>
    </row>
    <row r="1223" spans="1:17" ht="15.75" thickTop="1">
      <c r="A1223" s="1482"/>
      <c r="B1223" s="1482"/>
      <c r="C1223" s="1483">
        <f t="shared" si="204"/>
        <v>6</v>
      </c>
      <c r="D1223" s="1492">
        <f t="shared" si="205"/>
        <v>9</v>
      </c>
      <c r="E1223" s="1492">
        <f t="shared" si="206"/>
        <v>3</v>
      </c>
      <c r="F1223" s="1484" t="s">
        <v>11708</v>
      </c>
      <c r="G1223" s="959"/>
      <c r="H1223" s="1095"/>
      <c r="I1223" s="780"/>
      <c r="J1223" s="834"/>
      <c r="K1223" s="780"/>
      <c r="L1223" s="780"/>
      <c r="M1223" s="1270"/>
      <c r="N1223" s="400"/>
      <c r="O1223" s="122"/>
      <c r="P1223" s="123"/>
    </row>
    <row r="1224" spans="1:17">
      <c r="A1224" s="1482"/>
      <c r="B1224" s="1482">
        <v>1</v>
      </c>
      <c r="C1224" s="1483">
        <f t="shared" si="204"/>
        <v>6</v>
      </c>
      <c r="D1224" s="1492">
        <f t="shared" si="205"/>
        <v>9</v>
      </c>
      <c r="E1224" s="1492">
        <f t="shared" si="206"/>
        <v>4</v>
      </c>
      <c r="F1224" s="1484" t="s">
        <v>11708</v>
      </c>
      <c r="G1224" s="862"/>
      <c r="H1224" s="1514" t="s">
        <v>11703</v>
      </c>
      <c r="I1224" s="1515" t="s">
        <v>64</v>
      </c>
      <c r="J1224" s="1516" t="str">
        <f>CONCATENATE(C1224,".",D1224,".",E1224)</f>
        <v>6.9.4</v>
      </c>
      <c r="K1224" s="1516" t="s">
        <v>11715</v>
      </c>
      <c r="L1224" s="1517" t="s">
        <v>25</v>
      </c>
      <c r="M1224" s="1518" t="s">
        <v>11704</v>
      </c>
      <c r="N1224" s="398" t="s">
        <v>11705</v>
      </c>
      <c r="O1224" s="207" t="s">
        <v>11706</v>
      </c>
      <c r="P1224" s="208" t="s">
        <v>27</v>
      </c>
      <c r="Q1224" s="1472" t="s">
        <v>11704</v>
      </c>
    </row>
    <row r="1225" spans="1:17">
      <c r="A1225" s="1482"/>
      <c r="B1225" s="1482"/>
      <c r="C1225" s="1483">
        <f t="shared" si="204"/>
        <v>6</v>
      </c>
      <c r="D1225" s="1492">
        <f t="shared" si="205"/>
        <v>9</v>
      </c>
      <c r="E1225" s="1492">
        <f t="shared" si="206"/>
        <v>4</v>
      </c>
      <c r="F1225" s="1484" t="s">
        <v>11708</v>
      </c>
      <c r="G1225" s="862"/>
      <c r="H1225" s="1095"/>
      <c r="I1225" s="780"/>
      <c r="J1225" s="834"/>
      <c r="K1225" s="780"/>
      <c r="L1225" s="780"/>
      <c r="M1225" s="1270"/>
      <c r="N1225" s="400"/>
      <c r="O1225" s="122"/>
      <c r="P1225" s="123"/>
    </row>
    <row r="1226" spans="1:17" ht="33.75">
      <c r="A1226" s="1482"/>
      <c r="B1226" s="1482"/>
      <c r="C1226" s="1483">
        <f t="shared" si="204"/>
        <v>6</v>
      </c>
      <c r="D1226" s="1492">
        <f t="shared" si="205"/>
        <v>9</v>
      </c>
      <c r="E1226" s="1492">
        <f t="shared" si="206"/>
        <v>4</v>
      </c>
      <c r="F1226" s="1484" t="s">
        <v>11708</v>
      </c>
      <c r="G1226" s="862" t="s">
        <v>12127</v>
      </c>
      <c r="H1226" s="823" t="str">
        <f>VLOOKUP(G1226,'CASA DE CONTROLE'!A:M,2,0)</f>
        <v>SINAPI</v>
      </c>
      <c r="I1226" s="700">
        <f>VLOOKUP(G1226,'CASA DE CONTROLE'!A:M,3,0)</f>
        <v>87908</v>
      </c>
      <c r="J1226" s="824"/>
      <c r="K1226" s="790" t="str">
        <f>(IF(H1226="Saneago",VLOOKUP(I1226,'SANEAGO-FEV.2016'!A:B,2,0),IF(H1226="Sinapi",VLOOKUP(I1226,'SINAPI-FEV.2017'!A:D,2,0),IF(H1226="Cotação",VLOOKUP(I1226,COTAÇÃO!A:D,2,0),IF(H1226="Composição",VLOOKUP(I1226,COMPOSIÇÃO!A:D,2,0))))))</f>
        <v>CHAPISCO APLICADO EM ALVENARIA (COM PRESENÇA DE VÃOS) E ESTRUTURAS DE CONCRETO DE FACHADA, COM EQUIPAMENTO DE PROJEÇÃO.  ARGAMASSA TRAÇO 1:3 COM PREPARO EM BETONEIRA 400 L. AF_06/2014</v>
      </c>
      <c r="L1226" s="700" t="str">
        <f>(IF(H1226="Saneago",VLOOKUP(I1226,'SANEAGO-FEV.2016'!A:D,3,0),IF(H1226="Sinapi",VLOOKUP(I1226,'SINAPI-FEV.2017'!A:D,3,0),IF(H1226="Cotação",VLOOKUP(I1226,COTAÇÃO!A:D,3,0),IF(H1226="Composição",VLOOKUP(I1226,COMPOSIÇÃO!A:D,3,0))))))</f>
        <v>M2</v>
      </c>
      <c r="M1226" s="870">
        <f>ROUND(VLOOKUP(G1226,'CASA DE CONTROLE'!A:M,13,0),2)</f>
        <v>311.51</v>
      </c>
      <c r="N1226" s="399">
        <v>0</v>
      </c>
      <c r="O1226" s="102">
        <f t="shared" ref="O1226:O1234" si="214">ROUND(IF(F1226="Serviços",N1226*(1+$O$7),IF(F1226="Materiais",N1226*(1+$O$8))),2)</f>
        <v>0</v>
      </c>
      <c r="P1226" s="101">
        <f t="shared" ref="P1226:P1234" si="215">ROUND(M1226*O1226,2)</f>
        <v>0</v>
      </c>
      <c r="Q1226" s="1472">
        <v>186.55</v>
      </c>
    </row>
    <row r="1227" spans="1:17" ht="33.75">
      <c r="A1227" s="1482"/>
      <c r="B1227" s="1482"/>
      <c r="C1227" s="1483">
        <f t="shared" si="204"/>
        <v>6</v>
      </c>
      <c r="D1227" s="1492">
        <f t="shared" si="205"/>
        <v>9</v>
      </c>
      <c r="E1227" s="1492">
        <f t="shared" si="206"/>
        <v>4</v>
      </c>
      <c r="F1227" s="1484" t="s">
        <v>11708</v>
      </c>
      <c r="G1227" s="862" t="s">
        <v>12128</v>
      </c>
      <c r="H1227" s="823" t="str">
        <f>VLOOKUP(G1227,'CASA DE CONTROLE'!A:M,2,0)</f>
        <v>SINAPI</v>
      </c>
      <c r="I1227" s="700">
        <f>VLOOKUP(G1227,'CASA DE CONTROLE'!A:M,3,0)</f>
        <v>87882</v>
      </c>
      <c r="J1227" s="824"/>
      <c r="K1227" s="790" t="str">
        <f>(IF(H1227="Saneago",VLOOKUP(I1227,'SANEAGO-FEV.2016'!A:B,2,0),IF(H1227="Sinapi",VLOOKUP(I1227,'SINAPI-FEV.2017'!A:D,2,0),IF(H1227="Cotação",VLOOKUP(I1227,COTAÇÃO!A:D,2,0),IF(H1227="Composição",VLOOKUP(I1227,COMPOSIÇÃO!A:D,2,0))))))</f>
        <v>CHAPISCO APLICADO NO TETO, COM ROLO PARA TEXTURA ACRÍLICA. ARGAMASSA TRAÇO 1:4 E EMULSÃO POLIMÉRICA (ADESIVO) COM PREPARO EM BETONEIRA 400L. AF_06/2014</v>
      </c>
      <c r="L1227" s="700" t="str">
        <f>(IF(H1227="Saneago",VLOOKUP(I1227,'SANEAGO-FEV.2016'!A:D,3,0),IF(H1227="Sinapi",VLOOKUP(I1227,'SINAPI-FEV.2017'!A:D,3,0),IF(H1227="Cotação",VLOOKUP(I1227,COTAÇÃO!A:D,3,0),IF(H1227="Composição",VLOOKUP(I1227,COMPOSIÇÃO!A:D,3,0))))))</f>
        <v>M2</v>
      </c>
      <c r="M1227" s="870">
        <f>ROUND(VLOOKUP(G1227,'CASA DE CONTROLE'!A:M,13,0),2)</f>
        <v>45.53</v>
      </c>
      <c r="N1227" s="399">
        <v>0</v>
      </c>
      <c r="O1227" s="102">
        <f t="shared" si="214"/>
        <v>0</v>
      </c>
      <c r="P1227" s="101">
        <f t="shared" si="215"/>
        <v>0</v>
      </c>
      <c r="Q1227" s="1472">
        <v>45.53</v>
      </c>
    </row>
    <row r="1228" spans="1:17" ht="45">
      <c r="A1228" s="1482"/>
      <c r="B1228" s="1482"/>
      <c r="C1228" s="1483">
        <f t="shared" si="204"/>
        <v>6</v>
      </c>
      <c r="D1228" s="1492">
        <f t="shared" si="205"/>
        <v>9</v>
      </c>
      <c r="E1228" s="1492">
        <f t="shared" si="206"/>
        <v>4</v>
      </c>
      <c r="F1228" s="1484" t="s">
        <v>11708</v>
      </c>
      <c r="G1228" s="862" t="s">
        <v>12129</v>
      </c>
      <c r="H1228" s="823" t="str">
        <f>VLOOKUP(G1228,'CASA DE CONTROLE'!A:M,2,0)</f>
        <v>SINAPI</v>
      </c>
      <c r="I1228" s="700">
        <f>VLOOKUP(G1228,'CASA DE CONTROLE'!A:M,3,0)</f>
        <v>87527</v>
      </c>
      <c r="J1228" s="824"/>
      <c r="K1228" s="790" t="str">
        <f>(IF(H1228="Saneago",VLOOKUP(I1228,'SANEAGO-FEV.2016'!A:B,2,0),IF(H1228="Sinapi",VLOOKUP(I1228,'SINAPI-FEV.2017'!A:D,2,0),IF(H1228="Cotação",VLOOKUP(I1228,COTAÇÃO!A:D,2,0),IF(H1228="Composição",VLOOKUP(I1228,COMPOSIÇÃO!A:D,2,0))))))</f>
        <v>EMBOÇO, PARA RECEBIMENTO DE CERÂMICA, EM ARGAMASSA TRAÇO 1:2:8, PREPARO MECÂNICO COM BETONEIRA 400L, APLICADO MANUALMENTE EM FACES INTERNAS DE PAREDES, PARA AMBIENTE COM ÁREA MENOR QUE 5M2, ESPESSURA DE 20MM, COM EXECUÇÃO DE TALISCAS. AF_06/2014</v>
      </c>
      <c r="L1228" s="700" t="str">
        <f>(IF(H1228="Saneago",VLOOKUP(I1228,'SANEAGO-FEV.2016'!A:D,3,0),IF(H1228="Sinapi",VLOOKUP(I1228,'SINAPI-FEV.2017'!A:D,3,0),IF(H1228="Cotação",VLOOKUP(I1228,COTAÇÃO!A:D,3,0),IF(H1228="Composição",VLOOKUP(I1228,COMPOSIÇÃO!A:D,3,0))))))</f>
        <v>M2</v>
      </c>
      <c r="M1228" s="870">
        <f>ROUND(VLOOKUP(G1228,'CASA DE CONTROLE'!A:M,13,0),2)</f>
        <v>253.16</v>
      </c>
      <c r="N1228" s="399">
        <v>0</v>
      </c>
      <c r="O1228" s="102">
        <f t="shared" si="214"/>
        <v>0</v>
      </c>
      <c r="P1228" s="101">
        <f t="shared" si="215"/>
        <v>0</v>
      </c>
      <c r="Q1228" s="1472">
        <v>240.08</v>
      </c>
    </row>
    <row r="1229" spans="1:17" ht="33.75">
      <c r="A1229" s="1482"/>
      <c r="B1229" s="1482"/>
      <c r="C1229" s="1483">
        <f t="shared" si="204"/>
        <v>6</v>
      </c>
      <c r="D1229" s="1492">
        <f t="shared" si="205"/>
        <v>9</v>
      </c>
      <c r="E1229" s="1492">
        <f t="shared" si="206"/>
        <v>4</v>
      </c>
      <c r="F1229" s="1484" t="s">
        <v>11708</v>
      </c>
      <c r="G1229" s="862" t="s">
        <v>12130</v>
      </c>
      <c r="H1229" s="823" t="str">
        <f>VLOOKUP(G1229,'CASA DE CONTROLE'!A:M,2,0)</f>
        <v>SINAPI</v>
      </c>
      <c r="I1229" s="700">
        <f>VLOOKUP(G1229,'CASA DE CONTROLE'!A:M,3,0)</f>
        <v>87296</v>
      </c>
      <c r="J1229" s="824"/>
      <c r="K1229" s="790" t="str">
        <f>(IF(H1229="Saneago",VLOOKUP(I1229,'SANEAGO-FEV.2016'!A:B,2,0),IF(H1229="Sinapi",VLOOKUP(I1229,'SINAPI-FEV.2017'!A:D,2,0),IF(H1229="Cotação",VLOOKUP(I1229,COTAÇÃO!A:D,2,0),IF(H1229="Composição",VLOOKUP(I1229,COMPOSIÇÃO!A:D,2,0))))))</f>
        <v>ARGAMASSA TRAÇO 1:3:12 (CIMENTO, CAL E AREIA MÉDIA) PARA EMBOÇO/MASSA ÚNICA/ASSENTAMENTO DE ALVENARIA DE VEDAÇÃO, PREPARO MECÂNICO COM BETONEIRA 600 L. AF_06/2014</v>
      </c>
      <c r="L1229" s="700" t="str">
        <f>(IF(H1229="Saneago",VLOOKUP(I1229,'SANEAGO-FEV.2016'!A:D,3,0),IF(H1229="Sinapi",VLOOKUP(I1229,'SINAPI-FEV.2017'!A:D,3,0),IF(H1229="Cotação",VLOOKUP(I1229,COTAÇÃO!A:D,3,0),IF(H1229="Composição",VLOOKUP(I1229,COMPOSIÇÃO!A:D,3,0))))))</f>
        <v>M3</v>
      </c>
      <c r="M1229" s="870">
        <f>ROUND(VLOOKUP(G1229,'CASA DE CONTROLE'!A:M,13,0),2)</f>
        <v>1.46</v>
      </c>
      <c r="N1229" s="399">
        <v>0</v>
      </c>
      <c r="O1229" s="102">
        <f t="shared" si="214"/>
        <v>0</v>
      </c>
      <c r="P1229" s="101">
        <f t="shared" si="215"/>
        <v>0</v>
      </c>
      <c r="Q1229" s="1472">
        <v>2.12</v>
      </c>
    </row>
    <row r="1230" spans="1:17" ht="22.5">
      <c r="A1230" s="1482"/>
      <c r="B1230" s="1482"/>
      <c r="C1230" s="1483">
        <f t="shared" si="204"/>
        <v>6</v>
      </c>
      <c r="D1230" s="1492">
        <f t="shared" si="205"/>
        <v>9</v>
      </c>
      <c r="E1230" s="1492">
        <f t="shared" si="206"/>
        <v>4</v>
      </c>
      <c r="F1230" s="1484" t="s">
        <v>11708</v>
      </c>
      <c r="G1230" s="862" t="s">
        <v>12131</v>
      </c>
      <c r="H1230" s="823" t="str">
        <f>VLOOKUP(G1230,'CASA DE CONTROLE'!A:M,2,0)</f>
        <v>SINAPI</v>
      </c>
      <c r="I1230" s="700">
        <f>VLOOKUP(G1230,'CASA DE CONTROLE'!A:M,3,0)</f>
        <v>88487</v>
      </c>
      <c r="J1230" s="824"/>
      <c r="K1230" s="790" t="str">
        <f>(IF(H1230="Saneago",VLOOKUP(I1230,'SANEAGO-FEV.2016'!A:B,2,0),IF(H1230="Sinapi",VLOOKUP(I1230,'SINAPI-FEV.2017'!A:D,2,0),IF(H1230="Cotação",VLOOKUP(I1230,COTAÇÃO!A:D,2,0),IF(H1230="Composição",VLOOKUP(I1230,COMPOSIÇÃO!A:D,2,0))))))</f>
        <v>APLICAÇÃO MANUAL DE PINTURA COM TINTA LÁTEX PVA EM PAREDES, DUAS DEMÃOS. AF_06/2014</v>
      </c>
      <c r="L1230" s="700" t="str">
        <f>(IF(H1230="Saneago",VLOOKUP(I1230,'SANEAGO-FEV.2016'!A:D,3,0),IF(H1230="Sinapi",VLOOKUP(I1230,'SINAPI-FEV.2017'!A:D,3,0),IF(H1230="Cotação",VLOOKUP(I1230,COTAÇÃO!A:D,3,0),IF(H1230="Composição",VLOOKUP(I1230,COMPOSIÇÃO!A:D,3,0))))))</f>
        <v>M2</v>
      </c>
      <c r="M1230" s="870">
        <f>ROUND(VLOOKUP(G1230,'CASA DE CONTROLE'!A:M,13,0),2)</f>
        <v>21.27</v>
      </c>
      <c r="N1230" s="399">
        <v>0</v>
      </c>
      <c r="O1230" s="102">
        <f t="shared" si="214"/>
        <v>0</v>
      </c>
      <c r="P1230" s="101">
        <f t="shared" si="215"/>
        <v>0</v>
      </c>
      <c r="Q1230" s="1472">
        <v>21.27</v>
      </c>
    </row>
    <row r="1231" spans="1:17" ht="22.5">
      <c r="A1231" s="1482"/>
      <c r="B1231" s="1482"/>
      <c r="C1231" s="1483">
        <f t="shared" si="204"/>
        <v>6</v>
      </c>
      <c r="D1231" s="1492">
        <f t="shared" si="205"/>
        <v>9</v>
      </c>
      <c r="E1231" s="1492">
        <f t="shared" si="206"/>
        <v>4</v>
      </c>
      <c r="F1231" s="1484" t="s">
        <v>11708</v>
      </c>
      <c r="G1231" s="862" t="s">
        <v>12212</v>
      </c>
      <c r="H1231" s="823" t="str">
        <f>VLOOKUP(G1231,'CASA DE CONTROLE'!A:M,2,0)</f>
        <v>SINAPI</v>
      </c>
      <c r="I1231" s="700">
        <f>VLOOKUP(G1231,'CASA DE CONTROLE'!A:M,3,0)</f>
        <v>88489</v>
      </c>
      <c r="J1231" s="824"/>
      <c r="K1231" s="790" t="str">
        <f>(IF(H1231="Saneago",VLOOKUP(I1231,'SANEAGO-FEV.2016'!A:B,2,0),IF(H1231="Sinapi",VLOOKUP(I1231,'SINAPI-FEV.2017'!A:D,2,0),IF(H1231="Cotação",VLOOKUP(I1231,COTAÇÃO!A:D,2,0),IF(H1231="Composição",VLOOKUP(I1231,COMPOSIÇÃO!A:D,2,0))))))</f>
        <v>APLICAÇÃO MANUAL DE PINTURA COM TINTA LÁTEX ACRÍLICA EM PAREDES, DUAS DEMÃOS. AF_06/2014</v>
      </c>
      <c r="L1231" s="700" t="str">
        <f>(IF(H1231="Saneago",VLOOKUP(I1231,'SANEAGO-FEV.2016'!A:D,3,0),IF(H1231="Sinapi",VLOOKUP(I1231,'SINAPI-FEV.2017'!A:D,3,0),IF(H1231="Cotação",VLOOKUP(I1231,COTAÇÃO!A:D,3,0),IF(H1231="Composição",VLOOKUP(I1231,COMPOSIÇÃO!A:D,3,0))))))</f>
        <v>M2</v>
      </c>
      <c r="M1231" s="870">
        <f>ROUND(VLOOKUP(G1231,'CASA DE CONTROLE'!A:M,13,0),2)</f>
        <v>37.08</v>
      </c>
      <c r="N1231" s="399">
        <v>0</v>
      </c>
      <c r="O1231" s="102">
        <f>ROUND(IF(F1231="Serviços",N1231*(1+$O$7),IF(F1231="Materiais",N1231*(1+$O$8))),2)</f>
        <v>0</v>
      </c>
      <c r="P1231" s="101">
        <f>ROUND(M1231*O1231,2)</f>
        <v>0</v>
      </c>
      <c r="Q1231" s="1472">
        <v>49.55</v>
      </c>
    </row>
    <row r="1232" spans="1:17" ht="22.5">
      <c r="A1232" s="1482"/>
      <c r="B1232" s="1482"/>
      <c r="C1232" s="1483">
        <f t="shared" si="204"/>
        <v>6</v>
      </c>
      <c r="D1232" s="1492">
        <f t="shared" si="205"/>
        <v>9</v>
      </c>
      <c r="E1232" s="1492">
        <f t="shared" si="206"/>
        <v>4</v>
      </c>
      <c r="F1232" s="1484" t="s">
        <v>11708</v>
      </c>
      <c r="G1232" s="862" t="s">
        <v>12213</v>
      </c>
      <c r="H1232" s="823" t="str">
        <f>VLOOKUP(G1232,'CASA DE CONTROLE'!A:M,2,0)</f>
        <v>SINAPI</v>
      </c>
      <c r="I1232" s="700">
        <f>VLOOKUP(G1232,'CASA DE CONTROLE'!A:M,3,0)</f>
        <v>36881</v>
      </c>
      <c r="J1232" s="824"/>
      <c r="K1232" s="790" t="str">
        <f>(IF(H1232="Saneago",VLOOKUP(I1232,'SANEAGO-FEV.2016'!A:B,2,0),IF(H1232="Sinapi",VLOOKUP(I1232,'SINAPI-FEV.2017'!A:D,2,0),IF(H1232="Cotação",VLOOKUP(I1232,COTAÇÃO!A:D,2,0),IF(H1232="Composição",VLOOKUP(I1232,COMPOSIÇÃO!A:D,2,0))))))</f>
        <v>PASTILHA CERAMICA/PORCELANA, REVEST INT/EXT E  PISCINA, CORES FRIAS *5 X 5* CM</v>
      </c>
      <c r="L1232" s="700" t="str">
        <f>(IF(H1232="Saneago",VLOOKUP(I1232,'SANEAGO-FEV.2016'!A:D,3,0),IF(H1232="Sinapi",VLOOKUP(I1232,'SINAPI-FEV.2017'!A:D,3,0),IF(H1232="Cotação",VLOOKUP(I1232,COTAÇÃO!A:D,3,0),IF(H1232="Composição",VLOOKUP(I1232,COMPOSIÇÃO!A:D,3,0))))))</f>
        <v>M2</v>
      </c>
      <c r="M1232" s="870">
        <f>ROUND(VLOOKUP(G1232,'CASA DE CONTROLE'!A:M,13,0),2)</f>
        <v>159.44999999999999</v>
      </c>
      <c r="N1232" s="399">
        <v>0</v>
      </c>
      <c r="O1232" s="102">
        <f>ROUND(IF(F1232="Serviços",N1232*(1+$O$7),IF(F1232="Materiais",N1232*(1+$O$8))),2)</f>
        <v>0</v>
      </c>
      <c r="P1232" s="101">
        <f>ROUND(M1232*O1232,2)</f>
        <v>0</v>
      </c>
      <c r="Q1232" s="1472">
        <v>146.37</v>
      </c>
    </row>
    <row r="1233" spans="1:17" ht="33.75">
      <c r="A1233" s="1482"/>
      <c r="B1233" s="1482"/>
      <c r="C1233" s="1483">
        <f t="shared" si="204"/>
        <v>6</v>
      </c>
      <c r="D1233" s="1492">
        <f t="shared" si="205"/>
        <v>9</v>
      </c>
      <c r="E1233" s="1492">
        <f t="shared" si="206"/>
        <v>4</v>
      </c>
      <c r="F1233" s="1484" t="s">
        <v>11708</v>
      </c>
      <c r="G1233" s="862" t="s">
        <v>12214</v>
      </c>
      <c r="H1233" s="823" t="str">
        <f>VLOOKUP(G1233,'CASA DE CONTROLE'!A:M,2,0)</f>
        <v>SINAPI</v>
      </c>
      <c r="I1233" s="700">
        <f>VLOOKUP(G1233,'CASA DE CONTROLE'!A:M,3,0)</f>
        <v>87269</v>
      </c>
      <c r="J1233" s="824"/>
      <c r="K1233" s="790" t="str">
        <f>(IF(H1233="Saneago",VLOOKUP(I1233,'SANEAGO-FEV.2016'!A:B,2,0),IF(H1233="Sinapi",VLOOKUP(I1233,'SINAPI-FEV.2017'!A:D,2,0),IF(H1233="Cotação",VLOOKUP(I1233,COTAÇÃO!A:D,2,0),IF(H1233="Composição",VLOOKUP(I1233,COMPOSIÇÃO!A:D,2,0))))))</f>
        <v>REVESTIMENTO CERÂMICO PARA PAREDES INTERNAS COM PLACAS TIPO GRÊS OU SEMI-GRÊS DE DIMENSÕES 25X35 CM APLICADAS EM AMBIENTES DE ÁREA MAIOR QUE 5 M² NA ALTURA INTEIRA DAS PAREDES. AF_06/2014</v>
      </c>
      <c r="L1233" s="700" t="str">
        <f>(IF(H1233="Saneago",VLOOKUP(I1233,'SANEAGO-FEV.2016'!A:D,3,0),IF(H1233="Sinapi",VLOOKUP(I1233,'SINAPI-FEV.2017'!A:D,3,0),IF(H1233="Cotação",VLOOKUP(I1233,COTAÇÃO!A:D,3,0),IF(H1233="Composição",VLOOKUP(I1233,COMPOSIÇÃO!A:D,3,0))))))</f>
        <v>M2</v>
      </c>
      <c r="M1233" s="870">
        <f>ROUND(VLOOKUP(G1233,'CASA DE CONTROLE'!A:M,13,0),2)</f>
        <v>93.71</v>
      </c>
      <c r="N1233" s="399">
        <v>0</v>
      </c>
      <c r="O1233" s="102">
        <f>ROUND(IF(F1233="Serviços",N1233*(1+$O$7),IF(F1233="Materiais",N1233*(1+$O$8))),2)</f>
        <v>0</v>
      </c>
      <c r="P1233" s="101">
        <f>ROUND(M1233*O1233,2)</f>
        <v>0</v>
      </c>
      <c r="Q1233" s="1472">
        <v>93.71</v>
      </c>
    </row>
    <row r="1234" spans="1:17" ht="22.5">
      <c r="A1234" s="1482"/>
      <c r="B1234" s="1482"/>
      <c r="C1234" s="1483">
        <f t="shared" si="204"/>
        <v>6</v>
      </c>
      <c r="D1234" s="1492">
        <f t="shared" si="205"/>
        <v>9</v>
      </c>
      <c r="E1234" s="1492">
        <f t="shared" si="206"/>
        <v>4</v>
      </c>
      <c r="F1234" s="1484" t="s">
        <v>11708</v>
      </c>
      <c r="G1234" s="862" t="s">
        <v>12297</v>
      </c>
      <c r="H1234" s="823" t="str">
        <f>VLOOKUP(G1234,'CASA DE CONTROLE'!A:M,2,0)</f>
        <v>SINAPI</v>
      </c>
      <c r="I1234" s="700">
        <f>VLOOKUP(G1234,'CASA DE CONTROLE'!A:M,3,0)</f>
        <v>88486</v>
      </c>
      <c r="J1234" s="824"/>
      <c r="K1234" s="790" t="str">
        <f>(IF(H1234="Saneago",VLOOKUP(I1234,'SANEAGO-FEV.2016'!A:B,2,0),IF(H1234="Sinapi",VLOOKUP(I1234,'SINAPI-FEV.2017'!A:D,2,0),IF(H1234="Cotação",VLOOKUP(I1234,COTAÇÃO!A:D,2,0),IF(H1234="Composição",VLOOKUP(I1234,COMPOSIÇÃO!A:D,2,0))))))</f>
        <v>APLICAÇÃO MANUAL DE PINTURA COM TINTA LÁTEX PVA EM TETO, DUAS DEMÃOS. AF_06/2014</v>
      </c>
      <c r="L1234" s="700" t="str">
        <f>(IF(H1234="Saneago",VLOOKUP(I1234,'SANEAGO-FEV.2016'!A:D,3,0),IF(H1234="Sinapi",VLOOKUP(I1234,'SINAPI-FEV.2017'!A:D,3,0),IF(H1234="Cotação",VLOOKUP(I1234,COTAÇÃO!A:D,3,0),IF(H1234="Composição",VLOOKUP(I1234,COMPOSIÇÃO!A:D,3,0))))))</f>
        <v>M2</v>
      </c>
      <c r="M1234" s="870">
        <f>ROUND(VLOOKUP(G1234,'CASA DE CONTROLE'!A:M,13,0),2)</f>
        <v>45.53</v>
      </c>
      <c r="N1234" s="399">
        <v>0</v>
      </c>
      <c r="O1234" s="102">
        <f t="shared" si="214"/>
        <v>0</v>
      </c>
      <c r="P1234" s="101">
        <f t="shared" si="215"/>
        <v>0</v>
      </c>
      <c r="Q1234" s="1472">
        <v>45.53</v>
      </c>
    </row>
    <row r="1235" spans="1:17" ht="15.75" thickBot="1">
      <c r="A1235" s="1482"/>
      <c r="B1235" s="1482"/>
      <c r="C1235" s="1483">
        <f t="shared" si="204"/>
        <v>6</v>
      </c>
      <c r="D1235" s="1492">
        <f>D1234+A1235</f>
        <v>9</v>
      </c>
      <c r="E1235" s="1492">
        <f>E1234+B1235</f>
        <v>4</v>
      </c>
      <c r="F1235" s="1484" t="s">
        <v>11708</v>
      </c>
      <c r="G1235" s="862"/>
      <c r="H1235" s="1095"/>
      <c r="I1235" s="780"/>
      <c r="J1235" s="834"/>
      <c r="K1235" s="780"/>
      <c r="L1235" s="780"/>
      <c r="M1235" s="1270"/>
      <c r="N1235" s="400"/>
      <c r="O1235" s="122"/>
      <c r="P1235" s="123"/>
    </row>
    <row r="1236" spans="1:17" ht="16.5" customHeight="1" thickTop="1" thickBot="1">
      <c r="A1236" s="1482"/>
      <c r="B1236" s="1482"/>
      <c r="C1236" s="1483">
        <f t="shared" si="204"/>
        <v>6</v>
      </c>
      <c r="D1236" s="1492">
        <f>D1235+A1236</f>
        <v>9</v>
      </c>
      <c r="E1236" s="1492">
        <f>E1235+B1236</f>
        <v>4</v>
      </c>
      <c r="F1236" s="1484" t="s">
        <v>11708</v>
      </c>
      <c r="G1236" s="862"/>
      <c r="H1236" s="1653" t="str">
        <f>"TOTAL ITEM: "&amp;J1224 &amp;K1224</f>
        <v>TOTAL ITEM: 6.9.4 REVESTIMENTOS E PINTURAS</v>
      </c>
      <c r="I1236" s="1654"/>
      <c r="J1236" s="1654"/>
      <c r="K1236" s="1654"/>
      <c r="L1236" s="1654"/>
      <c r="M1236" s="1654"/>
      <c r="N1236" s="1654"/>
      <c r="O1236" s="1654"/>
      <c r="P1236" s="210">
        <f>SUBTOTAL(9,P1226:P1234)</f>
        <v>0</v>
      </c>
    </row>
    <row r="1237" spans="1:17" ht="15.75" thickTop="1">
      <c r="A1237" s="1482"/>
      <c r="B1237" s="1482"/>
      <c r="C1237" s="1483">
        <f t="shared" si="204"/>
        <v>6</v>
      </c>
      <c r="D1237" s="1492">
        <f t="shared" si="205"/>
        <v>9</v>
      </c>
      <c r="E1237" s="1492">
        <f t="shared" si="206"/>
        <v>4</v>
      </c>
      <c r="F1237" s="1484" t="s">
        <v>11708</v>
      </c>
      <c r="G1237" s="862"/>
      <c r="H1237" s="929"/>
      <c r="I1237" s="1371"/>
      <c r="J1237" s="1022"/>
      <c r="K1237" s="1371"/>
      <c r="L1237" s="1371"/>
      <c r="M1237" s="1536"/>
      <c r="N1237" s="394"/>
      <c r="O1237" s="728"/>
      <c r="P1237" s="95"/>
    </row>
    <row r="1238" spans="1:17">
      <c r="A1238" s="1482"/>
      <c r="B1238" s="1482">
        <v>1</v>
      </c>
      <c r="C1238" s="1483">
        <f t="shared" si="204"/>
        <v>6</v>
      </c>
      <c r="D1238" s="1492">
        <f t="shared" si="205"/>
        <v>9</v>
      </c>
      <c r="E1238" s="1492">
        <f t="shared" si="206"/>
        <v>5</v>
      </c>
      <c r="F1238" s="1484" t="s">
        <v>11708</v>
      </c>
      <c r="G1238" s="862"/>
      <c r="H1238" s="1514" t="s">
        <v>11703</v>
      </c>
      <c r="I1238" s="1515" t="s">
        <v>64</v>
      </c>
      <c r="J1238" s="1516" t="str">
        <f>CONCATENATE(C1238,".",D1238,".",E1238)</f>
        <v>6.9.5</v>
      </c>
      <c r="K1238" s="1516" t="s">
        <v>20204</v>
      </c>
      <c r="L1238" s="1517" t="s">
        <v>25</v>
      </c>
      <c r="M1238" s="1518" t="s">
        <v>11704</v>
      </c>
      <c r="N1238" s="398" t="s">
        <v>11705</v>
      </c>
      <c r="O1238" s="207" t="s">
        <v>11706</v>
      </c>
      <c r="P1238" s="208" t="s">
        <v>27</v>
      </c>
      <c r="Q1238" s="1472" t="s">
        <v>11704</v>
      </c>
    </row>
    <row r="1239" spans="1:17">
      <c r="A1239" s="1482"/>
      <c r="B1239" s="1482"/>
      <c r="C1239" s="1483">
        <f t="shared" si="204"/>
        <v>6</v>
      </c>
      <c r="D1239" s="1492">
        <f t="shared" si="205"/>
        <v>9</v>
      </c>
      <c r="E1239" s="1492">
        <f t="shared" si="206"/>
        <v>5</v>
      </c>
      <c r="F1239" s="1484" t="s">
        <v>11708</v>
      </c>
      <c r="G1239" s="862"/>
      <c r="H1239" s="1095"/>
      <c r="I1239" s="780"/>
      <c r="J1239" s="834"/>
      <c r="K1239" s="780"/>
      <c r="L1239" s="780"/>
      <c r="M1239" s="1270"/>
      <c r="N1239" s="400"/>
      <c r="O1239" s="122"/>
      <c r="P1239" s="123"/>
    </row>
    <row r="1240" spans="1:17" ht="22.5">
      <c r="A1240" s="1482"/>
      <c r="B1240" s="1482"/>
      <c r="C1240" s="1483">
        <f t="shared" si="204"/>
        <v>6</v>
      </c>
      <c r="D1240" s="1492">
        <f t="shared" si="205"/>
        <v>9</v>
      </c>
      <c r="E1240" s="1492">
        <f t="shared" si="206"/>
        <v>5</v>
      </c>
      <c r="F1240" s="1484" t="s">
        <v>11708</v>
      </c>
      <c r="G1240" s="862" t="s">
        <v>12221</v>
      </c>
      <c r="H1240" s="823" t="str">
        <f>VLOOKUP(G1240,'CASA DE CONTROLE'!A:M,2,0)</f>
        <v>SINAPI</v>
      </c>
      <c r="I1240" s="700" t="str">
        <f>VLOOKUP(G1240,'CASA DE CONTROLE'!A:M,3,0)</f>
        <v>73923/3</v>
      </c>
      <c r="J1240" s="824"/>
      <c r="K1240" s="790" t="str">
        <f>(IF(H1240="Saneago",VLOOKUP(I1240,'SANEAGO-FEV.2016'!A:B,2,0),IF(H1240="Sinapi",VLOOKUP(I1240,'SINAPI-FEV.2017'!A:D,2,0),IF(H1240="Cotação",VLOOKUP(I1240,COTAÇÃO!A:D,2,0),IF(H1240="Composição",VLOOKUP(I1240,COMPOSIÇÃO!A:D,2,0))))))</f>
        <v>PISO CIMENTADO TRACO 1:3 (CIMENTO E AREIA), COM ACABAMENTO RUSTICO E FRISADO ESPESSURA 2CM, PREPARO MANUAL</v>
      </c>
      <c r="L1240" s="700" t="str">
        <f>(IF(H1240="Saneago",VLOOKUP(I1240,'SANEAGO-FEV.2016'!A:D,3,0),IF(H1240="Sinapi",VLOOKUP(I1240,'SINAPI-FEV.2017'!A:D,3,0),IF(H1240="Cotação",VLOOKUP(I1240,COTAÇÃO!A:D,3,0),IF(H1240="Composição",VLOOKUP(I1240,COMPOSIÇÃO!A:D,3,0))))))</f>
        <v>M2</v>
      </c>
      <c r="M1240" s="870">
        <f>ROUND(VLOOKUP(G1240,'CASA DE CONTROLE'!A:M,13,0),2)</f>
        <v>45.53</v>
      </c>
      <c r="N1240" s="399">
        <v>0</v>
      </c>
      <c r="O1240" s="102">
        <f>ROUND(IF(F1240="Serviços",N1240*(1+$O$7),IF(F1240="Materiais",N1240*(1+$O$8))),2)</f>
        <v>0</v>
      </c>
      <c r="P1240" s="101">
        <f>ROUND(M1240*O1240,2)</f>
        <v>0</v>
      </c>
      <c r="Q1240" s="1472">
        <v>45.53</v>
      </c>
    </row>
    <row r="1241" spans="1:17" ht="22.5">
      <c r="A1241" s="1482"/>
      <c r="B1241" s="1482"/>
      <c r="C1241" s="1483">
        <f t="shared" si="204"/>
        <v>6</v>
      </c>
      <c r="D1241" s="1492">
        <f t="shared" si="205"/>
        <v>9</v>
      </c>
      <c r="E1241" s="1492">
        <f t="shared" si="206"/>
        <v>5</v>
      </c>
      <c r="F1241" s="1484" t="s">
        <v>11708</v>
      </c>
      <c r="G1241" s="862" t="s">
        <v>12222</v>
      </c>
      <c r="H1241" s="823" t="str">
        <f>VLOOKUP(G1241,'CASA DE CONTROLE'!A:M,2,0)</f>
        <v>SINAPI</v>
      </c>
      <c r="I1241" s="700">
        <f>VLOOKUP(G1241,'CASA DE CONTROLE'!A:M,3,0)</f>
        <v>87247</v>
      </c>
      <c r="J1241" s="824"/>
      <c r="K1241" s="790" t="str">
        <f>(IF(H1241="Saneago",VLOOKUP(I1241,'SANEAGO-FEV.2016'!A:B,2,0),IF(H1241="Sinapi",VLOOKUP(I1241,'SINAPI-FEV.2017'!A:D,2,0),IF(H1241="Cotação",VLOOKUP(I1241,COTAÇÃO!A:D,2,0),IF(H1241="Composição",VLOOKUP(I1241,COMPOSIÇÃO!A:D,2,0))))))</f>
        <v>REVESTIMENTO CERÂMICO PARA PISO COM PLACAS TIPO GRÊS DE DIMENSÕES 35X35 CM APLICADA EM AMBIENTES DE ÁREA ENTRE 5 M2 E 10 M2. AF_06/2014</v>
      </c>
      <c r="L1241" s="700" t="str">
        <f>(IF(H1241="Saneago",VLOOKUP(I1241,'SANEAGO-FEV.2016'!A:D,3,0),IF(H1241="Sinapi",VLOOKUP(I1241,'SINAPI-FEV.2017'!A:D,3,0),IF(H1241="Cotação",VLOOKUP(I1241,COTAÇÃO!A:D,3,0),IF(H1241="Composição",VLOOKUP(I1241,COMPOSIÇÃO!A:D,3,0))))))</f>
        <v>M2</v>
      </c>
      <c r="M1241" s="870">
        <f>ROUND(VLOOKUP(G1241,'CASA DE CONTROLE'!A:M,13,0),2)</f>
        <v>45.53</v>
      </c>
      <c r="N1241" s="399">
        <v>0</v>
      </c>
      <c r="O1241" s="102">
        <f>ROUND(IF(F1241="Serviços",N1241*(1+$O$7),IF(F1241="Materiais",N1241*(1+$O$8))),2)</f>
        <v>0</v>
      </c>
      <c r="P1241" s="101">
        <f>ROUND(M1241*O1241,2)</f>
        <v>0</v>
      </c>
      <c r="Q1241" s="1472">
        <v>45.53</v>
      </c>
    </row>
    <row r="1242" spans="1:17" ht="33.75">
      <c r="A1242" s="1482"/>
      <c r="B1242" s="1482"/>
      <c r="C1242" s="1483">
        <f t="shared" si="204"/>
        <v>6</v>
      </c>
      <c r="D1242" s="1492">
        <f t="shared" si="205"/>
        <v>9</v>
      </c>
      <c r="E1242" s="1492">
        <f t="shared" si="206"/>
        <v>5</v>
      </c>
      <c r="F1242" s="1484" t="s">
        <v>11708</v>
      </c>
      <c r="G1242" s="862" t="s">
        <v>12223</v>
      </c>
      <c r="H1242" s="823" t="str">
        <f>VLOOKUP(G1242,'CASA DE CONTROLE'!A:M,2,0)</f>
        <v>SINAPI</v>
      </c>
      <c r="I1242" s="700">
        <f>VLOOKUP(G1242,'CASA DE CONTROLE'!A:M,3,0)</f>
        <v>94990</v>
      </c>
      <c r="J1242" s="824"/>
      <c r="K1242" s="790" t="str">
        <f>(IF(H1242="Saneago",VLOOKUP(I1242,'SANEAGO-FEV.2016'!A:B,2,0),IF(H1242="Sinapi",VLOOKUP(I1242,'SINAPI-FEV.2017'!A:D,2,0),IF(H1242="Cotação",VLOOKUP(I1242,COTAÇÃO!A:D,2,0),IF(H1242="Composição",VLOOKUP(I1242,COMPOSIÇÃO!A:D,2,0))))))</f>
        <v>EXECUÇÃO DE PASSEIO (CALÇADA) OU PISO DE CONCRETO COM CONCRETO MOLDADO IN LOCO, FEITO EM OBRA, ACABAMENTO CONVENCIONAL, NÃO ARMADO. AF_07/2016</v>
      </c>
      <c r="L1242" s="700" t="str">
        <f>(IF(H1242="Saneago",VLOOKUP(I1242,'SANEAGO-FEV.2016'!A:D,3,0),IF(H1242="Sinapi",VLOOKUP(I1242,'SINAPI-FEV.2017'!A:D,3,0),IF(H1242="Cotação",VLOOKUP(I1242,COTAÇÃO!A:D,3,0),IF(H1242="Composição",VLOOKUP(I1242,COMPOSIÇÃO!A:D,3,0))))))</f>
        <v>M3</v>
      </c>
      <c r="M1242" s="870">
        <f>ROUND(VLOOKUP(G1242,'CASA DE CONTROLE'!A:M,13,0),2)</f>
        <v>2.0699999999999998</v>
      </c>
      <c r="N1242" s="399">
        <v>0</v>
      </c>
      <c r="O1242" s="102">
        <f>ROUND(IF(F1242="Serviços",N1242*(1+$O$7),IF(F1242="Materiais",N1242*(1+$O$8))),2)</f>
        <v>0</v>
      </c>
      <c r="P1242" s="101">
        <f>ROUND(M1242*O1242,2)</f>
        <v>0</v>
      </c>
      <c r="Q1242" s="1472">
        <v>2.0699999999999998</v>
      </c>
    </row>
    <row r="1243" spans="1:17" ht="33.75">
      <c r="A1243" s="1482"/>
      <c r="B1243" s="1482"/>
      <c r="C1243" s="1483">
        <f t="shared" si="204"/>
        <v>6</v>
      </c>
      <c r="D1243" s="1492">
        <f t="shared" si="205"/>
        <v>9</v>
      </c>
      <c r="E1243" s="1492">
        <f t="shared" si="206"/>
        <v>5</v>
      </c>
      <c r="F1243" s="1484" t="s">
        <v>11708</v>
      </c>
      <c r="G1243" s="862" t="s">
        <v>12224</v>
      </c>
      <c r="H1243" s="823" t="str">
        <f>VLOOKUP(G1243,'CASA DE CONTROLE'!A:M,2,0)</f>
        <v>SINAPI</v>
      </c>
      <c r="I1243" s="700">
        <f>VLOOKUP(G1243,'CASA DE CONTROLE'!A:M,3,0)</f>
        <v>20231</v>
      </c>
      <c r="J1243" s="824"/>
      <c r="K1243" s="790" t="str">
        <f>(IF(H1243="Saneago",VLOOKUP(I1243,'SANEAGO-FEV.2016'!A:B,2,0),IF(H1243="Sinapi",VLOOKUP(I1243,'SINAPI-FEV.2017'!A:D,2,0),IF(H1243="Cotação",VLOOKUP(I1243,COTAÇÃO!A:D,2,0),IF(H1243="Composição",VLOOKUP(I1243,COMPOSIÇÃO!A:D,2,0))))))</f>
        <v>RODAPE OU RODABANCADA EM GRANITO, POLIDO, TIPO ANDORINHA/ QUARTZ/ CASTELO/ CORUMBA OU OUTROS EQUIVALENTES DA REGIAO, H= 10 CM, E=  *2,0* CM</v>
      </c>
      <c r="L1243" s="700" t="str">
        <f>(IF(H1243="Saneago",VLOOKUP(I1243,'SANEAGO-FEV.2016'!A:D,3,0),IF(H1243="Sinapi",VLOOKUP(I1243,'SINAPI-FEV.2017'!A:D,3,0),IF(H1243="Cotação",VLOOKUP(I1243,COTAÇÃO!A:D,3,0),IF(H1243="Composição",VLOOKUP(I1243,COMPOSIÇÃO!A:D,3,0))))))</f>
        <v>M</v>
      </c>
      <c r="M1243" s="870">
        <f>ROUND(VLOOKUP(G1243,'CASA DE CONTROLE'!A:M,13,0),2)</f>
        <v>7.4</v>
      </c>
      <c r="N1243" s="399">
        <v>0</v>
      </c>
      <c r="O1243" s="102">
        <f>ROUND(IF(F1243="Serviços",N1243*(1+$O$7),IF(F1243="Materiais",N1243*(1+$O$8))),2)</f>
        <v>0</v>
      </c>
      <c r="P1243" s="101">
        <f>ROUND(M1243*O1243,2)</f>
        <v>0</v>
      </c>
      <c r="Q1243" s="1472">
        <v>7.4</v>
      </c>
    </row>
    <row r="1244" spans="1:17" ht="22.5">
      <c r="A1244" s="1482"/>
      <c r="B1244" s="1482"/>
      <c r="C1244" s="1483">
        <f t="shared" si="204"/>
        <v>6</v>
      </c>
      <c r="D1244" s="1492">
        <f t="shared" si="205"/>
        <v>9</v>
      </c>
      <c r="E1244" s="1492">
        <f t="shared" si="206"/>
        <v>5</v>
      </c>
      <c r="F1244" s="1484" t="s">
        <v>11708</v>
      </c>
      <c r="G1244" s="862" t="s">
        <v>12225</v>
      </c>
      <c r="H1244" s="823" t="str">
        <f>VLOOKUP(G1244,'CASA DE CONTROLE'!A:M,2,0)</f>
        <v>SINAPI</v>
      </c>
      <c r="I1244" s="700">
        <f>VLOOKUP(G1244,'CASA DE CONTROLE'!A:M,3,0)</f>
        <v>20232</v>
      </c>
      <c r="J1244" s="824"/>
      <c r="K1244" s="790" t="str">
        <f>(IF(H1244="Saneago",VLOOKUP(I1244,'SANEAGO-FEV.2016'!A:B,2,0),IF(H1244="Sinapi",VLOOKUP(I1244,'SINAPI-FEV.2017'!A:D,2,0),IF(H1244="Cotação",VLOOKUP(I1244,COTAÇÃO!A:D,2,0),IF(H1244="Composição",VLOOKUP(I1244,COMPOSIÇÃO!A:D,2,0))))))</f>
        <v>SOLEIRA EM GRANITO, POLIDO, TIPO ANDORINHA/ QUARTZ/ CASTELO/ CORUMBA OU OUTROS EQUIVALENTES DA REGIAO, L= *15* CM, E=  *2,0* CM</v>
      </c>
      <c r="L1244" s="700" t="str">
        <f>(IF(H1244="Saneago",VLOOKUP(I1244,'SANEAGO-FEV.2016'!A:D,3,0),IF(H1244="Sinapi",VLOOKUP(I1244,'SINAPI-FEV.2017'!A:D,3,0),IF(H1244="Cotação",VLOOKUP(I1244,COTAÇÃO!A:D,3,0),IF(H1244="Composição",VLOOKUP(I1244,COMPOSIÇÃO!A:D,3,0))))))</f>
        <v>M</v>
      </c>
      <c r="M1244" s="870">
        <f>ROUND(VLOOKUP(G1244,'CASA DE CONTROLE'!A:M,13,0),2)</f>
        <v>7.28</v>
      </c>
      <c r="N1244" s="399">
        <v>0</v>
      </c>
      <c r="O1244" s="102">
        <f>ROUND(IF(F1244="Serviços",N1244*(1+$O$7),IF(F1244="Materiais",N1244*(1+$O$8))),2)</f>
        <v>0</v>
      </c>
      <c r="P1244" s="101">
        <f>ROUND(M1244*O1244,2)</f>
        <v>0</v>
      </c>
      <c r="Q1244" s="1472">
        <v>7.28</v>
      </c>
    </row>
    <row r="1245" spans="1:17" ht="15.75" thickBot="1">
      <c r="A1245" s="1482"/>
      <c r="B1245" s="1482"/>
      <c r="C1245" s="1483">
        <f t="shared" si="204"/>
        <v>6</v>
      </c>
      <c r="D1245" s="1492">
        <f t="shared" si="205"/>
        <v>9</v>
      </c>
      <c r="E1245" s="1492">
        <f t="shared" si="206"/>
        <v>5</v>
      </c>
      <c r="F1245" s="1484" t="s">
        <v>11708</v>
      </c>
      <c r="G1245" s="862"/>
      <c r="H1245" s="929"/>
      <c r="I1245" s="1371"/>
      <c r="J1245" s="1022"/>
      <c r="K1245" s="1371"/>
      <c r="L1245" s="1371"/>
      <c r="M1245" s="1536"/>
      <c r="N1245" s="394"/>
      <c r="O1245" s="728"/>
      <c r="P1245" s="95"/>
    </row>
    <row r="1246" spans="1:17" ht="16.5" customHeight="1" thickTop="1" thickBot="1">
      <c r="A1246" s="1482"/>
      <c r="B1246" s="1482"/>
      <c r="C1246" s="1483">
        <f t="shared" si="204"/>
        <v>6</v>
      </c>
      <c r="D1246" s="1492">
        <f t="shared" si="205"/>
        <v>9</v>
      </c>
      <c r="E1246" s="1492">
        <f t="shared" si="206"/>
        <v>5</v>
      </c>
      <c r="F1246" s="1484" t="s">
        <v>11708</v>
      </c>
      <c r="G1246" s="862"/>
      <c r="H1246" s="1653" t="str">
        <f>"TOTAL ITEM: "&amp;J1238 &amp;K1238</f>
        <v xml:space="preserve">TOTAL ITEM: 6.9.5 REGULARIZAÇÃO DE PISO </v>
      </c>
      <c r="I1246" s="1654"/>
      <c r="J1246" s="1654"/>
      <c r="K1246" s="1654"/>
      <c r="L1246" s="1654"/>
      <c r="M1246" s="1654"/>
      <c r="N1246" s="1654"/>
      <c r="O1246" s="1654"/>
      <c r="P1246" s="210">
        <f>SUBTOTAL(9,P1240:P1244)</f>
        <v>0</v>
      </c>
    </row>
    <row r="1247" spans="1:17" ht="15.75" thickTop="1">
      <c r="A1247" s="1482"/>
      <c r="B1247" s="1482"/>
      <c r="C1247" s="1483">
        <f t="shared" si="204"/>
        <v>6</v>
      </c>
      <c r="D1247" s="1492">
        <f t="shared" si="205"/>
        <v>9</v>
      </c>
      <c r="E1247" s="1492">
        <f t="shared" si="206"/>
        <v>5</v>
      </c>
      <c r="F1247" s="1484" t="s">
        <v>11708</v>
      </c>
      <c r="G1247" s="862"/>
      <c r="H1247" s="929"/>
      <c r="I1247" s="1371"/>
      <c r="J1247" s="1022"/>
      <c r="K1247" s="1371"/>
      <c r="L1247" s="1371"/>
      <c r="M1247" s="1536"/>
      <c r="N1247" s="394"/>
      <c r="O1247" s="728"/>
      <c r="P1247" s="95"/>
    </row>
    <row r="1248" spans="1:17">
      <c r="A1248" s="1482"/>
      <c r="B1248" s="1482">
        <v>1</v>
      </c>
      <c r="C1248" s="1483">
        <f t="shared" si="204"/>
        <v>6</v>
      </c>
      <c r="D1248" s="1492">
        <f t="shared" si="205"/>
        <v>9</v>
      </c>
      <c r="E1248" s="1492">
        <f t="shared" si="206"/>
        <v>6</v>
      </c>
      <c r="F1248" s="1484" t="s">
        <v>11708</v>
      </c>
      <c r="G1248" s="862"/>
      <c r="H1248" s="1514" t="s">
        <v>11703</v>
      </c>
      <c r="I1248" s="1515" t="s">
        <v>64</v>
      </c>
      <c r="J1248" s="1516" t="str">
        <f>CONCATENATE(C1248,".",D1248,".",E1248)</f>
        <v>6.9.6</v>
      </c>
      <c r="K1248" s="1516" t="s">
        <v>11738</v>
      </c>
      <c r="L1248" s="1517" t="s">
        <v>25</v>
      </c>
      <c r="M1248" s="1518" t="s">
        <v>11704</v>
      </c>
      <c r="N1248" s="398" t="s">
        <v>11705</v>
      </c>
      <c r="O1248" s="207" t="s">
        <v>11706</v>
      </c>
      <c r="P1248" s="208" t="s">
        <v>27</v>
      </c>
      <c r="Q1248" s="1472" t="s">
        <v>11704</v>
      </c>
    </row>
    <row r="1249" spans="1:17">
      <c r="A1249" s="1482"/>
      <c r="B1249" s="1482"/>
      <c r="C1249" s="1483">
        <f t="shared" si="204"/>
        <v>6</v>
      </c>
      <c r="D1249" s="1492">
        <f t="shared" si="205"/>
        <v>9</v>
      </c>
      <c r="E1249" s="1492">
        <f t="shared" si="206"/>
        <v>6</v>
      </c>
      <c r="F1249" s="1484" t="s">
        <v>11708</v>
      </c>
      <c r="G1249" s="862"/>
      <c r="H1249" s="1095"/>
      <c r="I1249" s="780"/>
      <c r="J1249" s="834"/>
      <c r="K1249" s="780"/>
      <c r="L1249" s="780"/>
      <c r="M1249" s="1270"/>
      <c r="N1249" s="400"/>
      <c r="O1249" s="122"/>
      <c r="P1249" s="123"/>
    </row>
    <row r="1250" spans="1:17">
      <c r="A1250" s="1482"/>
      <c r="B1250" s="1482"/>
      <c r="C1250" s="1483">
        <f t="shared" si="204"/>
        <v>6</v>
      </c>
      <c r="D1250" s="1492">
        <f t="shared" si="205"/>
        <v>9</v>
      </c>
      <c r="E1250" s="1492">
        <f t="shared" si="206"/>
        <v>6</v>
      </c>
      <c r="F1250" s="1484" t="s">
        <v>11708</v>
      </c>
      <c r="G1250" s="862" t="s">
        <v>12133</v>
      </c>
      <c r="H1250" s="823" t="str">
        <f>VLOOKUP(G1250,'CASA DE CONTROLE'!A:M,2,0)</f>
        <v>SANEAGO</v>
      </c>
      <c r="I1250" s="700">
        <f>VLOOKUP(G1250,'CASA DE CONTROLE'!A:M,3,0)</f>
        <v>409</v>
      </c>
      <c r="J1250" s="824"/>
      <c r="K1250" s="790" t="str">
        <f>(IF(H1250="Saneago",VLOOKUP(I1250,'SANEAGO-FEV.2016'!A:B,2,0),IF(H1250="Sinapi",VLOOKUP(I1250,'SINAPI-FEV.2017'!A:D,2,0),IF(H1250="Cotação",VLOOKUP(I1250,COTAÇÃO!A:D,2,0),IF(H1250="Composição",VLOOKUP(I1250,COMPOSIÇÃO!A:D,2,0))))))</f>
        <v>COBERTURA  COM TELHAS ONDULADAS  FIBRO CIMENTO ESP.=6 MM</v>
      </c>
      <c r="L1250" s="700" t="str">
        <f>(IF(H1250="Saneago",VLOOKUP(I1250,'SANEAGO-FEV.2016'!A:D,3,0),IF(H1250="Sinapi",VLOOKUP(I1250,'SINAPI-FEV.2017'!A:D,3,0),IF(H1250="Cotação",VLOOKUP(I1250,COTAÇÃO!A:D,3,0),IF(H1250="Composição",VLOOKUP(I1250,COMPOSIÇÃO!A:D,3,0))))))</f>
        <v>M2</v>
      </c>
      <c r="M1250" s="870">
        <f>ROUND(VLOOKUP(G1250,'CASA DE CONTROLE'!A:M,13,0),2)</f>
        <v>45.53</v>
      </c>
      <c r="N1250" s="399">
        <v>0</v>
      </c>
      <c r="O1250" s="102">
        <f t="shared" ref="O1250:O1255" si="216">ROUND(IF(F1250="Serviços",N1250*(1+$O$7),IF(F1250="Materiais",N1250*(1+$O$8))),2)</f>
        <v>0</v>
      </c>
      <c r="P1250" s="101">
        <f t="shared" ref="P1250:P1255" si="217">ROUND(M1250*O1250,2)</f>
        <v>0</v>
      </c>
      <c r="Q1250" s="1472">
        <v>45.53</v>
      </c>
    </row>
    <row r="1251" spans="1:17" ht="33.75">
      <c r="A1251" s="1482"/>
      <c r="B1251" s="1482"/>
      <c r="C1251" s="1483">
        <f t="shared" ref="C1251:C1319" si="218">C1250</f>
        <v>6</v>
      </c>
      <c r="D1251" s="1492">
        <f t="shared" si="205"/>
        <v>9</v>
      </c>
      <c r="E1251" s="1492">
        <f t="shared" si="206"/>
        <v>6</v>
      </c>
      <c r="F1251" s="1484" t="s">
        <v>11708</v>
      </c>
      <c r="G1251" s="862" t="s">
        <v>12134</v>
      </c>
      <c r="H1251" s="823" t="str">
        <f>VLOOKUP(G1251,'CASA DE CONTROLE'!A:M,2,0)</f>
        <v>SINAPI</v>
      </c>
      <c r="I1251" s="700">
        <f>VLOOKUP(G1251,'CASA DE CONTROLE'!A:M,3,0)</f>
        <v>92580</v>
      </c>
      <c r="J1251" s="824"/>
      <c r="K1251" s="790" t="str">
        <f>(IF(H1251="Saneago",VLOOKUP(I1251,'SANEAGO-FEV.2016'!A:B,2,0),IF(H1251="Sinapi",VLOOKUP(I1251,'SINAPI-FEV.2017'!A:D,2,0),IF(H1251="Cotação",VLOOKUP(I1251,COTAÇÃO!A:D,2,0),IF(H1251="Composição",VLOOKUP(I1251,COMPOSIÇÃO!A:D,2,0))))))</f>
        <v>TRAMA DE AÇO COMPOSTA POR TERÇAS PARA TELHADOS DE ATÉ 2 ÁGUAS PARA TELHA ONDULADA DE FIBROCIMENTO, METÁLICA, PLÁSTICA OU TERMOACÚSTICA, INCLUSO TRANSPORTE VERTICAL. AF_12/2015</v>
      </c>
      <c r="L1251" s="700" t="str">
        <f>(IF(H1251="Saneago",VLOOKUP(I1251,'SANEAGO-FEV.2016'!A:D,3,0),IF(H1251="Sinapi",VLOOKUP(I1251,'SINAPI-FEV.2017'!A:D,3,0),IF(H1251="Cotação",VLOOKUP(I1251,COTAÇÃO!A:D,3,0),IF(H1251="Composição",VLOOKUP(I1251,COMPOSIÇÃO!A:D,3,0))))))</f>
        <v>M2</v>
      </c>
      <c r="M1251" s="870">
        <f>ROUND(VLOOKUP(G1251,'CASA DE CONTROLE'!A:M,13,0),2)</f>
        <v>45.53</v>
      </c>
      <c r="N1251" s="399">
        <v>0</v>
      </c>
      <c r="O1251" s="102">
        <f t="shared" si="216"/>
        <v>0</v>
      </c>
      <c r="P1251" s="101">
        <f t="shared" si="217"/>
        <v>0</v>
      </c>
      <c r="Q1251" s="1472">
        <v>45.53</v>
      </c>
    </row>
    <row r="1252" spans="1:17">
      <c r="A1252" s="1482"/>
      <c r="B1252" s="1482"/>
      <c r="C1252" s="1483">
        <f t="shared" si="218"/>
        <v>6</v>
      </c>
      <c r="D1252" s="1492">
        <f t="shared" ref="D1252:D1320" si="219">D1251+A1252</f>
        <v>9</v>
      </c>
      <c r="E1252" s="1492">
        <f t="shared" ref="E1252:E1320" si="220">E1251+B1252</f>
        <v>6</v>
      </c>
      <c r="F1252" s="1484" t="s">
        <v>11708</v>
      </c>
      <c r="G1252" s="862" t="s">
        <v>12135</v>
      </c>
      <c r="H1252" s="823" t="str">
        <f>VLOOKUP(G1252,'CASA DE CONTROLE'!A:M,2,0)</f>
        <v>SINAPI</v>
      </c>
      <c r="I1252" s="700">
        <f>VLOOKUP(G1252,'CASA DE CONTROLE'!A:M,3,0)</f>
        <v>1109</v>
      </c>
      <c r="J1252" s="824"/>
      <c r="K1252" s="790" t="str">
        <f>(IF(H1252="Saneago",VLOOKUP(I1252,'SANEAGO-FEV.2016'!A:B,2,0),IF(H1252="Sinapi",VLOOKUP(I1252,'SINAPI-FEV.2017'!A:D,2,0),IF(H1252="Cotação",VLOOKUP(I1252,COTAÇÃO!A:D,2,0),IF(H1252="Composição",VLOOKUP(I1252,COMPOSIÇÃO!A:D,2,0))))))</f>
        <v>CALHA QUADRADA DE CHAPA DE ACO GALVANIZADA NUM 26, CORTE 33 CM</v>
      </c>
      <c r="L1252" s="700" t="str">
        <f>(IF(H1252="Saneago",VLOOKUP(I1252,'SANEAGO-FEV.2016'!A:D,3,0),IF(H1252="Sinapi",VLOOKUP(I1252,'SINAPI-FEV.2017'!A:D,3,0),IF(H1252="Cotação",VLOOKUP(I1252,COTAÇÃO!A:D,3,0),IF(H1252="Composição",VLOOKUP(I1252,COMPOSIÇÃO!A:D,3,0))))))</f>
        <v>M</v>
      </c>
      <c r="M1252" s="870">
        <f>ROUND(VLOOKUP(G1252,'CASA DE CONTROLE'!A:M,13,0),2)</f>
        <v>24.35</v>
      </c>
      <c r="N1252" s="399">
        <v>0</v>
      </c>
      <c r="O1252" s="102">
        <f t="shared" si="216"/>
        <v>0</v>
      </c>
      <c r="P1252" s="101">
        <f t="shared" si="217"/>
        <v>0</v>
      </c>
      <c r="Q1252" s="1472">
        <v>24.35</v>
      </c>
    </row>
    <row r="1253" spans="1:17" ht="22.5">
      <c r="A1253" s="1482"/>
      <c r="B1253" s="1482"/>
      <c r="C1253" s="1483">
        <f t="shared" si="218"/>
        <v>6</v>
      </c>
      <c r="D1253" s="1492">
        <f t="shared" si="219"/>
        <v>9</v>
      </c>
      <c r="E1253" s="1492">
        <f t="shared" si="220"/>
        <v>6</v>
      </c>
      <c r="F1253" s="1484" t="s">
        <v>11708</v>
      </c>
      <c r="G1253" s="862" t="s">
        <v>12136</v>
      </c>
      <c r="H1253" s="823" t="str">
        <f>VLOOKUP(G1253,'CASA DE CONTROLE'!A:M,2,0)</f>
        <v>SINAPI</v>
      </c>
      <c r="I1253" s="700">
        <f>VLOOKUP(G1253,'CASA DE CONTROLE'!A:M,3,0)</f>
        <v>7219</v>
      </c>
      <c r="J1253" s="824"/>
      <c r="K1253" s="790" t="str">
        <f>(IF(H1253="Saneago",VLOOKUP(I1253,'SANEAGO-FEV.2016'!A:B,2,0),IF(H1253="Sinapi",VLOOKUP(I1253,'SINAPI-FEV.2017'!A:D,2,0),IF(H1253="Cotação",VLOOKUP(I1253,COTAÇÃO!A:D,2,0),IF(H1253="Composição",VLOOKUP(I1253,COMPOSIÇÃO!A:D,2,0))))))</f>
        <v>CUMEEIRA UNIVERSAL PARA TELHA ONDULADA DE FIBROCIMENTO, E = 6 MM, ABA 210 MM, COMPRIMENTO 1100 MM (SEM AMIANTO)</v>
      </c>
      <c r="L1253" s="700" t="str">
        <f>(IF(H1253="Saneago",VLOOKUP(I1253,'SANEAGO-FEV.2016'!A:D,3,0),IF(H1253="Sinapi",VLOOKUP(I1253,'SINAPI-FEV.2017'!A:D,3,0),IF(H1253="Cotação",VLOOKUP(I1253,COTAÇÃO!A:D,3,0),IF(H1253="Composição",VLOOKUP(I1253,COMPOSIÇÃO!A:D,3,0))))))</f>
        <v>UN</v>
      </c>
      <c r="M1253" s="870">
        <f>ROUND(VLOOKUP(G1253,'CASA DE CONTROLE'!A:M,13,0),2)</f>
        <v>14.45</v>
      </c>
      <c r="N1253" s="399">
        <v>0</v>
      </c>
      <c r="O1253" s="102">
        <f t="shared" si="216"/>
        <v>0</v>
      </c>
      <c r="P1253" s="101">
        <f t="shared" si="217"/>
        <v>0</v>
      </c>
      <c r="Q1253" s="1472">
        <v>14.45</v>
      </c>
    </row>
    <row r="1254" spans="1:17" ht="25.5" customHeight="1">
      <c r="A1254" s="1482"/>
      <c r="B1254" s="1482"/>
      <c r="C1254" s="1483">
        <f t="shared" si="218"/>
        <v>6</v>
      </c>
      <c r="D1254" s="1492">
        <f t="shared" si="219"/>
        <v>9</v>
      </c>
      <c r="E1254" s="1492">
        <f t="shared" si="220"/>
        <v>6</v>
      </c>
      <c r="F1254" s="1484" t="s">
        <v>11708</v>
      </c>
      <c r="G1254" s="862" t="s">
        <v>12137</v>
      </c>
      <c r="H1254" s="823" t="str">
        <f>VLOOKUP(G1254,'CASA DE CONTROLE'!A:M,2,0)</f>
        <v>SINAPI</v>
      </c>
      <c r="I1254" s="700">
        <f>VLOOKUP(G1254,'CASA DE CONTROLE'!A:M,3,0)</f>
        <v>1113</v>
      </c>
      <c r="J1254" s="824"/>
      <c r="K1254" s="790" t="str">
        <f>(IF(H1254="Saneago",VLOOKUP(I1254,'SANEAGO-FEV.2016'!A:B,2,0),IF(H1254="Sinapi",VLOOKUP(I1254,'SINAPI-FEV.2017'!A:D,2,0),IF(H1254="Cotação",VLOOKUP(I1254,COTAÇÃO!A:D,2,0),IF(H1254="Composição",VLOOKUP(I1254,COMPOSIÇÃO!A:D,2,0))))))</f>
        <v>RUFO EXTERNO/INTERNO DE CHAPA DE ACO GALVANIZADA NUM 26, CORTE 33 CM</v>
      </c>
      <c r="L1254" s="700" t="str">
        <f>(IF(H1254="Saneago",VLOOKUP(I1254,'SANEAGO-FEV.2016'!A:D,3,0),IF(H1254="Sinapi",VLOOKUP(I1254,'SINAPI-FEV.2017'!A:D,3,0),IF(H1254="Cotação",VLOOKUP(I1254,COTAÇÃO!A:D,3,0),IF(H1254="Composição",VLOOKUP(I1254,COMPOSIÇÃO!A:D,3,0))))))</f>
        <v>M</v>
      </c>
      <c r="M1254" s="870">
        <f>ROUND(VLOOKUP(G1254,'CASA DE CONTROLE'!A:M,13,0),2)</f>
        <v>18.55</v>
      </c>
      <c r="N1254" s="399">
        <v>0</v>
      </c>
      <c r="O1254" s="102">
        <f t="shared" si="216"/>
        <v>0</v>
      </c>
      <c r="P1254" s="101">
        <f t="shared" si="217"/>
        <v>0</v>
      </c>
      <c r="Q1254" s="1472">
        <v>18.55</v>
      </c>
    </row>
    <row r="1255" spans="1:17" ht="22.5">
      <c r="A1255" s="1482"/>
      <c r="B1255" s="1482"/>
      <c r="C1255" s="1483">
        <f t="shared" si="218"/>
        <v>6</v>
      </c>
      <c r="D1255" s="1492">
        <f t="shared" si="219"/>
        <v>9</v>
      </c>
      <c r="E1255" s="1492">
        <f t="shared" si="220"/>
        <v>6</v>
      </c>
      <c r="F1255" s="1484" t="s">
        <v>11708</v>
      </c>
      <c r="G1255" s="862" t="s">
        <v>12138</v>
      </c>
      <c r="H1255" s="823" t="str">
        <f>VLOOKUP(G1255,'CASA DE CONTROLE'!A:M,2,0)</f>
        <v>SINAPI</v>
      </c>
      <c r="I1255" s="700">
        <f>VLOOKUP(G1255,'CASA DE CONTROLE'!A:M,3,0)</f>
        <v>73549</v>
      </c>
      <c r="J1255" s="824"/>
      <c r="K1255" s="790" t="str">
        <f>(IF(H1255="Saneago",VLOOKUP(I1255,'SANEAGO-FEV.2016'!A:B,2,0),IF(H1255="Sinapi",VLOOKUP(I1255,'SINAPI-FEV.2017'!A:D,2,0),IF(H1255="Cotação",VLOOKUP(I1255,COTAÇÃO!A:D,2,0),IF(H1255="Composição",VLOOKUP(I1255,COMPOSIÇÃO!A:D,2,0))))))</f>
        <v>ARGAMASSA TRACO 1:4 (CIMENTO E AREIA), PREPARO MANUAL, INCLUSO ADITIVO IMPERMEABILIZANTE</v>
      </c>
      <c r="L1255" s="700" t="str">
        <f>(IF(H1255="Saneago",VLOOKUP(I1255,'SANEAGO-FEV.2016'!A:D,3,0),IF(H1255="Sinapi",VLOOKUP(I1255,'SINAPI-FEV.2017'!A:D,3,0),IF(H1255="Cotação",VLOOKUP(I1255,COTAÇÃO!A:D,3,0),IF(H1255="Composição",VLOOKUP(I1255,COMPOSIÇÃO!A:D,3,0))))))</f>
        <v>M3</v>
      </c>
      <c r="M1255" s="870">
        <f>ROUND(VLOOKUP(G1255,'CASA DE CONTROLE'!A:M,13,0),2)</f>
        <v>0.52</v>
      </c>
      <c r="N1255" s="399">
        <v>0</v>
      </c>
      <c r="O1255" s="102">
        <f t="shared" si="216"/>
        <v>0</v>
      </c>
      <c r="P1255" s="101">
        <f t="shared" si="217"/>
        <v>0</v>
      </c>
      <c r="Q1255" s="1472">
        <v>0.52</v>
      </c>
    </row>
    <row r="1256" spans="1:17" ht="15.75" thickBot="1">
      <c r="A1256" s="1482"/>
      <c r="B1256" s="1482"/>
      <c r="C1256" s="1483">
        <f t="shared" si="218"/>
        <v>6</v>
      </c>
      <c r="D1256" s="1492">
        <f>D1255+A1256</f>
        <v>9</v>
      </c>
      <c r="E1256" s="1492">
        <f>E1255+B1256</f>
        <v>6</v>
      </c>
      <c r="F1256" s="1484" t="s">
        <v>11708</v>
      </c>
      <c r="G1256" s="905"/>
      <c r="H1256" s="929"/>
      <c r="I1256" s="1371"/>
      <c r="J1256" s="1022"/>
      <c r="K1256" s="1371"/>
      <c r="L1256" s="1371"/>
      <c r="M1256" s="1536"/>
      <c r="N1256" s="394"/>
      <c r="O1256" s="728"/>
      <c r="P1256" s="95"/>
    </row>
    <row r="1257" spans="1:17" ht="16.5" customHeight="1" thickTop="1" thickBot="1">
      <c r="A1257" s="1482"/>
      <c r="B1257" s="1482"/>
      <c r="C1257" s="1483">
        <f t="shared" si="218"/>
        <v>6</v>
      </c>
      <c r="D1257" s="1492">
        <f>D1256+A1257</f>
        <v>9</v>
      </c>
      <c r="E1257" s="1492">
        <f>E1256+B1257</f>
        <v>6</v>
      </c>
      <c r="F1257" s="1484" t="s">
        <v>11708</v>
      </c>
      <c r="G1257" s="862"/>
      <c r="H1257" s="1653" t="str">
        <f>"TOTAL ITEM: "&amp;J1248 &amp;K1248</f>
        <v>TOTAL ITEM: 6.9.6 DIVERSOS</v>
      </c>
      <c r="I1257" s="1654"/>
      <c r="J1257" s="1654"/>
      <c r="K1257" s="1654"/>
      <c r="L1257" s="1654"/>
      <c r="M1257" s="1654"/>
      <c r="N1257" s="1654"/>
      <c r="O1257" s="1654"/>
      <c r="P1257" s="210">
        <f>SUBTOTAL(9,P1250:P1255)</f>
        <v>0</v>
      </c>
    </row>
    <row r="1258" spans="1:17" ht="15.75" thickTop="1">
      <c r="A1258" s="1482"/>
      <c r="B1258" s="1482"/>
      <c r="C1258" s="1483">
        <f t="shared" si="218"/>
        <v>6</v>
      </c>
      <c r="D1258" s="1492">
        <f t="shared" si="219"/>
        <v>9</v>
      </c>
      <c r="E1258" s="1492">
        <f t="shared" si="220"/>
        <v>6</v>
      </c>
      <c r="F1258" s="1484" t="s">
        <v>11708</v>
      </c>
      <c r="G1258" s="905"/>
      <c r="H1258" s="929"/>
      <c r="I1258" s="1371"/>
      <c r="J1258" s="1022"/>
      <c r="K1258" s="1371"/>
      <c r="L1258" s="1371"/>
      <c r="M1258" s="1536"/>
      <c r="N1258" s="394"/>
      <c r="O1258" s="728"/>
      <c r="P1258" s="95"/>
    </row>
    <row r="1259" spans="1:17">
      <c r="A1259" s="1482"/>
      <c r="B1259" s="1482">
        <v>1</v>
      </c>
      <c r="C1259" s="1483">
        <f t="shared" si="218"/>
        <v>6</v>
      </c>
      <c r="D1259" s="1492">
        <f t="shared" si="219"/>
        <v>9</v>
      </c>
      <c r="E1259" s="1492">
        <f t="shared" si="220"/>
        <v>7</v>
      </c>
      <c r="F1259" s="1484" t="s">
        <v>11708</v>
      </c>
      <c r="G1259" s="862"/>
      <c r="H1259" s="1514" t="s">
        <v>11703</v>
      </c>
      <c r="I1259" s="1515" t="s">
        <v>64</v>
      </c>
      <c r="J1259" s="1516" t="str">
        <f>CONCATENATE(C1259,".",D1259,".",E1259)</f>
        <v>6.9.7</v>
      </c>
      <c r="K1259" s="1516" t="s">
        <v>11738</v>
      </c>
      <c r="L1259" s="1517" t="s">
        <v>25</v>
      </c>
      <c r="M1259" s="1518" t="s">
        <v>11704</v>
      </c>
      <c r="N1259" s="398" t="s">
        <v>11705</v>
      </c>
      <c r="O1259" s="207" t="s">
        <v>11706</v>
      </c>
      <c r="P1259" s="208" t="s">
        <v>27</v>
      </c>
      <c r="Q1259" s="1472" t="s">
        <v>11704</v>
      </c>
    </row>
    <row r="1260" spans="1:17">
      <c r="A1260" s="1482"/>
      <c r="B1260" s="1482"/>
      <c r="C1260" s="1483">
        <f t="shared" si="218"/>
        <v>6</v>
      </c>
      <c r="D1260" s="1492">
        <f t="shared" si="219"/>
        <v>9</v>
      </c>
      <c r="E1260" s="1492">
        <f t="shared" si="220"/>
        <v>7</v>
      </c>
      <c r="F1260" s="1484" t="s">
        <v>11708</v>
      </c>
      <c r="G1260" s="862"/>
      <c r="H1260" s="1095"/>
      <c r="I1260" s="780"/>
      <c r="J1260" s="834"/>
      <c r="K1260" s="780"/>
      <c r="L1260" s="780"/>
      <c r="M1260" s="1270"/>
      <c r="N1260" s="400"/>
      <c r="O1260" s="122"/>
      <c r="P1260" s="123"/>
    </row>
    <row r="1261" spans="1:17" ht="22.5">
      <c r="A1261" s="1482"/>
      <c r="B1261" s="1482"/>
      <c r="C1261" s="1483">
        <f t="shared" si="218"/>
        <v>6</v>
      </c>
      <c r="D1261" s="1492">
        <f t="shared" si="219"/>
        <v>9</v>
      </c>
      <c r="E1261" s="1492">
        <f t="shared" si="220"/>
        <v>7</v>
      </c>
      <c r="F1261" s="1484" t="s">
        <v>11708</v>
      </c>
      <c r="G1261" s="862" t="s">
        <v>12226</v>
      </c>
      <c r="H1261" s="823" t="str">
        <f>VLOOKUP(G1261,'CASA DE CONTROLE'!A:M,2,0)</f>
        <v>SINAPI</v>
      </c>
      <c r="I1261" s="700">
        <f>VLOOKUP(G1261,'CASA DE CONTROLE'!A:M,3,0)</f>
        <v>11795</v>
      </c>
      <c r="J1261" s="824"/>
      <c r="K1261" s="790" t="str">
        <f>(IF(H1261="Saneago",VLOOKUP(I1261,'SANEAGO-FEV.2016'!A:B,2,0),IF(H1261="Sinapi",VLOOKUP(I1261,'SINAPI-FEV.2017'!A:D,2,0),IF(H1261="Cotação",VLOOKUP(I1261,COTAÇÃO!A:D,2,0),IF(H1261="Composição",VLOOKUP(I1261,COMPOSIÇÃO!A:D,2,0))))))</f>
        <v>GRANITO PARA BANCADA, POLIDO, TIPO ANDORINHA/ QUARTZ/ CASTELO/ CORUMBA OU OUTROS EQUIVALENTES DA REGIAO, E=  *2,5* CM</v>
      </c>
      <c r="L1261" s="700" t="str">
        <f>(IF(H1261="Saneago",VLOOKUP(I1261,'SANEAGO-FEV.2016'!A:D,3,0),IF(H1261="Sinapi",VLOOKUP(I1261,'SINAPI-FEV.2017'!A:D,3,0),IF(H1261="Cotação",VLOOKUP(I1261,COTAÇÃO!A:D,3,0),IF(H1261="Composição",VLOOKUP(I1261,COMPOSIÇÃO!A:D,3,0))))))</f>
        <v>M2</v>
      </c>
      <c r="M1261" s="870">
        <f>ROUND(VLOOKUP(G1261,'CASA DE CONTROLE'!A:M,13,0),2)</f>
        <v>3.96</v>
      </c>
      <c r="N1261" s="399">
        <v>0</v>
      </c>
      <c r="O1261" s="102">
        <f>ROUND(IF(F1261="Serviços",N1261*(1+$O$7),IF(F1261="Materiais",N1261*(1+$O$8))),2)</f>
        <v>0</v>
      </c>
      <c r="P1261" s="101">
        <f>ROUND(M1261*O1261,2)</f>
        <v>0</v>
      </c>
      <c r="Q1261" s="1472">
        <v>3.96</v>
      </c>
    </row>
    <row r="1262" spans="1:17">
      <c r="A1262" s="1482"/>
      <c r="B1262" s="1482"/>
      <c r="C1262" s="1483">
        <f t="shared" si="218"/>
        <v>6</v>
      </c>
      <c r="D1262" s="1492">
        <f t="shared" si="219"/>
        <v>9</v>
      </c>
      <c r="E1262" s="1492">
        <f t="shared" si="220"/>
        <v>7</v>
      </c>
      <c r="F1262" s="1484" t="s">
        <v>11708</v>
      </c>
      <c r="G1262" s="862" t="s">
        <v>12299</v>
      </c>
      <c r="H1262" s="823" t="str">
        <f>VLOOKUP(G1262,'CASA DE CONTROLE'!A:M,2,0)</f>
        <v>COTAÇÃO</v>
      </c>
      <c r="I1262" s="700" t="str">
        <f>VLOOKUP(G1262,'CASA DE CONTROLE'!A:M,3,0)</f>
        <v>CT_ARMARIO</v>
      </c>
      <c r="J1262" s="824"/>
      <c r="K1262" s="790" t="str">
        <f>(IF(H1262="Saneago",VLOOKUP(I1262,'SANEAGO-FEV.2016'!A:B,2,0),IF(H1262="Sinapi",VLOOKUP(I1262,'SINAPI-FEV.2017'!A:D,2,0),IF(H1262="Cotação",VLOOKUP(I1262,COTAÇÃO!A:D,2,0),IF(H1262="Composição",VLOOKUP(I1262,COMPOSIÇÃO!A:D,2,0))))))</f>
        <v>Armario de cozinha</v>
      </c>
      <c r="L1262" s="700" t="str">
        <f>(IF(H1262="Saneago",VLOOKUP(I1262,'SANEAGO-FEV.2016'!A:D,3,0),IF(H1262="Sinapi",VLOOKUP(I1262,'SINAPI-FEV.2017'!A:D,3,0),IF(H1262="Cotação",VLOOKUP(I1262,COTAÇÃO!A:D,3,0),IF(H1262="Composição",VLOOKUP(I1262,COMPOSIÇÃO!A:D,3,0))))))</f>
        <v>UM</v>
      </c>
      <c r="M1262" s="870">
        <f>ROUND(VLOOKUP(G1262,'CASA DE CONTROLE'!A:M,13,0),2)</f>
        <v>1</v>
      </c>
      <c r="N1262" s="399">
        <v>0</v>
      </c>
      <c r="O1262" s="102">
        <f>ROUND(IF(F1262="Serviços",N1262*(1+$O$7),IF(F1262="Materiais",N1262*(1+$O$8))),2)</f>
        <v>0</v>
      </c>
      <c r="P1262" s="101">
        <f>ROUND(M1262*O1262,2)</f>
        <v>0</v>
      </c>
      <c r="Q1262" s="1472">
        <v>1</v>
      </c>
    </row>
    <row r="1263" spans="1:17">
      <c r="A1263" s="1482"/>
      <c r="B1263" s="1482"/>
      <c r="C1263" s="1483">
        <f t="shared" si="218"/>
        <v>6</v>
      </c>
      <c r="D1263" s="1492">
        <f>D1262+A1263</f>
        <v>9</v>
      </c>
      <c r="E1263" s="1492">
        <f>E1262+B1263</f>
        <v>7</v>
      </c>
      <c r="F1263" s="1484" t="s">
        <v>11708</v>
      </c>
      <c r="G1263" s="862" t="s">
        <v>14344</v>
      </c>
      <c r="H1263" s="823" t="str">
        <f>VLOOKUP(G1263,'CASA DE CONTROLE'!A:M,2,0)</f>
        <v>SINAPI</v>
      </c>
      <c r="I1263" s="700">
        <f>VLOOKUP(G1263,'CASA DE CONTROLE'!A:M,3,0)</f>
        <v>9537</v>
      </c>
      <c r="J1263" s="824"/>
      <c r="K1263" s="790" t="str">
        <f>(IF(H1263="Saneago",VLOOKUP(I1263,'SANEAGO-FEV.2016'!A:B,2,0),IF(H1263="Sinapi",VLOOKUP(I1263,'SINAPI-FEV.2017'!A:D,2,0),IF(H1263="Cotação",VLOOKUP(I1263,COTAÇÃO!A:D,2,0),IF(H1263="Composição",VLOOKUP(I1263,COMPOSIÇÃO!A:D,2,0))))))</f>
        <v>LIMPEZA FINAL DA OBRA</v>
      </c>
      <c r="L1263" s="700" t="str">
        <f>(IF(H1263="Saneago",VLOOKUP(I1263,'SANEAGO-FEV.2016'!A:D,3,0),IF(H1263="Sinapi",VLOOKUP(I1263,'SINAPI-FEV.2017'!A:D,3,0),IF(H1263="Cotação",VLOOKUP(I1263,COTAÇÃO!A:D,3,0),IF(H1263="Composição",VLOOKUP(I1263,COMPOSIÇÃO!A:D,3,0))))))</f>
        <v>M2</v>
      </c>
      <c r="M1263" s="870">
        <f>ROUND(VLOOKUP(G1263,'CASA DE CONTROLE'!A:M,13,0),2)</f>
        <v>85</v>
      </c>
      <c r="N1263" s="399">
        <v>0</v>
      </c>
      <c r="O1263" s="102">
        <f>ROUND(IF(F1263="Serviços",N1263*(1+$O$7),IF(F1263="Materiais",N1263*(1+$O$8))),2)</f>
        <v>0</v>
      </c>
      <c r="P1263" s="101">
        <f>ROUND(M1263*O1263,2)</f>
        <v>0</v>
      </c>
      <c r="Q1263" s="1472">
        <v>85</v>
      </c>
    </row>
    <row r="1264" spans="1:17" ht="15.75" thickBot="1">
      <c r="A1264" s="1482"/>
      <c r="B1264" s="1482"/>
      <c r="C1264" s="1483">
        <f t="shared" si="218"/>
        <v>6</v>
      </c>
      <c r="D1264" s="1492">
        <f>D1263+A1264</f>
        <v>9</v>
      </c>
      <c r="E1264" s="1492">
        <f>E1263+B1264</f>
        <v>7</v>
      </c>
      <c r="F1264" s="1484" t="s">
        <v>11708</v>
      </c>
      <c r="G1264" s="862"/>
      <c r="H1264" s="929"/>
      <c r="I1264" s="1371"/>
      <c r="J1264" s="1022"/>
      <c r="K1264" s="1371"/>
      <c r="L1264" s="1371"/>
      <c r="M1264" s="1536"/>
      <c r="N1264" s="394"/>
      <c r="O1264" s="728"/>
      <c r="P1264" s="95"/>
    </row>
    <row r="1265" spans="1:24" ht="16.5" customHeight="1" thickTop="1" thickBot="1">
      <c r="A1265" s="1482"/>
      <c r="B1265" s="1482"/>
      <c r="C1265" s="1483">
        <f t="shared" si="218"/>
        <v>6</v>
      </c>
      <c r="D1265" s="1492">
        <f t="shared" si="219"/>
        <v>9</v>
      </c>
      <c r="E1265" s="1492">
        <f t="shared" si="220"/>
        <v>7</v>
      </c>
      <c r="F1265" s="1484" t="s">
        <v>11708</v>
      </c>
      <c r="G1265" s="862"/>
      <c r="H1265" s="1653" t="str">
        <f>"TOTAL ITEM: "&amp;J1259 &amp;K1259</f>
        <v>TOTAL ITEM: 6.9.7 DIVERSOS</v>
      </c>
      <c r="I1265" s="1654"/>
      <c r="J1265" s="1654"/>
      <c r="K1265" s="1654"/>
      <c r="L1265" s="1654"/>
      <c r="M1265" s="1654"/>
      <c r="N1265" s="1654"/>
      <c r="O1265" s="1654"/>
      <c r="P1265" s="210">
        <f>SUBTOTAL(9,P1261:P1263)</f>
        <v>0</v>
      </c>
    </row>
    <row r="1266" spans="1:24" ht="16.5" thickTop="1" thickBot="1">
      <c r="A1266" s="1482"/>
      <c r="B1266" s="1482"/>
      <c r="C1266" s="1483">
        <f t="shared" si="218"/>
        <v>6</v>
      </c>
      <c r="D1266" s="1492">
        <f t="shared" si="219"/>
        <v>9</v>
      </c>
      <c r="E1266" s="1492">
        <f t="shared" si="220"/>
        <v>7</v>
      </c>
      <c r="F1266" s="1484" t="s">
        <v>11708</v>
      </c>
      <c r="G1266" s="921"/>
      <c r="H1266" s="929"/>
      <c r="I1266" s="1371"/>
      <c r="J1266" s="1022"/>
      <c r="K1266" s="1371"/>
      <c r="L1266" s="1371"/>
      <c r="M1266" s="1536"/>
      <c r="N1266" s="394"/>
      <c r="O1266" s="728"/>
      <c r="P1266" s="95"/>
    </row>
    <row r="1267" spans="1:24" s="863" customFormat="1" ht="14.25" customHeight="1" thickTop="1" thickBot="1">
      <c r="A1267" s="1482">
        <v>1</v>
      </c>
      <c r="B1267" s="1482"/>
      <c r="C1267" s="1483">
        <f t="shared" si="218"/>
        <v>6</v>
      </c>
      <c r="D1267" s="1492">
        <f t="shared" si="219"/>
        <v>10</v>
      </c>
      <c r="E1267" s="1492">
        <v>0</v>
      </c>
      <c r="F1267" s="1484" t="s">
        <v>11708</v>
      </c>
      <c r="G1267" s="862"/>
      <c r="H1267" s="1510" t="str">
        <f>CONCATENATE(C1267,".",D1267)</f>
        <v>6.10</v>
      </c>
      <c r="I1267" s="1644" t="s">
        <v>12686</v>
      </c>
      <c r="J1267" s="1644"/>
      <c r="K1267" s="1644"/>
      <c r="L1267" s="1644"/>
      <c r="M1267" s="1644"/>
      <c r="N1267" s="1644"/>
      <c r="O1267" s="99" t="s">
        <v>11702</v>
      </c>
      <c r="P1267" s="100">
        <f>SUBTOTAL(9,P1271:P1344)</f>
        <v>0</v>
      </c>
      <c r="Q1267" s="1507"/>
      <c r="R1267" s="1525"/>
      <c r="S1267" s="1504"/>
      <c r="V1267" s="1487"/>
      <c r="W1267" s="1325"/>
      <c r="X1267" s="1325"/>
    </row>
    <row r="1268" spans="1:24" s="863" customFormat="1" ht="13.5" thickTop="1">
      <c r="A1268" s="1482"/>
      <c r="B1268" s="1482"/>
      <c r="C1268" s="1483">
        <f t="shared" si="218"/>
        <v>6</v>
      </c>
      <c r="D1268" s="1492">
        <f t="shared" si="219"/>
        <v>10</v>
      </c>
      <c r="E1268" s="1492">
        <f t="shared" si="220"/>
        <v>0</v>
      </c>
      <c r="F1268" s="1484" t="s">
        <v>11708</v>
      </c>
      <c r="G1268" s="862"/>
      <c r="H1268" s="789"/>
      <c r="I1268" s="915"/>
      <c r="J1268" s="1022"/>
      <c r="K1268" s="915"/>
      <c r="L1268" s="816"/>
      <c r="M1268" s="874"/>
      <c r="N1268" s="394"/>
      <c r="O1268" s="98"/>
      <c r="P1268" s="95"/>
      <c r="Q1268" s="1507"/>
      <c r="R1268" s="1525"/>
      <c r="S1268" s="1504"/>
      <c r="V1268" s="1325"/>
      <c r="W1268" s="1325"/>
      <c r="X1268" s="1325"/>
    </row>
    <row r="1269" spans="1:24" s="863" customFormat="1" ht="12.75">
      <c r="A1269" s="1482"/>
      <c r="B1269" s="1482">
        <v>1</v>
      </c>
      <c r="C1269" s="1483">
        <f t="shared" si="218"/>
        <v>6</v>
      </c>
      <c r="D1269" s="1492">
        <f t="shared" si="219"/>
        <v>10</v>
      </c>
      <c r="E1269" s="1492">
        <f t="shared" si="220"/>
        <v>1</v>
      </c>
      <c r="F1269" s="1484" t="s">
        <v>11708</v>
      </c>
      <c r="G1269" s="862"/>
      <c r="H1269" s="1514" t="s">
        <v>11703</v>
      </c>
      <c r="I1269" s="1515" t="s">
        <v>64</v>
      </c>
      <c r="J1269" s="1516" t="str">
        <f>CONCATENATE(C1269,".",D1269,".",E1269)</f>
        <v>6.10.1</v>
      </c>
      <c r="K1269" s="1516" t="s">
        <v>11709</v>
      </c>
      <c r="L1269" s="1517" t="s">
        <v>25</v>
      </c>
      <c r="M1269" s="1518" t="s">
        <v>11704</v>
      </c>
      <c r="N1269" s="398" t="s">
        <v>11705</v>
      </c>
      <c r="O1269" s="207" t="s">
        <v>11706</v>
      </c>
      <c r="P1269" s="208" t="s">
        <v>27</v>
      </c>
      <c r="Q1269" s="1507" t="s">
        <v>11704</v>
      </c>
      <c r="R1269" s="1525"/>
      <c r="S1269" s="1504"/>
      <c r="V1269" s="1487"/>
      <c r="W1269" s="1325"/>
      <c r="X1269" s="1325"/>
    </row>
    <row r="1270" spans="1:24" s="863" customFormat="1" ht="12.75">
      <c r="A1270" s="1482"/>
      <c r="B1270" s="1482"/>
      <c r="C1270" s="1483">
        <f t="shared" si="218"/>
        <v>6</v>
      </c>
      <c r="D1270" s="1492">
        <f t="shared" si="219"/>
        <v>10</v>
      </c>
      <c r="E1270" s="1492">
        <f t="shared" si="220"/>
        <v>1</v>
      </c>
      <c r="F1270" s="1484" t="s">
        <v>11708</v>
      </c>
      <c r="G1270" s="862"/>
      <c r="H1270" s="826"/>
      <c r="I1270" s="790"/>
      <c r="J1270" s="824"/>
      <c r="K1270" s="790"/>
      <c r="L1270" s="700"/>
      <c r="M1270" s="870"/>
      <c r="N1270" s="399"/>
      <c r="O1270" s="121"/>
      <c r="P1270" s="101"/>
      <c r="Q1270" s="1507"/>
      <c r="R1270" s="1525"/>
      <c r="S1270" s="1504"/>
      <c r="V1270" s="1325"/>
      <c r="W1270" s="1325"/>
      <c r="X1270" s="1325"/>
    </row>
    <row r="1271" spans="1:24" s="863" customFormat="1" ht="22.5">
      <c r="A1271" s="1482"/>
      <c r="B1271" s="1482"/>
      <c r="C1271" s="1483">
        <f t="shared" si="218"/>
        <v>6</v>
      </c>
      <c r="D1271" s="1492">
        <f t="shared" si="219"/>
        <v>10</v>
      </c>
      <c r="E1271" s="1492">
        <f t="shared" si="220"/>
        <v>1</v>
      </c>
      <c r="F1271" s="1484" t="s">
        <v>11708</v>
      </c>
      <c r="G1271" s="862" t="s">
        <v>12453</v>
      </c>
      <c r="H1271" s="823" t="str">
        <f>VLOOKUP(G1271,'LÇTO FINAL'!A:M,2,0)</f>
        <v>SINAPI</v>
      </c>
      <c r="I1271" s="700" t="str">
        <f>VLOOKUP(G1271,'LÇTO FINAL'!A:M,3,0)</f>
        <v>73822/2</v>
      </c>
      <c r="J1271" s="824"/>
      <c r="K1271" s="790" t="str">
        <f>(IF(H1271="Saneago",VLOOKUP(I1271,'SANEAGO-FEV.2016'!A:B,2,0),IF(H1271="Sinapi",VLOOKUP(I1271,'SINAPI-FEV.2017'!A:D,2,0),IF(H1271="Cotação",VLOOKUP(I1271,COTAÇÃO!A:D,2,0),IF(H1271="Composição",VLOOKUP(I1271,COMPOSIÇÃO!A:D,2,0))))))</f>
        <v>LIMPEZA MECANIZADA DE TERRENO COM REMOCAO DE CAMADA VEGETAL, UTILIZANDO MOTONIVELADORA</v>
      </c>
      <c r="L1271" s="700" t="str">
        <f>(IF(H1271="Saneago",VLOOKUP(I1271,'SANEAGO-FEV.2016'!A:D,3,0),IF(H1271="Sinapi",VLOOKUP(I1271,'SINAPI-FEV.2017'!A:D,3,0),IF(H1271="Cotação",VLOOKUP(I1271,COTAÇÃO!A:D,3,0),IF(H1271="Composição",VLOOKUP(I1271,COMPOSIÇÃO!A:D,3,0))))))</f>
        <v>M2</v>
      </c>
      <c r="M1271" s="870">
        <f>ROUND(VLOOKUP(G1271,'LÇTO FINAL'!A:M,13,0),2)</f>
        <v>22.2</v>
      </c>
      <c r="N1271" s="399">
        <v>0</v>
      </c>
      <c r="O1271" s="102">
        <f>ROUND(IF(F1271="Serviços",N1271*(1+$O$7),IF(F1271="Materiais",N1271*(1+$O$8))),2)</f>
        <v>0</v>
      </c>
      <c r="P1271" s="101">
        <f>ROUND(M1271*O1271,2)</f>
        <v>0</v>
      </c>
      <c r="Q1271" s="1507">
        <v>22.2</v>
      </c>
      <c r="R1271" s="1525"/>
      <c r="S1271" s="1504"/>
      <c r="V1271" s="1325"/>
      <c r="W1271" s="1325"/>
      <c r="X1271" s="1325"/>
    </row>
    <row r="1272" spans="1:24" s="863" customFormat="1" ht="22.5">
      <c r="A1272" s="1482"/>
      <c r="B1272" s="1482"/>
      <c r="C1272" s="1483">
        <f t="shared" si="218"/>
        <v>6</v>
      </c>
      <c r="D1272" s="1492">
        <f t="shared" si="219"/>
        <v>10</v>
      </c>
      <c r="E1272" s="1492">
        <f t="shared" si="220"/>
        <v>1</v>
      </c>
      <c r="F1272" s="1484" t="s">
        <v>11708</v>
      </c>
      <c r="G1272" s="862" t="s">
        <v>12454</v>
      </c>
      <c r="H1272" s="823" t="str">
        <f>VLOOKUP(G1272,'LÇTO FINAL'!A:M,2,0)</f>
        <v>SINAPI</v>
      </c>
      <c r="I1272" s="700" t="str">
        <f>VLOOKUP(G1272,'LÇTO FINAL'!A:M,3,0)</f>
        <v>73992/1</v>
      </c>
      <c r="J1272" s="824"/>
      <c r="K1272" s="790" t="str">
        <f>(IF(H1272="Saneago",VLOOKUP(I1272,'SANEAGO-FEV.2016'!A:B,2,0),IF(H1272="Sinapi",VLOOKUP(I1272,'SINAPI-FEV.2017'!A:D,2,0),IF(H1272="Cotação",VLOOKUP(I1272,COTAÇÃO!A:D,2,0),IF(H1272="Composição",VLOOKUP(I1272,COMPOSIÇÃO!A:D,2,0))))))</f>
        <v>LOCACAO CONVENCIONAL DE OBRA, ATRAVÉS DE GABARITO DE TABUAS CORRIDAS PONTALETADAS A CADA 1,50M, SEM REAPROVEITAMENTO</v>
      </c>
      <c r="L1272" s="700" t="str">
        <f>(IF(H1272="Saneago",VLOOKUP(I1272,'SANEAGO-FEV.2016'!A:D,3,0),IF(H1272="Sinapi",VLOOKUP(I1272,'SINAPI-FEV.2017'!A:D,3,0),IF(H1272="Cotação",VLOOKUP(I1272,COTAÇÃO!A:D,3,0),IF(H1272="Composição",VLOOKUP(I1272,COMPOSIÇÃO!A:D,3,0))))))</f>
        <v>M2</v>
      </c>
      <c r="M1272" s="870">
        <f>ROUND(VLOOKUP(G1272,'LÇTO FINAL'!A:M,13,0),2)</f>
        <v>6.8</v>
      </c>
      <c r="N1272" s="399">
        <v>0</v>
      </c>
      <c r="O1272" s="102">
        <f>ROUND(IF(F1272="Serviços",N1272*(1+$O$7),IF(F1272="Materiais",N1272*(1+$O$8))),2)</f>
        <v>0</v>
      </c>
      <c r="P1272" s="101">
        <f>ROUND(M1272*O1272,2)</f>
        <v>0</v>
      </c>
      <c r="Q1272" s="1507">
        <v>6.8</v>
      </c>
      <c r="R1272" s="1525"/>
      <c r="S1272" s="1504"/>
      <c r="V1272" s="1325"/>
      <c r="W1272" s="1325"/>
      <c r="X1272" s="1325"/>
    </row>
    <row r="1273" spans="1:24" s="863" customFormat="1" ht="13.5" thickBot="1">
      <c r="A1273" s="1482"/>
      <c r="B1273" s="1482"/>
      <c r="C1273" s="1483">
        <f t="shared" si="218"/>
        <v>6</v>
      </c>
      <c r="D1273" s="1492">
        <f t="shared" si="219"/>
        <v>10</v>
      </c>
      <c r="E1273" s="1492">
        <f t="shared" si="220"/>
        <v>1</v>
      </c>
      <c r="F1273" s="1484" t="s">
        <v>11708</v>
      </c>
      <c r="G1273" s="862"/>
      <c r="H1273" s="826"/>
      <c r="I1273" s="790"/>
      <c r="J1273" s="824"/>
      <c r="K1273" s="790"/>
      <c r="L1273" s="700"/>
      <c r="M1273" s="870"/>
      <c r="N1273" s="399"/>
      <c r="O1273" s="209"/>
      <c r="P1273" s="101"/>
      <c r="Q1273" s="1507"/>
      <c r="R1273" s="1525"/>
      <c r="S1273" s="1504"/>
      <c r="V1273" s="1325"/>
      <c r="W1273" s="1325"/>
      <c r="X1273" s="1325"/>
    </row>
    <row r="1274" spans="1:24" s="863" customFormat="1" ht="14.25" customHeight="1" thickTop="1" thickBot="1">
      <c r="A1274" s="1482"/>
      <c r="B1274" s="1482"/>
      <c r="C1274" s="1483">
        <f t="shared" si="218"/>
        <v>6</v>
      </c>
      <c r="D1274" s="1492">
        <f t="shared" si="219"/>
        <v>10</v>
      </c>
      <c r="E1274" s="1492">
        <f t="shared" si="220"/>
        <v>1</v>
      </c>
      <c r="F1274" s="1484" t="s">
        <v>11708</v>
      </c>
      <c r="G1274" s="862"/>
      <c r="H1274" s="1653" t="str">
        <f>"TOTAL ITEM: "&amp;J1269 &amp;K1269</f>
        <v>TOTAL ITEM: 6.10.1 SERVIÇOS PRELIMINARES</v>
      </c>
      <c r="I1274" s="1654"/>
      <c r="J1274" s="1654"/>
      <c r="K1274" s="1654"/>
      <c r="L1274" s="1654"/>
      <c r="M1274" s="1654"/>
      <c r="N1274" s="1654"/>
      <c r="O1274" s="1654"/>
      <c r="P1274" s="210">
        <f>SUBTOTAL(9,P1271:P1272)</f>
        <v>0</v>
      </c>
      <c r="Q1274" s="1507"/>
      <c r="R1274" s="1525"/>
      <c r="S1274" s="1504"/>
      <c r="V1274" s="1325"/>
      <c r="W1274" s="1325"/>
      <c r="X1274" s="1325"/>
    </row>
    <row r="1275" spans="1:24" s="863" customFormat="1" ht="13.5" thickTop="1">
      <c r="A1275" s="1482"/>
      <c r="B1275" s="1482"/>
      <c r="C1275" s="1483">
        <f t="shared" si="218"/>
        <v>6</v>
      </c>
      <c r="D1275" s="1492">
        <f t="shared" si="219"/>
        <v>10</v>
      </c>
      <c r="E1275" s="1492">
        <f t="shared" si="220"/>
        <v>1</v>
      </c>
      <c r="F1275" s="1484" t="s">
        <v>11708</v>
      </c>
      <c r="G1275" s="862"/>
      <c r="H1275" s="929"/>
      <c r="I1275" s="1371"/>
      <c r="J1275" s="1022"/>
      <c r="K1275" s="1371"/>
      <c r="L1275" s="1371"/>
      <c r="M1275" s="1536"/>
      <c r="N1275" s="394"/>
      <c r="O1275" s="728"/>
      <c r="P1275" s="95"/>
      <c r="Q1275" s="1507"/>
      <c r="R1275" s="1525"/>
      <c r="S1275" s="1504"/>
      <c r="V1275" s="1325"/>
      <c r="W1275" s="1325"/>
      <c r="X1275" s="1325"/>
    </row>
    <row r="1276" spans="1:24">
      <c r="A1276" s="1482"/>
      <c r="B1276" s="1482">
        <v>1</v>
      </c>
      <c r="C1276" s="1483">
        <f t="shared" si="218"/>
        <v>6</v>
      </c>
      <c r="D1276" s="1492">
        <f t="shared" si="219"/>
        <v>10</v>
      </c>
      <c r="E1276" s="1492">
        <f t="shared" si="220"/>
        <v>2</v>
      </c>
      <c r="F1276" s="1484" t="s">
        <v>11708</v>
      </c>
      <c r="H1276" s="1514" t="s">
        <v>11703</v>
      </c>
      <c r="I1276" s="1515" t="s">
        <v>64</v>
      </c>
      <c r="J1276" s="1516" t="str">
        <f>CONCATENATE(C1276,".",D1276,".",E1276)</f>
        <v>6.10.2</v>
      </c>
      <c r="K1276" s="1516" t="s">
        <v>11710</v>
      </c>
      <c r="L1276" s="1517" t="s">
        <v>25</v>
      </c>
      <c r="M1276" s="1518" t="s">
        <v>11704</v>
      </c>
      <c r="N1276" s="398" t="s">
        <v>11705</v>
      </c>
      <c r="O1276" s="207" t="s">
        <v>11706</v>
      </c>
      <c r="P1276" s="208" t="s">
        <v>27</v>
      </c>
      <c r="Q1276" s="1472" t="s">
        <v>11704</v>
      </c>
    </row>
    <row r="1277" spans="1:24">
      <c r="A1277" s="1482"/>
      <c r="B1277" s="1482"/>
      <c r="C1277" s="1483">
        <f t="shared" si="218"/>
        <v>6</v>
      </c>
      <c r="D1277" s="1492">
        <f t="shared" si="219"/>
        <v>10</v>
      </c>
      <c r="E1277" s="1492">
        <f t="shared" si="220"/>
        <v>2</v>
      </c>
      <c r="F1277" s="1484" t="s">
        <v>11708</v>
      </c>
      <c r="H1277" s="826"/>
      <c r="I1277" s="790"/>
      <c r="J1277" s="824"/>
      <c r="K1277" s="790"/>
      <c r="L1277" s="700"/>
      <c r="M1277" s="870"/>
      <c r="N1277" s="399"/>
      <c r="O1277" s="121"/>
      <c r="P1277" s="101"/>
    </row>
    <row r="1278" spans="1:24" ht="56.25">
      <c r="A1278" s="1482"/>
      <c r="B1278" s="1482"/>
      <c r="C1278" s="1483">
        <f t="shared" si="218"/>
        <v>6</v>
      </c>
      <c r="D1278" s="1492">
        <f t="shared" si="219"/>
        <v>10</v>
      </c>
      <c r="E1278" s="1492">
        <f t="shared" si="220"/>
        <v>2</v>
      </c>
      <c r="F1278" s="1484" t="s">
        <v>11708</v>
      </c>
      <c r="G1278" s="862" t="s">
        <v>12455</v>
      </c>
      <c r="H1278" s="823" t="str">
        <f>VLOOKUP(G1278,'LÇTO FINAL'!A:M,2,0)</f>
        <v>SINAPI</v>
      </c>
      <c r="I1278" s="700">
        <f>VLOOKUP(G1278,'LÇTO FINAL'!A:M,3,0)</f>
        <v>90105</v>
      </c>
      <c r="J1278" s="824"/>
      <c r="K1278" s="790" t="str">
        <f>(IF(H1278="Saneago",VLOOKUP(I1278,'SANEAGO-FEV.2016'!A:B,2,0),IF(H1278="Sinapi",VLOOKUP(I1278,'SINAPI-FEV.2017'!A:D,2,0),IF(H1278="Cotação",VLOOKUP(I1278,COTAÇÃO!A:D,2,0),IF(H1278="Composição",VLOOKUP(I1278,COMPOSIÇÃO!A:D,2,0))))))</f>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
      <c r="L1278" s="700" t="str">
        <f>(IF(H1278="Saneago",VLOOKUP(I1278,'SANEAGO-FEV.2016'!A:D,3,0),IF(H1278="Sinapi",VLOOKUP(I1278,'SINAPI-FEV.2017'!A:D,3,0),IF(H1278="Cotação",VLOOKUP(I1278,COTAÇÃO!A:D,3,0),IF(H1278="Composição",VLOOKUP(I1278,COMPOSIÇÃO!A:D,3,0))))))</f>
        <v>M3</v>
      </c>
      <c r="M1278" s="870">
        <f>ROUND(VLOOKUP(G1278,'LÇTO FINAL'!A:M,13,0),2)</f>
        <v>51.51</v>
      </c>
      <c r="N1278" s="399">
        <v>0</v>
      </c>
      <c r="O1278" s="102">
        <f t="shared" ref="O1278:O1287" si="221">ROUND(IF(F1278="Serviços",N1278*(1+$O$7),IF(F1278="Materiais",N1278*(1+$O$8))),2)</f>
        <v>0</v>
      </c>
      <c r="P1278" s="101">
        <f t="shared" ref="P1278:P1287" si="222">ROUND(M1278*O1278,2)</f>
        <v>0</v>
      </c>
      <c r="Q1278" s="1472">
        <v>51.51</v>
      </c>
    </row>
    <row r="1279" spans="1:24" ht="33.75">
      <c r="A1279" s="1482"/>
      <c r="B1279" s="1482"/>
      <c r="C1279" s="1483">
        <f t="shared" si="218"/>
        <v>6</v>
      </c>
      <c r="D1279" s="1492">
        <f t="shared" si="219"/>
        <v>10</v>
      </c>
      <c r="E1279" s="1492">
        <f t="shared" si="220"/>
        <v>2</v>
      </c>
      <c r="F1279" s="1484" t="s">
        <v>11708</v>
      </c>
      <c r="G1279" s="862" t="s">
        <v>12457</v>
      </c>
      <c r="H1279" s="823" t="str">
        <f>VLOOKUP(G1279,'LÇTO FINAL'!A:M,2,0)</f>
        <v>SANEAGO</v>
      </c>
      <c r="I1279" s="700">
        <f>VLOOKUP(G1279,'LÇTO FINAL'!A:M,3,0)</f>
        <v>184</v>
      </c>
      <c r="J1279" s="824"/>
      <c r="K1279" s="790" t="str">
        <f>(IF(H1279="Saneago",VLOOKUP(I1279,'SANEAGO-FEV.2016'!A:B,2,0),IF(H1279="Sinapi",VLOOKUP(I1279,'SINAPI-FEV.2017'!A:D,2,0),IF(H1279="Cotação",VLOOKUP(I1279,COTAÇÃO!A:D,2,0),IF(H1279="Composição",VLOOKUP(I1279,COMPOSIÇÃO!A:D,2,0))))))</f>
        <v>ESCAVAÇÃO  MECANIZADA  (COM ESCAVADEIRA HIDRÁULICA)  EM VALAS COM MATERIAL DE 2ª CATEGORIA
- PROFUNDIDADE ATÉ 2,0 M</v>
      </c>
      <c r="L1279" s="700" t="str">
        <f>(IF(H1279="Saneago",VLOOKUP(I1279,'SANEAGO-FEV.2016'!A:D,3,0),IF(H1279="Sinapi",VLOOKUP(I1279,'SINAPI-FEV.2017'!A:D,3,0),IF(H1279="Cotação",VLOOKUP(I1279,COTAÇÃO!A:D,3,0),IF(H1279="Composição",VLOOKUP(I1279,COMPOSIÇÃO!A:D,3,0))))))</f>
        <v>M3</v>
      </c>
      <c r="M1279" s="870">
        <f>ROUND(VLOOKUP(G1279,'LÇTO FINAL'!A:M,13,0),2)</f>
        <v>2.86</v>
      </c>
      <c r="N1279" s="399">
        <v>0</v>
      </c>
      <c r="O1279" s="102">
        <f t="shared" si="221"/>
        <v>0</v>
      </c>
      <c r="P1279" s="101">
        <f t="shared" si="222"/>
        <v>0</v>
      </c>
      <c r="Q1279" s="1472">
        <v>2.86</v>
      </c>
    </row>
    <row r="1280" spans="1:24" ht="22.5">
      <c r="A1280" s="1482"/>
      <c r="B1280" s="1482"/>
      <c r="C1280" s="1483">
        <f t="shared" si="218"/>
        <v>6</v>
      </c>
      <c r="D1280" s="1492">
        <f t="shared" si="219"/>
        <v>10</v>
      </c>
      <c r="E1280" s="1492">
        <f t="shared" si="220"/>
        <v>2</v>
      </c>
      <c r="F1280" s="1484" t="s">
        <v>11708</v>
      </c>
      <c r="G1280" s="862" t="s">
        <v>12459</v>
      </c>
      <c r="H1280" s="823" t="str">
        <f>VLOOKUP(G1280,'LÇTO FINAL'!A:M,2,0)</f>
        <v>SANEAGO</v>
      </c>
      <c r="I1280" s="700">
        <f>VLOOKUP(G1280,'LÇTO FINAL'!A:M,3,0)</f>
        <v>187</v>
      </c>
      <c r="J1280" s="824"/>
      <c r="K1280" s="790" t="str">
        <f>(IF(H1280="Saneago",VLOOKUP(I1280,'SANEAGO-FEV.2016'!A:B,2,0),IF(H1280="Sinapi",VLOOKUP(I1280,'SINAPI-FEV.2017'!A:D,2,0),IF(H1280="Cotação",VLOOKUP(I1280,COTAÇÃO!A:D,2,0),IF(H1280="Composição",VLOOKUP(I1280,COMPOSIÇÃO!A:D,2,0))))))</f>
        <v>ESCAVAÇÃO  MECANIZADA  (COM ESCAVADEIRA HIDRÁULICA)  EM VALAS COM MATERIAL  DE SOLO MOLE - PROFUNDIDADE ATÉ 2,0 M</v>
      </c>
      <c r="L1280" s="700" t="str">
        <f>(IF(H1280="Saneago",VLOOKUP(I1280,'SANEAGO-FEV.2016'!A:D,3,0),IF(H1280="Sinapi",VLOOKUP(I1280,'SINAPI-FEV.2017'!A:D,3,0),IF(H1280="Cotação",VLOOKUP(I1280,COTAÇÃO!A:D,3,0),IF(H1280="Composição",VLOOKUP(I1280,COMPOSIÇÃO!A:D,3,0))))))</f>
        <v>M3</v>
      </c>
      <c r="M1280" s="870">
        <f>ROUND(VLOOKUP(G1280,'LÇTO FINAL'!A:M,13,0),2)</f>
        <v>2.86</v>
      </c>
      <c r="N1280" s="399">
        <v>0</v>
      </c>
      <c r="O1280" s="102">
        <f t="shared" si="221"/>
        <v>0</v>
      </c>
      <c r="P1280" s="101">
        <f t="shared" si="222"/>
        <v>0</v>
      </c>
      <c r="Q1280" s="1472">
        <v>2.86</v>
      </c>
    </row>
    <row r="1281" spans="1:17">
      <c r="A1281" s="1482"/>
      <c r="B1281" s="1482"/>
      <c r="C1281" s="1483">
        <f t="shared" si="218"/>
        <v>6</v>
      </c>
      <c r="D1281" s="1492">
        <f t="shared" si="219"/>
        <v>10</v>
      </c>
      <c r="E1281" s="1492">
        <f t="shared" si="220"/>
        <v>2</v>
      </c>
      <c r="F1281" s="1484" t="s">
        <v>11708</v>
      </c>
      <c r="G1281" s="862" t="s">
        <v>12461</v>
      </c>
      <c r="H1281" s="823" t="str">
        <f>VLOOKUP(G1281,'LÇTO FINAL'!A:M,2,0)</f>
        <v>SINAPI</v>
      </c>
      <c r="I1281" s="700">
        <f>VLOOKUP(G1281,'LÇTO FINAL'!A:M,3,0)</f>
        <v>93358</v>
      </c>
      <c r="J1281" s="824"/>
      <c r="K1281" s="790" t="str">
        <f>(IF(H1281="Saneago",VLOOKUP(I1281,'SANEAGO-FEV.2016'!A:B,2,0),IF(H1281="Sinapi",VLOOKUP(I1281,'SINAPI-FEV.2017'!A:D,2,0),IF(H1281="Cotação",VLOOKUP(I1281,COTAÇÃO!A:D,2,0),IF(H1281="Composição",VLOOKUP(I1281,COMPOSIÇÃO!A:D,2,0))))))</f>
        <v>ESCAVAÇÃO MANUAL DE VALAS. AF_03/2016</v>
      </c>
      <c r="L1281" s="700" t="str">
        <f>(IF(H1281="Saneago",VLOOKUP(I1281,'SANEAGO-FEV.2016'!A:D,3,0),IF(H1281="Sinapi",VLOOKUP(I1281,'SINAPI-FEV.2017'!A:D,3,0),IF(H1281="Cotação",VLOOKUP(I1281,COTAÇÃO!A:D,3,0),IF(H1281="Composição",VLOOKUP(I1281,COMPOSIÇÃO!A:D,3,0))))))</f>
        <v>M3</v>
      </c>
      <c r="M1281" s="870">
        <f>ROUND(VLOOKUP(G1281,'LÇTO FINAL'!A:M,13,0),2)</f>
        <v>2.71</v>
      </c>
      <c r="N1281" s="399">
        <v>0</v>
      </c>
      <c r="O1281" s="102">
        <f t="shared" si="221"/>
        <v>0</v>
      </c>
      <c r="P1281" s="101">
        <f t="shared" si="222"/>
        <v>0</v>
      </c>
      <c r="Q1281" s="1472">
        <v>2.71</v>
      </c>
    </row>
    <row r="1282" spans="1:17" ht="22.5">
      <c r="A1282" s="1482"/>
      <c r="B1282" s="1482"/>
      <c r="C1282" s="1483">
        <f t="shared" si="218"/>
        <v>6</v>
      </c>
      <c r="D1282" s="1492">
        <f t="shared" si="219"/>
        <v>10</v>
      </c>
      <c r="E1282" s="1492">
        <f t="shared" si="220"/>
        <v>2</v>
      </c>
      <c r="F1282" s="1484" t="s">
        <v>11708</v>
      </c>
      <c r="G1282" s="862" t="s">
        <v>12463</v>
      </c>
      <c r="H1282" s="823" t="str">
        <f>VLOOKUP(G1282,'LÇTO FINAL'!A:M,2,0)</f>
        <v>SANEAGO</v>
      </c>
      <c r="I1282" s="700">
        <f>VLOOKUP(G1282,'LÇTO FINAL'!A:M,3,0)</f>
        <v>170</v>
      </c>
      <c r="J1282" s="824"/>
      <c r="K1282" s="790" t="str">
        <f>(IF(H1282="Saneago",VLOOKUP(I1282,'SANEAGO-FEV.2016'!A:B,2,0),IF(H1282="Sinapi",VLOOKUP(I1282,'SINAPI-FEV.2017'!A:D,2,0),IF(H1282="Cotação",VLOOKUP(I1282,COTAÇÃO!A:D,2,0),IF(H1282="Composição",VLOOKUP(I1282,COMPOSIÇÃO!A:D,2,0))))))</f>
        <v>ESCAVAÇÃO  MANUAL EM VALAS COM MATERIAL DE 2ª CATEGORIA  - PROFUNDIDADE ATÉ 2,0 M</v>
      </c>
      <c r="L1282" s="700" t="str">
        <f>(IF(H1282="Saneago",VLOOKUP(I1282,'SANEAGO-FEV.2016'!A:D,3,0),IF(H1282="Sinapi",VLOOKUP(I1282,'SINAPI-FEV.2017'!A:D,3,0),IF(H1282="Cotação",VLOOKUP(I1282,COTAÇÃO!A:D,3,0),IF(H1282="Composição",VLOOKUP(I1282,COMPOSIÇÃO!A:D,3,0))))))</f>
        <v>M3</v>
      </c>
      <c r="M1282" s="870">
        <f>ROUND(VLOOKUP(G1282,'LÇTO FINAL'!A:M,13,0),2)</f>
        <v>0.15</v>
      </c>
      <c r="N1282" s="399">
        <v>0</v>
      </c>
      <c r="O1282" s="102">
        <f t="shared" si="221"/>
        <v>0</v>
      </c>
      <c r="P1282" s="101">
        <f t="shared" si="222"/>
        <v>0</v>
      </c>
      <c r="Q1282" s="1472">
        <v>0.15</v>
      </c>
    </row>
    <row r="1283" spans="1:17" ht="33.75">
      <c r="A1283" s="1482"/>
      <c r="B1283" s="1482"/>
      <c r="C1283" s="1483">
        <f t="shared" si="218"/>
        <v>6</v>
      </c>
      <c r="D1283" s="1492">
        <f t="shared" si="219"/>
        <v>10</v>
      </c>
      <c r="E1283" s="1492">
        <f t="shared" si="220"/>
        <v>2</v>
      </c>
      <c r="F1283" s="1484" t="s">
        <v>11708</v>
      </c>
      <c r="G1283" s="862" t="s">
        <v>12465</v>
      </c>
      <c r="H1283" s="823" t="str">
        <f>VLOOKUP(G1283,'LÇTO FINAL'!A:M,2,0)</f>
        <v>SANEAGO</v>
      </c>
      <c r="I1283" s="700">
        <f>VLOOKUP(G1283,'LÇTO FINAL'!A:M,3,0)</f>
        <v>172</v>
      </c>
      <c r="J1283" s="824"/>
      <c r="K1283" s="790" t="str">
        <f>(IF(H1283="Saneago",VLOOKUP(I1283,'SANEAGO-FEV.2016'!A:B,2,0),IF(H1283="Sinapi",VLOOKUP(I1283,'SINAPI-FEV.2017'!A:D,2,0),IF(H1283="Cotação",VLOOKUP(I1283,COTAÇÃO!A:D,2,0),IF(H1283="Composição",VLOOKUP(I1283,COMPOSIÇÃO!A:D,2,0))))))</f>
        <v>ESCAVAÇÃO   MANUAL   EM  VALAS  COM  MATERIAL   DE  3ª  CATEGORIA   SEM  USO  DE  EXPLOSIVO   COM UTILIZAÇÃO  DE COMPRESSOR E ROMPEDOR  -  PROFUNDIDADE ATÉ 2,0M</v>
      </c>
      <c r="L1283" s="700" t="str">
        <f>(IF(H1283="Saneago",VLOOKUP(I1283,'SANEAGO-FEV.2016'!A:D,3,0),IF(H1283="Sinapi",VLOOKUP(I1283,'SINAPI-FEV.2017'!A:D,3,0),IF(H1283="Cotação",VLOOKUP(I1283,COTAÇÃO!A:D,3,0),IF(H1283="Composição",VLOOKUP(I1283,COMPOSIÇÃO!A:D,3,0))))))</f>
        <v>M3</v>
      </c>
      <c r="M1283" s="870">
        <f>ROUND(VLOOKUP(G1283,'LÇTO FINAL'!A:M,13,0),2)</f>
        <v>0.15</v>
      </c>
      <c r="N1283" s="399">
        <v>0</v>
      </c>
      <c r="O1283" s="102">
        <f t="shared" si="221"/>
        <v>0</v>
      </c>
      <c r="P1283" s="101">
        <f t="shared" si="222"/>
        <v>0</v>
      </c>
      <c r="Q1283" s="1472">
        <v>0.15</v>
      </c>
    </row>
    <row r="1284" spans="1:17">
      <c r="A1284" s="1482"/>
      <c r="B1284" s="1482"/>
      <c r="C1284" s="1483">
        <f t="shared" si="218"/>
        <v>6</v>
      </c>
      <c r="D1284" s="1492">
        <f t="shared" ref="D1284:E1287" si="223">D1283+A1284</f>
        <v>10</v>
      </c>
      <c r="E1284" s="1492">
        <f t="shared" si="223"/>
        <v>2</v>
      </c>
      <c r="F1284" s="1484" t="s">
        <v>11708</v>
      </c>
      <c r="G1284" s="862" t="s">
        <v>12467</v>
      </c>
      <c r="H1284" s="823" t="str">
        <f>VLOOKUP(G1284,'LÇTO FINAL'!A:M,2,0)</f>
        <v>SINAPI</v>
      </c>
      <c r="I1284" s="700" t="str">
        <f>VLOOKUP(G1284,'LÇTO FINAL'!A:M,3,0)</f>
        <v>73891/1</v>
      </c>
      <c r="J1284" s="824"/>
      <c r="K1284" s="790" t="str">
        <f>(IF(H1284="Saneago",VLOOKUP(I1284,'SANEAGO-FEV.2016'!A:B,2,0),IF(H1284="Sinapi",VLOOKUP(I1284,'SINAPI-FEV.2017'!A:D,2,0),IF(H1284="Cotação",VLOOKUP(I1284,COTAÇÃO!A:D,2,0),IF(H1284="Composição",VLOOKUP(I1284,COMPOSIÇÃO!A:D,2,0))))))</f>
        <v>ESGOTAMENTO COM MOTO-BOMBA AUTOESCOVANTE</v>
      </c>
      <c r="L1284" s="700" t="str">
        <f>(IF(H1284="Saneago",VLOOKUP(I1284,'SANEAGO-FEV.2016'!A:D,3,0),IF(H1284="Sinapi",VLOOKUP(I1284,'SINAPI-FEV.2017'!A:D,3,0),IF(H1284="Cotação",VLOOKUP(I1284,COTAÇÃO!A:D,3,0),IF(H1284="Composição",VLOOKUP(I1284,COMPOSIÇÃO!A:D,3,0))))))</f>
        <v>H</v>
      </c>
      <c r="M1284" s="870">
        <f>ROUND(VLOOKUP(G1284,'LÇTO FINAL'!A:M,13,0),2)</f>
        <v>10</v>
      </c>
      <c r="N1284" s="399">
        <v>0</v>
      </c>
      <c r="O1284" s="102">
        <f>ROUND(IF(F1284="Serviços",N1284*(1+$O$7),IF(F1284="Materiais",N1284*(1+$O$8))),2)</f>
        <v>0</v>
      </c>
      <c r="P1284" s="101">
        <f>ROUND(M1284*O1284,2)</f>
        <v>0</v>
      </c>
      <c r="Q1284" s="1472">
        <v>10</v>
      </c>
    </row>
    <row r="1285" spans="1:17">
      <c r="A1285" s="1482"/>
      <c r="B1285" s="1482"/>
      <c r="C1285" s="1483">
        <f t="shared" si="218"/>
        <v>6</v>
      </c>
      <c r="D1285" s="1492">
        <f t="shared" si="223"/>
        <v>10</v>
      </c>
      <c r="E1285" s="1492">
        <f t="shared" si="223"/>
        <v>2</v>
      </c>
      <c r="F1285" s="1484" t="s">
        <v>11708</v>
      </c>
      <c r="G1285" s="862" t="s">
        <v>12468</v>
      </c>
      <c r="H1285" s="823" t="str">
        <f>VLOOKUP(G1285,'LÇTO FINAL'!A:M,2,0)</f>
        <v>SINAPI</v>
      </c>
      <c r="I1285" s="700">
        <f>VLOOKUP(G1285,'LÇTO FINAL'!A:M,3,0)</f>
        <v>79472</v>
      </c>
      <c r="J1285" s="824"/>
      <c r="K1285" s="790" t="str">
        <f>(IF(H1285="Saneago",VLOOKUP(I1285,'SANEAGO-FEV.2016'!A:B,2,0),IF(H1285="Sinapi",VLOOKUP(I1285,'SINAPI-FEV.2017'!A:D,2,0),IF(H1285="Cotação",VLOOKUP(I1285,COTAÇÃO!A:D,2,0),IF(H1285="Composição",VLOOKUP(I1285,COMPOSIÇÃO!A:D,2,0))))))</f>
        <v>REGULARIZACAO DE SUPERFICIES EM TERRA COM MOTONIVELADORA</v>
      </c>
      <c r="L1285" s="700" t="str">
        <f>(IF(H1285="Saneago",VLOOKUP(I1285,'SANEAGO-FEV.2016'!A:D,3,0),IF(H1285="Sinapi",VLOOKUP(I1285,'SINAPI-FEV.2017'!A:D,3,0),IF(H1285="Cotação",VLOOKUP(I1285,COTAÇÃO!A:D,3,0),IF(H1285="Composição",VLOOKUP(I1285,COMPOSIÇÃO!A:D,3,0))))))</f>
        <v>M2</v>
      </c>
      <c r="M1285" s="870">
        <f>ROUND(VLOOKUP(G1285,'LÇTO FINAL'!A:M,13,0),2)</f>
        <v>6.8</v>
      </c>
      <c r="N1285" s="399">
        <v>0</v>
      </c>
      <c r="O1285" s="102">
        <f t="shared" si="221"/>
        <v>0</v>
      </c>
      <c r="P1285" s="101">
        <f t="shared" si="222"/>
        <v>0</v>
      </c>
      <c r="Q1285" s="1472">
        <v>6.8</v>
      </c>
    </row>
    <row r="1286" spans="1:17" ht="45">
      <c r="A1286" s="1482"/>
      <c r="B1286" s="1482"/>
      <c r="C1286" s="1483">
        <f t="shared" si="218"/>
        <v>6</v>
      </c>
      <c r="D1286" s="1492">
        <f t="shared" si="223"/>
        <v>10</v>
      </c>
      <c r="E1286" s="1492">
        <f t="shared" si="223"/>
        <v>2</v>
      </c>
      <c r="F1286" s="1484" t="s">
        <v>11708</v>
      </c>
      <c r="G1286" s="862" t="s">
        <v>12469</v>
      </c>
      <c r="H1286" s="823" t="str">
        <f>VLOOKUP(G1286,'LÇTO FINAL'!A:M,2,0)</f>
        <v>SINAPI</v>
      </c>
      <c r="I1286" s="700">
        <f>VLOOKUP(G1286,'LÇTO FINAL'!A:M,3,0)</f>
        <v>93367</v>
      </c>
      <c r="J1286" s="824"/>
      <c r="K1286" s="790" t="str">
        <f>(IF(H1286="Saneago",VLOOKUP(I1286,'SANEAGO-FEV.2016'!A:B,2,0),IF(H1286="Sinapi",VLOOKUP(I1286,'SINAPI-FEV.2017'!A:D,2,0),IF(H1286="Cotação",VLOOKUP(I1286,COTAÇÃO!A:D,2,0),IF(H1286="Composição",VLOOKUP(I1286,COMPOSIÇÃO!A:D,2,0))))))</f>
        <v>REATERRO MECANIZADO DE VALA COM ESCAVADEIRA HIDRÁULICA (CAPACIDADE DA CAÇAMBA: 0,8 M³ / POTÊNCIA: 111 HP), LARGURA DE 1,5 A 2,5 M, PROFUNDIDADE ATÉ 1,5 M, COM SOLO (SEM SUBSTITUIÇÃO) DE 1ª CATEGORIA EM LOCAIS COM BAIXO NÍVEL DE INTERFERÊNCIA. AF_04/2016</v>
      </c>
      <c r="L1286" s="700" t="str">
        <f>(IF(H1286="Saneago",VLOOKUP(I1286,'SANEAGO-FEV.2016'!A:D,3,0),IF(H1286="Sinapi",VLOOKUP(I1286,'SINAPI-FEV.2017'!A:D,3,0),IF(H1286="Cotação",VLOOKUP(I1286,COTAÇÃO!A:D,3,0),IF(H1286="Composição",VLOOKUP(I1286,COMPOSIÇÃO!A:D,3,0))))))</f>
        <v>M3</v>
      </c>
      <c r="M1286" s="870">
        <f>ROUND(VLOOKUP(G1286,'LÇTO FINAL'!A:M,13,0),2)</f>
        <v>37.56</v>
      </c>
      <c r="N1286" s="399">
        <v>0</v>
      </c>
      <c r="O1286" s="102">
        <f t="shared" si="221"/>
        <v>0</v>
      </c>
      <c r="P1286" s="101">
        <f t="shared" si="222"/>
        <v>0</v>
      </c>
      <c r="Q1286" s="1472">
        <v>37.56</v>
      </c>
    </row>
    <row r="1287" spans="1:17">
      <c r="A1287" s="1482"/>
      <c r="B1287" s="1482"/>
      <c r="C1287" s="1483">
        <f t="shared" si="218"/>
        <v>6</v>
      </c>
      <c r="D1287" s="1492">
        <f t="shared" si="223"/>
        <v>10</v>
      </c>
      <c r="E1287" s="1492">
        <f t="shared" si="223"/>
        <v>2</v>
      </c>
      <c r="F1287" s="1484" t="s">
        <v>11708</v>
      </c>
      <c r="G1287" s="862" t="s">
        <v>12470</v>
      </c>
      <c r="H1287" s="823" t="str">
        <f>VLOOKUP(G1287,'LÇTO FINAL'!A:M,2,0)</f>
        <v>SINAPI</v>
      </c>
      <c r="I1287" s="700" t="str">
        <f>VLOOKUP(G1287,'LÇTO FINAL'!A:M,3,0)</f>
        <v>73964/6</v>
      </c>
      <c r="J1287" s="824"/>
      <c r="K1287" s="790" t="str">
        <f>(IF(H1287="Saneago",VLOOKUP(I1287,'SANEAGO-FEV.2016'!A:B,2,0),IF(H1287="Sinapi",VLOOKUP(I1287,'SINAPI-FEV.2017'!A:D,2,0),IF(H1287="Cotação",VLOOKUP(I1287,COTAÇÃO!A:D,2,0),IF(H1287="Composição",VLOOKUP(I1287,COMPOSIÇÃO!A:D,2,0))))))</f>
        <v>REATERRO DE VALA COM COMPACTAÇÃO MANUAL</v>
      </c>
      <c r="L1287" s="700" t="str">
        <f>(IF(H1287="Saneago",VLOOKUP(I1287,'SANEAGO-FEV.2016'!A:D,3,0),IF(H1287="Sinapi",VLOOKUP(I1287,'SINAPI-FEV.2017'!A:D,3,0),IF(H1287="Cotação",VLOOKUP(I1287,COTAÇÃO!A:D,3,0),IF(H1287="Composição",VLOOKUP(I1287,COMPOSIÇÃO!A:D,3,0))))))</f>
        <v>M3</v>
      </c>
      <c r="M1287" s="870">
        <f>ROUND(VLOOKUP(G1287,'LÇTO FINAL'!A:M,13,0),2)</f>
        <v>4.17</v>
      </c>
      <c r="N1287" s="399">
        <v>0</v>
      </c>
      <c r="O1287" s="102">
        <f t="shared" si="221"/>
        <v>0</v>
      </c>
      <c r="P1287" s="101">
        <f t="shared" si="222"/>
        <v>0</v>
      </c>
      <c r="Q1287" s="1472">
        <v>4.17</v>
      </c>
    </row>
    <row r="1288" spans="1:17" ht="15.75" thickBot="1">
      <c r="A1288" s="1482"/>
      <c r="B1288" s="1482"/>
      <c r="C1288" s="1483">
        <f t="shared" si="218"/>
        <v>6</v>
      </c>
      <c r="D1288" s="1492">
        <f t="shared" si="219"/>
        <v>10</v>
      </c>
      <c r="E1288" s="1492">
        <f t="shared" si="220"/>
        <v>2</v>
      </c>
      <c r="F1288" s="1484" t="s">
        <v>11708</v>
      </c>
      <c r="G1288" s="862"/>
      <c r="H1288" s="1095"/>
      <c r="I1288" s="780"/>
      <c r="J1288" s="834"/>
      <c r="K1288" s="780"/>
      <c r="L1288" s="780"/>
      <c r="M1288" s="1270"/>
      <c r="N1288" s="400"/>
      <c r="O1288" s="122"/>
      <c r="P1288" s="123"/>
    </row>
    <row r="1289" spans="1:17" ht="16.5" customHeight="1" thickTop="1" thickBot="1">
      <c r="A1289" s="1482"/>
      <c r="B1289" s="1482"/>
      <c r="C1289" s="1483">
        <f t="shared" si="218"/>
        <v>6</v>
      </c>
      <c r="D1289" s="1492">
        <f t="shared" si="219"/>
        <v>10</v>
      </c>
      <c r="E1289" s="1492">
        <f t="shared" si="220"/>
        <v>2</v>
      </c>
      <c r="F1289" s="1484" t="s">
        <v>11708</v>
      </c>
      <c r="H1289" s="1653" t="str">
        <f>"TOTAL ITEM: "&amp;J1276 &amp;K1276</f>
        <v>TOTAL ITEM: 6.10.2 MOVIMENTO DE TERRA</v>
      </c>
      <c r="I1289" s="1654"/>
      <c r="J1289" s="1654"/>
      <c r="K1289" s="1654"/>
      <c r="L1289" s="1654"/>
      <c r="M1289" s="1654"/>
      <c r="N1289" s="1654"/>
      <c r="O1289" s="1654"/>
      <c r="P1289" s="210">
        <f>SUBTOTAL(9,P1278:P1287)</f>
        <v>0</v>
      </c>
    </row>
    <row r="1290" spans="1:17" ht="15.75" thickTop="1">
      <c r="A1290" s="1482"/>
      <c r="B1290" s="1482"/>
      <c r="C1290" s="1483">
        <f t="shared" si="218"/>
        <v>6</v>
      </c>
      <c r="D1290" s="1492">
        <f t="shared" si="219"/>
        <v>10</v>
      </c>
      <c r="E1290" s="1492">
        <f t="shared" si="220"/>
        <v>2</v>
      </c>
      <c r="F1290" s="1484" t="s">
        <v>11708</v>
      </c>
      <c r="H1290" s="1095"/>
      <c r="I1290" s="780"/>
      <c r="J1290" s="834"/>
      <c r="K1290" s="780"/>
      <c r="L1290" s="780"/>
      <c r="M1290" s="1270"/>
      <c r="N1290" s="400"/>
      <c r="O1290" s="122"/>
      <c r="P1290" s="123"/>
    </row>
    <row r="1291" spans="1:17">
      <c r="A1291" s="1482"/>
      <c r="B1291" s="1482">
        <v>1</v>
      </c>
      <c r="C1291" s="1483">
        <f t="shared" si="218"/>
        <v>6</v>
      </c>
      <c r="D1291" s="1492">
        <f t="shared" si="219"/>
        <v>10</v>
      </c>
      <c r="E1291" s="1492">
        <f t="shared" si="220"/>
        <v>3</v>
      </c>
      <c r="F1291" s="1484" t="s">
        <v>11708</v>
      </c>
      <c r="H1291" s="1514" t="s">
        <v>11703</v>
      </c>
      <c r="I1291" s="1515" t="s">
        <v>64</v>
      </c>
      <c r="J1291" s="1516" t="str">
        <f>CONCATENATE(C1291,".",D1291,".",E1291)</f>
        <v>6.10.3</v>
      </c>
      <c r="K1291" s="1516" t="s">
        <v>11712</v>
      </c>
      <c r="L1291" s="1517" t="s">
        <v>25</v>
      </c>
      <c r="M1291" s="1518" t="s">
        <v>11704</v>
      </c>
      <c r="N1291" s="398" t="s">
        <v>11705</v>
      </c>
      <c r="O1291" s="207" t="s">
        <v>11706</v>
      </c>
      <c r="P1291" s="208" t="s">
        <v>27</v>
      </c>
      <c r="Q1291" s="1472" t="s">
        <v>11704</v>
      </c>
    </row>
    <row r="1292" spans="1:17">
      <c r="A1292" s="1482"/>
      <c r="B1292" s="1482"/>
      <c r="C1292" s="1483">
        <f t="shared" si="218"/>
        <v>6</v>
      </c>
      <c r="D1292" s="1492">
        <f t="shared" si="219"/>
        <v>10</v>
      </c>
      <c r="E1292" s="1492">
        <f t="shared" si="220"/>
        <v>3</v>
      </c>
      <c r="F1292" s="1484" t="s">
        <v>11708</v>
      </c>
      <c r="H1292" s="1095"/>
      <c r="I1292" s="780"/>
      <c r="J1292" s="834"/>
      <c r="K1292" s="780"/>
      <c r="L1292" s="780"/>
      <c r="M1292" s="1270"/>
      <c r="N1292" s="400"/>
      <c r="O1292" s="122"/>
      <c r="P1292" s="123"/>
    </row>
    <row r="1293" spans="1:17" ht="33.75">
      <c r="A1293" s="1482"/>
      <c r="B1293" s="1482"/>
      <c r="C1293" s="1483">
        <f t="shared" si="218"/>
        <v>6</v>
      </c>
      <c r="D1293" s="1492">
        <f t="shared" si="219"/>
        <v>10</v>
      </c>
      <c r="E1293" s="1492">
        <f t="shared" si="220"/>
        <v>3</v>
      </c>
      <c r="F1293" s="1484" t="s">
        <v>11708</v>
      </c>
      <c r="G1293" s="862" t="s">
        <v>12471</v>
      </c>
      <c r="H1293" s="823" t="str">
        <f>VLOOKUP(G1293,'LÇTO FINAL'!A:M,2,0)</f>
        <v>SINAPI</v>
      </c>
      <c r="I1293" s="700" t="str">
        <f>VLOOKUP(G1293,'LÇTO FINAL'!A:M,3,0)</f>
        <v>74010/1</v>
      </c>
      <c r="J1293" s="824"/>
      <c r="K1293" s="790" t="str">
        <f>(IF(H1293="Saneago",VLOOKUP(I1293,'SANEAGO-FEV.2016'!A:B,2,0),IF(H1293="Sinapi",VLOOKUP(I1293,'SINAPI-FEV.2017'!A:D,2,0),IF(H1293="Cotação",VLOOKUP(I1293,COTAÇÃO!A:D,2,0),IF(H1293="Composição",VLOOKUP(I1293,COMPOSIÇÃO!A:D,2,0))))))</f>
        <v>CARGA E DESCARGA MECANICA DE SOLO UTILIZANDO CAMINHAO BASCULANTE 6,0M3/16T E PA CARREGADEIRA SOBRE PNEUS 128 HP, CAPACIDADE DA CAÇAMBA 1,7 A 2,8 M3, PESO OPERACIONAL 11632 KG</v>
      </c>
      <c r="L1293" s="700" t="str">
        <f>(IF(H1293="Saneago",VLOOKUP(I1293,'SANEAGO-FEV.2016'!A:D,3,0),IF(H1293="Sinapi",VLOOKUP(I1293,'SINAPI-FEV.2017'!A:D,3,0),IF(H1293="Cotação",VLOOKUP(I1293,COTAÇÃO!A:D,3,0),IF(H1293="Composição",VLOOKUP(I1293,COMPOSIÇÃO!A:D,3,0))))))</f>
        <v>M3</v>
      </c>
      <c r="M1293" s="870">
        <f>ROUND(VLOOKUP(G1293,'LÇTO FINAL'!A:M,13,0),2)</f>
        <v>21.3</v>
      </c>
      <c r="N1293" s="399">
        <v>0</v>
      </c>
      <c r="O1293" s="102">
        <f>ROUND(IF(F1293="Serviços",N1293*(1+$O$7),IF(F1293="Materiais",N1293*(1+$O$8))),2)</f>
        <v>0</v>
      </c>
      <c r="P1293" s="101">
        <f>ROUND(M1293*O1293,2)</f>
        <v>0</v>
      </c>
      <c r="Q1293" s="1472">
        <v>21.3</v>
      </c>
    </row>
    <row r="1294" spans="1:17" ht="22.5">
      <c r="A1294" s="1482"/>
      <c r="B1294" s="1482"/>
      <c r="C1294" s="1483">
        <f t="shared" si="218"/>
        <v>6</v>
      </c>
      <c r="D1294" s="1492">
        <f t="shared" si="219"/>
        <v>10</v>
      </c>
      <c r="E1294" s="1492">
        <f t="shared" si="220"/>
        <v>3</v>
      </c>
      <c r="F1294" s="1484" t="s">
        <v>11708</v>
      </c>
      <c r="G1294" s="862" t="s">
        <v>12472</v>
      </c>
      <c r="H1294" s="823" t="str">
        <f>VLOOKUP(G1294,'LÇTO FINAL'!A:M,2,0)</f>
        <v>SINAPI</v>
      </c>
      <c r="I1294" s="700">
        <f>VLOOKUP(G1294,'LÇTO FINAL'!A:M,3,0)</f>
        <v>93590</v>
      </c>
      <c r="J1294" s="824"/>
      <c r="K1294" s="790" t="str">
        <f>(IF(H1294="Saneago",VLOOKUP(I1294,'SANEAGO-FEV.2016'!A:B,2,0),IF(H1294="Sinapi",VLOOKUP(I1294,'SINAPI-FEV.2017'!A:D,2,0),IF(H1294="Cotação",VLOOKUP(I1294,COTAÇÃO!A:D,2,0),IF(H1294="Composição",VLOOKUP(I1294,COMPOSIÇÃO!A:D,2,0))))))</f>
        <v>TRANSPORTE COM CAMINHÃO BASCULANTE DE 10 M3, EM VIA URBANA PAVIMENTADA, DMT ACIMA DE 30KM (UNIDADE: M3XKM). AF_04/2016</v>
      </c>
      <c r="L1294" s="700" t="str">
        <f>(IF(H1294="Saneago",VLOOKUP(I1294,'SANEAGO-FEV.2016'!A:D,3,0),IF(H1294="Sinapi",VLOOKUP(I1294,'SINAPI-FEV.2017'!A:D,3,0),IF(H1294="Cotação",VLOOKUP(I1294,COTAÇÃO!A:D,3,0),IF(H1294="Composição",VLOOKUP(I1294,COMPOSIÇÃO!A:D,3,0))))))</f>
        <v>M3XKM</v>
      </c>
      <c r="M1294" s="870">
        <f>ROUND(VLOOKUP(G1294,'LÇTO FINAL'!A:M,13,0),2)</f>
        <v>159.74</v>
      </c>
      <c r="N1294" s="399">
        <v>0</v>
      </c>
      <c r="O1294" s="102">
        <f>ROUND(IF(F1294="Serviços",N1294*(1+$O$7),IF(F1294="Materiais",N1294*(1+$O$8))),2)</f>
        <v>0</v>
      </c>
      <c r="P1294" s="101">
        <f>ROUND(M1294*O1294,2)</f>
        <v>0</v>
      </c>
      <c r="Q1294" s="1472">
        <v>159.74</v>
      </c>
    </row>
    <row r="1295" spans="1:17" ht="22.5">
      <c r="A1295" s="1482"/>
      <c r="B1295" s="1482"/>
      <c r="C1295" s="1483">
        <f t="shared" si="218"/>
        <v>6</v>
      </c>
      <c r="D1295" s="1492">
        <f t="shared" si="219"/>
        <v>10</v>
      </c>
      <c r="E1295" s="1492">
        <f t="shared" si="220"/>
        <v>3</v>
      </c>
      <c r="F1295" s="1484" t="s">
        <v>11708</v>
      </c>
      <c r="G1295" s="862" t="s">
        <v>12473</v>
      </c>
      <c r="H1295" s="823" t="str">
        <f>VLOOKUP(G1295,'LÇTO FINAL'!A:M,2,0)</f>
        <v>SINAPI</v>
      </c>
      <c r="I1295" s="700">
        <f>VLOOKUP(G1295,'LÇTO FINAL'!A:M,3,0)</f>
        <v>83344</v>
      </c>
      <c r="J1295" s="824"/>
      <c r="K1295" s="790" t="str">
        <f>(IF(H1295="Saneago",VLOOKUP(I1295,'SANEAGO-FEV.2016'!A:B,2,0),IF(H1295="Sinapi",VLOOKUP(I1295,'SINAPI-FEV.2017'!A:D,2,0),IF(H1295="Cotação",VLOOKUP(I1295,COTAÇÃO!A:D,2,0),IF(H1295="Composição",VLOOKUP(I1295,COMPOSIÇÃO!A:D,2,0))))))</f>
        <v>ESPALHAMENTO DE MATERIAL EM BOTA FORA, COM UTILIZACAO DE TRATOR DE ESTEIRAS DE 165 HP</v>
      </c>
      <c r="L1295" s="700" t="str">
        <f>(IF(H1295="Saneago",VLOOKUP(I1295,'SANEAGO-FEV.2016'!A:D,3,0),IF(H1295="Sinapi",VLOOKUP(I1295,'SINAPI-FEV.2017'!A:D,3,0),IF(H1295="Cotação",VLOOKUP(I1295,COTAÇÃO!A:D,3,0),IF(H1295="Composição",VLOOKUP(I1295,COMPOSIÇÃO!A:D,3,0))))))</f>
        <v>M3</v>
      </c>
      <c r="M1295" s="870">
        <f>ROUND(VLOOKUP(G1295,'LÇTO FINAL'!A:M,13,0),2)</f>
        <v>21.3</v>
      </c>
      <c r="N1295" s="399">
        <v>0</v>
      </c>
      <c r="O1295" s="102">
        <f>ROUND(IF(F1295="Serviços",N1295*(1+$O$7),IF(F1295="Materiais",N1295*(1+$O$8))),2)</f>
        <v>0</v>
      </c>
      <c r="P1295" s="101">
        <f>ROUND(M1295*O1295,2)</f>
        <v>0</v>
      </c>
      <c r="Q1295" s="1472">
        <v>21.3</v>
      </c>
    </row>
    <row r="1296" spans="1:17" ht="15.75" thickBot="1">
      <c r="A1296" s="1482"/>
      <c r="B1296" s="1482"/>
      <c r="C1296" s="1483">
        <f t="shared" si="218"/>
        <v>6</v>
      </c>
      <c r="D1296" s="1492">
        <f t="shared" si="219"/>
        <v>10</v>
      </c>
      <c r="E1296" s="1492">
        <f t="shared" si="220"/>
        <v>3</v>
      </c>
      <c r="F1296" s="1484" t="s">
        <v>11708</v>
      </c>
      <c r="G1296" s="905"/>
      <c r="H1296" s="1095"/>
      <c r="I1296" s="780"/>
      <c r="J1296" s="834"/>
      <c r="K1296" s="780"/>
      <c r="L1296" s="780"/>
      <c r="M1296" s="1270"/>
      <c r="N1296" s="400"/>
      <c r="O1296" s="122"/>
      <c r="P1296" s="123"/>
    </row>
    <row r="1297" spans="1:24" ht="16.5" customHeight="1" thickTop="1" thickBot="1">
      <c r="A1297" s="1482"/>
      <c r="B1297" s="1482"/>
      <c r="C1297" s="1483">
        <f t="shared" si="218"/>
        <v>6</v>
      </c>
      <c r="D1297" s="1492">
        <f t="shared" si="219"/>
        <v>10</v>
      </c>
      <c r="E1297" s="1492">
        <f t="shared" si="220"/>
        <v>3</v>
      </c>
      <c r="F1297" s="1484" t="s">
        <v>11708</v>
      </c>
      <c r="G1297" s="862"/>
      <c r="H1297" s="1653" t="str">
        <f>"TOTAL ITEM: "&amp;J1291 &amp;K1291</f>
        <v>TOTAL ITEM: 6.10.3 BOTA FORA DE MATERIAL DE ESCAVAÇÃO (SOLO 1º E 2º CATEGORIA)</v>
      </c>
      <c r="I1297" s="1654"/>
      <c r="J1297" s="1654"/>
      <c r="K1297" s="1654"/>
      <c r="L1297" s="1654"/>
      <c r="M1297" s="1654"/>
      <c r="N1297" s="1654"/>
      <c r="O1297" s="1654"/>
      <c r="P1297" s="210">
        <f>SUBTOTAL(9,P1293:P1295)</f>
        <v>0</v>
      </c>
    </row>
    <row r="1298" spans="1:24" s="863" customFormat="1" ht="13.5" thickTop="1">
      <c r="A1298" s="1482"/>
      <c r="B1298" s="1482"/>
      <c r="C1298" s="1483">
        <f t="shared" si="218"/>
        <v>6</v>
      </c>
      <c r="D1298" s="1492">
        <f t="shared" si="219"/>
        <v>10</v>
      </c>
      <c r="E1298" s="1492">
        <f t="shared" si="220"/>
        <v>3</v>
      </c>
      <c r="F1298" s="1484" t="s">
        <v>11708</v>
      </c>
      <c r="G1298" s="862"/>
      <c r="H1298" s="789"/>
      <c r="I1298" s="915"/>
      <c r="J1298" s="1022"/>
      <c r="K1298" s="915"/>
      <c r="L1298" s="816"/>
      <c r="M1298" s="874"/>
      <c r="N1298" s="394"/>
      <c r="O1298" s="98"/>
      <c r="P1298" s="95"/>
      <c r="Q1298" s="1507"/>
      <c r="R1298" s="1525"/>
      <c r="S1298" s="1504"/>
      <c r="V1298" s="1325"/>
      <c r="W1298" s="1325"/>
      <c r="X1298" s="1325"/>
    </row>
    <row r="1299" spans="1:24">
      <c r="A1299" s="1482"/>
      <c r="B1299" s="1482">
        <v>1</v>
      </c>
      <c r="C1299" s="1483">
        <f t="shared" si="218"/>
        <v>6</v>
      </c>
      <c r="D1299" s="1492">
        <f t="shared" si="219"/>
        <v>10</v>
      </c>
      <c r="E1299" s="1492">
        <f t="shared" si="220"/>
        <v>4</v>
      </c>
      <c r="F1299" s="1484" t="s">
        <v>11708</v>
      </c>
      <c r="H1299" s="1514" t="s">
        <v>11703</v>
      </c>
      <c r="I1299" s="1515" t="s">
        <v>64</v>
      </c>
      <c r="J1299" s="1516" t="str">
        <f>CONCATENATE(C1299,".",D1299,".",E1299)</f>
        <v>6.10.4</v>
      </c>
      <c r="K1299" s="1516" t="s">
        <v>1225</v>
      </c>
      <c r="L1299" s="1517" t="s">
        <v>25</v>
      </c>
      <c r="M1299" s="1518" t="s">
        <v>11704</v>
      </c>
      <c r="N1299" s="398" t="s">
        <v>11705</v>
      </c>
      <c r="O1299" s="207" t="s">
        <v>11706</v>
      </c>
      <c r="P1299" s="208" t="s">
        <v>27</v>
      </c>
      <c r="Q1299" s="1472" t="s">
        <v>11704</v>
      </c>
    </row>
    <row r="1300" spans="1:24">
      <c r="A1300" s="1482"/>
      <c r="B1300" s="1482"/>
      <c r="C1300" s="1483">
        <f t="shared" si="218"/>
        <v>6</v>
      </c>
      <c r="D1300" s="1492">
        <f t="shared" si="219"/>
        <v>10</v>
      </c>
      <c r="E1300" s="1492">
        <f t="shared" si="220"/>
        <v>4</v>
      </c>
      <c r="F1300" s="1484" t="s">
        <v>11708</v>
      </c>
      <c r="H1300" s="1095"/>
      <c r="I1300" s="780"/>
      <c r="J1300" s="834"/>
      <c r="K1300" s="780"/>
      <c r="L1300" s="780"/>
      <c r="M1300" s="1270"/>
      <c r="N1300" s="400"/>
      <c r="O1300" s="122"/>
      <c r="P1300" s="123"/>
    </row>
    <row r="1301" spans="1:24" ht="33.75">
      <c r="A1301" s="1482"/>
      <c r="B1301" s="1482"/>
      <c r="C1301" s="1483">
        <f t="shared" si="218"/>
        <v>6</v>
      </c>
      <c r="D1301" s="1492">
        <f t="shared" si="219"/>
        <v>10</v>
      </c>
      <c r="E1301" s="1492">
        <f t="shared" si="220"/>
        <v>4</v>
      </c>
      <c r="F1301" s="1484" t="s">
        <v>11708</v>
      </c>
      <c r="G1301" s="862" t="s">
        <v>12474</v>
      </c>
      <c r="H1301" s="823" t="str">
        <f>VLOOKUP(G1301,'LÇTO FINAL'!A:M,2,0)</f>
        <v>SINAPI</v>
      </c>
      <c r="I1301" s="700">
        <f>VLOOKUP(G1301,'LÇTO FINAL'!A:M,3,0)</f>
        <v>94116</v>
      </c>
      <c r="J1301" s="824"/>
      <c r="K1301" s="790" t="str">
        <f>(IF(H1301="Saneago",VLOOKUP(I1301,'SANEAGO-FEV.2016'!A:B,2,0),IF(H1301="Sinapi",VLOOKUP(I1301,'SINAPI-FEV.2017'!A:D,2,0),IF(H1301="Cotação",VLOOKUP(I1301,COTAÇÃO!A:D,2,0),IF(H1301="Composição",VLOOKUP(I1301,COMPOSIÇÃO!A:D,2,0))))))</f>
        <v>LASTRO COM PREPARO DE FUNDO, LARGURA MAIOR OU IGUAL A 1,5 M, COM CAMADA DE BRITA, LANÇAMENTO MECANIZADO, EM LOCAL COM NÍVEL BAIXO DE INTERFERÊNCIA. AF_06/2016</v>
      </c>
      <c r="L1301" s="700" t="str">
        <f>(IF(H1301="Saneago",VLOOKUP(I1301,'SANEAGO-FEV.2016'!A:D,3,0),IF(H1301="Sinapi",VLOOKUP(I1301,'SINAPI-FEV.2017'!A:D,3,0),IF(H1301="Cotação",VLOOKUP(I1301,COTAÇÃO!A:D,3,0),IF(H1301="Composição",VLOOKUP(I1301,COMPOSIÇÃO!A:D,3,0))))))</f>
        <v>M3</v>
      </c>
      <c r="M1301" s="870">
        <f>ROUND(VLOOKUP(G1301,'LÇTO FINAL'!A:M,13,0),2)</f>
        <v>1.06</v>
      </c>
      <c r="N1301" s="399">
        <v>0</v>
      </c>
      <c r="O1301" s="102">
        <f>ROUND(IF(F1301="Serviços",N1301*(1+$O$7),IF(F1301="Materiais",N1301*(1+$O$8))),2)</f>
        <v>0</v>
      </c>
      <c r="P1301" s="101">
        <f>ROUND(M1301*O1301,2)</f>
        <v>0</v>
      </c>
      <c r="Q1301" s="1472">
        <v>1.06</v>
      </c>
    </row>
    <row r="1302" spans="1:24" ht="22.5">
      <c r="A1302" s="1482"/>
      <c r="B1302" s="1482"/>
      <c r="C1302" s="1483">
        <f t="shared" si="218"/>
        <v>6</v>
      </c>
      <c r="D1302" s="1492">
        <f t="shared" si="219"/>
        <v>10</v>
      </c>
      <c r="E1302" s="1492">
        <f t="shared" si="220"/>
        <v>4</v>
      </c>
      <c r="F1302" s="1484" t="s">
        <v>11708</v>
      </c>
      <c r="G1302" s="862" t="s">
        <v>12475</v>
      </c>
      <c r="H1302" s="823" t="str">
        <f>VLOOKUP(G1302,'LÇTO FINAL'!A:M,2,0)</f>
        <v>SINAPI</v>
      </c>
      <c r="I1302" s="700">
        <f>VLOOKUP(G1302,'LÇTO FINAL'!A:M,3,0)</f>
        <v>95241</v>
      </c>
      <c r="J1302" s="824"/>
      <c r="K1302" s="790" t="str">
        <f>(IF(H1302="Saneago",VLOOKUP(I1302,'SANEAGO-FEV.2016'!A:B,2,0),IF(H1302="Sinapi",VLOOKUP(I1302,'SINAPI-FEV.2017'!A:D,2,0),IF(H1302="Cotação",VLOOKUP(I1302,COTAÇÃO!A:D,2,0),IF(H1302="Composição",VLOOKUP(I1302,COMPOSIÇÃO!A:D,2,0))))))</f>
        <v>LASTRO DE CONCRETO, E = 5 CM, PREPARO MECÂNICO, INCLUSOS LANÇAMENTO E ADENSAMENTO. AF_07_2016</v>
      </c>
      <c r="L1302" s="700" t="str">
        <f>(IF(H1302="Saneago",VLOOKUP(I1302,'SANEAGO-FEV.2016'!A:D,3,0),IF(H1302="Sinapi",VLOOKUP(I1302,'SINAPI-FEV.2017'!A:D,3,0),IF(H1302="Cotação",VLOOKUP(I1302,COTAÇÃO!A:D,3,0),IF(H1302="Composição",VLOOKUP(I1302,COMPOSIÇÃO!A:D,3,0))))))</f>
        <v>M2</v>
      </c>
      <c r="M1302" s="870">
        <f>ROUND(VLOOKUP(G1302,'LÇTO FINAL'!A:M,13,0),2)</f>
        <v>7.09</v>
      </c>
      <c r="N1302" s="399">
        <v>0</v>
      </c>
      <c r="O1302" s="102">
        <f>ROUND(IF(F1302="Serviços",N1302*(1+$O$7),IF(F1302="Materiais",N1302*(1+$O$8))),2)</f>
        <v>0</v>
      </c>
      <c r="P1302" s="101">
        <f>ROUND(M1302*O1302,2)</f>
        <v>0</v>
      </c>
      <c r="Q1302" s="1472">
        <v>7.09</v>
      </c>
    </row>
    <row r="1303" spans="1:24" ht="45">
      <c r="A1303" s="1482"/>
      <c r="B1303" s="1482"/>
      <c r="C1303" s="1483">
        <f t="shared" si="218"/>
        <v>6</v>
      </c>
      <c r="D1303" s="1492">
        <f t="shared" si="219"/>
        <v>10</v>
      </c>
      <c r="E1303" s="1492">
        <f t="shared" si="220"/>
        <v>4</v>
      </c>
      <c r="F1303" s="1484" t="s">
        <v>11708</v>
      </c>
      <c r="G1303" s="862" t="s">
        <v>20488</v>
      </c>
      <c r="H1303" s="823" t="str">
        <f>VLOOKUP(G1303,'LÇTO FINAL'!A:M,2,0)</f>
        <v>SINAPI</v>
      </c>
      <c r="I1303" s="700">
        <f>VLOOKUP(G1303,'LÇTO FINAL'!A:M,3,0)</f>
        <v>92415</v>
      </c>
      <c r="J1303" s="824"/>
      <c r="K1303" s="790" t="str">
        <f>(IF(H1303="Saneago",VLOOKUP(I1303,'SANEAGO-FEV.2016'!A:B,2,0),IF(H1303="Sinapi",VLOOKUP(I1303,'SINAPI-FEV.2017'!A:D,2,0),IF(H1303="Cotação",VLOOKUP(I1303,COTAÇÃO!A:D,2,0),IF(H1303="Composição",VLOOKUP(I1303,COMPOSIÇÃO!A:D,2,0))))))</f>
        <v>MONTAGEM E DESMONTAGEM DE FÔRMA DE PILARES RETANGULARES E ESTRUTURAS SIMILARES COM ÁREA MÉDIA DAS SEÇÕES MAIOR QUE 0,25 M², PÉ-DIREITO SIMPLES, EM CHAPA DE MADEIRA COMPENSADA RESINADA, 2 UTILIZAÇÕES. AF_12/2015</v>
      </c>
      <c r="L1303" s="700" t="str">
        <f>(IF(H1303="Saneago",VLOOKUP(I1303,'SANEAGO-FEV.2016'!A:D,3,0),IF(H1303="Sinapi",VLOOKUP(I1303,'SINAPI-FEV.2017'!A:D,3,0),IF(H1303="Cotação",VLOOKUP(I1303,COTAÇÃO!A:D,3,0),IF(H1303="Composição",VLOOKUP(I1303,COMPOSIÇÃO!A:D,3,0))))))</f>
        <v>M2</v>
      </c>
      <c r="M1303" s="870">
        <f>ROUND(VLOOKUP(G1303,'LÇTO FINAL'!A:M,13,0),2)</f>
        <v>34.56</v>
      </c>
      <c r="N1303" s="399">
        <v>0</v>
      </c>
      <c r="O1303" s="102">
        <f>ROUND(IF(F1303="Serviços",N1303*(1+$O$7),IF(F1303="Materiais",N1303*(1+$O$8))),2)</f>
        <v>0</v>
      </c>
      <c r="P1303" s="101">
        <f>ROUND(M1303*O1303,2)</f>
        <v>0</v>
      </c>
      <c r="Q1303" s="1472">
        <v>34.56</v>
      </c>
    </row>
    <row r="1304" spans="1:24" ht="33.75">
      <c r="A1304" s="1482"/>
      <c r="B1304" s="1482"/>
      <c r="C1304" s="1483">
        <f t="shared" si="218"/>
        <v>6</v>
      </c>
      <c r="D1304" s="1492">
        <f>D1303+A1304</f>
        <v>10</v>
      </c>
      <c r="E1304" s="1492">
        <f>E1303+B1304</f>
        <v>4</v>
      </c>
      <c r="F1304" s="1484" t="s">
        <v>11708</v>
      </c>
      <c r="G1304" s="862" t="s">
        <v>20489</v>
      </c>
      <c r="H1304" s="823" t="str">
        <f>VLOOKUP(G1304,'LÇTO FINAL'!A:M,2,0)</f>
        <v>SINAPI</v>
      </c>
      <c r="I1304" s="700">
        <f>VLOOKUP(G1304,'LÇTO FINAL'!A:M,3,0)</f>
        <v>92510</v>
      </c>
      <c r="J1304" s="824"/>
      <c r="K1304" s="790" t="str">
        <f>(IF(H1304="Saneago",VLOOKUP(I1304,'SANEAGO-FEV.2016'!A:B,2,0),IF(H1304="Sinapi",VLOOKUP(I1304,'SINAPI-FEV.2017'!A:D,2,0),IF(H1304="Cotação",VLOOKUP(I1304,COTAÇÃO!A:D,2,0),IF(H1304="Composição",VLOOKUP(I1304,COMPOSIÇÃO!A:D,2,0))))))</f>
        <v>MONTAGEM E DESMONTAGEM DE FÔRMA DE LAJE MACIÇA COM ÁREA MÉDIA MAIOR QUE 20 M², PÉ-DIREITO SIMPLES, EM CHAPA DE MADEIRA COMPENSADA RESINADA, 2 UTILIZAÇÕES. AF_12/2015</v>
      </c>
      <c r="L1304" s="700" t="str">
        <f>(IF(H1304="Saneago",VLOOKUP(I1304,'SANEAGO-FEV.2016'!A:D,3,0),IF(H1304="Sinapi",VLOOKUP(I1304,'SINAPI-FEV.2017'!A:D,3,0),IF(H1304="Cotação",VLOOKUP(I1304,COTAÇÃO!A:D,3,0),IF(H1304="Composição",VLOOKUP(I1304,COMPOSIÇÃO!A:D,3,0))))))</f>
        <v>M2</v>
      </c>
      <c r="M1304" s="870">
        <f>ROUND(VLOOKUP(G1304,'LÇTO FINAL'!A:M,13,0),2)</f>
        <v>2.2799999999999998</v>
      </c>
      <c r="N1304" s="399">
        <v>0</v>
      </c>
      <c r="O1304" s="102">
        <f>ROUND(IF(F1304="Serviços",N1304*(1+$O$7),IF(F1304="Materiais",N1304*(1+$O$8))),2)</f>
        <v>0</v>
      </c>
      <c r="P1304" s="101">
        <f>ROUND(M1304*O1304,2)</f>
        <v>0</v>
      </c>
      <c r="Q1304" s="1472">
        <v>2.2799999999999998</v>
      </c>
    </row>
    <row r="1305" spans="1:24" ht="22.5">
      <c r="A1305" s="1482"/>
      <c r="B1305" s="1482"/>
      <c r="C1305" s="1483">
        <f t="shared" si="218"/>
        <v>6</v>
      </c>
      <c r="D1305" s="1492">
        <f t="shared" ref="D1305:D1313" si="224">D1304+A1305</f>
        <v>10</v>
      </c>
      <c r="E1305" s="1492">
        <f t="shared" ref="E1305:E1313" si="225">E1304+B1305</f>
        <v>4</v>
      </c>
      <c r="F1305" s="1484" t="s">
        <v>11708</v>
      </c>
      <c r="G1305" s="862" t="s">
        <v>20493</v>
      </c>
      <c r="H1305" s="823" t="str">
        <f>VLOOKUP(G1305,'LÇTO FINAL'!A:M,2,0)</f>
        <v>SANEAGO</v>
      </c>
      <c r="I1305" s="700">
        <f>VLOOKUP(G1305,'LÇTO FINAL'!A:M,3,0)</f>
        <v>316</v>
      </c>
      <c r="J1305" s="824"/>
      <c r="K1305" s="790" t="str">
        <f>(IF(H1305="Saneago",VLOOKUP(I1305,'SANEAGO-FEV.2016'!A:B,2,0),IF(H1305="Sinapi",VLOOKUP(I1305,'SINAPI-FEV.2017'!A:D,2,0),IF(H1305="Cotação",VLOOKUP(I1305,COTAÇÃO!A:D,2,0),IF(H1305="Composição",VLOOKUP(I1305,COMPOSIÇÃO!A:D,2,0))))))</f>
        <v>CONCRETO  ESTRUTURAL USINADO BOMBEADO  FCK=40 MPA, COM ADIÇÃO DE 8 À 10% DE MICROSSÍLICA (INCLUINDO  LANÇAMENTO, APLICAÇÃO  E ADENSAMENTO)</v>
      </c>
      <c r="L1305" s="700" t="str">
        <f>(IF(H1305="Saneago",VLOOKUP(I1305,'SANEAGO-FEV.2016'!A:D,3,0),IF(H1305="Sinapi",VLOOKUP(I1305,'SINAPI-FEV.2017'!A:D,3,0),IF(H1305="Cotação",VLOOKUP(I1305,COTAÇÃO!A:D,3,0),IF(H1305="Composição",VLOOKUP(I1305,COMPOSIÇÃO!A:D,3,0))))))</f>
        <v>M3</v>
      </c>
      <c r="M1305" s="870">
        <f>ROUND(VLOOKUP(G1305,'LÇTO FINAL'!A:M,13,0),2)</f>
        <v>6.1</v>
      </c>
      <c r="N1305" s="399">
        <v>0</v>
      </c>
      <c r="O1305" s="102">
        <f t="shared" ref="O1305:O1310" si="226">ROUND(IF(F1305="Serviços",N1305*(1+$O$7),IF(F1305="Materiais",N1305*(1+$O$8))),2)</f>
        <v>0</v>
      </c>
      <c r="P1305" s="101">
        <f t="shared" ref="P1305:P1310" si="227">ROUND(M1305*O1305,2)</f>
        <v>0</v>
      </c>
      <c r="Q1305" s="1472">
        <v>6.1</v>
      </c>
    </row>
    <row r="1306" spans="1:24" ht="45">
      <c r="A1306" s="1482"/>
      <c r="B1306" s="1482"/>
      <c r="C1306" s="1483">
        <f t="shared" si="218"/>
        <v>6</v>
      </c>
      <c r="D1306" s="1492">
        <f t="shared" si="224"/>
        <v>10</v>
      </c>
      <c r="E1306" s="1492">
        <f t="shared" si="225"/>
        <v>4</v>
      </c>
      <c r="F1306" s="1484" t="s">
        <v>11708</v>
      </c>
      <c r="G1306" s="912" t="s">
        <v>20494</v>
      </c>
      <c r="H1306" s="823" t="str">
        <f>VLOOKUP(G1306,'LÇTO FINAL'!A:M,2,0)</f>
        <v>SINAPI</v>
      </c>
      <c r="I1306" s="700">
        <f>VLOOKUP(G1306,'LÇTO FINAL'!A:M,3,0)</f>
        <v>92915</v>
      </c>
      <c r="J1306" s="824"/>
      <c r="K1306" s="790" t="str">
        <f>(IF(H1306="Saneago",VLOOKUP(I1306,'SANEAGO-FEV.2016'!A:B,2,0),IF(H1306="Sinapi",VLOOKUP(I1306,'SINAPI-FEV.2017'!A:D,2,0),IF(H1306="Cotação",VLOOKUP(I1306,COTAÇÃO!A:D,2,0),IF(H1306="Composição",VLOOKUP(I1306,COMPOSIÇÃO!A:D,2,0))))))</f>
        <v>ARMAÇÃO DE ESTRUTURAS DE CONCRETO ARMADO, EXCETO VIGAS, PILARES, LAJES E FUNDAÇÕES PROFUNDAS (DE EDIFÍCIOS DE MÚLTIPLOS PAVIMENTOS, EDIFICAÇÃO TÉRREA OU SOBRADO), UTILIZANDO AÇO CA-60 DE 5.0 MM - MONTAGEM. AF_12/2015</v>
      </c>
      <c r="L1306" s="700" t="str">
        <f>(IF(H1306="Saneago",VLOOKUP(I1306,'SANEAGO-FEV.2016'!A:D,3,0),IF(H1306="Sinapi",VLOOKUP(I1306,'SINAPI-FEV.2017'!A:D,3,0),IF(H1306="Cotação",VLOOKUP(I1306,COTAÇÃO!A:D,3,0),IF(H1306="Composição",VLOOKUP(I1306,COMPOSIÇÃO!A:D,3,0))))))</f>
        <v>KG</v>
      </c>
      <c r="M1306" s="870">
        <f>ROUND(VLOOKUP(G1306,'LÇTO FINAL'!A:M,13,0),2)</f>
        <v>100.72</v>
      </c>
      <c r="N1306" s="399">
        <v>0</v>
      </c>
      <c r="O1306" s="102">
        <f t="shared" si="226"/>
        <v>0</v>
      </c>
      <c r="P1306" s="101">
        <f t="shared" si="227"/>
        <v>0</v>
      </c>
      <c r="Q1306" s="1472">
        <v>100.72</v>
      </c>
    </row>
    <row r="1307" spans="1:24" ht="45">
      <c r="A1307" s="1482"/>
      <c r="B1307" s="1482"/>
      <c r="C1307" s="1483">
        <f t="shared" si="218"/>
        <v>6</v>
      </c>
      <c r="D1307" s="1492">
        <f t="shared" si="224"/>
        <v>10</v>
      </c>
      <c r="E1307" s="1492">
        <f t="shared" si="225"/>
        <v>4</v>
      </c>
      <c r="F1307" s="1484" t="s">
        <v>11708</v>
      </c>
      <c r="G1307" s="912" t="s">
        <v>20495</v>
      </c>
      <c r="H1307" s="823" t="str">
        <f>VLOOKUP(G1307,'LÇTO FINAL'!A:M,2,0)</f>
        <v>SINAPI</v>
      </c>
      <c r="I1307" s="700">
        <f>VLOOKUP(G1307,'LÇTO FINAL'!A:M,3,0)</f>
        <v>92916</v>
      </c>
      <c r="J1307" s="824"/>
      <c r="K1307" s="790" t="str">
        <f>(IF(H1307="Saneago",VLOOKUP(I1307,'SANEAGO-FEV.2016'!A:B,2,0),IF(H1307="Sinapi",VLOOKUP(I1307,'SINAPI-FEV.2017'!A:D,2,0),IF(H1307="Cotação",VLOOKUP(I1307,COTAÇÃO!A:D,2,0),IF(H1307="Composição",VLOOKUP(I1307,COMPOSIÇÃO!A:D,2,0))))))</f>
        <v>ARMAÇÃO DE ESTRUTURAS DE CONCRETO ARMADO, EXCETO VIGAS, PILARES, LAJES E FUNDAÇÕES PROFUNDAS (DE EDIFÍCIOS DE MÚLTIPLOS PAVIMENTOS, EDIFICAÇÃO TÉRREA OU SOBRADO), UTILIZANDO AÇO CA-50 DE 6.3 MM - MONTAGEM. AF_12/2015</v>
      </c>
      <c r="L1307" s="700" t="str">
        <f>(IF(H1307="Saneago",VLOOKUP(I1307,'SANEAGO-FEV.2016'!A:D,3,0),IF(H1307="Sinapi",VLOOKUP(I1307,'SINAPI-FEV.2017'!A:D,3,0),IF(H1307="Cotação",VLOOKUP(I1307,COTAÇÃO!A:D,3,0),IF(H1307="Composição",VLOOKUP(I1307,COMPOSIÇÃO!A:D,3,0))))))</f>
        <v>KG</v>
      </c>
      <c r="M1307" s="870">
        <f>ROUND(VLOOKUP(G1307,'LÇTO FINAL'!A:M,13,0),2)</f>
        <v>147.72</v>
      </c>
      <c r="N1307" s="399">
        <v>0</v>
      </c>
      <c r="O1307" s="102">
        <f t="shared" si="226"/>
        <v>0</v>
      </c>
      <c r="P1307" s="101">
        <f t="shared" si="227"/>
        <v>0</v>
      </c>
      <c r="Q1307" s="1472">
        <v>147.72</v>
      </c>
    </row>
    <row r="1308" spans="1:24" ht="45">
      <c r="A1308" s="1482"/>
      <c r="B1308" s="1482"/>
      <c r="C1308" s="1483">
        <f t="shared" si="218"/>
        <v>6</v>
      </c>
      <c r="D1308" s="1492">
        <f t="shared" si="224"/>
        <v>10</v>
      </c>
      <c r="E1308" s="1492">
        <f t="shared" si="225"/>
        <v>4</v>
      </c>
      <c r="F1308" s="1484" t="s">
        <v>11708</v>
      </c>
      <c r="G1308" s="912" t="s">
        <v>20496</v>
      </c>
      <c r="H1308" s="823" t="str">
        <f>VLOOKUP(G1308,'LÇTO FINAL'!A:M,2,0)</f>
        <v>SINAPI</v>
      </c>
      <c r="I1308" s="700">
        <f>VLOOKUP(G1308,'LÇTO FINAL'!A:M,3,0)</f>
        <v>92917</v>
      </c>
      <c r="J1308" s="824"/>
      <c r="K1308" s="790" t="str">
        <f>(IF(H1308="Saneago",VLOOKUP(I1308,'SANEAGO-FEV.2016'!A:B,2,0),IF(H1308="Sinapi",VLOOKUP(I1308,'SINAPI-FEV.2017'!A:D,2,0),IF(H1308="Cotação",VLOOKUP(I1308,COTAÇÃO!A:D,2,0),IF(H1308="Composição",VLOOKUP(I1308,COMPOSIÇÃO!A:D,2,0))))))</f>
        <v>ARMAÇÃO DE ESTRUTURAS DE CONCRETO ARMADO, EXCETO VIGAS, PILARES, LAJES E FUNDAÇÕES PROFUNDAS (DE EDIFÍCIOS DE MÚLTIPLOS PAVIMENTOS, EDIFICAÇÃO TÉRREA OU SOBRADO), UTILIZANDO AÇO CA-50 DE 8.0 MM - MONTAGEM. AF_12/2015</v>
      </c>
      <c r="L1308" s="700" t="str">
        <f>(IF(H1308="Saneago",VLOOKUP(I1308,'SANEAGO-FEV.2016'!A:D,3,0),IF(H1308="Sinapi",VLOOKUP(I1308,'SINAPI-FEV.2017'!A:D,3,0),IF(H1308="Cotação",VLOOKUP(I1308,COTAÇÃO!A:D,3,0),IF(H1308="Composição",VLOOKUP(I1308,COMPOSIÇÃO!A:D,3,0))))))</f>
        <v>KG</v>
      </c>
      <c r="M1308" s="870">
        <f>ROUND(VLOOKUP(G1308,'LÇTO FINAL'!A:M,13,0),2)</f>
        <v>114.14</v>
      </c>
      <c r="N1308" s="399">
        <v>0</v>
      </c>
      <c r="O1308" s="102">
        <f t="shared" si="226"/>
        <v>0</v>
      </c>
      <c r="P1308" s="101">
        <f t="shared" si="227"/>
        <v>0</v>
      </c>
      <c r="Q1308" s="1472">
        <v>114.14</v>
      </c>
    </row>
    <row r="1309" spans="1:24" ht="45">
      <c r="A1309" s="1482"/>
      <c r="B1309" s="1482"/>
      <c r="C1309" s="1483">
        <f t="shared" si="218"/>
        <v>6</v>
      </c>
      <c r="D1309" s="1492">
        <f t="shared" si="224"/>
        <v>10</v>
      </c>
      <c r="E1309" s="1492">
        <f t="shared" si="225"/>
        <v>4</v>
      </c>
      <c r="F1309" s="1484" t="s">
        <v>11708</v>
      </c>
      <c r="G1309" s="912" t="s">
        <v>20497</v>
      </c>
      <c r="H1309" s="823" t="str">
        <f>VLOOKUP(G1309,'LÇTO FINAL'!A:M,2,0)</f>
        <v>SINAPI</v>
      </c>
      <c r="I1309" s="700">
        <f>VLOOKUP(G1309,'LÇTO FINAL'!A:M,3,0)</f>
        <v>92919</v>
      </c>
      <c r="J1309" s="824"/>
      <c r="K1309" s="790" t="str">
        <f>(IF(H1309="Saneago",VLOOKUP(I1309,'SANEAGO-FEV.2016'!A:B,2,0),IF(H1309="Sinapi",VLOOKUP(I1309,'SINAPI-FEV.2017'!A:D,2,0),IF(H1309="Cotação",VLOOKUP(I1309,COTAÇÃO!A:D,2,0),IF(H1309="Composição",VLOOKUP(I1309,COMPOSIÇÃO!A:D,2,0))))))</f>
        <v>ARMAÇÃO DE ESTRUTURAS DE CONCRETO ARMADO, EXCETO VIGAS, PILARES, LAJES E FUNDAÇÕES PROFUNDAS (DE EDIFÍCIOS DE MÚLTIPLOS PAVIMENTOS, EDIFICAÇÃO TÉRREA OU SOBRADO), UTILIZANDO AÇO CA-50 DE 10.0 MM - MONTAGEM. AF_12/2015</v>
      </c>
      <c r="L1309" s="700" t="str">
        <f>(IF(H1309="Saneago",VLOOKUP(I1309,'SANEAGO-FEV.2016'!A:D,3,0),IF(H1309="Sinapi",VLOOKUP(I1309,'SINAPI-FEV.2017'!A:D,3,0),IF(H1309="Cotação",VLOOKUP(I1309,COTAÇÃO!A:D,3,0),IF(H1309="Composição",VLOOKUP(I1309,COMPOSIÇÃO!A:D,3,0))))))</f>
        <v>KG</v>
      </c>
      <c r="M1309" s="870">
        <f>ROUND(VLOOKUP(G1309,'LÇTO FINAL'!A:M,13,0),2)</f>
        <v>302.14999999999998</v>
      </c>
      <c r="N1309" s="399">
        <v>0</v>
      </c>
      <c r="O1309" s="102">
        <f t="shared" si="226"/>
        <v>0</v>
      </c>
      <c r="P1309" s="101">
        <f t="shared" si="227"/>
        <v>0</v>
      </c>
      <c r="Q1309" s="1472">
        <v>302.14999999999998</v>
      </c>
    </row>
    <row r="1310" spans="1:24">
      <c r="A1310" s="1482"/>
      <c r="B1310" s="1482"/>
      <c r="C1310" s="1483">
        <f t="shared" si="218"/>
        <v>6</v>
      </c>
      <c r="D1310" s="1492">
        <f t="shared" ref="D1310:E1312" si="228">D1309+A1310</f>
        <v>10</v>
      </c>
      <c r="E1310" s="1492">
        <f t="shared" si="228"/>
        <v>4</v>
      </c>
      <c r="F1310" s="1484" t="s">
        <v>11708</v>
      </c>
      <c r="G1310" s="862" t="s">
        <v>12476</v>
      </c>
      <c r="H1310" s="823" t="str">
        <f>VLOOKUP(G1310,'LÇTO FINAL'!A:M,2,0)</f>
        <v>SINAPI</v>
      </c>
      <c r="I1310" s="700" t="str">
        <f>VLOOKUP(G1310,'LÇTO FINAL'!A:M,3,0)</f>
        <v>74022/57</v>
      </c>
      <c r="J1310" s="824"/>
      <c r="K1310" s="790" t="str">
        <f>(IF(H1310="Saneago",VLOOKUP(I1310,'SANEAGO-FEV.2016'!A:B,2,0),IF(H1310="Sinapi",VLOOKUP(I1310,'SINAPI-FEV.2017'!A:D,2,0),IF(H1310="Cotação",VLOOKUP(I1310,COTAÇÃO!A:D,2,0),IF(H1310="Composição",VLOOKUP(I1310,COMPOSIÇÃO!A:D,2,0))))))</f>
        <v>ENSAIO DE CONSISTENCIA DO CONCRETO CCR - INDICE VEBE</v>
      </c>
      <c r="L1310" s="700" t="str">
        <f>(IF(H1310="Saneago",VLOOKUP(I1310,'SANEAGO-FEV.2016'!A:D,3,0),IF(H1310="Sinapi",VLOOKUP(I1310,'SINAPI-FEV.2017'!A:D,3,0),IF(H1310="Cotação",VLOOKUP(I1310,COTAÇÃO!A:D,3,0),IF(H1310="Composição",VLOOKUP(I1310,COMPOSIÇÃO!A:D,3,0))))))</f>
        <v>UN</v>
      </c>
      <c r="M1310" s="870">
        <f>ROUND(VLOOKUP(G1310,'LÇTO FINAL'!A:M,13,0),2)</f>
        <v>1</v>
      </c>
      <c r="N1310" s="399">
        <v>0</v>
      </c>
      <c r="O1310" s="102">
        <f t="shared" si="226"/>
        <v>0</v>
      </c>
      <c r="P1310" s="101">
        <f t="shared" si="227"/>
        <v>0</v>
      </c>
      <c r="Q1310" s="1472">
        <v>1</v>
      </c>
    </row>
    <row r="1311" spans="1:24" ht="15.75" thickBot="1">
      <c r="A1311" s="1482"/>
      <c r="B1311" s="1482"/>
      <c r="C1311" s="1483">
        <f t="shared" si="218"/>
        <v>6</v>
      </c>
      <c r="D1311" s="1492">
        <f t="shared" si="228"/>
        <v>10</v>
      </c>
      <c r="E1311" s="1492">
        <f t="shared" si="228"/>
        <v>4</v>
      </c>
      <c r="F1311" s="1484" t="s">
        <v>11708</v>
      </c>
      <c r="G1311" s="862"/>
      <c r="H1311" s="1095"/>
      <c r="I1311" s="780"/>
      <c r="J1311" s="834"/>
      <c r="K1311" s="780"/>
      <c r="L1311" s="780"/>
      <c r="M1311" s="1270"/>
      <c r="N1311" s="400"/>
      <c r="O1311" s="122"/>
      <c r="P1311" s="123"/>
    </row>
    <row r="1312" spans="1:24" ht="16.5" customHeight="1" thickTop="1" thickBot="1">
      <c r="A1312" s="1482"/>
      <c r="B1312" s="1482"/>
      <c r="C1312" s="1483">
        <f t="shared" si="218"/>
        <v>6</v>
      </c>
      <c r="D1312" s="1492">
        <f t="shared" si="228"/>
        <v>10</v>
      </c>
      <c r="E1312" s="1492">
        <f t="shared" si="228"/>
        <v>4</v>
      </c>
      <c r="F1312" s="1484" t="s">
        <v>11708</v>
      </c>
      <c r="G1312" s="862"/>
      <c r="H1312" s="1653" t="str">
        <f>"TOTAL ITEM: "&amp;J1299 &amp;K1299</f>
        <v>TOTAL ITEM: 6.10.4ESTRUTURAS DE CONCRETO ARMADO</v>
      </c>
      <c r="I1312" s="1654"/>
      <c r="J1312" s="1654"/>
      <c r="K1312" s="1654"/>
      <c r="L1312" s="1654"/>
      <c r="M1312" s="1654"/>
      <c r="N1312" s="1654"/>
      <c r="O1312" s="1654"/>
      <c r="P1312" s="210">
        <f>SUBTOTAL(9,P1301:P1310)</f>
        <v>0</v>
      </c>
    </row>
    <row r="1313" spans="1:17" ht="15.75" thickTop="1">
      <c r="A1313" s="1482"/>
      <c r="B1313" s="1482"/>
      <c r="C1313" s="1483">
        <f t="shared" si="218"/>
        <v>6</v>
      </c>
      <c r="D1313" s="1492">
        <f t="shared" si="224"/>
        <v>10</v>
      </c>
      <c r="E1313" s="1492">
        <f t="shared" si="225"/>
        <v>4</v>
      </c>
      <c r="F1313" s="1484" t="s">
        <v>11708</v>
      </c>
      <c r="G1313" s="862"/>
      <c r="H1313" s="1095"/>
      <c r="I1313" s="780"/>
      <c r="J1313" s="834"/>
      <c r="K1313" s="780"/>
      <c r="L1313" s="780"/>
      <c r="M1313" s="1270"/>
      <c r="N1313" s="400"/>
      <c r="O1313" s="122"/>
      <c r="P1313" s="123"/>
    </row>
    <row r="1314" spans="1:17">
      <c r="A1314" s="1482"/>
      <c r="B1314" s="1482">
        <v>1</v>
      </c>
      <c r="C1314" s="1483">
        <f t="shared" si="218"/>
        <v>6</v>
      </c>
      <c r="D1314" s="1492">
        <f t="shared" si="219"/>
        <v>10</v>
      </c>
      <c r="E1314" s="1492">
        <f t="shared" si="220"/>
        <v>5</v>
      </c>
      <c r="F1314" s="1484" t="s">
        <v>11708</v>
      </c>
      <c r="G1314" s="862"/>
      <c r="H1314" s="1514" t="s">
        <v>11703</v>
      </c>
      <c r="I1314" s="1515" t="s">
        <v>64</v>
      </c>
      <c r="J1314" s="1516" t="str">
        <f>CONCATENATE(C1314,".",D1314,".",E1314)</f>
        <v>6.10.5</v>
      </c>
      <c r="K1314" s="1516" t="s">
        <v>12688</v>
      </c>
      <c r="L1314" s="1517" t="s">
        <v>25</v>
      </c>
      <c r="M1314" s="1518" t="s">
        <v>11704</v>
      </c>
      <c r="N1314" s="398" t="s">
        <v>11705</v>
      </c>
      <c r="O1314" s="207" t="s">
        <v>11706</v>
      </c>
      <c r="P1314" s="208" t="s">
        <v>27</v>
      </c>
      <c r="Q1314" s="1472" t="s">
        <v>11704</v>
      </c>
    </row>
    <row r="1315" spans="1:17">
      <c r="A1315" s="1482"/>
      <c r="B1315" s="1482"/>
      <c r="C1315" s="1483">
        <f t="shared" si="218"/>
        <v>6</v>
      </c>
      <c r="D1315" s="1492">
        <f t="shared" si="219"/>
        <v>10</v>
      </c>
      <c r="E1315" s="1492">
        <f t="shared" si="220"/>
        <v>5</v>
      </c>
      <c r="F1315" s="1484" t="s">
        <v>11708</v>
      </c>
      <c r="H1315" s="1095"/>
      <c r="I1315" s="780"/>
      <c r="J1315" s="834"/>
      <c r="K1315" s="780"/>
      <c r="L1315" s="780"/>
      <c r="M1315" s="1270"/>
      <c r="N1315" s="400"/>
      <c r="O1315" s="122"/>
      <c r="P1315" s="123"/>
    </row>
    <row r="1316" spans="1:17" ht="33.75">
      <c r="A1316" s="1482"/>
      <c r="B1316" s="1482"/>
      <c r="C1316" s="1483">
        <f t="shared" si="218"/>
        <v>6</v>
      </c>
      <c r="D1316" s="1492">
        <f t="shared" si="219"/>
        <v>10</v>
      </c>
      <c r="E1316" s="1492">
        <f t="shared" si="220"/>
        <v>5</v>
      </c>
      <c r="F1316" s="1484" t="s">
        <v>11708</v>
      </c>
      <c r="G1316" s="862" t="s">
        <v>12484</v>
      </c>
      <c r="H1316" s="823" t="str">
        <f>VLOOKUP(G1316,'LÇTO FINAL'!A:M,2,0)</f>
        <v>SINAPI</v>
      </c>
      <c r="I1316" s="700">
        <f>VLOOKUP(G1316,'LÇTO FINAL'!A:M,3,0)</f>
        <v>92743</v>
      </c>
      <c r="J1316" s="824"/>
      <c r="K1316" s="790" t="str">
        <f>(IF(H1316="Saneago",VLOOKUP(I1316,'SANEAGO-FEV.2016'!A:B,2,0),IF(H1316="Sinapi",VLOOKUP(I1316,'SINAPI-FEV.2017'!A:D,2,0),IF(H1316="Cotação",VLOOKUP(I1316,COTAÇÃO!A:D,2,0),IF(H1316="Composição",VLOOKUP(I1316,COMPOSIÇÃO!A:D,2,0))))))</f>
        <v>MURO DE GABIÃO, ENCHIMENTO COM PEDRA DE MÃO TIPO RACHÃO, DE GRAVIDADE, COM GAIOLAS DE COMPRIMENTO IGUAL A 2 METROS, ALTURA DO MURO DE ATÉ 4 METROS - FORNECIMENTO E EXECUÇÃO. AF_12/2015</v>
      </c>
      <c r="L1316" s="700" t="str">
        <f>(IF(H1316="Saneago",VLOOKUP(I1316,'SANEAGO-FEV.2016'!A:D,3,0),IF(H1316="Sinapi",VLOOKUP(I1316,'SINAPI-FEV.2017'!A:D,3,0),IF(H1316="Cotação",VLOOKUP(I1316,COTAÇÃO!A:D,3,0),IF(H1316="Composição",VLOOKUP(I1316,COMPOSIÇÃO!A:D,3,0))))))</f>
        <v>M3</v>
      </c>
      <c r="M1316" s="870">
        <f>ROUND(VLOOKUP(G1316,'LÇTO FINAL'!A:M,13,0),2)</f>
        <v>11.7</v>
      </c>
      <c r="N1316" s="399">
        <v>0</v>
      </c>
      <c r="O1316" s="102">
        <f>ROUND(IF(F1316="Serviços",N1316*(1+$O$7),IF(F1316="Materiais",N1316*(1+$O$8))),2)</f>
        <v>0</v>
      </c>
      <c r="P1316" s="101">
        <f>ROUND(M1316*O1316,2)</f>
        <v>0</v>
      </c>
      <c r="Q1316" s="1472">
        <v>11.7</v>
      </c>
    </row>
    <row r="1317" spans="1:17" ht="15.75" thickBot="1">
      <c r="A1317" s="1482"/>
      <c r="B1317" s="1482"/>
      <c r="C1317" s="1483">
        <f t="shared" si="218"/>
        <v>6</v>
      </c>
      <c r="D1317" s="1492">
        <f t="shared" si="219"/>
        <v>10</v>
      </c>
      <c r="E1317" s="1492">
        <f t="shared" si="220"/>
        <v>5</v>
      </c>
      <c r="F1317" s="1484" t="s">
        <v>11708</v>
      </c>
      <c r="G1317" s="862"/>
      <c r="H1317" s="1095"/>
      <c r="I1317" s="780"/>
      <c r="J1317" s="834"/>
      <c r="K1317" s="780"/>
      <c r="L1317" s="780"/>
      <c r="M1317" s="1270"/>
      <c r="N1317" s="400"/>
      <c r="O1317" s="122"/>
      <c r="P1317" s="123"/>
    </row>
    <row r="1318" spans="1:17" ht="16.5" customHeight="1" thickTop="1" thickBot="1">
      <c r="A1318" s="1482"/>
      <c r="B1318" s="1482"/>
      <c r="C1318" s="1483">
        <f t="shared" si="218"/>
        <v>6</v>
      </c>
      <c r="D1318" s="1492">
        <f t="shared" si="219"/>
        <v>10</v>
      </c>
      <c r="E1318" s="1492">
        <f t="shared" si="220"/>
        <v>5</v>
      </c>
      <c r="F1318" s="1484" t="s">
        <v>11708</v>
      </c>
      <c r="G1318" s="862"/>
      <c r="H1318" s="1653" t="str">
        <f>"TOTAL ITEM: "&amp;J1314 &amp;K1314</f>
        <v>TOTAL ITEM: 6.10.5 ESTRUTURA DE PROTEÇÃO</v>
      </c>
      <c r="I1318" s="1654"/>
      <c r="J1318" s="1654"/>
      <c r="K1318" s="1654"/>
      <c r="L1318" s="1654"/>
      <c r="M1318" s="1654"/>
      <c r="N1318" s="1654"/>
      <c r="O1318" s="1654"/>
      <c r="P1318" s="210">
        <f>SUBTOTAL(9,P1316:P1316)</f>
        <v>0</v>
      </c>
    </row>
    <row r="1319" spans="1:17" ht="15.75" thickTop="1">
      <c r="A1319" s="1482"/>
      <c r="B1319" s="1482"/>
      <c r="C1319" s="1483">
        <f t="shared" si="218"/>
        <v>6</v>
      </c>
      <c r="D1319" s="1492">
        <f t="shared" si="219"/>
        <v>10</v>
      </c>
      <c r="E1319" s="1492">
        <f t="shared" si="220"/>
        <v>5</v>
      </c>
      <c r="F1319" s="1484" t="s">
        <v>11708</v>
      </c>
      <c r="G1319" s="862"/>
      <c r="H1319" s="1095"/>
      <c r="I1319" s="780"/>
      <c r="J1319" s="834"/>
      <c r="K1319" s="780"/>
      <c r="L1319" s="780"/>
      <c r="M1319" s="1270"/>
      <c r="N1319" s="400"/>
      <c r="O1319" s="122"/>
      <c r="P1319" s="123"/>
    </row>
    <row r="1320" spans="1:17">
      <c r="A1320" s="1482"/>
      <c r="B1320" s="1482">
        <v>1</v>
      </c>
      <c r="C1320" s="1483">
        <f t="shared" ref="C1320:C1388" si="229">C1319</f>
        <v>6</v>
      </c>
      <c r="D1320" s="1492">
        <f t="shared" si="219"/>
        <v>10</v>
      </c>
      <c r="E1320" s="1492">
        <f t="shared" si="220"/>
        <v>6</v>
      </c>
      <c r="F1320" s="1484" t="s">
        <v>11708</v>
      </c>
      <c r="G1320" s="862"/>
      <c r="H1320" s="1514" t="s">
        <v>11703</v>
      </c>
      <c r="I1320" s="1515" t="s">
        <v>64</v>
      </c>
      <c r="J1320" s="1516" t="str">
        <f>CONCATENATE(C1320,".",D1320,".",E1320)</f>
        <v>6.10.6</v>
      </c>
      <c r="K1320" s="1516" t="s">
        <v>12689</v>
      </c>
      <c r="L1320" s="1517" t="s">
        <v>25</v>
      </c>
      <c r="M1320" s="1518" t="s">
        <v>11704</v>
      </c>
      <c r="N1320" s="398" t="s">
        <v>11705</v>
      </c>
      <c r="O1320" s="207" t="s">
        <v>11706</v>
      </c>
      <c r="P1320" s="208" t="s">
        <v>27</v>
      </c>
      <c r="Q1320" s="1472" t="s">
        <v>11704</v>
      </c>
    </row>
    <row r="1321" spans="1:17">
      <c r="A1321" s="1482"/>
      <c r="B1321" s="1482"/>
      <c r="C1321" s="1483">
        <f t="shared" si="229"/>
        <v>6</v>
      </c>
      <c r="D1321" s="1492">
        <f t="shared" ref="D1321:D1388" si="230">D1320+A1321</f>
        <v>10</v>
      </c>
      <c r="E1321" s="1492">
        <f t="shared" ref="E1321:E1388" si="231">E1320+B1321</f>
        <v>6</v>
      </c>
      <c r="F1321" s="1484" t="s">
        <v>11708</v>
      </c>
      <c r="G1321" s="959"/>
      <c r="H1321" s="1095"/>
      <c r="I1321" s="780"/>
      <c r="J1321" s="834"/>
      <c r="K1321" s="780"/>
      <c r="L1321" s="780"/>
      <c r="M1321" s="1270"/>
      <c r="N1321" s="400"/>
      <c r="O1321" s="122"/>
      <c r="P1321" s="123"/>
    </row>
    <row r="1322" spans="1:17" ht="33.75">
      <c r="A1322" s="1482"/>
      <c r="B1322" s="1482"/>
      <c r="C1322" s="1483">
        <f t="shared" si="229"/>
        <v>6</v>
      </c>
      <c r="D1322" s="1492">
        <f t="shared" si="230"/>
        <v>10</v>
      </c>
      <c r="E1322" s="1492">
        <f t="shared" si="231"/>
        <v>6</v>
      </c>
      <c r="F1322" s="1484" t="s">
        <v>11708</v>
      </c>
      <c r="G1322" s="921" t="s">
        <v>14349</v>
      </c>
      <c r="H1322" s="823" t="str">
        <f>VLOOKUP(G1322,'LÇTO FINAL'!A:M,2,0)</f>
        <v>SINAPI</v>
      </c>
      <c r="I1322" s="700">
        <f>VLOOKUP(G1322,'LÇTO FINAL'!A:M,3,0)</f>
        <v>92836</v>
      </c>
      <c r="J1322" s="824"/>
      <c r="K1322" s="790" t="str">
        <f>(IF(H1322="Saneago",VLOOKUP(I1322,'SANEAGO-FEV.2016'!A:B,2,0),IF(H1322="Sinapi",VLOOKUP(I1322,'SINAPI-FEV.2017'!A:D,2,0),IF(H1322="Cotação",VLOOKUP(I1322,COTAÇÃO!A:D,2,0),IF(H1322="Composição",VLOOKUP(I1322,COMPOSIÇÃO!A:D,2,0))))))</f>
        <v>ASSENTAMENTO DE TUBO DE CONCRETO PARA REDES COLETORAS DE ESGOTO SANITÁRIO, DIÂMETRO DE 400 MM, JUNTA ELÁSTICA, INSTALADO EM LOCAL COM BAIXO NÍVEL DE INTERFERÊNCIAS (NÃO INCLUI FORNECIMENTO). AF_12/2015</v>
      </c>
      <c r="L1322" s="700" t="str">
        <f>(IF(H1322="Saneago",VLOOKUP(I1322,'SANEAGO-FEV.2016'!A:D,3,0),IF(H1322="Sinapi",VLOOKUP(I1322,'SINAPI-FEV.2017'!A:D,3,0),IF(H1322="Cotação",VLOOKUP(I1322,COTAÇÃO!A:D,3,0),IF(H1322="Composição",VLOOKUP(I1322,COMPOSIÇÃO!A:D,3,0))))))</f>
        <v>M</v>
      </c>
      <c r="M1322" s="870">
        <f>ROUND(VLOOKUP(G1322,'LÇTO FINAL'!A:M,13,0),2)</f>
        <v>11</v>
      </c>
      <c r="N1322" s="399">
        <v>0</v>
      </c>
      <c r="O1322" s="102">
        <f>ROUND(IF(F1322="Serviços",N1322*(1+$O$7),IF(F1322="Materiais",N1322*(1+$O$8))),2)</f>
        <v>0</v>
      </c>
      <c r="P1322" s="101">
        <f>ROUND(M1322*O1322,2)</f>
        <v>0</v>
      </c>
      <c r="Q1322" s="1472">
        <v>11</v>
      </c>
    </row>
    <row r="1323" spans="1:17" ht="15.75" thickBot="1">
      <c r="A1323" s="1482"/>
      <c r="B1323" s="1482"/>
      <c r="C1323" s="1483">
        <f t="shared" si="229"/>
        <v>6</v>
      </c>
      <c r="D1323" s="1492">
        <f t="shared" si="230"/>
        <v>10</v>
      </c>
      <c r="E1323" s="1492">
        <f t="shared" si="231"/>
        <v>6</v>
      </c>
      <c r="F1323" s="1484" t="s">
        <v>11708</v>
      </c>
      <c r="H1323" s="1095"/>
      <c r="I1323" s="780"/>
      <c r="J1323" s="834"/>
      <c r="K1323" s="780"/>
      <c r="L1323" s="780"/>
      <c r="M1323" s="1270"/>
      <c r="N1323" s="400"/>
      <c r="O1323" s="122"/>
      <c r="P1323" s="123"/>
    </row>
    <row r="1324" spans="1:17" ht="16.5" customHeight="1" thickTop="1" thickBot="1">
      <c r="A1324" s="1482"/>
      <c r="B1324" s="1482"/>
      <c r="C1324" s="1483">
        <f t="shared" si="229"/>
        <v>6</v>
      </c>
      <c r="D1324" s="1492">
        <f t="shared" si="230"/>
        <v>10</v>
      </c>
      <c r="E1324" s="1492">
        <f t="shared" si="231"/>
        <v>6</v>
      </c>
      <c r="F1324" s="1484" t="s">
        <v>11708</v>
      </c>
      <c r="G1324" s="959"/>
      <c r="H1324" s="1653" t="str">
        <f>"TOTAL ITEM: "&amp;J1320 &amp;K1320</f>
        <v>TOTAL ITEM: 6.10.6 ASSENTAMENTO DAS TUBULAÇÕES</v>
      </c>
      <c r="I1324" s="1654"/>
      <c r="J1324" s="1654"/>
      <c r="K1324" s="1654"/>
      <c r="L1324" s="1654"/>
      <c r="M1324" s="1654"/>
      <c r="N1324" s="1654"/>
      <c r="O1324" s="1654"/>
      <c r="P1324" s="210">
        <f>SUBTOTAL(9,P1322:P1322)</f>
        <v>0</v>
      </c>
    </row>
    <row r="1325" spans="1:17" ht="15.75" thickTop="1">
      <c r="A1325" s="1482"/>
      <c r="B1325" s="1482"/>
      <c r="C1325" s="1483"/>
      <c r="D1325" s="1492">
        <f t="shared" ref="D1325:D1341" si="232">D1324+A1325</f>
        <v>10</v>
      </c>
      <c r="E1325" s="1492">
        <f t="shared" ref="E1325:E1341" si="233">E1324+B1325</f>
        <v>6</v>
      </c>
      <c r="F1325" s="1484" t="s">
        <v>11708</v>
      </c>
      <c r="G1325" s="959"/>
      <c r="H1325" s="929"/>
      <c r="I1325" s="1371"/>
      <c r="J1325" s="1022"/>
      <c r="K1325" s="1371"/>
      <c r="L1325" s="1371"/>
      <c r="M1325" s="1536"/>
      <c r="N1325" s="394"/>
      <c r="O1325" s="728"/>
      <c r="P1325" s="95"/>
    </row>
    <row r="1326" spans="1:17">
      <c r="A1326" s="1482"/>
      <c r="B1326" s="1482">
        <v>1</v>
      </c>
      <c r="C1326" s="1483">
        <f t="shared" si="229"/>
        <v>0</v>
      </c>
      <c r="D1326" s="1492">
        <f t="shared" si="232"/>
        <v>10</v>
      </c>
      <c r="E1326" s="1492">
        <f t="shared" si="233"/>
        <v>7</v>
      </c>
      <c r="F1326" s="1484" t="s">
        <v>11708</v>
      </c>
      <c r="G1326" s="862"/>
      <c r="H1326" s="1514" t="s">
        <v>11703</v>
      </c>
      <c r="I1326" s="1515" t="s">
        <v>64</v>
      </c>
      <c r="J1326" s="1516" t="str">
        <f>CONCATENATE(C1326,".",D1326,".",E1326)</f>
        <v>0.10.7</v>
      </c>
      <c r="K1326" s="1516" t="s">
        <v>20205</v>
      </c>
      <c r="L1326" s="1517" t="s">
        <v>25</v>
      </c>
      <c r="M1326" s="1518" t="s">
        <v>11704</v>
      </c>
      <c r="N1326" s="398" t="s">
        <v>11705</v>
      </c>
      <c r="O1326" s="207" t="s">
        <v>11706</v>
      </c>
      <c r="P1326" s="208" t="s">
        <v>27</v>
      </c>
      <c r="Q1326" s="1472" t="s">
        <v>11704</v>
      </c>
    </row>
    <row r="1327" spans="1:17">
      <c r="A1327" s="1482"/>
      <c r="B1327" s="1482"/>
      <c r="C1327" s="1483">
        <f t="shared" si="229"/>
        <v>0</v>
      </c>
      <c r="D1327" s="1492">
        <f t="shared" si="232"/>
        <v>10</v>
      </c>
      <c r="E1327" s="1492">
        <f t="shared" si="233"/>
        <v>7</v>
      </c>
      <c r="F1327" s="1484" t="s">
        <v>11708</v>
      </c>
      <c r="G1327" s="862"/>
      <c r="H1327" s="1095"/>
      <c r="I1327" s="780"/>
      <c r="J1327" s="834"/>
      <c r="K1327" s="780"/>
      <c r="L1327" s="780"/>
      <c r="M1327" s="1270"/>
      <c r="N1327" s="400"/>
      <c r="O1327" s="122"/>
      <c r="P1327" s="123"/>
    </row>
    <row r="1328" spans="1:17" ht="22.5">
      <c r="A1328" s="1482"/>
      <c r="B1328" s="1482"/>
      <c r="C1328" s="1483">
        <f t="shared" si="229"/>
        <v>0</v>
      </c>
      <c r="D1328" s="1492">
        <f t="shared" si="232"/>
        <v>10</v>
      </c>
      <c r="E1328" s="1492">
        <f t="shared" si="233"/>
        <v>7</v>
      </c>
      <c r="F1328" s="1484" t="s">
        <v>11708</v>
      </c>
      <c r="G1328" s="862" t="s">
        <v>14350</v>
      </c>
      <c r="H1328" s="823" t="str">
        <f>VLOOKUP(G1328,'LÇTO FINAL'!A:M,2,0)</f>
        <v>SINAPI</v>
      </c>
      <c r="I1328" s="700" t="str">
        <f>VLOOKUP(G1328,'LÇTO FINAL'!A:M,3,0)</f>
        <v>74106/1</v>
      </c>
      <c r="J1328" s="824"/>
      <c r="K1328" s="790" t="str">
        <f>(IF(H1328="Saneago",VLOOKUP(I1328,'SANEAGO-FEV.2016'!A:B,2,0),IF(H1328="Sinapi",VLOOKUP(I1328,'SINAPI-FEV.2017'!A:D,2,0),IF(H1328="Cotação",VLOOKUP(I1328,COTAÇÃO!A:D,2,0),IF(H1328="Composição",VLOOKUP(I1328,COMPOSIÇÃO!A:D,2,0))))))</f>
        <v>IMPERMEABILIZACAO DE ESTRUTURAS ENTERRADAS, COM TINTA ASFALTICA, DUAS DEMAOS.</v>
      </c>
      <c r="L1328" s="700" t="str">
        <f>(IF(H1328="Saneago",VLOOKUP(I1328,'SANEAGO-FEV.2016'!A:D,3,0),IF(H1328="Sinapi",VLOOKUP(I1328,'SINAPI-FEV.2017'!A:D,3,0),IF(H1328="Cotação",VLOOKUP(I1328,COTAÇÃO!A:D,3,0),IF(H1328="Composição",VLOOKUP(I1328,COMPOSIÇÃO!A:D,3,0))))))</f>
        <v>M2</v>
      </c>
      <c r="M1328" s="870">
        <f>ROUND(VLOOKUP(G1328,'LÇTO FINAL'!A:M,13,0),2)</f>
        <v>20.52</v>
      </c>
      <c r="N1328" s="399">
        <v>0</v>
      </c>
      <c r="O1328" s="102">
        <f>ROUND(IF(F1328="Serviços",N1328*(1+$O$7),IF(F1328="Materiais",N1328*(1+$O$8))),2)</f>
        <v>0</v>
      </c>
      <c r="P1328" s="101">
        <f>ROUND(M1328*O1328,2)</f>
        <v>0</v>
      </c>
      <c r="Q1328" s="1472">
        <v>20.52</v>
      </c>
    </row>
    <row r="1329" spans="1:17" ht="22.5">
      <c r="A1329" s="1482"/>
      <c r="B1329" s="1482"/>
      <c r="C1329" s="1483"/>
      <c r="D1329" s="1492">
        <f t="shared" si="232"/>
        <v>10</v>
      </c>
      <c r="E1329" s="1492">
        <f t="shared" si="233"/>
        <v>7</v>
      </c>
      <c r="F1329" s="1484" t="s">
        <v>11708</v>
      </c>
      <c r="G1329" s="862" t="s">
        <v>14351</v>
      </c>
      <c r="H1329" s="823" t="str">
        <f>VLOOKUP(G1329,'LÇTO FINAL'!A:M,2,0)</f>
        <v>SINAPI</v>
      </c>
      <c r="I1329" s="700" t="str">
        <f>VLOOKUP(G1329,'LÇTO FINAL'!A:M,3,0)</f>
        <v>73872/2</v>
      </c>
      <c r="J1329" s="824"/>
      <c r="K1329" s="790" t="str">
        <f>(IF(H1329="Saneago",VLOOKUP(I1329,'SANEAGO-FEV.2016'!A:B,2,0),IF(H1329="Sinapi",VLOOKUP(I1329,'SINAPI-FEV.2017'!A:D,2,0),IF(H1329="Cotação",VLOOKUP(I1329,COTAÇÃO!A:D,2,0),IF(H1329="Composição",VLOOKUP(I1329,COMPOSIÇÃO!A:D,2,0))))))</f>
        <v>IMPERMEABILIZACAO COM PINTURA A BASE DE RESINA EPOXI ALCATRAO, DUAS DEMAOS.</v>
      </c>
      <c r="L1329" s="700" t="str">
        <f>(IF(H1329="Saneago",VLOOKUP(I1329,'SANEAGO-FEV.2016'!A:D,3,0),IF(H1329="Sinapi",VLOOKUP(I1329,'SINAPI-FEV.2017'!A:D,3,0),IF(H1329="Cotação",VLOOKUP(I1329,COTAÇÃO!A:D,3,0),IF(H1329="Composição",VLOOKUP(I1329,COMPOSIÇÃO!A:D,3,0))))))</f>
        <v>M2</v>
      </c>
      <c r="M1329" s="870">
        <f>ROUND(VLOOKUP(G1329,'LÇTO FINAL'!A:M,13,0),2)</f>
        <v>30.24</v>
      </c>
      <c r="N1329" s="399">
        <v>0</v>
      </c>
      <c r="O1329" s="102">
        <f>ROUND(IF(F1329="Serviços",N1329*(1+$O$7),IF(F1329="Materiais",N1329*(1+$O$8))),2)</f>
        <v>0</v>
      </c>
      <c r="P1329" s="101">
        <f>ROUND(M1329*O1329,2)</f>
        <v>0</v>
      </c>
      <c r="Q1329" s="1472">
        <v>30.24</v>
      </c>
    </row>
    <row r="1330" spans="1:17" ht="15.75" thickBot="1">
      <c r="A1330" s="1482"/>
      <c r="B1330" s="1482"/>
      <c r="C1330" s="1483">
        <f>C1328</f>
        <v>0</v>
      </c>
      <c r="D1330" s="1492">
        <f t="shared" si="232"/>
        <v>10</v>
      </c>
      <c r="E1330" s="1492">
        <f t="shared" si="233"/>
        <v>7</v>
      </c>
      <c r="F1330" s="1484" t="s">
        <v>11708</v>
      </c>
      <c r="G1330" s="862"/>
      <c r="H1330" s="1095"/>
      <c r="I1330" s="780"/>
      <c r="J1330" s="834"/>
      <c r="K1330" s="780"/>
      <c r="L1330" s="780"/>
      <c r="M1330" s="1270"/>
      <c r="N1330" s="400"/>
      <c r="O1330" s="122"/>
      <c r="P1330" s="123"/>
    </row>
    <row r="1331" spans="1:17" ht="16.5" customHeight="1" thickTop="1" thickBot="1">
      <c r="A1331" s="1482"/>
      <c r="B1331" s="1482"/>
      <c r="C1331" s="1483">
        <f t="shared" si="229"/>
        <v>0</v>
      </c>
      <c r="D1331" s="1492">
        <f t="shared" si="232"/>
        <v>10</v>
      </c>
      <c r="E1331" s="1492">
        <f t="shared" si="233"/>
        <v>7</v>
      </c>
      <c r="F1331" s="1484" t="s">
        <v>11708</v>
      </c>
      <c r="G1331" s="862"/>
      <c r="H1331" s="1653" t="str">
        <f>"TOTAL ITEM: "&amp;J1326 &amp;K1326</f>
        <v>TOTAL ITEM: 0.10.7 PINTURA</v>
      </c>
      <c r="I1331" s="1654"/>
      <c r="J1331" s="1654"/>
      <c r="K1331" s="1654"/>
      <c r="L1331" s="1654"/>
      <c r="M1331" s="1654"/>
      <c r="N1331" s="1654"/>
      <c r="O1331" s="1654"/>
      <c r="P1331" s="210">
        <f>SUBTOTAL(9,P1328:P1329)</f>
        <v>0</v>
      </c>
    </row>
    <row r="1332" spans="1:17" ht="15.75" thickTop="1">
      <c r="A1332" s="1482"/>
      <c r="B1332" s="1482"/>
      <c r="C1332" s="1483">
        <f>C1324</f>
        <v>6</v>
      </c>
      <c r="D1332" s="1492">
        <f t="shared" si="232"/>
        <v>10</v>
      </c>
      <c r="E1332" s="1492">
        <f t="shared" si="233"/>
        <v>7</v>
      </c>
      <c r="F1332" s="1484" t="s">
        <v>11708</v>
      </c>
      <c r="G1332" s="959"/>
      <c r="H1332" s="1095"/>
      <c r="I1332" s="780"/>
      <c r="J1332" s="834"/>
      <c r="K1332" s="780"/>
      <c r="L1332" s="780"/>
      <c r="M1332" s="1270"/>
      <c r="N1332" s="400"/>
      <c r="O1332" s="122"/>
      <c r="P1332" s="123"/>
    </row>
    <row r="1333" spans="1:17">
      <c r="A1333" s="1482"/>
      <c r="B1333" s="1482">
        <v>1</v>
      </c>
      <c r="C1333" s="1483">
        <f t="shared" si="229"/>
        <v>6</v>
      </c>
      <c r="D1333" s="1492">
        <f t="shared" si="232"/>
        <v>10</v>
      </c>
      <c r="E1333" s="1492">
        <f t="shared" si="233"/>
        <v>8</v>
      </c>
      <c r="F1333" s="1484" t="s">
        <v>11708</v>
      </c>
      <c r="G1333" s="862"/>
      <c r="H1333" s="1514" t="s">
        <v>11703</v>
      </c>
      <c r="I1333" s="1515" t="s">
        <v>64</v>
      </c>
      <c r="J1333" s="1516" t="str">
        <f>CONCATENATE(C1333,".",D1333,".",E1333)</f>
        <v>6.10.8</v>
      </c>
      <c r="K1333" s="1516" t="s">
        <v>20204</v>
      </c>
      <c r="L1333" s="1517" t="s">
        <v>25</v>
      </c>
      <c r="M1333" s="1518" t="s">
        <v>11704</v>
      </c>
      <c r="N1333" s="398" t="s">
        <v>11705</v>
      </c>
      <c r="O1333" s="207" t="s">
        <v>11706</v>
      </c>
      <c r="P1333" s="208" t="s">
        <v>27</v>
      </c>
      <c r="Q1333" s="1472" t="s">
        <v>11704</v>
      </c>
    </row>
    <row r="1334" spans="1:17">
      <c r="A1334" s="1482"/>
      <c r="B1334" s="1482"/>
      <c r="C1334" s="1483">
        <f t="shared" si="229"/>
        <v>6</v>
      </c>
      <c r="D1334" s="1492">
        <f t="shared" si="232"/>
        <v>10</v>
      </c>
      <c r="E1334" s="1492">
        <f t="shared" si="233"/>
        <v>8</v>
      </c>
      <c r="F1334" s="1484" t="s">
        <v>11708</v>
      </c>
      <c r="G1334" s="862"/>
      <c r="H1334" s="1095"/>
      <c r="I1334" s="780"/>
      <c r="J1334" s="834"/>
      <c r="K1334" s="780"/>
      <c r="L1334" s="780"/>
      <c r="M1334" s="1270"/>
      <c r="N1334" s="400"/>
      <c r="O1334" s="122"/>
      <c r="P1334" s="123"/>
    </row>
    <row r="1335" spans="1:17" ht="22.5">
      <c r="A1335" s="1482"/>
      <c r="B1335" s="1482"/>
      <c r="C1335" s="1483">
        <f t="shared" si="229"/>
        <v>6</v>
      </c>
      <c r="D1335" s="1492">
        <f t="shared" si="232"/>
        <v>10</v>
      </c>
      <c r="E1335" s="1492">
        <f t="shared" si="233"/>
        <v>8</v>
      </c>
      <c r="F1335" s="1484" t="s">
        <v>11708</v>
      </c>
      <c r="G1335" s="862" t="s">
        <v>12477</v>
      </c>
      <c r="H1335" s="823" t="str">
        <f>VLOOKUP(G1335,'LÇTO FINAL'!A:M,2,0)</f>
        <v>SINAPI</v>
      </c>
      <c r="I1335" s="700" t="str">
        <f>VLOOKUP(G1335,'LÇTO FINAL'!A:M,3,0)</f>
        <v>73923/3</v>
      </c>
      <c r="J1335" s="824"/>
      <c r="K1335" s="790" t="str">
        <f>(IF(H1335="Saneago",VLOOKUP(I1335,'SANEAGO-FEV.2016'!A:B,2,0),IF(H1335="Sinapi",VLOOKUP(I1335,'SINAPI-FEV.2017'!A:D,2,0),IF(H1335="Cotação",VLOOKUP(I1335,COTAÇÃO!A:D,2,0),IF(H1335="Composição",VLOOKUP(I1335,COMPOSIÇÃO!A:D,2,0))))))</f>
        <v>PISO CIMENTADO TRACO 1:3 (CIMENTO E AREIA), COM ACABAMENTO RUSTICO E FRISADO ESPESSURA 2CM, PREPARO MANUAL</v>
      </c>
      <c r="L1335" s="700" t="str">
        <f>(IF(H1335="Saneago",VLOOKUP(I1335,'SANEAGO-FEV.2016'!A:D,3,0),IF(H1335="Sinapi",VLOOKUP(I1335,'SINAPI-FEV.2017'!A:D,3,0),IF(H1335="Cotação",VLOOKUP(I1335,COTAÇÃO!A:D,3,0),IF(H1335="Composição",VLOOKUP(I1335,COMPOSIÇÃO!A:D,3,0))))))</f>
        <v>M2</v>
      </c>
      <c r="M1335" s="870">
        <f>ROUND(VLOOKUP(G1335,'LÇTO FINAL'!A:M,13,0),2)</f>
        <v>6.8</v>
      </c>
      <c r="N1335" s="399">
        <v>0</v>
      </c>
      <c r="O1335" s="102">
        <f>ROUND(IF(F1335="Serviços",N1335*(1+$O$7),IF(F1335="Materiais",N1335*(1+$O$8))),2)</f>
        <v>0</v>
      </c>
      <c r="P1335" s="101">
        <f>ROUND(M1335*O1335,2)</f>
        <v>0</v>
      </c>
      <c r="Q1335" s="1472">
        <v>6.8</v>
      </c>
    </row>
    <row r="1336" spans="1:17" ht="15.75" thickBot="1">
      <c r="A1336" s="1482"/>
      <c r="B1336" s="1482"/>
      <c r="C1336" s="1483">
        <f t="shared" si="229"/>
        <v>6</v>
      </c>
      <c r="D1336" s="1492">
        <f t="shared" si="232"/>
        <v>10</v>
      </c>
      <c r="E1336" s="1492">
        <f t="shared" si="233"/>
        <v>8</v>
      </c>
      <c r="F1336" s="1484" t="s">
        <v>11708</v>
      </c>
      <c r="G1336" s="862"/>
      <c r="H1336" s="1095"/>
      <c r="I1336" s="780"/>
      <c r="J1336" s="834"/>
      <c r="K1336" s="780"/>
      <c r="L1336" s="780"/>
      <c r="M1336" s="1270"/>
      <c r="N1336" s="400"/>
      <c r="O1336" s="122"/>
      <c r="P1336" s="123"/>
    </row>
    <row r="1337" spans="1:17" ht="16.5" customHeight="1" thickTop="1" thickBot="1">
      <c r="A1337" s="1482"/>
      <c r="B1337" s="1482"/>
      <c r="C1337" s="1483">
        <f t="shared" si="229"/>
        <v>6</v>
      </c>
      <c r="D1337" s="1492">
        <f t="shared" si="232"/>
        <v>10</v>
      </c>
      <c r="E1337" s="1492">
        <f t="shared" si="233"/>
        <v>8</v>
      </c>
      <c r="F1337" s="1484" t="s">
        <v>11708</v>
      </c>
      <c r="G1337" s="862"/>
      <c r="H1337" s="1653" t="str">
        <f>"TOTAL ITEM: "&amp;J1333 &amp;K1333</f>
        <v xml:space="preserve">TOTAL ITEM: 6.10.8 REGULARIZAÇÃO DE PISO </v>
      </c>
      <c r="I1337" s="1654"/>
      <c r="J1337" s="1654"/>
      <c r="K1337" s="1654"/>
      <c r="L1337" s="1654"/>
      <c r="M1337" s="1654"/>
      <c r="N1337" s="1654"/>
      <c r="O1337" s="1654"/>
      <c r="P1337" s="210">
        <f>SUBTOTAL(9,P1335:P1335)</f>
        <v>0</v>
      </c>
    </row>
    <row r="1338" spans="1:17" ht="15.75" thickTop="1">
      <c r="A1338" s="1482"/>
      <c r="B1338" s="1482"/>
      <c r="C1338" s="1483">
        <f t="shared" si="229"/>
        <v>6</v>
      </c>
      <c r="D1338" s="1492">
        <f t="shared" si="232"/>
        <v>10</v>
      </c>
      <c r="E1338" s="1492">
        <f t="shared" si="233"/>
        <v>8</v>
      </c>
      <c r="F1338" s="1484" t="s">
        <v>11708</v>
      </c>
      <c r="G1338" s="862"/>
      <c r="H1338" s="929"/>
      <c r="I1338" s="1371"/>
      <c r="J1338" s="1022"/>
      <c r="K1338" s="1371"/>
      <c r="L1338" s="1371"/>
      <c r="M1338" s="1536"/>
      <c r="N1338" s="394"/>
      <c r="O1338" s="728"/>
      <c r="P1338" s="95"/>
    </row>
    <row r="1339" spans="1:17">
      <c r="A1339" s="1482"/>
      <c r="B1339" s="1482">
        <v>1</v>
      </c>
      <c r="C1339" s="1483">
        <f t="shared" si="229"/>
        <v>6</v>
      </c>
      <c r="D1339" s="1492">
        <f t="shared" si="232"/>
        <v>10</v>
      </c>
      <c r="E1339" s="1492">
        <f t="shared" si="233"/>
        <v>9</v>
      </c>
      <c r="F1339" s="1484" t="s">
        <v>11708</v>
      </c>
      <c r="G1339" s="862"/>
      <c r="H1339" s="1514" t="s">
        <v>11703</v>
      </c>
      <c r="I1339" s="1515" t="s">
        <v>64</v>
      </c>
      <c r="J1339" s="1516" t="str">
        <f>CONCATENATE(C1339,".",D1339,".",E1339)</f>
        <v>6.10.9</v>
      </c>
      <c r="K1339" s="1516" t="s">
        <v>11738</v>
      </c>
      <c r="L1339" s="1517" t="s">
        <v>25</v>
      </c>
      <c r="M1339" s="1518" t="s">
        <v>11704</v>
      </c>
      <c r="N1339" s="398" t="s">
        <v>11705</v>
      </c>
      <c r="O1339" s="207" t="s">
        <v>11706</v>
      </c>
      <c r="P1339" s="208" t="s">
        <v>27</v>
      </c>
      <c r="Q1339" s="1472" t="s">
        <v>11704</v>
      </c>
    </row>
    <row r="1340" spans="1:17">
      <c r="A1340" s="1482"/>
      <c r="B1340" s="1482"/>
      <c r="C1340" s="1483">
        <f t="shared" si="229"/>
        <v>6</v>
      </c>
      <c r="D1340" s="1492">
        <f t="shared" si="232"/>
        <v>10</v>
      </c>
      <c r="E1340" s="1492">
        <f t="shared" si="233"/>
        <v>9</v>
      </c>
      <c r="F1340" s="1484" t="s">
        <v>11708</v>
      </c>
      <c r="G1340" s="862"/>
      <c r="H1340" s="1095"/>
      <c r="I1340" s="780"/>
      <c r="J1340" s="834"/>
      <c r="K1340" s="780"/>
      <c r="L1340" s="780"/>
      <c r="M1340" s="1270"/>
      <c r="N1340" s="400"/>
      <c r="O1340" s="122"/>
      <c r="P1340" s="123"/>
    </row>
    <row r="1341" spans="1:17" ht="22.5">
      <c r="A1341" s="1482"/>
      <c r="B1341" s="1482"/>
      <c r="C1341" s="1483">
        <f t="shared" si="229"/>
        <v>6</v>
      </c>
      <c r="D1341" s="1492">
        <f t="shared" si="232"/>
        <v>10</v>
      </c>
      <c r="E1341" s="1492">
        <f t="shared" si="233"/>
        <v>9</v>
      </c>
      <c r="F1341" s="1484" t="s">
        <v>11708</v>
      </c>
      <c r="G1341" s="862" t="s">
        <v>12489</v>
      </c>
      <c r="H1341" s="823" t="str">
        <f>VLOOKUP(G1341,'LÇTO FINAL'!A:M,2,0)</f>
        <v>SANEAGO</v>
      </c>
      <c r="I1341" s="700">
        <f>VLOOKUP(G1341,'LÇTO FINAL'!A:M,3,0)</f>
        <v>1612</v>
      </c>
      <c r="J1341" s="824"/>
      <c r="K1341" s="790" t="str">
        <f>(IF(H1341="Saneago",VLOOKUP(I1341,'SANEAGO-FEV.2016'!A:B,2,0),IF(H1341="Sinapi",VLOOKUP(I1341,'SINAPI-FEV.2017'!A:D,2,0),IF(H1341="Cotação",VLOOKUP(I1341,COTAÇÃO!A:D,2,0),IF(H1341="Composição",VLOOKUP(I1341,COMPOSIÇÃO!A:D,2,0))))))</f>
        <v>POÇO DE VISITA  EM ANÉIS DE CONCRETO DIÂMETROS 60 CM (CHAMINÉ) E 90 CM (BALÃO), INCLUINDO ANEL TAMPÃO DE CONCRETO, PROFUNDIDADE = 2,0 M</v>
      </c>
      <c r="L1341" s="700" t="str">
        <f>(IF(H1341="Saneago",VLOOKUP(I1341,'SANEAGO-FEV.2016'!A:D,3,0),IF(H1341="Sinapi",VLOOKUP(I1341,'SINAPI-FEV.2017'!A:D,3,0),IF(H1341="Cotação",VLOOKUP(I1341,COTAÇÃO!A:D,3,0),IF(H1341="Composição",VLOOKUP(I1341,COMPOSIÇÃO!A:D,3,0))))))</f>
        <v>UN</v>
      </c>
      <c r="M1341" s="870">
        <f>ROUND(VLOOKUP(G1341,'LÇTO FINAL'!A:M,13,0),2)</f>
        <v>1</v>
      </c>
      <c r="N1341" s="399">
        <v>0</v>
      </c>
      <c r="O1341" s="102">
        <f>ROUND(IF(F1341="Serviços",N1341*(1+$O$7),IF(F1341="Materiais",N1341*(1+$O$8))),2)</f>
        <v>0</v>
      </c>
      <c r="P1341" s="101">
        <f>ROUND(M1341*O1341,2)</f>
        <v>0</v>
      </c>
      <c r="Q1341" s="1472">
        <v>1</v>
      </c>
    </row>
    <row r="1342" spans="1:17">
      <c r="A1342" s="1482"/>
      <c r="B1342" s="1482"/>
      <c r="C1342" s="1483">
        <f t="shared" si="229"/>
        <v>6</v>
      </c>
      <c r="D1342" s="1492">
        <f t="shared" si="230"/>
        <v>10</v>
      </c>
      <c r="E1342" s="1492">
        <f t="shared" si="231"/>
        <v>9</v>
      </c>
      <c r="F1342" s="1484" t="s">
        <v>11708</v>
      </c>
      <c r="G1342" s="862" t="s">
        <v>14345</v>
      </c>
      <c r="H1342" s="823" t="str">
        <f>VLOOKUP(G1342,'LÇTO FINAL'!A:M,2,0)</f>
        <v>SINAPI</v>
      </c>
      <c r="I1342" s="700">
        <f>VLOOKUP(G1342,'LÇTO FINAL'!A:M,3,0)</f>
        <v>9537</v>
      </c>
      <c r="J1342" s="824"/>
      <c r="K1342" s="790" t="str">
        <f>(IF(H1342="Saneago",VLOOKUP(I1342,'SANEAGO-FEV.2016'!A:B,2,0),IF(H1342="Sinapi",VLOOKUP(I1342,'SINAPI-FEV.2017'!A:D,2,0),IF(H1342="Cotação",VLOOKUP(I1342,COTAÇÃO!A:D,2,0),IF(H1342="Composição",VLOOKUP(I1342,COMPOSIÇÃO!A:D,2,0))))))</f>
        <v>LIMPEZA FINAL DA OBRA</v>
      </c>
      <c r="L1342" s="700" t="str">
        <f>(IF(H1342="Saneago",VLOOKUP(I1342,'SANEAGO-FEV.2016'!A:D,3,0),IF(H1342="Sinapi",VLOOKUP(I1342,'SINAPI-FEV.2017'!A:D,3,0),IF(H1342="Cotação",VLOOKUP(I1342,COTAÇÃO!A:D,3,0),IF(H1342="Composição",VLOOKUP(I1342,COMPOSIÇÃO!A:D,3,0))))))</f>
        <v>M2</v>
      </c>
      <c r="M1342" s="870">
        <f>ROUND(VLOOKUP(G1342,'LÇTO FINAL'!A:M,13,0),2)</f>
        <v>22.2</v>
      </c>
      <c r="N1342" s="399">
        <v>0</v>
      </c>
      <c r="O1342" s="102">
        <f>ROUND(IF(F1342="Serviços",N1342*(1+$O$7),IF(F1342="Materiais",N1342*(1+$O$8))),2)</f>
        <v>0</v>
      </c>
      <c r="P1342" s="101">
        <f>ROUND(M1342*O1342,2)</f>
        <v>0</v>
      </c>
      <c r="Q1342" s="1472">
        <v>22.2</v>
      </c>
    </row>
    <row r="1343" spans="1:17" ht="15.75" thickBot="1">
      <c r="A1343" s="1482"/>
      <c r="B1343" s="1482"/>
      <c r="C1343" s="1483">
        <f t="shared" si="229"/>
        <v>6</v>
      </c>
      <c r="D1343" s="1492">
        <f t="shared" ref="D1343:E1345" si="234">D1342+A1343</f>
        <v>10</v>
      </c>
      <c r="E1343" s="1492">
        <f t="shared" si="234"/>
        <v>9</v>
      </c>
      <c r="F1343" s="1484" t="s">
        <v>11708</v>
      </c>
      <c r="G1343" s="862"/>
      <c r="H1343" s="823"/>
      <c r="I1343" s="700"/>
      <c r="J1343" s="824"/>
      <c r="K1343" s="790"/>
      <c r="L1343" s="700"/>
      <c r="M1343" s="870"/>
      <c r="N1343" s="399"/>
      <c r="O1343" s="102"/>
      <c r="P1343" s="101"/>
    </row>
    <row r="1344" spans="1:17" ht="16.5" customHeight="1" thickTop="1" thickBot="1">
      <c r="A1344" s="1482"/>
      <c r="B1344" s="1482"/>
      <c r="C1344" s="1483">
        <f t="shared" si="229"/>
        <v>6</v>
      </c>
      <c r="D1344" s="1492">
        <f t="shared" si="234"/>
        <v>10</v>
      </c>
      <c r="E1344" s="1492">
        <f t="shared" si="234"/>
        <v>9</v>
      </c>
      <c r="F1344" s="1484" t="s">
        <v>11708</v>
      </c>
      <c r="G1344" s="862"/>
      <c r="H1344" s="1653" t="str">
        <f>"TOTAL ITEM: "&amp;J1339 &amp;K1339</f>
        <v>TOTAL ITEM: 6.10.9 DIVERSOS</v>
      </c>
      <c r="I1344" s="1654"/>
      <c r="J1344" s="1654"/>
      <c r="K1344" s="1654"/>
      <c r="L1344" s="1654"/>
      <c r="M1344" s="1654"/>
      <c r="N1344" s="1654"/>
      <c r="O1344" s="1654"/>
      <c r="P1344" s="210">
        <f>SUBTOTAL(9,P1341:P1342)</f>
        <v>0</v>
      </c>
    </row>
    <row r="1345" spans="1:24" ht="16.5" thickTop="1" thickBot="1">
      <c r="A1345" s="1482"/>
      <c r="B1345" s="1482"/>
      <c r="C1345" s="1483">
        <f t="shared" si="229"/>
        <v>6</v>
      </c>
      <c r="D1345" s="1492">
        <f t="shared" si="234"/>
        <v>10</v>
      </c>
      <c r="E1345" s="1492">
        <f t="shared" si="234"/>
        <v>9</v>
      </c>
      <c r="F1345" s="1484" t="s">
        <v>11708</v>
      </c>
      <c r="G1345" s="862"/>
      <c r="H1345" s="929"/>
      <c r="I1345" s="1371"/>
      <c r="J1345" s="1022"/>
      <c r="K1345" s="1371"/>
      <c r="L1345" s="1371"/>
      <c r="M1345" s="1536"/>
      <c r="N1345" s="394"/>
      <c r="O1345" s="728"/>
      <c r="P1345" s="95"/>
    </row>
    <row r="1346" spans="1:24" s="863" customFormat="1" ht="14.25" thickTop="1" thickBot="1">
      <c r="A1346" s="1482">
        <v>1</v>
      </c>
      <c r="B1346" s="1482"/>
      <c r="C1346" s="1483">
        <f t="shared" si="229"/>
        <v>6</v>
      </c>
      <c r="D1346" s="1492">
        <f t="shared" si="230"/>
        <v>11</v>
      </c>
      <c r="E1346" s="1492">
        <v>0</v>
      </c>
      <c r="F1346" s="1484" t="s">
        <v>11708</v>
      </c>
      <c r="G1346" s="862"/>
      <c r="H1346" s="1510" t="str">
        <f>CONCATENATE(C1346,".",D1346)</f>
        <v>6.11</v>
      </c>
      <c r="I1346" s="1585" t="s">
        <v>11719</v>
      </c>
      <c r="J1346" s="1585"/>
      <c r="K1346" s="1585"/>
      <c r="L1346" s="1511"/>
      <c r="M1346" s="1512"/>
      <c r="N1346" s="397"/>
      <c r="O1346" s="99" t="s">
        <v>11702</v>
      </c>
      <c r="P1346" s="100">
        <f>SUBTOTAL(9,P1350:P1389)</f>
        <v>0</v>
      </c>
      <c r="Q1346" s="1507"/>
      <c r="R1346" s="1525"/>
      <c r="S1346" s="1504"/>
      <c r="V1346" s="1487"/>
      <c r="W1346" s="1325"/>
      <c r="X1346" s="1325"/>
    </row>
    <row r="1347" spans="1:24" s="863" customFormat="1" ht="13.5" thickTop="1">
      <c r="A1347" s="1482"/>
      <c r="B1347" s="1482"/>
      <c r="C1347" s="1483">
        <f t="shared" si="229"/>
        <v>6</v>
      </c>
      <c r="D1347" s="1492">
        <f t="shared" si="230"/>
        <v>11</v>
      </c>
      <c r="E1347" s="1492">
        <f t="shared" si="231"/>
        <v>0</v>
      </c>
      <c r="F1347" s="1484" t="s">
        <v>11708</v>
      </c>
      <c r="G1347" s="862"/>
      <c r="H1347" s="789"/>
      <c r="I1347" s="915"/>
      <c r="J1347" s="1022"/>
      <c r="K1347" s="915"/>
      <c r="L1347" s="816"/>
      <c r="M1347" s="874"/>
      <c r="N1347" s="394"/>
      <c r="O1347" s="98"/>
      <c r="P1347" s="95"/>
      <c r="Q1347" s="1507"/>
      <c r="R1347" s="1525"/>
      <c r="S1347" s="1504"/>
      <c r="V1347" s="1325"/>
      <c r="W1347" s="1325"/>
      <c r="X1347" s="1325"/>
    </row>
    <row r="1348" spans="1:24" s="863" customFormat="1" ht="12.75">
      <c r="A1348" s="1482"/>
      <c r="B1348" s="1482">
        <v>1</v>
      </c>
      <c r="C1348" s="1483">
        <f t="shared" si="229"/>
        <v>6</v>
      </c>
      <c r="D1348" s="1492">
        <f t="shared" si="230"/>
        <v>11</v>
      </c>
      <c r="E1348" s="1492">
        <f t="shared" si="231"/>
        <v>1</v>
      </c>
      <c r="F1348" s="1484" t="s">
        <v>11708</v>
      </c>
      <c r="G1348" s="862"/>
      <c r="H1348" s="1514" t="s">
        <v>11703</v>
      </c>
      <c r="I1348" s="1515" t="s">
        <v>64</v>
      </c>
      <c r="J1348" s="1516" t="str">
        <f>CONCATENATE(C1348,".",D1348,".",E1348)</f>
        <v>6.11.1</v>
      </c>
      <c r="K1348" s="1516" t="s">
        <v>12690</v>
      </c>
      <c r="L1348" s="1517" t="s">
        <v>25</v>
      </c>
      <c r="M1348" s="1518" t="s">
        <v>11704</v>
      </c>
      <c r="N1348" s="398" t="s">
        <v>11705</v>
      </c>
      <c r="O1348" s="207" t="s">
        <v>11706</v>
      </c>
      <c r="P1348" s="208" t="s">
        <v>27</v>
      </c>
      <c r="Q1348" s="1507" t="s">
        <v>11704</v>
      </c>
      <c r="R1348" s="1525"/>
      <c r="S1348" s="1504"/>
      <c r="V1348" s="1487"/>
      <c r="W1348" s="1325"/>
      <c r="X1348" s="1325"/>
    </row>
    <row r="1349" spans="1:24" s="863" customFormat="1" ht="12.75">
      <c r="A1349" s="1482"/>
      <c r="B1349" s="1482"/>
      <c r="C1349" s="1483">
        <f t="shared" si="229"/>
        <v>6</v>
      </c>
      <c r="D1349" s="1492">
        <f t="shared" si="230"/>
        <v>11</v>
      </c>
      <c r="E1349" s="1492">
        <f t="shared" si="231"/>
        <v>1</v>
      </c>
      <c r="F1349" s="1484" t="s">
        <v>11708</v>
      </c>
      <c r="G1349" s="862"/>
      <c r="H1349" s="826"/>
      <c r="I1349" s="790"/>
      <c r="J1349" s="824"/>
      <c r="K1349" s="790"/>
      <c r="L1349" s="700"/>
      <c r="M1349" s="870"/>
      <c r="N1349" s="399"/>
      <c r="O1349" s="121"/>
      <c r="P1349" s="101"/>
      <c r="Q1349" s="1507"/>
      <c r="R1349" s="1525"/>
      <c r="S1349" s="1504"/>
      <c r="V1349" s="1325"/>
      <c r="W1349" s="1325"/>
      <c r="X1349" s="1325"/>
    </row>
    <row r="1350" spans="1:24" s="863" customFormat="1" ht="45">
      <c r="A1350" s="1482"/>
      <c r="B1350" s="1482"/>
      <c r="C1350" s="1483">
        <f t="shared" si="229"/>
        <v>6</v>
      </c>
      <c r="D1350" s="1492">
        <f t="shared" si="230"/>
        <v>11</v>
      </c>
      <c r="E1350" s="1492">
        <f t="shared" si="231"/>
        <v>1</v>
      </c>
      <c r="F1350" s="1484" t="s">
        <v>11708</v>
      </c>
      <c r="G1350" s="968" t="s">
        <v>12075</v>
      </c>
      <c r="H1350" s="823" t="str">
        <f>VLOOKUP(G1350,URBANIZAÇÃO!A:M,2,0)</f>
        <v>SINAPI</v>
      </c>
      <c r="I1350" s="700">
        <f>VLOOKUP(G1350,URBANIZAÇÃO!A:M,3,0)</f>
        <v>92415</v>
      </c>
      <c r="J1350" s="824"/>
      <c r="K1350" s="790" t="str">
        <f>(IF(H1350="Saneago",VLOOKUP(I1350,'SANEAGO-FEV.2016'!A:B,2,0),IF(H1350="Sinapi",VLOOKUP(I1350,'SINAPI-FEV.2017'!A:D,2,0),IF(H1350="Cotação",VLOOKUP(I1350,COTAÇÃO!A:D,2,0),IF(H1350="Composição",VLOOKUP(I1350,COMPOSIÇÃO!A:D,2,0))))))</f>
        <v>MONTAGEM E DESMONTAGEM DE FÔRMA DE PILARES RETANGULARES E ESTRUTURAS SIMILARES COM ÁREA MÉDIA DAS SEÇÕES MAIOR QUE 0,25 M², PÉ-DIREITO SIMPLES, EM CHAPA DE MADEIRA COMPENSADA RESINADA, 2 UTILIZAÇÕES. AF_12/2015</v>
      </c>
      <c r="L1350" s="700" t="str">
        <f>(IF(H1350="Saneago",VLOOKUP(I1350,'SANEAGO-FEV.2016'!A:D,3,0),IF(H1350="Sinapi",VLOOKUP(I1350,'SINAPI-FEV.2017'!A:D,3,0),IF(H1350="Cotação",VLOOKUP(I1350,COTAÇÃO!A:D,3,0),IF(H1350="Composição",VLOOKUP(I1350,COMPOSIÇÃO!A:D,3,0))))))</f>
        <v>M2</v>
      </c>
      <c r="M1350" s="870">
        <f>ROUND(VLOOKUP(G1350,URBANIZAÇÃO!A:M,13,0),2)</f>
        <v>22.4</v>
      </c>
      <c r="N1350" s="399">
        <v>0</v>
      </c>
      <c r="O1350" s="102">
        <f>ROUND(IF(F1350="Serviços",N1350*(1+$O$7),IF(F1350="Materiais",N1350*(1+$O$8))),2)</f>
        <v>0</v>
      </c>
      <c r="P1350" s="101">
        <f>ROUND(M1350*O1350,2)</f>
        <v>0</v>
      </c>
      <c r="Q1350" s="1507">
        <v>22.4</v>
      </c>
      <c r="R1350" s="1525"/>
      <c r="S1350" s="1504"/>
      <c r="V1350" s="1325"/>
      <c r="W1350" s="1325"/>
      <c r="X1350" s="1325"/>
    </row>
    <row r="1351" spans="1:24" s="863" customFormat="1" ht="22.5">
      <c r="A1351" s="1482"/>
      <c r="B1351" s="1482"/>
      <c r="C1351" s="1483">
        <f t="shared" si="229"/>
        <v>6</v>
      </c>
      <c r="D1351" s="1492">
        <f t="shared" si="230"/>
        <v>11</v>
      </c>
      <c r="E1351" s="1492">
        <f t="shared" si="231"/>
        <v>1</v>
      </c>
      <c r="F1351" s="1484" t="s">
        <v>11708</v>
      </c>
      <c r="G1351" s="968" t="s">
        <v>12076</v>
      </c>
      <c r="H1351" s="823" t="str">
        <f>VLOOKUP(G1351,URBANIZAÇÃO!A:M,2,0)</f>
        <v>SINAPI</v>
      </c>
      <c r="I1351" s="700">
        <f>VLOOKUP(G1351,URBANIZAÇÃO!A:M,3,0)</f>
        <v>94962</v>
      </c>
      <c r="J1351" s="824"/>
      <c r="K1351" s="790" t="str">
        <f>(IF(H1351="Saneago",VLOOKUP(I1351,'SANEAGO-FEV.2016'!A:B,2,0),IF(H1351="Sinapi",VLOOKUP(I1351,'SINAPI-FEV.2017'!A:D,2,0),IF(H1351="Cotação",VLOOKUP(I1351,COTAÇÃO!A:D,2,0),IF(H1351="Composição",VLOOKUP(I1351,COMPOSIÇÃO!A:D,2,0))))))</f>
        <v>CONCRETO MAGRO PARA LASTRO, TRAÇO 1:4,5:4,5 (CIMENTO/ AREIA MÉDIA/ BRITA 1)  - PREPARO MECÂNICO COM BETONEIRA 400 L. AF_07/2016</v>
      </c>
      <c r="L1351" s="700" t="str">
        <f>(IF(H1351="Saneago",VLOOKUP(I1351,'SANEAGO-FEV.2016'!A:D,3,0),IF(H1351="Sinapi",VLOOKUP(I1351,'SINAPI-FEV.2017'!A:D,3,0),IF(H1351="Cotação",VLOOKUP(I1351,COTAÇÃO!A:D,3,0),IF(H1351="Composição",VLOOKUP(I1351,COMPOSIÇÃO!A:D,3,0))))))</f>
        <v>M3</v>
      </c>
      <c r="M1351" s="870">
        <f>ROUND(VLOOKUP(G1351,URBANIZAÇÃO!A:M,13,0),2)</f>
        <v>1.04</v>
      </c>
      <c r="N1351" s="399">
        <v>0</v>
      </c>
      <c r="O1351" s="102">
        <f>ROUND(IF(F1351="Serviços",N1351*(1+$O$7),IF(F1351="Materiais",N1351*(1+$O$8))),2)</f>
        <v>0</v>
      </c>
      <c r="P1351" s="101">
        <f>ROUND(M1351*O1351,2)</f>
        <v>0</v>
      </c>
      <c r="Q1351" s="1507">
        <v>1.04</v>
      </c>
      <c r="R1351" s="1525"/>
      <c r="S1351" s="1504"/>
      <c r="V1351" s="1325"/>
      <c r="W1351" s="1325"/>
      <c r="X1351" s="1325"/>
    </row>
    <row r="1352" spans="1:24" s="863" customFormat="1" ht="13.5" thickBot="1">
      <c r="A1352" s="1482"/>
      <c r="B1352" s="1482"/>
      <c r="C1352" s="1483">
        <f t="shared" si="229"/>
        <v>6</v>
      </c>
      <c r="D1352" s="1492">
        <f t="shared" si="230"/>
        <v>11</v>
      </c>
      <c r="E1352" s="1492">
        <f t="shared" si="231"/>
        <v>1</v>
      </c>
      <c r="F1352" s="1484" t="s">
        <v>11708</v>
      </c>
      <c r="G1352" s="862"/>
      <c r="H1352" s="826"/>
      <c r="I1352" s="790"/>
      <c r="J1352" s="824"/>
      <c r="K1352" s="790"/>
      <c r="L1352" s="700"/>
      <c r="M1352" s="870"/>
      <c r="N1352" s="399"/>
      <c r="O1352" s="209"/>
      <c r="P1352" s="101"/>
      <c r="Q1352" s="1507"/>
      <c r="R1352" s="1525"/>
      <c r="S1352" s="1504"/>
      <c r="V1352" s="1325"/>
      <c r="W1352" s="1325"/>
      <c r="X1352" s="1325"/>
    </row>
    <row r="1353" spans="1:24" s="863" customFormat="1" ht="14.25" customHeight="1" thickTop="1" thickBot="1">
      <c r="A1353" s="1482"/>
      <c r="B1353" s="1482"/>
      <c r="C1353" s="1483">
        <f t="shared" si="229"/>
        <v>6</v>
      </c>
      <c r="D1353" s="1492">
        <f t="shared" si="230"/>
        <v>11</v>
      </c>
      <c r="E1353" s="1492">
        <f t="shared" si="231"/>
        <v>1</v>
      </c>
      <c r="F1353" s="1484" t="s">
        <v>11708</v>
      </c>
      <c r="G1353" s="862"/>
      <c r="H1353" s="1653" t="str">
        <f>"TOTAL ITEM: "&amp;J1348 &amp;K1348</f>
        <v>TOTAL ITEM: 6.11.1 TORNEIRA EXTERNA (BLOCO)</v>
      </c>
      <c r="I1353" s="1654"/>
      <c r="J1353" s="1654"/>
      <c r="K1353" s="1654"/>
      <c r="L1353" s="1654"/>
      <c r="M1353" s="1654"/>
      <c r="N1353" s="1654"/>
      <c r="O1353" s="1654"/>
      <c r="P1353" s="210">
        <f>SUBTOTAL(9,P1350:P1351)</f>
        <v>0</v>
      </c>
      <c r="Q1353" s="1507"/>
      <c r="R1353" s="1525"/>
      <c r="S1353" s="1504"/>
      <c r="V1353" s="1325"/>
      <c r="W1353" s="1325"/>
      <c r="X1353" s="1325"/>
    </row>
    <row r="1354" spans="1:24" s="863" customFormat="1" ht="13.5" thickTop="1">
      <c r="A1354" s="1482"/>
      <c r="B1354" s="1482"/>
      <c r="C1354" s="1483">
        <f t="shared" si="229"/>
        <v>6</v>
      </c>
      <c r="D1354" s="1492">
        <f t="shared" si="230"/>
        <v>11</v>
      </c>
      <c r="E1354" s="1492">
        <f t="shared" si="231"/>
        <v>1</v>
      </c>
      <c r="F1354" s="1484" t="s">
        <v>11708</v>
      </c>
      <c r="G1354" s="862"/>
      <c r="H1354" s="929"/>
      <c r="I1354" s="1371"/>
      <c r="J1354" s="1022"/>
      <c r="K1354" s="1371"/>
      <c r="L1354" s="1371"/>
      <c r="M1354" s="1536"/>
      <c r="N1354" s="394"/>
      <c r="O1354" s="728"/>
      <c r="P1354" s="95"/>
      <c r="Q1354" s="1507"/>
      <c r="R1354" s="1525"/>
      <c r="S1354" s="1504"/>
      <c r="V1354" s="1325"/>
      <c r="W1354" s="1325"/>
      <c r="X1354" s="1325"/>
    </row>
    <row r="1355" spans="1:24">
      <c r="A1355" s="1482"/>
      <c r="B1355" s="1482">
        <v>1</v>
      </c>
      <c r="C1355" s="1483">
        <f t="shared" si="229"/>
        <v>6</v>
      </c>
      <c r="D1355" s="1492">
        <f t="shared" si="230"/>
        <v>11</v>
      </c>
      <c r="E1355" s="1492">
        <f t="shared" si="231"/>
        <v>2</v>
      </c>
      <c r="F1355" s="1484" t="s">
        <v>11708</v>
      </c>
      <c r="H1355" s="1514" t="s">
        <v>11703</v>
      </c>
      <c r="I1355" s="1515" t="s">
        <v>64</v>
      </c>
      <c r="J1355" s="1516" t="str">
        <f>CONCATENATE(C1355,".",D1355,".",E1355)</f>
        <v>6.11.2</v>
      </c>
      <c r="K1355" s="1516" t="s">
        <v>12691</v>
      </c>
      <c r="L1355" s="1517" t="s">
        <v>25</v>
      </c>
      <c r="M1355" s="1518" t="s">
        <v>11704</v>
      </c>
      <c r="N1355" s="398" t="s">
        <v>11705</v>
      </c>
      <c r="O1355" s="207" t="s">
        <v>11706</v>
      </c>
      <c r="P1355" s="208" t="s">
        <v>27</v>
      </c>
      <c r="Q1355" s="1472" t="s">
        <v>11704</v>
      </c>
    </row>
    <row r="1356" spans="1:24">
      <c r="A1356" s="1482"/>
      <c r="B1356" s="1482"/>
      <c r="C1356" s="1483">
        <f t="shared" si="229"/>
        <v>6</v>
      </c>
      <c r="D1356" s="1492">
        <f t="shared" si="230"/>
        <v>11</v>
      </c>
      <c r="E1356" s="1492">
        <f t="shared" si="231"/>
        <v>2</v>
      </c>
      <c r="F1356" s="1484" t="s">
        <v>11708</v>
      </c>
      <c r="H1356" s="826"/>
      <c r="I1356" s="790"/>
      <c r="J1356" s="824"/>
      <c r="K1356" s="790"/>
      <c r="L1356" s="700"/>
      <c r="M1356" s="870"/>
      <c r="N1356" s="399"/>
      <c r="O1356" s="121"/>
      <c r="P1356" s="101"/>
    </row>
    <row r="1357" spans="1:24" ht="22.5">
      <c r="A1357" s="1482"/>
      <c r="B1357" s="1482"/>
      <c r="C1357" s="1483">
        <f t="shared" si="229"/>
        <v>6</v>
      </c>
      <c r="D1357" s="1492">
        <f t="shared" si="230"/>
        <v>11</v>
      </c>
      <c r="E1357" s="1492">
        <f t="shared" si="231"/>
        <v>2</v>
      </c>
      <c r="F1357" s="1484" t="s">
        <v>11708</v>
      </c>
      <c r="G1357" s="921" t="s">
        <v>12139</v>
      </c>
      <c r="H1357" s="823" t="str">
        <f>VLOOKUP(G1357,URBANIZAÇÃO!A:M,2,0)</f>
        <v>SINAPI</v>
      </c>
      <c r="I1357" s="700" t="str">
        <f>VLOOKUP(G1357,URBANIZAÇÃO!A:M,3,0)</f>
        <v>73822/2</v>
      </c>
      <c r="J1357" s="824"/>
      <c r="K1357" s="790" t="str">
        <f>(IF(H1357="Saneago",VLOOKUP(I1357,'SANEAGO-FEV.2016'!A:B,2,0),IF(H1357="Sinapi",VLOOKUP(I1357,'SINAPI-FEV.2017'!A:D,2,0),IF(H1357="Cotação",VLOOKUP(I1357,COTAÇÃO!A:D,2,0),IF(H1357="Composição",VLOOKUP(I1357,COMPOSIÇÃO!A:D,2,0))))))</f>
        <v>LIMPEZA MECANIZADA DE TERRENO COM REMOCAO DE CAMADA VEGETAL, UTILIZANDO MOTONIVELADORA</v>
      </c>
      <c r="L1357" s="700" t="str">
        <f>(IF(H1357="Saneago",VLOOKUP(I1357,'SANEAGO-FEV.2016'!A:D,3,0),IF(H1357="Sinapi",VLOOKUP(I1357,'SINAPI-FEV.2017'!A:D,3,0),IF(H1357="Cotação",VLOOKUP(I1357,COTAÇÃO!A:D,3,0),IF(H1357="Composição",VLOOKUP(I1357,COMPOSIÇÃO!A:D,3,0))))))</f>
        <v>M2</v>
      </c>
      <c r="M1357" s="870">
        <f>ROUND(VLOOKUP(G1357,URBANIZAÇÃO!A:M,13,0),2)</f>
        <v>4940</v>
      </c>
      <c r="N1357" s="399">
        <v>0</v>
      </c>
      <c r="O1357" s="102">
        <f t="shared" ref="O1357:O1365" si="235">ROUND(IF(F1357="Serviços",N1357*(1+$O$7),IF(F1357="Materiais",N1357*(1+$O$8))),2)</f>
        <v>0</v>
      </c>
      <c r="P1357" s="101">
        <f t="shared" ref="P1357:P1365" si="236">ROUND(M1357*O1357,2)</f>
        <v>0</v>
      </c>
      <c r="Q1357" s="1472">
        <v>4940</v>
      </c>
    </row>
    <row r="1358" spans="1:24" ht="22.5">
      <c r="A1358" s="1482"/>
      <c r="B1358" s="1482"/>
      <c r="C1358" s="1483">
        <f t="shared" si="229"/>
        <v>6</v>
      </c>
      <c r="D1358" s="1492">
        <f t="shared" si="230"/>
        <v>11</v>
      </c>
      <c r="E1358" s="1492">
        <f t="shared" si="231"/>
        <v>2</v>
      </c>
      <c r="F1358" s="1484" t="s">
        <v>11708</v>
      </c>
      <c r="G1358" s="921" t="s">
        <v>12085</v>
      </c>
      <c r="H1358" s="823" t="str">
        <f>VLOOKUP(G1358,URBANIZAÇÃO!A:M,2,0)</f>
        <v>SINAPI</v>
      </c>
      <c r="I1358" s="700">
        <f>VLOOKUP(G1358,URBANIZAÇÃO!A:M,3,0)</f>
        <v>92394</v>
      </c>
      <c r="J1358" s="824"/>
      <c r="K1358" s="790" t="str">
        <f>(IF(H1358="Saneago",VLOOKUP(I1358,'SANEAGO-FEV.2016'!A:B,2,0),IF(H1358="Sinapi",VLOOKUP(I1358,'SINAPI-FEV.2017'!A:D,2,0),IF(H1358="Cotação",VLOOKUP(I1358,COTAÇÃO!A:D,2,0),IF(H1358="Composição",VLOOKUP(I1358,COMPOSIÇÃO!A:D,2,0))))))</f>
        <v>EXECUÇÃO DE PAVIMENTO EM PISO INTERTRAVADO, COM BLOCO SEXTAVADO DE 25 X 25 CM, ESPESSURA 8 CM. AF_12/2015</v>
      </c>
      <c r="L1358" s="700" t="str">
        <f>(IF(H1358="Saneago",VLOOKUP(I1358,'SANEAGO-FEV.2016'!A:D,3,0),IF(H1358="Sinapi",VLOOKUP(I1358,'SINAPI-FEV.2017'!A:D,3,0),IF(H1358="Cotação",VLOOKUP(I1358,COTAÇÃO!A:D,3,0),IF(H1358="Composição",VLOOKUP(I1358,COMPOSIÇÃO!A:D,3,0))))))</f>
        <v>M2</v>
      </c>
      <c r="M1358" s="870">
        <f>ROUND(VLOOKUP(G1358,URBANIZAÇÃO!A:M,13,0),2)</f>
        <v>4400</v>
      </c>
      <c r="N1358" s="399">
        <v>0</v>
      </c>
      <c r="O1358" s="102">
        <f t="shared" si="235"/>
        <v>0</v>
      </c>
      <c r="P1358" s="101">
        <f>ROUND(M1358*O1358,2)</f>
        <v>0</v>
      </c>
      <c r="Q1358" s="1472">
        <v>4400</v>
      </c>
    </row>
    <row r="1359" spans="1:24" ht="22.5">
      <c r="A1359" s="1482"/>
      <c r="B1359" s="1482"/>
      <c r="C1359" s="1483">
        <f t="shared" si="229"/>
        <v>6</v>
      </c>
      <c r="D1359" s="1492">
        <f t="shared" si="230"/>
        <v>11</v>
      </c>
      <c r="E1359" s="1492">
        <f t="shared" si="231"/>
        <v>2</v>
      </c>
      <c r="F1359" s="1484" t="s">
        <v>11708</v>
      </c>
      <c r="G1359" s="921" t="s">
        <v>12086</v>
      </c>
      <c r="H1359" s="823" t="str">
        <f>VLOOKUP(G1359,URBANIZAÇÃO!A:M,2,0)</f>
        <v>SINAPI</v>
      </c>
      <c r="I1359" s="700">
        <f>VLOOKUP(G1359,URBANIZAÇÃO!A:M,3,0)</f>
        <v>68333</v>
      </c>
      <c r="J1359" s="824"/>
      <c r="K1359" s="790" t="str">
        <f>(IF(H1359="Saneago",VLOOKUP(I1359,'SANEAGO-FEV.2016'!A:B,2,0),IF(H1359="Sinapi",VLOOKUP(I1359,'SINAPI-FEV.2017'!A:D,2,0),IF(H1359="Cotação",VLOOKUP(I1359,COTAÇÃO!A:D,2,0),IF(H1359="Composição",VLOOKUP(I1359,COMPOSIÇÃO!A:D,2,0))))))</f>
        <v>PISO EM CONCRETO 20 MPA PREPARO MECANICO, ESPESSURA 7CM, INCLUSO JUNTAS DE DILATACAO EM MADEIRA</v>
      </c>
      <c r="L1359" s="700" t="str">
        <f>(IF(H1359="Saneago",VLOOKUP(I1359,'SANEAGO-FEV.2016'!A:D,3,0),IF(H1359="Sinapi",VLOOKUP(I1359,'SINAPI-FEV.2017'!A:D,3,0),IF(H1359="Cotação",VLOOKUP(I1359,COTAÇÃO!A:D,3,0),IF(H1359="Composição",VLOOKUP(I1359,COMPOSIÇÃO!A:D,3,0))))))</f>
        <v>M2</v>
      </c>
      <c r="M1359" s="870">
        <f>ROUND(VLOOKUP(G1359,URBANIZAÇÃO!A:M,13,0),2)</f>
        <v>540</v>
      </c>
      <c r="N1359" s="399">
        <v>0</v>
      </c>
      <c r="O1359" s="102">
        <f t="shared" si="235"/>
        <v>0</v>
      </c>
      <c r="P1359" s="101">
        <f t="shared" si="236"/>
        <v>0</v>
      </c>
      <c r="Q1359" s="1472">
        <v>540</v>
      </c>
    </row>
    <row r="1360" spans="1:24" ht="22.5">
      <c r="A1360" s="1482"/>
      <c r="B1360" s="1482"/>
      <c r="C1360" s="1483">
        <f t="shared" si="229"/>
        <v>6</v>
      </c>
      <c r="D1360" s="1492">
        <f t="shared" si="230"/>
        <v>11</v>
      </c>
      <c r="E1360" s="1492">
        <f t="shared" si="231"/>
        <v>2</v>
      </c>
      <c r="F1360" s="1484" t="s">
        <v>11708</v>
      </c>
      <c r="G1360" s="968" t="s">
        <v>12077</v>
      </c>
      <c r="H1360" s="823" t="str">
        <f>VLOOKUP(G1360,URBANIZAÇÃO!A:M,2,0)</f>
        <v>SINAPI</v>
      </c>
      <c r="I1360" s="700">
        <f>VLOOKUP(G1360,URBANIZAÇÃO!A:M,3,0)</f>
        <v>4059</v>
      </c>
      <c r="J1360" s="824"/>
      <c r="K1360" s="790" t="str">
        <f>(IF(H1360="Saneago",VLOOKUP(I1360,'SANEAGO-FEV.2016'!A:B,2,0),IF(H1360="Sinapi",VLOOKUP(I1360,'SINAPI-FEV.2017'!A:D,2,0),IF(H1360="Cotação",VLOOKUP(I1360,COTAÇÃO!A:D,2,0),IF(H1360="Composição",VLOOKUP(I1360,COMPOSIÇÃO!A:D,2,0))))))</f>
        <v>MEIO-FIO OU GUIA DE CONCRETO, PRE-MOLDADO, COMP 1 M, *30 X 15/ 12* CM (H X L1/L2)</v>
      </c>
      <c r="L1360" s="700" t="str">
        <f>(IF(H1360="Saneago",VLOOKUP(I1360,'SANEAGO-FEV.2016'!A:D,3,0),IF(H1360="Sinapi",VLOOKUP(I1360,'SINAPI-FEV.2017'!A:D,3,0),IF(H1360="Cotação",VLOOKUP(I1360,COTAÇÃO!A:D,3,0),IF(H1360="Composição",VLOOKUP(I1360,COMPOSIÇÃO!A:D,3,0))))))</f>
        <v>M</v>
      </c>
      <c r="M1360" s="870">
        <f>ROUND(VLOOKUP(G1360,URBANIZAÇÃO!A:M,13,0),2)</f>
        <v>2835</v>
      </c>
      <c r="N1360" s="399">
        <v>0</v>
      </c>
      <c r="O1360" s="102">
        <f t="shared" si="235"/>
        <v>0</v>
      </c>
      <c r="P1360" s="101">
        <f t="shared" si="236"/>
        <v>0</v>
      </c>
      <c r="Q1360" s="1472">
        <v>2835</v>
      </c>
    </row>
    <row r="1361" spans="1:24" ht="45">
      <c r="A1361" s="1482"/>
      <c r="B1361" s="1482"/>
      <c r="C1361" s="1483">
        <f t="shared" si="229"/>
        <v>6</v>
      </c>
      <c r="D1361" s="1492">
        <f>D1360+A1361</f>
        <v>11</v>
      </c>
      <c r="E1361" s="1492">
        <f>E1360+B1361</f>
        <v>2</v>
      </c>
      <c r="F1361" s="1484" t="s">
        <v>11708</v>
      </c>
      <c r="G1361" s="968" t="s">
        <v>20498</v>
      </c>
      <c r="H1361" s="823" t="str">
        <f>VLOOKUP(G1361,URBANIZAÇÃO!A:M,2,0)</f>
        <v>SINAPI</v>
      </c>
      <c r="I1361" s="700">
        <f>VLOOKUP(G1361,URBANIZAÇÃO!A:M,3,0)</f>
        <v>94273</v>
      </c>
      <c r="J1361" s="824"/>
      <c r="K1361" s="790" t="str">
        <f>(IF(H1361="Saneago",VLOOKUP(I1361,'SANEAGO-FEV.2016'!A:B,2,0),IF(H1361="Sinapi",VLOOKUP(I1361,'SINAPI-FEV.2017'!A:D,2,0),IF(H1361="Cotação",VLOOKUP(I1361,COTAÇÃO!A:D,2,0),IF(H1361="Composição",VLOOKUP(I1361,COMPOSIÇÃO!A:D,2,0))))))</f>
        <v>ASSENTAMENTO DE GUIA (MEIO-FIO) EM TRECHO RETO, CONFECCIONADA EM CONCRETO PRÉ-FABRICADO, DIMENSÕES 100X15X13X30 CM (COMPRIMENTO X BASE INFERIOR X BASE SUPERIOR X ALTURA), PARA VIAS URBANAS (USO VIÁRIO). AF_06/2016</v>
      </c>
      <c r="L1361" s="700" t="str">
        <f>(IF(H1361="Saneago",VLOOKUP(I1361,'SANEAGO-FEV.2016'!A:D,3,0),IF(H1361="Sinapi",VLOOKUP(I1361,'SINAPI-FEV.2017'!A:D,3,0),IF(H1361="Cotação",VLOOKUP(I1361,COTAÇÃO!A:D,3,0),IF(H1361="Composição",VLOOKUP(I1361,COMPOSIÇÃO!A:D,3,0))))))</f>
        <v>M</v>
      </c>
      <c r="M1361" s="870">
        <f>ROUND(VLOOKUP(G1361,URBANIZAÇÃO!A:M,13,0),2)</f>
        <v>2835</v>
      </c>
      <c r="N1361" s="399">
        <v>0</v>
      </c>
      <c r="O1361" s="102">
        <f>ROUND(IF(F1361="Serviços",N1361*(1+$O$7),IF(F1361="Materiais",N1361*(1+$O$8))),2)</f>
        <v>0</v>
      </c>
      <c r="P1361" s="101">
        <f>ROUND(M1361*O1361,2)</f>
        <v>0</v>
      </c>
      <c r="Q1361" s="1472">
        <v>2835</v>
      </c>
    </row>
    <row r="1362" spans="1:24" ht="22.5">
      <c r="A1362" s="1482"/>
      <c r="B1362" s="1482"/>
      <c r="C1362" s="1483">
        <f t="shared" si="229"/>
        <v>6</v>
      </c>
      <c r="D1362" s="1492">
        <f>D1361+A1362</f>
        <v>11</v>
      </c>
      <c r="E1362" s="1492">
        <f>E1361+B1362</f>
        <v>2</v>
      </c>
      <c r="F1362" s="1484" t="s">
        <v>11708</v>
      </c>
      <c r="G1362" s="968" t="s">
        <v>12087</v>
      </c>
      <c r="H1362" s="823" t="str">
        <f>VLOOKUP(G1362,URBANIZAÇÃO!A:M,2,0)</f>
        <v>SINAPI</v>
      </c>
      <c r="I1362" s="700">
        <f>VLOOKUP(G1362,URBANIZAÇÃO!A:M,3,0)</f>
        <v>94283</v>
      </c>
      <c r="J1362" s="824"/>
      <c r="K1362" s="790" t="str">
        <f>(IF(H1362="Saneago",VLOOKUP(I1362,'SANEAGO-FEV.2016'!A:B,2,0),IF(H1362="Sinapi",VLOOKUP(I1362,'SINAPI-FEV.2017'!A:D,2,0),IF(H1362="Cotação",VLOOKUP(I1362,COTAÇÃO!A:D,2,0),IF(H1362="Composição",VLOOKUP(I1362,COMPOSIÇÃO!A:D,2,0))))))</f>
        <v>EXECUÇÃO DE SARJETA DE CONCRETO USINADO, MOLDADA  IN LOCO  EM TRECHO RETO, 45 CM BASE X 15 CM ALTURA. AF_06/2016</v>
      </c>
      <c r="L1362" s="700" t="str">
        <f>(IF(H1362="Saneago",VLOOKUP(I1362,'SANEAGO-FEV.2016'!A:D,3,0),IF(H1362="Sinapi",VLOOKUP(I1362,'SINAPI-FEV.2017'!A:D,3,0),IF(H1362="Cotação",VLOOKUP(I1362,COTAÇÃO!A:D,3,0),IF(H1362="Composição",VLOOKUP(I1362,COMPOSIÇÃO!A:D,3,0))))))</f>
        <v>M</v>
      </c>
      <c r="M1362" s="870">
        <f>ROUND(VLOOKUP(G1362,URBANIZAÇÃO!A:M,13,0),2)</f>
        <v>1421</v>
      </c>
      <c r="N1362" s="399">
        <v>0</v>
      </c>
      <c r="O1362" s="102">
        <f t="shared" si="235"/>
        <v>0</v>
      </c>
      <c r="P1362" s="101">
        <f t="shared" si="236"/>
        <v>0</v>
      </c>
      <c r="Q1362" s="1472">
        <v>1421</v>
      </c>
    </row>
    <row r="1363" spans="1:24" ht="22.5">
      <c r="A1363" s="1482"/>
      <c r="B1363" s="1482"/>
      <c r="C1363" s="1483">
        <f t="shared" si="229"/>
        <v>6</v>
      </c>
      <c r="D1363" s="1492">
        <f t="shared" si="230"/>
        <v>11</v>
      </c>
      <c r="E1363" s="1492">
        <f t="shared" si="231"/>
        <v>2</v>
      </c>
      <c r="F1363" s="1484" t="s">
        <v>11708</v>
      </c>
      <c r="G1363" s="968" t="s">
        <v>12088</v>
      </c>
      <c r="H1363" s="823" t="str">
        <f>VLOOKUP(G1363,URBANIZAÇÃO!A:M,2,0)</f>
        <v>SINAPI</v>
      </c>
      <c r="I1363" s="700">
        <f>VLOOKUP(G1363,URBANIZAÇÃO!A:M,3,0)</f>
        <v>94284</v>
      </c>
      <c r="J1363" s="824"/>
      <c r="K1363" s="790" t="str">
        <f>(IF(H1363="Saneago",VLOOKUP(I1363,'SANEAGO-FEV.2016'!A:B,2,0),IF(H1363="Sinapi",VLOOKUP(I1363,'SINAPI-FEV.2017'!A:D,2,0),IF(H1363="Cotação",VLOOKUP(I1363,COTAÇÃO!A:D,2,0),IF(H1363="Composição",VLOOKUP(I1363,COMPOSIÇÃO!A:D,2,0))))))</f>
        <v>EXECUÇÃO DE SARJETA DE CONCRETO USINADO, MOLDADA  IN LOCO  EM TRECHO CURVO, 45 CM BASE X 15 CM ALTURA. AF_06/2016</v>
      </c>
      <c r="L1363" s="700" t="str">
        <f>(IF(H1363="Saneago",VLOOKUP(I1363,'SANEAGO-FEV.2016'!A:D,3,0),IF(H1363="Sinapi",VLOOKUP(I1363,'SINAPI-FEV.2017'!A:D,3,0),IF(H1363="Cotação",VLOOKUP(I1363,COTAÇÃO!A:D,3,0),IF(H1363="Composição",VLOOKUP(I1363,COMPOSIÇÃO!A:D,3,0))))))</f>
        <v>M</v>
      </c>
      <c r="M1363" s="870">
        <f>ROUND(VLOOKUP(G1363,URBANIZAÇÃO!A:M,13,0),2)</f>
        <v>609</v>
      </c>
      <c r="N1363" s="399">
        <v>0</v>
      </c>
      <c r="O1363" s="102">
        <f t="shared" si="235"/>
        <v>0</v>
      </c>
      <c r="P1363" s="101">
        <f t="shared" si="236"/>
        <v>0</v>
      </c>
      <c r="Q1363" s="1472">
        <v>609</v>
      </c>
    </row>
    <row r="1364" spans="1:24" ht="22.5">
      <c r="A1364" s="1482"/>
      <c r="B1364" s="1482"/>
      <c r="C1364" s="1483">
        <f t="shared" si="229"/>
        <v>6</v>
      </c>
      <c r="D1364" s="1492">
        <f t="shared" si="230"/>
        <v>11</v>
      </c>
      <c r="E1364" s="1492">
        <f t="shared" si="231"/>
        <v>2</v>
      </c>
      <c r="F1364" s="1484" t="s">
        <v>11708</v>
      </c>
      <c r="G1364" s="968" t="s">
        <v>12089</v>
      </c>
      <c r="H1364" s="823" t="str">
        <f>VLOOKUP(G1364,URBANIZAÇÃO!A:M,2,0)</f>
        <v>SINAPI</v>
      </c>
      <c r="I1364" s="700">
        <f>VLOOKUP(G1364,URBANIZAÇÃO!A:M,3,0)</f>
        <v>94293</v>
      </c>
      <c r="J1364" s="824"/>
      <c r="K1364" s="790" t="str">
        <f>(IF(H1364="Saneago",VLOOKUP(I1364,'SANEAGO-FEV.2016'!A:B,2,0),IF(H1364="Sinapi",VLOOKUP(I1364,'SINAPI-FEV.2017'!A:D,2,0),IF(H1364="Cotação",VLOOKUP(I1364,COTAÇÃO!A:D,2,0),IF(H1364="Composição",VLOOKUP(I1364,COMPOSIÇÃO!A:D,2,0))))))</f>
        <v>EXECUÇÃO DE SARJETÃO DE CONCRETO USINADO, MOLDADA  IN LOCO  EM TRECHO RETO, 100 CM BASE X 20 CM ALTURA. AF_06/2016</v>
      </c>
      <c r="L1364" s="700" t="str">
        <f>(IF(H1364="Saneago",VLOOKUP(I1364,'SANEAGO-FEV.2016'!A:D,3,0),IF(H1364="Sinapi",VLOOKUP(I1364,'SINAPI-FEV.2017'!A:D,3,0),IF(H1364="Cotação",VLOOKUP(I1364,COTAÇÃO!A:D,3,0),IF(H1364="Composição",VLOOKUP(I1364,COMPOSIÇÃO!A:D,3,0))))))</f>
        <v>M</v>
      </c>
      <c r="M1364" s="870">
        <f>ROUND(VLOOKUP(G1364,URBANIZAÇÃO!A:M,13,0),2)</f>
        <v>75</v>
      </c>
      <c r="N1364" s="399">
        <v>0</v>
      </c>
      <c r="O1364" s="102">
        <f t="shared" si="235"/>
        <v>0</v>
      </c>
      <c r="P1364" s="101">
        <f t="shared" si="236"/>
        <v>0</v>
      </c>
      <c r="Q1364" s="1472">
        <v>75</v>
      </c>
    </row>
    <row r="1365" spans="1:24" ht="33.75">
      <c r="A1365" s="1482"/>
      <c r="B1365" s="1482"/>
      <c r="C1365" s="1483">
        <f t="shared" si="229"/>
        <v>6</v>
      </c>
      <c r="D1365" s="1492">
        <f t="shared" si="230"/>
        <v>11</v>
      </c>
      <c r="E1365" s="1492">
        <f t="shared" si="231"/>
        <v>2</v>
      </c>
      <c r="F1365" s="1484" t="s">
        <v>11708</v>
      </c>
      <c r="G1365" s="921" t="s">
        <v>12078</v>
      </c>
      <c r="H1365" s="823" t="str">
        <f>VLOOKUP(G1365,URBANIZAÇÃO!A:M,2,0)</f>
        <v>SINAPI</v>
      </c>
      <c r="I1365" s="700">
        <f>VLOOKUP(G1365,URBANIZAÇÃO!A:M,3,0)</f>
        <v>94990</v>
      </c>
      <c r="J1365" s="824"/>
      <c r="K1365" s="790" t="str">
        <f>(IF(H1365="Saneago",VLOOKUP(I1365,'SANEAGO-FEV.2016'!A:B,2,0),IF(H1365="Sinapi",VLOOKUP(I1365,'SINAPI-FEV.2017'!A:D,2,0),IF(H1365="Cotação",VLOOKUP(I1365,COTAÇÃO!A:D,2,0),IF(H1365="Composição",VLOOKUP(I1365,COMPOSIÇÃO!A:D,2,0))))))</f>
        <v>EXECUÇÃO DE PASSEIO (CALÇADA) OU PISO DE CONCRETO COM CONCRETO MOLDADO IN LOCO, FEITO EM OBRA, ACABAMENTO CONVENCIONAL, NÃO ARMADO. AF_07/2016</v>
      </c>
      <c r="L1365" s="700" t="str">
        <f>(IF(H1365="Saneago",VLOOKUP(I1365,'SANEAGO-FEV.2016'!A:D,3,0),IF(H1365="Sinapi",VLOOKUP(I1365,'SINAPI-FEV.2017'!A:D,3,0),IF(H1365="Cotação",VLOOKUP(I1365,COTAÇÃO!A:D,3,0),IF(H1365="Composição",VLOOKUP(I1365,COMPOSIÇÃO!A:D,3,0))))))</f>
        <v>M3</v>
      </c>
      <c r="M1365" s="870">
        <f>ROUND(VLOOKUP(G1365,URBANIZAÇÃO!A:M,13,0),2)</f>
        <v>28.74</v>
      </c>
      <c r="N1365" s="399">
        <v>0</v>
      </c>
      <c r="O1365" s="102">
        <f t="shared" si="235"/>
        <v>0</v>
      </c>
      <c r="P1365" s="101">
        <f t="shared" si="236"/>
        <v>0</v>
      </c>
      <c r="Q1365" s="1472">
        <v>28.74</v>
      </c>
    </row>
    <row r="1366" spans="1:24" ht="15.75" thickBot="1">
      <c r="A1366" s="1482"/>
      <c r="B1366" s="1482"/>
      <c r="C1366" s="1483">
        <f t="shared" si="229"/>
        <v>6</v>
      </c>
      <c r="D1366" s="1492">
        <f t="shared" si="230"/>
        <v>11</v>
      </c>
      <c r="E1366" s="1492">
        <f t="shared" si="231"/>
        <v>2</v>
      </c>
      <c r="F1366" s="1484" t="s">
        <v>11708</v>
      </c>
      <c r="G1366" s="921"/>
      <c r="H1366" s="1095"/>
      <c r="I1366" s="780"/>
      <c r="J1366" s="834"/>
      <c r="K1366" s="780"/>
      <c r="L1366" s="780"/>
      <c r="M1366" s="1270"/>
      <c r="N1366" s="400"/>
      <c r="O1366" s="122"/>
      <c r="P1366" s="123"/>
    </row>
    <row r="1367" spans="1:24" ht="16.5" customHeight="1" thickTop="1" thickBot="1">
      <c r="A1367" s="1482"/>
      <c r="B1367" s="1482"/>
      <c r="C1367" s="1483">
        <f t="shared" si="229"/>
        <v>6</v>
      </c>
      <c r="D1367" s="1492">
        <f t="shared" si="230"/>
        <v>11</v>
      </c>
      <c r="E1367" s="1492">
        <f t="shared" si="231"/>
        <v>2</v>
      </c>
      <c r="F1367" s="1484" t="s">
        <v>11708</v>
      </c>
      <c r="H1367" s="1653" t="str">
        <f>"TOTAL ITEM: "&amp;J1355 &amp;K1355</f>
        <v>TOTAL ITEM: 6.11.2 PAVIMENTAÇÃO</v>
      </c>
      <c r="I1367" s="1654"/>
      <c r="J1367" s="1654"/>
      <c r="K1367" s="1654"/>
      <c r="L1367" s="1654"/>
      <c r="M1367" s="1654"/>
      <c r="N1367" s="1654"/>
      <c r="O1367" s="1654"/>
      <c r="P1367" s="210">
        <f>SUBTOTAL(9,P1357:P1365)</f>
        <v>0</v>
      </c>
    </row>
    <row r="1368" spans="1:24" ht="15.75" thickTop="1">
      <c r="A1368" s="1482"/>
      <c r="B1368" s="1482"/>
      <c r="C1368" s="1483">
        <f t="shared" si="229"/>
        <v>6</v>
      </c>
      <c r="D1368" s="1492">
        <f t="shared" si="230"/>
        <v>11</v>
      </c>
      <c r="E1368" s="1492">
        <f t="shared" si="231"/>
        <v>2</v>
      </c>
      <c r="F1368" s="1484" t="s">
        <v>11708</v>
      </c>
      <c r="G1368" s="921"/>
      <c r="H1368" s="1095"/>
      <c r="I1368" s="780"/>
      <c r="J1368" s="834"/>
      <c r="K1368" s="780"/>
      <c r="L1368" s="780"/>
      <c r="M1368" s="1270"/>
      <c r="N1368" s="400"/>
      <c r="O1368" s="122"/>
      <c r="P1368" s="123"/>
    </row>
    <row r="1369" spans="1:24">
      <c r="A1369" s="1482"/>
      <c r="B1369" s="1482">
        <v>1</v>
      </c>
      <c r="C1369" s="1483">
        <f t="shared" si="229"/>
        <v>6</v>
      </c>
      <c r="D1369" s="1492">
        <f t="shared" si="230"/>
        <v>11</v>
      </c>
      <c r="E1369" s="1492">
        <f t="shared" si="231"/>
        <v>3</v>
      </c>
      <c r="F1369" s="1484" t="s">
        <v>11708</v>
      </c>
      <c r="H1369" s="1514" t="s">
        <v>11703</v>
      </c>
      <c r="I1369" s="1515" t="s">
        <v>64</v>
      </c>
      <c r="J1369" s="1516" t="str">
        <f>CONCATENATE(C1369,".",D1369,".",E1369)</f>
        <v>6.11.3</v>
      </c>
      <c r="K1369" s="1516" t="s">
        <v>12692</v>
      </c>
      <c r="L1369" s="1517" t="s">
        <v>25</v>
      </c>
      <c r="M1369" s="1518" t="s">
        <v>11704</v>
      </c>
      <c r="N1369" s="398" t="s">
        <v>11705</v>
      </c>
      <c r="O1369" s="207" t="s">
        <v>11706</v>
      </c>
      <c r="P1369" s="208" t="s">
        <v>27</v>
      </c>
      <c r="Q1369" s="1472" t="s">
        <v>11704</v>
      </c>
    </row>
    <row r="1370" spans="1:24">
      <c r="A1370" s="1482"/>
      <c r="B1370" s="1482"/>
      <c r="C1370" s="1483">
        <f t="shared" si="229"/>
        <v>6</v>
      </c>
      <c r="D1370" s="1492">
        <f t="shared" si="230"/>
        <v>11</v>
      </c>
      <c r="E1370" s="1492">
        <f t="shared" si="231"/>
        <v>3</v>
      </c>
      <c r="F1370" s="1484" t="s">
        <v>11708</v>
      </c>
      <c r="G1370" s="921"/>
      <c r="H1370" s="1095"/>
      <c r="I1370" s="780"/>
      <c r="J1370" s="834"/>
      <c r="K1370" s="780"/>
      <c r="L1370" s="780"/>
      <c r="M1370" s="1270"/>
      <c r="N1370" s="400"/>
      <c r="O1370" s="122"/>
      <c r="P1370" s="123"/>
    </row>
    <row r="1371" spans="1:24">
      <c r="A1371" s="1482"/>
      <c r="B1371" s="1482"/>
      <c r="C1371" s="1483">
        <f t="shared" si="229"/>
        <v>6</v>
      </c>
      <c r="D1371" s="1492">
        <f t="shared" si="230"/>
        <v>11</v>
      </c>
      <c r="E1371" s="1492">
        <f t="shared" si="231"/>
        <v>3</v>
      </c>
      <c r="F1371" s="1484" t="s">
        <v>11708</v>
      </c>
      <c r="G1371" s="968" t="s">
        <v>12074</v>
      </c>
      <c r="H1371" s="823" t="str">
        <f>VLOOKUP(G1371,URBANIZAÇÃO!A:M,2,0)</f>
        <v>SINAPI</v>
      </c>
      <c r="I1371" s="700">
        <f>VLOOKUP(G1371,URBANIZAÇÃO!A:M,3,0)</f>
        <v>85180</v>
      </c>
      <c r="J1371" s="824"/>
      <c r="K1371" s="790" t="str">
        <f>(IF(H1371="Saneago",VLOOKUP(I1371,'SANEAGO-FEV.2016'!A:B,2,0),IF(H1371="Sinapi",VLOOKUP(I1371,'SINAPI-FEV.2017'!A:D,2,0),IF(H1371="Cotação",VLOOKUP(I1371,COTAÇÃO!A:D,2,0),IF(H1371="Composição",VLOOKUP(I1371,COMPOSIÇÃO!A:D,2,0))))))</f>
        <v>PLANTIO DE GRAMA ESMERALDA EM ROLO</v>
      </c>
      <c r="L1371" s="700" t="str">
        <f>(IF(H1371="Saneago",VLOOKUP(I1371,'SANEAGO-FEV.2016'!A:D,3,0),IF(H1371="Sinapi",VLOOKUP(I1371,'SINAPI-FEV.2017'!A:D,3,0),IF(H1371="Cotação",VLOOKUP(I1371,COTAÇÃO!A:D,3,0),IF(H1371="Composição",VLOOKUP(I1371,COMPOSIÇÃO!A:D,3,0))))))</f>
        <v>M2</v>
      </c>
      <c r="M1371" s="870">
        <f>ROUND(VLOOKUP(G1371,URBANIZAÇÃO!A:M,13,0),2)</f>
        <v>12791</v>
      </c>
      <c r="N1371" s="399">
        <v>0</v>
      </c>
      <c r="O1371" s="102">
        <f>ROUND(IF(F1371="Serviços",N1371*(1+$O$7),IF(F1371="Materiais",N1371*(1+$O$8))),2)</f>
        <v>0</v>
      </c>
      <c r="P1371" s="101">
        <f>ROUND(M1371*O1371,2)</f>
        <v>0</v>
      </c>
      <c r="Q1371" s="1472">
        <v>12791</v>
      </c>
    </row>
    <row r="1372" spans="1:24">
      <c r="A1372" s="1482"/>
      <c r="B1372" s="1482"/>
      <c r="C1372" s="1483">
        <f t="shared" si="229"/>
        <v>6</v>
      </c>
      <c r="D1372" s="1492">
        <f t="shared" si="230"/>
        <v>11</v>
      </c>
      <c r="E1372" s="1492">
        <f t="shared" si="231"/>
        <v>3</v>
      </c>
      <c r="F1372" s="1484" t="s">
        <v>11708</v>
      </c>
      <c r="G1372" s="968" t="s">
        <v>12090</v>
      </c>
      <c r="H1372" s="823" t="str">
        <f>VLOOKUP(G1372,URBANIZAÇÃO!A:M,2,0)</f>
        <v>SINAPI</v>
      </c>
      <c r="I1372" s="700" t="str">
        <f>VLOOKUP(G1372,URBANIZAÇÃO!A:M,3,0)</f>
        <v>73967/1</v>
      </c>
      <c r="J1372" s="824"/>
      <c r="K1372" s="790" t="str">
        <f>(IF(H1372="Saneago",VLOOKUP(I1372,'SANEAGO-FEV.2016'!A:B,2,0),IF(H1372="Sinapi",VLOOKUP(I1372,'SINAPI-FEV.2017'!A:D,2,0),IF(H1372="Cotação",VLOOKUP(I1372,COTAÇÃO!A:D,2,0),IF(H1372="Composição",VLOOKUP(I1372,COMPOSIÇÃO!A:D,2,0))))))</f>
        <v>PLANTIO DE ARVORE, ALTURA DE 1,00M, EM CAVAS DE 80X80X80CM</v>
      </c>
      <c r="L1372" s="700" t="str">
        <f>(IF(H1372="Saneago",VLOOKUP(I1372,'SANEAGO-FEV.2016'!A:D,3,0),IF(H1372="Sinapi",VLOOKUP(I1372,'SINAPI-FEV.2017'!A:D,3,0),IF(H1372="Cotação",VLOOKUP(I1372,COTAÇÃO!A:D,3,0),IF(H1372="Composição",VLOOKUP(I1372,COMPOSIÇÃO!A:D,3,0))))))</f>
        <v>UN</v>
      </c>
      <c r="M1372" s="870">
        <f>ROUND(VLOOKUP(G1372,URBANIZAÇÃO!A:M,13,0),2)</f>
        <v>20</v>
      </c>
      <c r="N1372" s="399">
        <v>0</v>
      </c>
      <c r="O1372" s="102">
        <f>ROUND(IF(F1372="Serviços",N1372*(1+$O$7),IF(F1372="Materiais",N1372*(1+$O$8))),2)</f>
        <v>0</v>
      </c>
      <c r="P1372" s="101">
        <f>ROUND(M1372*O1372,2)</f>
        <v>0</v>
      </c>
      <c r="Q1372" s="1472">
        <v>20</v>
      </c>
    </row>
    <row r="1373" spans="1:24" ht="22.5">
      <c r="A1373" s="1482"/>
      <c r="B1373" s="1482"/>
      <c r="C1373" s="1483">
        <f t="shared" si="229"/>
        <v>6</v>
      </c>
      <c r="D1373" s="1492">
        <f t="shared" si="230"/>
        <v>11</v>
      </c>
      <c r="E1373" s="1492">
        <f t="shared" si="231"/>
        <v>3</v>
      </c>
      <c r="F1373" s="1484" t="s">
        <v>11708</v>
      </c>
      <c r="G1373" s="968" t="s">
        <v>12091</v>
      </c>
      <c r="H1373" s="823" t="str">
        <f>VLOOKUP(G1373,URBANIZAÇÃO!A:M,2,0)</f>
        <v>SINAPI</v>
      </c>
      <c r="I1373" s="700" t="str">
        <f>VLOOKUP(G1373,URBANIZAÇÃO!A:M,3,0)</f>
        <v>73967/2</v>
      </c>
      <c r="J1373" s="824"/>
      <c r="K1373" s="790" t="str">
        <f>(IF(H1373="Saneago",VLOOKUP(I1373,'SANEAGO-FEV.2016'!A:B,2,0),IF(H1373="Sinapi",VLOOKUP(I1373,'SINAPI-FEV.2017'!A:D,2,0),IF(H1373="Cotação",VLOOKUP(I1373,COTAÇÃO!A:D,2,0),IF(H1373="Composição",VLOOKUP(I1373,COMPOSIÇÃO!A:D,2,0))))))</f>
        <v>PLANTIO DE ARVORE REGIONAL, ALTURA MAIOR QUE 2,00M, EM CAVAS DE 80X80X80CM</v>
      </c>
      <c r="L1373" s="700" t="str">
        <f>(IF(H1373="Saneago",VLOOKUP(I1373,'SANEAGO-FEV.2016'!A:D,3,0),IF(H1373="Sinapi",VLOOKUP(I1373,'SINAPI-FEV.2017'!A:D,3,0),IF(H1373="Cotação",VLOOKUP(I1373,COTAÇÃO!A:D,3,0),IF(H1373="Composição",VLOOKUP(I1373,COMPOSIÇÃO!A:D,3,0))))))</f>
        <v>UN</v>
      </c>
      <c r="M1373" s="870">
        <f>ROUND(VLOOKUP(G1373,URBANIZAÇÃO!A:M,13,0),2)</f>
        <v>18</v>
      </c>
      <c r="N1373" s="399">
        <v>0</v>
      </c>
      <c r="O1373" s="102">
        <f>ROUND(IF(F1373="Serviços",N1373*(1+$O$7),IF(F1373="Materiais",N1373*(1+$O$8))),2)</f>
        <v>0</v>
      </c>
      <c r="P1373" s="101">
        <f>ROUND(M1373*O1373,2)</f>
        <v>0</v>
      </c>
      <c r="Q1373" s="1472">
        <v>18</v>
      </c>
    </row>
    <row r="1374" spans="1:24" ht="15.75" thickBot="1">
      <c r="A1374" s="1482"/>
      <c r="B1374" s="1482"/>
      <c r="C1374" s="1483">
        <f t="shared" si="229"/>
        <v>6</v>
      </c>
      <c r="D1374" s="1492">
        <f t="shared" si="230"/>
        <v>11</v>
      </c>
      <c r="E1374" s="1492">
        <f t="shared" si="231"/>
        <v>3</v>
      </c>
      <c r="F1374" s="1484" t="s">
        <v>11708</v>
      </c>
      <c r="H1374" s="823"/>
      <c r="I1374" s="700"/>
      <c r="J1374" s="824"/>
      <c r="K1374" s="790"/>
      <c r="L1374" s="700"/>
      <c r="M1374" s="870"/>
      <c r="N1374" s="399"/>
      <c r="O1374" s="102"/>
      <c r="P1374" s="101"/>
    </row>
    <row r="1375" spans="1:24" ht="16.5" customHeight="1" thickTop="1" thickBot="1">
      <c r="A1375" s="1482"/>
      <c r="B1375" s="1482"/>
      <c r="C1375" s="1483">
        <f t="shared" si="229"/>
        <v>6</v>
      </c>
      <c r="D1375" s="1492">
        <f t="shared" si="230"/>
        <v>11</v>
      </c>
      <c r="E1375" s="1492">
        <f t="shared" si="231"/>
        <v>3</v>
      </c>
      <c r="F1375" s="1484" t="s">
        <v>11708</v>
      </c>
      <c r="H1375" s="1653" t="str">
        <f>"TOTAL ITEM: "&amp;J1369 &amp;K1369</f>
        <v>TOTAL ITEM: 6.11.3 ARBORIZAÇÃO</v>
      </c>
      <c r="I1375" s="1654"/>
      <c r="J1375" s="1654"/>
      <c r="K1375" s="1654"/>
      <c r="L1375" s="1654"/>
      <c r="M1375" s="1654"/>
      <c r="N1375" s="1654"/>
      <c r="O1375" s="1654"/>
      <c r="P1375" s="210">
        <f>SUBTOTAL(9,P1371:P1373)</f>
        <v>0</v>
      </c>
    </row>
    <row r="1376" spans="1:24" s="863" customFormat="1" ht="13.5" thickTop="1">
      <c r="A1376" s="1482"/>
      <c r="B1376" s="1482"/>
      <c r="C1376" s="1483">
        <f t="shared" si="229"/>
        <v>6</v>
      </c>
      <c r="D1376" s="1492">
        <f t="shared" si="230"/>
        <v>11</v>
      </c>
      <c r="E1376" s="1492">
        <f t="shared" si="231"/>
        <v>3</v>
      </c>
      <c r="F1376" s="1484" t="s">
        <v>11708</v>
      </c>
      <c r="G1376" s="862"/>
      <c r="H1376" s="789"/>
      <c r="I1376" s="915"/>
      <c r="J1376" s="1022"/>
      <c r="K1376" s="915"/>
      <c r="L1376" s="816"/>
      <c r="M1376" s="874"/>
      <c r="N1376" s="394"/>
      <c r="O1376" s="98"/>
      <c r="P1376" s="95"/>
      <c r="Q1376" s="1507"/>
      <c r="R1376" s="1525"/>
      <c r="S1376" s="1504"/>
      <c r="V1376" s="1325"/>
      <c r="W1376" s="1325"/>
      <c r="X1376" s="1325"/>
    </row>
    <row r="1377" spans="1:24">
      <c r="A1377" s="1482"/>
      <c r="B1377" s="1482">
        <v>1</v>
      </c>
      <c r="C1377" s="1483">
        <f t="shared" si="229"/>
        <v>6</v>
      </c>
      <c r="D1377" s="1492">
        <f t="shared" si="230"/>
        <v>11</v>
      </c>
      <c r="E1377" s="1492">
        <f t="shared" si="231"/>
        <v>4</v>
      </c>
      <c r="F1377" s="1484" t="s">
        <v>11708</v>
      </c>
      <c r="H1377" s="1514" t="s">
        <v>11703</v>
      </c>
      <c r="I1377" s="1515" t="s">
        <v>64</v>
      </c>
      <c r="J1377" s="1516" t="str">
        <f>CONCATENATE(C1377,".",D1377,".",E1377)</f>
        <v>6.11.4</v>
      </c>
      <c r="K1377" s="1516" t="s">
        <v>12693</v>
      </c>
      <c r="L1377" s="1517" t="s">
        <v>25</v>
      </c>
      <c r="M1377" s="1518" t="s">
        <v>11704</v>
      </c>
      <c r="N1377" s="398" t="s">
        <v>11705</v>
      </c>
      <c r="O1377" s="207" t="s">
        <v>11706</v>
      </c>
      <c r="P1377" s="208" t="s">
        <v>27</v>
      </c>
      <c r="Q1377" s="1472" t="s">
        <v>11704</v>
      </c>
    </row>
    <row r="1378" spans="1:24">
      <c r="A1378" s="1482"/>
      <c r="B1378" s="1482"/>
      <c r="C1378" s="1483">
        <f t="shared" si="229"/>
        <v>6</v>
      </c>
      <c r="D1378" s="1492">
        <f t="shared" si="230"/>
        <v>11</v>
      </c>
      <c r="E1378" s="1492">
        <f t="shared" si="231"/>
        <v>4</v>
      </c>
      <c r="F1378" s="1484" t="s">
        <v>11708</v>
      </c>
      <c r="H1378" s="1095"/>
      <c r="I1378" s="780"/>
      <c r="J1378" s="834"/>
      <c r="K1378" s="780"/>
      <c r="L1378" s="780"/>
      <c r="M1378" s="1270"/>
      <c r="N1378" s="400"/>
      <c r="O1378" s="122"/>
      <c r="P1378" s="123"/>
    </row>
    <row r="1379" spans="1:24">
      <c r="A1379" s="1482"/>
      <c r="B1379" s="1482"/>
      <c r="C1379" s="1483">
        <f t="shared" si="229"/>
        <v>6</v>
      </c>
      <c r="D1379" s="1492">
        <f t="shared" si="230"/>
        <v>11</v>
      </c>
      <c r="E1379" s="1492">
        <f t="shared" si="231"/>
        <v>4</v>
      </c>
      <c r="F1379" s="1484" t="s">
        <v>11708</v>
      </c>
      <c r="G1379" s="968" t="s">
        <v>12092</v>
      </c>
      <c r="H1379" s="823" t="str">
        <f>VLOOKUP(G1379,URBANIZAÇÃO!A:M,2,0)</f>
        <v>SINAPI</v>
      </c>
      <c r="I1379" s="700" t="str">
        <f>VLOOKUP(G1379,URBANIZAÇÃO!A:M,3,0)</f>
        <v>73843/1</v>
      </c>
      <c r="J1379" s="824"/>
      <c r="K1379" s="790" t="str">
        <f>(IF(H1379="Saneago",VLOOKUP(I1379,'SANEAGO-FEV.2016'!A:B,2,0),IF(H1379="Sinapi",VLOOKUP(I1379,'SINAPI-FEV.2017'!A:D,2,0),IF(H1379="Cotação",VLOOKUP(I1379,COTAÇÃO!A:D,2,0),IF(H1379="Composição",VLOOKUP(I1379,COMPOSIÇÃO!A:D,2,0))))))</f>
        <v>MURO DE ARRIMO DE CONCRETO CICLOPICO COM 30% DE PEDRA DE MAO</v>
      </c>
      <c r="L1379" s="700" t="str">
        <f>(IF(H1379="Saneago",VLOOKUP(I1379,'SANEAGO-FEV.2016'!A:D,3,0),IF(H1379="Sinapi",VLOOKUP(I1379,'SINAPI-FEV.2017'!A:D,3,0),IF(H1379="Cotação",VLOOKUP(I1379,COTAÇÃO!A:D,3,0),IF(H1379="Composição",VLOOKUP(I1379,COMPOSIÇÃO!A:D,3,0))))))</f>
        <v>M3</v>
      </c>
      <c r="M1379" s="870">
        <f>ROUND(VLOOKUP(G1379,URBANIZAÇÃO!A:M,13,0),2)</f>
        <v>3.78</v>
      </c>
      <c r="N1379" s="399">
        <v>0</v>
      </c>
      <c r="O1379" s="102">
        <f>ROUND(IF(F1379="Serviços",N1379*(1+$O$7),IF(F1379="Materiais",N1379*(1+$O$8))),2)</f>
        <v>0</v>
      </c>
      <c r="P1379" s="101">
        <f>ROUND(M1379*O1379,2)</f>
        <v>0</v>
      </c>
      <c r="Q1379" s="1472">
        <v>3.78</v>
      </c>
    </row>
    <row r="1380" spans="1:24" ht="15.75" thickBot="1">
      <c r="A1380" s="1482"/>
      <c r="B1380" s="1482"/>
      <c r="C1380" s="1483">
        <f t="shared" si="229"/>
        <v>6</v>
      </c>
      <c r="D1380" s="1492">
        <f t="shared" si="230"/>
        <v>11</v>
      </c>
      <c r="E1380" s="1492">
        <f t="shared" si="231"/>
        <v>4</v>
      </c>
      <c r="F1380" s="1484" t="s">
        <v>11708</v>
      </c>
      <c r="G1380" s="862"/>
      <c r="H1380" s="1095"/>
      <c r="I1380" s="780"/>
      <c r="J1380" s="834"/>
      <c r="K1380" s="780"/>
      <c r="L1380" s="780"/>
      <c r="M1380" s="1270"/>
      <c r="N1380" s="400">
        <v>0</v>
      </c>
      <c r="O1380" s="122"/>
      <c r="P1380" s="123"/>
    </row>
    <row r="1381" spans="1:24" ht="16.5" customHeight="1" thickTop="1" thickBot="1">
      <c r="A1381" s="1482"/>
      <c r="B1381" s="1482"/>
      <c r="C1381" s="1483">
        <f t="shared" si="229"/>
        <v>6</v>
      </c>
      <c r="D1381" s="1492">
        <f t="shared" si="230"/>
        <v>11</v>
      </c>
      <c r="E1381" s="1492">
        <f t="shared" si="231"/>
        <v>4</v>
      </c>
      <c r="F1381" s="1484" t="s">
        <v>11708</v>
      </c>
      <c r="G1381" s="862"/>
      <c r="H1381" s="1653" t="str">
        <f>"TOTAL ITEM: "&amp;J1377 &amp;K1377</f>
        <v>TOTAL ITEM: 6.11.4 MURO DE ARRIMO</v>
      </c>
      <c r="I1381" s="1654"/>
      <c r="J1381" s="1654"/>
      <c r="K1381" s="1654"/>
      <c r="L1381" s="1654"/>
      <c r="M1381" s="1654"/>
      <c r="N1381" s="1654"/>
      <c r="O1381" s="1654"/>
      <c r="P1381" s="210">
        <f>SUBTOTAL(9,P1379:P1379)</f>
        <v>0</v>
      </c>
    </row>
    <row r="1382" spans="1:24" ht="15.75" thickTop="1">
      <c r="A1382" s="1482"/>
      <c r="B1382" s="1482"/>
      <c r="C1382" s="1483">
        <f t="shared" si="229"/>
        <v>6</v>
      </c>
      <c r="D1382" s="1492">
        <f t="shared" si="230"/>
        <v>11</v>
      </c>
      <c r="E1382" s="1492">
        <f t="shared" si="231"/>
        <v>4</v>
      </c>
      <c r="F1382" s="1484" t="s">
        <v>11708</v>
      </c>
      <c r="G1382" s="862"/>
      <c r="H1382" s="1095"/>
      <c r="I1382" s="780"/>
      <c r="J1382" s="834"/>
      <c r="K1382" s="780"/>
      <c r="L1382" s="780"/>
      <c r="M1382" s="1270"/>
      <c r="N1382" s="400"/>
      <c r="O1382" s="122"/>
      <c r="P1382" s="123"/>
    </row>
    <row r="1383" spans="1:24">
      <c r="A1383" s="1482"/>
      <c r="B1383" s="1482">
        <v>1</v>
      </c>
      <c r="C1383" s="1483">
        <f t="shared" si="229"/>
        <v>6</v>
      </c>
      <c r="D1383" s="1492">
        <f t="shared" si="230"/>
        <v>11</v>
      </c>
      <c r="E1383" s="1492">
        <f t="shared" si="231"/>
        <v>5</v>
      </c>
      <c r="F1383" s="1484" t="s">
        <v>11708</v>
      </c>
      <c r="G1383" s="862"/>
      <c r="H1383" s="1514" t="s">
        <v>11703</v>
      </c>
      <c r="I1383" s="1515" t="s">
        <v>64</v>
      </c>
      <c r="J1383" s="1516" t="str">
        <f>CONCATENATE(C1383,".",D1383,".",E1383)</f>
        <v>6.11.5</v>
      </c>
      <c r="K1383" s="1516" t="s">
        <v>11738</v>
      </c>
      <c r="L1383" s="1517" t="s">
        <v>25</v>
      </c>
      <c r="M1383" s="1518" t="s">
        <v>11704</v>
      </c>
      <c r="N1383" s="398" t="s">
        <v>11705</v>
      </c>
      <c r="O1383" s="207" t="s">
        <v>11706</v>
      </c>
      <c r="P1383" s="208" t="s">
        <v>27</v>
      </c>
      <c r="Q1383" s="1472" t="s">
        <v>11704</v>
      </c>
    </row>
    <row r="1384" spans="1:24">
      <c r="A1384" s="1482"/>
      <c r="B1384" s="1482"/>
      <c r="C1384" s="1483">
        <f t="shared" si="229"/>
        <v>6</v>
      </c>
      <c r="D1384" s="1492">
        <f t="shared" si="230"/>
        <v>11</v>
      </c>
      <c r="E1384" s="1492">
        <f t="shared" si="231"/>
        <v>5</v>
      </c>
      <c r="F1384" s="1484" t="s">
        <v>11708</v>
      </c>
      <c r="H1384" s="1095"/>
      <c r="I1384" s="780"/>
      <c r="J1384" s="834"/>
      <c r="K1384" s="780"/>
      <c r="L1384" s="780"/>
      <c r="M1384" s="1270"/>
      <c r="N1384" s="400"/>
      <c r="O1384" s="122"/>
      <c r="P1384" s="123"/>
    </row>
    <row r="1385" spans="1:24">
      <c r="A1385" s="1482"/>
      <c r="B1385" s="1482"/>
      <c r="C1385" s="1483">
        <f t="shared" si="229"/>
        <v>6</v>
      </c>
      <c r="D1385" s="1492">
        <f t="shared" si="230"/>
        <v>11</v>
      </c>
      <c r="E1385" s="1492">
        <f t="shared" si="231"/>
        <v>5</v>
      </c>
      <c r="F1385" s="1484" t="s">
        <v>11708</v>
      </c>
      <c r="G1385" s="968" t="s">
        <v>12094</v>
      </c>
      <c r="H1385" s="823" t="str">
        <f>VLOOKUP(G1385,URBANIZAÇÃO!A:M,2,0)</f>
        <v>Saneago</v>
      </c>
      <c r="I1385" s="700">
        <f>VLOOKUP(G1385,URBANIZAÇÃO!A:M,3,0)</f>
        <v>1496</v>
      </c>
      <c r="J1385" s="824"/>
      <c r="K1385" s="790" t="str">
        <f>(IF(H1385="Saneago",VLOOKUP(I1385,'SANEAGO-FEV.2016'!A:B,2,0),IF(H1385="Sinapi",VLOOKUP(I1385,'SINAPI-FEV.2017'!A:D,2,0),IF(H1385="Cotação",VLOOKUP(I1385,COTAÇÃO!A:D,2,0),IF(H1385="Composição",VLOOKUP(I1385,COMPOSIÇÃO!A:D,2,0))))))</f>
        <v>PORTÃO METÁLICO  PADRÃO SANEAGO PARA CERCA TIPO A:4,00 X 1,80 M</v>
      </c>
      <c r="L1385" s="700" t="str">
        <f>(IF(H1385="Saneago",VLOOKUP(I1385,'SANEAGO-FEV.2016'!A:D,3,0),IF(H1385="Sinapi",VLOOKUP(I1385,'SINAPI-FEV.2017'!A:D,3,0),IF(H1385="Cotação",VLOOKUP(I1385,COTAÇÃO!A:D,3,0),IF(H1385="Composição",VLOOKUP(I1385,COMPOSIÇÃO!A:D,3,0))))))</f>
        <v>UN</v>
      </c>
      <c r="M1385" s="870">
        <f>ROUND(VLOOKUP(G1385,URBANIZAÇÃO!A:M,13,0),2)</f>
        <v>1</v>
      </c>
      <c r="N1385" s="399">
        <v>0</v>
      </c>
      <c r="O1385" s="102">
        <f>ROUND(IF(F1385="Serviços",N1385*(1+$O$7),IF(F1385="Materiais",N1385*(1+$O$8))),2)</f>
        <v>0</v>
      </c>
      <c r="P1385" s="101">
        <f>ROUND(M1385*O1385,2)</f>
        <v>0</v>
      </c>
      <c r="Q1385" s="1472">
        <v>1</v>
      </c>
    </row>
    <row r="1386" spans="1:24">
      <c r="A1386" s="1482"/>
      <c r="B1386" s="1482"/>
      <c r="C1386" s="1483">
        <f t="shared" si="229"/>
        <v>6</v>
      </c>
      <c r="D1386" s="1492">
        <f t="shared" si="230"/>
        <v>11</v>
      </c>
      <c r="E1386" s="1492">
        <f t="shared" si="231"/>
        <v>5</v>
      </c>
      <c r="F1386" s="1484" t="s">
        <v>11708</v>
      </c>
      <c r="G1386" s="968" t="s">
        <v>12095</v>
      </c>
      <c r="H1386" s="823" t="str">
        <f>VLOOKUP(G1386,URBANIZAÇÃO!A:M,2,0)</f>
        <v>Composição</v>
      </c>
      <c r="I1386" s="700" t="str">
        <f>VLOOKUP(G1386,URBANIZAÇÃO!A:M,3,0)</f>
        <v>CP_RN</v>
      </c>
      <c r="J1386" s="824"/>
      <c r="K1386" s="790" t="str">
        <f>(IF(H1386="Saneago",VLOOKUP(I1386,'SANEAGO-FEV.2016'!A:B,2,0),IF(H1386="Sinapi",VLOOKUP(I1386,'SINAPI-FEV.2017'!A:D,2,0),IF(H1386="Cotação",VLOOKUP(I1386,COTAÇÃO!A:D,2,0),IF(H1386="Composição",VLOOKUP(I1386,COMPOSIÇÃO!A:D,2,0))))))</f>
        <v>REFERÊNCIA DE NÍVEL</v>
      </c>
      <c r="L1386" s="700" t="str">
        <f>(IF(H1386="Saneago",VLOOKUP(I1386,'SANEAGO-FEV.2016'!A:D,3,0),IF(H1386="Sinapi",VLOOKUP(I1386,'SINAPI-FEV.2017'!A:D,3,0),IF(H1386="Cotação",VLOOKUP(I1386,COTAÇÃO!A:D,3,0),IF(H1386="Composição",VLOOKUP(I1386,COMPOSIÇÃO!A:D,3,0))))))</f>
        <v>um.</v>
      </c>
      <c r="M1386" s="870">
        <f>ROUND(VLOOKUP(G1386,URBANIZAÇÃO!A:M,13,0),2)</f>
        <v>8</v>
      </c>
      <c r="N1386" s="399">
        <v>0</v>
      </c>
      <c r="O1386" s="102">
        <f>ROUND(IF(F1386="Serviços",N1386*(1+$O$7),IF(F1386="Materiais",N1386*(1+$O$8))),2)</f>
        <v>0</v>
      </c>
      <c r="P1386" s="101">
        <f>ROUND(M1386*O1386,2)</f>
        <v>0</v>
      </c>
      <c r="Q1386" s="1472">
        <v>8</v>
      </c>
    </row>
    <row r="1387" spans="1:24">
      <c r="A1387" s="1482"/>
      <c r="B1387" s="1482"/>
      <c r="C1387" s="1483">
        <f t="shared" si="229"/>
        <v>6</v>
      </c>
      <c r="D1387" s="1492">
        <f t="shared" si="230"/>
        <v>11</v>
      </c>
      <c r="E1387" s="1492">
        <f t="shared" si="231"/>
        <v>5</v>
      </c>
      <c r="F1387" s="1484" t="s">
        <v>11708</v>
      </c>
      <c r="G1387" s="968" t="s">
        <v>12096</v>
      </c>
      <c r="H1387" s="823" t="str">
        <f>VLOOKUP(G1387,URBANIZAÇÃO!A:M,2,0)</f>
        <v>Composição</v>
      </c>
      <c r="I1387" s="700" t="str">
        <f>VLOOKUP(G1387,URBANIZAÇÃO!A:M,3,0)</f>
        <v>CP_TOTEM</v>
      </c>
      <c r="J1387" s="824"/>
      <c r="K1387" s="790" t="str">
        <f>(IF(H1387="Saneago",VLOOKUP(I1387,'SANEAGO-FEV.2016'!A:B,2,0),IF(H1387="Sinapi",VLOOKUP(I1387,'SINAPI-FEV.2017'!A:D,2,0),IF(H1387="Cotação",VLOOKUP(I1387,COTAÇÃO!A:D,2,0),IF(H1387="Composição",VLOOKUP(I1387,COMPOSIÇÃO!A:D,2,0))))))</f>
        <v>MARCO DE IDENTIFICAÇÃO</v>
      </c>
      <c r="L1387" s="700" t="str">
        <f>(IF(H1387="Saneago",VLOOKUP(I1387,'SANEAGO-FEV.2016'!A:D,3,0),IF(H1387="Sinapi",VLOOKUP(I1387,'SINAPI-FEV.2017'!A:D,3,0),IF(H1387="Cotação",VLOOKUP(I1387,COTAÇÃO!A:D,3,0),IF(H1387="Composição",VLOOKUP(I1387,COMPOSIÇÃO!A:D,3,0))))))</f>
        <v>um.</v>
      </c>
      <c r="M1387" s="870">
        <f>ROUND(VLOOKUP(G1387,URBANIZAÇÃO!A:M,13,0),2)</f>
        <v>1</v>
      </c>
      <c r="N1387" s="399">
        <v>0</v>
      </c>
      <c r="O1387" s="102">
        <f>ROUND(IF(F1387="Serviços",N1387*(1+$O$7),IF(F1387="Materiais",N1387*(1+$O$8))),2)</f>
        <v>0</v>
      </c>
      <c r="P1387" s="101">
        <f>ROUND(M1387*O1387,2)</f>
        <v>0</v>
      </c>
      <c r="Q1387" s="1472">
        <v>1</v>
      </c>
    </row>
    <row r="1388" spans="1:24" ht="15.75" thickBot="1">
      <c r="A1388" s="1482"/>
      <c r="B1388" s="1482"/>
      <c r="C1388" s="1483">
        <f t="shared" si="229"/>
        <v>6</v>
      </c>
      <c r="D1388" s="1492">
        <f t="shared" si="230"/>
        <v>11</v>
      </c>
      <c r="E1388" s="1492">
        <f t="shared" si="231"/>
        <v>5</v>
      </c>
      <c r="F1388" s="1484" t="s">
        <v>11708</v>
      </c>
      <c r="H1388" s="1095"/>
      <c r="I1388" s="780"/>
      <c r="J1388" s="834"/>
      <c r="K1388" s="780"/>
      <c r="L1388" s="780"/>
      <c r="M1388" s="1270"/>
      <c r="N1388" s="400"/>
      <c r="O1388" s="122"/>
      <c r="P1388" s="123"/>
    </row>
    <row r="1389" spans="1:24" ht="16.5" customHeight="1" thickTop="1" thickBot="1">
      <c r="A1389" s="1482"/>
      <c r="B1389" s="1482"/>
      <c r="C1389" s="1483">
        <f>C1388</f>
        <v>6</v>
      </c>
      <c r="D1389" s="1492">
        <f>D1388+B1389</f>
        <v>11</v>
      </c>
      <c r="E1389" s="1492">
        <f>E1388+B1389</f>
        <v>5</v>
      </c>
      <c r="F1389" s="1484" t="s">
        <v>11708</v>
      </c>
      <c r="H1389" s="1653" t="str">
        <f>"TOTAL ITEM: "&amp;J1383 &amp;K1383</f>
        <v>TOTAL ITEM: 6.11.5 DIVERSOS</v>
      </c>
      <c r="I1389" s="1654"/>
      <c r="J1389" s="1654"/>
      <c r="K1389" s="1654"/>
      <c r="L1389" s="1654"/>
      <c r="M1389" s="1654"/>
      <c r="N1389" s="1654"/>
      <c r="O1389" s="1654"/>
      <c r="P1389" s="210">
        <f>SUBTOTAL(9,P1385:P1387)</f>
        <v>0</v>
      </c>
    </row>
    <row r="1390" spans="1:24" ht="16.5" thickTop="1" thickBot="1">
      <c r="A1390" s="1482"/>
      <c r="B1390" s="1482"/>
      <c r="C1390" s="1483"/>
      <c r="D1390" s="1483"/>
      <c r="E1390" s="1492"/>
      <c r="F1390" s="1484"/>
      <c r="G1390" s="921"/>
      <c r="H1390" s="1095"/>
      <c r="I1390" s="780"/>
      <c r="J1390" s="834"/>
      <c r="K1390" s="780"/>
      <c r="L1390" s="780"/>
      <c r="M1390" s="1270"/>
      <c r="N1390" s="400"/>
      <c r="O1390" s="122"/>
      <c r="P1390" s="123"/>
    </row>
    <row r="1391" spans="1:24" s="777" customFormat="1" ht="14.25" thickTop="1" thickBot="1">
      <c r="A1391" s="1482"/>
      <c r="B1391" s="1482"/>
      <c r="C1391" s="1483"/>
      <c r="D1391" s="1483"/>
      <c r="E1391" s="1492"/>
      <c r="F1391" s="1484" t="s">
        <v>11724</v>
      </c>
      <c r="G1391" s="921"/>
      <c r="H1391" s="1493" t="s">
        <v>11633</v>
      </c>
      <c r="I1391" s="1584" t="s">
        <v>11721</v>
      </c>
      <c r="J1391" s="1584"/>
      <c r="K1391" s="1584"/>
      <c r="L1391" s="1494"/>
      <c r="M1391" s="1495"/>
      <c r="N1391" s="395"/>
      <c r="O1391" s="96" t="s">
        <v>78</v>
      </c>
      <c r="P1391" s="97">
        <f>SUBTOTAL(9,P1393:P1957)</f>
        <v>0</v>
      </c>
      <c r="Q1391" s="1496"/>
      <c r="R1391" s="1497"/>
      <c r="S1391" s="1481"/>
      <c r="V1391" s="1487"/>
      <c r="W1391" s="1475"/>
      <c r="X1391" s="1475"/>
    </row>
    <row r="1392" spans="1:24" s="863" customFormat="1" ht="14.25" thickTop="1" thickBot="1">
      <c r="A1392" s="1325"/>
      <c r="B1392" s="1325"/>
      <c r="C1392" s="1552"/>
      <c r="D1392" s="1552"/>
      <c r="E1392" s="1553"/>
      <c r="F1392" s="1526"/>
      <c r="G1392" s="921"/>
      <c r="H1392" s="878"/>
      <c r="I1392" s="915"/>
      <c r="J1392" s="1022"/>
      <c r="K1392" s="915"/>
      <c r="L1392" s="816"/>
      <c r="M1392" s="874"/>
      <c r="N1392" s="394"/>
      <c r="O1392" s="98"/>
      <c r="P1392" s="95"/>
      <c r="Q1392" s="1507"/>
      <c r="R1392" s="1525"/>
      <c r="S1392" s="1504"/>
      <c r="V1392" s="1509"/>
      <c r="W1392" s="1325"/>
      <c r="X1392" s="1325"/>
    </row>
    <row r="1393" spans="1:24" s="1565" customFormat="1" ht="14.25" customHeight="1" thickTop="1" thickBot="1">
      <c r="A1393" s="1554"/>
      <c r="B1393" s="1554"/>
      <c r="C1393" s="1555">
        <v>1</v>
      </c>
      <c r="D1393" s="1556">
        <v>0</v>
      </c>
      <c r="E1393" s="1556"/>
      <c r="F1393" s="1557" t="s">
        <v>11724</v>
      </c>
      <c r="G1393" s="1558"/>
      <c r="H1393" s="1559">
        <v>1</v>
      </c>
      <c r="I1393" s="1643" t="s">
        <v>14634</v>
      </c>
      <c r="J1393" s="1643"/>
      <c r="K1393" s="1643"/>
      <c r="L1393" s="1643"/>
      <c r="M1393" s="1643"/>
      <c r="N1393" s="1643"/>
      <c r="O1393" s="345" t="s">
        <v>11702</v>
      </c>
      <c r="P1393" s="346">
        <f>SUBTOTAL(9,P1395:P1415)</f>
        <v>0</v>
      </c>
      <c r="Q1393" s="1562"/>
      <c r="R1393" s="1563"/>
      <c r="S1393" s="1564"/>
      <c r="V1393" s="1566"/>
      <c r="W1393" s="1554"/>
      <c r="X1393" s="1554"/>
    </row>
    <row r="1394" spans="1:24" s="863" customFormat="1" ht="14.25" thickTop="1" thickBot="1">
      <c r="A1394" s="1325"/>
      <c r="B1394" s="1325"/>
      <c r="C1394" s="1555">
        <f>C1393</f>
        <v>1</v>
      </c>
      <c r="D1394" s="1556">
        <v>0</v>
      </c>
      <c r="E1394" s="1556"/>
      <c r="F1394" s="1557" t="s">
        <v>11724</v>
      </c>
      <c r="G1394" s="921"/>
      <c r="H1394" s="878"/>
      <c r="I1394" s="915"/>
      <c r="J1394" s="1022"/>
      <c r="K1394" s="915"/>
      <c r="L1394" s="816"/>
      <c r="M1394" s="874"/>
      <c r="N1394" s="394"/>
      <c r="O1394" s="98"/>
      <c r="P1394" s="95"/>
      <c r="Q1394" s="1507"/>
      <c r="R1394" s="1525"/>
      <c r="S1394" s="1504"/>
      <c r="V1394" s="1509"/>
      <c r="W1394" s="1325"/>
      <c r="X1394" s="1325"/>
    </row>
    <row r="1395" spans="1:24" s="1565" customFormat="1" ht="14.25" customHeight="1" thickTop="1" thickBot="1">
      <c r="A1395" s="1554"/>
      <c r="B1395" s="1554"/>
      <c r="C1395" s="1555">
        <f t="shared" ref="C1395:C1458" si="237">C1394</f>
        <v>1</v>
      </c>
      <c r="D1395" s="1556">
        <v>1</v>
      </c>
      <c r="E1395" s="1556"/>
      <c r="F1395" s="1557" t="s">
        <v>11724</v>
      </c>
      <c r="G1395" s="1558"/>
      <c r="H1395" s="1510" t="str">
        <f>CONCATENATE(C1395,".",D1395)</f>
        <v>1.1</v>
      </c>
      <c r="I1395" s="1644" t="s">
        <v>14259</v>
      </c>
      <c r="J1395" s="1644"/>
      <c r="K1395" s="1644"/>
      <c r="L1395" s="1511" t="s">
        <v>25</v>
      </c>
      <c r="M1395" s="1512" t="s">
        <v>11704</v>
      </c>
      <c r="N1395" s="397" t="s">
        <v>11705</v>
      </c>
      <c r="O1395" s="339" t="s">
        <v>11706</v>
      </c>
      <c r="P1395" s="340">
        <f>SUBTOTAL(9,P1398:P1415)</f>
        <v>0</v>
      </c>
      <c r="Q1395" s="1562" t="s">
        <v>11704</v>
      </c>
      <c r="R1395" s="1563"/>
      <c r="S1395" s="1564"/>
      <c r="V1395" s="1566"/>
      <c r="W1395" s="1554"/>
      <c r="X1395" s="1554"/>
    </row>
    <row r="1396" spans="1:24" s="1565" customFormat="1" ht="13.5" thickTop="1">
      <c r="A1396" s="1554"/>
      <c r="B1396" s="1554"/>
      <c r="C1396" s="1555">
        <f t="shared" si="237"/>
        <v>1</v>
      </c>
      <c r="D1396" s="1556">
        <v>1</v>
      </c>
      <c r="E1396" s="1556"/>
      <c r="F1396" s="1557" t="s">
        <v>11724</v>
      </c>
      <c r="G1396" s="1558"/>
      <c r="H1396" s="823"/>
      <c r="I1396" s="700"/>
      <c r="J1396" s="824"/>
      <c r="K1396" s="915"/>
      <c r="L1396" s="700"/>
      <c r="M1396" s="870"/>
      <c r="N1396" s="399"/>
      <c r="O1396" s="344"/>
      <c r="P1396" s="342"/>
      <c r="Q1396" s="1562"/>
      <c r="R1396" s="1563"/>
      <c r="S1396" s="1564"/>
      <c r="V1396" s="1566"/>
      <c r="W1396" s="1554"/>
      <c r="X1396" s="1554"/>
    </row>
    <row r="1397" spans="1:24" s="1565" customFormat="1" ht="12.75" hidden="1" customHeight="1">
      <c r="A1397" s="1554"/>
      <c r="B1397" s="1554"/>
      <c r="C1397" s="1555">
        <f t="shared" si="237"/>
        <v>1</v>
      </c>
      <c r="D1397" s="1556">
        <v>1</v>
      </c>
      <c r="E1397" s="1556"/>
      <c r="F1397" s="1557" t="s">
        <v>11724</v>
      </c>
      <c r="G1397" s="1558"/>
      <c r="H1397" s="823"/>
      <c r="I1397" s="700"/>
      <c r="J1397" s="824"/>
      <c r="K1397" s="915" t="s">
        <v>14260</v>
      </c>
      <c r="L1397" s="700"/>
      <c r="M1397" s="870"/>
      <c r="N1397" s="399"/>
      <c r="O1397" s="344"/>
      <c r="P1397" s="342"/>
      <c r="Q1397" s="1562"/>
      <c r="R1397" s="1563"/>
      <c r="S1397" s="1564"/>
      <c r="V1397" s="1566"/>
      <c r="W1397" s="1554"/>
      <c r="X1397" s="1554"/>
    </row>
    <row r="1398" spans="1:24" s="1565" customFormat="1" ht="12.75" hidden="1" customHeight="1">
      <c r="A1398" s="1554"/>
      <c r="B1398" s="1554"/>
      <c r="C1398" s="1555">
        <f t="shared" si="237"/>
        <v>1</v>
      </c>
      <c r="D1398" s="1556">
        <v>1</v>
      </c>
      <c r="E1398" s="1556"/>
      <c r="F1398" s="1557" t="s">
        <v>11724</v>
      </c>
      <c r="G1398" s="1558"/>
      <c r="H1398" s="823" t="s">
        <v>70</v>
      </c>
      <c r="I1398" s="700">
        <v>41934</v>
      </c>
      <c r="J1398" s="824"/>
      <c r="K1398" s="790" t="str">
        <f>(IF(H1398="Saneago",VLOOKUP(I1398,'SANEAGO-FEV.2016'!A:B,2,0),IF(H1398="Sinapi",VLOOKUP(I1398,'SINAPI-FEV.2017'!A:D,2,0),IF(H1398="Cotação",VLOOKUP(I1398,COTAÇÃO!A:D,2,0),IF(H1398="Composição",VLOOKUP(I1398,COMPOSIÇÃO!A:D,2,0))))))</f>
        <v>TUBO COLETOR DE ESGOTO PVC, JEI, DN 400 MM (NBR 7362)</v>
      </c>
      <c r="L1398" s="700" t="str">
        <f>(IF(H1398="Saneago",VLOOKUP(I1398,'SANEAGO-FEV.2016'!A:D,3,0),IF(H1398="Sinapi",VLOOKUP(I1398,'SINAPI-FEV.2017'!A:D,3,0),IF(H1398="Cotação",VLOOKUP(I1398,COTAÇÃO!A:D,3,0),IF(H1398="Composição",VLOOKUP(I1398,COMPOSIÇÃO!A:D,3,0))))))</f>
        <v>M</v>
      </c>
      <c r="M1398" s="870"/>
      <c r="N1398" s="399">
        <f>(IF(H1398="Saneago",VLOOKUP(I1398,'SANEAGO-FEV.2016'!A:D,4,0),IF(H1398="Sinapi",VLOOKUP(I1398,'SINAPI-FEV.2017'!A:D,4,0),IF(H1398="Cotação",VLOOKUP(I1398,COTAÇÃO!A:D,4,0),IF(H1398="Composição",VLOOKUP(I1398,COMPOSIÇÃO!A:D,4,0))))))</f>
        <v>220.35</v>
      </c>
      <c r="O1398" s="102">
        <f>ROUND(IF(F1398="Serviços",N1398*(1+$O$7),IF(F1398="Materiais",N1398*(1+$O$8))),2)</f>
        <v>247.85</v>
      </c>
      <c r="P1398" s="101">
        <f>ROUND(M1398*O1398,2)</f>
        <v>0</v>
      </c>
      <c r="Q1398" s="1562"/>
      <c r="R1398" s="1563"/>
      <c r="S1398" s="1564"/>
      <c r="V1398" s="1566"/>
      <c r="W1398" s="1554"/>
      <c r="X1398" s="1554"/>
    </row>
    <row r="1399" spans="1:24" s="1565" customFormat="1" ht="12.75">
      <c r="A1399" s="1554"/>
      <c r="B1399" s="1554"/>
      <c r="C1399" s="1555">
        <f t="shared" si="237"/>
        <v>1</v>
      </c>
      <c r="D1399" s="1556">
        <v>1</v>
      </c>
      <c r="E1399" s="1556"/>
      <c r="F1399" s="1557" t="s">
        <v>11724</v>
      </c>
      <c r="G1399" s="1558"/>
      <c r="H1399" s="823"/>
      <c r="I1399" s="700"/>
      <c r="J1399" s="824"/>
      <c r="K1399" s="915" t="s">
        <v>14261</v>
      </c>
      <c r="L1399" s="700"/>
      <c r="M1399" s="870"/>
      <c r="N1399" s="399"/>
      <c r="O1399" s="344"/>
      <c r="P1399" s="342"/>
      <c r="Q1399" s="1562"/>
      <c r="R1399" s="1563"/>
      <c r="S1399" s="1564"/>
      <c r="V1399" s="1566"/>
      <c r="W1399" s="1554"/>
      <c r="X1399" s="1554"/>
    </row>
    <row r="1400" spans="1:24" s="1565" customFormat="1" ht="12.75">
      <c r="A1400" s="1554"/>
      <c r="B1400" s="1554"/>
      <c r="C1400" s="1555">
        <f t="shared" si="237"/>
        <v>1</v>
      </c>
      <c r="D1400" s="1556">
        <v>1</v>
      </c>
      <c r="E1400" s="1556"/>
      <c r="F1400" s="1557" t="s">
        <v>11724</v>
      </c>
      <c r="G1400" s="1558"/>
      <c r="H1400" s="823" t="s">
        <v>11722</v>
      </c>
      <c r="I1400" s="700" t="s">
        <v>14186</v>
      </c>
      <c r="J1400" s="824"/>
      <c r="K1400" s="790" t="str">
        <f>(IF(H1400="Saneago",VLOOKUP(I1400,'SANEAGO-FEV.2016'!A:B,2,0),IF(H1400="Sinapi",VLOOKUP(I1400,'SINAPI-FEV.2017'!A:D,2,0),IF(H1400="Cotação",VLOOKUP(I1400,COTAÇÃO!A:D,2,0),IF(H1400="Composição",VLOOKUP(I1400,COMPOSIÇÃO!A:D,2,0))))))</f>
        <v>Tubo com ponta e Bolsa em Fº Dúctil/Esgoto, classe K-7, JGS, DN 400, L=6,0 m</v>
      </c>
      <c r="L1400" s="700" t="str">
        <f>(IF(H1400="Saneago",VLOOKUP(I1400,'SANEAGO-FEV.2016'!A:D,3,0),IF(H1400="Sinapi",VLOOKUP(I1400,'SINAPI-FEV.2017'!A:D,3,0),IF(H1400="Cotação",VLOOKUP(I1400,COTAÇÃO!A:D,3,0),IF(H1400="Composição",VLOOKUP(I1400,COMPOSIÇÃO!A:D,3,0))))))</f>
        <v>un</v>
      </c>
      <c r="M1400" s="870">
        <v>10</v>
      </c>
      <c r="N1400" s="399">
        <v>0</v>
      </c>
      <c r="O1400" s="102">
        <f t="shared" ref="O1400:O1408" si="238">ROUND(IF(F1400="Serviços",N1400*(1+$O$7),IF(F1400="Materiais",N1400*(1+$O$8))),2)</f>
        <v>0</v>
      </c>
      <c r="P1400" s="101">
        <f t="shared" ref="P1400:P1408" si="239">ROUND(M1400*O1400,2)</f>
        <v>0</v>
      </c>
      <c r="Q1400" s="1562">
        <v>10</v>
      </c>
      <c r="R1400" s="1563"/>
      <c r="S1400" s="1564"/>
      <c r="V1400" s="1566"/>
      <c r="W1400" s="1554"/>
      <c r="X1400" s="1554"/>
    </row>
    <row r="1401" spans="1:24" s="1565" customFormat="1" ht="12.75">
      <c r="A1401" s="1554"/>
      <c r="B1401" s="1554"/>
      <c r="C1401" s="1555">
        <f t="shared" si="237"/>
        <v>1</v>
      </c>
      <c r="D1401" s="1556">
        <v>1</v>
      </c>
      <c r="E1401" s="1556"/>
      <c r="F1401" s="1557" t="s">
        <v>11724</v>
      </c>
      <c r="G1401" s="1558"/>
      <c r="H1401" s="823" t="s">
        <v>11722</v>
      </c>
      <c r="I1401" s="700" t="s">
        <v>14183</v>
      </c>
      <c r="J1401" s="824"/>
      <c r="K1401" s="790" t="str">
        <f>(IF(H1401="Saneago",VLOOKUP(I1401,'SANEAGO-FEV.2016'!A:B,2,0),IF(H1401="Sinapi",VLOOKUP(I1401,'SINAPI-FEV.2017'!A:D,2,0),IF(H1401="Cotação",VLOOKUP(I1401,COTAÇÃO!A:D,2,0),IF(H1401="Composição",VLOOKUP(I1401,COMPOSIÇÃO!A:D,2,0))))))</f>
        <v>Tubo com ponta e Bolsa em Fº Dúctil/Esgoto, classe K-7, JGS, DN 400, L=1,40 m</v>
      </c>
      <c r="L1401" s="700" t="str">
        <f>(IF(H1401="Saneago",VLOOKUP(I1401,'SANEAGO-FEV.2016'!A:D,3,0),IF(H1401="Sinapi",VLOOKUP(I1401,'SINAPI-FEV.2017'!A:D,3,0),IF(H1401="Cotação",VLOOKUP(I1401,COTAÇÃO!A:D,3,0),IF(H1401="Composição",VLOOKUP(I1401,COMPOSIÇÃO!A:D,3,0))))))</f>
        <v>un</v>
      </c>
      <c r="M1401" s="870">
        <v>1</v>
      </c>
      <c r="N1401" s="399">
        <v>0</v>
      </c>
      <c r="O1401" s="102">
        <f t="shared" si="238"/>
        <v>0</v>
      </c>
      <c r="P1401" s="101">
        <f t="shared" si="239"/>
        <v>0</v>
      </c>
      <c r="Q1401" s="1562">
        <v>1</v>
      </c>
      <c r="R1401" s="1563"/>
      <c r="S1401" s="1564"/>
      <c r="V1401" s="1566"/>
      <c r="W1401" s="1554"/>
      <c r="X1401" s="1554"/>
    </row>
    <row r="1402" spans="1:24" s="1565" customFormat="1" ht="12.75">
      <c r="A1402" s="1554"/>
      <c r="B1402" s="1554"/>
      <c r="C1402" s="1555">
        <f t="shared" si="237"/>
        <v>1</v>
      </c>
      <c r="D1402" s="1556">
        <v>1</v>
      </c>
      <c r="E1402" s="1556"/>
      <c r="F1402" s="1557" t="s">
        <v>11724</v>
      </c>
      <c r="G1402" s="1558"/>
      <c r="H1402" s="823" t="s">
        <v>11722</v>
      </c>
      <c r="I1402" s="700" t="s">
        <v>14184</v>
      </c>
      <c r="J1402" s="824"/>
      <c r="K1402" s="790" t="str">
        <f>(IF(H1402="Saneago",VLOOKUP(I1402,'SANEAGO-FEV.2016'!A:B,2,0),IF(H1402="Sinapi",VLOOKUP(I1402,'SINAPI-FEV.2017'!A:D,2,0),IF(H1402="Cotação",VLOOKUP(I1402,COTAÇÃO!A:D,2,0),IF(H1402="Composição",VLOOKUP(I1402,COMPOSIÇÃO!A:D,2,0))))))</f>
        <v>Tubo com ponta e Bolsa em Fº Dúctil/Esgoto, classe K-7, JGS, DN 400, L=2,60 m</v>
      </c>
      <c r="L1402" s="700" t="str">
        <f>(IF(H1402="Saneago",VLOOKUP(I1402,'SANEAGO-FEV.2016'!A:D,3,0),IF(H1402="Sinapi",VLOOKUP(I1402,'SINAPI-FEV.2017'!A:D,3,0),IF(H1402="Cotação",VLOOKUP(I1402,COTAÇÃO!A:D,3,0),IF(H1402="Composição",VLOOKUP(I1402,COMPOSIÇÃO!A:D,3,0))))))</f>
        <v>un</v>
      </c>
      <c r="M1402" s="870">
        <v>1</v>
      </c>
      <c r="N1402" s="399">
        <v>0</v>
      </c>
      <c r="O1402" s="102">
        <f t="shared" si="238"/>
        <v>0</v>
      </c>
      <c r="P1402" s="101">
        <f t="shared" si="239"/>
        <v>0</v>
      </c>
      <c r="Q1402" s="1562">
        <v>1</v>
      </c>
      <c r="R1402" s="1563"/>
      <c r="S1402" s="1564"/>
      <c r="V1402" s="1566"/>
      <c r="W1402" s="1554"/>
      <c r="X1402" s="1554"/>
    </row>
    <row r="1403" spans="1:24" s="1565" customFormat="1" ht="12.75">
      <c r="A1403" s="1554"/>
      <c r="B1403" s="1554"/>
      <c r="C1403" s="1555">
        <f t="shared" si="237"/>
        <v>1</v>
      </c>
      <c r="D1403" s="1556">
        <v>1</v>
      </c>
      <c r="E1403" s="1556"/>
      <c r="F1403" s="1557" t="s">
        <v>11724</v>
      </c>
      <c r="G1403" s="1558"/>
      <c r="H1403" s="823" t="s">
        <v>11722</v>
      </c>
      <c r="I1403" s="700" t="s">
        <v>14185</v>
      </c>
      <c r="J1403" s="824"/>
      <c r="K1403" s="790" t="str">
        <f>(IF(H1403="Saneago",VLOOKUP(I1403,'SANEAGO-FEV.2016'!A:B,2,0),IF(H1403="Sinapi",VLOOKUP(I1403,'SINAPI-FEV.2017'!A:D,2,0),IF(H1403="Cotação",VLOOKUP(I1403,COTAÇÃO!A:D,2,0),IF(H1403="Composição",VLOOKUP(I1403,COMPOSIÇÃO!A:D,2,0))))))</f>
        <v>Tubo com ponta e Bolsa em Fº Dúctil/Esgoto, classe K-7, JGS, DN 400, L=5,05 m</v>
      </c>
      <c r="L1403" s="700" t="str">
        <f>(IF(H1403="Saneago",VLOOKUP(I1403,'SANEAGO-FEV.2016'!A:D,3,0),IF(H1403="Sinapi",VLOOKUP(I1403,'SINAPI-FEV.2017'!A:D,3,0),IF(H1403="Cotação",VLOOKUP(I1403,COTAÇÃO!A:D,3,0),IF(H1403="Composição",VLOOKUP(I1403,COMPOSIÇÃO!A:D,3,0))))))</f>
        <v>un</v>
      </c>
      <c r="M1403" s="870">
        <v>1</v>
      </c>
      <c r="N1403" s="399">
        <v>0</v>
      </c>
      <c r="O1403" s="102">
        <f t="shared" si="238"/>
        <v>0</v>
      </c>
      <c r="P1403" s="101">
        <f t="shared" si="239"/>
        <v>0</v>
      </c>
      <c r="Q1403" s="1562">
        <v>1</v>
      </c>
      <c r="R1403" s="1563"/>
      <c r="S1403" s="1564"/>
      <c r="V1403" s="1566"/>
      <c r="W1403" s="1554"/>
      <c r="X1403" s="1554"/>
    </row>
    <row r="1404" spans="1:24" s="1565" customFormat="1" ht="12.75">
      <c r="A1404" s="1554"/>
      <c r="B1404" s="1554"/>
      <c r="C1404" s="1555">
        <f t="shared" si="237"/>
        <v>1</v>
      </c>
      <c r="D1404" s="1556">
        <v>1</v>
      </c>
      <c r="E1404" s="1556"/>
      <c r="F1404" s="1557" t="s">
        <v>11724</v>
      </c>
      <c r="G1404" s="1558"/>
      <c r="H1404" s="823" t="s">
        <v>11722</v>
      </c>
      <c r="I1404" s="700" t="s">
        <v>14189</v>
      </c>
      <c r="J1404" s="824"/>
      <c r="K1404" s="790" t="str">
        <f>(IF(H1404="Saneago",VLOOKUP(I1404,'SANEAGO-FEV.2016'!A:B,2,0),IF(H1404="Sinapi",VLOOKUP(I1404,'SINAPI-FEV.2017'!A:D,2,0),IF(H1404="Cotação",VLOOKUP(I1404,COTAÇÃO!A:D,2,0),IF(H1404="Composição",VLOOKUP(I1404,COMPOSIÇÃO!A:D,2,0))))))</f>
        <v>Tubo com pontas em Fº Dúctil/Esgoto, classe K-7, DN 400, L=4,60 m</v>
      </c>
      <c r="L1404" s="700" t="str">
        <f>(IF(H1404="Saneago",VLOOKUP(I1404,'SANEAGO-FEV.2016'!A:D,3,0),IF(H1404="Sinapi",VLOOKUP(I1404,'SINAPI-FEV.2017'!A:D,3,0),IF(H1404="Cotação",VLOOKUP(I1404,COTAÇÃO!A:D,3,0),IF(H1404="Composição",VLOOKUP(I1404,COMPOSIÇÃO!A:D,3,0))))))</f>
        <v>un</v>
      </c>
      <c r="M1404" s="870">
        <v>1</v>
      </c>
      <c r="N1404" s="399">
        <v>0</v>
      </c>
      <c r="O1404" s="102">
        <f t="shared" si="238"/>
        <v>0</v>
      </c>
      <c r="P1404" s="101">
        <f t="shared" si="239"/>
        <v>0</v>
      </c>
      <c r="Q1404" s="1562">
        <v>1</v>
      </c>
      <c r="R1404" s="1563"/>
      <c r="S1404" s="1564"/>
      <c r="V1404" s="1566"/>
      <c r="W1404" s="1554"/>
      <c r="X1404" s="1554"/>
    </row>
    <row r="1405" spans="1:24" s="1565" customFormat="1" ht="12.75">
      <c r="A1405" s="1554"/>
      <c r="B1405" s="1554"/>
      <c r="C1405" s="1555">
        <f t="shared" si="237"/>
        <v>1</v>
      </c>
      <c r="D1405" s="1556">
        <v>1</v>
      </c>
      <c r="E1405" s="1556"/>
      <c r="F1405" s="1557" t="s">
        <v>11724</v>
      </c>
      <c r="G1405" s="1558"/>
      <c r="H1405" s="823" t="s">
        <v>11722</v>
      </c>
      <c r="I1405" s="700" t="s">
        <v>14188</v>
      </c>
      <c r="J1405" s="824"/>
      <c r="K1405" s="790" t="str">
        <f>(IF(H1405="Saneago",VLOOKUP(I1405,'SANEAGO-FEV.2016'!A:B,2,0),IF(H1405="Sinapi",VLOOKUP(I1405,'SINAPI-FEV.2017'!A:D,2,0),IF(H1405="Cotação",VLOOKUP(I1405,COTAÇÃO!A:D,2,0),IF(H1405="Composição",VLOOKUP(I1405,COMPOSIÇÃO!A:D,2,0))))))</f>
        <v>Tubo com pontas em Fº Dúctil/Esgoto, classe K-7, DN 400, L=3,40 m</v>
      </c>
      <c r="L1405" s="700" t="str">
        <f>(IF(H1405="Saneago",VLOOKUP(I1405,'SANEAGO-FEV.2016'!A:D,3,0),IF(H1405="Sinapi",VLOOKUP(I1405,'SINAPI-FEV.2017'!A:D,3,0),IF(H1405="Cotação",VLOOKUP(I1405,COTAÇÃO!A:D,3,0),IF(H1405="Composição",VLOOKUP(I1405,COMPOSIÇÃO!A:D,3,0))))))</f>
        <v>un</v>
      </c>
      <c r="M1405" s="870">
        <v>1</v>
      </c>
      <c r="N1405" s="399">
        <v>0</v>
      </c>
      <c r="O1405" s="102">
        <f t="shared" si="238"/>
        <v>0</v>
      </c>
      <c r="P1405" s="101">
        <f t="shared" si="239"/>
        <v>0</v>
      </c>
      <c r="Q1405" s="1562">
        <v>1</v>
      </c>
      <c r="R1405" s="1563"/>
      <c r="S1405" s="1564"/>
      <c r="V1405" s="1566"/>
      <c r="W1405" s="1554"/>
      <c r="X1405" s="1554"/>
    </row>
    <row r="1406" spans="1:24" s="1565" customFormat="1" ht="12.75">
      <c r="A1406" s="1554"/>
      <c r="B1406" s="1554"/>
      <c r="C1406" s="1555">
        <f t="shared" si="237"/>
        <v>1</v>
      </c>
      <c r="D1406" s="1556">
        <v>1</v>
      </c>
      <c r="E1406" s="1556"/>
      <c r="F1406" s="1557" t="s">
        <v>11724</v>
      </c>
      <c r="G1406" s="1558"/>
      <c r="H1406" s="823" t="s">
        <v>11722</v>
      </c>
      <c r="I1406" s="700" t="s">
        <v>14187</v>
      </c>
      <c r="J1406" s="824"/>
      <c r="K1406" s="790" t="str">
        <f>(IF(H1406="Saneago",VLOOKUP(I1406,'SANEAGO-FEV.2016'!A:B,2,0),IF(H1406="Sinapi",VLOOKUP(I1406,'SINAPI-FEV.2017'!A:D,2,0),IF(H1406="Cotação",VLOOKUP(I1406,COTAÇÃO!A:D,2,0),IF(H1406="Composição",VLOOKUP(I1406,COMPOSIÇÃO!A:D,2,0))))))</f>
        <v>Tubo com pontas em Fº Dúctil/Esgoto, classe K-7, DN 400, L=1,55 m</v>
      </c>
      <c r="L1406" s="700" t="str">
        <f>(IF(H1406="Saneago",VLOOKUP(I1406,'SANEAGO-FEV.2016'!A:D,3,0),IF(H1406="Sinapi",VLOOKUP(I1406,'SINAPI-FEV.2017'!A:D,3,0),IF(H1406="Cotação",VLOOKUP(I1406,COTAÇÃO!A:D,3,0),IF(H1406="Composição",VLOOKUP(I1406,COMPOSIÇÃO!A:D,3,0))))))</f>
        <v>un</v>
      </c>
      <c r="M1406" s="870">
        <v>1</v>
      </c>
      <c r="N1406" s="399">
        <v>0</v>
      </c>
      <c r="O1406" s="102">
        <f t="shared" si="238"/>
        <v>0</v>
      </c>
      <c r="P1406" s="101">
        <f t="shared" si="239"/>
        <v>0</v>
      </c>
      <c r="Q1406" s="1562">
        <v>1</v>
      </c>
      <c r="R1406" s="1563"/>
      <c r="S1406" s="1564"/>
      <c r="V1406" s="1566"/>
      <c r="W1406" s="1554"/>
      <c r="X1406" s="1554"/>
    </row>
    <row r="1407" spans="1:24" s="1565" customFormat="1" ht="12.75">
      <c r="A1407" s="1554"/>
      <c r="B1407" s="1554"/>
      <c r="C1407" s="1555">
        <f t="shared" si="237"/>
        <v>1</v>
      </c>
      <c r="D1407" s="1556">
        <v>1</v>
      </c>
      <c r="E1407" s="1556"/>
      <c r="F1407" s="1557" t="s">
        <v>11724</v>
      </c>
      <c r="G1407" s="1558"/>
      <c r="H1407" s="823" t="s">
        <v>11722</v>
      </c>
      <c r="I1407" s="700" t="s">
        <v>14182</v>
      </c>
      <c r="J1407" s="824"/>
      <c r="K1407" s="790" t="str">
        <f>(IF(H1407="Saneago",VLOOKUP(I1407,'SANEAGO-FEV.2016'!A:B,2,0),IF(H1407="Sinapi",VLOOKUP(I1407,'SINAPI-FEV.2017'!A:D,2,0),IF(H1407="Cotação",VLOOKUP(I1407,COTAÇÃO!A:D,2,0),IF(H1407="Composição",VLOOKUP(I1407,COMPOSIÇÃO!A:D,2,0))))))</f>
        <v>Junta Gibault em Fº Dúctil/Esgoto, JGS, DN 400</v>
      </c>
      <c r="L1407" s="700" t="str">
        <f>(IF(H1407="Saneago",VLOOKUP(I1407,'SANEAGO-FEV.2016'!A:D,3,0),IF(H1407="Sinapi",VLOOKUP(I1407,'SINAPI-FEV.2017'!A:D,3,0),IF(H1407="Cotação",VLOOKUP(I1407,COTAÇÃO!A:D,3,0),IF(H1407="Composição",VLOOKUP(I1407,COMPOSIÇÃO!A:D,3,0))))))</f>
        <v>un</v>
      </c>
      <c r="M1407" s="870">
        <v>3</v>
      </c>
      <c r="N1407" s="399">
        <v>0</v>
      </c>
      <c r="O1407" s="102">
        <f t="shared" si="238"/>
        <v>0</v>
      </c>
      <c r="P1407" s="101">
        <f t="shared" si="239"/>
        <v>0</v>
      </c>
      <c r="Q1407" s="1562">
        <v>3</v>
      </c>
      <c r="R1407" s="1563"/>
      <c r="S1407" s="1564"/>
      <c r="V1407" s="1566"/>
      <c r="W1407" s="1554"/>
      <c r="X1407" s="1554"/>
    </row>
    <row r="1408" spans="1:24" s="1565" customFormat="1" ht="22.5">
      <c r="A1408" s="1554"/>
      <c r="B1408" s="1554"/>
      <c r="C1408" s="1555">
        <f t="shared" si="237"/>
        <v>1</v>
      </c>
      <c r="D1408" s="1556">
        <v>1</v>
      </c>
      <c r="E1408" s="1556"/>
      <c r="F1408" s="1557" t="s">
        <v>11724</v>
      </c>
      <c r="G1408" s="1558"/>
      <c r="H1408" s="823" t="s">
        <v>70</v>
      </c>
      <c r="I1408" s="700">
        <v>12574</v>
      </c>
      <c r="J1408" s="824"/>
      <c r="K1408" s="790" t="str">
        <f>(IF(H1408="Saneago",VLOOKUP(I1408,'SANEAGO-FEV.2016'!A:B,2,0),IF(H1408="Sinapi",VLOOKUP(I1408,'SINAPI-FEV.2017'!A:D,2,0),IF(H1408="Cotação",VLOOKUP(I1408,COTAÇÃO!A:D,2,0),IF(H1408="Composição",VLOOKUP(I1408,COMPOSIÇÃO!A:D,2,0))))))</f>
        <v>TUBO CONCRETO ARMADO, CLASSE PA-3, PB, DN 1200 MM, PARA AGUAS PLUVIAIS (NBR 8890)</v>
      </c>
      <c r="L1408" s="700" t="str">
        <f>(IF(H1408="Saneago",VLOOKUP(I1408,'SANEAGO-FEV.2016'!A:D,3,0),IF(H1408="Sinapi",VLOOKUP(I1408,'SINAPI-FEV.2017'!A:D,3,0),IF(H1408="Cotação",VLOOKUP(I1408,COTAÇÃO!A:D,3,0),IF(H1408="Composição",VLOOKUP(I1408,COMPOSIÇÃO!A:D,3,0))))))</f>
        <v>M</v>
      </c>
      <c r="M1408" s="870">
        <v>37.299999999999997</v>
      </c>
      <c r="N1408" s="399">
        <v>0</v>
      </c>
      <c r="O1408" s="102">
        <f t="shared" si="238"/>
        <v>0</v>
      </c>
      <c r="P1408" s="101">
        <f t="shared" si="239"/>
        <v>0</v>
      </c>
      <c r="Q1408" s="1562">
        <v>37.299999999999997</v>
      </c>
      <c r="R1408" s="1563"/>
      <c r="S1408" s="1564"/>
      <c r="V1408" s="1566"/>
      <c r="W1408" s="1554"/>
      <c r="X1408" s="1554"/>
    </row>
    <row r="1409" spans="1:24" s="1565" customFormat="1" ht="12.75">
      <c r="A1409" s="1554"/>
      <c r="B1409" s="1554"/>
      <c r="C1409" s="1555">
        <f t="shared" si="237"/>
        <v>1</v>
      </c>
      <c r="D1409" s="1556">
        <v>1</v>
      </c>
      <c r="E1409" s="1556"/>
      <c r="F1409" s="1557" t="s">
        <v>11724</v>
      </c>
      <c r="G1409" s="1558"/>
      <c r="H1409" s="823"/>
      <c r="I1409" s="700"/>
      <c r="J1409" s="824"/>
      <c r="K1409" s="915" t="s">
        <v>14262</v>
      </c>
      <c r="L1409" s="700"/>
      <c r="M1409" s="870"/>
      <c r="N1409" s="399"/>
      <c r="O1409" s="344"/>
      <c r="P1409" s="342"/>
      <c r="Q1409" s="1562"/>
      <c r="R1409" s="1563"/>
      <c r="S1409" s="1564"/>
      <c r="V1409" s="1566"/>
      <c r="W1409" s="1554"/>
      <c r="X1409" s="1554"/>
    </row>
    <row r="1410" spans="1:24" s="1565" customFormat="1" ht="12.75">
      <c r="A1410" s="1554"/>
      <c r="B1410" s="1554"/>
      <c r="C1410" s="1555">
        <f t="shared" si="237"/>
        <v>1</v>
      </c>
      <c r="D1410" s="1556">
        <v>1</v>
      </c>
      <c r="E1410" s="1556"/>
      <c r="F1410" s="1557" t="s">
        <v>11724</v>
      </c>
      <c r="G1410" s="1558"/>
      <c r="H1410" s="823" t="s">
        <v>11722</v>
      </c>
      <c r="I1410" s="700" t="s">
        <v>14186</v>
      </c>
      <c r="J1410" s="824"/>
      <c r="K1410" s="790" t="str">
        <f>(IF(H1410="Saneago",VLOOKUP(I1410,'SANEAGO-FEV.2016'!A:B,2,0),IF(H1410="Sinapi",VLOOKUP(I1410,'SINAPI-FEV.2017'!A:D,2,0),IF(H1410="Cotação",VLOOKUP(I1410,COTAÇÃO!A:D,2,0),IF(H1410="Composição",VLOOKUP(I1410,COMPOSIÇÃO!A:D,2,0))))))</f>
        <v>Tubo com ponta e Bolsa em Fº Dúctil/Esgoto, classe K-7, JGS, DN 400, L=6,0 m</v>
      </c>
      <c r="L1410" s="700" t="str">
        <f>(IF(H1410="Saneago",VLOOKUP(I1410,'SANEAGO-FEV.2016'!A:D,3,0),IF(H1410="Sinapi",VLOOKUP(I1410,'SINAPI-FEV.2017'!A:D,3,0),IF(H1410="Cotação",VLOOKUP(I1410,COTAÇÃO!A:D,3,0),IF(H1410="Composição",VLOOKUP(I1410,COMPOSIÇÃO!A:D,3,0))))))</f>
        <v>un</v>
      </c>
      <c r="M1410" s="870">
        <v>1</v>
      </c>
      <c r="N1410" s="399">
        <v>0</v>
      </c>
      <c r="O1410" s="102">
        <f t="shared" ref="O1410:O1415" si="240">ROUND(IF(F1410="Serviços",N1410*(1+$O$7),IF(F1410="Materiais",N1410*(1+$O$8))),2)</f>
        <v>0</v>
      </c>
      <c r="P1410" s="101">
        <f t="shared" ref="P1410:P1415" si="241">ROUND(M1410*O1410,2)</f>
        <v>0</v>
      </c>
      <c r="Q1410" s="1562">
        <v>1</v>
      </c>
      <c r="R1410" s="1563"/>
      <c r="S1410" s="1564"/>
      <c r="V1410" s="1566"/>
      <c r="W1410" s="1554"/>
      <c r="X1410" s="1554"/>
    </row>
    <row r="1411" spans="1:24" s="1565" customFormat="1" ht="12.75">
      <c r="A1411" s="1554"/>
      <c r="B1411" s="1554"/>
      <c r="C1411" s="1555">
        <f t="shared" si="237"/>
        <v>1</v>
      </c>
      <c r="D1411" s="1556">
        <v>1</v>
      </c>
      <c r="E1411" s="1556"/>
      <c r="F1411" s="1557" t="s">
        <v>11724</v>
      </c>
      <c r="G1411" s="1558"/>
      <c r="H1411" s="823" t="s">
        <v>11722</v>
      </c>
      <c r="I1411" s="700" t="s">
        <v>14263</v>
      </c>
      <c r="J1411" s="824"/>
      <c r="K1411" s="790" t="str">
        <f>(IF(H1411="Saneago",VLOOKUP(I1411,'SANEAGO-FEV.2016'!A:B,2,0),IF(H1411="Sinapi",VLOOKUP(I1411,'SINAPI-FEV.2017'!A:D,2,0),IF(H1411="Cotação",VLOOKUP(I1411,COTAÇÃO!A:D,2,0),IF(H1411="Composição",VLOOKUP(I1411,COMPOSIÇÃO!A:D,2,0))))))</f>
        <v>TUBO COM PONTA E BOLSA, EM Fº DÚCTIL/ESGOTO, JGS, DN 400, L=5,70 M</v>
      </c>
      <c r="L1411" s="700" t="str">
        <f>(IF(H1411="Saneago",VLOOKUP(I1411,'SANEAGO-FEV.2016'!A:D,3,0),IF(H1411="Sinapi",VLOOKUP(I1411,'SINAPI-FEV.2017'!A:D,3,0),IF(H1411="Cotação",VLOOKUP(I1411,COTAÇÃO!A:D,3,0),IF(H1411="Composição",VLOOKUP(I1411,COMPOSIÇÃO!A:D,3,0))))))</f>
        <v>un</v>
      </c>
      <c r="M1411" s="870">
        <v>1</v>
      </c>
      <c r="N1411" s="399">
        <v>0</v>
      </c>
      <c r="O1411" s="102">
        <f t="shared" si="240"/>
        <v>0</v>
      </c>
      <c r="P1411" s="101">
        <f t="shared" si="241"/>
        <v>0</v>
      </c>
      <c r="Q1411" s="1562">
        <v>1</v>
      </c>
      <c r="R1411" s="1563"/>
      <c r="S1411" s="1564"/>
      <c r="V1411" s="1566"/>
      <c r="W1411" s="1554"/>
      <c r="X1411" s="1554"/>
    </row>
    <row r="1412" spans="1:24" s="1565" customFormat="1" ht="12.75">
      <c r="A1412" s="1554"/>
      <c r="B1412" s="1554"/>
      <c r="C1412" s="1555">
        <f t="shared" si="237"/>
        <v>1</v>
      </c>
      <c r="D1412" s="1556">
        <v>1</v>
      </c>
      <c r="E1412" s="1556"/>
      <c r="F1412" s="1557" t="s">
        <v>11724</v>
      </c>
      <c r="G1412" s="1558"/>
      <c r="H1412" s="823" t="s">
        <v>11722</v>
      </c>
      <c r="I1412" s="700" t="s">
        <v>14264</v>
      </c>
      <c r="J1412" s="824"/>
      <c r="K1412" s="790" t="str">
        <f>(IF(H1412="Saneago",VLOOKUP(I1412,'SANEAGO-FEV.2016'!A:B,2,0),IF(H1412="Sinapi",VLOOKUP(I1412,'SINAPI-FEV.2017'!A:D,2,0),IF(H1412="Cotação",VLOOKUP(I1412,COTAÇÃO!A:D,2,0),IF(H1412="Composição",VLOOKUP(I1412,COMPOSIÇÃO!A:D,2,0))))))</f>
        <v>TUBO COM PONTAS EM Fº DÚCTIL/ESGOTO, CLASSE K-7, DN 400, L=3,50 M</v>
      </c>
      <c r="L1412" s="700" t="str">
        <f>(IF(H1412="Saneago",VLOOKUP(I1412,'SANEAGO-FEV.2016'!A:D,3,0),IF(H1412="Sinapi",VLOOKUP(I1412,'SINAPI-FEV.2017'!A:D,3,0),IF(H1412="Cotação",VLOOKUP(I1412,COTAÇÃO!A:D,3,0),IF(H1412="Composição",VLOOKUP(I1412,COMPOSIÇÃO!A:D,3,0))))))</f>
        <v>un</v>
      </c>
      <c r="M1412" s="870">
        <v>1</v>
      </c>
      <c r="N1412" s="399">
        <v>0</v>
      </c>
      <c r="O1412" s="102">
        <f t="shared" si="240"/>
        <v>0</v>
      </c>
      <c r="P1412" s="101">
        <f t="shared" si="241"/>
        <v>0</v>
      </c>
      <c r="Q1412" s="1562">
        <v>1</v>
      </c>
      <c r="R1412" s="1563"/>
      <c r="S1412" s="1564"/>
      <c r="V1412" s="1566"/>
      <c r="W1412" s="1554"/>
      <c r="X1412" s="1554"/>
    </row>
    <row r="1413" spans="1:24" s="1565" customFormat="1" ht="12.75">
      <c r="A1413" s="1554"/>
      <c r="B1413" s="1554"/>
      <c r="C1413" s="1555">
        <f t="shared" si="237"/>
        <v>1</v>
      </c>
      <c r="D1413" s="1556">
        <v>1</v>
      </c>
      <c r="E1413" s="1556"/>
      <c r="F1413" s="1557" t="s">
        <v>11724</v>
      </c>
      <c r="G1413" s="1558"/>
      <c r="H1413" s="823" t="s">
        <v>11722</v>
      </c>
      <c r="I1413" s="700" t="s">
        <v>14265</v>
      </c>
      <c r="J1413" s="824"/>
      <c r="K1413" s="790" t="str">
        <f>(IF(H1413="Saneago",VLOOKUP(I1413,'SANEAGO-FEV.2016'!A:B,2,0),IF(H1413="Sinapi",VLOOKUP(I1413,'SINAPI-FEV.2017'!A:D,2,0),IF(H1413="Cotação",VLOOKUP(I1413,COTAÇÃO!A:D,2,0),IF(H1413="Composição",VLOOKUP(I1413,COMPOSIÇÃO!A:D,2,0))))))</f>
        <v>TUBO COM PONTAS EM Fº DÚCTIL/ESGOTO, CLASSE K-7, DN 400, L=1,50 M</v>
      </c>
      <c r="L1413" s="700" t="str">
        <f>(IF(H1413="Saneago",VLOOKUP(I1413,'SANEAGO-FEV.2016'!A:D,3,0),IF(H1413="Sinapi",VLOOKUP(I1413,'SINAPI-FEV.2017'!A:D,3,0),IF(H1413="Cotação",VLOOKUP(I1413,COTAÇÃO!A:D,3,0),IF(H1413="Composição",VLOOKUP(I1413,COMPOSIÇÃO!A:D,3,0))))))</f>
        <v>un</v>
      </c>
      <c r="M1413" s="870">
        <v>1</v>
      </c>
      <c r="N1413" s="399">
        <v>0</v>
      </c>
      <c r="O1413" s="102">
        <f t="shared" si="240"/>
        <v>0</v>
      </c>
      <c r="P1413" s="101">
        <f t="shared" si="241"/>
        <v>0</v>
      </c>
      <c r="Q1413" s="1562">
        <v>1</v>
      </c>
      <c r="R1413" s="1563"/>
      <c r="S1413" s="1564"/>
      <c r="V1413" s="1566"/>
      <c r="W1413" s="1554"/>
      <c r="X1413" s="1554"/>
    </row>
    <row r="1414" spans="1:24" s="1565" customFormat="1" ht="12.75">
      <c r="A1414" s="1554"/>
      <c r="B1414" s="1554"/>
      <c r="C1414" s="1555">
        <f t="shared" si="237"/>
        <v>1</v>
      </c>
      <c r="D1414" s="1556">
        <v>1</v>
      </c>
      <c r="E1414" s="1556"/>
      <c r="F1414" s="1557" t="s">
        <v>11724</v>
      </c>
      <c r="G1414" s="1558"/>
      <c r="H1414" s="823" t="s">
        <v>11722</v>
      </c>
      <c r="I1414" s="700" t="s">
        <v>14266</v>
      </c>
      <c r="J1414" s="824"/>
      <c r="K1414" s="790" t="str">
        <f>(IF(H1414="Saneago",VLOOKUP(I1414,'SANEAGO-FEV.2016'!A:B,2,0),IF(H1414="Sinapi",VLOOKUP(I1414,'SINAPI-FEV.2017'!A:D,2,0),IF(H1414="Cotação",VLOOKUP(I1414,COTAÇÃO!A:D,2,0),IF(H1414="Composição",VLOOKUP(I1414,COMPOSIÇÃO!A:D,2,0))))))</f>
        <v>TUBO COM PONTAS EM Fº DÚCTIL/ESGOTO, CLASSE K-7, DN 400, L=2,40 M</v>
      </c>
      <c r="L1414" s="700" t="str">
        <f>(IF(H1414="Saneago",VLOOKUP(I1414,'SANEAGO-FEV.2016'!A:D,3,0),IF(H1414="Sinapi",VLOOKUP(I1414,'SINAPI-FEV.2017'!A:D,3,0),IF(H1414="Cotação",VLOOKUP(I1414,COTAÇÃO!A:D,3,0),IF(H1414="Composição",VLOOKUP(I1414,COMPOSIÇÃO!A:D,3,0))))))</f>
        <v>un</v>
      </c>
      <c r="M1414" s="870">
        <v>1</v>
      </c>
      <c r="N1414" s="399">
        <v>0</v>
      </c>
      <c r="O1414" s="102">
        <f t="shared" si="240"/>
        <v>0</v>
      </c>
      <c r="P1414" s="101">
        <f t="shared" si="241"/>
        <v>0</v>
      </c>
      <c r="Q1414" s="1562">
        <v>1</v>
      </c>
      <c r="R1414" s="1563"/>
      <c r="S1414" s="1564"/>
      <c r="V1414" s="1566"/>
      <c r="W1414" s="1554"/>
      <c r="X1414" s="1554"/>
    </row>
    <row r="1415" spans="1:24" s="1565" customFormat="1" ht="12.75">
      <c r="A1415" s="1554"/>
      <c r="B1415" s="1554"/>
      <c r="C1415" s="1555">
        <f t="shared" si="237"/>
        <v>1</v>
      </c>
      <c r="D1415" s="1556">
        <v>1</v>
      </c>
      <c r="E1415" s="1556"/>
      <c r="F1415" s="1557" t="s">
        <v>11724</v>
      </c>
      <c r="G1415" s="1558"/>
      <c r="H1415" s="823" t="s">
        <v>11722</v>
      </c>
      <c r="I1415" s="700" t="s">
        <v>14182</v>
      </c>
      <c r="J1415" s="824"/>
      <c r="K1415" s="790" t="str">
        <f>(IF(H1415="Saneago",VLOOKUP(I1415,'SANEAGO-FEV.2016'!A:B,2,0),IF(H1415="Sinapi",VLOOKUP(I1415,'SINAPI-FEV.2017'!A:D,2,0),IF(H1415="Cotação",VLOOKUP(I1415,COTAÇÃO!A:D,2,0),IF(H1415="Composição",VLOOKUP(I1415,COMPOSIÇÃO!A:D,2,0))))))</f>
        <v>Junta Gibault em Fº Dúctil/Esgoto, JGS, DN 400</v>
      </c>
      <c r="L1415" s="700" t="str">
        <f>(IF(H1415="Saneago",VLOOKUP(I1415,'SANEAGO-FEV.2016'!A:D,3,0),IF(H1415="Sinapi",VLOOKUP(I1415,'SINAPI-FEV.2017'!A:D,3,0),IF(H1415="Cotação",VLOOKUP(I1415,COTAÇÃO!A:D,3,0),IF(H1415="Composição",VLOOKUP(I1415,COMPOSIÇÃO!A:D,3,0))))))</f>
        <v>un</v>
      </c>
      <c r="M1415" s="870">
        <v>2</v>
      </c>
      <c r="N1415" s="399">
        <v>0</v>
      </c>
      <c r="O1415" s="102">
        <f t="shared" si="240"/>
        <v>0</v>
      </c>
      <c r="P1415" s="101">
        <f t="shared" si="241"/>
        <v>0</v>
      </c>
      <c r="Q1415" s="1562">
        <v>2</v>
      </c>
      <c r="R1415" s="1563"/>
      <c r="S1415" s="1564"/>
      <c r="V1415" s="1566"/>
      <c r="W1415" s="1554"/>
      <c r="X1415" s="1554"/>
    </row>
    <row r="1416" spans="1:24" s="863" customFormat="1" ht="12.75">
      <c r="A1416" s="1325"/>
      <c r="B1416" s="1325"/>
      <c r="C1416" s="1555">
        <f t="shared" si="237"/>
        <v>1</v>
      </c>
      <c r="D1416" s="1556">
        <v>1</v>
      </c>
      <c r="E1416" s="1556"/>
      <c r="F1416" s="1557" t="s">
        <v>11724</v>
      </c>
      <c r="G1416" s="921"/>
      <c r="H1416" s="878"/>
      <c r="I1416" s="915"/>
      <c r="J1416" s="1022"/>
      <c r="K1416" s="915"/>
      <c r="L1416" s="816"/>
      <c r="M1416" s="874"/>
      <c r="N1416" s="394"/>
      <c r="O1416" s="98"/>
      <c r="P1416" s="95"/>
      <c r="Q1416" s="1507"/>
      <c r="R1416" s="1525"/>
      <c r="S1416" s="1504"/>
      <c r="V1416" s="1509"/>
      <c r="W1416" s="1325"/>
      <c r="X1416" s="1325"/>
    </row>
    <row r="1417" spans="1:24" s="863" customFormat="1" ht="13.5" thickBot="1">
      <c r="A1417" s="1325"/>
      <c r="B1417" s="1325"/>
      <c r="C1417" s="1555">
        <f t="shared" si="237"/>
        <v>1</v>
      </c>
      <c r="D1417" s="1556">
        <v>1</v>
      </c>
      <c r="E1417" s="1556"/>
      <c r="F1417" s="1557" t="s">
        <v>11724</v>
      </c>
      <c r="G1417" s="921"/>
      <c r="H1417" s="878"/>
      <c r="I1417" s="915"/>
      <c r="J1417" s="1022"/>
      <c r="K1417" s="915"/>
      <c r="L1417" s="816"/>
      <c r="M1417" s="874"/>
      <c r="N1417" s="394"/>
      <c r="O1417" s="98"/>
      <c r="P1417" s="95"/>
      <c r="Q1417" s="1507"/>
      <c r="R1417" s="1525"/>
      <c r="S1417" s="1504"/>
      <c r="V1417" s="1509"/>
      <c r="W1417" s="1325"/>
      <c r="X1417" s="1325"/>
    </row>
    <row r="1418" spans="1:24" s="1565" customFormat="1" ht="14.25" thickTop="1" thickBot="1">
      <c r="A1418" s="1554"/>
      <c r="B1418" s="1554"/>
      <c r="C1418" s="1555">
        <v>2</v>
      </c>
      <c r="D1418" s="1556">
        <v>0</v>
      </c>
      <c r="E1418" s="1556"/>
      <c r="F1418" s="1557" t="s">
        <v>11724</v>
      </c>
      <c r="G1418" s="1558"/>
      <c r="H1418" s="1559">
        <v>2</v>
      </c>
      <c r="I1418" s="1587" t="s">
        <v>14063</v>
      </c>
      <c r="J1418" s="1587"/>
      <c r="K1418" s="1587"/>
      <c r="L1418" s="1560"/>
      <c r="M1418" s="1561"/>
      <c r="N1418" s="401"/>
      <c r="O1418" s="345" t="s">
        <v>11702</v>
      </c>
      <c r="P1418" s="346">
        <f>SUBTOTAL(9,P1420:P1441)</f>
        <v>0</v>
      </c>
      <c r="Q1418" s="1562"/>
      <c r="R1418" s="1563"/>
      <c r="S1418" s="1564"/>
      <c r="V1418" s="1566"/>
      <c r="W1418" s="1554"/>
      <c r="X1418" s="1554"/>
    </row>
    <row r="1419" spans="1:24" s="863" customFormat="1" ht="14.25" thickTop="1" thickBot="1">
      <c r="A1419" s="1325"/>
      <c r="B1419" s="1325"/>
      <c r="C1419" s="1555">
        <f t="shared" si="237"/>
        <v>2</v>
      </c>
      <c r="D1419" s="1553">
        <v>0</v>
      </c>
      <c r="E1419" s="1553"/>
      <c r="F1419" s="1557" t="s">
        <v>11724</v>
      </c>
      <c r="G1419" s="921"/>
      <c r="H1419" s="878"/>
      <c r="I1419" s="982"/>
      <c r="J1419" s="1505"/>
      <c r="K1419" s="982"/>
      <c r="L1419" s="983"/>
      <c r="M1419" s="1506"/>
      <c r="N1419" s="394"/>
      <c r="O1419" s="341"/>
      <c r="P1419" s="267"/>
      <c r="Q1419" s="1507"/>
      <c r="R1419" s="1525"/>
      <c r="S1419" s="1504"/>
      <c r="V1419" s="1509"/>
      <c r="W1419" s="1325"/>
      <c r="X1419" s="1325"/>
    </row>
    <row r="1420" spans="1:24" s="1565" customFormat="1" ht="14.25" customHeight="1" thickTop="1" thickBot="1">
      <c r="A1420" s="1554"/>
      <c r="B1420" s="1554"/>
      <c r="C1420" s="1555">
        <f t="shared" si="237"/>
        <v>2</v>
      </c>
      <c r="D1420" s="1556">
        <v>1</v>
      </c>
      <c r="E1420" s="1556"/>
      <c r="F1420" s="1557" t="s">
        <v>11724</v>
      </c>
      <c r="G1420" s="1558"/>
      <c r="H1420" s="1510" t="str">
        <f>CONCATENATE(C1420,".",D1420)</f>
        <v>2.1</v>
      </c>
      <c r="I1420" s="1644" t="s">
        <v>14172</v>
      </c>
      <c r="J1420" s="1644"/>
      <c r="K1420" s="1644"/>
      <c r="L1420" s="1511" t="s">
        <v>25</v>
      </c>
      <c r="M1420" s="1512" t="s">
        <v>11704</v>
      </c>
      <c r="N1420" s="397" t="s">
        <v>11705</v>
      </c>
      <c r="O1420" s="339" t="s">
        <v>11706</v>
      </c>
      <c r="P1420" s="340">
        <f>SUBTOTAL(9,P1423:P1432)</f>
        <v>0</v>
      </c>
      <c r="Q1420" s="1562" t="s">
        <v>11704</v>
      </c>
      <c r="R1420" s="1563"/>
      <c r="S1420" s="1564"/>
      <c r="V1420" s="1566"/>
      <c r="W1420" s="1554"/>
      <c r="X1420" s="1554"/>
    </row>
    <row r="1421" spans="1:24" s="1565" customFormat="1" ht="13.5" thickTop="1">
      <c r="A1421" s="1554"/>
      <c r="B1421" s="1554"/>
      <c r="C1421" s="1555">
        <f t="shared" si="237"/>
        <v>2</v>
      </c>
      <c r="D1421" s="1556">
        <v>1</v>
      </c>
      <c r="E1421" s="1556"/>
      <c r="F1421" s="1557" t="s">
        <v>11724</v>
      </c>
      <c r="G1421" s="1558"/>
      <c r="H1421" s="878"/>
      <c r="I1421" s="982"/>
      <c r="J1421" s="1505"/>
      <c r="K1421" s="982"/>
      <c r="L1421" s="983"/>
      <c r="M1421" s="1506"/>
      <c r="N1421" s="394"/>
      <c r="O1421" s="341"/>
      <c r="P1421" s="267"/>
      <c r="Q1421" s="1562"/>
      <c r="R1421" s="1563"/>
      <c r="S1421" s="1564"/>
      <c r="V1421" s="1566"/>
      <c r="W1421" s="1554"/>
      <c r="X1421" s="1554"/>
    </row>
    <row r="1422" spans="1:24" s="1565" customFormat="1" ht="12.75">
      <c r="A1422" s="1554"/>
      <c r="B1422" s="1554"/>
      <c r="C1422" s="1555">
        <f t="shared" si="237"/>
        <v>2</v>
      </c>
      <c r="D1422" s="1556">
        <v>1</v>
      </c>
      <c r="E1422" s="1556"/>
      <c r="F1422" s="1557" t="s">
        <v>11724</v>
      </c>
      <c r="G1422" s="1558"/>
      <c r="H1422" s="823"/>
      <c r="I1422" s="700"/>
      <c r="J1422" s="824"/>
      <c r="K1422" s="915" t="s">
        <v>14267</v>
      </c>
      <c r="L1422" s="700"/>
      <c r="M1422" s="870"/>
      <c r="N1422" s="399"/>
      <c r="O1422" s="344"/>
      <c r="P1422" s="342"/>
      <c r="Q1422" s="1562"/>
      <c r="R1422" s="1563"/>
      <c r="S1422" s="1564"/>
      <c r="V1422" s="1566"/>
      <c r="W1422" s="1554"/>
      <c r="X1422" s="1554"/>
    </row>
    <row r="1423" spans="1:24" s="1565" customFormat="1" ht="12.75">
      <c r="A1423" s="1554"/>
      <c r="B1423" s="1554"/>
      <c r="C1423" s="1555">
        <f t="shared" si="237"/>
        <v>2</v>
      </c>
      <c r="D1423" s="1556">
        <v>1</v>
      </c>
      <c r="E1423" s="1556"/>
      <c r="F1423" s="1557" t="s">
        <v>11724</v>
      </c>
      <c r="G1423" s="1558"/>
      <c r="H1423" s="823" t="s">
        <v>70</v>
      </c>
      <c r="I1423" s="700">
        <v>41934</v>
      </c>
      <c r="J1423" s="824"/>
      <c r="K1423" s="790" t="str">
        <f>(IF(H1423="Saneago",VLOOKUP(I1423,'SANEAGO-FEV.2016'!A:B,2,0),IF(H1423="Sinapi",VLOOKUP(I1423,'SINAPI-FEV.2017'!A:D,2,0),IF(H1423="Cotação",VLOOKUP(I1423,COTAÇÃO!A:D,2,0),IF(H1423="Composição",VLOOKUP(I1423,COMPOSIÇÃO!A:D,2,0))))))</f>
        <v>TUBO COLETOR DE ESGOTO PVC, JEI, DN 400 MM (NBR 7362)</v>
      </c>
      <c r="L1423" s="700" t="str">
        <f>(IF(H1423="Saneago",VLOOKUP(I1423,'SANEAGO-FEV.2016'!A:D,3,0),IF(H1423="Sinapi",VLOOKUP(I1423,'SINAPI-FEV.2017'!A:D,3,0),IF(H1423="Cotação",VLOOKUP(I1423,COTAÇÃO!A:D,3,0),IF(H1423="Composição",VLOOKUP(I1423,COMPOSIÇÃO!A:D,3,0))))))</f>
        <v>M</v>
      </c>
      <c r="M1423" s="870">
        <v>518</v>
      </c>
      <c r="N1423" s="399">
        <v>0</v>
      </c>
      <c r="O1423" s="102">
        <f>ROUND(IF(F1423="Serviços",N1423*(1+$O$7),IF(F1423="Materiais",N1423*(1+$O$8))),2)</f>
        <v>0</v>
      </c>
      <c r="P1423" s="101">
        <f>ROUND(M1423*O1423,2)</f>
        <v>0</v>
      </c>
      <c r="Q1423" s="1562">
        <v>518</v>
      </c>
      <c r="R1423" s="1563"/>
      <c r="S1423" s="1564"/>
      <c r="V1423" s="1566"/>
      <c r="W1423" s="1554"/>
      <c r="X1423" s="1554"/>
    </row>
    <row r="1424" spans="1:24" s="1565" customFormat="1" ht="22.5">
      <c r="A1424" s="1554"/>
      <c r="B1424" s="1554"/>
      <c r="C1424" s="1555">
        <f t="shared" si="237"/>
        <v>2</v>
      </c>
      <c r="D1424" s="1556">
        <v>1</v>
      </c>
      <c r="E1424" s="1556"/>
      <c r="F1424" s="1557" t="s">
        <v>11724</v>
      </c>
      <c r="G1424" s="1558"/>
      <c r="H1424" s="823" t="s">
        <v>70</v>
      </c>
      <c r="I1424" s="700">
        <v>7741</v>
      </c>
      <c r="J1424" s="824"/>
      <c r="K1424" s="790" t="str">
        <f>(IF(H1424="Saneago",VLOOKUP(I1424,'SANEAGO-FEV.2016'!A:B,2,0),IF(H1424="Sinapi",VLOOKUP(I1424,'SINAPI-FEV.2017'!A:D,2,0),IF(H1424="Cotação",VLOOKUP(I1424,COTAÇÃO!A:D,2,0),IF(H1424="Composição",VLOOKUP(I1424,COMPOSIÇÃO!A:D,2,0))))))</f>
        <v>TUBO CONCRETO ARMADO, CLASSE EA-2, PB JE, DN 500 MM, PARA ESGOTO SANITARIO (NBR 8890)</v>
      </c>
      <c r="L1424" s="700" t="str">
        <f>(IF(H1424="Saneago",VLOOKUP(I1424,'SANEAGO-FEV.2016'!A:D,3,0),IF(H1424="Sinapi",VLOOKUP(I1424,'SINAPI-FEV.2017'!A:D,3,0),IF(H1424="Cotação",VLOOKUP(I1424,COTAÇÃO!A:D,3,0),IF(H1424="Composição",VLOOKUP(I1424,COMPOSIÇÃO!A:D,3,0))))))</f>
        <v>M</v>
      </c>
      <c r="M1424" s="870">
        <v>422</v>
      </c>
      <c r="N1424" s="399">
        <v>0</v>
      </c>
      <c r="O1424" s="102">
        <f>ROUND(IF(F1424="Serviços",N1424*(1+$O$7),IF(F1424="Materiais",N1424*(1+$O$8))),2)</f>
        <v>0</v>
      </c>
      <c r="P1424" s="101">
        <f>ROUND(M1424*O1424,2)</f>
        <v>0</v>
      </c>
      <c r="Q1424" s="1562">
        <v>422</v>
      </c>
      <c r="R1424" s="1563"/>
      <c r="S1424" s="1564"/>
      <c r="V1424" s="1566"/>
      <c r="W1424" s="1554"/>
      <c r="X1424" s="1554"/>
    </row>
    <row r="1425" spans="1:24" s="1565" customFormat="1" ht="12.75">
      <c r="A1425" s="1554"/>
      <c r="B1425" s="1554"/>
      <c r="C1425" s="1555">
        <f t="shared" si="237"/>
        <v>2</v>
      </c>
      <c r="D1425" s="1556">
        <v>1</v>
      </c>
      <c r="E1425" s="1556"/>
      <c r="F1425" s="1557" t="s">
        <v>11724</v>
      </c>
      <c r="G1425" s="1558"/>
      <c r="H1425" s="823"/>
      <c r="I1425" s="700"/>
      <c r="J1425" s="824"/>
      <c r="K1425" s="915" t="s">
        <v>14256</v>
      </c>
      <c r="L1425" s="700"/>
      <c r="M1425" s="870"/>
      <c r="N1425" s="399"/>
      <c r="O1425" s="344"/>
      <c r="P1425" s="342"/>
      <c r="Q1425" s="1562"/>
      <c r="R1425" s="1563"/>
      <c r="S1425" s="1564"/>
      <c r="V1425" s="1566"/>
      <c r="W1425" s="1554"/>
      <c r="X1425" s="1554"/>
    </row>
    <row r="1426" spans="1:24" s="1565" customFormat="1" ht="12.75">
      <c r="A1426" s="1554"/>
      <c r="B1426" s="1554"/>
      <c r="C1426" s="1555">
        <f t="shared" si="237"/>
        <v>2</v>
      </c>
      <c r="D1426" s="1556">
        <v>1</v>
      </c>
      <c r="E1426" s="1556"/>
      <c r="F1426" s="1557" t="s">
        <v>11724</v>
      </c>
      <c r="G1426" s="1558"/>
      <c r="H1426" s="823" t="s">
        <v>11722</v>
      </c>
      <c r="I1426" s="700" t="s">
        <v>14173</v>
      </c>
      <c r="J1426" s="824"/>
      <c r="K1426" s="790" t="str">
        <f>(IF(H1426="Saneago",VLOOKUP(I1426,'SANEAGO-FEV.2016'!A:B,2,0),IF(H1426="Sinapi",VLOOKUP(I1426,'SINAPI-FEV.2017'!A:D,2,0),IF(H1426="Cotação",VLOOKUP(I1426,COTAÇÃO!A:D,2,0),IF(H1426="Composição",VLOOKUP(I1426,COMPOSIÇÃO!A:D,2,0))))))</f>
        <v>Tubo com ponta e Bolsa, em Fº Dúctil/Esgoto, classe K-7, JGS, DN 500, L=6,0 m</v>
      </c>
      <c r="L1426" s="700" t="str">
        <f>(IF(H1426="Saneago",VLOOKUP(I1426,'SANEAGO-FEV.2016'!A:D,3,0),IF(H1426="Sinapi",VLOOKUP(I1426,'SINAPI-FEV.2017'!A:D,3,0),IF(H1426="Cotação",VLOOKUP(I1426,COTAÇÃO!A:D,3,0),IF(H1426="Composição",VLOOKUP(I1426,COMPOSIÇÃO!A:D,3,0))))))</f>
        <v>un</v>
      </c>
      <c r="M1426" s="870">
        <v>4</v>
      </c>
      <c r="N1426" s="399">
        <v>0</v>
      </c>
      <c r="O1426" s="102">
        <f t="shared" ref="O1426:O1432" si="242">ROUND(IF(F1426="Serviços",N1426*(1+$O$7),IF(F1426="Materiais",N1426*(1+$O$8))),2)</f>
        <v>0</v>
      </c>
      <c r="P1426" s="101">
        <f t="shared" ref="P1426:P1432" si="243">ROUND(M1426*O1426,2)</f>
        <v>0</v>
      </c>
      <c r="Q1426" s="1562">
        <v>4</v>
      </c>
      <c r="R1426" s="1563"/>
      <c r="S1426" s="1564"/>
      <c r="V1426" s="1566"/>
      <c r="W1426" s="1554"/>
      <c r="X1426" s="1554"/>
    </row>
    <row r="1427" spans="1:24" s="1565" customFormat="1" ht="12.75">
      <c r="A1427" s="1554"/>
      <c r="B1427" s="1554"/>
      <c r="C1427" s="1555">
        <f t="shared" si="237"/>
        <v>2</v>
      </c>
      <c r="D1427" s="1556">
        <v>1</v>
      </c>
      <c r="E1427" s="1556"/>
      <c r="F1427" s="1557" t="s">
        <v>11724</v>
      </c>
      <c r="G1427" s="1558"/>
      <c r="H1427" s="823" t="s">
        <v>11722</v>
      </c>
      <c r="I1427" s="700" t="s">
        <v>14174</v>
      </c>
      <c r="J1427" s="824"/>
      <c r="K1427" s="790" t="str">
        <f>(IF(H1427="Saneago",VLOOKUP(I1427,'SANEAGO-FEV.2016'!A:B,2,0),IF(H1427="Sinapi",VLOOKUP(I1427,'SINAPI-FEV.2017'!A:D,2,0),IF(H1427="Cotação",VLOOKUP(I1427,COTAÇÃO!A:D,2,0),IF(H1427="Composição",VLOOKUP(I1427,COMPOSIÇÃO!A:D,2,0))))))</f>
        <v>Tubo com ponta e Bolsa em Fº Dúctil/Esgoto, classe K-7, JGS, DN 500, L=5,9 m</v>
      </c>
      <c r="L1427" s="700" t="str">
        <f>(IF(H1427="Saneago",VLOOKUP(I1427,'SANEAGO-FEV.2016'!A:D,3,0),IF(H1427="Sinapi",VLOOKUP(I1427,'SINAPI-FEV.2017'!A:D,3,0),IF(H1427="Cotação",VLOOKUP(I1427,COTAÇÃO!A:D,3,0),IF(H1427="Composição",VLOOKUP(I1427,COMPOSIÇÃO!A:D,3,0))))))</f>
        <v>un</v>
      </c>
      <c r="M1427" s="870">
        <v>1</v>
      </c>
      <c r="N1427" s="399">
        <v>0</v>
      </c>
      <c r="O1427" s="102">
        <f t="shared" si="242"/>
        <v>0</v>
      </c>
      <c r="P1427" s="101">
        <f t="shared" si="243"/>
        <v>0</v>
      </c>
      <c r="Q1427" s="1562">
        <v>1</v>
      </c>
      <c r="R1427" s="1563"/>
      <c r="S1427" s="1564"/>
      <c r="V1427" s="1566"/>
      <c r="W1427" s="1554"/>
      <c r="X1427" s="1554"/>
    </row>
    <row r="1428" spans="1:24" s="1565" customFormat="1" ht="12.75">
      <c r="A1428" s="1554"/>
      <c r="B1428" s="1554"/>
      <c r="C1428" s="1555">
        <f t="shared" si="237"/>
        <v>2</v>
      </c>
      <c r="D1428" s="1556">
        <v>1</v>
      </c>
      <c r="E1428" s="1556"/>
      <c r="F1428" s="1557" t="s">
        <v>11724</v>
      </c>
      <c r="G1428" s="1558"/>
      <c r="H1428" s="823" t="s">
        <v>11722</v>
      </c>
      <c r="I1428" s="700" t="s">
        <v>14175</v>
      </c>
      <c r="J1428" s="824"/>
      <c r="K1428" s="790" t="str">
        <f>(IF(H1428="Saneago",VLOOKUP(I1428,'SANEAGO-FEV.2016'!A:B,2,0),IF(H1428="Sinapi",VLOOKUP(I1428,'SINAPI-FEV.2017'!A:D,2,0),IF(H1428="Cotação",VLOOKUP(I1428,COTAÇÃO!A:D,2,0),IF(H1428="Composição",VLOOKUP(I1428,COMPOSIÇÃO!A:D,2,0))))))</f>
        <v>Tubo com pontas em Fº Dúctil/Esgoto, classe K-7, DN 500, L=4,92 m</v>
      </c>
      <c r="L1428" s="700" t="str">
        <f>(IF(H1428="Saneago",VLOOKUP(I1428,'SANEAGO-FEV.2016'!A:D,3,0),IF(H1428="Sinapi",VLOOKUP(I1428,'SINAPI-FEV.2017'!A:D,3,0),IF(H1428="Cotação",VLOOKUP(I1428,COTAÇÃO!A:D,3,0),IF(H1428="Composição",VLOOKUP(I1428,COMPOSIÇÃO!A:D,3,0))))))</f>
        <v>un</v>
      </c>
      <c r="M1428" s="870">
        <v>1</v>
      </c>
      <c r="N1428" s="399">
        <v>0</v>
      </c>
      <c r="O1428" s="102">
        <f t="shared" si="242"/>
        <v>0</v>
      </c>
      <c r="P1428" s="101">
        <f t="shared" si="243"/>
        <v>0</v>
      </c>
      <c r="Q1428" s="1562">
        <v>1</v>
      </c>
      <c r="R1428" s="1563"/>
      <c r="S1428" s="1564"/>
      <c r="V1428" s="1566"/>
      <c r="W1428" s="1554"/>
      <c r="X1428" s="1554"/>
    </row>
    <row r="1429" spans="1:24" s="1565" customFormat="1" ht="12.75">
      <c r="A1429" s="1554"/>
      <c r="B1429" s="1554"/>
      <c r="C1429" s="1555">
        <f t="shared" si="237"/>
        <v>2</v>
      </c>
      <c r="D1429" s="1556">
        <v>1</v>
      </c>
      <c r="E1429" s="1556"/>
      <c r="F1429" s="1557" t="s">
        <v>11724</v>
      </c>
      <c r="G1429" s="1558"/>
      <c r="H1429" s="823" t="s">
        <v>11722</v>
      </c>
      <c r="I1429" s="700" t="s">
        <v>14186</v>
      </c>
      <c r="J1429" s="824"/>
      <c r="K1429" s="790" t="str">
        <f>(IF(H1429="Saneago",VLOOKUP(I1429,'SANEAGO-FEV.2016'!A:B,2,0),IF(H1429="Sinapi",VLOOKUP(I1429,'SINAPI-FEV.2017'!A:D,2,0),IF(H1429="Cotação",VLOOKUP(I1429,COTAÇÃO!A:D,2,0),IF(H1429="Composição",VLOOKUP(I1429,COMPOSIÇÃO!A:D,2,0))))))</f>
        <v>Tubo com ponta e Bolsa em Fº Dúctil/Esgoto, classe K-7, JGS, DN 400, L=6,0 m</v>
      </c>
      <c r="L1429" s="700" t="str">
        <f>(IF(H1429="Saneago",VLOOKUP(I1429,'SANEAGO-FEV.2016'!A:D,3,0),IF(H1429="Sinapi",VLOOKUP(I1429,'SINAPI-FEV.2017'!A:D,3,0),IF(H1429="Cotação",VLOOKUP(I1429,COTAÇÃO!A:D,3,0),IF(H1429="Composição",VLOOKUP(I1429,COMPOSIÇÃO!A:D,3,0))))))</f>
        <v>un</v>
      </c>
      <c r="M1429" s="870">
        <v>1</v>
      </c>
      <c r="N1429" s="399">
        <v>0</v>
      </c>
      <c r="O1429" s="102">
        <f t="shared" si="242"/>
        <v>0</v>
      </c>
      <c r="P1429" s="101">
        <f t="shared" si="243"/>
        <v>0</v>
      </c>
      <c r="Q1429" s="1562">
        <v>1</v>
      </c>
      <c r="R1429" s="1563"/>
      <c r="S1429" s="1564"/>
      <c r="V1429" s="1566"/>
      <c r="W1429" s="1554"/>
      <c r="X1429" s="1554"/>
    </row>
    <row r="1430" spans="1:24" s="1565" customFormat="1" ht="12.75">
      <c r="A1430" s="1554"/>
      <c r="B1430" s="1554"/>
      <c r="C1430" s="1555">
        <f t="shared" si="237"/>
        <v>2</v>
      </c>
      <c r="D1430" s="1556">
        <v>1</v>
      </c>
      <c r="E1430" s="1556"/>
      <c r="F1430" s="1557" t="s">
        <v>11724</v>
      </c>
      <c r="G1430" s="1558"/>
      <c r="H1430" s="823" t="s">
        <v>11722</v>
      </c>
      <c r="I1430" s="700" t="s">
        <v>14176</v>
      </c>
      <c r="J1430" s="824"/>
      <c r="K1430" s="790" t="str">
        <f>(IF(H1430="Saneago",VLOOKUP(I1430,'SANEAGO-FEV.2016'!A:B,2,0),IF(H1430="Sinapi",VLOOKUP(I1430,'SINAPI-FEV.2017'!A:D,2,0),IF(H1430="Cotação",VLOOKUP(I1430,COTAÇÃO!A:D,2,0),IF(H1430="Composição",VLOOKUP(I1430,COMPOSIÇÃO!A:D,2,0))))))</f>
        <v>Tubo com ponta e flange em Fº Dúctil/Esgoto, classe K-10, PN-10, DN 500, L=4,6 m</v>
      </c>
      <c r="L1430" s="700" t="str">
        <f>(IF(H1430="Saneago",VLOOKUP(I1430,'SANEAGO-FEV.2016'!A:D,3,0),IF(H1430="Sinapi",VLOOKUP(I1430,'SINAPI-FEV.2017'!A:D,3,0),IF(H1430="Cotação",VLOOKUP(I1430,COTAÇÃO!A:D,3,0),IF(H1430="Composição",VLOOKUP(I1430,COMPOSIÇÃO!A:D,3,0))))))</f>
        <v>un</v>
      </c>
      <c r="M1430" s="870">
        <v>1</v>
      </c>
      <c r="N1430" s="399">
        <v>0</v>
      </c>
      <c r="O1430" s="102">
        <f t="shared" si="242"/>
        <v>0</v>
      </c>
      <c r="P1430" s="101">
        <f t="shared" si="243"/>
        <v>0</v>
      </c>
      <c r="Q1430" s="1562">
        <v>1</v>
      </c>
      <c r="R1430" s="1563"/>
      <c r="S1430" s="1564"/>
      <c r="V1430" s="1566"/>
      <c r="W1430" s="1554"/>
      <c r="X1430" s="1554"/>
    </row>
    <row r="1431" spans="1:24" s="1565" customFormat="1" ht="12.75">
      <c r="A1431" s="1554"/>
      <c r="B1431" s="1554"/>
      <c r="C1431" s="1555">
        <f t="shared" si="237"/>
        <v>2</v>
      </c>
      <c r="D1431" s="1556">
        <v>1</v>
      </c>
      <c r="E1431" s="1556"/>
      <c r="F1431" s="1557" t="s">
        <v>11724</v>
      </c>
      <c r="G1431" s="1558"/>
      <c r="H1431" s="823" t="s">
        <v>11722</v>
      </c>
      <c r="I1431" s="700" t="s">
        <v>14177</v>
      </c>
      <c r="J1431" s="824"/>
      <c r="K1431" s="790" t="str">
        <f>(IF(H1431="Saneago",VLOOKUP(I1431,'SANEAGO-FEV.2016'!A:B,2,0),IF(H1431="Sinapi",VLOOKUP(I1431,'SINAPI-FEV.2017'!A:D,2,0),IF(H1431="Cotação",VLOOKUP(I1431,COTAÇÃO!A:D,2,0),IF(H1431="Composição",VLOOKUP(I1431,COMPOSIÇÃO!A:D,2,0))))))</f>
        <v>Tubo com flanges em Fº Dúctil/Esgoto, classe K-10, PN-10, DN 500, L=5,8 m</v>
      </c>
      <c r="L1431" s="700" t="str">
        <f>(IF(H1431="Saneago",VLOOKUP(I1431,'SANEAGO-FEV.2016'!A:D,3,0),IF(H1431="Sinapi",VLOOKUP(I1431,'SINAPI-FEV.2017'!A:D,3,0),IF(H1431="Cotação",VLOOKUP(I1431,COTAÇÃO!A:D,3,0),IF(H1431="Composição",VLOOKUP(I1431,COMPOSIÇÃO!A:D,3,0))))))</f>
        <v>un</v>
      </c>
      <c r="M1431" s="870">
        <v>3</v>
      </c>
      <c r="N1431" s="399">
        <v>0</v>
      </c>
      <c r="O1431" s="102">
        <f t="shared" si="242"/>
        <v>0</v>
      </c>
      <c r="P1431" s="101">
        <f t="shared" si="243"/>
        <v>0</v>
      </c>
      <c r="Q1431" s="1562">
        <v>3</v>
      </c>
      <c r="R1431" s="1563"/>
      <c r="S1431" s="1564"/>
      <c r="V1431" s="1566"/>
      <c r="W1431" s="1554"/>
      <c r="X1431" s="1554"/>
    </row>
    <row r="1432" spans="1:24" s="1565" customFormat="1" ht="12.75">
      <c r="A1432" s="1554"/>
      <c r="B1432" s="1554"/>
      <c r="C1432" s="1555">
        <f t="shared" si="237"/>
        <v>2</v>
      </c>
      <c r="D1432" s="1556">
        <v>1</v>
      </c>
      <c r="E1432" s="1556"/>
      <c r="F1432" s="1557" t="s">
        <v>11724</v>
      </c>
      <c r="G1432" s="1558"/>
      <c r="H1432" s="823" t="s">
        <v>11722</v>
      </c>
      <c r="I1432" s="700" t="s">
        <v>14178</v>
      </c>
      <c r="J1432" s="824"/>
      <c r="K1432" s="790" t="str">
        <f>(IF(H1432="Saneago",VLOOKUP(I1432,'SANEAGO-FEV.2016'!A:B,2,0),IF(H1432="Sinapi",VLOOKUP(I1432,'SINAPI-FEV.2017'!A:D,2,0),IF(H1432="Cotação",VLOOKUP(I1432,COTAÇÃO!A:D,2,0),IF(H1432="Composição",VLOOKUP(I1432,COMPOSIÇÃO!A:D,2,0))))))</f>
        <v>Tubo com flange e bolsa  em Fº Dúctil/Esgoto, classe K-10, PN-10, DN 500, L=5,8 m</v>
      </c>
      <c r="L1432" s="700" t="str">
        <f>(IF(H1432="Saneago",VLOOKUP(I1432,'SANEAGO-FEV.2016'!A:D,3,0),IF(H1432="Sinapi",VLOOKUP(I1432,'SINAPI-FEV.2017'!A:D,3,0),IF(H1432="Cotação",VLOOKUP(I1432,COTAÇÃO!A:D,3,0),IF(H1432="Composição",VLOOKUP(I1432,COMPOSIÇÃO!A:D,3,0))))))</f>
        <v>un</v>
      </c>
      <c r="M1432" s="870">
        <v>1</v>
      </c>
      <c r="N1432" s="399">
        <v>0</v>
      </c>
      <c r="O1432" s="102">
        <f t="shared" si="242"/>
        <v>0</v>
      </c>
      <c r="P1432" s="101">
        <f t="shared" si="243"/>
        <v>0</v>
      </c>
      <c r="Q1432" s="1562">
        <v>1</v>
      </c>
      <c r="R1432" s="1563"/>
      <c r="S1432" s="1564"/>
      <c r="V1432" s="1566"/>
      <c r="W1432" s="1554"/>
      <c r="X1432" s="1554"/>
    </row>
    <row r="1433" spans="1:24" s="1565" customFormat="1" ht="13.5" thickBot="1">
      <c r="A1433" s="1554"/>
      <c r="B1433" s="1554"/>
      <c r="C1433" s="1555">
        <f t="shared" si="237"/>
        <v>2</v>
      </c>
      <c r="D1433" s="1556">
        <v>1</v>
      </c>
      <c r="E1433" s="1556"/>
      <c r="F1433" s="1557" t="s">
        <v>11724</v>
      </c>
      <c r="G1433" s="1558"/>
      <c r="H1433" s="823"/>
      <c r="I1433" s="700"/>
      <c r="J1433" s="824"/>
      <c r="K1433" s="700"/>
      <c r="L1433" s="700"/>
      <c r="M1433" s="870"/>
      <c r="N1433" s="399"/>
      <c r="O1433" s="344"/>
      <c r="P1433" s="342"/>
      <c r="Q1433" s="1562"/>
      <c r="R1433" s="1563"/>
      <c r="S1433" s="1564"/>
      <c r="V1433" s="1566"/>
      <c r="W1433" s="1554"/>
      <c r="X1433" s="1554"/>
    </row>
    <row r="1434" spans="1:24" s="1565" customFormat="1" ht="14.25" thickTop="1" thickBot="1">
      <c r="A1434" s="1554"/>
      <c r="B1434" s="1554"/>
      <c r="C1434" s="1555">
        <f t="shared" si="237"/>
        <v>2</v>
      </c>
      <c r="D1434" s="1556">
        <v>2</v>
      </c>
      <c r="E1434" s="1556"/>
      <c r="F1434" s="1557" t="s">
        <v>11724</v>
      </c>
      <c r="G1434" s="1558"/>
      <c r="H1434" s="1510" t="str">
        <f>CONCATENATE(C1434,".",D1434)</f>
        <v>2.2</v>
      </c>
      <c r="I1434" s="1585" t="s">
        <v>14179</v>
      </c>
      <c r="J1434" s="1585"/>
      <c r="K1434" s="1585"/>
      <c r="L1434" s="1511" t="s">
        <v>25</v>
      </c>
      <c r="M1434" s="1512" t="s">
        <v>11704</v>
      </c>
      <c r="N1434" s="397" t="s">
        <v>11705</v>
      </c>
      <c r="O1434" s="339" t="s">
        <v>11706</v>
      </c>
      <c r="P1434" s="340">
        <f>SUBTOTAL(9,P1437:P1440)</f>
        <v>0</v>
      </c>
      <c r="Q1434" s="1562" t="s">
        <v>11704</v>
      </c>
      <c r="R1434" s="1563"/>
      <c r="S1434" s="1564"/>
      <c r="V1434" s="1566"/>
      <c r="W1434" s="1554"/>
      <c r="X1434" s="1554"/>
    </row>
    <row r="1435" spans="1:24" s="1565" customFormat="1" ht="13.5" thickTop="1">
      <c r="A1435" s="1554"/>
      <c r="B1435" s="1554"/>
      <c r="C1435" s="1555">
        <f t="shared" si="237"/>
        <v>2</v>
      </c>
      <c r="D1435" s="1556">
        <v>2</v>
      </c>
      <c r="E1435" s="1556"/>
      <c r="F1435" s="1557" t="s">
        <v>11724</v>
      </c>
      <c r="G1435" s="1558"/>
      <c r="H1435" s="823"/>
      <c r="I1435" s="700"/>
      <c r="J1435" s="824"/>
      <c r="K1435" s="915"/>
      <c r="L1435" s="700"/>
      <c r="M1435" s="870"/>
      <c r="N1435" s="399"/>
      <c r="O1435" s="344"/>
      <c r="P1435" s="342"/>
      <c r="Q1435" s="1562"/>
      <c r="R1435" s="1563"/>
      <c r="S1435" s="1564"/>
      <c r="V1435" s="1566"/>
      <c r="W1435" s="1554"/>
      <c r="X1435" s="1554"/>
    </row>
    <row r="1436" spans="1:24" s="1565" customFormat="1" ht="12.75">
      <c r="A1436" s="1554"/>
      <c r="B1436" s="1554"/>
      <c r="C1436" s="1555">
        <f t="shared" si="237"/>
        <v>2</v>
      </c>
      <c r="D1436" s="1556">
        <v>2</v>
      </c>
      <c r="E1436" s="1556"/>
      <c r="F1436" s="1557" t="s">
        <v>11724</v>
      </c>
      <c r="G1436" s="1558"/>
      <c r="H1436" s="823"/>
      <c r="I1436" s="700"/>
      <c r="J1436" s="824"/>
      <c r="K1436" s="915" t="s">
        <v>14257</v>
      </c>
      <c r="L1436" s="700"/>
      <c r="M1436" s="870"/>
      <c r="N1436" s="399"/>
      <c r="O1436" s="344"/>
      <c r="P1436" s="342"/>
      <c r="Q1436" s="1562"/>
      <c r="R1436" s="1563"/>
      <c r="S1436" s="1564"/>
      <c r="V1436" s="1566"/>
      <c r="W1436" s="1554"/>
      <c r="X1436" s="1554"/>
    </row>
    <row r="1437" spans="1:24" s="1565" customFormat="1" ht="22.5">
      <c r="A1437" s="1554"/>
      <c r="B1437" s="1554"/>
      <c r="C1437" s="1555">
        <f t="shared" si="237"/>
        <v>2</v>
      </c>
      <c r="D1437" s="1556">
        <v>2</v>
      </c>
      <c r="E1437" s="1556"/>
      <c r="F1437" s="1557" t="s">
        <v>11724</v>
      </c>
      <c r="G1437" s="1558"/>
      <c r="H1437" s="823" t="s">
        <v>70</v>
      </c>
      <c r="I1437" s="700">
        <v>7744</v>
      </c>
      <c r="J1437" s="824"/>
      <c r="K1437" s="790" t="str">
        <f>(IF(H1437="Saneago",VLOOKUP(I1437,'SANEAGO-FEV.2016'!A:B,2,0),IF(H1437="Sinapi",VLOOKUP(I1437,'SINAPI-FEV.2017'!A:D,2,0),IF(H1437="Cotação",VLOOKUP(I1437,COTAÇÃO!A:D,2,0),IF(H1437="Composição",VLOOKUP(I1437,COMPOSIÇÃO!A:D,2,0))))))</f>
        <v>TUBO CONCRETO ARMADO, CLASSE EA-2, PB JE, DN 700 MM, PARA ESGOTO SANITARIO (NBR 8890)</v>
      </c>
      <c r="L1437" s="700" t="str">
        <f>(IF(H1437="Saneago",VLOOKUP(I1437,'SANEAGO-FEV.2016'!A:D,3,0),IF(H1437="Sinapi",VLOOKUP(I1437,'SINAPI-FEV.2017'!A:D,3,0),IF(H1437="Cotação",VLOOKUP(I1437,COTAÇÃO!A:D,3,0),IF(H1437="Composição",VLOOKUP(I1437,COMPOSIÇÃO!A:D,3,0))))))</f>
        <v>M</v>
      </c>
      <c r="M1437" s="870">
        <v>263</v>
      </c>
      <c r="N1437" s="399">
        <v>0</v>
      </c>
      <c r="O1437" s="102">
        <f>ROUND(IF(F1437="Serviços",N1437*(1+$O$7),IF(F1437="Materiais",N1437*(1+$O$8))),2)</f>
        <v>0</v>
      </c>
      <c r="P1437" s="101">
        <f>ROUND(M1437*O1437,2)</f>
        <v>0</v>
      </c>
      <c r="Q1437" s="1562">
        <v>263</v>
      </c>
      <c r="R1437" s="1563"/>
      <c r="S1437" s="1564"/>
      <c r="V1437" s="1566"/>
      <c r="W1437" s="1554"/>
      <c r="X1437" s="1554"/>
    </row>
    <row r="1438" spans="1:24" s="1565" customFormat="1" ht="12.75">
      <c r="A1438" s="1554"/>
      <c r="B1438" s="1554"/>
      <c r="C1438" s="1555">
        <f t="shared" si="237"/>
        <v>2</v>
      </c>
      <c r="D1438" s="1556">
        <v>2</v>
      </c>
      <c r="E1438" s="1556"/>
      <c r="F1438" s="1557" t="s">
        <v>11724</v>
      </c>
      <c r="G1438" s="1558"/>
      <c r="H1438" s="823"/>
      <c r="I1438" s="700"/>
      <c r="J1438" s="824"/>
      <c r="K1438" s="915" t="s">
        <v>14258</v>
      </c>
      <c r="L1438" s="700"/>
      <c r="M1438" s="870"/>
      <c r="N1438" s="399"/>
      <c r="O1438" s="344"/>
      <c r="P1438" s="342"/>
      <c r="Q1438" s="1562"/>
      <c r="R1438" s="1563"/>
      <c r="S1438" s="1564"/>
      <c r="V1438" s="1566"/>
      <c r="W1438" s="1554"/>
      <c r="X1438" s="1554"/>
    </row>
    <row r="1439" spans="1:24" s="1565" customFormat="1" ht="12.75">
      <c r="A1439" s="1554"/>
      <c r="B1439" s="1554"/>
      <c r="C1439" s="1555">
        <f t="shared" si="237"/>
        <v>2</v>
      </c>
      <c r="D1439" s="1556">
        <v>2</v>
      </c>
      <c r="E1439" s="1556"/>
      <c r="F1439" s="1557" t="s">
        <v>11724</v>
      </c>
      <c r="G1439" s="1558"/>
      <c r="H1439" s="823" t="s">
        <v>11722</v>
      </c>
      <c r="I1439" s="700" t="s">
        <v>14180</v>
      </c>
      <c r="J1439" s="824"/>
      <c r="K1439" s="790" t="str">
        <f>(IF(H1439="Saneago",VLOOKUP(I1439,'SANEAGO-FEV.2016'!A:B,2,0),IF(H1439="Sinapi",VLOOKUP(I1439,'SINAPI-FEV.2017'!A:D,2,0),IF(H1439="Cotação",VLOOKUP(I1439,COTAÇÃO!A:D,2,0),IF(H1439="Composição",VLOOKUP(I1439,COMPOSIÇÃO!A:D,2,0))))))</f>
        <v>Tubo com ponta e Bolsa em Fº Dúctil/Esgoto, classe K-7, JGS, DN 700, L=7,0 m</v>
      </c>
      <c r="L1439" s="700" t="str">
        <f>(IF(H1439="Saneago",VLOOKUP(I1439,'SANEAGO-FEV.2016'!A:D,3,0),IF(H1439="Sinapi",VLOOKUP(I1439,'SINAPI-FEV.2017'!A:D,3,0),IF(H1439="Cotação",VLOOKUP(I1439,COTAÇÃO!A:D,3,0),IF(H1439="Composição",VLOOKUP(I1439,COMPOSIÇÃO!A:D,3,0))))))</f>
        <v>un</v>
      </c>
      <c r="M1439" s="870">
        <v>29</v>
      </c>
      <c r="N1439" s="399">
        <v>0</v>
      </c>
      <c r="O1439" s="102">
        <f>ROUND(IF(F1439="Serviços",N1439*(1+$O$7),IF(F1439="Materiais",N1439*(1+$O$8))),2)</f>
        <v>0</v>
      </c>
      <c r="P1439" s="101">
        <f>ROUND(M1439*O1439,2)</f>
        <v>0</v>
      </c>
      <c r="Q1439" s="1562">
        <v>29</v>
      </c>
      <c r="R1439" s="1563"/>
      <c r="S1439" s="1564"/>
      <c r="V1439" s="1566"/>
      <c r="W1439" s="1554"/>
      <c r="X1439" s="1554"/>
    </row>
    <row r="1440" spans="1:24" s="1565" customFormat="1" ht="12.75">
      <c r="A1440" s="1554"/>
      <c r="B1440" s="1554"/>
      <c r="C1440" s="1555">
        <f t="shared" si="237"/>
        <v>2</v>
      </c>
      <c r="D1440" s="1556">
        <v>2</v>
      </c>
      <c r="E1440" s="1556"/>
      <c r="F1440" s="1557" t="s">
        <v>11724</v>
      </c>
      <c r="G1440" s="1558"/>
      <c r="H1440" s="823" t="s">
        <v>11722</v>
      </c>
      <c r="I1440" s="700" t="s">
        <v>14181</v>
      </c>
      <c r="J1440" s="824"/>
      <c r="K1440" s="790" t="str">
        <f>(IF(H1440="Saneago",VLOOKUP(I1440,'SANEAGO-FEV.2016'!A:B,2,0),IF(H1440="Sinapi",VLOOKUP(I1440,'SINAPI-FEV.2017'!A:D,2,0),IF(H1440="Cotação",VLOOKUP(I1440,COTAÇÃO!A:D,2,0),IF(H1440="Composição",VLOOKUP(I1440,COMPOSIÇÃO!A:D,2,0))))))</f>
        <v>Tubo com ponta e Bolsa  em Fº Dúctil/Esgoto, classe K-7, JGS, DN 700, L=3,0 m</v>
      </c>
      <c r="L1440" s="700" t="str">
        <f>(IF(H1440="Saneago",VLOOKUP(I1440,'SANEAGO-FEV.2016'!A:D,3,0),IF(H1440="Sinapi",VLOOKUP(I1440,'SINAPI-FEV.2017'!A:D,3,0),IF(H1440="Cotação",VLOOKUP(I1440,COTAÇÃO!A:D,3,0),IF(H1440="Composição",VLOOKUP(I1440,COMPOSIÇÃO!A:D,3,0))))))</f>
        <v>un</v>
      </c>
      <c r="M1440" s="870">
        <v>1</v>
      </c>
      <c r="N1440" s="399">
        <v>0</v>
      </c>
      <c r="O1440" s="102">
        <f>ROUND(IF(F1440="Serviços",N1440*(1+$O$7),IF(F1440="Materiais",N1440*(1+$O$8))),2)</f>
        <v>0</v>
      </c>
      <c r="P1440" s="101">
        <f>ROUND(M1440*O1440,2)</f>
        <v>0</v>
      </c>
      <c r="Q1440" s="1562">
        <v>1</v>
      </c>
      <c r="R1440" s="1563"/>
      <c r="S1440" s="1564"/>
      <c r="V1440" s="1566"/>
      <c r="W1440" s="1554"/>
      <c r="X1440" s="1554"/>
    </row>
    <row r="1441" spans="1:24" s="1565" customFormat="1" ht="13.5" thickBot="1">
      <c r="A1441" s="1554"/>
      <c r="B1441" s="1554"/>
      <c r="C1441" s="1555">
        <f t="shared" si="237"/>
        <v>2</v>
      </c>
      <c r="D1441" s="1556">
        <v>2</v>
      </c>
      <c r="E1441" s="1556"/>
      <c r="F1441" s="1557" t="s">
        <v>11724</v>
      </c>
      <c r="G1441" s="1558"/>
      <c r="H1441" s="823"/>
      <c r="I1441" s="700"/>
      <c r="J1441" s="824"/>
      <c r="K1441" s="790"/>
      <c r="L1441" s="700"/>
      <c r="M1441" s="870"/>
      <c r="N1441" s="399"/>
      <c r="O1441" s="344"/>
      <c r="P1441" s="342"/>
      <c r="Q1441" s="1562"/>
      <c r="R1441" s="1563"/>
      <c r="S1441" s="1564"/>
      <c r="V1441" s="1566"/>
      <c r="W1441" s="1554"/>
      <c r="X1441" s="1554"/>
    </row>
    <row r="1442" spans="1:24" s="1572" customFormat="1" ht="16.5" thickTop="1" thickBot="1">
      <c r="A1442" s="1554"/>
      <c r="B1442" s="1554"/>
      <c r="C1442" s="1555">
        <v>3</v>
      </c>
      <c r="D1442" s="1492">
        <v>0</v>
      </c>
      <c r="E1442" s="1492"/>
      <c r="F1442" s="1557" t="s">
        <v>11724</v>
      </c>
      <c r="G1442" s="1558"/>
      <c r="H1442" s="1559">
        <v>3</v>
      </c>
      <c r="I1442" s="1587" t="s">
        <v>14037</v>
      </c>
      <c r="J1442" s="1587"/>
      <c r="K1442" s="1587"/>
      <c r="L1442" s="1587"/>
      <c r="M1442" s="1587"/>
      <c r="N1442" s="401"/>
      <c r="O1442" s="268" t="s">
        <v>11702</v>
      </c>
      <c r="P1442" s="269">
        <f>SUBTOTAL(9,P1444:P1956)</f>
        <v>0</v>
      </c>
      <c r="Q1442" s="1567"/>
      <c r="R1442" s="1568"/>
      <c r="S1442" s="1569"/>
      <c r="T1442" s="1570"/>
      <c r="U1442" s="1570"/>
      <c r="V1442" s="1554"/>
      <c r="W1442" s="1571"/>
      <c r="X1442" s="1554"/>
    </row>
    <row r="1443" spans="1:24" ht="16.5" thickTop="1" thickBot="1">
      <c r="A1443" s="1482"/>
      <c r="B1443" s="1482"/>
      <c r="C1443" s="1555">
        <f t="shared" si="237"/>
        <v>3</v>
      </c>
      <c r="D1443" s="1483">
        <f>D1442</f>
        <v>0</v>
      </c>
      <c r="E1443" s="1492"/>
      <c r="F1443" s="1557" t="s">
        <v>11724</v>
      </c>
      <c r="G1443" s="921"/>
      <c r="H1443" s="1095"/>
      <c r="I1443" s="780"/>
      <c r="J1443" s="834"/>
      <c r="K1443" s="780"/>
      <c r="L1443" s="780"/>
      <c r="M1443" s="1270"/>
      <c r="N1443" s="400"/>
      <c r="O1443" s="122"/>
      <c r="P1443" s="123"/>
    </row>
    <row r="1444" spans="1:24" ht="16.5" thickTop="1" thickBot="1">
      <c r="A1444" s="1482"/>
      <c r="B1444" s="1482">
        <v>1</v>
      </c>
      <c r="C1444" s="1555">
        <f t="shared" si="237"/>
        <v>3</v>
      </c>
      <c r="D1444" s="1492">
        <f>D1443+B1444</f>
        <v>1</v>
      </c>
      <c r="E1444" s="1492"/>
      <c r="F1444" s="1557" t="s">
        <v>11724</v>
      </c>
      <c r="G1444" s="921"/>
      <c r="H1444" s="1510" t="str">
        <f>CONCATENATE(C1444,".",D1444)</f>
        <v>3.1</v>
      </c>
      <c r="I1444" s="1585" t="s">
        <v>12696</v>
      </c>
      <c r="J1444" s="1585"/>
      <c r="K1444" s="1585"/>
      <c r="L1444" s="1573" t="s">
        <v>25</v>
      </c>
      <c r="M1444" s="1574" t="s">
        <v>11704</v>
      </c>
      <c r="N1444" s="397" t="s">
        <v>11705</v>
      </c>
      <c r="O1444" s="99" t="s">
        <v>11706</v>
      </c>
      <c r="P1444" s="100">
        <f>SUBTOTAL(9,P1446:P1528)</f>
        <v>0</v>
      </c>
      <c r="Q1444" s="1472" t="s">
        <v>11704</v>
      </c>
    </row>
    <row r="1445" spans="1:24" ht="15.75" thickTop="1">
      <c r="A1445" s="1482"/>
      <c r="B1445" s="1482"/>
      <c r="C1445" s="1555">
        <f t="shared" si="237"/>
        <v>3</v>
      </c>
      <c r="D1445" s="1492">
        <f>D1444+B1445</f>
        <v>1</v>
      </c>
      <c r="E1445" s="1492"/>
      <c r="F1445" s="1557" t="s">
        <v>11724</v>
      </c>
      <c r="H1445" s="1095"/>
      <c r="I1445" s="780"/>
      <c r="J1445" s="834"/>
      <c r="K1445" s="780"/>
      <c r="L1445" s="780"/>
      <c r="M1445" s="1270"/>
      <c r="N1445" s="400"/>
      <c r="O1445" s="122"/>
      <c r="P1445" s="123"/>
    </row>
    <row r="1446" spans="1:24">
      <c r="A1446" s="1482"/>
      <c r="B1446" s="1482"/>
      <c r="C1446" s="1555">
        <f t="shared" si="237"/>
        <v>3</v>
      </c>
      <c r="D1446" s="1492">
        <f t="shared" ref="D1446:D1451" si="244">D1445+B1446</f>
        <v>1</v>
      </c>
      <c r="E1446" s="1492"/>
      <c r="F1446" s="1557" t="s">
        <v>11724</v>
      </c>
      <c r="H1446" s="1095" t="s">
        <v>11722</v>
      </c>
      <c r="I1446" s="780" t="s">
        <v>12819</v>
      </c>
      <c r="J1446" s="834"/>
      <c r="K1446" s="790" t="str">
        <f>(IF(H1446="Saneago",VLOOKUP(I1446,'SANEAGO-FEV.2016'!A:B,2,0),IF(H1446="Sinapi",VLOOKUP(I1446,'SINAPI-FEV.2017'!A:D,2,0),IF(H1446="Cotação",VLOOKUP(I1446,COTAÇÃO!A:D,2,0),IF(H1446="Composição",VLOOKUP(I1446,COMPOSIÇÃO!A:D,2,0))))))</f>
        <v>Arruelas para flanges, PN-10, DN100</v>
      </c>
      <c r="L1446" s="780" t="s">
        <v>1270</v>
      </c>
      <c r="M1446" s="1270">
        <v>5</v>
      </c>
      <c r="N1446" s="399">
        <v>0</v>
      </c>
      <c r="O1446" s="102">
        <f t="shared" ref="O1446:O1467" si="245">ROUND(IF(F1446="Serviços",N1446*(1+$O$7),IF(F1446="Materiais",N1446*(1+$O$8))),2)</f>
        <v>0</v>
      </c>
      <c r="P1446" s="101">
        <f>ROUND(M1446*O1446,2)</f>
        <v>0</v>
      </c>
      <c r="Q1446" s="1472">
        <v>5</v>
      </c>
    </row>
    <row r="1447" spans="1:24">
      <c r="A1447" s="1482"/>
      <c r="B1447" s="1482"/>
      <c r="C1447" s="1555">
        <f t="shared" si="237"/>
        <v>3</v>
      </c>
      <c r="D1447" s="1492">
        <f t="shared" si="244"/>
        <v>1</v>
      </c>
      <c r="E1447" s="1492"/>
      <c r="F1447" s="1557" t="s">
        <v>11724</v>
      </c>
      <c r="H1447" s="1095" t="s">
        <v>11722</v>
      </c>
      <c r="I1447" s="780" t="s">
        <v>12828</v>
      </c>
      <c r="J1447" s="834"/>
      <c r="K1447" s="790" t="str">
        <f>(IF(H1447="Saneago",VLOOKUP(I1447,'SANEAGO-FEV.2016'!A:B,2,0),IF(H1447="Sinapi",VLOOKUP(I1447,'SINAPI-FEV.2017'!A:D,2,0),IF(H1447="Cotação",VLOOKUP(I1447,COTAÇÃO!A:D,2,0),IF(H1447="Composição",VLOOKUP(I1447,COMPOSIÇÃO!A:D,2,0))))))</f>
        <v>Arruelas para flanges, PN-10, DN300</v>
      </c>
      <c r="L1447" s="780" t="s">
        <v>1270</v>
      </c>
      <c r="M1447" s="1270">
        <v>78</v>
      </c>
      <c r="N1447" s="399">
        <v>0</v>
      </c>
      <c r="O1447" s="102">
        <f t="shared" si="245"/>
        <v>0</v>
      </c>
      <c r="P1447" s="101">
        <f>ROUND(M1447*O1447,2)</f>
        <v>0</v>
      </c>
      <c r="Q1447" s="1472">
        <v>78</v>
      </c>
    </row>
    <row r="1448" spans="1:24">
      <c r="A1448" s="1482"/>
      <c r="B1448" s="1482"/>
      <c r="C1448" s="1555">
        <f t="shared" si="237"/>
        <v>3</v>
      </c>
      <c r="D1448" s="1492">
        <f t="shared" si="244"/>
        <v>1</v>
      </c>
      <c r="E1448" s="1492"/>
      <c r="F1448" s="1557" t="s">
        <v>11724</v>
      </c>
      <c r="H1448" s="1095" t="s">
        <v>11722</v>
      </c>
      <c r="I1448" s="780" t="s">
        <v>12831</v>
      </c>
      <c r="J1448" s="834"/>
      <c r="K1448" s="790" t="str">
        <f>(IF(H1448="Saneago",VLOOKUP(I1448,'SANEAGO-FEV.2016'!A:B,2,0),IF(H1448="Sinapi",VLOOKUP(I1448,'SINAPI-FEV.2017'!A:D,2,0),IF(H1448="Cotação",VLOOKUP(I1448,COTAÇÃO!A:D,2,0),IF(H1448="Composição",VLOOKUP(I1448,COMPOSIÇÃO!A:D,2,0))))))</f>
        <v>Arruelas para flanges, PN-10, DN400</v>
      </c>
      <c r="L1448" s="780" t="s">
        <v>1270</v>
      </c>
      <c r="M1448" s="1270">
        <v>19</v>
      </c>
      <c r="N1448" s="399">
        <v>0</v>
      </c>
      <c r="O1448" s="102">
        <f t="shared" si="245"/>
        <v>0</v>
      </c>
      <c r="P1448" s="101">
        <f t="shared" ref="P1448:P1491" si="246">ROUND(M1448*O1448,2)</f>
        <v>0</v>
      </c>
      <c r="Q1448" s="1472">
        <v>19</v>
      </c>
    </row>
    <row r="1449" spans="1:24">
      <c r="A1449" s="1482"/>
      <c r="B1449" s="1482"/>
      <c r="C1449" s="1555">
        <f t="shared" si="237"/>
        <v>3</v>
      </c>
      <c r="D1449" s="1492">
        <f t="shared" si="244"/>
        <v>1</v>
      </c>
      <c r="E1449" s="1492"/>
      <c r="F1449" s="1557" t="s">
        <v>11724</v>
      </c>
      <c r="H1449" s="1095" t="s">
        <v>11722</v>
      </c>
      <c r="I1449" s="780" t="s">
        <v>12833</v>
      </c>
      <c r="J1449" s="834"/>
      <c r="K1449" s="790" t="str">
        <f>(IF(H1449="Saneago",VLOOKUP(I1449,'SANEAGO-FEV.2016'!A:B,2,0),IF(H1449="Sinapi",VLOOKUP(I1449,'SINAPI-FEV.2017'!A:D,2,0),IF(H1449="Cotação",VLOOKUP(I1449,COTAÇÃO!A:D,2,0),IF(H1449="Composição",VLOOKUP(I1449,COMPOSIÇÃO!A:D,2,0))))))</f>
        <v>Arruelas para flanges, PN-10, DN600</v>
      </c>
      <c r="L1449" s="780" t="s">
        <v>1270</v>
      </c>
      <c r="M1449" s="1270">
        <v>2</v>
      </c>
      <c r="N1449" s="399">
        <v>0</v>
      </c>
      <c r="O1449" s="102">
        <f t="shared" si="245"/>
        <v>0</v>
      </c>
      <c r="P1449" s="101">
        <f t="shared" si="246"/>
        <v>0</v>
      </c>
      <c r="Q1449" s="1472">
        <v>2</v>
      </c>
    </row>
    <row r="1450" spans="1:24">
      <c r="A1450" s="1482"/>
      <c r="B1450" s="1482"/>
      <c r="C1450" s="1555">
        <f t="shared" si="237"/>
        <v>3</v>
      </c>
      <c r="D1450" s="1492">
        <f t="shared" si="244"/>
        <v>1</v>
      </c>
      <c r="E1450" s="1492"/>
      <c r="F1450" s="1557" t="s">
        <v>11724</v>
      </c>
      <c r="H1450" s="1095" t="s">
        <v>11722</v>
      </c>
      <c r="I1450" s="780" t="s">
        <v>12835</v>
      </c>
      <c r="J1450" s="834"/>
      <c r="K1450" s="790" t="str">
        <f>(IF(H1450="Saneago",VLOOKUP(I1450,'SANEAGO-FEV.2016'!A:B,2,0),IF(H1450="Sinapi",VLOOKUP(I1450,'SINAPI-FEV.2017'!A:D,2,0),IF(H1450="Cotação",VLOOKUP(I1450,COTAÇÃO!A:D,2,0),IF(H1450="Composição",VLOOKUP(I1450,COMPOSIÇÃO!A:D,2,0))))))</f>
        <v>Arruelas para flanges, PN-10, DN80</v>
      </c>
      <c r="L1450" s="780" t="s">
        <v>1270</v>
      </c>
      <c r="M1450" s="1270">
        <v>24</v>
      </c>
      <c r="N1450" s="399">
        <v>0</v>
      </c>
      <c r="O1450" s="102">
        <f t="shared" si="245"/>
        <v>0</v>
      </c>
      <c r="P1450" s="101">
        <f t="shared" si="246"/>
        <v>0</v>
      </c>
      <c r="Q1450" s="1472">
        <v>24</v>
      </c>
    </row>
    <row r="1451" spans="1:24" ht="22.5">
      <c r="A1451" s="1482"/>
      <c r="B1451" s="1482"/>
      <c r="C1451" s="1555">
        <f t="shared" si="237"/>
        <v>3</v>
      </c>
      <c r="D1451" s="1492">
        <f t="shared" si="244"/>
        <v>1</v>
      </c>
      <c r="E1451" s="1492"/>
      <c r="F1451" s="1557" t="s">
        <v>11724</v>
      </c>
      <c r="H1451" s="1095" t="s">
        <v>70</v>
      </c>
      <c r="I1451" s="780">
        <v>11927</v>
      </c>
      <c r="J1451" s="834"/>
      <c r="K1451" s="790" t="str">
        <f>(IF(H1451="Saneago",VLOOKUP(I1451,'SANEAGO-FEV.2016'!A:B,2,0),IF(H1451="Sinapi",VLOOKUP(I1451,'SINAPI-FEV.2017'!A:D,2,0),IF(H1451="Cotação",VLOOKUP(I1451,COTAÇÃO!A:D,2,0),IF(H1451="Composição",VLOOKUP(I1451,COMPOSIÇÃO!A:D,2,0))))))</f>
        <v>ABRACADEIRA, GALVANIZADA/ZINCADA, ROSCA SEM FIM, PARAFUSO INOX, LARGURA  FITA *12,6 A *14 MM, D = 2" A 2 1/2"</v>
      </c>
      <c r="L1451" s="780" t="s">
        <v>1270</v>
      </c>
      <c r="M1451" s="1270">
        <v>1</v>
      </c>
      <c r="N1451" s="399">
        <v>0</v>
      </c>
      <c r="O1451" s="102">
        <f t="shared" si="245"/>
        <v>0</v>
      </c>
      <c r="P1451" s="101">
        <f t="shared" si="246"/>
        <v>0</v>
      </c>
      <c r="Q1451" s="1472">
        <v>1</v>
      </c>
    </row>
    <row r="1452" spans="1:24" ht="22.5">
      <c r="A1452" s="1482"/>
      <c r="B1452" s="1482"/>
      <c r="C1452" s="1555">
        <f t="shared" si="237"/>
        <v>3</v>
      </c>
      <c r="D1452" s="1492">
        <f>D1975+B1452</f>
        <v>1</v>
      </c>
      <c r="E1452" s="1492"/>
      <c r="F1452" s="1557" t="s">
        <v>11724</v>
      </c>
      <c r="H1452" s="1095" t="s">
        <v>11722</v>
      </c>
      <c r="I1452" s="780" t="s">
        <v>13141</v>
      </c>
      <c r="J1452" s="834"/>
      <c r="K1452" s="790" t="str">
        <f>(IF(H1452="Saneago",VLOOKUP(I1452,'SANEAGO-FEV.2016'!A:B,2,0),IF(H1452="Sinapi",VLOOKUP(I1452,'SINAPI-FEV.2017'!A:D,2,0),IF(H1452="Cotação",VLOOKUP(I1452,COTAÇÃO!A:D,2,0),IF(H1452="Composição",VLOOKUP(I1452,COMPOSIÇÃO!A:D,2,0))))))</f>
        <v>Curva 90° em aço ASTM 120, DIM 2440, SCHEDULE 40 com pontas para solda e revestimento para peças enterradas, PN-10, DN65</v>
      </c>
      <c r="L1452" s="780" t="s">
        <v>1270</v>
      </c>
      <c r="M1452" s="1270">
        <v>14</v>
      </c>
      <c r="N1452" s="399">
        <v>0</v>
      </c>
      <c r="O1452" s="102">
        <f t="shared" si="245"/>
        <v>0</v>
      </c>
      <c r="P1452" s="101">
        <f t="shared" si="246"/>
        <v>0</v>
      </c>
      <c r="Q1452" s="1472">
        <v>14</v>
      </c>
    </row>
    <row r="1453" spans="1:24">
      <c r="A1453" s="1482"/>
      <c r="B1453" s="1482"/>
      <c r="C1453" s="1555">
        <f t="shared" si="237"/>
        <v>3</v>
      </c>
      <c r="D1453" s="1492">
        <f t="shared" ref="D1453:D1502" si="247">D1452+B1453</f>
        <v>1</v>
      </c>
      <c r="E1453" s="1492"/>
      <c r="F1453" s="1557" t="s">
        <v>11724</v>
      </c>
      <c r="H1453" s="1095" t="s">
        <v>11722</v>
      </c>
      <c r="I1453" s="780" t="s">
        <v>12849</v>
      </c>
      <c r="J1453" s="834"/>
      <c r="K1453" s="790" t="str">
        <f>(IF(H1453="Saneago",VLOOKUP(I1453,'SANEAGO-FEV.2016'!A:B,2,0),IF(H1453="Sinapi",VLOOKUP(I1453,'SINAPI-FEV.2017'!A:D,2,0),IF(H1453="Cotação",VLOOKUP(I1453,COTAÇÃO!A:D,2,0),IF(H1453="Composição",VLOOKUP(I1453,COMPOSIÇÃO!A:D,2,0))))))</f>
        <v>Curva 90° em FºFº com flanges, PN-10,  DN80</v>
      </c>
      <c r="L1453" s="780" t="s">
        <v>1270</v>
      </c>
      <c r="M1453" s="1270">
        <v>8</v>
      </c>
      <c r="N1453" s="399">
        <v>0</v>
      </c>
      <c r="O1453" s="102">
        <f t="shared" si="245"/>
        <v>0</v>
      </c>
      <c r="P1453" s="101">
        <f t="shared" si="246"/>
        <v>0</v>
      </c>
      <c r="Q1453" s="1472">
        <v>8</v>
      </c>
    </row>
    <row r="1454" spans="1:24">
      <c r="A1454" s="1482"/>
      <c r="B1454" s="1482"/>
      <c r="C1454" s="1555">
        <f t="shared" si="237"/>
        <v>3</v>
      </c>
      <c r="D1454" s="1492">
        <f t="shared" si="247"/>
        <v>1</v>
      </c>
      <c r="E1454" s="1492"/>
      <c r="F1454" s="1557" t="s">
        <v>11724</v>
      </c>
      <c r="H1454" s="1095" t="s">
        <v>11722</v>
      </c>
      <c r="I1454" s="780" t="s">
        <v>12857</v>
      </c>
      <c r="J1454" s="834"/>
      <c r="K1454" s="790" t="str">
        <f>(IF(H1454="Saneago",VLOOKUP(I1454,'SANEAGO-FEV.2016'!A:B,2,0),IF(H1454="Sinapi",VLOOKUP(I1454,'SINAPI-FEV.2017'!A:D,2,0),IF(H1454="Cotação",VLOOKUP(I1454,COTAÇÃO!A:D,2,0),IF(H1454="Composição",VLOOKUP(I1454,COMPOSIÇÃO!A:D,2,0))))))</f>
        <v>Curva de 45° em FºFº com flanges, PN-10, DN300</v>
      </c>
      <c r="L1454" s="780" t="s">
        <v>1270</v>
      </c>
      <c r="M1454" s="1270">
        <v>6</v>
      </c>
      <c r="N1454" s="399">
        <v>0</v>
      </c>
      <c r="O1454" s="102">
        <f t="shared" si="245"/>
        <v>0</v>
      </c>
      <c r="P1454" s="101">
        <f t="shared" si="246"/>
        <v>0</v>
      </c>
      <c r="Q1454" s="1472">
        <v>6</v>
      </c>
    </row>
    <row r="1455" spans="1:24">
      <c r="A1455" s="1482"/>
      <c r="B1455" s="1482"/>
      <c r="C1455" s="1555">
        <f t="shared" si="237"/>
        <v>3</v>
      </c>
      <c r="D1455" s="1492">
        <f t="shared" si="247"/>
        <v>1</v>
      </c>
      <c r="E1455" s="1492"/>
      <c r="F1455" s="1557" t="s">
        <v>11724</v>
      </c>
      <c r="H1455" s="1095" t="s">
        <v>11722</v>
      </c>
      <c r="I1455" s="780" t="s">
        <v>12859</v>
      </c>
      <c r="J1455" s="834"/>
      <c r="K1455" s="790" t="str">
        <f>(IF(H1455="Saneago",VLOOKUP(I1455,'SANEAGO-FEV.2016'!A:B,2,0),IF(H1455="Sinapi",VLOOKUP(I1455,'SINAPI-FEV.2017'!A:D,2,0),IF(H1455="Cotação",VLOOKUP(I1455,COTAÇÃO!A:D,2,0),IF(H1455="Composição",VLOOKUP(I1455,COMPOSIÇÃO!A:D,2,0))))))</f>
        <v>Curva de 45° em FºFº, com bolsas,  JGS, DN100</v>
      </c>
      <c r="L1455" s="780" t="s">
        <v>1270</v>
      </c>
      <c r="M1455" s="1270">
        <v>1</v>
      </c>
      <c r="N1455" s="399">
        <v>0</v>
      </c>
      <c r="O1455" s="102">
        <f t="shared" si="245"/>
        <v>0</v>
      </c>
      <c r="P1455" s="101">
        <f t="shared" si="246"/>
        <v>0</v>
      </c>
      <c r="Q1455" s="1472">
        <v>1</v>
      </c>
    </row>
    <row r="1456" spans="1:24">
      <c r="A1456" s="1482"/>
      <c r="B1456" s="1482"/>
      <c r="C1456" s="1555">
        <f t="shared" si="237"/>
        <v>3</v>
      </c>
      <c r="D1456" s="1492">
        <f t="shared" si="247"/>
        <v>1</v>
      </c>
      <c r="E1456" s="1492"/>
      <c r="F1456" s="1557" t="s">
        <v>11724</v>
      </c>
      <c r="H1456" s="1095" t="s">
        <v>11722</v>
      </c>
      <c r="I1456" s="780" t="s">
        <v>12861</v>
      </c>
      <c r="J1456" s="834"/>
      <c r="K1456" s="790" t="str">
        <f>(IF(H1456="Saneago",VLOOKUP(I1456,'SANEAGO-FEV.2016'!A:B,2,0),IF(H1456="Sinapi",VLOOKUP(I1456,'SINAPI-FEV.2017'!A:D,2,0),IF(H1456="Cotação",VLOOKUP(I1456,COTAÇÃO!A:D,2,0),IF(H1456="Composição",VLOOKUP(I1456,COMPOSIÇÃO!A:D,2,0))))))</f>
        <v>Curva de 90° em FºFº com flanges PN-10, DN300</v>
      </c>
      <c r="L1456" s="780" t="s">
        <v>1270</v>
      </c>
      <c r="M1456" s="1270">
        <v>10</v>
      </c>
      <c r="N1456" s="399">
        <v>0</v>
      </c>
      <c r="O1456" s="102">
        <f t="shared" si="245"/>
        <v>0</v>
      </c>
      <c r="P1456" s="101">
        <f t="shared" si="246"/>
        <v>0</v>
      </c>
      <c r="Q1456" s="1472">
        <v>10</v>
      </c>
    </row>
    <row r="1457" spans="1:17">
      <c r="A1457" s="1482"/>
      <c r="B1457" s="1482"/>
      <c r="C1457" s="1555">
        <f t="shared" si="237"/>
        <v>3</v>
      </c>
      <c r="D1457" s="1492">
        <f t="shared" si="247"/>
        <v>1</v>
      </c>
      <c r="E1457" s="1492"/>
      <c r="F1457" s="1557" t="s">
        <v>11724</v>
      </c>
      <c r="H1457" s="1095" t="s">
        <v>11722</v>
      </c>
      <c r="I1457" s="780" t="s">
        <v>12863</v>
      </c>
      <c r="J1457" s="834"/>
      <c r="K1457" s="790" t="str">
        <f>(IF(H1457="Saneago",VLOOKUP(I1457,'SANEAGO-FEV.2016'!A:B,2,0),IF(H1457="Sinapi",VLOOKUP(I1457,'SINAPI-FEV.2017'!A:D,2,0),IF(H1457="Cotação",VLOOKUP(I1457,COTAÇÃO!A:D,2,0),IF(H1457="Composição",VLOOKUP(I1457,COMPOSIÇÃO!A:D,2,0))))))</f>
        <v>Curva de 90° em FºFº, com bolsas,  JGS, DN400</v>
      </c>
      <c r="L1457" s="780" t="s">
        <v>1270</v>
      </c>
      <c r="M1457" s="1270">
        <v>1</v>
      </c>
      <c r="N1457" s="399">
        <v>0</v>
      </c>
      <c r="O1457" s="102">
        <f t="shared" si="245"/>
        <v>0</v>
      </c>
      <c r="P1457" s="101">
        <f t="shared" si="246"/>
        <v>0</v>
      </c>
      <c r="Q1457" s="1472">
        <v>1</v>
      </c>
    </row>
    <row r="1458" spans="1:17" ht="22.5">
      <c r="A1458" s="1482"/>
      <c r="B1458" s="1482"/>
      <c r="C1458" s="1555">
        <f t="shared" si="237"/>
        <v>3</v>
      </c>
      <c r="D1458" s="1492">
        <f t="shared" si="247"/>
        <v>1</v>
      </c>
      <c r="E1458" s="1492"/>
      <c r="F1458" s="1557" t="s">
        <v>11724</v>
      </c>
      <c r="H1458" s="1095" t="s">
        <v>11722</v>
      </c>
      <c r="I1458" s="780" t="s">
        <v>12867</v>
      </c>
      <c r="J1458" s="834"/>
      <c r="K1458" s="790" t="str">
        <f>(IF(H1458="Saneago",VLOOKUP(I1458,'SANEAGO-FEV.2016'!A:B,2,0),IF(H1458="Sinapi",VLOOKUP(I1458,'SINAPI-FEV.2017'!A:D,2,0),IF(H1458="Cotação",VLOOKUP(I1458,COTAÇÃO!A:D,2,0),IF(H1458="Composição",VLOOKUP(I1458,COMPOSIÇÃO!A:D,2,0))))))</f>
        <v>Extremidade em FºFº com flanges e ponta com aba de vedação, PN-10, DN700, L=0,45m</v>
      </c>
      <c r="L1458" s="780" t="s">
        <v>1270</v>
      </c>
      <c r="M1458" s="1270">
        <v>1</v>
      </c>
      <c r="N1458" s="399">
        <v>0</v>
      </c>
      <c r="O1458" s="102">
        <f t="shared" si="245"/>
        <v>0</v>
      </c>
      <c r="P1458" s="101">
        <f t="shared" si="246"/>
        <v>0</v>
      </c>
      <c r="Q1458" s="1472">
        <v>1</v>
      </c>
    </row>
    <row r="1459" spans="1:17">
      <c r="A1459" s="1482"/>
      <c r="B1459" s="1482"/>
      <c r="C1459" s="1555">
        <f t="shared" ref="C1459:C1522" si="248">C1458</f>
        <v>3</v>
      </c>
      <c r="D1459" s="1492">
        <f t="shared" si="247"/>
        <v>1</v>
      </c>
      <c r="E1459" s="1492"/>
      <c r="F1459" s="1557" t="s">
        <v>11724</v>
      </c>
      <c r="H1459" s="1095" t="s">
        <v>11722</v>
      </c>
      <c r="I1459" s="780" t="s">
        <v>12887</v>
      </c>
      <c r="J1459" s="834"/>
      <c r="K1459" s="790" t="str">
        <f>(IF(H1459="Saneago",VLOOKUP(I1459,'SANEAGO-FEV.2016'!A:B,2,0),IF(H1459="Sinapi",VLOOKUP(I1459,'SINAPI-FEV.2017'!A:D,2,0),IF(H1459="Cotação",VLOOKUP(I1459,COTAÇÃO!A:D,2,0),IF(H1459="Composição",VLOOKUP(I1459,COMPOSIÇÃO!A:D,2,0))))))</f>
        <v>Flange cego em FºFº com flanges, PN-10, DN400</v>
      </c>
      <c r="L1459" s="780" t="s">
        <v>1270</v>
      </c>
      <c r="M1459" s="1270">
        <v>1</v>
      </c>
      <c r="N1459" s="399">
        <v>0</v>
      </c>
      <c r="O1459" s="102">
        <f t="shared" si="245"/>
        <v>0</v>
      </c>
      <c r="P1459" s="101">
        <f t="shared" si="246"/>
        <v>0</v>
      </c>
      <c r="Q1459" s="1472">
        <v>1</v>
      </c>
    </row>
    <row r="1460" spans="1:17">
      <c r="A1460" s="1482"/>
      <c r="B1460" s="1482"/>
      <c r="C1460" s="1555">
        <f t="shared" si="248"/>
        <v>3</v>
      </c>
      <c r="D1460" s="1492">
        <f t="shared" si="247"/>
        <v>1</v>
      </c>
      <c r="E1460" s="1492"/>
      <c r="F1460" s="1557" t="s">
        <v>11724</v>
      </c>
      <c r="H1460" s="1095" t="s">
        <v>11722</v>
      </c>
      <c r="I1460" s="780" t="s">
        <v>13235</v>
      </c>
      <c r="J1460" s="834"/>
      <c r="K1460" s="790" t="str">
        <f>(IF(H1460="Saneago",VLOOKUP(I1460,'SANEAGO-FEV.2016'!A:B,2,0),IF(H1460="Sinapi",VLOOKUP(I1460,'SINAPI-FEV.2017'!A:D,2,0),IF(H1460="Cotação",VLOOKUP(I1460,COTAÇÃO!A:D,2,0),IF(H1460="Composição",VLOOKUP(I1460,COMPOSIÇÃO!A:D,2,0))))))</f>
        <v>Grade de piso anti-derrapante em aluminio Tipo 1 (1,66x0,62m)</v>
      </c>
      <c r="L1460" s="780" t="s">
        <v>10854</v>
      </c>
      <c r="M1460" s="1270">
        <v>1</v>
      </c>
      <c r="N1460" s="399">
        <v>0</v>
      </c>
      <c r="O1460" s="102">
        <f t="shared" si="245"/>
        <v>0</v>
      </c>
      <c r="P1460" s="101">
        <f t="shared" si="246"/>
        <v>0</v>
      </c>
      <c r="Q1460" s="1472">
        <v>1</v>
      </c>
    </row>
    <row r="1461" spans="1:17">
      <c r="A1461" s="1482"/>
      <c r="B1461" s="1482"/>
      <c r="C1461" s="1555">
        <f t="shared" si="248"/>
        <v>3</v>
      </c>
      <c r="D1461" s="1492">
        <f t="shared" si="247"/>
        <v>1</v>
      </c>
      <c r="E1461" s="1492"/>
      <c r="F1461" s="1557" t="s">
        <v>11724</v>
      </c>
      <c r="H1461" s="1095" t="s">
        <v>11722</v>
      </c>
      <c r="I1461" s="780" t="s">
        <v>13237</v>
      </c>
      <c r="J1461" s="834"/>
      <c r="K1461" s="790" t="str">
        <f>(IF(H1461="Saneago",VLOOKUP(I1461,'SANEAGO-FEV.2016'!A:B,2,0),IF(H1461="Sinapi",VLOOKUP(I1461,'SINAPI-FEV.2017'!A:D,2,0),IF(H1461="Cotação",VLOOKUP(I1461,COTAÇÃO!A:D,2,0),IF(H1461="Composição",VLOOKUP(I1461,COMPOSIÇÃO!A:D,2,0))))))</f>
        <v>Grade de piso anti-derrapante em aluminio Tipo 3 (1,19x0,58m)</v>
      </c>
      <c r="L1461" s="780" t="s">
        <v>10854</v>
      </c>
      <c r="M1461" s="1270">
        <v>2</v>
      </c>
      <c r="N1461" s="399">
        <v>0</v>
      </c>
      <c r="O1461" s="102">
        <f t="shared" si="245"/>
        <v>0</v>
      </c>
      <c r="P1461" s="101">
        <f t="shared" si="246"/>
        <v>0</v>
      </c>
      <c r="Q1461" s="1472">
        <v>2</v>
      </c>
    </row>
    <row r="1462" spans="1:17">
      <c r="A1462" s="1482"/>
      <c r="B1462" s="1482"/>
      <c r="C1462" s="1555">
        <f t="shared" si="248"/>
        <v>3</v>
      </c>
      <c r="D1462" s="1492">
        <f t="shared" si="247"/>
        <v>1</v>
      </c>
      <c r="E1462" s="1492"/>
      <c r="F1462" s="1557" t="s">
        <v>11724</v>
      </c>
      <c r="H1462" s="1095" t="s">
        <v>11722</v>
      </c>
      <c r="I1462" s="780" t="s">
        <v>13239</v>
      </c>
      <c r="J1462" s="834"/>
      <c r="K1462" s="790" t="str">
        <f>(IF(H1462="Saneago",VLOOKUP(I1462,'SANEAGO-FEV.2016'!A:B,2,0),IF(H1462="Sinapi",VLOOKUP(I1462,'SINAPI-FEV.2017'!A:D,2,0),IF(H1462="Cotação",VLOOKUP(I1462,COTAÇÃO!A:D,2,0),IF(H1462="Composição",VLOOKUP(I1462,COMPOSIÇÃO!A:D,2,0))))))</f>
        <v>Grade de piso anti-derrapante em aluminio Tipo 4 (1,00x0,80m)</v>
      </c>
      <c r="L1462" s="780" t="s">
        <v>10854</v>
      </c>
      <c r="M1462" s="1270">
        <v>2</v>
      </c>
      <c r="N1462" s="399">
        <v>0</v>
      </c>
      <c r="O1462" s="102">
        <f t="shared" si="245"/>
        <v>0</v>
      </c>
      <c r="P1462" s="101">
        <f t="shared" si="246"/>
        <v>0</v>
      </c>
      <c r="Q1462" s="1472">
        <v>2</v>
      </c>
    </row>
    <row r="1463" spans="1:17">
      <c r="A1463" s="1482"/>
      <c r="B1463" s="1482"/>
      <c r="C1463" s="1555">
        <f t="shared" si="248"/>
        <v>3</v>
      </c>
      <c r="D1463" s="1492">
        <f t="shared" si="247"/>
        <v>1</v>
      </c>
      <c r="E1463" s="1492"/>
      <c r="F1463" s="1557" t="s">
        <v>11724</v>
      </c>
      <c r="H1463" s="1095" t="s">
        <v>11722</v>
      </c>
      <c r="I1463" s="780" t="s">
        <v>13241</v>
      </c>
      <c r="J1463" s="834"/>
      <c r="K1463" s="790" t="str">
        <f>(IF(H1463="Saneago",VLOOKUP(I1463,'SANEAGO-FEV.2016'!A:B,2,0),IF(H1463="Sinapi",VLOOKUP(I1463,'SINAPI-FEV.2017'!A:D,2,0),IF(H1463="Cotação",VLOOKUP(I1463,COTAÇÃO!A:D,2,0),IF(H1463="Composição",VLOOKUP(I1463,COMPOSIÇÃO!A:D,2,0))))))</f>
        <v>Grade de piso anti-derrapante em aluminioTipo 2 (1,05x0,74m)</v>
      </c>
      <c r="L1463" s="780" t="s">
        <v>10854</v>
      </c>
      <c r="M1463" s="1270">
        <v>2</v>
      </c>
      <c r="N1463" s="399">
        <v>0</v>
      </c>
      <c r="O1463" s="102">
        <f t="shared" si="245"/>
        <v>0</v>
      </c>
      <c r="P1463" s="101">
        <f t="shared" si="246"/>
        <v>0</v>
      </c>
      <c r="Q1463" s="1472">
        <v>2</v>
      </c>
    </row>
    <row r="1464" spans="1:17">
      <c r="A1464" s="1482"/>
      <c r="B1464" s="1482"/>
      <c r="C1464" s="1555">
        <f t="shared" si="248"/>
        <v>3</v>
      </c>
      <c r="D1464" s="1492">
        <f t="shared" si="247"/>
        <v>1</v>
      </c>
      <c r="E1464" s="1492"/>
      <c r="F1464" s="1557" t="s">
        <v>11724</v>
      </c>
      <c r="H1464" s="1095" t="s">
        <v>11722</v>
      </c>
      <c r="I1464" s="780" t="s">
        <v>13243</v>
      </c>
      <c r="J1464" s="834"/>
      <c r="K1464" s="790" t="str">
        <f>(IF(H1464="Saneago",VLOOKUP(I1464,'SANEAGO-FEV.2016'!A:B,2,0),IF(H1464="Sinapi",VLOOKUP(I1464,'SINAPI-FEV.2017'!A:D,2,0),IF(H1464="Cotação",VLOOKUP(I1464,COTAÇÃO!A:D,2,0),IF(H1464="Composição",VLOOKUP(I1464,COMPOSIÇÃO!A:D,2,0))))))</f>
        <v>Grade de piso anti-derrapante em aluminioTipo 5 (0,87x0,90m)</v>
      </c>
      <c r="L1464" s="780" t="s">
        <v>10854</v>
      </c>
      <c r="M1464" s="1270">
        <v>5</v>
      </c>
      <c r="N1464" s="399">
        <v>0</v>
      </c>
      <c r="O1464" s="102">
        <f t="shared" si="245"/>
        <v>0</v>
      </c>
      <c r="P1464" s="101">
        <f t="shared" si="246"/>
        <v>0</v>
      </c>
      <c r="Q1464" s="1472">
        <v>5</v>
      </c>
    </row>
    <row r="1465" spans="1:17">
      <c r="A1465" s="1482"/>
      <c r="B1465" s="1482"/>
      <c r="C1465" s="1555">
        <f t="shared" si="248"/>
        <v>3</v>
      </c>
      <c r="D1465" s="1492">
        <f t="shared" si="247"/>
        <v>1</v>
      </c>
      <c r="E1465" s="1492"/>
      <c r="F1465" s="1557" t="s">
        <v>11724</v>
      </c>
      <c r="H1465" s="1095" t="s">
        <v>11722</v>
      </c>
      <c r="I1465" s="780" t="s">
        <v>13245</v>
      </c>
      <c r="J1465" s="834"/>
      <c r="K1465" s="790" t="str">
        <f>(IF(H1465="Saneago",VLOOKUP(I1465,'SANEAGO-FEV.2016'!A:B,2,0),IF(H1465="Sinapi",VLOOKUP(I1465,'SINAPI-FEV.2017'!A:D,2,0),IF(H1465="Cotação",VLOOKUP(I1465,COTAÇÃO!A:D,2,0),IF(H1465="Composição",VLOOKUP(I1465,COMPOSIÇÃO!A:D,2,0))))))</f>
        <v>Grade de piso anti-derrapante em aluminioTipo 6 (1,00x1,00m)</v>
      </c>
      <c r="L1465" s="780" t="s">
        <v>10854</v>
      </c>
      <c r="M1465" s="1270">
        <v>1</v>
      </c>
      <c r="N1465" s="399">
        <v>0</v>
      </c>
      <c r="O1465" s="102">
        <f t="shared" si="245"/>
        <v>0</v>
      </c>
      <c r="P1465" s="101">
        <f t="shared" si="246"/>
        <v>0</v>
      </c>
      <c r="Q1465" s="1472">
        <v>1</v>
      </c>
    </row>
    <row r="1466" spans="1:17">
      <c r="A1466" s="1482"/>
      <c r="B1466" s="1482"/>
      <c r="C1466" s="1555">
        <f t="shared" si="248"/>
        <v>3</v>
      </c>
      <c r="D1466" s="1492">
        <f t="shared" si="247"/>
        <v>1</v>
      </c>
      <c r="E1466" s="1492"/>
      <c r="F1466" s="1557" t="s">
        <v>11724</v>
      </c>
      <c r="H1466" s="1095" t="s">
        <v>11722</v>
      </c>
      <c r="I1466" s="780" t="s">
        <v>13247</v>
      </c>
      <c r="J1466" s="834"/>
      <c r="K1466" s="790" t="str">
        <f>(IF(H1466="Saneago",VLOOKUP(I1466,'SANEAGO-FEV.2016'!A:B,2,0),IF(H1466="Sinapi",VLOOKUP(I1466,'SINAPI-FEV.2017'!A:D,2,0),IF(H1466="Cotação",VLOOKUP(I1466,COTAÇÃO!A:D,2,0),IF(H1466="Composição",VLOOKUP(I1466,COMPOSIÇÃO!A:D,2,0))))))</f>
        <v>Grade de piso, antiderrapante em alumínio (1,45x0,65m)</v>
      </c>
      <c r="L1466" s="780" t="s">
        <v>10854</v>
      </c>
      <c r="M1466" s="1270">
        <v>1</v>
      </c>
      <c r="N1466" s="399">
        <v>0</v>
      </c>
      <c r="O1466" s="102">
        <f t="shared" si="245"/>
        <v>0</v>
      </c>
      <c r="P1466" s="101">
        <f t="shared" si="246"/>
        <v>0</v>
      </c>
      <c r="Q1466" s="1472">
        <v>1</v>
      </c>
    </row>
    <row r="1467" spans="1:17" ht="22.5">
      <c r="A1467" s="1482"/>
      <c r="B1467" s="1482"/>
      <c r="C1467" s="1555">
        <f t="shared" si="248"/>
        <v>3</v>
      </c>
      <c r="D1467" s="1492">
        <f>D1466+B1467</f>
        <v>1</v>
      </c>
      <c r="E1467" s="1492"/>
      <c r="F1467" s="1557" t="s">
        <v>11724</v>
      </c>
      <c r="H1467" s="1095" t="s">
        <v>11722</v>
      </c>
      <c r="I1467" s="780" t="s">
        <v>12891</v>
      </c>
      <c r="J1467" s="834"/>
      <c r="K1467" s="790" t="str">
        <f>(IF(H1467="Saneago",VLOOKUP(I1467,'SANEAGO-FEV.2016'!A:B,2,0),IF(H1467="Sinapi",VLOOKUP(I1467,'SINAPI-FEV.2017'!A:D,2,0),IF(H1467="Cotação",VLOOKUP(I1467,COTAÇÃO!A:D,2,0),IF(H1467="Composição",VLOOKUP(I1467,COMPOSIÇÃO!A:D,2,0))))))</f>
        <v>Junta de desmontagem em FºFº com flanges, travada axialmente com tirantes, PN-10, DN100</v>
      </c>
      <c r="L1467" s="780" t="s">
        <v>1270</v>
      </c>
      <c r="M1467" s="1270">
        <v>1</v>
      </c>
      <c r="N1467" s="399">
        <v>0</v>
      </c>
      <c r="O1467" s="102">
        <f t="shared" si="245"/>
        <v>0</v>
      </c>
      <c r="P1467" s="101">
        <f t="shared" si="246"/>
        <v>0</v>
      </c>
      <c r="Q1467" s="1472">
        <v>1</v>
      </c>
    </row>
    <row r="1468" spans="1:17" ht="22.5">
      <c r="A1468" s="1482"/>
      <c r="B1468" s="1482"/>
      <c r="C1468" s="1555">
        <f t="shared" si="248"/>
        <v>3</v>
      </c>
      <c r="D1468" s="1492">
        <f t="shared" si="247"/>
        <v>1</v>
      </c>
      <c r="E1468" s="1492"/>
      <c r="F1468" s="1557" t="s">
        <v>11724</v>
      </c>
      <c r="H1468" s="1095" t="s">
        <v>11722</v>
      </c>
      <c r="I1468" s="780" t="s">
        <v>12893</v>
      </c>
      <c r="J1468" s="834"/>
      <c r="K1468" s="790" t="str">
        <f>(IF(H1468="Saneago",VLOOKUP(I1468,'SANEAGO-FEV.2016'!A:B,2,0),IF(H1468="Sinapi",VLOOKUP(I1468,'SINAPI-FEV.2017'!A:D,2,0),IF(H1468="Cotação",VLOOKUP(I1468,COTAÇÃO!A:D,2,0),IF(H1468="Composição",VLOOKUP(I1468,COMPOSIÇÃO!A:D,2,0))))))</f>
        <v>Junta de desmontagem em FºFº com flanges, travada axialmente com tirantes, PN-10, DN300</v>
      </c>
      <c r="L1468" s="780" t="s">
        <v>1270</v>
      </c>
      <c r="M1468" s="1270">
        <v>10</v>
      </c>
      <c r="N1468" s="399">
        <v>0</v>
      </c>
      <c r="O1468" s="102">
        <f t="shared" ref="O1468:O1491" si="249">ROUND(IF(F1468="Serviços",N1468*(1+$O$7),IF(F1468="Materiais",N1468*(1+$O$8))),2)</f>
        <v>0</v>
      </c>
      <c r="P1468" s="101">
        <f t="shared" si="246"/>
        <v>0</v>
      </c>
      <c r="Q1468" s="1472">
        <v>10</v>
      </c>
    </row>
    <row r="1469" spans="1:17">
      <c r="A1469" s="1482"/>
      <c r="B1469" s="1482"/>
      <c r="C1469" s="1555">
        <f t="shared" si="248"/>
        <v>3</v>
      </c>
      <c r="D1469" s="1492">
        <f t="shared" si="247"/>
        <v>1</v>
      </c>
      <c r="E1469" s="1492"/>
      <c r="F1469" s="1557" t="s">
        <v>11724</v>
      </c>
      <c r="H1469" s="1095" t="s">
        <v>11722</v>
      </c>
      <c r="I1469" s="780" t="s">
        <v>12901</v>
      </c>
      <c r="J1469" s="834"/>
      <c r="K1469" s="790" t="str">
        <f>(IF(H1469="Saneago",VLOOKUP(I1469,'SANEAGO-FEV.2016'!A:B,2,0),IF(H1469="Sinapi",VLOOKUP(I1469,'SINAPI-FEV.2017'!A:D,2,0),IF(H1469="Cotação",VLOOKUP(I1469,COTAÇÃO!A:D,2,0),IF(H1469="Composição",VLOOKUP(I1469,COMPOSIÇÃO!A:D,2,0))))))</f>
        <v>Junta Gibault em FºFº, com bolsas,  DN80</v>
      </c>
      <c r="L1469" s="780" t="s">
        <v>1270</v>
      </c>
      <c r="M1469" s="1270">
        <v>2</v>
      </c>
      <c r="N1469" s="399">
        <v>0</v>
      </c>
      <c r="O1469" s="102">
        <f t="shared" si="249"/>
        <v>0</v>
      </c>
      <c r="P1469" s="101">
        <f t="shared" si="246"/>
        <v>0</v>
      </c>
      <c r="Q1469" s="1472">
        <v>2</v>
      </c>
    </row>
    <row r="1470" spans="1:17" ht="22.5">
      <c r="A1470" s="1482"/>
      <c r="B1470" s="1482"/>
      <c r="C1470" s="1555">
        <f t="shared" si="248"/>
        <v>3</v>
      </c>
      <c r="D1470" s="1492">
        <f t="shared" si="247"/>
        <v>1</v>
      </c>
      <c r="E1470" s="1492"/>
      <c r="F1470" s="1557" t="s">
        <v>11724</v>
      </c>
      <c r="H1470" s="1095" t="s">
        <v>70</v>
      </c>
      <c r="I1470" s="780">
        <v>89597</v>
      </c>
      <c r="J1470" s="834"/>
      <c r="K1470" s="790" t="str">
        <f>(IF(H1470="Saneago",VLOOKUP(I1470,'SANEAGO-FEV.2016'!A:B,2,0),IF(H1470="Sinapi",VLOOKUP(I1470,'SINAPI-FEV.2017'!A:D,2,0),IF(H1470="Cotação",VLOOKUP(I1470,COTAÇÃO!A:D,2,0),IF(H1470="Composição",VLOOKUP(I1470,COMPOSIÇÃO!A:D,2,0))))))</f>
        <v>LUVA, PVC, SOLDÁVEL, DN 60MM, INSTALADO EM PRUMADA DE ÁGUA - FORNECIMENTO E INSTALAÇÃO. AF_12/2014</v>
      </c>
      <c r="L1470" s="780" t="s">
        <v>1270</v>
      </c>
      <c r="M1470" s="1270">
        <v>2</v>
      </c>
      <c r="N1470" s="399">
        <v>0</v>
      </c>
      <c r="O1470" s="102">
        <f t="shared" si="249"/>
        <v>0</v>
      </c>
      <c r="P1470" s="101">
        <f t="shared" si="246"/>
        <v>0</v>
      </c>
      <c r="Q1470" s="1472">
        <v>2</v>
      </c>
    </row>
    <row r="1471" spans="1:17" ht="22.5">
      <c r="A1471" s="1482"/>
      <c r="B1471" s="1482"/>
      <c r="C1471" s="1555">
        <f t="shared" si="248"/>
        <v>3</v>
      </c>
      <c r="D1471" s="1492">
        <f>D1470+B1471</f>
        <v>1</v>
      </c>
      <c r="E1471" s="1492"/>
      <c r="F1471" s="1557" t="s">
        <v>11724</v>
      </c>
      <c r="H1471" s="1095" t="s">
        <v>11722</v>
      </c>
      <c r="I1471" s="780" t="s">
        <v>12938</v>
      </c>
      <c r="J1471" s="834"/>
      <c r="K1471" s="790" t="str">
        <f>(IF(H1471="Saneago",VLOOKUP(I1471,'SANEAGO-FEV.2016'!A:B,2,0),IF(H1471="Sinapi",VLOOKUP(I1471,'SINAPI-FEV.2017'!A:D,2,0),IF(H1471="Cotação",VLOOKUP(I1471,COTAÇÃO!A:D,2,0),IF(H1471="Composição",VLOOKUP(I1471,COMPOSIÇÃO!A:D,2,0))))))</f>
        <v>Redução em FºFº com flanges, fornecidas pelo fabricante da bomba, PN-10 DN300 x DNRecalque da bomba</v>
      </c>
      <c r="L1471" s="780" t="s">
        <v>1270</v>
      </c>
      <c r="M1471" s="1270">
        <v>5</v>
      </c>
      <c r="N1471" s="399">
        <v>0</v>
      </c>
      <c r="O1471" s="102">
        <f t="shared" si="249"/>
        <v>0</v>
      </c>
      <c r="P1471" s="101">
        <f t="shared" si="246"/>
        <v>0</v>
      </c>
      <c r="Q1471" s="1472">
        <v>5</v>
      </c>
    </row>
    <row r="1472" spans="1:17">
      <c r="A1472" s="1482"/>
      <c r="B1472" s="1482"/>
      <c r="C1472" s="1555">
        <f t="shared" si="248"/>
        <v>3</v>
      </c>
      <c r="D1472" s="1492">
        <f t="shared" si="247"/>
        <v>1</v>
      </c>
      <c r="E1472" s="1492"/>
      <c r="F1472" s="1557" t="s">
        <v>11724</v>
      </c>
      <c r="H1472" s="1095" t="s">
        <v>11722</v>
      </c>
      <c r="I1472" s="780" t="s">
        <v>12940</v>
      </c>
      <c r="J1472" s="834"/>
      <c r="K1472" s="790" t="str">
        <f>(IF(H1472="Saneago",VLOOKUP(I1472,'SANEAGO-FEV.2016'!A:B,2,0),IF(H1472="Sinapi",VLOOKUP(I1472,'SINAPI-FEV.2017'!A:D,2,0),IF(H1472="Cotação",VLOOKUP(I1472,COTAÇÃO!A:D,2,0),IF(H1472="Composição",VLOOKUP(I1472,COMPOSIÇÃO!A:D,2,0))))))</f>
        <v>Redução em FºFº, com bolsas,  DN600 x DN400</v>
      </c>
      <c r="L1472" s="780" t="s">
        <v>1270</v>
      </c>
      <c r="M1472" s="1270">
        <v>2</v>
      </c>
      <c r="N1472" s="399">
        <v>0</v>
      </c>
      <c r="O1472" s="102">
        <f t="shared" si="249"/>
        <v>0</v>
      </c>
      <c r="P1472" s="101">
        <f t="shared" si="246"/>
        <v>0</v>
      </c>
      <c r="Q1472" s="1472">
        <v>2</v>
      </c>
    </row>
    <row r="1473" spans="1:17">
      <c r="A1473" s="1482"/>
      <c r="B1473" s="1482"/>
      <c r="C1473" s="1555">
        <f t="shared" si="248"/>
        <v>3</v>
      </c>
      <c r="D1473" s="1492">
        <f t="shared" si="247"/>
        <v>1</v>
      </c>
      <c r="E1473" s="1492"/>
      <c r="F1473" s="1557" t="s">
        <v>11724</v>
      </c>
      <c r="H1473" s="1095" t="s">
        <v>11722</v>
      </c>
      <c r="I1473" s="780" t="s">
        <v>12911</v>
      </c>
      <c r="J1473" s="834"/>
      <c r="K1473" s="790" t="str">
        <f>(IF(H1473="Saneago",VLOOKUP(I1473,'SANEAGO-FEV.2016'!A:B,2,0),IF(H1473="Sinapi",VLOOKUP(I1473,'SINAPI-FEV.2017'!A:D,2,0),IF(H1473="Cotação",VLOOKUP(I1473,COTAÇÃO!A:D,2,0),IF(H1473="Composição",VLOOKUP(I1473,COMPOSIÇÃO!A:D,2,0))))))</f>
        <v>Parafusos para flanges, PN-10, DN100 (16x80)</v>
      </c>
      <c r="L1473" s="780" t="s">
        <v>1270</v>
      </c>
      <c r="M1473" s="1270">
        <v>24</v>
      </c>
      <c r="N1473" s="399">
        <v>0</v>
      </c>
      <c r="O1473" s="102">
        <f t="shared" si="249"/>
        <v>0</v>
      </c>
      <c r="P1473" s="101">
        <f t="shared" si="246"/>
        <v>0</v>
      </c>
      <c r="Q1473" s="1472">
        <v>24</v>
      </c>
    </row>
    <row r="1474" spans="1:17">
      <c r="A1474" s="1482"/>
      <c r="B1474" s="1482"/>
      <c r="C1474" s="1555">
        <f t="shared" si="248"/>
        <v>3</v>
      </c>
      <c r="D1474" s="1492">
        <f t="shared" si="247"/>
        <v>1</v>
      </c>
      <c r="E1474" s="1492"/>
      <c r="F1474" s="1557" t="s">
        <v>11724</v>
      </c>
      <c r="H1474" s="1095" t="s">
        <v>11722</v>
      </c>
      <c r="I1474" s="780" t="s">
        <v>12925</v>
      </c>
      <c r="J1474" s="834"/>
      <c r="K1474" s="790" t="str">
        <f>(IF(H1474="Saneago",VLOOKUP(I1474,'SANEAGO-FEV.2016'!A:B,2,0),IF(H1474="Sinapi",VLOOKUP(I1474,'SINAPI-FEV.2017'!A:D,2,0),IF(H1474="Cotação",VLOOKUP(I1474,COTAÇÃO!A:D,2,0),IF(H1474="Composição",VLOOKUP(I1474,COMPOSIÇÃO!A:D,2,0))))))</f>
        <v>Parafusos para flanges, PN-10, DN300 (20x90)</v>
      </c>
      <c r="L1474" s="780" t="s">
        <v>1270</v>
      </c>
      <c r="M1474" s="1270">
        <v>672</v>
      </c>
      <c r="N1474" s="399">
        <v>0</v>
      </c>
      <c r="O1474" s="102">
        <f t="shared" si="249"/>
        <v>0</v>
      </c>
      <c r="P1474" s="101">
        <f t="shared" si="246"/>
        <v>0</v>
      </c>
      <c r="Q1474" s="1472">
        <v>672</v>
      </c>
    </row>
    <row r="1475" spans="1:17">
      <c r="A1475" s="1482"/>
      <c r="B1475" s="1482"/>
      <c r="C1475" s="1555">
        <f t="shared" si="248"/>
        <v>3</v>
      </c>
      <c r="D1475" s="1492">
        <f t="shared" si="247"/>
        <v>1</v>
      </c>
      <c r="E1475" s="1492"/>
      <c r="F1475" s="1557" t="s">
        <v>11724</v>
      </c>
      <c r="H1475" s="1095" t="s">
        <v>11722</v>
      </c>
      <c r="I1475" s="780" t="s">
        <v>12929</v>
      </c>
      <c r="J1475" s="834"/>
      <c r="K1475" s="790" t="str">
        <f>(IF(H1475="Saneago",VLOOKUP(I1475,'SANEAGO-FEV.2016'!A:B,2,0),IF(H1475="Sinapi",VLOOKUP(I1475,'SINAPI-FEV.2017'!A:D,2,0),IF(H1475="Cotação",VLOOKUP(I1475,COTAÇÃO!A:D,2,0),IF(H1475="Composição",VLOOKUP(I1475,COMPOSIÇÃO!A:D,2,0))))))</f>
        <v>Parafusos para flanges, PN-10, DN400 (24x110)</v>
      </c>
      <c r="L1475" s="780" t="s">
        <v>1270</v>
      </c>
      <c r="M1475" s="1270">
        <v>304</v>
      </c>
      <c r="N1475" s="399">
        <v>0</v>
      </c>
      <c r="O1475" s="102">
        <f t="shared" si="249"/>
        <v>0</v>
      </c>
      <c r="P1475" s="101">
        <f t="shared" si="246"/>
        <v>0</v>
      </c>
      <c r="Q1475" s="1472">
        <v>304</v>
      </c>
    </row>
    <row r="1476" spans="1:17">
      <c r="A1476" s="1482"/>
      <c r="B1476" s="1482"/>
      <c r="C1476" s="1555">
        <f t="shared" si="248"/>
        <v>3</v>
      </c>
      <c r="D1476" s="1492">
        <f t="shared" si="247"/>
        <v>1</v>
      </c>
      <c r="E1476" s="1492"/>
      <c r="F1476" s="1557" t="s">
        <v>11724</v>
      </c>
      <c r="H1476" s="1095" t="s">
        <v>11722</v>
      </c>
      <c r="I1476" s="780" t="s">
        <v>12931</v>
      </c>
      <c r="J1476" s="834"/>
      <c r="K1476" s="790" t="str">
        <f>(IF(H1476="Saneago",VLOOKUP(I1476,'SANEAGO-FEV.2016'!A:B,2,0),IF(H1476="Sinapi",VLOOKUP(I1476,'SINAPI-FEV.2017'!A:D,2,0),IF(H1476="Cotação",VLOOKUP(I1476,COTAÇÃO!A:D,2,0),IF(H1476="Composição",VLOOKUP(I1476,COMPOSIÇÃO!A:D,2,0))))))</f>
        <v>Parafusos para flanges, PN-10, DN600 (27x120)</v>
      </c>
      <c r="L1476" s="780" t="s">
        <v>1270</v>
      </c>
      <c r="M1476" s="1270">
        <v>40</v>
      </c>
      <c r="N1476" s="399">
        <v>0</v>
      </c>
      <c r="O1476" s="102">
        <f t="shared" si="249"/>
        <v>0</v>
      </c>
      <c r="P1476" s="101">
        <f t="shared" si="246"/>
        <v>0</v>
      </c>
      <c r="Q1476" s="1472">
        <v>40</v>
      </c>
    </row>
    <row r="1477" spans="1:17">
      <c r="A1477" s="1482"/>
      <c r="B1477" s="1482"/>
      <c r="C1477" s="1555">
        <f t="shared" si="248"/>
        <v>3</v>
      </c>
      <c r="D1477" s="1492">
        <f t="shared" si="247"/>
        <v>1</v>
      </c>
      <c r="E1477" s="1492"/>
      <c r="F1477" s="1557" t="s">
        <v>11724</v>
      </c>
      <c r="H1477" s="1095" t="s">
        <v>11722</v>
      </c>
      <c r="I1477" s="780" t="s">
        <v>12932</v>
      </c>
      <c r="J1477" s="834"/>
      <c r="K1477" s="790" t="str">
        <f>(IF(H1477="Saneago",VLOOKUP(I1477,'SANEAGO-FEV.2016'!A:B,2,0),IF(H1477="Sinapi",VLOOKUP(I1477,'SINAPI-FEV.2017'!A:D,2,0),IF(H1477="Cotação",VLOOKUP(I1477,COTAÇÃO!A:D,2,0),IF(H1477="Composição",VLOOKUP(I1477,COMPOSIÇÃO!A:D,2,0))))))</f>
        <v>Parafusos para flanges, PN-10, DN80 (16x80)</v>
      </c>
      <c r="L1477" s="780" t="s">
        <v>1270</v>
      </c>
      <c r="M1477" s="1270">
        <v>192</v>
      </c>
      <c r="N1477" s="399">
        <v>0</v>
      </c>
      <c r="O1477" s="102">
        <f t="shared" si="249"/>
        <v>0</v>
      </c>
      <c r="P1477" s="101">
        <f t="shared" si="246"/>
        <v>0</v>
      </c>
      <c r="Q1477" s="1472">
        <v>192</v>
      </c>
    </row>
    <row r="1478" spans="1:17">
      <c r="A1478" s="1482"/>
      <c r="B1478" s="1482"/>
      <c r="C1478" s="1555">
        <f t="shared" si="248"/>
        <v>3</v>
      </c>
      <c r="D1478" s="1492">
        <f t="shared" si="247"/>
        <v>1</v>
      </c>
      <c r="E1478" s="1492"/>
      <c r="F1478" s="1557" t="s">
        <v>11724</v>
      </c>
      <c r="H1478" s="1095" t="s">
        <v>11722</v>
      </c>
      <c r="I1478" s="780" t="s">
        <v>13280</v>
      </c>
      <c r="J1478" s="834"/>
      <c r="K1478" s="790" t="str">
        <f>(IF(H1478="Saneago",VLOOKUP(I1478,'SANEAGO-FEV.2016'!A:B,2,0),IF(H1478="Sinapi",VLOOKUP(I1478,'SINAPI-FEV.2017'!A:D,2,0),IF(H1478="Cotação",VLOOKUP(I1478,COTAÇÃO!A:D,2,0),IF(H1478="Composição",VLOOKUP(I1478,COMPOSIÇÃO!A:D,2,0))))))</f>
        <v>Peneira mecanizada tipo Step Screen e rosca tansportadora helicoidal DN300</v>
      </c>
      <c r="L1478" s="780" t="s">
        <v>11723</v>
      </c>
      <c r="M1478" s="1270">
        <v>2</v>
      </c>
      <c r="N1478" s="399">
        <v>0</v>
      </c>
      <c r="O1478" s="102">
        <f t="shared" si="249"/>
        <v>0</v>
      </c>
      <c r="P1478" s="101">
        <f t="shared" si="246"/>
        <v>0</v>
      </c>
      <c r="Q1478" s="1472">
        <v>2</v>
      </c>
    </row>
    <row r="1479" spans="1:17" ht="33.75">
      <c r="A1479" s="1482"/>
      <c r="B1479" s="1482"/>
      <c r="C1479" s="1555">
        <f t="shared" si="248"/>
        <v>3</v>
      </c>
      <c r="D1479" s="1492">
        <f t="shared" si="247"/>
        <v>1</v>
      </c>
      <c r="E1479" s="1492"/>
      <c r="F1479" s="1557" t="s">
        <v>11724</v>
      </c>
      <c r="H1479" s="1095" t="s">
        <v>11722</v>
      </c>
      <c r="I1479" s="780" t="s">
        <v>13151</v>
      </c>
      <c r="J1479" s="834"/>
      <c r="K1479" s="790" t="str">
        <f>(IF(H1479="Saneago",VLOOKUP(I1479,'SANEAGO-FEV.2016'!A:B,2,0),IF(H1479="Sinapi",VLOOKUP(I1479,'SINAPI-FEV.2017'!A:D,2,0),IF(H1479="Cotação",VLOOKUP(I1479,COTAÇÃO!A:D,2,0),IF(H1479="Composição",VLOOKUP(I1479,COMPOSIÇÃO!A:D,2,0))))))</f>
        <v>Redução em aço ASTM 120, DIM 2440, SCHEDULE 40 com flanges e revestimento para peças abrigadas, fornecido pelo fabricante da bomba, PN-10, DN Recalque da bomba x DN80</v>
      </c>
      <c r="L1479" s="780" t="s">
        <v>10854</v>
      </c>
      <c r="M1479" s="1270">
        <v>2</v>
      </c>
      <c r="N1479" s="399">
        <v>0</v>
      </c>
      <c r="O1479" s="102">
        <f t="shared" si="249"/>
        <v>0</v>
      </c>
      <c r="P1479" s="101">
        <f t="shared" si="246"/>
        <v>0</v>
      </c>
      <c r="Q1479" s="1472">
        <v>2</v>
      </c>
    </row>
    <row r="1480" spans="1:17" ht="33.75">
      <c r="A1480" s="1482"/>
      <c r="B1480" s="1482"/>
      <c r="C1480" s="1555">
        <f t="shared" si="248"/>
        <v>3</v>
      </c>
      <c r="D1480" s="1492">
        <f t="shared" si="247"/>
        <v>1</v>
      </c>
      <c r="E1480" s="1492"/>
      <c r="F1480" s="1557" t="s">
        <v>11724</v>
      </c>
      <c r="H1480" s="1095" t="s">
        <v>11722</v>
      </c>
      <c r="I1480" s="780" t="s">
        <v>13153</v>
      </c>
      <c r="J1480" s="834"/>
      <c r="K1480" s="790" t="str">
        <f>(IF(H1480="Saneago",VLOOKUP(I1480,'SANEAGO-FEV.2016'!A:B,2,0),IF(H1480="Sinapi",VLOOKUP(I1480,'SINAPI-FEV.2017'!A:D,2,0),IF(H1480="Cotação",VLOOKUP(I1480,COTAÇÃO!A:D,2,0),IF(H1480="Composição",VLOOKUP(I1480,COMPOSIÇÃO!A:D,2,0))))))</f>
        <v>Redução em aço ASTM 120, DIM 2440, SCHEDULE 40 com flanges e revestimento para peças abrigadas, fornecido pelo fabricante da bomba, PN-10, DN Sucção da bomba x DN80</v>
      </c>
      <c r="L1480" s="780" t="s">
        <v>10854</v>
      </c>
      <c r="M1480" s="1270">
        <v>2</v>
      </c>
      <c r="N1480" s="399">
        <v>0</v>
      </c>
      <c r="O1480" s="102">
        <f t="shared" si="249"/>
        <v>0</v>
      </c>
      <c r="P1480" s="101">
        <f t="shared" si="246"/>
        <v>0</v>
      </c>
      <c r="Q1480" s="1472">
        <v>2</v>
      </c>
    </row>
    <row r="1481" spans="1:17" ht="22.5">
      <c r="A1481" s="1482"/>
      <c r="B1481" s="1482"/>
      <c r="C1481" s="1555">
        <f t="shared" si="248"/>
        <v>3</v>
      </c>
      <c r="D1481" s="1492">
        <f t="shared" si="247"/>
        <v>1</v>
      </c>
      <c r="E1481" s="1492"/>
      <c r="F1481" s="1557" t="s">
        <v>11724</v>
      </c>
      <c r="H1481" s="1095" t="s">
        <v>11722</v>
      </c>
      <c r="I1481" s="780" t="s">
        <v>13155</v>
      </c>
      <c r="J1481" s="834"/>
      <c r="K1481" s="790" t="str">
        <f>(IF(H1481="Saneago",VLOOKUP(I1481,'SANEAGO-FEV.2016'!A:B,2,0),IF(H1481="Sinapi",VLOOKUP(I1481,'SINAPI-FEV.2017'!A:D,2,0),IF(H1481="Cotação",VLOOKUP(I1481,COTAÇÃO!A:D,2,0),IF(H1481="Composição",VLOOKUP(I1481,COMPOSIÇÃO!A:D,2,0))))))</f>
        <v>Redução em aço ASTM 120, DIM 2440, SCHEDULE 40 com pontas para solda e revestimento para peças enterradas, PN-10, DN65 x DN50</v>
      </c>
      <c r="L1481" s="780" t="s">
        <v>1270</v>
      </c>
      <c r="M1481" s="1270">
        <v>4</v>
      </c>
      <c r="N1481" s="399">
        <v>0</v>
      </c>
      <c r="O1481" s="102">
        <f t="shared" si="249"/>
        <v>0</v>
      </c>
      <c r="P1481" s="101">
        <f t="shared" si="246"/>
        <v>0</v>
      </c>
      <c r="Q1481" s="1472">
        <v>4</v>
      </c>
    </row>
    <row r="1482" spans="1:17" ht="22.5">
      <c r="A1482" s="1482"/>
      <c r="B1482" s="1482"/>
      <c r="C1482" s="1555">
        <f t="shared" si="248"/>
        <v>3</v>
      </c>
      <c r="D1482" s="1492">
        <f t="shared" si="247"/>
        <v>1</v>
      </c>
      <c r="E1482" s="1492"/>
      <c r="F1482" s="1557" t="s">
        <v>11724</v>
      </c>
      <c r="H1482" s="1095" t="s">
        <v>11722</v>
      </c>
      <c r="I1482" s="780" t="s">
        <v>13157</v>
      </c>
      <c r="J1482" s="834"/>
      <c r="K1482" s="790" t="str">
        <f>(IF(H1482="Saneago",VLOOKUP(I1482,'SANEAGO-FEV.2016'!A:B,2,0),IF(H1482="Sinapi",VLOOKUP(I1482,'SINAPI-FEV.2017'!A:D,2,0),IF(H1482="Cotação",VLOOKUP(I1482,COTAÇÃO!A:D,2,0),IF(H1482="Composição",VLOOKUP(I1482,COMPOSIÇÃO!A:D,2,0))))))</f>
        <v>Redução excêntrica em aço espessura 1/4" com flanges e revestimento para peças aéreas, PN-10, DN400 x DN100</v>
      </c>
      <c r="L1482" s="780" t="s">
        <v>1270</v>
      </c>
      <c r="M1482" s="1270">
        <v>1</v>
      </c>
      <c r="N1482" s="399">
        <v>0</v>
      </c>
      <c r="O1482" s="102">
        <f t="shared" si="249"/>
        <v>0</v>
      </c>
      <c r="P1482" s="101">
        <f t="shared" si="246"/>
        <v>0</v>
      </c>
      <c r="Q1482" s="1472">
        <v>1</v>
      </c>
    </row>
    <row r="1483" spans="1:17">
      <c r="A1483" s="1482"/>
      <c r="B1483" s="1482"/>
      <c r="C1483" s="1555">
        <f t="shared" si="248"/>
        <v>3</v>
      </c>
      <c r="D1483" s="1492">
        <f t="shared" si="247"/>
        <v>1</v>
      </c>
      <c r="E1483" s="1492"/>
      <c r="F1483" s="1557" t="s">
        <v>11724</v>
      </c>
      <c r="H1483" s="1095" t="s">
        <v>11722</v>
      </c>
      <c r="I1483" s="780" t="s">
        <v>13112</v>
      </c>
      <c r="J1483" s="834"/>
      <c r="K1483" s="790" t="str">
        <f>(IF(H1483="Saneago",VLOOKUP(I1483,'SANEAGO-FEV.2016'!A:B,2,0),IF(H1483="Sinapi",VLOOKUP(I1483,'SINAPI-FEV.2017'!A:D,2,0),IF(H1483="Cotação",VLOOKUP(I1483,COTAÇÃO!A:D,2,0),IF(H1483="Composição",VLOOKUP(I1483,COMPOSIÇÃO!A:D,2,0))))))</f>
        <v>Registro com flanges e volante, corpo curto, com cunha de borracha, PN-10, DN100</v>
      </c>
      <c r="L1483" s="780" t="s">
        <v>10854</v>
      </c>
      <c r="M1483" s="1270">
        <v>1</v>
      </c>
      <c r="N1483" s="399">
        <v>0</v>
      </c>
      <c r="O1483" s="102">
        <f t="shared" si="249"/>
        <v>0</v>
      </c>
      <c r="P1483" s="101">
        <f t="shared" si="246"/>
        <v>0</v>
      </c>
      <c r="Q1483" s="1472">
        <v>1</v>
      </c>
    </row>
    <row r="1484" spans="1:17">
      <c r="A1484" s="1482"/>
      <c r="B1484" s="1482"/>
      <c r="C1484" s="1555">
        <f t="shared" si="248"/>
        <v>3</v>
      </c>
      <c r="D1484" s="1492">
        <f t="shared" si="247"/>
        <v>1</v>
      </c>
      <c r="E1484" s="1492"/>
      <c r="F1484" s="1557" t="s">
        <v>11724</v>
      </c>
      <c r="H1484" s="1095" t="s">
        <v>11722</v>
      </c>
      <c r="I1484" s="780" t="s">
        <v>13114</v>
      </c>
      <c r="J1484" s="834"/>
      <c r="K1484" s="790" t="str">
        <f>(IF(H1484="Saneago",VLOOKUP(I1484,'SANEAGO-FEV.2016'!A:B,2,0),IF(H1484="Sinapi",VLOOKUP(I1484,'SINAPI-FEV.2017'!A:D,2,0),IF(H1484="Cotação",VLOOKUP(I1484,COTAÇÃO!A:D,2,0),IF(H1484="Composição",VLOOKUP(I1484,COMPOSIÇÃO!A:D,2,0))))))</f>
        <v>Registro com flanges e volante, corpo curto, com cunha de borracha, PN-10, DN300</v>
      </c>
      <c r="L1484" s="780" t="s">
        <v>10854</v>
      </c>
      <c r="M1484" s="1270">
        <v>5</v>
      </c>
      <c r="N1484" s="399">
        <v>0</v>
      </c>
      <c r="O1484" s="102">
        <f t="shared" si="249"/>
        <v>0</v>
      </c>
      <c r="P1484" s="101">
        <f t="shared" si="246"/>
        <v>0</v>
      </c>
      <c r="Q1484" s="1472">
        <v>5</v>
      </c>
    </row>
    <row r="1485" spans="1:17">
      <c r="A1485" s="1482"/>
      <c r="B1485" s="1482"/>
      <c r="C1485" s="1555">
        <f t="shared" si="248"/>
        <v>3</v>
      </c>
      <c r="D1485" s="1492">
        <f t="shared" si="247"/>
        <v>1</v>
      </c>
      <c r="E1485" s="1492"/>
      <c r="F1485" s="1557" t="s">
        <v>11724</v>
      </c>
      <c r="H1485" s="1095" t="s">
        <v>11722</v>
      </c>
      <c r="I1485" s="780" t="s">
        <v>13120</v>
      </c>
      <c r="J1485" s="834"/>
      <c r="K1485" s="790" t="str">
        <f>(IF(H1485="Saneago",VLOOKUP(I1485,'SANEAGO-FEV.2016'!A:B,2,0),IF(H1485="Sinapi",VLOOKUP(I1485,'SINAPI-FEV.2017'!A:D,2,0),IF(H1485="Cotação",VLOOKUP(I1485,COTAÇÃO!A:D,2,0),IF(H1485="Composição",VLOOKUP(I1485,COMPOSIÇÃO!A:D,2,0))))))</f>
        <v>Registro de gaveta com flanges, cunha de borracha e volante, PN-10, DN80</v>
      </c>
      <c r="L1485" s="780" t="s">
        <v>10854</v>
      </c>
      <c r="M1485" s="1270">
        <v>2</v>
      </c>
      <c r="N1485" s="399">
        <v>0</v>
      </c>
      <c r="O1485" s="102">
        <f t="shared" si="249"/>
        <v>0</v>
      </c>
      <c r="P1485" s="101">
        <f t="shared" si="246"/>
        <v>0</v>
      </c>
      <c r="Q1485" s="1472">
        <v>2</v>
      </c>
    </row>
    <row r="1486" spans="1:17">
      <c r="A1486" s="1482"/>
      <c r="B1486" s="1482"/>
      <c r="C1486" s="1555">
        <f t="shared" si="248"/>
        <v>3</v>
      </c>
      <c r="D1486" s="1492">
        <f>D1485+B1486</f>
        <v>1</v>
      </c>
      <c r="E1486" s="1492"/>
      <c r="F1486" s="1557" t="s">
        <v>11724</v>
      </c>
      <c r="H1486" s="1095" t="s">
        <v>11722</v>
      </c>
      <c r="I1486" s="780" t="s">
        <v>13084</v>
      </c>
      <c r="J1486" s="834"/>
      <c r="K1486" s="790" t="str">
        <f>(IF(H1486="Saneago",VLOOKUP(I1486,'SANEAGO-FEV.2016'!A:B,2,0),IF(H1486="Sinapi",VLOOKUP(I1486,'SINAPI-FEV.2017'!A:D,2,0),IF(H1486="Cotação",VLOOKUP(I1486,COTAÇÃO!A:D,2,0),IF(H1486="Composição",VLOOKUP(I1486,COMPOSIÇÃO!A:D,2,0))))))</f>
        <v xml:space="preserve">Tampa em fibra de vidro </v>
      </c>
      <c r="L1486" s="780" t="s">
        <v>10854</v>
      </c>
      <c r="M1486" s="1270">
        <v>1</v>
      </c>
      <c r="N1486" s="399">
        <v>0</v>
      </c>
      <c r="O1486" s="102">
        <f t="shared" si="249"/>
        <v>0</v>
      </c>
      <c r="P1486" s="101">
        <f t="shared" si="246"/>
        <v>0</v>
      </c>
      <c r="Q1486" s="1472">
        <v>1</v>
      </c>
    </row>
    <row r="1487" spans="1:17">
      <c r="A1487" s="1482"/>
      <c r="B1487" s="1482"/>
      <c r="C1487" s="1555">
        <f t="shared" si="248"/>
        <v>3</v>
      </c>
      <c r="D1487" s="1492">
        <f t="shared" si="247"/>
        <v>1</v>
      </c>
      <c r="E1487" s="1492"/>
      <c r="F1487" s="1557" t="s">
        <v>11724</v>
      </c>
      <c r="H1487" s="1095" t="s">
        <v>11722</v>
      </c>
      <c r="I1487" s="780" t="s">
        <v>12944</v>
      </c>
      <c r="J1487" s="834"/>
      <c r="K1487" s="790" t="str">
        <f>(IF(H1487="Saneago",VLOOKUP(I1487,'SANEAGO-FEV.2016'!A:B,2,0),IF(H1487="Sinapi",VLOOKUP(I1487,'SINAPI-FEV.2017'!A:D,2,0),IF(H1487="Cotação",VLOOKUP(I1487,COTAÇÃO!A:D,2,0),IF(H1487="Composição",VLOOKUP(I1487,COMPOSIÇÃO!A:D,2,0))))))</f>
        <v>Tê em FºFº com flanges, PN-10,  DN80</v>
      </c>
      <c r="L1487" s="780" t="s">
        <v>1270</v>
      </c>
      <c r="M1487" s="1270">
        <v>1</v>
      </c>
      <c r="N1487" s="399">
        <v>0</v>
      </c>
      <c r="O1487" s="102">
        <f t="shared" si="249"/>
        <v>0</v>
      </c>
      <c r="P1487" s="101">
        <f t="shared" si="246"/>
        <v>0</v>
      </c>
      <c r="Q1487" s="1472">
        <v>1</v>
      </c>
    </row>
    <row r="1488" spans="1:17">
      <c r="A1488" s="1482"/>
      <c r="B1488" s="1482"/>
      <c r="C1488" s="1555">
        <f t="shared" si="248"/>
        <v>3</v>
      </c>
      <c r="D1488" s="1492">
        <f t="shared" si="247"/>
        <v>1</v>
      </c>
      <c r="E1488" s="1492"/>
      <c r="F1488" s="1557" t="s">
        <v>11724</v>
      </c>
      <c r="H1488" s="1095" t="s">
        <v>11722</v>
      </c>
      <c r="I1488" s="780" t="s">
        <v>12946</v>
      </c>
      <c r="J1488" s="834"/>
      <c r="K1488" s="790" t="str">
        <f>(IF(H1488="Saneago",VLOOKUP(I1488,'SANEAGO-FEV.2016'!A:B,2,0),IF(H1488="Sinapi",VLOOKUP(I1488,'SINAPI-FEV.2017'!A:D,2,0),IF(H1488="Cotação",VLOOKUP(I1488,COTAÇÃO!A:D,2,0),IF(H1488="Composição",VLOOKUP(I1488,COMPOSIÇÃO!A:D,2,0))))))</f>
        <v>Tê em FºFº com flanges, PN-10, DN400 x DN300</v>
      </c>
      <c r="L1488" s="780" t="s">
        <v>1270</v>
      </c>
      <c r="M1488" s="1270">
        <v>6</v>
      </c>
      <c r="N1488" s="399">
        <v>0</v>
      </c>
      <c r="O1488" s="102">
        <f t="shared" si="249"/>
        <v>0</v>
      </c>
      <c r="P1488" s="101">
        <f t="shared" si="246"/>
        <v>0</v>
      </c>
      <c r="Q1488" s="1472">
        <v>6</v>
      </c>
    </row>
    <row r="1489" spans="1:17">
      <c r="A1489" s="1482"/>
      <c r="B1489" s="1482"/>
      <c r="C1489" s="1555">
        <f t="shared" si="248"/>
        <v>3</v>
      </c>
      <c r="D1489" s="1492">
        <f t="shared" si="247"/>
        <v>1</v>
      </c>
      <c r="E1489" s="1492"/>
      <c r="F1489" s="1557" t="s">
        <v>11724</v>
      </c>
      <c r="H1489" s="1095" t="s">
        <v>11722</v>
      </c>
      <c r="I1489" s="780" t="s">
        <v>12950</v>
      </c>
      <c r="J1489" s="834"/>
      <c r="K1489" s="790" t="str">
        <f>(IF(H1489="Saneago",VLOOKUP(I1489,'SANEAGO-FEV.2016'!A:B,2,0),IF(H1489="Sinapi",VLOOKUP(I1489,'SINAPI-FEV.2017'!A:D,2,0),IF(H1489="Cotação",VLOOKUP(I1489,COTAÇÃO!A:D,2,0),IF(H1489="Composição",VLOOKUP(I1489,COMPOSIÇÃO!A:D,2,0))))))</f>
        <v>Tê em FºFº, com bolsas,  JGS, DN600 x DN400</v>
      </c>
      <c r="L1489" s="780" t="s">
        <v>1270</v>
      </c>
      <c r="M1489" s="1270">
        <v>1</v>
      </c>
      <c r="N1489" s="399">
        <v>0</v>
      </c>
      <c r="O1489" s="102">
        <f t="shared" si="249"/>
        <v>0</v>
      </c>
      <c r="P1489" s="101">
        <f t="shared" si="246"/>
        <v>0</v>
      </c>
      <c r="Q1489" s="1472">
        <v>1</v>
      </c>
    </row>
    <row r="1490" spans="1:17">
      <c r="A1490" s="1482"/>
      <c r="B1490" s="1482"/>
      <c r="C1490" s="1555">
        <f t="shared" si="248"/>
        <v>3</v>
      </c>
      <c r="D1490" s="1492">
        <f t="shared" si="247"/>
        <v>1</v>
      </c>
      <c r="E1490" s="1492"/>
      <c r="F1490" s="1557" t="s">
        <v>11724</v>
      </c>
      <c r="H1490" s="1095" t="s">
        <v>11722</v>
      </c>
      <c r="I1490" s="780" t="s">
        <v>12952</v>
      </c>
      <c r="J1490" s="834"/>
      <c r="K1490" s="790" t="str">
        <f>(IF(H1490="Saneago",VLOOKUP(I1490,'SANEAGO-FEV.2016'!A:B,2,0),IF(H1490="Sinapi",VLOOKUP(I1490,'SINAPI-FEV.2017'!A:D,2,0),IF(H1490="Cotação",VLOOKUP(I1490,COTAÇÃO!A:D,2,0),IF(H1490="Composição",VLOOKUP(I1490,COMPOSIÇÃO!A:D,2,0))))))</f>
        <v>Toco em FºFº com flanges, PN-10,  DN300, L=0,25m</v>
      </c>
      <c r="L1490" s="780" t="s">
        <v>1270</v>
      </c>
      <c r="M1490" s="1270">
        <v>15</v>
      </c>
      <c r="N1490" s="399">
        <v>0</v>
      </c>
      <c r="O1490" s="102">
        <f t="shared" si="249"/>
        <v>0</v>
      </c>
      <c r="P1490" s="101">
        <f t="shared" si="246"/>
        <v>0</v>
      </c>
      <c r="Q1490" s="1472">
        <v>15</v>
      </c>
    </row>
    <row r="1491" spans="1:17">
      <c r="A1491" s="1482"/>
      <c r="B1491" s="1482"/>
      <c r="C1491" s="1555">
        <f t="shared" si="248"/>
        <v>3</v>
      </c>
      <c r="D1491" s="1492">
        <f t="shared" si="247"/>
        <v>1</v>
      </c>
      <c r="E1491" s="1492"/>
      <c r="F1491" s="1557" t="s">
        <v>11724</v>
      </c>
      <c r="H1491" s="1095" t="s">
        <v>11722</v>
      </c>
      <c r="I1491" s="780" t="s">
        <v>12954</v>
      </c>
      <c r="J1491" s="834"/>
      <c r="K1491" s="790" t="str">
        <f>(IF(H1491="Saneago",VLOOKUP(I1491,'SANEAGO-FEV.2016'!A:B,2,0),IF(H1491="Sinapi",VLOOKUP(I1491,'SINAPI-FEV.2017'!A:D,2,0),IF(H1491="Cotação",VLOOKUP(I1491,COTAÇÃO!A:D,2,0),IF(H1491="Composição",VLOOKUP(I1491,COMPOSIÇÃO!A:D,2,0))))))</f>
        <v>Toco em FºFº com flanges, PN-10, DN100, L=0,25m</v>
      </c>
      <c r="L1491" s="780" t="s">
        <v>1270</v>
      </c>
      <c r="M1491" s="1270">
        <v>1</v>
      </c>
      <c r="N1491" s="399">
        <v>0</v>
      </c>
      <c r="O1491" s="102">
        <f t="shared" si="249"/>
        <v>0</v>
      </c>
      <c r="P1491" s="101">
        <f t="shared" si="246"/>
        <v>0</v>
      </c>
      <c r="Q1491" s="1472">
        <v>1</v>
      </c>
    </row>
    <row r="1492" spans="1:17">
      <c r="A1492" s="1482"/>
      <c r="B1492" s="1482"/>
      <c r="C1492" s="1555">
        <f t="shared" si="248"/>
        <v>3</v>
      </c>
      <c r="D1492" s="1492">
        <f t="shared" si="247"/>
        <v>1</v>
      </c>
      <c r="E1492" s="1492"/>
      <c r="F1492" s="1557" t="s">
        <v>11724</v>
      </c>
      <c r="H1492" s="1095" t="s">
        <v>11722</v>
      </c>
      <c r="I1492" s="780" t="s">
        <v>12956</v>
      </c>
      <c r="J1492" s="834"/>
      <c r="K1492" s="790" t="str">
        <f>(IF(H1492="Saneago",VLOOKUP(I1492,'SANEAGO-FEV.2016'!A:B,2,0),IF(H1492="Sinapi",VLOOKUP(I1492,'SINAPI-FEV.2017'!A:D,2,0),IF(H1492="Cotação",VLOOKUP(I1492,COTAÇÃO!A:D,2,0),IF(H1492="Composição",VLOOKUP(I1492,COMPOSIÇÃO!A:D,2,0))))))</f>
        <v>Toco em FºFº com flanges, PN-10, DN300, L=0,50m</v>
      </c>
      <c r="L1492" s="780" t="s">
        <v>1270</v>
      </c>
      <c r="M1492" s="1270">
        <v>6</v>
      </c>
      <c r="N1492" s="399">
        <v>0</v>
      </c>
      <c r="O1492" s="102">
        <f t="shared" ref="O1492:O1528" si="250">ROUND(IF(F1492="Serviços",N1492*(1+$O$7),IF(F1492="Materiais",N1492*(1+$O$8))),2)</f>
        <v>0</v>
      </c>
      <c r="P1492" s="101">
        <f t="shared" ref="P1492:P1528" si="251">ROUND(M1492*O1492,2)</f>
        <v>0</v>
      </c>
      <c r="Q1492" s="1472">
        <v>6</v>
      </c>
    </row>
    <row r="1493" spans="1:17">
      <c r="A1493" s="1482"/>
      <c r="B1493" s="1482"/>
      <c r="C1493" s="1555">
        <f t="shared" si="248"/>
        <v>3</v>
      </c>
      <c r="D1493" s="1492">
        <f t="shared" si="247"/>
        <v>1</v>
      </c>
      <c r="E1493" s="1492"/>
      <c r="F1493" s="1557" t="s">
        <v>11724</v>
      </c>
      <c r="H1493" s="1095" t="s">
        <v>11722</v>
      </c>
      <c r="I1493" s="780" t="s">
        <v>12958</v>
      </c>
      <c r="J1493" s="834"/>
      <c r="K1493" s="790" t="str">
        <f>(IF(H1493="Saneago",VLOOKUP(I1493,'SANEAGO-FEV.2016'!A:B,2,0),IF(H1493="Sinapi",VLOOKUP(I1493,'SINAPI-FEV.2017'!A:D,2,0),IF(H1493="Cotação",VLOOKUP(I1493,COTAÇÃO!A:D,2,0),IF(H1493="Composição",VLOOKUP(I1493,COMPOSIÇÃO!A:D,2,0))))))</f>
        <v>Toco em FºFº com flanges, PN-10, DN80, L=0,25m</v>
      </c>
      <c r="L1493" s="780" t="s">
        <v>1270</v>
      </c>
      <c r="M1493" s="1270">
        <v>2</v>
      </c>
      <c r="N1493" s="399">
        <v>0</v>
      </c>
      <c r="O1493" s="102">
        <f t="shared" si="250"/>
        <v>0</v>
      </c>
      <c r="P1493" s="101">
        <f t="shared" si="251"/>
        <v>0</v>
      </c>
      <c r="Q1493" s="1472">
        <v>2</v>
      </c>
    </row>
    <row r="1494" spans="1:17">
      <c r="A1494" s="1482"/>
      <c r="B1494" s="1482"/>
      <c r="C1494" s="1555">
        <f t="shared" si="248"/>
        <v>3</v>
      </c>
      <c r="D1494" s="1492">
        <f t="shared" si="247"/>
        <v>1</v>
      </c>
      <c r="E1494" s="1492"/>
      <c r="F1494" s="1557" t="s">
        <v>11724</v>
      </c>
      <c r="H1494" s="1095" t="s">
        <v>70</v>
      </c>
      <c r="I1494" s="780">
        <v>41930</v>
      </c>
      <c r="J1494" s="834"/>
      <c r="K1494" s="790" t="str">
        <f>(IF(H1494="Saneago",VLOOKUP(I1494,'SANEAGO-FEV.2016'!A:B,2,0),IF(H1494="Sinapi",VLOOKUP(I1494,'SINAPI-FEV.2017'!A:D,2,0),IF(H1494="Cotação",VLOOKUP(I1494,COTAÇÃO!A:D,2,0),IF(H1494="Composição",VLOOKUP(I1494,COMPOSIÇÃO!A:D,2,0))))))</f>
        <v>TUBO COLETOR DE ESGOTO PVC, JEI, DN 200 MM (NBR 7362)</v>
      </c>
      <c r="L1494" s="780" t="s">
        <v>18</v>
      </c>
      <c r="M1494" s="1270">
        <v>60</v>
      </c>
      <c r="N1494" s="399">
        <v>0</v>
      </c>
      <c r="O1494" s="102">
        <f t="shared" si="250"/>
        <v>0</v>
      </c>
      <c r="P1494" s="101">
        <f t="shared" si="251"/>
        <v>0</v>
      </c>
      <c r="Q1494" s="1472">
        <v>60</v>
      </c>
    </row>
    <row r="1495" spans="1:17">
      <c r="A1495" s="1482"/>
      <c r="B1495" s="1482"/>
      <c r="C1495" s="1555">
        <f t="shared" si="248"/>
        <v>3</v>
      </c>
      <c r="D1495" s="1492">
        <f t="shared" si="247"/>
        <v>1</v>
      </c>
      <c r="E1495" s="1492"/>
      <c r="F1495" s="1557" t="s">
        <v>11724</v>
      </c>
      <c r="H1495" s="1095" t="s">
        <v>70</v>
      </c>
      <c r="I1495" s="780">
        <v>41936</v>
      </c>
      <c r="J1495" s="834"/>
      <c r="K1495" s="790" t="str">
        <f>(IF(H1495="Saneago",VLOOKUP(I1495,'SANEAGO-FEV.2016'!A:B,2,0),IF(H1495="Sinapi",VLOOKUP(I1495,'SINAPI-FEV.2017'!A:D,2,0),IF(H1495="Cotação",VLOOKUP(I1495,COTAÇÃO!A:D,2,0),IF(H1495="Composição",VLOOKUP(I1495,COMPOSIÇÃO!A:D,2,0))))))</f>
        <v>TUBO COLETOR DE ESGOTO, PVC, JEI, DN 150 MM  (NBR 7362)</v>
      </c>
      <c r="L1495" s="780" t="s">
        <v>18</v>
      </c>
      <c r="M1495" s="1270">
        <v>5.15</v>
      </c>
      <c r="N1495" s="399">
        <v>0</v>
      </c>
      <c r="O1495" s="102">
        <f t="shared" si="250"/>
        <v>0</v>
      </c>
      <c r="P1495" s="101">
        <f t="shared" si="251"/>
        <v>0</v>
      </c>
      <c r="Q1495" s="1472">
        <v>5.15</v>
      </c>
    </row>
    <row r="1496" spans="1:17" ht="22.5">
      <c r="A1496" s="1482"/>
      <c r="B1496" s="1482"/>
      <c r="C1496" s="1555">
        <f t="shared" si="248"/>
        <v>3</v>
      </c>
      <c r="D1496" s="1492">
        <f t="shared" si="247"/>
        <v>1</v>
      </c>
      <c r="E1496" s="1492"/>
      <c r="F1496" s="1557" t="s">
        <v>11724</v>
      </c>
      <c r="H1496" s="1095" t="s">
        <v>11722</v>
      </c>
      <c r="I1496" s="780" t="s">
        <v>13159</v>
      </c>
      <c r="J1496" s="834"/>
      <c r="K1496" s="790" t="str">
        <f>(IF(H1496="Saneago",VLOOKUP(I1496,'SANEAGO-FEV.2016'!A:B,2,0),IF(H1496="Sinapi",VLOOKUP(I1496,'SINAPI-FEV.2017'!A:D,2,0),IF(H1496="Cotação",VLOOKUP(I1496,COTAÇÃO!A:D,2,0),IF(H1496="Composição",VLOOKUP(I1496,COMPOSIÇÃO!A:D,2,0))))))</f>
        <v>Tubo em aço ASTM 120, DIM 2440, SCHEDULE 40 com flange e ponta para solda e revestimento para peças enterradas, PN-10, DN65, L=0,18m</v>
      </c>
      <c r="L1496" s="780" t="s">
        <v>1270</v>
      </c>
      <c r="M1496" s="1270">
        <v>2</v>
      </c>
      <c r="N1496" s="399">
        <v>0</v>
      </c>
      <c r="O1496" s="102">
        <f t="shared" si="250"/>
        <v>0</v>
      </c>
      <c r="P1496" s="101">
        <f t="shared" si="251"/>
        <v>0</v>
      </c>
      <c r="Q1496" s="1472">
        <v>2</v>
      </c>
    </row>
    <row r="1497" spans="1:17" ht="22.5">
      <c r="A1497" s="1482"/>
      <c r="B1497" s="1482"/>
      <c r="C1497" s="1555">
        <f t="shared" si="248"/>
        <v>3</v>
      </c>
      <c r="D1497" s="1492">
        <f t="shared" si="247"/>
        <v>1</v>
      </c>
      <c r="E1497" s="1492"/>
      <c r="F1497" s="1557" t="s">
        <v>11724</v>
      </c>
      <c r="H1497" s="1095" t="s">
        <v>11722</v>
      </c>
      <c r="I1497" s="780" t="s">
        <v>13161</v>
      </c>
      <c r="J1497" s="834"/>
      <c r="K1497" s="790" t="str">
        <f>(IF(H1497="Saneago",VLOOKUP(I1497,'SANEAGO-FEV.2016'!A:B,2,0),IF(H1497="Sinapi",VLOOKUP(I1497,'SINAPI-FEV.2017'!A:D,2,0),IF(H1497="Cotação",VLOOKUP(I1497,COTAÇÃO!A:D,2,0),IF(H1497="Composição",VLOOKUP(I1497,COMPOSIÇÃO!A:D,2,0))))))</f>
        <v>Tubo em aço ASTM 120, DIM 2440, SCHEDULE 40 com flange e ponta para solda e revestimento para peças enterradas, PN-10, DN65, L=0,27m</v>
      </c>
      <c r="L1497" s="780" t="s">
        <v>1270</v>
      </c>
      <c r="M1497" s="1270">
        <v>2</v>
      </c>
      <c r="N1497" s="399">
        <v>0</v>
      </c>
      <c r="O1497" s="102">
        <f t="shared" si="250"/>
        <v>0</v>
      </c>
      <c r="P1497" s="101">
        <f t="shared" si="251"/>
        <v>0</v>
      </c>
      <c r="Q1497" s="1472">
        <v>2</v>
      </c>
    </row>
    <row r="1498" spans="1:17" ht="22.5">
      <c r="A1498" s="1482"/>
      <c r="B1498" s="1482"/>
      <c r="C1498" s="1555">
        <f t="shared" si="248"/>
        <v>3</v>
      </c>
      <c r="D1498" s="1492">
        <f t="shared" si="247"/>
        <v>1</v>
      </c>
      <c r="E1498" s="1492"/>
      <c r="F1498" s="1557" t="s">
        <v>11724</v>
      </c>
      <c r="H1498" s="1095" t="s">
        <v>11722</v>
      </c>
      <c r="I1498" s="780" t="s">
        <v>13167</v>
      </c>
      <c r="J1498" s="834"/>
      <c r="K1498" s="790" t="str">
        <f>(IF(H1498="Saneago",VLOOKUP(I1498,'SANEAGO-FEV.2016'!A:B,2,0),IF(H1498="Sinapi",VLOOKUP(I1498,'SINAPI-FEV.2017'!A:D,2,0),IF(H1498="Cotação",VLOOKUP(I1498,COTAÇÃO!A:D,2,0),IF(H1498="Composição",VLOOKUP(I1498,COMPOSIÇÃO!A:D,2,0))))))</f>
        <v>Tubo em aço ASTM 120, DIM 2440, SCHEDULE 40 com pontas para solda e revestimento para peças enterradas, PN-10, DN65</v>
      </c>
      <c r="L1498" s="780" t="s">
        <v>18</v>
      </c>
      <c r="M1498" s="1270">
        <v>21</v>
      </c>
      <c r="N1498" s="399">
        <v>0</v>
      </c>
      <c r="O1498" s="102">
        <f t="shared" si="250"/>
        <v>0</v>
      </c>
      <c r="P1498" s="101">
        <f t="shared" si="251"/>
        <v>0</v>
      </c>
      <c r="Q1498" s="1472">
        <v>21</v>
      </c>
    </row>
    <row r="1499" spans="1:17" ht="22.5">
      <c r="A1499" s="1482"/>
      <c r="B1499" s="1482"/>
      <c r="C1499" s="1555">
        <f t="shared" si="248"/>
        <v>3</v>
      </c>
      <c r="D1499" s="1492">
        <f t="shared" si="247"/>
        <v>1</v>
      </c>
      <c r="E1499" s="1492"/>
      <c r="F1499" s="1557" t="s">
        <v>11724</v>
      </c>
      <c r="H1499" s="1095" t="s">
        <v>11722</v>
      </c>
      <c r="I1499" s="780" t="s">
        <v>13169</v>
      </c>
      <c r="J1499" s="834"/>
      <c r="K1499" s="790" t="str">
        <f>(IF(H1499="Saneago",VLOOKUP(I1499,'SANEAGO-FEV.2016'!A:B,2,0),IF(H1499="Sinapi",VLOOKUP(I1499,'SINAPI-FEV.2017'!A:D,2,0),IF(H1499="Cotação",VLOOKUP(I1499,COTAÇÃO!A:D,2,0),IF(H1499="Composição",VLOOKUP(I1499,COMPOSIÇÃO!A:D,2,0))))))</f>
        <v>Tubo em aço ASTM 120, DIM 2440, SCHEDULE 40 com pontas para solda e revestimento para peças, PN-10, DN50, L=0,43m</v>
      </c>
      <c r="L1499" s="780" t="s">
        <v>1270</v>
      </c>
      <c r="M1499" s="1270">
        <v>2</v>
      </c>
      <c r="N1499" s="399">
        <v>0</v>
      </c>
      <c r="O1499" s="102">
        <f t="shared" si="250"/>
        <v>0</v>
      </c>
      <c r="P1499" s="101">
        <f t="shared" si="251"/>
        <v>0</v>
      </c>
      <c r="Q1499" s="1472">
        <v>2</v>
      </c>
    </row>
    <row r="1500" spans="1:17" ht="22.5">
      <c r="A1500" s="1482"/>
      <c r="B1500" s="1482"/>
      <c r="C1500" s="1555">
        <f t="shared" si="248"/>
        <v>3</v>
      </c>
      <c r="D1500" s="1492">
        <f t="shared" si="247"/>
        <v>1</v>
      </c>
      <c r="E1500" s="1492"/>
      <c r="F1500" s="1557" t="s">
        <v>11724</v>
      </c>
      <c r="H1500" s="1095" t="s">
        <v>11722</v>
      </c>
      <c r="I1500" s="780" t="s">
        <v>13171</v>
      </c>
      <c r="J1500" s="834"/>
      <c r="K1500" s="790" t="str">
        <f>(IF(H1500="Saneago",VLOOKUP(I1500,'SANEAGO-FEV.2016'!A:B,2,0),IF(H1500="Sinapi",VLOOKUP(I1500,'SINAPI-FEV.2017'!A:D,2,0),IF(H1500="Cotação",VLOOKUP(I1500,COTAÇÃO!A:D,2,0),IF(H1500="Composição",VLOOKUP(I1500,COMPOSIÇÃO!A:D,2,0))))))</f>
        <v>Tubo em aço ASTM 120, DIM 2440, SCHEDULE 40 com pontas para solda e revestimento para peças, PN-10, DN50, L=0,60m</v>
      </c>
      <c r="L1500" s="780" t="s">
        <v>1270</v>
      </c>
      <c r="M1500" s="1270">
        <v>2</v>
      </c>
      <c r="N1500" s="399">
        <v>0</v>
      </c>
      <c r="O1500" s="102">
        <f t="shared" si="250"/>
        <v>0</v>
      </c>
      <c r="P1500" s="101">
        <f t="shared" si="251"/>
        <v>0</v>
      </c>
      <c r="Q1500" s="1472">
        <v>2</v>
      </c>
    </row>
    <row r="1501" spans="1:17" ht="22.5">
      <c r="A1501" s="1482"/>
      <c r="B1501" s="1482"/>
      <c r="C1501" s="1555">
        <f t="shared" si="248"/>
        <v>3</v>
      </c>
      <c r="D1501" s="1492">
        <f t="shared" si="247"/>
        <v>1</v>
      </c>
      <c r="E1501" s="1492"/>
      <c r="F1501" s="1557" t="s">
        <v>11724</v>
      </c>
      <c r="H1501" s="1095" t="s">
        <v>70</v>
      </c>
      <c r="I1501" s="780">
        <v>7744</v>
      </c>
      <c r="J1501" s="834"/>
      <c r="K1501" s="790" t="str">
        <f>(IF(H1501="Saneago",VLOOKUP(I1501,'SANEAGO-FEV.2016'!A:B,2,0),IF(H1501="Sinapi",VLOOKUP(I1501,'SINAPI-FEV.2017'!A:D,2,0),IF(H1501="Cotação",VLOOKUP(I1501,COTAÇÃO!A:D,2,0),IF(H1501="Composição",VLOOKUP(I1501,COMPOSIÇÃO!A:D,2,0))))))</f>
        <v>TUBO CONCRETO ARMADO, CLASSE EA-2, PB JE, DN 700 MM, PARA ESGOTO SANITARIO (NBR 8890)</v>
      </c>
      <c r="L1501" s="780" t="s">
        <v>18</v>
      </c>
      <c r="M1501" s="1270">
        <v>169.5</v>
      </c>
      <c r="N1501" s="399">
        <v>0</v>
      </c>
      <c r="O1501" s="102">
        <f t="shared" si="250"/>
        <v>0</v>
      </c>
      <c r="P1501" s="101">
        <f t="shared" si="251"/>
        <v>0</v>
      </c>
      <c r="Q1501" s="1472">
        <v>169.5</v>
      </c>
    </row>
    <row r="1502" spans="1:17">
      <c r="A1502" s="1482"/>
      <c r="B1502" s="1482"/>
      <c r="C1502" s="1555">
        <f t="shared" si="248"/>
        <v>3</v>
      </c>
      <c r="D1502" s="1492">
        <f t="shared" si="247"/>
        <v>1</v>
      </c>
      <c r="E1502" s="1492"/>
      <c r="F1502" s="1557" t="s">
        <v>11724</v>
      </c>
      <c r="H1502" s="1095" t="s">
        <v>11722</v>
      </c>
      <c r="I1502" s="780" t="s">
        <v>12968</v>
      </c>
      <c r="J1502" s="834"/>
      <c r="K1502" s="790" t="str">
        <f>(IF(H1502="Saneago",VLOOKUP(I1502,'SANEAGO-FEV.2016'!A:B,2,0),IF(H1502="Sinapi",VLOOKUP(I1502,'SINAPI-FEV.2017'!A:D,2,0),IF(H1502="Cotação",VLOOKUP(I1502,COTAÇÃO!A:D,2,0),IF(H1502="Composição",VLOOKUP(I1502,COMPOSIÇÃO!A:D,2,0))))))</f>
        <v>Tubo em FºFº  com pontas classe K-7,  DN100, L=3,20m</v>
      </c>
      <c r="L1502" s="780" t="s">
        <v>1270</v>
      </c>
      <c r="M1502" s="1270">
        <v>1</v>
      </c>
      <c r="N1502" s="399">
        <v>0</v>
      </c>
      <c r="O1502" s="102">
        <f t="shared" si="250"/>
        <v>0</v>
      </c>
      <c r="P1502" s="101">
        <f t="shared" si="251"/>
        <v>0</v>
      </c>
      <c r="Q1502" s="1472">
        <v>1</v>
      </c>
    </row>
    <row r="1503" spans="1:17">
      <c r="A1503" s="1482"/>
      <c r="B1503" s="1482"/>
      <c r="C1503" s="1555">
        <f t="shared" si="248"/>
        <v>3</v>
      </c>
      <c r="D1503" s="1492">
        <f t="shared" ref="D1503:D1564" si="252">D1502+B1503</f>
        <v>1</v>
      </c>
      <c r="E1503" s="1492"/>
      <c r="F1503" s="1557" t="s">
        <v>11724</v>
      </c>
      <c r="H1503" s="1095" t="s">
        <v>11722</v>
      </c>
      <c r="I1503" s="780" t="s">
        <v>12970</v>
      </c>
      <c r="J1503" s="834"/>
      <c r="K1503" s="790" t="str">
        <f>(IF(H1503="Saneago",VLOOKUP(I1503,'SANEAGO-FEV.2016'!A:B,2,0),IF(H1503="Sinapi",VLOOKUP(I1503,'SINAPI-FEV.2017'!A:D,2,0),IF(H1503="Cotação",VLOOKUP(I1503,COTAÇÃO!A:D,2,0),IF(H1503="Composição",VLOOKUP(I1503,COMPOSIÇÃO!A:D,2,0))))))</f>
        <v xml:space="preserve">Tubo em FºFº com flanges classe K-9,  PN-10 , DN100, L=1,75m </v>
      </c>
      <c r="L1503" s="780" t="s">
        <v>1270</v>
      </c>
      <c r="M1503" s="1270">
        <v>1</v>
      </c>
      <c r="N1503" s="399">
        <v>0</v>
      </c>
      <c r="O1503" s="102">
        <f t="shared" si="250"/>
        <v>0</v>
      </c>
      <c r="P1503" s="101">
        <f t="shared" si="251"/>
        <v>0</v>
      </c>
      <c r="Q1503" s="1472">
        <v>1</v>
      </c>
    </row>
    <row r="1504" spans="1:17">
      <c r="A1504" s="1482"/>
      <c r="B1504" s="1482"/>
      <c r="C1504" s="1555">
        <f t="shared" si="248"/>
        <v>3</v>
      </c>
      <c r="D1504" s="1492">
        <f t="shared" si="252"/>
        <v>1</v>
      </c>
      <c r="E1504" s="1492"/>
      <c r="F1504" s="1557" t="s">
        <v>11724</v>
      </c>
      <c r="H1504" s="1095" t="s">
        <v>11722</v>
      </c>
      <c r="I1504" s="780" t="s">
        <v>12972</v>
      </c>
      <c r="J1504" s="834"/>
      <c r="K1504" s="790" t="str">
        <f>(IF(H1504="Saneago",VLOOKUP(I1504,'SANEAGO-FEV.2016'!A:B,2,0),IF(H1504="Sinapi",VLOOKUP(I1504,'SINAPI-FEV.2017'!A:D,2,0),IF(H1504="Cotação",VLOOKUP(I1504,COTAÇÃO!A:D,2,0),IF(H1504="Composição",VLOOKUP(I1504,COMPOSIÇÃO!A:D,2,0))))))</f>
        <v xml:space="preserve">Tubo em FºFº com flanges classe K-9,  PN-10 , DN80, L=0,41m </v>
      </c>
      <c r="L1504" s="780" t="s">
        <v>1270</v>
      </c>
      <c r="M1504" s="1270">
        <v>2</v>
      </c>
      <c r="N1504" s="399">
        <v>0</v>
      </c>
      <c r="O1504" s="102">
        <f t="shared" si="250"/>
        <v>0</v>
      </c>
      <c r="P1504" s="101">
        <f t="shared" si="251"/>
        <v>0</v>
      </c>
      <c r="Q1504" s="1472">
        <v>2</v>
      </c>
    </row>
    <row r="1505" spans="1:17">
      <c r="A1505" s="1482"/>
      <c r="B1505" s="1482"/>
      <c r="C1505" s="1555">
        <f t="shared" si="248"/>
        <v>3</v>
      </c>
      <c r="D1505" s="1492">
        <f t="shared" si="252"/>
        <v>1</v>
      </c>
      <c r="E1505" s="1492"/>
      <c r="F1505" s="1557" t="s">
        <v>11724</v>
      </c>
      <c r="H1505" s="1095" t="s">
        <v>11722</v>
      </c>
      <c r="I1505" s="780" t="s">
        <v>12974</v>
      </c>
      <c r="J1505" s="834"/>
      <c r="K1505" s="790" t="str">
        <f>(IF(H1505="Saneago",VLOOKUP(I1505,'SANEAGO-FEV.2016'!A:B,2,0),IF(H1505="Sinapi",VLOOKUP(I1505,'SINAPI-FEV.2017'!A:D,2,0),IF(H1505="Cotação",VLOOKUP(I1505,COTAÇÃO!A:D,2,0),IF(H1505="Composição",VLOOKUP(I1505,COMPOSIÇÃO!A:D,2,0))))))</f>
        <v xml:space="preserve">Tubo em FºFº com flanges classe K-9,  PN-10 , DN80, L=0,60m </v>
      </c>
      <c r="L1505" s="780" t="s">
        <v>1270</v>
      </c>
      <c r="M1505" s="1270">
        <v>1</v>
      </c>
      <c r="N1505" s="399">
        <v>0</v>
      </c>
      <c r="O1505" s="102">
        <f t="shared" si="250"/>
        <v>0</v>
      </c>
      <c r="P1505" s="101">
        <f t="shared" si="251"/>
        <v>0</v>
      </c>
      <c r="Q1505" s="1472">
        <v>1</v>
      </c>
    </row>
    <row r="1506" spans="1:17">
      <c r="A1506" s="1482"/>
      <c r="B1506" s="1482"/>
      <c r="C1506" s="1555">
        <f t="shared" si="248"/>
        <v>3</v>
      </c>
      <c r="D1506" s="1492">
        <f t="shared" si="252"/>
        <v>1</v>
      </c>
      <c r="E1506" s="1492"/>
      <c r="F1506" s="1557" t="s">
        <v>11724</v>
      </c>
      <c r="H1506" s="1095" t="s">
        <v>11722</v>
      </c>
      <c r="I1506" s="780" t="s">
        <v>12976</v>
      </c>
      <c r="J1506" s="834"/>
      <c r="K1506" s="790" t="str">
        <f>(IF(H1506="Saneago",VLOOKUP(I1506,'SANEAGO-FEV.2016'!A:B,2,0),IF(H1506="Sinapi",VLOOKUP(I1506,'SINAPI-FEV.2017'!A:D,2,0),IF(H1506="Cotação",VLOOKUP(I1506,COTAÇÃO!A:D,2,0),IF(H1506="Composição",VLOOKUP(I1506,COMPOSIÇÃO!A:D,2,0))))))</f>
        <v xml:space="preserve">Tubo em FºFº com flanges classe K-9,  PN-10 , DN80, L=1,00m </v>
      </c>
      <c r="L1506" s="780" t="s">
        <v>1270</v>
      </c>
      <c r="M1506" s="1270">
        <v>1</v>
      </c>
      <c r="N1506" s="399">
        <v>0</v>
      </c>
      <c r="O1506" s="102">
        <f t="shared" si="250"/>
        <v>0</v>
      </c>
      <c r="P1506" s="101">
        <f t="shared" si="251"/>
        <v>0</v>
      </c>
      <c r="Q1506" s="1472">
        <v>1</v>
      </c>
    </row>
    <row r="1507" spans="1:17">
      <c r="A1507" s="1482"/>
      <c r="B1507" s="1482"/>
      <c r="C1507" s="1555">
        <f t="shared" si="248"/>
        <v>3</v>
      </c>
      <c r="D1507" s="1492">
        <f t="shared" si="252"/>
        <v>1</v>
      </c>
      <c r="E1507" s="1492"/>
      <c r="F1507" s="1557" t="s">
        <v>11724</v>
      </c>
      <c r="H1507" s="1095" t="s">
        <v>11722</v>
      </c>
      <c r="I1507" s="780" t="s">
        <v>12978</v>
      </c>
      <c r="J1507" s="834"/>
      <c r="K1507" s="790" t="str">
        <f>(IF(H1507="Saneago",VLOOKUP(I1507,'SANEAGO-FEV.2016'!A:B,2,0),IF(H1507="Sinapi",VLOOKUP(I1507,'SINAPI-FEV.2017'!A:D,2,0),IF(H1507="Cotação",VLOOKUP(I1507,COTAÇÃO!A:D,2,0),IF(H1507="Composição",VLOOKUP(I1507,COMPOSIÇÃO!A:D,2,0))))))</f>
        <v>Tubo em FºFº com flanges classe K-9,  PN-10 DN400, L=2,00m</v>
      </c>
      <c r="L1507" s="780" t="s">
        <v>1270</v>
      </c>
      <c r="M1507" s="1270">
        <v>2</v>
      </c>
      <c r="N1507" s="399">
        <v>0</v>
      </c>
      <c r="O1507" s="102">
        <f t="shared" si="250"/>
        <v>0</v>
      </c>
      <c r="P1507" s="101">
        <f t="shared" si="251"/>
        <v>0</v>
      </c>
      <c r="Q1507" s="1472">
        <v>2</v>
      </c>
    </row>
    <row r="1508" spans="1:17">
      <c r="A1508" s="1482"/>
      <c r="B1508" s="1482"/>
      <c r="C1508" s="1555">
        <f t="shared" si="248"/>
        <v>3</v>
      </c>
      <c r="D1508" s="1492">
        <f t="shared" si="252"/>
        <v>1</v>
      </c>
      <c r="E1508" s="1492"/>
      <c r="F1508" s="1557" t="s">
        <v>11724</v>
      </c>
      <c r="H1508" s="1095" t="s">
        <v>11722</v>
      </c>
      <c r="I1508" s="780" t="s">
        <v>12984</v>
      </c>
      <c r="J1508" s="834"/>
      <c r="K1508" s="790" t="str">
        <f>(IF(H1508="Saneago",VLOOKUP(I1508,'SANEAGO-FEV.2016'!A:B,2,0),IF(H1508="Sinapi",VLOOKUP(I1508,'SINAPI-FEV.2017'!A:D,2,0),IF(H1508="Cotação",VLOOKUP(I1508,COTAÇÃO!A:D,2,0),IF(H1508="Composição",VLOOKUP(I1508,COMPOSIÇÃO!A:D,2,0))))))</f>
        <v xml:space="preserve">Tubo em FºFº com flanges classe K-9,  PN-10, DN300, L=1,20m </v>
      </c>
      <c r="L1508" s="780" t="s">
        <v>1270</v>
      </c>
      <c r="M1508" s="1270">
        <v>6</v>
      </c>
      <c r="N1508" s="399">
        <v>0</v>
      </c>
      <c r="O1508" s="102">
        <f t="shared" si="250"/>
        <v>0</v>
      </c>
      <c r="P1508" s="101">
        <f t="shared" si="251"/>
        <v>0</v>
      </c>
      <c r="Q1508" s="1472">
        <v>6</v>
      </c>
    </row>
    <row r="1509" spans="1:17">
      <c r="A1509" s="1482"/>
      <c r="B1509" s="1482"/>
      <c r="C1509" s="1555">
        <f t="shared" si="248"/>
        <v>3</v>
      </c>
      <c r="D1509" s="1492">
        <f t="shared" si="252"/>
        <v>1</v>
      </c>
      <c r="E1509" s="1492"/>
      <c r="F1509" s="1557" t="s">
        <v>11724</v>
      </c>
      <c r="H1509" s="1095" t="s">
        <v>11722</v>
      </c>
      <c r="I1509" s="780" t="s">
        <v>12986</v>
      </c>
      <c r="J1509" s="834"/>
      <c r="K1509" s="790" t="str">
        <f>(IF(H1509="Saneago",VLOOKUP(I1509,'SANEAGO-FEV.2016'!A:B,2,0),IF(H1509="Sinapi",VLOOKUP(I1509,'SINAPI-FEV.2017'!A:D,2,0),IF(H1509="Cotação",VLOOKUP(I1509,COTAÇÃO!A:D,2,0),IF(H1509="Composição",VLOOKUP(I1509,COMPOSIÇÃO!A:D,2,0))))))</f>
        <v xml:space="preserve">Tubo em FºFº com flanges classe K-9,  PN-10, DN300, L=2,35m </v>
      </c>
      <c r="L1509" s="780" t="s">
        <v>1270</v>
      </c>
      <c r="M1509" s="1270">
        <v>4</v>
      </c>
      <c r="N1509" s="399">
        <v>0</v>
      </c>
      <c r="O1509" s="102">
        <f t="shared" si="250"/>
        <v>0</v>
      </c>
      <c r="P1509" s="101">
        <f t="shared" si="251"/>
        <v>0</v>
      </c>
      <c r="Q1509" s="1472">
        <v>4</v>
      </c>
    </row>
    <row r="1510" spans="1:17">
      <c r="A1510" s="1482"/>
      <c r="B1510" s="1482"/>
      <c r="C1510" s="1555">
        <f t="shared" si="248"/>
        <v>3</v>
      </c>
      <c r="D1510" s="1492">
        <f t="shared" si="252"/>
        <v>1</v>
      </c>
      <c r="E1510" s="1492"/>
      <c r="F1510" s="1557" t="s">
        <v>11724</v>
      </c>
      <c r="H1510" s="1095" t="s">
        <v>11722</v>
      </c>
      <c r="I1510" s="780" t="s">
        <v>12992</v>
      </c>
      <c r="J1510" s="834"/>
      <c r="K1510" s="790" t="str">
        <f>(IF(H1510="Saneago",VLOOKUP(I1510,'SANEAGO-FEV.2016'!A:B,2,0),IF(H1510="Sinapi",VLOOKUP(I1510,'SINAPI-FEV.2017'!A:D,2,0),IF(H1510="Cotação",VLOOKUP(I1510,COTAÇÃO!A:D,2,0),IF(H1510="Composição",VLOOKUP(I1510,COMPOSIÇÃO!A:D,2,0))))))</f>
        <v>Tubo em FºFº com flanges classe K-9,  PN-10, DN400, L=1,80m</v>
      </c>
      <c r="L1510" s="780" t="s">
        <v>1270</v>
      </c>
      <c r="M1510" s="1270">
        <v>2</v>
      </c>
      <c r="N1510" s="399">
        <v>0</v>
      </c>
      <c r="O1510" s="102">
        <f t="shared" si="250"/>
        <v>0</v>
      </c>
      <c r="P1510" s="101">
        <f t="shared" si="251"/>
        <v>0</v>
      </c>
      <c r="Q1510" s="1472">
        <v>2</v>
      </c>
    </row>
    <row r="1511" spans="1:17">
      <c r="A1511" s="1482"/>
      <c r="B1511" s="1482"/>
      <c r="C1511" s="1555">
        <f t="shared" si="248"/>
        <v>3</v>
      </c>
      <c r="D1511" s="1492">
        <f t="shared" si="252"/>
        <v>1</v>
      </c>
      <c r="E1511" s="1492"/>
      <c r="F1511" s="1557" t="s">
        <v>11724</v>
      </c>
      <c r="H1511" s="1095" t="s">
        <v>11722</v>
      </c>
      <c r="I1511" s="780" t="s">
        <v>12994</v>
      </c>
      <c r="J1511" s="834"/>
      <c r="K1511" s="790" t="str">
        <f>(IF(H1511="Saneago",VLOOKUP(I1511,'SANEAGO-FEV.2016'!A:B,2,0),IF(H1511="Sinapi",VLOOKUP(I1511,'SINAPI-FEV.2017'!A:D,2,0),IF(H1511="Cotação",VLOOKUP(I1511,COTAÇÃO!A:D,2,0),IF(H1511="Composição",VLOOKUP(I1511,COMPOSIÇÃO!A:D,2,0))))))</f>
        <v xml:space="preserve">Tubo em FºFº com flanges classe K-9, PN-10, DN300, L=1,45m </v>
      </c>
      <c r="L1511" s="780" t="s">
        <v>1270</v>
      </c>
      <c r="M1511" s="1270">
        <v>1</v>
      </c>
      <c r="N1511" s="399">
        <v>0</v>
      </c>
      <c r="O1511" s="102">
        <f t="shared" si="250"/>
        <v>0</v>
      </c>
      <c r="P1511" s="101">
        <f t="shared" si="251"/>
        <v>0</v>
      </c>
      <c r="Q1511" s="1472">
        <v>1</v>
      </c>
    </row>
    <row r="1512" spans="1:17">
      <c r="A1512" s="1482"/>
      <c r="B1512" s="1482"/>
      <c r="C1512" s="1555">
        <f t="shared" si="248"/>
        <v>3</v>
      </c>
      <c r="D1512" s="1492">
        <f t="shared" si="252"/>
        <v>1</v>
      </c>
      <c r="E1512" s="1492"/>
      <c r="F1512" s="1557" t="s">
        <v>11724</v>
      </c>
      <c r="H1512" s="1095" t="s">
        <v>11722</v>
      </c>
      <c r="I1512" s="780" t="s">
        <v>12996</v>
      </c>
      <c r="J1512" s="834"/>
      <c r="K1512" s="790" t="str">
        <f>(IF(H1512="Saneago",VLOOKUP(I1512,'SANEAGO-FEV.2016'!A:B,2,0),IF(H1512="Sinapi",VLOOKUP(I1512,'SINAPI-FEV.2017'!A:D,2,0),IF(H1512="Cotação",VLOOKUP(I1512,COTAÇÃO!A:D,2,0),IF(H1512="Composição",VLOOKUP(I1512,COMPOSIÇÃO!A:D,2,0))))))</f>
        <v>Tubo em FºFº com flanges e ponta classe K-12,  PN-10, DN700</v>
      </c>
      <c r="L1512" s="780" t="s">
        <v>1270</v>
      </c>
      <c r="M1512" s="1270">
        <v>1</v>
      </c>
      <c r="N1512" s="399">
        <v>0</v>
      </c>
      <c r="O1512" s="102">
        <f t="shared" si="250"/>
        <v>0</v>
      </c>
      <c r="P1512" s="101">
        <f t="shared" si="251"/>
        <v>0</v>
      </c>
      <c r="Q1512" s="1472">
        <v>1</v>
      </c>
    </row>
    <row r="1513" spans="1:17">
      <c r="A1513" s="1482"/>
      <c r="B1513" s="1482"/>
      <c r="C1513" s="1555">
        <f t="shared" si="248"/>
        <v>3</v>
      </c>
      <c r="D1513" s="1492">
        <f t="shared" si="252"/>
        <v>1</v>
      </c>
      <c r="E1513" s="1492"/>
      <c r="F1513" s="1557" t="s">
        <v>11724</v>
      </c>
      <c r="H1513" s="1095" t="s">
        <v>11722</v>
      </c>
      <c r="I1513" s="780" t="s">
        <v>12998</v>
      </c>
      <c r="J1513" s="834"/>
      <c r="K1513" s="790" t="str">
        <f>(IF(H1513="Saneago",VLOOKUP(I1513,'SANEAGO-FEV.2016'!A:B,2,0),IF(H1513="Sinapi",VLOOKUP(I1513,'SINAPI-FEV.2017'!A:D,2,0),IF(H1513="Cotação",VLOOKUP(I1513,COTAÇÃO!A:D,2,0),IF(H1513="Composição",VLOOKUP(I1513,COMPOSIÇÃO!A:D,2,0))))))</f>
        <v>Tubo em FºFº com flanges e ponta classe K-9,  PN-10,  DN150, L=2,30m</v>
      </c>
      <c r="L1513" s="780" t="s">
        <v>1270</v>
      </c>
      <c r="M1513" s="1270">
        <v>1</v>
      </c>
      <c r="N1513" s="399">
        <v>0</v>
      </c>
      <c r="O1513" s="102">
        <f t="shared" si="250"/>
        <v>0</v>
      </c>
      <c r="P1513" s="101">
        <f t="shared" si="251"/>
        <v>0</v>
      </c>
      <c r="Q1513" s="1472">
        <v>1</v>
      </c>
    </row>
    <row r="1514" spans="1:17">
      <c r="A1514" s="1482"/>
      <c r="B1514" s="1482"/>
      <c r="C1514" s="1555">
        <f t="shared" si="248"/>
        <v>3</v>
      </c>
      <c r="D1514" s="1492">
        <f t="shared" si="252"/>
        <v>1</v>
      </c>
      <c r="E1514" s="1492"/>
      <c r="F1514" s="1557" t="s">
        <v>11724</v>
      </c>
      <c r="H1514" s="1095" t="s">
        <v>11722</v>
      </c>
      <c r="I1514" s="780" t="s">
        <v>13006</v>
      </c>
      <c r="J1514" s="834"/>
      <c r="K1514" s="790" t="str">
        <f>(IF(H1514="Saneago",VLOOKUP(I1514,'SANEAGO-FEV.2016'!A:B,2,0),IF(H1514="Sinapi",VLOOKUP(I1514,'SINAPI-FEV.2017'!A:D,2,0),IF(H1514="Cotação",VLOOKUP(I1514,COTAÇÃO!A:D,2,0),IF(H1514="Composição",VLOOKUP(I1514,COMPOSIÇÃO!A:D,2,0))))))</f>
        <v>Tubo em FºFº com flanges e ponta classe K-9,  PN-10, DN100, L=1,00m</v>
      </c>
      <c r="L1514" s="780" t="s">
        <v>1270</v>
      </c>
      <c r="M1514" s="1270">
        <v>1</v>
      </c>
      <c r="N1514" s="399">
        <v>0</v>
      </c>
      <c r="O1514" s="102">
        <f t="shared" si="250"/>
        <v>0</v>
      </c>
      <c r="P1514" s="101">
        <f t="shared" si="251"/>
        <v>0</v>
      </c>
      <c r="Q1514" s="1472">
        <v>1</v>
      </c>
    </row>
    <row r="1515" spans="1:17">
      <c r="A1515" s="1482"/>
      <c r="B1515" s="1482"/>
      <c r="C1515" s="1555">
        <f t="shared" si="248"/>
        <v>3</v>
      </c>
      <c r="D1515" s="1492">
        <f t="shared" si="252"/>
        <v>1</v>
      </c>
      <c r="E1515" s="1492"/>
      <c r="F1515" s="1557" t="s">
        <v>11724</v>
      </c>
      <c r="H1515" s="1095" t="s">
        <v>11722</v>
      </c>
      <c r="I1515" s="780" t="s">
        <v>13014</v>
      </c>
      <c r="J1515" s="834"/>
      <c r="K1515" s="790" t="str">
        <f>(IF(H1515="Saneago",VLOOKUP(I1515,'SANEAGO-FEV.2016'!A:B,2,0),IF(H1515="Sinapi",VLOOKUP(I1515,'SINAPI-FEV.2017'!A:D,2,0),IF(H1515="Cotação",VLOOKUP(I1515,COTAÇÃO!A:D,2,0),IF(H1515="Composição",VLOOKUP(I1515,COMPOSIÇÃO!A:D,2,0))))))</f>
        <v>Tubo em FºFº com flanges e ponta CLASSE k-9,  PN-10, DN100, L=2,34m</v>
      </c>
      <c r="L1515" s="780" t="s">
        <v>1270</v>
      </c>
      <c r="M1515" s="1270">
        <v>1</v>
      </c>
      <c r="N1515" s="399">
        <v>0</v>
      </c>
      <c r="O1515" s="102">
        <f t="shared" si="250"/>
        <v>0</v>
      </c>
      <c r="P1515" s="101">
        <f t="shared" si="251"/>
        <v>0</v>
      </c>
      <c r="Q1515" s="1472">
        <v>1</v>
      </c>
    </row>
    <row r="1516" spans="1:17">
      <c r="A1516" s="1482"/>
      <c r="B1516" s="1482"/>
      <c r="C1516" s="1555">
        <f t="shared" si="248"/>
        <v>3</v>
      </c>
      <c r="D1516" s="1492">
        <f t="shared" si="252"/>
        <v>1</v>
      </c>
      <c r="E1516" s="1492"/>
      <c r="F1516" s="1557" t="s">
        <v>11724</v>
      </c>
      <c r="H1516" s="1095" t="s">
        <v>11722</v>
      </c>
      <c r="I1516" s="780" t="s">
        <v>13018</v>
      </c>
      <c r="J1516" s="834"/>
      <c r="K1516" s="790" t="str">
        <f>(IF(H1516="Saneago",VLOOKUP(I1516,'SANEAGO-FEV.2016'!A:B,2,0),IF(H1516="Sinapi",VLOOKUP(I1516,'SINAPI-FEV.2017'!A:D,2,0),IF(H1516="Cotação",VLOOKUP(I1516,COTAÇÃO!A:D,2,0),IF(H1516="Composição",VLOOKUP(I1516,COMPOSIÇÃO!A:D,2,0))))))</f>
        <v>Tubo em FºFº com flanges e ponta classe K-9,  PN-10, DN100, L=4,80m</v>
      </c>
      <c r="L1516" s="780" t="s">
        <v>1270</v>
      </c>
      <c r="M1516" s="1270">
        <v>1</v>
      </c>
      <c r="N1516" s="399">
        <v>0</v>
      </c>
      <c r="O1516" s="102">
        <f t="shared" si="250"/>
        <v>0</v>
      </c>
      <c r="P1516" s="101">
        <f t="shared" si="251"/>
        <v>0</v>
      </c>
      <c r="Q1516" s="1472">
        <v>1</v>
      </c>
    </row>
    <row r="1517" spans="1:17">
      <c r="A1517" s="1482"/>
      <c r="B1517" s="1482"/>
      <c r="C1517" s="1555">
        <f t="shared" si="248"/>
        <v>3</v>
      </c>
      <c r="D1517" s="1492">
        <f t="shared" si="252"/>
        <v>1</v>
      </c>
      <c r="E1517" s="1492"/>
      <c r="F1517" s="1557" t="s">
        <v>11724</v>
      </c>
      <c r="H1517" s="1095" t="s">
        <v>11722</v>
      </c>
      <c r="I1517" s="780" t="s">
        <v>13030</v>
      </c>
      <c r="J1517" s="834"/>
      <c r="K1517" s="790" t="str">
        <f>(IF(H1517="Saneago",VLOOKUP(I1517,'SANEAGO-FEV.2016'!A:B,2,0),IF(H1517="Sinapi",VLOOKUP(I1517,'SINAPI-FEV.2017'!A:D,2,0),IF(H1517="Cotação",VLOOKUP(I1517,COTAÇÃO!A:D,2,0),IF(H1517="Composição",VLOOKUP(I1517,COMPOSIÇÃO!A:D,2,0))))))</f>
        <v>Tubo em FºFº com flanges e ponta classe K-9,  PN-10, DN300, L=2,62m</v>
      </c>
      <c r="L1517" s="780" t="s">
        <v>1270</v>
      </c>
      <c r="M1517" s="1270">
        <v>1</v>
      </c>
      <c r="N1517" s="399">
        <v>0</v>
      </c>
      <c r="O1517" s="102">
        <f t="shared" si="250"/>
        <v>0</v>
      </c>
      <c r="P1517" s="101">
        <f t="shared" si="251"/>
        <v>0</v>
      </c>
      <c r="Q1517" s="1472">
        <v>1</v>
      </c>
    </row>
    <row r="1518" spans="1:17">
      <c r="A1518" s="1482"/>
      <c r="B1518" s="1482"/>
      <c r="C1518" s="1555">
        <f t="shared" si="248"/>
        <v>3</v>
      </c>
      <c r="D1518" s="1492">
        <f t="shared" si="252"/>
        <v>1</v>
      </c>
      <c r="E1518" s="1492"/>
      <c r="F1518" s="1557" t="s">
        <v>11724</v>
      </c>
      <c r="H1518" s="1095" t="s">
        <v>11722</v>
      </c>
      <c r="I1518" s="780" t="s">
        <v>13032</v>
      </c>
      <c r="J1518" s="834"/>
      <c r="K1518" s="790" t="str">
        <f>(IF(H1518="Saneago",VLOOKUP(I1518,'SANEAGO-FEV.2016'!A:B,2,0),IF(H1518="Sinapi",VLOOKUP(I1518,'SINAPI-FEV.2017'!A:D,2,0),IF(H1518="Cotação",VLOOKUP(I1518,COTAÇÃO!A:D,2,0),IF(H1518="Composição",VLOOKUP(I1518,COMPOSIÇÃO!A:D,2,0))))))</f>
        <v>Tubo em FºFº com flanges e ponta classe K-9,  PN-10, DN400, L=2,00m</v>
      </c>
      <c r="L1518" s="780" t="s">
        <v>1270</v>
      </c>
      <c r="M1518" s="1270">
        <v>1</v>
      </c>
      <c r="N1518" s="399">
        <v>0</v>
      </c>
      <c r="O1518" s="102">
        <f t="shared" si="250"/>
        <v>0</v>
      </c>
      <c r="P1518" s="101">
        <f t="shared" si="251"/>
        <v>0</v>
      </c>
      <c r="Q1518" s="1472">
        <v>1</v>
      </c>
    </row>
    <row r="1519" spans="1:17">
      <c r="A1519" s="1482"/>
      <c r="B1519" s="1482"/>
      <c r="C1519" s="1555">
        <f t="shared" si="248"/>
        <v>3</v>
      </c>
      <c r="D1519" s="1492">
        <f t="shared" si="252"/>
        <v>1</v>
      </c>
      <c r="E1519" s="1492"/>
      <c r="F1519" s="1557" t="s">
        <v>11724</v>
      </c>
      <c r="H1519" s="1095" t="s">
        <v>11722</v>
      </c>
      <c r="I1519" s="780" t="s">
        <v>13034</v>
      </c>
      <c r="J1519" s="834"/>
      <c r="K1519" s="790" t="str">
        <f>(IF(H1519="Saneago",VLOOKUP(I1519,'SANEAGO-FEV.2016'!A:B,2,0),IF(H1519="Sinapi",VLOOKUP(I1519,'SINAPI-FEV.2017'!A:D,2,0),IF(H1519="Cotação",VLOOKUP(I1519,COTAÇÃO!A:D,2,0),IF(H1519="Composição",VLOOKUP(I1519,COMPOSIÇÃO!A:D,2,0))))))</f>
        <v>Tubo em FºFº com flanges e ponta classe K-9,  PN-10, DN400, L=2,03m</v>
      </c>
      <c r="L1519" s="780" t="s">
        <v>1270</v>
      </c>
      <c r="M1519" s="1270">
        <v>1</v>
      </c>
      <c r="N1519" s="399">
        <v>0</v>
      </c>
      <c r="O1519" s="102">
        <f t="shared" si="250"/>
        <v>0</v>
      </c>
      <c r="P1519" s="101">
        <f t="shared" si="251"/>
        <v>0</v>
      </c>
      <c r="Q1519" s="1472">
        <v>1</v>
      </c>
    </row>
    <row r="1520" spans="1:17">
      <c r="A1520" s="1482"/>
      <c r="B1520" s="1482"/>
      <c r="C1520" s="1555">
        <f t="shared" si="248"/>
        <v>3</v>
      </c>
      <c r="D1520" s="1492">
        <f t="shared" si="252"/>
        <v>1</v>
      </c>
      <c r="E1520" s="1492"/>
      <c r="F1520" s="1557" t="s">
        <v>11724</v>
      </c>
      <c r="H1520" s="1095" t="s">
        <v>11722</v>
      </c>
      <c r="I1520" s="780" t="s">
        <v>13038</v>
      </c>
      <c r="J1520" s="834"/>
      <c r="K1520" s="790" t="str">
        <f>(IF(H1520="Saneago",VLOOKUP(I1520,'SANEAGO-FEV.2016'!A:B,2,0),IF(H1520="Sinapi",VLOOKUP(I1520,'SINAPI-FEV.2017'!A:D,2,0),IF(H1520="Cotação",VLOOKUP(I1520,COTAÇÃO!A:D,2,0),IF(H1520="Composição",VLOOKUP(I1520,COMPOSIÇÃO!A:D,2,0))))))</f>
        <v>Tubo em FºFº com flanges e ponta classe K-9,  PN-10, DN80, L=2,00m</v>
      </c>
      <c r="L1520" s="780" t="s">
        <v>1270</v>
      </c>
      <c r="M1520" s="1270">
        <v>2</v>
      </c>
      <c r="N1520" s="399">
        <v>0</v>
      </c>
      <c r="O1520" s="102">
        <f t="shared" si="250"/>
        <v>0</v>
      </c>
      <c r="P1520" s="101">
        <f t="shared" si="251"/>
        <v>0</v>
      </c>
      <c r="Q1520" s="1472">
        <v>2</v>
      </c>
    </row>
    <row r="1521" spans="1:17">
      <c r="A1521" s="1482"/>
      <c r="B1521" s="1482"/>
      <c r="C1521" s="1555">
        <f t="shared" si="248"/>
        <v>3</v>
      </c>
      <c r="D1521" s="1492">
        <f t="shared" si="252"/>
        <v>1</v>
      </c>
      <c r="E1521" s="1492"/>
      <c r="F1521" s="1557" t="s">
        <v>11724</v>
      </c>
      <c r="H1521" s="1095" t="s">
        <v>11722</v>
      </c>
      <c r="I1521" s="780" t="s">
        <v>13040</v>
      </c>
      <c r="J1521" s="834"/>
      <c r="K1521" s="790" t="str">
        <f>(IF(H1521="Saneago",VLOOKUP(I1521,'SANEAGO-FEV.2016'!A:B,2,0),IF(H1521="Sinapi",VLOOKUP(I1521,'SINAPI-FEV.2017'!A:D,2,0),IF(H1521="Cotação",VLOOKUP(I1521,COTAÇÃO!A:D,2,0),IF(H1521="Composição",VLOOKUP(I1521,COMPOSIÇÃO!A:D,2,0))))))</f>
        <v>Tubo em FºFº com flanges e ponta classe K-9, PN-10, DN300, L=4,30m</v>
      </c>
      <c r="L1521" s="780" t="s">
        <v>1270</v>
      </c>
      <c r="M1521" s="1270">
        <v>5</v>
      </c>
      <c r="N1521" s="399">
        <v>0</v>
      </c>
      <c r="O1521" s="102">
        <f t="shared" si="250"/>
        <v>0</v>
      </c>
      <c r="P1521" s="101">
        <f t="shared" si="251"/>
        <v>0</v>
      </c>
      <c r="Q1521" s="1472">
        <v>5</v>
      </c>
    </row>
    <row r="1522" spans="1:17">
      <c r="A1522" s="1482"/>
      <c r="B1522" s="1482"/>
      <c r="C1522" s="1555">
        <f t="shared" si="248"/>
        <v>3</v>
      </c>
      <c r="D1522" s="1492">
        <f t="shared" si="252"/>
        <v>1</v>
      </c>
      <c r="E1522" s="1492"/>
      <c r="F1522" s="1557" t="s">
        <v>11724</v>
      </c>
      <c r="H1522" s="1095" t="s">
        <v>11722</v>
      </c>
      <c r="I1522" s="780" t="s">
        <v>13042</v>
      </c>
      <c r="J1522" s="834"/>
      <c r="K1522" s="790" t="str">
        <f>(IF(H1522="Saneago",VLOOKUP(I1522,'SANEAGO-FEV.2016'!A:B,2,0),IF(H1522="Sinapi",VLOOKUP(I1522,'SINAPI-FEV.2017'!A:D,2,0),IF(H1522="Cotação",VLOOKUP(I1522,COTAÇÃO!A:D,2,0),IF(H1522="Composição",VLOOKUP(I1522,COMPOSIÇÃO!A:D,2,0))))))</f>
        <v>Tubo em FºFº com flanges e pontas classe K-9,  PN-10, DN400, L=4,91m</v>
      </c>
      <c r="L1522" s="780" t="s">
        <v>1270</v>
      </c>
      <c r="M1522" s="1270">
        <v>3</v>
      </c>
      <c r="N1522" s="399">
        <v>0</v>
      </c>
      <c r="O1522" s="102">
        <f t="shared" si="250"/>
        <v>0</v>
      </c>
      <c r="P1522" s="101">
        <f t="shared" si="251"/>
        <v>0</v>
      </c>
      <c r="Q1522" s="1472">
        <v>3</v>
      </c>
    </row>
    <row r="1523" spans="1:17">
      <c r="A1523" s="1482"/>
      <c r="B1523" s="1482"/>
      <c r="C1523" s="1555">
        <f t="shared" ref="C1523:C1586" si="253">C1522</f>
        <v>3</v>
      </c>
      <c r="D1523" s="1492">
        <f t="shared" si="252"/>
        <v>1</v>
      </c>
      <c r="E1523" s="1492"/>
      <c r="F1523" s="1557" t="s">
        <v>11724</v>
      </c>
      <c r="H1523" s="1095" t="s">
        <v>11722</v>
      </c>
      <c r="I1523" s="780" t="s">
        <v>13044</v>
      </c>
      <c r="J1523" s="834"/>
      <c r="K1523" s="790" t="str">
        <f>(IF(H1523="Saneago",VLOOKUP(I1523,'SANEAGO-FEV.2016'!A:B,2,0),IF(H1523="Sinapi",VLOOKUP(I1523,'SINAPI-FEV.2017'!A:D,2,0),IF(H1523="Cotação",VLOOKUP(I1523,COTAÇÃO!A:D,2,0),IF(H1523="Composição",VLOOKUP(I1523,COMPOSIÇÃO!A:D,2,0))))))</f>
        <v>Tubo em FºFº com ponta e bolsa classe K-7,  JGS, DN400, L=6,00m</v>
      </c>
      <c r="L1523" s="780" t="s">
        <v>1270</v>
      </c>
      <c r="M1523" s="1270">
        <v>3</v>
      </c>
      <c r="N1523" s="399">
        <v>0</v>
      </c>
      <c r="O1523" s="102">
        <f t="shared" si="250"/>
        <v>0</v>
      </c>
      <c r="P1523" s="101">
        <f t="shared" si="251"/>
        <v>0</v>
      </c>
      <c r="Q1523" s="1472">
        <v>3</v>
      </c>
    </row>
    <row r="1524" spans="1:17">
      <c r="A1524" s="1482"/>
      <c r="B1524" s="1482"/>
      <c r="C1524" s="1555">
        <f t="shared" si="253"/>
        <v>3</v>
      </c>
      <c r="D1524" s="1492">
        <f t="shared" si="252"/>
        <v>1</v>
      </c>
      <c r="E1524" s="1492"/>
      <c r="F1524" s="1557" t="s">
        <v>11724</v>
      </c>
      <c r="H1524" s="1095" t="s">
        <v>11722</v>
      </c>
      <c r="I1524" s="780" t="s">
        <v>13046</v>
      </c>
      <c r="J1524" s="834"/>
      <c r="K1524" s="790" t="str">
        <f>(IF(H1524="Saneago",VLOOKUP(I1524,'SANEAGO-FEV.2016'!A:B,2,0),IF(H1524="Sinapi",VLOOKUP(I1524,'SINAPI-FEV.2017'!A:D,2,0),IF(H1524="Cotação",VLOOKUP(I1524,COTAÇÃO!A:D,2,0),IF(H1524="Composição",VLOOKUP(I1524,COMPOSIÇÃO!A:D,2,0))))))</f>
        <v>Tubo em FºFº com ponta e bolsa classe K-7,  JGS, DN600</v>
      </c>
      <c r="L1524" s="780" t="s">
        <v>1270</v>
      </c>
      <c r="M1524" s="1270">
        <v>3</v>
      </c>
      <c r="N1524" s="399">
        <v>0</v>
      </c>
      <c r="O1524" s="102">
        <f t="shared" si="250"/>
        <v>0</v>
      </c>
      <c r="P1524" s="101">
        <f t="shared" si="251"/>
        <v>0</v>
      </c>
      <c r="Q1524" s="1472">
        <v>3</v>
      </c>
    </row>
    <row r="1525" spans="1:17">
      <c r="A1525" s="1482"/>
      <c r="B1525" s="1482"/>
      <c r="C1525" s="1555">
        <f t="shared" si="253"/>
        <v>3</v>
      </c>
      <c r="D1525" s="1492">
        <f t="shared" si="252"/>
        <v>1</v>
      </c>
      <c r="E1525" s="1492"/>
      <c r="F1525" s="1557" t="s">
        <v>11724</v>
      </c>
      <c r="H1525" s="1095" t="s">
        <v>11722</v>
      </c>
      <c r="I1525" s="780" t="s">
        <v>13048</v>
      </c>
      <c r="J1525" s="834"/>
      <c r="K1525" s="790" t="str">
        <f>(IF(H1525="Saneago",VLOOKUP(I1525,'SANEAGO-FEV.2016'!A:B,2,0),IF(H1525="Sinapi",VLOOKUP(I1525,'SINAPI-FEV.2017'!A:D,2,0),IF(H1525="Cotação",VLOOKUP(I1525,COTAÇÃO!A:D,2,0),IF(H1525="Composição",VLOOKUP(I1525,COMPOSIÇÃO!A:D,2,0))))))</f>
        <v xml:space="preserve">Tubo em FºFº com ponta e flanges classe K-9,  PN-10, DN80, L=0,25m </v>
      </c>
      <c r="L1525" s="780" t="s">
        <v>1270</v>
      </c>
      <c r="M1525" s="1270">
        <v>4</v>
      </c>
      <c r="N1525" s="399">
        <v>0</v>
      </c>
      <c r="O1525" s="102">
        <f t="shared" si="250"/>
        <v>0</v>
      </c>
      <c r="P1525" s="101">
        <f t="shared" si="251"/>
        <v>0</v>
      </c>
      <c r="Q1525" s="1472">
        <v>4</v>
      </c>
    </row>
    <row r="1526" spans="1:17">
      <c r="A1526" s="1482"/>
      <c r="B1526" s="1482"/>
      <c r="C1526" s="1555">
        <f t="shared" si="253"/>
        <v>3</v>
      </c>
      <c r="D1526" s="1492">
        <f t="shared" si="252"/>
        <v>1</v>
      </c>
      <c r="E1526" s="1492"/>
      <c r="F1526" s="1557" t="s">
        <v>11724</v>
      </c>
      <c r="H1526" s="1095" t="s">
        <v>11722</v>
      </c>
      <c r="I1526" s="780" t="s">
        <v>13125</v>
      </c>
      <c r="J1526" s="834"/>
      <c r="K1526" s="790" t="str">
        <f>(IF(H1526="Saneago",VLOOKUP(I1526,'SANEAGO-FEV.2016'!A:B,2,0),IF(H1526="Sinapi",VLOOKUP(I1526,'SINAPI-FEV.2017'!A:D,2,0),IF(H1526="Cotação",VLOOKUP(I1526,COTAÇÃO!A:D,2,0),IF(H1526="Composição",VLOOKUP(I1526,COMPOSIÇÃO!A:D,2,0))))))</f>
        <v xml:space="preserve">Válvula borboleta tipo Wafer, com tirantes DN65 </v>
      </c>
      <c r="L1526" s="780" t="s">
        <v>11723</v>
      </c>
      <c r="M1526" s="1270">
        <v>2</v>
      </c>
      <c r="N1526" s="399">
        <v>0</v>
      </c>
      <c r="O1526" s="102">
        <f t="shared" si="250"/>
        <v>0</v>
      </c>
      <c r="P1526" s="101">
        <f t="shared" si="251"/>
        <v>0</v>
      </c>
      <c r="Q1526" s="1472">
        <v>2</v>
      </c>
    </row>
    <row r="1527" spans="1:17">
      <c r="A1527" s="1482"/>
      <c r="B1527" s="1482"/>
      <c r="C1527" s="1555">
        <f t="shared" si="253"/>
        <v>3</v>
      </c>
      <c r="D1527" s="1492">
        <f t="shared" si="252"/>
        <v>1</v>
      </c>
      <c r="E1527" s="1492"/>
      <c r="F1527" s="1557" t="s">
        <v>11724</v>
      </c>
      <c r="H1527" s="1095" t="s">
        <v>11722</v>
      </c>
      <c r="I1527" s="780" t="s">
        <v>13133</v>
      </c>
      <c r="J1527" s="834"/>
      <c r="K1527" s="790" t="str">
        <f>(IF(H1527="Saneago",VLOOKUP(I1527,'SANEAGO-FEV.2016'!A:B,2,0),IF(H1527="Sinapi",VLOOKUP(I1527,'SINAPI-FEV.2017'!A:D,2,0),IF(H1527="Cotação",VLOOKUP(I1527,COTAÇÃO!A:D,2,0),IF(H1527="Composição",VLOOKUP(I1527,COMPOSIÇÃO!A:D,2,0))))))</f>
        <v>Válvula de retenção para esgoto tipo portinhola única com flanges, PN-10, DN80</v>
      </c>
      <c r="L1527" s="780" t="s">
        <v>10854</v>
      </c>
      <c r="M1527" s="1270">
        <v>2</v>
      </c>
      <c r="N1527" s="399">
        <v>0</v>
      </c>
      <c r="O1527" s="102">
        <f t="shared" si="250"/>
        <v>0</v>
      </c>
      <c r="P1527" s="101">
        <f t="shared" si="251"/>
        <v>0</v>
      </c>
      <c r="Q1527" s="1472">
        <v>2</v>
      </c>
    </row>
    <row r="1528" spans="1:17">
      <c r="A1528" s="1482"/>
      <c r="B1528" s="1482"/>
      <c r="C1528" s="1555">
        <f t="shared" si="253"/>
        <v>3</v>
      </c>
      <c r="D1528" s="1492">
        <f t="shared" si="252"/>
        <v>1</v>
      </c>
      <c r="E1528" s="1492"/>
      <c r="F1528" s="1557" t="s">
        <v>11724</v>
      </c>
      <c r="H1528" s="1095" t="s">
        <v>11722</v>
      </c>
      <c r="I1528" s="780" t="s">
        <v>13135</v>
      </c>
      <c r="J1528" s="834"/>
      <c r="K1528" s="790" t="str">
        <f>(IF(H1528="Saneago",VLOOKUP(I1528,'SANEAGO-FEV.2016'!A:B,2,0),IF(H1528="Sinapi",VLOOKUP(I1528,'SINAPI-FEV.2017'!A:D,2,0),IF(H1528="Cotação",VLOOKUP(I1528,COTAÇÃO!A:D,2,0),IF(H1528="Composição",VLOOKUP(I1528,COMPOSIÇÃO!A:D,2,0))))))</f>
        <v>Válvula de retenção para esgoto, tipo portinhola única, PN-10, DN300</v>
      </c>
      <c r="L1528" s="780" t="s">
        <v>10854</v>
      </c>
      <c r="M1528" s="1270">
        <v>5</v>
      </c>
      <c r="N1528" s="399">
        <v>0</v>
      </c>
      <c r="O1528" s="102">
        <f t="shared" si="250"/>
        <v>0</v>
      </c>
      <c r="P1528" s="101">
        <f t="shared" si="251"/>
        <v>0</v>
      </c>
      <c r="Q1528" s="1472">
        <v>5</v>
      </c>
    </row>
    <row r="1529" spans="1:17" ht="15.75" thickBot="1">
      <c r="A1529" s="1482"/>
      <c r="B1529" s="1482"/>
      <c r="C1529" s="1555">
        <f t="shared" si="253"/>
        <v>3</v>
      </c>
      <c r="D1529" s="1492">
        <f t="shared" si="252"/>
        <v>1</v>
      </c>
      <c r="E1529" s="1492"/>
      <c r="F1529" s="1557" t="s">
        <v>11724</v>
      </c>
      <c r="H1529" s="1095"/>
      <c r="I1529" s="780"/>
      <c r="J1529" s="834"/>
      <c r="K1529" s="780"/>
      <c r="L1529" s="780"/>
      <c r="M1529" s="1270"/>
      <c r="N1529" s="400"/>
      <c r="O1529" s="122"/>
      <c r="P1529" s="123"/>
    </row>
    <row r="1530" spans="1:17" ht="16.5" thickTop="1" thickBot="1">
      <c r="A1530" s="1482"/>
      <c r="B1530" s="1482">
        <v>1</v>
      </c>
      <c r="C1530" s="1555">
        <f t="shared" si="253"/>
        <v>3</v>
      </c>
      <c r="D1530" s="1492">
        <f>D1529+B1530</f>
        <v>2</v>
      </c>
      <c r="E1530" s="1492"/>
      <c r="F1530" s="1557" t="s">
        <v>11724</v>
      </c>
      <c r="G1530" s="921"/>
      <c r="H1530" s="1510" t="str">
        <f>CONCATENATE(C1530,".",D1530)</f>
        <v>3.2</v>
      </c>
      <c r="I1530" s="1573" t="s">
        <v>13292</v>
      </c>
      <c r="J1530" s="1573"/>
      <c r="K1530" s="1573"/>
      <c r="L1530" s="1573" t="s">
        <v>25</v>
      </c>
      <c r="M1530" s="1574" t="s">
        <v>11704</v>
      </c>
      <c r="N1530" s="397" t="s">
        <v>11705</v>
      </c>
      <c r="O1530" s="99" t="s">
        <v>11706</v>
      </c>
      <c r="P1530" s="100">
        <f>SUBTOTAL(9,P1532:P1785)</f>
        <v>0</v>
      </c>
      <c r="Q1530" s="1472" t="s">
        <v>11704</v>
      </c>
    </row>
    <row r="1531" spans="1:17" ht="15.75" thickTop="1">
      <c r="A1531" s="1482"/>
      <c r="B1531" s="1482"/>
      <c r="C1531" s="1555">
        <f t="shared" si="253"/>
        <v>3</v>
      </c>
      <c r="D1531" s="1492">
        <f t="shared" si="252"/>
        <v>2</v>
      </c>
      <c r="E1531" s="1492"/>
      <c r="F1531" s="1557" t="s">
        <v>11724</v>
      </c>
      <c r="H1531" s="1095"/>
      <c r="I1531" s="780"/>
      <c r="J1531" s="834"/>
      <c r="K1531" s="780"/>
      <c r="L1531" s="780"/>
      <c r="M1531" s="1270"/>
      <c r="N1531" s="400"/>
      <c r="O1531" s="122"/>
      <c r="P1531" s="123"/>
    </row>
    <row r="1532" spans="1:17">
      <c r="A1532" s="1482"/>
      <c r="B1532" s="1482"/>
      <c r="C1532" s="1555">
        <f t="shared" si="253"/>
        <v>3</v>
      </c>
      <c r="D1532" s="1492">
        <f t="shared" si="252"/>
        <v>2</v>
      </c>
      <c r="E1532" s="1492"/>
      <c r="F1532" s="1557" t="s">
        <v>11724</v>
      </c>
      <c r="G1532" s="969"/>
      <c r="H1532" s="1095" t="s">
        <v>11722</v>
      </c>
      <c r="I1532" s="780" t="s">
        <v>12813</v>
      </c>
      <c r="J1532" s="834"/>
      <c r="K1532" s="790" t="str">
        <f>(IF(H1532="Saneago",VLOOKUP(I1532,'SANEAGO-FEV.2016'!A:B,2,0),IF(H1532="Sinapi",VLOOKUP(I1532,'SINAPI-FEV.2017'!A:D,2,0),IF(H1532="Cotação",VLOOKUP(I1532,COTAÇÃO!A:D,2,0),IF(H1532="Composição",VLOOKUP(I1532,COMPOSIÇÃO!A:D,2,0))))))</f>
        <v>Arruela para flanges, PN-10, DN200</v>
      </c>
      <c r="L1532" s="780" t="s">
        <v>1270</v>
      </c>
      <c r="M1532" s="1270">
        <v>36</v>
      </c>
      <c r="N1532" s="399">
        <v>0</v>
      </c>
      <c r="O1532" s="102">
        <f t="shared" ref="O1532:O1593" si="254">ROUND(IF(F1532="Serviços",N1532*(1+$O$7),IF(F1532="Materiais",N1532*(1+$O$8))),2)</f>
        <v>0</v>
      </c>
      <c r="P1532" s="101">
        <f t="shared" ref="P1532:P1593" si="255">ROUND(M1532*O1532,2)</f>
        <v>0</v>
      </c>
      <c r="Q1532" s="1472">
        <v>36</v>
      </c>
    </row>
    <row r="1533" spans="1:17">
      <c r="A1533" s="1482"/>
      <c r="B1533" s="1482"/>
      <c r="C1533" s="1555">
        <f t="shared" si="253"/>
        <v>3</v>
      </c>
      <c r="D1533" s="1492">
        <f t="shared" si="252"/>
        <v>2</v>
      </c>
      <c r="E1533" s="1492"/>
      <c r="F1533" s="1557" t="s">
        <v>11724</v>
      </c>
      <c r="G1533" s="969"/>
      <c r="H1533" s="1095" t="s">
        <v>11722</v>
      </c>
      <c r="I1533" s="780" t="s">
        <v>12819</v>
      </c>
      <c r="J1533" s="834"/>
      <c r="K1533" s="790" t="str">
        <f>(IF(H1533="Saneago",VLOOKUP(I1533,'SANEAGO-FEV.2016'!A:B,2,0),IF(H1533="Sinapi",VLOOKUP(I1533,'SINAPI-FEV.2017'!A:D,2,0),IF(H1533="Cotação",VLOOKUP(I1533,COTAÇÃO!A:D,2,0),IF(H1533="Composição",VLOOKUP(I1533,COMPOSIÇÃO!A:D,2,0))))))</f>
        <v>Arruelas para flanges, PN-10, DN100</v>
      </c>
      <c r="L1533" s="780" t="s">
        <v>1270</v>
      </c>
      <c r="M1533" s="1270">
        <v>308</v>
      </c>
      <c r="N1533" s="399">
        <v>0</v>
      </c>
      <c r="O1533" s="102">
        <f t="shared" si="254"/>
        <v>0</v>
      </c>
      <c r="P1533" s="101">
        <f t="shared" si="255"/>
        <v>0</v>
      </c>
      <c r="Q1533" s="1472">
        <v>308</v>
      </c>
    </row>
    <row r="1534" spans="1:17">
      <c r="A1534" s="1482"/>
      <c r="B1534" s="1482"/>
      <c r="C1534" s="1555">
        <f t="shared" si="253"/>
        <v>3</v>
      </c>
      <c r="D1534" s="1492">
        <f t="shared" si="252"/>
        <v>2</v>
      </c>
      <c r="E1534" s="1492"/>
      <c r="F1534" s="1557" t="s">
        <v>11724</v>
      </c>
      <c r="G1534" s="969"/>
      <c r="H1534" s="1095" t="s">
        <v>11722</v>
      </c>
      <c r="I1534" s="780" t="s">
        <v>12821</v>
      </c>
      <c r="J1534" s="834"/>
      <c r="K1534" s="790" t="str">
        <f>(IF(H1534="Saneago",VLOOKUP(I1534,'SANEAGO-FEV.2016'!A:B,2,0),IF(H1534="Sinapi",VLOOKUP(I1534,'SINAPI-FEV.2017'!A:D,2,0),IF(H1534="Cotação",VLOOKUP(I1534,COTAÇÃO!A:D,2,0),IF(H1534="Composição",VLOOKUP(I1534,COMPOSIÇÃO!A:D,2,0))))))</f>
        <v>Arruelas para flanges, PN-10, DN150</v>
      </c>
      <c r="L1534" s="780" t="s">
        <v>1270</v>
      </c>
      <c r="M1534" s="1270">
        <v>420</v>
      </c>
      <c r="N1534" s="399">
        <v>0</v>
      </c>
      <c r="O1534" s="102">
        <f t="shared" si="254"/>
        <v>0</v>
      </c>
      <c r="P1534" s="101">
        <f t="shared" si="255"/>
        <v>0</v>
      </c>
      <c r="Q1534" s="1472">
        <v>420</v>
      </c>
    </row>
    <row r="1535" spans="1:17">
      <c r="A1535" s="1482"/>
      <c r="B1535" s="1482"/>
      <c r="C1535" s="1555">
        <f t="shared" si="253"/>
        <v>3</v>
      </c>
      <c r="D1535" s="1492">
        <f t="shared" si="252"/>
        <v>2</v>
      </c>
      <c r="E1535" s="1492"/>
      <c r="F1535" s="1557" t="s">
        <v>11724</v>
      </c>
      <c r="G1535" s="969"/>
      <c r="H1535" s="1095" t="s">
        <v>11722</v>
      </c>
      <c r="I1535" s="780" t="s">
        <v>12824</v>
      </c>
      <c r="J1535" s="834"/>
      <c r="K1535" s="790" t="str">
        <f>(IF(H1535="Saneago",VLOOKUP(I1535,'SANEAGO-FEV.2016'!A:B,2,0),IF(H1535="Sinapi",VLOOKUP(I1535,'SINAPI-FEV.2017'!A:D,2,0),IF(H1535="Cotação",VLOOKUP(I1535,COTAÇÃO!A:D,2,0),IF(H1535="Composição",VLOOKUP(I1535,COMPOSIÇÃO!A:D,2,0))))))</f>
        <v>Arruelas para flanges, PN-10, DN2"</v>
      </c>
      <c r="L1535" s="780" t="s">
        <v>1270</v>
      </c>
      <c r="M1535" s="1270">
        <v>9</v>
      </c>
      <c r="N1535" s="399">
        <v>0</v>
      </c>
      <c r="O1535" s="102">
        <f t="shared" si="254"/>
        <v>0</v>
      </c>
      <c r="P1535" s="101">
        <f t="shared" si="255"/>
        <v>0</v>
      </c>
      <c r="Q1535" s="1472">
        <v>9</v>
      </c>
    </row>
    <row r="1536" spans="1:17">
      <c r="A1536" s="1482"/>
      <c r="B1536" s="1482"/>
      <c r="C1536" s="1555">
        <f t="shared" si="253"/>
        <v>3</v>
      </c>
      <c r="D1536" s="1492">
        <f t="shared" si="252"/>
        <v>2</v>
      </c>
      <c r="E1536" s="1492"/>
      <c r="F1536" s="1557" t="s">
        <v>11724</v>
      </c>
      <c r="G1536" s="969"/>
      <c r="H1536" s="1095" t="s">
        <v>11722</v>
      </c>
      <c r="I1536" s="780" t="s">
        <v>12826</v>
      </c>
      <c r="J1536" s="834"/>
      <c r="K1536" s="790" t="str">
        <f>(IF(H1536="Saneago",VLOOKUP(I1536,'SANEAGO-FEV.2016'!A:B,2,0),IF(H1536="Sinapi",VLOOKUP(I1536,'SINAPI-FEV.2017'!A:D,2,0),IF(H1536="Cotação",VLOOKUP(I1536,COTAÇÃO!A:D,2,0),IF(H1536="Composição",VLOOKUP(I1536,COMPOSIÇÃO!A:D,2,0))))))</f>
        <v>Arruelas para flanges, PN-10, DN250</v>
      </c>
      <c r="L1536" s="780" t="s">
        <v>1270</v>
      </c>
      <c r="M1536" s="1270">
        <v>64</v>
      </c>
      <c r="N1536" s="399">
        <v>0</v>
      </c>
      <c r="O1536" s="102">
        <f t="shared" si="254"/>
        <v>0</v>
      </c>
      <c r="P1536" s="101">
        <f t="shared" si="255"/>
        <v>0</v>
      </c>
      <c r="Q1536" s="1472">
        <v>64</v>
      </c>
    </row>
    <row r="1537" spans="1:17">
      <c r="A1537" s="1482"/>
      <c r="B1537" s="1482"/>
      <c r="C1537" s="1555">
        <f t="shared" si="253"/>
        <v>3</v>
      </c>
      <c r="D1537" s="1492">
        <f t="shared" si="252"/>
        <v>2</v>
      </c>
      <c r="E1537" s="1492"/>
      <c r="F1537" s="1557" t="s">
        <v>11724</v>
      </c>
      <c r="G1537" s="969"/>
      <c r="H1537" s="1095" t="s">
        <v>11722</v>
      </c>
      <c r="I1537" s="780" t="s">
        <v>12830</v>
      </c>
      <c r="J1537" s="834"/>
      <c r="K1537" s="790" t="str">
        <f>(IF(H1537="Saneago",VLOOKUP(I1537,'SANEAGO-FEV.2016'!A:B,2,0),IF(H1537="Sinapi",VLOOKUP(I1537,'SINAPI-FEV.2017'!A:D,2,0),IF(H1537="Cotação",VLOOKUP(I1537,COTAÇÃO!A:D,2,0),IF(H1537="Composição",VLOOKUP(I1537,COMPOSIÇÃO!A:D,2,0))))))</f>
        <v>Arruelas para flanges, PN-10, DN300</v>
      </c>
      <c r="L1537" s="780" t="s">
        <v>1270</v>
      </c>
      <c r="M1537" s="1270">
        <v>16</v>
      </c>
      <c r="N1537" s="399">
        <v>0</v>
      </c>
      <c r="O1537" s="102">
        <f t="shared" si="254"/>
        <v>0</v>
      </c>
      <c r="P1537" s="101">
        <f t="shared" si="255"/>
        <v>0</v>
      </c>
      <c r="Q1537" s="1472">
        <v>16</v>
      </c>
    </row>
    <row r="1538" spans="1:17">
      <c r="A1538" s="1482"/>
      <c r="B1538" s="1482"/>
      <c r="C1538" s="1555">
        <f t="shared" si="253"/>
        <v>3</v>
      </c>
      <c r="D1538" s="1492">
        <f t="shared" si="252"/>
        <v>2</v>
      </c>
      <c r="E1538" s="1492"/>
      <c r="F1538" s="1557" t="s">
        <v>11724</v>
      </c>
      <c r="G1538" s="969"/>
      <c r="H1538" s="1095" t="s">
        <v>11722</v>
      </c>
      <c r="I1538" s="780" t="s">
        <v>12831</v>
      </c>
      <c r="J1538" s="834"/>
      <c r="K1538" s="790" t="str">
        <f>(IF(H1538="Saneago",VLOOKUP(I1538,'SANEAGO-FEV.2016'!A:B,2,0),IF(H1538="Sinapi",VLOOKUP(I1538,'SINAPI-FEV.2017'!A:D,2,0),IF(H1538="Cotação",VLOOKUP(I1538,COTAÇÃO!A:D,2,0),IF(H1538="Composição",VLOOKUP(I1538,COMPOSIÇÃO!A:D,2,0))))))</f>
        <v>Arruelas para flanges, PN-10, DN400</v>
      </c>
      <c r="L1538" s="780" t="s">
        <v>1270</v>
      </c>
      <c r="M1538" s="1270">
        <v>6</v>
      </c>
      <c r="N1538" s="399">
        <v>0</v>
      </c>
      <c r="O1538" s="102">
        <f t="shared" si="254"/>
        <v>0</v>
      </c>
      <c r="P1538" s="101">
        <f t="shared" si="255"/>
        <v>0</v>
      </c>
      <c r="Q1538" s="1472">
        <v>6</v>
      </c>
    </row>
    <row r="1539" spans="1:17">
      <c r="A1539" s="1482"/>
      <c r="B1539" s="1482"/>
      <c r="C1539" s="1555">
        <f t="shared" si="253"/>
        <v>3</v>
      </c>
      <c r="D1539" s="1492">
        <f t="shared" si="252"/>
        <v>2</v>
      </c>
      <c r="E1539" s="1492"/>
      <c r="F1539" s="1557" t="s">
        <v>11724</v>
      </c>
      <c r="G1539" s="969"/>
      <c r="H1539" s="1095" t="s">
        <v>11722</v>
      </c>
      <c r="I1539" s="780" t="s">
        <v>12837</v>
      </c>
      <c r="J1539" s="834"/>
      <c r="K1539" s="790" t="str">
        <f>(IF(H1539="Saneago",VLOOKUP(I1539,'SANEAGO-FEV.2016'!A:B,2,0),IF(H1539="Sinapi",VLOOKUP(I1539,'SINAPI-FEV.2017'!A:D,2,0),IF(H1539="Cotação",VLOOKUP(I1539,COTAÇÃO!A:D,2,0),IF(H1539="Composição",VLOOKUP(I1539,COMPOSIÇÃO!A:D,2,0))))))</f>
        <v>Arruelas para flanges, PN-10, DN800</v>
      </c>
      <c r="L1539" s="780" t="s">
        <v>1270</v>
      </c>
      <c r="M1539" s="1270">
        <v>8</v>
      </c>
      <c r="N1539" s="399">
        <v>0</v>
      </c>
      <c r="O1539" s="102">
        <f t="shared" si="254"/>
        <v>0</v>
      </c>
      <c r="P1539" s="101">
        <f t="shared" si="255"/>
        <v>0</v>
      </c>
      <c r="Q1539" s="1472">
        <v>8</v>
      </c>
    </row>
    <row r="1540" spans="1:17">
      <c r="A1540" s="1482"/>
      <c r="B1540" s="1482"/>
      <c r="C1540" s="1555">
        <f t="shared" si="253"/>
        <v>3</v>
      </c>
      <c r="D1540" s="1492">
        <f t="shared" si="252"/>
        <v>2</v>
      </c>
      <c r="E1540" s="1492"/>
      <c r="F1540" s="1557" t="s">
        <v>11724</v>
      </c>
      <c r="G1540" s="969"/>
      <c r="H1540" s="1095" t="s">
        <v>11722</v>
      </c>
      <c r="I1540" s="780" t="s">
        <v>13285</v>
      </c>
      <c r="J1540" s="834"/>
      <c r="K1540" s="790" t="str">
        <f>(IF(H1540="Saneago",VLOOKUP(I1540,'SANEAGO-FEV.2016'!A:B,2,0),IF(H1540="Sinapi",VLOOKUP(I1540,'SINAPI-FEV.2017'!A:D,2,0),IF(H1540="Cotação",VLOOKUP(I1540,COTAÇÃO!A:D,2,0),IF(H1540="Composição",VLOOKUP(I1540,COMPOSIÇÃO!A:D,2,0))))))</f>
        <v>Aspersor, DN3/4"</v>
      </c>
      <c r="L1540" s="780" t="s">
        <v>1270</v>
      </c>
      <c r="M1540" s="1270">
        <v>160</v>
      </c>
      <c r="N1540" s="399">
        <v>0</v>
      </c>
      <c r="O1540" s="102">
        <f t="shared" si="254"/>
        <v>0</v>
      </c>
      <c r="P1540" s="101">
        <f t="shared" si="255"/>
        <v>0</v>
      </c>
      <c r="Q1540" s="1472">
        <v>160</v>
      </c>
    </row>
    <row r="1541" spans="1:17">
      <c r="A1541" s="1482"/>
      <c r="B1541" s="1482"/>
      <c r="C1541" s="1555">
        <f t="shared" si="253"/>
        <v>3</v>
      </c>
      <c r="D1541" s="1492">
        <f t="shared" si="252"/>
        <v>2</v>
      </c>
      <c r="E1541" s="1492"/>
      <c r="F1541" s="1557" t="s">
        <v>11724</v>
      </c>
      <c r="G1541" s="969"/>
      <c r="H1541" s="1095" t="s">
        <v>11722</v>
      </c>
      <c r="I1541" s="780" t="s">
        <v>12697</v>
      </c>
      <c r="J1541" s="834"/>
      <c r="K1541" s="790" t="str">
        <f>(IF(H1541="Saneago",VLOOKUP(I1541,'SANEAGO-FEV.2016'!A:B,2,0),IF(H1541="Sinapi",VLOOKUP(I1541,'SINAPI-FEV.2017'!A:D,2,0),IF(H1541="Cotação",VLOOKUP(I1541,COTAÇÃO!A:D,2,0),IF(H1541="Composição",VLOOKUP(I1541,COMPOSIÇÃO!A:D,2,0))))))</f>
        <v>Bucha de redução em aço inox, AISI 304, classe 3000 libras, roscável, DN1 1/2" x 1"</v>
      </c>
      <c r="L1541" s="780" t="s">
        <v>1270</v>
      </c>
      <c r="M1541" s="1270">
        <v>2</v>
      </c>
      <c r="N1541" s="399">
        <v>0</v>
      </c>
      <c r="O1541" s="102">
        <f t="shared" si="254"/>
        <v>0</v>
      </c>
      <c r="P1541" s="101">
        <f t="shared" si="255"/>
        <v>0</v>
      </c>
      <c r="Q1541" s="1472">
        <v>2</v>
      </c>
    </row>
    <row r="1542" spans="1:17">
      <c r="A1542" s="1482"/>
      <c r="B1542" s="1482"/>
      <c r="C1542" s="1555">
        <f t="shared" si="253"/>
        <v>3</v>
      </c>
      <c r="D1542" s="1492">
        <f t="shared" si="252"/>
        <v>2</v>
      </c>
      <c r="E1542" s="1492"/>
      <c r="F1542" s="1557" t="s">
        <v>11724</v>
      </c>
      <c r="G1542" s="969"/>
      <c r="H1542" s="1095" t="s">
        <v>11722</v>
      </c>
      <c r="I1542" s="780" t="s">
        <v>12699</v>
      </c>
      <c r="J1542" s="834"/>
      <c r="K1542" s="790" t="str">
        <f>(IF(H1542="Saneago",VLOOKUP(I1542,'SANEAGO-FEV.2016'!A:B,2,0),IF(H1542="Sinapi",VLOOKUP(I1542,'SINAPI-FEV.2017'!A:D,2,0),IF(H1542="Cotação",VLOOKUP(I1542,COTAÇÃO!A:D,2,0),IF(H1542="Composição",VLOOKUP(I1542,COMPOSIÇÃO!A:D,2,0))))))</f>
        <v>Bucha de redução roscável em aço inox, AISI 304, classe 3000 libras, DN 1" x 3/4"</v>
      </c>
      <c r="L1542" s="780" t="s">
        <v>1270</v>
      </c>
      <c r="M1542" s="1270">
        <v>16</v>
      </c>
      <c r="N1542" s="399">
        <v>0</v>
      </c>
      <c r="O1542" s="102">
        <f t="shared" si="254"/>
        <v>0</v>
      </c>
      <c r="P1542" s="101">
        <f t="shared" si="255"/>
        <v>0</v>
      </c>
      <c r="Q1542" s="1472">
        <v>16</v>
      </c>
    </row>
    <row r="1543" spans="1:17">
      <c r="A1543" s="1482"/>
      <c r="B1543" s="1482"/>
      <c r="C1543" s="1555">
        <f t="shared" si="253"/>
        <v>3</v>
      </c>
      <c r="D1543" s="1492">
        <f t="shared" si="252"/>
        <v>2</v>
      </c>
      <c r="E1543" s="1492"/>
      <c r="F1543" s="1557" t="s">
        <v>11724</v>
      </c>
      <c r="G1543" s="969"/>
      <c r="H1543" s="1095" t="s">
        <v>11722</v>
      </c>
      <c r="I1543" s="780" t="s">
        <v>13050</v>
      </c>
      <c r="J1543" s="834"/>
      <c r="K1543" s="790" t="str">
        <f>(IF(H1543="Saneago",VLOOKUP(I1543,'SANEAGO-FEV.2016'!A:B,2,0),IF(H1543="Sinapi",VLOOKUP(I1543,'SINAPI-FEV.2017'!A:D,2,0),IF(H1543="Cotação",VLOOKUP(I1543,COTAÇÃO!A:D,2,0),IF(H1543="Composição",VLOOKUP(I1543,COMPOSIÇÃO!A:D,2,0))))))</f>
        <v>Caixa de distribuição 1 em fibra de vidro</v>
      </c>
      <c r="L1543" s="780" t="s">
        <v>1270</v>
      </c>
      <c r="M1543" s="1270">
        <v>4</v>
      </c>
      <c r="N1543" s="399">
        <v>0</v>
      </c>
      <c r="O1543" s="102">
        <f t="shared" si="254"/>
        <v>0</v>
      </c>
      <c r="P1543" s="101">
        <f t="shared" si="255"/>
        <v>0</v>
      </c>
      <c r="Q1543" s="1472">
        <v>4</v>
      </c>
    </row>
    <row r="1544" spans="1:17">
      <c r="A1544" s="1482"/>
      <c r="B1544" s="1482"/>
      <c r="C1544" s="1555">
        <f t="shared" si="253"/>
        <v>3</v>
      </c>
      <c r="D1544" s="1492">
        <f t="shared" si="252"/>
        <v>2</v>
      </c>
      <c r="E1544" s="1492"/>
      <c r="F1544" s="1557" t="s">
        <v>11724</v>
      </c>
      <c r="G1544" s="969"/>
      <c r="H1544" s="1095" t="s">
        <v>11722</v>
      </c>
      <c r="I1544" s="780" t="s">
        <v>13052</v>
      </c>
      <c r="J1544" s="834"/>
      <c r="K1544" s="790" t="str">
        <f>(IF(H1544="Saneago",VLOOKUP(I1544,'SANEAGO-FEV.2016'!A:B,2,0),IF(H1544="Sinapi",VLOOKUP(I1544,'SINAPI-FEV.2017'!A:D,2,0),IF(H1544="Cotação",VLOOKUP(I1544,COTAÇÃO!A:D,2,0),IF(H1544="Composição",VLOOKUP(I1544,COMPOSIÇÃO!A:D,2,0))))))</f>
        <v>Caixa de distribuição 2 em fibra de vidro</v>
      </c>
      <c r="L1544" s="780" t="s">
        <v>1270</v>
      </c>
      <c r="M1544" s="1270">
        <v>4</v>
      </c>
      <c r="N1544" s="399">
        <v>0</v>
      </c>
      <c r="O1544" s="102">
        <f t="shared" si="254"/>
        <v>0</v>
      </c>
      <c r="P1544" s="101">
        <f t="shared" si="255"/>
        <v>0</v>
      </c>
      <c r="Q1544" s="1472">
        <v>4</v>
      </c>
    </row>
    <row r="1545" spans="1:17">
      <c r="A1545" s="1482"/>
      <c r="B1545" s="1482"/>
      <c r="C1545" s="1555">
        <f t="shared" si="253"/>
        <v>3</v>
      </c>
      <c r="D1545" s="1492">
        <f t="shared" si="252"/>
        <v>2</v>
      </c>
      <c r="E1545" s="1492"/>
      <c r="F1545" s="1557" t="s">
        <v>11724</v>
      </c>
      <c r="G1545" s="969"/>
      <c r="H1545" s="1095" t="s">
        <v>11722</v>
      </c>
      <c r="I1545" s="780" t="s">
        <v>13054</v>
      </c>
      <c r="J1545" s="834"/>
      <c r="K1545" s="790" t="str">
        <f>(IF(H1545="Saneago",VLOOKUP(I1545,'SANEAGO-FEV.2016'!A:B,2,0),IF(H1545="Sinapi",VLOOKUP(I1545,'SINAPI-FEV.2017'!A:D,2,0),IF(H1545="Cotação",VLOOKUP(I1545,COTAÇÃO!A:D,2,0),IF(H1545="Composição",VLOOKUP(I1545,COMPOSIÇÃO!A:D,2,0))))))</f>
        <v>Caixa de distribuição 3 em fibra de vidro</v>
      </c>
      <c r="L1545" s="780" t="s">
        <v>1270</v>
      </c>
      <c r="M1545" s="1270">
        <v>48</v>
      </c>
      <c r="N1545" s="399">
        <v>0</v>
      </c>
      <c r="O1545" s="102">
        <f t="shared" si="254"/>
        <v>0</v>
      </c>
      <c r="P1545" s="101">
        <f t="shared" si="255"/>
        <v>0</v>
      </c>
      <c r="Q1545" s="1472">
        <v>48</v>
      </c>
    </row>
    <row r="1546" spans="1:17">
      <c r="A1546" s="1482"/>
      <c r="B1546" s="1482"/>
      <c r="C1546" s="1555">
        <f t="shared" si="253"/>
        <v>3</v>
      </c>
      <c r="D1546" s="1492">
        <f t="shared" si="252"/>
        <v>2</v>
      </c>
      <c r="E1546" s="1492"/>
      <c r="F1546" s="1557" t="s">
        <v>11724</v>
      </c>
      <c r="G1546" s="969"/>
      <c r="H1546" s="1095" t="s">
        <v>11722</v>
      </c>
      <c r="I1546" s="780" t="s">
        <v>13056</v>
      </c>
      <c r="J1546" s="834"/>
      <c r="K1546" s="790" t="str">
        <f>(IF(H1546="Saneago",VLOOKUP(I1546,'SANEAGO-FEV.2016'!A:B,2,0),IF(H1546="Sinapi",VLOOKUP(I1546,'SINAPI-FEV.2017'!A:D,2,0),IF(H1546="Cotação",VLOOKUP(I1546,COTAÇÃO!A:D,2,0),IF(H1546="Composição",VLOOKUP(I1546,COMPOSIÇÃO!A:D,2,0))))))</f>
        <v>Caixa em fibra de vidro em PRFV</v>
      </c>
      <c r="L1546" s="780" t="s">
        <v>11723</v>
      </c>
      <c r="M1546" s="1270">
        <v>1</v>
      </c>
      <c r="N1546" s="399">
        <v>0</v>
      </c>
      <c r="O1546" s="102">
        <f t="shared" si="254"/>
        <v>0</v>
      </c>
      <c r="P1546" s="101">
        <f t="shared" si="255"/>
        <v>0</v>
      </c>
      <c r="Q1546" s="1472">
        <v>1</v>
      </c>
    </row>
    <row r="1547" spans="1:17">
      <c r="A1547" s="1482"/>
      <c r="B1547" s="1482"/>
      <c r="C1547" s="1555">
        <f t="shared" si="253"/>
        <v>3</v>
      </c>
      <c r="D1547" s="1492">
        <f t="shared" si="252"/>
        <v>2</v>
      </c>
      <c r="E1547" s="1492"/>
      <c r="F1547" s="1557" t="s">
        <v>11724</v>
      </c>
      <c r="G1547" s="969"/>
      <c r="H1547" s="1095" t="s">
        <v>11722</v>
      </c>
      <c r="I1547" s="780" t="s">
        <v>12701</v>
      </c>
      <c r="J1547" s="834"/>
      <c r="K1547" s="790" t="str">
        <f>(IF(H1547="Saneago",VLOOKUP(I1547,'SANEAGO-FEV.2016'!A:B,2,0),IF(H1547="Sinapi",VLOOKUP(I1547,'SINAPI-FEV.2017'!A:D,2,0),IF(H1547="Cotação",VLOOKUP(I1547,COTAÇÃO!A:D,2,0),IF(H1547="Composição",VLOOKUP(I1547,COMPOSIÇÃO!A:D,2,0))))))</f>
        <v>Cap em aço inox, AISI 304, classe 3000 libras, DN2"</v>
      </c>
      <c r="L1547" s="780" t="s">
        <v>1270</v>
      </c>
      <c r="M1547" s="1270">
        <v>1</v>
      </c>
      <c r="N1547" s="399">
        <v>0</v>
      </c>
      <c r="O1547" s="102">
        <f t="shared" si="254"/>
        <v>0</v>
      </c>
      <c r="P1547" s="101">
        <f t="shared" si="255"/>
        <v>0</v>
      </c>
      <c r="Q1547" s="1472">
        <v>1</v>
      </c>
    </row>
    <row r="1548" spans="1:17">
      <c r="A1548" s="1482"/>
      <c r="B1548" s="1482"/>
      <c r="C1548" s="1555">
        <f t="shared" si="253"/>
        <v>3</v>
      </c>
      <c r="D1548" s="1492">
        <f t="shared" si="252"/>
        <v>2</v>
      </c>
      <c r="E1548" s="1492"/>
      <c r="F1548" s="1557" t="s">
        <v>11724</v>
      </c>
      <c r="G1548" s="969"/>
      <c r="H1548" s="1095" t="s">
        <v>70</v>
      </c>
      <c r="I1548" s="780">
        <v>1163</v>
      </c>
      <c r="J1548" s="834"/>
      <c r="K1548" s="790" t="str">
        <f>(IF(H1548="Saneago",VLOOKUP(I1548,'SANEAGO-FEV.2016'!A:B,2,0),IF(H1548="Sinapi",VLOOKUP(I1548,'SINAPI-FEV.2017'!A:D,2,0),IF(H1548="Cotação",VLOOKUP(I1548,COTAÇÃO!A:D,2,0),IF(H1548="Composição",VLOOKUP(I1548,COMPOSIÇÃO!A:D,2,0))))))</f>
        <v>CAP OU TAMPAO DE FERRO GALVANIZADO, COM ROSCA BSP, DE 3/4"</v>
      </c>
      <c r="L1548" s="780" t="s">
        <v>10854</v>
      </c>
      <c r="M1548" s="1270">
        <v>1</v>
      </c>
      <c r="N1548" s="399">
        <v>0</v>
      </c>
      <c r="O1548" s="102">
        <f t="shared" si="254"/>
        <v>0</v>
      </c>
      <c r="P1548" s="101">
        <f t="shared" si="255"/>
        <v>0</v>
      </c>
      <c r="Q1548" s="1472">
        <v>1</v>
      </c>
    </row>
    <row r="1549" spans="1:17">
      <c r="A1549" s="1482"/>
      <c r="B1549" s="1482"/>
      <c r="C1549" s="1555">
        <f t="shared" si="253"/>
        <v>3</v>
      </c>
      <c r="D1549" s="1492">
        <f>D1548+B1549</f>
        <v>2</v>
      </c>
      <c r="E1549" s="1492"/>
      <c r="F1549" s="1557" t="s">
        <v>11724</v>
      </c>
      <c r="G1549" s="969"/>
      <c r="H1549" s="1095" t="s">
        <v>11722</v>
      </c>
      <c r="I1549" s="780" t="s">
        <v>12839</v>
      </c>
      <c r="J1549" s="834"/>
      <c r="K1549" s="790" t="str">
        <f>(IF(H1549="Saneago",VLOOKUP(I1549,'SANEAGO-FEV.2016'!A:B,2,0),IF(H1549="Sinapi",VLOOKUP(I1549,'SINAPI-FEV.2017'!A:D,2,0),IF(H1549="Cotação",VLOOKUP(I1549,COTAÇÃO!A:D,2,0),IF(H1549="Composição",VLOOKUP(I1549,COMPOSIÇÃO!A:D,2,0))))))</f>
        <v>Colar de tomada  FºFº, DN150 x DN2"</v>
      </c>
      <c r="L1549" s="780" t="s">
        <v>1270</v>
      </c>
      <c r="M1549" s="1270">
        <v>8</v>
      </c>
      <c r="N1549" s="399">
        <v>0</v>
      </c>
      <c r="O1549" s="102">
        <f t="shared" si="254"/>
        <v>0</v>
      </c>
      <c r="P1549" s="101">
        <f t="shared" si="255"/>
        <v>0</v>
      </c>
      <c r="Q1549" s="1472">
        <v>8</v>
      </c>
    </row>
    <row r="1550" spans="1:17">
      <c r="A1550" s="1482"/>
      <c r="B1550" s="1482"/>
      <c r="C1550" s="1555">
        <f t="shared" si="253"/>
        <v>3</v>
      </c>
      <c r="D1550" s="1492">
        <f t="shared" si="252"/>
        <v>2</v>
      </c>
      <c r="E1550" s="1492"/>
      <c r="F1550" s="1557" t="s">
        <v>11724</v>
      </c>
      <c r="G1550" s="969"/>
      <c r="H1550" s="1095" t="s">
        <v>11722</v>
      </c>
      <c r="I1550" s="780" t="s">
        <v>12841</v>
      </c>
      <c r="J1550" s="834"/>
      <c r="K1550" s="790" t="str">
        <f>(IF(H1550="Saneago",VLOOKUP(I1550,'SANEAGO-FEV.2016'!A:B,2,0),IF(H1550="Sinapi",VLOOKUP(I1550,'SINAPI-FEV.2017'!A:D,2,0),IF(H1550="Cotação",VLOOKUP(I1550,COTAÇÃO!A:D,2,0),IF(H1550="Composição",VLOOKUP(I1550,COMPOSIÇÃO!A:D,2,0))))))</f>
        <v>Colar de tomada FºFº, DN150 x DN1"</v>
      </c>
      <c r="L1550" s="780" t="s">
        <v>1270</v>
      </c>
      <c r="M1550" s="1270">
        <v>96</v>
      </c>
      <c r="N1550" s="399">
        <v>0</v>
      </c>
      <c r="O1550" s="102">
        <f t="shared" si="254"/>
        <v>0</v>
      </c>
      <c r="P1550" s="101">
        <f t="shared" si="255"/>
        <v>0</v>
      </c>
      <c r="Q1550" s="1472">
        <v>96</v>
      </c>
    </row>
    <row r="1551" spans="1:17" ht="22.5">
      <c r="A1551" s="1482"/>
      <c r="B1551" s="1482"/>
      <c r="C1551" s="1555">
        <f t="shared" si="253"/>
        <v>3</v>
      </c>
      <c r="D1551" s="1492">
        <f t="shared" ref="D1551:D1557" si="256">D1550+B1551</f>
        <v>2</v>
      </c>
      <c r="E1551" s="1492"/>
      <c r="F1551" s="1557" t="s">
        <v>11724</v>
      </c>
      <c r="G1551" s="969"/>
      <c r="H1551" s="1095" t="s">
        <v>70</v>
      </c>
      <c r="I1551" s="780">
        <v>3452</v>
      </c>
      <c r="J1551" s="834"/>
      <c r="K1551" s="790" t="str">
        <f>(IF(H1551="Saneago",VLOOKUP(I1551,'SANEAGO-FEV.2016'!A:B,2,0),IF(H1551="Sinapi",VLOOKUP(I1551,'SINAPI-FEV.2017'!A:D,2,0),IF(H1551="Cotação",VLOOKUP(I1551,COTAÇÃO!A:D,2,0),IF(H1551="Composição",VLOOKUP(I1551,COMPOSIÇÃO!A:D,2,0))))))</f>
        <v>COTOVELO 90 GRAUS DE FERRO GALVANIZADO, COM ROSCA BSP MACHO/FEMEA, DE 2"</v>
      </c>
      <c r="L1551" s="780" t="s">
        <v>1270</v>
      </c>
      <c r="M1551" s="1270">
        <v>24</v>
      </c>
      <c r="N1551" s="399">
        <v>0</v>
      </c>
      <c r="O1551" s="102">
        <f t="shared" si="254"/>
        <v>0</v>
      </c>
      <c r="P1551" s="101">
        <f t="shared" si="255"/>
        <v>0</v>
      </c>
      <c r="Q1551" s="1472">
        <v>24</v>
      </c>
    </row>
    <row r="1552" spans="1:17">
      <c r="A1552" s="1482"/>
      <c r="B1552" s="1482"/>
      <c r="C1552" s="1555">
        <f t="shared" si="253"/>
        <v>3</v>
      </c>
      <c r="D1552" s="1492">
        <f t="shared" si="256"/>
        <v>2</v>
      </c>
      <c r="E1552" s="1492"/>
      <c r="F1552" s="1557" t="s">
        <v>11724</v>
      </c>
      <c r="G1552" s="969"/>
      <c r="H1552" s="1095" t="s">
        <v>11722</v>
      </c>
      <c r="I1552" s="780" t="s">
        <v>12705</v>
      </c>
      <c r="J1552" s="834"/>
      <c r="K1552" s="790" t="str">
        <f>(IF(H1552="Saneago",VLOOKUP(I1552,'SANEAGO-FEV.2016'!A:B,2,0),IF(H1552="Sinapi",VLOOKUP(I1552,'SINAPI-FEV.2017'!A:D,2,0),IF(H1552="Cotação",VLOOKUP(I1552,COTAÇÃO!A:D,2,0),IF(H1552="Composição",VLOOKUP(I1552,COMPOSIÇÃO!A:D,2,0))))))</f>
        <v>Cruzeta em aço inox, AISI 304, classe 3000 libras, DN2 1/2"</v>
      </c>
      <c r="L1552" s="780" t="s">
        <v>1270</v>
      </c>
      <c r="M1552" s="1270">
        <v>11</v>
      </c>
      <c r="N1552" s="399">
        <v>0</v>
      </c>
      <c r="O1552" s="102">
        <f t="shared" si="254"/>
        <v>0</v>
      </c>
      <c r="P1552" s="101">
        <f t="shared" si="255"/>
        <v>0</v>
      </c>
      <c r="Q1552" s="1472">
        <v>11</v>
      </c>
    </row>
    <row r="1553" spans="1:17">
      <c r="A1553" s="1482"/>
      <c r="B1553" s="1482"/>
      <c r="C1553" s="1555">
        <f t="shared" si="253"/>
        <v>3</v>
      </c>
      <c r="D1553" s="1492">
        <f t="shared" si="256"/>
        <v>2</v>
      </c>
      <c r="E1553" s="1492"/>
      <c r="F1553" s="1557" t="s">
        <v>11724</v>
      </c>
      <c r="G1553" s="969"/>
      <c r="H1553" s="1095" t="s">
        <v>70</v>
      </c>
      <c r="I1553" s="780">
        <v>1650</v>
      </c>
      <c r="J1553" s="834"/>
      <c r="K1553" s="790" t="str">
        <f>(IF(H1553="Saneago",VLOOKUP(I1553,'SANEAGO-FEV.2016'!A:B,2,0),IF(H1553="Sinapi",VLOOKUP(I1553,'SINAPI-FEV.2017'!A:D,2,0),IF(H1553="Cotação",VLOOKUP(I1553,COTAÇÃO!A:D,2,0),IF(H1553="Composição",VLOOKUP(I1553,COMPOSIÇÃO!A:D,2,0))))))</f>
        <v>CRUZETA DE FERRO GALVANIZADO, COM ROSCA BSP, DE 2"</v>
      </c>
      <c r="L1553" s="780" t="s">
        <v>10854</v>
      </c>
      <c r="M1553" s="1270">
        <v>1</v>
      </c>
      <c r="N1553" s="399">
        <v>0</v>
      </c>
      <c r="O1553" s="102">
        <f t="shared" si="254"/>
        <v>0</v>
      </c>
      <c r="P1553" s="101">
        <f t="shared" si="255"/>
        <v>0</v>
      </c>
      <c r="Q1553" s="1472">
        <v>1</v>
      </c>
    </row>
    <row r="1554" spans="1:17">
      <c r="A1554" s="1482"/>
      <c r="B1554" s="1482"/>
      <c r="C1554" s="1555">
        <f t="shared" si="253"/>
        <v>3</v>
      </c>
      <c r="D1554" s="1492">
        <f t="shared" si="256"/>
        <v>2</v>
      </c>
      <c r="E1554" s="1492"/>
      <c r="F1554" s="1557" t="s">
        <v>11724</v>
      </c>
      <c r="G1554" s="969"/>
      <c r="H1554" s="1095" t="s">
        <v>11722</v>
      </c>
      <c r="I1554" s="780" t="s">
        <v>13293</v>
      </c>
      <c r="J1554" s="834"/>
      <c r="K1554" s="790" t="str">
        <f>(IF(H1554="Saneago",VLOOKUP(I1554,'SANEAGO-FEV.2016'!A:B,2,0),IF(H1554="Sinapi",VLOOKUP(I1554,'SINAPI-FEV.2017'!A:D,2,0),IF(H1554="Cotação",VLOOKUP(I1554,COTAÇÃO!A:D,2,0),IF(H1554="Composição",VLOOKUP(I1554,COMPOSIÇÃO!A:D,2,0))))))</f>
        <v>Cruzeta em RPVC conforme a norma NBR 15.536-3, DN150</v>
      </c>
      <c r="L1554" s="780" t="s">
        <v>1270</v>
      </c>
      <c r="M1554" s="1270">
        <v>4</v>
      </c>
      <c r="N1554" s="399">
        <v>0</v>
      </c>
      <c r="O1554" s="102">
        <f t="shared" si="254"/>
        <v>0</v>
      </c>
      <c r="P1554" s="101">
        <f t="shared" si="255"/>
        <v>0</v>
      </c>
      <c r="Q1554" s="1472">
        <v>4</v>
      </c>
    </row>
    <row r="1555" spans="1:17">
      <c r="A1555" s="1482"/>
      <c r="B1555" s="1482"/>
      <c r="C1555" s="1555">
        <f t="shared" si="253"/>
        <v>3</v>
      </c>
      <c r="D1555" s="1492">
        <f t="shared" si="256"/>
        <v>2</v>
      </c>
      <c r="E1555" s="1492"/>
      <c r="F1555" s="1557" t="s">
        <v>11724</v>
      </c>
      <c r="G1555" s="969"/>
      <c r="H1555" s="1095" t="s">
        <v>11722</v>
      </c>
      <c r="I1555" s="780" t="s">
        <v>13294</v>
      </c>
      <c r="J1555" s="834"/>
      <c r="K1555" s="790" t="str">
        <f>(IF(H1555="Saneago",VLOOKUP(I1555,'SANEAGO-FEV.2016'!A:B,2,0),IF(H1555="Sinapi",VLOOKUP(I1555,'SINAPI-FEV.2017'!A:D,2,0),IF(H1555="Cotação",VLOOKUP(I1555,COTAÇÃO!A:D,2,0),IF(H1555="Composição",VLOOKUP(I1555,COMPOSIÇÃO!A:D,2,0))))))</f>
        <v>Curva 22°30' em RPVC conforme norma NBR 15.536-3, DN150 moldável</v>
      </c>
      <c r="L1555" s="780" t="s">
        <v>1270</v>
      </c>
      <c r="M1555" s="1270">
        <v>16</v>
      </c>
      <c r="N1555" s="399">
        <v>0</v>
      </c>
      <c r="O1555" s="102">
        <f t="shared" si="254"/>
        <v>0</v>
      </c>
      <c r="P1555" s="101">
        <f t="shared" si="255"/>
        <v>0</v>
      </c>
      <c r="Q1555" s="1472">
        <v>16</v>
      </c>
    </row>
    <row r="1556" spans="1:17">
      <c r="A1556" s="1482"/>
      <c r="B1556" s="1482"/>
      <c r="C1556" s="1555">
        <f t="shared" si="253"/>
        <v>3</v>
      </c>
      <c r="D1556" s="1492">
        <f t="shared" si="256"/>
        <v>2</v>
      </c>
      <c r="E1556" s="1492"/>
      <c r="F1556" s="1484" t="s">
        <v>11724</v>
      </c>
      <c r="G1556" s="969"/>
      <c r="H1556" s="1095" t="s">
        <v>11722</v>
      </c>
      <c r="I1556" s="780" t="s">
        <v>12707</v>
      </c>
      <c r="J1556" s="834"/>
      <c r="K1556" s="790" t="str">
        <f>(IF(H1556="Saneago",VLOOKUP(I1556,'SANEAGO-FEV.2016'!A:B,2,0),IF(H1556="Sinapi",VLOOKUP(I1556,'SINAPI-FEV.2017'!A:D,2,0),IF(H1556="Cotação",VLOOKUP(I1556,COTAÇÃO!A:D,2,0),IF(H1556="Composição",VLOOKUP(I1556,COMPOSIÇÃO!A:D,2,0))))))</f>
        <v>Curva 45° em aço inox, AISI 304, classe 3000 libras, DN2 1/2"</v>
      </c>
      <c r="L1556" s="780" t="s">
        <v>1270</v>
      </c>
      <c r="M1556" s="1270">
        <v>10</v>
      </c>
      <c r="N1556" s="399">
        <v>0</v>
      </c>
      <c r="O1556" s="102">
        <f t="shared" si="254"/>
        <v>0</v>
      </c>
      <c r="P1556" s="101">
        <f t="shared" si="255"/>
        <v>0</v>
      </c>
      <c r="Q1556" s="1472">
        <v>10</v>
      </c>
    </row>
    <row r="1557" spans="1:17">
      <c r="A1557" s="1482"/>
      <c r="B1557" s="1482"/>
      <c r="C1557" s="1555">
        <f t="shared" si="253"/>
        <v>3</v>
      </c>
      <c r="D1557" s="1492">
        <f t="shared" si="256"/>
        <v>2</v>
      </c>
      <c r="E1557" s="1492"/>
      <c r="F1557" s="1484" t="s">
        <v>11724</v>
      </c>
      <c r="G1557" s="969"/>
      <c r="H1557" s="1095" t="s">
        <v>11722</v>
      </c>
      <c r="I1557" s="780" t="s">
        <v>12843</v>
      </c>
      <c r="J1557" s="834"/>
      <c r="K1557" s="790" t="str">
        <f>(IF(H1557="Saneago",VLOOKUP(I1557,'SANEAGO-FEV.2016'!A:B,2,0),IF(H1557="Sinapi",VLOOKUP(I1557,'SINAPI-FEV.2017'!A:D,2,0),IF(H1557="Cotação",VLOOKUP(I1557,COTAÇÃO!A:D,2,0),IF(H1557="Composição",VLOOKUP(I1557,COMPOSIÇÃO!A:D,2,0))))))</f>
        <v>Curva 45° em FºFº com flanges, PN-10, DN100</v>
      </c>
      <c r="L1557" s="780" t="s">
        <v>1270</v>
      </c>
      <c r="M1557" s="1270">
        <v>16</v>
      </c>
      <c r="N1557" s="399">
        <v>0</v>
      </c>
      <c r="O1557" s="102">
        <f t="shared" si="254"/>
        <v>0</v>
      </c>
      <c r="P1557" s="101">
        <f t="shared" si="255"/>
        <v>0</v>
      </c>
      <c r="Q1557" s="1472">
        <v>16</v>
      </c>
    </row>
    <row r="1558" spans="1:17">
      <c r="A1558" s="1482"/>
      <c r="B1558" s="1482"/>
      <c r="C1558" s="1555">
        <f t="shared" si="253"/>
        <v>3</v>
      </c>
      <c r="D1558" s="1492">
        <f t="shared" si="252"/>
        <v>2</v>
      </c>
      <c r="E1558" s="1492"/>
      <c r="F1558" s="1484" t="s">
        <v>11724</v>
      </c>
      <c r="G1558" s="969"/>
      <c r="H1558" s="1095" t="s">
        <v>11722</v>
      </c>
      <c r="I1558" s="780" t="s">
        <v>13175</v>
      </c>
      <c r="J1558" s="834"/>
      <c r="K1558" s="790" t="str">
        <f>(IF(H1558="Saneago",VLOOKUP(I1558,'SANEAGO-FEV.2016'!A:B,2,0),IF(H1558="Sinapi",VLOOKUP(I1558,'SINAPI-FEV.2017'!A:D,2,0),IF(H1558="Cotação",VLOOKUP(I1558,COTAÇÃO!A:D,2,0),IF(H1558="Composição",VLOOKUP(I1558,COMPOSIÇÃO!A:D,2,0))))))</f>
        <v>Curva 45° em RPVC conforme a norma NBR 15.536-3, com flanges, PN-10, DN150</v>
      </c>
      <c r="L1558" s="780" t="s">
        <v>1270</v>
      </c>
      <c r="M1558" s="1270">
        <v>8</v>
      </c>
      <c r="N1558" s="399">
        <v>0</v>
      </c>
      <c r="O1558" s="102">
        <f t="shared" si="254"/>
        <v>0</v>
      </c>
      <c r="P1558" s="101">
        <f t="shared" si="255"/>
        <v>0</v>
      </c>
      <c r="Q1558" s="1472">
        <v>8</v>
      </c>
    </row>
    <row r="1559" spans="1:17">
      <c r="A1559" s="1482"/>
      <c r="B1559" s="1482"/>
      <c r="C1559" s="1555">
        <f t="shared" si="253"/>
        <v>3</v>
      </c>
      <c r="D1559" s="1492">
        <f t="shared" si="252"/>
        <v>2</v>
      </c>
      <c r="E1559" s="1492"/>
      <c r="F1559" s="1484" t="s">
        <v>11724</v>
      </c>
      <c r="G1559" s="969"/>
      <c r="H1559" s="1095" t="s">
        <v>11722</v>
      </c>
      <c r="I1559" s="780" t="s">
        <v>13177</v>
      </c>
      <c r="J1559" s="834"/>
      <c r="K1559" s="1575" t="str">
        <f>(IF(H1559="Saneago",VLOOKUP(I1559,'SANEAGO-FEV.2016'!A:B,2,0),IF(H1559="Sinapi",VLOOKUP(I1559,'SINAPI-FEV.2017'!A:D,2,0),IF(H1559="Cotação",VLOOKUP(I1559,COTAÇÃO!A:D,2,0),IF(H1559="Composição",VLOOKUP(I1559,COMPOSIÇÃO!A:D,2,0))))))</f>
        <v>Curva 45° em RPVC conforme norma NBR 15.536-3 , DN150 moldável</v>
      </c>
      <c r="L1559" s="1224" t="s">
        <v>1270</v>
      </c>
      <c r="M1559" s="1576">
        <v>96</v>
      </c>
      <c r="N1559" s="399">
        <v>0</v>
      </c>
      <c r="O1559" s="102">
        <f t="shared" si="254"/>
        <v>0</v>
      </c>
      <c r="P1559" s="101">
        <f t="shared" si="255"/>
        <v>0</v>
      </c>
      <c r="Q1559" s="1472">
        <v>96</v>
      </c>
    </row>
    <row r="1560" spans="1:17">
      <c r="A1560" s="1482"/>
      <c r="B1560" s="1482"/>
      <c r="C1560" s="1555">
        <f t="shared" si="253"/>
        <v>3</v>
      </c>
      <c r="D1560" s="1492">
        <f t="shared" si="252"/>
        <v>2</v>
      </c>
      <c r="E1560" s="1492"/>
      <c r="F1560" s="1484" t="s">
        <v>11724</v>
      </c>
      <c r="G1560" s="969"/>
      <c r="H1560" s="1095" t="s">
        <v>11722</v>
      </c>
      <c r="I1560" s="780" t="s">
        <v>12845</v>
      </c>
      <c r="J1560" s="834"/>
      <c r="K1560" s="790" t="str">
        <f>(IF(H1560="Saneago",VLOOKUP(I1560,'SANEAGO-FEV.2016'!A:B,2,0),IF(H1560="Sinapi",VLOOKUP(I1560,'SINAPI-FEV.2017'!A:D,2,0),IF(H1560="Cotação",VLOOKUP(I1560,COTAÇÃO!A:D,2,0),IF(H1560="Composição",VLOOKUP(I1560,COMPOSIÇÃO!A:D,2,0))))))</f>
        <v>Curva 90°  em FºFº com flanges, PN-10, DN400</v>
      </c>
      <c r="L1560" s="780" t="s">
        <v>1270</v>
      </c>
      <c r="M1560" s="1270">
        <v>2</v>
      </c>
      <c r="N1560" s="399">
        <v>0</v>
      </c>
      <c r="O1560" s="102">
        <f t="shared" si="254"/>
        <v>0</v>
      </c>
      <c r="P1560" s="101">
        <f t="shared" si="255"/>
        <v>0</v>
      </c>
      <c r="Q1560" s="1472">
        <v>2</v>
      </c>
    </row>
    <row r="1561" spans="1:17">
      <c r="A1561" s="1482"/>
      <c r="B1561" s="1482"/>
      <c r="C1561" s="1555">
        <f t="shared" si="253"/>
        <v>3</v>
      </c>
      <c r="D1561" s="1492">
        <f t="shared" si="252"/>
        <v>2</v>
      </c>
      <c r="E1561" s="1492"/>
      <c r="F1561" s="1484" t="s">
        <v>11724</v>
      </c>
      <c r="G1561" s="969"/>
      <c r="H1561" s="1095" t="s">
        <v>11722</v>
      </c>
      <c r="I1561" s="780" t="s">
        <v>12709</v>
      </c>
      <c r="J1561" s="834"/>
      <c r="K1561" s="790" t="str">
        <f>(IF(H1561="Saneago",VLOOKUP(I1561,'SANEAGO-FEV.2016'!A:B,2,0),IF(H1561="Sinapi",VLOOKUP(I1561,'SINAPI-FEV.2017'!A:D,2,0),IF(H1561="Cotação",VLOOKUP(I1561,COTAÇÃO!A:D,2,0),IF(H1561="Composição",VLOOKUP(I1561,COMPOSIÇÃO!A:D,2,0))))))</f>
        <v>Curva 90° em aço inox, AISI 304, classe 3000 libras, DN3"</v>
      </c>
      <c r="L1561" s="780" t="s">
        <v>1270</v>
      </c>
      <c r="M1561" s="1270">
        <v>1</v>
      </c>
      <c r="N1561" s="399">
        <v>0</v>
      </c>
      <c r="O1561" s="102">
        <f t="shared" si="254"/>
        <v>0</v>
      </c>
      <c r="P1561" s="101">
        <f t="shared" si="255"/>
        <v>0</v>
      </c>
      <c r="Q1561" s="1472">
        <v>1</v>
      </c>
    </row>
    <row r="1562" spans="1:17">
      <c r="A1562" s="1482"/>
      <c r="B1562" s="1482"/>
      <c r="C1562" s="1555">
        <f t="shared" si="253"/>
        <v>3</v>
      </c>
      <c r="D1562" s="1492">
        <f t="shared" si="252"/>
        <v>2</v>
      </c>
      <c r="E1562" s="1492"/>
      <c r="F1562" s="1484" t="s">
        <v>11724</v>
      </c>
      <c r="G1562" s="969"/>
      <c r="H1562" s="1095" t="s">
        <v>11722</v>
      </c>
      <c r="I1562" s="780" t="s">
        <v>12711</v>
      </c>
      <c r="J1562" s="834"/>
      <c r="K1562" s="790" t="str">
        <f>(IF(H1562="Saneago",VLOOKUP(I1562,'SANEAGO-FEV.2016'!A:B,2,0),IF(H1562="Sinapi",VLOOKUP(I1562,'SINAPI-FEV.2017'!A:D,2,0),IF(H1562="Cotação",VLOOKUP(I1562,COTAÇÃO!A:D,2,0),IF(H1562="Composição",VLOOKUP(I1562,COMPOSIÇÃO!A:D,2,0))))))</f>
        <v>Curva 90° em aço inox, AISI 304, classe 3000 libras, DN3"</v>
      </c>
      <c r="L1562" s="780" t="s">
        <v>1270</v>
      </c>
      <c r="M1562" s="1270">
        <v>3</v>
      </c>
      <c r="N1562" s="399">
        <v>0</v>
      </c>
      <c r="O1562" s="102">
        <f t="shared" si="254"/>
        <v>0</v>
      </c>
      <c r="P1562" s="101">
        <f t="shared" si="255"/>
        <v>0</v>
      </c>
      <c r="Q1562" s="1472">
        <v>3</v>
      </c>
    </row>
    <row r="1563" spans="1:17">
      <c r="A1563" s="1482"/>
      <c r="B1563" s="1482"/>
      <c r="C1563" s="1555">
        <f t="shared" si="253"/>
        <v>3</v>
      </c>
      <c r="D1563" s="1492">
        <f t="shared" si="252"/>
        <v>2</v>
      </c>
      <c r="E1563" s="1492"/>
      <c r="F1563" s="1484" t="s">
        <v>11724</v>
      </c>
      <c r="G1563" s="969"/>
      <c r="H1563" s="1095" t="s">
        <v>11722</v>
      </c>
      <c r="I1563" s="780" t="s">
        <v>12712</v>
      </c>
      <c r="J1563" s="834"/>
      <c r="K1563" s="790" t="str">
        <f>(IF(H1563="Saneago",VLOOKUP(I1563,'SANEAGO-FEV.2016'!A:B,2,0),IF(H1563="Sinapi",VLOOKUP(I1563,'SINAPI-FEV.2017'!A:D,2,0),IF(H1563="Cotação",VLOOKUP(I1563,COTAÇÃO!A:D,2,0),IF(H1563="Composição",VLOOKUP(I1563,COMPOSIÇÃO!A:D,2,0))))))</f>
        <v>Curva 90° em aço inox, AISI 304, classe 3000 libras, roscável, DN1"</v>
      </c>
      <c r="L1563" s="780" t="s">
        <v>1270</v>
      </c>
      <c r="M1563" s="1270">
        <v>16</v>
      </c>
      <c r="N1563" s="399">
        <v>0</v>
      </c>
      <c r="O1563" s="102">
        <f t="shared" si="254"/>
        <v>0</v>
      </c>
      <c r="P1563" s="101">
        <f t="shared" si="255"/>
        <v>0</v>
      </c>
      <c r="Q1563" s="1472">
        <v>16</v>
      </c>
    </row>
    <row r="1564" spans="1:17">
      <c r="A1564" s="1482"/>
      <c r="B1564" s="1482"/>
      <c r="C1564" s="1555">
        <f t="shared" si="253"/>
        <v>3</v>
      </c>
      <c r="D1564" s="1492">
        <f t="shared" si="252"/>
        <v>2</v>
      </c>
      <c r="E1564" s="1492"/>
      <c r="F1564" s="1484" t="s">
        <v>11724</v>
      </c>
      <c r="G1564" s="969"/>
      <c r="H1564" s="1095" t="s">
        <v>11722</v>
      </c>
      <c r="I1564" s="780" t="s">
        <v>12714</v>
      </c>
      <c r="J1564" s="834"/>
      <c r="K1564" s="790" t="str">
        <f>(IF(H1564="Saneago",VLOOKUP(I1564,'SANEAGO-FEV.2016'!A:B,2,0),IF(H1564="Sinapi",VLOOKUP(I1564,'SINAPI-FEV.2017'!A:D,2,0),IF(H1564="Cotação",VLOOKUP(I1564,COTAÇÃO!A:D,2,0),IF(H1564="Composição",VLOOKUP(I1564,COMPOSIÇÃO!A:D,2,0))))))</f>
        <v>Curva 90° em aço inox, DN100</v>
      </c>
      <c r="L1564" s="780" t="s">
        <v>1270</v>
      </c>
      <c r="M1564" s="1270">
        <v>4</v>
      </c>
      <c r="N1564" s="399">
        <v>0</v>
      </c>
      <c r="O1564" s="102">
        <f t="shared" si="254"/>
        <v>0</v>
      </c>
      <c r="P1564" s="101">
        <f t="shared" si="255"/>
        <v>0</v>
      </c>
      <c r="Q1564" s="1472">
        <v>4</v>
      </c>
    </row>
    <row r="1565" spans="1:17">
      <c r="A1565" s="1482"/>
      <c r="B1565" s="1482"/>
      <c r="C1565" s="1555">
        <f t="shared" si="253"/>
        <v>3</v>
      </c>
      <c r="D1565" s="1492">
        <f t="shared" ref="D1565:D1607" si="257">D1564+B1565</f>
        <v>2</v>
      </c>
      <c r="E1565" s="1492"/>
      <c r="F1565" s="1484" t="s">
        <v>11724</v>
      </c>
      <c r="G1565" s="969"/>
      <c r="H1565" s="1095" t="s">
        <v>11722</v>
      </c>
      <c r="I1565" s="780" t="s">
        <v>12847</v>
      </c>
      <c r="J1565" s="834"/>
      <c r="K1565" s="790" t="str">
        <f>(IF(H1565="Saneago",VLOOKUP(I1565,'SANEAGO-FEV.2016'!A:B,2,0),IF(H1565="Sinapi",VLOOKUP(I1565,'SINAPI-FEV.2017'!A:D,2,0),IF(H1565="Cotação",VLOOKUP(I1565,COTAÇÃO!A:D,2,0),IF(H1565="Composição",VLOOKUP(I1565,COMPOSIÇÃO!A:D,2,0))))))</f>
        <v>Curva 90° em FºFº com flanges e pé, PN-10 DN100</v>
      </c>
      <c r="L1565" s="780" t="s">
        <v>1270</v>
      </c>
      <c r="M1565" s="1270">
        <v>32</v>
      </c>
      <c r="N1565" s="399">
        <v>0</v>
      </c>
      <c r="O1565" s="102">
        <f t="shared" si="254"/>
        <v>0</v>
      </c>
      <c r="P1565" s="101">
        <f t="shared" si="255"/>
        <v>0</v>
      </c>
      <c r="Q1565" s="1472">
        <v>32</v>
      </c>
    </row>
    <row r="1566" spans="1:17">
      <c r="A1566" s="1482"/>
      <c r="B1566" s="1482"/>
      <c r="C1566" s="1555">
        <f t="shared" si="253"/>
        <v>3</v>
      </c>
      <c r="D1566" s="1492">
        <f t="shared" si="257"/>
        <v>2</v>
      </c>
      <c r="E1566" s="1492"/>
      <c r="F1566" s="1484" t="s">
        <v>11724</v>
      </c>
      <c r="G1566" s="969"/>
      <c r="H1566" s="1095" t="s">
        <v>11722</v>
      </c>
      <c r="I1566" s="780" t="s">
        <v>12851</v>
      </c>
      <c r="J1566" s="834"/>
      <c r="K1566" s="790" t="str">
        <f>(IF(H1566="Saneago",VLOOKUP(I1566,'SANEAGO-FEV.2016'!A:B,2,0),IF(H1566="Sinapi",VLOOKUP(I1566,'SINAPI-FEV.2017'!A:D,2,0),IF(H1566="Cotação",VLOOKUP(I1566,COTAÇÃO!A:D,2,0),IF(H1566="Composição",VLOOKUP(I1566,COMPOSIÇÃO!A:D,2,0))))))</f>
        <v>Curva 90° em FºFº com flanges, PN-10, DN200</v>
      </c>
      <c r="L1566" s="780" t="s">
        <v>1270</v>
      </c>
      <c r="M1566" s="1270">
        <v>12</v>
      </c>
      <c r="N1566" s="399">
        <v>0</v>
      </c>
      <c r="O1566" s="102">
        <f t="shared" si="254"/>
        <v>0</v>
      </c>
      <c r="P1566" s="101">
        <f t="shared" si="255"/>
        <v>0</v>
      </c>
      <c r="Q1566" s="1472">
        <v>12</v>
      </c>
    </row>
    <row r="1567" spans="1:17">
      <c r="A1567" s="1482"/>
      <c r="B1567" s="1482"/>
      <c r="C1567" s="1555">
        <f t="shared" si="253"/>
        <v>3</v>
      </c>
      <c r="D1567" s="1492">
        <f t="shared" si="257"/>
        <v>2</v>
      </c>
      <c r="E1567" s="1492"/>
      <c r="F1567" s="1484" t="s">
        <v>11724</v>
      </c>
      <c r="G1567" s="969"/>
      <c r="H1567" s="1095" t="s">
        <v>11722</v>
      </c>
      <c r="I1567" s="780" t="s">
        <v>12853</v>
      </c>
      <c r="J1567" s="834"/>
      <c r="K1567" s="790" t="str">
        <f>(IF(H1567="Saneago",VLOOKUP(I1567,'SANEAGO-FEV.2016'!A:B,2,0),IF(H1567="Sinapi",VLOOKUP(I1567,'SINAPI-FEV.2017'!A:D,2,0),IF(H1567="Cotação",VLOOKUP(I1567,COTAÇÃO!A:D,2,0),IF(H1567="Composição",VLOOKUP(I1567,COMPOSIÇÃO!A:D,2,0))))))</f>
        <v>Curva 90° em FºFº com flanges, PN-10, DN300</v>
      </c>
      <c r="L1567" s="780" t="s">
        <v>1270</v>
      </c>
      <c r="M1567" s="1270">
        <v>2</v>
      </c>
      <c r="N1567" s="399">
        <v>0</v>
      </c>
      <c r="O1567" s="102">
        <f t="shared" si="254"/>
        <v>0</v>
      </c>
      <c r="P1567" s="101">
        <f t="shared" si="255"/>
        <v>0</v>
      </c>
      <c r="Q1567" s="1472">
        <v>2</v>
      </c>
    </row>
    <row r="1568" spans="1:17" ht="22.5">
      <c r="A1568" s="1482"/>
      <c r="B1568" s="1482"/>
      <c r="C1568" s="1555">
        <f t="shared" si="253"/>
        <v>3</v>
      </c>
      <c r="D1568" s="1492">
        <f t="shared" si="257"/>
        <v>2</v>
      </c>
      <c r="E1568" s="1492"/>
      <c r="F1568" s="1484" t="s">
        <v>11724</v>
      </c>
      <c r="G1568" s="969"/>
      <c r="H1568" s="1095" t="s">
        <v>70</v>
      </c>
      <c r="I1568" s="780">
        <v>1824</v>
      </c>
      <c r="J1568" s="834"/>
      <c r="K1568" s="790" t="str">
        <f>(IF(H1568="Saneago",VLOOKUP(I1568,'SANEAGO-FEV.2016'!A:B,2,0),IF(H1568="Sinapi",VLOOKUP(I1568,'SINAPI-FEV.2017'!A:D,2,0),IF(H1568="Cotação",VLOOKUP(I1568,COTAÇÃO!A:D,2,0),IF(H1568="Composição",VLOOKUP(I1568,COMPOSIÇÃO!A:D,2,0))))))</f>
        <v>CURVA PVC PBA, JE, PB, 90 GRAUS, DN 75 / DE 85 MM, PARA REDE AGUA (NBR 10351)</v>
      </c>
      <c r="L1568" s="780" t="s">
        <v>1270</v>
      </c>
      <c r="M1568" s="1270">
        <v>6</v>
      </c>
      <c r="N1568" s="399">
        <v>0</v>
      </c>
      <c r="O1568" s="102">
        <f t="shared" si="254"/>
        <v>0</v>
      </c>
      <c r="P1568" s="101">
        <f t="shared" si="255"/>
        <v>0</v>
      </c>
      <c r="Q1568" s="1472">
        <v>6</v>
      </c>
    </row>
    <row r="1569" spans="1:17">
      <c r="A1569" s="1482"/>
      <c r="B1569" s="1482"/>
      <c r="C1569" s="1555">
        <f t="shared" si="253"/>
        <v>3</v>
      </c>
      <c r="D1569" s="1492">
        <f t="shared" si="257"/>
        <v>2</v>
      </c>
      <c r="E1569" s="1492"/>
      <c r="F1569" s="1484" t="s">
        <v>11724</v>
      </c>
      <c r="G1569" s="969"/>
      <c r="H1569" s="1095" t="s">
        <v>11722</v>
      </c>
      <c r="I1569" s="780" t="s">
        <v>13181</v>
      </c>
      <c r="J1569" s="834"/>
      <c r="K1569" s="790" t="str">
        <f>(IF(H1569="Saneago",VLOOKUP(I1569,'SANEAGO-FEV.2016'!A:B,2,0),IF(H1569="Sinapi",VLOOKUP(I1569,'SINAPI-FEV.2017'!A:D,2,0),IF(H1569="Cotação",VLOOKUP(I1569,COTAÇÃO!A:D,2,0),IF(H1569="Composição",VLOOKUP(I1569,COMPOSIÇÃO!A:D,2,0))))))</f>
        <v>Curva 90° em RPVC conforme a norma NBR 15.536-3, DN150, L=0,30m</v>
      </c>
      <c r="L1569" s="780" t="s">
        <v>1270</v>
      </c>
      <c r="M1569" s="1270">
        <v>8</v>
      </c>
      <c r="N1569" s="399">
        <v>0</v>
      </c>
      <c r="O1569" s="102">
        <f t="shared" si="254"/>
        <v>0</v>
      </c>
      <c r="P1569" s="101">
        <f t="shared" si="255"/>
        <v>0</v>
      </c>
      <c r="Q1569" s="1472">
        <v>8</v>
      </c>
    </row>
    <row r="1570" spans="1:17">
      <c r="A1570" s="1482"/>
      <c r="B1570" s="1482"/>
      <c r="C1570" s="1555">
        <f t="shared" si="253"/>
        <v>3</v>
      </c>
      <c r="D1570" s="1492">
        <f t="shared" si="257"/>
        <v>2</v>
      </c>
      <c r="E1570" s="1492"/>
      <c r="F1570" s="1484" t="s">
        <v>11724</v>
      </c>
      <c r="G1570" s="969"/>
      <c r="H1570" s="1095" t="s">
        <v>11722</v>
      </c>
      <c r="I1570" s="780" t="s">
        <v>13183</v>
      </c>
      <c r="J1570" s="834"/>
      <c r="K1570" s="790" t="str">
        <f>(IF(H1570="Saneago",VLOOKUP(I1570,'SANEAGO-FEV.2016'!A:B,2,0),IF(H1570="Sinapi",VLOOKUP(I1570,'SINAPI-FEV.2017'!A:D,2,0),IF(H1570="Cotação",VLOOKUP(I1570,COTAÇÃO!A:D,2,0),IF(H1570="Composição",VLOOKUP(I1570,COMPOSIÇÃO!A:D,2,0))))))</f>
        <v>Curva 90° em RPVC conforme norma NBR 15.536-3, DN150 moldável</v>
      </c>
      <c r="L1570" s="780" t="s">
        <v>1270</v>
      </c>
      <c r="M1570" s="1270">
        <v>48</v>
      </c>
      <c r="N1570" s="399">
        <v>0</v>
      </c>
      <c r="O1570" s="102">
        <f t="shared" si="254"/>
        <v>0</v>
      </c>
      <c r="P1570" s="101">
        <f t="shared" si="255"/>
        <v>0</v>
      </c>
      <c r="Q1570" s="1472">
        <v>48</v>
      </c>
    </row>
    <row r="1571" spans="1:17">
      <c r="A1571" s="1482"/>
      <c r="B1571" s="1482"/>
      <c r="C1571" s="1555">
        <f t="shared" si="253"/>
        <v>3</v>
      </c>
      <c r="D1571" s="1492">
        <f t="shared" si="257"/>
        <v>2</v>
      </c>
      <c r="E1571" s="1492"/>
      <c r="F1571" s="1484" t="s">
        <v>11724</v>
      </c>
      <c r="G1571" s="969"/>
      <c r="H1571" s="1095" t="s">
        <v>11722</v>
      </c>
      <c r="I1571" s="780" t="s">
        <v>12716</v>
      </c>
      <c r="J1571" s="834"/>
      <c r="K1571" s="790" t="str">
        <f>(IF(H1571="Saneago",VLOOKUP(I1571,'SANEAGO-FEV.2016'!A:B,2,0),IF(H1571="Sinapi",VLOOKUP(I1571,'SINAPI-FEV.2017'!A:D,2,0),IF(H1571="Cotação",VLOOKUP(I1571,COTAÇÃO!A:D,2,0),IF(H1571="Composição",VLOOKUP(I1571,COMPOSIÇÃO!A:D,2,0))))))</f>
        <v>Curva 90° roscável em aço inox, AISI 304, classe 3000 libras, DN 3/4"</v>
      </c>
      <c r="L1571" s="780" t="s">
        <v>1270</v>
      </c>
      <c r="M1571" s="1270">
        <v>816</v>
      </c>
      <c r="N1571" s="399">
        <v>0</v>
      </c>
      <c r="O1571" s="102">
        <f t="shared" si="254"/>
        <v>0</v>
      </c>
      <c r="P1571" s="101">
        <f t="shared" si="255"/>
        <v>0</v>
      </c>
      <c r="Q1571" s="1472">
        <v>816</v>
      </c>
    </row>
    <row r="1572" spans="1:17">
      <c r="A1572" s="1482"/>
      <c r="B1572" s="1482"/>
      <c r="C1572" s="1555">
        <f t="shared" si="253"/>
        <v>3</v>
      </c>
      <c r="D1572" s="1492">
        <f t="shared" si="257"/>
        <v>2</v>
      </c>
      <c r="E1572" s="1492"/>
      <c r="F1572" s="1484" t="s">
        <v>11724</v>
      </c>
      <c r="G1572" s="969"/>
      <c r="H1572" s="1095" t="s">
        <v>11722</v>
      </c>
      <c r="I1572" s="780" t="s">
        <v>12718</v>
      </c>
      <c r="J1572" s="834"/>
      <c r="K1572" s="790" t="str">
        <f>(IF(H1572="Saneago",VLOOKUP(I1572,'SANEAGO-FEV.2016'!A:B,2,0),IF(H1572="Sinapi",VLOOKUP(I1572,'SINAPI-FEV.2017'!A:D,2,0),IF(H1572="Cotação",VLOOKUP(I1572,COTAÇÃO!A:D,2,0),IF(H1572="Composição",VLOOKUP(I1572,COMPOSIÇÃO!A:D,2,0))))))</f>
        <v>Curva 90° roscável, em aço inox, AISI 304, classe 3000 libras,  DN1 1/2"</v>
      </c>
      <c r="L1572" s="780" t="s">
        <v>1270</v>
      </c>
      <c r="M1572" s="1270">
        <v>4</v>
      </c>
      <c r="N1572" s="399">
        <v>0</v>
      </c>
      <c r="O1572" s="102">
        <f t="shared" si="254"/>
        <v>0</v>
      </c>
      <c r="P1572" s="101">
        <f t="shared" si="255"/>
        <v>0</v>
      </c>
      <c r="Q1572" s="1472">
        <v>4</v>
      </c>
    </row>
    <row r="1573" spans="1:17">
      <c r="A1573" s="1482"/>
      <c r="B1573" s="1482"/>
      <c r="C1573" s="1555">
        <f t="shared" si="253"/>
        <v>3</v>
      </c>
      <c r="D1573" s="1492">
        <f t="shared" si="257"/>
        <v>2</v>
      </c>
      <c r="E1573" s="1492"/>
      <c r="F1573" s="1484" t="s">
        <v>11724</v>
      </c>
      <c r="G1573" s="969"/>
      <c r="H1573" s="1095" t="s">
        <v>70</v>
      </c>
      <c r="I1573" s="780">
        <v>1795</v>
      </c>
      <c r="J1573" s="834"/>
      <c r="K1573" s="790" t="str">
        <f>(IF(H1573="Saneago",VLOOKUP(I1573,'SANEAGO-FEV.2016'!A:B,2,0),IF(H1573="Sinapi",VLOOKUP(I1573,'SINAPI-FEV.2017'!A:D,2,0),IF(H1573="Cotação",VLOOKUP(I1573,COTAÇÃO!A:D,2,0),IF(H1573="Composição",VLOOKUP(I1573,COMPOSIÇÃO!A:D,2,0))))))</f>
        <v>CURVA 90 GRAUS DE FERRO GALVANIZADO, COM ROSCA BSP MACHO, DE 3/4"</v>
      </c>
      <c r="L1573" s="780" t="s">
        <v>10854</v>
      </c>
      <c r="M1573" s="1270">
        <v>1</v>
      </c>
      <c r="N1573" s="399">
        <v>0</v>
      </c>
      <c r="O1573" s="102">
        <f t="shared" si="254"/>
        <v>0</v>
      </c>
      <c r="P1573" s="101">
        <f t="shared" si="255"/>
        <v>0</v>
      </c>
      <c r="Q1573" s="1472">
        <v>1</v>
      </c>
    </row>
    <row r="1574" spans="1:17">
      <c r="A1574" s="1482"/>
      <c r="B1574" s="1482"/>
      <c r="C1574" s="1555">
        <f t="shared" si="253"/>
        <v>3</v>
      </c>
      <c r="D1574" s="1492">
        <f t="shared" si="257"/>
        <v>2</v>
      </c>
      <c r="E1574" s="1492"/>
      <c r="F1574" s="1484" t="s">
        <v>11724</v>
      </c>
      <c r="G1574" s="969"/>
      <c r="H1574" s="1095" t="s">
        <v>70</v>
      </c>
      <c r="I1574" s="780">
        <v>1787</v>
      </c>
      <c r="J1574" s="834"/>
      <c r="K1574" s="790" t="str">
        <f>(IF(H1574="Saneago",VLOOKUP(I1574,'SANEAGO-FEV.2016'!A:B,2,0),IF(H1574="Sinapi",VLOOKUP(I1574,'SINAPI-FEV.2017'!A:D,2,0),IF(H1574="Cotação",VLOOKUP(I1574,COTAÇÃO!A:D,2,0),IF(H1574="Composição",VLOOKUP(I1574,COMPOSIÇÃO!A:D,2,0))))))</f>
        <v>CURVA 90 GRAUS DE FERRO GALVANIZADO, COM ROSCA BSP FEMEA, DE 1"</v>
      </c>
      <c r="L1574" s="780" t="s">
        <v>10854</v>
      </c>
      <c r="M1574" s="1270">
        <v>1</v>
      </c>
      <c r="N1574" s="399">
        <v>0</v>
      </c>
      <c r="O1574" s="102">
        <f t="shared" si="254"/>
        <v>0</v>
      </c>
      <c r="P1574" s="101">
        <f t="shared" si="255"/>
        <v>0</v>
      </c>
      <c r="Q1574" s="1472">
        <v>1</v>
      </c>
    </row>
    <row r="1575" spans="1:17">
      <c r="A1575" s="1482"/>
      <c r="B1575" s="1482"/>
      <c r="C1575" s="1555">
        <f t="shared" si="253"/>
        <v>3</v>
      </c>
      <c r="D1575" s="1492">
        <f t="shared" si="257"/>
        <v>2</v>
      </c>
      <c r="E1575" s="1492"/>
      <c r="F1575" s="1484" t="s">
        <v>11724</v>
      </c>
      <c r="G1575" s="969"/>
      <c r="H1575" s="1095" t="s">
        <v>11722</v>
      </c>
      <c r="I1575" s="780" t="s">
        <v>13185</v>
      </c>
      <c r="J1575" s="834"/>
      <c r="K1575" s="790" t="str">
        <f>(IF(H1575="Saneago",VLOOKUP(I1575,'SANEAGO-FEV.2016'!A:B,2,0),IF(H1575="Sinapi",VLOOKUP(I1575,'SINAPI-FEV.2017'!A:D,2,0),IF(H1575="Cotação",VLOOKUP(I1575,COTAÇÃO!A:D,2,0),IF(H1575="Composição",VLOOKUP(I1575,COMPOSIÇÃO!A:D,2,0))))))</f>
        <v>Curva com pontas em RPVC, conforme a norma NBR 15.536-3, PN-10, DN150</v>
      </c>
      <c r="L1575" s="780" t="s">
        <v>1270</v>
      </c>
      <c r="M1575" s="1270">
        <v>96</v>
      </c>
      <c r="N1575" s="399">
        <v>0</v>
      </c>
      <c r="O1575" s="102">
        <f t="shared" si="254"/>
        <v>0</v>
      </c>
      <c r="P1575" s="101">
        <f t="shared" si="255"/>
        <v>0</v>
      </c>
      <c r="Q1575" s="1472">
        <v>96</v>
      </c>
    </row>
    <row r="1576" spans="1:17">
      <c r="A1576" s="1482"/>
      <c r="B1576" s="1482"/>
      <c r="C1576" s="1555">
        <f t="shared" si="253"/>
        <v>3</v>
      </c>
      <c r="D1576" s="1492">
        <f t="shared" si="257"/>
        <v>2</v>
      </c>
      <c r="E1576" s="1492"/>
      <c r="F1576" s="1484" t="s">
        <v>11724</v>
      </c>
      <c r="G1576" s="969"/>
      <c r="H1576" s="1095" t="s">
        <v>11722</v>
      </c>
      <c r="I1576" s="780" t="s">
        <v>12720</v>
      </c>
      <c r="J1576" s="834"/>
      <c r="K1576" s="790" t="str">
        <f>(IF(H1576="Saneago",VLOOKUP(I1576,'SANEAGO-FEV.2016'!A:B,2,0),IF(H1576="Sinapi",VLOOKUP(I1576,'SINAPI-FEV.2017'!A:D,2,0),IF(H1576="Cotação",VLOOKUP(I1576,COTAÇÃO!A:D,2,0),IF(H1576="Composição",VLOOKUP(I1576,COMPOSIÇÃO!A:D,2,0))))))</f>
        <v>Curva de 90° em aço inox, AISI 304, classe 3000 libras, DN2 1/2"</v>
      </c>
      <c r="L1576" s="780" t="s">
        <v>1270</v>
      </c>
      <c r="M1576" s="1270">
        <v>4</v>
      </c>
      <c r="N1576" s="399">
        <v>0</v>
      </c>
      <c r="O1576" s="102">
        <f t="shared" si="254"/>
        <v>0</v>
      </c>
      <c r="P1576" s="101">
        <f t="shared" si="255"/>
        <v>0</v>
      </c>
      <c r="Q1576" s="1472">
        <v>4</v>
      </c>
    </row>
    <row r="1577" spans="1:17">
      <c r="A1577" s="1482"/>
      <c r="B1577" s="1482"/>
      <c r="C1577" s="1555">
        <f t="shared" si="253"/>
        <v>3</v>
      </c>
      <c r="D1577" s="1492">
        <f t="shared" si="257"/>
        <v>2</v>
      </c>
      <c r="E1577" s="1492"/>
      <c r="F1577" s="1484" t="s">
        <v>11724</v>
      </c>
      <c r="G1577" s="969"/>
      <c r="H1577" s="1095" t="s">
        <v>11722</v>
      </c>
      <c r="I1577" s="780" t="s">
        <v>12722</v>
      </c>
      <c r="J1577" s="834"/>
      <c r="K1577" s="790" t="str">
        <f>(IF(H1577="Saneago",VLOOKUP(I1577,'SANEAGO-FEV.2016'!A:B,2,0),IF(H1577="Sinapi",VLOOKUP(I1577,'SINAPI-FEV.2017'!A:D,2,0),IF(H1577="Cotação",VLOOKUP(I1577,COTAÇÃO!A:D,2,0),IF(H1577="Composição",VLOOKUP(I1577,COMPOSIÇÃO!A:D,2,0))))))</f>
        <v>Curva de 90° em aço inox, AISI, classe 3000 libras, DN2"</v>
      </c>
      <c r="L1577" s="780" t="s">
        <v>1270</v>
      </c>
      <c r="M1577" s="1270">
        <v>18</v>
      </c>
      <c r="N1577" s="399">
        <v>0</v>
      </c>
      <c r="O1577" s="102">
        <f t="shared" si="254"/>
        <v>0</v>
      </c>
      <c r="P1577" s="101">
        <f t="shared" si="255"/>
        <v>0</v>
      </c>
      <c r="Q1577" s="1472">
        <v>18</v>
      </c>
    </row>
    <row r="1578" spans="1:17">
      <c r="A1578" s="1482"/>
      <c r="B1578" s="1482"/>
      <c r="C1578" s="1555">
        <f t="shared" si="253"/>
        <v>3</v>
      </c>
      <c r="D1578" s="1492">
        <f t="shared" si="257"/>
        <v>2</v>
      </c>
      <c r="E1578" s="1492"/>
      <c r="F1578" s="1484" t="s">
        <v>11724</v>
      </c>
      <c r="G1578" s="969"/>
      <c r="H1578" s="1095" t="s">
        <v>11722</v>
      </c>
      <c r="I1578" s="780" t="s">
        <v>12724</v>
      </c>
      <c r="J1578" s="834"/>
      <c r="K1578" s="790" t="str">
        <f>(IF(H1578="Saneago",VLOOKUP(I1578,'SANEAGO-FEV.2016'!A:B,2,0),IF(H1578="Sinapi",VLOOKUP(I1578,'SINAPI-FEV.2017'!A:D,2,0),IF(H1578="Cotação",VLOOKUP(I1578,COTAÇÃO!A:D,2,0),IF(H1578="Composição",VLOOKUP(I1578,COMPOSIÇÃO!A:D,2,0))))))</f>
        <v>Disco de tela milimetrada em aço inox, DN100</v>
      </c>
      <c r="L1578" s="780" t="s">
        <v>1270</v>
      </c>
      <c r="M1578" s="1270">
        <v>4</v>
      </c>
      <c r="N1578" s="399">
        <v>0</v>
      </c>
      <c r="O1578" s="102">
        <f t="shared" si="254"/>
        <v>0</v>
      </c>
      <c r="P1578" s="101">
        <f t="shared" si="255"/>
        <v>0</v>
      </c>
      <c r="Q1578" s="1472">
        <v>4</v>
      </c>
    </row>
    <row r="1579" spans="1:17">
      <c r="A1579" s="1482"/>
      <c r="B1579" s="1482"/>
      <c r="C1579" s="1555">
        <f t="shared" si="253"/>
        <v>3</v>
      </c>
      <c r="D1579" s="1492">
        <f t="shared" si="257"/>
        <v>2</v>
      </c>
      <c r="E1579" s="1492"/>
      <c r="F1579" s="1484" t="s">
        <v>11724</v>
      </c>
      <c r="G1579" s="969"/>
      <c r="H1579" s="1095" t="s">
        <v>11722</v>
      </c>
      <c r="I1579" s="780" t="s">
        <v>12726</v>
      </c>
      <c r="J1579" s="834"/>
      <c r="K1579" s="790" t="str">
        <f>(IF(H1579="Saneago",VLOOKUP(I1579,'SANEAGO-FEV.2016'!A:B,2,0),IF(H1579="Sinapi",VLOOKUP(I1579,'SINAPI-FEV.2017'!A:D,2,0),IF(H1579="Cotação",VLOOKUP(I1579,COTAÇÃO!A:D,2,0),IF(H1579="Composição",VLOOKUP(I1579,COMPOSIÇÃO!A:D,2,0))))))</f>
        <v>Disco de tela milimetrado em aço inox ou cobre, DN150</v>
      </c>
      <c r="L1579" s="780" t="s">
        <v>1270</v>
      </c>
      <c r="M1579" s="1270">
        <v>96</v>
      </c>
      <c r="N1579" s="399">
        <v>0</v>
      </c>
      <c r="O1579" s="102">
        <f t="shared" si="254"/>
        <v>0</v>
      </c>
      <c r="P1579" s="101">
        <f t="shared" si="255"/>
        <v>0</v>
      </c>
      <c r="Q1579" s="1472">
        <v>96</v>
      </c>
    </row>
    <row r="1580" spans="1:17" ht="33.75">
      <c r="A1580" s="1482"/>
      <c r="B1580" s="1482"/>
      <c r="C1580" s="1555">
        <f t="shared" si="253"/>
        <v>3</v>
      </c>
      <c r="D1580" s="1492">
        <f t="shared" si="257"/>
        <v>2</v>
      </c>
      <c r="E1580" s="1492"/>
      <c r="F1580" s="1484" t="s">
        <v>11724</v>
      </c>
      <c r="G1580" s="969"/>
      <c r="H1580" s="1095" t="s">
        <v>11722</v>
      </c>
      <c r="I1580" s="780" t="s">
        <v>13143</v>
      </c>
      <c r="J1580" s="834"/>
      <c r="K1580" s="790" t="str">
        <f>(IF(H1580="Saneago",VLOOKUP(I1580,'SANEAGO-FEV.2016'!A:B,2,0),IF(H1580="Sinapi",VLOOKUP(I1580,'SINAPI-FEV.2017'!A:D,2,0),IF(H1580="Cotação",VLOOKUP(I1580,COTAÇÃO!A:D,2,0),IF(H1580="Composição",VLOOKUP(I1580,COMPOSIÇÃO!A:D,2,0))))))</f>
        <v>Extremidade em aço ASTM 120, DIM 244, SCHEDULE 40  flange e ponta com aba de vedação, revestimento para peças aereas enterradas ou abrigadas, PN-10, DN200, L=0,33m</v>
      </c>
      <c r="L1580" s="780" t="s">
        <v>1270</v>
      </c>
      <c r="M1580" s="1270">
        <v>8</v>
      </c>
      <c r="N1580" s="399">
        <v>0</v>
      </c>
      <c r="O1580" s="102">
        <f t="shared" si="254"/>
        <v>0</v>
      </c>
      <c r="P1580" s="101">
        <f t="shared" si="255"/>
        <v>0</v>
      </c>
      <c r="Q1580" s="1472">
        <v>8</v>
      </c>
    </row>
    <row r="1581" spans="1:17" ht="33.75">
      <c r="A1581" s="1482"/>
      <c r="B1581" s="1482"/>
      <c r="C1581" s="1555">
        <f t="shared" si="253"/>
        <v>3</v>
      </c>
      <c r="D1581" s="1492">
        <f t="shared" si="257"/>
        <v>2</v>
      </c>
      <c r="E1581" s="1492"/>
      <c r="F1581" s="1484" t="s">
        <v>11724</v>
      </c>
      <c r="G1581" s="969"/>
      <c r="H1581" s="1095" t="s">
        <v>11722</v>
      </c>
      <c r="I1581" s="780" t="s">
        <v>13145</v>
      </c>
      <c r="J1581" s="834"/>
      <c r="K1581" s="790" t="str">
        <f>(IF(H1581="Saneago",VLOOKUP(I1581,'SANEAGO-FEV.2016'!A:B,2,0),IF(H1581="Sinapi",VLOOKUP(I1581,'SINAPI-FEV.2017'!A:D,2,0),IF(H1581="Cotação",VLOOKUP(I1581,COTAÇÃO!A:D,2,0),IF(H1581="Composição",VLOOKUP(I1581,COMPOSIÇÃO!A:D,2,0))))))</f>
        <v>Extremidade em aço ASTM 120, DIM 244, SCHEDULE 40  flange e ponta com aba de vedação, revestimento para peças aereas enterradas ou abrigadas, PN-10, DN200, L=0,42m</v>
      </c>
      <c r="L1581" s="780" t="s">
        <v>1270</v>
      </c>
      <c r="M1581" s="1270">
        <v>4</v>
      </c>
      <c r="N1581" s="399">
        <v>0</v>
      </c>
      <c r="O1581" s="102">
        <f t="shared" si="254"/>
        <v>0</v>
      </c>
      <c r="P1581" s="101">
        <f t="shared" si="255"/>
        <v>0</v>
      </c>
      <c r="Q1581" s="1472">
        <v>4</v>
      </c>
    </row>
    <row r="1582" spans="1:17" ht="22.5">
      <c r="A1582" s="1482"/>
      <c r="B1582" s="1482"/>
      <c r="C1582" s="1555">
        <f t="shared" si="253"/>
        <v>3</v>
      </c>
      <c r="D1582" s="1492">
        <f t="shared" si="257"/>
        <v>2</v>
      </c>
      <c r="E1582" s="1492"/>
      <c r="F1582" s="1484" t="s">
        <v>11724</v>
      </c>
      <c r="G1582" s="969"/>
      <c r="H1582" s="1095" t="s">
        <v>11722</v>
      </c>
      <c r="I1582" s="780" t="s">
        <v>13147</v>
      </c>
      <c r="J1582" s="834"/>
      <c r="K1582" s="790" t="str">
        <f>(IF(H1582="Saneago",VLOOKUP(I1582,'SANEAGO-FEV.2016'!A:B,2,0),IF(H1582="Sinapi",VLOOKUP(I1582,'SINAPI-FEV.2017'!A:D,2,0),IF(H1582="Cotação",VLOOKUP(I1582,COTAÇÃO!A:D,2,0),IF(H1582="Composição",VLOOKUP(I1582,COMPOSIÇÃO!A:D,2,0))))))</f>
        <v>Extremidade em aço espessura 1/4" com flanges, ponta com aba de vedação e revestimento para peças enterradas, PN-10, DN300, L=0,43m</v>
      </c>
      <c r="L1582" s="780" t="s">
        <v>1270</v>
      </c>
      <c r="M1582" s="1270">
        <v>4</v>
      </c>
      <c r="N1582" s="399">
        <v>0</v>
      </c>
      <c r="O1582" s="102">
        <f t="shared" si="254"/>
        <v>0</v>
      </c>
      <c r="P1582" s="101">
        <f t="shared" si="255"/>
        <v>0</v>
      </c>
      <c r="Q1582" s="1472">
        <v>4</v>
      </c>
    </row>
    <row r="1583" spans="1:17" ht="22.5">
      <c r="A1583" s="1482"/>
      <c r="B1583" s="1482"/>
      <c r="C1583" s="1555">
        <f t="shared" si="253"/>
        <v>3</v>
      </c>
      <c r="D1583" s="1492">
        <f t="shared" si="257"/>
        <v>2</v>
      </c>
      <c r="E1583" s="1492"/>
      <c r="F1583" s="1484" t="s">
        <v>11724</v>
      </c>
      <c r="G1583" s="969"/>
      <c r="H1583" s="1095" t="s">
        <v>11722</v>
      </c>
      <c r="I1583" s="780" t="s">
        <v>13149</v>
      </c>
      <c r="J1583" s="834"/>
      <c r="K1583" s="790" t="str">
        <f>(IF(H1583="Saneago",VLOOKUP(I1583,'SANEAGO-FEV.2016'!A:B,2,0),IF(H1583="Sinapi",VLOOKUP(I1583,'SINAPI-FEV.2017'!A:D,2,0),IF(H1583="Cotação",VLOOKUP(I1583,COTAÇÃO!A:D,2,0),IF(H1583="Composição",VLOOKUP(I1583,COMPOSIÇÃO!A:D,2,0))))))</f>
        <v>Extremidade em aço espessura 1/4", com flanges e ponta com aba de vedação, revestimento para peças enterradas, PN-10, DN800, L=0,55m</v>
      </c>
      <c r="L1583" s="780" t="s">
        <v>1270</v>
      </c>
      <c r="M1583" s="1270">
        <v>8</v>
      </c>
      <c r="N1583" s="399">
        <v>0</v>
      </c>
      <c r="O1583" s="102">
        <f t="shared" si="254"/>
        <v>0</v>
      </c>
      <c r="P1583" s="101">
        <f t="shared" si="255"/>
        <v>0</v>
      </c>
      <c r="Q1583" s="1472">
        <v>8</v>
      </c>
    </row>
    <row r="1584" spans="1:17" ht="15" customHeight="1">
      <c r="A1584" s="1482"/>
      <c r="B1584" s="1482"/>
      <c r="C1584" s="1555">
        <f t="shared" si="253"/>
        <v>3</v>
      </c>
      <c r="D1584" s="1492">
        <f t="shared" si="257"/>
        <v>2</v>
      </c>
      <c r="E1584" s="1492"/>
      <c r="F1584" s="1484" t="s">
        <v>11724</v>
      </c>
      <c r="G1584" s="969"/>
      <c r="H1584" s="1095" t="s">
        <v>11722</v>
      </c>
      <c r="I1584" s="780" t="s">
        <v>12865</v>
      </c>
      <c r="J1584" s="834"/>
      <c r="K1584" s="790" t="str">
        <f>(IF(H1584="Saneago",VLOOKUP(I1584,'SANEAGO-FEV.2016'!A:B,2,0),IF(H1584="Sinapi",VLOOKUP(I1584,'SINAPI-FEV.2017'!A:D,2,0),IF(H1584="Cotação",VLOOKUP(I1584,COTAÇÃO!A:D,2,0),IF(H1584="Composição",VLOOKUP(I1584,COMPOSIÇÃO!A:D,2,0))))))</f>
        <v>Extremidade em FºFº com flange e ponta com aba de vedação, PN-10,  DN150, L=0,70m</v>
      </c>
      <c r="L1584" s="780" t="s">
        <v>1270</v>
      </c>
      <c r="M1584" s="1270">
        <v>96</v>
      </c>
      <c r="N1584" s="399">
        <v>0</v>
      </c>
      <c r="O1584" s="102">
        <f t="shared" si="254"/>
        <v>0</v>
      </c>
      <c r="P1584" s="101">
        <f t="shared" si="255"/>
        <v>0</v>
      </c>
      <c r="Q1584" s="1472">
        <v>96</v>
      </c>
    </row>
    <row r="1585" spans="1:17">
      <c r="A1585" s="1482"/>
      <c r="B1585" s="1482"/>
      <c r="C1585" s="1555">
        <f t="shared" si="253"/>
        <v>3</v>
      </c>
      <c r="D1585" s="1492">
        <f t="shared" si="257"/>
        <v>2</v>
      </c>
      <c r="E1585" s="1492"/>
      <c r="F1585" s="1484" t="s">
        <v>11724</v>
      </c>
      <c r="G1585" s="969"/>
      <c r="H1585" s="1095" t="s">
        <v>11722</v>
      </c>
      <c r="I1585" s="780" t="s">
        <v>12873</v>
      </c>
      <c r="J1585" s="834"/>
      <c r="K1585" s="790" t="str">
        <f>(IF(H1585="Saneago",VLOOKUP(I1585,'SANEAGO-FEV.2016'!A:B,2,0),IF(H1585="Sinapi",VLOOKUP(I1585,'SINAPI-FEV.2017'!A:D,2,0),IF(H1585="Cotação",VLOOKUP(I1585,COTAÇÃO!A:D,2,0),IF(H1585="Composição",VLOOKUP(I1585,COMPOSIÇÃO!A:D,2,0))))))</f>
        <v>Extremidade em FºFº, flange e ponta ,  DN100</v>
      </c>
      <c r="L1585" s="780" t="s">
        <v>1270</v>
      </c>
      <c r="M1585" s="1270">
        <v>160</v>
      </c>
      <c r="N1585" s="399">
        <v>0</v>
      </c>
      <c r="O1585" s="102">
        <f t="shared" si="254"/>
        <v>0</v>
      </c>
      <c r="P1585" s="101">
        <f t="shared" si="255"/>
        <v>0</v>
      </c>
      <c r="Q1585" s="1472">
        <v>160</v>
      </c>
    </row>
    <row r="1586" spans="1:17">
      <c r="A1586" s="1482"/>
      <c r="B1586" s="1482"/>
      <c r="C1586" s="1555">
        <f t="shared" si="253"/>
        <v>3</v>
      </c>
      <c r="D1586" s="1492">
        <f t="shared" si="257"/>
        <v>2</v>
      </c>
      <c r="E1586" s="1492"/>
      <c r="F1586" s="1484" t="s">
        <v>11724</v>
      </c>
      <c r="G1586" s="969"/>
      <c r="H1586" s="1095" t="s">
        <v>11722</v>
      </c>
      <c r="I1586" s="780" t="s">
        <v>12875</v>
      </c>
      <c r="J1586" s="834"/>
      <c r="K1586" s="790" t="str">
        <f>(IF(H1586="Saneago",VLOOKUP(I1586,'SANEAGO-FEV.2016'!A:B,2,0),IF(H1586="Sinapi",VLOOKUP(I1586,'SINAPI-FEV.2017'!A:D,2,0),IF(H1586="Cotação",VLOOKUP(I1586,COTAÇÃO!A:D,2,0),IF(H1586="Composição",VLOOKUP(I1586,COMPOSIÇÃO!A:D,2,0))))))</f>
        <v>Extremidade em FºFº, flange e ponta,  DN100</v>
      </c>
      <c r="L1586" s="780" t="s">
        <v>1270</v>
      </c>
      <c r="M1586" s="1270">
        <v>32</v>
      </c>
      <c r="N1586" s="399">
        <v>0</v>
      </c>
      <c r="O1586" s="102">
        <f t="shared" si="254"/>
        <v>0</v>
      </c>
      <c r="P1586" s="101">
        <f t="shared" si="255"/>
        <v>0</v>
      </c>
      <c r="Q1586" s="1472">
        <v>32</v>
      </c>
    </row>
    <row r="1587" spans="1:17" ht="22.5">
      <c r="A1587" s="1482"/>
      <c r="B1587" s="1482"/>
      <c r="C1587" s="1555">
        <f t="shared" ref="C1587:C1650" si="258">C1586</f>
        <v>3</v>
      </c>
      <c r="D1587" s="1492">
        <f t="shared" si="257"/>
        <v>2</v>
      </c>
      <c r="E1587" s="1492"/>
      <c r="F1587" s="1484" t="s">
        <v>11724</v>
      </c>
      <c r="G1587" s="969"/>
      <c r="H1587" s="1095" t="s">
        <v>11722</v>
      </c>
      <c r="I1587" s="780" t="s">
        <v>13187</v>
      </c>
      <c r="J1587" s="834"/>
      <c r="K1587" s="790" t="str">
        <f>(IF(H1587="Saneago",VLOOKUP(I1587,'SANEAGO-FEV.2016'!A:B,2,0),IF(H1587="Sinapi",VLOOKUP(I1587,'SINAPI-FEV.2017'!A:D,2,0),IF(H1587="Cotação",VLOOKUP(I1587,COTAÇÃO!A:D,2,0),IF(H1587="Composição",VLOOKUP(I1587,COMPOSIÇÃO!A:D,2,0))))))</f>
        <v>Extremidade em RPVC conforme a norma NBR 15.536-3, flange e ponta com aba de vedação , PN-10, DN150, L=0,50m</v>
      </c>
      <c r="L1587" s="780" t="s">
        <v>1270</v>
      </c>
      <c r="M1587" s="1270">
        <v>4</v>
      </c>
      <c r="N1587" s="399">
        <v>0</v>
      </c>
      <c r="O1587" s="102">
        <f t="shared" si="254"/>
        <v>0</v>
      </c>
      <c r="P1587" s="101">
        <f t="shared" si="255"/>
        <v>0</v>
      </c>
      <c r="Q1587" s="1472">
        <v>4</v>
      </c>
    </row>
    <row r="1588" spans="1:17">
      <c r="A1588" s="1482"/>
      <c r="B1588" s="1482"/>
      <c r="C1588" s="1555">
        <f t="shared" si="258"/>
        <v>3</v>
      </c>
      <c r="D1588" s="1492">
        <f t="shared" si="257"/>
        <v>2</v>
      </c>
      <c r="E1588" s="1492"/>
      <c r="F1588" s="1484" t="s">
        <v>11724</v>
      </c>
      <c r="G1588" s="969"/>
      <c r="H1588" s="1095" t="s">
        <v>11722</v>
      </c>
      <c r="I1588" s="780" t="s">
        <v>12877</v>
      </c>
      <c r="J1588" s="834"/>
      <c r="K1588" s="790" t="str">
        <f>(IF(H1588="Saneago",VLOOKUP(I1588,'SANEAGO-FEV.2016'!A:B,2,0),IF(H1588="Sinapi",VLOOKUP(I1588,'SINAPI-FEV.2017'!A:D,2,0),IF(H1588="Cotação",VLOOKUP(I1588,COTAÇÃO!A:D,2,0),IF(H1588="Composição",VLOOKUP(I1588,COMPOSIÇÃO!A:D,2,0))))))</f>
        <v>Extremidade flange e ponta em FºFº com flanges, PN-10, DN250</v>
      </c>
      <c r="L1588" s="780" t="s">
        <v>1270</v>
      </c>
      <c r="M1588" s="1270">
        <v>64</v>
      </c>
      <c r="N1588" s="399">
        <v>0</v>
      </c>
      <c r="O1588" s="102">
        <f t="shared" si="254"/>
        <v>0</v>
      </c>
      <c r="P1588" s="101">
        <f t="shared" si="255"/>
        <v>0</v>
      </c>
      <c r="Q1588" s="1472">
        <v>64</v>
      </c>
    </row>
    <row r="1589" spans="1:17">
      <c r="A1589" s="1482"/>
      <c r="B1589" s="1482"/>
      <c r="C1589" s="1555">
        <f t="shared" si="258"/>
        <v>3</v>
      </c>
      <c r="D1589" s="1492">
        <f t="shared" si="257"/>
        <v>2</v>
      </c>
      <c r="E1589" s="1492"/>
      <c r="F1589" s="1484" t="s">
        <v>11724</v>
      </c>
      <c r="G1589" s="969"/>
      <c r="H1589" s="1095" t="s">
        <v>11722</v>
      </c>
      <c r="I1589" s="780" t="s">
        <v>12728</v>
      </c>
      <c r="J1589" s="834"/>
      <c r="K1589" s="790" t="str">
        <f>(IF(H1589="Saneago",VLOOKUP(I1589,'SANEAGO-FEV.2016'!A:B,2,0),IF(H1589="Sinapi",VLOOKUP(I1589,'SINAPI-FEV.2017'!A:D,2,0),IF(H1589="Cotação",VLOOKUP(I1589,COTAÇÃO!A:D,2,0),IF(H1589="Composição",VLOOKUP(I1589,COMPOSIÇÃO!A:D,2,0))))))</f>
        <v>Flange avulso em aço inox, PN-10. DN100</v>
      </c>
      <c r="L1589" s="780" t="s">
        <v>1270</v>
      </c>
      <c r="M1589" s="1270">
        <v>4</v>
      </c>
      <c r="N1589" s="399">
        <v>0</v>
      </c>
      <c r="O1589" s="102">
        <f t="shared" si="254"/>
        <v>0</v>
      </c>
      <c r="P1589" s="101">
        <f t="shared" si="255"/>
        <v>0</v>
      </c>
      <c r="Q1589" s="1472">
        <v>4</v>
      </c>
    </row>
    <row r="1590" spans="1:17">
      <c r="A1590" s="1482"/>
      <c r="B1590" s="1482"/>
      <c r="C1590" s="1555">
        <f t="shared" si="258"/>
        <v>3</v>
      </c>
      <c r="D1590" s="1492">
        <f t="shared" si="257"/>
        <v>2</v>
      </c>
      <c r="E1590" s="1492"/>
      <c r="F1590" s="1484" t="s">
        <v>11724</v>
      </c>
      <c r="G1590" s="969"/>
      <c r="H1590" s="1095" t="s">
        <v>11722</v>
      </c>
      <c r="I1590" s="780" t="s">
        <v>12879</v>
      </c>
      <c r="J1590" s="834"/>
      <c r="K1590" s="790" t="str">
        <f>(IF(H1590="Saneago",VLOOKUP(I1590,'SANEAGO-FEV.2016'!A:B,2,0),IF(H1590="Sinapi",VLOOKUP(I1590,'SINAPI-FEV.2017'!A:D,2,0),IF(H1590="Cotação",VLOOKUP(I1590,COTAÇÃO!A:D,2,0),IF(H1590="Composição",VLOOKUP(I1590,COMPOSIÇÃO!A:D,2,0))))))</f>
        <v>Flange avulso em FºFº com flange, PN-10 , DN150</v>
      </c>
      <c r="L1590" s="780" t="s">
        <v>1270</v>
      </c>
      <c r="M1590" s="1270">
        <v>96</v>
      </c>
      <c r="N1590" s="399">
        <v>0</v>
      </c>
      <c r="O1590" s="102">
        <f t="shared" si="254"/>
        <v>0</v>
      </c>
      <c r="P1590" s="101">
        <f t="shared" si="255"/>
        <v>0</v>
      </c>
      <c r="Q1590" s="1472">
        <v>96</v>
      </c>
    </row>
    <row r="1591" spans="1:17">
      <c r="A1591" s="1482"/>
      <c r="B1591" s="1482"/>
      <c r="C1591" s="1555">
        <f t="shared" si="258"/>
        <v>3</v>
      </c>
      <c r="D1591" s="1492">
        <f t="shared" si="257"/>
        <v>2</v>
      </c>
      <c r="E1591" s="1492"/>
      <c r="F1591" s="1484" t="s">
        <v>11724</v>
      </c>
      <c r="G1591" s="969"/>
      <c r="H1591" s="1095" t="s">
        <v>11722</v>
      </c>
      <c r="I1591" s="780" t="s">
        <v>12883</v>
      </c>
      <c r="J1591" s="834"/>
      <c r="K1591" s="790" t="str">
        <f>(IF(H1591="Saneago",VLOOKUP(I1591,'SANEAGO-FEV.2016'!A:B,2,0),IF(H1591="Sinapi",VLOOKUP(I1591,'SINAPI-FEV.2017'!A:D,2,0),IF(H1591="Cotação",VLOOKUP(I1591,COTAÇÃO!A:D,2,0),IF(H1591="Composição",VLOOKUP(I1591,COMPOSIÇÃO!A:D,2,0))))))</f>
        <v>Flange cego em FºFº com flanges, PN-10, DN100</v>
      </c>
      <c r="L1591" s="780" t="s">
        <v>1270</v>
      </c>
      <c r="M1591" s="1270">
        <v>160</v>
      </c>
      <c r="N1591" s="399">
        <v>0</v>
      </c>
      <c r="O1591" s="102">
        <f t="shared" si="254"/>
        <v>0</v>
      </c>
      <c r="P1591" s="101">
        <f t="shared" si="255"/>
        <v>0</v>
      </c>
      <c r="Q1591" s="1472">
        <v>160</v>
      </c>
    </row>
    <row r="1592" spans="1:17">
      <c r="A1592" s="1482"/>
      <c r="B1592" s="1482"/>
      <c r="C1592" s="1555">
        <f t="shared" si="258"/>
        <v>3</v>
      </c>
      <c r="D1592" s="1492">
        <f t="shared" si="257"/>
        <v>2</v>
      </c>
      <c r="E1592" s="1492"/>
      <c r="F1592" s="1484" t="s">
        <v>11724</v>
      </c>
      <c r="G1592" s="969"/>
      <c r="H1592" s="1095" t="s">
        <v>11722</v>
      </c>
      <c r="I1592" s="780" t="s">
        <v>12885</v>
      </c>
      <c r="J1592" s="834"/>
      <c r="K1592" s="790" t="str">
        <f>(IF(H1592="Saneago",VLOOKUP(I1592,'SANEAGO-FEV.2016'!A:B,2,0),IF(H1592="Sinapi",VLOOKUP(I1592,'SINAPI-FEV.2017'!A:D,2,0),IF(H1592="Cotação",VLOOKUP(I1592,COTAÇÃO!A:D,2,0),IF(H1592="Composição",VLOOKUP(I1592,COMPOSIÇÃO!A:D,2,0))))))</f>
        <v>Flange cego em FºFº com flanges, PN-10, DN250</v>
      </c>
      <c r="L1592" s="780" t="s">
        <v>1270</v>
      </c>
      <c r="M1592" s="1270">
        <v>64</v>
      </c>
      <c r="N1592" s="399">
        <v>0</v>
      </c>
      <c r="O1592" s="102">
        <f t="shared" si="254"/>
        <v>0</v>
      </c>
      <c r="P1592" s="101">
        <f t="shared" si="255"/>
        <v>0</v>
      </c>
      <c r="Q1592" s="1472">
        <v>64</v>
      </c>
    </row>
    <row r="1593" spans="1:17">
      <c r="A1593" s="1482"/>
      <c r="B1593" s="1482"/>
      <c r="C1593" s="1555">
        <f t="shared" si="258"/>
        <v>3</v>
      </c>
      <c r="D1593" s="1492">
        <f t="shared" si="257"/>
        <v>2</v>
      </c>
      <c r="E1593" s="1492"/>
      <c r="F1593" s="1484" t="s">
        <v>11724</v>
      </c>
      <c r="G1593" s="969"/>
      <c r="H1593" s="1095" t="s">
        <v>11722</v>
      </c>
      <c r="I1593" s="780" t="s">
        <v>12889</v>
      </c>
      <c r="J1593" s="834"/>
      <c r="K1593" s="790" t="str">
        <f>(IF(H1593="Saneago",VLOOKUP(I1593,'SANEAGO-FEV.2016'!A:B,2,0),IF(H1593="Sinapi",VLOOKUP(I1593,'SINAPI-FEV.2017'!A:D,2,0),IF(H1593="Cotação",VLOOKUP(I1593,COTAÇÃO!A:D,2,0),IF(H1593="Composição",VLOOKUP(I1593,COMPOSIÇÃO!A:D,2,0))))))</f>
        <v>Flange cego em FºFº com flanges, PN-10, DN800</v>
      </c>
      <c r="L1593" s="780" t="s">
        <v>1270</v>
      </c>
      <c r="M1593" s="1270">
        <v>8</v>
      </c>
      <c r="N1593" s="399">
        <v>0</v>
      </c>
      <c r="O1593" s="102">
        <f t="shared" si="254"/>
        <v>0</v>
      </c>
      <c r="P1593" s="101">
        <f t="shared" si="255"/>
        <v>0</v>
      </c>
      <c r="Q1593" s="1472">
        <v>8</v>
      </c>
    </row>
    <row r="1594" spans="1:17">
      <c r="A1594" s="1482"/>
      <c r="B1594" s="1482"/>
      <c r="C1594" s="1555">
        <f t="shared" si="258"/>
        <v>3</v>
      </c>
      <c r="D1594" s="1492">
        <f t="shared" si="257"/>
        <v>2</v>
      </c>
      <c r="E1594" s="1492"/>
      <c r="F1594" s="1484" t="s">
        <v>11724</v>
      </c>
      <c r="G1594" s="969"/>
      <c r="H1594" s="1095" t="s">
        <v>11722</v>
      </c>
      <c r="I1594" s="780" t="s">
        <v>13191</v>
      </c>
      <c r="J1594" s="834"/>
      <c r="K1594" s="790" t="str">
        <f>(IF(H1594="Saneago",VLOOKUP(I1594,'SANEAGO-FEV.2016'!A:B,2,0),IF(H1594="Sinapi",VLOOKUP(I1594,'SINAPI-FEV.2017'!A:D,2,0),IF(H1594="Cotação",VLOOKUP(I1594,COTAÇÃO!A:D,2,0),IF(H1594="Composição",VLOOKUP(I1594,COMPOSIÇÃO!A:D,2,0))))))</f>
        <v>Flange cego em RPVC conforme a norma NBR 15.536-3, DN150</v>
      </c>
      <c r="L1594" s="780" t="s">
        <v>1270</v>
      </c>
      <c r="M1594" s="1270">
        <v>8</v>
      </c>
      <c r="N1594" s="399">
        <v>0</v>
      </c>
      <c r="O1594" s="102">
        <f t="shared" ref="O1594:O1653" si="259">ROUND(IF(F1594="Serviços",N1594*(1+$O$7),IF(F1594="Materiais",N1594*(1+$O$8))),2)</f>
        <v>0</v>
      </c>
      <c r="P1594" s="101">
        <f t="shared" ref="P1594:P1653" si="260">ROUND(M1594*O1594,2)</f>
        <v>0</v>
      </c>
      <c r="Q1594" s="1472">
        <v>8</v>
      </c>
    </row>
    <row r="1595" spans="1:17" ht="22.5">
      <c r="A1595" s="1482"/>
      <c r="B1595" s="1482"/>
      <c r="C1595" s="1555">
        <f t="shared" si="258"/>
        <v>3</v>
      </c>
      <c r="D1595" s="1492">
        <f>D1594+B1595</f>
        <v>2</v>
      </c>
      <c r="E1595" s="1492"/>
      <c r="F1595" s="1484" t="s">
        <v>11724</v>
      </c>
      <c r="G1595" s="969"/>
      <c r="H1595" s="1095" t="s">
        <v>70</v>
      </c>
      <c r="I1595" s="780">
        <v>89502</v>
      </c>
      <c r="J1595" s="834"/>
      <c r="K1595" s="790" t="str">
        <f>(IF(H1595="Saneago",VLOOKUP(I1595,'SANEAGO-FEV.2016'!A:B,2,0),IF(H1595="Sinapi",VLOOKUP(I1595,'SINAPI-FEV.2017'!A:D,2,0),IF(H1595="Cotação",VLOOKUP(I1595,COTAÇÃO!A:D,2,0),IF(H1595="Composição",VLOOKUP(I1595,COMPOSIÇÃO!A:D,2,0))))))</f>
        <v>JOELHO 45 GRAUS, PVC, SOLDÁVEL, DN 50MM, INSTALADO EM PRUMADA DE ÁGUA - FORNECIMENTO E INSTALAÇÃO. AF_12/2014</v>
      </c>
      <c r="L1595" s="780" t="s">
        <v>1270</v>
      </c>
      <c r="M1595" s="1270">
        <v>24</v>
      </c>
      <c r="N1595" s="399">
        <v>0</v>
      </c>
      <c r="O1595" s="102">
        <f t="shared" si="259"/>
        <v>0</v>
      </c>
      <c r="P1595" s="101">
        <f t="shared" si="260"/>
        <v>0</v>
      </c>
      <c r="Q1595" s="1472">
        <v>24</v>
      </c>
    </row>
    <row r="1596" spans="1:17" ht="22.5">
      <c r="A1596" s="1482"/>
      <c r="B1596" s="1482"/>
      <c r="C1596" s="1555">
        <f t="shared" si="258"/>
        <v>3</v>
      </c>
      <c r="D1596" s="1492">
        <f t="shared" si="257"/>
        <v>2</v>
      </c>
      <c r="E1596" s="1492"/>
      <c r="F1596" s="1484" t="s">
        <v>11724</v>
      </c>
      <c r="G1596" s="969"/>
      <c r="H1596" s="1095" t="s">
        <v>70</v>
      </c>
      <c r="I1596" s="780">
        <v>89481</v>
      </c>
      <c r="J1596" s="834"/>
      <c r="K1596" s="790" t="str">
        <f>(IF(H1596="Saneago",VLOOKUP(I1596,'SANEAGO-FEV.2016'!A:B,2,0),IF(H1596="Sinapi",VLOOKUP(I1596,'SINAPI-FEV.2017'!A:D,2,0),IF(H1596="Cotação",VLOOKUP(I1596,COTAÇÃO!A:D,2,0),IF(H1596="Composição",VLOOKUP(I1596,COMPOSIÇÃO!A:D,2,0))))))</f>
        <v>JOELHO 90 GRAUS, PVC, SOLDÁVEL, DN 25MM, INSTALADO EM PRUMADA DE ÁGUA - FORNECIMENTO E INSTALAÇÃO. AF_12/2014</v>
      </c>
      <c r="L1596" s="780" t="s">
        <v>1270</v>
      </c>
      <c r="M1596" s="1270">
        <v>96</v>
      </c>
      <c r="N1596" s="399">
        <v>0</v>
      </c>
      <c r="O1596" s="102">
        <f t="shared" si="259"/>
        <v>0</v>
      </c>
      <c r="P1596" s="101">
        <f t="shared" si="260"/>
        <v>0</v>
      </c>
      <c r="Q1596" s="1472">
        <v>96</v>
      </c>
    </row>
    <row r="1597" spans="1:17" ht="22.5">
      <c r="A1597" s="1482"/>
      <c r="B1597" s="1482"/>
      <c r="C1597" s="1555">
        <f t="shared" si="258"/>
        <v>3</v>
      </c>
      <c r="D1597" s="1492">
        <f t="shared" si="257"/>
        <v>2</v>
      </c>
      <c r="E1597" s="1492"/>
      <c r="F1597" s="1484" t="s">
        <v>11724</v>
      </c>
      <c r="G1597" s="969"/>
      <c r="H1597" s="1095" t="s">
        <v>70</v>
      </c>
      <c r="I1597" s="780">
        <v>89501</v>
      </c>
      <c r="J1597" s="834"/>
      <c r="K1597" s="790" t="str">
        <f>(IF(H1597="Saneago",VLOOKUP(I1597,'SANEAGO-FEV.2016'!A:B,2,0),IF(H1597="Sinapi",VLOOKUP(I1597,'SINAPI-FEV.2017'!A:D,2,0),IF(H1597="Cotação",VLOOKUP(I1597,COTAÇÃO!A:D,2,0),IF(H1597="Composição",VLOOKUP(I1597,COMPOSIÇÃO!A:D,2,0))))))</f>
        <v>JOELHO 90 GRAUS, PVC, SOLDÁVEL, DN 50MM, INSTALADO EM PRUMADA DE ÁGUA - FORNECIMENTO E INSTALAÇÃO. AF_12/2014</v>
      </c>
      <c r="L1597" s="780" t="s">
        <v>1270</v>
      </c>
      <c r="M1597" s="1270">
        <v>120</v>
      </c>
      <c r="N1597" s="399">
        <v>0</v>
      </c>
      <c r="O1597" s="102">
        <f t="shared" si="259"/>
        <v>0</v>
      </c>
      <c r="P1597" s="101">
        <f t="shared" si="260"/>
        <v>0</v>
      </c>
      <c r="Q1597" s="1472">
        <v>120</v>
      </c>
    </row>
    <row r="1598" spans="1:17">
      <c r="A1598" s="1482"/>
      <c r="B1598" s="1482"/>
      <c r="C1598" s="1555">
        <f t="shared" si="258"/>
        <v>3</v>
      </c>
      <c r="D1598" s="1492">
        <f t="shared" si="257"/>
        <v>2</v>
      </c>
      <c r="E1598" s="1492"/>
      <c r="F1598" s="1484" t="s">
        <v>11724</v>
      </c>
      <c r="G1598" s="969"/>
      <c r="H1598" s="1095" t="s">
        <v>11722</v>
      </c>
      <c r="I1598" s="780" t="s">
        <v>12895</v>
      </c>
      <c r="J1598" s="834"/>
      <c r="K1598" s="790" t="str">
        <f>(IF(H1598="Saneago",VLOOKUP(I1598,'SANEAGO-FEV.2016'!A:B,2,0),IF(H1598="Sinapi",VLOOKUP(I1598,'SINAPI-FEV.2017'!A:D,2,0),IF(H1598="Cotação",VLOOKUP(I1598,COTAÇÃO!A:D,2,0),IF(H1598="Composição",VLOOKUP(I1598,COMPOSIÇÃO!A:D,2,0))))))</f>
        <v>Junta Gibault  em FºFº, com bolsas,  DN150</v>
      </c>
      <c r="L1598" s="780" t="s">
        <v>1270</v>
      </c>
      <c r="M1598" s="1270">
        <v>144</v>
      </c>
      <c r="N1598" s="399">
        <v>0</v>
      </c>
      <c r="O1598" s="102">
        <f t="shared" si="259"/>
        <v>0</v>
      </c>
      <c r="P1598" s="101">
        <f t="shared" si="260"/>
        <v>0</v>
      </c>
      <c r="Q1598" s="1472">
        <v>144</v>
      </c>
    </row>
    <row r="1599" spans="1:17">
      <c r="A1599" s="1482"/>
      <c r="B1599" s="1482"/>
      <c r="C1599" s="1555">
        <f t="shared" si="258"/>
        <v>3</v>
      </c>
      <c r="D1599" s="1492">
        <f t="shared" si="257"/>
        <v>2</v>
      </c>
      <c r="E1599" s="1492"/>
      <c r="F1599" s="1484" t="s">
        <v>11724</v>
      </c>
      <c r="G1599" s="969"/>
      <c r="H1599" s="1095" t="s">
        <v>11722</v>
      </c>
      <c r="I1599" s="780" t="s">
        <v>12897</v>
      </c>
      <c r="J1599" s="834"/>
      <c r="K1599" s="790" t="str">
        <f>(IF(H1599="Saneago",VLOOKUP(I1599,'SANEAGO-FEV.2016'!A:B,2,0),IF(H1599="Sinapi",VLOOKUP(I1599,'SINAPI-FEV.2017'!A:D,2,0),IF(H1599="Cotação",VLOOKUP(I1599,COTAÇÃO!A:D,2,0),IF(H1599="Composição",VLOOKUP(I1599,COMPOSIÇÃO!A:D,2,0))))))</f>
        <v>Junta Gibault em FºFº com flanges, PN-10, DN100</v>
      </c>
      <c r="L1599" s="780" t="s">
        <v>1270</v>
      </c>
      <c r="M1599" s="1270">
        <v>32</v>
      </c>
      <c r="N1599" s="399">
        <v>0</v>
      </c>
      <c r="O1599" s="102">
        <f t="shared" si="259"/>
        <v>0</v>
      </c>
      <c r="P1599" s="101">
        <f t="shared" si="260"/>
        <v>0</v>
      </c>
      <c r="Q1599" s="1472">
        <v>32</v>
      </c>
    </row>
    <row r="1600" spans="1:17">
      <c r="A1600" s="1482"/>
      <c r="B1600" s="1482"/>
      <c r="C1600" s="1555">
        <f t="shared" si="258"/>
        <v>3</v>
      </c>
      <c r="D1600" s="1492">
        <f t="shared" si="257"/>
        <v>2</v>
      </c>
      <c r="E1600" s="1492"/>
      <c r="F1600" s="1484" t="s">
        <v>11724</v>
      </c>
      <c r="G1600" s="969"/>
      <c r="H1600" s="1095" t="s">
        <v>11722</v>
      </c>
      <c r="I1600" s="780" t="s">
        <v>12899</v>
      </c>
      <c r="J1600" s="834"/>
      <c r="K1600" s="790" t="str">
        <f>(IF(H1600="Saneago",VLOOKUP(I1600,'SANEAGO-FEV.2016'!A:B,2,0),IF(H1600="Sinapi",VLOOKUP(I1600,'SINAPI-FEV.2017'!A:D,2,0),IF(H1600="Cotação",VLOOKUP(I1600,COTAÇÃO!A:D,2,0),IF(H1600="Composição",VLOOKUP(I1600,COMPOSIÇÃO!A:D,2,0))))))</f>
        <v>Junta Gibault em FºFº, com bolsas,  DN200</v>
      </c>
      <c r="L1600" s="780" t="s">
        <v>1270</v>
      </c>
      <c r="M1600" s="1270">
        <v>12</v>
      </c>
      <c r="N1600" s="399">
        <v>0</v>
      </c>
      <c r="O1600" s="102">
        <f t="shared" si="259"/>
        <v>0</v>
      </c>
      <c r="P1600" s="101">
        <f t="shared" si="260"/>
        <v>0</v>
      </c>
      <c r="Q1600" s="1472">
        <v>12</v>
      </c>
    </row>
    <row r="1601" spans="1:17">
      <c r="A1601" s="1482"/>
      <c r="B1601" s="1482"/>
      <c r="C1601" s="1555">
        <f t="shared" si="258"/>
        <v>3</v>
      </c>
      <c r="D1601" s="1492">
        <f t="shared" si="257"/>
        <v>2</v>
      </c>
      <c r="E1601" s="1492"/>
      <c r="F1601" s="1484" t="s">
        <v>11724</v>
      </c>
      <c r="G1601" s="969"/>
      <c r="H1601" s="1095" t="s">
        <v>11722</v>
      </c>
      <c r="I1601" s="780" t="s">
        <v>13195</v>
      </c>
      <c r="J1601" s="834"/>
      <c r="K1601" s="790" t="str">
        <f>(IF(H1601="Saneago",VLOOKUP(I1601,'SANEAGO-FEV.2016'!A:B,2,0),IF(H1601="Sinapi",VLOOKUP(I1601,'SINAPI-FEV.2017'!A:D,2,0),IF(H1601="Cotação",VLOOKUP(I1601,COTAÇÃO!A:D,2,0),IF(H1601="Composição",VLOOKUP(I1601,COMPOSIÇÃO!A:D,2,0))))))</f>
        <v>Junta Gibault em RPVC conforme a norma NBR 15.536-3, DN150</v>
      </c>
      <c r="L1601" s="780" t="s">
        <v>1270</v>
      </c>
      <c r="M1601" s="1270">
        <v>4</v>
      </c>
      <c r="N1601" s="399">
        <v>0</v>
      </c>
      <c r="O1601" s="102">
        <f t="shared" si="259"/>
        <v>0</v>
      </c>
      <c r="P1601" s="101">
        <f t="shared" si="260"/>
        <v>0</v>
      </c>
      <c r="Q1601" s="1472">
        <v>4</v>
      </c>
    </row>
    <row r="1602" spans="1:17">
      <c r="A1602" s="1482"/>
      <c r="B1602" s="1482"/>
      <c r="C1602" s="1555">
        <f t="shared" si="258"/>
        <v>3</v>
      </c>
      <c r="D1602" s="1492">
        <f t="shared" si="257"/>
        <v>2</v>
      </c>
      <c r="E1602" s="1492"/>
      <c r="F1602" s="1484" t="s">
        <v>11724</v>
      </c>
      <c r="G1602" s="969"/>
      <c r="H1602" s="1095" t="s">
        <v>11722</v>
      </c>
      <c r="I1602" s="780" t="s">
        <v>12730</v>
      </c>
      <c r="J1602" s="834"/>
      <c r="K1602" s="790" t="str">
        <f>(IF(H1602="Saneago",VLOOKUP(I1602,'SANEAGO-FEV.2016'!A:B,2,0),IF(H1602="Sinapi",VLOOKUP(I1602,'SINAPI-FEV.2017'!A:D,2,0),IF(H1602="Cotação",VLOOKUP(I1602,COTAÇÃO!A:D,2,0),IF(H1602="Composição",VLOOKUP(I1602,COMPOSIÇÃO!A:D,2,0))))))</f>
        <v>Luva em aço inox, AISI 304, classe 3000 libras, DN2"</v>
      </c>
      <c r="L1602" s="780" t="s">
        <v>1270</v>
      </c>
      <c r="M1602" s="1270">
        <v>24</v>
      </c>
      <c r="N1602" s="399">
        <v>0</v>
      </c>
      <c r="O1602" s="102">
        <f t="shared" si="259"/>
        <v>0</v>
      </c>
      <c r="P1602" s="101">
        <f t="shared" si="260"/>
        <v>0</v>
      </c>
      <c r="Q1602" s="1472">
        <v>24</v>
      </c>
    </row>
    <row r="1603" spans="1:17">
      <c r="A1603" s="1482"/>
      <c r="B1603" s="1482"/>
      <c r="C1603" s="1555">
        <f t="shared" si="258"/>
        <v>3</v>
      </c>
      <c r="D1603" s="1492">
        <f t="shared" si="257"/>
        <v>2</v>
      </c>
      <c r="E1603" s="1492"/>
      <c r="F1603" s="1484" t="s">
        <v>11724</v>
      </c>
      <c r="G1603" s="969"/>
      <c r="H1603" s="1095" t="s">
        <v>11722</v>
      </c>
      <c r="I1603" s="780" t="s">
        <v>12903</v>
      </c>
      <c r="J1603" s="834"/>
      <c r="K1603" s="790" t="str">
        <f>(IF(H1603="Saneago",VLOOKUP(I1603,'SANEAGO-FEV.2016'!A:B,2,0),IF(H1603="Sinapi",VLOOKUP(I1603,'SINAPI-FEV.2017'!A:D,2,0),IF(H1603="Cotação",VLOOKUP(I1603,COTAÇÃO!A:D,2,0),IF(H1603="Composição",VLOOKUP(I1603,COMPOSIÇÃO!A:D,2,0))))))</f>
        <v>Luva em FºFº, com bolsas,  JGS, DN150</v>
      </c>
      <c r="L1603" s="780" t="s">
        <v>1270</v>
      </c>
      <c r="M1603" s="1270">
        <v>96</v>
      </c>
      <c r="N1603" s="399">
        <v>0</v>
      </c>
      <c r="O1603" s="102">
        <f t="shared" si="259"/>
        <v>0</v>
      </c>
      <c r="P1603" s="101">
        <f t="shared" si="260"/>
        <v>0</v>
      </c>
      <c r="Q1603" s="1472">
        <v>96</v>
      </c>
    </row>
    <row r="1604" spans="1:17">
      <c r="A1604" s="1482"/>
      <c r="B1604" s="1482"/>
      <c r="C1604" s="1555">
        <f t="shared" si="258"/>
        <v>3</v>
      </c>
      <c r="D1604" s="1492">
        <f t="shared" si="257"/>
        <v>2</v>
      </c>
      <c r="E1604" s="1492"/>
      <c r="F1604" s="1484" t="s">
        <v>11724</v>
      </c>
      <c r="G1604" s="969"/>
      <c r="H1604" s="1095" t="s">
        <v>70</v>
      </c>
      <c r="I1604" s="780">
        <v>3863</v>
      </c>
      <c r="J1604" s="834"/>
      <c r="K1604" s="790" t="str">
        <f>(IF(H1604="Saneago",VLOOKUP(I1604,'SANEAGO-FEV.2016'!A:B,2,0),IF(H1604="Sinapi",VLOOKUP(I1604,'SINAPI-FEV.2017'!A:D,2,0),IF(H1604="Cotação",VLOOKUP(I1604,COTAÇÃO!A:D,2,0),IF(H1604="Composição",VLOOKUP(I1604,COMPOSIÇÃO!A:D,2,0))))))</f>
        <v>LUVA PVC SOLDAVEL, 50 MM, PARA AGUA FRIA PREDIAL</v>
      </c>
      <c r="L1604" s="780" t="s">
        <v>1270</v>
      </c>
      <c r="M1604" s="1270">
        <v>24</v>
      </c>
      <c r="N1604" s="399">
        <v>0</v>
      </c>
      <c r="O1604" s="102">
        <f t="shared" si="259"/>
        <v>0</v>
      </c>
      <c r="P1604" s="101">
        <f t="shared" si="260"/>
        <v>0</v>
      </c>
      <c r="Q1604" s="1472">
        <v>24</v>
      </c>
    </row>
    <row r="1605" spans="1:17">
      <c r="A1605" s="1482"/>
      <c r="B1605" s="1482"/>
      <c r="C1605" s="1555">
        <f t="shared" si="258"/>
        <v>3</v>
      </c>
      <c r="D1605" s="1492">
        <f t="shared" si="257"/>
        <v>2</v>
      </c>
      <c r="E1605" s="1492"/>
      <c r="F1605" s="1484" t="s">
        <v>11724</v>
      </c>
      <c r="G1605" s="969"/>
      <c r="H1605" s="1095" t="s">
        <v>11722</v>
      </c>
      <c r="I1605" s="780" t="s">
        <v>13197</v>
      </c>
      <c r="J1605" s="834"/>
      <c r="K1605" s="790" t="str">
        <f>(IF(H1605="Saneago",VLOOKUP(I1605,'SANEAGO-FEV.2016'!A:B,2,0),IF(H1605="Sinapi",VLOOKUP(I1605,'SINAPI-FEV.2017'!A:D,2,0),IF(H1605="Cotação",VLOOKUP(I1605,COTAÇÃO!A:D,2,0),IF(H1605="Composição",VLOOKUP(I1605,COMPOSIÇÃO!A:D,2,0))))))</f>
        <v>Luva em RPVC conforme a norma NBR 15.536-3, DN150</v>
      </c>
      <c r="L1605" s="780" t="s">
        <v>1270</v>
      </c>
      <c r="M1605" s="1270">
        <v>4</v>
      </c>
      <c r="N1605" s="399">
        <v>0</v>
      </c>
      <c r="O1605" s="102">
        <f t="shared" si="259"/>
        <v>0</v>
      </c>
      <c r="P1605" s="101">
        <f t="shared" si="260"/>
        <v>0</v>
      </c>
      <c r="Q1605" s="1472">
        <v>4</v>
      </c>
    </row>
    <row r="1606" spans="1:17">
      <c r="A1606" s="1482"/>
      <c r="B1606" s="1482"/>
      <c r="C1606" s="1555">
        <f t="shared" si="258"/>
        <v>3</v>
      </c>
      <c r="D1606" s="1492">
        <f t="shared" si="257"/>
        <v>2</v>
      </c>
      <c r="E1606" s="1492"/>
      <c r="F1606" s="1484" t="s">
        <v>11724</v>
      </c>
      <c r="G1606" s="969"/>
      <c r="H1606" s="1095" t="s">
        <v>11722</v>
      </c>
      <c r="I1606" s="780" t="s">
        <v>12732</v>
      </c>
      <c r="J1606" s="834"/>
      <c r="K1606" s="790" t="str">
        <f>(IF(H1606="Saneago",VLOOKUP(I1606,'SANEAGO-FEV.2016'!A:B,2,0),IF(H1606="Sinapi",VLOOKUP(I1606,'SINAPI-FEV.2017'!A:D,2,0),IF(H1606="Cotação",VLOOKUP(I1606,COTAÇÃO!A:D,2,0),IF(H1606="Composição",VLOOKUP(I1606,COMPOSIÇÃO!A:D,2,0))))))</f>
        <v>Luva roscável em aço inox, AISI 304, classe 3000 libras, DN1"</v>
      </c>
      <c r="L1606" s="780" t="s">
        <v>1270</v>
      </c>
      <c r="M1606" s="1270">
        <v>24</v>
      </c>
      <c r="N1606" s="399">
        <v>0</v>
      </c>
      <c r="O1606" s="102">
        <f t="shared" si="259"/>
        <v>0</v>
      </c>
      <c r="P1606" s="101">
        <f t="shared" si="260"/>
        <v>0</v>
      </c>
      <c r="Q1606" s="1472">
        <v>24</v>
      </c>
    </row>
    <row r="1607" spans="1:17">
      <c r="A1607" s="1482"/>
      <c r="B1607" s="1482"/>
      <c r="C1607" s="1555">
        <f t="shared" si="258"/>
        <v>3</v>
      </c>
      <c r="D1607" s="1492">
        <f t="shared" si="257"/>
        <v>2</v>
      </c>
      <c r="E1607" s="1492"/>
      <c r="F1607" s="1484" t="s">
        <v>11724</v>
      </c>
      <c r="G1607" s="969"/>
      <c r="H1607" s="1095" t="s">
        <v>11722</v>
      </c>
      <c r="I1607" s="780" t="s">
        <v>12734</v>
      </c>
      <c r="J1607" s="834"/>
      <c r="K1607" s="790" t="str">
        <f>(IF(H1607="Saneago",VLOOKUP(I1607,'SANEAGO-FEV.2016'!A:B,2,0),IF(H1607="Sinapi",VLOOKUP(I1607,'SINAPI-FEV.2017'!A:D,2,0),IF(H1607="Cotação",VLOOKUP(I1607,COTAÇÃO!A:D,2,0),IF(H1607="Composição",VLOOKUP(I1607,COMPOSIÇÃO!A:D,2,0))))))</f>
        <v>Luva roscável em aço inox, AISI 304, classe 3000 libras, DN3/4"</v>
      </c>
      <c r="L1607" s="780" t="s">
        <v>1270</v>
      </c>
      <c r="M1607" s="1270">
        <v>320</v>
      </c>
      <c r="N1607" s="399">
        <v>0</v>
      </c>
      <c r="O1607" s="102">
        <f t="shared" si="259"/>
        <v>0</v>
      </c>
      <c r="P1607" s="101">
        <f t="shared" si="260"/>
        <v>0</v>
      </c>
      <c r="Q1607" s="1472">
        <v>320</v>
      </c>
    </row>
    <row r="1608" spans="1:17">
      <c r="A1608" s="1482"/>
      <c r="B1608" s="1482"/>
      <c r="C1608" s="1555">
        <f t="shared" si="258"/>
        <v>3</v>
      </c>
      <c r="D1608" s="1492">
        <f t="shared" ref="D1608:D1669" si="261">D1607+B1608</f>
        <v>2</v>
      </c>
      <c r="E1608" s="1492"/>
      <c r="F1608" s="1484" t="s">
        <v>11724</v>
      </c>
      <c r="G1608" s="969"/>
      <c r="H1608" s="1095" t="s">
        <v>11722</v>
      </c>
      <c r="I1608" s="780" t="s">
        <v>12736</v>
      </c>
      <c r="J1608" s="834"/>
      <c r="K1608" s="790" t="str">
        <f>(IF(H1608="Saneago",VLOOKUP(I1608,'SANEAGO-FEV.2016'!A:B,2,0),IF(H1608="Sinapi",VLOOKUP(I1608,'SINAPI-FEV.2017'!A:D,2,0),IF(H1608="Cotação",VLOOKUP(I1608,COTAÇÃO!A:D,2,0),IF(H1608="Composição",VLOOKUP(I1608,COMPOSIÇÃO!A:D,2,0))))))</f>
        <v>Niple duplo em aço inox, AISI 304, classe 3000 libras, DN3"</v>
      </c>
      <c r="L1608" s="780" t="s">
        <v>1270</v>
      </c>
      <c r="M1608" s="1270">
        <v>2</v>
      </c>
      <c r="N1608" s="399">
        <v>0</v>
      </c>
      <c r="O1608" s="102">
        <f t="shared" si="259"/>
        <v>0</v>
      </c>
      <c r="P1608" s="101">
        <f t="shared" si="260"/>
        <v>0</v>
      </c>
      <c r="Q1608" s="1472">
        <v>2</v>
      </c>
    </row>
    <row r="1609" spans="1:17">
      <c r="A1609" s="1482"/>
      <c r="B1609" s="1482"/>
      <c r="C1609" s="1555">
        <f t="shared" si="258"/>
        <v>3</v>
      </c>
      <c r="D1609" s="1492">
        <f t="shared" si="261"/>
        <v>2</v>
      </c>
      <c r="E1609" s="1492"/>
      <c r="F1609" s="1484" t="s">
        <v>11724</v>
      </c>
      <c r="G1609" s="969"/>
      <c r="H1609" s="1095" t="s">
        <v>11722</v>
      </c>
      <c r="I1609" s="780" t="s">
        <v>12738</v>
      </c>
      <c r="J1609" s="834"/>
      <c r="K1609" s="790" t="str">
        <f>(IF(H1609="Saneago",VLOOKUP(I1609,'SANEAGO-FEV.2016'!A:B,2,0),IF(H1609="Sinapi",VLOOKUP(I1609,'SINAPI-FEV.2017'!A:D,2,0),IF(H1609="Cotação",VLOOKUP(I1609,COTAÇÃO!A:D,2,0),IF(H1609="Composição",VLOOKUP(I1609,COMPOSIÇÃO!A:D,2,0))))))</f>
        <v>Niple duplo em aço inox, AISI 304, classe 3000 libras, DN3/4"</v>
      </c>
      <c r="L1609" s="780" t="s">
        <v>1270</v>
      </c>
      <c r="M1609" s="1270">
        <v>320</v>
      </c>
      <c r="N1609" s="399">
        <v>0</v>
      </c>
      <c r="O1609" s="102">
        <f t="shared" si="259"/>
        <v>0</v>
      </c>
      <c r="P1609" s="101">
        <f t="shared" si="260"/>
        <v>0</v>
      </c>
      <c r="Q1609" s="1472">
        <v>320</v>
      </c>
    </row>
    <row r="1610" spans="1:17">
      <c r="A1610" s="1482"/>
      <c r="B1610" s="1482"/>
      <c r="C1610" s="1555">
        <f t="shared" si="258"/>
        <v>3</v>
      </c>
      <c r="D1610" s="1492">
        <f t="shared" si="261"/>
        <v>2</v>
      </c>
      <c r="E1610" s="1492"/>
      <c r="F1610" s="1484" t="s">
        <v>11724</v>
      </c>
      <c r="G1610" s="969"/>
      <c r="H1610" s="1095" t="s">
        <v>70</v>
      </c>
      <c r="I1610" s="780">
        <v>4181</v>
      </c>
      <c r="J1610" s="834"/>
      <c r="K1610" s="790" t="str">
        <f>(IF(H1610="Saneago",VLOOKUP(I1610,'SANEAGO-FEV.2016'!A:B,2,0),IF(H1610="Sinapi",VLOOKUP(I1610,'SINAPI-FEV.2017'!A:D,2,0),IF(H1610="Cotação",VLOOKUP(I1610,COTAÇÃO!A:D,2,0),IF(H1610="Composição",VLOOKUP(I1610,COMPOSIÇÃO!A:D,2,0))))))</f>
        <v>NIPLE DE FERRO GALVANIZADO, COM ROSCA BSP, DE 2"</v>
      </c>
      <c r="L1610" s="780" t="s">
        <v>1270</v>
      </c>
      <c r="M1610" s="1270">
        <v>8</v>
      </c>
      <c r="N1610" s="399">
        <v>0</v>
      </c>
      <c r="O1610" s="102">
        <f t="shared" si="259"/>
        <v>0</v>
      </c>
      <c r="P1610" s="101">
        <f t="shared" si="260"/>
        <v>0</v>
      </c>
      <c r="Q1610" s="1472">
        <v>8</v>
      </c>
    </row>
    <row r="1611" spans="1:17">
      <c r="A1611" s="1482"/>
      <c r="B1611" s="1482"/>
      <c r="C1611" s="1555">
        <f t="shared" si="258"/>
        <v>3</v>
      </c>
      <c r="D1611" s="1492">
        <f t="shared" si="261"/>
        <v>2</v>
      </c>
      <c r="E1611" s="1492"/>
      <c r="F1611" s="1484" t="s">
        <v>11724</v>
      </c>
      <c r="G1611" s="969"/>
      <c r="H1611" s="1095" t="s">
        <v>70</v>
      </c>
      <c r="I1611" s="780">
        <v>4179</v>
      </c>
      <c r="J1611" s="834"/>
      <c r="K1611" s="790" t="str">
        <f>(IF(H1611="Saneago",VLOOKUP(I1611,'SANEAGO-FEV.2016'!A:B,2,0),IF(H1611="Sinapi",VLOOKUP(I1611,'SINAPI-FEV.2017'!A:D,2,0),IF(H1611="Cotação",VLOOKUP(I1611,COTAÇÃO!A:D,2,0),IF(H1611="Composição",VLOOKUP(I1611,COMPOSIÇÃO!A:D,2,0))))))</f>
        <v>NIPLE DE FERRO GALVANIZADO, COM ROSCA BSP, DE 1"</v>
      </c>
      <c r="L1611" s="780" t="s">
        <v>1270</v>
      </c>
      <c r="M1611" s="1270">
        <v>96</v>
      </c>
      <c r="N1611" s="399">
        <v>0</v>
      </c>
      <c r="O1611" s="102">
        <f t="shared" si="259"/>
        <v>0</v>
      </c>
      <c r="P1611" s="101">
        <f t="shared" si="260"/>
        <v>0</v>
      </c>
      <c r="Q1611" s="1472">
        <v>96</v>
      </c>
    </row>
    <row r="1612" spans="1:17" ht="22.5">
      <c r="A1612" s="1482"/>
      <c r="B1612" s="1482"/>
      <c r="C1612" s="1555">
        <f t="shared" si="258"/>
        <v>3</v>
      </c>
      <c r="D1612" s="1492">
        <f t="shared" si="261"/>
        <v>2</v>
      </c>
      <c r="E1612" s="1492"/>
      <c r="F1612" s="1484" t="s">
        <v>11724</v>
      </c>
      <c r="G1612" s="969"/>
      <c r="H1612" s="1095" t="s">
        <v>70</v>
      </c>
      <c r="I1612" s="780">
        <v>92344</v>
      </c>
      <c r="J1612" s="834"/>
      <c r="K1612" s="790" t="str">
        <f>(IF(H1612="Saneago",VLOOKUP(I1612,'SANEAGO-FEV.2016'!A:B,2,0),IF(H1612="Sinapi",VLOOKUP(I1612,'SINAPI-FEV.2017'!A:D,2,0),IF(H1612="Cotação",VLOOKUP(I1612,COTAÇÃO!A:D,2,0),IF(H1612="Composição",VLOOKUP(I1612,COMPOSIÇÃO!A:D,2,0))))))</f>
        <v>NIPLE, EM FERRO GALVANIZADO, DN 50 (2"), CONEXÃO ROSQUEADA, INSTALADO EM PRUMADAS - FORNECIMENTO E INSTALAÇÃO. AF_12/2015</v>
      </c>
      <c r="L1612" s="780" t="s">
        <v>1270</v>
      </c>
      <c r="M1612" s="1270">
        <v>24</v>
      </c>
      <c r="N1612" s="399">
        <v>0</v>
      </c>
      <c r="O1612" s="102">
        <f t="shared" si="259"/>
        <v>0</v>
      </c>
      <c r="P1612" s="101">
        <f t="shared" si="260"/>
        <v>0</v>
      </c>
      <c r="Q1612" s="1472">
        <v>24</v>
      </c>
    </row>
    <row r="1613" spans="1:17">
      <c r="A1613" s="1482"/>
      <c r="B1613" s="1482"/>
      <c r="C1613" s="1555">
        <f t="shared" si="258"/>
        <v>3</v>
      </c>
      <c r="D1613" s="1492">
        <f t="shared" si="261"/>
        <v>2</v>
      </c>
      <c r="E1613" s="1492"/>
      <c r="F1613" s="1484" t="s">
        <v>11724</v>
      </c>
      <c r="G1613" s="969"/>
      <c r="H1613" s="1095" t="s">
        <v>11722</v>
      </c>
      <c r="I1613" s="780" t="s">
        <v>12913</v>
      </c>
      <c r="J1613" s="834"/>
      <c r="K1613" s="790" t="str">
        <f>(IF(H1613="Saneago",VLOOKUP(I1613,'SANEAGO-FEV.2016'!A:B,2,0),IF(H1613="Sinapi",VLOOKUP(I1613,'SINAPI-FEV.2017'!A:D,2,0),IF(H1613="Cotação",VLOOKUP(I1613,COTAÇÃO!A:D,2,0),IF(H1613="Composição",VLOOKUP(I1613,COMPOSIÇÃO!A:D,2,0))))))</f>
        <v>Parafusos para flanges, PN-10, DN100 (16x80)</v>
      </c>
      <c r="L1613" s="780" t="s">
        <v>1270</v>
      </c>
      <c r="M1613" s="1270">
        <v>2432</v>
      </c>
      <c r="N1613" s="399">
        <v>0</v>
      </c>
      <c r="O1613" s="102">
        <f t="shared" si="259"/>
        <v>0</v>
      </c>
      <c r="P1613" s="101">
        <f t="shared" si="260"/>
        <v>0</v>
      </c>
      <c r="Q1613" s="1472">
        <v>2432</v>
      </c>
    </row>
    <row r="1614" spans="1:17">
      <c r="A1614" s="1482"/>
      <c r="B1614" s="1482"/>
      <c r="C1614" s="1555">
        <f t="shared" si="258"/>
        <v>3</v>
      </c>
      <c r="D1614" s="1492">
        <f t="shared" si="261"/>
        <v>2</v>
      </c>
      <c r="E1614" s="1492"/>
      <c r="F1614" s="1484" t="s">
        <v>11724</v>
      </c>
      <c r="G1614" s="969"/>
      <c r="H1614" s="1095" t="s">
        <v>11722</v>
      </c>
      <c r="I1614" s="780" t="s">
        <v>12914</v>
      </c>
      <c r="J1614" s="834"/>
      <c r="K1614" s="790" t="str">
        <f>(IF(H1614="Saneago",VLOOKUP(I1614,'SANEAGO-FEV.2016'!A:B,2,0),IF(H1614="Sinapi",VLOOKUP(I1614,'SINAPI-FEV.2017'!A:D,2,0),IF(H1614="Cotação",VLOOKUP(I1614,COTAÇÃO!A:D,2,0),IF(H1614="Composição",VLOOKUP(I1614,COMPOSIÇÃO!A:D,2,0))))))</f>
        <v>Parafusos para flanges, PN-10, DN100 (16x80)</v>
      </c>
      <c r="L1614" s="780" t="s">
        <v>1270</v>
      </c>
      <c r="M1614" s="1270">
        <v>32</v>
      </c>
      <c r="N1614" s="399">
        <v>0</v>
      </c>
      <c r="O1614" s="102">
        <f t="shared" si="259"/>
        <v>0</v>
      </c>
      <c r="P1614" s="101">
        <f t="shared" si="260"/>
        <v>0</v>
      </c>
      <c r="Q1614" s="1472">
        <v>32</v>
      </c>
    </row>
    <row r="1615" spans="1:17">
      <c r="A1615" s="1482"/>
      <c r="B1615" s="1482"/>
      <c r="C1615" s="1555">
        <f t="shared" si="258"/>
        <v>3</v>
      </c>
      <c r="D1615" s="1492">
        <f t="shared" si="261"/>
        <v>2</v>
      </c>
      <c r="E1615" s="1492"/>
      <c r="F1615" s="1484" t="s">
        <v>11724</v>
      </c>
      <c r="G1615" s="969"/>
      <c r="H1615" s="1095" t="s">
        <v>11722</v>
      </c>
      <c r="I1615" s="780" t="s">
        <v>12916</v>
      </c>
      <c r="J1615" s="834"/>
      <c r="K1615" s="790" t="str">
        <f>(IF(H1615="Saneago",VLOOKUP(I1615,'SANEAGO-FEV.2016'!A:B,2,0),IF(H1615="Sinapi",VLOOKUP(I1615,'SINAPI-FEV.2017'!A:D,2,0),IF(H1615="Cotação",VLOOKUP(I1615,COTAÇÃO!A:D,2,0),IF(H1615="Composição",VLOOKUP(I1615,COMPOSIÇÃO!A:D,2,0))))))</f>
        <v>Parafusos para flanges, PN-10, DN150 (20x90)</v>
      </c>
      <c r="L1615" s="780" t="s">
        <v>1270</v>
      </c>
      <c r="M1615" s="1270">
        <v>3360</v>
      </c>
      <c r="N1615" s="399">
        <v>0</v>
      </c>
      <c r="O1615" s="102">
        <f t="shared" si="259"/>
        <v>0</v>
      </c>
      <c r="P1615" s="101">
        <f t="shared" si="260"/>
        <v>0</v>
      </c>
      <c r="Q1615" s="1472">
        <v>3360</v>
      </c>
    </row>
    <row r="1616" spans="1:17">
      <c r="A1616" s="1482"/>
      <c r="B1616" s="1482"/>
      <c r="C1616" s="1555">
        <f t="shared" si="258"/>
        <v>3</v>
      </c>
      <c r="D1616" s="1492">
        <f t="shared" si="261"/>
        <v>2</v>
      </c>
      <c r="E1616" s="1492"/>
      <c r="F1616" s="1484" t="s">
        <v>11724</v>
      </c>
      <c r="G1616" s="969"/>
      <c r="H1616" s="1095" t="s">
        <v>11722</v>
      </c>
      <c r="I1616" s="780" t="s">
        <v>12917</v>
      </c>
      <c r="J1616" s="834"/>
      <c r="K1616" s="790" t="str">
        <f>(IF(H1616="Saneago",VLOOKUP(I1616,'SANEAGO-FEV.2016'!A:B,2,0),IF(H1616="Sinapi",VLOOKUP(I1616,'SINAPI-FEV.2017'!A:D,2,0),IF(H1616="Cotação",VLOOKUP(I1616,COTAÇÃO!A:D,2,0),IF(H1616="Composição",VLOOKUP(I1616,COMPOSIÇÃO!A:D,2,0))))))</f>
        <v>Parafusos para flanges, PN-10, DN2" (16x80)</v>
      </c>
      <c r="L1616" s="780" t="s">
        <v>1270</v>
      </c>
      <c r="M1616" s="1270">
        <v>36</v>
      </c>
      <c r="N1616" s="399">
        <v>0</v>
      </c>
      <c r="O1616" s="102">
        <f t="shared" si="259"/>
        <v>0</v>
      </c>
      <c r="P1616" s="101">
        <f t="shared" si="260"/>
        <v>0</v>
      </c>
      <c r="Q1616" s="1472">
        <v>36</v>
      </c>
    </row>
    <row r="1617" spans="1:17">
      <c r="A1617" s="1482"/>
      <c r="B1617" s="1482"/>
      <c r="C1617" s="1555">
        <f t="shared" si="258"/>
        <v>3</v>
      </c>
      <c r="D1617" s="1492">
        <f t="shared" si="261"/>
        <v>2</v>
      </c>
      <c r="E1617" s="1492"/>
      <c r="F1617" s="1484" t="s">
        <v>11724</v>
      </c>
      <c r="G1617" s="969"/>
      <c r="H1617" s="1095" t="s">
        <v>11722</v>
      </c>
      <c r="I1617" s="780" t="s">
        <v>12919</v>
      </c>
      <c r="J1617" s="834"/>
      <c r="K1617" s="790" t="str">
        <f>(IF(H1617="Saneago",VLOOKUP(I1617,'SANEAGO-FEV.2016'!A:B,2,0),IF(H1617="Sinapi",VLOOKUP(I1617,'SINAPI-FEV.2017'!A:D,2,0),IF(H1617="Cotação",VLOOKUP(I1617,COTAÇÃO!A:D,2,0),IF(H1617="Composição",VLOOKUP(I1617,COMPOSIÇÃO!A:D,2,0))))))</f>
        <v>Parafusos para flanges, PN-10, DN200 (20 x 90)</v>
      </c>
      <c r="L1617" s="780" t="s">
        <v>1270</v>
      </c>
      <c r="M1617" s="1270">
        <v>288</v>
      </c>
      <c r="N1617" s="399">
        <v>0</v>
      </c>
      <c r="O1617" s="102">
        <f t="shared" si="259"/>
        <v>0</v>
      </c>
      <c r="P1617" s="101">
        <f t="shared" si="260"/>
        <v>0</v>
      </c>
      <c r="Q1617" s="1472">
        <v>288</v>
      </c>
    </row>
    <row r="1618" spans="1:17">
      <c r="A1618" s="1482"/>
      <c r="B1618" s="1482"/>
      <c r="C1618" s="1555">
        <f t="shared" si="258"/>
        <v>3</v>
      </c>
      <c r="D1618" s="1492">
        <f t="shared" si="261"/>
        <v>2</v>
      </c>
      <c r="E1618" s="1492"/>
      <c r="F1618" s="1484" t="s">
        <v>11724</v>
      </c>
      <c r="G1618" s="969"/>
      <c r="H1618" s="1095" t="s">
        <v>11722</v>
      </c>
      <c r="I1618" s="780" t="s">
        <v>12921</v>
      </c>
      <c r="J1618" s="834"/>
      <c r="K1618" s="790" t="str">
        <f>(IF(H1618="Saneago",VLOOKUP(I1618,'SANEAGO-FEV.2016'!A:B,2,0),IF(H1618="Sinapi",VLOOKUP(I1618,'SINAPI-FEV.2017'!A:D,2,0),IF(H1618="Cotação",VLOOKUP(I1618,COTAÇÃO!A:D,2,0),IF(H1618="Composição",VLOOKUP(I1618,COMPOSIÇÃO!A:D,2,0))))))</f>
        <v>Parafusos para flanges, PN-10, DN250 (20x90)</v>
      </c>
      <c r="L1618" s="780" t="s">
        <v>1270</v>
      </c>
      <c r="M1618" s="1270">
        <v>768</v>
      </c>
      <c r="N1618" s="399">
        <v>0</v>
      </c>
      <c r="O1618" s="102">
        <f t="shared" si="259"/>
        <v>0</v>
      </c>
      <c r="P1618" s="101">
        <f t="shared" si="260"/>
        <v>0</v>
      </c>
      <c r="Q1618" s="1472">
        <v>768</v>
      </c>
    </row>
    <row r="1619" spans="1:17">
      <c r="A1619" s="1482"/>
      <c r="B1619" s="1482"/>
      <c r="C1619" s="1555">
        <f t="shared" si="258"/>
        <v>3</v>
      </c>
      <c r="D1619" s="1492">
        <f t="shared" si="261"/>
        <v>2</v>
      </c>
      <c r="E1619" s="1492"/>
      <c r="F1619" s="1484" t="s">
        <v>11724</v>
      </c>
      <c r="G1619" s="969"/>
      <c r="H1619" s="1095" t="s">
        <v>11722</v>
      </c>
      <c r="I1619" s="780" t="s">
        <v>12923</v>
      </c>
      <c r="J1619" s="834"/>
      <c r="K1619" s="790" t="str">
        <f>(IF(H1619="Saneago",VLOOKUP(I1619,'SANEAGO-FEV.2016'!A:B,2,0),IF(H1619="Sinapi",VLOOKUP(I1619,'SINAPI-FEV.2017'!A:D,2,0),IF(H1619="Cotação",VLOOKUP(I1619,COTAÇÃO!A:D,2,0),IF(H1619="Composição",VLOOKUP(I1619,COMPOSIÇÃO!A:D,2,0))))))</f>
        <v>Parafusos para flanges, PN-10, DN300 (20 x 90)</v>
      </c>
      <c r="L1619" s="780" t="s">
        <v>1270</v>
      </c>
      <c r="M1619" s="1270">
        <v>192</v>
      </c>
      <c r="N1619" s="399">
        <v>0</v>
      </c>
      <c r="O1619" s="102">
        <f t="shared" si="259"/>
        <v>0</v>
      </c>
      <c r="P1619" s="101">
        <f t="shared" si="260"/>
        <v>0</v>
      </c>
      <c r="Q1619" s="1472">
        <v>192</v>
      </c>
    </row>
    <row r="1620" spans="1:17">
      <c r="A1620" s="1482"/>
      <c r="B1620" s="1482"/>
      <c r="C1620" s="1555">
        <f t="shared" si="258"/>
        <v>3</v>
      </c>
      <c r="D1620" s="1492">
        <f t="shared" si="261"/>
        <v>2</v>
      </c>
      <c r="E1620" s="1492"/>
      <c r="F1620" s="1484" t="s">
        <v>11724</v>
      </c>
      <c r="G1620" s="969"/>
      <c r="H1620" s="1095" t="s">
        <v>11722</v>
      </c>
      <c r="I1620" s="780" t="s">
        <v>12927</v>
      </c>
      <c r="J1620" s="834"/>
      <c r="K1620" s="790" t="str">
        <f>(IF(H1620="Saneago",VLOOKUP(I1620,'SANEAGO-FEV.2016'!A:B,2,0),IF(H1620="Sinapi",VLOOKUP(I1620,'SINAPI-FEV.2017'!A:D,2,0),IF(H1620="Cotação",VLOOKUP(I1620,COTAÇÃO!A:D,2,0),IF(H1620="Composição",VLOOKUP(I1620,COMPOSIÇÃO!A:D,2,0))))))</f>
        <v>Parafusos para flanges, PN-10, DN400 (24 x 110)</v>
      </c>
      <c r="L1620" s="780" t="s">
        <v>1270</v>
      </c>
      <c r="M1620" s="1270">
        <v>96</v>
      </c>
      <c r="N1620" s="399">
        <v>0</v>
      </c>
      <c r="O1620" s="102">
        <f t="shared" si="259"/>
        <v>0</v>
      </c>
      <c r="P1620" s="101">
        <f t="shared" si="260"/>
        <v>0</v>
      </c>
      <c r="Q1620" s="1472">
        <v>96</v>
      </c>
    </row>
    <row r="1621" spans="1:17">
      <c r="A1621" s="1482"/>
      <c r="B1621" s="1482"/>
      <c r="C1621" s="1555">
        <f t="shared" si="258"/>
        <v>3</v>
      </c>
      <c r="D1621" s="1492">
        <f t="shared" si="261"/>
        <v>2</v>
      </c>
      <c r="E1621" s="1492"/>
      <c r="F1621" s="1484" t="s">
        <v>11724</v>
      </c>
      <c r="G1621" s="969"/>
      <c r="H1621" s="1095" t="s">
        <v>11722</v>
      </c>
      <c r="I1621" s="780" t="s">
        <v>12934</v>
      </c>
      <c r="J1621" s="834"/>
      <c r="K1621" s="790" t="str">
        <f>(IF(H1621="Saneago",VLOOKUP(I1621,'SANEAGO-FEV.2016'!A:B,2,0),IF(H1621="Sinapi",VLOOKUP(I1621,'SINAPI-FEV.2017'!A:D,2,0),IF(H1621="Cotação",VLOOKUP(I1621,COTAÇÃO!A:D,2,0),IF(H1621="Composição",VLOOKUP(I1621,COMPOSIÇÃO!A:D,2,0))))))</f>
        <v>Parafusos para flanges, PN-10, DN800 (30x140)</v>
      </c>
      <c r="L1621" s="780" t="s">
        <v>1270</v>
      </c>
      <c r="M1621" s="1270">
        <v>192</v>
      </c>
      <c r="N1621" s="399">
        <v>0</v>
      </c>
      <c r="O1621" s="102">
        <f t="shared" si="259"/>
        <v>0</v>
      </c>
      <c r="P1621" s="101">
        <f t="shared" si="260"/>
        <v>0</v>
      </c>
      <c r="Q1621" s="1472">
        <v>192</v>
      </c>
    </row>
    <row r="1622" spans="1:17">
      <c r="A1622" s="1482"/>
      <c r="B1622" s="1482"/>
      <c r="C1622" s="1555">
        <f t="shared" si="258"/>
        <v>3</v>
      </c>
      <c r="D1622" s="1492">
        <f t="shared" si="261"/>
        <v>2</v>
      </c>
      <c r="E1622" s="1492"/>
      <c r="F1622" s="1484" t="s">
        <v>11724</v>
      </c>
      <c r="G1622" s="969"/>
      <c r="H1622" s="1095" t="s">
        <v>11722</v>
      </c>
      <c r="I1622" s="780" t="s">
        <v>12936</v>
      </c>
      <c r="J1622" s="834"/>
      <c r="K1622" s="790" t="str">
        <f>(IF(H1622="Saneago",VLOOKUP(I1622,'SANEAGO-FEV.2016'!A:B,2,0),IF(H1622="Sinapi",VLOOKUP(I1622,'SINAPI-FEV.2017'!A:D,2,0),IF(H1622="Cotação",VLOOKUP(I1622,COTAÇÃO!A:D,2,0),IF(H1622="Composição",VLOOKUP(I1622,COMPOSIÇÃO!A:D,2,0))))))</f>
        <v>Redução com flanges em FºFº, com bolsas,  DN400 x DN300</v>
      </c>
      <c r="L1622" s="780" t="s">
        <v>1270</v>
      </c>
      <c r="M1622" s="1270">
        <v>2</v>
      </c>
      <c r="N1622" s="399">
        <v>0</v>
      </c>
      <c r="O1622" s="102">
        <f t="shared" si="259"/>
        <v>0</v>
      </c>
      <c r="P1622" s="101">
        <f t="shared" si="260"/>
        <v>0</v>
      </c>
      <c r="Q1622" s="1472">
        <v>2</v>
      </c>
    </row>
    <row r="1623" spans="1:17">
      <c r="A1623" s="1482"/>
      <c r="B1623" s="1482"/>
      <c r="C1623" s="1555">
        <f t="shared" si="258"/>
        <v>3</v>
      </c>
      <c r="D1623" s="1492">
        <f t="shared" si="261"/>
        <v>2</v>
      </c>
      <c r="E1623" s="1492"/>
      <c r="F1623" s="1484" t="s">
        <v>11724</v>
      </c>
      <c r="G1623" s="969"/>
      <c r="H1623" s="1095" t="s">
        <v>11722</v>
      </c>
      <c r="I1623" s="780" t="s">
        <v>12740</v>
      </c>
      <c r="J1623" s="834"/>
      <c r="K1623" s="790" t="str">
        <f>(IF(H1623="Saneago",VLOOKUP(I1623,'SANEAGO-FEV.2016'!A:B,2,0),IF(H1623="Sinapi",VLOOKUP(I1623,'SINAPI-FEV.2017'!A:D,2,0),IF(H1623="Cotação",VLOOKUP(I1623,COTAÇÃO!A:D,2,0),IF(H1623="Composição",VLOOKUP(I1623,COMPOSIÇÃO!A:D,2,0))))))</f>
        <v>Redução concentrica em aço inox, AISI 304, classe 3000 libras, DN3" x DN2"</v>
      </c>
      <c r="L1623" s="780" t="s">
        <v>1270</v>
      </c>
      <c r="M1623" s="1270">
        <v>1</v>
      </c>
      <c r="N1623" s="399">
        <v>0</v>
      </c>
      <c r="O1623" s="102">
        <f t="shared" si="259"/>
        <v>0</v>
      </c>
      <c r="P1623" s="101">
        <f t="shared" si="260"/>
        <v>0</v>
      </c>
      <c r="Q1623" s="1472">
        <v>1</v>
      </c>
    </row>
    <row r="1624" spans="1:17">
      <c r="A1624" s="1482"/>
      <c r="B1624" s="1482"/>
      <c r="C1624" s="1555">
        <f t="shared" si="258"/>
        <v>3</v>
      </c>
      <c r="D1624" s="1492">
        <f t="shared" si="261"/>
        <v>2</v>
      </c>
      <c r="E1624" s="1492"/>
      <c r="F1624" s="1484" t="s">
        <v>11724</v>
      </c>
      <c r="G1624" s="969"/>
      <c r="H1624" s="1095" t="s">
        <v>11722</v>
      </c>
      <c r="I1624" s="780" t="s">
        <v>13110</v>
      </c>
      <c r="J1624" s="834"/>
      <c r="K1624" s="790" t="str">
        <f>(IF(H1624="Saneago",VLOOKUP(I1624,'SANEAGO-FEV.2016'!A:B,2,0),IF(H1624="Sinapi",VLOOKUP(I1624,'SINAPI-FEV.2017'!A:D,2,0),IF(H1624="Cotação",VLOOKUP(I1624,COTAÇÃO!A:D,2,0),IF(H1624="Composição",VLOOKUP(I1624,COMPOSIÇÃO!A:D,2,0))))))</f>
        <v>Registro com bolsas, volante e cunha de borracha, PN-10, DN150</v>
      </c>
      <c r="L1624" s="780" t="s">
        <v>1270</v>
      </c>
      <c r="M1624" s="1270">
        <v>4</v>
      </c>
      <c r="N1624" s="399">
        <v>0</v>
      </c>
      <c r="O1624" s="102">
        <f t="shared" si="259"/>
        <v>0</v>
      </c>
      <c r="P1624" s="101">
        <f t="shared" si="260"/>
        <v>0</v>
      </c>
      <c r="Q1624" s="1472">
        <v>4</v>
      </c>
    </row>
    <row r="1625" spans="1:17">
      <c r="A1625" s="1482"/>
      <c r="B1625" s="1482"/>
      <c r="C1625" s="1555">
        <f t="shared" si="258"/>
        <v>3</v>
      </c>
      <c r="D1625" s="1492">
        <f t="shared" si="261"/>
        <v>2</v>
      </c>
      <c r="E1625" s="1492"/>
      <c r="F1625" s="1484" t="s">
        <v>11724</v>
      </c>
      <c r="G1625" s="969"/>
      <c r="H1625" s="1095" t="s">
        <v>11722</v>
      </c>
      <c r="I1625" s="780" t="s">
        <v>13116</v>
      </c>
      <c r="J1625" s="834"/>
      <c r="K1625" s="1575" t="str">
        <f>(IF(H1625="Saneago",VLOOKUP(I1625,'SANEAGO-FEV.2016'!A:B,2,0),IF(H1625="Sinapi",VLOOKUP(I1625,'SINAPI-FEV.2017'!A:D,2,0),IF(H1625="Cotação",VLOOKUP(I1625,COTAÇÃO!A:D,2,0),IF(H1625="Composição",VLOOKUP(I1625,COMPOSIÇÃO!A:D,2,0))))))</f>
        <v>Registro com flanges, cunha de borracha e cabeçote, PN-10, DN150</v>
      </c>
      <c r="L1625" s="1224" t="s">
        <v>1270</v>
      </c>
      <c r="M1625" s="1576">
        <v>4</v>
      </c>
      <c r="N1625" s="399">
        <v>0</v>
      </c>
      <c r="O1625" s="102">
        <f t="shared" si="259"/>
        <v>0</v>
      </c>
      <c r="P1625" s="101">
        <f t="shared" si="260"/>
        <v>0</v>
      </c>
      <c r="Q1625" s="1472">
        <v>4</v>
      </c>
    </row>
    <row r="1626" spans="1:17">
      <c r="A1626" s="1482"/>
      <c r="B1626" s="1482"/>
      <c r="C1626" s="1555">
        <f t="shared" si="258"/>
        <v>3</v>
      </c>
      <c r="D1626" s="1492">
        <f t="shared" si="261"/>
        <v>2</v>
      </c>
      <c r="E1626" s="1492"/>
      <c r="F1626" s="1484" t="s">
        <v>11724</v>
      </c>
      <c r="G1626" s="969"/>
      <c r="H1626" s="1095" t="s">
        <v>11722</v>
      </c>
      <c r="I1626" s="780" t="s">
        <v>14477</v>
      </c>
      <c r="J1626" s="834"/>
      <c r="K1626" s="790" t="str">
        <f>(IF(H1626="Saneago",VLOOKUP(I1626,'SANEAGO-FEV.2016'!A:B,2,0),IF(H1626="Sinapi",VLOOKUP(I1626,'SINAPI-FEV.2017'!A:D,2,0),IF(H1626="Cotação",VLOOKUP(I1626,COTAÇÃO!A:D,2,0),IF(H1626="Composição",VLOOKUP(I1626,COMPOSIÇÃO!A:D,2,0))))))</f>
        <v>Registro de esfera VS, em PVC/roscável, DN3/4"</v>
      </c>
      <c r="L1626" s="780" t="s">
        <v>10854</v>
      </c>
      <c r="M1626" s="1270">
        <v>1</v>
      </c>
      <c r="N1626" s="399">
        <v>0</v>
      </c>
      <c r="O1626" s="102">
        <f t="shared" si="259"/>
        <v>0</v>
      </c>
      <c r="P1626" s="101">
        <f t="shared" si="260"/>
        <v>0</v>
      </c>
      <c r="Q1626" s="1472">
        <v>1</v>
      </c>
    </row>
    <row r="1627" spans="1:17">
      <c r="A1627" s="1482"/>
      <c r="B1627" s="1482"/>
      <c r="C1627" s="1555">
        <f t="shared" si="258"/>
        <v>3</v>
      </c>
      <c r="D1627" s="1492">
        <f t="shared" si="261"/>
        <v>2</v>
      </c>
      <c r="E1627" s="1492"/>
      <c r="F1627" s="1484" t="s">
        <v>11724</v>
      </c>
      <c r="G1627" s="969"/>
      <c r="H1627" s="1095" t="s">
        <v>11722</v>
      </c>
      <c r="I1627" s="780" t="s">
        <v>14478</v>
      </c>
      <c r="J1627" s="834"/>
      <c r="K1627" s="790" t="str">
        <f>(IF(H1627="Saneago",VLOOKUP(I1627,'SANEAGO-FEV.2016'!A:B,2,0),IF(H1627="Sinapi",VLOOKUP(I1627,'SINAPI-FEV.2017'!A:D,2,0),IF(H1627="Cotação",VLOOKUP(I1627,COTAÇÃO!A:D,2,0),IF(H1627="Composição",VLOOKUP(I1627,COMPOSIÇÃO!A:D,2,0))))))</f>
        <v>Registro de esfera, DN1"</v>
      </c>
      <c r="L1627" s="780" t="s">
        <v>1270</v>
      </c>
      <c r="M1627" s="1270">
        <v>144</v>
      </c>
      <c r="N1627" s="399">
        <v>0</v>
      </c>
      <c r="O1627" s="102">
        <f t="shared" si="259"/>
        <v>0</v>
      </c>
      <c r="P1627" s="101">
        <f t="shared" si="260"/>
        <v>0</v>
      </c>
      <c r="Q1627" s="1472">
        <v>144</v>
      </c>
    </row>
    <row r="1628" spans="1:17">
      <c r="A1628" s="1482"/>
      <c r="B1628" s="1482"/>
      <c r="C1628" s="1555">
        <f t="shared" si="258"/>
        <v>3</v>
      </c>
      <c r="D1628" s="1492">
        <f>D1627+B1628</f>
        <v>2</v>
      </c>
      <c r="E1628" s="1492"/>
      <c r="F1628" s="1484" t="s">
        <v>11724</v>
      </c>
      <c r="G1628" s="969"/>
      <c r="H1628" s="1095" t="s">
        <v>11722</v>
      </c>
      <c r="I1628" s="780" t="s">
        <v>13127</v>
      </c>
      <c r="J1628" s="834"/>
      <c r="K1628" s="790" t="str">
        <f>(IF(H1628="Saneago",VLOOKUP(I1628,'SANEAGO-FEV.2016'!A:B,2,0),IF(H1628="Sinapi",VLOOKUP(I1628,'SINAPI-FEV.2017'!A:D,2,0),IF(H1628="Cotação",VLOOKUP(I1628,COTAÇÃO!A:D,2,0),IF(H1628="Composição",VLOOKUP(I1628,COMPOSIÇÃO!A:D,2,0))))))</f>
        <v>Registro de esfera, DN2"</v>
      </c>
      <c r="L1628" s="780" t="s">
        <v>1270</v>
      </c>
      <c r="M1628" s="1270">
        <v>24</v>
      </c>
      <c r="N1628" s="399">
        <v>0</v>
      </c>
      <c r="O1628" s="102">
        <f t="shared" si="259"/>
        <v>0</v>
      </c>
      <c r="P1628" s="101">
        <f t="shared" si="260"/>
        <v>0</v>
      </c>
      <c r="Q1628" s="1472">
        <v>24</v>
      </c>
    </row>
    <row r="1629" spans="1:17">
      <c r="A1629" s="1482"/>
      <c r="B1629" s="1482"/>
      <c r="C1629" s="1555">
        <f t="shared" si="258"/>
        <v>3</v>
      </c>
      <c r="D1629" s="1492">
        <f t="shared" si="261"/>
        <v>2</v>
      </c>
      <c r="E1629" s="1492"/>
      <c r="F1629" s="1484" t="s">
        <v>11724</v>
      </c>
      <c r="G1629" s="969"/>
      <c r="H1629" s="1095" t="s">
        <v>11722</v>
      </c>
      <c r="I1629" s="780" t="s">
        <v>13122</v>
      </c>
      <c r="J1629" s="834"/>
      <c r="K1629" s="790" t="str">
        <f>(IF(H1629="Saneago",VLOOKUP(I1629,'SANEAGO-FEV.2016'!A:B,2,0),IF(H1629="Sinapi",VLOOKUP(I1629,'SINAPI-FEV.2017'!A:D,2,0),IF(H1629="Cotação",VLOOKUP(I1629,COTAÇÃO!A:D,2,0),IF(H1629="Composição",VLOOKUP(I1629,COMPOSIÇÃO!A:D,2,0))))))</f>
        <v>Registro de gaveta com flanges, volante e cunha de borracha, PN-10, DN100</v>
      </c>
      <c r="L1629" s="780" t="s">
        <v>1270</v>
      </c>
      <c r="M1629" s="1270">
        <v>32</v>
      </c>
      <c r="N1629" s="399">
        <v>0</v>
      </c>
      <c r="O1629" s="102">
        <f t="shared" si="259"/>
        <v>0</v>
      </c>
      <c r="P1629" s="101">
        <f t="shared" si="260"/>
        <v>0</v>
      </c>
      <c r="Q1629" s="1472">
        <v>32</v>
      </c>
    </row>
    <row r="1630" spans="1:17">
      <c r="A1630" s="1482"/>
      <c r="B1630" s="1482"/>
      <c r="C1630" s="1555">
        <f t="shared" si="258"/>
        <v>3</v>
      </c>
      <c r="D1630" s="1492">
        <f t="shared" si="261"/>
        <v>2</v>
      </c>
      <c r="E1630" s="1492"/>
      <c r="F1630" s="1484" t="s">
        <v>11724</v>
      </c>
      <c r="G1630" s="969"/>
      <c r="H1630" s="1095" t="s">
        <v>70</v>
      </c>
      <c r="I1630" s="780">
        <v>6028</v>
      </c>
      <c r="J1630" s="834"/>
      <c r="K1630" s="790" t="str">
        <f>(IF(H1630="Saneago",VLOOKUP(I1630,'SANEAGO-FEV.2016'!A:B,2,0),IF(H1630="Sinapi",VLOOKUP(I1630,'SINAPI-FEV.2017'!A:D,2,0),IF(H1630="Cotação",VLOOKUP(I1630,COTAÇÃO!A:D,2,0),IF(H1630="Composição",VLOOKUP(I1630,COMPOSIÇÃO!A:D,2,0))))))</f>
        <v>REGISTRO GAVETA BRUTO EM LATAO FORJADO, BITOLA 2 " (REF 1509)</v>
      </c>
      <c r="L1630" s="700" t="s">
        <v>10854</v>
      </c>
      <c r="M1630" s="870">
        <v>6</v>
      </c>
      <c r="N1630" s="399">
        <v>0</v>
      </c>
      <c r="O1630" s="102">
        <f t="shared" si="259"/>
        <v>0</v>
      </c>
      <c r="P1630" s="101">
        <f t="shared" si="260"/>
        <v>0</v>
      </c>
      <c r="Q1630" s="1472">
        <v>6</v>
      </c>
    </row>
    <row r="1631" spans="1:17">
      <c r="A1631" s="1482"/>
      <c r="B1631" s="1482"/>
      <c r="C1631" s="1555">
        <f t="shared" si="258"/>
        <v>3</v>
      </c>
      <c r="D1631" s="1492">
        <f t="shared" si="261"/>
        <v>2</v>
      </c>
      <c r="E1631" s="1492"/>
      <c r="F1631" s="1484" t="s">
        <v>11724</v>
      </c>
      <c r="G1631" s="969"/>
      <c r="H1631" s="1095" t="s">
        <v>70</v>
      </c>
      <c r="I1631" s="780">
        <v>6012</v>
      </c>
      <c r="J1631" s="834"/>
      <c r="K1631" s="790" t="str">
        <f>(IF(H1631="Saneago",VLOOKUP(I1631,'SANEAGO-FEV.2016'!A:B,2,0),IF(H1631="Sinapi",VLOOKUP(I1631,'SINAPI-FEV.2017'!A:D,2,0),IF(H1631="Cotação",VLOOKUP(I1631,COTAÇÃO!A:D,2,0),IF(H1631="Composição",VLOOKUP(I1631,COMPOSIÇÃO!A:D,2,0))))))</f>
        <v>REGISTRO GAVETA BRUTO EM LATAO FORJADO, BITOLA 3 " (REF 1509)</v>
      </c>
      <c r="L1631" s="700" t="s">
        <v>10854</v>
      </c>
      <c r="M1631" s="870">
        <v>2</v>
      </c>
      <c r="N1631" s="399">
        <v>0</v>
      </c>
      <c r="O1631" s="102">
        <f t="shared" si="259"/>
        <v>0</v>
      </c>
      <c r="P1631" s="101">
        <f t="shared" si="260"/>
        <v>0</v>
      </c>
      <c r="Q1631" s="1472">
        <v>2</v>
      </c>
    </row>
    <row r="1632" spans="1:17">
      <c r="A1632" s="1482"/>
      <c r="B1632" s="1482"/>
      <c r="C1632" s="1555">
        <f t="shared" si="258"/>
        <v>3</v>
      </c>
      <c r="D1632" s="1492">
        <f t="shared" ref="D1632:D1641" si="262">D1631+B1632</f>
        <v>2</v>
      </c>
      <c r="E1632" s="1492"/>
      <c r="F1632" s="1484" t="s">
        <v>11724</v>
      </c>
      <c r="G1632" s="969"/>
      <c r="H1632" s="1095" t="s">
        <v>11722</v>
      </c>
      <c r="I1632" s="780" t="s">
        <v>13124</v>
      </c>
      <c r="J1632" s="834"/>
      <c r="K1632" s="1575" t="str">
        <f>(IF(H1632="Saneago",VLOOKUP(I1632,'SANEAGO-FEV.2016'!A:B,2,0),IF(H1632="Sinapi",VLOOKUP(I1632,'SINAPI-FEV.2017'!A:D,2,0),IF(H1632="Cotação",VLOOKUP(I1632,COTAÇÃO!A:D,2,0),IF(H1632="Composição",VLOOKUP(I1632,COMPOSIÇÃO!A:D,2,0))))))</f>
        <v>Registros com flanges, curto, cunha de borracha e cabeçote, PN-10, DN150</v>
      </c>
      <c r="L1632" s="1224" t="s">
        <v>1270</v>
      </c>
      <c r="M1632" s="1576">
        <v>96</v>
      </c>
      <c r="N1632" s="399">
        <v>0</v>
      </c>
      <c r="O1632" s="102">
        <f t="shared" si="259"/>
        <v>0</v>
      </c>
      <c r="P1632" s="101">
        <f t="shared" si="260"/>
        <v>0</v>
      </c>
      <c r="Q1632" s="1472">
        <v>96</v>
      </c>
    </row>
    <row r="1633" spans="1:17">
      <c r="A1633" s="1482"/>
      <c r="B1633" s="1482"/>
      <c r="C1633" s="1555">
        <f t="shared" si="258"/>
        <v>3</v>
      </c>
      <c r="D1633" s="1492">
        <f t="shared" si="262"/>
        <v>2</v>
      </c>
      <c r="E1633" s="1492"/>
      <c r="F1633" s="1484" t="s">
        <v>11724</v>
      </c>
      <c r="G1633" s="969"/>
      <c r="H1633" s="1095" t="s">
        <v>11722</v>
      </c>
      <c r="I1633" s="780" t="s">
        <v>12942</v>
      </c>
      <c r="J1633" s="834"/>
      <c r="K1633" s="790" t="str">
        <f>(IF(H1633="Saneago",VLOOKUP(I1633,'SANEAGO-FEV.2016'!A:B,2,0),IF(H1633="Sinapi",VLOOKUP(I1633,'SINAPI-FEV.2017'!A:D,2,0),IF(H1633="Cotação",VLOOKUP(I1633,COTAÇÃO!A:D,2,0),IF(H1633="Composição",VLOOKUP(I1633,COMPOSIÇÃO!A:D,2,0))))))</f>
        <v>Tê de redução em FºFº com flanges, PN-10, DN400 x DN300</v>
      </c>
      <c r="L1633" s="700" t="s">
        <v>1270</v>
      </c>
      <c r="M1633" s="870">
        <v>2</v>
      </c>
      <c r="N1633" s="399">
        <v>0</v>
      </c>
      <c r="O1633" s="102">
        <f t="shared" si="259"/>
        <v>0</v>
      </c>
      <c r="P1633" s="101">
        <f t="shared" si="260"/>
        <v>0</v>
      </c>
      <c r="Q1633" s="1472">
        <v>2</v>
      </c>
    </row>
    <row r="1634" spans="1:17">
      <c r="A1634" s="1482"/>
      <c r="B1634" s="1482"/>
      <c r="C1634" s="1555">
        <f t="shared" si="258"/>
        <v>3</v>
      </c>
      <c r="D1634" s="1492">
        <f t="shared" si="262"/>
        <v>2</v>
      </c>
      <c r="E1634" s="1492"/>
      <c r="F1634" s="1484" t="s">
        <v>11724</v>
      </c>
      <c r="G1634" s="969"/>
      <c r="H1634" s="1095" t="s">
        <v>11722</v>
      </c>
      <c r="I1634" s="780" t="s">
        <v>12742</v>
      </c>
      <c r="J1634" s="834"/>
      <c r="K1634" s="790" t="str">
        <f>(IF(H1634="Saneago",VLOOKUP(I1634,'SANEAGO-FEV.2016'!A:B,2,0),IF(H1634="Sinapi",VLOOKUP(I1634,'SINAPI-FEV.2017'!A:D,2,0),IF(H1634="Cotação",VLOOKUP(I1634,COTAÇÃO!A:D,2,0),IF(H1634="Composição",VLOOKUP(I1634,COMPOSIÇÃO!A:D,2,0))))))</f>
        <v>Tê de redução roscável em aço inox, AISI 304, classe 3000 libras, DN1" x 3/4"</v>
      </c>
      <c r="L1634" s="700" t="s">
        <v>1270</v>
      </c>
      <c r="M1634" s="870">
        <v>200</v>
      </c>
      <c r="N1634" s="399">
        <v>0</v>
      </c>
      <c r="O1634" s="102">
        <f t="shared" si="259"/>
        <v>0</v>
      </c>
      <c r="P1634" s="101">
        <f t="shared" si="260"/>
        <v>0</v>
      </c>
      <c r="Q1634" s="1472">
        <v>200</v>
      </c>
    </row>
    <row r="1635" spans="1:17">
      <c r="A1635" s="1482"/>
      <c r="B1635" s="1482"/>
      <c r="C1635" s="1555">
        <f t="shared" si="258"/>
        <v>3</v>
      </c>
      <c r="D1635" s="1492">
        <f t="shared" si="262"/>
        <v>2</v>
      </c>
      <c r="E1635" s="1492"/>
      <c r="F1635" s="1484" t="s">
        <v>11724</v>
      </c>
      <c r="G1635" s="969"/>
      <c r="H1635" s="1095" t="s">
        <v>11722</v>
      </c>
      <c r="I1635" s="780" t="s">
        <v>12744</v>
      </c>
      <c r="J1635" s="834"/>
      <c r="K1635" s="790" t="str">
        <f>(IF(H1635="Saneago",VLOOKUP(I1635,'SANEAGO-FEV.2016'!A:B,2,0),IF(H1635="Sinapi",VLOOKUP(I1635,'SINAPI-FEV.2017'!A:D,2,0),IF(H1635="Cotação",VLOOKUP(I1635,COTAÇÃO!A:D,2,0),IF(H1635="Composição",VLOOKUP(I1635,COMPOSIÇÃO!A:D,2,0))))))</f>
        <v>Tê em aço inox, AISI 304, classe 3000 libras, DN2 1/2"</v>
      </c>
      <c r="L1635" s="700" t="s">
        <v>1270</v>
      </c>
      <c r="M1635" s="870">
        <v>15</v>
      </c>
      <c r="N1635" s="399">
        <v>0</v>
      </c>
      <c r="O1635" s="102">
        <f t="shared" si="259"/>
        <v>0</v>
      </c>
      <c r="P1635" s="101">
        <f t="shared" si="260"/>
        <v>0</v>
      </c>
      <c r="Q1635" s="1472">
        <v>15</v>
      </c>
    </row>
    <row r="1636" spans="1:17">
      <c r="A1636" s="1482"/>
      <c r="B1636" s="1482"/>
      <c r="C1636" s="1555">
        <f t="shared" si="258"/>
        <v>3</v>
      </c>
      <c r="D1636" s="1492">
        <f t="shared" si="262"/>
        <v>2</v>
      </c>
      <c r="E1636" s="1492"/>
      <c r="F1636" s="1484" t="s">
        <v>11724</v>
      </c>
      <c r="G1636" s="969"/>
      <c r="H1636" s="1095" t="s">
        <v>11722</v>
      </c>
      <c r="I1636" s="780" t="s">
        <v>12746</v>
      </c>
      <c r="J1636" s="834"/>
      <c r="K1636" s="790" t="str">
        <f>(IF(H1636="Saneago",VLOOKUP(I1636,'SANEAGO-FEV.2016'!A:B,2,0),IF(H1636="Sinapi",VLOOKUP(I1636,'SINAPI-FEV.2017'!A:D,2,0),IF(H1636="Cotação",VLOOKUP(I1636,COTAÇÃO!A:D,2,0),IF(H1636="Composição",VLOOKUP(I1636,COMPOSIÇÃO!A:D,2,0))))))</f>
        <v>Tê em aço inox, AISI 304, classe 3000 libras, DN2"</v>
      </c>
      <c r="L1636" s="700" t="s">
        <v>1270</v>
      </c>
      <c r="M1636" s="870">
        <v>30</v>
      </c>
      <c r="N1636" s="399">
        <v>0</v>
      </c>
      <c r="O1636" s="102">
        <f t="shared" si="259"/>
        <v>0</v>
      </c>
      <c r="P1636" s="101">
        <f t="shared" si="260"/>
        <v>0</v>
      </c>
      <c r="Q1636" s="1472">
        <v>30</v>
      </c>
    </row>
    <row r="1637" spans="1:17">
      <c r="A1637" s="1482"/>
      <c r="B1637" s="1482"/>
      <c r="C1637" s="1555">
        <f t="shared" si="258"/>
        <v>3</v>
      </c>
      <c r="D1637" s="1492">
        <f t="shared" si="262"/>
        <v>2</v>
      </c>
      <c r="E1637" s="1492"/>
      <c r="F1637" s="1484" t="s">
        <v>11724</v>
      </c>
      <c r="G1637" s="969"/>
      <c r="H1637" s="1095" t="s">
        <v>11722</v>
      </c>
      <c r="I1637" s="780" t="s">
        <v>12948</v>
      </c>
      <c r="J1637" s="834"/>
      <c r="K1637" s="790" t="str">
        <f>(IF(H1637="Saneago",VLOOKUP(I1637,'SANEAGO-FEV.2016'!A:B,2,0),IF(H1637="Sinapi",VLOOKUP(I1637,'SINAPI-FEV.2017'!A:D,2,0),IF(H1637="Cotação",VLOOKUP(I1637,COTAÇÃO!A:D,2,0),IF(H1637="Composição",VLOOKUP(I1637,COMPOSIÇÃO!A:D,2,0))))))</f>
        <v>Tê em FºFº, com bolsas,  JGS, DN150</v>
      </c>
      <c r="L1637" s="700" t="s">
        <v>1270</v>
      </c>
      <c r="M1637" s="870">
        <v>96</v>
      </c>
      <c r="N1637" s="399">
        <v>0</v>
      </c>
      <c r="O1637" s="102">
        <f t="shared" si="259"/>
        <v>0</v>
      </c>
      <c r="P1637" s="101">
        <f t="shared" si="260"/>
        <v>0</v>
      </c>
      <c r="Q1637" s="1472">
        <v>96</v>
      </c>
    </row>
    <row r="1638" spans="1:17">
      <c r="A1638" s="1482"/>
      <c r="B1638" s="1482"/>
      <c r="C1638" s="1555">
        <f t="shared" si="258"/>
        <v>3</v>
      </c>
      <c r="D1638" s="1492">
        <f t="shared" si="262"/>
        <v>2</v>
      </c>
      <c r="E1638" s="1492"/>
      <c r="F1638" s="1484" t="s">
        <v>11724</v>
      </c>
      <c r="G1638" s="969"/>
      <c r="H1638" s="1095" t="s">
        <v>70</v>
      </c>
      <c r="I1638" s="780">
        <v>7094</v>
      </c>
      <c r="J1638" s="834"/>
      <c r="K1638" s="790" t="str">
        <f>(IF(H1638="Saneago",VLOOKUP(I1638,'SANEAGO-FEV.2016'!A:B,2,0),IF(H1638="Sinapi",VLOOKUP(I1638,'SINAPI-FEV.2017'!A:D,2,0),IF(H1638="Cotação",VLOOKUP(I1638,COTAÇÃO!A:D,2,0),IF(H1638="Composição",VLOOKUP(I1638,COMPOSIÇÃO!A:D,2,0))))))</f>
        <v>TE PVC ROSCAVEL 90 GRAUS, 1", PARA  AGUA FRIA PREDIAL</v>
      </c>
      <c r="L1638" s="700" t="s">
        <v>1270</v>
      </c>
      <c r="M1638" s="870">
        <v>48</v>
      </c>
      <c r="N1638" s="399">
        <v>0</v>
      </c>
      <c r="O1638" s="102">
        <f t="shared" si="259"/>
        <v>0</v>
      </c>
      <c r="P1638" s="101">
        <f t="shared" si="260"/>
        <v>0</v>
      </c>
      <c r="Q1638" s="1472">
        <v>48</v>
      </c>
    </row>
    <row r="1639" spans="1:17">
      <c r="A1639" s="1482"/>
      <c r="B1639" s="1482"/>
      <c r="C1639" s="1555">
        <f t="shared" si="258"/>
        <v>3</v>
      </c>
      <c r="D1639" s="1492">
        <f t="shared" si="262"/>
        <v>2</v>
      </c>
      <c r="E1639" s="1492"/>
      <c r="F1639" s="1484" t="s">
        <v>11724</v>
      </c>
      <c r="G1639" s="969"/>
      <c r="H1639" s="1095" t="s">
        <v>11722</v>
      </c>
      <c r="I1639" s="780" t="s">
        <v>13201</v>
      </c>
      <c r="J1639" s="834"/>
      <c r="K1639" s="1575" t="str">
        <f>(IF(H1639="Saneago",VLOOKUP(I1639,'SANEAGO-FEV.2016'!A:B,2,0),IF(H1639="Sinapi",VLOOKUP(I1639,'SINAPI-FEV.2017'!A:D,2,0),IF(H1639="Cotação",VLOOKUP(I1639,COTAÇÃO!A:D,2,0),IF(H1639="Composição",VLOOKUP(I1639,COMPOSIÇÃO!A:D,2,0))))))</f>
        <v>Tê em RPVC conforme a norma NBR-15.536-3, DN150</v>
      </c>
      <c r="L1639" s="1224" t="s">
        <v>1270</v>
      </c>
      <c r="M1639" s="1576">
        <v>104</v>
      </c>
      <c r="N1639" s="399">
        <v>0</v>
      </c>
      <c r="O1639" s="102">
        <f t="shared" si="259"/>
        <v>0</v>
      </c>
      <c r="P1639" s="101">
        <f t="shared" si="260"/>
        <v>0</v>
      </c>
      <c r="Q1639" s="1472">
        <v>104</v>
      </c>
    </row>
    <row r="1640" spans="1:17">
      <c r="A1640" s="1482"/>
      <c r="B1640" s="1482"/>
      <c r="C1640" s="1555">
        <f t="shared" si="258"/>
        <v>3</v>
      </c>
      <c r="D1640" s="1492">
        <f t="shared" si="262"/>
        <v>2</v>
      </c>
      <c r="E1640" s="1492"/>
      <c r="F1640" s="1484" t="s">
        <v>11724</v>
      </c>
      <c r="G1640" s="969"/>
      <c r="H1640" s="1095" t="s">
        <v>11722</v>
      </c>
      <c r="I1640" s="780" t="s">
        <v>12748</v>
      </c>
      <c r="J1640" s="834"/>
      <c r="K1640" s="790" t="str">
        <f>(IF(H1640="Saneago",VLOOKUP(I1640,'SANEAGO-FEV.2016'!A:B,2,0),IF(H1640="Sinapi",VLOOKUP(I1640,'SINAPI-FEV.2017'!A:D,2,0),IF(H1640="Cotação",VLOOKUP(I1640,COTAÇÃO!A:D,2,0),IF(H1640="Composição",VLOOKUP(I1640,COMPOSIÇÃO!A:D,2,0))))))</f>
        <v>Tê roscável em aço inox, AISI 304, classe 3000 libras, DN1"</v>
      </c>
      <c r="L1640" s="700" t="s">
        <v>1270</v>
      </c>
      <c r="M1640" s="870">
        <v>14</v>
      </c>
      <c r="N1640" s="399">
        <v>0</v>
      </c>
      <c r="O1640" s="102">
        <f t="shared" si="259"/>
        <v>0</v>
      </c>
      <c r="P1640" s="101">
        <f t="shared" si="260"/>
        <v>0</v>
      </c>
      <c r="Q1640" s="1472">
        <v>14</v>
      </c>
    </row>
    <row r="1641" spans="1:17" ht="22.5">
      <c r="A1641" s="1482"/>
      <c r="B1641" s="1482"/>
      <c r="C1641" s="1555">
        <f t="shared" si="258"/>
        <v>3</v>
      </c>
      <c r="D1641" s="1492">
        <f t="shared" si="262"/>
        <v>2</v>
      </c>
      <c r="E1641" s="1492"/>
      <c r="F1641" s="1484" t="s">
        <v>11724</v>
      </c>
      <c r="G1641" s="969"/>
      <c r="H1641" s="1095" t="s">
        <v>70</v>
      </c>
      <c r="I1641" s="780">
        <v>86912</v>
      </c>
      <c r="J1641" s="834"/>
      <c r="K1641" s="790" t="str">
        <f>(IF(H1641="Saneago",VLOOKUP(I1641,'SANEAGO-FEV.2016'!A:B,2,0),IF(H1641="Sinapi",VLOOKUP(I1641,'SINAPI-FEV.2017'!A:D,2,0),IF(H1641="Cotação",VLOOKUP(I1641,COTAÇÃO!A:D,2,0),IF(H1641="Composição",VLOOKUP(I1641,COMPOSIÇÃO!A:D,2,0))))))</f>
        <v>TORNEIRA CROMADA LONGA, DE PAREDE, 1/2" OU 3/4", PARA PIA DE COZINHA, PADRÃO MÉDIO - FORNECIMENTO E INSTALAÇÃO. AF_12/2013</v>
      </c>
      <c r="L1641" s="700" t="s">
        <v>1270</v>
      </c>
      <c r="M1641" s="870">
        <v>40</v>
      </c>
      <c r="N1641" s="399">
        <v>0</v>
      </c>
      <c r="O1641" s="102">
        <f t="shared" si="259"/>
        <v>0</v>
      </c>
      <c r="P1641" s="101">
        <f t="shared" si="260"/>
        <v>0</v>
      </c>
      <c r="Q1641" s="1472">
        <v>40</v>
      </c>
    </row>
    <row r="1642" spans="1:17">
      <c r="A1642" s="1482"/>
      <c r="B1642" s="1482"/>
      <c r="C1642" s="1555">
        <f t="shared" si="258"/>
        <v>3</v>
      </c>
      <c r="D1642" s="1492">
        <f t="shared" si="261"/>
        <v>2</v>
      </c>
      <c r="E1642" s="1492"/>
      <c r="F1642" s="1484" t="s">
        <v>11724</v>
      </c>
      <c r="G1642" s="969"/>
      <c r="H1642" s="1095" t="s">
        <v>70</v>
      </c>
      <c r="I1642" s="780">
        <v>36365</v>
      </c>
      <c r="J1642" s="834"/>
      <c r="K1642" s="790" t="str">
        <f>(IF(H1642="Saneago",VLOOKUP(I1642,'SANEAGO-FEV.2016'!A:B,2,0),IF(H1642="Sinapi",VLOOKUP(I1642,'SINAPI-FEV.2017'!A:D,2,0),IF(H1642="Cotação",VLOOKUP(I1642,COTAÇÃO!A:D,2,0),IF(H1642="Composição",VLOOKUP(I1642,COMPOSIÇÃO!A:D,2,0))))))</f>
        <v>TUBO COLETOR DE ESGOTO PVC, JEI, DN 100 MM (NBR  7362)</v>
      </c>
      <c r="L1642" s="700" t="s">
        <v>18</v>
      </c>
      <c r="M1642" s="870">
        <v>101.2</v>
      </c>
      <c r="N1642" s="399">
        <v>0</v>
      </c>
      <c r="O1642" s="102">
        <f t="shared" si="259"/>
        <v>0</v>
      </c>
      <c r="P1642" s="101">
        <f t="shared" si="260"/>
        <v>0</v>
      </c>
      <c r="Q1642" s="1472">
        <v>101.2</v>
      </c>
    </row>
    <row r="1643" spans="1:17">
      <c r="A1643" s="1482"/>
      <c r="B1643" s="1482"/>
      <c r="C1643" s="1555">
        <f t="shared" si="258"/>
        <v>3</v>
      </c>
      <c r="D1643" s="1492">
        <f t="shared" si="261"/>
        <v>2</v>
      </c>
      <c r="E1643" s="1492"/>
      <c r="F1643" s="1484" t="s">
        <v>11724</v>
      </c>
      <c r="G1643" s="969"/>
      <c r="H1643" s="1095" t="s">
        <v>70</v>
      </c>
      <c r="I1643" s="780">
        <v>41936</v>
      </c>
      <c r="J1643" s="834"/>
      <c r="K1643" s="790" t="str">
        <f>(IF(H1643="Saneago",VLOOKUP(I1643,'SANEAGO-FEV.2016'!A:B,2,0),IF(H1643="Sinapi",VLOOKUP(I1643,'SINAPI-FEV.2017'!A:D,2,0),IF(H1643="Cotação",VLOOKUP(I1643,COTAÇÃO!A:D,2,0),IF(H1643="Composição",VLOOKUP(I1643,COMPOSIÇÃO!A:D,2,0))))))</f>
        <v>TUBO COLETOR DE ESGOTO, PVC, JEI, DN 150 MM  (NBR 7362)</v>
      </c>
      <c r="L1643" s="700" t="s">
        <v>18</v>
      </c>
      <c r="M1643" s="870">
        <v>20.8</v>
      </c>
      <c r="N1643" s="399">
        <v>0</v>
      </c>
      <c r="O1643" s="102">
        <f t="shared" si="259"/>
        <v>0</v>
      </c>
      <c r="P1643" s="101">
        <f t="shared" si="260"/>
        <v>0</v>
      </c>
      <c r="Q1643" s="1472">
        <v>20.8</v>
      </c>
    </row>
    <row r="1644" spans="1:17">
      <c r="A1644" s="1482"/>
      <c r="B1644" s="1482"/>
      <c r="C1644" s="1555">
        <f t="shared" si="258"/>
        <v>3</v>
      </c>
      <c r="D1644" s="1492">
        <f t="shared" si="261"/>
        <v>2</v>
      </c>
      <c r="E1644" s="1492"/>
      <c r="F1644" s="1484" t="s">
        <v>11724</v>
      </c>
      <c r="G1644" s="969"/>
      <c r="H1644" s="1095" t="s">
        <v>11722</v>
      </c>
      <c r="I1644" s="780" t="s">
        <v>13205</v>
      </c>
      <c r="J1644" s="834"/>
      <c r="K1644" s="1575" t="str">
        <f>(IF(H1644="Saneago",VLOOKUP(I1644,'SANEAGO-FEV.2016'!A:B,2,0),IF(H1644="Sinapi",VLOOKUP(I1644,'SINAPI-FEV.2017'!A:D,2,0),IF(H1644="Cotação",VLOOKUP(I1644,COTAÇÃO!A:D,2,0),IF(H1644="Composição",VLOOKUP(I1644,COMPOSIÇÃO!A:D,2,0))))))</f>
        <v>Tubo com pontas em RPVC, conforme a norma NBR 15.536-2, DN150</v>
      </c>
      <c r="L1644" s="1224" t="s">
        <v>18</v>
      </c>
      <c r="M1644" s="1576">
        <v>134</v>
      </c>
      <c r="N1644" s="399">
        <v>0</v>
      </c>
      <c r="O1644" s="102">
        <f t="shared" si="259"/>
        <v>0</v>
      </c>
      <c r="P1644" s="101">
        <f t="shared" si="260"/>
        <v>0</v>
      </c>
      <c r="Q1644" s="1472">
        <v>134</v>
      </c>
    </row>
    <row r="1645" spans="1:17">
      <c r="A1645" s="1482"/>
      <c r="B1645" s="1482"/>
      <c r="C1645" s="1555">
        <f t="shared" si="258"/>
        <v>3</v>
      </c>
      <c r="D1645" s="1492">
        <f t="shared" si="261"/>
        <v>2</v>
      </c>
      <c r="E1645" s="1492"/>
      <c r="F1645" s="1484" t="s">
        <v>11724</v>
      </c>
      <c r="G1645" s="969"/>
      <c r="H1645" s="1095" t="s">
        <v>11722</v>
      </c>
      <c r="I1645" s="780" t="s">
        <v>13207</v>
      </c>
      <c r="J1645" s="834"/>
      <c r="K1645" s="1575" t="str">
        <f>(IF(H1645="Saneago",VLOOKUP(I1645,'SANEAGO-FEV.2016'!A:B,2,0),IF(H1645="Sinapi",VLOOKUP(I1645,'SINAPI-FEV.2017'!A:D,2,0),IF(H1645="Cotação",VLOOKUP(I1645,COTAÇÃO!A:D,2,0),IF(H1645="Composição",VLOOKUP(I1645,COMPOSIÇÃO!A:D,2,0))))))</f>
        <v>Tubo e RPVC conforme norma NBR 15.536-2, DN150</v>
      </c>
      <c r="L1645" s="1224" t="s">
        <v>18</v>
      </c>
      <c r="M1645" s="1576">
        <v>380</v>
      </c>
      <c r="N1645" s="399">
        <v>0</v>
      </c>
      <c r="O1645" s="102">
        <f t="shared" si="259"/>
        <v>0</v>
      </c>
      <c r="P1645" s="101">
        <f t="shared" si="260"/>
        <v>0</v>
      </c>
      <c r="Q1645" s="1472">
        <v>380</v>
      </c>
    </row>
    <row r="1646" spans="1:17" ht="22.5">
      <c r="A1646" s="1482"/>
      <c r="B1646" s="1482"/>
      <c r="C1646" s="1555">
        <f t="shared" si="258"/>
        <v>3</v>
      </c>
      <c r="D1646" s="1492">
        <f t="shared" si="261"/>
        <v>2</v>
      </c>
      <c r="E1646" s="1492"/>
      <c r="F1646" s="1484" t="s">
        <v>11724</v>
      </c>
      <c r="G1646" s="969"/>
      <c r="H1646" s="1095" t="s">
        <v>11722</v>
      </c>
      <c r="I1646" s="780" t="s">
        <v>13163</v>
      </c>
      <c r="J1646" s="834"/>
      <c r="K1646" s="790" t="str">
        <f>(IF(H1646="Saneago",VLOOKUP(I1646,'SANEAGO-FEV.2016'!A:B,2,0),IF(H1646="Sinapi",VLOOKUP(I1646,'SINAPI-FEV.2017'!A:D,2,0),IF(H1646="Cotação",VLOOKUP(I1646,COTAÇÃO!A:D,2,0),IF(H1646="Composição",VLOOKUP(I1646,COMPOSIÇÃO!A:D,2,0))))))</f>
        <v>Tubo em aço ASTM 120, DIM 2440, SCHEDULE 40 com pontas e aba de vedação, revestimento para peças aereas, enterradas ou abrigadas, PN-10 DN150, L=0,56m</v>
      </c>
      <c r="L1646" s="700" t="s">
        <v>1270</v>
      </c>
      <c r="M1646" s="870">
        <v>48</v>
      </c>
      <c r="N1646" s="399">
        <v>0</v>
      </c>
      <c r="O1646" s="102">
        <f t="shared" si="259"/>
        <v>0</v>
      </c>
      <c r="P1646" s="101">
        <f t="shared" si="260"/>
        <v>0</v>
      </c>
      <c r="Q1646" s="1472">
        <v>48</v>
      </c>
    </row>
    <row r="1647" spans="1:17" ht="22.5">
      <c r="A1647" s="1482"/>
      <c r="B1647" s="1482"/>
      <c r="C1647" s="1555">
        <f t="shared" si="258"/>
        <v>3</v>
      </c>
      <c r="D1647" s="1492">
        <f t="shared" si="261"/>
        <v>2</v>
      </c>
      <c r="E1647" s="1492"/>
      <c r="F1647" s="1484" t="s">
        <v>11724</v>
      </c>
      <c r="G1647" s="969"/>
      <c r="H1647" s="1095" t="s">
        <v>11722</v>
      </c>
      <c r="I1647" s="780" t="s">
        <v>13165</v>
      </c>
      <c r="J1647" s="834"/>
      <c r="K1647" s="790" t="str">
        <f>(IF(H1647="Saneago",VLOOKUP(I1647,'SANEAGO-FEV.2016'!A:B,2,0),IF(H1647="Sinapi",VLOOKUP(I1647,'SINAPI-FEV.2017'!A:D,2,0),IF(H1647="Cotação",VLOOKUP(I1647,COTAÇÃO!A:D,2,0),IF(H1647="Composição",VLOOKUP(I1647,COMPOSIÇÃO!A:D,2,0))))))</f>
        <v>Tubo em aço ASTM 120, DIM 2440, SCHEDULE 40 com pontas e aba de vedação, revestimento para peças aereas, enterradas ou abrigadas, PN-10 DN200, L=0,64m</v>
      </c>
      <c r="L1647" s="700" t="s">
        <v>1270</v>
      </c>
      <c r="M1647" s="870">
        <v>4</v>
      </c>
      <c r="N1647" s="399">
        <v>0</v>
      </c>
      <c r="O1647" s="102">
        <f t="shared" si="259"/>
        <v>0</v>
      </c>
      <c r="P1647" s="101">
        <f t="shared" si="260"/>
        <v>0</v>
      </c>
      <c r="Q1647" s="1472">
        <v>4</v>
      </c>
    </row>
    <row r="1648" spans="1:17">
      <c r="A1648" s="1482"/>
      <c r="B1648" s="1482"/>
      <c r="C1648" s="1555">
        <f t="shared" si="258"/>
        <v>3</v>
      </c>
      <c r="D1648" s="1492">
        <f t="shared" si="261"/>
        <v>2</v>
      </c>
      <c r="E1648" s="1492"/>
      <c r="F1648" s="1484" t="s">
        <v>11724</v>
      </c>
      <c r="G1648" s="969"/>
      <c r="H1648" s="1095" t="s">
        <v>11722</v>
      </c>
      <c r="I1648" s="780" t="s">
        <v>12750</v>
      </c>
      <c r="J1648" s="834"/>
      <c r="K1648" s="790" t="str">
        <f>(IF(H1648="Saneago",VLOOKUP(I1648,'SANEAGO-FEV.2016'!A:B,2,0),IF(H1648="Sinapi",VLOOKUP(I1648,'SINAPI-FEV.2017'!A:D,2,0),IF(H1648="Cotação",VLOOKUP(I1648,COTAÇÃO!A:D,2,0),IF(H1648="Composição",VLOOKUP(I1648,COMPOSIÇÃO!A:D,2,0))))))</f>
        <v>Tubo em aço inox ponta e flange, AISI 304, classe 3000 libras, DN2", L=0,10m</v>
      </c>
      <c r="L1648" s="700" t="s">
        <v>1270</v>
      </c>
      <c r="M1648" s="870">
        <v>18</v>
      </c>
      <c r="N1648" s="399">
        <v>0</v>
      </c>
      <c r="O1648" s="102">
        <f t="shared" si="259"/>
        <v>0</v>
      </c>
      <c r="P1648" s="101">
        <f t="shared" si="260"/>
        <v>0</v>
      </c>
      <c r="Q1648" s="1472">
        <v>18</v>
      </c>
    </row>
    <row r="1649" spans="1:17">
      <c r="A1649" s="1482"/>
      <c r="B1649" s="1482"/>
      <c r="C1649" s="1555">
        <f t="shared" si="258"/>
        <v>3</v>
      </c>
      <c r="D1649" s="1492">
        <f t="shared" si="261"/>
        <v>2</v>
      </c>
      <c r="E1649" s="1492"/>
      <c r="F1649" s="1484" t="s">
        <v>11724</v>
      </c>
      <c r="G1649" s="969"/>
      <c r="H1649" s="1095" t="s">
        <v>11722</v>
      </c>
      <c r="I1649" s="780" t="s">
        <v>12752</v>
      </c>
      <c r="J1649" s="834"/>
      <c r="K1649" s="790" t="str">
        <f>(IF(H1649="Saneago",VLOOKUP(I1649,'SANEAGO-FEV.2016'!A:B,2,0),IF(H1649="Sinapi",VLOOKUP(I1649,'SINAPI-FEV.2017'!A:D,2,0),IF(H1649="Cotação",VLOOKUP(I1649,COTAÇÃO!A:D,2,0),IF(H1649="Composição",VLOOKUP(I1649,COMPOSIÇÃO!A:D,2,0))))))</f>
        <v>Tubo em aço inox, AISI 304, classe 3000 libras, DN2 1/2"</v>
      </c>
      <c r="L1649" s="780" t="s">
        <v>18</v>
      </c>
      <c r="M1649" s="1270">
        <v>10</v>
      </c>
      <c r="N1649" s="399">
        <v>0</v>
      </c>
      <c r="O1649" s="102">
        <f t="shared" si="259"/>
        <v>0</v>
      </c>
      <c r="P1649" s="101">
        <f t="shared" si="260"/>
        <v>0</v>
      </c>
      <c r="Q1649" s="1472">
        <v>10</v>
      </c>
    </row>
    <row r="1650" spans="1:17">
      <c r="A1650" s="1482"/>
      <c r="B1650" s="1482"/>
      <c r="C1650" s="1555">
        <f t="shared" si="258"/>
        <v>3</v>
      </c>
      <c r="D1650" s="1492">
        <f t="shared" si="261"/>
        <v>2</v>
      </c>
      <c r="E1650" s="1492"/>
      <c r="F1650" s="1484" t="s">
        <v>11724</v>
      </c>
      <c r="G1650" s="969"/>
      <c r="H1650" s="1095" t="s">
        <v>11722</v>
      </c>
      <c r="I1650" s="780" t="s">
        <v>12754</v>
      </c>
      <c r="J1650" s="834"/>
      <c r="K1650" s="790" t="str">
        <f>(IF(H1650="Saneago",VLOOKUP(I1650,'SANEAGO-FEV.2016'!A:B,2,0),IF(H1650="Sinapi",VLOOKUP(I1650,'SINAPI-FEV.2017'!A:D,2,0),IF(H1650="Cotação",VLOOKUP(I1650,COTAÇÃO!A:D,2,0),IF(H1650="Composição",VLOOKUP(I1650,COMPOSIÇÃO!A:D,2,0))))))</f>
        <v>Tubo em aço inox, AISI 304, classe 3000 libras, DN2"</v>
      </c>
      <c r="L1650" s="780" t="s">
        <v>18</v>
      </c>
      <c r="M1650" s="1270">
        <v>120</v>
      </c>
      <c r="N1650" s="399">
        <v>0</v>
      </c>
      <c r="O1650" s="102">
        <f t="shared" si="259"/>
        <v>0</v>
      </c>
      <c r="P1650" s="101">
        <f t="shared" si="260"/>
        <v>0</v>
      </c>
      <c r="Q1650" s="1472">
        <v>120</v>
      </c>
    </row>
    <row r="1651" spans="1:17">
      <c r="A1651" s="1482"/>
      <c r="B1651" s="1482"/>
      <c r="C1651" s="1555">
        <f t="shared" ref="C1651:C1714" si="263">C1650</f>
        <v>3</v>
      </c>
      <c r="D1651" s="1492">
        <f t="shared" si="261"/>
        <v>2</v>
      </c>
      <c r="E1651" s="1492"/>
      <c r="F1651" s="1484" t="s">
        <v>11724</v>
      </c>
      <c r="G1651" s="969"/>
      <c r="H1651" s="1095" t="s">
        <v>11722</v>
      </c>
      <c r="I1651" s="780" t="s">
        <v>12756</v>
      </c>
      <c r="J1651" s="834"/>
      <c r="K1651" s="790" t="str">
        <f>(IF(H1651="Saneago",VLOOKUP(I1651,'SANEAGO-FEV.2016'!A:B,2,0),IF(H1651="Sinapi",VLOOKUP(I1651,'SINAPI-FEV.2017'!A:D,2,0),IF(H1651="Cotação",VLOOKUP(I1651,COTAÇÃO!A:D,2,0),IF(H1651="Composição",VLOOKUP(I1651,COMPOSIÇÃO!A:D,2,0))))))</f>
        <v>Tubo em aço inox, AISI 304, classe 3000 libras, DN2", L=0,50m</v>
      </c>
      <c r="L1651" s="780" t="s">
        <v>1270</v>
      </c>
      <c r="M1651" s="1270">
        <v>24</v>
      </c>
      <c r="N1651" s="399">
        <v>0</v>
      </c>
      <c r="O1651" s="102">
        <f t="shared" si="259"/>
        <v>0</v>
      </c>
      <c r="P1651" s="101">
        <f t="shared" si="260"/>
        <v>0</v>
      </c>
      <c r="Q1651" s="1472">
        <v>24</v>
      </c>
    </row>
    <row r="1652" spans="1:17">
      <c r="A1652" s="1482"/>
      <c r="B1652" s="1482"/>
      <c r="C1652" s="1555">
        <f t="shared" si="263"/>
        <v>3</v>
      </c>
      <c r="D1652" s="1492">
        <f t="shared" si="261"/>
        <v>2</v>
      </c>
      <c r="E1652" s="1492"/>
      <c r="F1652" s="1484" t="s">
        <v>11724</v>
      </c>
      <c r="G1652" s="969"/>
      <c r="H1652" s="1095" t="s">
        <v>11722</v>
      </c>
      <c r="I1652" s="780" t="s">
        <v>12758</v>
      </c>
      <c r="J1652" s="834"/>
      <c r="K1652" s="790" t="str">
        <f>(IF(H1652="Saneago",VLOOKUP(I1652,'SANEAGO-FEV.2016'!A:B,2,0),IF(H1652="Sinapi",VLOOKUP(I1652,'SINAPI-FEV.2017'!A:D,2,0),IF(H1652="Cotação",VLOOKUP(I1652,COTAÇÃO!A:D,2,0),IF(H1652="Composição",VLOOKUP(I1652,COMPOSIÇÃO!A:D,2,0))))))</f>
        <v>Tubo em aço inox, AISI 304, classe 3000 libras, DN3"</v>
      </c>
      <c r="L1652" s="780" t="s">
        <v>18</v>
      </c>
      <c r="M1652" s="1270">
        <v>5.5</v>
      </c>
      <c r="N1652" s="399">
        <v>0</v>
      </c>
      <c r="O1652" s="102">
        <f t="shared" si="259"/>
        <v>0</v>
      </c>
      <c r="P1652" s="101">
        <f t="shared" si="260"/>
        <v>0</v>
      </c>
      <c r="Q1652" s="1472">
        <v>5.5</v>
      </c>
    </row>
    <row r="1653" spans="1:17">
      <c r="A1653" s="1482"/>
      <c r="B1653" s="1482"/>
      <c r="C1653" s="1555">
        <f t="shared" si="263"/>
        <v>3</v>
      </c>
      <c r="D1653" s="1492">
        <f t="shared" si="261"/>
        <v>2</v>
      </c>
      <c r="E1653" s="1492"/>
      <c r="F1653" s="1484" t="s">
        <v>11724</v>
      </c>
      <c r="G1653" s="969"/>
      <c r="H1653" s="1095" t="s">
        <v>11722</v>
      </c>
      <c r="I1653" s="780" t="s">
        <v>12760</v>
      </c>
      <c r="J1653" s="834"/>
      <c r="K1653" s="790" t="str">
        <f>(IF(H1653="Saneago",VLOOKUP(I1653,'SANEAGO-FEV.2016'!A:B,2,0),IF(H1653="Sinapi",VLOOKUP(I1653,'SINAPI-FEV.2017'!A:D,2,0),IF(H1653="Cotação",VLOOKUP(I1653,COTAÇÃO!A:D,2,0),IF(H1653="Composição",VLOOKUP(I1653,COMPOSIÇÃO!A:D,2,0))))))</f>
        <v>Tubo em aço inox, AISI, classe 3000 libras, DN1"</v>
      </c>
      <c r="L1653" s="780" t="s">
        <v>18</v>
      </c>
      <c r="M1653" s="1270">
        <v>5</v>
      </c>
      <c r="N1653" s="399">
        <v>0</v>
      </c>
      <c r="O1653" s="102">
        <f t="shared" si="259"/>
        <v>0</v>
      </c>
      <c r="P1653" s="101">
        <f t="shared" si="260"/>
        <v>0</v>
      </c>
      <c r="Q1653" s="1472">
        <v>5</v>
      </c>
    </row>
    <row r="1654" spans="1:17">
      <c r="A1654" s="1482"/>
      <c r="B1654" s="1482"/>
      <c r="C1654" s="1555">
        <f t="shared" si="263"/>
        <v>3</v>
      </c>
      <c r="D1654" s="1492">
        <f t="shared" si="261"/>
        <v>2</v>
      </c>
      <c r="E1654" s="1492"/>
      <c r="F1654" s="1484" t="s">
        <v>11724</v>
      </c>
      <c r="G1654" s="969"/>
      <c r="H1654" s="1095" t="s">
        <v>11722</v>
      </c>
      <c r="I1654" s="780" t="s">
        <v>12762</v>
      </c>
      <c r="J1654" s="834"/>
      <c r="K1654" s="790" t="str">
        <f>(IF(H1654="Saneago",VLOOKUP(I1654,'SANEAGO-FEV.2016'!A:B,2,0),IF(H1654="Sinapi",VLOOKUP(I1654,'SINAPI-FEV.2017'!A:D,2,0),IF(H1654="Cotação",VLOOKUP(I1654,COTAÇÃO!A:D,2,0),IF(H1654="Composição",VLOOKUP(I1654,COMPOSIÇÃO!A:D,2,0))))))</f>
        <v>Tubo em aço inox, AISI, classe 3000 libras, DN3"</v>
      </c>
      <c r="L1654" s="780" t="s">
        <v>18</v>
      </c>
      <c r="M1654" s="1270">
        <v>7</v>
      </c>
      <c r="N1654" s="399">
        <v>0</v>
      </c>
      <c r="O1654" s="102">
        <f t="shared" ref="O1654:O1715" si="264">ROUND(IF(F1654="Serviços",N1654*(1+$O$7),IF(F1654="Materiais",N1654*(1+$O$8))),2)</f>
        <v>0</v>
      </c>
      <c r="P1654" s="101">
        <f t="shared" ref="P1654:P1715" si="265">ROUND(M1654*O1654,2)</f>
        <v>0</v>
      </c>
      <c r="Q1654" s="1472">
        <v>7</v>
      </c>
    </row>
    <row r="1655" spans="1:17">
      <c r="A1655" s="1482"/>
      <c r="B1655" s="1482"/>
      <c r="C1655" s="1555">
        <f t="shared" si="263"/>
        <v>3</v>
      </c>
      <c r="D1655" s="1492">
        <f t="shared" si="261"/>
        <v>2</v>
      </c>
      <c r="E1655" s="1492"/>
      <c r="F1655" s="1484" t="s">
        <v>11724</v>
      </c>
      <c r="G1655" s="969"/>
      <c r="H1655" s="1095" t="s">
        <v>11722</v>
      </c>
      <c r="I1655" s="780" t="s">
        <v>12764</v>
      </c>
      <c r="J1655" s="834"/>
      <c r="K1655" s="790" t="str">
        <f>(IF(H1655="Saneago",VLOOKUP(I1655,'SANEAGO-FEV.2016'!A:B,2,0),IF(H1655="Sinapi",VLOOKUP(I1655,'SINAPI-FEV.2017'!A:D,2,0),IF(H1655="Cotação",VLOOKUP(I1655,COTAÇÃO!A:D,2,0),IF(H1655="Composição",VLOOKUP(I1655,COMPOSIÇÃO!A:D,2,0))))))</f>
        <v>Tubo em aço inox, DN100</v>
      </c>
      <c r="L1655" s="780" t="s">
        <v>18</v>
      </c>
      <c r="M1655" s="1270">
        <v>13.8</v>
      </c>
      <c r="N1655" s="399">
        <v>0</v>
      </c>
      <c r="O1655" s="102">
        <f t="shared" si="264"/>
        <v>0</v>
      </c>
      <c r="P1655" s="101">
        <f t="shared" si="265"/>
        <v>0</v>
      </c>
      <c r="Q1655" s="1472">
        <v>13.8</v>
      </c>
    </row>
    <row r="1656" spans="1:17">
      <c r="A1656" s="1482"/>
      <c r="B1656" s="1482"/>
      <c r="C1656" s="1555">
        <f t="shared" si="263"/>
        <v>3</v>
      </c>
      <c r="D1656" s="1492">
        <f t="shared" si="261"/>
        <v>2</v>
      </c>
      <c r="E1656" s="1492"/>
      <c r="F1656" s="1484" t="s">
        <v>11724</v>
      </c>
      <c r="G1656" s="969"/>
      <c r="H1656" s="1095" t="s">
        <v>11722</v>
      </c>
      <c r="I1656" s="780" t="s">
        <v>12960</v>
      </c>
      <c r="J1656" s="834"/>
      <c r="K1656" s="790" t="str">
        <f>(IF(H1656="Saneago",VLOOKUP(I1656,'SANEAGO-FEV.2016'!A:B,2,0),IF(H1656="Sinapi",VLOOKUP(I1656,'SINAPI-FEV.2017'!A:D,2,0),IF(H1656="Cotação",VLOOKUP(I1656,COTAÇÃO!A:D,2,0),IF(H1656="Composição",VLOOKUP(I1656,COMPOSIÇÃO!A:D,2,0))))))</f>
        <v>Tubo em ferro fundido com flanges e ponta classe K-9,  PN-10, DN150, L=0,25m</v>
      </c>
      <c r="L1656" s="780" t="s">
        <v>1270</v>
      </c>
      <c r="M1656" s="1270">
        <v>96</v>
      </c>
      <c r="N1656" s="399">
        <v>0</v>
      </c>
      <c r="O1656" s="102">
        <f t="shared" si="264"/>
        <v>0</v>
      </c>
      <c r="P1656" s="101">
        <f t="shared" si="265"/>
        <v>0</v>
      </c>
      <c r="Q1656" s="1472">
        <v>96</v>
      </c>
    </row>
    <row r="1657" spans="1:17">
      <c r="A1657" s="1482"/>
      <c r="B1657" s="1482"/>
      <c r="C1657" s="1555">
        <f t="shared" si="263"/>
        <v>3</v>
      </c>
      <c r="D1657" s="1492">
        <f t="shared" si="261"/>
        <v>2</v>
      </c>
      <c r="E1657" s="1492"/>
      <c r="F1657" s="1484" t="s">
        <v>11724</v>
      </c>
      <c r="G1657" s="969"/>
      <c r="H1657" s="1095" t="s">
        <v>11722</v>
      </c>
      <c r="I1657" s="780" t="s">
        <v>12962</v>
      </c>
      <c r="J1657" s="834"/>
      <c r="K1657" s="790" t="str">
        <f>(IF(H1657="Saneago",VLOOKUP(I1657,'SANEAGO-FEV.2016'!A:B,2,0),IF(H1657="Sinapi",VLOOKUP(I1657,'SINAPI-FEV.2017'!A:D,2,0),IF(H1657="Cotação",VLOOKUP(I1657,COTAÇÃO!A:D,2,0),IF(H1657="Composição",VLOOKUP(I1657,COMPOSIÇÃO!A:D,2,0))))))</f>
        <v>Tubo em ferro fundido com flanges e ponta classe K-9,  PN-10, DN150, L=0,35m</v>
      </c>
      <c r="L1657" s="780" t="s">
        <v>1270</v>
      </c>
      <c r="M1657" s="1270">
        <v>96</v>
      </c>
      <c r="N1657" s="399">
        <v>0</v>
      </c>
      <c r="O1657" s="102">
        <f t="shared" si="264"/>
        <v>0</v>
      </c>
      <c r="P1657" s="101">
        <f t="shared" si="265"/>
        <v>0</v>
      </c>
      <c r="Q1657" s="1472">
        <v>96</v>
      </c>
    </row>
    <row r="1658" spans="1:17">
      <c r="A1658" s="1482"/>
      <c r="B1658" s="1482"/>
      <c r="C1658" s="1555">
        <f t="shared" si="263"/>
        <v>3</v>
      </c>
      <c r="D1658" s="1492">
        <f t="shared" si="261"/>
        <v>2</v>
      </c>
      <c r="E1658" s="1492"/>
      <c r="F1658" s="1484" t="s">
        <v>11724</v>
      </c>
      <c r="G1658" s="969"/>
      <c r="H1658" s="1095" t="s">
        <v>11722</v>
      </c>
      <c r="I1658" s="780" t="s">
        <v>12964</v>
      </c>
      <c r="J1658" s="834"/>
      <c r="K1658" s="790" t="str">
        <f>(IF(H1658="Saneago",VLOOKUP(I1658,'SANEAGO-FEV.2016'!A:B,2,0),IF(H1658="Sinapi",VLOOKUP(I1658,'SINAPI-FEV.2017'!A:D,2,0),IF(H1658="Cotação",VLOOKUP(I1658,COTAÇÃO!A:D,2,0),IF(H1658="Composição",VLOOKUP(I1658,COMPOSIÇÃO!A:D,2,0))))))</f>
        <v>Tubo em ferro fundido com flanges e ponta classe K-9,  PN-10, DN150, L=2,05m</v>
      </c>
      <c r="L1658" s="780" t="s">
        <v>1270</v>
      </c>
      <c r="M1658" s="1270">
        <v>48</v>
      </c>
      <c r="N1658" s="399">
        <v>0</v>
      </c>
      <c r="O1658" s="102">
        <f t="shared" si="264"/>
        <v>0</v>
      </c>
      <c r="P1658" s="101">
        <f t="shared" si="265"/>
        <v>0</v>
      </c>
      <c r="Q1658" s="1472">
        <v>48</v>
      </c>
    </row>
    <row r="1659" spans="1:17">
      <c r="A1659" s="1482"/>
      <c r="B1659" s="1482"/>
      <c r="C1659" s="1555">
        <f t="shared" si="263"/>
        <v>3</v>
      </c>
      <c r="D1659" s="1492">
        <f t="shared" si="261"/>
        <v>2</v>
      </c>
      <c r="E1659" s="1492"/>
      <c r="F1659" s="1484" t="s">
        <v>11724</v>
      </c>
      <c r="G1659" s="969"/>
      <c r="H1659" s="1095" t="s">
        <v>11722</v>
      </c>
      <c r="I1659" s="780" t="s">
        <v>12966</v>
      </c>
      <c r="J1659" s="834"/>
      <c r="K1659" s="790" t="str">
        <f>(IF(H1659="Saneago",VLOOKUP(I1659,'SANEAGO-FEV.2016'!A:B,2,0),IF(H1659="Sinapi",VLOOKUP(I1659,'SINAPI-FEV.2017'!A:D,2,0),IF(H1659="Cotação",VLOOKUP(I1659,COTAÇÃO!A:D,2,0),IF(H1659="Composição",VLOOKUP(I1659,COMPOSIÇÃO!A:D,2,0))))))</f>
        <v>Tubo em FºFº  com flanges classe K-9,  PN-10, DN200, L=3,00m</v>
      </c>
      <c r="L1659" s="780" t="s">
        <v>1270</v>
      </c>
      <c r="M1659" s="1270">
        <v>8</v>
      </c>
      <c r="N1659" s="399">
        <v>0</v>
      </c>
      <c r="O1659" s="102">
        <f t="shared" si="264"/>
        <v>0</v>
      </c>
      <c r="P1659" s="101">
        <f t="shared" si="265"/>
        <v>0</v>
      </c>
      <c r="Q1659" s="1472">
        <v>8</v>
      </c>
    </row>
    <row r="1660" spans="1:17">
      <c r="A1660" s="1482"/>
      <c r="B1660" s="1482"/>
      <c r="C1660" s="1555">
        <f t="shared" si="263"/>
        <v>3</v>
      </c>
      <c r="D1660" s="1492">
        <f t="shared" si="261"/>
        <v>2</v>
      </c>
      <c r="E1660" s="1492"/>
      <c r="F1660" s="1484" t="s">
        <v>11724</v>
      </c>
      <c r="G1660" s="969"/>
      <c r="H1660" s="1095" t="s">
        <v>11722</v>
      </c>
      <c r="I1660" s="780" t="s">
        <v>12980</v>
      </c>
      <c r="J1660" s="834"/>
      <c r="K1660" s="790" t="str">
        <f>(IF(H1660="Saneago",VLOOKUP(I1660,'SANEAGO-FEV.2016'!A:B,2,0),IF(H1660="Sinapi",VLOOKUP(I1660,'SINAPI-FEV.2017'!A:D,2,0),IF(H1660="Cotação",VLOOKUP(I1660,COTAÇÃO!A:D,2,0),IF(H1660="Composição",VLOOKUP(I1660,COMPOSIÇÃO!A:D,2,0))))))</f>
        <v>Tubo em FºFº com flanges classe K-9,  PN-10, DN300, L=0,75m</v>
      </c>
      <c r="L1660" s="780" t="s">
        <v>1270</v>
      </c>
      <c r="M1660" s="1270">
        <v>2</v>
      </c>
      <c r="N1660" s="399">
        <v>0</v>
      </c>
      <c r="O1660" s="102">
        <f t="shared" si="264"/>
        <v>0</v>
      </c>
      <c r="P1660" s="101">
        <f t="shared" si="265"/>
        <v>0</v>
      </c>
      <c r="Q1660" s="1472">
        <v>2</v>
      </c>
    </row>
    <row r="1661" spans="1:17">
      <c r="A1661" s="1482"/>
      <c r="B1661" s="1482"/>
      <c r="C1661" s="1555">
        <f t="shared" si="263"/>
        <v>3</v>
      </c>
      <c r="D1661" s="1492">
        <f t="shared" si="261"/>
        <v>2</v>
      </c>
      <c r="E1661" s="1492"/>
      <c r="F1661" s="1484" t="s">
        <v>11724</v>
      </c>
      <c r="G1661" s="969"/>
      <c r="H1661" s="1095" t="s">
        <v>11722</v>
      </c>
      <c r="I1661" s="780" t="s">
        <v>12982</v>
      </c>
      <c r="J1661" s="834"/>
      <c r="K1661" s="790" t="str">
        <f>(IF(H1661="Saneago",VLOOKUP(I1661,'SANEAGO-FEV.2016'!A:B,2,0),IF(H1661="Sinapi",VLOOKUP(I1661,'SINAPI-FEV.2017'!A:D,2,0),IF(H1661="Cotação",VLOOKUP(I1661,COTAÇÃO!A:D,2,0),IF(H1661="Composição",VLOOKUP(I1661,COMPOSIÇÃO!A:D,2,0))))))</f>
        <v>Tubo em FºFº com flanges classe K-9,  PN-10, DN300, L=0,80m</v>
      </c>
      <c r="L1661" s="780" t="s">
        <v>1270</v>
      </c>
      <c r="M1661" s="1270">
        <v>2</v>
      </c>
      <c r="N1661" s="399">
        <v>0</v>
      </c>
      <c r="O1661" s="102">
        <f t="shared" si="264"/>
        <v>0</v>
      </c>
      <c r="P1661" s="101">
        <f t="shared" si="265"/>
        <v>0</v>
      </c>
      <c r="Q1661" s="1472">
        <v>2</v>
      </c>
    </row>
    <row r="1662" spans="1:17">
      <c r="A1662" s="1482"/>
      <c r="B1662" s="1482"/>
      <c r="C1662" s="1555">
        <f t="shared" si="263"/>
        <v>3</v>
      </c>
      <c r="D1662" s="1492">
        <f t="shared" si="261"/>
        <v>2</v>
      </c>
      <c r="E1662" s="1492"/>
      <c r="F1662" s="1484" t="s">
        <v>11724</v>
      </c>
      <c r="G1662" s="969"/>
      <c r="H1662" s="1095" t="s">
        <v>11722</v>
      </c>
      <c r="I1662" s="780" t="s">
        <v>12988</v>
      </c>
      <c r="J1662" s="834"/>
      <c r="K1662" s="790" t="str">
        <f>(IF(H1662="Saneago",VLOOKUP(I1662,'SANEAGO-FEV.2016'!A:B,2,0),IF(H1662="Sinapi",VLOOKUP(I1662,'SINAPI-FEV.2017'!A:D,2,0),IF(H1662="Cotação",VLOOKUP(I1662,COTAÇÃO!A:D,2,0),IF(H1662="Composição",VLOOKUP(I1662,COMPOSIÇÃO!A:D,2,0))))))</f>
        <v>Tubo em FºFº com flanges classe K-9,  PN-10, DN300, L=5,15m</v>
      </c>
      <c r="L1662" s="780" t="s">
        <v>1270</v>
      </c>
      <c r="M1662" s="1270">
        <v>2</v>
      </c>
      <c r="N1662" s="399">
        <v>0</v>
      </c>
      <c r="O1662" s="102">
        <f t="shared" si="264"/>
        <v>0</v>
      </c>
      <c r="P1662" s="101">
        <f t="shared" si="265"/>
        <v>0</v>
      </c>
      <c r="Q1662" s="1472">
        <v>2</v>
      </c>
    </row>
    <row r="1663" spans="1:17">
      <c r="A1663" s="1482"/>
      <c r="B1663" s="1482"/>
      <c r="C1663" s="1555">
        <f t="shared" si="263"/>
        <v>3</v>
      </c>
      <c r="D1663" s="1492">
        <f t="shared" si="261"/>
        <v>2</v>
      </c>
      <c r="E1663" s="1492"/>
      <c r="F1663" s="1484" t="s">
        <v>11724</v>
      </c>
      <c r="G1663" s="969"/>
      <c r="H1663" s="1095" t="s">
        <v>11722</v>
      </c>
      <c r="I1663" s="780" t="s">
        <v>12990</v>
      </c>
      <c r="J1663" s="834"/>
      <c r="K1663" s="790" t="str">
        <f>(IF(H1663="Saneago",VLOOKUP(I1663,'SANEAGO-FEV.2016'!A:B,2,0),IF(H1663="Sinapi",VLOOKUP(I1663,'SINAPI-FEV.2017'!A:D,2,0),IF(H1663="Cotação",VLOOKUP(I1663,COTAÇÃO!A:D,2,0),IF(H1663="Composição",VLOOKUP(I1663,COMPOSIÇÃO!A:D,2,0))))))</f>
        <v>Tubo em FºFº com flanges classe K-9,  PN-10, DN300, L=5,80m</v>
      </c>
      <c r="L1663" s="780" t="s">
        <v>1270</v>
      </c>
      <c r="M1663" s="1270">
        <v>4</v>
      </c>
      <c r="N1663" s="399">
        <v>0</v>
      </c>
      <c r="O1663" s="102">
        <f t="shared" si="264"/>
        <v>0</v>
      </c>
      <c r="P1663" s="101">
        <f t="shared" si="265"/>
        <v>0</v>
      </c>
      <c r="Q1663" s="1472">
        <v>4</v>
      </c>
    </row>
    <row r="1664" spans="1:17">
      <c r="A1664" s="1482"/>
      <c r="B1664" s="1482"/>
      <c r="C1664" s="1555">
        <f t="shared" si="263"/>
        <v>3</v>
      </c>
      <c r="D1664" s="1492">
        <f t="shared" si="261"/>
        <v>2</v>
      </c>
      <c r="E1664" s="1492"/>
      <c r="F1664" s="1484" t="s">
        <v>11724</v>
      </c>
      <c r="G1664" s="969"/>
      <c r="H1664" s="1095" t="s">
        <v>11722</v>
      </c>
      <c r="I1664" s="780" t="s">
        <v>13000</v>
      </c>
      <c r="J1664" s="834"/>
      <c r="K1664" s="790" t="str">
        <f>(IF(H1664="Saneago",VLOOKUP(I1664,'SANEAGO-FEV.2016'!A:B,2,0),IF(H1664="Sinapi",VLOOKUP(I1664,'SINAPI-FEV.2017'!A:D,2,0),IF(H1664="Cotação",VLOOKUP(I1664,COTAÇÃO!A:D,2,0),IF(H1664="Composição",VLOOKUP(I1664,COMPOSIÇÃO!A:D,2,0))))))</f>
        <v>Tubo em FºFº com flanges e ponta classe K-9,  PN-10, DN100, L=0,70m</v>
      </c>
      <c r="L1664" s="780" t="s">
        <v>1270</v>
      </c>
      <c r="M1664" s="1270">
        <v>20</v>
      </c>
      <c r="N1664" s="399">
        <v>0</v>
      </c>
      <c r="O1664" s="102">
        <f t="shared" si="264"/>
        <v>0</v>
      </c>
      <c r="P1664" s="101">
        <f t="shared" si="265"/>
        <v>0</v>
      </c>
      <c r="Q1664" s="1472">
        <v>20</v>
      </c>
    </row>
    <row r="1665" spans="1:17">
      <c r="A1665" s="1482"/>
      <c r="B1665" s="1482"/>
      <c r="C1665" s="1555">
        <f t="shared" si="263"/>
        <v>3</v>
      </c>
      <c r="D1665" s="1492">
        <f t="shared" si="261"/>
        <v>2</v>
      </c>
      <c r="E1665" s="1492"/>
      <c r="F1665" s="1484" t="s">
        <v>11724</v>
      </c>
      <c r="G1665" s="969"/>
      <c r="H1665" s="1095" t="s">
        <v>11722</v>
      </c>
      <c r="I1665" s="780" t="s">
        <v>13002</v>
      </c>
      <c r="J1665" s="834"/>
      <c r="K1665" s="790" t="str">
        <f>(IF(H1665="Saneago",VLOOKUP(I1665,'SANEAGO-FEV.2016'!A:B,2,0),IF(H1665="Sinapi",VLOOKUP(I1665,'SINAPI-FEV.2017'!A:D,2,0),IF(H1665="Cotação",VLOOKUP(I1665,COTAÇÃO!A:D,2,0),IF(H1665="Composição",VLOOKUP(I1665,COMPOSIÇÃO!A:D,2,0))))))</f>
        <v>Tubo em FºFº com flanges e ponta classe K-9,  PN-10, DN100, L=0,75m</v>
      </c>
      <c r="L1665" s="780" t="s">
        <v>1270</v>
      </c>
      <c r="M1665" s="1270">
        <v>12</v>
      </c>
      <c r="N1665" s="399">
        <v>0</v>
      </c>
      <c r="O1665" s="102">
        <f t="shared" si="264"/>
        <v>0</v>
      </c>
      <c r="P1665" s="101">
        <f t="shared" si="265"/>
        <v>0</v>
      </c>
      <c r="Q1665" s="1472">
        <v>12</v>
      </c>
    </row>
    <row r="1666" spans="1:17">
      <c r="A1666" s="1482"/>
      <c r="B1666" s="1482"/>
      <c r="C1666" s="1555">
        <f t="shared" si="263"/>
        <v>3</v>
      </c>
      <c r="D1666" s="1492">
        <f t="shared" si="261"/>
        <v>2</v>
      </c>
      <c r="E1666" s="1492"/>
      <c r="F1666" s="1484" t="s">
        <v>11724</v>
      </c>
      <c r="G1666" s="969"/>
      <c r="H1666" s="1095" t="s">
        <v>11722</v>
      </c>
      <c r="I1666" s="780" t="s">
        <v>13004</v>
      </c>
      <c r="J1666" s="834"/>
      <c r="K1666" s="790" t="str">
        <f>(IF(H1666="Saneago",VLOOKUP(I1666,'SANEAGO-FEV.2016'!A:B,2,0),IF(H1666="Sinapi",VLOOKUP(I1666,'SINAPI-FEV.2017'!A:D,2,0),IF(H1666="Cotação",VLOOKUP(I1666,COTAÇÃO!A:D,2,0),IF(H1666="Composição",VLOOKUP(I1666,COMPOSIÇÃO!A:D,2,0))))))</f>
        <v>Tubo em FºFº com flanges e ponta classe K-9,  PN-10, DN100, L=0,95m</v>
      </c>
      <c r="L1666" s="780" t="s">
        <v>1270</v>
      </c>
      <c r="M1666" s="1270">
        <v>28</v>
      </c>
      <c r="N1666" s="399">
        <v>0</v>
      </c>
      <c r="O1666" s="102">
        <f t="shared" si="264"/>
        <v>0</v>
      </c>
      <c r="P1666" s="101">
        <f t="shared" si="265"/>
        <v>0</v>
      </c>
      <c r="Q1666" s="1472">
        <v>28</v>
      </c>
    </row>
    <row r="1667" spans="1:17">
      <c r="A1667" s="1482"/>
      <c r="B1667" s="1482"/>
      <c r="C1667" s="1555">
        <f t="shared" si="263"/>
        <v>3</v>
      </c>
      <c r="D1667" s="1492">
        <f t="shared" si="261"/>
        <v>2</v>
      </c>
      <c r="E1667" s="1492"/>
      <c r="F1667" s="1484" t="s">
        <v>11724</v>
      </c>
      <c r="G1667" s="969"/>
      <c r="H1667" s="1095" t="s">
        <v>11722</v>
      </c>
      <c r="I1667" s="780" t="s">
        <v>13008</v>
      </c>
      <c r="J1667" s="834"/>
      <c r="K1667" s="790" t="str">
        <f>(IF(H1667="Saneago",VLOOKUP(I1667,'SANEAGO-FEV.2016'!A:B,2,0),IF(H1667="Sinapi",VLOOKUP(I1667,'SINAPI-FEV.2017'!A:D,2,0),IF(H1667="Cotação",VLOOKUP(I1667,COTAÇÃO!A:D,2,0),IF(H1667="Composição",VLOOKUP(I1667,COMPOSIÇÃO!A:D,2,0))))))</f>
        <v>Tubo em FºFº com flanges e ponta classe K-9,  PN-10, DN100, L=1,45m</v>
      </c>
      <c r="L1667" s="780" t="s">
        <v>1270</v>
      </c>
      <c r="M1667" s="1270">
        <v>4</v>
      </c>
      <c r="N1667" s="399">
        <v>0</v>
      </c>
      <c r="O1667" s="102">
        <f t="shared" si="264"/>
        <v>0</v>
      </c>
      <c r="P1667" s="101">
        <f t="shared" si="265"/>
        <v>0</v>
      </c>
      <c r="Q1667" s="1472">
        <v>4</v>
      </c>
    </row>
    <row r="1668" spans="1:17">
      <c r="A1668" s="1482"/>
      <c r="B1668" s="1482"/>
      <c r="C1668" s="1555">
        <f t="shared" si="263"/>
        <v>3</v>
      </c>
      <c r="D1668" s="1492">
        <f t="shared" si="261"/>
        <v>2</v>
      </c>
      <c r="E1668" s="1492"/>
      <c r="F1668" s="1484" t="s">
        <v>11724</v>
      </c>
      <c r="G1668" s="969"/>
      <c r="H1668" s="1095" t="s">
        <v>11722</v>
      </c>
      <c r="I1668" s="780" t="s">
        <v>13010</v>
      </c>
      <c r="J1668" s="834"/>
      <c r="K1668" s="790" t="str">
        <f>(IF(H1668="Saneago",VLOOKUP(I1668,'SANEAGO-FEV.2016'!A:B,2,0),IF(H1668="Sinapi",VLOOKUP(I1668,'SINAPI-FEV.2017'!A:D,2,0),IF(H1668="Cotação",VLOOKUP(I1668,COTAÇÃO!A:D,2,0),IF(H1668="Composição",VLOOKUP(I1668,COMPOSIÇÃO!A:D,2,0))))))</f>
        <v>Tubo em FºFº com flanges e ponta classe K-9,  PN-10, DN100, L=1,46m</v>
      </c>
      <c r="L1668" s="780" t="s">
        <v>1270</v>
      </c>
      <c r="M1668" s="1270">
        <v>16</v>
      </c>
      <c r="N1668" s="399">
        <v>0</v>
      </c>
      <c r="O1668" s="102">
        <f t="shared" si="264"/>
        <v>0</v>
      </c>
      <c r="P1668" s="101">
        <f t="shared" si="265"/>
        <v>0</v>
      </c>
      <c r="Q1668" s="1472">
        <v>16</v>
      </c>
    </row>
    <row r="1669" spans="1:17">
      <c r="A1669" s="1482"/>
      <c r="B1669" s="1482"/>
      <c r="C1669" s="1555">
        <f t="shared" si="263"/>
        <v>3</v>
      </c>
      <c r="D1669" s="1492">
        <f t="shared" si="261"/>
        <v>2</v>
      </c>
      <c r="E1669" s="1492"/>
      <c r="F1669" s="1484" t="s">
        <v>11724</v>
      </c>
      <c r="G1669" s="969"/>
      <c r="H1669" s="1095" t="s">
        <v>11722</v>
      </c>
      <c r="I1669" s="780" t="s">
        <v>13012</v>
      </c>
      <c r="J1669" s="834"/>
      <c r="K1669" s="790" t="str">
        <f>(IF(H1669="Saneago",VLOOKUP(I1669,'SANEAGO-FEV.2016'!A:B,2,0),IF(H1669="Sinapi",VLOOKUP(I1669,'SINAPI-FEV.2017'!A:D,2,0),IF(H1669="Cotação",VLOOKUP(I1669,COTAÇÃO!A:D,2,0),IF(H1669="Composição",VLOOKUP(I1669,COMPOSIÇÃO!A:D,2,0))))))</f>
        <v>Tubo em FºFº com flanges e ponta classe K-9,  PN-10, DN100, L=2,19m</v>
      </c>
      <c r="L1669" s="780" t="s">
        <v>1270</v>
      </c>
      <c r="M1669" s="1270">
        <v>16</v>
      </c>
      <c r="N1669" s="399">
        <v>0</v>
      </c>
      <c r="O1669" s="102">
        <f t="shared" si="264"/>
        <v>0</v>
      </c>
      <c r="P1669" s="101">
        <f t="shared" si="265"/>
        <v>0</v>
      </c>
      <c r="Q1669" s="1472">
        <v>16</v>
      </c>
    </row>
    <row r="1670" spans="1:17">
      <c r="A1670" s="1482"/>
      <c r="B1670" s="1482"/>
      <c r="C1670" s="1555">
        <f t="shared" si="263"/>
        <v>3</v>
      </c>
      <c r="D1670" s="1492">
        <f t="shared" ref="D1670:D1701" si="266">D1669+B1670</f>
        <v>2</v>
      </c>
      <c r="E1670" s="1492"/>
      <c r="F1670" s="1484" t="s">
        <v>11724</v>
      </c>
      <c r="G1670" s="969"/>
      <c r="H1670" s="1095" t="s">
        <v>11722</v>
      </c>
      <c r="I1670" s="780" t="s">
        <v>13016</v>
      </c>
      <c r="J1670" s="834"/>
      <c r="K1670" s="790" t="str">
        <f>(IF(H1670="Saneago",VLOOKUP(I1670,'SANEAGO-FEV.2016'!A:B,2,0),IF(H1670="Sinapi",VLOOKUP(I1670,'SINAPI-FEV.2017'!A:D,2,0),IF(H1670="Cotação",VLOOKUP(I1670,COTAÇÃO!A:D,2,0),IF(H1670="Composição",VLOOKUP(I1670,COMPOSIÇÃO!A:D,2,0))))))</f>
        <v>Tubo em FºFº com flanges e ponta classe K-9,  PN-10, DN100, L=3,41m</v>
      </c>
      <c r="L1670" s="780" t="s">
        <v>1270</v>
      </c>
      <c r="M1670" s="1270">
        <v>20</v>
      </c>
      <c r="N1670" s="399">
        <v>0</v>
      </c>
      <c r="O1670" s="102">
        <f t="shared" si="264"/>
        <v>0</v>
      </c>
      <c r="P1670" s="101">
        <f t="shared" si="265"/>
        <v>0</v>
      </c>
      <c r="Q1670" s="1472">
        <v>20</v>
      </c>
    </row>
    <row r="1671" spans="1:17">
      <c r="A1671" s="1482"/>
      <c r="B1671" s="1482"/>
      <c r="C1671" s="1555">
        <f t="shared" si="263"/>
        <v>3</v>
      </c>
      <c r="D1671" s="1492">
        <f t="shared" si="266"/>
        <v>2</v>
      </c>
      <c r="E1671" s="1492"/>
      <c r="F1671" s="1484" t="s">
        <v>11724</v>
      </c>
      <c r="G1671" s="969"/>
      <c r="H1671" s="1095" t="s">
        <v>11722</v>
      </c>
      <c r="I1671" s="780" t="s">
        <v>13020</v>
      </c>
      <c r="J1671" s="834"/>
      <c r="K1671" s="790" t="str">
        <f>(IF(H1671="Saneago",VLOOKUP(I1671,'SANEAGO-FEV.2016'!A:B,2,0),IF(H1671="Sinapi",VLOOKUP(I1671,'SINAPI-FEV.2017'!A:D,2,0),IF(H1671="Cotação",VLOOKUP(I1671,COTAÇÃO!A:D,2,0),IF(H1671="Composição",VLOOKUP(I1671,COMPOSIÇÃO!A:D,2,0))))))</f>
        <v>Tubo em FºFº com flanges e ponta classe K-9,  PN-10, DN150, L=0,95m</v>
      </c>
      <c r="L1671" s="780" t="s">
        <v>1270</v>
      </c>
      <c r="M1671" s="1270">
        <v>48</v>
      </c>
      <c r="N1671" s="399">
        <v>0</v>
      </c>
      <c r="O1671" s="102">
        <f t="shared" si="264"/>
        <v>0</v>
      </c>
      <c r="P1671" s="101">
        <f t="shared" si="265"/>
        <v>0</v>
      </c>
      <c r="Q1671" s="1472">
        <v>48</v>
      </c>
    </row>
    <row r="1672" spans="1:17">
      <c r="A1672" s="1482"/>
      <c r="B1672" s="1482"/>
      <c r="C1672" s="1555">
        <f t="shared" si="263"/>
        <v>3</v>
      </c>
      <c r="D1672" s="1492">
        <f t="shared" si="266"/>
        <v>2</v>
      </c>
      <c r="E1672" s="1492"/>
      <c r="F1672" s="1484" t="s">
        <v>11724</v>
      </c>
      <c r="G1672" s="969"/>
      <c r="H1672" s="1095" t="s">
        <v>11722</v>
      </c>
      <c r="I1672" s="780" t="s">
        <v>13022</v>
      </c>
      <c r="J1672" s="834"/>
      <c r="K1672" s="790" t="str">
        <f>(IF(H1672="Saneago",VLOOKUP(I1672,'SANEAGO-FEV.2016'!A:B,2,0),IF(H1672="Sinapi",VLOOKUP(I1672,'SINAPI-FEV.2017'!A:D,2,0),IF(H1672="Cotação",VLOOKUP(I1672,COTAÇÃO!A:D,2,0),IF(H1672="Composição",VLOOKUP(I1672,COMPOSIÇÃO!A:D,2,0))))))</f>
        <v>Tubo em FºFº com flanges e ponta classe K-9,  PN-10, DN150, L=5,15m</v>
      </c>
      <c r="L1672" s="780" t="s">
        <v>1270</v>
      </c>
      <c r="M1672" s="1270">
        <v>96</v>
      </c>
      <c r="N1672" s="399">
        <v>0</v>
      </c>
      <c r="O1672" s="102">
        <f t="shared" si="264"/>
        <v>0</v>
      </c>
      <c r="P1672" s="101">
        <f t="shared" si="265"/>
        <v>0</v>
      </c>
      <c r="Q1672" s="1472">
        <v>96</v>
      </c>
    </row>
    <row r="1673" spans="1:17">
      <c r="A1673" s="1482"/>
      <c r="B1673" s="1482"/>
      <c r="C1673" s="1555">
        <f t="shared" si="263"/>
        <v>3</v>
      </c>
      <c r="D1673" s="1492">
        <f t="shared" si="266"/>
        <v>2</v>
      </c>
      <c r="E1673" s="1492"/>
      <c r="F1673" s="1484" t="s">
        <v>11724</v>
      </c>
      <c r="G1673" s="969"/>
      <c r="H1673" s="1095" t="s">
        <v>11722</v>
      </c>
      <c r="I1673" s="780" t="s">
        <v>13024</v>
      </c>
      <c r="J1673" s="834"/>
      <c r="K1673" s="790" t="str">
        <f>(IF(H1673="Saneago",VLOOKUP(I1673,'SANEAGO-FEV.2016'!A:B,2,0),IF(H1673="Sinapi",VLOOKUP(I1673,'SINAPI-FEV.2017'!A:D,2,0),IF(H1673="Cotação",VLOOKUP(I1673,COTAÇÃO!A:D,2,0),IF(H1673="Composição",VLOOKUP(I1673,COMPOSIÇÃO!A:D,2,0))))))</f>
        <v>Tubo em FºFº com flanges e ponta classe K-9,  PN-10, DN200, L=0,40m</v>
      </c>
      <c r="L1673" s="780" t="s">
        <v>1270</v>
      </c>
      <c r="M1673" s="1270">
        <v>12</v>
      </c>
      <c r="N1673" s="399">
        <v>0</v>
      </c>
      <c r="O1673" s="102">
        <f t="shared" si="264"/>
        <v>0</v>
      </c>
      <c r="P1673" s="101">
        <f t="shared" si="265"/>
        <v>0</v>
      </c>
      <c r="Q1673" s="1472">
        <v>12</v>
      </c>
    </row>
    <row r="1674" spans="1:17">
      <c r="A1674" s="1482"/>
      <c r="B1674" s="1482"/>
      <c r="C1674" s="1555">
        <f t="shared" si="263"/>
        <v>3</v>
      </c>
      <c r="D1674" s="1492">
        <f t="shared" si="266"/>
        <v>2</v>
      </c>
      <c r="E1674" s="1492"/>
      <c r="F1674" s="1484" t="s">
        <v>11724</v>
      </c>
      <c r="G1674" s="969"/>
      <c r="H1674" s="1095" t="s">
        <v>11722</v>
      </c>
      <c r="I1674" s="780" t="s">
        <v>13026</v>
      </c>
      <c r="J1674" s="834"/>
      <c r="K1674" s="790" t="str">
        <f>(IF(H1674="Saneago",VLOOKUP(I1674,'SANEAGO-FEV.2016'!A:B,2,0),IF(H1674="Sinapi",VLOOKUP(I1674,'SINAPI-FEV.2017'!A:D,2,0),IF(H1674="Cotação",VLOOKUP(I1674,COTAÇÃO!A:D,2,0),IF(H1674="Composição",VLOOKUP(I1674,COMPOSIÇÃO!A:D,2,0))))))</f>
        <v>Tubo em FºFº com flanges e ponta classe K-9,  PN-10, DN200, L=0,80m</v>
      </c>
      <c r="L1674" s="780" t="s">
        <v>1270</v>
      </c>
      <c r="M1674" s="1270">
        <v>4</v>
      </c>
      <c r="N1674" s="399">
        <v>0</v>
      </c>
      <c r="O1674" s="102">
        <f t="shared" si="264"/>
        <v>0</v>
      </c>
      <c r="P1674" s="101">
        <f t="shared" si="265"/>
        <v>0</v>
      </c>
      <c r="Q1674" s="1472">
        <v>4</v>
      </c>
    </row>
    <row r="1675" spans="1:17">
      <c r="A1675" s="1482"/>
      <c r="B1675" s="1482"/>
      <c r="C1675" s="1555">
        <f t="shared" si="263"/>
        <v>3</v>
      </c>
      <c r="D1675" s="1492">
        <f t="shared" si="266"/>
        <v>2</v>
      </c>
      <c r="E1675" s="1492"/>
      <c r="F1675" s="1484" t="s">
        <v>11724</v>
      </c>
      <c r="G1675" s="969"/>
      <c r="H1675" s="1095" t="s">
        <v>11722</v>
      </c>
      <c r="I1675" s="780" t="s">
        <v>13028</v>
      </c>
      <c r="J1675" s="834"/>
      <c r="K1675" s="790" t="str">
        <f>(IF(H1675="Saneago",VLOOKUP(I1675,'SANEAGO-FEV.2016'!A:B,2,0),IF(H1675="Sinapi",VLOOKUP(I1675,'SINAPI-FEV.2017'!A:D,2,0),IF(H1675="Cotação",VLOOKUP(I1675,COTAÇÃO!A:D,2,0),IF(H1675="Composição",VLOOKUP(I1675,COMPOSIÇÃO!A:D,2,0))))))</f>
        <v>Tubo em FºFº com flanges e ponta classe K-9,  PN-10, DN200, L=0,90m</v>
      </c>
      <c r="L1675" s="780" t="s">
        <v>1270</v>
      </c>
      <c r="M1675" s="1270">
        <v>4</v>
      </c>
      <c r="N1675" s="399">
        <v>0</v>
      </c>
      <c r="O1675" s="102">
        <f t="shared" si="264"/>
        <v>0</v>
      </c>
      <c r="P1675" s="101">
        <f t="shared" si="265"/>
        <v>0</v>
      </c>
      <c r="Q1675" s="1472">
        <v>4</v>
      </c>
    </row>
    <row r="1676" spans="1:17" ht="33.75">
      <c r="A1676" s="1482"/>
      <c r="B1676" s="1482"/>
      <c r="C1676" s="1555">
        <f t="shared" si="263"/>
        <v>3</v>
      </c>
      <c r="D1676" s="1492">
        <f t="shared" si="266"/>
        <v>2</v>
      </c>
      <c r="E1676" s="1492"/>
      <c r="F1676" s="1484" t="s">
        <v>11724</v>
      </c>
      <c r="G1676" s="969"/>
      <c r="H1676" s="1095" t="s">
        <v>70</v>
      </c>
      <c r="I1676" s="780">
        <v>92341</v>
      </c>
      <c r="J1676" s="834"/>
      <c r="K1676" s="790" t="str">
        <f>(IF(H1676="Saneago",VLOOKUP(I1676,'SANEAGO-FEV.2016'!A:B,2,0),IF(H1676="Sinapi",VLOOKUP(I1676,'SINAPI-FEV.2017'!A:D,2,0),IF(H1676="Cotação",VLOOKUP(I1676,COTAÇÃO!A:D,2,0),IF(H1676="Composição",VLOOKUP(I1676,COMPOSIÇÃO!A:D,2,0))))))</f>
        <v>TUBO DE AÇO GALVANIZADO COM COSTURA, CLASSE MÉDIA, DN 50 (2"), CONEXÃO ROSQUEADA, INSTALADO EM PRUMADAS - FORNECIMENTO E INSTALAÇÃO. AF_12/2015</v>
      </c>
      <c r="L1676" s="780" t="s">
        <v>18</v>
      </c>
      <c r="M1676" s="1270">
        <v>74.400000000000006</v>
      </c>
      <c r="N1676" s="399">
        <v>0</v>
      </c>
      <c r="O1676" s="102">
        <f t="shared" si="264"/>
        <v>0</v>
      </c>
      <c r="P1676" s="101">
        <f t="shared" si="265"/>
        <v>0</v>
      </c>
      <c r="Q1676" s="1472">
        <v>74.400000000000006</v>
      </c>
    </row>
    <row r="1677" spans="1:17" ht="22.5">
      <c r="A1677" s="1482"/>
      <c r="B1677" s="1482"/>
      <c r="C1677" s="1555">
        <f t="shared" si="263"/>
        <v>3</v>
      </c>
      <c r="D1677" s="1492">
        <f t="shared" si="266"/>
        <v>2</v>
      </c>
      <c r="E1677" s="1492"/>
      <c r="F1677" s="1484" t="s">
        <v>11724</v>
      </c>
      <c r="G1677" s="969"/>
      <c r="H1677" s="1095" t="s">
        <v>70</v>
      </c>
      <c r="I1677" s="780">
        <v>25886</v>
      </c>
      <c r="J1677" s="834"/>
      <c r="K1677" s="790" t="str">
        <f>(IF(H1677="Saneago",VLOOKUP(I1677,'SANEAGO-FEV.2016'!A:B,2,0),IF(H1677="Sinapi",VLOOKUP(I1677,'SINAPI-FEV.2017'!A:D,2,0),IF(H1677="Cotação",VLOOKUP(I1677,COTAÇÃO!A:D,2,0),IF(H1677="Composição",VLOOKUP(I1677,COMPOSIÇÃO!A:D,2,0))))))</f>
        <v>TUBO DE POLIETILENO DE ALTA DENSIDADE, PEAD, PE-80, DE= 75 MM X 6,9 MM PAREDE, ( SRD 11 - PN 12,5 ) PARA REDE DE AGUA OU ESGOTO (NBR 15561)</v>
      </c>
      <c r="L1677" s="780" t="s">
        <v>18</v>
      </c>
      <c r="M1677" s="1270">
        <v>990</v>
      </c>
      <c r="N1677" s="399">
        <v>0</v>
      </c>
      <c r="O1677" s="102">
        <f t="shared" si="264"/>
        <v>0</v>
      </c>
      <c r="P1677" s="101">
        <f t="shared" si="265"/>
        <v>0</v>
      </c>
      <c r="Q1677" s="1472">
        <v>990</v>
      </c>
    </row>
    <row r="1678" spans="1:17">
      <c r="A1678" s="1482"/>
      <c r="B1678" s="1482"/>
      <c r="C1678" s="1555">
        <f t="shared" si="263"/>
        <v>3</v>
      </c>
      <c r="D1678" s="1492">
        <f t="shared" si="266"/>
        <v>2</v>
      </c>
      <c r="E1678" s="1492"/>
      <c r="F1678" s="1484" t="s">
        <v>11724</v>
      </c>
      <c r="G1678" s="969"/>
      <c r="H1678" s="1095" t="s">
        <v>70</v>
      </c>
      <c r="I1678" s="780">
        <v>12601</v>
      </c>
      <c r="J1678" s="834"/>
      <c r="K1678" s="790" t="str">
        <f>(IF(H1678="Saneago",VLOOKUP(I1678,'SANEAGO-FEV.2016'!A:B,2,0),IF(H1678="Sinapi",VLOOKUP(I1678,'SINAPI-FEV.2017'!A:D,2,0),IF(H1678="Cotação",VLOOKUP(I1678,COTAÇÃO!A:D,2,0),IF(H1678="Composição",VLOOKUP(I1678,COMPOSIÇÃO!A:D,2,0))))))</f>
        <v>TUBO PVC PBA, CLASSE 15, JE, DN 75/DE 85 MM, REDE AGUA (NBR 5647)</v>
      </c>
      <c r="L1678" s="780" t="s">
        <v>18</v>
      </c>
      <c r="M1678" s="1270">
        <v>12</v>
      </c>
      <c r="N1678" s="399">
        <v>0</v>
      </c>
      <c r="O1678" s="102">
        <f t="shared" si="264"/>
        <v>0</v>
      </c>
      <c r="P1678" s="101">
        <f t="shared" si="265"/>
        <v>0</v>
      </c>
      <c r="Q1678" s="1472">
        <v>12</v>
      </c>
    </row>
    <row r="1679" spans="1:17">
      <c r="A1679" s="1482"/>
      <c r="B1679" s="1482"/>
      <c r="C1679" s="1555">
        <f t="shared" si="263"/>
        <v>3</v>
      </c>
      <c r="D1679" s="1492">
        <f t="shared" si="266"/>
        <v>2</v>
      </c>
      <c r="E1679" s="1492"/>
      <c r="F1679" s="1484" t="s">
        <v>11724</v>
      </c>
      <c r="G1679" s="969"/>
      <c r="H1679" s="1095" t="s">
        <v>70</v>
      </c>
      <c r="I1679" s="780">
        <v>9859</v>
      </c>
      <c r="J1679" s="834"/>
      <c r="K1679" s="790" t="str">
        <f>(IF(H1679="Saneago",VLOOKUP(I1679,'SANEAGO-FEV.2016'!A:B,2,0),IF(H1679="Sinapi",VLOOKUP(I1679,'SINAPI-FEV.2017'!A:D,2,0),IF(H1679="Cotação",VLOOKUP(I1679,COTAÇÃO!A:D,2,0),IF(H1679="Composição",VLOOKUP(I1679,COMPOSIÇÃO!A:D,2,0))))))</f>
        <v>TUBO PVC ROSCAVEL, 3/4",  AGUA FRIA PREDIAL</v>
      </c>
      <c r="L1679" s="780" t="s">
        <v>18</v>
      </c>
      <c r="M1679" s="1270">
        <v>8</v>
      </c>
      <c r="N1679" s="399">
        <v>0</v>
      </c>
      <c r="O1679" s="102">
        <f t="shared" si="264"/>
        <v>0</v>
      </c>
      <c r="P1679" s="101">
        <f t="shared" si="265"/>
        <v>0</v>
      </c>
      <c r="Q1679" s="1472">
        <v>8</v>
      </c>
    </row>
    <row r="1680" spans="1:17">
      <c r="A1680" s="1482"/>
      <c r="B1680" s="1482"/>
      <c r="C1680" s="1555">
        <f t="shared" si="263"/>
        <v>3</v>
      </c>
      <c r="D1680" s="1492">
        <f t="shared" si="266"/>
        <v>2</v>
      </c>
      <c r="E1680" s="1492"/>
      <c r="F1680" s="1484" t="s">
        <v>11724</v>
      </c>
      <c r="G1680" s="969"/>
      <c r="H1680" s="1095" t="s">
        <v>70</v>
      </c>
      <c r="I1680" s="780">
        <v>9868</v>
      </c>
      <c r="J1680" s="834"/>
      <c r="K1680" s="790" t="str">
        <f>(IF(H1680="Saneago",VLOOKUP(I1680,'SANEAGO-FEV.2016'!A:B,2,0),IF(H1680="Sinapi",VLOOKUP(I1680,'SINAPI-FEV.2017'!A:D,2,0),IF(H1680="Cotação",VLOOKUP(I1680,COTAÇÃO!A:D,2,0),IF(H1680="Composição",VLOOKUP(I1680,COMPOSIÇÃO!A:D,2,0))))))</f>
        <v>TUBO PVC, SOLDAVEL, DN 25 MM, AGUA FRIA (NBR-5648)</v>
      </c>
      <c r="L1680" s="780" t="s">
        <v>18</v>
      </c>
      <c r="M1680" s="1270">
        <v>18</v>
      </c>
      <c r="N1680" s="399">
        <v>0</v>
      </c>
      <c r="O1680" s="102">
        <f t="shared" si="264"/>
        <v>0</v>
      </c>
      <c r="P1680" s="101">
        <f t="shared" si="265"/>
        <v>0</v>
      </c>
      <c r="Q1680" s="1472">
        <v>18</v>
      </c>
    </row>
    <row r="1681" spans="1:17">
      <c r="A1681" s="1482"/>
      <c r="B1681" s="1482"/>
      <c r="C1681" s="1555">
        <f t="shared" si="263"/>
        <v>3</v>
      </c>
      <c r="D1681" s="1492">
        <f t="shared" si="266"/>
        <v>2</v>
      </c>
      <c r="E1681" s="1492"/>
      <c r="F1681" s="1484" t="s">
        <v>11724</v>
      </c>
      <c r="G1681" s="969"/>
      <c r="H1681" s="1095" t="s">
        <v>70</v>
      </c>
      <c r="I1681" s="780">
        <v>9875</v>
      </c>
      <c r="J1681" s="834"/>
      <c r="K1681" s="790" t="str">
        <f>(IF(H1681="Saneago",VLOOKUP(I1681,'SANEAGO-FEV.2016'!A:B,2,0),IF(H1681="Sinapi",VLOOKUP(I1681,'SINAPI-FEV.2017'!A:D,2,0),IF(H1681="Cotação",VLOOKUP(I1681,COTAÇÃO!A:D,2,0),IF(H1681="Composição",VLOOKUP(I1681,COMPOSIÇÃO!A:D,2,0))))))</f>
        <v>TUBO PVC, SOLDAVEL, DN 50 MM, PARA AGUA FRIA (NBR-5648)</v>
      </c>
      <c r="L1681" s="780" t="s">
        <v>18</v>
      </c>
      <c r="M1681" s="1270">
        <v>186</v>
      </c>
      <c r="N1681" s="399">
        <v>0</v>
      </c>
      <c r="O1681" s="102">
        <f t="shared" si="264"/>
        <v>0</v>
      </c>
      <c r="P1681" s="101">
        <f t="shared" si="265"/>
        <v>0</v>
      </c>
      <c r="Q1681" s="1472">
        <v>186</v>
      </c>
    </row>
    <row r="1682" spans="1:17" ht="22.5">
      <c r="A1682" s="1482"/>
      <c r="B1682" s="1482"/>
      <c r="C1682" s="1555">
        <f t="shared" si="263"/>
        <v>3</v>
      </c>
      <c r="D1682" s="1492">
        <f t="shared" si="266"/>
        <v>2</v>
      </c>
      <c r="E1682" s="1492"/>
      <c r="F1682" s="1484" t="s">
        <v>11724</v>
      </c>
      <c r="G1682" s="969"/>
      <c r="H1682" s="1095" t="s">
        <v>11722</v>
      </c>
      <c r="I1682" s="780" t="s">
        <v>13209</v>
      </c>
      <c r="J1682" s="834"/>
      <c r="K1682" s="790" t="str">
        <f>(IF(H1682="Saneago",VLOOKUP(I1682,'SANEAGO-FEV.2016'!A:B,2,0),IF(H1682="Sinapi",VLOOKUP(I1682,'SINAPI-FEV.2017'!A:D,2,0),IF(H1682="Cotação",VLOOKUP(I1682,COTAÇÃO!A:D,2,0),IF(H1682="Composição",VLOOKUP(I1682,COMPOSIÇÃO!A:D,2,0))))))</f>
        <v>Tubo em RPVC conforme a norma NBR 15.536-2, com flange e ponta, PN-10, DN150, L=1,00m</v>
      </c>
      <c r="L1682" s="780" t="s">
        <v>1270</v>
      </c>
      <c r="M1682" s="1270">
        <v>2</v>
      </c>
      <c r="N1682" s="399">
        <v>0</v>
      </c>
      <c r="O1682" s="102">
        <f t="shared" si="264"/>
        <v>0</v>
      </c>
      <c r="P1682" s="101">
        <f t="shared" si="265"/>
        <v>0</v>
      </c>
      <c r="Q1682" s="1472">
        <v>2</v>
      </c>
    </row>
    <row r="1683" spans="1:17" ht="22.5">
      <c r="A1683" s="1482"/>
      <c r="B1683" s="1482"/>
      <c r="C1683" s="1555">
        <f t="shared" si="263"/>
        <v>3</v>
      </c>
      <c r="D1683" s="1492">
        <f t="shared" si="266"/>
        <v>2</v>
      </c>
      <c r="E1683" s="1492"/>
      <c r="F1683" s="1484" t="s">
        <v>11724</v>
      </c>
      <c r="G1683" s="969"/>
      <c r="H1683" s="1095" t="s">
        <v>11722</v>
      </c>
      <c r="I1683" s="780" t="s">
        <v>13211</v>
      </c>
      <c r="J1683" s="834"/>
      <c r="K1683" s="790" t="str">
        <f>(IF(H1683="Saneago",VLOOKUP(I1683,'SANEAGO-FEV.2016'!A:B,2,0),IF(H1683="Sinapi",VLOOKUP(I1683,'SINAPI-FEV.2017'!A:D,2,0),IF(H1683="Cotação",VLOOKUP(I1683,COTAÇÃO!A:D,2,0),IF(H1683="Composição",VLOOKUP(I1683,COMPOSIÇÃO!A:D,2,0))))))</f>
        <v>Tubo em RPVC conforme a norma NBR 15.536-2, com flange e ponta, PN-10, DN150, L=1,15m</v>
      </c>
      <c r="L1683" s="780" t="s">
        <v>1270</v>
      </c>
      <c r="M1683" s="1270">
        <v>2</v>
      </c>
      <c r="N1683" s="399">
        <v>0</v>
      </c>
      <c r="O1683" s="102">
        <f t="shared" si="264"/>
        <v>0</v>
      </c>
      <c r="P1683" s="101">
        <f t="shared" si="265"/>
        <v>0</v>
      </c>
      <c r="Q1683" s="1472">
        <v>2</v>
      </c>
    </row>
    <row r="1684" spans="1:17">
      <c r="A1684" s="1482"/>
      <c r="B1684" s="1482"/>
      <c r="C1684" s="1555">
        <f t="shared" si="263"/>
        <v>3</v>
      </c>
      <c r="D1684" s="1492">
        <f t="shared" si="266"/>
        <v>2</v>
      </c>
      <c r="E1684" s="1492"/>
      <c r="F1684" s="1484" t="s">
        <v>11724</v>
      </c>
      <c r="G1684" s="969"/>
      <c r="H1684" s="1095" t="s">
        <v>11722</v>
      </c>
      <c r="I1684" s="780" t="s">
        <v>13213</v>
      </c>
      <c r="J1684" s="834"/>
      <c r="K1684" s="790" t="str">
        <f>(IF(H1684="Saneago",VLOOKUP(I1684,'SANEAGO-FEV.2016'!A:B,2,0),IF(H1684="Sinapi",VLOOKUP(I1684,'SINAPI-FEV.2017'!A:D,2,0),IF(H1684="Cotação",VLOOKUP(I1684,COTAÇÃO!A:D,2,0),IF(H1684="Composição",VLOOKUP(I1684,COMPOSIÇÃO!A:D,2,0))))))</f>
        <v>Tubo em RPVC conforme a norma NBR 15.536-2, com flanges, PN-10, DN150, L=0,20m</v>
      </c>
      <c r="L1684" s="780" t="s">
        <v>1270</v>
      </c>
      <c r="M1684" s="1270">
        <v>4</v>
      </c>
      <c r="N1684" s="399">
        <v>0</v>
      </c>
      <c r="O1684" s="102">
        <f t="shared" si="264"/>
        <v>0</v>
      </c>
      <c r="P1684" s="101">
        <f t="shared" si="265"/>
        <v>0</v>
      </c>
      <c r="Q1684" s="1472">
        <v>4</v>
      </c>
    </row>
    <row r="1685" spans="1:17">
      <c r="A1685" s="1482"/>
      <c r="B1685" s="1482"/>
      <c r="C1685" s="1555">
        <f t="shared" si="263"/>
        <v>3</v>
      </c>
      <c r="D1685" s="1492">
        <f t="shared" si="266"/>
        <v>2</v>
      </c>
      <c r="E1685" s="1492"/>
      <c r="F1685" s="1484" t="s">
        <v>11724</v>
      </c>
      <c r="G1685" s="969"/>
      <c r="H1685" s="1095" t="s">
        <v>11722</v>
      </c>
      <c r="I1685" s="780" t="s">
        <v>13215</v>
      </c>
      <c r="J1685" s="834"/>
      <c r="K1685" s="790" t="str">
        <f>(IF(H1685="Saneago",VLOOKUP(I1685,'SANEAGO-FEV.2016'!A:B,2,0),IF(H1685="Sinapi",VLOOKUP(I1685,'SINAPI-FEV.2017'!A:D,2,0),IF(H1685="Cotação",VLOOKUP(I1685,COTAÇÃO!A:D,2,0),IF(H1685="Composição",VLOOKUP(I1685,COMPOSIÇÃO!A:D,2,0))))))</f>
        <v>Tubo em RPVC conforme a norma NBR 15.536-2, com flanges, PN-10, DN150, L=0,25m</v>
      </c>
      <c r="L1685" s="780" t="s">
        <v>1270</v>
      </c>
      <c r="M1685" s="1270">
        <v>2</v>
      </c>
      <c r="N1685" s="399">
        <v>0</v>
      </c>
      <c r="O1685" s="102">
        <f t="shared" si="264"/>
        <v>0</v>
      </c>
      <c r="P1685" s="101">
        <f t="shared" si="265"/>
        <v>0</v>
      </c>
      <c r="Q1685" s="1472">
        <v>2</v>
      </c>
    </row>
    <row r="1686" spans="1:17">
      <c r="A1686" s="1482"/>
      <c r="B1686" s="1482"/>
      <c r="C1686" s="1555">
        <f t="shared" si="263"/>
        <v>3</v>
      </c>
      <c r="D1686" s="1492">
        <f t="shared" si="266"/>
        <v>2</v>
      </c>
      <c r="E1686" s="1492"/>
      <c r="F1686" s="1484" t="s">
        <v>11724</v>
      </c>
      <c r="G1686" s="969"/>
      <c r="H1686" s="1095" t="s">
        <v>11722</v>
      </c>
      <c r="I1686" s="780" t="s">
        <v>13217</v>
      </c>
      <c r="J1686" s="834"/>
      <c r="K1686" s="790" t="str">
        <f>(IF(H1686="Saneago",VLOOKUP(I1686,'SANEAGO-FEV.2016'!A:B,2,0),IF(H1686="Sinapi",VLOOKUP(I1686,'SINAPI-FEV.2017'!A:D,2,0),IF(H1686="Cotação",VLOOKUP(I1686,COTAÇÃO!A:D,2,0),IF(H1686="Composição",VLOOKUP(I1686,COMPOSIÇÃO!A:D,2,0))))))</f>
        <v>Tubo em RPVC conforme a norma NBR 15.536-2, com flanges, PN-10, DN150, L=0,42m</v>
      </c>
      <c r="L1686" s="780" t="s">
        <v>1270</v>
      </c>
      <c r="M1686" s="1270">
        <v>4</v>
      </c>
      <c r="N1686" s="399">
        <v>0</v>
      </c>
      <c r="O1686" s="102">
        <f t="shared" si="264"/>
        <v>0</v>
      </c>
      <c r="P1686" s="101">
        <f t="shared" si="265"/>
        <v>0</v>
      </c>
      <c r="Q1686" s="1472">
        <v>4</v>
      </c>
    </row>
    <row r="1687" spans="1:17">
      <c r="A1687" s="1482"/>
      <c r="B1687" s="1482"/>
      <c r="C1687" s="1555">
        <f t="shared" si="263"/>
        <v>3</v>
      </c>
      <c r="D1687" s="1492">
        <f t="shared" si="266"/>
        <v>2</v>
      </c>
      <c r="E1687" s="1492"/>
      <c r="F1687" s="1484" t="s">
        <v>11724</v>
      </c>
      <c r="G1687" s="969"/>
      <c r="H1687" s="1095" t="s">
        <v>11722</v>
      </c>
      <c r="I1687" s="780" t="s">
        <v>13219</v>
      </c>
      <c r="J1687" s="834"/>
      <c r="K1687" s="790" t="str">
        <f>(IF(H1687="Saneago",VLOOKUP(I1687,'SANEAGO-FEV.2016'!A:B,2,0),IF(H1687="Sinapi",VLOOKUP(I1687,'SINAPI-FEV.2017'!A:D,2,0),IF(H1687="Cotação",VLOOKUP(I1687,COTAÇÃO!A:D,2,0),IF(H1687="Composição",VLOOKUP(I1687,COMPOSIÇÃO!A:D,2,0))))))</f>
        <v>Tubo em RPVC conforme a norma NBR 15.536-2, com flanges, PN-10, DN150, L=0,75m</v>
      </c>
      <c r="L1687" s="780" t="s">
        <v>1270</v>
      </c>
      <c r="M1687" s="1270">
        <v>2</v>
      </c>
      <c r="N1687" s="399">
        <v>0</v>
      </c>
      <c r="O1687" s="102">
        <f t="shared" si="264"/>
        <v>0</v>
      </c>
      <c r="P1687" s="101">
        <f t="shared" si="265"/>
        <v>0</v>
      </c>
      <c r="Q1687" s="1472">
        <v>2</v>
      </c>
    </row>
    <row r="1688" spans="1:17">
      <c r="A1688" s="1482"/>
      <c r="B1688" s="1482"/>
      <c r="C1688" s="1555">
        <f t="shared" si="263"/>
        <v>3</v>
      </c>
      <c r="D1688" s="1492">
        <f t="shared" si="266"/>
        <v>2</v>
      </c>
      <c r="E1688" s="1492"/>
      <c r="F1688" s="1484" t="s">
        <v>11724</v>
      </c>
      <c r="G1688" s="969"/>
      <c r="H1688" s="1095" t="s">
        <v>11722</v>
      </c>
      <c r="I1688" s="780" t="s">
        <v>13221</v>
      </c>
      <c r="J1688" s="834"/>
      <c r="K1688" s="790" t="str">
        <f>(IF(H1688="Saneago",VLOOKUP(I1688,'SANEAGO-FEV.2016'!A:B,2,0),IF(H1688="Sinapi",VLOOKUP(I1688,'SINAPI-FEV.2017'!A:D,2,0),IF(H1688="Cotação",VLOOKUP(I1688,COTAÇÃO!A:D,2,0),IF(H1688="Composição",VLOOKUP(I1688,COMPOSIÇÃO!A:D,2,0))))))</f>
        <v>Tubo em RPVC conforme a norma NBR 15.536-2, com flanges, PN-10, DN150, L=1,08m</v>
      </c>
      <c r="L1688" s="780" t="s">
        <v>1270</v>
      </c>
      <c r="M1688" s="1270">
        <v>4</v>
      </c>
      <c r="N1688" s="399">
        <v>0</v>
      </c>
      <c r="O1688" s="102">
        <f t="shared" si="264"/>
        <v>0</v>
      </c>
      <c r="P1688" s="101">
        <f t="shared" si="265"/>
        <v>0</v>
      </c>
      <c r="Q1688" s="1472">
        <v>4</v>
      </c>
    </row>
    <row r="1689" spans="1:17">
      <c r="A1689" s="1482"/>
      <c r="B1689" s="1482"/>
      <c r="C1689" s="1555">
        <f t="shared" si="263"/>
        <v>3</v>
      </c>
      <c r="D1689" s="1492">
        <f t="shared" si="266"/>
        <v>2</v>
      </c>
      <c r="E1689" s="1492"/>
      <c r="F1689" s="1484" t="s">
        <v>11724</v>
      </c>
      <c r="G1689" s="969"/>
      <c r="H1689" s="1095" t="s">
        <v>11722</v>
      </c>
      <c r="I1689" s="780" t="s">
        <v>13223</v>
      </c>
      <c r="J1689" s="834"/>
      <c r="K1689" s="790" t="str">
        <f>(IF(H1689="Saneago",VLOOKUP(I1689,'SANEAGO-FEV.2016'!A:B,2,0),IF(H1689="Sinapi",VLOOKUP(I1689,'SINAPI-FEV.2017'!A:D,2,0),IF(H1689="Cotação",VLOOKUP(I1689,COTAÇÃO!A:D,2,0),IF(H1689="Composição",VLOOKUP(I1689,COMPOSIÇÃO!A:D,2,0))))))</f>
        <v>Tubo em RPVC conforme a norma NBR 15.536-2, com flanges, PN-10, DN150, L=1,13m</v>
      </c>
      <c r="L1689" s="780" t="s">
        <v>1270</v>
      </c>
      <c r="M1689" s="1270">
        <v>4</v>
      </c>
      <c r="N1689" s="399">
        <v>0</v>
      </c>
      <c r="O1689" s="102">
        <f t="shared" si="264"/>
        <v>0</v>
      </c>
      <c r="P1689" s="101">
        <f t="shared" si="265"/>
        <v>0</v>
      </c>
      <c r="Q1689" s="1472">
        <v>4</v>
      </c>
    </row>
    <row r="1690" spans="1:17">
      <c r="A1690" s="1482"/>
      <c r="B1690" s="1482"/>
      <c r="C1690" s="1555">
        <f t="shared" si="263"/>
        <v>3</v>
      </c>
      <c r="D1690" s="1492">
        <f t="shared" si="266"/>
        <v>2</v>
      </c>
      <c r="E1690" s="1492"/>
      <c r="F1690" s="1484" t="s">
        <v>11724</v>
      </c>
      <c r="G1690" s="969"/>
      <c r="H1690" s="1095" t="s">
        <v>11722</v>
      </c>
      <c r="I1690" s="780" t="s">
        <v>13225</v>
      </c>
      <c r="J1690" s="834"/>
      <c r="K1690" s="1575" t="str">
        <f>(IF(H1690="Saneago",VLOOKUP(I1690,'SANEAGO-FEV.2016'!A:B,2,0),IF(H1690="Sinapi",VLOOKUP(I1690,'SINAPI-FEV.2017'!A:D,2,0),IF(H1690="Cotação",VLOOKUP(I1690,COTAÇÃO!A:D,2,0),IF(H1690="Composição",VLOOKUP(I1690,COMPOSIÇÃO!A:D,2,0))))))</f>
        <v>Tubo em RPVC conforme a norma NBR 15.536-2, DN150</v>
      </c>
      <c r="L1690" s="1224" t="s">
        <v>18</v>
      </c>
      <c r="M1690" s="1576">
        <v>203</v>
      </c>
      <c r="N1690" s="399">
        <v>0</v>
      </c>
      <c r="O1690" s="102">
        <f t="shared" si="264"/>
        <v>0</v>
      </c>
      <c r="P1690" s="101">
        <f t="shared" si="265"/>
        <v>0</v>
      </c>
      <c r="Q1690" s="1472">
        <v>203</v>
      </c>
    </row>
    <row r="1691" spans="1:17">
      <c r="A1691" s="1482"/>
      <c r="B1691" s="1482"/>
      <c r="C1691" s="1555">
        <f t="shared" si="263"/>
        <v>3</v>
      </c>
      <c r="D1691" s="1492">
        <f t="shared" si="266"/>
        <v>2</v>
      </c>
      <c r="E1691" s="1492"/>
      <c r="F1691" s="1484" t="s">
        <v>11724</v>
      </c>
      <c r="G1691" s="969"/>
      <c r="H1691" s="1095" t="s">
        <v>11722</v>
      </c>
      <c r="I1691" s="780" t="s">
        <v>12766</v>
      </c>
      <c r="J1691" s="834"/>
      <c r="K1691" s="790" t="str">
        <f>(IF(H1691="Saneago",VLOOKUP(I1691,'SANEAGO-FEV.2016'!A:B,2,0),IF(H1691="Sinapi",VLOOKUP(I1691,'SINAPI-FEV.2017'!A:D,2,0),IF(H1691="Cotação",VLOOKUP(I1691,COTAÇÃO!A:D,2,0),IF(H1691="Composição",VLOOKUP(I1691,COMPOSIÇÃO!A:D,2,0))))))</f>
        <v>Tubo roscável em aço inox, AISI 304, classe 3000 libras, DN 1"</v>
      </c>
      <c r="L1691" s="780" t="s">
        <v>18</v>
      </c>
      <c r="M1691" s="1270">
        <v>300</v>
      </c>
      <c r="N1691" s="399">
        <v>0</v>
      </c>
      <c r="O1691" s="102">
        <f t="shared" si="264"/>
        <v>0</v>
      </c>
      <c r="P1691" s="101">
        <f t="shared" si="265"/>
        <v>0</v>
      </c>
      <c r="Q1691" s="1472">
        <v>300</v>
      </c>
    </row>
    <row r="1692" spans="1:17">
      <c r="A1692" s="1482"/>
      <c r="B1692" s="1482"/>
      <c r="C1692" s="1555">
        <f t="shared" si="263"/>
        <v>3</v>
      </c>
      <c r="D1692" s="1492">
        <f t="shared" si="266"/>
        <v>2</v>
      </c>
      <c r="E1692" s="1492"/>
      <c r="F1692" s="1484" t="s">
        <v>11724</v>
      </c>
      <c r="G1692" s="969"/>
      <c r="H1692" s="1095" t="s">
        <v>11722</v>
      </c>
      <c r="I1692" s="780" t="s">
        <v>12768</v>
      </c>
      <c r="J1692" s="834"/>
      <c r="K1692" s="790" t="str">
        <f>(IF(H1692="Saneago",VLOOKUP(I1692,'SANEAGO-FEV.2016'!A:B,2,0),IF(H1692="Sinapi",VLOOKUP(I1692,'SINAPI-FEV.2017'!A:D,2,0),IF(H1692="Cotação",VLOOKUP(I1692,COTAÇÃO!A:D,2,0),IF(H1692="Composição",VLOOKUP(I1692,COMPOSIÇÃO!A:D,2,0))))))</f>
        <v>Tubo roscável em aço inox, AISI 304, classe 3000 libras, DN 3/4"</v>
      </c>
      <c r="L1692" s="780" t="s">
        <v>18</v>
      </c>
      <c r="M1692" s="1270">
        <v>174</v>
      </c>
      <c r="N1692" s="399">
        <v>0</v>
      </c>
      <c r="O1692" s="102">
        <f t="shared" si="264"/>
        <v>0</v>
      </c>
      <c r="P1692" s="101">
        <f t="shared" si="265"/>
        <v>0</v>
      </c>
      <c r="Q1692" s="1472">
        <v>174</v>
      </c>
    </row>
    <row r="1693" spans="1:17">
      <c r="A1693" s="1482"/>
      <c r="B1693" s="1482"/>
      <c r="C1693" s="1555">
        <f t="shared" si="263"/>
        <v>3</v>
      </c>
      <c r="D1693" s="1492">
        <f t="shared" si="266"/>
        <v>2</v>
      </c>
      <c r="E1693" s="1492"/>
      <c r="F1693" s="1484" t="s">
        <v>11724</v>
      </c>
      <c r="G1693" s="969"/>
      <c r="H1693" s="1095" t="s">
        <v>11722</v>
      </c>
      <c r="I1693" s="780" t="s">
        <v>12770</v>
      </c>
      <c r="J1693" s="834"/>
      <c r="K1693" s="790" t="str">
        <f>(IF(H1693="Saneago",VLOOKUP(I1693,'SANEAGO-FEV.2016'!A:B,2,0),IF(H1693="Sinapi",VLOOKUP(I1693,'SINAPI-FEV.2017'!A:D,2,0),IF(H1693="Cotação",VLOOKUP(I1693,COTAÇÃO!A:D,2,0),IF(H1693="Composição",VLOOKUP(I1693,COMPOSIÇÃO!A:D,2,0))))))</f>
        <v>Tubo roscável em aço inox, AISI 304, classe 3000 libras, DN1 1/2"</v>
      </c>
      <c r="L1693" s="780" t="s">
        <v>18</v>
      </c>
      <c r="M1693" s="1270">
        <v>12</v>
      </c>
      <c r="N1693" s="399">
        <v>0</v>
      </c>
      <c r="O1693" s="102">
        <f t="shared" si="264"/>
        <v>0</v>
      </c>
      <c r="P1693" s="101">
        <f t="shared" si="265"/>
        <v>0</v>
      </c>
      <c r="Q1693" s="1472">
        <v>12</v>
      </c>
    </row>
    <row r="1694" spans="1:17">
      <c r="A1694" s="1482"/>
      <c r="B1694" s="1482"/>
      <c r="C1694" s="1555">
        <f t="shared" si="263"/>
        <v>3</v>
      </c>
      <c r="D1694" s="1492">
        <f t="shared" si="266"/>
        <v>2</v>
      </c>
      <c r="E1694" s="1492"/>
      <c r="F1694" s="1484" t="s">
        <v>11724</v>
      </c>
      <c r="G1694" s="969"/>
      <c r="H1694" s="1095" t="s">
        <v>11722</v>
      </c>
      <c r="I1694" s="780" t="s">
        <v>13233</v>
      </c>
      <c r="J1694" s="834"/>
      <c r="K1694" s="1575" t="str">
        <f>(IF(H1694="Saneago",VLOOKUP(I1694,'SANEAGO-FEV.2016'!A:B,2,0),IF(H1694="Sinapi",VLOOKUP(I1694,'SINAPI-FEV.2017'!A:D,2,0),IF(H1694="Cotação",VLOOKUP(I1694,COTAÇÃO!A:D,2,0),IF(H1694="Composição",VLOOKUP(I1694,COMPOSIÇÃO!A:D,2,0))))))</f>
        <v>Tubos em RPVC, conforme a norma NBR 15.536-2, DN150</v>
      </c>
      <c r="L1694" s="1224" t="s">
        <v>18</v>
      </c>
      <c r="M1694" s="1576">
        <v>384</v>
      </c>
      <c r="N1694" s="399">
        <v>0</v>
      </c>
      <c r="O1694" s="102">
        <f t="shared" si="264"/>
        <v>0</v>
      </c>
      <c r="P1694" s="101">
        <f t="shared" si="265"/>
        <v>0</v>
      </c>
      <c r="Q1694" s="1472">
        <v>384</v>
      </c>
    </row>
    <row r="1695" spans="1:17">
      <c r="A1695" s="1482"/>
      <c r="B1695" s="1482"/>
      <c r="C1695" s="1555">
        <f t="shared" si="263"/>
        <v>3</v>
      </c>
      <c r="D1695" s="1492">
        <f t="shared" si="266"/>
        <v>2</v>
      </c>
      <c r="E1695" s="1492"/>
      <c r="F1695" s="1484" t="s">
        <v>11724</v>
      </c>
      <c r="G1695" s="969"/>
      <c r="H1695" s="1095" t="s">
        <v>11722</v>
      </c>
      <c r="I1695" s="780" t="s">
        <v>12772</v>
      </c>
      <c r="J1695" s="834"/>
      <c r="K1695" s="790" t="str">
        <f>(IF(H1695="Saneago",VLOOKUP(I1695,'SANEAGO-FEV.2016'!A:B,2,0),IF(H1695="Sinapi",VLOOKUP(I1695,'SINAPI-FEV.2017'!A:D,2,0),IF(H1695="Cotação",VLOOKUP(I1695,COTAÇÃO!A:D,2,0),IF(H1695="Composição",VLOOKUP(I1695,COMPOSIÇÃO!A:D,2,0))))))</f>
        <v>União em aço inox, AISI 304, classe 3000 libras, DN2 1/2"</v>
      </c>
      <c r="L1695" s="780" t="s">
        <v>1270</v>
      </c>
      <c r="M1695" s="1270">
        <v>5</v>
      </c>
      <c r="N1695" s="399">
        <v>0</v>
      </c>
      <c r="O1695" s="102">
        <f t="shared" si="264"/>
        <v>0</v>
      </c>
      <c r="P1695" s="101">
        <f t="shared" si="265"/>
        <v>0</v>
      </c>
      <c r="Q1695" s="1472">
        <v>5</v>
      </c>
    </row>
    <row r="1696" spans="1:17">
      <c r="A1696" s="1482"/>
      <c r="B1696" s="1482"/>
      <c r="C1696" s="1555">
        <f t="shared" si="263"/>
        <v>3</v>
      </c>
      <c r="D1696" s="1492">
        <f t="shared" si="266"/>
        <v>2</v>
      </c>
      <c r="E1696" s="1492"/>
      <c r="F1696" s="1484" t="s">
        <v>11724</v>
      </c>
      <c r="G1696" s="969"/>
      <c r="H1696" s="1095" t="s">
        <v>11722</v>
      </c>
      <c r="I1696" s="780" t="s">
        <v>12774</v>
      </c>
      <c r="J1696" s="834"/>
      <c r="K1696" s="790" t="str">
        <f>(IF(H1696="Saneago",VLOOKUP(I1696,'SANEAGO-FEV.2016'!A:B,2,0),IF(H1696="Sinapi",VLOOKUP(I1696,'SINAPI-FEV.2017'!A:D,2,0),IF(H1696="Cotação",VLOOKUP(I1696,COTAÇÃO!A:D,2,0),IF(H1696="Composição",VLOOKUP(I1696,COMPOSIÇÃO!A:D,2,0))))))</f>
        <v>União em aço inox, AISI 304, classe 3000 libras, DN3/4"</v>
      </c>
      <c r="L1696" s="780" t="s">
        <v>1270</v>
      </c>
      <c r="M1696" s="1270">
        <v>160</v>
      </c>
      <c r="N1696" s="399">
        <v>0</v>
      </c>
      <c r="O1696" s="102">
        <f t="shared" si="264"/>
        <v>0</v>
      </c>
      <c r="P1696" s="101">
        <f t="shared" si="265"/>
        <v>0</v>
      </c>
      <c r="Q1696" s="1472">
        <v>160</v>
      </c>
    </row>
    <row r="1697" spans="1:17">
      <c r="A1697" s="1482"/>
      <c r="B1697" s="1482"/>
      <c r="C1697" s="1555">
        <f t="shared" si="263"/>
        <v>3</v>
      </c>
      <c r="D1697" s="1492">
        <f t="shared" si="266"/>
        <v>2</v>
      </c>
      <c r="E1697" s="1492"/>
      <c r="F1697" s="1484" t="s">
        <v>11724</v>
      </c>
      <c r="G1697" s="969"/>
      <c r="H1697" s="1095" t="s">
        <v>11722</v>
      </c>
      <c r="I1697" s="780" t="s">
        <v>12776</v>
      </c>
      <c r="J1697" s="834"/>
      <c r="K1697" s="790" t="str">
        <f>(IF(H1697="Saneago",VLOOKUP(I1697,'SANEAGO-FEV.2016'!A:B,2,0),IF(H1697="Sinapi",VLOOKUP(I1697,'SINAPI-FEV.2017'!A:D,2,0),IF(H1697="Cotação",VLOOKUP(I1697,COTAÇÃO!A:D,2,0),IF(H1697="Composição",VLOOKUP(I1697,COMPOSIÇÃO!A:D,2,0))))))</f>
        <v>União em aço inox, AISI, classe 3000 libras, DN2"</v>
      </c>
      <c r="L1697" s="780" t="s">
        <v>1270</v>
      </c>
      <c r="M1697" s="1270">
        <v>30</v>
      </c>
      <c r="N1697" s="399">
        <v>0</v>
      </c>
      <c r="O1697" s="102">
        <f t="shared" si="264"/>
        <v>0</v>
      </c>
      <c r="P1697" s="101">
        <f t="shared" si="265"/>
        <v>0</v>
      </c>
      <c r="Q1697" s="1472">
        <v>30</v>
      </c>
    </row>
    <row r="1698" spans="1:17" ht="22.5">
      <c r="A1698" s="1482"/>
      <c r="B1698" s="1482"/>
      <c r="C1698" s="1555">
        <f t="shared" si="263"/>
        <v>3</v>
      </c>
      <c r="D1698" s="1492">
        <f t="shared" si="266"/>
        <v>2</v>
      </c>
      <c r="E1698" s="1492"/>
      <c r="F1698" s="1484" t="s">
        <v>11724</v>
      </c>
      <c r="G1698" s="969"/>
      <c r="H1698" s="1095" t="s">
        <v>70</v>
      </c>
      <c r="I1698" s="780">
        <v>89421</v>
      </c>
      <c r="J1698" s="834"/>
      <c r="K1698" s="790" t="str">
        <f>(IF(H1698="Saneago",VLOOKUP(I1698,'SANEAGO-FEV.2016'!A:B,2,0),IF(H1698="Sinapi",VLOOKUP(I1698,'SINAPI-FEV.2017'!A:D,2,0),IF(H1698="Cotação",VLOOKUP(I1698,COTAÇÃO!A:D,2,0),IF(H1698="Composição",VLOOKUP(I1698,COMPOSIÇÃO!A:D,2,0))))))</f>
        <v>UNIÃO, PVC, SOLDÁVEL, DN 20MM, INSTALADO EM RAMAL DE DISTRIBUIÇÃO DE ÁGUA - FORNECIMENTO E INSTALAÇÃO. AF_12/2014</v>
      </c>
      <c r="L1698" s="780" t="s">
        <v>10854</v>
      </c>
      <c r="M1698" s="1270">
        <v>2</v>
      </c>
      <c r="N1698" s="399">
        <v>0</v>
      </c>
      <c r="O1698" s="102">
        <f t="shared" si="264"/>
        <v>0</v>
      </c>
      <c r="P1698" s="101">
        <f t="shared" si="265"/>
        <v>0</v>
      </c>
      <c r="Q1698" s="1472">
        <v>2</v>
      </c>
    </row>
    <row r="1699" spans="1:17" ht="22.5">
      <c r="A1699" s="1482"/>
      <c r="B1699" s="1482"/>
      <c r="C1699" s="1555">
        <f t="shared" si="263"/>
        <v>3</v>
      </c>
      <c r="D1699" s="1492">
        <f t="shared" si="266"/>
        <v>2</v>
      </c>
      <c r="E1699" s="1492"/>
      <c r="F1699" s="1484" t="s">
        <v>11724</v>
      </c>
      <c r="G1699" s="969"/>
      <c r="H1699" s="1095" t="s">
        <v>70</v>
      </c>
      <c r="I1699" s="780">
        <v>89594</v>
      </c>
      <c r="J1699" s="834"/>
      <c r="K1699" s="790" t="str">
        <f>(IF(H1699="Saneago",VLOOKUP(I1699,'SANEAGO-FEV.2016'!A:B,2,0),IF(H1699="Sinapi",VLOOKUP(I1699,'SINAPI-FEV.2017'!A:D,2,0),IF(H1699="Cotação",VLOOKUP(I1699,COTAÇÃO!A:D,2,0),IF(H1699="Composição",VLOOKUP(I1699,COMPOSIÇÃO!A:D,2,0))))))</f>
        <v>UNIÃO, PVC, SOLDÁVEL, DN 50MM, INSTALADO EM PRUMADA DE ÁGUA - FORNECIMENTO E INSTALAÇÃO. AF_12/2014</v>
      </c>
      <c r="L1699" s="780" t="s">
        <v>1270</v>
      </c>
      <c r="M1699" s="1270">
        <v>24</v>
      </c>
      <c r="N1699" s="399">
        <v>0</v>
      </c>
      <c r="O1699" s="102">
        <f t="shared" si="264"/>
        <v>0</v>
      </c>
      <c r="P1699" s="101">
        <f t="shared" si="265"/>
        <v>0</v>
      </c>
      <c r="Q1699" s="1472">
        <v>24</v>
      </c>
    </row>
    <row r="1700" spans="1:17" ht="22.5">
      <c r="A1700" s="1482"/>
      <c r="B1700" s="1482"/>
      <c r="C1700" s="1555">
        <f t="shared" si="263"/>
        <v>3</v>
      </c>
      <c r="D1700" s="1492">
        <f t="shared" si="266"/>
        <v>2</v>
      </c>
      <c r="E1700" s="1492"/>
      <c r="F1700" s="1484" t="s">
        <v>11724</v>
      </c>
      <c r="G1700" s="969"/>
      <c r="H1700" s="1095" t="s">
        <v>70</v>
      </c>
      <c r="I1700" s="780">
        <v>89536</v>
      </c>
      <c r="J1700" s="834"/>
      <c r="K1700" s="790" t="str">
        <f>(IF(H1700="Saneago",VLOOKUP(I1700,'SANEAGO-FEV.2016'!A:B,2,0),IF(H1700="Sinapi",VLOOKUP(I1700,'SINAPI-FEV.2017'!A:D,2,0),IF(H1700="Cotação",VLOOKUP(I1700,COTAÇÃO!A:D,2,0),IF(H1700="Composição",VLOOKUP(I1700,COMPOSIÇÃO!A:D,2,0))))))</f>
        <v>UNIÃO, PVC, SOLDÁVEL, DN 25MM, INSTALADO EM PRUMADA DE ÁGUA - FORNECIMENTO E INSTALAÇÃO. AF_12/2014</v>
      </c>
      <c r="L1700" s="780" t="s">
        <v>1270</v>
      </c>
      <c r="M1700" s="1270">
        <v>96</v>
      </c>
      <c r="N1700" s="399">
        <v>0</v>
      </c>
      <c r="O1700" s="102">
        <f t="shared" si="264"/>
        <v>0</v>
      </c>
      <c r="P1700" s="101">
        <f t="shared" si="265"/>
        <v>0</v>
      </c>
      <c r="Q1700" s="1472">
        <v>96</v>
      </c>
    </row>
    <row r="1701" spans="1:17" ht="33.75">
      <c r="A1701" s="1482"/>
      <c r="B1701" s="1482"/>
      <c r="C1701" s="1555">
        <f t="shared" si="263"/>
        <v>3</v>
      </c>
      <c r="D1701" s="1492">
        <f t="shared" si="266"/>
        <v>2</v>
      </c>
      <c r="E1701" s="1492"/>
      <c r="F1701" s="1484" t="s">
        <v>11724</v>
      </c>
      <c r="G1701" s="969"/>
      <c r="H1701" s="1095" t="s">
        <v>70</v>
      </c>
      <c r="I1701" s="780">
        <v>92892</v>
      </c>
      <c r="J1701" s="834"/>
      <c r="K1701" s="790" t="str">
        <f>(IF(H1701="Saneago",VLOOKUP(I1701,'SANEAGO-FEV.2016'!A:B,2,0),IF(H1701="Sinapi",VLOOKUP(I1701,'SINAPI-FEV.2017'!A:D,2,0),IF(H1701="Cotação",VLOOKUP(I1701,COTAÇÃO!A:D,2,0),IF(H1701="Composição",VLOOKUP(I1701,COMPOSIÇÃO!A:D,2,0))))))</f>
        <v>UNIÃO, EM FERRO GALVANIZADO, DN 25 (1"), CONEXÃO ROSQUEADA, INSTALADO EM REDE DE ALIMENTAÇÃO PARA HIDRANTE - FORNECIMENTO E INSTALAÇÃO. AF_12/2015</v>
      </c>
      <c r="L1701" s="780" t="s">
        <v>1270</v>
      </c>
      <c r="M1701" s="1270">
        <v>8</v>
      </c>
      <c r="N1701" s="399">
        <v>0</v>
      </c>
      <c r="O1701" s="102">
        <f t="shared" si="264"/>
        <v>0</v>
      </c>
      <c r="P1701" s="101">
        <f t="shared" si="265"/>
        <v>0</v>
      </c>
      <c r="Q1701" s="1472">
        <v>8</v>
      </c>
    </row>
    <row r="1702" spans="1:17">
      <c r="A1702" s="1482"/>
      <c r="B1702" s="1482"/>
      <c r="C1702" s="1555">
        <f t="shared" si="263"/>
        <v>3</v>
      </c>
      <c r="D1702" s="1492">
        <f t="shared" ref="D1702:D1721" si="267">D1701+B1702</f>
        <v>2</v>
      </c>
      <c r="E1702" s="1492"/>
      <c r="F1702" s="1484" t="s">
        <v>11724</v>
      </c>
      <c r="G1702" s="969"/>
      <c r="H1702" s="1095" t="s">
        <v>11722</v>
      </c>
      <c r="I1702" s="780" t="s">
        <v>13129</v>
      </c>
      <c r="J1702" s="834"/>
      <c r="K1702" s="790" t="str">
        <f>(IF(H1702="Saneago",VLOOKUP(I1702,'SANEAGO-FEV.2016'!A:B,2,0),IF(H1702="Sinapi",VLOOKUP(I1702,'SINAPI-FEV.2017'!A:D,2,0),IF(H1702="Cotação",VLOOKUP(I1702,COTAÇÃO!A:D,2,0),IF(H1702="Composição",VLOOKUP(I1702,COMPOSIÇÃO!A:D,2,0))))))</f>
        <v>Válvula de esfera em PVC, DN75</v>
      </c>
      <c r="L1702" s="780" t="s">
        <v>10854</v>
      </c>
      <c r="M1702" s="1270">
        <v>2</v>
      </c>
      <c r="N1702" s="399">
        <v>0</v>
      </c>
      <c r="O1702" s="102">
        <f t="shared" si="264"/>
        <v>0</v>
      </c>
      <c r="P1702" s="101">
        <f t="shared" si="265"/>
        <v>0</v>
      </c>
      <c r="Q1702" s="1472">
        <v>2</v>
      </c>
    </row>
    <row r="1703" spans="1:17">
      <c r="A1703" s="1482"/>
      <c r="B1703" s="1482"/>
      <c r="C1703" s="1555">
        <f t="shared" si="263"/>
        <v>3</v>
      </c>
      <c r="D1703" s="1492">
        <f t="shared" si="267"/>
        <v>2</v>
      </c>
      <c r="E1703" s="1492"/>
      <c r="F1703" s="1484" t="s">
        <v>11724</v>
      </c>
      <c r="G1703" s="969"/>
      <c r="H1703" s="1095" t="s">
        <v>11722</v>
      </c>
      <c r="I1703" s="780" t="s">
        <v>13131</v>
      </c>
      <c r="J1703" s="834"/>
      <c r="K1703" s="790" t="str">
        <f>(IF(H1703="Saneago",VLOOKUP(I1703,'SANEAGO-FEV.2016'!A:B,2,0),IF(H1703="Sinapi",VLOOKUP(I1703,'SINAPI-FEV.2017'!A:D,2,0),IF(H1703="Cotação",VLOOKUP(I1703,COTAÇÃO!A:D,2,0),IF(H1703="Composição",VLOOKUP(I1703,COMPOSIÇÃO!A:D,2,0))))))</f>
        <v>Válvula de esfera roscável com alavanca, DN3/4"</v>
      </c>
      <c r="L1703" s="780" t="s">
        <v>1270</v>
      </c>
      <c r="M1703" s="1270">
        <v>160</v>
      </c>
      <c r="N1703" s="399">
        <v>0</v>
      </c>
      <c r="O1703" s="102">
        <f t="shared" si="264"/>
        <v>0</v>
      </c>
      <c r="P1703" s="101">
        <f t="shared" si="265"/>
        <v>0</v>
      </c>
      <c r="Q1703" s="1472">
        <v>160</v>
      </c>
    </row>
    <row r="1704" spans="1:17">
      <c r="A1704" s="1482"/>
      <c r="B1704" s="1482"/>
      <c r="C1704" s="1555">
        <f t="shared" si="263"/>
        <v>3</v>
      </c>
      <c r="D1704" s="1492">
        <f t="shared" si="267"/>
        <v>2</v>
      </c>
      <c r="E1704" s="1492"/>
      <c r="F1704" s="1484" t="s">
        <v>11724</v>
      </c>
      <c r="G1704" s="969"/>
      <c r="H1704" s="1095" t="s">
        <v>11722</v>
      </c>
      <c r="I1704" s="780" t="s">
        <v>13137</v>
      </c>
      <c r="J1704" s="834"/>
      <c r="K1704" s="790" t="str">
        <f>(IF(H1704="Saneago",VLOOKUP(I1704,'SANEAGO-FEV.2016'!A:B,2,0),IF(H1704="Sinapi",VLOOKUP(I1704,'SINAPI-FEV.2017'!A:D,2,0),IF(H1704="Cotação",VLOOKUP(I1704,COTAÇÃO!A:D,2,0),IF(H1704="Composição",VLOOKUP(I1704,COMPOSIÇÃO!A:D,2,0))))))</f>
        <v>Válvulas de alivio com flanges, PN-10, DN2"</v>
      </c>
      <c r="L1704" s="780" t="s">
        <v>10854</v>
      </c>
      <c r="M1704" s="1270">
        <v>6</v>
      </c>
      <c r="N1704" s="399">
        <v>0</v>
      </c>
      <c r="O1704" s="102">
        <f t="shared" si="264"/>
        <v>0</v>
      </c>
      <c r="P1704" s="101">
        <f t="shared" si="265"/>
        <v>0</v>
      </c>
      <c r="Q1704" s="1472">
        <v>6</v>
      </c>
    </row>
    <row r="1705" spans="1:17">
      <c r="A1705" s="1482"/>
      <c r="B1705" s="1482"/>
      <c r="C1705" s="1555">
        <f t="shared" si="263"/>
        <v>3</v>
      </c>
      <c r="D1705" s="1492">
        <f t="shared" si="267"/>
        <v>2</v>
      </c>
      <c r="E1705" s="1492"/>
      <c r="F1705" s="1484" t="s">
        <v>11724</v>
      </c>
      <c r="G1705" s="969"/>
      <c r="H1705" s="1095" t="s">
        <v>11722</v>
      </c>
      <c r="I1705" s="780" t="s">
        <v>13139</v>
      </c>
      <c r="J1705" s="834"/>
      <c r="K1705" s="790" t="str">
        <f>(IF(H1705="Saneago",VLOOKUP(I1705,'SANEAGO-FEV.2016'!A:B,2,0),IF(H1705="Sinapi",VLOOKUP(I1705,'SINAPI-FEV.2017'!A:D,2,0),IF(H1705="Cotação",VLOOKUP(I1705,COTAÇÃO!A:D,2,0),IF(H1705="Composição",VLOOKUP(I1705,COMPOSIÇÃO!A:D,2,0))))))</f>
        <v>Válvulas de retenção com flanges, PN-10, DN2"</v>
      </c>
      <c r="L1705" s="780" t="s">
        <v>10854</v>
      </c>
      <c r="M1705" s="1270">
        <v>6</v>
      </c>
      <c r="N1705" s="399">
        <v>0</v>
      </c>
      <c r="O1705" s="102">
        <f t="shared" si="264"/>
        <v>0</v>
      </c>
      <c r="P1705" s="101">
        <f t="shared" si="265"/>
        <v>0</v>
      </c>
      <c r="Q1705" s="1472">
        <v>6</v>
      </c>
    </row>
    <row r="1706" spans="1:17">
      <c r="A1706" s="1482"/>
      <c r="B1706" s="1482"/>
      <c r="C1706" s="1555">
        <f t="shared" si="263"/>
        <v>3</v>
      </c>
      <c r="D1706" s="1492">
        <f t="shared" si="267"/>
        <v>2</v>
      </c>
      <c r="E1706" s="1492"/>
      <c r="F1706" s="1484" t="s">
        <v>11724</v>
      </c>
      <c r="G1706" s="969"/>
      <c r="H1706" s="1095"/>
      <c r="I1706" s="780"/>
      <c r="J1706" s="834"/>
      <c r="K1706" s="915" t="s">
        <v>14473</v>
      </c>
      <c r="L1706" s="780"/>
      <c r="M1706" s="1270"/>
      <c r="N1706" s="399"/>
      <c r="O1706" s="102"/>
      <c r="P1706" s="101"/>
    </row>
    <row r="1707" spans="1:17">
      <c r="A1707" s="1482"/>
      <c r="B1707" s="1482"/>
      <c r="C1707" s="1555">
        <f t="shared" si="263"/>
        <v>3</v>
      </c>
      <c r="D1707" s="1492">
        <f t="shared" si="267"/>
        <v>2</v>
      </c>
      <c r="E1707" s="1492"/>
      <c r="F1707" s="1484" t="s">
        <v>11724</v>
      </c>
      <c r="G1707" s="969"/>
      <c r="H1707" s="1095" t="s">
        <v>11722</v>
      </c>
      <c r="I1707" s="780" t="s">
        <v>13090</v>
      </c>
      <c r="J1707" s="834"/>
      <c r="K1707" s="790" t="str">
        <f>(IF(H1707="Saneago",VLOOKUP(I1707,'SANEAGO-FEV.2016'!A:B,2,0),IF(H1707="Sinapi",VLOOKUP(I1707,'SINAPI-FEV.2017'!A:D,2,0),IF(H1707="Cotação",VLOOKUP(I1707,COTAÇÃO!A:D,2,0),IF(H1707="Composição",VLOOKUP(I1707,COMPOSIÇÃO!A:D,2,0))))))</f>
        <v>Calha coletora do efluente em fibra de vidro (0,35m x 0,15m)</v>
      </c>
      <c r="L1707" s="780" t="s">
        <v>18</v>
      </c>
      <c r="M1707" s="1270">
        <v>550.4</v>
      </c>
      <c r="N1707" s="399">
        <v>0</v>
      </c>
      <c r="O1707" s="102">
        <f t="shared" si="264"/>
        <v>0</v>
      </c>
      <c r="P1707" s="101">
        <f t="shared" si="265"/>
        <v>0</v>
      </c>
      <c r="Q1707" s="1472">
        <v>550.4</v>
      </c>
    </row>
    <row r="1708" spans="1:17">
      <c r="A1708" s="1482"/>
      <c r="B1708" s="1482"/>
      <c r="C1708" s="1555">
        <f t="shared" si="263"/>
        <v>3</v>
      </c>
      <c r="D1708" s="1492">
        <f t="shared" si="267"/>
        <v>2</v>
      </c>
      <c r="E1708" s="1492"/>
      <c r="F1708" s="1484" t="s">
        <v>11724</v>
      </c>
      <c r="G1708" s="969"/>
      <c r="H1708" s="1095" t="s">
        <v>11722</v>
      </c>
      <c r="I1708" s="780" t="s">
        <v>13091</v>
      </c>
      <c r="J1708" s="834"/>
      <c r="K1708" s="790" t="str">
        <f>(IF(H1708="Saneago",VLOOKUP(I1708,'SANEAGO-FEV.2016'!A:B,2,0),IF(H1708="Sinapi",VLOOKUP(I1708,'SINAPI-FEV.2017'!A:D,2,0),IF(H1708="Cotação",VLOOKUP(I1708,COTAÇÃO!A:D,2,0),IF(H1708="Composição",VLOOKUP(I1708,COMPOSIÇÃO!A:D,2,0))))))</f>
        <v>Estrutura de apoio da calha e fixação do anteparo, em fibra de vidro</v>
      </c>
      <c r="L1708" s="780" t="s">
        <v>10854</v>
      </c>
      <c r="M1708" s="1270">
        <v>576</v>
      </c>
      <c r="N1708" s="399">
        <v>0</v>
      </c>
      <c r="O1708" s="102">
        <f t="shared" si="264"/>
        <v>0</v>
      </c>
      <c r="P1708" s="101">
        <f t="shared" si="265"/>
        <v>0</v>
      </c>
      <c r="Q1708" s="1472">
        <v>576</v>
      </c>
    </row>
    <row r="1709" spans="1:17">
      <c r="A1709" s="1482"/>
      <c r="B1709" s="1482"/>
      <c r="C1709" s="1555">
        <f t="shared" si="263"/>
        <v>3</v>
      </c>
      <c r="D1709" s="1492">
        <f t="shared" si="267"/>
        <v>2</v>
      </c>
      <c r="E1709" s="1492"/>
      <c r="F1709" s="1484" t="s">
        <v>11724</v>
      </c>
      <c r="G1709" s="969"/>
      <c r="H1709" s="1095" t="s">
        <v>11722</v>
      </c>
      <c r="I1709" s="780" t="s">
        <v>13093</v>
      </c>
      <c r="J1709" s="834"/>
      <c r="K1709" s="790" t="str">
        <f>(IF(H1709="Saneago",VLOOKUP(I1709,'SANEAGO-FEV.2016'!A:B,2,0),IF(H1709="Sinapi",VLOOKUP(I1709,'SINAPI-FEV.2017'!A:D,2,0),IF(H1709="Cotação",VLOOKUP(I1709,COTAÇÃO!A:D,2,0),IF(H1709="Composição",VLOOKUP(I1709,COMPOSIÇÃO!A:D,2,0))))))</f>
        <v>Régua vertedora triangular em fibra de vidro espessura 6 mm</v>
      </c>
      <c r="L1709" s="780" t="s">
        <v>18</v>
      </c>
      <c r="M1709" s="1270">
        <v>128</v>
      </c>
      <c r="N1709" s="399">
        <v>0</v>
      </c>
      <c r="O1709" s="102">
        <f t="shared" si="264"/>
        <v>0</v>
      </c>
      <c r="P1709" s="101">
        <f t="shared" si="265"/>
        <v>0</v>
      </c>
      <c r="Q1709" s="1472">
        <v>128</v>
      </c>
    </row>
    <row r="1710" spans="1:17">
      <c r="A1710" s="1482"/>
      <c r="B1710" s="1482"/>
      <c r="C1710" s="1555">
        <f t="shared" si="263"/>
        <v>3</v>
      </c>
      <c r="D1710" s="1492">
        <f t="shared" si="267"/>
        <v>2</v>
      </c>
      <c r="E1710" s="1492"/>
      <c r="F1710" s="1484" t="s">
        <v>11724</v>
      </c>
      <c r="G1710" s="969"/>
      <c r="H1710" s="1095" t="s">
        <v>11722</v>
      </c>
      <c r="I1710" s="780" t="s">
        <v>13094</v>
      </c>
      <c r="J1710" s="834"/>
      <c r="K1710" s="790" t="str">
        <f>(IF(H1710="Saneago",VLOOKUP(I1710,'SANEAGO-FEV.2016'!A:B,2,0),IF(H1710="Sinapi",VLOOKUP(I1710,'SINAPI-FEV.2017'!A:D,2,0),IF(H1710="Cotação",VLOOKUP(I1710,COTAÇÃO!A:D,2,0),IF(H1710="Composição",VLOOKUP(I1710,COMPOSIÇÃO!A:D,2,0))))))</f>
        <v>Anteparo em fibra de vidro (300mm x 17200mm x 6 mm)</v>
      </c>
      <c r="L1710" s="780" t="s">
        <v>1270</v>
      </c>
      <c r="M1710" s="1270">
        <v>32</v>
      </c>
      <c r="N1710" s="399">
        <v>0</v>
      </c>
      <c r="O1710" s="102">
        <f t="shared" si="264"/>
        <v>0</v>
      </c>
      <c r="P1710" s="101">
        <f t="shared" si="265"/>
        <v>0</v>
      </c>
      <c r="Q1710" s="1472">
        <v>32</v>
      </c>
    </row>
    <row r="1711" spans="1:17" ht="22.5">
      <c r="A1711" s="1482"/>
      <c r="B1711" s="1482"/>
      <c r="C1711" s="1555">
        <f t="shared" si="263"/>
        <v>3</v>
      </c>
      <c r="D1711" s="1492">
        <f t="shared" si="267"/>
        <v>2</v>
      </c>
      <c r="E1711" s="1492"/>
      <c r="F1711" s="1484" t="s">
        <v>11724</v>
      </c>
      <c r="G1711" s="969"/>
      <c r="H1711" s="1095" t="s">
        <v>11722</v>
      </c>
      <c r="I1711" s="780" t="s">
        <v>13095</v>
      </c>
      <c r="J1711" s="834"/>
      <c r="K1711" s="790" t="str">
        <f>(IF(H1711="Saneago",VLOOKUP(I1711,'SANEAGO-FEV.2016'!A:B,2,0),IF(H1711="Sinapi",VLOOKUP(I1711,'SINAPI-FEV.2017'!A:D,2,0),IF(H1711="Cotação",VLOOKUP(I1711,COTAÇÃO!A:D,2,0),IF(H1711="Composição",VLOOKUP(I1711,COMPOSIÇÃO!A:D,2,0))))))</f>
        <v>Chumbador tipo parabolt ø1/4", L=44,4 mm (Ref. "Walsywa WB" com acabamento em INOX)</v>
      </c>
      <c r="L1711" s="780" t="s">
        <v>1270</v>
      </c>
      <c r="M1711" s="1270">
        <v>736</v>
      </c>
      <c r="N1711" s="399">
        <v>0</v>
      </c>
      <c r="O1711" s="102">
        <f t="shared" si="264"/>
        <v>0</v>
      </c>
      <c r="P1711" s="101">
        <f t="shared" si="265"/>
        <v>0</v>
      </c>
      <c r="Q1711" s="1472">
        <v>736</v>
      </c>
    </row>
    <row r="1712" spans="1:17" ht="22.5">
      <c r="A1712" s="1482"/>
      <c r="B1712" s="1482"/>
      <c r="C1712" s="1555">
        <f t="shared" si="263"/>
        <v>3</v>
      </c>
      <c r="D1712" s="1492">
        <f t="shared" si="267"/>
        <v>2</v>
      </c>
      <c r="E1712" s="1492"/>
      <c r="F1712" s="1484" t="s">
        <v>11724</v>
      </c>
      <c r="H1712" s="1095" t="s">
        <v>11722</v>
      </c>
      <c r="I1712" s="780" t="s">
        <v>13096</v>
      </c>
      <c r="J1712" s="834"/>
      <c r="K1712" s="790" t="str">
        <f>(IF(H1712="Saneago",VLOOKUP(I1712,'SANEAGO-FEV.2016'!A:B,2,0),IF(H1712="Sinapi",VLOOKUP(I1712,'SINAPI-FEV.2017'!A:D,2,0),IF(H1712="Cotação",VLOOKUP(I1712,COTAÇÃO!A:D,2,0),IF(H1712="Composição",VLOOKUP(I1712,COMPOSIÇÃO!A:D,2,0))))))</f>
        <v>Parafuso sextavado A.A., com rosca soberba e bucha Fisher-S6, ASME B18.2.1, ø5/16, L=45mm em aço INOX AISI-304, com arruela</v>
      </c>
      <c r="L1712" s="780" t="s">
        <v>1270</v>
      </c>
      <c r="M1712" s="1270">
        <v>288</v>
      </c>
      <c r="N1712" s="399">
        <v>0</v>
      </c>
      <c r="O1712" s="102">
        <f t="shared" si="264"/>
        <v>0</v>
      </c>
      <c r="P1712" s="101">
        <f t="shared" si="265"/>
        <v>0</v>
      </c>
      <c r="Q1712" s="1472">
        <v>288</v>
      </c>
    </row>
    <row r="1713" spans="1:17" ht="22.5">
      <c r="A1713" s="1482"/>
      <c r="B1713" s="1482"/>
      <c r="C1713" s="1555">
        <f t="shared" si="263"/>
        <v>3</v>
      </c>
      <c r="D1713" s="1492">
        <f t="shared" si="267"/>
        <v>2</v>
      </c>
      <c r="E1713" s="1492"/>
      <c r="F1713" s="1484" t="s">
        <v>11724</v>
      </c>
      <c r="H1713" s="1095" t="s">
        <v>11722</v>
      </c>
      <c r="I1713" s="780" t="s">
        <v>13097</v>
      </c>
      <c r="J1713" s="834"/>
      <c r="K1713" s="790" t="str">
        <f>(IF(H1713="Saneago",VLOOKUP(I1713,'SANEAGO-FEV.2016'!A:B,2,0),IF(H1713="Sinapi",VLOOKUP(I1713,'SINAPI-FEV.2017'!A:D,2,0),IF(H1713="Cotação",VLOOKUP(I1713,COTAÇÃO!A:D,2,0),IF(H1713="Composição",VLOOKUP(I1713,COMPOSIÇÃO!A:D,2,0))))))</f>
        <v>Parafuso sextavado, ø1/4", L=1", AISI B 18.2.1, Rosca: UNC - ASME B 1.1-2A, em aço inox AISI 304</v>
      </c>
      <c r="L1713" s="780" t="s">
        <v>1270</v>
      </c>
      <c r="M1713" s="1270">
        <v>3200</v>
      </c>
      <c r="N1713" s="399">
        <v>0</v>
      </c>
      <c r="O1713" s="102">
        <f t="shared" si="264"/>
        <v>0</v>
      </c>
      <c r="P1713" s="101">
        <f t="shared" si="265"/>
        <v>0</v>
      </c>
      <c r="Q1713" s="1472">
        <v>3200</v>
      </c>
    </row>
    <row r="1714" spans="1:17">
      <c r="A1714" s="1482"/>
      <c r="B1714" s="1482"/>
      <c r="C1714" s="1555">
        <f t="shared" si="263"/>
        <v>3</v>
      </c>
      <c r="D1714" s="1492">
        <f t="shared" si="267"/>
        <v>2</v>
      </c>
      <c r="E1714" s="1492"/>
      <c r="F1714" s="1484" t="s">
        <v>11724</v>
      </c>
      <c r="H1714" s="1095"/>
      <c r="I1714" s="780"/>
      <c r="J1714" s="834"/>
      <c r="K1714" s="915" t="s">
        <v>14476</v>
      </c>
      <c r="L1714" s="780"/>
      <c r="M1714" s="1270"/>
      <c r="N1714" s="399"/>
      <c r="O1714" s="102"/>
      <c r="P1714" s="101"/>
    </row>
    <row r="1715" spans="1:17">
      <c r="A1715" s="1482"/>
      <c r="B1715" s="1482"/>
      <c r="C1715" s="1555">
        <f t="shared" ref="C1715:C1799" si="268">C1714</f>
        <v>3</v>
      </c>
      <c r="D1715" s="1492">
        <f t="shared" si="267"/>
        <v>2</v>
      </c>
      <c r="E1715" s="1492"/>
      <c r="F1715" s="1484" t="s">
        <v>11724</v>
      </c>
      <c r="H1715" s="1095" t="s">
        <v>11722</v>
      </c>
      <c r="I1715" s="780" t="s">
        <v>13098</v>
      </c>
      <c r="J1715" s="834"/>
      <c r="K1715" s="790" t="str">
        <f>(IF(H1715="Saneago",VLOOKUP(I1715,'SANEAGO-FEV.2016'!A:B,2,0),IF(H1715="Sinapi",VLOOKUP(I1715,'SINAPI-FEV.2017'!A:D,2,0),IF(H1715="Cotação",VLOOKUP(I1715,COTAÇÃO!A:D,2,0),IF(H1715="Composição",VLOOKUP(I1715,COMPOSIÇÃO!A:D,2,0))))))</f>
        <v>Cantoneira em fibra de vidro para suporte das coifas 0,50 x 0,10 x 0,20 m</v>
      </c>
      <c r="L1715" s="780" t="s">
        <v>1270</v>
      </c>
      <c r="M1715" s="1270">
        <v>128</v>
      </c>
      <c r="N1715" s="399">
        <v>0</v>
      </c>
      <c r="O1715" s="102">
        <f t="shared" si="264"/>
        <v>0</v>
      </c>
      <c r="P1715" s="101">
        <f t="shared" si="265"/>
        <v>0</v>
      </c>
      <c r="Q1715" s="1472">
        <v>128</v>
      </c>
    </row>
    <row r="1716" spans="1:17">
      <c r="A1716" s="1482"/>
      <c r="B1716" s="1482"/>
      <c r="C1716" s="1555">
        <f t="shared" si="268"/>
        <v>3</v>
      </c>
      <c r="D1716" s="1492">
        <f t="shared" si="267"/>
        <v>2</v>
      </c>
      <c r="E1716" s="1492"/>
      <c r="F1716" s="1484" t="s">
        <v>11724</v>
      </c>
      <c r="H1716" s="1095"/>
      <c r="I1716" s="780"/>
      <c r="J1716" s="834"/>
      <c r="K1716" s="915" t="s">
        <v>14474</v>
      </c>
      <c r="L1716" s="780"/>
      <c r="M1716" s="1270"/>
      <c r="N1716" s="399"/>
      <c r="O1716" s="102"/>
      <c r="P1716" s="101"/>
    </row>
    <row r="1717" spans="1:17">
      <c r="A1717" s="1482"/>
      <c r="B1717" s="1482"/>
      <c r="C1717" s="1555">
        <f t="shared" si="268"/>
        <v>3</v>
      </c>
      <c r="D1717" s="1492">
        <f t="shared" si="267"/>
        <v>2</v>
      </c>
      <c r="E1717" s="1492"/>
      <c r="F1717" s="1484" t="s">
        <v>11724</v>
      </c>
      <c r="H1717" s="1095" t="s">
        <v>11722</v>
      </c>
      <c r="I1717" s="780" t="s">
        <v>13099</v>
      </c>
      <c r="J1717" s="834"/>
      <c r="K1717" s="790" t="str">
        <f>(IF(H1717="Saneago",VLOOKUP(I1717,'SANEAGO-FEV.2016'!A:B,2,0),IF(H1717="Sinapi",VLOOKUP(I1717,'SINAPI-FEV.2017'!A:D,2,0),IF(H1717="Cotação",VLOOKUP(I1717,COTAÇÃO!A:D,2,0),IF(H1717="Composição",VLOOKUP(I1717,COMPOSIÇÃO!A:D,2,0))))))</f>
        <v>Longarina inferior de apoio das telhas defletoras em fibra de vidro, L=17,2m</v>
      </c>
      <c r="L1717" s="780" t="s">
        <v>10854</v>
      </c>
      <c r="M1717" s="1270">
        <v>32</v>
      </c>
      <c r="N1717" s="399">
        <v>0</v>
      </c>
      <c r="O1717" s="102">
        <f>ROUND(IF(F1717="Serviços",N1717*(1+$O$7),IF(F1717="Materiais",N1717*(1+$O$8))),2)</f>
        <v>0</v>
      </c>
      <c r="P1717" s="101">
        <f>ROUND(M1717*O1717,2)</f>
        <v>0</v>
      </c>
      <c r="Q1717" s="1472">
        <v>32</v>
      </c>
    </row>
    <row r="1718" spans="1:17">
      <c r="A1718" s="1482"/>
      <c r="B1718" s="1482"/>
      <c r="C1718" s="1555">
        <f t="shared" si="268"/>
        <v>3</v>
      </c>
      <c r="D1718" s="1492">
        <f t="shared" si="267"/>
        <v>2</v>
      </c>
      <c r="E1718" s="1492"/>
      <c r="F1718" s="1484" t="s">
        <v>11724</v>
      </c>
      <c r="H1718" s="1095" t="s">
        <v>11722</v>
      </c>
      <c r="I1718" s="780" t="s">
        <v>13100</v>
      </c>
      <c r="J1718" s="834"/>
      <c r="K1718" s="790" t="str">
        <f>(IF(H1718="Saneago",VLOOKUP(I1718,'SANEAGO-FEV.2016'!A:B,2,0),IF(H1718="Sinapi",VLOOKUP(I1718,'SINAPI-FEV.2017'!A:D,2,0),IF(H1718="Cotação",VLOOKUP(I1718,COTAÇÃO!A:D,2,0),IF(H1718="Composição",VLOOKUP(I1718,COMPOSIÇÃO!A:D,2,0))))))</f>
        <v>Manta neoprene, 50x1700mm, esp.: 5mm</v>
      </c>
      <c r="L1718" s="780" t="s">
        <v>10854</v>
      </c>
      <c r="M1718" s="1270">
        <v>32</v>
      </c>
      <c r="N1718" s="399">
        <v>0</v>
      </c>
      <c r="O1718" s="102">
        <f>ROUND(IF(F1718="Serviços",N1718*(1+$O$7),IF(F1718="Materiais",N1718*(1+$O$8))),2)</f>
        <v>0</v>
      </c>
      <c r="P1718" s="101">
        <f>ROUND(M1718*O1718,2)</f>
        <v>0</v>
      </c>
      <c r="Q1718" s="1472">
        <v>32</v>
      </c>
    </row>
    <row r="1719" spans="1:17">
      <c r="A1719" s="1482"/>
      <c r="B1719" s="1482"/>
      <c r="C1719" s="1555">
        <f t="shared" si="268"/>
        <v>3</v>
      </c>
      <c r="D1719" s="1492">
        <f t="shared" si="267"/>
        <v>2</v>
      </c>
      <c r="E1719" s="1492"/>
      <c r="F1719" s="1484" t="s">
        <v>11724</v>
      </c>
      <c r="H1719" s="1095" t="s">
        <v>11722</v>
      </c>
      <c r="I1719" s="780" t="s">
        <v>13101</v>
      </c>
      <c r="J1719" s="834"/>
      <c r="K1719" s="790" t="str">
        <f>(IF(H1719="Saneago",VLOOKUP(I1719,'SANEAGO-FEV.2016'!A:B,2,0),IF(H1719="Sinapi",VLOOKUP(I1719,'SINAPI-FEV.2017'!A:D,2,0),IF(H1719="Cotação",VLOOKUP(I1719,COTAÇÃO!A:D,2,0),IF(H1719="Composição",VLOOKUP(I1719,COMPOSIÇÃO!A:D,2,0))))))</f>
        <v>Rufo em neoprene fretado, 0,40x17,20m, esp.: 4mm</v>
      </c>
      <c r="L1719" s="780" t="s">
        <v>10854</v>
      </c>
      <c r="M1719" s="1270">
        <v>32</v>
      </c>
      <c r="N1719" s="399">
        <v>0</v>
      </c>
      <c r="O1719" s="102">
        <f>ROUND(IF(F1719="Serviços",N1719*(1+$O$7),IF(F1719="Materiais",N1719*(1+$O$8))),2)</f>
        <v>0</v>
      </c>
      <c r="P1719" s="101">
        <f>ROUND(M1719*O1719,2)</f>
        <v>0</v>
      </c>
      <c r="Q1719" s="1472">
        <v>32</v>
      </c>
    </row>
    <row r="1720" spans="1:17">
      <c r="A1720" s="1482"/>
      <c r="B1720" s="1482"/>
      <c r="C1720" s="1555">
        <f t="shared" si="268"/>
        <v>3</v>
      </c>
      <c r="D1720" s="1492">
        <f t="shared" si="267"/>
        <v>2</v>
      </c>
      <c r="E1720" s="1492"/>
      <c r="F1720" s="1484" t="s">
        <v>11724</v>
      </c>
      <c r="H1720" s="1095" t="s">
        <v>11722</v>
      </c>
      <c r="I1720" s="780" t="s">
        <v>13102</v>
      </c>
      <c r="J1720" s="834"/>
      <c r="K1720" s="790" t="str">
        <f>(IF(H1720="Saneago",VLOOKUP(I1720,'SANEAGO-FEV.2016'!A:B,2,0),IF(H1720="Sinapi",VLOOKUP(I1720,'SINAPI-FEV.2017'!A:D,2,0),IF(H1720="Cotação",VLOOKUP(I1720,COTAÇÃO!A:D,2,0),IF(H1720="Composição",VLOOKUP(I1720,COMPOSIÇÃO!A:D,2,0))))))</f>
        <v>Tarugo, 50x1700mm, esp.: 10mm, em fibra de vidro</v>
      </c>
      <c r="L1720" s="780" t="s">
        <v>10854</v>
      </c>
      <c r="M1720" s="1270">
        <v>32</v>
      </c>
      <c r="N1720" s="399">
        <v>0</v>
      </c>
      <c r="O1720" s="102">
        <f>ROUND(IF(F1720="Serviços",N1720*(1+$O$7),IF(F1720="Materiais",N1720*(1+$O$8))),2)</f>
        <v>0</v>
      </c>
      <c r="P1720" s="101">
        <f>ROUND(M1720*O1720,2)</f>
        <v>0</v>
      </c>
      <c r="Q1720" s="1472">
        <v>32</v>
      </c>
    </row>
    <row r="1721" spans="1:17">
      <c r="A1721" s="1482"/>
      <c r="B1721" s="1482"/>
      <c r="C1721" s="1555">
        <f t="shared" si="268"/>
        <v>3</v>
      </c>
      <c r="D1721" s="1492">
        <f t="shared" si="267"/>
        <v>2</v>
      </c>
      <c r="E1721" s="1492"/>
      <c r="F1721" s="1484" t="s">
        <v>11724</v>
      </c>
      <c r="H1721" s="1095" t="s">
        <v>11722</v>
      </c>
      <c r="I1721" s="780" t="s">
        <v>13103</v>
      </c>
      <c r="J1721" s="834"/>
      <c r="K1721" s="790" t="str">
        <f>(IF(H1721="Saneago",VLOOKUP(I1721,'SANEAGO-FEV.2016'!A:B,2,0),IF(H1721="Sinapi",VLOOKUP(I1721,'SINAPI-FEV.2017'!A:D,2,0),IF(H1721="Cotação",VLOOKUP(I1721,COTAÇÃO!A:D,2,0),IF(H1721="Composição",VLOOKUP(I1721,COMPOSIÇÃO!A:D,2,0))))))</f>
        <v>Perfil Z de chapa dobrada, em aço INOX AISI-304, com espessura de 4,76mm</v>
      </c>
      <c r="L1721" s="780" t="s">
        <v>10854</v>
      </c>
      <c r="M1721" s="1270">
        <v>256</v>
      </c>
      <c r="N1721" s="399">
        <v>0</v>
      </c>
      <c r="O1721" s="102">
        <f>ROUND(IF(F1721="Serviços",N1721*(1+$O$7),IF(F1721="Materiais",N1721*(1+$O$8))),2)</f>
        <v>0</v>
      </c>
      <c r="P1721" s="101">
        <f>ROUND(M1721*O1721,2)</f>
        <v>0</v>
      </c>
      <c r="Q1721" s="1472">
        <v>256</v>
      </c>
    </row>
    <row r="1722" spans="1:17" ht="22.5">
      <c r="A1722" s="1482"/>
      <c r="B1722" s="1482"/>
      <c r="C1722" s="1555">
        <f t="shared" si="268"/>
        <v>3</v>
      </c>
      <c r="D1722" s="1492">
        <f t="shared" ref="D1722:D1750" si="269">D1721+B1722</f>
        <v>2</v>
      </c>
      <c r="E1722" s="1492"/>
      <c r="F1722" s="1484" t="s">
        <v>11724</v>
      </c>
      <c r="H1722" s="1095" t="s">
        <v>11722</v>
      </c>
      <c r="I1722" s="780" t="s">
        <v>13104</v>
      </c>
      <c r="J1722" s="834"/>
      <c r="K1722" s="790" t="str">
        <f>(IF(H1722="Saneago",VLOOKUP(I1722,'SANEAGO-FEV.2016'!A:B,2,0),IF(H1722="Sinapi",VLOOKUP(I1722,'SINAPI-FEV.2017'!A:D,2,0),IF(H1722="Cotação",VLOOKUP(I1722,COTAÇÃO!A:D,2,0),IF(H1722="Composição",VLOOKUP(I1722,COMPOSIÇÃO!A:D,2,0))))))</f>
        <v>Longarina superior de apoio das telhas defletoras em fibra de vidro, maciça L=17,20m, em fibra de vidro</v>
      </c>
      <c r="L1722" s="780" t="s">
        <v>10854</v>
      </c>
      <c r="M1722" s="1270">
        <v>32</v>
      </c>
      <c r="N1722" s="399">
        <v>0</v>
      </c>
      <c r="O1722" s="102">
        <f t="shared" ref="O1722:O1750" si="270">ROUND(IF(F1722="Serviços",N1722*(1+$O$7),IF(F1722="Materiais",N1722*(1+$O$8))),2)</f>
        <v>0</v>
      </c>
      <c r="P1722" s="101">
        <f t="shared" ref="P1722:P1750" si="271">ROUND(M1722*O1722,2)</f>
        <v>0</v>
      </c>
      <c r="Q1722" s="1472">
        <v>32</v>
      </c>
    </row>
    <row r="1723" spans="1:17" ht="22.5">
      <c r="A1723" s="1482"/>
      <c r="B1723" s="1482"/>
      <c r="C1723" s="1555">
        <f t="shared" si="268"/>
        <v>3</v>
      </c>
      <c r="D1723" s="1492">
        <f t="shared" si="269"/>
        <v>2</v>
      </c>
      <c r="E1723" s="1492"/>
      <c r="F1723" s="1484" t="s">
        <v>11724</v>
      </c>
      <c r="H1723" s="1095" t="s">
        <v>11722</v>
      </c>
      <c r="I1723" s="780" t="s">
        <v>13105</v>
      </c>
      <c r="J1723" s="834"/>
      <c r="K1723" s="790" t="str">
        <f>(IF(H1723="Saneago",VLOOKUP(I1723,'SANEAGO-FEV.2016'!A:B,2,0),IF(H1723="Sinapi",VLOOKUP(I1723,'SINAPI-FEV.2017'!A:D,2,0),IF(H1723="Cotação",VLOOKUP(I1723,COTAÇÃO!A:D,2,0),IF(H1723="Composição",VLOOKUP(I1723,COMPOSIÇÃO!A:D,2,0))))))</f>
        <v>Parede defletora - Telha em fibra de vidro tipo alcan/alcoa, esp. 4,0mm, em fibra de vidro</v>
      </c>
      <c r="L1723" s="780" t="s">
        <v>10854</v>
      </c>
      <c r="M1723" s="1270">
        <v>544</v>
      </c>
      <c r="N1723" s="399">
        <v>0</v>
      </c>
      <c r="O1723" s="102">
        <f t="shared" si="270"/>
        <v>0</v>
      </c>
      <c r="P1723" s="101">
        <f t="shared" si="271"/>
        <v>0</v>
      </c>
      <c r="Q1723" s="1472">
        <v>544</v>
      </c>
    </row>
    <row r="1724" spans="1:17">
      <c r="A1724" s="1482"/>
      <c r="B1724" s="1482"/>
      <c r="C1724" s="1555">
        <f t="shared" si="268"/>
        <v>3</v>
      </c>
      <c r="D1724" s="1492">
        <f t="shared" si="269"/>
        <v>2</v>
      </c>
      <c r="E1724" s="1492"/>
      <c r="F1724" s="1484" t="s">
        <v>11724</v>
      </c>
      <c r="H1724" s="1095" t="s">
        <v>11722</v>
      </c>
      <c r="I1724" s="780" t="s">
        <v>13107</v>
      </c>
      <c r="J1724" s="834"/>
      <c r="K1724" s="790" t="str">
        <f>(IF(H1724="Saneago",VLOOKUP(I1724,'SANEAGO-FEV.2016'!A:B,2,0),IF(H1724="Sinapi",VLOOKUP(I1724,'SINAPI-FEV.2017'!A:D,2,0),IF(H1724="Cotação",VLOOKUP(I1724,COTAÇÃO!A:D,2,0),IF(H1724="Composição",VLOOKUP(I1724,COMPOSIÇÃO!A:D,2,0))))))</f>
        <v>Cantoneira de abas iguais 4", em aço INOX AISI-304, espessura de 1/4"</v>
      </c>
      <c r="L1724" s="780" t="s">
        <v>10854</v>
      </c>
      <c r="M1724" s="1270">
        <v>64</v>
      </c>
      <c r="N1724" s="399">
        <v>0</v>
      </c>
      <c r="O1724" s="102">
        <f t="shared" si="270"/>
        <v>0</v>
      </c>
      <c r="P1724" s="101">
        <f t="shared" si="271"/>
        <v>0</v>
      </c>
      <c r="Q1724" s="1472">
        <v>64</v>
      </c>
    </row>
    <row r="1725" spans="1:17">
      <c r="A1725" s="1482"/>
      <c r="B1725" s="1482"/>
      <c r="C1725" s="1555">
        <f t="shared" si="268"/>
        <v>3</v>
      </c>
      <c r="D1725" s="1492">
        <f t="shared" si="269"/>
        <v>2</v>
      </c>
      <c r="E1725" s="1492"/>
      <c r="F1725" s="1484" t="s">
        <v>11724</v>
      </c>
      <c r="H1725" s="1095" t="s">
        <v>11722</v>
      </c>
      <c r="I1725" s="780" t="s">
        <v>14368</v>
      </c>
      <c r="J1725" s="834"/>
      <c r="K1725" s="790" t="str">
        <f>(IF(H1725="Saneago",VLOOKUP(I1725,'SANEAGO-FEV.2016'!A:B,2,0),IF(H1725="Sinapi",VLOOKUP(I1725,'SINAPI-FEV.2017'!A:D,2,0),IF(H1725="Cotação",VLOOKUP(I1725,COTAÇÃO!A:D,2,0),IF(H1725="Composição",VLOOKUP(I1725,COMPOSIÇÃO!A:D,2,0))))))</f>
        <v>Rufo de fixação nas paredes laterais, em fibra de vidro, 103 mm x 4,0 mm</v>
      </c>
      <c r="L1725" s="780" t="s">
        <v>10854</v>
      </c>
      <c r="M1725" s="1270">
        <v>64</v>
      </c>
      <c r="N1725" s="399">
        <v>0</v>
      </c>
      <c r="O1725" s="102">
        <f t="shared" si="270"/>
        <v>0</v>
      </c>
      <c r="P1725" s="101">
        <f t="shared" si="271"/>
        <v>0</v>
      </c>
      <c r="Q1725" s="1472">
        <v>64</v>
      </c>
    </row>
    <row r="1726" spans="1:17" ht="22.5">
      <c r="A1726" s="1482"/>
      <c r="B1726" s="1482"/>
      <c r="C1726" s="1555">
        <f t="shared" si="268"/>
        <v>3</v>
      </c>
      <c r="D1726" s="1492">
        <f t="shared" si="269"/>
        <v>2</v>
      </c>
      <c r="E1726" s="1492"/>
      <c r="F1726" s="1484" t="s">
        <v>11724</v>
      </c>
      <c r="H1726" s="1095" t="s">
        <v>11722</v>
      </c>
      <c r="I1726" s="780" t="s">
        <v>14370</v>
      </c>
      <c r="J1726" s="834"/>
      <c r="K1726" s="790" t="str">
        <f>(IF(H1726="Saneago",VLOOKUP(I1726,'SANEAGO-FEV.2016'!A:B,2,0),IF(H1726="Sinapi",VLOOKUP(I1726,'SINAPI-FEV.2017'!A:D,2,0),IF(H1726="Cotação",VLOOKUP(I1726,COTAÇÃO!A:D,2,0),IF(H1726="Composição",VLOOKUP(I1726,COMPOSIÇÃO!A:D,2,0))))))</f>
        <v>Chumbador tipo parabolt Ø1/4", L=44,4 mm (Ref. "Walsywa WB" com acabamento em INOX)</v>
      </c>
      <c r="L1726" s="780" t="s">
        <v>1270</v>
      </c>
      <c r="M1726" s="1270">
        <v>1152</v>
      </c>
      <c r="N1726" s="399">
        <v>0</v>
      </c>
      <c r="O1726" s="102">
        <f t="shared" si="270"/>
        <v>0</v>
      </c>
      <c r="P1726" s="101">
        <f t="shared" si="271"/>
        <v>0</v>
      </c>
      <c r="Q1726" s="1472">
        <v>1152</v>
      </c>
    </row>
    <row r="1727" spans="1:17" ht="22.5">
      <c r="A1727" s="1482"/>
      <c r="B1727" s="1482"/>
      <c r="C1727" s="1555">
        <f t="shared" si="268"/>
        <v>3</v>
      </c>
      <c r="D1727" s="1492">
        <f t="shared" si="269"/>
        <v>2</v>
      </c>
      <c r="E1727" s="1492"/>
      <c r="F1727" s="1484" t="s">
        <v>11724</v>
      </c>
      <c r="H1727" s="1095" t="s">
        <v>11722</v>
      </c>
      <c r="I1727" s="780" t="s">
        <v>14372</v>
      </c>
      <c r="J1727" s="834"/>
      <c r="K1727" s="790" t="str">
        <f>(IF(H1727="Saneago",VLOOKUP(I1727,'SANEAGO-FEV.2016'!A:B,2,0),IF(H1727="Sinapi",VLOOKUP(I1727,'SINAPI-FEV.2017'!A:D,2,0),IF(H1727="Cotação",VLOOKUP(I1727,COTAÇÃO!A:D,2,0),IF(H1727="Composição",VLOOKUP(I1727,COMPOSIÇÃO!A:D,2,0))))))</f>
        <v>Parafuso A.A. cabeça de panela, com rosca soberba. DIN 7971-B, em aço INOX AISI-304, Ø5/16" e L=25,4mm. (com arruela e bucha fischer-S6)</v>
      </c>
      <c r="L1727" s="780" t="s">
        <v>1270</v>
      </c>
      <c r="M1727" s="1270">
        <v>6228</v>
      </c>
      <c r="N1727" s="399">
        <v>0</v>
      </c>
      <c r="O1727" s="102">
        <f t="shared" si="270"/>
        <v>0</v>
      </c>
      <c r="P1727" s="101">
        <f t="shared" si="271"/>
        <v>0</v>
      </c>
      <c r="Q1727" s="1472">
        <v>6228</v>
      </c>
    </row>
    <row r="1728" spans="1:17" ht="22.5">
      <c r="A1728" s="1482"/>
      <c r="B1728" s="1482"/>
      <c r="C1728" s="1555">
        <f t="shared" si="268"/>
        <v>3</v>
      </c>
      <c r="D1728" s="1492">
        <f t="shared" si="269"/>
        <v>2</v>
      </c>
      <c r="E1728" s="1492"/>
      <c r="F1728" s="1484" t="s">
        <v>11724</v>
      </c>
      <c r="H1728" s="1095" t="s">
        <v>11722</v>
      </c>
      <c r="I1728" s="780" t="s">
        <v>14374</v>
      </c>
      <c r="J1728" s="834"/>
      <c r="K1728" s="790" t="str">
        <f>(IF(H1728="Saneago",VLOOKUP(I1728,'SANEAGO-FEV.2016'!A:B,2,0),IF(H1728="Sinapi",VLOOKUP(I1728,'SINAPI-FEV.2017'!A:D,2,0),IF(H1728="Cotação",VLOOKUP(I1728,COTAÇÃO!A:D,2,0),IF(H1728="Composição",VLOOKUP(I1728,COMPOSIÇÃO!A:D,2,0))))))</f>
        <v>Chumbador tipo parabolt Ø1/4", L=57,1 mm (Ref. "Walsywa WB" com  acabamento em INOX)</v>
      </c>
      <c r="L1728" s="780" t="s">
        <v>1270</v>
      </c>
      <c r="M1728" s="1270">
        <v>480</v>
      </c>
      <c r="N1728" s="399">
        <v>0</v>
      </c>
      <c r="O1728" s="102">
        <f t="shared" si="270"/>
        <v>0</v>
      </c>
      <c r="P1728" s="101">
        <f t="shared" si="271"/>
        <v>0</v>
      </c>
      <c r="Q1728" s="1472">
        <v>480</v>
      </c>
    </row>
    <row r="1729" spans="1:17">
      <c r="A1729" s="1482"/>
      <c r="B1729" s="1482"/>
      <c r="C1729" s="1555">
        <f t="shared" si="268"/>
        <v>3</v>
      </c>
      <c r="D1729" s="1492">
        <f t="shared" si="269"/>
        <v>2</v>
      </c>
      <c r="E1729" s="1492"/>
      <c r="F1729" s="1484" t="s">
        <v>11724</v>
      </c>
      <c r="H1729" s="1095" t="s">
        <v>11722</v>
      </c>
      <c r="I1729" s="780" t="s">
        <v>14376</v>
      </c>
      <c r="J1729" s="834"/>
      <c r="K1729" s="790" t="str">
        <f>(IF(H1729="Saneago",VLOOKUP(I1729,'SANEAGO-FEV.2016'!A:B,2,0),IF(H1729="Sinapi",VLOOKUP(I1729,'SINAPI-FEV.2017'!A:D,2,0),IF(H1729="Cotação",VLOOKUP(I1729,COTAÇÃO!A:D,2,0),IF(H1729="Composição",VLOOKUP(I1729,COMPOSIÇÃO!A:D,2,0))))))</f>
        <v>Manta neoprene, 30x1700mm, em fibra de vidro esp.: 5mm</v>
      </c>
      <c r="L1729" s="780" t="s">
        <v>10854</v>
      </c>
      <c r="M1729" s="1270">
        <v>32</v>
      </c>
      <c r="N1729" s="399">
        <v>0</v>
      </c>
      <c r="O1729" s="102">
        <f t="shared" si="270"/>
        <v>0</v>
      </c>
      <c r="P1729" s="101">
        <f t="shared" si="271"/>
        <v>0</v>
      </c>
      <c r="Q1729" s="1472">
        <v>32</v>
      </c>
    </row>
    <row r="1730" spans="1:17">
      <c r="A1730" s="1482"/>
      <c r="B1730" s="1482"/>
      <c r="C1730" s="1555">
        <f t="shared" si="268"/>
        <v>3</v>
      </c>
      <c r="D1730" s="1492">
        <f t="shared" si="269"/>
        <v>2</v>
      </c>
      <c r="E1730" s="1492"/>
      <c r="F1730" s="1484" t="s">
        <v>11724</v>
      </c>
      <c r="H1730" s="1095" t="s">
        <v>11722</v>
      </c>
      <c r="I1730" s="780" t="s">
        <v>14378</v>
      </c>
      <c r="J1730" s="834"/>
      <c r="K1730" s="790" t="str">
        <f>(IF(H1730="Saneago",VLOOKUP(I1730,'SANEAGO-FEV.2016'!A:B,2,0),IF(H1730="Sinapi",VLOOKUP(I1730,'SINAPI-FEV.2017'!A:D,2,0),IF(H1730="Cotação",VLOOKUP(I1730,COTAÇÃO!A:D,2,0),IF(H1730="Composição",VLOOKUP(I1730,COMPOSIÇÃO!A:D,2,0))))))</f>
        <v>Tarugo, 30x1700mm, em fibra de vidro esp.: 10mm</v>
      </c>
      <c r="L1730" s="780" t="s">
        <v>10854</v>
      </c>
      <c r="M1730" s="1270">
        <v>576</v>
      </c>
      <c r="N1730" s="399">
        <v>0</v>
      </c>
      <c r="O1730" s="102">
        <f t="shared" si="270"/>
        <v>0</v>
      </c>
      <c r="P1730" s="101">
        <f t="shared" si="271"/>
        <v>0</v>
      </c>
      <c r="Q1730" s="1472">
        <v>576</v>
      </c>
    </row>
    <row r="1731" spans="1:17">
      <c r="A1731" s="1482"/>
      <c r="B1731" s="1482"/>
      <c r="C1731" s="1555">
        <f t="shared" si="268"/>
        <v>3</v>
      </c>
      <c r="D1731" s="1492">
        <f t="shared" si="269"/>
        <v>2</v>
      </c>
      <c r="E1731" s="1492"/>
      <c r="F1731" s="1484" t="s">
        <v>11724</v>
      </c>
      <c r="H1731" s="1095" t="s">
        <v>11722</v>
      </c>
      <c r="I1731" s="780" t="s">
        <v>14380</v>
      </c>
      <c r="J1731" s="834"/>
      <c r="K1731" s="790" t="str">
        <f>(IF(H1731="Saneago",VLOOKUP(I1731,'SANEAGO-FEV.2016'!A:B,2,0),IF(H1731="Sinapi",VLOOKUP(I1731,'SINAPI-FEV.2017'!A:D,2,0),IF(H1731="Cotação",VLOOKUP(I1731,COTAÇÃO!A:D,2,0),IF(H1731="Composição",VLOOKUP(I1731,COMPOSIÇÃO!A:D,2,0))))))</f>
        <v>Rebite para fixação, ø4,8mmx9mm, em aço inox Ref.: 3314814</v>
      </c>
      <c r="L1731" s="780" t="s">
        <v>1270</v>
      </c>
      <c r="M1731" s="1270">
        <v>320</v>
      </c>
      <c r="N1731" s="399">
        <v>0</v>
      </c>
      <c r="O1731" s="102">
        <f t="shared" si="270"/>
        <v>0</v>
      </c>
      <c r="P1731" s="101">
        <f t="shared" si="271"/>
        <v>0</v>
      </c>
      <c r="Q1731" s="1472">
        <v>320</v>
      </c>
    </row>
    <row r="1732" spans="1:17">
      <c r="A1732" s="1482"/>
      <c r="B1732" s="1482"/>
      <c r="C1732" s="1555">
        <f t="shared" si="268"/>
        <v>3</v>
      </c>
      <c r="D1732" s="1492">
        <f t="shared" si="269"/>
        <v>2</v>
      </c>
      <c r="E1732" s="1492"/>
      <c r="F1732" s="1484" t="s">
        <v>11724</v>
      </c>
      <c r="H1732" s="1095" t="s">
        <v>11722</v>
      </c>
      <c r="I1732" s="780" t="s">
        <v>14382</v>
      </c>
      <c r="J1732" s="834"/>
      <c r="K1732" s="790" t="str">
        <f>(IF(H1732="Saneago",VLOOKUP(I1732,'SANEAGO-FEV.2016'!A:B,2,0),IF(H1732="Sinapi",VLOOKUP(I1732,'SINAPI-FEV.2017'!A:D,2,0),IF(H1732="Cotação",VLOOKUP(I1732,COTAÇÃO!A:D,2,0),IF(H1732="Composição",VLOOKUP(I1732,COMPOSIÇÃO!A:D,2,0))))))</f>
        <v>Rebite para fixação, ø4,8mmx13mm, em aço inox Ref.: 3314825</v>
      </c>
      <c r="L1732" s="780" t="s">
        <v>1270</v>
      </c>
      <c r="M1732" s="1270">
        <v>64</v>
      </c>
      <c r="N1732" s="399">
        <v>0</v>
      </c>
      <c r="O1732" s="102">
        <f t="shared" si="270"/>
        <v>0</v>
      </c>
      <c r="P1732" s="101">
        <f t="shared" si="271"/>
        <v>0</v>
      </c>
      <c r="Q1732" s="1472">
        <v>64</v>
      </c>
    </row>
    <row r="1733" spans="1:17">
      <c r="A1733" s="1482"/>
      <c r="B1733" s="1482"/>
      <c r="C1733" s="1555">
        <f t="shared" si="268"/>
        <v>3</v>
      </c>
      <c r="D1733" s="1492">
        <f t="shared" si="269"/>
        <v>2</v>
      </c>
      <c r="E1733" s="1492"/>
      <c r="F1733" s="1484" t="s">
        <v>11724</v>
      </c>
      <c r="H1733" s="1095" t="s">
        <v>11722</v>
      </c>
      <c r="I1733" s="780" t="s">
        <v>14384</v>
      </c>
      <c r="J1733" s="834"/>
      <c r="K1733" s="790" t="str">
        <f>(IF(H1733="Saneago",VLOOKUP(I1733,'SANEAGO-FEV.2016'!A:B,2,0),IF(H1733="Sinapi",VLOOKUP(I1733,'SINAPI-FEV.2017'!A:D,2,0),IF(H1733="Cotação",VLOOKUP(I1733,COTAÇÃO!A:D,2,0),IF(H1733="Composição",VLOOKUP(I1733,COMPOSIÇÃO!A:D,2,0))))))</f>
        <v>Rebite para fixação, ø4,8mmx19mm, em aço inox Ref.: 3314825</v>
      </c>
      <c r="L1733" s="780" t="s">
        <v>1270</v>
      </c>
      <c r="M1733" s="1270">
        <v>2560</v>
      </c>
      <c r="N1733" s="399">
        <v>0</v>
      </c>
      <c r="O1733" s="102">
        <f t="shared" si="270"/>
        <v>0</v>
      </c>
      <c r="P1733" s="101">
        <f t="shared" si="271"/>
        <v>0</v>
      </c>
      <c r="Q1733" s="1472">
        <v>2560</v>
      </c>
    </row>
    <row r="1734" spans="1:17">
      <c r="A1734" s="1482"/>
      <c r="B1734" s="1482"/>
      <c r="C1734" s="1555">
        <f t="shared" si="268"/>
        <v>3</v>
      </c>
      <c r="D1734" s="1492">
        <f t="shared" si="269"/>
        <v>2</v>
      </c>
      <c r="E1734" s="1492"/>
      <c r="F1734" s="1484" t="s">
        <v>11724</v>
      </c>
      <c r="H1734" s="1095" t="s">
        <v>11722</v>
      </c>
      <c r="I1734" s="780" t="s">
        <v>14386</v>
      </c>
      <c r="J1734" s="834"/>
      <c r="K1734" s="790" t="str">
        <f>(IF(H1734="Saneago",VLOOKUP(I1734,'SANEAGO-FEV.2016'!A:B,2,0),IF(H1734="Sinapi",VLOOKUP(I1734,'SINAPI-FEV.2017'!A:D,2,0),IF(H1734="Cotação",VLOOKUP(I1734,COTAÇÃO!A:D,2,0),IF(H1734="Composição",VLOOKUP(I1734,COMPOSIÇÃO!A:D,2,0))))))</f>
        <v>Rebite para fixação, ø4,8mmx23mm, em aço inox Ref.: 3314825</v>
      </c>
      <c r="L1734" s="780" t="s">
        <v>1270</v>
      </c>
      <c r="M1734" s="1270">
        <v>512</v>
      </c>
      <c r="N1734" s="399">
        <v>0</v>
      </c>
      <c r="O1734" s="102">
        <f t="shared" si="270"/>
        <v>0</v>
      </c>
      <c r="P1734" s="101">
        <f t="shared" si="271"/>
        <v>0</v>
      </c>
      <c r="Q1734" s="1472">
        <v>512</v>
      </c>
    </row>
    <row r="1735" spans="1:17">
      <c r="A1735" s="1482"/>
      <c r="B1735" s="1482"/>
      <c r="C1735" s="1555">
        <f t="shared" si="268"/>
        <v>3</v>
      </c>
      <c r="D1735" s="1492">
        <f t="shared" si="269"/>
        <v>2</v>
      </c>
      <c r="E1735" s="1492"/>
      <c r="F1735" s="1484" t="s">
        <v>11724</v>
      </c>
      <c r="H1735" s="1095"/>
      <c r="I1735" s="780"/>
      <c r="J1735" s="834"/>
      <c r="K1735" s="915" t="s">
        <v>14475</v>
      </c>
      <c r="L1735" s="780"/>
      <c r="M1735" s="1270"/>
      <c r="N1735" s="399"/>
      <c r="O1735" s="102"/>
      <c r="P1735" s="101"/>
    </row>
    <row r="1736" spans="1:17">
      <c r="A1736" s="1482"/>
      <c r="B1736" s="1482"/>
      <c r="C1736" s="1555">
        <f t="shared" si="268"/>
        <v>3</v>
      </c>
      <c r="D1736" s="1492">
        <f t="shared" si="269"/>
        <v>2</v>
      </c>
      <c r="E1736" s="1492"/>
      <c r="F1736" s="1484" t="s">
        <v>11724</v>
      </c>
      <c r="H1736" s="1095" t="s">
        <v>11722</v>
      </c>
      <c r="I1736" s="780" t="s">
        <v>14388</v>
      </c>
      <c r="J1736" s="834"/>
      <c r="K1736" s="790" t="str">
        <f>(IF(H1736="Saneago",VLOOKUP(I1736,'SANEAGO-FEV.2016'!A:B,2,0),IF(H1736="Sinapi",VLOOKUP(I1736,'SINAPI-FEV.2017'!A:D,2,0),IF(H1736="Cotação",VLOOKUP(I1736,COTAÇÃO!A:D,2,0),IF(H1736="Composição",VLOOKUP(I1736,COMPOSIÇÃO!A:D,2,0))))))</f>
        <v>Manta neoprene, 30x2150mm, esp.: 5mm</v>
      </c>
      <c r="L1736" s="780" t="s">
        <v>10854</v>
      </c>
      <c r="M1736" s="1270">
        <v>48</v>
      </c>
      <c r="N1736" s="399">
        <v>0</v>
      </c>
      <c r="O1736" s="102">
        <f t="shared" si="270"/>
        <v>0</v>
      </c>
      <c r="P1736" s="101">
        <f t="shared" si="271"/>
        <v>0</v>
      </c>
      <c r="Q1736" s="1472">
        <v>48</v>
      </c>
    </row>
    <row r="1737" spans="1:17">
      <c r="A1737" s="1482"/>
      <c r="B1737" s="1482"/>
      <c r="C1737" s="1555">
        <f t="shared" si="268"/>
        <v>3</v>
      </c>
      <c r="D1737" s="1492">
        <f t="shared" si="269"/>
        <v>2</v>
      </c>
      <c r="E1737" s="1492"/>
      <c r="F1737" s="1484" t="s">
        <v>11724</v>
      </c>
      <c r="H1737" s="1095" t="s">
        <v>11722</v>
      </c>
      <c r="I1737" s="780" t="s">
        <v>14390</v>
      </c>
      <c r="J1737" s="834"/>
      <c r="K1737" s="790" t="str">
        <f>(IF(H1737="Saneago",VLOOKUP(I1737,'SANEAGO-FEV.2016'!A:B,2,0),IF(H1737="Sinapi",VLOOKUP(I1737,'SINAPI-FEV.2017'!A:D,2,0),IF(H1737="Cotação",VLOOKUP(I1737,COTAÇÃO!A:D,2,0),IF(H1737="Composição",VLOOKUP(I1737,COMPOSIÇÃO!A:D,2,0))))))</f>
        <v>Chapa em fibra de vidro, tipo 1, L=2,15x0,08m, esp.: 5mm</v>
      </c>
      <c r="L1737" s="780" t="s">
        <v>1270</v>
      </c>
      <c r="M1737" s="1270">
        <v>24</v>
      </c>
      <c r="N1737" s="399">
        <v>0</v>
      </c>
      <c r="O1737" s="102">
        <f t="shared" si="270"/>
        <v>0</v>
      </c>
      <c r="P1737" s="101">
        <f t="shared" si="271"/>
        <v>0</v>
      </c>
      <c r="Q1737" s="1472">
        <v>24</v>
      </c>
    </row>
    <row r="1738" spans="1:17">
      <c r="A1738" s="1482"/>
      <c r="B1738" s="1482"/>
      <c r="C1738" s="1555">
        <f t="shared" si="268"/>
        <v>3</v>
      </c>
      <c r="D1738" s="1492">
        <f t="shared" si="269"/>
        <v>2</v>
      </c>
      <c r="E1738" s="1492"/>
      <c r="F1738" s="1484" t="s">
        <v>11724</v>
      </c>
      <c r="H1738" s="1095" t="s">
        <v>11722</v>
      </c>
      <c r="I1738" s="780" t="s">
        <v>14392</v>
      </c>
      <c r="J1738" s="834"/>
      <c r="K1738" s="790" t="str">
        <f>(IF(H1738="Saneago",VLOOKUP(I1738,'SANEAGO-FEV.2016'!A:B,2,0),IF(H1738="Sinapi",VLOOKUP(I1738,'SINAPI-FEV.2017'!A:D,2,0),IF(H1738="Cotação",VLOOKUP(I1738,COTAÇÃO!A:D,2,0),IF(H1738="Composição",VLOOKUP(I1738,COMPOSIÇÃO!A:D,2,0))))))</f>
        <v>Tarugo, 30x2150mm, esp.: 10mm  em fibra de vidro</v>
      </c>
      <c r="L1738" s="780" t="s">
        <v>10854</v>
      </c>
      <c r="M1738" s="1270">
        <v>48</v>
      </c>
      <c r="N1738" s="399">
        <v>0</v>
      </c>
      <c r="O1738" s="102">
        <f t="shared" si="270"/>
        <v>0</v>
      </c>
      <c r="P1738" s="101">
        <f t="shared" si="271"/>
        <v>0</v>
      </c>
      <c r="Q1738" s="1472">
        <v>48</v>
      </c>
    </row>
    <row r="1739" spans="1:17" ht="22.5">
      <c r="A1739" s="1482"/>
      <c r="B1739" s="1482"/>
      <c r="C1739" s="1555">
        <f t="shared" si="268"/>
        <v>3</v>
      </c>
      <c r="D1739" s="1492">
        <f t="shared" si="269"/>
        <v>2</v>
      </c>
      <c r="E1739" s="1492"/>
      <c r="F1739" s="1484" t="s">
        <v>11724</v>
      </c>
      <c r="H1739" s="1095" t="s">
        <v>11722</v>
      </c>
      <c r="I1739" s="780" t="s">
        <v>14394</v>
      </c>
      <c r="J1739" s="834"/>
      <c r="K1739" s="790" t="str">
        <f>(IF(H1739="Saneago",VLOOKUP(I1739,'SANEAGO-FEV.2016'!A:B,2,0),IF(H1739="Sinapi",VLOOKUP(I1739,'SINAPI-FEV.2017'!A:D,2,0),IF(H1739="Cotação",VLOOKUP(I1739,COTAÇÃO!A:D,2,0),IF(H1739="Composição",VLOOKUP(I1739,COMPOSIÇÃO!A:D,2,0))))))</f>
        <v>Chumbador tipo parabolt Ø1/4", L=57,1 mm (Ref. "Walsywa WB" com acabamento em INOX)</v>
      </c>
      <c r="L1739" s="780" t="s">
        <v>1270</v>
      </c>
      <c r="M1739" s="1270">
        <v>1548</v>
      </c>
      <c r="N1739" s="399">
        <v>0</v>
      </c>
      <c r="O1739" s="102">
        <f t="shared" si="270"/>
        <v>0</v>
      </c>
      <c r="P1739" s="101">
        <f t="shared" si="271"/>
        <v>0</v>
      </c>
      <c r="Q1739" s="1472">
        <v>1548</v>
      </c>
    </row>
    <row r="1740" spans="1:17" ht="22.5">
      <c r="A1740" s="1482"/>
      <c r="B1740" s="1482"/>
      <c r="C1740" s="1555">
        <f t="shared" si="268"/>
        <v>3</v>
      </c>
      <c r="D1740" s="1492">
        <f t="shared" si="269"/>
        <v>2</v>
      </c>
      <c r="E1740" s="1492"/>
      <c r="F1740" s="1484" t="s">
        <v>11724</v>
      </c>
      <c r="H1740" s="1095" t="s">
        <v>11722</v>
      </c>
      <c r="I1740" s="780" t="s">
        <v>14396</v>
      </c>
      <c r="J1740" s="834"/>
      <c r="K1740" s="790" t="str">
        <f>(IF(H1740="Saneago",VLOOKUP(I1740,'SANEAGO-FEV.2016'!A:B,2,0),IF(H1740="Sinapi",VLOOKUP(I1740,'SINAPI-FEV.2017'!A:D,2,0),IF(H1740="Cotação",VLOOKUP(I1740,COTAÇÃO!A:D,2,0),IF(H1740="Composição",VLOOKUP(I1740,COMPOSIÇÃO!A:D,2,0))))))</f>
        <v>Parafuso sextavado. ANSI B 18.2.1, Rosca: UNC - ASME B 1.1-2A, em aço INOX AISI 304, Ø3/16", L=25,4mm, (com arruela e porca)</v>
      </c>
      <c r="L1740" s="780" t="s">
        <v>1270</v>
      </c>
      <c r="M1740" s="1270">
        <v>1548</v>
      </c>
      <c r="N1740" s="399">
        <v>0</v>
      </c>
      <c r="O1740" s="102">
        <f t="shared" si="270"/>
        <v>0</v>
      </c>
      <c r="P1740" s="101">
        <f t="shared" si="271"/>
        <v>0</v>
      </c>
      <c r="Q1740" s="1472">
        <v>1548</v>
      </c>
    </row>
    <row r="1741" spans="1:17">
      <c r="A1741" s="1482"/>
      <c r="B1741" s="1482"/>
      <c r="C1741" s="1555">
        <f t="shared" si="268"/>
        <v>3</v>
      </c>
      <c r="D1741" s="1492">
        <f t="shared" si="269"/>
        <v>2</v>
      </c>
      <c r="E1741" s="1492"/>
      <c r="F1741" s="1484" t="s">
        <v>11724</v>
      </c>
      <c r="H1741" s="1095" t="s">
        <v>11722</v>
      </c>
      <c r="I1741" s="780" t="s">
        <v>14398</v>
      </c>
      <c r="J1741" s="834"/>
      <c r="K1741" s="790" t="str">
        <f>(IF(H1741="Saneago",VLOOKUP(I1741,'SANEAGO-FEV.2016'!A:B,2,0),IF(H1741="Sinapi",VLOOKUP(I1741,'SINAPI-FEV.2017'!A:D,2,0),IF(H1741="Cotação",VLOOKUP(I1741,COTAÇÃO!A:D,2,0),IF(H1741="Composição",VLOOKUP(I1741,COMPOSIÇÃO!A:D,2,0))))))</f>
        <v>Manta neoprene, 30x2100mm, esp.: 5mm</v>
      </c>
      <c r="L1741" s="780" t="s">
        <v>10854</v>
      </c>
      <c r="M1741" s="1270">
        <v>216</v>
      </c>
      <c r="N1741" s="399">
        <v>0</v>
      </c>
      <c r="O1741" s="102">
        <f t="shared" si="270"/>
        <v>0</v>
      </c>
      <c r="P1741" s="101">
        <f t="shared" si="271"/>
        <v>0</v>
      </c>
      <c r="Q1741" s="1472">
        <v>216</v>
      </c>
    </row>
    <row r="1742" spans="1:17">
      <c r="A1742" s="1482"/>
      <c r="B1742" s="1482"/>
      <c r="C1742" s="1555">
        <f t="shared" si="268"/>
        <v>3</v>
      </c>
      <c r="D1742" s="1492">
        <f t="shared" si="269"/>
        <v>2</v>
      </c>
      <c r="E1742" s="1492"/>
      <c r="F1742" s="1484" t="s">
        <v>11724</v>
      </c>
      <c r="H1742" s="1095" t="s">
        <v>11722</v>
      </c>
      <c r="I1742" s="780" t="s">
        <v>14400</v>
      </c>
      <c r="J1742" s="834"/>
      <c r="K1742" s="790" t="str">
        <f>(IF(H1742="Saneago",VLOOKUP(I1742,'SANEAGO-FEV.2016'!A:B,2,0),IF(H1742="Sinapi",VLOOKUP(I1742,'SINAPI-FEV.2017'!A:D,2,0),IF(H1742="Cotação",VLOOKUP(I1742,COTAÇÃO!A:D,2,0),IF(H1742="Composição",VLOOKUP(I1742,COMPOSIÇÃO!A:D,2,0))))))</f>
        <v>Chapa em fibra de vidro, tipo 1, L=2,10x0,08m, esp.: 5mm</v>
      </c>
      <c r="L1742" s="780" t="s">
        <v>1270</v>
      </c>
      <c r="M1742" s="1270">
        <v>216</v>
      </c>
      <c r="N1742" s="399">
        <v>0</v>
      </c>
      <c r="O1742" s="102">
        <f t="shared" si="270"/>
        <v>0</v>
      </c>
      <c r="P1742" s="101">
        <f t="shared" si="271"/>
        <v>0</v>
      </c>
      <c r="Q1742" s="1472">
        <v>216</v>
      </c>
    </row>
    <row r="1743" spans="1:17">
      <c r="A1743" s="1482"/>
      <c r="B1743" s="1482"/>
      <c r="C1743" s="1555">
        <f t="shared" si="268"/>
        <v>3</v>
      </c>
      <c r="D1743" s="1492">
        <f t="shared" si="269"/>
        <v>2</v>
      </c>
      <c r="E1743" s="1492"/>
      <c r="F1743" s="1484" t="s">
        <v>11724</v>
      </c>
      <c r="H1743" s="1095" t="s">
        <v>11722</v>
      </c>
      <c r="I1743" s="780" t="s">
        <v>14402</v>
      </c>
      <c r="J1743" s="834"/>
      <c r="K1743" s="790" t="str">
        <f>(IF(H1743="Saneago",VLOOKUP(I1743,'SANEAGO-FEV.2016'!A:B,2,0),IF(H1743="Sinapi",VLOOKUP(I1743,'SINAPI-FEV.2017'!A:D,2,0),IF(H1743="Cotação",VLOOKUP(I1743,COTAÇÃO!A:D,2,0),IF(H1743="Composição",VLOOKUP(I1743,COMPOSIÇÃO!A:D,2,0))))))</f>
        <v>Tarugo, 30x2100mm, esp.: 10mm  em fibra de vidro</v>
      </c>
      <c r="L1743" s="780" t="s">
        <v>10854</v>
      </c>
      <c r="M1743" s="1270">
        <v>216</v>
      </c>
      <c r="N1743" s="399">
        <v>0</v>
      </c>
      <c r="O1743" s="102">
        <f t="shared" si="270"/>
        <v>0</v>
      </c>
      <c r="P1743" s="101">
        <f t="shared" si="271"/>
        <v>0</v>
      </c>
      <c r="Q1743" s="1472">
        <v>216</v>
      </c>
    </row>
    <row r="1744" spans="1:17">
      <c r="A1744" s="1482"/>
      <c r="B1744" s="1482"/>
      <c r="C1744" s="1555">
        <f t="shared" si="268"/>
        <v>3</v>
      </c>
      <c r="D1744" s="1492">
        <f t="shared" si="269"/>
        <v>2</v>
      </c>
      <c r="E1744" s="1492"/>
      <c r="F1744" s="1484" t="s">
        <v>11724</v>
      </c>
      <c r="H1744" s="1095" t="s">
        <v>11722</v>
      </c>
      <c r="I1744" s="780" t="s">
        <v>14404</v>
      </c>
      <c r="J1744" s="834"/>
      <c r="K1744" s="790" t="str">
        <f>(IF(H1744="Saneago",VLOOKUP(I1744,'SANEAGO-FEV.2016'!A:B,2,0),IF(H1744="Sinapi",VLOOKUP(I1744,'SINAPI-FEV.2017'!A:D,2,0),IF(H1744="Cotação",VLOOKUP(I1744,COTAÇÃO!A:D,2,0),IF(H1744="Composição",VLOOKUP(I1744,COMPOSIÇÃO!A:D,2,0))))))</f>
        <v>Divisória em fibra de vidro, tipo 1, 2,15x2,15m, esp. min. 4,00mm</v>
      </c>
      <c r="L1744" s="780" t="s">
        <v>10854</v>
      </c>
      <c r="M1744" s="1270">
        <v>24</v>
      </c>
      <c r="N1744" s="399">
        <v>0</v>
      </c>
      <c r="O1744" s="102">
        <f t="shared" si="270"/>
        <v>0</v>
      </c>
      <c r="P1744" s="101">
        <f t="shared" si="271"/>
        <v>0</v>
      </c>
      <c r="Q1744" s="1472">
        <v>24</v>
      </c>
    </row>
    <row r="1745" spans="1:17">
      <c r="A1745" s="1482"/>
      <c r="B1745" s="1482"/>
      <c r="C1745" s="1555">
        <f t="shared" si="268"/>
        <v>3</v>
      </c>
      <c r="D1745" s="1492">
        <f t="shared" si="269"/>
        <v>2</v>
      </c>
      <c r="E1745" s="1492"/>
      <c r="F1745" s="1484" t="s">
        <v>11724</v>
      </c>
      <c r="H1745" s="1095" t="s">
        <v>11722</v>
      </c>
      <c r="I1745" s="780" t="s">
        <v>14406</v>
      </c>
      <c r="J1745" s="834"/>
      <c r="K1745" s="790" t="str">
        <f>(IF(H1745="Saneago",VLOOKUP(I1745,'SANEAGO-FEV.2016'!A:B,2,0),IF(H1745="Sinapi",VLOOKUP(I1745,'SINAPI-FEV.2017'!A:D,2,0),IF(H1745="Cotação",VLOOKUP(I1745,COTAÇÃO!A:D,2,0),IF(H1745="Composição",VLOOKUP(I1745,COMPOSIÇÃO!A:D,2,0))))))</f>
        <v>Chapa em fibra de vidro, tipo 2, L=2,15x0,07m, esp.: 5mm</v>
      </c>
      <c r="L1745" s="780" t="s">
        <v>10854</v>
      </c>
      <c r="M1745" s="1270">
        <v>24</v>
      </c>
      <c r="N1745" s="399">
        <v>0</v>
      </c>
      <c r="O1745" s="102">
        <f t="shared" si="270"/>
        <v>0</v>
      </c>
      <c r="P1745" s="101">
        <f t="shared" si="271"/>
        <v>0</v>
      </c>
      <c r="Q1745" s="1472">
        <v>24</v>
      </c>
    </row>
    <row r="1746" spans="1:17">
      <c r="A1746" s="1482"/>
      <c r="B1746" s="1482"/>
      <c r="C1746" s="1555">
        <f t="shared" si="268"/>
        <v>3</v>
      </c>
      <c r="D1746" s="1492">
        <f t="shared" si="269"/>
        <v>2</v>
      </c>
      <c r="E1746" s="1492"/>
      <c r="F1746" s="1484" t="s">
        <v>11724</v>
      </c>
      <c r="H1746" s="1095" t="s">
        <v>11722</v>
      </c>
      <c r="I1746" s="780" t="s">
        <v>14408</v>
      </c>
      <c r="J1746" s="834"/>
      <c r="K1746" s="790" t="str">
        <f>(IF(H1746="Saneago",VLOOKUP(I1746,'SANEAGO-FEV.2016'!A:B,2,0),IF(H1746="Sinapi",VLOOKUP(I1746,'SINAPI-FEV.2017'!A:D,2,0),IF(H1746="Cotação",VLOOKUP(I1746,COTAÇÃO!A:D,2,0),IF(H1746="Composição",VLOOKUP(I1746,COMPOSIÇÃO!A:D,2,0))))))</f>
        <v>Divisória em fibra de vidro, tipo 2, 1,10x2,15m, esp. min. 4,00mm</v>
      </c>
      <c r="L1746" s="780" t="s">
        <v>10854</v>
      </c>
      <c r="M1746" s="1270">
        <v>36</v>
      </c>
      <c r="N1746" s="399">
        <v>0</v>
      </c>
      <c r="O1746" s="102">
        <f t="shared" si="270"/>
        <v>0</v>
      </c>
      <c r="P1746" s="101">
        <f t="shared" si="271"/>
        <v>0</v>
      </c>
      <c r="Q1746" s="1472">
        <v>36</v>
      </c>
    </row>
    <row r="1747" spans="1:17">
      <c r="A1747" s="1482"/>
      <c r="B1747" s="1482"/>
      <c r="C1747" s="1555">
        <f t="shared" si="268"/>
        <v>3</v>
      </c>
      <c r="D1747" s="1492">
        <f t="shared" si="269"/>
        <v>2</v>
      </c>
      <c r="E1747" s="1492"/>
      <c r="F1747" s="1484" t="s">
        <v>11724</v>
      </c>
      <c r="H1747" s="1095" t="s">
        <v>11722</v>
      </c>
      <c r="I1747" s="780" t="s">
        <v>14410</v>
      </c>
      <c r="J1747" s="834"/>
      <c r="K1747" s="790" t="str">
        <f>(IF(H1747="Saneago",VLOOKUP(I1747,'SANEAGO-FEV.2016'!A:B,2,0),IF(H1747="Sinapi",VLOOKUP(I1747,'SINAPI-FEV.2017'!A:D,2,0),IF(H1747="Cotação",VLOOKUP(I1747,COTAÇÃO!A:D,2,0),IF(H1747="Composição",VLOOKUP(I1747,COMPOSIÇÃO!A:D,2,0))))))</f>
        <v>Manta neoprene, 30x1100mm, esp.: 5mm</v>
      </c>
      <c r="L1747" s="780" t="s">
        <v>10854</v>
      </c>
      <c r="M1747" s="1270">
        <v>36</v>
      </c>
      <c r="N1747" s="399">
        <v>0</v>
      </c>
      <c r="O1747" s="102">
        <f t="shared" si="270"/>
        <v>0</v>
      </c>
      <c r="P1747" s="101">
        <f t="shared" si="271"/>
        <v>0</v>
      </c>
      <c r="Q1747" s="1472">
        <v>36</v>
      </c>
    </row>
    <row r="1748" spans="1:17">
      <c r="A1748" s="1482"/>
      <c r="B1748" s="1482"/>
      <c r="C1748" s="1555">
        <f t="shared" si="268"/>
        <v>3</v>
      </c>
      <c r="D1748" s="1492">
        <f t="shared" si="269"/>
        <v>2</v>
      </c>
      <c r="E1748" s="1492"/>
      <c r="F1748" s="1484" t="s">
        <v>11724</v>
      </c>
      <c r="H1748" s="1095" t="s">
        <v>11722</v>
      </c>
      <c r="I1748" s="780" t="s">
        <v>14412</v>
      </c>
      <c r="J1748" s="834"/>
      <c r="K1748" s="790" t="str">
        <f>(IF(H1748="Saneago",VLOOKUP(I1748,'SANEAGO-FEV.2016'!A:B,2,0),IF(H1748="Sinapi",VLOOKUP(I1748,'SINAPI-FEV.2017'!A:D,2,0),IF(H1748="Cotação",VLOOKUP(I1748,COTAÇÃO!A:D,2,0),IF(H1748="Composição",VLOOKUP(I1748,COMPOSIÇÃO!A:D,2,0))))))</f>
        <v>Chapa em fibra de vidro, tipo 2, L=1,10x0,07m, esp.: 5mm</v>
      </c>
      <c r="L1748" s="780" t="s">
        <v>10854</v>
      </c>
      <c r="M1748" s="1270">
        <v>36</v>
      </c>
      <c r="N1748" s="399">
        <v>0</v>
      </c>
      <c r="O1748" s="102">
        <f t="shared" si="270"/>
        <v>0</v>
      </c>
      <c r="P1748" s="101">
        <f t="shared" si="271"/>
        <v>0</v>
      </c>
      <c r="Q1748" s="1472">
        <v>36</v>
      </c>
    </row>
    <row r="1749" spans="1:17">
      <c r="A1749" s="1482"/>
      <c r="B1749" s="1482"/>
      <c r="C1749" s="1555">
        <f t="shared" si="268"/>
        <v>3</v>
      </c>
      <c r="D1749" s="1492">
        <f t="shared" si="269"/>
        <v>2</v>
      </c>
      <c r="E1749" s="1492"/>
      <c r="F1749" s="1484" t="s">
        <v>11724</v>
      </c>
      <c r="H1749" s="1095" t="s">
        <v>11722</v>
      </c>
      <c r="I1749" s="780" t="s">
        <v>14414</v>
      </c>
      <c r="J1749" s="834"/>
      <c r="K1749" s="790" t="str">
        <f>(IF(H1749="Saneago",VLOOKUP(I1749,'SANEAGO-FEV.2016'!A:B,2,0),IF(H1749="Sinapi",VLOOKUP(I1749,'SINAPI-FEV.2017'!A:D,2,0),IF(H1749="Cotação",VLOOKUP(I1749,COTAÇÃO!A:D,2,0),IF(H1749="Composição",VLOOKUP(I1749,COMPOSIÇÃO!A:D,2,0))))))</f>
        <v>Tarugo, 30mmx10mm em fibra de vidro</v>
      </c>
      <c r="L1749" s="780" t="s">
        <v>10854</v>
      </c>
      <c r="M1749" s="1270">
        <v>36</v>
      </c>
      <c r="N1749" s="399">
        <v>0</v>
      </c>
      <c r="O1749" s="102">
        <f t="shared" si="270"/>
        <v>0</v>
      </c>
      <c r="P1749" s="101">
        <f t="shared" si="271"/>
        <v>0</v>
      </c>
      <c r="Q1749" s="1472">
        <v>36</v>
      </c>
    </row>
    <row r="1750" spans="1:17">
      <c r="A1750" s="1482"/>
      <c r="B1750" s="1482"/>
      <c r="C1750" s="1555">
        <f t="shared" si="268"/>
        <v>3</v>
      </c>
      <c r="D1750" s="1492">
        <f t="shared" si="269"/>
        <v>2</v>
      </c>
      <c r="E1750" s="1492"/>
      <c r="F1750" s="1484" t="s">
        <v>11724</v>
      </c>
      <c r="H1750" s="1095" t="s">
        <v>11722</v>
      </c>
      <c r="I1750" s="780" t="s">
        <v>14416</v>
      </c>
      <c r="J1750" s="834"/>
      <c r="K1750" s="790" t="str">
        <f>(IF(H1750="Saneago",VLOOKUP(I1750,'SANEAGO-FEV.2016'!A:B,2,0),IF(H1750="Sinapi",VLOOKUP(I1750,'SINAPI-FEV.2017'!A:D,2,0),IF(H1750="Cotação",VLOOKUP(I1750,COTAÇÃO!A:D,2,0),IF(H1750="Composição",VLOOKUP(I1750,COMPOSIÇÃO!A:D,2,0))))))</f>
        <v>Manta neoprene, 30x2050mm, esp.: 5mm</v>
      </c>
      <c r="L1750" s="780" t="s">
        <v>10854</v>
      </c>
      <c r="M1750" s="1270">
        <v>96</v>
      </c>
      <c r="N1750" s="399">
        <v>0</v>
      </c>
      <c r="O1750" s="102">
        <f t="shared" si="270"/>
        <v>0</v>
      </c>
      <c r="P1750" s="101">
        <f t="shared" si="271"/>
        <v>0</v>
      </c>
      <c r="Q1750" s="1472">
        <v>96</v>
      </c>
    </row>
    <row r="1751" spans="1:17">
      <c r="A1751" s="1482"/>
      <c r="B1751" s="1482"/>
      <c r="C1751" s="1555">
        <f t="shared" si="268"/>
        <v>3</v>
      </c>
      <c r="D1751" s="1492">
        <f>D1750+B1751</f>
        <v>2</v>
      </c>
      <c r="E1751" s="1492"/>
      <c r="F1751" s="1484" t="s">
        <v>11724</v>
      </c>
      <c r="H1751" s="1095" t="s">
        <v>11722</v>
      </c>
      <c r="I1751" s="780" t="s">
        <v>14418</v>
      </c>
      <c r="J1751" s="834"/>
      <c r="K1751" s="790" t="str">
        <f>(IF(H1751="Saneago",VLOOKUP(I1751,'SANEAGO-FEV.2016'!A:B,2,0),IF(H1751="Sinapi",VLOOKUP(I1751,'SINAPI-FEV.2017'!A:D,2,0),IF(H1751="Cotação",VLOOKUP(I1751,COTAÇÃO!A:D,2,0),IF(H1751="Composição",VLOOKUP(I1751,COMPOSIÇÃO!A:D,2,0))))))</f>
        <v>Chapa em fibra de vidro, tipo 1, L=2,05x0,08m, esp.: 5mm</v>
      </c>
      <c r="L1751" s="780" t="s">
        <v>1270</v>
      </c>
      <c r="M1751" s="1270">
        <v>48</v>
      </c>
      <c r="N1751" s="399">
        <v>0</v>
      </c>
      <c r="O1751" s="102">
        <f>ROUND(IF(F1751="Serviços",N1751*(1+$O$7),IF(F1751="Materiais",N1751*(1+$O$8))),2)</f>
        <v>0</v>
      </c>
      <c r="P1751" s="101">
        <f>ROUND(M1751*O1751,2)</f>
        <v>0</v>
      </c>
      <c r="Q1751" s="1472">
        <v>48</v>
      </c>
    </row>
    <row r="1752" spans="1:17">
      <c r="A1752" s="1482"/>
      <c r="B1752" s="1482"/>
      <c r="C1752" s="1555">
        <f t="shared" si="268"/>
        <v>3</v>
      </c>
      <c r="D1752" s="1492">
        <f>D1751+B1752</f>
        <v>2</v>
      </c>
      <c r="E1752" s="1492"/>
      <c r="F1752" s="1484" t="s">
        <v>11724</v>
      </c>
      <c r="H1752" s="1095" t="s">
        <v>11722</v>
      </c>
      <c r="I1752" s="780" t="s">
        <v>14420</v>
      </c>
      <c r="J1752" s="834"/>
      <c r="K1752" s="790" t="str">
        <f>(IF(H1752="Saneago",VLOOKUP(I1752,'SANEAGO-FEV.2016'!A:B,2,0),IF(H1752="Sinapi",VLOOKUP(I1752,'SINAPI-FEV.2017'!A:D,2,0),IF(H1752="Cotação",VLOOKUP(I1752,COTAÇÃO!A:D,2,0),IF(H1752="Composição",VLOOKUP(I1752,COMPOSIÇÃO!A:D,2,0))))))</f>
        <v>Tarugo, 30x2050mm, esp.: 10mm em fibra de vidro</v>
      </c>
      <c r="L1752" s="780" t="s">
        <v>10854</v>
      </c>
      <c r="M1752" s="1270">
        <v>96</v>
      </c>
      <c r="N1752" s="399">
        <v>0</v>
      </c>
      <c r="O1752" s="102">
        <f>ROUND(IF(F1752="Serviços",N1752*(1+$O$7),IF(F1752="Materiais",N1752*(1+$O$8))),2)</f>
        <v>0</v>
      </c>
      <c r="P1752" s="101">
        <f>ROUND(M1752*O1752,2)</f>
        <v>0</v>
      </c>
      <c r="Q1752" s="1472">
        <v>96</v>
      </c>
    </row>
    <row r="1753" spans="1:17">
      <c r="A1753" s="1482"/>
      <c r="B1753" s="1482"/>
      <c r="C1753" s="1555">
        <f t="shared" si="268"/>
        <v>3</v>
      </c>
      <c r="D1753" s="1492">
        <f>D1752+B1753</f>
        <v>2</v>
      </c>
      <c r="E1753" s="1492"/>
      <c r="F1753" s="1484" t="s">
        <v>11724</v>
      </c>
      <c r="H1753" s="1095" t="s">
        <v>11722</v>
      </c>
      <c r="I1753" s="780" t="s">
        <v>14422</v>
      </c>
      <c r="J1753" s="834"/>
      <c r="K1753" s="790" t="str">
        <f>(IF(H1753="Saneago",VLOOKUP(I1753,'SANEAGO-FEV.2016'!A:B,2,0),IF(H1753="Sinapi",VLOOKUP(I1753,'SINAPI-FEV.2017'!A:D,2,0),IF(H1753="Cotação",VLOOKUP(I1753,COTAÇÃO!A:D,2,0),IF(H1753="Composição",VLOOKUP(I1753,COMPOSIÇÃO!A:D,2,0))))))</f>
        <v>Divisória em fibra de vidro, tipo 3, 2,05x2,15m, esp. min. 4,00mm</v>
      </c>
      <c r="L1753" s="780" t="s">
        <v>10854</v>
      </c>
      <c r="M1753" s="1270">
        <v>48</v>
      </c>
      <c r="N1753" s="399">
        <v>0</v>
      </c>
      <c r="O1753" s="102">
        <f>ROUND(IF(F1753="Serviços",N1753*(1+$O$7),IF(F1753="Materiais",N1753*(1+$O$8))),2)</f>
        <v>0</v>
      </c>
      <c r="P1753" s="101">
        <f>ROUND(M1753*O1753,2)</f>
        <v>0</v>
      </c>
      <c r="Q1753" s="1472">
        <v>48</v>
      </c>
    </row>
    <row r="1754" spans="1:17">
      <c r="A1754" s="1482"/>
      <c r="B1754" s="1482"/>
      <c r="C1754" s="1555">
        <f t="shared" si="268"/>
        <v>3</v>
      </c>
      <c r="D1754" s="1492">
        <f>D1753+B1754</f>
        <v>2</v>
      </c>
      <c r="E1754" s="1492"/>
      <c r="F1754" s="1484" t="s">
        <v>11724</v>
      </c>
      <c r="H1754" s="1095" t="s">
        <v>11722</v>
      </c>
      <c r="I1754" s="780" t="s">
        <v>14424</v>
      </c>
      <c r="J1754" s="834"/>
      <c r="K1754" s="790" t="str">
        <f>(IF(H1754="Saneago",VLOOKUP(I1754,'SANEAGO-FEV.2016'!A:B,2,0),IF(H1754="Sinapi",VLOOKUP(I1754,'SINAPI-FEV.2017'!A:D,2,0),IF(H1754="Cotação",VLOOKUP(I1754,COTAÇÃO!A:D,2,0),IF(H1754="Composição",VLOOKUP(I1754,COMPOSIÇÃO!A:D,2,0))))))</f>
        <v>Chapa em fibra de vidro, tipo 2, L=2,05x0,07m, esp.: 5mm</v>
      </c>
      <c r="L1754" s="780" t="s">
        <v>10854</v>
      </c>
      <c r="M1754" s="1270">
        <v>48</v>
      </c>
      <c r="N1754" s="399">
        <v>0</v>
      </c>
      <c r="O1754" s="102">
        <f>ROUND(IF(F1754="Serviços",N1754*(1+$O$7),IF(F1754="Materiais",N1754*(1+$O$8))),2)</f>
        <v>0</v>
      </c>
      <c r="P1754" s="101">
        <f>ROUND(M1754*O1754,2)</f>
        <v>0</v>
      </c>
      <c r="Q1754" s="1472">
        <v>48</v>
      </c>
    </row>
    <row r="1755" spans="1:17">
      <c r="A1755" s="1482"/>
      <c r="B1755" s="1482"/>
      <c r="C1755" s="1555">
        <f t="shared" si="268"/>
        <v>3</v>
      </c>
      <c r="D1755" s="1492">
        <f t="shared" ref="D1755:D1764" si="272">D1754+B1755</f>
        <v>2</v>
      </c>
      <c r="E1755" s="1492"/>
      <c r="F1755" s="1484" t="s">
        <v>11724</v>
      </c>
      <c r="H1755" s="1095"/>
      <c r="I1755" s="780"/>
      <c r="J1755" s="834"/>
      <c r="K1755" s="915" t="s">
        <v>14528</v>
      </c>
      <c r="L1755" s="780"/>
      <c r="M1755" s="1270"/>
      <c r="N1755" s="399"/>
      <c r="O1755" s="102"/>
      <c r="P1755" s="101"/>
    </row>
    <row r="1756" spans="1:17">
      <c r="A1756" s="1482"/>
      <c r="B1756" s="1482"/>
      <c r="C1756" s="1555">
        <f t="shared" si="268"/>
        <v>3</v>
      </c>
      <c r="D1756" s="1492">
        <f t="shared" si="272"/>
        <v>2</v>
      </c>
      <c r="E1756" s="1492"/>
      <c r="F1756" s="1484" t="s">
        <v>11724</v>
      </c>
      <c r="H1756" s="1095" t="s">
        <v>11722</v>
      </c>
      <c r="I1756" s="780" t="s">
        <v>14510</v>
      </c>
      <c r="J1756" s="834"/>
      <c r="K1756" s="790" t="str">
        <f>(IF(H1756="Saneago",VLOOKUP(I1756,'SANEAGO-FEV.2016'!A:B,2,0),IF(H1756="Sinapi",VLOOKUP(I1756,'SINAPI-FEV.2017'!A:D,2,0),IF(H1756="Cotação",VLOOKUP(I1756,COTAÇÃO!A:D,2,0),IF(H1756="Composição",VLOOKUP(I1756,COMPOSIÇÃO!A:D,2,0))))))</f>
        <v>Peças de apoio das tubulações de distribuição de esgoto - Conforme Detalhe 1</v>
      </c>
      <c r="L1756" s="780" t="s">
        <v>10854</v>
      </c>
      <c r="M1756" s="1270">
        <v>16</v>
      </c>
      <c r="N1756" s="399">
        <v>0</v>
      </c>
      <c r="O1756" s="102">
        <f t="shared" ref="O1756:O1764" si="273">ROUND(IF(F1756="Serviços",N1756*(1+$O$7),IF(F1756="Materiais",N1756*(1+$O$8))),2)</f>
        <v>0</v>
      </c>
      <c r="P1756" s="101">
        <f t="shared" ref="P1756:P1764" si="274">ROUND(M1756*O1756,2)</f>
        <v>0</v>
      </c>
      <c r="Q1756" s="1472">
        <v>16</v>
      </c>
    </row>
    <row r="1757" spans="1:17" ht="22.5">
      <c r="A1757" s="1482"/>
      <c r="B1757" s="1482"/>
      <c r="C1757" s="1555">
        <f t="shared" si="268"/>
        <v>3</v>
      </c>
      <c r="D1757" s="1492">
        <f t="shared" si="272"/>
        <v>2</v>
      </c>
      <c r="E1757" s="1492"/>
      <c r="F1757" s="1484" t="s">
        <v>11724</v>
      </c>
      <c r="H1757" s="1095" t="s">
        <v>11722</v>
      </c>
      <c r="I1757" s="780" t="s">
        <v>14511</v>
      </c>
      <c r="J1757" s="834"/>
      <c r="K1757" s="790" t="str">
        <f>(IF(H1757="Saneago",VLOOKUP(I1757,'SANEAGO-FEV.2016'!A:B,2,0),IF(H1757="Sinapi",VLOOKUP(I1757,'SINAPI-FEV.2017'!A:D,2,0),IF(H1757="Cotação",VLOOKUP(I1757,COTAÇÃO!A:D,2,0),IF(H1757="Composição",VLOOKUP(I1757,COMPOSIÇÃO!A:D,2,0))))))</f>
        <v>Peças de apoio das tubulações de distribuição de esgoto fixada no vigamento da laje de cobertura do reator - Detalhe 2</v>
      </c>
      <c r="L1757" s="780" t="s">
        <v>10854</v>
      </c>
      <c r="M1757" s="1270">
        <v>64</v>
      </c>
      <c r="N1757" s="399">
        <v>0</v>
      </c>
      <c r="O1757" s="102">
        <f t="shared" si="273"/>
        <v>0</v>
      </c>
      <c r="P1757" s="101">
        <f t="shared" si="274"/>
        <v>0</v>
      </c>
      <c r="Q1757" s="1472">
        <v>64</v>
      </c>
    </row>
    <row r="1758" spans="1:17" ht="22.5">
      <c r="A1758" s="1482"/>
      <c r="B1758" s="1482"/>
      <c r="C1758" s="1555">
        <f t="shared" si="268"/>
        <v>3</v>
      </c>
      <c r="D1758" s="1492">
        <f t="shared" si="272"/>
        <v>2</v>
      </c>
      <c r="E1758" s="1492"/>
      <c r="F1758" s="1484" t="s">
        <v>11724</v>
      </c>
      <c r="H1758" s="1095" t="s">
        <v>11722</v>
      </c>
      <c r="I1758" s="780" t="s">
        <v>14512</v>
      </c>
      <c r="J1758" s="834"/>
      <c r="K1758" s="790" t="str">
        <f>(IF(H1758="Saneago",VLOOKUP(I1758,'SANEAGO-FEV.2016'!A:B,2,0),IF(H1758="Sinapi",VLOOKUP(I1758,'SINAPI-FEV.2017'!A:D,2,0),IF(H1758="Cotação",VLOOKUP(I1758,COTAÇÃO!A:D,2,0),IF(H1758="Composição",VLOOKUP(I1758,COMPOSIÇÃO!A:D,2,0))))))</f>
        <v>Peças de apoio das tubulações de distribuição de esgoto fixada no vigamento da laje de cobertura do reator - Detalhe 3</v>
      </c>
      <c r="L1758" s="780" t="s">
        <v>10854</v>
      </c>
      <c r="M1758" s="1270">
        <v>48</v>
      </c>
      <c r="N1758" s="399">
        <v>0</v>
      </c>
      <c r="O1758" s="102">
        <f t="shared" si="273"/>
        <v>0</v>
      </c>
      <c r="P1758" s="101">
        <f t="shared" si="274"/>
        <v>0</v>
      </c>
      <c r="Q1758" s="1472">
        <v>48</v>
      </c>
    </row>
    <row r="1759" spans="1:17" ht="45">
      <c r="A1759" s="1482"/>
      <c r="B1759" s="1482"/>
      <c r="C1759" s="1555">
        <f t="shared" si="268"/>
        <v>3</v>
      </c>
      <c r="D1759" s="1492">
        <f t="shared" si="272"/>
        <v>2</v>
      </c>
      <c r="E1759" s="1492"/>
      <c r="F1759" s="1484" t="s">
        <v>11724</v>
      </c>
      <c r="H1759" s="1095" t="s">
        <v>11722</v>
      </c>
      <c r="I1759" s="780" t="s">
        <v>14513</v>
      </c>
      <c r="J1759" s="834"/>
      <c r="K1759" s="790" t="str">
        <f>(IF(H1759="Saneago",VLOOKUP(I1759,'SANEAGO-FEV.2016'!A:B,2,0),IF(H1759="Sinapi",VLOOKUP(I1759,'SINAPI-FEV.2017'!A:D,2,0),IF(H1759="Cotação",VLOOKUP(I1759,COTAÇÃO!A:D,2,0),IF(H1759="Composição",VLOOKUP(I1759,COMPOSIÇÃO!A:D,2,0))))))</f>
        <v>Peças de perfil Tipo C laminado em aço inox com 260 mm de altura soldada chapa de base de aço inox (dimensões 20 x 20 cm), fixada no piso de concreto com paraboult φ 1/4" L=44mm, acompanha abraçadeira  Tipo U de vergalhão para DN75, φ 3/8" em aço inox - Detalhe 4</v>
      </c>
      <c r="L1759" s="780" t="s">
        <v>10854</v>
      </c>
      <c r="M1759" s="1270">
        <v>384</v>
      </c>
      <c r="N1759" s="399">
        <v>0</v>
      </c>
      <c r="O1759" s="102">
        <f t="shared" si="273"/>
        <v>0</v>
      </c>
      <c r="P1759" s="101">
        <f t="shared" si="274"/>
        <v>0</v>
      </c>
      <c r="Q1759" s="1472">
        <v>384</v>
      </c>
    </row>
    <row r="1760" spans="1:17" ht="22.5">
      <c r="A1760" s="1482"/>
      <c r="B1760" s="1482"/>
      <c r="C1760" s="1555">
        <f t="shared" si="268"/>
        <v>3</v>
      </c>
      <c r="D1760" s="1492">
        <f t="shared" si="272"/>
        <v>2</v>
      </c>
      <c r="E1760" s="1492"/>
      <c r="F1760" s="1484" t="s">
        <v>11724</v>
      </c>
      <c r="H1760" s="1095" t="s">
        <v>11722</v>
      </c>
      <c r="I1760" s="780" t="s">
        <v>14514</v>
      </c>
      <c r="J1760" s="834"/>
      <c r="K1760" s="790" t="str">
        <f>(IF(H1760="Saneago",VLOOKUP(I1760,'SANEAGO-FEV.2016'!A:B,2,0),IF(H1760="Sinapi",VLOOKUP(I1760,'SINAPI-FEV.2017'!A:D,2,0),IF(H1760="Cotação",VLOOKUP(I1760,COTAÇÃO!A:D,2,0),IF(H1760="Composição",VLOOKUP(I1760,COMPOSIÇÃO!A:D,2,0))))))</f>
        <v>Peças de apoio em aço inox para suporte da tubulação da descarga do lodo fixadas em concreto com 4 parabolt φ 1/4" L=44 mm cada - Detalhe 5</v>
      </c>
      <c r="L1760" s="780" t="s">
        <v>10854</v>
      </c>
      <c r="M1760" s="1270">
        <v>4</v>
      </c>
      <c r="N1760" s="399">
        <v>0</v>
      </c>
      <c r="O1760" s="102">
        <f t="shared" si="273"/>
        <v>0</v>
      </c>
      <c r="P1760" s="101">
        <f t="shared" si="274"/>
        <v>0</v>
      </c>
      <c r="Q1760" s="1472">
        <v>4</v>
      </c>
    </row>
    <row r="1761" spans="1:17">
      <c r="A1761" s="1482"/>
      <c r="B1761" s="1482"/>
      <c r="C1761" s="1555">
        <f t="shared" si="268"/>
        <v>3</v>
      </c>
      <c r="D1761" s="1492">
        <f t="shared" si="272"/>
        <v>2</v>
      </c>
      <c r="E1761" s="1492"/>
      <c r="F1761" s="1484" t="s">
        <v>11724</v>
      </c>
      <c r="H1761" s="1095" t="s">
        <v>11722</v>
      </c>
      <c r="I1761" s="780" t="s">
        <v>14515</v>
      </c>
      <c r="J1761" s="834"/>
      <c r="K1761" s="790" t="str">
        <f>(IF(H1761="Saneago",VLOOKUP(I1761,'SANEAGO-FEV.2016'!A:B,2,0),IF(H1761="Sinapi",VLOOKUP(I1761,'SINAPI-FEV.2017'!A:D,2,0),IF(H1761="Cotação",VLOOKUP(I1761,COTAÇÃO!A:D,2,0),IF(H1761="Composição",VLOOKUP(I1761,COMPOSIÇÃO!A:D,2,0))))))</f>
        <v>Peças de apoio das tubulações de distribuição de esgoto - Conforme Detalhe 6</v>
      </c>
      <c r="L1761" s="780" t="s">
        <v>10854</v>
      </c>
      <c r="M1761" s="1270">
        <v>24</v>
      </c>
      <c r="N1761" s="399">
        <v>0</v>
      </c>
      <c r="O1761" s="102">
        <f t="shared" si="273"/>
        <v>0</v>
      </c>
      <c r="P1761" s="101">
        <f t="shared" si="274"/>
        <v>0</v>
      </c>
      <c r="Q1761" s="1472">
        <v>24</v>
      </c>
    </row>
    <row r="1762" spans="1:17" ht="22.5">
      <c r="A1762" s="1482"/>
      <c r="B1762" s="1482"/>
      <c r="C1762" s="1555">
        <f t="shared" si="268"/>
        <v>3</v>
      </c>
      <c r="D1762" s="1492">
        <f t="shared" si="272"/>
        <v>2</v>
      </c>
      <c r="E1762" s="1492"/>
      <c r="F1762" s="1484" t="s">
        <v>11724</v>
      </c>
      <c r="H1762" s="1095" t="s">
        <v>11722</v>
      </c>
      <c r="I1762" s="780" t="s">
        <v>14516</v>
      </c>
      <c r="J1762" s="834"/>
      <c r="K1762" s="790" t="str">
        <f>(IF(H1762="Saneago",VLOOKUP(I1762,'SANEAGO-FEV.2016'!A:B,2,0),IF(H1762="Sinapi",VLOOKUP(I1762,'SINAPI-FEV.2017'!A:D,2,0),IF(H1762="Cotação",VLOOKUP(I1762,COTAÇÃO!A:D,2,0),IF(H1762="Composição",VLOOKUP(I1762,COMPOSIÇÃO!A:D,2,0))))))</f>
        <v>Peças de apoio em aço inox para suporte da tubulação do efluente do reator fixadas em concreto com 4 parabolt φ 1/4" L=44 mm cada - Detalhe 7</v>
      </c>
      <c r="L1762" s="780" t="s">
        <v>10854</v>
      </c>
      <c r="M1762" s="1270">
        <v>8</v>
      </c>
      <c r="N1762" s="399">
        <v>0</v>
      </c>
      <c r="O1762" s="102">
        <f t="shared" si="273"/>
        <v>0</v>
      </c>
      <c r="P1762" s="101">
        <f t="shared" si="274"/>
        <v>0</v>
      </c>
      <c r="Q1762" s="1472">
        <v>8</v>
      </c>
    </row>
    <row r="1763" spans="1:17">
      <c r="A1763" s="1482"/>
      <c r="B1763" s="1482"/>
      <c r="C1763" s="1555">
        <f t="shared" si="268"/>
        <v>3</v>
      </c>
      <c r="D1763" s="1492">
        <f t="shared" si="272"/>
        <v>2</v>
      </c>
      <c r="E1763" s="1492"/>
      <c r="F1763" s="1484" t="s">
        <v>11724</v>
      </c>
      <c r="H1763" s="1095" t="s">
        <v>11722</v>
      </c>
      <c r="I1763" s="780" t="s">
        <v>14517</v>
      </c>
      <c r="J1763" s="834"/>
      <c r="K1763" s="790" t="str">
        <f>(IF(H1763="Saneago",VLOOKUP(I1763,'SANEAGO-FEV.2016'!A:B,2,0),IF(H1763="Sinapi",VLOOKUP(I1763,'SINAPI-FEV.2017'!A:D,2,0),IF(H1763="Cotação",VLOOKUP(I1763,COTAÇÃO!A:D,2,0),IF(H1763="Composição",VLOOKUP(I1763,COMPOSIÇÃO!A:D,2,0))))))</f>
        <v>Peças de apoio das tubulações de distribuição de esgoto - Conforme Detalhe 8</v>
      </c>
      <c r="L1763" s="780" t="s">
        <v>10854</v>
      </c>
      <c r="M1763" s="1270">
        <v>4</v>
      </c>
      <c r="N1763" s="399">
        <v>0</v>
      </c>
      <c r="O1763" s="102">
        <f t="shared" si="273"/>
        <v>0</v>
      </c>
      <c r="P1763" s="101">
        <f t="shared" si="274"/>
        <v>0</v>
      </c>
      <c r="Q1763" s="1472">
        <v>4</v>
      </c>
    </row>
    <row r="1764" spans="1:17" ht="22.5">
      <c r="A1764" s="1482"/>
      <c r="B1764" s="1482"/>
      <c r="C1764" s="1555">
        <f t="shared" si="268"/>
        <v>3</v>
      </c>
      <c r="D1764" s="1492">
        <f t="shared" si="272"/>
        <v>2</v>
      </c>
      <c r="E1764" s="1492"/>
      <c r="F1764" s="1484" t="s">
        <v>11724</v>
      </c>
      <c r="H1764" s="1095" t="s">
        <v>11722</v>
      </c>
      <c r="I1764" s="780" t="s">
        <v>14518</v>
      </c>
      <c r="J1764" s="834"/>
      <c r="K1764" s="790" t="str">
        <f>(IF(H1764="Saneago",VLOOKUP(I1764,'SANEAGO-FEV.2016'!A:B,2,0),IF(H1764="Sinapi",VLOOKUP(I1764,'SINAPI-FEV.2017'!A:D,2,0),IF(H1764="Cotação",VLOOKUP(I1764,COTAÇÃO!A:D,2,0),IF(H1764="Composição",VLOOKUP(I1764,COMPOSIÇÃO!A:D,2,0))))))</f>
        <v>Peças de apoio em aço inox para suporte da tubulação de gás fixadas em concreto com 4 parabolt φ 1/4" L=44 mm cada- Detalhe 9</v>
      </c>
      <c r="L1764" s="780" t="s">
        <v>10854</v>
      </c>
      <c r="M1764" s="1270">
        <v>24</v>
      </c>
      <c r="N1764" s="399">
        <v>0</v>
      </c>
      <c r="O1764" s="102">
        <f t="shared" si="273"/>
        <v>0</v>
      </c>
      <c r="P1764" s="101">
        <f t="shared" si="274"/>
        <v>0</v>
      </c>
      <c r="Q1764" s="1472">
        <v>24</v>
      </c>
    </row>
    <row r="1765" spans="1:17">
      <c r="A1765" s="1482"/>
      <c r="B1765" s="1482"/>
      <c r="C1765" s="1555">
        <f t="shared" si="268"/>
        <v>3</v>
      </c>
      <c r="D1765" s="1492">
        <f>D1764+B1765</f>
        <v>2</v>
      </c>
      <c r="E1765" s="1492"/>
      <c r="F1765" s="1484"/>
      <c r="H1765" s="1095"/>
      <c r="I1765" s="780"/>
      <c r="J1765" s="834"/>
      <c r="K1765" s="915" t="s">
        <v>20990</v>
      </c>
      <c r="L1765" s="780"/>
      <c r="M1765" s="1270"/>
      <c r="N1765" s="399"/>
      <c r="O1765" s="102"/>
      <c r="P1765" s="101"/>
    </row>
    <row r="1766" spans="1:17">
      <c r="A1766" s="1482"/>
      <c r="B1766" s="1482"/>
      <c r="C1766" s="1555">
        <f t="shared" si="268"/>
        <v>3</v>
      </c>
      <c r="D1766" s="1492">
        <f>D1765+B1766</f>
        <v>2</v>
      </c>
      <c r="E1766" s="1492"/>
      <c r="F1766" s="1484" t="s">
        <v>11724</v>
      </c>
      <c r="H1766" s="1095" t="s">
        <v>11722</v>
      </c>
      <c r="I1766" s="780" t="s">
        <v>20950</v>
      </c>
      <c r="J1766" s="834"/>
      <c r="K1766" s="790" t="str">
        <f>(IF(H1766="Saneago",VLOOKUP(I1766,'SANEAGO-FEV.2016'!A:B,2,0),IF(H1766="Sinapi",VLOOKUP(I1766,'SINAPI-FEV.2017'!A:D,2,0),IF(H1766="Cotação",VLOOKUP(I1766,COTAÇÃO!A:D,2,0),IF(H1766="Composição",VLOOKUP(I1766,COMPOSIÇÃO!A:D,2,0))))))</f>
        <v>Grade de Piso em Fibra de Vidro, dimensões 0,70mx0,59m (Ref. GPS-25 Stratus)</v>
      </c>
      <c r="L1766" s="780" t="s">
        <v>10854</v>
      </c>
      <c r="M1766" s="1270">
        <v>64</v>
      </c>
      <c r="N1766" s="399">
        <v>0</v>
      </c>
      <c r="O1766" s="102">
        <f t="shared" ref="O1766:O1785" si="275">ROUND(IF(F1766="Serviços",N1766*(1+$O$7),IF(F1766="Materiais",N1766*(1+$O$8))),2)</f>
        <v>0</v>
      </c>
      <c r="P1766" s="101">
        <f t="shared" ref="P1766:P1785" si="276">ROUND(M1766*O1766,2)</f>
        <v>0</v>
      </c>
      <c r="Q1766" s="1472">
        <v>64</v>
      </c>
    </row>
    <row r="1767" spans="1:17">
      <c r="A1767" s="1482"/>
      <c r="B1767" s="1482"/>
      <c r="C1767" s="1555">
        <f t="shared" si="268"/>
        <v>3</v>
      </c>
      <c r="D1767" s="1492">
        <f>D1766+B1767</f>
        <v>2</v>
      </c>
      <c r="E1767" s="1492"/>
      <c r="F1767" s="1484" t="s">
        <v>11724</v>
      </c>
      <c r="H1767" s="1095" t="s">
        <v>11722</v>
      </c>
      <c r="I1767" s="780" t="s">
        <v>20952</v>
      </c>
      <c r="J1767" s="834"/>
      <c r="K1767" s="790" t="str">
        <f>(IF(H1767="Saneago",VLOOKUP(I1767,'SANEAGO-FEV.2016'!A:B,2,0),IF(H1767="Sinapi",VLOOKUP(I1767,'SINAPI-FEV.2017'!A:D,2,0),IF(H1767="Cotação",VLOOKUP(I1767,COTAÇÃO!A:D,2,0),IF(H1767="Composição",VLOOKUP(I1767,COMPOSIÇÃO!A:D,2,0))))))</f>
        <v>Grade de Piso  em Fibra de Vidro, dimensões 0,62mx0,59m (Ref. GPS-25 Stratus)</v>
      </c>
      <c r="L1767" s="780" t="s">
        <v>10854</v>
      </c>
      <c r="M1767" s="1270">
        <v>8</v>
      </c>
      <c r="N1767" s="399">
        <v>0</v>
      </c>
      <c r="O1767" s="102">
        <f t="shared" si="275"/>
        <v>0</v>
      </c>
      <c r="P1767" s="101">
        <f t="shared" si="276"/>
        <v>0</v>
      </c>
      <c r="Q1767" s="1472">
        <v>8</v>
      </c>
    </row>
    <row r="1768" spans="1:17">
      <c r="A1768" s="1482"/>
      <c r="B1768" s="1482"/>
      <c r="C1768" s="1555">
        <f t="shared" si="268"/>
        <v>3</v>
      </c>
      <c r="D1768" s="1492">
        <f t="shared" ref="D1768:D1785" si="277">D1767+B1768</f>
        <v>2</v>
      </c>
      <c r="E1768" s="1492"/>
      <c r="F1768" s="1484" t="s">
        <v>11724</v>
      </c>
      <c r="H1768" s="1095" t="s">
        <v>11722</v>
      </c>
      <c r="I1768" s="780" t="s">
        <v>20954</v>
      </c>
      <c r="J1768" s="834"/>
      <c r="K1768" s="790" t="str">
        <f>(IF(H1768="Saneago",VLOOKUP(I1768,'SANEAGO-FEV.2016'!A:B,2,0),IF(H1768="Sinapi",VLOOKUP(I1768,'SINAPI-FEV.2017'!A:D,2,0),IF(H1768="Cotação",VLOOKUP(I1768,COTAÇÃO!A:D,2,0),IF(H1768="Composição",VLOOKUP(I1768,COMPOSIÇÃO!A:D,2,0))))))</f>
        <v>Grade de Piso  em Fibra de Vidro, dimensões 0,90mx0,59m (Ref. GPS-25 Stratus)</v>
      </c>
      <c r="L1768" s="780" t="s">
        <v>10854</v>
      </c>
      <c r="M1768" s="1270">
        <v>8</v>
      </c>
      <c r="N1768" s="399">
        <v>0</v>
      </c>
      <c r="O1768" s="102">
        <f t="shared" si="275"/>
        <v>0</v>
      </c>
      <c r="P1768" s="101">
        <f t="shared" si="276"/>
        <v>0</v>
      </c>
      <c r="Q1768" s="1472">
        <v>8</v>
      </c>
    </row>
    <row r="1769" spans="1:17">
      <c r="A1769" s="1482"/>
      <c r="B1769" s="1482"/>
      <c r="C1769" s="1555">
        <f t="shared" si="268"/>
        <v>3</v>
      </c>
      <c r="D1769" s="1492">
        <f t="shared" si="277"/>
        <v>2</v>
      </c>
      <c r="E1769" s="1492"/>
      <c r="F1769" s="1484" t="s">
        <v>11724</v>
      </c>
      <c r="H1769" s="1095" t="s">
        <v>11722</v>
      </c>
      <c r="I1769" s="780" t="s">
        <v>20956</v>
      </c>
      <c r="J1769" s="834"/>
      <c r="K1769" s="790" t="str">
        <f>(IF(H1769="Saneago",VLOOKUP(I1769,'SANEAGO-FEV.2016'!A:B,2,0),IF(H1769="Sinapi",VLOOKUP(I1769,'SINAPI-FEV.2017'!A:D,2,0),IF(H1769="Cotação",VLOOKUP(I1769,COTAÇÃO!A:D,2,0),IF(H1769="Composição",VLOOKUP(I1769,COMPOSIÇÃO!A:D,2,0))))))</f>
        <v>Grade de Piso  em Fibra de Vidro, dimensões 0,72mx0,59m (Ref. GPS-25 Stratus)</v>
      </c>
      <c r="L1769" s="780" t="s">
        <v>10854</v>
      </c>
      <c r="M1769" s="1270">
        <v>120</v>
      </c>
      <c r="N1769" s="399">
        <v>0</v>
      </c>
      <c r="O1769" s="102">
        <f t="shared" si="275"/>
        <v>0</v>
      </c>
      <c r="P1769" s="101">
        <f t="shared" si="276"/>
        <v>0</v>
      </c>
      <c r="Q1769" s="1472">
        <v>120</v>
      </c>
    </row>
    <row r="1770" spans="1:17">
      <c r="A1770" s="1482"/>
      <c r="B1770" s="1482"/>
      <c r="C1770" s="1555">
        <f t="shared" si="268"/>
        <v>3</v>
      </c>
      <c r="D1770" s="1492">
        <f t="shared" si="277"/>
        <v>2</v>
      </c>
      <c r="E1770" s="1492"/>
      <c r="F1770" s="1484" t="s">
        <v>11724</v>
      </c>
      <c r="H1770" s="1095" t="s">
        <v>11722</v>
      </c>
      <c r="I1770" s="780" t="s">
        <v>20958</v>
      </c>
      <c r="J1770" s="834"/>
      <c r="K1770" s="790" t="str">
        <f>(IF(H1770="Saneago",VLOOKUP(I1770,'SANEAGO-FEV.2016'!A:B,2,0),IF(H1770="Sinapi",VLOOKUP(I1770,'SINAPI-FEV.2017'!A:D,2,0),IF(H1770="Cotação",VLOOKUP(I1770,COTAÇÃO!A:D,2,0),IF(H1770="Composição",VLOOKUP(I1770,COMPOSIÇÃO!A:D,2,0))))))</f>
        <v>Grade de Piso  em Fibra de Vidro, dimensões 0,86mx0,59m (Ref. GPS-25 Stratus)</v>
      </c>
      <c r="L1770" s="780" t="s">
        <v>10854</v>
      </c>
      <c r="M1770" s="1270">
        <v>16</v>
      </c>
      <c r="N1770" s="399">
        <v>0</v>
      </c>
      <c r="O1770" s="102">
        <f t="shared" si="275"/>
        <v>0</v>
      </c>
      <c r="P1770" s="101">
        <f t="shared" si="276"/>
        <v>0</v>
      </c>
      <c r="Q1770" s="1472">
        <v>16</v>
      </c>
    </row>
    <row r="1771" spans="1:17">
      <c r="A1771" s="1482"/>
      <c r="B1771" s="1482"/>
      <c r="C1771" s="1555">
        <f t="shared" si="268"/>
        <v>3</v>
      </c>
      <c r="D1771" s="1492">
        <f t="shared" si="277"/>
        <v>2</v>
      </c>
      <c r="E1771" s="1492"/>
      <c r="F1771" s="1484" t="s">
        <v>11724</v>
      </c>
      <c r="H1771" s="1095" t="s">
        <v>11722</v>
      </c>
      <c r="I1771" s="780" t="s">
        <v>20960</v>
      </c>
      <c r="J1771" s="834"/>
      <c r="K1771" s="790" t="str">
        <f>(IF(H1771="Saneago",VLOOKUP(I1771,'SANEAGO-FEV.2016'!A:B,2,0),IF(H1771="Sinapi",VLOOKUP(I1771,'SINAPI-FEV.2017'!A:D,2,0),IF(H1771="Cotação",VLOOKUP(I1771,COTAÇÃO!A:D,2,0),IF(H1771="Composição",VLOOKUP(I1771,COMPOSIÇÃO!A:D,2,0))))))</f>
        <v>Grade de Piso  em Fibra de Vidro, dimensões 1,06mx0,59m (Ref. GPS-25 Stratus)</v>
      </c>
      <c r="L1771" s="780" t="s">
        <v>10854</v>
      </c>
      <c r="M1771" s="1270">
        <v>64</v>
      </c>
      <c r="N1771" s="399">
        <v>0</v>
      </c>
      <c r="O1771" s="102">
        <f t="shared" si="275"/>
        <v>0</v>
      </c>
      <c r="P1771" s="101">
        <f t="shared" si="276"/>
        <v>0</v>
      </c>
      <c r="Q1771" s="1472">
        <v>64</v>
      </c>
    </row>
    <row r="1772" spans="1:17">
      <c r="A1772" s="1482"/>
      <c r="B1772" s="1482"/>
      <c r="C1772" s="1555">
        <f t="shared" si="268"/>
        <v>3</v>
      </c>
      <c r="D1772" s="1492">
        <f t="shared" si="277"/>
        <v>2</v>
      </c>
      <c r="E1772" s="1492"/>
      <c r="F1772" s="1484" t="s">
        <v>11724</v>
      </c>
      <c r="H1772" s="1095" t="s">
        <v>11722</v>
      </c>
      <c r="I1772" s="780" t="s">
        <v>20962</v>
      </c>
      <c r="J1772" s="834"/>
      <c r="K1772" s="790" t="str">
        <f>(IF(H1772="Saneago",VLOOKUP(I1772,'SANEAGO-FEV.2016'!A:B,2,0),IF(H1772="Sinapi",VLOOKUP(I1772,'SINAPI-FEV.2017'!A:D,2,0),IF(H1772="Cotação",VLOOKUP(I1772,COTAÇÃO!A:D,2,0),IF(H1772="Composição",VLOOKUP(I1772,COMPOSIÇÃO!A:D,2,0))))))</f>
        <v>Grade de Piso  em Fibra de Vidro, dimensões 1,39mx0,44m (Ref. GPS-25 Stratus)</v>
      </c>
      <c r="L1772" s="780" t="s">
        <v>10854</v>
      </c>
      <c r="M1772" s="1270">
        <v>8</v>
      </c>
      <c r="N1772" s="399">
        <v>0</v>
      </c>
      <c r="O1772" s="102">
        <f t="shared" si="275"/>
        <v>0</v>
      </c>
      <c r="P1772" s="101">
        <f t="shared" si="276"/>
        <v>0</v>
      </c>
      <c r="Q1772" s="1472">
        <v>8</v>
      </c>
    </row>
    <row r="1773" spans="1:17">
      <c r="A1773" s="1482"/>
      <c r="B1773" s="1482"/>
      <c r="C1773" s="1555">
        <f t="shared" si="268"/>
        <v>3</v>
      </c>
      <c r="D1773" s="1492">
        <f t="shared" si="277"/>
        <v>2</v>
      </c>
      <c r="E1773" s="1492"/>
      <c r="F1773" s="1484" t="s">
        <v>11724</v>
      </c>
      <c r="H1773" s="1095" t="s">
        <v>11722</v>
      </c>
      <c r="I1773" s="780" t="s">
        <v>20964</v>
      </c>
      <c r="J1773" s="834"/>
      <c r="K1773" s="790" t="str">
        <f>(IF(H1773="Saneago",VLOOKUP(I1773,'SANEAGO-FEV.2016'!A:B,2,0),IF(H1773="Sinapi",VLOOKUP(I1773,'SINAPI-FEV.2017'!A:D,2,0),IF(H1773="Cotação",VLOOKUP(I1773,COTAÇÃO!A:D,2,0),IF(H1773="Composição",VLOOKUP(I1773,COMPOSIÇÃO!A:D,2,0))))))</f>
        <v>Grade de Piso  em Fibra de Vidro, dimensões 1,14mx0,44m (Ref. GPS-25 Stratus)</v>
      </c>
      <c r="L1773" s="780" t="s">
        <v>10854</v>
      </c>
      <c r="M1773" s="1270">
        <v>8</v>
      </c>
      <c r="N1773" s="399">
        <v>0</v>
      </c>
      <c r="O1773" s="102">
        <f t="shared" si="275"/>
        <v>0</v>
      </c>
      <c r="P1773" s="101">
        <f t="shared" si="276"/>
        <v>0</v>
      </c>
      <c r="Q1773" s="1472">
        <v>8</v>
      </c>
    </row>
    <row r="1774" spans="1:17">
      <c r="A1774" s="1482"/>
      <c r="B1774" s="1482"/>
      <c r="C1774" s="1555">
        <f t="shared" si="268"/>
        <v>3</v>
      </c>
      <c r="D1774" s="1492">
        <f t="shared" si="277"/>
        <v>2</v>
      </c>
      <c r="E1774" s="1492"/>
      <c r="F1774" s="1484" t="s">
        <v>11724</v>
      </c>
      <c r="H1774" s="1095" t="s">
        <v>11722</v>
      </c>
      <c r="I1774" s="780" t="s">
        <v>20966</v>
      </c>
      <c r="J1774" s="834"/>
      <c r="K1774" s="790" t="str">
        <f>(IF(H1774="Saneago",VLOOKUP(I1774,'SANEAGO-FEV.2016'!A:B,2,0),IF(H1774="Sinapi",VLOOKUP(I1774,'SINAPI-FEV.2017'!A:D,2,0),IF(H1774="Cotação",VLOOKUP(I1774,COTAÇÃO!A:D,2,0),IF(H1774="Composição",VLOOKUP(I1774,COMPOSIÇÃO!A:D,2,0))))))</f>
        <v>Grade de Piso  em Fibra de Vidro, dimensões 0,54mx1,31m (Ref. GPS-25 Stratus)</v>
      </c>
      <c r="L1774" s="780" t="s">
        <v>10854</v>
      </c>
      <c r="M1774" s="1270">
        <v>24</v>
      </c>
      <c r="N1774" s="399">
        <v>0</v>
      </c>
      <c r="O1774" s="102">
        <f t="shared" si="275"/>
        <v>0</v>
      </c>
      <c r="P1774" s="101">
        <f t="shared" si="276"/>
        <v>0</v>
      </c>
      <c r="Q1774" s="1472">
        <v>24</v>
      </c>
    </row>
    <row r="1775" spans="1:17">
      <c r="A1775" s="1482"/>
      <c r="B1775" s="1482"/>
      <c r="C1775" s="1555">
        <f t="shared" si="268"/>
        <v>3</v>
      </c>
      <c r="D1775" s="1492">
        <f t="shared" si="277"/>
        <v>2</v>
      </c>
      <c r="E1775" s="1492"/>
      <c r="F1775" s="1484" t="s">
        <v>11724</v>
      </c>
      <c r="H1775" s="1095" t="s">
        <v>11722</v>
      </c>
      <c r="I1775" s="780" t="s">
        <v>20968</v>
      </c>
      <c r="J1775" s="834"/>
      <c r="K1775" s="790" t="str">
        <f>(IF(H1775="Saneago",VLOOKUP(I1775,'SANEAGO-FEV.2016'!A:B,2,0),IF(H1775="Sinapi",VLOOKUP(I1775,'SINAPI-FEV.2017'!A:D,2,0),IF(H1775="Cotação",VLOOKUP(I1775,COTAÇÃO!A:D,2,0),IF(H1775="Composição",VLOOKUP(I1775,COMPOSIÇÃO!A:D,2,0))))))</f>
        <v>Tampa em Fibra de Vidro, dimensões 0,70mx0,59m</v>
      </c>
      <c r="L1775" s="780" t="s">
        <v>10854</v>
      </c>
      <c r="M1775" s="1270">
        <v>64</v>
      </c>
      <c r="N1775" s="399">
        <v>0</v>
      </c>
      <c r="O1775" s="102">
        <f t="shared" si="275"/>
        <v>0</v>
      </c>
      <c r="P1775" s="101">
        <f t="shared" si="276"/>
        <v>0</v>
      </c>
      <c r="Q1775" s="1472">
        <v>64</v>
      </c>
    </row>
    <row r="1776" spans="1:17">
      <c r="A1776" s="1482"/>
      <c r="B1776" s="1482"/>
      <c r="C1776" s="1555">
        <f t="shared" si="268"/>
        <v>3</v>
      </c>
      <c r="D1776" s="1492">
        <f t="shared" si="277"/>
        <v>2</v>
      </c>
      <c r="E1776" s="1492"/>
      <c r="F1776" s="1484" t="s">
        <v>11724</v>
      </c>
      <c r="H1776" s="1095" t="s">
        <v>11722</v>
      </c>
      <c r="I1776" s="780" t="s">
        <v>20970</v>
      </c>
      <c r="J1776" s="834"/>
      <c r="K1776" s="790" t="str">
        <f>(IF(H1776="Saneago",VLOOKUP(I1776,'SANEAGO-FEV.2016'!A:B,2,0),IF(H1776="Sinapi",VLOOKUP(I1776,'SINAPI-FEV.2017'!A:D,2,0),IF(H1776="Cotação",VLOOKUP(I1776,COTAÇÃO!A:D,2,0),IF(H1776="Composição",VLOOKUP(I1776,COMPOSIÇÃO!A:D,2,0))))))</f>
        <v>Tampa em Fibra de Vidro, dimensões 0,62mx0,59m</v>
      </c>
      <c r="L1776" s="780" t="s">
        <v>10854</v>
      </c>
      <c r="M1776" s="1270">
        <v>8</v>
      </c>
      <c r="N1776" s="399">
        <v>0</v>
      </c>
      <c r="O1776" s="102">
        <f t="shared" si="275"/>
        <v>0</v>
      </c>
      <c r="P1776" s="101">
        <f t="shared" si="276"/>
        <v>0</v>
      </c>
      <c r="Q1776" s="1472">
        <v>8</v>
      </c>
    </row>
    <row r="1777" spans="1:17">
      <c r="A1777" s="1482"/>
      <c r="B1777" s="1482"/>
      <c r="C1777" s="1555">
        <f t="shared" si="268"/>
        <v>3</v>
      </c>
      <c r="D1777" s="1492">
        <f t="shared" si="277"/>
        <v>2</v>
      </c>
      <c r="E1777" s="1492"/>
      <c r="F1777" s="1484" t="s">
        <v>11724</v>
      </c>
      <c r="H1777" s="1095" t="s">
        <v>11722</v>
      </c>
      <c r="I1777" s="780" t="s">
        <v>20972</v>
      </c>
      <c r="J1777" s="834"/>
      <c r="K1777" s="790" t="str">
        <f>(IF(H1777="Saneago",VLOOKUP(I1777,'SANEAGO-FEV.2016'!A:B,2,0),IF(H1777="Sinapi",VLOOKUP(I1777,'SINAPI-FEV.2017'!A:D,2,0),IF(H1777="Cotação",VLOOKUP(I1777,COTAÇÃO!A:D,2,0),IF(H1777="Composição",VLOOKUP(I1777,COMPOSIÇÃO!A:D,2,0))))))</f>
        <v>Tampa em Fibra de Vidro, dimensões 0,90mx0,59m</v>
      </c>
      <c r="L1777" s="780" t="s">
        <v>10854</v>
      </c>
      <c r="M1777" s="1270">
        <v>8</v>
      </c>
      <c r="N1777" s="399">
        <v>0</v>
      </c>
      <c r="O1777" s="102">
        <f t="shared" si="275"/>
        <v>0</v>
      </c>
      <c r="P1777" s="101">
        <f t="shared" si="276"/>
        <v>0</v>
      </c>
      <c r="Q1777" s="1472">
        <v>8</v>
      </c>
    </row>
    <row r="1778" spans="1:17">
      <c r="A1778" s="1482"/>
      <c r="B1778" s="1482"/>
      <c r="C1778" s="1555">
        <f t="shared" si="268"/>
        <v>3</v>
      </c>
      <c r="D1778" s="1492">
        <f t="shared" si="277"/>
        <v>2</v>
      </c>
      <c r="E1778" s="1492"/>
      <c r="F1778" s="1484" t="s">
        <v>11724</v>
      </c>
      <c r="H1778" s="1095" t="s">
        <v>11722</v>
      </c>
      <c r="I1778" s="780" t="s">
        <v>20974</v>
      </c>
      <c r="J1778" s="834"/>
      <c r="K1778" s="790" t="str">
        <f>(IF(H1778="Saneago",VLOOKUP(I1778,'SANEAGO-FEV.2016'!A:B,2,0),IF(H1778="Sinapi",VLOOKUP(I1778,'SINAPI-FEV.2017'!A:D,2,0),IF(H1778="Cotação",VLOOKUP(I1778,COTAÇÃO!A:D,2,0),IF(H1778="Composição",VLOOKUP(I1778,COMPOSIÇÃO!A:D,2,0))))))</f>
        <v>Tampa em Fibra de Vidro, dimensões 0,72mx0,59m</v>
      </c>
      <c r="L1778" s="780" t="s">
        <v>10854</v>
      </c>
      <c r="M1778" s="1270">
        <v>120</v>
      </c>
      <c r="N1778" s="399">
        <v>0</v>
      </c>
      <c r="O1778" s="102">
        <f t="shared" si="275"/>
        <v>0</v>
      </c>
      <c r="P1778" s="101">
        <f t="shared" si="276"/>
        <v>0</v>
      </c>
      <c r="Q1778" s="1472">
        <v>120</v>
      </c>
    </row>
    <row r="1779" spans="1:17">
      <c r="A1779" s="1482"/>
      <c r="B1779" s="1482"/>
      <c r="C1779" s="1555">
        <f t="shared" si="268"/>
        <v>3</v>
      </c>
      <c r="D1779" s="1492">
        <f t="shared" si="277"/>
        <v>2</v>
      </c>
      <c r="E1779" s="1492"/>
      <c r="F1779" s="1484" t="s">
        <v>11724</v>
      </c>
      <c r="H1779" s="1095" t="s">
        <v>11722</v>
      </c>
      <c r="I1779" s="780" t="s">
        <v>20976</v>
      </c>
      <c r="J1779" s="834"/>
      <c r="K1779" s="790" t="str">
        <f>(IF(H1779="Saneago",VLOOKUP(I1779,'SANEAGO-FEV.2016'!A:B,2,0),IF(H1779="Sinapi",VLOOKUP(I1779,'SINAPI-FEV.2017'!A:D,2,0),IF(H1779="Cotação",VLOOKUP(I1779,COTAÇÃO!A:D,2,0),IF(H1779="Composição",VLOOKUP(I1779,COMPOSIÇÃO!A:D,2,0))))))</f>
        <v>Tampa em Fibra de Vidro, dimensões 0,86mx0,59m</v>
      </c>
      <c r="L1779" s="780" t="s">
        <v>10854</v>
      </c>
      <c r="M1779" s="1270">
        <v>16</v>
      </c>
      <c r="N1779" s="399">
        <v>0</v>
      </c>
      <c r="O1779" s="102">
        <f t="shared" si="275"/>
        <v>0</v>
      </c>
      <c r="P1779" s="101">
        <f t="shared" si="276"/>
        <v>0</v>
      </c>
      <c r="Q1779" s="1472">
        <v>16</v>
      </c>
    </row>
    <row r="1780" spans="1:17">
      <c r="A1780" s="1482"/>
      <c r="B1780" s="1482"/>
      <c r="C1780" s="1555">
        <f t="shared" si="268"/>
        <v>3</v>
      </c>
      <c r="D1780" s="1492">
        <f t="shared" si="277"/>
        <v>2</v>
      </c>
      <c r="E1780" s="1492"/>
      <c r="F1780" s="1484" t="s">
        <v>11724</v>
      </c>
      <c r="H1780" s="1095" t="s">
        <v>11722</v>
      </c>
      <c r="I1780" s="780" t="s">
        <v>20978</v>
      </c>
      <c r="J1780" s="834"/>
      <c r="K1780" s="790" t="str">
        <f>(IF(H1780="Saneago",VLOOKUP(I1780,'SANEAGO-FEV.2016'!A:B,2,0),IF(H1780="Sinapi",VLOOKUP(I1780,'SINAPI-FEV.2017'!A:D,2,0),IF(H1780="Cotação",VLOOKUP(I1780,COTAÇÃO!A:D,2,0),IF(H1780="Composição",VLOOKUP(I1780,COMPOSIÇÃO!A:D,2,0))))))</f>
        <v>Tampa em Fibra de Vidro, dimensões 1,06mx0,59m</v>
      </c>
      <c r="L1780" s="780" t="s">
        <v>10854</v>
      </c>
      <c r="M1780" s="1270">
        <v>64</v>
      </c>
      <c r="N1780" s="399">
        <v>0</v>
      </c>
      <c r="O1780" s="102">
        <f t="shared" si="275"/>
        <v>0</v>
      </c>
      <c r="P1780" s="101">
        <f t="shared" si="276"/>
        <v>0</v>
      </c>
      <c r="Q1780" s="1472">
        <v>64</v>
      </c>
    </row>
    <row r="1781" spans="1:17">
      <c r="A1781" s="1482"/>
      <c r="B1781" s="1482"/>
      <c r="C1781" s="1555">
        <f t="shared" si="268"/>
        <v>3</v>
      </c>
      <c r="D1781" s="1492">
        <f t="shared" si="277"/>
        <v>2</v>
      </c>
      <c r="E1781" s="1492"/>
      <c r="F1781" s="1484" t="s">
        <v>11724</v>
      </c>
      <c r="H1781" s="1095" t="s">
        <v>11722</v>
      </c>
      <c r="I1781" s="780" t="s">
        <v>20980</v>
      </c>
      <c r="J1781" s="834"/>
      <c r="K1781" s="790" t="str">
        <f>(IF(H1781="Saneago",VLOOKUP(I1781,'SANEAGO-FEV.2016'!A:B,2,0),IF(H1781="Sinapi",VLOOKUP(I1781,'SINAPI-FEV.2017'!A:D,2,0),IF(H1781="Cotação",VLOOKUP(I1781,COTAÇÃO!A:D,2,0),IF(H1781="Composição",VLOOKUP(I1781,COMPOSIÇÃO!A:D,2,0))))))</f>
        <v>Tampa em Fibra de Vidro, dimensões 1,39mx0,44m</v>
      </c>
      <c r="L1781" s="780" t="s">
        <v>10854</v>
      </c>
      <c r="M1781" s="1270">
        <v>8</v>
      </c>
      <c r="N1781" s="399">
        <v>0</v>
      </c>
      <c r="O1781" s="102">
        <f t="shared" si="275"/>
        <v>0</v>
      </c>
      <c r="P1781" s="101">
        <f t="shared" si="276"/>
        <v>0</v>
      </c>
      <c r="Q1781" s="1472">
        <v>8</v>
      </c>
    </row>
    <row r="1782" spans="1:17">
      <c r="A1782" s="1482"/>
      <c r="B1782" s="1482"/>
      <c r="C1782" s="1555">
        <f t="shared" si="268"/>
        <v>3</v>
      </c>
      <c r="D1782" s="1492">
        <f t="shared" si="277"/>
        <v>2</v>
      </c>
      <c r="E1782" s="1492"/>
      <c r="F1782" s="1484" t="s">
        <v>11724</v>
      </c>
      <c r="H1782" s="1095" t="s">
        <v>11722</v>
      </c>
      <c r="I1782" s="780" t="s">
        <v>20982</v>
      </c>
      <c r="J1782" s="834"/>
      <c r="K1782" s="790" t="str">
        <f>(IF(H1782="Saneago",VLOOKUP(I1782,'SANEAGO-FEV.2016'!A:B,2,0),IF(H1782="Sinapi",VLOOKUP(I1782,'SINAPI-FEV.2017'!A:D,2,0),IF(H1782="Cotação",VLOOKUP(I1782,COTAÇÃO!A:D,2,0),IF(H1782="Composição",VLOOKUP(I1782,COMPOSIÇÃO!A:D,2,0))))))</f>
        <v>Tampa em Fibra de Vidro, dimensões 1,14mx0,44m</v>
      </c>
      <c r="L1782" s="780" t="s">
        <v>10854</v>
      </c>
      <c r="M1782" s="1270">
        <v>8</v>
      </c>
      <c r="N1782" s="399">
        <v>0</v>
      </c>
      <c r="O1782" s="102">
        <f t="shared" si="275"/>
        <v>0</v>
      </c>
      <c r="P1782" s="101">
        <f t="shared" si="276"/>
        <v>0</v>
      </c>
      <c r="Q1782" s="1472">
        <v>8</v>
      </c>
    </row>
    <row r="1783" spans="1:17">
      <c r="A1783" s="1482"/>
      <c r="B1783" s="1482"/>
      <c r="C1783" s="1555">
        <f t="shared" si="268"/>
        <v>3</v>
      </c>
      <c r="D1783" s="1492">
        <f t="shared" si="277"/>
        <v>2</v>
      </c>
      <c r="E1783" s="1492"/>
      <c r="F1783" s="1484" t="s">
        <v>11724</v>
      </c>
      <c r="H1783" s="1095" t="s">
        <v>11722</v>
      </c>
      <c r="I1783" s="780" t="s">
        <v>20984</v>
      </c>
      <c r="J1783" s="834"/>
      <c r="K1783" s="790" t="str">
        <f>(IF(H1783="Saneago",VLOOKUP(I1783,'SANEAGO-FEV.2016'!A:B,2,0),IF(H1783="Sinapi",VLOOKUP(I1783,'SINAPI-FEV.2017'!A:D,2,0),IF(H1783="Cotação",VLOOKUP(I1783,COTAÇÃO!A:D,2,0),IF(H1783="Composição",VLOOKUP(I1783,COMPOSIÇÃO!A:D,2,0))))))</f>
        <v>Tampa em Fibra de Vidro, dimensões 0,54mx1,31m</v>
      </c>
      <c r="L1783" s="780" t="s">
        <v>10854</v>
      </c>
      <c r="M1783" s="1270">
        <v>24</v>
      </c>
      <c r="N1783" s="399">
        <v>0</v>
      </c>
      <c r="O1783" s="102">
        <f t="shared" si="275"/>
        <v>0</v>
      </c>
      <c r="P1783" s="101">
        <f t="shared" si="276"/>
        <v>0</v>
      </c>
      <c r="Q1783" s="1472">
        <v>24</v>
      </c>
    </row>
    <row r="1784" spans="1:17" ht="22.5">
      <c r="A1784" s="1482"/>
      <c r="B1784" s="1482"/>
      <c r="C1784" s="1555">
        <f t="shared" si="268"/>
        <v>3</v>
      </c>
      <c r="D1784" s="1492">
        <f t="shared" si="277"/>
        <v>2</v>
      </c>
      <c r="E1784" s="1492"/>
      <c r="F1784" s="1484" t="s">
        <v>11724</v>
      </c>
      <c r="H1784" s="1095" t="s">
        <v>11722</v>
      </c>
      <c r="I1784" s="780" t="s">
        <v>20986</v>
      </c>
      <c r="J1784" s="834"/>
      <c r="K1784" s="790" t="str">
        <f>(IF(H1784="Saneago",VLOOKUP(I1784,'SANEAGO-FEV.2016'!A:B,2,0),IF(H1784="Sinapi",VLOOKUP(I1784,'SINAPI-FEV.2017'!A:D,2,0),IF(H1784="Cotação",VLOOKUP(I1784,COTAÇÃO!A:D,2,0),IF(H1784="Composição",VLOOKUP(I1784,COMPOSIÇÃO!A:D,2,0))))))</f>
        <v>Chumbador tipo parabolt Ø5/16", L=82,5 mm (Ref. "Walsywa WB" com acabamento em INOX)</v>
      </c>
      <c r="L1784" s="780" t="s">
        <v>1270</v>
      </c>
      <c r="M1784" s="1270">
        <v>1025</v>
      </c>
      <c r="N1784" s="399">
        <v>0</v>
      </c>
      <c r="O1784" s="102">
        <f t="shared" si="275"/>
        <v>0</v>
      </c>
      <c r="P1784" s="101">
        <f t="shared" si="276"/>
        <v>0</v>
      </c>
      <c r="Q1784" s="1472">
        <v>1025</v>
      </c>
    </row>
    <row r="1785" spans="1:17">
      <c r="A1785" s="1482"/>
      <c r="B1785" s="1482"/>
      <c r="C1785" s="1555">
        <f t="shared" si="268"/>
        <v>3</v>
      </c>
      <c r="D1785" s="1492">
        <f t="shared" si="277"/>
        <v>2</v>
      </c>
      <c r="E1785" s="1492"/>
      <c r="F1785" s="1484" t="s">
        <v>11724</v>
      </c>
      <c r="H1785" s="1095" t="s">
        <v>11722</v>
      </c>
      <c r="I1785" s="780" t="s">
        <v>20988</v>
      </c>
      <c r="J1785" s="834"/>
      <c r="K1785" s="790" t="str">
        <f>(IF(H1785="Saneago",VLOOKUP(I1785,'SANEAGO-FEV.2016'!A:B,2,0),IF(H1785="Sinapi",VLOOKUP(I1785,'SINAPI-FEV.2017'!A:D,2,0),IF(H1785="Cotação",VLOOKUP(I1785,COTAÇÃO!A:D,2,0),IF(H1785="Composição",VLOOKUP(I1785,COMPOSIÇÃO!A:D,2,0))))))</f>
        <v>CANTONEIRA DE ABAS IGUAIS 2", ESP. 1/4", AÇO INOX AISI-307</v>
      </c>
      <c r="L1785" s="780" t="s">
        <v>18</v>
      </c>
      <c r="M1785" s="1270">
        <v>205</v>
      </c>
      <c r="N1785" s="399">
        <v>0</v>
      </c>
      <c r="O1785" s="102">
        <f t="shared" si="275"/>
        <v>0</v>
      </c>
      <c r="P1785" s="101">
        <f t="shared" si="276"/>
        <v>0</v>
      </c>
      <c r="Q1785" s="1472">
        <v>205</v>
      </c>
    </row>
    <row r="1786" spans="1:17" ht="15.75" thickBot="1">
      <c r="A1786" s="1482"/>
      <c r="B1786" s="1482"/>
      <c r="C1786" s="1555">
        <f t="shared" si="268"/>
        <v>3</v>
      </c>
      <c r="D1786" s="1492">
        <f t="shared" ref="D1786:D1796" si="278">D1785+B1786</f>
        <v>2</v>
      </c>
      <c r="E1786" s="1492"/>
      <c r="F1786" s="1484" t="s">
        <v>11724</v>
      </c>
      <c r="H1786" s="1095"/>
      <c r="I1786" s="780"/>
      <c r="J1786" s="834"/>
      <c r="K1786" s="790"/>
      <c r="L1786" s="780"/>
      <c r="M1786" s="1270"/>
      <c r="N1786" s="399"/>
      <c r="O1786" s="102"/>
      <c r="P1786" s="101"/>
    </row>
    <row r="1787" spans="1:17" ht="16.5" thickTop="1" thickBot="1">
      <c r="A1787" s="1482"/>
      <c r="B1787" s="1482">
        <v>1</v>
      </c>
      <c r="C1787" s="1555">
        <f t="shared" si="268"/>
        <v>3</v>
      </c>
      <c r="D1787" s="1492">
        <f t="shared" si="278"/>
        <v>3</v>
      </c>
      <c r="E1787" s="1492"/>
      <c r="F1787" s="1484" t="s">
        <v>11724</v>
      </c>
      <c r="G1787" s="921"/>
      <c r="H1787" s="1510" t="str">
        <f>CONCATENATE(C1787,".",D1787)</f>
        <v>3.3</v>
      </c>
      <c r="I1787" s="1573" t="s">
        <v>13297</v>
      </c>
      <c r="J1787" s="1573"/>
      <c r="K1787" s="1573"/>
      <c r="L1787" s="1573" t="s">
        <v>25</v>
      </c>
      <c r="M1787" s="1574" t="s">
        <v>11704</v>
      </c>
      <c r="N1787" s="397" t="s">
        <v>11705</v>
      </c>
      <c r="O1787" s="99" t="s">
        <v>11706</v>
      </c>
      <c r="P1787" s="100">
        <f>SUBTOTAL(9,P1789:P1809)</f>
        <v>0</v>
      </c>
      <c r="Q1787" s="1472" t="s">
        <v>11704</v>
      </c>
    </row>
    <row r="1788" spans="1:17" ht="15.75" thickTop="1">
      <c r="A1788" s="1482"/>
      <c r="B1788" s="1482"/>
      <c r="C1788" s="1555">
        <f t="shared" si="268"/>
        <v>3</v>
      </c>
      <c r="D1788" s="1492">
        <f t="shared" si="278"/>
        <v>3</v>
      </c>
      <c r="E1788" s="1492"/>
      <c r="F1788" s="1484" t="s">
        <v>11724</v>
      </c>
      <c r="H1788" s="1095"/>
      <c r="I1788" s="780"/>
      <c r="J1788" s="834"/>
      <c r="K1788" s="780"/>
      <c r="L1788" s="780"/>
      <c r="M1788" s="1270"/>
      <c r="N1788" s="400"/>
      <c r="O1788" s="122"/>
      <c r="P1788" s="123"/>
    </row>
    <row r="1789" spans="1:17">
      <c r="A1789" s="1482"/>
      <c r="B1789" s="1482"/>
      <c r="C1789" s="1555">
        <f t="shared" si="268"/>
        <v>3</v>
      </c>
      <c r="D1789" s="1492">
        <f t="shared" si="278"/>
        <v>3</v>
      </c>
      <c r="E1789" s="1492"/>
      <c r="F1789" s="1484" t="s">
        <v>11724</v>
      </c>
      <c r="H1789" s="1095" t="s">
        <v>70</v>
      </c>
      <c r="I1789" s="780">
        <v>51</v>
      </c>
      <c r="J1789" s="834"/>
      <c r="K1789" s="790" t="str">
        <f>(IF(H1789="Saneago",VLOOKUP(I1789,'SANEAGO-FEV.2016'!A:B,2,0),IF(H1789="Sinapi",VLOOKUP(I1789,'SINAPI-FEV.2017'!A:D,2,0),IF(H1789="Cotação",VLOOKUP(I1789,COTAÇÃO!A:D,2,0),IF(H1789="Composição",VLOOKUP(I1789,COMPOSIÇÃO!A:D,2,0))))))</f>
        <v>ADAPTADOR, PVC PBA, A BOLSA DEFOFO, JE, DN 100 / DE 110 MM</v>
      </c>
      <c r="L1789" s="780" t="s">
        <v>1270</v>
      </c>
      <c r="M1789" s="1270">
        <v>40</v>
      </c>
      <c r="N1789" s="399">
        <v>0</v>
      </c>
      <c r="O1789" s="102">
        <f>ROUND(IF(F1789="Serviços",N1789*(1+$O$7),IF(F1789="Materiais",N1789*(1+$O$8))),2)</f>
        <v>0</v>
      </c>
      <c r="P1789" s="101">
        <f>ROUND(M1789*O1789,2)</f>
        <v>0</v>
      </c>
      <c r="Q1789" s="1472">
        <v>40</v>
      </c>
    </row>
    <row r="1790" spans="1:17" ht="22.5">
      <c r="A1790" s="1482"/>
      <c r="B1790" s="1482"/>
      <c r="C1790" s="1555">
        <f t="shared" si="268"/>
        <v>3</v>
      </c>
      <c r="D1790" s="1492">
        <f t="shared" si="278"/>
        <v>3</v>
      </c>
      <c r="E1790" s="1492"/>
      <c r="F1790" s="1484" t="s">
        <v>11724</v>
      </c>
      <c r="H1790" s="1095" t="s">
        <v>70</v>
      </c>
      <c r="I1790" s="780">
        <v>1828</v>
      </c>
      <c r="J1790" s="834"/>
      <c r="K1790" s="790" t="str">
        <f>(IF(H1790="Saneago",VLOOKUP(I1790,'SANEAGO-FEV.2016'!A:B,2,0),IF(H1790="Sinapi",VLOOKUP(I1790,'SINAPI-FEV.2017'!A:D,2,0),IF(H1790="Cotação",VLOOKUP(I1790,COTAÇÃO!A:D,2,0),IF(H1790="Composição",VLOOKUP(I1790,COMPOSIÇÃO!A:D,2,0))))))</f>
        <v>CURVA PVC PBA, JE, PB, 90 GRAUS, DN 100 / DE 110 MM, PARA REDE AGUA (NBR 10351)</v>
      </c>
      <c r="L1790" s="780" t="s">
        <v>1270</v>
      </c>
      <c r="M1790" s="1270">
        <v>80</v>
      </c>
      <c r="N1790" s="399">
        <v>0</v>
      </c>
      <c r="O1790" s="102">
        <f t="shared" ref="O1790:O1809" si="279">ROUND(IF(F1790="Serviços",N1790*(1+$O$7),IF(F1790="Materiais",N1790*(1+$O$8))),2)</f>
        <v>0</v>
      </c>
      <c r="P1790" s="101">
        <f t="shared" ref="P1790:P1809" si="280">ROUND(M1790*O1790,2)</f>
        <v>0</v>
      </c>
      <c r="Q1790" s="1472">
        <v>80</v>
      </c>
    </row>
    <row r="1791" spans="1:17">
      <c r="A1791" s="1482"/>
      <c r="B1791" s="1482"/>
      <c r="C1791" s="1555">
        <f t="shared" si="268"/>
        <v>3</v>
      </c>
      <c r="D1791" s="1492">
        <f t="shared" si="278"/>
        <v>3</v>
      </c>
      <c r="E1791" s="1492"/>
      <c r="F1791" s="1484" t="s">
        <v>11724</v>
      </c>
      <c r="H1791" s="1095" t="s">
        <v>70</v>
      </c>
      <c r="I1791" s="780">
        <v>47</v>
      </c>
      <c r="J1791" s="834"/>
      <c r="K1791" s="790" t="str">
        <f>(IF(H1791="Saneago",VLOOKUP(I1791,'SANEAGO-FEV.2016'!A:B,2,0),IF(H1791="Sinapi",VLOOKUP(I1791,'SINAPI-FEV.2017'!A:D,2,0),IF(H1791="Cotação",VLOOKUP(I1791,COTAÇÃO!A:D,2,0),IF(H1791="Composição",VLOOKUP(I1791,COMPOSIÇÃO!A:D,2,0))))))</f>
        <v>ADAPTADOR, PVC PBA, BOLSA/ROSCA, JE, DN 100 / DE 110 MM</v>
      </c>
      <c r="L1791" s="780" t="s">
        <v>1270</v>
      </c>
      <c r="M1791" s="1270">
        <v>80</v>
      </c>
      <c r="N1791" s="399">
        <v>0</v>
      </c>
      <c r="O1791" s="102">
        <f t="shared" si="279"/>
        <v>0</v>
      </c>
      <c r="P1791" s="101">
        <f t="shared" si="280"/>
        <v>0</v>
      </c>
      <c r="Q1791" s="1472">
        <v>80</v>
      </c>
    </row>
    <row r="1792" spans="1:17">
      <c r="A1792" s="1482"/>
      <c r="B1792" s="1482"/>
      <c r="C1792" s="1555">
        <f t="shared" si="268"/>
        <v>3</v>
      </c>
      <c r="D1792" s="1492">
        <f t="shared" si="278"/>
        <v>3</v>
      </c>
      <c r="E1792" s="1492"/>
      <c r="F1792" s="1484" t="s">
        <v>11724</v>
      </c>
      <c r="H1792" s="1095" t="s">
        <v>70</v>
      </c>
      <c r="I1792" s="780">
        <v>1970</v>
      </c>
      <c r="J1792" s="834"/>
      <c r="K1792" s="790" t="str">
        <f>(IF(H1792="Saneago",VLOOKUP(I1792,'SANEAGO-FEV.2016'!A:B,2,0),IF(H1792="Sinapi",VLOOKUP(I1792,'SINAPI-FEV.2017'!A:D,2,0),IF(H1792="Cotação",VLOOKUP(I1792,COTAÇÃO!A:D,2,0),IF(H1792="Composição",VLOOKUP(I1792,COMPOSIÇÃO!A:D,2,0))))))</f>
        <v>CURVA PVC LONGA 90 GRAUS, 100 MM, PARA ESGOTO PREDIAL</v>
      </c>
      <c r="L1792" s="780" t="s">
        <v>1270</v>
      </c>
      <c r="M1792" s="1270">
        <v>40</v>
      </c>
      <c r="N1792" s="399">
        <v>0</v>
      </c>
      <c r="O1792" s="102">
        <f t="shared" si="279"/>
        <v>0</v>
      </c>
      <c r="P1792" s="101">
        <f t="shared" si="280"/>
        <v>0</v>
      </c>
      <c r="Q1792" s="1472">
        <v>40</v>
      </c>
    </row>
    <row r="1793" spans="1:17">
      <c r="A1793" s="1482"/>
      <c r="B1793" s="1482"/>
      <c r="C1793" s="1555">
        <f t="shared" si="268"/>
        <v>3</v>
      </c>
      <c r="D1793" s="1492">
        <f t="shared" si="278"/>
        <v>3</v>
      </c>
      <c r="E1793" s="1492"/>
      <c r="F1793" s="1484" t="s">
        <v>11724</v>
      </c>
      <c r="H1793" s="1095" t="s">
        <v>70</v>
      </c>
      <c r="I1793" s="780">
        <v>72295</v>
      </c>
      <c r="J1793" s="834"/>
      <c r="K1793" s="790" t="str">
        <f>(IF(H1793="Saneago",VLOOKUP(I1793,'SANEAGO-FEV.2016'!A:B,2,0),IF(H1793="Sinapi",VLOOKUP(I1793,'SINAPI-FEV.2017'!A:D,2,0),IF(H1793="Cotação",VLOOKUP(I1793,COTAÇÃO!A:D,2,0),IF(H1793="Composição",VLOOKUP(I1793,COMPOSIÇÃO!A:D,2,0))))))</f>
        <v>CAP PVC ESGOTO 100MM (TAMPÃO) - FORNECIMENTO E INSTALAÇÃO</v>
      </c>
      <c r="L1793" s="780" t="s">
        <v>1270</v>
      </c>
      <c r="M1793" s="1270">
        <v>40</v>
      </c>
      <c r="N1793" s="399">
        <v>0</v>
      </c>
      <c r="O1793" s="102">
        <f t="shared" si="279"/>
        <v>0</v>
      </c>
      <c r="P1793" s="101">
        <f t="shared" si="280"/>
        <v>0</v>
      </c>
      <c r="Q1793" s="1472">
        <v>40</v>
      </c>
    </row>
    <row r="1794" spans="1:17">
      <c r="A1794" s="1482"/>
      <c r="B1794" s="1482"/>
      <c r="C1794" s="1555">
        <f t="shared" si="268"/>
        <v>3</v>
      </c>
      <c r="D1794" s="1492">
        <f t="shared" si="278"/>
        <v>3</v>
      </c>
      <c r="E1794" s="1492"/>
      <c r="F1794" s="1484" t="s">
        <v>11724</v>
      </c>
      <c r="H1794" s="1095" t="s">
        <v>11722</v>
      </c>
      <c r="I1794" s="780" t="s">
        <v>13199</v>
      </c>
      <c r="J1794" s="834"/>
      <c r="K1794" s="790" t="str">
        <f>(IF(H1794="Saneago",VLOOKUP(I1794,'SANEAGO-FEV.2016'!A:B,2,0),IF(H1794="Sinapi",VLOOKUP(I1794,'SINAPI-FEV.2017'!A:D,2,0),IF(H1794="Cotação",VLOOKUP(I1794,COTAÇÃO!A:D,2,0),IF(H1794="Composição",VLOOKUP(I1794,COMPOSIÇÃO!A:D,2,0))))))</f>
        <v>Tê de redução em RPVC, conforme NBR 15.536-3, DN150 x DN100</v>
      </c>
      <c r="L1794" s="780" t="s">
        <v>1270</v>
      </c>
      <c r="M1794" s="1270">
        <v>40</v>
      </c>
      <c r="N1794" s="399">
        <v>0</v>
      </c>
      <c r="O1794" s="102">
        <f t="shared" si="279"/>
        <v>0</v>
      </c>
      <c r="P1794" s="101">
        <f t="shared" si="280"/>
        <v>0</v>
      </c>
      <c r="Q1794" s="1472">
        <v>40</v>
      </c>
    </row>
    <row r="1795" spans="1:17">
      <c r="A1795" s="1482"/>
      <c r="B1795" s="1482"/>
      <c r="C1795" s="1555">
        <f t="shared" si="268"/>
        <v>3</v>
      </c>
      <c r="D1795" s="1492">
        <f t="shared" si="278"/>
        <v>3</v>
      </c>
      <c r="E1795" s="1492"/>
      <c r="F1795" s="1484" t="s">
        <v>11724</v>
      </c>
      <c r="H1795" s="1095" t="s">
        <v>11722</v>
      </c>
      <c r="I1795" s="780" t="s">
        <v>13179</v>
      </c>
      <c r="J1795" s="834"/>
      <c r="K1795" s="790" t="str">
        <f>(IF(H1795="Saneago",VLOOKUP(I1795,'SANEAGO-FEV.2016'!A:B,2,0),IF(H1795="Sinapi",VLOOKUP(I1795,'SINAPI-FEV.2017'!A:D,2,0),IF(H1795="Cotação",VLOOKUP(I1795,COTAÇÃO!A:D,2,0),IF(H1795="Composição",VLOOKUP(I1795,COMPOSIÇÃO!A:D,2,0))))))</f>
        <v>Curva 45º em RPVC, conforme NBR 15.536-3, raio longo, DN150</v>
      </c>
      <c r="L1795" s="780" t="s">
        <v>1270</v>
      </c>
      <c r="M1795" s="1270">
        <v>8</v>
      </c>
      <c r="N1795" s="399">
        <v>0</v>
      </c>
      <c r="O1795" s="102">
        <f t="shared" si="279"/>
        <v>0</v>
      </c>
      <c r="P1795" s="101">
        <f t="shared" si="280"/>
        <v>0</v>
      </c>
      <c r="Q1795" s="1472">
        <v>8</v>
      </c>
    </row>
    <row r="1796" spans="1:17" ht="22.5">
      <c r="A1796" s="1482"/>
      <c r="B1796" s="1482"/>
      <c r="C1796" s="1555">
        <f t="shared" si="268"/>
        <v>3</v>
      </c>
      <c r="D1796" s="1492">
        <f t="shared" si="278"/>
        <v>3</v>
      </c>
      <c r="E1796" s="1492"/>
      <c r="F1796" s="1484" t="s">
        <v>11724</v>
      </c>
      <c r="H1796" s="1095" t="s">
        <v>11722</v>
      </c>
      <c r="I1796" s="780" t="s">
        <v>13189</v>
      </c>
      <c r="J1796" s="834"/>
      <c r="K1796" s="790" t="str">
        <f>(IF(H1796="Saneago",VLOOKUP(I1796,'SANEAGO-FEV.2016'!A:B,2,0),IF(H1796="Sinapi",VLOOKUP(I1796,'SINAPI-FEV.2017'!A:D,2,0),IF(H1796="Cotação",VLOOKUP(I1796,COTAÇÃO!A:D,2,0),IF(H1796="Composição",VLOOKUP(I1796,COMPOSIÇÃO!A:D,2,0))))))</f>
        <v>Extremidade em RPVC, conforme NBR 15.536-3, com flange e ponta, PN-10, DN150, L=0,20m</v>
      </c>
      <c r="L1796" s="780" t="s">
        <v>1270</v>
      </c>
      <c r="M1796" s="1270">
        <v>4</v>
      </c>
      <c r="N1796" s="399">
        <v>0</v>
      </c>
      <c r="O1796" s="102">
        <f t="shared" si="279"/>
        <v>0</v>
      </c>
      <c r="P1796" s="101">
        <f t="shared" si="280"/>
        <v>0</v>
      </c>
      <c r="Q1796" s="1472">
        <v>4</v>
      </c>
    </row>
    <row r="1797" spans="1:17">
      <c r="A1797" s="1482"/>
      <c r="B1797" s="1482"/>
      <c r="C1797" s="1555">
        <f t="shared" si="268"/>
        <v>3</v>
      </c>
      <c r="D1797" s="1492">
        <f t="shared" ref="D1797:D1811" si="281">D1796+B1797</f>
        <v>3</v>
      </c>
      <c r="E1797" s="1492"/>
      <c r="F1797" s="1484" t="s">
        <v>11724</v>
      </c>
      <c r="H1797" s="1095" t="s">
        <v>11722</v>
      </c>
      <c r="I1797" s="780" t="s">
        <v>13203</v>
      </c>
      <c r="J1797" s="834"/>
      <c r="K1797" s="790" t="str">
        <f>(IF(H1797="Saneago",VLOOKUP(I1797,'SANEAGO-FEV.2016'!A:B,2,0),IF(H1797="Sinapi",VLOOKUP(I1797,'SINAPI-FEV.2017'!A:D,2,0),IF(H1797="Cotação",VLOOKUP(I1797,COTAÇÃO!A:D,2,0),IF(H1797="Composição",VLOOKUP(I1797,COMPOSIÇÃO!A:D,2,0))))))</f>
        <v>Tê em RPVC, conforme NBR 15.536-3, DN150</v>
      </c>
      <c r="L1797" s="780" t="s">
        <v>1270</v>
      </c>
      <c r="M1797" s="1270">
        <v>3</v>
      </c>
      <c r="N1797" s="399">
        <v>0</v>
      </c>
      <c r="O1797" s="102">
        <f t="shared" si="279"/>
        <v>0</v>
      </c>
      <c r="P1797" s="101">
        <f t="shared" si="280"/>
        <v>0</v>
      </c>
      <c r="Q1797" s="1472">
        <v>3</v>
      </c>
    </row>
    <row r="1798" spans="1:17">
      <c r="A1798" s="1482"/>
      <c r="B1798" s="1482"/>
      <c r="C1798" s="1555">
        <f t="shared" si="268"/>
        <v>3</v>
      </c>
      <c r="D1798" s="1492">
        <f t="shared" si="281"/>
        <v>3</v>
      </c>
      <c r="E1798" s="1492"/>
      <c r="F1798" s="1484" t="s">
        <v>11724</v>
      </c>
      <c r="H1798" s="1095" t="s">
        <v>11722</v>
      </c>
      <c r="I1798" s="780" t="s">
        <v>13293</v>
      </c>
      <c r="J1798" s="834"/>
      <c r="K1798" s="790" t="str">
        <f>(IF(H1798="Saneago",VLOOKUP(I1798,'SANEAGO-FEV.2016'!A:B,2,0),IF(H1798="Sinapi",VLOOKUP(I1798,'SINAPI-FEV.2017'!A:D,2,0),IF(H1798="Cotação",VLOOKUP(I1798,COTAÇÃO!A:D,2,0),IF(H1798="Composição",VLOOKUP(I1798,COMPOSIÇÃO!A:D,2,0))))))</f>
        <v>Cruzeta em RPVC conforme a norma NBR 15.536-3, DN150</v>
      </c>
      <c r="L1798" s="780" t="s">
        <v>1270</v>
      </c>
      <c r="M1798" s="1270">
        <v>1</v>
      </c>
      <c r="N1798" s="399">
        <v>0</v>
      </c>
      <c r="O1798" s="102">
        <f t="shared" si="279"/>
        <v>0</v>
      </c>
      <c r="P1798" s="101">
        <f t="shared" si="280"/>
        <v>0</v>
      </c>
      <c r="Q1798" s="1472">
        <v>1</v>
      </c>
    </row>
    <row r="1799" spans="1:17">
      <c r="A1799" s="1482"/>
      <c r="B1799" s="1482"/>
      <c r="C1799" s="1555">
        <f t="shared" si="268"/>
        <v>3</v>
      </c>
      <c r="D1799" s="1492">
        <f t="shared" si="281"/>
        <v>3</v>
      </c>
      <c r="E1799" s="1492"/>
      <c r="F1799" s="1484" t="s">
        <v>11724</v>
      </c>
      <c r="H1799" s="1095" t="s">
        <v>11722</v>
      </c>
      <c r="I1799" s="780" t="s">
        <v>13193</v>
      </c>
      <c r="J1799" s="834"/>
      <c r="K1799" s="790" t="str">
        <f>(IF(H1799="Saneago",VLOOKUP(I1799,'SANEAGO-FEV.2016'!A:B,2,0),IF(H1799="Sinapi",VLOOKUP(I1799,'SINAPI-FEV.2017'!A:D,2,0),IF(H1799="Cotação",VLOOKUP(I1799,COTAÇÃO!A:D,2,0),IF(H1799="Composição",VLOOKUP(I1799,COMPOSIÇÃO!A:D,2,0))))))</f>
        <v>Joelho 45º em RPVC, conforme NBR 15.536-3, DN150</v>
      </c>
      <c r="L1799" s="780" t="s">
        <v>1270</v>
      </c>
      <c r="M1799" s="1270">
        <v>2</v>
      </c>
      <c r="N1799" s="399">
        <v>0</v>
      </c>
      <c r="O1799" s="102">
        <f t="shared" si="279"/>
        <v>0</v>
      </c>
      <c r="P1799" s="101">
        <f t="shared" si="280"/>
        <v>0</v>
      </c>
      <c r="Q1799" s="1472">
        <v>2</v>
      </c>
    </row>
    <row r="1800" spans="1:17">
      <c r="A1800" s="1482"/>
      <c r="B1800" s="1482"/>
      <c r="C1800" s="1555">
        <f t="shared" ref="C1800:C1863" si="282">C1799</f>
        <v>3</v>
      </c>
      <c r="D1800" s="1492">
        <f t="shared" si="281"/>
        <v>3</v>
      </c>
      <c r="E1800" s="1492"/>
      <c r="F1800" s="1484" t="s">
        <v>11724</v>
      </c>
      <c r="H1800" s="1095" t="s">
        <v>11722</v>
      </c>
      <c r="I1800" s="780" t="s">
        <v>12881</v>
      </c>
      <c r="J1800" s="834"/>
      <c r="K1800" s="790" t="str">
        <f>(IF(H1800="Saneago",VLOOKUP(I1800,'SANEAGO-FEV.2016'!A:B,2,0),IF(H1800="Sinapi",VLOOKUP(I1800,'SINAPI-FEV.2017'!A:D,2,0),IF(H1800="Cotação",VLOOKUP(I1800,COTAÇÃO!A:D,2,0),IF(H1800="Composição",VLOOKUP(I1800,COMPOSIÇÃO!A:D,2,0))))))</f>
        <v>Flange cego em ferro fundido dúctil com flanges, PN-10, DN150</v>
      </c>
      <c r="L1800" s="780" t="s">
        <v>1270</v>
      </c>
      <c r="M1800" s="1270">
        <v>4</v>
      </c>
      <c r="N1800" s="399">
        <v>0</v>
      </c>
      <c r="O1800" s="102">
        <f t="shared" si="279"/>
        <v>0</v>
      </c>
      <c r="P1800" s="101">
        <f t="shared" si="280"/>
        <v>0</v>
      </c>
      <c r="Q1800" s="1472">
        <v>4</v>
      </c>
    </row>
    <row r="1801" spans="1:17">
      <c r="A1801" s="1482"/>
      <c r="B1801" s="1482"/>
      <c r="C1801" s="1555">
        <f t="shared" si="282"/>
        <v>3</v>
      </c>
      <c r="D1801" s="1492">
        <f t="shared" si="281"/>
        <v>3</v>
      </c>
      <c r="E1801" s="1492"/>
      <c r="F1801" s="1484" t="s">
        <v>11724</v>
      </c>
      <c r="H1801" s="1095" t="s">
        <v>11722</v>
      </c>
      <c r="I1801" s="780" t="s">
        <v>13231</v>
      </c>
      <c r="J1801" s="834"/>
      <c r="K1801" s="790" t="str">
        <f>(IF(H1801="Saneago",VLOOKUP(I1801,'SANEAGO-FEV.2016'!A:B,2,0),IF(H1801="Sinapi",VLOOKUP(I1801,'SINAPI-FEV.2017'!A:D,2,0),IF(H1801="Cotação",VLOOKUP(I1801,COTAÇÃO!A:D,2,0),IF(H1801="Composição",VLOOKUP(I1801,COMPOSIÇÃO!A:D,2,0))))))</f>
        <v>Tubo em RPVC, conforme NBR 15.536-2, DN150</v>
      </c>
      <c r="L1801" s="780" t="s">
        <v>18</v>
      </c>
      <c r="M1801" s="1270">
        <v>258.8</v>
      </c>
      <c r="N1801" s="399">
        <v>0</v>
      </c>
      <c r="O1801" s="102">
        <f t="shared" si="279"/>
        <v>0</v>
      </c>
      <c r="P1801" s="101">
        <f t="shared" si="280"/>
        <v>0</v>
      </c>
      <c r="Q1801" s="1472">
        <v>258.8</v>
      </c>
    </row>
    <row r="1802" spans="1:17">
      <c r="A1802" s="1482"/>
      <c r="B1802" s="1482"/>
      <c r="C1802" s="1555">
        <f t="shared" si="282"/>
        <v>3</v>
      </c>
      <c r="D1802" s="1492">
        <f t="shared" si="281"/>
        <v>3</v>
      </c>
      <c r="E1802" s="1492"/>
      <c r="F1802" s="1484" t="s">
        <v>11724</v>
      </c>
      <c r="H1802" s="1095" t="s">
        <v>11722</v>
      </c>
      <c r="I1802" s="780" t="s">
        <v>13229</v>
      </c>
      <c r="J1802" s="834"/>
      <c r="K1802" s="790" t="str">
        <f>(IF(H1802="Saneago",VLOOKUP(I1802,'SANEAGO-FEV.2016'!A:B,2,0),IF(H1802="Sinapi",VLOOKUP(I1802,'SINAPI-FEV.2017'!A:D,2,0),IF(H1802="Cotação",VLOOKUP(I1802,COTAÇÃO!A:D,2,0),IF(H1802="Composição",VLOOKUP(I1802,COMPOSIÇÃO!A:D,2,0))))))</f>
        <v>Tubo em RPVC, conforme NBR 15.536-2, com ponta e bolsa, DN150, L=0,40m</v>
      </c>
      <c r="L1802" s="780" t="s">
        <v>1270</v>
      </c>
      <c r="M1802" s="1270">
        <v>4</v>
      </c>
      <c r="N1802" s="399">
        <v>0</v>
      </c>
      <c r="O1802" s="102">
        <f t="shared" si="279"/>
        <v>0</v>
      </c>
      <c r="P1802" s="101">
        <f t="shared" si="280"/>
        <v>0</v>
      </c>
      <c r="Q1802" s="1472">
        <v>4</v>
      </c>
    </row>
    <row r="1803" spans="1:17">
      <c r="A1803" s="1482"/>
      <c r="B1803" s="1482"/>
      <c r="C1803" s="1555">
        <f t="shared" si="282"/>
        <v>3</v>
      </c>
      <c r="D1803" s="1492">
        <f t="shared" si="281"/>
        <v>3</v>
      </c>
      <c r="E1803" s="1492"/>
      <c r="F1803" s="1484" t="s">
        <v>11724</v>
      </c>
      <c r="H1803" s="1095" t="s">
        <v>70</v>
      </c>
      <c r="I1803" s="780">
        <v>36365</v>
      </c>
      <c r="J1803" s="834"/>
      <c r="K1803" s="790" t="str">
        <f>(IF(H1803="Saneago",VLOOKUP(I1803,'SANEAGO-FEV.2016'!A:B,2,0),IF(H1803="Sinapi",VLOOKUP(I1803,'SINAPI-FEV.2017'!A:D,2,0),IF(H1803="Cotação",VLOOKUP(I1803,COTAÇÃO!A:D,2,0),IF(H1803="Composição",VLOOKUP(I1803,COMPOSIÇÃO!A:D,2,0))))))</f>
        <v>TUBO COLETOR DE ESGOTO PVC, JEI, DN 100 MM (NBR  7362)</v>
      </c>
      <c r="L1803" s="780" t="s">
        <v>1270</v>
      </c>
      <c r="M1803" s="1270">
        <v>674</v>
      </c>
      <c r="N1803" s="399">
        <v>0</v>
      </c>
      <c r="O1803" s="102">
        <f t="shared" si="279"/>
        <v>0</v>
      </c>
      <c r="P1803" s="101">
        <f t="shared" si="280"/>
        <v>0</v>
      </c>
      <c r="Q1803" s="1472">
        <v>674</v>
      </c>
    </row>
    <row r="1804" spans="1:17">
      <c r="A1804" s="1482"/>
      <c r="B1804" s="1482"/>
      <c r="C1804" s="1555">
        <f t="shared" si="282"/>
        <v>3</v>
      </c>
      <c r="D1804" s="1492">
        <f>D1803+B1804</f>
        <v>3</v>
      </c>
      <c r="E1804" s="1492"/>
      <c r="F1804" s="1484" t="s">
        <v>11724</v>
      </c>
      <c r="H1804" s="1095" t="s">
        <v>70</v>
      </c>
      <c r="I1804" s="780">
        <v>41930</v>
      </c>
      <c r="J1804" s="834"/>
      <c r="K1804" s="790" t="str">
        <f>(IF(H1804="Saneago",VLOOKUP(I1804,'SANEAGO-FEV.2016'!A:B,2,0),IF(H1804="Sinapi",VLOOKUP(I1804,'SINAPI-FEV.2017'!A:D,2,0),IF(H1804="Cotação",VLOOKUP(I1804,COTAÇÃO!A:D,2,0),IF(H1804="Composição",VLOOKUP(I1804,COMPOSIÇÃO!A:D,2,0))))))</f>
        <v>TUBO COLETOR DE ESGOTO PVC, JEI, DN 200 MM (NBR 7362)</v>
      </c>
      <c r="L1804" s="780" t="s">
        <v>18</v>
      </c>
      <c r="M1804" s="1270">
        <v>112.1</v>
      </c>
      <c r="N1804" s="399">
        <v>0</v>
      </c>
      <c r="O1804" s="102">
        <f t="shared" si="279"/>
        <v>0</v>
      </c>
      <c r="P1804" s="101">
        <f t="shared" si="280"/>
        <v>0</v>
      </c>
      <c r="Q1804" s="1472">
        <v>112.1</v>
      </c>
    </row>
    <row r="1805" spans="1:17">
      <c r="A1805" s="1482"/>
      <c r="B1805" s="1482"/>
      <c r="C1805" s="1555">
        <f t="shared" si="282"/>
        <v>3</v>
      </c>
      <c r="D1805" s="1492">
        <f t="shared" si="281"/>
        <v>3</v>
      </c>
      <c r="E1805" s="1492"/>
      <c r="F1805" s="1484" t="s">
        <v>11724</v>
      </c>
      <c r="H1805" s="1095" t="s">
        <v>70</v>
      </c>
      <c r="I1805" s="780">
        <v>36377</v>
      </c>
      <c r="J1805" s="834"/>
      <c r="K1805" s="790" t="str">
        <f>(IF(H1805="Saneago",VLOOKUP(I1805,'SANEAGO-FEV.2016'!A:B,2,0),IF(H1805="Sinapi",VLOOKUP(I1805,'SINAPI-FEV.2017'!A:D,2,0),IF(H1805="Cotação",VLOOKUP(I1805,COTAÇÃO!A:D,2,0),IF(H1805="Composição",VLOOKUP(I1805,COMPOSIÇÃO!A:D,2,0))))))</f>
        <v>TUBO PVC PBA JEI, CLASSE 15, DN 100 MM, PARA REDE DE AGUA (NBR 5647)</v>
      </c>
      <c r="L1805" s="780" t="s">
        <v>18</v>
      </c>
      <c r="M1805" s="1270">
        <v>21</v>
      </c>
      <c r="N1805" s="399">
        <v>0</v>
      </c>
      <c r="O1805" s="102">
        <f t="shared" si="279"/>
        <v>0</v>
      </c>
      <c r="P1805" s="101">
        <f t="shared" si="280"/>
        <v>0</v>
      </c>
      <c r="Q1805" s="1472">
        <v>21</v>
      </c>
    </row>
    <row r="1806" spans="1:17">
      <c r="A1806" s="1482"/>
      <c r="B1806" s="1482"/>
      <c r="C1806" s="1555">
        <f t="shared" si="282"/>
        <v>3</v>
      </c>
      <c r="D1806" s="1492">
        <f t="shared" si="281"/>
        <v>3</v>
      </c>
      <c r="E1806" s="1492"/>
      <c r="F1806" s="1484" t="s">
        <v>11724</v>
      </c>
      <c r="H1806" s="1095" t="s">
        <v>11722</v>
      </c>
      <c r="I1806" s="780" t="s">
        <v>13108</v>
      </c>
      <c r="J1806" s="834"/>
      <c r="K1806" s="790" t="str">
        <f>(IF(H1806="Saneago",VLOOKUP(I1806,'SANEAGO-FEV.2016'!A:B,2,0),IF(H1806="Sinapi",VLOOKUP(I1806,'SINAPI-FEV.2017'!A:D,2,0),IF(H1806="Cotação",VLOOKUP(I1806,COTAÇÃO!A:D,2,0),IF(H1806="Composição",VLOOKUP(I1806,COMPOSIÇÃO!A:D,2,0))))))</f>
        <v>Registro com bolsas, cabeçote e cunha de borracha, DN150</v>
      </c>
      <c r="L1806" s="780" t="s">
        <v>1270</v>
      </c>
      <c r="M1806" s="1270">
        <v>6</v>
      </c>
      <c r="N1806" s="399">
        <v>0</v>
      </c>
      <c r="O1806" s="102">
        <f t="shared" si="279"/>
        <v>0</v>
      </c>
      <c r="P1806" s="101">
        <f t="shared" si="280"/>
        <v>0</v>
      </c>
      <c r="Q1806" s="1472">
        <v>6</v>
      </c>
    </row>
    <row r="1807" spans="1:17">
      <c r="A1807" s="1482"/>
      <c r="B1807" s="1482"/>
      <c r="C1807" s="1555">
        <f t="shared" si="282"/>
        <v>3</v>
      </c>
      <c r="D1807" s="1492">
        <f t="shared" si="281"/>
        <v>3</v>
      </c>
      <c r="E1807" s="1492"/>
      <c r="F1807" s="1484" t="s">
        <v>11724</v>
      </c>
      <c r="H1807" s="1095" t="s">
        <v>11722</v>
      </c>
      <c r="I1807" s="780" t="s">
        <v>13118</v>
      </c>
      <c r="J1807" s="834"/>
      <c r="K1807" s="790" t="str">
        <f>(IF(H1807="Saneago",VLOOKUP(I1807,'SANEAGO-FEV.2016'!A:B,2,0),IF(H1807="Sinapi",VLOOKUP(I1807,'SINAPI-FEV.2017'!A:D,2,0),IF(H1807="Cotação",VLOOKUP(I1807,COTAÇÃO!A:D,2,0),IF(H1807="Composição",VLOOKUP(I1807,COMPOSIÇÃO!A:D,2,0))))))</f>
        <v>Registro de esfera com união, DN4"</v>
      </c>
      <c r="L1807" s="780" t="s">
        <v>1270</v>
      </c>
      <c r="M1807" s="1270">
        <v>40</v>
      </c>
      <c r="N1807" s="399">
        <v>0</v>
      </c>
      <c r="O1807" s="102">
        <f t="shared" si="279"/>
        <v>0</v>
      </c>
      <c r="P1807" s="101">
        <f t="shared" si="280"/>
        <v>0</v>
      </c>
      <c r="Q1807" s="1472">
        <v>40</v>
      </c>
    </row>
    <row r="1808" spans="1:17">
      <c r="A1808" s="1482"/>
      <c r="B1808" s="1482"/>
      <c r="C1808" s="1555">
        <f t="shared" si="282"/>
        <v>3</v>
      </c>
      <c r="D1808" s="1492">
        <f t="shared" si="281"/>
        <v>3</v>
      </c>
      <c r="E1808" s="1492"/>
      <c r="F1808" s="1484" t="s">
        <v>11724</v>
      </c>
      <c r="H1808" s="1095" t="s">
        <v>11722</v>
      </c>
      <c r="I1808" s="780" t="s">
        <v>12823</v>
      </c>
      <c r="J1808" s="834"/>
      <c r="K1808" s="790" t="str">
        <f>(IF(H1808="Saneago",VLOOKUP(I1808,'SANEAGO-FEV.2016'!A:B,2,0),IF(H1808="Sinapi",VLOOKUP(I1808,'SINAPI-FEV.2017'!A:D,2,0),IF(H1808="Cotação",VLOOKUP(I1808,COTAÇÃO!A:D,2,0),IF(H1808="Composição",VLOOKUP(I1808,COMPOSIÇÃO!A:D,2,0))))))</f>
        <v>Arruelas para flanges, PN-10, DN150</v>
      </c>
      <c r="L1808" s="780" t="s">
        <v>1270</v>
      </c>
      <c r="M1808" s="1270">
        <v>8</v>
      </c>
      <c r="N1808" s="399">
        <v>0</v>
      </c>
      <c r="O1808" s="102">
        <f t="shared" si="279"/>
        <v>0</v>
      </c>
      <c r="P1808" s="101">
        <f t="shared" si="280"/>
        <v>0</v>
      </c>
      <c r="Q1808" s="1472">
        <v>8</v>
      </c>
    </row>
    <row r="1809" spans="1:17">
      <c r="A1809" s="1482"/>
      <c r="B1809" s="1482"/>
      <c r="C1809" s="1555">
        <f t="shared" si="282"/>
        <v>3</v>
      </c>
      <c r="D1809" s="1492">
        <f t="shared" si="281"/>
        <v>3</v>
      </c>
      <c r="E1809" s="1492"/>
      <c r="F1809" s="1484" t="s">
        <v>11724</v>
      </c>
      <c r="H1809" s="1095" t="s">
        <v>11722</v>
      </c>
      <c r="I1809" s="780" t="s">
        <v>12905</v>
      </c>
      <c r="J1809" s="834"/>
      <c r="K1809" s="790" t="str">
        <f>(IF(H1809="Saneago",VLOOKUP(I1809,'SANEAGO-FEV.2016'!A:B,2,0),IF(H1809="Sinapi",VLOOKUP(I1809,'SINAPI-FEV.2017'!A:D,2,0),IF(H1809="Cotação",VLOOKUP(I1809,COTAÇÃO!A:D,2,0),IF(H1809="Composição",VLOOKUP(I1809,COMPOSIÇÃO!A:D,2,0))))))</f>
        <v>Parafusos para flanges, DN150 (20x90)</v>
      </c>
      <c r="L1809" s="780" t="s">
        <v>1270</v>
      </c>
      <c r="M1809" s="1270">
        <v>64</v>
      </c>
      <c r="N1809" s="399">
        <v>0</v>
      </c>
      <c r="O1809" s="102">
        <f t="shared" si="279"/>
        <v>0</v>
      </c>
      <c r="P1809" s="101">
        <f t="shared" si="280"/>
        <v>0</v>
      </c>
      <c r="Q1809" s="1472">
        <v>64</v>
      </c>
    </row>
    <row r="1810" spans="1:17" ht="15.75" thickBot="1">
      <c r="A1810" s="1482"/>
      <c r="B1810" s="1482"/>
      <c r="C1810" s="1555">
        <f t="shared" si="282"/>
        <v>3</v>
      </c>
      <c r="D1810" s="1492">
        <f t="shared" si="281"/>
        <v>3</v>
      </c>
      <c r="E1810" s="1492"/>
      <c r="F1810" s="1484" t="s">
        <v>11724</v>
      </c>
      <c r="H1810" s="1095"/>
      <c r="I1810" s="780"/>
      <c r="J1810" s="834"/>
      <c r="K1810" s="780"/>
      <c r="L1810" s="780"/>
      <c r="M1810" s="1270"/>
      <c r="N1810" s="400"/>
      <c r="O1810" s="122"/>
      <c r="P1810" s="123"/>
    </row>
    <row r="1811" spans="1:17" ht="16.5" thickTop="1" thickBot="1">
      <c r="A1811" s="1482"/>
      <c r="B1811" s="1482">
        <v>1</v>
      </c>
      <c r="C1811" s="1555">
        <f t="shared" si="282"/>
        <v>3</v>
      </c>
      <c r="D1811" s="1492">
        <f t="shared" si="281"/>
        <v>4</v>
      </c>
      <c r="E1811" s="1492"/>
      <c r="F1811" s="1484" t="s">
        <v>11724</v>
      </c>
      <c r="G1811" s="921"/>
      <c r="H1811" s="1510" t="str">
        <f>CONCATENATE(C1811,".",D1811)</f>
        <v>3.4</v>
      </c>
      <c r="I1811" s="1573" t="s">
        <v>11929</v>
      </c>
      <c r="J1811" s="1573"/>
      <c r="K1811" s="1573"/>
      <c r="L1811" s="1573" t="s">
        <v>25</v>
      </c>
      <c r="M1811" s="1574" t="s">
        <v>11704</v>
      </c>
      <c r="N1811" s="397" t="s">
        <v>11705</v>
      </c>
      <c r="O1811" s="99" t="s">
        <v>11706</v>
      </c>
      <c r="P1811" s="100">
        <f>SUBTOTAL(9,P1813:P1821)</f>
        <v>0</v>
      </c>
      <c r="Q1811" s="1472" t="s">
        <v>11704</v>
      </c>
    </row>
    <row r="1812" spans="1:17" ht="15.75" thickTop="1">
      <c r="A1812" s="1482"/>
      <c r="B1812" s="1482"/>
      <c r="C1812" s="1555">
        <f t="shared" si="282"/>
        <v>3</v>
      </c>
      <c r="D1812" s="1492">
        <f t="shared" ref="D1812:D1849" si="283">D1811+B1812</f>
        <v>4</v>
      </c>
      <c r="E1812" s="1492"/>
      <c r="F1812" s="1484" t="s">
        <v>11724</v>
      </c>
      <c r="H1812" s="1095"/>
      <c r="I1812" s="780"/>
      <c r="J1812" s="834"/>
      <c r="K1812" s="780"/>
      <c r="L1812" s="780"/>
      <c r="M1812" s="1270"/>
      <c r="N1812" s="400"/>
      <c r="O1812" s="122"/>
      <c r="P1812" s="123"/>
    </row>
    <row r="1813" spans="1:17">
      <c r="A1813" s="1482"/>
      <c r="B1813" s="1482"/>
      <c r="C1813" s="1555">
        <f t="shared" si="282"/>
        <v>3</v>
      </c>
      <c r="D1813" s="1492">
        <f t="shared" si="283"/>
        <v>4</v>
      </c>
      <c r="E1813" s="1492"/>
      <c r="F1813" s="1484" t="s">
        <v>11724</v>
      </c>
      <c r="H1813" s="1095" t="s">
        <v>11722</v>
      </c>
      <c r="I1813" s="780" t="s">
        <v>12855</v>
      </c>
      <c r="J1813" s="834"/>
      <c r="K1813" s="790" t="str">
        <f>(IF(H1813="Saneago",VLOOKUP(I1813,'SANEAGO-FEV.2016'!A:B,2,0),IF(H1813="Sinapi",VLOOKUP(I1813,'SINAPI-FEV.2017'!A:D,2,0),IF(H1813="Cotação",VLOOKUP(I1813,COTAÇÃO!A:D,2,0),IF(H1813="Composição",VLOOKUP(I1813,COMPOSIÇÃO!A:D,2,0))))))</f>
        <v>Curva 90º em FºFº, com bolsas,  JGS, DN600</v>
      </c>
      <c r="L1813" s="780" t="s">
        <v>1270</v>
      </c>
      <c r="M1813" s="1270">
        <v>2</v>
      </c>
      <c r="N1813" s="399">
        <v>0</v>
      </c>
      <c r="O1813" s="102">
        <f t="shared" ref="O1813:O1821" si="284">ROUND(IF(F1813="Serviços",N1813*(1+$O$7),IF(F1813="Materiais",N1813*(1+$O$8))),2)</f>
        <v>0</v>
      </c>
      <c r="P1813" s="101">
        <f t="shared" ref="P1813:P1821" si="285">ROUND(M1813*O1813,2)</f>
        <v>0</v>
      </c>
      <c r="Q1813" s="1472">
        <v>2</v>
      </c>
    </row>
    <row r="1814" spans="1:17" ht="22.5">
      <c r="A1814" s="1482"/>
      <c r="B1814" s="1482"/>
      <c r="C1814" s="1555">
        <f t="shared" si="282"/>
        <v>3</v>
      </c>
      <c r="D1814" s="1492">
        <f t="shared" si="283"/>
        <v>4</v>
      </c>
      <c r="E1814" s="1492"/>
      <c r="F1814" s="1484" t="s">
        <v>11724</v>
      </c>
      <c r="H1814" s="1095" t="s">
        <v>11722</v>
      </c>
      <c r="I1814" s="780" t="s">
        <v>12871</v>
      </c>
      <c r="J1814" s="834"/>
      <c r="K1814" s="790" t="str">
        <f>(IF(H1814="Saneago",VLOOKUP(I1814,'SANEAGO-FEV.2016'!A:B,2,0),IF(H1814="Sinapi",VLOOKUP(I1814,'SINAPI-FEV.2017'!A:D,2,0),IF(H1814="Cotação",VLOOKUP(I1814,COTAÇÃO!A:D,2,0),IF(H1814="Composição",VLOOKUP(I1814,COMPOSIÇÃO!A:D,2,0))))))</f>
        <v>Extremidade em FºFº com ponta e flanges com aba de vedação, PN-10, DN600, L=0,45m</v>
      </c>
      <c r="L1814" s="780" t="s">
        <v>1270</v>
      </c>
      <c r="M1814" s="1270">
        <v>2</v>
      </c>
      <c r="N1814" s="399">
        <v>0</v>
      </c>
      <c r="O1814" s="102">
        <f t="shared" si="284"/>
        <v>0</v>
      </c>
      <c r="P1814" s="101">
        <f t="shared" si="285"/>
        <v>0</v>
      </c>
      <c r="Q1814" s="1472">
        <v>2</v>
      </c>
    </row>
    <row r="1815" spans="1:17" ht="22.5">
      <c r="A1815" s="1482"/>
      <c r="B1815" s="1482"/>
      <c r="C1815" s="1555">
        <f t="shared" si="282"/>
        <v>3</v>
      </c>
      <c r="D1815" s="1492">
        <f t="shared" si="283"/>
        <v>4</v>
      </c>
      <c r="E1815" s="1492"/>
      <c r="F1815" s="1484" t="s">
        <v>11724</v>
      </c>
      <c r="H1815" s="1095" t="s">
        <v>11722</v>
      </c>
      <c r="I1815" s="780" t="s">
        <v>12869</v>
      </c>
      <c r="J1815" s="834"/>
      <c r="K1815" s="790" t="str">
        <f>(IF(H1815="Saneago",VLOOKUP(I1815,'SANEAGO-FEV.2016'!A:B,2,0),IF(H1815="Sinapi",VLOOKUP(I1815,'SINAPI-FEV.2017'!A:D,2,0),IF(H1815="Cotação",VLOOKUP(I1815,COTAÇÃO!A:D,2,0),IF(H1815="Composição",VLOOKUP(I1815,COMPOSIÇÃO!A:D,2,0))))))</f>
        <v>Extremidade em FºFº com ponta e flanges com aba de vedação, PN-10, DN400, L=0,45m</v>
      </c>
      <c r="L1815" s="780" t="s">
        <v>1270</v>
      </c>
      <c r="M1815" s="1270">
        <v>4</v>
      </c>
      <c r="N1815" s="399">
        <v>0</v>
      </c>
      <c r="O1815" s="102">
        <f t="shared" si="284"/>
        <v>0</v>
      </c>
      <c r="P1815" s="101">
        <f t="shared" si="285"/>
        <v>0</v>
      </c>
      <c r="Q1815" s="1472">
        <v>4</v>
      </c>
    </row>
    <row r="1816" spans="1:17">
      <c r="A1816" s="1482"/>
      <c r="B1816" s="1482"/>
      <c r="C1816" s="1555">
        <f t="shared" si="282"/>
        <v>3</v>
      </c>
      <c r="D1816" s="1492">
        <f t="shared" si="283"/>
        <v>4</v>
      </c>
      <c r="E1816" s="1492"/>
      <c r="F1816" s="1484" t="s">
        <v>11724</v>
      </c>
      <c r="H1816" s="1095" t="s">
        <v>11722</v>
      </c>
      <c r="I1816" s="780" t="s">
        <v>13036</v>
      </c>
      <c r="J1816" s="834"/>
      <c r="K1816" s="790" t="str">
        <f>(IF(H1816="Saneago",VLOOKUP(I1816,'SANEAGO-FEV.2016'!A:B,2,0),IF(H1816="Sinapi",VLOOKUP(I1816,'SINAPI-FEV.2017'!A:D,2,0),IF(H1816="Cotação",VLOOKUP(I1816,COTAÇÃO!A:D,2,0),IF(H1816="Composição",VLOOKUP(I1816,COMPOSIÇÃO!A:D,2,0))))))</f>
        <v>Tubo em FºFº com flanges e ponta classe K-9,  PN-10, DN600, L=5,60m</v>
      </c>
      <c r="L1816" s="780" t="s">
        <v>1270</v>
      </c>
      <c r="M1816" s="1270">
        <v>2</v>
      </c>
      <c r="N1816" s="399">
        <v>0</v>
      </c>
      <c r="O1816" s="102">
        <f t="shared" si="284"/>
        <v>0</v>
      </c>
      <c r="P1816" s="101">
        <f t="shared" si="285"/>
        <v>0</v>
      </c>
      <c r="Q1816" s="1472">
        <v>2</v>
      </c>
    </row>
    <row r="1817" spans="1:17">
      <c r="A1817" s="1482"/>
      <c r="B1817" s="1482"/>
      <c r="C1817" s="1555">
        <f t="shared" si="282"/>
        <v>3</v>
      </c>
      <c r="D1817" s="1492">
        <f t="shared" si="283"/>
        <v>4</v>
      </c>
      <c r="E1817" s="1492"/>
      <c r="F1817" s="1484" t="s">
        <v>11724</v>
      </c>
      <c r="H1817" s="1095" t="s">
        <v>11722</v>
      </c>
      <c r="I1817" s="780" t="s">
        <v>13227</v>
      </c>
      <c r="J1817" s="834"/>
      <c r="K1817" s="790" t="str">
        <f>(IF(H1817="Saneago",VLOOKUP(I1817,'SANEAGO-FEV.2016'!A:B,2,0),IF(H1817="Sinapi",VLOOKUP(I1817,'SINAPI-FEV.2017'!A:D,2,0),IF(H1817="Cotação",VLOOKUP(I1817,COTAÇÃO!A:D,2,0),IF(H1817="Composição",VLOOKUP(I1817,COMPOSIÇÃO!A:D,2,0))))))</f>
        <v>Tubo em RPVC conforme norma NBR 15.536-2, DN600</v>
      </c>
      <c r="L1817" s="780" t="s">
        <v>18</v>
      </c>
      <c r="M1817" s="1270">
        <v>10.1</v>
      </c>
      <c r="N1817" s="399">
        <v>0</v>
      </c>
      <c r="O1817" s="102">
        <f t="shared" si="284"/>
        <v>0</v>
      </c>
      <c r="P1817" s="101">
        <f t="shared" si="285"/>
        <v>0</v>
      </c>
      <c r="Q1817" s="1472">
        <v>10.1</v>
      </c>
    </row>
    <row r="1818" spans="1:17">
      <c r="A1818" s="1482"/>
      <c r="B1818" s="1482"/>
      <c r="C1818" s="1555">
        <f t="shared" si="282"/>
        <v>3</v>
      </c>
      <c r="D1818" s="1492">
        <f>D1817+B1818</f>
        <v>4</v>
      </c>
      <c r="E1818" s="1492"/>
      <c r="F1818" s="1484" t="s">
        <v>11724</v>
      </c>
      <c r="H1818" s="1095" t="s">
        <v>11722</v>
      </c>
      <c r="I1818" s="780" t="s">
        <v>12815</v>
      </c>
      <c r="J1818" s="834"/>
      <c r="K1818" s="790" t="str">
        <f>(IF(H1818="Saneago",VLOOKUP(I1818,'SANEAGO-FEV.2016'!A:B,2,0),IF(H1818="Sinapi",VLOOKUP(I1818,'SINAPI-FEV.2017'!A:D,2,0),IF(H1818="Cotação",VLOOKUP(I1818,COTAÇÃO!A:D,2,0),IF(H1818="Composição",VLOOKUP(I1818,COMPOSIÇÃO!A:D,2,0))))))</f>
        <v>Arruelas para flanges, PN-10, DN 400</v>
      </c>
      <c r="L1818" s="780" t="s">
        <v>1270</v>
      </c>
      <c r="M1818" s="1270">
        <v>4</v>
      </c>
      <c r="N1818" s="399">
        <v>0</v>
      </c>
      <c r="O1818" s="102">
        <f t="shared" si="284"/>
        <v>0</v>
      </c>
      <c r="P1818" s="101">
        <f t="shared" si="285"/>
        <v>0</v>
      </c>
      <c r="Q1818" s="1472">
        <v>4</v>
      </c>
    </row>
    <row r="1819" spans="1:17">
      <c r="A1819" s="1482"/>
      <c r="B1819" s="1482"/>
      <c r="C1819" s="1555">
        <f t="shared" si="282"/>
        <v>3</v>
      </c>
      <c r="D1819" s="1492">
        <f t="shared" si="283"/>
        <v>4</v>
      </c>
      <c r="E1819" s="1492"/>
      <c r="F1819" s="1484" t="s">
        <v>11724</v>
      </c>
      <c r="H1819" s="1095" t="s">
        <v>11722</v>
      </c>
      <c r="I1819" s="780" t="s">
        <v>12817</v>
      </c>
      <c r="J1819" s="834"/>
      <c r="K1819" s="790" t="str">
        <f>(IF(H1819="Saneago",VLOOKUP(I1819,'SANEAGO-FEV.2016'!A:B,2,0),IF(H1819="Sinapi",VLOOKUP(I1819,'SINAPI-FEV.2017'!A:D,2,0),IF(H1819="Cotação",VLOOKUP(I1819,COTAÇÃO!A:D,2,0),IF(H1819="Composição",VLOOKUP(I1819,COMPOSIÇÃO!A:D,2,0))))))</f>
        <v>Arruelas para flanges, PN-10, DN 600</v>
      </c>
      <c r="L1819" s="780" t="s">
        <v>1270</v>
      </c>
      <c r="M1819" s="1270">
        <v>2</v>
      </c>
      <c r="N1819" s="399">
        <v>0</v>
      </c>
      <c r="O1819" s="102">
        <f t="shared" si="284"/>
        <v>0</v>
      </c>
      <c r="P1819" s="101">
        <f t="shared" si="285"/>
        <v>0</v>
      </c>
      <c r="Q1819" s="1472">
        <v>2</v>
      </c>
    </row>
    <row r="1820" spans="1:17">
      <c r="A1820" s="1482"/>
      <c r="B1820" s="1482"/>
      <c r="C1820" s="1555">
        <f t="shared" si="282"/>
        <v>3</v>
      </c>
      <c r="D1820" s="1492">
        <f t="shared" si="283"/>
        <v>4</v>
      </c>
      <c r="E1820" s="1492"/>
      <c r="F1820" s="1484" t="s">
        <v>11724</v>
      </c>
      <c r="H1820" s="1095" t="s">
        <v>11722</v>
      </c>
      <c r="I1820" s="780" t="s">
        <v>12907</v>
      </c>
      <c r="J1820" s="834"/>
      <c r="K1820" s="790" t="str">
        <f>(IF(H1820="Saneago",VLOOKUP(I1820,'SANEAGO-FEV.2016'!A:B,2,0),IF(H1820="Sinapi",VLOOKUP(I1820,'SINAPI-FEV.2017'!A:D,2,0),IF(H1820="Cotação",VLOOKUP(I1820,COTAÇÃO!A:D,2,0),IF(H1820="Composição",VLOOKUP(I1820,COMPOSIÇÃO!A:D,2,0))))))</f>
        <v>Parafusos para flanges, PN-10, DN 400 (24x110)</v>
      </c>
      <c r="L1820" s="780" t="s">
        <v>1270</v>
      </c>
      <c r="M1820" s="1270">
        <v>64</v>
      </c>
      <c r="N1820" s="399">
        <v>0</v>
      </c>
      <c r="O1820" s="102">
        <f t="shared" si="284"/>
        <v>0</v>
      </c>
      <c r="P1820" s="101">
        <f t="shared" si="285"/>
        <v>0</v>
      </c>
      <c r="Q1820" s="1472">
        <v>64</v>
      </c>
    </row>
    <row r="1821" spans="1:17">
      <c r="A1821" s="1482"/>
      <c r="B1821" s="1482"/>
      <c r="C1821" s="1555">
        <f t="shared" si="282"/>
        <v>3</v>
      </c>
      <c r="D1821" s="1492">
        <f t="shared" si="283"/>
        <v>4</v>
      </c>
      <c r="E1821" s="1492"/>
      <c r="F1821" s="1484" t="s">
        <v>11724</v>
      </c>
      <c r="H1821" s="1095" t="s">
        <v>11722</v>
      </c>
      <c r="I1821" s="780" t="s">
        <v>12909</v>
      </c>
      <c r="J1821" s="834"/>
      <c r="K1821" s="790" t="str">
        <f>(IF(H1821="Saneago",VLOOKUP(I1821,'SANEAGO-FEV.2016'!A:B,2,0),IF(H1821="Sinapi",VLOOKUP(I1821,'SINAPI-FEV.2017'!A:D,2,0),IF(H1821="Cotação",VLOOKUP(I1821,COTAÇÃO!A:D,2,0),IF(H1821="Composição",VLOOKUP(I1821,COMPOSIÇÃO!A:D,2,0))))))</f>
        <v>Parafusos para flanges, PN-10, DN 600 (27x120)</v>
      </c>
      <c r="L1821" s="780" t="s">
        <v>1270</v>
      </c>
      <c r="M1821" s="1270">
        <v>40</v>
      </c>
      <c r="N1821" s="399">
        <v>0</v>
      </c>
      <c r="O1821" s="102">
        <f t="shared" si="284"/>
        <v>0</v>
      </c>
      <c r="P1821" s="101">
        <f t="shared" si="285"/>
        <v>0</v>
      </c>
      <c r="Q1821" s="1472">
        <v>40</v>
      </c>
    </row>
    <row r="1822" spans="1:17" ht="15.75" thickBot="1">
      <c r="A1822" s="1482"/>
      <c r="B1822" s="1482"/>
      <c r="C1822" s="1555">
        <f t="shared" si="282"/>
        <v>3</v>
      </c>
      <c r="D1822" s="1492">
        <f t="shared" si="283"/>
        <v>4</v>
      </c>
      <c r="E1822" s="1492"/>
      <c r="F1822" s="1484" t="s">
        <v>11724</v>
      </c>
      <c r="H1822" s="1095"/>
      <c r="I1822" s="780"/>
      <c r="J1822" s="834"/>
      <c r="K1822" s="780"/>
      <c r="L1822" s="780"/>
      <c r="M1822" s="1270"/>
      <c r="N1822" s="399"/>
      <c r="O1822" s="102"/>
      <c r="P1822" s="101"/>
    </row>
    <row r="1823" spans="1:17" ht="16.5" thickTop="1" thickBot="1">
      <c r="A1823" s="1482"/>
      <c r="B1823" s="1482">
        <v>1</v>
      </c>
      <c r="C1823" s="1555">
        <f t="shared" si="282"/>
        <v>3</v>
      </c>
      <c r="D1823" s="1492">
        <f>D1822+B1823</f>
        <v>5</v>
      </c>
      <c r="E1823" s="1492"/>
      <c r="F1823" s="1484" t="s">
        <v>11724</v>
      </c>
      <c r="G1823" s="921"/>
      <c r="H1823" s="1510" t="str">
        <f>CONCATENATE(C1823,".",D1823)</f>
        <v>3.5</v>
      </c>
      <c r="I1823" s="1644" t="s">
        <v>13298</v>
      </c>
      <c r="J1823" s="1644"/>
      <c r="K1823" s="1644"/>
      <c r="L1823" s="1573" t="s">
        <v>25</v>
      </c>
      <c r="M1823" s="1574" t="s">
        <v>11704</v>
      </c>
      <c r="N1823" s="397" t="s">
        <v>11705</v>
      </c>
      <c r="O1823" s="99" t="s">
        <v>11706</v>
      </c>
      <c r="P1823" s="100">
        <f>SUBTOTAL(9,P1825:P1830)</f>
        <v>0</v>
      </c>
      <c r="Q1823" s="1472" t="s">
        <v>11704</v>
      </c>
    </row>
    <row r="1824" spans="1:17" ht="15.75" thickTop="1">
      <c r="A1824" s="1482"/>
      <c r="B1824" s="1482"/>
      <c r="C1824" s="1555">
        <f t="shared" si="282"/>
        <v>3</v>
      </c>
      <c r="D1824" s="1492">
        <f t="shared" si="283"/>
        <v>5</v>
      </c>
      <c r="E1824" s="1492"/>
      <c r="F1824" s="1484" t="s">
        <v>11724</v>
      </c>
      <c r="H1824" s="1095"/>
      <c r="I1824" s="780"/>
      <c r="J1824" s="834"/>
      <c r="K1824" s="780"/>
      <c r="L1824" s="780"/>
      <c r="M1824" s="1270"/>
      <c r="N1824" s="400"/>
      <c r="O1824" s="122"/>
      <c r="P1824" s="123"/>
    </row>
    <row r="1825" spans="1:17">
      <c r="A1825" s="1482"/>
      <c r="B1825" s="1482"/>
      <c r="C1825" s="1555">
        <f t="shared" si="282"/>
        <v>3</v>
      </c>
      <c r="D1825" s="1492">
        <f>D1824+B1825</f>
        <v>5</v>
      </c>
      <c r="E1825" s="1492"/>
      <c r="F1825" s="1484" t="s">
        <v>11724</v>
      </c>
      <c r="H1825" s="1095" t="s">
        <v>11722</v>
      </c>
      <c r="I1825" s="780" t="s">
        <v>13299</v>
      </c>
      <c r="J1825" s="834"/>
      <c r="K1825" s="790" t="str">
        <f>(IF(H1825="Saneago",VLOOKUP(I1825,'SANEAGO-FEV.2016'!A:B,2,0),IF(H1825="Sinapi",VLOOKUP(I1825,'SINAPI-FEV.2017'!A:D,2,0),IF(H1825="Cotação",VLOOKUP(I1825,COTAÇÃO!A:D,2,0),IF(H1825="Composição",VLOOKUP(I1825,COMPOSIÇÃO!A:D,2,0))))))</f>
        <v>Flange solto em PEAD, PN-10, DN200</v>
      </c>
      <c r="L1825" s="780" t="s">
        <v>1270</v>
      </c>
      <c r="M1825" s="1270">
        <v>3</v>
      </c>
      <c r="N1825" s="399">
        <v>0</v>
      </c>
      <c r="O1825" s="102">
        <f t="shared" ref="O1825:O1830" si="286">ROUND(IF(F1825="Serviços",N1825*(1+$O$7),IF(F1825="Materiais",N1825*(1+$O$8))),2)</f>
        <v>0</v>
      </c>
      <c r="P1825" s="101">
        <f t="shared" ref="P1825:P1830" si="287">ROUND(M1825*O1825,2)</f>
        <v>0</v>
      </c>
      <c r="Q1825" s="1472">
        <v>3</v>
      </c>
    </row>
    <row r="1826" spans="1:17">
      <c r="A1826" s="1482"/>
      <c r="B1826" s="1482"/>
      <c r="C1826" s="1555">
        <f t="shared" si="282"/>
        <v>3</v>
      </c>
      <c r="D1826" s="1492">
        <f t="shared" si="283"/>
        <v>5</v>
      </c>
      <c r="E1826" s="1492"/>
      <c r="F1826" s="1484" t="s">
        <v>11724</v>
      </c>
      <c r="H1826" s="1095" t="s">
        <v>11722</v>
      </c>
      <c r="I1826" s="780" t="s">
        <v>13300</v>
      </c>
      <c r="J1826" s="834"/>
      <c r="K1826" s="790" t="str">
        <f>(IF(H1826="Saneago",VLOOKUP(I1826,'SANEAGO-FEV.2016'!A:B,2,0),IF(H1826="Sinapi",VLOOKUP(I1826,'SINAPI-FEV.2017'!A:D,2,0),IF(H1826="Cotação",VLOOKUP(I1826,COTAÇÃO!A:D,2,0),IF(H1826="Composição",VLOOKUP(I1826,COMPOSIÇÃO!A:D,2,0))))))</f>
        <v>Colarinho em PEAD, PN-10, DN200</v>
      </c>
      <c r="L1826" s="780" t="s">
        <v>1270</v>
      </c>
      <c r="M1826" s="1270">
        <v>3</v>
      </c>
      <c r="N1826" s="399">
        <v>0</v>
      </c>
      <c r="O1826" s="102">
        <f t="shared" si="286"/>
        <v>0</v>
      </c>
      <c r="P1826" s="101">
        <f t="shared" si="287"/>
        <v>0</v>
      </c>
      <c r="Q1826" s="1472">
        <v>3</v>
      </c>
    </row>
    <row r="1827" spans="1:17">
      <c r="A1827" s="1482"/>
      <c r="B1827" s="1482"/>
      <c r="C1827" s="1555">
        <f t="shared" si="282"/>
        <v>3</v>
      </c>
      <c r="D1827" s="1492">
        <f t="shared" si="283"/>
        <v>5</v>
      </c>
      <c r="E1827" s="1492"/>
      <c r="F1827" s="1484" t="s">
        <v>11724</v>
      </c>
      <c r="H1827" s="1095" t="s">
        <v>11722</v>
      </c>
      <c r="I1827" s="780" t="s">
        <v>13024</v>
      </c>
      <c r="J1827" s="834"/>
      <c r="K1827" s="790" t="str">
        <f>(IF(H1827="Saneago",VLOOKUP(I1827,'SANEAGO-FEV.2016'!A:B,2,0),IF(H1827="Sinapi",VLOOKUP(I1827,'SINAPI-FEV.2017'!A:D,2,0),IF(H1827="Cotação",VLOOKUP(I1827,COTAÇÃO!A:D,2,0),IF(H1827="Composição",VLOOKUP(I1827,COMPOSIÇÃO!A:D,2,0))))))</f>
        <v>Tubo em FºFº com flanges e ponta classe K-9,  PN-10, DN200, L=0,40m</v>
      </c>
      <c r="L1827" s="780" t="s">
        <v>1270</v>
      </c>
      <c r="M1827" s="1270">
        <v>3</v>
      </c>
      <c r="N1827" s="399">
        <v>0</v>
      </c>
      <c r="O1827" s="102">
        <f t="shared" si="286"/>
        <v>0</v>
      </c>
      <c r="P1827" s="101">
        <f t="shared" si="287"/>
        <v>0</v>
      </c>
      <c r="Q1827" s="1472">
        <v>3</v>
      </c>
    </row>
    <row r="1828" spans="1:17" ht="22.5">
      <c r="A1828" s="1482"/>
      <c r="B1828" s="1482"/>
      <c r="C1828" s="1555">
        <f t="shared" si="282"/>
        <v>3</v>
      </c>
      <c r="D1828" s="1492">
        <f t="shared" si="283"/>
        <v>5</v>
      </c>
      <c r="E1828" s="1492"/>
      <c r="F1828" s="1484" t="s">
        <v>11724</v>
      </c>
      <c r="H1828" s="1095" t="s">
        <v>70</v>
      </c>
      <c r="I1828" s="780">
        <v>25880</v>
      </c>
      <c r="J1828" s="834"/>
      <c r="K1828" s="790" t="str">
        <f>(IF(H1828="Saneago",VLOOKUP(I1828,'SANEAGO-FEV.2016'!A:B,2,0),IF(H1828="Sinapi",VLOOKUP(I1828,'SINAPI-FEV.2017'!A:D,2,0),IF(H1828="Cotação",VLOOKUP(I1828,COTAÇÃO!A:D,2,0),IF(H1828="Composição",VLOOKUP(I1828,COMPOSIÇÃO!A:D,2,0))))))</f>
        <v>TUBO DE POLIETILENO DE ALTA DENSIDADE, PEAD, PE-80, DE= 200 MM X 18,2 MM PAREDE, ( SDR 11 - PN 12,5 ) PARA REDE DE AGUA OU ESGOTO (NBR 15561)</v>
      </c>
      <c r="L1828" s="780" t="s">
        <v>18</v>
      </c>
      <c r="M1828" s="1270">
        <v>22</v>
      </c>
      <c r="N1828" s="399">
        <v>0</v>
      </c>
      <c r="O1828" s="102">
        <f t="shared" si="286"/>
        <v>0</v>
      </c>
      <c r="P1828" s="101">
        <f t="shared" si="287"/>
        <v>0</v>
      </c>
      <c r="Q1828" s="1472">
        <v>22</v>
      </c>
    </row>
    <row r="1829" spans="1:17">
      <c r="A1829" s="1482"/>
      <c r="B1829" s="1482"/>
      <c r="C1829" s="1555">
        <f t="shared" si="282"/>
        <v>3</v>
      </c>
      <c r="D1829" s="1492">
        <f t="shared" si="283"/>
        <v>5</v>
      </c>
      <c r="E1829" s="1492"/>
      <c r="F1829" s="1484" t="s">
        <v>11724</v>
      </c>
      <c r="H1829" s="1095" t="s">
        <v>11722</v>
      </c>
      <c r="I1829" s="780" t="s">
        <v>12813</v>
      </c>
      <c r="J1829" s="834"/>
      <c r="K1829" s="790" t="str">
        <f>(IF(H1829="Saneago",VLOOKUP(I1829,'SANEAGO-FEV.2016'!A:B,2,0),IF(H1829="Sinapi",VLOOKUP(I1829,'SINAPI-FEV.2017'!A:D,2,0),IF(H1829="Cotação",VLOOKUP(I1829,COTAÇÃO!A:D,2,0),IF(H1829="Composição",VLOOKUP(I1829,COMPOSIÇÃO!A:D,2,0))))))</f>
        <v>Arruela para flanges, PN-10, DN200</v>
      </c>
      <c r="L1829" s="780" t="s">
        <v>1270</v>
      </c>
      <c r="M1829" s="1270">
        <v>3</v>
      </c>
      <c r="N1829" s="399">
        <v>0</v>
      </c>
      <c r="O1829" s="102">
        <f t="shared" si="286"/>
        <v>0</v>
      </c>
      <c r="P1829" s="101">
        <f t="shared" si="287"/>
        <v>0</v>
      </c>
      <c r="Q1829" s="1472">
        <v>3</v>
      </c>
    </row>
    <row r="1830" spans="1:17">
      <c r="A1830" s="1482"/>
      <c r="B1830" s="1482"/>
      <c r="C1830" s="1555">
        <f t="shared" si="282"/>
        <v>3</v>
      </c>
      <c r="D1830" s="1492">
        <f t="shared" si="283"/>
        <v>5</v>
      </c>
      <c r="E1830" s="1492"/>
      <c r="F1830" s="1484" t="s">
        <v>11724</v>
      </c>
      <c r="H1830" s="1095" t="s">
        <v>11722</v>
      </c>
      <c r="I1830" s="780" t="s">
        <v>12919</v>
      </c>
      <c r="J1830" s="834"/>
      <c r="K1830" s="790" t="str">
        <f>(IF(H1830="Saneago",VLOOKUP(I1830,'SANEAGO-FEV.2016'!A:B,2,0),IF(H1830="Sinapi",VLOOKUP(I1830,'SINAPI-FEV.2017'!A:D,2,0),IF(H1830="Cotação",VLOOKUP(I1830,COTAÇÃO!A:D,2,0),IF(H1830="Composição",VLOOKUP(I1830,COMPOSIÇÃO!A:D,2,0))))))</f>
        <v>Parafusos para flanges, PN-10, DN200 (20 x 90)</v>
      </c>
      <c r="L1830" s="780" t="s">
        <v>18</v>
      </c>
      <c r="M1830" s="1270">
        <v>24</v>
      </c>
      <c r="N1830" s="399">
        <v>0</v>
      </c>
      <c r="O1830" s="102">
        <f t="shared" si="286"/>
        <v>0</v>
      </c>
      <c r="P1830" s="101">
        <f t="shared" si="287"/>
        <v>0</v>
      </c>
      <c r="Q1830" s="1472">
        <v>24</v>
      </c>
    </row>
    <row r="1831" spans="1:17" ht="15.75" thickBot="1">
      <c r="A1831" s="1482"/>
      <c r="B1831" s="1482"/>
      <c r="C1831" s="1555">
        <f t="shared" si="282"/>
        <v>3</v>
      </c>
      <c r="D1831" s="1492">
        <f t="shared" si="283"/>
        <v>5</v>
      </c>
      <c r="E1831" s="1492"/>
      <c r="F1831" s="1484" t="s">
        <v>11724</v>
      </c>
      <c r="H1831" s="1095"/>
      <c r="I1831" s="780"/>
      <c r="J1831" s="834"/>
      <c r="K1831" s="780"/>
      <c r="L1831" s="780"/>
      <c r="M1831" s="1270"/>
      <c r="N1831" s="399"/>
      <c r="O1831" s="102"/>
      <c r="P1831" s="101"/>
    </row>
    <row r="1832" spans="1:17" ht="16.5" thickTop="1" thickBot="1">
      <c r="A1832" s="1482"/>
      <c r="B1832" s="1482">
        <v>1</v>
      </c>
      <c r="C1832" s="1555">
        <f t="shared" si="282"/>
        <v>3</v>
      </c>
      <c r="D1832" s="1492">
        <f>D1831+B1832</f>
        <v>6</v>
      </c>
      <c r="E1832" s="1492"/>
      <c r="F1832" s="1484" t="s">
        <v>11724</v>
      </c>
      <c r="G1832" s="921"/>
      <c r="H1832" s="1510" t="str">
        <f>CONCATENATE(C1832,".",D1832)</f>
        <v>3.6</v>
      </c>
      <c r="I1832" s="1644" t="s">
        <v>13303</v>
      </c>
      <c r="J1832" s="1644"/>
      <c r="K1832" s="1644"/>
      <c r="L1832" s="1573" t="s">
        <v>25</v>
      </c>
      <c r="M1832" s="1574" t="s">
        <v>11704</v>
      </c>
      <c r="N1832" s="397" t="s">
        <v>11705</v>
      </c>
      <c r="O1832" s="99" t="s">
        <v>11706</v>
      </c>
      <c r="P1832" s="100">
        <f>SUBTOTAL(9,P1834:P1849)</f>
        <v>0</v>
      </c>
      <c r="Q1832" s="1472" t="s">
        <v>11704</v>
      </c>
    </row>
    <row r="1833" spans="1:17" ht="15.75" thickTop="1">
      <c r="A1833" s="1482"/>
      <c r="B1833" s="1482"/>
      <c r="C1833" s="1555">
        <f t="shared" si="282"/>
        <v>3</v>
      </c>
      <c r="D1833" s="1492">
        <f>D1832+B1833</f>
        <v>6</v>
      </c>
      <c r="E1833" s="1492"/>
      <c r="F1833" s="1484" t="s">
        <v>11724</v>
      </c>
      <c r="H1833" s="1095"/>
      <c r="I1833" s="780"/>
      <c r="J1833" s="834"/>
      <c r="K1833" s="780"/>
      <c r="L1833" s="780"/>
      <c r="M1833" s="1270"/>
      <c r="N1833" s="400"/>
      <c r="O1833" s="122"/>
      <c r="P1833" s="123"/>
    </row>
    <row r="1834" spans="1:17">
      <c r="A1834" s="1482"/>
      <c r="B1834" s="1482"/>
      <c r="C1834" s="1555">
        <f t="shared" si="282"/>
        <v>3</v>
      </c>
      <c r="D1834" s="1492">
        <f>D1833+B1834</f>
        <v>6</v>
      </c>
      <c r="E1834" s="1492"/>
      <c r="F1834" s="1484" t="s">
        <v>11724</v>
      </c>
      <c r="H1834" s="1095" t="s">
        <v>11722</v>
      </c>
      <c r="I1834" s="780" t="s">
        <v>12788</v>
      </c>
      <c r="J1834" s="834"/>
      <c r="K1834" s="790" t="str">
        <f>(IF(H1834="Saneago",VLOOKUP(I1834,'SANEAGO-FEV.2016'!A:B,2,0),IF(H1834="Sinapi",VLOOKUP(I1834,'SINAPI-FEV.2017'!A:D,2,0),IF(H1834="Cotação",VLOOKUP(I1834,COTAÇÃO!A:D,2,0),IF(H1834="Composição",VLOOKUP(I1834,COMPOSIÇÃO!A:D,2,0))))))</f>
        <v>Curva 45° com pontas para solda em aço inox, AISI 304, classe 3000 libras, DN3"</v>
      </c>
      <c r="L1834" s="780" t="s">
        <v>1270</v>
      </c>
      <c r="M1834" s="1270">
        <v>1</v>
      </c>
      <c r="N1834" s="399">
        <v>0</v>
      </c>
      <c r="O1834" s="102">
        <f>ROUND(IF(F1834="Serviços",N1834*(1+$O$7),IF(F1834="Materiais",N1834*(1+$O$8))),2)</f>
        <v>0</v>
      </c>
      <c r="P1834" s="101">
        <f>ROUND(M1834*O1834,2)</f>
        <v>0</v>
      </c>
      <c r="Q1834" s="1472">
        <v>1</v>
      </c>
    </row>
    <row r="1835" spans="1:17" ht="22.5">
      <c r="A1835" s="1482"/>
      <c r="B1835" s="1482"/>
      <c r="C1835" s="1555">
        <f t="shared" si="282"/>
        <v>3</v>
      </c>
      <c r="D1835" s="1492">
        <f t="shared" si="283"/>
        <v>6</v>
      </c>
      <c r="E1835" s="1492"/>
      <c r="F1835" s="1484" t="s">
        <v>11724</v>
      </c>
      <c r="H1835" s="1095" t="s">
        <v>11722</v>
      </c>
      <c r="I1835" s="780" t="s">
        <v>12807</v>
      </c>
      <c r="J1835" s="834"/>
      <c r="K1835" s="790" t="str">
        <f>(IF(H1835="Saneago",VLOOKUP(I1835,'SANEAGO-FEV.2016'!A:B,2,0),IF(H1835="Sinapi",VLOOKUP(I1835,'SINAPI-FEV.2017'!A:D,2,0),IF(H1835="Cotação",VLOOKUP(I1835,COTAÇÃO!A:D,2,0),IF(H1835="Composição",VLOOKUP(I1835,COMPOSIÇÃO!A:D,2,0))))))</f>
        <v>Curva 90° em  aço inox, AISI 304, classe 3000 libras, raio longo com pontas para solda, DN3"</v>
      </c>
      <c r="L1835" s="780" t="s">
        <v>1270</v>
      </c>
      <c r="M1835" s="1270">
        <v>14</v>
      </c>
      <c r="N1835" s="399">
        <v>0</v>
      </c>
      <c r="O1835" s="102">
        <f t="shared" ref="O1835:O1845" si="288">ROUND(IF(F1835="Serviços",N1835*(1+$O$7),IF(F1835="Materiais",N1835*(1+$O$8))),2)</f>
        <v>0</v>
      </c>
      <c r="P1835" s="101">
        <f t="shared" ref="P1835:P1845" si="289">ROUND(M1835*O1835,2)</f>
        <v>0</v>
      </c>
      <c r="Q1835" s="1472">
        <v>14</v>
      </c>
    </row>
    <row r="1836" spans="1:17">
      <c r="A1836" s="1482"/>
      <c r="B1836" s="1482"/>
      <c r="C1836" s="1555">
        <f t="shared" si="282"/>
        <v>3</v>
      </c>
      <c r="D1836" s="1492">
        <f>D1835+B1836</f>
        <v>6</v>
      </c>
      <c r="E1836" s="1492"/>
      <c r="F1836" s="1484" t="s">
        <v>11724</v>
      </c>
      <c r="H1836" s="1095" t="s">
        <v>11722</v>
      </c>
      <c r="I1836" s="780" t="s">
        <v>13307</v>
      </c>
      <c r="J1836" s="834"/>
      <c r="K1836" s="790" t="str">
        <f>(IF(H1836="Saneago",VLOOKUP(I1836,'SANEAGO-FEV.2016'!A:B,2,0),IF(H1836="Sinapi",VLOOKUP(I1836,'SINAPI-FEV.2017'!A:D,2,0),IF(H1836="Cotação",VLOOKUP(I1836,COTAÇÃO!A:D,2,0),IF(H1836="Composição",VLOOKUP(I1836,COMPOSIÇÃO!A:D,2,0))))))</f>
        <v>Suporte de apoio</v>
      </c>
      <c r="L1836" s="780" t="s">
        <v>11723</v>
      </c>
      <c r="M1836" s="1270">
        <v>20</v>
      </c>
      <c r="N1836" s="399">
        <v>0</v>
      </c>
      <c r="O1836" s="102">
        <f t="shared" si="288"/>
        <v>0</v>
      </c>
      <c r="P1836" s="101">
        <f t="shared" si="289"/>
        <v>0</v>
      </c>
      <c r="Q1836" s="1472">
        <v>20</v>
      </c>
    </row>
    <row r="1837" spans="1:17">
      <c r="A1837" s="1482"/>
      <c r="B1837" s="1482"/>
      <c r="C1837" s="1555">
        <f t="shared" si="282"/>
        <v>3</v>
      </c>
      <c r="D1837" s="1492">
        <f t="shared" si="283"/>
        <v>6</v>
      </c>
      <c r="E1837" s="1492"/>
      <c r="F1837" s="1484" t="s">
        <v>11724</v>
      </c>
      <c r="H1837" s="1095" t="s">
        <v>11722</v>
      </c>
      <c r="I1837" s="780" t="s">
        <v>12794</v>
      </c>
      <c r="J1837" s="834"/>
      <c r="K1837" s="790" t="str">
        <f>(IF(H1837="Saneago",VLOOKUP(I1837,'SANEAGO-FEV.2016'!A:B,2,0),IF(H1837="Sinapi",VLOOKUP(I1837,'SINAPI-FEV.2017'!A:D,2,0),IF(H1837="Cotação",VLOOKUP(I1837,COTAÇÃO!A:D,2,0),IF(H1837="Composição",VLOOKUP(I1837,COMPOSIÇÃO!A:D,2,0))))))</f>
        <v>Tê com pontas para solda em aço inox, AISI 304, classe 3000 libras, DN2 1/2"</v>
      </c>
      <c r="L1837" s="780" t="s">
        <v>1270</v>
      </c>
      <c r="M1837" s="1270">
        <v>1</v>
      </c>
      <c r="N1837" s="399">
        <v>0</v>
      </c>
      <c r="O1837" s="102">
        <f t="shared" si="288"/>
        <v>0</v>
      </c>
      <c r="P1837" s="101">
        <f t="shared" si="289"/>
        <v>0</v>
      </c>
      <c r="Q1837" s="1472">
        <v>1</v>
      </c>
    </row>
    <row r="1838" spans="1:17">
      <c r="A1838" s="1482"/>
      <c r="B1838" s="1482"/>
      <c r="C1838" s="1555">
        <f t="shared" si="282"/>
        <v>3</v>
      </c>
      <c r="D1838" s="1492">
        <f t="shared" si="283"/>
        <v>6</v>
      </c>
      <c r="E1838" s="1492"/>
      <c r="F1838" s="1484" t="s">
        <v>11724</v>
      </c>
      <c r="H1838" s="1095" t="s">
        <v>11722</v>
      </c>
      <c r="I1838" s="780" t="s">
        <v>12784</v>
      </c>
      <c r="J1838" s="834"/>
      <c r="K1838" s="790" t="str">
        <f>(IF(H1838="Saneago",VLOOKUP(I1838,'SANEAGO-FEV.2016'!A:B,2,0),IF(H1838="Sinapi",VLOOKUP(I1838,'SINAPI-FEV.2017'!A:D,2,0),IF(H1838="Cotação",VLOOKUP(I1838,COTAÇÃO!A:D,2,0),IF(H1838="Composição",VLOOKUP(I1838,COMPOSIÇÃO!A:D,2,0))))))</f>
        <v>Tê com pontas para solda em aço inox, AISI 304, classe 3000 libras, DN3"</v>
      </c>
      <c r="L1838" s="780" t="s">
        <v>1270</v>
      </c>
      <c r="M1838" s="1270">
        <v>13</v>
      </c>
      <c r="N1838" s="399">
        <v>0</v>
      </c>
      <c r="O1838" s="102">
        <f t="shared" si="288"/>
        <v>0</v>
      </c>
      <c r="P1838" s="101">
        <f t="shared" si="289"/>
        <v>0</v>
      </c>
      <c r="Q1838" s="1472">
        <v>13</v>
      </c>
    </row>
    <row r="1839" spans="1:17">
      <c r="A1839" s="1482"/>
      <c r="B1839" s="1482"/>
      <c r="C1839" s="1555">
        <f t="shared" si="282"/>
        <v>3</v>
      </c>
      <c r="D1839" s="1492">
        <f>D1838+B1839</f>
        <v>6</v>
      </c>
      <c r="E1839" s="1492"/>
      <c r="F1839" s="1484" t="s">
        <v>11724</v>
      </c>
      <c r="H1839" s="1095" t="s">
        <v>11722</v>
      </c>
      <c r="I1839" s="780" t="s">
        <v>12790</v>
      </c>
      <c r="J1839" s="834"/>
      <c r="K1839" s="790" t="str">
        <f>(IF(H1839="Saneago",VLOOKUP(I1839,'SANEAGO-FEV.2016'!A:B,2,0),IF(H1839="Sinapi",VLOOKUP(I1839,'SINAPI-FEV.2017'!A:D,2,0),IF(H1839="Cotação",VLOOKUP(I1839,COTAÇÃO!A:D,2,0),IF(H1839="Composição",VLOOKUP(I1839,COMPOSIÇÃO!A:D,2,0))))))</f>
        <v>Tubo com pontas para solda em aço inox, AISI 304, classe 3000 libras , DN3"</v>
      </c>
      <c r="L1839" s="780" t="s">
        <v>18</v>
      </c>
      <c r="M1839" s="1270">
        <v>61</v>
      </c>
      <c r="N1839" s="399">
        <v>0</v>
      </c>
      <c r="O1839" s="102">
        <f t="shared" si="288"/>
        <v>0</v>
      </c>
      <c r="P1839" s="101">
        <f t="shared" si="289"/>
        <v>0</v>
      </c>
      <c r="Q1839" s="1472">
        <v>61</v>
      </c>
    </row>
    <row r="1840" spans="1:17">
      <c r="A1840" s="1482"/>
      <c r="B1840" s="1482"/>
      <c r="C1840" s="1555">
        <f t="shared" si="282"/>
        <v>3</v>
      </c>
      <c r="D1840" s="1492">
        <f t="shared" si="283"/>
        <v>6</v>
      </c>
      <c r="E1840" s="1492"/>
      <c r="F1840" s="1484" t="s">
        <v>11724</v>
      </c>
      <c r="H1840" s="1095" t="s">
        <v>11722</v>
      </c>
      <c r="I1840" s="780" t="s">
        <v>12798</v>
      </c>
      <c r="J1840" s="834"/>
      <c r="K1840" s="790" t="str">
        <f>(IF(H1840="Saneago",VLOOKUP(I1840,'SANEAGO-FEV.2016'!A:B,2,0),IF(H1840="Sinapi",VLOOKUP(I1840,'SINAPI-FEV.2017'!A:D,2,0),IF(H1840="Cotação",VLOOKUP(I1840,COTAÇÃO!A:D,2,0),IF(H1840="Composição",VLOOKUP(I1840,COMPOSIÇÃO!A:D,2,0))))))</f>
        <v>Tubo com pontas para solda em aço inox, AISI 304, classe 3000 libras, DN2 1/2"</v>
      </c>
      <c r="L1840" s="780" t="s">
        <v>18</v>
      </c>
      <c r="M1840" s="1270">
        <v>1</v>
      </c>
      <c r="N1840" s="399">
        <v>0</v>
      </c>
      <c r="O1840" s="102">
        <f t="shared" si="288"/>
        <v>0</v>
      </c>
      <c r="P1840" s="101">
        <f t="shared" si="289"/>
        <v>0</v>
      </c>
      <c r="Q1840" s="1472">
        <v>1</v>
      </c>
    </row>
    <row r="1841" spans="1:17">
      <c r="A1841" s="1482"/>
      <c r="B1841" s="1482"/>
      <c r="C1841" s="1555">
        <f t="shared" si="282"/>
        <v>3</v>
      </c>
      <c r="D1841" s="1492">
        <f t="shared" si="283"/>
        <v>6</v>
      </c>
      <c r="E1841" s="1492"/>
      <c r="F1841" s="1484" t="s">
        <v>11724</v>
      </c>
      <c r="H1841" s="1095" t="s">
        <v>11722</v>
      </c>
      <c r="I1841" s="780" t="s">
        <v>12803</v>
      </c>
      <c r="J1841" s="834"/>
      <c r="K1841" s="790" t="str">
        <f>(IF(H1841="Saneago",VLOOKUP(I1841,'SANEAGO-FEV.2016'!A:B,2,0),IF(H1841="Sinapi",VLOOKUP(I1841,'SINAPI-FEV.2017'!A:D,2,0),IF(H1841="Cotação",VLOOKUP(I1841,COTAÇÃO!A:D,2,0),IF(H1841="Composição",VLOOKUP(I1841,COMPOSIÇÃO!A:D,2,0))))))</f>
        <v>Tubo com pontas para solda em aço inox, AISI 304, classe 3000 libras, DN3"</v>
      </c>
      <c r="L1841" s="780" t="s">
        <v>18</v>
      </c>
      <c r="M1841" s="1270">
        <v>27</v>
      </c>
      <c r="N1841" s="399">
        <v>0</v>
      </c>
      <c r="O1841" s="102">
        <f t="shared" si="288"/>
        <v>0</v>
      </c>
      <c r="P1841" s="101">
        <f t="shared" si="289"/>
        <v>0</v>
      </c>
      <c r="Q1841" s="1472">
        <v>27</v>
      </c>
    </row>
    <row r="1842" spans="1:17" ht="22.5">
      <c r="A1842" s="1482"/>
      <c r="B1842" s="1482"/>
      <c r="C1842" s="1555">
        <f t="shared" si="282"/>
        <v>3</v>
      </c>
      <c r="D1842" s="1492">
        <f t="shared" si="283"/>
        <v>6</v>
      </c>
      <c r="E1842" s="1492"/>
      <c r="F1842" s="1484" t="s">
        <v>11724</v>
      </c>
      <c r="H1842" s="1095" t="s">
        <v>70</v>
      </c>
      <c r="I1842" s="780">
        <v>7727</v>
      </c>
      <c r="J1842" s="834"/>
      <c r="K1842" s="790" t="str">
        <f>(IF(H1842="Saneago",VLOOKUP(I1842,'SANEAGO-FEV.2016'!A:B,2,0),IF(H1842="Sinapi",VLOOKUP(I1842,'SINAPI-FEV.2017'!A:D,2,0),IF(H1842="Cotação",VLOOKUP(I1842,COTAÇÃO!A:D,2,0),IF(H1842="Composição",VLOOKUP(I1842,COMPOSIÇÃO!A:D,2,0))))))</f>
        <v>TUBO CONCRETO ARMADO, CLASSE PA-2, PB, DN 2000 MM, PARA AGUAS PLUVIAIS (NBR 8890)</v>
      </c>
      <c r="L1842" s="780" t="s">
        <v>18</v>
      </c>
      <c r="M1842" s="1270">
        <v>2</v>
      </c>
      <c r="N1842" s="399">
        <v>0</v>
      </c>
      <c r="O1842" s="102">
        <f t="shared" si="288"/>
        <v>0</v>
      </c>
      <c r="P1842" s="101">
        <f t="shared" si="289"/>
        <v>0</v>
      </c>
      <c r="Q1842" s="1472">
        <v>2</v>
      </c>
    </row>
    <row r="1843" spans="1:17">
      <c r="A1843" s="1482"/>
      <c r="B1843" s="1482"/>
      <c r="C1843" s="1555">
        <f t="shared" si="282"/>
        <v>3</v>
      </c>
      <c r="D1843" s="1492">
        <f t="shared" si="283"/>
        <v>6</v>
      </c>
      <c r="E1843" s="1492"/>
      <c r="F1843" s="1484" t="s">
        <v>11724</v>
      </c>
      <c r="H1843" s="1095" t="s">
        <v>11722</v>
      </c>
      <c r="I1843" s="780" t="s">
        <v>12805</v>
      </c>
      <c r="J1843" s="834"/>
      <c r="K1843" s="790" t="str">
        <f>(IF(H1843="Saneago",VLOOKUP(I1843,'SANEAGO-FEV.2016'!A:B,2,0),IF(H1843="Sinapi",VLOOKUP(I1843,'SINAPI-FEV.2017'!A:D,2,0),IF(H1843="Cotação",VLOOKUP(I1843,COTAÇÃO!A:D,2,0),IF(H1843="Composição",VLOOKUP(I1843,COMPOSIÇÃO!A:D,2,0))))))</f>
        <v>Tubo ponta e flange em aço inox, AISI 304, classe 3000 libras, DN3", L=0,10</v>
      </c>
      <c r="L1843" s="780" t="s">
        <v>1270</v>
      </c>
      <c r="M1843" s="1270">
        <v>7</v>
      </c>
      <c r="N1843" s="399">
        <v>0</v>
      </c>
      <c r="O1843" s="102">
        <f t="shared" si="288"/>
        <v>0</v>
      </c>
      <c r="P1843" s="101">
        <f t="shared" si="289"/>
        <v>0</v>
      </c>
      <c r="Q1843" s="1472">
        <v>7</v>
      </c>
    </row>
    <row r="1844" spans="1:17">
      <c r="A1844" s="1482"/>
      <c r="B1844" s="1482"/>
      <c r="C1844" s="1555">
        <f t="shared" si="282"/>
        <v>3</v>
      </c>
      <c r="D1844" s="1492">
        <f t="shared" si="283"/>
        <v>6</v>
      </c>
      <c r="E1844" s="1492"/>
      <c r="F1844" s="1484" t="s">
        <v>11724</v>
      </c>
      <c r="H1844" s="1095" t="s">
        <v>11722</v>
      </c>
      <c r="I1844" s="780" t="s">
        <v>12796</v>
      </c>
      <c r="J1844" s="834"/>
      <c r="K1844" s="790" t="str">
        <f>(IF(H1844="Saneago",VLOOKUP(I1844,'SANEAGO-FEV.2016'!A:B,2,0),IF(H1844="Sinapi",VLOOKUP(I1844,'SINAPI-FEV.2017'!A:D,2,0),IF(H1844="Cotação",VLOOKUP(I1844,COTAÇÃO!A:D,2,0),IF(H1844="Composição",VLOOKUP(I1844,COMPOSIÇÃO!A:D,2,0))))))</f>
        <v>União soldável em aço inox, AISI 304, classe 3000 libras, DN2 1/2"</v>
      </c>
      <c r="L1844" s="780" t="s">
        <v>10854</v>
      </c>
      <c r="M1844" s="1270">
        <v>1</v>
      </c>
      <c r="N1844" s="399">
        <v>0</v>
      </c>
      <c r="O1844" s="102">
        <f t="shared" si="288"/>
        <v>0</v>
      </c>
      <c r="P1844" s="101">
        <f t="shared" si="289"/>
        <v>0</v>
      </c>
      <c r="Q1844" s="1472">
        <v>1</v>
      </c>
    </row>
    <row r="1845" spans="1:17">
      <c r="A1845" s="1482"/>
      <c r="B1845" s="1482"/>
      <c r="C1845" s="1555">
        <f t="shared" si="282"/>
        <v>3</v>
      </c>
      <c r="D1845" s="1492">
        <f t="shared" si="283"/>
        <v>6</v>
      </c>
      <c r="E1845" s="1492"/>
      <c r="F1845" s="1484" t="s">
        <v>11724</v>
      </c>
      <c r="H1845" s="1095" t="s">
        <v>11722</v>
      </c>
      <c r="I1845" s="780" t="s">
        <v>12786</v>
      </c>
      <c r="J1845" s="834"/>
      <c r="K1845" s="790" t="str">
        <f>(IF(H1845="Saneago",VLOOKUP(I1845,'SANEAGO-FEV.2016'!A:B,2,0),IF(H1845="Sinapi",VLOOKUP(I1845,'SINAPI-FEV.2017'!A:D,2,0),IF(H1845="Cotação",VLOOKUP(I1845,COTAÇÃO!A:D,2,0),IF(H1845="Composição",VLOOKUP(I1845,COMPOSIÇÃO!A:D,2,0))))))</f>
        <v>União soldável em aço inox, AISI 304, classe 3000 libras, DN3"</v>
      </c>
      <c r="L1845" s="780" t="s">
        <v>1270</v>
      </c>
      <c r="M1845" s="1270">
        <v>8</v>
      </c>
      <c r="N1845" s="399">
        <v>0</v>
      </c>
      <c r="O1845" s="102">
        <f t="shared" si="288"/>
        <v>0</v>
      </c>
      <c r="P1845" s="101">
        <f t="shared" si="289"/>
        <v>0</v>
      </c>
      <c r="Q1845" s="1472">
        <v>8</v>
      </c>
    </row>
    <row r="1846" spans="1:17">
      <c r="A1846" s="1482"/>
      <c r="B1846" s="1482"/>
      <c r="C1846" s="1555">
        <f t="shared" si="282"/>
        <v>3</v>
      </c>
      <c r="D1846" s="1492">
        <f t="shared" si="283"/>
        <v>6</v>
      </c>
      <c r="E1846" s="1492"/>
      <c r="F1846" s="1484" t="s">
        <v>11724</v>
      </c>
      <c r="H1846" s="1095" t="s">
        <v>11722</v>
      </c>
      <c r="I1846" s="780" t="s">
        <v>13305</v>
      </c>
      <c r="J1846" s="834"/>
      <c r="K1846" s="790" t="str">
        <f>(IF(H1846="Saneago",VLOOKUP(I1846,'SANEAGO-FEV.2016'!A:B,2,0),IF(H1846="Sinapi",VLOOKUP(I1846,'SINAPI-FEV.2017'!A:D,2,0),IF(H1846="Cotação",VLOOKUP(I1846,COTAÇÃO!A:D,2,0),IF(H1846="Composição",VLOOKUP(I1846,COMPOSIÇÃO!A:D,2,0))))))</f>
        <v>Válvula corta chamas, DN3"</v>
      </c>
      <c r="L1846" s="780" t="s">
        <v>10854</v>
      </c>
      <c r="M1846" s="1270">
        <v>4</v>
      </c>
      <c r="N1846" s="399">
        <v>0</v>
      </c>
      <c r="O1846" s="102">
        <f>ROUND(IF(F1846="Serviços",N1846*(1+$O$7),IF(F1846="Materiais",N1846*(1+$O$8))),2)</f>
        <v>0</v>
      </c>
      <c r="P1846" s="101">
        <f>ROUND(M1846*O1846,2)</f>
        <v>0</v>
      </c>
      <c r="Q1846" s="1472">
        <v>4</v>
      </c>
    </row>
    <row r="1847" spans="1:17">
      <c r="A1847" s="1482"/>
      <c r="B1847" s="1482"/>
      <c r="C1847" s="1555">
        <f t="shared" si="282"/>
        <v>3</v>
      </c>
      <c r="D1847" s="1492">
        <f t="shared" si="283"/>
        <v>6</v>
      </c>
      <c r="E1847" s="1492"/>
      <c r="F1847" s="1484" t="s">
        <v>11724</v>
      </c>
      <c r="H1847" s="1095" t="s">
        <v>11722</v>
      </c>
      <c r="I1847" s="780" t="s">
        <v>13309</v>
      </c>
      <c r="J1847" s="834"/>
      <c r="K1847" s="790" t="str">
        <f>(IF(H1847="Saneago",VLOOKUP(I1847,'SANEAGO-FEV.2016'!A:B,2,0),IF(H1847="Sinapi",VLOOKUP(I1847,'SINAPI-FEV.2017'!A:D,2,0),IF(H1847="Cotação",VLOOKUP(I1847,COTAÇÃO!A:D,2,0),IF(H1847="Composição",VLOOKUP(I1847,COMPOSIÇÃO!A:D,2,0))))))</f>
        <v>Válvula de esfera com acionamento manual, PN-10, DN2 1/2"</v>
      </c>
      <c r="L1847" s="780" t="s">
        <v>1270</v>
      </c>
      <c r="M1847" s="1270">
        <v>1</v>
      </c>
      <c r="N1847" s="399">
        <v>0</v>
      </c>
      <c r="O1847" s="102">
        <f>ROUND(IF(F1847="Serviços",N1847*(1+$O$7),IF(F1847="Materiais",N1847*(1+$O$8))),2)</f>
        <v>0</v>
      </c>
      <c r="P1847" s="101">
        <f>ROUND(M1847*O1847,2)</f>
        <v>0</v>
      </c>
      <c r="Q1847" s="1472">
        <v>1</v>
      </c>
    </row>
    <row r="1848" spans="1:17">
      <c r="A1848" s="1482"/>
      <c r="B1848" s="1482"/>
      <c r="C1848" s="1555">
        <f t="shared" si="282"/>
        <v>3</v>
      </c>
      <c r="D1848" s="1492">
        <f t="shared" si="283"/>
        <v>6</v>
      </c>
      <c r="E1848" s="1492"/>
      <c r="F1848" s="1484" t="s">
        <v>11724</v>
      </c>
      <c r="H1848" s="1095" t="s">
        <v>11722</v>
      </c>
      <c r="I1848" s="780" t="s">
        <v>13304</v>
      </c>
      <c r="J1848" s="834"/>
      <c r="K1848" s="790" t="str">
        <f>(IF(H1848="Saneago",VLOOKUP(I1848,'SANEAGO-FEV.2016'!A:B,2,0),IF(H1848="Sinapi",VLOOKUP(I1848,'SINAPI-FEV.2017'!A:D,2,0),IF(H1848="Cotação",VLOOKUP(I1848,COTAÇÃO!A:D,2,0),IF(H1848="Composição",VLOOKUP(I1848,COMPOSIÇÃO!A:D,2,0))))))</f>
        <v>Válvula de esfera com acionamento manual, PN-10, DN3"</v>
      </c>
      <c r="L1848" s="780" t="s">
        <v>10854</v>
      </c>
      <c r="M1848" s="1270">
        <v>16</v>
      </c>
      <c r="N1848" s="399">
        <v>0</v>
      </c>
      <c r="O1848" s="102">
        <f>ROUND(IF(F1848="Serviços",N1848*(1+$O$7),IF(F1848="Materiais",N1848*(1+$O$8))),2)</f>
        <v>0</v>
      </c>
      <c r="P1848" s="101">
        <f>ROUND(M1848*O1848,2)</f>
        <v>0</v>
      </c>
      <c r="Q1848" s="1472">
        <v>16</v>
      </c>
    </row>
    <row r="1849" spans="1:17">
      <c r="A1849" s="1482"/>
      <c r="B1849" s="1482"/>
      <c r="C1849" s="1555">
        <f t="shared" si="282"/>
        <v>3</v>
      </c>
      <c r="D1849" s="1492">
        <f t="shared" si="283"/>
        <v>6</v>
      </c>
      <c r="E1849" s="1492"/>
      <c r="F1849" s="1484" t="s">
        <v>11724</v>
      </c>
      <c r="H1849" s="1095" t="s">
        <v>11722</v>
      </c>
      <c r="I1849" s="780" t="s">
        <v>13315</v>
      </c>
      <c r="J1849" s="834"/>
      <c r="K1849" s="790" t="str">
        <f>(IF(H1849="Saneago",VLOOKUP(I1849,'SANEAGO-FEV.2016'!A:B,2,0),IF(H1849="Sinapi",VLOOKUP(I1849,'SINAPI-FEV.2017'!A:D,2,0),IF(H1849="Cotação",VLOOKUP(I1849,COTAÇÃO!A:D,2,0),IF(H1849="Composição",VLOOKUP(I1849,COMPOSIÇÃO!A:D,2,0))))))</f>
        <v>Válvula reguladora de pressão, DN3"</v>
      </c>
      <c r="L1849" s="780" t="s">
        <v>10854</v>
      </c>
      <c r="M1849" s="1270">
        <v>1</v>
      </c>
      <c r="N1849" s="399">
        <v>0</v>
      </c>
      <c r="O1849" s="102">
        <f>ROUND(IF(F1849="Serviços",N1849*(1+$O$7),IF(F1849="Materiais",N1849*(1+$O$8))),2)</f>
        <v>0</v>
      </c>
      <c r="P1849" s="101">
        <f>ROUND(M1849*O1849,2)</f>
        <v>0</v>
      </c>
      <c r="Q1849" s="1472">
        <v>1</v>
      </c>
    </row>
    <row r="1850" spans="1:17" ht="15.75" thickBot="1">
      <c r="A1850" s="1482"/>
      <c r="B1850" s="1482"/>
      <c r="C1850" s="1555">
        <f t="shared" si="282"/>
        <v>3</v>
      </c>
      <c r="D1850" s="1492">
        <f>D1849+B1850</f>
        <v>6</v>
      </c>
      <c r="E1850" s="1492"/>
      <c r="F1850" s="1484" t="s">
        <v>11724</v>
      </c>
      <c r="H1850" s="1095"/>
      <c r="I1850" s="780"/>
      <c r="J1850" s="834"/>
      <c r="K1850" s="780"/>
      <c r="L1850" s="780"/>
      <c r="M1850" s="1270"/>
      <c r="N1850" s="400"/>
      <c r="O1850" s="122"/>
      <c r="P1850" s="123"/>
    </row>
    <row r="1851" spans="1:17" ht="16.5" customHeight="1" thickTop="1" thickBot="1">
      <c r="A1851" s="1482"/>
      <c r="B1851" s="1482">
        <v>1</v>
      </c>
      <c r="C1851" s="1555">
        <f t="shared" si="282"/>
        <v>3</v>
      </c>
      <c r="D1851" s="1492">
        <f>D1850+B1851</f>
        <v>7</v>
      </c>
      <c r="E1851" s="1492"/>
      <c r="F1851" s="1484" t="s">
        <v>11724</v>
      </c>
      <c r="G1851" s="921"/>
      <c r="H1851" s="1510" t="str">
        <f>CONCATENATE(C1851,".",D1851)</f>
        <v>3.7</v>
      </c>
      <c r="I1851" s="1644" t="s">
        <v>13328</v>
      </c>
      <c r="J1851" s="1644"/>
      <c r="K1851" s="1644"/>
      <c r="L1851" s="1573" t="s">
        <v>25</v>
      </c>
      <c r="M1851" s="1574" t="s">
        <v>11704</v>
      </c>
      <c r="N1851" s="397" t="s">
        <v>11705</v>
      </c>
      <c r="O1851" s="99" t="s">
        <v>11706</v>
      </c>
      <c r="P1851" s="100">
        <f>SUBTOTAL(9,P1853:P1895)</f>
        <v>0</v>
      </c>
      <c r="Q1851" s="1472" t="s">
        <v>11704</v>
      </c>
    </row>
    <row r="1852" spans="1:17" ht="15.75" thickTop="1">
      <c r="A1852" s="1482"/>
      <c r="B1852" s="1482"/>
      <c r="C1852" s="1555">
        <f t="shared" si="282"/>
        <v>3</v>
      </c>
      <c r="D1852" s="1492">
        <f>D1851+B1852</f>
        <v>7</v>
      </c>
      <c r="E1852" s="1492"/>
      <c r="F1852" s="1484" t="s">
        <v>11724</v>
      </c>
      <c r="H1852" s="1095"/>
      <c r="I1852" s="780"/>
      <c r="J1852" s="834"/>
      <c r="K1852" s="780"/>
      <c r="L1852" s="780"/>
      <c r="M1852" s="1270"/>
      <c r="N1852" s="400"/>
      <c r="O1852" s="122"/>
      <c r="P1852" s="123"/>
    </row>
    <row r="1853" spans="1:17">
      <c r="A1853" s="1482"/>
      <c r="B1853" s="1482"/>
      <c r="C1853" s="1555">
        <f t="shared" si="282"/>
        <v>3</v>
      </c>
      <c r="D1853" s="1492">
        <f>D1852+B1853</f>
        <v>7</v>
      </c>
      <c r="E1853" s="1492"/>
      <c r="F1853" s="1484" t="s">
        <v>11724</v>
      </c>
      <c r="H1853" s="1095" t="s">
        <v>70</v>
      </c>
      <c r="I1853" s="780">
        <v>3481</v>
      </c>
      <c r="J1853" s="834"/>
      <c r="K1853" s="790" t="str">
        <f>(IF(H1853="Saneago",VLOOKUP(I1853,'SANEAGO-FEV.2016'!A:B,2,0),IF(H1853="Sinapi",VLOOKUP(I1853,'SINAPI-FEV.2017'!A:D,2,0),IF(H1853="Cotação",VLOOKUP(I1853,COTAÇÃO!A:D,2,0),IF(H1853="Composição",VLOOKUP(I1853,COMPOSIÇÃO!A:D,2,0))))))</f>
        <v>JOELHO PVC, 90 GRAUS, ROSCAVEL, 1 1/2",  AGUA FRIA PREDIAL</v>
      </c>
      <c r="L1853" s="780" t="s">
        <v>1270</v>
      </c>
      <c r="M1853" s="1270">
        <v>10</v>
      </c>
      <c r="N1853" s="399">
        <v>0</v>
      </c>
      <c r="O1853" s="102">
        <f>ROUND(IF(F1853="Serviços",N1853*(1+$O$7),IF(F1853="Materiais",N1853*(1+$O$8))),2)</f>
        <v>0</v>
      </c>
      <c r="P1853" s="101">
        <f>ROUND(M1853*O1853,2)</f>
        <v>0</v>
      </c>
      <c r="Q1853" s="1472">
        <v>10</v>
      </c>
    </row>
    <row r="1854" spans="1:17" ht="22.5">
      <c r="A1854" s="1482"/>
      <c r="B1854" s="1482"/>
      <c r="C1854" s="1555">
        <f t="shared" si="282"/>
        <v>3</v>
      </c>
      <c r="D1854" s="1492">
        <f t="shared" ref="D1854:D1911" si="290">D1853+B1854</f>
        <v>7</v>
      </c>
      <c r="E1854" s="1492"/>
      <c r="F1854" s="1484" t="s">
        <v>11724</v>
      </c>
      <c r="H1854" s="1095" t="s">
        <v>70</v>
      </c>
      <c r="I1854" s="780">
        <v>3496</v>
      </c>
      <c r="J1854" s="834"/>
      <c r="K1854" s="790" t="str">
        <f>(IF(H1854="Saneago",VLOOKUP(I1854,'SANEAGO-FEV.2016'!A:B,2,0),IF(H1854="Sinapi",VLOOKUP(I1854,'SINAPI-FEV.2017'!A:D,2,0),IF(H1854="Cotação",VLOOKUP(I1854,COTAÇÃO!A:D,2,0),IF(H1854="Composição",VLOOKUP(I1854,COMPOSIÇÃO!A:D,2,0))))))</f>
        <v>JOELHO DE REDUCAO, PVC, ROSCAVEL, 90 GRAUS, 3/4" X 1/2", PARA AGUA FRIA PREDIAL</v>
      </c>
      <c r="L1854" s="780" t="s">
        <v>1270</v>
      </c>
      <c r="M1854" s="1270">
        <v>9</v>
      </c>
      <c r="N1854" s="399">
        <v>0</v>
      </c>
      <c r="O1854" s="102">
        <f t="shared" ref="O1854:O1895" si="291">ROUND(IF(F1854="Serviços",N1854*(1+$O$7),IF(F1854="Materiais",N1854*(1+$O$8))),2)</f>
        <v>0</v>
      </c>
      <c r="P1854" s="101">
        <f t="shared" ref="P1854:P1895" si="292">ROUND(M1854*O1854,2)</f>
        <v>0</v>
      </c>
      <c r="Q1854" s="1472">
        <v>9</v>
      </c>
    </row>
    <row r="1855" spans="1:17">
      <c r="A1855" s="1482"/>
      <c r="B1855" s="1482"/>
      <c r="C1855" s="1555">
        <f t="shared" si="282"/>
        <v>3</v>
      </c>
      <c r="D1855" s="1492">
        <f t="shared" si="290"/>
        <v>7</v>
      </c>
      <c r="E1855" s="1492"/>
      <c r="F1855" s="1484" t="s">
        <v>11724</v>
      </c>
      <c r="H1855" s="1095" t="s">
        <v>70</v>
      </c>
      <c r="I1855" s="780">
        <v>3500</v>
      </c>
      <c r="J1855" s="834"/>
      <c r="K1855" s="790" t="str">
        <f>(IF(H1855="Saneago",VLOOKUP(I1855,'SANEAGO-FEV.2016'!A:B,2,0),IF(H1855="Sinapi",VLOOKUP(I1855,'SINAPI-FEV.2017'!A:D,2,0),IF(H1855="Cotação",VLOOKUP(I1855,COTAÇÃO!A:D,2,0),IF(H1855="Composição",VLOOKUP(I1855,COMPOSIÇÃO!A:D,2,0))))))</f>
        <v>JOELHO, PVC SOLDAVEL, 45 GRAUS, 25 MM, PARA AGUA FRIA PREDIAL</v>
      </c>
      <c r="L1855" s="780" t="s">
        <v>1270</v>
      </c>
      <c r="M1855" s="1270">
        <v>1</v>
      </c>
      <c r="N1855" s="399">
        <v>0</v>
      </c>
      <c r="O1855" s="102">
        <f t="shared" si="291"/>
        <v>0</v>
      </c>
      <c r="P1855" s="101">
        <f t="shared" si="292"/>
        <v>0</v>
      </c>
      <c r="Q1855" s="1472">
        <v>1</v>
      </c>
    </row>
    <row r="1856" spans="1:17">
      <c r="A1856" s="1482"/>
      <c r="B1856" s="1482"/>
      <c r="C1856" s="1555">
        <f t="shared" si="282"/>
        <v>3</v>
      </c>
      <c r="D1856" s="1492">
        <f t="shared" si="290"/>
        <v>7</v>
      </c>
      <c r="E1856" s="1492"/>
      <c r="F1856" s="1484" t="s">
        <v>11724</v>
      </c>
      <c r="H1856" s="1095" t="s">
        <v>70</v>
      </c>
      <c r="I1856" s="780">
        <v>3505</v>
      </c>
      <c r="J1856" s="834"/>
      <c r="K1856" s="790" t="str">
        <f>(IF(H1856="Saneago",VLOOKUP(I1856,'SANEAGO-FEV.2016'!A:B,2,0),IF(H1856="Sinapi",VLOOKUP(I1856,'SINAPI-FEV.2017'!A:D,2,0),IF(H1856="Cotação",VLOOKUP(I1856,COTAÇÃO!A:D,2,0),IF(H1856="Composição",VLOOKUP(I1856,COMPOSIÇÃO!A:D,2,0))))))</f>
        <v>JOELHO PVC, ROSCAVEL, 90 GRAUS, 3/4", PARA AGUA FRIA PREDIAL</v>
      </c>
      <c r="L1856" s="780" t="s">
        <v>1270</v>
      </c>
      <c r="M1856" s="1270">
        <v>13</v>
      </c>
      <c r="N1856" s="399">
        <v>0</v>
      </c>
      <c r="O1856" s="102">
        <f t="shared" si="291"/>
        <v>0</v>
      </c>
      <c r="P1856" s="101">
        <f t="shared" si="292"/>
        <v>0</v>
      </c>
      <c r="Q1856" s="1472">
        <v>13</v>
      </c>
    </row>
    <row r="1857" spans="1:17">
      <c r="A1857" s="1482"/>
      <c r="B1857" s="1482"/>
      <c r="C1857" s="1555">
        <f t="shared" si="282"/>
        <v>3</v>
      </c>
      <c r="D1857" s="1492">
        <f t="shared" si="290"/>
        <v>7</v>
      </c>
      <c r="E1857" s="1492"/>
      <c r="F1857" s="1484" t="s">
        <v>11724</v>
      </c>
      <c r="H1857" s="1095" t="s">
        <v>70</v>
      </c>
      <c r="I1857" s="780">
        <v>3510</v>
      </c>
      <c r="J1857" s="834"/>
      <c r="K1857" s="790" t="str">
        <f>(IF(H1857="Saneago",VLOOKUP(I1857,'SANEAGO-FEV.2016'!A:B,2,0),IF(H1857="Sinapi",VLOOKUP(I1857,'SINAPI-FEV.2017'!A:D,2,0),IF(H1857="Cotação",VLOOKUP(I1857,COTAÇÃO!A:D,2,0),IF(H1857="Composição",VLOOKUP(I1857,COMPOSIÇÃO!A:D,2,0))))))</f>
        <v>JOELHO PVC, 90 GRAUS, ROSCAVEL, 1 1/4", AGUA FRIA PREDIAL</v>
      </c>
      <c r="L1857" s="780" t="s">
        <v>1270</v>
      </c>
      <c r="M1857" s="1270">
        <v>1</v>
      </c>
      <c r="N1857" s="399">
        <v>0</v>
      </c>
      <c r="O1857" s="102">
        <f t="shared" si="291"/>
        <v>0</v>
      </c>
      <c r="P1857" s="101">
        <f t="shared" si="292"/>
        <v>0</v>
      </c>
      <c r="Q1857" s="1472">
        <v>1</v>
      </c>
    </row>
    <row r="1858" spans="1:17">
      <c r="A1858" s="1482"/>
      <c r="B1858" s="1482"/>
      <c r="C1858" s="1555">
        <f t="shared" si="282"/>
        <v>3</v>
      </c>
      <c r="D1858" s="1492">
        <f t="shared" si="290"/>
        <v>7</v>
      </c>
      <c r="E1858" s="1492"/>
      <c r="F1858" s="1484" t="s">
        <v>11724</v>
      </c>
      <c r="H1858" s="1095" t="s">
        <v>70</v>
      </c>
      <c r="I1858" s="780">
        <v>3543</v>
      </c>
      <c r="J1858" s="834"/>
      <c r="K1858" s="790" t="str">
        <f>(IF(H1858="Saneago",VLOOKUP(I1858,'SANEAGO-FEV.2016'!A:B,2,0),IF(H1858="Sinapi",VLOOKUP(I1858,'SINAPI-FEV.2017'!A:D,2,0),IF(H1858="Cotação",VLOOKUP(I1858,COTAÇÃO!A:D,2,0),IF(H1858="Composição",VLOOKUP(I1858,COMPOSIÇÃO!A:D,2,0))))))</f>
        <v>JOELHO PVC, ROSCAVEL, 90 GRAUS, 1/2", PARA AGUA FRIA PREDIAL</v>
      </c>
      <c r="L1858" s="780" t="s">
        <v>1270</v>
      </c>
      <c r="M1858" s="1270">
        <v>1</v>
      </c>
      <c r="N1858" s="399">
        <v>0</v>
      </c>
      <c r="O1858" s="102">
        <f t="shared" si="291"/>
        <v>0</v>
      </c>
      <c r="P1858" s="101">
        <f t="shared" si="292"/>
        <v>0</v>
      </c>
      <c r="Q1858" s="1472">
        <v>1</v>
      </c>
    </row>
    <row r="1859" spans="1:17" ht="22.5">
      <c r="A1859" s="1482"/>
      <c r="B1859" s="1482"/>
      <c r="C1859" s="1555">
        <f t="shared" si="282"/>
        <v>3</v>
      </c>
      <c r="D1859" s="1492">
        <f t="shared" si="290"/>
        <v>7</v>
      </c>
      <c r="E1859" s="1492"/>
      <c r="F1859" s="1484" t="s">
        <v>11724</v>
      </c>
      <c r="H1859" s="1095" t="s">
        <v>70</v>
      </c>
      <c r="I1859" s="780">
        <v>6032</v>
      </c>
      <c r="J1859" s="834"/>
      <c r="K1859" s="790" t="str">
        <f>(IF(H1859="Saneago",VLOOKUP(I1859,'SANEAGO-FEV.2016'!A:B,2,0),IF(H1859="Sinapi",VLOOKUP(I1859,'SINAPI-FEV.2017'!A:D,2,0),IF(H1859="Cotação",VLOOKUP(I1859,COTAÇÃO!A:D,2,0),IF(H1859="Composição",VLOOKUP(I1859,COMPOSIÇÃO!A:D,2,0))))))</f>
        <v>REGISTRO DE ESFERA, PVC, COM VOLANTE, VS, ROSCAVEL, DN 3/4", COM CORPO DIVIDIDO</v>
      </c>
      <c r="L1859" s="780" t="s">
        <v>10854</v>
      </c>
      <c r="M1859" s="1270">
        <v>11</v>
      </c>
      <c r="N1859" s="399">
        <v>0</v>
      </c>
      <c r="O1859" s="102">
        <f t="shared" si="291"/>
        <v>0</v>
      </c>
      <c r="P1859" s="101">
        <f t="shared" si="292"/>
        <v>0</v>
      </c>
      <c r="Q1859" s="1472">
        <v>11</v>
      </c>
    </row>
    <row r="1860" spans="1:17">
      <c r="A1860" s="1482"/>
      <c r="B1860" s="1482"/>
      <c r="C1860" s="1555">
        <f t="shared" si="282"/>
        <v>3</v>
      </c>
      <c r="D1860" s="1492">
        <f t="shared" si="290"/>
        <v>7</v>
      </c>
      <c r="E1860" s="1492"/>
      <c r="F1860" s="1484" t="s">
        <v>11724</v>
      </c>
      <c r="H1860" s="1095" t="s">
        <v>70</v>
      </c>
      <c r="I1860" s="780">
        <v>7139</v>
      </c>
      <c r="J1860" s="834"/>
      <c r="K1860" s="790" t="str">
        <f>(IF(H1860="Saneago",VLOOKUP(I1860,'SANEAGO-FEV.2016'!A:B,2,0),IF(H1860="Sinapi",VLOOKUP(I1860,'SINAPI-FEV.2017'!A:D,2,0),IF(H1860="Cotação",VLOOKUP(I1860,COTAÇÃO!A:D,2,0),IF(H1860="Composição",VLOOKUP(I1860,COMPOSIÇÃO!A:D,2,0))))))</f>
        <v>TE SOLDAVEL, PVC, 90 GRAUS, 25 MM, PARA AGUA FRIA PREDIAL (NBR 5648)</v>
      </c>
      <c r="L1860" s="780" t="s">
        <v>1270</v>
      </c>
      <c r="M1860" s="1270">
        <v>1</v>
      </c>
      <c r="N1860" s="399">
        <v>0</v>
      </c>
      <c r="O1860" s="102">
        <f t="shared" si="291"/>
        <v>0</v>
      </c>
      <c r="P1860" s="101">
        <f t="shared" si="292"/>
        <v>0</v>
      </c>
      <c r="Q1860" s="1472">
        <v>1</v>
      </c>
    </row>
    <row r="1861" spans="1:17">
      <c r="A1861" s="1482"/>
      <c r="B1861" s="1482"/>
      <c r="C1861" s="1555">
        <f t="shared" si="282"/>
        <v>3</v>
      </c>
      <c r="D1861" s="1492">
        <f t="shared" si="290"/>
        <v>7</v>
      </c>
      <c r="E1861" s="1492"/>
      <c r="F1861" s="1484" t="s">
        <v>11724</v>
      </c>
      <c r="H1861" s="1095" t="s">
        <v>70</v>
      </c>
      <c r="I1861" s="780">
        <v>9859</v>
      </c>
      <c r="J1861" s="834"/>
      <c r="K1861" s="790" t="str">
        <f>(IF(H1861="Saneago",VLOOKUP(I1861,'SANEAGO-FEV.2016'!A:B,2,0),IF(H1861="Sinapi",VLOOKUP(I1861,'SINAPI-FEV.2017'!A:D,2,0),IF(H1861="Cotação",VLOOKUP(I1861,COTAÇÃO!A:D,2,0),IF(H1861="Composição",VLOOKUP(I1861,COMPOSIÇÃO!A:D,2,0))))))</f>
        <v>TUBO PVC ROSCAVEL, 3/4",  AGUA FRIA PREDIAL</v>
      </c>
      <c r="L1861" s="780" t="s">
        <v>1270</v>
      </c>
      <c r="M1861" s="1270">
        <v>6</v>
      </c>
      <c r="N1861" s="399">
        <v>0</v>
      </c>
      <c r="O1861" s="102">
        <f t="shared" si="291"/>
        <v>0</v>
      </c>
      <c r="P1861" s="101">
        <f t="shared" si="292"/>
        <v>0</v>
      </c>
      <c r="Q1861" s="1472">
        <v>6</v>
      </c>
    </row>
    <row r="1862" spans="1:17">
      <c r="A1862" s="1482"/>
      <c r="B1862" s="1482"/>
      <c r="C1862" s="1555">
        <f t="shared" si="282"/>
        <v>3</v>
      </c>
      <c r="D1862" s="1492">
        <f t="shared" si="290"/>
        <v>7</v>
      </c>
      <c r="E1862" s="1492"/>
      <c r="F1862" s="1484" t="s">
        <v>11724</v>
      </c>
      <c r="H1862" s="1095" t="s">
        <v>70</v>
      </c>
      <c r="I1862" s="780">
        <v>9859</v>
      </c>
      <c r="J1862" s="834"/>
      <c r="K1862" s="790" t="str">
        <f>(IF(H1862="Saneago",VLOOKUP(I1862,'SANEAGO-FEV.2016'!A:B,2,0),IF(H1862="Sinapi",VLOOKUP(I1862,'SINAPI-FEV.2017'!A:D,2,0),IF(H1862="Cotação",VLOOKUP(I1862,COTAÇÃO!A:D,2,0),IF(H1862="Composição",VLOOKUP(I1862,COMPOSIÇÃO!A:D,2,0))))))</f>
        <v>TUBO PVC ROSCAVEL, 3/4",  AGUA FRIA PREDIAL</v>
      </c>
      <c r="L1862" s="780" t="s">
        <v>18</v>
      </c>
      <c r="M1862" s="1270">
        <v>12</v>
      </c>
      <c r="N1862" s="399">
        <v>0</v>
      </c>
      <c r="O1862" s="102">
        <f t="shared" si="291"/>
        <v>0</v>
      </c>
      <c r="P1862" s="101">
        <f t="shared" si="292"/>
        <v>0</v>
      </c>
      <c r="Q1862" s="1472">
        <v>12</v>
      </c>
    </row>
    <row r="1863" spans="1:17">
      <c r="A1863" s="1482"/>
      <c r="B1863" s="1482"/>
      <c r="C1863" s="1555">
        <f t="shared" si="282"/>
        <v>3</v>
      </c>
      <c r="D1863" s="1492">
        <f t="shared" si="290"/>
        <v>7</v>
      </c>
      <c r="E1863" s="1492"/>
      <c r="F1863" s="1484" t="s">
        <v>11724</v>
      </c>
      <c r="H1863" s="1095" t="s">
        <v>70</v>
      </c>
      <c r="I1863" s="780">
        <v>9861</v>
      </c>
      <c r="J1863" s="834"/>
      <c r="K1863" s="790" t="str">
        <f>(IF(H1863="Saneago",VLOOKUP(I1863,'SANEAGO-FEV.2016'!A:B,2,0),IF(H1863="Sinapi",VLOOKUP(I1863,'SINAPI-FEV.2017'!A:D,2,0),IF(H1863="Cotação",VLOOKUP(I1863,COTAÇÃO!A:D,2,0),IF(H1863="Composição",VLOOKUP(I1863,COMPOSIÇÃO!A:D,2,0))))))</f>
        <v>TUBO PVC, ROSCAVEL, 1 1/4", AGUA FRIA PREDIAL</v>
      </c>
      <c r="L1863" s="780" t="s">
        <v>1270</v>
      </c>
      <c r="M1863" s="1270">
        <v>1</v>
      </c>
      <c r="N1863" s="399">
        <v>0</v>
      </c>
      <c r="O1863" s="102">
        <f t="shared" si="291"/>
        <v>0</v>
      </c>
      <c r="P1863" s="101">
        <f t="shared" si="292"/>
        <v>0</v>
      </c>
      <c r="Q1863" s="1472">
        <v>1</v>
      </c>
    </row>
    <row r="1864" spans="1:17">
      <c r="A1864" s="1482"/>
      <c r="B1864" s="1482"/>
      <c r="C1864" s="1555">
        <f t="shared" ref="C1864:C1927" si="293">C1863</f>
        <v>3</v>
      </c>
      <c r="D1864" s="1492">
        <f t="shared" si="290"/>
        <v>7</v>
      </c>
      <c r="E1864" s="1492"/>
      <c r="F1864" s="1484" t="s">
        <v>11724</v>
      </c>
      <c r="H1864" s="1095" t="s">
        <v>70</v>
      </c>
      <c r="I1864" s="780">
        <v>9861</v>
      </c>
      <c r="J1864" s="834"/>
      <c r="K1864" s="790" t="str">
        <f>(IF(H1864="Saneago",VLOOKUP(I1864,'SANEAGO-FEV.2016'!A:B,2,0),IF(H1864="Sinapi",VLOOKUP(I1864,'SINAPI-FEV.2017'!A:D,2,0),IF(H1864="Cotação",VLOOKUP(I1864,COTAÇÃO!A:D,2,0),IF(H1864="Composição",VLOOKUP(I1864,COMPOSIÇÃO!A:D,2,0))))))</f>
        <v>TUBO PVC, ROSCAVEL, 1 1/4", AGUA FRIA PREDIAL</v>
      </c>
      <c r="L1864" s="780" t="s">
        <v>18</v>
      </c>
      <c r="M1864" s="1270">
        <v>2</v>
      </c>
      <c r="N1864" s="399">
        <v>0</v>
      </c>
      <c r="O1864" s="102">
        <f t="shared" si="291"/>
        <v>0</v>
      </c>
      <c r="P1864" s="101">
        <f t="shared" si="292"/>
        <v>0</v>
      </c>
      <c r="Q1864" s="1472">
        <v>2</v>
      </c>
    </row>
    <row r="1865" spans="1:17">
      <c r="A1865" s="1482"/>
      <c r="B1865" s="1482"/>
      <c r="C1865" s="1555">
        <f t="shared" si="293"/>
        <v>3</v>
      </c>
      <c r="D1865" s="1492">
        <f t="shared" si="290"/>
        <v>7</v>
      </c>
      <c r="E1865" s="1492"/>
      <c r="F1865" s="1484" t="s">
        <v>11724</v>
      </c>
      <c r="H1865" s="1095" t="s">
        <v>70</v>
      </c>
      <c r="I1865" s="780">
        <v>9862</v>
      </c>
      <c r="J1865" s="834"/>
      <c r="K1865" s="790" t="str">
        <f>(IF(H1865="Saneago",VLOOKUP(I1865,'SANEAGO-FEV.2016'!A:B,2,0),IF(H1865="Sinapi",VLOOKUP(I1865,'SINAPI-FEV.2017'!A:D,2,0),IF(H1865="Cotação",VLOOKUP(I1865,COTAÇÃO!A:D,2,0),IF(H1865="Composição",VLOOKUP(I1865,COMPOSIÇÃO!A:D,2,0))))))</f>
        <v>TUBO PVC, ROSCAVEL, 1 1/2",  AGUA FRIA PREDIAL</v>
      </c>
      <c r="L1865" s="780" t="s">
        <v>1270</v>
      </c>
      <c r="M1865" s="1270">
        <v>2</v>
      </c>
      <c r="N1865" s="399">
        <v>0</v>
      </c>
      <c r="O1865" s="102">
        <f t="shared" si="291"/>
        <v>0</v>
      </c>
      <c r="P1865" s="101">
        <f t="shared" si="292"/>
        <v>0</v>
      </c>
      <c r="Q1865" s="1472">
        <v>2</v>
      </c>
    </row>
    <row r="1866" spans="1:17">
      <c r="A1866" s="1482"/>
      <c r="B1866" s="1482"/>
      <c r="C1866" s="1555">
        <f t="shared" si="293"/>
        <v>3</v>
      </c>
      <c r="D1866" s="1492">
        <f t="shared" si="290"/>
        <v>7</v>
      </c>
      <c r="E1866" s="1492"/>
      <c r="F1866" s="1484" t="s">
        <v>11724</v>
      </c>
      <c r="H1866" s="1095" t="s">
        <v>70</v>
      </c>
      <c r="I1866" s="780">
        <v>9862</v>
      </c>
      <c r="J1866" s="834"/>
      <c r="K1866" s="790" t="str">
        <f>(IF(H1866="Saneago",VLOOKUP(I1866,'SANEAGO-FEV.2016'!A:B,2,0),IF(H1866="Sinapi",VLOOKUP(I1866,'SINAPI-FEV.2017'!A:D,2,0),IF(H1866="Cotação",VLOOKUP(I1866,COTAÇÃO!A:D,2,0),IF(H1866="Composição",VLOOKUP(I1866,COMPOSIÇÃO!A:D,2,0))))))</f>
        <v>TUBO PVC, ROSCAVEL, 1 1/2",  AGUA FRIA PREDIAL</v>
      </c>
      <c r="L1866" s="780" t="s">
        <v>18</v>
      </c>
      <c r="M1866" s="1270">
        <v>16</v>
      </c>
      <c r="N1866" s="399">
        <v>0</v>
      </c>
      <c r="O1866" s="102">
        <f t="shared" si="291"/>
        <v>0</v>
      </c>
      <c r="P1866" s="101">
        <f t="shared" si="292"/>
        <v>0</v>
      </c>
      <c r="Q1866" s="1472">
        <v>16</v>
      </c>
    </row>
    <row r="1867" spans="1:17">
      <c r="A1867" s="1482"/>
      <c r="B1867" s="1482"/>
      <c r="C1867" s="1555">
        <f t="shared" si="293"/>
        <v>3</v>
      </c>
      <c r="D1867" s="1492">
        <f t="shared" si="290"/>
        <v>7</v>
      </c>
      <c r="E1867" s="1492"/>
      <c r="F1867" s="1484" t="s">
        <v>11724</v>
      </c>
      <c r="H1867" s="1095" t="s">
        <v>70</v>
      </c>
      <c r="I1867" s="780">
        <v>9868</v>
      </c>
      <c r="J1867" s="834"/>
      <c r="K1867" s="790" t="str">
        <f>(IF(H1867="Saneago",VLOOKUP(I1867,'SANEAGO-FEV.2016'!A:B,2,0),IF(H1867="Sinapi",VLOOKUP(I1867,'SINAPI-FEV.2017'!A:D,2,0),IF(H1867="Cotação",VLOOKUP(I1867,COTAÇÃO!A:D,2,0),IF(H1867="Composição",VLOOKUP(I1867,COMPOSIÇÃO!A:D,2,0))))))</f>
        <v>TUBO PVC, SOLDAVEL, DN 25 MM, AGUA FRIA (NBR-5648)</v>
      </c>
      <c r="L1867" s="780" t="s">
        <v>18</v>
      </c>
      <c r="M1867" s="1270">
        <v>4</v>
      </c>
      <c r="N1867" s="399">
        <v>0</v>
      </c>
      <c r="O1867" s="102">
        <f t="shared" si="291"/>
        <v>0</v>
      </c>
      <c r="P1867" s="101">
        <f t="shared" si="292"/>
        <v>0</v>
      </c>
      <c r="Q1867" s="1472">
        <v>4</v>
      </c>
    </row>
    <row r="1868" spans="1:17">
      <c r="A1868" s="1482"/>
      <c r="B1868" s="1482"/>
      <c r="C1868" s="1555">
        <f t="shared" si="293"/>
        <v>3</v>
      </c>
      <c r="D1868" s="1492">
        <f t="shared" si="290"/>
        <v>7</v>
      </c>
      <c r="E1868" s="1492"/>
      <c r="F1868" s="1484" t="s">
        <v>11724</v>
      </c>
      <c r="H1868" s="1095" t="s">
        <v>70</v>
      </c>
      <c r="I1868" s="780">
        <v>9896</v>
      </c>
      <c r="J1868" s="834"/>
      <c r="K1868" s="790" t="str">
        <f>(IF(H1868="Saneago",VLOOKUP(I1868,'SANEAGO-FEV.2016'!A:B,2,0),IF(H1868="Sinapi",VLOOKUP(I1868,'SINAPI-FEV.2017'!A:D,2,0),IF(H1868="Cotação",VLOOKUP(I1868,COTAÇÃO!A:D,2,0),IF(H1868="Composição",VLOOKUP(I1868,COMPOSIÇÃO!A:D,2,0))))))</f>
        <v>UNIAO PVC, ROSCAVEL, 1 1/4",  AGUA FRIA PREDIAL</v>
      </c>
      <c r="L1868" s="780" t="s">
        <v>1270</v>
      </c>
      <c r="M1868" s="1270">
        <v>1</v>
      </c>
      <c r="N1868" s="399">
        <v>0</v>
      </c>
      <c r="O1868" s="102">
        <f t="shared" si="291"/>
        <v>0</v>
      </c>
      <c r="P1868" s="101">
        <f t="shared" si="292"/>
        <v>0</v>
      </c>
      <c r="Q1868" s="1472">
        <v>1</v>
      </c>
    </row>
    <row r="1869" spans="1:17">
      <c r="A1869" s="1482"/>
      <c r="B1869" s="1482"/>
      <c r="C1869" s="1555">
        <f t="shared" si="293"/>
        <v>3</v>
      </c>
      <c r="D1869" s="1492">
        <f t="shared" si="290"/>
        <v>7</v>
      </c>
      <c r="E1869" s="1492"/>
      <c r="F1869" s="1484" t="s">
        <v>11724</v>
      </c>
      <c r="H1869" s="1095" t="s">
        <v>70</v>
      </c>
      <c r="I1869" s="780">
        <v>9899</v>
      </c>
      <c r="J1869" s="834"/>
      <c r="K1869" s="790" t="str">
        <f>(IF(H1869="Saneago",VLOOKUP(I1869,'SANEAGO-FEV.2016'!A:B,2,0),IF(H1869="Sinapi",VLOOKUP(I1869,'SINAPI-FEV.2017'!A:D,2,0),IF(H1869="Cotação",VLOOKUP(I1869,COTAÇÃO!A:D,2,0),IF(H1869="Composição",VLOOKUP(I1869,COMPOSIÇÃO!A:D,2,0))))))</f>
        <v>UNIAO PVC, ROSCAVEL, 3/4",  AGUA FRIA PREDIAL</v>
      </c>
      <c r="L1869" s="780" t="s">
        <v>1270</v>
      </c>
      <c r="M1869" s="1270">
        <v>2</v>
      </c>
      <c r="N1869" s="399">
        <v>0</v>
      </c>
      <c r="O1869" s="102">
        <f t="shared" si="291"/>
        <v>0</v>
      </c>
      <c r="P1869" s="101">
        <f t="shared" si="292"/>
        <v>0</v>
      </c>
      <c r="Q1869" s="1472">
        <v>2</v>
      </c>
    </row>
    <row r="1870" spans="1:17">
      <c r="A1870" s="1482"/>
      <c r="B1870" s="1482"/>
      <c r="C1870" s="1555">
        <f t="shared" si="293"/>
        <v>3</v>
      </c>
      <c r="D1870" s="1492">
        <f t="shared" si="290"/>
        <v>7</v>
      </c>
      <c r="E1870" s="1492"/>
      <c r="F1870" s="1484" t="s">
        <v>11724</v>
      </c>
      <c r="H1870" s="1095" t="s">
        <v>70</v>
      </c>
      <c r="I1870" s="780">
        <v>9901</v>
      </c>
      <c r="J1870" s="834"/>
      <c r="K1870" s="790" t="str">
        <f>(IF(H1870="Saneago",VLOOKUP(I1870,'SANEAGO-FEV.2016'!A:B,2,0),IF(H1870="Sinapi",VLOOKUP(I1870,'SINAPI-FEV.2017'!A:D,2,0),IF(H1870="Cotação",VLOOKUP(I1870,COTAÇÃO!A:D,2,0),IF(H1870="Composição",VLOOKUP(I1870,COMPOSIÇÃO!A:D,2,0))))))</f>
        <v>UNIAO PVC, ROSCAVEL, 1 1/2",  AGUA FRIA PREDIAL</v>
      </c>
      <c r="L1870" s="780" t="s">
        <v>1270</v>
      </c>
      <c r="M1870" s="1270">
        <v>2</v>
      </c>
      <c r="N1870" s="399">
        <v>0</v>
      </c>
      <c r="O1870" s="102">
        <f t="shared" si="291"/>
        <v>0</v>
      </c>
      <c r="P1870" s="101">
        <f t="shared" si="292"/>
        <v>0</v>
      </c>
      <c r="Q1870" s="1472">
        <v>2</v>
      </c>
    </row>
    <row r="1871" spans="1:17" ht="22.5">
      <c r="A1871" s="1482"/>
      <c r="B1871" s="1482"/>
      <c r="C1871" s="1555">
        <f t="shared" si="293"/>
        <v>3</v>
      </c>
      <c r="D1871" s="1492">
        <f t="shared" si="290"/>
        <v>7</v>
      </c>
      <c r="E1871" s="1492"/>
      <c r="F1871" s="1484" t="s">
        <v>11724</v>
      </c>
      <c r="H1871" s="1095" t="s">
        <v>70</v>
      </c>
      <c r="I1871" s="780">
        <v>11669</v>
      </c>
      <c r="J1871" s="834"/>
      <c r="K1871" s="790" t="str">
        <f>(IF(H1871="Saneago",VLOOKUP(I1871,'SANEAGO-FEV.2016'!A:B,2,0),IF(H1871="Sinapi",VLOOKUP(I1871,'SINAPI-FEV.2017'!A:D,2,0),IF(H1871="Cotação",VLOOKUP(I1871,COTAÇÃO!A:D,2,0),IF(H1871="Composição",VLOOKUP(I1871,COMPOSIÇÃO!A:D,2,0))))))</f>
        <v>REGISTRO DE ESFERA, PVC, COM VOLANTE, VS, ROSCAVEL, DN 1 1/4", COM CORPO DIVIDIDO</v>
      </c>
      <c r="L1871" s="780" t="s">
        <v>10854</v>
      </c>
      <c r="M1871" s="1270">
        <v>2</v>
      </c>
      <c r="N1871" s="399">
        <v>0</v>
      </c>
      <c r="O1871" s="102">
        <f t="shared" si="291"/>
        <v>0</v>
      </c>
      <c r="P1871" s="101">
        <f t="shared" si="292"/>
        <v>0</v>
      </c>
      <c r="Q1871" s="1472">
        <v>2</v>
      </c>
    </row>
    <row r="1872" spans="1:17" ht="22.5">
      <c r="A1872" s="1482"/>
      <c r="B1872" s="1482"/>
      <c r="C1872" s="1555">
        <f t="shared" si="293"/>
        <v>3</v>
      </c>
      <c r="D1872" s="1492">
        <f t="shared" si="290"/>
        <v>7</v>
      </c>
      <c r="E1872" s="1492"/>
      <c r="F1872" s="1484" t="s">
        <v>11724</v>
      </c>
      <c r="H1872" s="1095" t="s">
        <v>70</v>
      </c>
      <c r="I1872" s="780">
        <v>11672</v>
      </c>
      <c r="J1872" s="834"/>
      <c r="K1872" s="790" t="str">
        <f>(IF(H1872="Saneago",VLOOKUP(I1872,'SANEAGO-FEV.2016'!A:B,2,0),IF(H1872="Sinapi",VLOOKUP(I1872,'SINAPI-FEV.2017'!A:D,2,0),IF(H1872="Cotação",VLOOKUP(I1872,COTAÇÃO!A:D,2,0),IF(H1872="Composição",VLOOKUP(I1872,COMPOSIÇÃO!A:D,2,0))))))</f>
        <v>REGISTRO DE ESFERA, PVC, COM VOLANTE, VS, ROSCAVEL, DN 1 1/2", COM CORPO DIVIDIDO</v>
      </c>
      <c r="L1872" s="780" t="s">
        <v>10854</v>
      </c>
      <c r="M1872" s="1270">
        <v>7</v>
      </c>
      <c r="N1872" s="399">
        <v>0</v>
      </c>
      <c r="O1872" s="102">
        <f t="shared" si="291"/>
        <v>0</v>
      </c>
      <c r="P1872" s="101">
        <f t="shared" si="292"/>
        <v>0</v>
      </c>
      <c r="Q1872" s="1472">
        <v>7</v>
      </c>
    </row>
    <row r="1873" spans="1:17" ht="22.5">
      <c r="A1873" s="1482"/>
      <c r="B1873" s="1482"/>
      <c r="C1873" s="1555">
        <f t="shared" si="293"/>
        <v>3</v>
      </c>
      <c r="D1873" s="1492">
        <f t="shared" si="290"/>
        <v>7</v>
      </c>
      <c r="E1873" s="1492"/>
      <c r="F1873" s="1484" t="s">
        <v>11724</v>
      </c>
      <c r="H1873" s="1095" t="s">
        <v>70</v>
      </c>
      <c r="I1873" s="780">
        <v>20147</v>
      </c>
      <c r="J1873" s="834"/>
      <c r="K1873" s="790" t="str">
        <f>(IF(H1873="Saneago",VLOOKUP(I1873,'SANEAGO-FEV.2016'!A:B,2,0),IF(H1873="Sinapi",VLOOKUP(I1873,'SINAPI-FEV.2017'!A:D,2,0),IF(H1873="Cotação",VLOOKUP(I1873,COTAÇÃO!A:D,2,0),IF(H1873="Composição",VLOOKUP(I1873,COMPOSIÇÃO!A:D,2,0))))))</f>
        <v>JOELHO PVC, SOLDAVEL, COM BUCHA DE LATAO, 90 GRAUS, 25 MM X 1/2", PARA AGUA FRIA PREDIAL</v>
      </c>
      <c r="L1873" s="780" t="s">
        <v>1270</v>
      </c>
      <c r="M1873" s="1270">
        <v>1</v>
      </c>
      <c r="N1873" s="399">
        <v>0</v>
      </c>
      <c r="O1873" s="102">
        <f t="shared" si="291"/>
        <v>0</v>
      </c>
      <c r="P1873" s="101">
        <f t="shared" si="292"/>
        <v>0</v>
      </c>
      <c r="Q1873" s="1472">
        <v>1</v>
      </c>
    </row>
    <row r="1874" spans="1:17">
      <c r="A1874" s="1482"/>
      <c r="B1874" s="1482"/>
      <c r="C1874" s="1555">
        <f t="shared" si="293"/>
        <v>3</v>
      </c>
      <c r="D1874" s="1492">
        <f t="shared" si="290"/>
        <v>7</v>
      </c>
      <c r="E1874" s="1492"/>
      <c r="F1874" s="1484" t="s">
        <v>11724</v>
      </c>
      <c r="H1874" s="1095" t="s">
        <v>70</v>
      </c>
      <c r="I1874" s="780">
        <v>36365</v>
      </c>
      <c r="J1874" s="834"/>
      <c r="K1874" s="790" t="str">
        <f>(IF(H1874="Saneago",VLOOKUP(I1874,'SANEAGO-FEV.2016'!A:B,2,0),IF(H1874="Sinapi",VLOOKUP(I1874,'SINAPI-FEV.2017'!A:D,2,0),IF(H1874="Cotação",VLOOKUP(I1874,COTAÇÃO!A:D,2,0),IF(H1874="Composição",VLOOKUP(I1874,COMPOSIÇÃO!A:D,2,0))))))</f>
        <v>TUBO COLETOR DE ESGOTO PVC, JEI, DN 100 MM (NBR  7362)</v>
      </c>
      <c r="L1874" s="780" t="s">
        <v>18</v>
      </c>
      <c r="M1874" s="1270">
        <v>10</v>
      </c>
      <c r="N1874" s="399">
        <v>0</v>
      </c>
      <c r="O1874" s="102">
        <f t="shared" si="291"/>
        <v>0</v>
      </c>
      <c r="P1874" s="101">
        <f t="shared" si="292"/>
        <v>0</v>
      </c>
      <c r="Q1874" s="1472">
        <v>10</v>
      </c>
    </row>
    <row r="1875" spans="1:17">
      <c r="A1875" s="1482"/>
      <c r="B1875" s="1482"/>
      <c r="C1875" s="1555">
        <f t="shared" si="293"/>
        <v>3</v>
      </c>
      <c r="D1875" s="1492">
        <f t="shared" si="290"/>
        <v>7</v>
      </c>
      <c r="E1875" s="1492"/>
      <c r="F1875" s="1484" t="s">
        <v>11724</v>
      </c>
      <c r="H1875" s="1095" t="s">
        <v>70</v>
      </c>
      <c r="I1875" s="780">
        <v>37458</v>
      </c>
      <c r="J1875" s="834"/>
      <c r="K1875" s="790" t="str">
        <f>(IF(H1875="Saneago",VLOOKUP(I1875,'SANEAGO-FEV.2016'!A:B,2,0),IF(H1875="Sinapi",VLOOKUP(I1875,'SINAPI-FEV.2017'!A:D,2,0),IF(H1875="Cotação",VLOOKUP(I1875,COTAÇÃO!A:D,2,0),IF(H1875="Composição",VLOOKUP(I1875,COMPOSIÇÃO!A:D,2,0))))))</f>
        <v>MANGUEIRA CRISTAL, LISA, PVC TRANSPARENTE, 1/2" X 2 MM</v>
      </c>
      <c r="L1875" s="780" t="s">
        <v>18</v>
      </c>
      <c r="M1875" s="1270">
        <v>16</v>
      </c>
      <c r="N1875" s="399">
        <v>0</v>
      </c>
      <c r="O1875" s="102">
        <f t="shared" si="291"/>
        <v>0</v>
      </c>
      <c r="P1875" s="101">
        <f t="shared" si="292"/>
        <v>0</v>
      </c>
      <c r="Q1875" s="1472">
        <v>16</v>
      </c>
    </row>
    <row r="1876" spans="1:17" ht="22.5">
      <c r="A1876" s="1482"/>
      <c r="B1876" s="1482"/>
      <c r="C1876" s="1555">
        <f t="shared" si="293"/>
        <v>3</v>
      </c>
      <c r="D1876" s="1492">
        <f t="shared" si="290"/>
        <v>7</v>
      </c>
      <c r="E1876" s="1492"/>
      <c r="F1876" s="1484" t="s">
        <v>11724</v>
      </c>
      <c r="H1876" s="1095" t="s">
        <v>70</v>
      </c>
      <c r="I1876" s="780">
        <v>392</v>
      </c>
      <c r="J1876" s="834"/>
      <c r="K1876" s="790" t="str">
        <f>(IF(H1876="Saneago",VLOOKUP(I1876,'SANEAGO-FEV.2016'!A:B,2,0),IF(H1876="Sinapi",VLOOKUP(I1876,'SINAPI-FEV.2017'!A:D,2,0),IF(H1876="Cotação",VLOOKUP(I1876,COTAÇÃO!A:D,2,0),IF(H1876="Composição",VLOOKUP(I1876,COMPOSIÇÃO!A:D,2,0))))))</f>
        <v>ABRACADEIRA EM ACO PARA AMARRACAO DE ELETRODUTOS, TIPO D, COM 1/2" E PARAFUSO DE FIXACAO</v>
      </c>
      <c r="L1876" s="780" t="s">
        <v>1270</v>
      </c>
      <c r="M1876" s="1270">
        <v>22</v>
      </c>
      <c r="N1876" s="399">
        <v>0</v>
      </c>
      <c r="O1876" s="102">
        <f t="shared" si="291"/>
        <v>0</v>
      </c>
      <c r="P1876" s="101">
        <f t="shared" si="292"/>
        <v>0</v>
      </c>
      <c r="Q1876" s="1472">
        <v>22</v>
      </c>
    </row>
    <row r="1877" spans="1:17" ht="22.5">
      <c r="A1877" s="1482"/>
      <c r="B1877" s="1482"/>
      <c r="C1877" s="1555">
        <f t="shared" si="293"/>
        <v>3</v>
      </c>
      <c r="D1877" s="1492">
        <f t="shared" si="290"/>
        <v>7</v>
      </c>
      <c r="E1877" s="1492"/>
      <c r="F1877" s="1484" t="s">
        <v>11724</v>
      </c>
      <c r="H1877" s="1095" t="s">
        <v>70</v>
      </c>
      <c r="I1877" s="780">
        <v>39128</v>
      </c>
      <c r="J1877" s="834"/>
      <c r="K1877" s="790" t="str">
        <f>(IF(H1877="Saneago",VLOOKUP(I1877,'SANEAGO-FEV.2016'!A:B,2,0),IF(H1877="Sinapi",VLOOKUP(I1877,'SINAPI-FEV.2017'!A:D,2,0),IF(H1877="Cotação",VLOOKUP(I1877,COTAÇÃO!A:D,2,0),IF(H1877="Composição",VLOOKUP(I1877,COMPOSIÇÃO!A:D,2,0))))))</f>
        <v>ABRACADEIRA EM ACO PARA AMARRACAO DE ELETRODUTOS, TIPO D, COM 3/4" E CUNHA DE FIXACAO</v>
      </c>
      <c r="L1877" s="780" t="s">
        <v>1270</v>
      </c>
      <c r="M1877" s="1270">
        <v>8</v>
      </c>
      <c r="N1877" s="399">
        <v>0</v>
      </c>
      <c r="O1877" s="102">
        <f t="shared" si="291"/>
        <v>0</v>
      </c>
      <c r="P1877" s="101">
        <f t="shared" si="292"/>
        <v>0</v>
      </c>
      <c r="Q1877" s="1472">
        <v>8</v>
      </c>
    </row>
    <row r="1878" spans="1:17" ht="22.5">
      <c r="A1878" s="1482"/>
      <c r="B1878" s="1482"/>
      <c r="C1878" s="1555">
        <f t="shared" si="293"/>
        <v>3</v>
      </c>
      <c r="D1878" s="1492">
        <f t="shared" si="290"/>
        <v>7</v>
      </c>
      <c r="E1878" s="1492"/>
      <c r="F1878" s="1484" t="s">
        <v>11724</v>
      </c>
      <c r="H1878" s="1095" t="s">
        <v>70</v>
      </c>
      <c r="I1878" s="780">
        <v>86911</v>
      </c>
      <c r="J1878" s="834"/>
      <c r="K1878" s="790" t="str">
        <f>(IF(H1878="Saneago",VLOOKUP(I1878,'SANEAGO-FEV.2016'!A:B,2,0),IF(H1878="Sinapi",VLOOKUP(I1878,'SINAPI-FEV.2017'!A:D,2,0),IF(H1878="Cotação",VLOOKUP(I1878,COTAÇÃO!A:D,2,0),IF(H1878="Composição",VLOOKUP(I1878,COMPOSIÇÃO!A:D,2,0))))))</f>
        <v>TORNEIRA CROMADA LONGA, DE PAREDE, 1/2" OU 3/4", PARA PIA DE COZINHA, PADRÃO POPULAR - FORNECIMENTO E INSTALAÇÃO. AF_12/2013</v>
      </c>
      <c r="L1878" s="780" t="s">
        <v>1270</v>
      </c>
      <c r="M1878" s="1270">
        <v>1</v>
      </c>
      <c r="N1878" s="399">
        <v>0</v>
      </c>
      <c r="O1878" s="102">
        <f t="shared" si="291"/>
        <v>0</v>
      </c>
      <c r="P1878" s="101">
        <f t="shared" si="292"/>
        <v>0</v>
      </c>
      <c r="Q1878" s="1472">
        <v>1</v>
      </c>
    </row>
    <row r="1879" spans="1:17">
      <c r="A1879" s="1482"/>
      <c r="B1879" s="1482"/>
      <c r="C1879" s="1555">
        <f t="shared" si="293"/>
        <v>3</v>
      </c>
      <c r="D1879" s="1492">
        <f t="shared" si="290"/>
        <v>7</v>
      </c>
      <c r="E1879" s="1492"/>
      <c r="F1879" s="1484" t="s">
        <v>11724</v>
      </c>
      <c r="H1879" s="1095" t="s">
        <v>11722</v>
      </c>
      <c r="I1879" s="780" t="s">
        <v>13173</v>
      </c>
      <c r="J1879" s="834"/>
      <c r="K1879" s="790" t="str">
        <f>(IF(H1879="Saneago",VLOOKUP(I1879,'SANEAGO-FEV.2016'!A:B,2,0),IF(H1879="Sinapi",VLOOKUP(I1879,'SINAPI-FEV.2017'!A:D,2,0),IF(H1879="Cotação",VLOOKUP(I1879,COTAÇÃO!A:D,2,0),IF(H1879="Composição",VLOOKUP(I1879,COMPOSIÇÃO!A:D,2,0))))))</f>
        <v>Tubo em aço carbono com ponta roscável, com roscas BSP, DN 1/2", L=0,75m</v>
      </c>
      <c r="L1879" s="780" t="s">
        <v>1270</v>
      </c>
      <c r="M1879" s="1270">
        <v>1</v>
      </c>
      <c r="N1879" s="399">
        <v>0</v>
      </c>
      <c r="O1879" s="102">
        <f t="shared" si="291"/>
        <v>0</v>
      </c>
      <c r="P1879" s="101">
        <f t="shared" si="292"/>
        <v>0</v>
      </c>
      <c r="Q1879" s="1472">
        <v>1</v>
      </c>
    </row>
    <row r="1880" spans="1:17">
      <c r="A1880" s="1482"/>
      <c r="B1880" s="1482"/>
      <c r="C1880" s="1555">
        <f t="shared" si="293"/>
        <v>3</v>
      </c>
      <c r="D1880" s="1492">
        <f t="shared" si="290"/>
        <v>7</v>
      </c>
      <c r="E1880" s="1492"/>
      <c r="F1880" s="1484" t="s">
        <v>11724</v>
      </c>
      <c r="H1880" s="1095" t="s">
        <v>11722</v>
      </c>
      <c r="I1880" s="780" t="s">
        <v>12778</v>
      </c>
      <c r="J1880" s="834"/>
      <c r="K1880" s="790" t="str">
        <f>(IF(H1880="Saneago",VLOOKUP(I1880,'SANEAGO-FEV.2016'!A:B,2,0),IF(H1880="Sinapi",VLOOKUP(I1880,'SINAPI-FEV.2017'!A:D,2,0),IF(H1880="Cotação",VLOOKUP(I1880,COTAÇÃO!A:D,2,0),IF(H1880="Composição",VLOOKUP(I1880,COMPOSIÇÃO!A:D,2,0))))))</f>
        <v>Espigão 90°, em aço inox, DN 1/2"</v>
      </c>
      <c r="L1880" s="780" t="s">
        <v>1270</v>
      </c>
      <c r="M1880" s="1270">
        <v>2</v>
      </c>
      <c r="N1880" s="399">
        <v>0</v>
      </c>
      <c r="O1880" s="102">
        <f t="shared" si="291"/>
        <v>0</v>
      </c>
      <c r="P1880" s="101">
        <f t="shared" si="292"/>
        <v>0</v>
      </c>
      <c r="Q1880" s="1472">
        <v>2</v>
      </c>
    </row>
    <row r="1881" spans="1:17">
      <c r="A1881" s="1482"/>
      <c r="B1881" s="1482"/>
      <c r="C1881" s="1555">
        <f t="shared" si="293"/>
        <v>3</v>
      </c>
      <c r="D1881" s="1492">
        <f t="shared" si="290"/>
        <v>7</v>
      </c>
      <c r="E1881" s="1492"/>
      <c r="F1881" s="1484" t="s">
        <v>11724</v>
      </c>
      <c r="H1881" s="1095" t="s">
        <v>11722</v>
      </c>
      <c r="I1881" s="780" t="s">
        <v>12778</v>
      </c>
      <c r="J1881" s="834"/>
      <c r="K1881" s="790" t="str">
        <f>(IF(H1881="Saneago",VLOOKUP(I1881,'SANEAGO-FEV.2016'!A:B,2,0),IF(H1881="Sinapi",VLOOKUP(I1881,'SINAPI-FEV.2017'!A:D,2,0),IF(H1881="Cotação",VLOOKUP(I1881,COTAÇÃO!A:D,2,0),IF(H1881="Composição",VLOOKUP(I1881,COMPOSIÇÃO!A:D,2,0))))))</f>
        <v>Espigão 90°, em aço inox, DN 1/2"</v>
      </c>
      <c r="L1881" s="780" t="s">
        <v>1270</v>
      </c>
      <c r="M1881" s="1270">
        <v>8</v>
      </c>
      <c r="N1881" s="399">
        <v>0</v>
      </c>
      <c r="O1881" s="102">
        <f t="shared" si="291"/>
        <v>0</v>
      </c>
      <c r="P1881" s="101">
        <f t="shared" si="292"/>
        <v>0</v>
      </c>
      <c r="Q1881" s="1472">
        <v>8</v>
      </c>
    </row>
    <row r="1882" spans="1:17">
      <c r="A1882" s="1482"/>
      <c r="B1882" s="1482"/>
      <c r="C1882" s="1555">
        <f t="shared" si="293"/>
        <v>3</v>
      </c>
      <c r="D1882" s="1492">
        <f t="shared" si="290"/>
        <v>7</v>
      </c>
      <c r="E1882" s="1492"/>
      <c r="F1882" s="1484" t="s">
        <v>11724</v>
      </c>
      <c r="H1882" s="1095" t="s">
        <v>11722</v>
      </c>
      <c r="I1882" s="780" t="s">
        <v>12780</v>
      </c>
      <c r="J1882" s="834"/>
      <c r="K1882" s="790" t="str">
        <f>(IF(H1882="Saneago",VLOOKUP(I1882,'SANEAGO-FEV.2016'!A:B,2,0),IF(H1882="Sinapi",VLOOKUP(I1882,'SINAPI-FEV.2017'!A:D,2,0),IF(H1882="Cotação",VLOOKUP(I1882,COTAÇÃO!A:D,2,0),IF(H1882="Composição",VLOOKUP(I1882,COMPOSIÇÃO!A:D,2,0))))))</f>
        <v>Espigão duplo, em aço inox, DN 1/2"</v>
      </c>
      <c r="L1882" s="780" t="s">
        <v>1270</v>
      </c>
      <c r="M1882" s="1270">
        <v>2</v>
      </c>
      <c r="N1882" s="399">
        <v>0</v>
      </c>
      <c r="O1882" s="102">
        <f t="shared" si="291"/>
        <v>0</v>
      </c>
      <c r="P1882" s="101">
        <f t="shared" si="292"/>
        <v>0</v>
      </c>
      <c r="Q1882" s="1472">
        <v>2</v>
      </c>
    </row>
    <row r="1883" spans="1:17">
      <c r="A1883" s="1482"/>
      <c r="B1883" s="1482"/>
      <c r="C1883" s="1555">
        <f t="shared" si="293"/>
        <v>3</v>
      </c>
      <c r="D1883" s="1492">
        <f t="shared" si="290"/>
        <v>7</v>
      </c>
      <c r="E1883" s="1492"/>
      <c r="F1883" s="1484" t="s">
        <v>11724</v>
      </c>
      <c r="H1883" s="1095" t="s">
        <v>11722</v>
      </c>
      <c r="I1883" s="780" t="s">
        <v>13329</v>
      </c>
      <c r="J1883" s="834"/>
      <c r="K1883" s="790" t="str">
        <f>(IF(H1883="Saneago",VLOOKUP(I1883,'SANEAGO-FEV.2016'!A:B,2,0),IF(H1883="Sinapi",VLOOKUP(I1883,'SINAPI-FEV.2017'!A:D,2,0),IF(H1883="Cotação",VLOOKUP(I1883,COTAÇÃO!A:D,2,0),IF(H1883="Composição",VLOOKUP(I1883,COMPOSIÇÃO!A:D,2,0))))))</f>
        <v>Apoio da tubulação, DN50</v>
      </c>
      <c r="L1883" s="780" t="s">
        <v>1270</v>
      </c>
      <c r="M1883" s="1270">
        <v>3</v>
      </c>
      <c r="N1883" s="399">
        <v>0</v>
      </c>
      <c r="O1883" s="102">
        <f t="shared" si="291"/>
        <v>0</v>
      </c>
      <c r="P1883" s="101">
        <f t="shared" si="292"/>
        <v>0</v>
      </c>
      <c r="Q1883" s="1472">
        <v>3</v>
      </c>
    </row>
    <row r="1884" spans="1:17">
      <c r="A1884" s="1482"/>
      <c r="B1884" s="1482"/>
      <c r="C1884" s="1555">
        <f t="shared" si="293"/>
        <v>3</v>
      </c>
      <c r="D1884" s="1492">
        <f t="shared" si="290"/>
        <v>7</v>
      </c>
      <c r="E1884" s="1492"/>
      <c r="F1884" s="1484" t="s">
        <v>11724</v>
      </c>
      <c r="H1884" s="1095" t="s">
        <v>11722</v>
      </c>
      <c r="I1884" s="780" t="s">
        <v>13330</v>
      </c>
      <c r="J1884" s="834"/>
      <c r="K1884" s="790" t="str">
        <f>(IF(H1884="Saneago",VLOOKUP(I1884,'SANEAGO-FEV.2016'!A:B,2,0),IF(H1884="Sinapi",VLOOKUP(I1884,'SINAPI-FEV.2017'!A:D,2,0),IF(H1884="Cotação",VLOOKUP(I1884,COTAÇÃO!A:D,2,0),IF(H1884="Composição",VLOOKUP(I1884,COMPOSIÇÃO!A:D,2,0))))))</f>
        <v>Apoio da tubulação, DN25</v>
      </c>
      <c r="L1884" s="780" t="s">
        <v>1270</v>
      </c>
      <c r="M1884" s="1270">
        <v>4</v>
      </c>
      <c r="N1884" s="399">
        <v>0</v>
      </c>
      <c r="O1884" s="102">
        <f t="shared" si="291"/>
        <v>0</v>
      </c>
      <c r="P1884" s="101">
        <f t="shared" si="292"/>
        <v>0</v>
      </c>
      <c r="Q1884" s="1472">
        <v>4</v>
      </c>
    </row>
    <row r="1885" spans="1:17">
      <c r="A1885" s="1482"/>
      <c r="B1885" s="1482"/>
      <c r="C1885" s="1555">
        <f t="shared" si="293"/>
        <v>3</v>
      </c>
      <c r="D1885" s="1492">
        <f t="shared" si="290"/>
        <v>7</v>
      </c>
      <c r="E1885" s="1492"/>
      <c r="F1885" s="1484" t="s">
        <v>11724</v>
      </c>
      <c r="H1885" s="1095" t="s">
        <v>11722</v>
      </c>
      <c r="I1885" s="780" t="s">
        <v>13331</v>
      </c>
      <c r="J1885" s="834"/>
      <c r="K1885" s="790" t="str">
        <f>(IF(H1885="Saneago",VLOOKUP(I1885,'SANEAGO-FEV.2016'!A:B,2,0),IF(H1885="Sinapi",VLOOKUP(I1885,'SINAPI-FEV.2017'!A:D,2,0),IF(H1885="Cotação",VLOOKUP(I1885,COTAÇÃO!A:D,2,0),IF(H1885="Composição",VLOOKUP(I1885,COMPOSIÇÃO!A:D,2,0))))))</f>
        <v>Arruelas para flanges, PN-10, DN40</v>
      </c>
      <c r="L1885" s="780" t="s">
        <v>1270</v>
      </c>
      <c r="M1885" s="1270">
        <v>1</v>
      </c>
      <c r="N1885" s="399">
        <v>0</v>
      </c>
      <c r="O1885" s="102">
        <f t="shared" si="291"/>
        <v>0</v>
      </c>
      <c r="P1885" s="101">
        <f t="shared" si="292"/>
        <v>0</v>
      </c>
      <c r="Q1885" s="1472">
        <v>1</v>
      </c>
    </row>
    <row r="1886" spans="1:17">
      <c r="A1886" s="1482"/>
      <c r="B1886" s="1482"/>
      <c r="C1886" s="1555">
        <f t="shared" si="293"/>
        <v>3</v>
      </c>
      <c r="D1886" s="1492">
        <f t="shared" si="290"/>
        <v>7</v>
      </c>
      <c r="E1886" s="1492"/>
      <c r="F1886" s="1484" t="s">
        <v>11724</v>
      </c>
      <c r="H1886" s="1095" t="s">
        <v>11722</v>
      </c>
      <c r="I1886" s="780" t="s">
        <v>13332</v>
      </c>
      <c r="J1886" s="834"/>
      <c r="K1886" s="790" t="str">
        <f>(IF(H1886="Saneago",VLOOKUP(I1886,'SANEAGO-FEV.2016'!A:B,2,0),IF(H1886="Sinapi",VLOOKUP(I1886,'SINAPI-FEV.2017'!A:D,2,0),IF(H1886="Cotação",VLOOKUP(I1886,COTAÇÃO!A:D,2,0),IF(H1886="Composição",VLOOKUP(I1886,COMPOSIÇÃO!A:D,2,0))))))</f>
        <v>Arruelas para flanges, PN-10, DN50</v>
      </c>
      <c r="L1886" s="780" t="s">
        <v>1270</v>
      </c>
      <c r="M1886" s="1270">
        <v>1</v>
      </c>
      <c r="N1886" s="399">
        <v>0</v>
      </c>
      <c r="O1886" s="102">
        <f t="shared" si="291"/>
        <v>0</v>
      </c>
      <c r="P1886" s="101">
        <f t="shared" si="292"/>
        <v>0</v>
      </c>
      <c r="Q1886" s="1472">
        <v>1</v>
      </c>
    </row>
    <row r="1887" spans="1:17">
      <c r="A1887" s="1482"/>
      <c r="B1887" s="1482"/>
      <c r="C1887" s="1555">
        <f t="shared" si="293"/>
        <v>3</v>
      </c>
      <c r="D1887" s="1492">
        <f t="shared" ref="D1887:D1900" si="294">D1886+B1887</f>
        <v>7</v>
      </c>
      <c r="E1887" s="1492"/>
      <c r="F1887" s="1484" t="s">
        <v>11724</v>
      </c>
      <c r="H1887" s="1095" t="s">
        <v>11722</v>
      </c>
      <c r="I1887" s="780" t="s">
        <v>13333</v>
      </c>
      <c r="J1887" s="834"/>
      <c r="K1887" s="790" t="str">
        <f>(IF(H1887="Saneago",VLOOKUP(I1887,'SANEAGO-FEV.2016'!A:B,2,0),IF(H1887="Sinapi",VLOOKUP(I1887,'SINAPI-FEV.2017'!A:D,2,0),IF(H1887="Cotação",VLOOKUP(I1887,COTAÇÃO!A:D,2,0),IF(H1887="Composição",VLOOKUP(I1887,COMPOSIÇÃO!A:D,2,0))))))</f>
        <v>Engate rápido para mangueira, em polipropileno, DN 40</v>
      </c>
      <c r="L1887" s="780" t="s">
        <v>10854</v>
      </c>
      <c r="M1887" s="1270">
        <v>1</v>
      </c>
      <c r="N1887" s="399">
        <v>0</v>
      </c>
      <c r="O1887" s="102">
        <f t="shared" si="291"/>
        <v>0</v>
      </c>
      <c r="P1887" s="101">
        <f t="shared" si="292"/>
        <v>0</v>
      </c>
      <c r="Q1887" s="1472">
        <v>1</v>
      </c>
    </row>
    <row r="1888" spans="1:17">
      <c r="A1888" s="1482"/>
      <c r="B1888" s="1482"/>
      <c r="C1888" s="1555">
        <f t="shared" si="293"/>
        <v>3</v>
      </c>
      <c r="D1888" s="1492">
        <f t="shared" si="294"/>
        <v>7</v>
      </c>
      <c r="E1888" s="1492"/>
      <c r="F1888" s="1484" t="s">
        <v>11724</v>
      </c>
      <c r="H1888" s="1095" t="s">
        <v>11722</v>
      </c>
      <c r="I1888" s="780" t="s">
        <v>13334</v>
      </c>
      <c r="J1888" s="834"/>
      <c r="K1888" s="790" t="str">
        <f>(IF(H1888="Saneago",VLOOKUP(I1888,'SANEAGO-FEV.2016'!A:B,2,0),IF(H1888="Sinapi",VLOOKUP(I1888,'SINAPI-FEV.2017'!A:D,2,0),IF(H1888="Cotação",VLOOKUP(I1888,COTAÇÃO!A:D,2,0),IF(H1888="Composição",VLOOKUP(I1888,COMPOSIÇÃO!A:D,2,0))))))</f>
        <v>Engate rápido para mangueira, em polipropileno, DN 1 1/2"</v>
      </c>
      <c r="L1888" s="780" t="s">
        <v>10854</v>
      </c>
      <c r="M1888" s="1270">
        <v>1</v>
      </c>
      <c r="N1888" s="399">
        <v>0</v>
      </c>
      <c r="O1888" s="102">
        <f t="shared" si="291"/>
        <v>0</v>
      </c>
      <c r="P1888" s="101">
        <f t="shared" si="292"/>
        <v>0</v>
      </c>
      <c r="Q1888" s="1472">
        <v>1</v>
      </c>
    </row>
    <row r="1889" spans="1:17">
      <c r="A1889" s="1482"/>
      <c r="B1889" s="1482"/>
      <c r="C1889" s="1555">
        <f t="shared" si="293"/>
        <v>3</v>
      </c>
      <c r="D1889" s="1492">
        <f t="shared" si="294"/>
        <v>7</v>
      </c>
      <c r="E1889" s="1492"/>
      <c r="F1889" s="1484" t="s">
        <v>11724</v>
      </c>
      <c r="H1889" s="1095" t="s">
        <v>11722</v>
      </c>
      <c r="I1889" s="780" t="s">
        <v>13335</v>
      </c>
      <c r="J1889" s="834"/>
      <c r="K1889" s="790" t="str">
        <f>(IF(H1889="Saneago",VLOOKUP(I1889,'SANEAGO-FEV.2016'!A:B,2,0),IF(H1889="Sinapi",VLOOKUP(I1889,'SINAPI-FEV.2017'!A:D,2,0),IF(H1889="Cotação",VLOOKUP(I1889,COTAÇÃO!A:D,2,0),IF(H1889="Composição",VLOOKUP(I1889,COMPOSIÇÃO!A:D,2,0))))))</f>
        <v>Parafusos para flanges, PN-10, DN40 (16x80)</v>
      </c>
      <c r="L1889" s="780" t="s">
        <v>1270</v>
      </c>
      <c r="M1889" s="1270">
        <v>4</v>
      </c>
      <c r="N1889" s="399">
        <v>0</v>
      </c>
      <c r="O1889" s="102">
        <f t="shared" si="291"/>
        <v>0</v>
      </c>
      <c r="P1889" s="101">
        <f t="shared" si="292"/>
        <v>0</v>
      </c>
      <c r="Q1889" s="1472">
        <v>4</v>
      </c>
    </row>
    <row r="1890" spans="1:17">
      <c r="A1890" s="1482"/>
      <c r="B1890" s="1482"/>
      <c r="C1890" s="1555">
        <f t="shared" si="293"/>
        <v>3</v>
      </c>
      <c r="D1890" s="1492">
        <f t="shared" si="294"/>
        <v>7</v>
      </c>
      <c r="E1890" s="1492"/>
      <c r="F1890" s="1484" t="s">
        <v>11724</v>
      </c>
      <c r="H1890" s="1095" t="s">
        <v>11722</v>
      </c>
      <c r="I1890" s="780" t="s">
        <v>13336</v>
      </c>
      <c r="J1890" s="834"/>
      <c r="K1890" s="790" t="str">
        <f>(IF(H1890="Saneago",VLOOKUP(I1890,'SANEAGO-FEV.2016'!A:B,2,0),IF(H1890="Sinapi",VLOOKUP(I1890,'SINAPI-FEV.2017'!A:D,2,0),IF(H1890="Cotação",VLOOKUP(I1890,COTAÇÃO!A:D,2,0),IF(H1890="Composição",VLOOKUP(I1890,COMPOSIÇÃO!A:D,2,0))))))</f>
        <v>Parafusos para flanges, PN-10, DN50 (16x80)</v>
      </c>
      <c r="L1890" s="780" t="s">
        <v>1270</v>
      </c>
      <c r="M1890" s="1270">
        <v>4</v>
      </c>
      <c r="N1890" s="399">
        <v>0</v>
      </c>
      <c r="O1890" s="102">
        <f t="shared" si="291"/>
        <v>0</v>
      </c>
      <c r="P1890" s="101">
        <f t="shared" si="292"/>
        <v>0</v>
      </c>
      <c r="Q1890" s="1472">
        <v>4</v>
      </c>
    </row>
    <row r="1891" spans="1:17">
      <c r="A1891" s="1482"/>
      <c r="B1891" s="1482"/>
      <c r="C1891" s="1555">
        <f t="shared" si="293"/>
        <v>3</v>
      </c>
      <c r="D1891" s="1492">
        <f t="shared" si="294"/>
        <v>7</v>
      </c>
      <c r="E1891" s="1492"/>
      <c r="F1891" s="1484" t="s">
        <v>11724</v>
      </c>
      <c r="H1891" s="1095" t="s">
        <v>11722</v>
      </c>
      <c r="I1891" s="780" t="s">
        <v>13257</v>
      </c>
      <c r="J1891" s="834"/>
      <c r="K1891" s="790" t="str">
        <f>(IF(H1891="Saneago",VLOOKUP(I1891,'SANEAGO-FEV.2016'!A:B,2,0),IF(H1891="Sinapi",VLOOKUP(I1891,'SINAPI-FEV.2017'!A:D,2,0),IF(H1891="Cotação",VLOOKUP(I1891,COTAÇÃO!A:D,2,0),IF(H1891="Composição",VLOOKUP(I1891,COMPOSIÇÃO!A:D,2,0))))))</f>
        <v>Bomba peristáltica dosadora de Hipoclorito de Sódio</v>
      </c>
      <c r="L1891" s="780" t="s">
        <v>11723</v>
      </c>
      <c r="M1891" s="1270">
        <v>3</v>
      </c>
      <c r="N1891" s="399">
        <v>0</v>
      </c>
      <c r="O1891" s="102">
        <f t="shared" si="291"/>
        <v>0</v>
      </c>
      <c r="P1891" s="101">
        <f t="shared" si="292"/>
        <v>0</v>
      </c>
      <c r="Q1891" s="1472">
        <v>3</v>
      </c>
    </row>
    <row r="1892" spans="1:17">
      <c r="A1892" s="1482"/>
      <c r="B1892" s="1482"/>
      <c r="C1892" s="1555">
        <f t="shared" si="293"/>
        <v>3</v>
      </c>
      <c r="D1892" s="1492">
        <f t="shared" si="294"/>
        <v>7</v>
      </c>
      <c r="E1892" s="1492"/>
      <c r="F1892" s="1484" t="s">
        <v>11724</v>
      </c>
      <c r="H1892" s="1095" t="s">
        <v>11722</v>
      </c>
      <c r="I1892" s="780" t="s">
        <v>13337</v>
      </c>
      <c r="J1892" s="834"/>
      <c r="K1892" s="790" t="str">
        <f>(IF(H1892="Saneago",VLOOKUP(I1892,'SANEAGO-FEV.2016'!A:B,2,0),IF(H1892="Sinapi",VLOOKUP(I1892,'SINAPI-FEV.2017'!A:D,2,0),IF(H1892="Cotação",VLOOKUP(I1892,COTAÇÃO!A:D,2,0),IF(H1892="Composição",VLOOKUP(I1892,COMPOSIÇÃO!A:D,2,0))))))</f>
        <v>Redução excêntrica em polipropileno com flanges, DN40 x Dnsucção da bomba</v>
      </c>
      <c r="L1892" s="780" t="s">
        <v>1270</v>
      </c>
      <c r="M1892" s="1270">
        <v>1</v>
      </c>
      <c r="N1892" s="399">
        <v>0</v>
      </c>
      <c r="O1892" s="102">
        <f t="shared" si="291"/>
        <v>0</v>
      </c>
      <c r="P1892" s="101">
        <f t="shared" si="292"/>
        <v>0</v>
      </c>
      <c r="Q1892" s="1472">
        <v>1</v>
      </c>
    </row>
    <row r="1893" spans="1:17">
      <c r="A1893" s="1482"/>
      <c r="B1893" s="1482"/>
      <c r="C1893" s="1555">
        <f t="shared" si="293"/>
        <v>3</v>
      </c>
      <c r="D1893" s="1492">
        <f t="shared" si="294"/>
        <v>7</v>
      </c>
      <c r="E1893" s="1492"/>
      <c r="F1893" s="1484" t="s">
        <v>11724</v>
      </c>
      <c r="H1893" s="1095" t="s">
        <v>11722</v>
      </c>
      <c r="I1893" s="780" t="s">
        <v>13338</v>
      </c>
      <c r="J1893" s="834"/>
      <c r="K1893" s="790" t="str">
        <f>(IF(H1893="Saneago",VLOOKUP(I1893,'SANEAGO-FEV.2016'!A:B,2,0),IF(H1893="Sinapi",VLOOKUP(I1893,'SINAPI-FEV.2017'!A:D,2,0),IF(H1893="Cotação",VLOOKUP(I1893,COTAÇÃO!A:D,2,0),IF(H1893="Composição",VLOOKUP(I1893,COMPOSIÇÃO!A:D,2,0))))))</f>
        <v>Tubo em polipropileno com flange e ponta, PN-10, DN40, L=0,30m</v>
      </c>
      <c r="L1893" s="780" t="s">
        <v>1270</v>
      </c>
      <c r="M1893" s="1270">
        <v>1</v>
      </c>
      <c r="N1893" s="399">
        <v>0</v>
      </c>
      <c r="O1893" s="102">
        <f t="shared" si="291"/>
        <v>0</v>
      </c>
      <c r="P1893" s="101">
        <f t="shared" si="292"/>
        <v>0</v>
      </c>
      <c r="Q1893" s="1472">
        <v>1</v>
      </c>
    </row>
    <row r="1894" spans="1:17">
      <c r="A1894" s="1482"/>
      <c r="B1894" s="1482"/>
      <c r="C1894" s="1555">
        <f t="shared" si="293"/>
        <v>3</v>
      </c>
      <c r="D1894" s="1492">
        <f t="shared" si="294"/>
        <v>7</v>
      </c>
      <c r="E1894" s="1492"/>
      <c r="F1894" s="1484" t="s">
        <v>11724</v>
      </c>
      <c r="H1894" s="1095" t="s">
        <v>11722</v>
      </c>
      <c r="I1894" s="780" t="s">
        <v>13339</v>
      </c>
      <c r="J1894" s="834"/>
      <c r="K1894" s="790" t="str">
        <f>(IF(H1894="Saneago",VLOOKUP(I1894,'SANEAGO-FEV.2016'!A:B,2,0),IF(H1894="Sinapi",VLOOKUP(I1894,'SINAPI-FEV.2017'!A:D,2,0),IF(H1894="Cotação",VLOOKUP(I1894,COTAÇÃO!A:D,2,0),IF(H1894="Composição",VLOOKUP(I1894,COMPOSIÇÃO!A:D,2,0))))))</f>
        <v>Tubo em polipropileno flange e ponta, PN-10, DN50, L=0,45m</v>
      </c>
      <c r="L1894" s="780" t="s">
        <v>1270</v>
      </c>
      <c r="M1894" s="1270">
        <v>1</v>
      </c>
      <c r="N1894" s="399">
        <v>0</v>
      </c>
      <c r="O1894" s="102">
        <f t="shared" si="291"/>
        <v>0</v>
      </c>
      <c r="P1894" s="101">
        <f t="shared" si="292"/>
        <v>0</v>
      </c>
      <c r="Q1894" s="1472">
        <v>1</v>
      </c>
    </row>
    <row r="1895" spans="1:17">
      <c r="A1895" s="1482"/>
      <c r="B1895" s="1482"/>
      <c r="C1895" s="1555">
        <f t="shared" si="293"/>
        <v>3</v>
      </c>
      <c r="D1895" s="1492">
        <f t="shared" si="294"/>
        <v>7</v>
      </c>
      <c r="E1895" s="1492"/>
      <c r="F1895" s="1484" t="s">
        <v>11724</v>
      </c>
      <c r="H1895" s="1095" t="s">
        <v>11722</v>
      </c>
      <c r="I1895" s="780" t="s">
        <v>13340</v>
      </c>
      <c r="J1895" s="834"/>
      <c r="K1895" s="790" t="str">
        <f>(IF(H1895="Saneago",VLOOKUP(I1895,'SANEAGO-FEV.2016'!A:B,2,0),IF(H1895="Sinapi",VLOOKUP(I1895,'SINAPI-FEV.2017'!A:D,2,0),IF(H1895="Cotação",VLOOKUP(I1895,COTAÇÃO!A:D,2,0),IF(H1895="Composição",VLOOKUP(I1895,COMPOSIÇÃO!A:D,2,0))))))</f>
        <v>Válvula de pé e crivo, em PVC/roscável, DN 1 1/4"</v>
      </c>
      <c r="L1895" s="780" t="s">
        <v>10854</v>
      </c>
      <c r="M1895" s="1270">
        <v>1</v>
      </c>
      <c r="N1895" s="399">
        <v>0</v>
      </c>
      <c r="O1895" s="102">
        <f t="shared" si="291"/>
        <v>0</v>
      </c>
      <c r="P1895" s="101">
        <f t="shared" si="292"/>
        <v>0</v>
      </c>
      <c r="Q1895" s="1472">
        <v>1</v>
      </c>
    </row>
    <row r="1896" spans="1:17" ht="15.75" thickBot="1">
      <c r="A1896" s="1482"/>
      <c r="B1896" s="1482"/>
      <c r="C1896" s="1555">
        <f t="shared" si="293"/>
        <v>3</v>
      </c>
      <c r="D1896" s="1492">
        <f t="shared" si="294"/>
        <v>7</v>
      </c>
      <c r="E1896" s="1492"/>
      <c r="F1896" s="1484" t="s">
        <v>11724</v>
      </c>
      <c r="H1896" s="1095"/>
      <c r="I1896" s="780"/>
      <c r="J1896" s="834"/>
      <c r="K1896" s="780"/>
      <c r="L1896" s="780"/>
      <c r="M1896" s="1270"/>
      <c r="N1896" s="399"/>
      <c r="O1896" s="102"/>
      <c r="P1896" s="101"/>
    </row>
    <row r="1897" spans="1:17" ht="16.5" thickTop="1" thickBot="1">
      <c r="A1897" s="1482"/>
      <c r="B1897" s="1482">
        <v>1</v>
      </c>
      <c r="C1897" s="1555">
        <f t="shared" si="293"/>
        <v>3</v>
      </c>
      <c r="D1897" s="1492">
        <f t="shared" si="294"/>
        <v>8</v>
      </c>
      <c r="E1897" s="1492"/>
      <c r="F1897" s="1484" t="s">
        <v>11724</v>
      </c>
      <c r="G1897" s="921"/>
      <c r="H1897" s="1510" t="str">
        <f>CONCATENATE(C1897,".",D1897)</f>
        <v>3.8</v>
      </c>
      <c r="I1897" s="1573" t="s">
        <v>13357</v>
      </c>
      <c r="J1897" s="1573"/>
      <c r="K1897" s="1573"/>
      <c r="L1897" s="1573" t="s">
        <v>25</v>
      </c>
      <c r="M1897" s="1574" t="s">
        <v>11704</v>
      </c>
      <c r="N1897" s="397" t="s">
        <v>11705</v>
      </c>
      <c r="O1897" s="99" t="s">
        <v>11706</v>
      </c>
      <c r="P1897" s="100">
        <f>SUBTOTAL(9,P1899:P1930)</f>
        <v>0</v>
      </c>
      <c r="Q1897" s="1472" t="s">
        <v>11704</v>
      </c>
    </row>
    <row r="1898" spans="1:17" ht="15.75" thickTop="1">
      <c r="A1898" s="1482"/>
      <c r="B1898" s="1482"/>
      <c r="C1898" s="1555">
        <f t="shared" si="293"/>
        <v>3</v>
      </c>
      <c r="D1898" s="1492">
        <f t="shared" si="294"/>
        <v>8</v>
      </c>
      <c r="E1898" s="1492"/>
      <c r="F1898" s="1484" t="s">
        <v>11724</v>
      </c>
      <c r="H1898" s="1095"/>
      <c r="I1898" s="780"/>
      <c r="J1898" s="834"/>
      <c r="K1898" s="780"/>
      <c r="L1898" s="780"/>
      <c r="M1898" s="1270"/>
      <c r="N1898" s="400"/>
      <c r="O1898" s="122"/>
      <c r="P1898" s="123"/>
    </row>
    <row r="1899" spans="1:17" ht="22.5">
      <c r="A1899" s="1482"/>
      <c r="B1899" s="1482"/>
      <c r="C1899" s="1555">
        <f t="shared" si="293"/>
        <v>3</v>
      </c>
      <c r="D1899" s="1492">
        <f t="shared" si="294"/>
        <v>8</v>
      </c>
      <c r="E1899" s="1492"/>
      <c r="F1899" s="1484" t="s">
        <v>11724</v>
      </c>
      <c r="H1899" s="1095" t="s">
        <v>70</v>
      </c>
      <c r="I1899" s="780">
        <v>65</v>
      </c>
      <c r="J1899" s="834"/>
      <c r="K1899" s="790" t="str">
        <f>(IF(H1899="Saneago",VLOOKUP(I1899,'SANEAGO-FEV.2016'!A:B,2,0),IF(H1899="Sinapi",VLOOKUP(I1899,'SINAPI-FEV.2017'!A:D,2,0),IF(H1899="Cotação",VLOOKUP(I1899,COTAÇÃO!A:D,2,0),IF(H1899="Composição",VLOOKUP(I1899,COMPOSIÇÃO!A:D,2,0))))))</f>
        <v>ADAPTADOR PVC SOLDAVEL CURTO COM BOLSA E ROSCA, 25 MM X 3/4", PARA AGUA FRIA</v>
      </c>
      <c r="L1899" s="780" t="s">
        <v>1270</v>
      </c>
      <c r="M1899" s="1270">
        <v>11</v>
      </c>
      <c r="N1899" s="399">
        <v>0</v>
      </c>
      <c r="O1899" s="102">
        <f>ROUND(IF(F1899="Serviços",N1899*(1+$O$7),IF(F1899="Materiais",N1899*(1+$O$8))),2)</f>
        <v>0</v>
      </c>
      <c r="P1899" s="101">
        <f>ROUND(M1899*O1899,2)</f>
        <v>0</v>
      </c>
      <c r="Q1899" s="1472">
        <v>11</v>
      </c>
    </row>
    <row r="1900" spans="1:17" ht="22.5">
      <c r="A1900" s="1482"/>
      <c r="B1900" s="1482"/>
      <c r="C1900" s="1555">
        <f t="shared" si="293"/>
        <v>3</v>
      </c>
      <c r="D1900" s="1492">
        <f t="shared" si="294"/>
        <v>8</v>
      </c>
      <c r="E1900" s="1492"/>
      <c r="F1900" s="1484" t="s">
        <v>11724</v>
      </c>
      <c r="H1900" s="1095" t="s">
        <v>70</v>
      </c>
      <c r="I1900" s="780">
        <v>1831</v>
      </c>
      <c r="J1900" s="834"/>
      <c r="K1900" s="790" t="str">
        <f>(IF(H1900="Saneago",VLOOKUP(I1900,'SANEAGO-FEV.2016'!A:B,2,0),IF(H1900="Sinapi",VLOOKUP(I1900,'SINAPI-FEV.2017'!A:D,2,0),IF(H1900="Cotação",VLOOKUP(I1900,COTAÇÃO!A:D,2,0),IF(H1900="Composição",VLOOKUP(I1900,COMPOSIÇÃO!A:D,2,0))))))</f>
        <v>CURVA PVC PBA, JE, PB, 45 GRAUS, DN 50 / DE 60 MM, PARA REDE AGUA (NBR 10351)</v>
      </c>
      <c r="L1900" s="780" t="s">
        <v>1270</v>
      </c>
      <c r="M1900" s="1270">
        <v>2</v>
      </c>
      <c r="N1900" s="399">
        <v>0</v>
      </c>
      <c r="O1900" s="102">
        <f t="shared" ref="O1900:O1930" si="295">ROUND(IF(F1900="Serviços",N1900*(1+$O$7),IF(F1900="Materiais",N1900*(1+$O$8))),2)</f>
        <v>0</v>
      </c>
      <c r="P1900" s="101">
        <f t="shared" ref="P1900:P1930" si="296">ROUND(M1900*O1900,2)</f>
        <v>0</v>
      </c>
      <c r="Q1900" s="1472">
        <v>2</v>
      </c>
    </row>
    <row r="1901" spans="1:17" ht="22.5">
      <c r="A1901" s="1482"/>
      <c r="B1901" s="1482"/>
      <c r="C1901" s="1555">
        <f t="shared" si="293"/>
        <v>3</v>
      </c>
      <c r="D1901" s="1492">
        <f t="shared" si="290"/>
        <v>8</v>
      </c>
      <c r="E1901" s="1492"/>
      <c r="F1901" s="1484" t="s">
        <v>11724</v>
      </c>
      <c r="H1901" s="1095" t="s">
        <v>70</v>
      </c>
      <c r="I1901" s="780">
        <v>1845</v>
      </c>
      <c r="J1901" s="834"/>
      <c r="K1901" s="790" t="str">
        <f>(IF(H1901="Saneago",VLOOKUP(I1901,'SANEAGO-FEV.2016'!A:B,2,0),IF(H1901="Sinapi",VLOOKUP(I1901,'SINAPI-FEV.2017'!A:D,2,0),IF(H1901="Cotação",VLOOKUP(I1901,COTAÇÃO!A:D,2,0),IF(H1901="Composição",VLOOKUP(I1901,COMPOSIÇÃO!A:D,2,0))))))</f>
        <v>CURVA PVC PBA, JE, PB, 90 GRAUS, DN 50 / DE 60 MM, PARA REDE AGUA (NBR 10351)</v>
      </c>
      <c r="L1901" s="780" t="s">
        <v>1270</v>
      </c>
      <c r="M1901" s="1270">
        <v>1</v>
      </c>
      <c r="N1901" s="399">
        <v>0</v>
      </c>
      <c r="O1901" s="102">
        <f t="shared" si="295"/>
        <v>0</v>
      </c>
      <c r="P1901" s="101">
        <f t="shared" si="296"/>
        <v>0</v>
      </c>
      <c r="Q1901" s="1472">
        <v>1</v>
      </c>
    </row>
    <row r="1902" spans="1:17" ht="22.5">
      <c r="A1902" s="1482"/>
      <c r="B1902" s="1482"/>
      <c r="C1902" s="1555">
        <f t="shared" si="293"/>
        <v>3</v>
      </c>
      <c r="D1902" s="1492">
        <f t="shared" si="290"/>
        <v>8</v>
      </c>
      <c r="E1902" s="1492"/>
      <c r="F1902" s="1484" t="s">
        <v>11724</v>
      </c>
      <c r="H1902" s="1095" t="s">
        <v>70</v>
      </c>
      <c r="I1902" s="780">
        <v>1845</v>
      </c>
      <c r="J1902" s="834"/>
      <c r="K1902" s="790" t="str">
        <f>(IF(H1902="Saneago",VLOOKUP(I1902,'SANEAGO-FEV.2016'!A:B,2,0),IF(H1902="Sinapi",VLOOKUP(I1902,'SINAPI-FEV.2017'!A:D,2,0),IF(H1902="Cotação",VLOOKUP(I1902,COTAÇÃO!A:D,2,0),IF(H1902="Composição",VLOOKUP(I1902,COMPOSIÇÃO!A:D,2,0))))))</f>
        <v>CURVA PVC PBA, JE, PB, 90 GRAUS, DN 50 / DE 60 MM, PARA REDE AGUA (NBR 10351)</v>
      </c>
      <c r="L1902" s="780" t="s">
        <v>1270</v>
      </c>
      <c r="M1902" s="1270">
        <v>4</v>
      </c>
      <c r="N1902" s="399">
        <v>0</v>
      </c>
      <c r="O1902" s="102">
        <f t="shared" si="295"/>
        <v>0</v>
      </c>
      <c r="P1902" s="101">
        <f t="shared" si="296"/>
        <v>0</v>
      </c>
      <c r="Q1902" s="1472">
        <v>4</v>
      </c>
    </row>
    <row r="1903" spans="1:17">
      <c r="A1903" s="1482"/>
      <c r="B1903" s="1482"/>
      <c r="C1903" s="1555">
        <f t="shared" si="293"/>
        <v>3</v>
      </c>
      <c r="D1903" s="1492">
        <f t="shared" si="290"/>
        <v>8</v>
      </c>
      <c r="E1903" s="1492"/>
      <c r="F1903" s="1484" t="s">
        <v>11724</v>
      </c>
      <c r="H1903" s="1095" t="s">
        <v>70</v>
      </c>
      <c r="I1903" s="780">
        <v>1966</v>
      </c>
      <c r="J1903" s="834"/>
      <c r="K1903" s="790" t="str">
        <f>(IF(H1903="Saneago",VLOOKUP(I1903,'SANEAGO-FEV.2016'!A:B,2,0),IF(H1903="Sinapi",VLOOKUP(I1903,'SINAPI-FEV.2017'!A:D,2,0),IF(H1903="Cotação",VLOOKUP(I1903,COTAÇÃO!A:D,2,0),IF(H1903="Composição",VLOOKUP(I1903,COMPOSIÇÃO!A:D,2,0))))))</f>
        <v>CURVA PVC CURTA 90 GRAUS, 100 MM, PARA ESGOTO PREDIAL</v>
      </c>
      <c r="L1903" s="780" t="s">
        <v>1270</v>
      </c>
      <c r="M1903" s="1270">
        <v>2</v>
      </c>
      <c r="N1903" s="399">
        <v>0</v>
      </c>
      <c r="O1903" s="102">
        <f t="shared" si="295"/>
        <v>0</v>
      </c>
      <c r="P1903" s="101">
        <f t="shared" si="296"/>
        <v>0</v>
      </c>
      <c r="Q1903" s="1472">
        <v>2</v>
      </c>
    </row>
    <row r="1904" spans="1:17">
      <c r="A1904" s="1482"/>
      <c r="B1904" s="1482"/>
      <c r="C1904" s="1555">
        <f t="shared" si="293"/>
        <v>3</v>
      </c>
      <c r="D1904" s="1492">
        <f t="shared" si="290"/>
        <v>8</v>
      </c>
      <c r="E1904" s="1492"/>
      <c r="F1904" s="1484" t="s">
        <v>11724</v>
      </c>
      <c r="H1904" s="1095" t="s">
        <v>70</v>
      </c>
      <c r="I1904" s="780">
        <v>3529</v>
      </c>
      <c r="J1904" s="834"/>
      <c r="K1904" s="790" t="str">
        <f>(IF(H1904="Saneago",VLOOKUP(I1904,'SANEAGO-FEV.2016'!A:B,2,0),IF(H1904="Sinapi",VLOOKUP(I1904,'SINAPI-FEV.2017'!A:D,2,0),IF(H1904="Cotação",VLOOKUP(I1904,COTAÇÃO!A:D,2,0),IF(H1904="Composição",VLOOKUP(I1904,COMPOSIÇÃO!A:D,2,0))))))</f>
        <v>JOELHO PVC, SOLDAVEL, 90 GRAUS, 25 MM, PARA AGUA FRIA PREDIAL</v>
      </c>
      <c r="L1904" s="780" t="s">
        <v>1270</v>
      </c>
      <c r="M1904" s="1270">
        <v>14</v>
      </c>
      <c r="N1904" s="399">
        <v>0</v>
      </c>
      <c r="O1904" s="102">
        <f t="shared" si="295"/>
        <v>0</v>
      </c>
      <c r="P1904" s="101">
        <f t="shared" si="296"/>
        <v>0</v>
      </c>
      <c r="Q1904" s="1472">
        <v>14</v>
      </c>
    </row>
    <row r="1905" spans="1:17">
      <c r="A1905" s="1482"/>
      <c r="B1905" s="1482"/>
      <c r="C1905" s="1555">
        <f t="shared" si="293"/>
        <v>3</v>
      </c>
      <c r="D1905" s="1492">
        <f t="shared" si="290"/>
        <v>8</v>
      </c>
      <c r="E1905" s="1492"/>
      <c r="F1905" s="1484" t="s">
        <v>11724</v>
      </c>
      <c r="H1905" s="1095" t="s">
        <v>70</v>
      </c>
      <c r="I1905" s="780">
        <v>5103</v>
      </c>
      <c r="J1905" s="834"/>
      <c r="K1905" s="790" t="str">
        <f>(IF(H1905="Saneago",VLOOKUP(I1905,'SANEAGO-FEV.2016'!A:B,2,0),IF(H1905="Sinapi",VLOOKUP(I1905,'SINAPI-FEV.2017'!A:D,2,0),IF(H1905="Cotação",VLOOKUP(I1905,COTAÇÃO!A:D,2,0),IF(H1905="Composição",VLOOKUP(I1905,COMPOSIÇÃO!A:D,2,0))))))</f>
        <v>CAIXA SIFONADA PVC, 100 X 100 X 50 MM, COM GRELHA REDONDA BRANCA</v>
      </c>
      <c r="L1905" s="780" t="s">
        <v>1270</v>
      </c>
      <c r="M1905" s="1270">
        <v>1</v>
      </c>
      <c r="N1905" s="399">
        <v>0</v>
      </c>
      <c r="O1905" s="102">
        <f t="shared" si="295"/>
        <v>0</v>
      </c>
      <c r="P1905" s="101">
        <f t="shared" si="296"/>
        <v>0</v>
      </c>
      <c r="Q1905" s="1472">
        <v>1</v>
      </c>
    </row>
    <row r="1906" spans="1:17">
      <c r="A1906" s="1482"/>
      <c r="B1906" s="1482"/>
      <c r="C1906" s="1555">
        <f t="shared" si="293"/>
        <v>3</v>
      </c>
      <c r="D1906" s="1492">
        <f t="shared" si="290"/>
        <v>8</v>
      </c>
      <c r="E1906" s="1492"/>
      <c r="F1906" s="1484" t="s">
        <v>11724</v>
      </c>
      <c r="H1906" s="1095" t="s">
        <v>70</v>
      </c>
      <c r="I1906" s="780">
        <v>6157</v>
      </c>
      <c r="J1906" s="834"/>
      <c r="K1906" s="790" t="str">
        <f>(IF(H1906="Saneago",VLOOKUP(I1906,'SANEAGO-FEV.2016'!A:B,2,0),IF(H1906="Sinapi",VLOOKUP(I1906,'SINAPI-FEV.2017'!A:D,2,0),IF(H1906="Cotação",VLOOKUP(I1906,COTAÇÃO!A:D,2,0),IF(H1906="Composição",VLOOKUP(I1906,COMPOSIÇÃO!A:D,2,0))))))</f>
        <v>VALVULA EM METAL CROMADO PARA PIA AMERICANA 3.1/2 X 1.1/2 "</v>
      </c>
      <c r="L1906" s="780" t="s">
        <v>1270</v>
      </c>
      <c r="M1906" s="1270">
        <v>2</v>
      </c>
      <c r="N1906" s="399">
        <v>0</v>
      </c>
      <c r="O1906" s="102">
        <f t="shared" si="295"/>
        <v>0</v>
      </c>
      <c r="P1906" s="101">
        <f t="shared" si="296"/>
        <v>0</v>
      </c>
      <c r="Q1906" s="1472">
        <v>2</v>
      </c>
    </row>
    <row r="1907" spans="1:17" ht="22.5">
      <c r="A1907" s="1482"/>
      <c r="B1907" s="1482"/>
      <c r="C1907" s="1555">
        <f t="shared" si="293"/>
        <v>3</v>
      </c>
      <c r="D1907" s="1492">
        <f t="shared" si="290"/>
        <v>8</v>
      </c>
      <c r="E1907" s="1492"/>
      <c r="F1907" s="1484" t="s">
        <v>11724</v>
      </c>
      <c r="H1907" s="1095" t="s">
        <v>70</v>
      </c>
      <c r="I1907" s="780">
        <v>9839</v>
      </c>
      <c r="J1907" s="834"/>
      <c r="K1907" s="790" t="str">
        <f>(IF(H1907="Saneago",VLOOKUP(I1907,'SANEAGO-FEV.2016'!A:B,2,0),IF(H1907="Sinapi",VLOOKUP(I1907,'SINAPI-FEV.2017'!A:D,2,0),IF(H1907="Cotação",VLOOKUP(I1907,COTAÇÃO!A:D,2,0),IF(H1907="Composição",VLOOKUP(I1907,COMPOSIÇÃO!A:D,2,0))))))</f>
        <v>TUBO PVC, PBV, SERIE R, DN 75 MM, PARA ESGOTO OU AGUAS PLUVIAIS PREDIAL (NBR 5688)</v>
      </c>
      <c r="L1907" s="780" t="s">
        <v>18</v>
      </c>
      <c r="M1907" s="1270">
        <v>1.5</v>
      </c>
      <c r="N1907" s="399">
        <v>0</v>
      </c>
      <c r="O1907" s="102">
        <f t="shared" si="295"/>
        <v>0</v>
      </c>
      <c r="P1907" s="101">
        <f t="shared" si="296"/>
        <v>0</v>
      </c>
      <c r="Q1907" s="1472">
        <v>1.5</v>
      </c>
    </row>
    <row r="1908" spans="1:17" ht="22.5">
      <c r="A1908" s="1482"/>
      <c r="B1908" s="1482"/>
      <c r="C1908" s="1555">
        <f t="shared" si="293"/>
        <v>3</v>
      </c>
      <c r="D1908" s="1492">
        <f t="shared" si="290"/>
        <v>8</v>
      </c>
      <c r="E1908" s="1492"/>
      <c r="F1908" s="1484" t="s">
        <v>11724</v>
      </c>
      <c r="H1908" s="1095" t="s">
        <v>70</v>
      </c>
      <c r="I1908" s="780">
        <v>9841</v>
      </c>
      <c r="J1908" s="834"/>
      <c r="K1908" s="790" t="str">
        <f>(IF(H1908="Saneago",VLOOKUP(I1908,'SANEAGO-FEV.2016'!A:B,2,0),IF(H1908="Sinapi",VLOOKUP(I1908,'SINAPI-FEV.2017'!A:D,2,0),IF(H1908="Cotação",VLOOKUP(I1908,COTAÇÃO!A:D,2,0),IF(H1908="Composição",VLOOKUP(I1908,COMPOSIÇÃO!A:D,2,0))))))</f>
        <v>TUBO PVC, PBV, SERIE R, DN 100 MM, PARA ESGOTO OU AGUAS PLUVIAIS PREDIAL (NBR 5688)</v>
      </c>
      <c r="L1908" s="780" t="s">
        <v>18</v>
      </c>
      <c r="M1908" s="1270">
        <v>12</v>
      </c>
      <c r="N1908" s="399">
        <v>0</v>
      </c>
      <c r="O1908" s="102">
        <f t="shared" si="295"/>
        <v>0</v>
      </c>
      <c r="P1908" s="101">
        <f t="shared" si="296"/>
        <v>0</v>
      </c>
      <c r="Q1908" s="1472">
        <v>12</v>
      </c>
    </row>
    <row r="1909" spans="1:17">
      <c r="A1909" s="1482"/>
      <c r="B1909" s="1482"/>
      <c r="C1909" s="1555">
        <f t="shared" si="293"/>
        <v>3</v>
      </c>
      <c r="D1909" s="1492">
        <f t="shared" si="290"/>
        <v>8</v>
      </c>
      <c r="E1909" s="1492"/>
      <c r="F1909" s="1484" t="s">
        <v>11724</v>
      </c>
      <c r="H1909" s="1095" t="s">
        <v>70</v>
      </c>
      <c r="I1909" s="780">
        <v>9868</v>
      </c>
      <c r="J1909" s="834"/>
      <c r="K1909" s="790" t="str">
        <f>(IF(H1909="Saneago",VLOOKUP(I1909,'SANEAGO-FEV.2016'!A:B,2,0),IF(H1909="Sinapi",VLOOKUP(I1909,'SINAPI-FEV.2017'!A:D,2,0),IF(H1909="Cotação",VLOOKUP(I1909,COTAÇÃO!A:D,2,0),IF(H1909="Composição",VLOOKUP(I1909,COMPOSIÇÃO!A:D,2,0))))))</f>
        <v>TUBO PVC, SOLDAVEL, DN 25 MM, AGUA FRIA (NBR-5648)</v>
      </c>
      <c r="L1909" s="780" t="s">
        <v>18</v>
      </c>
      <c r="M1909" s="1270">
        <v>15.2</v>
      </c>
      <c r="N1909" s="399">
        <v>0</v>
      </c>
      <c r="O1909" s="102">
        <f t="shared" si="295"/>
        <v>0</v>
      </c>
      <c r="P1909" s="101">
        <f t="shared" si="296"/>
        <v>0</v>
      </c>
      <c r="Q1909" s="1472">
        <v>15.2</v>
      </c>
    </row>
    <row r="1910" spans="1:17">
      <c r="A1910" s="1482"/>
      <c r="B1910" s="1482"/>
      <c r="C1910" s="1555">
        <f t="shared" si="293"/>
        <v>3</v>
      </c>
      <c r="D1910" s="1492">
        <f t="shared" si="290"/>
        <v>8</v>
      </c>
      <c r="E1910" s="1492"/>
      <c r="F1910" s="1484" t="s">
        <v>11724</v>
      </c>
      <c r="H1910" s="1095" t="s">
        <v>70</v>
      </c>
      <c r="I1910" s="780">
        <v>11714</v>
      </c>
      <c r="J1910" s="834"/>
      <c r="K1910" s="790" t="str">
        <f>(IF(H1910="Saneago",VLOOKUP(I1910,'SANEAGO-FEV.2016'!A:B,2,0),IF(H1910="Sinapi",VLOOKUP(I1910,'SINAPI-FEV.2017'!A:D,2,0),IF(H1910="Cotação",VLOOKUP(I1910,COTAÇÃO!A:D,2,0),IF(H1910="Composição",VLOOKUP(I1910,COMPOSIÇÃO!A:D,2,0))))))</f>
        <v>CAIXA SIFONADA PVC, 150 X 185 X 75 MM, COM GRELHA QUADRADA BRANCA</v>
      </c>
      <c r="L1910" s="780" t="s">
        <v>1270</v>
      </c>
      <c r="M1910" s="1270">
        <v>1</v>
      </c>
      <c r="N1910" s="399">
        <v>0</v>
      </c>
      <c r="O1910" s="102">
        <f t="shared" si="295"/>
        <v>0</v>
      </c>
      <c r="P1910" s="101">
        <f t="shared" si="296"/>
        <v>0</v>
      </c>
      <c r="Q1910" s="1472">
        <v>1</v>
      </c>
    </row>
    <row r="1911" spans="1:17">
      <c r="A1911" s="1482"/>
      <c r="B1911" s="1482"/>
      <c r="C1911" s="1555">
        <f t="shared" si="293"/>
        <v>3</v>
      </c>
      <c r="D1911" s="1492">
        <f t="shared" si="290"/>
        <v>8</v>
      </c>
      <c r="E1911" s="1492"/>
      <c r="F1911" s="1484" t="s">
        <v>11724</v>
      </c>
      <c r="H1911" s="1095" t="s">
        <v>70</v>
      </c>
      <c r="I1911" s="780">
        <v>11717</v>
      </c>
      <c r="J1911" s="834"/>
      <c r="K1911" s="790" t="str">
        <f>(IF(H1911="Saneago",VLOOKUP(I1911,'SANEAGO-FEV.2016'!A:B,2,0),IF(H1911="Sinapi",VLOOKUP(I1911,'SINAPI-FEV.2017'!A:D,2,0),IF(H1911="Cotação",VLOOKUP(I1911,COTAÇÃO!A:D,2,0),IF(H1911="Composição",VLOOKUP(I1911,COMPOSIÇÃO!A:D,2,0))))))</f>
        <v>CAIXA SIFONADA PVC, 150 X 150 X 50 MM, COM GRELHA REDONDA BRANCA</v>
      </c>
      <c r="L1911" s="780" t="s">
        <v>1270</v>
      </c>
      <c r="M1911" s="1270">
        <v>2</v>
      </c>
      <c r="N1911" s="399">
        <v>0</v>
      </c>
      <c r="O1911" s="102">
        <f t="shared" si="295"/>
        <v>0</v>
      </c>
      <c r="P1911" s="101">
        <f t="shared" si="296"/>
        <v>0</v>
      </c>
      <c r="Q1911" s="1472">
        <v>2</v>
      </c>
    </row>
    <row r="1912" spans="1:17" ht="22.5">
      <c r="A1912" s="1482"/>
      <c r="B1912" s="1482"/>
      <c r="C1912" s="1555">
        <f t="shared" si="293"/>
        <v>3</v>
      </c>
      <c r="D1912" s="1492">
        <f t="shared" ref="D1912:D1952" si="297">D1911+B1912</f>
        <v>8</v>
      </c>
      <c r="E1912" s="1492"/>
      <c r="F1912" s="1484" t="s">
        <v>11724</v>
      </c>
      <c r="H1912" s="1095" t="s">
        <v>70</v>
      </c>
      <c r="I1912" s="780">
        <v>20067</v>
      </c>
      <c r="J1912" s="834"/>
      <c r="K1912" s="790" t="str">
        <f>(IF(H1912="Saneago",VLOOKUP(I1912,'SANEAGO-FEV.2016'!A:B,2,0),IF(H1912="Sinapi",VLOOKUP(I1912,'SINAPI-FEV.2017'!A:D,2,0),IF(H1912="Cotação",VLOOKUP(I1912,COTAÇÃO!A:D,2,0),IF(H1912="Composição",VLOOKUP(I1912,COMPOSIÇÃO!A:D,2,0))))))</f>
        <v>TUBO PVC, PBV, SERIE R, DN 40 MM, PARA ESGOTO OU AGUAS PLUVIAIS PREDIAL (NBR 5688)</v>
      </c>
      <c r="L1912" s="780" t="s">
        <v>18</v>
      </c>
      <c r="M1912" s="1270">
        <v>10</v>
      </c>
      <c r="N1912" s="399">
        <v>0</v>
      </c>
      <c r="O1912" s="102">
        <f t="shared" si="295"/>
        <v>0</v>
      </c>
      <c r="P1912" s="101">
        <f t="shared" si="296"/>
        <v>0</v>
      </c>
      <c r="Q1912" s="1472">
        <v>10</v>
      </c>
    </row>
    <row r="1913" spans="1:17" ht="22.5">
      <c r="A1913" s="1482"/>
      <c r="B1913" s="1482"/>
      <c r="C1913" s="1555">
        <f t="shared" si="293"/>
        <v>3</v>
      </c>
      <c r="D1913" s="1492">
        <f t="shared" si="297"/>
        <v>8</v>
      </c>
      <c r="E1913" s="1492"/>
      <c r="F1913" s="1484" t="s">
        <v>11724</v>
      </c>
      <c r="H1913" s="1095" t="s">
        <v>70</v>
      </c>
      <c r="I1913" s="780">
        <v>20068</v>
      </c>
      <c r="J1913" s="834"/>
      <c r="K1913" s="790" t="str">
        <f>(IF(H1913="Saneago",VLOOKUP(I1913,'SANEAGO-FEV.2016'!A:B,2,0),IF(H1913="Sinapi",VLOOKUP(I1913,'SINAPI-FEV.2017'!A:D,2,0),IF(H1913="Cotação",VLOOKUP(I1913,COTAÇÃO!A:D,2,0),IF(H1913="Composição",VLOOKUP(I1913,COMPOSIÇÃO!A:D,2,0))))))</f>
        <v>TUBO PVC, PBV, SERIE R, DN 50 MM, PARA ESGOTO OU AGUAS PLUVIAIS PREDIAL (NBR 5688)</v>
      </c>
      <c r="L1913" s="780" t="s">
        <v>18</v>
      </c>
      <c r="M1913" s="1270">
        <v>14</v>
      </c>
      <c r="N1913" s="399">
        <v>0</v>
      </c>
      <c r="O1913" s="102">
        <f t="shared" si="295"/>
        <v>0</v>
      </c>
      <c r="P1913" s="101">
        <f t="shared" si="296"/>
        <v>0</v>
      </c>
      <c r="Q1913" s="1472">
        <v>14</v>
      </c>
    </row>
    <row r="1914" spans="1:17">
      <c r="A1914" s="1482"/>
      <c r="B1914" s="1482"/>
      <c r="C1914" s="1555">
        <f t="shared" si="293"/>
        <v>3</v>
      </c>
      <c r="D1914" s="1492">
        <f t="shared" si="297"/>
        <v>8</v>
      </c>
      <c r="E1914" s="1492"/>
      <c r="F1914" s="1484" t="s">
        <v>11724</v>
      </c>
      <c r="H1914" s="1095" t="s">
        <v>70</v>
      </c>
      <c r="I1914" s="780">
        <v>38643</v>
      </c>
      <c r="J1914" s="834"/>
      <c r="K1914" s="790" t="str">
        <f>(IF(H1914="Saneago",VLOOKUP(I1914,'SANEAGO-FEV.2016'!A:B,2,0),IF(H1914="Sinapi",VLOOKUP(I1914,'SINAPI-FEV.2017'!A:D,2,0),IF(H1914="Cotação",VLOOKUP(I1914,COTAÇÃO!A:D,2,0),IF(H1914="Composição",VLOOKUP(I1914,COMPOSIÇÃO!A:D,2,0))))))</f>
        <v>VALVULA EM METAL CROMADO PARA LAVATORIO, 1 " SEM LADRAO</v>
      </c>
      <c r="L1914" s="780" t="s">
        <v>1270</v>
      </c>
      <c r="M1914" s="1270">
        <v>2</v>
      </c>
      <c r="N1914" s="399">
        <v>0</v>
      </c>
      <c r="O1914" s="102">
        <f t="shared" si="295"/>
        <v>0</v>
      </c>
      <c r="P1914" s="101">
        <f t="shared" si="296"/>
        <v>0</v>
      </c>
      <c r="Q1914" s="1472">
        <v>2</v>
      </c>
    </row>
    <row r="1915" spans="1:17">
      <c r="A1915" s="1482"/>
      <c r="B1915" s="1482"/>
      <c r="C1915" s="1555">
        <f t="shared" si="293"/>
        <v>3</v>
      </c>
      <c r="D1915" s="1492">
        <f t="shared" si="297"/>
        <v>8</v>
      </c>
      <c r="E1915" s="1492"/>
      <c r="F1915" s="1484" t="s">
        <v>11724</v>
      </c>
      <c r="H1915" s="1095" t="s">
        <v>70</v>
      </c>
      <c r="I1915" s="780">
        <v>39319</v>
      </c>
      <c r="J1915" s="834"/>
      <c r="K1915" s="790" t="str">
        <f>(IF(H1915="Saneago",VLOOKUP(I1915,'SANEAGO-FEV.2016'!A:B,2,0),IF(H1915="Sinapi",VLOOKUP(I1915,'SINAPI-FEV.2017'!A:D,2,0),IF(H1915="Cotação",VLOOKUP(I1915,COTAÇÃO!A:D,2,0),IF(H1915="Composição",VLOOKUP(I1915,COMPOSIÇÃO!A:D,2,0))))))</f>
        <v>TERMINAL DE VENTILACAO, 50 MM, SERIE NORMAL, ESGOTO PREDIAL</v>
      </c>
      <c r="L1915" s="780" t="s">
        <v>1270</v>
      </c>
      <c r="M1915" s="1270">
        <v>2</v>
      </c>
      <c r="N1915" s="399">
        <v>0</v>
      </c>
      <c r="O1915" s="102">
        <f t="shared" si="295"/>
        <v>0</v>
      </c>
      <c r="P1915" s="101">
        <f t="shared" si="296"/>
        <v>0</v>
      </c>
      <c r="Q1915" s="1472">
        <v>2</v>
      </c>
    </row>
    <row r="1916" spans="1:17" ht="33.75">
      <c r="A1916" s="1482"/>
      <c r="B1916" s="1482"/>
      <c r="C1916" s="1555">
        <f t="shared" si="293"/>
        <v>3</v>
      </c>
      <c r="D1916" s="1492">
        <f t="shared" si="297"/>
        <v>8</v>
      </c>
      <c r="E1916" s="1492"/>
      <c r="F1916" s="1484" t="s">
        <v>11724</v>
      </c>
      <c r="H1916" s="1095" t="s">
        <v>70</v>
      </c>
      <c r="I1916" s="780">
        <v>73658</v>
      </c>
      <c r="J1916" s="834"/>
      <c r="K1916" s="790" t="str">
        <f>(IF(H1916="Saneago",VLOOKUP(I1916,'SANEAGO-FEV.2016'!A:B,2,0),IF(H1916="Sinapi",VLOOKUP(I1916,'SINAPI-FEV.2017'!A:D,2,0),IF(H1916="Cotação",VLOOKUP(I1916,COTAÇÃO!A:D,2,0),IF(H1916="Composição",VLOOKUP(I1916,COMPOSIÇÃO!A:D,2,0))))))</f>
        <v>LIGAÇÃO DOMICILIAR DE ESGOTO DN 100MM, DA CASA ATÉ A CAIXA, COMPOSTO POR 10,0M TUBO DE PVC ESGOTO PREDIAL DN 100MM E CAIXA DE ALVENARIA COM TAMPA DE CONCRETO - FORNECIMENTO E INSTALAÇÃO</v>
      </c>
      <c r="L1916" s="780" t="s">
        <v>1270</v>
      </c>
      <c r="M1916" s="1270">
        <v>2</v>
      </c>
      <c r="N1916" s="399">
        <v>0</v>
      </c>
      <c r="O1916" s="102">
        <f t="shared" si="295"/>
        <v>0</v>
      </c>
      <c r="P1916" s="101">
        <f t="shared" si="296"/>
        <v>0</v>
      </c>
      <c r="Q1916" s="1472">
        <v>2</v>
      </c>
    </row>
    <row r="1917" spans="1:17" ht="22.5">
      <c r="A1917" s="1482"/>
      <c r="B1917" s="1482"/>
      <c r="C1917" s="1555">
        <f t="shared" si="293"/>
        <v>3</v>
      </c>
      <c r="D1917" s="1492">
        <f t="shared" si="297"/>
        <v>8</v>
      </c>
      <c r="E1917" s="1492"/>
      <c r="F1917" s="1484" t="s">
        <v>11724</v>
      </c>
      <c r="H1917" s="1095" t="s">
        <v>70</v>
      </c>
      <c r="I1917" s="780">
        <v>86886</v>
      </c>
      <c r="J1917" s="834"/>
      <c r="K1917" s="790" t="str">
        <f>(IF(H1917="Saneago",VLOOKUP(I1917,'SANEAGO-FEV.2016'!A:B,2,0),IF(H1917="Sinapi",VLOOKUP(I1917,'SINAPI-FEV.2017'!A:D,2,0),IF(H1917="Cotação",VLOOKUP(I1917,COTAÇÃO!A:D,2,0),IF(H1917="Composição",VLOOKUP(I1917,COMPOSIÇÃO!A:D,2,0))))))</f>
        <v>ENGATE FLEXÍVEL EM INOX, 1/2 X 30CM - FORNECIMENTO E INSTALAÇÃO. AF_12/2013</v>
      </c>
      <c r="L1917" s="780" t="s">
        <v>1270</v>
      </c>
      <c r="M1917" s="1270">
        <v>7</v>
      </c>
      <c r="N1917" s="399">
        <v>0</v>
      </c>
      <c r="O1917" s="102">
        <f t="shared" si="295"/>
        <v>0</v>
      </c>
      <c r="P1917" s="101">
        <f t="shared" si="296"/>
        <v>0</v>
      </c>
      <c r="Q1917" s="1472">
        <v>7</v>
      </c>
    </row>
    <row r="1918" spans="1:17" ht="22.5">
      <c r="A1918" s="1482"/>
      <c r="B1918" s="1482"/>
      <c r="C1918" s="1555">
        <f t="shared" si="293"/>
        <v>3</v>
      </c>
      <c r="D1918" s="1492">
        <f t="shared" si="297"/>
        <v>8</v>
      </c>
      <c r="E1918" s="1492"/>
      <c r="F1918" s="1484" t="s">
        <v>11724</v>
      </c>
      <c r="H1918" s="1095" t="s">
        <v>70</v>
      </c>
      <c r="I1918" s="780">
        <v>89351</v>
      </c>
      <c r="J1918" s="834"/>
      <c r="K1918" s="790" t="str">
        <f>(IF(H1918="Saneago",VLOOKUP(I1918,'SANEAGO-FEV.2016'!A:B,2,0),IF(H1918="Sinapi",VLOOKUP(I1918,'SINAPI-FEV.2017'!A:D,2,0),IF(H1918="Cotação",VLOOKUP(I1918,COTAÇÃO!A:D,2,0),IF(H1918="Composição",VLOOKUP(I1918,COMPOSIÇÃO!A:D,2,0))))))</f>
        <v>REGISTRO DE PRESSÃO BRUTO, ROSCÁVEL, 3/4", FORNECIDO E INSTALADO EM RAMAL DE ÁGUA. AF_12/2014</v>
      </c>
      <c r="L1918" s="780" t="s">
        <v>1270</v>
      </c>
      <c r="M1918" s="1270">
        <v>1</v>
      </c>
      <c r="N1918" s="399">
        <v>0</v>
      </c>
      <c r="O1918" s="102">
        <f t="shared" si="295"/>
        <v>0</v>
      </c>
      <c r="P1918" s="101">
        <f t="shared" si="296"/>
        <v>0</v>
      </c>
      <c r="Q1918" s="1472">
        <v>1</v>
      </c>
    </row>
    <row r="1919" spans="1:17" ht="22.5">
      <c r="A1919" s="1482"/>
      <c r="B1919" s="1482"/>
      <c r="C1919" s="1555">
        <f t="shared" si="293"/>
        <v>3</v>
      </c>
      <c r="D1919" s="1492">
        <f t="shared" si="297"/>
        <v>8</v>
      </c>
      <c r="E1919" s="1492"/>
      <c r="F1919" s="1484" t="s">
        <v>11724</v>
      </c>
      <c r="H1919" s="1095" t="s">
        <v>70</v>
      </c>
      <c r="I1919" s="780">
        <v>89353</v>
      </c>
      <c r="J1919" s="834"/>
      <c r="K1919" s="790" t="str">
        <f>(IF(H1919="Saneago",VLOOKUP(I1919,'SANEAGO-FEV.2016'!A:B,2,0),IF(H1919="Sinapi",VLOOKUP(I1919,'SINAPI-FEV.2017'!A:D,2,0),IF(H1919="Cotação",VLOOKUP(I1919,COTAÇÃO!A:D,2,0),IF(H1919="Composição",VLOOKUP(I1919,COMPOSIÇÃO!A:D,2,0))))))</f>
        <v>REGISTRO DE GAVETA BRUTO, LATÃO, ROSCÁVEL, 3/4", FORNECIDO E INSTALADO EM RAMAL DE ÁGUA. AF_12/2014</v>
      </c>
      <c r="L1919" s="780" t="s">
        <v>1270</v>
      </c>
      <c r="M1919" s="1270">
        <v>5</v>
      </c>
      <c r="N1919" s="399">
        <v>0</v>
      </c>
      <c r="O1919" s="102">
        <f t="shared" si="295"/>
        <v>0</v>
      </c>
      <c r="P1919" s="101">
        <f t="shared" si="296"/>
        <v>0</v>
      </c>
      <c r="Q1919" s="1472">
        <v>5</v>
      </c>
    </row>
    <row r="1920" spans="1:17" ht="22.5">
      <c r="A1920" s="1482"/>
      <c r="B1920" s="1482"/>
      <c r="C1920" s="1555">
        <f t="shared" si="293"/>
        <v>3</v>
      </c>
      <c r="D1920" s="1492">
        <f t="shared" si="297"/>
        <v>8</v>
      </c>
      <c r="E1920" s="1492"/>
      <c r="F1920" s="1484" t="s">
        <v>11724</v>
      </c>
      <c r="H1920" s="1095" t="s">
        <v>70</v>
      </c>
      <c r="I1920" s="780">
        <v>89381</v>
      </c>
      <c r="J1920" s="834"/>
      <c r="K1920" s="790" t="str">
        <f>(IF(H1920="Saneago",VLOOKUP(I1920,'SANEAGO-FEV.2016'!A:B,2,0),IF(H1920="Sinapi",VLOOKUP(I1920,'SINAPI-FEV.2017'!A:D,2,0),IF(H1920="Cotação",VLOOKUP(I1920,COTAÇÃO!A:D,2,0),IF(H1920="Composição",VLOOKUP(I1920,COMPOSIÇÃO!A:D,2,0))))))</f>
        <v>LUVA COM BUCHA DE LATÃO, PVC, SOLDÁVEL, DN 25MM X 3/4, INSTALADO EM RAMAL OU SUB-RAMAL DE ÁGUA - FORNECIMENTO E INSTALAÇÃO. AF_12/2014</v>
      </c>
      <c r="L1920" s="780" t="s">
        <v>1270</v>
      </c>
      <c r="M1920" s="1270">
        <v>1</v>
      </c>
      <c r="N1920" s="399">
        <v>0</v>
      </c>
      <c r="O1920" s="102">
        <f t="shared" si="295"/>
        <v>0</v>
      </c>
      <c r="P1920" s="101">
        <f t="shared" si="296"/>
        <v>0</v>
      </c>
      <c r="Q1920" s="1472">
        <v>1</v>
      </c>
    </row>
    <row r="1921" spans="1:17" ht="22.5">
      <c r="A1921" s="1482"/>
      <c r="B1921" s="1482"/>
      <c r="C1921" s="1555">
        <f t="shared" si="293"/>
        <v>3</v>
      </c>
      <c r="D1921" s="1492">
        <f t="shared" si="297"/>
        <v>8</v>
      </c>
      <c r="E1921" s="1492"/>
      <c r="F1921" s="1484" t="s">
        <v>11724</v>
      </c>
      <c r="H1921" s="1095" t="s">
        <v>70</v>
      </c>
      <c r="I1921" s="780">
        <v>89395</v>
      </c>
      <c r="J1921" s="834"/>
      <c r="K1921" s="790" t="str">
        <f>(IF(H1921="Saneago",VLOOKUP(I1921,'SANEAGO-FEV.2016'!A:B,2,0),IF(H1921="Sinapi",VLOOKUP(I1921,'SINAPI-FEV.2017'!A:D,2,0),IF(H1921="Cotação",VLOOKUP(I1921,COTAÇÃO!A:D,2,0),IF(H1921="Composição",VLOOKUP(I1921,COMPOSIÇÃO!A:D,2,0))))))</f>
        <v>TE, PVC, SOLDÁVEL, DN 25MM, INSTALADO EM RAMAL OU SUB-RAMAL DE ÁGUA - FORNECIMENTO E INSTALAÇÃO. AF_12/2014</v>
      </c>
      <c r="L1921" s="780" t="s">
        <v>1270</v>
      </c>
      <c r="M1921" s="1270">
        <v>6</v>
      </c>
      <c r="N1921" s="399">
        <v>0</v>
      </c>
      <c r="O1921" s="102">
        <f t="shared" si="295"/>
        <v>0</v>
      </c>
      <c r="P1921" s="101">
        <f t="shared" si="296"/>
        <v>0</v>
      </c>
      <c r="Q1921" s="1472">
        <v>6</v>
      </c>
    </row>
    <row r="1922" spans="1:17" ht="22.5">
      <c r="A1922" s="1482"/>
      <c r="B1922" s="1482"/>
      <c r="C1922" s="1555">
        <f t="shared" si="293"/>
        <v>3</v>
      </c>
      <c r="D1922" s="1492">
        <f t="shared" si="297"/>
        <v>8</v>
      </c>
      <c r="E1922" s="1492"/>
      <c r="F1922" s="1484" t="s">
        <v>11724</v>
      </c>
      <c r="H1922" s="1095" t="s">
        <v>70</v>
      </c>
      <c r="I1922" s="780">
        <v>89490</v>
      </c>
      <c r="J1922" s="834"/>
      <c r="K1922" s="790" t="str">
        <f>(IF(H1922="Saneago",VLOOKUP(I1922,'SANEAGO-FEV.2016'!A:B,2,0),IF(H1922="Sinapi",VLOOKUP(I1922,'SINAPI-FEV.2017'!A:D,2,0),IF(H1922="Cotação",VLOOKUP(I1922,COTAÇÃO!A:D,2,0),IF(H1922="Composição",VLOOKUP(I1922,COMPOSIÇÃO!A:D,2,0))))))</f>
        <v>CURVA 45 GRAUS, PVC, SOLDÁVEL, DN 25MM, INSTALADO EM PRUMADA DE ÁGUA - FORNECIMENTO E INSTALAÇÃO. AF_12/2014</v>
      </c>
      <c r="L1922" s="780" t="s">
        <v>1270</v>
      </c>
      <c r="M1922" s="1270">
        <v>1</v>
      </c>
      <c r="N1922" s="399">
        <v>0</v>
      </c>
      <c r="O1922" s="102">
        <f t="shared" si="295"/>
        <v>0</v>
      </c>
      <c r="P1922" s="101">
        <f t="shared" si="296"/>
        <v>0</v>
      </c>
      <c r="Q1922" s="1472">
        <v>1</v>
      </c>
    </row>
    <row r="1923" spans="1:17" ht="33.75">
      <c r="A1923" s="1482"/>
      <c r="B1923" s="1482"/>
      <c r="C1923" s="1555">
        <f t="shared" si="293"/>
        <v>3</v>
      </c>
      <c r="D1923" s="1492">
        <f t="shared" si="297"/>
        <v>8</v>
      </c>
      <c r="E1923" s="1492"/>
      <c r="F1923" s="1484" t="s">
        <v>11724</v>
      </c>
      <c r="H1923" s="1095" t="s">
        <v>70</v>
      </c>
      <c r="I1923" s="780">
        <v>89709</v>
      </c>
      <c r="J1923" s="834"/>
      <c r="K1923" s="790" t="str">
        <f>(IF(H1923="Saneago",VLOOKUP(I1923,'SANEAGO-FEV.2016'!A:B,2,0),IF(H1923="Sinapi",VLOOKUP(I1923,'SINAPI-FEV.2017'!A:D,2,0),IF(H1923="Cotação",VLOOKUP(I1923,COTAÇÃO!A:D,2,0),IF(H1923="Composição",VLOOKUP(I1923,COMPOSIÇÃO!A:D,2,0))))))</f>
        <v>RALO SIFONADO, PVC, DN 100 X 40 MM, JUNTA SOLDÁVEL, FORNECIDO E INSTALADO EM RAMAL DE DESCARGA OU EM RAMAL DE ESGOTO SANITÁRIO. AF_12/2014</v>
      </c>
      <c r="L1923" s="780" t="s">
        <v>1270</v>
      </c>
      <c r="M1923" s="1270">
        <v>3</v>
      </c>
      <c r="N1923" s="399">
        <v>0</v>
      </c>
      <c r="O1923" s="102">
        <f t="shared" si="295"/>
        <v>0</v>
      </c>
      <c r="P1923" s="101">
        <f t="shared" si="296"/>
        <v>0</v>
      </c>
      <c r="Q1923" s="1472">
        <v>3</v>
      </c>
    </row>
    <row r="1924" spans="1:17" ht="33.75">
      <c r="A1924" s="1482"/>
      <c r="B1924" s="1482"/>
      <c r="C1924" s="1555">
        <f t="shared" si="293"/>
        <v>3</v>
      </c>
      <c r="D1924" s="1492">
        <f t="shared" si="297"/>
        <v>8</v>
      </c>
      <c r="E1924" s="1492"/>
      <c r="F1924" s="1484" t="s">
        <v>11724</v>
      </c>
      <c r="H1924" s="1095" t="s">
        <v>70</v>
      </c>
      <c r="I1924" s="780">
        <v>89724</v>
      </c>
      <c r="J1924" s="834"/>
      <c r="K1924" s="790" t="str">
        <f>(IF(H1924="Saneago",VLOOKUP(I1924,'SANEAGO-FEV.2016'!A:B,2,0),IF(H1924="Sinapi",VLOOKUP(I1924,'SINAPI-FEV.2017'!A:D,2,0),IF(H1924="Cotação",VLOOKUP(I1924,COTAÇÃO!A:D,2,0),IF(H1924="Composição",VLOOKUP(I1924,COMPOSIÇÃO!A:D,2,0))))))</f>
        <v>JOELHO 90 GRAUS, PVC, SERIE NORMAL, ESGOTO PREDIAL, DN 40 MM, JUNTA SOLDÁVEL, FORNECIDO E INSTALADO EM RAMAL DE DESCARGA OU RAMAL DE ESGOTO SANITÁRIO. AF_12/2014</v>
      </c>
      <c r="L1924" s="780" t="s">
        <v>1270</v>
      </c>
      <c r="M1924" s="1270">
        <v>1</v>
      </c>
      <c r="N1924" s="399">
        <v>0</v>
      </c>
      <c r="O1924" s="102">
        <f t="shared" si="295"/>
        <v>0</v>
      </c>
      <c r="P1924" s="101">
        <f t="shared" si="296"/>
        <v>0</v>
      </c>
      <c r="Q1924" s="1472">
        <v>1</v>
      </c>
    </row>
    <row r="1925" spans="1:17" ht="33.75">
      <c r="A1925" s="1482"/>
      <c r="B1925" s="1482"/>
      <c r="C1925" s="1555">
        <f t="shared" si="293"/>
        <v>3</v>
      </c>
      <c r="D1925" s="1492">
        <f t="shared" si="297"/>
        <v>8</v>
      </c>
      <c r="E1925" s="1492"/>
      <c r="F1925" s="1484" t="s">
        <v>11724</v>
      </c>
      <c r="H1925" s="1095" t="s">
        <v>70</v>
      </c>
      <c r="I1925" s="780">
        <v>89724</v>
      </c>
      <c r="J1925" s="834"/>
      <c r="K1925" s="790" t="str">
        <f>(IF(H1925="Saneago",VLOOKUP(I1925,'SANEAGO-FEV.2016'!A:B,2,0),IF(H1925="Sinapi",VLOOKUP(I1925,'SINAPI-FEV.2017'!A:D,2,0),IF(H1925="Cotação",VLOOKUP(I1925,COTAÇÃO!A:D,2,0),IF(H1925="Composição",VLOOKUP(I1925,COMPOSIÇÃO!A:D,2,0))))))</f>
        <v>JOELHO 90 GRAUS, PVC, SERIE NORMAL, ESGOTO PREDIAL, DN 40 MM, JUNTA SOLDÁVEL, FORNECIDO E INSTALADO EM RAMAL DE DESCARGA OU RAMAL DE ESGOTO SANITÁRIO. AF_12/2014</v>
      </c>
      <c r="L1925" s="780" t="s">
        <v>1270</v>
      </c>
      <c r="M1925" s="1270">
        <v>3</v>
      </c>
      <c r="N1925" s="399">
        <v>0</v>
      </c>
      <c r="O1925" s="102">
        <f t="shared" si="295"/>
        <v>0</v>
      </c>
      <c r="P1925" s="101">
        <f t="shared" si="296"/>
        <v>0</v>
      </c>
      <c r="Q1925" s="1472">
        <v>3</v>
      </c>
    </row>
    <row r="1926" spans="1:17" ht="33.75">
      <c r="A1926" s="1482"/>
      <c r="B1926" s="1482"/>
      <c r="C1926" s="1555">
        <f t="shared" si="293"/>
        <v>3</v>
      </c>
      <c r="D1926" s="1492">
        <f t="shared" si="297"/>
        <v>8</v>
      </c>
      <c r="E1926" s="1492"/>
      <c r="F1926" s="1484" t="s">
        <v>11724</v>
      </c>
      <c r="H1926" s="1095" t="s">
        <v>70</v>
      </c>
      <c r="I1926" s="780">
        <v>89731</v>
      </c>
      <c r="J1926" s="834"/>
      <c r="K1926" s="790" t="str">
        <f>(IF(H1926="Saneago",VLOOKUP(I1926,'SANEAGO-FEV.2016'!A:B,2,0),IF(H1926="Sinapi",VLOOKUP(I1926,'SINAPI-FEV.2017'!A:D,2,0),IF(H1926="Cotação",VLOOKUP(I1926,COTAÇÃO!A:D,2,0),IF(H1926="Composição",VLOOKUP(I1926,COMPOSIÇÃO!A:D,2,0))))))</f>
        <v>JOELHO 90 GRAUS, PVC, SERIE NORMAL, ESGOTO PREDIAL, DN 50 MM, JUNTA ELÁSTICA, FORNECIDO E INSTALADO EM RAMAL DE DESCARGA OU RAMAL DE ESGOTO SANITÁRIO. AF_12/2014</v>
      </c>
      <c r="L1926" s="780" t="s">
        <v>1270</v>
      </c>
      <c r="M1926" s="1270">
        <v>2</v>
      </c>
      <c r="N1926" s="399">
        <v>0</v>
      </c>
      <c r="O1926" s="102">
        <f t="shared" si="295"/>
        <v>0</v>
      </c>
      <c r="P1926" s="101">
        <f t="shared" si="296"/>
        <v>0</v>
      </c>
      <c r="Q1926" s="1472">
        <v>2</v>
      </c>
    </row>
    <row r="1927" spans="1:17" ht="33.75">
      <c r="A1927" s="1482"/>
      <c r="B1927" s="1482"/>
      <c r="C1927" s="1555">
        <f t="shared" si="293"/>
        <v>3</v>
      </c>
      <c r="D1927" s="1492">
        <f t="shared" si="297"/>
        <v>8</v>
      </c>
      <c r="E1927" s="1492"/>
      <c r="F1927" s="1484" t="s">
        <v>11724</v>
      </c>
      <c r="H1927" s="1095" t="s">
        <v>70</v>
      </c>
      <c r="I1927" s="780">
        <v>89731</v>
      </c>
      <c r="J1927" s="834"/>
      <c r="K1927" s="790" t="str">
        <f>(IF(H1927="Saneago",VLOOKUP(I1927,'SANEAGO-FEV.2016'!A:B,2,0),IF(H1927="Sinapi",VLOOKUP(I1927,'SINAPI-FEV.2017'!A:D,2,0),IF(H1927="Cotação",VLOOKUP(I1927,COTAÇÃO!A:D,2,0),IF(H1927="Composição",VLOOKUP(I1927,COMPOSIÇÃO!A:D,2,0))))))</f>
        <v>JOELHO 90 GRAUS, PVC, SERIE NORMAL, ESGOTO PREDIAL, DN 50 MM, JUNTA ELÁSTICA, FORNECIDO E INSTALADO EM RAMAL DE DESCARGA OU RAMAL DE ESGOTO SANITÁRIO. AF_12/2014</v>
      </c>
      <c r="L1927" s="780" t="s">
        <v>1270</v>
      </c>
      <c r="M1927" s="1270">
        <v>1</v>
      </c>
      <c r="N1927" s="399">
        <v>0</v>
      </c>
      <c r="O1927" s="102">
        <f t="shared" si="295"/>
        <v>0</v>
      </c>
      <c r="P1927" s="101">
        <f t="shared" si="296"/>
        <v>0</v>
      </c>
      <c r="Q1927" s="1472">
        <v>1</v>
      </c>
    </row>
    <row r="1928" spans="1:17" ht="33.75">
      <c r="A1928" s="1482"/>
      <c r="B1928" s="1482"/>
      <c r="C1928" s="1555">
        <f t="shared" ref="C1928:C1991" si="298">C1927</f>
        <v>3</v>
      </c>
      <c r="D1928" s="1492">
        <f t="shared" si="297"/>
        <v>8</v>
      </c>
      <c r="E1928" s="1492"/>
      <c r="F1928" s="1484" t="s">
        <v>11724</v>
      </c>
      <c r="H1928" s="1095" t="s">
        <v>70</v>
      </c>
      <c r="I1928" s="780">
        <v>90373</v>
      </c>
      <c r="J1928" s="834"/>
      <c r="K1928" s="790" t="str">
        <f>(IF(H1928="Saneago",VLOOKUP(I1928,'SANEAGO-FEV.2016'!A:B,2,0),IF(H1928="Sinapi",VLOOKUP(I1928,'SINAPI-FEV.2017'!A:D,2,0),IF(H1928="Cotação",VLOOKUP(I1928,COTAÇÃO!A:D,2,0),IF(H1928="Composição",VLOOKUP(I1928,COMPOSIÇÃO!A:D,2,0))))))</f>
        <v>JOELHO 90 GRAUS COM BUCHA DE LATÃO, PVC, SOLDÁVEL, DN 25MM, X 1/2 INSTALADO EM RAMAL OU SUB-RAMAL DE ÁGUA - FORNECIMENTO E INSTALAÇÃO. AF_12/2014</v>
      </c>
      <c r="L1928" s="780" t="s">
        <v>1270</v>
      </c>
      <c r="M1928" s="1270">
        <v>9</v>
      </c>
      <c r="N1928" s="399">
        <v>0</v>
      </c>
      <c r="O1928" s="102">
        <f t="shared" si="295"/>
        <v>0</v>
      </c>
      <c r="P1928" s="101">
        <f t="shared" si="296"/>
        <v>0</v>
      </c>
      <c r="Q1928" s="1472">
        <v>9</v>
      </c>
    </row>
    <row r="1929" spans="1:17">
      <c r="A1929" s="1482"/>
      <c r="B1929" s="1482"/>
      <c r="C1929" s="1555">
        <f t="shared" si="298"/>
        <v>3</v>
      </c>
      <c r="D1929" s="1492">
        <f t="shared" si="297"/>
        <v>8</v>
      </c>
      <c r="E1929" s="1492"/>
      <c r="F1929" s="1484" t="s">
        <v>11724</v>
      </c>
      <c r="H1929" s="1095" t="s">
        <v>11722</v>
      </c>
      <c r="I1929" s="780" t="s">
        <v>13353</v>
      </c>
      <c r="J1929" s="834"/>
      <c r="K1929" s="790" t="str">
        <f>(IF(H1929="Saneago",VLOOKUP(I1929,'SANEAGO-FEV.2016'!A:B,2,0),IF(H1929="Sinapi",VLOOKUP(I1929,'SINAPI-FEV.2017'!A:D,2,0),IF(H1929="Cotação",VLOOKUP(I1929,COTAÇÃO!A:D,2,0),IF(H1929="Composição",VLOOKUP(I1929,COMPOSIÇÃO!A:D,2,0))))))</f>
        <v>Sifão para lavatório com saída DN40, para lavatório.</v>
      </c>
      <c r="L1929" s="780" t="s">
        <v>1270</v>
      </c>
      <c r="M1929" s="1270">
        <v>2</v>
      </c>
      <c r="N1929" s="399">
        <v>0</v>
      </c>
      <c r="O1929" s="102">
        <f t="shared" si="295"/>
        <v>0</v>
      </c>
      <c r="P1929" s="101">
        <f t="shared" si="296"/>
        <v>0</v>
      </c>
      <c r="Q1929" s="1472">
        <v>2</v>
      </c>
    </row>
    <row r="1930" spans="1:17">
      <c r="A1930" s="1482"/>
      <c r="B1930" s="1482"/>
      <c r="C1930" s="1555">
        <f t="shared" si="298"/>
        <v>3</v>
      </c>
      <c r="D1930" s="1492">
        <f t="shared" si="297"/>
        <v>8</v>
      </c>
      <c r="E1930" s="1492"/>
      <c r="F1930" s="1484" t="s">
        <v>11724</v>
      </c>
      <c r="H1930" s="1095" t="s">
        <v>11722</v>
      </c>
      <c r="I1930" s="780" t="s">
        <v>13355</v>
      </c>
      <c r="J1930" s="834"/>
      <c r="K1930" s="790" t="str">
        <f>(IF(H1930="Saneago",VLOOKUP(I1930,'SANEAGO-FEV.2016'!A:B,2,0),IF(H1930="Sinapi",VLOOKUP(I1930,'SINAPI-FEV.2017'!A:D,2,0),IF(H1930="Cotação",VLOOKUP(I1930,COTAÇÃO!A:D,2,0),IF(H1930="Composição",VLOOKUP(I1930,COMPOSIÇÃO!A:D,2,0))))))</f>
        <v>Sifão para lavatório com saída DN50, para pia.</v>
      </c>
      <c r="L1930" s="780" t="s">
        <v>1270</v>
      </c>
      <c r="M1930" s="1270">
        <v>1</v>
      </c>
      <c r="N1930" s="399">
        <v>0</v>
      </c>
      <c r="O1930" s="102">
        <f t="shared" si="295"/>
        <v>0</v>
      </c>
      <c r="P1930" s="101">
        <f t="shared" si="296"/>
        <v>0</v>
      </c>
      <c r="Q1930" s="1472">
        <v>1</v>
      </c>
    </row>
    <row r="1931" spans="1:17" ht="15.75" thickBot="1">
      <c r="A1931" s="1482"/>
      <c r="B1931" s="1482"/>
      <c r="C1931" s="1555">
        <f t="shared" si="298"/>
        <v>3</v>
      </c>
      <c r="D1931" s="1492">
        <f t="shared" si="297"/>
        <v>8</v>
      </c>
      <c r="E1931" s="1492"/>
      <c r="F1931" s="1484" t="s">
        <v>11724</v>
      </c>
      <c r="H1931" s="1095"/>
      <c r="I1931" s="780"/>
      <c r="J1931" s="834"/>
      <c r="K1931" s="780"/>
      <c r="L1931" s="780"/>
      <c r="M1931" s="1270"/>
      <c r="N1931" s="400"/>
      <c r="O1931" s="122"/>
      <c r="P1931" s="123"/>
    </row>
    <row r="1932" spans="1:17" ht="16.5" thickTop="1" thickBot="1">
      <c r="A1932" s="1482"/>
      <c r="B1932" s="1482">
        <v>1</v>
      </c>
      <c r="C1932" s="1555">
        <f t="shared" si="298"/>
        <v>3</v>
      </c>
      <c r="D1932" s="1492">
        <f>D1931+B1932</f>
        <v>9</v>
      </c>
      <c r="E1932" s="1492"/>
      <c r="F1932" s="1484" t="s">
        <v>11724</v>
      </c>
      <c r="G1932" s="921"/>
      <c r="H1932" s="1510" t="str">
        <f>CONCATENATE(C1932,".",D1932)</f>
        <v>3.9</v>
      </c>
      <c r="I1932" s="1573" t="s">
        <v>11719</v>
      </c>
      <c r="J1932" s="1573"/>
      <c r="K1932" s="1573"/>
      <c r="L1932" s="1573" t="s">
        <v>25</v>
      </c>
      <c r="M1932" s="1574" t="s">
        <v>11704</v>
      </c>
      <c r="N1932" s="397" t="s">
        <v>11705</v>
      </c>
      <c r="O1932" s="99" t="s">
        <v>11706</v>
      </c>
      <c r="P1932" s="100">
        <f>SUBTOTAL(9,P1934:P1952)</f>
        <v>0</v>
      </c>
      <c r="Q1932" s="1472" t="s">
        <v>11704</v>
      </c>
    </row>
    <row r="1933" spans="1:17" ht="15.75" thickTop="1">
      <c r="A1933" s="1482"/>
      <c r="B1933" s="1482"/>
      <c r="C1933" s="1555">
        <f t="shared" si="298"/>
        <v>3</v>
      </c>
      <c r="D1933" s="1492">
        <f>D1932+B1933</f>
        <v>9</v>
      </c>
      <c r="E1933" s="1492"/>
      <c r="F1933" s="1484" t="s">
        <v>11724</v>
      </c>
      <c r="H1933" s="1095"/>
      <c r="I1933" s="780"/>
      <c r="J1933" s="834"/>
      <c r="K1933" s="780"/>
      <c r="L1933" s="780"/>
      <c r="M1933" s="1270"/>
      <c r="N1933" s="400"/>
      <c r="O1933" s="122"/>
      <c r="P1933" s="123"/>
    </row>
    <row r="1934" spans="1:17" ht="22.5">
      <c r="A1934" s="1482"/>
      <c r="B1934" s="1482"/>
      <c r="C1934" s="1555">
        <f t="shared" si="298"/>
        <v>3</v>
      </c>
      <c r="D1934" s="1492">
        <f>D1933+B1934</f>
        <v>9</v>
      </c>
      <c r="E1934" s="1492"/>
      <c r="F1934" s="1484" t="s">
        <v>11724</v>
      </c>
      <c r="H1934" s="1095" t="s">
        <v>70</v>
      </c>
      <c r="I1934" s="780">
        <v>65</v>
      </c>
      <c r="J1934" s="834"/>
      <c r="K1934" s="790" t="str">
        <f>(IF(H1934="Saneago",VLOOKUP(I1934,'SANEAGO-FEV.2016'!A:B,2,0),IF(H1934="Sinapi",VLOOKUP(I1934,'SINAPI-FEV.2017'!A:D,2,0),IF(H1934="Cotação",VLOOKUP(I1934,COTAÇÃO!A:D,2,0),IF(H1934="Composição",VLOOKUP(I1934,COMPOSIÇÃO!A:D,2,0))))))</f>
        <v>ADAPTADOR PVC SOLDAVEL CURTO COM BOLSA E ROSCA, 25 MM X 3/4", PARA AGUA FRIA</v>
      </c>
      <c r="L1934" s="780" t="s">
        <v>1270</v>
      </c>
      <c r="M1934" s="1270">
        <v>35</v>
      </c>
      <c r="N1934" s="399">
        <v>0</v>
      </c>
      <c r="O1934" s="102">
        <f>ROUND(IF(F1934="Serviços",N1934*(1+$O$7),IF(F1934="Materiais",N1934*(1+$O$8))),2)</f>
        <v>0</v>
      </c>
      <c r="P1934" s="101">
        <f>ROUND(M1934*O1934,2)</f>
        <v>0</v>
      </c>
      <c r="Q1934" s="1472">
        <v>35</v>
      </c>
    </row>
    <row r="1935" spans="1:17">
      <c r="A1935" s="1482"/>
      <c r="B1935" s="1482"/>
      <c r="C1935" s="1555">
        <f t="shared" si="298"/>
        <v>3</v>
      </c>
      <c r="D1935" s="1492">
        <f t="shared" si="297"/>
        <v>9</v>
      </c>
      <c r="E1935" s="1492"/>
      <c r="F1935" s="1484" t="s">
        <v>11724</v>
      </c>
      <c r="H1935" s="1095" t="s">
        <v>70</v>
      </c>
      <c r="I1935" s="780">
        <v>1194</v>
      </c>
      <c r="J1935" s="834"/>
      <c r="K1935" s="790" t="str">
        <f>(IF(H1935="Saneago",VLOOKUP(I1935,'SANEAGO-FEV.2016'!A:B,2,0),IF(H1935="Sinapi",VLOOKUP(I1935,'SINAPI-FEV.2017'!A:D,2,0),IF(H1935="Cotação",VLOOKUP(I1935,COTAÇÃO!A:D,2,0),IF(H1935="Composição",VLOOKUP(I1935,COMPOSIÇÃO!A:D,2,0))))))</f>
        <v>CAP PVC, SOLDAVEL, 50 MM, PARA AGUA FRIA PREDIAL</v>
      </c>
      <c r="L1935" s="780" t="s">
        <v>1270</v>
      </c>
      <c r="M1935" s="1270">
        <v>1</v>
      </c>
      <c r="N1935" s="399">
        <v>0</v>
      </c>
      <c r="O1935" s="102">
        <f t="shared" ref="O1935:O1952" si="299">ROUND(IF(F1935="Serviços",N1935*(1+$O$7),IF(F1935="Materiais",N1935*(1+$O$8))),2)</f>
        <v>0</v>
      </c>
      <c r="P1935" s="101">
        <f t="shared" ref="P1935:P1952" si="300">ROUND(M1935*O1935,2)</f>
        <v>0</v>
      </c>
      <c r="Q1935" s="1472">
        <v>1</v>
      </c>
    </row>
    <row r="1936" spans="1:17">
      <c r="A1936" s="1482"/>
      <c r="B1936" s="1482"/>
      <c r="C1936" s="1555">
        <f t="shared" si="298"/>
        <v>3</v>
      </c>
      <c r="D1936" s="1492">
        <f t="shared" si="297"/>
        <v>9</v>
      </c>
      <c r="E1936" s="1492"/>
      <c r="F1936" s="1484" t="s">
        <v>11724</v>
      </c>
      <c r="H1936" s="1095" t="s">
        <v>70</v>
      </c>
      <c r="I1936" s="780">
        <v>3500</v>
      </c>
      <c r="J1936" s="834"/>
      <c r="K1936" s="790" t="str">
        <f>(IF(H1936="Saneago",VLOOKUP(I1936,'SANEAGO-FEV.2016'!A:B,2,0),IF(H1936="Sinapi",VLOOKUP(I1936,'SINAPI-FEV.2017'!A:D,2,0),IF(H1936="Cotação",VLOOKUP(I1936,COTAÇÃO!A:D,2,0),IF(H1936="Composição",VLOOKUP(I1936,COMPOSIÇÃO!A:D,2,0))))))</f>
        <v>JOELHO, PVC SOLDAVEL, 45 GRAUS, 25 MM, PARA AGUA FRIA PREDIAL</v>
      </c>
      <c r="L1936" s="780" t="s">
        <v>1270</v>
      </c>
      <c r="M1936" s="1270">
        <v>4</v>
      </c>
      <c r="N1936" s="399">
        <v>0</v>
      </c>
      <c r="O1936" s="102">
        <f t="shared" si="299"/>
        <v>0</v>
      </c>
      <c r="P1936" s="101">
        <f t="shared" si="300"/>
        <v>0</v>
      </c>
      <c r="Q1936" s="1472">
        <v>4</v>
      </c>
    </row>
    <row r="1937" spans="1:17">
      <c r="A1937" s="1482"/>
      <c r="B1937" s="1482"/>
      <c r="C1937" s="1555">
        <f t="shared" si="298"/>
        <v>3</v>
      </c>
      <c r="D1937" s="1492">
        <f t="shared" si="297"/>
        <v>9</v>
      </c>
      <c r="E1937" s="1492"/>
      <c r="F1937" s="1484" t="s">
        <v>11724</v>
      </c>
      <c r="H1937" s="1095" t="s">
        <v>70</v>
      </c>
      <c r="I1937" s="780">
        <v>3518</v>
      </c>
      <c r="J1937" s="834"/>
      <c r="K1937" s="790" t="str">
        <f>(IF(H1937="Saneago",VLOOKUP(I1937,'SANEAGO-FEV.2016'!A:B,2,0),IF(H1937="Sinapi",VLOOKUP(I1937,'SINAPI-FEV.2017'!A:D,2,0),IF(H1937="Cotação",VLOOKUP(I1937,COTAÇÃO!A:D,2,0),IF(H1937="Composição",VLOOKUP(I1937,COMPOSIÇÃO!A:D,2,0))))))</f>
        <v>JOELHO PVC, SOLDAVEL, PB, 45 GRAUS, DN 50 MM, PARA ESGOTO PREDIAL</v>
      </c>
      <c r="L1937" s="780" t="s">
        <v>1270</v>
      </c>
      <c r="M1937" s="1270">
        <v>1</v>
      </c>
      <c r="N1937" s="399">
        <v>0</v>
      </c>
      <c r="O1937" s="102">
        <f t="shared" si="299"/>
        <v>0</v>
      </c>
      <c r="P1937" s="101">
        <f t="shared" si="300"/>
        <v>0</v>
      </c>
      <c r="Q1937" s="1472">
        <v>1</v>
      </c>
    </row>
    <row r="1938" spans="1:17">
      <c r="A1938" s="1482"/>
      <c r="B1938" s="1482"/>
      <c r="C1938" s="1555">
        <f t="shared" si="298"/>
        <v>3</v>
      </c>
      <c r="D1938" s="1492">
        <f t="shared" si="297"/>
        <v>9</v>
      </c>
      <c r="E1938" s="1492"/>
      <c r="F1938" s="1484" t="s">
        <v>11724</v>
      </c>
      <c r="H1938" s="1095" t="s">
        <v>70</v>
      </c>
      <c r="I1938" s="780">
        <v>3529</v>
      </c>
      <c r="J1938" s="834"/>
      <c r="K1938" s="790" t="str">
        <f>(IF(H1938="Saneago",VLOOKUP(I1938,'SANEAGO-FEV.2016'!A:B,2,0),IF(H1938="Sinapi",VLOOKUP(I1938,'SINAPI-FEV.2017'!A:D,2,0),IF(H1938="Cotação",VLOOKUP(I1938,COTAÇÃO!A:D,2,0),IF(H1938="Composição",VLOOKUP(I1938,COMPOSIÇÃO!A:D,2,0))))))</f>
        <v>JOELHO PVC, SOLDAVEL, 90 GRAUS, 25 MM, PARA AGUA FRIA PREDIAL</v>
      </c>
      <c r="L1938" s="780" t="s">
        <v>1270</v>
      </c>
      <c r="M1938" s="1270">
        <v>43</v>
      </c>
      <c r="N1938" s="399">
        <v>0</v>
      </c>
      <c r="O1938" s="102">
        <f t="shared" si="299"/>
        <v>0</v>
      </c>
      <c r="P1938" s="101">
        <f t="shared" si="300"/>
        <v>0</v>
      </c>
      <c r="Q1938" s="1472">
        <v>43</v>
      </c>
    </row>
    <row r="1939" spans="1:17">
      <c r="A1939" s="1482"/>
      <c r="B1939" s="1482"/>
      <c r="C1939" s="1555">
        <f t="shared" si="298"/>
        <v>3</v>
      </c>
      <c r="D1939" s="1492">
        <f t="shared" si="297"/>
        <v>9</v>
      </c>
      <c r="E1939" s="1492"/>
      <c r="F1939" s="1484" t="s">
        <v>11724</v>
      </c>
      <c r="H1939" s="1095" t="s">
        <v>70</v>
      </c>
      <c r="I1939" s="780">
        <v>3909</v>
      </c>
      <c r="J1939" s="834"/>
      <c r="K1939" s="790" t="str">
        <f>(IF(H1939="Saneago",VLOOKUP(I1939,'SANEAGO-FEV.2016'!A:B,2,0),IF(H1939="Sinapi",VLOOKUP(I1939,'SINAPI-FEV.2017'!A:D,2,0),IF(H1939="Cotação",VLOOKUP(I1939,COTAÇÃO!A:D,2,0),IF(H1939="Composição",VLOOKUP(I1939,COMPOSIÇÃO!A:D,2,0))))))</f>
        <v>LUVA DE FERRO GALVANIZADO, COM ROSCA BSP, DE 3/4"</v>
      </c>
      <c r="L1939" s="780" t="s">
        <v>1270</v>
      </c>
      <c r="M1939" s="1270">
        <v>35</v>
      </c>
      <c r="N1939" s="399">
        <v>0</v>
      </c>
      <c r="O1939" s="102">
        <f t="shared" si="299"/>
        <v>0</v>
      </c>
      <c r="P1939" s="101">
        <f t="shared" si="300"/>
        <v>0</v>
      </c>
      <c r="Q1939" s="1472">
        <v>35</v>
      </c>
    </row>
    <row r="1940" spans="1:17" ht="22.5">
      <c r="A1940" s="1482"/>
      <c r="B1940" s="1482"/>
      <c r="C1940" s="1555">
        <f t="shared" si="298"/>
        <v>3</v>
      </c>
      <c r="D1940" s="1492">
        <f t="shared" si="297"/>
        <v>9</v>
      </c>
      <c r="E1940" s="1492"/>
      <c r="F1940" s="1484" t="s">
        <v>11724</v>
      </c>
      <c r="H1940" s="1095" t="s">
        <v>70</v>
      </c>
      <c r="I1940" s="780">
        <v>7602</v>
      </c>
      <c r="J1940" s="834"/>
      <c r="K1940" s="790" t="str">
        <f>(IF(H1940="Saneago",VLOOKUP(I1940,'SANEAGO-FEV.2016'!A:B,2,0),IF(H1940="Sinapi",VLOOKUP(I1940,'SINAPI-FEV.2017'!A:D,2,0),IF(H1940="Cotação",VLOOKUP(I1940,COTAÇÃO!A:D,2,0),IF(H1940="Composição",VLOOKUP(I1940,COMPOSIÇÃO!A:D,2,0))))))</f>
        <v>TORNEIRA METAL AMARELO COM BICO PARA JARDIM, PADRAO POPULAR, 1/2 " OU 3/4 " (REF 1128)</v>
      </c>
      <c r="L1940" s="780" t="s">
        <v>1270</v>
      </c>
      <c r="M1940" s="1270">
        <v>8</v>
      </c>
      <c r="N1940" s="399">
        <v>0</v>
      </c>
      <c r="O1940" s="102">
        <f t="shared" si="299"/>
        <v>0</v>
      </c>
      <c r="P1940" s="101">
        <f t="shared" si="300"/>
        <v>0</v>
      </c>
      <c r="Q1940" s="1472">
        <v>8</v>
      </c>
    </row>
    <row r="1941" spans="1:17">
      <c r="A1941" s="1482"/>
      <c r="B1941" s="1482"/>
      <c r="C1941" s="1555">
        <f t="shared" si="298"/>
        <v>3</v>
      </c>
      <c r="D1941" s="1492">
        <f t="shared" si="297"/>
        <v>9</v>
      </c>
      <c r="E1941" s="1492"/>
      <c r="F1941" s="1484" t="s">
        <v>11724</v>
      </c>
      <c r="H1941" s="1095" t="s">
        <v>70</v>
      </c>
      <c r="I1941" s="780">
        <v>9868</v>
      </c>
      <c r="J1941" s="834"/>
      <c r="K1941" s="790" t="str">
        <f>(IF(H1941="Saneago",VLOOKUP(I1941,'SANEAGO-FEV.2016'!A:B,2,0),IF(H1941="Sinapi",VLOOKUP(I1941,'SINAPI-FEV.2017'!A:D,2,0),IF(H1941="Cotação",VLOOKUP(I1941,COTAÇÃO!A:D,2,0),IF(H1941="Composição",VLOOKUP(I1941,COMPOSIÇÃO!A:D,2,0))))))</f>
        <v>TUBO PVC, SOLDAVEL, DN 25 MM, AGUA FRIA (NBR-5648)</v>
      </c>
      <c r="L1941" s="780" t="s">
        <v>18</v>
      </c>
      <c r="M1941" s="1270">
        <v>1122</v>
      </c>
      <c r="N1941" s="399">
        <v>0</v>
      </c>
      <c r="O1941" s="102">
        <f t="shared" si="299"/>
        <v>0</v>
      </c>
      <c r="P1941" s="101">
        <f t="shared" si="300"/>
        <v>0</v>
      </c>
      <c r="Q1941" s="1472">
        <v>1122</v>
      </c>
    </row>
    <row r="1942" spans="1:17">
      <c r="A1942" s="1482"/>
      <c r="B1942" s="1482"/>
      <c r="C1942" s="1555">
        <f t="shared" si="298"/>
        <v>3</v>
      </c>
      <c r="D1942" s="1492">
        <f t="shared" si="297"/>
        <v>9</v>
      </c>
      <c r="E1942" s="1492"/>
      <c r="F1942" s="1484" t="s">
        <v>11724</v>
      </c>
      <c r="H1942" s="1095" t="s">
        <v>70</v>
      </c>
      <c r="I1942" s="780">
        <v>9868</v>
      </c>
      <c r="J1942" s="834"/>
      <c r="K1942" s="790" t="str">
        <f>(IF(H1942="Saneago",VLOOKUP(I1942,'SANEAGO-FEV.2016'!A:B,2,0),IF(H1942="Sinapi",VLOOKUP(I1942,'SINAPI-FEV.2017'!A:D,2,0),IF(H1942="Cotação",VLOOKUP(I1942,COTAÇÃO!A:D,2,0),IF(H1942="Composição",VLOOKUP(I1942,COMPOSIÇÃO!A:D,2,0))))))</f>
        <v>TUBO PVC, SOLDAVEL, DN 25 MM, AGUA FRIA (NBR-5648)</v>
      </c>
      <c r="L1942" s="780" t="s">
        <v>1270</v>
      </c>
      <c r="M1942" s="1270">
        <v>8</v>
      </c>
      <c r="N1942" s="399">
        <v>0</v>
      </c>
      <c r="O1942" s="102">
        <f t="shared" si="299"/>
        <v>0</v>
      </c>
      <c r="P1942" s="101">
        <f t="shared" si="300"/>
        <v>0</v>
      </c>
      <c r="Q1942" s="1472">
        <v>8</v>
      </c>
    </row>
    <row r="1943" spans="1:17">
      <c r="A1943" s="1482"/>
      <c r="B1943" s="1482"/>
      <c r="C1943" s="1555">
        <f t="shared" si="298"/>
        <v>3</v>
      </c>
      <c r="D1943" s="1492">
        <f t="shared" si="297"/>
        <v>9</v>
      </c>
      <c r="E1943" s="1492"/>
      <c r="F1943" s="1484" t="s">
        <v>11724</v>
      </c>
      <c r="H1943" s="1095" t="s">
        <v>70</v>
      </c>
      <c r="I1943" s="780">
        <v>9875</v>
      </c>
      <c r="J1943" s="834"/>
      <c r="K1943" s="790" t="str">
        <f>(IF(H1943="Saneago",VLOOKUP(I1943,'SANEAGO-FEV.2016'!A:B,2,0),IF(H1943="Sinapi",VLOOKUP(I1943,'SINAPI-FEV.2017'!A:D,2,0),IF(H1943="Cotação",VLOOKUP(I1943,COTAÇÃO!A:D,2,0),IF(H1943="Composição",VLOOKUP(I1943,COMPOSIÇÃO!A:D,2,0))))))</f>
        <v>TUBO PVC, SOLDAVEL, DN 50 MM, PARA AGUA FRIA (NBR-5648)</v>
      </c>
      <c r="L1943" s="780" t="s">
        <v>18</v>
      </c>
      <c r="M1943" s="1270">
        <v>1170</v>
      </c>
      <c r="N1943" s="399">
        <v>0</v>
      </c>
      <c r="O1943" s="102">
        <f t="shared" si="299"/>
        <v>0</v>
      </c>
      <c r="P1943" s="101">
        <f t="shared" si="300"/>
        <v>0</v>
      </c>
      <c r="Q1943" s="1472">
        <v>1170</v>
      </c>
    </row>
    <row r="1944" spans="1:17">
      <c r="A1944" s="1482"/>
      <c r="B1944" s="1482"/>
      <c r="C1944" s="1555">
        <f t="shared" si="298"/>
        <v>3</v>
      </c>
      <c r="D1944" s="1492">
        <f t="shared" si="297"/>
        <v>9</v>
      </c>
      <c r="E1944" s="1492"/>
      <c r="F1944" s="1484" t="s">
        <v>11724</v>
      </c>
      <c r="H1944" s="1095" t="s">
        <v>70</v>
      </c>
      <c r="I1944" s="780">
        <v>11831</v>
      </c>
      <c r="J1944" s="834"/>
      <c r="K1944" s="790" t="str">
        <f>(IF(H1944="Saneago",VLOOKUP(I1944,'SANEAGO-FEV.2016'!A:B,2,0),IF(H1944="Sinapi",VLOOKUP(I1944,'SINAPI-FEV.2017'!A:D,2,0),IF(H1944="Cotação",VLOOKUP(I1944,COTAÇÃO!A:D,2,0),IF(H1944="Composição",VLOOKUP(I1944,COMPOSIÇÃO!A:D,2,0))))))</f>
        <v>TORNEIRA PLASTICA PARA TANQUE 1/2 " OU 3/4 " COM BICO PARA MANGUEIRA</v>
      </c>
      <c r="L1944" s="780" t="s">
        <v>1270</v>
      </c>
      <c r="M1944" s="1270">
        <v>27</v>
      </c>
      <c r="N1944" s="399">
        <v>0</v>
      </c>
      <c r="O1944" s="102">
        <f t="shared" si="299"/>
        <v>0</v>
      </c>
      <c r="P1944" s="101">
        <f t="shared" si="300"/>
        <v>0</v>
      </c>
      <c r="Q1944" s="1472">
        <v>27</v>
      </c>
    </row>
    <row r="1945" spans="1:17" ht="22.5">
      <c r="A1945" s="1482"/>
      <c r="B1945" s="1482"/>
      <c r="C1945" s="1555">
        <f t="shared" si="298"/>
        <v>3</v>
      </c>
      <c r="D1945" s="1492">
        <f t="shared" si="297"/>
        <v>9</v>
      </c>
      <c r="E1945" s="1492"/>
      <c r="F1945" s="1484" t="s">
        <v>11724</v>
      </c>
      <c r="H1945" s="1095" t="s">
        <v>70</v>
      </c>
      <c r="I1945" s="780">
        <v>89395</v>
      </c>
      <c r="J1945" s="834"/>
      <c r="K1945" s="790" t="str">
        <f>(IF(H1945="Saneago",VLOOKUP(I1945,'SANEAGO-FEV.2016'!A:B,2,0),IF(H1945="Sinapi",VLOOKUP(I1945,'SINAPI-FEV.2017'!A:D,2,0),IF(H1945="Cotação",VLOOKUP(I1945,COTAÇÃO!A:D,2,0),IF(H1945="Composição",VLOOKUP(I1945,COMPOSIÇÃO!A:D,2,0))))))</f>
        <v>TE, PVC, SOLDÁVEL, DN 25MM, INSTALADO EM RAMAL OU SUB-RAMAL DE ÁGUA - FORNECIMENTO E INSTALAÇÃO. AF_12/2014</v>
      </c>
      <c r="L1945" s="780" t="s">
        <v>1270</v>
      </c>
      <c r="M1945" s="1270">
        <v>30</v>
      </c>
      <c r="N1945" s="399">
        <v>0</v>
      </c>
      <c r="O1945" s="102">
        <f t="shared" si="299"/>
        <v>0</v>
      </c>
      <c r="P1945" s="101">
        <f t="shared" si="300"/>
        <v>0</v>
      </c>
      <c r="Q1945" s="1472">
        <v>30</v>
      </c>
    </row>
    <row r="1946" spans="1:17" ht="22.5">
      <c r="A1946" s="1482"/>
      <c r="B1946" s="1482"/>
      <c r="C1946" s="1555">
        <f t="shared" si="298"/>
        <v>3</v>
      </c>
      <c r="D1946" s="1492">
        <f t="shared" si="297"/>
        <v>9</v>
      </c>
      <c r="E1946" s="1492"/>
      <c r="F1946" s="1484" t="s">
        <v>11724</v>
      </c>
      <c r="H1946" s="1095" t="s">
        <v>70</v>
      </c>
      <c r="I1946" s="780">
        <v>89489</v>
      </c>
      <c r="J1946" s="834"/>
      <c r="K1946" s="790" t="str">
        <f>(IF(H1946="Saneago",VLOOKUP(I1946,'SANEAGO-FEV.2016'!A:B,2,0),IF(H1946="Sinapi",VLOOKUP(I1946,'SINAPI-FEV.2017'!A:D,2,0),IF(H1946="Cotação",VLOOKUP(I1946,COTAÇÃO!A:D,2,0),IF(H1946="Composição",VLOOKUP(I1946,COMPOSIÇÃO!A:D,2,0))))))</f>
        <v>CURVA 90 GRAUS, PVC, SOLDÁVEL, DN 25MM, INSTALADO EM PRUMADA DE ÁGUA - FORNECIMENTO E INSTALAÇÃO. AF_12/2014</v>
      </c>
      <c r="L1946" s="780" t="s">
        <v>1270</v>
      </c>
      <c r="M1946" s="1270">
        <v>6</v>
      </c>
      <c r="N1946" s="399">
        <v>0</v>
      </c>
      <c r="O1946" s="102">
        <f t="shared" si="299"/>
        <v>0</v>
      </c>
      <c r="P1946" s="101">
        <f t="shared" si="300"/>
        <v>0</v>
      </c>
      <c r="Q1946" s="1472">
        <v>6</v>
      </c>
    </row>
    <row r="1947" spans="1:17" ht="22.5">
      <c r="A1947" s="1482"/>
      <c r="B1947" s="1482"/>
      <c r="C1947" s="1555">
        <f t="shared" si="298"/>
        <v>3</v>
      </c>
      <c r="D1947" s="1492">
        <f t="shared" si="297"/>
        <v>9</v>
      </c>
      <c r="E1947" s="1492"/>
      <c r="F1947" s="1484" t="s">
        <v>11724</v>
      </c>
      <c r="H1947" s="1095" t="s">
        <v>70</v>
      </c>
      <c r="I1947" s="780">
        <v>89490</v>
      </c>
      <c r="J1947" s="834"/>
      <c r="K1947" s="790" t="str">
        <f>(IF(H1947="Saneago",VLOOKUP(I1947,'SANEAGO-FEV.2016'!A:B,2,0),IF(H1947="Sinapi",VLOOKUP(I1947,'SINAPI-FEV.2017'!A:D,2,0),IF(H1947="Cotação",VLOOKUP(I1947,COTAÇÃO!A:D,2,0),IF(H1947="Composição",VLOOKUP(I1947,COMPOSIÇÃO!A:D,2,0))))))</f>
        <v>CURVA 45 GRAUS, PVC, SOLDÁVEL, DN 25MM, INSTALADO EM PRUMADA DE ÁGUA - FORNECIMENTO E INSTALAÇÃO. AF_12/2014</v>
      </c>
      <c r="L1947" s="780" t="s">
        <v>1270</v>
      </c>
      <c r="M1947" s="1270">
        <v>2</v>
      </c>
      <c r="N1947" s="399">
        <v>0</v>
      </c>
      <c r="O1947" s="102">
        <f t="shared" si="299"/>
        <v>0</v>
      </c>
      <c r="P1947" s="101">
        <f t="shared" si="300"/>
        <v>0</v>
      </c>
      <c r="Q1947" s="1472">
        <v>2</v>
      </c>
    </row>
    <row r="1948" spans="1:17" ht="22.5">
      <c r="A1948" s="1482"/>
      <c r="B1948" s="1482"/>
      <c r="C1948" s="1555">
        <f t="shared" si="298"/>
        <v>3</v>
      </c>
      <c r="D1948" s="1492">
        <f t="shared" si="297"/>
        <v>9</v>
      </c>
      <c r="E1948" s="1492"/>
      <c r="F1948" s="1484" t="s">
        <v>11724</v>
      </c>
      <c r="H1948" s="1095" t="s">
        <v>70</v>
      </c>
      <c r="I1948" s="780">
        <v>89627</v>
      </c>
      <c r="J1948" s="834"/>
      <c r="K1948" s="790" t="str">
        <f>(IF(H1948="Saneago",VLOOKUP(I1948,'SANEAGO-FEV.2016'!A:B,2,0),IF(H1948="Sinapi",VLOOKUP(I1948,'SINAPI-FEV.2017'!A:D,2,0),IF(H1948="Cotação",VLOOKUP(I1948,COTAÇÃO!A:D,2,0),IF(H1948="Composição",VLOOKUP(I1948,COMPOSIÇÃO!A:D,2,0))))))</f>
        <v>TÊ DE REDUÇÃO, PVC, SOLDÁVEL, DN 50MM X 25MM, INSTALADO EM PRUMADA DE ÁGUA - FORNECIMENTO E INSTALAÇÃO. AF_12/2014</v>
      </c>
      <c r="L1948" s="780" t="s">
        <v>1270</v>
      </c>
      <c r="M1948" s="1270">
        <v>4</v>
      </c>
      <c r="N1948" s="399">
        <v>0</v>
      </c>
      <c r="O1948" s="102">
        <f t="shared" si="299"/>
        <v>0</v>
      </c>
      <c r="P1948" s="101">
        <f t="shared" si="300"/>
        <v>0</v>
      </c>
      <c r="Q1948" s="1472">
        <v>4</v>
      </c>
    </row>
    <row r="1949" spans="1:17" ht="33.75">
      <c r="A1949" s="1482"/>
      <c r="B1949" s="1482"/>
      <c r="C1949" s="1555">
        <f t="shared" si="298"/>
        <v>3</v>
      </c>
      <c r="D1949" s="1492">
        <f t="shared" si="297"/>
        <v>9</v>
      </c>
      <c r="E1949" s="1492"/>
      <c r="F1949" s="1484" t="s">
        <v>11724</v>
      </c>
      <c r="H1949" s="1095" t="s">
        <v>70</v>
      </c>
      <c r="I1949" s="780">
        <v>92701</v>
      </c>
      <c r="J1949" s="834"/>
      <c r="K1949" s="790" t="str">
        <f>(IF(H1949="Saneago",VLOOKUP(I1949,'SANEAGO-FEV.2016'!A:B,2,0),IF(H1949="Sinapi",VLOOKUP(I1949,'SINAPI-FEV.2017'!A:D,2,0),IF(H1949="Cotação",VLOOKUP(I1949,COTAÇÃO!A:D,2,0),IF(H1949="Composição",VLOOKUP(I1949,COMPOSIÇÃO!A:D,2,0))))))</f>
        <v>JOELHO 90 GRAUS, EM FERRO GALVANIZADO, CONEXÃO ROSQUEADA, DN 20 (3/4"), INSTALADO EM RAMAIS E SUB-RAMAIS DE GÁS - FORNECIMENTO E INSTALAÇÃO. AF_12/2015</v>
      </c>
      <c r="L1949" s="780" t="s">
        <v>1270</v>
      </c>
      <c r="M1949" s="1270">
        <v>35</v>
      </c>
      <c r="N1949" s="399">
        <v>0</v>
      </c>
      <c r="O1949" s="102">
        <f t="shared" si="299"/>
        <v>0</v>
      </c>
      <c r="P1949" s="101">
        <f t="shared" si="300"/>
        <v>0</v>
      </c>
      <c r="Q1949" s="1472">
        <v>35</v>
      </c>
    </row>
    <row r="1950" spans="1:17" ht="33.75">
      <c r="A1950" s="1482"/>
      <c r="B1950" s="1482"/>
      <c r="C1950" s="1555">
        <f t="shared" si="298"/>
        <v>3</v>
      </c>
      <c r="D1950" s="1492">
        <f t="shared" si="297"/>
        <v>9</v>
      </c>
      <c r="E1950" s="1492"/>
      <c r="F1950" s="1484" t="s">
        <v>11724</v>
      </c>
      <c r="H1950" s="1095" t="s">
        <v>70</v>
      </c>
      <c r="I1950" s="780">
        <v>94694</v>
      </c>
      <c r="J1950" s="834"/>
      <c r="K1950" s="790" t="str">
        <f>(IF(H1950="Saneago",VLOOKUP(I1950,'SANEAGO-FEV.2016'!A:B,2,0),IF(H1950="Sinapi",VLOOKUP(I1950,'SINAPI-FEV.2017'!A:D,2,0),IF(H1950="Cotação",VLOOKUP(I1950,COTAÇÃO!A:D,2,0),IF(H1950="Composição",VLOOKUP(I1950,COMPOSIÇÃO!A:D,2,0))))))</f>
        <v>TÊ, PVC, SOLDÁVEL, DN 50 MM INSTALADO EM RESERVAÇÃO DE ÁGUA DE EDIFICAÇÃO QUE POSSUA RESERVATÓRIO DE FIBRA/FIBROCIMENTO   FORNECIMENTO E INSTALAÇÃO. AF_06/2016</v>
      </c>
      <c r="L1950" s="780" t="s">
        <v>1270</v>
      </c>
      <c r="M1950" s="1270">
        <v>4</v>
      </c>
      <c r="N1950" s="399">
        <v>0</v>
      </c>
      <c r="O1950" s="102">
        <f t="shared" si="299"/>
        <v>0</v>
      </c>
      <c r="P1950" s="101">
        <f t="shared" si="300"/>
        <v>0</v>
      </c>
      <c r="Q1950" s="1472">
        <v>4</v>
      </c>
    </row>
    <row r="1951" spans="1:17">
      <c r="A1951" s="1482"/>
      <c r="B1951" s="1482"/>
      <c r="C1951" s="1555">
        <f t="shared" si="298"/>
        <v>3</v>
      </c>
      <c r="D1951" s="1492">
        <f t="shared" si="297"/>
        <v>9</v>
      </c>
      <c r="E1951" s="1492"/>
      <c r="F1951" s="1484" t="s">
        <v>11724</v>
      </c>
      <c r="H1951" s="1095" t="s">
        <v>70</v>
      </c>
      <c r="I1951" s="780">
        <v>1725</v>
      </c>
      <c r="J1951" s="834"/>
      <c r="K1951" s="790" t="str">
        <f>(IF(H1951="Saneago",VLOOKUP(I1951,'SANEAGO-FEV.2016'!A:B,2,0),IF(H1951="Sinapi",VLOOKUP(I1951,'SINAPI-FEV.2017'!A:D,2,0),IF(H1951="Cotação",VLOOKUP(I1951,COTAÇÃO!A:D,2,0),IF(H1951="Composição",VLOOKUP(I1951,COMPOSIÇÃO!A:D,2,0))))))</f>
        <v>CRUZETA PVC PBA, JE, BBBB, DN 50 / DE 60 MM (NBR 5647)</v>
      </c>
      <c r="L1951" s="780" t="s">
        <v>1270</v>
      </c>
      <c r="M1951" s="1270">
        <v>35</v>
      </c>
      <c r="N1951" s="399">
        <v>0</v>
      </c>
      <c r="O1951" s="102">
        <f t="shared" si="299"/>
        <v>0</v>
      </c>
      <c r="P1951" s="101">
        <f t="shared" si="300"/>
        <v>0</v>
      </c>
      <c r="Q1951" s="1472">
        <v>35</v>
      </c>
    </row>
    <row r="1952" spans="1:17">
      <c r="A1952" s="1482"/>
      <c r="B1952" s="1482"/>
      <c r="C1952" s="1555">
        <f t="shared" si="298"/>
        <v>3</v>
      </c>
      <c r="D1952" s="1492">
        <f t="shared" si="297"/>
        <v>9</v>
      </c>
      <c r="E1952" s="1492"/>
      <c r="F1952" s="1484" t="s">
        <v>11724</v>
      </c>
      <c r="H1952" s="1095" t="s">
        <v>70</v>
      </c>
      <c r="I1952" s="700">
        <v>1725</v>
      </c>
      <c r="J1952" s="834"/>
      <c r="K1952" s="790" t="str">
        <f>(IF(H1952="Saneago",VLOOKUP(I1952,'SANEAGO-FEV.2016'!A:B,2,0),IF(H1952="Sinapi",VLOOKUP(I1952,'SINAPI-FEV.2017'!A:D,2,0),IF(H1952="Cotação",VLOOKUP(I1952,COTAÇÃO!A:D,2,0),IF(H1952="Composição",VLOOKUP(I1952,COMPOSIÇÃO!A:D,2,0))))))</f>
        <v>CRUZETA PVC PBA, JE, BBBB, DN 50 / DE 60 MM (NBR 5647)</v>
      </c>
      <c r="L1952" s="780" t="s">
        <v>1270</v>
      </c>
      <c r="M1952" s="1270">
        <v>1</v>
      </c>
      <c r="N1952" s="399">
        <v>0</v>
      </c>
      <c r="O1952" s="102">
        <f t="shared" si="299"/>
        <v>0</v>
      </c>
      <c r="P1952" s="101">
        <f t="shared" si="300"/>
        <v>0</v>
      </c>
      <c r="Q1952" s="1472">
        <v>1</v>
      </c>
    </row>
    <row r="1953" spans="1:24" ht="15.75" thickBot="1">
      <c r="A1953" s="1482"/>
      <c r="B1953" s="1482"/>
      <c r="C1953" s="1555">
        <f t="shared" si="298"/>
        <v>3</v>
      </c>
      <c r="D1953" s="1492">
        <f>D1952+B1953</f>
        <v>9</v>
      </c>
      <c r="E1953" s="1492"/>
      <c r="F1953" s="1484" t="s">
        <v>11724</v>
      </c>
      <c r="H1953" s="1095"/>
      <c r="I1953" s="780"/>
      <c r="J1953" s="834"/>
      <c r="K1953" s="790"/>
      <c r="L1953" s="780"/>
      <c r="M1953" s="1270"/>
      <c r="N1953" s="399"/>
      <c r="O1953" s="102"/>
      <c r="P1953" s="101"/>
    </row>
    <row r="1954" spans="1:24" ht="16.5" customHeight="1" thickTop="1" thickBot="1">
      <c r="A1954" s="1482"/>
      <c r="B1954" s="1482">
        <v>1</v>
      </c>
      <c r="C1954" s="1555">
        <f t="shared" si="298"/>
        <v>3</v>
      </c>
      <c r="D1954" s="1492">
        <f>D1953+B1954</f>
        <v>10</v>
      </c>
      <c r="E1954" s="1492"/>
      <c r="F1954" s="1484" t="s">
        <v>11724</v>
      </c>
      <c r="G1954" s="921"/>
      <c r="H1954" s="1510" t="str">
        <f>CONCATENATE(C1954,".",D1954)</f>
        <v>3.10</v>
      </c>
      <c r="I1954" s="1585" t="s">
        <v>13360</v>
      </c>
      <c r="J1954" s="1585"/>
      <c r="K1954" s="1585"/>
      <c r="L1954" s="1573" t="s">
        <v>25</v>
      </c>
      <c r="M1954" s="1574" t="s">
        <v>11704</v>
      </c>
      <c r="N1954" s="397" t="s">
        <v>11705</v>
      </c>
      <c r="O1954" s="99" t="s">
        <v>11706</v>
      </c>
      <c r="P1954" s="100">
        <f>SUBTOTAL(9,P1956)</f>
        <v>0</v>
      </c>
      <c r="Q1954" s="1472" t="s">
        <v>11704</v>
      </c>
    </row>
    <row r="1955" spans="1:24" ht="15.75" thickTop="1">
      <c r="A1955" s="1482"/>
      <c r="B1955" s="1482"/>
      <c r="C1955" s="1555">
        <f t="shared" si="298"/>
        <v>3</v>
      </c>
      <c r="D1955" s="1492">
        <f>D1954+B1955</f>
        <v>10</v>
      </c>
      <c r="E1955" s="1492"/>
      <c r="F1955" s="1484" t="s">
        <v>11724</v>
      </c>
      <c r="H1955" s="1095"/>
      <c r="I1955" s="780"/>
      <c r="J1955" s="834"/>
      <c r="K1955" s="780"/>
      <c r="L1955" s="780"/>
      <c r="M1955" s="1270"/>
      <c r="N1955" s="400"/>
      <c r="O1955" s="122"/>
      <c r="P1955" s="123"/>
    </row>
    <row r="1956" spans="1:24" ht="22.5">
      <c r="A1956" s="1482"/>
      <c r="B1956" s="1482"/>
      <c r="C1956" s="1555">
        <f t="shared" si="298"/>
        <v>3</v>
      </c>
      <c r="D1956" s="1492">
        <f>D1955+B1956</f>
        <v>10</v>
      </c>
      <c r="E1956" s="1492"/>
      <c r="F1956" s="1484" t="s">
        <v>11724</v>
      </c>
      <c r="H1956" s="1095" t="s">
        <v>70</v>
      </c>
      <c r="I1956" s="780">
        <v>7740</v>
      </c>
      <c r="J1956" s="834"/>
      <c r="K1956" s="790" t="str">
        <f>(IF(H1956="Saneago",VLOOKUP(I1956,'SANEAGO-FEV.2016'!A:B,2,0),IF(H1956="Sinapi",VLOOKUP(I1956,'SINAPI-FEV.2017'!A:D,2,0),IF(H1956="Cotação",VLOOKUP(I1956,COTAÇÃO!A:D,2,0),IF(H1956="Composição",VLOOKUP(I1956,COMPOSIÇÃO!A:D,2,0))))))</f>
        <v>TUBO CONCRETO ARMADO, CLASSE EA-2, PB JE, DN 400 MM, PARA ESGOTO SANITARIO (NBR 8890)</v>
      </c>
      <c r="L1956" s="780" t="s">
        <v>18</v>
      </c>
      <c r="M1956" s="1270">
        <f>4+7</f>
        <v>11</v>
      </c>
      <c r="N1956" s="399">
        <v>0</v>
      </c>
      <c r="O1956" s="102">
        <f>ROUND(IF(F1956="Serviços",N1956*(1+$O$7),IF(F1956="Materiais",N1956*(1+$O$8))),2)</f>
        <v>0</v>
      </c>
      <c r="P1956" s="101">
        <f>ROUND(M1956*O1956,2)</f>
        <v>0</v>
      </c>
      <c r="Q1956" s="1472">
        <v>11</v>
      </c>
    </row>
    <row r="1957" spans="1:24" ht="15.75" thickBot="1">
      <c r="A1957" s="1482"/>
      <c r="B1957" s="1482"/>
      <c r="C1957" s="1555">
        <f t="shared" si="298"/>
        <v>3</v>
      </c>
      <c r="D1957" s="1492">
        <f>D1956+B1957</f>
        <v>10</v>
      </c>
      <c r="E1957" s="1492"/>
      <c r="F1957" s="1484" t="s">
        <v>11724</v>
      </c>
      <c r="H1957" s="1095"/>
      <c r="I1957" s="780"/>
      <c r="J1957" s="834"/>
      <c r="K1957" s="780"/>
      <c r="L1957" s="780"/>
      <c r="M1957" s="1270"/>
      <c r="N1957" s="400"/>
      <c r="O1957" s="122"/>
      <c r="P1957" s="123"/>
    </row>
    <row r="1958" spans="1:24" s="777" customFormat="1" ht="14.25" thickTop="1" thickBot="1">
      <c r="A1958" s="1482"/>
      <c r="B1958" s="1482"/>
      <c r="C1958" s="1555">
        <f t="shared" si="298"/>
        <v>3</v>
      </c>
      <c r="D1958" s="1492">
        <v>0</v>
      </c>
      <c r="E1958" s="1492"/>
      <c r="F1958" s="1484" t="s">
        <v>11724</v>
      </c>
      <c r="G1958" s="959"/>
      <c r="H1958" s="1493">
        <v>3</v>
      </c>
      <c r="I1958" s="1584" t="s">
        <v>11725</v>
      </c>
      <c r="J1958" s="1584"/>
      <c r="K1958" s="1584"/>
      <c r="L1958" s="1494"/>
      <c r="M1958" s="1495"/>
      <c r="N1958" s="395"/>
      <c r="O1958" s="96" t="s">
        <v>78</v>
      </c>
      <c r="P1958" s="97">
        <f>SUBTOTAL(9,P1960:P2018)</f>
        <v>0</v>
      </c>
      <c r="Q1958" s="1496"/>
      <c r="R1958" s="1497"/>
      <c r="S1958" s="1481"/>
      <c r="V1958" s="1487"/>
      <c r="W1958" s="1475"/>
      <c r="X1958" s="1475"/>
    </row>
    <row r="1959" spans="1:24" ht="16.5" thickTop="1" thickBot="1">
      <c r="A1959" s="1482"/>
      <c r="B1959" s="1482"/>
      <c r="C1959" s="1555">
        <f t="shared" si="298"/>
        <v>3</v>
      </c>
      <c r="D1959" s="1492">
        <f t="shared" ref="D1959:D1975" si="301">D1958+B1959</f>
        <v>0</v>
      </c>
      <c r="E1959" s="1492"/>
      <c r="F1959" s="1484" t="s">
        <v>11724</v>
      </c>
      <c r="H1959" s="1095"/>
      <c r="I1959" s="780"/>
      <c r="J1959" s="834"/>
      <c r="K1959" s="780"/>
      <c r="L1959" s="780"/>
      <c r="M1959" s="1270"/>
      <c r="N1959" s="400"/>
      <c r="O1959" s="122"/>
      <c r="P1959" s="123"/>
    </row>
    <row r="1960" spans="1:24" ht="16.5" thickTop="1" thickBot="1">
      <c r="A1960" s="1482"/>
      <c r="B1960" s="1482">
        <v>1</v>
      </c>
      <c r="C1960" s="1555">
        <f t="shared" si="298"/>
        <v>3</v>
      </c>
      <c r="D1960" s="1492">
        <f t="shared" si="301"/>
        <v>1</v>
      </c>
      <c r="E1960" s="1492"/>
      <c r="F1960" s="1484" t="s">
        <v>11724</v>
      </c>
      <c r="H1960" s="1510" t="str">
        <f>CONCATENATE(C1960,".",D1960)</f>
        <v>3.1</v>
      </c>
      <c r="I1960" s="1585" t="s">
        <v>12696</v>
      </c>
      <c r="J1960" s="1585"/>
      <c r="K1960" s="1585"/>
      <c r="L1960" s="1573" t="s">
        <v>25</v>
      </c>
      <c r="M1960" s="1574" t="s">
        <v>11704</v>
      </c>
      <c r="N1960" s="397" t="s">
        <v>11705</v>
      </c>
      <c r="O1960" s="99" t="s">
        <v>11706</v>
      </c>
      <c r="P1960" s="100">
        <f>SUBTOTAL(9,P1962:P1983)</f>
        <v>0</v>
      </c>
      <c r="Q1960" s="1472" t="s">
        <v>11704</v>
      </c>
    </row>
    <row r="1961" spans="1:24" ht="15.75" thickTop="1">
      <c r="A1961" s="1482"/>
      <c r="B1961" s="1482"/>
      <c r="C1961" s="1555">
        <f t="shared" si="298"/>
        <v>3</v>
      </c>
      <c r="D1961" s="1492">
        <f t="shared" si="301"/>
        <v>1</v>
      </c>
      <c r="F1961" s="1484" t="s">
        <v>11724</v>
      </c>
      <c r="H1961" s="1095"/>
      <c r="I1961" s="780"/>
      <c r="J1961" s="834"/>
      <c r="K1961" s="790"/>
      <c r="L1961" s="700"/>
      <c r="M1961" s="870"/>
      <c r="N1961" s="399"/>
      <c r="O1961" s="102"/>
      <c r="P1961" s="101"/>
    </row>
    <row r="1962" spans="1:24">
      <c r="A1962" s="1482"/>
      <c r="B1962" s="1482"/>
      <c r="C1962" s="1555">
        <f t="shared" si="298"/>
        <v>3</v>
      </c>
      <c r="D1962" s="1492">
        <f t="shared" si="301"/>
        <v>1</v>
      </c>
      <c r="E1962" s="1492"/>
      <c r="F1962" s="1484" t="s">
        <v>11724</v>
      </c>
      <c r="H1962" s="1095" t="s">
        <v>11722</v>
      </c>
      <c r="I1962" s="780" t="s">
        <v>13272</v>
      </c>
      <c r="J1962" s="834"/>
      <c r="K1962" s="790" t="str">
        <f>(IF(H1962="Saneago",VLOOKUP(I1962,'SANEAGO-FEV.2016'!A:B,2,0),IF(H1962="Sinapi",VLOOKUP(I1962,'SINAPI-FEV.2017'!A:D,2,0),IF(H1962="Cotação",VLOOKUP(I1962,COTAÇÃO!A:D,2,0),IF(H1962="Composição",VLOOKUP(I1962,COMPOSIÇÃO!A:D,2,0))))))</f>
        <v>Caçamba capacidade para 5m³</v>
      </c>
      <c r="L1962" s="780" t="s">
        <v>10854</v>
      </c>
      <c r="M1962" s="1270">
        <v>7</v>
      </c>
      <c r="N1962" s="399">
        <v>0</v>
      </c>
      <c r="O1962" s="102">
        <f t="shared" ref="O1962:O1975" si="302">ROUND(IF(F1962="Serviços",N1962*(1+$O$7),IF(F1962="Materiais",N1962*(1+$O$8))),2)</f>
        <v>0</v>
      </c>
      <c r="P1962" s="101">
        <f t="shared" ref="P1962:P1975" si="303">ROUND(M1962*O1962,2)</f>
        <v>0</v>
      </c>
      <c r="Q1962" s="1472">
        <v>7</v>
      </c>
    </row>
    <row r="1963" spans="1:24">
      <c r="A1963" s="1482"/>
      <c r="B1963" s="1482"/>
      <c r="C1963" s="1555">
        <f t="shared" si="298"/>
        <v>3</v>
      </c>
      <c r="D1963" s="1492">
        <f t="shared" si="301"/>
        <v>1</v>
      </c>
      <c r="E1963" s="1492"/>
      <c r="F1963" s="1484" t="s">
        <v>11724</v>
      </c>
      <c r="H1963" s="1095" t="s">
        <v>11722</v>
      </c>
      <c r="I1963" s="780" t="s">
        <v>13361</v>
      </c>
      <c r="J1963" s="834"/>
      <c r="K1963" s="790" t="str">
        <f>(IF(H1963="Saneago",VLOOKUP(I1963,'SANEAGO-FEV.2016'!A:B,2,0),IF(H1963="Sinapi",VLOOKUP(I1963,'SINAPI-FEV.2017'!A:D,2,0),IF(H1963="Cotação",VLOOKUP(I1963,COTAÇÃO!A:D,2,0),IF(H1963="Composição",VLOOKUP(I1963,COMPOSIÇÃO!A:D,2,0))))))</f>
        <v>CARRO DE TRANSFERÊNCIA DA CAÇAMBA</v>
      </c>
      <c r="L1963" s="780" t="s">
        <v>65</v>
      </c>
      <c r="M1963" s="1270">
        <v>7</v>
      </c>
      <c r="N1963" s="399">
        <v>0</v>
      </c>
      <c r="O1963" s="102">
        <f t="shared" si="302"/>
        <v>0</v>
      </c>
      <c r="P1963" s="101">
        <f t="shared" si="303"/>
        <v>0</v>
      </c>
      <c r="Q1963" s="1472">
        <v>7</v>
      </c>
    </row>
    <row r="1964" spans="1:24" ht="67.5">
      <c r="A1964" s="1482"/>
      <c r="B1964" s="1482"/>
      <c r="C1964" s="1555">
        <f t="shared" si="298"/>
        <v>3</v>
      </c>
      <c r="D1964" s="1492">
        <f t="shared" si="301"/>
        <v>1</v>
      </c>
      <c r="E1964" s="1492"/>
      <c r="F1964" s="1484" t="s">
        <v>11724</v>
      </c>
      <c r="H1964" s="1095" t="s">
        <v>11722</v>
      </c>
      <c r="I1964" s="780" t="s">
        <v>13362</v>
      </c>
      <c r="J1964" s="834"/>
      <c r="K1964" s="790" t="str">
        <f>(IF(H1964="Saneago",VLOOKUP(I1964,'SANEAGO-FEV.2016'!A:B,2,0),IF(H1964="Sinapi",VLOOKUP(I1964,'SINAPI-FEV.2017'!A:D,2,0),IF(H1964="Cotação",VLOOKUP(I1964,COTAÇÃO!A:D,2,0),IF(H1964="Composição",VLOOKUP(I1964,COMPOSIÇÃO!A:D,2,0))))))</f>
        <v>PISTA DE ROLAMENTO DA CAÇAMBA - TRILHO FERROVIÁRIO, TR-25 (REF. BRASIL TRILHOS), INCL CHAPA MET TRAVAMENTO, AÇO ASTM-A36, GALVANIZADO, C/ ESP DE 5/16", DOBRADA ANGULO 14°; CHUMBADOR TIPO PARABOLT, DN5/16" X L=69,8 MM (REF. "WALSYWA WB" EM INOX); CHAPA MET DE BASE, AÇO ASTM-A36, GALVANIZADO, ESP DE 5/16"; MANTA DE BORRACHA, ESP DE 2 MM, CONFORME DESENHOS RV/E/T/HTP/D02 E RV/E/T/HTP/D07</v>
      </c>
      <c r="L1964" s="780" t="s">
        <v>71</v>
      </c>
      <c r="M1964" s="1270">
        <v>50</v>
      </c>
      <c r="N1964" s="399">
        <v>0</v>
      </c>
      <c r="O1964" s="102">
        <f t="shared" si="302"/>
        <v>0</v>
      </c>
      <c r="P1964" s="101">
        <f t="shared" si="303"/>
        <v>0</v>
      </c>
      <c r="Q1964" s="1472">
        <v>50</v>
      </c>
    </row>
    <row r="1965" spans="1:24">
      <c r="A1965" s="1482"/>
      <c r="B1965" s="1482"/>
      <c r="C1965" s="1555">
        <f t="shared" si="298"/>
        <v>3</v>
      </c>
      <c r="D1965" s="1492">
        <f t="shared" si="301"/>
        <v>1</v>
      </c>
      <c r="E1965" s="1492"/>
      <c r="F1965" s="1484" t="s">
        <v>11724</v>
      </c>
      <c r="H1965" s="1095" t="s">
        <v>11722</v>
      </c>
      <c r="I1965" s="780" t="s">
        <v>13273</v>
      </c>
      <c r="J1965" s="834"/>
      <c r="K1965" s="790" t="str">
        <f>(IF(H1965="Saneago",VLOOKUP(I1965,'SANEAGO-FEV.2016'!A:B,2,0),IF(H1965="Sinapi",VLOOKUP(I1965,'SINAPI-FEV.2017'!A:D,2,0),IF(H1965="Cotação",VLOOKUP(I1965,COTAÇÃO!A:D,2,0),IF(H1965="Composição",VLOOKUP(I1965,COMPOSIÇÃO!A:D,2,0))))))</f>
        <v>Calha Parshall  em fibra de vidro, W= 18" (0,457m)</v>
      </c>
      <c r="L1965" s="780" t="s">
        <v>10854</v>
      </c>
      <c r="M1965" s="1270">
        <v>1</v>
      </c>
      <c r="N1965" s="399">
        <v>0</v>
      </c>
      <c r="O1965" s="102">
        <f t="shared" si="302"/>
        <v>0</v>
      </c>
      <c r="P1965" s="101">
        <f t="shared" si="303"/>
        <v>0</v>
      </c>
      <c r="Q1965" s="1472">
        <v>1</v>
      </c>
    </row>
    <row r="1966" spans="1:24" ht="22.5">
      <c r="A1966" s="1482"/>
      <c r="B1966" s="1482"/>
      <c r="C1966" s="1555">
        <f t="shared" si="298"/>
        <v>3</v>
      </c>
      <c r="D1966" s="1492">
        <f t="shared" si="301"/>
        <v>1</v>
      </c>
      <c r="E1966" s="1492"/>
      <c r="F1966" s="1484" t="s">
        <v>11724</v>
      </c>
      <c r="H1966" s="1095" t="s">
        <v>11722</v>
      </c>
      <c r="I1966" s="780" t="s">
        <v>13291</v>
      </c>
      <c r="J1966" s="834"/>
      <c r="K1966" s="1575" t="str">
        <f>(IF(H1966="Saneago",VLOOKUP(I1966,'SANEAGO-FEV.2016'!A:B,2,0),IF(H1966="Sinapi",VLOOKUP(I1966,'SINAPI-FEV.2017'!A:D,2,0),IF(H1966="Cotação",VLOOKUP(I1966,COTAÇÃO!A:D,2,0),IF(H1966="Composição",VLOOKUP(I1966,COMPOSIÇÃO!A:D,2,0))))))</f>
        <v>Comporta de superfície com acionamento manual em aço, com vão(0,65x1,10m) e haste de prolongamento (L=1,35m)</v>
      </c>
      <c r="L1966" s="1224" t="s">
        <v>10854</v>
      </c>
      <c r="M1966" s="1576">
        <v>7</v>
      </c>
      <c r="N1966" s="399">
        <v>0</v>
      </c>
      <c r="O1966" s="102">
        <f t="shared" si="302"/>
        <v>0</v>
      </c>
      <c r="P1966" s="101">
        <f t="shared" si="303"/>
        <v>0</v>
      </c>
      <c r="Q1966" s="1472">
        <v>7</v>
      </c>
    </row>
    <row r="1967" spans="1:24">
      <c r="A1967" s="1482"/>
      <c r="B1967" s="1482"/>
      <c r="C1967" s="1555">
        <f t="shared" si="298"/>
        <v>3</v>
      </c>
      <c r="D1967" s="1492">
        <f t="shared" si="301"/>
        <v>1</v>
      </c>
      <c r="E1967" s="1492"/>
      <c r="F1967" s="1484" t="s">
        <v>11724</v>
      </c>
      <c r="H1967" s="1095" t="s">
        <v>11722</v>
      </c>
      <c r="I1967" s="780" t="s">
        <v>13062</v>
      </c>
      <c r="J1967" s="834"/>
      <c r="K1967" s="790" t="str">
        <f>(IF(H1967="Saneago",VLOOKUP(I1967,'SANEAGO-FEV.2016'!A:B,2,0),IF(H1967="Sinapi",VLOOKUP(I1967,'SINAPI-FEV.2017'!A:D,2,0),IF(H1967="Cotação",VLOOKUP(I1967,COTAÇÃO!A:D,2,0),IF(H1967="Composição",VLOOKUP(I1967,COMPOSIÇÃO!A:D,2,0))))))</f>
        <v>Comporta em fibra de vidro, de parede manual (0,20x0,25m) e haste (1,10m)</v>
      </c>
      <c r="L1967" s="780" t="s">
        <v>10854</v>
      </c>
      <c r="M1967" s="1270">
        <v>2</v>
      </c>
      <c r="N1967" s="399">
        <v>0</v>
      </c>
      <c r="O1967" s="102">
        <f t="shared" si="302"/>
        <v>0</v>
      </c>
      <c r="P1967" s="101">
        <f t="shared" si="303"/>
        <v>0</v>
      </c>
      <c r="Q1967" s="1472">
        <v>2</v>
      </c>
    </row>
    <row r="1968" spans="1:24">
      <c r="A1968" s="1482"/>
      <c r="B1968" s="1482"/>
      <c r="C1968" s="1555">
        <f t="shared" si="298"/>
        <v>3</v>
      </c>
      <c r="D1968" s="1492">
        <f t="shared" si="301"/>
        <v>1</v>
      </c>
      <c r="E1968" s="1492"/>
      <c r="F1968" s="1484" t="s">
        <v>11724</v>
      </c>
      <c r="H1968" s="1095" t="s">
        <v>11722</v>
      </c>
      <c r="I1968" s="780" t="s">
        <v>13064</v>
      </c>
      <c r="J1968" s="834"/>
      <c r="K1968" s="790" t="str">
        <f>(IF(H1968="Saneago",VLOOKUP(I1968,'SANEAGO-FEV.2016'!A:B,2,0),IF(H1968="Sinapi",VLOOKUP(I1968,'SINAPI-FEV.2017'!A:D,2,0),IF(H1968="Cotação",VLOOKUP(I1968,COTAÇÃO!A:D,2,0),IF(H1968="Composição",VLOOKUP(I1968,COMPOSIÇÃO!A:D,2,0))))))</f>
        <v>Comporta em fibra de vidro, de superfície vão (0,60x1,50m) e haste (1,0m)</v>
      </c>
      <c r="L1968" s="780" t="s">
        <v>10854</v>
      </c>
      <c r="M1968" s="1270">
        <v>2</v>
      </c>
      <c r="N1968" s="399">
        <v>0</v>
      </c>
      <c r="O1968" s="102">
        <f t="shared" si="302"/>
        <v>0</v>
      </c>
      <c r="P1968" s="101">
        <f t="shared" si="303"/>
        <v>0</v>
      </c>
      <c r="Q1968" s="1472">
        <v>2</v>
      </c>
    </row>
    <row r="1969" spans="1:17">
      <c r="A1969" s="1482"/>
      <c r="B1969" s="1482"/>
      <c r="C1969" s="1555">
        <f t="shared" si="298"/>
        <v>3</v>
      </c>
      <c r="D1969" s="1492">
        <f t="shared" si="301"/>
        <v>1</v>
      </c>
      <c r="E1969" s="1492"/>
      <c r="F1969" s="1484" t="s">
        <v>11724</v>
      </c>
      <c r="H1969" s="1095" t="s">
        <v>11722</v>
      </c>
      <c r="I1969" s="780" t="s">
        <v>13066</v>
      </c>
      <c r="J1969" s="834"/>
      <c r="K1969" s="790" t="str">
        <f>(IF(H1969="Saneago",VLOOKUP(I1969,'SANEAGO-FEV.2016'!A:B,2,0),IF(H1969="Sinapi",VLOOKUP(I1969,'SINAPI-FEV.2017'!A:D,2,0),IF(H1969="Cotação",VLOOKUP(I1969,COTAÇÃO!A:D,2,0),IF(H1969="Composição",VLOOKUP(I1969,COMPOSIÇÃO!A:D,2,0))))))</f>
        <v>Comporta em fibra de vidro, de superfície vão (0,70x0,70m) e haste (3,20m)</v>
      </c>
      <c r="L1969" s="780" t="s">
        <v>10854</v>
      </c>
      <c r="M1969" s="1270">
        <v>1</v>
      </c>
      <c r="N1969" s="399">
        <v>0</v>
      </c>
      <c r="O1969" s="102">
        <f t="shared" si="302"/>
        <v>0</v>
      </c>
      <c r="P1969" s="101">
        <f t="shared" si="303"/>
        <v>0</v>
      </c>
      <c r="Q1969" s="1472">
        <v>1</v>
      </c>
    </row>
    <row r="1970" spans="1:17">
      <c r="A1970" s="1482"/>
      <c r="B1970" s="1482"/>
      <c r="C1970" s="1555">
        <f t="shared" si="298"/>
        <v>3</v>
      </c>
      <c r="D1970" s="1492">
        <f t="shared" si="301"/>
        <v>1</v>
      </c>
      <c r="E1970" s="1492"/>
      <c r="F1970" s="1484" t="s">
        <v>11724</v>
      </c>
      <c r="H1970" s="1095" t="s">
        <v>11722</v>
      </c>
      <c r="I1970" s="780" t="s">
        <v>13068</v>
      </c>
      <c r="J1970" s="834"/>
      <c r="K1970" s="790" t="str">
        <f>(IF(H1970="Saneago",VLOOKUP(I1970,'SANEAGO-FEV.2016'!A:B,2,0),IF(H1970="Sinapi",VLOOKUP(I1970,'SINAPI-FEV.2017'!A:D,2,0),IF(H1970="Cotação",VLOOKUP(I1970,COTAÇÃO!A:D,2,0),IF(H1970="Composição",VLOOKUP(I1970,COMPOSIÇÃO!A:D,2,0))))))</f>
        <v>Comporta em fibra de vidro, de superfície vão (0,70x1,00m) e haste (1,30m)</v>
      </c>
      <c r="L1970" s="780" t="s">
        <v>10854</v>
      </c>
      <c r="M1970" s="1270">
        <v>3</v>
      </c>
      <c r="N1970" s="399">
        <v>0</v>
      </c>
      <c r="O1970" s="102">
        <f t="shared" si="302"/>
        <v>0</v>
      </c>
      <c r="P1970" s="101">
        <f t="shared" si="303"/>
        <v>0</v>
      </c>
      <c r="Q1970" s="1472">
        <v>3</v>
      </c>
    </row>
    <row r="1971" spans="1:17">
      <c r="A1971" s="1482"/>
      <c r="B1971" s="1482"/>
      <c r="C1971" s="1555">
        <f t="shared" si="298"/>
        <v>3</v>
      </c>
      <c r="D1971" s="1492">
        <f t="shared" si="301"/>
        <v>1</v>
      </c>
      <c r="E1971" s="1492"/>
      <c r="F1971" s="1484" t="s">
        <v>11724</v>
      </c>
      <c r="H1971" s="1095" t="s">
        <v>11722</v>
      </c>
      <c r="I1971" s="780" t="s">
        <v>13070</v>
      </c>
      <c r="J1971" s="834"/>
      <c r="K1971" s="790" t="str">
        <f>(IF(H1971="Saneago",VLOOKUP(I1971,'SANEAGO-FEV.2016'!A:B,2,0),IF(H1971="Sinapi",VLOOKUP(I1971,'SINAPI-FEV.2017'!A:D,2,0),IF(H1971="Cotação",VLOOKUP(I1971,COTAÇÃO!A:D,2,0),IF(H1971="Composição",VLOOKUP(I1971,COMPOSIÇÃO!A:D,2,0))))))</f>
        <v>Comporta em fibra de vidro, manual vão (0,90x1,20m)</v>
      </c>
      <c r="L1971" s="780" t="s">
        <v>10854</v>
      </c>
      <c r="M1971" s="1270">
        <v>2</v>
      </c>
      <c r="N1971" s="399">
        <v>0</v>
      </c>
      <c r="O1971" s="102">
        <f t="shared" si="302"/>
        <v>0</v>
      </c>
      <c r="P1971" s="101">
        <f t="shared" si="303"/>
        <v>0</v>
      </c>
      <c r="Q1971" s="1472">
        <v>2</v>
      </c>
    </row>
    <row r="1972" spans="1:17" ht="22.5">
      <c r="A1972" s="1482"/>
      <c r="B1972" s="1482"/>
      <c r="C1972" s="1555">
        <f t="shared" si="298"/>
        <v>3</v>
      </c>
      <c r="D1972" s="1492">
        <f t="shared" si="301"/>
        <v>1</v>
      </c>
      <c r="E1972" s="1492"/>
      <c r="F1972" s="1484" t="s">
        <v>11724</v>
      </c>
      <c r="H1972" s="1095" t="s">
        <v>11722</v>
      </c>
      <c r="I1972" s="780" t="s">
        <v>13072</v>
      </c>
      <c r="J1972" s="834"/>
      <c r="K1972" s="790" t="str">
        <f>(IF(H1972="Saneago",VLOOKUP(I1972,'SANEAGO-FEV.2016'!A:B,2,0),IF(H1972="Sinapi",VLOOKUP(I1972,'SINAPI-FEV.2017'!A:D,2,0),IF(H1972="Cotação",VLOOKUP(I1972,COTAÇÃO!A:D,2,0),IF(H1972="Composição",VLOOKUP(I1972,COMPOSIÇÃO!A:D,2,0))))))</f>
        <v>Comporta em fibra de vidro, vertedora do By-Pass vão (1,60x0,80m) com acionamento manual e haste de prolongamento (h=1,30m)</v>
      </c>
      <c r="L1972" s="780" t="s">
        <v>10854</v>
      </c>
      <c r="M1972" s="1270">
        <v>1</v>
      </c>
      <c r="N1972" s="399">
        <v>0</v>
      </c>
      <c r="O1972" s="102">
        <f t="shared" si="302"/>
        <v>0</v>
      </c>
      <c r="P1972" s="101">
        <f t="shared" si="303"/>
        <v>0</v>
      </c>
      <c r="Q1972" s="1472">
        <v>1</v>
      </c>
    </row>
    <row r="1973" spans="1:17">
      <c r="A1973" s="1482"/>
      <c r="B1973" s="1482"/>
      <c r="C1973" s="1555">
        <f t="shared" si="298"/>
        <v>3</v>
      </c>
      <c r="D1973" s="1492">
        <f t="shared" si="301"/>
        <v>1</v>
      </c>
      <c r="E1973" s="1492"/>
      <c r="F1973" s="1484" t="s">
        <v>11724</v>
      </c>
      <c r="H1973" s="1095" t="s">
        <v>11722</v>
      </c>
      <c r="I1973" s="780" t="s">
        <v>13253</v>
      </c>
      <c r="J1973" s="834"/>
      <c r="K1973" s="790" t="str">
        <f>(IF(H1973="Saneago",VLOOKUP(I1973,'SANEAGO-FEV.2016'!A:B,2,0),IF(H1973="Sinapi",VLOOKUP(I1973,'SINAPI-FEV.2017'!A:D,2,0),IF(H1973="Cotação",VLOOKUP(I1973,COTAÇÃO!A:D,2,0),IF(H1973="Composição",VLOOKUP(I1973,COMPOSIÇÃO!A:D,2,0))))))</f>
        <v>Conjunto moto-bomba tipo deslocamento positivo, Modelo NM045BY01L, NETZSCH</v>
      </c>
      <c r="L1973" s="780" t="s">
        <v>11723</v>
      </c>
      <c r="M1973" s="1270">
        <v>2</v>
      </c>
      <c r="N1973" s="399">
        <v>0</v>
      </c>
      <c r="O1973" s="102">
        <f t="shared" si="302"/>
        <v>0</v>
      </c>
      <c r="P1973" s="101">
        <f t="shared" si="303"/>
        <v>0</v>
      </c>
      <c r="Q1973" s="1472">
        <v>2</v>
      </c>
    </row>
    <row r="1974" spans="1:17">
      <c r="A1974" s="1482"/>
      <c r="B1974" s="1482"/>
      <c r="C1974" s="1555">
        <f t="shared" si="298"/>
        <v>3</v>
      </c>
      <c r="D1974" s="1492">
        <f t="shared" si="301"/>
        <v>1</v>
      </c>
      <c r="E1974" s="1492"/>
      <c r="F1974" s="1484" t="s">
        <v>11724</v>
      </c>
      <c r="H1974" s="1095" t="s">
        <v>11722</v>
      </c>
      <c r="I1974" s="780" t="s">
        <v>13255</v>
      </c>
      <c r="J1974" s="834"/>
      <c r="K1974" s="790" t="str">
        <f>(IF(H1974="Saneago",VLOOKUP(I1974,'SANEAGO-FEV.2016'!A:B,2,0),IF(H1974="Sinapi",VLOOKUP(I1974,'SINAPI-FEV.2017'!A:D,2,0),IF(H1974="Cotação",VLOOKUP(I1974,COTAÇÃO!A:D,2,0),IF(H1974="Composição",VLOOKUP(I1974,COMPOSIÇÃO!A:D,2,0))))))</f>
        <v>Conjunto moto-bomba tipo deslocamento positivo, Modelo NM180SY01L04Z, NETZSCH</v>
      </c>
      <c r="L1974" s="780" t="s">
        <v>11723</v>
      </c>
      <c r="M1974" s="1270">
        <v>5</v>
      </c>
      <c r="N1974" s="399">
        <v>0</v>
      </c>
      <c r="O1974" s="102">
        <f>ROUND(IF(F1974="Serviços",N1974*(1+$O$7),IF(F1974="Materiais",N1974*(1+$O$8))),2)</f>
        <v>0</v>
      </c>
      <c r="P1974" s="101">
        <f t="shared" si="303"/>
        <v>0</v>
      </c>
      <c r="Q1974" s="1472">
        <v>5</v>
      </c>
    </row>
    <row r="1975" spans="1:17">
      <c r="A1975" s="1482"/>
      <c r="B1975" s="1482"/>
      <c r="C1975" s="1555">
        <f t="shared" si="298"/>
        <v>3</v>
      </c>
      <c r="D1975" s="1492">
        <f t="shared" si="301"/>
        <v>1</v>
      </c>
      <c r="E1975" s="1492"/>
      <c r="F1975" s="1484" t="s">
        <v>11724</v>
      </c>
      <c r="H1975" s="1095" t="s">
        <v>11722</v>
      </c>
      <c r="I1975" s="780" t="s">
        <v>13274</v>
      </c>
      <c r="J1975" s="834"/>
      <c r="K1975" s="790" t="str">
        <f>(IF(H1975="Saneago",VLOOKUP(I1975,'SANEAGO-FEV.2016'!A:B,2,0),IF(H1975="Sinapi",VLOOKUP(I1975,'SINAPI-FEV.2017'!A:D,2,0),IF(H1975="Cotação",VLOOKUP(I1975,COTAÇÃO!A:D,2,0),IF(H1975="Composição",VLOOKUP(I1975,COMPOSIÇÃO!A:D,2,0))))))</f>
        <v>Conjunto para caixa de areia tipo "ponte rolante" com remoção AIR LIFT</v>
      </c>
      <c r="L1975" s="780" t="s">
        <v>13276</v>
      </c>
      <c r="M1975" s="1270">
        <v>2</v>
      </c>
      <c r="N1975" s="399">
        <v>0</v>
      </c>
      <c r="O1975" s="102">
        <f t="shared" si="302"/>
        <v>0</v>
      </c>
      <c r="P1975" s="101">
        <f t="shared" si="303"/>
        <v>0</v>
      </c>
      <c r="Q1975" s="1472">
        <v>2</v>
      </c>
    </row>
    <row r="1976" spans="1:17">
      <c r="A1976" s="1482"/>
      <c r="B1976" s="1482"/>
      <c r="C1976" s="1555">
        <f t="shared" si="298"/>
        <v>3</v>
      </c>
      <c r="D1976" s="1492">
        <f t="shared" ref="D1976:D1988" si="304">D1975+B1976</f>
        <v>1</v>
      </c>
      <c r="E1976" s="1492"/>
      <c r="F1976" s="1484" t="s">
        <v>11724</v>
      </c>
      <c r="H1976" s="1095" t="s">
        <v>11722</v>
      </c>
      <c r="I1976" s="780" t="s">
        <v>13278</v>
      </c>
      <c r="J1976" s="834"/>
      <c r="K1976" s="790" t="str">
        <f>(IF(H1976="Saneago",VLOOKUP(I1976,'SANEAGO-FEV.2016'!A:B,2,0),IF(H1976="Sinapi",VLOOKUP(I1976,'SINAPI-FEV.2017'!A:D,2,0),IF(H1976="Cotação",VLOOKUP(I1976,COTAÇÃO!A:D,2,0),IF(H1976="Composição",VLOOKUP(I1976,COMPOSIÇÃO!A:D,2,0))))))</f>
        <v>Gradeamento grosso (0,50X1,50m)</v>
      </c>
      <c r="L1976" s="780" t="s">
        <v>10854</v>
      </c>
      <c r="M1976" s="1270">
        <v>2</v>
      </c>
      <c r="N1976" s="399">
        <v>0</v>
      </c>
      <c r="O1976" s="102">
        <f t="shared" ref="O1976:O1983" si="305">ROUND(IF(F1976="Serviços",N1976*(1+$O$7),IF(F1976="Materiais",N1976*(1+$O$8))),2)</f>
        <v>0</v>
      </c>
      <c r="P1976" s="101">
        <f t="shared" ref="P1976:P1983" si="306">ROUND(M1976*O1976,2)</f>
        <v>0</v>
      </c>
      <c r="Q1976" s="1472">
        <v>2</v>
      </c>
    </row>
    <row r="1977" spans="1:17">
      <c r="A1977" s="1482"/>
      <c r="B1977" s="1482"/>
      <c r="C1977" s="1555">
        <f t="shared" si="298"/>
        <v>3</v>
      </c>
      <c r="D1977" s="1492">
        <f t="shared" si="304"/>
        <v>1</v>
      </c>
      <c r="E1977" s="1492"/>
      <c r="F1977" s="1484" t="s">
        <v>11724</v>
      </c>
      <c r="H1977" s="1095" t="s">
        <v>11722</v>
      </c>
      <c r="I1977" s="780" t="s">
        <v>13268</v>
      </c>
      <c r="J1977" s="834"/>
      <c r="K1977" s="790" t="str">
        <f>(IF(H1977="Saneago",VLOOKUP(I1977,'SANEAGO-FEV.2016'!A:B,2,0),IF(H1977="Sinapi",VLOOKUP(I1977,'SINAPI-FEV.2017'!A:D,2,0),IF(H1977="Cotação",VLOOKUP(I1977,COTAÇÃO!A:D,2,0),IF(H1977="Composição",VLOOKUP(I1977,COMPOSIÇÃO!A:D,2,0))))))</f>
        <v>Medidor de vazão tipo turbina, com flanges, DN50</v>
      </c>
      <c r="L1977" s="780" t="s">
        <v>10854</v>
      </c>
      <c r="M1977" s="1270">
        <v>2</v>
      </c>
      <c r="N1977" s="399">
        <v>0</v>
      </c>
      <c r="O1977" s="102">
        <f t="shared" si="305"/>
        <v>0</v>
      </c>
      <c r="P1977" s="101">
        <f t="shared" si="306"/>
        <v>0</v>
      </c>
      <c r="Q1977" s="1472">
        <v>2</v>
      </c>
    </row>
    <row r="1978" spans="1:17">
      <c r="A1978" s="1482"/>
      <c r="B1978" s="1482"/>
      <c r="C1978" s="1555">
        <f t="shared" si="298"/>
        <v>3</v>
      </c>
      <c r="D1978" s="1492">
        <f t="shared" si="304"/>
        <v>1</v>
      </c>
      <c r="E1978" s="1492"/>
      <c r="F1978" s="1484" t="s">
        <v>11724</v>
      </c>
      <c r="H1978" s="1095" t="s">
        <v>11722</v>
      </c>
      <c r="I1978" s="780" t="s">
        <v>13270</v>
      </c>
      <c r="J1978" s="834"/>
      <c r="K1978" s="790" t="str">
        <f>(IF(H1978="Saneago",VLOOKUP(I1978,'SANEAGO-FEV.2016'!A:B,2,0),IF(H1978="Sinapi",VLOOKUP(I1978,'SINAPI-FEV.2017'!A:D,2,0),IF(H1978="Cotação",VLOOKUP(I1978,COTAÇÃO!A:D,2,0),IF(H1978="Composição",VLOOKUP(I1978,COMPOSIÇÃO!A:D,2,0))))))</f>
        <v>Medidor de vazão tipo ultra-sônico</v>
      </c>
      <c r="L1978" s="780" t="s">
        <v>10854</v>
      </c>
      <c r="M1978" s="1270">
        <v>1</v>
      </c>
      <c r="N1978" s="399">
        <v>0</v>
      </c>
      <c r="O1978" s="102">
        <f t="shared" si="305"/>
        <v>0</v>
      </c>
      <c r="P1978" s="101">
        <f t="shared" si="306"/>
        <v>0</v>
      </c>
      <c r="Q1978" s="1472">
        <v>1</v>
      </c>
    </row>
    <row r="1979" spans="1:17">
      <c r="A1979" s="1482"/>
      <c r="B1979" s="1482"/>
      <c r="C1979" s="1555">
        <f t="shared" si="298"/>
        <v>3</v>
      </c>
      <c r="D1979" s="1492">
        <f t="shared" si="304"/>
        <v>1</v>
      </c>
      <c r="E1979" s="1492"/>
      <c r="F1979" s="1484" t="s">
        <v>11724</v>
      </c>
      <c r="H1979" s="1095" t="s">
        <v>11722</v>
      </c>
      <c r="I1979" s="780" t="s">
        <v>13281</v>
      </c>
      <c r="J1979" s="834"/>
      <c r="K1979" s="790" t="str">
        <f>(IF(H1979="Saneago",VLOOKUP(I1979,'SANEAGO-FEV.2016'!A:B,2,0),IF(H1979="Sinapi",VLOOKUP(I1979,'SINAPI-FEV.2017'!A:D,2,0),IF(H1979="Cotação",VLOOKUP(I1979,COTAÇÃO!A:D,2,0),IF(H1979="Composição",VLOOKUP(I1979,COMPOSIÇÃO!A:D,2,0))))))</f>
        <v>Parafuso tipo "SW" para lavagem e classificação de areia</v>
      </c>
      <c r="L1979" s="780" t="s">
        <v>11723</v>
      </c>
      <c r="M1979" s="1270">
        <v>2</v>
      </c>
      <c r="N1979" s="399">
        <v>0</v>
      </c>
      <c r="O1979" s="102">
        <f t="shared" si="305"/>
        <v>0</v>
      </c>
      <c r="P1979" s="101">
        <f t="shared" si="306"/>
        <v>0</v>
      </c>
      <c r="Q1979" s="1472">
        <v>2</v>
      </c>
    </row>
    <row r="1980" spans="1:17">
      <c r="A1980" s="1482"/>
      <c r="B1980" s="1482"/>
      <c r="C1980" s="1555">
        <f t="shared" si="298"/>
        <v>3</v>
      </c>
      <c r="D1980" s="1492">
        <f t="shared" si="304"/>
        <v>1</v>
      </c>
      <c r="E1980" s="1492"/>
      <c r="F1980" s="1484" t="s">
        <v>11724</v>
      </c>
      <c r="H1980" s="1095" t="s">
        <v>11722</v>
      </c>
      <c r="I1980" s="780" t="s">
        <v>13283</v>
      </c>
      <c r="J1980" s="834"/>
      <c r="K1980" s="790" t="str">
        <f>(IF(H1980="Saneago",VLOOKUP(I1980,'SANEAGO-FEV.2016'!A:B,2,0),IF(H1980="Sinapi",VLOOKUP(I1980,'SINAPI-FEV.2017'!A:D,2,0),IF(H1980="Cotação",VLOOKUP(I1980,COTAÇÃO!A:D,2,0),IF(H1980="Composição",VLOOKUP(I1980,COMPOSIÇÃO!A:D,2,0))))))</f>
        <v xml:space="preserve">Sensor de Nível </v>
      </c>
      <c r="L1980" s="780" t="s">
        <v>11723</v>
      </c>
      <c r="M1980" s="1270">
        <v>2</v>
      </c>
      <c r="N1980" s="399">
        <v>0</v>
      </c>
      <c r="O1980" s="102">
        <f t="shared" si="305"/>
        <v>0</v>
      </c>
      <c r="P1980" s="101">
        <f t="shared" si="306"/>
        <v>0</v>
      </c>
      <c r="Q1980" s="1472">
        <v>2</v>
      </c>
    </row>
    <row r="1981" spans="1:17">
      <c r="A1981" s="1482"/>
      <c r="B1981" s="1482"/>
      <c r="C1981" s="1555">
        <f t="shared" si="298"/>
        <v>3</v>
      </c>
      <c r="D1981" s="1492">
        <f t="shared" si="304"/>
        <v>1</v>
      </c>
      <c r="E1981" s="1492"/>
      <c r="F1981" s="1484" t="s">
        <v>11724</v>
      </c>
      <c r="H1981" s="1095" t="s">
        <v>11722</v>
      </c>
      <c r="I1981" s="776" t="s">
        <v>13277</v>
      </c>
      <c r="J1981" s="1077"/>
      <c r="K1981" s="1078" t="str">
        <f>(IF(H1981="Saneago",VLOOKUP(I1981,'SANEAGO-FEV.2016'!A:B,2,0),IF(H1981="Sinapi",VLOOKUP(I1981,'SINAPI-FEV.2017'!A:D,2,0),IF(H1981="Cotação",VLOOKUP(I1981,COTAÇÃO!A:D,2,0),IF(H1981="Composição",VLOOKUP(I1981,COMPOSIÇÃO!A:D,2,0))))))</f>
        <v>Soprador de ar Tipo Roots</v>
      </c>
      <c r="L1981" s="780" t="s">
        <v>11723</v>
      </c>
      <c r="M1981" s="1270">
        <v>2</v>
      </c>
      <c r="N1981" s="399">
        <v>0</v>
      </c>
      <c r="O1981" s="102">
        <f t="shared" si="305"/>
        <v>0</v>
      </c>
      <c r="P1981" s="101">
        <f t="shared" si="306"/>
        <v>0</v>
      </c>
      <c r="Q1981" s="1472">
        <v>2</v>
      </c>
    </row>
    <row r="1982" spans="1:17">
      <c r="A1982" s="1482"/>
      <c r="B1982" s="1482"/>
      <c r="C1982" s="1555">
        <f t="shared" si="298"/>
        <v>3</v>
      </c>
      <c r="D1982" s="1492">
        <f>D1981+B1982</f>
        <v>1</v>
      </c>
      <c r="E1982" s="1492"/>
      <c r="F1982" s="1484" t="s">
        <v>11724</v>
      </c>
      <c r="H1982" s="1095" t="s">
        <v>11722</v>
      </c>
      <c r="I1982" s="780" t="s">
        <v>13249</v>
      </c>
      <c r="J1982" s="834"/>
      <c r="K1982" s="790" t="str">
        <f>(IF(H1982="Saneago",VLOOKUP(I1982,'SANEAGO-FEV.2016'!A:B,2,0),IF(H1982="Sinapi",VLOOKUP(I1982,'SINAPI-FEV.2017'!A:D,2,0),IF(H1982="Cotação",VLOOKUP(I1982,COTAÇÃO!A:D,2,0),IF(H1982="Composição",VLOOKUP(I1982,COMPOSIÇÃO!A:D,2,0))))))</f>
        <v>Talha e Monovia com capacidade para 3000KgF (carga estática)</v>
      </c>
      <c r="L1982" s="780" t="s">
        <v>11723</v>
      </c>
      <c r="M1982" s="1270">
        <v>2</v>
      </c>
      <c r="N1982" s="399">
        <v>0</v>
      </c>
      <c r="O1982" s="102">
        <f t="shared" si="305"/>
        <v>0</v>
      </c>
      <c r="P1982" s="101">
        <f t="shared" si="306"/>
        <v>0</v>
      </c>
      <c r="Q1982" s="1472">
        <v>2</v>
      </c>
    </row>
    <row r="1983" spans="1:17">
      <c r="A1983" s="1482"/>
      <c r="B1983" s="1482"/>
      <c r="C1983" s="1555">
        <f t="shared" si="298"/>
        <v>3</v>
      </c>
      <c r="D1983" s="1492">
        <f t="shared" si="304"/>
        <v>1</v>
      </c>
      <c r="E1983" s="1492"/>
      <c r="F1983" s="1484" t="s">
        <v>11724</v>
      </c>
      <c r="H1983" s="1095" t="s">
        <v>11722</v>
      </c>
      <c r="I1983" s="780" t="s">
        <v>13251</v>
      </c>
      <c r="J1983" s="834"/>
      <c r="K1983" s="790" t="str">
        <f>(IF(H1983="Saneago",VLOOKUP(I1983,'SANEAGO-FEV.2016'!A:B,2,0),IF(H1983="Sinapi",VLOOKUP(I1983,'SINAPI-FEV.2017'!A:D,2,0),IF(H1983="Cotação",VLOOKUP(I1983,COTAÇÃO!A:D,2,0),IF(H1983="Composição",VLOOKUP(I1983,COMPOSIÇÃO!A:D,2,0))))))</f>
        <v>Talha e Monovia com capacidade para 300KgF (carga estática)</v>
      </c>
      <c r="L1983" s="780" t="s">
        <v>11723</v>
      </c>
      <c r="M1983" s="1270">
        <v>1</v>
      </c>
      <c r="N1983" s="399">
        <v>0</v>
      </c>
      <c r="O1983" s="102">
        <f t="shared" si="305"/>
        <v>0</v>
      </c>
      <c r="P1983" s="101">
        <f t="shared" si="306"/>
        <v>0</v>
      </c>
      <c r="Q1983" s="1472">
        <v>1</v>
      </c>
    </row>
    <row r="1984" spans="1:17" ht="15.75" thickBot="1">
      <c r="A1984" s="1482"/>
      <c r="B1984" s="1482"/>
      <c r="C1984" s="1555">
        <f t="shared" si="298"/>
        <v>3</v>
      </c>
      <c r="D1984" s="1492">
        <f t="shared" si="304"/>
        <v>1</v>
      </c>
      <c r="E1984" s="1492"/>
      <c r="F1984" s="1484" t="s">
        <v>11724</v>
      </c>
      <c r="H1984" s="1095"/>
      <c r="I1984" s="780"/>
      <c r="J1984" s="834"/>
      <c r="K1984" s="790"/>
      <c r="L1984" s="780"/>
      <c r="M1984" s="1270"/>
      <c r="N1984" s="399"/>
      <c r="O1984" s="102"/>
      <c r="P1984" s="101"/>
    </row>
    <row r="1985" spans="1:17" ht="16.5" thickTop="1" thickBot="1">
      <c r="A1985" s="1482"/>
      <c r="B1985" s="1482">
        <v>1</v>
      </c>
      <c r="C1985" s="1555">
        <f t="shared" si="298"/>
        <v>3</v>
      </c>
      <c r="D1985" s="1492">
        <f t="shared" si="304"/>
        <v>2</v>
      </c>
      <c r="E1985" s="1492"/>
      <c r="F1985" s="1484" t="s">
        <v>11724</v>
      </c>
      <c r="H1985" s="1510" t="str">
        <f>CONCATENATE(C1985,".",D1985)</f>
        <v>3.2</v>
      </c>
      <c r="I1985" s="1573" t="s">
        <v>13292</v>
      </c>
      <c r="J1985" s="1573"/>
      <c r="K1985" s="1573"/>
      <c r="L1985" s="1573" t="s">
        <v>25</v>
      </c>
      <c r="M1985" s="1574" t="s">
        <v>11704</v>
      </c>
      <c r="N1985" s="397" t="s">
        <v>11705</v>
      </c>
      <c r="O1985" s="99" t="s">
        <v>11706</v>
      </c>
      <c r="P1985" s="100">
        <f>SUBTOTAL(9,P1987:P1992)</f>
        <v>0</v>
      </c>
      <c r="Q1985" s="1472" t="s">
        <v>11704</v>
      </c>
    </row>
    <row r="1986" spans="1:17" ht="15.75" thickTop="1">
      <c r="A1986" s="1482"/>
      <c r="B1986" s="1482"/>
      <c r="C1986" s="1555">
        <f t="shared" si="298"/>
        <v>3</v>
      </c>
      <c r="D1986" s="1492">
        <f t="shared" si="304"/>
        <v>2</v>
      </c>
      <c r="E1986" s="1492"/>
      <c r="F1986" s="1484" t="s">
        <v>11724</v>
      </c>
      <c r="H1986" s="1095"/>
      <c r="I1986" s="780"/>
      <c r="J1986" s="824"/>
      <c r="K1986" s="790"/>
      <c r="L1986" s="700"/>
      <c r="M1986" s="1270"/>
      <c r="N1986" s="399"/>
      <c r="O1986" s="102"/>
      <c r="P1986" s="101"/>
    </row>
    <row r="1987" spans="1:17">
      <c r="A1987" s="1482"/>
      <c r="B1987" s="1482"/>
      <c r="C1987" s="1555">
        <f t="shared" si="298"/>
        <v>3</v>
      </c>
      <c r="D1987" s="1492">
        <f t="shared" si="304"/>
        <v>2</v>
      </c>
      <c r="E1987" s="1492"/>
      <c r="F1987" s="1484" t="s">
        <v>11724</v>
      </c>
      <c r="H1987" s="1095" t="s">
        <v>11722</v>
      </c>
      <c r="I1987" s="780" t="s">
        <v>13287</v>
      </c>
      <c r="J1987" s="824"/>
      <c r="K1987" s="790" t="str">
        <f>(IF(H1987="Saneago",VLOOKUP(I1987,'SANEAGO-FEV.2016'!A:B,2,0),IF(H1987="Sinapi",VLOOKUP(I1987,'SINAPI-FEV.2017'!A:D,2,0),IF(H1987="Cotação",VLOOKUP(I1987,COTAÇÃO!A:D,2,0),IF(H1987="Composição",VLOOKUP(I1987,COMPOSIÇÃO!A:D,2,0))))))</f>
        <v>Cesto metálico com armação e tela em aço inox, volume 40 litros.</v>
      </c>
      <c r="L1987" s="700" t="s">
        <v>11723</v>
      </c>
      <c r="M1987" s="1270">
        <v>32</v>
      </c>
      <c r="N1987" s="399">
        <v>0</v>
      </c>
      <c r="O1987" s="102">
        <f t="shared" ref="O1987:O1992" si="307">ROUND(IF(F1987="Serviços",N1987*(1+$O$7),IF(F1987="Materiais",N1987*(1+$O$8))),2)</f>
        <v>0</v>
      </c>
      <c r="P1987" s="101">
        <f t="shared" ref="P1987:P1992" si="308">ROUND(M1987*O1987,2)</f>
        <v>0</v>
      </c>
      <c r="Q1987" s="1472">
        <v>32</v>
      </c>
    </row>
    <row r="1988" spans="1:17">
      <c r="A1988" s="1482"/>
      <c r="B1988" s="1482"/>
      <c r="C1988" s="1555">
        <f t="shared" si="298"/>
        <v>3</v>
      </c>
      <c r="D1988" s="1492">
        <f t="shared" si="304"/>
        <v>2</v>
      </c>
      <c r="E1988" s="1492"/>
      <c r="F1988" s="1484" t="s">
        <v>11724</v>
      </c>
      <c r="H1988" s="1095" t="s">
        <v>11722</v>
      </c>
      <c r="I1988" s="780" t="s">
        <v>12703</v>
      </c>
      <c r="J1988" s="824"/>
      <c r="K1988" s="790" t="str">
        <f>(IF(H1988="Saneago",VLOOKUP(I1988,'SANEAGO-FEV.2016'!A:B,2,0),IF(H1988="Sinapi",VLOOKUP(I1988,'SINAPI-FEV.2017'!A:D,2,0),IF(H1988="Cotação",VLOOKUP(I1988,COTAÇÃO!A:D,2,0),IF(H1988="Composição",VLOOKUP(I1988,COMPOSIÇÃO!A:D,2,0))))))</f>
        <v>Comporta de superficie com volante em aço inox 0,70m x 1,05m</v>
      </c>
      <c r="L1988" s="700" t="s">
        <v>10854</v>
      </c>
      <c r="M1988" s="1270">
        <v>8</v>
      </c>
      <c r="N1988" s="399">
        <v>0</v>
      </c>
      <c r="O1988" s="102">
        <f t="shared" si="307"/>
        <v>0</v>
      </c>
      <c r="P1988" s="101">
        <f t="shared" si="308"/>
        <v>0</v>
      </c>
      <c r="Q1988" s="1472">
        <v>8</v>
      </c>
    </row>
    <row r="1989" spans="1:17">
      <c r="A1989" s="1482"/>
      <c r="B1989" s="1482"/>
      <c r="C1989" s="1555">
        <f t="shared" si="298"/>
        <v>3</v>
      </c>
      <c r="D1989" s="1492">
        <f>D1988+B1989</f>
        <v>2</v>
      </c>
      <c r="E1989" s="1492"/>
      <c r="F1989" s="1484" t="s">
        <v>11724</v>
      </c>
      <c r="H1989" s="1095" t="s">
        <v>11722</v>
      </c>
      <c r="I1989" s="780" t="s">
        <v>13076</v>
      </c>
      <c r="J1989" s="824"/>
      <c r="K1989" s="790" t="str">
        <f>(IF(H1989="Saneago",VLOOKUP(I1989,'SANEAGO-FEV.2016'!A:B,2,0),IF(H1989="Sinapi",VLOOKUP(I1989,'SINAPI-FEV.2017'!A:D,2,0),IF(H1989="Cotação",VLOOKUP(I1989,COTAÇÃO!A:D,2,0),IF(H1989="Composição",VLOOKUP(I1989,COMPOSIÇÃO!A:D,2,0))))))</f>
        <v>Grade de piso em fibra de vidro -1 (0,78m x 0,74m)</v>
      </c>
      <c r="L1989" s="700" t="s">
        <v>10854</v>
      </c>
      <c r="M1989" s="1270">
        <v>2</v>
      </c>
      <c r="N1989" s="399">
        <v>0</v>
      </c>
      <c r="O1989" s="102">
        <f t="shared" si="307"/>
        <v>0</v>
      </c>
      <c r="P1989" s="101">
        <f t="shared" si="308"/>
        <v>0</v>
      </c>
      <c r="Q1989" s="1472">
        <v>2</v>
      </c>
    </row>
    <row r="1990" spans="1:17">
      <c r="A1990" s="1482"/>
      <c r="B1990" s="1482"/>
      <c r="C1990" s="1555">
        <f t="shared" si="298"/>
        <v>3</v>
      </c>
      <c r="D1990" s="1492">
        <f>D1989+B1990</f>
        <v>2</v>
      </c>
      <c r="E1990" s="1492"/>
      <c r="F1990" s="1484" t="s">
        <v>11724</v>
      </c>
      <c r="H1990" s="1095" t="s">
        <v>11722</v>
      </c>
      <c r="I1990" s="780" t="s">
        <v>13078</v>
      </c>
      <c r="J1990" s="824"/>
      <c r="K1990" s="790" t="str">
        <f>(IF(H1990="Saneago",VLOOKUP(I1990,'SANEAGO-FEV.2016'!A:B,2,0),IF(H1990="Sinapi",VLOOKUP(I1990,'SINAPI-FEV.2017'!A:D,2,0),IF(H1990="Cotação",VLOOKUP(I1990,COTAÇÃO!A:D,2,0),IF(H1990="Composição",VLOOKUP(I1990,COMPOSIÇÃO!A:D,2,0))))))</f>
        <v>Grade de piso em fibra de vidro-2 (0,57m x 0,69m)</v>
      </c>
      <c r="L1990" s="700" t="s">
        <v>10854</v>
      </c>
      <c r="M1990" s="1270">
        <v>8</v>
      </c>
      <c r="N1990" s="399">
        <v>0</v>
      </c>
      <c r="O1990" s="102">
        <f t="shared" si="307"/>
        <v>0</v>
      </c>
      <c r="P1990" s="101">
        <f t="shared" si="308"/>
        <v>0</v>
      </c>
      <c r="Q1990" s="1472">
        <v>8</v>
      </c>
    </row>
    <row r="1991" spans="1:17">
      <c r="A1991" s="1482"/>
      <c r="B1991" s="1482"/>
      <c r="C1991" s="1555">
        <f t="shared" si="298"/>
        <v>3</v>
      </c>
      <c r="D1991" s="1492">
        <f>D1990+B1991</f>
        <v>2</v>
      </c>
      <c r="E1991" s="1492"/>
      <c r="F1991" s="1484" t="s">
        <v>11724</v>
      </c>
      <c r="H1991" s="1095" t="s">
        <v>11722</v>
      </c>
      <c r="I1991" s="780" t="s">
        <v>14471</v>
      </c>
      <c r="J1991" s="824"/>
      <c r="K1991" s="790" t="str">
        <f>(IF(H1991="Saneago",VLOOKUP(I1991,'SANEAGO-FEV.2016'!A:B,2,0),IF(H1991="Sinapi",VLOOKUP(I1991,'SINAPI-FEV.2017'!A:D,2,0),IF(H1991="Cotação",VLOOKUP(I1991,COTAÇÃO!A:D,2,0),IF(H1991="Composição",VLOOKUP(I1991,COMPOSIÇÃO!A:D,2,0))))))</f>
        <v>Válvula de alivio, DN3"</v>
      </c>
      <c r="L1991" s="700" t="s">
        <v>1270</v>
      </c>
      <c r="M1991" s="1270">
        <v>1</v>
      </c>
      <c r="N1991" s="399">
        <v>0</v>
      </c>
      <c r="O1991" s="102">
        <f t="shared" si="307"/>
        <v>0</v>
      </c>
      <c r="P1991" s="101">
        <f t="shared" si="308"/>
        <v>0</v>
      </c>
      <c r="Q1991" s="1472">
        <v>1</v>
      </c>
    </row>
    <row r="1992" spans="1:17">
      <c r="A1992" s="1482"/>
      <c r="B1992" s="1482"/>
      <c r="C1992" s="1555">
        <f t="shared" ref="C1992:C2055" si="309">C1991</f>
        <v>3</v>
      </c>
      <c r="D1992" s="1492">
        <f>D1991+B1992</f>
        <v>2</v>
      </c>
      <c r="E1992" s="1492"/>
      <c r="F1992" s="1484" t="s">
        <v>11724</v>
      </c>
      <c r="H1992" s="1095" t="s">
        <v>11722</v>
      </c>
      <c r="I1992" s="780" t="s">
        <v>13088</v>
      </c>
      <c r="J1992" s="824"/>
      <c r="K1992" s="790" t="str">
        <f>(IF(H1992="Saneago",VLOOKUP(I1992,'SANEAGO-FEV.2016'!A:B,2,0),IF(H1992="Sinapi",VLOOKUP(I1992,'SINAPI-FEV.2017'!A:D,2,0),IF(H1992="Cotação",VLOOKUP(I1992,COTAÇÃO!A:D,2,0),IF(H1992="Composição",VLOOKUP(I1992,COMPOSIÇÃO!A:D,2,0))))))</f>
        <v xml:space="preserve">Tanque de desprendimento de gases em PRFV </v>
      </c>
      <c r="L1992" s="700" t="s">
        <v>11723</v>
      </c>
      <c r="M1992" s="1270">
        <v>2</v>
      </c>
      <c r="N1992" s="399">
        <v>0</v>
      </c>
      <c r="O1992" s="102">
        <f t="shared" si="307"/>
        <v>0</v>
      </c>
      <c r="P1992" s="101">
        <f t="shared" si="308"/>
        <v>0</v>
      </c>
      <c r="Q1992" s="1472">
        <v>2</v>
      </c>
    </row>
    <row r="1993" spans="1:17" ht="15.75" thickBot="1">
      <c r="A1993" s="1482"/>
      <c r="B1993" s="1482"/>
      <c r="C1993" s="1555">
        <f t="shared" si="309"/>
        <v>3</v>
      </c>
      <c r="D1993" s="1492">
        <f t="shared" ref="D1993:D2003" si="310">D1992+B1993</f>
        <v>2</v>
      </c>
      <c r="E1993" s="1492"/>
      <c r="F1993" s="1484" t="s">
        <v>11724</v>
      </c>
      <c r="H1993" s="1095"/>
      <c r="I1993" s="780"/>
      <c r="J1993" s="824"/>
      <c r="K1993" s="790"/>
      <c r="L1993" s="700"/>
      <c r="M1993" s="1270"/>
      <c r="N1993" s="399"/>
      <c r="O1993" s="102"/>
      <c r="P1993" s="101"/>
    </row>
    <row r="1994" spans="1:17" ht="16.5" thickTop="1" thickBot="1">
      <c r="A1994" s="1482"/>
      <c r="B1994" s="1482">
        <v>1</v>
      </c>
      <c r="C1994" s="1555">
        <f t="shared" si="309"/>
        <v>3</v>
      </c>
      <c r="D1994" s="1492">
        <f t="shared" si="310"/>
        <v>3</v>
      </c>
      <c r="E1994" s="1492"/>
      <c r="F1994" s="1484" t="s">
        <v>11724</v>
      </c>
      <c r="H1994" s="1510" t="str">
        <f>CONCATENATE(C1994,".",D1994)</f>
        <v>3.3</v>
      </c>
      <c r="I1994" s="1573" t="s">
        <v>11929</v>
      </c>
      <c r="J1994" s="1573"/>
      <c r="K1994" s="1573"/>
      <c r="L1994" s="1573" t="s">
        <v>25</v>
      </c>
      <c r="M1994" s="1574" t="s">
        <v>11704</v>
      </c>
      <c r="N1994" s="397" t="s">
        <v>11705</v>
      </c>
      <c r="O1994" s="99" t="s">
        <v>11706</v>
      </c>
      <c r="P1994" s="100">
        <f>SUBTOTAL(9,P1996:P1998)</f>
        <v>0</v>
      </c>
      <c r="Q1994" s="1472" t="s">
        <v>11704</v>
      </c>
    </row>
    <row r="1995" spans="1:17" ht="15.75" thickTop="1">
      <c r="A1995" s="1482"/>
      <c r="B1995" s="1482"/>
      <c r="C1995" s="1555">
        <f t="shared" si="309"/>
        <v>3</v>
      </c>
      <c r="D1995" s="1492">
        <f t="shared" si="310"/>
        <v>3</v>
      </c>
      <c r="E1995" s="1492"/>
      <c r="F1995" s="1484" t="s">
        <v>11724</v>
      </c>
      <c r="H1995" s="1095"/>
      <c r="I1995" s="780"/>
      <c r="J1995" s="824"/>
      <c r="K1995" s="790"/>
      <c r="L1995" s="780"/>
      <c r="M1995" s="1270"/>
      <c r="N1995" s="399"/>
      <c r="O1995" s="102"/>
      <c r="P1995" s="101"/>
    </row>
    <row r="1996" spans="1:17" ht="22.5">
      <c r="A1996" s="1482"/>
      <c r="B1996" s="1482"/>
      <c r="C1996" s="1555">
        <f t="shared" si="309"/>
        <v>3</v>
      </c>
      <c r="D1996" s="1492">
        <f t="shared" si="310"/>
        <v>3</v>
      </c>
      <c r="E1996" s="1492"/>
      <c r="F1996" s="1484" t="s">
        <v>11724</v>
      </c>
      <c r="H1996" s="1095" t="s">
        <v>11722</v>
      </c>
      <c r="I1996" s="780" t="s">
        <v>13289</v>
      </c>
      <c r="J1996" s="824"/>
      <c r="K1996" s="790" t="str">
        <f>(IF(H1996="Saneago",VLOOKUP(I1996,'SANEAGO-FEV.2016'!A:B,2,0),IF(H1996="Sinapi",VLOOKUP(I1996,'SINAPI-FEV.2017'!A:D,2,0),IF(H1996="Cotação",VLOOKUP(I1996,COTAÇÃO!A:D,2,0),IF(H1996="Composição",VLOOKUP(I1996,COMPOSIÇÃO!A:D,2,0))))))</f>
        <v>Comporta vertedora com pedestal de manobra e haste de prolongamento, em aço inox, 1,30 x 0,70m, com vão livre de 0,85m</v>
      </c>
      <c r="L1996" s="780" t="s">
        <v>1270</v>
      </c>
      <c r="M1996" s="1270">
        <v>4</v>
      </c>
      <c r="N1996" s="399">
        <v>0</v>
      </c>
      <c r="O1996" s="102">
        <f>ROUND(IF(F1996="Serviços",N1996*(1+$O$7),IF(F1996="Materiais",N1996*(1+$O$8))),2)</f>
        <v>0</v>
      </c>
      <c r="P1996" s="101">
        <f>ROUND(M1996*O1996,2)</f>
        <v>0</v>
      </c>
      <c r="Q1996" s="1472">
        <v>4</v>
      </c>
    </row>
    <row r="1997" spans="1:17">
      <c r="A1997" s="1482"/>
      <c r="B1997" s="1482"/>
      <c r="C1997" s="1555">
        <f t="shared" si="309"/>
        <v>3</v>
      </c>
      <c r="D1997" s="1492">
        <f t="shared" si="310"/>
        <v>3</v>
      </c>
      <c r="E1997" s="1492"/>
      <c r="F1997" s="1484" t="s">
        <v>11724</v>
      </c>
      <c r="H1997" s="1095" t="s">
        <v>11722</v>
      </c>
      <c r="I1997" s="780" t="s">
        <v>13082</v>
      </c>
      <c r="J1997" s="824"/>
      <c r="K1997" s="790" t="str">
        <f>(IF(H1997="Saneago",VLOOKUP(I1997,'SANEAGO-FEV.2016'!A:B,2,0),IF(H1997="Sinapi",VLOOKUP(I1997,'SINAPI-FEV.2017'!A:D,2,0),IF(H1997="Cotação",VLOOKUP(I1997,COTAÇÃO!A:D,2,0),IF(H1997="Composição",VLOOKUP(I1997,COMPOSIÇÃO!A:D,2,0))))))</f>
        <v>Grade em fibra de vidro, com resistência 300 kgf/m², (1,10x1,15m)</v>
      </c>
      <c r="L1997" s="780" t="s">
        <v>1270</v>
      </c>
      <c r="M1997" s="1270">
        <v>4</v>
      </c>
      <c r="N1997" s="399">
        <v>0</v>
      </c>
      <c r="O1997" s="102">
        <f>ROUND(IF(F1997="Serviços",N1997*(1+$O$7),IF(F1997="Materiais",N1997*(1+$O$8))),2)</f>
        <v>0</v>
      </c>
      <c r="P1997" s="101">
        <f>ROUND(M1997*O1997,2)</f>
        <v>0</v>
      </c>
      <c r="Q1997" s="1472">
        <v>4</v>
      </c>
    </row>
    <row r="1998" spans="1:17">
      <c r="A1998" s="1482"/>
      <c r="B1998" s="1482"/>
      <c r="C1998" s="1555">
        <f t="shared" si="309"/>
        <v>3</v>
      </c>
      <c r="D1998" s="1492">
        <f t="shared" si="310"/>
        <v>3</v>
      </c>
      <c r="E1998" s="1492"/>
      <c r="F1998" s="1484" t="s">
        <v>11724</v>
      </c>
      <c r="H1998" s="1095" t="s">
        <v>11722</v>
      </c>
      <c r="I1998" s="780" t="s">
        <v>13074</v>
      </c>
      <c r="J1998" s="824"/>
      <c r="K1998" s="790" t="str">
        <f>(IF(H1998="Saneago",VLOOKUP(I1998,'SANEAGO-FEV.2016'!A:B,2,0),IF(H1998="Sinapi",VLOOKUP(I1998,'SINAPI-FEV.2017'!A:D,2,0),IF(H1998="Cotação",VLOOKUP(I1998,COTAÇÃO!A:D,2,0),IF(H1998="Composição",VLOOKUP(I1998,COMPOSIÇÃO!A:D,2,0))))))</f>
        <v>Grade  em fibra de vidro, com resistência 300 kgf/m², (1,10x1,30m)</v>
      </c>
      <c r="L1998" s="780" t="s">
        <v>1270</v>
      </c>
      <c r="M1998" s="1270">
        <v>2</v>
      </c>
      <c r="N1998" s="399">
        <v>0</v>
      </c>
      <c r="O1998" s="102">
        <f>ROUND(IF(F1998="Serviços",N1998*(1+$O$7),IF(F1998="Materiais",N1998*(1+$O$8))),2)</f>
        <v>0</v>
      </c>
      <c r="P1998" s="101">
        <f>ROUND(M1998*O1998,2)</f>
        <v>0</v>
      </c>
      <c r="Q1998" s="1472">
        <v>2</v>
      </c>
    </row>
    <row r="1999" spans="1:17" ht="15.75" thickBot="1">
      <c r="A1999" s="1482"/>
      <c r="B1999" s="1482"/>
      <c r="C1999" s="1555">
        <f t="shared" si="309"/>
        <v>3</v>
      </c>
      <c r="D1999" s="1492">
        <f t="shared" si="310"/>
        <v>3</v>
      </c>
      <c r="E1999" s="1492"/>
      <c r="F1999" s="1484" t="s">
        <v>11724</v>
      </c>
      <c r="H1999" s="1095"/>
      <c r="I1999" s="780"/>
      <c r="J1999" s="824"/>
      <c r="K1999" s="790"/>
      <c r="L1999" s="780"/>
      <c r="M1999" s="1270"/>
      <c r="N1999" s="399"/>
      <c r="O1999" s="102"/>
      <c r="P1999" s="101"/>
    </row>
    <row r="2000" spans="1:17" ht="16.5" thickTop="1" thickBot="1">
      <c r="A2000" s="1482"/>
      <c r="B2000" s="1482">
        <v>1</v>
      </c>
      <c r="C2000" s="1555">
        <f t="shared" si="309"/>
        <v>3</v>
      </c>
      <c r="D2000" s="1492">
        <f>D1999+B2000</f>
        <v>4</v>
      </c>
      <c r="E2000" s="1492"/>
      <c r="F2000" s="1484" t="s">
        <v>11724</v>
      </c>
      <c r="H2000" s="1510" t="str">
        <f>CONCATENATE(C2000,".",D2000)</f>
        <v>3.4</v>
      </c>
      <c r="I2000" s="1585" t="s">
        <v>13298</v>
      </c>
      <c r="J2000" s="1585"/>
      <c r="K2000" s="1585"/>
      <c r="L2000" s="1573" t="s">
        <v>25</v>
      </c>
      <c r="M2000" s="1574" t="s">
        <v>11704</v>
      </c>
      <c r="N2000" s="397" t="s">
        <v>11705</v>
      </c>
      <c r="O2000" s="99" t="s">
        <v>11706</v>
      </c>
      <c r="P2000" s="100">
        <f>SUBTOTAL(9,P2002:P2004)</f>
        <v>0</v>
      </c>
      <c r="Q2000" s="1472" t="s">
        <v>11704</v>
      </c>
    </row>
    <row r="2001" spans="1:17" ht="15.75" thickTop="1">
      <c r="A2001" s="1482"/>
      <c r="B2001" s="1482"/>
      <c r="C2001" s="1555">
        <f t="shared" si="309"/>
        <v>3</v>
      </c>
      <c r="D2001" s="1492">
        <f>D2000+B2001</f>
        <v>4</v>
      </c>
      <c r="E2001" s="1492"/>
      <c r="F2001" s="1484" t="s">
        <v>11724</v>
      </c>
      <c r="H2001" s="1095"/>
      <c r="I2001" s="780"/>
      <c r="J2001" s="824"/>
      <c r="K2001" s="790"/>
      <c r="L2001" s="780"/>
      <c r="M2001" s="1270"/>
      <c r="N2001" s="399"/>
      <c r="O2001" s="102"/>
      <c r="P2001" s="101"/>
    </row>
    <row r="2002" spans="1:17">
      <c r="A2002" s="1482"/>
      <c r="B2002" s="1482"/>
      <c r="C2002" s="1555">
        <f t="shared" si="309"/>
        <v>3</v>
      </c>
      <c r="D2002" s="1492">
        <f t="shared" si="310"/>
        <v>4</v>
      </c>
      <c r="E2002" s="1492"/>
      <c r="F2002" s="1484" t="s">
        <v>11724</v>
      </c>
      <c r="H2002" s="1095" t="s">
        <v>11722</v>
      </c>
      <c r="I2002" s="780" t="s">
        <v>13058</v>
      </c>
      <c r="J2002" s="824"/>
      <c r="K2002" s="790" t="str">
        <f>(IF(H2002="Saneago",VLOOKUP(I2002,'SANEAGO-FEV.2016'!A:B,2,0),IF(H2002="Sinapi",VLOOKUP(I2002,'SINAPI-FEV.2017'!A:D,2,0),IF(H2002="Cotação",VLOOKUP(I2002,COTAÇÃO!A:D,2,0),IF(H2002="Composição",VLOOKUP(I2002,COMPOSIÇÃO!A:D,2,0))))))</f>
        <v>Comporta de vedação em fibra de vidro, tipo 1</v>
      </c>
      <c r="L2002" s="780" t="s">
        <v>10854</v>
      </c>
      <c r="M2002" s="1270">
        <v>1</v>
      </c>
      <c r="N2002" s="399">
        <v>0</v>
      </c>
      <c r="O2002" s="102">
        <f>ROUND(IF(F2002="Serviços",N2002*(1+$O$7),IF(F2002="Materiais",N2002*(1+$O$8))),2)</f>
        <v>0</v>
      </c>
      <c r="P2002" s="101">
        <f>ROUND(M2002*O2002,2)</f>
        <v>0</v>
      </c>
      <c r="Q2002" s="1472">
        <v>1</v>
      </c>
    </row>
    <row r="2003" spans="1:17">
      <c r="A2003" s="1482"/>
      <c r="B2003" s="1482"/>
      <c r="C2003" s="1555">
        <f t="shared" si="309"/>
        <v>3</v>
      </c>
      <c r="D2003" s="1492">
        <f t="shared" si="310"/>
        <v>4</v>
      </c>
      <c r="E2003" s="1492"/>
      <c r="F2003" s="1484" t="s">
        <v>11724</v>
      </c>
      <c r="H2003" s="1095" t="s">
        <v>11722</v>
      </c>
      <c r="I2003" s="780" t="s">
        <v>13060</v>
      </c>
      <c r="J2003" s="824"/>
      <c r="K2003" s="790" t="str">
        <f>(IF(H2003="Saneago",VLOOKUP(I2003,'SANEAGO-FEV.2016'!A:B,2,0),IF(H2003="Sinapi",VLOOKUP(I2003,'SINAPI-FEV.2017'!A:D,2,0),IF(H2003="Cotação",VLOOKUP(I2003,COTAÇÃO!A:D,2,0),IF(H2003="Composição",VLOOKUP(I2003,COMPOSIÇÃO!A:D,2,0))))))</f>
        <v>Comporta de vedação em fibra de vidro, tipo 2</v>
      </c>
      <c r="L2003" s="780" t="s">
        <v>10854</v>
      </c>
      <c r="M2003" s="1270">
        <v>1</v>
      </c>
      <c r="N2003" s="399">
        <v>0</v>
      </c>
      <c r="O2003" s="102">
        <f>ROUND(IF(F2003="Serviços",N2003*(1+$O$7),IF(F2003="Materiais",N2003*(1+$O$8))),2)</f>
        <v>0</v>
      </c>
      <c r="P2003" s="101">
        <f>ROUND(M2003*O2003,2)</f>
        <v>0</v>
      </c>
      <c r="Q2003" s="1472">
        <v>1</v>
      </c>
    </row>
    <row r="2004" spans="1:17">
      <c r="A2004" s="1482"/>
      <c r="B2004" s="1482"/>
      <c r="C2004" s="1555">
        <f t="shared" si="309"/>
        <v>3</v>
      </c>
      <c r="D2004" s="1492">
        <f t="shared" ref="D2004:D2012" si="311">D2003+B2004</f>
        <v>4</v>
      </c>
      <c r="E2004" s="1492"/>
      <c r="F2004" s="1484" t="s">
        <v>11724</v>
      </c>
      <c r="H2004" s="1095" t="s">
        <v>11722</v>
      </c>
      <c r="I2004" s="780" t="s">
        <v>13080</v>
      </c>
      <c r="J2004" s="824"/>
      <c r="K2004" s="790" t="str">
        <f>(IF(H2004="Saneago",VLOOKUP(I2004,'SANEAGO-FEV.2016'!A:B,2,0),IF(H2004="Sinapi",VLOOKUP(I2004,'SINAPI-FEV.2017'!A:D,2,0),IF(H2004="Cotação",VLOOKUP(I2004,COTAÇÃO!A:D,2,0),IF(H2004="Composição",VLOOKUP(I2004,COMPOSIÇÃO!A:D,2,0))))))</f>
        <v>Grade em fibra de vidro, 0,80x0,60 m</v>
      </c>
      <c r="L2004" s="780" t="s">
        <v>10854</v>
      </c>
      <c r="M2004" s="1270">
        <v>1</v>
      </c>
      <c r="N2004" s="399">
        <v>0</v>
      </c>
      <c r="O2004" s="102">
        <f>ROUND(IF(F2004="Serviços",N2004*(1+$O$7),IF(F2004="Materiais",N2004*(1+$O$8))),2)</f>
        <v>0</v>
      </c>
      <c r="P2004" s="101">
        <f>ROUND(M2004*O2004,2)</f>
        <v>0</v>
      </c>
      <c r="Q2004" s="1472">
        <v>1</v>
      </c>
    </row>
    <row r="2005" spans="1:17" ht="15.75" thickBot="1">
      <c r="A2005" s="1482"/>
      <c r="B2005" s="1482"/>
      <c r="C2005" s="1555">
        <f t="shared" si="309"/>
        <v>3</v>
      </c>
      <c r="D2005" s="1492">
        <f t="shared" si="311"/>
        <v>4</v>
      </c>
      <c r="E2005" s="1492"/>
      <c r="F2005" s="1484" t="s">
        <v>11724</v>
      </c>
      <c r="H2005" s="1095"/>
      <c r="I2005" s="780"/>
      <c r="J2005" s="824"/>
      <c r="K2005" s="790"/>
      <c r="L2005" s="780"/>
      <c r="M2005" s="1270"/>
      <c r="N2005" s="399"/>
      <c r="O2005" s="102"/>
      <c r="P2005" s="101"/>
    </row>
    <row r="2006" spans="1:17" ht="16.5" thickTop="1" thickBot="1">
      <c r="A2006" s="1482"/>
      <c r="B2006" s="1482">
        <v>1</v>
      </c>
      <c r="C2006" s="1555">
        <f t="shared" si="309"/>
        <v>3</v>
      </c>
      <c r="D2006" s="1492">
        <f t="shared" si="311"/>
        <v>5</v>
      </c>
      <c r="E2006" s="1492"/>
      <c r="F2006" s="1484" t="s">
        <v>11724</v>
      </c>
      <c r="H2006" s="1510" t="str">
        <f>CONCATENATE(C2006,".",D2006)</f>
        <v>3.5</v>
      </c>
      <c r="I2006" s="1644" t="s">
        <v>12682</v>
      </c>
      <c r="J2006" s="1644"/>
      <c r="K2006" s="1644"/>
      <c r="L2006" s="1573" t="s">
        <v>25</v>
      </c>
      <c r="M2006" s="1574" t="s">
        <v>11704</v>
      </c>
      <c r="N2006" s="397" t="s">
        <v>11705</v>
      </c>
      <c r="O2006" s="99" t="s">
        <v>11706</v>
      </c>
      <c r="P2006" s="100">
        <f>SUBTOTAL(9,P2008:P2012)</f>
        <v>0</v>
      </c>
      <c r="Q2006" s="1472" t="s">
        <v>11704</v>
      </c>
    </row>
    <row r="2007" spans="1:17" ht="15.75" thickTop="1">
      <c r="A2007" s="1482"/>
      <c r="B2007" s="1482"/>
      <c r="C2007" s="1555">
        <f t="shared" si="309"/>
        <v>3</v>
      </c>
      <c r="D2007" s="1492">
        <f t="shared" si="311"/>
        <v>5</v>
      </c>
      <c r="E2007" s="1492"/>
      <c r="F2007" s="1484" t="s">
        <v>11724</v>
      </c>
      <c r="H2007" s="1095"/>
      <c r="I2007" s="780"/>
      <c r="J2007" s="824"/>
      <c r="K2007" s="790"/>
      <c r="L2007" s="780"/>
      <c r="M2007" s="1270"/>
      <c r="N2007" s="399"/>
      <c r="O2007" s="102"/>
      <c r="P2007" s="101"/>
    </row>
    <row r="2008" spans="1:17">
      <c r="A2008" s="1482"/>
      <c r="B2008" s="1482"/>
      <c r="C2008" s="1555">
        <f t="shared" si="309"/>
        <v>3</v>
      </c>
      <c r="D2008" s="1492">
        <f t="shared" si="311"/>
        <v>5</v>
      </c>
      <c r="E2008" s="1492"/>
      <c r="F2008" s="1484" t="s">
        <v>11724</v>
      </c>
      <c r="H2008" s="1095" t="s">
        <v>11722</v>
      </c>
      <c r="I2008" s="700" t="s">
        <v>13313</v>
      </c>
      <c r="J2008" s="824"/>
      <c r="K2008" s="790" t="str">
        <f>(IF(H2008="Saneago",VLOOKUP(I2008,'SANEAGO-FEV.2016'!A:B,2,0),IF(H2008="Sinapi",VLOOKUP(I2008,'SINAPI-FEV.2017'!A:D,2,0),IF(H2008="Cotação",VLOOKUP(I2008,COTAÇÃO!A:D,2,0),IF(H2008="Composição",VLOOKUP(I2008,COMPOSIÇÃO!A:D,2,0))))))</f>
        <v xml:space="preserve">Exaustor de Biogás </v>
      </c>
      <c r="L2008" s="780" t="s">
        <v>11723</v>
      </c>
      <c r="M2008" s="1270">
        <v>2</v>
      </c>
      <c r="N2008" s="399">
        <v>0</v>
      </c>
      <c r="O2008" s="102">
        <f>ROUND(IF(F2008="Serviços",N2008*(1+$O$7),IF(F2008="Materiais",N2008*(1+$O$8))),2)</f>
        <v>0</v>
      </c>
      <c r="P2008" s="101">
        <f>ROUND(M2008*O2008,2)</f>
        <v>0</v>
      </c>
      <c r="Q2008" s="1472">
        <v>2</v>
      </c>
    </row>
    <row r="2009" spans="1:17">
      <c r="A2009" s="1482"/>
      <c r="B2009" s="1482"/>
      <c r="C2009" s="1555">
        <f t="shared" si="309"/>
        <v>3</v>
      </c>
      <c r="D2009" s="1492">
        <f t="shared" si="311"/>
        <v>5</v>
      </c>
      <c r="E2009" s="1492"/>
      <c r="F2009" s="1484" t="s">
        <v>11724</v>
      </c>
      <c r="H2009" s="1095" t="s">
        <v>11722</v>
      </c>
      <c r="I2009" s="700" t="s">
        <v>13318</v>
      </c>
      <c r="J2009" s="824"/>
      <c r="K2009" s="790" t="str">
        <f>(IF(H2009="Saneago",VLOOKUP(I2009,'SANEAGO-FEV.2016'!A:B,2,0),IF(H2009="Sinapi",VLOOKUP(I2009,'SINAPI-FEV.2017'!A:D,2,0),IF(H2009="Cotação",VLOOKUP(I2009,COTAÇÃO!A:D,2,0),IF(H2009="Composição",VLOOKUP(I2009,COMPOSIÇÃO!A:D,2,0))))))</f>
        <v>Medidor de vazão tipo mássico thermal, sem retificador de fluxo</v>
      </c>
      <c r="L2009" s="780" t="s">
        <v>10854</v>
      </c>
      <c r="M2009" s="1270">
        <v>1</v>
      </c>
      <c r="N2009" s="399">
        <v>0</v>
      </c>
      <c r="O2009" s="102">
        <f>ROUND(IF(F2009="Serviços",N2009*(1+$O$7),IF(F2009="Materiais",N2009*(1+$O$8))),2)</f>
        <v>0</v>
      </c>
      <c r="P2009" s="101">
        <f>ROUND(M2009*O2009,2)</f>
        <v>0</v>
      </c>
      <c r="Q2009" s="1472">
        <v>1</v>
      </c>
    </row>
    <row r="2010" spans="1:17">
      <c r="A2010" s="1482"/>
      <c r="B2010" s="1482"/>
      <c r="C2010" s="1555">
        <f t="shared" si="309"/>
        <v>3</v>
      </c>
      <c r="D2010" s="1492">
        <f t="shared" si="311"/>
        <v>5</v>
      </c>
      <c r="E2010" s="1492"/>
      <c r="F2010" s="1484" t="s">
        <v>11724</v>
      </c>
      <c r="H2010" s="1095" t="s">
        <v>11722</v>
      </c>
      <c r="I2010" s="700" t="s">
        <v>13308</v>
      </c>
      <c r="J2010" s="824"/>
      <c r="K2010" s="790" t="str">
        <f>(IF(H2010="Saneago",VLOOKUP(I2010,'SANEAGO-FEV.2016'!A:B,2,0),IF(H2010="Sinapi",VLOOKUP(I2010,'SINAPI-FEV.2017'!A:D,2,0),IF(H2010="Cotação",VLOOKUP(I2010,COTAÇÃO!A:D,2,0),IF(H2010="Composição",VLOOKUP(I2010,COMPOSIÇÃO!A:D,2,0))))))</f>
        <v>Queimador do biogás</v>
      </c>
      <c r="L2010" s="780" t="s">
        <v>11723</v>
      </c>
      <c r="M2010" s="1270">
        <v>2</v>
      </c>
      <c r="N2010" s="399">
        <v>0</v>
      </c>
      <c r="O2010" s="102">
        <f>ROUND(IF(F2010="Serviços",N2010*(1+$O$7),IF(F2010="Materiais",N2010*(1+$O$8))),2)</f>
        <v>0</v>
      </c>
      <c r="P2010" s="101">
        <f>ROUND(M2010*O2010,2)</f>
        <v>0</v>
      </c>
      <c r="Q2010" s="1472">
        <v>2</v>
      </c>
    </row>
    <row r="2011" spans="1:17">
      <c r="A2011" s="1482"/>
      <c r="B2011" s="1482"/>
      <c r="C2011" s="1555">
        <f t="shared" si="309"/>
        <v>3</v>
      </c>
      <c r="D2011" s="1492">
        <f t="shared" si="311"/>
        <v>5</v>
      </c>
      <c r="E2011" s="1492"/>
      <c r="F2011" s="1484" t="s">
        <v>11724</v>
      </c>
      <c r="H2011" s="1095" t="s">
        <v>11722</v>
      </c>
      <c r="I2011" s="700" t="s">
        <v>13306</v>
      </c>
      <c r="J2011" s="824"/>
      <c r="K2011" s="790" t="str">
        <f>(IF(H2011="Saneago",VLOOKUP(I2011,'SANEAGO-FEV.2016'!A:B,2,0),IF(H2011="Sinapi",VLOOKUP(I2011,'SINAPI-FEV.2017'!A:D,2,0),IF(H2011="Cotação",VLOOKUP(I2011,COTAÇÃO!A:D,2,0),IF(H2011="Composição",VLOOKUP(I2011,COMPOSIÇÃO!A:D,2,0))))))</f>
        <v>Separador de sedimentos</v>
      </c>
      <c r="L2011" s="780" t="s">
        <v>11723</v>
      </c>
      <c r="M2011" s="1270">
        <v>2</v>
      </c>
      <c r="N2011" s="399">
        <v>0</v>
      </c>
      <c r="O2011" s="102">
        <f>ROUND(IF(F2011="Serviços",N2011*(1+$O$7),IF(F2011="Materiais",N2011*(1+$O$8))),2)</f>
        <v>0</v>
      </c>
      <c r="P2011" s="101">
        <f>ROUND(M2011*O2011,2)</f>
        <v>0</v>
      </c>
      <c r="Q2011" s="1472">
        <v>2</v>
      </c>
    </row>
    <row r="2012" spans="1:17">
      <c r="A2012" s="1482"/>
      <c r="B2012" s="1482"/>
      <c r="C2012" s="1555">
        <f t="shared" si="309"/>
        <v>3</v>
      </c>
      <c r="D2012" s="1492">
        <f t="shared" si="311"/>
        <v>5</v>
      </c>
      <c r="E2012" s="1492"/>
      <c r="F2012" s="1484" t="s">
        <v>11724</v>
      </c>
      <c r="H2012" s="1095" t="s">
        <v>11722</v>
      </c>
      <c r="I2012" s="700" t="s">
        <v>13310</v>
      </c>
      <c r="J2012" s="824"/>
      <c r="K2012" s="790" t="str">
        <f>(IF(H2012="Saneago",VLOOKUP(I2012,'SANEAGO-FEV.2016'!A:B,2,0),IF(H2012="Sinapi",VLOOKUP(I2012,'SINAPI-FEV.2017'!A:D,2,0),IF(H2012="Cotação",VLOOKUP(I2012,COTAÇÃO!A:D,2,0),IF(H2012="Composição",VLOOKUP(I2012,COMPOSIÇÃO!A:D,2,0))))))</f>
        <v>Soprador tipo "Parafuso"</v>
      </c>
      <c r="L2012" s="780" t="s">
        <v>11723</v>
      </c>
      <c r="M2012" s="1270">
        <v>1</v>
      </c>
      <c r="N2012" s="399">
        <v>0</v>
      </c>
      <c r="O2012" s="102">
        <f>ROUND(IF(F2012="Serviços",N2012*(1+$O$7),IF(F2012="Materiais",N2012*(1+$O$8))),2)</f>
        <v>0</v>
      </c>
      <c r="P2012" s="101">
        <f>ROUND(M2012*O2012,2)</f>
        <v>0</v>
      </c>
      <c r="Q2012" s="1472">
        <v>1</v>
      </c>
    </row>
    <row r="2013" spans="1:17" ht="15.75" thickBot="1">
      <c r="A2013" s="1482"/>
      <c r="B2013" s="1482"/>
      <c r="C2013" s="1555">
        <f t="shared" si="309"/>
        <v>3</v>
      </c>
      <c r="D2013" s="1492">
        <f t="shared" ref="D2013:D2018" si="312">D2012+B2013</f>
        <v>5</v>
      </c>
      <c r="E2013" s="1492"/>
      <c r="F2013" s="1484" t="s">
        <v>11724</v>
      </c>
      <c r="H2013" s="1095"/>
      <c r="I2013" s="780"/>
      <c r="J2013" s="824"/>
      <c r="K2013" s="790"/>
      <c r="L2013" s="780"/>
      <c r="M2013" s="1270"/>
      <c r="N2013" s="399"/>
      <c r="O2013" s="102"/>
      <c r="P2013" s="101"/>
    </row>
    <row r="2014" spans="1:17" ht="16.5" customHeight="1" thickTop="1" thickBot="1">
      <c r="A2014" s="1482"/>
      <c r="B2014" s="1482">
        <v>1</v>
      </c>
      <c r="C2014" s="1555">
        <f t="shared" si="309"/>
        <v>3</v>
      </c>
      <c r="D2014" s="1492">
        <f t="shared" si="312"/>
        <v>6</v>
      </c>
      <c r="E2014" s="1492"/>
      <c r="F2014" s="1484" t="s">
        <v>11724</v>
      </c>
      <c r="H2014" s="1510" t="str">
        <f>CONCATENATE(C2014,".",D2014)</f>
        <v>3.6</v>
      </c>
      <c r="I2014" s="1644" t="s">
        <v>13365</v>
      </c>
      <c r="J2014" s="1644"/>
      <c r="K2014" s="1644"/>
      <c r="L2014" s="1573" t="s">
        <v>25</v>
      </c>
      <c r="M2014" s="1574" t="s">
        <v>11704</v>
      </c>
      <c r="N2014" s="397" t="s">
        <v>11705</v>
      </c>
      <c r="O2014" s="99" t="s">
        <v>11706</v>
      </c>
      <c r="P2014" s="100">
        <f>SUBTOTAL(9,P2016:P2017)</f>
        <v>0</v>
      </c>
      <c r="Q2014" s="1472" t="s">
        <v>11704</v>
      </c>
    </row>
    <row r="2015" spans="1:17" ht="15.75" thickTop="1">
      <c r="A2015" s="1482"/>
      <c r="B2015" s="1482"/>
      <c r="C2015" s="1555">
        <f t="shared" si="309"/>
        <v>3</v>
      </c>
      <c r="D2015" s="1492">
        <f t="shared" si="312"/>
        <v>6</v>
      </c>
      <c r="E2015" s="1492"/>
      <c r="F2015" s="1484" t="s">
        <v>11724</v>
      </c>
      <c r="H2015" s="1095"/>
      <c r="I2015" s="780"/>
      <c r="J2015" s="824"/>
      <c r="K2015" s="790"/>
      <c r="L2015" s="780"/>
      <c r="M2015" s="1270"/>
      <c r="N2015" s="399"/>
      <c r="O2015" s="102"/>
      <c r="P2015" s="101"/>
    </row>
    <row r="2016" spans="1:17">
      <c r="A2016" s="1482"/>
      <c r="B2016" s="1482"/>
      <c r="C2016" s="1555">
        <f t="shared" si="309"/>
        <v>3</v>
      </c>
      <c r="D2016" s="1492">
        <f t="shared" si="312"/>
        <v>6</v>
      </c>
      <c r="E2016" s="1492"/>
      <c r="F2016" s="1484" t="s">
        <v>11724</v>
      </c>
      <c r="H2016" s="1095" t="s">
        <v>11722</v>
      </c>
      <c r="I2016" s="780" t="s">
        <v>13259</v>
      </c>
      <c r="J2016" s="824"/>
      <c r="K2016" s="790" t="str">
        <f>(IF(H2016="Saneago",VLOOKUP(I2016,'SANEAGO-FEV.2016'!A:B,2,0),IF(H2016="Sinapi",VLOOKUP(I2016,'SINAPI-FEV.2017'!A:D,2,0),IF(H2016="Cotação",VLOOKUP(I2016,COTAÇÃO!A:D,2,0),IF(H2016="Composição",VLOOKUP(I2016,COMPOSIÇÃO!A:D,2,0))))))</f>
        <v>Bomba centrifuga de carregamento e transferência</v>
      </c>
      <c r="L2016" s="780" t="s">
        <v>11723</v>
      </c>
      <c r="M2016" s="1270">
        <v>1</v>
      </c>
      <c r="N2016" s="399">
        <v>0</v>
      </c>
      <c r="O2016" s="102">
        <f>ROUND(IF(F2016="Serviços",N2016*(1+$O$7),IF(F2016="Materiais",N2016*(1+$O$8))),2)</f>
        <v>0</v>
      </c>
      <c r="P2016" s="101">
        <f>ROUND(M2016*O2016,2)</f>
        <v>0</v>
      </c>
      <c r="Q2016" s="1472">
        <v>1</v>
      </c>
    </row>
    <row r="2017" spans="1:24">
      <c r="A2017" s="1482"/>
      <c r="B2017" s="1482"/>
      <c r="C2017" s="1555">
        <f t="shared" si="309"/>
        <v>3</v>
      </c>
      <c r="D2017" s="1492">
        <f t="shared" si="312"/>
        <v>6</v>
      </c>
      <c r="E2017" s="1492"/>
      <c r="F2017" s="1484" t="s">
        <v>11724</v>
      </c>
      <c r="H2017" s="1095" t="s">
        <v>11722</v>
      </c>
      <c r="I2017" s="780" t="s">
        <v>13086</v>
      </c>
      <c r="J2017" s="824"/>
      <c r="K2017" s="790" t="str">
        <f>(IF(H2017="Saneago",VLOOKUP(I2017,'SANEAGO-FEV.2016'!A:B,2,0),IF(H2017="Sinapi",VLOOKUP(I2017,'SINAPI-FEV.2017'!A:D,2,0),IF(H2017="Cotação",VLOOKUP(I2017,COTAÇÃO!A:D,2,0),IF(H2017="Composição",VLOOKUP(I2017,COMPOSIÇÃO!A:D,2,0))))))</f>
        <v>Tanque cilíndrico de Hipoclorito de Sódio, volume 10m³</v>
      </c>
      <c r="L2017" s="780" t="s">
        <v>10853</v>
      </c>
      <c r="M2017" s="1270">
        <v>2</v>
      </c>
      <c r="N2017" s="399">
        <v>0</v>
      </c>
      <c r="O2017" s="102">
        <f>ROUND(IF(F2017="Serviços",N2017*(1+$O$7),IF(F2017="Materiais",N2017*(1+$O$8))),2)</f>
        <v>0</v>
      </c>
      <c r="P2017" s="101">
        <f>ROUND(M2017*O2017,2)</f>
        <v>0</v>
      </c>
      <c r="Q2017" s="1472">
        <v>2</v>
      </c>
    </row>
    <row r="2018" spans="1:24" ht="15.75" thickBot="1">
      <c r="A2018" s="1482"/>
      <c r="B2018" s="1482"/>
      <c r="C2018" s="1555">
        <f t="shared" si="309"/>
        <v>3</v>
      </c>
      <c r="D2018" s="1492">
        <f t="shared" si="312"/>
        <v>6</v>
      </c>
      <c r="E2018" s="1492"/>
      <c r="F2018" s="1484" t="s">
        <v>11724</v>
      </c>
      <c r="H2018" s="1095"/>
      <c r="I2018" s="780"/>
      <c r="J2018" s="824"/>
      <c r="K2018" s="790"/>
      <c r="L2018" s="700"/>
      <c r="M2018" s="870"/>
      <c r="N2018" s="399"/>
      <c r="O2018" s="102"/>
      <c r="P2018" s="101"/>
    </row>
    <row r="2019" spans="1:24" s="777" customFormat="1" ht="14.25" thickTop="1" thickBot="1">
      <c r="A2019" s="1482"/>
      <c r="B2019" s="1482"/>
      <c r="C2019" s="1555">
        <f t="shared" si="309"/>
        <v>3</v>
      </c>
      <c r="D2019" s="1492">
        <v>0</v>
      </c>
      <c r="E2019" s="1492"/>
      <c r="F2019" s="1484" t="s">
        <v>11724</v>
      </c>
      <c r="G2019" s="959"/>
      <c r="H2019" s="1493">
        <v>4</v>
      </c>
      <c r="I2019" s="1584" t="s">
        <v>11726</v>
      </c>
      <c r="J2019" s="1584"/>
      <c r="K2019" s="1584"/>
      <c r="L2019" s="1494"/>
      <c r="M2019" s="1495"/>
      <c r="N2019" s="395"/>
      <c r="O2019" s="96" t="s">
        <v>78</v>
      </c>
      <c r="P2019" s="97">
        <f>SUBTOTAL(9,P2021:P2431)</f>
        <v>0</v>
      </c>
      <c r="Q2019" s="1496"/>
      <c r="R2019" s="1497"/>
      <c r="S2019" s="1481"/>
      <c r="V2019" s="1487"/>
      <c r="W2019" s="1475"/>
      <c r="X2019" s="1475"/>
    </row>
    <row r="2020" spans="1:24" ht="16.5" thickTop="1" thickBot="1">
      <c r="A2020" s="1482"/>
      <c r="B2020" s="1482"/>
      <c r="C2020" s="1555">
        <f t="shared" si="309"/>
        <v>3</v>
      </c>
      <c r="D2020" s="1492">
        <f t="shared" ref="D2020:D2028" si="313">D2019+B2020</f>
        <v>0</v>
      </c>
      <c r="E2020" s="1492"/>
      <c r="F2020" s="1484" t="s">
        <v>11724</v>
      </c>
      <c r="H2020" s="1095"/>
      <c r="I2020" s="780"/>
      <c r="J2020" s="834"/>
      <c r="K2020" s="780"/>
      <c r="L2020" s="780"/>
      <c r="M2020" s="1270"/>
      <c r="N2020" s="400"/>
      <c r="O2020" s="122"/>
      <c r="P2020" s="123"/>
    </row>
    <row r="2021" spans="1:24" ht="16.5" thickTop="1" thickBot="1">
      <c r="A2021" s="1482"/>
      <c r="B2021" s="1482">
        <v>1</v>
      </c>
      <c r="C2021" s="1555">
        <f t="shared" si="309"/>
        <v>3</v>
      </c>
      <c r="D2021" s="1492">
        <f t="shared" si="313"/>
        <v>1</v>
      </c>
      <c r="E2021" s="1492"/>
      <c r="F2021" s="1484" t="s">
        <v>11724</v>
      </c>
      <c r="H2021" s="1510" t="str">
        <f>CONCATENATE(C2021,".",D2021)</f>
        <v>3.1</v>
      </c>
      <c r="I2021" s="1573" t="s">
        <v>11742</v>
      </c>
      <c r="J2021" s="1573"/>
      <c r="K2021" s="1573"/>
      <c r="L2021" s="1573" t="s">
        <v>25</v>
      </c>
      <c r="M2021" s="1574" t="s">
        <v>11704</v>
      </c>
      <c r="N2021" s="397" t="s">
        <v>11705</v>
      </c>
      <c r="O2021" s="99" t="s">
        <v>11706</v>
      </c>
      <c r="P2021" s="100">
        <f>SUBTOTAL(9,P2023:P2066)</f>
        <v>0</v>
      </c>
      <c r="Q2021" s="1472" t="s">
        <v>11704</v>
      </c>
    </row>
    <row r="2022" spans="1:24" ht="15.75" thickTop="1">
      <c r="A2022" s="1482"/>
      <c r="B2022" s="1482"/>
      <c r="C2022" s="1555">
        <f t="shared" si="309"/>
        <v>3</v>
      </c>
      <c r="D2022" s="1492">
        <f t="shared" si="313"/>
        <v>1</v>
      </c>
      <c r="F2022" s="1484" t="s">
        <v>11724</v>
      </c>
      <c r="H2022" s="1095"/>
      <c r="I2022" s="780"/>
      <c r="J2022" s="834"/>
      <c r="K2022" s="790"/>
      <c r="L2022" s="700"/>
      <c r="M2022" s="870"/>
      <c r="N2022" s="399"/>
      <c r="O2022" s="102"/>
      <c r="P2022" s="101"/>
    </row>
    <row r="2023" spans="1:24">
      <c r="A2023" s="1482"/>
      <c r="B2023" s="1482"/>
      <c r="C2023" s="1555">
        <f t="shared" si="309"/>
        <v>3</v>
      </c>
      <c r="D2023" s="1492">
        <f t="shared" si="313"/>
        <v>1</v>
      </c>
      <c r="F2023" s="1484" t="s">
        <v>11724</v>
      </c>
      <c r="H2023" s="1095" t="s">
        <v>70</v>
      </c>
      <c r="I2023" s="780">
        <v>93009</v>
      </c>
      <c r="J2023" s="834"/>
      <c r="K2023" s="790" t="s">
        <v>14646</v>
      </c>
      <c r="L2023" s="700" t="s">
        <v>18</v>
      </c>
      <c r="M2023" s="870">
        <v>9</v>
      </c>
      <c r="N2023" s="399">
        <v>0</v>
      </c>
      <c r="O2023" s="102">
        <f t="shared" ref="O2023:O2045" si="314">ROUND(IF(F2023="Serviços",N2023*(1+$O$7),IF(F2023="Materiais",N2023*(1+$O$8))),2)</f>
        <v>0</v>
      </c>
      <c r="P2023" s="101">
        <f t="shared" ref="P2023:P2045" si="315">ROUND(M2023*O2023,2)</f>
        <v>0</v>
      </c>
      <c r="Q2023" s="1472">
        <v>9</v>
      </c>
    </row>
    <row r="2024" spans="1:24">
      <c r="A2024" s="1482"/>
      <c r="B2024" s="1482"/>
      <c r="C2024" s="1555">
        <f t="shared" si="309"/>
        <v>3</v>
      </c>
      <c r="D2024" s="1492">
        <f t="shared" si="313"/>
        <v>1</v>
      </c>
      <c r="F2024" s="1484" t="s">
        <v>11724</v>
      </c>
      <c r="H2024" s="1095" t="s">
        <v>70</v>
      </c>
      <c r="I2024" s="780">
        <v>93012</v>
      </c>
      <c r="J2024" s="834"/>
      <c r="K2024" s="790" t="s">
        <v>14647</v>
      </c>
      <c r="L2024" s="700" t="s">
        <v>18</v>
      </c>
      <c r="M2024" s="870">
        <v>54</v>
      </c>
      <c r="N2024" s="399">
        <v>0</v>
      </c>
      <c r="O2024" s="102">
        <f t="shared" si="314"/>
        <v>0</v>
      </c>
      <c r="P2024" s="101">
        <f t="shared" si="315"/>
        <v>0</v>
      </c>
      <c r="Q2024" s="1472">
        <v>54</v>
      </c>
    </row>
    <row r="2025" spans="1:24">
      <c r="A2025" s="1482"/>
      <c r="B2025" s="1482"/>
      <c r="C2025" s="1555">
        <f t="shared" si="309"/>
        <v>3</v>
      </c>
      <c r="D2025" s="1492">
        <f t="shared" si="313"/>
        <v>1</v>
      </c>
      <c r="F2025" s="1484" t="s">
        <v>11724</v>
      </c>
      <c r="H2025" s="1095" t="s">
        <v>70</v>
      </c>
      <c r="I2025" s="780">
        <v>93014</v>
      </c>
      <c r="J2025" s="834"/>
      <c r="K2025" s="790" t="s">
        <v>13366</v>
      </c>
      <c r="L2025" s="700" t="s">
        <v>10854</v>
      </c>
      <c r="M2025" s="870">
        <v>3</v>
      </c>
      <c r="N2025" s="399">
        <v>0</v>
      </c>
      <c r="O2025" s="102">
        <f t="shared" si="314"/>
        <v>0</v>
      </c>
      <c r="P2025" s="101">
        <f t="shared" si="315"/>
        <v>0</v>
      </c>
      <c r="Q2025" s="1472">
        <v>3</v>
      </c>
    </row>
    <row r="2026" spans="1:24">
      <c r="A2026" s="1482"/>
      <c r="B2026" s="1482"/>
      <c r="C2026" s="1555">
        <f t="shared" si="309"/>
        <v>3</v>
      </c>
      <c r="D2026" s="1492">
        <f t="shared" si="313"/>
        <v>1</v>
      </c>
      <c r="F2026" s="1484" t="s">
        <v>11724</v>
      </c>
      <c r="H2026" s="1095" t="s">
        <v>70</v>
      </c>
      <c r="I2026" s="780">
        <v>93017</v>
      </c>
      <c r="J2026" s="834"/>
      <c r="K2026" s="790" t="s">
        <v>13367</v>
      </c>
      <c r="L2026" s="700" t="s">
        <v>10854</v>
      </c>
      <c r="M2026" s="870">
        <v>18</v>
      </c>
      <c r="N2026" s="399">
        <v>0</v>
      </c>
      <c r="O2026" s="102">
        <f t="shared" si="314"/>
        <v>0</v>
      </c>
      <c r="P2026" s="101">
        <f t="shared" si="315"/>
        <v>0</v>
      </c>
      <c r="Q2026" s="1472">
        <v>18</v>
      </c>
    </row>
    <row r="2027" spans="1:24">
      <c r="A2027" s="1482"/>
      <c r="B2027" s="1482"/>
      <c r="C2027" s="1555">
        <f t="shared" si="309"/>
        <v>3</v>
      </c>
      <c r="D2027" s="1492">
        <f t="shared" si="313"/>
        <v>1</v>
      </c>
      <c r="F2027" s="1484" t="s">
        <v>11724</v>
      </c>
      <c r="H2027" s="1095" t="s">
        <v>70</v>
      </c>
      <c r="I2027" s="780">
        <v>93020</v>
      </c>
      <c r="J2027" s="834"/>
      <c r="K2027" s="790" t="s">
        <v>13368</v>
      </c>
      <c r="L2027" s="700" t="s">
        <v>10854</v>
      </c>
      <c r="M2027" s="870">
        <v>1</v>
      </c>
      <c r="N2027" s="399">
        <v>0</v>
      </c>
      <c r="O2027" s="102">
        <f t="shared" si="314"/>
        <v>0</v>
      </c>
      <c r="P2027" s="101">
        <f t="shared" si="315"/>
        <v>0</v>
      </c>
      <c r="Q2027" s="1472">
        <v>1</v>
      </c>
    </row>
    <row r="2028" spans="1:24">
      <c r="A2028" s="1482"/>
      <c r="B2028" s="1482"/>
      <c r="C2028" s="1555">
        <f t="shared" si="309"/>
        <v>3</v>
      </c>
      <c r="D2028" s="1492">
        <f t="shared" si="313"/>
        <v>1</v>
      </c>
      <c r="F2028" s="1484" t="s">
        <v>11724</v>
      </c>
      <c r="H2028" s="1095" t="s">
        <v>70</v>
      </c>
      <c r="I2028" s="780">
        <v>93026</v>
      </c>
      <c r="J2028" s="834"/>
      <c r="K2028" s="790" t="s">
        <v>13369</v>
      </c>
      <c r="L2028" s="700" t="s">
        <v>10854</v>
      </c>
      <c r="M2028" s="870">
        <v>4</v>
      </c>
      <c r="N2028" s="399">
        <v>0</v>
      </c>
      <c r="O2028" s="102">
        <f t="shared" si="314"/>
        <v>0</v>
      </c>
      <c r="P2028" s="101">
        <f t="shared" si="315"/>
        <v>0</v>
      </c>
      <c r="Q2028" s="1472">
        <v>4</v>
      </c>
    </row>
    <row r="2029" spans="1:24" ht="22.5">
      <c r="A2029" s="1482"/>
      <c r="B2029" s="1482"/>
      <c r="C2029" s="1555">
        <f t="shared" si="309"/>
        <v>3</v>
      </c>
      <c r="D2029" s="1492">
        <f t="shared" ref="D2029:D2046" si="316">D2028+B2029</f>
        <v>1</v>
      </c>
      <c r="F2029" s="1484" t="s">
        <v>11724</v>
      </c>
      <c r="H2029" s="1095" t="s">
        <v>11722</v>
      </c>
      <c r="I2029" s="780" t="s">
        <v>11743</v>
      </c>
      <c r="J2029" s="834"/>
      <c r="K2029" s="790" t="s">
        <v>13370</v>
      </c>
      <c r="L2029" s="700" t="s">
        <v>18</v>
      </c>
      <c r="M2029" s="870">
        <v>50</v>
      </c>
      <c r="N2029" s="399">
        <v>0</v>
      </c>
      <c r="O2029" s="102">
        <f t="shared" si="314"/>
        <v>0</v>
      </c>
      <c r="P2029" s="101">
        <f t="shared" si="315"/>
        <v>0</v>
      </c>
      <c r="Q2029" s="1472">
        <v>50</v>
      </c>
    </row>
    <row r="2030" spans="1:24" ht="33.75">
      <c r="A2030" s="1482"/>
      <c r="B2030" s="1482"/>
      <c r="C2030" s="1555">
        <f t="shared" si="309"/>
        <v>3</v>
      </c>
      <c r="D2030" s="1492">
        <f t="shared" si="316"/>
        <v>1</v>
      </c>
      <c r="F2030" s="1484" t="s">
        <v>11724</v>
      </c>
      <c r="H2030" s="1095" t="s">
        <v>70</v>
      </c>
      <c r="I2030" s="780">
        <v>92986</v>
      </c>
      <c r="J2030" s="834"/>
      <c r="K2030" s="790" t="s">
        <v>13371</v>
      </c>
      <c r="L2030" s="700" t="s">
        <v>18</v>
      </c>
      <c r="M2030" s="870">
        <v>2300</v>
      </c>
      <c r="N2030" s="399">
        <v>0</v>
      </c>
      <c r="O2030" s="102">
        <f t="shared" si="314"/>
        <v>0</v>
      </c>
      <c r="P2030" s="101">
        <f t="shared" si="315"/>
        <v>0</v>
      </c>
      <c r="Q2030" s="1472">
        <v>2300</v>
      </c>
    </row>
    <row r="2031" spans="1:24" ht="33.75">
      <c r="A2031" s="1482"/>
      <c r="B2031" s="1482"/>
      <c r="C2031" s="1555">
        <f t="shared" si="309"/>
        <v>3</v>
      </c>
      <c r="D2031" s="1492">
        <f t="shared" si="316"/>
        <v>1</v>
      </c>
      <c r="F2031" s="1484" t="s">
        <v>11724</v>
      </c>
      <c r="H2031" s="1095" t="s">
        <v>70</v>
      </c>
      <c r="I2031" s="780">
        <v>92988</v>
      </c>
      <c r="J2031" s="834"/>
      <c r="K2031" s="790" t="s">
        <v>13372</v>
      </c>
      <c r="L2031" s="700" t="s">
        <v>18</v>
      </c>
      <c r="M2031" s="870">
        <v>2800</v>
      </c>
      <c r="N2031" s="399">
        <v>0</v>
      </c>
      <c r="O2031" s="102">
        <f t="shared" si="314"/>
        <v>0</v>
      </c>
      <c r="P2031" s="101">
        <f t="shared" si="315"/>
        <v>0</v>
      </c>
      <c r="Q2031" s="1472">
        <v>2800</v>
      </c>
    </row>
    <row r="2032" spans="1:24" ht="33.75">
      <c r="A2032" s="1482"/>
      <c r="B2032" s="1482"/>
      <c r="C2032" s="1555">
        <f t="shared" si="309"/>
        <v>3</v>
      </c>
      <c r="D2032" s="1492">
        <f t="shared" si="316"/>
        <v>1</v>
      </c>
      <c r="F2032" s="1484" t="s">
        <v>11724</v>
      </c>
      <c r="H2032" s="1095" t="s">
        <v>70</v>
      </c>
      <c r="I2032" s="780">
        <v>92998</v>
      </c>
      <c r="J2032" s="834"/>
      <c r="K2032" s="790" t="s">
        <v>13373</v>
      </c>
      <c r="L2032" s="700" t="s">
        <v>18</v>
      </c>
      <c r="M2032" s="870">
        <v>200</v>
      </c>
      <c r="N2032" s="399">
        <v>0</v>
      </c>
      <c r="O2032" s="102">
        <f t="shared" si="314"/>
        <v>0</v>
      </c>
      <c r="P2032" s="101">
        <f t="shared" si="315"/>
        <v>0</v>
      </c>
      <c r="Q2032" s="1472">
        <v>200</v>
      </c>
    </row>
    <row r="2033" spans="1:17" ht="33.75">
      <c r="A2033" s="1482"/>
      <c r="B2033" s="1482"/>
      <c r="C2033" s="1555">
        <f t="shared" si="309"/>
        <v>3</v>
      </c>
      <c r="D2033" s="1492">
        <f t="shared" si="316"/>
        <v>1</v>
      </c>
      <c r="F2033" s="1484" t="s">
        <v>11724</v>
      </c>
      <c r="H2033" s="1095" t="s">
        <v>70</v>
      </c>
      <c r="I2033" s="780">
        <v>93002</v>
      </c>
      <c r="J2033" s="834"/>
      <c r="K2033" s="790" t="s">
        <v>13374</v>
      </c>
      <c r="L2033" s="700" t="s">
        <v>18</v>
      </c>
      <c r="M2033" s="870">
        <v>35</v>
      </c>
      <c r="N2033" s="399">
        <v>0</v>
      </c>
      <c r="O2033" s="102">
        <f t="shared" si="314"/>
        <v>0</v>
      </c>
      <c r="P2033" s="101">
        <f t="shared" si="315"/>
        <v>0</v>
      </c>
      <c r="Q2033" s="1472">
        <v>35</v>
      </c>
    </row>
    <row r="2034" spans="1:17">
      <c r="A2034" s="1482"/>
      <c r="B2034" s="1482"/>
      <c r="C2034" s="1555">
        <f t="shared" si="309"/>
        <v>3</v>
      </c>
      <c r="D2034" s="1492">
        <f t="shared" si="316"/>
        <v>1</v>
      </c>
      <c r="F2034" s="1484" t="s">
        <v>11724</v>
      </c>
      <c r="H2034" s="1095" t="s">
        <v>70</v>
      </c>
      <c r="I2034" s="780">
        <v>857</v>
      </c>
      <c r="J2034" s="834"/>
      <c r="K2034" s="790" t="s">
        <v>13375</v>
      </c>
      <c r="L2034" s="700" t="s">
        <v>18</v>
      </c>
      <c r="M2034" s="870">
        <v>150</v>
      </c>
      <c r="N2034" s="399">
        <v>0</v>
      </c>
      <c r="O2034" s="102">
        <f t="shared" si="314"/>
        <v>0</v>
      </c>
      <c r="P2034" s="101">
        <f t="shared" si="315"/>
        <v>0</v>
      </c>
      <c r="Q2034" s="1472">
        <v>150</v>
      </c>
    </row>
    <row r="2035" spans="1:17">
      <c r="A2035" s="1482"/>
      <c r="B2035" s="1482"/>
      <c r="C2035" s="1555">
        <f t="shared" si="309"/>
        <v>3</v>
      </c>
      <c r="D2035" s="1492">
        <f t="shared" si="316"/>
        <v>1</v>
      </c>
      <c r="F2035" s="1484" t="s">
        <v>11724</v>
      </c>
      <c r="H2035" s="1095" t="s">
        <v>70</v>
      </c>
      <c r="I2035" s="780">
        <v>868</v>
      </c>
      <c r="J2035" s="834"/>
      <c r="K2035" s="790" t="s">
        <v>13376</v>
      </c>
      <c r="L2035" s="700" t="s">
        <v>18</v>
      </c>
      <c r="M2035" s="870">
        <v>1000</v>
      </c>
      <c r="N2035" s="399">
        <v>0</v>
      </c>
      <c r="O2035" s="102">
        <f t="shared" si="314"/>
        <v>0</v>
      </c>
      <c r="P2035" s="101">
        <f t="shared" si="315"/>
        <v>0</v>
      </c>
      <c r="Q2035" s="1472">
        <v>1000</v>
      </c>
    </row>
    <row r="2036" spans="1:17">
      <c r="A2036" s="1482"/>
      <c r="B2036" s="1482"/>
      <c r="C2036" s="1555">
        <f t="shared" si="309"/>
        <v>3</v>
      </c>
      <c r="D2036" s="1492">
        <f t="shared" si="316"/>
        <v>1</v>
      </c>
      <c r="F2036" s="1484" t="s">
        <v>11724</v>
      </c>
      <c r="H2036" s="1095" t="s">
        <v>70</v>
      </c>
      <c r="I2036" s="780">
        <v>867</v>
      </c>
      <c r="J2036" s="834"/>
      <c r="K2036" s="790" t="s">
        <v>13377</v>
      </c>
      <c r="L2036" s="700" t="s">
        <v>18</v>
      </c>
      <c r="M2036" s="870">
        <v>400</v>
      </c>
      <c r="N2036" s="399">
        <v>0</v>
      </c>
      <c r="O2036" s="102">
        <f t="shared" si="314"/>
        <v>0</v>
      </c>
      <c r="P2036" s="101">
        <f t="shared" si="315"/>
        <v>0</v>
      </c>
      <c r="Q2036" s="1472">
        <v>400</v>
      </c>
    </row>
    <row r="2037" spans="1:17">
      <c r="A2037" s="1482"/>
      <c r="B2037" s="1482"/>
      <c r="C2037" s="1555">
        <f t="shared" si="309"/>
        <v>3</v>
      </c>
      <c r="D2037" s="1492">
        <f t="shared" si="316"/>
        <v>1</v>
      </c>
      <c r="F2037" s="1484" t="s">
        <v>11724</v>
      </c>
      <c r="H2037" s="1095" t="s">
        <v>70</v>
      </c>
      <c r="I2037" s="780">
        <v>864</v>
      </c>
      <c r="J2037" s="834"/>
      <c r="K2037" s="790" t="s">
        <v>13378</v>
      </c>
      <c r="L2037" s="700" t="s">
        <v>18</v>
      </c>
      <c r="M2037" s="870">
        <v>40</v>
      </c>
      <c r="N2037" s="399">
        <v>0</v>
      </c>
      <c r="O2037" s="102">
        <f t="shared" si="314"/>
        <v>0</v>
      </c>
      <c r="P2037" s="101">
        <f t="shared" si="315"/>
        <v>0</v>
      </c>
      <c r="Q2037" s="1472">
        <v>40</v>
      </c>
    </row>
    <row r="2038" spans="1:17" ht="22.5">
      <c r="A2038" s="1482"/>
      <c r="B2038" s="1482"/>
      <c r="C2038" s="1555">
        <f t="shared" si="309"/>
        <v>3</v>
      </c>
      <c r="D2038" s="1492">
        <f t="shared" si="316"/>
        <v>1</v>
      </c>
      <c r="F2038" s="1484" t="s">
        <v>11724</v>
      </c>
      <c r="H2038" s="1095" t="s">
        <v>11722</v>
      </c>
      <c r="I2038" s="780" t="s">
        <v>11744</v>
      </c>
      <c r="J2038" s="834"/>
      <c r="K2038" s="790" t="s">
        <v>13379</v>
      </c>
      <c r="L2038" s="700" t="s">
        <v>10853</v>
      </c>
      <c r="M2038" s="870">
        <v>63</v>
      </c>
      <c r="N2038" s="399">
        <v>0</v>
      </c>
      <c r="O2038" s="102">
        <f t="shared" si="314"/>
        <v>0</v>
      </c>
      <c r="P2038" s="101">
        <f t="shared" si="315"/>
        <v>0</v>
      </c>
      <c r="Q2038" s="1472">
        <v>63</v>
      </c>
    </row>
    <row r="2039" spans="1:17">
      <c r="A2039" s="1482"/>
      <c r="B2039" s="1482"/>
      <c r="C2039" s="1555">
        <f t="shared" si="309"/>
        <v>3</v>
      </c>
      <c r="D2039" s="1492">
        <f t="shared" si="316"/>
        <v>1</v>
      </c>
      <c r="F2039" s="1484" t="s">
        <v>11724</v>
      </c>
      <c r="H2039" s="1095" t="s">
        <v>11722</v>
      </c>
      <c r="I2039" s="780" t="s">
        <v>11745</v>
      </c>
      <c r="J2039" s="834"/>
      <c r="K2039" s="790" t="s">
        <v>13380</v>
      </c>
      <c r="L2039" s="700" t="s">
        <v>10854</v>
      </c>
      <c r="M2039" s="870">
        <v>17</v>
      </c>
      <c r="N2039" s="399">
        <v>0</v>
      </c>
      <c r="O2039" s="102">
        <f t="shared" si="314"/>
        <v>0</v>
      </c>
      <c r="P2039" s="101">
        <f t="shared" si="315"/>
        <v>0</v>
      </c>
      <c r="Q2039" s="1472">
        <v>17</v>
      </c>
    </row>
    <row r="2040" spans="1:17">
      <c r="A2040" s="1482"/>
      <c r="B2040" s="1482"/>
      <c r="C2040" s="1555">
        <f t="shared" si="309"/>
        <v>3</v>
      </c>
      <c r="D2040" s="1492">
        <f t="shared" si="316"/>
        <v>1</v>
      </c>
      <c r="F2040" s="1484" t="s">
        <v>11724</v>
      </c>
      <c r="H2040" s="1095" t="s">
        <v>11722</v>
      </c>
      <c r="I2040" s="780" t="s">
        <v>11746</v>
      </c>
      <c r="J2040" s="834"/>
      <c r="K2040" s="790" t="s">
        <v>13381</v>
      </c>
      <c r="L2040" s="700" t="s">
        <v>10854</v>
      </c>
      <c r="M2040" s="870">
        <v>19</v>
      </c>
      <c r="N2040" s="399">
        <v>0</v>
      </c>
      <c r="O2040" s="102">
        <f t="shared" si="314"/>
        <v>0</v>
      </c>
      <c r="P2040" s="101">
        <f t="shared" si="315"/>
        <v>0</v>
      </c>
      <c r="Q2040" s="1472">
        <v>19</v>
      </c>
    </row>
    <row r="2041" spans="1:17">
      <c r="A2041" s="1482"/>
      <c r="B2041" s="1482"/>
      <c r="C2041" s="1555">
        <f t="shared" si="309"/>
        <v>3</v>
      </c>
      <c r="D2041" s="1492">
        <f t="shared" si="316"/>
        <v>1</v>
      </c>
      <c r="F2041" s="1484" t="s">
        <v>11724</v>
      </c>
      <c r="H2041" s="1095" t="s">
        <v>11722</v>
      </c>
      <c r="I2041" s="780" t="s">
        <v>11747</v>
      </c>
      <c r="J2041" s="834"/>
      <c r="K2041" s="790" t="s">
        <v>13382</v>
      </c>
      <c r="L2041" s="700" t="s">
        <v>13383</v>
      </c>
      <c r="M2041" s="870">
        <v>10</v>
      </c>
      <c r="N2041" s="399">
        <v>0</v>
      </c>
      <c r="O2041" s="102">
        <f t="shared" si="314"/>
        <v>0</v>
      </c>
      <c r="P2041" s="101">
        <f t="shared" si="315"/>
        <v>0</v>
      </c>
      <c r="Q2041" s="1472">
        <v>10</v>
      </c>
    </row>
    <row r="2042" spans="1:17">
      <c r="A2042" s="1482"/>
      <c r="B2042" s="1482"/>
      <c r="C2042" s="1555">
        <f t="shared" si="309"/>
        <v>3</v>
      </c>
      <c r="D2042" s="1492">
        <f t="shared" si="316"/>
        <v>1</v>
      </c>
      <c r="F2042" s="1484" t="s">
        <v>11724</v>
      </c>
      <c r="H2042" s="1095" t="s">
        <v>11722</v>
      </c>
      <c r="I2042" s="780" t="s">
        <v>11748</v>
      </c>
      <c r="J2042" s="834"/>
      <c r="K2042" s="790" t="s">
        <v>13384</v>
      </c>
      <c r="L2042" s="700" t="s">
        <v>13383</v>
      </c>
      <c r="M2042" s="870">
        <v>38</v>
      </c>
      <c r="N2042" s="399">
        <v>0</v>
      </c>
      <c r="O2042" s="102">
        <f t="shared" si="314"/>
        <v>0</v>
      </c>
      <c r="P2042" s="101">
        <f t="shared" si="315"/>
        <v>0</v>
      </c>
      <c r="Q2042" s="1472">
        <v>38</v>
      </c>
    </row>
    <row r="2043" spans="1:17">
      <c r="A2043" s="1482"/>
      <c r="B2043" s="1482"/>
      <c r="C2043" s="1555">
        <f t="shared" si="309"/>
        <v>3</v>
      </c>
      <c r="D2043" s="1492">
        <f t="shared" si="316"/>
        <v>1</v>
      </c>
      <c r="F2043" s="1484" t="s">
        <v>11724</v>
      </c>
      <c r="H2043" s="1095" t="s">
        <v>11722</v>
      </c>
      <c r="I2043" s="780" t="s">
        <v>11749</v>
      </c>
      <c r="J2043" s="834"/>
      <c r="K2043" s="790" t="s">
        <v>13385</v>
      </c>
      <c r="L2043" s="700" t="s">
        <v>10854</v>
      </c>
      <c r="M2043" s="870">
        <v>11</v>
      </c>
      <c r="N2043" s="399">
        <v>0</v>
      </c>
      <c r="O2043" s="102">
        <f t="shared" si="314"/>
        <v>0</v>
      </c>
      <c r="P2043" s="101">
        <f t="shared" si="315"/>
        <v>0</v>
      </c>
      <c r="Q2043" s="1472">
        <v>11</v>
      </c>
    </row>
    <row r="2044" spans="1:17">
      <c r="A2044" s="1482"/>
      <c r="B2044" s="1482"/>
      <c r="C2044" s="1555">
        <f t="shared" si="309"/>
        <v>3</v>
      </c>
      <c r="D2044" s="1492">
        <f t="shared" si="316"/>
        <v>1</v>
      </c>
      <c r="F2044" s="1484" t="s">
        <v>11724</v>
      </c>
      <c r="H2044" s="1095" t="s">
        <v>11722</v>
      </c>
      <c r="I2044" s="780" t="s">
        <v>11750</v>
      </c>
      <c r="J2044" s="834"/>
      <c r="K2044" s="790" t="s">
        <v>13386</v>
      </c>
      <c r="L2044" s="700" t="s">
        <v>10854</v>
      </c>
      <c r="M2044" s="870">
        <v>8</v>
      </c>
      <c r="N2044" s="399">
        <v>0</v>
      </c>
      <c r="O2044" s="102">
        <f t="shared" si="314"/>
        <v>0</v>
      </c>
      <c r="P2044" s="101">
        <f t="shared" si="315"/>
        <v>0</v>
      </c>
      <c r="Q2044" s="1472">
        <v>8</v>
      </c>
    </row>
    <row r="2045" spans="1:17">
      <c r="A2045" s="1482"/>
      <c r="B2045" s="1482"/>
      <c r="C2045" s="1555">
        <f t="shared" si="309"/>
        <v>3</v>
      </c>
      <c r="D2045" s="1492">
        <f t="shared" si="316"/>
        <v>1</v>
      </c>
      <c r="F2045" s="1484" t="s">
        <v>11724</v>
      </c>
      <c r="H2045" s="1095" t="s">
        <v>11722</v>
      </c>
      <c r="I2045" s="780" t="s">
        <v>11751</v>
      </c>
      <c r="J2045" s="834"/>
      <c r="K2045" s="790" t="s">
        <v>13387</v>
      </c>
      <c r="L2045" s="700" t="s">
        <v>10854</v>
      </c>
      <c r="M2045" s="870">
        <v>4</v>
      </c>
      <c r="N2045" s="399">
        <v>0</v>
      </c>
      <c r="O2045" s="102">
        <f t="shared" si="314"/>
        <v>0</v>
      </c>
      <c r="P2045" s="101">
        <f t="shared" si="315"/>
        <v>0</v>
      </c>
      <c r="Q2045" s="1472">
        <v>4</v>
      </c>
    </row>
    <row r="2046" spans="1:17">
      <c r="A2046" s="1482"/>
      <c r="B2046" s="1482"/>
      <c r="C2046" s="1555">
        <f t="shared" si="309"/>
        <v>3</v>
      </c>
      <c r="D2046" s="1492">
        <f t="shared" si="316"/>
        <v>1</v>
      </c>
      <c r="F2046" s="1484" t="s">
        <v>11724</v>
      </c>
      <c r="H2046" s="1095" t="s">
        <v>11722</v>
      </c>
      <c r="I2046" s="780" t="s">
        <v>13388</v>
      </c>
      <c r="J2046" s="834"/>
      <c r="K2046" s="790" t="s">
        <v>13389</v>
      </c>
      <c r="L2046" s="700" t="s">
        <v>10854</v>
      </c>
      <c r="M2046" s="870">
        <v>5</v>
      </c>
      <c r="N2046" s="399">
        <v>0</v>
      </c>
      <c r="O2046" s="102">
        <f t="shared" ref="O2046:O2066" si="317">ROUND(IF(F2046="Serviços",N2046*(1+$O$7),IF(F2046="Materiais",N2046*(1+$O$8))),2)</f>
        <v>0</v>
      </c>
      <c r="P2046" s="101">
        <f t="shared" ref="P2046:P2066" si="318">ROUND(M2046*O2046,2)</f>
        <v>0</v>
      </c>
      <c r="Q2046" s="1472">
        <v>5</v>
      </c>
    </row>
    <row r="2047" spans="1:17">
      <c r="A2047" s="1482"/>
      <c r="B2047" s="1482"/>
      <c r="C2047" s="1555">
        <f t="shared" si="309"/>
        <v>3</v>
      </c>
      <c r="D2047" s="1492">
        <f t="shared" ref="D2047:D2056" si="319">D2046+B2047</f>
        <v>1</v>
      </c>
      <c r="F2047" s="1484" t="s">
        <v>11724</v>
      </c>
      <c r="H2047" s="1095" t="s">
        <v>11722</v>
      </c>
      <c r="I2047" s="780" t="s">
        <v>13390</v>
      </c>
      <c r="J2047" s="834"/>
      <c r="K2047" s="790" t="s">
        <v>13391</v>
      </c>
      <c r="L2047" s="780" t="s">
        <v>10854</v>
      </c>
      <c r="M2047" s="1270">
        <v>6</v>
      </c>
      <c r="N2047" s="399">
        <v>0</v>
      </c>
      <c r="O2047" s="102">
        <f t="shared" si="317"/>
        <v>0</v>
      </c>
      <c r="P2047" s="101">
        <f t="shared" si="318"/>
        <v>0</v>
      </c>
      <c r="Q2047" s="1472">
        <v>6</v>
      </c>
    </row>
    <row r="2048" spans="1:17">
      <c r="A2048" s="1482"/>
      <c r="B2048" s="1482"/>
      <c r="C2048" s="1555">
        <f t="shared" si="309"/>
        <v>3</v>
      </c>
      <c r="D2048" s="1492">
        <f t="shared" si="319"/>
        <v>1</v>
      </c>
      <c r="F2048" s="1484" t="s">
        <v>11724</v>
      </c>
      <c r="H2048" s="1095" t="s">
        <v>11722</v>
      </c>
      <c r="I2048" s="780" t="s">
        <v>13392</v>
      </c>
      <c r="J2048" s="834"/>
      <c r="K2048" s="790" t="s">
        <v>13393</v>
      </c>
      <c r="L2048" s="780" t="s">
        <v>10854</v>
      </c>
      <c r="M2048" s="1270">
        <v>18</v>
      </c>
      <c r="N2048" s="399">
        <v>0</v>
      </c>
      <c r="O2048" s="102">
        <f t="shared" si="317"/>
        <v>0</v>
      </c>
      <c r="P2048" s="101">
        <f t="shared" si="318"/>
        <v>0</v>
      </c>
      <c r="Q2048" s="1472">
        <v>18</v>
      </c>
    </row>
    <row r="2049" spans="1:17">
      <c r="A2049" s="1482"/>
      <c r="B2049" s="1482"/>
      <c r="C2049" s="1555">
        <f t="shared" si="309"/>
        <v>3</v>
      </c>
      <c r="D2049" s="1492">
        <f t="shared" si="319"/>
        <v>1</v>
      </c>
      <c r="F2049" s="1484" t="s">
        <v>11724</v>
      </c>
      <c r="H2049" s="1095" t="s">
        <v>11722</v>
      </c>
      <c r="I2049" s="780" t="s">
        <v>13394</v>
      </c>
      <c r="J2049" s="834"/>
      <c r="K2049" s="790" t="s">
        <v>13395</v>
      </c>
      <c r="L2049" s="780" t="s">
        <v>10854</v>
      </c>
      <c r="M2049" s="1270">
        <v>5</v>
      </c>
      <c r="N2049" s="399">
        <v>0</v>
      </c>
      <c r="O2049" s="102">
        <f t="shared" si="317"/>
        <v>0</v>
      </c>
      <c r="P2049" s="101">
        <f t="shared" si="318"/>
        <v>0</v>
      </c>
      <c r="Q2049" s="1472">
        <v>5</v>
      </c>
    </row>
    <row r="2050" spans="1:17">
      <c r="A2050" s="1482"/>
      <c r="B2050" s="1482"/>
      <c r="C2050" s="1555">
        <f t="shared" si="309"/>
        <v>3</v>
      </c>
      <c r="D2050" s="1492">
        <f t="shared" si="319"/>
        <v>1</v>
      </c>
      <c r="F2050" s="1484" t="s">
        <v>11724</v>
      </c>
      <c r="H2050" s="1095" t="s">
        <v>11722</v>
      </c>
      <c r="I2050" s="780" t="s">
        <v>13396</v>
      </c>
      <c r="J2050" s="834"/>
      <c r="K2050" s="790" t="s">
        <v>13397</v>
      </c>
      <c r="L2050" s="780" t="s">
        <v>10854</v>
      </c>
      <c r="M2050" s="1270">
        <v>1</v>
      </c>
      <c r="N2050" s="399">
        <v>0</v>
      </c>
      <c r="O2050" s="102">
        <f t="shared" si="317"/>
        <v>0</v>
      </c>
      <c r="P2050" s="101">
        <f t="shared" si="318"/>
        <v>0</v>
      </c>
      <c r="Q2050" s="1472">
        <v>1</v>
      </c>
    </row>
    <row r="2051" spans="1:17">
      <c r="A2051" s="1482"/>
      <c r="B2051" s="1482"/>
      <c r="C2051" s="1555">
        <f t="shared" si="309"/>
        <v>3</v>
      </c>
      <c r="D2051" s="1492">
        <f t="shared" si="319"/>
        <v>1</v>
      </c>
      <c r="F2051" s="1484" t="s">
        <v>11724</v>
      </c>
      <c r="H2051" s="1095" t="s">
        <v>11722</v>
      </c>
      <c r="I2051" s="780" t="s">
        <v>13398</v>
      </c>
      <c r="J2051" s="834"/>
      <c r="K2051" s="790" t="s">
        <v>13399</v>
      </c>
      <c r="L2051" s="780" t="s">
        <v>10854</v>
      </c>
      <c r="M2051" s="1270">
        <v>2</v>
      </c>
      <c r="N2051" s="399">
        <v>0</v>
      </c>
      <c r="O2051" s="102">
        <f t="shared" si="317"/>
        <v>0</v>
      </c>
      <c r="P2051" s="101">
        <f t="shared" si="318"/>
        <v>0</v>
      </c>
      <c r="Q2051" s="1472">
        <v>2</v>
      </c>
    </row>
    <row r="2052" spans="1:17">
      <c r="A2052" s="1482"/>
      <c r="B2052" s="1482"/>
      <c r="C2052" s="1555">
        <f t="shared" si="309"/>
        <v>3</v>
      </c>
      <c r="D2052" s="1492">
        <f t="shared" si="319"/>
        <v>1</v>
      </c>
      <c r="F2052" s="1484" t="s">
        <v>11724</v>
      </c>
      <c r="H2052" s="1095" t="s">
        <v>70</v>
      </c>
      <c r="I2052" s="780">
        <v>83446</v>
      </c>
      <c r="J2052" s="834"/>
      <c r="K2052" s="790" t="s">
        <v>13400</v>
      </c>
      <c r="L2052" s="780" t="s">
        <v>10854</v>
      </c>
      <c r="M2052" s="1270">
        <v>63</v>
      </c>
      <c r="N2052" s="399">
        <v>0</v>
      </c>
      <c r="O2052" s="102">
        <f t="shared" si="317"/>
        <v>0</v>
      </c>
      <c r="P2052" s="101">
        <f t="shared" si="318"/>
        <v>0</v>
      </c>
      <c r="Q2052" s="1472">
        <v>63</v>
      </c>
    </row>
    <row r="2053" spans="1:17" ht="22.5">
      <c r="A2053" s="1482"/>
      <c r="B2053" s="1482"/>
      <c r="C2053" s="1555">
        <f t="shared" si="309"/>
        <v>3</v>
      </c>
      <c r="D2053" s="1492">
        <f t="shared" si="319"/>
        <v>1</v>
      </c>
      <c r="F2053" s="1484" t="s">
        <v>11724</v>
      </c>
      <c r="H2053" s="1095" t="s">
        <v>70</v>
      </c>
      <c r="I2053" s="780">
        <v>83448</v>
      </c>
      <c r="J2053" s="834"/>
      <c r="K2053" s="790" t="s">
        <v>13401</v>
      </c>
      <c r="L2053" s="780" t="s">
        <v>10854</v>
      </c>
      <c r="M2053" s="1270">
        <v>10</v>
      </c>
      <c r="N2053" s="399">
        <v>0</v>
      </c>
      <c r="O2053" s="102">
        <f t="shared" si="317"/>
        <v>0</v>
      </c>
      <c r="P2053" s="101">
        <f t="shared" si="318"/>
        <v>0</v>
      </c>
      <c r="Q2053" s="1472">
        <v>10</v>
      </c>
    </row>
    <row r="2054" spans="1:17" ht="22.5">
      <c r="A2054" s="1482"/>
      <c r="B2054" s="1482"/>
      <c r="C2054" s="1555">
        <f t="shared" si="309"/>
        <v>3</v>
      </c>
      <c r="D2054" s="1492">
        <f t="shared" si="319"/>
        <v>1</v>
      </c>
      <c r="F2054" s="1484" t="s">
        <v>11724</v>
      </c>
      <c r="H2054" s="1095" t="s">
        <v>70</v>
      </c>
      <c r="I2054" s="780">
        <v>83446</v>
      </c>
      <c r="J2054" s="834"/>
      <c r="K2054" s="790" t="s">
        <v>13402</v>
      </c>
      <c r="L2054" s="780" t="s">
        <v>10854</v>
      </c>
      <c r="M2054" s="1270">
        <v>6</v>
      </c>
      <c r="N2054" s="399">
        <v>0</v>
      </c>
      <c r="O2054" s="102">
        <f t="shared" si="317"/>
        <v>0</v>
      </c>
      <c r="P2054" s="101">
        <f t="shared" si="318"/>
        <v>0</v>
      </c>
      <c r="Q2054" s="1472">
        <v>6</v>
      </c>
    </row>
    <row r="2055" spans="1:17" ht="33.75">
      <c r="A2055" s="1482"/>
      <c r="B2055" s="1482"/>
      <c r="C2055" s="1555">
        <f t="shared" si="309"/>
        <v>3</v>
      </c>
      <c r="D2055" s="1492">
        <f t="shared" si="319"/>
        <v>1</v>
      </c>
      <c r="F2055" s="1484" t="s">
        <v>11724</v>
      </c>
      <c r="H2055" s="1095" t="s">
        <v>11722</v>
      </c>
      <c r="I2055" s="780" t="s">
        <v>13403</v>
      </c>
      <c r="J2055" s="834"/>
      <c r="K2055" s="790" t="s">
        <v>13404</v>
      </c>
      <c r="L2055" s="780" t="s">
        <v>18</v>
      </c>
      <c r="M2055" s="1270">
        <v>10</v>
      </c>
      <c r="N2055" s="399">
        <v>0</v>
      </c>
      <c r="O2055" s="102">
        <f t="shared" si="317"/>
        <v>0</v>
      </c>
      <c r="P2055" s="101">
        <f t="shared" si="318"/>
        <v>0</v>
      </c>
      <c r="Q2055" s="1472">
        <v>10</v>
      </c>
    </row>
    <row r="2056" spans="1:17" ht="33.75">
      <c r="A2056" s="1482"/>
      <c r="B2056" s="1482"/>
      <c r="C2056" s="1555">
        <f t="shared" ref="C2056:C2119" si="320">C2055</f>
        <v>3</v>
      </c>
      <c r="D2056" s="1492">
        <f t="shared" si="319"/>
        <v>1</v>
      </c>
      <c r="F2056" s="1484" t="s">
        <v>11724</v>
      </c>
      <c r="H2056" s="1095" t="s">
        <v>11722</v>
      </c>
      <c r="I2056" s="780" t="s">
        <v>13405</v>
      </c>
      <c r="J2056" s="834"/>
      <c r="K2056" s="790" t="s">
        <v>13406</v>
      </c>
      <c r="L2056" s="780" t="s">
        <v>18</v>
      </c>
      <c r="M2056" s="1270">
        <v>700</v>
      </c>
      <c r="N2056" s="399">
        <v>0</v>
      </c>
      <c r="O2056" s="102">
        <f t="shared" si="317"/>
        <v>0</v>
      </c>
      <c r="P2056" s="101">
        <f t="shared" si="318"/>
        <v>0</v>
      </c>
      <c r="Q2056" s="1472">
        <v>700</v>
      </c>
    </row>
    <row r="2057" spans="1:17" ht="22.5">
      <c r="A2057" s="1482"/>
      <c r="B2057" s="1482"/>
      <c r="C2057" s="1555">
        <f t="shared" si="320"/>
        <v>3</v>
      </c>
      <c r="D2057" s="1492">
        <f t="shared" ref="D2057:D2103" si="321">D2056+B2057</f>
        <v>1</v>
      </c>
      <c r="F2057" s="1484" t="s">
        <v>11724</v>
      </c>
      <c r="H2057" s="1095" t="s">
        <v>11722</v>
      </c>
      <c r="I2057" s="780" t="s">
        <v>13407</v>
      </c>
      <c r="J2057" s="834"/>
      <c r="K2057" s="790" t="s">
        <v>13408</v>
      </c>
      <c r="L2057" s="780" t="s">
        <v>18</v>
      </c>
      <c r="M2057" s="1270">
        <v>600</v>
      </c>
      <c r="N2057" s="399">
        <v>0</v>
      </c>
      <c r="O2057" s="102">
        <f t="shared" si="317"/>
        <v>0</v>
      </c>
      <c r="P2057" s="101">
        <f t="shared" si="318"/>
        <v>0</v>
      </c>
      <c r="Q2057" s="1472">
        <v>600</v>
      </c>
    </row>
    <row r="2058" spans="1:17">
      <c r="A2058" s="1482"/>
      <c r="B2058" s="1482"/>
      <c r="C2058" s="1555">
        <f t="shared" si="320"/>
        <v>3</v>
      </c>
      <c r="D2058" s="1492">
        <f t="shared" si="321"/>
        <v>1</v>
      </c>
      <c r="F2058" s="1484" t="s">
        <v>11724</v>
      </c>
      <c r="H2058" s="1095" t="s">
        <v>70</v>
      </c>
      <c r="I2058" s="780">
        <v>37427</v>
      </c>
      <c r="J2058" s="834"/>
      <c r="K2058" s="790" t="s">
        <v>13409</v>
      </c>
      <c r="L2058" s="780" t="s">
        <v>10854</v>
      </c>
      <c r="M2058" s="1270">
        <v>1</v>
      </c>
      <c r="N2058" s="399">
        <v>0</v>
      </c>
      <c r="O2058" s="102">
        <f t="shared" si="317"/>
        <v>0</v>
      </c>
      <c r="P2058" s="101">
        <f t="shared" si="318"/>
        <v>0</v>
      </c>
      <c r="Q2058" s="1472">
        <v>1</v>
      </c>
    </row>
    <row r="2059" spans="1:17">
      <c r="A2059" s="1482"/>
      <c r="B2059" s="1482"/>
      <c r="C2059" s="1555">
        <f t="shared" si="320"/>
        <v>3</v>
      </c>
      <c r="D2059" s="1492">
        <f t="shared" si="321"/>
        <v>1</v>
      </c>
      <c r="F2059" s="1484" t="s">
        <v>11724</v>
      </c>
      <c r="H2059" s="1095" t="s">
        <v>70</v>
      </c>
      <c r="I2059" s="780">
        <v>37426</v>
      </c>
      <c r="J2059" s="834"/>
      <c r="K2059" s="790" t="s">
        <v>13410</v>
      </c>
      <c r="L2059" s="780" t="s">
        <v>10854</v>
      </c>
      <c r="M2059" s="1270">
        <v>7</v>
      </c>
      <c r="N2059" s="399">
        <v>0</v>
      </c>
      <c r="O2059" s="102">
        <f t="shared" si="317"/>
        <v>0</v>
      </c>
      <c r="P2059" s="101">
        <f t="shared" si="318"/>
        <v>0</v>
      </c>
      <c r="Q2059" s="1472">
        <v>7</v>
      </c>
    </row>
    <row r="2060" spans="1:17">
      <c r="A2060" s="1482"/>
      <c r="B2060" s="1482"/>
      <c r="C2060" s="1555">
        <f t="shared" si="320"/>
        <v>3</v>
      </c>
      <c r="D2060" s="1492">
        <f t="shared" si="321"/>
        <v>1</v>
      </c>
      <c r="F2060" s="1484" t="s">
        <v>11724</v>
      </c>
      <c r="H2060" s="1095" t="s">
        <v>70</v>
      </c>
      <c r="I2060" s="780">
        <v>37426</v>
      </c>
      <c r="J2060" s="834"/>
      <c r="K2060" s="790" t="s">
        <v>13411</v>
      </c>
      <c r="L2060" s="780" t="s">
        <v>10854</v>
      </c>
      <c r="M2060" s="1270">
        <v>6</v>
      </c>
      <c r="N2060" s="399">
        <v>0</v>
      </c>
      <c r="O2060" s="102">
        <f t="shared" si="317"/>
        <v>0</v>
      </c>
      <c r="P2060" s="101">
        <f t="shared" si="318"/>
        <v>0</v>
      </c>
      <c r="Q2060" s="1472">
        <v>6</v>
      </c>
    </row>
    <row r="2061" spans="1:17">
      <c r="A2061" s="1482"/>
      <c r="B2061" s="1482"/>
      <c r="C2061" s="1555">
        <f t="shared" si="320"/>
        <v>3</v>
      </c>
      <c r="D2061" s="1492">
        <f t="shared" si="321"/>
        <v>1</v>
      </c>
      <c r="F2061" s="1484" t="s">
        <v>11724</v>
      </c>
      <c r="H2061" s="1095" t="s">
        <v>11722</v>
      </c>
      <c r="I2061" s="780" t="s">
        <v>13412</v>
      </c>
      <c r="J2061" s="834"/>
      <c r="K2061" s="790" t="s">
        <v>13413</v>
      </c>
      <c r="L2061" s="780" t="s">
        <v>10854</v>
      </c>
      <c r="M2061" s="1270">
        <v>1</v>
      </c>
      <c r="N2061" s="399">
        <v>0</v>
      </c>
      <c r="O2061" s="102">
        <f t="shared" si="317"/>
        <v>0</v>
      </c>
      <c r="P2061" s="101">
        <f t="shared" si="318"/>
        <v>0</v>
      </c>
      <c r="Q2061" s="1472">
        <v>1</v>
      </c>
    </row>
    <row r="2062" spans="1:17">
      <c r="A2062" s="1482"/>
      <c r="B2062" s="1482"/>
      <c r="C2062" s="1555">
        <f t="shared" si="320"/>
        <v>3</v>
      </c>
      <c r="D2062" s="1492">
        <f t="shared" si="321"/>
        <v>1</v>
      </c>
      <c r="F2062" s="1484" t="s">
        <v>11724</v>
      </c>
      <c r="H2062" s="1095" t="s">
        <v>11722</v>
      </c>
      <c r="I2062" s="780" t="s">
        <v>13414</v>
      </c>
      <c r="J2062" s="834"/>
      <c r="K2062" s="790" t="s">
        <v>13415</v>
      </c>
      <c r="L2062" s="780" t="s">
        <v>10854</v>
      </c>
      <c r="M2062" s="1270">
        <v>7</v>
      </c>
      <c r="N2062" s="399">
        <v>0</v>
      </c>
      <c r="O2062" s="102">
        <f t="shared" si="317"/>
        <v>0</v>
      </c>
      <c r="P2062" s="101">
        <f t="shared" si="318"/>
        <v>0</v>
      </c>
      <c r="Q2062" s="1472">
        <v>7</v>
      </c>
    </row>
    <row r="2063" spans="1:17">
      <c r="A2063" s="1482"/>
      <c r="B2063" s="1482"/>
      <c r="C2063" s="1555">
        <f t="shared" si="320"/>
        <v>3</v>
      </c>
      <c r="D2063" s="1492">
        <f t="shared" si="321"/>
        <v>1</v>
      </c>
      <c r="F2063" s="1484" t="s">
        <v>11724</v>
      </c>
      <c r="H2063" s="1095" t="s">
        <v>11722</v>
      </c>
      <c r="I2063" s="780" t="s">
        <v>13416</v>
      </c>
      <c r="J2063" s="834"/>
      <c r="K2063" s="790" t="s">
        <v>13417</v>
      </c>
      <c r="L2063" s="780" t="s">
        <v>10854</v>
      </c>
      <c r="M2063" s="1270">
        <v>6</v>
      </c>
      <c r="N2063" s="399">
        <v>0</v>
      </c>
      <c r="O2063" s="102">
        <f t="shared" si="317"/>
        <v>0</v>
      </c>
      <c r="P2063" s="101">
        <f t="shared" si="318"/>
        <v>0</v>
      </c>
      <c r="Q2063" s="1472">
        <v>6</v>
      </c>
    </row>
    <row r="2064" spans="1:17">
      <c r="A2064" s="1482"/>
      <c r="B2064" s="1482"/>
      <c r="C2064" s="1555">
        <f t="shared" si="320"/>
        <v>3</v>
      </c>
      <c r="D2064" s="1492">
        <f t="shared" si="321"/>
        <v>1</v>
      </c>
      <c r="F2064" s="1484" t="s">
        <v>11724</v>
      </c>
      <c r="H2064" s="1095" t="s">
        <v>11722</v>
      </c>
      <c r="I2064" s="780" t="s">
        <v>13418</v>
      </c>
      <c r="J2064" s="834"/>
      <c r="K2064" s="790" t="s">
        <v>13419</v>
      </c>
      <c r="L2064" s="780" t="s">
        <v>10854</v>
      </c>
      <c r="M2064" s="1270">
        <v>8</v>
      </c>
      <c r="N2064" s="399">
        <v>0</v>
      </c>
      <c r="O2064" s="102">
        <f t="shared" si="317"/>
        <v>0</v>
      </c>
      <c r="P2064" s="101">
        <f t="shared" si="318"/>
        <v>0</v>
      </c>
      <c r="Q2064" s="1472">
        <v>8</v>
      </c>
    </row>
    <row r="2065" spans="1:17">
      <c r="A2065" s="1482"/>
      <c r="B2065" s="1482"/>
      <c r="C2065" s="1555">
        <f t="shared" si="320"/>
        <v>3</v>
      </c>
      <c r="D2065" s="1492">
        <f t="shared" si="321"/>
        <v>1</v>
      </c>
      <c r="F2065" s="1484" t="s">
        <v>11724</v>
      </c>
      <c r="H2065" s="1095" t="s">
        <v>11722</v>
      </c>
      <c r="I2065" s="780" t="s">
        <v>13420</v>
      </c>
      <c r="J2065" s="834"/>
      <c r="K2065" s="790" t="s">
        <v>13421</v>
      </c>
      <c r="L2065" s="780" t="s">
        <v>10854</v>
      </c>
      <c r="M2065" s="1270">
        <v>38</v>
      </c>
      <c r="N2065" s="399">
        <v>0</v>
      </c>
      <c r="O2065" s="102">
        <f t="shared" si="317"/>
        <v>0</v>
      </c>
      <c r="P2065" s="101">
        <f t="shared" si="318"/>
        <v>0</v>
      </c>
      <c r="Q2065" s="1472">
        <v>38</v>
      </c>
    </row>
    <row r="2066" spans="1:17">
      <c r="A2066" s="1482"/>
      <c r="B2066" s="1482"/>
      <c r="C2066" s="1555">
        <f t="shared" si="320"/>
        <v>3</v>
      </c>
      <c r="D2066" s="1492">
        <f t="shared" si="321"/>
        <v>1</v>
      </c>
      <c r="F2066" s="1484" t="s">
        <v>11724</v>
      </c>
      <c r="H2066" s="1095" t="s">
        <v>11722</v>
      </c>
      <c r="I2066" s="780" t="s">
        <v>13422</v>
      </c>
      <c r="J2066" s="834"/>
      <c r="K2066" s="790" t="s">
        <v>13423</v>
      </c>
      <c r="L2066" s="780" t="s">
        <v>10854</v>
      </c>
      <c r="M2066" s="1270">
        <v>29</v>
      </c>
      <c r="N2066" s="399">
        <v>0</v>
      </c>
      <c r="O2066" s="102">
        <f t="shared" si="317"/>
        <v>0</v>
      </c>
      <c r="P2066" s="101">
        <f t="shared" si="318"/>
        <v>0</v>
      </c>
      <c r="Q2066" s="1472">
        <v>29</v>
      </c>
    </row>
    <row r="2067" spans="1:17" ht="15.75" thickBot="1">
      <c r="A2067" s="1482"/>
      <c r="B2067" s="1482"/>
      <c r="C2067" s="1555">
        <f t="shared" si="320"/>
        <v>3</v>
      </c>
      <c r="D2067" s="1492">
        <f t="shared" si="321"/>
        <v>1</v>
      </c>
      <c r="F2067" s="1484" t="s">
        <v>11724</v>
      </c>
      <c r="H2067" s="1095"/>
      <c r="I2067" s="780"/>
      <c r="J2067" s="834"/>
      <c r="K2067" s="780"/>
      <c r="L2067" s="780"/>
      <c r="M2067" s="1270"/>
      <c r="N2067" s="400"/>
      <c r="O2067" s="122"/>
      <c r="P2067" s="123"/>
    </row>
    <row r="2068" spans="1:17" ht="16.5" thickTop="1" thickBot="1">
      <c r="A2068" s="1482"/>
      <c r="B2068" s="1482">
        <v>1</v>
      </c>
      <c r="C2068" s="1555">
        <f t="shared" si="320"/>
        <v>3</v>
      </c>
      <c r="D2068" s="1492">
        <f t="shared" si="321"/>
        <v>2</v>
      </c>
      <c r="E2068" s="1492"/>
      <c r="F2068" s="1484" t="s">
        <v>11724</v>
      </c>
      <c r="H2068" s="1510" t="str">
        <f>CONCATENATE(C2068,".",D2068)</f>
        <v>3.2</v>
      </c>
      <c r="I2068" s="1573" t="s">
        <v>13870</v>
      </c>
      <c r="J2068" s="1573"/>
      <c r="K2068" s="1573"/>
      <c r="L2068" s="1573" t="s">
        <v>25</v>
      </c>
      <c r="M2068" s="1574" t="s">
        <v>11704</v>
      </c>
      <c r="N2068" s="397" t="s">
        <v>11705</v>
      </c>
      <c r="O2068" s="99" t="s">
        <v>11706</v>
      </c>
      <c r="P2068" s="100">
        <f>SUBTOTAL(9,P2070:P2105)</f>
        <v>0</v>
      </c>
      <c r="Q2068" s="1472" t="s">
        <v>11704</v>
      </c>
    </row>
    <row r="2069" spans="1:17" ht="15.75" thickTop="1">
      <c r="A2069" s="1482"/>
      <c r="B2069" s="1482"/>
      <c r="C2069" s="1555">
        <f t="shared" si="320"/>
        <v>3</v>
      </c>
      <c r="D2069" s="1492">
        <f t="shared" si="321"/>
        <v>2</v>
      </c>
      <c r="F2069" s="1484" t="s">
        <v>11724</v>
      </c>
      <c r="H2069" s="1095"/>
      <c r="I2069" s="780"/>
      <c r="J2069" s="834"/>
      <c r="K2069" s="790"/>
      <c r="L2069" s="700"/>
      <c r="M2069" s="870"/>
      <c r="N2069" s="399"/>
      <c r="O2069" s="102"/>
      <c r="P2069" s="101"/>
    </row>
    <row r="2070" spans="1:17" ht="22.5">
      <c r="A2070" s="1482"/>
      <c r="B2070" s="1482"/>
      <c r="C2070" s="1555">
        <f t="shared" si="320"/>
        <v>3</v>
      </c>
      <c r="D2070" s="1492">
        <f t="shared" si="321"/>
        <v>2</v>
      </c>
      <c r="F2070" s="1484" t="s">
        <v>11724</v>
      </c>
      <c r="H2070" s="1095" t="s">
        <v>11722</v>
      </c>
      <c r="I2070" s="780" t="s">
        <v>11754</v>
      </c>
      <c r="J2070" s="834"/>
      <c r="K2070" s="790" t="s">
        <v>13424</v>
      </c>
      <c r="L2070" s="700" t="s">
        <v>10853</v>
      </c>
      <c r="M2070" s="870">
        <v>23</v>
      </c>
      <c r="N2070" s="399">
        <v>0</v>
      </c>
      <c r="O2070" s="102">
        <f t="shared" ref="O2070:O2105" si="322">ROUND(IF(F2070="Serviços",N2070*(1+$O$7),IF(F2070="Materiais",N2070*(1+$O$8))),2)</f>
        <v>0</v>
      </c>
      <c r="P2070" s="101">
        <f t="shared" ref="P2070:P2105" si="323">ROUND(M2070*O2070,2)</f>
        <v>0</v>
      </c>
      <c r="Q2070" s="1472">
        <v>23</v>
      </c>
    </row>
    <row r="2071" spans="1:17" ht="22.5">
      <c r="A2071" s="1482"/>
      <c r="B2071" s="1482"/>
      <c r="C2071" s="1555">
        <f t="shared" si="320"/>
        <v>3</v>
      </c>
      <c r="D2071" s="1492">
        <f t="shared" si="321"/>
        <v>2</v>
      </c>
      <c r="F2071" s="1484" t="s">
        <v>11724</v>
      </c>
      <c r="H2071" s="1095" t="s">
        <v>70</v>
      </c>
      <c r="I2071" s="780">
        <v>91942</v>
      </c>
      <c r="J2071" s="834"/>
      <c r="K2071" s="790" t="s">
        <v>13425</v>
      </c>
      <c r="L2071" s="700" t="s">
        <v>10853</v>
      </c>
      <c r="M2071" s="870">
        <v>1</v>
      </c>
      <c r="N2071" s="399">
        <v>0</v>
      </c>
      <c r="O2071" s="102">
        <f t="shared" si="322"/>
        <v>0</v>
      </c>
      <c r="P2071" s="101">
        <f t="shared" si="323"/>
        <v>0</v>
      </c>
      <c r="Q2071" s="1472">
        <v>1</v>
      </c>
    </row>
    <row r="2072" spans="1:17" ht="22.5">
      <c r="A2072" s="1482"/>
      <c r="B2072" s="1482"/>
      <c r="C2072" s="1555">
        <f t="shared" si="320"/>
        <v>3</v>
      </c>
      <c r="D2072" s="1492">
        <f t="shared" si="321"/>
        <v>2</v>
      </c>
      <c r="F2072" s="1484" t="s">
        <v>11724</v>
      </c>
      <c r="H2072" s="1095" t="s">
        <v>70</v>
      </c>
      <c r="I2072" s="780">
        <v>92865</v>
      </c>
      <c r="J2072" s="834"/>
      <c r="K2072" s="790" t="s">
        <v>13426</v>
      </c>
      <c r="L2072" s="700" t="s">
        <v>10853</v>
      </c>
      <c r="M2072" s="870">
        <v>7</v>
      </c>
      <c r="N2072" s="399">
        <v>0</v>
      </c>
      <c r="O2072" s="102">
        <f t="shared" si="322"/>
        <v>0</v>
      </c>
      <c r="P2072" s="101">
        <f t="shared" si="323"/>
        <v>0</v>
      </c>
      <c r="Q2072" s="1472">
        <v>7</v>
      </c>
    </row>
    <row r="2073" spans="1:17" ht="22.5">
      <c r="A2073" s="1482"/>
      <c r="B2073" s="1482"/>
      <c r="C2073" s="1555">
        <f t="shared" si="320"/>
        <v>3</v>
      </c>
      <c r="D2073" s="1492">
        <f t="shared" si="321"/>
        <v>2</v>
      </c>
      <c r="F2073" s="1484" t="s">
        <v>11724</v>
      </c>
      <c r="H2073" s="1095" t="s">
        <v>70</v>
      </c>
      <c r="I2073" s="780">
        <v>93057</v>
      </c>
      <c r="J2073" s="834"/>
      <c r="K2073" s="790" t="s">
        <v>13427</v>
      </c>
      <c r="L2073" s="700" t="s">
        <v>10853</v>
      </c>
      <c r="M2073" s="870">
        <v>4</v>
      </c>
      <c r="N2073" s="399">
        <v>0</v>
      </c>
      <c r="O2073" s="102">
        <f t="shared" si="322"/>
        <v>0</v>
      </c>
      <c r="P2073" s="101">
        <f t="shared" si="323"/>
        <v>0</v>
      </c>
      <c r="Q2073" s="1472">
        <v>4</v>
      </c>
    </row>
    <row r="2074" spans="1:17" ht="22.5">
      <c r="A2074" s="1482"/>
      <c r="B2074" s="1482"/>
      <c r="C2074" s="1555">
        <f t="shared" si="320"/>
        <v>3</v>
      </c>
      <c r="D2074" s="1492">
        <f t="shared" si="321"/>
        <v>2</v>
      </c>
      <c r="F2074" s="1484" t="s">
        <v>11724</v>
      </c>
      <c r="H2074" s="1095" t="s">
        <v>70</v>
      </c>
      <c r="I2074" s="780">
        <v>93062</v>
      </c>
      <c r="J2074" s="834"/>
      <c r="K2074" s="790" t="s">
        <v>13428</v>
      </c>
      <c r="L2074" s="700" t="s">
        <v>10853</v>
      </c>
      <c r="M2074" s="870">
        <v>3</v>
      </c>
      <c r="N2074" s="399">
        <v>0</v>
      </c>
      <c r="O2074" s="102">
        <f t="shared" si="322"/>
        <v>0</v>
      </c>
      <c r="P2074" s="101">
        <f t="shared" si="323"/>
        <v>0</v>
      </c>
      <c r="Q2074" s="1472">
        <v>3</v>
      </c>
    </row>
    <row r="2075" spans="1:17" ht="22.5">
      <c r="A2075" s="1482"/>
      <c r="B2075" s="1482"/>
      <c r="C2075" s="1555">
        <f t="shared" si="320"/>
        <v>3</v>
      </c>
      <c r="D2075" s="1492">
        <f t="shared" si="321"/>
        <v>2</v>
      </c>
      <c r="F2075" s="1484" t="s">
        <v>11724</v>
      </c>
      <c r="H2075" s="1095" t="s">
        <v>70</v>
      </c>
      <c r="I2075" s="780">
        <v>93068</v>
      </c>
      <c r="J2075" s="834"/>
      <c r="K2075" s="790" t="s">
        <v>13429</v>
      </c>
      <c r="L2075" s="700" t="s">
        <v>10853</v>
      </c>
      <c r="M2075" s="870">
        <v>1</v>
      </c>
      <c r="N2075" s="399">
        <v>0</v>
      </c>
      <c r="O2075" s="102">
        <f t="shared" si="322"/>
        <v>0</v>
      </c>
      <c r="P2075" s="101">
        <f t="shared" si="323"/>
        <v>0</v>
      </c>
      <c r="Q2075" s="1472">
        <v>1</v>
      </c>
    </row>
    <row r="2076" spans="1:17" ht="56.25">
      <c r="A2076" s="1482"/>
      <c r="B2076" s="1482"/>
      <c r="C2076" s="1555">
        <f t="shared" si="320"/>
        <v>3</v>
      </c>
      <c r="D2076" s="1492">
        <f t="shared" si="321"/>
        <v>2</v>
      </c>
      <c r="F2076" s="1484" t="s">
        <v>11724</v>
      </c>
      <c r="H2076" s="1095" t="s">
        <v>11722</v>
      </c>
      <c r="I2076" s="780" t="s">
        <v>11755</v>
      </c>
      <c r="J2076" s="834"/>
      <c r="K2076" s="790" t="s">
        <v>13430</v>
      </c>
      <c r="L2076" s="700" t="s">
        <v>10853</v>
      </c>
      <c r="M2076" s="870">
        <v>1</v>
      </c>
      <c r="N2076" s="399">
        <v>0</v>
      </c>
      <c r="O2076" s="102">
        <f t="shared" si="322"/>
        <v>0</v>
      </c>
      <c r="P2076" s="101">
        <f t="shared" si="323"/>
        <v>0</v>
      </c>
      <c r="Q2076" s="1472">
        <v>1</v>
      </c>
    </row>
    <row r="2077" spans="1:17" ht="78.75">
      <c r="A2077" s="1482"/>
      <c r="B2077" s="1482"/>
      <c r="C2077" s="1555">
        <f t="shared" si="320"/>
        <v>3</v>
      </c>
      <c r="D2077" s="1492">
        <f t="shared" si="321"/>
        <v>2</v>
      </c>
      <c r="F2077" s="1484" t="s">
        <v>11724</v>
      </c>
      <c r="H2077" s="1095" t="s">
        <v>11722</v>
      </c>
      <c r="I2077" s="780" t="s">
        <v>11756</v>
      </c>
      <c r="J2077" s="834"/>
      <c r="K2077" s="790" t="s">
        <v>13431</v>
      </c>
      <c r="L2077" s="700" t="s">
        <v>10853</v>
      </c>
      <c r="M2077" s="870">
        <v>1</v>
      </c>
      <c r="N2077" s="399">
        <v>0</v>
      </c>
      <c r="O2077" s="102">
        <f t="shared" si="322"/>
        <v>0</v>
      </c>
      <c r="P2077" s="101">
        <f t="shared" si="323"/>
        <v>0</v>
      </c>
      <c r="Q2077" s="1472">
        <v>1</v>
      </c>
    </row>
    <row r="2078" spans="1:17">
      <c r="A2078" s="1482"/>
      <c r="B2078" s="1482"/>
      <c r="C2078" s="1555">
        <f t="shared" si="320"/>
        <v>3</v>
      </c>
      <c r="D2078" s="1492">
        <f t="shared" si="321"/>
        <v>2</v>
      </c>
      <c r="F2078" s="1484" t="s">
        <v>11724</v>
      </c>
      <c r="H2078" s="1095" t="s">
        <v>70</v>
      </c>
      <c r="I2078" s="780">
        <v>2394</v>
      </c>
      <c r="J2078" s="834"/>
      <c r="K2078" s="790" t="s">
        <v>13432</v>
      </c>
      <c r="L2078" s="700" t="s">
        <v>10854</v>
      </c>
      <c r="M2078" s="870">
        <v>1</v>
      </c>
      <c r="N2078" s="399">
        <v>0</v>
      </c>
      <c r="O2078" s="102">
        <f t="shared" si="322"/>
        <v>0</v>
      </c>
      <c r="P2078" s="101">
        <f t="shared" si="323"/>
        <v>0</v>
      </c>
      <c r="Q2078" s="1472">
        <v>1</v>
      </c>
    </row>
    <row r="2079" spans="1:17">
      <c r="A2079" s="1482"/>
      <c r="B2079" s="1482"/>
      <c r="C2079" s="1555">
        <f t="shared" si="320"/>
        <v>3</v>
      </c>
      <c r="D2079" s="1492">
        <f t="shared" si="321"/>
        <v>2</v>
      </c>
      <c r="F2079" s="1484" t="s">
        <v>11724</v>
      </c>
      <c r="H2079" s="1095" t="s">
        <v>70</v>
      </c>
      <c r="I2079" s="780">
        <v>2376</v>
      </c>
      <c r="J2079" s="834"/>
      <c r="K2079" s="790" t="s">
        <v>13433</v>
      </c>
      <c r="L2079" s="700" t="s">
        <v>10854</v>
      </c>
      <c r="M2079" s="870">
        <v>1</v>
      </c>
      <c r="N2079" s="399">
        <v>0</v>
      </c>
      <c r="O2079" s="102">
        <f t="shared" si="322"/>
        <v>0</v>
      </c>
      <c r="P2079" s="101">
        <f t="shared" si="323"/>
        <v>0</v>
      </c>
      <c r="Q2079" s="1472">
        <v>1</v>
      </c>
    </row>
    <row r="2080" spans="1:17">
      <c r="A2080" s="1482"/>
      <c r="B2080" s="1482"/>
      <c r="C2080" s="1555">
        <f t="shared" si="320"/>
        <v>3</v>
      </c>
      <c r="D2080" s="1492">
        <f t="shared" si="321"/>
        <v>2</v>
      </c>
      <c r="F2080" s="1484" t="s">
        <v>11724</v>
      </c>
      <c r="H2080" s="1095" t="s">
        <v>70</v>
      </c>
      <c r="I2080" s="780">
        <v>2391</v>
      </c>
      <c r="J2080" s="834"/>
      <c r="K2080" s="790" t="s">
        <v>13434</v>
      </c>
      <c r="L2080" s="700" t="s">
        <v>10854</v>
      </c>
      <c r="M2080" s="870">
        <v>1</v>
      </c>
      <c r="N2080" s="399">
        <v>0</v>
      </c>
      <c r="O2080" s="102">
        <f t="shared" si="322"/>
        <v>0</v>
      </c>
      <c r="P2080" s="101">
        <f t="shared" si="323"/>
        <v>0</v>
      </c>
      <c r="Q2080" s="1472">
        <v>1</v>
      </c>
    </row>
    <row r="2081" spans="1:17">
      <c r="A2081" s="1482"/>
      <c r="B2081" s="1482"/>
      <c r="C2081" s="1555">
        <f t="shared" si="320"/>
        <v>3</v>
      </c>
      <c r="D2081" s="1492">
        <f t="shared" si="321"/>
        <v>2</v>
      </c>
      <c r="F2081" s="1484" t="s">
        <v>11724</v>
      </c>
      <c r="H2081" s="1095" t="s">
        <v>70</v>
      </c>
      <c r="I2081" s="780">
        <v>34714</v>
      </c>
      <c r="J2081" s="834"/>
      <c r="K2081" s="790" t="s">
        <v>13435</v>
      </c>
      <c r="L2081" s="700" t="s">
        <v>10854</v>
      </c>
      <c r="M2081" s="870">
        <v>1</v>
      </c>
      <c r="N2081" s="399">
        <v>0</v>
      </c>
      <c r="O2081" s="102">
        <f t="shared" si="322"/>
        <v>0</v>
      </c>
      <c r="P2081" s="101">
        <f t="shared" si="323"/>
        <v>0</v>
      </c>
      <c r="Q2081" s="1472">
        <v>1</v>
      </c>
    </row>
    <row r="2082" spans="1:17">
      <c r="A2082" s="1482"/>
      <c r="B2082" s="1482"/>
      <c r="C2082" s="1555">
        <f t="shared" si="320"/>
        <v>3</v>
      </c>
      <c r="D2082" s="1492">
        <f t="shared" si="321"/>
        <v>2</v>
      </c>
      <c r="F2082" s="1484" t="s">
        <v>11724</v>
      </c>
      <c r="H2082" s="1095" t="s">
        <v>70</v>
      </c>
      <c r="I2082" s="780">
        <v>93672</v>
      </c>
      <c r="J2082" s="834"/>
      <c r="K2082" s="790" t="s">
        <v>13436</v>
      </c>
      <c r="L2082" s="700" t="s">
        <v>10854</v>
      </c>
      <c r="M2082" s="870">
        <v>1</v>
      </c>
      <c r="N2082" s="399">
        <v>0</v>
      </c>
      <c r="O2082" s="102">
        <f t="shared" si="322"/>
        <v>0</v>
      </c>
      <c r="P2082" s="101">
        <f t="shared" si="323"/>
        <v>0</v>
      </c>
      <c r="Q2082" s="1472">
        <v>1</v>
      </c>
    </row>
    <row r="2083" spans="1:17">
      <c r="A2083" s="1482"/>
      <c r="B2083" s="1482"/>
      <c r="C2083" s="1555">
        <f t="shared" si="320"/>
        <v>3</v>
      </c>
      <c r="D2083" s="1492">
        <f t="shared" si="321"/>
        <v>2</v>
      </c>
      <c r="F2083" s="1484" t="s">
        <v>11724</v>
      </c>
      <c r="H2083" s="1095" t="s">
        <v>70</v>
      </c>
      <c r="I2083" s="780">
        <v>93671</v>
      </c>
      <c r="J2083" s="834"/>
      <c r="K2083" s="790" t="s">
        <v>13437</v>
      </c>
      <c r="L2083" s="700" t="s">
        <v>10854</v>
      </c>
      <c r="M2083" s="870">
        <v>2</v>
      </c>
      <c r="N2083" s="399">
        <v>0</v>
      </c>
      <c r="O2083" s="102">
        <f t="shared" si="322"/>
        <v>0</v>
      </c>
      <c r="P2083" s="101">
        <f t="shared" si="323"/>
        <v>0</v>
      </c>
      <c r="Q2083" s="1472">
        <v>2</v>
      </c>
    </row>
    <row r="2084" spans="1:17">
      <c r="A2084" s="1482"/>
      <c r="B2084" s="1482"/>
      <c r="C2084" s="1555">
        <f t="shared" si="320"/>
        <v>3</v>
      </c>
      <c r="D2084" s="1492">
        <f t="shared" si="321"/>
        <v>2</v>
      </c>
      <c r="F2084" s="1484" t="s">
        <v>11724</v>
      </c>
      <c r="H2084" s="1095" t="s">
        <v>70</v>
      </c>
      <c r="I2084" s="780">
        <v>93669</v>
      </c>
      <c r="J2084" s="834"/>
      <c r="K2084" s="790" t="s">
        <v>13438</v>
      </c>
      <c r="L2084" s="700" t="s">
        <v>10854</v>
      </c>
      <c r="M2084" s="870">
        <v>3</v>
      </c>
      <c r="N2084" s="399">
        <v>0</v>
      </c>
      <c r="O2084" s="102">
        <f t="shared" si="322"/>
        <v>0</v>
      </c>
      <c r="P2084" s="101">
        <f t="shared" si="323"/>
        <v>0</v>
      </c>
      <c r="Q2084" s="1472">
        <v>3</v>
      </c>
    </row>
    <row r="2085" spans="1:17">
      <c r="A2085" s="1482"/>
      <c r="B2085" s="1482"/>
      <c r="C2085" s="1555">
        <f t="shared" si="320"/>
        <v>3</v>
      </c>
      <c r="D2085" s="1492">
        <f t="shared" si="321"/>
        <v>2</v>
      </c>
      <c r="F2085" s="1484" t="s">
        <v>11724</v>
      </c>
      <c r="H2085" s="1095" t="s">
        <v>70</v>
      </c>
      <c r="I2085" s="780">
        <v>93655</v>
      </c>
      <c r="J2085" s="834"/>
      <c r="K2085" s="790" t="s">
        <v>13439</v>
      </c>
      <c r="L2085" s="700" t="s">
        <v>10854</v>
      </c>
      <c r="M2085" s="870">
        <v>6</v>
      </c>
      <c r="N2085" s="399">
        <v>0</v>
      </c>
      <c r="O2085" s="102">
        <f t="shared" si="322"/>
        <v>0</v>
      </c>
      <c r="P2085" s="101">
        <f t="shared" si="323"/>
        <v>0</v>
      </c>
      <c r="Q2085" s="1472">
        <v>6</v>
      </c>
    </row>
    <row r="2086" spans="1:17">
      <c r="A2086" s="1482"/>
      <c r="B2086" s="1482"/>
      <c r="C2086" s="1555">
        <f t="shared" si="320"/>
        <v>3</v>
      </c>
      <c r="D2086" s="1492">
        <f t="shared" si="321"/>
        <v>2</v>
      </c>
      <c r="F2086" s="1484" t="s">
        <v>11724</v>
      </c>
      <c r="H2086" s="1095" t="s">
        <v>70</v>
      </c>
      <c r="I2086" s="780">
        <v>93668</v>
      </c>
      <c r="J2086" s="834"/>
      <c r="K2086" s="790" t="s">
        <v>13440</v>
      </c>
      <c r="L2086" s="700" t="s">
        <v>10854</v>
      </c>
      <c r="M2086" s="870">
        <v>1</v>
      </c>
      <c r="N2086" s="399">
        <v>0</v>
      </c>
      <c r="O2086" s="102">
        <f t="shared" si="322"/>
        <v>0</v>
      </c>
      <c r="P2086" s="101">
        <f t="shared" si="323"/>
        <v>0</v>
      </c>
      <c r="Q2086" s="1472">
        <v>1</v>
      </c>
    </row>
    <row r="2087" spans="1:17">
      <c r="A2087" s="1482"/>
      <c r="B2087" s="1482"/>
      <c r="C2087" s="1555">
        <f t="shared" si="320"/>
        <v>3</v>
      </c>
      <c r="D2087" s="1492">
        <f t="shared" si="321"/>
        <v>2</v>
      </c>
      <c r="F2087" s="1484" t="s">
        <v>11724</v>
      </c>
      <c r="H2087" s="1095" t="s">
        <v>70</v>
      </c>
      <c r="I2087" s="780">
        <v>93654</v>
      </c>
      <c r="J2087" s="834"/>
      <c r="K2087" s="790" t="s">
        <v>13441</v>
      </c>
      <c r="L2087" s="700" t="s">
        <v>10854</v>
      </c>
      <c r="M2087" s="870">
        <v>1</v>
      </c>
      <c r="N2087" s="399">
        <v>0</v>
      </c>
      <c r="O2087" s="102">
        <f t="shared" si="322"/>
        <v>0</v>
      </c>
      <c r="P2087" s="101">
        <f t="shared" si="323"/>
        <v>0</v>
      </c>
      <c r="Q2087" s="1472">
        <v>1</v>
      </c>
    </row>
    <row r="2088" spans="1:17" ht="22.5">
      <c r="A2088" s="1482"/>
      <c r="B2088" s="1482"/>
      <c r="C2088" s="1555">
        <f t="shared" si="320"/>
        <v>3</v>
      </c>
      <c r="D2088" s="1492">
        <f t="shared" si="321"/>
        <v>2</v>
      </c>
      <c r="F2088" s="1484" t="s">
        <v>11724</v>
      </c>
      <c r="H2088" s="1095" t="s">
        <v>70</v>
      </c>
      <c r="I2088" s="780">
        <v>91867</v>
      </c>
      <c r="J2088" s="834"/>
      <c r="K2088" s="790" t="s">
        <v>14648</v>
      </c>
      <c r="L2088" s="700" t="s">
        <v>18</v>
      </c>
      <c r="M2088" s="870">
        <v>30</v>
      </c>
      <c r="N2088" s="399">
        <v>0</v>
      </c>
      <c r="O2088" s="102">
        <f t="shared" si="322"/>
        <v>0</v>
      </c>
      <c r="P2088" s="101">
        <f t="shared" si="323"/>
        <v>0</v>
      </c>
      <c r="Q2088" s="1472">
        <v>30</v>
      </c>
    </row>
    <row r="2089" spans="1:17" ht="22.5">
      <c r="A2089" s="1482"/>
      <c r="B2089" s="1482"/>
      <c r="C2089" s="1555">
        <f t="shared" si="320"/>
        <v>3</v>
      </c>
      <c r="D2089" s="1492">
        <f t="shared" si="321"/>
        <v>2</v>
      </c>
      <c r="F2089" s="1484" t="s">
        <v>11724</v>
      </c>
      <c r="H2089" s="1095" t="s">
        <v>70</v>
      </c>
      <c r="I2089" s="780">
        <v>91868</v>
      </c>
      <c r="J2089" s="834"/>
      <c r="K2089" s="790" t="s">
        <v>14649</v>
      </c>
      <c r="L2089" s="700" t="s">
        <v>18</v>
      </c>
      <c r="M2089" s="870">
        <v>12</v>
      </c>
      <c r="N2089" s="399">
        <v>0</v>
      </c>
      <c r="O2089" s="102">
        <f t="shared" si="322"/>
        <v>0</v>
      </c>
      <c r="P2089" s="101">
        <f t="shared" si="323"/>
        <v>0</v>
      </c>
      <c r="Q2089" s="1472">
        <v>12</v>
      </c>
    </row>
    <row r="2090" spans="1:17" ht="22.5">
      <c r="A2090" s="1482"/>
      <c r="B2090" s="1482"/>
      <c r="C2090" s="1555">
        <f t="shared" si="320"/>
        <v>3</v>
      </c>
      <c r="D2090" s="1492">
        <f t="shared" si="321"/>
        <v>2</v>
      </c>
      <c r="F2090" s="1484" t="s">
        <v>11724</v>
      </c>
      <c r="H2090" s="1095" t="s">
        <v>70</v>
      </c>
      <c r="I2090" s="780">
        <v>93008</v>
      </c>
      <c r="J2090" s="834"/>
      <c r="K2090" s="790" t="s">
        <v>14650</v>
      </c>
      <c r="L2090" s="700" t="s">
        <v>18</v>
      </c>
      <c r="M2090" s="870">
        <v>6</v>
      </c>
      <c r="N2090" s="399">
        <v>0</v>
      </c>
      <c r="O2090" s="102">
        <f t="shared" si="322"/>
        <v>0</v>
      </c>
      <c r="P2090" s="101">
        <f t="shared" si="323"/>
        <v>0</v>
      </c>
      <c r="Q2090" s="1472">
        <v>6</v>
      </c>
    </row>
    <row r="2091" spans="1:17" ht="33.75">
      <c r="A2091" s="1482"/>
      <c r="B2091" s="1482"/>
      <c r="C2091" s="1555">
        <f t="shared" si="320"/>
        <v>3</v>
      </c>
      <c r="D2091" s="1492">
        <f t="shared" si="321"/>
        <v>2</v>
      </c>
      <c r="F2091" s="1484" t="s">
        <v>11724</v>
      </c>
      <c r="H2091" s="1095" t="s">
        <v>70</v>
      </c>
      <c r="I2091" s="780">
        <v>939</v>
      </c>
      <c r="J2091" s="834"/>
      <c r="K2091" s="790" t="s">
        <v>13442</v>
      </c>
      <c r="L2091" s="700" t="s">
        <v>13443</v>
      </c>
      <c r="M2091" s="870">
        <v>1</v>
      </c>
      <c r="N2091" s="399">
        <v>0</v>
      </c>
      <c r="O2091" s="102">
        <f t="shared" si="322"/>
        <v>0</v>
      </c>
      <c r="P2091" s="101">
        <f t="shared" si="323"/>
        <v>0</v>
      </c>
      <c r="Q2091" s="1472">
        <v>1</v>
      </c>
    </row>
    <row r="2092" spans="1:17" ht="33.75">
      <c r="A2092" s="1482"/>
      <c r="B2092" s="1482"/>
      <c r="C2092" s="1555">
        <f t="shared" si="320"/>
        <v>3</v>
      </c>
      <c r="D2092" s="1492">
        <f t="shared" si="321"/>
        <v>2</v>
      </c>
      <c r="F2092" s="1484" t="s">
        <v>11724</v>
      </c>
      <c r="H2092" s="1095" t="s">
        <v>70</v>
      </c>
      <c r="I2092" s="780">
        <v>939</v>
      </c>
      <c r="J2092" s="834"/>
      <c r="K2092" s="790" t="s">
        <v>13444</v>
      </c>
      <c r="L2092" s="700" t="s">
        <v>13443</v>
      </c>
      <c r="M2092" s="870">
        <v>1</v>
      </c>
      <c r="N2092" s="399">
        <v>0</v>
      </c>
      <c r="O2092" s="102">
        <f t="shared" si="322"/>
        <v>0</v>
      </c>
      <c r="P2092" s="101">
        <f t="shared" si="323"/>
        <v>0</v>
      </c>
      <c r="Q2092" s="1472">
        <v>1</v>
      </c>
    </row>
    <row r="2093" spans="1:17" ht="33.75">
      <c r="A2093" s="1482"/>
      <c r="B2093" s="1482"/>
      <c r="C2093" s="1555">
        <f t="shared" si="320"/>
        <v>3</v>
      </c>
      <c r="D2093" s="1492">
        <f t="shared" si="321"/>
        <v>2</v>
      </c>
      <c r="F2093" s="1484" t="s">
        <v>11724</v>
      </c>
      <c r="H2093" s="1095" t="s">
        <v>70</v>
      </c>
      <c r="I2093" s="780">
        <v>939</v>
      </c>
      <c r="J2093" s="834"/>
      <c r="K2093" s="790" t="s">
        <v>13445</v>
      </c>
      <c r="L2093" s="700" t="s">
        <v>13443</v>
      </c>
      <c r="M2093" s="870">
        <v>1</v>
      </c>
      <c r="N2093" s="399">
        <v>0</v>
      </c>
      <c r="O2093" s="102">
        <f t="shared" si="322"/>
        <v>0</v>
      </c>
      <c r="P2093" s="101">
        <f t="shared" si="323"/>
        <v>0</v>
      </c>
      <c r="Q2093" s="1472">
        <v>1</v>
      </c>
    </row>
    <row r="2094" spans="1:17" ht="33.75">
      <c r="A2094" s="1482"/>
      <c r="B2094" s="1482"/>
      <c r="C2094" s="1555">
        <f t="shared" si="320"/>
        <v>3</v>
      </c>
      <c r="D2094" s="1492">
        <f t="shared" si="321"/>
        <v>2</v>
      </c>
      <c r="F2094" s="1484" t="s">
        <v>11724</v>
      </c>
      <c r="H2094" s="1095" t="s">
        <v>70</v>
      </c>
      <c r="I2094" s="780">
        <v>939</v>
      </c>
      <c r="J2094" s="834"/>
      <c r="K2094" s="790" t="s">
        <v>13446</v>
      </c>
      <c r="L2094" s="780" t="s">
        <v>13443</v>
      </c>
      <c r="M2094" s="1270">
        <v>1</v>
      </c>
      <c r="N2094" s="399">
        <v>0</v>
      </c>
      <c r="O2094" s="102">
        <f t="shared" si="322"/>
        <v>0</v>
      </c>
      <c r="P2094" s="101">
        <f t="shared" si="323"/>
        <v>0</v>
      </c>
      <c r="Q2094" s="1472">
        <v>1</v>
      </c>
    </row>
    <row r="2095" spans="1:17" ht="33.75">
      <c r="A2095" s="1482"/>
      <c r="B2095" s="1482"/>
      <c r="C2095" s="1555">
        <f t="shared" si="320"/>
        <v>3</v>
      </c>
      <c r="D2095" s="1492">
        <f t="shared" si="321"/>
        <v>2</v>
      </c>
      <c r="F2095" s="1484" t="s">
        <v>11724</v>
      </c>
      <c r="H2095" s="1095" t="s">
        <v>70</v>
      </c>
      <c r="I2095" s="780">
        <v>944</v>
      </c>
      <c r="J2095" s="834"/>
      <c r="K2095" s="790" t="s">
        <v>13447</v>
      </c>
      <c r="L2095" s="780" t="s">
        <v>18</v>
      </c>
      <c r="M2095" s="1270">
        <v>18</v>
      </c>
      <c r="N2095" s="399">
        <v>0</v>
      </c>
      <c r="O2095" s="102">
        <f t="shared" si="322"/>
        <v>0</v>
      </c>
      <c r="P2095" s="101">
        <f t="shared" si="323"/>
        <v>0</v>
      </c>
      <c r="Q2095" s="1472">
        <v>18</v>
      </c>
    </row>
    <row r="2096" spans="1:17" ht="33.75">
      <c r="A2096" s="1482"/>
      <c r="B2096" s="1482"/>
      <c r="C2096" s="1555">
        <f t="shared" si="320"/>
        <v>3</v>
      </c>
      <c r="D2096" s="1492">
        <f t="shared" si="321"/>
        <v>2</v>
      </c>
      <c r="F2096" s="1484" t="s">
        <v>11724</v>
      </c>
      <c r="H2096" s="1095" t="s">
        <v>70</v>
      </c>
      <c r="I2096" s="780">
        <v>944</v>
      </c>
      <c r="J2096" s="834"/>
      <c r="K2096" s="790" t="s">
        <v>13448</v>
      </c>
      <c r="L2096" s="780" t="s">
        <v>18</v>
      </c>
      <c r="M2096" s="1270">
        <v>18</v>
      </c>
      <c r="N2096" s="399">
        <v>0</v>
      </c>
      <c r="O2096" s="102">
        <f t="shared" si="322"/>
        <v>0</v>
      </c>
      <c r="P2096" s="101">
        <f t="shared" si="323"/>
        <v>0</v>
      </c>
      <c r="Q2096" s="1472">
        <v>18</v>
      </c>
    </row>
    <row r="2097" spans="1:17" ht="33.75">
      <c r="A2097" s="1482"/>
      <c r="B2097" s="1482"/>
      <c r="C2097" s="1555">
        <f t="shared" si="320"/>
        <v>3</v>
      </c>
      <c r="D2097" s="1492">
        <f t="shared" si="321"/>
        <v>2</v>
      </c>
      <c r="F2097" s="1484" t="s">
        <v>11724</v>
      </c>
      <c r="H2097" s="1095" t="s">
        <v>70</v>
      </c>
      <c r="I2097" s="780">
        <v>944</v>
      </c>
      <c r="J2097" s="834"/>
      <c r="K2097" s="790" t="s">
        <v>13449</v>
      </c>
      <c r="L2097" s="780" t="s">
        <v>18</v>
      </c>
      <c r="M2097" s="1270">
        <v>18</v>
      </c>
      <c r="N2097" s="399">
        <v>0</v>
      </c>
      <c r="O2097" s="102">
        <f t="shared" si="322"/>
        <v>0</v>
      </c>
      <c r="P2097" s="101">
        <f t="shared" si="323"/>
        <v>0</v>
      </c>
      <c r="Q2097" s="1472">
        <v>18</v>
      </c>
    </row>
    <row r="2098" spans="1:17" ht="45">
      <c r="A2098" s="1482"/>
      <c r="B2098" s="1482"/>
      <c r="C2098" s="1555">
        <f t="shared" si="320"/>
        <v>3</v>
      </c>
      <c r="D2098" s="1492">
        <f t="shared" si="321"/>
        <v>2</v>
      </c>
      <c r="F2098" s="1484" t="s">
        <v>11724</v>
      </c>
      <c r="H2098" s="1095" t="s">
        <v>70</v>
      </c>
      <c r="I2098" s="780">
        <v>91933</v>
      </c>
      <c r="J2098" s="834"/>
      <c r="K2098" s="790" t="s">
        <v>13450</v>
      </c>
      <c r="L2098" s="780" t="s">
        <v>18</v>
      </c>
      <c r="M2098" s="1270">
        <v>20</v>
      </c>
      <c r="N2098" s="399">
        <v>0</v>
      </c>
      <c r="O2098" s="102">
        <f t="shared" si="322"/>
        <v>0</v>
      </c>
      <c r="P2098" s="101">
        <f t="shared" si="323"/>
        <v>0</v>
      </c>
      <c r="Q2098" s="1472">
        <v>20</v>
      </c>
    </row>
    <row r="2099" spans="1:17" ht="33.75">
      <c r="A2099" s="1482"/>
      <c r="B2099" s="1482"/>
      <c r="C2099" s="1555">
        <f t="shared" si="320"/>
        <v>3</v>
      </c>
      <c r="D2099" s="1492">
        <f t="shared" si="321"/>
        <v>2</v>
      </c>
      <c r="F2099" s="1484" t="s">
        <v>11724</v>
      </c>
      <c r="H2099" s="1095" t="s">
        <v>11722</v>
      </c>
      <c r="I2099" s="780" t="s">
        <v>13451</v>
      </c>
      <c r="J2099" s="834"/>
      <c r="K2099" s="790" t="s">
        <v>13452</v>
      </c>
      <c r="L2099" s="780" t="s">
        <v>10853</v>
      </c>
      <c r="M2099" s="1270">
        <v>5</v>
      </c>
      <c r="N2099" s="399">
        <v>0</v>
      </c>
      <c r="O2099" s="102">
        <f t="shared" si="322"/>
        <v>0</v>
      </c>
      <c r="P2099" s="101">
        <f t="shared" si="323"/>
        <v>0</v>
      </c>
      <c r="Q2099" s="1472">
        <v>5</v>
      </c>
    </row>
    <row r="2100" spans="1:17" ht="33.75">
      <c r="A2100" s="1482"/>
      <c r="B2100" s="1482"/>
      <c r="C2100" s="1555">
        <f t="shared" si="320"/>
        <v>3</v>
      </c>
      <c r="D2100" s="1492">
        <f t="shared" si="321"/>
        <v>2</v>
      </c>
      <c r="F2100" s="1484" t="s">
        <v>11724</v>
      </c>
      <c r="H2100" s="1095" t="s">
        <v>11722</v>
      </c>
      <c r="I2100" s="780" t="s">
        <v>13453</v>
      </c>
      <c r="J2100" s="834"/>
      <c r="K2100" s="790" t="s">
        <v>13454</v>
      </c>
      <c r="L2100" s="780" t="s">
        <v>10853</v>
      </c>
      <c r="M2100" s="1270">
        <v>15</v>
      </c>
      <c r="N2100" s="399">
        <v>0</v>
      </c>
      <c r="O2100" s="102">
        <f t="shared" si="322"/>
        <v>0</v>
      </c>
      <c r="P2100" s="101">
        <f t="shared" si="323"/>
        <v>0</v>
      </c>
      <c r="Q2100" s="1472">
        <v>15</v>
      </c>
    </row>
    <row r="2101" spans="1:17" ht="33.75">
      <c r="A2101" s="1482"/>
      <c r="B2101" s="1482"/>
      <c r="C2101" s="1555">
        <f t="shared" si="320"/>
        <v>3</v>
      </c>
      <c r="D2101" s="1492">
        <f t="shared" si="321"/>
        <v>2</v>
      </c>
      <c r="F2101" s="1484" t="s">
        <v>11724</v>
      </c>
      <c r="H2101" s="1095" t="s">
        <v>70</v>
      </c>
      <c r="I2101" s="780">
        <v>38075</v>
      </c>
      <c r="J2101" s="834"/>
      <c r="K2101" s="790" t="s">
        <v>13455</v>
      </c>
      <c r="L2101" s="780" t="s">
        <v>10853</v>
      </c>
      <c r="M2101" s="1270">
        <v>1</v>
      </c>
      <c r="N2101" s="399">
        <v>0</v>
      </c>
      <c r="O2101" s="102">
        <f t="shared" si="322"/>
        <v>0</v>
      </c>
      <c r="P2101" s="101">
        <f t="shared" si="323"/>
        <v>0</v>
      </c>
      <c r="Q2101" s="1472">
        <v>1</v>
      </c>
    </row>
    <row r="2102" spans="1:17" ht="22.5">
      <c r="A2102" s="1482"/>
      <c r="B2102" s="1482"/>
      <c r="C2102" s="1555">
        <f t="shared" si="320"/>
        <v>3</v>
      </c>
      <c r="D2102" s="1492">
        <f t="shared" si="321"/>
        <v>2</v>
      </c>
      <c r="F2102" s="1484" t="s">
        <v>11724</v>
      </c>
      <c r="H2102" s="1095" t="s">
        <v>70</v>
      </c>
      <c r="I2102" s="780" t="s">
        <v>16907</v>
      </c>
      <c r="J2102" s="834"/>
      <c r="K2102" s="790" t="s">
        <v>13456</v>
      </c>
      <c r="L2102" s="780" t="s">
        <v>10853</v>
      </c>
      <c r="M2102" s="1270">
        <v>2</v>
      </c>
      <c r="N2102" s="399">
        <v>0</v>
      </c>
      <c r="O2102" s="102">
        <f t="shared" si="322"/>
        <v>0</v>
      </c>
      <c r="P2102" s="101">
        <f t="shared" si="323"/>
        <v>0</v>
      </c>
      <c r="Q2102" s="1472">
        <v>2</v>
      </c>
    </row>
    <row r="2103" spans="1:17" ht="22.5">
      <c r="A2103" s="1482"/>
      <c r="B2103" s="1482"/>
      <c r="C2103" s="1555">
        <f t="shared" si="320"/>
        <v>3</v>
      </c>
      <c r="D2103" s="1492">
        <f t="shared" si="321"/>
        <v>2</v>
      </c>
      <c r="F2103" s="1484" t="s">
        <v>11724</v>
      </c>
      <c r="H2103" s="1095" t="s">
        <v>70</v>
      </c>
      <c r="I2103" s="780">
        <v>1062</v>
      </c>
      <c r="J2103" s="834"/>
      <c r="K2103" s="790" t="s">
        <v>13457</v>
      </c>
      <c r="L2103" s="780" t="s">
        <v>10853</v>
      </c>
      <c r="M2103" s="1270">
        <v>1</v>
      </c>
      <c r="N2103" s="399">
        <v>0</v>
      </c>
      <c r="O2103" s="102">
        <f t="shared" si="322"/>
        <v>0</v>
      </c>
      <c r="P2103" s="101">
        <f t="shared" si="323"/>
        <v>0</v>
      </c>
      <c r="Q2103" s="1472">
        <v>1</v>
      </c>
    </row>
    <row r="2104" spans="1:17" ht="22.5">
      <c r="A2104" s="1482"/>
      <c r="B2104" s="1482"/>
      <c r="C2104" s="1555">
        <f t="shared" si="320"/>
        <v>3</v>
      </c>
      <c r="D2104" s="1492">
        <f>D2103+B2104</f>
        <v>2</v>
      </c>
      <c r="F2104" s="1484" t="s">
        <v>11724</v>
      </c>
      <c r="H2104" s="1095" t="s">
        <v>11722</v>
      </c>
      <c r="I2104" s="780" t="s">
        <v>13458</v>
      </c>
      <c r="J2104" s="834"/>
      <c r="K2104" s="790" t="s">
        <v>13459</v>
      </c>
      <c r="L2104" s="780" t="s">
        <v>10853</v>
      </c>
      <c r="M2104" s="1270">
        <v>2</v>
      </c>
      <c r="N2104" s="399">
        <v>0</v>
      </c>
      <c r="O2104" s="102">
        <f t="shared" si="322"/>
        <v>0</v>
      </c>
      <c r="P2104" s="101">
        <f t="shared" si="323"/>
        <v>0</v>
      </c>
      <c r="Q2104" s="1472">
        <v>2</v>
      </c>
    </row>
    <row r="2105" spans="1:17">
      <c r="A2105" s="1482"/>
      <c r="B2105" s="1482"/>
      <c r="C2105" s="1555">
        <f t="shared" si="320"/>
        <v>3</v>
      </c>
      <c r="D2105" s="1492">
        <f t="shared" ref="D2105:D2114" si="324">D2104+B2105</f>
        <v>2</v>
      </c>
      <c r="F2105" s="1484" t="s">
        <v>11724</v>
      </c>
      <c r="H2105" s="1095" t="s">
        <v>70</v>
      </c>
      <c r="I2105" s="780" t="s">
        <v>17072</v>
      </c>
      <c r="J2105" s="834"/>
      <c r="K2105" s="790" t="s">
        <v>20499</v>
      </c>
      <c r="L2105" s="780" t="s">
        <v>18</v>
      </c>
      <c r="M2105" s="1270">
        <v>30</v>
      </c>
      <c r="N2105" s="399">
        <v>0</v>
      </c>
      <c r="O2105" s="102">
        <f t="shared" si="322"/>
        <v>0</v>
      </c>
      <c r="P2105" s="101">
        <f t="shared" si="323"/>
        <v>0</v>
      </c>
      <c r="Q2105" s="1472">
        <v>30</v>
      </c>
    </row>
    <row r="2106" spans="1:17" ht="15.75" thickBot="1">
      <c r="A2106" s="1482"/>
      <c r="B2106" s="1482"/>
      <c r="C2106" s="1555">
        <f t="shared" si="320"/>
        <v>3</v>
      </c>
      <c r="D2106" s="1492">
        <f t="shared" si="324"/>
        <v>2</v>
      </c>
      <c r="F2106" s="1484"/>
      <c r="H2106" s="1095"/>
      <c r="I2106" s="780"/>
      <c r="J2106" s="834"/>
      <c r="K2106" s="790"/>
      <c r="L2106" s="780"/>
      <c r="M2106" s="1270"/>
      <c r="N2106" s="399"/>
      <c r="O2106" s="102"/>
      <c r="P2106" s="101"/>
    </row>
    <row r="2107" spans="1:17" ht="16.5" customHeight="1" thickTop="1" thickBot="1">
      <c r="A2107" s="1482"/>
      <c r="B2107" s="1482">
        <v>1</v>
      </c>
      <c r="C2107" s="1555">
        <f t="shared" si="320"/>
        <v>3</v>
      </c>
      <c r="D2107" s="1492">
        <f t="shared" si="324"/>
        <v>3</v>
      </c>
      <c r="E2107" s="1492"/>
      <c r="F2107" s="1484" t="s">
        <v>11724</v>
      </c>
      <c r="H2107" s="1510" t="str">
        <f>CONCATENATE(C2107,".",D2107)</f>
        <v>3.3</v>
      </c>
      <c r="I2107" s="1644" t="s">
        <v>13871</v>
      </c>
      <c r="J2107" s="1644"/>
      <c r="K2107" s="1644"/>
      <c r="L2107" s="1573" t="s">
        <v>25</v>
      </c>
      <c r="M2107" s="1574" t="s">
        <v>11704</v>
      </c>
      <c r="N2107" s="397" t="s">
        <v>11705</v>
      </c>
      <c r="O2107" s="99" t="s">
        <v>11706</v>
      </c>
      <c r="P2107" s="100">
        <f>SUBTOTAL(9,P2109:P2140)</f>
        <v>0</v>
      </c>
      <c r="Q2107" s="1472" t="s">
        <v>11704</v>
      </c>
    </row>
    <row r="2108" spans="1:17" ht="15.75" thickTop="1">
      <c r="A2108" s="1482"/>
      <c r="B2108" s="1482"/>
      <c r="C2108" s="1555">
        <f t="shared" si="320"/>
        <v>3</v>
      </c>
      <c r="D2108" s="1492">
        <f t="shared" si="324"/>
        <v>3</v>
      </c>
      <c r="F2108" s="1484" t="s">
        <v>11724</v>
      </c>
      <c r="H2108" s="1095"/>
      <c r="I2108" s="780"/>
      <c r="J2108" s="834"/>
      <c r="K2108" s="790"/>
      <c r="L2108" s="700"/>
      <c r="M2108" s="870"/>
      <c r="N2108" s="399"/>
      <c r="O2108" s="102"/>
      <c r="P2108" s="101"/>
    </row>
    <row r="2109" spans="1:17">
      <c r="A2109" s="1482"/>
      <c r="B2109" s="1482"/>
      <c r="C2109" s="1555">
        <f t="shared" si="320"/>
        <v>3</v>
      </c>
      <c r="D2109" s="1492">
        <f t="shared" si="324"/>
        <v>3</v>
      </c>
      <c r="F2109" s="1484" t="s">
        <v>11724</v>
      </c>
      <c r="H2109" s="1095" t="s">
        <v>70</v>
      </c>
      <c r="I2109" s="780">
        <v>91844</v>
      </c>
      <c r="J2109" s="834"/>
      <c r="K2109" s="790" t="s">
        <v>13460</v>
      </c>
      <c r="L2109" s="700" t="s">
        <v>18</v>
      </c>
      <c r="M2109" s="870">
        <v>180</v>
      </c>
      <c r="N2109" s="399">
        <v>0</v>
      </c>
      <c r="O2109" s="102">
        <f t="shared" ref="O2109:O2128" si="325">ROUND(IF(F2109="Serviços",N2109*(1+$O$7),IF(F2109="Materiais",N2109*(1+$O$8))),2)</f>
        <v>0</v>
      </c>
      <c r="P2109" s="101">
        <f t="shared" ref="P2109:P2128" si="326">ROUND(M2109*O2109,2)</f>
        <v>0</v>
      </c>
      <c r="Q2109" s="1472">
        <v>180</v>
      </c>
    </row>
    <row r="2110" spans="1:17" ht="15" customHeight="1">
      <c r="A2110" s="1482"/>
      <c r="B2110" s="1482"/>
      <c r="C2110" s="1555">
        <f t="shared" si="320"/>
        <v>3</v>
      </c>
      <c r="D2110" s="1492">
        <f t="shared" si="324"/>
        <v>3</v>
      </c>
      <c r="F2110" s="1484" t="s">
        <v>11724</v>
      </c>
      <c r="H2110" s="1095" t="s">
        <v>70</v>
      </c>
      <c r="I2110" s="780">
        <v>91846</v>
      </c>
      <c r="J2110" s="834"/>
      <c r="K2110" s="790" t="s">
        <v>13461</v>
      </c>
      <c r="L2110" s="700" t="s">
        <v>18</v>
      </c>
      <c r="M2110" s="870">
        <v>360</v>
      </c>
      <c r="N2110" s="399">
        <v>0</v>
      </c>
      <c r="O2110" s="102">
        <f t="shared" si="325"/>
        <v>0</v>
      </c>
      <c r="P2110" s="101">
        <f t="shared" si="326"/>
        <v>0</v>
      </c>
      <c r="Q2110" s="1472">
        <v>360</v>
      </c>
    </row>
    <row r="2111" spans="1:17">
      <c r="A2111" s="1482"/>
      <c r="B2111" s="1482"/>
      <c r="C2111" s="1555">
        <f t="shared" si="320"/>
        <v>3</v>
      </c>
      <c r="D2111" s="1492">
        <f t="shared" si="324"/>
        <v>3</v>
      </c>
      <c r="F2111" s="1484" t="s">
        <v>11724</v>
      </c>
      <c r="H2111" s="1095" t="s">
        <v>70</v>
      </c>
      <c r="I2111" s="780">
        <v>2500</v>
      </c>
      <c r="J2111" s="834"/>
      <c r="K2111" s="790" t="s">
        <v>13462</v>
      </c>
      <c r="L2111" s="700" t="s">
        <v>18</v>
      </c>
      <c r="M2111" s="870">
        <v>285</v>
      </c>
      <c r="N2111" s="399">
        <v>0</v>
      </c>
      <c r="O2111" s="102">
        <f t="shared" si="325"/>
        <v>0</v>
      </c>
      <c r="P2111" s="101">
        <f t="shared" si="326"/>
        <v>0</v>
      </c>
      <c r="Q2111" s="1472">
        <v>285</v>
      </c>
    </row>
    <row r="2112" spans="1:17">
      <c r="A2112" s="1482"/>
      <c r="B2112" s="1482"/>
      <c r="C2112" s="1555">
        <f t="shared" si="320"/>
        <v>3</v>
      </c>
      <c r="D2112" s="1492">
        <f t="shared" si="324"/>
        <v>3</v>
      </c>
      <c r="F2112" s="1484" t="s">
        <v>11724</v>
      </c>
      <c r="H2112" s="1095" t="s">
        <v>70</v>
      </c>
      <c r="I2112" s="780">
        <v>2505</v>
      </c>
      <c r="J2112" s="834"/>
      <c r="K2112" s="790" t="s">
        <v>13463</v>
      </c>
      <c r="L2112" s="700" t="s">
        <v>18</v>
      </c>
      <c r="M2112" s="870">
        <v>60</v>
      </c>
      <c r="N2112" s="399">
        <v>0</v>
      </c>
      <c r="O2112" s="102">
        <f t="shared" si="325"/>
        <v>0</v>
      </c>
      <c r="P2112" s="101">
        <f t="shared" si="326"/>
        <v>0</v>
      </c>
      <c r="Q2112" s="1472">
        <v>60</v>
      </c>
    </row>
    <row r="2113" spans="1:17">
      <c r="A2113" s="1482"/>
      <c r="B2113" s="1482"/>
      <c r="C2113" s="1555">
        <f t="shared" si="320"/>
        <v>3</v>
      </c>
      <c r="D2113" s="1492">
        <f t="shared" si="324"/>
        <v>3</v>
      </c>
      <c r="F2113" s="1484" t="s">
        <v>11724</v>
      </c>
      <c r="H2113" s="1095" t="s">
        <v>11722</v>
      </c>
      <c r="I2113" s="780" t="s">
        <v>13464</v>
      </c>
      <c r="J2113" s="834"/>
      <c r="K2113" s="790" t="s">
        <v>13465</v>
      </c>
      <c r="L2113" s="700" t="s">
        <v>18</v>
      </c>
      <c r="M2113" s="870">
        <v>150</v>
      </c>
      <c r="N2113" s="399">
        <v>0</v>
      </c>
      <c r="O2113" s="102">
        <f t="shared" si="325"/>
        <v>0</v>
      </c>
      <c r="P2113" s="101">
        <f t="shared" si="326"/>
        <v>0</v>
      </c>
      <c r="Q2113" s="1472">
        <v>150</v>
      </c>
    </row>
    <row r="2114" spans="1:17">
      <c r="A2114" s="1482"/>
      <c r="B2114" s="1482"/>
      <c r="C2114" s="1555">
        <f t="shared" si="320"/>
        <v>3</v>
      </c>
      <c r="D2114" s="1492">
        <f t="shared" si="324"/>
        <v>3</v>
      </c>
      <c r="F2114" s="1484" t="s">
        <v>11724</v>
      </c>
      <c r="H2114" s="1095" t="s">
        <v>11722</v>
      </c>
      <c r="I2114" s="780" t="s">
        <v>13466</v>
      </c>
      <c r="J2114" s="834"/>
      <c r="K2114" s="790" t="s">
        <v>13467</v>
      </c>
      <c r="L2114" s="700" t="s">
        <v>18</v>
      </c>
      <c r="M2114" s="870">
        <v>30</v>
      </c>
      <c r="N2114" s="399">
        <v>0</v>
      </c>
      <c r="O2114" s="102">
        <f t="shared" si="325"/>
        <v>0</v>
      </c>
      <c r="P2114" s="101">
        <f t="shared" si="326"/>
        <v>0</v>
      </c>
      <c r="Q2114" s="1472">
        <v>30</v>
      </c>
    </row>
    <row r="2115" spans="1:17" ht="33.75">
      <c r="A2115" s="1482"/>
      <c r="B2115" s="1482"/>
      <c r="C2115" s="1555">
        <f t="shared" si="320"/>
        <v>3</v>
      </c>
      <c r="D2115" s="1492">
        <f t="shared" ref="D2115:D2128" si="327">D2114+B2115</f>
        <v>3</v>
      </c>
      <c r="F2115" s="1484" t="s">
        <v>11724</v>
      </c>
      <c r="H2115" s="1095" t="s">
        <v>11722</v>
      </c>
      <c r="I2115" s="780" t="s">
        <v>13468</v>
      </c>
      <c r="J2115" s="834"/>
      <c r="K2115" s="790" t="s">
        <v>13469</v>
      </c>
      <c r="L2115" s="700" t="s">
        <v>18</v>
      </c>
      <c r="M2115" s="870">
        <v>12</v>
      </c>
      <c r="N2115" s="399">
        <v>0</v>
      </c>
      <c r="O2115" s="102">
        <f t="shared" si="325"/>
        <v>0</v>
      </c>
      <c r="P2115" s="101">
        <f t="shared" si="326"/>
        <v>0</v>
      </c>
      <c r="Q2115" s="1472">
        <v>12</v>
      </c>
    </row>
    <row r="2116" spans="1:17" ht="33.75">
      <c r="A2116" s="1482"/>
      <c r="B2116" s="1482"/>
      <c r="C2116" s="1555">
        <f t="shared" si="320"/>
        <v>3</v>
      </c>
      <c r="D2116" s="1492">
        <f t="shared" si="327"/>
        <v>3</v>
      </c>
      <c r="F2116" s="1484" t="s">
        <v>11724</v>
      </c>
      <c r="H2116" s="1095" t="s">
        <v>11722</v>
      </c>
      <c r="I2116" s="780" t="s">
        <v>13470</v>
      </c>
      <c r="J2116" s="834"/>
      <c r="K2116" s="790" t="s">
        <v>13471</v>
      </c>
      <c r="L2116" s="700" t="s">
        <v>18</v>
      </c>
      <c r="M2116" s="870">
        <v>12</v>
      </c>
      <c r="N2116" s="399">
        <v>0</v>
      </c>
      <c r="O2116" s="102">
        <f t="shared" si="325"/>
        <v>0</v>
      </c>
      <c r="P2116" s="101">
        <f t="shared" si="326"/>
        <v>0</v>
      </c>
      <c r="Q2116" s="1472">
        <v>12</v>
      </c>
    </row>
    <row r="2117" spans="1:17">
      <c r="A2117" s="1482"/>
      <c r="B2117" s="1482"/>
      <c r="C2117" s="1555">
        <f t="shared" si="320"/>
        <v>3</v>
      </c>
      <c r="D2117" s="1492">
        <f t="shared" si="327"/>
        <v>3</v>
      </c>
      <c r="F2117" s="1484" t="s">
        <v>11724</v>
      </c>
      <c r="H2117" s="1095" t="s">
        <v>11722</v>
      </c>
      <c r="I2117" s="780" t="s">
        <v>13472</v>
      </c>
      <c r="J2117" s="834"/>
      <c r="K2117" s="790" t="s">
        <v>13473</v>
      </c>
      <c r="L2117" s="700" t="s">
        <v>10853</v>
      </c>
      <c r="M2117" s="870">
        <v>2</v>
      </c>
      <c r="N2117" s="399">
        <v>0</v>
      </c>
      <c r="O2117" s="102">
        <f t="shared" si="325"/>
        <v>0</v>
      </c>
      <c r="P2117" s="101">
        <f t="shared" si="326"/>
        <v>0</v>
      </c>
      <c r="Q2117" s="1472">
        <v>2</v>
      </c>
    </row>
    <row r="2118" spans="1:17">
      <c r="A2118" s="1482"/>
      <c r="B2118" s="1482"/>
      <c r="C2118" s="1555">
        <f t="shared" si="320"/>
        <v>3</v>
      </c>
      <c r="D2118" s="1492">
        <f t="shared" si="327"/>
        <v>3</v>
      </c>
      <c r="F2118" s="1484" t="s">
        <v>11724</v>
      </c>
      <c r="H2118" s="1095" t="s">
        <v>11722</v>
      </c>
      <c r="I2118" s="780" t="s">
        <v>13474</v>
      </c>
      <c r="J2118" s="834"/>
      <c r="K2118" s="790" t="s">
        <v>13475</v>
      </c>
      <c r="L2118" s="700" t="s">
        <v>10853</v>
      </c>
      <c r="M2118" s="870">
        <v>10</v>
      </c>
      <c r="N2118" s="399">
        <v>0</v>
      </c>
      <c r="O2118" s="102">
        <f t="shared" si="325"/>
        <v>0</v>
      </c>
      <c r="P2118" s="101">
        <f t="shared" si="326"/>
        <v>0</v>
      </c>
      <c r="Q2118" s="1472">
        <v>10</v>
      </c>
    </row>
    <row r="2119" spans="1:17">
      <c r="A2119" s="1482"/>
      <c r="B2119" s="1482"/>
      <c r="C2119" s="1555">
        <f t="shared" si="320"/>
        <v>3</v>
      </c>
      <c r="D2119" s="1492">
        <f t="shared" si="327"/>
        <v>3</v>
      </c>
      <c r="F2119" s="1484" t="s">
        <v>11724</v>
      </c>
      <c r="H2119" s="1095" t="s">
        <v>11722</v>
      </c>
      <c r="I2119" s="780" t="s">
        <v>13476</v>
      </c>
      <c r="J2119" s="834"/>
      <c r="K2119" s="790" t="s">
        <v>13477</v>
      </c>
      <c r="L2119" s="700" t="s">
        <v>10853</v>
      </c>
      <c r="M2119" s="870">
        <v>6</v>
      </c>
      <c r="N2119" s="399">
        <v>0</v>
      </c>
      <c r="O2119" s="102">
        <f t="shared" si="325"/>
        <v>0</v>
      </c>
      <c r="P2119" s="101">
        <f t="shared" si="326"/>
        <v>0</v>
      </c>
      <c r="Q2119" s="1472">
        <v>6</v>
      </c>
    </row>
    <row r="2120" spans="1:17" ht="33.75">
      <c r="A2120" s="1482"/>
      <c r="B2120" s="1482"/>
      <c r="C2120" s="1555">
        <f t="shared" ref="C2120:C2183" si="328">C2119</f>
        <v>3</v>
      </c>
      <c r="D2120" s="1492">
        <f t="shared" si="327"/>
        <v>3</v>
      </c>
      <c r="F2120" s="1484" t="s">
        <v>11724</v>
      </c>
      <c r="H2120" s="1095" t="s">
        <v>70</v>
      </c>
      <c r="I2120" s="780">
        <v>939</v>
      </c>
      <c r="J2120" s="834"/>
      <c r="K2120" s="790" t="s">
        <v>13478</v>
      </c>
      <c r="L2120" s="700" t="s">
        <v>18</v>
      </c>
      <c r="M2120" s="870">
        <v>60</v>
      </c>
      <c r="N2120" s="399">
        <v>0</v>
      </c>
      <c r="O2120" s="102">
        <f t="shared" si="325"/>
        <v>0</v>
      </c>
      <c r="P2120" s="101">
        <f t="shared" si="326"/>
        <v>0</v>
      </c>
      <c r="Q2120" s="1472">
        <v>60</v>
      </c>
    </row>
    <row r="2121" spans="1:17" ht="33.75">
      <c r="A2121" s="1482"/>
      <c r="B2121" s="1482"/>
      <c r="C2121" s="1555">
        <f t="shared" si="328"/>
        <v>3</v>
      </c>
      <c r="D2121" s="1492">
        <f t="shared" si="327"/>
        <v>3</v>
      </c>
      <c r="F2121" s="1484" t="s">
        <v>11724</v>
      </c>
      <c r="H2121" s="1095" t="s">
        <v>70</v>
      </c>
      <c r="I2121" s="780">
        <v>939</v>
      </c>
      <c r="J2121" s="834"/>
      <c r="K2121" s="790" t="s">
        <v>13479</v>
      </c>
      <c r="L2121" s="700" t="s">
        <v>18</v>
      </c>
      <c r="M2121" s="870">
        <v>75</v>
      </c>
      <c r="N2121" s="399">
        <v>0</v>
      </c>
      <c r="O2121" s="102">
        <f t="shared" si="325"/>
        <v>0</v>
      </c>
      <c r="P2121" s="101">
        <f t="shared" si="326"/>
        <v>0</v>
      </c>
      <c r="Q2121" s="1472">
        <v>75</v>
      </c>
    </row>
    <row r="2122" spans="1:17" ht="33.75">
      <c r="A2122" s="1482"/>
      <c r="B2122" s="1482"/>
      <c r="C2122" s="1555">
        <f t="shared" si="328"/>
        <v>3</v>
      </c>
      <c r="D2122" s="1492">
        <f t="shared" si="327"/>
        <v>3</v>
      </c>
      <c r="F2122" s="1484" t="s">
        <v>11724</v>
      </c>
      <c r="H2122" s="1095" t="s">
        <v>70</v>
      </c>
      <c r="I2122" s="780">
        <v>939</v>
      </c>
      <c r="J2122" s="834"/>
      <c r="K2122" s="790" t="s">
        <v>13480</v>
      </c>
      <c r="L2122" s="700" t="s">
        <v>18</v>
      </c>
      <c r="M2122" s="870">
        <v>70</v>
      </c>
      <c r="N2122" s="399">
        <v>0</v>
      </c>
      <c r="O2122" s="102">
        <f t="shared" si="325"/>
        <v>0</v>
      </c>
      <c r="P2122" s="101">
        <f t="shared" si="326"/>
        <v>0</v>
      </c>
      <c r="Q2122" s="1472">
        <v>70</v>
      </c>
    </row>
    <row r="2123" spans="1:17" ht="33.75">
      <c r="A2123" s="1482"/>
      <c r="B2123" s="1482"/>
      <c r="C2123" s="1555">
        <f t="shared" si="328"/>
        <v>3</v>
      </c>
      <c r="D2123" s="1492">
        <f t="shared" si="327"/>
        <v>3</v>
      </c>
      <c r="F2123" s="1484" t="s">
        <v>11724</v>
      </c>
      <c r="H2123" s="1095" t="s">
        <v>70</v>
      </c>
      <c r="I2123" s="780">
        <v>939</v>
      </c>
      <c r="J2123" s="834"/>
      <c r="K2123" s="790" t="s">
        <v>13481</v>
      </c>
      <c r="L2123" s="700" t="s">
        <v>18</v>
      </c>
      <c r="M2123" s="870">
        <v>15</v>
      </c>
      <c r="N2123" s="399">
        <v>0</v>
      </c>
      <c r="O2123" s="102">
        <f t="shared" si="325"/>
        <v>0</v>
      </c>
      <c r="P2123" s="101">
        <f t="shared" si="326"/>
        <v>0</v>
      </c>
      <c r="Q2123" s="1472">
        <v>15</v>
      </c>
    </row>
    <row r="2124" spans="1:17" ht="33.75">
      <c r="A2124" s="1482"/>
      <c r="B2124" s="1482"/>
      <c r="C2124" s="1555">
        <f t="shared" si="328"/>
        <v>3</v>
      </c>
      <c r="D2124" s="1492">
        <f t="shared" si="327"/>
        <v>3</v>
      </c>
      <c r="F2124" s="1484" t="s">
        <v>11724</v>
      </c>
      <c r="H2124" s="1095" t="s">
        <v>70</v>
      </c>
      <c r="I2124" s="780">
        <v>944</v>
      </c>
      <c r="J2124" s="834"/>
      <c r="K2124" s="790" t="s">
        <v>13482</v>
      </c>
      <c r="L2124" s="700" t="s">
        <v>18</v>
      </c>
      <c r="M2124" s="870">
        <v>45</v>
      </c>
      <c r="N2124" s="399">
        <v>0</v>
      </c>
      <c r="O2124" s="102">
        <f t="shared" si="325"/>
        <v>0</v>
      </c>
      <c r="P2124" s="101">
        <f t="shared" si="326"/>
        <v>0</v>
      </c>
      <c r="Q2124" s="1472">
        <v>45</v>
      </c>
    </row>
    <row r="2125" spans="1:17" ht="33.75">
      <c r="A2125" s="1482"/>
      <c r="B2125" s="1482"/>
      <c r="C2125" s="1555">
        <f t="shared" si="328"/>
        <v>3</v>
      </c>
      <c r="D2125" s="1492">
        <f t="shared" si="327"/>
        <v>3</v>
      </c>
      <c r="F2125" s="1484" t="s">
        <v>11724</v>
      </c>
      <c r="H2125" s="1095" t="s">
        <v>70</v>
      </c>
      <c r="I2125" s="780">
        <v>944</v>
      </c>
      <c r="J2125" s="834"/>
      <c r="K2125" s="790" t="s">
        <v>13483</v>
      </c>
      <c r="L2125" s="700" t="s">
        <v>18</v>
      </c>
      <c r="M2125" s="870">
        <v>15</v>
      </c>
      <c r="N2125" s="399">
        <v>0</v>
      </c>
      <c r="O2125" s="102">
        <f t="shared" si="325"/>
        <v>0</v>
      </c>
      <c r="P2125" s="101">
        <f t="shared" si="326"/>
        <v>0</v>
      </c>
      <c r="Q2125" s="1472">
        <v>15</v>
      </c>
    </row>
    <row r="2126" spans="1:17" ht="33.75">
      <c r="A2126" s="1482"/>
      <c r="B2126" s="1482"/>
      <c r="C2126" s="1555">
        <f t="shared" si="328"/>
        <v>3</v>
      </c>
      <c r="D2126" s="1492">
        <f t="shared" si="327"/>
        <v>3</v>
      </c>
      <c r="F2126" s="1484" t="s">
        <v>11724</v>
      </c>
      <c r="H2126" s="1095" t="s">
        <v>70</v>
      </c>
      <c r="I2126" s="780">
        <v>944</v>
      </c>
      <c r="J2126" s="834"/>
      <c r="K2126" s="790" t="s">
        <v>13484</v>
      </c>
      <c r="L2126" s="700" t="s">
        <v>18</v>
      </c>
      <c r="M2126" s="870">
        <v>15</v>
      </c>
      <c r="N2126" s="399">
        <v>0</v>
      </c>
      <c r="O2126" s="102">
        <f t="shared" si="325"/>
        <v>0</v>
      </c>
      <c r="P2126" s="101">
        <f t="shared" si="326"/>
        <v>0</v>
      </c>
      <c r="Q2126" s="1472">
        <v>15</v>
      </c>
    </row>
    <row r="2127" spans="1:17" ht="45">
      <c r="A2127" s="1482"/>
      <c r="B2127" s="1482"/>
      <c r="C2127" s="1555">
        <f t="shared" si="328"/>
        <v>3</v>
      </c>
      <c r="D2127" s="1492">
        <f t="shared" si="327"/>
        <v>3</v>
      </c>
      <c r="F2127" s="1484" t="s">
        <v>11724</v>
      </c>
      <c r="H2127" s="1095" t="s">
        <v>70</v>
      </c>
      <c r="I2127" s="780">
        <v>91925</v>
      </c>
      <c r="J2127" s="834"/>
      <c r="K2127" s="790" t="s">
        <v>13485</v>
      </c>
      <c r="L2127" s="700" t="s">
        <v>18</v>
      </c>
      <c r="M2127" s="870">
        <v>40</v>
      </c>
      <c r="N2127" s="399">
        <v>0</v>
      </c>
      <c r="O2127" s="102">
        <f t="shared" si="325"/>
        <v>0</v>
      </c>
      <c r="P2127" s="101">
        <f t="shared" si="326"/>
        <v>0</v>
      </c>
      <c r="Q2127" s="1472">
        <v>40</v>
      </c>
    </row>
    <row r="2128" spans="1:17" ht="45">
      <c r="A2128" s="1482"/>
      <c r="B2128" s="1482"/>
      <c r="C2128" s="1555">
        <f t="shared" si="328"/>
        <v>3</v>
      </c>
      <c r="D2128" s="1492">
        <f t="shared" si="327"/>
        <v>3</v>
      </c>
      <c r="F2128" s="1484" t="s">
        <v>11724</v>
      </c>
      <c r="H2128" s="1095" t="s">
        <v>70</v>
      </c>
      <c r="I2128" s="780">
        <v>91925</v>
      </c>
      <c r="J2128" s="834"/>
      <c r="K2128" s="790" t="s">
        <v>13486</v>
      </c>
      <c r="L2128" s="700" t="s">
        <v>18</v>
      </c>
      <c r="M2128" s="870">
        <v>35</v>
      </c>
      <c r="N2128" s="399">
        <v>0</v>
      </c>
      <c r="O2128" s="102">
        <f t="shared" si="325"/>
        <v>0</v>
      </c>
      <c r="P2128" s="101">
        <f t="shared" si="326"/>
        <v>0</v>
      </c>
      <c r="Q2128" s="1472">
        <v>35</v>
      </c>
    </row>
    <row r="2129" spans="1:17" ht="45">
      <c r="A2129" s="1482"/>
      <c r="B2129" s="1482"/>
      <c r="C2129" s="1555">
        <f t="shared" si="328"/>
        <v>3</v>
      </c>
      <c r="D2129" s="1492">
        <f t="shared" ref="D2129:D2156" si="329">D2128+B2129</f>
        <v>3</v>
      </c>
      <c r="F2129" s="1484" t="s">
        <v>11724</v>
      </c>
      <c r="H2129" s="1095" t="s">
        <v>70</v>
      </c>
      <c r="I2129" s="780">
        <v>91925</v>
      </c>
      <c r="J2129" s="834"/>
      <c r="K2129" s="790" t="s">
        <v>13487</v>
      </c>
      <c r="L2129" s="780" t="s">
        <v>18</v>
      </c>
      <c r="M2129" s="1270">
        <v>250</v>
      </c>
      <c r="N2129" s="399">
        <v>0</v>
      </c>
      <c r="O2129" s="102">
        <f>ROUND(IF(F2129="Serviços",N2129*(1+$O$7),IF(F2129="Materiais",N2129*(1+$O$8))),2)</f>
        <v>0</v>
      </c>
      <c r="P2129" s="101">
        <f>ROUND(M2129*O2129,2)</f>
        <v>0</v>
      </c>
      <c r="Q2129" s="1472">
        <v>250</v>
      </c>
    </row>
    <row r="2130" spans="1:17" ht="45">
      <c r="A2130" s="1482"/>
      <c r="B2130" s="1482"/>
      <c r="C2130" s="1555">
        <f t="shared" si="328"/>
        <v>3</v>
      </c>
      <c r="D2130" s="1492">
        <f t="shared" si="329"/>
        <v>3</v>
      </c>
      <c r="F2130" s="1484" t="s">
        <v>11724</v>
      </c>
      <c r="H2130" s="1095" t="s">
        <v>70</v>
      </c>
      <c r="I2130" s="780">
        <v>91927</v>
      </c>
      <c r="J2130" s="834"/>
      <c r="K2130" s="790" t="s">
        <v>13488</v>
      </c>
      <c r="L2130" s="780" t="s">
        <v>18</v>
      </c>
      <c r="M2130" s="1270">
        <v>300</v>
      </c>
      <c r="N2130" s="399">
        <v>0</v>
      </c>
      <c r="O2130" s="102">
        <f>ROUND(IF(F2130="Serviços",N2130*(1+$O$7),IF(F2130="Materiais",N2130*(1+$O$8))),2)</f>
        <v>0</v>
      </c>
      <c r="P2130" s="101">
        <f>ROUND(M2130*O2130,2)</f>
        <v>0</v>
      </c>
      <c r="Q2130" s="1472">
        <v>300</v>
      </c>
    </row>
    <row r="2131" spans="1:17" ht="45">
      <c r="A2131" s="1482"/>
      <c r="B2131" s="1482"/>
      <c r="C2131" s="1555">
        <f t="shared" si="328"/>
        <v>3</v>
      </c>
      <c r="D2131" s="1492">
        <f t="shared" si="329"/>
        <v>3</v>
      </c>
      <c r="F2131" s="1484" t="s">
        <v>11724</v>
      </c>
      <c r="H2131" s="1095" t="s">
        <v>70</v>
      </c>
      <c r="I2131" s="780">
        <v>91927</v>
      </c>
      <c r="J2131" s="834"/>
      <c r="K2131" s="790" t="s">
        <v>13489</v>
      </c>
      <c r="L2131" s="780" t="s">
        <v>18</v>
      </c>
      <c r="M2131" s="1270">
        <v>220</v>
      </c>
      <c r="N2131" s="399">
        <v>0</v>
      </c>
      <c r="O2131" s="102">
        <f>ROUND(IF(F2131="Serviços",N2131*(1+$O$7),IF(F2131="Materiais",N2131*(1+$O$8))),2)</f>
        <v>0</v>
      </c>
      <c r="P2131" s="101">
        <f>ROUND(M2131*O2131,2)</f>
        <v>0</v>
      </c>
      <c r="Q2131" s="1472">
        <v>220</v>
      </c>
    </row>
    <row r="2132" spans="1:17" ht="45">
      <c r="A2132" s="1482"/>
      <c r="B2132" s="1482"/>
      <c r="C2132" s="1555">
        <f t="shared" si="328"/>
        <v>3</v>
      </c>
      <c r="D2132" s="1492">
        <f t="shared" si="329"/>
        <v>3</v>
      </c>
      <c r="F2132" s="1484" t="s">
        <v>11724</v>
      </c>
      <c r="H2132" s="1095" t="s">
        <v>70</v>
      </c>
      <c r="I2132" s="780">
        <v>91929</v>
      </c>
      <c r="J2132" s="834"/>
      <c r="K2132" s="790" t="s">
        <v>13490</v>
      </c>
      <c r="L2132" s="780" t="s">
        <v>18</v>
      </c>
      <c r="M2132" s="1270">
        <v>100</v>
      </c>
      <c r="N2132" s="399">
        <v>0</v>
      </c>
      <c r="O2132" s="102">
        <f>ROUND(IF(F2132="Serviços",N2132*(1+$O$7),IF(F2132="Materiais",N2132*(1+$O$8))),2)</f>
        <v>0</v>
      </c>
      <c r="P2132" s="101">
        <f>ROUND(M2132*O2132,2)</f>
        <v>0</v>
      </c>
      <c r="Q2132" s="1472">
        <v>100</v>
      </c>
    </row>
    <row r="2133" spans="1:17" ht="45">
      <c r="A2133" s="1482"/>
      <c r="B2133" s="1482"/>
      <c r="C2133" s="1555">
        <f t="shared" si="328"/>
        <v>3</v>
      </c>
      <c r="D2133" s="1492">
        <f t="shared" si="329"/>
        <v>3</v>
      </c>
      <c r="F2133" s="1484" t="s">
        <v>11724</v>
      </c>
      <c r="H2133" s="1095" t="s">
        <v>70</v>
      </c>
      <c r="I2133" s="780">
        <v>91929</v>
      </c>
      <c r="J2133" s="834"/>
      <c r="K2133" s="790" t="s">
        <v>13491</v>
      </c>
      <c r="L2133" s="780" t="s">
        <v>18</v>
      </c>
      <c r="M2133" s="1270">
        <v>200</v>
      </c>
      <c r="N2133" s="399">
        <v>0</v>
      </c>
      <c r="O2133" s="102">
        <f>ROUND(IF(F2133="Serviços",N2133*(1+$O$7),IF(F2133="Materiais",N2133*(1+$O$8))),2)</f>
        <v>0</v>
      </c>
      <c r="P2133" s="101">
        <f>ROUND(M2133*O2133,2)</f>
        <v>0</v>
      </c>
      <c r="Q2133" s="1472">
        <v>200</v>
      </c>
    </row>
    <row r="2134" spans="1:17" ht="45">
      <c r="A2134" s="1482"/>
      <c r="B2134" s="1482"/>
      <c r="C2134" s="1555">
        <f t="shared" si="328"/>
        <v>3</v>
      </c>
      <c r="D2134" s="1492">
        <f t="shared" si="329"/>
        <v>3</v>
      </c>
      <c r="F2134" s="1484" t="s">
        <v>11724</v>
      </c>
      <c r="H2134" s="1095" t="s">
        <v>70</v>
      </c>
      <c r="I2134" s="780">
        <v>91931</v>
      </c>
      <c r="J2134" s="834"/>
      <c r="K2134" s="790" t="s">
        <v>13492</v>
      </c>
      <c r="L2134" s="780" t="s">
        <v>18</v>
      </c>
      <c r="M2134" s="1270">
        <v>140</v>
      </c>
      <c r="N2134" s="399">
        <v>0</v>
      </c>
      <c r="O2134" s="102">
        <f t="shared" ref="O2134:O2140" si="330">ROUND(IF(F2134="Serviços",N2134*(1+$O$7),IF(F2134="Materiais",N2134*(1+$O$8))),2)</f>
        <v>0</v>
      </c>
      <c r="P2134" s="101">
        <f t="shared" ref="P2134:P2140" si="331">ROUND(M2134*O2134,2)</f>
        <v>0</v>
      </c>
      <c r="Q2134" s="1472">
        <v>140</v>
      </c>
    </row>
    <row r="2135" spans="1:17" ht="45">
      <c r="A2135" s="1482"/>
      <c r="B2135" s="1482"/>
      <c r="C2135" s="1555">
        <f t="shared" si="328"/>
        <v>3</v>
      </c>
      <c r="D2135" s="1492">
        <f t="shared" si="329"/>
        <v>3</v>
      </c>
      <c r="F2135" s="1484" t="s">
        <v>11724</v>
      </c>
      <c r="H2135" s="1095" t="s">
        <v>70</v>
      </c>
      <c r="I2135" s="780">
        <v>91933</v>
      </c>
      <c r="J2135" s="834"/>
      <c r="K2135" s="790" t="s">
        <v>13493</v>
      </c>
      <c r="L2135" s="780" t="s">
        <v>18</v>
      </c>
      <c r="M2135" s="1270">
        <v>25</v>
      </c>
      <c r="N2135" s="399">
        <v>0</v>
      </c>
      <c r="O2135" s="102">
        <f t="shared" si="330"/>
        <v>0</v>
      </c>
      <c r="P2135" s="101">
        <f t="shared" si="331"/>
        <v>0</v>
      </c>
      <c r="Q2135" s="1472">
        <v>25</v>
      </c>
    </row>
    <row r="2136" spans="1:17" ht="45">
      <c r="A2136" s="1482"/>
      <c r="B2136" s="1482"/>
      <c r="C2136" s="1555">
        <f t="shared" si="328"/>
        <v>3</v>
      </c>
      <c r="D2136" s="1492">
        <f t="shared" si="329"/>
        <v>3</v>
      </c>
      <c r="F2136" s="1484" t="s">
        <v>11724</v>
      </c>
      <c r="H2136" s="1095" t="s">
        <v>70</v>
      </c>
      <c r="I2136" s="780">
        <v>92988</v>
      </c>
      <c r="J2136" s="834"/>
      <c r="K2136" s="790" t="s">
        <v>13494</v>
      </c>
      <c r="L2136" s="780" t="s">
        <v>18</v>
      </c>
      <c r="M2136" s="1270">
        <v>450</v>
      </c>
      <c r="N2136" s="399">
        <v>0</v>
      </c>
      <c r="O2136" s="102">
        <f t="shared" si="330"/>
        <v>0</v>
      </c>
      <c r="P2136" s="101">
        <f t="shared" si="331"/>
        <v>0</v>
      </c>
      <c r="Q2136" s="1472">
        <v>450</v>
      </c>
    </row>
    <row r="2137" spans="1:17" ht="33.75">
      <c r="A2137" s="1482"/>
      <c r="B2137" s="1482"/>
      <c r="C2137" s="1555">
        <f t="shared" si="328"/>
        <v>3</v>
      </c>
      <c r="D2137" s="1492">
        <f t="shared" si="329"/>
        <v>3</v>
      </c>
      <c r="F2137" s="1484" t="s">
        <v>11724</v>
      </c>
      <c r="H2137" s="1095" t="s">
        <v>11722</v>
      </c>
      <c r="I2137" s="780" t="s">
        <v>13495</v>
      </c>
      <c r="J2137" s="834"/>
      <c r="K2137" s="790" t="s">
        <v>13496</v>
      </c>
      <c r="L2137" s="780" t="s">
        <v>10853</v>
      </c>
      <c r="M2137" s="1270">
        <v>8</v>
      </c>
      <c r="N2137" s="399">
        <v>0</v>
      </c>
      <c r="O2137" s="102">
        <f t="shared" si="330"/>
        <v>0</v>
      </c>
      <c r="P2137" s="101">
        <f t="shared" si="331"/>
        <v>0</v>
      </c>
      <c r="Q2137" s="1472">
        <v>8</v>
      </c>
    </row>
    <row r="2138" spans="1:17" ht="123.75">
      <c r="A2138" s="1482"/>
      <c r="B2138" s="1482"/>
      <c r="C2138" s="1555">
        <f t="shared" si="328"/>
        <v>3</v>
      </c>
      <c r="D2138" s="1492">
        <f t="shared" si="329"/>
        <v>3</v>
      </c>
      <c r="F2138" s="1484" t="s">
        <v>11724</v>
      </c>
      <c r="H2138" s="1095" t="s">
        <v>11722</v>
      </c>
      <c r="I2138" s="780" t="s">
        <v>13497</v>
      </c>
      <c r="J2138" s="834"/>
      <c r="K2138" s="790" t="s">
        <v>13498</v>
      </c>
      <c r="L2138" s="780" t="s">
        <v>10854</v>
      </c>
      <c r="M2138" s="1270">
        <v>8</v>
      </c>
      <c r="N2138" s="399">
        <v>0</v>
      </c>
      <c r="O2138" s="102">
        <f t="shared" si="330"/>
        <v>0</v>
      </c>
      <c r="P2138" s="101">
        <f t="shared" si="331"/>
        <v>0</v>
      </c>
      <c r="Q2138" s="1472">
        <v>8</v>
      </c>
    </row>
    <row r="2139" spans="1:17">
      <c r="A2139" s="1482"/>
      <c r="B2139" s="1482"/>
      <c r="C2139" s="1555">
        <f t="shared" si="328"/>
        <v>3</v>
      </c>
      <c r="D2139" s="1492">
        <f t="shared" si="329"/>
        <v>3</v>
      </c>
      <c r="F2139" s="1484" t="s">
        <v>11724</v>
      </c>
      <c r="H2139" s="1095" t="s">
        <v>70</v>
      </c>
      <c r="I2139" s="780">
        <v>83446</v>
      </c>
      <c r="J2139" s="834"/>
      <c r="K2139" s="790" t="s">
        <v>13499</v>
      </c>
      <c r="L2139" s="780" t="s">
        <v>26</v>
      </c>
      <c r="M2139" s="1270">
        <v>10</v>
      </c>
      <c r="N2139" s="399">
        <v>0</v>
      </c>
      <c r="O2139" s="102">
        <f t="shared" si="330"/>
        <v>0</v>
      </c>
      <c r="P2139" s="101">
        <f t="shared" si="331"/>
        <v>0</v>
      </c>
      <c r="Q2139" s="1472">
        <v>10</v>
      </c>
    </row>
    <row r="2140" spans="1:17">
      <c r="A2140" s="1482"/>
      <c r="B2140" s="1482"/>
      <c r="C2140" s="1555">
        <f t="shared" si="328"/>
        <v>3</v>
      </c>
      <c r="D2140" s="1492">
        <f t="shared" si="329"/>
        <v>3</v>
      </c>
      <c r="F2140" s="1484" t="s">
        <v>11724</v>
      </c>
      <c r="H2140" s="1095" t="s">
        <v>70</v>
      </c>
      <c r="I2140" s="780">
        <v>83448</v>
      </c>
      <c r="J2140" s="834"/>
      <c r="K2140" s="790" t="s">
        <v>13500</v>
      </c>
      <c r="L2140" s="780" t="s">
        <v>26</v>
      </c>
      <c r="M2140" s="1270">
        <v>12</v>
      </c>
      <c r="N2140" s="399">
        <v>0</v>
      </c>
      <c r="O2140" s="102">
        <f t="shared" si="330"/>
        <v>0</v>
      </c>
      <c r="P2140" s="101">
        <f t="shared" si="331"/>
        <v>0</v>
      </c>
      <c r="Q2140" s="1472">
        <v>12</v>
      </c>
    </row>
    <row r="2141" spans="1:17">
      <c r="A2141" s="1482"/>
      <c r="B2141" s="1482"/>
      <c r="C2141" s="1555">
        <f t="shared" si="328"/>
        <v>3</v>
      </c>
      <c r="D2141" s="1492">
        <f t="shared" si="329"/>
        <v>3</v>
      </c>
      <c r="F2141" s="1484" t="s">
        <v>11724</v>
      </c>
      <c r="H2141" s="1095"/>
      <c r="I2141" s="780"/>
      <c r="J2141" s="834"/>
      <c r="K2141" s="780"/>
      <c r="L2141" s="780"/>
      <c r="M2141" s="1270"/>
      <c r="N2141" s="400"/>
      <c r="O2141" s="122"/>
      <c r="P2141" s="123"/>
    </row>
    <row r="2142" spans="1:17" ht="15.75" thickBot="1">
      <c r="A2142" s="1482"/>
      <c r="B2142" s="1482"/>
      <c r="C2142" s="1555">
        <f t="shared" si="328"/>
        <v>3</v>
      </c>
      <c r="D2142" s="1492">
        <f t="shared" si="329"/>
        <v>3</v>
      </c>
      <c r="F2142" s="1484"/>
      <c r="H2142" s="1095"/>
      <c r="I2142" s="780"/>
      <c r="J2142" s="834"/>
      <c r="K2142" s="790"/>
      <c r="L2142" s="780"/>
      <c r="M2142" s="1270"/>
      <c r="N2142" s="399"/>
      <c r="O2142" s="102"/>
      <c r="P2142" s="101"/>
    </row>
    <row r="2143" spans="1:17" ht="16.5" thickTop="1" thickBot="1">
      <c r="A2143" s="1482"/>
      <c r="B2143" s="1482">
        <v>1</v>
      </c>
      <c r="C2143" s="1555">
        <f t="shared" si="328"/>
        <v>3</v>
      </c>
      <c r="D2143" s="1492">
        <f t="shared" si="329"/>
        <v>4</v>
      </c>
      <c r="E2143" s="1492"/>
      <c r="F2143" s="1484" t="s">
        <v>11724</v>
      </c>
      <c r="H2143" s="1510" t="str">
        <f>CONCATENATE(C2143,".",D2143)</f>
        <v>3.4</v>
      </c>
      <c r="I2143" s="1573" t="s">
        <v>13357</v>
      </c>
      <c r="J2143" s="1573"/>
      <c r="K2143" s="1573"/>
      <c r="L2143" s="1573" t="s">
        <v>25</v>
      </c>
      <c r="M2143" s="1574" t="s">
        <v>11704</v>
      </c>
      <c r="N2143" s="397" t="s">
        <v>11705</v>
      </c>
      <c r="O2143" s="99" t="s">
        <v>11706</v>
      </c>
      <c r="P2143" s="100">
        <f>SUBTOTAL(9,P2145:P2176)</f>
        <v>0</v>
      </c>
      <c r="Q2143" s="1472" t="s">
        <v>11704</v>
      </c>
    </row>
    <row r="2144" spans="1:17" ht="15.75" thickTop="1">
      <c r="A2144" s="1482"/>
      <c r="B2144" s="1482"/>
      <c r="C2144" s="1555">
        <f t="shared" si="328"/>
        <v>3</v>
      </c>
      <c r="D2144" s="1492">
        <f t="shared" si="329"/>
        <v>4</v>
      </c>
      <c r="F2144" s="1484" t="s">
        <v>11724</v>
      </c>
      <c r="H2144" s="1095"/>
      <c r="I2144" s="780"/>
      <c r="J2144" s="834"/>
      <c r="K2144" s="790"/>
      <c r="L2144" s="700"/>
      <c r="M2144" s="870"/>
      <c r="N2144" s="399"/>
      <c r="O2144" s="102"/>
      <c r="P2144" s="101"/>
    </row>
    <row r="2145" spans="1:17" ht="22.5">
      <c r="A2145" s="1482"/>
      <c r="B2145" s="1482"/>
      <c r="C2145" s="1555">
        <f t="shared" si="328"/>
        <v>3</v>
      </c>
      <c r="D2145" s="1492">
        <f t="shared" si="329"/>
        <v>4</v>
      </c>
      <c r="F2145" s="1484" t="s">
        <v>11724</v>
      </c>
      <c r="H2145" s="1095" t="s">
        <v>11722</v>
      </c>
      <c r="I2145" s="780" t="s">
        <v>13501</v>
      </c>
      <c r="J2145" s="834"/>
      <c r="K2145" s="790" t="s">
        <v>13502</v>
      </c>
      <c r="L2145" s="700" t="s">
        <v>10854</v>
      </c>
      <c r="M2145" s="870">
        <v>22</v>
      </c>
      <c r="N2145" s="399">
        <v>0</v>
      </c>
      <c r="O2145" s="102">
        <f t="shared" ref="O2145:O2157" si="332">ROUND(IF(F2145="Serviços",N2145*(1+$O$7),IF(F2145="Materiais",N2145*(1+$O$8))),2)</f>
        <v>0</v>
      </c>
      <c r="P2145" s="101">
        <f t="shared" ref="P2145:P2157" si="333">ROUND(M2145*O2145,2)</f>
        <v>0</v>
      </c>
      <c r="Q2145" s="1472">
        <v>22</v>
      </c>
    </row>
    <row r="2146" spans="1:17">
      <c r="A2146" s="1482"/>
      <c r="B2146" s="1482"/>
      <c r="C2146" s="1555">
        <f t="shared" si="328"/>
        <v>3</v>
      </c>
      <c r="D2146" s="1492">
        <f t="shared" si="329"/>
        <v>4</v>
      </c>
      <c r="F2146" s="1484" t="s">
        <v>11724</v>
      </c>
      <c r="H2146" s="1095" t="s">
        <v>70</v>
      </c>
      <c r="I2146" s="780">
        <v>93654</v>
      </c>
      <c r="J2146" s="834"/>
      <c r="K2146" s="790" t="s">
        <v>13503</v>
      </c>
      <c r="L2146" s="700" t="s">
        <v>10854</v>
      </c>
      <c r="M2146" s="870">
        <v>2</v>
      </c>
      <c r="N2146" s="399">
        <v>0</v>
      </c>
      <c r="O2146" s="102">
        <f t="shared" si="332"/>
        <v>0</v>
      </c>
      <c r="P2146" s="101">
        <f t="shared" si="333"/>
        <v>0</v>
      </c>
      <c r="Q2146" s="1472">
        <v>2</v>
      </c>
    </row>
    <row r="2147" spans="1:17">
      <c r="A2147" s="1482"/>
      <c r="B2147" s="1482"/>
      <c r="C2147" s="1555">
        <f t="shared" si="328"/>
        <v>3</v>
      </c>
      <c r="D2147" s="1492">
        <f t="shared" si="329"/>
        <v>4</v>
      </c>
      <c r="F2147" s="1484" t="s">
        <v>11724</v>
      </c>
      <c r="H2147" s="1095" t="s">
        <v>70</v>
      </c>
      <c r="I2147" s="780">
        <v>93655</v>
      </c>
      <c r="J2147" s="834"/>
      <c r="K2147" s="790" t="s">
        <v>13504</v>
      </c>
      <c r="L2147" s="700" t="s">
        <v>10854</v>
      </c>
      <c r="M2147" s="870">
        <v>2</v>
      </c>
      <c r="N2147" s="399">
        <v>0</v>
      </c>
      <c r="O2147" s="102">
        <f t="shared" si="332"/>
        <v>0</v>
      </c>
      <c r="P2147" s="101">
        <f t="shared" si="333"/>
        <v>0</v>
      </c>
      <c r="Q2147" s="1472">
        <v>2</v>
      </c>
    </row>
    <row r="2148" spans="1:17">
      <c r="A2148" s="1482"/>
      <c r="B2148" s="1482"/>
      <c r="C2148" s="1555">
        <f t="shared" si="328"/>
        <v>3</v>
      </c>
      <c r="D2148" s="1492">
        <f t="shared" si="329"/>
        <v>4</v>
      </c>
      <c r="F2148" s="1484" t="s">
        <v>11724</v>
      </c>
      <c r="H2148" s="1095" t="s">
        <v>70</v>
      </c>
      <c r="I2148" s="780">
        <v>93656</v>
      </c>
      <c r="J2148" s="834"/>
      <c r="K2148" s="790" t="s">
        <v>13505</v>
      </c>
      <c r="L2148" s="700" t="s">
        <v>10854</v>
      </c>
      <c r="M2148" s="870">
        <v>1</v>
      </c>
      <c r="N2148" s="399">
        <v>0</v>
      </c>
      <c r="O2148" s="102">
        <f t="shared" si="332"/>
        <v>0</v>
      </c>
      <c r="P2148" s="101">
        <f t="shared" si="333"/>
        <v>0</v>
      </c>
      <c r="Q2148" s="1472">
        <v>1</v>
      </c>
    </row>
    <row r="2149" spans="1:17">
      <c r="A2149" s="1482"/>
      <c r="B2149" s="1482"/>
      <c r="C2149" s="1555">
        <f t="shared" si="328"/>
        <v>3</v>
      </c>
      <c r="D2149" s="1492">
        <f t="shared" si="329"/>
        <v>4</v>
      </c>
      <c r="F2149" s="1484" t="s">
        <v>11724</v>
      </c>
      <c r="H2149" s="1095" t="s">
        <v>70</v>
      </c>
      <c r="I2149" s="780">
        <v>93671</v>
      </c>
      <c r="J2149" s="834"/>
      <c r="K2149" s="790" t="s">
        <v>13506</v>
      </c>
      <c r="L2149" s="700" t="s">
        <v>10854</v>
      </c>
      <c r="M2149" s="870">
        <v>1</v>
      </c>
      <c r="N2149" s="399">
        <v>0</v>
      </c>
      <c r="O2149" s="102">
        <f t="shared" si="332"/>
        <v>0</v>
      </c>
      <c r="P2149" s="101">
        <f t="shared" si="333"/>
        <v>0</v>
      </c>
      <c r="Q2149" s="1472">
        <v>1</v>
      </c>
    </row>
    <row r="2150" spans="1:17" ht="22.5">
      <c r="A2150" s="1482"/>
      <c r="B2150" s="1482"/>
      <c r="C2150" s="1555">
        <f t="shared" si="328"/>
        <v>3</v>
      </c>
      <c r="D2150" s="1492">
        <f t="shared" si="329"/>
        <v>4</v>
      </c>
      <c r="F2150" s="1484" t="s">
        <v>11724</v>
      </c>
      <c r="H2150" s="1095" t="s">
        <v>70</v>
      </c>
      <c r="I2150" s="780">
        <v>93663</v>
      </c>
      <c r="J2150" s="834"/>
      <c r="K2150" s="790" t="s">
        <v>13507</v>
      </c>
      <c r="L2150" s="700" t="s">
        <v>10853</v>
      </c>
      <c r="M2150" s="870">
        <v>1</v>
      </c>
      <c r="N2150" s="399">
        <v>0</v>
      </c>
      <c r="O2150" s="102">
        <f t="shared" si="332"/>
        <v>0</v>
      </c>
      <c r="P2150" s="101">
        <f t="shared" si="333"/>
        <v>0</v>
      </c>
      <c r="Q2150" s="1472">
        <v>1</v>
      </c>
    </row>
    <row r="2151" spans="1:17" ht="22.5">
      <c r="A2151" s="1482"/>
      <c r="B2151" s="1482"/>
      <c r="C2151" s="1555">
        <f t="shared" si="328"/>
        <v>3</v>
      </c>
      <c r="D2151" s="1492">
        <f t="shared" si="329"/>
        <v>4</v>
      </c>
      <c r="F2151" s="1484" t="s">
        <v>11724</v>
      </c>
      <c r="H2151" s="1095" t="s">
        <v>11722</v>
      </c>
      <c r="I2151" s="780" t="s">
        <v>13508</v>
      </c>
      <c r="J2151" s="834"/>
      <c r="K2151" s="790" t="s">
        <v>13509</v>
      </c>
      <c r="L2151" s="700" t="s">
        <v>10854</v>
      </c>
      <c r="M2151" s="870">
        <v>1</v>
      </c>
      <c r="N2151" s="399">
        <v>0</v>
      </c>
      <c r="O2151" s="102">
        <f t="shared" si="332"/>
        <v>0</v>
      </c>
      <c r="P2151" s="101">
        <f t="shared" si="333"/>
        <v>0</v>
      </c>
      <c r="Q2151" s="1472">
        <v>1</v>
      </c>
    </row>
    <row r="2152" spans="1:17">
      <c r="A2152" s="1482"/>
      <c r="B2152" s="1482"/>
      <c r="C2152" s="1555">
        <f t="shared" si="328"/>
        <v>3</v>
      </c>
      <c r="D2152" s="1492">
        <f t="shared" si="329"/>
        <v>4</v>
      </c>
      <c r="F2152" s="1484" t="s">
        <v>11724</v>
      </c>
      <c r="H2152" s="1095" t="s">
        <v>70</v>
      </c>
      <c r="I2152" s="780">
        <v>91844</v>
      </c>
      <c r="J2152" s="834"/>
      <c r="K2152" s="790" t="s">
        <v>13510</v>
      </c>
      <c r="L2152" s="700" t="s">
        <v>10853</v>
      </c>
      <c r="M2152" s="870">
        <v>29</v>
      </c>
      <c r="N2152" s="399">
        <v>0</v>
      </c>
      <c r="O2152" s="102">
        <f t="shared" si="332"/>
        <v>0</v>
      </c>
      <c r="P2152" s="101">
        <f t="shared" si="333"/>
        <v>0</v>
      </c>
      <c r="Q2152" s="1472">
        <v>29</v>
      </c>
    </row>
    <row r="2153" spans="1:17">
      <c r="A2153" s="1482"/>
      <c r="B2153" s="1482"/>
      <c r="C2153" s="1555">
        <f t="shared" si="328"/>
        <v>3</v>
      </c>
      <c r="D2153" s="1492">
        <f t="shared" si="329"/>
        <v>4</v>
      </c>
      <c r="F2153" s="1484" t="s">
        <v>11724</v>
      </c>
      <c r="H2153" s="1095" t="s">
        <v>70</v>
      </c>
      <c r="I2153" s="780">
        <v>91902</v>
      </c>
      <c r="J2153" s="834"/>
      <c r="K2153" s="790" t="s">
        <v>13511</v>
      </c>
      <c r="L2153" s="700" t="s">
        <v>10853</v>
      </c>
      <c r="M2153" s="870">
        <v>20</v>
      </c>
      <c r="N2153" s="399">
        <v>0</v>
      </c>
      <c r="O2153" s="102">
        <f t="shared" si="332"/>
        <v>0</v>
      </c>
      <c r="P2153" s="101">
        <f t="shared" si="333"/>
        <v>0</v>
      </c>
      <c r="Q2153" s="1472">
        <v>20</v>
      </c>
    </row>
    <row r="2154" spans="1:17" ht="33.75">
      <c r="A2154" s="1482"/>
      <c r="B2154" s="1482"/>
      <c r="C2154" s="1555">
        <f t="shared" si="328"/>
        <v>3</v>
      </c>
      <c r="D2154" s="1492">
        <f t="shared" si="329"/>
        <v>4</v>
      </c>
      <c r="F2154" s="1484" t="s">
        <v>11724</v>
      </c>
      <c r="H2154" s="1095" t="s">
        <v>70</v>
      </c>
      <c r="I2154" s="780">
        <v>939</v>
      </c>
      <c r="J2154" s="834"/>
      <c r="K2154" s="790" t="s">
        <v>13512</v>
      </c>
      <c r="L2154" s="700" t="s">
        <v>18</v>
      </c>
      <c r="M2154" s="870">
        <v>100</v>
      </c>
      <c r="N2154" s="399">
        <v>0</v>
      </c>
      <c r="O2154" s="102">
        <f t="shared" si="332"/>
        <v>0</v>
      </c>
      <c r="P2154" s="101">
        <f t="shared" si="333"/>
        <v>0</v>
      </c>
      <c r="Q2154" s="1472">
        <v>100</v>
      </c>
    </row>
    <row r="2155" spans="1:17" ht="33.75">
      <c r="A2155" s="1482"/>
      <c r="B2155" s="1482"/>
      <c r="C2155" s="1555">
        <f t="shared" si="328"/>
        <v>3</v>
      </c>
      <c r="D2155" s="1492">
        <f t="shared" si="329"/>
        <v>4</v>
      </c>
      <c r="F2155" s="1484" t="s">
        <v>11724</v>
      </c>
      <c r="H2155" s="1095" t="s">
        <v>70</v>
      </c>
      <c r="I2155" s="780">
        <v>939</v>
      </c>
      <c r="J2155" s="834"/>
      <c r="K2155" s="790" t="s">
        <v>13513</v>
      </c>
      <c r="L2155" s="700" t="s">
        <v>18</v>
      </c>
      <c r="M2155" s="870">
        <v>80</v>
      </c>
      <c r="N2155" s="399">
        <v>0</v>
      </c>
      <c r="O2155" s="102">
        <f t="shared" si="332"/>
        <v>0</v>
      </c>
      <c r="P2155" s="101">
        <f t="shared" si="333"/>
        <v>0</v>
      </c>
      <c r="Q2155" s="1472">
        <v>80</v>
      </c>
    </row>
    <row r="2156" spans="1:17" ht="33.75">
      <c r="A2156" s="1482"/>
      <c r="B2156" s="1482"/>
      <c r="C2156" s="1555">
        <f t="shared" si="328"/>
        <v>3</v>
      </c>
      <c r="D2156" s="1492">
        <f t="shared" si="329"/>
        <v>4</v>
      </c>
      <c r="F2156" s="1484" t="s">
        <v>11724</v>
      </c>
      <c r="H2156" s="1095" t="s">
        <v>70</v>
      </c>
      <c r="I2156" s="780">
        <v>939</v>
      </c>
      <c r="J2156" s="834"/>
      <c r="K2156" s="790" t="s">
        <v>13514</v>
      </c>
      <c r="L2156" s="700" t="s">
        <v>18</v>
      </c>
      <c r="M2156" s="870">
        <v>65</v>
      </c>
      <c r="N2156" s="399">
        <v>0</v>
      </c>
      <c r="O2156" s="102">
        <f t="shared" si="332"/>
        <v>0</v>
      </c>
      <c r="P2156" s="101">
        <f t="shared" si="333"/>
        <v>0</v>
      </c>
      <c r="Q2156" s="1472">
        <v>65</v>
      </c>
    </row>
    <row r="2157" spans="1:17" ht="33.75">
      <c r="A2157" s="1482"/>
      <c r="B2157" s="1482"/>
      <c r="C2157" s="1555">
        <f t="shared" si="328"/>
        <v>3</v>
      </c>
      <c r="D2157" s="1492">
        <f>D2156+B2157</f>
        <v>4</v>
      </c>
      <c r="F2157" s="1484" t="s">
        <v>11724</v>
      </c>
      <c r="H2157" s="1095" t="s">
        <v>70</v>
      </c>
      <c r="I2157" s="780">
        <v>939</v>
      </c>
      <c r="J2157" s="834"/>
      <c r="K2157" s="790" t="s">
        <v>13515</v>
      </c>
      <c r="L2157" s="700" t="s">
        <v>18</v>
      </c>
      <c r="M2157" s="870">
        <v>35</v>
      </c>
      <c r="N2157" s="399">
        <v>0</v>
      </c>
      <c r="O2157" s="102">
        <f t="shared" si="332"/>
        <v>0</v>
      </c>
      <c r="P2157" s="101">
        <f t="shared" si="333"/>
        <v>0</v>
      </c>
      <c r="Q2157" s="1472">
        <v>35</v>
      </c>
    </row>
    <row r="2158" spans="1:17" ht="33.75">
      <c r="A2158" s="1482"/>
      <c r="B2158" s="1482"/>
      <c r="C2158" s="1555">
        <f t="shared" si="328"/>
        <v>3</v>
      </c>
      <c r="D2158" s="1492">
        <f t="shared" ref="D2158:D2212" si="334">D2157+B2158</f>
        <v>4</v>
      </c>
      <c r="F2158" s="1484" t="s">
        <v>11724</v>
      </c>
      <c r="H2158" s="1095" t="s">
        <v>70</v>
      </c>
      <c r="I2158" s="780">
        <v>944</v>
      </c>
      <c r="J2158" s="834"/>
      <c r="K2158" s="790" t="s">
        <v>13516</v>
      </c>
      <c r="L2158" s="780" t="s">
        <v>18</v>
      </c>
      <c r="M2158" s="1270">
        <v>5</v>
      </c>
      <c r="N2158" s="399">
        <v>0</v>
      </c>
      <c r="O2158" s="102">
        <f t="shared" ref="O2158:O2176" si="335">ROUND(IF(F2158="Serviços",N2158*(1+$O$7),IF(F2158="Materiais",N2158*(1+$O$8))),2)</f>
        <v>0</v>
      </c>
      <c r="P2158" s="101">
        <f t="shared" ref="P2158:P2176" si="336">ROUND(M2158*O2158,2)</f>
        <v>0</v>
      </c>
      <c r="Q2158" s="1472">
        <v>5</v>
      </c>
    </row>
    <row r="2159" spans="1:17" ht="33.75">
      <c r="A2159" s="1482"/>
      <c r="B2159" s="1482"/>
      <c r="C2159" s="1555">
        <f t="shared" si="328"/>
        <v>3</v>
      </c>
      <c r="D2159" s="1492">
        <f t="shared" si="334"/>
        <v>4</v>
      </c>
      <c r="F2159" s="1484" t="s">
        <v>11724</v>
      </c>
      <c r="H2159" s="1095" t="s">
        <v>70</v>
      </c>
      <c r="I2159" s="780">
        <v>944</v>
      </c>
      <c r="J2159" s="834"/>
      <c r="K2159" s="790" t="s">
        <v>13517</v>
      </c>
      <c r="L2159" s="780" t="s">
        <v>18</v>
      </c>
      <c r="M2159" s="1270">
        <v>5</v>
      </c>
      <c r="N2159" s="399">
        <v>0</v>
      </c>
      <c r="O2159" s="102">
        <f t="shared" si="335"/>
        <v>0</v>
      </c>
      <c r="P2159" s="101">
        <f t="shared" si="336"/>
        <v>0</v>
      </c>
      <c r="Q2159" s="1472">
        <v>5</v>
      </c>
    </row>
    <row r="2160" spans="1:17" ht="33.75">
      <c r="A2160" s="1482"/>
      <c r="B2160" s="1482"/>
      <c r="C2160" s="1555">
        <f t="shared" si="328"/>
        <v>3</v>
      </c>
      <c r="D2160" s="1492">
        <f t="shared" si="334"/>
        <v>4</v>
      </c>
      <c r="F2160" s="1484" t="s">
        <v>11724</v>
      </c>
      <c r="H2160" s="1095" t="s">
        <v>70</v>
      </c>
      <c r="I2160" s="780">
        <v>944</v>
      </c>
      <c r="J2160" s="834"/>
      <c r="K2160" s="790" t="s">
        <v>13518</v>
      </c>
      <c r="L2160" s="780" t="s">
        <v>18</v>
      </c>
      <c r="M2160" s="1270">
        <v>5</v>
      </c>
      <c r="N2160" s="399">
        <v>0</v>
      </c>
      <c r="O2160" s="102">
        <f t="shared" si="335"/>
        <v>0</v>
      </c>
      <c r="P2160" s="101">
        <f t="shared" si="336"/>
        <v>0</v>
      </c>
      <c r="Q2160" s="1472">
        <v>5</v>
      </c>
    </row>
    <row r="2161" spans="1:17" ht="22.5">
      <c r="A2161" s="1482"/>
      <c r="B2161" s="1482"/>
      <c r="C2161" s="1555">
        <f t="shared" si="328"/>
        <v>3</v>
      </c>
      <c r="D2161" s="1492">
        <f t="shared" si="334"/>
        <v>4</v>
      </c>
      <c r="F2161" s="1484" t="s">
        <v>11724</v>
      </c>
      <c r="H2161" s="1095" t="s">
        <v>70</v>
      </c>
      <c r="I2161" s="780" t="s">
        <v>16916</v>
      </c>
      <c r="J2161" s="834"/>
      <c r="K2161" s="790" t="s">
        <v>13519</v>
      </c>
      <c r="L2161" s="780" t="s">
        <v>10854</v>
      </c>
      <c r="M2161" s="1270">
        <v>6</v>
      </c>
      <c r="N2161" s="399">
        <v>0</v>
      </c>
      <c r="O2161" s="102">
        <f t="shared" si="335"/>
        <v>0</v>
      </c>
      <c r="P2161" s="101">
        <f t="shared" si="336"/>
        <v>0</v>
      </c>
      <c r="Q2161" s="1472">
        <v>6</v>
      </c>
    </row>
    <row r="2162" spans="1:17">
      <c r="A2162" s="1482"/>
      <c r="B2162" s="1482"/>
      <c r="C2162" s="1555">
        <f t="shared" si="328"/>
        <v>3</v>
      </c>
      <c r="D2162" s="1492">
        <f t="shared" si="334"/>
        <v>4</v>
      </c>
      <c r="F2162" s="1484" t="s">
        <v>11724</v>
      </c>
      <c r="H2162" s="1095" t="s">
        <v>70</v>
      </c>
      <c r="I2162" s="780">
        <v>83475</v>
      </c>
      <c r="J2162" s="834"/>
      <c r="K2162" s="790" t="s">
        <v>13520</v>
      </c>
      <c r="L2162" s="780" t="s">
        <v>10854</v>
      </c>
      <c r="M2162" s="1270">
        <v>1</v>
      </c>
      <c r="N2162" s="399">
        <v>0</v>
      </c>
      <c r="O2162" s="102">
        <f t="shared" si="335"/>
        <v>0</v>
      </c>
      <c r="P2162" s="101">
        <f t="shared" si="336"/>
        <v>0</v>
      </c>
      <c r="Q2162" s="1472">
        <v>1</v>
      </c>
    </row>
    <row r="2163" spans="1:17">
      <c r="A2163" s="1482"/>
      <c r="B2163" s="1482"/>
      <c r="C2163" s="1555">
        <f t="shared" si="328"/>
        <v>3</v>
      </c>
      <c r="D2163" s="1492">
        <f t="shared" si="334"/>
        <v>4</v>
      </c>
      <c r="F2163" s="1484" t="s">
        <v>11724</v>
      </c>
      <c r="H2163" s="1095" t="s">
        <v>70</v>
      </c>
      <c r="I2163" s="780">
        <v>83470</v>
      </c>
      <c r="J2163" s="834"/>
      <c r="K2163" s="790" t="s">
        <v>13521</v>
      </c>
      <c r="L2163" s="780" t="s">
        <v>10854</v>
      </c>
      <c r="M2163" s="1270">
        <v>2</v>
      </c>
      <c r="N2163" s="399">
        <v>0</v>
      </c>
      <c r="O2163" s="102">
        <f t="shared" si="335"/>
        <v>0</v>
      </c>
      <c r="P2163" s="101">
        <f t="shared" si="336"/>
        <v>0</v>
      </c>
      <c r="Q2163" s="1472">
        <v>2</v>
      </c>
    </row>
    <row r="2164" spans="1:17">
      <c r="A2164" s="1482"/>
      <c r="B2164" s="1482"/>
      <c r="C2164" s="1555">
        <f t="shared" si="328"/>
        <v>3</v>
      </c>
      <c r="D2164" s="1492">
        <f t="shared" si="334"/>
        <v>4</v>
      </c>
      <c r="F2164" s="1484" t="s">
        <v>11724</v>
      </c>
      <c r="H2164" s="1095" t="s">
        <v>70</v>
      </c>
      <c r="I2164" s="780">
        <v>39377</v>
      </c>
      <c r="J2164" s="834"/>
      <c r="K2164" s="790" t="s">
        <v>13522</v>
      </c>
      <c r="L2164" s="780" t="s">
        <v>10854</v>
      </c>
      <c r="M2164" s="1270">
        <v>1</v>
      </c>
      <c r="N2164" s="399">
        <v>0</v>
      </c>
      <c r="O2164" s="102">
        <f t="shared" si="335"/>
        <v>0</v>
      </c>
      <c r="P2164" s="101">
        <f t="shared" si="336"/>
        <v>0</v>
      </c>
      <c r="Q2164" s="1472">
        <v>1</v>
      </c>
    </row>
    <row r="2165" spans="1:17">
      <c r="A2165" s="1482"/>
      <c r="B2165" s="1482"/>
      <c r="C2165" s="1555">
        <f t="shared" si="328"/>
        <v>3</v>
      </c>
      <c r="D2165" s="1492">
        <f t="shared" si="334"/>
        <v>4</v>
      </c>
      <c r="F2165" s="1484" t="s">
        <v>11724</v>
      </c>
      <c r="H2165" s="1095" t="s">
        <v>70</v>
      </c>
      <c r="I2165" s="780">
        <v>38780</v>
      </c>
      <c r="J2165" s="834"/>
      <c r="K2165" s="790" t="s">
        <v>13523</v>
      </c>
      <c r="L2165" s="780" t="s">
        <v>10854</v>
      </c>
      <c r="M2165" s="1270">
        <v>4</v>
      </c>
      <c r="N2165" s="399">
        <v>0</v>
      </c>
      <c r="O2165" s="102">
        <f t="shared" si="335"/>
        <v>0</v>
      </c>
      <c r="P2165" s="101">
        <f t="shared" si="336"/>
        <v>0</v>
      </c>
      <c r="Q2165" s="1472">
        <v>4</v>
      </c>
    </row>
    <row r="2166" spans="1:17" ht="22.5">
      <c r="A2166" s="1482"/>
      <c r="B2166" s="1482"/>
      <c r="C2166" s="1555">
        <f t="shared" si="328"/>
        <v>3</v>
      </c>
      <c r="D2166" s="1492">
        <f t="shared" si="334"/>
        <v>4</v>
      </c>
      <c r="F2166" s="1484" t="s">
        <v>11724</v>
      </c>
      <c r="H2166" s="1095" t="s">
        <v>70</v>
      </c>
      <c r="I2166" s="780" t="s">
        <v>16909</v>
      </c>
      <c r="J2166" s="834"/>
      <c r="K2166" s="790" t="s">
        <v>13524</v>
      </c>
      <c r="L2166" s="780" t="s">
        <v>10853</v>
      </c>
      <c r="M2166" s="1270">
        <v>2</v>
      </c>
      <c r="N2166" s="399">
        <v>0</v>
      </c>
      <c r="O2166" s="102">
        <f t="shared" si="335"/>
        <v>0</v>
      </c>
      <c r="P2166" s="101">
        <f t="shared" si="336"/>
        <v>0</v>
      </c>
      <c r="Q2166" s="1472">
        <v>2</v>
      </c>
    </row>
    <row r="2167" spans="1:17">
      <c r="A2167" s="1482"/>
      <c r="B2167" s="1482"/>
      <c r="C2167" s="1555">
        <f t="shared" si="328"/>
        <v>3</v>
      </c>
      <c r="D2167" s="1492">
        <f t="shared" si="334"/>
        <v>4</v>
      </c>
      <c r="F2167" s="1484" t="s">
        <v>11724</v>
      </c>
      <c r="H2167" s="1095" t="s">
        <v>70</v>
      </c>
      <c r="I2167" s="780">
        <v>12216</v>
      </c>
      <c r="J2167" s="834"/>
      <c r="K2167" s="790" t="s">
        <v>13526</v>
      </c>
      <c r="L2167" s="780" t="s">
        <v>10853</v>
      </c>
      <c r="M2167" s="1270">
        <v>2</v>
      </c>
      <c r="N2167" s="399">
        <v>0</v>
      </c>
      <c r="O2167" s="102">
        <f t="shared" si="335"/>
        <v>0</v>
      </c>
      <c r="P2167" s="101">
        <f t="shared" si="336"/>
        <v>0</v>
      </c>
      <c r="Q2167" s="1472">
        <v>2</v>
      </c>
    </row>
    <row r="2168" spans="1:17" ht="33.75">
      <c r="A2168" s="1482"/>
      <c r="B2168" s="1482"/>
      <c r="C2168" s="1555">
        <f t="shared" si="328"/>
        <v>3</v>
      </c>
      <c r="D2168" s="1492">
        <f t="shared" si="334"/>
        <v>4</v>
      </c>
      <c r="F2168" s="1484" t="s">
        <v>11724</v>
      </c>
      <c r="H2168" s="1095" t="s">
        <v>11722</v>
      </c>
      <c r="I2168" s="780" t="s">
        <v>13525</v>
      </c>
      <c r="J2168" s="834"/>
      <c r="K2168" s="790" t="s">
        <v>13496</v>
      </c>
      <c r="L2168" s="780" t="s">
        <v>10853</v>
      </c>
      <c r="M2168" s="1270">
        <v>2</v>
      </c>
      <c r="N2168" s="399">
        <v>0</v>
      </c>
      <c r="O2168" s="102">
        <f t="shared" si="335"/>
        <v>0</v>
      </c>
      <c r="P2168" s="101">
        <f t="shared" si="336"/>
        <v>0</v>
      </c>
      <c r="Q2168" s="1472">
        <v>2</v>
      </c>
    </row>
    <row r="2169" spans="1:17" ht="123.75">
      <c r="A2169" s="1482"/>
      <c r="B2169" s="1482"/>
      <c r="C2169" s="1555">
        <f t="shared" si="328"/>
        <v>3</v>
      </c>
      <c r="D2169" s="1492">
        <f t="shared" si="334"/>
        <v>4</v>
      </c>
      <c r="F2169" s="1484" t="s">
        <v>11724</v>
      </c>
      <c r="H2169" s="1095" t="s">
        <v>11722</v>
      </c>
      <c r="I2169" s="780" t="s">
        <v>13527</v>
      </c>
      <c r="J2169" s="834"/>
      <c r="K2169" s="790" t="s">
        <v>13498</v>
      </c>
      <c r="L2169" s="780" t="s">
        <v>10853</v>
      </c>
      <c r="M2169" s="1270">
        <v>2</v>
      </c>
      <c r="N2169" s="399">
        <v>0</v>
      </c>
      <c r="O2169" s="102">
        <f t="shared" si="335"/>
        <v>0</v>
      </c>
      <c r="P2169" s="101">
        <f t="shared" si="336"/>
        <v>0</v>
      </c>
      <c r="Q2169" s="1472">
        <v>2</v>
      </c>
    </row>
    <row r="2170" spans="1:17" ht="33.75">
      <c r="A2170" s="1482"/>
      <c r="B2170" s="1482"/>
      <c r="C2170" s="1555">
        <f t="shared" si="328"/>
        <v>3</v>
      </c>
      <c r="D2170" s="1492">
        <f t="shared" si="334"/>
        <v>4</v>
      </c>
      <c r="F2170" s="1484" t="s">
        <v>11724</v>
      </c>
      <c r="H2170" s="1095" t="s">
        <v>11722</v>
      </c>
      <c r="I2170" s="780" t="s">
        <v>13528</v>
      </c>
      <c r="J2170" s="834"/>
      <c r="K2170" s="790" t="s">
        <v>13530</v>
      </c>
      <c r="L2170" s="780" t="s">
        <v>10854</v>
      </c>
      <c r="M2170" s="1270">
        <v>3</v>
      </c>
      <c r="N2170" s="399">
        <v>0</v>
      </c>
      <c r="O2170" s="102">
        <f t="shared" si="335"/>
        <v>0</v>
      </c>
      <c r="P2170" s="101">
        <f t="shared" si="336"/>
        <v>0</v>
      </c>
      <c r="Q2170" s="1472">
        <v>3</v>
      </c>
    </row>
    <row r="2171" spans="1:17" ht="33.75">
      <c r="A2171" s="1482"/>
      <c r="B2171" s="1482"/>
      <c r="C2171" s="1555">
        <f t="shared" si="328"/>
        <v>3</v>
      </c>
      <c r="D2171" s="1492">
        <f t="shared" si="334"/>
        <v>4</v>
      </c>
      <c r="F2171" s="1484" t="s">
        <v>11724</v>
      </c>
      <c r="H2171" s="1095" t="s">
        <v>11722</v>
      </c>
      <c r="I2171" s="780" t="s">
        <v>13529</v>
      </c>
      <c r="J2171" s="834"/>
      <c r="K2171" s="790" t="s">
        <v>13532</v>
      </c>
      <c r="L2171" s="780" t="s">
        <v>10854</v>
      </c>
      <c r="M2171" s="1270">
        <v>2</v>
      </c>
      <c r="N2171" s="399">
        <v>0</v>
      </c>
      <c r="O2171" s="102">
        <f t="shared" si="335"/>
        <v>0</v>
      </c>
      <c r="P2171" s="101">
        <f t="shared" si="336"/>
        <v>0</v>
      </c>
      <c r="Q2171" s="1472">
        <v>2</v>
      </c>
    </row>
    <row r="2172" spans="1:17">
      <c r="A2172" s="1482"/>
      <c r="B2172" s="1482"/>
      <c r="C2172" s="1555">
        <f t="shared" si="328"/>
        <v>3</v>
      </c>
      <c r="D2172" s="1492">
        <f t="shared" si="334"/>
        <v>4</v>
      </c>
      <c r="F2172" s="1484" t="s">
        <v>11724</v>
      </c>
      <c r="H2172" s="1095" t="s">
        <v>11722</v>
      </c>
      <c r="I2172" s="780" t="s">
        <v>13531</v>
      </c>
      <c r="J2172" s="834"/>
      <c r="K2172" s="790" t="s">
        <v>14651</v>
      </c>
      <c r="L2172" s="780" t="s">
        <v>10854</v>
      </c>
      <c r="M2172" s="1270">
        <v>1</v>
      </c>
      <c r="N2172" s="399">
        <v>0</v>
      </c>
      <c r="O2172" s="102">
        <f t="shared" si="335"/>
        <v>0</v>
      </c>
      <c r="P2172" s="101">
        <f t="shared" si="336"/>
        <v>0</v>
      </c>
      <c r="Q2172" s="1472">
        <v>1</v>
      </c>
    </row>
    <row r="2173" spans="1:17">
      <c r="A2173" s="1482"/>
      <c r="B2173" s="1482"/>
      <c r="C2173" s="1555">
        <f t="shared" si="328"/>
        <v>3</v>
      </c>
      <c r="D2173" s="1492">
        <f t="shared" si="334"/>
        <v>4</v>
      </c>
      <c r="F2173" s="1484" t="s">
        <v>11724</v>
      </c>
      <c r="H2173" s="1095" t="s">
        <v>11722</v>
      </c>
      <c r="I2173" s="780" t="s">
        <v>13533</v>
      </c>
      <c r="J2173" s="834"/>
      <c r="K2173" s="790" t="s">
        <v>13534</v>
      </c>
      <c r="L2173" s="780" t="s">
        <v>10854</v>
      </c>
      <c r="M2173" s="1270">
        <v>1</v>
      </c>
      <c r="N2173" s="399">
        <v>0</v>
      </c>
      <c r="O2173" s="102">
        <f t="shared" si="335"/>
        <v>0</v>
      </c>
      <c r="P2173" s="101">
        <f t="shared" si="336"/>
        <v>0</v>
      </c>
      <c r="Q2173" s="1472">
        <v>1</v>
      </c>
    </row>
    <row r="2174" spans="1:17" ht="22.5">
      <c r="A2174" s="1482"/>
      <c r="B2174" s="1482"/>
      <c r="C2174" s="1555">
        <f t="shared" si="328"/>
        <v>3</v>
      </c>
      <c r="D2174" s="1492">
        <f t="shared" si="334"/>
        <v>4</v>
      </c>
      <c r="F2174" s="1484" t="s">
        <v>11724</v>
      </c>
      <c r="H2174" s="1095" t="s">
        <v>70</v>
      </c>
      <c r="I2174" s="780">
        <v>92005</v>
      </c>
      <c r="J2174" s="834"/>
      <c r="K2174" s="790" t="s">
        <v>13536</v>
      </c>
      <c r="L2174" s="780" t="s">
        <v>10854</v>
      </c>
      <c r="M2174" s="1270">
        <v>14</v>
      </c>
      <c r="N2174" s="399">
        <v>0</v>
      </c>
      <c r="O2174" s="102">
        <f t="shared" si="335"/>
        <v>0</v>
      </c>
      <c r="P2174" s="101">
        <f t="shared" si="336"/>
        <v>0</v>
      </c>
      <c r="Q2174" s="1472">
        <v>14</v>
      </c>
    </row>
    <row r="2175" spans="1:17" ht="45">
      <c r="A2175" s="1482"/>
      <c r="B2175" s="1482"/>
      <c r="C2175" s="1555">
        <f t="shared" si="328"/>
        <v>3</v>
      </c>
      <c r="D2175" s="1492">
        <f t="shared" si="334"/>
        <v>4</v>
      </c>
      <c r="F2175" s="1484" t="s">
        <v>11724</v>
      </c>
      <c r="H2175" s="1095" t="s">
        <v>11722</v>
      </c>
      <c r="I2175" s="780" t="s">
        <v>13535</v>
      </c>
      <c r="J2175" s="834"/>
      <c r="K2175" s="790" t="s">
        <v>13537</v>
      </c>
      <c r="L2175" s="780" t="s">
        <v>10854</v>
      </c>
      <c r="M2175" s="1270">
        <v>2</v>
      </c>
      <c r="N2175" s="399">
        <v>0</v>
      </c>
      <c r="O2175" s="102">
        <f t="shared" si="335"/>
        <v>0</v>
      </c>
      <c r="P2175" s="101">
        <f t="shared" si="336"/>
        <v>0</v>
      </c>
      <c r="Q2175" s="1472">
        <v>2</v>
      </c>
    </row>
    <row r="2176" spans="1:17" ht="67.5">
      <c r="A2176" s="1482"/>
      <c r="B2176" s="1482"/>
      <c r="C2176" s="1555">
        <f t="shared" si="328"/>
        <v>3</v>
      </c>
      <c r="D2176" s="1492">
        <f t="shared" si="334"/>
        <v>4</v>
      </c>
      <c r="F2176" s="1484" t="s">
        <v>11724</v>
      </c>
      <c r="H2176" s="1095" t="s">
        <v>70</v>
      </c>
      <c r="I2176" s="780">
        <v>13396</v>
      </c>
      <c r="J2176" s="834"/>
      <c r="K2176" s="790" t="s">
        <v>14652</v>
      </c>
      <c r="L2176" s="780" t="s">
        <v>10854</v>
      </c>
      <c r="M2176" s="1270">
        <v>1</v>
      </c>
      <c r="N2176" s="399">
        <v>0</v>
      </c>
      <c r="O2176" s="102">
        <f t="shared" si="335"/>
        <v>0</v>
      </c>
      <c r="P2176" s="101">
        <f t="shared" si="336"/>
        <v>0</v>
      </c>
      <c r="Q2176" s="1472">
        <v>1</v>
      </c>
    </row>
    <row r="2177" spans="1:17" ht="15.75" thickBot="1">
      <c r="A2177" s="1482"/>
      <c r="B2177" s="1482"/>
      <c r="C2177" s="1555">
        <f t="shared" si="328"/>
        <v>3</v>
      </c>
      <c r="D2177" s="1492">
        <f t="shared" si="334"/>
        <v>4</v>
      </c>
      <c r="F2177" s="1484" t="s">
        <v>11724</v>
      </c>
      <c r="H2177" s="1095"/>
      <c r="I2177" s="780"/>
      <c r="J2177" s="834"/>
      <c r="K2177" s="780"/>
      <c r="L2177" s="780"/>
      <c r="M2177" s="1270"/>
      <c r="N2177" s="400"/>
      <c r="O2177" s="122"/>
      <c r="P2177" s="123"/>
    </row>
    <row r="2178" spans="1:17" ht="16.5" thickTop="1" thickBot="1">
      <c r="A2178" s="1482"/>
      <c r="B2178" s="1482">
        <v>1</v>
      </c>
      <c r="C2178" s="1555">
        <f t="shared" si="328"/>
        <v>3</v>
      </c>
      <c r="D2178" s="1492">
        <f>D2177+B2178</f>
        <v>5</v>
      </c>
      <c r="E2178" s="1492"/>
      <c r="F2178" s="1484" t="s">
        <v>11724</v>
      </c>
      <c r="H2178" s="1510" t="str">
        <f>CONCATENATE(C2178,".",D2178)</f>
        <v>3.5</v>
      </c>
      <c r="I2178" s="1573" t="s">
        <v>13872</v>
      </c>
      <c r="J2178" s="1573"/>
      <c r="K2178" s="1573"/>
      <c r="L2178" s="1573" t="s">
        <v>25</v>
      </c>
      <c r="M2178" s="1574" t="s">
        <v>11704</v>
      </c>
      <c r="N2178" s="397" t="s">
        <v>11705</v>
      </c>
      <c r="O2178" s="99" t="s">
        <v>11706</v>
      </c>
      <c r="P2178" s="100">
        <f>SUBTOTAL(9,P2180:P2211)</f>
        <v>0</v>
      </c>
      <c r="Q2178" s="1472" t="s">
        <v>11704</v>
      </c>
    </row>
    <row r="2179" spans="1:17" ht="15.75" thickTop="1">
      <c r="A2179" s="1482"/>
      <c r="B2179" s="1482"/>
      <c r="C2179" s="1555">
        <f t="shared" si="328"/>
        <v>3</v>
      </c>
      <c r="D2179" s="1492">
        <f>D2178+B2179</f>
        <v>5</v>
      </c>
      <c r="F2179" s="1484" t="s">
        <v>11724</v>
      </c>
      <c r="H2179" s="1095"/>
      <c r="I2179" s="780"/>
      <c r="J2179" s="834"/>
      <c r="K2179" s="790"/>
      <c r="L2179" s="700"/>
      <c r="M2179" s="870"/>
      <c r="N2179" s="399"/>
      <c r="O2179" s="102"/>
      <c r="P2179" s="101"/>
    </row>
    <row r="2180" spans="1:17">
      <c r="A2180" s="1482"/>
      <c r="B2180" s="1482"/>
      <c r="C2180" s="1555">
        <f t="shared" si="328"/>
        <v>3</v>
      </c>
      <c r="D2180" s="1492">
        <f t="shared" si="334"/>
        <v>5</v>
      </c>
      <c r="F2180" s="1484" t="s">
        <v>11724</v>
      </c>
      <c r="H2180" s="1095" t="s">
        <v>11722</v>
      </c>
      <c r="I2180" s="780" t="s">
        <v>13538</v>
      </c>
      <c r="J2180" s="834"/>
      <c r="K2180" s="790" t="s">
        <v>13539</v>
      </c>
      <c r="L2180" s="700" t="s">
        <v>10854</v>
      </c>
      <c r="M2180" s="870">
        <v>1</v>
      </c>
      <c r="N2180" s="399">
        <v>0</v>
      </c>
      <c r="O2180" s="102">
        <f t="shared" ref="O2180:O2211" si="337">ROUND(IF(F2180="Serviços",N2180*(1+$O$7),IF(F2180="Materiais",N2180*(1+$O$8))),2)</f>
        <v>0</v>
      </c>
      <c r="P2180" s="101">
        <f t="shared" ref="P2180:P2211" si="338">ROUND(M2180*O2180,2)</f>
        <v>0</v>
      </c>
      <c r="Q2180" s="1472">
        <v>1</v>
      </c>
    </row>
    <row r="2181" spans="1:17">
      <c r="A2181" s="1482"/>
      <c r="B2181" s="1482"/>
      <c r="C2181" s="1555">
        <f t="shared" si="328"/>
        <v>3</v>
      </c>
      <c r="D2181" s="1492">
        <f t="shared" si="334"/>
        <v>5</v>
      </c>
      <c r="F2181" s="1484" t="s">
        <v>11724</v>
      </c>
      <c r="H2181" s="1095" t="s">
        <v>11722</v>
      </c>
      <c r="I2181" s="780" t="s">
        <v>13540</v>
      </c>
      <c r="J2181" s="834"/>
      <c r="K2181" s="790" t="s">
        <v>13541</v>
      </c>
      <c r="L2181" s="700" t="s">
        <v>10854</v>
      </c>
      <c r="M2181" s="870">
        <v>3</v>
      </c>
      <c r="N2181" s="399">
        <v>0</v>
      </c>
      <c r="O2181" s="102">
        <f t="shared" si="337"/>
        <v>0</v>
      </c>
      <c r="P2181" s="101">
        <f t="shared" si="338"/>
        <v>0</v>
      </c>
      <c r="Q2181" s="1472">
        <v>3</v>
      </c>
    </row>
    <row r="2182" spans="1:17">
      <c r="A2182" s="1482"/>
      <c r="B2182" s="1482"/>
      <c r="C2182" s="1555">
        <f t="shared" si="328"/>
        <v>3</v>
      </c>
      <c r="D2182" s="1492">
        <f t="shared" si="334"/>
        <v>5</v>
      </c>
      <c r="F2182" s="1484" t="s">
        <v>11724</v>
      </c>
      <c r="H2182" s="1095" t="s">
        <v>11722</v>
      </c>
      <c r="I2182" s="780" t="s">
        <v>13542</v>
      </c>
      <c r="J2182" s="834"/>
      <c r="K2182" s="790" t="s">
        <v>13543</v>
      </c>
      <c r="L2182" s="700" t="s">
        <v>10854</v>
      </c>
      <c r="M2182" s="870">
        <v>1</v>
      </c>
      <c r="N2182" s="399">
        <v>0</v>
      </c>
      <c r="O2182" s="102">
        <f t="shared" si="337"/>
        <v>0</v>
      </c>
      <c r="P2182" s="101">
        <f t="shared" si="338"/>
        <v>0</v>
      </c>
      <c r="Q2182" s="1472">
        <v>1</v>
      </c>
    </row>
    <row r="2183" spans="1:17">
      <c r="A2183" s="1482"/>
      <c r="B2183" s="1482"/>
      <c r="C2183" s="1555">
        <f t="shared" si="328"/>
        <v>3</v>
      </c>
      <c r="D2183" s="1492">
        <f t="shared" si="334"/>
        <v>5</v>
      </c>
      <c r="F2183" s="1484" t="s">
        <v>11724</v>
      </c>
      <c r="H2183" s="1095" t="s">
        <v>11722</v>
      </c>
      <c r="I2183" s="780" t="s">
        <v>13544</v>
      </c>
      <c r="J2183" s="834"/>
      <c r="K2183" s="790" t="s">
        <v>13545</v>
      </c>
      <c r="L2183" s="700" t="s">
        <v>10853</v>
      </c>
      <c r="M2183" s="870">
        <v>3</v>
      </c>
      <c r="N2183" s="399">
        <v>0</v>
      </c>
      <c r="O2183" s="102">
        <f t="shared" si="337"/>
        <v>0</v>
      </c>
      <c r="P2183" s="101">
        <f t="shared" si="338"/>
        <v>0</v>
      </c>
      <c r="Q2183" s="1472">
        <v>3</v>
      </c>
    </row>
    <row r="2184" spans="1:17">
      <c r="A2184" s="1482"/>
      <c r="B2184" s="1482"/>
      <c r="C2184" s="1555">
        <f t="shared" ref="C2184:C2247" si="339">C2183</f>
        <v>3</v>
      </c>
      <c r="D2184" s="1492">
        <f t="shared" si="334"/>
        <v>5</v>
      </c>
      <c r="F2184" s="1484" t="s">
        <v>11724</v>
      </c>
      <c r="H2184" s="1095" t="s">
        <v>70</v>
      </c>
      <c r="I2184" s="780">
        <v>12344</v>
      </c>
      <c r="J2184" s="834"/>
      <c r="K2184" s="790" t="s">
        <v>13547</v>
      </c>
      <c r="L2184" s="700" t="s">
        <v>10854</v>
      </c>
      <c r="M2184" s="870">
        <v>2</v>
      </c>
      <c r="N2184" s="399">
        <v>0</v>
      </c>
      <c r="O2184" s="102">
        <f t="shared" si="337"/>
        <v>0</v>
      </c>
      <c r="P2184" s="101">
        <f t="shared" si="338"/>
        <v>0</v>
      </c>
      <c r="Q2184" s="1472">
        <v>2</v>
      </c>
    </row>
    <row r="2185" spans="1:17" ht="22.5">
      <c r="A2185" s="1482"/>
      <c r="B2185" s="1482"/>
      <c r="C2185" s="1555">
        <f t="shared" si="339"/>
        <v>3</v>
      </c>
      <c r="D2185" s="1492">
        <f t="shared" si="334"/>
        <v>5</v>
      </c>
      <c r="F2185" s="1484" t="s">
        <v>11724</v>
      </c>
      <c r="H2185" s="1095" t="s">
        <v>11722</v>
      </c>
      <c r="I2185" s="780" t="s">
        <v>13548</v>
      </c>
      <c r="J2185" s="834"/>
      <c r="K2185" s="790" t="s">
        <v>13549</v>
      </c>
      <c r="L2185" s="700" t="s">
        <v>10854</v>
      </c>
      <c r="M2185" s="870">
        <v>3</v>
      </c>
      <c r="N2185" s="399">
        <v>0</v>
      </c>
      <c r="O2185" s="102">
        <f t="shared" si="337"/>
        <v>0</v>
      </c>
      <c r="P2185" s="101">
        <f t="shared" si="338"/>
        <v>0</v>
      </c>
      <c r="Q2185" s="1472">
        <v>3</v>
      </c>
    </row>
    <row r="2186" spans="1:17" ht="22.5">
      <c r="A2186" s="1482"/>
      <c r="B2186" s="1482"/>
      <c r="C2186" s="1555">
        <f t="shared" si="339"/>
        <v>3</v>
      </c>
      <c r="D2186" s="1492">
        <f t="shared" si="334"/>
        <v>5</v>
      </c>
      <c r="F2186" s="1484" t="s">
        <v>11724</v>
      </c>
      <c r="H2186" s="1095" t="s">
        <v>11722</v>
      </c>
      <c r="I2186" s="780" t="s">
        <v>13550</v>
      </c>
      <c r="J2186" s="834"/>
      <c r="K2186" s="790" t="s">
        <v>13551</v>
      </c>
      <c r="L2186" s="700" t="s">
        <v>10853</v>
      </c>
      <c r="M2186" s="870">
        <v>4</v>
      </c>
      <c r="N2186" s="399">
        <v>0</v>
      </c>
      <c r="O2186" s="102">
        <f t="shared" si="337"/>
        <v>0</v>
      </c>
      <c r="P2186" s="101">
        <f t="shared" si="338"/>
        <v>0</v>
      </c>
      <c r="Q2186" s="1472">
        <v>4</v>
      </c>
    </row>
    <row r="2187" spans="1:17" ht="22.5">
      <c r="A2187" s="1482"/>
      <c r="B2187" s="1482"/>
      <c r="C2187" s="1555">
        <f t="shared" si="339"/>
        <v>3</v>
      </c>
      <c r="D2187" s="1492">
        <f t="shared" si="334"/>
        <v>5</v>
      </c>
      <c r="F2187" s="1484" t="s">
        <v>11724</v>
      </c>
      <c r="H2187" s="1095" t="s">
        <v>11722</v>
      </c>
      <c r="I2187" s="780" t="s">
        <v>13552</v>
      </c>
      <c r="J2187" s="834"/>
      <c r="K2187" s="790" t="s">
        <v>13553</v>
      </c>
      <c r="L2187" s="700" t="s">
        <v>10853</v>
      </c>
      <c r="M2187" s="870">
        <v>4</v>
      </c>
      <c r="N2187" s="399">
        <v>0</v>
      </c>
      <c r="O2187" s="102">
        <f t="shared" si="337"/>
        <v>0</v>
      </c>
      <c r="P2187" s="101">
        <f t="shared" si="338"/>
        <v>0</v>
      </c>
      <c r="Q2187" s="1472">
        <v>4</v>
      </c>
    </row>
    <row r="2188" spans="1:17" ht="22.5">
      <c r="A2188" s="1482"/>
      <c r="B2188" s="1482"/>
      <c r="C2188" s="1555">
        <f t="shared" si="339"/>
        <v>3</v>
      </c>
      <c r="D2188" s="1492">
        <f t="shared" si="334"/>
        <v>5</v>
      </c>
      <c r="F2188" s="1484" t="s">
        <v>11724</v>
      </c>
      <c r="H2188" s="1095" t="s">
        <v>11722</v>
      </c>
      <c r="I2188" s="780" t="s">
        <v>13554</v>
      </c>
      <c r="J2188" s="834"/>
      <c r="K2188" s="790" t="s">
        <v>13555</v>
      </c>
      <c r="L2188" s="700" t="s">
        <v>10853</v>
      </c>
      <c r="M2188" s="870">
        <v>4</v>
      </c>
      <c r="N2188" s="399">
        <v>0</v>
      </c>
      <c r="O2188" s="102">
        <f t="shared" si="337"/>
        <v>0</v>
      </c>
      <c r="P2188" s="101">
        <f t="shared" si="338"/>
        <v>0</v>
      </c>
      <c r="Q2188" s="1472">
        <v>4</v>
      </c>
    </row>
    <row r="2189" spans="1:17" ht="22.5">
      <c r="A2189" s="1482"/>
      <c r="B2189" s="1482"/>
      <c r="C2189" s="1555">
        <f t="shared" si="339"/>
        <v>3</v>
      </c>
      <c r="D2189" s="1492">
        <f t="shared" si="334"/>
        <v>5</v>
      </c>
      <c r="F2189" s="1484" t="s">
        <v>11724</v>
      </c>
      <c r="H2189" s="1095" t="s">
        <v>11722</v>
      </c>
      <c r="I2189" s="780" t="s">
        <v>13556</v>
      </c>
      <c r="J2189" s="834"/>
      <c r="K2189" s="790" t="s">
        <v>13557</v>
      </c>
      <c r="L2189" s="700" t="s">
        <v>10854</v>
      </c>
      <c r="M2189" s="870">
        <v>4</v>
      </c>
      <c r="N2189" s="399">
        <v>0</v>
      </c>
      <c r="O2189" s="102">
        <f t="shared" si="337"/>
        <v>0</v>
      </c>
      <c r="P2189" s="101">
        <f t="shared" si="338"/>
        <v>0</v>
      </c>
      <c r="Q2189" s="1472">
        <v>4</v>
      </c>
    </row>
    <row r="2190" spans="1:17" ht="22.5">
      <c r="A2190" s="1482"/>
      <c r="B2190" s="1482"/>
      <c r="C2190" s="1555">
        <f t="shared" si="339"/>
        <v>3</v>
      </c>
      <c r="D2190" s="1492">
        <f t="shared" si="334"/>
        <v>5</v>
      </c>
      <c r="F2190" s="1484" t="s">
        <v>11724</v>
      </c>
      <c r="H2190" s="1095" t="s">
        <v>11722</v>
      </c>
      <c r="I2190" s="780" t="s">
        <v>13558</v>
      </c>
      <c r="J2190" s="834"/>
      <c r="K2190" s="790" t="s">
        <v>13559</v>
      </c>
      <c r="L2190" s="700" t="s">
        <v>10853</v>
      </c>
      <c r="M2190" s="870">
        <v>60</v>
      </c>
      <c r="N2190" s="399">
        <v>0</v>
      </c>
      <c r="O2190" s="102">
        <f t="shared" si="337"/>
        <v>0</v>
      </c>
      <c r="P2190" s="101">
        <f t="shared" si="338"/>
        <v>0</v>
      </c>
      <c r="Q2190" s="1472">
        <v>60</v>
      </c>
    </row>
    <row r="2191" spans="1:17" ht="22.5">
      <c r="A2191" s="1482"/>
      <c r="B2191" s="1482"/>
      <c r="C2191" s="1555">
        <f t="shared" si="339"/>
        <v>3</v>
      </c>
      <c r="D2191" s="1492">
        <f t="shared" si="334"/>
        <v>5</v>
      </c>
      <c r="F2191" s="1484" t="s">
        <v>11724</v>
      </c>
      <c r="H2191" s="1095" t="s">
        <v>11722</v>
      </c>
      <c r="I2191" s="780" t="s">
        <v>13560</v>
      </c>
      <c r="J2191" s="834"/>
      <c r="K2191" s="790" t="s">
        <v>13561</v>
      </c>
      <c r="L2191" s="700" t="s">
        <v>10854</v>
      </c>
      <c r="M2191" s="870">
        <v>10</v>
      </c>
      <c r="N2191" s="399">
        <v>0</v>
      </c>
      <c r="O2191" s="102">
        <f t="shared" si="337"/>
        <v>0</v>
      </c>
      <c r="P2191" s="101">
        <f t="shared" si="338"/>
        <v>0</v>
      </c>
      <c r="Q2191" s="1472">
        <v>10</v>
      </c>
    </row>
    <row r="2192" spans="1:17" ht="22.5">
      <c r="A2192" s="1482"/>
      <c r="B2192" s="1482"/>
      <c r="C2192" s="1555">
        <f t="shared" si="339"/>
        <v>3</v>
      </c>
      <c r="D2192" s="1492">
        <f t="shared" si="334"/>
        <v>5</v>
      </c>
      <c r="F2192" s="1484" t="s">
        <v>11724</v>
      </c>
      <c r="H2192" s="1095" t="s">
        <v>11722</v>
      </c>
      <c r="I2192" s="780" t="s">
        <v>13562</v>
      </c>
      <c r="J2192" s="834"/>
      <c r="K2192" s="790" t="s">
        <v>13563</v>
      </c>
      <c r="L2192" s="700" t="s">
        <v>10854</v>
      </c>
      <c r="M2192" s="870">
        <v>3</v>
      </c>
      <c r="N2192" s="399">
        <v>0</v>
      </c>
      <c r="O2192" s="102">
        <f t="shared" si="337"/>
        <v>0</v>
      </c>
      <c r="P2192" s="101">
        <f t="shared" si="338"/>
        <v>0</v>
      </c>
      <c r="Q2192" s="1472">
        <v>3</v>
      </c>
    </row>
    <row r="2193" spans="1:17">
      <c r="A2193" s="1482"/>
      <c r="B2193" s="1482"/>
      <c r="C2193" s="1555">
        <f t="shared" si="339"/>
        <v>3</v>
      </c>
      <c r="D2193" s="1492">
        <f t="shared" ref="D2193:D2211" si="340">D2192+B2193</f>
        <v>5</v>
      </c>
      <c r="F2193" s="1484" t="s">
        <v>11724</v>
      </c>
      <c r="H2193" s="1095" t="s">
        <v>11722</v>
      </c>
      <c r="I2193" s="780" t="s">
        <v>13564</v>
      </c>
      <c r="J2193" s="834"/>
      <c r="K2193" s="790" t="s">
        <v>13565</v>
      </c>
      <c r="L2193" s="780" t="s">
        <v>11723</v>
      </c>
      <c r="M2193" s="1270">
        <v>2</v>
      </c>
      <c r="N2193" s="399">
        <v>0</v>
      </c>
      <c r="O2193" s="102">
        <f t="shared" si="337"/>
        <v>0</v>
      </c>
      <c r="P2193" s="101">
        <f t="shared" si="338"/>
        <v>0</v>
      </c>
      <c r="Q2193" s="1472">
        <v>2</v>
      </c>
    </row>
    <row r="2194" spans="1:17" ht="33.75">
      <c r="A2194" s="1482"/>
      <c r="B2194" s="1482"/>
      <c r="C2194" s="1555">
        <f t="shared" si="339"/>
        <v>3</v>
      </c>
      <c r="D2194" s="1492">
        <f t="shared" si="340"/>
        <v>5</v>
      </c>
      <c r="F2194" s="1484" t="s">
        <v>11724</v>
      </c>
      <c r="H2194" s="1095" t="s">
        <v>11722</v>
      </c>
      <c r="I2194" s="780" t="s">
        <v>13566</v>
      </c>
      <c r="J2194" s="834"/>
      <c r="K2194" s="790" t="s">
        <v>13567</v>
      </c>
      <c r="L2194" s="780" t="s">
        <v>10853</v>
      </c>
      <c r="M2194" s="1270">
        <v>2</v>
      </c>
      <c r="N2194" s="399">
        <v>0</v>
      </c>
      <c r="O2194" s="102">
        <f t="shared" si="337"/>
        <v>0</v>
      </c>
      <c r="P2194" s="101">
        <f t="shared" si="338"/>
        <v>0</v>
      </c>
      <c r="Q2194" s="1472">
        <v>2</v>
      </c>
    </row>
    <row r="2195" spans="1:17">
      <c r="A2195" s="1482"/>
      <c r="B2195" s="1482"/>
      <c r="C2195" s="1555">
        <f t="shared" si="339"/>
        <v>3</v>
      </c>
      <c r="D2195" s="1492">
        <f t="shared" si="340"/>
        <v>5</v>
      </c>
      <c r="F2195" s="1484" t="s">
        <v>11724</v>
      </c>
      <c r="H2195" s="1095" t="s">
        <v>70</v>
      </c>
      <c r="I2195" s="780">
        <v>34653</v>
      </c>
      <c r="J2195" s="834"/>
      <c r="K2195" s="790" t="s">
        <v>13569</v>
      </c>
      <c r="L2195" s="780" t="s">
        <v>10854</v>
      </c>
      <c r="M2195" s="1270">
        <v>1</v>
      </c>
      <c r="N2195" s="399">
        <v>0</v>
      </c>
      <c r="O2195" s="102">
        <f t="shared" si="337"/>
        <v>0</v>
      </c>
      <c r="P2195" s="101">
        <f t="shared" si="338"/>
        <v>0</v>
      </c>
      <c r="Q2195" s="1472">
        <v>1</v>
      </c>
    </row>
    <row r="2196" spans="1:17">
      <c r="A2196" s="1482"/>
      <c r="B2196" s="1482"/>
      <c r="C2196" s="1555">
        <f t="shared" si="339"/>
        <v>3</v>
      </c>
      <c r="D2196" s="1492">
        <f t="shared" si="340"/>
        <v>5</v>
      </c>
      <c r="F2196" s="1484" t="s">
        <v>11724</v>
      </c>
      <c r="H2196" s="1095" t="s">
        <v>70</v>
      </c>
      <c r="I2196" s="780">
        <v>93671</v>
      </c>
      <c r="J2196" s="834"/>
      <c r="K2196" s="790" t="s">
        <v>13506</v>
      </c>
      <c r="L2196" s="780" t="s">
        <v>10854</v>
      </c>
      <c r="M2196" s="1270">
        <v>1</v>
      </c>
      <c r="N2196" s="399">
        <v>0</v>
      </c>
      <c r="O2196" s="102">
        <f t="shared" si="337"/>
        <v>0</v>
      </c>
      <c r="P2196" s="101">
        <f t="shared" si="338"/>
        <v>0</v>
      </c>
      <c r="Q2196" s="1472">
        <v>1</v>
      </c>
    </row>
    <row r="2197" spans="1:17">
      <c r="A2197" s="1482"/>
      <c r="B2197" s="1482"/>
      <c r="C2197" s="1555">
        <f t="shared" si="339"/>
        <v>3</v>
      </c>
      <c r="D2197" s="1492">
        <f t="shared" si="340"/>
        <v>5</v>
      </c>
      <c r="F2197" s="1484" t="s">
        <v>11724</v>
      </c>
      <c r="H2197" s="1095" t="s">
        <v>70</v>
      </c>
      <c r="I2197" s="780">
        <v>93672</v>
      </c>
      <c r="J2197" s="834"/>
      <c r="K2197" s="790" t="s">
        <v>13570</v>
      </c>
      <c r="L2197" s="780" t="s">
        <v>10854</v>
      </c>
      <c r="M2197" s="1270">
        <v>1</v>
      </c>
      <c r="N2197" s="399">
        <v>0</v>
      </c>
      <c r="O2197" s="102">
        <f t="shared" si="337"/>
        <v>0</v>
      </c>
      <c r="P2197" s="101">
        <f t="shared" si="338"/>
        <v>0</v>
      </c>
      <c r="Q2197" s="1472">
        <v>1</v>
      </c>
    </row>
    <row r="2198" spans="1:17">
      <c r="A2198" s="1482"/>
      <c r="B2198" s="1482"/>
      <c r="C2198" s="1555">
        <f t="shared" si="339"/>
        <v>3</v>
      </c>
      <c r="D2198" s="1492">
        <f t="shared" si="340"/>
        <v>5</v>
      </c>
      <c r="F2198" s="1484" t="s">
        <v>11724</v>
      </c>
      <c r="H2198" s="1095" t="s">
        <v>70</v>
      </c>
      <c r="I2198" s="780">
        <v>14543</v>
      </c>
      <c r="J2198" s="834"/>
      <c r="K2198" s="790" t="s">
        <v>13571</v>
      </c>
      <c r="L2198" s="780" t="s">
        <v>10854</v>
      </c>
      <c r="M2198" s="1270">
        <v>2</v>
      </c>
      <c r="N2198" s="399">
        <v>0</v>
      </c>
      <c r="O2198" s="102">
        <f t="shared" si="337"/>
        <v>0</v>
      </c>
      <c r="P2198" s="101">
        <f t="shared" si="338"/>
        <v>0</v>
      </c>
      <c r="Q2198" s="1472">
        <v>2</v>
      </c>
    </row>
    <row r="2199" spans="1:17">
      <c r="A2199" s="1482"/>
      <c r="B2199" s="1482"/>
      <c r="C2199" s="1555">
        <f t="shared" si="339"/>
        <v>3</v>
      </c>
      <c r="D2199" s="1492">
        <f t="shared" si="340"/>
        <v>5</v>
      </c>
      <c r="F2199" s="1484" t="s">
        <v>11724</v>
      </c>
      <c r="H2199" s="1095" t="s">
        <v>70</v>
      </c>
      <c r="I2199" s="780">
        <v>38191</v>
      </c>
      <c r="J2199" s="834"/>
      <c r="K2199" s="790" t="s">
        <v>13572</v>
      </c>
      <c r="L2199" s="780" t="s">
        <v>10854</v>
      </c>
      <c r="M2199" s="1270">
        <v>2</v>
      </c>
      <c r="N2199" s="399">
        <v>0</v>
      </c>
      <c r="O2199" s="102">
        <f t="shared" si="337"/>
        <v>0</v>
      </c>
      <c r="P2199" s="101">
        <f t="shared" si="338"/>
        <v>0</v>
      </c>
      <c r="Q2199" s="1472">
        <v>2</v>
      </c>
    </row>
    <row r="2200" spans="1:17">
      <c r="A2200" s="1482"/>
      <c r="B2200" s="1482"/>
      <c r="C2200" s="1555">
        <f t="shared" si="339"/>
        <v>3</v>
      </c>
      <c r="D2200" s="1492">
        <f t="shared" si="340"/>
        <v>5</v>
      </c>
      <c r="F2200" s="1484" t="s">
        <v>11724</v>
      </c>
      <c r="H2200" s="1095" t="s">
        <v>11722</v>
      </c>
      <c r="I2200" s="780" t="s">
        <v>13573</v>
      </c>
      <c r="J2200" s="834"/>
      <c r="K2200" s="790" t="s">
        <v>13574</v>
      </c>
      <c r="L2200" s="780" t="s">
        <v>10854</v>
      </c>
      <c r="M2200" s="1270">
        <v>1</v>
      </c>
      <c r="N2200" s="399">
        <v>0</v>
      </c>
      <c r="O2200" s="102">
        <f t="shared" si="337"/>
        <v>0</v>
      </c>
      <c r="P2200" s="101">
        <f t="shared" si="338"/>
        <v>0</v>
      </c>
      <c r="Q2200" s="1472">
        <v>1</v>
      </c>
    </row>
    <row r="2201" spans="1:17" ht="22.5">
      <c r="A2201" s="1482"/>
      <c r="B2201" s="1482"/>
      <c r="C2201" s="1555">
        <f t="shared" si="339"/>
        <v>3</v>
      </c>
      <c r="D2201" s="1492">
        <f t="shared" si="340"/>
        <v>5</v>
      </c>
      <c r="F2201" s="1484" t="s">
        <v>11724</v>
      </c>
      <c r="H2201" s="1095" t="s">
        <v>11722</v>
      </c>
      <c r="I2201" s="780" t="s">
        <v>13575</v>
      </c>
      <c r="J2201" s="834"/>
      <c r="K2201" s="790" t="s">
        <v>13576</v>
      </c>
      <c r="L2201" s="780" t="s">
        <v>10853</v>
      </c>
      <c r="M2201" s="1270">
        <v>3</v>
      </c>
      <c r="N2201" s="399">
        <v>0</v>
      </c>
      <c r="O2201" s="102">
        <f t="shared" si="337"/>
        <v>0</v>
      </c>
      <c r="P2201" s="101">
        <f t="shared" si="338"/>
        <v>0</v>
      </c>
      <c r="Q2201" s="1472">
        <v>3</v>
      </c>
    </row>
    <row r="2202" spans="1:17" ht="22.5">
      <c r="A2202" s="1482"/>
      <c r="B2202" s="1482"/>
      <c r="C2202" s="1555">
        <f t="shared" si="339"/>
        <v>3</v>
      </c>
      <c r="D2202" s="1492">
        <f t="shared" si="340"/>
        <v>5</v>
      </c>
      <c r="F2202" s="1484" t="s">
        <v>11724</v>
      </c>
      <c r="H2202" s="1095" t="s">
        <v>11722</v>
      </c>
      <c r="I2202" s="780" t="s">
        <v>13577</v>
      </c>
      <c r="J2202" s="834"/>
      <c r="K2202" s="790" t="s">
        <v>13578</v>
      </c>
      <c r="L2202" s="780" t="s">
        <v>10854</v>
      </c>
      <c r="M2202" s="1270">
        <v>1</v>
      </c>
      <c r="N2202" s="399">
        <v>0</v>
      </c>
      <c r="O2202" s="102">
        <f t="shared" si="337"/>
        <v>0</v>
      </c>
      <c r="P2202" s="101">
        <f t="shared" si="338"/>
        <v>0</v>
      </c>
      <c r="Q2202" s="1472">
        <v>1</v>
      </c>
    </row>
    <row r="2203" spans="1:17">
      <c r="A2203" s="1482"/>
      <c r="B2203" s="1482"/>
      <c r="C2203" s="1555">
        <f t="shared" si="339"/>
        <v>3</v>
      </c>
      <c r="D2203" s="1492">
        <f t="shared" si="340"/>
        <v>5</v>
      </c>
      <c r="F2203" s="1484" t="s">
        <v>11724</v>
      </c>
      <c r="H2203" s="1095" t="s">
        <v>11722</v>
      </c>
      <c r="I2203" s="780" t="s">
        <v>13579</v>
      </c>
      <c r="J2203" s="834"/>
      <c r="K2203" s="790" t="s">
        <v>13580</v>
      </c>
      <c r="L2203" s="780" t="s">
        <v>18</v>
      </c>
      <c r="M2203" s="1270">
        <v>1.8</v>
      </c>
      <c r="N2203" s="399">
        <v>0</v>
      </c>
      <c r="O2203" s="102">
        <f t="shared" si="337"/>
        <v>0</v>
      </c>
      <c r="P2203" s="101">
        <f t="shared" si="338"/>
        <v>0</v>
      </c>
      <c r="Q2203" s="1472">
        <v>1.8</v>
      </c>
    </row>
    <row r="2204" spans="1:17">
      <c r="A2204" s="1482"/>
      <c r="B2204" s="1482"/>
      <c r="C2204" s="1555">
        <f t="shared" si="339"/>
        <v>3</v>
      </c>
      <c r="D2204" s="1492">
        <f t="shared" si="340"/>
        <v>5</v>
      </c>
      <c r="F2204" s="1484" t="s">
        <v>11724</v>
      </c>
      <c r="H2204" s="1095" t="s">
        <v>11722</v>
      </c>
      <c r="I2204" s="780" t="s">
        <v>13581</v>
      </c>
      <c r="J2204" s="834"/>
      <c r="K2204" s="790" t="s">
        <v>13582</v>
      </c>
      <c r="L2204" s="780" t="s">
        <v>18</v>
      </c>
      <c r="M2204" s="1270">
        <v>0.6</v>
      </c>
      <c r="N2204" s="399">
        <v>0</v>
      </c>
      <c r="O2204" s="102">
        <f t="shared" si="337"/>
        <v>0</v>
      </c>
      <c r="P2204" s="101">
        <f t="shared" si="338"/>
        <v>0</v>
      </c>
      <c r="Q2204" s="1472">
        <v>0.6</v>
      </c>
    </row>
    <row r="2205" spans="1:17">
      <c r="A2205" s="1482"/>
      <c r="B2205" s="1482"/>
      <c r="C2205" s="1555">
        <f t="shared" si="339"/>
        <v>3</v>
      </c>
      <c r="D2205" s="1492">
        <f t="shared" si="340"/>
        <v>5</v>
      </c>
      <c r="F2205" s="1484" t="s">
        <v>11724</v>
      </c>
      <c r="H2205" s="1095" t="s">
        <v>11722</v>
      </c>
      <c r="I2205" s="780" t="s">
        <v>13583</v>
      </c>
      <c r="J2205" s="834"/>
      <c r="K2205" s="790" t="s">
        <v>13584</v>
      </c>
      <c r="L2205" s="780" t="s">
        <v>18</v>
      </c>
      <c r="M2205" s="1270">
        <v>0.6</v>
      </c>
      <c r="N2205" s="399">
        <v>0</v>
      </c>
      <c r="O2205" s="102">
        <f t="shared" si="337"/>
        <v>0</v>
      </c>
      <c r="P2205" s="101">
        <f t="shared" si="338"/>
        <v>0</v>
      </c>
      <c r="Q2205" s="1472">
        <v>0.6</v>
      </c>
    </row>
    <row r="2206" spans="1:17" ht="33.75">
      <c r="A2206" s="1482"/>
      <c r="B2206" s="1482"/>
      <c r="C2206" s="1555">
        <f t="shared" si="339"/>
        <v>3</v>
      </c>
      <c r="D2206" s="1492">
        <f t="shared" si="340"/>
        <v>5</v>
      </c>
      <c r="F2206" s="1484" t="s">
        <v>11724</v>
      </c>
      <c r="H2206" s="1095" t="s">
        <v>11722</v>
      </c>
      <c r="I2206" s="780" t="s">
        <v>13585</v>
      </c>
      <c r="J2206" s="834"/>
      <c r="K2206" s="790" t="s">
        <v>13586</v>
      </c>
      <c r="L2206" s="780" t="s">
        <v>10854</v>
      </c>
      <c r="M2206" s="1270">
        <v>1</v>
      </c>
      <c r="N2206" s="399">
        <v>0</v>
      </c>
      <c r="O2206" s="102">
        <f t="shared" si="337"/>
        <v>0</v>
      </c>
      <c r="P2206" s="101">
        <f t="shared" si="338"/>
        <v>0</v>
      </c>
      <c r="Q2206" s="1472">
        <v>1</v>
      </c>
    </row>
    <row r="2207" spans="1:17" ht="22.5">
      <c r="A2207" s="1482"/>
      <c r="B2207" s="1482"/>
      <c r="C2207" s="1555">
        <f t="shared" si="339"/>
        <v>3</v>
      </c>
      <c r="D2207" s="1492">
        <f t="shared" si="340"/>
        <v>5</v>
      </c>
      <c r="F2207" s="1484" t="s">
        <v>11724</v>
      </c>
      <c r="H2207" s="1095" t="s">
        <v>11722</v>
      </c>
      <c r="I2207" s="780" t="s">
        <v>13587</v>
      </c>
      <c r="J2207" s="834"/>
      <c r="K2207" s="790" t="s">
        <v>13588</v>
      </c>
      <c r="L2207" s="780" t="s">
        <v>10854</v>
      </c>
      <c r="M2207" s="1270">
        <v>1</v>
      </c>
      <c r="N2207" s="399">
        <v>0</v>
      </c>
      <c r="O2207" s="102">
        <f t="shared" si="337"/>
        <v>0</v>
      </c>
      <c r="P2207" s="101">
        <f t="shared" si="338"/>
        <v>0</v>
      </c>
      <c r="Q2207" s="1472">
        <v>1</v>
      </c>
    </row>
    <row r="2208" spans="1:17" ht="22.5">
      <c r="A2208" s="1482"/>
      <c r="B2208" s="1482"/>
      <c r="C2208" s="1555">
        <f t="shared" si="339"/>
        <v>3</v>
      </c>
      <c r="D2208" s="1492">
        <f t="shared" si="340"/>
        <v>5</v>
      </c>
      <c r="F2208" s="1484" t="s">
        <v>11724</v>
      </c>
      <c r="H2208" s="1095" t="s">
        <v>11722</v>
      </c>
      <c r="I2208" s="780" t="s">
        <v>13589</v>
      </c>
      <c r="J2208" s="834"/>
      <c r="K2208" s="790" t="s">
        <v>13590</v>
      </c>
      <c r="L2208" s="780" t="s">
        <v>10853</v>
      </c>
      <c r="M2208" s="1270">
        <v>4</v>
      </c>
      <c r="N2208" s="399">
        <v>0</v>
      </c>
      <c r="O2208" s="102">
        <f t="shared" si="337"/>
        <v>0</v>
      </c>
      <c r="P2208" s="101">
        <f t="shared" si="338"/>
        <v>0</v>
      </c>
      <c r="Q2208" s="1472">
        <v>4</v>
      </c>
    </row>
    <row r="2209" spans="1:17" ht="22.5">
      <c r="A2209" s="1482"/>
      <c r="B2209" s="1482"/>
      <c r="C2209" s="1555">
        <f t="shared" si="339"/>
        <v>3</v>
      </c>
      <c r="D2209" s="1492">
        <f t="shared" si="340"/>
        <v>5</v>
      </c>
      <c r="F2209" s="1484" t="s">
        <v>11724</v>
      </c>
      <c r="H2209" s="1095" t="s">
        <v>11722</v>
      </c>
      <c r="I2209" s="780" t="s">
        <v>13591</v>
      </c>
      <c r="J2209" s="834"/>
      <c r="K2209" s="790" t="s">
        <v>13592</v>
      </c>
      <c r="L2209" s="780" t="s">
        <v>10853</v>
      </c>
      <c r="M2209" s="1270">
        <v>2</v>
      </c>
      <c r="N2209" s="399">
        <v>0</v>
      </c>
      <c r="O2209" s="102">
        <f t="shared" si="337"/>
        <v>0</v>
      </c>
      <c r="P2209" s="101">
        <f t="shared" si="338"/>
        <v>0</v>
      </c>
      <c r="Q2209" s="1472">
        <v>2</v>
      </c>
    </row>
    <row r="2210" spans="1:17" ht="22.5">
      <c r="A2210" s="1482"/>
      <c r="B2210" s="1482"/>
      <c r="C2210" s="1555">
        <f t="shared" si="339"/>
        <v>3</v>
      </c>
      <c r="D2210" s="1492">
        <f t="shared" si="340"/>
        <v>5</v>
      </c>
      <c r="F2210" s="1484" t="s">
        <v>11724</v>
      </c>
      <c r="H2210" s="1095" t="s">
        <v>11722</v>
      </c>
      <c r="I2210" s="780" t="s">
        <v>13593</v>
      </c>
      <c r="J2210" s="834"/>
      <c r="K2210" s="790" t="s">
        <v>13594</v>
      </c>
      <c r="L2210" s="780" t="s">
        <v>10853</v>
      </c>
      <c r="M2210" s="1270">
        <v>2</v>
      </c>
      <c r="N2210" s="399">
        <v>0</v>
      </c>
      <c r="O2210" s="102">
        <f t="shared" si="337"/>
        <v>0</v>
      </c>
      <c r="P2210" s="101">
        <f t="shared" si="338"/>
        <v>0</v>
      </c>
      <c r="Q2210" s="1472">
        <v>2</v>
      </c>
    </row>
    <row r="2211" spans="1:17" ht="22.5">
      <c r="A2211" s="1482"/>
      <c r="B2211" s="1482"/>
      <c r="C2211" s="1555">
        <f t="shared" si="339"/>
        <v>3</v>
      </c>
      <c r="D2211" s="1492">
        <f t="shared" si="340"/>
        <v>5</v>
      </c>
      <c r="F2211" s="1484" t="s">
        <v>11724</v>
      </c>
      <c r="H2211" s="1095" t="s">
        <v>11722</v>
      </c>
      <c r="I2211" s="780" t="s">
        <v>13595</v>
      </c>
      <c r="J2211" s="834"/>
      <c r="K2211" s="790" t="s">
        <v>13596</v>
      </c>
      <c r="L2211" s="780" t="s">
        <v>10853</v>
      </c>
      <c r="M2211" s="1270">
        <v>2</v>
      </c>
      <c r="N2211" s="399">
        <v>0</v>
      </c>
      <c r="O2211" s="102">
        <f t="shared" si="337"/>
        <v>0</v>
      </c>
      <c r="P2211" s="101">
        <f t="shared" si="338"/>
        <v>0</v>
      </c>
      <c r="Q2211" s="1472">
        <v>2</v>
      </c>
    </row>
    <row r="2212" spans="1:17" ht="15.75" thickBot="1">
      <c r="A2212" s="1482"/>
      <c r="B2212" s="1482"/>
      <c r="C2212" s="1555">
        <f t="shared" si="339"/>
        <v>3</v>
      </c>
      <c r="D2212" s="1492">
        <f t="shared" si="334"/>
        <v>5</v>
      </c>
      <c r="F2212" s="1484" t="s">
        <v>11724</v>
      </c>
      <c r="H2212" s="1095"/>
      <c r="I2212" s="780"/>
      <c r="J2212" s="834"/>
      <c r="K2212" s="780"/>
      <c r="L2212" s="780"/>
      <c r="M2212" s="1270"/>
      <c r="N2212" s="400"/>
      <c r="O2212" s="122"/>
      <c r="P2212" s="123"/>
    </row>
    <row r="2213" spans="1:17" ht="16.5" thickTop="1" thickBot="1">
      <c r="A2213" s="1482"/>
      <c r="B2213" s="1482">
        <v>1</v>
      </c>
      <c r="C2213" s="1555">
        <f t="shared" si="339"/>
        <v>3</v>
      </c>
      <c r="D2213" s="1492">
        <f>D2212+B2213</f>
        <v>6</v>
      </c>
      <c r="E2213" s="1492"/>
      <c r="F2213" s="1484" t="s">
        <v>11724</v>
      </c>
      <c r="H2213" s="1510" t="str">
        <f>CONCATENATE(C2213,".",D2213)</f>
        <v>3.6</v>
      </c>
      <c r="I2213" s="1573" t="s">
        <v>13873</v>
      </c>
      <c r="J2213" s="1573"/>
      <c r="K2213" s="1573"/>
      <c r="L2213" s="1573" t="s">
        <v>25</v>
      </c>
      <c r="M2213" s="1574" t="s">
        <v>11704</v>
      </c>
      <c r="N2213" s="397" t="s">
        <v>11705</v>
      </c>
      <c r="O2213" s="99" t="s">
        <v>11706</v>
      </c>
      <c r="P2213" s="100">
        <f>SUBTOTAL(9,P2215:P2243)</f>
        <v>0</v>
      </c>
      <c r="Q2213" s="1472" t="s">
        <v>11704</v>
      </c>
    </row>
    <row r="2214" spans="1:17" ht="15.75" thickTop="1">
      <c r="A2214" s="1482"/>
      <c r="B2214" s="1482"/>
      <c r="C2214" s="1555">
        <f t="shared" si="339"/>
        <v>3</v>
      </c>
      <c r="D2214" s="1492">
        <f>D2213+B2214</f>
        <v>6</v>
      </c>
      <c r="F2214" s="1484" t="s">
        <v>11724</v>
      </c>
      <c r="H2214" s="1095"/>
      <c r="I2214" s="780"/>
      <c r="J2214" s="834"/>
      <c r="K2214" s="790"/>
      <c r="L2214" s="700"/>
      <c r="M2214" s="870"/>
      <c r="N2214" s="399"/>
      <c r="O2214" s="102"/>
      <c r="P2214" s="101"/>
    </row>
    <row r="2215" spans="1:17">
      <c r="A2215" s="1482"/>
      <c r="B2215" s="1482"/>
      <c r="C2215" s="1555">
        <f t="shared" si="339"/>
        <v>3</v>
      </c>
      <c r="D2215" s="1492">
        <f>D2214+B2215</f>
        <v>6</v>
      </c>
      <c r="F2215" s="1484" t="s">
        <v>11724</v>
      </c>
      <c r="H2215" s="1095" t="s">
        <v>11722</v>
      </c>
      <c r="I2215" s="780" t="s">
        <v>13597</v>
      </c>
      <c r="J2215" s="834"/>
      <c r="K2215" s="790" t="s">
        <v>13539</v>
      </c>
      <c r="L2215" s="700" t="s">
        <v>10854</v>
      </c>
      <c r="M2215" s="870">
        <v>2</v>
      </c>
      <c r="N2215" s="399">
        <v>0</v>
      </c>
      <c r="O2215" s="102">
        <f t="shared" ref="O2215:O2243" si="341">ROUND(IF(F2215="Serviços",N2215*(1+$O$7),IF(F2215="Materiais",N2215*(1+$O$8))),2)</f>
        <v>0</v>
      </c>
      <c r="P2215" s="101">
        <f t="shared" ref="P2215:P2243" si="342">ROUND(M2215*O2215,2)</f>
        <v>0</v>
      </c>
      <c r="Q2215" s="1472">
        <v>2</v>
      </c>
    </row>
    <row r="2216" spans="1:17">
      <c r="A2216" s="1482"/>
      <c r="B2216" s="1482"/>
      <c r="C2216" s="1555">
        <f t="shared" si="339"/>
        <v>3</v>
      </c>
      <c r="D2216" s="1492">
        <f>D2215+B2216</f>
        <v>6</v>
      </c>
      <c r="F2216" s="1484" t="s">
        <v>11724</v>
      </c>
      <c r="H2216" s="1095" t="s">
        <v>11722</v>
      </c>
      <c r="I2216" s="780" t="s">
        <v>13598</v>
      </c>
      <c r="J2216" s="834"/>
      <c r="K2216" s="790" t="s">
        <v>13545</v>
      </c>
      <c r="L2216" s="700" t="s">
        <v>10853</v>
      </c>
      <c r="M2216" s="870">
        <v>3</v>
      </c>
      <c r="N2216" s="399">
        <v>0</v>
      </c>
      <c r="O2216" s="102">
        <f t="shared" si="341"/>
        <v>0</v>
      </c>
      <c r="P2216" s="101">
        <f t="shared" si="342"/>
        <v>0</v>
      </c>
      <c r="Q2216" s="1472">
        <v>3</v>
      </c>
    </row>
    <row r="2217" spans="1:17">
      <c r="A2217" s="1482"/>
      <c r="B2217" s="1482"/>
      <c r="C2217" s="1555">
        <f t="shared" si="339"/>
        <v>3</v>
      </c>
      <c r="D2217" s="1492">
        <f t="shared" ref="D2217:D2243" si="343">D2216+B2217</f>
        <v>6</v>
      </c>
      <c r="F2217" s="1484" t="s">
        <v>11724</v>
      </c>
      <c r="H2217" s="1095" t="s">
        <v>70</v>
      </c>
      <c r="I2217" s="780">
        <v>12344</v>
      </c>
      <c r="J2217" s="834"/>
      <c r="K2217" s="790" t="s">
        <v>13547</v>
      </c>
      <c r="L2217" s="700" t="s">
        <v>10854</v>
      </c>
      <c r="M2217" s="870">
        <v>2</v>
      </c>
      <c r="N2217" s="399">
        <v>0</v>
      </c>
      <c r="O2217" s="102">
        <f t="shared" si="341"/>
        <v>0</v>
      </c>
      <c r="P2217" s="101">
        <f t="shared" si="342"/>
        <v>0</v>
      </c>
      <c r="Q2217" s="1472">
        <v>2</v>
      </c>
    </row>
    <row r="2218" spans="1:17" ht="22.5">
      <c r="A2218" s="1482"/>
      <c r="B2218" s="1482"/>
      <c r="C2218" s="1555">
        <f t="shared" si="339"/>
        <v>3</v>
      </c>
      <c r="D2218" s="1492">
        <f t="shared" si="343"/>
        <v>6</v>
      </c>
      <c r="F2218" s="1484" t="s">
        <v>11724</v>
      </c>
      <c r="H2218" s="1095" t="s">
        <v>11722</v>
      </c>
      <c r="I2218" s="780" t="s">
        <v>13600</v>
      </c>
      <c r="J2218" s="834"/>
      <c r="K2218" s="790" t="s">
        <v>13549</v>
      </c>
      <c r="L2218" s="700" t="s">
        <v>10854</v>
      </c>
      <c r="M2218" s="870">
        <v>1</v>
      </c>
      <c r="N2218" s="399">
        <v>0</v>
      </c>
      <c r="O2218" s="102">
        <f t="shared" si="341"/>
        <v>0</v>
      </c>
      <c r="P2218" s="101">
        <f t="shared" si="342"/>
        <v>0</v>
      </c>
      <c r="Q2218" s="1472">
        <v>1</v>
      </c>
    </row>
    <row r="2219" spans="1:17" ht="22.5">
      <c r="A2219" s="1482"/>
      <c r="B2219" s="1482"/>
      <c r="C2219" s="1555">
        <f t="shared" si="339"/>
        <v>3</v>
      </c>
      <c r="D2219" s="1492">
        <f t="shared" si="343"/>
        <v>6</v>
      </c>
      <c r="F2219" s="1484" t="s">
        <v>11724</v>
      </c>
      <c r="H2219" s="1095" t="s">
        <v>11722</v>
      </c>
      <c r="I2219" s="780" t="s">
        <v>13601</v>
      </c>
      <c r="J2219" s="834"/>
      <c r="K2219" s="790" t="s">
        <v>13602</v>
      </c>
      <c r="L2219" s="700" t="s">
        <v>10853</v>
      </c>
      <c r="M2219" s="870">
        <v>2</v>
      </c>
      <c r="N2219" s="399">
        <v>0</v>
      </c>
      <c r="O2219" s="102">
        <f t="shared" si="341"/>
        <v>0</v>
      </c>
      <c r="P2219" s="101">
        <f t="shared" si="342"/>
        <v>0</v>
      </c>
      <c r="Q2219" s="1472">
        <v>2</v>
      </c>
    </row>
    <row r="2220" spans="1:17" ht="22.5">
      <c r="A2220" s="1482"/>
      <c r="B2220" s="1482"/>
      <c r="C2220" s="1555">
        <f t="shared" si="339"/>
        <v>3</v>
      </c>
      <c r="D2220" s="1492">
        <f t="shared" si="343"/>
        <v>6</v>
      </c>
      <c r="F2220" s="1484" t="s">
        <v>11724</v>
      </c>
      <c r="H2220" s="1095" t="s">
        <v>11722</v>
      </c>
      <c r="I2220" s="780" t="s">
        <v>13603</v>
      </c>
      <c r="J2220" s="834"/>
      <c r="K2220" s="790" t="s">
        <v>13604</v>
      </c>
      <c r="L2220" s="700" t="s">
        <v>10853</v>
      </c>
      <c r="M2220" s="870">
        <v>2</v>
      </c>
      <c r="N2220" s="399">
        <v>0</v>
      </c>
      <c r="O2220" s="102">
        <f t="shared" si="341"/>
        <v>0</v>
      </c>
      <c r="P2220" s="101">
        <f t="shared" si="342"/>
        <v>0</v>
      </c>
      <c r="Q2220" s="1472">
        <v>2</v>
      </c>
    </row>
    <row r="2221" spans="1:17" ht="22.5">
      <c r="A2221" s="1482"/>
      <c r="B2221" s="1482"/>
      <c r="C2221" s="1555">
        <f t="shared" si="339"/>
        <v>3</v>
      </c>
      <c r="D2221" s="1492">
        <f t="shared" si="343"/>
        <v>6</v>
      </c>
      <c r="F2221" s="1484" t="s">
        <v>11724</v>
      </c>
      <c r="H2221" s="1095" t="s">
        <v>11722</v>
      </c>
      <c r="I2221" s="780" t="s">
        <v>13605</v>
      </c>
      <c r="J2221" s="834"/>
      <c r="K2221" s="790" t="s">
        <v>13555</v>
      </c>
      <c r="L2221" s="700" t="s">
        <v>10853</v>
      </c>
      <c r="M2221" s="870">
        <v>2</v>
      </c>
      <c r="N2221" s="399">
        <v>0</v>
      </c>
      <c r="O2221" s="102">
        <f t="shared" si="341"/>
        <v>0</v>
      </c>
      <c r="P2221" s="101">
        <f t="shared" si="342"/>
        <v>0</v>
      </c>
      <c r="Q2221" s="1472">
        <v>2</v>
      </c>
    </row>
    <row r="2222" spans="1:17" ht="22.5">
      <c r="A2222" s="1482"/>
      <c r="B2222" s="1482"/>
      <c r="C2222" s="1555">
        <f t="shared" si="339"/>
        <v>3</v>
      </c>
      <c r="D2222" s="1492">
        <f t="shared" si="343"/>
        <v>6</v>
      </c>
      <c r="F2222" s="1484" t="s">
        <v>11724</v>
      </c>
      <c r="H2222" s="1095" t="s">
        <v>11722</v>
      </c>
      <c r="I2222" s="780" t="s">
        <v>13606</v>
      </c>
      <c r="J2222" s="834"/>
      <c r="K2222" s="790" t="s">
        <v>13557</v>
      </c>
      <c r="L2222" s="700" t="s">
        <v>10854</v>
      </c>
      <c r="M2222" s="870">
        <v>2</v>
      </c>
      <c r="N2222" s="399">
        <v>0</v>
      </c>
      <c r="O2222" s="102">
        <f t="shared" si="341"/>
        <v>0</v>
      </c>
      <c r="P2222" s="101">
        <f t="shared" si="342"/>
        <v>0</v>
      </c>
      <c r="Q2222" s="1472">
        <v>2</v>
      </c>
    </row>
    <row r="2223" spans="1:17" ht="22.5">
      <c r="A2223" s="1482"/>
      <c r="B2223" s="1482"/>
      <c r="C2223" s="1555">
        <f t="shared" si="339"/>
        <v>3</v>
      </c>
      <c r="D2223" s="1492">
        <f t="shared" si="343"/>
        <v>6</v>
      </c>
      <c r="F2223" s="1484" t="s">
        <v>11724</v>
      </c>
      <c r="H2223" s="1095" t="s">
        <v>11722</v>
      </c>
      <c r="I2223" s="780" t="s">
        <v>13607</v>
      </c>
      <c r="J2223" s="834"/>
      <c r="K2223" s="790" t="s">
        <v>13559</v>
      </c>
      <c r="L2223" s="700" t="s">
        <v>10853</v>
      </c>
      <c r="M2223" s="870">
        <v>30</v>
      </c>
      <c r="N2223" s="399">
        <v>0</v>
      </c>
      <c r="O2223" s="102">
        <f t="shared" si="341"/>
        <v>0</v>
      </c>
      <c r="P2223" s="101">
        <f t="shared" si="342"/>
        <v>0</v>
      </c>
      <c r="Q2223" s="1472">
        <v>30</v>
      </c>
    </row>
    <row r="2224" spans="1:17" ht="22.5">
      <c r="A2224" s="1482"/>
      <c r="B2224" s="1482"/>
      <c r="C2224" s="1555">
        <f t="shared" si="339"/>
        <v>3</v>
      </c>
      <c r="D2224" s="1492">
        <f t="shared" si="343"/>
        <v>6</v>
      </c>
      <c r="F2224" s="1484" t="s">
        <v>11724</v>
      </c>
      <c r="H2224" s="1095" t="s">
        <v>11722</v>
      </c>
      <c r="I2224" s="780" t="s">
        <v>13608</v>
      </c>
      <c r="J2224" s="834"/>
      <c r="K2224" s="790" t="s">
        <v>13561</v>
      </c>
      <c r="L2224" s="700" t="s">
        <v>10854</v>
      </c>
      <c r="M2224" s="870">
        <v>10</v>
      </c>
      <c r="N2224" s="399">
        <v>0</v>
      </c>
      <c r="O2224" s="102">
        <f t="shared" si="341"/>
        <v>0</v>
      </c>
      <c r="P2224" s="101">
        <f t="shared" si="342"/>
        <v>0</v>
      </c>
      <c r="Q2224" s="1472">
        <v>10</v>
      </c>
    </row>
    <row r="2225" spans="1:17" ht="22.5">
      <c r="A2225" s="1482"/>
      <c r="B2225" s="1482"/>
      <c r="C2225" s="1555">
        <f t="shared" si="339"/>
        <v>3</v>
      </c>
      <c r="D2225" s="1492">
        <f t="shared" si="343"/>
        <v>6</v>
      </c>
      <c r="F2225" s="1484" t="s">
        <v>11724</v>
      </c>
      <c r="H2225" s="1095" t="s">
        <v>11722</v>
      </c>
      <c r="I2225" s="780" t="s">
        <v>13609</v>
      </c>
      <c r="J2225" s="834"/>
      <c r="K2225" s="790" t="s">
        <v>13563</v>
      </c>
      <c r="L2225" s="700" t="s">
        <v>10854</v>
      </c>
      <c r="M2225" s="870">
        <v>3</v>
      </c>
      <c r="N2225" s="399">
        <v>0</v>
      </c>
      <c r="O2225" s="102">
        <f t="shared" si="341"/>
        <v>0</v>
      </c>
      <c r="P2225" s="101">
        <f t="shared" si="342"/>
        <v>0</v>
      </c>
      <c r="Q2225" s="1472">
        <v>3</v>
      </c>
    </row>
    <row r="2226" spans="1:17">
      <c r="A2226" s="1482"/>
      <c r="B2226" s="1482"/>
      <c r="C2226" s="1555">
        <f t="shared" si="339"/>
        <v>3</v>
      </c>
      <c r="D2226" s="1492">
        <f t="shared" si="343"/>
        <v>6</v>
      </c>
      <c r="F2226" s="1484" t="s">
        <v>11724</v>
      </c>
      <c r="H2226" s="1095" t="s">
        <v>11722</v>
      </c>
      <c r="I2226" s="780" t="s">
        <v>13610</v>
      </c>
      <c r="J2226" s="834"/>
      <c r="K2226" s="790" t="s">
        <v>13565</v>
      </c>
      <c r="L2226" s="700" t="s">
        <v>11723</v>
      </c>
      <c r="M2226" s="870">
        <v>2</v>
      </c>
      <c r="N2226" s="399">
        <v>0</v>
      </c>
      <c r="O2226" s="102">
        <f t="shared" si="341"/>
        <v>0</v>
      </c>
      <c r="P2226" s="101">
        <f t="shared" si="342"/>
        <v>0</v>
      </c>
      <c r="Q2226" s="1472">
        <v>2</v>
      </c>
    </row>
    <row r="2227" spans="1:17" ht="33.75">
      <c r="A2227" s="1482"/>
      <c r="B2227" s="1482"/>
      <c r="C2227" s="1555">
        <f t="shared" si="339"/>
        <v>3</v>
      </c>
      <c r="D2227" s="1492">
        <f t="shared" si="343"/>
        <v>6</v>
      </c>
      <c r="F2227" s="1484" t="s">
        <v>11724</v>
      </c>
      <c r="H2227" s="1095" t="s">
        <v>11722</v>
      </c>
      <c r="I2227" s="780" t="s">
        <v>13611</v>
      </c>
      <c r="J2227" s="834"/>
      <c r="K2227" s="790" t="s">
        <v>13612</v>
      </c>
      <c r="L2227" s="700" t="s">
        <v>10853</v>
      </c>
      <c r="M2227" s="870">
        <v>2</v>
      </c>
      <c r="N2227" s="399">
        <v>0</v>
      </c>
      <c r="O2227" s="102">
        <f t="shared" si="341"/>
        <v>0</v>
      </c>
      <c r="P2227" s="101">
        <f t="shared" si="342"/>
        <v>0</v>
      </c>
      <c r="Q2227" s="1472">
        <v>2</v>
      </c>
    </row>
    <row r="2228" spans="1:17">
      <c r="A2228" s="1482"/>
      <c r="B2228" s="1482"/>
      <c r="C2228" s="1555">
        <f t="shared" si="339"/>
        <v>3</v>
      </c>
      <c r="D2228" s="1492">
        <f t="shared" si="343"/>
        <v>6</v>
      </c>
      <c r="F2228" s="1484" t="s">
        <v>11724</v>
      </c>
      <c r="H2228" s="1095" t="s">
        <v>70</v>
      </c>
      <c r="I2228" s="780">
        <v>34653</v>
      </c>
      <c r="J2228" s="834"/>
      <c r="K2228" s="790" t="s">
        <v>13613</v>
      </c>
      <c r="L2228" s="780" t="s">
        <v>10854</v>
      </c>
      <c r="M2228" s="1270">
        <v>1</v>
      </c>
      <c r="N2228" s="399">
        <v>0</v>
      </c>
      <c r="O2228" s="102">
        <f t="shared" si="341"/>
        <v>0</v>
      </c>
      <c r="P2228" s="101">
        <f t="shared" si="342"/>
        <v>0</v>
      </c>
      <c r="Q2228" s="1472">
        <v>1</v>
      </c>
    </row>
    <row r="2229" spans="1:17">
      <c r="A2229" s="1482"/>
      <c r="B2229" s="1482"/>
      <c r="C2229" s="1555">
        <f t="shared" si="339"/>
        <v>3</v>
      </c>
      <c r="D2229" s="1492">
        <f t="shared" si="343"/>
        <v>6</v>
      </c>
      <c r="F2229" s="1484" t="s">
        <v>11724</v>
      </c>
      <c r="H2229" s="1095" t="s">
        <v>70</v>
      </c>
      <c r="I2229" s="780">
        <v>93654</v>
      </c>
      <c r="J2229" s="834"/>
      <c r="K2229" s="790" t="s">
        <v>13503</v>
      </c>
      <c r="L2229" s="780" t="s">
        <v>10854</v>
      </c>
      <c r="M2229" s="1270">
        <v>2</v>
      </c>
      <c r="N2229" s="399">
        <v>0</v>
      </c>
      <c r="O2229" s="102">
        <f t="shared" si="341"/>
        <v>0</v>
      </c>
      <c r="P2229" s="101">
        <f t="shared" si="342"/>
        <v>0</v>
      </c>
      <c r="Q2229" s="1472">
        <v>2</v>
      </c>
    </row>
    <row r="2230" spans="1:17">
      <c r="A2230" s="1482"/>
      <c r="B2230" s="1482"/>
      <c r="C2230" s="1555">
        <f t="shared" si="339"/>
        <v>3</v>
      </c>
      <c r="D2230" s="1492">
        <f t="shared" si="343"/>
        <v>6</v>
      </c>
      <c r="F2230" s="1484" t="s">
        <v>11724</v>
      </c>
      <c r="H2230" s="1095" t="s">
        <v>70</v>
      </c>
      <c r="I2230" s="780">
        <v>93671</v>
      </c>
      <c r="J2230" s="834"/>
      <c r="K2230" s="790" t="s">
        <v>13506</v>
      </c>
      <c r="L2230" s="780" t="s">
        <v>10854</v>
      </c>
      <c r="M2230" s="1270">
        <v>2</v>
      </c>
      <c r="N2230" s="399">
        <v>0</v>
      </c>
      <c r="O2230" s="102">
        <f t="shared" si="341"/>
        <v>0</v>
      </c>
      <c r="P2230" s="101">
        <f t="shared" si="342"/>
        <v>0</v>
      </c>
      <c r="Q2230" s="1472">
        <v>2</v>
      </c>
    </row>
    <row r="2231" spans="1:17">
      <c r="A2231" s="1482"/>
      <c r="B2231" s="1482"/>
      <c r="C2231" s="1555">
        <f t="shared" si="339"/>
        <v>3</v>
      </c>
      <c r="D2231" s="1492">
        <f t="shared" si="343"/>
        <v>6</v>
      </c>
      <c r="F2231" s="1484" t="s">
        <v>11724</v>
      </c>
      <c r="H2231" s="1095" t="s">
        <v>70</v>
      </c>
      <c r="I2231" s="780">
        <v>93672</v>
      </c>
      <c r="J2231" s="834"/>
      <c r="K2231" s="790" t="s">
        <v>13570</v>
      </c>
      <c r="L2231" s="780" t="s">
        <v>10854</v>
      </c>
      <c r="M2231" s="1270">
        <v>1</v>
      </c>
      <c r="N2231" s="399">
        <v>0</v>
      </c>
      <c r="O2231" s="102">
        <f t="shared" si="341"/>
        <v>0</v>
      </c>
      <c r="P2231" s="101">
        <f t="shared" si="342"/>
        <v>0</v>
      </c>
      <c r="Q2231" s="1472">
        <v>1</v>
      </c>
    </row>
    <row r="2232" spans="1:17">
      <c r="A2232" s="1482"/>
      <c r="B2232" s="1482"/>
      <c r="C2232" s="1555">
        <f t="shared" si="339"/>
        <v>3</v>
      </c>
      <c r="D2232" s="1492">
        <f t="shared" si="343"/>
        <v>6</v>
      </c>
      <c r="F2232" s="1484" t="s">
        <v>11724</v>
      </c>
      <c r="H2232" s="1095" t="s">
        <v>70</v>
      </c>
      <c r="I2232" s="780">
        <v>14543</v>
      </c>
      <c r="J2232" s="834"/>
      <c r="K2232" s="790" t="s">
        <v>13571</v>
      </c>
      <c r="L2232" s="780" t="s">
        <v>10854</v>
      </c>
      <c r="M2232" s="1270">
        <v>2</v>
      </c>
      <c r="N2232" s="399">
        <v>0</v>
      </c>
      <c r="O2232" s="102">
        <f t="shared" si="341"/>
        <v>0</v>
      </c>
      <c r="P2232" s="101">
        <f t="shared" si="342"/>
        <v>0</v>
      </c>
      <c r="Q2232" s="1472">
        <v>2</v>
      </c>
    </row>
    <row r="2233" spans="1:17">
      <c r="A2233" s="1482"/>
      <c r="B2233" s="1482"/>
      <c r="C2233" s="1555">
        <f t="shared" si="339"/>
        <v>3</v>
      </c>
      <c r="D2233" s="1492">
        <f t="shared" si="343"/>
        <v>6</v>
      </c>
      <c r="F2233" s="1484" t="s">
        <v>11724</v>
      </c>
      <c r="H2233" s="1095" t="s">
        <v>70</v>
      </c>
      <c r="I2233" s="780">
        <v>38191</v>
      </c>
      <c r="J2233" s="834"/>
      <c r="K2233" s="790" t="s">
        <v>13572</v>
      </c>
      <c r="L2233" s="780" t="s">
        <v>10854</v>
      </c>
      <c r="M2233" s="1270">
        <v>2</v>
      </c>
      <c r="N2233" s="399">
        <v>0</v>
      </c>
      <c r="O2233" s="102">
        <f t="shared" si="341"/>
        <v>0</v>
      </c>
      <c r="P2233" s="101">
        <f t="shared" si="342"/>
        <v>0</v>
      </c>
      <c r="Q2233" s="1472">
        <v>2</v>
      </c>
    </row>
    <row r="2234" spans="1:17">
      <c r="A2234" s="1482"/>
      <c r="B2234" s="1482"/>
      <c r="C2234" s="1555">
        <f t="shared" si="339"/>
        <v>3</v>
      </c>
      <c r="D2234" s="1492">
        <f t="shared" si="343"/>
        <v>6</v>
      </c>
      <c r="F2234" s="1484" t="s">
        <v>11724</v>
      </c>
      <c r="H2234" s="1095" t="s">
        <v>11722</v>
      </c>
      <c r="I2234" s="780" t="s">
        <v>13614</v>
      </c>
      <c r="J2234" s="834"/>
      <c r="K2234" s="790" t="s">
        <v>13574</v>
      </c>
      <c r="L2234" s="780" t="s">
        <v>10854</v>
      </c>
      <c r="M2234" s="1270">
        <v>1</v>
      </c>
      <c r="N2234" s="399">
        <v>0</v>
      </c>
      <c r="O2234" s="102">
        <f t="shared" si="341"/>
        <v>0</v>
      </c>
      <c r="P2234" s="101">
        <f t="shared" si="342"/>
        <v>0</v>
      </c>
      <c r="Q2234" s="1472">
        <v>1</v>
      </c>
    </row>
    <row r="2235" spans="1:17" ht="22.5">
      <c r="A2235" s="1482"/>
      <c r="B2235" s="1482"/>
      <c r="C2235" s="1555">
        <f t="shared" si="339"/>
        <v>3</v>
      </c>
      <c r="D2235" s="1492">
        <f t="shared" si="343"/>
        <v>6</v>
      </c>
      <c r="F2235" s="1484" t="s">
        <v>11724</v>
      </c>
      <c r="H2235" s="1095" t="s">
        <v>11722</v>
      </c>
      <c r="I2235" s="780" t="s">
        <v>13615</v>
      </c>
      <c r="J2235" s="834"/>
      <c r="K2235" s="790" t="s">
        <v>13616</v>
      </c>
      <c r="L2235" s="780" t="s">
        <v>10853</v>
      </c>
      <c r="M2235" s="1270">
        <v>2</v>
      </c>
      <c r="N2235" s="399">
        <v>0</v>
      </c>
      <c r="O2235" s="102">
        <f t="shared" si="341"/>
        <v>0</v>
      </c>
      <c r="P2235" s="101">
        <f t="shared" si="342"/>
        <v>0</v>
      </c>
      <c r="Q2235" s="1472">
        <v>2</v>
      </c>
    </row>
    <row r="2236" spans="1:17">
      <c r="A2236" s="1482"/>
      <c r="B2236" s="1482"/>
      <c r="C2236" s="1555">
        <f t="shared" si="339"/>
        <v>3</v>
      </c>
      <c r="D2236" s="1492">
        <f t="shared" si="343"/>
        <v>6</v>
      </c>
      <c r="F2236" s="1484" t="s">
        <v>11724</v>
      </c>
      <c r="H2236" s="1095" t="s">
        <v>11722</v>
      </c>
      <c r="I2236" s="780" t="s">
        <v>13617</v>
      </c>
      <c r="J2236" s="834"/>
      <c r="K2236" s="790" t="s">
        <v>13580</v>
      </c>
      <c r="L2236" s="780" t="s">
        <v>18</v>
      </c>
      <c r="M2236" s="1270">
        <v>1.8</v>
      </c>
      <c r="N2236" s="399">
        <v>0</v>
      </c>
      <c r="O2236" s="102">
        <f t="shared" si="341"/>
        <v>0</v>
      </c>
      <c r="P2236" s="101">
        <f t="shared" si="342"/>
        <v>0</v>
      </c>
      <c r="Q2236" s="1472">
        <v>1.8</v>
      </c>
    </row>
    <row r="2237" spans="1:17">
      <c r="A2237" s="1482"/>
      <c r="B2237" s="1482"/>
      <c r="C2237" s="1555">
        <f t="shared" si="339"/>
        <v>3</v>
      </c>
      <c r="D2237" s="1492">
        <f t="shared" si="343"/>
        <v>6</v>
      </c>
      <c r="F2237" s="1484" t="s">
        <v>11724</v>
      </c>
      <c r="H2237" s="1095" t="s">
        <v>11722</v>
      </c>
      <c r="I2237" s="780" t="s">
        <v>13618</v>
      </c>
      <c r="J2237" s="834"/>
      <c r="K2237" s="790" t="s">
        <v>13582</v>
      </c>
      <c r="L2237" s="780" t="s">
        <v>18</v>
      </c>
      <c r="M2237" s="1270">
        <v>0.6</v>
      </c>
      <c r="N2237" s="399">
        <v>0</v>
      </c>
      <c r="O2237" s="102">
        <f t="shared" si="341"/>
        <v>0</v>
      </c>
      <c r="P2237" s="101">
        <f t="shared" si="342"/>
        <v>0</v>
      </c>
      <c r="Q2237" s="1472">
        <v>0.6</v>
      </c>
    </row>
    <row r="2238" spans="1:17">
      <c r="A2238" s="1482"/>
      <c r="B2238" s="1482"/>
      <c r="C2238" s="1555">
        <f t="shared" si="339"/>
        <v>3</v>
      </c>
      <c r="D2238" s="1492">
        <f t="shared" si="343"/>
        <v>6</v>
      </c>
      <c r="F2238" s="1484" t="s">
        <v>11724</v>
      </c>
      <c r="H2238" s="1095" t="s">
        <v>11722</v>
      </c>
      <c r="I2238" s="780" t="s">
        <v>13619</v>
      </c>
      <c r="J2238" s="834"/>
      <c r="K2238" s="790" t="s">
        <v>13584</v>
      </c>
      <c r="L2238" s="780" t="s">
        <v>18</v>
      </c>
      <c r="M2238" s="1270">
        <v>0.6</v>
      </c>
      <c r="N2238" s="399">
        <v>0</v>
      </c>
      <c r="O2238" s="102">
        <f t="shared" si="341"/>
        <v>0</v>
      </c>
      <c r="P2238" s="101">
        <f t="shared" si="342"/>
        <v>0</v>
      </c>
      <c r="Q2238" s="1472">
        <v>0.6</v>
      </c>
    </row>
    <row r="2239" spans="1:17" ht="33.75">
      <c r="A2239" s="1482"/>
      <c r="B2239" s="1482"/>
      <c r="C2239" s="1555">
        <f t="shared" si="339"/>
        <v>3</v>
      </c>
      <c r="D2239" s="1492">
        <f t="shared" si="343"/>
        <v>6</v>
      </c>
      <c r="F2239" s="1484" t="s">
        <v>11724</v>
      </c>
      <c r="H2239" s="1095" t="s">
        <v>11722</v>
      </c>
      <c r="I2239" s="780" t="s">
        <v>13620</v>
      </c>
      <c r="J2239" s="834"/>
      <c r="K2239" s="790" t="s">
        <v>13586</v>
      </c>
      <c r="L2239" s="780" t="s">
        <v>10854</v>
      </c>
      <c r="M2239" s="1270">
        <v>1</v>
      </c>
      <c r="N2239" s="399">
        <v>0</v>
      </c>
      <c r="O2239" s="102">
        <f t="shared" si="341"/>
        <v>0</v>
      </c>
      <c r="P2239" s="101">
        <f t="shared" si="342"/>
        <v>0</v>
      </c>
      <c r="Q2239" s="1472">
        <v>1</v>
      </c>
    </row>
    <row r="2240" spans="1:17" ht="22.5">
      <c r="A2240" s="1482"/>
      <c r="B2240" s="1482"/>
      <c r="C2240" s="1555">
        <f t="shared" si="339"/>
        <v>3</v>
      </c>
      <c r="D2240" s="1492">
        <f t="shared" si="343"/>
        <v>6</v>
      </c>
      <c r="F2240" s="1484" t="s">
        <v>11724</v>
      </c>
      <c r="H2240" s="1095" t="s">
        <v>11722</v>
      </c>
      <c r="I2240" s="780" t="s">
        <v>13621</v>
      </c>
      <c r="J2240" s="834"/>
      <c r="K2240" s="790" t="s">
        <v>13588</v>
      </c>
      <c r="L2240" s="780" t="s">
        <v>10854</v>
      </c>
      <c r="M2240" s="1270">
        <v>1</v>
      </c>
      <c r="N2240" s="399">
        <v>0</v>
      </c>
      <c r="O2240" s="102">
        <f t="shared" si="341"/>
        <v>0</v>
      </c>
      <c r="P2240" s="101">
        <f t="shared" si="342"/>
        <v>0</v>
      </c>
      <c r="Q2240" s="1472">
        <v>1</v>
      </c>
    </row>
    <row r="2241" spans="1:17" ht="22.5">
      <c r="A2241" s="1482"/>
      <c r="B2241" s="1482"/>
      <c r="C2241" s="1555">
        <f t="shared" si="339"/>
        <v>3</v>
      </c>
      <c r="D2241" s="1492">
        <f t="shared" si="343"/>
        <v>6</v>
      </c>
      <c r="F2241" s="1484" t="s">
        <v>11724</v>
      </c>
      <c r="H2241" s="1095" t="s">
        <v>11722</v>
      </c>
      <c r="I2241" s="780" t="s">
        <v>13622</v>
      </c>
      <c r="J2241" s="834"/>
      <c r="K2241" s="790" t="s">
        <v>13590</v>
      </c>
      <c r="L2241" s="780" t="s">
        <v>10853</v>
      </c>
      <c r="M2241" s="1270">
        <v>2</v>
      </c>
      <c r="N2241" s="399">
        <v>0</v>
      </c>
      <c r="O2241" s="102">
        <f t="shared" si="341"/>
        <v>0</v>
      </c>
      <c r="P2241" s="101">
        <f t="shared" si="342"/>
        <v>0</v>
      </c>
      <c r="Q2241" s="1472">
        <v>2</v>
      </c>
    </row>
    <row r="2242" spans="1:17" ht="22.5">
      <c r="A2242" s="1482"/>
      <c r="B2242" s="1482"/>
      <c r="C2242" s="1555">
        <f t="shared" si="339"/>
        <v>3</v>
      </c>
      <c r="D2242" s="1492">
        <f t="shared" si="343"/>
        <v>6</v>
      </c>
      <c r="F2242" s="1484" t="s">
        <v>11724</v>
      </c>
      <c r="H2242" s="1095" t="s">
        <v>11722</v>
      </c>
      <c r="I2242" s="780" t="s">
        <v>13623</v>
      </c>
      <c r="J2242" s="834"/>
      <c r="K2242" s="790" t="s">
        <v>13592</v>
      </c>
      <c r="L2242" s="780" t="s">
        <v>10853</v>
      </c>
      <c r="M2242" s="1270">
        <v>2</v>
      </c>
      <c r="N2242" s="399">
        <v>0</v>
      </c>
      <c r="O2242" s="102">
        <f t="shared" si="341"/>
        <v>0</v>
      </c>
      <c r="P2242" s="101">
        <f t="shared" si="342"/>
        <v>0</v>
      </c>
      <c r="Q2242" s="1472">
        <v>2</v>
      </c>
    </row>
    <row r="2243" spans="1:17" ht="22.5">
      <c r="A2243" s="1482"/>
      <c r="B2243" s="1482"/>
      <c r="C2243" s="1555">
        <f t="shared" si="339"/>
        <v>3</v>
      </c>
      <c r="D2243" s="1492">
        <f t="shared" si="343"/>
        <v>6</v>
      </c>
      <c r="F2243" s="1484" t="s">
        <v>11724</v>
      </c>
      <c r="H2243" s="1095" t="s">
        <v>11722</v>
      </c>
      <c r="I2243" s="780" t="s">
        <v>13624</v>
      </c>
      <c r="J2243" s="834"/>
      <c r="K2243" s="790" t="s">
        <v>13594</v>
      </c>
      <c r="L2243" s="780" t="s">
        <v>10853</v>
      </c>
      <c r="M2243" s="1270">
        <v>2</v>
      </c>
      <c r="N2243" s="399">
        <v>0</v>
      </c>
      <c r="O2243" s="102">
        <f t="shared" si="341"/>
        <v>0</v>
      </c>
      <c r="P2243" s="101">
        <f t="shared" si="342"/>
        <v>0</v>
      </c>
      <c r="Q2243" s="1472">
        <v>2</v>
      </c>
    </row>
    <row r="2244" spans="1:17" ht="15.75" thickBot="1">
      <c r="A2244" s="1482"/>
      <c r="B2244" s="1482"/>
      <c r="C2244" s="1555">
        <f t="shared" si="339"/>
        <v>3</v>
      </c>
      <c r="D2244" s="1492">
        <f t="shared" ref="D2244:D2271" si="344">D2243+B2244</f>
        <v>6</v>
      </c>
      <c r="F2244" s="1484" t="s">
        <v>11724</v>
      </c>
      <c r="H2244" s="1095"/>
      <c r="I2244" s="780"/>
      <c r="J2244" s="834"/>
      <c r="K2244" s="780"/>
      <c r="L2244" s="780"/>
      <c r="M2244" s="1270"/>
      <c r="N2244" s="400"/>
      <c r="O2244" s="122"/>
      <c r="P2244" s="123"/>
    </row>
    <row r="2245" spans="1:17" ht="16.5" thickTop="1" thickBot="1">
      <c r="A2245" s="1482"/>
      <c r="B2245" s="1482">
        <v>1</v>
      </c>
      <c r="C2245" s="1555">
        <f t="shared" si="339"/>
        <v>3</v>
      </c>
      <c r="D2245" s="1492">
        <f t="shared" si="344"/>
        <v>7</v>
      </c>
      <c r="E2245" s="1492"/>
      <c r="F2245" s="1484" t="s">
        <v>11724</v>
      </c>
      <c r="H2245" s="1510" t="str">
        <f>CONCATENATE(C2245,".",D2245)</f>
        <v>3.7</v>
      </c>
      <c r="I2245" s="1573" t="s">
        <v>13874</v>
      </c>
      <c r="J2245" s="1573"/>
      <c r="K2245" s="1573"/>
      <c r="L2245" s="1573" t="s">
        <v>25</v>
      </c>
      <c r="M2245" s="1574" t="s">
        <v>11704</v>
      </c>
      <c r="N2245" s="397" t="s">
        <v>11705</v>
      </c>
      <c r="O2245" s="99" t="s">
        <v>11706</v>
      </c>
      <c r="P2245" s="100">
        <f>SUBTOTAL(9,P2247:P2283)</f>
        <v>0</v>
      </c>
      <c r="Q2245" s="1472" t="s">
        <v>11704</v>
      </c>
    </row>
    <row r="2246" spans="1:17" ht="15.75" thickTop="1">
      <c r="A2246" s="1482"/>
      <c r="B2246" s="1482"/>
      <c r="C2246" s="1555">
        <f t="shared" si="339"/>
        <v>3</v>
      </c>
      <c r="D2246" s="1492">
        <f t="shared" si="344"/>
        <v>7</v>
      </c>
      <c r="F2246" s="1484" t="s">
        <v>11724</v>
      </c>
      <c r="H2246" s="1095"/>
      <c r="I2246" s="780"/>
      <c r="J2246" s="834"/>
      <c r="K2246" s="790"/>
      <c r="L2246" s="700"/>
      <c r="M2246" s="870"/>
      <c r="N2246" s="399"/>
      <c r="O2246" s="102"/>
      <c r="P2246" s="101"/>
    </row>
    <row r="2247" spans="1:17">
      <c r="A2247" s="1482"/>
      <c r="B2247" s="1482"/>
      <c r="C2247" s="1555">
        <f t="shared" si="339"/>
        <v>3</v>
      </c>
      <c r="D2247" s="1492">
        <f t="shared" si="344"/>
        <v>7</v>
      </c>
      <c r="F2247" s="1484" t="s">
        <v>11724</v>
      </c>
      <c r="H2247" s="1095" t="s">
        <v>11722</v>
      </c>
      <c r="I2247" s="780" t="s">
        <v>13625</v>
      </c>
      <c r="J2247" s="834"/>
      <c r="K2247" s="790" t="s">
        <v>13626</v>
      </c>
      <c r="L2247" s="700" t="s">
        <v>10854</v>
      </c>
      <c r="M2247" s="870">
        <v>2</v>
      </c>
      <c r="N2247" s="399">
        <v>0</v>
      </c>
      <c r="O2247" s="102">
        <f t="shared" ref="O2247:O2271" si="345">ROUND(IF(F2247="Serviços",N2247*(1+$O$7),IF(F2247="Materiais",N2247*(1+$O$8))),2)</f>
        <v>0</v>
      </c>
      <c r="P2247" s="101">
        <f t="shared" ref="P2247:P2271" si="346">ROUND(M2247*O2247,2)</f>
        <v>0</v>
      </c>
      <c r="Q2247" s="1472">
        <v>2</v>
      </c>
    </row>
    <row r="2248" spans="1:17">
      <c r="A2248" s="1482"/>
      <c r="B2248" s="1482"/>
      <c r="C2248" s="1555">
        <f t="shared" ref="C2248:C2311" si="347">C2247</f>
        <v>3</v>
      </c>
      <c r="D2248" s="1492">
        <f t="shared" si="344"/>
        <v>7</v>
      </c>
      <c r="F2248" s="1484" t="s">
        <v>11724</v>
      </c>
      <c r="H2248" s="1095" t="s">
        <v>70</v>
      </c>
      <c r="I2248" s="780">
        <v>10510</v>
      </c>
      <c r="J2248" s="834"/>
      <c r="K2248" s="790" t="s">
        <v>13627</v>
      </c>
      <c r="L2248" s="700" t="s">
        <v>10854</v>
      </c>
      <c r="M2248" s="870">
        <v>2</v>
      </c>
      <c r="N2248" s="399">
        <v>0</v>
      </c>
      <c r="O2248" s="102">
        <f t="shared" si="345"/>
        <v>0</v>
      </c>
      <c r="P2248" s="101">
        <f t="shared" si="346"/>
        <v>0</v>
      </c>
      <c r="Q2248" s="1472">
        <v>2</v>
      </c>
    </row>
    <row r="2249" spans="1:17">
      <c r="A2249" s="1482"/>
      <c r="B2249" s="1482"/>
      <c r="C2249" s="1555">
        <f t="shared" si="347"/>
        <v>3</v>
      </c>
      <c r="D2249" s="1492">
        <f t="shared" si="344"/>
        <v>7</v>
      </c>
      <c r="F2249" s="1484" t="s">
        <v>11724</v>
      </c>
      <c r="H2249" s="1095" t="s">
        <v>11722</v>
      </c>
      <c r="I2249" s="780" t="s">
        <v>13628</v>
      </c>
      <c r="J2249" s="834"/>
      <c r="K2249" s="790" t="s">
        <v>13629</v>
      </c>
      <c r="L2249" s="700" t="s">
        <v>10854</v>
      </c>
      <c r="M2249" s="870">
        <v>12</v>
      </c>
      <c r="N2249" s="399">
        <v>0</v>
      </c>
      <c r="O2249" s="102">
        <f t="shared" si="345"/>
        <v>0</v>
      </c>
      <c r="P2249" s="101">
        <f t="shared" si="346"/>
        <v>0</v>
      </c>
      <c r="Q2249" s="1472">
        <v>12</v>
      </c>
    </row>
    <row r="2250" spans="1:17">
      <c r="A2250" s="1482"/>
      <c r="B2250" s="1482"/>
      <c r="C2250" s="1555">
        <f t="shared" si="347"/>
        <v>3</v>
      </c>
      <c r="D2250" s="1492">
        <f t="shared" si="344"/>
        <v>7</v>
      </c>
      <c r="F2250" s="1484" t="s">
        <v>11724</v>
      </c>
      <c r="H2250" s="1095" t="s">
        <v>11722</v>
      </c>
      <c r="I2250" s="780" t="s">
        <v>13630</v>
      </c>
      <c r="J2250" s="834"/>
      <c r="K2250" s="790" t="s">
        <v>13631</v>
      </c>
      <c r="L2250" s="700" t="s">
        <v>10854</v>
      </c>
      <c r="M2250" s="870">
        <v>3</v>
      </c>
      <c r="N2250" s="399">
        <v>0</v>
      </c>
      <c r="O2250" s="102">
        <f t="shared" si="345"/>
        <v>0</v>
      </c>
      <c r="P2250" s="101">
        <f t="shared" si="346"/>
        <v>0</v>
      </c>
      <c r="Q2250" s="1472">
        <v>3</v>
      </c>
    </row>
    <row r="2251" spans="1:17">
      <c r="A2251" s="1482"/>
      <c r="B2251" s="1482"/>
      <c r="C2251" s="1555">
        <f t="shared" si="347"/>
        <v>3</v>
      </c>
      <c r="D2251" s="1492">
        <f t="shared" si="344"/>
        <v>7</v>
      </c>
      <c r="F2251" s="1484" t="s">
        <v>11724</v>
      </c>
      <c r="H2251" s="1095" t="s">
        <v>70</v>
      </c>
      <c r="I2251" s="780">
        <v>4273</v>
      </c>
      <c r="J2251" s="834"/>
      <c r="K2251" s="790" t="s">
        <v>13632</v>
      </c>
      <c r="L2251" s="700" t="s">
        <v>10854</v>
      </c>
      <c r="M2251" s="870">
        <v>3</v>
      </c>
      <c r="N2251" s="399">
        <v>0</v>
      </c>
      <c r="O2251" s="102">
        <f t="shared" si="345"/>
        <v>0</v>
      </c>
      <c r="P2251" s="101">
        <f t="shared" si="346"/>
        <v>0</v>
      </c>
      <c r="Q2251" s="1472">
        <v>3</v>
      </c>
    </row>
    <row r="2252" spans="1:17">
      <c r="A2252" s="1482"/>
      <c r="B2252" s="1482"/>
      <c r="C2252" s="1555">
        <f t="shared" si="347"/>
        <v>3</v>
      </c>
      <c r="D2252" s="1492">
        <f t="shared" si="344"/>
        <v>7</v>
      </c>
      <c r="F2252" s="1484" t="s">
        <v>11724</v>
      </c>
      <c r="H2252" s="1095" t="s">
        <v>11722</v>
      </c>
      <c r="I2252" s="780" t="s">
        <v>13633</v>
      </c>
      <c r="J2252" s="834"/>
      <c r="K2252" s="790" t="s">
        <v>13634</v>
      </c>
      <c r="L2252" s="700" t="s">
        <v>10854</v>
      </c>
      <c r="M2252" s="870">
        <v>3</v>
      </c>
      <c r="N2252" s="399">
        <v>0</v>
      </c>
      <c r="O2252" s="102">
        <f t="shared" si="345"/>
        <v>0</v>
      </c>
      <c r="P2252" s="101">
        <f t="shared" si="346"/>
        <v>0</v>
      </c>
      <c r="Q2252" s="1472">
        <v>3</v>
      </c>
    </row>
    <row r="2253" spans="1:17">
      <c r="A2253" s="1482"/>
      <c r="B2253" s="1482"/>
      <c r="C2253" s="1555">
        <f t="shared" si="347"/>
        <v>3</v>
      </c>
      <c r="D2253" s="1492">
        <f t="shared" si="344"/>
        <v>7</v>
      </c>
      <c r="F2253" s="1484" t="s">
        <v>11724</v>
      </c>
      <c r="H2253" s="1095" t="s">
        <v>11722</v>
      </c>
      <c r="I2253" s="780" t="s">
        <v>13635</v>
      </c>
      <c r="J2253" s="834"/>
      <c r="K2253" s="790" t="s">
        <v>13636</v>
      </c>
      <c r="L2253" s="700" t="s">
        <v>10854</v>
      </c>
      <c r="M2253" s="870">
        <v>3</v>
      </c>
      <c r="N2253" s="399">
        <v>0</v>
      </c>
      <c r="O2253" s="102">
        <f t="shared" si="345"/>
        <v>0</v>
      </c>
      <c r="P2253" s="101">
        <f t="shared" si="346"/>
        <v>0</v>
      </c>
      <c r="Q2253" s="1472">
        <v>3</v>
      </c>
    </row>
    <row r="2254" spans="1:17">
      <c r="A2254" s="1482"/>
      <c r="B2254" s="1482"/>
      <c r="C2254" s="1555">
        <f t="shared" si="347"/>
        <v>3</v>
      </c>
      <c r="D2254" s="1492">
        <f t="shared" si="344"/>
        <v>7</v>
      </c>
      <c r="F2254" s="1484" t="s">
        <v>11724</v>
      </c>
      <c r="H2254" s="1095" t="s">
        <v>11722</v>
      </c>
      <c r="I2254" s="780" t="s">
        <v>13637</v>
      </c>
      <c r="J2254" s="834"/>
      <c r="K2254" s="790" t="s">
        <v>13638</v>
      </c>
      <c r="L2254" s="700" t="s">
        <v>10854</v>
      </c>
      <c r="M2254" s="870">
        <v>4</v>
      </c>
      <c r="N2254" s="399">
        <v>0</v>
      </c>
      <c r="O2254" s="102">
        <f t="shared" si="345"/>
        <v>0</v>
      </c>
      <c r="P2254" s="101">
        <f t="shared" si="346"/>
        <v>0</v>
      </c>
      <c r="Q2254" s="1472">
        <v>4</v>
      </c>
    </row>
    <row r="2255" spans="1:17">
      <c r="A2255" s="1482"/>
      <c r="B2255" s="1482"/>
      <c r="C2255" s="1555">
        <f t="shared" si="347"/>
        <v>3</v>
      </c>
      <c r="D2255" s="1492">
        <f t="shared" si="344"/>
        <v>7</v>
      </c>
      <c r="F2255" s="1484" t="s">
        <v>11724</v>
      </c>
      <c r="H2255" s="1095" t="s">
        <v>11722</v>
      </c>
      <c r="I2255" s="780" t="s">
        <v>13639</v>
      </c>
      <c r="J2255" s="834"/>
      <c r="K2255" s="790" t="s">
        <v>13640</v>
      </c>
      <c r="L2255" s="700" t="s">
        <v>10854</v>
      </c>
      <c r="M2255" s="870">
        <v>3</v>
      </c>
      <c r="N2255" s="399">
        <v>0</v>
      </c>
      <c r="O2255" s="102">
        <f t="shared" si="345"/>
        <v>0</v>
      </c>
      <c r="P2255" s="101">
        <f t="shared" si="346"/>
        <v>0</v>
      </c>
      <c r="Q2255" s="1472">
        <v>3</v>
      </c>
    </row>
    <row r="2256" spans="1:17">
      <c r="A2256" s="1482"/>
      <c r="B2256" s="1482"/>
      <c r="C2256" s="1555">
        <f t="shared" si="347"/>
        <v>3</v>
      </c>
      <c r="D2256" s="1492">
        <f t="shared" si="344"/>
        <v>7</v>
      </c>
      <c r="F2256" s="1484" t="s">
        <v>11724</v>
      </c>
      <c r="H2256" s="1095" t="s">
        <v>11722</v>
      </c>
      <c r="I2256" s="780" t="s">
        <v>13641</v>
      </c>
      <c r="J2256" s="834"/>
      <c r="K2256" s="790" t="s">
        <v>13642</v>
      </c>
      <c r="L2256" s="700" t="s">
        <v>10854</v>
      </c>
      <c r="M2256" s="870">
        <v>2</v>
      </c>
      <c r="N2256" s="399">
        <v>0</v>
      </c>
      <c r="O2256" s="102">
        <f t="shared" si="345"/>
        <v>0</v>
      </c>
      <c r="P2256" s="101">
        <f t="shared" si="346"/>
        <v>0</v>
      </c>
      <c r="Q2256" s="1472">
        <v>2</v>
      </c>
    </row>
    <row r="2257" spans="1:17">
      <c r="A2257" s="1482"/>
      <c r="B2257" s="1482"/>
      <c r="C2257" s="1555">
        <f t="shared" si="347"/>
        <v>3</v>
      </c>
      <c r="D2257" s="1492">
        <f t="shared" si="344"/>
        <v>7</v>
      </c>
      <c r="F2257" s="1484" t="s">
        <v>11724</v>
      </c>
      <c r="H2257" s="1095" t="s">
        <v>11722</v>
      </c>
      <c r="I2257" s="780" t="s">
        <v>13643</v>
      </c>
      <c r="J2257" s="834"/>
      <c r="K2257" s="790" t="s">
        <v>13644</v>
      </c>
      <c r="L2257" s="700" t="s">
        <v>18</v>
      </c>
      <c r="M2257" s="870">
        <v>2</v>
      </c>
      <c r="N2257" s="399">
        <v>0</v>
      </c>
      <c r="O2257" s="102">
        <f t="shared" si="345"/>
        <v>0</v>
      </c>
      <c r="P2257" s="101">
        <f t="shared" si="346"/>
        <v>0</v>
      </c>
      <c r="Q2257" s="1472">
        <v>2</v>
      </c>
    </row>
    <row r="2258" spans="1:17">
      <c r="A2258" s="1482"/>
      <c r="B2258" s="1482"/>
      <c r="C2258" s="1555">
        <f t="shared" si="347"/>
        <v>3</v>
      </c>
      <c r="D2258" s="1492">
        <f t="shared" si="344"/>
        <v>7</v>
      </c>
      <c r="F2258" s="1484" t="s">
        <v>11724</v>
      </c>
      <c r="H2258" s="1095" t="s">
        <v>11722</v>
      </c>
      <c r="I2258" s="780" t="s">
        <v>13645</v>
      </c>
      <c r="J2258" s="834"/>
      <c r="K2258" s="790" t="s">
        <v>13646</v>
      </c>
      <c r="L2258" s="700" t="s">
        <v>10854</v>
      </c>
      <c r="M2258" s="870">
        <v>3</v>
      </c>
      <c r="N2258" s="399">
        <v>0</v>
      </c>
      <c r="O2258" s="102">
        <f t="shared" si="345"/>
        <v>0</v>
      </c>
      <c r="P2258" s="101">
        <f t="shared" si="346"/>
        <v>0</v>
      </c>
      <c r="Q2258" s="1472">
        <v>3</v>
      </c>
    </row>
    <row r="2259" spans="1:17">
      <c r="A2259" s="1482"/>
      <c r="B2259" s="1482"/>
      <c r="C2259" s="1555">
        <f t="shared" si="347"/>
        <v>3</v>
      </c>
      <c r="D2259" s="1492">
        <f t="shared" si="344"/>
        <v>7</v>
      </c>
      <c r="F2259" s="1484" t="s">
        <v>11724</v>
      </c>
      <c r="H2259" s="1095" t="s">
        <v>11722</v>
      </c>
      <c r="I2259" s="780" t="s">
        <v>13647</v>
      </c>
      <c r="J2259" s="834"/>
      <c r="K2259" s="790" t="s">
        <v>13648</v>
      </c>
      <c r="L2259" s="700" t="s">
        <v>10854</v>
      </c>
      <c r="M2259" s="870">
        <v>10</v>
      </c>
      <c r="N2259" s="399">
        <v>0</v>
      </c>
      <c r="O2259" s="102">
        <f t="shared" si="345"/>
        <v>0</v>
      </c>
      <c r="P2259" s="101">
        <f t="shared" si="346"/>
        <v>0</v>
      </c>
      <c r="Q2259" s="1472">
        <v>10</v>
      </c>
    </row>
    <row r="2260" spans="1:17">
      <c r="A2260" s="1482"/>
      <c r="B2260" s="1482"/>
      <c r="C2260" s="1555">
        <f t="shared" si="347"/>
        <v>3</v>
      </c>
      <c r="D2260" s="1492">
        <f t="shared" si="344"/>
        <v>7</v>
      </c>
      <c r="F2260" s="1484" t="s">
        <v>11724</v>
      </c>
      <c r="H2260" s="1095" t="s">
        <v>11722</v>
      </c>
      <c r="I2260" s="780" t="s">
        <v>13649</v>
      </c>
      <c r="J2260" s="834"/>
      <c r="K2260" s="790" t="s">
        <v>13650</v>
      </c>
      <c r="L2260" s="780" t="s">
        <v>10854</v>
      </c>
      <c r="M2260" s="1270">
        <v>8</v>
      </c>
      <c r="N2260" s="399">
        <v>0</v>
      </c>
      <c r="O2260" s="102">
        <f t="shared" si="345"/>
        <v>0</v>
      </c>
      <c r="P2260" s="101">
        <f t="shared" si="346"/>
        <v>0</v>
      </c>
      <c r="Q2260" s="1472">
        <v>8</v>
      </c>
    </row>
    <row r="2261" spans="1:17">
      <c r="A2261" s="1482"/>
      <c r="B2261" s="1482"/>
      <c r="C2261" s="1555">
        <f t="shared" si="347"/>
        <v>3</v>
      </c>
      <c r="D2261" s="1492">
        <f t="shared" si="344"/>
        <v>7</v>
      </c>
      <c r="F2261" s="1484" t="s">
        <v>11724</v>
      </c>
      <c r="H2261" s="1095" t="s">
        <v>70</v>
      </c>
      <c r="I2261" s="780">
        <v>379</v>
      </c>
      <c r="J2261" s="834"/>
      <c r="K2261" s="790" t="s">
        <v>13651</v>
      </c>
      <c r="L2261" s="780" t="s">
        <v>10854</v>
      </c>
      <c r="M2261" s="1270">
        <v>28</v>
      </c>
      <c r="N2261" s="399">
        <v>0</v>
      </c>
      <c r="O2261" s="102">
        <f t="shared" si="345"/>
        <v>0</v>
      </c>
      <c r="P2261" s="101">
        <f t="shared" si="346"/>
        <v>0</v>
      </c>
      <c r="Q2261" s="1472">
        <v>28</v>
      </c>
    </row>
    <row r="2262" spans="1:17">
      <c r="A2262" s="1482"/>
      <c r="B2262" s="1482"/>
      <c r="C2262" s="1555">
        <f t="shared" si="347"/>
        <v>3</v>
      </c>
      <c r="D2262" s="1492">
        <f t="shared" si="344"/>
        <v>7</v>
      </c>
      <c r="F2262" s="1484" t="s">
        <v>11724</v>
      </c>
      <c r="H2262" s="1095" t="s">
        <v>11722</v>
      </c>
      <c r="I2262" s="780" t="s">
        <v>13652</v>
      </c>
      <c r="J2262" s="834"/>
      <c r="K2262" s="790" t="s">
        <v>13653</v>
      </c>
      <c r="L2262" s="780" t="s">
        <v>18</v>
      </c>
      <c r="M2262" s="1270">
        <v>4</v>
      </c>
      <c r="N2262" s="399">
        <v>0</v>
      </c>
      <c r="O2262" s="102">
        <f t="shared" si="345"/>
        <v>0</v>
      </c>
      <c r="P2262" s="101">
        <f t="shared" si="346"/>
        <v>0</v>
      </c>
      <c r="Q2262" s="1472">
        <v>4</v>
      </c>
    </row>
    <row r="2263" spans="1:17">
      <c r="A2263" s="1482"/>
      <c r="B2263" s="1482"/>
      <c r="C2263" s="1555">
        <f t="shared" si="347"/>
        <v>3</v>
      </c>
      <c r="D2263" s="1492">
        <f t="shared" si="344"/>
        <v>7</v>
      </c>
      <c r="F2263" s="1484" t="s">
        <v>11724</v>
      </c>
      <c r="H2263" s="1095" t="s">
        <v>11722</v>
      </c>
      <c r="I2263" s="780" t="s">
        <v>13654</v>
      </c>
      <c r="J2263" s="834"/>
      <c r="K2263" s="790" t="s">
        <v>13655</v>
      </c>
      <c r="L2263" s="780" t="s">
        <v>18</v>
      </c>
      <c r="M2263" s="1270">
        <v>24</v>
      </c>
      <c r="N2263" s="399">
        <v>0</v>
      </c>
      <c r="O2263" s="102">
        <f t="shared" si="345"/>
        <v>0</v>
      </c>
      <c r="P2263" s="101">
        <f t="shared" si="346"/>
        <v>0</v>
      </c>
      <c r="Q2263" s="1472">
        <v>24</v>
      </c>
    </row>
    <row r="2264" spans="1:17">
      <c r="A2264" s="1482"/>
      <c r="B2264" s="1482"/>
      <c r="C2264" s="1555">
        <f t="shared" si="347"/>
        <v>3</v>
      </c>
      <c r="D2264" s="1492">
        <f t="shared" si="344"/>
        <v>7</v>
      </c>
      <c r="F2264" s="1484" t="s">
        <v>11724</v>
      </c>
      <c r="H2264" s="1095" t="s">
        <v>11722</v>
      </c>
      <c r="I2264" s="780" t="s">
        <v>13656</v>
      </c>
      <c r="J2264" s="834"/>
      <c r="K2264" s="790" t="s">
        <v>13657</v>
      </c>
      <c r="L2264" s="780" t="s">
        <v>18</v>
      </c>
      <c r="M2264" s="1270">
        <v>6</v>
      </c>
      <c r="N2264" s="399">
        <v>0</v>
      </c>
      <c r="O2264" s="102">
        <f t="shared" si="345"/>
        <v>0</v>
      </c>
      <c r="P2264" s="101">
        <f t="shared" si="346"/>
        <v>0</v>
      </c>
      <c r="Q2264" s="1472">
        <v>6</v>
      </c>
    </row>
    <row r="2265" spans="1:17">
      <c r="A2265" s="1482"/>
      <c r="B2265" s="1482"/>
      <c r="C2265" s="1555">
        <f t="shared" si="347"/>
        <v>3</v>
      </c>
      <c r="D2265" s="1492">
        <f t="shared" si="344"/>
        <v>7</v>
      </c>
      <c r="F2265" s="1484" t="s">
        <v>11724</v>
      </c>
      <c r="H2265" s="1095" t="s">
        <v>11722</v>
      </c>
      <c r="I2265" s="780" t="s">
        <v>13658</v>
      </c>
      <c r="J2265" s="834"/>
      <c r="K2265" s="790" t="s">
        <v>13659</v>
      </c>
      <c r="L2265" s="780" t="s">
        <v>10854</v>
      </c>
      <c r="M2265" s="1270">
        <v>13</v>
      </c>
      <c r="N2265" s="399">
        <v>0</v>
      </c>
      <c r="O2265" s="102">
        <f t="shared" si="345"/>
        <v>0</v>
      </c>
      <c r="P2265" s="101">
        <f t="shared" si="346"/>
        <v>0</v>
      </c>
      <c r="Q2265" s="1472">
        <v>13</v>
      </c>
    </row>
    <row r="2266" spans="1:17">
      <c r="A2266" s="1482"/>
      <c r="B2266" s="1482"/>
      <c r="C2266" s="1555">
        <f t="shared" si="347"/>
        <v>3</v>
      </c>
      <c r="D2266" s="1492">
        <f t="shared" si="344"/>
        <v>7</v>
      </c>
      <c r="F2266" s="1484" t="s">
        <v>11724</v>
      </c>
      <c r="H2266" s="1095" t="s">
        <v>11722</v>
      </c>
      <c r="I2266" s="780" t="s">
        <v>13660</v>
      </c>
      <c r="J2266" s="834"/>
      <c r="K2266" s="790" t="s">
        <v>13661</v>
      </c>
      <c r="L2266" s="780" t="s">
        <v>10854</v>
      </c>
      <c r="M2266" s="1270">
        <v>2</v>
      </c>
      <c r="N2266" s="399">
        <v>0</v>
      </c>
      <c r="O2266" s="102">
        <f t="shared" si="345"/>
        <v>0</v>
      </c>
      <c r="P2266" s="101">
        <f t="shared" si="346"/>
        <v>0</v>
      </c>
      <c r="Q2266" s="1472">
        <v>2</v>
      </c>
    </row>
    <row r="2267" spans="1:17">
      <c r="A2267" s="1482"/>
      <c r="B2267" s="1482"/>
      <c r="C2267" s="1555">
        <f t="shared" si="347"/>
        <v>3</v>
      </c>
      <c r="D2267" s="1492">
        <f t="shared" si="344"/>
        <v>7</v>
      </c>
      <c r="F2267" s="1484" t="s">
        <v>11724</v>
      </c>
      <c r="H2267" s="1095" t="s">
        <v>11722</v>
      </c>
      <c r="I2267" s="780" t="s">
        <v>13662</v>
      </c>
      <c r="J2267" s="834"/>
      <c r="K2267" s="790" t="s">
        <v>13663</v>
      </c>
      <c r="L2267" s="780" t="s">
        <v>10854</v>
      </c>
      <c r="M2267" s="1270">
        <v>1</v>
      </c>
      <c r="N2267" s="399">
        <v>0</v>
      </c>
      <c r="O2267" s="102">
        <f t="shared" si="345"/>
        <v>0</v>
      </c>
      <c r="P2267" s="101">
        <f t="shared" si="346"/>
        <v>0</v>
      </c>
      <c r="Q2267" s="1472">
        <v>1</v>
      </c>
    </row>
    <row r="2268" spans="1:17">
      <c r="A2268" s="1482"/>
      <c r="B2268" s="1482"/>
      <c r="C2268" s="1555">
        <f t="shared" si="347"/>
        <v>3</v>
      </c>
      <c r="D2268" s="1492">
        <f t="shared" si="344"/>
        <v>7</v>
      </c>
      <c r="F2268" s="1484" t="s">
        <v>11724</v>
      </c>
      <c r="H2268" s="1095" t="s">
        <v>11722</v>
      </c>
      <c r="I2268" s="780" t="s">
        <v>13664</v>
      </c>
      <c r="J2268" s="834"/>
      <c r="K2268" s="790" t="s">
        <v>13665</v>
      </c>
      <c r="L2268" s="780" t="s">
        <v>11753</v>
      </c>
      <c r="M2268" s="1270">
        <v>8</v>
      </c>
      <c r="N2268" s="399">
        <v>0</v>
      </c>
      <c r="O2268" s="102">
        <f t="shared" si="345"/>
        <v>0</v>
      </c>
      <c r="P2268" s="101">
        <f t="shared" si="346"/>
        <v>0</v>
      </c>
      <c r="Q2268" s="1472">
        <v>8</v>
      </c>
    </row>
    <row r="2269" spans="1:17">
      <c r="A2269" s="1482"/>
      <c r="B2269" s="1482"/>
      <c r="C2269" s="1555">
        <f t="shared" si="347"/>
        <v>3</v>
      </c>
      <c r="D2269" s="1492">
        <f t="shared" si="344"/>
        <v>7</v>
      </c>
      <c r="F2269" s="1484" t="s">
        <v>11724</v>
      </c>
      <c r="H2269" s="1095" t="s">
        <v>70</v>
      </c>
      <c r="I2269" s="780">
        <v>3915</v>
      </c>
      <c r="J2269" s="834"/>
      <c r="K2269" s="790" t="s">
        <v>13666</v>
      </c>
      <c r="L2269" s="780" t="s">
        <v>10854</v>
      </c>
      <c r="M2269" s="1270">
        <v>12</v>
      </c>
      <c r="N2269" s="399">
        <v>0</v>
      </c>
      <c r="O2269" s="102">
        <f t="shared" si="345"/>
        <v>0</v>
      </c>
      <c r="P2269" s="101">
        <f t="shared" si="346"/>
        <v>0</v>
      </c>
      <c r="Q2269" s="1472">
        <v>12</v>
      </c>
    </row>
    <row r="2270" spans="1:17">
      <c r="A2270" s="1482"/>
      <c r="B2270" s="1482"/>
      <c r="C2270" s="1555">
        <f t="shared" si="347"/>
        <v>3</v>
      </c>
      <c r="D2270" s="1492">
        <f t="shared" si="344"/>
        <v>7</v>
      </c>
      <c r="F2270" s="1484" t="s">
        <v>11724</v>
      </c>
      <c r="H2270" s="1095" t="s">
        <v>70</v>
      </c>
      <c r="I2270" s="780">
        <v>39216</v>
      </c>
      <c r="J2270" s="834"/>
      <c r="K2270" s="790" t="s">
        <v>13667</v>
      </c>
      <c r="L2270" s="780" t="s">
        <v>10854</v>
      </c>
      <c r="M2270" s="1270">
        <v>16</v>
      </c>
      <c r="N2270" s="399">
        <v>0</v>
      </c>
      <c r="O2270" s="102">
        <f t="shared" si="345"/>
        <v>0</v>
      </c>
      <c r="P2270" s="101">
        <f t="shared" si="346"/>
        <v>0</v>
      </c>
      <c r="Q2270" s="1472">
        <v>16</v>
      </c>
    </row>
    <row r="2271" spans="1:17">
      <c r="A2271" s="1482"/>
      <c r="B2271" s="1482"/>
      <c r="C2271" s="1555">
        <f t="shared" si="347"/>
        <v>3</v>
      </c>
      <c r="D2271" s="1492">
        <f t="shared" si="344"/>
        <v>7</v>
      </c>
      <c r="F2271" s="1484" t="s">
        <v>11724</v>
      </c>
      <c r="H2271" s="1095" t="s">
        <v>70</v>
      </c>
      <c r="I2271" s="780">
        <v>39182</v>
      </c>
      <c r="J2271" s="834"/>
      <c r="K2271" s="790" t="s">
        <v>13668</v>
      </c>
      <c r="L2271" s="780" t="s">
        <v>10854</v>
      </c>
      <c r="M2271" s="1270">
        <v>16</v>
      </c>
      <c r="N2271" s="399">
        <v>0</v>
      </c>
      <c r="O2271" s="102">
        <f t="shared" si="345"/>
        <v>0</v>
      </c>
      <c r="P2271" s="101">
        <f t="shared" si="346"/>
        <v>0</v>
      </c>
      <c r="Q2271" s="1472">
        <v>16</v>
      </c>
    </row>
    <row r="2272" spans="1:17">
      <c r="A2272" s="1482"/>
      <c r="B2272" s="1482"/>
      <c r="C2272" s="1555">
        <f t="shared" si="347"/>
        <v>3</v>
      </c>
      <c r="D2272" s="1492">
        <f t="shared" ref="D2272:D2287" si="348">D2271+B2272</f>
        <v>7</v>
      </c>
      <c r="F2272" s="1484" t="s">
        <v>11724</v>
      </c>
      <c r="H2272" s="1095" t="s">
        <v>70</v>
      </c>
      <c r="I2272" s="780">
        <v>4183</v>
      </c>
      <c r="J2272" s="834"/>
      <c r="K2272" s="790" t="s">
        <v>13669</v>
      </c>
      <c r="L2272" s="780" t="s">
        <v>10854</v>
      </c>
      <c r="M2272" s="1270">
        <v>4</v>
      </c>
      <c r="N2272" s="399">
        <v>0</v>
      </c>
      <c r="O2272" s="102">
        <f t="shared" ref="O2272:O2283" si="349">ROUND(IF(F2272="Serviços",N2272*(1+$O$7),IF(F2272="Materiais",N2272*(1+$O$8))),2)</f>
        <v>0</v>
      </c>
      <c r="P2272" s="101">
        <f t="shared" ref="P2272:P2283" si="350">ROUND(M2272*O2272,2)</f>
        <v>0</v>
      </c>
      <c r="Q2272" s="1472">
        <v>4</v>
      </c>
    </row>
    <row r="2273" spans="1:17">
      <c r="A2273" s="1482"/>
      <c r="B2273" s="1482"/>
      <c r="C2273" s="1555">
        <f t="shared" si="347"/>
        <v>3</v>
      </c>
      <c r="D2273" s="1492">
        <f t="shared" si="348"/>
        <v>7</v>
      </c>
      <c r="F2273" s="1484" t="s">
        <v>11724</v>
      </c>
      <c r="H2273" s="1095" t="s">
        <v>70</v>
      </c>
      <c r="I2273" s="780">
        <v>92373</v>
      </c>
      <c r="J2273" s="834"/>
      <c r="K2273" s="790" t="s">
        <v>13670</v>
      </c>
      <c r="L2273" s="780" t="s">
        <v>10854</v>
      </c>
      <c r="M2273" s="1270">
        <v>1</v>
      </c>
      <c r="N2273" s="399">
        <v>0</v>
      </c>
      <c r="O2273" s="102">
        <f t="shared" si="349"/>
        <v>0</v>
      </c>
      <c r="P2273" s="101">
        <f t="shared" si="350"/>
        <v>0</v>
      </c>
      <c r="Q2273" s="1472">
        <v>1</v>
      </c>
    </row>
    <row r="2274" spans="1:17">
      <c r="A2274" s="1482"/>
      <c r="B2274" s="1482"/>
      <c r="C2274" s="1555">
        <f t="shared" si="347"/>
        <v>3</v>
      </c>
      <c r="D2274" s="1492">
        <f t="shared" si="348"/>
        <v>7</v>
      </c>
      <c r="F2274" s="1484" t="s">
        <v>11724</v>
      </c>
      <c r="H2274" s="1095" t="s">
        <v>11722</v>
      </c>
      <c r="I2274" s="780" t="s">
        <v>13671</v>
      </c>
      <c r="J2274" s="834"/>
      <c r="K2274" s="790" t="s">
        <v>13672</v>
      </c>
      <c r="L2274" s="780" t="s">
        <v>10854</v>
      </c>
      <c r="M2274" s="1270">
        <v>4</v>
      </c>
      <c r="N2274" s="399">
        <v>0</v>
      </c>
      <c r="O2274" s="102">
        <f t="shared" si="349"/>
        <v>0</v>
      </c>
      <c r="P2274" s="101">
        <f t="shared" si="350"/>
        <v>0</v>
      </c>
      <c r="Q2274" s="1472">
        <v>4</v>
      </c>
    </row>
    <row r="2275" spans="1:17">
      <c r="A2275" s="1482"/>
      <c r="B2275" s="1482"/>
      <c r="C2275" s="1555">
        <f t="shared" si="347"/>
        <v>3</v>
      </c>
      <c r="D2275" s="1492">
        <f t="shared" si="348"/>
        <v>7</v>
      </c>
      <c r="F2275" s="1484" t="s">
        <v>11724</v>
      </c>
      <c r="H2275" s="1095" t="s">
        <v>70</v>
      </c>
      <c r="I2275" s="780">
        <v>39693</v>
      </c>
      <c r="J2275" s="834"/>
      <c r="K2275" s="790" t="s">
        <v>13673</v>
      </c>
      <c r="L2275" s="780" t="s">
        <v>10854</v>
      </c>
      <c r="M2275" s="1270">
        <v>1</v>
      </c>
      <c r="N2275" s="399">
        <v>0</v>
      </c>
      <c r="O2275" s="102">
        <f t="shared" si="349"/>
        <v>0</v>
      </c>
      <c r="P2275" s="101">
        <f t="shared" si="350"/>
        <v>0</v>
      </c>
      <c r="Q2275" s="1472">
        <v>1</v>
      </c>
    </row>
    <row r="2276" spans="1:17">
      <c r="A2276" s="1482"/>
      <c r="B2276" s="1482"/>
      <c r="C2276" s="1555">
        <f t="shared" si="347"/>
        <v>3</v>
      </c>
      <c r="D2276" s="1492">
        <f t="shared" si="348"/>
        <v>7</v>
      </c>
      <c r="F2276" s="1484" t="s">
        <v>11724</v>
      </c>
      <c r="H2276" s="1095" t="s">
        <v>70</v>
      </c>
      <c r="I2276" s="780">
        <v>14055</v>
      </c>
      <c r="J2276" s="834"/>
      <c r="K2276" s="790" t="s">
        <v>13674</v>
      </c>
      <c r="L2276" s="780" t="s">
        <v>10854</v>
      </c>
      <c r="M2276" s="1270">
        <v>1</v>
      </c>
      <c r="N2276" s="399">
        <v>0</v>
      </c>
      <c r="O2276" s="102">
        <f t="shared" si="349"/>
        <v>0</v>
      </c>
      <c r="P2276" s="101">
        <f t="shared" si="350"/>
        <v>0</v>
      </c>
      <c r="Q2276" s="1472">
        <v>1</v>
      </c>
    </row>
    <row r="2277" spans="1:17">
      <c r="A2277" s="1482"/>
      <c r="B2277" s="1482"/>
      <c r="C2277" s="1555">
        <f t="shared" si="347"/>
        <v>3</v>
      </c>
      <c r="D2277" s="1492">
        <f t="shared" si="348"/>
        <v>7</v>
      </c>
      <c r="F2277" s="1484" t="s">
        <v>11724</v>
      </c>
      <c r="H2277" s="1095" t="s">
        <v>70</v>
      </c>
      <c r="I2277" s="780">
        <v>14055</v>
      </c>
      <c r="J2277" s="834"/>
      <c r="K2277" s="790" t="s">
        <v>13675</v>
      </c>
      <c r="L2277" s="780" t="s">
        <v>10854</v>
      </c>
      <c r="M2277" s="1270">
        <v>1</v>
      </c>
      <c r="N2277" s="399">
        <v>0</v>
      </c>
      <c r="O2277" s="102">
        <f t="shared" si="349"/>
        <v>0</v>
      </c>
      <c r="P2277" s="101">
        <f t="shared" si="350"/>
        <v>0</v>
      </c>
      <c r="Q2277" s="1472">
        <v>1</v>
      </c>
    </row>
    <row r="2278" spans="1:17">
      <c r="A2278" s="1482"/>
      <c r="B2278" s="1482"/>
      <c r="C2278" s="1555">
        <f t="shared" si="347"/>
        <v>3</v>
      </c>
      <c r="D2278" s="1492">
        <f t="shared" si="348"/>
        <v>7</v>
      </c>
      <c r="F2278" s="1484" t="s">
        <v>11724</v>
      </c>
      <c r="H2278" s="1095" t="s">
        <v>70</v>
      </c>
      <c r="I2278" s="780">
        <v>92998</v>
      </c>
      <c r="J2278" s="834"/>
      <c r="K2278" s="790" t="s">
        <v>13676</v>
      </c>
      <c r="L2278" s="780" t="s">
        <v>18</v>
      </c>
      <c r="M2278" s="1270">
        <v>80</v>
      </c>
      <c r="N2278" s="399">
        <v>0</v>
      </c>
      <c r="O2278" s="102">
        <f t="shared" si="349"/>
        <v>0</v>
      </c>
      <c r="P2278" s="101">
        <f t="shared" si="350"/>
        <v>0</v>
      </c>
      <c r="Q2278" s="1472">
        <v>80</v>
      </c>
    </row>
    <row r="2279" spans="1:17">
      <c r="A2279" s="1482"/>
      <c r="B2279" s="1482"/>
      <c r="C2279" s="1555">
        <f t="shared" si="347"/>
        <v>3</v>
      </c>
      <c r="D2279" s="1492">
        <f t="shared" si="348"/>
        <v>7</v>
      </c>
      <c r="F2279" s="1484" t="s">
        <v>11724</v>
      </c>
      <c r="H2279" s="1095" t="s">
        <v>70</v>
      </c>
      <c r="I2279" s="780">
        <v>72255</v>
      </c>
      <c r="J2279" s="834"/>
      <c r="K2279" s="790" t="s">
        <v>13677</v>
      </c>
      <c r="L2279" s="780" t="s">
        <v>18</v>
      </c>
      <c r="M2279" s="1270">
        <v>37</v>
      </c>
      <c r="N2279" s="399">
        <v>0</v>
      </c>
      <c r="O2279" s="102">
        <f t="shared" si="349"/>
        <v>0</v>
      </c>
      <c r="P2279" s="101">
        <f t="shared" si="350"/>
        <v>0</v>
      </c>
      <c r="Q2279" s="1472">
        <v>37</v>
      </c>
    </row>
    <row r="2280" spans="1:17">
      <c r="A2280" s="1482"/>
      <c r="B2280" s="1482"/>
      <c r="C2280" s="1555">
        <f t="shared" si="347"/>
        <v>3</v>
      </c>
      <c r="D2280" s="1492">
        <f t="shared" si="348"/>
        <v>7</v>
      </c>
      <c r="F2280" s="1484" t="s">
        <v>11724</v>
      </c>
      <c r="H2280" s="1095" t="s">
        <v>70</v>
      </c>
      <c r="I2280" s="780">
        <v>72252</v>
      </c>
      <c r="J2280" s="834"/>
      <c r="K2280" s="790" t="s">
        <v>13678</v>
      </c>
      <c r="L2280" s="780" t="s">
        <v>18</v>
      </c>
      <c r="M2280" s="1270">
        <v>3</v>
      </c>
      <c r="N2280" s="399">
        <v>0</v>
      </c>
      <c r="O2280" s="102">
        <f t="shared" si="349"/>
        <v>0</v>
      </c>
      <c r="P2280" s="101">
        <f t="shared" si="350"/>
        <v>0</v>
      </c>
      <c r="Q2280" s="1472">
        <v>3</v>
      </c>
    </row>
    <row r="2281" spans="1:17">
      <c r="A2281" s="1482"/>
      <c r="B2281" s="1482"/>
      <c r="C2281" s="1555">
        <f t="shared" si="347"/>
        <v>3</v>
      </c>
      <c r="D2281" s="1492">
        <f t="shared" si="348"/>
        <v>7</v>
      </c>
      <c r="F2281" s="1484" t="s">
        <v>11724</v>
      </c>
      <c r="H2281" s="1095" t="s">
        <v>11722</v>
      </c>
      <c r="I2281" s="780" t="s">
        <v>13679</v>
      </c>
      <c r="J2281" s="834"/>
      <c r="K2281" s="790" t="s">
        <v>13680</v>
      </c>
      <c r="L2281" s="780" t="s">
        <v>10854</v>
      </c>
      <c r="M2281" s="1270">
        <v>1</v>
      </c>
      <c r="N2281" s="399">
        <v>0</v>
      </c>
      <c r="O2281" s="102">
        <f t="shared" si="349"/>
        <v>0</v>
      </c>
      <c r="P2281" s="101">
        <f t="shared" si="350"/>
        <v>0</v>
      </c>
      <c r="Q2281" s="1472">
        <v>1</v>
      </c>
    </row>
    <row r="2282" spans="1:17">
      <c r="A2282" s="1482"/>
      <c r="B2282" s="1482"/>
      <c r="C2282" s="1555">
        <f t="shared" si="347"/>
        <v>3</v>
      </c>
      <c r="D2282" s="1492">
        <f t="shared" si="348"/>
        <v>7</v>
      </c>
      <c r="F2282" s="1484" t="s">
        <v>11724</v>
      </c>
      <c r="H2282" s="1095" t="s">
        <v>70</v>
      </c>
      <c r="I2282" s="780">
        <v>2394</v>
      </c>
      <c r="J2282" s="834"/>
      <c r="K2282" s="790" t="s">
        <v>13681</v>
      </c>
      <c r="L2282" s="780" t="s">
        <v>10854</v>
      </c>
      <c r="M2282" s="1270">
        <v>1</v>
      </c>
      <c r="N2282" s="399">
        <v>0</v>
      </c>
      <c r="O2282" s="102">
        <f t="shared" si="349"/>
        <v>0</v>
      </c>
      <c r="P2282" s="101">
        <f t="shared" si="350"/>
        <v>0</v>
      </c>
      <c r="Q2282" s="1472">
        <v>1</v>
      </c>
    </row>
    <row r="2283" spans="1:17">
      <c r="A2283" s="1482"/>
      <c r="B2283" s="1482"/>
      <c r="C2283" s="1555">
        <f t="shared" si="347"/>
        <v>3</v>
      </c>
      <c r="D2283" s="1492">
        <f t="shared" si="348"/>
        <v>7</v>
      </c>
      <c r="F2283" s="1484" t="s">
        <v>11724</v>
      </c>
      <c r="H2283" s="1095" t="s">
        <v>70</v>
      </c>
      <c r="I2283" s="780">
        <v>39692</v>
      </c>
      <c r="J2283" s="834"/>
      <c r="K2283" s="790" t="s">
        <v>13682</v>
      </c>
      <c r="L2283" s="780" t="s">
        <v>10854</v>
      </c>
      <c r="M2283" s="1270">
        <v>3</v>
      </c>
      <c r="N2283" s="399">
        <v>0</v>
      </c>
      <c r="O2283" s="102">
        <f t="shared" si="349"/>
        <v>0</v>
      </c>
      <c r="P2283" s="101">
        <f t="shared" si="350"/>
        <v>0</v>
      </c>
      <c r="Q2283" s="1472">
        <v>3</v>
      </c>
    </row>
    <row r="2284" spans="1:17">
      <c r="A2284" s="1482"/>
      <c r="B2284" s="1482"/>
      <c r="C2284" s="1555">
        <f t="shared" si="347"/>
        <v>3</v>
      </c>
      <c r="D2284" s="1492">
        <f t="shared" si="348"/>
        <v>7</v>
      </c>
      <c r="F2284" s="1484" t="s">
        <v>11724</v>
      </c>
      <c r="H2284" s="1095"/>
      <c r="I2284" s="780"/>
      <c r="J2284" s="834"/>
      <c r="K2284" s="790"/>
      <c r="L2284" s="780"/>
      <c r="M2284" s="1270"/>
      <c r="N2284" s="399"/>
      <c r="O2284" s="102"/>
      <c r="P2284" s="101"/>
    </row>
    <row r="2285" spans="1:17" ht="15.75" thickBot="1">
      <c r="A2285" s="1482"/>
      <c r="B2285" s="1482"/>
      <c r="C2285" s="1555">
        <f t="shared" si="347"/>
        <v>3</v>
      </c>
      <c r="D2285" s="1492">
        <f t="shared" si="348"/>
        <v>7</v>
      </c>
      <c r="F2285" s="1484" t="s">
        <v>11724</v>
      </c>
      <c r="H2285" s="1095"/>
      <c r="I2285" s="780"/>
      <c r="J2285" s="834"/>
      <c r="K2285" s="780"/>
      <c r="L2285" s="780"/>
      <c r="M2285" s="1270"/>
      <c r="N2285" s="400"/>
      <c r="O2285" s="122"/>
      <c r="P2285" s="123"/>
    </row>
    <row r="2286" spans="1:17" ht="16.5" thickTop="1" thickBot="1">
      <c r="A2286" s="1482"/>
      <c r="B2286" s="1482">
        <v>1</v>
      </c>
      <c r="C2286" s="1555">
        <f t="shared" si="347"/>
        <v>3</v>
      </c>
      <c r="D2286" s="1492">
        <f t="shared" si="348"/>
        <v>8</v>
      </c>
      <c r="F2286" s="1484" t="s">
        <v>11724</v>
      </c>
      <c r="H2286" s="1510" t="str">
        <f>CONCATENATE(C2286,".",D2286)</f>
        <v>3.8</v>
      </c>
      <c r="I2286" s="1573" t="s">
        <v>13875</v>
      </c>
      <c r="J2286" s="1573"/>
      <c r="K2286" s="1573"/>
      <c r="L2286" s="1573" t="s">
        <v>25</v>
      </c>
      <c r="M2286" s="1574" t="s">
        <v>11704</v>
      </c>
      <c r="N2286" s="397" t="s">
        <v>11705</v>
      </c>
      <c r="O2286" s="99" t="s">
        <v>11706</v>
      </c>
      <c r="P2286" s="100">
        <f>SUBTOTAL(9,P2288:P2332)</f>
        <v>0</v>
      </c>
      <c r="Q2286" s="1472" t="s">
        <v>11704</v>
      </c>
    </row>
    <row r="2287" spans="1:17" ht="15.75" thickTop="1">
      <c r="A2287" s="1482"/>
      <c r="B2287" s="1482"/>
      <c r="C2287" s="1555">
        <f t="shared" si="347"/>
        <v>3</v>
      </c>
      <c r="D2287" s="1492">
        <f t="shared" si="348"/>
        <v>8</v>
      </c>
      <c r="F2287" s="1484" t="s">
        <v>11724</v>
      </c>
      <c r="H2287" s="1095"/>
      <c r="I2287" s="780"/>
      <c r="J2287" s="834"/>
      <c r="K2287" s="790"/>
      <c r="L2287" s="700"/>
      <c r="M2287" s="870"/>
      <c r="N2287" s="399"/>
      <c r="O2287" s="102"/>
      <c r="P2287" s="101"/>
    </row>
    <row r="2288" spans="1:17">
      <c r="A2288" s="1482"/>
      <c r="B2288" s="1482"/>
      <c r="C2288" s="1555">
        <f t="shared" si="347"/>
        <v>3</v>
      </c>
      <c r="D2288" s="1492">
        <f t="shared" ref="D2288:D2312" si="351">D2287+B2288</f>
        <v>8</v>
      </c>
      <c r="F2288" s="1484" t="s">
        <v>11724</v>
      </c>
      <c r="H2288" s="1095" t="s">
        <v>11722</v>
      </c>
      <c r="I2288" s="780" t="s">
        <v>13683</v>
      </c>
      <c r="J2288" s="834"/>
      <c r="K2288" s="790" t="s">
        <v>13684</v>
      </c>
      <c r="L2288" s="700" t="s">
        <v>11758</v>
      </c>
      <c r="M2288" s="870">
        <v>14</v>
      </c>
      <c r="N2288" s="399">
        <v>0</v>
      </c>
      <c r="O2288" s="102">
        <f t="shared" ref="O2288:O2312" si="352">ROUND(IF(F2288="Serviços",N2288*(1+$O$7),IF(F2288="Materiais",N2288*(1+$O$8))),2)</f>
        <v>0</v>
      </c>
      <c r="P2288" s="101">
        <f t="shared" ref="P2288:P2312" si="353">ROUND(M2288*O2288,2)</f>
        <v>0</v>
      </c>
      <c r="Q2288" s="1472">
        <v>14</v>
      </c>
    </row>
    <row r="2289" spans="1:17">
      <c r="A2289" s="1482"/>
      <c r="B2289" s="1482"/>
      <c r="C2289" s="1555">
        <f t="shared" si="347"/>
        <v>3</v>
      </c>
      <c r="D2289" s="1492">
        <f t="shared" si="351"/>
        <v>8</v>
      </c>
      <c r="F2289" s="1484" t="s">
        <v>11724</v>
      </c>
      <c r="H2289" s="1095" t="s">
        <v>11722</v>
      </c>
      <c r="I2289" s="780" t="s">
        <v>13685</v>
      </c>
      <c r="J2289" s="834"/>
      <c r="K2289" s="790" t="s">
        <v>13686</v>
      </c>
      <c r="L2289" s="700" t="s">
        <v>11758</v>
      </c>
      <c r="M2289" s="870">
        <v>14</v>
      </c>
      <c r="N2289" s="399">
        <v>0</v>
      </c>
      <c r="O2289" s="102">
        <f t="shared" si="352"/>
        <v>0</v>
      </c>
      <c r="P2289" s="101">
        <f t="shared" si="353"/>
        <v>0</v>
      </c>
      <c r="Q2289" s="1472">
        <v>14</v>
      </c>
    </row>
    <row r="2290" spans="1:17">
      <c r="A2290" s="1482"/>
      <c r="B2290" s="1482"/>
      <c r="C2290" s="1555">
        <f t="shared" si="347"/>
        <v>3</v>
      </c>
      <c r="D2290" s="1492">
        <f t="shared" si="351"/>
        <v>8</v>
      </c>
      <c r="F2290" s="1484" t="s">
        <v>11724</v>
      </c>
      <c r="H2290" s="1095" t="s">
        <v>11722</v>
      </c>
      <c r="I2290" s="780" t="s">
        <v>13687</v>
      </c>
      <c r="J2290" s="834"/>
      <c r="K2290" s="790" t="s">
        <v>13688</v>
      </c>
      <c r="L2290" s="700" t="s">
        <v>11758</v>
      </c>
      <c r="M2290" s="870">
        <v>6</v>
      </c>
      <c r="N2290" s="399">
        <v>0</v>
      </c>
      <c r="O2290" s="102">
        <f t="shared" si="352"/>
        <v>0</v>
      </c>
      <c r="P2290" s="101">
        <f t="shared" si="353"/>
        <v>0</v>
      </c>
      <c r="Q2290" s="1472">
        <v>6</v>
      </c>
    </row>
    <row r="2291" spans="1:17">
      <c r="A2291" s="1482"/>
      <c r="B2291" s="1482"/>
      <c r="C2291" s="1555">
        <f t="shared" si="347"/>
        <v>3</v>
      </c>
      <c r="D2291" s="1492">
        <f t="shared" si="351"/>
        <v>8</v>
      </c>
      <c r="F2291" s="1484" t="s">
        <v>11724</v>
      </c>
      <c r="H2291" s="1095" t="s">
        <v>11722</v>
      </c>
      <c r="I2291" s="780" t="s">
        <v>13689</v>
      </c>
      <c r="J2291" s="834"/>
      <c r="K2291" s="790" t="s">
        <v>13690</v>
      </c>
      <c r="L2291" s="700" t="s">
        <v>13691</v>
      </c>
      <c r="M2291" s="870">
        <v>20</v>
      </c>
      <c r="N2291" s="399">
        <v>0</v>
      </c>
      <c r="O2291" s="102">
        <f t="shared" si="352"/>
        <v>0</v>
      </c>
      <c r="P2291" s="101">
        <f t="shared" si="353"/>
        <v>0</v>
      </c>
      <c r="Q2291" s="1472">
        <v>20</v>
      </c>
    </row>
    <row r="2292" spans="1:17">
      <c r="A2292" s="1482"/>
      <c r="B2292" s="1482"/>
      <c r="C2292" s="1555">
        <f t="shared" si="347"/>
        <v>3</v>
      </c>
      <c r="D2292" s="1492">
        <f t="shared" si="351"/>
        <v>8</v>
      </c>
      <c r="F2292" s="1484" t="s">
        <v>11724</v>
      </c>
      <c r="H2292" s="1095" t="s">
        <v>70</v>
      </c>
      <c r="I2292" s="780">
        <v>12344</v>
      </c>
      <c r="J2292" s="834"/>
      <c r="K2292" s="790" t="s">
        <v>13692</v>
      </c>
      <c r="L2292" s="700" t="s">
        <v>13691</v>
      </c>
      <c r="M2292" s="870">
        <v>3</v>
      </c>
      <c r="N2292" s="399">
        <v>0</v>
      </c>
      <c r="O2292" s="102">
        <f t="shared" si="352"/>
        <v>0</v>
      </c>
      <c r="P2292" s="101">
        <f t="shared" si="353"/>
        <v>0</v>
      </c>
      <c r="Q2292" s="1472">
        <v>3</v>
      </c>
    </row>
    <row r="2293" spans="1:17">
      <c r="A2293" s="1482"/>
      <c r="B2293" s="1482"/>
      <c r="C2293" s="1555">
        <f t="shared" si="347"/>
        <v>3</v>
      </c>
      <c r="D2293" s="1492">
        <f t="shared" si="351"/>
        <v>8</v>
      </c>
      <c r="F2293" s="1484" t="s">
        <v>11724</v>
      </c>
      <c r="H2293" s="1095" t="s">
        <v>70</v>
      </c>
      <c r="I2293" s="780">
        <v>12344</v>
      </c>
      <c r="J2293" s="834"/>
      <c r="K2293" s="790" t="s">
        <v>13693</v>
      </c>
      <c r="L2293" s="700" t="s">
        <v>11758</v>
      </c>
      <c r="M2293" s="870">
        <v>2</v>
      </c>
      <c r="N2293" s="399">
        <v>0</v>
      </c>
      <c r="O2293" s="102">
        <f t="shared" si="352"/>
        <v>0</v>
      </c>
      <c r="P2293" s="101">
        <f t="shared" si="353"/>
        <v>0</v>
      </c>
      <c r="Q2293" s="1472">
        <v>2</v>
      </c>
    </row>
    <row r="2294" spans="1:17" ht="22.5">
      <c r="A2294" s="1482"/>
      <c r="B2294" s="1482"/>
      <c r="C2294" s="1555">
        <f t="shared" si="347"/>
        <v>3</v>
      </c>
      <c r="D2294" s="1492">
        <f t="shared" si="351"/>
        <v>8</v>
      </c>
      <c r="F2294" s="1484" t="s">
        <v>11724</v>
      </c>
      <c r="H2294" s="1095" t="s">
        <v>11722</v>
      </c>
      <c r="I2294" s="780" t="s">
        <v>13694</v>
      </c>
      <c r="J2294" s="834"/>
      <c r="K2294" s="790" t="s">
        <v>13695</v>
      </c>
      <c r="L2294" s="700" t="s">
        <v>11758</v>
      </c>
      <c r="M2294" s="870">
        <v>1</v>
      </c>
      <c r="N2294" s="399">
        <v>0</v>
      </c>
      <c r="O2294" s="102">
        <f t="shared" si="352"/>
        <v>0</v>
      </c>
      <c r="P2294" s="101">
        <f t="shared" si="353"/>
        <v>0</v>
      </c>
      <c r="Q2294" s="1472">
        <v>1</v>
      </c>
    </row>
    <row r="2295" spans="1:17" ht="22.5">
      <c r="A2295" s="1482"/>
      <c r="B2295" s="1482"/>
      <c r="C2295" s="1555">
        <f t="shared" si="347"/>
        <v>3</v>
      </c>
      <c r="D2295" s="1492">
        <f t="shared" si="351"/>
        <v>8</v>
      </c>
      <c r="F2295" s="1484" t="s">
        <v>11724</v>
      </c>
      <c r="H2295" s="1095" t="s">
        <v>11722</v>
      </c>
      <c r="I2295" s="780" t="s">
        <v>13696</v>
      </c>
      <c r="J2295" s="834"/>
      <c r="K2295" s="790" t="s">
        <v>13602</v>
      </c>
      <c r="L2295" s="700" t="s">
        <v>13691</v>
      </c>
      <c r="M2295" s="870">
        <v>7</v>
      </c>
      <c r="N2295" s="399">
        <v>0</v>
      </c>
      <c r="O2295" s="102">
        <f t="shared" si="352"/>
        <v>0</v>
      </c>
      <c r="P2295" s="101">
        <f t="shared" si="353"/>
        <v>0</v>
      </c>
      <c r="Q2295" s="1472">
        <v>7</v>
      </c>
    </row>
    <row r="2296" spans="1:17" ht="22.5">
      <c r="A2296" s="1482"/>
      <c r="B2296" s="1482"/>
      <c r="C2296" s="1555">
        <f t="shared" si="347"/>
        <v>3</v>
      </c>
      <c r="D2296" s="1492">
        <f t="shared" si="351"/>
        <v>8</v>
      </c>
      <c r="F2296" s="1484" t="s">
        <v>11724</v>
      </c>
      <c r="H2296" s="1095" t="s">
        <v>11722</v>
      </c>
      <c r="I2296" s="780" t="s">
        <v>13697</v>
      </c>
      <c r="J2296" s="834"/>
      <c r="K2296" s="790" t="s">
        <v>13604</v>
      </c>
      <c r="L2296" s="700" t="s">
        <v>13691</v>
      </c>
      <c r="M2296" s="870">
        <v>7</v>
      </c>
      <c r="N2296" s="399">
        <v>0</v>
      </c>
      <c r="O2296" s="102">
        <f t="shared" si="352"/>
        <v>0</v>
      </c>
      <c r="P2296" s="101">
        <f t="shared" si="353"/>
        <v>0</v>
      </c>
      <c r="Q2296" s="1472">
        <v>7</v>
      </c>
    </row>
    <row r="2297" spans="1:17" ht="22.5">
      <c r="A2297" s="1482"/>
      <c r="B2297" s="1482"/>
      <c r="C2297" s="1555">
        <f t="shared" si="347"/>
        <v>3</v>
      </c>
      <c r="D2297" s="1492">
        <f t="shared" si="351"/>
        <v>8</v>
      </c>
      <c r="F2297" s="1484" t="s">
        <v>11724</v>
      </c>
      <c r="H2297" s="1095" t="s">
        <v>11722</v>
      </c>
      <c r="I2297" s="780" t="s">
        <v>13698</v>
      </c>
      <c r="J2297" s="834"/>
      <c r="K2297" s="790" t="s">
        <v>13699</v>
      </c>
      <c r="L2297" s="700" t="s">
        <v>13691</v>
      </c>
      <c r="M2297" s="870">
        <v>6</v>
      </c>
      <c r="N2297" s="399">
        <v>0</v>
      </c>
      <c r="O2297" s="102">
        <f t="shared" si="352"/>
        <v>0</v>
      </c>
      <c r="P2297" s="101">
        <f t="shared" si="353"/>
        <v>0</v>
      </c>
      <c r="Q2297" s="1472">
        <v>6</v>
      </c>
    </row>
    <row r="2298" spans="1:17" ht="22.5">
      <c r="A2298" s="1482"/>
      <c r="B2298" s="1482"/>
      <c r="C2298" s="1555">
        <f t="shared" si="347"/>
        <v>3</v>
      </c>
      <c r="D2298" s="1492">
        <f t="shared" si="351"/>
        <v>8</v>
      </c>
      <c r="F2298" s="1484" t="s">
        <v>11724</v>
      </c>
      <c r="H2298" s="1095" t="s">
        <v>11722</v>
      </c>
      <c r="I2298" s="780" t="s">
        <v>13700</v>
      </c>
      <c r="J2298" s="834"/>
      <c r="K2298" s="790" t="s">
        <v>13701</v>
      </c>
      <c r="L2298" s="700" t="s">
        <v>11758</v>
      </c>
      <c r="M2298" s="870">
        <v>6</v>
      </c>
      <c r="N2298" s="399">
        <v>0</v>
      </c>
      <c r="O2298" s="102">
        <f t="shared" si="352"/>
        <v>0</v>
      </c>
      <c r="P2298" s="101">
        <f t="shared" si="353"/>
        <v>0</v>
      </c>
      <c r="Q2298" s="1472">
        <v>6</v>
      </c>
    </row>
    <row r="2299" spans="1:17">
      <c r="A2299" s="1482"/>
      <c r="B2299" s="1482"/>
      <c r="C2299" s="1555">
        <f t="shared" si="347"/>
        <v>3</v>
      </c>
      <c r="D2299" s="1492">
        <f t="shared" si="351"/>
        <v>8</v>
      </c>
      <c r="F2299" s="1484" t="s">
        <v>11724</v>
      </c>
      <c r="H2299" s="1095" t="s">
        <v>11722</v>
      </c>
      <c r="I2299" s="780" t="s">
        <v>13702</v>
      </c>
      <c r="J2299" s="834"/>
      <c r="K2299" s="790" t="s">
        <v>13703</v>
      </c>
      <c r="L2299" s="700" t="s">
        <v>13691</v>
      </c>
      <c r="M2299" s="870">
        <v>130</v>
      </c>
      <c r="N2299" s="399">
        <v>0</v>
      </c>
      <c r="O2299" s="102">
        <f t="shared" si="352"/>
        <v>0</v>
      </c>
      <c r="P2299" s="101">
        <f t="shared" si="353"/>
        <v>0</v>
      </c>
      <c r="Q2299" s="1472">
        <v>130</v>
      </c>
    </row>
    <row r="2300" spans="1:17">
      <c r="A2300" s="1482"/>
      <c r="B2300" s="1482"/>
      <c r="C2300" s="1555">
        <f t="shared" si="347"/>
        <v>3</v>
      </c>
      <c r="D2300" s="1492">
        <f t="shared" si="351"/>
        <v>8</v>
      </c>
      <c r="F2300" s="1484" t="s">
        <v>11724</v>
      </c>
      <c r="H2300" s="1095" t="s">
        <v>11722</v>
      </c>
      <c r="I2300" s="780" t="s">
        <v>13704</v>
      </c>
      <c r="J2300" s="834"/>
      <c r="K2300" s="790" t="s">
        <v>13705</v>
      </c>
      <c r="L2300" s="700" t="s">
        <v>11758</v>
      </c>
      <c r="M2300" s="870">
        <v>10</v>
      </c>
      <c r="N2300" s="399">
        <v>0</v>
      </c>
      <c r="O2300" s="102">
        <f t="shared" si="352"/>
        <v>0</v>
      </c>
      <c r="P2300" s="101">
        <f t="shared" si="353"/>
        <v>0</v>
      </c>
      <c r="Q2300" s="1472">
        <v>10</v>
      </c>
    </row>
    <row r="2301" spans="1:17">
      <c r="A2301" s="1482"/>
      <c r="B2301" s="1482"/>
      <c r="C2301" s="1555">
        <f t="shared" si="347"/>
        <v>3</v>
      </c>
      <c r="D2301" s="1492">
        <f t="shared" si="351"/>
        <v>8</v>
      </c>
      <c r="F2301" s="1484" t="s">
        <v>11724</v>
      </c>
      <c r="H2301" s="1095" t="s">
        <v>11722</v>
      </c>
      <c r="I2301" s="780" t="s">
        <v>13706</v>
      </c>
      <c r="J2301" s="834"/>
      <c r="K2301" s="790" t="s">
        <v>13707</v>
      </c>
      <c r="L2301" s="780" t="s">
        <v>11758</v>
      </c>
      <c r="M2301" s="1270">
        <v>16</v>
      </c>
      <c r="N2301" s="399">
        <v>0</v>
      </c>
      <c r="O2301" s="102">
        <f t="shared" si="352"/>
        <v>0</v>
      </c>
      <c r="P2301" s="101">
        <f t="shared" si="353"/>
        <v>0</v>
      </c>
      <c r="Q2301" s="1472">
        <v>16</v>
      </c>
    </row>
    <row r="2302" spans="1:17" ht="22.5">
      <c r="A2302" s="1482"/>
      <c r="B2302" s="1482"/>
      <c r="C2302" s="1555">
        <f t="shared" si="347"/>
        <v>3</v>
      </c>
      <c r="D2302" s="1492">
        <f t="shared" si="351"/>
        <v>8</v>
      </c>
      <c r="F2302" s="1484" t="s">
        <v>11724</v>
      </c>
      <c r="H2302" s="1095" t="s">
        <v>11722</v>
      </c>
      <c r="I2302" s="780" t="s">
        <v>13708</v>
      </c>
      <c r="J2302" s="834"/>
      <c r="K2302" s="790" t="s">
        <v>13709</v>
      </c>
      <c r="L2302" s="780" t="s">
        <v>13691</v>
      </c>
      <c r="M2302" s="1270">
        <v>3</v>
      </c>
      <c r="N2302" s="399">
        <v>0</v>
      </c>
      <c r="O2302" s="102">
        <f t="shared" si="352"/>
        <v>0</v>
      </c>
      <c r="P2302" s="101">
        <f t="shared" si="353"/>
        <v>0</v>
      </c>
      <c r="Q2302" s="1472">
        <v>3</v>
      </c>
    </row>
    <row r="2303" spans="1:17" ht="33.75">
      <c r="A2303" s="1482"/>
      <c r="B2303" s="1482"/>
      <c r="C2303" s="1555">
        <f t="shared" si="347"/>
        <v>3</v>
      </c>
      <c r="D2303" s="1492">
        <f t="shared" si="351"/>
        <v>8</v>
      </c>
      <c r="F2303" s="1484" t="s">
        <v>11724</v>
      </c>
      <c r="H2303" s="1095" t="s">
        <v>11722</v>
      </c>
      <c r="I2303" s="780" t="s">
        <v>13710</v>
      </c>
      <c r="J2303" s="834"/>
      <c r="K2303" s="790" t="s">
        <v>13711</v>
      </c>
      <c r="L2303" s="780" t="s">
        <v>13691</v>
      </c>
      <c r="M2303" s="1270">
        <v>1</v>
      </c>
      <c r="N2303" s="399">
        <v>0</v>
      </c>
      <c r="O2303" s="102">
        <f t="shared" si="352"/>
        <v>0</v>
      </c>
      <c r="P2303" s="101">
        <f t="shared" si="353"/>
        <v>0</v>
      </c>
      <c r="Q2303" s="1472">
        <v>1</v>
      </c>
    </row>
    <row r="2304" spans="1:17" ht="33.75">
      <c r="A2304" s="1482"/>
      <c r="B2304" s="1482"/>
      <c r="C2304" s="1555">
        <f t="shared" si="347"/>
        <v>3</v>
      </c>
      <c r="D2304" s="1492">
        <f t="shared" si="351"/>
        <v>8</v>
      </c>
      <c r="F2304" s="1484" t="s">
        <v>11724</v>
      </c>
      <c r="H2304" s="1095" t="s">
        <v>70</v>
      </c>
      <c r="I2304" s="780">
        <v>39682</v>
      </c>
      <c r="J2304" s="834"/>
      <c r="K2304" s="790" t="s">
        <v>13712</v>
      </c>
      <c r="L2304" s="780" t="s">
        <v>13691</v>
      </c>
      <c r="M2304" s="1270">
        <v>6</v>
      </c>
      <c r="N2304" s="399">
        <v>0</v>
      </c>
      <c r="O2304" s="102">
        <f t="shared" si="352"/>
        <v>0</v>
      </c>
      <c r="P2304" s="101">
        <f t="shared" si="353"/>
        <v>0</v>
      </c>
      <c r="Q2304" s="1472">
        <v>6</v>
      </c>
    </row>
    <row r="2305" spans="1:17" ht="22.5">
      <c r="A2305" s="1482"/>
      <c r="B2305" s="1482"/>
      <c r="C2305" s="1555">
        <f t="shared" si="347"/>
        <v>3</v>
      </c>
      <c r="D2305" s="1492">
        <f t="shared" si="351"/>
        <v>8</v>
      </c>
      <c r="F2305" s="1484" t="s">
        <v>11724</v>
      </c>
      <c r="H2305" s="1095" t="s">
        <v>11722</v>
      </c>
      <c r="I2305" s="780" t="s">
        <v>13713</v>
      </c>
      <c r="J2305" s="834"/>
      <c r="K2305" s="790" t="s">
        <v>13714</v>
      </c>
      <c r="L2305" s="780" t="s">
        <v>13691</v>
      </c>
      <c r="M2305" s="1270">
        <v>1</v>
      </c>
      <c r="N2305" s="399">
        <v>0</v>
      </c>
      <c r="O2305" s="102">
        <f t="shared" si="352"/>
        <v>0</v>
      </c>
      <c r="P2305" s="101">
        <f t="shared" si="353"/>
        <v>0</v>
      </c>
      <c r="Q2305" s="1472">
        <v>1</v>
      </c>
    </row>
    <row r="2306" spans="1:17">
      <c r="A2306" s="1482"/>
      <c r="B2306" s="1482"/>
      <c r="C2306" s="1555">
        <f t="shared" si="347"/>
        <v>3</v>
      </c>
      <c r="D2306" s="1492">
        <f t="shared" si="351"/>
        <v>8</v>
      </c>
      <c r="F2306" s="1484" t="s">
        <v>11724</v>
      </c>
      <c r="H2306" s="1095" t="s">
        <v>11722</v>
      </c>
      <c r="I2306" s="780" t="s">
        <v>13715</v>
      </c>
      <c r="J2306" s="834"/>
      <c r="K2306" s="790" t="s">
        <v>13716</v>
      </c>
      <c r="L2306" s="780" t="s">
        <v>11757</v>
      </c>
      <c r="M2306" s="1270">
        <v>8</v>
      </c>
      <c r="N2306" s="399">
        <v>0</v>
      </c>
      <c r="O2306" s="102">
        <f t="shared" si="352"/>
        <v>0</v>
      </c>
      <c r="P2306" s="101">
        <f t="shared" si="353"/>
        <v>0</v>
      </c>
      <c r="Q2306" s="1472">
        <v>8</v>
      </c>
    </row>
    <row r="2307" spans="1:17" ht="33.75">
      <c r="A2307" s="1482"/>
      <c r="B2307" s="1482"/>
      <c r="C2307" s="1555">
        <f t="shared" si="347"/>
        <v>3</v>
      </c>
      <c r="D2307" s="1492">
        <f t="shared" si="351"/>
        <v>8</v>
      </c>
      <c r="F2307" s="1484" t="s">
        <v>11724</v>
      </c>
      <c r="H2307" s="1095" t="s">
        <v>11722</v>
      </c>
      <c r="I2307" s="780" t="s">
        <v>13717</v>
      </c>
      <c r="J2307" s="834"/>
      <c r="K2307" s="790" t="s">
        <v>13718</v>
      </c>
      <c r="L2307" s="780" t="s">
        <v>13691</v>
      </c>
      <c r="M2307" s="1270">
        <v>8</v>
      </c>
      <c r="N2307" s="399">
        <v>0</v>
      </c>
      <c r="O2307" s="102">
        <f t="shared" si="352"/>
        <v>0</v>
      </c>
      <c r="P2307" s="101">
        <f t="shared" si="353"/>
        <v>0</v>
      </c>
      <c r="Q2307" s="1472">
        <v>8</v>
      </c>
    </row>
    <row r="2308" spans="1:17">
      <c r="A2308" s="1482"/>
      <c r="B2308" s="1482"/>
      <c r="C2308" s="1555">
        <f t="shared" si="347"/>
        <v>3</v>
      </c>
      <c r="D2308" s="1492">
        <f t="shared" si="351"/>
        <v>8</v>
      </c>
      <c r="F2308" s="1484" t="s">
        <v>11724</v>
      </c>
      <c r="H2308" s="1095" t="s">
        <v>11722</v>
      </c>
      <c r="I2308" s="780" t="s">
        <v>13719</v>
      </c>
      <c r="J2308" s="834"/>
      <c r="K2308" s="790" t="s">
        <v>13720</v>
      </c>
      <c r="L2308" s="780" t="s">
        <v>11758</v>
      </c>
      <c r="M2308" s="1270">
        <v>1</v>
      </c>
      <c r="N2308" s="399">
        <v>0</v>
      </c>
      <c r="O2308" s="102">
        <f t="shared" si="352"/>
        <v>0</v>
      </c>
      <c r="P2308" s="101">
        <f t="shared" si="353"/>
        <v>0</v>
      </c>
      <c r="Q2308" s="1472">
        <v>1</v>
      </c>
    </row>
    <row r="2309" spans="1:17">
      <c r="A2309" s="1482"/>
      <c r="B2309" s="1482"/>
      <c r="C2309" s="1555">
        <f t="shared" si="347"/>
        <v>3</v>
      </c>
      <c r="D2309" s="1492">
        <f t="shared" si="351"/>
        <v>8</v>
      </c>
      <c r="F2309" s="1484" t="s">
        <v>11724</v>
      </c>
      <c r="H2309" s="1095" t="s">
        <v>11722</v>
      </c>
      <c r="I2309" s="780" t="s">
        <v>13721</v>
      </c>
      <c r="J2309" s="834"/>
      <c r="K2309" s="790" t="s">
        <v>13722</v>
      </c>
      <c r="L2309" s="780" t="s">
        <v>11758</v>
      </c>
      <c r="M2309" s="1270">
        <v>2</v>
      </c>
      <c r="N2309" s="399">
        <v>0</v>
      </c>
      <c r="O2309" s="102">
        <f t="shared" si="352"/>
        <v>0</v>
      </c>
      <c r="P2309" s="101">
        <f t="shared" si="353"/>
        <v>0</v>
      </c>
      <c r="Q2309" s="1472">
        <v>2</v>
      </c>
    </row>
    <row r="2310" spans="1:17">
      <c r="A2310" s="1482"/>
      <c r="B2310" s="1482"/>
      <c r="C2310" s="1555">
        <f t="shared" si="347"/>
        <v>3</v>
      </c>
      <c r="D2310" s="1492">
        <f t="shared" si="351"/>
        <v>8</v>
      </c>
      <c r="F2310" s="1484" t="s">
        <v>11724</v>
      </c>
      <c r="H2310" s="1095" t="s">
        <v>70</v>
      </c>
      <c r="I2310" s="780">
        <v>93672</v>
      </c>
      <c r="J2310" s="834"/>
      <c r="K2310" s="790" t="s">
        <v>13723</v>
      </c>
      <c r="L2310" s="780" t="s">
        <v>11758</v>
      </c>
      <c r="M2310" s="1270">
        <v>1</v>
      </c>
      <c r="N2310" s="399">
        <v>0</v>
      </c>
      <c r="O2310" s="102">
        <f t="shared" si="352"/>
        <v>0</v>
      </c>
      <c r="P2310" s="101">
        <f t="shared" si="353"/>
        <v>0</v>
      </c>
      <c r="Q2310" s="1472">
        <v>1</v>
      </c>
    </row>
    <row r="2311" spans="1:17">
      <c r="A2311" s="1482"/>
      <c r="B2311" s="1482"/>
      <c r="C2311" s="1555">
        <f t="shared" si="347"/>
        <v>3</v>
      </c>
      <c r="D2311" s="1492">
        <f t="shared" si="351"/>
        <v>8</v>
      </c>
      <c r="F2311" s="1484" t="s">
        <v>11724</v>
      </c>
      <c r="H2311" s="1095" t="s">
        <v>70</v>
      </c>
      <c r="I2311" s="780">
        <v>93673</v>
      </c>
      <c r="J2311" s="834"/>
      <c r="K2311" s="790" t="s">
        <v>13724</v>
      </c>
      <c r="L2311" s="780" t="s">
        <v>11758</v>
      </c>
      <c r="M2311" s="1270">
        <v>1</v>
      </c>
      <c r="N2311" s="399">
        <v>0</v>
      </c>
      <c r="O2311" s="102">
        <f t="shared" si="352"/>
        <v>0</v>
      </c>
      <c r="P2311" s="101">
        <f t="shared" si="353"/>
        <v>0</v>
      </c>
      <c r="Q2311" s="1472">
        <v>1</v>
      </c>
    </row>
    <row r="2312" spans="1:17">
      <c r="A2312" s="1482"/>
      <c r="B2312" s="1482"/>
      <c r="C2312" s="1555">
        <f t="shared" ref="C2312:C2375" si="354">C2311</f>
        <v>3</v>
      </c>
      <c r="D2312" s="1492">
        <f t="shared" si="351"/>
        <v>8</v>
      </c>
      <c r="F2312" s="1484" t="s">
        <v>11724</v>
      </c>
      <c r="H2312" s="1095" t="s">
        <v>11722</v>
      </c>
      <c r="I2312" s="780" t="s">
        <v>13725</v>
      </c>
      <c r="J2312" s="834"/>
      <c r="K2312" s="790" t="s">
        <v>13726</v>
      </c>
      <c r="L2312" s="780" t="s">
        <v>11758</v>
      </c>
      <c r="M2312" s="1270">
        <v>1</v>
      </c>
      <c r="N2312" s="399">
        <v>0</v>
      </c>
      <c r="O2312" s="102">
        <f t="shared" si="352"/>
        <v>0</v>
      </c>
      <c r="P2312" s="101">
        <f t="shared" si="353"/>
        <v>0</v>
      </c>
      <c r="Q2312" s="1472">
        <v>1</v>
      </c>
    </row>
    <row r="2313" spans="1:17">
      <c r="A2313" s="1482"/>
      <c r="B2313" s="1482"/>
      <c r="C2313" s="1555">
        <f t="shared" si="354"/>
        <v>3</v>
      </c>
      <c r="D2313" s="1492">
        <f t="shared" ref="D2313:D2356" si="355">D2312+B2313</f>
        <v>8</v>
      </c>
      <c r="F2313" s="1484" t="s">
        <v>11724</v>
      </c>
      <c r="H2313" s="1095" t="s">
        <v>11722</v>
      </c>
      <c r="I2313" s="780" t="s">
        <v>13727</v>
      </c>
      <c r="J2313" s="834"/>
      <c r="K2313" s="790" t="s">
        <v>13728</v>
      </c>
      <c r="L2313" s="780" t="s">
        <v>11758</v>
      </c>
      <c r="M2313" s="1270">
        <v>8</v>
      </c>
      <c r="N2313" s="399">
        <v>0</v>
      </c>
      <c r="O2313" s="102">
        <f t="shared" ref="O2313:O2332" si="356">ROUND(IF(F2313="Serviços",N2313*(1+$O$7),IF(F2313="Materiais",N2313*(1+$O$8))),2)</f>
        <v>0</v>
      </c>
      <c r="P2313" s="101">
        <f t="shared" ref="P2313:P2332" si="357">ROUND(M2313*O2313,2)</f>
        <v>0</v>
      </c>
      <c r="Q2313" s="1472">
        <v>8</v>
      </c>
    </row>
    <row r="2314" spans="1:17">
      <c r="A2314" s="1482"/>
      <c r="B2314" s="1482"/>
      <c r="C2314" s="1555">
        <f t="shared" si="354"/>
        <v>3</v>
      </c>
      <c r="D2314" s="1492">
        <f t="shared" si="355"/>
        <v>8</v>
      </c>
      <c r="F2314" s="1484" t="s">
        <v>11724</v>
      </c>
      <c r="H2314" s="1095" t="s">
        <v>70</v>
      </c>
      <c r="I2314" s="780">
        <v>38191</v>
      </c>
      <c r="J2314" s="834"/>
      <c r="K2314" s="790" t="s">
        <v>13729</v>
      </c>
      <c r="L2314" s="780" t="s">
        <v>11758</v>
      </c>
      <c r="M2314" s="1270">
        <v>8</v>
      </c>
      <c r="N2314" s="399">
        <v>0</v>
      </c>
      <c r="O2314" s="102">
        <f t="shared" si="356"/>
        <v>0</v>
      </c>
      <c r="P2314" s="101">
        <f t="shared" si="357"/>
        <v>0</v>
      </c>
      <c r="Q2314" s="1472">
        <v>8</v>
      </c>
    </row>
    <row r="2315" spans="1:17">
      <c r="A2315" s="1482"/>
      <c r="B2315" s="1482"/>
      <c r="C2315" s="1555">
        <f t="shared" si="354"/>
        <v>3</v>
      </c>
      <c r="D2315" s="1492">
        <f t="shared" si="355"/>
        <v>8</v>
      </c>
      <c r="F2315" s="1484" t="s">
        <v>11724</v>
      </c>
      <c r="H2315" s="1095" t="s">
        <v>11722</v>
      </c>
      <c r="I2315" s="780" t="s">
        <v>13730</v>
      </c>
      <c r="J2315" s="834"/>
      <c r="K2315" s="790" t="s">
        <v>13731</v>
      </c>
      <c r="L2315" s="780" t="s">
        <v>11758</v>
      </c>
      <c r="M2315" s="1270">
        <v>6</v>
      </c>
      <c r="N2315" s="399">
        <v>0</v>
      </c>
      <c r="O2315" s="102">
        <f t="shared" si="356"/>
        <v>0</v>
      </c>
      <c r="P2315" s="101">
        <f t="shared" si="357"/>
        <v>0</v>
      </c>
      <c r="Q2315" s="1472">
        <v>6</v>
      </c>
    </row>
    <row r="2316" spans="1:17">
      <c r="A2316" s="1482"/>
      <c r="B2316" s="1482"/>
      <c r="C2316" s="1555">
        <f t="shared" si="354"/>
        <v>3</v>
      </c>
      <c r="D2316" s="1492">
        <f t="shared" si="355"/>
        <v>8</v>
      </c>
      <c r="F2316" s="1484" t="s">
        <v>11724</v>
      </c>
      <c r="H2316" s="1095" t="s">
        <v>70</v>
      </c>
      <c r="I2316" s="780">
        <v>3298</v>
      </c>
      <c r="J2316" s="834"/>
      <c r="K2316" s="790" t="s">
        <v>13732</v>
      </c>
      <c r="L2316" s="780" t="s">
        <v>11758</v>
      </c>
      <c r="M2316" s="1270">
        <v>6</v>
      </c>
      <c r="N2316" s="399">
        <v>0</v>
      </c>
      <c r="O2316" s="102">
        <f t="shared" si="356"/>
        <v>0</v>
      </c>
      <c r="P2316" s="101">
        <f t="shared" si="357"/>
        <v>0</v>
      </c>
      <c r="Q2316" s="1472">
        <v>6</v>
      </c>
    </row>
    <row r="2317" spans="1:17">
      <c r="A2317" s="1482"/>
      <c r="B2317" s="1482"/>
      <c r="C2317" s="1555">
        <f t="shared" si="354"/>
        <v>3</v>
      </c>
      <c r="D2317" s="1492">
        <f t="shared" si="355"/>
        <v>8</v>
      </c>
      <c r="F2317" s="1484" t="s">
        <v>11724</v>
      </c>
      <c r="H2317" s="1095" t="s">
        <v>70</v>
      </c>
      <c r="I2317" s="780">
        <v>12359</v>
      </c>
      <c r="J2317" s="834"/>
      <c r="K2317" s="790" t="s">
        <v>13574</v>
      </c>
      <c r="L2317" s="780" t="s">
        <v>11758</v>
      </c>
      <c r="M2317" s="1270">
        <v>1</v>
      </c>
      <c r="N2317" s="399">
        <v>0</v>
      </c>
      <c r="O2317" s="102">
        <f t="shared" si="356"/>
        <v>0</v>
      </c>
      <c r="P2317" s="101">
        <f t="shared" si="357"/>
        <v>0</v>
      </c>
      <c r="Q2317" s="1472">
        <v>1</v>
      </c>
    </row>
    <row r="2318" spans="1:17" ht="22.5">
      <c r="A2318" s="1482"/>
      <c r="B2318" s="1482"/>
      <c r="C2318" s="1555">
        <f t="shared" si="354"/>
        <v>3</v>
      </c>
      <c r="D2318" s="1492">
        <f t="shared" si="355"/>
        <v>8</v>
      </c>
      <c r="F2318" s="1484" t="s">
        <v>11724</v>
      </c>
      <c r="H2318" s="1095" t="s">
        <v>11722</v>
      </c>
      <c r="I2318" s="780" t="s">
        <v>13733</v>
      </c>
      <c r="J2318" s="834"/>
      <c r="K2318" s="790" t="s">
        <v>13734</v>
      </c>
      <c r="L2318" s="780" t="s">
        <v>11758</v>
      </c>
      <c r="M2318" s="1270">
        <v>1</v>
      </c>
      <c r="N2318" s="399">
        <v>0</v>
      </c>
      <c r="O2318" s="102">
        <f t="shared" si="356"/>
        <v>0</v>
      </c>
      <c r="P2318" s="101">
        <f t="shared" si="357"/>
        <v>0</v>
      </c>
      <c r="Q2318" s="1472">
        <v>1</v>
      </c>
    </row>
    <row r="2319" spans="1:17" ht="33.75">
      <c r="A2319" s="1482"/>
      <c r="B2319" s="1482"/>
      <c r="C2319" s="1555">
        <f t="shared" si="354"/>
        <v>3</v>
      </c>
      <c r="D2319" s="1492">
        <f t="shared" si="355"/>
        <v>8</v>
      </c>
      <c r="F2319" s="1484" t="s">
        <v>11724</v>
      </c>
      <c r="H2319" s="1095" t="s">
        <v>11722</v>
      </c>
      <c r="I2319" s="780" t="s">
        <v>13735</v>
      </c>
      <c r="J2319" s="834"/>
      <c r="K2319" s="790" t="s">
        <v>13736</v>
      </c>
      <c r="L2319" s="780" t="s">
        <v>11758</v>
      </c>
      <c r="M2319" s="1270">
        <v>1</v>
      </c>
      <c r="N2319" s="399">
        <v>0</v>
      </c>
      <c r="O2319" s="102">
        <f t="shared" si="356"/>
        <v>0</v>
      </c>
      <c r="P2319" s="101">
        <f t="shared" si="357"/>
        <v>0</v>
      </c>
      <c r="Q2319" s="1472">
        <v>1</v>
      </c>
    </row>
    <row r="2320" spans="1:17">
      <c r="A2320" s="1482"/>
      <c r="B2320" s="1482"/>
      <c r="C2320" s="1555">
        <f t="shared" si="354"/>
        <v>3</v>
      </c>
      <c r="D2320" s="1492">
        <f t="shared" si="355"/>
        <v>8</v>
      </c>
      <c r="F2320" s="1484" t="s">
        <v>11724</v>
      </c>
      <c r="H2320" s="1095" t="s">
        <v>11722</v>
      </c>
      <c r="I2320" s="780" t="s">
        <v>13737</v>
      </c>
      <c r="J2320" s="834"/>
      <c r="K2320" s="790" t="s">
        <v>13738</v>
      </c>
      <c r="L2320" s="780" t="s">
        <v>11758</v>
      </c>
      <c r="M2320" s="1270">
        <v>1</v>
      </c>
      <c r="N2320" s="399">
        <v>0</v>
      </c>
      <c r="O2320" s="102">
        <f t="shared" si="356"/>
        <v>0</v>
      </c>
      <c r="P2320" s="101">
        <f t="shared" si="357"/>
        <v>0</v>
      </c>
      <c r="Q2320" s="1472">
        <v>1</v>
      </c>
    </row>
    <row r="2321" spans="1:17">
      <c r="A2321" s="1482"/>
      <c r="B2321" s="1482"/>
      <c r="C2321" s="1555">
        <f t="shared" si="354"/>
        <v>3</v>
      </c>
      <c r="D2321" s="1492">
        <f t="shared" si="355"/>
        <v>8</v>
      </c>
      <c r="F2321" s="1484" t="s">
        <v>11724</v>
      </c>
      <c r="H2321" s="1095" t="s">
        <v>11722</v>
      </c>
      <c r="I2321" s="780" t="s">
        <v>13739</v>
      </c>
      <c r="J2321" s="834"/>
      <c r="K2321" s="790" t="s">
        <v>13740</v>
      </c>
      <c r="L2321" s="780" t="s">
        <v>11758</v>
      </c>
      <c r="M2321" s="1270">
        <v>1</v>
      </c>
      <c r="N2321" s="399">
        <v>0</v>
      </c>
      <c r="O2321" s="102">
        <f t="shared" si="356"/>
        <v>0</v>
      </c>
      <c r="P2321" s="101">
        <f t="shared" si="357"/>
        <v>0</v>
      </c>
      <c r="Q2321" s="1472">
        <v>1</v>
      </c>
    </row>
    <row r="2322" spans="1:17">
      <c r="A2322" s="1482"/>
      <c r="B2322" s="1482"/>
      <c r="C2322" s="1555">
        <f t="shared" si="354"/>
        <v>3</v>
      </c>
      <c r="D2322" s="1492">
        <f t="shared" si="355"/>
        <v>8</v>
      </c>
      <c r="F2322" s="1484" t="s">
        <v>11724</v>
      </c>
      <c r="H2322" s="1095" t="s">
        <v>11722</v>
      </c>
      <c r="I2322" s="780" t="s">
        <v>13741</v>
      </c>
      <c r="J2322" s="834"/>
      <c r="K2322" s="790" t="s">
        <v>13742</v>
      </c>
      <c r="L2322" s="780" t="s">
        <v>11758</v>
      </c>
      <c r="M2322" s="1270">
        <v>1</v>
      </c>
      <c r="N2322" s="399">
        <v>0</v>
      </c>
      <c r="O2322" s="102">
        <f t="shared" si="356"/>
        <v>0</v>
      </c>
      <c r="P2322" s="101">
        <f t="shared" si="357"/>
        <v>0</v>
      </c>
      <c r="Q2322" s="1472">
        <v>1</v>
      </c>
    </row>
    <row r="2323" spans="1:17" ht="22.5">
      <c r="A2323" s="1482"/>
      <c r="B2323" s="1482"/>
      <c r="C2323" s="1555">
        <f t="shared" si="354"/>
        <v>3</v>
      </c>
      <c r="D2323" s="1492">
        <f t="shared" si="355"/>
        <v>8</v>
      </c>
      <c r="F2323" s="1484" t="s">
        <v>11724</v>
      </c>
      <c r="H2323" s="1095" t="s">
        <v>11722</v>
      </c>
      <c r="I2323" s="780" t="s">
        <v>13743</v>
      </c>
      <c r="J2323" s="834"/>
      <c r="K2323" s="790" t="s">
        <v>13744</v>
      </c>
      <c r="L2323" s="780" t="s">
        <v>11758</v>
      </c>
      <c r="M2323" s="1270">
        <v>6</v>
      </c>
      <c r="N2323" s="399">
        <v>0</v>
      </c>
      <c r="O2323" s="102">
        <f t="shared" si="356"/>
        <v>0</v>
      </c>
      <c r="P2323" s="101">
        <f t="shared" si="357"/>
        <v>0</v>
      </c>
      <c r="Q2323" s="1472">
        <v>6</v>
      </c>
    </row>
    <row r="2324" spans="1:17" ht="22.5">
      <c r="A2324" s="1482"/>
      <c r="B2324" s="1482"/>
      <c r="C2324" s="1555">
        <f t="shared" si="354"/>
        <v>3</v>
      </c>
      <c r="D2324" s="1492">
        <f t="shared" si="355"/>
        <v>8</v>
      </c>
      <c r="F2324" s="1484" t="s">
        <v>11724</v>
      </c>
      <c r="H2324" s="1095" t="s">
        <v>11722</v>
      </c>
      <c r="I2324" s="780" t="s">
        <v>13745</v>
      </c>
      <c r="J2324" s="834"/>
      <c r="K2324" s="790" t="s">
        <v>13590</v>
      </c>
      <c r="L2324" s="780" t="s">
        <v>11758</v>
      </c>
      <c r="M2324" s="1270">
        <v>6</v>
      </c>
      <c r="N2324" s="399">
        <v>0</v>
      </c>
      <c r="O2324" s="102">
        <f t="shared" si="356"/>
        <v>0</v>
      </c>
      <c r="P2324" s="101">
        <f t="shared" si="357"/>
        <v>0</v>
      </c>
      <c r="Q2324" s="1472">
        <v>6</v>
      </c>
    </row>
    <row r="2325" spans="1:17">
      <c r="A2325" s="1482"/>
      <c r="B2325" s="1482"/>
      <c r="C2325" s="1555">
        <f t="shared" si="354"/>
        <v>3</v>
      </c>
      <c r="D2325" s="1492">
        <f t="shared" si="355"/>
        <v>8</v>
      </c>
      <c r="F2325" s="1484" t="s">
        <v>11724</v>
      </c>
      <c r="H2325" s="1095" t="s">
        <v>70</v>
      </c>
      <c r="I2325" s="780">
        <v>39692</v>
      </c>
      <c r="J2325" s="834"/>
      <c r="K2325" s="790" t="s">
        <v>13746</v>
      </c>
      <c r="L2325" s="780" t="s">
        <v>11758</v>
      </c>
      <c r="M2325" s="1270">
        <v>18</v>
      </c>
      <c r="N2325" s="399">
        <v>0</v>
      </c>
      <c r="O2325" s="102">
        <f t="shared" si="356"/>
        <v>0</v>
      </c>
      <c r="P2325" s="101">
        <f t="shared" si="357"/>
        <v>0</v>
      </c>
      <c r="Q2325" s="1472">
        <v>18</v>
      </c>
    </row>
    <row r="2326" spans="1:17" ht="22.5">
      <c r="A2326" s="1482"/>
      <c r="B2326" s="1482"/>
      <c r="C2326" s="1555">
        <f t="shared" si="354"/>
        <v>3</v>
      </c>
      <c r="D2326" s="1492">
        <f t="shared" si="355"/>
        <v>8</v>
      </c>
      <c r="F2326" s="1484" t="s">
        <v>11724</v>
      </c>
      <c r="H2326" s="1095" t="s">
        <v>70</v>
      </c>
      <c r="I2326" s="780" t="s">
        <v>16819</v>
      </c>
      <c r="J2326" s="834"/>
      <c r="K2326" s="790" t="s">
        <v>13747</v>
      </c>
      <c r="L2326" s="780" t="s">
        <v>11758</v>
      </c>
      <c r="M2326" s="1270">
        <v>6</v>
      </c>
      <c r="N2326" s="399">
        <v>0</v>
      </c>
      <c r="O2326" s="102">
        <f t="shared" si="356"/>
        <v>0</v>
      </c>
      <c r="P2326" s="101">
        <f t="shared" si="357"/>
        <v>0</v>
      </c>
      <c r="Q2326" s="1472">
        <v>6</v>
      </c>
    </row>
    <row r="2327" spans="1:17">
      <c r="A2327" s="1482"/>
      <c r="B2327" s="1482"/>
      <c r="C2327" s="1555">
        <f t="shared" si="354"/>
        <v>3</v>
      </c>
      <c r="D2327" s="1492">
        <f t="shared" si="355"/>
        <v>8</v>
      </c>
      <c r="F2327" s="1484" t="s">
        <v>11724</v>
      </c>
      <c r="H2327" s="1095" t="s">
        <v>11722</v>
      </c>
      <c r="I2327" s="780" t="s">
        <v>13748</v>
      </c>
      <c r="J2327" s="834"/>
      <c r="K2327" s="790" t="s">
        <v>13749</v>
      </c>
      <c r="L2327" s="780" t="s">
        <v>11758</v>
      </c>
      <c r="M2327" s="1270">
        <v>1</v>
      </c>
      <c r="N2327" s="399">
        <v>0</v>
      </c>
      <c r="O2327" s="102">
        <f t="shared" si="356"/>
        <v>0</v>
      </c>
      <c r="P2327" s="101">
        <f t="shared" si="357"/>
        <v>0</v>
      </c>
      <c r="Q2327" s="1472">
        <v>1</v>
      </c>
    </row>
    <row r="2328" spans="1:17" ht="22.5">
      <c r="A2328" s="1482"/>
      <c r="B2328" s="1482"/>
      <c r="C2328" s="1555">
        <f t="shared" si="354"/>
        <v>3</v>
      </c>
      <c r="D2328" s="1492">
        <f t="shared" si="355"/>
        <v>8</v>
      </c>
      <c r="F2328" s="1484" t="s">
        <v>11724</v>
      </c>
      <c r="H2328" s="1095" t="s">
        <v>11722</v>
      </c>
      <c r="I2328" s="780" t="s">
        <v>13750</v>
      </c>
      <c r="J2328" s="834"/>
      <c r="K2328" s="790" t="s">
        <v>13751</v>
      </c>
      <c r="L2328" s="780" t="s">
        <v>11758</v>
      </c>
      <c r="M2328" s="1270">
        <v>1</v>
      </c>
      <c r="N2328" s="399">
        <v>0</v>
      </c>
      <c r="O2328" s="102">
        <f t="shared" si="356"/>
        <v>0</v>
      </c>
      <c r="P2328" s="101">
        <f t="shared" si="357"/>
        <v>0</v>
      </c>
      <c r="Q2328" s="1472">
        <v>1</v>
      </c>
    </row>
    <row r="2329" spans="1:17" ht="22.5">
      <c r="A2329" s="1482"/>
      <c r="B2329" s="1482"/>
      <c r="C2329" s="1555">
        <f t="shared" si="354"/>
        <v>3</v>
      </c>
      <c r="D2329" s="1492">
        <f t="shared" si="355"/>
        <v>8</v>
      </c>
      <c r="F2329" s="1484" t="s">
        <v>11724</v>
      </c>
      <c r="H2329" s="1095" t="s">
        <v>11722</v>
      </c>
      <c r="I2329" s="780" t="s">
        <v>13752</v>
      </c>
      <c r="J2329" s="834"/>
      <c r="K2329" s="790" t="s">
        <v>13753</v>
      </c>
      <c r="L2329" s="780" t="s">
        <v>11757</v>
      </c>
      <c r="M2329" s="1270">
        <v>8</v>
      </c>
      <c r="N2329" s="399">
        <v>0</v>
      </c>
      <c r="O2329" s="102">
        <f t="shared" si="356"/>
        <v>0</v>
      </c>
      <c r="P2329" s="101">
        <f t="shared" si="357"/>
        <v>0</v>
      </c>
      <c r="Q2329" s="1472">
        <v>8</v>
      </c>
    </row>
    <row r="2330" spans="1:17" ht="22.5">
      <c r="A2330" s="1482"/>
      <c r="B2330" s="1482"/>
      <c r="C2330" s="1555">
        <f t="shared" si="354"/>
        <v>3</v>
      </c>
      <c r="D2330" s="1492">
        <f t="shared" si="355"/>
        <v>8</v>
      </c>
      <c r="F2330" s="1484" t="s">
        <v>11724</v>
      </c>
      <c r="H2330" s="1095" t="s">
        <v>11722</v>
      </c>
      <c r="I2330" s="780" t="s">
        <v>13754</v>
      </c>
      <c r="J2330" s="834"/>
      <c r="K2330" s="790" t="s">
        <v>13755</v>
      </c>
      <c r="L2330" s="780" t="s">
        <v>11757</v>
      </c>
      <c r="M2330" s="1270">
        <v>8</v>
      </c>
      <c r="N2330" s="399">
        <v>0</v>
      </c>
      <c r="O2330" s="102">
        <f t="shared" si="356"/>
        <v>0</v>
      </c>
      <c r="P2330" s="101">
        <f t="shared" si="357"/>
        <v>0</v>
      </c>
      <c r="Q2330" s="1472">
        <v>8</v>
      </c>
    </row>
    <row r="2331" spans="1:17">
      <c r="A2331" s="1482"/>
      <c r="B2331" s="1482"/>
      <c r="C2331" s="1555">
        <f t="shared" si="354"/>
        <v>3</v>
      </c>
      <c r="D2331" s="1492">
        <f t="shared" si="355"/>
        <v>8</v>
      </c>
      <c r="F2331" s="1484" t="s">
        <v>11724</v>
      </c>
      <c r="H2331" s="1095" t="s">
        <v>11722</v>
      </c>
      <c r="I2331" s="780" t="s">
        <v>13756</v>
      </c>
      <c r="J2331" s="834"/>
      <c r="K2331" s="790" t="s">
        <v>13757</v>
      </c>
      <c r="L2331" s="780" t="s">
        <v>11758</v>
      </c>
      <c r="M2331" s="1270">
        <v>8</v>
      </c>
      <c r="N2331" s="399">
        <v>0</v>
      </c>
      <c r="O2331" s="102">
        <f t="shared" si="356"/>
        <v>0</v>
      </c>
      <c r="P2331" s="101">
        <f t="shared" si="357"/>
        <v>0</v>
      </c>
      <c r="Q2331" s="1472">
        <v>8</v>
      </c>
    </row>
    <row r="2332" spans="1:17" ht="22.5">
      <c r="A2332" s="1482"/>
      <c r="B2332" s="1482"/>
      <c r="C2332" s="1555">
        <f t="shared" si="354"/>
        <v>3</v>
      </c>
      <c r="D2332" s="1492">
        <f t="shared" si="355"/>
        <v>8</v>
      </c>
      <c r="F2332" s="1484" t="s">
        <v>11724</v>
      </c>
      <c r="H2332" s="1095" t="s">
        <v>11722</v>
      </c>
      <c r="I2332" s="780" t="s">
        <v>13758</v>
      </c>
      <c r="J2332" s="834"/>
      <c r="K2332" s="790" t="s">
        <v>13759</v>
      </c>
      <c r="L2332" s="780" t="s">
        <v>11758</v>
      </c>
      <c r="M2332" s="1270">
        <v>3</v>
      </c>
      <c r="N2332" s="399">
        <v>0</v>
      </c>
      <c r="O2332" s="102">
        <f t="shared" si="356"/>
        <v>0</v>
      </c>
      <c r="P2332" s="101">
        <f t="shared" si="357"/>
        <v>0</v>
      </c>
      <c r="Q2332" s="1472">
        <v>3</v>
      </c>
    </row>
    <row r="2333" spans="1:17" ht="15.75" thickBot="1">
      <c r="A2333" s="1482"/>
      <c r="B2333" s="1482"/>
      <c r="C2333" s="1555">
        <f t="shared" si="354"/>
        <v>3</v>
      </c>
      <c r="D2333" s="1492">
        <f t="shared" si="355"/>
        <v>8</v>
      </c>
      <c r="F2333" s="1484" t="s">
        <v>11724</v>
      </c>
      <c r="H2333" s="1095"/>
      <c r="I2333" s="780"/>
      <c r="J2333" s="834"/>
      <c r="K2333" s="780"/>
      <c r="L2333" s="780"/>
      <c r="M2333" s="1270"/>
      <c r="N2333" s="399"/>
      <c r="O2333" s="102"/>
      <c r="P2333" s="101"/>
    </row>
    <row r="2334" spans="1:17" ht="16.5" thickTop="1" thickBot="1">
      <c r="A2334" s="1482"/>
      <c r="B2334" s="1482">
        <v>1</v>
      </c>
      <c r="C2334" s="1555">
        <f t="shared" si="354"/>
        <v>3</v>
      </c>
      <c r="D2334" s="1492">
        <f t="shared" si="355"/>
        <v>9</v>
      </c>
      <c r="E2334" s="1492"/>
      <c r="F2334" s="1484" t="s">
        <v>11724</v>
      </c>
      <c r="H2334" s="1510" t="str">
        <f>CONCATENATE(C2334,".",D2334)</f>
        <v>3.9</v>
      </c>
      <c r="I2334" s="1573" t="s">
        <v>13876</v>
      </c>
      <c r="J2334" s="1573"/>
      <c r="K2334" s="1573"/>
      <c r="L2334" s="1573" t="s">
        <v>25</v>
      </c>
      <c r="M2334" s="1574" t="s">
        <v>11704</v>
      </c>
      <c r="N2334" s="397" t="s">
        <v>11705</v>
      </c>
      <c r="O2334" s="99" t="s">
        <v>11706</v>
      </c>
      <c r="P2334" s="100">
        <f>SUBTOTAL(9,P2336:P2367)</f>
        <v>0</v>
      </c>
      <c r="Q2334" s="1472" t="s">
        <v>11704</v>
      </c>
    </row>
    <row r="2335" spans="1:17" ht="15.75" thickTop="1">
      <c r="A2335" s="1482"/>
      <c r="B2335" s="1482"/>
      <c r="C2335" s="1555">
        <f t="shared" si="354"/>
        <v>3</v>
      </c>
      <c r="D2335" s="1492">
        <f t="shared" si="355"/>
        <v>9</v>
      </c>
      <c r="F2335" s="1484" t="s">
        <v>11724</v>
      </c>
      <c r="H2335" s="1095"/>
      <c r="I2335" s="780"/>
      <c r="J2335" s="834"/>
      <c r="K2335" s="790"/>
      <c r="L2335" s="700"/>
      <c r="M2335" s="870"/>
      <c r="N2335" s="399"/>
      <c r="O2335" s="102"/>
      <c r="P2335" s="101"/>
    </row>
    <row r="2336" spans="1:17">
      <c r="A2336" s="1482"/>
      <c r="B2336" s="1482"/>
      <c r="C2336" s="1555">
        <f t="shared" si="354"/>
        <v>3</v>
      </c>
      <c r="D2336" s="1492">
        <f t="shared" si="355"/>
        <v>9</v>
      </c>
      <c r="F2336" s="1484" t="s">
        <v>11724</v>
      </c>
      <c r="H2336" s="1095" t="s">
        <v>70</v>
      </c>
      <c r="I2336" s="780">
        <v>12344</v>
      </c>
      <c r="J2336" s="834"/>
      <c r="K2336" s="790" t="s">
        <v>13760</v>
      </c>
      <c r="L2336" s="700" t="s">
        <v>11758</v>
      </c>
      <c r="M2336" s="870">
        <v>2</v>
      </c>
      <c r="N2336" s="399">
        <v>0</v>
      </c>
      <c r="O2336" s="102">
        <f t="shared" ref="O2336:O2367" si="358">ROUND(IF(F2336="Serviços",N2336*(1+$O$7),IF(F2336="Materiais",N2336*(1+$O$8))),2)</f>
        <v>0</v>
      </c>
      <c r="P2336" s="101">
        <f t="shared" ref="P2336:P2367" si="359">ROUND(M2336*O2336,2)</f>
        <v>0</v>
      </c>
      <c r="Q2336" s="1472">
        <v>2</v>
      </c>
    </row>
    <row r="2337" spans="1:17">
      <c r="A2337" s="1482"/>
      <c r="B2337" s="1482"/>
      <c r="C2337" s="1555">
        <f t="shared" si="354"/>
        <v>3</v>
      </c>
      <c r="D2337" s="1492">
        <f t="shared" si="355"/>
        <v>9</v>
      </c>
      <c r="F2337" s="1484" t="s">
        <v>11724</v>
      </c>
      <c r="H2337" s="1095" t="s">
        <v>70</v>
      </c>
      <c r="I2337" s="780">
        <v>12344</v>
      </c>
      <c r="J2337" s="834"/>
      <c r="K2337" s="790" t="s">
        <v>13761</v>
      </c>
      <c r="L2337" s="700" t="s">
        <v>11758</v>
      </c>
      <c r="M2337" s="870">
        <v>3</v>
      </c>
      <c r="N2337" s="399">
        <v>0</v>
      </c>
      <c r="O2337" s="102">
        <f t="shared" si="358"/>
        <v>0</v>
      </c>
      <c r="P2337" s="101">
        <f t="shared" si="359"/>
        <v>0</v>
      </c>
      <c r="Q2337" s="1472">
        <v>3</v>
      </c>
    </row>
    <row r="2338" spans="1:17" ht="22.5">
      <c r="A2338" s="1482"/>
      <c r="B2338" s="1482"/>
      <c r="C2338" s="1555">
        <f t="shared" si="354"/>
        <v>3</v>
      </c>
      <c r="D2338" s="1492">
        <f t="shared" si="355"/>
        <v>9</v>
      </c>
      <c r="F2338" s="1484" t="s">
        <v>11724</v>
      </c>
      <c r="H2338" s="1095" t="s">
        <v>11722</v>
      </c>
      <c r="I2338" s="780" t="s">
        <v>13762</v>
      </c>
      <c r="J2338" s="834"/>
      <c r="K2338" s="790" t="s">
        <v>13695</v>
      </c>
      <c r="L2338" s="700" t="s">
        <v>11758</v>
      </c>
      <c r="M2338" s="870">
        <v>1</v>
      </c>
      <c r="N2338" s="399">
        <v>0</v>
      </c>
      <c r="O2338" s="102">
        <f t="shared" si="358"/>
        <v>0</v>
      </c>
      <c r="P2338" s="101">
        <f t="shared" si="359"/>
        <v>0</v>
      </c>
      <c r="Q2338" s="1472">
        <v>1</v>
      </c>
    </row>
    <row r="2339" spans="1:17" ht="22.5">
      <c r="A2339" s="1482"/>
      <c r="B2339" s="1482"/>
      <c r="C2339" s="1555">
        <f t="shared" si="354"/>
        <v>3</v>
      </c>
      <c r="D2339" s="1492">
        <f t="shared" si="355"/>
        <v>9</v>
      </c>
      <c r="F2339" s="1484" t="s">
        <v>11724</v>
      </c>
      <c r="H2339" s="1095" t="s">
        <v>11722</v>
      </c>
      <c r="I2339" s="780" t="s">
        <v>13763</v>
      </c>
      <c r="J2339" s="834"/>
      <c r="K2339" s="790" t="s">
        <v>13602</v>
      </c>
      <c r="L2339" s="700" t="s">
        <v>11758</v>
      </c>
      <c r="M2339" s="870">
        <v>6</v>
      </c>
      <c r="N2339" s="399">
        <v>0</v>
      </c>
      <c r="O2339" s="102">
        <f t="shared" si="358"/>
        <v>0</v>
      </c>
      <c r="P2339" s="101">
        <f t="shared" si="359"/>
        <v>0</v>
      </c>
      <c r="Q2339" s="1472">
        <v>6</v>
      </c>
    </row>
    <row r="2340" spans="1:17" ht="22.5">
      <c r="A2340" s="1482"/>
      <c r="B2340" s="1482"/>
      <c r="C2340" s="1555">
        <f t="shared" si="354"/>
        <v>3</v>
      </c>
      <c r="D2340" s="1492">
        <f t="shared" si="355"/>
        <v>9</v>
      </c>
      <c r="F2340" s="1484" t="s">
        <v>11724</v>
      </c>
      <c r="H2340" s="1095" t="s">
        <v>11722</v>
      </c>
      <c r="I2340" s="780" t="s">
        <v>13764</v>
      </c>
      <c r="J2340" s="834"/>
      <c r="K2340" s="790" t="s">
        <v>13604</v>
      </c>
      <c r="L2340" s="700" t="s">
        <v>11758</v>
      </c>
      <c r="M2340" s="870">
        <v>6</v>
      </c>
      <c r="N2340" s="399">
        <v>0</v>
      </c>
      <c r="O2340" s="102">
        <f t="shared" si="358"/>
        <v>0</v>
      </c>
      <c r="P2340" s="101">
        <f t="shared" si="359"/>
        <v>0</v>
      </c>
      <c r="Q2340" s="1472">
        <v>6</v>
      </c>
    </row>
    <row r="2341" spans="1:17" ht="22.5">
      <c r="A2341" s="1482"/>
      <c r="B2341" s="1482"/>
      <c r="C2341" s="1555">
        <f t="shared" si="354"/>
        <v>3</v>
      </c>
      <c r="D2341" s="1492">
        <f t="shared" si="355"/>
        <v>9</v>
      </c>
      <c r="F2341" s="1484" t="s">
        <v>11724</v>
      </c>
      <c r="H2341" s="1095" t="s">
        <v>11722</v>
      </c>
      <c r="I2341" s="780" t="s">
        <v>13765</v>
      </c>
      <c r="J2341" s="834"/>
      <c r="K2341" s="790" t="s">
        <v>13699</v>
      </c>
      <c r="L2341" s="700" t="s">
        <v>11758</v>
      </c>
      <c r="M2341" s="870">
        <v>6</v>
      </c>
      <c r="N2341" s="399">
        <v>0</v>
      </c>
      <c r="O2341" s="102">
        <f t="shared" si="358"/>
        <v>0</v>
      </c>
      <c r="P2341" s="101">
        <f t="shared" si="359"/>
        <v>0</v>
      </c>
      <c r="Q2341" s="1472">
        <v>6</v>
      </c>
    </row>
    <row r="2342" spans="1:17" ht="22.5">
      <c r="A2342" s="1482"/>
      <c r="B2342" s="1482"/>
      <c r="C2342" s="1555">
        <f t="shared" si="354"/>
        <v>3</v>
      </c>
      <c r="D2342" s="1492">
        <f t="shared" si="355"/>
        <v>9</v>
      </c>
      <c r="F2342" s="1484" t="s">
        <v>11724</v>
      </c>
      <c r="H2342" s="1095" t="s">
        <v>11722</v>
      </c>
      <c r="I2342" s="780" t="s">
        <v>13766</v>
      </c>
      <c r="J2342" s="834"/>
      <c r="K2342" s="790" t="s">
        <v>13767</v>
      </c>
      <c r="L2342" s="700" t="s">
        <v>11758</v>
      </c>
      <c r="M2342" s="870">
        <v>6</v>
      </c>
      <c r="N2342" s="399">
        <v>0</v>
      </c>
      <c r="O2342" s="102">
        <f t="shared" si="358"/>
        <v>0</v>
      </c>
      <c r="P2342" s="101">
        <f t="shared" si="359"/>
        <v>0</v>
      </c>
      <c r="Q2342" s="1472">
        <v>6</v>
      </c>
    </row>
    <row r="2343" spans="1:17">
      <c r="A2343" s="1482"/>
      <c r="B2343" s="1482"/>
      <c r="C2343" s="1555">
        <f t="shared" si="354"/>
        <v>3</v>
      </c>
      <c r="D2343" s="1492">
        <f t="shared" si="355"/>
        <v>9</v>
      </c>
      <c r="F2343" s="1484" t="s">
        <v>11724</v>
      </c>
      <c r="H2343" s="1095" t="s">
        <v>11722</v>
      </c>
      <c r="I2343" s="780" t="s">
        <v>13768</v>
      </c>
      <c r="J2343" s="834"/>
      <c r="K2343" s="790" t="s">
        <v>13703</v>
      </c>
      <c r="L2343" s="700" t="s">
        <v>11758</v>
      </c>
      <c r="M2343" s="870">
        <v>100</v>
      </c>
      <c r="N2343" s="399">
        <v>0</v>
      </c>
      <c r="O2343" s="102">
        <f t="shared" si="358"/>
        <v>0</v>
      </c>
      <c r="P2343" s="101">
        <f t="shared" si="359"/>
        <v>0</v>
      </c>
      <c r="Q2343" s="1472">
        <v>100</v>
      </c>
    </row>
    <row r="2344" spans="1:17">
      <c r="A2344" s="1482"/>
      <c r="B2344" s="1482"/>
      <c r="C2344" s="1555">
        <f t="shared" si="354"/>
        <v>3</v>
      </c>
      <c r="D2344" s="1492">
        <f t="shared" si="355"/>
        <v>9</v>
      </c>
      <c r="F2344" s="1484" t="s">
        <v>11724</v>
      </c>
      <c r="H2344" s="1095" t="s">
        <v>11722</v>
      </c>
      <c r="I2344" s="780" t="s">
        <v>13769</v>
      </c>
      <c r="J2344" s="834"/>
      <c r="K2344" s="790" t="s">
        <v>13705</v>
      </c>
      <c r="L2344" s="700" t="s">
        <v>11758</v>
      </c>
      <c r="M2344" s="870">
        <v>20</v>
      </c>
      <c r="N2344" s="399">
        <v>0</v>
      </c>
      <c r="O2344" s="102">
        <f t="shared" si="358"/>
        <v>0</v>
      </c>
      <c r="P2344" s="101">
        <f t="shared" si="359"/>
        <v>0</v>
      </c>
      <c r="Q2344" s="1472">
        <v>20</v>
      </c>
    </row>
    <row r="2345" spans="1:17">
      <c r="A2345" s="1482"/>
      <c r="B2345" s="1482"/>
      <c r="C2345" s="1555">
        <f t="shared" si="354"/>
        <v>3</v>
      </c>
      <c r="D2345" s="1492">
        <f t="shared" si="355"/>
        <v>9</v>
      </c>
      <c r="F2345" s="1484" t="s">
        <v>11724</v>
      </c>
      <c r="H2345" s="1095" t="s">
        <v>11722</v>
      </c>
      <c r="I2345" s="780" t="s">
        <v>13770</v>
      </c>
      <c r="J2345" s="834"/>
      <c r="K2345" s="790" t="s">
        <v>13707</v>
      </c>
      <c r="L2345" s="700" t="s">
        <v>11758</v>
      </c>
      <c r="M2345" s="870">
        <v>16</v>
      </c>
      <c r="N2345" s="399">
        <v>0</v>
      </c>
      <c r="O2345" s="102">
        <f t="shared" si="358"/>
        <v>0</v>
      </c>
      <c r="P2345" s="101">
        <f t="shared" si="359"/>
        <v>0</v>
      </c>
      <c r="Q2345" s="1472">
        <v>16</v>
      </c>
    </row>
    <row r="2346" spans="1:17" ht="22.5">
      <c r="A2346" s="1482"/>
      <c r="B2346" s="1482"/>
      <c r="C2346" s="1555">
        <f t="shared" si="354"/>
        <v>3</v>
      </c>
      <c r="D2346" s="1492">
        <f t="shared" si="355"/>
        <v>9</v>
      </c>
      <c r="F2346" s="1484" t="s">
        <v>11724</v>
      </c>
      <c r="H2346" s="1095" t="s">
        <v>11722</v>
      </c>
      <c r="I2346" s="780" t="s">
        <v>13771</v>
      </c>
      <c r="J2346" s="834"/>
      <c r="K2346" s="790" t="s">
        <v>13709</v>
      </c>
      <c r="L2346" s="700" t="s">
        <v>11758</v>
      </c>
      <c r="M2346" s="870">
        <v>3</v>
      </c>
      <c r="N2346" s="399">
        <v>0</v>
      </c>
      <c r="O2346" s="102">
        <f t="shared" si="358"/>
        <v>0</v>
      </c>
      <c r="P2346" s="101">
        <f t="shared" si="359"/>
        <v>0</v>
      </c>
      <c r="Q2346" s="1472">
        <v>3</v>
      </c>
    </row>
    <row r="2347" spans="1:17" ht="33.75">
      <c r="A2347" s="1482"/>
      <c r="B2347" s="1482"/>
      <c r="C2347" s="1555">
        <f t="shared" si="354"/>
        <v>3</v>
      </c>
      <c r="D2347" s="1492">
        <f t="shared" si="355"/>
        <v>9</v>
      </c>
      <c r="F2347" s="1484" t="s">
        <v>11724</v>
      </c>
      <c r="H2347" s="1095" t="s">
        <v>11722</v>
      </c>
      <c r="I2347" s="780" t="s">
        <v>13772</v>
      </c>
      <c r="J2347" s="834"/>
      <c r="K2347" s="790" t="s">
        <v>13711</v>
      </c>
      <c r="L2347" s="700" t="s">
        <v>11758</v>
      </c>
      <c r="M2347" s="870">
        <v>1</v>
      </c>
      <c r="N2347" s="399">
        <v>0</v>
      </c>
      <c r="O2347" s="102">
        <f t="shared" si="358"/>
        <v>0</v>
      </c>
      <c r="P2347" s="101">
        <f t="shared" si="359"/>
        <v>0</v>
      </c>
      <c r="Q2347" s="1472">
        <v>1</v>
      </c>
    </row>
    <row r="2348" spans="1:17" ht="22.5">
      <c r="A2348" s="1482"/>
      <c r="B2348" s="1482"/>
      <c r="C2348" s="1555">
        <f t="shared" si="354"/>
        <v>3</v>
      </c>
      <c r="D2348" s="1492">
        <f t="shared" si="355"/>
        <v>9</v>
      </c>
      <c r="F2348" s="1484" t="s">
        <v>11724</v>
      </c>
      <c r="H2348" s="1095" t="s">
        <v>11722</v>
      </c>
      <c r="I2348" s="780" t="s">
        <v>13773</v>
      </c>
      <c r="J2348" s="834"/>
      <c r="K2348" s="790" t="s">
        <v>13714</v>
      </c>
      <c r="L2348" s="700" t="s">
        <v>11758</v>
      </c>
      <c r="M2348" s="870">
        <v>1</v>
      </c>
      <c r="N2348" s="399">
        <v>0</v>
      </c>
      <c r="O2348" s="102">
        <f t="shared" si="358"/>
        <v>0</v>
      </c>
      <c r="P2348" s="101">
        <f t="shared" si="359"/>
        <v>0</v>
      </c>
      <c r="Q2348" s="1472">
        <v>1</v>
      </c>
    </row>
    <row r="2349" spans="1:17">
      <c r="A2349" s="1482"/>
      <c r="B2349" s="1482"/>
      <c r="C2349" s="1555">
        <f t="shared" si="354"/>
        <v>3</v>
      </c>
      <c r="D2349" s="1492">
        <f t="shared" si="355"/>
        <v>9</v>
      </c>
      <c r="F2349" s="1484" t="s">
        <v>11724</v>
      </c>
      <c r="H2349" s="1095" t="s">
        <v>11722</v>
      </c>
      <c r="I2349" s="780" t="s">
        <v>13774</v>
      </c>
      <c r="J2349" s="834"/>
      <c r="K2349" s="790" t="s">
        <v>13716</v>
      </c>
      <c r="L2349" s="780" t="s">
        <v>11757</v>
      </c>
      <c r="M2349" s="1270">
        <v>2</v>
      </c>
      <c r="N2349" s="399">
        <v>0</v>
      </c>
      <c r="O2349" s="102">
        <f t="shared" si="358"/>
        <v>0</v>
      </c>
      <c r="P2349" s="101">
        <f t="shared" si="359"/>
        <v>0</v>
      </c>
      <c r="Q2349" s="1472">
        <v>2</v>
      </c>
    </row>
    <row r="2350" spans="1:17" ht="33.75">
      <c r="A2350" s="1482"/>
      <c r="B2350" s="1482"/>
      <c r="C2350" s="1555">
        <f t="shared" si="354"/>
        <v>3</v>
      </c>
      <c r="D2350" s="1492">
        <f t="shared" si="355"/>
        <v>9</v>
      </c>
      <c r="F2350" s="1484" t="s">
        <v>11724</v>
      </c>
      <c r="H2350" s="1095" t="s">
        <v>11722</v>
      </c>
      <c r="I2350" s="780" t="s">
        <v>13775</v>
      </c>
      <c r="J2350" s="834"/>
      <c r="K2350" s="790" t="s">
        <v>13718</v>
      </c>
      <c r="L2350" s="780" t="s">
        <v>11758</v>
      </c>
      <c r="M2350" s="1270">
        <v>2</v>
      </c>
      <c r="N2350" s="399">
        <v>0</v>
      </c>
      <c r="O2350" s="102">
        <f t="shared" si="358"/>
        <v>0</v>
      </c>
      <c r="P2350" s="101">
        <f t="shared" si="359"/>
        <v>0</v>
      </c>
      <c r="Q2350" s="1472">
        <v>2</v>
      </c>
    </row>
    <row r="2351" spans="1:17">
      <c r="A2351" s="1482"/>
      <c r="B2351" s="1482"/>
      <c r="C2351" s="1555">
        <f t="shared" si="354"/>
        <v>3</v>
      </c>
      <c r="D2351" s="1492">
        <f t="shared" si="355"/>
        <v>9</v>
      </c>
      <c r="F2351" s="1484" t="s">
        <v>11724</v>
      </c>
      <c r="H2351" s="1095" t="s">
        <v>11722</v>
      </c>
      <c r="I2351" s="780" t="s">
        <v>13776</v>
      </c>
      <c r="J2351" s="834"/>
      <c r="K2351" s="790" t="s">
        <v>13777</v>
      </c>
      <c r="L2351" s="780" t="s">
        <v>11758</v>
      </c>
      <c r="M2351" s="1270">
        <v>1</v>
      </c>
      <c r="N2351" s="399">
        <v>0</v>
      </c>
      <c r="O2351" s="102">
        <f t="shared" si="358"/>
        <v>0</v>
      </c>
      <c r="P2351" s="101">
        <f t="shared" si="359"/>
        <v>0</v>
      </c>
      <c r="Q2351" s="1472">
        <v>1</v>
      </c>
    </row>
    <row r="2352" spans="1:17">
      <c r="A2352" s="1482"/>
      <c r="B2352" s="1482"/>
      <c r="C2352" s="1555">
        <f t="shared" si="354"/>
        <v>3</v>
      </c>
      <c r="D2352" s="1492">
        <f t="shared" si="355"/>
        <v>9</v>
      </c>
      <c r="F2352" s="1484" t="s">
        <v>11724</v>
      </c>
      <c r="H2352" s="1095" t="s">
        <v>70</v>
      </c>
      <c r="I2352" s="780">
        <v>93655</v>
      </c>
      <c r="J2352" s="834"/>
      <c r="K2352" s="790" t="s">
        <v>13778</v>
      </c>
      <c r="L2352" s="780" t="s">
        <v>11758</v>
      </c>
      <c r="M2352" s="1270">
        <v>1</v>
      </c>
      <c r="N2352" s="399">
        <v>0</v>
      </c>
      <c r="O2352" s="102">
        <f t="shared" si="358"/>
        <v>0</v>
      </c>
      <c r="P2352" s="101">
        <f t="shared" si="359"/>
        <v>0</v>
      </c>
      <c r="Q2352" s="1472">
        <v>1</v>
      </c>
    </row>
    <row r="2353" spans="1:17">
      <c r="A2353" s="1482"/>
      <c r="B2353" s="1482"/>
      <c r="C2353" s="1555">
        <f t="shared" si="354"/>
        <v>3</v>
      </c>
      <c r="D2353" s="1492">
        <f t="shared" si="355"/>
        <v>9</v>
      </c>
      <c r="F2353" s="1484" t="s">
        <v>11724</v>
      </c>
      <c r="H2353" s="1095" t="s">
        <v>70</v>
      </c>
      <c r="I2353" s="780">
        <v>93669</v>
      </c>
      <c r="J2353" s="834"/>
      <c r="K2353" s="790" t="s">
        <v>13779</v>
      </c>
      <c r="L2353" s="780" t="s">
        <v>11758</v>
      </c>
      <c r="M2353" s="1270">
        <v>1</v>
      </c>
      <c r="N2353" s="399">
        <v>0</v>
      </c>
      <c r="O2353" s="102">
        <f t="shared" si="358"/>
        <v>0</v>
      </c>
      <c r="P2353" s="101">
        <f t="shared" si="359"/>
        <v>0</v>
      </c>
      <c r="Q2353" s="1472">
        <v>1</v>
      </c>
    </row>
    <row r="2354" spans="1:17">
      <c r="A2354" s="1482"/>
      <c r="B2354" s="1482"/>
      <c r="C2354" s="1555">
        <f t="shared" si="354"/>
        <v>3</v>
      </c>
      <c r="D2354" s="1492">
        <f t="shared" si="355"/>
        <v>9</v>
      </c>
      <c r="F2354" s="1484" t="s">
        <v>11724</v>
      </c>
      <c r="H2354" s="1095" t="s">
        <v>70</v>
      </c>
      <c r="I2354" s="780" t="s">
        <v>16821</v>
      </c>
      <c r="J2354" s="834"/>
      <c r="K2354" s="790" t="s">
        <v>13780</v>
      </c>
      <c r="L2354" s="780" t="s">
        <v>11758</v>
      </c>
      <c r="M2354" s="1270">
        <v>1</v>
      </c>
      <c r="N2354" s="399">
        <v>0</v>
      </c>
      <c r="O2354" s="102">
        <f t="shared" si="358"/>
        <v>0</v>
      </c>
      <c r="P2354" s="101">
        <f t="shared" si="359"/>
        <v>0</v>
      </c>
      <c r="Q2354" s="1472">
        <v>1</v>
      </c>
    </row>
    <row r="2355" spans="1:17">
      <c r="A2355" s="1482"/>
      <c r="B2355" s="1482"/>
      <c r="C2355" s="1555">
        <f t="shared" si="354"/>
        <v>3</v>
      </c>
      <c r="D2355" s="1492">
        <f t="shared" si="355"/>
        <v>9</v>
      </c>
      <c r="F2355" s="1484" t="s">
        <v>11724</v>
      </c>
      <c r="H2355" s="1095" t="s">
        <v>11722</v>
      </c>
      <c r="I2355" s="780" t="s">
        <v>13781</v>
      </c>
      <c r="J2355" s="834"/>
      <c r="K2355" s="790" t="s">
        <v>13728</v>
      </c>
      <c r="L2355" s="780" t="s">
        <v>11758</v>
      </c>
      <c r="M2355" s="1270">
        <v>2</v>
      </c>
      <c r="N2355" s="399">
        <v>0</v>
      </c>
      <c r="O2355" s="102">
        <f t="shared" si="358"/>
        <v>0</v>
      </c>
      <c r="P2355" s="101">
        <f t="shared" si="359"/>
        <v>0</v>
      </c>
      <c r="Q2355" s="1472">
        <v>2</v>
      </c>
    </row>
    <row r="2356" spans="1:17">
      <c r="A2356" s="1482"/>
      <c r="B2356" s="1482"/>
      <c r="C2356" s="1555">
        <f t="shared" si="354"/>
        <v>3</v>
      </c>
      <c r="D2356" s="1492">
        <f t="shared" si="355"/>
        <v>9</v>
      </c>
      <c r="F2356" s="1484" t="s">
        <v>11724</v>
      </c>
      <c r="H2356" s="1095" t="s">
        <v>70</v>
      </c>
      <c r="I2356" s="780">
        <v>83468</v>
      </c>
      <c r="J2356" s="834"/>
      <c r="K2356" s="790" t="s">
        <v>13729</v>
      </c>
      <c r="L2356" s="780" t="s">
        <v>11758</v>
      </c>
      <c r="M2356" s="1270">
        <v>2</v>
      </c>
      <c r="N2356" s="399">
        <v>0</v>
      </c>
      <c r="O2356" s="102">
        <f t="shared" si="358"/>
        <v>0</v>
      </c>
      <c r="P2356" s="101">
        <f t="shared" si="359"/>
        <v>0</v>
      </c>
      <c r="Q2356" s="1472">
        <v>2</v>
      </c>
    </row>
    <row r="2357" spans="1:17">
      <c r="A2357" s="1482"/>
      <c r="B2357" s="1482"/>
      <c r="C2357" s="1555">
        <f t="shared" si="354"/>
        <v>3</v>
      </c>
      <c r="D2357" s="1492">
        <f t="shared" ref="D2357:D2367" si="360">D2356+B2357</f>
        <v>9</v>
      </c>
      <c r="F2357" s="1484" t="s">
        <v>11724</v>
      </c>
      <c r="H2357" s="1095" t="s">
        <v>11722</v>
      </c>
      <c r="I2357" s="780" t="s">
        <v>13782</v>
      </c>
      <c r="J2357" s="834"/>
      <c r="K2357" s="790" t="s">
        <v>13783</v>
      </c>
      <c r="L2357" s="780" t="s">
        <v>11758</v>
      </c>
      <c r="M2357" s="1270">
        <v>2</v>
      </c>
      <c r="N2357" s="399">
        <v>0</v>
      </c>
      <c r="O2357" s="102">
        <f t="shared" si="358"/>
        <v>0</v>
      </c>
      <c r="P2357" s="101">
        <f t="shared" si="359"/>
        <v>0</v>
      </c>
      <c r="Q2357" s="1472">
        <v>2</v>
      </c>
    </row>
    <row r="2358" spans="1:17">
      <c r="A2358" s="1482"/>
      <c r="B2358" s="1482"/>
      <c r="C2358" s="1555">
        <f t="shared" si="354"/>
        <v>3</v>
      </c>
      <c r="D2358" s="1492">
        <f t="shared" si="360"/>
        <v>9</v>
      </c>
      <c r="F2358" s="1484" t="s">
        <v>11724</v>
      </c>
      <c r="H2358" s="1095" t="s">
        <v>70</v>
      </c>
      <c r="I2358" s="780">
        <v>3297</v>
      </c>
      <c r="J2358" s="834"/>
      <c r="K2358" s="790" t="s">
        <v>13784</v>
      </c>
      <c r="L2358" s="780" t="s">
        <v>11758</v>
      </c>
      <c r="M2358" s="1270">
        <v>6</v>
      </c>
      <c r="N2358" s="399">
        <v>0</v>
      </c>
      <c r="O2358" s="102">
        <f t="shared" si="358"/>
        <v>0</v>
      </c>
      <c r="P2358" s="101">
        <f t="shared" si="359"/>
        <v>0</v>
      </c>
      <c r="Q2358" s="1472">
        <v>6</v>
      </c>
    </row>
    <row r="2359" spans="1:17">
      <c r="A2359" s="1482"/>
      <c r="B2359" s="1482"/>
      <c r="C2359" s="1555">
        <f t="shared" si="354"/>
        <v>3</v>
      </c>
      <c r="D2359" s="1492">
        <f t="shared" si="360"/>
        <v>9</v>
      </c>
      <c r="F2359" s="1484" t="s">
        <v>11724</v>
      </c>
      <c r="H2359" s="1095" t="s">
        <v>70</v>
      </c>
      <c r="I2359" s="780">
        <v>12359</v>
      </c>
      <c r="J2359" s="834"/>
      <c r="K2359" s="790" t="s">
        <v>13574</v>
      </c>
      <c r="L2359" s="780" t="s">
        <v>11758</v>
      </c>
      <c r="M2359" s="1270">
        <v>1</v>
      </c>
      <c r="N2359" s="399">
        <v>0</v>
      </c>
      <c r="O2359" s="102">
        <f t="shared" si="358"/>
        <v>0</v>
      </c>
      <c r="P2359" s="101">
        <f t="shared" si="359"/>
        <v>0</v>
      </c>
      <c r="Q2359" s="1472">
        <v>1</v>
      </c>
    </row>
    <row r="2360" spans="1:17" ht="22.5">
      <c r="A2360" s="1482"/>
      <c r="B2360" s="1482"/>
      <c r="C2360" s="1555">
        <f t="shared" si="354"/>
        <v>3</v>
      </c>
      <c r="D2360" s="1492">
        <f t="shared" si="360"/>
        <v>9</v>
      </c>
      <c r="F2360" s="1484" t="s">
        <v>11724</v>
      </c>
      <c r="H2360" s="1095" t="s">
        <v>11722</v>
      </c>
      <c r="I2360" s="780" t="s">
        <v>13785</v>
      </c>
      <c r="J2360" s="834"/>
      <c r="K2360" s="790" t="s">
        <v>13590</v>
      </c>
      <c r="L2360" s="780" t="s">
        <v>11758</v>
      </c>
      <c r="M2360" s="1270">
        <v>6</v>
      </c>
      <c r="N2360" s="399">
        <v>0</v>
      </c>
      <c r="O2360" s="102">
        <f t="shared" si="358"/>
        <v>0</v>
      </c>
      <c r="P2360" s="101">
        <f t="shared" si="359"/>
        <v>0</v>
      </c>
      <c r="Q2360" s="1472">
        <v>6</v>
      </c>
    </row>
    <row r="2361" spans="1:17" ht="22.5">
      <c r="A2361" s="1482"/>
      <c r="B2361" s="1482"/>
      <c r="C2361" s="1555">
        <f t="shared" si="354"/>
        <v>3</v>
      </c>
      <c r="D2361" s="1492">
        <f t="shared" si="360"/>
        <v>9</v>
      </c>
      <c r="F2361" s="1484" t="s">
        <v>11724</v>
      </c>
      <c r="H2361" s="1095" t="s">
        <v>11722</v>
      </c>
      <c r="I2361" s="780" t="s">
        <v>13786</v>
      </c>
      <c r="J2361" s="834"/>
      <c r="K2361" s="790" t="s">
        <v>13787</v>
      </c>
      <c r="L2361" s="780" t="s">
        <v>11758</v>
      </c>
      <c r="M2361" s="1270">
        <v>4</v>
      </c>
      <c r="N2361" s="399">
        <v>0</v>
      </c>
      <c r="O2361" s="102">
        <f t="shared" si="358"/>
        <v>0</v>
      </c>
      <c r="P2361" s="101">
        <f t="shared" si="359"/>
        <v>0</v>
      </c>
      <c r="Q2361" s="1472">
        <v>4</v>
      </c>
    </row>
    <row r="2362" spans="1:17" ht="22.5">
      <c r="A2362" s="1482"/>
      <c r="B2362" s="1482"/>
      <c r="C2362" s="1555">
        <f t="shared" si="354"/>
        <v>3</v>
      </c>
      <c r="D2362" s="1492">
        <f t="shared" si="360"/>
        <v>9</v>
      </c>
      <c r="F2362" s="1484" t="s">
        <v>11724</v>
      </c>
      <c r="H2362" s="1095" t="s">
        <v>11722</v>
      </c>
      <c r="I2362" s="780" t="s">
        <v>13788</v>
      </c>
      <c r="J2362" s="834"/>
      <c r="K2362" s="790" t="s">
        <v>13789</v>
      </c>
      <c r="L2362" s="780" t="s">
        <v>11758</v>
      </c>
      <c r="M2362" s="1270">
        <v>2</v>
      </c>
      <c r="N2362" s="399">
        <v>0</v>
      </c>
      <c r="O2362" s="102">
        <f t="shared" si="358"/>
        <v>0</v>
      </c>
      <c r="P2362" s="101">
        <f t="shared" si="359"/>
        <v>0</v>
      </c>
      <c r="Q2362" s="1472">
        <v>2</v>
      </c>
    </row>
    <row r="2363" spans="1:17" ht="22.5">
      <c r="A2363" s="1482"/>
      <c r="B2363" s="1482"/>
      <c r="C2363" s="1555">
        <f t="shared" si="354"/>
        <v>3</v>
      </c>
      <c r="D2363" s="1492">
        <f t="shared" si="360"/>
        <v>9</v>
      </c>
      <c r="F2363" s="1484" t="s">
        <v>11724</v>
      </c>
      <c r="H2363" s="1095" t="s">
        <v>11722</v>
      </c>
      <c r="I2363" s="780" t="s">
        <v>13790</v>
      </c>
      <c r="J2363" s="834"/>
      <c r="K2363" s="790" t="s">
        <v>13791</v>
      </c>
      <c r="L2363" s="780" t="s">
        <v>11758</v>
      </c>
      <c r="M2363" s="1270">
        <v>4</v>
      </c>
      <c r="N2363" s="399">
        <v>0</v>
      </c>
      <c r="O2363" s="102">
        <f t="shared" si="358"/>
        <v>0</v>
      </c>
      <c r="P2363" s="101">
        <f t="shared" si="359"/>
        <v>0</v>
      </c>
      <c r="Q2363" s="1472">
        <v>4</v>
      </c>
    </row>
    <row r="2364" spans="1:17" ht="22.5">
      <c r="A2364" s="1482"/>
      <c r="B2364" s="1482"/>
      <c r="C2364" s="1555">
        <f t="shared" si="354"/>
        <v>3</v>
      </c>
      <c r="D2364" s="1492">
        <f t="shared" si="360"/>
        <v>9</v>
      </c>
      <c r="F2364" s="1484" t="s">
        <v>11724</v>
      </c>
      <c r="H2364" s="1095" t="s">
        <v>11722</v>
      </c>
      <c r="I2364" s="780" t="s">
        <v>13792</v>
      </c>
      <c r="J2364" s="834"/>
      <c r="K2364" s="790" t="s">
        <v>13753</v>
      </c>
      <c r="L2364" s="780" t="s">
        <v>11757</v>
      </c>
      <c r="M2364" s="1270">
        <v>2</v>
      </c>
      <c r="N2364" s="399">
        <v>0</v>
      </c>
      <c r="O2364" s="102">
        <f t="shared" si="358"/>
        <v>0</v>
      </c>
      <c r="P2364" s="101">
        <f t="shared" si="359"/>
        <v>0</v>
      </c>
      <c r="Q2364" s="1472">
        <v>2</v>
      </c>
    </row>
    <row r="2365" spans="1:17" ht="22.5">
      <c r="A2365" s="1482"/>
      <c r="B2365" s="1482"/>
      <c r="C2365" s="1555">
        <f t="shared" si="354"/>
        <v>3</v>
      </c>
      <c r="D2365" s="1492">
        <f t="shared" si="360"/>
        <v>9</v>
      </c>
      <c r="F2365" s="1484" t="s">
        <v>11724</v>
      </c>
      <c r="H2365" s="1095" t="s">
        <v>11722</v>
      </c>
      <c r="I2365" s="780" t="s">
        <v>13793</v>
      </c>
      <c r="J2365" s="834"/>
      <c r="K2365" s="790" t="s">
        <v>13755</v>
      </c>
      <c r="L2365" s="780" t="s">
        <v>11757</v>
      </c>
      <c r="M2365" s="1270">
        <v>2</v>
      </c>
      <c r="N2365" s="399">
        <v>0</v>
      </c>
      <c r="O2365" s="102">
        <f t="shared" si="358"/>
        <v>0</v>
      </c>
      <c r="P2365" s="101">
        <f t="shared" si="359"/>
        <v>0</v>
      </c>
      <c r="Q2365" s="1472">
        <v>2</v>
      </c>
    </row>
    <row r="2366" spans="1:17">
      <c r="A2366" s="1482"/>
      <c r="B2366" s="1482"/>
      <c r="C2366" s="1555">
        <f t="shared" si="354"/>
        <v>3</v>
      </c>
      <c r="D2366" s="1492">
        <f t="shared" si="360"/>
        <v>9</v>
      </c>
      <c r="F2366" s="1484" t="s">
        <v>11724</v>
      </c>
      <c r="H2366" s="1095" t="s">
        <v>11722</v>
      </c>
      <c r="I2366" s="780" t="s">
        <v>13794</v>
      </c>
      <c r="J2366" s="834"/>
      <c r="K2366" s="790" t="s">
        <v>13757</v>
      </c>
      <c r="L2366" s="780" t="s">
        <v>11758</v>
      </c>
      <c r="M2366" s="1270">
        <v>2</v>
      </c>
      <c r="N2366" s="399">
        <v>0</v>
      </c>
      <c r="O2366" s="102">
        <f t="shared" si="358"/>
        <v>0</v>
      </c>
      <c r="P2366" s="101">
        <f t="shared" si="359"/>
        <v>0</v>
      </c>
      <c r="Q2366" s="1472">
        <v>2</v>
      </c>
    </row>
    <row r="2367" spans="1:17" ht="22.5">
      <c r="A2367" s="1482"/>
      <c r="B2367" s="1482"/>
      <c r="C2367" s="1555">
        <f t="shared" si="354"/>
        <v>3</v>
      </c>
      <c r="D2367" s="1492">
        <f t="shared" si="360"/>
        <v>9</v>
      </c>
      <c r="F2367" s="1484" t="s">
        <v>11724</v>
      </c>
      <c r="H2367" s="1095" t="s">
        <v>11722</v>
      </c>
      <c r="I2367" s="780" t="s">
        <v>13795</v>
      </c>
      <c r="J2367" s="834"/>
      <c r="K2367" s="790" t="s">
        <v>13796</v>
      </c>
      <c r="L2367" s="780" t="s">
        <v>11758</v>
      </c>
      <c r="M2367" s="1270">
        <v>4</v>
      </c>
      <c r="N2367" s="399">
        <v>0</v>
      </c>
      <c r="O2367" s="102">
        <f t="shared" si="358"/>
        <v>0</v>
      </c>
      <c r="P2367" s="101">
        <f t="shared" si="359"/>
        <v>0</v>
      </c>
      <c r="Q2367" s="1472">
        <v>4</v>
      </c>
    </row>
    <row r="2368" spans="1:17" ht="15.75" thickBot="1">
      <c r="A2368" s="1482"/>
      <c r="B2368" s="1482"/>
      <c r="C2368" s="1555">
        <f t="shared" si="354"/>
        <v>3</v>
      </c>
      <c r="D2368" s="1492">
        <f t="shared" ref="D2368:D2381" si="361">D2367+B2368</f>
        <v>9</v>
      </c>
      <c r="F2368" s="1484" t="s">
        <v>11724</v>
      </c>
      <c r="H2368" s="1095"/>
      <c r="I2368" s="780"/>
      <c r="J2368" s="834"/>
      <c r="K2368" s="790"/>
      <c r="L2368" s="780"/>
      <c r="M2368" s="1270"/>
      <c r="N2368" s="399"/>
      <c r="O2368" s="102"/>
      <c r="P2368" s="101"/>
    </row>
    <row r="2369" spans="1:17" ht="16.5" thickTop="1" thickBot="1">
      <c r="A2369" s="1482"/>
      <c r="B2369" s="1482">
        <v>1</v>
      </c>
      <c r="C2369" s="1555">
        <f t="shared" si="354"/>
        <v>3</v>
      </c>
      <c r="D2369" s="1492">
        <f t="shared" si="361"/>
        <v>10</v>
      </c>
      <c r="F2369" s="1484" t="s">
        <v>11724</v>
      </c>
      <c r="H2369" s="1510" t="str">
        <f>CONCATENATE(C2369,".",D2369)</f>
        <v>3.10</v>
      </c>
      <c r="I2369" s="1573" t="s">
        <v>13877</v>
      </c>
      <c r="J2369" s="1573"/>
      <c r="K2369" s="1573"/>
      <c r="L2369" s="1573" t="s">
        <v>25</v>
      </c>
      <c r="M2369" s="1574" t="s">
        <v>11704</v>
      </c>
      <c r="N2369" s="397" t="s">
        <v>11705</v>
      </c>
      <c r="O2369" s="99" t="s">
        <v>11706</v>
      </c>
      <c r="P2369" s="100">
        <f>SUBTOTAL(9,P2371:P2392)</f>
        <v>0</v>
      </c>
      <c r="Q2369" s="1472" t="s">
        <v>11704</v>
      </c>
    </row>
    <row r="2370" spans="1:17" ht="15.75" thickTop="1">
      <c r="A2370" s="1482"/>
      <c r="B2370" s="1482"/>
      <c r="C2370" s="1555">
        <f t="shared" si="354"/>
        <v>3</v>
      </c>
      <c r="D2370" s="1492">
        <f t="shared" si="361"/>
        <v>10</v>
      </c>
      <c r="F2370" s="1484" t="s">
        <v>11724</v>
      </c>
      <c r="H2370" s="1095"/>
      <c r="I2370" s="780"/>
      <c r="J2370" s="834"/>
      <c r="K2370" s="790"/>
      <c r="L2370" s="700"/>
      <c r="M2370" s="870"/>
      <c r="N2370" s="399"/>
      <c r="O2370" s="102"/>
      <c r="P2370" s="101"/>
    </row>
    <row r="2371" spans="1:17" ht="22.5">
      <c r="A2371" s="1482"/>
      <c r="B2371" s="1482"/>
      <c r="C2371" s="1555">
        <f t="shared" si="354"/>
        <v>3</v>
      </c>
      <c r="D2371" s="1492">
        <f t="shared" si="361"/>
        <v>10</v>
      </c>
      <c r="F2371" s="1484" t="s">
        <v>11724</v>
      </c>
      <c r="H2371" s="1095" t="s">
        <v>70</v>
      </c>
      <c r="I2371" s="780">
        <v>95750</v>
      </c>
      <c r="J2371" s="834"/>
      <c r="K2371" s="790" t="s">
        <v>14653</v>
      </c>
      <c r="L2371" s="700" t="s">
        <v>18</v>
      </c>
      <c r="M2371" s="870">
        <v>60</v>
      </c>
      <c r="N2371" s="399">
        <v>0</v>
      </c>
      <c r="O2371" s="102">
        <f t="shared" ref="O2371:O2392" si="362">ROUND(IF(F2371="Serviços",N2371*(1+$O$7),IF(F2371="Materiais",N2371*(1+$O$8))),2)</f>
        <v>0</v>
      </c>
      <c r="P2371" s="101">
        <f t="shared" ref="P2371:P2392" si="363">ROUND(M2371*O2371,2)</f>
        <v>0</v>
      </c>
      <c r="Q2371" s="1472">
        <v>60</v>
      </c>
    </row>
    <row r="2372" spans="1:17" ht="22.5">
      <c r="A2372" s="1482"/>
      <c r="B2372" s="1482"/>
      <c r="C2372" s="1555">
        <f t="shared" si="354"/>
        <v>3</v>
      </c>
      <c r="D2372" s="1492">
        <f t="shared" si="361"/>
        <v>10</v>
      </c>
      <c r="F2372" s="1484" t="s">
        <v>11724</v>
      </c>
      <c r="H2372" s="1095" t="s">
        <v>70</v>
      </c>
      <c r="I2372" s="780">
        <v>95751</v>
      </c>
      <c r="J2372" s="834"/>
      <c r="K2372" s="790" t="s">
        <v>14654</v>
      </c>
      <c r="L2372" s="700" t="s">
        <v>18</v>
      </c>
      <c r="M2372" s="870">
        <v>6</v>
      </c>
      <c r="N2372" s="399">
        <v>0</v>
      </c>
      <c r="O2372" s="102">
        <f t="shared" si="362"/>
        <v>0</v>
      </c>
      <c r="P2372" s="101">
        <f t="shared" si="363"/>
        <v>0</v>
      </c>
      <c r="Q2372" s="1472">
        <v>6</v>
      </c>
    </row>
    <row r="2373" spans="1:17" ht="22.5">
      <c r="A2373" s="1482"/>
      <c r="B2373" s="1482"/>
      <c r="C2373" s="1555">
        <f t="shared" si="354"/>
        <v>3</v>
      </c>
      <c r="D2373" s="1492">
        <f t="shared" si="361"/>
        <v>10</v>
      </c>
      <c r="F2373" s="1484" t="s">
        <v>11724</v>
      </c>
      <c r="H2373" s="1095" t="s">
        <v>70</v>
      </c>
      <c r="I2373" s="780">
        <v>95752</v>
      </c>
      <c r="J2373" s="834"/>
      <c r="K2373" s="790" t="s">
        <v>14655</v>
      </c>
      <c r="L2373" s="700" t="s">
        <v>18</v>
      </c>
      <c r="M2373" s="870">
        <v>9</v>
      </c>
      <c r="N2373" s="399">
        <v>0</v>
      </c>
      <c r="O2373" s="102">
        <f t="shared" si="362"/>
        <v>0</v>
      </c>
      <c r="P2373" s="101">
        <f t="shared" si="363"/>
        <v>0</v>
      </c>
      <c r="Q2373" s="1472">
        <v>9</v>
      </c>
    </row>
    <row r="2374" spans="1:17" ht="33.75">
      <c r="A2374" s="1482"/>
      <c r="B2374" s="1482"/>
      <c r="C2374" s="1555">
        <f t="shared" si="354"/>
        <v>3</v>
      </c>
      <c r="D2374" s="1492">
        <f t="shared" si="361"/>
        <v>10</v>
      </c>
      <c r="F2374" s="1484" t="s">
        <v>11724</v>
      </c>
      <c r="H2374" s="1095" t="s">
        <v>11722</v>
      </c>
      <c r="I2374" s="780" t="s">
        <v>13797</v>
      </c>
      <c r="J2374" s="834"/>
      <c r="K2374" s="790" t="s">
        <v>13798</v>
      </c>
      <c r="L2374" s="700" t="s">
        <v>18</v>
      </c>
      <c r="M2374" s="870">
        <v>5</v>
      </c>
      <c r="N2374" s="399">
        <v>0</v>
      </c>
      <c r="O2374" s="102">
        <f t="shared" si="362"/>
        <v>0</v>
      </c>
      <c r="P2374" s="101">
        <f t="shared" si="363"/>
        <v>0</v>
      </c>
      <c r="Q2374" s="1472">
        <v>5</v>
      </c>
    </row>
    <row r="2375" spans="1:17">
      <c r="A2375" s="1482"/>
      <c r="B2375" s="1482"/>
      <c r="C2375" s="1555">
        <f t="shared" si="354"/>
        <v>3</v>
      </c>
      <c r="D2375" s="1492">
        <f t="shared" si="361"/>
        <v>10</v>
      </c>
      <c r="F2375" s="1484" t="s">
        <v>11724</v>
      </c>
      <c r="H2375" s="1095" t="s">
        <v>11722</v>
      </c>
      <c r="I2375" s="780" t="s">
        <v>13799</v>
      </c>
      <c r="J2375" s="834"/>
      <c r="K2375" s="790" t="s">
        <v>13800</v>
      </c>
      <c r="L2375" s="700" t="s">
        <v>10854</v>
      </c>
      <c r="M2375" s="870">
        <v>3</v>
      </c>
      <c r="N2375" s="399">
        <v>0</v>
      </c>
      <c r="O2375" s="102">
        <f t="shared" si="362"/>
        <v>0</v>
      </c>
      <c r="P2375" s="101">
        <f t="shared" si="363"/>
        <v>0</v>
      </c>
      <c r="Q2375" s="1472">
        <v>3</v>
      </c>
    </row>
    <row r="2376" spans="1:17" ht="22.5">
      <c r="A2376" s="1482"/>
      <c r="B2376" s="1482"/>
      <c r="C2376" s="1555">
        <f t="shared" ref="C2376:C2432" si="364">C2375</f>
        <v>3</v>
      </c>
      <c r="D2376" s="1492">
        <f t="shared" si="361"/>
        <v>10</v>
      </c>
      <c r="F2376" s="1484" t="s">
        <v>11724</v>
      </c>
      <c r="H2376" s="1095" t="s">
        <v>11722</v>
      </c>
      <c r="I2376" s="780" t="s">
        <v>13801</v>
      </c>
      <c r="J2376" s="834"/>
      <c r="K2376" s="790" t="s">
        <v>13802</v>
      </c>
      <c r="L2376" s="700" t="s">
        <v>10854</v>
      </c>
      <c r="M2376" s="870">
        <v>3</v>
      </c>
      <c r="N2376" s="399">
        <v>0</v>
      </c>
      <c r="O2376" s="102">
        <f t="shared" si="362"/>
        <v>0</v>
      </c>
      <c r="P2376" s="101">
        <f t="shared" si="363"/>
        <v>0</v>
      </c>
      <c r="Q2376" s="1472">
        <v>3</v>
      </c>
    </row>
    <row r="2377" spans="1:17">
      <c r="A2377" s="1482"/>
      <c r="B2377" s="1482"/>
      <c r="C2377" s="1555">
        <f t="shared" si="364"/>
        <v>3</v>
      </c>
      <c r="D2377" s="1492">
        <f t="shared" si="361"/>
        <v>10</v>
      </c>
      <c r="F2377" s="1484" t="s">
        <v>11724</v>
      </c>
      <c r="H2377" s="1095" t="s">
        <v>11722</v>
      </c>
      <c r="I2377" s="780" t="s">
        <v>13803</v>
      </c>
      <c r="J2377" s="834"/>
      <c r="K2377" s="790" t="s">
        <v>13804</v>
      </c>
      <c r="L2377" s="700" t="s">
        <v>10854</v>
      </c>
      <c r="M2377" s="870">
        <v>1</v>
      </c>
      <c r="N2377" s="399">
        <v>0</v>
      </c>
      <c r="O2377" s="102">
        <f t="shared" si="362"/>
        <v>0</v>
      </c>
      <c r="P2377" s="101">
        <f t="shared" si="363"/>
        <v>0</v>
      </c>
      <c r="Q2377" s="1472">
        <v>1</v>
      </c>
    </row>
    <row r="2378" spans="1:17">
      <c r="A2378" s="1482"/>
      <c r="B2378" s="1482"/>
      <c r="C2378" s="1555">
        <f t="shared" si="364"/>
        <v>3</v>
      </c>
      <c r="D2378" s="1492">
        <f t="shared" si="361"/>
        <v>10</v>
      </c>
      <c r="F2378" s="1484" t="s">
        <v>11724</v>
      </c>
      <c r="H2378" s="1095" t="s">
        <v>11722</v>
      </c>
      <c r="I2378" s="780" t="s">
        <v>13805</v>
      </c>
      <c r="J2378" s="834"/>
      <c r="K2378" s="790" t="s">
        <v>13806</v>
      </c>
      <c r="L2378" s="700" t="s">
        <v>10854</v>
      </c>
      <c r="M2378" s="870">
        <v>1</v>
      </c>
      <c r="N2378" s="399">
        <v>0</v>
      </c>
      <c r="O2378" s="102">
        <f t="shared" si="362"/>
        <v>0</v>
      </c>
      <c r="P2378" s="101">
        <f t="shared" si="363"/>
        <v>0</v>
      </c>
      <c r="Q2378" s="1472">
        <v>1</v>
      </c>
    </row>
    <row r="2379" spans="1:17">
      <c r="A2379" s="1482"/>
      <c r="B2379" s="1482"/>
      <c r="C2379" s="1555">
        <f t="shared" si="364"/>
        <v>3</v>
      </c>
      <c r="D2379" s="1492">
        <f t="shared" si="361"/>
        <v>10</v>
      </c>
      <c r="F2379" s="1484" t="s">
        <v>11724</v>
      </c>
      <c r="H2379" s="1095" t="s">
        <v>11722</v>
      </c>
      <c r="I2379" s="780" t="s">
        <v>13807</v>
      </c>
      <c r="J2379" s="834"/>
      <c r="K2379" s="790" t="s">
        <v>13808</v>
      </c>
      <c r="L2379" s="700" t="s">
        <v>10854</v>
      </c>
      <c r="M2379" s="870">
        <v>1</v>
      </c>
      <c r="N2379" s="399">
        <v>0</v>
      </c>
      <c r="O2379" s="102">
        <f t="shared" si="362"/>
        <v>0</v>
      </c>
      <c r="P2379" s="101">
        <f t="shared" si="363"/>
        <v>0</v>
      </c>
      <c r="Q2379" s="1472">
        <v>1</v>
      </c>
    </row>
    <row r="2380" spans="1:17" ht="22.5">
      <c r="A2380" s="1482"/>
      <c r="B2380" s="1482"/>
      <c r="C2380" s="1555">
        <f t="shared" si="364"/>
        <v>3</v>
      </c>
      <c r="D2380" s="1492">
        <f t="shared" si="361"/>
        <v>10</v>
      </c>
      <c r="F2380" s="1484" t="s">
        <v>11724</v>
      </c>
      <c r="H2380" s="1095" t="s">
        <v>11722</v>
      </c>
      <c r="I2380" s="780" t="s">
        <v>13809</v>
      </c>
      <c r="J2380" s="834"/>
      <c r="K2380" s="790" t="s">
        <v>13810</v>
      </c>
      <c r="L2380" s="700" t="s">
        <v>10854</v>
      </c>
      <c r="M2380" s="870">
        <v>1</v>
      </c>
      <c r="N2380" s="399">
        <v>0</v>
      </c>
      <c r="O2380" s="102">
        <f t="shared" si="362"/>
        <v>0</v>
      </c>
      <c r="P2380" s="101">
        <f t="shared" si="363"/>
        <v>0</v>
      </c>
      <c r="Q2380" s="1472">
        <v>1</v>
      </c>
    </row>
    <row r="2381" spans="1:17">
      <c r="A2381" s="1482"/>
      <c r="B2381" s="1482"/>
      <c r="C2381" s="1555">
        <f t="shared" si="364"/>
        <v>3</v>
      </c>
      <c r="D2381" s="1492">
        <f t="shared" si="361"/>
        <v>10</v>
      </c>
      <c r="F2381" s="1484" t="s">
        <v>11724</v>
      </c>
      <c r="H2381" s="1095" t="s">
        <v>11722</v>
      </c>
      <c r="I2381" s="780" t="s">
        <v>13811</v>
      </c>
      <c r="J2381" s="834"/>
      <c r="K2381" s="790" t="s">
        <v>13812</v>
      </c>
      <c r="L2381" s="700" t="s">
        <v>10854</v>
      </c>
      <c r="M2381" s="870">
        <v>2</v>
      </c>
      <c r="N2381" s="399">
        <v>0</v>
      </c>
      <c r="O2381" s="102">
        <f t="shared" si="362"/>
        <v>0</v>
      </c>
      <c r="P2381" s="101">
        <f t="shared" si="363"/>
        <v>0</v>
      </c>
      <c r="Q2381" s="1472">
        <v>2</v>
      </c>
    </row>
    <row r="2382" spans="1:17">
      <c r="A2382" s="1482"/>
      <c r="B2382" s="1482"/>
      <c r="C2382" s="1555">
        <f t="shared" si="364"/>
        <v>3</v>
      </c>
      <c r="D2382" s="1492">
        <f t="shared" ref="D2382:D2392" si="365">D2381+B2382</f>
        <v>10</v>
      </c>
      <c r="F2382" s="1484" t="s">
        <v>11724</v>
      </c>
      <c r="H2382" s="1095" t="s">
        <v>11722</v>
      </c>
      <c r="I2382" s="780" t="s">
        <v>13813</v>
      </c>
      <c r="J2382" s="834"/>
      <c r="K2382" s="790" t="s">
        <v>13814</v>
      </c>
      <c r="L2382" s="700" t="s">
        <v>10854</v>
      </c>
      <c r="M2382" s="870">
        <v>1</v>
      </c>
      <c r="N2382" s="399">
        <v>0</v>
      </c>
      <c r="O2382" s="102">
        <f t="shared" si="362"/>
        <v>0</v>
      </c>
      <c r="P2382" s="101">
        <f t="shared" si="363"/>
        <v>0</v>
      </c>
      <c r="Q2382" s="1472">
        <v>1</v>
      </c>
    </row>
    <row r="2383" spans="1:17" ht="33.75">
      <c r="A2383" s="1482"/>
      <c r="B2383" s="1482"/>
      <c r="C2383" s="1555">
        <f t="shared" si="364"/>
        <v>3</v>
      </c>
      <c r="D2383" s="1492">
        <f t="shared" si="365"/>
        <v>10</v>
      </c>
      <c r="F2383" s="1484" t="s">
        <v>11724</v>
      </c>
      <c r="H2383" s="1095" t="s">
        <v>70</v>
      </c>
      <c r="I2383" s="780">
        <v>939</v>
      </c>
      <c r="J2383" s="834"/>
      <c r="K2383" s="790" t="s">
        <v>13815</v>
      </c>
      <c r="L2383" s="700" t="s">
        <v>18</v>
      </c>
      <c r="M2383" s="870">
        <v>60</v>
      </c>
      <c r="N2383" s="399">
        <v>0</v>
      </c>
      <c r="O2383" s="102">
        <f t="shared" si="362"/>
        <v>0</v>
      </c>
      <c r="P2383" s="101">
        <f t="shared" si="363"/>
        <v>0</v>
      </c>
      <c r="Q2383" s="1472">
        <v>60</v>
      </c>
    </row>
    <row r="2384" spans="1:17" ht="33.75">
      <c r="A2384" s="1482"/>
      <c r="B2384" s="1482"/>
      <c r="C2384" s="1555">
        <f t="shared" si="364"/>
        <v>3</v>
      </c>
      <c r="D2384" s="1492">
        <f t="shared" si="365"/>
        <v>10</v>
      </c>
      <c r="F2384" s="1484" t="s">
        <v>11724</v>
      </c>
      <c r="H2384" s="1095" t="s">
        <v>70</v>
      </c>
      <c r="I2384" s="780">
        <v>939</v>
      </c>
      <c r="J2384" s="834"/>
      <c r="K2384" s="790" t="s">
        <v>13816</v>
      </c>
      <c r="L2384" s="780" t="s">
        <v>18</v>
      </c>
      <c r="M2384" s="1270">
        <v>75</v>
      </c>
      <c r="N2384" s="399">
        <v>0</v>
      </c>
      <c r="O2384" s="102">
        <f t="shared" si="362"/>
        <v>0</v>
      </c>
      <c r="P2384" s="101">
        <f t="shared" si="363"/>
        <v>0</v>
      </c>
      <c r="Q2384" s="1472">
        <v>75</v>
      </c>
    </row>
    <row r="2385" spans="1:17" ht="33.75">
      <c r="A2385" s="1482"/>
      <c r="B2385" s="1482"/>
      <c r="C2385" s="1555">
        <f t="shared" si="364"/>
        <v>3</v>
      </c>
      <c r="D2385" s="1492">
        <f t="shared" si="365"/>
        <v>10</v>
      </c>
      <c r="F2385" s="1484" t="s">
        <v>11724</v>
      </c>
      <c r="H2385" s="1095" t="s">
        <v>70</v>
      </c>
      <c r="I2385" s="780">
        <v>939</v>
      </c>
      <c r="J2385" s="834"/>
      <c r="K2385" s="790" t="s">
        <v>13817</v>
      </c>
      <c r="L2385" s="780" t="s">
        <v>18</v>
      </c>
      <c r="M2385" s="1270">
        <v>70</v>
      </c>
      <c r="N2385" s="399">
        <v>0</v>
      </c>
      <c r="O2385" s="102">
        <f t="shared" si="362"/>
        <v>0</v>
      </c>
      <c r="P2385" s="101">
        <f t="shared" si="363"/>
        <v>0</v>
      </c>
      <c r="Q2385" s="1472">
        <v>70</v>
      </c>
    </row>
    <row r="2386" spans="1:17" ht="33.75">
      <c r="A2386" s="1482"/>
      <c r="B2386" s="1482"/>
      <c r="C2386" s="1555">
        <f t="shared" si="364"/>
        <v>3</v>
      </c>
      <c r="D2386" s="1492">
        <f t="shared" si="365"/>
        <v>10</v>
      </c>
      <c r="F2386" s="1484" t="s">
        <v>11724</v>
      </c>
      <c r="H2386" s="1095" t="s">
        <v>70</v>
      </c>
      <c r="I2386" s="780">
        <v>939</v>
      </c>
      <c r="J2386" s="834"/>
      <c r="K2386" s="790" t="s">
        <v>13818</v>
      </c>
      <c r="L2386" s="780" t="s">
        <v>18</v>
      </c>
      <c r="M2386" s="1270">
        <v>15</v>
      </c>
      <c r="N2386" s="399">
        <v>0</v>
      </c>
      <c r="O2386" s="102">
        <f t="shared" si="362"/>
        <v>0</v>
      </c>
      <c r="P2386" s="101">
        <f t="shared" si="363"/>
        <v>0</v>
      </c>
      <c r="Q2386" s="1472">
        <v>15</v>
      </c>
    </row>
    <row r="2387" spans="1:17" ht="33.75">
      <c r="A2387" s="1482"/>
      <c r="B2387" s="1482"/>
      <c r="C2387" s="1555">
        <f t="shared" si="364"/>
        <v>3</v>
      </c>
      <c r="D2387" s="1492">
        <f t="shared" si="365"/>
        <v>10</v>
      </c>
      <c r="F2387" s="1484" t="s">
        <v>11724</v>
      </c>
      <c r="H2387" s="1095" t="s">
        <v>70</v>
      </c>
      <c r="I2387" s="780">
        <v>944</v>
      </c>
      <c r="J2387" s="834"/>
      <c r="K2387" s="790" t="s">
        <v>13819</v>
      </c>
      <c r="L2387" s="780" t="s">
        <v>18</v>
      </c>
      <c r="M2387" s="1270">
        <v>45</v>
      </c>
      <c r="N2387" s="399">
        <v>0</v>
      </c>
      <c r="O2387" s="102">
        <f t="shared" si="362"/>
        <v>0</v>
      </c>
      <c r="P2387" s="101">
        <f t="shared" si="363"/>
        <v>0</v>
      </c>
      <c r="Q2387" s="1472">
        <v>45</v>
      </c>
    </row>
    <row r="2388" spans="1:17" ht="33.75">
      <c r="A2388" s="1482"/>
      <c r="B2388" s="1482"/>
      <c r="C2388" s="1555">
        <f t="shared" si="364"/>
        <v>3</v>
      </c>
      <c r="D2388" s="1492">
        <f t="shared" si="365"/>
        <v>10</v>
      </c>
      <c r="F2388" s="1484" t="s">
        <v>11724</v>
      </c>
      <c r="H2388" s="1095" t="s">
        <v>70</v>
      </c>
      <c r="I2388" s="780">
        <v>944</v>
      </c>
      <c r="J2388" s="834"/>
      <c r="K2388" s="790" t="s">
        <v>13820</v>
      </c>
      <c r="L2388" s="780" t="s">
        <v>18</v>
      </c>
      <c r="M2388" s="1270">
        <v>15</v>
      </c>
      <c r="N2388" s="399">
        <v>0</v>
      </c>
      <c r="O2388" s="102">
        <f t="shared" si="362"/>
        <v>0</v>
      </c>
      <c r="P2388" s="101">
        <f t="shared" si="363"/>
        <v>0</v>
      </c>
      <c r="Q2388" s="1472">
        <v>15</v>
      </c>
    </row>
    <row r="2389" spans="1:17" ht="33.75">
      <c r="A2389" s="1482"/>
      <c r="B2389" s="1482"/>
      <c r="C2389" s="1555">
        <f t="shared" si="364"/>
        <v>3</v>
      </c>
      <c r="D2389" s="1492">
        <f t="shared" si="365"/>
        <v>10</v>
      </c>
      <c r="F2389" s="1484" t="s">
        <v>11724</v>
      </c>
      <c r="H2389" s="1095" t="s">
        <v>70</v>
      </c>
      <c r="I2389" s="780">
        <v>944</v>
      </c>
      <c r="J2389" s="834"/>
      <c r="K2389" s="790" t="s">
        <v>13821</v>
      </c>
      <c r="L2389" s="780" t="s">
        <v>18</v>
      </c>
      <c r="M2389" s="1270">
        <v>15</v>
      </c>
      <c r="N2389" s="399">
        <v>0</v>
      </c>
      <c r="O2389" s="102">
        <f t="shared" si="362"/>
        <v>0</v>
      </c>
      <c r="P2389" s="101">
        <f t="shared" si="363"/>
        <v>0</v>
      </c>
      <c r="Q2389" s="1472">
        <v>15</v>
      </c>
    </row>
    <row r="2390" spans="1:17" ht="45">
      <c r="A2390" s="1482"/>
      <c r="B2390" s="1482"/>
      <c r="C2390" s="1555">
        <f t="shared" si="364"/>
        <v>3</v>
      </c>
      <c r="D2390" s="1492">
        <f t="shared" si="365"/>
        <v>10</v>
      </c>
      <c r="F2390" s="1484" t="s">
        <v>11724</v>
      </c>
      <c r="H2390" s="1095" t="s">
        <v>70</v>
      </c>
      <c r="I2390" s="780">
        <v>91927</v>
      </c>
      <c r="J2390" s="834"/>
      <c r="K2390" s="790" t="s">
        <v>13822</v>
      </c>
      <c r="L2390" s="780" t="s">
        <v>18</v>
      </c>
      <c r="M2390" s="1270">
        <v>15</v>
      </c>
      <c r="N2390" s="399">
        <v>0</v>
      </c>
      <c r="O2390" s="102">
        <f t="shared" si="362"/>
        <v>0</v>
      </c>
      <c r="P2390" s="101">
        <f t="shared" si="363"/>
        <v>0</v>
      </c>
      <c r="Q2390" s="1472">
        <v>15</v>
      </c>
    </row>
    <row r="2391" spans="1:17" ht="33.75">
      <c r="A2391" s="1482"/>
      <c r="B2391" s="1482"/>
      <c r="C2391" s="1555">
        <f t="shared" si="364"/>
        <v>3</v>
      </c>
      <c r="D2391" s="1492">
        <f t="shared" si="365"/>
        <v>10</v>
      </c>
      <c r="F2391" s="1484" t="s">
        <v>11724</v>
      </c>
      <c r="H2391" s="1095" t="s">
        <v>11722</v>
      </c>
      <c r="I2391" s="780" t="s">
        <v>13823</v>
      </c>
      <c r="J2391" s="834"/>
      <c r="K2391" s="790" t="s">
        <v>13824</v>
      </c>
      <c r="L2391" s="780" t="s">
        <v>10854</v>
      </c>
      <c r="M2391" s="1270">
        <v>4</v>
      </c>
      <c r="N2391" s="399">
        <v>0</v>
      </c>
      <c r="O2391" s="102">
        <f t="shared" si="362"/>
        <v>0</v>
      </c>
      <c r="P2391" s="101">
        <f t="shared" si="363"/>
        <v>0</v>
      </c>
      <c r="Q2391" s="1472">
        <v>4</v>
      </c>
    </row>
    <row r="2392" spans="1:17">
      <c r="A2392" s="1482"/>
      <c r="B2392" s="1482"/>
      <c r="C2392" s="1555">
        <f t="shared" si="364"/>
        <v>3</v>
      </c>
      <c r="D2392" s="1492">
        <f t="shared" si="365"/>
        <v>10</v>
      </c>
      <c r="F2392" s="1484" t="s">
        <v>11724</v>
      </c>
      <c r="H2392" s="1095" t="s">
        <v>70</v>
      </c>
      <c r="I2392" s="780">
        <v>83446</v>
      </c>
      <c r="J2392" s="834"/>
      <c r="K2392" s="790" t="s">
        <v>13825</v>
      </c>
      <c r="L2392" s="780" t="s">
        <v>10854</v>
      </c>
      <c r="M2392" s="1270">
        <v>3</v>
      </c>
      <c r="N2392" s="399">
        <v>0</v>
      </c>
      <c r="O2392" s="102">
        <f t="shared" si="362"/>
        <v>0</v>
      </c>
      <c r="P2392" s="101">
        <f t="shared" si="363"/>
        <v>0</v>
      </c>
      <c r="Q2392" s="1472">
        <v>3</v>
      </c>
    </row>
    <row r="2393" spans="1:17" ht="15.75" thickBot="1">
      <c r="A2393" s="1482"/>
      <c r="B2393" s="1482"/>
      <c r="C2393" s="1555">
        <f t="shared" si="364"/>
        <v>3</v>
      </c>
      <c r="D2393" s="1492">
        <f t="shared" ref="D2393:D2401" si="366">D2392+B2393</f>
        <v>10</v>
      </c>
      <c r="F2393" s="1484" t="s">
        <v>11724</v>
      </c>
      <c r="H2393" s="1095"/>
      <c r="I2393" s="780"/>
      <c r="J2393" s="834"/>
      <c r="K2393" s="790"/>
      <c r="L2393" s="780"/>
      <c r="M2393" s="1270"/>
      <c r="N2393" s="399"/>
      <c r="O2393" s="102"/>
      <c r="P2393" s="101"/>
    </row>
    <row r="2394" spans="1:17" ht="16.5" customHeight="1" thickTop="1" thickBot="1">
      <c r="A2394" s="1482"/>
      <c r="B2394" s="1482">
        <v>1</v>
      </c>
      <c r="C2394" s="1555">
        <f t="shared" si="364"/>
        <v>3</v>
      </c>
      <c r="D2394" s="1492">
        <f t="shared" si="366"/>
        <v>11</v>
      </c>
      <c r="F2394" s="1484" t="s">
        <v>11724</v>
      </c>
      <c r="H2394" s="1510" t="str">
        <f>CONCATENATE(C2394,".",D2394)</f>
        <v>3.11</v>
      </c>
      <c r="I2394" s="1644" t="s">
        <v>13878</v>
      </c>
      <c r="J2394" s="1644"/>
      <c r="K2394" s="1644"/>
      <c r="L2394" s="1573" t="s">
        <v>25</v>
      </c>
      <c r="M2394" s="1574" t="s">
        <v>11704</v>
      </c>
      <c r="N2394" s="397" t="s">
        <v>11705</v>
      </c>
      <c r="O2394" s="99" t="s">
        <v>11706</v>
      </c>
      <c r="P2394" s="100">
        <f>SUBTOTAL(9,P2396:P2431)</f>
        <v>0</v>
      </c>
      <c r="Q2394" s="1472" t="s">
        <v>11704</v>
      </c>
    </row>
    <row r="2395" spans="1:17" ht="15.75" thickTop="1">
      <c r="A2395" s="1482"/>
      <c r="B2395" s="1482"/>
      <c r="C2395" s="1555">
        <f t="shared" si="364"/>
        <v>3</v>
      </c>
      <c r="D2395" s="1492">
        <f t="shared" si="366"/>
        <v>11</v>
      </c>
      <c r="F2395" s="1484" t="s">
        <v>11724</v>
      </c>
      <c r="H2395" s="1095"/>
      <c r="I2395" s="780"/>
      <c r="J2395" s="834"/>
      <c r="K2395" s="790"/>
      <c r="L2395" s="700"/>
      <c r="M2395" s="870"/>
      <c r="N2395" s="399"/>
      <c r="O2395" s="102"/>
      <c r="P2395" s="101"/>
    </row>
    <row r="2396" spans="1:17" ht="22.5">
      <c r="A2396" s="1482"/>
      <c r="B2396" s="1482"/>
      <c r="C2396" s="1555">
        <f t="shared" si="364"/>
        <v>3</v>
      </c>
      <c r="D2396" s="1492">
        <f t="shared" si="366"/>
        <v>11</v>
      </c>
      <c r="F2396" s="1484" t="s">
        <v>11724</v>
      </c>
      <c r="H2396" s="1095" t="s">
        <v>70</v>
      </c>
      <c r="I2396" s="780">
        <v>95750</v>
      </c>
      <c r="J2396" s="834"/>
      <c r="K2396" s="790" t="s">
        <v>14653</v>
      </c>
      <c r="L2396" s="700" t="s">
        <v>18</v>
      </c>
      <c r="M2396" s="870">
        <v>15</v>
      </c>
      <c r="N2396" s="399">
        <v>0</v>
      </c>
      <c r="O2396" s="102">
        <f t="shared" ref="O2396:O2417" si="367">ROUND(IF(F2396="Serviços",N2396*(1+$O$7),IF(F2396="Materiais",N2396*(1+$O$8))),2)</f>
        <v>0</v>
      </c>
      <c r="P2396" s="101">
        <f t="shared" ref="P2396:P2417" si="368">ROUND(M2396*O2396,2)</f>
        <v>0</v>
      </c>
      <c r="Q2396" s="1472">
        <v>15</v>
      </c>
    </row>
    <row r="2397" spans="1:17" ht="22.5">
      <c r="A2397" s="1482"/>
      <c r="B2397" s="1482"/>
      <c r="C2397" s="1555">
        <f t="shared" si="364"/>
        <v>3</v>
      </c>
      <c r="D2397" s="1492">
        <f t="shared" si="366"/>
        <v>11</v>
      </c>
      <c r="F2397" s="1484" t="s">
        <v>11724</v>
      </c>
      <c r="H2397" s="1095" t="s">
        <v>70</v>
      </c>
      <c r="I2397" s="780">
        <v>95751</v>
      </c>
      <c r="J2397" s="834"/>
      <c r="K2397" s="790" t="s">
        <v>14654</v>
      </c>
      <c r="L2397" s="700" t="s">
        <v>18</v>
      </c>
      <c r="M2397" s="870">
        <v>6</v>
      </c>
      <c r="N2397" s="399">
        <v>0</v>
      </c>
      <c r="O2397" s="102">
        <f t="shared" si="367"/>
        <v>0</v>
      </c>
      <c r="P2397" s="101">
        <f t="shared" si="368"/>
        <v>0</v>
      </c>
      <c r="Q2397" s="1472">
        <v>6</v>
      </c>
    </row>
    <row r="2398" spans="1:17" ht="22.5">
      <c r="A2398" s="1482"/>
      <c r="B2398" s="1482"/>
      <c r="C2398" s="1555">
        <f t="shared" si="364"/>
        <v>3</v>
      </c>
      <c r="D2398" s="1492">
        <f t="shared" si="366"/>
        <v>11</v>
      </c>
      <c r="F2398" s="1484" t="s">
        <v>11724</v>
      </c>
      <c r="H2398" s="1095" t="s">
        <v>70</v>
      </c>
      <c r="I2398" s="780">
        <v>95752</v>
      </c>
      <c r="J2398" s="834"/>
      <c r="K2398" s="790" t="s">
        <v>14655</v>
      </c>
      <c r="L2398" s="700" t="s">
        <v>18</v>
      </c>
      <c r="M2398" s="870">
        <v>15</v>
      </c>
      <c r="N2398" s="399">
        <v>0</v>
      </c>
      <c r="O2398" s="102">
        <f t="shared" si="367"/>
        <v>0</v>
      </c>
      <c r="P2398" s="101">
        <f t="shared" si="368"/>
        <v>0</v>
      </c>
      <c r="Q2398" s="1472">
        <v>15</v>
      </c>
    </row>
    <row r="2399" spans="1:17" ht="22.5">
      <c r="A2399" s="1482"/>
      <c r="B2399" s="1482"/>
      <c r="C2399" s="1555">
        <f t="shared" si="364"/>
        <v>3</v>
      </c>
      <c r="D2399" s="1492">
        <f t="shared" si="366"/>
        <v>11</v>
      </c>
      <c r="F2399" s="1484" t="s">
        <v>11724</v>
      </c>
      <c r="H2399" s="1095" t="s">
        <v>11722</v>
      </c>
      <c r="I2399" s="780" t="s">
        <v>13826</v>
      </c>
      <c r="J2399" s="834"/>
      <c r="K2399" s="790" t="s">
        <v>14656</v>
      </c>
      <c r="L2399" s="700" t="s">
        <v>11753</v>
      </c>
      <c r="M2399" s="870">
        <v>1</v>
      </c>
      <c r="N2399" s="399">
        <v>0</v>
      </c>
      <c r="O2399" s="102">
        <f t="shared" si="367"/>
        <v>0</v>
      </c>
      <c r="P2399" s="101">
        <f t="shared" si="368"/>
        <v>0</v>
      </c>
      <c r="Q2399" s="1472">
        <v>1</v>
      </c>
    </row>
    <row r="2400" spans="1:17" ht="22.5">
      <c r="A2400" s="1482"/>
      <c r="B2400" s="1482"/>
      <c r="C2400" s="1555">
        <f t="shared" si="364"/>
        <v>3</v>
      </c>
      <c r="D2400" s="1492">
        <f t="shared" si="366"/>
        <v>11</v>
      </c>
      <c r="F2400" s="1484" t="s">
        <v>11724</v>
      </c>
      <c r="H2400" s="1095" t="s">
        <v>11722</v>
      </c>
      <c r="I2400" s="780" t="s">
        <v>13827</v>
      </c>
      <c r="J2400" s="834"/>
      <c r="K2400" s="790" t="s">
        <v>14657</v>
      </c>
      <c r="L2400" s="700" t="s">
        <v>18</v>
      </c>
      <c r="M2400" s="870">
        <v>5</v>
      </c>
      <c r="N2400" s="399">
        <v>0</v>
      </c>
      <c r="O2400" s="102">
        <f t="shared" si="367"/>
        <v>0</v>
      </c>
      <c r="P2400" s="101">
        <f t="shared" si="368"/>
        <v>0</v>
      </c>
      <c r="Q2400" s="1472">
        <v>5</v>
      </c>
    </row>
    <row r="2401" spans="1:17" ht="33.75">
      <c r="A2401" s="1482"/>
      <c r="B2401" s="1482"/>
      <c r="C2401" s="1555">
        <f t="shared" si="364"/>
        <v>3</v>
      </c>
      <c r="D2401" s="1492">
        <f t="shared" si="366"/>
        <v>11</v>
      </c>
      <c r="F2401" s="1484" t="s">
        <v>11724</v>
      </c>
      <c r="H2401" s="1095" t="s">
        <v>11722</v>
      </c>
      <c r="I2401" s="780" t="s">
        <v>13828</v>
      </c>
      <c r="J2401" s="834"/>
      <c r="K2401" s="790" t="s">
        <v>13798</v>
      </c>
      <c r="L2401" s="700" t="s">
        <v>18</v>
      </c>
      <c r="M2401" s="870">
        <v>15</v>
      </c>
      <c r="N2401" s="399">
        <v>0</v>
      </c>
      <c r="O2401" s="102">
        <f t="shared" si="367"/>
        <v>0</v>
      </c>
      <c r="P2401" s="101">
        <f t="shared" si="368"/>
        <v>0</v>
      </c>
      <c r="Q2401" s="1472">
        <v>15</v>
      </c>
    </row>
    <row r="2402" spans="1:17" ht="22.5">
      <c r="A2402" s="1482"/>
      <c r="B2402" s="1482"/>
      <c r="C2402" s="1555">
        <f t="shared" si="364"/>
        <v>3</v>
      </c>
      <c r="D2402" s="1492">
        <f t="shared" ref="D2402:D2417" si="369">D2401+B2402</f>
        <v>11</v>
      </c>
      <c r="F2402" s="1484" t="s">
        <v>11724</v>
      </c>
      <c r="H2402" s="1095" t="s">
        <v>11722</v>
      </c>
      <c r="I2402" s="780" t="s">
        <v>13829</v>
      </c>
      <c r="J2402" s="834"/>
      <c r="K2402" s="790" t="s">
        <v>13830</v>
      </c>
      <c r="L2402" s="700" t="s">
        <v>10854</v>
      </c>
      <c r="M2402" s="870">
        <v>2</v>
      </c>
      <c r="N2402" s="399">
        <v>0</v>
      </c>
      <c r="O2402" s="102">
        <f t="shared" si="367"/>
        <v>0</v>
      </c>
      <c r="P2402" s="101">
        <f t="shared" si="368"/>
        <v>0</v>
      </c>
      <c r="Q2402" s="1472">
        <v>2</v>
      </c>
    </row>
    <row r="2403" spans="1:17" ht="22.5">
      <c r="A2403" s="1482"/>
      <c r="B2403" s="1482"/>
      <c r="C2403" s="1555">
        <f t="shared" si="364"/>
        <v>3</v>
      </c>
      <c r="D2403" s="1492">
        <f t="shared" si="369"/>
        <v>11</v>
      </c>
      <c r="F2403" s="1484" t="s">
        <v>11724</v>
      </c>
      <c r="H2403" s="1095" t="s">
        <v>11722</v>
      </c>
      <c r="I2403" s="780" t="s">
        <v>13831</v>
      </c>
      <c r="J2403" s="834"/>
      <c r="K2403" s="790" t="s">
        <v>13832</v>
      </c>
      <c r="L2403" s="700" t="s">
        <v>10854</v>
      </c>
      <c r="M2403" s="870">
        <v>1</v>
      </c>
      <c r="N2403" s="399">
        <v>0</v>
      </c>
      <c r="O2403" s="102">
        <f t="shared" si="367"/>
        <v>0</v>
      </c>
      <c r="P2403" s="101">
        <f t="shared" si="368"/>
        <v>0</v>
      </c>
      <c r="Q2403" s="1472">
        <v>1</v>
      </c>
    </row>
    <row r="2404" spans="1:17" ht="22.5">
      <c r="A2404" s="1482"/>
      <c r="B2404" s="1482"/>
      <c r="C2404" s="1555">
        <f t="shared" si="364"/>
        <v>3</v>
      </c>
      <c r="D2404" s="1492">
        <f t="shared" si="369"/>
        <v>11</v>
      </c>
      <c r="F2404" s="1484" t="s">
        <v>11724</v>
      </c>
      <c r="H2404" s="1095" t="s">
        <v>11722</v>
      </c>
      <c r="I2404" s="780" t="s">
        <v>13833</v>
      </c>
      <c r="J2404" s="834"/>
      <c r="K2404" s="790" t="s">
        <v>13834</v>
      </c>
      <c r="L2404" s="700" t="s">
        <v>10854</v>
      </c>
      <c r="M2404" s="870">
        <v>2</v>
      </c>
      <c r="N2404" s="399">
        <v>0</v>
      </c>
      <c r="O2404" s="102">
        <f t="shared" si="367"/>
        <v>0</v>
      </c>
      <c r="P2404" s="101">
        <f t="shared" si="368"/>
        <v>0</v>
      </c>
      <c r="Q2404" s="1472">
        <v>2</v>
      </c>
    </row>
    <row r="2405" spans="1:17">
      <c r="A2405" s="1482"/>
      <c r="B2405" s="1482"/>
      <c r="C2405" s="1555">
        <f t="shared" si="364"/>
        <v>3</v>
      </c>
      <c r="D2405" s="1492">
        <f t="shared" si="369"/>
        <v>11</v>
      </c>
      <c r="F2405" s="1484" t="s">
        <v>11724</v>
      </c>
      <c r="H2405" s="1095" t="s">
        <v>11722</v>
      </c>
      <c r="I2405" s="780" t="s">
        <v>13835</v>
      </c>
      <c r="J2405" s="834"/>
      <c r="K2405" s="790" t="s">
        <v>13836</v>
      </c>
      <c r="L2405" s="700" t="s">
        <v>10854</v>
      </c>
      <c r="M2405" s="870">
        <v>1</v>
      </c>
      <c r="N2405" s="399">
        <v>0</v>
      </c>
      <c r="O2405" s="102">
        <f t="shared" si="367"/>
        <v>0</v>
      </c>
      <c r="P2405" s="101">
        <f t="shared" si="368"/>
        <v>0</v>
      </c>
      <c r="Q2405" s="1472">
        <v>1</v>
      </c>
    </row>
    <row r="2406" spans="1:17">
      <c r="A2406" s="1482"/>
      <c r="B2406" s="1482"/>
      <c r="C2406" s="1555">
        <f t="shared" si="364"/>
        <v>3</v>
      </c>
      <c r="D2406" s="1492">
        <f t="shared" si="369"/>
        <v>11</v>
      </c>
      <c r="F2406" s="1484" t="s">
        <v>11724</v>
      </c>
      <c r="H2406" s="1095" t="s">
        <v>11722</v>
      </c>
      <c r="I2406" s="780" t="s">
        <v>13837</v>
      </c>
      <c r="J2406" s="834"/>
      <c r="K2406" s="790" t="s">
        <v>13838</v>
      </c>
      <c r="L2406" s="700" t="s">
        <v>10854</v>
      </c>
      <c r="M2406" s="870">
        <v>1</v>
      </c>
      <c r="N2406" s="399">
        <v>0</v>
      </c>
      <c r="O2406" s="102">
        <f t="shared" si="367"/>
        <v>0</v>
      </c>
      <c r="P2406" s="101">
        <f t="shared" si="368"/>
        <v>0</v>
      </c>
      <c r="Q2406" s="1472">
        <v>1</v>
      </c>
    </row>
    <row r="2407" spans="1:17">
      <c r="A2407" s="1482"/>
      <c r="B2407" s="1482"/>
      <c r="C2407" s="1555">
        <f t="shared" si="364"/>
        <v>3</v>
      </c>
      <c r="D2407" s="1492">
        <f t="shared" si="369"/>
        <v>11</v>
      </c>
      <c r="F2407" s="1484" t="s">
        <v>11724</v>
      </c>
      <c r="H2407" s="1095" t="s">
        <v>11722</v>
      </c>
      <c r="I2407" s="780" t="s">
        <v>13839</v>
      </c>
      <c r="J2407" s="834"/>
      <c r="K2407" s="790" t="s">
        <v>13840</v>
      </c>
      <c r="L2407" s="700" t="s">
        <v>10854</v>
      </c>
      <c r="M2407" s="870">
        <v>1</v>
      </c>
      <c r="N2407" s="399">
        <v>0</v>
      </c>
      <c r="O2407" s="102">
        <f t="shared" si="367"/>
        <v>0</v>
      </c>
      <c r="P2407" s="101">
        <f t="shared" si="368"/>
        <v>0</v>
      </c>
      <c r="Q2407" s="1472">
        <v>1</v>
      </c>
    </row>
    <row r="2408" spans="1:17">
      <c r="A2408" s="1482"/>
      <c r="B2408" s="1482"/>
      <c r="C2408" s="1555">
        <f t="shared" si="364"/>
        <v>3</v>
      </c>
      <c r="D2408" s="1492">
        <f t="shared" si="369"/>
        <v>11</v>
      </c>
      <c r="F2408" s="1484" t="s">
        <v>11724</v>
      </c>
      <c r="H2408" s="1095" t="s">
        <v>11722</v>
      </c>
      <c r="I2408" s="780" t="s">
        <v>13841</v>
      </c>
      <c r="J2408" s="834"/>
      <c r="K2408" s="790" t="s">
        <v>13800</v>
      </c>
      <c r="L2408" s="700" t="s">
        <v>10854</v>
      </c>
      <c r="M2408" s="870">
        <v>2</v>
      </c>
      <c r="N2408" s="399">
        <v>0</v>
      </c>
      <c r="O2408" s="102">
        <f t="shared" si="367"/>
        <v>0</v>
      </c>
      <c r="P2408" s="101">
        <f t="shared" si="368"/>
        <v>0</v>
      </c>
      <c r="Q2408" s="1472">
        <v>2</v>
      </c>
    </row>
    <row r="2409" spans="1:17">
      <c r="A2409" s="1482"/>
      <c r="B2409" s="1482"/>
      <c r="C2409" s="1555">
        <f t="shared" si="364"/>
        <v>3</v>
      </c>
      <c r="D2409" s="1492">
        <f t="shared" si="369"/>
        <v>11</v>
      </c>
      <c r="F2409" s="1484" t="s">
        <v>11724</v>
      </c>
      <c r="H2409" s="1095" t="s">
        <v>11722</v>
      </c>
      <c r="I2409" s="780" t="s">
        <v>13842</v>
      </c>
      <c r="J2409" s="834"/>
      <c r="K2409" s="790" t="s">
        <v>13843</v>
      </c>
      <c r="L2409" s="780" t="s">
        <v>10854</v>
      </c>
      <c r="M2409" s="1270">
        <v>3</v>
      </c>
      <c r="N2409" s="399">
        <v>0</v>
      </c>
      <c r="O2409" s="102">
        <f t="shared" si="367"/>
        <v>0</v>
      </c>
      <c r="P2409" s="101">
        <f t="shared" si="368"/>
        <v>0</v>
      </c>
      <c r="Q2409" s="1472">
        <v>3</v>
      </c>
    </row>
    <row r="2410" spans="1:17">
      <c r="A2410" s="1482"/>
      <c r="B2410" s="1482"/>
      <c r="C2410" s="1555">
        <f t="shared" si="364"/>
        <v>3</v>
      </c>
      <c r="D2410" s="1492">
        <f t="shared" si="369"/>
        <v>11</v>
      </c>
      <c r="F2410" s="1484" t="s">
        <v>11724</v>
      </c>
      <c r="H2410" s="1095" t="s">
        <v>11722</v>
      </c>
      <c r="I2410" s="780" t="s">
        <v>13844</v>
      </c>
      <c r="J2410" s="834"/>
      <c r="K2410" s="790" t="s">
        <v>13845</v>
      </c>
      <c r="L2410" s="780" t="s">
        <v>10854</v>
      </c>
      <c r="M2410" s="1270">
        <v>1</v>
      </c>
      <c r="N2410" s="399">
        <v>0</v>
      </c>
      <c r="O2410" s="102">
        <f t="shared" si="367"/>
        <v>0</v>
      </c>
      <c r="P2410" s="101">
        <f t="shared" si="368"/>
        <v>0</v>
      </c>
      <c r="Q2410" s="1472">
        <v>1</v>
      </c>
    </row>
    <row r="2411" spans="1:17">
      <c r="A2411" s="1482"/>
      <c r="B2411" s="1482"/>
      <c r="C2411" s="1555">
        <f t="shared" si="364"/>
        <v>3</v>
      </c>
      <c r="D2411" s="1492">
        <f t="shared" si="369"/>
        <v>11</v>
      </c>
      <c r="F2411" s="1484" t="s">
        <v>11724</v>
      </c>
      <c r="H2411" s="1095" t="s">
        <v>11722</v>
      </c>
      <c r="I2411" s="780" t="s">
        <v>13846</v>
      </c>
      <c r="J2411" s="834"/>
      <c r="K2411" s="790" t="s">
        <v>13847</v>
      </c>
      <c r="L2411" s="780" t="s">
        <v>10854</v>
      </c>
      <c r="M2411" s="1270">
        <v>1</v>
      </c>
      <c r="N2411" s="399">
        <v>0</v>
      </c>
      <c r="O2411" s="102">
        <f t="shared" si="367"/>
        <v>0</v>
      </c>
      <c r="P2411" s="101">
        <f t="shared" si="368"/>
        <v>0</v>
      </c>
      <c r="Q2411" s="1472">
        <v>1</v>
      </c>
    </row>
    <row r="2412" spans="1:17">
      <c r="A2412" s="1482"/>
      <c r="B2412" s="1482"/>
      <c r="C2412" s="1555">
        <f t="shared" si="364"/>
        <v>3</v>
      </c>
      <c r="D2412" s="1492">
        <f t="shared" si="369"/>
        <v>11</v>
      </c>
      <c r="F2412" s="1484" t="s">
        <v>11724</v>
      </c>
      <c r="H2412" s="1095" t="s">
        <v>11722</v>
      </c>
      <c r="I2412" s="780" t="s">
        <v>13848</v>
      </c>
      <c r="J2412" s="834"/>
      <c r="K2412" s="790" t="s">
        <v>13849</v>
      </c>
      <c r="L2412" s="780" t="s">
        <v>10854</v>
      </c>
      <c r="M2412" s="1270">
        <v>1</v>
      </c>
      <c r="N2412" s="399">
        <v>0</v>
      </c>
      <c r="O2412" s="102">
        <f t="shared" si="367"/>
        <v>0</v>
      </c>
      <c r="P2412" s="101">
        <f t="shared" si="368"/>
        <v>0</v>
      </c>
      <c r="Q2412" s="1472">
        <v>1</v>
      </c>
    </row>
    <row r="2413" spans="1:17">
      <c r="A2413" s="1482"/>
      <c r="B2413" s="1482"/>
      <c r="C2413" s="1555">
        <f t="shared" si="364"/>
        <v>3</v>
      </c>
      <c r="D2413" s="1492">
        <f t="shared" si="369"/>
        <v>11</v>
      </c>
      <c r="F2413" s="1484" t="s">
        <v>11724</v>
      </c>
      <c r="H2413" s="1095" t="s">
        <v>11722</v>
      </c>
      <c r="I2413" s="780" t="s">
        <v>13850</v>
      </c>
      <c r="J2413" s="834"/>
      <c r="K2413" s="790" t="s">
        <v>13851</v>
      </c>
      <c r="L2413" s="780" t="s">
        <v>10854</v>
      </c>
      <c r="M2413" s="1270">
        <v>2</v>
      </c>
      <c r="N2413" s="399">
        <v>0</v>
      </c>
      <c r="O2413" s="102">
        <f t="shared" si="367"/>
        <v>0</v>
      </c>
      <c r="P2413" s="101">
        <f t="shared" si="368"/>
        <v>0</v>
      </c>
      <c r="Q2413" s="1472">
        <v>2</v>
      </c>
    </row>
    <row r="2414" spans="1:17">
      <c r="A2414" s="1482"/>
      <c r="B2414" s="1482"/>
      <c r="C2414" s="1555">
        <f t="shared" si="364"/>
        <v>3</v>
      </c>
      <c r="D2414" s="1492">
        <f t="shared" si="369"/>
        <v>11</v>
      </c>
      <c r="F2414" s="1484" t="s">
        <v>11724</v>
      </c>
      <c r="H2414" s="1095" t="s">
        <v>11722</v>
      </c>
      <c r="I2414" s="780" t="s">
        <v>13852</v>
      </c>
      <c r="J2414" s="834"/>
      <c r="K2414" s="790" t="s">
        <v>13812</v>
      </c>
      <c r="L2414" s="780" t="s">
        <v>10854</v>
      </c>
      <c r="M2414" s="1270">
        <v>2</v>
      </c>
      <c r="N2414" s="399">
        <v>0</v>
      </c>
      <c r="O2414" s="102">
        <f t="shared" si="367"/>
        <v>0</v>
      </c>
      <c r="P2414" s="101">
        <f t="shared" si="368"/>
        <v>0</v>
      </c>
      <c r="Q2414" s="1472">
        <v>2</v>
      </c>
    </row>
    <row r="2415" spans="1:17">
      <c r="A2415" s="1482"/>
      <c r="B2415" s="1482"/>
      <c r="C2415" s="1555">
        <f t="shared" si="364"/>
        <v>3</v>
      </c>
      <c r="D2415" s="1492">
        <f t="shared" si="369"/>
        <v>11</v>
      </c>
      <c r="F2415" s="1484" t="s">
        <v>11724</v>
      </c>
      <c r="H2415" s="1095" t="s">
        <v>11722</v>
      </c>
      <c r="I2415" s="780" t="s">
        <v>13853</v>
      </c>
      <c r="J2415" s="834"/>
      <c r="K2415" s="790" t="s">
        <v>13854</v>
      </c>
      <c r="L2415" s="780" t="s">
        <v>10854</v>
      </c>
      <c r="M2415" s="1270">
        <v>2</v>
      </c>
      <c r="N2415" s="399">
        <v>0</v>
      </c>
      <c r="O2415" s="102">
        <f t="shared" si="367"/>
        <v>0</v>
      </c>
      <c r="P2415" s="101">
        <f t="shared" si="368"/>
        <v>0</v>
      </c>
      <c r="Q2415" s="1472">
        <v>2</v>
      </c>
    </row>
    <row r="2416" spans="1:17" ht="33.75">
      <c r="A2416" s="1482"/>
      <c r="B2416" s="1482"/>
      <c r="C2416" s="1555">
        <f t="shared" si="364"/>
        <v>3</v>
      </c>
      <c r="D2416" s="1492">
        <f t="shared" si="369"/>
        <v>11</v>
      </c>
      <c r="F2416" s="1484" t="s">
        <v>11724</v>
      </c>
      <c r="H2416" s="1095" t="s">
        <v>70</v>
      </c>
      <c r="I2416" s="780">
        <v>939</v>
      </c>
      <c r="J2416" s="834"/>
      <c r="K2416" s="790" t="s">
        <v>13815</v>
      </c>
      <c r="L2416" s="780" t="s">
        <v>18</v>
      </c>
      <c r="M2416" s="1270">
        <v>20</v>
      </c>
      <c r="N2416" s="399">
        <v>0</v>
      </c>
      <c r="O2416" s="102">
        <f t="shared" si="367"/>
        <v>0</v>
      </c>
      <c r="P2416" s="101">
        <f t="shared" si="368"/>
        <v>0</v>
      </c>
      <c r="Q2416" s="1472">
        <v>20</v>
      </c>
    </row>
    <row r="2417" spans="1:17" ht="33.75">
      <c r="A2417" s="1482"/>
      <c r="B2417" s="1482"/>
      <c r="C2417" s="1555">
        <f t="shared" si="364"/>
        <v>3</v>
      </c>
      <c r="D2417" s="1492">
        <f t="shared" si="369"/>
        <v>11</v>
      </c>
      <c r="F2417" s="1484" t="s">
        <v>11724</v>
      </c>
      <c r="H2417" s="1095" t="s">
        <v>70</v>
      </c>
      <c r="I2417" s="780">
        <v>939</v>
      </c>
      <c r="J2417" s="834"/>
      <c r="K2417" s="790" t="s">
        <v>13816</v>
      </c>
      <c r="L2417" s="780" t="s">
        <v>18</v>
      </c>
      <c r="M2417" s="1270">
        <v>15</v>
      </c>
      <c r="N2417" s="399">
        <v>0</v>
      </c>
      <c r="O2417" s="102">
        <f t="shared" si="367"/>
        <v>0</v>
      </c>
      <c r="P2417" s="101">
        <f t="shared" si="368"/>
        <v>0</v>
      </c>
      <c r="Q2417" s="1472">
        <v>15</v>
      </c>
    </row>
    <row r="2418" spans="1:17" ht="33.75">
      <c r="A2418" s="1482"/>
      <c r="B2418" s="1482"/>
      <c r="C2418" s="1555">
        <f t="shared" si="364"/>
        <v>3</v>
      </c>
      <c r="D2418" s="1492">
        <f t="shared" ref="D2418:D2432" si="370">D2417+B2418</f>
        <v>11</v>
      </c>
      <c r="F2418" s="1484" t="s">
        <v>11724</v>
      </c>
      <c r="H2418" s="1095" t="s">
        <v>70</v>
      </c>
      <c r="I2418" s="780">
        <v>939</v>
      </c>
      <c r="J2418" s="834"/>
      <c r="K2418" s="790" t="s">
        <v>13817</v>
      </c>
      <c r="L2418" s="780" t="s">
        <v>18</v>
      </c>
      <c r="M2418" s="1270">
        <v>20</v>
      </c>
      <c r="N2418" s="399">
        <v>0</v>
      </c>
      <c r="O2418" s="102">
        <f t="shared" ref="O2418:O2431" si="371">ROUND(IF(F2418="Serviços",N2418*(1+$O$7),IF(F2418="Materiais",N2418*(1+$O$8))),2)</f>
        <v>0</v>
      </c>
      <c r="P2418" s="101">
        <f t="shared" ref="P2418:P2431" si="372">ROUND(M2418*O2418,2)</f>
        <v>0</v>
      </c>
      <c r="Q2418" s="1472">
        <v>20</v>
      </c>
    </row>
    <row r="2419" spans="1:17" ht="33.75">
      <c r="A2419" s="1482"/>
      <c r="B2419" s="1482"/>
      <c r="C2419" s="1555">
        <f t="shared" si="364"/>
        <v>3</v>
      </c>
      <c r="D2419" s="1492">
        <f t="shared" si="370"/>
        <v>11</v>
      </c>
      <c r="F2419" s="1484" t="s">
        <v>11724</v>
      </c>
      <c r="H2419" s="1095" t="s">
        <v>70</v>
      </c>
      <c r="I2419" s="780">
        <v>939</v>
      </c>
      <c r="J2419" s="834"/>
      <c r="K2419" s="790" t="s">
        <v>13818</v>
      </c>
      <c r="L2419" s="780" t="s">
        <v>18</v>
      </c>
      <c r="M2419" s="1270">
        <v>15</v>
      </c>
      <c r="N2419" s="399">
        <v>0</v>
      </c>
      <c r="O2419" s="102">
        <f t="shared" si="371"/>
        <v>0</v>
      </c>
      <c r="P2419" s="101">
        <f t="shared" si="372"/>
        <v>0</v>
      </c>
      <c r="Q2419" s="1472">
        <v>15</v>
      </c>
    </row>
    <row r="2420" spans="1:17" ht="33.75">
      <c r="A2420" s="1482"/>
      <c r="B2420" s="1482"/>
      <c r="C2420" s="1555">
        <f t="shared" si="364"/>
        <v>3</v>
      </c>
      <c r="D2420" s="1492">
        <f t="shared" si="370"/>
        <v>11</v>
      </c>
      <c r="F2420" s="1484" t="s">
        <v>11724</v>
      </c>
      <c r="H2420" s="1095" t="s">
        <v>70</v>
      </c>
      <c r="I2420" s="780">
        <v>940</v>
      </c>
      <c r="J2420" s="834"/>
      <c r="K2420" s="790" t="s">
        <v>13855</v>
      </c>
      <c r="L2420" s="780" t="s">
        <v>18</v>
      </c>
      <c r="M2420" s="1270">
        <v>6</v>
      </c>
      <c r="N2420" s="399">
        <v>0</v>
      </c>
      <c r="O2420" s="102">
        <f t="shared" si="371"/>
        <v>0</v>
      </c>
      <c r="P2420" s="101">
        <f t="shared" si="372"/>
        <v>0</v>
      </c>
      <c r="Q2420" s="1472">
        <v>6</v>
      </c>
    </row>
    <row r="2421" spans="1:17" ht="33.75">
      <c r="A2421" s="1482"/>
      <c r="B2421" s="1482"/>
      <c r="C2421" s="1555">
        <f t="shared" si="364"/>
        <v>3</v>
      </c>
      <c r="D2421" s="1492">
        <f t="shared" si="370"/>
        <v>11</v>
      </c>
      <c r="F2421" s="1484" t="s">
        <v>11724</v>
      </c>
      <c r="H2421" s="1095" t="s">
        <v>70</v>
      </c>
      <c r="I2421" s="780">
        <v>940</v>
      </c>
      <c r="J2421" s="834"/>
      <c r="K2421" s="790" t="s">
        <v>13856</v>
      </c>
      <c r="L2421" s="780" t="s">
        <v>18</v>
      </c>
      <c r="M2421" s="1270">
        <v>2</v>
      </c>
      <c r="N2421" s="399">
        <v>0</v>
      </c>
      <c r="O2421" s="102">
        <f t="shared" si="371"/>
        <v>0</v>
      </c>
      <c r="P2421" s="101">
        <f t="shared" si="372"/>
        <v>0</v>
      </c>
      <c r="Q2421" s="1472">
        <v>2</v>
      </c>
    </row>
    <row r="2422" spans="1:17" ht="33.75">
      <c r="A2422" s="1482"/>
      <c r="B2422" s="1482"/>
      <c r="C2422" s="1555">
        <f t="shared" si="364"/>
        <v>3</v>
      </c>
      <c r="D2422" s="1492">
        <f t="shared" si="370"/>
        <v>11</v>
      </c>
      <c r="F2422" s="1484" t="s">
        <v>11724</v>
      </c>
      <c r="H2422" s="1095" t="s">
        <v>70</v>
      </c>
      <c r="I2422" s="780">
        <v>940</v>
      </c>
      <c r="J2422" s="834"/>
      <c r="K2422" s="790" t="s">
        <v>13857</v>
      </c>
      <c r="L2422" s="780" t="s">
        <v>18</v>
      </c>
      <c r="M2422" s="1270">
        <v>2</v>
      </c>
      <c r="N2422" s="399">
        <v>0</v>
      </c>
      <c r="O2422" s="102">
        <f t="shared" si="371"/>
        <v>0</v>
      </c>
      <c r="P2422" s="101">
        <f t="shared" si="372"/>
        <v>0</v>
      </c>
      <c r="Q2422" s="1472">
        <v>2</v>
      </c>
    </row>
    <row r="2423" spans="1:17" ht="45">
      <c r="A2423" s="1482"/>
      <c r="B2423" s="1482"/>
      <c r="C2423" s="1555">
        <f t="shared" si="364"/>
        <v>3</v>
      </c>
      <c r="D2423" s="1492">
        <f t="shared" si="370"/>
        <v>11</v>
      </c>
      <c r="F2423" s="1484" t="s">
        <v>11724</v>
      </c>
      <c r="H2423" s="1095" t="s">
        <v>70</v>
      </c>
      <c r="I2423" s="780">
        <v>91925</v>
      </c>
      <c r="J2423" s="834"/>
      <c r="K2423" s="790" t="s">
        <v>13858</v>
      </c>
      <c r="L2423" s="780" t="s">
        <v>18</v>
      </c>
      <c r="M2423" s="1270">
        <v>25</v>
      </c>
      <c r="N2423" s="399">
        <v>0</v>
      </c>
      <c r="O2423" s="102">
        <f t="shared" si="371"/>
        <v>0</v>
      </c>
      <c r="P2423" s="101">
        <f t="shared" si="372"/>
        <v>0</v>
      </c>
      <c r="Q2423" s="1472">
        <v>25</v>
      </c>
    </row>
    <row r="2424" spans="1:17" ht="45">
      <c r="A2424" s="1482"/>
      <c r="B2424" s="1482"/>
      <c r="C2424" s="1555">
        <f t="shared" si="364"/>
        <v>3</v>
      </c>
      <c r="D2424" s="1492">
        <f t="shared" si="370"/>
        <v>11</v>
      </c>
      <c r="F2424" s="1484" t="s">
        <v>11724</v>
      </c>
      <c r="H2424" s="1095" t="s">
        <v>70</v>
      </c>
      <c r="I2424" s="780">
        <v>91927</v>
      </c>
      <c r="J2424" s="834"/>
      <c r="K2424" s="790" t="s">
        <v>13822</v>
      </c>
      <c r="L2424" s="780" t="s">
        <v>18</v>
      </c>
      <c r="M2424" s="1270">
        <v>20</v>
      </c>
      <c r="N2424" s="399">
        <v>0</v>
      </c>
      <c r="O2424" s="102">
        <f t="shared" si="371"/>
        <v>0</v>
      </c>
      <c r="P2424" s="101">
        <f t="shared" si="372"/>
        <v>0</v>
      </c>
      <c r="Q2424" s="1472">
        <v>20</v>
      </c>
    </row>
    <row r="2425" spans="1:17" ht="45">
      <c r="A2425" s="1482"/>
      <c r="B2425" s="1482"/>
      <c r="C2425" s="1555">
        <f t="shared" si="364"/>
        <v>3</v>
      </c>
      <c r="D2425" s="1492">
        <f t="shared" si="370"/>
        <v>11</v>
      </c>
      <c r="F2425" s="1484" t="s">
        <v>11724</v>
      </c>
      <c r="H2425" s="1095" t="s">
        <v>70</v>
      </c>
      <c r="I2425" s="780">
        <v>91925</v>
      </c>
      <c r="J2425" s="834"/>
      <c r="K2425" s="790" t="s">
        <v>13859</v>
      </c>
      <c r="L2425" s="780" t="s">
        <v>18</v>
      </c>
      <c r="M2425" s="1270">
        <v>10</v>
      </c>
      <c r="N2425" s="399">
        <v>0</v>
      </c>
      <c r="O2425" s="102">
        <f t="shared" si="371"/>
        <v>0</v>
      </c>
      <c r="P2425" s="101">
        <f t="shared" si="372"/>
        <v>0</v>
      </c>
      <c r="Q2425" s="1472">
        <v>10</v>
      </c>
    </row>
    <row r="2426" spans="1:17" ht="33.75">
      <c r="A2426" s="1482"/>
      <c r="B2426" s="1482"/>
      <c r="C2426" s="1555">
        <f t="shared" si="364"/>
        <v>3</v>
      </c>
      <c r="D2426" s="1492">
        <f t="shared" si="370"/>
        <v>11</v>
      </c>
      <c r="F2426" s="1484" t="s">
        <v>11724</v>
      </c>
      <c r="H2426" s="1095" t="s">
        <v>11722</v>
      </c>
      <c r="I2426" s="780" t="s">
        <v>13860</v>
      </c>
      <c r="J2426" s="834"/>
      <c r="K2426" s="790" t="s">
        <v>13824</v>
      </c>
      <c r="L2426" s="780" t="s">
        <v>10854</v>
      </c>
      <c r="M2426" s="1270">
        <v>3</v>
      </c>
      <c r="N2426" s="399">
        <v>0</v>
      </c>
      <c r="O2426" s="102">
        <f t="shared" si="371"/>
        <v>0</v>
      </c>
      <c r="P2426" s="101">
        <f t="shared" si="372"/>
        <v>0</v>
      </c>
      <c r="Q2426" s="1472">
        <v>3</v>
      </c>
    </row>
    <row r="2427" spans="1:17" ht="38.25" customHeight="1">
      <c r="A2427" s="1482"/>
      <c r="B2427" s="1482"/>
      <c r="C2427" s="1555">
        <f t="shared" si="364"/>
        <v>3</v>
      </c>
      <c r="D2427" s="1492">
        <f t="shared" si="370"/>
        <v>11</v>
      </c>
      <c r="F2427" s="1484" t="s">
        <v>11724</v>
      </c>
      <c r="H2427" s="1095" t="s">
        <v>11722</v>
      </c>
      <c r="I2427" s="780" t="s">
        <v>13861</v>
      </c>
      <c r="J2427" s="834"/>
      <c r="K2427" s="790" t="s">
        <v>13862</v>
      </c>
      <c r="L2427" s="780" t="s">
        <v>10854</v>
      </c>
      <c r="M2427" s="1270">
        <v>2</v>
      </c>
      <c r="N2427" s="399">
        <v>0</v>
      </c>
      <c r="O2427" s="102">
        <f t="shared" si="371"/>
        <v>0</v>
      </c>
      <c r="P2427" s="101">
        <f t="shared" si="372"/>
        <v>0</v>
      </c>
      <c r="Q2427" s="1472">
        <v>2</v>
      </c>
    </row>
    <row r="2428" spans="1:17" ht="39.75" customHeight="1">
      <c r="A2428" s="1482"/>
      <c r="B2428" s="1482"/>
      <c r="C2428" s="1555">
        <f t="shared" si="364"/>
        <v>3</v>
      </c>
      <c r="D2428" s="1492">
        <f t="shared" si="370"/>
        <v>11</v>
      </c>
      <c r="F2428" s="1484" t="s">
        <v>11724</v>
      </c>
      <c r="H2428" s="1095" t="s">
        <v>11722</v>
      </c>
      <c r="I2428" s="780" t="s">
        <v>13863</v>
      </c>
      <c r="J2428" s="834"/>
      <c r="K2428" s="790" t="s">
        <v>13864</v>
      </c>
      <c r="L2428" s="780" t="s">
        <v>10854</v>
      </c>
      <c r="M2428" s="1270">
        <v>1</v>
      </c>
      <c r="N2428" s="399">
        <v>0</v>
      </c>
      <c r="O2428" s="102">
        <f t="shared" si="371"/>
        <v>0</v>
      </c>
      <c r="P2428" s="101">
        <f t="shared" si="372"/>
        <v>0</v>
      </c>
      <c r="Q2428" s="1472">
        <v>1</v>
      </c>
    </row>
    <row r="2429" spans="1:17" ht="39" customHeight="1">
      <c r="A2429" s="1482"/>
      <c r="B2429" s="1482"/>
      <c r="C2429" s="1555">
        <f t="shared" si="364"/>
        <v>3</v>
      </c>
      <c r="D2429" s="1492">
        <f t="shared" si="370"/>
        <v>11</v>
      </c>
      <c r="F2429" s="1484" t="s">
        <v>11724</v>
      </c>
      <c r="H2429" s="1095" t="s">
        <v>11722</v>
      </c>
      <c r="I2429" s="780" t="s">
        <v>13865</v>
      </c>
      <c r="J2429" s="834"/>
      <c r="K2429" s="790" t="s">
        <v>13866</v>
      </c>
      <c r="L2429" s="780" t="s">
        <v>10854</v>
      </c>
      <c r="M2429" s="1270">
        <v>1</v>
      </c>
      <c r="N2429" s="399">
        <v>0</v>
      </c>
      <c r="O2429" s="102">
        <f t="shared" si="371"/>
        <v>0</v>
      </c>
      <c r="P2429" s="101">
        <f t="shared" si="372"/>
        <v>0</v>
      </c>
      <c r="Q2429" s="1472">
        <v>1</v>
      </c>
    </row>
    <row r="2430" spans="1:17" ht="84" customHeight="1">
      <c r="A2430" s="1482"/>
      <c r="B2430" s="1482"/>
      <c r="C2430" s="1555">
        <f t="shared" si="364"/>
        <v>3</v>
      </c>
      <c r="D2430" s="1492">
        <f t="shared" si="370"/>
        <v>11</v>
      </c>
      <c r="F2430" s="1484" t="s">
        <v>11724</v>
      </c>
      <c r="H2430" s="1095" t="s">
        <v>70</v>
      </c>
      <c r="I2430" s="780">
        <v>13393</v>
      </c>
      <c r="J2430" s="834"/>
      <c r="K2430" s="790" t="s">
        <v>13867</v>
      </c>
      <c r="L2430" s="780" t="s">
        <v>10854</v>
      </c>
      <c r="M2430" s="1270">
        <v>1</v>
      </c>
      <c r="N2430" s="399">
        <v>0</v>
      </c>
      <c r="O2430" s="102">
        <f t="shared" si="371"/>
        <v>0</v>
      </c>
      <c r="P2430" s="101">
        <f t="shared" si="372"/>
        <v>0</v>
      </c>
      <c r="Q2430" s="1472">
        <v>1</v>
      </c>
    </row>
    <row r="2431" spans="1:17" ht="22.5">
      <c r="A2431" s="1482"/>
      <c r="B2431" s="1482"/>
      <c r="C2431" s="1555">
        <f t="shared" si="364"/>
        <v>3</v>
      </c>
      <c r="D2431" s="1492">
        <f t="shared" si="370"/>
        <v>11</v>
      </c>
      <c r="F2431" s="1484" t="s">
        <v>11724</v>
      </c>
      <c r="H2431" s="1577" t="s">
        <v>11722</v>
      </c>
      <c r="I2431" s="1578" t="s">
        <v>13868</v>
      </c>
      <c r="J2431" s="1579"/>
      <c r="K2431" s="947" t="s">
        <v>13509</v>
      </c>
      <c r="L2431" s="1578" t="s">
        <v>10854</v>
      </c>
      <c r="M2431" s="1580">
        <v>3</v>
      </c>
      <c r="N2431" s="399">
        <v>0</v>
      </c>
      <c r="O2431" s="596">
        <f t="shared" si="371"/>
        <v>0</v>
      </c>
      <c r="P2431" s="597">
        <f t="shared" si="372"/>
        <v>0</v>
      </c>
      <c r="Q2431" s="1472">
        <v>3</v>
      </c>
    </row>
    <row r="2432" spans="1:17" ht="28.5" customHeight="1">
      <c r="A2432" s="1482"/>
      <c r="B2432" s="1482"/>
      <c r="C2432" s="1555">
        <f t="shared" si="364"/>
        <v>3</v>
      </c>
      <c r="D2432" s="1492">
        <f t="shared" si="370"/>
        <v>11</v>
      </c>
      <c r="F2432" s="1484" t="s">
        <v>11724</v>
      </c>
      <c r="H2432" s="1650" t="s">
        <v>20999</v>
      </c>
      <c r="I2432" s="1651"/>
      <c r="J2432" s="1651"/>
      <c r="K2432" s="1651"/>
      <c r="L2432" s="1651"/>
      <c r="M2432" s="1651"/>
      <c r="N2432" s="1651"/>
      <c r="O2432" s="1651"/>
      <c r="P2432" s="1652"/>
    </row>
    <row r="2433" spans="8:16" ht="20.25" customHeight="1">
      <c r="H2433" s="1650" t="s">
        <v>21114</v>
      </c>
      <c r="I2433" s="1651"/>
      <c r="J2433" s="1651"/>
      <c r="K2433" s="1651"/>
      <c r="L2433" s="1651"/>
      <c r="M2433" s="1651"/>
      <c r="N2433" s="1651"/>
      <c r="O2433" s="1651"/>
      <c r="P2433" s="1652"/>
    </row>
  </sheetData>
  <sheetProtection algorithmName="SHA-512" hashValue="CEmoPbl/WAeZUhgjAOH5SmZmzSYyyJCZnxjJo11IDPsGvPFq0LtYBYPJfkLfLam/HkOOmCm/giPMX0j6ctZTIQ==" saltValue="5mxKGQxx44Bauho8u9mHRQ==" spinCount="100000" sheet="1"/>
  <mergeCells count="154">
    <mergeCell ref="H1389:O1389"/>
    <mergeCell ref="I26:N26"/>
    <mergeCell ref="I9:K9"/>
    <mergeCell ref="O9:P9"/>
    <mergeCell ref="L9:N9"/>
    <mergeCell ref="H11:N11"/>
    <mergeCell ref="H2433:P2433"/>
    <mergeCell ref="H162:O162"/>
    <mergeCell ref="H184:O184"/>
    <mergeCell ref="H192:O192"/>
    <mergeCell ref="H200:O200"/>
    <mergeCell ref="H826:O826"/>
    <mergeCell ref="H842:O842"/>
    <mergeCell ref="H1075:O1075"/>
    <mergeCell ref="H222:O222"/>
    <mergeCell ref="H216:O216"/>
    <mergeCell ref="H796:O796"/>
    <mergeCell ref="H1084:O1084"/>
    <mergeCell ref="H947:O947"/>
    <mergeCell ref="H1007:O1007"/>
    <mergeCell ref="H1026:O1026"/>
    <mergeCell ref="H1058:O1058"/>
    <mergeCell ref="H953:O953"/>
    <mergeCell ref="H999:O999"/>
    <mergeCell ref="I1420:K1420"/>
    <mergeCell ref="H1136:O1136"/>
    <mergeCell ref="H1142:O1142"/>
    <mergeCell ref="H1153:O1153"/>
    <mergeCell ref="H1297:O1297"/>
    <mergeCell ref="H1199:O1199"/>
    <mergeCell ref="H1312:O1312"/>
    <mergeCell ref="H1367:O1367"/>
    <mergeCell ref="H1381:O1381"/>
    <mergeCell ref="H1274:O1274"/>
    <mergeCell ref="H1222:O1222"/>
    <mergeCell ref="H1236:O1236"/>
    <mergeCell ref="H1265:O1265"/>
    <mergeCell ref="H1289:O1289"/>
    <mergeCell ref="H1246:O1246"/>
    <mergeCell ref="H1257:O1257"/>
    <mergeCell ref="H1324:O1324"/>
    <mergeCell ref="H1337:O1337"/>
    <mergeCell ref="H1353:O1353"/>
    <mergeCell ref="H1331:O1331"/>
    <mergeCell ref="H1375:O1375"/>
    <mergeCell ref="H1318:O1318"/>
    <mergeCell ref="I1395:K1395"/>
    <mergeCell ref="H1344:O1344"/>
    <mergeCell ref="H1216:O1216"/>
    <mergeCell ref="H1182:O1182"/>
    <mergeCell ref="H904:O904"/>
    <mergeCell ref="H1066:O1066"/>
    <mergeCell ref="H870:O870"/>
    <mergeCell ref="H1163:O1163"/>
    <mergeCell ref="H1174:O1174"/>
    <mergeCell ref="H1099:O1099"/>
    <mergeCell ref="H1123:O1123"/>
    <mergeCell ref="H1107:O1107"/>
    <mergeCell ref="H960:O960"/>
    <mergeCell ref="H984:O984"/>
    <mergeCell ref="H1046:O1046"/>
    <mergeCell ref="H1039:O1039"/>
    <mergeCell ref="H966:O966"/>
    <mergeCell ref="H975:O975"/>
    <mergeCell ref="H930:O930"/>
    <mergeCell ref="H672:O672"/>
    <mergeCell ref="H787:O787"/>
    <mergeCell ref="H767:O767"/>
    <mergeCell ref="H858:O858"/>
    <mergeCell ref="H727:O727"/>
    <mergeCell ref="H228:O228"/>
    <mergeCell ref="H234:O234"/>
    <mergeCell ref="H818:O818"/>
    <mergeCell ref="H850:O850"/>
    <mergeCell ref="L5:N5"/>
    <mergeCell ref="L7:N7"/>
    <mergeCell ref="L8:N8"/>
    <mergeCell ref="I7:K7"/>
    <mergeCell ref="H695:O695"/>
    <mergeCell ref="H743:O743"/>
    <mergeCell ref="H705:O705"/>
    <mergeCell ref="H778:O778"/>
    <mergeCell ref="H678:O678"/>
    <mergeCell ref="H546:O546"/>
    <mergeCell ref="H523:O523"/>
    <mergeCell ref="H338:O338"/>
    <mergeCell ref="H240:O240"/>
    <mergeCell ref="H487:O487"/>
    <mergeCell ref="H647:O647"/>
    <mergeCell ref="H604:O604"/>
    <mergeCell ref="H310:O310"/>
    <mergeCell ref="H318:O318"/>
    <mergeCell ref="H398:O398"/>
    <mergeCell ref="H406:O406"/>
    <mergeCell ref="H588:O588"/>
    <mergeCell ref="H261:O261"/>
    <mergeCell ref="H365:O365"/>
    <mergeCell ref="H454:O454"/>
    <mergeCell ref="H349:O349"/>
    <mergeCell ref="H384:O384"/>
    <mergeCell ref="H412:O412"/>
    <mergeCell ref="H267:O267"/>
    <mergeCell ref="H287:O287"/>
    <mergeCell ref="H251:O251"/>
    <mergeCell ref="H324:O324"/>
    <mergeCell ref="H375:O375"/>
    <mergeCell ref="H2432:P2432"/>
    <mergeCell ref="I2006:K2006"/>
    <mergeCell ref="I2014:K2014"/>
    <mergeCell ref="I2107:K2107"/>
    <mergeCell ref="H442:O442"/>
    <mergeCell ref="H595:O595"/>
    <mergeCell ref="H639:O639"/>
    <mergeCell ref="H504:O504"/>
    <mergeCell ref="I1832:K1832"/>
    <mergeCell ref="H659:O659"/>
    <mergeCell ref="H625:O625"/>
    <mergeCell ref="H941:O941"/>
    <mergeCell ref="H879:O879"/>
    <mergeCell ref="H685:O685"/>
    <mergeCell ref="H581:O581"/>
    <mergeCell ref="H530:O530"/>
    <mergeCell ref="H573:O573"/>
    <mergeCell ref="H537:O537"/>
    <mergeCell ref="H515:O515"/>
    <mergeCell ref="I2394:K2394"/>
    <mergeCell ref="I1823:K1823"/>
    <mergeCell ref="I1851:K1851"/>
    <mergeCell ref="H615:O615"/>
    <mergeCell ref="H912:O912"/>
    <mergeCell ref="I1393:N1393"/>
    <mergeCell ref="I1267:N1267"/>
    <mergeCell ref="H1:P1"/>
    <mergeCell ref="I548:N548"/>
    <mergeCell ref="I617:N617"/>
    <mergeCell ref="I697:N697"/>
    <mergeCell ref="I881:N881"/>
    <mergeCell ref="I780:N780"/>
    <mergeCell ref="I977:N977"/>
    <mergeCell ref="I155:N155"/>
    <mergeCell ref="I244:N244"/>
    <mergeCell ref="I242:N242"/>
    <mergeCell ref="I377:N377"/>
    <mergeCell ref="I447:N447"/>
    <mergeCell ref="I8:K8"/>
    <mergeCell ref="I15:N15"/>
    <mergeCell ref="I17:N17"/>
    <mergeCell ref="I13:N13"/>
    <mergeCell ref="L6:N6"/>
    <mergeCell ref="H436:O436"/>
    <mergeCell ref="H888:O888"/>
    <mergeCell ref="H294:O294"/>
    <mergeCell ref="H302:O302"/>
    <mergeCell ref="H357:O357"/>
  </mergeCells>
  <conditionalFormatting sqref="O10:P10 P12 O446:P446 O1443:P1443 O1445:P1445 O660:P660 O1529:P1529 O1531:P1531 O1810:P1810 O1812:P1812 O1824:P1824 O1850:P1850 O1931:P1931 O1957:P1957 O2067:P2067 O2141:P2141 O2177:P2177 O2212:P2212 O2244:P2244 O2285:P2285 O2434:P65536">
    <cfRule type="cellIs" dxfId="2724" priority="9466" operator="equal">
      <formula>0</formula>
    </cfRule>
  </conditionalFormatting>
  <conditionalFormatting sqref="O10 O446 O1443 O1445 O660 O1529 O1531 O1810 O1812 O1824 O1850 O1931 O1957 O2067 O2141 O2177 O2212 O2244 O2285 O2434:O65536">
    <cfRule type="cellIs" dxfId="2723" priority="9464" operator="equal">
      <formula>0</formula>
    </cfRule>
  </conditionalFormatting>
  <conditionalFormatting sqref="L5:L6">
    <cfRule type="cellIs" dxfId="2722" priority="7142" operator="equal">
      <formula>0</formula>
    </cfRule>
  </conditionalFormatting>
  <conditionalFormatting sqref="O12">
    <cfRule type="cellIs" dxfId="2721" priority="6814" operator="equal">
      <formula>0</formula>
    </cfRule>
  </conditionalFormatting>
  <conditionalFormatting sqref="O7">
    <cfRule type="cellIs" dxfId="2720" priority="4289" operator="equal">
      <formula>0</formula>
    </cfRule>
  </conditionalFormatting>
  <conditionalFormatting sqref="L7:L9">
    <cfRule type="cellIs" dxfId="2719" priority="2968" operator="equal">
      <formula>0</formula>
    </cfRule>
  </conditionalFormatting>
  <conditionalFormatting sqref="O8:O9">
    <cfRule type="cellIs" dxfId="2718" priority="2967" operator="equal">
      <formula>0</formula>
    </cfRule>
  </conditionalFormatting>
  <conditionalFormatting sqref="P477 O486:P486 O488:P488 O490:P490 O503:P503 O505:P505 O507:P507 O514:P514 O516:P516 O518:P518 O524:P524 O526:P526 O529:P529 O531:P531 O533:P533 O536:P536 O547:P547">
    <cfRule type="cellIs" dxfId="2717" priority="2936" operator="equal">
      <formula>0</formula>
    </cfRule>
  </conditionalFormatting>
  <conditionalFormatting sqref="O486 O488 O490 O503 O505 O507 O514 O516 O518 O524 O526 O529 O531 O533 O536 O547">
    <cfRule type="cellIs" dxfId="2716" priority="2935" operator="equal">
      <formula>0</formula>
    </cfRule>
  </conditionalFormatting>
  <conditionalFormatting sqref="O477">
    <cfRule type="cellIs" dxfId="2715" priority="2934" operator="equal">
      <formula>0</formula>
    </cfRule>
  </conditionalFormatting>
  <conditionalFormatting sqref="J449">
    <cfRule type="cellIs" dxfId="2714" priority="2933" operator="equal">
      <formula>0</formula>
    </cfRule>
  </conditionalFormatting>
  <conditionalFormatting sqref="J456">
    <cfRule type="cellIs" dxfId="2713" priority="2932" operator="equal">
      <formula>0</formula>
    </cfRule>
  </conditionalFormatting>
  <conditionalFormatting sqref="J478">
    <cfRule type="cellIs" dxfId="2712" priority="2931" operator="equal">
      <formula>0</formula>
    </cfRule>
  </conditionalFormatting>
  <conditionalFormatting sqref="J489">
    <cfRule type="cellIs" dxfId="2711" priority="2930" operator="equal">
      <formula>0</formula>
    </cfRule>
  </conditionalFormatting>
  <conditionalFormatting sqref="J506">
    <cfRule type="cellIs" dxfId="2710" priority="2929" operator="equal">
      <formula>0</formula>
    </cfRule>
  </conditionalFormatting>
  <conditionalFormatting sqref="J517">
    <cfRule type="cellIs" dxfId="2709" priority="2928" operator="equal">
      <formula>0</formula>
    </cfRule>
  </conditionalFormatting>
  <conditionalFormatting sqref="O522:P522">
    <cfRule type="cellIs" dxfId="2708" priority="2927" operator="equal">
      <formula>0</formula>
    </cfRule>
  </conditionalFormatting>
  <conditionalFormatting sqref="O522">
    <cfRule type="cellIs" dxfId="2707" priority="2926" operator="equal">
      <formula>0</formula>
    </cfRule>
  </conditionalFormatting>
  <conditionalFormatting sqref="J525">
    <cfRule type="cellIs" dxfId="2706" priority="2924" operator="equal">
      <formula>0</formula>
    </cfRule>
  </conditionalFormatting>
  <conditionalFormatting sqref="J532">
    <cfRule type="cellIs" dxfId="2705" priority="2923" operator="equal">
      <formula>0</formula>
    </cfRule>
  </conditionalFormatting>
  <conditionalFormatting sqref="O556:P556 O558:P558 O572:P572 O584:P584 O606:P606 O608:P608 O614:P614 O616:P616">
    <cfRule type="cellIs" dxfId="2704" priority="2919" operator="equal">
      <formula>0</formula>
    </cfRule>
  </conditionalFormatting>
  <conditionalFormatting sqref="O556 O558 O572 O584 O606 O608 O614 O616">
    <cfRule type="cellIs" dxfId="2703" priority="2918" operator="equal">
      <formula>0</formula>
    </cfRule>
  </conditionalFormatting>
  <conditionalFormatting sqref="J550">
    <cfRule type="cellIs" dxfId="2702" priority="2916" operator="equal">
      <formula>0</formula>
    </cfRule>
  </conditionalFormatting>
  <conditionalFormatting sqref="J557">
    <cfRule type="cellIs" dxfId="2701" priority="2912" operator="equal">
      <formula>0</formula>
    </cfRule>
  </conditionalFormatting>
  <conditionalFormatting sqref="J583">
    <cfRule type="cellIs" dxfId="2700" priority="2911" operator="equal">
      <formula>0</formula>
    </cfRule>
  </conditionalFormatting>
  <conditionalFormatting sqref="J607">
    <cfRule type="cellIs" dxfId="2699" priority="2908" operator="equal">
      <formula>0</formula>
    </cfRule>
  </conditionalFormatting>
  <conditionalFormatting sqref="O640:P640 O642:P642 O646:P646 O648:P648 O662:P662 O673:P673 O681:P681 O686:P686 O688:P688 O694:P694">
    <cfRule type="cellIs" dxfId="2698" priority="2851" operator="equal">
      <formula>0</formula>
    </cfRule>
  </conditionalFormatting>
  <conditionalFormatting sqref="O640 O642 O646 O648 O662 O673 O681 O686 O688 O694">
    <cfRule type="cellIs" dxfId="2697" priority="2850" operator="equal">
      <formula>0</formula>
    </cfRule>
  </conditionalFormatting>
  <conditionalFormatting sqref="J619">
    <cfRule type="cellIs" dxfId="2696" priority="2848" operator="equal">
      <formula>0</formula>
    </cfRule>
  </conditionalFormatting>
  <conditionalFormatting sqref="J627">
    <cfRule type="cellIs" dxfId="2695" priority="2846" operator="equal">
      <formula>0</formula>
    </cfRule>
  </conditionalFormatting>
  <conditionalFormatting sqref="J641">
    <cfRule type="cellIs" dxfId="2694" priority="2845" operator="equal">
      <formula>0</formula>
    </cfRule>
  </conditionalFormatting>
  <conditionalFormatting sqref="J661">
    <cfRule type="cellIs" dxfId="2693" priority="2844" operator="equal">
      <formula>0</formula>
    </cfRule>
  </conditionalFormatting>
  <conditionalFormatting sqref="J680">
    <cfRule type="cellIs" dxfId="2692" priority="2843" operator="equal">
      <formula>0</formula>
    </cfRule>
  </conditionalFormatting>
  <conditionalFormatting sqref="O684:P684">
    <cfRule type="cellIs" dxfId="2691" priority="2842" operator="equal">
      <formula>0</formula>
    </cfRule>
  </conditionalFormatting>
  <conditionalFormatting sqref="O684">
    <cfRule type="cellIs" dxfId="2690" priority="2841" operator="equal">
      <formula>0</formula>
    </cfRule>
  </conditionalFormatting>
  <conditionalFormatting sqref="J687">
    <cfRule type="cellIs" dxfId="2689" priority="2839" operator="equal">
      <formula>0</formula>
    </cfRule>
  </conditionalFormatting>
  <conditionalFormatting sqref="P706 O726:P726 O728:P728 O730:P730 O734:P734 O736:P736 O738:P738 O742:P742 O744:P744 O770:P770 O779:P779 O768:P768">
    <cfRule type="cellIs" dxfId="2688" priority="2814" operator="equal">
      <formula>0</formula>
    </cfRule>
  </conditionalFormatting>
  <conditionalFormatting sqref="O726 O728 O730 O734 O736 O738 O742 O744 O770 O779 O768">
    <cfRule type="cellIs" dxfId="2687" priority="2813" operator="equal">
      <formula>0</formula>
    </cfRule>
  </conditionalFormatting>
  <conditionalFormatting sqref="O706">
    <cfRule type="cellIs" dxfId="2686" priority="2812" operator="equal">
      <formula>0</formula>
    </cfRule>
  </conditionalFormatting>
  <conditionalFormatting sqref="J699">
    <cfRule type="cellIs" dxfId="2685" priority="2811" operator="equal">
      <formula>0</formula>
    </cfRule>
  </conditionalFormatting>
  <conditionalFormatting sqref="J707">
    <cfRule type="cellIs" dxfId="2684" priority="2809" operator="equal">
      <formula>0</formula>
    </cfRule>
  </conditionalFormatting>
  <conditionalFormatting sqref="J729">
    <cfRule type="cellIs" dxfId="2683" priority="2808" operator="equal">
      <formula>0</formula>
    </cfRule>
  </conditionalFormatting>
  <conditionalFormatting sqref="J737">
    <cfRule type="cellIs" dxfId="2682" priority="2807" operator="equal">
      <formula>0</formula>
    </cfRule>
  </conditionalFormatting>
  <conditionalFormatting sqref="J769">
    <cfRule type="cellIs" dxfId="2681" priority="2806" operator="equal">
      <formula>0</formula>
    </cfRule>
  </conditionalFormatting>
  <conditionalFormatting sqref="O777:P777">
    <cfRule type="cellIs" dxfId="2680" priority="2805" operator="equal">
      <formula>0</formula>
    </cfRule>
  </conditionalFormatting>
  <conditionalFormatting sqref="O777">
    <cfRule type="cellIs" dxfId="2679" priority="2804" operator="equal">
      <formula>0</formula>
    </cfRule>
  </conditionalFormatting>
  <conditionalFormatting sqref="O817:P817 O819:P819 O821:P821 O825:P825 O827:P827 O829:P829 O841:P841 O843:P843 O845:P845 O849:P849 O851:P851 O853:P853 O857:P857 O1390:P1390">
    <cfRule type="cellIs" dxfId="2678" priority="2773" operator="equal">
      <formula>0</formula>
    </cfRule>
  </conditionalFormatting>
  <conditionalFormatting sqref="O817 O819 O821 O825 O827 O829 O841 O843 O845 O849 O851 O853 O857 O1390">
    <cfRule type="cellIs" dxfId="2677" priority="2772" operator="equal">
      <formula>0</formula>
    </cfRule>
  </conditionalFormatting>
  <conditionalFormatting sqref="J782:J783">
    <cfRule type="cellIs" dxfId="2676" priority="2770" operator="equal">
      <formula>0</formula>
    </cfRule>
  </conditionalFormatting>
  <conditionalFormatting sqref="J798">
    <cfRule type="cellIs" dxfId="2675" priority="2768" operator="equal">
      <formula>0</formula>
    </cfRule>
  </conditionalFormatting>
  <conditionalFormatting sqref="J820">
    <cfRule type="cellIs" dxfId="2674" priority="2767" operator="equal">
      <formula>0</formula>
    </cfRule>
  </conditionalFormatting>
  <conditionalFormatting sqref="J828">
    <cfRule type="cellIs" dxfId="2673" priority="2766" operator="equal">
      <formula>0</formula>
    </cfRule>
  </conditionalFormatting>
  <conditionalFormatting sqref="J844">
    <cfRule type="cellIs" dxfId="2672" priority="2762" operator="equal">
      <formula>0</formula>
    </cfRule>
  </conditionalFormatting>
  <conditionalFormatting sqref="J852">
    <cfRule type="cellIs" dxfId="2671" priority="2761" operator="equal">
      <formula>0</formula>
    </cfRule>
  </conditionalFormatting>
  <conditionalFormatting sqref="O696:P696">
    <cfRule type="cellIs" dxfId="2670" priority="2533" operator="equal">
      <formula>0</formula>
    </cfRule>
  </conditionalFormatting>
  <conditionalFormatting sqref="O696">
    <cfRule type="cellIs" dxfId="2669" priority="2532" operator="equal">
      <formula>0</formula>
    </cfRule>
  </conditionalFormatting>
  <conditionalFormatting sqref="O1959:P1959">
    <cfRule type="cellIs" dxfId="2668" priority="2439" operator="equal">
      <formula>0</formula>
    </cfRule>
  </conditionalFormatting>
  <conditionalFormatting sqref="O1959">
    <cfRule type="cellIs" dxfId="2667" priority="2438" operator="equal">
      <formula>0</formula>
    </cfRule>
  </conditionalFormatting>
  <conditionalFormatting sqref="O2020:P2020">
    <cfRule type="cellIs" dxfId="2666" priority="2427" operator="equal">
      <formula>0</formula>
    </cfRule>
  </conditionalFormatting>
  <conditionalFormatting sqref="O2020">
    <cfRule type="cellIs" dxfId="2665" priority="2426" operator="equal">
      <formula>0</formula>
    </cfRule>
  </conditionalFormatting>
  <conditionalFormatting sqref="J19">
    <cfRule type="cellIs" dxfId="2664" priority="2419" operator="equal">
      <formula>0</formula>
    </cfRule>
  </conditionalFormatting>
  <conditionalFormatting sqref="O675:P675">
    <cfRule type="cellIs" dxfId="2663" priority="2354" operator="equal">
      <formula>0</formula>
    </cfRule>
  </conditionalFormatting>
  <conditionalFormatting sqref="O675">
    <cfRule type="cellIs" dxfId="2662" priority="2353" operator="equal">
      <formula>0</formula>
    </cfRule>
  </conditionalFormatting>
  <conditionalFormatting sqref="J674">
    <cfRule type="cellIs" dxfId="2661" priority="2352" operator="equal">
      <formula>0</formula>
    </cfRule>
  </conditionalFormatting>
  <conditionalFormatting sqref="O677:P677">
    <cfRule type="cellIs" dxfId="2660" priority="2351" operator="equal">
      <formula>0</formula>
    </cfRule>
  </conditionalFormatting>
  <conditionalFormatting sqref="O677">
    <cfRule type="cellIs" dxfId="2659" priority="2350" operator="equal">
      <formula>0</formula>
    </cfRule>
  </conditionalFormatting>
  <conditionalFormatting sqref="O746:P746">
    <cfRule type="cellIs" dxfId="2658" priority="2325" operator="equal">
      <formula>0</formula>
    </cfRule>
  </conditionalFormatting>
  <conditionalFormatting sqref="O746">
    <cfRule type="cellIs" dxfId="2657" priority="2324" operator="equal">
      <formula>0</formula>
    </cfRule>
  </conditionalFormatting>
  <conditionalFormatting sqref="J745">
    <cfRule type="cellIs" dxfId="2656" priority="2323" operator="equal">
      <formula>0</formula>
    </cfRule>
  </conditionalFormatting>
  <conditionalFormatting sqref="O766:P766">
    <cfRule type="cellIs" dxfId="2655" priority="2322" operator="equal">
      <formula>0</formula>
    </cfRule>
  </conditionalFormatting>
  <conditionalFormatting sqref="O766">
    <cfRule type="cellIs" dxfId="2654" priority="2321" operator="equal">
      <formula>0</formula>
    </cfRule>
  </conditionalFormatting>
  <conditionalFormatting sqref="O540:P540 O545:P545">
    <cfRule type="cellIs" dxfId="2653" priority="2230" operator="equal">
      <formula>0</formula>
    </cfRule>
  </conditionalFormatting>
  <conditionalFormatting sqref="O540 O545">
    <cfRule type="cellIs" dxfId="2652" priority="2229" operator="equal">
      <formula>0</formula>
    </cfRule>
  </conditionalFormatting>
  <conditionalFormatting sqref="J539">
    <cfRule type="cellIs" dxfId="2651" priority="2228" operator="equal">
      <formula>0</formula>
    </cfRule>
  </conditionalFormatting>
  <conditionalFormatting sqref="O650:P650">
    <cfRule type="cellIs" dxfId="2650" priority="2181" operator="equal">
      <formula>0</formula>
    </cfRule>
  </conditionalFormatting>
  <conditionalFormatting sqref="O650">
    <cfRule type="cellIs" dxfId="2649" priority="2180" operator="equal">
      <formula>0</formula>
    </cfRule>
  </conditionalFormatting>
  <conditionalFormatting sqref="J649">
    <cfRule type="cellIs" dxfId="2648" priority="2179" operator="equal">
      <formula>0</formula>
    </cfRule>
  </conditionalFormatting>
  <conditionalFormatting sqref="O790:P790 O795:P795">
    <cfRule type="cellIs" dxfId="2647" priority="2132" operator="equal">
      <formula>0</formula>
    </cfRule>
  </conditionalFormatting>
  <conditionalFormatting sqref="O790 O795">
    <cfRule type="cellIs" dxfId="2646" priority="2131" operator="equal">
      <formula>0</formula>
    </cfRule>
  </conditionalFormatting>
  <conditionalFormatting sqref="J789">
    <cfRule type="cellIs" dxfId="2645" priority="2130" operator="equal">
      <formula>0</formula>
    </cfRule>
  </conditionalFormatting>
  <conditionalFormatting sqref="O859:P859 O861:P861 O869:P869">
    <cfRule type="cellIs" dxfId="2644" priority="2111" operator="equal">
      <formula>0</formula>
    </cfRule>
  </conditionalFormatting>
  <conditionalFormatting sqref="O859 O861 O869">
    <cfRule type="cellIs" dxfId="2643" priority="2110" operator="equal">
      <formula>0</formula>
    </cfRule>
  </conditionalFormatting>
  <conditionalFormatting sqref="J860">
    <cfRule type="cellIs" dxfId="2642" priority="2109" operator="equal">
      <formula>0</formula>
    </cfRule>
  </conditionalFormatting>
  <conditionalFormatting sqref="O873:P873">
    <cfRule type="cellIs" dxfId="2641" priority="2102" operator="equal">
      <formula>0</formula>
    </cfRule>
  </conditionalFormatting>
  <conditionalFormatting sqref="O873">
    <cfRule type="cellIs" dxfId="2640" priority="2101" operator="equal">
      <formula>0</formula>
    </cfRule>
  </conditionalFormatting>
  <conditionalFormatting sqref="J872">
    <cfRule type="cellIs" dxfId="2639" priority="2100" operator="equal">
      <formula>0</formula>
    </cfRule>
  </conditionalFormatting>
  <conditionalFormatting sqref="O903:P903 O905:P905 O907:P907 O911:P911 O913:P913 O915:P915 O929:P929 O931:P931 O933:P933 O940:P940 O942:P942 O944:P944 O946:P946">
    <cfRule type="cellIs" dxfId="2638" priority="2089" operator="equal">
      <formula>0</formula>
    </cfRule>
  </conditionalFormatting>
  <conditionalFormatting sqref="O903 O905 O907 O911 O913 O915 O929 O931 O933 O940 O942 O944 O946">
    <cfRule type="cellIs" dxfId="2637" priority="2088" operator="equal">
      <formula>0</formula>
    </cfRule>
  </conditionalFormatting>
  <conditionalFormatting sqref="J883">
    <cfRule type="cellIs" dxfId="2636" priority="2087" operator="equal">
      <formula>0</formula>
    </cfRule>
  </conditionalFormatting>
  <conditionalFormatting sqref="J890">
    <cfRule type="cellIs" dxfId="2635" priority="2086" operator="equal">
      <formula>0</formula>
    </cfRule>
  </conditionalFormatting>
  <conditionalFormatting sqref="J906">
    <cfRule type="cellIs" dxfId="2634" priority="2085" operator="equal">
      <formula>0</formula>
    </cfRule>
  </conditionalFormatting>
  <conditionalFormatting sqref="J914">
    <cfRule type="cellIs" dxfId="2633" priority="2084" operator="equal">
      <formula>0</formula>
    </cfRule>
  </conditionalFormatting>
  <conditionalFormatting sqref="J932">
    <cfRule type="cellIs" dxfId="2632" priority="2083" operator="equal">
      <formula>0</formula>
    </cfRule>
  </conditionalFormatting>
  <conditionalFormatting sqref="J943">
    <cfRule type="cellIs" dxfId="2631" priority="2082" operator="equal">
      <formula>0</formula>
    </cfRule>
  </conditionalFormatting>
  <conditionalFormatting sqref="O948:P948 O950:P950 O952:P952">
    <cfRule type="cellIs" dxfId="2630" priority="2062" operator="equal">
      <formula>0</formula>
    </cfRule>
  </conditionalFormatting>
  <conditionalFormatting sqref="O948 O950 O952">
    <cfRule type="cellIs" dxfId="2629" priority="2061" operator="equal">
      <formula>0</formula>
    </cfRule>
  </conditionalFormatting>
  <conditionalFormatting sqref="J949">
    <cfRule type="cellIs" dxfId="2628" priority="2060" operator="equal">
      <formula>0</formula>
    </cfRule>
  </conditionalFormatting>
  <conditionalFormatting sqref="O956:P956">
    <cfRule type="cellIs" dxfId="2627" priority="2053" operator="equal">
      <formula>0</formula>
    </cfRule>
  </conditionalFormatting>
  <conditionalFormatting sqref="O956">
    <cfRule type="cellIs" dxfId="2626" priority="2052" operator="equal">
      <formula>0</formula>
    </cfRule>
  </conditionalFormatting>
  <conditionalFormatting sqref="J955">
    <cfRule type="cellIs" dxfId="2625" priority="2051" operator="equal">
      <formula>0</formula>
    </cfRule>
  </conditionalFormatting>
  <conditionalFormatting sqref="O963:P963">
    <cfRule type="cellIs" dxfId="2624" priority="2014" operator="equal">
      <formula>0</formula>
    </cfRule>
  </conditionalFormatting>
  <conditionalFormatting sqref="O963">
    <cfRule type="cellIs" dxfId="2623" priority="2013" operator="equal">
      <formula>0</formula>
    </cfRule>
  </conditionalFormatting>
  <conditionalFormatting sqref="J962">
    <cfRule type="cellIs" dxfId="2622" priority="2012" operator="equal">
      <formula>0</formula>
    </cfRule>
  </conditionalFormatting>
  <conditionalFormatting sqref="O969:P969">
    <cfRule type="cellIs" dxfId="2621" priority="2001" operator="equal">
      <formula>0</formula>
    </cfRule>
  </conditionalFormatting>
  <conditionalFormatting sqref="O969">
    <cfRule type="cellIs" dxfId="2620" priority="2000" operator="equal">
      <formula>0</formula>
    </cfRule>
  </conditionalFormatting>
  <conditionalFormatting sqref="J968">
    <cfRule type="cellIs" dxfId="2619" priority="1999" operator="equal">
      <formula>0</formula>
    </cfRule>
  </conditionalFormatting>
  <conditionalFormatting sqref="O998:P998 O1000:P1000 O1002:P1002 O1006:P1006 O1008:P1008 O1010:P1010 O1025:P1025 O1027:P1027 O1029:P1029 O1038:P1038 O1040:P1040 O1042:P1042 O1045:P1045">
    <cfRule type="cellIs" dxfId="2618" priority="1986" operator="equal">
      <formula>0</formula>
    </cfRule>
  </conditionalFormatting>
  <conditionalFormatting sqref="O998 O1000 O1002 O1006 O1008 O1010 O1025 O1027 O1029 O1038 O1040 O1042 O1045">
    <cfRule type="cellIs" dxfId="2617" priority="1985" operator="equal">
      <formula>0</formula>
    </cfRule>
  </conditionalFormatting>
  <conditionalFormatting sqref="J979">
    <cfRule type="cellIs" dxfId="2616" priority="1984" operator="equal">
      <formula>0</formula>
    </cfRule>
  </conditionalFormatting>
  <conditionalFormatting sqref="J986">
    <cfRule type="cellIs" dxfId="2615" priority="1983" operator="equal">
      <formula>0</formula>
    </cfRule>
  </conditionalFormatting>
  <conditionalFormatting sqref="J1001">
    <cfRule type="cellIs" dxfId="2614" priority="1982" operator="equal">
      <formula>0</formula>
    </cfRule>
  </conditionalFormatting>
  <conditionalFormatting sqref="J1009">
    <cfRule type="cellIs" dxfId="2613" priority="1981" operator="equal">
      <formula>0</formula>
    </cfRule>
  </conditionalFormatting>
  <conditionalFormatting sqref="J1028">
    <cfRule type="cellIs" dxfId="2612" priority="1980" operator="equal">
      <formula>0</formula>
    </cfRule>
  </conditionalFormatting>
  <conditionalFormatting sqref="J1041">
    <cfRule type="cellIs" dxfId="2611" priority="1979" operator="equal">
      <formula>0</formula>
    </cfRule>
  </conditionalFormatting>
  <conditionalFormatting sqref="O1047:P1047 O1049:P1049 O1057:P1057">
    <cfRule type="cellIs" dxfId="2610" priority="1976" operator="equal">
      <formula>0</formula>
    </cfRule>
  </conditionalFormatting>
  <conditionalFormatting sqref="O1047 O1049 O1057">
    <cfRule type="cellIs" dxfId="2609" priority="1975" operator="equal">
      <formula>0</formula>
    </cfRule>
  </conditionalFormatting>
  <conditionalFormatting sqref="J1048">
    <cfRule type="cellIs" dxfId="2608" priority="1974" operator="equal">
      <formula>0</formula>
    </cfRule>
  </conditionalFormatting>
  <conditionalFormatting sqref="O1061:P1061">
    <cfRule type="cellIs" dxfId="2607" priority="1971" operator="equal">
      <formula>0</formula>
    </cfRule>
  </conditionalFormatting>
  <conditionalFormatting sqref="O1061">
    <cfRule type="cellIs" dxfId="2606" priority="1970" operator="equal">
      <formula>0</formula>
    </cfRule>
  </conditionalFormatting>
  <conditionalFormatting sqref="J1060">
    <cfRule type="cellIs" dxfId="2605" priority="1969" operator="equal">
      <formula>0</formula>
    </cfRule>
  </conditionalFormatting>
  <conditionalFormatting sqref="O1069:P1069">
    <cfRule type="cellIs" dxfId="2604" priority="1942" operator="equal">
      <formula>0</formula>
    </cfRule>
  </conditionalFormatting>
  <conditionalFormatting sqref="O1069">
    <cfRule type="cellIs" dxfId="2603" priority="1941" operator="equal">
      <formula>0</formula>
    </cfRule>
  </conditionalFormatting>
  <conditionalFormatting sqref="J1068">
    <cfRule type="cellIs" dxfId="2602" priority="1940" operator="equal">
      <formula>0</formula>
    </cfRule>
  </conditionalFormatting>
  <conditionalFormatting sqref="O1098:P1098 O1100:P1100 O1102:P1102 O1106:P1106 O1108:P1108 O1122:P1122 O1124:P1124 O1126:P1126 O1135:P1135 O1137:P1137 O1139:P1139 O1141:P1141">
    <cfRule type="cellIs" dxfId="2601" priority="1888" operator="equal">
      <formula>0</formula>
    </cfRule>
  </conditionalFormatting>
  <conditionalFormatting sqref="O1098 O1100 O1102 O1106 O1108 O1122 O1124 O1126 O1135 O1137 O1139 O1141">
    <cfRule type="cellIs" dxfId="2600" priority="1887" operator="equal">
      <formula>0</formula>
    </cfRule>
  </conditionalFormatting>
  <conditionalFormatting sqref="J1079">
    <cfRule type="cellIs" dxfId="2599" priority="1886" operator="equal">
      <formula>0</formula>
    </cfRule>
  </conditionalFormatting>
  <conditionalFormatting sqref="J1086">
    <cfRule type="cellIs" dxfId="2598" priority="1885" operator="equal">
      <formula>0</formula>
    </cfRule>
  </conditionalFormatting>
  <conditionalFormatting sqref="J1101">
    <cfRule type="cellIs" dxfId="2597" priority="1884" operator="equal">
      <formula>0</formula>
    </cfRule>
  </conditionalFormatting>
  <conditionalFormatting sqref="J1109:J1110">
    <cfRule type="cellIs" dxfId="2596" priority="1883" operator="equal">
      <formula>0</formula>
    </cfRule>
  </conditionalFormatting>
  <conditionalFormatting sqref="J1125">
    <cfRule type="cellIs" dxfId="2595" priority="1882" operator="equal">
      <formula>0</formula>
    </cfRule>
  </conditionalFormatting>
  <conditionalFormatting sqref="J1138">
    <cfRule type="cellIs" dxfId="2594" priority="1881" operator="equal">
      <formula>0</formula>
    </cfRule>
  </conditionalFormatting>
  <conditionalFormatting sqref="O1143:P1143 O1145:P1145 O1152:P1152">
    <cfRule type="cellIs" dxfId="2593" priority="1878" operator="equal">
      <formula>0</formula>
    </cfRule>
  </conditionalFormatting>
  <conditionalFormatting sqref="O1143 O1145 O1152">
    <cfRule type="cellIs" dxfId="2592" priority="1877" operator="equal">
      <formula>0</formula>
    </cfRule>
  </conditionalFormatting>
  <conditionalFormatting sqref="J1144">
    <cfRule type="cellIs" dxfId="2591" priority="1876" operator="equal">
      <formula>0</formula>
    </cfRule>
  </conditionalFormatting>
  <conditionalFormatting sqref="O1156:P1156">
    <cfRule type="cellIs" dxfId="2590" priority="1873" operator="equal">
      <formula>0</formula>
    </cfRule>
  </conditionalFormatting>
  <conditionalFormatting sqref="O1156">
    <cfRule type="cellIs" dxfId="2589" priority="1872" operator="equal">
      <formula>0</formula>
    </cfRule>
  </conditionalFormatting>
  <conditionalFormatting sqref="J1155">
    <cfRule type="cellIs" dxfId="2588" priority="1871" operator="equal">
      <formula>0</formula>
    </cfRule>
  </conditionalFormatting>
  <conditionalFormatting sqref="O1166:P1166">
    <cfRule type="cellIs" dxfId="2587" priority="1862" operator="equal">
      <formula>0</formula>
    </cfRule>
  </conditionalFormatting>
  <conditionalFormatting sqref="O1166">
    <cfRule type="cellIs" dxfId="2586" priority="1861" operator="equal">
      <formula>0</formula>
    </cfRule>
  </conditionalFormatting>
  <conditionalFormatting sqref="J1165">
    <cfRule type="cellIs" dxfId="2585" priority="1860" operator="equal">
      <formula>0</formula>
    </cfRule>
  </conditionalFormatting>
  <conditionalFormatting sqref="O1177:P1177">
    <cfRule type="cellIs" dxfId="2584" priority="1807" operator="equal">
      <formula>0</formula>
    </cfRule>
  </conditionalFormatting>
  <conditionalFormatting sqref="O1177">
    <cfRule type="cellIs" dxfId="2583" priority="1806" operator="equal">
      <formula>0</formula>
    </cfRule>
  </conditionalFormatting>
  <conditionalFormatting sqref="J1176">
    <cfRule type="cellIs" dxfId="2582" priority="1805" operator="equal">
      <formula>0</formula>
    </cfRule>
  </conditionalFormatting>
  <conditionalFormatting sqref="O1187:P1187 O1198:P1198 O1200:P1200 O1202:P1202 O1215:P1215 O1217:P1217 O1219:P1219 O1221:P1221">
    <cfRule type="cellIs" dxfId="2581" priority="1786" operator="equal">
      <formula>0</formula>
    </cfRule>
  </conditionalFormatting>
  <conditionalFormatting sqref="O1187 O1198 O1200 O1202 O1215 O1217 O1219 O1221">
    <cfRule type="cellIs" dxfId="2580" priority="1785" operator="equal">
      <formula>0</formula>
    </cfRule>
  </conditionalFormatting>
  <conditionalFormatting sqref="J1186">
    <cfRule type="cellIs" dxfId="2579" priority="1781" operator="equal">
      <formula>0</formula>
    </cfRule>
  </conditionalFormatting>
  <conditionalFormatting sqref="J1201">
    <cfRule type="cellIs" dxfId="2578" priority="1780" operator="equal">
      <formula>0</formula>
    </cfRule>
  </conditionalFormatting>
  <conditionalFormatting sqref="J1218">
    <cfRule type="cellIs" dxfId="2577" priority="1779" operator="equal">
      <formula>0</formula>
    </cfRule>
  </conditionalFormatting>
  <conditionalFormatting sqref="O1223:P1223 O1225:P1225 O1235:P1235">
    <cfRule type="cellIs" dxfId="2576" priority="1776" operator="equal">
      <formula>0</formula>
    </cfRule>
  </conditionalFormatting>
  <conditionalFormatting sqref="O1223 O1225 O1235">
    <cfRule type="cellIs" dxfId="2575" priority="1775" operator="equal">
      <formula>0</formula>
    </cfRule>
  </conditionalFormatting>
  <conditionalFormatting sqref="J1224">
    <cfRule type="cellIs" dxfId="2574" priority="1774" operator="equal">
      <formula>0</formula>
    </cfRule>
  </conditionalFormatting>
  <conditionalFormatting sqref="O1239:P1239">
    <cfRule type="cellIs" dxfId="2573" priority="1771" operator="equal">
      <formula>0</formula>
    </cfRule>
  </conditionalFormatting>
  <conditionalFormatting sqref="O1239">
    <cfRule type="cellIs" dxfId="2572" priority="1770" operator="equal">
      <formula>0</formula>
    </cfRule>
  </conditionalFormatting>
  <conditionalFormatting sqref="J1238">
    <cfRule type="cellIs" dxfId="2571" priority="1769" operator="equal">
      <formula>0</formula>
    </cfRule>
  </conditionalFormatting>
  <conditionalFormatting sqref="O1249:P1249">
    <cfRule type="cellIs" dxfId="2570" priority="1762" operator="equal">
      <formula>0</formula>
    </cfRule>
  </conditionalFormatting>
  <conditionalFormatting sqref="O1249">
    <cfRule type="cellIs" dxfId="2569" priority="1761" operator="equal">
      <formula>0</formula>
    </cfRule>
  </conditionalFormatting>
  <conditionalFormatting sqref="J1248">
    <cfRule type="cellIs" dxfId="2568" priority="1760" operator="equal">
      <formula>0</formula>
    </cfRule>
  </conditionalFormatting>
  <conditionalFormatting sqref="O1260:P1260">
    <cfRule type="cellIs" dxfId="2567" priority="1733" operator="equal">
      <formula>0</formula>
    </cfRule>
  </conditionalFormatting>
  <conditionalFormatting sqref="O1260">
    <cfRule type="cellIs" dxfId="2566" priority="1732" operator="equal">
      <formula>0</formula>
    </cfRule>
  </conditionalFormatting>
  <conditionalFormatting sqref="J1259">
    <cfRule type="cellIs" dxfId="2565" priority="1731" operator="equal">
      <formula>0</formula>
    </cfRule>
  </conditionalFormatting>
  <conditionalFormatting sqref="O1300:P1300 O1311:P1311 O1313:P1313 O1315:P1315 O1317:P1317 O1319:P1319 O1321:P1321 O1323:P1323">
    <cfRule type="cellIs" dxfId="2564" priority="1690" operator="equal">
      <formula>0</formula>
    </cfRule>
  </conditionalFormatting>
  <conditionalFormatting sqref="O1300 O1311 O1313 O1315 O1317 O1319 O1321 O1323">
    <cfRule type="cellIs" dxfId="2563" priority="1689" operator="equal">
      <formula>0</formula>
    </cfRule>
  </conditionalFormatting>
  <conditionalFormatting sqref="J1299">
    <cfRule type="cellIs" dxfId="2562" priority="1688" operator="equal">
      <formula>0</formula>
    </cfRule>
  </conditionalFormatting>
  <conditionalFormatting sqref="J1314">
    <cfRule type="cellIs" dxfId="2561" priority="1687" operator="equal">
      <formula>0</formula>
    </cfRule>
  </conditionalFormatting>
  <conditionalFormatting sqref="J1320">
    <cfRule type="cellIs" dxfId="2560" priority="1686" operator="equal">
      <formula>0</formula>
    </cfRule>
  </conditionalFormatting>
  <conditionalFormatting sqref="O1332:P1332 O1334:P1334 O1336:P1336">
    <cfRule type="cellIs" dxfId="2559" priority="1683" operator="equal">
      <formula>0</formula>
    </cfRule>
  </conditionalFormatting>
  <conditionalFormatting sqref="O1332 O1334 O1336">
    <cfRule type="cellIs" dxfId="2558" priority="1682" operator="equal">
      <formula>0</formula>
    </cfRule>
  </conditionalFormatting>
  <conditionalFormatting sqref="J1333">
    <cfRule type="cellIs" dxfId="2557" priority="1681" operator="equal">
      <formula>0</formula>
    </cfRule>
  </conditionalFormatting>
  <conditionalFormatting sqref="O1340:P1340">
    <cfRule type="cellIs" dxfId="2556" priority="1678" operator="equal">
      <formula>0</formula>
    </cfRule>
  </conditionalFormatting>
  <conditionalFormatting sqref="O1340">
    <cfRule type="cellIs" dxfId="2555" priority="1677" operator="equal">
      <formula>0</formula>
    </cfRule>
  </conditionalFormatting>
  <conditionalFormatting sqref="J1339">
    <cfRule type="cellIs" dxfId="2554" priority="1676" operator="equal">
      <formula>0</formula>
    </cfRule>
  </conditionalFormatting>
  <conditionalFormatting sqref="O1288:P1288 O1290:P1290 O1292:P1292 O1296:P1296">
    <cfRule type="cellIs" dxfId="2553" priority="1631" operator="equal">
      <formula>0</formula>
    </cfRule>
  </conditionalFormatting>
  <conditionalFormatting sqref="O1288 O1290 O1292 O1296">
    <cfRule type="cellIs" dxfId="2552" priority="1630" operator="equal">
      <formula>0</formula>
    </cfRule>
  </conditionalFormatting>
  <conditionalFormatting sqref="J1269">
    <cfRule type="cellIs" dxfId="2551" priority="1629" operator="equal">
      <formula>0</formula>
    </cfRule>
  </conditionalFormatting>
  <conditionalFormatting sqref="J1276">
    <cfRule type="cellIs" dxfId="2550" priority="1628" operator="equal">
      <formula>0</formula>
    </cfRule>
  </conditionalFormatting>
  <conditionalFormatting sqref="J1291">
    <cfRule type="cellIs" dxfId="2549" priority="1627" operator="equal">
      <formula>0</formula>
    </cfRule>
  </conditionalFormatting>
  <conditionalFormatting sqref="O1378:P1378 O1380:P1380 O1382:P1382 O1384:P1384 O1388:P1388">
    <cfRule type="cellIs" dxfId="2548" priority="1590" operator="equal">
      <formula>0</formula>
    </cfRule>
  </conditionalFormatting>
  <conditionalFormatting sqref="O1378 O1380 O1382 O1384 O1388">
    <cfRule type="cellIs" dxfId="2547" priority="1589" operator="equal">
      <formula>0</formula>
    </cfRule>
  </conditionalFormatting>
  <conditionalFormatting sqref="J1377">
    <cfRule type="cellIs" dxfId="2546" priority="1588" operator="equal">
      <formula>0</formula>
    </cfRule>
  </conditionalFormatting>
  <conditionalFormatting sqref="J1383">
    <cfRule type="cellIs" dxfId="2545" priority="1587" operator="equal">
      <formula>0</formula>
    </cfRule>
  </conditionalFormatting>
  <conditionalFormatting sqref="O1366:P1366 O1368:P1368 O1370:P1370">
    <cfRule type="cellIs" dxfId="2544" priority="1569" operator="equal">
      <formula>0</formula>
    </cfRule>
  </conditionalFormatting>
  <conditionalFormatting sqref="O1366 O1368 O1370">
    <cfRule type="cellIs" dxfId="2543" priority="1568" operator="equal">
      <formula>0</formula>
    </cfRule>
  </conditionalFormatting>
  <conditionalFormatting sqref="J1348">
    <cfRule type="cellIs" dxfId="2542" priority="1567" operator="equal">
      <formula>0</formula>
    </cfRule>
  </conditionalFormatting>
  <conditionalFormatting sqref="J1355">
    <cfRule type="cellIs" dxfId="2541" priority="1566" operator="equal">
      <formula>0</formula>
    </cfRule>
  </conditionalFormatting>
  <conditionalFormatting sqref="J1369">
    <cfRule type="cellIs" dxfId="2540" priority="1565" operator="equal">
      <formula>0</formula>
    </cfRule>
  </conditionalFormatting>
  <conditionalFormatting sqref="N1850 N1931 N1810 N1812 N1824 N1896 N1986 N1993 N2018:N2020 N2141 N2177 N2212 N2244 N2285 N444 N1443:N1445 N614 N542:N545 N606:N608 N623:N624 N785:N786 N878 N1957:N1959 N1531 N611:N612 N1786 N1529 N1755 N1822 N1984 N2067 N1961 N2022 N114:N115 N147:N151 N18:N20 N55:N71 N102 N122:N125 N314:N316 N446 N694 N1122 N23:N25 M1394:N1394 N1416:N1417 M2:N4 M1395:M2431 M583:N587 M2434:N65536 M10:N10 M12:N12 M16:N16 M18:M25 M14:N14 M27:M154 M156:M161 M163:M183 M185:M191 M193:M199 M201:M215 M217:M221 M223:M227 M229:M233 M241 M235:M239 M245:M250 M243 M288:M293 M295:M301 M268:M286 M262:M266 M252:M260 M319:M323 M311:M317 M303:M309 M385:M397 M378:M383 M376 M366:M374 M358:M364 M350:M356 M325:M337 M339:M348 M448:N453 M443:M446 M437:M441 M413:M435 M407:M411 M399:M405 M574:N574 M547:N547 M538:M545 N538:N540 M531:N536 M524:N529 M596:M603 N589 M589:M594 M605:M614 M616:N616 N618:N621 M618:M624 M728:N742 M698:N704 M696:N696 M686:M694 N686:N692 M679:N684 M673:N677 M660:M671 M648:M658 M640:N646 M768:N777 M967:M974 N967:N972 M961:N965 M954:N959 M948:N952 M942:N946 M905:N911 M882:N887 M880:N880 M871:M878 N871:N876 M851:N857 M843:N849 M819:N825 M788:N795 M781:M786 N781:N783 M779:N779 M1175:M1181 M1137:N1141 M1108:M1122 M1100:N1106 M1076:N1083 M1059:N1065 M1040:N1045 M1000:N1006 M978:N983 M976:N976 M1390:N1392 M1382:N1388 M1376:N1380 M1368:N1374 M1345:N1352 M1338:M1343 N1338:N1341 M1332:N1336 M1325:M1330 N1325 M1319:N1323 M1313:N1317 M1290:N1296 M1268:N1273 M1266:N1266 M1217:N1221 N205:N214 N271:N285 N417:N427 M455:N486 M488:N503 M505:N514 M516:N522 M549:N572 M626:N638 N648:N657 N660:N670 M706:N726 M744:N766 M797:N817 M827:N841 M859:N869 M889:N903 M913:N929 M931:N940 M985:N998 M1008:N1025 M1027:N1038 M1047:N1057 M1067:N1074 M1085:N1098 N1108:N1117 M1124:N1135 M1143:N1152 M1154:N1162 M1164:N1173 N1175:N1180 M1183:N1198 M1200:N1215 M1223:N1235 M1237:N1245 M1247:N1256 M1258:N1264 M1275:N1288 M1298:N1311 M1354:N1366">
    <cfRule type="cellIs" dxfId="2539" priority="1532" stopIfTrue="1" operator="equal">
      <formula>0</formula>
    </cfRule>
  </conditionalFormatting>
  <conditionalFormatting sqref="N1530">
    <cfRule type="cellIs" dxfId="2538" priority="1531" stopIfTrue="1" operator="equal">
      <formula>0</formula>
    </cfRule>
  </conditionalFormatting>
  <conditionalFormatting sqref="O1788:P1788">
    <cfRule type="cellIs" dxfId="2537" priority="1529" operator="equal">
      <formula>0</formula>
    </cfRule>
  </conditionalFormatting>
  <conditionalFormatting sqref="O1788">
    <cfRule type="cellIs" dxfId="2536" priority="1528" operator="equal">
      <formula>0</formula>
    </cfRule>
  </conditionalFormatting>
  <conditionalFormatting sqref="N1788">
    <cfRule type="cellIs" dxfId="2535" priority="1525" stopIfTrue="1" operator="equal">
      <formula>0</formula>
    </cfRule>
  </conditionalFormatting>
  <conditionalFormatting sqref="N1787">
    <cfRule type="cellIs" dxfId="2534" priority="1524" stopIfTrue="1" operator="equal">
      <formula>0</formula>
    </cfRule>
  </conditionalFormatting>
  <conditionalFormatting sqref="N1811">
    <cfRule type="cellIs" dxfId="2533" priority="1521" stopIfTrue="1" operator="equal">
      <formula>0</formula>
    </cfRule>
  </conditionalFormatting>
  <conditionalFormatting sqref="N1823">
    <cfRule type="cellIs" dxfId="2532" priority="1519" stopIfTrue="1" operator="equal">
      <formula>0</formula>
    </cfRule>
  </conditionalFormatting>
  <conditionalFormatting sqref="N1831">
    <cfRule type="cellIs" dxfId="2531" priority="1517" stopIfTrue="1" operator="equal">
      <formula>0</formula>
    </cfRule>
  </conditionalFormatting>
  <conditionalFormatting sqref="O1833:P1833">
    <cfRule type="cellIs" dxfId="2530" priority="1507" operator="equal">
      <formula>0</formula>
    </cfRule>
  </conditionalFormatting>
  <conditionalFormatting sqref="O1833">
    <cfRule type="cellIs" dxfId="2529" priority="1506" operator="equal">
      <formula>0</formula>
    </cfRule>
  </conditionalFormatting>
  <conditionalFormatting sqref="N1833">
    <cfRule type="cellIs" dxfId="2528" priority="1503" stopIfTrue="1" operator="equal">
      <formula>0</formula>
    </cfRule>
  </conditionalFormatting>
  <conditionalFormatting sqref="O1852:P1852">
    <cfRule type="cellIs" dxfId="2527" priority="1481" operator="equal">
      <formula>0</formula>
    </cfRule>
  </conditionalFormatting>
  <conditionalFormatting sqref="O1852">
    <cfRule type="cellIs" dxfId="2526" priority="1480" operator="equal">
      <formula>0</formula>
    </cfRule>
  </conditionalFormatting>
  <conditionalFormatting sqref="N1852">
    <cfRule type="cellIs" dxfId="2525" priority="1477" stopIfTrue="1" operator="equal">
      <formula>0</formula>
    </cfRule>
  </conditionalFormatting>
  <conditionalFormatting sqref="O1898:P1898">
    <cfRule type="cellIs" dxfId="2524" priority="1472" operator="equal">
      <formula>0</formula>
    </cfRule>
  </conditionalFormatting>
  <conditionalFormatting sqref="O1898">
    <cfRule type="cellIs" dxfId="2523" priority="1471" operator="equal">
      <formula>0</formula>
    </cfRule>
  </conditionalFormatting>
  <conditionalFormatting sqref="N1898">
    <cfRule type="cellIs" dxfId="2522" priority="1468" stopIfTrue="1" operator="equal">
      <formula>0</formula>
    </cfRule>
  </conditionalFormatting>
  <conditionalFormatting sqref="O1933:P1933">
    <cfRule type="cellIs" dxfId="2521" priority="1462" operator="equal">
      <formula>0</formula>
    </cfRule>
  </conditionalFormatting>
  <conditionalFormatting sqref="O1933">
    <cfRule type="cellIs" dxfId="2520" priority="1461" operator="equal">
      <formula>0</formula>
    </cfRule>
  </conditionalFormatting>
  <conditionalFormatting sqref="N1933">
    <cfRule type="cellIs" dxfId="2519" priority="1458" stopIfTrue="1" operator="equal">
      <formula>0</formula>
    </cfRule>
  </conditionalFormatting>
  <conditionalFormatting sqref="N1953">
    <cfRule type="cellIs" dxfId="2518" priority="1454" stopIfTrue="1" operator="equal">
      <formula>0</formula>
    </cfRule>
  </conditionalFormatting>
  <conditionalFormatting sqref="O1955:P1955">
    <cfRule type="cellIs" dxfId="2517" priority="1453" operator="equal">
      <formula>0</formula>
    </cfRule>
  </conditionalFormatting>
  <conditionalFormatting sqref="O1955">
    <cfRule type="cellIs" dxfId="2516" priority="1452" operator="equal">
      <formula>0</formula>
    </cfRule>
  </conditionalFormatting>
  <conditionalFormatting sqref="N1955">
    <cfRule type="cellIs" dxfId="2515" priority="1449" stopIfTrue="1" operator="equal">
      <formula>0</formula>
    </cfRule>
  </conditionalFormatting>
  <conditionalFormatting sqref="N1995">
    <cfRule type="cellIs" dxfId="2514" priority="1407" stopIfTrue="1" operator="equal">
      <formula>0</formula>
    </cfRule>
  </conditionalFormatting>
  <conditionalFormatting sqref="N1999">
    <cfRule type="cellIs" dxfId="2513" priority="1404" stopIfTrue="1" operator="equal">
      <formula>0</formula>
    </cfRule>
  </conditionalFormatting>
  <conditionalFormatting sqref="N2015">
    <cfRule type="cellIs" dxfId="2512" priority="1366" stopIfTrue="1" operator="equal">
      <formula>0</formula>
    </cfRule>
  </conditionalFormatting>
  <conditionalFormatting sqref="N2001">
    <cfRule type="cellIs" dxfId="2511" priority="1388" stopIfTrue="1" operator="equal">
      <formula>0</formula>
    </cfRule>
  </conditionalFormatting>
  <conditionalFormatting sqref="N2005">
    <cfRule type="cellIs" dxfId="2510" priority="1383" stopIfTrue="1" operator="equal">
      <formula>0</formula>
    </cfRule>
  </conditionalFormatting>
  <conditionalFormatting sqref="N2007">
    <cfRule type="cellIs" dxfId="2509" priority="1378" stopIfTrue="1" operator="equal">
      <formula>0</formula>
    </cfRule>
  </conditionalFormatting>
  <conditionalFormatting sqref="N2013">
    <cfRule type="cellIs" dxfId="2508" priority="1371" stopIfTrue="1" operator="equal">
      <formula>0</formula>
    </cfRule>
  </conditionalFormatting>
  <conditionalFormatting sqref="N2069">
    <cfRule type="cellIs" dxfId="2507" priority="1357" stopIfTrue="1" operator="equal">
      <formula>0</formula>
    </cfRule>
  </conditionalFormatting>
  <conditionalFormatting sqref="N2106">
    <cfRule type="cellIs" dxfId="2506" priority="1350" stopIfTrue="1" operator="equal">
      <formula>0</formula>
    </cfRule>
  </conditionalFormatting>
  <conditionalFormatting sqref="N2108">
    <cfRule type="cellIs" dxfId="2505" priority="1347" stopIfTrue="1" operator="equal">
      <formula>0</formula>
    </cfRule>
  </conditionalFormatting>
  <conditionalFormatting sqref="N2142">
    <cfRule type="cellIs" dxfId="2504" priority="1339" stopIfTrue="1" operator="equal">
      <formula>0</formula>
    </cfRule>
  </conditionalFormatting>
  <conditionalFormatting sqref="N2144">
    <cfRule type="cellIs" dxfId="2503" priority="1336" stopIfTrue="1" operator="equal">
      <formula>0</formula>
    </cfRule>
  </conditionalFormatting>
  <conditionalFormatting sqref="N2179">
    <cfRule type="cellIs" dxfId="2502" priority="1323" stopIfTrue="1" operator="equal">
      <formula>0</formula>
    </cfRule>
  </conditionalFormatting>
  <conditionalFormatting sqref="N2214">
    <cfRule type="cellIs" dxfId="2501" priority="1308" stopIfTrue="1" operator="equal">
      <formula>0</formula>
    </cfRule>
  </conditionalFormatting>
  <conditionalFormatting sqref="N2246">
    <cfRule type="cellIs" dxfId="2500" priority="1298" stopIfTrue="1" operator="equal">
      <formula>0</formula>
    </cfRule>
  </conditionalFormatting>
  <conditionalFormatting sqref="N2287">
    <cfRule type="cellIs" dxfId="2499" priority="1288" stopIfTrue="1" operator="equal">
      <formula>0</formula>
    </cfRule>
  </conditionalFormatting>
  <conditionalFormatting sqref="N2333">
    <cfRule type="cellIs" dxfId="2498" priority="1283" stopIfTrue="1" operator="equal">
      <formula>0</formula>
    </cfRule>
  </conditionalFormatting>
  <conditionalFormatting sqref="N2335">
    <cfRule type="cellIs" dxfId="2497" priority="1276" stopIfTrue="1" operator="equal">
      <formula>0</formula>
    </cfRule>
  </conditionalFormatting>
  <conditionalFormatting sqref="N2368">
    <cfRule type="cellIs" dxfId="2496" priority="1271" stopIfTrue="1" operator="equal">
      <formula>0</formula>
    </cfRule>
  </conditionalFormatting>
  <conditionalFormatting sqref="N2370">
    <cfRule type="cellIs" dxfId="2495" priority="1261" stopIfTrue="1" operator="equal">
      <formula>0</formula>
    </cfRule>
  </conditionalFormatting>
  <conditionalFormatting sqref="N2393">
    <cfRule type="cellIs" dxfId="2494" priority="1256" stopIfTrue="1" operator="equal">
      <formula>0</formula>
    </cfRule>
  </conditionalFormatting>
  <conditionalFormatting sqref="N2395">
    <cfRule type="cellIs" dxfId="2493" priority="1251" stopIfTrue="1" operator="equal">
      <formula>0</formula>
    </cfRule>
  </conditionalFormatting>
  <conditionalFormatting sqref="N445">
    <cfRule type="cellIs" dxfId="2492" priority="1243" stopIfTrue="1" operator="equal">
      <formula>0</formula>
    </cfRule>
  </conditionalFormatting>
  <conditionalFormatting sqref="N1442">
    <cfRule type="cellIs" dxfId="2491" priority="1016" stopIfTrue="1" operator="equal">
      <formula>0</formula>
    </cfRule>
  </conditionalFormatting>
  <conditionalFormatting sqref="O414:P414">
    <cfRule type="cellIs" dxfId="2490" priority="995" operator="equal">
      <formula>0</formula>
    </cfRule>
  </conditionalFormatting>
  <conditionalFormatting sqref="O414">
    <cfRule type="cellIs" dxfId="2489" priority="994" operator="equal">
      <formula>0</formula>
    </cfRule>
  </conditionalFormatting>
  <conditionalFormatting sqref="P268 O288:P288 O297:P297 O301:P301 O303:P303 O305:P305 O309:P309 O311:P311 O313:P313 O319:P319 O321:P321 O323:P323 O325:P325 O327:P327 O295:P295">
    <cfRule type="cellIs" dxfId="2488" priority="993" operator="equal">
      <formula>0</formula>
    </cfRule>
  </conditionalFormatting>
  <conditionalFormatting sqref="O288 O297 O301 O303 O305 O309 O311 O313 O319 O321 O323 O325 O327 O295">
    <cfRule type="cellIs" dxfId="2487" priority="992" operator="equal">
      <formula>0</formula>
    </cfRule>
  </conditionalFormatting>
  <conditionalFormatting sqref="O268">
    <cfRule type="cellIs" dxfId="2486" priority="991" operator="equal">
      <formula>0</formula>
    </cfRule>
  </conditionalFormatting>
  <conditionalFormatting sqref="J246">
    <cfRule type="cellIs" dxfId="2485" priority="990" operator="equal">
      <formula>0</formula>
    </cfRule>
  </conditionalFormatting>
  <conditionalFormatting sqref="J253">
    <cfRule type="cellIs" dxfId="2484" priority="989" operator="equal">
      <formula>0</formula>
    </cfRule>
  </conditionalFormatting>
  <conditionalFormatting sqref="J269">
    <cfRule type="cellIs" dxfId="2483" priority="988" operator="equal">
      <formula>0</formula>
    </cfRule>
  </conditionalFormatting>
  <conditionalFormatting sqref="J296">
    <cfRule type="cellIs" dxfId="2482" priority="987" operator="equal">
      <formula>0</formula>
    </cfRule>
  </conditionalFormatting>
  <conditionalFormatting sqref="J304">
    <cfRule type="cellIs" dxfId="2481" priority="986" operator="equal">
      <formula>0</formula>
    </cfRule>
  </conditionalFormatting>
  <conditionalFormatting sqref="J312">
    <cfRule type="cellIs" dxfId="2480" priority="985" operator="equal">
      <formula>0</formula>
    </cfRule>
  </conditionalFormatting>
  <conditionalFormatting sqref="O317:P317">
    <cfRule type="cellIs" dxfId="2479" priority="984" operator="equal">
      <formula>0</formula>
    </cfRule>
  </conditionalFormatting>
  <conditionalFormatting sqref="O317">
    <cfRule type="cellIs" dxfId="2478" priority="983" operator="equal">
      <formula>0</formula>
    </cfRule>
  </conditionalFormatting>
  <conditionalFormatting sqref="J320">
    <cfRule type="cellIs" dxfId="2477" priority="982" operator="equal">
      <formula>0</formula>
    </cfRule>
  </conditionalFormatting>
  <conditionalFormatting sqref="J326">
    <cfRule type="cellIs" dxfId="2476" priority="981" operator="equal">
      <formula>0</formula>
    </cfRule>
  </conditionalFormatting>
  <conditionalFormatting sqref="O341:P341">
    <cfRule type="cellIs" dxfId="2475" priority="970" operator="equal">
      <formula>0</formula>
    </cfRule>
  </conditionalFormatting>
  <conditionalFormatting sqref="O341">
    <cfRule type="cellIs" dxfId="2474" priority="969" operator="equal">
      <formula>0</formula>
    </cfRule>
  </conditionalFormatting>
  <conditionalFormatting sqref="J340">
    <cfRule type="cellIs" dxfId="2473" priority="968" operator="equal">
      <formula>0</formula>
    </cfRule>
  </conditionalFormatting>
  <conditionalFormatting sqref="O352:P352">
    <cfRule type="cellIs" dxfId="2472" priority="961" operator="equal">
      <formula>0</formula>
    </cfRule>
  </conditionalFormatting>
  <conditionalFormatting sqref="O352">
    <cfRule type="cellIs" dxfId="2471" priority="960" operator="equal">
      <formula>0</formula>
    </cfRule>
  </conditionalFormatting>
  <conditionalFormatting sqref="J351">
    <cfRule type="cellIs" dxfId="2470" priority="959" operator="equal">
      <formula>0</formula>
    </cfRule>
  </conditionalFormatting>
  <conditionalFormatting sqref="O360:P360">
    <cfRule type="cellIs" dxfId="2469" priority="952" operator="equal">
      <formula>0</formula>
    </cfRule>
  </conditionalFormatting>
  <conditionalFormatting sqref="O360">
    <cfRule type="cellIs" dxfId="2468" priority="951" operator="equal">
      <formula>0</formula>
    </cfRule>
  </conditionalFormatting>
  <conditionalFormatting sqref="J359">
    <cfRule type="cellIs" dxfId="2467" priority="950" operator="equal">
      <formula>0</formula>
    </cfRule>
  </conditionalFormatting>
  <conditionalFormatting sqref="O368:P368">
    <cfRule type="cellIs" dxfId="2466" priority="941" operator="equal">
      <formula>0</formula>
    </cfRule>
  </conditionalFormatting>
  <conditionalFormatting sqref="O368">
    <cfRule type="cellIs" dxfId="2465" priority="940" operator="equal">
      <formula>0</formula>
    </cfRule>
  </conditionalFormatting>
  <conditionalFormatting sqref="J367">
    <cfRule type="cellIs" dxfId="2464" priority="939" operator="equal">
      <formula>0</formula>
    </cfRule>
  </conditionalFormatting>
  <conditionalFormatting sqref="O387:P387">
    <cfRule type="cellIs" dxfId="2463" priority="930" operator="equal">
      <formula>0</formula>
    </cfRule>
  </conditionalFormatting>
  <conditionalFormatting sqref="O387">
    <cfRule type="cellIs" dxfId="2462" priority="929" operator="equal">
      <formula>0</formula>
    </cfRule>
  </conditionalFormatting>
  <conditionalFormatting sqref="J386">
    <cfRule type="cellIs" dxfId="2461" priority="928" operator="equal">
      <formula>0</formula>
    </cfRule>
  </conditionalFormatting>
  <conditionalFormatting sqref="O399:P399">
    <cfRule type="cellIs" dxfId="2460" priority="921" operator="equal">
      <formula>0</formula>
    </cfRule>
  </conditionalFormatting>
  <conditionalFormatting sqref="O399">
    <cfRule type="cellIs" dxfId="2459" priority="920" operator="equal">
      <formula>0</formula>
    </cfRule>
  </conditionalFormatting>
  <conditionalFormatting sqref="O401:P401">
    <cfRule type="cellIs" dxfId="2458" priority="917" operator="equal">
      <formula>0</formula>
    </cfRule>
  </conditionalFormatting>
  <conditionalFormatting sqref="O401">
    <cfRule type="cellIs" dxfId="2457" priority="916" operator="equal">
      <formula>0</formula>
    </cfRule>
  </conditionalFormatting>
  <conditionalFormatting sqref="J400">
    <cfRule type="cellIs" dxfId="2456" priority="915" operator="equal">
      <formula>0</formula>
    </cfRule>
  </conditionalFormatting>
  <conditionalFormatting sqref="O416:P416">
    <cfRule type="cellIs" dxfId="2455" priority="908" operator="equal">
      <formula>0</formula>
    </cfRule>
  </conditionalFormatting>
  <conditionalFormatting sqref="O416">
    <cfRule type="cellIs" dxfId="2454" priority="907" operator="equal">
      <formula>0</formula>
    </cfRule>
  </conditionalFormatting>
  <conditionalFormatting sqref="J415">
    <cfRule type="cellIs" dxfId="2453" priority="906" operator="equal">
      <formula>0</formula>
    </cfRule>
  </conditionalFormatting>
  <conditionalFormatting sqref="J263">
    <cfRule type="cellIs" dxfId="2452" priority="901" operator="equal">
      <formula>0</formula>
    </cfRule>
  </conditionalFormatting>
  <conditionalFormatting sqref="O290:P290 O293:P293">
    <cfRule type="cellIs" dxfId="2451" priority="896" operator="equal">
      <formula>0</formula>
    </cfRule>
  </conditionalFormatting>
  <conditionalFormatting sqref="O290 O293">
    <cfRule type="cellIs" dxfId="2450" priority="895" operator="equal">
      <formula>0</formula>
    </cfRule>
  </conditionalFormatting>
  <conditionalFormatting sqref="J289">
    <cfRule type="cellIs" dxfId="2449" priority="894" operator="equal">
      <formula>0</formula>
    </cfRule>
  </conditionalFormatting>
  <conditionalFormatting sqref="O430:P430">
    <cfRule type="cellIs" dxfId="2448" priority="887" operator="equal">
      <formula>0</formula>
    </cfRule>
  </conditionalFormatting>
  <conditionalFormatting sqref="O430">
    <cfRule type="cellIs" dxfId="2447" priority="886" operator="equal">
      <formula>0</formula>
    </cfRule>
  </conditionalFormatting>
  <conditionalFormatting sqref="O432:P432">
    <cfRule type="cellIs" dxfId="2446" priority="883" operator="equal">
      <formula>0</formula>
    </cfRule>
  </conditionalFormatting>
  <conditionalFormatting sqref="O432">
    <cfRule type="cellIs" dxfId="2445" priority="882" operator="equal">
      <formula>0</formula>
    </cfRule>
  </conditionalFormatting>
  <conditionalFormatting sqref="J431">
    <cfRule type="cellIs" dxfId="2444" priority="881" operator="equal">
      <formula>0</formula>
    </cfRule>
  </conditionalFormatting>
  <conditionalFormatting sqref="N248">
    <cfRule type="cellIs" dxfId="2443" priority="842" stopIfTrue="1" operator="equal">
      <formula>0</formula>
    </cfRule>
  </conditionalFormatting>
  <conditionalFormatting sqref="N249">
    <cfRule type="cellIs" dxfId="2442" priority="839" stopIfTrue="1" operator="equal">
      <formula>0</formula>
    </cfRule>
  </conditionalFormatting>
  <conditionalFormatting sqref="N255:N259">
    <cfRule type="cellIs" dxfId="2441" priority="836" stopIfTrue="1" operator="equal">
      <formula>0</formula>
    </cfRule>
  </conditionalFormatting>
  <conditionalFormatting sqref="N265">
    <cfRule type="cellIs" dxfId="2440" priority="833" stopIfTrue="1" operator="equal">
      <formula>0</formula>
    </cfRule>
  </conditionalFormatting>
  <conditionalFormatting sqref="N291:N292">
    <cfRule type="cellIs" dxfId="2439" priority="827" stopIfTrue="1" operator="equal">
      <formula>0</formula>
    </cfRule>
  </conditionalFormatting>
  <conditionalFormatting sqref="N298:N300">
    <cfRule type="cellIs" dxfId="2438" priority="824" stopIfTrue="1" operator="equal">
      <formula>0</formula>
    </cfRule>
  </conditionalFormatting>
  <conditionalFormatting sqref="N306:N308">
    <cfRule type="cellIs" dxfId="2437" priority="821" stopIfTrue="1" operator="equal">
      <formula>0</formula>
    </cfRule>
  </conditionalFormatting>
  <conditionalFormatting sqref="N322">
    <cfRule type="cellIs" dxfId="2436" priority="815" stopIfTrue="1" operator="equal">
      <formula>0</formula>
    </cfRule>
  </conditionalFormatting>
  <conditionalFormatting sqref="N328:N336">
    <cfRule type="cellIs" dxfId="2435" priority="812" stopIfTrue="1" operator="equal">
      <formula>0</formula>
    </cfRule>
  </conditionalFormatting>
  <conditionalFormatting sqref="N342:N347">
    <cfRule type="cellIs" dxfId="2434" priority="809" stopIfTrue="1" operator="equal">
      <formula>0</formula>
    </cfRule>
  </conditionalFormatting>
  <conditionalFormatting sqref="N353:N355">
    <cfRule type="cellIs" dxfId="2433" priority="806" stopIfTrue="1" operator="equal">
      <formula>0</formula>
    </cfRule>
  </conditionalFormatting>
  <conditionalFormatting sqref="N361:N363">
    <cfRule type="cellIs" dxfId="2432" priority="803" stopIfTrue="1" operator="equal">
      <formula>0</formula>
    </cfRule>
  </conditionalFormatting>
  <conditionalFormatting sqref="N369:N373">
    <cfRule type="cellIs" dxfId="2431" priority="800" stopIfTrue="1" operator="equal">
      <formula>0</formula>
    </cfRule>
  </conditionalFormatting>
  <conditionalFormatting sqref="N433:N434">
    <cfRule type="cellIs" dxfId="2430" priority="782" stopIfTrue="1" operator="equal">
      <formula>0</formula>
    </cfRule>
  </conditionalFormatting>
  <conditionalFormatting sqref="N388:N396">
    <cfRule type="cellIs" dxfId="2429" priority="794" stopIfTrue="1" operator="equal">
      <formula>0</formula>
    </cfRule>
  </conditionalFormatting>
  <conditionalFormatting sqref="N402:N404">
    <cfRule type="cellIs" dxfId="2428" priority="788" stopIfTrue="1" operator="equal">
      <formula>0</formula>
    </cfRule>
  </conditionalFormatting>
  <conditionalFormatting sqref="O378:P378">
    <cfRule type="cellIs" dxfId="2427" priority="752" operator="equal">
      <formula>0</formula>
    </cfRule>
  </conditionalFormatting>
  <conditionalFormatting sqref="O378">
    <cfRule type="cellIs" dxfId="2426" priority="751" operator="equal">
      <formula>0</formula>
    </cfRule>
  </conditionalFormatting>
  <conditionalFormatting sqref="O380:P380">
    <cfRule type="cellIs" dxfId="2425" priority="748" operator="equal">
      <formula>0</formula>
    </cfRule>
  </conditionalFormatting>
  <conditionalFormatting sqref="O380">
    <cfRule type="cellIs" dxfId="2424" priority="747" operator="equal">
      <formula>0</formula>
    </cfRule>
  </conditionalFormatting>
  <conditionalFormatting sqref="J379">
    <cfRule type="cellIs" dxfId="2423" priority="746" operator="equal">
      <formula>0</formula>
    </cfRule>
  </conditionalFormatting>
  <conditionalFormatting sqref="O409:P409">
    <cfRule type="cellIs" dxfId="2422" priority="731" operator="equal">
      <formula>0</formula>
    </cfRule>
  </conditionalFormatting>
  <conditionalFormatting sqref="O409">
    <cfRule type="cellIs" dxfId="2421" priority="730" operator="equal">
      <formula>0</formula>
    </cfRule>
  </conditionalFormatting>
  <conditionalFormatting sqref="J408">
    <cfRule type="cellIs" dxfId="2420" priority="729" operator="equal">
      <formula>0</formula>
    </cfRule>
  </conditionalFormatting>
  <conditionalFormatting sqref="N410">
    <cfRule type="cellIs" dxfId="2419" priority="722" stopIfTrue="1" operator="equal">
      <formula>0</formula>
    </cfRule>
  </conditionalFormatting>
  <conditionalFormatting sqref="O437:P437">
    <cfRule type="cellIs" dxfId="2418" priority="716" operator="equal">
      <formula>0</formula>
    </cfRule>
  </conditionalFormatting>
  <conditionalFormatting sqref="O437">
    <cfRule type="cellIs" dxfId="2417" priority="715" operator="equal">
      <formula>0</formula>
    </cfRule>
  </conditionalFormatting>
  <conditionalFormatting sqref="O443:P443">
    <cfRule type="cellIs" dxfId="2416" priority="700" operator="equal">
      <formula>0</formula>
    </cfRule>
  </conditionalFormatting>
  <conditionalFormatting sqref="O443">
    <cfRule type="cellIs" dxfId="2415" priority="699" operator="equal">
      <formula>0</formula>
    </cfRule>
  </conditionalFormatting>
  <conditionalFormatting sqref="O1433:P1433">
    <cfRule type="cellIs" dxfId="2414" priority="652" operator="equal">
      <formula>0</formula>
    </cfRule>
  </conditionalFormatting>
  <conditionalFormatting sqref="O1433">
    <cfRule type="cellIs" dxfId="2413" priority="651" operator="equal">
      <formula>0</formula>
    </cfRule>
  </conditionalFormatting>
  <conditionalFormatting sqref="N613">
    <cfRule type="cellIs" dxfId="2412" priority="417" stopIfTrue="1" operator="equal">
      <formula>0</formula>
    </cfRule>
  </conditionalFormatting>
  <conditionalFormatting sqref="N541">
    <cfRule type="cellIs" dxfId="2411" priority="411" stopIfTrue="1" operator="equal">
      <formula>0</formula>
    </cfRule>
  </conditionalFormatting>
  <conditionalFormatting sqref="O591:P591">
    <cfRule type="cellIs" dxfId="2410" priority="396" operator="equal">
      <formula>0</formula>
    </cfRule>
  </conditionalFormatting>
  <conditionalFormatting sqref="O591">
    <cfRule type="cellIs" dxfId="2409" priority="395" operator="equal">
      <formula>0</formula>
    </cfRule>
  </conditionalFormatting>
  <conditionalFormatting sqref="J590">
    <cfRule type="cellIs" dxfId="2408" priority="394" operator="equal">
      <formula>0</formula>
    </cfRule>
  </conditionalFormatting>
  <conditionalFormatting sqref="N590:N592 N594 N605 N596">
    <cfRule type="cellIs" dxfId="2407" priority="389" stopIfTrue="1" operator="equal">
      <formula>0</formula>
    </cfRule>
  </conditionalFormatting>
  <conditionalFormatting sqref="N593">
    <cfRule type="cellIs" dxfId="2406" priority="386" stopIfTrue="1" operator="equal">
      <formula>0</formula>
    </cfRule>
  </conditionalFormatting>
  <conditionalFormatting sqref="O598:P598 O603:P603">
    <cfRule type="cellIs" dxfId="2405" priority="385" operator="equal">
      <formula>0</formula>
    </cfRule>
  </conditionalFormatting>
  <conditionalFormatting sqref="O598 O603">
    <cfRule type="cellIs" dxfId="2404" priority="384" operator="equal">
      <formula>0</formula>
    </cfRule>
  </conditionalFormatting>
  <conditionalFormatting sqref="J597">
    <cfRule type="cellIs" dxfId="2403" priority="383" operator="equal">
      <formula>0</formula>
    </cfRule>
  </conditionalFormatting>
  <conditionalFormatting sqref="N603 N597:N600">
    <cfRule type="cellIs" dxfId="2402" priority="380" stopIfTrue="1" operator="equal">
      <formula>0</formula>
    </cfRule>
  </conditionalFormatting>
  <conditionalFormatting sqref="N622">
    <cfRule type="cellIs" dxfId="2401" priority="374" stopIfTrue="1" operator="equal">
      <formula>0</formula>
    </cfRule>
  </conditionalFormatting>
  <conditionalFormatting sqref="N877">
    <cfRule type="cellIs" dxfId="2400" priority="371" stopIfTrue="1" operator="equal">
      <formula>0</formula>
    </cfRule>
  </conditionalFormatting>
  <conditionalFormatting sqref="N784">
    <cfRule type="cellIs" dxfId="2399" priority="368" stopIfTrue="1" operator="equal">
      <formula>0</formula>
    </cfRule>
  </conditionalFormatting>
  <conditionalFormatting sqref="N693">
    <cfRule type="cellIs" dxfId="2398" priority="365" stopIfTrue="1" operator="equal">
      <formula>0</formula>
    </cfRule>
  </conditionalFormatting>
  <conditionalFormatting sqref="N973:N974">
    <cfRule type="cellIs" dxfId="2397" priority="362" stopIfTrue="1" operator="equal">
      <formula>0</formula>
    </cfRule>
  </conditionalFormatting>
  <conditionalFormatting sqref="N1181">
    <cfRule type="cellIs" dxfId="2396" priority="356" stopIfTrue="1" operator="equal">
      <formula>0</formula>
    </cfRule>
  </conditionalFormatting>
  <conditionalFormatting sqref="N1342:N1343">
    <cfRule type="cellIs" dxfId="2395" priority="347" stopIfTrue="1" operator="equal">
      <formula>0</formula>
    </cfRule>
  </conditionalFormatting>
  <conditionalFormatting sqref="O1327:P1327 O1330:P1330">
    <cfRule type="cellIs" dxfId="2394" priority="346" operator="equal">
      <formula>0</formula>
    </cfRule>
  </conditionalFormatting>
  <conditionalFormatting sqref="O1327 O1330">
    <cfRule type="cellIs" dxfId="2393" priority="345" operator="equal">
      <formula>0</formula>
    </cfRule>
  </conditionalFormatting>
  <conditionalFormatting sqref="J1326">
    <cfRule type="cellIs" dxfId="2392" priority="344" operator="equal">
      <formula>0</formula>
    </cfRule>
  </conditionalFormatting>
  <conditionalFormatting sqref="N1326:N1328 N1330">
    <cfRule type="cellIs" dxfId="2391" priority="339" stopIfTrue="1" operator="equal">
      <formula>0</formula>
    </cfRule>
  </conditionalFormatting>
  <conditionalFormatting sqref="N1329">
    <cfRule type="cellIs" dxfId="2390" priority="336" stopIfTrue="1" operator="equal">
      <formula>0</formula>
    </cfRule>
  </conditionalFormatting>
  <conditionalFormatting sqref="N658">
    <cfRule type="cellIs" dxfId="2389" priority="333" stopIfTrue="1" operator="equal">
      <formula>0</formula>
    </cfRule>
  </conditionalFormatting>
  <conditionalFormatting sqref="N609:N610">
    <cfRule type="cellIs" dxfId="2388" priority="330" stopIfTrue="1" operator="equal">
      <formula>0</formula>
    </cfRule>
  </conditionalFormatting>
  <conditionalFormatting sqref="N671">
    <cfRule type="cellIs" dxfId="2387" priority="327" stopIfTrue="1" operator="equal">
      <formula>0</formula>
    </cfRule>
  </conditionalFormatting>
  <conditionalFormatting sqref="N381">
    <cfRule type="cellIs" dxfId="2386" priority="323" stopIfTrue="1" operator="equal">
      <formula>0</formula>
    </cfRule>
  </conditionalFormatting>
  <conditionalFormatting sqref="O439:P439">
    <cfRule type="cellIs" dxfId="2385" priority="316" operator="equal">
      <formula>0</formula>
    </cfRule>
  </conditionalFormatting>
  <conditionalFormatting sqref="O439">
    <cfRule type="cellIs" dxfId="2384" priority="315" operator="equal">
      <formula>0</formula>
    </cfRule>
  </conditionalFormatting>
  <conditionalFormatting sqref="J438">
    <cfRule type="cellIs" dxfId="2383" priority="314" operator="equal">
      <formula>0</formula>
    </cfRule>
  </conditionalFormatting>
  <conditionalFormatting sqref="N440">
    <cfRule type="cellIs" dxfId="2382" priority="307" stopIfTrue="1" operator="equal">
      <formula>0</formula>
    </cfRule>
  </conditionalFormatting>
  <conditionalFormatting sqref="N382">
    <cfRule type="cellIs" dxfId="2381" priority="302" stopIfTrue="1" operator="equal">
      <formula>0</formula>
    </cfRule>
  </conditionalFormatting>
  <conditionalFormatting sqref="N1423">
    <cfRule type="cellIs" dxfId="2380" priority="287" stopIfTrue="1" operator="equal">
      <formula>0</formula>
    </cfRule>
  </conditionalFormatting>
  <conditionalFormatting sqref="N1424">
    <cfRule type="cellIs" dxfId="2379" priority="286" stopIfTrue="1" operator="equal">
      <formula>0</formula>
    </cfRule>
  </conditionalFormatting>
  <conditionalFormatting sqref="N1426:N1432">
    <cfRule type="cellIs" dxfId="2378" priority="285" stopIfTrue="1" operator="equal">
      <formula>0</formula>
    </cfRule>
  </conditionalFormatting>
  <conditionalFormatting sqref="N1437">
    <cfRule type="cellIs" dxfId="2377" priority="284" stopIfTrue="1" operator="equal">
      <formula>0</formula>
    </cfRule>
  </conditionalFormatting>
  <conditionalFormatting sqref="N1439">
    <cfRule type="cellIs" dxfId="2376" priority="283" stopIfTrue="1" operator="equal">
      <formula>0</formula>
    </cfRule>
  </conditionalFormatting>
  <conditionalFormatting sqref="N1440">
    <cfRule type="cellIs" dxfId="2375" priority="282" stopIfTrue="1" operator="equal">
      <formula>0</formula>
    </cfRule>
  </conditionalFormatting>
  <conditionalFormatting sqref="N1398">
    <cfRule type="cellIs" dxfId="2374" priority="281" stopIfTrue="1" operator="equal">
      <formula>0</formula>
    </cfRule>
  </conditionalFormatting>
  <conditionalFormatting sqref="N1400:N1408">
    <cfRule type="cellIs" dxfId="2373" priority="280" stopIfTrue="1" operator="equal">
      <formula>0</formula>
    </cfRule>
  </conditionalFormatting>
  <conditionalFormatting sqref="N1410:N1415">
    <cfRule type="cellIs" dxfId="2372" priority="279" stopIfTrue="1" operator="equal">
      <formula>0</formula>
    </cfRule>
  </conditionalFormatting>
  <conditionalFormatting sqref="N1446:N1528">
    <cfRule type="cellIs" dxfId="2371" priority="278" stopIfTrue="1" operator="equal">
      <formula>0</formula>
    </cfRule>
  </conditionalFormatting>
  <conditionalFormatting sqref="N1532:N1754">
    <cfRule type="cellIs" dxfId="2370" priority="277" stopIfTrue="1" operator="equal">
      <formula>0</formula>
    </cfRule>
  </conditionalFormatting>
  <conditionalFormatting sqref="N1756:N1764">
    <cfRule type="cellIs" dxfId="2369" priority="276" stopIfTrue="1" operator="equal">
      <formula>0</formula>
    </cfRule>
  </conditionalFormatting>
  <conditionalFormatting sqref="N1765">
    <cfRule type="cellIs" dxfId="2368" priority="274" stopIfTrue="1" operator="equal">
      <formula>0</formula>
    </cfRule>
  </conditionalFormatting>
  <conditionalFormatting sqref="N1789:N1809">
    <cfRule type="cellIs" dxfId="2367" priority="273" stopIfTrue="1" operator="equal">
      <formula>0</formula>
    </cfRule>
  </conditionalFormatting>
  <conditionalFormatting sqref="N1813:N1821">
    <cfRule type="cellIs" dxfId="2366" priority="272" stopIfTrue="1" operator="equal">
      <formula>0</formula>
    </cfRule>
  </conditionalFormatting>
  <conditionalFormatting sqref="N1825:N1830">
    <cfRule type="cellIs" dxfId="2365" priority="271" stopIfTrue="1" operator="equal">
      <formula>0</formula>
    </cfRule>
  </conditionalFormatting>
  <conditionalFormatting sqref="N1834:N1849">
    <cfRule type="cellIs" dxfId="2364" priority="270" stopIfTrue="1" operator="equal">
      <formula>0</formula>
    </cfRule>
  </conditionalFormatting>
  <conditionalFormatting sqref="N1853:N1895">
    <cfRule type="cellIs" dxfId="2363" priority="269" stopIfTrue="1" operator="equal">
      <formula>0</formula>
    </cfRule>
  </conditionalFormatting>
  <conditionalFormatting sqref="N1899:N1930">
    <cfRule type="cellIs" dxfId="2362" priority="268" stopIfTrue="1" operator="equal">
      <formula>0</formula>
    </cfRule>
  </conditionalFormatting>
  <conditionalFormatting sqref="N1934:N1952">
    <cfRule type="cellIs" dxfId="2361" priority="267" stopIfTrue="1" operator="equal">
      <formula>0</formula>
    </cfRule>
  </conditionalFormatting>
  <conditionalFormatting sqref="N1956">
    <cfRule type="cellIs" dxfId="2360" priority="266" stopIfTrue="1" operator="equal">
      <formula>0</formula>
    </cfRule>
  </conditionalFormatting>
  <conditionalFormatting sqref="N1962:N1983">
    <cfRule type="cellIs" dxfId="2359" priority="265" stopIfTrue="1" operator="equal">
      <formula>0</formula>
    </cfRule>
  </conditionalFormatting>
  <conditionalFormatting sqref="N1987:N1992">
    <cfRule type="cellIs" dxfId="2358" priority="263" stopIfTrue="1" operator="equal">
      <formula>0</formula>
    </cfRule>
  </conditionalFormatting>
  <conditionalFormatting sqref="N1996:N1998">
    <cfRule type="cellIs" dxfId="2357" priority="262" stopIfTrue="1" operator="equal">
      <formula>0</formula>
    </cfRule>
  </conditionalFormatting>
  <conditionalFormatting sqref="N2002:N2004">
    <cfRule type="cellIs" dxfId="2356" priority="261" stopIfTrue="1" operator="equal">
      <formula>0</formula>
    </cfRule>
  </conditionalFormatting>
  <conditionalFormatting sqref="N2008:N2012">
    <cfRule type="cellIs" dxfId="2355" priority="260" stopIfTrue="1" operator="equal">
      <formula>0</formula>
    </cfRule>
  </conditionalFormatting>
  <conditionalFormatting sqref="N2016:N2017">
    <cfRule type="cellIs" dxfId="2354" priority="259" stopIfTrue="1" operator="equal">
      <formula>0</formula>
    </cfRule>
  </conditionalFormatting>
  <conditionalFormatting sqref="N2023:N2066">
    <cfRule type="cellIs" dxfId="2353" priority="258" stopIfTrue="1" operator="equal">
      <formula>0</formula>
    </cfRule>
  </conditionalFormatting>
  <conditionalFormatting sqref="N2070:N2105">
    <cfRule type="cellIs" dxfId="2352" priority="257" stopIfTrue="1" operator="equal">
      <formula>0</formula>
    </cfRule>
  </conditionalFormatting>
  <conditionalFormatting sqref="N2109:N2140">
    <cfRule type="cellIs" dxfId="2351" priority="256" stopIfTrue="1" operator="equal">
      <formula>0</formula>
    </cfRule>
  </conditionalFormatting>
  <conditionalFormatting sqref="N2145:N2176">
    <cfRule type="cellIs" dxfId="2350" priority="255" stopIfTrue="1" operator="equal">
      <formula>0</formula>
    </cfRule>
  </conditionalFormatting>
  <conditionalFormatting sqref="N2180:N2211">
    <cfRule type="cellIs" dxfId="2349" priority="254" stopIfTrue="1" operator="equal">
      <formula>0</formula>
    </cfRule>
  </conditionalFormatting>
  <conditionalFormatting sqref="N2215:N2243">
    <cfRule type="cellIs" dxfId="2348" priority="253" stopIfTrue="1" operator="equal">
      <formula>0</formula>
    </cfRule>
  </conditionalFormatting>
  <conditionalFormatting sqref="N2247:N2284">
    <cfRule type="cellIs" dxfId="2347" priority="252" stopIfTrue="1" operator="equal">
      <formula>0</formula>
    </cfRule>
  </conditionalFormatting>
  <conditionalFormatting sqref="N2288:N2332">
    <cfRule type="cellIs" dxfId="2346" priority="251" stopIfTrue="1" operator="equal">
      <formula>0</formula>
    </cfRule>
  </conditionalFormatting>
  <conditionalFormatting sqref="N2336:N2367">
    <cfRule type="cellIs" dxfId="2345" priority="250" stopIfTrue="1" operator="equal">
      <formula>0</formula>
    </cfRule>
  </conditionalFormatting>
  <conditionalFormatting sqref="N2371:N2392">
    <cfRule type="cellIs" dxfId="2344" priority="249" stopIfTrue="1" operator="equal">
      <formula>0</formula>
    </cfRule>
  </conditionalFormatting>
  <conditionalFormatting sqref="N2396:N2431">
    <cfRule type="cellIs" dxfId="2343" priority="248" stopIfTrue="1" operator="equal">
      <formula>0</formula>
    </cfRule>
  </conditionalFormatting>
  <conditionalFormatting sqref="N1832">
    <cfRule type="cellIs" dxfId="2342" priority="247" stopIfTrue="1" operator="equal">
      <formula>0</formula>
    </cfRule>
  </conditionalFormatting>
  <conditionalFormatting sqref="N1851">
    <cfRule type="cellIs" dxfId="2341" priority="246" stopIfTrue="1" operator="equal">
      <formula>0</formula>
    </cfRule>
  </conditionalFormatting>
  <conditionalFormatting sqref="N1897">
    <cfRule type="cellIs" dxfId="2340" priority="245" stopIfTrue="1" operator="equal">
      <formula>0</formula>
    </cfRule>
  </conditionalFormatting>
  <conditionalFormatting sqref="N1932">
    <cfRule type="cellIs" dxfId="2339" priority="244" stopIfTrue="1" operator="equal">
      <formula>0</formula>
    </cfRule>
  </conditionalFormatting>
  <conditionalFormatting sqref="N1954">
    <cfRule type="cellIs" dxfId="2338" priority="243" stopIfTrue="1" operator="equal">
      <formula>0</formula>
    </cfRule>
  </conditionalFormatting>
  <conditionalFormatting sqref="N1960">
    <cfRule type="cellIs" dxfId="2337" priority="242" stopIfTrue="1" operator="equal">
      <formula>0</formula>
    </cfRule>
  </conditionalFormatting>
  <conditionalFormatting sqref="N1985">
    <cfRule type="cellIs" dxfId="2336" priority="241" stopIfTrue="1" operator="equal">
      <formula>0</formula>
    </cfRule>
  </conditionalFormatting>
  <conditionalFormatting sqref="N1994">
    <cfRule type="cellIs" dxfId="2335" priority="240" stopIfTrue="1" operator="equal">
      <formula>0</formula>
    </cfRule>
  </conditionalFormatting>
  <conditionalFormatting sqref="N2000">
    <cfRule type="cellIs" dxfId="2334" priority="239" stopIfTrue="1" operator="equal">
      <formula>0</formula>
    </cfRule>
  </conditionalFormatting>
  <conditionalFormatting sqref="N2006">
    <cfRule type="cellIs" dxfId="2333" priority="238" stopIfTrue="1" operator="equal">
      <formula>0</formula>
    </cfRule>
  </conditionalFormatting>
  <conditionalFormatting sqref="N2014">
    <cfRule type="cellIs" dxfId="2332" priority="237" stopIfTrue="1" operator="equal">
      <formula>0</formula>
    </cfRule>
  </conditionalFormatting>
  <conditionalFormatting sqref="N2021">
    <cfRule type="cellIs" dxfId="2331" priority="236" stopIfTrue="1" operator="equal">
      <formula>0</formula>
    </cfRule>
  </conditionalFormatting>
  <conditionalFormatting sqref="N2068">
    <cfRule type="cellIs" dxfId="2330" priority="235" stopIfTrue="1" operator="equal">
      <formula>0</formula>
    </cfRule>
  </conditionalFormatting>
  <conditionalFormatting sqref="N2107">
    <cfRule type="cellIs" dxfId="2329" priority="234" stopIfTrue="1" operator="equal">
      <formula>0</formula>
    </cfRule>
  </conditionalFormatting>
  <conditionalFormatting sqref="N2143">
    <cfRule type="cellIs" dxfId="2328" priority="233" stopIfTrue="1" operator="equal">
      <formula>0</formula>
    </cfRule>
  </conditionalFormatting>
  <conditionalFormatting sqref="N2178">
    <cfRule type="cellIs" dxfId="2327" priority="232" stopIfTrue="1" operator="equal">
      <formula>0</formula>
    </cfRule>
  </conditionalFormatting>
  <conditionalFormatting sqref="N2213">
    <cfRule type="cellIs" dxfId="2326" priority="231" stopIfTrue="1" operator="equal">
      <formula>0</formula>
    </cfRule>
  </conditionalFormatting>
  <conditionalFormatting sqref="N2245">
    <cfRule type="cellIs" dxfId="2325" priority="230" stopIfTrue="1" operator="equal">
      <formula>0</formula>
    </cfRule>
  </conditionalFormatting>
  <conditionalFormatting sqref="N2286">
    <cfRule type="cellIs" dxfId="2324" priority="229" stopIfTrue="1" operator="equal">
      <formula>0</formula>
    </cfRule>
  </conditionalFormatting>
  <conditionalFormatting sqref="N2334">
    <cfRule type="cellIs" dxfId="2323" priority="228" stopIfTrue="1" operator="equal">
      <formula>0</formula>
    </cfRule>
  </conditionalFormatting>
  <conditionalFormatting sqref="N2369">
    <cfRule type="cellIs" dxfId="2322" priority="227" stopIfTrue="1" operator="equal">
      <formula>0</formula>
    </cfRule>
  </conditionalFormatting>
  <conditionalFormatting sqref="N2394">
    <cfRule type="cellIs" dxfId="2321" priority="226" stopIfTrue="1" operator="equal">
      <formula>0</formula>
    </cfRule>
  </conditionalFormatting>
  <conditionalFormatting sqref="O202:P202">
    <cfRule type="cellIs" dxfId="2320" priority="224" operator="equal">
      <formula>0</formula>
    </cfRule>
  </conditionalFormatting>
  <conditionalFormatting sqref="O202">
    <cfRule type="cellIs" dxfId="2319" priority="223" operator="equal">
      <formula>0</formula>
    </cfRule>
  </conditionalFormatting>
  <conditionalFormatting sqref="P52 O74:P74 O83:P83 O87:P87 O89:P89 O91:P91 O95:P95 O97:P97 O99:P99 O105:P105 O107:P107 O109:P109 O111:P111 O113:P113 O81:P81">
    <cfRule type="cellIs" dxfId="2318" priority="222" operator="equal">
      <formula>0</formula>
    </cfRule>
  </conditionalFormatting>
  <conditionalFormatting sqref="O74 O83 O87 O89 O91 O95 O97 O99 O105 O107 O109 O111 O113 O81">
    <cfRule type="cellIs" dxfId="2317" priority="221" operator="equal">
      <formula>0</formula>
    </cfRule>
  </conditionalFormatting>
  <conditionalFormatting sqref="O52">
    <cfRule type="cellIs" dxfId="2316" priority="220" operator="equal">
      <formula>0</formula>
    </cfRule>
  </conditionalFormatting>
  <conditionalFormatting sqref="J30">
    <cfRule type="cellIs" dxfId="2315" priority="219" operator="equal">
      <formula>0</formula>
    </cfRule>
  </conditionalFormatting>
  <conditionalFormatting sqref="J37">
    <cfRule type="cellIs" dxfId="2314" priority="218" operator="equal">
      <formula>0</formula>
    </cfRule>
  </conditionalFormatting>
  <conditionalFormatting sqref="J53">
    <cfRule type="cellIs" dxfId="2313" priority="217" operator="equal">
      <formula>0</formula>
    </cfRule>
  </conditionalFormatting>
  <conditionalFormatting sqref="J82">
    <cfRule type="cellIs" dxfId="2312" priority="216" operator="equal">
      <formula>0</formula>
    </cfRule>
  </conditionalFormatting>
  <conditionalFormatting sqref="J90">
    <cfRule type="cellIs" dxfId="2311" priority="215" operator="equal">
      <formula>0</formula>
    </cfRule>
  </conditionalFormatting>
  <conditionalFormatting sqref="J98">
    <cfRule type="cellIs" dxfId="2310" priority="214" operator="equal">
      <formula>0</formula>
    </cfRule>
  </conditionalFormatting>
  <conditionalFormatting sqref="O103:P103">
    <cfRule type="cellIs" dxfId="2309" priority="213" operator="equal">
      <formula>0</formula>
    </cfRule>
  </conditionalFormatting>
  <conditionalFormatting sqref="O103">
    <cfRule type="cellIs" dxfId="2308" priority="212" operator="equal">
      <formula>0</formula>
    </cfRule>
  </conditionalFormatting>
  <conditionalFormatting sqref="J106">
    <cfRule type="cellIs" dxfId="2307" priority="211" operator="equal">
      <formula>0</formula>
    </cfRule>
  </conditionalFormatting>
  <conditionalFormatting sqref="J112">
    <cfRule type="cellIs" dxfId="2306" priority="210" operator="equal">
      <formula>0</formula>
    </cfRule>
  </conditionalFormatting>
  <conditionalFormatting sqref="O121:P121">
    <cfRule type="cellIs" dxfId="2305" priority="209" operator="equal">
      <formula>0</formula>
    </cfRule>
  </conditionalFormatting>
  <conditionalFormatting sqref="O121">
    <cfRule type="cellIs" dxfId="2304" priority="208" operator="equal">
      <formula>0</formula>
    </cfRule>
  </conditionalFormatting>
  <conditionalFormatting sqref="J120">
    <cfRule type="cellIs" dxfId="2303" priority="207" operator="equal">
      <formula>0</formula>
    </cfRule>
  </conditionalFormatting>
  <conditionalFormatting sqref="O130:P130">
    <cfRule type="cellIs" dxfId="2302" priority="206" operator="equal">
      <formula>0</formula>
    </cfRule>
  </conditionalFormatting>
  <conditionalFormatting sqref="O130">
    <cfRule type="cellIs" dxfId="2301" priority="205" operator="equal">
      <formula>0</formula>
    </cfRule>
  </conditionalFormatting>
  <conditionalFormatting sqref="J129">
    <cfRule type="cellIs" dxfId="2300" priority="204" operator="equal">
      <formula>0</formula>
    </cfRule>
  </conditionalFormatting>
  <conditionalFormatting sqref="O138:P138">
    <cfRule type="cellIs" dxfId="2299" priority="203" operator="equal">
      <formula>0</formula>
    </cfRule>
  </conditionalFormatting>
  <conditionalFormatting sqref="O138">
    <cfRule type="cellIs" dxfId="2298" priority="202" operator="equal">
      <formula>0</formula>
    </cfRule>
  </conditionalFormatting>
  <conditionalFormatting sqref="J137">
    <cfRule type="cellIs" dxfId="2297" priority="201" operator="equal">
      <formula>0</formula>
    </cfRule>
  </conditionalFormatting>
  <conditionalFormatting sqref="O146:P146">
    <cfRule type="cellIs" dxfId="2296" priority="200" operator="equal">
      <formula>0</formula>
    </cfRule>
  </conditionalFormatting>
  <conditionalFormatting sqref="O146">
    <cfRule type="cellIs" dxfId="2295" priority="199" operator="equal">
      <formula>0</formula>
    </cfRule>
  </conditionalFormatting>
  <conditionalFormatting sqref="J145">
    <cfRule type="cellIs" dxfId="2294" priority="198" operator="equal">
      <formula>0</formula>
    </cfRule>
  </conditionalFormatting>
  <conditionalFormatting sqref="O165:P165">
    <cfRule type="cellIs" dxfId="2293" priority="197" operator="equal">
      <formula>0</formula>
    </cfRule>
  </conditionalFormatting>
  <conditionalFormatting sqref="O165">
    <cfRule type="cellIs" dxfId="2292" priority="196" operator="equal">
      <formula>0</formula>
    </cfRule>
  </conditionalFormatting>
  <conditionalFormatting sqref="J164">
    <cfRule type="cellIs" dxfId="2291" priority="195" operator="equal">
      <formula>0</formula>
    </cfRule>
  </conditionalFormatting>
  <conditionalFormatting sqref="O185:P185">
    <cfRule type="cellIs" dxfId="2290" priority="194" operator="equal">
      <formula>0</formula>
    </cfRule>
  </conditionalFormatting>
  <conditionalFormatting sqref="O185">
    <cfRule type="cellIs" dxfId="2289" priority="193" operator="equal">
      <formula>0</formula>
    </cfRule>
  </conditionalFormatting>
  <conditionalFormatting sqref="O187:P187">
    <cfRule type="cellIs" dxfId="2288" priority="192" operator="equal">
      <formula>0</formula>
    </cfRule>
  </conditionalFormatting>
  <conditionalFormatting sqref="O187">
    <cfRule type="cellIs" dxfId="2287" priority="191" operator="equal">
      <formula>0</formula>
    </cfRule>
  </conditionalFormatting>
  <conditionalFormatting sqref="J186">
    <cfRule type="cellIs" dxfId="2286" priority="190" operator="equal">
      <formula>0</formula>
    </cfRule>
  </conditionalFormatting>
  <conditionalFormatting sqref="O204:P204">
    <cfRule type="cellIs" dxfId="2285" priority="189" operator="equal">
      <formula>0</formula>
    </cfRule>
  </conditionalFormatting>
  <conditionalFormatting sqref="O204">
    <cfRule type="cellIs" dxfId="2284" priority="188" operator="equal">
      <formula>0</formula>
    </cfRule>
  </conditionalFormatting>
  <conditionalFormatting sqref="J203">
    <cfRule type="cellIs" dxfId="2283" priority="187" operator="equal">
      <formula>0</formula>
    </cfRule>
  </conditionalFormatting>
  <conditionalFormatting sqref="J47">
    <cfRule type="cellIs" dxfId="2282" priority="186" operator="equal">
      <formula>0</formula>
    </cfRule>
  </conditionalFormatting>
  <conditionalFormatting sqref="O76:P76 O79:P79">
    <cfRule type="cellIs" dxfId="2281" priority="185" operator="equal">
      <formula>0</formula>
    </cfRule>
  </conditionalFormatting>
  <conditionalFormatting sqref="O76 O79">
    <cfRule type="cellIs" dxfId="2280" priority="184" operator="equal">
      <formula>0</formula>
    </cfRule>
  </conditionalFormatting>
  <conditionalFormatting sqref="J75">
    <cfRule type="cellIs" dxfId="2279" priority="183" operator="equal">
      <formula>0</formula>
    </cfRule>
  </conditionalFormatting>
  <conditionalFormatting sqref="O217:P217">
    <cfRule type="cellIs" dxfId="2278" priority="182" operator="equal">
      <formula>0</formula>
    </cfRule>
  </conditionalFormatting>
  <conditionalFormatting sqref="O217">
    <cfRule type="cellIs" dxfId="2277" priority="181" operator="equal">
      <formula>0</formula>
    </cfRule>
  </conditionalFormatting>
  <conditionalFormatting sqref="O156:P156">
    <cfRule type="cellIs" dxfId="2276" priority="157" operator="equal">
      <formula>0</formula>
    </cfRule>
  </conditionalFormatting>
  <conditionalFormatting sqref="O156">
    <cfRule type="cellIs" dxfId="2275" priority="156" operator="equal">
      <formula>0</formula>
    </cfRule>
  </conditionalFormatting>
  <conditionalFormatting sqref="O158:P158">
    <cfRule type="cellIs" dxfId="2274" priority="155" operator="equal">
      <formula>0</formula>
    </cfRule>
  </conditionalFormatting>
  <conditionalFormatting sqref="O158">
    <cfRule type="cellIs" dxfId="2273" priority="154" operator="equal">
      <formula>0</formula>
    </cfRule>
  </conditionalFormatting>
  <conditionalFormatting sqref="J157">
    <cfRule type="cellIs" dxfId="2272" priority="153" operator="equal">
      <formula>0</formula>
    </cfRule>
  </conditionalFormatting>
  <conditionalFormatting sqref="N159">
    <cfRule type="cellIs" dxfId="2271" priority="152" stopIfTrue="1" operator="equal">
      <formula>0</formula>
    </cfRule>
  </conditionalFormatting>
  <conditionalFormatting sqref="O195:P195">
    <cfRule type="cellIs" dxfId="2270" priority="150" operator="equal">
      <formula>0</formula>
    </cfRule>
  </conditionalFormatting>
  <conditionalFormatting sqref="O195">
    <cfRule type="cellIs" dxfId="2269" priority="149" operator="equal">
      <formula>0</formula>
    </cfRule>
  </conditionalFormatting>
  <conditionalFormatting sqref="J194">
    <cfRule type="cellIs" dxfId="2268" priority="148" operator="equal">
      <formula>0</formula>
    </cfRule>
  </conditionalFormatting>
  <conditionalFormatting sqref="O219:P219">
    <cfRule type="cellIs" dxfId="2267" priority="143" operator="equal">
      <formula>0</formula>
    </cfRule>
  </conditionalFormatting>
  <conditionalFormatting sqref="O219">
    <cfRule type="cellIs" dxfId="2266" priority="142" operator="equal">
      <formula>0</formula>
    </cfRule>
  </conditionalFormatting>
  <conditionalFormatting sqref="J218">
    <cfRule type="cellIs" dxfId="2265" priority="141" operator="equal">
      <formula>0</formula>
    </cfRule>
  </conditionalFormatting>
  <conditionalFormatting sqref="O225:P225">
    <cfRule type="cellIs" dxfId="2264" priority="137" operator="equal">
      <formula>0</formula>
    </cfRule>
  </conditionalFormatting>
  <conditionalFormatting sqref="O225">
    <cfRule type="cellIs" dxfId="2263" priority="136" operator="equal">
      <formula>0</formula>
    </cfRule>
  </conditionalFormatting>
  <conditionalFormatting sqref="J224">
    <cfRule type="cellIs" dxfId="2262" priority="135" operator="equal">
      <formula>0</formula>
    </cfRule>
  </conditionalFormatting>
  <conditionalFormatting sqref="O229:P229">
    <cfRule type="cellIs" dxfId="2261" priority="133" operator="equal">
      <formula>0</formula>
    </cfRule>
  </conditionalFormatting>
  <conditionalFormatting sqref="O229">
    <cfRule type="cellIs" dxfId="2260" priority="132" operator="equal">
      <formula>0</formula>
    </cfRule>
  </conditionalFormatting>
  <conditionalFormatting sqref="O231:P231">
    <cfRule type="cellIs" dxfId="2259" priority="131" operator="equal">
      <formula>0</formula>
    </cfRule>
  </conditionalFormatting>
  <conditionalFormatting sqref="O231">
    <cfRule type="cellIs" dxfId="2258" priority="130" operator="equal">
      <formula>0</formula>
    </cfRule>
  </conditionalFormatting>
  <conditionalFormatting sqref="J230">
    <cfRule type="cellIs" dxfId="2257" priority="129" operator="equal">
      <formula>0</formula>
    </cfRule>
  </conditionalFormatting>
  <conditionalFormatting sqref="O235:P235">
    <cfRule type="cellIs" dxfId="2256" priority="127" operator="equal">
      <formula>0</formula>
    </cfRule>
  </conditionalFormatting>
  <conditionalFormatting sqref="O235">
    <cfRule type="cellIs" dxfId="2255" priority="126" operator="equal">
      <formula>0</formula>
    </cfRule>
  </conditionalFormatting>
  <conditionalFormatting sqref="O237:P237">
    <cfRule type="cellIs" dxfId="2254" priority="125" operator="equal">
      <formula>0</formula>
    </cfRule>
  </conditionalFormatting>
  <conditionalFormatting sqref="O237">
    <cfRule type="cellIs" dxfId="2253" priority="124" operator="equal">
      <formula>0</formula>
    </cfRule>
  </conditionalFormatting>
  <conditionalFormatting sqref="J236">
    <cfRule type="cellIs" dxfId="2252" priority="123" operator="equal">
      <formula>0</formula>
    </cfRule>
  </conditionalFormatting>
  <conditionalFormatting sqref="N92:N94">
    <cfRule type="cellIs" dxfId="2251" priority="105" stopIfTrue="1" operator="equal">
      <formula>0</formula>
    </cfRule>
  </conditionalFormatting>
  <conditionalFormatting sqref="O223:P223">
    <cfRule type="cellIs" dxfId="2250" priority="120" operator="equal">
      <formula>0</formula>
    </cfRule>
  </conditionalFormatting>
  <conditionalFormatting sqref="O223">
    <cfRule type="cellIs" dxfId="2249" priority="119" operator="equal">
      <formula>0</formula>
    </cfRule>
  </conditionalFormatting>
  <conditionalFormatting sqref="N84:N86">
    <cfRule type="cellIs" dxfId="2248" priority="106" stopIfTrue="1" operator="equal">
      <formula>0</formula>
    </cfRule>
  </conditionalFormatting>
  <conditionalFormatting sqref="N32">
    <cfRule type="cellIs" dxfId="2247" priority="113" stopIfTrue="1" operator="equal">
      <formula>0</formula>
    </cfRule>
  </conditionalFormatting>
  <conditionalFormatting sqref="N33">
    <cfRule type="cellIs" dxfId="2246" priority="112" stopIfTrue="1" operator="equal">
      <formula>0</formula>
    </cfRule>
  </conditionalFormatting>
  <conditionalFormatting sqref="N39:N43">
    <cfRule type="cellIs" dxfId="2245" priority="111" stopIfTrue="1" operator="equal">
      <formula>0</formula>
    </cfRule>
  </conditionalFormatting>
  <conditionalFormatting sqref="N49">
    <cfRule type="cellIs" dxfId="2244" priority="110" stopIfTrue="1" operator="equal">
      <formula>0</formula>
    </cfRule>
  </conditionalFormatting>
  <conditionalFormatting sqref="N77:N78">
    <cfRule type="cellIs" dxfId="2243" priority="107" stopIfTrue="1" operator="equal">
      <formula>0</formula>
    </cfRule>
  </conditionalFormatting>
  <conditionalFormatting sqref="N100:N101">
    <cfRule type="cellIs" dxfId="2242" priority="104" stopIfTrue="1" operator="equal">
      <formula>0</formula>
    </cfRule>
  </conditionalFormatting>
  <conditionalFormatting sqref="N108">
    <cfRule type="cellIs" dxfId="2241" priority="103" stopIfTrue="1" operator="equal">
      <formula>0</formula>
    </cfRule>
  </conditionalFormatting>
  <conditionalFormatting sqref="N131:N133">
    <cfRule type="cellIs" dxfId="2240" priority="100" stopIfTrue="1" operator="equal">
      <formula>0</formula>
    </cfRule>
  </conditionalFormatting>
  <conditionalFormatting sqref="N139:N141">
    <cfRule type="cellIs" dxfId="2239" priority="99" stopIfTrue="1" operator="equal">
      <formula>0</formula>
    </cfRule>
  </conditionalFormatting>
  <conditionalFormatting sqref="N160">
    <cfRule type="cellIs" dxfId="2238" priority="97" stopIfTrue="1" operator="equal">
      <formula>0</formula>
    </cfRule>
  </conditionalFormatting>
  <conditionalFormatting sqref="N166:N182">
    <cfRule type="cellIs" dxfId="2237" priority="96" stopIfTrue="1" operator="equal">
      <formula>0</formula>
    </cfRule>
  </conditionalFormatting>
  <conditionalFormatting sqref="N188:N190">
    <cfRule type="cellIs" dxfId="2236" priority="95" stopIfTrue="1" operator="equal">
      <formula>0</formula>
    </cfRule>
  </conditionalFormatting>
  <conditionalFormatting sqref="N196:N198">
    <cfRule type="cellIs" dxfId="2235" priority="94" stopIfTrue="1" operator="equal">
      <formula>0</formula>
    </cfRule>
  </conditionalFormatting>
  <conditionalFormatting sqref="N220">
    <cfRule type="cellIs" dxfId="2234" priority="86" stopIfTrue="1" operator="equal">
      <formula>0</formula>
    </cfRule>
  </conditionalFormatting>
  <conditionalFormatting sqref="N238">
    <cfRule type="cellIs" dxfId="2233" priority="82" stopIfTrue="1" operator="equal">
      <formula>0</formula>
    </cfRule>
  </conditionalFormatting>
  <conditionalFormatting sqref="N226">
    <cfRule type="cellIs" dxfId="2232" priority="84" stopIfTrue="1" operator="equal">
      <formula>0</formula>
    </cfRule>
  </conditionalFormatting>
  <conditionalFormatting sqref="N232">
    <cfRule type="cellIs" dxfId="2231" priority="83" stopIfTrue="1" operator="equal">
      <formula>0</formula>
    </cfRule>
  </conditionalFormatting>
  <conditionalFormatting sqref="R21:R22">
    <cfRule type="cellIs" dxfId="2230" priority="81" stopIfTrue="1" operator="equal">
      <formula>0</formula>
    </cfRule>
  </conditionalFormatting>
  <conditionalFormatting sqref="Q21">
    <cfRule type="cellIs" dxfId="2229" priority="80" stopIfTrue="1" operator="equal">
      <formula>0</formula>
    </cfRule>
  </conditionalFormatting>
  <conditionalFormatting sqref="Q22">
    <cfRule type="cellIs" dxfId="2228" priority="79" stopIfTrue="1" operator="equal">
      <formula>0</formula>
    </cfRule>
  </conditionalFormatting>
  <conditionalFormatting sqref="N601:N602">
    <cfRule type="cellIs" dxfId="2227" priority="78" stopIfTrue="1" operator="equal">
      <formula>0</formula>
    </cfRule>
  </conditionalFormatting>
  <conditionalFormatting sqref="N116">
    <cfRule type="cellIs" dxfId="2226" priority="69" stopIfTrue="1" operator="equal">
      <formula>0</formula>
    </cfRule>
  </conditionalFormatting>
  <conditionalFormatting sqref="N1118:N1121">
    <cfRule type="cellIs" dxfId="2225" priority="39" stopIfTrue="1" operator="equal">
      <formula>0</formula>
    </cfRule>
  </conditionalFormatting>
  <conditionalFormatting sqref="N21:N22">
    <cfRule type="cellIs" dxfId="2224" priority="34" stopIfTrue="1" operator="equal">
      <formula>0</formula>
    </cfRule>
  </conditionalFormatting>
  <conditionalFormatting sqref="N1766:N1785">
    <cfRule type="cellIs" dxfId="2223" priority="6" stopIfTrue="1" operator="equal">
      <formula>0</formula>
    </cfRule>
  </conditionalFormatting>
  <conditionalFormatting sqref="O576:P576">
    <cfRule type="cellIs" dxfId="2222" priority="5" operator="equal">
      <formula>0</formula>
    </cfRule>
  </conditionalFormatting>
  <conditionalFormatting sqref="O576">
    <cfRule type="cellIs" dxfId="2221" priority="4" operator="equal">
      <formula>0</formula>
    </cfRule>
  </conditionalFormatting>
  <conditionalFormatting sqref="J575">
    <cfRule type="cellIs" dxfId="2220" priority="3" operator="equal">
      <formula>0</formula>
    </cfRule>
  </conditionalFormatting>
  <conditionalFormatting sqref="M575:N577 M580:N580 M582:N582">
    <cfRule type="cellIs" dxfId="2219" priority="2" stopIfTrue="1" operator="equal">
      <formula>0</formula>
    </cfRule>
  </conditionalFormatting>
  <conditionalFormatting sqref="M578:N579">
    <cfRule type="cellIs" dxfId="2218" priority="1" stopIfTrue="1" operator="equal">
      <formula>0</formula>
    </cfRule>
  </conditionalFormatting>
  <pageMargins left="0.51181102362204722" right="0.51181102362204722" top="0.78740157480314965" bottom="0.78740157480314965" header="0.31496062992125984" footer="0.31496062992125984"/>
  <pageSetup paperSize="9" scale="80" fitToHeight="150" orientation="landscape" horizontalDpi="1200" verticalDpi="1200"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T187"/>
  <sheetViews>
    <sheetView topLeftCell="B1" zoomScale="85" zoomScaleNormal="85" zoomScaleSheetLayoutView="85" workbookViewId="0">
      <selection activeCell="D15" sqref="D15"/>
    </sheetView>
  </sheetViews>
  <sheetFormatPr defaultRowHeight="12.75"/>
  <cols>
    <col min="1" max="1" width="21.42578125" style="862" customWidth="1"/>
    <col min="2" max="2" width="7.5703125" style="862" bestFit="1" customWidth="1"/>
    <col min="3" max="3" width="11.140625" style="835" customWidth="1"/>
    <col min="4" max="4" width="64.85546875" style="857" customWidth="1"/>
    <col min="5" max="5" width="15.7109375" style="857" customWidth="1"/>
    <col min="6" max="6" width="15.5703125" style="858" customWidth="1"/>
    <col min="7" max="8" width="10.85546875" style="857" customWidth="1"/>
    <col min="9" max="9" width="11.140625" style="857" customWidth="1"/>
    <col min="10" max="10" width="12.5703125" style="859" customWidth="1"/>
    <col min="11" max="11" width="12.5703125" style="860" customWidth="1"/>
    <col min="12" max="12" width="12" style="861" customWidth="1"/>
    <col min="13" max="13" width="12.140625" style="861" customWidth="1"/>
    <col min="14" max="14" width="9.42578125" style="700" customWidth="1"/>
    <col min="15" max="15" width="7.5703125" style="863" customWidth="1"/>
    <col min="16" max="16" width="7.5703125" style="871" customWidth="1"/>
    <col min="17" max="17" width="7.5703125" style="863" customWidth="1"/>
    <col min="18" max="18" width="4.7109375" style="863" customWidth="1"/>
    <col min="19" max="16384" width="9.140625" style="865"/>
  </cols>
  <sheetData>
    <row r="1" spans="1:16" ht="18">
      <c r="D1" s="1661" t="s">
        <v>11665</v>
      </c>
      <c r="E1" s="1662"/>
      <c r="F1" s="1662"/>
      <c r="G1" s="1662"/>
      <c r="H1" s="1662"/>
      <c r="I1" s="1662"/>
      <c r="J1" s="1662"/>
      <c r="K1" s="1662"/>
      <c r="L1" s="1662"/>
      <c r="M1" s="1663"/>
      <c r="P1" s="864"/>
    </row>
    <row r="2" spans="1:16" ht="18">
      <c r="D2" s="1664"/>
      <c r="E2" s="1665"/>
      <c r="F2" s="1665"/>
      <c r="G2" s="1665"/>
      <c r="H2" s="1665"/>
      <c r="I2" s="1665"/>
      <c r="J2" s="1665"/>
      <c r="K2" s="1665"/>
      <c r="L2" s="1665"/>
      <c r="M2" s="1666"/>
      <c r="P2" s="864"/>
    </row>
    <row r="3" spans="1:16" ht="18">
      <c r="D3" s="1664"/>
      <c r="E3" s="1665"/>
      <c r="F3" s="1665"/>
      <c r="G3" s="1665"/>
      <c r="H3" s="1665"/>
      <c r="I3" s="1665"/>
      <c r="J3" s="1665"/>
      <c r="K3" s="1665"/>
      <c r="L3" s="1665"/>
      <c r="M3" s="1666"/>
      <c r="P3" s="864"/>
    </row>
    <row r="4" spans="1:16" ht="15.75" customHeight="1" thickBot="1">
      <c r="D4" s="1667"/>
      <c r="E4" s="1668"/>
      <c r="F4" s="1668"/>
      <c r="G4" s="1668"/>
      <c r="H4" s="1668"/>
      <c r="I4" s="1668"/>
      <c r="J4" s="1668"/>
      <c r="K4" s="1668"/>
      <c r="L4" s="1668"/>
      <c r="M4" s="1669"/>
      <c r="P4" s="866"/>
    </row>
    <row r="5" spans="1:16" ht="14.25" customHeight="1">
      <c r="D5" s="782"/>
      <c r="E5" s="700"/>
      <c r="F5" s="783"/>
      <c r="G5" s="783"/>
      <c r="H5" s="783"/>
      <c r="I5" s="783"/>
      <c r="J5" s="784"/>
      <c r="K5" s="785"/>
      <c r="L5" s="786"/>
      <c r="M5" s="787"/>
      <c r="P5" s="867"/>
    </row>
    <row r="6" spans="1:16" ht="14.25" customHeight="1">
      <c r="D6" s="789" t="s">
        <v>14559</v>
      </c>
      <c r="E6" s="790"/>
      <c r="F6" s="790"/>
      <c r="G6" s="790"/>
      <c r="H6" s="790"/>
      <c r="I6" s="790"/>
      <c r="J6" s="790"/>
      <c r="K6" s="791"/>
      <c r="L6" s="792"/>
      <c r="M6" s="793"/>
      <c r="N6" s="868"/>
      <c r="P6" s="866"/>
    </row>
    <row r="7" spans="1:16" ht="14.25" customHeight="1">
      <c r="D7" s="789" t="s">
        <v>11836</v>
      </c>
      <c r="E7" s="790"/>
      <c r="F7" s="790"/>
      <c r="G7" s="790"/>
      <c r="H7" s="790"/>
      <c r="I7" s="790"/>
      <c r="J7" s="790"/>
      <c r="K7" s="791"/>
      <c r="L7" s="795"/>
      <c r="M7" s="796"/>
      <c r="N7" s="869"/>
      <c r="P7" s="866"/>
    </row>
    <row r="8" spans="1:16" s="863" customFormat="1" ht="14.25" customHeight="1">
      <c r="A8" s="862"/>
      <c r="B8" s="862"/>
      <c r="C8" s="835"/>
      <c r="D8" s="789" t="s">
        <v>14329</v>
      </c>
      <c r="E8" s="790"/>
      <c r="F8" s="790"/>
      <c r="G8" s="790"/>
      <c r="H8" s="790"/>
      <c r="I8" s="790"/>
      <c r="J8" s="790"/>
      <c r="K8" s="791"/>
      <c r="L8" s="795"/>
      <c r="M8" s="796"/>
      <c r="N8" s="869"/>
      <c r="P8" s="866"/>
    </row>
    <row r="9" spans="1:16" s="863" customFormat="1" ht="6.75" customHeight="1" thickBot="1">
      <c r="A9" s="862"/>
      <c r="B9" s="862"/>
      <c r="C9" s="835"/>
      <c r="D9" s="798"/>
      <c r="E9" s="799"/>
      <c r="F9" s="799"/>
      <c r="G9" s="800"/>
      <c r="H9" s="800"/>
      <c r="I9" s="800"/>
      <c r="J9" s="800"/>
      <c r="K9" s="801"/>
      <c r="L9" s="802"/>
      <c r="M9" s="803"/>
      <c r="N9" s="869"/>
      <c r="P9" s="866"/>
    </row>
    <row r="10" spans="1:16" s="863" customFormat="1" ht="15.75" customHeight="1" thickTop="1" thickBot="1">
      <c r="A10" s="862"/>
      <c r="B10" s="862"/>
      <c r="C10" s="835"/>
      <c r="D10" s="1653" t="s">
        <v>14321</v>
      </c>
      <c r="E10" s="1654"/>
      <c r="F10" s="1654"/>
      <c r="G10" s="1654"/>
      <c r="H10" s="1654"/>
      <c r="I10" s="1654"/>
      <c r="J10" s="1654"/>
      <c r="K10" s="1654"/>
      <c r="L10" s="1654"/>
      <c r="M10" s="1670"/>
      <c r="N10" s="870"/>
      <c r="O10" s="871"/>
      <c r="P10" s="871"/>
    </row>
    <row r="11" spans="1:16" s="863" customFormat="1" ht="9" customHeight="1" thickTop="1" thickBot="1">
      <c r="A11" s="862"/>
      <c r="B11" s="862"/>
      <c r="C11" s="835"/>
      <c r="D11" s="806"/>
      <c r="E11" s="807"/>
      <c r="F11" s="808"/>
      <c r="G11" s="700"/>
      <c r="H11" s="700"/>
      <c r="I11" s="700"/>
      <c r="J11" s="809"/>
      <c r="K11" s="791"/>
      <c r="L11" s="802"/>
      <c r="M11" s="810"/>
      <c r="N11" s="700"/>
      <c r="P11" s="872"/>
    </row>
    <row r="12" spans="1:16" s="863" customFormat="1" ht="14.25" customHeight="1" thickTop="1" thickBot="1">
      <c r="A12" s="862"/>
      <c r="B12" s="862"/>
      <c r="C12" s="835"/>
      <c r="D12" s="1653" t="s">
        <v>3</v>
      </c>
      <c r="E12" s="1654"/>
      <c r="F12" s="1654"/>
      <c r="G12" s="1654"/>
      <c r="H12" s="1654"/>
      <c r="I12" s="1654"/>
      <c r="J12" s="1654"/>
      <c r="K12" s="1654"/>
      <c r="L12" s="1654"/>
      <c r="M12" s="1670"/>
      <c r="N12" s="816"/>
      <c r="P12" s="873"/>
    </row>
    <row r="13" spans="1:16" s="863" customFormat="1" ht="13.5" thickTop="1">
      <c r="A13" s="862"/>
      <c r="B13" s="862"/>
      <c r="C13" s="835"/>
      <c r="D13" s="814" t="s">
        <v>4</v>
      </c>
      <c r="E13" s="815"/>
      <c r="F13" s="815"/>
      <c r="G13" s="815"/>
      <c r="H13" s="815"/>
      <c r="I13" s="815"/>
      <c r="J13" s="815"/>
      <c r="K13" s="815"/>
      <c r="L13" s="816" t="s">
        <v>5</v>
      </c>
      <c r="M13" s="817">
        <f>'PARAMETROS MC'!C37</f>
        <v>7.5</v>
      </c>
      <c r="N13" s="874"/>
      <c r="O13" s="875"/>
      <c r="P13" s="871"/>
    </row>
    <row r="14" spans="1:16" s="863" customFormat="1">
      <c r="A14" s="862"/>
      <c r="B14" s="862"/>
      <c r="C14" s="835"/>
      <c r="D14" s="820" t="s">
        <v>34</v>
      </c>
      <c r="E14" s="821"/>
      <c r="F14" s="821"/>
      <c r="G14" s="821"/>
      <c r="H14" s="821"/>
      <c r="I14" s="821"/>
      <c r="J14" s="821"/>
      <c r="K14" s="821"/>
      <c r="L14" s="816" t="s">
        <v>5</v>
      </c>
      <c r="M14" s="817">
        <f>'PARAMETROS MC'!C38</f>
        <v>4.5999999999999996</v>
      </c>
      <c r="N14" s="874"/>
      <c r="O14" s="875"/>
      <c r="P14" s="871"/>
    </row>
    <row r="15" spans="1:16" s="863" customFormat="1">
      <c r="A15" s="862"/>
      <c r="B15" s="862"/>
      <c r="C15" s="835"/>
      <c r="D15" s="820" t="s">
        <v>6</v>
      </c>
      <c r="E15" s="821"/>
      <c r="F15" s="821"/>
      <c r="G15" s="821"/>
      <c r="H15" s="821"/>
      <c r="I15" s="821"/>
      <c r="J15" s="821"/>
      <c r="K15" s="821"/>
      <c r="L15" s="816" t="s">
        <v>8</v>
      </c>
      <c r="M15" s="822">
        <v>0.95</v>
      </c>
      <c r="N15" s="874"/>
      <c r="O15" s="875"/>
      <c r="P15" s="871"/>
    </row>
    <row r="16" spans="1:16" s="863" customFormat="1">
      <c r="A16" s="862"/>
      <c r="B16" s="862"/>
      <c r="C16" s="835"/>
      <c r="D16" s="820" t="s">
        <v>7</v>
      </c>
      <c r="E16" s="821"/>
      <c r="F16" s="821"/>
      <c r="G16" s="821"/>
      <c r="H16" s="821"/>
      <c r="I16" s="821"/>
      <c r="J16" s="821"/>
      <c r="K16" s="821"/>
      <c r="L16" s="816" t="s">
        <v>8</v>
      </c>
      <c r="M16" s="822">
        <v>0.05</v>
      </c>
      <c r="N16" s="874"/>
      <c r="O16" s="875"/>
      <c r="P16" s="871"/>
    </row>
    <row r="17" spans="1:19" s="863" customFormat="1">
      <c r="A17" s="862"/>
      <c r="B17" s="862"/>
      <c r="C17" s="835"/>
      <c r="D17" s="820" t="s">
        <v>9</v>
      </c>
      <c r="E17" s="821"/>
      <c r="F17" s="821"/>
      <c r="G17" s="821"/>
      <c r="H17" s="821"/>
      <c r="I17" s="821"/>
      <c r="J17" s="821"/>
      <c r="K17" s="821"/>
      <c r="L17" s="816" t="s">
        <v>8</v>
      </c>
      <c r="M17" s="822">
        <v>0.9</v>
      </c>
      <c r="N17" s="874"/>
      <c r="O17" s="875"/>
      <c r="P17" s="871"/>
    </row>
    <row r="18" spans="1:19" s="863" customFormat="1">
      <c r="A18" s="862"/>
      <c r="B18" s="862"/>
      <c r="C18" s="835"/>
      <c r="D18" s="820" t="s">
        <v>10</v>
      </c>
      <c r="E18" s="821"/>
      <c r="F18" s="821"/>
      <c r="G18" s="821"/>
      <c r="H18" s="821"/>
      <c r="I18" s="821"/>
      <c r="J18" s="821"/>
      <c r="K18" s="821"/>
      <c r="L18" s="816" t="s">
        <v>8</v>
      </c>
      <c r="M18" s="822">
        <v>0.05</v>
      </c>
      <c r="N18" s="874"/>
      <c r="O18" s="875"/>
      <c r="P18" s="871"/>
    </row>
    <row r="19" spans="1:19" s="863" customFormat="1">
      <c r="A19" s="862"/>
      <c r="B19" s="862"/>
      <c r="C19" s="835"/>
      <c r="D19" s="820" t="s">
        <v>11</v>
      </c>
      <c r="E19" s="821"/>
      <c r="F19" s="821"/>
      <c r="G19" s="821"/>
      <c r="H19" s="821"/>
      <c r="I19" s="821"/>
      <c r="J19" s="821"/>
      <c r="K19" s="821"/>
      <c r="L19" s="816" t="s">
        <v>8</v>
      </c>
      <c r="M19" s="822">
        <v>0</v>
      </c>
      <c r="N19" s="874"/>
      <c r="O19" s="875"/>
      <c r="P19" s="871"/>
    </row>
    <row r="20" spans="1:19" s="863" customFormat="1">
      <c r="A20" s="862"/>
      <c r="B20" s="862"/>
      <c r="C20" s="835"/>
      <c r="D20" s="820" t="s">
        <v>12</v>
      </c>
      <c r="E20" s="821"/>
      <c r="F20" s="821"/>
      <c r="G20" s="821"/>
      <c r="H20" s="821"/>
      <c r="I20" s="821"/>
      <c r="J20" s="821"/>
      <c r="K20" s="821"/>
      <c r="L20" s="816" t="s">
        <v>8</v>
      </c>
      <c r="M20" s="822">
        <v>0.05</v>
      </c>
      <c r="N20" s="874"/>
      <c r="O20" s="875"/>
      <c r="P20" s="871"/>
    </row>
    <row r="21" spans="1:19" s="863" customFormat="1">
      <c r="A21" s="862"/>
      <c r="B21" s="862"/>
      <c r="C21" s="835"/>
      <c r="D21" s="820" t="s">
        <v>13</v>
      </c>
      <c r="E21" s="821"/>
      <c r="F21" s="821"/>
      <c r="G21" s="821"/>
      <c r="H21" s="821"/>
      <c r="I21" s="821"/>
      <c r="J21" s="821"/>
      <c r="K21" s="821"/>
      <c r="L21" s="816" t="s">
        <v>8</v>
      </c>
      <c r="M21" s="822">
        <v>0.2</v>
      </c>
      <c r="N21" s="874"/>
      <c r="O21" s="875"/>
      <c r="P21" s="871"/>
    </row>
    <row r="22" spans="1:19" s="863" customFormat="1">
      <c r="A22" s="862"/>
      <c r="B22" s="862"/>
      <c r="C22" s="835"/>
      <c r="D22" s="820" t="s">
        <v>14</v>
      </c>
      <c r="E22" s="821"/>
      <c r="F22" s="821"/>
      <c r="G22" s="821"/>
      <c r="H22" s="821"/>
      <c r="I22" s="821"/>
      <c r="J22" s="821"/>
      <c r="K22" s="821"/>
      <c r="L22" s="816" t="s">
        <v>8</v>
      </c>
      <c r="M22" s="822">
        <v>0.2</v>
      </c>
      <c r="N22" s="874"/>
      <c r="O22" s="875"/>
      <c r="P22" s="871"/>
    </row>
    <row r="23" spans="1:19" s="863" customFormat="1">
      <c r="A23" s="862"/>
      <c r="B23" s="862"/>
      <c r="C23" s="835"/>
      <c r="D23" s="820" t="s">
        <v>15</v>
      </c>
      <c r="E23" s="821"/>
      <c r="F23" s="821"/>
      <c r="G23" s="821"/>
      <c r="H23" s="821"/>
      <c r="I23" s="821"/>
      <c r="J23" s="821"/>
      <c r="K23" s="821"/>
      <c r="L23" s="816" t="s">
        <v>8</v>
      </c>
      <c r="M23" s="822">
        <v>0.1</v>
      </c>
      <c r="N23" s="874"/>
      <c r="O23" s="875"/>
      <c r="P23" s="871"/>
    </row>
    <row r="24" spans="1:19" s="863" customFormat="1">
      <c r="A24" s="862"/>
      <c r="B24" s="862"/>
      <c r="C24" s="835"/>
      <c r="D24" s="820" t="s">
        <v>16</v>
      </c>
      <c r="E24" s="821"/>
      <c r="F24" s="821"/>
      <c r="G24" s="821"/>
      <c r="H24" s="821"/>
      <c r="I24" s="821"/>
      <c r="J24" s="821"/>
      <c r="K24" s="821"/>
      <c r="L24" s="816" t="s">
        <v>8</v>
      </c>
      <c r="M24" s="822">
        <v>0.9</v>
      </c>
      <c r="N24" s="874"/>
      <c r="O24" s="875"/>
      <c r="P24" s="871"/>
    </row>
    <row r="25" spans="1:19" ht="13.5" thickBot="1">
      <c r="D25" s="823"/>
      <c r="E25" s="700"/>
      <c r="F25" s="808"/>
      <c r="G25" s="700"/>
      <c r="H25" s="700"/>
      <c r="I25" s="700"/>
      <c r="J25" s="809"/>
      <c r="K25" s="791"/>
      <c r="L25" s="824"/>
      <c r="M25" s="825"/>
    </row>
    <row r="26" spans="1:19" s="863" customFormat="1" ht="14.25" thickTop="1" thickBot="1">
      <c r="A26" s="862"/>
      <c r="B26" s="862"/>
      <c r="C26" s="835"/>
      <c r="D26" s="830" t="s">
        <v>11640</v>
      </c>
      <c r="E26" s="831"/>
      <c r="F26" s="831"/>
      <c r="G26" s="831"/>
      <c r="H26" s="831"/>
      <c r="I26" s="831"/>
      <c r="J26" s="831"/>
      <c r="K26" s="831"/>
      <c r="L26" s="832"/>
      <c r="M26" s="833"/>
      <c r="N26" s="870"/>
      <c r="O26" s="871"/>
      <c r="P26" s="871"/>
    </row>
    <row r="27" spans="1:19" ht="13.5" thickTop="1">
      <c r="D27" s="826"/>
      <c r="E27" s="790"/>
      <c r="F27" s="790"/>
      <c r="G27" s="700" t="s">
        <v>30</v>
      </c>
      <c r="H27" s="700" t="s">
        <v>30</v>
      </c>
      <c r="I27" s="700" t="s">
        <v>1275</v>
      </c>
      <c r="J27" s="700" t="s">
        <v>17</v>
      </c>
      <c r="K27" s="700" t="s">
        <v>19</v>
      </c>
      <c r="L27" s="700" t="s">
        <v>30</v>
      </c>
      <c r="M27" s="876" t="s">
        <v>30</v>
      </c>
      <c r="N27" s="824"/>
      <c r="O27" s="790"/>
      <c r="P27" s="863"/>
      <c r="Q27" s="871"/>
      <c r="S27" s="863"/>
    </row>
    <row r="28" spans="1:19">
      <c r="D28" s="826"/>
      <c r="E28" s="790"/>
      <c r="F28" s="1674" t="s">
        <v>12514</v>
      </c>
      <c r="G28" s="1674"/>
      <c r="H28" s="700"/>
      <c r="I28" s="700">
        <v>2</v>
      </c>
      <c r="J28" s="828">
        <v>45</v>
      </c>
      <c r="K28" s="828">
        <v>30</v>
      </c>
      <c r="L28" s="700" t="s">
        <v>21</v>
      </c>
      <c r="M28" s="877">
        <f>J28*K28</f>
        <v>1350</v>
      </c>
      <c r="N28" s="824"/>
      <c r="O28" s="790"/>
      <c r="P28" s="863"/>
      <c r="Q28" s="871"/>
      <c r="S28" s="863"/>
    </row>
    <row r="29" spans="1:19" ht="22.5">
      <c r="A29" s="862" t="s">
        <v>14330</v>
      </c>
      <c r="B29" s="850" t="s">
        <v>70</v>
      </c>
      <c r="C29" s="850" t="s">
        <v>19163</v>
      </c>
      <c r="D29" s="836" t="str">
        <f>PROPER(IF(B29="Saneago",VLOOKUP(C29,'SANEAGO-FEV.2016'!A:B,2,0),IF(B29="Sinapi",VLOOKUP(C29,'SINAPI-FEV.2017'!A:D,2,0),IF(B29="Cotação",VLOOKUP(C29,COTAÇÃO!A:D,2,0),IF(B29="Composição",VLOOKUP(C29,COMPOSIÇÃO!A:D,2,0))))))</f>
        <v>Limpeza Mecanizada De Terreno Com Remocao De Camada Vegetal, Utilizando Motoniveladora</v>
      </c>
      <c r="E29" s="837"/>
      <c r="F29" s="837"/>
      <c r="G29" s="852"/>
      <c r="H29" s="852"/>
      <c r="I29" s="852"/>
      <c r="J29" s="852"/>
      <c r="K29" s="856" t="s">
        <v>27</v>
      </c>
      <c r="L29" s="856" t="s">
        <v>21</v>
      </c>
      <c r="M29" s="840">
        <f>SUM(M28:M28)</f>
        <v>1350</v>
      </c>
      <c r="N29" s="824"/>
      <c r="O29" s="790"/>
      <c r="P29" s="863"/>
      <c r="Q29" s="871"/>
      <c r="S29" s="863"/>
    </row>
    <row r="30" spans="1:19">
      <c r="D30" s="826"/>
      <c r="E30" s="790"/>
      <c r="F30" s="790"/>
      <c r="G30" s="700" t="s">
        <v>30</v>
      </c>
      <c r="H30" s="700" t="s">
        <v>30</v>
      </c>
      <c r="I30" s="700" t="s">
        <v>1275</v>
      </c>
      <c r="J30" s="700" t="s">
        <v>17</v>
      </c>
      <c r="K30" s="700" t="s">
        <v>19</v>
      </c>
      <c r="L30" s="700" t="s">
        <v>30</v>
      </c>
      <c r="M30" s="876" t="s">
        <v>30</v>
      </c>
      <c r="N30" s="824"/>
      <c r="O30" s="790"/>
      <c r="P30" s="863"/>
      <c r="Q30" s="871"/>
      <c r="S30" s="863"/>
    </row>
    <row r="31" spans="1:19">
      <c r="B31" s="850"/>
      <c r="C31" s="850"/>
      <c r="D31" s="826"/>
      <c r="E31" s="790"/>
      <c r="F31" s="1674" t="s">
        <v>12514</v>
      </c>
      <c r="G31" s="1674"/>
      <c r="H31" s="700"/>
      <c r="I31" s="700">
        <v>2</v>
      </c>
      <c r="J31" s="828">
        <v>45</v>
      </c>
      <c r="K31" s="828">
        <v>30</v>
      </c>
      <c r="L31" s="700" t="s">
        <v>21</v>
      </c>
      <c r="M31" s="877">
        <f>J31*K31</f>
        <v>1350</v>
      </c>
      <c r="N31" s="824"/>
      <c r="O31" s="790"/>
      <c r="P31" s="863"/>
      <c r="Q31" s="871"/>
      <c r="S31" s="863"/>
    </row>
    <row r="32" spans="1:19">
      <c r="B32" s="850"/>
      <c r="C32" s="850"/>
      <c r="D32" s="826"/>
      <c r="E32" s="790"/>
      <c r="F32" s="854"/>
      <c r="G32" s="854"/>
      <c r="H32" s="700"/>
      <c r="I32" s="700"/>
      <c r="J32" s="828"/>
      <c r="K32" s="828"/>
      <c r="L32" s="700"/>
      <c r="M32" s="877"/>
      <c r="N32" s="824"/>
      <c r="O32" s="790"/>
      <c r="P32" s="863"/>
      <c r="Q32" s="871"/>
      <c r="S32" s="863"/>
    </row>
    <row r="33" spans="1:19">
      <c r="A33" s="862" t="s">
        <v>14331</v>
      </c>
      <c r="B33" s="850" t="s">
        <v>70</v>
      </c>
      <c r="C33" s="850" t="s">
        <v>19153</v>
      </c>
      <c r="D33" s="836" t="str">
        <f>PROPER(IF(B33="Saneago",VLOOKUP(C33,'SANEAGO-FEV.2016'!A:B,2,0),IF(B33="Sinapi",VLOOKUP(C33,'SINAPI-FEV.2017'!A:D,2,0),IF(B33="Cotação",VLOOKUP(C33,COTAÇÃO!A:D,2,0),IF(B33="Composição",VLOOKUP(C33,COMPOSIÇÃO!A:D,2,0))))))</f>
        <v>Limpeza Manual Do Terreno (C/ Raspagem Superficial)</v>
      </c>
      <c r="E33" s="837"/>
      <c r="F33" s="837"/>
      <c r="G33" s="852"/>
      <c r="H33" s="852"/>
      <c r="I33" s="852"/>
      <c r="J33" s="852"/>
      <c r="K33" s="856" t="s">
        <v>27</v>
      </c>
      <c r="L33" s="856" t="s">
        <v>21</v>
      </c>
      <c r="M33" s="840">
        <f>SUM(M31:M31)</f>
        <v>1350</v>
      </c>
      <c r="N33" s="824"/>
      <c r="O33" s="790"/>
      <c r="P33" s="863"/>
      <c r="Q33" s="871"/>
      <c r="S33" s="863"/>
    </row>
    <row r="34" spans="1:19">
      <c r="B34" s="850"/>
      <c r="C34" s="850"/>
      <c r="D34" s="826"/>
      <c r="E34" s="790"/>
      <c r="F34" s="790"/>
      <c r="G34" s="700"/>
      <c r="H34" s="700" t="s">
        <v>30</v>
      </c>
      <c r="I34" s="700" t="s">
        <v>1275</v>
      </c>
      <c r="J34" s="700" t="s">
        <v>17</v>
      </c>
      <c r="K34" s="700" t="s">
        <v>19</v>
      </c>
      <c r="L34" s="700"/>
      <c r="M34" s="829"/>
      <c r="N34" s="824"/>
      <c r="O34" s="790"/>
      <c r="P34" s="863"/>
      <c r="Q34" s="871"/>
      <c r="S34" s="863"/>
    </row>
    <row r="35" spans="1:19">
      <c r="B35" s="850"/>
      <c r="C35" s="850"/>
      <c r="D35" s="826"/>
      <c r="E35" s="790"/>
      <c r="F35" s="1674" t="s">
        <v>12513</v>
      </c>
      <c r="G35" s="1674"/>
      <c r="H35" s="824"/>
      <c r="I35" s="700">
        <v>2</v>
      </c>
      <c r="J35" s="828">
        <v>43.65</v>
      </c>
      <c r="K35" s="828">
        <v>10</v>
      </c>
      <c r="L35" s="700" t="s">
        <v>21</v>
      </c>
      <c r="M35" s="829">
        <f>I35*J35*K35</f>
        <v>873</v>
      </c>
      <c r="N35" s="824"/>
      <c r="O35" s="790"/>
      <c r="P35" s="863"/>
      <c r="Q35" s="871"/>
      <c r="S35" s="863"/>
    </row>
    <row r="36" spans="1:19">
      <c r="B36" s="850"/>
      <c r="C36" s="850"/>
      <c r="D36" s="826"/>
      <c r="E36" s="790"/>
      <c r="F36" s="790"/>
      <c r="G36" s="700"/>
      <c r="H36" s="854"/>
      <c r="I36" s="854"/>
      <c r="J36" s="828"/>
      <c r="K36" s="828"/>
      <c r="L36" s="700"/>
      <c r="M36" s="829"/>
      <c r="N36" s="824"/>
      <c r="O36" s="790"/>
      <c r="P36" s="863"/>
      <c r="Q36" s="871"/>
      <c r="S36" s="863"/>
    </row>
    <row r="37" spans="1:19" ht="22.5">
      <c r="A37" s="862" t="s">
        <v>12491</v>
      </c>
      <c r="B37" s="850" t="s">
        <v>70</v>
      </c>
      <c r="C37" s="850" t="s">
        <v>19263</v>
      </c>
      <c r="D37" s="836" t="str">
        <f>PROPER(IF(B37="Saneago",VLOOKUP(C37,'SANEAGO-FEV.2016'!A:B,2,0),IF(B37="Sinapi",VLOOKUP(C37,'SINAPI-FEV.2017'!A:D,2,0),IF(B37="Cotação",VLOOKUP(C37,COTAÇÃO!A:D,2,0),IF(B37="Composição",VLOOKUP(C37,COMPOSIÇÃO!A:D,2,0))))))</f>
        <v>Locacao Convencional De Obra, Através De Gabarito De Tabuas Corridas Pontaletadas A Cada 1,50M, Sem Reaproveitamento</v>
      </c>
      <c r="E37" s="837"/>
      <c r="F37" s="837"/>
      <c r="G37" s="852"/>
      <c r="H37" s="852"/>
      <c r="I37" s="852"/>
      <c r="J37" s="852"/>
      <c r="K37" s="856" t="s">
        <v>27</v>
      </c>
      <c r="L37" s="856" t="s">
        <v>21</v>
      </c>
      <c r="M37" s="840">
        <f>SUM(M35:M35)</f>
        <v>873</v>
      </c>
      <c r="N37" s="824"/>
      <c r="O37" s="790"/>
      <c r="P37" s="863"/>
      <c r="Q37" s="871"/>
      <c r="S37" s="863"/>
    </row>
    <row r="38" spans="1:19" s="863" customFormat="1" ht="13.5" thickBot="1">
      <c r="A38" s="862"/>
      <c r="B38" s="850"/>
      <c r="C38" s="850"/>
      <c r="D38" s="826"/>
      <c r="E38" s="790"/>
      <c r="F38" s="790"/>
      <c r="G38" s="828"/>
      <c r="H38" s="828"/>
      <c r="I38" s="828"/>
      <c r="J38" s="828"/>
      <c r="K38" s="828"/>
      <c r="L38" s="700"/>
      <c r="M38" s="829"/>
      <c r="N38" s="700"/>
      <c r="P38" s="871"/>
    </row>
    <row r="39" spans="1:19" s="863" customFormat="1" ht="14.25" thickTop="1" thickBot="1">
      <c r="A39" s="862"/>
      <c r="B39" s="850"/>
      <c r="C39" s="850"/>
      <c r="D39" s="830" t="s">
        <v>41</v>
      </c>
      <c r="E39" s="831"/>
      <c r="F39" s="831"/>
      <c r="G39" s="831"/>
      <c r="H39" s="831"/>
      <c r="I39" s="831"/>
      <c r="J39" s="831"/>
      <c r="K39" s="831"/>
      <c r="L39" s="832"/>
      <c r="M39" s="833"/>
      <c r="N39" s="870"/>
      <c r="O39" s="871"/>
      <c r="P39" s="871"/>
    </row>
    <row r="40" spans="1:19" s="863" customFormat="1" ht="13.5" thickTop="1">
      <c r="A40" s="862"/>
      <c r="B40" s="850"/>
      <c r="C40" s="850"/>
      <c r="D40" s="878"/>
      <c r="E40" s="816"/>
      <c r="F40" s="816"/>
      <c r="G40" s="700" t="s">
        <v>30</v>
      </c>
      <c r="H40" s="700" t="s">
        <v>30</v>
      </c>
      <c r="I40" s="700" t="s">
        <v>30</v>
      </c>
      <c r="J40" s="700" t="s">
        <v>30</v>
      </c>
      <c r="K40" s="700" t="s">
        <v>30</v>
      </c>
      <c r="L40" s="700"/>
      <c r="M40" s="879"/>
      <c r="N40" s="700"/>
      <c r="P40" s="871"/>
    </row>
    <row r="41" spans="1:19" s="863" customFormat="1">
      <c r="A41" s="862"/>
      <c r="B41" s="862"/>
      <c r="C41" s="835"/>
      <c r="D41" s="836" t="s">
        <v>11766</v>
      </c>
      <c r="E41" s="837"/>
      <c r="F41" s="837"/>
      <c r="G41" s="880"/>
      <c r="H41" s="880"/>
      <c r="I41" s="880"/>
      <c r="J41" s="880"/>
      <c r="K41" s="880"/>
      <c r="L41" s="852" t="s">
        <v>18</v>
      </c>
      <c r="M41" s="853">
        <v>0.6</v>
      </c>
      <c r="N41" s="700"/>
      <c r="P41" s="871"/>
    </row>
    <row r="42" spans="1:19" s="863" customFormat="1">
      <c r="A42" s="862"/>
      <c r="B42" s="862"/>
      <c r="C42" s="835"/>
      <c r="D42" s="881"/>
      <c r="E42" s="882"/>
      <c r="F42" s="882"/>
      <c r="G42" s="700"/>
      <c r="H42" s="700"/>
      <c r="I42" s="700"/>
      <c r="J42" s="700"/>
      <c r="K42" s="700"/>
      <c r="L42" s="883"/>
      <c r="M42" s="884"/>
      <c r="N42" s="700"/>
      <c r="P42" s="871"/>
    </row>
    <row r="43" spans="1:19" s="863" customFormat="1" ht="15">
      <c r="A43" s="862"/>
      <c r="B43" s="862"/>
      <c r="C43" s="835"/>
      <c r="D43" s="836" t="s">
        <v>11668</v>
      </c>
      <c r="E43" s="837"/>
      <c r="F43" s="837"/>
      <c r="G43" s="852"/>
      <c r="H43" s="852"/>
      <c r="I43" s="852"/>
      <c r="J43" s="852"/>
      <c r="K43" s="852"/>
      <c r="L43" s="852"/>
      <c r="M43" s="885">
        <v>25</v>
      </c>
      <c r="N43" s="700"/>
      <c r="O43" s="886"/>
      <c r="P43" s="871"/>
    </row>
    <row r="44" spans="1:19" s="863" customFormat="1">
      <c r="A44" s="862"/>
      <c r="B44" s="862"/>
      <c r="C44" s="835"/>
      <c r="D44" s="881"/>
      <c r="E44" s="882"/>
      <c r="F44" s="882"/>
      <c r="G44" s="700"/>
      <c r="H44" s="700"/>
      <c r="I44" s="700" t="s">
        <v>11671</v>
      </c>
      <c r="J44" s="700" t="s">
        <v>11672</v>
      </c>
      <c r="K44" s="700" t="s">
        <v>11673</v>
      </c>
      <c r="L44" s="883"/>
      <c r="M44" s="884"/>
      <c r="N44" s="700"/>
      <c r="P44" s="871"/>
    </row>
    <row r="45" spans="1:19" s="863" customFormat="1" ht="15">
      <c r="A45" s="862"/>
      <c r="B45" s="862"/>
      <c r="C45" s="835"/>
      <c r="D45" s="836" t="s">
        <v>11670</v>
      </c>
      <c r="E45" s="837"/>
      <c r="F45" s="837"/>
      <c r="G45" s="852"/>
      <c r="H45" s="852"/>
      <c r="I45" s="852">
        <v>0</v>
      </c>
      <c r="J45" s="852">
        <v>0.15</v>
      </c>
      <c r="K45" s="852">
        <v>0.05</v>
      </c>
      <c r="L45" s="852" t="s">
        <v>18</v>
      </c>
      <c r="M45" s="853">
        <f>SUM(I45:K45)</f>
        <v>0.2</v>
      </c>
      <c r="N45" s="700"/>
      <c r="O45" s="886"/>
      <c r="P45" s="871"/>
    </row>
    <row r="46" spans="1:19" s="863" customFormat="1">
      <c r="A46" s="862"/>
      <c r="B46" s="862"/>
      <c r="C46" s="835"/>
      <c r="D46" s="887"/>
      <c r="E46" s="883" t="s">
        <v>30</v>
      </c>
      <c r="F46" s="1144" t="s">
        <v>30</v>
      </c>
      <c r="G46" s="883" t="s">
        <v>1275</v>
      </c>
      <c r="H46" s="883" t="s">
        <v>17</v>
      </c>
      <c r="I46" s="883" t="s">
        <v>19</v>
      </c>
      <c r="J46" s="883" t="s">
        <v>32</v>
      </c>
      <c r="K46" s="1145" t="s">
        <v>30</v>
      </c>
      <c r="L46" s="1145" t="s">
        <v>30</v>
      </c>
      <c r="M46" s="1145" t="s">
        <v>30</v>
      </c>
      <c r="N46" s="700"/>
      <c r="P46" s="871"/>
    </row>
    <row r="47" spans="1:19" s="863" customFormat="1">
      <c r="A47" s="862"/>
      <c r="B47" s="862"/>
      <c r="C47" s="835"/>
      <c r="D47" s="888"/>
      <c r="E47" s="1674" t="s">
        <v>20379</v>
      </c>
      <c r="F47" s="1674"/>
      <c r="G47" s="889">
        <f>3*10</f>
        <v>30</v>
      </c>
      <c r="H47" s="828">
        <v>10</v>
      </c>
      <c r="I47" s="828">
        <v>0.6</v>
      </c>
      <c r="J47" s="889">
        <v>0.4</v>
      </c>
      <c r="K47" s="700"/>
      <c r="L47" s="700" t="s">
        <v>21</v>
      </c>
      <c r="M47" s="955">
        <f>G47*H47*I47*J47</f>
        <v>72</v>
      </c>
      <c r="N47" s="700"/>
      <c r="P47" s="871"/>
    </row>
    <row r="48" spans="1:19" s="863" customFormat="1">
      <c r="A48" s="862"/>
      <c r="B48" s="862"/>
      <c r="C48" s="835"/>
      <c r="D48" s="888"/>
      <c r="E48" s="700"/>
      <c r="F48" s="700"/>
      <c r="G48" s="700"/>
      <c r="H48" s="889"/>
      <c r="I48" s="889"/>
      <c r="J48" s="828"/>
      <c r="K48" s="828"/>
      <c r="L48" s="700"/>
      <c r="M48" s="890"/>
      <c r="N48" s="700"/>
      <c r="P48" s="871"/>
    </row>
    <row r="49" spans="1:16" s="863" customFormat="1">
      <c r="A49" s="862"/>
      <c r="B49" s="862"/>
      <c r="C49" s="835"/>
      <c r="D49" s="836" t="s">
        <v>12515</v>
      </c>
      <c r="E49" s="837"/>
      <c r="F49" s="837"/>
      <c r="G49" s="838"/>
      <c r="H49" s="838"/>
      <c r="I49" s="838"/>
      <c r="J49" s="838"/>
      <c r="K49" s="839" t="s">
        <v>27</v>
      </c>
      <c r="L49" s="856" t="s">
        <v>22</v>
      </c>
      <c r="M49" s="840">
        <f>M47</f>
        <v>72</v>
      </c>
      <c r="N49" s="700"/>
      <c r="P49" s="871"/>
    </row>
    <row r="50" spans="1:16" s="863" customFormat="1">
      <c r="A50" s="862"/>
      <c r="B50" s="862"/>
      <c r="C50" s="835"/>
      <c r="D50" s="826"/>
      <c r="E50" s="790"/>
      <c r="F50" s="790"/>
      <c r="G50" s="700"/>
      <c r="H50" s="700"/>
      <c r="I50" s="700"/>
      <c r="J50" s="700"/>
      <c r="K50" s="700"/>
      <c r="L50" s="700"/>
      <c r="M50" s="890"/>
      <c r="N50" s="700"/>
      <c r="P50" s="871"/>
    </row>
    <row r="51" spans="1:16" s="863" customFormat="1">
      <c r="A51" s="862"/>
      <c r="B51" s="862"/>
      <c r="C51" s="835"/>
      <c r="D51" s="836" t="s">
        <v>11786</v>
      </c>
      <c r="E51" s="837"/>
      <c r="F51" s="837"/>
      <c r="G51" s="838"/>
      <c r="H51" s="838"/>
      <c r="I51" s="838"/>
      <c r="J51" s="838"/>
      <c r="K51" s="838"/>
      <c r="L51" s="852" t="s">
        <v>22</v>
      </c>
      <c r="M51" s="853">
        <f>ROUND((K51/3)*((I51*J51)+SQRT((I51*J51)*(G51*H51))+(G51*H51)),2)</f>
        <v>0</v>
      </c>
      <c r="N51" s="700"/>
      <c r="P51" s="871"/>
    </row>
    <row r="52" spans="1:16" s="863" customFormat="1">
      <c r="A52" s="862"/>
      <c r="B52" s="862"/>
      <c r="C52" s="835"/>
      <c r="D52" s="881"/>
      <c r="E52" s="882"/>
      <c r="F52" s="882"/>
      <c r="G52" s="700"/>
      <c r="H52" s="700"/>
      <c r="I52" s="700"/>
      <c r="J52" s="700" t="s">
        <v>11696</v>
      </c>
      <c r="K52" s="700" t="s">
        <v>11641</v>
      </c>
      <c r="L52" s="883"/>
      <c r="M52" s="884"/>
      <c r="N52" s="700"/>
      <c r="P52" s="871"/>
    </row>
    <row r="53" spans="1:16" s="863" customFormat="1" ht="45">
      <c r="A53" s="862" t="s">
        <v>12492</v>
      </c>
      <c r="B53" s="862" t="s">
        <v>70</v>
      </c>
      <c r="C53" s="893">
        <v>90105</v>
      </c>
      <c r="D53" s="894" t="str">
        <f>PROPER(IF(B53="Saneago",VLOOKUP(C53,'SANEAGO-FEV.2016'!A:B,2,0),IF(B53="Sinapi",VLOOKUP(C53,'SINAPI-FEV.2017'!A:D,2,0),IF(B53="Cotação",VLOOKUP(C53,COTAÇÃO!A:D,2,0),IF(B53="Composição",VLOOKUP(C53,COMPOSIÇÃO!A:D,2,0))))))</f>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
      <c r="E53" s="895"/>
      <c r="F53" s="895"/>
      <c r="G53" s="852"/>
      <c r="H53" s="852"/>
      <c r="I53" s="852"/>
      <c r="J53" s="896">
        <f>M15</f>
        <v>0.95</v>
      </c>
      <c r="K53" s="896">
        <f>M17</f>
        <v>0.9</v>
      </c>
      <c r="L53" s="852" t="s">
        <v>22</v>
      </c>
      <c r="M53" s="853">
        <f>K53*$M$49*J53</f>
        <v>61.559999999999995</v>
      </c>
      <c r="N53" s="700"/>
      <c r="P53" s="871"/>
    </row>
    <row r="54" spans="1:16" s="863" customFormat="1" hidden="1">
      <c r="A54" s="862"/>
      <c r="B54" s="862"/>
      <c r="C54" s="893"/>
      <c r="D54" s="881"/>
      <c r="E54" s="882"/>
      <c r="F54" s="882"/>
      <c r="G54" s="700"/>
      <c r="H54" s="700"/>
      <c r="I54" s="700"/>
      <c r="J54" s="700" t="s">
        <v>11696</v>
      </c>
      <c r="K54" s="700" t="s">
        <v>11641</v>
      </c>
      <c r="L54" s="883"/>
      <c r="M54" s="884"/>
      <c r="N54" s="700"/>
      <c r="P54" s="871"/>
    </row>
    <row r="55" spans="1:16" s="863" customFormat="1" ht="22.5" hidden="1">
      <c r="A55" s="862" t="s">
        <v>12493</v>
      </c>
      <c r="B55" s="862" t="s">
        <v>10852</v>
      </c>
      <c r="C55" s="893">
        <v>182</v>
      </c>
      <c r="D55" s="894" t="str">
        <f>PROPER(IF(B55="Saneago",VLOOKUP(C55,'SANEAGO-FEV.2016'!A:B,2,0),IF(B55="Sinapi",VLOOKUP(C55,'SINAPI-FEV.2017'!A:D,2,0),IF(B55="Cotação",VLOOKUP(C55,COTAÇÃO!A:D,2,0),IF(B55="Composição",VLOOKUP(C55,COMPOSIÇÃO!A:D,2,0))))))</f>
        <v>Escavação  Mecanizada  (Com Escavadeira Hidráulica)  Em Valas Com Material De 1ª Categoria - Profundidade De 2,0 A 4,0M</v>
      </c>
      <c r="E55" s="895"/>
      <c r="F55" s="895"/>
      <c r="G55" s="852"/>
      <c r="H55" s="852"/>
      <c r="I55" s="852"/>
      <c r="J55" s="896">
        <f>J53</f>
        <v>0.95</v>
      </c>
      <c r="K55" s="896">
        <f>K53</f>
        <v>0.9</v>
      </c>
      <c r="L55" s="852" t="s">
        <v>22</v>
      </c>
      <c r="M55" s="853">
        <f>K55*M$51*J55</f>
        <v>0</v>
      </c>
      <c r="N55" s="700"/>
      <c r="P55" s="871"/>
    </row>
    <row r="56" spans="1:16" s="863" customFormat="1">
      <c r="A56" s="862"/>
      <c r="B56" s="862"/>
      <c r="C56" s="893"/>
      <c r="D56" s="881"/>
      <c r="E56" s="882"/>
      <c r="F56" s="882"/>
      <c r="G56" s="700"/>
      <c r="H56" s="700"/>
      <c r="I56" s="700"/>
      <c r="J56" s="700" t="s">
        <v>11696</v>
      </c>
      <c r="K56" s="700" t="s">
        <v>11642</v>
      </c>
      <c r="L56" s="883"/>
      <c r="M56" s="884"/>
      <c r="N56" s="700"/>
      <c r="P56" s="871"/>
    </row>
    <row r="57" spans="1:16" s="863" customFormat="1" ht="33.75">
      <c r="A57" s="862" t="s">
        <v>12494</v>
      </c>
      <c r="B57" s="862" t="s">
        <v>10852</v>
      </c>
      <c r="C57" s="893">
        <v>184</v>
      </c>
      <c r="D57" s="894" t="str">
        <f>PROPER(IF(B57="Saneago",VLOOKUP(C57,'SANEAGO-FEV.2016'!A:B,2,0),IF(B57="Sinapi",VLOOKUP(C57,'SINAPI-FEV.2017'!A:D,2,0),IF(B57="Cotação",VLOOKUP(C57,COTAÇÃO!A:D,2,0),IF(B57="Composição",VLOOKUP(C57,COMPOSIÇÃO!A:D,2,0))))))</f>
        <v>Escavação  Mecanizada  (Com Escavadeira Hidráulica)  Em Valas Com Material De 2ª Categoria
- Profundidade Até 2,0 M</v>
      </c>
      <c r="E57" s="895"/>
      <c r="F57" s="895"/>
      <c r="G57" s="852"/>
      <c r="H57" s="852"/>
      <c r="I57" s="852"/>
      <c r="J57" s="896">
        <f>J55</f>
        <v>0.95</v>
      </c>
      <c r="K57" s="896">
        <f>M18</f>
        <v>0.05</v>
      </c>
      <c r="L57" s="852" t="s">
        <v>22</v>
      </c>
      <c r="M57" s="853">
        <f>K57*$M$49*J57</f>
        <v>3.42</v>
      </c>
      <c r="N57" s="700"/>
      <c r="P57" s="871"/>
    </row>
    <row r="58" spans="1:16" s="863" customFormat="1" hidden="1">
      <c r="A58" s="862"/>
      <c r="B58" s="862"/>
      <c r="C58" s="835"/>
      <c r="D58" s="881"/>
      <c r="E58" s="882"/>
      <c r="F58" s="882"/>
      <c r="G58" s="700"/>
      <c r="H58" s="700"/>
      <c r="I58" s="700"/>
      <c r="J58" s="700" t="s">
        <v>11696</v>
      </c>
      <c r="K58" s="700" t="s">
        <v>11642</v>
      </c>
      <c r="L58" s="883"/>
      <c r="M58" s="884"/>
      <c r="N58" s="700"/>
      <c r="P58" s="871"/>
    </row>
    <row r="59" spans="1:16" s="863" customFormat="1" ht="33.75" hidden="1">
      <c r="A59" s="862" t="s">
        <v>12495</v>
      </c>
      <c r="B59" s="862" t="s">
        <v>10852</v>
      </c>
      <c r="C59" s="893">
        <v>185</v>
      </c>
      <c r="D59" s="894" t="str">
        <f>PROPER(IF(B59="Saneago",VLOOKUP(C59,'SANEAGO-FEV.2016'!A:B,2,0),IF(B59="Sinapi",VLOOKUP(C59,'SINAPI-FEV.2017'!A:D,2,0),IF(B59="Cotação",VLOOKUP(C59,COTAÇÃO!A:D,2,0),IF(B59="Composição",VLOOKUP(C59,COMPOSIÇÃO!A:D,2,0))))))</f>
        <v>Escavação  Mecanizada  (Com Escavadeira Hidráulica)  Em Valas Com Material De 2ª Categoria
- Profundidade De 2,0 A 4,0 M</v>
      </c>
      <c r="E59" s="895"/>
      <c r="F59" s="895"/>
      <c r="G59" s="852"/>
      <c r="H59" s="852"/>
      <c r="I59" s="852"/>
      <c r="J59" s="896">
        <f>J57</f>
        <v>0.95</v>
      </c>
      <c r="K59" s="896">
        <f>K57</f>
        <v>0.05</v>
      </c>
      <c r="L59" s="852" t="s">
        <v>22</v>
      </c>
      <c r="M59" s="853">
        <f>K59*M$51*J59</f>
        <v>0</v>
      </c>
      <c r="N59" s="700"/>
      <c r="P59" s="871"/>
    </row>
    <row r="60" spans="1:16" s="863" customFormat="1">
      <c r="A60" s="862"/>
      <c r="B60" s="862"/>
      <c r="C60" s="835"/>
      <c r="D60" s="881"/>
      <c r="E60" s="882"/>
      <c r="F60" s="882"/>
      <c r="G60" s="700"/>
      <c r="H60" s="700"/>
      <c r="I60" s="700"/>
      <c r="J60" s="700" t="s">
        <v>11696</v>
      </c>
      <c r="K60" s="700" t="s">
        <v>11677</v>
      </c>
      <c r="L60" s="883"/>
      <c r="M60" s="884"/>
      <c r="N60" s="700"/>
      <c r="P60" s="871"/>
    </row>
    <row r="61" spans="1:16" s="863" customFormat="1" ht="22.5">
      <c r="A61" s="862" t="s">
        <v>12496</v>
      </c>
      <c r="B61" s="862" t="s">
        <v>10852</v>
      </c>
      <c r="C61" s="893">
        <v>187</v>
      </c>
      <c r="D61" s="894" t="str">
        <f>PROPER(IF(B61="Saneago",VLOOKUP(C61,'SANEAGO-FEV.2016'!A:B,2,0),IF(B61="Sinapi",VLOOKUP(C61,'SINAPI-FEV.2017'!A:D,2,0),IF(B61="Cotação",VLOOKUP(C61,COTAÇÃO!A:D,2,0),IF(B61="Composição",VLOOKUP(C61,COMPOSIÇÃO!A:D,2,0))))))</f>
        <v>Escavação  Mecanizada  (Com Escavadeira Hidráulica)  Em Valas Com Material  De Solo Mole - Profundidade Até 2,0 M</v>
      </c>
      <c r="E61" s="895"/>
      <c r="F61" s="895"/>
      <c r="G61" s="852"/>
      <c r="H61" s="852"/>
      <c r="I61" s="852"/>
      <c r="J61" s="896">
        <f>J59</f>
        <v>0.95</v>
      </c>
      <c r="K61" s="896">
        <f>M20</f>
        <v>0.05</v>
      </c>
      <c r="L61" s="852" t="s">
        <v>22</v>
      </c>
      <c r="M61" s="853">
        <f>K61*$M$49*J61</f>
        <v>3.42</v>
      </c>
      <c r="N61" s="700"/>
      <c r="P61" s="871"/>
    </row>
    <row r="62" spans="1:16" s="863" customFormat="1" hidden="1">
      <c r="A62" s="862"/>
      <c r="B62" s="862"/>
      <c r="C62" s="835"/>
      <c r="D62" s="881"/>
      <c r="E62" s="882"/>
      <c r="F62" s="882"/>
      <c r="G62" s="700"/>
      <c r="H62" s="700"/>
      <c r="I62" s="700"/>
      <c r="J62" s="700" t="s">
        <v>11696</v>
      </c>
      <c r="K62" s="700" t="s">
        <v>11677</v>
      </c>
      <c r="L62" s="883"/>
      <c r="M62" s="884"/>
      <c r="N62" s="700"/>
      <c r="P62" s="871"/>
    </row>
    <row r="63" spans="1:16" s="863" customFormat="1" ht="22.5" hidden="1">
      <c r="A63" s="862" t="s">
        <v>12497</v>
      </c>
      <c r="B63" s="862" t="s">
        <v>10852</v>
      </c>
      <c r="C63" s="893">
        <v>188</v>
      </c>
      <c r="D63" s="894" t="str">
        <f>PROPER(IF(B63="Saneago",VLOOKUP(C63,'SANEAGO-FEV.2016'!A:B,2,0),IF(B63="Sinapi",VLOOKUP(C63,'SINAPI-FEV.2017'!A:D,2,0),IF(B63="Cotação",VLOOKUP(C63,COTAÇÃO!A:D,2,0),IF(B63="Composição",VLOOKUP(C63,COMPOSIÇÃO!A:D,2,0))))))</f>
        <v>Escavação  Mecanizada  (Com Escavadeira Hidráulica)  Em Valas Com Material  De Solo Mole - Profundidade De 2,0 A 4,0 M</v>
      </c>
      <c r="E63" s="895"/>
      <c r="F63" s="895"/>
      <c r="G63" s="852"/>
      <c r="H63" s="852"/>
      <c r="I63" s="852"/>
      <c r="J63" s="896">
        <f>J61</f>
        <v>0.95</v>
      </c>
      <c r="K63" s="896">
        <f>K61</f>
        <v>0.05</v>
      </c>
      <c r="L63" s="852" t="s">
        <v>22</v>
      </c>
      <c r="M63" s="853">
        <f>K63*M$51*J63</f>
        <v>0</v>
      </c>
      <c r="N63" s="700"/>
      <c r="P63" s="871"/>
    </row>
    <row r="64" spans="1:16" s="863" customFormat="1">
      <c r="A64" s="862"/>
      <c r="B64" s="862"/>
      <c r="C64" s="835"/>
      <c r="D64" s="881"/>
      <c r="E64" s="882"/>
      <c r="F64" s="882"/>
      <c r="G64" s="700"/>
      <c r="H64" s="700"/>
      <c r="I64" s="700"/>
      <c r="J64" s="700" t="s">
        <v>11696</v>
      </c>
      <c r="K64" s="700" t="s">
        <v>11641</v>
      </c>
      <c r="L64" s="883"/>
      <c r="M64" s="884"/>
      <c r="N64" s="700"/>
      <c r="P64" s="871"/>
    </row>
    <row r="65" spans="1:16" s="863" customFormat="1">
      <c r="A65" s="862" t="s">
        <v>12498</v>
      </c>
      <c r="B65" s="862" t="s">
        <v>70</v>
      </c>
      <c r="C65" s="893">
        <v>93358</v>
      </c>
      <c r="D65" s="894" t="str">
        <f>PROPER(IF(B65="Saneago",VLOOKUP(C65,'SANEAGO-FEV.2016'!A:B,2,0),IF(B65="Sinapi",VLOOKUP(C65,'SINAPI-FEV.2017'!A:D,2,0),IF(B65="Cotação",VLOOKUP(C65,COTAÇÃO!A:D,2,0),IF(B65="Composição",VLOOKUP(C65,COMPOSIÇÃO!A:D,2,0))))))</f>
        <v>Escavação Manual De Valas. Af_03/2016</v>
      </c>
      <c r="E65" s="895"/>
      <c r="F65" s="895"/>
      <c r="G65" s="852"/>
      <c r="H65" s="852"/>
      <c r="I65" s="852"/>
      <c r="J65" s="896">
        <f>M16</f>
        <v>0.05</v>
      </c>
      <c r="K65" s="896">
        <f>K53</f>
        <v>0.9</v>
      </c>
      <c r="L65" s="852" t="s">
        <v>22</v>
      </c>
      <c r="M65" s="853">
        <f>K65*$M$49*J65</f>
        <v>3.24</v>
      </c>
      <c r="N65" s="700"/>
      <c r="P65" s="871"/>
    </row>
    <row r="66" spans="1:16" s="863" customFormat="1" hidden="1">
      <c r="A66" s="862"/>
      <c r="B66" s="862"/>
      <c r="C66" s="893"/>
      <c r="D66" s="881"/>
      <c r="E66" s="882"/>
      <c r="F66" s="882"/>
      <c r="G66" s="700"/>
      <c r="H66" s="700"/>
      <c r="I66" s="700"/>
      <c r="J66" s="700" t="s">
        <v>11696</v>
      </c>
      <c r="K66" s="700" t="s">
        <v>11641</v>
      </c>
      <c r="L66" s="883"/>
      <c r="M66" s="884"/>
      <c r="N66" s="700"/>
      <c r="P66" s="871"/>
    </row>
    <row r="67" spans="1:16" s="863" customFormat="1" ht="22.5" hidden="1">
      <c r="A67" s="862" t="s">
        <v>12499</v>
      </c>
      <c r="B67" s="862" t="s">
        <v>10852</v>
      </c>
      <c r="C67" s="893">
        <v>169</v>
      </c>
      <c r="D67" s="894" t="str">
        <f>PROPER(IF(B67="Saneago",VLOOKUP(C67,'SANEAGO-FEV.2016'!A:B,2,0),IF(B67="Sinapi",VLOOKUP(C67,'SINAPI-FEV.2017'!A:D,2,0),IF(B67="Cotação",VLOOKUP(C67,COTAÇÃO!A:D,2,0),IF(B67="Composição",VLOOKUP(C67,COMPOSIÇÃO!A:D,2,0))))))</f>
        <v>Escavação  Manual Em Valas Com Material De 1ª Categoria  - Profundidade De 2,0 A 4,0 M</v>
      </c>
      <c r="E67" s="895"/>
      <c r="F67" s="895"/>
      <c r="G67" s="852"/>
      <c r="H67" s="852"/>
      <c r="I67" s="852"/>
      <c r="J67" s="896">
        <f>J65</f>
        <v>0.05</v>
      </c>
      <c r="K67" s="896">
        <f>K55</f>
        <v>0.9</v>
      </c>
      <c r="L67" s="852" t="s">
        <v>22</v>
      </c>
      <c r="M67" s="853">
        <f>K67*M$51*J67</f>
        <v>0</v>
      </c>
      <c r="N67" s="700"/>
      <c r="P67" s="871"/>
    </row>
    <row r="68" spans="1:16" s="863" customFormat="1">
      <c r="A68" s="862"/>
      <c r="B68" s="862"/>
      <c r="C68" s="893"/>
      <c r="D68" s="881"/>
      <c r="E68" s="882"/>
      <c r="F68" s="882"/>
      <c r="G68" s="700"/>
      <c r="H68" s="700"/>
      <c r="I68" s="700"/>
      <c r="J68" s="700" t="s">
        <v>11696</v>
      </c>
      <c r="K68" s="700" t="s">
        <v>11642</v>
      </c>
      <c r="L68" s="883"/>
      <c r="M68" s="884"/>
      <c r="N68" s="700"/>
      <c r="P68" s="871"/>
    </row>
    <row r="69" spans="1:16" s="863" customFormat="1">
      <c r="A69" s="862" t="s">
        <v>12500</v>
      </c>
      <c r="B69" s="862" t="s">
        <v>10852</v>
      </c>
      <c r="C69" s="893">
        <v>170</v>
      </c>
      <c r="D69" s="894" t="str">
        <f>PROPER(IF(B69="Saneago",VLOOKUP(C69,'SANEAGO-FEV.2016'!A:B,2,0),IF(B69="Sinapi",VLOOKUP(C69,'SINAPI-FEV.2017'!A:D,2,0),IF(B69="Cotação",VLOOKUP(C69,COTAÇÃO!A:D,2,0),IF(B69="Composição",VLOOKUP(C69,COMPOSIÇÃO!A:D,2,0))))))</f>
        <v>Escavação  Manual Em Valas Com Material De 2ª Categoria  - Profundidade Até 2,0 M</v>
      </c>
      <c r="E69" s="895"/>
      <c r="F69" s="895"/>
      <c r="G69" s="852"/>
      <c r="H69" s="852"/>
      <c r="I69" s="852"/>
      <c r="J69" s="896">
        <f>J67</f>
        <v>0.05</v>
      </c>
      <c r="K69" s="896">
        <f>K57</f>
        <v>0.05</v>
      </c>
      <c r="L69" s="852" t="s">
        <v>22</v>
      </c>
      <c r="M69" s="853">
        <f>K69*$M$49*J69</f>
        <v>0.18000000000000002</v>
      </c>
      <c r="N69" s="700"/>
      <c r="P69" s="871"/>
    </row>
    <row r="70" spans="1:16" s="863" customFormat="1" hidden="1">
      <c r="A70" s="862"/>
      <c r="B70" s="862"/>
      <c r="C70" s="835"/>
      <c r="D70" s="881"/>
      <c r="E70" s="882"/>
      <c r="F70" s="882"/>
      <c r="G70" s="700"/>
      <c r="H70" s="700"/>
      <c r="I70" s="700"/>
      <c r="J70" s="700" t="s">
        <v>11696</v>
      </c>
      <c r="K70" s="700" t="s">
        <v>11642</v>
      </c>
      <c r="L70" s="883"/>
      <c r="M70" s="884"/>
      <c r="N70" s="700"/>
      <c r="P70" s="871"/>
    </row>
    <row r="71" spans="1:16" s="863" customFormat="1" ht="22.5" hidden="1">
      <c r="A71" s="862" t="s">
        <v>12501</v>
      </c>
      <c r="B71" s="862" t="s">
        <v>10852</v>
      </c>
      <c r="C71" s="893">
        <v>171</v>
      </c>
      <c r="D71" s="894" t="str">
        <f>PROPER(IF(B71="Saneago",VLOOKUP(C71,'SANEAGO-FEV.2016'!A:B,2,0),IF(B71="Sinapi",VLOOKUP(C71,'SINAPI-FEV.2017'!A:D,2,0),IF(B71="Cotação",VLOOKUP(C71,COTAÇÃO!A:D,2,0),IF(B71="Composição",VLOOKUP(C71,COMPOSIÇÃO!A:D,2,0))))))</f>
        <v>Escavação  Manual Em Valas Com Material De 2ª Categoria  - Profundidade De 2,0 A 4,0 M</v>
      </c>
      <c r="E71" s="895"/>
      <c r="F71" s="895"/>
      <c r="G71" s="852"/>
      <c r="H71" s="852"/>
      <c r="I71" s="852"/>
      <c r="J71" s="896">
        <f>J69</f>
        <v>0.05</v>
      </c>
      <c r="K71" s="896">
        <f>K59</f>
        <v>0.05</v>
      </c>
      <c r="L71" s="852" t="s">
        <v>22</v>
      </c>
      <c r="M71" s="853">
        <f>K71*M$51*J71</f>
        <v>0</v>
      </c>
      <c r="N71" s="700"/>
      <c r="P71" s="871"/>
    </row>
    <row r="72" spans="1:16" s="863" customFormat="1">
      <c r="A72" s="862"/>
      <c r="B72" s="862"/>
      <c r="C72" s="835"/>
      <c r="D72" s="881"/>
      <c r="E72" s="882"/>
      <c r="F72" s="882"/>
      <c r="G72" s="700"/>
      <c r="H72" s="700"/>
      <c r="I72" s="700"/>
      <c r="J72" s="700" t="s">
        <v>11696</v>
      </c>
      <c r="K72" s="700" t="s">
        <v>11677</v>
      </c>
      <c r="L72" s="883"/>
      <c r="M72" s="884"/>
      <c r="N72" s="700"/>
      <c r="P72" s="871"/>
    </row>
    <row r="73" spans="1:16" s="863" customFormat="1" ht="22.5">
      <c r="A73" s="862" t="s">
        <v>12502</v>
      </c>
      <c r="B73" s="862" t="s">
        <v>10852</v>
      </c>
      <c r="C73" s="893">
        <v>172</v>
      </c>
      <c r="D73" s="894" t="str">
        <f>PROPER(IF(B73="Saneago",VLOOKUP(C73,'SANEAGO-FEV.2016'!A:B,2,0),IF(B73="Sinapi",VLOOKUP(C73,'SINAPI-FEV.2017'!A:D,2,0),IF(B73="Cotação",VLOOKUP(C73,COTAÇÃO!A:D,2,0),IF(B73="Composição",VLOOKUP(C73,COMPOSIÇÃO!A:D,2,0))))))</f>
        <v>Escavação   Manual   Em  Valas  Com  Material   De  3ª  Categoria   Sem  Uso  De  Explosivo   Com Utilização  De Compressor E Rompedor  -  Profundidade Até 2,0M</v>
      </c>
      <c r="E73" s="895"/>
      <c r="F73" s="895"/>
      <c r="G73" s="852"/>
      <c r="H73" s="852"/>
      <c r="I73" s="852"/>
      <c r="J73" s="896">
        <f>J71</f>
        <v>0.05</v>
      </c>
      <c r="K73" s="896">
        <f>K61</f>
        <v>0.05</v>
      </c>
      <c r="L73" s="852" t="s">
        <v>22</v>
      </c>
      <c r="M73" s="853">
        <f>K73*$M$49*J73</f>
        <v>0.18000000000000002</v>
      </c>
      <c r="N73" s="700"/>
      <c r="P73" s="871"/>
    </row>
    <row r="74" spans="1:16" s="863" customFormat="1" hidden="1">
      <c r="A74" s="862"/>
      <c r="B74" s="862"/>
      <c r="C74" s="835"/>
      <c r="D74" s="881"/>
      <c r="E74" s="882"/>
      <c r="F74" s="882"/>
      <c r="G74" s="700"/>
      <c r="H74" s="700"/>
      <c r="I74" s="700"/>
      <c r="J74" s="700" t="s">
        <v>11696</v>
      </c>
      <c r="K74" s="700" t="s">
        <v>11677</v>
      </c>
      <c r="L74" s="883"/>
      <c r="M74" s="884"/>
      <c r="N74" s="700"/>
      <c r="P74" s="871"/>
    </row>
    <row r="75" spans="1:16" s="863" customFormat="1" ht="22.5" hidden="1">
      <c r="A75" s="862" t="s">
        <v>12503</v>
      </c>
      <c r="B75" s="862" t="s">
        <v>10852</v>
      </c>
      <c r="C75" s="893">
        <v>173</v>
      </c>
      <c r="D75" s="894" t="str">
        <f>PROPER(IF(B75="Saneago",VLOOKUP(C75,'SANEAGO-FEV.2016'!A:B,2,0),IF(B75="Sinapi",VLOOKUP(C75,'SINAPI-FEV.2017'!A:D,2,0),IF(B75="Cotação",VLOOKUP(C75,COTAÇÃO!A:D,2,0),IF(B75="Composição",VLOOKUP(C75,COMPOSIÇÃO!A:D,2,0))))))</f>
        <v>Escavação   Manual   Em  Valas  Com  Material   De  3ª  Categoria   Sem  Uso  De  Explosivo   Com Utilização  De Compressor E Rompedor   - Profundidade De 2,0 A 4,0M</v>
      </c>
      <c r="E75" s="895"/>
      <c r="F75" s="895"/>
      <c r="G75" s="852"/>
      <c r="H75" s="852"/>
      <c r="I75" s="852"/>
      <c r="J75" s="896">
        <f>J73</f>
        <v>0.05</v>
      </c>
      <c r="K75" s="896">
        <f>K63</f>
        <v>0.05</v>
      </c>
      <c r="L75" s="852" t="s">
        <v>22</v>
      </c>
      <c r="M75" s="853">
        <f>K75*M$51*J75</f>
        <v>0</v>
      </c>
      <c r="N75" s="700"/>
      <c r="P75" s="871"/>
    </row>
    <row r="76" spans="1:16" s="863" customFormat="1">
      <c r="A76" s="862"/>
      <c r="B76" s="862"/>
      <c r="C76" s="835"/>
      <c r="D76" s="826"/>
      <c r="E76" s="700" t="s">
        <v>30</v>
      </c>
      <c r="F76" s="700" t="s">
        <v>30</v>
      </c>
      <c r="G76" s="700" t="s">
        <v>30</v>
      </c>
      <c r="H76" s="700" t="s">
        <v>30</v>
      </c>
      <c r="I76" s="700" t="s">
        <v>30</v>
      </c>
      <c r="J76" s="700" t="s">
        <v>30</v>
      </c>
      <c r="K76" s="700" t="s">
        <v>30</v>
      </c>
      <c r="L76" s="700" t="s">
        <v>30</v>
      </c>
      <c r="M76" s="876" t="s">
        <v>30</v>
      </c>
      <c r="N76" s="700"/>
      <c r="P76" s="871"/>
    </row>
    <row r="77" spans="1:16" s="863" customFormat="1">
      <c r="A77" s="862" t="s">
        <v>12504</v>
      </c>
      <c r="B77" s="835" t="s">
        <v>70</v>
      </c>
      <c r="C77" s="835" t="s">
        <v>15726</v>
      </c>
      <c r="D77" s="836" t="str">
        <f>PROPER(IF(B77="Saneago",VLOOKUP(C77,'SANEAGO-FEV.2016'!A:B,2,0),IF(B77="Sinapi",VLOOKUP(C77,'SINAPI-FEV.2017'!A:D,2,0),IF(B77="Cotação",VLOOKUP(C77,COTAÇÃO!A:D,2,0),IF(B77="Composição",VLOOKUP(C77,COMPOSIÇÃO!A:D,2,0))))))</f>
        <v>Esgotamento Com Moto-Bomba Autoescovante</v>
      </c>
      <c r="E77" s="837"/>
      <c r="F77" s="837"/>
      <c r="G77" s="838"/>
      <c r="H77" s="852"/>
      <c r="I77" s="852"/>
      <c r="J77" s="838"/>
      <c r="K77" s="838"/>
      <c r="L77" s="838" t="s">
        <v>57</v>
      </c>
      <c r="M77" s="853">
        <f>(J77*K77)</f>
        <v>0</v>
      </c>
      <c r="N77" s="700"/>
      <c r="P77" s="871"/>
    </row>
    <row r="78" spans="1:16" s="863" customFormat="1">
      <c r="A78" s="862"/>
      <c r="B78" s="862"/>
      <c r="C78" s="835"/>
      <c r="D78" s="826"/>
      <c r="E78" s="700" t="s">
        <v>30</v>
      </c>
      <c r="F78" s="700" t="s">
        <v>30</v>
      </c>
      <c r="G78" s="700" t="s">
        <v>30</v>
      </c>
      <c r="H78" s="700" t="s">
        <v>30</v>
      </c>
      <c r="I78" s="700" t="s">
        <v>1275</v>
      </c>
      <c r="J78" s="828" t="s">
        <v>17</v>
      </c>
      <c r="K78" s="828" t="s">
        <v>19</v>
      </c>
      <c r="L78" s="700" t="s">
        <v>30</v>
      </c>
      <c r="M78" s="876" t="s">
        <v>30</v>
      </c>
      <c r="N78" s="700"/>
      <c r="P78" s="871"/>
    </row>
    <row r="79" spans="1:16" s="863" customFormat="1">
      <c r="A79" s="862"/>
      <c r="B79" s="862"/>
      <c r="C79" s="835"/>
      <c r="D79" s="899"/>
      <c r="E79" s="824"/>
      <c r="F79" s="790"/>
      <c r="G79" s="1674" t="s">
        <v>12513</v>
      </c>
      <c r="H79" s="1674"/>
      <c r="I79" s="700">
        <v>4</v>
      </c>
      <c r="J79" s="828">
        <f>J35</f>
        <v>43.65</v>
      </c>
      <c r="K79" s="700">
        <f>K35</f>
        <v>10</v>
      </c>
      <c r="L79" s="828" t="s">
        <v>21</v>
      </c>
      <c r="M79" s="829">
        <f>(J79*K79*I79)</f>
        <v>1746</v>
      </c>
      <c r="N79" s="700"/>
      <c r="P79" s="871"/>
    </row>
    <row r="80" spans="1:16" s="863" customFormat="1">
      <c r="A80" s="862"/>
      <c r="B80" s="862"/>
      <c r="C80" s="835"/>
      <c r="D80" s="826"/>
      <c r="E80" s="790"/>
      <c r="F80" s="790"/>
      <c r="G80" s="897"/>
      <c r="H80" s="854"/>
      <c r="I80" s="700"/>
      <c r="J80" s="828"/>
      <c r="K80" s="828"/>
      <c r="L80" s="828"/>
      <c r="M80" s="829"/>
      <c r="N80" s="700"/>
      <c r="P80" s="871"/>
    </row>
    <row r="81" spans="1:18" s="863" customFormat="1">
      <c r="A81" s="862" t="s">
        <v>12505</v>
      </c>
      <c r="B81" s="835" t="s">
        <v>70</v>
      </c>
      <c r="C81" s="835">
        <v>79472</v>
      </c>
      <c r="D81" s="836" t="str">
        <f>PROPER(IF(B81="Saneago",VLOOKUP(C81,'SANEAGO-FEV.2016'!A:B,2,0),IF(B81="Sinapi",VLOOKUP(C81,'SINAPI-FEV.2017'!A:D,2,0),IF(B81="Cotação",VLOOKUP(C81,COTAÇÃO!A:D,2,0),IF(B81="Composição",VLOOKUP(C81,COMPOSIÇÃO!A:D,2,0))))))</f>
        <v>Regularizacao De Superficies Em Terra Com Motoniveladora</v>
      </c>
      <c r="E81" s="837"/>
      <c r="F81" s="837"/>
      <c r="G81" s="838"/>
      <c r="H81" s="852"/>
      <c r="I81" s="852"/>
      <c r="J81" s="838"/>
      <c r="K81" s="856" t="s">
        <v>27</v>
      </c>
      <c r="L81" s="856" t="s">
        <v>21</v>
      </c>
      <c r="M81" s="840">
        <f>SUM(M79:M79)</f>
        <v>1746</v>
      </c>
      <c r="N81" s="700"/>
      <c r="P81" s="871"/>
    </row>
    <row r="82" spans="1:18" s="863" customFormat="1" ht="30" customHeight="1">
      <c r="A82" s="862"/>
      <c r="B82" s="862"/>
      <c r="C82" s="835"/>
      <c r="D82" s="826"/>
      <c r="E82" s="790"/>
      <c r="F82" s="790"/>
      <c r="G82" s="828"/>
      <c r="H82" s="700"/>
      <c r="I82" s="900"/>
      <c r="J82" s="828"/>
      <c r="K82" s="828" t="s">
        <v>20380</v>
      </c>
      <c r="L82" s="828" t="s">
        <v>30</v>
      </c>
      <c r="M82" s="877" t="s">
        <v>30</v>
      </c>
      <c r="N82" s="700"/>
      <c r="P82" s="871"/>
    </row>
    <row r="83" spans="1:18" s="863" customFormat="1">
      <c r="A83" s="862"/>
      <c r="B83" s="862"/>
      <c r="C83" s="835"/>
      <c r="D83" s="826"/>
      <c r="E83" s="790"/>
      <c r="F83" s="790"/>
      <c r="G83" s="1674"/>
      <c r="H83" s="1674"/>
      <c r="I83" s="889"/>
      <c r="J83" s="889"/>
      <c r="K83" s="889">
        <f>(5135-450*4)*1</f>
        <v>3335</v>
      </c>
      <c r="L83" s="828" t="s">
        <v>22</v>
      </c>
      <c r="M83" s="829">
        <f>K83</f>
        <v>3335</v>
      </c>
      <c r="N83" s="700"/>
      <c r="P83" s="871"/>
    </row>
    <row r="84" spans="1:18" s="863" customFormat="1">
      <c r="A84" s="862"/>
      <c r="B84" s="862"/>
      <c r="C84" s="835"/>
      <c r="D84" s="899"/>
      <c r="E84" s="824"/>
      <c r="F84" s="824"/>
      <c r="G84" s="854"/>
      <c r="H84" s="854"/>
      <c r="I84" s="889"/>
      <c r="J84" s="889"/>
      <c r="K84" s="828"/>
      <c r="L84" s="828"/>
      <c r="M84" s="829"/>
      <c r="N84" s="700"/>
      <c r="P84" s="871"/>
    </row>
    <row r="85" spans="1:18" s="863" customFormat="1">
      <c r="A85" s="862"/>
      <c r="B85" s="862"/>
      <c r="C85" s="835"/>
      <c r="D85" s="836" t="s">
        <v>11768</v>
      </c>
      <c r="E85" s="837"/>
      <c r="F85" s="837"/>
      <c r="G85" s="828"/>
      <c r="H85" s="828"/>
      <c r="I85" s="828"/>
      <c r="J85" s="1678" t="s">
        <v>42</v>
      </c>
      <c r="K85" s="1678"/>
      <c r="L85" s="901" t="s">
        <v>22</v>
      </c>
      <c r="M85" s="902">
        <f>SUM(M83:M83)</f>
        <v>3335</v>
      </c>
      <c r="N85" s="700"/>
      <c r="P85" s="871"/>
    </row>
    <row r="86" spans="1:18" s="863" customFormat="1">
      <c r="A86" s="862"/>
      <c r="B86" s="862"/>
      <c r="C86" s="835"/>
      <c r="D86" s="903" t="s">
        <v>73</v>
      </c>
      <c r="E86" s="790"/>
      <c r="F86" s="790"/>
      <c r="G86" s="883" t="s">
        <v>30</v>
      </c>
      <c r="H86" s="883" t="s">
        <v>30</v>
      </c>
      <c r="I86" s="883" t="s">
        <v>30</v>
      </c>
      <c r="J86" s="883" t="s">
        <v>42</v>
      </c>
      <c r="K86" s="883" t="s">
        <v>50</v>
      </c>
      <c r="L86" s="883"/>
      <c r="M86" s="884"/>
      <c r="N86" s="700"/>
      <c r="P86" s="871"/>
    </row>
    <row r="87" spans="1:18" s="863" customFormat="1" ht="37.5" customHeight="1">
      <c r="A87" s="862" t="s">
        <v>12506</v>
      </c>
      <c r="B87" s="855" t="s">
        <v>70</v>
      </c>
      <c r="C87" s="855">
        <v>93367</v>
      </c>
      <c r="D87" s="836" t="str">
        <f>PROPER(IF(B87="Saneago",VLOOKUP(C87,'SANEAGO-FEV.2016'!A:B,2,0),IF(B87="Sinapi",VLOOKUP(C87,'SINAPI-FEV.2017'!A:D,2,0),IF(B87="Cotação",VLOOKUP(C87,COTAÇÃO!A:D,2,0),IF(B87="Composição",VLOOKUP(C87,COMPOSIÇÃO!A:D,2,0))))))</f>
        <v>Reaterro Mecanizado De Vala Com Escavadeira Hidráulica (Capacidade Da Caçamba: 0,8 M³ / Potência: 111 Hp), Largura De 1,5 A 2,5 M, Profundidade Até 1,5 M, Com Solo (Sem Substituição) De 1ª Categoria Em Locais Com Baixo Nível De Interferência. Af_04/2016</v>
      </c>
      <c r="E87" s="837"/>
      <c r="F87" s="837"/>
      <c r="G87" s="852"/>
      <c r="H87" s="852"/>
      <c r="I87" s="852"/>
      <c r="J87" s="838">
        <f>M85</f>
        <v>3335</v>
      </c>
      <c r="K87" s="896">
        <f>M24</f>
        <v>0.9</v>
      </c>
      <c r="L87" s="852" t="s">
        <v>22</v>
      </c>
      <c r="M87" s="853">
        <f>J87*K87</f>
        <v>3001.5</v>
      </c>
      <c r="N87" s="700"/>
      <c r="P87" s="871"/>
    </row>
    <row r="88" spans="1:18" s="863" customFormat="1">
      <c r="A88" s="862"/>
      <c r="B88" s="835"/>
      <c r="C88" s="835"/>
      <c r="D88" s="881"/>
      <c r="E88" s="882"/>
      <c r="F88" s="882"/>
      <c r="G88" s="700" t="s">
        <v>30</v>
      </c>
      <c r="H88" s="700" t="s">
        <v>30</v>
      </c>
      <c r="I88" s="700" t="s">
        <v>30</v>
      </c>
      <c r="J88" s="828" t="s">
        <v>42</v>
      </c>
      <c r="K88" s="828" t="s">
        <v>79</v>
      </c>
      <c r="L88" s="828"/>
      <c r="M88" s="829"/>
      <c r="N88" s="700"/>
      <c r="P88" s="871"/>
    </row>
    <row r="89" spans="1:18" s="863" customFormat="1">
      <c r="A89" s="862" t="s">
        <v>12507</v>
      </c>
      <c r="B89" s="855" t="s">
        <v>70</v>
      </c>
      <c r="C89" s="855" t="s">
        <v>18237</v>
      </c>
      <c r="D89" s="836" t="str">
        <f>PROPER(IF(B89="Saneago",VLOOKUP(C89,'SANEAGO-FEV.2016'!A:B,2,0),IF(B89="Sinapi",VLOOKUP(C89,'SINAPI-FEV.2017'!A:D,2,0),IF(B89="Cotação",VLOOKUP(C89,COTAÇÃO!A:D,2,0),IF(B89="Composição",VLOOKUP(C89,COMPOSIÇÃO!A:D,2,0))))))</f>
        <v>Reaterro De Vala Com Compactação Manual</v>
      </c>
      <c r="E89" s="837"/>
      <c r="F89" s="837"/>
      <c r="G89" s="838"/>
      <c r="H89" s="838"/>
      <c r="I89" s="838"/>
      <c r="J89" s="838">
        <f>J87</f>
        <v>3335</v>
      </c>
      <c r="K89" s="904">
        <f>M23</f>
        <v>0.1</v>
      </c>
      <c r="L89" s="838" t="s">
        <v>22</v>
      </c>
      <c r="M89" s="853">
        <f>J89*K89</f>
        <v>333.5</v>
      </c>
      <c r="N89" s="700"/>
      <c r="P89" s="871"/>
    </row>
    <row r="90" spans="1:18" s="824" customFormat="1" ht="13.5" thickBot="1">
      <c r="A90" s="905"/>
      <c r="B90" s="835"/>
      <c r="C90" s="835"/>
      <c r="D90" s="826"/>
      <c r="E90" s="790"/>
      <c r="F90" s="790"/>
      <c r="G90" s="700"/>
      <c r="H90" s="700"/>
      <c r="I90" s="700"/>
      <c r="J90" s="907"/>
      <c r="K90" s="700"/>
      <c r="L90" s="700"/>
      <c r="M90" s="827"/>
      <c r="N90" s="700"/>
      <c r="O90" s="863"/>
      <c r="P90" s="871"/>
      <c r="Q90" s="863"/>
      <c r="R90" s="863"/>
    </row>
    <row r="91" spans="1:18" s="824" customFormat="1" ht="14.25" thickTop="1" thickBot="1">
      <c r="A91" s="905"/>
      <c r="B91" s="905"/>
      <c r="C91" s="906"/>
      <c r="D91" s="830" t="s">
        <v>1259</v>
      </c>
      <c r="E91" s="831"/>
      <c r="F91" s="831"/>
      <c r="G91" s="831"/>
      <c r="H91" s="831"/>
      <c r="I91" s="831"/>
      <c r="J91" s="831"/>
      <c r="K91" s="831"/>
      <c r="L91" s="832" t="s">
        <v>25</v>
      </c>
      <c r="M91" s="833" t="s">
        <v>27</v>
      </c>
      <c r="N91" s="700"/>
      <c r="O91" s="863"/>
      <c r="P91" s="871"/>
      <c r="Q91" s="863"/>
      <c r="R91" s="863"/>
    </row>
    <row r="92" spans="1:18" s="824" customFormat="1" ht="23.25" thickTop="1">
      <c r="A92" s="905"/>
      <c r="B92" s="905"/>
      <c r="C92" s="906"/>
      <c r="D92" s="826"/>
      <c r="E92" s="790"/>
      <c r="F92" s="790"/>
      <c r="G92" s="828" t="s">
        <v>30</v>
      </c>
      <c r="H92" s="828" t="s">
        <v>30</v>
      </c>
      <c r="I92" s="828" t="s">
        <v>30</v>
      </c>
      <c r="J92" s="828" t="s">
        <v>20380</v>
      </c>
      <c r="K92" s="828" t="s">
        <v>35</v>
      </c>
      <c r="L92" s="828"/>
      <c r="M92" s="829"/>
      <c r="N92" s="700"/>
      <c r="O92" s="863"/>
      <c r="P92" s="871"/>
      <c r="Q92" s="863"/>
      <c r="R92" s="863"/>
    </row>
    <row r="93" spans="1:18" s="824" customFormat="1">
      <c r="A93" s="862" t="s">
        <v>20381</v>
      </c>
      <c r="B93" s="850" t="s">
        <v>10852</v>
      </c>
      <c r="C93" s="850">
        <v>232</v>
      </c>
      <c r="D93" s="836" t="str">
        <f>PROPER(IF(B93="Saneago",VLOOKUP(C93,'SANEAGO-FEV.2016'!A:B,2,0),IF(B93="Sinapi",VLOOKUP(C93,'SINAPI-FEV.2017'!A:D,2,0),IF(B93="Cotação",VLOOKUP(C93,COTAÇÃO!A:D,2,0),IF(B93="Composição",VLOOKUP(C93,COMPOSIÇÃO!A:D,2,0))))))</f>
        <v>Aquisição  De Material De Jazida</v>
      </c>
      <c r="E93" s="837"/>
      <c r="F93" s="837"/>
      <c r="G93" s="838"/>
      <c r="H93" s="838"/>
      <c r="I93" s="838"/>
      <c r="J93" s="838">
        <f>M85</f>
        <v>3335</v>
      </c>
      <c r="K93" s="904">
        <f>M21</f>
        <v>0.2</v>
      </c>
      <c r="L93" s="838" t="s">
        <v>22</v>
      </c>
      <c r="M93" s="853">
        <f>J93*(1+K93)</f>
        <v>4002</v>
      </c>
      <c r="N93" s="700"/>
      <c r="O93" s="863"/>
      <c r="P93" s="871"/>
      <c r="Q93" s="863"/>
      <c r="R93" s="863"/>
    </row>
    <row r="94" spans="1:18" s="824" customFormat="1" ht="24" customHeight="1">
      <c r="A94" s="905"/>
      <c r="B94" s="850"/>
      <c r="C94" s="850"/>
      <c r="D94" s="826"/>
      <c r="E94" s="790"/>
      <c r="F94" s="790"/>
      <c r="G94" s="828" t="s">
        <v>30</v>
      </c>
      <c r="H94" s="828" t="s">
        <v>30</v>
      </c>
      <c r="I94" s="828" t="s">
        <v>30</v>
      </c>
      <c r="J94" s="828" t="s">
        <v>30</v>
      </c>
      <c r="K94" s="828" t="s">
        <v>30</v>
      </c>
      <c r="L94" s="828" t="s">
        <v>30</v>
      </c>
      <c r="M94" s="877" t="s">
        <v>30</v>
      </c>
      <c r="N94" s="700"/>
      <c r="O94" s="863"/>
      <c r="P94" s="871"/>
      <c r="Q94" s="863"/>
      <c r="R94" s="863"/>
    </row>
    <row r="95" spans="1:18" s="824" customFormat="1">
      <c r="A95" s="862" t="s">
        <v>20382</v>
      </c>
      <c r="B95" s="850" t="s">
        <v>10852</v>
      </c>
      <c r="C95" s="850">
        <v>233</v>
      </c>
      <c r="D95" s="836" t="str">
        <f>PROPER(IF(B95="Saneago",VLOOKUP(C95,'SANEAGO-FEV.2016'!A:B,2,0),IF(B95="Sinapi",VLOOKUP(C95,'SINAPI-FEV.2017'!A:D,2,0),IF(B95="Cotação",VLOOKUP(C95,COTAÇÃO!A:D,2,0),IF(B95="Composição",VLOOKUP(C95,COMPOSIÇÃO!A:D,2,0))))))</f>
        <v>Escavação  E Carga De Material De Jazida (Com Trator E Pá Carregadeira)</v>
      </c>
      <c r="E95" s="837"/>
      <c r="F95" s="837"/>
      <c r="G95" s="838"/>
      <c r="H95" s="838"/>
      <c r="I95" s="838"/>
      <c r="J95" s="838"/>
      <c r="K95" s="838"/>
      <c r="L95" s="838" t="s">
        <v>22</v>
      </c>
      <c r="M95" s="853">
        <f>M93</f>
        <v>4002</v>
      </c>
      <c r="N95" s="700"/>
      <c r="O95" s="863"/>
      <c r="P95" s="871"/>
      <c r="Q95" s="863"/>
      <c r="R95" s="863"/>
    </row>
    <row r="96" spans="1:18" s="824" customFormat="1" ht="22.5">
      <c r="A96" s="905"/>
      <c r="B96" s="850"/>
      <c r="C96" s="850"/>
      <c r="D96" s="826"/>
      <c r="E96" s="790"/>
      <c r="F96" s="790"/>
      <c r="G96" s="828" t="s">
        <v>30</v>
      </c>
      <c r="H96" s="828" t="s">
        <v>30</v>
      </c>
      <c r="I96" s="828" t="s">
        <v>30</v>
      </c>
      <c r="J96" s="828" t="str">
        <f>J92</f>
        <v>Volume de Reaterro</v>
      </c>
      <c r="K96" s="828" t="s">
        <v>11774</v>
      </c>
      <c r="L96" s="828"/>
      <c r="M96" s="829"/>
      <c r="N96" s="700"/>
      <c r="O96" s="863"/>
      <c r="P96" s="871"/>
      <c r="Q96" s="863"/>
      <c r="R96" s="863"/>
    </row>
    <row r="97" spans="1:18" s="824" customFormat="1" ht="22.5">
      <c r="A97" s="862" t="s">
        <v>20383</v>
      </c>
      <c r="B97" s="850" t="s">
        <v>10852</v>
      </c>
      <c r="C97" s="850">
        <v>19314</v>
      </c>
      <c r="D97" s="836" t="str">
        <f>PROPER(IF(B97="Saneago",VLOOKUP(C97,'SANEAGO-FEV.2016'!A:B,2,0),IF(B97="Sinapi",VLOOKUP(C97,'SINAPI-FEV.2017'!A:D,2,0),IF(B97="Cotação",VLOOKUP(C97,COTAÇÃO!A:D,2,0),IF(B97="Composição",VLOOKUP(C97,COMPOSIÇÃO!A:D,2,0))))))</f>
        <v>Transporte E Descarga  De Material  De Jazida (M3 X Km) - Em Caminhão  Basculante Cap. 10 M3 - Com Empolamento</v>
      </c>
      <c r="E97" s="837"/>
      <c r="F97" s="837"/>
      <c r="G97" s="838"/>
      <c r="H97" s="838"/>
      <c r="I97" s="838"/>
      <c r="J97" s="838">
        <f>J93</f>
        <v>3335</v>
      </c>
      <c r="K97" s="838">
        <f>M14</f>
        <v>4.5999999999999996</v>
      </c>
      <c r="L97" s="838" t="s">
        <v>23</v>
      </c>
      <c r="M97" s="853">
        <f>J97*K97</f>
        <v>15340.999999999998</v>
      </c>
      <c r="N97" s="700"/>
      <c r="O97" s="863"/>
      <c r="P97" s="871"/>
      <c r="Q97" s="863"/>
      <c r="R97" s="863"/>
    </row>
    <row r="98" spans="1:18" s="824" customFormat="1" ht="13.5" thickBot="1">
      <c r="A98" s="905"/>
      <c r="B98" s="850"/>
      <c r="C98" s="850"/>
      <c r="D98" s="826"/>
      <c r="E98" s="790"/>
      <c r="F98" s="790"/>
      <c r="G98" s="700"/>
      <c r="H98" s="700"/>
      <c r="I98" s="700"/>
      <c r="J98" s="907"/>
      <c r="K98" s="700"/>
      <c r="L98" s="700"/>
      <c r="M98" s="827"/>
      <c r="N98" s="700"/>
      <c r="O98" s="863"/>
      <c r="P98" s="871"/>
      <c r="Q98" s="863"/>
      <c r="R98" s="863"/>
    </row>
    <row r="99" spans="1:18" s="863" customFormat="1" ht="17.25" customHeight="1" thickTop="1" thickBot="1">
      <c r="A99" s="862"/>
      <c r="B99" s="862"/>
      <c r="C99" s="835"/>
      <c r="D99" s="830" t="s">
        <v>12517</v>
      </c>
      <c r="E99" s="831"/>
      <c r="F99" s="831"/>
      <c r="G99" s="831"/>
      <c r="H99" s="831"/>
      <c r="I99" s="831"/>
      <c r="J99" s="831"/>
      <c r="K99" s="831"/>
      <c r="L99" s="832" t="s">
        <v>25</v>
      </c>
      <c r="M99" s="833" t="s">
        <v>27</v>
      </c>
      <c r="N99" s="700"/>
      <c r="P99" s="871"/>
    </row>
    <row r="100" spans="1:18" s="863" customFormat="1" ht="13.5" thickTop="1">
      <c r="A100" s="862"/>
      <c r="B100" s="862"/>
      <c r="C100" s="835"/>
      <c r="D100" s="826"/>
      <c r="E100" s="700"/>
      <c r="F100" s="700"/>
      <c r="G100" s="828" t="s">
        <v>1275</v>
      </c>
      <c r="H100" s="828" t="s">
        <v>11684</v>
      </c>
      <c r="I100" s="828" t="s">
        <v>19</v>
      </c>
      <c r="J100" s="828" t="s">
        <v>36</v>
      </c>
      <c r="K100" s="908" t="s">
        <v>30</v>
      </c>
      <c r="L100" s="828" t="s">
        <v>30</v>
      </c>
      <c r="M100" s="877" t="s">
        <v>30</v>
      </c>
      <c r="N100" s="700"/>
      <c r="P100" s="871"/>
    </row>
    <row r="101" spans="1:18" s="863" customFormat="1">
      <c r="A101" s="862"/>
      <c r="B101" s="862"/>
      <c r="C101" s="835"/>
      <c r="D101" s="826"/>
      <c r="E101" s="1674" t="s">
        <v>12513</v>
      </c>
      <c r="F101" s="1674"/>
      <c r="G101" s="907">
        <f>I79</f>
        <v>4</v>
      </c>
      <c r="H101" s="828">
        <f>J79</f>
        <v>43.65</v>
      </c>
      <c r="I101" s="828">
        <f>K79</f>
        <v>10</v>
      </c>
      <c r="J101" s="828">
        <v>0.03</v>
      </c>
      <c r="K101" s="908"/>
      <c r="L101" s="828" t="s">
        <v>22</v>
      </c>
      <c r="M101" s="877">
        <f>G101*H101*I101*J101</f>
        <v>52.379999999999995</v>
      </c>
      <c r="N101" s="700"/>
      <c r="P101" s="871"/>
    </row>
    <row r="102" spans="1:18" s="863" customFormat="1" ht="22.5">
      <c r="A102" s="862" t="s">
        <v>12525</v>
      </c>
      <c r="B102" s="855" t="s">
        <v>70</v>
      </c>
      <c r="C102" s="909">
        <v>94116</v>
      </c>
      <c r="D102" s="836" t="str">
        <f>PROPER(IF(B102="Saneago",VLOOKUP(C102,'SANEAGO-FEV.2016'!A:B,2,0),IF(B102="Sinapi",VLOOKUP(C102,'SINAPI-FEV.2017'!A:D,2,0),IF(B102="Cotação",VLOOKUP(C102,COTAÇÃO!A:D,2,0),IF(B102="Composição",VLOOKUP(C102,COMPOSIÇÃO!A:D,2,0))))))</f>
        <v>Lastro Com Preparo De Fundo, Largura Maior Ou Igual A 1,5 M, Com Camada De Brita, Lançamento Mecanizado, Em Local Com Nível Baixo De Interferência. Af_06/2016</v>
      </c>
      <c r="E102" s="837"/>
      <c r="F102" s="837"/>
      <c r="G102" s="838"/>
      <c r="H102" s="838"/>
      <c r="I102" s="910"/>
      <c r="J102" s="910"/>
      <c r="K102" s="856" t="s">
        <v>27</v>
      </c>
      <c r="L102" s="856" t="s">
        <v>22</v>
      </c>
      <c r="M102" s="840">
        <f>SUM(M101:M101)</f>
        <v>52.379999999999995</v>
      </c>
      <c r="N102" s="700"/>
      <c r="P102" s="871"/>
    </row>
    <row r="103" spans="1:18" s="863" customFormat="1">
      <c r="A103" s="862"/>
      <c r="B103" s="862"/>
      <c r="C103" s="835"/>
      <c r="D103" s="826"/>
      <c r="E103" s="700"/>
      <c r="F103" s="700"/>
      <c r="G103" s="828" t="s">
        <v>1275</v>
      </c>
      <c r="H103" s="828" t="s">
        <v>11684</v>
      </c>
      <c r="I103" s="828" t="s">
        <v>19</v>
      </c>
      <c r="J103" s="828" t="s">
        <v>30</v>
      </c>
      <c r="K103" s="908" t="s">
        <v>30</v>
      </c>
      <c r="L103" s="828" t="s">
        <v>30</v>
      </c>
      <c r="M103" s="877" t="s">
        <v>30</v>
      </c>
      <c r="N103" s="700"/>
      <c r="P103" s="871"/>
    </row>
    <row r="104" spans="1:18" s="863" customFormat="1" ht="12.75" customHeight="1">
      <c r="A104" s="862"/>
      <c r="B104" s="862"/>
      <c r="C104" s="835"/>
      <c r="D104" s="826"/>
      <c r="E104" s="1674" t="s">
        <v>12513</v>
      </c>
      <c r="F104" s="1674"/>
      <c r="G104" s="907">
        <f>G101</f>
        <v>4</v>
      </c>
      <c r="H104" s="828">
        <f>H101</f>
        <v>43.65</v>
      </c>
      <c r="I104" s="828">
        <f>I101</f>
        <v>10</v>
      </c>
      <c r="J104" s="828"/>
      <c r="K104" s="908"/>
      <c r="L104" s="828" t="s">
        <v>21</v>
      </c>
      <c r="M104" s="877">
        <f>G104*H104*I104</f>
        <v>1746</v>
      </c>
      <c r="N104" s="700"/>
      <c r="P104" s="871"/>
    </row>
    <row r="105" spans="1:18" s="863" customFormat="1" ht="22.5">
      <c r="A105" s="862" t="s">
        <v>12523</v>
      </c>
      <c r="B105" s="855" t="s">
        <v>70</v>
      </c>
      <c r="C105" s="909">
        <v>95241</v>
      </c>
      <c r="D105" s="836" t="str">
        <f>PROPER(IF(B105="Saneago",VLOOKUP(C105,'SANEAGO-FEV.2016'!A:B,2,0),IF(B105="Sinapi",VLOOKUP(C105,'SINAPI-FEV.2017'!A:D,2,0),IF(B105="Cotação",VLOOKUP(C105,COTAÇÃO!A:D,2,0),IF(B105="Composição",VLOOKUP(C105,COMPOSIÇÃO!A:D,2,0))))))</f>
        <v>Lastro De Concreto, E = 5 Cm, Preparo Mecânico, Inclusos Lançamento E Adensamento. Af_07_2016</v>
      </c>
      <c r="E105" s="837"/>
      <c r="F105" s="837"/>
      <c r="G105" s="838"/>
      <c r="H105" s="838"/>
      <c r="I105" s="910"/>
      <c r="J105" s="910"/>
      <c r="K105" s="856" t="s">
        <v>27</v>
      </c>
      <c r="L105" s="856" t="s">
        <v>21</v>
      </c>
      <c r="M105" s="840">
        <f>SUM(M104:M104)</f>
        <v>1746</v>
      </c>
      <c r="N105" s="700"/>
      <c r="P105" s="871"/>
    </row>
    <row r="106" spans="1:18" s="863" customFormat="1">
      <c r="A106" s="862"/>
      <c r="B106" s="862"/>
      <c r="C106" s="835"/>
      <c r="D106" s="826"/>
      <c r="E106" s="700"/>
      <c r="F106" s="700"/>
      <c r="G106" s="828" t="s">
        <v>1275</v>
      </c>
      <c r="H106" s="828" t="s">
        <v>11684</v>
      </c>
      <c r="I106" s="828" t="s">
        <v>19</v>
      </c>
      <c r="J106" s="828" t="s">
        <v>36</v>
      </c>
      <c r="K106" s="908" t="s">
        <v>30</v>
      </c>
      <c r="L106" s="828" t="s">
        <v>30</v>
      </c>
      <c r="M106" s="877" t="s">
        <v>30</v>
      </c>
      <c r="N106" s="700"/>
      <c r="P106" s="871"/>
    </row>
    <row r="107" spans="1:18" s="863" customFormat="1" ht="12.75" customHeight="1">
      <c r="A107" s="862"/>
      <c r="B107" s="862"/>
      <c r="C107" s="835"/>
      <c r="D107" s="826"/>
      <c r="E107" s="1674" t="s">
        <v>12513</v>
      </c>
      <c r="F107" s="1674"/>
      <c r="G107" s="907">
        <v>4</v>
      </c>
      <c r="H107" s="828">
        <f>H104</f>
        <v>43.65</v>
      </c>
      <c r="I107" s="828">
        <f>I104</f>
        <v>10</v>
      </c>
      <c r="J107" s="828">
        <v>0.2</v>
      </c>
      <c r="K107" s="908"/>
      <c r="L107" s="828" t="s">
        <v>22</v>
      </c>
      <c r="M107" s="877">
        <f>G107*H107*I107*J107</f>
        <v>349.20000000000005</v>
      </c>
      <c r="N107" s="700"/>
      <c r="P107" s="871"/>
    </row>
    <row r="108" spans="1:18" s="863" customFormat="1">
      <c r="A108" s="862" t="s">
        <v>12521</v>
      </c>
      <c r="B108" s="862" t="s">
        <v>11644</v>
      </c>
      <c r="C108" s="835">
        <v>4718</v>
      </c>
      <c r="D108" s="836" t="str">
        <f>PROPER(IF(B108="Saneago",VLOOKUP(C108,'SANEAGO-FEV.2016'!A:B,2,0),IF(B108="Sinapi",VLOOKUP(C108,'SINAPI-FEV.2017'!A:D,2,0),IF(B108="Cotação",VLOOKUP(C108,COTAÇÃO!A:D,2,0),IF(B108="Composição",VLOOKUP(C108,COMPOSIÇÃO!A:D,2,0))))))</f>
        <v>Pedra Britada N. 2 (19 A 38 Mm) Posto Pedreira/Fornecedor, Sem Frete</v>
      </c>
      <c r="E108" s="837"/>
      <c r="F108" s="837"/>
      <c r="G108" s="838"/>
      <c r="H108" s="838"/>
      <c r="I108" s="910"/>
      <c r="J108" s="910"/>
      <c r="K108" s="856" t="s">
        <v>27</v>
      </c>
      <c r="L108" s="856" t="s">
        <v>22</v>
      </c>
      <c r="M108" s="840">
        <f>SUM(M107:M107)</f>
        <v>349.20000000000005</v>
      </c>
      <c r="N108" s="700"/>
      <c r="P108" s="871"/>
    </row>
    <row r="109" spans="1:18" s="863" customFormat="1">
      <c r="A109" s="862"/>
      <c r="B109" s="862"/>
      <c r="C109" s="835"/>
      <c r="D109" s="826"/>
      <c r="E109" s="700"/>
      <c r="F109" s="700"/>
      <c r="G109" s="828" t="s">
        <v>1275</v>
      </c>
      <c r="H109" s="828" t="s">
        <v>11684</v>
      </c>
      <c r="I109" s="828" t="s">
        <v>19</v>
      </c>
      <c r="J109" s="828" t="s">
        <v>36</v>
      </c>
      <c r="K109" s="908" t="s">
        <v>30</v>
      </c>
      <c r="L109" s="828" t="s">
        <v>30</v>
      </c>
      <c r="M109" s="877" t="s">
        <v>30</v>
      </c>
      <c r="N109" s="700"/>
      <c r="P109" s="871"/>
    </row>
    <row r="110" spans="1:18" s="863" customFormat="1" ht="12.75" customHeight="1">
      <c r="A110" s="862"/>
      <c r="B110" s="862"/>
      <c r="C110" s="835"/>
      <c r="D110" s="826"/>
      <c r="E110" s="1674" t="s">
        <v>12513</v>
      </c>
      <c r="F110" s="1674"/>
      <c r="G110" s="907">
        <v>4</v>
      </c>
      <c r="H110" s="828">
        <f>H107</f>
        <v>43.65</v>
      </c>
      <c r="I110" s="828">
        <f>I107</f>
        <v>10</v>
      </c>
      <c r="J110" s="828">
        <v>0.05</v>
      </c>
      <c r="K110" s="908"/>
      <c r="L110" s="828" t="s">
        <v>22</v>
      </c>
      <c r="M110" s="877">
        <f>G110*H110*I110*J110</f>
        <v>87.300000000000011</v>
      </c>
      <c r="N110" s="700"/>
      <c r="P110" s="871"/>
    </row>
    <row r="111" spans="1:18" s="863" customFormat="1">
      <c r="A111" s="862" t="s">
        <v>12678</v>
      </c>
      <c r="B111" s="862" t="s">
        <v>11644</v>
      </c>
      <c r="C111" s="835">
        <v>4721</v>
      </c>
      <c r="D111" s="836" t="str">
        <f>PROPER(IF(B111="Saneago",VLOOKUP(C111,'SANEAGO-FEV.2016'!A:B,2,0),IF(B111="Sinapi",VLOOKUP(C111,'SINAPI-FEV.2017'!A:D,2,0),IF(B111="Cotação",VLOOKUP(C111,COTAÇÃO!A:D,2,0),IF(B111="Composição",VLOOKUP(C111,COMPOSIÇÃO!A:D,2,0))))))</f>
        <v>Pedra Britada N. 1 (9,5 A 19 Mm) Posto Pedreira/Fornecedor, Sem Frete</v>
      </c>
      <c r="E111" s="837"/>
      <c r="F111" s="837"/>
      <c r="G111" s="838"/>
      <c r="H111" s="838"/>
      <c r="I111" s="910"/>
      <c r="J111" s="910"/>
      <c r="K111" s="856" t="s">
        <v>27</v>
      </c>
      <c r="L111" s="856" t="s">
        <v>22</v>
      </c>
      <c r="M111" s="840">
        <f>SUM(M110:M110)</f>
        <v>87.300000000000011</v>
      </c>
      <c r="N111" s="700"/>
      <c r="P111" s="871"/>
    </row>
    <row r="112" spans="1:18" s="863" customFormat="1">
      <c r="A112" s="862"/>
      <c r="B112" s="862"/>
      <c r="C112" s="835"/>
      <c r="D112" s="826"/>
      <c r="E112" s="700"/>
      <c r="F112" s="700"/>
      <c r="G112" s="828" t="s">
        <v>1275</v>
      </c>
      <c r="H112" s="828" t="s">
        <v>11684</v>
      </c>
      <c r="I112" s="828" t="s">
        <v>19</v>
      </c>
      <c r="J112" s="828" t="s">
        <v>36</v>
      </c>
      <c r="K112" s="908" t="s">
        <v>30</v>
      </c>
      <c r="L112" s="828" t="s">
        <v>30</v>
      </c>
      <c r="M112" s="877" t="s">
        <v>30</v>
      </c>
      <c r="N112" s="700"/>
      <c r="P112" s="871"/>
    </row>
    <row r="113" spans="1:16" s="863" customFormat="1" ht="12.75" customHeight="1">
      <c r="A113" s="862"/>
      <c r="B113" s="862"/>
      <c r="C113" s="835"/>
      <c r="D113" s="826"/>
      <c r="E113" s="1674" t="s">
        <v>12513</v>
      </c>
      <c r="F113" s="1674"/>
      <c r="G113" s="907">
        <v>4</v>
      </c>
      <c r="H113" s="828">
        <f>H110</f>
        <v>43.65</v>
      </c>
      <c r="I113" s="828">
        <f>I110</f>
        <v>10</v>
      </c>
      <c r="J113" s="828">
        <v>0.05</v>
      </c>
      <c r="K113" s="908"/>
      <c r="L113" s="828" t="s">
        <v>22</v>
      </c>
      <c r="M113" s="877">
        <f>G113*H113*I113*J113</f>
        <v>87.300000000000011</v>
      </c>
      <c r="N113" s="700"/>
      <c r="P113" s="871"/>
    </row>
    <row r="114" spans="1:16" s="863" customFormat="1" ht="12.75" customHeight="1">
      <c r="A114" s="862"/>
      <c r="B114" s="862"/>
      <c r="C114" s="835"/>
      <c r="D114" s="826"/>
      <c r="E114" s="854"/>
      <c r="F114" s="854" t="s">
        <v>11788</v>
      </c>
      <c r="G114" s="907">
        <v>4</v>
      </c>
      <c r="H114" s="828">
        <f>H113</f>
        <v>43.65</v>
      </c>
      <c r="I114" s="828">
        <f>I110</f>
        <v>10</v>
      </c>
      <c r="J114" s="828">
        <v>0.15</v>
      </c>
      <c r="K114" s="908"/>
      <c r="L114" s="828" t="s">
        <v>22</v>
      </c>
      <c r="M114" s="877">
        <f>G114*H114*I114*J114</f>
        <v>261.89999999999998</v>
      </c>
      <c r="N114" s="700"/>
      <c r="P114" s="871"/>
    </row>
    <row r="115" spans="1:16" s="863" customFormat="1">
      <c r="A115" s="862" t="s">
        <v>12522</v>
      </c>
      <c r="B115" s="862" t="s">
        <v>11644</v>
      </c>
      <c r="C115" s="835">
        <v>4720</v>
      </c>
      <c r="D115" s="836" t="str">
        <f>PROPER(IF(B115="Saneago",VLOOKUP(C115,'SANEAGO-FEV.2016'!A:B,2,0),IF(B115="Sinapi",VLOOKUP(C115,'SINAPI-FEV.2017'!A:D,2,0),IF(B115="Cotação",VLOOKUP(C115,COTAÇÃO!A:D,2,0),IF(B115="Composição",VLOOKUP(C115,COMPOSIÇÃO!A:D,2,0))))))</f>
        <v>Pedra Britada N. 0, Ou Pedrisco (4,8 A 9,5 Mm) Posto Pedreira/Fornecedor, Sem Frete</v>
      </c>
      <c r="E115" s="837"/>
      <c r="F115" s="837"/>
      <c r="G115" s="838"/>
      <c r="H115" s="838"/>
      <c r="I115" s="910"/>
      <c r="J115" s="910"/>
      <c r="K115" s="856" t="s">
        <v>27</v>
      </c>
      <c r="L115" s="856" t="s">
        <v>22</v>
      </c>
      <c r="M115" s="840">
        <f>SUM(M113:M114)</f>
        <v>349.2</v>
      </c>
      <c r="N115" s="700"/>
      <c r="P115" s="871"/>
    </row>
    <row r="116" spans="1:16" s="863" customFormat="1">
      <c r="A116" s="862"/>
      <c r="B116" s="862"/>
      <c r="C116" s="835"/>
      <c r="D116" s="826"/>
      <c r="E116" s="700"/>
      <c r="F116" s="700"/>
      <c r="G116" s="828" t="s">
        <v>1275</v>
      </c>
      <c r="H116" s="828" t="s">
        <v>11684</v>
      </c>
      <c r="I116" s="828" t="s">
        <v>19</v>
      </c>
      <c r="J116" s="828" t="s">
        <v>36</v>
      </c>
      <c r="K116" s="908" t="s">
        <v>30</v>
      </c>
      <c r="L116" s="828" t="s">
        <v>30</v>
      </c>
      <c r="M116" s="877" t="s">
        <v>30</v>
      </c>
      <c r="N116" s="700"/>
      <c r="P116" s="871"/>
    </row>
    <row r="117" spans="1:16" s="863" customFormat="1" ht="12.75" customHeight="1">
      <c r="A117" s="862"/>
      <c r="B117" s="862"/>
      <c r="C117" s="835"/>
      <c r="D117" s="826"/>
      <c r="E117" s="1674" t="s">
        <v>12513</v>
      </c>
      <c r="F117" s="1674"/>
      <c r="G117" s="907">
        <v>4</v>
      </c>
      <c r="H117" s="828">
        <f>H113</f>
        <v>43.65</v>
      </c>
      <c r="I117" s="828">
        <f>I113</f>
        <v>10</v>
      </c>
      <c r="J117" s="828">
        <v>0.05</v>
      </c>
      <c r="K117" s="908"/>
      <c r="L117" s="828" t="s">
        <v>22</v>
      </c>
      <c r="M117" s="877">
        <f>G117*H117*I117*J117</f>
        <v>87.300000000000011</v>
      </c>
      <c r="N117" s="700"/>
      <c r="P117" s="871"/>
    </row>
    <row r="118" spans="1:16" s="863" customFormat="1" ht="22.5">
      <c r="A118" s="862" t="s">
        <v>12524</v>
      </c>
      <c r="B118" s="862" t="s">
        <v>11644</v>
      </c>
      <c r="C118" s="835">
        <v>94115</v>
      </c>
      <c r="D118" s="836" t="str">
        <f>PROPER(IF(B118="Saneago",VLOOKUP(C118,'SANEAGO-FEV.2016'!A:B,2,0),IF(B118="Sinapi",VLOOKUP(C118,'SINAPI-FEV.2017'!A:D,2,0),IF(B118="Cotação",VLOOKUP(C118,COTAÇÃO!A:D,2,0),IF(B118="Composição",VLOOKUP(C118,COMPOSIÇÃO!A:D,2,0))))))</f>
        <v>Lastro Com Preparo De Fundo, Largura Maior Ou Igual A 1,5 M, Com Camada De Areia, Lançamento Mecanizado, Em Local Com Nível Baixo De Interferência. Af_06/2016</v>
      </c>
      <c r="E118" s="837"/>
      <c r="F118" s="837"/>
      <c r="G118" s="838"/>
      <c r="H118" s="838"/>
      <c r="I118" s="910"/>
      <c r="J118" s="910"/>
      <c r="K118" s="856" t="s">
        <v>27</v>
      </c>
      <c r="L118" s="856" t="s">
        <v>22</v>
      </c>
      <c r="M118" s="840">
        <f>SUM(M117:M117)</f>
        <v>87.300000000000011</v>
      </c>
      <c r="N118" s="700"/>
      <c r="P118" s="871"/>
    </row>
    <row r="119" spans="1:16" s="863" customFormat="1">
      <c r="A119" s="862"/>
      <c r="B119" s="862"/>
      <c r="C119" s="835"/>
      <c r="D119" s="826"/>
      <c r="E119" s="790"/>
      <c r="F119" s="700" t="s">
        <v>30</v>
      </c>
      <c r="G119" s="700" t="s">
        <v>1275</v>
      </c>
      <c r="H119" s="700" t="s">
        <v>60</v>
      </c>
      <c r="I119" s="700" t="s">
        <v>19</v>
      </c>
      <c r="J119" s="700" t="s">
        <v>30</v>
      </c>
      <c r="K119" s="700" t="s">
        <v>30</v>
      </c>
      <c r="L119" s="700"/>
      <c r="M119" s="827"/>
      <c r="N119" s="700"/>
      <c r="P119" s="871"/>
    </row>
    <row r="120" spans="1:16" s="863" customFormat="1">
      <c r="A120" s="862"/>
      <c r="B120" s="862"/>
      <c r="C120" s="835"/>
      <c r="D120" s="1679" t="s">
        <v>12533</v>
      </c>
      <c r="E120" s="1674"/>
      <c r="F120" s="700"/>
      <c r="G120" s="700">
        <v>4</v>
      </c>
      <c r="H120" s="828">
        <f>I127</f>
        <v>43.65</v>
      </c>
      <c r="I120" s="828">
        <f>J127</f>
        <v>10</v>
      </c>
      <c r="J120" s="828"/>
      <c r="K120" s="828"/>
      <c r="L120" s="700" t="s">
        <v>21</v>
      </c>
      <c r="M120" s="890">
        <f>G120*H120*I120</f>
        <v>1746</v>
      </c>
      <c r="N120" s="700"/>
      <c r="P120" s="871"/>
    </row>
    <row r="121" spans="1:16" s="863" customFormat="1">
      <c r="A121" s="862" t="s">
        <v>14469</v>
      </c>
      <c r="B121" s="862" t="s">
        <v>13957</v>
      </c>
      <c r="C121" s="835" t="s">
        <v>20384</v>
      </c>
      <c r="D121" s="836" t="str">
        <f>PROPER(IF(B121="Saneago",VLOOKUP(C121,'SANEAGO-FEV.2016'!A:B,2,0),IF(B121="Sinapi",VLOOKUP(C121,'SINAPI-FEV.2017'!A:D,2,0),IF(B121="Cotação",VLOOKUP(C121,COTAÇÃO!A:D,2,0),IF(B121="Composição",VLOOKUP(C121,COMPOSIÇÃO!A:D,2,0))))))</f>
        <v>Assentamento De Tijolo Maçico</v>
      </c>
      <c r="E121" s="837"/>
      <c r="F121" s="837"/>
      <c r="G121" s="838"/>
      <c r="H121" s="838"/>
      <c r="I121" s="838"/>
      <c r="J121" s="838"/>
      <c r="K121" s="856" t="s">
        <v>27</v>
      </c>
      <c r="L121" s="856" t="s">
        <v>21</v>
      </c>
      <c r="M121" s="840">
        <f>M120</f>
        <v>1746</v>
      </c>
      <c r="N121" s="700"/>
      <c r="P121" s="871"/>
    </row>
    <row r="122" spans="1:16" s="863" customFormat="1">
      <c r="A122" s="862"/>
      <c r="B122" s="862"/>
      <c r="C122" s="835"/>
      <c r="D122" s="826"/>
      <c r="E122" s="790"/>
      <c r="F122" s="790"/>
      <c r="G122" s="828"/>
      <c r="H122" s="828"/>
      <c r="I122" s="911"/>
      <c r="J122" s="911"/>
      <c r="K122" s="816"/>
      <c r="L122" s="816"/>
      <c r="M122" s="902"/>
      <c r="N122" s="700"/>
      <c r="P122" s="871"/>
    </row>
    <row r="123" spans="1:16" s="863" customFormat="1" ht="13.5" thickBot="1">
      <c r="A123" s="862"/>
      <c r="B123" s="862"/>
      <c r="C123" s="835"/>
      <c r="D123" s="826"/>
      <c r="E123" s="790"/>
      <c r="F123" s="790"/>
      <c r="G123" s="828"/>
      <c r="H123" s="828"/>
      <c r="I123" s="911"/>
      <c r="J123" s="911"/>
      <c r="K123" s="816"/>
      <c r="L123" s="816"/>
      <c r="M123" s="902"/>
      <c r="N123" s="700"/>
      <c r="P123" s="871"/>
    </row>
    <row r="124" spans="1:16" s="863" customFormat="1" ht="17.25" customHeight="1" thickTop="1" thickBot="1">
      <c r="A124" s="862"/>
      <c r="B124" s="862"/>
      <c r="C124" s="835"/>
      <c r="D124" s="830" t="s">
        <v>12520</v>
      </c>
      <c r="E124" s="831"/>
      <c r="F124" s="831"/>
      <c r="G124" s="831"/>
      <c r="H124" s="831"/>
      <c r="I124" s="831"/>
      <c r="J124" s="831"/>
      <c r="K124" s="831"/>
      <c r="L124" s="832" t="s">
        <v>25</v>
      </c>
      <c r="M124" s="833" t="s">
        <v>27</v>
      </c>
      <c r="N124" s="700"/>
      <c r="P124" s="871"/>
    </row>
    <row r="125" spans="1:16" s="863" customFormat="1" ht="43.5" customHeight="1" thickTop="1">
      <c r="A125" s="862"/>
      <c r="B125" s="862"/>
      <c r="C125" s="835"/>
      <c r="D125" s="826"/>
      <c r="E125" s="700" t="s">
        <v>30</v>
      </c>
      <c r="F125" s="700" t="s">
        <v>30</v>
      </c>
      <c r="G125" s="828" t="s">
        <v>20996</v>
      </c>
      <c r="H125" s="828" t="s">
        <v>21003</v>
      </c>
      <c r="I125" s="828" t="s">
        <v>11684</v>
      </c>
      <c r="J125" s="828" t="s">
        <v>19</v>
      </c>
      <c r="K125" s="828" t="s">
        <v>32</v>
      </c>
      <c r="L125" s="828" t="s">
        <v>30</v>
      </c>
      <c r="M125" s="877" t="s">
        <v>30</v>
      </c>
      <c r="N125" s="700"/>
      <c r="P125" s="871"/>
    </row>
    <row r="126" spans="1:16" s="863" customFormat="1">
      <c r="A126" s="862"/>
      <c r="B126" s="862"/>
      <c r="C126" s="835"/>
      <c r="D126" s="1679" t="s">
        <v>12528</v>
      </c>
      <c r="E126" s="1674"/>
      <c r="F126" s="854" t="s">
        <v>21002</v>
      </c>
      <c r="G126" s="907">
        <v>2</v>
      </c>
      <c r="H126" s="828">
        <f>11*2</f>
        <v>22</v>
      </c>
      <c r="I126" s="828">
        <v>0.5</v>
      </c>
      <c r="J126" s="828">
        <v>0.5</v>
      </c>
      <c r="K126" s="828">
        <v>0.1</v>
      </c>
      <c r="L126" s="828" t="s">
        <v>21</v>
      </c>
      <c r="M126" s="877">
        <f>G126*H126*(2*I126+J126*2)*K126</f>
        <v>8.8000000000000007</v>
      </c>
      <c r="N126" s="700"/>
      <c r="P126" s="871"/>
    </row>
    <row r="127" spans="1:16" s="863" customFormat="1" ht="22.5">
      <c r="A127" s="862"/>
      <c r="B127" s="862"/>
      <c r="C127" s="835"/>
      <c r="D127" s="1679" t="s">
        <v>12528</v>
      </c>
      <c r="E127" s="1674"/>
      <c r="F127" s="854" t="s">
        <v>20995</v>
      </c>
      <c r="G127" s="700">
        <v>2</v>
      </c>
      <c r="H127" s="700">
        <v>2</v>
      </c>
      <c r="I127" s="828">
        <f>H101</f>
        <v>43.65</v>
      </c>
      <c r="J127" s="828">
        <f>I101</f>
        <v>10</v>
      </c>
      <c r="K127" s="828">
        <v>0.15</v>
      </c>
      <c r="L127" s="828" t="s">
        <v>21</v>
      </c>
      <c r="M127" s="877">
        <f>G127*H127*((2*I127+2*J127)*K127)</f>
        <v>64.38</v>
      </c>
      <c r="N127" s="700"/>
      <c r="P127" s="871"/>
    </row>
    <row r="128" spans="1:16" s="863" customFormat="1" ht="24.75" customHeight="1">
      <c r="A128" s="862"/>
      <c r="B128" s="862"/>
      <c r="C128" s="835"/>
      <c r="D128" s="1679" t="s">
        <v>12528</v>
      </c>
      <c r="E128" s="1674"/>
      <c r="F128" s="854" t="s">
        <v>12519</v>
      </c>
      <c r="G128" s="700">
        <f>((8*11+4*10))*2</f>
        <v>256</v>
      </c>
      <c r="H128" s="700"/>
      <c r="I128" s="828">
        <v>0.15</v>
      </c>
      <c r="J128" s="828">
        <v>0.15</v>
      </c>
      <c r="K128" s="828">
        <v>1.65</v>
      </c>
      <c r="L128" s="828" t="s">
        <v>21</v>
      </c>
      <c r="M128" s="877">
        <f>G128*((2*I128+2*J128)*K128)</f>
        <v>253.43999999999997</v>
      </c>
      <c r="N128" s="700"/>
      <c r="P128" s="871"/>
    </row>
    <row r="129" spans="1:20" s="863" customFormat="1" ht="22.5">
      <c r="A129" s="862"/>
      <c r="B129" s="862"/>
      <c r="C129" s="835"/>
      <c r="D129" s="1679" t="s">
        <v>12528</v>
      </c>
      <c r="E129" s="1674"/>
      <c r="F129" s="854" t="s">
        <v>20998</v>
      </c>
      <c r="G129" s="700">
        <v>2</v>
      </c>
      <c r="H129" s="700">
        <f>9*2</f>
        <v>18</v>
      </c>
      <c r="I129" s="828">
        <f>J127</f>
        <v>10</v>
      </c>
      <c r="J129" s="828">
        <v>0.15</v>
      </c>
      <c r="K129" s="828">
        <v>0.15</v>
      </c>
      <c r="L129" s="828" t="s">
        <v>21</v>
      </c>
      <c r="M129" s="877">
        <f>G129*H129*((2*I129)*K129)</f>
        <v>108</v>
      </c>
      <c r="N129" s="700"/>
      <c r="P129" s="871"/>
    </row>
    <row r="130" spans="1:20" s="863" customFormat="1" ht="22.5">
      <c r="A130" s="862"/>
      <c r="B130" s="862"/>
      <c r="C130" s="835"/>
      <c r="D130" s="1679" t="s">
        <v>12529</v>
      </c>
      <c r="E130" s="1674"/>
      <c r="F130" s="854" t="s">
        <v>12530</v>
      </c>
      <c r="G130" s="700">
        <v>1</v>
      </c>
      <c r="H130" s="700"/>
      <c r="I130" s="828">
        <f>I127*3+J127*6</f>
        <v>190.95</v>
      </c>
      <c r="J130" s="828">
        <v>0.15</v>
      </c>
      <c r="K130" s="828">
        <v>0.15</v>
      </c>
      <c r="L130" s="828" t="s">
        <v>21</v>
      </c>
      <c r="M130" s="877">
        <f>(I130*2*K130)</f>
        <v>57.284999999999997</v>
      </c>
      <c r="N130" s="700"/>
      <c r="P130" s="871"/>
    </row>
    <row r="131" spans="1:20" s="863" customFormat="1">
      <c r="A131" s="862"/>
      <c r="B131" s="862"/>
      <c r="C131" s="835"/>
      <c r="D131" s="826"/>
      <c r="E131" s="700"/>
      <c r="F131" s="700"/>
      <c r="G131" s="828"/>
      <c r="H131" s="828"/>
      <c r="I131" s="828"/>
      <c r="J131" s="828"/>
      <c r="K131" s="828"/>
      <c r="L131" s="828"/>
      <c r="M131" s="877"/>
      <c r="N131" s="700"/>
      <c r="P131" s="871"/>
    </row>
    <row r="132" spans="1:20" s="863" customFormat="1" ht="39" customHeight="1">
      <c r="A132" s="862" t="s">
        <v>20386</v>
      </c>
      <c r="B132" s="835" t="s">
        <v>70</v>
      </c>
      <c r="C132" s="1146">
        <v>92419</v>
      </c>
      <c r="D132" s="836" t="str">
        <f>PROPER(IF(B132="Saneago",VLOOKUP(C132,'SANEAGO-FEV.2016'!A:B,2,0),IF(B132="Sinapi",VLOOKUP(C132,'SINAPI-FEV.2017'!A:D,2,0),IF(B132="Cotação",VLOOKUP(C132,COTAÇÃO!A:D,2,0),IF(B132="Composição",VLOOKUP(C132,COMPOSIÇÃO!A:D,2,0))))))</f>
        <v>Montagem E Desmontagem De Fôrma De Pilares Retangulares E Estruturas Similares Com Área Média Das Seções Maior Que 0,25 M², Pé-Direito Simples, Em Chapa De Madeira Compensada Resinada, 4 Utilizações. Af_12/2015</v>
      </c>
      <c r="E132" s="837"/>
      <c r="F132" s="837"/>
      <c r="G132" s="838"/>
      <c r="H132" s="838"/>
      <c r="I132" s="910"/>
      <c r="J132" s="910"/>
      <c r="K132" s="856" t="s">
        <v>27</v>
      </c>
      <c r="L132" s="856" t="s">
        <v>21</v>
      </c>
      <c r="M132" s="840">
        <f>M128</f>
        <v>253.43999999999997</v>
      </c>
      <c r="N132" s="876"/>
      <c r="O132" s="871"/>
      <c r="P132" s="1147"/>
      <c r="Q132" s="871"/>
      <c r="R132" s="871"/>
      <c r="S132" s="871"/>
      <c r="T132" s="1148"/>
    </row>
    <row r="133" spans="1:20" s="863" customFormat="1" ht="33" customHeight="1">
      <c r="A133" s="862" t="s">
        <v>20387</v>
      </c>
      <c r="B133" s="835" t="s">
        <v>70</v>
      </c>
      <c r="C133" s="835">
        <v>92448</v>
      </c>
      <c r="D133" s="836" t="str">
        <f>PROPER(IF(B133="Saneago",VLOOKUP(C133,'SANEAGO-FEV.2016'!A:B,2,0),IF(B133="Sinapi",VLOOKUP(C133,'SINAPI-FEV.2017'!A:D,2,0),IF(B133="Cotação",VLOOKUP(C133,COTAÇÃO!A:D,2,0),IF(B133="Composição",VLOOKUP(C133,COMPOSIÇÃO!A:D,2,0))))))</f>
        <v>Montagem E Desmontagem De Fôrma De Viga, Escoramento Com Pontalete De Madeira, Pé-Direito Simples, Em Madeira Serrada, 4 Utilizações. Af_12/2015</v>
      </c>
      <c r="E133" s="837"/>
      <c r="F133" s="837"/>
      <c r="G133" s="838"/>
      <c r="H133" s="838"/>
      <c r="I133" s="910"/>
      <c r="J133" s="910"/>
      <c r="K133" s="856" t="s">
        <v>27</v>
      </c>
      <c r="L133" s="856" t="s">
        <v>21</v>
      </c>
      <c r="M133" s="840">
        <f>SUM(M126:M127,M129:M130)</f>
        <v>238.465</v>
      </c>
      <c r="N133" s="876"/>
      <c r="O133" s="871"/>
      <c r="P133" s="1147"/>
      <c r="Q133" s="871"/>
      <c r="R133" s="871"/>
      <c r="S133" s="871"/>
      <c r="T133" s="1148"/>
    </row>
    <row r="134" spans="1:20" s="863" customFormat="1" ht="33.75">
      <c r="A134" s="862"/>
      <c r="B134" s="862"/>
      <c r="C134" s="835"/>
      <c r="D134" s="826"/>
      <c r="E134" s="700" t="s">
        <v>30</v>
      </c>
      <c r="F134" s="700" t="s">
        <v>30</v>
      </c>
      <c r="G134" s="828" t="s">
        <v>1275</v>
      </c>
      <c r="H134" s="828" t="s">
        <v>21003</v>
      </c>
      <c r="I134" s="828" t="s">
        <v>11684</v>
      </c>
      <c r="J134" s="828" t="s">
        <v>19</v>
      </c>
      <c r="K134" s="828" t="s">
        <v>32</v>
      </c>
      <c r="L134" s="828" t="s">
        <v>30</v>
      </c>
      <c r="M134" s="877" t="s">
        <v>30</v>
      </c>
      <c r="N134" s="700"/>
      <c r="P134" s="871"/>
    </row>
    <row r="135" spans="1:20" s="863" customFormat="1">
      <c r="A135" s="862"/>
      <c r="B135" s="862"/>
      <c r="C135" s="835"/>
      <c r="D135" s="1679" t="s">
        <v>12528</v>
      </c>
      <c r="E135" s="1674"/>
      <c r="F135" s="854" t="s">
        <v>21002</v>
      </c>
      <c r="G135" s="907">
        <v>2</v>
      </c>
      <c r="H135" s="828">
        <f>11*2</f>
        <v>22</v>
      </c>
      <c r="I135" s="828">
        <v>0.5</v>
      </c>
      <c r="J135" s="828">
        <v>0.5</v>
      </c>
      <c r="K135" s="828">
        <v>0.1</v>
      </c>
      <c r="L135" s="828" t="s">
        <v>21</v>
      </c>
      <c r="M135" s="877">
        <f>G135*H135*(I135*J135)*K135</f>
        <v>1.1000000000000001</v>
      </c>
      <c r="N135" s="700"/>
      <c r="P135" s="871"/>
    </row>
    <row r="136" spans="1:20" s="863" customFormat="1">
      <c r="A136" s="862"/>
      <c r="B136" s="862"/>
      <c r="C136" s="835"/>
      <c r="D136" s="1679" t="s">
        <v>12528</v>
      </c>
      <c r="E136" s="1674"/>
      <c r="F136" s="854" t="s">
        <v>21001</v>
      </c>
      <c r="G136" s="700">
        <v>2</v>
      </c>
      <c r="H136" s="700"/>
      <c r="I136" s="828">
        <v>43.35</v>
      </c>
      <c r="J136" s="828">
        <v>10</v>
      </c>
      <c r="K136" s="828">
        <v>0.15</v>
      </c>
      <c r="L136" s="828" t="s">
        <v>22</v>
      </c>
      <c r="M136" s="877">
        <f>G136*I136*J136*K136</f>
        <v>130.04999999999998</v>
      </c>
      <c r="N136" s="700"/>
      <c r="P136" s="871"/>
    </row>
    <row r="137" spans="1:20" s="863" customFormat="1" ht="22.5">
      <c r="A137" s="862"/>
      <c r="B137" s="862"/>
      <c r="C137" s="835"/>
      <c r="D137" s="1679" t="s">
        <v>12528</v>
      </c>
      <c r="E137" s="1674"/>
      <c r="F137" s="854" t="s">
        <v>20995</v>
      </c>
      <c r="G137" s="700">
        <f>G127</f>
        <v>2</v>
      </c>
      <c r="H137" s="700">
        <v>2</v>
      </c>
      <c r="I137" s="828">
        <f>I127</f>
        <v>43.65</v>
      </c>
      <c r="J137" s="889">
        <f>J127</f>
        <v>10</v>
      </c>
      <c r="K137" s="828">
        <v>0.15</v>
      </c>
      <c r="L137" s="828" t="s">
        <v>22</v>
      </c>
      <c r="M137" s="877">
        <f>G137*H137*(2*I137+2*J137)*0.15*K137</f>
        <v>9.6569999999999983</v>
      </c>
      <c r="N137" s="700"/>
      <c r="P137" s="871"/>
    </row>
    <row r="138" spans="1:20" s="863" customFormat="1">
      <c r="A138" s="862"/>
      <c r="B138" s="862"/>
      <c r="C138" s="835"/>
      <c r="D138" s="888"/>
      <c r="E138" s="854"/>
      <c r="F138" s="854"/>
      <c r="G138" s="700"/>
      <c r="H138" s="700"/>
      <c r="I138" s="700"/>
      <c r="J138" s="700"/>
      <c r="K138" s="828"/>
      <c r="L138" s="828"/>
      <c r="M138" s="877"/>
      <c r="N138" s="700"/>
      <c r="P138" s="871"/>
    </row>
    <row r="139" spans="1:20" s="863" customFormat="1">
      <c r="A139" s="862"/>
      <c r="B139" s="862"/>
      <c r="C139" s="835"/>
      <c r="D139" s="1679" t="s">
        <v>12528</v>
      </c>
      <c r="E139" s="1674"/>
      <c r="F139" s="854" t="s">
        <v>12519</v>
      </c>
      <c r="G139" s="700">
        <f>G128</f>
        <v>256</v>
      </c>
      <c r="H139" s="700"/>
      <c r="I139" s="700">
        <f t="shared" ref="I139:J141" si="0">I128</f>
        <v>0.15</v>
      </c>
      <c r="J139" s="700">
        <f t="shared" si="0"/>
        <v>0.15</v>
      </c>
      <c r="K139" s="828">
        <v>1.65</v>
      </c>
      <c r="L139" s="828" t="s">
        <v>22</v>
      </c>
      <c r="M139" s="877">
        <f>G139*I139*J139*K139</f>
        <v>9.5039999999999996</v>
      </c>
      <c r="N139" s="700"/>
      <c r="P139" s="871"/>
    </row>
    <row r="140" spans="1:20" s="863" customFormat="1" ht="22.5">
      <c r="A140" s="862"/>
      <c r="B140" s="862"/>
      <c r="C140" s="835"/>
      <c r="D140" s="1679" t="s">
        <v>12528</v>
      </c>
      <c r="E140" s="1674"/>
      <c r="F140" s="854" t="s">
        <v>20998</v>
      </c>
      <c r="G140" s="700">
        <f>G129</f>
        <v>2</v>
      </c>
      <c r="H140" s="700">
        <f>9*2</f>
        <v>18</v>
      </c>
      <c r="I140" s="828">
        <f t="shared" si="0"/>
        <v>10</v>
      </c>
      <c r="J140" s="700">
        <f t="shared" si="0"/>
        <v>0.15</v>
      </c>
      <c r="K140" s="828">
        <v>0.15</v>
      </c>
      <c r="L140" s="828" t="s">
        <v>22</v>
      </c>
      <c r="M140" s="877">
        <f>G140*H140*I140*J140*K140</f>
        <v>8.1</v>
      </c>
      <c r="N140" s="700"/>
      <c r="P140" s="871"/>
    </row>
    <row r="141" spans="1:20" s="863" customFormat="1" ht="22.5">
      <c r="A141" s="862"/>
      <c r="B141" s="862"/>
      <c r="C141" s="835"/>
      <c r="D141" s="1679" t="s">
        <v>12529</v>
      </c>
      <c r="E141" s="1674"/>
      <c r="F141" s="854" t="s">
        <v>12530</v>
      </c>
      <c r="G141" s="700">
        <v>1</v>
      </c>
      <c r="H141" s="700"/>
      <c r="I141" s="828">
        <f t="shared" si="0"/>
        <v>190.95</v>
      </c>
      <c r="J141" s="700">
        <f t="shared" si="0"/>
        <v>0.15</v>
      </c>
      <c r="K141" s="828">
        <v>0.15</v>
      </c>
      <c r="L141" s="828" t="s">
        <v>22</v>
      </c>
      <c r="M141" s="877">
        <f>I141*J141*K141</f>
        <v>4.2963749999999994</v>
      </c>
      <c r="N141" s="700"/>
      <c r="P141" s="871"/>
    </row>
    <row r="142" spans="1:20" s="863" customFormat="1" ht="12.75" customHeight="1">
      <c r="A142" s="862"/>
      <c r="B142" s="862"/>
      <c r="C142" s="835"/>
      <c r="D142" s="888"/>
      <c r="E142" s="854"/>
      <c r="F142" s="854"/>
      <c r="G142" s="700"/>
      <c r="H142" s="828"/>
      <c r="I142" s="700"/>
      <c r="J142" s="700"/>
      <c r="K142" s="828"/>
      <c r="L142" s="828"/>
      <c r="M142" s="877"/>
      <c r="N142" s="700"/>
      <c r="P142" s="871"/>
    </row>
    <row r="143" spans="1:20" s="863" customFormat="1" ht="22.5">
      <c r="A143" s="862" t="s">
        <v>20389</v>
      </c>
      <c r="B143" s="835" t="s">
        <v>70</v>
      </c>
      <c r="C143" s="1141">
        <v>34492</v>
      </c>
      <c r="D143" s="836" t="str">
        <f>PROPER(IF(B143="Saneago",VLOOKUP(C143,'SANEAGO-FEV.2016'!A:B,2,0),IF(B143="Sinapi",VLOOKUP(C143,'SINAPI-FEV.2017'!A:D,2,0),IF(B143="Cotação",VLOOKUP(C143,COTAÇÃO!A:D,2,0),IF(B143="Composição",VLOOKUP(C143,COMPOSIÇÃO!A:D,2,0))))))</f>
        <v>Concreto Usinado Bombeavel, Classe De Resistencia C20, Com Brita 0 E 1, Slump = 100 +/- 20 Mm, Exclui Servico De Bombeamento (Nbr 8953)</v>
      </c>
      <c r="E143" s="837"/>
      <c r="F143" s="837"/>
      <c r="G143" s="838"/>
      <c r="H143" s="838"/>
      <c r="I143" s="910"/>
      <c r="J143" s="910"/>
      <c r="K143" s="856" t="s">
        <v>27</v>
      </c>
      <c r="L143" s="856" t="s">
        <v>21</v>
      </c>
      <c r="M143" s="840">
        <f>SUM(M135:M141)</f>
        <v>162.70737499999998</v>
      </c>
      <c r="N143" s="700"/>
      <c r="P143" s="871"/>
    </row>
    <row r="144" spans="1:20" s="863" customFormat="1">
      <c r="A144" s="912"/>
      <c r="B144" s="855"/>
      <c r="C144" s="855"/>
      <c r="D144" s="826"/>
      <c r="E144" s="790"/>
      <c r="F144" s="790"/>
      <c r="G144" s="828" t="s">
        <v>30</v>
      </c>
      <c r="H144" s="1674"/>
      <c r="I144" s="1674"/>
      <c r="J144" s="1674"/>
      <c r="K144" s="1674"/>
      <c r="L144" s="700"/>
      <c r="M144" s="1149"/>
      <c r="N144" s="700"/>
      <c r="P144" s="871"/>
    </row>
    <row r="145" spans="1:16" s="863" customFormat="1" ht="22.5">
      <c r="A145" s="912" t="s">
        <v>20388</v>
      </c>
      <c r="B145" s="855" t="s">
        <v>70</v>
      </c>
      <c r="C145" s="855">
        <v>92874</v>
      </c>
      <c r="D145" s="836" t="str">
        <f>PROPER(IF(B145="Saneago",VLOOKUP(C145,'SANEAGO-FEV.2016'!A:B,2,0),IF(B145="Sinapi",VLOOKUP(C145,'SINAPI-FEV.2017'!A:D,2,0),IF(B145="Cotação",VLOOKUP(C145,COTAÇÃO!A:D,2,0),IF(B145="Composição",VLOOKUP(C145,COMPOSIÇÃO!A:D,2,0))))))</f>
        <v>Lançamento Com Uso De Bomba, Adensamento E Acabamento De Concreto Em Estruturas. Af_12/2015</v>
      </c>
      <c r="E145" s="837"/>
      <c r="F145" s="837"/>
      <c r="G145" s="838"/>
      <c r="H145" s="838"/>
      <c r="I145" s="838"/>
      <c r="J145" s="913"/>
      <c r="K145" s="839" t="s">
        <v>27</v>
      </c>
      <c r="L145" s="856" t="s">
        <v>22</v>
      </c>
      <c r="M145" s="1150">
        <f>M143</f>
        <v>162.70737499999998</v>
      </c>
      <c r="N145" s="914"/>
      <c r="P145" s="871"/>
    </row>
    <row r="146" spans="1:16" s="863" customFormat="1" ht="27.75" customHeight="1">
      <c r="A146" s="862"/>
      <c r="B146" s="862"/>
      <c r="C146" s="835"/>
      <c r="D146" s="826"/>
      <c r="E146" s="700" t="s">
        <v>30</v>
      </c>
      <c r="F146" s="828" t="s">
        <v>1275</v>
      </c>
      <c r="G146" s="828" t="s">
        <v>20997</v>
      </c>
      <c r="H146" s="828" t="s">
        <v>11684</v>
      </c>
      <c r="I146" s="828" t="s">
        <v>19</v>
      </c>
      <c r="J146" s="828" t="s">
        <v>12526</v>
      </c>
      <c r="K146" s="828" t="s">
        <v>12527</v>
      </c>
      <c r="L146" s="828"/>
      <c r="M146" s="877" t="s">
        <v>30</v>
      </c>
      <c r="N146" s="700"/>
      <c r="P146" s="871"/>
    </row>
    <row r="147" spans="1:16" s="863" customFormat="1" ht="27.75" customHeight="1">
      <c r="A147" s="862"/>
      <c r="B147" s="862"/>
      <c r="C147" s="835"/>
      <c r="D147" s="888" t="s">
        <v>12528</v>
      </c>
      <c r="E147" s="854" t="s">
        <v>21002</v>
      </c>
      <c r="F147" s="907">
        <v>2</v>
      </c>
      <c r="G147" s="828">
        <f>11*2</f>
        <v>22</v>
      </c>
      <c r="H147" s="828">
        <v>0.5</v>
      </c>
      <c r="I147" s="828">
        <v>0.5</v>
      </c>
      <c r="J147" s="828">
        <f>F147*G147*(H147/0.15)*0.6*0.14</f>
        <v>12.320000000000004</v>
      </c>
      <c r="K147" s="828">
        <f>F147*G147*H147*4*0.39</f>
        <v>34.32</v>
      </c>
      <c r="L147" s="828" t="s">
        <v>33</v>
      </c>
      <c r="M147" s="877">
        <f>SUM(J147:K147)</f>
        <v>46.64</v>
      </c>
      <c r="N147" s="700"/>
      <c r="P147" s="871"/>
    </row>
    <row r="148" spans="1:16" s="863" customFormat="1" ht="24" customHeight="1">
      <c r="A148" s="862"/>
      <c r="B148" s="862"/>
      <c r="C148" s="835"/>
      <c r="D148" s="888" t="s">
        <v>12528</v>
      </c>
      <c r="E148" s="854" t="s">
        <v>20995</v>
      </c>
      <c r="F148" s="700">
        <f>G137</f>
        <v>2</v>
      </c>
      <c r="G148" s="700">
        <v>2</v>
      </c>
      <c r="H148" s="700">
        <f>I137</f>
        <v>43.65</v>
      </c>
      <c r="I148" s="700">
        <f>J137</f>
        <v>10</v>
      </c>
      <c r="J148" s="700">
        <f>F148*G148*((H148*2+I148*2)/0.15*(0.15*4)*0.14)</f>
        <v>240.352</v>
      </c>
      <c r="K148" s="828">
        <f>F148*G148*(2*H148+2*I148)*4*0.39</f>
        <v>669.55200000000002</v>
      </c>
      <c r="L148" s="828" t="s">
        <v>33</v>
      </c>
      <c r="M148" s="877">
        <f>SUM(J148:K148)</f>
        <v>909.904</v>
      </c>
      <c r="N148" s="700"/>
      <c r="P148" s="871"/>
    </row>
    <row r="149" spans="1:16" s="863" customFormat="1" ht="21.75" customHeight="1">
      <c r="A149" s="862"/>
      <c r="B149" s="862"/>
      <c r="C149" s="835"/>
      <c r="D149" s="888" t="s">
        <v>12528</v>
      </c>
      <c r="E149" s="854" t="s">
        <v>12519</v>
      </c>
      <c r="F149" s="700">
        <v>0</v>
      </c>
      <c r="G149" s="700"/>
      <c r="H149" s="700"/>
      <c r="I149" s="700"/>
      <c r="J149" s="700"/>
      <c r="K149" s="828"/>
      <c r="L149" s="828" t="s">
        <v>33</v>
      </c>
      <c r="M149" s="877">
        <f>SUM(J149:K149)</f>
        <v>0</v>
      </c>
      <c r="N149" s="700"/>
      <c r="P149" s="871"/>
    </row>
    <row r="150" spans="1:16" s="863" customFormat="1" ht="22.5">
      <c r="A150" s="862"/>
      <c r="B150" s="862"/>
      <c r="C150" s="835"/>
      <c r="D150" s="888" t="s">
        <v>12528</v>
      </c>
      <c r="E150" s="854" t="s">
        <v>20998</v>
      </c>
      <c r="F150" s="700">
        <f>G140</f>
        <v>2</v>
      </c>
      <c r="G150" s="700">
        <f>H140</f>
        <v>18</v>
      </c>
      <c r="H150" s="828">
        <f>I140</f>
        <v>10</v>
      </c>
      <c r="I150" s="700">
        <v>0</v>
      </c>
      <c r="J150" s="700">
        <f>F150*G150*((H150)/0.15*(0.15*4)*0.14)</f>
        <v>201.60000000000002</v>
      </c>
      <c r="K150" s="828">
        <f>F150*G150*(H150)*4*0.39</f>
        <v>561.6</v>
      </c>
      <c r="L150" s="828" t="s">
        <v>33</v>
      </c>
      <c r="M150" s="877">
        <f>SUM(J150:K150)</f>
        <v>763.2</v>
      </c>
      <c r="N150" s="700"/>
      <c r="P150" s="871"/>
    </row>
    <row r="151" spans="1:16" s="863" customFormat="1" ht="22.5">
      <c r="A151" s="862"/>
      <c r="B151" s="862"/>
      <c r="C151" s="835"/>
      <c r="D151" s="888" t="s">
        <v>12529</v>
      </c>
      <c r="E151" s="854" t="s">
        <v>12530</v>
      </c>
      <c r="F151" s="700">
        <v>1</v>
      </c>
      <c r="G151" s="700"/>
      <c r="H151" s="828">
        <f>I141</f>
        <v>190.95</v>
      </c>
      <c r="I151" s="700">
        <f>J141</f>
        <v>0.15</v>
      </c>
      <c r="J151" s="700">
        <f>F151*(H151/0.15*(0.15*4)*0.14)</f>
        <v>106.932</v>
      </c>
      <c r="K151" s="828">
        <f>F151*(4*H151)*0.39</f>
        <v>297.88200000000001</v>
      </c>
      <c r="L151" s="828" t="s">
        <v>33</v>
      </c>
      <c r="M151" s="877">
        <f>SUM(J151:K151)</f>
        <v>404.81400000000002</v>
      </c>
      <c r="N151" s="700"/>
      <c r="P151" s="871"/>
    </row>
    <row r="152" spans="1:16" s="863" customFormat="1">
      <c r="A152" s="862"/>
      <c r="B152" s="862"/>
      <c r="C152" s="835"/>
      <c r="D152" s="826"/>
      <c r="E152" s="790"/>
      <c r="F152" s="790"/>
      <c r="G152" s="828" t="s">
        <v>30</v>
      </c>
      <c r="H152" s="828" t="s">
        <v>30</v>
      </c>
      <c r="I152" s="828" t="s">
        <v>30</v>
      </c>
      <c r="J152" s="828" t="s">
        <v>30</v>
      </c>
      <c r="K152" s="828" t="s">
        <v>30</v>
      </c>
      <c r="L152" s="828" t="s">
        <v>30</v>
      </c>
      <c r="M152" s="877" t="s">
        <v>30</v>
      </c>
      <c r="N152" s="700"/>
      <c r="P152" s="871"/>
    </row>
    <row r="153" spans="1:16" s="863" customFormat="1" ht="37.5" customHeight="1">
      <c r="A153" s="862" t="s">
        <v>20390</v>
      </c>
      <c r="B153" s="855" t="s">
        <v>70</v>
      </c>
      <c r="C153" s="835">
        <v>92915</v>
      </c>
      <c r="D153" s="836" t="str">
        <f>PROPER(IF(B153="Saneago",VLOOKUP(C153,'SANEAGO-FEV.2016'!A:B,2,0),IF(B153="Sinapi",VLOOKUP(C153,'SINAPI-FEV.2017'!A:D,2,0),IF(B153="Cotação",VLOOKUP(C153,COTAÇÃO!A:D,2,0),IF(B153="Composição",VLOOKUP(C153,COMPOSIÇÃO!A:D,2,0))))))</f>
        <v>Armação De Estruturas De Concreto Armado, Exceto Vigas, Pilares, Lajes E Fundações Profundas (De Edifícios De Múltiplos Pavimentos, Edificação Térrea Ou Sobrado), Utilizando Aço Ca-60 De 5.0 Mm - Montagem. Af_12/2015</v>
      </c>
      <c r="E153" s="837"/>
      <c r="F153" s="837"/>
      <c r="G153" s="838"/>
      <c r="H153" s="838"/>
      <c r="I153" s="838"/>
      <c r="J153" s="913"/>
      <c r="K153" s="856" t="s">
        <v>27</v>
      </c>
      <c r="L153" s="856" t="s">
        <v>21</v>
      </c>
      <c r="M153" s="840">
        <f>SUM(J147:J151)</f>
        <v>561.20400000000006</v>
      </c>
      <c r="N153" s="914"/>
      <c r="P153" s="871"/>
    </row>
    <row r="154" spans="1:16" s="863" customFormat="1">
      <c r="A154" s="862"/>
      <c r="B154" s="862"/>
      <c r="C154" s="835"/>
      <c r="D154" s="826"/>
      <c r="E154" s="790"/>
      <c r="F154" s="790"/>
      <c r="G154" s="828" t="s">
        <v>30</v>
      </c>
      <c r="H154" s="828" t="s">
        <v>30</v>
      </c>
      <c r="I154" s="828" t="s">
        <v>30</v>
      </c>
      <c r="J154" s="828" t="s">
        <v>30</v>
      </c>
      <c r="K154" s="828" t="s">
        <v>30</v>
      </c>
      <c r="L154" s="828" t="s">
        <v>30</v>
      </c>
      <c r="M154" s="877" t="s">
        <v>30</v>
      </c>
      <c r="N154" s="700"/>
      <c r="P154" s="871"/>
    </row>
    <row r="155" spans="1:16" s="863" customFormat="1" ht="33.75">
      <c r="A155" s="862" t="s">
        <v>20391</v>
      </c>
      <c r="B155" s="855" t="s">
        <v>70</v>
      </c>
      <c r="C155" s="835">
        <v>92917</v>
      </c>
      <c r="D155" s="836" t="str">
        <f>PROPER(IF(B155="Saneago",VLOOKUP(C155,'SANEAGO-FEV.2016'!A:B,2,0),IF(B155="Sinapi",VLOOKUP(C155,'SINAPI-FEV.2017'!A:D,2,0),IF(B155="Cotação",VLOOKUP(C155,COTAÇÃO!A:D,2,0),IF(B155="Composição",VLOOKUP(C155,COMPOSIÇÃO!A:D,2,0))))))</f>
        <v>Armação De Estruturas De Concreto Armado, Exceto Vigas, Pilares, Lajes E Fundações Profundas (De Edifícios De Múltiplos Pavimentos, Edificação Térrea Ou Sobrado), Utilizando Aço Ca-50 De 8.0 Mm - Montagem. Af_12/2015</v>
      </c>
      <c r="E155" s="837"/>
      <c r="F155" s="837"/>
      <c r="G155" s="838"/>
      <c r="H155" s="838"/>
      <c r="I155" s="838"/>
      <c r="J155" s="913"/>
      <c r="K155" s="856" t="s">
        <v>27</v>
      </c>
      <c r="L155" s="856" t="s">
        <v>21</v>
      </c>
      <c r="M155" s="840">
        <f>SUM(K147:K151)</f>
        <v>1563.3540000000003</v>
      </c>
      <c r="N155" s="914"/>
      <c r="P155" s="871"/>
    </row>
    <row r="156" spans="1:16" s="863" customFormat="1">
      <c r="A156" s="862"/>
      <c r="B156" s="862"/>
      <c r="C156" s="835"/>
      <c r="D156" s="826"/>
      <c r="E156" s="790"/>
      <c r="F156" s="790"/>
      <c r="G156" s="828" t="s">
        <v>30</v>
      </c>
      <c r="H156" s="828" t="s">
        <v>30</v>
      </c>
      <c r="I156" s="828" t="s">
        <v>30</v>
      </c>
      <c r="J156" s="828" t="s">
        <v>30</v>
      </c>
      <c r="K156" s="828" t="s">
        <v>30</v>
      </c>
      <c r="L156" s="828" t="s">
        <v>30</v>
      </c>
      <c r="M156" s="877" t="s">
        <v>30</v>
      </c>
      <c r="N156" s="700"/>
      <c r="P156" s="871"/>
    </row>
    <row r="157" spans="1:16" s="863" customFormat="1">
      <c r="A157" s="862" t="s">
        <v>12508</v>
      </c>
      <c r="B157" s="835" t="s">
        <v>70</v>
      </c>
      <c r="C157" s="835" t="s">
        <v>19257</v>
      </c>
      <c r="D157" s="836" t="str">
        <f>PROPER(IF(B157="Saneago",VLOOKUP(C157,'SANEAGO-FEV.2016'!A:B,2,0),IF(B157="Sinapi",VLOOKUP(C157,'SINAPI-FEV.2017'!A:D,2,0),IF(B157="Cotação",VLOOKUP(C157,COTAÇÃO!A:D,2,0),IF(B157="Composição",VLOOKUP(C157,COMPOSIÇÃO!A:D,2,0))))))</f>
        <v>Ensaio De Consistencia Do Concreto Ccr - Indice Vebe</v>
      </c>
      <c r="E157" s="837"/>
      <c r="F157" s="837"/>
      <c r="G157" s="838"/>
      <c r="H157" s="838"/>
      <c r="I157" s="838"/>
      <c r="J157" s="838"/>
      <c r="K157" s="838"/>
      <c r="L157" s="852" t="s">
        <v>26</v>
      </c>
      <c r="M157" s="853">
        <f>ROUNDUP(M143/50,0)</f>
        <v>4</v>
      </c>
      <c r="N157" s="700"/>
      <c r="P157" s="871"/>
    </row>
    <row r="158" spans="1:16" s="863" customFormat="1">
      <c r="A158" s="862"/>
      <c r="B158" s="862"/>
      <c r="C158" s="835"/>
      <c r="D158" s="826"/>
      <c r="E158" s="790"/>
      <c r="F158" s="790"/>
      <c r="G158" s="828" t="s">
        <v>30</v>
      </c>
      <c r="H158" s="828" t="s">
        <v>30</v>
      </c>
      <c r="I158" s="828" t="s">
        <v>1275</v>
      </c>
      <c r="J158" s="828" t="s">
        <v>19</v>
      </c>
      <c r="K158" s="828" t="s">
        <v>17</v>
      </c>
      <c r="L158" s="828" t="s">
        <v>30</v>
      </c>
      <c r="M158" s="877" t="s">
        <v>30</v>
      </c>
      <c r="N158" s="700"/>
      <c r="P158" s="871"/>
    </row>
    <row r="159" spans="1:16" s="863" customFormat="1">
      <c r="A159" s="862" t="s">
        <v>14483</v>
      </c>
      <c r="B159" s="862" t="s">
        <v>11644</v>
      </c>
      <c r="C159" s="835">
        <v>11063</v>
      </c>
      <c r="D159" s="836" t="str">
        <f>PROPER(IF(B159="Saneago",VLOOKUP(C159,'SANEAGO-FEV.2016'!A:B,2,0),IF(B159="Sinapi",VLOOKUP(C159,'SINAPI-FEV.2017'!A:D,2,0),IF(B159="Cotação",VLOOKUP(C159,COTAÇÃO!A:D,2,0),IF(B159="Composição",VLOOKUP(C159,COMPOSIÇÃO!A:D,2,0))))))</f>
        <v>Placa Cimenticia Lisa E = 6 Mm, De 1,20 X 3,00 M (Sem Amianto)</v>
      </c>
      <c r="E159" s="837"/>
      <c r="F159" s="837"/>
      <c r="G159" s="1759" t="s">
        <v>14484</v>
      </c>
      <c r="H159" s="1759"/>
      <c r="I159" s="838">
        <f>4*10</f>
        <v>40</v>
      </c>
      <c r="J159" s="838">
        <v>0.6</v>
      </c>
      <c r="K159" s="838">
        <v>0.5</v>
      </c>
      <c r="L159" s="852" t="s">
        <v>21</v>
      </c>
      <c r="M159" s="853">
        <f>I159*J159*K159</f>
        <v>12</v>
      </c>
      <c r="N159" s="700"/>
      <c r="P159" s="871"/>
    </row>
    <row r="160" spans="1:16" s="863" customFormat="1" ht="13.5" thickBot="1">
      <c r="A160" s="862"/>
      <c r="B160" s="862"/>
      <c r="C160" s="835"/>
      <c r="D160" s="826"/>
      <c r="E160" s="790"/>
      <c r="F160" s="790"/>
      <c r="G160" s="700"/>
      <c r="H160" s="700"/>
      <c r="I160" s="700"/>
      <c r="J160" s="700"/>
      <c r="K160" s="700"/>
      <c r="L160" s="700"/>
      <c r="M160" s="827"/>
      <c r="N160" s="700"/>
      <c r="P160" s="871"/>
    </row>
    <row r="161" spans="1:16" s="863" customFormat="1" ht="14.25" thickTop="1" thickBot="1">
      <c r="A161" s="862"/>
      <c r="B161" s="862"/>
      <c r="C161" s="835"/>
      <c r="D161" s="830" t="s">
        <v>53</v>
      </c>
      <c r="E161" s="831"/>
      <c r="F161" s="831"/>
      <c r="G161" s="831"/>
      <c r="H161" s="831"/>
      <c r="I161" s="831"/>
      <c r="J161" s="831"/>
      <c r="K161" s="831"/>
      <c r="L161" s="832" t="s">
        <v>25</v>
      </c>
      <c r="M161" s="833" t="s">
        <v>27</v>
      </c>
      <c r="N161" s="700"/>
      <c r="P161" s="871"/>
    </row>
    <row r="162" spans="1:16" s="863" customFormat="1" ht="23.25" thickTop="1">
      <c r="A162" s="862"/>
      <c r="B162" s="862"/>
      <c r="C162" s="835"/>
      <c r="D162" s="826"/>
      <c r="E162" s="790"/>
      <c r="F162" s="700" t="s">
        <v>30</v>
      </c>
      <c r="G162" s="700" t="s">
        <v>1275</v>
      </c>
      <c r="H162" s="700" t="s">
        <v>12531</v>
      </c>
      <c r="I162" s="700" t="s">
        <v>12532</v>
      </c>
      <c r="J162" s="700" t="s">
        <v>32</v>
      </c>
      <c r="K162" s="700" t="s">
        <v>30</v>
      </c>
      <c r="L162" s="700"/>
      <c r="M162" s="827"/>
      <c r="N162" s="700"/>
      <c r="P162" s="871"/>
    </row>
    <row r="163" spans="1:16" s="863" customFormat="1" ht="12.75" customHeight="1">
      <c r="A163" s="862"/>
      <c r="B163" s="862"/>
      <c r="C163" s="835"/>
      <c r="D163" s="1679" t="s">
        <v>12528</v>
      </c>
      <c r="E163" s="1674"/>
      <c r="F163" s="700"/>
      <c r="G163" s="700">
        <v>2</v>
      </c>
      <c r="H163" s="828">
        <v>42</v>
      </c>
      <c r="I163" s="828">
        <v>10</v>
      </c>
      <c r="J163" s="828">
        <v>0.9</v>
      </c>
      <c r="K163" s="828"/>
      <c r="L163" s="700" t="s">
        <v>21</v>
      </c>
      <c r="M163" s="890">
        <f>G163*((H163*2+I163*11)*J163)</f>
        <v>349.2</v>
      </c>
      <c r="N163" s="700"/>
      <c r="P163" s="871"/>
    </row>
    <row r="164" spans="1:16" s="863" customFormat="1" ht="12.75" customHeight="1">
      <c r="A164" s="862"/>
      <c r="B164" s="862"/>
      <c r="C164" s="835"/>
      <c r="D164" s="1679" t="s">
        <v>12529</v>
      </c>
      <c r="E164" s="1674"/>
      <c r="F164" s="700" t="s">
        <v>12536</v>
      </c>
      <c r="G164" s="700">
        <v>2</v>
      </c>
      <c r="H164" s="828">
        <f>10*1</f>
        <v>10</v>
      </c>
      <c r="I164" s="828"/>
      <c r="J164" s="828">
        <v>0.9</v>
      </c>
      <c r="K164" s="828"/>
      <c r="L164" s="700" t="s">
        <v>21</v>
      </c>
      <c r="M164" s="890">
        <f>G164*((H164*2)*J164)</f>
        <v>36</v>
      </c>
      <c r="N164" s="700"/>
      <c r="P164" s="871"/>
    </row>
    <row r="165" spans="1:16" s="863" customFormat="1" ht="22.5">
      <c r="A165" s="862" t="s">
        <v>12509</v>
      </c>
      <c r="B165" s="862" t="s">
        <v>11644</v>
      </c>
      <c r="C165" s="835">
        <v>72132</v>
      </c>
      <c r="D165" s="836" t="str">
        <f>PROPER(IF(B165="Saneago",VLOOKUP(C165,'SANEAGO-FEV.2016'!A:B,2,0),IF(B165="Sinapi",VLOOKUP(C165,'SINAPI-FEV.2017'!A:D,2,0),IF(B165="Cotação",VLOOKUP(C165,COTAÇÃO!A:D,2,0),IF(B165="Composição",VLOOKUP(C165,COMPOSIÇÃO!A:D,2,0))))))</f>
        <v>Alvenaria Em Tijolo Ceramico Macico 5X10X20Cm 1/2 Vez (Espessura 10Cm), Assentado Com Argamassa Traco 1:2:8 (Cimento, Cal E Areia)</v>
      </c>
      <c r="E165" s="837"/>
      <c r="F165" s="837"/>
      <c r="G165" s="852"/>
      <c r="H165" s="852"/>
      <c r="I165" s="838"/>
      <c r="J165" s="838"/>
      <c r="K165" s="856" t="s">
        <v>27</v>
      </c>
      <c r="L165" s="856" t="s">
        <v>21</v>
      </c>
      <c r="M165" s="840">
        <f>SUM(M163:M164)</f>
        <v>385.2</v>
      </c>
      <c r="N165" s="700"/>
      <c r="P165" s="871"/>
    </row>
    <row r="166" spans="1:16" s="863" customFormat="1" ht="13.5" thickBot="1">
      <c r="A166" s="862"/>
      <c r="B166" s="862"/>
      <c r="C166" s="835"/>
      <c r="D166" s="826"/>
      <c r="E166" s="790"/>
      <c r="F166" s="790"/>
      <c r="G166" s="700"/>
      <c r="H166" s="700"/>
      <c r="I166" s="700"/>
      <c r="J166" s="828"/>
      <c r="K166" s="828"/>
      <c r="L166" s="828"/>
      <c r="M166" s="829"/>
      <c r="N166" s="700"/>
      <c r="P166" s="871"/>
    </row>
    <row r="167" spans="1:16" s="863" customFormat="1" ht="14.25" thickTop="1" thickBot="1">
      <c r="A167" s="862"/>
      <c r="B167" s="862"/>
      <c r="C167" s="835"/>
      <c r="D167" s="830" t="s">
        <v>55</v>
      </c>
      <c r="E167" s="831"/>
      <c r="F167" s="831"/>
      <c r="G167" s="831"/>
      <c r="H167" s="831"/>
      <c r="I167" s="831"/>
      <c r="J167" s="831"/>
      <c r="K167" s="831"/>
      <c r="L167" s="832" t="s">
        <v>25</v>
      </c>
      <c r="M167" s="833" t="s">
        <v>27</v>
      </c>
      <c r="N167" s="700"/>
      <c r="P167" s="871"/>
    </row>
    <row r="168" spans="1:16" s="863" customFormat="1" ht="23.25" thickTop="1">
      <c r="A168" s="862"/>
      <c r="B168" s="862"/>
      <c r="C168" s="835"/>
      <c r="D168" s="826"/>
      <c r="E168" s="790"/>
      <c r="F168" s="700" t="s">
        <v>1275</v>
      </c>
      <c r="G168" s="700" t="s">
        <v>12531</v>
      </c>
      <c r="H168" s="700" t="s">
        <v>12532</v>
      </c>
      <c r="I168" s="700" t="s">
        <v>32</v>
      </c>
      <c r="J168" s="700" t="s">
        <v>12534</v>
      </c>
      <c r="K168" s="700" t="s">
        <v>12535</v>
      </c>
      <c r="L168" s="700"/>
      <c r="M168" s="827"/>
      <c r="N168" s="700"/>
      <c r="P168" s="871"/>
    </row>
    <row r="169" spans="1:16" s="863" customFormat="1">
      <c r="A169" s="862"/>
      <c r="B169" s="862"/>
      <c r="C169" s="835"/>
      <c r="D169" s="888" t="s">
        <v>12528</v>
      </c>
      <c r="E169" s="824"/>
      <c r="F169" s="700">
        <f>G163</f>
        <v>2</v>
      </c>
      <c r="G169" s="889">
        <f>H163</f>
        <v>42</v>
      </c>
      <c r="H169" s="889">
        <f>I163</f>
        <v>10</v>
      </c>
      <c r="I169" s="889">
        <f>J163+0.15*2</f>
        <v>1.2</v>
      </c>
      <c r="J169" s="889">
        <f>F169*((G169*2*I169)+(H169*11*1*I169))</f>
        <v>465.6</v>
      </c>
      <c r="K169" s="889">
        <f>F169*((G169*2*I169))</f>
        <v>201.6</v>
      </c>
      <c r="L169" s="700" t="s">
        <v>21</v>
      </c>
      <c r="M169" s="890">
        <f>SUM(J169:K169)</f>
        <v>667.2</v>
      </c>
      <c r="N169" s="700"/>
      <c r="P169" s="871"/>
    </row>
    <row r="170" spans="1:16" s="863" customFormat="1">
      <c r="A170" s="862"/>
      <c r="B170" s="862"/>
      <c r="C170" s="835"/>
      <c r="D170" s="888" t="s">
        <v>12529</v>
      </c>
      <c r="E170" s="700" t="s">
        <v>12536</v>
      </c>
      <c r="F170" s="700"/>
      <c r="G170" s="889">
        <f>H163</f>
        <v>42</v>
      </c>
      <c r="H170" s="889">
        <f>I163</f>
        <v>10</v>
      </c>
      <c r="I170" s="889">
        <f>J164+0.15*2</f>
        <v>1.2</v>
      </c>
      <c r="J170" s="889">
        <f>(G170*I170)+(H170*5*2*I170)</f>
        <v>170.4</v>
      </c>
      <c r="K170" s="889">
        <f>(G170*I170)</f>
        <v>50.4</v>
      </c>
      <c r="L170" s="700" t="s">
        <v>21</v>
      </c>
      <c r="M170" s="890">
        <f>SUM(J170:K170)</f>
        <v>220.8</v>
      </c>
      <c r="N170" s="700"/>
      <c r="P170" s="871"/>
    </row>
    <row r="171" spans="1:16" s="863" customFormat="1">
      <c r="A171" s="862"/>
      <c r="B171" s="862"/>
      <c r="C171" s="835"/>
      <c r="D171" s="888"/>
      <c r="E171" s="790"/>
      <c r="F171" s="790"/>
      <c r="G171" s="889"/>
      <c r="H171" s="889"/>
      <c r="I171" s="889"/>
      <c r="J171" s="889"/>
      <c r="K171" s="889"/>
      <c r="L171" s="700"/>
      <c r="M171" s="890"/>
      <c r="N171" s="700"/>
      <c r="P171" s="871"/>
    </row>
    <row r="172" spans="1:16" s="863" customFormat="1" ht="33.75">
      <c r="A172" s="862" t="s">
        <v>12510</v>
      </c>
      <c r="B172" s="862" t="s">
        <v>11644</v>
      </c>
      <c r="C172" s="835">
        <v>87908</v>
      </c>
      <c r="D172" s="836" t="str">
        <f>PROPER(IF(B172="Saneago",VLOOKUP(C172,'SANEAGO-FEV.2016'!A:B,2,0),IF(B172="Sinapi",VLOOKUP(C172,'SINAPI-FEV.2017'!A:D,2,0),IF(B172="Cotação",VLOOKUP(C172,COTAÇÃO!A:D,2,0),IF(B172="Composição",VLOOKUP(C172,COMPOSIÇÃO!A:D,2,0))))))</f>
        <v>Chapisco Aplicado Em Alvenaria (Com Presença De Vãos) E Estruturas De Concreto De Fachada, Com Equipamento De Projeção.  Argamassa Traço 1:3 Com Preparo Em Betoneira 400 L. Af_06/2014</v>
      </c>
      <c r="E172" s="837"/>
      <c r="F172" s="837"/>
      <c r="G172" s="838"/>
      <c r="H172" s="838"/>
      <c r="I172" s="838"/>
      <c r="J172" s="1759" t="s">
        <v>12659</v>
      </c>
      <c r="K172" s="1759"/>
      <c r="L172" s="852" t="s">
        <v>21</v>
      </c>
      <c r="M172" s="853">
        <f>SUM(M169:M170)</f>
        <v>888</v>
      </c>
      <c r="N172" s="700"/>
      <c r="P172" s="871"/>
    </row>
    <row r="173" spans="1:16" s="863" customFormat="1">
      <c r="A173" s="862"/>
      <c r="B173" s="862"/>
      <c r="C173" s="835"/>
      <c r="D173" s="826"/>
      <c r="E173" s="790"/>
      <c r="F173" s="790"/>
      <c r="G173" s="700" t="s">
        <v>30</v>
      </c>
      <c r="H173" s="700" t="s">
        <v>30</v>
      </c>
      <c r="I173" s="700" t="s">
        <v>30</v>
      </c>
      <c r="J173" s="700" t="s">
        <v>30</v>
      </c>
      <c r="K173" s="700" t="s">
        <v>30</v>
      </c>
      <c r="L173" s="700" t="s">
        <v>30</v>
      </c>
      <c r="M173" s="876" t="s">
        <v>30</v>
      </c>
      <c r="N173" s="700"/>
      <c r="P173" s="871"/>
    </row>
    <row r="174" spans="1:16" s="863" customFormat="1" ht="33.75">
      <c r="A174" s="862" t="s">
        <v>12511</v>
      </c>
      <c r="B174" s="862" t="s">
        <v>11644</v>
      </c>
      <c r="C174" s="835">
        <v>87296</v>
      </c>
      <c r="D174" s="836" t="str">
        <f>PROPER(IF(B174="Saneago",VLOOKUP(C174,'SANEAGO-FEV.2016'!A:B,2,0),IF(B174="Sinapi",VLOOKUP(C174,'SINAPI-FEV.2017'!A:D,2,0),IF(B174="Cotação",VLOOKUP(C174,COTAÇÃO!A:D,2,0),IF(B174="Composição",VLOOKUP(C174,COMPOSIÇÃO!A:D,2,0))))))</f>
        <v>Argamassa Traço 1:3:12 (Cimento, Cal E Areia Média) Para Emboço/Massa Única/Assentamento De Alvenaria De Vedação, Preparo Mecânico Com Betoneira 600 L. Af_06/2014</v>
      </c>
      <c r="E174" s="837"/>
      <c r="F174" s="837"/>
      <c r="G174" s="852"/>
      <c r="H174" s="852"/>
      <c r="I174" s="838"/>
      <c r="J174" s="1759" t="s">
        <v>12659</v>
      </c>
      <c r="K174" s="1759"/>
      <c r="L174" s="852" t="s">
        <v>22</v>
      </c>
      <c r="M174" s="853">
        <f>M172*0.025</f>
        <v>22.200000000000003</v>
      </c>
      <c r="N174" s="700"/>
      <c r="P174" s="871"/>
    </row>
    <row r="175" spans="1:16" s="863" customFormat="1" ht="13.5" customHeight="1" thickBot="1">
      <c r="A175" s="862"/>
      <c r="B175" s="862"/>
      <c r="C175" s="835"/>
      <c r="D175" s="826"/>
      <c r="E175" s="790"/>
      <c r="F175" s="790"/>
      <c r="G175" s="700"/>
      <c r="H175" s="700"/>
      <c r="I175" s="700"/>
      <c r="J175" s="828"/>
      <c r="K175" s="828"/>
      <c r="L175" s="828"/>
      <c r="M175" s="829"/>
      <c r="N175" s="700"/>
      <c r="P175" s="871"/>
    </row>
    <row r="176" spans="1:16" ht="14.25" thickTop="1" thickBot="1">
      <c r="A176" s="912"/>
      <c r="B176" s="912"/>
      <c r="D176" s="830" t="s">
        <v>24</v>
      </c>
      <c r="E176" s="831"/>
      <c r="F176" s="831"/>
      <c r="G176" s="831"/>
      <c r="H176" s="831"/>
      <c r="I176" s="831"/>
      <c r="J176" s="831"/>
      <c r="K176" s="831"/>
      <c r="L176" s="832" t="s">
        <v>25</v>
      </c>
      <c r="M176" s="833" t="s">
        <v>27</v>
      </c>
    </row>
    <row r="177" spans="1:18" s="779" customFormat="1" ht="13.5" thickTop="1">
      <c r="A177" s="862"/>
      <c r="B177" s="862"/>
      <c r="C177" s="835"/>
      <c r="D177" s="826"/>
      <c r="E177" s="790"/>
      <c r="F177" s="790"/>
      <c r="G177" s="700" t="s">
        <v>30</v>
      </c>
      <c r="H177" s="700" t="s">
        <v>30</v>
      </c>
      <c r="I177" s="700" t="s">
        <v>30</v>
      </c>
      <c r="J177" s="700" t="s">
        <v>30</v>
      </c>
      <c r="K177" s="700" t="s">
        <v>30</v>
      </c>
      <c r="L177" s="700"/>
      <c r="M177" s="827"/>
      <c r="N177" s="780"/>
      <c r="O177" s="777"/>
      <c r="P177" s="805"/>
      <c r="Q177" s="777"/>
      <c r="R177" s="777"/>
    </row>
    <row r="178" spans="1:18" s="779" customFormat="1" ht="22.5">
      <c r="A178" s="862" t="s">
        <v>12537</v>
      </c>
      <c r="B178" s="862" t="s">
        <v>10852</v>
      </c>
      <c r="C178" s="835">
        <v>1737</v>
      </c>
      <c r="D178" s="956" t="str">
        <f>PROPER(IF(B178="Saneago",VLOOKUP(C178,'SANEAGO-FEV.2016'!A:B,2,0),IF(B178="Sinapi",VLOOKUP(C178,'SINAPI-FEV.2017'!A:D,2,0),IF(B178="Cotação",VLOOKUP(C178,COTAÇÃO!A:D,2,0),IF(B178="Composição",VLOOKUP(C178,COMPOSIÇÃO!A:D,2,0))))))</f>
        <v>Poço De Visita  Em Anéis De Concreto Diâmetros 60 Cm (Chaminé) E 90 Cm (Balão), Incluindo Anel Tampão De Concreto, Profundidade = 1,5 M</v>
      </c>
      <c r="E178" s="837"/>
      <c r="F178" s="837"/>
      <c r="G178" s="838"/>
      <c r="H178" s="838"/>
      <c r="I178" s="851"/>
      <c r="J178" s="838"/>
      <c r="K178" s="838"/>
      <c r="L178" s="852" t="s">
        <v>1274</v>
      </c>
      <c r="M178" s="853">
        <v>17</v>
      </c>
      <c r="N178" s="780"/>
      <c r="O178" s="777"/>
      <c r="P178" s="805"/>
      <c r="Q178" s="777"/>
      <c r="R178" s="777"/>
    </row>
    <row r="179" spans="1:18" s="779" customFormat="1">
      <c r="A179" s="862"/>
      <c r="B179" s="862"/>
      <c r="C179" s="835"/>
      <c r="D179" s="826"/>
      <c r="E179" s="790"/>
      <c r="F179" s="790"/>
      <c r="G179" s="700" t="s">
        <v>30</v>
      </c>
      <c r="H179" s="700" t="s">
        <v>30</v>
      </c>
      <c r="I179" s="700" t="s">
        <v>30</v>
      </c>
      <c r="J179" s="700" t="s">
        <v>30</v>
      </c>
      <c r="K179" s="700" t="s">
        <v>30</v>
      </c>
      <c r="L179" s="700"/>
      <c r="M179" s="827"/>
      <c r="N179" s="780"/>
      <c r="O179" s="777"/>
      <c r="P179" s="805"/>
      <c r="Q179" s="777"/>
      <c r="R179" s="777"/>
    </row>
    <row r="180" spans="1:18" s="779" customFormat="1" ht="22.5">
      <c r="A180" s="862" t="s">
        <v>12538</v>
      </c>
      <c r="B180" s="862" t="s">
        <v>10852</v>
      </c>
      <c r="C180" s="835">
        <v>1612</v>
      </c>
      <c r="D180" s="956" t="str">
        <f>PROPER(IF(B180="Saneago",VLOOKUP(C180,'SANEAGO-FEV.2016'!A:B,2,0),IF(B180="Sinapi",VLOOKUP(C180,'SINAPI-FEV.2017'!A:D,2,0),IF(B180="Cotação",VLOOKUP(C180,COTAÇÃO!A:D,2,0),IF(B180="Composição",VLOOKUP(C180,COMPOSIÇÃO!A:D,2,0))))))</f>
        <v>Poço De Visita  Em Anéis De Concreto Diâmetros 60 Cm (Chaminé) E 90 Cm (Balão), Incluindo Anel Tampão De Concreto, Profundidade = 2,0 M</v>
      </c>
      <c r="E180" s="837"/>
      <c r="F180" s="837"/>
      <c r="G180" s="838"/>
      <c r="H180" s="851"/>
      <c r="I180" s="838"/>
      <c r="J180" s="838"/>
      <c r="K180" s="838"/>
      <c r="L180" s="852" t="s">
        <v>1274</v>
      </c>
      <c r="M180" s="853">
        <v>10</v>
      </c>
      <c r="N180" s="780"/>
      <c r="O180" s="777"/>
      <c r="P180" s="805"/>
      <c r="Q180" s="777"/>
      <c r="R180" s="777"/>
    </row>
    <row r="181" spans="1:18" s="779" customFormat="1">
      <c r="A181" s="862"/>
      <c r="B181" s="862"/>
      <c r="C181" s="835"/>
      <c r="D181" s="826"/>
      <c r="E181" s="790"/>
      <c r="F181" s="790"/>
      <c r="G181" s="700" t="s">
        <v>30</v>
      </c>
      <c r="H181" s="700" t="s">
        <v>30</v>
      </c>
      <c r="I181" s="700" t="s">
        <v>30</v>
      </c>
      <c r="J181" s="700" t="s">
        <v>30</v>
      </c>
      <c r="K181" s="700" t="s">
        <v>30</v>
      </c>
      <c r="L181" s="700"/>
      <c r="M181" s="827"/>
      <c r="N181" s="780"/>
      <c r="O181" s="777"/>
      <c r="P181" s="805"/>
      <c r="Q181" s="777"/>
      <c r="R181" s="777"/>
    </row>
    <row r="182" spans="1:18" s="779" customFormat="1">
      <c r="A182" s="862" t="s">
        <v>12539</v>
      </c>
      <c r="B182" s="862" t="s">
        <v>11644</v>
      </c>
      <c r="C182" s="835">
        <v>83449</v>
      </c>
      <c r="D182" s="956" t="str">
        <f>PROPER(IF(B182="Saneago",VLOOKUP(C182,'SANEAGO-FEV.2016'!A:B,2,0),IF(B182="Sinapi",VLOOKUP(C182,'SINAPI-FEV.2017'!A:D,2,0),IF(B182="Cotação",VLOOKUP(C182,COTAÇÃO!A:D,2,0),IF(B182="Composição",VLOOKUP(C182,COMPOSIÇÃO!A:D,2,0))))))</f>
        <v>Caixa De Passagem 60X60X70 Fundo Brita Com Tampa</v>
      </c>
      <c r="E182" s="837"/>
      <c r="F182" s="837"/>
      <c r="G182" s="838"/>
      <c r="H182" s="851"/>
      <c r="I182" s="838"/>
      <c r="J182" s="838"/>
      <c r="K182" s="838"/>
      <c r="L182" s="852" t="s">
        <v>1274</v>
      </c>
      <c r="M182" s="853">
        <v>40</v>
      </c>
      <c r="N182" s="780"/>
      <c r="O182" s="777"/>
      <c r="P182" s="805"/>
      <c r="Q182" s="777"/>
      <c r="R182" s="777"/>
    </row>
    <row r="183" spans="1:18" s="779" customFormat="1">
      <c r="A183" s="862"/>
      <c r="B183" s="862"/>
      <c r="C183" s="835"/>
      <c r="D183" s="826"/>
      <c r="E183" s="790"/>
      <c r="F183" s="790"/>
      <c r="G183" s="700" t="s">
        <v>30</v>
      </c>
      <c r="H183" s="700" t="s">
        <v>30</v>
      </c>
      <c r="I183" s="700" t="s">
        <v>30</v>
      </c>
      <c r="J183" s="700" t="s">
        <v>30</v>
      </c>
      <c r="K183" s="700" t="s">
        <v>30</v>
      </c>
      <c r="L183" s="700"/>
      <c r="M183" s="827"/>
      <c r="N183" s="780"/>
      <c r="O183" s="777"/>
      <c r="P183" s="805"/>
      <c r="Q183" s="777"/>
      <c r="R183" s="777"/>
    </row>
    <row r="184" spans="1:18" s="779" customFormat="1">
      <c r="A184" s="862" t="s">
        <v>12512</v>
      </c>
      <c r="B184" s="862" t="s">
        <v>11720</v>
      </c>
      <c r="C184" s="835" t="s">
        <v>14332</v>
      </c>
      <c r="D184" s="956" t="str">
        <f>PROPER(IF(B184="Saneago",VLOOKUP(C184,'SANEAGO-FEV.2016'!A:B,2,0),IF(B184="Sinapi",VLOOKUP(C184,'SINAPI-FEV.2017'!A:D,2,0),IF(B184="Cotação",VLOOKUP(C184,COTAÇÃO!A:D,2,0),IF(B184="Composição",VLOOKUP(C184,COMPOSIÇÃO!A:D,2,0))))))</f>
        <v>Montagem De Material Hidráulico Dos Leitos De Secagem</v>
      </c>
      <c r="E184" s="837"/>
      <c r="F184" s="837"/>
      <c r="G184" s="838"/>
      <c r="H184" s="851"/>
      <c r="I184" s="838"/>
      <c r="J184" s="838"/>
      <c r="K184" s="838"/>
      <c r="L184" s="852" t="s">
        <v>1274</v>
      </c>
      <c r="M184" s="853">
        <v>1</v>
      </c>
      <c r="N184" s="780"/>
      <c r="O184" s="777"/>
      <c r="P184" s="805"/>
      <c r="Q184" s="777"/>
      <c r="R184" s="777"/>
    </row>
    <row r="185" spans="1:18" s="779" customFormat="1">
      <c r="A185" s="862"/>
      <c r="B185" s="862"/>
      <c r="C185" s="835"/>
      <c r="D185" s="826"/>
      <c r="E185" s="790"/>
      <c r="F185" s="790"/>
      <c r="G185" s="700" t="s">
        <v>30</v>
      </c>
      <c r="H185" s="700" t="s">
        <v>30</v>
      </c>
      <c r="I185" s="700" t="s">
        <v>30</v>
      </c>
      <c r="J185" s="700" t="s">
        <v>30</v>
      </c>
      <c r="K185" s="700" t="s">
        <v>30</v>
      </c>
      <c r="L185" s="700"/>
      <c r="M185" s="827"/>
      <c r="N185" s="780"/>
      <c r="O185" s="777"/>
      <c r="P185" s="805"/>
      <c r="Q185" s="777"/>
      <c r="R185" s="777"/>
    </row>
    <row r="186" spans="1:18" s="779" customFormat="1">
      <c r="A186" s="862" t="s">
        <v>14340</v>
      </c>
      <c r="B186" s="850" t="s">
        <v>11644</v>
      </c>
      <c r="C186" s="922">
        <v>9537</v>
      </c>
      <c r="D186" s="956" t="str">
        <f>PROPER(IF(B186="Saneago",VLOOKUP(C186,'SANEAGO-FEV.2016'!A:B,2,0),IF(B186="Sinapi",VLOOKUP(C186,'SINAPI-FEV.2017'!A:D,2,0),IF(B186="Cotação",VLOOKUP(C186,COTAÇÃO!A:D,2,0),IF(B186="Composição",VLOOKUP(C186,COMPOSIÇÃO!A:D,2,0))))))</f>
        <v>Limpeza Final Da Obra</v>
      </c>
      <c r="E186" s="837"/>
      <c r="F186" s="837"/>
      <c r="G186" s="838"/>
      <c r="H186" s="851"/>
      <c r="I186" s="838"/>
      <c r="J186" s="838"/>
      <c r="K186" s="838"/>
      <c r="L186" s="852" t="s">
        <v>21</v>
      </c>
      <c r="M186" s="853">
        <f>M33+M29</f>
        <v>2700</v>
      </c>
      <c r="N186" s="780"/>
      <c r="O186" s="777"/>
      <c r="P186" s="805"/>
      <c r="Q186" s="777"/>
      <c r="R186" s="777"/>
    </row>
    <row r="187" spans="1:18">
      <c r="D187" s="841"/>
      <c r="E187" s="842"/>
      <c r="F187" s="843"/>
      <c r="G187" s="842"/>
      <c r="H187" s="842"/>
      <c r="I187" s="842"/>
      <c r="J187" s="844"/>
      <c r="K187" s="845"/>
      <c r="L187" s="846"/>
      <c r="M187" s="847"/>
    </row>
  </sheetData>
  <sheetProtection algorithmName="SHA-512" hashValue="mh0GVUSyN2ni8zRUESvP2yEsaEUsxLjA0jGxzlMp8lXHPXx2lOzUAt6qaFV8ZfJsjuKFYMkhGu2XIk9GOy1qow==" saltValue="S3HKZtSwBi4BOKv7sg+enw==" spinCount="100000" sheet="1"/>
  <mergeCells count="34">
    <mergeCell ref="E47:F47"/>
    <mergeCell ref="J85:K85"/>
    <mergeCell ref="E101:F101"/>
    <mergeCell ref="D137:E137"/>
    <mergeCell ref="F35:G35"/>
    <mergeCell ref="D130:E130"/>
    <mergeCell ref="E104:F104"/>
    <mergeCell ref="E113:F113"/>
    <mergeCell ref="D128:E128"/>
    <mergeCell ref="E110:F110"/>
    <mergeCell ref="D1:M4"/>
    <mergeCell ref="D10:M10"/>
    <mergeCell ref="D12:M12"/>
    <mergeCell ref="F28:G28"/>
    <mergeCell ref="F31:G31"/>
    <mergeCell ref="G79:H79"/>
    <mergeCell ref="G83:H83"/>
    <mergeCell ref="D120:E120"/>
    <mergeCell ref="H144:K144"/>
    <mergeCell ref="D126:E126"/>
    <mergeCell ref="D140:E140"/>
    <mergeCell ref="J174:K174"/>
    <mergeCell ref="J172:K172"/>
    <mergeCell ref="E107:F107"/>
    <mergeCell ref="D163:E163"/>
    <mergeCell ref="D127:E127"/>
    <mergeCell ref="D129:E129"/>
    <mergeCell ref="E117:F117"/>
    <mergeCell ref="G159:H159"/>
    <mergeCell ref="D136:E136"/>
    <mergeCell ref="D135:E135"/>
    <mergeCell ref="D139:E139"/>
    <mergeCell ref="D141:E141"/>
    <mergeCell ref="D164:E164"/>
  </mergeCells>
  <conditionalFormatting sqref="K187:M65536 L48:M48">
    <cfRule type="cellIs" dxfId="1475" priority="230" operator="equal">
      <formula>0</formula>
    </cfRule>
  </conditionalFormatting>
  <conditionalFormatting sqref="L14">
    <cfRule type="cellIs" dxfId="1474" priority="225" operator="equal">
      <formula>0</formula>
    </cfRule>
  </conditionalFormatting>
  <conditionalFormatting sqref="L85:M85 M82 L82:L83">
    <cfRule type="cellIs" dxfId="1473" priority="217" operator="equal">
      <formula>0</formula>
    </cfRule>
  </conditionalFormatting>
  <conditionalFormatting sqref="L89:M89">
    <cfRule type="cellIs" dxfId="1472" priority="215" operator="equal">
      <formula>0</formula>
    </cfRule>
  </conditionalFormatting>
  <conditionalFormatting sqref="L160:M160">
    <cfRule type="cellIs" dxfId="1471" priority="221" operator="equal">
      <formula>0</formula>
    </cfRule>
  </conditionalFormatting>
  <conditionalFormatting sqref="L41:M41">
    <cfRule type="cellIs" dxfId="1470" priority="219" operator="equal">
      <formula>0</formula>
    </cfRule>
  </conditionalFormatting>
  <conditionalFormatting sqref="L90:M90">
    <cfRule type="cellIs" dxfId="1469" priority="213" operator="equal">
      <formula>0</formula>
    </cfRule>
  </conditionalFormatting>
  <conditionalFormatting sqref="L88:M88">
    <cfRule type="cellIs" dxfId="1468" priority="214" operator="equal">
      <formula>0</formula>
    </cfRule>
  </conditionalFormatting>
  <conditionalFormatting sqref="L93:M93">
    <cfRule type="cellIs" dxfId="1467" priority="211" operator="equal">
      <formula>0</formula>
    </cfRule>
  </conditionalFormatting>
  <conditionalFormatting sqref="M97">
    <cfRule type="cellIs" dxfId="1466" priority="205" operator="equal">
      <formula>0</formula>
    </cfRule>
  </conditionalFormatting>
  <conditionalFormatting sqref="L166:M166">
    <cfRule type="cellIs" dxfId="1465" priority="203" operator="equal">
      <formula>0</formula>
    </cfRule>
  </conditionalFormatting>
  <conditionalFormatting sqref="L92:M92">
    <cfRule type="cellIs" dxfId="1464" priority="210" operator="equal">
      <formula>0</formula>
    </cfRule>
  </conditionalFormatting>
  <conditionalFormatting sqref="M95">
    <cfRule type="cellIs" dxfId="1463" priority="209" operator="equal">
      <formula>0</formula>
    </cfRule>
  </conditionalFormatting>
  <conditionalFormatting sqref="L98:M98">
    <cfRule type="cellIs" dxfId="1462" priority="198" operator="equal">
      <formula>0</formula>
    </cfRule>
  </conditionalFormatting>
  <conditionalFormatting sqref="L96:M96">
    <cfRule type="cellIs" dxfId="1461" priority="206" operator="equal">
      <formula>0</formula>
    </cfRule>
  </conditionalFormatting>
  <conditionalFormatting sqref="L162:M162">
    <cfRule type="cellIs" dxfId="1460" priority="199" operator="equal">
      <formula>0</formula>
    </cfRule>
  </conditionalFormatting>
  <conditionalFormatting sqref="L175:M175">
    <cfRule type="cellIs" dxfId="1459" priority="196" operator="equal">
      <formula>0</formula>
    </cfRule>
  </conditionalFormatting>
  <conditionalFormatting sqref="L43:M43">
    <cfRule type="cellIs" dxfId="1458" priority="188" operator="equal">
      <formula>0</formula>
    </cfRule>
  </conditionalFormatting>
  <conditionalFormatting sqref="L157:M157">
    <cfRule type="cellIs" dxfId="1457" priority="194" operator="equal">
      <formula>0</formula>
    </cfRule>
  </conditionalFormatting>
  <conditionalFormatting sqref="L38:M38">
    <cfRule type="cellIs" dxfId="1456" priority="192" operator="equal">
      <formula>0</formula>
    </cfRule>
  </conditionalFormatting>
  <conditionalFormatting sqref="L50:M50">
    <cfRule type="cellIs" dxfId="1455" priority="190" operator="equal">
      <formula>0</formula>
    </cfRule>
  </conditionalFormatting>
  <conditionalFormatting sqref="L42:M42">
    <cfRule type="cellIs" dxfId="1454" priority="189" operator="equal">
      <formula>0</formula>
    </cfRule>
  </conditionalFormatting>
  <conditionalFormatting sqref="L44:M44">
    <cfRule type="cellIs" dxfId="1453" priority="187" operator="equal">
      <formula>0</formula>
    </cfRule>
  </conditionalFormatting>
  <conditionalFormatting sqref="L45:M45">
    <cfRule type="cellIs" dxfId="1452" priority="186" operator="equal">
      <formula>0</formula>
    </cfRule>
  </conditionalFormatting>
  <conditionalFormatting sqref="L52:M52">
    <cfRule type="cellIs" dxfId="1451" priority="184" operator="equal">
      <formula>0</formula>
    </cfRule>
  </conditionalFormatting>
  <conditionalFormatting sqref="M51">
    <cfRule type="cellIs" dxfId="1450" priority="182" operator="equal">
      <formula>0</formula>
    </cfRule>
  </conditionalFormatting>
  <conditionalFormatting sqref="L53:M53">
    <cfRule type="cellIs" dxfId="1449" priority="183" operator="equal">
      <formula>0</formula>
    </cfRule>
  </conditionalFormatting>
  <conditionalFormatting sqref="M55">
    <cfRule type="cellIs" dxfId="1448" priority="180" operator="equal">
      <formula>0</formula>
    </cfRule>
  </conditionalFormatting>
  <conditionalFormatting sqref="L54:M54">
    <cfRule type="cellIs" dxfId="1447" priority="181" operator="equal">
      <formula>0</formula>
    </cfRule>
  </conditionalFormatting>
  <conditionalFormatting sqref="L57">
    <cfRule type="cellIs" dxfId="1446" priority="174" operator="equal">
      <formula>0</formula>
    </cfRule>
  </conditionalFormatting>
  <conditionalFormatting sqref="L56">
    <cfRule type="cellIs" dxfId="1445" priority="179" operator="equal">
      <formula>0</formula>
    </cfRule>
  </conditionalFormatting>
  <conditionalFormatting sqref="L58">
    <cfRule type="cellIs" dxfId="1444" priority="178" operator="equal">
      <formula>0</formula>
    </cfRule>
  </conditionalFormatting>
  <conditionalFormatting sqref="L60">
    <cfRule type="cellIs" dxfId="1443" priority="177" operator="equal">
      <formula>0</formula>
    </cfRule>
  </conditionalFormatting>
  <conditionalFormatting sqref="L62">
    <cfRule type="cellIs" dxfId="1442" priority="176" operator="equal">
      <formula>0</formula>
    </cfRule>
  </conditionalFormatting>
  <conditionalFormatting sqref="L55">
    <cfRule type="cellIs" dxfId="1441" priority="175" operator="equal">
      <formula>0</formula>
    </cfRule>
  </conditionalFormatting>
  <conditionalFormatting sqref="L59">
    <cfRule type="cellIs" dxfId="1440" priority="173" operator="equal">
      <formula>0</formula>
    </cfRule>
  </conditionalFormatting>
  <conditionalFormatting sqref="L61">
    <cfRule type="cellIs" dxfId="1439" priority="172" operator="equal">
      <formula>0</formula>
    </cfRule>
  </conditionalFormatting>
  <conditionalFormatting sqref="L77:M77 L79">
    <cfRule type="cellIs" dxfId="1438" priority="168" operator="equal">
      <formula>0</formula>
    </cfRule>
  </conditionalFormatting>
  <conditionalFormatting sqref="L63">
    <cfRule type="cellIs" dxfId="1437" priority="171" operator="equal">
      <formula>0</formula>
    </cfRule>
  </conditionalFormatting>
  <conditionalFormatting sqref="L81:M83">
    <cfRule type="cellIs" dxfId="1436" priority="166" operator="equal">
      <formula>0</formula>
    </cfRule>
  </conditionalFormatting>
  <conditionalFormatting sqref="L86:M86">
    <cfRule type="cellIs" dxfId="1435" priority="165" operator="equal">
      <formula>0</formula>
    </cfRule>
  </conditionalFormatting>
  <conditionalFormatting sqref="G86:K86">
    <cfRule type="cellIs" dxfId="1434" priority="163" operator="equal">
      <formula>0</formula>
    </cfRule>
  </conditionalFormatting>
  <conditionalFormatting sqref="L87:M87">
    <cfRule type="cellIs" dxfId="1433" priority="164" operator="equal">
      <formula>0</formula>
    </cfRule>
  </conditionalFormatting>
  <conditionalFormatting sqref="L64">
    <cfRule type="cellIs" dxfId="1432" priority="156" operator="equal">
      <formula>0</formula>
    </cfRule>
  </conditionalFormatting>
  <conditionalFormatting sqref="G87:K87">
    <cfRule type="cellIs" dxfId="1431" priority="162" operator="equal">
      <formula>0</formula>
    </cfRule>
  </conditionalFormatting>
  <conditionalFormatting sqref="M165">
    <cfRule type="cellIs" dxfId="1430" priority="161" operator="equal">
      <formula>0</formula>
    </cfRule>
  </conditionalFormatting>
  <conditionalFormatting sqref="M13:M14">
    <cfRule type="cellIs" dxfId="1429" priority="160" operator="equal">
      <formula>0</formula>
    </cfRule>
  </conditionalFormatting>
  <conditionalFormatting sqref="L65">
    <cfRule type="cellIs" dxfId="1428" priority="155" operator="equal">
      <formula>0</formula>
    </cfRule>
  </conditionalFormatting>
  <conditionalFormatting sqref="L66">
    <cfRule type="cellIs" dxfId="1427" priority="154" operator="equal">
      <formula>0</formula>
    </cfRule>
  </conditionalFormatting>
  <conditionalFormatting sqref="L72">
    <cfRule type="cellIs" dxfId="1426" priority="151" operator="equal">
      <formula>0</formula>
    </cfRule>
  </conditionalFormatting>
  <conditionalFormatting sqref="L70">
    <cfRule type="cellIs" dxfId="1425" priority="152" operator="equal">
      <formula>0</formula>
    </cfRule>
  </conditionalFormatting>
  <conditionalFormatting sqref="L67">
    <cfRule type="cellIs" dxfId="1424" priority="149" operator="equal">
      <formula>0</formula>
    </cfRule>
  </conditionalFormatting>
  <conditionalFormatting sqref="L68">
    <cfRule type="cellIs" dxfId="1423" priority="153" operator="equal">
      <formula>0</formula>
    </cfRule>
  </conditionalFormatting>
  <conditionalFormatting sqref="L74">
    <cfRule type="cellIs" dxfId="1422" priority="150" operator="equal">
      <formula>0</formula>
    </cfRule>
  </conditionalFormatting>
  <conditionalFormatting sqref="L69">
    <cfRule type="cellIs" dxfId="1421" priority="148" operator="equal">
      <formula>0</formula>
    </cfRule>
  </conditionalFormatting>
  <conditionalFormatting sqref="L73">
    <cfRule type="cellIs" dxfId="1420" priority="146" operator="equal">
      <formula>0</formula>
    </cfRule>
  </conditionalFormatting>
  <conditionalFormatting sqref="L71">
    <cfRule type="cellIs" dxfId="1419" priority="147" operator="equal">
      <formula>0</formula>
    </cfRule>
  </conditionalFormatting>
  <conditionalFormatting sqref="L75">
    <cfRule type="cellIs" dxfId="1418" priority="145" operator="equal">
      <formula>0</formula>
    </cfRule>
  </conditionalFormatting>
  <conditionalFormatting sqref="M62">
    <cfRule type="cellIs" dxfId="1417" priority="138" operator="equal">
      <formula>0</formula>
    </cfRule>
  </conditionalFormatting>
  <conditionalFormatting sqref="M58">
    <cfRule type="cellIs" dxfId="1416" priority="142" operator="equal">
      <formula>0</formula>
    </cfRule>
  </conditionalFormatting>
  <conditionalFormatting sqref="M59">
    <cfRule type="cellIs" dxfId="1415" priority="141" operator="equal">
      <formula>0</formula>
    </cfRule>
  </conditionalFormatting>
  <conditionalFormatting sqref="M60">
    <cfRule type="cellIs" dxfId="1414" priority="140" operator="equal">
      <formula>0</formula>
    </cfRule>
  </conditionalFormatting>
  <conditionalFormatting sqref="M66">
    <cfRule type="cellIs" dxfId="1413" priority="134" operator="equal">
      <formula>0</formula>
    </cfRule>
  </conditionalFormatting>
  <conditionalFormatting sqref="M63">
    <cfRule type="cellIs" dxfId="1412" priority="137" operator="equal">
      <formula>0</formula>
    </cfRule>
  </conditionalFormatting>
  <conditionalFormatting sqref="M67">
    <cfRule type="cellIs" dxfId="1411" priority="133" operator="equal">
      <formula>0</formula>
    </cfRule>
  </conditionalFormatting>
  <conditionalFormatting sqref="M64">
    <cfRule type="cellIs" dxfId="1410" priority="136" operator="equal">
      <formula>0</formula>
    </cfRule>
  </conditionalFormatting>
  <conditionalFormatting sqref="M68">
    <cfRule type="cellIs" dxfId="1409" priority="132" operator="equal">
      <formula>0</formula>
    </cfRule>
  </conditionalFormatting>
  <conditionalFormatting sqref="M74">
    <cfRule type="cellIs" dxfId="1408" priority="126" operator="equal">
      <formula>0</formula>
    </cfRule>
  </conditionalFormatting>
  <conditionalFormatting sqref="M70">
    <cfRule type="cellIs" dxfId="1407" priority="130" operator="equal">
      <formula>0</formula>
    </cfRule>
  </conditionalFormatting>
  <conditionalFormatting sqref="M71">
    <cfRule type="cellIs" dxfId="1406" priority="129" operator="equal">
      <formula>0</formula>
    </cfRule>
  </conditionalFormatting>
  <conditionalFormatting sqref="L37">
    <cfRule type="cellIs" dxfId="1405" priority="120" operator="equal">
      <formula>0</formula>
    </cfRule>
  </conditionalFormatting>
  <conditionalFormatting sqref="M72">
    <cfRule type="cellIs" dxfId="1404" priority="128" operator="equal">
      <formula>0</formula>
    </cfRule>
  </conditionalFormatting>
  <conditionalFormatting sqref="M75">
    <cfRule type="cellIs" dxfId="1403" priority="125" operator="equal">
      <formula>0</formula>
    </cfRule>
  </conditionalFormatting>
  <conditionalFormatting sqref="L80:M80">
    <cfRule type="cellIs" dxfId="1402" priority="114" operator="equal">
      <formula>0</formula>
    </cfRule>
  </conditionalFormatting>
  <conditionalFormatting sqref="L163:M164">
    <cfRule type="cellIs" dxfId="1401" priority="122" operator="equal">
      <formula>0</formula>
    </cfRule>
  </conditionalFormatting>
  <conditionalFormatting sqref="L35:M35">
    <cfRule type="cellIs" dxfId="1400" priority="118" operator="equal">
      <formula>0</formula>
    </cfRule>
  </conditionalFormatting>
  <conditionalFormatting sqref="L84">
    <cfRule type="cellIs" dxfId="1399" priority="111" operator="equal">
      <formula>0</formula>
    </cfRule>
  </conditionalFormatting>
  <conditionalFormatting sqref="M79">
    <cfRule type="cellIs" dxfId="1398" priority="112" operator="equal">
      <formula>0</formula>
    </cfRule>
  </conditionalFormatting>
  <conditionalFormatting sqref="M84">
    <cfRule type="cellIs" dxfId="1397" priority="110" operator="equal">
      <formula>0</formula>
    </cfRule>
  </conditionalFormatting>
  <conditionalFormatting sqref="L105:M105">
    <cfRule type="cellIs" dxfId="1396" priority="107" operator="equal">
      <formula>0</formula>
    </cfRule>
  </conditionalFormatting>
  <conditionalFormatting sqref="L155">
    <cfRule type="cellIs" dxfId="1395" priority="108" operator="equal">
      <formula>0</formula>
    </cfRule>
  </conditionalFormatting>
  <conditionalFormatting sqref="L179:M179 M180">
    <cfRule type="cellIs" dxfId="1394" priority="95" operator="equal">
      <formula>0</formula>
    </cfRule>
  </conditionalFormatting>
  <conditionalFormatting sqref="L102:M102">
    <cfRule type="cellIs" dxfId="1393" priority="106" operator="equal">
      <formula>0</formula>
    </cfRule>
  </conditionalFormatting>
  <conditionalFormatting sqref="L177:M178">
    <cfRule type="cellIs" dxfId="1392" priority="96" operator="equal">
      <formula>0</formula>
    </cfRule>
  </conditionalFormatting>
  <conditionalFormatting sqref="L180">
    <cfRule type="cellIs" dxfId="1391" priority="93" operator="equal">
      <formula>0</formula>
    </cfRule>
  </conditionalFormatting>
  <conditionalFormatting sqref="M29">
    <cfRule type="cellIs" dxfId="1390" priority="91" operator="equal">
      <formula>0</formula>
    </cfRule>
  </conditionalFormatting>
  <conditionalFormatting sqref="M37">
    <cfRule type="cellIs" dxfId="1389" priority="88" operator="equal">
      <formula>0</formula>
    </cfRule>
  </conditionalFormatting>
  <conditionalFormatting sqref="L143:M143">
    <cfRule type="cellIs" dxfId="1388" priority="86" operator="equal">
      <formula>0</formula>
    </cfRule>
  </conditionalFormatting>
  <conditionalFormatting sqref="D12">
    <cfRule type="cellIs" dxfId="1387" priority="229" operator="equal">
      <formula>0</formula>
    </cfRule>
  </conditionalFormatting>
  <conditionalFormatting sqref="K5:M9 K25:M25 L13 K11:M11 L165 L34:M34 L29 L36:M36">
    <cfRule type="cellIs" dxfId="1386" priority="228" operator="equal">
      <formula>0</formula>
    </cfRule>
  </conditionalFormatting>
  <conditionalFormatting sqref="L15:M24">
    <cfRule type="cellIs" dxfId="1385" priority="227" operator="equal">
      <formula>0</formula>
    </cfRule>
  </conditionalFormatting>
  <conditionalFormatting sqref="D40">
    <cfRule type="cellIs" dxfId="1384" priority="220" operator="equal">
      <formula>0</formula>
    </cfRule>
  </conditionalFormatting>
  <conditionalFormatting sqref="D10">
    <cfRule type="cellIs" dxfId="1383" priority="223" operator="equal">
      <formula>0</formula>
    </cfRule>
  </conditionalFormatting>
  <conditionalFormatting sqref="D39">
    <cfRule type="cellIs" dxfId="1382" priority="222" operator="equal">
      <formula>0</formula>
    </cfRule>
  </conditionalFormatting>
  <conditionalFormatting sqref="D167">
    <cfRule type="cellIs" dxfId="1381" priority="202" operator="equal">
      <formula>0</formula>
    </cfRule>
  </conditionalFormatting>
  <conditionalFormatting sqref="D161">
    <cfRule type="cellIs" dxfId="1380" priority="204" operator="equal">
      <formula>0</formula>
    </cfRule>
  </conditionalFormatting>
  <conditionalFormatting sqref="D99">
    <cfRule type="cellIs" dxfId="1379" priority="200" operator="equal">
      <formula>0</formula>
    </cfRule>
  </conditionalFormatting>
  <conditionalFormatting sqref="D26">
    <cfRule type="cellIs" dxfId="1378" priority="193" operator="equal">
      <formula>0</formula>
    </cfRule>
  </conditionalFormatting>
  <conditionalFormatting sqref="D176">
    <cfRule type="cellIs" dxfId="1377" priority="159" operator="equal">
      <formula>0</formula>
    </cfRule>
  </conditionalFormatting>
  <conditionalFormatting sqref="M56">
    <cfRule type="cellIs" dxfId="1376" priority="144" operator="equal">
      <formula>0</formula>
    </cfRule>
  </conditionalFormatting>
  <conditionalFormatting sqref="M155">
    <cfRule type="cellIs" dxfId="1375" priority="85" operator="equal">
      <formula>0</formula>
    </cfRule>
  </conditionalFormatting>
  <conditionalFormatting sqref="L174">
    <cfRule type="cellIs" dxfId="1374" priority="71" operator="equal">
      <formula>0</formula>
    </cfRule>
  </conditionalFormatting>
  <conditionalFormatting sqref="L172:M172">
    <cfRule type="cellIs" dxfId="1373" priority="72" operator="equal">
      <formula>0</formula>
    </cfRule>
  </conditionalFormatting>
  <conditionalFormatting sqref="M174">
    <cfRule type="cellIs" dxfId="1372" priority="68" operator="equal">
      <formula>0</formula>
    </cfRule>
  </conditionalFormatting>
  <conditionalFormatting sqref="L49">
    <cfRule type="cellIs" dxfId="1371" priority="49" operator="equal">
      <formula>0</formula>
    </cfRule>
  </conditionalFormatting>
  <conditionalFormatting sqref="K47">
    <cfRule type="cellIs" dxfId="1370" priority="51" operator="equal">
      <formula>0</formula>
    </cfRule>
  </conditionalFormatting>
  <conditionalFormatting sqref="M49">
    <cfRule type="cellIs" dxfId="1369" priority="48" operator="equal">
      <formula>0</formula>
    </cfRule>
  </conditionalFormatting>
  <conditionalFormatting sqref="M57">
    <cfRule type="cellIs" dxfId="1368" priority="47" operator="equal">
      <formula>0</formula>
    </cfRule>
  </conditionalFormatting>
  <conditionalFormatting sqref="M65">
    <cfRule type="cellIs" dxfId="1367" priority="45" operator="equal">
      <formula>0</formula>
    </cfRule>
  </conditionalFormatting>
  <conditionalFormatting sqref="M61">
    <cfRule type="cellIs" dxfId="1366" priority="46" operator="equal">
      <formula>0</formula>
    </cfRule>
  </conditionalFormatting>
  <conditionalFormatting sqref="M69">
    <cfRule type="cellIs" dxfId="1365" priority="44" operator="equal">
      <formula>0</formula>
    </cfRule>
  </conditionalFormatting>
  <conditionalFormatting sqref="M73">
    <cfRule type="cellIs" dxfId="1364" priority="43" operator="equal">
      <formula>0</formula>
    </cfRule>
  </conditionalFormatting>
  <conditionalFormatting sqref="L51">
    <cfRule type="cellIs" dxfId="1363" priority="42" operator="equal">
      <formula>0</formula>
    </cfRule>
  </conditionalFormatting>
  <conditionalFormatting sqref="M108">
    <cfRule type="cellIs" dxfId="1362" priority="39" operator="equal">
      <formula>0</formula>
    </cfRule>
  </conditionalFormatting>
  <conditionalFormatting sqref="M111">
    <cfRule type="cellIs" dxfId="1361" priority="38" operator="equal">
      <formula>0</formula>
    </cfRule>
  </conditionalFormatting>
  <conditionalFormatting sqref="M115">
    <cfRule type="cellIs" dxfId="1360" priority="37" operator="equal">
      <formula>0</formula>
    </cfRule>
  </conditionalFormatting>
  <conditionalFormatting sqref="M118 M122:M123">
    <cfRule type="cellIs" dxfId="1359" priority="36" operator="equal">
      <formula>0</formula>
    </cfRule>
  </conditionalFormatting>
  <conditionalFormatting sqref="L108">
    <cfRule type="cellIs" dxfId="1358" priority="35" operator="equal">
      <formula>0</formula>
    </cfRule>
  </conditionalFormatting>
  <conditionalFormatting sqref="L111">
    <cfRule type="cellIs" dxfId="1357" priority="34" operator="equal">
      <formula>0</formula>
    </cfRule>
  </conditionalFormatting>
  <conditionalFormatting sqref="L115">
    <cfRule type="cellIs" dxfId="1356" priority="33" operator="equal">
      <formula>0</formula>
    </cfRule>
  </conditionalFormatting>
  <conditionalFormatting sqref="L118 L122:L123">
    <cfRule type="cellIs" dxfId="1355" priority="32" operator="equal">
      <formula>0</formula>
    </cfRule>
  </conditionalFormatting>
  <conditionalFormatting sqref="D124">
    <cfRule type="cellIs" dxfId="1354" priority="31" operator="equal">
      <formula>0</formula>
    </cfRule>
  </conditionalFormatting>
  <conditionalFormatting sqref="M121">
    <cfRule type="cellIs" dxfId="1353" priority="30" operator="equal">
      <formula>0</formula>
    </cfRule>
  </conditionalFormatting>
  <conditionalFormatting sqref="L119:M119">
    <cfRule type="cellIs" dxfId="1352" priority="29" operator="equal">
      <formula>0</formula>
    </cfRule>
  </conditionalFormatting>
  <conditionalFormatting sqref="M120">
    <cfRule type="cellIs" dxfId="1351" priority="28" operator="equal">
      <formula>0</formula>
    </cfRule>
  </conditionalFormatting>
  <conditionalFormatting sqref="L120">
    <cfRule type="cellIs" dxfId="1350" priority="26" operator="equal">
      <formula>0</formula>
    </cfRule>
  </conditionalFormatting>
  <conditionalFormatting sqref="L121">
    <cfRule type="cellIs" dxfId="1349" priority="27" operator="equal">
      <formula>0</formula>
    </cfRule>
  </conditionalFormatting>
  <conditionalFormatting sqref="L168:M168">
    <cfRule type="cellIs" dxfId="1348" priority="25" operator="equal">
      <formula>0</formula>
    </cfRule>
  </conditionalFormatting>
  <conditionalFormatting sqref="L169:M169 M170">
    <cfRule type="cellIs" dxfId="1347" priority="24" operator="equal">
      <formula>0</formula>
    </cfRule>
  </conditionalFormatting>
  <conditionalFormatting sqref="L171:M171 L170">
    <cfRule type="cellIs" dxfId="1346" priority="23" operator="equal">
      <formula>0</formula>
    </cfRule>
  </conditionalFormatting>
  <conditionalFormatting sqref="L33">
    <cfRule type="cellIs" dxfId="1345" priority="20" operator="equal">
      <formula>0</formula>
    </cfRule>
  </conditionalFormatting>
  <conditionalFormatting sqref="M33">
    <cfRule type="cellIs" dxfId="1344" priority="19" operator="equal">
      <formula>0</formula>
    </cfRule>
  </conditionalFormatting>
  <conditionalFormatting sqref="L47">
    <cfRule type="cellIs" dxfId="1343" priority="18" operator="equal">
      <formula>0</formula>
    </cfRule>
  </conditionalFormatting>
  <conditionalFormatting sqref="L181:M181 L183:M183 L185:M185 M182 M184 M186">
    <cfRule type="cellIs" dxfId="1342" priority="15" operator="equal">
      <formula>0</formula>
    </cfRule>
  </conditionalFormatting>
  <conditionalFormatting sqref="L182 L184 L186">
    <cfRule type="cellIs" dxfId="1341" priority="14" operator="equal">
      <formula>0</formula>
    </cfRule>
  </conditionalFormatting>
  <conditionalFormatting sqref="L159:M159">
    <cfRule type="cellIs" dxfId="1340" priority="13" operator="equal">
      <formula>0</formula>
    </cfRule>
  </conditionalFormatting>
  <conditionalFormatting sqref="D91">
    <cfRule type="cellIs" dxfId="1339" priority="12" operator="equal">
      <formula>0</formula>
    </cfRule>
  </conditionalFormatting>
  <conditionalFormatting sqref="L95">
    <cfRule type="cellIs" dxfId="1338" priority="10" operator="equal">
      <formula>0</formula>
    </cfRule>
  </conditionalFormatting>
  <conditionalFormatting sqref="L97">
    <cfRule type="cellIs" dxfId="1337" priority="11" operator="equal">
      <formula>0</formula>
    </cfRule>
  </conditionalFormatting>
  <conditionalFormatting sqref="L132:M132">
    <cfRule type="cellIs" dxfId="1336" priority="7" operator="equal">
      <formula>0</formula>
    </cfRule>
  </conditionalFormatting>
  <conditionalFormatting sqref="L144">
    <cfRule type="cellIs" dxfId="1335" priority="5" operator="equal">
      <formula>0</formula>
    </cfRule>
  </conditionalFormatting>
  <conditionalFormatting sqref="L133:M133">
    <cfRule type="cellIs" dxfId="1334" priority="8" operator="equal">
      <formula>0</formula>
    </cfRule>
  </conditionalFormatting>
  <conditionalFormatting sqref="L145">
    <cfRule type="cellIs" dxfId="1333" priority="3" operator="equal">
      <formula>0</formula>
    </cfRule>
  </conditionalFormatting>
  <conditionalFormatting sqref="M145">
    <cfRule type="cellIs" dxfId="1332" priority="6" operator="equal">
      <formula>0</formula>
    </cfRule>
  </conditionalFormatting>
  <conditionalFormatting sqref="M144">
    <cfRule type="cellIs" dxfId="1331" priority="4" operator="equal">
      <formula>0</formula>
    </cfRule>
  </conditionalFormatting>
  <conditionalFormatting sqref="M153">
    <cfRule type="cellIs" dxfId="1330" priority="1" operator="equal">
      <formula>0</formula>
    </cfRule>
  </conditionalFormatting>
  <conditionalFormatting sqref="L153">
    <cfRule type="cellIs" dxfId="1329" priority="2" operator="equal">
      <formula>0</formula>
    </cfRule>
  </conditionalFormatting>
  <pageMargins left="0.51181102362204722" right="0.51181102362204722" top="0.78740157480314965" bottom="0.78740157480314965" header="0.31496062992125984" footer="0.31496062992125984"/>
  <pageSetup paperSize="9" scale="51" fitToHeight="3" orientation="portrait" horizontalDpi="1200" verticalDpi="1200" r:id="rId1"/>
  <rowBreaks count="1" manualBreakCount="1">
    <brk id="166" min="3" max="12"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S146"/>
  <sheetViews>
    <sheetView showGridLines="0" zoomScale="85" zoomScaleNormal="85" zoomScaleSheetLayoutView="85" workbookViewId="0">
      <selection activeCell="H17" sqref="H17"/>
    </sheetView>
  </sheetViews>
  <sheetFormatPr defaultRowHeight="12.75"/>
  <cols>
    <col min="1" max="1" width="19.7109375" style="1076" customWidth="1"/>
    <col min="2" max="2" width="8.28515625" style="969" customWidth="1"/>
    <col min="3" max="3" width="15.85546875" style="969" customWidth="1"/>
    <col min="4" max="4" width="71.5703125" style="1023" customWidth="1"/>
    <col min="5" max="5" width="3.28515625" style="1023" customWidth="1"/>
    <col min="6" max="6" width="3.28515625" style="1024" customWidth="1"/>
    <col min="7" max="9" width="11.85546875" style="1023" customWidth="1"/>
    <col min="10" max="10" width="11.85546875" style="1025" customWidth="1"/>
    <col min="11" max="11" width="11.85546875" style="1026" customWidth="1"/>
    <col min="12" max="12" width="11.140625" style="1027" customWidth="1"/>
    <col min="13" max="13" width="12.140625" style="1027" customWidth="1"/>
    <col min="14" max="14" width="10.28515625" style="834" customWidth="1"/>
    <col min="15" max="15" width="21.28515625" style="1079" customWidth="1"/>
    <col min="16" max="16" width="4.7109375" style="777" customWidth="1"/>
    <col min="17" max="17" width="4.7109375" style="805" customWidth="1"/>
    <col min="18" max="19" width="4.7109375" style="777" customWidth="1"/>
    <col min="20" max="16384" width="9.140625" style="779"/>
  </cols>
  <sheetData>
    <row r="1" spans="1:17" ht="18" customHeight="1">
      <c r="D1" s="1661" t="s">
        <v>11701</v>
      </c>
      <c r="E1" s="1662"/>
      <c r="F1" s="1662"/>
      <c r="G1" s="1662"/>
      <c r="H1" s="1662"/>
      <c r="I1" s="1662"/>
      <c r="J1" s="1662"/>
      <c r="K1" s="1662"/>
      <c r="L1" s="1662"/>
      <c r="M1" s="1663"/>
      <c r="N1" s="1077"/>
      <c r="O1" s="1078"/>
      <c r="Q1" s="778"/>
    </row>
    <row r="2" spans="1:17" ht="18">
      <c r="D2" s="1664"/>
      <c r="E2" s="1665"/>
      <c r="F2" s="1665"/>
      <c r="G2" s="1665"/>
      <c r="H2" s="1665"/>
      <c r="I2" s="1665"/>
      <c r="J2" s="1665"/>
      <c r="K2" s="1665"/>
      <c r="L2" s="1665"/>
      <c r="M2" s="1666"/>
      <c r="N2" s="1077"/>
      <c r="O2" s="1078"/>
      <c r="Q2" s="778"/>
    </row>
    <row r="3" spans="1:17" ht="18">
      <c r="D3" s="1664"/>
      <c r="E3" s="1665"/>
      <c r="F3" s="1665"/>
      <c r="G3" s="1665"/>
      <c r="H3" s="1665"/>
      <c r="I3" s="1665"/>
      <c r="J3" s="1665"/>
      <c r="K3" s="1665"/>
      <c r="L3" s="1665"/>
      <c r="M3" s="1666"/>
      <c r="N3" s="1077"/>
      <c r="O3" s="1078"/>
      <c r="Q3" s="778"/>
    </row>
    <row r="4" spans="1:17" ht="15.75" customHeight="1" thickBot="1">
      <c r="D4" s="1667"/>
      <c r="E4" s="1668"/>
      <c r="F4" s="1668"/>
      <c r="G4" s="1668"/>
      <c r="H4" s="1668"/>
      <c r="I4" s="1668"/>
      <c r="J4" s="1668"/>
      <c r="K4" s="1668"/>
      <c r="L4" s="1668"/>
      <c r="M4" s="1669"/>
      <c r="Q4" s="781"/>
    </row>
    <row r="5" spans="1:17" ht="15">
      <c r="D5" s="1080"/>
      <c r="E5" s="780"/>
      <c r="F5" s="783"/>
      <c r="G5" s="783"/>
      <c r="H5" s="783"/>
      <c r="I5" s="783"/>
      <c r="J5" s="784"/>
      <c r="K5" s="785"/>
      <c r="L5" s="786"/>
      <c r="M5" s="787"/>
      <c r="N5" s="1081"/>
      <c r="Q5" s="788"/>
    </row>
    <row r="6" spans="1:17" ht="15">
      <c r="D6" s="789" t="s">
        <v>14559</v>
      </c>
      <c r="E6" s="1079"/>
      <c r="F6" s="1079"/>
      <c r="G6" s="1079"/>
      <c r="H6" s="1079"/>
      <c r="I6" s="1079"/>
      <c r="J6" s="1079"/>
      <c r="K6" s="791"/>
      <c r="L6" s="792"/>
      <c r="M6" s="1082"/>
      <c r="N6" s="1083"/>
      <c r="O6" s="1084"/>
      <c r="Q6" s="781"/>
    </row>
    <row r="7" spans="1:17" ht="15">
      <c r="D7" s="789" t="s">
        <v>11836</v>
      </c>
      <c r="E7" s="1079"/>
      <c r="F7" s="1079"/>
      <c r="G7" s="1079"/>
      <c r="H7" s="1079"/>
      <c r="I7" s="1079"/>
      <c r="J7" s="1079"/>
      <c r="K7" s="791"/>
      <c r="L7" s="795"/>
      <c r="M7" s="796"/>
      <c r="N7" s="1085"/>
      <c r="O7" s="1086"/>
      <c r="Q7" s="781"/>
    </row>
    <row r="8" spans="1:17" s="777" customFormat="1" ht="16.5" customHeight="1">
      <c r="A8" s="1087"/>
      <c r="B8" s="850"/>
      <c r="C8" s="850"/>
      <c r="D8" s="789" t="s">
        <v>11951</v>
      </c>
      <c r="E8" s="1079"/>
      <c r="F8" s="1079"/>
      <c r="G8" s="1079"/>
      <c r="H8" s="1079"/>
      <c r="I8" s="1079"/>
      <c r="J8" s="1079"/>
      <c r="K8" s="791"/>
      <c r="L8" s="795"/>
      <c r="M8" s="796"/>
      <c r="N8" s="1085"/>
      <c r="O8" s="1086"/>
      <c r="Q8" s="781"/>
    </row>
    <row r="9" spans="1:17" s="777" customFormat="1" ht="6.75" customHeight="1" thickBot="1">
      <c r="A9" s="1087"/>
      <c r="B9" s="850"/>
      <c r="C9" s="850"/>
      <c r="D9" s="1088"/>
      <c r="E9" s="1089"/>
      <c r="F9" s="1089"/>
      <c r="G9" s="1090"/>
      <c r="H9" s="1090"/>
      <c r="I9" s="1090"/>
      <c r="J9" s="1090"/>
      <c r="K9" s="801"/>
      <c r="L9" s="802"/>
      <c r="M9" s="803"/>
      <c r="N9" s="1085"/>
      <c r="O9" s="1086"/>
      <c r="Q9" s="781"/>
    </row>
    <row r="10" spans="1:17" s="777" customFormat="1" ht="15.75" customHeight="1" thickTop="1" thickBot="1">
      <c r="A10" s="1087"/>
      <c r="B10" s="850"/>
      <c r="C10" s="850"/>
      <c r="D10" s="1653" t="s">
        <v>11952</v>
      </c>
      <c r="E10" s="1654"/>
      <c r="F10" s="1654"/>
      <c r="G10" s="1654"/>
      <c r="H10" s="1654"/>
      <c r="I10" s="1654"/>
      <c r="J10" s="1654"/>
      <c r="K10" s="1654"/>
      <c r="L10" s="1654"/>
      <c r="M10" s="1670"/>
      <c r="N10" s="804"/>
      <c r="O10" s="1091"/>
      <c r="P10" s="805"/>
      <c r="Q10" s="805"/>
    </row>
    <row r="11" spans="1:17" s="777" customFormat="1" ht="6" customHeight="1" thickTop="1" thickBot="1">
      <c r="A11" s="1087"/>
      <c r="B11" s="850"/>
      <c r="C11" s="850"/>
      <c r="D11" s="806"/>
      <c r="E11" s="807"/>
      <c r="F11" s="808"/>
      <c r="G11" s="700"/>
      <c r="H11" s="700"/>
      <c r="I11" s="700"/>
      <c r="J11" s="809"/>
      <c r="K11" s="791"/>
      <c r="L11" s="802"/>
      <c r="M11" s="810"/>
      <c r="N11" s="834"/>
      <c r="O11" s="1079"/>
      <c r="Q11" s="811"/>
    </row>
    <row r="12" spans="1:17" s="777" customFormat="1" ht="14.25" customHeight="1" thickTop="1" thickBot="1">
      <c r="A12" s="1087"/>
      <c r="B12" s="850"/>
      <c r="C12" s="850"/>
      <c r="D12" s="1671" t="s">
        <v>3</v>
      </c>
      <c r="E12" s="1672"/>
      <c r="F12" s="1672"/>
      <c r="G12" s="1672"/>
      <c r="H12" s="1672"/>
      <c r="I12" s="1672"/>
      <c r="J12" s="1672"/>
      <c r="K12" s="1672"/>
      <c r="L12" s="1672"/>
      <c r="M12" s="1673"/>
      <c r="N12" s="812"/>
      <c r="O12" s="1092"/>
      <c r="Q12" s="813"/>
    </row>
    <row r="13" spans="1:17" s="777" customFormat="1" ht="13.5" customHeight="1" thickTop="1">
      <c r="A13" s="1087"/>
      <c r="B13" s="850"/>
      <c r="C13" s="850"/>
      <c r="D13" s="814" t="s">
        <v>4</v>
      </c>
      <c r="E13" s="815"/>
      <c r="F13" s="815"/>
      <c r="G13" s="815"/>
      <c r="H13" s="815"/>
      <c r="I13" s="815"/>
      <c r="J13" s="815"/>
      <c r="K13" s="815"/>
      <c r="L13" s="816" t="s">
        <v>5</v>
      </c>
      <c r="M13" s="1093">
        <f>'PARAMETROS MC'!C37</f>
        <v>7.5</v>
      </c>
      <c r="N13" s="818"/>
      <c r="O13" s="1094"/>
      <c r="P13" s="819"/>
      <c r="Q13" s="805"/>
    </row>
    <row r="14" spans="1:17" s="777" customFormat="1" ht="12.75" customHeight="1">
      <c r="A14" s="1087"/>
      <c r="B14" s="850"/>
      <c r="C14" s="850"/>
      <c r="D14" s="820" t="s">
        <v>34</v>
      </c>
      <c r="E14" s="821"/>
      <c r="F14" s="821"/>
      <c r="G14" s="821"/>
      <c r="H14" s="821"/>
      <c r="I14" s="821"/>
      <c r="J14" s="821"/>
      <c r="K14" s="821"/>
      <c r="L14" s="816" t="s">
        <v>5</v>
      </c>
      <c r="M14" s="1093">
        <f>'PARAMETROS MC'!C38</f>
        <v>4.5999999999999996</v>
      </c>
      <c r="N14" s="818"/>
      <c r="O14" s="1094"/>
      <c r="P14" s="819"/>
      <c r="Q14" s="805"/>
    </row>
    <row r="15" spans="1:17" s="777" customFormat="1" ht="12.75" customHeight="1">
      <c r="A15" s="1087"/>
      <c r="B15" s="850"/>
      <c r="C15" s="850"/>
      <c r="D15" s="820" t="s">
        <v>6</v>
      </c>
      <c r="E15" s="821"/>
      <c r="F15" s="821"/>
      <c r="G15" s="821"/>
      <c r="H15" s="821"/>
      <c r="I15" s="821"/>
      <c r="J15" s="821"/>
      <c r="K15" s="821"/>
      <c r="L15" s="816" t="s">
        <v>8</v>
      </c>
      <c r="M15" s="822">
        <v>0.95</v>
      </c>
      <c r="N15" s="818"/>
      <c r="O15" s="1094"/>
      <c r="P15" s="819"/>
      <c r="Q15" s="805"/>
    </row>
    <row r="16" spans="1:17" s="777" customFormat="1" ht="12.75" customHeight="1">
      <c r="A16" s="1087"/>
      <c r="B16" s="850"/>
      <c r="C16" s="850"/>
      <c r="D16" s="820" t="s">
        <v>7</v>
      </c>
      <c r="E16" s="821"/>
      <c r="F16" s="821"/>
      <c r="G16" s="821"/>
      <c r="H16" s="821"/>
      <c r="I16" s="821"/>
      <c r="J16" s="821"/>
      <c r="K16" s="821"/>
      <c r="L16" s="816" t="s">
        <v>8</v>
      </c>
      <c r="M16" s="822">
        <v>0.05</v>
      </c>
      <c r="N16" s="818"/>
      <c r="O16" s="1094"/>
      <c r="P16" s="819"/>
      <c r="Q16" s="805"/>
    </row>
    <row r="17" spans="1:17" s="777" customFormat="1" ht="12.75" customHeight="1">
      <c r="A17" s="1087"/>
      <c r="B17" s="850"/>
      <c r="C17" s="850"/>
      <c r="D17" s="820" t="s">
        <v>9</v>
      </c>
      <c r="E17" s="821"/>
      <c r="F17" s="821"/>
      <c r="G17" s="821"/>
      <c r="H17" s="821"/>
      <c r="I17" s="821"/>
      <c r="J17" s="821"/>
      <c r="K17" s="821"/>
      <c r="L17" s="816" t="s">
        <v>8</v>
      </c>
      <c r="M17" s="822">
        <v>0.9</v>
      </c>
      <c r="N17" s="818"/>
      <c r="O17" s="1094"/>
      <c r="P17" s="819"/>
      <c r="Q17" s="805"/>
    </row>
    <row r="18" spans="1:17" s="777" customFormat="1" ht="12.75" customHeight="1">
      <c r="A18" s="1087"/>
      <c r="B18" s="850"/>
      <c r="C18" s="850"/>
      <c r="D18" s="820" t="s">
        <v>10</v>
      </c>
      <c r="E18" s="821"/>
      <c r="F18" s="821"/>
      <c r="G18" s="821"/>
      <c r="H18" s="821"/>
      <c r="I18" s="821"/>
      <c r="J18" s="821"/>
      <c r="K18" s="821"/>
      <c r="L18" s="816" t="s">
        <v>8</v>
      </c>
      <c r="M18" s="822">
        <v>0.05</v>
      </c>
      <c r="N18" s="818"/>
      <c r="O18" s="1094"/>
      <c r="P18" s="819"/>
      <c r="Q18" s="805"/>
    </row>
    <row r="19" spans="1:17" s="777" customFormat="1" ht="12.75" customHeight="1">
      <c r="A19" s="1087"/>
      <c r="B19" s="850"/>
      <c r="C19" s="850"/>
      <c r="D19" s="820" t="s">
        <v>11</v>
      </c>
      <c r="E19" s="821"/>
      <c r="F19" s="821"/>
      <c r="G19" s="821"/>
      <c r="H19" s="821"/>
      <c r="I19" s="821"/>
      <c r="J19" s="821"/>
      <c r="K19" s="821"/>
      <c r="L19" s="816" t="s">
        <v>8</v>
      </c>
      <c r="M19" s="822">
        <v>0</v>
      </c>
      <c r="N19" s="818"/>
      <c r="O19" s="1094"/>
      <c r="P19" s="819"/>
      <c r="Q19" s="805"/>
    </row>
    <row r="20" spans="1:17" s="777" customFormat="1">
      <c r="A20" s="1087"/>
      <c r="B20" s="850"/>
      <c r="C20" s="850"/>
      <c r="D20" s="820" t="s">
        <v>12</v>
      </c>
      <c r="E20" s="821"/>
      <c r="F20" s="821"/>
      <c r="G20" s="821"/>
      <c r="H20" s="821"/>
      <c r="I20" s="821"/>
      <c r="J20" s="821"/>
      <c r="K20" s="821"/>
      <c r="L20" s="816" t="s">
        <v>8</v>
      </c>
      <c r="M20" s="822">
        <v>0.05</v>
      </c>
      <c r="N20" s="818"/>
      <c r="O20" s="1094"/>
      <c r="P20" s="819"/>
      <c r="Q20" s="805"/>
    </row>
    <row r="21" spans="1:17" s="777" customFormat="1" ht="12.75" customHeight="1">
      <c r="A21" s="1087"/>
      <c r="B21" s="850"/>
      <c r="C21" s="850"/>
      <c r="D21" s="820" t="s">
        <v>13</v>
      </c>
      <c r="E21" s="821"/>
      <c r="F21" s="821"/>
      <c r="G21" s="821"/>
      <c r="H21" s="821"/>
      <c r="I21" s="821"/>
      <c r="J21" s="821"/>
      <c r="K21" s="821"/>
      <c r="L21" s="816" t="s">
        <v>8</v>
      </c>
      <c r="M21" s="822">
        <v>0.2</v>
      </c>
      <c r="N21" s="818"/>
      <c r="O21" s="1094"/>
      <c r="P21" s="819"/>
      <c r="Q21" s="805"/>
    </row>
    <row r="22" spans="1:17" s="777" customFormat="1" ht="12.75" customHeight="1">
      <c r="A22" s="1087"/>
      <c r="B22" s="850"/>
      <c r="C22" s="850"/>
      <c r="D22" s="820" t="s">
        <v>14</v>
      </c>
      <c r="E22" s="821"/>
      <c r="F22" s="821"/>
      <c r="G22" s="821"/>
      <c r="H22" s="821"/>
      <c r="I22" s="821"/>
      <c r="J22" s="821"/>
      <c r="K22" s="821"/>
      <c r="L22" s="816" t="s">
        <v>8</v>
      </c>
      <c r="M22" s="822">
        <v>0.3</v>
      </c>
      <c r="N22" s="818"/>
      <c r="O22" s="1094"/>
      <c r="P22" s="819"/>
      <c r="Q22" s="805"/>
    </row>
    <row r="23" spans="1:17" s="777" customFormat="1" ht="12.75" customHeight="1">
      <c r="A23" s="1087"/>
      <c r="B23" s="850"/>
      <c r="C23" s="850"/>
      <c r="D23" s="820" t="s">
        <v>15</v>
      </c>
      <c r="E23" s="821"/>
      <c r="F23" s="821"/>
      <c r="G23" s="821"/>
      <c r="H23" s="821"/>
      <c r="I23" s="821"/>
      <c r="J23" s="821"/>
      <c r="K23" s="821"/>
      <c r="L23" s="816" t="s">
        <v>8</v>
      </c>
      <c r="M23" s="822">
        <v>0.1</v>
      </c>
      <c r="N23" s="818"/>
      <c r="O23" s="1094"/>
      <c r="P23" s="819"/>
      <c r="Q23" s="805"/>
    </row>
    <row r="24" spans="1:17" s="777" customFormat="1" ht="12.75" customHeight="1">
      <c r="A24" s="1087"/>
      <c r="B24" s="850"/>
      <c r="C24" s="850"/>
      <c r="D24" s="820" t="s">
        <v>16</v>
      </c>
      <c r="E24" s="821"/>
      <c r="F24" s="821"/>
      <c r="G24" s="821"/>
      <c r="H24" s="821"/>
      <c r="I24" s="821"/>
      <c r="J24" s="821"/>
      <c r="K24" s="821"/>
      <c r="L24" s="816" t="s">
        <v>8</v>
      </c>
      <c r="M24" s="822">
        <v>0.9</v>
      </c>
      <c r="N24" s="818"/>
      <c r="O24" s="1094"/>
      <c r="P24" s="819"/>
      <c r="Q24" s="805"/>
    </row>
    <row r="25" spans="1:17" ht="13.5" thickBot="1">
      <c r="D25" s="1095"/>
      <c r="E25" s="780"/>
      <c r="F25" s="1096"/>
      <c r="G25" s="780"/>
      <c r="H25" s="780"/>
      <c r="I25" s="780"/>
      <c r="J25" s="1097"/>
      <c r="K25" s="1098"/>
      <c r="L25" s="834"/>
      <c r="M25" s="1099"/>
    </row>
    <row r="26" spans="1:17" s="777" customFormat="1" ht="14.25" customHeight="1" thickTop="1" thickBot="1">
      <c r="A26" s="1087"/>
      <c r="B26" s="850"/>
      <c r="C26" s="850"/>
      <c r="D26" s="1671" t="s">
        <v>11952</v>
      </c>
      <c r="E26" s="1672"/>
      <c r="F26" s="1672"/>
      <c r="G26" s="1672"/>
      <c r="H26" s="1672"/>
      <c r="I26" s="1672"/>
      <c r="J26" s="1672"/>
      <c r="K26" s="1672"/>
      <c r="L26" s="1672"/>
      <c r="M26" s="1673"/>
      <c r="N26" s="812"/>
      <c r="O26" s="1092"/>
      <c r="Q26" s="813"/>
    </row>
    <row r="27" spans="1:17" s="863" customFormat="1" ht="14.25" customHeight="1" thickTop="1" thickBot="1">
      <c r="A27" s="916"/>
      <c r="B27" s="835"/>
      <c r="C27" s="835"/>
      <c r="D27" s="1100"/>
      <c r="E27" s="832"/>
      <c r="F27" s="832"/>
      <c r="G27" s="832"/>
      <c r="H27" s="832"/>
      <c r="I27" s="832"/>
      <c r="J27" s="832"/>
      <c r="K27" s="832"/>
      <c r="L27" s="832"/>
      <c r="M27" s="833"/>
      <c r="N27" s="816"/>
      <c r="O27" s="915"/>
      <c r="Q27" s="873"/>
    </row>
    <row r="28" spans="1:17" s="1107" customFormat="1" ht="14.25" thickTop="1" thickBot="1">
      <c r="A28" s="1101"/>
      <c r="B28" s="1102"/>
      <c r="C28" s="1103"/>
      <c r="D28" s="977" t="s">
        <v>11640</v>
      </c>
      <c r="E28" s="978"/>
      <c r="F28" s="978"/>
      <c r="G28" s="978"/>
      <c r="H28" s="978"/>
      <c r="I28" s="978"/>
      <c r="J28" s="978"/>
      <c r="K28" s="978"/>
      <c r="L28" s="979" t="s">
        <v>25</v>
      </c>
      <c r="M28" s="980" t="s">
        <v>27</v>
      </c>
      <c r="N28" s="1104"/>
      <c r="O28" s="1105"/>
      <c r="P28" s="1106"/>
      <c r="Q28" s="1106"/>
    </row>
    <row r="29" spans="1:17" s="1107" customFormat="1" ht="13.5" thickTop="1">
      <c r="A29" s="1101"/>
      <c r="B29" s="1102"/>
      <c r="C29" s="1102"/>
      <c r="D29" s="1108"/>
      <c r="E29" s="983"/>
      <c r="F29" s="983"/>
      <c r="G29" s="1109"/>
      <c r="H29" s="1109"/>
      <c r="I29" s="1109"/>
      <c r="J29" s="1109"/>
      <c r="K29" s="1109"/>
      <c r="L29" s="985"/>
      <c r="M29" s="984"/>
      <c r="N29" s="1104"/>
      <c r="O29" s="1105"/>
      <c r="P29" s="1106"/>
      <c r="Q29" s="1106"/>
    </row>
    <row r="30" spans="1:17" s="1107" customFormat="1">
      <c r="A30" s="1101" t="s">
        <v>12031</v>
      </c>
      <c r="B30" s="1004" t="s">
        <v>70</v>
      </c>
      <c r="C30" s="1110">
        <v>73610</v>
      </c>
      <c r="D30" s="1111" t="str">
        <f>PROPER(IF(B30="Saneago",VLOOKUP(C30,'SANEAGO-FEV.2016'!A:B,2,0),IF(B30="Sinapi",VLOOKUP(C30,'SINAPI-FEV.2017'!A:D,2,0),IF(B30="Cotação",VLOOKUP(C30,COTAÇÃO!A:D,2,0),IF(B30="Composição",VLOOKUP(C30,COMPOSIÇÃO!A:D,2,0))))))</f>
        <v>Locação De Redes De Água Ou De Esgoto</v>
      </c>
      <c r="E30" s="1112"/>
      <c r="F30" s="1112"/>
      <c r="G30" s="1113"/>
      <c r="H30" s="1113"/>
      <c r="I30" s="1113"/>
      <c r="J30" s="1113"/>
      <c r="K30" s="1113"/>
      <c r="L30" s="1114" t="s">
        <v>18</v>
      </c>
      <c r="M30" s="853">
        <f>SERVIÇOS_TUBULAÇÕES!I56</f>
        <v>3373.3700000000003</v>
      </c>
      <c r="N30" s="1115"/>
      <c r="O30" s="990"/>
      <c r="Q30" s="1106"/>
    </row>
    <row r="31" spans="1:17" s="1107" customFormat="1">
      <c r="A31" s="1101"/>
      <c r="B31" s="1102"/>
      <c r="C31" s="1102"/>
      <c r="D31" s="1116"/>
      <c r="E31" s="1117"/>
      <c r="F31" s="1117"/>
      <c r="G31" s="985"/>
      <c r="H31" s="985"/>
      <c r="I31" s="985"/>
      <c r="J31" s="985"/>
      <c r="K31" s="985"/>
      <c r="L31" s="1118"/>
      <c r="M31" s="884"/>
      <c r="N31" s="1115"/>
      <c r="O31" s="990"/>
      <c r="Q31" s="1106"/>
    </row>
    <row r="32" spans="1:17" s="1107" customFormat="1">
      <c r="A32" s="1101" t="s">
        <v>12032</v>
      </c>
      <c r="B32" s="850" t="s">
        <v>70</v>
      </c>
      <c r="C32" s="850" t="s">
        <v>19163</v>
      </c>
      <c r="D32" s="1111" t="str">
        <f>PROPER(IF(B32="Saneago",VLOOKUP(C32,'SANEAGO-FEV.2016'!A:B,2,0),IF(B32="Sinapi",VLOOKUP(C32,'SINAPI-FEV.2017'!A:D,2,0),IF(B32="Cotação",VLOOKUP(C32,COTAÇÃO!A:D,2,0),IF(B32="Composição",VLOOKUP(C32,COMPOSIÇÃO!A:D,2,0))))))</f>
        <v>Limpeza Mecanizada De Terreno Com Remocao De Camada Vegetal, Utilizando Motoniveladora</v>
      </c>
      <c r="E32" s="1112"/>
      <c r="F32" s="1112"/>
      <c r="G32" s="1114"/>
      <c r="H32" s="1114"/>
      <c r="I32" s="1114"/>
      <c r="J32" s="1114"/>
      <c r="K32" s="1114"/>
      <c r="L32" s="1114" t="s">
        <v>21</v>
      </c>
      <c r="M32" s="853">
        <f>SERVIÇOS_TUBULAÇÕES!O56</f>
        <v>3942.9333895574923</v>
      </c>
      <c r="N32" s="1115"/>
      <c r="O32" s="990"/>
      <c r="Q32" s="1106"/>
    </row>
    <row r="33" spans="1:17" s="1107" customFormat="1">
      <c r="A33" s="1101"/>
      <c r="B33" s="1102"/>
      <c r="C33" s="1102"/>
      <c r="D33" s="1116"/>
      <c r="E33" s="1117"/>
      <c r="F33" s="1117"/>
      <c r="G33" s="985"/>
      <c r="H33" s="985"/>
      <c r="I33" s="985"/>
      <c r="J33" s="985"/>
      <c r="K33" s="985"/>
      <c r="L33" s="1118"/>
      <c r="M33" s="884"/>
      <c r="N33" s="1115"/>
      <c r="O33" s="990"/>
      <c r="Q33" s="1106"/>
    </row>
    <row r="34" spans="1:17" s="1107" customFormat="1">
      <c r="A34" s="1101" t="s">
        <v>12679</v>
      </c>
      <c r="B34" s="1102" t="s">
        <v>10852</v>
      </c>
      <c r="C34" s="1102">
        <v>1511</v>
      </c>
      <c r="D34" s="1111" t="str">
        <f>PROPER(IF(B34="Saneago",VLOOKUP(C34,'SANEAGO-FEV.2016'!A:B,2,0),IF(B34="Sinapi",VLOOKUP(C34,'SINAPI-FEV.2017'!A:D,2,0),IF(B34="Cotação",VLOOKUP(C34,COTAÇÃO!A:D,2,0),IF(B34="Composição",VLOOKUP(C34,COMPOSIÇÃO!A:D,2,0))))))</f>
        <v>Cadastro De Redes E Adutoras</v>
      </c>
      <c r="E34" s="1112"/>
      <c r="F34" s="1112"/>
      <c r="G34" s="1114"/>
      <c r="H34" s="1114"/>
      <c r="I34" s="1114"/>
      <c r="J34" s="1114"/>
      <c r="K34" s="1114"/>
      <c r="L34" s="1114" t="s">
        <v>18</v>
      </c>
      <c r="M34" s="853">
        <f>M30</f>
        <v>3373.3700000000003</v>
      </c>
      <c r="N34" s="1115"/>
      <c r="O34" s="990"/>
      <c r="Q34" s="1106"/>
    </row>
    <row r="35" spans="1:17" s="863" customFormat="1" ht="13.5" thickBot="1">
      <c r="A35" s="916"/>
      <c r="B35" s="835"/>
      <c r="C35" s="835"/>
      <c r="D35" s="878"/>
      <c r="E35" s="816"/>
      <c r="F35" s="816"/>
      <c r="G35" s="816"/>
      <c r="H35" s="816"/>
      <c r="I35" s="816"/>
      <c r="J35" s="816"/>
      <c r="K35" s="816"/>
      <c r="L35" s="816"/>
      <c r="M35" s="879"/>
      <c r="N35" s="816"/>
      <c r="O35" s="915"/>
      <c r="Q35" s="873"/>
    </row>
    <row r="36" spans="1:17" s="777" customFormat="1" ht="14.25" thickTop="1" thickBot="1">
      <c r="A36" s="1087"/>
      <c r="B36" s="850"/>
      <c r="C36" s="850"/>
      <c r="D36" s="830" t="s">
        <v>11700</v>
      </c>
      <c r="E36" s="831"/>
      <c r="F36" s="831"/>
      <c r="G36" s="831"/>
      <c r="H36" s="831"/>
      <c r="I36" s="831"/>
      <c r="J36" s="831"/>
      <c r="K36" s="831"/>
      <c r="L36" s="832"/>
      <c r="M36" s="833"/>
      <c r="N36" s="804"/>
      <c r="O36" s="1091"/>
      <c r="P36" s="805"/>
      <c r="Q36" s="805"/>
    </row>
    <row r="37" spans="1:17" ht="13.5" thickTop="1">
      <c r="D37" s="1119"/>
      <c r="E37" s="1079"/>
      <c r="F37" s="1079"/>
      <c r="G37" s="1120" t="s">
        <v>30</v>
      </c>
      <c r="H37" s="1120" t="s">
        <v>30</v>
      </c>
      <c r="I37" s="1120" t="s">
        <v>30</v>
      </c>
      <c r="J37" s="1120" t="s">
        <v>30</v>
      </c>
      <c r="K37" s="1120" t="s">
        <v>30</v>
      </c>
      <c r="L37" s="1120" t="s">
        <v>30</v>
      </c>
      <c r="M37" s="1120" t="s">
        <v>30</v>
      </c>
    </row>
    <row r="38" spans="1:17">
      <c r="D38" s="956" t="s">
        <v>20393</v>
      </c>
      <c r="E38" s="1121"/>
      <c r="F38" s="1121"/>
      <c r="G38" s="1122"/>
      <c r="H38" s="1122"/>
      <c r="I38" s="1122"/>
      <c r="J38" s="1122"/>
      <c r="K38" s="1122"/>
      <c r="L38" s="1123" t="s">
        <v>22</v>
      </c>
      <c r="M38" s="1124">
        <f>SERVIÇOS_TUBULAÇÕES!AC56</f>
        <v>4345.4643941814884</v>
      </c>
    </row>
    <row r="39" spans="1:17">
      <c r="D39" s="1119"/>
      <c r="E39" s="1079"/>
      <c r="F39" s="1079"/>
      <c r="G39" s="1120" t="s">
        <v>30</v>
      </c>
      <c r="H39" s="1120" t="s">
        <v>30</v>
      </c>
      <c r="I39" s="1120" t="s">
        <v>30</v>
      </c>
      <c r="J39" s="1120" t="s">
        <v>30</v>
      </c>
      <c r="K39" s="1120"/>
      <c r="L39" s="1120" t="s">
        <v>30</v>
      </c>
      <c r="M39" s="1120" t="s">
        <v>30</v>
      </c>
    </row>
    <row r="40" spans="1:17">
      <c r="D40" s="956" t="s">
        <v>20394</v>
      </c>
      <c r="E40" s="1121"/>
      <c r="F40" s="1121"/>
      <c r="G40" s="1122"/>
      <c r="H40" s="1122"/>
      <c r="I40" s="1122"/>
      <c r="J40" s="1122"/>
      <c r="K40" s="1122"/>
      <c r="L40" s="1123" t="s">
        <v>22</v>
      </c>
      <c r="M40" s="1124">
        <f>SERVIÇOS_TUBULAÇÕES!AJ56</f>
        <v>739.72522256543641</v>
      </c>
      <c r="N40" s="1125">
        <f>SUM(M38:M40)</f>
        <v>5085.1896167469249</v>
      </c>
    </row>
    <row r="41" spans="1:17" s="863" customFormat="1">
      <c r="A41" s="918"/>
      <c r="B41" s="919"/>
      <c r="C41" s="919"/>
      <c r="D41" s="881"/>
      <c r="E41" s="882"/>
      <c r="F41" s="882"/>
      <c r="G41" s="700"/>
      <c r="H41" s="700"/>
      <c r="I41" s="700"/>
      <c r="J41" s="700" t="s">
        <v>11696</v>
      </c>
      <c r="K41" s="700" t="s">
        <v>11641</v>
      </c>
      <c r="L41" s="883"/>
      <c r="M41" s="884"/>
      <c r="N41" s="700"/>
      <c r="P41" s="871"/>
    </row>
    <row r="42" spans="1:17" s="863" customFormat="1" ht="45">
      <c r="A42" s="918" t="s">
        <v>12033</v>
      </c>
      <c r="B42" s="1004" t="s">
        <v>70</v>
      </c>
      <c r="C42" s="1110">
        <v>90105</v>
      </c>
      <c r="D42" s="836" t="str">
        <f>PROPER(IF(B42="Saneago",VLOOKUP(C42,'SANEAGO-FEV.2016'!A:B,2,0),IF(B42="Sinapi",VLOOKUP(C42,'SINAPI-FEV.2017'!A:D,2,0),IF(B42="Cotação",VLOOKUP(C42,COTAÇÃO!A:D,2,0),IF(B42="Composição",VLOOKUP(C42,COMPOSIÇÃO!A:D,2,0))))))</f>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
      <c r="E42" s="837"/>
      <c r="F42" s="837"/>
      <c r="G42" s="852"/>
      <c r="H42" s="852"/>
      <c r="I42" s="852"/>
      <c r="J42" s="896">
        <f>M15</f>
        <v>0.95</v>
      </c>
      <c r="K42" s="896">
        <f>M17</f>
        <v>0.9</v>
      </c>
      <c r="L42" s="852" t="s">
        <v>22</v>
      </c>
      <c r="M42" s="853">
        <f>$M$38*J42*K42</f>
        <v>3715.3720570251726</v>
      </c>
      <c r="N42" s="828">
        <f>SUM(M42:M62)</f>
        <v>5085.1896167469258</v>
      </c>
      <c r="P42" s="871"/>
    </row>
    <row r="43" spans="1:17" s="863" customFormat="1">
      <c r="A43" s="918"/>
      <c r="B43" s="1004"/>
      <c r="C43" s="1126"/>
      <c r="D43" s="881"/>
      <c r="E43" s="882"/>
      <c r="F43" s="882"/>
      <c r="G43" s="700"/>
      <c r="H43" s="700"/>
      <c r="I43" s="700"/>
      <c r="J43" s="700" t="s">
        <v>11696</v>
      </c>
      <c r="K43" s="700" t="s">
        <v>11641</v>
      </c>
      <c r="L43" s="883"/>
      <c r="M43" s="884"/>
      <c r="N43" s="700"/>
      <c r="P43" s="871"/>
    </row>
    <row r="44" spans="1:17" s="863" customFormat="1" ht="45">
      <c r="A44" s="918" t="s">
        <v>12034</v>
      </c>
      <c r="B44" s="1004" t="s">
        <v>70</v>
      </c>
      <c r="C44" s="1126">
        <v>90107</v>
      </c>
      <c r="D44" s="836" t="str">
        <f>PROPER(IF(B44="Saneago",VLOOKUP(C44,'SANEAGO-FEV.2016'!A:B,2,0),IF(B44="Sinapi",VLOOKUP(C44,'SINAPI-FEV.2017'!A:D,2,0),IF(B44="Cotação",VLOOKUP(C44,COTAÇÃO!A:D,2,0),IF(B44="Composição",VLOOKUP(C44,COMPOSIÇÃO!A:D,2,0))))))</f>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
      <c r="E44" s="837"/>
      <c r="F44" s="837"/>
      <c r="G44" s="852"/>
      <c r="H44" s="852"/>
      <c r="I44" s="852"/>
      <c r="J44" s="896">
        <f>J42</f>
        <v>0.95</v>
      </c>
      <c r="K44" s="896">
        <f>K42</f>
        <v>0.9</v>
      </c>
      <c r="L44" s="852" t="s">
        <v>22</v>
      </c>
      <c r="M44" s="853">
        <f>$M$40*J44*K44</f>
        <v>632.46506529344811</v>
      </c>
      <c r="N44" s="700"/>
      <c r="P44" s="871"/>
    </row>
    <row r="45" spans="1:17" s="863" customFormat="1">
      <c r="A45" s="918"/>
      <c r="B45" s="919"/>
      <c r="C45" s="1003"/>
      <c r="D45" s="881"/>
      <c r="E45" s="882"/>
      <c r="F45" s="882"/>
      <c r="G45" s="700"/>
      <c r="H45" s="700"/>
      <c r="I45" s="700"/>
      <c r="J45" s="700" t="s">
        <v>11696</v>
      </c>
      <c r="K45" s="700" t="s">
        <v>11642</v>
      </c>
      <c r="L45" s="883"/>
      <c r="M45" s="884"/>
      <c r="N45" s="700"/>
      <c r="P45" s="871"/>
    </row>
    <row r="46" spans="1:17" s="863" customFormat="1" ht="22.5">
      <c r="A46" s="918" t="s">
        <v>12035</v>
      </c>
      <c r="B46" s="919" t="s">
        <v>1</v>
      </c>
      <c r="C46" s="1003">
        <v>184</v>
      </c>
      <c r="D46" s="836" t="str">
        <f>PROPER(IF(B46="Saneago",VLOOKUP(C46,'SANEAGO-FEV.2016'!A:B,2,0),IF(B46="Sinapi",VLOOKUP(C46,'SINAPI-FEV.2017'!A:D,2,0),IF(B46="Cotação",VLOOKUP(C46,COTAÇÃO!A:D,2,0),IF(B46="Composição",VLOOKUP(C46,COMPOSIÇÃO!A:D,2,0))))))</f>
        <v>Escavação  Mecanizada  (Com Escavadeira Hidráulica)  Em Valas Com Material De 2ª Categoria
- Profundidade Até 2,0 M</v>
      </c>
      <c r="E46" s="837"/>
      <c r="F46" s="837"/>
      <c r="G46" s="852"/>
      <c r="H46" s="852"/>
      <c r="I46" s="852"/>
      <c r="J46" s="896">
        <f>J44</f>
        <v>0.95</v>
      </c>
      <c r="K46" s="896">
        <f>M18</f>
        <v>0.05</v>
      </c>
      <c r="L46" s="852" t="s">
        <v>22</v>
      </c>
      <c r="M46" s="853">
        <f>$M$38*J46*K46</f>
        <v>206.40955872362071</v>
      </c>
      <c r="N46" s="700"/>
      <c r="P46" s="871"/>
    </row>
    <row r="47" spans="1:17" s="863" customFormat="1">
      <c r="A47" s="918"/>
      <c r="B47" s="919"/>
      <c r="C47" s="919"/>
      <c r="D47" s="881"/>
      <c r="E47" s="882"/>
      <c r="F47" s="882"/>
      <c r="G47" s="700"/>
      <c r="H47" s="700"/>
      <c r="I47" s="700"/>
      <c r="J47" s="700" t="s">
        <v>11696</v>
      </c>
      <c r="K47" s="700" t="s">
        <v>11642</v>
      </c>
      <c r="L47" s="883"/>
      <c r="M47" s="884"/>
      <c r="N47" s="700"/>
      <c r="P47" s="871"/>
    </row>
    <row r="48" spans="1:17" s="863" customFormat="1" ht="22.5">
      <c r="A48" s="918" t="s">
        <v>12036</v>
      </c>
      <c r="B48" s="919" t="s">
        <v>1</v>
      </c>
      <c r="C48" s="1003">
        <v>185</v>
      </c>
      <c r="D48" s="836" t="str">
        <f>PROPER(IF(B48="Saneago",VLOOKUP(C48,'SANEAGO-FEV.2016'!A:B,2,0),IF(B48="Sinapi",VLOOKUP(C48,'SINAPI-FEV.2017'!A:D,2,0),IF(B48="Cotação",VLOOKUP(C48,COTAÇÃO!A:D,2,0),IF(B48="Composição",VLOOKUP(C48,COMPOSIÇÃO!A:D,2,0))))))</f>
        <v>Escavação  Mecanizada  (Com Escavadeira Hidráulica)  Em Valas Com Material De 2ª Categoria
- Profundidade De 2,0 A 4,0 M</v>
      </c>
      <c r="E48" s="837"/>
      <c r="F48" s="837"/>
      <c r="G48" s="852"/>
      <c r="H48" s="852"/>
      <c r="I48" s="852"/>
      <c r="J48" s="896">
        <f>J46</f>
        <v>0.95</v>
      </c>
      <c r="K48" s="896">
        <f>K46</f>
        <v>0.05</v>
      </c>
      <c r="L48" s="852" t="s">
        <v>22</v>
      </c>
      <c r="M48" s="853">
        <f>$M$40*J48*K48</f>
        <v>35.136948071858228</v>
      </c>
      <c r="N48" s="700"/>
      <c r="P48" s="871"/>
    </row>
    <row r="49" spans="1:16" s="863" customFormat="1">
      <c r="A49" s="918"/>
      <c r="B49" s="919"/>
      <c r="C49" s="919"/>
      <c r="D49" s="881"/>
      <c r="E49" s="882"/>
      <c r="F49" s="882"/>
      <c r="G49" s="700"/>
      <c r="H49" s="700"/>
      <c r="I49" s="700"/>
      <c r="J49" s="700" t="s">
        <v>11696</v>
      </c>
      <c r="K49" s="700" t="s">
        <v>11677</v>
      </c>
      <c r="L49" s="883"/>
      <c r="M49" s="884"/>
      <c r="N49" s="700"/>
      <c r="P49" s="871"/>
    </row>
    <row r="50" spans="1:16" s="863" customFormat="1" ht="22.5">
      <c r="A50" s="918" t="s">
        <v>12037</v>
      </c>
      <c r="B50" s="919" t="s">
        <v>1</v>
      </c>
      <c r="C50" s="1003">
        <v>187</v>
      </c>
      <c r="D50" s="836" t="str">
        <f>PROPER(IF(B50="Saneago",VLOOKUP(C50,'SANEAGO-FEV.2016'!A:B,2,0),IF(B50="Sinapi",VLOOKUP(C50,'SINAPI-FEV.2017'!A:D,2,0),IF(B50="Cotação",VLOOKUP(C50,COTAÇÃO!A:D,2,0),IF(B50="Composição",VLOOKUP(C50,COMPOSIÇÃO!A:D,2,0))))))</f>
        <v>Escavação  Mecanizada  (Com Escavadeira Hidráulica)  Em Valas Com Material  De Solo Mole - Profundidade Até 2,0 M</v>
      </c>
      <c r="E50" s="837"/>
      <c r="F50" s="837"/>
      <c r="G50" s="852"/>
      <c r="H50" s="852"/>
      <c r="I50" s="852"/>
      <c r="J50" s="896">
        <f>J48</f>
        <v>0.95</v>
      </c>
      <c r="K50" s="896">
        <f>M20</f>
        <v>0.05</v>
      </c>
      <c r="L50" s="852" t="s">
        <v>22</v>
      </c>
      <c r="M50" s="853">
        <f>$M$38*J50*K50</f>
        <v>206.40955872362071</v>
      </c>
      <c r="N50" s="700"/>
      <c r="P50" s="871"/>
    </row>
    <row r="51" spans="1:16" s="863" customFormat="1">
      <c r="A51" s="918"/>
      <c r="B51" s="919"/>
      <c r="C51" s="919"/>
      <c r="D51" s="881"/>
      <c r="E51" s="882"/>
      <c r="F51" s="882"/>
      <c r="G51" s="700"/>
      <c r="H51" s="700"/>
      <c r="I51" s="700"/>
      <c r="J51" s="700" t="s">
        <v>11696</v>
      </c>
      <c r="K51" s="700" t="s">
        <v>11677</v>
      </c>
      <c r="L51" s="883"/>
      <c r="M51" s="884"/>
      <c r="N51" s="700"/>
      <c r="P51" s="871"/>
    </row>
    <row r="52" spans="1:16" s="863" customFormat="1" ht="22.5">
      <c r="A52" s="918" t="s">
        <v>12038</v>
      </c>
      <c r="B52" s="919" t="s">
        <v>1</v>
      </c>
      <c r="C52" s="1003">
        <v>188</v>
      </c>
      <c r="D52" s="836" t="str">
        <f>PROPER(IF(B52="Saneago",VLOOKUP(C52,'SANEAGO-FEV.2016'!A:B,2,0),IF(B52="Sinapi",VLOOKUP(C52,'SINAPI-FEV.2017'!A:D,2,0),IF(B52="Cotação",VLOOKUP(C52,COTAÇÃO!A:D,2,0),IF(B52="Composição",VLOOKUP(C52,COMPOSIÇÃO!A:D,2,0))))))</f>
        <v>Escavação  Mecanizada  (Com Escavadeira Hidráulica)  Em Valas Com Material  De Solo Mole - Profundidade De 2,0 A 4,0 M</v>
      </c>
      <c r="E52" s="837"/>
      <c r="F52" s="837"/>
      <c r="G52" s="852"/>
      <c r="H52" s="852"/>
      <c r="I52" s="852"/>
      <c r="J52" s="896">
        <f>J50</f>
        <v>0.95</v>
      </c>
      <c r="K52" s="896">
        <f>K50</f>
        <v>0.05</v>
      </c>
      <c r="L52" s="852" t="s">
        <v>22</v>
      </c>
      <c r="M52" s="853">
        <f>$M$40*J52*K52</f>
        <v>35.136948071858228</v>
      </c>
      <c r="N52" s="700"/>
      <c r="P52" s="871"/>
    </row>
    <row r="53" spans="1:16" s="863" customFormat="1">
      <c r="A53" s="918"/>
      <c r="B53" s="919"/>
      <c r="C53" s="919"/>
      <c r="D53" s="881"/>
      <c r="E53" s="882"/>
      <c r="F53" s="882"/>
      <c r="G53" s="700"/>
      <c r="H53" s="700"/>
      <c r="I53" s="700"/>
      <c r="J53" s="700" t="s">
        <v>11697</v>
      </c>
      <c r="K53" s="700" t="s">
        <v>11641</v>
      </c>
      <c r="L53" s="883"/>
      <c r="M53" s="884"/>
      <c r="N53" s="700"/>
      <c r="P53" s="871"/>
    </row>
    <row r="54" spans="1:16" s="863" customFormat="1">
      <c r="A54" s="918" t="s">
        <v>12039</v>
      </c>
      <c r="B54" s="919" t="s">
        <v>70</v>
      </c>
      <c r="C54" s="1003">
        <v>93358</v>
      </c>
      <c r="D54" s="836" t="str">
        <f>PROPER(IF(B54="Saneago",VLOOKUP(C54,'SANEAGO-FEV.2016'!A:B,2,0),IF(B54="Sinapi",VLOOKUP(C54,'SINAPI-FEV.2017'!A:D,2,0),IF(B54="Cotação",VLOOKUP(C54,COTAÇÃO!A:D,2,0),IF(B54="Composição",VLOOKUP(C54,COMPOSIÇÃO!A:D,2,0))))))</f>
        <v>Escavação Manual De Valas. Af_03/2016</v>
      </c>
      <c r="E54" s="837"/>
      <c r="F54" s="837"/>
      <c r="G54" s="852"/>
      <c r="H54" s="852"/>
      <c r="I54" s="852"/>
      <c r="J54" s="896">
        <f>M16</f>
        <v>0.05</v>
      </c>
      <c r="K54" s="896">
        <f>K42</f>
        <v>0.9</v>
      </c>
      <c r="L54" s="852" t="s">
        <v>22</v>
      </c>
      <c r="M54" s="853">
        <f>$M$40*J54*K54+$M$38*J54*K54</f>
        <v>228.83353275361162</v>
      </c>
      <c r="N54" s="700"/>
      <c r="P54" s="871"/>
    </row>
    <row r="55" spans="1:16" s="863" customFormat="1">
      <c r="A55" s="918"/>
      <c r="B55" s="919"/>
      <c r="C55" s="1003"/>
      <c r="D55" s="881"/>
      <c r="E55" s="882"/>
      <c r="F55" s="882"/>
      <c r="G55" s="700"/>
      <c r="H55" s="700"/>
      <c r="I55" s="700"/>
      <c r="J55" s="700" t="s">
        <v>11697</v>
      </c>
      <c r="K55" s="700" t="s">
        <v>11642</v>
      </c>
      <c r="L55" s="883"/>
      <c r="M55" s="884"/>
      <c r="N55" s="700"/>
      <c r="P55" s="871"/>
    </row>
    <row r="56" spans="1:16" s="863" customFormat="1">
      <c r="A56" s="918" t="s">
        <v>12040</v>
      </c>
      <c r="B56" s="919" t="s">
        <v>1</v>
      </c>
      <c r="C56" s="1003">
        <v>170</v>
      </c>
      <c r="D56" s="836" t="str">
        <f>PROPER(IF(B56="Saneago",VLOOKUP(C56,'SANEAGO-FEV.2016'!A:B,2,0),IF(B56="Sinapi",VLOOKUP(C56,'SINAPI-FEV.2017'!A:D,2,0),IF(B56="Cotação",VLOOKUP(C56,COTAÇÃO!A:D,2,0),IF(B56="Composição",VLOOKUP(C56,COMPOSIÇÃO!A:D,2,0))))))</f>
        <v>Escavação  Manual Em Valas Com Material De 2ª Categoria  - Profundidade Até 2,0 M</v>
      </c>
      <c r="E56" s="837"/>
      <c r="F56" s="837"/>
      <c r="G56" s="852"/>
      <c r="H56" s="852"/>
      <c r="I56" s="852"/>
      <c r="J56" s="896">
        <f>J54</f>
        <v>0.05</v>
      </c>
      <c r="K56" s="896">
        <f>K46</f>
        <v>0.05</v>
      </c>
      <c r="L56" s="852" t="s">
        <v>22</v>
      </c>
      <c r="M56" s="853">
        <f>$M$38*J56*K56</f>
        <v>10.863660985453722</v>
      </c>
      <c r="N56" s="700"/>
      <c r="P56" s="871"/>
    </row>
    <row r="57" spans="1:16" s="863" customFormat="1">
      <c r="A57" s="918"/>
      <c r="B57" s="919"/>
      <c r="C57" s="919"/>
      <c r="D57" s="881"/>
      <c r="E57" s="882"/>
      <c r="F57" s="882"/>
      <c r="G57" s="700"/>
      <c r="H57" s="700"/>
      <c r="I57" s="700"/>
      <c r="J57" s="700" t="s">
        <v>11697</v>
      </c>
      <c r="K57" s="700" t="s">
        <v>11642</v>
      </c>
      <c r="L57" s="883"/>
      <c r="M57" s="884"/>
      <c r="N57" s="700"/>
      <c r="P57" s="871"/>
    </row>
    <row r="58" spans="1:16" s="863" customFormat="1">
      <c r="A58" s="918" t="s">
        <v>12041</v>
      </c>
      <c r="B58" s="919" t="s">
        <v>1</v>
      </c>
      <c r="C58" s="1003">
        <v>171</v>
      </c>
      <c r="D58" s="836" t="str">
        <f>PROPER(IF(B58="Saneago",VLOOKUP(C58,'SANEAGO-FEV.2016'!A:B,2,0),IF(B58="Sinapi",VLOOKUP(C58,'SINAPI-FEV.2017'!A:D,2,0),IF(B58="Cotação",VLOOKUP(C58,COTAÇÃO!A:D,2,0),IF(B58="Composição",VLOOKUP(C58,COMPOSIÇÃO!A:D,2,0))))))</f>
        <v>Escavação  Manual Em Valas Com Material De 2ª Categoria  - Profundidade De 2,0 A 4,0 M</v>
      </c>
      <c r="E58" s="837"/>
      <c r="F58" s="837"/>
      <c r="G58" s="852"/>
      <c r="H58" s="852"/>
      <c r="I58" s="852"/>
      <c r="J58" s="896">
        <f>J56</f>
        <v>0.05</v>
      </c>
      <c r="K58" s="896">
        <f>K48</f>
        <v>0.05</v>
      </c>
      <c r="L58" s="852" t="s">
        <v>22</v>
      </c>
      <c r="M58" s="853">
        <f>$M$40*J58*K58</f>
        <v>1.8493130564135911</v>
      </c>
      <c r="N58" s="700"/>
      <c r="P58" s="871"/>
    </row>
    <row r="59" spans="1:16" s="863" customFormat="1">
      <c r="A59" s="918"/>
      <c r="B59" s="919"/>
      <c r="C59" s="919"/>
      <c r="D59" s="881"/>
      <c r="E59" s="882"/>
      <c r="F59" s="882"/>
      <c r="G59" s="700"/>
      <c r="H59" s="700"/>
      <c r="I59" s="700"/>
      <c r="J59" s="700" t="s">
        <v>11697</v>
      </c>
      <c r="K59" s="700" t="s">
        <v>11677</v>
      </c>
      <c r="L59" s="883"/>
      <c r="M59" s="884"/>
      <c r="N59" s="700"/>
      <c r="P59" s="871"/>
    </row>
    <row r="60" spans="1:16" s="863" customFormat="1">
      <c r="A60" s="918" t="s">
        <v>12042</v>
      </c>
      <c r="B60" s="919" t="s">
        <v>1</v>
      </c>
      <c r="C60" s="1003">
        <v>176</v>
      </c>
      <c r="D60" s="836" t="str">
        <f>PROPER(IF(B60="Saneago",VLOOKUP(C60,'SANEAGO-FEV.2016'!A:B,2,0),IF(B60="Sinapi",VLOOKUP(C60,'SINAPI-FEV.2017'!A:D,2,0),IF(B60="Cotação",VLOOKUP(C60,COTAÇÃO!A:D,2,0),IF(B60="Composição",VLOOKUP(C60,COMPOSIÇÃO!A:D,2,0))))))</f>
        <v>Escavação  Manual Em Valas Com Material De Barro - Lama - Profundidade Até 2,0M</v>
      </c>
      <c r="E60" s="837"/>
      <c r="F60" s="837"/>
      <c r="G60" s="852"/>
      <c r="H60" s="852"/>
      <c r="I60" s="852"/>
      <c r="J60" s="896">
        <f>J58</f>
        <v>0.05</v>
      </c>
      <c r="K60" s="896">
        <f>K50</f>
        <v>0.05</v>
      </c>
      <c r="L60" s="852" t="s">
        <v>22</v>
      </c>
      <c r="M60" s="853">
        <f>$M$38*J60*K60</f>
        <v>10.863660985453722</v>
      </c>
      <c r="N60" s="700"/>
      <c r="P60" s="871"/>
    </row>
    <row r="61" spans="1:16" s="863" customFormat="1">
      <c r="A61" s="918"/>
      <c r="B61" s="919"/>
      <c r="C61" s="919"/>
      <c r="D61" s="881"/>
      <c r="E61" s="882"/>
      <c r="F61" s="882"/>
      <c r="G61" s="700"/>
      <c r="H61" s="700"/>
      <c r="I61" s="700"/>
      <c r="J61" s="700" t="s">
        <v>11697</v>
      </c>
      <c r="K61" s="700" t="s">
        <v>11677</v>
      </c>
      <c r="L61" s="883"/>
      <c r="M61" s="884"/>
      <c r="N61" s="700"/>
      <c r="P61" s="871"/>
    </row>
    <row r="62" spans="1:16" s="863" customFormat="1">
      <c r="A62" s="918" t="s">
        <v>12043</v>
      </c>
      <c r="B62" s="919" t="s">
        <v>1</v>
      </c>
      <c r="C62" s="1003">
        <v>177</v>
      </c>
      <c r="D62" s="836" t="str">
        <f>PROPER(IF(B62="Saneago",VLOOKUP(C62,'SANEAGO-FEV.2016'!A:B,2,0),IF(B62="Sinapi",VLOOKUP(C62,'SINAPI-FEV.2017'!A:D,2,0),IF(B62="Cotação",VLOOKUP(C62,COTAÇÃO!A:D,2,0),IF(B62="Composição",VLOOKUP(C62,COMPOSIÇÃO!A:D,2,0))))))</f>
        <v>Escavação  Manual Em Valas Com Material De Barro - Lama - Profundidade De 2,0 A 4,0M</v>
      </c>
      <c r="E62" s="837"/>
      <c r="F62" s="837"/>
      <c r="G62" s="852"/>
      <c r="H62" s="852"/>
      <c r="I62" s="852"/>
      <c r="J62" s="896">
        <f>J60</f>
        <v>0.05</v>
      </c>
      <c r="K62" s="896">
        <f>K52</f>
        <v>0.05</v>
      </c>
      <c r="L62" s="852" t="s">
        <v>22</v>
      </c>
      <c r="M62" s="853">
        <f>$M$40*J62*K62</f>
        <v>1.8493130564135911</v>
      </c>
      <c r="N62" s="700"/>
      <c r="P62" s="871"/>
    </row>
    <row r="63" spans="1:16" s="863" customFormat="1">
      <c r="A63" s="918"/>
      <c r="B63" s="919"/>
      <c r="C63" s="1003"/>
      <c r="D63" s="826"/>
      <c r="E63" s="790"/>
      <c r="F63" s="790"/>
      <c r="G63" s="828" t="s">
        <v>30</v>
      </c>
      <c r="H63" s="828" t="s">
        <v>30</v>
      </c>
      <c r="I63" s="828" t="s">
        <v>30</v>
      </c>
      <c r="J63" s="828"/>
      <c r="K63" s="828"/>
      <c r="L63" s="828"/>
      <c r="M63" s="829"/>
      <c r="N63" s="700"/>
      <c r="P63" s="871"/>
    </row>
    <row r="64" spans="1:16" s="863" customFormat="1">
      <c r="A64" s="918" t="s">
        <v>12044</v>
      </c>
      <c r="B64" s="919" t="s">
        <v>70</v>
      </c>
      <c r="C64" s="1003" t="s">
        <v>15726</v>
      </c>
      <c r="D64" s="836" t="str">
        <f>PROPER(IF(B64="Saneago",VLOOKUP(C64,'SANEAGO-FEV.2016'!A:B,2,0),IF(B64="Sinapi",VLOOKUP(C64,'SINAPI-FEV.2017'!A:D,2,0),IF(B64="Cotação",VLOOKUP(C64,COTAÇÃO!A:D,2,0),IF(B64="Composição",VLOOKUP(C64,COMPOSIÇÃO!A:D,2,0))))))</f>
        <v>Esgotamento Com Moto-Bomba Autoescovante</v>
      </c>
      <c r="E64" s="837"/>
      <c r="F64" s="837"/>
      <c r="G64" s="838"/>
      <c r="H64" s="852"/>
      <c r="I64" s="852"/>
      <c r="J64" s="838"/>
      <c r="K64" s="838"/>
      <c r="L64" s="838" t="s">
        <v>57</v>
      </c>
      <c r="M64" s="853">
        <v>20</v>
      </c>
      <c r="N64" s="700"/>
      <c r="P64" s="871"/>
    </row>
    <row r="65" spans="1:17">
      <c r="B65" s="919"/>
      <c r="C65" s="1003"/>
      <c r="D65" s="1127"/>
      <c r="E65" s="1022"/>
      <c r="F65" s="1022"/>
      <c r="G65" s="780"/>
      <c r="H65" s="780"/>
      <c r="I65" s="780"/>
      <c r="J65" s="780"/>
      <c r="K65" s="780"/>
      <c r="L65" s="780"/>
      <c r="M65" s="1128"/>
      <c r="N65" s="779"/>
    </row>
    <row r="66" spans="1:17" ht="22.5">
      <c r="A66" s="1076" t="s">
        <v>12045</v>
      </c>
      <c r="B66" s="919" t="s">
        <v>70</v>
      </c>
      <c r="C66" s="1003">
        <v>94097</v>
      </c>
      <c r="D66" s="956" t="str">
        <f>PROPER(IF(B66="Saneago",VLOOKUP(C66,'SANEAGO-FEV.2016'!A:B,2,0),IF(B66="Sinapi",VLOOKUP(C66,'SINAPI-FEV.2017'!A:D,2,0),IF(B66="Cotação",VLOOKUP(C66,COTAÇÃO!A:D,2,0),IF(B66="Composição",VLOOKUP(C66,COMPOSIÇÃO!A:D,2,0))))))</f>
        <v>Preparo De Fundo De Vala Com Largura Menor Que 1,5 M, Em Local Com Nível Baixo De Interferência. Af_06/2016</v>
      </c>
      <c r="E66" s="1121"/>
      <c r="F66" s="1121"/>
      <c r="G66" s="1123"/>
      <c r="H66" s="1122"/>
      <c r="I66" s="1122"/>
      <c r="J66" s="1129"/>
      <c r="K66" s="1129"/>
      <c r="L66" s="1123" t="s">
        <v>21</v>
      </c>
      <c r="M66" s="1124">
        <f>SERVIÇOS_TUBULAÇÕES!P56</f>
        <v>3373.3700000000003</v>
      </c>
    </row>
    <row r="67" spans="1:17">
      <c r="B67" s="919"/>
      <c r="C67" s="1003"/>
      <c r="D67" s="1127"/>
      <c r="E67" s="1022"/>
      <c r="F67" s="1022"/>
      <c r="G67" s="780"/>
      <c r="H67" s="780"/>
      <c r="I67" s="780"/>
      <c r="J67" s="780" t="s">
        <v>44</v>
      </c>
      <c r="K67" s="780" t="s">
        <v>83</v>
      </c>
      <c r="L67" s="780"/>
      <c r="M67" s="1128"/>
      <c r="N67" s="779"/>
    </row>
    <row r="68" spans="1:17">
      <c r="B68" s="919"/>
      <c r="C68" s="1003"/>
      <c r="D68" s="956" t="s">
        <v>82</v>
      </c>
      <c r="E68" s="1121"/>
      <c r="F68" s="1121"/>
      <c r="G68" s="1123"/>
      <c r="H68" s="1122"/>
      <c r="I68" s="1122"/>
      <c r="J68" s="1130">
        <f>M38+M40</f>
        <v>5085.1896167469249</v>
      </c>
      <c r="K68" s="1131">
        <f>SERVIÇOS_TUBULAÇÕES!BD56</f>
        <v>365.85168331925405</v>
      </c>
      <c r="L68" s="1123" t="s">
        <v>22</v>
      </c>
      <c r="M68" s="1124">
        <f>J68-K68</f>
        <v>4719.3379334276706</v>
      </c>
    </row>
    <row r="69" spans="1:17">
      <c r="B69" s="919"/>
      <c r="C69" s="1003"/>
      <c r="D69" s="1127"/>
      <c r="E69" s="1022"/>
      <c r="F69" s="1022"/>
      <c r="G69" s="780"/>
      <c r="H69" s="780"/>
      <c r="I69" s="780"/>
      <c r="J69" s="780"/>
      <c r="K69" s="780"/>
      <c r="L69" s="780"/>
      <c r="M69" s="1128"/>
      <c r="N69" s="779"/>
    </row>
    <row r="70" spans="1:17" ht="33.75">
      <c r="A70" s="1076" t="s">
        <v>12053</v>
      </c>
      <c r="B70" s="919" t="s">
        <v>70</v>
      </c>
      <c r="C70" s="1003">
        <v>93380</v>
      </c>
      <c r="D70" s="956" t="str">
        <f>PROPER(IF(B70="Saneago",VLOOKUP(C70,'SANEAGO-FEV.2016'!A:B,2,0),IF(B70="Sinapi",VLOOKUP(C70,'SINAPI-FEV.2017'!A:D,2,0),IF(B70="Cotação",VLOOKUP(C70,COTAÇÃO!A:D,2,0),IF(B70="Composição",VLOOKUP(C70,COMPOSIÇÃO!A:D,2,0))))))</f>
        <v>Reaterro Mecanizado De Vala Com Retroescavadeira (Capacidade Da Caçamba Da Retro: 0,26 M³ / Potência: 88 Hp), Largura Até 0,8 M, Profundidade De 1,5 A 3,0 M, Com Solo (Sem Substituição) De 1ª Categoria Em Locais Com Baixo Nível De Interferência. Af_04/2016</v>
      </c>
      <c r="E70" s="1121"/>
      <c r="F70" s="1121"/>
      <c r="G70" s="1123"/>
      <c r="H70" s="1122"/>
      <c r="I70" s="1122"/>
      <c r="J70" s="1130"/>
      <c r="K70" s="1132"/>
      <c r="L70" s="1123" t="s">
        <v>22</v>
      </c>
      <c r="M70" s="1124">
        <f>SERVIÇOS_TUBULAÇÕES!BH56</f>
        <v>228.97686064553886</v>
      </c>
    </row>
    <row r="71" spans="1:17">
      <c r="B71" s="919"/>
      <c r="C71" s="1003"/>
      <c r="D71" s="1127"/>
      <c r="E71" s="1022"/>
      <c r="F71" s="1022"/>
      <c r="G71" s="780"/>
      <c r="H71" s="780"/>
      <c r="I71" s="780"/>
      <c r="J71" s="780"/>
      <c r="K71" s="780"/>
      <c r="L71" s="780"/>
      <c r="M71" s="1128"/>
      <c r="N71" s="779"/>
    </row>
    <row r="72" spans="1:17" ht="33.75">
      <c r="A72" s="1076" t="s">
        <v>12054</v>
      </c>
      <c r="B72" s="919" t="s">
        <v>70</v>
      </c>
      <c r="C72" s="1003">
        <v>93379</v>
      </c>
      <c r="D72" s="956" t="str">
        <f>PROPER(IF(B72="Saneago",VLOOKUP(C72,'SANEAGO-FEV.2016'!A:B,2,0),IF(B72="Sinapi",VLOOKUP(C72,'SINAPI-FEV.2017'!A:D,2,0),IF(B72="Cotação",VLOOKUP(C72,COTAÇÃO!A:D,2,0),IF(B72="Composição",VLOOKUP(C72,COMPOSIÇÃO!A:D,2,0))))))</f>
        <v>Reaterro Mecanizado De Vala Com Retroescavadeira (Capacidade Da Caçamba Da Retro: 0,26 M³ / Potência: 88 Hp), Largura De 0,8 A 1,5 M, Profundidade Até 1,5 M, Com Solo (Sem Substituição) De 1ª Categoria Em Locais Com Baixo Nível De Interferência. Af_04/2016</v>
      </c>
      <c r="E72" s="1121"/>
      <c r="F72" s="1121"/>
      <c r="G72" s="1123"/>
      <c r="H72" s="1122"/>
      <c r="I72" s="1122"/>
      <c r="J72" s="1130"/>
      <c r="K72" s="1132"/>
      <c r="L72" s="1123" t="s">
        <v>22</v>
      </c>
      <c r="M72" s="1124">
        <f>SERVIÇOS_TUBULAÇÕES!BI56</f>
        <v>874.4292792900003</v>
      </c>
    </row>
    <row r="73" spans="1:17">
      <c r="B73" s="919"/>
      <c r="C73" s="1003"/>
      <c r="D73" s="1127"/>
      <c r="E73" s="1022"/>
      <c r="F73" s="1022"/>
      <c r="G73" s="780"/>
      <c r="H73" s="780"/>
      <c r="I73" s="780"/>
      <c r="J73" s="780"/>
      <c r="K73" s="780"/>
      <c r="L73" s="780"/>
      <c r="M73" s="1128"/>
      <c r="N73" s="779"/>
    </row>
    <row r="74" spans="1:17" ht="33.75">
      <c r="A74" s="1076" t="s">
        <v>20420</v>
      </c>
      <c r="B74" s="919" t="s">
        <v>70</v>
      </c>
      <c r="C74" s="1003">
        <v>93381</v>
      </c>
      <c r="D74" s="956" t="str">
        <f>PROPER(IF(B74="Saneago",VLOOKUP(C74,'SANEAGO-FEV.2016'!A:B,2,0),IF(B74="Sinapi",VLOOKUP(C74,'SINAPI-FEV.2017'!A:D,2,0),IF(B74="Cotação",VLOOKUP(C74,COTAÇÃO!A:D,2,0),IF(B74="Composição",VLOOKUP(C74,COMPOSIÇÃO!A:D,2,0))))))</f>
        <v>Reaterro Mecanizado De Vala Com Retroescavadeira (Capacidade Da Caçamba Da Retro: 0,26 M³ / Potência: 88 Hp), Largura De 0,8 A 1,5 M, Profundidade De 1,5 A 3,0 M, Com Solo (Sem Substituição) De 1ª Categoria Em Locais Com Baixo Nível De Interferência. Af_04/2016</v>
      </c>
      <c r="E74" s="1121"/>
      <c r="F74" s="1121"/>
      <c r="G74" s="1123"/>
      <c r="H74" s="1122"/>
      <c r="I74" s="1122"/>
      <c r="J74" s="1130"/>
      <c r="K74" s="1132"/>
      <c r="L74" s="1123" t="s">
        <v>22</v>
      </c>
      <c r="M74" s="1124">
        <f>SERVIÇOS_TUBULAÇÕES!BJ56</f>
        <v>1641.2365111071417</v>
      </c>
    </row>
    <row r="75" spans="1:17">
      <c r="B75" s="919"/>
      <c r="C75" s="1003"/>
      <c r="D75" s="1127"/>
      <c r="E75" s="1022"/>
      <c r="F75" s="1022"/>
      <c r="G75" s="780"/>
      <c r="H75" s="780"/>
      <c r="I75" s="780"/>
      <c r="J75" s="780"/>
      <c r="K75" s="780"/>
      <c r="L75" s="780"/>
      <c r="M75" s="1128"/>
    </row>
    <row r="76" spans="1:17">
      <c r="A76" s="1076" t="s">
        <v>20421</v>
      </c>
      <c r="B76" s="919" t="s">
        <v>70</v>
      </c>
      <c r="C76" s="1003" t="s">
        <v>18237</v>
      </c>
      <c r="D76" s="956" t="str">
        <f>PROPER(IF(B76="Saneago",VLOOKUP(C76,'SANEAGO-FEV.2016'!A:B,2,0),IF(B76="Sinapi",VLOOKUP(C76,'SINAPI-FEV.2017'!A:D,2,0),IF(B76="Cotação",VLOOKUP(C76,COTAÇÃO!A:D,2,0),IF(B76="Composição",VLOOKUP(C76,COMPOSIÇÃO!A:D,2,0))))))</f>
        <v>Reaterro De Vala Com Compactação Manual</v>
      </c>
      <c r="E76" s="1121"/>
      <c r="F76" s="1121"/>
      <c r="G76" s="1123"/>
      <c r="H76" s="1122"/>
      <c r="I76" s="1122"/>
      <c r="J76" s="1130"/>
      <c r="K76" s="1132"/>
      <c r="L76" s="1123" t="s">
        <v>22</v>
      </c>
      <c r="M76" s="1124">
        <f>SERVIÇOS_TUBULAÇÕES!BE56</f>
        <v>1988.5015028109476</v>
      </c>
    </row>
    <row r="77" spans="1:17" ht="13.5" thickBot="1">
      <c r="B77" s="919"/>
      <c r="C77" s="1003"/>
      <c r="D77" s="1119"/>
      <c r="E77" s="1079"/>
      <c r="F77" s="1079"/>
      <c r="G77" s="1120"/>
      <c r="H77" s="1133"/>
      <c r="I77" s="1134"/>
      <c r="J77" s="1134"/>
      <c r="K77" s="1135"/>
      <c r="L77" s="1120"/>
      <c r="M77" s="1136"/>
    </row>
    <row r="78" spans="1:17" s="1107" customFormat="1" ht="14.25" thickTop="1" thickBot="1">
      <c r="A78" s="1137"/>
      <c r="B78" s="919"/>
      <c r="C78" s="1003"/>
      <c r="D78" s="977" t="s">
        <v>20405</v>
      </c>
      <c r="E78" s="978"/>
      <c r="F78" s="978"/>
      <c r="G78" s="978"/>
      <c r="H78" s="978"/>
      <c r="I78" s="978"/>
      <c r="J78" s="978"/>
      <c r="K78" s="978"/>
      <c r="L78" s="979" t="s">
        <v>25</v>
      </c>
      <c r="M78" s="980" t="s">
        <v>27</v>
      </c>
      <c r="N78" s="1104"/>
      <c r="O78" s="1105"/>
      <c r="P78" s="1106"/>
      <c r="Q78" s="1106"/>
    </row>
    <row r="79" spans="1:17" ht="13.5" thickTop="1">
      <c r="B79" s="919"/>
      <c r="C79" s="1003"/>
      <c r="D79" s="1127"/>
      <c r="E79" s="1022"/>
      <c r="F79" s="1022"/>
      <c r="G79" s="780"/>
      <c r="H79" s="780"/>
      <c r="I79" s="780" t="s">
        <v>44</v>
      </c>
      <c r="J79" s="780" t="s">
        <v>45</v>
      </c>
      <c r="K79" s="1098" t="s">
        <v>35</v>
      </c>
      <c r="L79" s="780"/>
      <c r="M79" s="1128"/>
    </row>
    <row r="80" spans="1:17" ht="22.5">
      <c r="A80" s="1076" t="s">
        <v>12046</v>
      </c>
      <c r="B80" s="919" t="s">
        <v>70</v>
      </c>
      <c r="C80" s="1003" t="s">
        <v>18276</v>
      </c>
      <c r="D80" s="956" t="str">
        <f>PROPER(IF(B80="Saneago",VLOOKUP(C80,'SANEAGO-FEV.2016'!A:B,2,0),IF(B80="Sinapi",VLOOKUP(C80,'SINAPI-FEV.2017'!A:D,2,0),IF(B80="Cotação",VLOOKUP(C80,COTAÇÃO!A:D,2,0),IF(B80="Composição",VLOOKUP(C80,COMPOSIÇÃO!A:D,2,0))))))</f>
        <v>Carga E Descarga Mecanica De Solo Utilizando Caminhao Basculante 6,0M3/16T E Pa Carregadeira Sobre Pneus 128 Hp, Capacidade Da Caçamba 1,7 A 2,8 M3, Peso Operacional 11632 Kg</v>
      </c>
      <c r="E80" s="1121"/>
      <c r="F80" s="1121"/>
      <c r="G80" s="1123"/>
      <c r="H80" s="1122"/>
      <c r="I80" s="1130">
        <f>J68</f>
        <v>5085.1896167469249</v>
      </c>
      <c r="J80" s="1130">
        <f>M68</f>
        <v>4719.3379334276706</v>
      </c>
      <c r="K80" s="1129">
        <f>M21</f>
        <v>0.2</v>
      </c>
      <c r="L80" s="1123" t="s">
        <v>22</v>
      </c>
      <c r="M80" s="1124">
        <f>(1+K80)*(I80-J80)</f>
        <v>439.02201998310517</v>
      </c>
    </row>
    <row r="81" spans="1:17">
      <c r="B81" s="919"/>
      <c r="C81" s="1003"/>
      <c r="D81" s="1127"/>
      <c r="E81" s="1022"/>
      <c r="F81" s="1022"/>
      <c r="G81" s="780"/>
      <c r="H81" s="780"/>
      <c r="I81" s="780"/>
      <c r="J81" s="780" t="s">
        <v>85</v>
      </c>
      <c r="K81" s="780" t="s">
        <v>84</v>
      </c>
      <c r="L81" s="780"/>
      <c r="M81" s="1128"/>
    </row>
    <row r="82" spans="1:17" ht="22.5">
      <c r="A82" s="1076" t="s">
        <v>12047</v>
      </c>
      <c r="B82" s="919" t="s">
        <v>70</v>
      </c>
      <c r="C82" s="1003">
        <v>93590</v>
      </c>
      <c r="D82" s="956" t="str">
        <f>PROPER(IF(B82="Saneago",VLOOKUP(C82,'SANEAGO-FEV.2016'!A:B,2,0),IF(B82="Sinapi",VLOOKUP(C82,'SINAPI-FEV.2017'!A:D,2,0),IF(B82="Cotação",VLOOKUP(C82,COTAÇÃO!A:D,2,0),IF(B82="Composição",VLOOKUP(C82,COMPOSIÇÃO!A:D,2,0))))))</f>
        <v>Transporte Com Caminhão Basculante De 10 M3, Em Via Urbana Pavimentada, Dmt Acima De 30Km (Unidade: M3Xkm). Af_04/2016</v>
      </c>
      <c r="E82" s="1121"/>
      <c r="F82" s="1121"/>
      <c r="G82" s="1123"/>
      <c r="H82" s="1122"/>
      <c r="I82" s="1122"/>
      <c r="J82" s="1130">
        <f>M80</f>
        <v>439.02201998310517</v>
      </c>
      <c r="K82" s="1130">
        <f>M13</f>
        <v>7.5</v>
      </c>
      <c r="L82" s="1123" t="s">
        <v>22</v>
      </c>
      <c r="M82" s="1124">
        <f>J82*K82</f>
        <v>3292.6651498732886</v>
      </c>
    </row>
    <row r="83" spans="1:17">
      <c r="B83" s="919"/>
      <c r="C83" s="1003"/>
      <c r="D83" s="1127"/>
      <c r="E83" s="1022"/>
      <c r="F83" s="1022"/>
      <c r="G83" s="780"/>
      <c r="H83" s="780"/>
      <c r="I83" s="780"/>
      <c r="J83" s="780"/>
      <c r="K83" s="1098"/>
      <c r="L83" s="780"/>
      <c r="M83" s="1128"/>
    </row>
    <row r="84" spans="1:17">
      <c r="A84" s="1076" t="s">
        <v>12048</v>
      </c>
      <c r="B84" s="919" t="s">
        <v>70</v>
      </c>
      <c r="C84" s="1003">
        <v>83344</v>
      </c>
      <c r="D84" s="956" t="str">
        <f>PROPER(IF(B84="Saneago",VLOOKUP(C84,'SANEAGO-FEV.2016'!A:B,2,0),IF(B84="Sinapi",VLOOKUP(C84,'SINAPI-FEV.2017'!A:D,2,0),IF(B84="Cotação",VLOOKUP(C84,COTAÇÃO!A:D,2,0),IF(B84="Composição",VLOOKUP(C84,COMPOSIÇÃO!A:D,2,0))))))</f>
        <v>Espalhamento De Material Em Bota Fora, Com Utilizacao De Trator De Esteiras De 165 Hp</v>
      </c>
      <c r="E84" s="1121"/>
      <c r="F84" s="1121"/>
      <c r="G84" s="1123"/>
      <c r="H84" s="1122"/>
      <c r="I84" s="1130"/>
      <c r="J84" s="1130"/>
      <c r="K84" s="1129"/>
      <c r="L84" s="1123" t="s">
        <v>22</v>
      </c>
      <c r="M84" s="1124">
        <f>M80</f>
        <v>439.02201998310517</v>
      </c>
    </row>
    <row r="85" spans="1:17" ht="13.5" thickBot="1">
      <c r="B85" s="919"/>
      <c r="C85" s="1003"/>
      <c r="D85" s="1119"/>
      <c r="E85" s="1079"/>
      <c r="F85" s="1079"/>
      <c r="G85" s="1120"/>
      <c r="H85" s="1133"/>
      <c r="I85" s="1134"/>
      <c r="J85" s="1134"/>
      <c r="K85" s="1135"/>
      <c r="L85" s="1120"/>
      <c r="M85" s="1136"/>
    </row>
    <row r="86" spans="1:17" s="1107" customFormat="1" ht="14.25" thickTop="1" thickBot="1">
      <c r="A86" s="1137"/>
      <c r="B86" s="1137"/>
      <c r="C86" s="1138"/>
      <c r="D86" s="977" t="s">
        <v>11643</v>
      </c>
      <c r="E86" s="978"/>
      <c r="F86" s="978"/>
      <c r="G86" s="978"/>
      <c r="H86" s="978"/>
      <c r="I86" s="978"/>
      <c r="J86" s="978"/>
      <c r="K86" s="978"/>
      <c r="L86" s="979" t="s">
        <v>25</v>
      </c>
      <c r="M86" s="980" t="s">
        <v>27</v>
      </c>
      <c r="N86" s="1104"/>
      <c r="O86" s="1105"/>
      <c r="P86" s="1106"/>
      <c r="Q86" s="1106"/>
    </row>
    <row r="87" spans="1:17" ht="13.5" thickTop="1">
      <c r="B87" s="919"/>
      <c r="C87" s="1003"/>
      <c r="D87" s="1119"/>
      <c r="E87" s="1079"/>
      <c r="F87" s="1079"/>
      <c r="G87" s="1120" t="s">
        <v>30</v>
      </c>
      <c r="H87" s="1120" t="s">
        <v>30</v>
      </c>
      <c r="I87" s="1120" t="s">
        <v>30</v>
      </c>
      <c r="J87" s="1120" t="s">
        <v>30</v>
      </c>
      <c r="K87" s="1120" t="s">
        <v>30</v>
      </c>
      <c r="L87" s="1120" t="s">
        <v>30</v>
      </c>
      <c r="M87" s="1120" t="s">
        <v>30</v>
      </c>
    </row>
    <row r="88" spans="1:17" ht="22.5">
      <c r="A88" s="1076" t="s">
        <v>20406</v>
      </c>
      <c r="B88" s="919" t="s">
        <v>70</v>
      </c>
      <c r="C88" s="1003">
        <v>94043</v>
      </c>
      <c r="D88" s="956" t="str">
        <f>PROPER(IF(B88="Saneago",VLOOKUP(C88,'SANEAGO-FEV.2016'!A:B,2,0),IF(B88="Sinapi",VLOOKUP(C88,'SINAPI-FEV.2017'!A:D,2,0),IF(B88="Cotação",VLOOKUP(C88,COTAÇÃO!A:D,2,0),IF(B88="Composição",VLOOKUP(C88,COMPOSIÇÃO!A:D,2,0))))))</f>
        <v>Escoramento De Vala, Tipo Pontaleteamento, Com Profundidade De 0 A 1,5 M, Largura Menor Que 1,5 M, Em Local Com Nível Baixo De Interferência. Af_06/2016</v>
      </c>
      <c r="E88" s="1121"/>
      <c r="F88" s="1121"/>
      <c r="G88" s="1122"/>
      <c r="H88" s="1122"/>
      <c r="I88" s="1122"/>
      <c r="J88" s="1122"/>
      <c r="K88" s="1122"/>
      <c r="L88" s="1123" t="s">
        <v>22</v>
      </c>
      <c r="M88" s="1124">
        <f>SERVIÇOS_TUBULAÇÕES!BM56</f>
        <v>540.45732499999997</v>
      </c>
    </row>
    <row r="89" spans="1:17">
      <c r="B89" s="919"/>
      <c r="C89" s="1003"/>
      <c r="D89" s="1119"/>
      <c r="E89" s="1079"/>
      <c r="F89" s="1079"/>
      <c r="G89" s="1120" t="s">
        <v>30</v>
      </c>
      <c r="H89" s="1120" t="s">
        <v>30</v>
      </c>
      <c r="I89" s="1120" t="s">
        <v>30</v>
      </c>
      <c r="J89" s="1120" t="s">
        <v>30</v>
      </c>
      <c r="K89" s="1120" t="s">
        <v>30</v>
      </c>
      <c r="L89" s="1120" t="s">
        <v>30</v>
      </c>
      <c r="M89" s="1120" t="s">
        <v>30</v>
      </c>
    </row>
    <row r="90" spans="1:17" ht="22.5">
      <c r="A90" s="1076" t="s">
        <v>20407</v>
      </c>
      <c r="B90" s="919" t="s">
        <v>70</v>
      </c>
      <c r="C90" s="1003">
        <v>94045</v>
      </c>
      <c r="D90" s="956" t="str">
        <f>PROPER(IF(B90="Saneago",VLOOKUP(C90,'SANEAGO-FEV.2016'!A:B,2,0),IF(B90="Sinapi",VLOOKUP(C90,'SINAPI-FEV.2017'!A:D,2,0),IF(B90="Cotação",VLOOKUP(C90,COTAÇÃO!A:D,2,0),IF(B90="Composição",VLOOKUP(C90,COMPOSIÇÃO!A:D,2,0))))))</f>
        <v>Escoramento De Vala, Tipo Pontaleteamento, Com Profundidade De 1,5 A 3,0 M, Largura Menor Que 1,5 M, Em Local Com Nível Baixo De Interferência. Af_06/2016</v>
      </c>
      <c r="E90" s="1121"/>
      <c r="F90" s="1121"/>
      <c r="G90" s="1122"/>
      <c r="H90" s="1122"/>
      <c r="I90" s="1122"/>
      <c r="J90" s="1122"/>
      <c r="K90" s="1122"/>
      <c r="L90" s="1123" t="s">
        <v>22</v>
      </c>
      <c r="M90" s="1124">
        <f>SERVIÇOS_TUBULAÇÕES!BN56</f>
        <v>3258.9895099999999</v>
      </c>
    </row>
    <row r="91" spans="1:17">
      <c r="B91" s="919"/>
      <c r="C91" s="1003"/>
      <c r="D91" s="1119"/>
      <c r="E91" s="1079"/>
      <c r="F91" s="1079"/>
      <c r="G91" s="1120" t="s">
        <v>30</v>
      </c>
      <c r="H91" s="1120" t="s">
        <v>30</v>
      </c>
      <c r="I91" s="1120" t="s">
        <v>30</v>
      </c>
      <c r="J91" s="1120" t="s">
        <v>30</v>
      </c>
      <c r="K91" s="1120" t="s">
        <v>30</v>
      </c>
      <c r="L91" s="1120" t="s">
        <v>30</v>
      </c>
      <c r="M91" s="1120" t="s">
        <v>30</v>
      </c>
    </row>
    <row r="92" spans="1:17">
      <c r="A92" s="1076" t="s">
        <v>12680</v>
      </c>
      <c r="B92" s="919" t="s">
        <v>70</v>
      </c>
      <c r="C92" s="1003" t="s">
        <v>16023</v>
      </c>
      <c r="D92" s="956" t="str">
        <f>PROPER(IF(B92="Saneago",VLOOKUP(C92,'SANEAGO-FEV.2016'!A:B,2,0),IF(B92="Sinapi",VLOOKUP(C92,'SINAPI-FEV.2017'!A:D,2,0),IF(B92="Cotação",VLOOKUP(C92,COTAÇÃO!A:D,2,0),IF(B92="Composição",VLOOKUP(C92,COMPOSIÇÃO!A:D,2,0))))))</f>
        <v>Escoramento De Valas Com Pranchoes Metalicos - Area Nao Cravada</v>
      </c>
      <c r="E92" s="1121"/>
      <c r="F92" s="1121"/>
      <c r="G92" s="1122"/>
      <c r="H92" s="1122"/>
      <c r="I92" s="1122"/>
      <c r="J92" s="1122"/>
      <c r="K92" s="1122"/>
      <c r="L92" s="1123" t="s">
        <v>22</v>
      </c>
      <c r="M92" s="1124">
        <f>SERVIÇOS_TUBULAÇÕES!BQ56</f>
        <v>117.50866499999999</v>
      </c>
    </row>
    <row r="93" spans="1:17" ht="13.5" thickBot="1">
      <c r="D93" s="1119"/>
      <c r="E93" s="1079"/>
      <c r="F93" s="1079"/>
      <c r="G93" s="1133"/>
      <c r="H93" s="1133"/>
      <c r="I93" s="1133"/>
      <c r="J93" s="1133"/>
      <c r="K93" s="1133"/>
      <c r="L93" s="1120"/>
      <c r="M93" s="1136"/>
    </row>
    <row r="94" spans="1:17" s="777" customFormat="1" ht="14.25" thickTop="1" thickBot="1">
      <c r="A94" s="1087"/>
      <c r="B94" s="850"/>
      <c r="C94" s="850"/>
      <c r="D94" s="830" t="s">
        <v>46</v>
      </c>
      <c r="E94" s="831"/>
      <c r="F94" s="831"/>
      <c r="G94" s="831"/>
      <c r="H94" s="831"/>
      <c r="I94" s="831"/>
      <c r="J94" s="831"/>
      <c r="K94" s="831"/>
      <c r="L94" s="832" t="s">
        <v>25</v>
      </c>
      <c r="M94" s="833" t="s">
        <v>27</v>
      </c>
      <c r="N94" s="804"/>
      <c r="O94" s="1091"/>
      <c r="P94" s="805"/>
      <c r="Q94" s="805"/>
    </row>
    <row r="95" spans="1:17" s="777" customFormat="1" ht="13.5" thickTop="1">
      <c r="A95" s="1087"/>
      <c r="B95" s="850"/>
      <c r="C95" s="850"/>
      <c r="D95" s="1119"/>
      <c r="E95" s="1079"/>
      <c r="F95" s="1079"/>
      <c r="G95" s="1133"/>
      <c r="H95" s="780"/>
      <c r="I95" s="1133"/>
      <c r="J95" s="1133" t="s">
        <v>31</v>
      </c>
      <c r="K95" s="1133" t="s">
        <v>81</v>
      </c>
      <c r="L95" s="1133"/>
      <c r="M95" s="1139"/>
      <c r="N95" s="804"/>
      <c r="O95" s="1091"/>
      <c r="P95" s="805"/>
      <c r="Q95" s="805"/>
    </row>
    <row r="96" spans="1:17" s="777" customFormat="1" ht="33.75">
      <c r="A96" s="1076" t="s">
        <v>12057</v>
      </c>
      <c r="B96" s="919" t="s">
        <v>70</v>
      </c>
      <c r="C96" s="969">
        <v>92842</v>
      </c>
      <c r="D96" s="956" t="str">
        <f>PROPER(IF(B96="Saneago",VLOOKUP(C96,'SANEAGO-FEV.2016'!A:B,2,0),IF(B96="Sinapi",VLOOKUP(C96,'SINAPI-FEV.2017'!A:D,2,0),IF(B96="Cotação",VLOOKUP(C96,COTAÇÃO!A:D,2,0),IF(B96="Composição",VLOOKUP(C96,COMPOSIÇÃO!A:D,2,0))))))</f>
        <v>Assentamento De Tubo De Concreto Para Redes Coletoras De Esgoto Sanitário, Diâmetro De 700 Mm, Junta Elástica, Instalado Em Local Com Baixo Nível De Interferências (Não Inclui Fornecimento). Af_12/2015</v>
      </c>
      <c r="E96" s="1121"/>
      <c r="F96" s="1121"/>
      <c r="G96" s="1122"/>
      <c r="H96" s="1122"/>
      <c r="I96" s="1122"/>
      <c r="J96" s="1123">
        <v>700</v>
      </c>
      <c r="K96" s="1123" t="s">
        <v>11699</v>
      </c>
      <c r="L96" s="1122" t="s">
        <v>18</v>
      </c>
      <c r="M96" s="1140">
        <f>SUMIFS(SERVIÇOS_TUBULAÇÕES!I:I,SERVIÇOS_TUBULAÇÕES!H:H,J96,SERVIÇOS_TUBULAÇÕES!G:G,K96)</f>
        <v>134.47</v>
      </c>
      <c r="N96" s="804"/>
      <c r="O96" s="1091"/>
      <c r="P96" s="805"/>
      <c r="Q96" s="805"/>
    </row>
    <row r="97" spans="1:17" s="777" customFormat="1">
      <c r="A97" s="1076"/>
      <c r="B97" s="919"/>
      <c r="C97" s="969"/>
      <c r="D97" s="1119"/>
      <c r="E97" s="1079"/>
      <c r="F97" s="1079"/>
      <c r="G97" s="1133"/>
      <c r="H97" s="780"/>
      <c r="I97" s="1133"/>
      <c r="J97" s="1133" t="s">
        <v>31</v>
      </c>
      <c r="K97" s="1133" t="s">
        <v>81</v>
      </c>
      <c r="L97" s="1133"/>
      <c r="M97" s="1139"/>
      <c r="N97" s="804"/>
      <c r="O97" s="1091"/>
      <c r="P97" s="805"/>
      <c r="Q97" s="805"/>
    </row>
    <row r="98" spans="1:17" s="777" customFormat="1">
      <c r="A98" s="1076" t="s">
        <v>20408</v>
      </c>
      <c r="B98" s="919" t="s">
        <v>70</v>
      </c>
      <c r="C98" s="969" t="s">
        <v>21005</v>
      </c>
      <c r="D98" s="956" t="str">
        <f>PROPER(IF(B98="Saneago",VLOOKUP(C98,'SANEAGO-FEV.2016'!A:B,2,0),IF(B98="Sinapi",VLOOKUP(C98,'SINAPI-FEV.2017'!A:D,2,0),IF(B98="Cotação",VLOOKUP(C98,COTAÇÃO!A:D,2,0),IF(B98="Composição",VLOOKUP(C98,COMPOSIÇÃO!A:D,2,0))))))</f>
        <v>Transporte De Tubos De Concreto Armado Dn 700</v>
      </c>
      <c r="E98" s="1121"/>
      <c r="F98" s="1121"/>
      <c r="G98" s="1122"/>
      <c r="H98" s="1122"/>
      <c r="I98" s="1122"/>
      <c r="J98" s="1123">
        <v>700</v>
      </c>
      <c r="K98" s="1123" t="s">
        <v>11699</v>
      </c>
      <c r="L98" s="1122" t="s">
        <v>18</v>
      </c>
      <c r="M98" s="1140">
        <f>M96</f>
        <v>134.47</v>
      </c>
      <c r="N98" s="804"/>
      <c r="O98" s="1091"/>
      <c r="P98" s="805"/>
      <c r="Q98" s="805"/>
    </row>
    <row r="99" spans="1:17" s="777" customFormat="1">
      <c r="A99" s="1087"/>
      <c r="B99" s="850"/>
      <c r="C99" s="850"/>
      <c r="D99" s="1119"/>
      <c r="E99" s="1079"/>
      <c r="F99" s="1079"/>
      <c r="G99" s="1133"/>
      <c r="H99" s="780"/>
      <c r="I99" s="1133"/>
      <c r="J99" s="1133" t="s">
        <v>31</v>
      </c>
      <c r="K99" s="1133" t="s">
        <v>81</v>
      </c>
      <c r="L99" s="1133"/>
      <c r="M99" s="1139"/>
      <c r="N99" s="804"/>
      <c r="O99" s="1091"/>
      <c r="P99" s="805"/>
      <c r="Q99" s="805"/>
    </row>
    <row r="100" spans="1:17" s="777" customFormat="1" ht="22.5">
      <c r="A100" s="1076" t="s">
        <v>12058</v>
      </c>
      <c r="B100" s="969" t="s">
        <v>70</v>
      </c>
      <c r="C100" s="969" t="s">
        <v>14687</v>
      </c>
      <c r="D100" s="956" t="str">
        <f>PROPER(IF(B100="Saneago",VLOOKUP(C100,'SANEAGO-FEV.2016'!A:B,2,0),IF(B100="Sinapi",VLOOKUP(C100,'SINAPI-FEV.2017'!A:D,2,0),IF(B100="Cotação",VLOOKUP(C100,COTAÇÃO!A:D,2,0),IF(B100="Composição",VLOOKUP(C100,COMPOSIÇÃO!A:D,2,0))))))</f>
        <v>Assentamento Simples De Tubos De Ferro Fundido (Fofo) C/ Junta Elastica - Dn 400 Mm - Inclusive Transporte</v>
      </c>
      <c r="E100" s="1121"/>
      <c r="F100" s="1121"/>
      <c r="G100" s="1122"/>
      <c r="H100" s="1122"/>
      <c r="I100" s="1122"/>
      <c r="J100" s="1123">
        <v>400</v>
      </c>
      <c r="K100" s="1122" t="s">
        <v>11990</v>
      </c>
      <c r="L100" s="1122" t="s">
        <v>18</v>
      </c>
      <c r="M100" s="1140">
        <f>SUMIFS(SERVIÇOS_TUBULAÇÕES!I:I,SERVIÇOS_TUBULAÇÕES!H:H,J100,SERVIÇOS_TUBULAÇÕES!G:G,K100)</f>
        <v>41</v>
      </c>
      <c r="N100" s="804"/>
      <c r="O100" s="1091"/>
      <c r="P100" s="805"/>
      <c r="Q100" s="805"/>
    </row>
    <row r="101" spans="1:17" s="777" customFormat="1">
      <c r="A101" s="1087"/>
      <c r="B101" s="850"/>
      <c r="C101" s="850"/>
      <c r="D101" s="1119"/>
      <c r="E101" s="1079"/>
      <c r="F101" s="1079"/>
      <c r="G101" s="1133"/>
      <c r="H101" s="780"/>
      <c r="I101" s="1133"/>
      <c r="J101" s="1133" t="s">
        <v>31</v>
      </c>
      <c r="K101" s="1133" t="s">
        <v>81</v>
      </c>
      <c r="L101" s="1133"/>
      <c r="M101" s="1139"/>
      <c r="N101" s="804"/>
      <c r="O101" s="1091"/>
      <c r="P101" s="805"/>
      <c r="Q101" s="805"/>
    </row>
    <row r="102" spans="1:17" s="777" customFormat="1" ht="22.5">
      <c r="A102" s="1076" t="s">
        <v>12059</v>
      </c>
      <c r="B102" s="969" t="s">
        <v>70</v>
      </c>
      <c r="C102" s="969" t="s">
        <v>14693</v>
      </c>
      <c r="D102" s="956" t="str">
        <f>PROPER(IF(B102="Saneago",VLOOKUP(C102,'SANEAGO-FEV.2016'!A:B,2,0),IF(B102="Sinapi",VLOOKUP(C102,'SINAPI-FEV.2017'!A:D,2,0),IF(B102="Cotação",VLOOKUP(C102,COTAÇÃO!A:D,2,0),IF(B102="Composição",VLOOKUP(C102,COMPOSIÇÃO!A:D,2,0))))))</f>
        <v>Assentamento Simples De Tubos De Ferro Fundido (Fofo) C/ Junta Elastica - Dn 600 Mm - Inclusive Transporte</v>
      </c>
      <c r="E102" s="1121"/>
      <c r="F102" s="1121"/>
      <c r="G102" s="1122"/>
      <c r="H102" s="1122"/>
      <c r="I102" s="1122"/>
      <c r="J102" s="1123">
        <v>600</v>
      </c>
      <c r="K102" s="1122" t="s">
        <v>11990</v>
      </c>
      <c r="L102" s="1122" t="s">
        <v>18</v>
      </c>
      <c r="M102" s="1140">
        <f>SUMIFS(SERVIÇOS_TUBULAÇÕES!I:I,SERVIÇOS_TUBULAÇÕES!H:H,J102,SERVIÇOS_TUBULAÇÕES!G:G,K102)</f>
        <v>47</v>
      </c>
      <c r="N102" s="804"/>
      <c r="O102" s="1091"/>
      <c r="P102" s="805"/>
      <c r="Q102" s="805"/>
    </row>
    <row r="103" spans="1:17" s="777" customFormat="1">
      <c r="A103" s="1087"/>
      <c r="B103" s="850"/>
      <c r="C103" s="850"/>
      <c r="D103" s="1119"/>
      <c r="E103" s="1079"/>
      <c r="F103" s="1079"/>
      <c r="G103" s="1133"/>
      <c r="H103" s="780"/>
      <c r="I103" s="1133"/>
      <c r="J103" s="1133" t="s">
        <v>31</v>
      </c>
      <c r="K103" s="1133" t="s">
        <v>81</v>
      </c>
      <c r="L103" s="1133"/>
      <c r="M103" s="1139"/>
      <c r="N103" s="804"/>
      <c r="O103" s="1091"/>
      <c r="P103" s="805"/>
      <c r="Q103" s="805"/>
    </row>
    <row r="104" spans="1:17" s="777" customFormat="1" ht="33.75">
      <c r="A104" s="1076" t="s">
        <v>12060</v>
      </c>
      <c r="B104" s="969" t="s">
        <v>70</v>
      </c>
      <c r="C104" s="969">
        <v>90733</v>
      </c>
      <c r="D104" s="956" t="str">
        <f>PROPER(IF(B104="Saneago",VLOOKUP(C104,'SANEAGO-FEV.2016'!A:B,2,0),IF(B104="Sinapi",VLOOKUP(C104,'SINAPI-FEV.2017'!A:D,2,0),IF(B104="Cotação",VLOOKUP(C104,COTAÇÃO!A:D,2,0),IF(B104="Composição",VLOOKUP(C104,COMPOSIÇÃO!A:D,2,0))))))</f>
        <v>Assentamento De Tubo De Pvc Para Rede Coletora De Esgoto De Parede Maciça, Dn 100 Mm, Junta Elástica, Instalado Em Local Com Nível Baixo De Interferências (Não Inclui Fornecimento). Af_06/2015</v>
      </c>
      <c r="E104" s="1121"/>
      <c r="F104" s="1121"/>
      <c r="G104" s="1122"/>
      <c r="H104" s="1122"/>
      <c r="I104" s="1122"/>
      <c r="J104" s="1123">
        <v>100</v>
      </c>
      <c r="K104" s="1122" t="s">
        <v>11999</v>
      </c>
      <c r="L104" s="1122" t="s">
        <v>18</v>
      </c>
      <c r="M104" s="1140">
        <f>SUMIFS(SERVIÇOS_TUBULAÇÕES!I:I,SERVIÇOS_TUBULAÇÕES!H:H,J104,SERVIÇOS_TUBULAÇÕES!G:G,K104)</f>
        <v>1218</v>
      </c>
      <c r="N104" s="804"/>
      <c r="O104" s="1091"/>
      <c r="P104" s="805"/>
      <c r="Q104" s="805"/>
    </row>
    <row r="105" spans="1:17" s="777" customFormat="1">
      <c r="A105" s="1087"/>
      <c r="B105" s="850"/>
      <c r="C105" s="850"/>
      <c r="D105" s="1119"/>
      <c r="E105" s="1079"/>
      <c r="F105" s="1079"/>
      <c r="G105" s="1133"/>
      <c r="H105" s="780"/>
      <c r="I105" s="1133"/>
      <c r="J105" s="1133" t="s">
        <v>31</v>
      </c>
      <c r="K105" s="1133" t="s">
        <v>81</v>
      </c>
      <c r="L105" s="1133"/>
      <c r="M105" s="1139"/>
      <c r="N105" s="804"/>
      <c r="O105" s="1091"/>
      <c r="P105" s="805"/>
      <c r="Q105" s="805"/>
    </row>
    <row r="106" spans="1:17" s="777" customFormat="1" ht="33.75">
      <c r="A106" s="1076" t="s">
        <v>12049</v>
      </c>
      <c r="B106" s="969" t="s">
        <v>70</v>
      </c>
      <c r="C106" s="969">
        <v>90734</v>
      </c>
      <c r="D106" s="956" t="str">
        <f>PROPER(IF(B106="Saneago",VLOOKUP(C106,'SANEAGO-FEV.2016'!A:B,2,0),IF(B106="Sinapi",VLOOKUP(C106,'SINAPI-FEV.2017'!A:D,2,0),IF(B106="Cotação",VLOOKUP(C106,COTAÇÃO!A:D,2,0),IF(B106="Composição",VLOOKUP(C106,COMPOSIÇÃO!A:D,2,0))))))</f>
        <v>Assentamento De Tubo De Pvc Para Rede Coletora De Esgoto De Parede Maciça, Dn 150 Mm, Junta Elástica, Instalado Em Local Com Nível Baixo De Interferências (Não Inclui Fornecimento). Af_06/2015</v>
      </c>
      <c r="E106" s="1121"/>
      <c r="F106" s="1121"/>
      <c r="G106" s="1122"/>
      <c r="H106" s="1122"/>
      <c r="I106" s="1122"/>
      <c r="J106" s="1123">
        <v>150</v>
      </c>
      <c r="K106" s="1122" t="s">
        <v>11999</v>
      </c>
      <c r="L106" s="1122" t="s">
        <v>18</v>
      </c>
      <c r="M106" s="1140">
        <f>SUMIFS(SERVIÇOS_TUBULAÇÕES!I:I,SERVIÇOS_TUBULAÇÕES!H:H,J106,SERVIÇOS_TUBULAÇÕES!G:G,K106)</f>
        <v>47</v>
      </c>
      <c r="N106" s="804"/>
      <c r="O106" s="1091"/>
      <c r="P106" s="805"/>
      <c r="Q106" s="805"/>
    </row>
    <row r="107" spans="1:17" s="777" customFormat="1">
      <c r="A107" s="1087"/>
      <c r="B107" s="969"/>
      <c r="C107" s="969"/>
      <c r="D107" s="1119"/>
      <c r="E107" s="1079"/>
      <c r="F107" s="1079"/>
      <c r="G107" s="1133"/>
      <c r="H107" s="780"/>
      <c r="I107" s="1133"/>
      <c r="J107" s="1133" t="s">
        <v>31</v>
      </c>
      <c r="K107" s="1133" t="s">
        <v>81</v>
      </c>
      <c r="L107" s="1133"/>
      <c r="M107" s="1139"/>
      <c r="N107" s="804"/>
      <c r="O107" s="1091"/>
      <c r="P107" s="805"/>
      <c r="Q107" s="805"/>
    </row>
    <row r="108" spans="1:17" s="777" customFormat="1" ht="33.75">
      <c r="A108" s="1076" t="s">
        <v>20409</v>
      </c>
      <c r="B108" s="969" t="s">
        <v>70</v>
      </c>
      <c r="C108" s="969">
        <v>91108</v>
      </c>
      <c r="D108" s="956" t="str">
        <f>PROPER(IF(B108="Saneago",VLOOKUP(C108,'SANEAGO-FEV.2016'!A:B,2,0),IF(B108="Sinapi",VLOOKUP(C108,'SINAPI-FEV.2017'!A:D,2,0),IF(B108="Cotação",VLOOKUP(C108,COTAÇÃO!A:D,2,0),IF(B108="Composição",VLOOKUP(C108,COMPOSIÇÃO!A:D,2,0))))))</f>
        <v>Transporte Horizontal, Tubos De Pvc Série Normal - Esgoto Predial, Ou Reforçado Para Esgoto Ou Águas Pluviais Predial, Com Diâmetro Maior Que 100 Mm E Menor Ou Igual A 150 Mm, Manual, 30M. Af_06/2015</v>
      </c>
      <c r="E108" s="1121"/>
      <c r="F108" s="1121"/>
      <c r="G108" s="1122"/>
      <c r="H108" s="1122"/>
      <c r="I108" s="1122"/>
      <c r="J108" s="1123">
        <v>150</v>
      </c>
      <c r="K108" s="1122" t="s">
        <v>11999</v>
      </c>
      <c r="L108" s="1122" t="s">
        <v>18</v>
      </c>
      <c r="M108" s="1140">
        <f>M106+M104</f>
        <v>1265</v>
      </c>
      <c r="N108" s="804"/>
      <c r="O108" s="1091"/>
      <c r="P108" s="805"/>
      <c r="Q108" s="805"/>
    </row>
    <row r="109" spans="1:17" s="777" customFormat="1">
      <c r="A109" s="1087"/>
      <c r="B109" s="969"/>
      <c r="C109" s="969"/>
      <c r="D109" s="1119"/>
      <c r="E109" s="1079"/>
      <c r="F109" s="1079"/>
      <c r="G109" s="1133"/>
      <c r="H109" s="780"/>
      <c r="I109" s="1133"/>
      <c r="J109" s="1133" t="s">
        <v>31</v>
      </c>
      <c r="K109" s="1133" t="s">
        <v>81</v>
      </c>
      <c r="L109" s="1133"/>
      <c r="M109" s="1139"/>
      <c r="N109" s="804"/>
      <c r="O109" s="1091"/>
      <c r="P109" s="805"/>
      <c r="Q109" s="805"/>
    </row>
    <row r="110" spans="1:17" s="777" customFormat="1" ht="38.25" customHeight="1">
      <c r="A110" s="1076" t="s">
        <v>12061</v>
      </c>
      <c r="B110" s="969" t="s">
        <v>70</v>
      </c>
      <c r="C110" s="969">
        <v>90735</v>
      </c>
      <c r="D110" s="956" t="str">
        <f>PROPER(IF(B110="Saneago",VLOOKUP(C110,'SANEAGO-FEV.2016'!A:B,2,0),IF(B110="Sinapi",VLOOKUP(C110,'SINAPI-FEV.2017'!A:D,2,0),IF(B110="Cotação",VLOOKUP(C110,COTAÇÃO!A:D,2,0),IF(B110="Composição",VLOOKUP(C110,COMPOSIÇÃO!A:D,2,0))))))</f>
        <v>Assentamento De Tubo De Pvc Para Rede Coletora De Esgoto De Parede Maciça, Dn 200 Mm, Junta Elástica, Instalado Em Local Com Nível Baixo De Interferências (Não Inclui Fornecimento). Af_06/2015</v>
      </c>
      <c r="E110" s="1121"/>
      <c r="F110" s="1121"/>
      <c r="G110" s="1122"/>
      <c r="H110" s="1122"/>
      <c r="I110" s="1122"/>
      <c r="J110" s="1123">
        <v>200</v>
      </c>
      <c r="K110" s="1122" t="s">
        <v>11999</v>
      </c>
      <c r="L110" s="1122" t="s">
        <v>18</v>
      </c>
      <c r="M110" s="1140">
        <f>SUMIFS(SERVIÇOS_TUBULAÇÕES!I:I,SERVIÇOS_TUBULAÇÕES!H:H,J110,SERVIÇOS_TUBULAÇÕES!G:G,K110)</f>
        <v>224.8</v>
      </c>
      <c r="N110" s="804"/>
      <c r="O110" s="1091"/>
      <c r="P110" s="805"/>
      <c r="Q110" s="805"/>
    </row>
    <row r="111" spans="1:17" s="777" customFormat="1">
      <c r="A111" s="1087"/>
      <c r="B111" s="969"/>
      <c r="C111" s="969"/>
      <c r="D111" s="1119"/>
      <c r="E111" s="1079"/>
      <c r="F111" s="1079"/>
      <c r="G111" s="1133"/>
      <c r="H111" s="780"/>
      <c r="I111" s="1133"/>
      <c r="J111" s="1133" t="s">
        <v>31</v>
      </c>
      <c r="K111" s="1133" t="s">
        <v>81</v>
      </c>
      <c r="L111" s="1133"/>
      <c r="M111" s="1139"/>
      <c r="N111" s="804"/>
      <c r="O111" s="1091"/>
      <c r="P111" s="805"/>
      <c r="Q111" s="805"/>
    </row>
    <row r="112" spans="1:17" s="777" customFormat="1">
      <c r="A112" s="1076" t="s">
        <v>20410</v>
      </c>
      <c r="B112" s="969" t="s">
        <v>70</v>
      </c>
      <c r="C112" s="969">
        <v>73590</v>
      </c>
      <c r="D112" s="956" t="str">
        <f>PROPER(IF(B112="Saneago",VLOOKUP(C112,'SANEAGO-FEV.2016'!A:B,2,0),IF(B112="Sinapi",VLOOKUP(C112,'SINAPI-FEV.2017'!A:D,2,0),IF(B112="Cotação",VLOOKUP(C112,COTAÇÃO!A:D,2,0),IF(B112="Composição",VLOOKUP(C112,COMPOSIÇÃO!A:D,2,0))))))</f>
        <v>Transporte De Tubos De Pvc Dn 200</v>
      </c>
      <c r="E112" s="1121"/>
      <c r="F112" s="1121"/>
      <c r="G112" s="1122"/>
      <c r="H112" s="1122"/>
      <c r="I112" s="1122"/>
      <c r="J112" s="1123">
        <v>200</v>
      </c>
      <c r="K112" s="1122" t="s">
        <v>11999</v>
      </c>
      <c r="L112" s="1122" t="s">
        <v>18</v>
      </c>
      <c r="M112" s="1140">
        <f>M110</f>
        <v>224.8</v>
      </c>
      <c r="N112" s="804"/>
      <c r="O112" s="1091"/>
      <c r="P112" s="805"/>
      <c r="Q112" s="805"/>
    </row>
    <row r="113" spans="1:17" s="777" customFormat="1">
      <c r="A113" s="1087"/>
      <c r="B113" s="969"/>
      <c r="C113" s="969"/>
      <c r="D113" s="1119"/>
      <c r="E113" s="1079"/>
      <c r="F113" s="1079"/>
      <c r="G113" s="1133"/>
      <c r="H113" s="780"/>
      <c r="I113" s="1133"/>
      <c r="J113" s="1133" t="s">
        <v>31</v>
      </c>
      <c r="K113" s="1133" t="s">
        <v>81</v>
      </c>
      <c r="L113" s="1133"/>
      <c r="M113" s="1139"/>
      <c r="N113" s="804"/>
      <c r="O113" s="1091"/>
      <c r="P113" s="805"/>
      <c r="Q113" s="805"/>
    </row>
    <row r="114" spans="1:17" s="777" customFormat="1" ht="22.5">
      <c r="A114" s="1076" t="s">
        <v>12062</v>
      </c>
      <c r="B114" s="969" t="s">
        <v>70</v>
      </c>
      <c r="C114" s="1141" t="s">
        <v>14714</v>
      </c>
      <c r="D114" s="956" t="str">
        <f>PROPER(IF(B114="Saneago",VLOOKUP(C114,'SANEAGO-FEV.2016'!A:B,2,0),IF(B114="Sinapi",VLOOKUP(C114,'SINAPI-FEV.2017'!A:D,2,0),IF(B114="Cotação",VLOOKUP(C114,COTAÇÃO!A:D,2,0),IF(B114="Composição",VLOOKUP(C114,COMPOSIÇÃO!A:D,2,0))))))</f>
        <v>Assentamento Tubo Pvc Com Junta Elastica, Dn 600 Mm - (Ou Rpvc, Ou Pvc Defofo, Ou Prfv) - Para Agua.</v>
      </c>
      <c r="E114" s="1121"/>
      <c r="F114" s="1121"/>
      <c r="G114" s="1122"/>
      <c r="H114" s="1122"/>
      <c r="I114" s="1122"/>
      <c r="J114" s="1123">
        <v>600</v>
      </c>
      <c r="K114" s="1122" t="s">
        <v>12009</v>
      </c>
      <c r="L114" s="1122" t="s">
        <v>18</v>
      </c>
      <c r="M114" s="1140">
        <f>SUMIFS(SERVIÇOS_TUBULAÇÕES!I:I,SERVIÇOS_TUBULAÇÕES!H:H,J114,SERVIÇOS_TUBULAÇÕES!G:G,K114)</f>
        <v>280</v>
      </c>
      <c r="N114" s="804"/>
      <c r="O114" s="1091"/>
      <c r="P114" s="805"/>
      <c r="Q114" s="805"/>
    </row>
    <row r="115" spans="1:17" s="777" customFormat="1">
      <c r="A115" s="1087"/>
      <c r="B115" s="969"/>
      <c r="C115" s="969"/>
      <c r="D115" s="1119"/>
      <c r="E115" s="1079"/>
      <c r="F115" s="1079"/>
      <c r="G115" s="1133"/>
      <c r="H115" s="780"/>
      <c r="I115" s="1133"/>
      <c r="J115" s="1133" t="s">
        <v>31</v>
      </c>
      <c r="K115" s="1133" t="s">
        <v>81</v>
      </c>
      <c r="L115" s="1133"/>
      <c r="M115" s="1139"/>
      <c r="N115" s="804"/>
      <c r="O115" s="1091"/>
      <c r="P115" s="805"/>
      <c r="Q115" s="805"/>
    </row>
    <row r="116" spans="1:17" s="777" customFormat="1" ht="15">
      <c r="A116" s="1076" t="s">
        <v>20413</v>
      </c>
      <c r="B116" s="969" t="s">
        <v>70</v>
      </c>
      <c r="C116" s="1141">
        <v>73507</v>
      </c>
      <c r="D116" s="956" t="str">
        <f>PROPER(IF(B116="Saneago",VLOOKUP(C116,'SANEAGO-FEV.2016'!A:B,2,0),IF(B116="Sinapi",VLOOKUP(C116,'SINAPI-FEV.2017'!A:D,2,0),IF(B116="Cotação",VLOOKUP(C116,COTAÇÃO!A:D,2,0),IF(B116="Composição",VLOOKUP(C116,COMPOSIÇÃO!A:D,2,0))))))</f>
        <v>Transporte De Tubos De Pvc Dn 600</v>
      </c>
      <c r="E116" s="1121"/>
      <c r="F116" s="1121"/>
      <c r="G116" s="1122"/>
      <c r="H116" s="1122"/>
      <c r="I116" s="1122"/>
      <c r="J116" s="1123">
        <v>600</v>
      </c>
      <c r="K116" s="1122" t="s">
        <v>12009</v>
      </c>
      <c r="L116" s="1122" t="s">
        <v>18</v>
      </c>
      <c r="M116" s="1140">
        <f>M114</f>
        <v>280</v>
      </c>
      <c r="N116" s="804"/>
      <c r="O116" s="1091"/>
      <c r="P116" s="805"/>
      <c r="Q116" s="805"/>
    </row>
    <row r="117" spans="1:17" s="777" customFormat="1">
      <c r="A117" s="1087"/>
      <c r="B117" s="850"/>
      <c r="C117" s="850"/>
      <c r="D117" s="1119"/>
      <c r="E117" s="1079"/>
      <c r="F117" s="1079"/>
      <c r="G117" s="1133"/>
      <c r="H117" s="780"/>
      <c r="I117" s="1133"/>
      <c r="J117" s="1133" t="s">
        <v>31</v>
      </c>
      <c r="K117" s="1133" t="s">
        <v>81</v>
      </c>
      <c r="L117" s="1133"/>
      <c r="M117" s="1139"/>
      <c r="N117" s="804"/>
      <c r="O117" s="1091"/>
      <c r="P117" s="805"/>
      <c r="Q117" s="805"/>
    </row>
    <row r="118" spans="1:17" s="777" customFormat="1" ht="22.5">
      <c r="A118" s="1076" t="s">
        <v>12063</v>
      </c>
      <c r="B118" s="969" t="s">
        <v>13957</v>
      </c>
      <c r="C118" s="969" t="s">
        <v>20411</v>
      </c>
      <c r="D118" s="956" t="str">
        <f>PROPER(IF(B118="Saneago",VLOOKUP(C118,'SANEAGO-FEV.2016'!A:B,2,0),IF(B118="Sinapi",VLOOKUP(C118,'SINAPI-FEV.2017'!A:D,2,0),IF(B118="Cotação",VLOOKUP(C118,COTAÇÃO!A:D,2,0),IF(B118="Composição",VLOOKUP(C118,COMPOSIÇÃO!A:D,2,0))))))</f>
        <v xml:space="preserve"> Assentamento Tubo Pvc Com Junta Elastica, Dn 150 Mm - (Ou Rpvc, Ou Pvc Defofo, Ou Prfv) - Para Agua</v>
      </c>
      <c r="E118" s="1121"/>
      <c r="F118" s="1121"/>
      <c r="G118" s="1122"/>
      <c r="H118" s="1122"/>
      <c r="I118" s="1122"/>
      <c r="J118" s="1123">
        <v>150</v>
      </c>
      <c r="K118" s="1122" t="s">
        <v>12009</v>
      </c>
      <c r="L118" s="1122" t="s">
        <v>18</v>
      </c>
      <c r="M118" s="1140">
        <f>SUMIFS(SERVIÇOS_TUBULAÇÕES!I:I,SERVIÇOS_TUBULAÇÕES!H:H,J118,SERVIÇOS_TUBULAÇÕES!G:G,K118)</f>
        <v>572</v>
      </c>
      <c r="N118" s="804"/>
      <c r="O118" s="1091"/>
      <c r="P118" s="805"/>
      <c r="Q118" s="805"/>
    </row>
    <row r="119" spans="1:17" s="777" customFormat="1">
      <c r="A119" s="1087"/>
      <c r="B119" s="850"/>
      <c r="C119" s="850"/>
      <c r="D119" s="1119"/>
      <c r="E119" s="1079"/>
      <c r="F119" s="1079"/>
      <c r="G119" s="1133"/>
      <c r="H119" s="780"/>
      <c r="I119" s="1133"/>
      <c r="J119" s="1133" t="s">
        <v>31</v>
      </c>
      <c r="K119" s="1133" t="s">
        <v>81</v>
      </c>
      <c r="L119" s="1133"/>
      <c r="M119" s="1139"/>
      <c r="N119" s="804"/>
      <c r="O119" s="1091"/>
      <c r="P119" s="805"/>
      <c r="Q119" s="805"/>
    </row>
    <row r="120" spans="1:17" s="777" customFormat="1">
      <c r="A120" s="1076" t="s">
        <v>20416</v>
      </c>
      <c r="B120" s="969" t="s">
        <v>13957</v>
      </c>
      <c r="C120" s="969" t="s">
        <v>20417</v>
      </c>
      <c r="D120" s="956" t="str">
        <f>PROPER(IF(B120="Saneago",VLOOKUP(C120,'SANEAGO-FEV.2016'!A:B,2,0),IF(B120="Sinapi",VLOOKUP(C120,'SINAPI-FEV.2017'!A:D,2,0),IF(B120="Cotação",VLOOKUP(C120,COTAÇÃO!A:D,2,0),IF(B120="Composição",VLOOKUP(C120,COMPOSIÇÃO!A:D,2,0))))))</f>
        <v>Transporte De Tubos De Pvc Dn 150</v>
      </c>
      <c r="E120" s="1121"/>
      <c r="F120" s="1121"/>
      <c r="G120" s="1122"/>
      <c r="H120" s="1122"/>
      <c r="I120" s="1122"/>
      <c r="J120" s="1123">
        <v>150</v>
      </c>
      <c r="K120" s="1122" t="s">
        <v>12009</v>
      </c>
      <c r="L120" s="1122" t="s">
        <v>18</v>
      </c>
      <c r="M120" s="1140">
        <f>M118</f>
        <v>572</v>
      </c>
      <c r="N120" s="804"/>
      <c r="O120" s="1091"/>
      <c r="P120" s="805"/>
      <c r="Q120" s="805"/>
    </row>
    <row r="121" spans="1:17" s="777" customFormat="1">
      <c r="A121" s="1087"/>
      <c r="B121" s="850"/>
      <c r="C121" s="850"/>
      <c r="D121" s="1119"/>
      <c r="E121" s="1079"/>
      <c r="F121" s="1079"/>
      <c r="G121" s="1133"/>
      <c r="H121" s="780"/>
      <c r="I121" s="1133"/>
      <c r="J121" s="1133" t="s">
        <v>31</v>
      </c>
      <c r="K121" s="1133" t="s">
        <v>81</v>
      </c>
      <c r="L121" s="1133"/>
      <c r="M121" s="1139"/>
      <c r="N121" s="804"/>
      <c r="O121" s="1091"/>
      <c r="P121" s="805"/>
      <c r="Q121" s="805"/>
    </row>
    <row r="122" spans="1:17" s="777" customFormat="1" ht="22.5">
      <c r="A122" s="1076" t="s">
        <v>12064</v>
      </c>
      <c r="B122" s="969" t="s">
        <v>70</v>
      </c>
      <c r="C122" s="1142" t="s">
        <v>14715</v>
      </c>
      <c r="D122" s="956" t="str">
        <f>PROPER(IF(B122="Saneago",VLOOKUP(C122,'SANEAGO-FEV.2016'!A:B,2,0),IF(B122="Sinapi",VLOOKUP(C122,'SINAPI-FEV.2017'!A:D,2,0),IF(B122="Cotação",VLOOKUP(C122,COTAÇÃO!A:D,2,0),IF(B122="Composição",VLOOKUP(C122,COMPOSIÇÃO!A:D,2,0))))))</f>
        <v>Assentamento Tubo Pvc Com Junta Elastica, Dn 700 Mm - (Ou Rpvc, Ou Pvc Defofo, Ou Prfv) - Para Agua.</v>
      </c>
      <c r="E122" s="1121"/>
      <c r="F122" s="1121"/>
      <c r="G122" s="1122"/>
      <c r="H122" s="1122"/>
      <c r="I122" s="1122"/>
      <c r="J122" s="1123">
        <v>700</v>
      </c>
      <c r="K122" s="1122" t="s">
        <v>12009</v>
      </c>
      <c r="L122" s="1122" t="s">
        <v>18</v>
      </c>
      <c r="M122" s="1140">
        <f>SUMIFS(SERVIÇOS_TUBULAÇÕES!I:I,SERVIÇOS_TUBULAÇÕES!H:H,J122,SERVIÇOS_TUBULAÇÕES!G:G,K122)</f>
        <v>317.7</v>
      </c>
      <c r="N122" s="804"/>
      <c r="O122" s="1091"/>
      <c r="P122" s="805"/>
      <c r="Q122" s="805"/>
    </row>
    <row r="123" spans="1:17" s="777" customFormat="1">
      <c r="A123" s="1087"/>
      <c r="B123" s="850"/>
      <c r="C123" s="850"/>
      <c r="D123" s="1119"/>
      <c r="E123" s="1079"/>
      <c r="F123" s="1079"/>
      <c r="G123" s="1133"/>
      <c r="H123" s="780"/>
      <c r="I123" s="1133"/>
      <c r="J123" s="1133" t="s">
        <v>31</v>
      </c>
      <c r="K123" s="1133" t="s">
        <v>81</v>
      </c>
      <c r="L123" s="1133"/>
      <c r="M123" s="1139"/>
      <c r="N123" s="804"/>
      <c r="O123" s="1091"/>
      <c r="P123" s="805"/>
      <c r="Q123" s="805"/>
    </row>
    <row r="124" spans="1:17" s="777" customFormat="1" ht="15">
      <c r="A124" s="1076" t="s">
        <v>20414</v>
      </c>
      <c r="B124" s="969" t="s">
        <v>70</v>
      </c>
      <c r="C124" s="1142">
        <v>73506</v>
      </c>
      <c r="D124" s="956" t="str">
        <f>PROPER(IF(B124="Saneago",VLOOKUP(C124,'SANEAGO-FEV.2016'!A:B,2,0),IF(B124="Sinapi",VLOOKUP(C124,'SINAPI-FEV.2017'!A:D,2,0),IF(B124="Cotação",VLOOKUP(C124,COTAÇÃO!A:D,2,0),IF(B124="Composição",VLOOKUP(C124,COMPOSIÇÃO!A:D,2,0))))))</f>
        <v>Transporte De Tubos De Pvc Dn 700</v>
      </c>
      <c r="E124" s="1121"/>
      <c r="F124" s="1121"/>
      <c r="G124" s="1122"/>
      <c r="H124" s="1122"/>
      <c r="I124" s="1122"/>
      <c r="J124" s="1123">
        <v>700</v>
      </c>
      <c r="K124" s="1122" t="s">
        <v>12009</v>
      </c>
      <c r="L124" s="1122" t="s">
        <v>18</v>
      </c>
      <c r="M124" s="1140">
        <f>M122</f>
        <v>317.7</v>
      </c>
      <c r="N124" s="804"/>
      <c r="O124" s="1091"/>
      <c r="P124" s="805"/>
      <c r="Q124" s="805"/>
    </row>
    <row r="125" spans="1:17" s="777" customFormat="1">
      <c r="A125" s="1087"/>
      <c r="B125" s="850"/>
      <c r="C125" s="850"/>
      <c r="D125" s="1119"/>
      <c r="E125" s="1079"/>
      <c r="F125" s="1079"/>
      <c r="G125" s="1133"/>
      <c r="H125" s="780"/>
      <c r="I125" s="1133"/>
      <c r="J125" s="1133" t="s">
        <v>31</v>
      </c>
      <c r="K125" s="1133" t="s">
        <v>81</v>
      </c>
      <c r="L125" s="1133"/>
      <c r="M125" s="1139"/>
      <c r="N125" s="804"/>
      <c r="O125" s="1091"/>
      <c r="P125" s="805"/>
      <c r="Q125" s="805"/>
    </row>
    <row r="126" spans="1:17" s="777" customFormat="1" ht="22.5">
      <c r="A126" s="1076" t="s">
        <v>12065</v>
      </c>
      <c r="B126" s="969" t="s">
        <v>70</v>
      </c>
      <c r="C126" s="1142" t="s">
        <v>14713</v>
      </c>
      <c r="D126" s="956" t="str">
        <f>PROPER(IF(B126="Saneago",VLOOKUP(C126,'SANEAGO-FEV.2016'!A:B,2,0),IF(B126="Sinapi",VLOOKUP(C126,'SINAPI-FEV.2017'!A:D,2,0),IF(B126="Cotação",VLOOKUP(C126,COTAÇÃO!A:D,2,0),IF(B126="Composição",VLOOKUP(C126,COMPOSIÇÃO!A:D,2,0))))))</f>
        <v>Assentamento Tubo Pvc Com Junta Elastica, Dn 500 Mm - (Ou Rpvc, Ou Pvc Defofo, Ou Prfv) - Para Agua.</v>
      </c>
      <c r="E126" s="1121"/>
      <c r="F126" s="1121"/>
      <c r="G126" s="1122"/>
      <c r="H126" s="1122"/>
      <c r="I126" s="1122"/>
      <c r="J126" s="1123">
        <v>500</v>
      </c>
      <c r="K126" s="1122" t="s">
        <v>12026</v>
      </c>
      <c r="L126" s="1122" t="s">
        <v>18</v>
      </c>
      <c r="M126" s="1140">
        <f>SUMIFS(SERVIÇOS_TUBULAÇÕES!I:I,SERVIÇOS_TUBULAÇÕES!H:H,J126,SERVIÇOS_TUBULAÇÕES!G:G,K126)</f>
        <v>336.40000000000003</v>
      </c>
      <c r="N126" s="804"/>
      <c r="O126" s="1091"/>
      <c r="P126" s="805" t="s">
        <v>18</v>
      </c>
      <c r="Q126" s="805">
        <v>155</v>
      </c>
    </row>
    <row r="127" spans="1:17" s="777" customFormat="1">
      <c r="A127" s="1087"/>
      <c r="B127" s="850"/>
      <c r="C127" s="850"/>
      <c r="D127" s="1119"/>
      <c r="E127" s="1079"/>
      <c r="F127" s="1079"/>
      <c r="G127" s="1133"/>
      <c r="H127" s="780"/>
      <c r="I127" s="1133"/>
      <c r="J127" s="1133" t="s">
        <v>31</v>
      </c>
      <c r="K127" s="1133" t="s">
        <v>81</v>
      </c>
      <c r="L127" s="1133"/>
      <c r="M127" s="1139"/>
      <c r="N127" s="804"/>
      <c r="O127" s="1091"/>
      <c r="P127" s="805"/>
      <c r="Q127" s="805"/>
    </row>
    <row r="128" spans="1:17" s="777" customFormat="1" ht="15">
      <c r="A128" s="1076" t="s">
        <v>20415</v>
      </c>
      <c r="B128" s="969" t="s">
        <v>70</v>
      </c>
      <c r="C128" s="1142">
        <v>73508</v>
      </c>
      <c r="D128" s="956" t="str">
        <f>PROPER(IF(B128="Saneago",VLOOKUP(C128,'SANEAGO-FEV.2016'!A:B,2,0),IF(B128="Sinapi",VLOOKUP(C128,'SINAPI-FEV.2017'!A:D,2,0),IF(B128="Cotação",VLOOKUP(C128,COTAÇÃO!A:D,2,0),IF(B128="Composição",VLOOKUP(C128,COMPOSIÇÃO!A:D,2,0))))))</f>
        <v>Transporte De Tubos De Pvc Dn 500</v>
      </c>
      <c r="E128" s="1121"/>
      <c r="F128" s="1121"/>
      <c r="G128" s="1122"/>
      <c r="H128" s="1122"/>
      <c r="I128" s="1122"/>
      <c r="J128" s="1123">
        <v>500</v>
      </c>
      <c r="K128" s="1122" t="s">
        <v>12026</v>
      </c>
      <c r="L128" s="1122" t="s">
        <v>18</v>
      </c>
      <c r="M128" s="1140">
        <f>M126</f>
        <v>336.40000000000003</v>
      </c>
      <c r="N128" s="804"/>
      <c r="O128" s="1091"/>
      <c r="P128" s="805" t="s">
        <v>18</v>
      </c>
      <c r="Q128" s="805">
        <v>155</v>
      </c>
    </row>
    <row r="129" spans="1:17" s="777" customFormat="1">
      <c r="A129" s="1087"/>
      <c r="B129" s="850"/>
      <c r="C129" s="850"/>
      <c r="D129" s="1119"/>
      <c r="E129" s="1079"/>
      <c r="F129" s="1079"/>
      <c r="G129" s="1133"/>
      <c r="H129" s="780"/>
      <c r="I129" s="1133"/>
      <c r="J129" s="1133" t="s">
        <v>31</v>
      </c>
      <c r="K129" s="1133" t="s">
        <v>81</v>
      </c>
      <c r="L129" s="1133"/>
      <c r="M129" s="1139"/>
      <c r="N129" s="804"/>
      <c r="O129" s="1091"/>
      <c r="P129" s="805"/>
      <c r="Q129" s="805"/>
    </row>
    <row r="130" spans="1:17" s="777" customFormat="1" ht="22.5">
      <c r="A130" s="1076" t="s">
        <v>12366</v>
      </c>
      <c r="B130" s="969" t="s">
        <v>70</v>
      </c>
      <c r="C130" s="969" t="s">
        <v>14673</v>
      </c>
      <c r="D130" s="956" t="str">
        <f>PROPER(IF(B130="Saneago",VLOOKUP(C130,'SANEAGO-FEV.2016'!A:B,2,0),IF(B130="Sinapi",VLOOKUP(C130,'SINAPI-FEV.2017'!A:D,2,0),IF(B130="Cotação",VLOOKUP(C130,COTAÇÃO!A:D,2,0),IF(B130="Composição",VLOOKUP(C130,COMPOSIÇÃO!A:D,2,0))))))</f>
        <v>Assentamento Simples De Tubos De Ferro Fundido (Fofo) C/ Junta Elastica -  Dn 75 Mm - Inclusive Transporte</v>
      </c>
      <c r="E130" s="1121"/>
      <c r="F130" s="1121"/>
      <c r="G130" s="1122"/>
      <c r="H130" s="1122"/>
      <c r="I130" s="1122"/>
      <c r="J130" s="1123" t="s">
        <v>12367</v>
      </c>
      <c r="K130" s="1122" t="s">
        <v>12363</v>
      </c>
      <c r="L130" s="1122" t="s">
        <v>18</v>
      </c>
      <c r="M130" s="1140">
        <f>SUM(SERVIÇOS_TUBULAÇÕES!I30:I32)</f>
        <v>155</v>
      </c>
      <c r="N130" s="804" t="s">
        <v>12367</v>
      </c>
      <c r="O130" s="1091" t="s">
        <v>12363</v>
      </c>
      <c r="P130" s="805"/>
      <c r="Q130" s="805"/>
    </row>
    <row r="131" spans="1:17" s="777" customFormat="1">
      <c r="A131" s="1087"/>
      <c r="B131" s="850"/>
      <c r="C131" s="850"/>
      <c r="D131" s="1119"/>
      <c r="E131" s="1079"/>
      <c r="F131" s="1079"/>
      <c r="G131" s="1133"/>
      <c r="H131" s="780"/>
      <c r="I131" s="1133"/>
      <c r="J131" s="1133" t="s">
        <v>31</v>
      </c>
      <c r="K131" s="1133" t="s">
        <v>81</v>
      </c>
      <c r="L131" s="1133"/>
      <c r="M131" s="1139"/>
      <c r="N131" s="804"/>
      <c r="O131" s="1091"/>
      <c r="P131" s="805"/>
      <c r="Q131" s="805"/>
    </row>
    <row r="132" spans="1:17" s="777" customFormat="1">
      <c r="A132" s="1076" t="s">
        <v>20419</v>
      </c>
      <c r="B132" s="969" t="s">
        <v>70</v>
      </c>
      <c r="C132" s="969">
        <v>73598</v>
      </c>
      <c r="D132" s="956" t="str">
        <f>PROPER(IF(B132="Saneago",VLOOKUP(C132,'SANEAGO-FEV.2016'!A:B,2,0),IF(B132="Sinapi",VLOOKUP(C132,'SINAPI-FEV.2017'!A:D,2,0),IF(B132="Cotação",VLOOKUP(C132,COTAÇÃO!A:D,2,0),IF(B132="Composição",VLOOKUP(C132,COMPOSIÇÃO!A:D,2,0))))))</f>
        <v>Transporte De Tubos De Ferro Dutil Dn 75</v>
      </c>
      <c r="E132" s="1121"/>
      <c r="F132" s="1121"/>
      <c r="G132" s="1122"/>
      <c r="H132" s="1122"/>
      <c r="I132" s="1122"/>
      <c r="J132" s="1123" t="s">
        <v>12367</v>
      </c>
      <c r="K132" s="1122" t="s">
        <v>12363</v>
      </c>
      <c r="L132" s="1122" t="s">
        <v>18</v>
      </c>
      <c r="M132" s="1140">
        <f>M130</f>
        <v>155</v>
      </c>
      <c r="N132" s="804" t="s">
        <v>12367</v>
      </c>
      <c r="O132" s="1091" t="s">
        <v>12363</v>
      </c>
      <c r="P132" s="805"/>
      <c r="Q132" s="805"/>
    </row>
    <row r="133" spans="1:17" ht="13.5" thickBot="1">
      <c r="D133" s="1095"/>
      <c r="E133" s="780"/>
      <c r="F133" s="1096"/>
      <c r="G133" s="780"/>
      <c r="H133" s="780"/>
      <c r="I133" s="780"/>
      <c r="J133" s="1097"/>
      <c r="K133" s="1098"/>
      <c r="L133" s="834"/>
      <c r="M133" s="1099"/>
    </row>
    <row r="134" spans="1:17" s="777" customFormat="1" ht="14.25" thickTop="1" thickBot="1">
      <c r="A134" s="1087"/>
      <c r="B134" s="1143"/>
      <c r="C134" s="1143"/>
      <c r="D134" s="830" t="s">
        <v>11698</v>
      </c>
      <c r="E134" s="831"/>
      <c r="F134" s="831"/>
      <c r="G134" s="831"/>
      <c r="H134" s="831"/>
      <c r="I134" s="831"/>
      <c r="J134" s="831"/>
      <c r="K134" s="831"/>
      <c r="L134" s="832" t="s">
        <v>25</v>
      </c>
      <c r="M134" s="833" t="s">
        <v>27</v>
      </c>
      <c r="N134" s="804"/>
      <c r="O134" s="1091"/>
      <c r="P134" s="805"/>
      <c r="Q134" s="805"/>
    </row>
    <row r="135" spans="1:17" s="777" customFormat="1" ht="13.5" thickTop="1">
      <c r="A135" s="1087"/>
      <c r="B135" s="850"/>
      <c r="C135" s="850"/>
      <c r="D135" s="1119"/>
      <c r="E135" s="1079"/>
      <c r="F135" s="1079"/>
      <c r="G135" s="1133"/>
      <c r="H135" s="780"/>
      <c r="I135" s="1133"/>
      <c r="J135" s="1133"/>
      <c r="K135" s="1133"/>
      <c r="L135" s="1133"/>
      <c r="M135" s="1139"/>
      <c r="N135" s="804"/>
      <c r="O135" s="1091"/>
      <c r="P135" s="805"/>
      <c r="Q135" s="805"/>
    </row>
    <row r="136" spans="1:17" s="777" customFormat="1" ht="22.5">
      <c r="A136" s="1076" t="s">
        <v>12066</v>
      </c>
      <c r="B136" s="969" t="s">
        <v>1</v>
      </c>
      <c r="C136" s="969">
        <v>1611</v>
      </c>
      <c r="D136" s="956" t="str">
        <f>PROPER(IF(B136="Saneago",VLOOKUP(C136,'SANEAGO-FEV.2016'!A:B,2,0),IF(B136="Sinapi",VLOOKUP(C136,'SINAPI-FEV.2017'!A:D,2,0),IF(B136="Cotação",VLOOKUP(C136,COTAÇÃO!A:D,2,0),IF(B136="Composição",VLOOKUP(C136,COMPOSIÇÃO!A:D,2,0))))))</f>
        <v>Poço De Visita  Em Anéis De Concreto Diâmetros 60 Cm (Chaminé) E 90 Cm (Balão), Incluindo Anel Tampão De Concreto, Profundidade = 1,0 M</v>
      </c>
      <c r="E136" s="1121"/>
      <c r="F136" s="1121"/>
      <c r="G136" s="1122"/>
      <c r="H136" s="1122"/>
      <c r="I136" s="1122"/>
      <c r="J136" s="1123"/>
      <c r="K136" s="1122"/>
      <c r="L136" s="1122" t="s">
        <v>10853</v>
      </c>
      <c r="M136" s="1140">
        <v>3</v>
      </c>
      <c r="N136" s="804"/>
      <c r="O136" s="1091"/>
      <c r="P136" s="805"/>
      <c r="Q136" s="805"/>
    </row>
    <row r="137" spans="1:17" s="777" customFormat="1">
      <c r="A137" s="1087"/>
      <c r="B137" s="850"/>
      <c r="C137" s="850"/>
      <c r="D137" s="1119"/>
      <c r="E137" s="1079"/>
      <c r="F137" s="1079"/>
      <c r="G137" s="1133"/>
      <c r="H137" s="780"/>
      <c r="I137" s="1133"/>
      <c r="J137" s="1133"/>
      <c r="K137" s="1133"/>
      <c r="L137" s="1133"/>
      <c r="M137" s="1139"/>
      <c r="N137" s="804"/>
      <c r="O137" s="1091"/>
      <c r="P137" s="805"/>
      <c r="Q137" s="805"/>
    </row>
    <row r="138" spans="1:17" s="777" customFormat="1" ht="22.5">
      <c r="A138" s="1076" t="s">
        <v>12067</v>
      </c>
      <c r="B138" s="969" t="s">
        <v>1</v>
      </c>
      <c r="C138" s="969">
        <v>1737</v>
      </c>
      <c r="D138" s="956" t="str">
        <f>PROPER(IF(B138="Saneago",VLOOKUP(C138,'SANEAGO-FEV.2016'!A:B,2,0),IF(B138="Sinapi",VLOOKUP(C138,'SINAPI-FEV.2017'!A:D,2,0),IF(B138="Cotação",VLOOKUP(C138,COTAÇÃO!A:D,2,0),IF(B138="Composição",VLOOKUP(C138,COMPOSIÇÃO!A:D,2,0))))))</f>
        <v>Poço De Visita  Em Anéis De Concreto Diâmetros 60 Cm (Chaminé) E 90 Cm (Balão), Incluindo Anel Tampão De Concreto, Profundidade = 1,5 M</v>
      </c>
      <c r="E138" s="1121"/>
      <c r="F138" s="1121"/>
      <c r="G138" s="1122"/>
      <c r="H138" s="1122"/>
      <c r="I138" s="1122"/>
      <c r="J138" s="1123"/>
      <c r="K138" s="1122"/>
      <c r="L138" s="1122" t="s">
        <v>10853</v>
      </c>
      <c r="M138" s="1140">
        <v>3</v>
      </c>
      <c r="N138" s="804"/>
      <c r="O138" s="1091"/>
      <c r="P138" s="805"/>
      <c r="Q138" s="805"/>
    </row>
    <row r="139" spans="1:17" s="777" customFormat="1">
      <c r="A139" s="1087"/>
      <c r="B139" s="850"/>
      <c r="C139" s="850"/>
      <c r="D139" s="1119"/>
      <c r="E139" s="1079"/>
      <c r="F139" s="1079"/>
      <c r="G139" s="1133"/>
      <c r="H139" s="780"/>
      <c r="I139" s="1133"/>
      <c r="J139" s="1133"/>
      <c r="K139" s="1133"/>
      <c r="L139" s="1133"/>
      <c r="M139" s="1139"/>
      <c r="N139" s="804"/>
      <c r="O139" s="1091"/>
      <c r="P139" s="805"/>
      <c r="Q139" s="805"/>
    </row>
    <row r="140" spans="1:17" s="777" customFormat="1" ht="22.5">
      <c r="A140" s="1076" t="s">
        <v>12050</v>
      </c>
      <c r="B140" s="969" t="s">
        <v>1</v>
      </c>
      <c r="C140" s="969">
        <v>1612</v>
      </c>
      <c r="D140" s="956" t="str">
        <f>PROPER(IF(B140="Saneago",VLOOKUP(C140,'SANEAGO-FEV.2016'!A:B,2,0),IF(B140="Sinapi",VLOOKUP(C140,'SINAPI-FEV.2017'!A:D,2,0),IF(B140="Cotação",VLOOKUP(C140,COTAÇÃO!A:D,2,0),IF(B140="Composição",VLOOKUP(C140,COMPOSIÇÃO!A:D,2,0))))))</f>
        <v>Poço De Visita  Em Anéis De Concreto Diâmetros 60 Cm (Chaminé) E 90 Cm (Balão), Incluindo Anel Tampão De Concreto, Profundidade = 2,0 M</v>
      </c>
      <c r="E140" s="1121"/>
      <c r="F140" s="1121"/>
      <c r="G140" s="1122"/>
      <c r="H140" s="1122"/>
      <c r="I140" s="1122"/>
      <c r="J140" s="1123"/>
      <c r="K140" s="1122"/>
      <c r="L140" s="1122" t="s">
        <v>10853</v>
      </c>
      <c r="M140" s="1140">
        <v>4</v>
      </c>
      <c r="N140" s="804"/>
      <c r="O140" s="1091"/>
      <c r="P140" s="805"/>
      <c r="Q140" s="805"/>
    </row>
    <row r="141" spans="1:17" s="777" customFormat="1">
      <c r="A141" s="1087"/>
      <c r="B141" s="850"/>
      <c r="C141" s="850"/>
      <c r="D141" s="1119"/>
      <c r="E141" s="1079"/>
      <c r="F141" s="1079"/>
      <c r="G141" s="1133"/>
      <c r="H141" s="780"/>
      <c r="I141" s="1133"/>
      <c r="J141" s="1133"/>
      <c r="K141" s="1133"/>
      <c r="L141" s="1133"/>
      <c r="M141" s="1139"/>
      <c r="N141" s="804"/>
      <c r="O141" s="1091"/>
      <c r="P141" s="805"/>
      <c r="Q141" s="805"/>
    </row>
    <row r="142" spans="1:17" s="777" customFormat="1" ht="22.5">
      <c r="A142" s="1076" t="s">
        <v>12052</v>
      </c>
      <c r="B142" s="969" t="s">
        <v>1</v>
      </c>
      <c r="C142" s="969">
        <v>1613</v>
      </c>
      <c r="D142" s="956" t="str">
        <f>PROPER(IF(B142="Saneago",VLOOKUP(C142,'SANEAGO-FEV.2016'!A:B,2,0),IF(B142="Sinapi",VLOOKUP(C142,'SINAPI-FEV.2017'!A:D,2,0),IF(B142="Cotação",VLOOKUP(C142,COTAÇÃO!A:D,2,0),IF(B142="Composição",VLOOKUP(C142,COMPOSIÇÃO!A:D,2,0))))))</f>
        <v>Poço De Visita  Em Anéis De Concreto Diâmetros 60 Cm (Chaminé) E 90 Cm (Balão), Incluindo Anel Tampão De Concreto, Profundidade = 2,5 M</v>
      </c>
      <c r="E142" s="1121"/>
      <c r="F142" s="1121"/>
      <c r="G142" s="1122"/>
      <c r="H142" s="1122"/>
      <c r="I142" s="1122"/>
      <c r="J142" s="1123"/>
      <c r="K142" s="1122"/>
      <c r="L142" s="1122" t="s">
        <v>10853</v>
      </c>
      <c r="M142" s="1140">
        <v>1</v>
      </c>
      <c r="N142" s="804"/>
      <c r="O142" s="1091"/>
      <c r="P142" s="805"/>
      <c r="Q142" s="805"/>
    </row>
    <row r="143" spans="1:17" s="777" customFormat="1">
      <c r="A143" s="1087"/>
      <c r="B143" s="850"/>
      <c r="C143" s="850"/>
      <c r="D143" s="1119"/>
      <c r="E143" s="1079"/>
      <c r="F143" s="1079"/>
      <c r="G143" s="1133"/>
      <c r="H143" s="780"/>
      <c r="I143" s="1133"/>
      <c r="J143" s="1133"/>
      <c r="K143" s="1133"/>
      <c r="L143" s="1133"/>
      <c r="M143" s="1139"/>
      <c r="N143" s="804"/>
      <c r="O143" s="1091"/>
      <c r="P143" s="805"/>
      <c r="Q143" s="805"/>
    </row>
    <row r="144" spans="1:17" s="777" customFormat="1" ht="22.5">
      <c r="A144" s="1076" t="s">
        <v>12051</v>
      </c>
      <c r="B144" s="969" t="s">
        <v>1</v>
      </c>
      <c r="C144" s="969">
        <v>1614</v>
      </c>
      <c r="D144" s="956" t="str">
        <f>PROPER(IF(B144="Saneago",VLOOKUP(C144,'SANEAGO-FEV.2016'!A:B,2,0),IF(B144="Sinapi",VLOOKUP(C144,'SINAPI-FEV.2017'!A:D,2,0),IF(B144="Cotação",VLOOKUP(C144,COTAÇÃO!A:D,2,0),IF(B144="Composição",VLOOKUP(C144,COMPOSIÇÃO!A:D,2,0))))))</f>
        <v>Poço De Visita  Em Anéis De Concreto Diâmetros 60 Cm (Chaminé) E 90 Cm (Balão), Incluindo Anel Tampão De Concreto, Profundidade = 3,0 M</v>
      </c>
      <c r="E144" s="1121"/>
      <c r="F144" s="1121"/>
      <c r="G144" s="1122"/>
      <c r="H144" s="1122"/>
      <c r="I144" s="1122"/>
      <c r="J144" s="1123"/>
      <c r="K144" s="1122"/>
      <c r="L144" s="1122" t="s">
        <v>10853</v>
      </c>
      <c r="M144" s="1140">
        <v>1</v>
      </c>
      <c r="N144" s="804"/>
      <c r="O144" s="1091"/>
      <c r="P144" s="805"/>
      <c r="Q144" s="805"/>
    </row>
    <row r="145" spans="1:17" s="777" customFormat="1">
      <c r="A145" s="1087"/>
      <c r="B145" s="850"/>
      <c r="C145" s="850"/>
      <c r="D145" s="1119"/>
      <c r="E145" s="1079"/>
      <c r="F145" s="1079"/>
      <c r="G145" s="1133"/>
      <c r="H145" s="780"/>
      <c r="I145" s="1133"/>
      <c r="J145" s="1133"/>
      <c r="K145" s="1133"/>
      <c r="L145" s="1133"/>
      <c r="M145" s="1139"/>
      <c r="N145" s="804"/>
      <c r="O145" s="1091"/>
      <c r="P145" s="805"/>
      <c r="Q145" s="805"/>
    </row>
    <row r="146" spans="1:17" s="777" customFormat="1" ht="22.5">
      <c r="A146" s="1076" t="s">
        <v>12068</v>
      </c>
      <c r="B146" s="969" t="s">
        <v>1</v>
      </c>
      <c r="C146" s="969">
        <v>1615</v>
      </c>
      <c r="D146" s="956" t="str">
        <f>PROPER(IF(B146="Saneago",VLOOKUP(C146,'SANEAGO-FEV.2016'!A:B,2,0),IF(B146="Sinapi",VLOOKUP(C146,'SINAPI-FEV.2017'!A:D,2,0),IF(B146="Cotação",VLOOKUP(C146,COTAÇÃO!A:D,2,0),IF(B146="Composição",VLOOKUP(C146,COMPOSIÇÃO!A:D,2,0))))))</f>
        <v>Poço De Visita  Em Anéis De Concreto Diâmetros 60 Cm (Chaminé) E 90 Cm (Balão), Incluindo Anel Tampão De Concreto, Profundidade = 3,5 M</v>
      </c>
      <c r="E146" s="1121"/>
      <c r="F146" s="1121"/>
      <c r="G146" s="1122"/>
      <c r="H146" s="1122"/>
      <c r="I146" s="1122"/>
      <c r="J146" s="1123"/>
      <c r="K146" s="1122"/>
      <c r="L146" s="1122" t="s">
        <v>10853</v>
      </c>
      <c r="M146" s="1140">
        <v>1</v>
      </c>
      <c r="N146" s="804"/>
      <c r="O146" s="1091"/>
      <c r="P146" s="805"/>
      <c r="Q146" s="805"/>
    </row>
  </sheetData>
  <sheetProtection algorithmName="SHA-512" hashValue="czTg9XZaglhT3dNkJzS7HHFlKHoVJIblSnNTuCflUZn1sSezYlpEDW3GRwMRvzWx01KAPx5Tr46AQA79klIMRg==" saltValue="kgEUV16pgpHI5obmCVyrBw==" spinCount="100000" sheet="1"/>
  <mergeCells count="4">
    <mergeCell ref="D26:M26"/>
    <mergeCell ref="D10:M10"/>
    <mergeCell ref="D12:M12"/>
    <mergeCell ref="D1:M4"/>
  </mergeCells>
  <conditionalFormatting sqref="D12">
    <cfRule type="cellIs" dxfId="1328" priority="777" operator="equal">
      <formula>0</formula>
    </cfRule>
  </conditionalFormatting>
  <conditionalFormatting sqref="K5:M9 K25:M25 L13:M13 K11:M11 K133:M133 M14 K147:M65536">
    <cfRule type="cellIs" dxfId="1327" priority="776" operator="equal">
      <formula>0</formula>
    </cfRule>
  </conditionalFormatting>
  <conditionalFormatting sqref="L15:M24">
    <cfRule type="cellIs" dxfId="1326" priority="775" operator="equal">
      <formula>0</formula>
    </cfRule>
  </conditionalFormatting>
  <conditionalFormatting sqref="L14">
    <cfRule type="cellIs" dxfId="1325" priority="754" operator="equal">
      <formula>0</formula>
    </cfRule>
  </conditionalFormatting>
  <conditionalFormatting sqref="D10">
    <cfRule type="cellIs" dxfId="1324" priority="696" operator="equal">
      <formula>0</formula>
    </cfRule>
  </conditionalFormatting>
  <conditionalFormatting sqref="D26:D27 D35">
    <cfRule type="cellIs" dxfId="1323" priority="689" operator="equal">
      <formula>0</formula>
    </cfRule>
  </conditionalFormatting>
  <conditionalFormatting sqref="L104">
    <cfRule type="cellIs" dxfId="1322" priority="615" operator="equal">
      <formula>0</formula>
    </cfRule>
  </conditionalFormatting>
  <conditionalFormatting sqref="D94">
    <cfRule type="cellIs" dxfId="1321" priority="624" operator="equal">
      <formula>0</formula>
    </cfRule>
  </conditionalFormatting>
  <conditionalFormatting sqref="L96">
    <cfRule type="cellIs" dxfId="1320" priority="621" operator="equal">
      <formula>0</formula>
    </cfRule>
  </conditionalFormatting>
  <conditionalFormatting sqref="L95:M95">
    <cfRule type="cellIs" dxfId="1319" priority="620" operator="equal">
      <formula>0</formula>
    </cfRule>
  </conditionalFormatting>
  <conditionalFormatting sqref="L100">
    <cfRule type="cellIs" dxfId="1318" priority="619" operator="equal">
      <formula>0</formula>
    </cfRule>
  </conditionalFormatting>
  <conditionalFormatting sqref="L99:M99">
    <cfRule type="cellIs" dxfId="1317" priority="618" operator="equal">
      <formula>0</formula>
    </cfRule>
  </conditionalFormatting>
  <conditionalFormatting sqref="L102">
    <cfRule type="cellIs" dxfId="1316" priority="617" operator="equal">
      <formula>0</formula>
    </cfRule>
  </conditionalFormatting>
  <conditionalFormatting sqref="L101:M101">
    <cfRule type="cellIs" dxfId="1315" priority="616" operator="equal">
      <formula>0</formula>
    </cfRule>
  </conditionalFormatting>
  <conditionalFormatting sqref="L103:M103">
    <cfRule type="cellIs" dxfId="1314" priority="614" operator="equal">
      <formula>0</formula>
    </cfRule>
  </conditionalFormatting>
  <conditionalFormatting sqref="D67">
    <cfRule type="cellIs" dxfId="1313" priority="339" operator="equal">
      <formula>0</formula>
    </cfRule>
  </conditionalFormatting>
  <conditionalFormatting sqref="D65">
    <cfRule type="cellIs" dxfId="1312" priority="340" operator="equal">
      <formula>0</formula>
    </cfRule>
  </conditionalFormatting>
  <conditionalFormatting sqref="D69">
    <cfRule type="cellIs" dxfId="1311" priority="338" operator="equal">
      <formula>0</formula>
    </cfRule>
  </conditionalFormatting>
  <conditionalFormatting sqref="D79">
    <cfRule type="cellIs" dxfId="1310" priority="336" operator="equal">
      <formula>0</formula>
    </cfRule>
  </conditionalFormatting>
  <conditionalFormatting sqref="D83">
    <cfRule type="cellIs" dxfId="1309" priority="334" operator="equal">
      <formula>0</formula>
    </cfRule>
  </conditionalFormatting>
  <conditionalFormatting sqref="D81">
    <cfRule type="cellIs" dxfId="1308" priority="335" operator="equal">
      <formula>0</formula>
    </cfRule>
  </conditionalFormatting>
  <conditionalFormatting sqref="D75">
    <cfRule type="cellIs" dxfId="1307" priority="337" operator="equal">
      <formula>0</formula>
    </cfRule>
  </conditionalFormatting>
  <conditionalFormatting sqref="D134">
    <cfRule type="cellIs" dxfId="1306" priority="179" operator="equal">
      <formula>0</formula>
    </cfRule>
  </conditionalFormatting>
  <conditionalFormatting sqref="L135:M135">
    <cfRule type="cellIs" dxfId="1305" priority="177" operator="equal">
      <formula>0</formula>
    </cfRule>
  </conditionalFormatting>
  <conditionalFormatting sqref="L136:M136">
    <cfRule type="cellIs" dxfId="1304" priority="178" operator="equal">
      <formula>0</formula>
    </cfRule>
  </conditionalFormatting>
  <conditionalFormatting sqref="L41:M41">
    <cfRule type="cellIs" dxfId="1303" priority="166" operator="equal">
      <formula>0</formula>
    </cfRule>
  </conditionalFormatting>
  <conditionalFormatting sqref="L42:M42">
    <cfRule type="cellIs" dxfId="1302" priority="165" operator="equal">
      <formula>0</formula>
    </cfRule>
  </conditionalFormatting>
  <conditionalFormatting sqref="L43:M43">
    <cfRule type="cellIs" dxfId="1301" priority="164" operator="equal">
      <formula>0</formula>
    </cfRule>
  </conditionalFormatting>
  <conditionalFormatting sqref="M44">
    <cfRule type="cellIs" dxfId="1300" priority="132" operator="equal">
      <formula>0</formula>
    </cfRule>
  </conditionalFormatting>
  <conditionalFormatting sqref="L45">
    <cfRule type="cellIs" dxfId="1299" priority="162" operator="equal">
      <formula>0</formula>
    </cfRule>
  </conditionalFormatting>
  <conditionalFormatting sqref="L47">
    <cfRule type="cellIs" dxfId="1298" priority="160" operator="equal">
      <formula>0</formula>
    </cfRule>
  </conditionalFormatting>
  <conditionalFormatting sqref="L49">
    <cfRule type="cellIs" dxfId="1297" priority="158" operator="equal">
      <formula>0</formula>
    </cfRule>
  </conditionalFormatting>
  <conditionalFormatting sqref="L51">
    <cfRule type="cellIs" dxfId="1296" priority="156" operator="equal">
      <formula>0</formula>
    </cfRule>
  </conditionalFormatting>
  <conditionalFormatting sqref="L46">
    <cfRule type="cellIs" dxfId="1295" priority="153" operator="equal">
      <formula>0</formula>
    </cfRule>
  </conditionalFormatting>
  <conditionalFormatting sqref="L44">
    <cfRule type="cellIs" dxfId="1294" priority="154" operator="equal">
      <formula>0</formula>
    </cfRule>
  </conditionalFormatting>
  <conditionalFormatting sqref="L48">
    <cfRule type="cellIs" dxfId="1293" priority="152" operator="equal">
      <formula>0</formula>
    </cfRule>
  </conditionalFormatting>
  <conditionalFormatting sqref="L50">
    <cfRule type="cellIs" dxfId="1292" priority="151" operator="equal">
      <formula>0</formula>
    </cfRule>
  </conditionalFormatting>
  <conditionalFormatting sqref="L52">
    <cfRule type="cellIs" dxfId="1291" priority="150" operator="equal">
      <formula>0</formula>
    </cfRule>
  </conditionalFormatting>
  <conditionalFormatting sqref="L53">
    <cfRule type="cellIs" dxfId="1290" priority="149" operator="equal">
      <formula>0</formula>
    </cfRule>
  </conditionalFormatting>
  <conditionalFormatting sqref="L54">
    <cfRule type="cellIs" dxfId="1289" priority="148" operator="equal">
      <formula>0</formula>
    </cfRule>
  </conditionalFormatting>
  <conditionalFormatting sqref="L55">
    <cfRule type="cellIs" dxfId="1288" priority="145" operator="equal">
      <formula>0</formula>
    </cfRule>
  </conditionalFormatting>
  <conditionalFormatting sqref="L61">
    <cfRule type="cellIs" dxfId="1287" priority="139" operator="equal">
      <formula>0</formula>
    </cfRule>
  </conditionalFormatting>
  <conditionalFormatting sqref="L57">
    <cfRule type="cellIs" dxfId="1286" priority="143" operator="equal">
      <formula>0</formula>
    </cfRule>
  </conditionalFormatting>
  <conditionalFormatting sqref="L59">
    <cfRule type="cellIs" dxfId="1285" priority="141" operator="equal">
      <formula>0</formula>
    </cfRule>
  </conditionalFormatting>
  <conditionalFormatting sqref="L56">
    <cfRule type="cellIs" dxfId="1284" priority="136" operator="equal">
      <formula>0</formula>
    </cfRule>
  </conditionalFormatting>
  <conditionalFormatting sqref="L62">
    <cfRule type="cellIs" dxfId="1283" priority="133" operator="equal">
      <formula>0</formula>
    </cfRule>
  </conditionalFormatting>
  <conditionalFormatting sqref="L58">
    <cfRule type="cellIs" dxfId="1282" priority="135" operator="equal">
      <formula>0</formula>
    </cfRule>
  </conditionalFormatting>
  <conditionalFormatting sqref="M45">
    <cfRule type="cellIs" dxfId="1281" priority="111" operator="equal">
      <formula>0</formula>
    </cfRule>
  </conditionalFormatting>
  <conditionalFormatting sqref="L60">
    <cfRule type="cellIs" dxfId="1280" priority="134" operator="equal">
      <formula>0</formula>
    </cfRule>
  </conditionalFormatting>
  <conditionalFormatting sqref="M46">
    <cfRule type="cellIs" dxfId="1279" priority="110" operator="equal">
      <formula>0</formula>
    </cfRule>
  </conditionalFormatting>
  <conditionalFormatting sqref="M47">
    <cfRule type="cellIs" dxfId="1278" priority="109" operator="equal">
      <formula>0</formula>
    </cfRule>
  </conditionalFormatting>
  <conditionalFormatting sqref="M48">
    <cfRule type="cellIs" dxfId="1277" priority="108" operator="equal">
      <formula>0</formula>
    </cfRule>
  </conditionalFormatting>
  <conditionalFormatting sqref="M49 M53 M55 M59">
    <cfRule type="cellIs" dxfId="1276" priority="107" operator="equal">
      <formula>0</formula>
    </cfRule>
  </conditionalFormatting>
  <conditionalFormatting sqref="M50 M54 M56 M60">
    <cfRule type="cellIs" dxfId="1275" priority="106" operator="equal">
      <formula>0</formula>
    </cfRule>
  </conditionalFormatting>
  <conditionalFormatting sqref="M51 M57 M61">
    <cfRule type="cellIs" dxfId="1274" priority="105" operator="equal">
      <formula>0</formula>
    </cfRule>
  </conditionalFormatting>
  <conditionalFormatting sqref="M52 M58 M62">
    <cfRule type="cellIs" dxfId="1273" priority="104" operator="equal">
      <formula>0</formula>
    </cfRule>
  </conditionalFormatting>
  <conditionalFormatting sqref="L64:M64">
    <cfRule type="cellIs" dxfId="1272" priority="103" operator="equal">
      <formula>0</formula>
    </cfRule>
  </conditionalFormatting>
  <conditionalFormatting sqref="L63:M63">
    <cfRule type="cellIs" dxfId="1271" priority="102" operator="equal">
      <formula>0</formula>
    </cfRule>
  </conditionalFormatting>
  <conditionalFormatting sqref="L137:M137">
    <cfRule type="cellIs" dxfId="1270" priority="97" operator="equal">
      <formula>0</formula>
    </cfRule>
  </conditionalFormatting>
  <conditionalFormatting sqref="L138:M138">
    <cfRule type="cellIs" dxfId="1269" priority="98" operator="equal">
      <formula>0</formula>
    </cfRule>
  </conditionalFormatting>
  <conditionalFormatting sqref="L139:M139">
    <cfRule type="cellIs" dxfId="1268" priority="95" operator="equal">
      <formula>0</formula>
    </cfRule>
  </conditionalFormatting>
  <conditionalFormatting sqref="L140:M140">
    <cfRule type="cellIs" dxfId="1267" priority="96" operator="equal">
      <formula>0</formula>
    </cfRule>
  </conditionalFormatting>
  <conditionalFormatting sqref="D36">
    <cfRule type="cellIs" dxfId="1266" priority="94" operator="equal">
      <formula>0</formula>
    </cfRule>
  </conditionalFormatting>
  <conditionalFormatting sqref="D29">
    <cfRule type="cellIs" dxfId="1265" priority="93" operator="equal">
      <formula>0</formula>
    </cfRule>
  </conditionalFormatting>
  <conditionalFormatting sqref="L30:M30">
    <cfRule type="cellIs" dxfId="1264" priority="92" operator="equal">
      <formula>0</formula>
    </cfRule>
  </conditionalFormatting>
  <conditionalFormatting sqref="D28">
    <cfRule type="cellIs" dxfId="1263" priority="91" operator="equal">
      <formula>0</formula>
    </cfRule>
  </conditionalFormatting>
  <conditionalFormatting sqref="L31:M31">
    <cfRule type="cellIs" dxfId="1262" priority="87" operator="equal">
      <formula>0</formula>
    </cfRule>
  </conditionalFormatting>
  <conditionalFormatting sqref="L32:M32">
    <cfRule type="cellIs" dxfId="1261" priority="86" operator="equal">
      <formula>0</formula>
    </cfRule>
  </conditionalFormatting>
  <conditionalFormatting sqref="L105:M105">
    <cfRule type="cellIs" dxfId="1260" priority="70" operator="equal">
      <formula>0</formula>
    </cfRule>
  </conditionalFormatting>
  <conditionalFormatting sqref="D78">
    <cfRule type="cellIs" dxfId="1259" priority="81" operator="equal">
      <formula>0</formula>
    </cfRule>
  </conditionalFormatting>
  <conditionalFormatting sqref="D86">
    <cfRule type="cellIs" dxfId="1258" priority="72" operator="equal">
      <formula>0</formula>
    </cfRule>
  </conditionalFormatting>
  <conditionalFormatting sqref="L106">
    <cfRule type="cellIs" dxfId="1257" priority="71" operator="equal">
      <formula>0</formula>
    </cfRule>
  </conditionalFormatting>
  <conditionalFormatting sqref="L109:M109">
    <cfRule type="cellIs" dxfId="1256" priority="67" operator="equal">
      <formula>0</formula>
    </cfRule>
  </conditionalFormatting>
  <conditionalFormatting sqref="L117:M117">
    <cfRule type="cellIs" dxfId="1255" priority="61" operator="equal">
      <formula>0</formula>
    </cfRule>
  </conditionalFormatting>
  <conditionalFormatting sqref="L110">
    <cfRule type="cellIs" dxfId="1254" priority="68" operator="equal">
      <formula>0</formula>
    </cfRule>
  </conditionalFormatting>
  <conditionalFormatting sqref="L114">
    <cfRule type="cellIs" dxfId="1253" priority="65" operator="equal">
      <formula>0</formula>
    </cfRule>
  </conditionalFormatting>
  <conditionalFormatting sqref="L113:M113">
    <cfRule type="cellIs" dxfId="1252" priority="64" operator="equal">
      <formula>0</formula>
    </cfRule>
  </conditionalFormatting>
  <conditionalFormatting sqref="L122">
    <cfRule type="cellIs" dxfId="1251" priority="59" operator="equal">
      <formula>0</formula>
    </cfRule>
  </conditionalFormatting>
  <conditionalFormatting sqref="L118">
    <cfRule type="cellIs" dxfId="1250" priority="62" operator="equal">
      <formula>0</formula>
    </cfRule>
  </conditionalFormatting>
  <conditionalFormatting sqref="L121:M121">
    <cfRule type="cellIs" dxfId="1249" priority="58" operator="equal">
      <formula>0</formula>
    </cfRule>
  </conditionalFormatting>
  <conditionalFormatting sqref="L125:M125">
    <cfRule type="cellIs" dxfId="1248" priority="55" operator="equal">
      <formula>0</formula>
    </cfRule>
  </conditionalFormatting>
  <conditionalFormatting sqref="M96">
    <cfRule type="cellIs" dxfId="1247" priority="53" operator="equal">
      <formula>0</formula>
    </cfRule>
  </conditionalFormatting>
  <conditionalFormatting sqref="M102">
    <cfRule type="cellIs" dxfId="1246" priority="51" operator="equal">
      <formula>0</formula>
    </cfRule>
  </conditionalFormatting>
  <conditionalFormatting sqref="L141:M141">
    <cfRule type="cellIs" dxfId="1245" priority="42" operator="equal">
      <formula>0</formula>
    </cfRule>
  </conditionalFormatting>
  <conditionalFormatting sqref="M104">
    <cfRule type="cellIs" dxfId="1244" priority="50" operator="equal">
      <formula>0</formula>
    </cfRule>
  </conditionalFormatting>
  <conditionalFormatting sqref="M106">
    <cfRule type="cellIs" dxfId="1243" priority="49" operator="equal">
      <formula>0</formula>
    </cfRule>
  </conditionalFormatting>
  <conditionalFormatting sqref="M110">
    <cfRule type="cellIs" dxfId="1242" priority="48" operator="equal">
      <formula>0</formula>
    </cfRule>
  </conditionalFormatting>
  <conditionalFormatting sqref="M114">
    <cfRule type="cellIs" dxfId="1241" priority="47" operator="equal">
      <formula>0</formula>
    </cfRule>
  </conditionalFormatting>
  <conditionalFormatting sqref="M118">
    <cfRule type="cellIs" dxfId="1240" priority="46" operator="equal">
      <formula>0</formula>
    </cfRule>
  </conditionalFormatting>
  <conditionalFormatting sqref="M122">
    <cfRule type="cellIs" dxfId="1239" priority="45" operator="equal">
      <formula>0</formula>
    </cfRule>
  </conditionalFormatting>
  <conditionalFormatting sqref="L142:M142">
    <cfRule type="cellIs" dxfId="1238" priority="43" operator="equal">
      <formula>0</formula>
    </cfRule>
  </conditionalFormatting>
  <conditionalFormatting sqref="L143:M143">
    <cfRule type="cellIs" dxfId="1237" priority="40" operator="equal">
      <formula>0</formula>
    </cfRule>
  </conditionalFormatting>
  <conditionalFormatting sqref="L144:M144">
    <cfRule type="cellIs" dxfId="1236" priority="41" operator="equal">
      <formula>0</formula>
    </cfRule>
  </conditionalFormatting>
  <conditionalFormatting sqref="L145:M145">
    <cfRule type="cellIs" dxfId="1235" priority="38" operator="equal">
      <formula>0</formula>
    </cfRule>
  </conditionalFormatting>
  <conditionalFormatting sqref="L146:M146">
    <cfRule type="cellIs" dxfId="1234" priority="39" operator="equal">
      <formula>0</formula>
    </cfRule>
  </conditionalFormatting>
  <conditionalFormatting sqref="L129:M129">
    <cfRule type="cellIs" dxfId="1233" priority="34" operator="equal">
      <formula>0</formula>
    </cfRule>
  </conditionalFormatting>
  <conditionalFormatting sqref="L130">
    <cfRule type="cellIs" dxfId="1232" priority="35" operator="equal">
      <formula>0</formula>
    </cfRule>
  </conditionalFormatting>
  <conditionalFormatting sqref="M130">
    <cfRule type="cellIs" dxfId="1231" priority="33" operator="equal">
      <formula>0</formula>
    </cfRule>
  </conditionalFormatting>
  <conditionalFormatting sqref="L126">
    <cfRule type="cellIs" dxfId="1230" priority="32" operator="equal">
      <formula>0</formula>
    </cfRule>
  </conditionalFormatting>
  <conditionalFormatting sqref="M126">
    <cfRule type="cellIs" dxfId="1229" priority="31" operator="equal">
      <formula>0</formula>
    </cfRule>
  </conditionalFormatting>
  <conditionalFormatting sqref="L33:M33">
    <cfRule type="cellIs" dxfId="1228" priority="30" operator="equal">
      <formula>0</formula>
    </cfRule>
  </conditionalFormatting>
  <conditionalFormatting sqref="L34:M34">
    <cfRule type="cellIs" dxfId="1227" priority="28" operator="equal">
      <formula>0</formula>
    </cfRule>
  </conditionalFormatting>
  <conditionalFormatting sqref="M100">
    <cfRule type="cellIs" dxfId="1226" priority="27" operator="equal">
      <formula>0</formula>
    </cfRule>
  </conditionalFormatting>
  <conditionalFormatting sqref="D71">
    <cfRule type="cellIs" dxfId="1225" priority="26" operator="equal">
      <formula>0</formula>
    </cfRule>
  </conditionalFormatting>
  <conditionalFormatting sqref="D73">
    <cfRule type="cellIs" dxfId="1224" priority="25" operator="equal">
      <formula>0</formula>
    </cfRule>
  </conditionalFormatting>
  <conditionalFormatting sqref="L98">
    <cfRule type="cellIs" dxfId="1223" priority="24" operator="equal">
      <formula>0</formula>
    </cfRule>
  </conditionalFormatting>
  <conditionalFormatting sqref="L97:M97">
    <cfRule type="cellIs" dxfId="1222" priority="23" operator="equal">
      <formula>0</formula>
    </cfRule>
  </conditionalFormatting>
  <conditionalFormatting sqref="M98">
    <cfRule type="cellIs" dxfId="1221" priority="22" operator="equal">
      <formula>0</formula>
    </cfRule>
  </conditionalFormatting>
  <conditionalFormatting sqref="L107:M107">
    <cfRule type="cellIs" dxfId="1220" priority="20" operator="equal">
      <formula>0</formula>
    </cfRule>
  </conditionalFormatting>
  <conditionalFormatting sqref="L108">
    <cfRule type="cellIs" dxfId="1219" priority="21" operator="equal">
      <formula>0</formula>
    </cfRule>
  </conditionalFormatting>
  <conditionalFormatting sqref="M108">
    <cfRule type="cellIs" dxfId="1218" priority="19" operator="equal">
      <formula>0</formula>
    </cfRule>
  </conditionalFormatting>
  <conditionalFormatting sqref="L111:M111">
    <cfRule type="cellIs" dxfId="1217" priority="17" operator="equal">
      <formula>0</formula>
    </cfRule>
  </conditionalFormatting>
  <conditionalFormatting sqref="L112">
    <cfRule type="cellIs" dxfId="1216" priority="18" operator="equal">
      <formula>0</formula>
    </cfRule>
  </conditionalFormatting>
  <conditionalFormatting sqref="M112">
    <cfRule type="cellIs" dxfId="1215" priority="16" operator="equal">
      <formula>0</formula>
    </cfRule>
  </conditionalFormatting>
  <conditionalFormatting sqref="L116">
    <cfRule type="cellIs" dxfId="1214" priority="15" operator="equal">
      <formula>0</formula>
    </cfRule>
  </conditionalFormatting>
  <conditionalFormatting sqref="L115:M115">
    <cfRule type="cellIs" dxfId="1213" priority="14" operator="equal">
      <formula>0</formula>
    </cfRule>
  </conditionalFormatting>
  <conditionalFormatting sqref="M116">
    <cfRule type="cellIs" dxfId="1212" priority="13" operator="equal">
      <formula>0</formula>
    </cfRule>
  </conditionalFormatting>
  <conditionalFormatting sqref="L124">
    <cfRule type="cellIs" dxfId="1211" priority="12" operator="equal">
      <formula>0</formula>
    </cfRule>
  </conditionalFormatting>
  <conditionalFormatting sqref="L123:M123">
    <cfRule type="cellIs" dxfId="1210" priority="11" operator="equal">
      <formula>0</formula>
    </cfRule>
  </conditionalFormatting>
  <conditionalFormatting sqref="M124">
    <cfRule type="cellIs" dxfId="1209" priority="10" operator="equal">
      <formula>0</formula>
    </cfRule>
  </conditionalFormatting>
  <conditionalFormatting sqref="L127:M127">
    <cfRule type="cellIs" dxfId="1208" priority="9" operator="equal">
      <formula>0</formula>
    </cfRule>
  </conditionalFormatting>
  <conditionalFormatting sqref="L128">
    <cfRule type="cellIs" dxfId="1207" priority="8" operator="equal">
      <formula>0</formula>
    </cfRule>
  </conditionalFormatting>
  <conditionalFormatting sqref="M128">
    <cfRule type="cellIs" dxfId="1206" priority="7" operator="equal">
      <formula>0</formula>
    </cfRule>
  </conditionalFormatting>
  <conditionalFormatting sqref="L119:M119">
    <cfRule type="cellIs" dxfId="1205" priority="5" operator="equal">
      <formula>0</formula>
    </cfRule>
  </conditionalFormatting>
  <conditionalFormatting sqref="L120">
    <cfRule type="cellIs" dxfId="1204" priority="6" operator="equal">
      <formula>0</formula>
    </cfRule>
  </conditionalFormatting>
  <conditionalFormatting sqref="M120">
    <cfRule type="cellIs" dxfId="1203" priority="4" operator="equal">
      <formula>0</formula>
    </cfRule>
  </conditionalFormatting>
  <conditionalFormatting sqref="L131:M131">
    <cfRule type="cellIs" dxfId="1202" priority="2" operator="equal">
      <formula>0</formula>
    </cfRule>
  </conditionalFormatting>
  <conditionalFormatting sqref="L132">
    <cfRule type="cellIs" dxfId="1201" priority="3" operator="equal">
      <formula>0</formula>
    </cfRule>
  </conditionalFormatting>
  <conditionalFormatting sqref="M132">
    <cfRule type="cellIs" dxfId="1200" priority="1" operator="equal">
      <formula>0</formula>
    </cfRule>
  </conditionalFormatting>
  <pageMargins left="0.51181102362204722" right="0.51181102362204722" top="0.78740157480314965" bottom="0.78740157480314965" header="0.31496062992125984" footer="0.31496062992125984"/>
  <pageSetup paperSize="9" scale="57" fitToHeight="3" orientation="portrait" horizontalDpi="1200" verticalDpi="1200" r:id="rId1"/>
  <rowBreaks count="1" manualBreakCount="1">
    <brk id="133" min="3" max="12"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59999389629810485"/>
    <pageSetUpPr fitToPage="1"/>
  </sheetPr>
  <dimension ref="A1:BS59"/>
  <sheetViews>
    <sheetView zoomScaleNormal="100" zoomScaleSheetLayoutView="100" workbookViewId="0">
      <pane xSplit="3" ySplit="9" topLeftCell="D10" activePane="bottomRight" state="frozen"/>
      <selection activeCell="D100" sqref="D100"/>
      <selection pane="topRight" activeCell="D100" sqref="D100"/>
      <selection pane="bottomLeft" activeCell="D100" sqref="D100"/>
      <selection pane="bottomRight" activeCell="F8" sqref="F8"/>
    </sheetView>
  </sheetViews>
  <sheetFormatPr defaultRowHeight="11.25"/>
  <cols>
    <col min="1" max="1" width="10.42578125" style="1046" customWidth="1"/>
    <col min="2" max="2" width="16.42578125" style="1072" customWidth="1"/>
    <col min="3" max="3" width="15.140625" style="1072" customWidth="1"/>
    <col min="4" max="5" width="8.85546875" style="1046" customWidth="1"/>
    <col min="6" max="6" width="7.5703125" style="1046" customWidth="1"/>
    <col min="7" max="7" width="10.140625" style="1072" customWidth="1"/>
    <col min="8" max="8" width="7.5703125" style="1046" customWidth="1"/>
    <col min="9" max="9" width="8" style="1046" customWidth="1"/>
    <col min="10" max="10" width="7.7109375" style="1072" customWidth="1"/>
    <col min="11" max="11" width="16.140625" style="1072" customWidth="1"/>
    <col min="12" max="12" width="12" style="1072" customWidth="1"/>
    <col min="13" max="13" width="11.7109375" style="1072" customWidth="1"/>
    <col min="14" max="14" width="13.28515625" style="1072" customWidth="1"/>
    <col min="15" max="15" width="8.7109375" style="1072" customWidth="1"/>
    <col min="16" max="16" width="9.7109375" style="1072" customWidth="1"/>
    <col min="17" max="21" width="6.7109375" style="1073" hidden="1" customWidth="1"/>
    <col min="22" max="22" width="9.140625" style="1072" customWidth="1"/>
    <col min="23" max="28" width="7.85546875" style="1072" hidden="1" customWidth="1"/>
    <col min="29" max="29" width="8.140625" style="1072" customWidth="1"/>
    <col min="30" max="35" width="7.85546875" style="1072" hidden="1" customWidth="1"/>
    <col min="36" max="36" width="7.85546875" style="1072" customWidth="1"/>
    <col min="37" max="42" width="9.140625" style="1072" hidden="1" customWidth="1"/>
    <col min="43" max="43" width="7.7109375" style="1072" hidden="1" customWidth="1"/>
    <col min="44" max="50" width="9.140625" style="1072" hidden="1" customWidth="1"/>
    <col min="51" max="55" width="8.42578125" style="1072" hidden="1" customWidth="1"/>
    <col min="56" max="56" width="8.7109375" style="1072" customWidth="1"/>
    <col min="57" max="57" width="10.7109375" style="1072" customWidth="1"/>
    <col min="58" max="58" width="12.5703125" style="1072" customWidth="1"/>
    <col min="59" max="62" width="14.5703125" style="1072" customWidth="1"/>
    <col min="63" max="69" width="9" style="1072" customWidth="1"/>
    <col min="70" max="70" width="7.42578125" style="1072" customWidth="1"/>
    <col min="71" max="71" width="6.85546875" style="1072" customWidth="1"/>
    <col min="72" max="16384" width="9.140625" style="1056"/>
  </cols>
  <sheetData>
    <row r="1" spans="1:71" s="1031" customFormat="1" ht="14.25">
      <c r="A1" s="1028" t="s">
        <v>12030</v>
      </c>
      <c r="B1" s="1029"/>
      <c r="C1" s="1029"/>
      <c r="D1" s="1029"/>
      <c r="E1" s="1029"/>
      <c r="F1" s="1029"/>
      <c r="G1" s="1029"/>
      <c r="H1" s="1029"/>
      <c r="I1" s="1029"/>
      <c r="J1" s="1029"/>
      <c r="K1" s="1029"/>
      <c r="L1" s="1029"/>
      <c r="M1" s="1029"/>
      <c r="N1" s="1029"/>
      <c r="O1" s="1029"/>
      <c r="P1" s="1029"/>
      <c r="Q1" s="1029"/>
      <c r="R1" s="1029"/>
      <c r="S1" s="1029"/>
      <c r="T1" s="1029"/>
      <c r="U1" s="1029"/>
      <c r="V1" s="1029"/>
      <c r="W1" s="1029"/>
      <c r="X1" s="1029"/>
      <c r="Y1" s="1029"/>
      <c r="Z1" s="1029"/>
      <c r="AA1" s="1029"/>
      <c r="AB1" s="1029"/>
      <c r="AC1" s="1029"/>
      <c r="AD1" s="1029"/>
      <c r="AE1" s="1029"/>
      <c r="AF1" s="1029"/>
      <c r="AG1" s="1029"/>
      <c r="AH1" s="1029"/>
      <c r="AI1" s="1029"/>
      <c r="AJ1" s="1029"/>
      <c r="AK1" s="1029"/>
      <c r="AL1" s="1029"/>
      <c r="AM1" s="1029"/>
      <c r="AN1" s="1029"/>
      <c r="AO1" s="1029"/>
      <c r="AP1" s="1029"/>
      <c r="AQ1" s="1029"/>
      <c r="AR1" s="1029"/>
      <c r="AS1" s="1029"/>
      <c r="AT1" s="1029"/>
      <c r="AU1" s="1029"/>
      <c r="AV1" s="1029"/>
      <c r="AW1" s="1029"/>
      <c r="AX1" s="1029"/>
      <c r="AY1" s="1029"/>
      <c r="AZ1" s="1029"/>
      <c r="BA1" s="1029"/>
      <c r="BB1" s="1029"/>
      <c r="BC1" s="1029"/>
      <c r="BD1" s="1029"/>
      <c r="BE1" s="1029"/>
      <c r="BF1" s="1029"/>
      <c r="BG1" s="1029"/>
      <c r="BH1" s="1029"/>
      <c r="BI1" s="1029"/>
      <c r="BJ1" s="1029"/>
      <c r="BK1" s="1029"/>
      <c r="BL1" s="1029"/>
      <c r="BM1" s="1029"/>
      <c r="BN1" s="1029"/>
      <c r="BO1" s="1029"/>
      <c r="BP1" s="1029"/>
      <c r="BQ1" s="1029"/>
      <c r="BR1" s="1029"/>
      <c r="BS1" s="1030"/>
    </row>
    <row r="2" spans="1:71" s="1031" customFormat="1">
      <c r="A2" s="1032"/>
      <c r="B2" s="1033"/>
      <c r="C2" s="1033"/>
      <c r="D2" s="1032"/>
      <c r="E2" s="1032"/>
      <c r="F2" s="1032"/>
      <c r="G2" s="1033"/>
      <c r="H2" s="1032"/>
      <c r="I2" s="1032"/>
      <c r="J2" s="1033"/>
      <c r="K2" s="1033"/>
      <c r="L2" s="1033"/>
      <c r="M2" s="1033"/>
      <c r="N2" s="1033"/>
      <c r="O2" s="1033"/>
      <c r="P2" s="1033"/>
      <c r="Q2" s="1034"/>
      <c r="R2" s="1034"/>
      <c r="S2" s="1034"/>
      <c r="T2" s="1034"/>
      <c r="U2" s="1034"/>
      <c r="V2" s="1033"/>
      <c r="W2" s="1033"/>
      <c r="X2" s="1033"/>
      <c r="Y2" s="1033"/>
      <c r="Z2" s="1033"/>
      <c r="AA2" s="1033"/>
      <c r="AB2" s="1033"/>
      <c r="AC2" s="1033"/>
      <c r="AD2" s="1033"/>
      <c r="AE2" s="1033"/>
      <c r="AF2" s="1033"/>
      <c r="AG2" s="1033"/>
      <c r="AH2" s="1033"/>
      <c r="AI2" s="1033"/>
      <c r="AJ2" s="1033"/>
      <c r="AK2" s="1033"/>
      <c r="AL2" s="1033"/>
      <c r="AM2" s="1033"/>
      <c r="AN2" s="1033"/>
      <c r="AO2" s="1033"/>
      <c r="AP2" s="1033"/>
      <c r="AQ2" s="1033"/>
      <c r="AR2" s="1033"/>
      <c r="AS2" s="1033"/>
      <c r="AT2" s="1033"/>
      <c r="AU2" s="1033"/>
      <c r="AV2" s="1033"/>
      <c r="AW2" s="1033"/>
      <c r="AX2" s="1033"/>
      <c r="AY2" s="1033"/>
      <c r="AZ2" s="1033"/>
      <c r="BA2" s="1033"/>
      <c r="BB2" s="1033"/>
      <c r="BC2" s="1033"/>
      <c r="BD2" s="1033"/>
      <c r="BE2" s="1033"/>
      <c r="BF2" s="1033"/>
      <c r="BG2" s="1033"/>
      <c r="BH2" s="1033"/>
      <c r="BI2" s="1033"/>
      <c r="BJ2" s="1033"/>
      <c r="BK2" s="1033"/>
      <c r="BL2" s="1033"/>
      <c r="BM2" s="1033"/>
      <c r="BN2" s="1033"/>
      <c r="BO2" s="1033"/>
      <c r="BP2" s="1033"/>
      <c r="BQ2" s="1033"/>
      <c r="BR2" s="1033"/>
      <c r="BS2" s="1033"/>
    </row>
    <row r="3" spans="1:71" s="1031" customFormat="1" ht="13.5" customHeight="1">
      <c r="A3" s="1035" t="s">
        <v>0</v>
      </c>
      <c r="B3" s="1036" t="s">
        <v>11954</v>
      </c>
      <c r="C3" s="1036"/>
      <c r="D3" s="1036"/>
      <c r="E3" s="1036"/>
      <c r="F3" s="1036"/>
      <c r="G3" s="1036"/>
      <c r="H3" s="1036"/>
      <c r="I3" s="1036"/>
      <c r="J3" s="1036"/>
      <c r="K3" s="1036"/>
      <c r="L3" s="1036"/>
      <c r="M3" s="1036"/>
      <c r="N3" s="1036"/>
      <c r="O3" s="1036"/>
      <c r="P3" s="1036"/>
      <c r="Q3" s="1036"/>
      <c r="R3" s="1036"/>
      <c r="S3" s="1036"/>
      <c r="T3" s="1036"/>
      <c r="U3" s="1036"/>
      <c r="V3" s="1036"/>
      <c r="W3" s="1036"/>
      <c r="X3" s="1036"/>
      <c r="Y3" s="1036"/>
      <c r="Z3" s="1036"/>
      <c r="AA3" s="1036"/>
      <c r="AB3" s="1036"/>
      <c r="AC3" s="1036"/>
      <c r="AD3" s="1036"/>
      <c r="AE3" s="1036"/>
      <c r="AF3" s="1036"/>
      <c r="AG3" s="1036"/>
      <c r="AH3" s="1036"/>
      <c r="AI3" s="1036"/>
      <c r="AJ3" s="1036"/>
      <c r="AK3" s="1036"/>
      <c r="AL3" s="1036"/>
      <c r="AM3" s="1036"/>
      <c r="AN3" s="1036"/>
      <c r="AO3" s="1036"/>
      <c r="AP3" s="1036"/>
      <c r="AQ3" s="1036"/>
      <c r="AR3" s="1036"/>
      <c r="AS3" s="1036"/>
      <c r="AT3" s="1036"/>
      <c r="AU3" s="1036"/>
      <c r="AV3" s="1036"/>
      <c r="AW3" s="1036"/>
      <c r="AX3" s="1036"/>
      <c r="AY3" s="1036"/>
      <c r="AZ3" s="1036"/>
      <c r="BA3" s="1036"/>
      <c r="BB3" s="1036"/>
      <c r="BC3" s="1036"/>
      <c r="BD3" s="1036"/>
      <c r="BE3" s="1036"/>
      <c r="BF3" s="1036"/>
      <c r="BG3" s="1036"/>
      <c r="BH3" s="1036"/>
      <c r="BI3" s="1036"/>
      <c r="BJ3" s="1036"/>
      <c r="BK3" s="1036"/>
      <c r="BL3" s="1036"/>
      <c r="BM3" s="1036"/>
      <c r="BN3" s="1036"/>
      <c r="BO3" s="1037" t="s">
        <v>11955</v>
      </c>
      <c r="BP3" s="1037"/>
      <c r="BQ3" s="1038" t="s">
        <v>11956</v>
      </c>
      <c r="BR3" s="1038"/>
      <c r="BS3" s="1038"/>
    </row>
    <row r="4" spans="1:71" s="1031" customFormat="1" ht="13.5" customHeight="1">
      <c r="A4" s="1035" t="s">
        <v>2</v>
      </c>
      <c r="B4" s="1036" t="s">
        <v>11957</v>
      </c>
      <c r="C4" s="1036"/>
      <c r="D4" s="1036"/>
      <c r="E4" s="1036"/>
      <c r="F4" s="1036"/>
      <c r="G4" s="1036"/>
      <c r="H4" s="1036"/>
      <c r="I4" s="1036"/>
      <c r="J4" s="1036"/>
      <c r="K4" s="1036"/>
      <c r="L4" s="1036"/>
      <c r="M4" s="1036"/>
      <c r="N4" s="1036"/>
      <c r="O4" s="1036"/>
      <c r="P4" s="1036"/>
      <c r="Q4" s="1036"/>
      <c r="R4" s="1036"/>
      <c r="S4" s="1036"/>
      <c r="T4" s="1036"/>
      <c r="U4" s="1036"/>
      <c r="V4" s="1036"/>
      <c r="W4" s="1036"/>
      <c r="X4" s="1036"/>
      <c r="Y4" s="1036"/>
      <c r="Z4" s="1036"/>
      <c r="AA4" s="1036"/>
      <c r="AB4" s="1036"/>
      <c r="AC4" s="1036"/>
      <c r="AD4" s="1036"/>
      <c r="AE4" s="1036"/>
      <c r="AF4" s="1036"/>
      <c r="AG4" s="1036"/>
      <c r="AH4" s="1036"/>
      <c r="AI4" s="1036"/>
      <c r="AJ4" s="1036"/>
      <c r="AK4" s="1036"/>
      <c r="AL4" s="1036"/>
      <c r="AM4" s="1036"/>
      <c r="AN4" s="1036"/>
      <c r="AO4" s="1036"/>
      <c r="AP4" s="1036"/>
      <c r="AQ4" s="1036"/>
      <c r="AR4" s="1036"/>
      <c r="AS4" s="1036"/>
      <c r="AT4" s="1036"/>
      <c r="AU4" s="1036"/>
      <c r="AV4" s="1036"/>
      <c r="AW4" s="1036"/>
      <c r="AX4" s="1036"/>
      <c r="AY4" s="1036"/>
      <c r="AZ4" s="1036"/>
      <c r="BA4" s="1036"/>
      <c r="BB4" s="1036"/>
      <c r="BC4" s="1036"/>
      <c r="BD4" s="1036"/>
      <c r="BE4" s="1036"/>
      <c r="BF4" s="1036"/>
      <c r="BG4" s="1036"/>
      <c r="BH4" s="1036"/>
      <c r="BI4" s="1036"/>
      <c r="BJ4" s="1036"/>
      <c r="BK4" s="1036"/>
      <c r="BL4" s="1036"/>
      <c r="BM4" s="1036"/>
      <c r="BN4" s="1036"/>
      <c r="BO4" s="1037" t="s">
        <v>11958</v>
      </c>
      <c r="BP4" s="1037"/>
      <c r="BQ4" s="1038" t="s">
        <v>30</v>
      </c>
      <c r="BR4" s="1038"/>
      <c r="BS4" s="1038"/>
    </row>
    <row r="5" spans="1:71" s="1031" customFormat="1" ht="15" customHeight="1">
      <c r="A5" s="1035" t="s">
        <v>11959</v>
      </c>
      <c r="B5" s="1039" t="s">
        <v>12027</v>
      </c>
      <c r="C5" s="1040"/>
      <c r="D5" s="1040"/>
      <c r="E5" s="1040"/>
      <c r="F5" s="1040"/>
      <c r="G5" s="1040"/>
      <c r="H5" s="1040"/>
      <c r="I5" s="1040"/>
      <c r="J5" s="1040"/>
      <c r="K5" s="1040"/>
      <c r="L5" s="1040"/>
      <c r="M5" s="1040"/>
      <c r="N5" s="1040"/>
      <c r="O5" s="1040"/>
      <c r="P5" s="1040"/>
      <c r="Q5" s="1040"/>
      <c r="R5" s="1040"/>
      <c r="S5" s="1040"/>
      <c r="T5" s="1040"/>
      <c r="U5" s="1040"/>
      <c r="V5" s="1040"/>
      <c r="W5" s="1040"/>
      <c r="X5" s="1040"/>
      <c r="Y5" s="1040"/>
      <c r="Z5" s="1040"/>
      <c r="AA5" s="1040"/>
      <c r="AB5" s="1040"/>
      <c r="AC5" s="1040"/>
      <c r="AD5" s="1040"/>
      <c r="AE5" s="1040"/>
      <c r="AF5" s="1040"/>
      <c r="AG5" s="1040"/>
      <c r="AH5" s="1040"/>
      <c r="AI5" s="1040"/>
      <c r="AJ5" s="1040"/>
      <c r="AK5" s="1040"/>
      <c r="AL5" s="1040"/>
      <c r="AM5" s="1040"/>
      <c r="AN5" s="1040"/>
      <c r="AO5" s="1040"/>
      <c r="AP5" s="1040"/>
      <c r="AQ5" s="1040"/>
      <c r="AR5" s="1040"/>
      <c r="AS5" s="1040"/>
      <c r="AT5" s="1040"/>
      <c r="AU5" s="1040"/>
      <c r="AV5" s="1040"/>
      <c r="AW5" s="1040"/>
      <c r="AX5" s="1040"/>
      <c r="AY5" s="1040"/>
      <c r="AZ5" s="1040"/>
      <c r="BA5" s="1040"/>
      <c r="BB5" s="1040"/>
      <c r="BC5" s="1040"/>
      <c r="BD5" s="1040"/>
      <c r="BE5" s="1040"/>
      <c r="BF5" s="1040"/>
      <c r="BG5" s="1040"/>
      <c r="BH5" s="1040"/>
      <c r="BI5" s="1040"/>
      <c r="BJ5" s="1040"/>
      <c r="BK5" s="1040"/>
      <c r="BL5" s="1040"/>
      <c r="BM5" s="1040"/>
      <c r="BN5" s="1040"/>
      <c r="BO5" s="1040"/>
      <c r="BP5" s="1040"/>
      <c r="BQ5" s="1040"/>
      <c r="BR5" s="1040"/>
      <c r="BS5" s="1041"/>
    </row>
    <row r="6" spans="1:71" s="1031" customFormat="1">
      <c r="A6" s="1032"/>
      <c r="B6" s="1033"/>
      <c r="C6" s="1033"/>
      <c r="D6" s="1032"/>
      <c r="E6" s="1032"/>
      <c r="F6" s="1032"/>
      <c r="G6" s="1033"/>
      <c r="H6" s="1032"/>
      <c r="I6" s="1032"/>
      <c r="J6" s="1033"/>
      <c r="K6" s="1033"/>
      <c r="L6" s="1033"/>
      <c r="M6" s="1033"/>
      <c r="N6" s="1033"/>
      <c r="O6" s="1033"/>
      <c r="P6" s="1033"/>
      <c r="Q6" s="1034"/>
      <c r="R6" s="1034"/>
      <c r="S6" s="1034"/>
      <c r="T6" s="1034"/>
      <c r="U6" s="1034"/>
      <c r="V6" s="1033"/>
      <c r="W6" s="1033"/>
      <c r="X6" s="1033"/>
      <c r="Y6" s="1033"/>
      <c r="Z6" s="1033"/>
      <c r="AA6" s="1033"/>
      <c r="AB6" s="1033"/>
      <c r="AC6" s="1033"/>
      <c r="AD6" s="1033"/>
      <c r="AE6" s="1033"/>
      <c r="AF6" s="1033"/>
      <c r="AG6" s="1033"/>
      <c r="AH6" s="1033"/>
      <c r="AI6" s="1033"/>
      <c r="AJ6" s="1033"/>
      <c r="AK6" s="1033"/>
      <c r="AL6" s="1033"/>
      <c r="AM6" s="1033"/>
      <c r="AN6" s="1033"/>
      <c r="AO6" s="1033"/>
      <c r="AP6" s="1033"/>
      <c r="AQ6" s="1033"/>
      <c r="AR6" s="1033"/>
      <c r="AS6" s="1033"/>
      <c r="AT6" s="1033"/>
      <c r="AU6" s="1033"/>
      <c r="AV6" s="1033"/>
      <c r="AW6" s="1033"/>
      <c r="AX6" s="1033"/>
      <c r="AY6" s="1033"/>
      <c r="AZ6" s="1033"/>
      <c r="BA6" s="1033"/>
      <c r="BB6" s="1033"/>
      <c r="BC6" s="1033"/>
      <c r="BD6" s="1033"/>
      <c r="BE6" s="1033"/>
      <c r="BF6" s="1033"/>
      <c r="BG6" s="1033"/>
      <c r="BH6" s="1033"/>
      <c r="BI6" s="1033"/>
      <c r="BJ6" s="1033"/>
      <c r="BK6" s="1033"/>
      <c r="BL6" s="1033"/>
      <c r="BM6" s="1033"/>
      <c r="BN6" s="1033"/>
      <c r="BO6" s="1033"/>
      <c r="BP6" s="1033"/>
      <c r="BQ6" s="1033"/>
      <c r="BR6" s="1033"/>
      <c r="BS6" s="1033"/>
    </row>
    <row r="7" spans="1:71" s="1045" customFormat="1">
      <c r="A7" s="1042"/>
      <c r="B7" s="1043"/>
      <c r="C7" s="1043"/>
      <c r="D7" s="1042"/>
      <c r="E7" s="1042"/>
      <c r="F7" s="1042"/>
      <c r="G7" s="1043"/>
      <c r="H7" s="1042"/>
      <c r="I7" s="1042"/>
      <c r="J7" s="1043"/>
      <c r="K7" s="1043"/>
      <c r="L7" s="1043"/>
      <c r="M7" s="1043"/>
      <c r="N7" s="1043"/>
      <c r="O7" s="1043"/>
      <c r="P7" s="1043"/>
      <c r="Q7" s="1044"/>
      <c r="R7" s="1044"/>
      <c r="S7" s="1044"/>
      <c r="T7" s="1044"/>
      <c r="U7" s="1044"/>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c r="AT7" s="1043"/>
      <c r="AU7" s="1043"/>
      <c r="AV7" s="1043"/>
      <c r="AW7" s="1043"/>
      <c r="AX7" s="1043"/>
      <c r="AY7" s="1043"/>
      <c r="AZ7" s="1043"/>
      <c r="BA7" s="1043"/>
      <c r="BB7" s="1043"/>
      <c r="BC7" s="1043"/>
      <c r="BD7" s="1043"/>
      <c r="BE7" s="1043"/>
      <c r="BF7" s="1043"/>
      <c r="BG7" s="1043"/>
      <c r="BH7" s="1043"/>
      <c r="BI7" s="1043"/>
      <c r="BJ7" s="1043"/>
      <c r="BK7" s="1043"/>
      <c r="BL7" s="1043"/>
      <c r="BM7" s="1043"/>
      <c r="BN7" s="1043"/>
      <c r="BO7" s="1043"/>
      <c r="BP7" s="1043"/>
      <c r="BQ7" s="1043"/>
      <c r="BR7" s="1043"/>
      <c r="BS7" s="1043"/>
    </row>
    <row r="8" spans="1:71" s="1046" customFormat="1" ht="45">
      <c r="A8" s="1760" t="s">
        <v>11960</v>
      </c>
      <c r="B8" s="729" t="s">
        <v>11961</v>
      </c>
      <c r="C8" s="729" t="s">
        <v>11962</v>
      </c>
      <c r="D8" s="729" t="s">
        <v>11963</v>
      </c>
      <c r="E8" s="729" t="s">
        <v>11964</v>
      </c>
      <c r="F8" s="729" t="s">
        <v>11965</v>
      </c>
      <c r="G8" s="730" t="s">
        <v>81</v>
      </c>
      <c r="H8" s="729" t="s">
        <v>11966</v>
      </c>
      <c r="I8" s="729" t="s">
        <v>11967</v>
      </c>
      <c r="J8" s="729" t="s">
        <v>11968</v>
      </c>
      <c r="K8" s="729" t="s">
        <v>11969</v>
      </c>
      <c r="L8" s="729" t="s">
        <v>11970</v>
      </c>
      <c r="M8" s="729" t="s">
        <v>11971</v>
      </c>
      <c r="N8" s="730" t="s">
        <v>11632</v>
      </c>
      <c r="O8" s="730" t="s">
        <v>11972</v>
      </c>
      <c r="P8" s="730" t="s">
        <v>11973</v>
      </c>
      <c r="Q8" s="151" t="s">
        <v>11974</v>
      </c>
      <c r="R8" s="152"/>
      <c r="S8" s="152"/>
      <c r="T8" s="152"/>
      <c r="U8" s="153"/>
      <c r="V8" s="1762" t="s">
        <v>11975</v>
      </c>
      <c r="W8" s="1763"/>
      <c r="X8" s="1763"/>
      <c r="Y8" s="1763"/>
      <c r="Z8" s="1763"/>
      <c r="AA8" s="1763"/>
      <c r="AB8" s="1763"/>
      <c r="AC8" s="1763"/>
      <c r="AD8" s="1763"/>
      <c r="AE8" s="1763"/>
      <c r="AF8" s="1763"/>
      <c r="AG8" s="1763"/>
      <c r="AH8" s="1763"/>
      <c r="AI8" s="1763"/>
      <c r="AJ8" s="1763"/>
      <c r="AK8" s="735"/>
      <c r="AL8" s="735"/>
      <c r="AM8" s="735"/>
      <c r="AN8" s="735"/>
      <c r="AO8" s="735"/>
      <c r="AP8" s="735"/>
      <c r="AQ8" s="735"/>
      <c r="AR8" s="735"/>
      <c r="AS8" s="735"/>
      <c r="AT8" s="735"/>
      <c r="AU8" s="735"/>
      <c r="AV8" s="735"/>
      <c r="AW8" s="735"/>
      <c r="AX8" s="734"/>
      <c r="AY8" s="154" t="s">
        <v>11974</v>
      </c>
      <c r="AZ8" s="732"/>
      <c r="BA8" s="732"/>
      <c r="BB8" s="732"/>
      <c r="BC8" s="155"/>
      <c r="BD8" s="729" t="s">
        <v>11976</v>
      </c>
      <c r="BE8" s="1761" t="s">
        <v>20397</v>
      </c>
      <c r="BF8" s="154" t="s">
        <v>27</v>
      </c>
      <c r="BG8" s="1762" t="s">
        <v>20399</v>
      </c>
      <c r="BH8" s="1765"/>
      <c r="BI8" s="1762" t="s">
        <v>20400</v>
      </c>
      <c r="BJ8" s="1765"/>
      <c r="BK8" s="1762" t="s">
        <v>11977</v>
      </c>
      <c r="BL8" s="1766"/>
      <c r="BM8" s="1766"/>
      <c r="BN8" s="1766"/>
      <c r="BO8" s="1766"/>
      <c r="BP8" s="1766"/>
      <c r="BQ8" s="1765"/>
      <c r="BR8" s="731" t="s">
        <v>11978</v>
      </c>
      <c r="BS8" s="734"/>
    </row>
    <row r="9" spans="1:71" s="1047" customFormat="1" ht="20.25" customHeight="1">
      <c r="A9" s="1761"/>
      <c r="B9" s="730"/>
      <c r="C9" s="729"/>
      <c r="D9" s="729"/>
      <c r="E9" s="729"/>
      <c r="F9" s="729"/>
      <c r="G9" s="156"/>
      <c r="H9" s="729"/>
      <c r="I9" s="729"/>
      <c r="J9" s="729"/>
      <c r="K9" s="729"/>
      <c r="L9" s="729"/>
      <c r="M9" s="729"/>
      <c r="N9" s="733"/>
      <c r="O9" s="733"/>
      <c r="P9" s="733"/>
      <c r="Q9" s="150" t="s">
        <v>11979</v>
      </c>
      <c r="R9" s="150" t="s">
        <v>11980</v>
      </c>
      <c r="S9" s="150" t="s">
        <v>11633</v>
      </c>
      <c r="T9" s="150" t="s">
        <v>11634</v>
      </c>
      <c r="U9" s="150" t="s">
        <v>11635</v>
      </c>
      <c r="V9" s="731" t="s">
        <v>27</v>
      </c>
      <c r="W9" s="731" t="s">
        <v>57</v>
      </c>
      <c r="X9" s="731" t="s">
        <v>11981</v>
      </c>
      <c r="Y9" s="731" t="s">
        <v>11980</v>
      </c>
      <c r="Z9" s="731" t="s">
        <v>11633</v>
      </c>
      <c r="AA9" s="731" t="s">
        <v>11634</v>
      </c>
      <c r="AB9" s="731" t="s">
        <v>11635</v>
      </c>
      <c r="AC9" s="731" t="s">
        <v>20395</v>
      </c>
      <c r="AD9" s="731" t="s">
        <v>57</v>
      </c>
      <c r="AE9" s="731" t="s">
        <v>11981</v>
      </c>
      <c r="AF9" s="731" t="s">
        <v>11980</v>
      </c>
      <c r="AG9" s="731" t="s">
        <v>11633</v>
      </c>
      <c r="AH9" s="731" t="s">
        <v>11634</v>
      </c>
      <c r="AI9" s="731" t="s">
        <v>11635</v>
      </c>
      <c r="AJ9" s="731" t="s">
        <v>20396</v>
      </c>
      <c r="AK9" s="734" t="s">
        <v>57</v>
      </c>
      <c r="AL9" s="729" t="s">
        <v>11981</v>
      </c>
      <c r="AM9" s="729" t="s">
        <v>11980</v>
      </c>
      <c r="AN9" s="729" t="s">
        <v>11633</v>
      </c>
      <c r="AO9" s="729" t="s">
        <v>11634</v>
      </c>
      <c r="AP9" s="729" t="s">
        <v>11635</v>
      </c>
      <c r="AQ9" s="729" t="s">
        <v>11982</v>
      </c>
      <c r="AR9" s="729" t="s">
        <v>57</v>
      </c>
      <c r="AS9" s="729" t="s">
        <v>11981</v>
      </c>
      <c r="AT9" s="729" t="s">
        <v>11980</v>
      </c>
      <c r="AU9" s="729" t="s">
        <v>11633</v>
      </c>
      <c r="AV9" s="729" t="s">
        <v>11634</v>
      </c>
      <c r="AW9" s="729" t="s">
        <v>11635</v>
      </c>
      <c r="AX9" s="729" t="s">
        <v>11983</v>
      </c>
      <c r="AY9" s="729" t="s">
        <v>11979</v>
      </c>
      <c r="AZ9" s="729" t="s">
        <v>11980</v>
      </c>
      <c r="BA9" s="729" t="s">
        <v>11633</v>
      </c>
      <c r="BB9" s="729" t="s">
        <v>11634</v>
      </c>
      <c r="BC9" s="729" t="s">
        <v>11635</v>
      </c>
      <c r="BD9" s="729"/>
      <c r="BE9" s="1764"/>
      <c r="BF9" s="730" t="s">
        <v>20398</v>
      </c>
      <c r="BG9" s="730" t="s">
        <v>20401</v>
      </c>
      <c r="BH9" s="730" t="s">
        <v>20402</v>
      </c>
      <c r="BI9" s="730" t="s">
        <v>20401</v>
      </c>
      <c r="BJ9" s="730" t="s">
        <v>20402</v>
      </c>
      <c r="BK9" s="729" t="s">
        <v>27</v>
      </c>
      <c r="BL9" s="729" t="s">
        <v>11984</v>
      </c>
      <c r="BM9" s="729" t="s">
        <v>20403</v>
      </c>
      <c r="BN9" s="729" t="s">
        <v>20404</v>
      </c>
      <c r="BO9" s="729" t="s">
        <v>11985</v>
      </c>
      <c r="BP9" s="729" t="s">
        <v>11986</v>
      </c>
      <c r="BQ9" s="729" t="s">
        <v>11636</v>
      </c>
      <c r="BR9" s="733" t="s">
        <v>11987</v>
      </c>
      <c r="BS9" s="733" t="s">
        <v>11988</v>
      </c>
    </row>
    <row r="10" spans="1:71" ht="13.5" customHeight="1">
      <c r="A10" s="1048"/>
      <c r="B10" s="1049"/>
      <c r="C10" s="1049"/>
      <c r="D10" s="1050"/>
      <c r="E10" s="1050"/>
      <c r="F10" s="1051"/>
      <c r="G10" s="1052"/>
      <c r="H10" s="1050"/>
      <c r="I10" s="1050"/>
      <c r="J10" s="1052"/>
      <c r="K10" s="1052"/>
      <c r="L10" s="1052"/>
      <c r="M10" s="1052"/>
      <c r="N10" s="1052"/>
      <c r="O10" s="1052"/>
      <c r="P10" s="1052"/>
      <c r="Q10" s="1053"/>
      <c r="R10" s="1053"/>
      <c r="S10" s="1053"/>
      <c r="T10" s="1053"/>
      <c r="U10" s="1053"/>
      <c r="V10" s="1052"/>
      <c r="W10" s="1054"/>
      <c r="X10" s="1054"/>
      <c r="Y10" s="1054"/>
      <c r="Z10" s="1054"/>
      <c r="AA10" s="1054"/>
      <c r="AB10" s="1054"/>
      <c r="AC10" s="1054"/>
      <c r="AD10" s="1054"/>
      <c r="AE10" s="1054"/>
      <c r="AF10" s="1054"/>
      <c r="AG10" s="1054"/>
      <c r="AH10" s="1054"/>
      <c r="AI10" s="1054"/>
      <c r="AJ10" s="1054"/>
      <c r="AK10" s="1052"/>
      <c r="AL10" s="1052"/>
      <c r="AM10" s="1052"/>
      <c r="AN10" s="1052"/>
      <c r="AO10" s="1052"/>
      <c r="AP10" s="1052"/>
      <c r="AQ10" s="1052"/>
      <c r="AR10" s="1052"/>
      <c r="AS10" s="1052"/>
      <c r="AT10" s="1052"/>
      <c r="AU10" s="1052"/>
      <c r="AV10" s="1052"/>
      <c r="AW10" s="1052"/>
      <c r="AX10" s="1052"/>
      <c r="AY10" s="1052"/>
      <c r="AZ10" s="1052"/>
      <c r="BA10" s="1052"/>
      <c r="BB10" s="1052"/>
      <c r="BC10" s="1052"/>
      <c r="BD10" s="1052"/>
      <c r="BE10" s="1055"/>
      <c r="BF10" s="1052"/>
      <c r="BG10" s="1055"/>
      <c r="BH10" s="1055"/>
      <c r="BI10" s="1055"/>
      <c r="BJ10" s="1055"/>
      <c r="BK10" s="1052"/>
      <c r="BL10" s="1052"/>
      <c r="BM10" s="1052"/>
      <c r="BN10" s="1052"/>
      <c r="BO10" s="1052"/>
      <c r="BP10" s="1052"/>
      <c r="BQ10" s="1052"/>
      <c r="BR10" s="1052"/>
      <c r="BS10" s="1052"/>
    </row>
    <row r="11" spans="1:71">
      <c r="A11" s="1057">
        <v>1</v>
      </c>
      <c r="B11" s="1049" t="s">
        <v>12011</v>
      </c>
      <c r="C11" s="1049" t="s">
        <v>11992</v>
      </c>
      <c r="D11" s="1050">
        <v>2.1</v>
      </c>
      <c r="E11" s="1050">
        <v>2.1</v>
      </c>
      <c r="F11" s="1051">
        <f>IF(A11&lt;&gt;0,AVERAGE(D11:E11),"")</f>
        <v>2.1</v>
      </c>
      <c r="G11" s="1052" t="s">
        <v>11699</v>
      </c>
      <c r="H11" s="1050">
        <v>700</v>
      </c>
      <c r="I11" s="1058">
        <v>2.75</v>
      </c>
      <c r="J11" s="1059">
        <f>IF(A11&lt;&gt;0,IF(AND(N11="Inclinada",H11&lt;600),(H11/1000+0.6),IF(AND(N11="Inclinada",H11&gt;=600),(H11/1000+0.6),IF(N11="Reta",((H11/1000)+('PARAMETROS MC'!D$11))))),"")</f>
        <v>1.5</v>
      </c>
      <c r="K11" s="1052" t="s">
        <v>11989</v>
      </c>
      <c r="L11" s="1060" t="str">
        <f>IF(A11&lt;&gt;0,IF(K11="",0,IF(K11="Sem Revestimento","-",IF(N11="Inclinada",((R11+(2*'PARAMETROS MC'!D$14))*I11),IF(N11="Reta",((J11+(2*'PARAMETROS MC'!D$14))*I11))))),"")</f>
        <v>-</v>
      </c>
      <c r="M11" s="1060" t="str">
        <f>IF(A11&lt;&gt;0,IF(K11="",0,IF(K11="Sem Revestimento","-",IF(N11="Inclinada",((R11+(2*'PARAMETROS MC'!D$14))*I11),IF(N11="Reta",((J11+(2*'PARAMETROS MC'!D$14))*I11))))),"")</f>
        <v>-</v>
      </c>
      <c r="N11" s="1052" t="str">
        <f>IF(F11&gt;2.5,"Inclinada","Reta")</f>
        <v>Reta</v>
      </c>
      <c r="O11" s="1061">
        <f t="shared" ref="O11:O55" si="0">IF(A11&lt;&gt;0,IF(N11="Reta",(I11*J11),IF(N11="Inclinada",I11*R11)),"")</f>
        <v>4.125</v>
      </c>
      <c r="P11" s="1061">
        <f t="shared" ref="P11:P55" si="1">IF(A11&lt;&gt;0,(J11*I11),"")</f>
        <v>4.125</v>
      </c>
      <c r="Q11" s="1053" t="str">
        <f>IF(A11&lt;&gt;0,IF(N11="Inclinada",(F11*(TAN('PARAMETROS MC'!D$9*PI()/180))),IF(N11="Reta","-")),"")</f>
        <v>-</v>
      </c>
      <c r="R11" s="1053" t="str">
        <f t="shared" ref="R11:R55" si="2">IF(A11&lt;&gt;0,IF(N11="Inclinada",((2*Q11)+J11),IF(N11="Reta","-")),"")</f>
        <v>-</v>
      </c>
      <c r="S11" s="1053" t="str">
        <f t="shared" ref="S11:S55" si="3">IF(A11&lt;&gt;0,IF(N11="Inclinada",I11,IF(N11="Reta","-")),"")</f>
        <v>-</v>
      </c>
      <c r="T11" s="1053" t="str">
        <f t="shared" ref="T11:T55" si="4">IF(A11&lt;&gt;0,IF(N11="Inclinada",J11,IF(N11="Reta","-")),"")</f>
        <v>-</v>
      </c>
      <c r="U11" s="1053" t="str">
        <f t="shared" ref="U11:U55" si="5">IF(A11&lt;&gt;0,IF(N11="Inclinada",I11,IF(N11="Reta","-")),"")</f>
        <v>-</v>
      </c>
      <c r="V11" s="1055">
        <f t="shared" ref="V11:V55" si="6">IF(A11&lt;&gt;0,IF(N11="Inclinada",(F11/6)*((2*R11+T11)*S11+((2*T11+R11)*U11)),IF(N11="Reta",(J11*I11*F11))),"")</f>
        <v>8.6624999999999996</v>
      </c>
      <c r="W11" s="1052">
        <f>IF(A11&lt;&gt;0,IF(N11="Inclinada",IF(F11&lt;=1.5,F11,1.5),IF(N11="Reta",IF(F11&lt;=1.5,F11,1.5))),"")</f>
        <v>1.5</v>
      </c>
      <c r="X11" s="1052" t="str">
        <f>IF(A11&lt;&gt;0,IF(N11="Inclinada",((AK11+AR11+AD11+W11)*(TAN('PARAMETROS MC'!D$9*PI()/180))),IF(N11="Reta","-")),"")</f>
        <v>-</v>
      </c>
      <c r="Y11" s="1052" t="str">
        <f t="shared" ref="Y11:Y55" si="7">IF(A11&lt;&gt;0,IF(N11="Inclinada",R11,IF(N11="Reta","-")),"")</f>
        <v>-</v>
      </c>
      <c r="Z11" s="1052" t="str">
        <f t="shared" ref="Z11:Z55" si="8">IF(A11&lt;&gt;0,IF(N11="Inclinada",S11,IF(N11="Reta","-")),"")</f>
        <v>-</v>
      </c>
      <c r="AA11" s="1052" t="str">
        <f>IF(AF11&lt;&gt;"",AF11,"")</f>
        <v>-</v>
      </c>
      <c r="AB11" s="1052" t="str">
        <f>IF(AG11&lt;&gt;"",AG11,"")</f>
        <v>-</v>
      </c>
      <c r="AC11" s="1055">
        <f t="shared" ref="AC11:AC55" si="9">IF(A11&lt;&gt;0,IF(N11="Inclinada",((W11/6)*(((2*Y11+AA11)*Z11)+((2*AA11+Y11)*AB11))),IF(N11="Reta",(J11*I11*W11))),"")</f>
        <v>6.1875</v>
      </c>
      <c r="AD11" s="1052">
        <f>IF(A11&lt;&gt;0,IF(N11="Inclinada",IF(AND(F11&gt;1.5,F11&lt;=3),(F11-1.5),IF(F11&lt;=1.5,0,IF(F11&gt;3,1.5))),IF(N11="Reta",IF(AND(F11&gt;1.5,F11&lt;=3),(F11-1.5),IF(F11&lt;=1.5,0,IF(F11&gt;3,1.5))))),"")</f>
        <v>0.60000000000000009</v>
      </c>
      <c r="AE11" s="1052" t="str">
        <f>IF(A11&lt;&gt;0,IF(N11="Inclinada",((AK11+AR11+AD11)*(TAN('PARAMETROS MC'!D$9*PI()/180))),IF(N11="Reta","-")),"")</f>
        <v>-</v>
      </c>
      <c r="AF11" s="1052" t="str">
        <f t="shared" ref="AF11:AF55" si="10">IF(A11&lt;&gt;0,IF(N11="Inclinada",(2*AE11)+AV11,IF(N11="Reta","-")),"")</f>
        <v>-</v>
      </c>
      <c r="AG11" s="1052" t="str">
        <f>IF(AW11&lt;&gt;"",AW11,"")</f>
        <v>-</v>
      </c>
      <c r="AH11" s="1052" t="str">
        <f>IF(AM11&lt;&gt;"",AM11,"")</f>
        <v>-</v>
      </c>
      <c r="AI11" s="1052" t="str">
        <f>IF(AN11&lt;&gt;"",AN11,"")</f>
        <v>-</v>
      </c>
      <c r="AJ11" s="1055">
        <f t="shared" ref="AJ11:AJ55" si="11">IF(A11&lt;&gt;0,IF(OR(AD11=0,AD11="-"),0,IF(N11="Inclinada",((AD11/6)*(((2*AF11+AH11)*AG11)+((2*AH11+AF11)*AI11))),IF(N11="Reta",(J11*I11*AD11)))),"")</f>
        <v>2.4750000000000005</v>
      </c>
      <c r="AK11" s="1052">
        <f t="shared" ref="AK11:AK55" si="12">IF(A11&lt;&gt;0,IF(N11="Inclinada",IF(AND(F11&gt;4,F11&lt;=6),(F11-4),IF(F11&lt;=4,0,IF(F11&gt;6,2))),IF(N11="Reta",IF(AND(F11&gt;4,F11&lt;=6),(F11-4),IF(F11&lt;=4,0,IF(F11&gt;6,2))))),"")</f>
        <v>0</v>
      </c>
      <c r="AL11" s="1052" t="str">
        <f>IF(A11&lt;&gt;0,IF(N11="Inclinada",((AK11+AR11)*(TAN('PARAMETROS MC'!D$9*PI()/180))),IF(N11="Reta","-")),"")</f>
        <v>-</v>
      </c>
      <c r="AM11" s="1059" t="str">
        <f t="shared" ref="AM11:AM55" si="13">IF(A11&lt;&gt;0,IF(N11="Inclinada",(2*AL11)+AV11,IF(N11="Reta","-")),"")</f>
        <v>-</v>
      </c>
      <c r="AN11" s="1052" t="str">
        <f>IF(AW11&lt;&gt;"",AW11,"")</f>
        <v>-</v>
      </c>
      <c r="AO11" s="1052" t="str">
        <f>IF(AT11&lt;&gt;"",AT11,"")</f>
        <v>-</v>
      </c>
      <c r="AP11" s="1052" t="str">
        <f>IF(AU11&lt;&gt;"",AU11,"")</f>
        <v>-</v>
      </c>
      <c r="AQ11" s="1055">
        <f t="shared" ref="AQ11:AQ55" si="14">IF(A11&lt;&gt;0,IF(OR(AK11=0,AK11="-"),0,IF(N11="Inclinada",((AK11/6)*(((2*AM11+AO11)*AN11)+((2*AO11+AM11)*AP11))),IF(N11="Reta",(J11*I11*AK11)))),"")</f>
        <v>0</v>
      </c>
      <c r="AR11" s="1052">
        <f t="shared" ref="AR11:AR55" si="15">IF(A11&lt;&gt;0,IF(N11="Inclinada",IF(F11&lt;=6,0,(F11-6)),IF(N11="Reta",IF(F11&lt;=6,0,(F11-6)))),"")</f>
        <v>0</v>
      </c>
      <c r="AS11" s="1052" t="str">
        <f>IF(A11&lt;&gt;0,IF(N11="Inclinada",(AR11*(TAN('PARAMETROS MC'!D$9*PI()/180))),IF(N11="Reta","-")),"")</f>
        <v>-</v>
      </c>
      <c r="AT11" s="1052" t="str">
        <f t="shared" ref="AT11:AT55" si="16">IF(A11&lt;&gt;0,IF(N11="Inclinada",(2*AS11)+AV11,IF(N11="Reta","-")),"")</f>
        <v>-</v>
      </c>
      <c r="AU11" s="1052" t="str">
        <f t="shared" ref="AU11:AU55" si="17">IF(A11&lt;&gt;0,IF(N11="Inclinada",I11,IF(N11="Reta","-")),"")</f>
        <v>-</v>
      </c>
      <c r="AV11" s="1052" t="str">
        <f t="shared" ref="AV11:AV55" si="18">IF(A11&lt;&gt;0,IF(N11="Inclinada",J11,IF(N11="Reta","-")),"")</f>
        <v>-</v>
      </c>
      <c r="AW11" s="1052" t="str">
        <f t="shared" ref="AW11:AW55" si="19">IF(A11&lt;&gt;0,IF(N11="Inclinada",I11,IF(N11="Reta","-")),"")</f>
        <v>-</v>
      </c>
      <c r="AX11" s="1055">
        <f t="shared" ref="AX11:AX55" si="20">IF(A11&lt;&gt;0,IF(OR(AR11=0,AR11="-"),0,IF(N11="Inclinada",(((AR11/6)*(((2*AT11+AV11)*AU11)+((2*AV11+AT11)*AW11)))),IF(N11="Reta",((J11*I11*AR11))))),"")</f>
        <v>0</v>
      </c>
      <c r="AY11" s="1055" t="str">
        <f>IF(A11&lt;&gt;0,IF(N11="Reta","-",IF(N11="Inclinada",(((H11/1000)+'PARAMETROS MC'!C$35)*(TAN('PARAMETROS MC'!D$9*PI()/180))))),"")</f>
        <v>-</v>
      </c>
      <c r="AZ11" s="1055" t="str">
        <f t="shared" ref="AZ11:AZ55" si="21">IF(A11&lt;&gt;0,IF(N11="Reta","-",IF(N11="Inclinada",(AY11*2+J11))),"")</f>
        <v>-</v>
      </c>
      <c r="BA11" s="1055" t="str">
        <f t="shared" ref="BA11:BA55" si="22">IF(A11&lt;&gt;0,IF(N11="Reta","-",IF(N11="Inclinada",S11)),"")</f>
        <v>-</v>
      </c>
      <c r="BB11" s="1055" t="str">
        <f t="shared" ref="BB11:BB55" si="23">IF(A11&lt;&gt;0,IF(N11="Reta","-",IF(N11="Inclinada",T11)),"")</f>
        <v>-</v>
      </c>
      <c r="BC11" s="1055" t="str">
        <f t="shared" ref="BC11:BC55" si="24">IF(A11&lt;&gt;0,IF(N11="Reta","-",IF(N11="Inclinada",U11)),"")</f>
        <v>-</v>
      </c>
      <c r="BD11" s="1055">
        <f t="shared" ref="BD11:BD55" si="25">IF(A11&lt;&gt;0,((PI()*((H11/1000)/2)^2*I11)),"")</f>
        <v>1.0583240251780615</v>
      </c>
      <c r="BE11" s="1055">
        <f>IF(A11&lt;&gt;0,IF(N11="Inclinada",((((H11/1000+'PARAMETROS MC'!C$35)/6)*(((2*AZ11+BB11)*BA11)+((2*BB11+AZ11)*BC11)))-BD11),IF(N11="Reta",((I11*J11*((H11/1000)+'PARAMETROS MC'!C$35)-BD11)))),"")</f>
        <v>3.0666759748219388</v>
      </c>
      <c r="BF11" s="1055">
        <f>IF(A11&lt;&gt;0,(V11-BE11-BD11),"")</f>
        <v>4.5374999999999996</v>
      </c>
      <c r="BG11" s="1055" t="str">
        <f>IF(A11&lt;&gt;0,IF(J11&lt;=0.8,IF(F11&lt;=1.5,(V11-(BD11+BE11)),""),""))</f>
        <v/>
      </c>
      <c r="BH11" s="1055" t="str">
        <f>IF(A11&lt;&gt;0,IF(J11&lt;=0.8,IF(F11&gt;1.5,(V11-(BD11+BE11)),""),""))</f>
        <v/>
      </c>
      <c r="BI11" s="1055" t="str">
        <f>IF(A11&lt;&gt;0,IF(J11&gt;0.8,IF(F11&lt;=1.5,(V11-(BD11+BE11)),""),""))</f>
        <v/>
      </c>
      <c r="BJ11" s="1055">
        <f>IF(A11&lt;&gt;0,IF(J11&gt;0.8,IF(F11&gt;1.5,(V11-(BD11+BE11)),""),""))</f>
        <v>4.5374999999999996</v>
      </c>
      <c r="BK11" s="1052">
        <f>IF(A11&lt;&gt;0,IF(N11="Reta",IF(F11&lt;'PARAMETROS MC'!B$17,"-",(I11*F11*2)),IF(N11="Inclinada","-")),"")</f>
        <v>11.55</v>
      </c>
      <c r="BL11" s="1055">
        <f>IF(A11&lt;&gt;0,IF(N11="Reta",IF(F11&lt;'PARAMETROS MC'!B$17,"-",IF(F11&gt;='PARAMETROS MC'!B$17,(BK11*('PARAMETROS MC'!B$18/100)))),IF(N11="Inclinada","-")),"")</f>
        <v>11.2035</v>
      </c>
      <c r="BM11" s="1055" t="str">
        <f>IF(J11&lt;=1.5,IF(F11&lt;=1.5,BL11,""),"")</f>
        <v/>
      </c>
      <c r="BN11" s="1055">
        <f>IF(J11&lt;=1.5,IF(F11&gt;1.5,BL11,""),"")</f>
        <v>11.2035</v>
      </c>
      <c r="BO11" s="1052">
        <f>IF(A11&lt;&gt;0,IF(N11="Reta",IF(F11&lt;'PARAMETROS MC'!B$17,"-",IF(F11&gt;='PARAMETROS MC'!B$17,(BK11*('PARAMETROS MC'!B$19/100)))),IF(N11="Inclinada","-")),"")</f>
        <v>0</v>
      </c>
      <c r="BP11" s="1060">
        <f>IF(A11&lt;&gt;0,IF(N11="Reta",IF(F11&lt;'PARAMETROS MC'!B$17,"-",IF(F11&gt;='PARAMETROS MC'!B$17,(BK11*('PARAMETROS MC'!B$20/100)))),IF(N11="Inclinada","-")),"")</f>
        <v>0</v>
      </c>
      <c r="BQ11" s="1060">
        <f>IF(A11&lt;&gt;0,IF(N11="Reta",IF(F11&lt;'PARAMETROS MC'!B$17,"-",IF(F11&gt;='PARAMETROS MC'!B$17,(BK11*('PARAMETROS MC'!B$21/100)))),IF(N11="Inclinada","-")),"")</f>
        <v>0.34650000000000003</v>
      </c>
      <c r="BR11" s="1052"/>
      <c r="BS11" s="1052" t="str">
        <f t="shared" ref="BS11:BS55" si="26">IF(A11&lt;&gt;0,IF(BR11="","-",IF(F11&lt;BR11,"-",IF(F11&gt;=BR11,I11))),"")</f>
        <v>-</v>
      </c>
    </row>
    <row r="12" spans="1:71">
      <c r="A12" s="1057">
        <v>2</v>
      </c>
      <c r="B12" s="1049" t="str">
        <f>C11</f>
        <v>CP01</v>
      </c>
      <c r="C12" s="1049" t="s">
        <v>11993</v>
      </c>
      <c r="D12" s="1050">
        <f>E11</f>
        <v>2.1</v>
      </c>
      <c r="E12" s="1050">
        <v>1.4</v>
      </c>
      <c r="F12" s="1051">
        <f>IF(A12&lt;&gt;0,AVERAGE(D12:E12),"")</f>
        <v>1.75</v>
      </c>
      <c r="G12" s="1052" t="s">
        <v>11699</v>
      </c>
      <c r="H12" s="1050">
        <v>700</v>
      </c>
      <c r="I12" s="1058">
        <v>27</v>
      </c>
      <c r="J12" s="1059">
        <f>IF(A12&lt;&gt;0,IF(AND(N12="Inclinada",H12&lt;600),(H12/1000+0.6),IF(AND(N12="Inclinada",H12&gt;=600),(H12/1000+0.6),IF(N12="Reta",((H12/1000)+('PARAMETROS MC'!D$11))))),"")</f>
        <v>1.5</v>
      </c>
      <c r="K12" s="1052" t="s">
        <v>11989</v>
      </c>
      <c r="L12" s="1060" t="str">
        <f>IF(A12&lt;&gt;0,IF(K12="",0,IF(K12="Sem Revestimento","-",IF(N12="Inclinada",((R12+(2*'PARAMETROS MC'!D$14))*I12),IF(N12="Reta",((J12+(2*'PARAMETROS MC'!D$14))*I12))))),"")</f>
        <v>-</v>
      </c>
      <c r="M12" s="1060" t="str">
        <f>IF(A12&lt;&gt;0,IF(K12="",0,IF(K12="Sem Revestimento","-",IF(N12="Inclinada",((R12+(2*'PARAMETROS MC'!D$14))*I12),IF(N12="Reta",((J12+(2*'PARAMETROS MC'!D$14))*I12))))),"")</f>
        <v>-</v>
      </c>
      <c r="N12" s="1052" t="str">
        <f t="shared" ref="N12:N55" si="27">IF(F12&gt;2.5,"Inclinada","Reta")</f>
        <v>Reta</v>
      </c>
      <c r="O12" s="1061">
        <f t="shared" si="0"/>
        <v>40.5</v>
      </c>
      <c r="P12" s="1061">
        <f t="shared" si="1"/>
        <v>40.5</v>
      </c>
      <c r="Q12" s="1053" t="str">
        <f>IF(A12&lt;&gt;0,IF(N12="Inclinada",(F12*(TAN('PARAMETROS MC'!D$9*PI()/180))),IF(N12="Reta","-")),"")</f>
        <v>-</v>
      </c>
      <c r="R12" s="1053" t="str">
        <f t="shared" si="2"/>
        <v>-</v>
      </c>
      <c r="S12" s="1053" t="str">
        <f t="shared" si="3"/>
        <v>-</v>
      </c>
      <c r="T12" s="1053" t="str">
        <f t="shared" si="4"/>
        <v>-</v>
      </c>
      <c r="U12" s="1053" t="str">
        <f t="shared" si="5"/>
        <v>-</v>
      </c>
      <c r="V12" s="1055">
        <f t="shared" si="6"/>
        <v>70.875</v>
      </c>
      <c r="W12" s="1052">
        <f t="shared" ref="W12:W55" si="28">IF(A12&lt;&gt;0,IF(N12="Inclinada",IF(F12&lt;=1.5,F12,1.5),IF(N12="Reta",IF(F12&lt;=1.5,F12,1.5))),"")</f>
        <v>1.5</v>
      </c>
      <c r="X12" s="1052" t="str">
        <f>IF(A12&lt;&gt;0,IF(N12="Inclinada",((AK12+AR12+AD12+W12)*(TAN('PARAMETROS MC'!D$9*PI()/180))),IF(N12="Reta","-")),"")</f>
        <v>-</v>
      </c>
      <c r="Y12" s="1052" t="str">
        <f t="shared" si="7"/>
        <v>-</v>
      </c>
      <c r="Z12" s="1052" t="str">
        <f t="shared" si="8"/>
        <v>-</v>
      </c>
      <c r="AA12" s="1052" t="str">
        <f t="shared" ref="AA12:AA24" si="29">IF(AF12&lt;&gt;"",AF12,"")</f>
        <v>-</v>
      </c>
      <c r="AB12" s="1052" t="str">
        <f t="shared" ref="AB12:AB24" si="30">IF(AG12&lt;&gt;"",AG12,"")</f>
        <v>-</v>
      </c>
      <c r="AC12" s="1055">
        <f t="shared" si="9"/>
        <v>60.75</v>
      </c>
      <c r="AD12" s="1052">
        <f t="shared" ref="AD12:AD55" si="31">IF(A12&lt;&gt;0,IF(N12="Inclinada",IF(AND(F12&gt;1.5,F12&lt;=3),(F12-1.5),IF(F12&lt;=1.5,0,IF(F12&gt;3,1.5))),IF(N12="Reta",IF(AND(F12&gt;1.5,F12&lt;=3),(F12-1.5),IF(F12&lt;=1.5,0,IF(F12&gt;3,1.5))))),"")</f>
        <v>0.25</v>
      </c>
      <c r="AE12" s="1052" t="str">
        <f>IF(A12&lt;&gt;0,IF(N12="Inclinada",((AK12+AR12+AD12)*(TAN('PARAMETROS MC'!D$9*PI()/180))),IF(N12="Reta","-")),"")</f>
        <v>-</v>
      </c>
      <c r="AF12" s="1052" t="str">
        <f t="shared" si="10"/>
        <v>-</v>
      </c>
      <c r="AG12" s="1052" t="str">
        <f t="shared" ref="AG12:AG24" si="32">IF(AW12&lt;&gt;"",AW12,"")</f>
        <v>-</v>
      </c>
      <c r="AH12" s="1052" t="str">
        <f t="shared" ref="AH12:AH24" si="33">IF(AM12&lt;&gt;"",AM12,"")</f>
        <v>-</v>
      </c>
      <c r="AI12" s="1052" t="str">
        <f t="shared" ref="AI12:AI24" si="34">IF(AN12&lt;&gt;"",AN12,"")</f>
        <v>-</v>
      </c>
      <c r="AJ12" s="1055">
        <f t="shared" si="11"/>
        <v>10.125</v>
      </c>
      <c r="AK12" s="1052">
        <f t="shared" si="12"/>
        <v>0</v>
      </c>
      <c r="AL12" s="1052" t="str">
        <f>IF(A12&lt;&gt;0,IF(N12="Inclinada",((AK12+AR12)*(TAN('PARAMETROS MC'!D$9*PI()/180))),IF(N12="Reta","-")),"")</f>
        <v>-</v>
      </c>
      <c r="AM12" s="1059" t="str">
        <f t="shared" si="13"/>
        <v>-</v>
      </c>
      <c r="AN12" s="1052" t="str">
        <f>IF(AW12&lt;&gt;"",AW12,"")</f>
        <v>-</v>
      </c>
      <c r="AO12" s="1052" t="str">
        <f>IF(AT12&lt;&gt;"",AT12,"")</f>
        <v>-</v>
      </c>
      <c r="AP12" s="1052" t="str">
        <f>IF(AU12&lt;&gt;"",AU12,"")</f>
        <v>-</v>
      </c>
      <c r="AQ12" s="1055">
        <f t="shared" si="14"/>
        <v>0</v>
      </c>
      <c r="AR12" s="1052">
        <f t="shared" si="15"/>
        <v>0</v>
      </c>
      <c r="AS12" s="1052" t="str">
        <f>IF(A12&lt;&gt;0,IF(N12="Inclinada",(AR12*(TAN('PARAMETROS MC'!D$9*PI()/180))),IF(N12="Reta","-")),"")</f>
        <v>-</v>
      </c>
      <c r="AT12" s="1052" t="str">
        <f t="shared" si="16"/>
        <v>-</v>
      </c>
      <c r="AU12" s="1052" t="str">
        <f t="shared" si="17"/>
        <v>-</v>
      </c>
      <c r="AV12" s="1052" t="str">
        <f t="shared" si="18"/>
        <v>-</v>
      </c>
      <c r="AW12" s="1052" t="str">
        <f t="shared" si="19"/>
        <v>-</v>
      </c>
      <c r="AX12" s="1055">
        <f t="shared" si="20"/>
        <v>0</v>
      </c>
      <c r="AY12" s="1055" t="str">
        <f>IF(A12&lt;&gt;0,IF(N12="Reta","-",IF(N12="Inclinada",(((H12/1000)+'PARAMETROS MC'!C$35)*(TAN('PARAMETROS MC'!D$9*PI()/180))))),"")</f>
        <v>-</v>
      </c>
      <c r="AZ12" s="1055" t="str">
        <f t="shared" si="21"/>
        <v>-</v>
      </c>
      <c r="BA12" s="1055" t="str">
        <f t="shared" si="22"/>
        <v>-</v>
      </c>
      <c r="BB12" s="1055" t="str">
        <f t="shared" si="23"/>
        <v>-</v>
      </c>
      <c r="BC12" s="1055" t="str">
        <f t="shared" si="24"/>
        <v>-</v>
      </c>
      <c r="BD12" s="1055">
        <f t="shared" si="25"/>
        <v>10.390817701748238</v>
      </c>
      <c r="BE12" s="1055">
        <f>IF(A12&lt;&gt;0,IF(N12="Inclinada",((((H12/1000+'PARAMETROS MC'!C$35)/6)*(((2*AZ12+BB12)*BA12)+((2*BB12+AZ12)*BC12)))-BD12),IF(N12="Reta",((I12*J12*((H12/1000)+'PARAMETROS MC'!C$35)-BD12)))),"")</f>
        <v>30.10918229825176</v>
      </c>
      <c r="BF12" s="1055">
        <f t="shared" ref="BF12:BF55" si="35">IF(A12&lt;&gt;0,(V12-BE12-BD12),"")</f>
        <v>30.375</v>
      </c>
      <c r="BG12" s="1055" t="str">
        <f t="shared" ref="BG12:BG55" si="36">IF(A12&lt;&gt;0,IF(J12&lt;=0.8,IF(F12&lt;=1.5,(V12-(BD12+BE12)),""),""))</f>
        <v/>
      </c>
      <c r="BH12" s="1055" t="str">
        <f t="shared" ref="BH12:BH55" si="37">IF(A12&lt;&gt;0,IF(J12&lt;=0.8,IF(F12&gt;1.5,(V12-(BD12+BE12)),""),""))</f>
        <v/>
      </c>
      <c r="BI12" s="1055" t="str">
        <f t="shared" ref="BI12:BI55" si="38">IF(A12&lt;&gt;0,IF(J12&gt;0.8,IF(F12&lt;=1.5,(V12-(BD12+BE12)),""),""))</f>
        <v/>
      </c>
      <c r="BJ12" s="1055">
        <f t="shared" ref="BJ12:BJ55" si="39">IF(A12&lt;&gt;0,IF(J12&gt;0.8,IF(F12&gt;1.5,(V12-(BD12+BE12)),""),""))</f>
        <v>30.375</v>
      </c>
      <c r="BK12" s="1052">
        <f>IF(A12&lt;&gt;0,IF(N12="Reta",IF(F12&lt;'PARAMETROS MC'!B$17,"-",(I12*F12*2)),IF(N12="Inclinada","-")),"")</f>
        <v>94.5</v>
      </c>
      <c r="BL12" s="1055">
        <f>IF(A12&lt;&gt;0,IF(N12="Reta",IF(F12&lt;'PARAMETROS MC'!B$17,"-",IF(F12&gt;='PARAMETROS MC'!B$17,(BK12*('PARAMETROS MC'!B$18/100)))),IF(N12="Inclinada","-")),"")</f>
        <v>91.664999999999992</v>
      </c>
      <c r="BM12" s="1055" t="str">
        <f t="shared" ref="BM12:BM55" si="40">IF(J12&lt;=1.5,IF(F12&lt;=1.5,BL12,""),"")</f>
        <v/>
      </c>
      <c r="BN12" s="1055">
        <f t="shared" ref="BN12:BN55" si="41">IF(J12&lt;=1.5,IF(F12&gt;1.5,BL12,""),"")</f>
        <v>91.664999999999992</v>
      </c>
      <c r="BO12" s="1052">
        <f>IF(A12&lt;&gt;0,IF(N12="Reta",IF(F12&lt;'PARAMETROS MC'!B$17,"-",IF(F12&gt;='PARAMETROS MC'!B$17,(BK12*('PARAMETROS MC'!B$19/100)))),IF(N12="Inclinada","-")),"")</f>
        <v>0</v>
      </c>
      <c r="BP12" s="1060">
        <f>IF(A12&lt;&gt;0,IF(N12="Reta",IF(F12&lt;'PARAMETROS MC'!B$17,"-",IF(F12&gt;='PARAMETROS MC'!B$17,(BK12*('PARAMETROS MC'!B$20/100)))),IF(N12="Inclinada","-")),"")</f>
        <v>0</v>
      </c>
      <c r="BQ12" s="1060">
        <f>IF(A12&lt;&gt;0,IF(N12="Reta",IF(F12&lt;'PARAMETROS MC'!B$17,"-",IF(F12&gt;='PARAMETROS MC'!B$17,(BK12*('PARAMETROS MC'!B$21/100)))),IF(N12="Inclinada","-")),"")</f>
        <v>2.835</v>
      </c>
      <c r="BR12" s="1052"/>
      <c r="BS12" s="1052" t="str">
        <f t="shared" si="26"/>
        <v>-</v>
      </c>
    </row>
    <row r="13" spans="1:71">
      <c r="A13" s="1057">
        <v>3</v>
      </c>
      <c r="B13" s="1049" t="str">
        <f>C12</f>
        <v>CP02</v>
      </c>
      <c r="C13" s="1049" t="s">
        <v>11994</v>
      </c>
      <c r="D13" s="1050">
        <f>E12</f>
        <v>1.4</v>
      </c>
      <c r="E13" s="1050">
        <v>1.85</v>
      </c>
      <c r="F13" s="1051">
        <f t="shared" ref="F13:F22" si="42">IF(A13&lt;&gt;0,AVERAGE(D13:E13),"")</f>
        <v>1.625</v>
      </c>
      <c r="G13" s="1052" t="s">
        <v>11699</v>
      </c>
      <c r="H13" s="1050">
        <v>700</v>
      </c>
      <c r="I13" s="1058">
        <v>8.8699999999999992</v>
      </c>
      <c r="J13" s="1059">
        <f>IF(A13&lt;&gt;0,IF(AND(N13="Inclinada",H13&lt;600),(H13/1000+0.6),IF(AND(N13="Inclinada",H13&gt;=600),(H13/1000+0.6),IF(N13="Reta",((H13/1000)+('PARAMETROS MC'!D$11))))),"")</f>
        <v>1.5</v>
      </c>
      <c r="K13" s="1052" t="s">
        <v>11989</v>
      </c>
      <c r="L13" s="1060" t="str">
        <f>IF(A13&lt;&gt;0,IF(K13="",0,IF(K13="Sem Revestimento","-",IF(N13="Inclinada",((R13+(2*'PARAMETROS MC'!D$14))*I13),IF(N13="Reta",((J13+(2*'PARAMETROS MC'!D$14))*I13))))),"")</f>
        <v>-</v>
      </c>
      <c r="M13" s="1060" t="str">
        <f>IF(A13&lt;&gt;0,IF(K13="",0,IF(K13="Sem Revestimento","-",IF(N13="Inclinada",((R13+(2*'PARAMETROS MC'!D$14))*I13),IF(N13="Reta",((J13+(2*'PARAMETROS MC'!D$14))*I13))))),"")</f>
        <v>-</v>
      </c>
      <c r="N13" s="1052" t="str">
        <f t="shared" si="27"/>
        <v>Reta</v>
      </c>
      <c r="O13" s="1061">
        <f t="shared" si="0"/>
        <v>13.305</v>
      </c>
      <c r="P13" s="1061">
        <f t="shared" si="1"/>
        <v>13.305</v>
      </c>
      <c r="Q13" s="1053" t="str">
        <f>IF(A13&lt;&gt;0,IF(N13="Inclinada",(F13*(TAN('PARAMETROS MC'!D$9*PI()/180))),IF(N13="Reta","-")),"")</f>
        <v>-</v>
      </c>
      <c r="R13" s="1053" t="str">
        <f t="shared" si="2"/>
        <v>-</v>
      </c>
      <c r="S13" s="1053" t="str">
        <f t="shared" si="3"/>
        <v>-</v>
      </c>
      <c r="T13" s="1053" t="str">
        <f t="shared" si="4"/>
        <v>-</v>
      </c>
      <c r="U13" s="1053" t="str">
        <f t="shared" si="5"/>
        <v>-</v>
      </c>
      <c r="V13" s="1055">
        <f t="shared" si="6"/>
        <v>21.620625</v>
      </c>
      <c r="W13" s="1052">
        <f t="shared" si="28"/>
        <v>1.5</v>
      </c>
      <c r="X13" s="1052" t="str">
        <f>IF(A13&lt;&gt;0,IF(N13="Inclinada",((AK13+AR13+AD13+W13)*(TAN('PARAMETROS MC'!D$9*PI()/180))),IF(N13="Reta","-")),"")</f>
        <v>-</v>
      </c>
      <c r="Y13" s="1052" t="str">
        <f t="shared" si="7"/>
        <v>-</v>
      </c>
      <c r="Z13" s="1052" t="str">
        <f t="shared" si="8"/>
        <v>-</v>
      </c>
      <c r="AA13" s="1052" t="str">
        <f t="shared" si="29"/>
        <v>-</v>
      </c>
      <c r="AB13" s="1052" t="str">
        <f t="shared" si="30"/>
        <v>-</v>
      </c>
      <c r="AC13" s="1055">
        <f t="shared" si="9"/>
        <v>19.9575</v>
      </c>
      <c r="AD13" s="1052">
        <f t="shared" si="31"/>
        <v>0.125</v>
      </c>
      <c r="AE13" s="1052" t="str">
        <f>IF(A13&lt;&gt;0,IF(N13="Inclinada",((AK13+AR13+AD13)*(TAN('PARAMETROS MC'!D$9*PI()/180))),IF(N13="Reta","-")),"")</f>
        <v>-</v>
      </c>
      <c r="AF13" s="1052" t="str">
        <f t="shared" si="10"/>
        <v>-</v>
      </c>
      <c r="AG13" s="1052" t="str">
        <f t="shared" si="32"/>
        <v>-</v>
      </c>
      <c r="AH13" s="1052" t="str">
        <f t="shared" si="33"/>
        <v>-</v>
      </c>
      <c r="AI13" s="1052" t="str">
        <f t="shared" si="34"/>
        <v>-</v>
      </c>
      <c r="AJ13" s="1055">
        <f t="shared" si="11"/>
        <v>1.663125</v>
      </c>
      <c r="AK13" s="1052">
        <f t="shared" si="12"/>
        <v>0</v>
      </c>
      <c r="AL13" s="1052" t="str">
        <f>IF(A13&lt;&gt;0,IF(N13="Inclinada",((AK13+AR13)*(TAN('PARAMETROS MC'!D$9*PI()/180))),IF(N13="Reta","-")),"")</f>
        <v>-</v>
      </c>
      <c r="AM13" s="1059" t="str">
        <f t="shared" si="13"/>
        <v>-</v>
      </c>
      <c r="AN13" s="1052" t="str">
        <f t="shared" ref="AN13:AN24" si="43">IF(AW13&lt;&gt;"",AW13,"")</f>
        <v>-</v>
      </c>
      <c r="AO13" s="1052" t="str">
        <f t="shared" ref="AO13:AP24" si="44">IF(AT13&lt;&gt;"",AT13,"")</f>
        <v>-</v>
      </c>
      <c r="AP13" s="1052" t="str">
        <f t="shared" si="44"/>
        <v>-</v>
      </c>
      <c r="AQ13" s="1055">
        <f t="shared" si="14"/>
        <v>0</v>
      </c>
      <c r="AR13" s="1052">
        <f t="shared" si="15"/>
        <v>0</v>
      </c>
      <c r="AS13" s="1052" t="str">
        <f>IF(A13&lt;&gt;0,IF(N13="Inclinada",(AR13*(TAN('PARAMETROS MC'!D$9*PI()/180))),IF(N13="Reta","-")),"")</f>
        <v>-</v>
      </c>
      <c r="AT13" s="1052" t="str">
        <f t="shared" si="16"/>
        <v>-</v>
      </c>
      <c r="AU13" s="1052" t="str">
        <f t="shared" si="17"/>
        <v>-</v>
      </c>
      <c r="AV13" s="1052" t="str">
        <f t="shared" si="18"/>
        <v>-</v>
      </c>
      <c r="AW13" s="1052" t="str">
        <f t="shared" si="19"/>
        <v>-</v>
      </c>
      <c r="AX13" s="1055">
        <f t="shared" si="20"/>
        <v>0</v>
      </c>
      <c r="AY13" s="1055" t="str">
        <f>IF(A13&lt;&gt;0,IF(N13="Reta","-",IF(N13="Inclinada",(((H13/1000)+'PARAMETROS MC'!C$35)*(TAN('PARAMETROS MC'!D$9*PI()/180))))),"")</f>
        <v>-</v>
      </c>
      <c r="AZ13" s="1055" t="str">
        <f t="shared" si="21"/>
        <v>-</v>
      </c>
      <c r="BA13" s="1055" t="str">
        <f t="shared" si="22"/>
        <v>-</v>
      </c>
      <c r="BB13" s="1055" t="str">
        <f t="shared" si="23"/>
        <v>-</v>
      </c>
      <c r="BC13" s="1055" t="str">
        <f t="shared" si="24"/>
        <v>-</v>
      </c>
      <c r="BD13" s="1055">
        <f t="shared" si="25"/>
        <v>3.4135760375743285</v>
      </c>
      <c r="BE13" s="1055">
        <f>IF(A13&lt;&gt;0,IF(N13="Inclinada",((((H13/1000+'PARAMETROS MC'!C$35)/6)*(((2*AZ13+BB13)*BA13)+((2*BB13+AZ13)*BC13)))-BD13),IF(N13="Reta",((I13*J13*((H13/1000)+'PARAMETROS MC'!C$35)-BD13)))),"")</f>
        <v>9.8914239624256712</v>
      </c>
      <c r="BF13" s="1055">
        <f t="shared" si="35"/>
        <v>8.3156250000000007</v>
      </c>
      <c r="BG13" s="1055" t="str">
        <f t="shared" si="36"/>
        <v/>
      </c>
      <c r="BH13" s="1055" t="str">
        <f t="shared" si="37"/>
        <v/>
      </c>
      <c r="BI13" s="1055" t="str">
        <f t="shared" si="38"/>
        <v/>
      </c>
      <c r="BJ13" s="1055">
        <f t="shared" si="39"/>
        <v>8.3156250000000007</v>
      </c>
      <c r="BK13" s="1052">
        <f>IF(A13&lt;&gt;0,IF(N13="Reta",IF(F13&lt;'PARAMETROS MC'!B$17,"-",(I13*F13*2)),IF(N13="Inclinada","-")),"")</f>
        <v>28.827499999999997</v>
      </c>
      <c r="BL13" s="1055">
        <f>IF(A13&lt;&gt;0,IF(N13="Reta",IF(F13&lt;'PARAMETROS MC'!B$17,"-",IF(F13&gt;='PARAMETROS MC'!B$17,(BK13*('PARAMETROS MC'!B$18/100)))),IF(N13="Inclinada","-")),"")</f>
        <v>27.962674999999997</v>
      </c>
      <c r="BM13" s="1055" t="str">
        <f t="shared" si="40"/>
        <v/>
      </c>
      <c r="BN13" s="1055">
        <f t="shared" si="41"/>
        <v>27.962674999999997</v>
      </c>
      <c r="BO13" s="1052">
        <f>IF(A13&lt;&gt;0,IF(N13="Reta",IF(F13&lt;'PARAMETROS MC'!B$17,"-",IF(F13&gt;='PARAMETROS MC'!B$17,(BK13*('PARAMETROS MC'!B$19/100)))),IF(N13="Inclinada","-")),"")</f>
        <v>0</v>
      </c>
      <c r="BP13" s="1060">
        <f>IF(A13&lt;&gt;0,IF(N13="Reta",IF(F13&lt;'PARAMETROS MC'!B$17,"-",IF(F13&gt;='PARAMETROS MC'!B$17,(BK13*('PARAMETROS MC'!B$20/100)))),IF(N13="Inclinada","-")),"")</f>
        <v>0</v>
      </c>
      <c r="BQ13" s="1060">
        <f>IF(A13&lt;&gt;0,IF(N13="Reta",IF(F13&lt;'PARAMETROS MC'!B$17,"-",IF(F13&gt;='PARAMETROS MC'!B$17,(BK13*('PARAMETROS MC'!B$21/100)))),IF(N13="Inclinada","-")),"")</f>
        <v>0.86482499999999984</v>
      </c>
      <c r="BR13" s="1052"/>
      <c r="BS13" s="1052" t="str">
        <f t="shared" si="26"/>
        <v>-</v>
      </c>
    </row>
    <row r="14" spans="1:71">
      <c r="A14" s="1057">
        <v>4</v>
      </c>
      <c r="B14" s="1049" t="str">
        <f>C13</f>
        <v>CP03</v>
      </c>
      <c r="C14" s="1049" t="s">
        <v>11995</v>
      </c>
      <c r="D14" s="1050">
        <f>E13</f>
        <v>1.85</v>
      </c>
      <c r="E14" s="1050">
        <v>2.0499999999999998</v>
      </c>
      <c r="F14" s="1051">
        <f t="shared" si="42"/>
        <v>1.95</v>
      </c>
      <c r="G14" s="1052" t="s">
        <v>11699</v>
      </c>
      <c r="H14" s="1050">
        <v>700</v>
      </c>
      <c r="I14" s="1058">
        <v>21.5</v>
      </c>
      <c r="J14" s="1059">
        <f>IF(A14&lt;&gt;0,IF(AND(N14="Inclinada",H14&lt;600),(H14/1000+0.6),IF(AND(N14="Inclinada",H14&gt;=600),(H14/1000+0.6),IF(N14="Reta",((H14/1000)+('PARAMETROS MC'!D$11))))),"")</f>
        <v>1.5</v>
      </c>
      <c r="K14" s="1052" t="s">
        <v>11989</v>
      </c>
      <c r="L14" s="1060" t="str">
        <f>IF(A14&lt;&gt;0,IF(K14="",0,IF(K14="Sem Revestimento","-",IF(N14="Inclinada",((R14+(2*'PARAMETROS MC'!D$14))*I14),IF(N14="Reta",((J14+(2*'PARAMETROS MC'!D$14))*I14))))),"")</f>
        <v>-</v>
      </c>
      <c r="M14" s="1060" t="str">
        <f>IF(A14&lt;&gt;0,IF(K14="",0,IF(K14="Sem Revestimento","-",IF(N14="Inclinada",((R14+(2*'PARAMETROS MC'!D$14))*I14),IF(N14="Reta",((J14+(2*'PARAMETROS MC'!D$14))*I14))))),"")</f>
        <v>-</v>
      </c>
      <c r="N14" s="1052" t="str">
        <f t="shared" si="27"/>
        <v>Reta</v>
      </c>
      <c r="O14" s="1061">
        <f t="shared" si="0"/>
        <v>32.25</v>
      </c>
      <c r="P14" s="1061">
        <f t="shared" si="1"/>
        <v>32.25</v>
      </c>
      <c r="Q14" s="1053" t="str">
        <f>IF(A14&lt;&gt;0,IF(N14="Inclinada",(F14*(TAN('PARAMETROS MC'!D$9*PI()/180))),IF(N14="Reta","-")),"")</f>
        <v>-</v>
      </c>
      <c r="R14" s="1053" t="str">
        <f t="shared" si="2"/>
        <v>-</v>
      </c>
      <c r="S14" s="1053" t="str">
        <f t="shared" si="3"/>
        <v>-</v>
      </c>
      <c r="T14" s="1053" t="str">
        <f t="shared" si="4"/>
        <v>-</v>
      </c>
      <c r="U14" s="1053" t="str">
        <f t="shared" si="5"/>
        <v>-</v>
      </c>
      <c r="V14" s="1055">
        <f t="shared" si="6"/>
        <v>62.887499999999996</v>
      </c>
      <c r="W14" s="1052">
        <f t="shared" si="28"/>
        <v>1.5</v>
      </c>
      <c r="X14" s="1052" t="str">
        <f>IF(A14&lt;&gt;0,IF(N14="Inclinada",((AK14+AR14+AD14+W14)*(TAN('PARAMETROS MC'!D$9*PI()/180))),IF(N14="Reta","-")),"")</f>
        <v>-</v>
      </c>
      <c r="Y14" s="1052" t="str">
        <f t="shared" si="7"/>
        <v>-</v>
      </c>
      <c r="Z14" s="1052" t="str">
        <f t="shared" si="8"/>
        <v>-</v>
      </c>
      <c r="AA14" s="1052" t="str">
        <f t="shared" si="29"/>
        <v>-</v>
      </c>
      <c r="AB14" s="1052" t="str">
        <f t="shared" si="30"/>
        <v>-</v>
      </c>
      <c r="AC14" s="1055">
        <f t="shared" si="9"/>
        <v>48.375</v>
      </c>
      <c r="AD14" s="1052">
        <f t="shared" si="31"/>
        <v>0.44999999999999996</v>
      </c>
      <c r="AE14" s="1052" t="str">
        <f>IF(A14&lt;&gt;0,IF(N14="Inclinada",((AK14+AR14+AD14)*(TAN('PARAMETROS MC'!D$9*PI()/180))),IF(N14="Reta","-")),"")</f>
        <v>-</v>
      </c>
      <c r="AF14" s="1052" t="str">
        <f t="shared" si="10"/>
        <v>-</v>
      </c>
      <c r="AG14" s="1052" t="str">
        <f t="shared" si="32"/>
        <v>-</v>
      </c>
      <c r="AH14" s="1052" t="str">
        <f t="shared" si="33"/>
        <v>-</v>
      </c>
      <c r="AI14" s="1052" t="str">
        <f t="shared" si="34"/>
        <v>-</v>
      </c>
      <c r="AJ14" s="1055">
        <f t="shared" si="11"/>
        <v>14.512499999999999</v>
      </c>
      <c r="AK14" s="1052">
        <f t="shared" si="12"/>
        <v>0</v>
      </c>
      <c r="AL14" s="1052" t="str">
        <f>IF(A14&lt;&gt;0,IF(N14="Inclinada",((AK14+AR14)*(TAN('PARAMETROS MC'!D$9*PI()/180))),IF(N14="Reta","-")),"")</f>
        <v>-</v>
      </c>
      <c r="AM14" s="1059" t="str">
        <f t="shared" si="13"/>
        <v>-</v>
      </c>
      <c r="AN14" s="1052" t="str">
        <f t="shared" si="43"/>
        <v>-</v>
      </c>
      <c r="AO14" s="1052" t="str">
        <f t="shared" si="44"/>
        <v>-</v>
      </c>
      <c r="AP14" s="1052" t="str">
        <f t="shared" si="44"/>
        <v>-</v>
      </c>
      <c r="AQ14" s="1055">
        <f t="shared" si="14"/>
        <v>0</v>
      </c>
      <c r="AR14" s="1052">
        <f t="shared" si="15"/>
        <v>0</v>
      </c>
      <c r="AS14" s="1052" t="str">
        <f>IF(A14&lt;&gt;0,IF(N14="Inclinada",(AR14*(TAN('PARAMETROS MC'!D$9*PI()/180))),IF(N14="Reta","-")),"")</f>
        <v>-</v>
      </c>
      <c r="AT14" s="1052" t="str">
        <f t="shared" si="16"/>
        <v>-</v>
      </c>
      <c r="AU14" s="1052" t="str">
        <f t="shared" si="17"/>
        <v>-</v>
      </c>
      <c r="AV14" s="1052" t="str">
        <f t="shared" si="18"/>
        <v>-</v>
      </c>
      <c r="AW14" s="1052" t="str">
        <f t="shared" si="19"/>
        <v>-</v>
      </c>
      <c r="AX14" s="1055">
        <f t="shared" si="20"/>
        <v>0</v>
      </c>
      <c r="AY14" s="1055" t="str">
        <f>IF(A14&lt;&gt;0,IF(N14="Reta","-",IF(N14="Inclinada",(((H14/1000)+'PARAMETROS MC'!C$35)*(TAN('PARAMETROS MC'!D$9*PI()/180))))),"")</f>
        <v>-</v>
      </c>
      <c r="AZ14" s="1055" t="str">
        <f t="shared" si="21"/>
        <v>-</v>
      </c>
      <c r="BA14" s="1055" t="str">
        <f t="shared" si="22"/>
        <v>-</v>
      </c>
      <c r="BB14" s="1055" t="str">
        <f t="shared" si="23"/>
        <v>-</v>
      </c>
      <c r="BC14" s="1055" t="str">
        <f t="shared" si="24"/>
        <v>-</v>
      </c>
      <c r="BD14" s="1055">
        <f t="shared" si="25"/>
        <v>8.2741696513921159</v>
      </c>
      <c r="BE14" s="1055">
        <f>IF(A14&lt;&gt;0,IF(N14="Inclinada",((((H14/1000+'PARAMETROS MC'!C$35)/6)*(((2*AZ14+BB14)*BA14)+((2*BB14+AZ14)*BC14)))-BD14),IF(N14="Reta",((I14*J14*((H14/1000)+'PARAMETROS MC'!C$35)-BD14)))),"")</f>
        <v>23.975830348607886</v>
      </c>
      <c r="BF14" s="1055">
        <f t="shared" si="35"/>
        <v>30.637499999999996</v>
      </c>
      <c r="BG14" s="1055" t="str">
        <f t="shared" si="36"/>
        <v/>
      </c>
      <c r="BH14" s="1055" t="str">
        <f t="shared" si="37"/>
        <v/>
      </c>
      <c r="BI14" s="1055" t="str">
        <f t="shared" si="38"/>
        <v/>
      </c>
      <c r="BJ14" s="1055">
        <f t="shared" si="39"/>
        <v>30.637499999999996</v>
      </c>
      <c r="BK14" s="1052">
        <f>IF(A14&lt;&gt;0,IF(N14="Reta",IF(F14&lt;'PARAMETROS MC'!B$17,"-",(I14*F14*2)),IF(N14="Inclinada","-")),"")</f>
        <v>83.85</v>
      </c>
      <c r="BL14" s="1055">
        <f>IF(A14&lt;&gt;0,IF(N14="Reta",IF(F14&lt;'PARAMETROS MC'!B$17,"-",IF(F14&gt;='PARAMETROS MC'!B$17,(BK14*('PARAMETROS MC'!B$18/100)))),IF(N14="Inclinada","-")),"")</f>
        <v>81.334499999999991</v>
      </c>
      <c r="BM14" s="1055" t="str">
        <f t="shared" si="40"/>
        <v/>
      </c>
      <c r="BN14" s="1055">
        <f t="shared" si="41"/>
        <v>81.334499999999991</v>
      </c>
      <c r="BO14" s="1052">
        <f>IF(A14&lt;&gt;0,IF(N14="Reta",IF(F14&lt;'PARAMETROS MC'!B$17,"-",IF(F14&gt;='PARAMETROS MC'!B$17,(BK14*('PARAMETROS MC'!B$19/100)))),IF(N14="Inclinada","-")),"")</f>
        <v>0</v>
      </c>
      <c r="BP14" s="1060">
        <f>IF(A14&lt;&gt;0,IF(N14="Reta",IF(F14&lt;'PARAMETROS MC'!B$17,"-",IF(F14&gt;='PARAMETROS MC'!B$17,(BK14*('PARAMETROS MC'!B$20/100)))),IF(N14="Inclinada","-")),"")</f>
        <v>0</v>
      </c>
      <c r="BQ14" s="1060">
        <f>IF(A14&lt;&gt;0,IF(N14="Reta",IF(F14&lt;'PARAMETROS MC'!B$17,"-",IF(F14&gt;='PARAMETROS MC'!B$17,(BK14*('PARAMETROS MC'!B$21/100)))),IF(N14="Inclinada","-")),"")</f>
        <v>2.5154999999999998</v>
      </c>
      <c r="BR14" s="1052"/>
      <c r="BS14" s="1052" t="str">
        <f t="shared" si="26"/>
        <v>-</v>
      </c>
    </row>
    <row r="15" spans="1:71">
      <c r="A15" s="1057">
        <v>5</v>
      </c>
      <c r="B15" s="1049" t="str">
        <f>C14</f>
        <v>CP04</v>
      </c>
      <c r="C15" s="1049" t="s">
        <v>11996</v>
      </c>
      <c r="D15" s="1050">
        <f>E14</f>
        <v>2.0499999999999998</v>
      </c>
      <c r="E15" s="1050">
        <v>2.7</v>
      </c>
      <c r="F15" s="1051">
        <f t="shared" si="42"/>
        <v>2.375</v>
      </c>
      <c r="G15" s="1052" t="s">
        <v>11699</v>
      </c>
      <c r="H15" s="1050">
        <v>700</v>
      </c>
      <c r="I15" s="1058">
        <v>13.85</v>
      </c>
      <c r="J15" s="1059">
        <f>IF(A15&lt;&gt;0,IF(AND(N15="Inclinada",H15&lt;600),(H15/1000+0.6),IF(AND(N15="Inclinada",H15&gt;=600),(H15/1000+0.6),IF(N15="Reta",((H15/1000)+('PARAMETROS MC'!D$11))))),"")</f>
        <v>1.5</v>
      </c>
      <c r="K15" s="1052" t="s">
        <v>11989</v>
      </c>
      <c r="L15" s="1060" t="str">
        <f>IF(A15&lt;&gt;0,IF(K15="",0,IF(K15="Sem Revestimento","-",IF(N15="Inclinada",((R15+(2*'PARAMETROS MC'!D$14))*I15),IF(N15="Reta",((J15+(2*'PARAMETROS MC'!D$14))*I15))))),"")</f>
        <v>-</v>
      </c>
      <c r="M15" s="1060" t="str">
        <f>IF(A15&lt;&gt;0,IF(K15="",0,IF(K15="Sem Revestimento","-",IF(N15="Inclinada",((R15+(2*'PARAMETROS MC'!D$14))*I15),IF(N15="Reta",((J15+(2*'PARAMETROS MC'!D$14))*I15))))),"")</f>
        <v>-</v>
      </c>
      <c r="N15" s="1052" t="str">
        <f t="shared" si="27"/>
        <v>Reta</v>
      </c>
      <c r="O15" s="1061">
        <f t="shared" si="0"/>
        <v>20.774999999999999</v>
      </c>
      <c r="P15" s="1061">
        <f t="shared" si="1"/>
        <v>20.774999999999999</v>
      </c>
      <c r="Q15" s="1053" t="str">
        <f>IF(A15&lt;&gt;0,IF(N15="Inclinada",(F15*(TAN('PARAMETROS MC'!D$9*PI()/180))),IF(N15="Reta","-")),"")</f>
        <v>-</v>
      </c>
      <c r="R15" s="1053" t="str">
        <f t="shared" si="2"/>
        <v>-</v>
      </c>
      <c r="S15" s="1053" t="str">
        <f t="shared" si="3"/>
        <v>-</v>
      </c>
      <c r="T15" s="1053" t="str">
        <f t="shared" si="4"/>
        <v>-</v>
      </c>
      <c r="U15" s="1053" t="str">
        <f t="shared" si="5"/>
        <v>-</v>
      </c>
      <c r="V15" s="1055">
        <f t="shared" si="6"/>
        <v>49.340624999999996</v>
      </c>
      <c r="W15" s="1052">
        <f t="shared" si="28"/>
        <v>1.5</v>
      </c>
      <c r="X15" s="1052" t="str">
        <f>IF(A15&lt;&gt;0,IF(N15="Inclinada",((AK15+AR15+AD15+W15)*(TAN('PARAMETROS MC'!D$9*PI()/180))),IF(N15="Reta","-")),"")</f>
        <v>-</v>
      </c>
      <c r="Y15" s="1052" t="str">
        <f t="shared" si="7"/>
        <v>-</v>
      </c>
      <c r="Z15" s="1052" t="str">
        <f t="shared" si="8"/>
        <v>-</v>
      </c>
      <c r="AA15" s="1052" t="str">
        <f t="shared" si="29"/>
        <v>-</v>
      </c>
      <c r="AB15" s="1052" t="str">
        <f t="shared" si="30"/>
        <v>-</v>
      </c>
      <c r="AC15" s="1055">
        <f t="shared" si="9"/>
        <v>31.162499999999998</v>
      </c>
      <c r="AD15" s="1052">
        <f t="shared" si="31"/>
        <v>0.875</v>
      </c>
      <c r="AE15" s="1052" t="str">
        <f>IF(A15&lt;&gt;0,IF(N15="Inclinada",((AK15+AR15+AD15)*(TAN('PARAMETROS MC'!D$9*PI()/180))),IF(N15="Reta","-")),"")</f>
        <v>-</v>
      </c>
      <c r="AF15" s="1052" t="str">
        <f t="shared" si="10"/>
        <v>-</v>
      </c>
      <c r="AG15" s="1052" t="str">
        <f t="shared" si="32"/>
        <v>-</v>
      </c>
      <c r="AH15" s="1052" t="str">
        <f t="shared" si="33"/>
        <v>-</v>
      </c>
      <c r="AI15" s="1052" t="str">
        <f t="shared" si="34"/>
        <v>-</v>
      </c>
      <c r="AJ15" s="1055">
        <f t="shared" si="11"/>
        <v>18.178124999999998</v>
      </c>
      <c r="AK15" s="1052">
        <f t="shared" si="12"/>
        <v>0</v>
      </c>
      <c r="AL15" s="1052" t="str">
        <f>IF(A15&lt;&gt;0,IF(N15="Inclinada",((AK15+AR15)*(TAN('PARAMETROS MC'!D$9*PI()/180))),IF(N15="Reta","-")),"")</f>
        <v>-</v>
      </c>
      <c r="AM15" s="1059" t="str">
        <f t="shared" si="13"/>
        <v>-</v>
      </c>
      <c r="AN15" s="1052" t="str">
        <f t="shared" si="43"/>
        <v>-</v>
      </c>
      <c r="AO15" s="1052" t="str">
        <f t="shared" si="44"/>
        <v>-</v>
      </c>
      <c r="AP15" s="1052" t="str">
        <f t="shared" si="44"/>
        <v>-</v>
      </c>
      <c r="AQ15" s="1055">
        <f t="shared" si="14"/>
        <v>0</v>
      </c>
      <c r="AR15" s="1052">
        <f t="shared" si="15"/>
        <v>0</v>
      </c>
      <c r="AS15" s="1052" t="str">
        <f>IF(A15&lt;&gt;0,IF(N15="Inclinada",(AR15*(TAN('PARAMETROS MC'!D$9*PI()/180))),IF(N15="Reta","-")),"")</f>
        <v>-</v>
      </c>
      <c r="AT15" s="1052" t="str">
        <f t="shared" si="16"/>
        <v>-</v>
      </c>
      <c r="AU15" s="1052" t="str">
        <f t="shared" si="17"/>
        <v>-</v>
      </c>
      <c r="AV15" s="1052" t="str">
        <f t="shared" si="18"/>
        <v>-</v>
      </c>
      <c r="AW15" s="1052" t="str">
        <f t="shared" si="19"/>
        <v>-</v>
      </c>
      <c r="AX15" s="1055">
        <f t="shared" si="20"/>
        <v>0</v>
      </c>
      <c r="AY15" s="1055" t="str">
        <f>IF(A15&lt;&gt;0,IF(N15="Reta","-",IF(N15="Inclinada",(((H15/1000)+'PARAMETROS MC'!C$35)*(TAN('PARAMETROS MC'!D$9*PI()/180))))),"")</f>
        <v>-</v>
      </c>
      <c r="AZ15" s="1055" t="str">
        <f t="shared" si="21"/>
        <v>-</v>
      </c>
      <c r="BA15" s="1055" t="str">
        <f t="shared" si="22"/>
        <v>-</v>
      </c>
      <c r="BB15" s="1055" t="str">
        <f t="shared" si="23"/>
        <v>-</v>
      </c>
      <c r="BC15" s="1055" t="str">
        <f t="shared" si="24"/>
        <v>-</v>
      </c>
      <c r="BD15" s="1055">
        <f t="shared" si="25"/>
        <v>5.3301046358967819</v>
      </c>
      <c r="BE15" s="1055">
        <f>IF(A15&lt;&gt;0,IF(N15="Inclinada",((((H15/1000+'PARAMETROS MC'!C$35)/6)*(((2*AZ15+BB15)*BA15)+((2*BB15+AZ15)*BC15)))-BD15),IF(N15="Reta",((I15*J15*((H15/1000)+'PARAMETROS MC'!C$35)-BD15)))),"")</f>
        <v>15.444895364103218</v>
      </c>
      <c r="BF15" s="1055">
        <f t="shared" si="35"/>
        <v>28.565624999999997</v>
      </c>
      <c r="BG15" s="1055" t="str">
        <f t="shared" si="36"/>
        <v/>
      </c>
      <c r="BH15" s="1055" t="str">
        <f t="shared" si="37"/>
        <v/>
      </c>
      <c r="BI15" s="1055" t="str">
        <f t="shared" si="38"/>
        <v/>
      </c>
      <c r="BJ15" s="1055">
        <f t="shared" si="39"/>
        <v>28.565624999999997</v>
      </c>
      <c r="BK15" s="1052">
        <f>IF(A15&lt;&gt;0,IF(N15="Reta",IF(F15&lt;'PARAMETROS MC'!B$17,"-",(I15*F15*2)),IF(N15="Inclinada","-")),"")</f>
        <v>65.787499999999994</v>
      </c>
      <c r="BL15" s="1055">
        <f>IF(A15&lt;&gt;0,IF(N15="Reta",IF(F15&lt;'PARAMETROS MC'!B$17,"-",IF(F15&gt;='PARAMETROS MC'!B$17,(BK15*('PARAMETROS MC'!B$18/100)))),IF(N15="Inclinada","-")),"")</f>
        <v>63.813874999999996</v>
      </c>
      <c r="BM15" s="1055" t="str">
        <f t="shared" si="40"/>
        <v/>
      </c>
      <c r="BN15" s="1055">
        <f t="shared" si="41"/>
        <v>63.813874999999996</v>
      </c>
      <c r="BO15" s="1052">
        <f>IF(A15&lt;&gt;0,IF(N15="Reta",IF(F15&lt;'PARAMETROS MC'!B$17,"-",IF(F15&gt;='PARAMETROS MC'!B$17,(BK15*('PARAMETROS MC'!B$19/100)))),IF(N15="Inclinada","-")),"")</f>
        <v>0</v>
      </c>
      <c r="BP15" s="1060">
        <f>IF(A15&lt;&gt;0,IF(N15="Reta",IF(F15&lt;'PARAMETROS MC'!B$17,"-",IF(F15&gt;='PARAMETROS MC'!B$17,(BK15*('PARAMETROS MC'!B$20/100)))),IF(N15="Inclinada","-")),"")</f>
        <v>0</v>
      </c>
      <c r="BQ15" s="1060">
        <f>IF(A15&lt;&gt;0,IF(N15="Reta",IF(F15&lt;'PARAMETROS MC'!B$17,"-",IF(F15&gt;='PARAMETROS MC'!B$17,(BK15*('PARAMETROS MC'!B$21/100)))),IF(N15="Inclinada","-")),"")</f>
        <v>1.9736249999999997</v>
      </c>
      <c r="BR15" s="1052"/>
      <c r="BS15" s="1052" t="str">
        <f t="shared" si="26"/>
        <v>-</v>
      </c>
    </row>
    <row r="16" spans="1:71">
      <c r="A16" s="1057">
        <v>6</v>
      </c>
      <c r="B16" s="1049" t="str">
        <f>C15</f>
        <v>CP05</v>
      </c>
      <c r="C16" s="1049" t="s">
        <v>11998</v>
      </c>
      <c r="D16" s="1050">
        <f>E15</f>
        <v>2.7</v>
      </c>
      <c r="E16" s="1050">
        <v>3.2</v>
      </c>
      <c r="F16" s="1051">
        <f>IF(A16&lt;&gt;0,AVERAGE(D16:E16),"")</f>
        <v>2.95</v>
      </c>
      <c r="G16" s="1052" t="s">
        <v>11699</v>
      </c>
      <c r="H16" s="1050">
        <v>700</v>
      </c>
      <c r="I16" s="1058">
        <v>25.5</v>
      </c>
      <c r="J16" s="1059">
        <f>IF(A16&lt;&gt;0,IF(AND(N16="Inclinada",H16&lt;600),(H16/1000+0.6),IF(AND(N16="Inclinada",H16&gt;=600),(H16/1000+0.6),IF(N16="Reta",((H16/1000)+('PARAMETROS MC'!D$11))))),"")</f>
        <v>1.2999999999999998</v>
      </c>
      <c r="K16" s="1052" t="s">
        <v>11989</v>
      </c>
      <c r="L16" s="1060" t="str">
        <f>IF(A16&lt;&gt;0,IF(K16="",0,IF(K16="Sem Revestimento","-",IF(N16="Inclinada",((R16+(2*'PARAMETROS MC'!D$14))*I16),IF(N16="Reta",((J16+(2*'PARAMETROS MC'!D$14))*I16))))),"")</f>
        <v>-</v>
      </c>
      <c r="M16" s="1060" t="str">
        <f>IF(A16&lt;&gt;0,IF(K16="",0,IF(K16="Sem Revestimento","-",IF(N16="Inclinada",((R16+(2*'PARAMETROS MC'!D$14))*I16),IF(N16="Reta",((J16+(2*'PARAMETROS MC'!D$14))*I16))))),"")</f>
        <v>-</v>
      </c>
      <c r="N16" s="1052" t="str">
        <f t="shared" si="27"/>
        <v>Inclinada</v>
      </c>
      <c r="O16" s="1061">
        <f t="shared" si="0"/>
        <v>103.30598716941954</v>
      </c>
      <c r="P16" s="1061">
        <f t="shared" si="1"/>
        <v>33.15</v>
      </c>
      <c r="Q16" s="1053">
        <f>IF(A16&lt;&gt;0,IF(N16="Inclinada",(F16*(TAN('PARAMETROS MC'!D$9*PI()/180))),IF(N16="Reta","-")),"")</f>
        <v>1.3756075915572459</v>
      </c>
      <c r="R16" s="1053">
        <f t="shared" si="2"/>
        <v>4.0512151831144916</v>
      </c>
      <c r="S16" s="1053">
        <f t="shared" si="3"/>
        <v>25.5</v>
      </c>
      <c r="T16" s="1053">
        <f t="shared" si="4"/>
        <v>1.2999999999999998</v>
      </c>
      <c r="U16" s="1053">
        <f t="shared" si="5"/>
        <v>25.5</v>
      </c>
      <c r="V16" s="1055">
        <f t="shared" si="6"/>
        <v>201.27258107489385</v>
      </c>
      <c r="W16" s="1052">
        <f t="shared" si="28"/>
        <v>1.5</v>
      </c>
      <c r="X16" s="1052">
        <f>IF(A16&lt;&gt;0,IF(N16="Inclinada",((AK16+AR16+AD16+W16)*(TAN('PARAMETROS MC'!D$9*PI()/180))),IF(N16="Reta","-")),"")</f>
        <v>1.3756075915572459</v>
      </c>
      <c r="Y16" s="1052">
        <f t="shared" si="7"/>
        <v>4.0512151831144916</v>
      </c>
      <c r="Z16" s="1052">
        <f t="shared" si="8"/>
        <v>25.5</v>
      </c>
      <c r="AA16" s="1052">
        <f t="shared" si="29"/>
        <v>2.652292208649496</v>
      </c>
      <c r="AB16" s="1052">
        <f t="shared" si="30"/>
        <v>25.5</v>
      </c>
      <c r="AC16" s="1055">
        <f t="shared" si="9"/>
        <v>128.20457886748625</v>
      </c>
      <c r="AD16" s="1052">
        <f t="shared" si="31"/>
        <v>1.4500000000000002</v>
      </c>
      <c r="AE16" s="1052">
        <f>IF(A16&lt;&gt;0,IF(N16="Inclinada",((AK16+AR16+AD16)*(TAN('PARAMETROS MC'!D$9*PI()/180))),IF(N16="Reta","-")),"")</f>
        <v>0.67614610432474798</v>
      </c>
      <c r="AF16" s="1052">
        <f t="shared" si="10"/>
        <v>2.652292208649496</v>
      </c>
      <c r="AG16" s="1052">
        <f t="shared" si="32"/>
        <v>25.5</v>
      </c>
      <c r="AH16" s="1052">
        <f t="shared" si="33"/>
        <v>1.2999999999999998</v>
      </c>
      <c r="AI16" s="1052">
        <f t="shared" si="34"/>
        <v>25.5</v>
      </c>
      <c r="AJ16" s="1055">
        <f t="shared" si="11"/>
        <v>73.068002207407559</v>
      </c>
      <c r="AK16" s="1052">
        <f t="shared" si="12"/>
        <v>0</v>
      </c>
      <c r="AL16" s="1052">
        <f>IF(A16&lt;&gt;0,IF(N16="Inclinada",((AK16+AR16)*(TAN('PARAMETROS MC'!D$9*PI()/180))),IF(N16="Reta","-")),"")</f>
        <v>0</v>
      </c>
      <c r="AM16" s="1059">
        <f t="shared" si="13"/>
        <v>1.2999999999999998</v>
      </c>
      <c r="AN16" s="1052">
        <f t="shared" si="43"/>
        <v>25.5</v>
      </c>
      <c r="AO16" s="1052">
        <f t="shared" si="44"/>
        <v>1.2999999999999998</v>
      </c>
      <c r="AP16" s="1052">
        <f t="shared" si="44"/>
        <v>25.5</v>
      </c>
      <c r="AQ16" s="1055">
        <f t="shared" si="14"/>
        <v>0</v>
      </c>
      <c r="AR16" s="1052">
        <f t="shared" si="15"/>
        <v>0</v>
      </c>
      <c r="AS16" s="1052">
        <f>IF(A16&lt;&gt;0,IF(N16="Inclinada",(AR16*(TAN('PARAMETROS MC'!D$9*PI()/180))),IF(N16="Reta","-")),"")</f>
        <v>0</v>
      </c>
      <c r="AT16" s="1052">
        <f t="shared" si="16"/>
        <v>1.2999999999999998</v>
      </c>
      <c r="AU16" s="1052">
        <f t="shared" si="17"/>
        <v>25.5</v>
      </c>
      <c r="AV16" s="1052">
        <f t="shared" si="18"/>
        <v>1.2999999999999998</v>
      </c>
      <c r="AW16" s="1052">
        <f t="shared" si="19"/>
        <v>25.5</v>
      </c>
      <c r="AX16" s="1055">
        <f t="shared" si="20"/>
        <v>0</v>
      </c>
      <c r="AY16" s="1055">
        <f>IF(A16&lt;&gt;0,IF(N16="Reta","-",IF(N16="Inclinada",(((H16/1000)+'PARAMETROS MC'!C$35)*(TAN('PARAMETROS MC'!D$9*PI()/180))))),"")</f>
        <v>0.46630765815499858</v>
      </c>
      <c r="AZ16" s="1055">
        <f t="shared" si="21"/>
        <v>2.2326153163099969</v>
      </c>
      <c r="BA16" s="1055">
        <f t="shared" si="22"/>
        <v>25.5</v>
      </c>
      <c r="BB16" s="1055">
        <f t="shared" si="23"/>
        <v>1.2999999999999998</v>
      </c>
      <c r="BC16" s="1055">
        <f t="shared" si="24"/>
        <v>25.5</v>
      </c>
      <c r="BD16" s="1055">
        <f t="shared" si="25"/>
        <v>9.8135500516511147</v>
      </c>
      <c r="BE16" s="1055">
        <f>IF(A16&lt;&gt;0,IF(N16="Inclinada",((((H16/1000+'PARAMETROS MC'!C$35)/6)*(((2*AZ16+BB16)*BA16)+((2*BB16+AZ16)*BC16)))-BD16),IF(N16="Reta",((I16*J16*((H16/1000)+'PARAMETROS MC'!C$35)-BD16)))),"")</f>
        <v>35.227295231301348</v>
      </c>
      <c r="BF16" s="1055">
        <f t="shared" si="35"/>
        <v>156.23173579194139</v>
      </c>
      <c r="BG16" s="1055" t="str">
        <f t="shared" si="36"/>
        <v/>
      </c>
      <c r="BH16" s="1055" t="str">
        <f t="shared" si="37"/>
        <v/>
      </c>
      <c r="BI16" s="1055" t="str">
        <f t="shared" si="38"/>
        <v/>
      </c>
      <c r="BJ16" s="1055">
        <f t="shared" si="39"/>
        <v>156.23173579194139</v>
      </c>
      <c r="BK16" s="1052" t="str">
        <f>IF(A16&lt;&gt;0,IF(N16="Reta",IF(F16&lt;'PARAMETROS MC'!B$17,"-",(I16*F16*2)),IF(N16="Inclinada","-")),"")</f>
        <v>-</v>
      </c>
      <c r="BL16" s="1055" t="str">
        <f>IF(A16&lt;&gt;0,IF(N16="Reta",IF(F16&lt;'PARAMETROS MC'!B$17,"-",IF(F16&gt;='PARAMETROS MC'!B$17,(BK16*('PARAMETROS MC'!B$18/100)))),IF(N16="Inclinada","-")),"")</f>
        <v>-</v>
      </c>
      <c r="BM16" s="1055" t="str">
        <f t="shared" si="40"/>
        <v/>
      </c>
      <c r="BN16" s="1055" t="str">
        <f t="shared" si="41"/>
        <v>-</v>
      </c>
      <c r="BO16" s="1052" t="str">
        <f>IF(A16&lt;&gt;0,IF(N16="Reta",IF(F16&lt;'PARAMETROS MC'!B$17,"-",IF(F16&gt;='PARAMETROS MC'!B$17,(BK16*('PARAMETROS MC'!B$19/100)))),IF(N16="Inclinada","-")),"")</f>
        <v>-</v>
      </c>
      <c r="BP16" s="1060" t="str">
        <f>IF(A16&lt;&gt;0,IF(N16="Reta",IF(F16&lt;'PARAMETROS MC'!B$17,"-",IF(F16&gt;='PARAMETROS MC'!B$17,(BK16*('PARAMETROS MC'!B$20/100)))),IF(N16="Inclinada","-")),"")</f>
        <v>-</v>
      </c>
      <c r="BQ16" s="1060" t="str">
        <f>IF(A16&lt;&gt;0,IF(N16="Reta",IF(F16&lt;'PARAMETROS MC'!B$17,"-",IF(F16&gt;='PARAMETROS MC'!B$17,(BK16*('PARAMETROS MC'!B$21/100)))),IF(N16="Inclinada","-")),"")</f>
        <v>-</v>
      </c>
      <c r="BR16" s="1052"/>
      <c r="BS16" s="1052" t="str">
        <f t="shared" si="26"/>
        <v>-</v>
      </c>
    </row>
    <row r="17" spans="1:71">
      <c r="A17" s="1057">
        <v>7</v>
      </c>
      <c r="B17" s="1049" t="s">
        <v>12012</v>
      </c>
      <c r="C17" s="1049" t="s">
        <v>11993</v>
      </c>
      <c r="D17" s="1050">
        <v>1.4</v>
      </c>
      <c r="E17" s="1050">
        <v>1.4</v>
      </c>
      <c r="F17" s="1051">
        <f t="shared" si="42"/>
        <v>1.4</v>
      </c>
      <c r="G17" s="1052" t="s">
        <v>11699</v>
      </c>
      <c r="H17" s="1050">
        <v>700</v>
      </c>
      <c r="I17" s="1058">
        <v>3.65</v>
      </c>
      <c r="J17" s="1059">
        <f>IF(A17&lt;&gt;0,IF(AND(N17="Inclinada",H17&lt;600),(H17/1000+0.6),IF(AND(N17="Inclinada",H17&gt;=600),(H17/1000+0.6),IF(N17="Reta",((H17/1000)+('PARAMETROS MC'!D$11))))),"")</f>
        <v>1.5</v>
      </c>
      <c r="K17" s="1052" t="s">
        <v>11989</v>
      </c>
      <c r="L17" s="1060" t="str">
        <f>IF(A17&lt;&gt;0,IF(K17="",0,IF(K17="Sem Revestimento","-",IF(N17="Inclinada",((R17+(2*'PARAMETROS MC'!D$14))*I17),IF(N17="Reta",((J17+(2*'PARAMETROS MC'!D$14))*I17))))),"")</f>
        <v>-</v>
      </c>
      <c r="M17" s="1060" t="str">
        <f>IF(A17&lt;&gt;0,IF(K17="",0,IF(K17="Sem Revestimento","-",IF(N17="Inclinada",((R17+(2*'PARAMETROS MC'!D$14))*I17),IF(N17="Reta",((J17+(2*'PARAMETROS MC'!D$14))*I17))))),"")</f>
        <v>-</v>
      </c>
      <c r="N17" s="1052" t="str">
        <f t="shared" si="27"/>
        <v>Reta</v>
      </c>
      <c r="O17" s="1061">
        <f t="shared" si="0"/>
        <v>5.4749999999999996</v>
      </c>
      <c r="P17" s="1061">
        <f t="shared" si="1"/>
        <v>5.4749999999999996</v>
      </c>
      <c r="Q17" s="1053" t="str">
        <f>IF(A17&lt;&gt;0,IF(N17="Inclinada",(F17*(TAN('PARAMETROS MC'!D$9*PI()/180))),IF(N17="Reta","-")),"")</f>
        <v>-</v>
      </c>
      <c r="R17" s="1053" t="str">
        <f t="shared" si="2"/>
        <v>-</v>
      </c>
      <c r="S17" s="1053" t="str">
        <f t="shared" si="3"/>
        <v>-</v>
      </c>
      <c r="T17" s="1053" t="str">
        <f t="shared" si="4"/>
        <v>-</v>
      </c>
      <c r="U17" s="1053" t="str">
        <f t="shared" si="5"/>
        <v>-</v>
      </c>
      <c r="V17" s="1055">
        <f t="shared" si="6"/>
        <v>7.6649999999999991</v>
      </c>
      <c r="W17" s="1052">
        <f t="shared" si="28"/>
        <v>1.4</v>
      </c>
      <c r="X17" s="1052" t="str">
        <f>IF(A17&lt;&gt;0,IF(N17="Inclinada",((AK17+AR17+AD17+W17)*(TAN('PARAMETROS MC'!D$9*PI()/180))),IF(N17="Reta","-")),"")</f>
        <v>-</v>
      </c>
      <c r="Y17" s="1052" t="str">
        <f t="shared" si="7"/>
        <v>-</v>
      </c>
      <c r="Z17" s="1052" t="str">
        <f t="shared" si="8"/>
        <v>-</v>
      </c>
      <c r="AA17" s="1052" t="str">
        <f t="shared" si="29"/>
        <v>-</v>
      </c>
      <c r="AB17" s="1052" t="str">
        <f t="shared" si="30"/>
        <v>-</v>
      </c>
      <c r="AC17" s="1055">
        <f t="shared" si="9"/>
        <v>7.6649999999999991</v>
      </c>
      <c r="AD17" s="1052">
        <f t="shared" si="31"/>
        <v>0</v>
      </c>
      <c r="AE17" s="1052" t="str">
        <f>IF(A17&lt;&gt;0,IF(N17="Inclinada",((AK17+AR17+AD17)*(TAN('PARAMETROS MC'!D$9*PI()/180))),IF(N17="Reta","-")),"")</f>
        <v>-</v>
      </c>
      <c r="AF17" s="1052" t="str">
        <f t="shared" si="10"/>
        <v>-</v>
      </c>
      <c r="AG17" s="1052" t="str">
        <f t="shared" si="32"/>
        <v>-</v>
      </c>
      <c r="AH17" s="1052" t="str">
        <f t="shared" si="33"/>
        <v>-</v>
      </c>
      <c r="AI17" s="1052" t="str">
        <f t="shared" si="34"/>
        <v>-</v>
      </c>
      <c r="AJ17" s="1055">
        <f t="shared" si="11"/>
        <v>0</v>
      </c>
      <c r="AK17" s="1052">
        <f t="shared" si="12"/>
        <v>0</v>
      </c>
      <c r="AL17" s="1052" t="str">
        <f>IF(A17&lt;&gt;0,IF(N17="Inclinada",((AK17+AR17)*(TAN('PARAMETROS MC'!D$9*PI()/180))),IF(N17="Reta","-")),"")</f>
        <v>-</v>
      </c>
      <c r="AM17" s="1059" t="str">
        <f t="shared" si="13"/>
        <v>-</v>
      </c>
      <c r="AN17" s="1052" t="str">
        <f t="shared" si="43"/>
        <v>-</v>
      </c>
      <c r="AO17" s="1052" t="str">
        <f t="shared" si="44"/>
        <v>-</v>
      </c>
      <c r="AP17" s="1052" t="str">
        <f t="shared" si="44"/>
        <v>-</v>
      </c>
      <c r="AQ17" s="1055">
        <f t="shared" si="14"/>
        <v>0</v>
      </c>
      <c r="AR17" s="1052">
        <f t="shared" si="15"/>
        <v>0</v>
      </c>
      <c r="AS17" s="1052" t="str">
        <f>IF(A17&lt;&gt;0,IF(N17="Inclinada",(AR17*(TAN('PARAMETROS MC'!D$9*PI()/180))),IF(N17="Reta","-")),"")</f>
        <v>-</v>
      </c>
      <c r="AT17" s="1052" t="str">
        <f t="shared" si="16"/>
        <v>-</v>
      </c>
      <c r="AU17" s="1052" t="str">
        <f t="shared" si="17"/>
        <v>-</v>
      </c>
      <c r="AV17" s="1052" t="str">
        <f t="shared" si="18"/>
        <v>-</v>
      </c>
      <c r="AW17" s="1052" t="str">
        <f t="shared" si="19"/>
        <v>-</v>
      </c>
      <c r="AX17" s="1055">
        <f t="shared" si="20"/>
        <v>0</v>
      </c>
      <c r="AY17" s="1055" t="str">
        <f>IF(A17&lt;&gt;0,IF(N17="Reta","-",IF(N17="Inclinada",(((H17/1000)+'PARAMETROS MC'!C$35)*(TAN('PARAMETROS MC'!D$9*PI()/180))))),"")</f>
        <v>-</v>
      </c>
      <c r="AZ17" s="1055" t="str">
        <f t="shared" si="21"/>
        <v>-</v>
      </c>
      <c r="BA17" s="1055" t="str">
        <f t="shared" si="22"/>
        <v>-</v>
      </c>
      <c r="BB17" s="1055" t="str">
        <f t="shared" si="23"/>
        <v>-</v>
      </c>
      <c r="BC17" s="1055" t="str">
        <f t="shared" si="24"/>
        <v>-</v>
      </c>
      <c r="BD17" s="1055">
        <f t="shared" si="25"/>
        <v>1.4046846152363359</v>
      </c>
      <c r="BE17" s="1055">
        <f>IF(A17&lt;&gt;0,IF(N17="Inclinada",((((H17/1000+'PARAMETROS MC'!C$35)/6)*(((2*AZ17+BB17)*BA17)+((2*BB17+AZ17)*BC17)))-BD17),IF(N17="Reta",((I17*J17*((H17/1000)+'PARAMETROS MC'!C$35)-BD17)))),"")</f>
        <v>4.0703153847636635</v>
      </c>
      <c r="BF17" s="1055">
        <f t="shared" si="35"/>
        <v>2.1899999999999995</v>
      </c>
      <c r="BG17" s="1055" t="str">
        <f t="shared" si="36"/>
        <v/>
      </c>
      <c r="BH17" s="1055" t="str">
        <f t="shared" si="37"/>
        <v/>
      </c>
      <c r="BI17" s="1055">
        <f t="shared" si="38"/>
        <v>2.1899999999999995</v>
      </c>
      <c r="BJ17" s="1055" t="str">
        <f t="shared" si="39"/>
        <v/>
      </c>
      <c r="BK17" s="1052">
        <f>IF(A17&lt;&gt;0,IF(N17="Reta",IF(F17&lt;'PARAMETROS MC'!B$17,"-",(I17*F17*2)),IF(N17="Inclinada","-")),"")</f>
        <v>10.219999999999999</v>
      </c>
      <c r="BL17" s="1055">
        <f>IF(A17&lt;&gt;0,IF(N17="Reta",IF(F17&lt;'PARAMETROS MC'!B$17,"-",IF(F17&gt;='PARAMETROS MC'!B$17,(BK17*('PARAMETROS MC'!B$18/100)))),IF(N17="Inclinada","-")),"")</f>
        <v>9.9133999999999993</v>
      </c>
      <c r="BM17" s="1055">
        <f t="shared" si="40"/>
        <v>9.9133999999999993</v>
      </c>
      <c r="BN17" s="1055" t="str">
        <f t="shared" si="41"/>
        <v/>
      </c>
      <c r="BO17" s="1052">
        <f>IF(A17&lt;&gt;0,IF(N17="Reta",IF(F17&lt;'PARAMETROS MC'!B$17,"-",IF(F17&gt;='PARAMETROS MC'!B$17,(BK17*('PARAMETROS MC'!B$19/100)))),IF(N17="Inclinada","-")),"")</f>
        <v>0</v>
      </c>
      <c r="BP17" s="1060">
        <f>IF(A17&lt;&gt;0,IF(N17="Reta",IF(F17&lt;'PARAMETROS MC'!B$17,"-",IF(F17&gt;='PARAMETROS MC'!B$17,(BK17*('PARAMETROS MC'!B$20/100)))),IF(N17="Inclinada","-")),"")</f>
        <v>0</v>
      </c>
      <c r="BQ17" s="1060">
        <f>IF(A17&lt;&gt;0,IF(N17="Reta",IF(F17&lt;'PARAMETROS MC'!B$17,"-",IF(F17&gt;='PARAMETROS MC'!B$17,(BK17*('PARAMETROS MC'!B$21/100)))),IF(N17="Inclinada","-")),"")</f>
        <v>0.30659999999999993</v>
      </c>
      <c r="BR17" s="1052"/>
      <c r="BS17" s="1052" t="str">
        <f t="shared" si="26"/>
        <v>-</v>
      </c>
    </row>
    <row r="18" spans="1:71">
      <c r="A18" s="1057">
        <v>8</v>
      </c>
      <c r="B18" s="1049" t="s">
        <v>12013</v>
      </c>
      <c r="C18" s="1049" t="s">
        <v>11997</v>
      </c>
      <c r="D18" s="1050">
        <v>1.05</v>
      </c>
      <c r="E18" s="1050">
        <v>1.05</v>
      </c>
      <c r="F18" s="1051">
        <f t="shared" si="42"/>
        <v>1.05</v>
      </c>
      <c r="G18" s="1052" t="s">
        <v>11999</v>
      </c>
      <c r="H18" s="1050">
        <v>150</v>
      </c>
      <c r="I18" s="1050">
        <v>2</v>
      </c>
      <c r="J18" s="1059">
        <f>IF(A18&lt;&gt;0,IF(AND(N18="Inclinada",H18&lt;600),(H18/1000+0.6),IF(AND(N18="Inclinada",H18&gt;=600),(H18/1000+0.6),IF(N18="Reta",((H18/1000)+('PARAMETROS MC'!D$11))))),"")</f>
        <v>0.95000000000000007</v>
      </c>
      <c r="K18" s="1052" t="s">
        <v>11989</v>
      </c>
      <c r="L18" s="1060" t="str">
        <f>IF(A18&lt;&gt;0,IF(K18="",0,IF(K18="Sem Revestimento","-",IF(N18="Inclinada",((R18+(2*'PARAMETROS MC'!D$14))*I18),IF(N18="Reta",((J18+(2*'PARAMETROS MC'!D$14))*I18))))),"")</f>
        <v>-</v>
      </c>
      <c r="M18" s="1060" t="str">
        <f>IF(A18&lt;&gt;0,IF(K18="",0,IF(K18="Sem Revestimento","-",IF(N18="Inclinada",((R18+(2*'PARAMETROS MC'!D$14))*I18),IF(N18="Reta",((J18+(2*'PARAMETROS MC'!D$14))*I18))))),"")</f>
        <v>-</v>
      </c>
      <c r="N18" s="1052" t="str">
        <f t="shared" si="27"/>
        <v>Reta</v>
      </c>
      <c r="O18" s="1061">
        <f t="shared" si="0"/>
        <v>1.9000000000000001</v>
      </c>
      <c r="P18" s="1061">
        <f t="shared" si="1"/>
        <v>1.9000000000000001</v>
      </c>
      <c r="Q18" s="1053" t="str">
        <f>IF(A18&lt;&gt;0,IF(N18="Inclinada",(F18*(TAN('PARAMETROS MC'!D$9*PI()/180))),IF(N18="Reta","-")),"")</f>
        <v>-</v>
      </c>
      <c r="R18" s="1053" t="str">
        <f t="shared" si="2"/>
        <v>-</v>
      </c>
      <c r="S18" s="1053" t="str">
        <f t="shared" si="3"/>
        <v>-</v>
      </c>
      <c r="T18" s="1053" t="str">
        <f t="shared" si="4"/>
        <v>-</v>
      </c>
      <c r="U18" s="1053" t="str">
        <f t="shared" si="5"/>
        <v>-</v>
      </c>
      <c r="V18" s="1055">
        <f t="shared" si="6"/>
        <v>1.9950000000000003</v>
      </c>
      <c r="W18" s="1052">
        <f t="shared" si="28"/>
        <v>1.05</v>
      </c>
      <c r="X18" s="1052" t="str">
        <f>IF(A18&lt;&gt;0,IF(N18="Inclinada",((AK18+AR18+AD18+W18)*(TAN('PARAMETROS MC'!D$9*PI()/180))),IF(N18="Reta","-")),"")</f>
        <v>-</v>
      </c>
      <c r="Y18" s="1052" t="str">
        <f t="shared" si="7"/>
        <v>-</v>
      </c>
      <c r="Z18" s="1052" t="str">
        <f t="shared" si="8"/>
        <v>-</v>
      </c>
      <c r="AA18" s="1052" t="str">
        <f t="shared" si="29"/>
        <v>-</v>
      </c>
      <c r="AB18" s="1052" t="str">
        <f t="shared" si="30"/>
        <v>-</v>
      </c>
      <c r="AC18" s="1055">
        <f t="shared" si="9"/>
        <v>1.9950000000000003</v>
      </c>
      <c r="AD18" s="1052">
        <f t="shared" si="31"/>
        <v>0</v>
      </c>
      <c r="AE18" s="1052" t="str">
        <f>IF(A18&lt;&gt;0,IF(N18="Inclinada",((AK18+AR18+AD18)*(TAN('PARAMETROS MC'!D$9*PI()/180))),IF(N18="Reta","-")),"")</f>
        <v>-</v>
      </c>
      <c r="AF18" s="1052" t="str">
        <f t="shared" si="10"/>
        <v>-</v>
      </c>
      <c r="AG18" s="1052" t="str">
        <f t="shared" si="32"/>
        <v>-</v>
      </c>
      <c r="AH18" s="1052" t="str">
        <f t="shared" si="33"/>
        <v>-</v>
      </c>
      <c r="AI18" s="1052" t="str">
        <f t="shared" si="34"/>
        <v>-</v>
      </c>
      <c r="AJ18" s="1055">
        <f t="shared" si="11"/>
        <v>0</v>
      </c>
      <c r="AK18" s="1052">
        <f t="shared" si="12"/>
        <v>0</v>
      </c>
      <c r="AL18" s="1052" t="str">
        <f>IF(A18&lt;&gt;0,IF(N18="Inclinada",((AK18+AR18)*(TAN('PARAMETROS MC'!D$9*PI()/180))),IF(N18="Reta","-")),"")</f>
        <v>-</v>
      </c>
      <c r="AM18" s="1059" t="str">
        <f t="shared" si="13"/>
        <v>-</v>
      </c>
      <c r="AN18" s="1052" t="str">
        <f t="shared" si="43"/>
        <v>-</v>
      </c>
      <c r="AO18" s="1052" t="str">
        <f t="shared" si="44"/>
        <v>-</v>
      </c>
      <c r="AP18" s="1052" t="str">
        <f t="shared" si="44"/>
        <v>-</v>
      </c>
      <c r="AQ18" s="1055">
        <f t="shared" si="14"/>
        <v>0</v>
      </c>
      <c r="AR18" s="1052">
        <f t="shared" si="15"/>
        <v>0</v>
      </c>
      <c r="AS18" s="1052" t="str">
        <f>IF(A18&lt;&gt;0,IF(N18="Inclinada",(AR18*(TAN('PARAMETROS MC'!D$9*PI()/180))),IF(N18="Reta","-")),"")</f>
        <v>-</v>
      </c>
      <c r="AT18" s="1052" t="str">
        <f t="shared" si="16"/>
        <v>-</v>
      </c>
      <c r="AU18" s="1052" t="str">
        <f t="shared" si="17"/>
        <v>-</v>
      </c>
      <c r="AV18" s="1052" t="str">
        <f t="shared" si="18"/>
        <v>-</v>
      </c>
      <c r="AW18" s="1052" t="str">
        <f t="shared" si="19"/>
        <v>-</v>
      </c>
      <c r="AX18" s="1055">
        <f t="shared" si="20"/>
        <v>0</v>
      </c>
      <c r="AY18" s="1055" t="str">
        <f>IF(A18&lt;&gt;0,IF(N18="Reta","-",IF(N18="Inclinada",(((H18/1000)+'PARAMETROS MC'!C$35)*(TAN('PARAMETROS MC'!D$9*PI()/180))))),"")</f>
        <v>-</v>
      </c>
      <c r="AZ18" s="1055" t="str">
        <f t="shared" si="21"/>
        <v>-</v>
      </c>
      <c r="BA18" s="1055" t="str">
        <f t="shared" si="22"/>
        <v>-</v>
      </c>
      <c r="BB18" s="1055" t="str">
        <f t="shared" si="23"/>
        <v>-</v>
      </c>
      <c r="BC18" s="1055" t="str">
        <f t="shared" si="24"/>
        <v>-</v>
      </c>
      <c r="BD18" s="1055">
        <f t="shared" si="25"/>
        <v>3.5342917352885174E-2</v>
      </c>
      <c r="BE18" s="1055">
        <f>IF(A18&lt;&gt;0,IF(N18="Inclinada",((((H18/1000+'PARAMETROS MC'!C$35)/6)*(((2*AZ18+BB18)*BA18)+((2*BB18+AZ18)*BC18)))-BD18),IF(N18="Reta",((I18*J18*((H18/1000)+'PARAMETROS MC'!C$35)-BD18)))),"")</f>
        <v>0.81965708264711479</v>
      </c>
      <c r="BF18" s="1055">
        <f t="shared" si="35"/>
        <v>1.1400000000000003</v>
      </c>
      <c r="BG18" s="1055" t="str">
        <f t="shared" si="36"/>
        <v/>
      </c>
      <c r="BH18" s="1055" t="str">
        <f t="shared" si="37"/>
        <v/>
      </c>
      <c r="BI18" s="1055">
        <f t="shared" si="38"/>
        <v>1.1400000000000003</v>
      </c>
      <c r="BJ18" s="1055" t="str">
        <f t="shared" si="39"/>
        <v/>
      </c>
      <c r="BK18" s="1052" t="str">
        <f>IF(A18&lt;&gt;0,IF(N18="Reta",IF(F18&lt;'PARAMETROS MC'!B$17,"-",(I18*F18*2)),IF(N18="Inclinada","-")),"")</f>
        <v>-</v>
      </c>
      <c r="BL18" s="1055" t="str">
        <f>IF(A18&lt;&gt;0,IF(N18="Reta",IF(F18&lt;'PARAMETROS MC'!B$17,"-",IF(F18&gt;='PARAMETROS MC'!B$17,(BK18*('PARAMETROS MC'!B$18/100)))),IF(N18="Inclinada","-")),"")</f>
        <v>-</v>
      </c>
      <c r="BM18" s="1055" t="str">
        <f t="shared" si="40"/>
        <v>-</v>
      </c>
      <c r="BN18" s="1055" t="str">
        <f t="shared" si="41"/>
        <v/>
      </c>
      <c r="BO18" s="1052" t="str">
        <f>IF(A18&lt;&gt;0,IF(N18="Reta",IF(F18&lt;'PARAMETROS MC'!B$17,"-",IF(F18&gt;='PARAMETROS MC'!B$17,(BK18*('PARAMETROS MC'!B$19/100)))),IF(N18="Inclinada","-")),"")</f>
        <v>-</v>
      </c>
      <c r="BP18" s="1060" t="str">
        <f>IF(A18&lt;&gt;0,IF(N18="Reta",IF(F18&lt;'PARAMETROS MC'!B$17,"-",IF(F18&gt;='PARAMETROS MC'!B$17,(BK18*('PARAMETROS MC'!B$20/100)))),IF(N18="Inclinada","-")),"")</f>
        <v>-</v>
      </c>
      <c r="BQ18" s="1060" t="str">
        <f>IF(A18&lt;&gt;0,IF(N18="Reta",IF(F18&lt;'PARAMETROS MC'!B$17,"-",IF(F18&gt;='PARAMETROS MC'!B$17,(BK18*('PARAMETROS MC'!B$21/100)))),IF(N18="Inclinada","-")),"")</f>
        <v>-</v>
      </c>
      <c r="BR18" s="1052"/>
      <c r="BS18" s="1052" t="str">
        <f t="shared" si="26"/>
        <v>-</v>
      </c>
    </row>
    <row r="19" spans="1:71">
      <c r="A19" s="1057">
        <v>9</v>
      </c>
      <c r="B19" s="1049" t="str">
        <f>C18</f>
        <v>CP06</v>
      </c>
      <c r="C19" s="1049" t="s">
        <v>12000</v>
      </c>
      <c r="D19" s="1050">
        <f>E18</f>
        <v>1.05</v>
      </c>
      <c r="E19" s="1050">
        <v>2.7</v>
      </c>
      <c r="F19" s="1051">
        <f t="shared" si="42"/>
        <v>1.875</v>
      </c>
      <c r="G19" s="1052" t="s">
        <v>11999</v>
      </c>
      <c r="H19" s="1050">
        <v>200</v>
      </c>
      <c r="I19" s="1050">
        <v>20</v>
      </c>
      <c r="J19" s="1059">
        <f>IF(A19&lt;&gt;0,IF(AND(N19="Inclinada",H19&lt;600),(H19/1000+0.6),IF(AND(N19="Inclinada",H19&gt;=600),(H19/1000+0.6),IF(N19="Reta",((H19/1000)+('PARAMETROS MC'!D$11))))),"")</f>
        <v>1</v>
      </c>
      <c r="K19" s="1052" t="s">
        <v>11989</v>
      </c>
      <c r="L19" s="1060" t="str">
        <f>IF(A19&lt;&gt;0,IF(K19="",0,IF(K19="Sem Revestimento","-",IF(N19="Inclinada",((R19+(2*'PARAMETROS MC'!D$14))*I19),IF(N19="Reta",((J19+(2*'PARAMETROS MC'!D$14))*I19))))),"")</f>
        <v>-</v>
      </c>
      <c r="M19" s="1060" t="str">
        <f>IF(A19&lt;&gt;0,IF(K19="",0,IF(K19="Sem Revestimento","-",IF(N19="Inclinada",((R19+(2*'PARAMETROS MC'!D$14))*I19),IF(N19="Reta",((J19+(2*'PARAMETROS MC'!D$14))*I19))))),"")</f>
        <v>-</v>
      </c>
      <c r="N19" s="1052" t="str">
        <f t="shared" si="27"/>
        <v>Reta</v>
      </c>
      <c r="O19" s="1061">
        <f t="shared" si="0"/>
        <v>20</v>
      </c>
      <c r="P19" s="1061">
        <f t="shared" si="1"/>
        <v>20</v>
      </c>
      <c r="Q19" s="1053" t="str">
        <f>IF(A19&lt;&gt;0,IF(N19="Inclinada",(F19*(TAN('PARAMETROS MC'!D$9*PI()/180))),IF(N19="Reta","-")),"")</f>
        <v>-</v>
      </c>
      <c r="R19" s="1053" t="str">
        <f t="shared" si="2"/>
        <v>-</v>
      </c>
      <c r="S19" s="1053" t="str">
        <f t="shared" si="3"/>
        <v>-</v>
      </c>
      <c r="T19" s="1053" t="str">
        <f t="shared" si="4"/>
        <v>-</v>
      </c>
      <c r="U19" s="1053" t="str">
        <f t="shared" si="5"/>
        <v>-</v>
      </c>
      <c r="V19" s="1055">
        <f t="shared" si="6"/>
        <v>37.5</v>
      </c>
      <c r="W19" s="1052">
        <f t="shared" si="28"/>
        <v>1.5</v>
      </c>
      <c r="X19" s="1052" t="str">
        <f>IF(A19&lt;&gt;0,IF(N19="Inclinada",((AK19+AR19+AD19+W19)*(TAN('PARAMETROS MC'!D$9*PI()/180))),IF(N19="Reta","-")),"")</f>
        <v>-</v>
      </c>
      <c r="Y19" s="1052" t="str">
        <f t="shared" si="7"/>
        <v>-</v>
      </c>
      <c r="Z19" s="1052" t="str">
        <f t="shared" si="8"/>
        <v>-</v>
      </c>
      <c r="AA19" s="1052" t="str">
        <f t="shared" si="29"/>
        <v>-</v>
      </c>
      <c r="AB19" s="1052" t="str">
        <f t="shared" si="30"/>
        <v>-</v>
      </c>
      <c r="AC19" s="1055">
        <f t="shared" si="9"/>
        <v>30</v>
      </c>
      <c r="AD19" s="1052">
        <f t="shared" si="31"/>
        <v>0.375</v>
      </c>
      <c r="AE19" s="1052" t="str">
        <f>IF(A19&lt;&gt;0,IF(N19="Inclinada",((AK19+AR19+AD19)*(TAN('PARAMETROS MC'!D$9*PI()/180))),IF(N19="Reta","-")),"")</f>
        <v>-</v>
      </c>
      <c r="AF19" s="1052" t="str">
        <f t="shared" si="10"/>
        <v>-</v>
      </c>
      <c r="AG19" s="1052" t="str">
        <f t="shared" si="32"/>
        <v>-</v>
      </c>
      <c r="AH19" s="1052" t="str">
        <f t="shared" si="33"/>
        <v>-</v>
      </c>
      <c r="AI19" s="1052" t="str">
        <f t="shared" si="34"/>
        <v>-</v>
      </c>
      <c r="AJ19" s="1055">
        <f t="shared" si="11"/>
        <v>7.5</v>
      </c>
      <c r="AK19" s="1052">
        <f t="shared" si="12"/>
        <v>0</v>
      </c>
      <c r="AL19" s="1052" t="str">
        <f>IF(A19&lt;&gt;0,IF(N19="Inclinada",((AK19+AR19)*(TAN('PARAMETROS MC'!D$9*PI()/180))),IF(N19="Reta","-")),"")</f>
        <v>-</v>
      </c>
      <c r="AM19" s="1059" t="str">
        <f t="shared" si="13"/>
        <v>-</v>
      </c>
      <c r="AN19" s="1052" t="str">
        <f t="shared" si="43"/>
        <v>-</v>
      </c>
      <c r="AO19" s="1052" t="str">
        <f t="shared" si="44"/>
        <v>-</v>
      </c>
      <c r="AP19" s="1052" t="str">
        <f t="shared" si="44"/>
        <v>-</v>
      </c>
      <c r="AQ19" s="1055">
        <f t="shared" si="14"/>
        <v>0</v>
      </c>
      <c r="AR19" s="1052">
        <f t="shared" si="15"/>
        <v>0</v>
      </c>
      <c r="AS19" s="1052" t="str">
        <f>IF(A19&lt;&gt;0,IF(N19="Inclinada",(AR19*(TAN('PARAMETROS MC'!D$9*PI()/180))),IF(N19="Reta","-")),"")</f>
        <v>-</v>
      </c>
      <c r="AT19" s="1052" t="str">
        <f t="shared" si="16"/>
        <v>-</v>
      </c>
      <c r="AU19" s="1052" t="str">
        <f t="shared" si="17"/>
        <v>-</v>
      </c>
      <c r="AV19" s="1052" t="str">
        <f t="shared" si="18"/>
        <v>-</v>
      </c>
      <c r="AW19" s="1052" t="str">
        <f t="shared" si="19"/>
        <v>-</v>
      </c>
      <c r="AX19" s="1055">
        <f t="shared" si="20"/>
        <v>0</v>
      </c>
      <c r="AY19" s="1055" t="str">
        <f>IF(A19&lt;&gt;0,IF(N19="Reta","-",IF(N19="Inclinada",(((H19/1000)+'PARAMETROS MC'!C$35)*(TAN('PARAMETROS MC'!D$9*PI()/180))))),"")</f>
        <v>-</v>
      </c>
      <c r="AZ19" s="1055" t="str">
        <f t="shared" si="21"/>
        <v>-</v>
      </c>
      <c r="BA19" s="1055" t="str">
        <f t="shared" si="22"/>
        <v>-</v>
      </c>
      <c r="BB19" s="1055" t="str">
        <f t="shared" si="23"/>
        <v>-</v>
      </c>
      <c r="BC19" s="1055" t="str">
        <f t="shared" si="24"/>
        <v>-</v>
      </c>
      <c r="BD19" s="1055">
        <f t="shared" si="25"/>
        <v>0.62831853071795862</v>
      </c>
      <c r="BE19" s="1055">
        <f>IF(A19&lt;&gt;0,IF(N19="Inclinada",((((H19/1000+'PARAMETROS MC'!C$35)/6)*(((2*AZ19+BB19)*BA19)+((2*BB19+AZ19)*BC19)))-BD19),IF(N19="Reta",((I19*J19*((H19/1000)+'PARAMETROS MC'!C$35)-BD19)))),"")</f>
        <v>9.3716814692820414</v>
      </c>
      <c r="BF19" s="1055">
        <f t="shared" si="35"/>
        <v>27.5</v>
      </c>
      <c r="BG19" s="1055" t="str">
        <f t="shared" si="36"/>
        <v/>
      </c>
      <c r="BH19" s="1055" t="str">
        <f t="shared" si="37"/>
        <v/>
      </c>
      <c r="BI19" s="1055" t="str">
        <f t="shared" si="38"/>
        <v/>
      </c>
      <c r="BJ19" s="1055">
        <f t="shared" si="39"/>
        <v>27.5</v>
      </c>
      <c r="BK19" s="1052">
        <f>IF(A19&lt;&gt;0,IF(N19="Reta",IF(F19&lt;'PARAMETROS MC'!B$17,"-",(I19*F19*2)),IF(N19="Inclinada","-")),"")</f>
        <v>75</v>
      </c>
      <c r="BL19" s="1055">
        <f>IF(A19&lt;&gt;0,IF(N19="Reta",IF(F19&lt;'PARAMETROS MC'!B$17,"-",IF(F19&gt;='PARAMETROS MC'!B$17,(BK19*('PARAMETROS MC'!B$18/100)))),IF(N19="Inclinada","-")),"")</f>
        <v>72.75</v>
      </c>
      <c r="BM19" s="1055" t="str">
        <f t="shared" si="40"/>
        <v/>
      </c>
      <c r="BN19" s="1055">
        <f t="shared" si="41"/>
        <v>72.75</v>
      </c>
      <c r="BO19" s="1052">
        <f>IF(A19&lt;&gt;0,IF(N19="Reta",IF(F19&lt;'PARAMETROS MC'!B$17,"-",IF(F19&gt;='PARAMETROS MC'!B$17,(BK19*('PARAMETROS MC'!B$19/100)))),IF(N19="Inclinada","-")),"")</f>
        <v>0</v>
      </c>
      <c r="BP19" s="1060">
        <f>IF(A19&lt;&gt;0,IF(N19="Reta",IF(F19&lt;'PARAMETROS MC'!B$17,"-",IF(F19&gt;='PARAMETROS MC'!B$17,(BK19*('PARAMETROS MC'!B$20/100)))),IF(N19="Inclinada","-")),"")</f>
        <v>0</v>
      </c>
      <c r="BQ19" s="1060">
        <f>IF(A19&lt;&gt;0,IF(N19="Reta",IF(F19&lt;'PARAMETROS MC'!B$17,"-",IF(F19&gt;='PARAMETROS MC'!B$17,(BK19*('PARAMETROS MC'!B$21/100)))),IF(N19="Inclinada","-")),"")</f>
        <v>2.25</v>
      </c>
      <c r="BR19" s="1052"/>
      <c r="BS19" s="1052" t="str">
        <f t="shared" si="26"/>
        <v>-</v>
      </c>
    </row>
    <row r="20" spans="1:71">
      <c r="A20" s="1057">
        <v>10</v>
      </c>
      <c r="B20" s="1049" t="str">
        <f>C19</f>
        <v>CP07</v>
      </c>
      <c r="C20" s="1049" t="s">
        <v>11998</v>
      </c>
      <c r="D20" s="1050">
        <f>E19</f>
        <v>2.7</v>
      </c>
      <c r="E20" s="1050">
        <v>3.2</v>
      </c>
      <c r="F20" s="1051">
        <f t="shared" si="42"/>
        <v>2.95</v>
      </c>
      <c r="G20" s="1052" t="s">
        <v>11999</v>
      </c>
      <c r="H20" s="1050">
        <v>200</v>
      </c>
      <c r="I20" s="1050">
        <v>38.799999999999997</v>
      </c>
      <c r="J20" s="1059">
        <f>IF(A20&lt;&gt;0,IF(AND(N20="Inclinada",H20&lt;600),(H20/1000+0.6),IF(AND(N20="Inclinada",H20&gt;=600),(H20/1000+0.6),IF(N20="Reta",((H20/1000)+('PARAMETROS MC'!D$11))))),"")</f>
        <v>0.8</v>
      </c>
      <c r="K20" s="1052" t="s">
        <v>11989</v>
      </c>
      <c r="L20" s="1060" t="str">
        <f>IF(A20&lt;&gt;0,IF(K20="",0,IF(K20="Sem Revestimento","-",IF(N20="Inclinada",((R20+(2*'PARAMETROS MC'!D$14))*I20),IF(N20="Reta",((J20+(2*'PARAMETROS MC'!D$14))*I20))))),"")</f>
        <v>-</v>
      </c>
      <c r="M20" s="1060" t="str">
        <f>IF(A20&lt;&gt;0,IF(K20="",0,IF(K20="Sem Revestimento","-",IF(N20="Inclinada",((R20+(2*'PARAMETROS MC'!D$14))*I20),IF(N20="Reta",((J20+(2*'PARAMETROS MC'!D$14))*I20))))),"")</f>
        <v>-</v>
      </c>
      <c r="N20" s="1052" t="str">
        <f t="shared" si="27"/>
        <v>Inclinada</v>
      </c>
      <c r="O20" s="1061">
        <f t="shared" si="0"/>
        <v>137.78714910484226</v>
      </c>
      <c r="P20" s="1061">
        <f t="shared" si="1"/>
        <v>31.04</v>
      </c>
      <c r="Q20" s="1053">
        <f>IF(A20&lt;&gt;0,IF(N20="Inclinada",(F20*(TAN('PARAMETROS MC'!D$9*PI()/180))),IF(N20="Reta","-")),"")</f>
        <v>1.3756075915572459</v>
      </c>
      <c r="R20" s="1053">
        <f t="shared" si="2"/>
        <v>3.5512151831144916</v>
      </c>
      <c r="S20" s="1053">
        <f t="shared" si="3"/>
        <v>38.799999999999997</v>
      </c>
      <c r="T20" s="1053">
        <f t="shared" si="4"/>
        <v>0.8</v>
      </c>
      <c r="U20" s="1053">
        <f t="shared" si="5"/>
        <v>38.799999999999997</v>
      </c>
      <c r="V20" s="1055">
        <f t="shared" si="6"/>
        <v>249.02004492964235</v>
      </c>
      <c r="W20" s="1052">
        <f t="shared" si="28"/>
        <v>1.5</v>
      </c>
      <c r="X20" s="1052">
        <f>IF(A20&lt;&gt;0,IF(N20="Inclinada",((AK20+AR20+AD20+W20)*(TAN('PARAMETROS MC'!D$9*PI()/180))),IF(N20="Reta","-")),"")</f>
        <v>1.3756075915572459</v>
      </c>
      <c r="Y20" s="1052">
        <f t="shared" si="7"/>
        <v>3.5512151831144916</v>
      </c>
      <c r="Z20" s="1052">
        <f t="shared" si="8"/>
        <v>38.799999999999997</v>
      </c>
      <c r="AA20" s="1052">
        <f t="shared" si="29"/>
        <v>2.152292208649496</v>
      </c>
      <c r="AB20" s="1052">
        <f t="shared" si="30"/>
        <v>38.799999999999997</v>
      </c>
      <c r="AC20" s="1055">
        <f t="shared" si="9"/>
        <v>165.97206510033203</v>
      </c>
      <c r="AD20" s="1052">
        <f t="shared" si="31"/>
        <v>1.4500000000000002</v>
      </c>
      <c r="AE20" s="1052">
        <f>IF(A20&lt;&gt;0,IF(N20="Inclinada",((AK20+AR20+AD20)*(TAN('PARAMETROS MC'!D$9*PI()/180))),IF(N20="Reta","-")),"")</f>
        <v>0.67614610432474798</v>
      </c>
      <c r="AF20" s="1052">
        <f t="shared" si="10"/>
        <v>2.152292208649496</v>
      </c>
      <c r="AG20" s="1052">
        <f t="shared" si="32"/>
        <v>38.799999999999997</v>
      </c>
      <c r="AH20" s="1052">
        <f t="shared" si="33"/>
        <v>0.8</v>
      </c>
      <c r="AI20" s="1052">
        <f t="shared" si="34"/>
        <v>38.799999999999997</v>
      </c>
      <c r="AJ20" s="1055">
        <f t="shared" si="11"/>
        <v>83.047979829310336</v>
      </c>
      <c r="AK20" s="1052">
        <f t="shared" si="12"/>
        <v>0</v>
      </c>
      <c r="AL20" s="1052">
        <f>IF(A20&lt;&gt;0,IF(N20="Inclinada",((AK20+AR20)*(TAN('PARAMETROS MC'!D$9*PI()/180))),IF(N20="Reta","-")),"")</f>
        <v>0</v>
      </c>
      <c r="AM20" s="1059">
        <f t="shared" si="13"/>
        <v>0.8</v>
      </c>
      <c r="AN20" s="1052">
        <f t="shared" si="43"/>
        <v>38.799999999999997</v>
      </c>
      <c r="AO20" s="1052">
        <f t="shared" si="44"/>
        <v>0.8</v>
      </c>
      <c r="AP20" s="1052">
        <f t="shared" si="44"/>
        <v>38.799999999999997</v>
      </c>
      <c r="AQ20" s="1055">
        <f t="shared" si="14"/>
        <v>0</v>
      </c>
      <c r="AR20" s="1052">
        <f t="shared" si="15"/>
        <v>0</v>
      </c>
      <c r="AS20" s="1052">
        <f>IF(A20&lt;&gt;0,IF(N20="Inclinada",(AR20*(TAN('PARAMETROS MC'!D$9*PI()/180))),IF(N20="Reta","-")),"")</f>
        <v>0</v>
      </c>
      <c r="AT20" s="1052">
        <f t="shared" si="16"/>
        <v>0.8</v>
      </c>
      <c r="AU20" s="1052">
        <f t="shared" si="17"/>
        <v>38.799999999999997</v>
      </c>
      <c r="AV20" s="1052">
        <f t="shared" si="18"/>
        <v>0.8</v>
      </c>
      <c r="AW20" s="1052">
        <f t="shared" si="19"/>
        <v>38.799999999999997</v>
      </c>
      <c r="AX20" s="1055">
        <f t="shared" si="20"/>
        <v>0</v>
      </c>
      <c r="AY20" s="1055">
        <f>IF(A20&lt;&gt;0,IF(N20="Reta","-",IF(N20="Inclinada",(((H20/1000)+'PARAMETROS MC'!C$35)*(TAN('PARAMETROS MC'!D$9*PI()/180))))),"")</f>
        <v>0.23315382907749929</v>
      </c>
      <c r="AZ20" s="1055">
        <f t="shared" si="21"/>
        <v>1.2663076581549986</v>
      </c>
      <c r="BA20" s="1055">
        <f t="shared" si="22"/>
        <v>38.799999999999997</v>
      </c>
      <c r="BB20" s="1055">
        <f t="shared" si="23"/>
        <v>0.8</v>
      </c>
      <c r="BC20" s="1055">
        <f t="shared" si="24"/>
        <v>38.799999999999997</v>
      </c>
      <c r="BD20" s="1055">
        <f t="shared" si="25"/>
        <v>1.2189379495928399</v>
      </c>
      <c r="BE20" s="1055">
        <f>IF(A20&lt;&gt;0,IF(N20="Inclinada",((((H20/1000+'PARAMETROS MC'!C$35)/6)*(((2*AZ20+BB20)*BA20)+((2*BB20+AZ20)*BC20)))-BD20),IF(N20="Reta",((I20*J20*((H20/1000)+'PARAMETROS MC'!C$35)-BD20)))),"")</f>
        <v>18.824246334510647</v>
      </c>
      <c r="BF20" s="1055">
        <f t="shared" si="35"/>
        <v>228.97686064553886</v>
      </c>
      <c r="BG20" s="1055" t="str">
        <f t="shared" si="36"/>
        <v/>
      </c>
      <c r="BH20" s="1055">
        <f t="shared" si="37"/>
        <v>228.97686064553886</v>
      </c>
      <c r="BI20" s="1055" t="str">
        <f t="shared" si="38"/>
        <v/>
      </c>
      <c r="BJ20" s="1055" t="str">
        <f t="shared" si="39"/>
        <v/>
      </c>
      <c r="BK20" s="1052" t="str">
        <f>IF(A20&lt;&gt;0,IF(N20="Reta",IF(F20&lt;'PARAMETROS MC'!B$17,"-",(I20*F20*2)),IF(N20="Inclinada","-")),"")</f>
        <v>-</v>
      </c>
      <c r="BL20" s="1055" t="str">
        <f>IF(A20&lt;&gt;0,IF(N20="Reta",IF(F20&lt;'PARAMETROS MC'!B$17,"-",IF(F20&gt;='PARAMETROS MC'!B$17,(BK20*('PARAMETROS MC'!B$18/100)))),IF(N20="Inclinada","-")),"")</f>
        <v>-</v>
      </c>
      <c r="BM20" s="1055" t="str">
        <f t="shared" si="40"/>
        <v/>
      </c>
      <c r="BN20" s="1055" t="str">
        <f t="shared" si="41"/>
        <v>-</v>
      </c>
      <c r="BO20" s="1052" t="str">
        <f>IF(A20&lt;&gt;0,IF(N20="Reta",IF(F20&lt;'PARAMETROS MC'!B$17,"-",IF(F20&gt;='PARAMETROS MC'!B$17,(BK20*('PARAMETROS MC'!B$19/100)))),IF(N20="Inclinada","-")),"")</f>
        <v>-</v>
      </c>
      <c r="BP20" s="1060" t="str">
        <f>IF(A20&lt;&gt;0,IF(N20="Reta",IF(F20&lt;'PARAMETROS MC'!B$17,"-",IF(F20&gt;='PARAMETROS MC'!B$17,(BK20*('PARAMETROS MC'!B$20/100)))),IF(N20="Inclinada","-")),"")</f>
        <v>-</v>
      </c>
      <c r="BQ20" s="1060" t="str">
        <f>IF(A20&lt;&gt;0,IF(N20="Reta",IF(F20&lt;'PARAMETROS MC'!B$17,"-",IF(F20&gt;='PARAMETROS MC'!B$17,(BK20*('PARAMETROS MC'!B$21/100)))),IF(N20="Inclinada","-")),"")</f>
        <v>-</v>
      </c>
      <c r="BR20" s="1052"/>
      <c r="BS20" s="1052" t="str">
        <f t="shared" si="26"/>
        <v>-</v>
      </c>
    </row>
    <row r="21" spans="1:71">
      <c r="A21" s="1057">
        <v>11</v>
      </c>
      <c r="B21" s="1049" t="str">
        <f>C20</f>
        <v>CP08</v>
      </c>
      <c r="C21" s="1049" t="s">
        <v>12001</v>
      </c>
      <c r="D21" s="1050">
        <f>E20</f>
        <v>3.2</v>
      </c>
      <c r="E21" s="1050">
        <v>1.5</v>
      </c>
      <c r="F21" s="1051">
        <f t="shared" si="42"/>
        <v>2.35</v>
      </c>
      <c r="G21" s="1052" t="s">
        <v>11699</v>
      </c>
      <c r="H21" s="1050">
        <v>700</v>
      </c>
      <c r="I21" s="1058">
        <v>21.45</v>
      </c>
      <c r="J21" s="1059">
        <f>IF(A21&lt;&gt;0,IF(AND(N21="Inclinada",H21&lt;600),(H21/1000+0.6),IF(AND(N21="Inclinada",H21&gt;=600),(H21/1000+0.6),IF(N21="Reta",((H21/1000)+('PARAMETROS MC'!D$11))))),"")</f>
        <v>1.5</v>
      </c>
      <c r="K21" s="1052" t="s">
        <v>11989</v>
      </c>
      <c r="L21" s="1060" t="str">
        <f>IF(A21&lt;&gt;0,IF(K21="",0,IF(K21="Sem Revestimento","-",IF(N21="Inclinada",((R21+(2*'PARAMETROS MC'!D$14))*I21),IF(N21="Reta",((J21+(2*'PARAMETROS MC'!D$14))*I21))))),"")</f>
        <v>-</v>
      </c>
      <c r="M21" s="1060" t="str">
        <f>IF(A21&lt;&gt;0,IF(K21="",0,IF(K21="Sem Revestimento","-",IF(N21="Inclinada",((R21+(2*'PARAMETROS MC'!D$14))*I21),IF(N21="Reta",((J21+(2*'PARAMETROS MC'!D$14))*I21))))),"")</f>
        <v>-</v>
      </c>
      <c r="N21" s="1052" t="str">
        <f t="shared" si="27"/>
        <v>Reta</v>
      </c>
      <c r="O21" s="1061">
        <f t="shared" si="0"/>
        <v>32.174999999999997</v>
      </c>
      <c r="P21" s="1061">
        <f t="shared" si="1"/>
        <v>32.174999999999997</v>
      </c>
      <c r="Q21" s="1053" t="str">
        <f>IF(A21&lt;&gt;0,IF(N21="Inclinada",(F21*(TAN('PARAMETROS MC'!D$9*PI()/180))),IF(N21="Reta","-")),"")</f>
        <v>-</v>
      </c>
      <c r="R21" s="1053" t="str">
        <f t="shared" si="2"/>
        <v>-</v>
      </c>
      <c r="S21" s="1053" t="str">
        <f t="shared" si="3"/>
        <v>-</v>
      </c>
      <c r="T21" s="1053" t="str">
        <f t="shared" si="4"/>
        <v>-</v>
      </c>
      <c r="U21" s="1053" t="str">
        <f t="shared" si="5"/>
        <v>-</v>
      </c>
      <c r="V21" s="1055">
        <f t="shared" si="6"/>
        <v>75.611249999999998</v>
      </c>
      <c r="W21" s="1052">
        <f t="shared" si="28"/>
        <v>1.5</v>
      </c>
      <c r="X21" s="1052" t="str">
        <f>IF(A21&lt;&gt;0,IF(N21="Inclinada",((AK21+AR21+AD21+W21)*(TAN('PARAMETROS MC'!D$9*PI()/180))),IF(N21="Reta","-")),"")</f>
        <v>-</v>
      </c>
      <c r="Y21" s="1052" t="str">
        <f t="shared" si="7"/>
        <v>-</v>
      </c>
      <c r="Z21" s="1052" t="str">
        <f t="shared" si="8"/>
        <v>-</v>
      </c>
      <c r="AA21" s="1052" t="str">
        <f t="shared" si="29"/>
        <v>-</v>
      </c>
      <c r="AB21" s="1052" t="str">
        <f t="shared" si="30"/>
        <v>-</v>
      </c>
      <c r="AC21" s="1055">
        <f t="shared" si="9"/>
        <v>48.262499999999996</v>
      </c>
      <c r="AD21" s="1052">
        <f t="shared" si="31"/>
        <v>0.85000000000000009</v>
      </c>
      <c r="AE21" s="1052" t="str">
        <f>IF(A21&lt;&gt;0,IF(N21="Inclinada",((AK21+AR21+AD21)*(TAN('PARAMETROS MC'!D$9*PI()/180))),IF(N21="Reta","-")),"")</f>
        <v>-</v>
      </c>
      <c r="AF21" s="1052" t="str">
        <f t="shared" si="10"/>
        <v>-</v>
      </c>
      <c r="AG21" s="1052" t="str">
        <f t="shared" si="32"/>
        <v>-</v>
      </c>
      <c r="AH21" s="1052" t="str">
        <f t="shared" si="33"/>
        <v>-</v>
      </c>
      <c r="AI21" s="1052" t="str">
        <f t="shared" si="34"/>
        <v>-</v>
      </c>
      <c r="AJ21" s="1055">
        <f t="shared" si="11"/>
        <v>27.348749999999999</v>
      </c>
      <c r="AK21" s="1052">
        <f t="shared" si="12"/>
        <v>0</v>
      </c>
      <c r="AL21" s="1052" t="str">
        <f>IF(A21&lt;&gt;0,IF(N21="Inclinada",((AK21+AR21)*(TAN('PARAMETROS MC'!D$9*PI()/180))),IF(N21="Reta","-")),"")</f>
        <v>-</v>
      </c>
      <c r="AM21" s="1059" t="str">
        <f t="shared" si="13"/>
        <v>-</v>
      </c>
      <c r="AN21" s="1052" t="str">
        <f t="shared" si="43"/>
        <v>-</v>
      </c>
      <c r="AO21" s="1052" t="str">
        <f t="shared" si="44"/>
        <v>-</v>
      </c>
      <c r="AP21" s="1052" t="str">
        <f t="shared" si="44"/>
        <v>-</v>
      </c>
      <c r="AQ21" s="1055">
        <f t="shared" si="14"/>
        <v>0</v>
      </c>
      <c r="AR21" s="1052">
        <f t="shared" si="15"/>
        <v>0</v>
      </c>
      <c r="AS21" s="1052" t="str">
        <f>IF(A21&lt;&gt;0,IF(N21="Inclinada",(AR21*(TAN('PARAMETROS MC'!D$9*PI()/180))),IF(N21="Reta","-")),"")</f>
        <v>-</v>
      </c>
      <c r="AT21" s="1052" t="str">
        <f t="shared" si="16"/>
        <v>-</v>
      </c>
      <c r="AU21" s="1052" t="str">
        <f t="shared" si="17"/>
        <v>-</v>
      </c>
      <c r="AV21" s="1052" t="str">
        <f t="shared" si="18"/>
        <v>-</v>
      </c>
      <c r="AW21" s="1052" t="str">
        <f t="shared" si="19"/>
        <v>-</v>
      </c>
      <c r="AX21" s="1055">
        <f t="shared" si="20"/>
        <v>0</v>
      </c>
      <c r="AY21" s="1055" t="str">
        <f>IF(A21&lt;&gt;0,IF(N21="Reta","-",IF(N21="Inclinada",(((H21/1000)+'PARAMETROS MC'!C$35)*(TAN('PARAMETROS MC'!D$9*PI()/180))))),"")</f>
        <v>-</v>
      </c>
      <c r="AZ21" s="1055" t="str">
        <f t="shared" si="21"/>
        <v>-</v>
      </c>
      <c r="BA21" s="1055" t="str">
        <f t="shared" si="22"/>
        <v>-</v>
      </c>
      <c r="BB21" s="1055" t="str">
        <f t="shared" si="23"/>
        <v>-</v>
      </c>
      <c r="BC21" s="1055" t="str">
        <f t="shared" si="24"/>
        <v>-</v>
      </c>
      <c r="BD21" s="1055">
        <f t="shared" si="25"/>
        <v>8.2549273963888776</v>
      </c>
      <c r="BE21" s="1055">
        <f>IF(A21&lt;&gt;0,IF(N21="Inclinada",((((H21/1000+'PARAMETROS MC'!C$35)/6)*(((2*AZ21+BB21)*BA21)+((2*BB21+AZ21)*BC21)))-BD21),IF(N21="Reta",((I21*J21*((H21/1000)+'PARAMETROS MC'!C$35)-BD21)))),"")</f>
        <v>23.920072603611118</v>
      </c>
      <c r="BF21" s="1055">
        <f t="shared" si="35"/>
        <v>43.436250000000001</v>
      </c>
      <c r="BG21" s="1055" t="str">
        <f t="shared" si="36"/>
        <v/>
      </c>
      <c r="BH21" s="1055" t="str">
        <f t="shared" si="37"/>
        <v/>
      </c>
      <c r="BI21" s="1055" t="str">
        <f t="shared" si="38"/>
        <v/>
      </c>
      <c r="BJ21" s="1055">
        <f t="shared" si="39"/>
        <v>43.436250000000001</v>
      </c>
      <c r="BK21" s="1052">
        <f>IF(A21&lt;&gt;0,IF(N21="Reta",IF(F21&lt;'PARAMETROS MC'!B$17,"-",(I21*F21*2)),IF(N21="Inclinada","-")),"")</f>
        <v>100.815</v>
      </c>
      <c r="BL21" s="1055">
        <f>IF(A21&lt;&gt;0,IF(N21="Reta",IF(F21&lt;'PARAMETROS MC'!B$17,"-",IF(F21&gt;='PARAMETROS MC'!B$17,(BK21*('PARAMETROS MC'!B$18/100)))),IF(N21="Inclinada","-")),"")</f>
        <v>97.790549999999996</v>
      </c>
      <c r="BM21" s="1055" t="str">
        <f t="shared" si="40"/>
        <v/>
      </c>
      <c r="BN21" s="1055">
        <f t="shared" si="41"/>
        <v>97.790549999999996</v>
      </c>
      <c r="BO21" s="1052">
        <f>IF(A21&lt;&gt;0,IF(N21="Reta",IF(F21&lt;'PARAMETROS MC'!B$17,"-",IF(F21&gt;='PARAMETROS MC'!B$17,(BK21*('PARAMETROS MC'!B$19/100)))),IF(N21="Inclinada","-")),"")</f>
        <v>0</v>
      </c>
      <c r="BP21" s="1060">
        <f>IF(A21&lt;&gt;0,IF(N21="Reta",IF(F21&lt;'PARAMETROS MC'!B$17,"-",IF(F21&gt;='PARAMETROS MC'!B$17,(BK21*('PARAMETROS MC'!B$20/100)))),IF(N21="Inclinada","-")),"")</f>
        <v>0</v>
      </c>
      <c r="BQ21" s="1060">
        <f>IF(A21&lt;&gt;0,IF(N21="Reta",IF(F21&lt;'PARAMETROS MC'!B$17,"-",IF(F21&gt;='PARAMETROS MC'!B$17,(BK21*('PARAMETROS MC'!B$21/100)))),IF(N21="Inclinada","-")),"")</f>
        <v>3.0244499999999999</v>
      </c>
      <c r="BR21" s="1052"/>
      <c r="BS21" s="1052" t="str">
        <f t="shared" si="26"/>
        <v>-</v>
      </c>
    </row>
    <row r="22" spans="1:71">
      <c r="A22" s="1057">
        <v>12</v>
      </c>
      <c r="B22" s="1049" t="str">
        <f>C21</f>
        <v>CP09</v>
      </c>
      <c r="C22" s="1049" t="s">
        <v>12002</v>
      </c>
      <c r="D22" s="1050">
        <f>E21</f>
        <v>1.5</v>
      </c>
      <c r="E22" s="1050">
        <v>1</v>
      </c>
      <c r="F22" s="1051">
        <f t="shared" si="42"/>
        <v>1.25</v>
      </c>
      <c r="G22" s="1052" t="s">
        <v>11699</v>
      </c>
      <c r="H22" s="1050">
        <v>700</v>
      </c>
      <c r="I22" s="1058">
        <v>3</v>
      </c>
      <c r="J22" s="1059">
        <f>IF(A22&lt;&gt;0,IF(AND(N22="Inclinada",H22&lt;600),(H22/1000+0.6),IF(AND(N22="Inclinada",H22&gt;=600),(H22/1000+0.6),IF(N22="Reta",((H22/1000)+('PARAMETROS MC'!D$11))))),"")</f>
        <v>1.5</v>
      </c>
      <c r="K22" s="1052" t="s">
        <v>11989</v>
      </c>
      <c r="L22" s="1060" t="str">
        <f>IF(A22&lt;&gt;0,IF(K22="",0,IF(K22="Sem Revestimento","-",IF(N22="Inclinada",((R22+(2*'PARAMETROS MC'!D$14))*I22),IF(N22="Reta",((J22+(2*'PARAMETROS MC'!D$14))*I22))))),"")</f>
        <v>-</v>
      </c>
      <c r="M22" s="1060" t="str">
        <f>IF(A22&lt;&gt;0,IF(K22="",0,IF(K22="Sem Revestimento","-",IF(N22="Inclinada",((R22+(2*'PARAMETROS MC'!D$14))*I22),IF(N22="Reta",((J22+(2*'PARAMETROS MC'!D$14))*I22))))),"")</f>
        <v>-</v>
      </c>
      <c r="N22" s="1052" t="str">
        <f t="shared" si="27"/>
        <v>Reta</v>
      </c>
      <c r="O22" s="1061">
        <f t="shared" si="0"/>
        <v>4.5</v>
      </c>
      <c r="P22" s="1061">
        <f t="shared" si="1"/>
        <v>4.5</v>
      </c>
      <c r="Q22" s="1053" t="str">
        <f>IF(A22&lt;&gt;0,IF(N22="Inclinada",(F22*(TAN('PARAMETROS MC'!D$9*PI()/180))),IF(N22="Reta","-")),"")</f>
        <v>-</v>
      </c>
      <c r="R22" s="1053" t="str">
        <f t="shared" si="2"/>
        <v>-</v>
      </c>
      <c r="S22" s="1053" t="str">
        <f t="shared" si="3"/>
        <v>-</v>
      </c>
      <c r="T22" s="1053" t="str">
        <f t="shared" si="4"/>
        <v>-</v>
      </c>
      <c r="U22" s="1053" t="str">
        <f t="shared" si="5"/>
        <v>-</v>
      </c>
      <c r="V22" s="1055">
        <f t="shared" si="6"/>
        <v>5.625</v>
      </c>
      <c r="W22" s="1052">
        <f t="shared" si="28"/>
        <v>1.25</v>
      </c>
      <c r="X22" s="1052" t="str">
        <f>IF(A22&lt;&gt;0,IF(N22="Inclinada",((AK22+AR22+AD22+W22)*(TAN('PARAMETROS MC'!D$9*PI()/180))),IF(N22="Reta","-")),"")</f>
        <v>-</v>
      </c>
      <c r="Y22" s="1052" t="str">
        <f t="shared" si="7"/>
        <v>-</v>
      </c>
      <c r="Z22" s="1052" t="str">
        <f t="shared" si="8"/>
        <v>-</v>
      </c>
      <c r="AA22" s="1052" t="str">
        <f t="shared" si="29"/>
        <v>-</v>
      </c>
      <c r="AB22" s="1052" t="str">
        <f t="shared" si="30"/>
        <v>-</v>
      </c>
      <c r="AC22" s="1055">
        <f t="shared" si="9"/>
        <v>5.625</v>
      </c>
      <c r="AD22" s="1052">
        <f t="shared" si="31"/>
        <v>0</v>
      </c>
      <c r="AE22" s="1052" t="str">
        <f>IF(A22&lt;&gt;0,IF(N22="Inclinada",((AK22+AR22+AD22)*(TAN('PARAMETROS MC'!D$9*PI()/180))),IF(N22="Reta","-")),"")</f>
        <v>-</v>
      </c>
      <c r="AF22" s="1052" t="str">
        <f t="shared" si="10"/>
        <v>-</v>
      </c>
      <c r="AG22" s="1052" t="str">
        <f t="shared" si="32"/>
        <v>-</v>
      </c>
      <c r="AH22" s="1052" t="str">
        <f t="shared" si="33"/>
        <v>-</v>
      </c>
      <c r="AI22" s="1052" t="str">
        <f t="shared" si="34"/>
        <v>-</v>
      </c>
      <c r="AJ22" s="1055">
        <f t="shared" si="11"/>
        <v>0</v>
      </c>
      <c r="AK22" s="1052">
        <f t="shared" si="12"/>
        <v>0</v>
      </c>
      <c r="AL22" s="1052" t="str">
        <f>IF(A22&lt;&gt;0,IF(N22="Inclinada",((AK22+AR22)*(TAN('PARAMETROS MC'!D$9*PI()/180))),IF(N22="Reta","-")),"")</f>
        <v>-</v>
      </c>
      <c r="AM22" s="1059" t="str">
        <f t="shared" si="13"/>
        <v>-</v>
      </c>
      <c r="AN22" s="1052" t="str">
        <f t="shared" si="43"/>
        <v>-</v>
      </c>
      <c r="AO22" s="1052" t="str">
        <f t="shared" si="44"/>
        <v>-</v>
      </c>
      <c r="AP22" s="1052" t="str">
        <f t="shared" si="44"/>
        <v>-</v>
      </c>
      <c r="AQ22" s="1055">
        <f t="shared" si="14"/>
        <v>0</v>
      </c>
      <c r="AR22" s="1052">
        <f t="shared" si="15"/>
        <v>0</v>
      </c>
      <c r="AS22" s="1052" t="str">
        <f>IF(A22&lt;&gt;0,IF(N22="Inclinada",(AR22*(TAN('PARAMETROS MC'!D$9*PI()/180))),IF(N22="Reta","-")),"")</f>
        <v>-</v>
      </c>
      <c r="AT22" s="1052" t="str">
        <f t="shared" si="16"/>
        <v>-</v>
      </c>
      <c r="AU22" s="1052" t="str">
        <f t="shared" si="17"/>
        <v>-</v>
      </c>
      <c r="AV22" s="1052" t="str">
        <f t="shared" si="18"/>
        <v>-</v>
      </c>
      <c r="AW22" s="1052" t="str">
        <f t="shared" si="19"/>
        <v>-</v>
      </c>
      <c r="AX22" s="1055">
        <f t="shared" si="20"/>
        <v>0</v>
      </c>
      <c r="AY22" s="1055" t="str">
        <f>IF(A22&lt;&gt;0,IF(N22="Reta","-",IF(N22="Inclinada",(((H22/1000)+'PARAMETROS MC'!C$35)*(TAN('PARAMETROS MC'!D$9*PI()/180))))),"")</f>
        <v>-</v>
      </c>
      <c r="AZ22" s="1055" t="str">
        <f t="shared" si="21"/>
        <v>-</v>
      </c>
      <c r="BA22" s="1055" t="str">
        <f t="shared" si="22"/>
        <v>-</v>
      </c>
      <c r="BB22" s="1055" t="str">
        <f t="shared" si="23"/>
        <v>-</v>
      </c>
      <c r="BC22" s="1055" t="str">
        <f t="shared" si="24"/>
        <v>-</v>
      </c>
      <c r="BD22" s="1055">
        <f t="shared" si="25"/>
        <v>1.1545353001942487</v>
      </c>
      <c r="BE22" s="1055">
        <f>IF(A22&lt;&gt;0,IF(N22="Inclinada",((((H22/1000+'PARAMETROS MC'!C$35)/6)*(((2*AZ22+BB22)*BA22)+((2*BB22+AZ22)*BC22)))-BD22),IF(N22="Reta",((I22*J22*((H22/1000)+'PARAMETROS MC'!C$35)-BD22)))),"")</f>
        <v>3.3454646998057513</v>
      </c>
      <c r="BF22" s="1055">
        <f t="shared" si="35"/>
        <v>1.125</v>
      </c>
      <c r="BG22" s="1055" t="str">
        <f t="shared" si="36"/>
        <v/>
      </c>
      <c r="BH22" s="1055" t="str">
        <f t="shared" si="37"/>
        <v/>
      </c>
      <c r="BI22" s="1055">
        <f t="shared" si="38"/>
        <v>1.125</v>
      </c>
      <c r="BJ22" s="1055" t="str">
        <f t="shared" si="39"/>
        <v/>
      </c>
      <c r="BK22" s="1052" t="str">
        <f>IF(A22&lt;&gt;0,IF(N22="Reta",IF(F22&lt;'PARAMETROS MC'!B$17,"-",(I22*F22*2)),IF(N22="Inclinada","-")),"")</f>
        <v>-</v>
      </c>
      <c r="BL22" s="1055" t="str">
        <f>IF(A22&lt;&gt;0,IF(N22="Reta",IF(F22&lt;'PARAMETROS MC'!B$17,"-",IF(F22&gt;='PARAMETROS MC'!B$17,(BK22*('PARAMETROS MC'!B$18/100)))),IF(N22="Inclinada","-")),"")</f>
        <v>-</v>
      </c>
      <c r="BM22" s="1055" t="str">
        <f t="shared" si="40"/>
        <v>-</v>
      </c>
      <c r="BN22" s="1055" t="str">
        <f t="shared" si="41"/>
        <v/>
      </c>
      <c r="BO22" s="1052" t="str">
        <f>IF(A22&lt;&gt;0,IF(N22="Reta",IF(F22&lt;'PARAMETROS MC'!B$17,"-",IF(F22&gt;='PARAMETROS MC'!B$17,(BK22*('PARAMETROS MC'!B$19/100)))),IF(N22="Inclinada","-")),"")</f>
        <v>-</v>
      </c>
      <c r="BP22" s="1060" t="str">
        <f>IF(A22&lt;&gt;0,IF(N22="Reta",IF(F22&lt;'PARAMETROS MC'!B$17,"-",IF(F22&gt;='PARAMETROS MC'!B$17,(BK22*('PARAMETROS MC'!B$20/100)))),IF(N22="Inclinada","-")),"")</f>
        <v>-</v>
      </c>
      <c r="BQ22" s="1060" t="str">
        <f>IF(A22&lt;&gt;0,IF(N22="Reta",IF(F22&lt;'PARAMETROS MC'!B$17,"-",IF(F22&gt;='PARAMETROS MC'!B$17,(BK22*('PARAMETROS MC'!B$21/100)))),IF(N22="Inclinada","-")),"")</f>
        <v>-</v>
      </c>
      <c r="BR22" s="1052"/>
      <c r="BS22" s="1052" t="str">
        <f t="shared" si="26"/>
        <v>-</v>
      </c>
    </row>
    <row r="23" spans="1:71">
      <c r="A23" s="1057">
        <v>13</v>
      </c>
      <c r="B23" s="1049" t="s">
        <v>12014</v>
      </c>
      <c r="C23" s="1062" t="s">
        <v>11996</v>
      </c>
      <c r="D23" s="1050">
        <v>2.5</v>
      </c>
      <c r="E23" s="1050">
        <v>2.5</v>
      </c>
      <c r="F23" s="1051">
        <f t="shared" ref="F23:F28" si="45">IF(A23&lt;&gt;0,AVERAGE(D23:E23),"")</f>
        <v>2.5</v>
      </c>
      <c r="G23" s="1052" t="s">
        <v>11699</v>
      </c>
      <c r="H23" s="1050">
        <v>700</v>
      </c>
      <c r="I23" s="1058">
        <v>6.9</v>
      </c>
      <c r="J23" s="1059">
        <f>IF(A23&lt;&gt;0,IF(AND(N23="Inclinada",H23&lt;600),(H23/1000+0.6),IF(AND(N23="Inclinada",H23&gt;=600),(H23/1000+0.6),IF(N23="Reta",((H23/1000)+('PARAMETROS MC'!D$11))))),"")</f>
        <v>1.5</v>
      </c>
      <c r="K23" s="1052" t="s">
        <v>11989</v>
      </c>
      <c r="L23" s="1060" t="str">
        <f>IF(A23&lt;&gt;0,IF(K23="",0,IF(K23="Sem Revestimento","-",IF(N23="Inclinada",((R23+(2*'PARAMETROS MC'!D$14))*I23),IF(N23="Reta",((J23+(2*'PARAMETROS MC'!D$14))*I23))))),"")</f>
        <v>-</v>
      </c>
      <c r="M23" s="1060" t="str">
        <f>IF(A23&lt;&gt;0,IF(K23="",0,IF(K23="Sem Revestimento","-",IF(N23="Inclinada",((R23+(2*'PARAMETROS MC'!D$14))*I23),IF(N23="Reta",((J23+(2*'PARAMETROS MC'!D$14))*I23))))),"")</f>
        <v>-</v>
      </c>
      <c r="N23" s="1052" t="str">
        <f t="shared" si="27"/>
        <v>Reta</v>
      </c>
      <c r="O23" s="1061">
        <f t="shared" si="0"/>
        <v>10.350000000000001</v>
      </c>
      <c r="P23" s="1061">
        <f t="shared" si="1"/>
        <v>10.350000000000001</v>
      </c>
      <c r="Q23" s="1053" t="str">
        <f>IF(A23&lt;&gt;0,IF(N23="Inclinada",(F23*(TAN('PARAMETROS MC'!D$9*PI()/180))),IF(N23="Reta","-")),"")</f>
        <v>-</v>
      </c>
      <c r="R23" s="1053" t="str">
        <f t="shared" si="2"/>
        <v>-</v>
      </c>
      <c r="S23" s="1053" t="str">
        <f t="shared" si="3"/>
        <v>-</v>
      </c>
      <c r="T23" s="1053" t="str">
        <f t="shared" si="4"/>
        <v>-</v>
      </c>
      <c r="U23" s="1053" t="str">
        <f t="shared" si="5"/>
        <v>-</v>
      </c>
      <c r="V23" s="1055">
        <f t="shared" si="6"/>
        <v>25.875000000000004</v>
      </c>
      <c r="W23" s="1052">
        <f t="shared" si="28"/>
        <v>1.5</v>
      </c>
      <c r="X23" s="1052" t="str">
        <f>IF(A23&lt;&gt;0,IF(N23="Inclinada",((AK23+AR23+AD23+W23)*(TAN('PARAMETROS MC'!D$9*PI()/180))),IF(N23="Reta","-")),"")</f>
        <v>-</v>
      </c>
      <c r="Y23" s="1052" t="str">
        <f t="shared" si="7"/>
        <v>-</v>
      </c>
      <c r="Z23" s="1052" t="str">
        <f t="shared" si="8"/>
        <v>-</v>
      </c>
      <c r="AA23" s="1052" t="str">
        <f t="shared" si="29"/>
        <v>-</v>
      </c>
      <c r="AB23" s="1052" t="str">
        <f t="shared" si="30"/>
        <v>-</v>
      </c>
      <c r="AC23" s="1055">
        <f t="shared" si="9"/>
        <v>15.525000000000002</v>
      </c>
      <c r="AD23" s="1052">
        <f t="shared" si="31"/>
        <v>1</v>
      </c>
      <c r="AE23" s="1052" t="str">
        <f>IF(A23&lt;&gt;0,IF(N23="Inclinada",((AK23+AR23+AD23)*(TAN('PARAMETROS MC'!D$9*PI()/180))),IF(N23="Reta","-")),"")</f>
        <v>-</v>
      </c>
      <c r="AF23" s="1052" t="str">
        <f t="shared" si="10"/>
        <v>-</v>
      </c>
      <c r="AG23" s="1052" t="str">
        <f t="shared" si="32"/>
        <v>-</v>
      </c>
      <c r="AH23" s="1052" t="str">
        <f t="shared" si="33"/>
        <v>-</v>
      </c>
      <c r="AI23" s="1052" t="str">
        <f t="shared" si="34"/>
        <v>-</v>
      </c>
      <c r="AJ23" s="1055">
        <f t="shared" si="11"/>
        <v>10.350000000000001</v>
      </c>
      <c r="AK23" s="1052">
        <f t="shared" si="12"/>
        <v>0</v>
      </c>
      <c r="AL23" s="1052" t="str">
        <f>IF(A23&lt;&gt;0,IF(N23="Inclinada",((AK23+AR23)*(TAN('PARAMETROS MC'!D$9*PI()/180))),IF(N23="Reta","-")),"")</f>
        <v>-</v>
      </c>
      <c r="AM23" s="1059" t="str">
        <f t="shared" si="13"/>
        <v>-</v>
      </c>
      <c r="AN23" s="1052" t="str">
        <f t="shared" si="43"/>
        <v>-</v>
      </c>
      <c r="AO23" s="1052" t="str">
        <f t="shared" si="44"/>
        <v>-</v>
      </c>
      <c r="AP23" s="1052" t="str">
        <f t="shared" si="44"/>
        <v>-</v>
      </c>
      <c r="AQ23" s="1055">
        <f t="shared" si="14"/>
        <v>0</v>
      </c>
      <c r="AR23" s="1052">
        <f t="shared" si="15"/>
        <v>0</v>
      </c>
      <c r="AS23" s="1052" t="str">
        <f>IF(A23&lt;&gt;0,IF(N23="Inclinada",(AR23*(TAN('PARAMETROS MC'!D$9*PI()/180))),IF(N23="Reta","-")),"")</f>
        <v>-</v>
      </c>
      <c r="AT23" s="1052" t="str">
        <f t="shared" si="16"/>
        <v>-</v>
      </c>
      <c r="AU23" s="1052" t="str">
        <f t="shared" si="17"/>
        <v>-</v>
      </c>
      <c r="AV23" s="1052" t="str">
        <f t="shared" si="18"/>
        <v>-</v>
      </c>
      <c r="AW23" s="1052" t="str">
        <f t="shared" si="19"/>
        <v>-</v>
      </c>
      <c r="AX23" s="1055">
        <f t="shared" si="20"/>
        <v>0</v>
      </c>
      <c r="AY23" s="1055" t="str">
        <f>IF(A23&lt;&gt;0,IF(N23="Reta","-",IF(N23="Inclinada",(((H23/1000)+'PARAMETROS MC'!C$35)*(TAN('PARAMETROS MC'!D$9*PI()/180))))),"")</f>
        <v>-</v>
      </c>
      <c r="AZ23" s="1055" t="str">
        <f t="shared" si="21"/>
        <v>-</v>
      </c>
      <c r="BA23" s="1055" t="str">
        <f t="shared" si="22"/>
        <v>-</v>
      </c>
      <c r="BB23" s="1055" t="str">
        <f t="shared" si="23"/>
        <v>-</v>
      </c>
      <c r="BC23" s="1055" t="str">
        <f t="shared" si="24"/>
        <v>-</v>
      </c>
      <c r="BD23" s="1055">
        <f t="shared" si="25"/>
        <v>2.6554311904467722</v>
      </c>
      <c r="BE23" s="1055">
        <f>IF(A23&lt;&gt;0,IF(N23="Inclinada",((((H23/1000+'PARAMETROS MC'!C$35)/6)*(((2*AZ23+BB23)*BA23)+((2*BB23+AZ23)*BC23)))-BD23),IF(N23="Reta",((I23*J23*((H23/1000)+'PARAMETROS MC'!C$35)-BD23)))),"")</f>
        <v>7.6945688095532292</v>
      </c>
      <c r="BF23" s="1055">
        <f t="shared" si="35"/>
        <v>15.525000000000002</v>
      </c>
      <c r="BG23" s="1055" t="str">
        <f t="shared" si="36"/>
        <v/>
      </c>
      <c r="BH23" s="1055" t="str">
        <f t="shared" si="37"/>
        <v/>
      </c>
      <c r="BI23" s="1055" t="str">
        <f t="shared" si="38"/>
        <v/>
      </c>
      <c r="BJ23" s="1055">
        <f t="shared" si="39"/>
        <v>15.525000000000002</v>
      </c>
      <c r="BK23" s="1052">
        <f>IF(A23&lt;&gt;0,IF(N23="Reta",IF(F23&lt;'PARAMETROS MC'!B$17,"-",(I23*F23*2)),IF(N23="Inclinada","-")),"")</f>
        <v>34.5</v>
      </c>
      <c r="BL23" s="1055">
        <f>IF(A23&lt;&gt;0,IF(N23="Reta",IF(F23&lt;'PARAMETROS MC'!B$17,"-",IF(F23&gt;='PARAMETROS MC'!B$17,(BK23*('PARAMETROS MC'!B$18/100)))),IF(N23="Inclinada","-")),"")</f>
        <v>33.464999999999996</v>
      </c>
      <c r="BM23" s="1055" t="str">
        <f t="shared" si="40"/>
        <v/>
      </c>
      <c r="BN23" s="1055">
        <f t="shared" si="41"/>
        <v>33.464999999999996</v>
      </c>
      <c r="BO23" s="1052">
        <f>IF(A23&lt;&gt;0,IF(N23="Reta",IF(F23&lt;'PARAMETROS MC'!B$17,"-",IF(F23&gt;='PARAMETROS MC'!B$17,(BK23*('PARAMETROS MC'!B$19/100)))),IF(N23="Inclinada","-")),"")</f>
        <v>0</v>
      </c>
      <c r="BP23" s="1060">
        <f>IF(A23&lt;&gt;0,IF(N23="Reta",IF(F23&lt;'PARAMETROS MC'!B$17,"-",IF(F23&gt;='PARAMETROS MC'!B$17,(BK23*('PARAMETROS MC'!B$20/100)))),IF(N23="Inclinada","-")),"")</f>
        <v>0</v>
      </c>
      <c r="BQ23" s="1060">
        <f>IF(A23&lt;&gt;0,IF(N23="Reta",IF(F23&lt;'PARAMETROS MC'!B$17,"-",IF(F23&gt;='PARAMETROS MC'!B$17,(BK23*('PARAMETROS MC'!B$21/100)))),IF(N23="Inclinada","-")),"")</f>
        <v>1.0349999999999999</v>
      </c>
      <c r="BR23" s="1052"/>
      <c r="BS23" s="1052" t="str">
        <f t="shared" si="26"/>
        <v>-</v>
      </c>
    </row>
    <row r="24" spans="1:71">
      <c r="A24" s="1057">
        <v>14</v>
      </c>
      <c r="B24" s="1049" t="s">
        <v>12003</v>
      </c>
      <c r="C24" s="1049" t="s">
        <v>12003</v>
      </c>
      <c r="D24" s="1050">
        <v>1.2</v>
      </c>
      <c r="E24" s="1050">
        <v>1.4</v>
      </c>
      <c r="F24" s="1051">
        <f t="shared" si="45"/>
        <v>1.2999999999999998</v>
      </c>
      <c r="G24" s="1052" t="s">
        <v>11990</v>
      </c>
      <c r="H24" s="1050">
        <v>400</v>
      </c>
      <c r="I24" s="1050">
        <f>33+8</f>
        <v>41</v>
      </c>
      <c r="J24" s="1059">
        <f>IF(A24&lt;&gt;0,IF(AND(N24="Inclinada",H24&lt;600),(H24/1000+0.6),IF(AND(N24="Inclinada",H24&gt;=600),(H24/1000+0.6),IF(N24="Reta",((H24/1000)+('PARAMETROS MC'!D$11))))),"")</f>
        <v>1.2000000000000002</v>
      </c>
      <c r="K24" s="1052" t="s">
        <v>11989</v>
      </c>
      <c r="L24" s="1060" t="str">
        <f>IF(A24&lt;&gt;0,IF(K24="",0,IF(K24="Sem Revestimento","-",IF(N24="Inclinada",((R24+(2*'PARAMETROS MC'!D$14))*I24),IF(N24="Reta",((J24+(2*'PARAMETROS MC'!D$14))*I24))))),"")</f>
        <v>-</v>
      </c>
      <c r="M24" s="1060" t="str">
        <f>IF(A24&lt;&gt;0,IF(K24="",0,IF(K24="Sem Revestimento","-",IF(N24="Inclinada",((R24+(2*'PARAMETROS MC'!D$14))*I24),IF(N24="Reta",((J24+(2*'PARAMETROS MC'!D$14))*I24))))),"")</f>
        <v>-</v>
      </c>
      <c r="N24" s="1052" t="str">
        <f t="shared" si="27"/>
        <v>Reta</v>
      </c>
      <c r="O24" s="1061">
        <f t="shared" si="0"/>
        <v>49.20000000000001</v>
      </c>
      <c r="P24" s="1061">
        <f t="shared" si="1"/>
        <v>49.20000000000001</v>
      </c>
      <c r="Q24" s="1053" t="str">
        <f>IF(A24&lt;&gt;0,IF(N24="Inclinada",(F24*(TAN('PARAMETROS MC'!D$9*PI()/180))),IF(N24="Reta","-")),"")</f>
        <v>-</v>
      </c>
      <c r="R24" s="1053" t="str">
        <f t="shared" si="2"/>
        <v>-</v>
      </c>
      <c r="S24" s="1053" t="str">
        <f t="shared" si="3"/>
        <v>-</v>
      </c>
      <c r="T24" s="1053" t="str">
        <f t="shared" si="4"/>
        <v>-</v>
      </c>
      <c r="U24" s="1053" t="str">
        <f t="shared" si="5"/>
        <v>-</v>
      </c>
      <c r="V24" s="1055">
        <f t="shared" si="6"/>
        <v>63.96</v>
      </c>
      <c r="W24" s="1052">
        <f t="shared" si="28"/>
        <v>1.2999999999999998</v>
      </c>
      <c r="X24" s="1052" t="str">
        <f>IF(A24&lt;&gt;0,IF(N24="Inclinada",((AK24+AR24+AD24+W24)*(TAN('PARAMETROS MC'!D$9*PI()/180))),IF(N24="Reta","-")),"")</f>
        <v>-</v>
      </c>
      <c r="Y24" s="1052" t="str">
        <f t="shared" si="7"/>
        <v>-</v>
      </c>
      <c r="Z24" s="1052" t="str">
        <f t="shared" si="8"/>
        <v>-</v>
      </c>
      <c r="AA24" s="1052" t="str">
        <f t="shared" si="29"/>
        <v>-</v>
      </c>
      <c r="AB24" s="1052" t="str">
        <f t="shared" si="30"/>
        <v>-</v>
      </c>
      <c r="AC24" s="1055">
        <f t="shared" si="9"/>
        <v>63.96</v>
      </c>
      <c r="AD24" s="1052">
        <f t="shared" si="31"/>
        <v>0</v>
      </c>
      <c r="AE24" s="1052" t="str">
        <f>IF(A24&lt;&gt;0,IF(N24="Inclinada",((AK24+AR24+AD24)*(TAN('PARAMETROS MC'!D$9*PI()/180))),IF(N24="Reta","-")),"")</f>
        <v>-</v>
      </c>
      <c r="AF24" s="1052" t="str">
        <f t="shared" si="10"/>
        <v>-</v>
      </c>
      <c r="AG24" s="1052" t="str">
        <f t="shared" si="32"/>
        <v>-</v>
      </c>
      <c r="AH24" s="1052" t="str">
        <f t="shared" si="33"/>
        <v>-</v>
      </c>
      <c r="AI24" s="1052" t="str">
        <f t="shared" si="34"/>
        <v>-</v>
      </c>
      <c r="AJ24" s="1055">
        <f t="shared" si="11"/>
        <v>0</v>
      </c>
      <c r="AK24" s="1052">
        <f t="shared" si="12"/>
        <v>0</v>
      </c>
      <c r="AL24" s="1052" t="str">
        <f>IF(A24&lt;&gt;0,IF(N24="Inclinada",((AK24+AR24)*(TAN('PARAMETROS MC'!D$9*PI()/180))),IF(N24="Reta","-")),"")</f>
        <v>-</v>
      </c>
      <c r="AM24" s="1059" t="str">
        <f t="shared" si="13"/>
        <v>-</v>
      </c>
      <c r="AN24" s="1052" t="str">
        <f t="shared" si="43"/>
        <v>-</v>
      </c>
      <c r="AO24" s="1052" t="str">
        <f t="shared" si="44"/>
        <v>-</v>
      </c>
      <c r="AP24" s="1052" t="str">
        <f t="shared" si="44"/>
        <v>-</v>
      </c>
      <c r="AQ24" s="1055">
        <f t="shared" si="14"/>
        <v>0</v>
      </c>
      <c r="AR24" s="1052">
        <f t="shared" si="15"/>
        <v>0</v>
      </c>
      <c r="AS24" s="1052" t="str">
        <f>IF(A24&lt;&gt;0,IF(N24="Inclinada",(AR24*(TAN('PARAMETROS MC'!D$9*PI()/180))),IF(N24="Reta","-")),"")</f>
        <v>-</v>
      </c>
      <c r="AT24" s="1052" t="str">
        <f t="shared" si="16"/>
        <v>-</v>
      </c>
      <c r="AU24" s="1052" t="str">
        <f t="shared" si="17"/>
        <v>-</v>
      </c>
      <c r="AV24" s="1052" t="str">
        <f t="shared" si="18"/>
        <v>-</v>
      </c>
      <c r="AW24" s="1052" t="str">
        <f t="shared" si="19"/>
        <v>-</v>
      </c>
      <c r="AX24" s="1055">
        <f t="shared" si="20"/>
        <v>0</v>
      </c>
      <c r="AY24" s="1055" t="str">
        <f>IF(A24&lt;&gt;0,IF(N24="Reta","-",IF(N24="Inclinada",(((H24/1000)+'PARAMETROS MC'!C$35)*(TAN('PARAMETROS MC'!D$9*PI()/180))))),"")</f>
        <v>-</v>
      </c>
      <c r="AZ24" s="1055" t="str">
        <f t="shared" si="21"/>
        <v>-</v>
      </c>
      <c r="BA24" s="1055" t="str">
        <f t="shared" si="22"/>
        <v>-</v>
      </c>
      <c r="BB24" s="1055" t="str">
        <f t="shared" si="23"/>
        <v>-</v>
      </c>
      <c r="BC24" s="1055" t="str">
        <f t="shared" si="24"/>
        <v>-</v>
      </c>
      <c r="BD24" s="1055">
        <f t="shared" si="25"/>
        <v>5.1522119518872609</v>
      </c>
      <c r="BE24" s="1055">
        <f>IF(A24&lt;&gt;0,IF(N24="Inclinada",((((H24/1000+'PARAMETROS MC'!C$35)/6)*(((2*AZ24+BB24)*BA24)+((2*BB24+AZ24)*BC24)))-BD24),IF(N24="Reta",((I24*J24*((H24/1000)+'PARAMETROS MC'!C$35)-BD24)))),"")</f>
        <v>29.287788048112745</v>
      </c>
      <c r="BF24" s="1055">
        <f t="shared" si="35"/>
        <v>29.519999999999996</v>
      </c>
      <c r="BG24" s="1055" t="str">
        <f t="shared" si="36"/>
        <v/>
      </c>
      <c r="BH24" s="1055" t="str">
        <f t="shared" si="37"/>
        <v/>
      </c>
      <c r="BI24" s="1055">
        <f t="shared" si="38"/>
        <v>29.519999999999996</v>
      </c>
      <c r="BJ24" s="1055" t="str">
        <f t="shared" si="39"/>
        <v/>
      </c>
      <c r="BK24" s="1052">
        <f>IF(A24&lt;&gt;0,IF(N24="Reta",IF(F24&lt;'PARAMETROS MC'!B$17,"-",(I24*F24*2)),IF(N24="Inclinada","-")),"")</f>
        <v>106.59999999999998</v>
      </c>
      <c r="BL24" s="1055">
        <f>IF(A24&lt;&gt;0,IF(N24="Reta",IF(F24&lt;'PARAMETROS MC'!B$17,"-",IF(F24&gt;='PARAMETROS MC'!B$17,(BK24*('PARAMETROS MC'!B$18/100)))),IF(N24="Inclinada","-")),"")</f>
        <v>103.40199999999997</v>
      </c>
      <c r="BM24" s="1055">
        <f t="shared" si="40"/>
        <v>103.40199999999997</v>
      </c>
      <c r="BN24" s="1055" t="str">
        <f t="shared" si="41"/>
        <v/>
      </c>
      <c r="BO24" s="1052">
        <f>IF(A24&lt;&gt;0,IF(N24="Reta",IF(F24&lt;'PARAMETROS MC'!B$17,"-",IF(F24&gt;='PARAMETROS MC'!B$17,(BK24*('PARAMETROS MC'!B$19/100)))),IF(N24="Inclinada","-")),"")</f>
        <v>0</v>
      </c>
      <c r="BP24" s="1060">
        <f>IF(A24&lt;&gt;0,IF(N24="Reta",IF(F24&lt;'PARAMETROS MC'!B$17,"-",IF(F24&gt;='PARAMETROS MC'!B$17,(BK24*('PARAMETROS MC'!B$20/100)))),IF(N24="Inclinada","-")),"")</f>
        <v>0</v>
      </c>
      <c r="BQ24" s="1060">
        <f>IF(A24&lt;&gt;0,IF(N24="Reta",IF(F24&lt;'PARAMETROS MC'!B$17,"-",IF(F24&gt;='PARAMETROS MC'!B$17,(BK24*('PARAMETROS MC'!B$21/100)))),IF(N24="Inclinada","-")),"")</f>
        <v>3.1979999999999991</v>
      </c>
      <c r="BR24" s="1052"/>
      <c r="BS24" s="1052" t="str">
        <f t="shared" si="26"/>
        <v>-</v>
      </c>
    </row>
    <row r="25" spans="1:71">
      <c r="A25" s="1057">
        <v>15</v>
      </c>
      <c r="B25" s="1049" t="s">
        <v>12003</v>
      </c>
      <c r="C25" s="1049" t="s">
        <v>12004</v>
      </c>
      <c r="D25" s="1050">
        <v>1.4</v>
      </c>
      <c r="E25" s="1050">
        <v>2.15</v>
      </c>
      <c r="F25" s="1051">
        <f t="shared" si="45"/>
        <v>1.7749999999999999</v>
      </c>
      <c r="G25" s="1052" t="s">
        <v>11990</v>
      </c>
      <c r="H25" s="1050">
        <v>600</v>
      </c>
      <c r="I25" s="1050">
        <v>20</v>
      </c>
      <c r="J25" s="1059">
        <f>IF(A25&lt;&gt;0,IF(AND(N25="Inclinada",H25&lt;600),(H25/1000+0.6),IF(AND(N25="Inclinada",H25&gt;=600),(H25/1000+0.6),IF(N25="Reta",((H25/1000)+('PARAMETROS MC'!D$11))))),"")</f>
        <v>1.4</v>
      </c>
      <c r="K25" s="1052" t="s">
        <v>11989</v>
      </c>
      <c r="L25" s="1060" t="str">
        <f>IF(A25&lt;&gt;0,IF(K25="",0,IF(K25="Sem Revestimento","-",IF(N25="Inclinada",((R25+(2*'PARAMETROS MC'!D$14))*I25),IF(N25="Reta",((J25+(2*'PARAMETROS MC'!D$14))*I25))))),"")</f>
        <v>-</v>
      </c>
      <c r="M25" s="1060" t="str">
        <f>IF(A25&lt;&gt;0,IF(K25="",0,IF(K25="Sem Revestimento","-",IF(N25="Inclinada",((R25+(2*'PARAMETROS MC'!D$14))*I25),IF(N25="Reta",((J25+(2*'PARAMETROS MC'!D$14))*I25))))),"")</f>
        <v>-</v>
      </c>
      <c r="N25" s="1052" t="str">
        <f t="shared" si="27"/>
        <v>Reta</v>
      </c>
      <c r="O25" s="1061">
        <f t="shared" si="0"/>
        <v>28</v>
      </c>
      <c r="P25" s="1061">
        <f t="shared" si="1"/>
        <v>28</v>
      </c>
      <c r="Q25" s="1053" t="str">
        <f>IF(A25&lt;&gt;0,IF(N25="Inclinada",(F25*(TAN('PARAMETROS MC'!D$9*PI()/180))),IF(N25="Reta","-")),"")</f>
        <v>-</v>
      </c>
      <c r="R25" s="1053" t="str">
        <f t="shared" si="2"/>
        <v>-</v>
      </c>
      <c r="S25" s="1053" t="str">
        <f t="shared" si="3"/>
        <v>-</v>
      </c>
      <c r="T25" s="1053" t="str">
        <f t="shared" si="4"/>
        <v>-</v>
      </c>
      <c r="U25" s="1053" t="str">
        <f t="shared" si="5"/>
        <v>-</v>
      </c>
      <c r="V25" s="1055">
        <f t="shared" si="6"/>
        <v>49.699999999999996</v>
      </c>
      <c r="W25" s="1052">
        <f t="shared" si="28"/>
        <v>1.5</v>
      </c>
      <c r="X25" s="1052" t="str">
        <f>IF(A25&lt;&gt;0,IF(N25="Inclinada",((AK25+AR25+AD25+W25)*(TAN('PARAMETROS MC'!D$9*PI()/180))),IF(N25="Reta","-")),"")</f>
        <v>-</v>
      </c>
      <c r="Y25" s="1052" t="str">
        <f t="shared" si="7"/>
        <v>-</v>
      </c>
      <c r="Z25" s="1052" t="str">
        <f t="shared" si="8"/>
        <v>-</v>
      </c>
      <c r="AA25" s="1052" t="str">
        <f t="shared" ref="AA25:AB28" si="46">IF(AF25&lt;&gt;"",AF25,"")</f>
        <v>-</v>
      </c>
      <c r="AB25" s="1052" t="str">
        <f t="shared" si="46"/>
        <v>-</v>
      </c>
      <c r="AC25" s="1055">
        <f t="shared" si="9"/>
        <v>42</v>
      </c>
      <c r="AD25" s="1052">
        <f t="shared" si="31"/>
        <v>0.27499999999999991</v>
      </c>
      <c r="AE25" s="1052" t="str">
        <f>IF(A25&lt;&gt;0,IF(N25="Inclinada",((AK25+AR25+AD25)*(TAN('PARAMETROS MC'!D$9*PI()/180))),IF(N25="Reta","-")),"")</f>
        <v>-</v>
      </c>
      <c r="AF25" s="1052" t="str">
        <f t="shared" si="10"/>
        <v>-</v>
      </c>
      <c r="AG25" s="1052" t="str">
        <f t="shared" ref="AG25:AG43" si="47">IF(AW25&lt;&gt;"",AW25,"")</f>
        <v>-</v>
      </c>
      <c r="AH25" s="1052" t="str">
        <f t="shared" ref="AH25:AI28" si="48">IF(AM25&lt;&gt;"",AM25,"")</f>
        <v>-</v>
      </c>
      <c r="AI25" s="1052" t="str">
        <f t="shared" si="48"/>
        <v>-</v>
      </c>
      <c r="AJ25" s="1055">
        <f t="shared" si="11"/>
        <v>7.6999999999999975</v>
      </c>
      <c r="AK25" s="1052">
        <f t="shared" si="12"/>
        <v>0</v>
      </c>
      <c r="AL25" s="1052" t="str">
        <f>IF(A25&lt;&gt;0,IF(N25="Inclinada",((AK25+AR25)*(TAN('PARAMETROS MC'!D$9*PI()/180))),IF(N25="Reta","-")),"")</f>
        <v>-</v>
      </c>
      <c r="AM25" s="1059" t="str">
        <f t="shared" si="13"/>
        <v>-</v>
      </c>
      <c r="AN25" s="1052" t="str">
        <f t="shared" ref="AN25:AN43" si="49">IF(AW25&lt;&gt;"",AW25,"")</f>
        <v>-</v>
      </c>
      <c r="AO25" s="1052" t="str">
        <f t="shared" ref="AO25:AP28" si="50">IF(AT25&lt;&gt;"",AT25,"")</f>
        <v>-</v>
      </c>
      <c r="AP25" s="1052" t="str">
        <f t="shared" si="50"/>
        <v>-</v>
      </c>
      <c r="AQ25" s="1055">
        <f t="shared" si="14"/>
        <v>0</v>
      </c>
      <c r="AR25" s="1052">
        <f t="shared" si="15"/>
        <v>0</v>
      </c>
      <c r="AS25" s="1052" t="str">
        <f>IF(A25&lt;&gt;0,IF(N25="Inclinada",(AR25*(TAN('PARAMETROS MC'!D$9*PI()/180))),IF(N25="Reta","-")),"")</f>
        <v>-</v>
      </c>
      <c r="AT25" s="1052" t="str">
        <f t="shared" si="16"/>
        <v>-</v>
      </c>
      <c r="AU25" s="1052" t="str">
        <f t="shared" si="17"/>
        <v>-</v>
      </c>
      <c r="AV25" s="1052" t="str">
        <f t="shared" si="18"/>
        <v>-</v>
      </c>
      <c r="AW25" s="1052" t="str">
        <f t="shared" si="19"/>
        <v>-</v>
      </c>
      <c r="AX25" s="1055">
        <f t="shared" si="20"/>
        <v>0</v>
      </c>
      <c r="AY25" s="1055" t="str">
        <f>IF(A25&lt;&gt;0,IF(N25="Reta","-",IF(N25="Inclinada",(((H25/1000)+'PARAMETROS MC'!C$35)*(TAN('PARAMETROS MC'!D$9*PI()/180))))),"")</f>
        <v>-</v>
      </c>
      <c r="AZ25" s="1055" t="str">
        <f t="shared" si="21"/>
        <v>-</v>
      </c>
      <c r="BA25" s="1055" t="str">
        <f t="shared" si="22"/>
        <v>-</v>
      </c>
      <c r="BB25" s="1055" t="str">
        <f t="shared" si="23"/>
        <v>-</v>
      </c>
      <c r="BC25" s="1055" t="str">
        <f t="shared" si="24"/>
        <v>-</v>
      </c>
      <c r="BD25" s="1055">
        <f t="shared" si="25"/>
        <v>5.6548667764616276</v>
      </c>
      <c r="BE25" s="1055">
        <f>IF(A25&lt;&gt;0,IF(N25="Inclinada",((((H25/1000+'PARAMETROS MC'!C$35)/6)*(((2*AZ25+BB25)*BA25)+((2*BB25+AZ25)*BC25)))-BD25),IF(N25="Reta",((I25*J25*((H25/1000)+'PARAMETROS MC'!C$35)-BD25)))),"")</f>
        <v>19.545133223538368</v>
      </c>
      <c r="BF25" s="1055">
        <f t="shared" si="35"/>
        <v>24.5</v>
      </c>
      <c r="BG25" s="1055" t="str">
        <f t="shared" si="36"/>
        <v/>
      </c>
      <c r="BH25" s="1055" t="str">
        <f t="shared" si="37"/>
        <v/>
      </c>
      <c r="BI25" s="1055" t="str">
        <f t="shared" si="38"/>
        <v/>
      </c>
      <c r="BJ25" s="1055">
        <f t="shared" si="39"/>
        <v>24.5</v>
      </c>
      <c r="BK25" s="1052">
        <f>IF(A25&lt;&gt;0,IF(N25="Reta",IF(F25&lt;'PARAMETROS MC'!B$17,"-",(I25*F25*2)),IF(N25="Inclinada","-")),"")</f>
        <v>71</v>
      </c>
      <c r="BL25" s="1055">
        <f>IF(A25&lt;&gt;0,IF(N25="Reta",IF(F25&lt;'PARAMETROS MC'!B$17,"-",IF(F25&gt;='PARAMETROS MC'!B$17,(BK25*('PARAMETROS MC'!B$18/100)))),IF(N25="Inclinada","-")),"")</f>
        <v>68.87</v>
      </c>
      <c r="BM25" s="1055" t="str">
        <f t="shared" si="40"/>
        <v/>
      </c>
      <c r="BN25" s="1055">
        <f t="shared" si="41"/>
        <v>68.87</v>
      </c>
      <c r="BO25" s="1052">
        <f>IF(A25&lt;&gt;0,IF(N25="Reta",IF(F25&lt;'PARAMETROS MC'!B$17,"-",IF(F25&gt;='PARAMETROS MC'!B$17,(BK25*('PARAMETROS MC'!B$19/100)))),IF(N25="Inclinada","-")),"")</f>
        <v>0</v>
      </c>
      <c r="BP25" s="1060">
        <f>IF(A25&lt;&gt;0,IF(N25="Reta",IF(F25&lt;'PARAMETROS MC'!B$17,"-",IF(F25&gt;='PARAMETROS MC'!B$17,(BK25*('PARAMETROS MC'!B$20/100)))),IF(N25="Inclinada","-")),"")</f>
        <v>0</v>
      </c>
      <c r="BQ25" s="1060">
        <f>IF(A25&lt;&gt;0,IF(N25="Reta",IF(F25&lt;'PARAMETROS MC'!B$17,"-",IF(F25&gt;='PARAMETROS MC'!B$17,(BK25*('PARAMETROS MC'!B$21/100)))),IF(N25="Inclinada","-")),"")</f>
        <v>2.13</v>
      </c>
      <c r="BR25" s="1052"/>
      <c r="BS25" s="1052" t="str">
        <f t="shared" si="26"/>
        <v>-</v>
      </c>
    </row>
    <row r="26" spans="1:71">
      <c r="A26" s="1057">
        <v>16</v>
      </c>
      <c r="B26" s="1049" t="s">
        <v>12004</v>
      </c>
      <c r="C26" s="1049" t="s">
        <v>12005</v>
      </c>
      <c r="D26" s="1050">
        <f>E25</f>
        <v>2.15</v>
      </c>
      <c r="E26" s="1050">
        <v>2.2000000000000002</v>
      </c>
      <c r="F26" s="1051">
        <f t="shared" si="45"/>
        <v>2.1749999999999998</v>
      </c>
      <c r="G26" s="1052" t="s">
        <v>12009</v>
      </c>
      <c r="H26" s="1050">
        <v>600</v>
      </c>
      <c r="I26" s="1050">
        <v>33</v>
      </c>
      <c r="J26" s="1059">
        <f>IF(A26&lt;&gt;0,IF(AND(N26="Inclinada",H26&lt;600),(H26/1000+0.6),IF(AND(N26="Inclinada",H26&gt;=600),(H26/1000+0.6),IF(N26="Reta",((H26/1000)+('PARAMETROS MC'!D$11))))),"")</f>
        <v>1.4</v>
      </c>
      <c r="K26" s="1052" t="s">
        <v>11989</v>
      </c>
      <c r="L26" s="1060" t="str">
        <f>IF(A26&lt;&gt;0,IF(K26="",0,IF(K26="Sem Revestimento","-",IF(N26="Inclinada",((R26+(2*'PARAMETROS MC'!D$14))*I26),IF(N26="Reta",((J26+(2*'PARAMETROS MC'!D$14))*I26))))),"")</f>
        <v>-</v>
      </c>
      <c r="M26" s="1060" t="str">
        <f>IF(A26&lt;&gt;0,IF(K26="",0,IF(K26="Sem Revestimento","-",IF(N26="Inclinada",((R26+(2*'PARAMETROS MC'!D$14))*I26),IF(N26="Reta",((J26+(2*'PARAMETROS MC'!D$14))*I26))))),"")</f>
        <v>-</v>
      </c>
      <c r="N26" s="1052" t="str">
        <f t="shared" si="27"/>
        <v>Reta</v>
      </c>
      <c r="O26" s="1061">
        <f t="shared" si="0"/>
        <v>46.199999999999996</v>
      </c>
      <c r="P26" s="1061">
        <f t="shared" si="1"/>
        <v>46.199999999999996</v>
      </c>
      <c r="Q26" s="1053" t="str">
        <f>IF(A26&lt;&gt;0,IF(N26="Inclinada",(F26*(TAN('PARAMETROS MC'!D$9*PI()/180))),IF(N26="Reta","-")),"")</f>
        <v>-</v>
      </c>
      <c r="R26" s="1053" t="str">
        <f t="shared" si="2"/>
        <v>-</v>
      </c>
      <c r="S26" s="1053" t="str">
        <f t="shared" si="3"/>
        <v>-</v>
      </c>
      <c r="T26" s="1053" t="str">
        <f t="shared" si="4"/>
        <v>-</v>
      </c>
      <c r="U26" s="1053" t="str">
        <f t="shared" si="5"/>
        <v>-</v>
      </c>
      <c r="V26" s="1055">
        <f t="shared" si="6"/>
        <v>100.48499999999999</v>
      </c>
      <c r="W26" s="1052">
        <f t="shared" si="28"/>
        <v>1.5</v>
      </c>
      <c r="X26" s="1052" t="str">
        <f>IF(A26&lt;&gt;0,IF(N26="Inclinada",((AK26+AR26+AD26+W26)*(TAN('PARAMETROS MC'!D$9*PI()/180))),IF(N26="Reta","-")),"")</f>
        <v>-</v>
      </c>
      <c r="Y26" s="1052" t="str">
        <f t="shared" si="7"/>
        <v>-</v>
      </c>
      <c r="Z26" s="1052" t="str">
        <f t="shared" si="8"/>
        <v>-</v>
      </c>
      <c r="AA26" s="1052" t="str">
        <f t="shared" si="46"/>
        <v>-</v>
      </c>
      <c r="AB26" s="1052" t="str">
        <f t="shared" si="46"/>
        <v>-</v>
      </c>
      <c r="AC26" s="1055">
        <f t="shared" si="9"/>
        <v>69.3</v>
      </c>
      <c r="AD26" s="1052">
        <f t="shared" si="31"/>
        <v>0.67499999999999982</v>
      </c>
      <c r="AE26" s="1052" t="str">
        <f>IF(A26&lt;&gt;0,IF(N26="Inclinada",((AK26+AR26+AD26)*(TAN('PARAMETROS MC'!D$9*PI()/180))),IF(N26="Reta","-")),"")</f>
        <v>-</v>
      </c>
      <c r="AF26" s="1052" t="str">
        <f t="shared" si="10"/>
        <v>-</v>
      </c>
      <c r="AG26" s="1052" t="str">
        <f t="shared" si="47"/>
        <v>-</v>
      </c>
      <c r="AH26" s="1052" t="str">
        <f t="shared" si="48"/>
        <v>-</v>
      </c>
      <c r="AI26" s="1052" t="str">
        <f t="shared" si="48"/>
        <v>-</v>
      </c>
      <c r="AJ26" s="1055">
        <f t="shared" si="11"/>
        <v>31.184999999999988</v>
      </c>
      <c r="AK26" s="1052">
        <f t="shared" si="12"/>
        <v>0</v>
      </c>
      <c r="AL26" s="1052" t="str">
        <f>IF(A26&lt;&gt;0,IF(N26="Inclinada",((AK26+AR26)*(TAN('PARAMETROS MC'!D$9*PI()/180))),IF(N26="Reta","-")),"")</f>
        <v>-</v>
      </c>
      <c r="AM26" s="1059" t="str">
        <f t="shared" si="13"/>
        <v>-</v>
      </c>
      <c r="AN26" s="1052" t="str">
        <f t="shared" si="49"/>
        <v>-</v>
      </c>
      <c r="AO26" s="1052" t="str">
        <f t="shared" si="50"/>
        <v>-</v>
      </c>
      <c r="AP26" s="1052" t="str">
        <f t="shared" si="50"/>
        <v>-</v>
      </c>
      <c r="AQ26" s="1055">
        <f t="shared" si="14"/>
        <v>0</v>
      </c>
      <c r="AR26" s="1052">
        <f t="shared" si="15"/>
        <v>0</v>
      </c>
      <c r="AS26" s="1052" t="str">
        <f>IF(A26&lt;&gt;0,IF(N26="Inclinada",(AR26*(TAN('PARAMETROS MC'!D$9*PI()/180))),IF(N26="Reta","-")),"")</f>
        <v>-</v>
      </c>
      <c r="AT26" s="1052" t="str">
        <f t="shared" si="16"/>
        <v>-</v>
      </c>
      <c r="AU26" s="1052" t="str">
        <f t="shared" si="17"/>
        <v>-</v>
      </c>
      <c r="AV26" s="1052" t="str">
        <f t="shared" si="18"/>
        <v>-</v>
      </c>
      <c r="AW26" s="1052" t="str">
        <f t="shared" si="19"/>
        <v>-</v>
      </c>
      <c r="AX26" s="1055">
        <f t="shared" si="20"/>
        <v>0</v>
      </c>
      <c r="AY26" s="1055" t="str">
        <f>IF(A26&lt;&gt;0,IF(N26="Reta","-",IF(N26="Inclinada",(((H26/1000)+'PARAMETROS MC'!C$35)*(TAN('PARAMETROS MC'!D$9*PI()/180))))),"")</f>
        <v>-</v>
      </c>
      <c r="AZ26" s="1055" t="str">
        <f t="shared" si="21"/>
        <v>-</v>
      </c>
      <c r="BA26" s="1055" t="str">
        <f t="shared" si="22"/>
        <v>-</v>
      </c>
      <c r="BB26" s="1055" t="str">
        <f t="shared" si="23"/>
        <v>-</v>
      </c>
      <c r="BC26" s="1055" t="str">
        <f t="shared" si="24"/>
        <v>-</v>
      </c>
      <c r="BD26" s="1055">
        <f t="shared" si="25"/>
        <v>9.3305301811616861</v>
      </c>
      <c r="BE26" s="1055">
        <f>IF(A26&lt;&gt;0,IF(N26="Inclinada",((((H26/1000+'PARAMETROS MC'!C$35)/6)*(((2*AZ26+BB26)*BA26)+((2*BB26+AZ26)*BC26)))-BD26),IF(N26="Reta",((I26*J26*((H26/1000)+'PARAMETROS MC'!C$35)-BD26)))),"")</f>
        <v>32.249469818838307</v>
      </c>
      <c r="BF26" s="1055">
        <f t="shared" si="35"/>
        <v>58.904999999999994</v>
      </c>
      <c r="BG26" s="1055" t="str">
        <f t="shared" si="36"/>
        <v/>
      </c>
      <c r="BH26" s="1055" t="str">
        <f t="shared" si="37"/>
        <v/>
      </c>
      <c r="BI26" s="1055" t="str">
        <f t="shared" si="38"/>
        <v/>
      </c>
      <c r="BJ26" s="1055">
        <f t="shared" si="39"/>
        <v>58.904999999999994</v>
      </c>
      <c r="BK26" s="1052">
        <f>IF(A26&lt;&gt;0,IF(N26="Reta",IF(F26&lt;'PARAMETROS MC'!B$17,"-",(I26*F26*2)),IF(N26="Inclinada","-")),"")</f>
        <v>143.54999999999998</v>
      </c>
      <c r="BL26" s="1055">
        <f>IF(A26&lt;&gt;0,IF(N26="Reta",IF(F26&lt;'PARAMETROS MC'!B$17,"-",IF(F26&gt;='PARAMETROS MC'!B$17,(BK26*('PARAMETROS MC'!B$18/100)))),IF(N26="Inclinada","-")),"")</f>
        <v>139.24349999999998</v>
      </c>
      <c r="BM26" s="1055" t="str">
        <f t="shared" si="40"/>
        <v/>
      </c>
      <c r="BN26" s="1055">
        <f t="shared" si="41"/>
        <v>139.24349999999998</v>
      </c>
      <c r="BO26" s="1052">
        <f>IF(A26&lt;&gt;0,IF(N26="Reta",IF(F26&lt;'PARAMETROS MC'!B$17,"-",IF(F26&gt;='PARAMETROS MC'!B$17,(BK26*('PARAMETROS MC'!B$19/100)))),IF(N26="Inclinada","-")),"")</f>
        <v>0</v>
      </c>
      <c r="BP26" s="1060">
        <f>IF(A26&lt;&gt;0,IF(N26="Reta",IF(F26&lt;'PARAMETROS MC'!B$17,"-",IF(F26&gt;='PARAMETROS MC'!B$17,(BK26*('PARAMETROS MC'!B$20/100)))),IF(N26="Inclinada","-")),"")</f>
        <v>0</v>
      </c>
      <c r="BQ26" s="1060">
        <f>IF(A26&lt;&gt;0,IF(N26="Reta",IF(F26&lt;'PARAMETROS MC'!B$17,"-",IF(F26&gt;='PARAMETROS MC'!B$17,(BK26*('PARAMETROS MC'!B$21/100)))),IF(N26="Inclinada","-")),"")</f>
        <v>4.3064999999999998</v>
      </c>
      <c r="BR26" s="1052"/>
      <c r="BS26" s="1052" t="str">
        <f t="shared" si="26"/>
        <v>-</v>
      </c>
    </row>
    <row r="27" spans="1:71">
      <c r="A27" s="1057">
        <v>17</v>
      </c>
      <c r="B27" s="1049" t="str">
        <f>C26</f>
        <v>LR_Estaca 1+13</v>
      </c>
      <c r="C27" s="1049" t="s">
        <v>12006</v>
      </c>
      <c r="D27" s="1050">
        <f>E26</f>
        <v>2.2000000000000002</v>
      </c>
      <c r="E27" s="1050">
        <v>1.7</v>
      </c>
      <c r="F27" s="1051">
        <f t="shared" si="45"/>
        <v>1.9500000000000002</v>
      </c>
      <c r="G27" s="1052" t="s">
        <v>12009</v>
      </c>
      <c r="H27" s="1050">
        <v>600</v>
      </c>
      <c r="I27" s="1050">
        <v>27</v>
      </c>
      <c r="J27" s="1059">
        <f>IF(A27&lt;&gt;0,IF(AND(N27="Inclinada",H27&lt;600),(H27/1000+0.6),IF(AND(N27="Inclinada",H27&gt;=600),(H27/1000+0.6),IF(N27="Reta",((H27/1000)+('PARAMETROS MC'!D$11))))),"")</f>
        <v>1.4</v>
      </c>
      <c r="K27" s="1052" t="s">
        <v>11989</v>
      </c>
      <c r="L27" s="1060" t="str">
        <f>IF(A27&lt;&gt;0,IF(K27="",0,IF(K27="Sem Revestimento","-",IF(N27="Inclinada",((R27+(2*'PARAMETROS MC'!D$14))*I27),IF(N27="Reta",((J27+(2*'PARAMETROS MC'!D$14))*I27))))),"")</f>
        <v>-</v>
      </c>
      <c r="M27" s="1060" t="str">
        <f>IF(A27&lt;&gt;0,IF(K27="",0,IF(K27="Sem Revestimento","-",IF(N27="Inclinada",((R27+(2*'PARAMETROS MC'!D$14))*I27),IF(N27="Reta",((J27+(2*'PARAMETROS MC'!D$14))*I27))))),"")</f>
        <v>-</v>
      </c>
      <c r="N27" s="1052" t="str">
        <f t="shared" si="27"/>
        <v>Reta</v>
      </c>
      <c r="O27" s="1061">
        <f t="shared" si="0"/>
        <v>37.799999999999997</v>
      </c>
      <c r="P27" s="1061">
        <f t="shared" si="1"/>
        <v>37.799999999999997</v>
      </c>
      <c r="Q27" s="1053" t="str">
        <f>IF(A27&lt;&gt;0,IF(N27="Inclinada",(F27*(TAN('PARAMETROS MC'!D$9*PI()/180))),IF(N27="Reta","-")),"")</f>
        <v>-</v>
      </c>
      <c r="R27" s="1053" t="str">
        <f t="shared" si="2"/>
        <v>-</v>
      </c>
      <c r="S27" s="1053" t="str">
        <f t="shared" si="3"/>
        <v>-</v>
      </c>
      <c r="T27" s="1053" t="str">
        <f t="shared" si="4"/>
        <v>-</v>
      </c>
      <c r="U27" s="1053" t="str">
        <f t="shared" si="5"/>
        <v>-</v>
      </c>
      <c r="V27" s="1055">
        <f t="shared" si="6"/>
        <v>73.710000000000008</v>
      </c>
      <c r="W27" s="1052">
        <f t="shared" si="28"/>
        <v>1.5</v>
      </c>
      <c r="X27" s="1052" t="str">
        <f>IF(A27&lt;&gt;0,IF(N27="Inclinada",((AK27+AR27+AD27+W27)*(TAN('PARAMETROS MC'!D$9*PI()/180))),IF(N27="Reta","-")),"")</f>
        <v>-</v>
      </c>
      <c r="Y27" s="1052" t="str">
        <f t="shared" si="7"/>
        <v>-</v>
      </c>
      <c r="Z27" s="1052" t="str">
        <f t="shared" si="8"/>
        <v>-</v>
      </c>
      <c r="AA27" s="1052" t="str">
        <f t="shared" si="46"/>
        <v>-</v>
      </c>
      <c r="AB27" s="1052" t="str">
        <f t="shared" si="46"/>
        <v>-</v>
      </c>
      <c r="AC27" s="1055">
        <f t="shared" si="9"/>
        <v>56.699999999999996</v>
      </c>
      <c r="AD27" s="1052">
        <f t="shared" si="31"/>
        <v>0.45000000000000018</v>
      </c>
      <c r="AE27" s="1052" t="str">
        <f>IF(A27&lt;&gt;0,IF(N27="Inclinada",((AK27+AR27+AD27)*(TAN('PARAMETROS MC'!D$9*PI()/180))),IF(N27="Reta","-")),"")</f>
        <v>-</v>
      </c>
      <c r="AF27" s="1052" t="str">
        <f t="shared" si="10"/>
        <v>-</v>
      </c>
      <c r="AG27" s="1052" t="str">
        <f t="shared" si="47"/>
        <v>-</v>
      </c>
      <c r="AH27" s="1052" t="str">
        <f t="shared" si="48"/>
        <v>-</v>
      </c>
      <c r="AI27" s="1052" t="str">
        <f t="shared" si="48"/>
        <v>-</v>
      </c>
      <c r="AJ27" s="1055">
        <f t="shared" si="11"/>
        <v>17.010000000000005</v>
      </c>
      <c r="AK27" s="1052">
        <f t="shared" si="12"/>
        <v>0</v>
      </c>
      <c r="AL27" s="1052" t="str">
        <f>IF(A27&lt;&gt;0,IF(N27="Inclinada",((AK27+AR27)*(TAN('PARAMETROS MC'!D$9*PI()/180))),IF(N27="Reta","-")),"")</f>
        <v>-</v>
      </c>
      <c r="AM27" s="1059" t="str">
        <f t="shared" si="13"/>
        <v>-</v>
      </c>
      <c r="AN27" s="1052" t="str">
        <f t="shared" si="49"/>
        <v>-</v>
      </c>
      <c r="AO27" s="1052" t="str">
        <f t="shared" si="50"/>
        <v>-</v>
      </c>
      <c r="AP27" s="1052" t="str">
        <f t="shared" si="50"/>
        <v>-</v>
      </c>
      <c r="AQ27" s="1055">
        <f t="shared" si="14"/>
        <v>0</v>
      </c>
      <c r="AR27" s="1052">
        <f t="shared" si="15"/>
        <v>0</v>
      </c>
      <c r="AS27" s="1052" t="str">
        <f>IF(A27&lt;&gt;0,IF(N27="Inclinada",(AR27*(TAN('PARAMETROS MC'!D$9*PI()/180))),IF(N27="Reta","-")),"")</f>
        <v>-</v>
      </c>
      <c r="AT27" s="1052" t="str">
        <f t="shared" si="16"/>
        <v>-</v>
      </c>
      <c r="AU27" s="1052" t="str">
        <f t="shared" si="17"/>
        <v>-</v>
      </c>
      <c r="AV27" s="1052" t="str">
        <f t="shared" si="18"/>
        <v>-</v>
      </c>
      <c r="AW27" s="1052" t="str">
        <f t="shared" si="19"/>
        <v>-</v>
      </c>
      <c r="AX27" s="1055">
        <f t="shared" si="20"/>
        <v>0</v>
      </c>
      <c r="AY27" s="1055" t="str">
        <f>IF(A27&lt;&gt;0,IF(N27="Reta","-",IF(N27="Inclinada",(((H27/1000)+'PARAMETROS MC'!C$35)*(TAN('PARAMETROS MC'!D$9*PI()/180))))),"")</f>
        <v>-</v>
      </c>
      <c r="AZ27" s="1055" t="str">
        <f t="shared" si="21"/>
        <v>-</v>
      </c>
      <c r="BA27" s="1055" t="str">
        <f t="shared" si="22"/>
        <v>-</v>
      </c>
      <c r="BB27" s="1055" t="str">
        <f t="shared" si="23"/>
        <v>-</v>
      </c>
      <c r="BC27" s="1055" t="str">
        <f t="shared" si="24"/>
        <v>-</v>
      </c>
      <c r="BD27" s="1055">
        <f t="shared" si="25"/>
        <v>7.6340701482231976</v>
      </c>
      <c r="BE27" s="1055">
        <f>IF(A27&lt;&gt;0,IF(N27="Inclinada",((((H27/1000+'PARAMETROS MC'!C$35)/6)*(((2*AZ27+BB27)*BA27)+((2*BB27+AZ27)*BC27)))-BD27),IF(N27="Reta",((I27*J27*((H27/1000)+'PARAMETROS MC'!C$35)-BD27)))),"")</f>
        <v>26.385929851776798</v>
      </c>
      <c r="BF27" s="1055">
        <f t="shared" si="35"/>
        <v>39.690000000000019</v>
      </c>
      <c r="BG27" s="1055" t="str">
        <f t="shared" si="36"/>
        <v/>
      </c>
      <c r="BH27" s="1055" t="str">
        <f t="shared" si="37"/>
        <v/>
      </c>
      <c r="BI27" s="1055" t="str">
        <f t="shared" si="38"/>
        <v/>
      </c>
      <c r="BJ27" s="1055">
        <f t="shared" si="39"/>
        <v>39.690000000000012</v>
      </c>
      <c r="BK27" s="1052">
        <f>IF(A27&lt;&gt;0,IF(N27="Reta",IF(F27&lt;'PARAMETROS MC'!B$17,"-",(I27*F27*2)),IF(N27="Inclinada","-")),"")</f>
        <v>105.30000000000001</v>
      </c>
      <c r="BL27" s="1055">
        <f>IF(A27&lt;&gt;0,IF(N27="Reta",IF(F27&lt;'PARAMETROS MC'!B$17,"-",IF(F27&gt;='PARAMETROS MC'!B$17,(BK27*('PARAMETROS MC'!B$18/100)))),IF(N27="Inclinada","-")),"")</f>
        <v>102.14100000000001</v>
      </c>
      <c r="BM27" s="1055" t="str">
        <f t="shared" si="40"/>
        <v/>
      </c>
      <c r="BN27" s="1055">
        <f t="shared" si="41"/>
        <v>102.14100000000001</v>
      </c>
      <c r="BO27" s="1052">
        <f>IF(A27&lt;&gt;0,IF(N27="Reta",IF(F27&lt;'PARAMETROS MC'!B$17,"-",IF(F27&gt;='PARAMETROS MC'!B$17,(BK27*('PARAMETROS MC'!B$19/100)))),IF(N27="Inclinada","-")),"")</f>
        <v>0</v>
      </c>
      <c r="BP27" s="1060">
        <f>IF(A27&lt;&gt;0,IF(N27="Reta",IF(F27&lt;'PARAMETROS MC'!B$17,"-",IF(F27&gt;='PARAMETROS MC'!B$17,(BK27*('PARAMETROS MC'!B$20/100)))),IF(N27="Inclinada","-")),"")</f>
        <v>0</v>
      </c>
      <c r="BQ27" s="1060">
        <f>IF(A27&lt;&gt;0,IF(N27="Reta",IF(F27&lt;'PARAMETROS MC'!B$17,"-",IF(F27&gt;='PARAMETROS MC'!B$17,(BK27*('PARAMETROS MC'!B$21/100)))),IF(N27="Inclinada","-")),"")</f>
        <v>3.1590000000000003</v>
      </c>
      <c r="BR27" s="1052"/>
      <c r="BS27" s="1052" t="str">
        <f t="shared" si="26"/>
        <v>-</v>
      </c>
    </row>
    <row r="28" spans="1:71">
      <c r="A28" s="1057">
        <v>18</v>
      </c>
      <c r="B28" s="1049" t="str">
        <f>C27</f>
        <v>LR_Estaca 3</v>
      </c>
      <c r="C28" s="1049" t="s">
        <v>12007</v>
      </c>
      <c r="D28" s="1050">
        <f>E27</f>
        <v>1.7</v>
      </c>
      <c r="E28" s="1050">
        <v>1.62</v>
      </c>
      <c r="F28" s="1051">
        <f t="shared" si="45"/>
        <v>1.6600000000000001</v>
      </c>
      <c r="G28" s="1052" t="s">
        <v>12009</v>
      </c>
      <c r="H28" s="1050">
        <v>600</v>
      </c>
      <c r="I28" s="1050">
        <v>140</v>
      </c>
      <c r="J28" s="1059">
        <f>IF(A28&lt;&gt;0,IF(AND(N28="Inclinada",H28&lt;600),(H28/1000+0.6),IF(AND(N28="Inclinada",H28&gt;=600),(H28/1000+0.6),IF(N28="Reta",((H28/1000)+('PARAMETROS MC'!D$11))))),"")</f>
        <v>1.4</v>
      </c>
      <c r="K28" s="1052" t="s">
        <v>11989</v>
      </c>
      <c r="L28" s="1060" t="str">
        <f>IF(A28&lt;&gt;0,IF(K28="",0,IF(K28="Sem Revestimento","-",IF(N28="Inclinada",((R28+(2*'PARAMETROS MC'!D$14))*I28),IF(N28="Reta",((J28+(2*'PARAMETROS MC'!D$14))*I28))))),"")</f>
        <v>-</v>
      </c>
      <c r="M28" s="1060" t="str">
        <f>IF(A28&lt;&gt;0,IF(K28="",0,IF(K28="Sem Revestimento","-",IF(N28="Inclinada",((R28+(2*'PARAMETROS MC'!D$14))*I28),IF(N28="Reta",((J28+(2*'PARAMETROS MC'!D$14))*I28))))),"")</f>
        <v>-</v>
      </c>
      <c r="N28" s="1052" t="str">
        <f t="shared" si="27"/>
        <v>Reta</v>
      </c>
      <c r="O28" s="1061">
        <f t="shared" si="0"/>
        <v>196</v>
      </c>
      <c r="P28" s="1061">
        <f t="shared" si="1"/>
        <v>196</v>
      </c>
      <c r="Q28" s="1053" t="str">
        <f>IF(A28&lt;&gt;0,IF(N28="Inclinada",(F28*(TAN('PARAMETROS MC'!D$9*PI()/180))),IF(N28="Reta","-")),"")</f>
        <v>-</v>
      </c>
      <c r="R28" s="1053" t="str">
        <f t="shared" si="2"/>
        <v>-</v>
      </c>
      <c r="S28" s="1053" t="str">
        <f t="shared" si="3"/>
        <v>-</v>
      </c>
      <c r="T28" s="1053" t="str">
        <f t="shared" si="4"/>
        <v>-</v>
      </c>
      <c r="U28" s="1053" t="str">
        <f t="shared" si="5"/>
        <v>-</v>
      </c>
      <c r="V28" s="1055">
        <f t="shared" si="6"/>
        <v>325.36</v>
      </c>
      <c r="W28" s="1052">
        <f t="shared" si="28"/>
        <v>1.5</v>
      </c>
      <c r="X28" s="1052" t="str">
        <f>IF(A28&lt;&gt;0,IF(N28="Inclinada",((AK28+AR28+AD28+W28)*(TAN('PARAMETROS MC'!D$9*PI()/180))),IF(N28="Reta","-")),"")</f>
        <v>-</v>
      </c>
      <c r="Y28" s="1052" t="str">
        <f t="shared" si="7"/>
        <v>-</v>
      </c>
      <c r="Z28" s="1052" t="str">
        <f t="shared" si="8"/>
        <v>-</v>
      </c>
      <c r="AA28" s="1052" t="str">
        <f t="shared" si="46"/>
        <v>-</v>
      </c>
      <c r="AB28" s="1052" t="str">
        <f t="shared" si="46"/>
        <v>-</v>
      </c>
      <c r="AC28" s="1055">
        <f t="shared" si="9"/>
        <v>294</v>
      </c>
      <c r="AD28" s="1052">
        <f t="shared" si="31"/>
        <v>0.16000000000000014</v>
      </c>
      <c r="AE28" s="1052" t="str">
        <f>IF(A28&lt;&gt;0,IF(N28="Inclinada",((AK28+AR28+AD28)*(TAN('PARAMETROS MC'!D$9*PI()/180))),IF(N28="Reta","-")),"")</f>
        <v>-</v>
      </c>
      <c r="AF28" s="1052" t="str">
        <f t="shared" si="10"/>
        <v>-</v>
      </c>
      <c r="AG28" s="1052" t="str">
        <f t="shared" si="47"/>
        <v>-</v>
      </c>
      <c r="AH28" s="1052" t="str">
        <f t="shared" si="48"/>
        <v>-</v>
      </c>
      <c r="AI28" s="1052" t="str">
        <f t="shared" si="48"/>
        <v>-</v>
      </c>
      <c r="AJ28" s="1055">
        <f t="shared" si="11"/>
        <v>31.360000000000028</v>
      </c>
      <c r="AK28" s="1052">
        <f t="shared" si="12"/>
        <v>0</v>
      </c>
      <c r="AL28" s="1052" t="str">
        <f>IF(A28&lt;&gt;0,IF(N28="Inclinada",((AK28+AR28)*(TAN('PARAMETROS MC'!D$9*PI()/180))),IF(N28="Reta","-")),"")</f>
        <v>-</v>
      </c>
      <c r="AM28" s="1059" t="str">
        <f t="shared" si="13"/>
        <v>-</v>
      </c>
      <c r="AN28" s="1052" t="str">
        <f t="shared" si="49"/>
        <v>-</v>
      </c>
      <c r="AO28" s="1052" t="str">
        <f t="shared" si="50"/>
        <v>-</v>
      </c>
      <c r="AP28" s="1052" t="str">
        <f t="shared" si="50"/>
        <v>-</v>
      </c>
      <c r="AQ28" s="1055">
        <f t="shared" si="14"/>
        <v>0</v>
      </c>
      <c r="AR28" s="1052">
        <f t="shared" si="15"/>
        <v>0</v>
      </c>
      <c r="AS28" s="1052" t="str">
        <f>IF(A28&lt;&gt;0,IF(N28="Inclinada",(AR28*(TAN('PARAMETROS MC'!D$9*PI()/180))),IF(N28="Reta","-")),"")</f>
        <v>-</v>
      </c>
      <c r="AT28" s="1052" t="str">
        <f t="shared" si="16"/>
        <v>-</v>
      </c>
      <c r="AU28" s="1052" t="str">
        <f t="shared" si="17"/>
        <v>-</v>
      </c>
      <c r="AV28" s="1052" t="str">
        <f t="shared" si="18"/>
        <v>-</v>
      </c>
      <c r="AW28" s="1052" t="str">
        <f t="shared" si="19"/>
        <v>-</v>
      </c>
      <c r="AX28" s="1055">
        <f t="shared" si="20"/>
        <v>0</v>
      </c>
      <c r="AY28" s="1055" t="str">
        <f>IF(A28&lt;&gt;0,IF(N28="Reta","-",IF(N28="Inclinada",(((H28/1000)+'PARAMETROS MC'!C$35)*(TAN('PARAMETROS MC'!D$9*PI()/180))))),"")</f>
        <v>-</v>
      </c>
      <c r="AZ28" s="1055" t="str">
        <f t="shared" si="21"/>
        <v>-</v>
      </c>
      <c r="BA28" s="1055" t="str">
        <f t="shared" si="22"/>
        <v>-</v>
      </c>
      <c r="BB28" s="1055" t="str">
        <f t="shared" si="23"/>
        <v>-</v>
      </c>
      <c r="BC28" s="1055" t="str">
        <f t="shared" si="24"/>
        <v>-</v>
      </c>
      <c r="BD28" s="1055">
        <f t="shared" si="25"/>
        <v>39.584067435231397</v>
      </c>
      <c r="BE28" s="1055">
        <f>IF(A28&lt;&gt;0,IF(N28="Inclinada",((((H28/1000+'PARAMETROS MC'!C$35)/6)*(((2*AZ28+BB28)*BA28)+((2*BB28+AZ28)*BC28)))-BD28),IF(N28="Reta",((I28*J28*((H28/1000)+'PARAMETROS MC'!C$35)-BD28)))),"")</f>
        <v>136.81593256476859</v>
      </c>
      <c r="BF28" s="1055">
        <f t="shared" si="35"/>
        <v>148.96000000000004</v>
      </c>
      <c r="BG28" s="1055" t="str">
        <f t="shared" si="36"/>
        <v/>
      </c>
      <c r="BH28" s="1055" t="str">
        <f t="shared" si="37"/>
        <v/>
      </c>
      <c r="BI28" s="1055" t="str">
        <f t="shared" si="38"/>
        <v/>
      </c>
      <c r="BJ28" s="1055">
        <f t="shared" si="39"/>
        <v>148.96000000000004</v>
      </c>
      <c r="BK28" s="1052">
        <f>IF(A28&lt;&gt;0,IF(N28="Reta",IF(F28&lt;'PARAMETROS MC'!B$17,"-",(I28*F28*2)),IF(N28="Inclinada","-")),"")</f>
        <v>464.80000000000007</v>
      </c>
      <c r="BL28" s="1055">
        <f>IF(A28&lt;&gt;0,IF(N28="Reta",IF(F28&lt;'PARAMETROS MC'!B$17,"-",IF(F28&gt;='PARAMETROS MC'!B$17,(BK28*('PARAMETROS MC'!B$18/100)))),IF(N28="Inclinada","-")),"")</f>
        <v>450.85600000000005</v>
      </c>
      <c r="BM28" s="1055" t="str">
        <f t="shared" si="40"/>
        <v/>
      </c>
      <c r="BN28" s="1055">
        <f t="shared" si="41"/>
        <v>450.85600000000005</v>
      </c>
      <c r="BO28" s="1052">
        <f>IF(A28&lt;&gt;0,IF(N28="Reta",IF(F28&lt;'PARAMETROS MC'!B$17,"-",IF(F28&gt;='PARAMETROS MC'!B$17,(BK28*('PARAMETROS MC'!B$19/100)))),IF(N28="Inclinada","-")),"")</f>
        <v>0</v>
      </c>
      <c r="BP28" s="1060">
        <f>IF(A28&lt;&gt;0,IF(N28="Reta",IF(F28&lt;'PARAMETROS MC'!B$17,"-",IF(F28&gt;='PARAMETROS MC'!B$17,(BK28*('PARAMETROS MC'!B$20/100)))),IF(N28="Inclinada","-")),"")</f>
        <v>0</v>
      </c>
      <c r="BQ28" s="1060">
        <f>IF(A28&lt;&gt;0,IF(N28="Reta",IF(F28&lt;'PARAMETROS MC'!B$17,"-",IF(F28&gt;='PARAMETROS MC'!B$17,(BK28*('PARAMETROS MC'!B$21/100)))),IF(N28="Inclinada","-")),"")</f>
        <v>13.944000000000001</v>
      </c>
      <c r="BR28" s="1052"/>
      <c r="BS28" s="1052" t="str">
        <f t="shared" si="26"/>
        <v>-</v>
      </c>
    </row>
    <row r="29" spans="1:71">
      <c r="A29" s="1057">
        <v>19</v>
      </c>
      <c r="B29" s="1049" t="str">
        <f>C28</f>
        <v>LR_Estaca 10</v>
      </c>
      <c r="C29" s="1049" t="s">
        <v>12008</v>
      </c>
      <c r="D29" s="1050">
        <f>E28</f>
        <v>1.62</v>
      </c>
      <c r="E29" s="1050">
        <v>1.67</v>
      </c>
      <c r="F29" s="1051">
        <f t="shared" ref="F29:F43" si="51">IF(A29&lt;&gt;0,AVERAGE(D29:E29),"")</f>
        <v>1.645</v>
      </c>
      <c r="G29" s="1052" t="s">
        <v>12009</v>
      </c>
      <c r="H29" s="1050">
        <v>600</v>
      </c>
      <c r="I29" s="1050">
        <v>80</v>
      </c>
      <c r="J29" s="1059">
        <f>IF(A29&lt;&gt;0,IF(AND(N29="Inclinada",H29&lt;600),(H29/1000+0.6),IF(AND(N29="Inclinada",H29&gt;=600),(H29/1000+0.6),IF(N29="Reta",((H29/1000)+('PARAMETROS MC'!D$11))))),"")</f>
        <v>1.4</v>
      </c>
      <c r="K29" s="1052" t="s">
        <v>11989</v>
      </c>
      <c r="L29" s="1060" t="str">
        <f>IF(A29&lt;&gt;0,IF(K29="",0,IF(K29="Sem Revestimento","-",IF(N29="Inclinada",((R29+(2*'PARAMETROS MC'!D$14))*I29),IF(N29="Reta",((J29+(2*'PARAMETROS MC'!D$14))*I29))))),"")</f>
        <v>-</v>
      </c>
      <c r="M29" s="1060" t="str">
        <f>IF(A29&lt;&gt;0,IF(K29="",0,IF(K29="Sem Revestimento","-",IF(N29="Inclinada",((R29+(2*'PARAMETROS MC'!D$14))*I29),IF(N29="Reta",((J29+(2*'PARAMETROS MC'!D$14))*I29))))),"")</f>
        <v>-</v>
      </c>
      <c r="N29" s="1052" t="str">
        <f t="shared" si="27"/>
        <v>Reta</v>
      </c>
      <c r="O29" s="1061">
        <f t="shared" si="0"/>
        <v>112</v>
      </c>
      <c r="P29" s="1061">
        <f t="shared" si="1"/>
        <v>112</v>
      </c>
      <c r="Q29" s="1053" t="str">
        <f>IF(A29&lt;&gt;0,IF(N29="Inclinada",(F29*(TAN('PARAMETROS MC'!D$9*PI()/180))),IF(N29="Reta","-")),"")</f>
        <v>-</v>
      </c>
      <c r="R29" s="1053" t="str">
        <f t="shared" si="2"/>
        <v>-</v>
      </c>
      <c r="S29" s="1053" t="str">
        <f t="shared" si="3"/>
        <v>-</v>
      </c>
      <c r="T29" s="1053" t="str">
        <f t="shared" si="4"/>
        <v>-</v>
      </c>
      <c r="U29" s="1053" t="str">
        <f t="shared" si="5"/>
        <v>-</v>
      </c>
      <c r="V29" s="1055">
        <f t="shared" si="6"/>
        <v>184.24</v>
      </c>
      <c r="W29" s="1052">
        <f t="shared" si="28"/>
        <v>1.5</v>
      </c>
      <c r="X29" s="1052" t="str">
        <f>IF(A29&lt;&gt;0,IF(N29="Inclinada",((AK29+AR29+AD29+W29)*(TAN('PARAMETROS MC'!D$9*PI()/180))),IF(N29="Reta","-")),"")</f>
        <v>-</v>
      </c>
      <c r="Y29" s="1052" t="str">
        <f t="shared" si="7"/>
        <v>-</v>
      </c>
      <c r="Z29" s="1052" t="str">
        <f t="shared" si="8"/>
        <v>-</v>
      </c>
      <c r="AA29" s="1052" t="str">
        <f t="shared" ref="AA29:AB34" si="52">IF(AF29&lt;&gt;"",AF29,"")</f>
        <v>-</v>
      </c>
      <c r="AB29" s="1052" t="str">
        <f t="shared" si="52"/>
        <v>-</v>
      </c>
      <c r="AC29" s="1055">
        <f t="shared" si="9"/>
        <v>168</v>
      </c>
      <c r="AD29" s="1052">
        <f t="shared" si="31"/>
        <v>0.14500000000000002</v>
      </c>
      <c r="AE29" s="1052" t="str">
        <f>IF(A29&lt;&gt;0,IF(N29="Inclinada",((AK29+AR29+AD29)*(TAN('PARAMETROS MC'!D$9*PI()/180))),IF(N29="Reta","-")),"")</f>
        <v>-</v>
      </c>
      <c r="AF29" s="1052" t="str">
        <f t="shared" si="10"/>
        <v>-</v>
      </c>
      <c r="AG29" s="1052" t="str">
        <f t="shared" si="47"/>
        <v>-</v>
      </c>
      <c r="AH29" s="1052" t="str">
        <f t="shared" ref="AH29:AI34" si="53">IF(AM29&lt;&gt;"",AM29,"")</f>
        <v>-</v>
      </c>
      <c r="AI29" s="1052" t="str">
        <f t="shared" si="53"/>
        <v>-</v>
      </c>
      <c r="AJ29" s="1055">
        <f t="shared" si="11"/>
        <v>16.240000000000002</v>
      </c>
      <c r="AK29" s="1052">
        <f t="shared" si="12"/>
        <v>0</v>
      </c>
      <c r="AL29" s="1052" t="str">
        <f>IF(A29&lt;&gt;0,IF(N29="Inclinada",((AK29+AR29)*(TAN('PARAMETROS MC'!D$9*PI()/180))),IF(N29="Reta","-")),"")</f>
        <v>-</v>
      </c>
      <c r="AM29" s="1059" t="str">
        <f t="shared" si="13"/>
        <v>-</v>
      </c>
      <c r="AN29" s="1052" t="str">
        <f t="shared" si="49"/>
        <v>-</v>
      </c>
      <c r="AO29" s="1052" t="str">
        <f t="shared" ref="AO29:AP34" si="54">IF(AT29&lt;&gt;"",AT29,"")</f>
        <v>-</v>
      </c>
      <c r="AP29" s="1052" t="str">
        <f t="shared" si="54"/>
        <v>-</v>
      </c>
      <c r="AQ29" s="1055">
        <f t="shared" si="14"/>
        <v>0</v>
      </c>
      <c r="AR29" s="1052">
        <f t="shared" si="15"/>
        <v>0</v>
      </c>
      <c r="AS29" s="1052" t="str">
        <f>IF(A29&lt;&gt;0,IF(N29="Inclinada",(AR29*(TAN('PARAMETROS MC'!D$9*PI()/180))),IF(N29="Reta","-")),"")</f>
        <v>-</v>
      </c>
      <c r="AT29" s="1052" t="str">
        <f t="shared" si="16"/>
        <v>-</v>
      </c>
      <c r="AU29" s="1052" t="str">
        <f t="shared" si="17"/>
        <v>-</v>
      </c>
      <c r="AV29" s="1052" t="str">
        <f t="shared" si="18"/>
        <v>-</v>
      </c>
      <c r="AW29" s="1052" t="str">
        <f t="shared" si="19"/>
        <v>-</v>
      </c>
      <c r="AX29" s="1055">
        <f t="shared" si="20"/>
        <v>0</v>
      </c>
      <c r="AY29" s="1055" t="str">
        <f>IF(A29&lt;&gt;0,IF(N29="Reta","-",IF(N29="Inclinada",(((H29/1000)+'PARAMETROS MC'!C$35)*(TAN('PARAMETROS MC'!D$9*PI()/180))))),"")</f>
        <v>-</v>
      </c>
      <c r="AZ29" s="1055" t="str">
        <f t="shared" si="21"/>
        <v>-</v>
      </c>
      <c r="BA29" s="1055" t="str">
        <f t="shared" si="22"/>
        <v>-</v>
      </c>
      <c r="BB29" s="1055" t="str">
        <f t="shared" si="23"/>
        <v>-</v>
      </c>
      <c r="BC29" s="1055" t="str">
        <f t="shared" si="24"/>
        <v>-</v>
      </c>
      <c r="BD29" s="1055">
        <f t="shared" si="25"/>
        <v>22.61946710584651</v>
      </c>
      <c r="BE29" s="1055">
        <f>IF(A29&lt;&gt;0,IF(N29="Inclinada",((((H29/1000+'PARAMETROS MC'!C$35)/6)*(((2*AZ29+BB29)*BA29)+((2*BB29+AZ29)*BC29)))-BD29),IF(N29="Reta",((I29*J29*((H29/1000)+'PARAMETROS MC'!C$35)-BD29)))),"")</f>
        <v>78.180532894153473</v>
      </c>
      <c r="BF29" s="1055">
        <f t="shared" si="35"/>
        <v>83.440000000000026</v>
      </c>
      <c r="BG29" s="1055" t="str">
        <f t="shared" si="36"/>
        <v/>
      </c>
      <c r="BH29" s="1055" t="str">
        <f t="shared" si="37"/>
        <v/>
      </c>
      <c r="BI29" s="1055" t="str">
        <f t="shared" si="38"/>
        <v/>
      </c>
      <c r="BJ29" s="1055">
        <f t="shared" si="39"/>
        <v>83.440000000000026</v>
      </c>
      <c r="BK29" s="1052">
        <f>IF(A29&lt;&gt;0,IF(N29="Reta",IF(F29&lt;'PARAMETROS MC'!B$17,"-",(I29*F29*2)),IF(N29="Inclinada","-")),"")</f>
        <v>263.2</v>
      </c>
      <c r="BL29" s="1055">
        <f>IF(A29&lt;&gt;0,IF(N29="Reta",IF(F29&lt;'PARAMETROS MC'!B$17,"-",IF(F29&gt;='PARAMETROS MC'!B$17,(BK29*('PARAMETROS MC'!B$18/100)))),IF(N29="Inclinada","-")),"")</f>
        <v>255.30399999999997</v>
      </c>
      <c r="BM29" s="1055" t="str">
        <f t="shared" si="40"/>
        <v/>
      </c>
      <c r="BN29" s="1055">
        <f t="shared" si="41"/>
        <v>255.30399999999997</v>
      </c>
      <c r="BO29" s="1052">
        <f>IF(A29&lt;&gt;0,IF(N29="Reta",IF(F29&lt;'PARAMETROS MC'!B$17,"-",IF(F29&gt;='PARAMETROS MC'!B$17,(BK29*('PARAMETROS MC'!B$19/100)))),IF(N29="Inclinada","-")),"")</f>
        <v>0</v>
      </c>
      <c r="BP29" s="1060">
        <f>IF(A29&lt;&gt;0,IF(N29="Reta",IF(F29&lt;'PARAMETROS MC'!B$17,"-",IF(F29&gt;='PARAMETROS MC'!B$17,(BK29*('PARAMETROS MC'!B$20/100)))),IF(N29="Inclinada","-")),"")</f>
        <v>0</v>
      </c>
      <c r="BQ29" s="1060">
        <f>IF(A29&lt;&gt;0,IF(N29="Reta",IF(F29&lt;'PARAMETROS MC'!B$17,"-",IF(F29&gt;='PARAMETROS MC'!B$17,(BK29*('PARAMETROS MC'!B$21/100)))),IF(N29="Inclinada","-")),"")</f>
        <v>7.895999999999999</v>
      </c>
      <c r="BR29" s="1052"/>
      <c r="BS29" s="1052" t="str">
        <f t="shared" si="26"/>
        <v>-</v>
      </c>
    </row>
    <row r="30" spans="1:71" s="1063" customFormat="1" ht="56.25">
      <c r="A30" s="1057">
        <v>20</v>
      </c>
      <c r="B30" s="1062" t="s">
        <v>12362</v>
      </c>
      <c r="C30" s="1062" t="s">
        <v>12362</v>
      </c>
      <c r="D30" s="1052">
        <v>0.8</v>
      </c>
      <c r="E30" s="1052">
        <v>0.8</v>
      </c>
      <c r="F30" s="1060">
        <f t="shared" si="51"/>
        <v>0.8</v>
      </c>
      <c r="G30" s="1052" t="s">
        <v>12363</v>
      </c>
      <c r="H30" s="1052">
        <f>3*25.4</f>
        <v>76.199999999999989</v>
      </c>
      <c r="I30" s="1052">
        <f>71</f>
        <v>71</v>
      </c>
      <c r="J30" s="1059">
        <f>IF(A30&lt;&gt;0,IF(AND(N30="Inclinada",H30&lt;600),(H30/1000+0.6),IF(AND(N30="Inclinada",H30&gt;=600),(H30/1000+0.6),IF(N30="Reta",((H30/1000)+('PARAMETROS MC'!D$11))))),"")</f>
        <v>0.87620000000000009</v>
      </c>
      <c r="K30" s="1052" t="s">
        <v>11989</v>
      </c>
      <c r="L30" s="1060" t="str">
        <f>IF(A30&lt;&gt;0,IF(K30="",0,IF(K30="Sem Revestimento","-",IF(N30="Inclinada",((R30+(2*'PARAMETROS MC'!D$14))*I30),IF(N30="Reta",((J30+(2*'PARAMETROS MC'!D$14))*I30))))),"")</f>
        <v>-</v>
      </c>
      <c r="M30" s="1060" t="str">
        <f>IF(A30&lt;&gt;0,IF(K30="",0,IF(K30="Sem Revestimento","-",IF(N30="Inclinada",((R30+(2*'PARAMETROS MC'!D$14))*I30),IF(N30="Reta",((J30+(2*'PARAMETROS MC'!D$14))*I30))))),"")</f>
        <v>-</v>
      </c>
      <c r="N30" s="1052" t="str">
        <f t="shared" si="27"/>
        <v>Reta</v>
      </c>
      <c r="O30" s="1061">
        <f>IF(A30&lt;&gt;0,IF(N30="Reta",(I30*J30),IF(N30="Inclinada",I30*R30)),"")</f>
        <v>62.210200000000007</v>
      </c>
      <c r="P30" s="1061">
        <f>IF(A30&lt;&gt;0,(J30*I30),"")</f>
        <v>62.210200000000007</v>
      </c>
      <c r="Q30" s="1053" t="str">
        <f>IF(A30&lt;&gt;0,IF(N30="Inclinada",(F30*(TAN('PARAMETROS MC'!D$9*PI()/180))),IF(N30="Reta","-")),"")</f>
        <v>-</v>
      </c>
      <c r="R30" s="1053" t="str">
        <f>IF(A30&lt;&gt;0,IF(N30="Inclinada",((2*Q30)+J30),IF(N30="Reta","-")),"")</f>
        <v>-</v>
      </c>
      <c r="S30" s="1053" t="str">
        <f>IF(A30&lt;&gt;0,IF(N30="Inclinada",I30,IF(N30="Reta","-")),"")</f>
        <v>-</v>
      </c>
      <c r="T30" s="1053" t="str">
        <f>IF(A30&lt;&gt;0,IF(N30="Inclinada",J30,IF(N30="Reta","-")),"")</f>
        <v>-</v>
      </c>
      <c r="U30" s="1053" t="str">
        <f>IF(A30&lt;&gt;0,IF(N30="Inclinada",I30,IF(N30="Reta","-")),"")</f>
        <v>-</v>
      </c>
      <c r="V30" s="1055">
        <f>IF(A30&lt;&gt;0,IF(N30="Inclinada",(F30/6)*((2*R30+T30)*S30+((2*T30+R30)*U30)),IF(N30="Reta",(J30*I30*F30))),"")</f>
        <v>49.768160000000009</v>
      </c>
      <c r="W30" s="1052">
        <f t="shared" si="28"/>
        <v>0.8</v>
      </c>
      <c r="X30" s="1052" t="str">
        <f>IF(A30&lt;&gt;0,IF(N30="Inclinada",((AK30+AR30+AD30+W30)*(TAN('PARAMETROS MC'!D$9*PI()/180))),IF(N30="Reta","-")),"")</f>
        <v>-</v>
      </c>
      <c r="Y30" s="1052" t="str">
        <f>IF(A30&lt;&gt;0,IF(N30="Inclinada",R30,IF(N30="Reta","-")),"")</f>
        <v>-</v>
      </c>
      <c r="Z30" s="1052" t="str">
        <f>IF(A30&lt;&gt;0,IF(N30="Inclinada",S30,IF(N30="Reta","-")),"")</f>
        <v>-</v>
      </c>
      <c r="AA30" s="1052" t="str">
        <f t="shared" si="52"/>
        <v>-</v>
      </c>
      <c r="AB30" s="1052" t="str">
        <f t="shared" si="52"/>
        <v>-</v>
      </c>
      <c r="AC30" s="1055">
        <f>IF(A30&lt;&gt;0,IF(N30="Inclinada",((W30/6)*(((2*Y30+AA30)*Z30)+((2*AA30+Y30)*AB30))),IF(N30="Reta",(J30*I30*W30))),"")</f>
        <v>49.768160000000009</v>
      </c>
      <c r="AD30" s="1052">
        <f t="shared" si="31"/>
        <v>0</v>
      </c>
      <c r="AE30" s="1052" t="str">
        <f>IF(A30&lt;&gt;0,IF(N30="Inclinada",((AK30+AR30+AD30)*(TAN('PARAMETROS MC'!D$9*PI()/180))),IF(N30="Reta","-")),"")</f>
        <v>-</v>
      </c>
      <c r="AF30" s="1052" t="str">
        <f>IF(A30&lt;&gt;0,IF(N30="Inclinada",(2*AE30)+AV30,IF(N30="Reta","-")),"")</f>
        <v>-</v>
      </c>
      <c r="AG30" s="1052" t="str">
        <f t="shared" si="47"/>
        <v>-</v>
      </c>
      <c r="AH30" s="1052" t="str">
        <f t="shared" si="53"/>
        <v>-</v>
      </c>
      <c r="AI30" s="1052" t="str">
        <f t="shared" si="53"/>
        <v>-</v>
      </c>
      <c r="AJ30" s="1055">
        <f>IF(A30&lt;&gt;0,IF(OR(AD30=0,AD30="-"),0,IF(N30="Inclinada",((AD30/6)*(((2*AF30+AH30)*AG30)+((2*AH30+AF30)*AI30))),IF(N30="Reta",(J30*I30*AD30)))),"")</f>
        <v>0</v>
      </c>
      <c r="AK30" s="1052">
        <f>IF(A30&lt;&gt;0,IF(N30="Inclinada",IF(AND(F30&gt;4,F30&lt;=6),(F30-4),IF(F30&lt;=4,0,IF(F30&gt;6,2))),IF(N30="Reta",IF(AND(F30&gt;4,F30&lt;=6),(F30-4),IF(F30&lt;=4,0,IF(F30&gt;6,2))))),"")</f>
        <v>0</v>
      </c>
      <c r="AL30" s="1052" t="str">
        <f>IF(A30&lt;&gt;0,IF(N30="Inclinada",((AK30+AR30)*(TAN('PARAMETROS MC'!D$9*PI()/180))),IF(N30="Reta","-")),"")</f>
        <v>-</v>
      </c>
      <c r="AM30" s="1059" t="str">
        <f>IF(A30&lt;&gt;0,IF(N30="Inclinada",(2*AL30)+AV30,IF(N30="Reta","-")),"")</f>
        <v>-</v>
      </c>
      <c r="AN30" s="1052" t="str">
        <f t="shared" si="49"/>
        <v>-</v>
      </c>
      <c r="AO30" s="1052" t="str">
        <f t="shared" si="54"/>
        <v>-</v>
      </c>
      <c r="AP30" s="1052" t="str">
        <f t="shared" si="54"/>
        <v>-</v>
      </c>
      <c r="AQ30" s="1055">
        <f>IF(A30&lt;&gt;0,IF(OR(AK30=0,AK30="-"),0,IF(N30="Inclinada",((AK30/6)*(((2*AM30+AO30)*AN30)+((2*AO30+AM30)*AP30))),IF(N30="Reta",(J30*I30*AK30)))),"")</f>
        <v>0</v>
      </c>
      <c r="AR30" s="1052">
        <f>IF(A30&lt;&gt;0,IF(N30="Inclinada",IF(F30&lt;=6,0,(F30-6)),IF(N30="Reta",IF(F30&lt;=6,0,(F30-6)))),"")</f>
        <v>0</v>
      </c>
      <c r="AS30" s="1052" t="str">
        <f>IF(A30&lt;&gt;0,IF(N30="Inclinada",(AR30*(TAN('PARAMETROS MC'!D$9*PI()/180))),IF(N30="Reta","-")),"")</f>
        <v>-</v>
      </c>
      <c r="AT30" s="1052" t="str">
        <f>IF(A30&lt;&gt;0,IF(N30="Inclinada",(2*AS30)+AV30,IF(N30="Reta","-")),"")</f>
        <v>-</v>
      </c>
      <c r="AU30" s="1052" t="str">
        <f>IF(A30&lt;&gt;0,IF(N30="Inclinada",I30,IF(N30="Reta","-")),"")</f>
        <v>-</v>
      </c>
      <c r="AV30" s="1052" t="str">
        <f>IF(A30&lt;&gt;0,IF(N30="Inclinada",J30,IF(N30="Reta","-")),"")</f>
        <v>-</v>
      </c>
      <c r="AW30" s="1052" t="str">
        <f>IF(A30&lt;&gt;0,IF(N30="Inclinada",I30,IF(N30="Reta","-")),"")</f>
        <v>-</v>
      </c>
      <c r="AX30" s="1055">
        <f>IF(A30&lt;&gt;0,IF(OR(AR30=0,AR30="-"),0,IF(N30="Inclinada",(((AR30/6)*(((2*AT30+AV30)*AU30)+((2*AV30+AT30)*AW30)))),IF(N30="Reta",((J30*I30*AR30))))),"")</f>
        <v>0</v>
      </c>
      <c r="AY30" s="1055" t="str">
        <f>IF(A30&lt;&gt;0,IF(N30="Reta","-",IF(N30="Inclinada",(((H30/1000)+'PARAMETROS MC'!C$35)*(TAN('PARAMETROS MC'!D$9*PI()/180))))),"")</f>
        <v>-</v>
      </c>
      <c r="AZ30" s="1055" t="str">
        <f>IF(A30&lt;&gt;0,IF(N30="Reta","-",IF(N30="Inclinada",(AY30*2+J30))),"")</f>
        <v>-</v>
      </c>
      <c r="BA30" s="1055" t="str">
        <f>IF(A30&lt;&gt;0,IF(N30="Reta","-",IF(N30="Inclinada",S30)),"")</f>
        <v>-</v>
      </c>
      <c r="BB30" s="1055" t="str">
        <f>IF(A30&lt;&gt;0,IF(N30="Reta","-",IF(N30="Inclinada",T30)),"")</f>
        <v>-</v>
      </c>
      <c r="BC30" s="1055" t="str">
        <f>IF(A30&lt;&gt;0,IF(N30="Reta","-",IF(N30="Inclinada",U30)),"")</f>
        <v>-</v>
      </c>
      <c r="BD30" s="1055">
        <f t="shared" si="25"/>
        <v>0.32378607914330099</v>
      </c>
      <c r="BE30" s="1055">
        <f>IF(A30&lt;&gt;0,IF(N30="Inclinada",((((H30/1000+'PARAMETROS MC'!C$35)/6)*(((2*AZ30+BB30)*BA30)+((2*BB30+AZ30)*BC30)))-BD30),IF(N30="Reta",((I30*J30*((H30/1000)+'PARAMETROS MC'!C$35)-BD30)))),"")</f>
        <v>23.079691160856701</v>
      </c>
      <c r="BF30" s="1055">
        <f t="shared" si="35"/>
        <v>26.364682760000008</v>
      </c>
      <c r="BG30" s="1055" t="str">
        <f t="shared" si="36"/>
        <v/>
      </c>
      <c r="BH30" s="1055" t="str">
        <f t="shared" si="37"/>
        <v/>
      </c>
      <c r="BI30" s="1055">
        <f t="shared" si="38"/>
        <v>26.364682760000008</v>
      </c>
      <c r="BJ30" s="1055" t="str">
        <f t="shared" si="39"/>
        <v/>
      </c>
      <c r="BK30" s="1052" t="str">
        <f>IF(A30&lt;&gt;0,IF(N30="Reta",IF(F30&lt;'PARAMETROS MC'!B$17,"-",(I30*F30*2)),IF(N30="Inclinada","-")),"")</f>
        <v>-</v>
      </c>
      <c r="BL30" s="1055" t="str">
        <f>IF(A30&lt;&gt;0,IF(N30="Reta",IF(F30&lt;'PARAMETROS MC'!B$17,"-",IF(F30&gt;='PARAMETROS MC'!B$17,(BK30*('PARAMETROS MC'!B$18/100)))),IF(N30="Inclinada","-")),"")</f>
        <v>-</v>
      </c>
      <c r="BM30" s="1055" t="str">
        <f t="shared" si="40"/>
        <v>-</v>
      </c>
      <c r="BN30" s="1055" t="str">
        <f t="shared" si="41"/>
        <v/>
      </c>
      <c r="BO30" s="1052" t="str">
        <f>IF(A30&lt;&gt;0,IF(N30="Reta",IF(F30&lt;'PARAMETROS MC'!B$17,"-",IF(F30&gt;='PARAMETROS MC'!B$17,(BK30*('PARAMETROS MC'!B$19/100)))),IF(N30="Inclinada","-")),"")</f>
        <v>-</v>
      </c>
      <c r="BP30" s="1060" t="str">
        <f>IF(A30&lt;&gt;0,IF(N30="Reta",IF(F30&lt;'PARAMETROS MC'!B$17,"-",IF(F30&gt;='PARAMETROS MC'!B$17,(BK30*('PARAMETROS MC'!B$20/100)))),IF(N30="Inclinada","-")),"")</f>
        <v>-</v>
      </c>
      <c r="BQ30" s="1060" t="str">
        <f>IF(A30&lt;&gt;0,IF(N30="Reta",IF(F30&lt;'PARAMETROS MC'!B$17,"-",IF(F30&gt;='PARAMETROS MC'!B$17,(BK30*('PARAMETROS MC'!B$21/100)))),IF(N30="Inclinada","-")),"")</f>
        <v>-</v>
      </c>
      <c r="BR30" s="1052"/>
      <c r="BS30" s="1052" t="str">
        <f t="shared" si="26"/>
        <v>-</v>
      </c>
    </row>
    <row r="31" spans="1:71" ht="67.5">
      <c r="A31" s="1057">
        <v>21</v>
      </c>
      <c r="B31" s="1062" t="s">
        <v>12364</v>
      </c>
      <c r="C31" s="1062" t="s">
        <v>12364</v>
      </c>
      <c r="D31" s="1052">
        <v>0.8</v>
      </c>
      <c r="E31" s="1052">
        <v>0.8</v>
      </c>
      <c r="F31" s="1060">
        <f t="shared" si="51"/>
        <v>0.8</v>
      </c>
      <c r="G31" s="1052" t="s">
        <v>12363</v>
      </c>
      <c r="H31" s="1052">
        <f>2.5*25.4</f>
        <v>63.5</v>
      </c>
      <c r="I31" s="1052">
        <v>71</v>
      </c>
      <c r="J31" s="1059">
        <f>IF(A31&lt;&gt;0,IF(AND(N31="Inclinada",H31&lt;600),(H31/1000+0.6),IF(AND(N31="Inclinada",H31&gt;=600),(H31/1000+0.6),IF(N31="Reta",((H31/1000)+('PARAMETROS MC'!D$11))))),"")</f>
        <v>0.86350000000000005</v>
      </c>
      <c r="K31" s="1052" t="s">
        <v>11989</v>
      </c>
      <c r="L31" s="1060" t="str">
        <f>IF(A31&lt;&gt;0,IF(K31="",0,IF(K31="Sem Revestimento","-",IF(N31="Inclinada",((R31+(2*'PARAMETROS MC'!D$14))*I31),IF(N31="Reta",((J31+(2*'PARAMETROS MC'!D$14))*I31))))),"")</f>
        <v>-</v>
      </c>
      <c r="M31" s="1060" t="str">
        <f>IF(A31&lt;&gt;0,IF(K31="",0,IF(K31="Sem Revestimento","-",IF(N31="Inclinada",((R31+(2*'PARAMETROS MC'!D$14))*I31),IF(N31="Reta",((J31+(2*'PARAMETROS MC'!D$14))*I31))))),"")</f>
        <v>-</v>
      </c>
      <c r="N31" s="1052" t="str">
        <f t="shared" si="27"/>
        <v>Reta</v>
      </c>
      <c r="O31" s="1061">
        <f>IF(A31&lt;&gt;0,IF(N31="Reta",(I31*J31),IF(N31="Inclinada",I31*R31)),"")</f>
        <v>61.308500000000002</v>
      </c>
      <c r="P31" s="1061">
        <f>IF(A31&lt;&gt;0,(J31*I31),"")</f>
        <v>61.308500000000002</v>
      </c>
      <c r="Q31" s="1053" t="str">
        <f>IF(A31&lt;&gt;0,IF(N31="Inclinada",(F31*(TAN('PARAMETROS MC'!D$9*PI()/180))),IF(N31="Reta","-")),"")</f>
        <v>-</v>
      </c>
      <c r="R31" s="1053" t="str">
        <f>IF(A31&lt;&gt;0,IF(N31="Inclinada",((2*Q31)+J31),IF(N31="Reta","-")),"")</f>
        <v>-</v>
      </c>
      <c r="S31" s="1053" t="str">
        <f>IF(A31&lt;&gt;0,IF(N31="Inclinada",I31,IF(N31="Reta","-")),"")</f>
        <v>-</v>
      </c>
      <c r="T31" s="1053" t="str">
        <f>IF(A31&lt;&gt;0,IF(N31="Inclinada",J31,IF(N31="Reta","-")),"")</f>
        <v>-</v>
      </c>
      <c r="U31" s="1053" t="str">
        <f>IF(A31&lt;&gt;0,IF(N31="Inclinada",I31,IF(N31="Reta","-")),"")</f>
        <v>-</v>
      </c>
      <c r="V31" s="1055">
        <f>IF(A31&lt;&gt;0,IF(N31="Inclinada",(F31/6)*((2*R31+T31)*S31+((2*T31+R31)*U31)),IF(N31="Reta",(J31*I31*F31))),"")</f>
        <v>49.046800000000005</v>
      </c>
      <c r="W31" s="1052">
        <f t="shared" si="28"/>
        <v>0.8</v>
      </c>
      <c r="X31" s="1052" t="str">
        <f>IF(A31&lt;&gt;0,IF(N31="Inclinada",((AK31+AR31+AD31+W31)*(TAN('PARAMETROS MC'!D$9*PI()/180))),IF(N31="Reta","-")),"")</f>
        <v>-</v>
      </c>
      <c r="Y31" s="1052" t="str">
        <f>IF(A31&lt;&gt;0,IF(N31="Inclinada",R31,IF(N31="Reta","-")),"")</f>
        <v>-</v>
      </c>
      <c r="Z31" s="1052" t="str">
        <f>IF(A31&lt;&gt;0,IF(N31="Inclinada",S31,IF(N31="Reta","-")),"")</f>
        <v>-</v>
      </c>
      <c r="AA31" s="1052" t="str">
        <f t="shared" si="52"/>
        <v>-</v>
      </c>
      <c r="AB31" s="1052" t="str">
        <f t="shared" si="52"/>
        <v>-</v>
      </c>
      <c r="AC31" s="1055">
        <f>IF(A31&lt;&gt;0,IF(N31="Inclinada",((W31/6)*(((2*Y31+AA31)*Z31)+((2*AA31+Y31)*AB31))),IF(N31="Reta",(J31*I31*W31))),"")</f>
        <v>49.046800000000005</v>
      </c>
      <c r="AD31" s="1052">
        <f t="shared" si="31"/>
        <v>0</v>
      </c>
      <c r="AE31" s="1052" t="str">
        <f>IF(A31&lt;&gt;0,IF(N31="Inclinada",((AK31+AR31+AD31)*(TAN('PARAMETROS MC'!D$9*PI()/180))),IF(N31="Reta","-")),"")</f>
        <v>-</v>
      </c>
      <c r="AF31" s="1052" t="str">
        <f>IF(A31&lt;&gt;0,IF(N31="Inclinada",(2*AE31)+AV31,IF(N31="Reta","-")),"")</f>
        <v>-</v>
      </c>
      <c r="AG31" s="1052" t="str">
        <f t="shared" si="47"/>
        <v>-</v>
      </c>
      <c r="AH31" s="1052" t="str">
        <f t="shared" si="53"/>
        <v>-</v>
      </c>
      <c r="AI31" s="1052" t="str">
        <f t="shared" si="53"/>
        <v>-</v>
      </c>
      <c r="AJ31" s="1055">
        <f>IF(A31&lt;&gt;0,IF(OR(AD31=0,AD31="-"),0,IF(N31="Inclinada",((AD31/6)*(((2*AF31+AH31)*AG31)+((2*AH31+AF31)*AI31))),IF(N31="Reta",(J31*I31*AD31)))),"")</f>
        <v>0</v>
      </c>
      <c r="AK31" s="1052">
        <f>IF(A31&lt;&gt;0,IF(N31="Inclinada",IF(AND(F31&gt;4,F31&lt;=6),(F31-4),IF(F31&lt;=4,0,IF(F31&gt;6,2))),IF(N31="Reta",IF(AND(F31&gt;4,F31&lt;=6),(F31-4),IF(F31&lt;=4,0,IF(F31&gt;6,2))))),"")</f>
        <v>0</v>
      </c>
      <c r="AL31" s="1052" t="str">
        <f>IF(A31&lt;&gt;0,IF(N31="Inclinada",((AK31+AR31)*(TAN('PARAMETROS MC'!D$9*PI()/180))),IF(N31="Reta","-")),"")</f>
        <v>-</v>
      </c>
      <c r="AM31" s="1059" t="str">
        <f>IF(A31&lt;&gt;0,IF(N31="Inclinada",(2*AL31)+AV31,IF(N31="Reta","-")),"")</f>
        <v>-</v>
      </c>
      <c r="AN31" s="1052" t="str">
        <f t="shared" si="49"/>
        <v>-</v>
      </c>
      <c r="AO31" s="1052" t="str">
        <f t="shared" si="54"/>
        <v>-</v>
      </c>
      <c r="AP31" s="1052" t="str">
        <f t="shared" si="54"/>
        <v>-</v>
      </c>
      <c r="AQ31" s="1055">
        <f>IF(A31&lt;&gt;0,IF(OR(AK31=0,AK31="-"),0,IF(N31="Inclinada",((AK31/6)*(((2*AM31+AO31)*AN31)+((2*AO31+AM31)*AP31))),IF(N31="Reta",(J31*I31*AK31)))),"")</f>
        <v>0</v>
      </c>
      <c r="AR31" s="1052">
        <f>IF(A31&lt;&gt;0,IF(N31="Inclinada",IF(F31&lt;=6,0,(F31-6)),IF(N31="Reta",IF(F31&lt;=6,0,(F31-6)))),"")</f>
        <v>0</v>
      </c>
      <c r="AS31" s="1052" t="str">
        <f>IF(A31&lt;&gt;0,IF(N31="Inclinada",(AR31*(TAN('PARAMETROS MC'!D$9*PI()/180))),IF(N31="Reta","-")),"")</f>
        <v>-</v>
      </c>
      <c r="AT31" s="1052" t="str">
        <f>IF(A31&lt;&gt;0,IF(N31="Inclinada",(2*AS31)+AV31,IF(N31="Reta","-")),"")</f>
        <v>-</v>
      </c>
      <c r="AU31" s="1052" t="str">
        <f>IF(A31&lt;&gt;0,IF(N31="Inclinada",I31,IF(N31="Reta","-")),"")</f>
        <v>-</v>
      </c>
      <c r="AV31" s="1052" t="str">
        <f>IF(A31&lt;&gt;0,IF(N31="Inclinada",J31,IF(N31="Reta","-")),"")</f>
        <v>-</v>
      </c>
      <c r="AW31" s="1052" t="str">
        <f>IF(A31&lt;&gt;0,IF(N31="Inclinada",I31,IF(N31="Reta","-")),"")</f>
        <v>-</v>
      </c>
      <c r="AX31" s="1055">
        <f>IF(A31&lt;&gt;0,IF(OR(AR31=0,AR31="-"),0,IF(N31="Inclinada",(((AR31/6)*(((2*AT31+AV31)*AU31)+((2*AV31+AT31)*AW31)))),IF(N31="Reta",((J31*I31*AR31))))),"")</f>
        <v>0</v>
      </c>
      <c r="AY31" s="1055" t="str">
        <f>IF(A31&lt;&gt;0,IF(N31="Reta","-",IF(N31="Inclinada",(((H31/1000)+'PARAMETROS MC'!C$35)*(TAN('PARAMETROS MC'!D$9*PI()/180))))),"")</f>
        <v>-</v>
      </c>
      <c r="AZ31" s="1055" t="str">
        <f>IF(A31&lt;&gt;0,IF(N31="Reta","-",IF(N31="Inclinada",(AY31*2+J31))),"")</f>
        <v>-</v>
      </c>
      <c r="BA31" s="1055" t="str">
        <f>IF(A31&lt;&gt;0,IF(N31="Reta","-",IF(N31="Inclinada",S31)),"")</f>
        <v>-</v>
      </c>
      <c r="BB31" s="1055" t="str">
        <f>IF(A31&lt;&gt;0,IF(N31="Reta","-",IF(N31="Inclinada",T31)),"")</f>
        <v>-</v>
      </c>
      <c r="BC31" s="1055" t="str">
        <f>IF(A31&lt;&gt;0,IF(N31="Reta","-",IF(N31="Inclinada",U31)),"")</f>
        <v>-</v>
      </c>
      <c r="BD31" s="1055">
        <f t="shared" si="25"/>
        <v>0.22485144384951464</v>
      </c>
      <c r="BE31" s="1055">
        <f>IF(A31&lt;&gt;0,IF(N31="Inclinada",((((H31/1000+'PARAMETROS MC'!C$35)/6)*(((2*AZ31+BB31)*BA31)+((2*BB31+AZ31)*BC31)))-BD31),IF(N31="Reta",((I31*J31*((H31/1000)+'PARAMETROS MC'!C$35)-BD31)))),"")</f>
        <v>22.060788306150485</v>
      </c>
      <c r="BF31" s="1055">
        <f t="shared" si="35"/>
        <v>26.761160250000003</v>
      </c>
      <c r="BG31" s="1055" t="str">
        <f t="shared" si="36"/>
        <v/>
      </c>
      <c r="BH31" s="1055" t="str">
        <f t="shared" si="37"/>
        <v/>
      </c>
      <c r="BI31" s="1055">
        <f t="shared" si="38"/>
        <v>26.761160250000003</v>
      </c>
      <c r="BJ31" s="1055" t="str">
        <f t="shared" si="39"/>
        <v/>
      </c>
      <c r="BK31" s="1052" t="str">
        <f>IF(A31&lt;&gt;0,IF(N31="Reta",IF(F31&lt;'PARAMETROS MC'!B$17,"-",(I31*F31*2)),IF(N31="Inclinada","-")),"")</f>
        <v>-</v>
      </c>
      <c r="BL31" s="1055" t="str">
        <f>IF(A31&lt;&gt;0,IF(N31="Reta",IF(F31&lt;'PARAMETROS MC'!B$17,"-",IF(F31&gt;='PARAMETROS MC'!B$17,(BK31*('PARAMETROS MC'!B$18/100)))),IF(N31="Inclinada","-")),"")</f>
        <v>-</v>
      </c>
      <c r="BM31" s="1055" t="str">
        <f t="shared" si="40"/>
        <v>-</v>
      </c>
      <c r="BN31" s="1055" t="str">
        <f t="shared" si="41"/>
        <v/>
      </c>
      <c r="BO31" s="1052" t="str">
        <f>IF(A31&lt;&gt;0,IF(N31="Reta",IF(F31&lt;'PARAMETROS MC'!B$17,"-",IF(F31&gt;='PARAMETROS MC'!B$17,(BK31*('PARAMETROS MC'!B$19/100)))),IF(N31="Inclinada","-")),"")</f>
        <v>-</v>
      </c>
      <c r="BP31" s="1060" t="str">
        <f>IF(A31&lt;&gt;0,IF(N31="Reta",IF(F31&lt;'PARAMETROS MC'!B$17,"-",IF(F31&gt;='PARAMETROS MC'!B$17,(BK31*('PARAMETROS MC'!B$20/100)))),IF(N31="Inclinada","-")),"")</f>
        <v>-</v>
      </c>
      <c r="BQ31" s="1060" t="str">
        <f>IF(A31&lt;&gt;0,IF(N31="Reta",IF(F31&lt;'PARAMETROS MC'!B$17,"-",IF(F31&gt;='PARAMETROS MC'!B$17,(BK31*('PARAMETROS MC'!B$21/100)))),IF(N31="Inclinada","-")),"")</f>
        <v>-</v>
      </c>
      <c r="BR31" s="1052"/>
      <c r="BS31" s="1052" t="str">
        <f t="shared" si="26"/>
        <v>-</v>
      </c>
    </row>
    <row r="32" spans="1:71" s="1063" customFormat="1" ht="45">
      <c r="A32" s="1057">
        <v>22</v>
      </c>
      <c r="B32" s="1062" t="s">
        <v>12365</v>
      </c>
      <c r="C32" s="1062" t="s">
        <v>12365</v>
      </c>
      <c r="D32" s="1052">
        <v>0.8</v>
      </c>
      <c r="E32" s="1052">
        <v>0.8</v>
      </c>
      <c r="F32" s="1060">
        <f t="shared" si="51"/>
        <v>0.8</v>
      </c>
      <c r="G32" s="1052" t="s">
        <v>12363</v>
      </c>
      <c r="H32" s="1052">
        <f>3*25.4</f>
        <v>76.199999999999989</v>
      </c>
      <c r="I32" s="1052">
        <f>13</f>
        <v>13</v>
      </c>
      <c r="J32" s="1059">
        <f>IF(A32&lt;&gt;0,IF(AND(N32="Inclinada",H32&lt;600),(H32/1000+0.6),IF(AND(N32="Inclinada",H32&gt;=600),(H32/1000+0.6),IF(N32="Reta",((H32/1000)+('PARAMETROS MC'!D$11))))),"")</f>
        <v>0.87620000000000009</v>
      </c>
      <c r="K32" s="1052" t="s">
        <v>11989</v>
      </c>
      <c r="L32" s="1060" t="str">
        <f>IF(A32&lt;&gt;0,IF(K32="",0,IF(K32="Sem Revestimento","-",IF(N32="Inclinada",((R32+(2*'PARAMETROS MC'!D$14))*I32),IF(N32="Reta",((J32+(2*'PARAMETROS MC'!D$14))*I32))))),"")</f>
        <v>-</v>
      </c>
      <c r="M32" s="1060" t="str">
        <f>IF(A32&lt;&gt;0,IF(K32="",0,IF(K32="Sem Revestimento","-",IF(N32="Inclinada",((R32+(2*'PARAMETROS MC'!D$14))*I32),IF(N32="Reta",((J32+(2*'PARAMETROS MC'!D$14))*I32))))),"")</f>
        <v>-</v>
      </c>
      <c r="N32" s="1052" t="str">
        <f t="shared" si="27"/>
        <v>Reta</v>
      </c>
      <c r="O32" s="1061">
        <f>IF(A32&lt;&gt;0,IF(N32="Reta",(I32*J32),IF(N32="Inclinada",I32*R32)),"")</f>
        <v>11.390600000000001</v>
      </c>
      <c r="P32" s="1061">
        <f>IF(A32&lt;&gt;0,(J32*I32),"")</f>
        <v>11.390600000000001</v>
      </c>
      <c r="Q32" s="1053" t="str">
        <f>IF(A32&lt;&gt;0,IF(N32="Inclinada",(F32*(TAN('PARAMETROS MC'!D$9*PI()/180))),IF(N32="Reta","-")),"")</f>
        <v>-</v>
      </c>
      <c r="R32" s="1053" t="str">
        <f>IF(A32&lt;&gt;0,IF(N32="Inclinada",((2*Q32)+J32),IF(N32="Reta","-")),"")</f>
        <v>-</v>
      </c>
      <c r="S32" s="1053" t="str">
        <f>IF(A32&lt;&gt;0,IF(N32="Inclinada",I32,IF(N32="Reta","-")),"")</f>
        <v>-</v>
      </c>
      <c r="T32" s="1053" t="str">
        <f>IF(A32&lt;&gt;0,IF(N32="Inclinada",J32,IF(N32="Reta","-")),"")</f>
        <v>-</v>
      </c>
      <c r="U32" s="1053" t="str">
        <f>IF(A32&lt;&gt;0,IF(N32="Inclinada",I32,IF(N32="Reta","-")),"")</f>
        <v>-</v>
      </c>
      <c r="V32" s="1055">
        <f>IF(A32&lt;&gt;0,IF(N32="Inclinada",(F32/6)*((2*R32+T32)*S32+((2*T32+R32)*U32)),IF(N32="Reta",(J32*I32*F32))),"")</f>
        <v>9.1124800000000015</v>
      </c>
      <c r="W32" s="1052">
        <f t="shared" si="28"/>
        <v>0.8</v>
      </c>
      <c r="X32" s="1052" t="str">
        <f>IF(A32&lt;&gt;0,IF(N32="Inclinada",((AK32+AR32+AD32+W32)*(TAN('PARAMETROS MC'!D$9*PI()/180))),IF(N32="Reta","-")),"")</f>
        <v>-</v>
      </c>
      <c r="Y32" s="1052" t="str">
        <f>IF(A32&lt;&gt;0,IF(N32="Inclinada",R32,IF(N32="Reta","-")),"")</f>
        <v>-</v>
      </c>
      <c r="Z32" s="1052" t="str">
        <f>IF(A32&lt;&gt;0,IF(N32="Inclinada",S32,IF(N32="Reta","-")),"")</f>
        <v>-</v>
      </c>
      <c r="AA32" s="1052" t="str">
        <f t="shared" si="52"/>
        <v>-</v>
      </c>
      <c r="AB32" s="1052" t="str">
        <f t="shared" si="52"/>
        <v>-</v>
      </c>
      <c r="AC32" s="1055">
        <f>IF(A32&lt;&gt;0,IF(N32="Inclinada",((W32/6)*(((2*Y32+AA32)*Z32)+((2*AA32+Y32)*AB32))),IF(N32="Reta",(J32*I32*W32))),"")</f>
        <v>9.1124800000000015</v>
      </c>
      <c r="AD32" s="1052">
        <f t="shared" si="31"/>
        <v>0</v>
      </c>
      <c r="AE32" s="1052" t="str">
        <f>IF(A32&lt;&gt;0,IF(N32="Inclinada",((AK32+AR32+AD32)*(TAN('PARAMETROS MC'!D$9*PI()/180))),IF(N32="Reta","-")),"")</f>
        <v>-</v>
      </c>
      <c r="AF32" s="1052" t="str">
        <f>IF(A32&lt;&gt;0,IF(N32="Inclinada",(2*AE32)+AV32,IF(N32="Reta","-")),"")</f>
        <v>-</v>
      </c>
      <c r="AG32" s="1052" t="str">
        <f t="shared" si="47"/>
        <v>-</v>
      </c>
      <c r="AH32" s="1052" t="str">
        <f t="shared" si="53"/>
        <v>-</v>
      </c>
      <c r="AI32" s="1052" t="str">
        <f t="shared" si="53"/>
        <v>-</v>
      </c>
      <c r="AJ32" s="1055">
        <f>IF(A32&lt;&gt;0,IF(OR(AD32=0,AD32="-"),0,IF(N32="Inclinada",((AD32/6)*(((2*AF32+AH32)*AG32)+((2*AH32+AF32)*AI32))),IF(N32="Reta",(J32*I32*AD32)))),"")</f>
        <v>0</v>
      </c>
      <c r="AK32" s="1052">
        <f>IF(A32&lt;&gt;0,IF(N32="Inclinada",IF(AND(F32&gt;4,F32&lt;=6),(F32-4),IF(F32&lt;=4,0,IF(F32&gt;6,2))),IF(N32="Reta",IF(AND(F32&gt;4,F32&lt;=6),(F32-4),IF(F32&lt;=4,0,IF(F32&gt;6,2))))),"")</f>
        <v>0</v>
      </c>
      <c r="AL32" s="1052" t="str">
        <f>IF(A32&lt;&gt;0,IF(N32="Inclinada",((AK32+AR32)*(TAN('PARAMETROS MC'!D$9*PI()/180))),IF(N32="Reta","-")),"")</f>
        <v>-</v>
      </c>
      <c r="AM32" s="1059" t="str">
        <f>IF(A32&lt;&gt;0,IF(N32="Inclinada",(2*AL32)+AV32,IF(N32="Reta","-")),"")</f>
        <v>-</v>
      </c>
      <c r="AN32" s="1052" t="str">
        <f t="shared" si="49"/>
        <v>-</v>
      </c>
      <c r="AO32" s="1052" t="str">
        <f t="shared" si="54"/>
        <v>-</v>
      </c>
      <c r="AP32" s="1052" t="str">
        <f t="shared" si="54"/>
        <v>-</v>
      </c>
      <c r="AQ32" s="1055">
        <f>IF(A32&lt;&gt;0,IF(OR(AK32=0,AK32="-"),0,IF(N32="Inclinada",((AK32/6)*(((2*AM32+AO32)*AN32)+((2*AO32+AM32)*AP32))),IF(N32="Reta",(J32*I32*AK32)))),"")</f>
        <v>0</v>
      </c>
      <c r="AR32" s="1052">
        <f>IF(A32&lt;&gt;0,IF(N32="Inclinada",IF(F32&lt;=6,0,(F32-6)),IF(N32="Reta",IF(F32&lt;=6,0,(F32-6)))),"")</f>
        <v>0</v>
      </c>
      <c r="AS32" s="1052" t="str">
        <f>IF(A32&lt;&gt;0,IF(N32="Inclinada",(AR32*(TAN('PARAMETROS MC'!D$9*PI()/180))),IF(N32="Reta","-")),"")</f>
        <v>-</v>
      </c>
      <c r="AT32" s="1052" t="str">
        <f>IF(A32&lt;&gt;0,IF(N32="Inclinada",(2*AS32)+AV32,IF(N32="Reta","-")),"")</f>
        <v>-</v>
      </c>
      <c r="AU32" s="1052" t="str">
        <f>IF(A32&lt;&gt;0,IF(N32="Inclinada",I32,IF(N32="Reta","-")),"")</f>
        <v>-</v>
      </c>
      <c r="AV32" s="1052" t="str">
        <f>IF(A32&lt;&gt;0,IF(N32="Inclinada",J32,IF(N32="Reta","-")),"")</f>
        <v>-</v>
      </c>
      <c r="AW32" s="1052" t="str">
        <f>IF(A32&lt;&gt;0,IF(N32="Inclinada",I32,IF(N32="Reta","-")),"")</f>
        <v>-</v>
      </c>
      <c r="AX32" s="1055">
        <f>IF(A32&lt;&gt;0,IF(OR(AR32=0,AR32="-"),0,IF(N32="Inclinada",(((AR32/6)*(((2*AT32+AV32)*AU32)+((2*AV32+AT32)*AW32)))),IF(N32="Reta",((J32*I32*AR32))))),"")</f>
        <v>0</v>
      </c>
      <c r="AY32" s="1055" t="str">
        <f>IF(A32&lt;&gt;0,IF(N32="Reta","-",IF(N32="Inclinada",(((H32/1000)+'PARAMETROS MC'!C$35)*(TAN('PARAMETROS MC'!D$9*PI()/180))))),"")</f>
        <v>-</v>
      </c>
      <c r="AZ32" s="1055" t="str">
        <f>IF(A32&lt;&gt;0,IF(N32="Reta","-",IF(N32="Inclinada",(AY32*2+J32))),"")</f>
        <v>-</v>
      </c>
      <c r="BA32" s="1055" t="str">
        <f>IF(A32&lt;&gt;0,IF(N32="Reta","-",IF(N32="Inclinada",S32)),"")</f>
        <v>-</v>
      </c>
      <c r="BB32" s="1055" t="str">
        <f>IF(A32&lt;&gt;0,IF(N32="Reta","-",IF(N32="Inclinada",T32)),"")</f>
        <v>-</v>
      </c>
      <c r="BC32" s="1055" t="str">
        <f>IF(A32&lt;&gt;0,IF(N32="Reta","-",IF(N32="Inclinada",U32)),"")</f>
        <v>-</v>
      </c>
      <c r="BD32" s="1055">
        <f t="shared" si="25"/>
        <v>5.9284775054407227E-2</v>
      </c>
      <c r="BE32" s="1055">
        <f>IF(A32&lt;&gt;0,IF(N32="Inclinada",((((H32/1000+'PARAMETROS MC'!C$35)/6)*(((2*AZ32+BB32)*BA32)+((2*BB32+AZ32)*BC32)))-BD32),IF(N32="Reta",((I32*J32*((H32/1000)+'PARAMETROS MC'!C$35)-BD32)))),"")</f>
        <v>4.2258589449455926</v>
      </c>
      <c r="BF32" s="1055">
        <f t="shared" si="35"/>
        <v>4.8273362800000017</v>
      </c>
      <c r="BG32" s="1055" t="str">
        <f t="shared" si="36"/>
        <v/>
      </c>
      <c r="BH32" s="1055" t="str">
        <f t="shared" si="37"/>
        <v/>
      </c>
      <c r="BI32" s="1055">
        <f t="shared" si="38"/>
        <v>4.8273362800000017</v>
      </c>
      <c r="BJ32" s="1055" t="str">
        <f t="shared" si="39"/>
        <v/>
      </c>
      <c r="BK32" s="1052" t="str">
        <f>IF(A32&lt;&gt;0,IF(N32="Reta",IF(F32&lt;'PARAMETROS MC'!B$17,"-",(I32*F32*2)),IF(N32="Inclinada","-")),"")</f>
        <v>-</v>
      </c>
      <c r="BL32" s="1055" t="str">
        <f>IF(A32&lt;&gt;0,IF(N32="Reta",IF(F32&lt;'PARAMETROS MC'!B$17,"-",IF(F32&gt;='PARAMETROS MC'!B$17,(BK32*('PARAMETROS MC'!B$18/100)))),IF(N32="Inclinada","-")),"")</f>
        <v>-</v>
      </c>
      <c r="BM32" s="1055" t="str">
        <f t="shared" si="40"/>
        <v>-</v>
      </c>
      <c r="BN32" s="1055" t="str">
        <f t="shared" si="41"/>
        <v/>
      </c>
      <c r="BO32" s="1052" t="str">
        <f>IF(A32&lt;&gt;0,IF(N32="Reta",IF(F32&lt;'PARAMETROS MC'!B$17,"-",IF(F32&gt;='PARAMETROS MC'!B$17,(BK32*('PARAMETROS MC'!B$19/100)))),IF(N32="Inclinada","-")),"")</f>
        <v>-</v>
      </c>
      <c r="BP32" s="1060" t="str">
        <f>IF(A32&lt;&gt;0,IF(N32="Reta",IF(F32&lt;'PARAMETROS MC'!B$17,"-",IF(F32&gt;='PARAMETROS MC'!B$17,(BK32*('PARAMETROS MC'!B$20/100)))),IF(N32="Inclinada","-")),"")</f>
        <v>-</v>
      </c>
      <c r="BQ32" s="1060" t="str">
        <f>IF(A32&lt;&gt;0,IF(N32="Reta",IF(F32&lt;'PARAMETROS MC'!B$17,"-",IF(F32&gt;='PARAMETROS MC'!B$17,(BK32*('PARAMETROS MC'!B$21/100)))),IF(N32="Inclinada","-")),"")</f>
        <v>-</v>
      </c>
      <c r="BR32" s="1052"/>
      <c r="BS32" s="1052" t="str">
        <f t="shared" si="26"/>
        <v>-</v>
      </c>
    </row>
    <row r="33" spans="1:71" s="1063" customFormat="1" ht="42" customHeight="1">
      <c r="A33" s="1057">
        <v>23</v>
      </c>
      <c r="B33" s="1062" t="s">
        <v>12448</v>
      </c>
      <c r="C33" s="1062" t="s">
        <v>12448</v>
      </c>
      <c r="D33" s="1052">
        <v>0.8</v>
      </c>
      <c r="E33" s="1052">
        <v>0.4</v>
      </c>
      <c r="F33" s="1060">
        <f t="shared" si="51"/>
        <v>0.60000000000000009</v>
      </c>
      <c r="G33" s="1052" t="s">
        <v>11999</v>
      </c>
      <c r="H33" s="1052">
        <v>100</v>
      </c>
      <c r="I33" s="1052">
        <v>914</v>
      </c>
      <c r="J33" s="1059">
        <f>IF(A33&lt;&gt;0,IF(AND(N33="Inclinada",H33&lt;600),(H33/1000+0.6),IF(AND(N33="Inclinada",H33&gt;=600),(H33/1000+0.6),IF(N33="Reta",((H33/1000)+('PARAMETROS MC'!D$11))))),"")</f>
        <v>0.9</v>
      </c>
      <c r="K33" s="1052" t="s">
        <v>11989</v>
      </c>
      <c r="L33" s="1060" t="str">
        <f>IF(A33&lt;&gt;0,IF(K33="",0,IF(K33="Sem Revestimento","-",IF(N33="Inclinada",((R33+(2*'PARAMETROS MC'!D$14))*I33),IF(N33="Reta",((J33+(2*'PARAMETROS MC'!D$14))*I33))))),"")</f>
        <v>-</v>
      </c>
      <c r="M33" s="1060" t="str">
        <f>IF(A33&lt;&gt;0,IF(K33="",0,IF(K33="Sem Revestimento","-",IF(N33="Inclinada",((R33+(2*'PARAMETROS MC'!D$14))*I33),IF(N33="Reta",((J33+(2*'PARAMETROS MC'!D$14))*I33))))),"")</f>
        <v>-</v>
      </c>
      <c r="N33" s="1052" t="str">
        <f t="shared" si="27"/>
        <v>Reta</v>
      </c>
      <c r="O33" s="1061">
        <f>IF(A33&lt;&gt;0,IF(N33="Reta",(I33*J33),IF(N33="Inclinada",I33*R33)),"")</f>
        <v>822.6</v>
      </c>
      <c r="P33" s="1061">
        <f>IF(A33&lt;&gt;0,(J33*I33),"")</f>
        <v>822.6</v>
      </c>
      <c r="Q33" s="1053" t="str">
        <f>IF(A33&lt;&gt;0,IF(N33="Inclinada",(F33*(TAN('PARAMETROS MC'!D$9*PI()/180))),IF(N33="Reta","-")),"")</f>
        <v>-</v>
      </c>
      <c r="R33" s="1053" t="str">
        <f>IF(A33&lt;&gt;0,IF(N33="Inclinada",((2*Q33)+J33),IF(N33="Reta","-")),"")</f>
        <v>-</v>
      </c>
      <c r="S33" s="1053" t="str">
        <f>IF(A33&lt;&gt;0,IF(N33="Inclinada",I33,IF(N33="Reta","-")),"")</f>
        <v>-</v>
      </c>
      <c r="T33" s="1053" t="str">
        <f>IF(A33&lt;&gt;0,IF(N33="Inclinada",J33,IF(N33="Reta","-")),"")</f>
        <v>-</v>
      </c>
      <c r="U33" s="1053" t="str">
        <f>IF(A33&lt;&gt;0,IF(N33="Inclinada",I33,IF(N33="Reta","-")),"")</f>
        <v>-</v>
      </c>
      <c r="V33" s="1055">
        <f>IF(A33&lt;&gt;0,IF(N33="Inclinada",(F33/6)*((2*R33+T33)*S33+((2*T33+R33)*U33)),IF(N33="Reta",(J33*I33*F33))),"")</f>
        <v>493.56000000000006</v>
      </c>
      <c r="W33" s="1052">
        <f t="shared" si="28"/>
        <v>0.60000000000000009</v>
      </c>
      <c r="X33" s="1052" t="str">
        <f>IF(A33&lt;&gt;0,IF(N33="Inclinada",((AK33+AR33+AD33+W33)*(TAN('PARAMETROS MC'!D$9*PI()/180))),IF(N33="Reta","-")),"")</f>
        <v>-</v>
      </c>
      <c r="Y33" s="1052" t="str">
        <f>IF(A33&lt;&gt;0,IF(N33="Inclinada",R33,IF(N33="Reta","-")),"")</f>
        <v>-</v>
      </c>
      <c r="Z33" s="1052" t="str">
        <f>IF(A33&lt;&gt;0,IF(N33="Inclinada",S33,IF(N33="Reta","-")),"")</f>
        <v>-</v>
      </c>
      <c r="AA33" s="1052" t="str">
        <f t="shared" si="52"/>
        <v>-</v>
      </c>
      <c r="AB33" s="1052" t="str">
        <f t="shared" si="52"/>
        <v>-</v>
      </c>
      <c r="AC33" s="1055">
        <f>IF(A33&lt;&gt;0,IF(N33="Inclinada",((W33/6)*(((2*Y33+AA33)*Z33)+((2*AA33+Y33)*AB33))),IF(N33="Reta",(J33*I33*W33))),"")</f>
        <v>493.56000000000006</v>
      </c>
      <c r="AD33" s="1052">
        <f t="shared" si="31"/>
        <v>0</v>
      </c>
      <c r="AE33" s="1052" t="str">
        <f>IF(A33&lt;&gt;0,IF(N33="Inclinada",((AK33+AR33+AD33)*(TAN('PARAMETROS MC'!D$9*PI()/180))),IF(N33="Reta","-")),"")</f>
        <v>-</v>
      </c>
      <c r="AF33" s="1052" t="str">
        <f>IF(A33&lt;&gt;0,IF(N33="Inclinada",(2*AE33)+AV33,IF(N33="Reta","-")),"")</f>
        <v>-</v>
      </c>
      <c r="AG33" s="1052" t="str">
        <f t="shared" si="47"/>
        <v>-</v>
      </c>
      <c r="AH33" s="1052" t="str">
        <f t="shared" si="53"/>
        <v>-</v>
      </c>
      <c r="AI33" s="1052" t="str">
        <f t="shared" si="53"/>
        <v>-</v>
      </c>
      <c r="AJ33" s="1055">
        <f>IF(A33&lt;&gt;0,IF(OR(AD33=0,AD33="-"),0,IF(N33="Inclinada",((AD33/6)*(((2*AF33+AH33)*AG33)+((2*AH33+AF33)*AI33))),IF(N33="Reta",(J33*I33*AD33)))),"")</f>
        <v>0</v>
      </c>
      <c r="AK33" s="1052">
        <f>IF(A33&lt;&gt;0,IF(N33="Inclinada",IF(AND(F33&gt;4,F33&lt;=6),(F33-4),IF(F33&lt;=4,0,IF(F33&gt;6,2))),IF(N33="Reta",IF(AND(F33&gt;4,F33&lt;=6),(F33-4),IF(F33&lt;=4,0,IF(F33&gt;6,2))))),"")</f>
        <v>0</v>
      </c>
      <c r="AL33" s="1052" t="str">
        <f>IF(A33&lt;&gt;0,IF(N33="Inclinada",((AK33+AR33)*(TAN('PARAMETROS MC'!D$9*PI()/180))),IF(N33="Reta","-")),"")</f>
        <v>-</v>
      </c>
      <c r="AM33" s="1059" t="str">
        <f>IF(A33&lt;&gt;0,IF(N33="Inclinada",(2*AL33)+AV33,IF(N33="Reta","-")),"")</f>
        <v>-</v>
      </c>
      <c r="AN33" s="1052" t="str">
        <f t="shared" si="49"/>
        <v>-</v>
      </c>
      <c r="AO33" s="1052" t="str">
        <f t="shared" si="54"/>
        <v>-</v>
      </c>
      <c r="AP33" s="1052" t="str">
        <f t="shared" si="54"/>
        <v>-</v>
      </c>
      <c r="AQ33" s="1055">
        <f>IF(A33&lt;&gt;0,IF(OR(AK33=0,AK33="-"),0,IF(N33="Inclinada",((AK33/6)*(((2*AM33+AO33)*AN33)+((2*AO33+AM33)*AP33))),IF(N33="Reta",(J33*I33*AK33)))),"")</f>
        <v>0</v>
      </c>
      <c r="AR33" s="1052">
        <f>IF(A33&lt;&gt;0,IF(N33="Inclinada",IF(F33&lt;=6,0,(F33-6)),IF(N33="Reta",IF(F33&lt;=6,0,(F33-6)))),"")</f>
        <v>0</v>
      </c>
      <c r="AS33" s="1052" t="str">
        <f>IF(A33&lt;&gt;0,IF(N33="Inclinada",(AR33*(TAN('PARAMETROS MC'!D$9*PI()/180))),IF(N33="Reta","-")),"")</f>
        <v>-</v>
      </c>
      <c r="AT33" s="1052" t="str">
        <f>IF(A33&lt;&gt;0,IF(N33="Inclinada",(2*AS33)+AV33,IF(N33="Reta","-")),"")</f>
        <v>-</v>
      </c>
      <c r="AU33" s="1052" t="str">
        <f>IF(A33&lt;&gt;0,IF(N33="Inclinada",I33,IF(N33="Reta","-")),"")</f>
        <v>-</v>
      </c>
      <c r="AV33" s="1052" t="str">
        <f>IF(A33&lt;&gt;0,IF(N33="Inclinada",J33,IF(N33="Reta","-")),"")</f>
        <v>-</v>
      </c>
      <c r="AW33" s="1052" t="str">
        <f>IF(A33&lt;&gt;0,IF(N33="Inclinada",I33,IF(N33="Reta","-")),"")</f>
        <v>-</v>
      </c>
      <c r="AX33" s="1055">
        <f>IF(A33&lt;&gt;0,IF(OR(AR33=0,AR33="-"),0,IF(N33="Inclinada",(((AR33/6)*(((2*AT33+AV33)*AU33)+((2*AV33+AT33)*AW33)))),IF(N33="Reta",((J33*I33*AR33))))),"")</f>
        <v>0</v>
      </c>
      <c r="AY33" s="1055" t="str">
        <f>IF(A33&lt;&gt;0,IF(N33="Reta","-",IF(N33="Inclinada",(((H33/1000)+'PARAMETROS MC'!C$35)*(TAN('PARAMETROS MC'!D$9*PI()/180))))),"")</f>
        <v>-</v>
      </c>
      <c r="AZ33" s="1055" t="str">
        <f>IF(A33&lt;&gt;0,IF(N33="Reta","-",IF(N33="Inclinada",(AY33*2+J33))),"")</f>
        <v>-</v>
      </c>
      <c r="BA33" s="1055" t="str">
        <f>IF(A33&lt;&gt;0,IF(N33="Reta","-",IF(N33="Inclinada",S33)),"")</f>
        <v>-</v>
      </c>
      <c r="BB33" s="1055" t="str">
        <f>IF(A33&lt;&gt;0,IF(N33="Reta","-",IF(N33="Inclinada",T33)),"")</f>
        <v>-</v>
      </c>
      <c r="BC33" s="1055" t="str">
        <f>IF(A33&lt;&gt;0,IF(N33="Reta","-",IF(N33="Inclinada",U33)),"")</f>
        <v>-</v>
      </c>
      <c r="BD33" s="1055">
        <f t="shared" si="25"/>
        <v>7.1785392134526775</v>
      </c>
      <c r="BE33" s="1055">
        <f>IF(A33&lt;&gt;0,IF(N33="Inclinada",((((H33/1000+'PARAMETROS MC'!C$35)/6)*(((2*AZ33+BB33)*BA33)+((2*BB33+AZ33)*BC33)))-BD33),IF(N33="Reta",((I33*J33*((H33/1000)+'PARAMETROS MC'!C$35)-BD33)))),"")</f>
        <v>321.86146078654735</v>
      </c>
      <c r="BF33" s="1055">
        <f t="shared" si="35"/>
        <v>164.52000000000004</v>
      </c>
      <c r="BG33" s="1055" t="str">
        <f t="shared" si="36"/>
        <v/>
      </c>
      <c r="BH33" s="1055" t="str">
        <f t="shared" si="37"/>
        <v/>
      </c>
      <c r="BI33" s="1055">
        <f t="shared" si="38"/>
        <v>164.52000000000004</v>
      </c>
      <c r="BJ33" s="1055" t="str">
        <f t="shared" si="39"/>
        <v/>
      </c>
      <c r="BK33" s="1052" t="str">
        <f>IF(A33&lt;&gt;0,IF(N33="Reta",IF(F33&lt;'PARAMETROS MC'!B$17,"-",(I33*F33*2)),IF(N33="Inclinada","-")),"")</f>
        <v>-</v>
      </c>
      <c r="BL33" s="1055" t="str">
        <f>IF(A33&lt;&gt;0,IF(N33="Reta",IF(F33&lt;'PARAMETROS MC'!B$17,"-",IF(F33&gt;='PARAMETROS MC'!B$17,(BK33*('PARAMETROS MC'!B$18/100)))),IF(N33="Inclinada","-")),"")</f>
        <v>-</v>
      </c>
      <c r="BM33" s="1055" t="str">
        <f t="shared" si="40"/>
        <v>-</v>
      </c>
      <c r="BN33" s="1055" t="str">
        <f t="shared" si="41"/>
        <v/>
      </c>
      <c r="BO33" s="1052" t="str">
        <f>IF(A33&lt;&gt;0,IF(N33="Reta",IF(F33&lt;'PARAMETROS MC'!B$17,"-",IF(F33&gt;='PARAMETROS MC'!B$17,(BK33*('PARAMETROS MC'!B$19/100)))),IF(N33="Inclinada","-")),"")</f>
        <v>-</v>
      </c>
      <c r="BP33" s="1060" t="str">
        <f>IF(A33&lt;&gt;0,IF(N33="Reta",IF(F33&lt;'PARAMETROS MC'!B$17,"-",IF(F33&gt;='PARAMETROS MC'!B$17,(BK33*('PARAMETROS MC'!B$20/100)))),IF(N33="Inclinada","-")),"")</f>
        <v>-</v>
      </c>
      <c r="BQ33" s="1060" t="str">
        <f>IF(A33&lt;&gt;0,IF(N33="Reta",IF(F33&lt;'PARAMETROS MC'!B$17,"-",IF(F33&gt;='PARAMETROS MC'!B$17,(BK33*('PARAMETROS MC'!B$21/100)))),IF(N33="Inclinada","-")),"")</f>
        <v>-</v>
      </c>
      <c r="BR33" s="1052"/>
      <c r="BS33" s="1052" t="str">
        <f t="shared" si="26"/>
        <v>-</v>
      </c>
    </row>
    <row r="34" spans="1:71" s="1063" customFormat="1" ht="33.75">
      <c r="A34" s="1057">
        <v>23</v>
      </c>
      <c r="B34" s="1062" t="s">
        <v>12010</v>
      </c>
      <c r="C34" s="1062" t="s">
        <v>12010</v>
      </c>
      <c r="D34" s="1059">
        <v>1</v>
      </c>
      <c r="E34" s="1059">
        <v>1</v>
      </c>
      <c r="F34" s="1060">
        <f t="shared" si="51"/>
        <v>1</v>
      </c>
      <c r="G34" s="1052" t="s">
        <v>12009</v>
      </c>
      <c r="H34" s="1052">
        <v>150</v>
      </c>
      <c r="I34" s="1052">
        <f>70*3+100+37+16+29+90*2</f>
        <v>572</v>
      </c>
      <c r="J34" s="1059">
        <f>IF(A34&lt;&gt;0,IF(AND(N34="Inclinada",H34&lt;600),(H34/1000+0.6),IF(AND(N34="Inclinada",H34&gt;=600),(H34/1000+0.6),IF(N34="Reta",((H34/1000)+('PARAMETROS MC'!D$11))))),"")</f>
        <v>0.95000000000000007</v>
      </c>
      <c r="K34" s="1052" t="s">
        <v>11989</v>
      </c>
      <c r="L34" s="1060" t="str">
        <f>IF(A34&lt;&gt;0,IF(K34="",0,IF(K34="Sem Revestimento","-",IF(N34="Inclinada",((R34+(2*'PARAMETROS MC'!D$14))*I34),IF(N34="Reta",((J34+(2*'PARAMETROS MC'!D$14))*I34))))),"")</f>
        <v>-</v>
      </c>
      <c r="M34" s="1060" t="str">
        <f>IF(A34&lt;&gt;0,IF(K34="",0,IF(K34="Sem Revestimento","-",IF(N34="Inclinada",((R34+(2*'PARAMETROS MC'!D$14))*I34),IF(N34="Reta",((J34+(2*'PARAMETROS MC'!D$14))*I34))))),"")</f>
        <v>-</v>
      </c>
      <c r="N34" s="1052" t="str">
        <f t="shared" si="27"/>
        <v>Reta</v>
      </c>
      <c r="O34" s="1061">
        <f t="shared" si="0"/>
        <v>543.40000000000009</v>
      </c>
      <c r="P34" s="1061">
        <f t="shared" si="1"/>
        <v>543.40000000000009</v>
      </c>
      <c r="Q34" s="1053" t="str">
        <f>IF(A34&lt;&gt;0,IF(N34="Inclinada",(F34*(TAN('PARAMETROS MC'!D$9*PI()/180))),IF(N34="Reta","-")),"")</f>
        <v>-</v>
      </c>
      <c r="R34" s="1053" t="str">
        <f t="shared" si="2"/>
        <v>-</v>
      </c>
      <c r="S34" s="1053" t="str">
        <f t="shared" si="3"/>
        <v>-</v>
      </c>
      <c r="T34" s="1053" t="str">
        <f t="shared" si="4"/>
        <v>-</v>
      </c>
      <c r="U34" s="1053" t="str">
        <f t="shared" si="5"/>
        <v>-</v>
      </c>
      <c r="V34" s="1055">
        <f t="shared" si="6"/>
        <v>543.40000000000009</v>
      </c>
      <c r="W34" s="1052">
        <f t="shared" si="28"/>
        <v>1</v>
      </c>
      <c r="X34" s="1052" t="str">
        <f>IF(A34&lt;&gt;0,IF(N34="Inclinada",((AK34+AR34+AD34+W34)*(TAN('PARAMETROS MC'!D$9*PI()/180))),IF(N34="Reta","-")),"")</f>
        <v>-</v>
      </c>
      <c r="Y34" s="1052" t="str">
        <f t="shared" si="7"/>
        <v>-</v>
      </c>
      <c r="Z34" s="1052" t="str">
        <f t="shared" si="8"/>
        <v>-</v>
      </c>
      <c r="AA34" s="1052" t="str">
        <f t="shared" si="52"/>
        <v>-</v>
      </c>
      <c r="AB34" s="1052" t="str">
        <f t="shared" si="52"/>
        <v>-</v>
      </c>
      <c r="AC34" s="1055">
        <f t="shared" si="9"/>
        <v>543.40000000000009</v>
      </c>
      <c r="AD34" s="1052">
        <f t="shared" si="31"/>
        <v>0</v>
      </c>
      <c r="AE34" s="1052" t="str">
        <f>IF(A34&lt;&gt;0,IF(N34="Inclinada",((AK34+AR34+AD34)*(TAN('PARAMETROS MC'!D$9*PI()/180))),IF(N34="Reta","-")),"")</f>
        <v>-</v>
      </c>
      <c r="AF34" s="1052" t="str">
        <f t="shared" si="10"/>
        <v>-</v>
      </c>
      <c r="AG34" s="1052" t="str">
        <f t="shared" si="47"/>
        <v>-</v>
      </c>
      <c r="AH34" s="1052" t="str">
        <f t="shared" si="53"/>
        <v>-</v>
      </c>
      <c r="AI34" s="1052" t="str">
        <f t="shared" si="53"/>
        <v>-</v>
      </c>
      <c r="AJ34" s="1055">
        <f t="shared" si="11"/>
        <v>0</v>
      </c>
      <c r="AK34" s="1052">
        <f t="shared" si="12"/>
        <v>0</v>
      </c>
      <c r="AL34" s="1052" t="str">
        <f>IF(A34&lt;&gt;0,IF(N34="Inclinada",((AK34+AR34)*(TAN('PARAMETROS MC'!D$9*PI()/180))),IF(N34="Reta","-")),"")</f>
        <v>-</v>
      </c>
      <c r="AM34" s="1059" t="str">
        <f t="shared" si="13"/>
        <v>-</v>
      </c>
      <c r="AN34" s="1052" t="str">
        <f t="shared" si="49"/>
        <v>-</v>
      </c>
      <c r="AO34" s="1052" t="str">
        <f t="shared" si="54"/>
        <v>-</v>
      </c>
      <c r="AP34" s="1052" t="str">
        <f t="shared" si="54"/>
        <v>-</v>
      </c>
      <c r="AQ34" s="1055">
        <f t="shared" si="14"/>
        <v>0</v>
      </c>
      <c r="AR34" s="1052">
        <f t="shared" si="15"/>
        <v>0</v>
      </c>
      <c r="AS34" s="1052" t="str">
        <f>IF(A34&lt;&gt;0,IF(N34="Inclinada",(AR34*(TAN('PARAMETROS MC'!D$9*PI()/180))),IF(N34="Reta","-")),"")</f>
        <v>-</v>
      </c>
      <c r="AT34" s="1052" t="str">
        <f t="shared" si="16"/>
        <v>-</v>
      </c>
      <c r="AU34" s="1052" t="str">
        <f t="shared" si="17"/>
        <v>-</v>
      </c>
      <c r="AV34" s="1052" t="str">
        <f t="shared" si="18"/>
        <v>-</v>
      </c>
      <c r="AW34" s="1052" t="str">
        <f t="shared" si="19"/>
        <v>-</v>
      </c>
      <c r="AX34" s="1055">
        <f t="shared" si="20"/>
        <v>0</v>
      </c>
      <c r="AY34" s="1055" t="str">
        <f>IF(A34&lt;&gt;0,IF(N34="Reta","-",IF(N34="Inclinada",(((H34/1000)+'PARAMETROS MC'!C$35)*(TAN('PARAMETROS MC'!D$9*PI()/180))))),"")</f>
        <v>-</v>
      </c>
      <c r="AZ34" s="1055" t="str">
        <f t="shared" si="21"/>
        <v>-</v>
      </c>
      <c r="BA34" s="1055" t="str">
        <f t="shared" si="22"/>
        <v>-</v>
      </c>
      <c r="BB34" s="1055" t="str">
        <f t="shared" si="23"/>
        <v>-</v>
      </c>
      <c r="BC34" s="1055" t="str">
        <f t="shared" si="24"/>
        <v>-</v>
      </c>
      <c r="BD34" s="1055">
        <f t="shared" si="25"/>
        <v>10.10807436292516</v>
      </c>
      <c r="BE34" s="1055">
        <f>IF(A34&lt;&gt;0,IF(N34="Inclinada",((((H34/1000+'PARAMETROS MC'!C$35)/6)*(((2*AZ34+BB34)*BA34)+((2*BB34+AZ34)*BC34)))-BD34),IF(N34="Reta",((I34*J34*((H34/1000)+'PARAMETROS MC'!C$35)-BD34)))),"")</f>
        <v>234.42192563707488</v>
      </c>
      <c r="BF34" s="1055">
        <f t="shared" si="35"/>
        <v>298.87000000000006</v>
      </c>
      <c r="BG34" s="1055" t="str">
        <f t="shared" si="36"/>
        <v/>
      </c>
      <c r="BH34" s="1055" t="str">
        <f t="shared" si="37"/>
        <v/>
      </c>
      <c r="BI34" s="1055">
        <f t="shared" si="38"/>
        <v>298.87000000000006</v>
      </c>
      <c r="BJ34" s="1055" t="str">
        <f t="shared" si="39"/>
        <v/>
      </c>
      <c r="BK34" s="1052" t="str">
        <f>IF(A34&lt;&gt;0,IF(N34="Reta",IF(F34&lt;'PARAMETROS MC'!B$17,"-",(I34*F34*2)),IF(N34="Inclinada","-")),"")</f>
        <v>-</v>
      </c>
      <c r="BL34" s="1055" t="str">
        <f>IF(A34&lt;&gt;0,IF(N34="Reta",IF(F34&lt;'PARAMETROS MC'!B$17,"-",IF(F34&gt;='PARAMETROS MC'!B$17,(BK34*('PARAMETROS MC'!B$18/100)))),IF(N34="Inclinada","-")),"")</f>
        <v>-</v>
      </c>
      <c r="BM34" s="1055" t="str">
        <f t="shared" si="40"/>
        <v>-</v>
      </c>
      <c r="BN34" s="1055" t="str">
        <f t="shared" si="41"/>
        <v/>
      </c>
      <c r="BO34" s="1052" t="str">
        <f>IF(A34&lt;&gt;0,IF(N34="Reta",IF(F34&lt;'PARAMETROS MC'!B$17,"-",IF(F34&gt;='PARAMETROS MC'!B$17,(BK34*('PARAMETROS MC'!B$19/100)))),IF(N34="Inclinada","-")),"")</f>
        <v>-</v>
      </c>
      <c r="BP34" s="1060" t="str">
        <f>IF(A34&lt;&gt;0,IF(N34="Reta",IF(F34&lt;'PARAMETROS MC'!B$17,"-",IF(F34&gt;='PARAMETROS MC'!B$17,(BK34*('PARAMETROS MC'!B$20/100)))),IF(N34="Inclinada","-")),"")</f>
        <v>-</v>
      </c>
      <c r="BQ34" s="1060" t="str">
        <f>IF(A34&lt;&gt;0,IF(N34="Reta",IF(F34&lt;'PARAMETROS MC'!B$17,"-",IF(F34&gt;='PARAMETROS MC'!B$17,(BK34*('PARAMETROS MC'!B$21/100)))),IF(N34="Inclinada","-")),"")</f>
        <v>-</v>
      </c>
      <c r="BR34" s="1052"/>
      <c r="BS34" s="1052" t="str">
        <f t="shared" si="26"/>
        <v>-</v>
      </c>
    </row>
    <row r="35" spans="1:71" s="1063" customFormat="1" ht="33.75">
      <c r="A35" s="1057">
        <v>24</v>
      </c>
      <c r="B35" s="1064" t="s">
        <v>12016</v>
      </c>
      <c r="C35" s="1064" t="s">
        <v>12016</v>
      </c>
      <c r="D35" s="1059">
        <v>1.9</v>
      </c>
      <c r="E35" s="1059">
        <v>1.9</v>
      </c>
      <c r="F35" s="1060">
        <f t="shared" si="51"/>
        <v>1.9</v>
      </c>
      <c r="G35" s="1052" t="s">
        <v>11999</v>
      </c>
      <c r="H35" s="1052">
        <v>200</v>
      </c>
      <c r="I35" s="1052">
        <v>166</v>
      </c>
      <c r="J35" s="1059">
        <f>IF(A35&lt;&gt;0,IF(AND(N35="Inclinada",H35&lt;600),(H35/1000+0.6),IF(AND(N35="Inclinada",H35&gt;=600),(H35/1000+0.6),IF(N35="Reta",((H35/1000)+('PARAMETROS MC'!D$11))))),"")</f>
        <v>1</v>
      </c>
      <c r="K35" s="1052" t="s">
        <v>11989</v>
      </c>
      <c r="L35" s="1060" t="str">
        <f>IF(A35&lt;&gt;0,IF(K35="",0,IF(K35="Sem Revestimento","-",IF(N35="Inclinada",((R35+(2*'PARAMETROS MC'!D$14))*I35),IF(N35="Reta",((J35+(2*'PARAMETROS MC'!D$14))*I35))))),"")</f>
        <v>-</v>
      </c>
      <c r="M35" s="1060" t="str">
        <f>IF(A35&lt;&gt;0,IF(K35="",0,IF(K35="Sem Revestimento","-",IF(N35="Inclinada",((R35+(2*'PARAMETROS MC'!D$14))*I35),IF(N35="Reta",((J35+(2*'PARAMETROS MC'!D$14))*I35))))),"")</f>
        <v>-</v>
      </c>
      <c r="N35" s="1052" t="str">
        <f t="shared" si="27"/>
        <v>Reta</v>
      </c>
      <c r="O35" s="1061">
        <f t="shared" si="0"/>
        <v>166</v>
      </c>
      <c r="P35" s="1061">
        <f t="shared" si="1"/>
        <v>166</v>
      </c>
      <c r="Q35" s="1053" t="str">
        <f>IF(A35&lt;&gt;0,IF(N35="Inclinada",(F35*(TAN('PARAMETROS MC'!D$9*PI()/180))),IF(N35="Reta","-")),"")</f>
        <v>-</v>
      </c>
      <c r="R35" s="1053" t="str">
        <f t="shared" si="2"/>
        <v>-</v>
      </c>
      <c r="S35" s="1053" t="str">
        <f t="shared" si="3"/>
        <v>-</v>
      </c>
      <c r="T35" s="1053" t="str">
        <f t="shared" si="4"/>
        <v>-</v>
      </c>
      <c r="U35" s="1053" t="str">
        <f t="shared" si="5"/>
        <v>-</v>
      </c>
      <c r="V35" s="1055">
        <f t="shared" si="6"/>
        <v>315.39999999999998</v>
      </c>
      <c r="W35" s="1052">
        <f t="shared" si="28"/>
        <v>1.5</v>
      </c>
      <c r="X35" s="1052" t="str">
        <f>IF(A35&lt;&gt;0,IF(N35="Inclinada",((AK35+AR35+AD35+W35)*(TAN('PARAMETROS MC'!D$9*PI()/180))),IF(N35="Reta","-")),"")</f>
        <v>-</v>
      </c>
      <c r="Y35" s="1052" t="str">
        <f t="shared" si="7"/>
        <v>-</v>
      </c>
      <c r="Z35" s="1052" t="str">
        <f t="shared" si="8"/>
        <v>-</v>
      </c>
      <c r="AA35" s="1052" t="str">
        <f t="shared" ref="AA35:AB37" si="55">IF(AF35&lt;&gt;"",AF35,"")</f>
        <v>-</v>
      </c>
      <c r="AB35" s="1052" t="str">
        <f t="shared" si="55"/>
        <v>-</v>
      </c>
      <c r="AC35" s="1055">
        <f t="shared" si="9"/>
        <v>249</v>
      </c>
      <c r="AD35" s="1052">
        <f t="shared" si="31"/>
        <v>0.39999999999999991</v>
      </c>
      <c r="AE35" s="1052" t="str">
        <f>IF(A35&lt;&gt;0,IF(N35="Inclinada",((AK35+AR35+AD35)*(TAN('PARAMETROS MC'!D$9*PI()/180))),IF(N35="Reta","-")),"")</f>
        <v>-</v>
      </c>
      <c r="AF35" s="1052" t="str">
        <f t="shared" si="10"/>
        <v>-</v>
      </c>
      <c r="AG35" s="1052" t="str">
        <f t="shared" si="47"/>
        <v>-</v>
      </c>
      <c r="AH35" s="1052" t="str">
        <f t="shared" ref="AH35:AI37" si="56">IF(AM35&lt;&gt;"",AM35,"")</f>
        <v>-</v>
      </c>
      <c r="AI35" s="1052" t="str">
        <f t="shared" si="56"/>
        <v>-</v>
      </c>
      <c r="AJ35" s="1055">
        <f t="shared" si="11"/>
        <v>66.399999999999991</v>
      </c>
      <c r="AK35" s="1052">
        <f t="shared" si="12"/>
        <v>0</v>
      </c>
      <c r="AL35" s="1052" t="str">
        <f>IF(A35&lt;&gt;0,IF(N35="Inclinada",((AK35+AR35)*(TAN('PARAMETROS MC'!D$9*PI()/180))),IF(N35="Reta","-")),"")</f>
        <v>-</v>
      </c>
      <c r="AM35" s="1059" t="str">
        <f t="shared" si="13"/>
        <v>-</v>
      </c>
      <c r="AN35" s="1052" t="str">
        <f t="shared" si="49"/>
        <v>-</v>
      </c>
      <c r="AO35" s="1052" t="str">
        <f t="shared" ref="AO35:AP37" si="57">IF(AT35&lt;&gt;"",AT35,"")</f>
        <v>-</v>
      </c>
      <c r="AP35" s="1052" t="str">
        <f t="shared" si="57"/>
        <v>-</v>
      </c>
      <c r="AQ35" s="1055">
        <f t="shared" si="14"/>
        <v>0</v>
      </c>
      <c r="AR35" s="1052">
        <f t="shared" si="15"/>
        <v>0</v>
      </c>
      <c r="AS35" s="1052" t="str">
        <f>IF(A35&lt;&gt;0,IF(N35="Inclinada",(AR35*(TAN('PARAMETROS MC'!D$9*PI()/180))),IF(N35="Reta","-")),"")</f>
        <v>-</v>
      </c>
      <c r="AT35" s="1052" t="str">
        <f t="shared" si="16"/>
        <v>-</v>
      </c>
      <c r="AU35" s="1052" t="str">
        <f t="shared" si="17"/>
        <v>-</v>
      </c>
      <c r="AV35" s="1052" t="str">
        <f t="shared" si="18"/>
        <v>-</v>
      </c>
      <c r="AW35" s="1052" t="str">
        <f t="shared" si="19"/>
        <v>-</v>
      </c>
      <c r="AX35" s="1055">
        <f t="shared" si="20"/>
        <v>0</v>
      </c>
      <c r="AY35" s="1055" t="str">
        <f>IF(A35&lt;&gt;0,IF(N35="Reta","-",IF(N35="Inclinada",(((H35/1000)+'PARAMETROS MC'!C$35)*(TAN('PARAMETROS MC'!D$9*PI()/180))))),"")</f>
        <v>-</v>
      </c>
      <c r="AZ35" s="1055" t="str">
        <f t="shared" si="21"/>
        <v>-</v>
      </c>
      <c r="BA35" s="1055" t="str">
        <f t="shared" si="22"/>
        <v>-</v>
      </c>
      <c r="BB35" s="1055" t="str">
        <f t="shared" si="23"/>
        <v>-</v>
      </c>
      <c r="BC35" s="1055" t="str">
        <f t="shared" si="24"/>
        <v>-</v>
      </c>
      <c r="BD35" s="1055">
        <f t="shared" si="25"/>
        <v>5.2150438049590573</v>
      </c>
      <c r="BE35" s="1055">
        <f>IF(A35&lt;&gt;0,IF(N35="Inclinada",((((H35/1000+'PARAMETROS MC'!C$35)/6)*(((2*AZ35+BB35)*BA35)+((2*BB35+AZ35)*BC35)))-BD35),IF(N35="Reta",((I35*J35*((H35/1000)+'PARAMETROS MC'!C$35)-BD35)))),"")</f>
        <v>77.784956195040948</v>
      </c>
      <c r="BF35" s="1055">
        <f t="shared" si="35"/>
        <v>232.39999999999998</v>
      </c>
      <c r="BG35" s="1055" t="str">
        <f t="shared" si="36"/>
        <v/>
      </c>
      <c r="BH35" s="1055" t="str">
        <f t="shared" si="37"/>
        <v/>
      </c>
      <c r="BI35" s="1055" t="str">
        <f t="shared" si="38"/>
        <v/>
      </c>
      <c r="BJ35" s="1055">
        <f t="shared" si="39"/>
        <v>232.39999999999998</v>
      </c>
      <c r="BK35" s="1052">
        <f>IF(A35&lt;&gt;0,IF(N35="Reta",IF(F35&lt;'PARAMETROS MC'!B$17,"-",(I35*F35*2)),IF(N35="Inclinada","-")),"")</f>
        <v>630.79999999999995</v>
      </c>
      <c r="BL35" s="1055">
        <f>IF(A35&lt;&gt;0,IF(N35="Reta",IF(F35&lt;'PARAMETROS MC'!B$17,"-",IF(F35&gt;='PARAMETROS MC'!B$17,(BK35*('PARAMETROS MC'!B$18/100)))),IF(N35="Inclinada","-")),"")</f>
        <v>611.87599999999998</v>
      </c>
      <c r="BM35" s="1055" t="str">
        <f t="shared" si="40"/>
        <v/>
      </c>
      <c r="BN35" s="1055">
        <f t="shared" si="41"/>
        <v>611.87599999999998</v>
      </c>
      <c r="BO35" s="1052">
        <f>IF(A35&lt;&gt;0,IF(N35="Reta",IF(F35&lt;'PARAMETROS MC'!B$17,"-",IF(F35&gt;='PARAMETROS MC'!B$17,(BK35*('PARAMETROS MC'!B$19/100)))),IF(N35="Inclinada","-")),"")</f>
        <v>0</v>
      </c>
      <c r="BP35" s="1060">
        <f>IF(A35&lt;&gt;0,IF(N35="Reta",IF(F35&lt;'PARAMETROS MC'!B$17,"-",IF(F35&gt;='PARAMETROS MC'!B$17,(BK35*('PARAMETROS MC'!B$20/100)))),IF(N35="Inclinada","-")),"")</f>
        <v>0</v>
      </c>
      <c r="BQ35" s="1060">
        <f>IF(A35&lt;&gt;0,IF(N35="Reta",IF(F35&lt;'PARAMETROS MC'!B$17,"-",IF(F35&gt;='PARAMETROS MC'!B$17,(BK35*('PARAMETROS MC'!B$21/100)))),IF(N35="Inclinada","-")),"")</f>
        <v>18.923999999999999</v>
      </c>
      <c r="BR35" s="1052"/>
      <c r="BS35" s="1052" t="str">
        <f t="shared" si="26"/>
        <v>-</v>
      </c>
    </row>
    <row r="36" spans="1:71" s="1063" customFormat="1" ht="22.5">
      <c r="A36" s="1057">
        <v>25</v>
      </c>
      <c r="B36" s="1064" t="s">
        <v>12055</v>
      </c>
      <c r="C36" s="1064" t="s">
        <v>12055</v>
      </c>
      <c r="D36" s="1055">
        <v>0.56999999999999995</v>
      </c>
      <c r="E36" s="1055">
        <v>0.56999999999999995</v>
      </c>
      <c r="F36" s="1060">
        <f t="shared" si="51"/>
        <v>0.56999999999999995</v>
      </c>
      <c r="G36" s="1052" t="s">
        <v>11999</v>
      </c>
      <c r="H36" s="1052">
        <v>100</v>
      </c>
      <c r="I36" s="1052">
        <f>5.8*10*2</f>
        <v>116</v>
      </c>
      <c r="J36" s="1059">
        <f>IF(A36&lt;&gt;0,IF(AND(N36="Inclinada",H36&lt;600),(H36/1000+0.6),IF(AND(N36="Inclinada",H36&gt;=600),(H36/1000+0.6),IF(N36="Reta",((H36/1000)+('PARAMETROS MC'!D$11))))),"")</f>
        <v>0.9</v>
      </c>
      <c r="K36" s="1052" t="s">
        <v>11989</v>
      </c>
      <c r="L36" s="1060" t="str">
        <f>IF(A36&lt;&gt;0,IF(K36="",0,IF(K36="Sem Revestimento","-",IF(N36="Inclinada",((R36+(2*'PARAMETROS MC'!D$14))*I36),IF(N36="Reta",((J36+(2*'PARAMETROS MC'!D$14))*I36))))),"")</f>
        <v>-</v>
      </c>
      <c r="M36" s="1060" t="str">
        <f>IF(A36&lt;&gt;0,IF(K36="",0,IF(K36="Sem Revestimento","-",IF(N36="Inclinada",((R36+(2*'PARAMETROS MC'!D$14))*I36),IF(N36="Reta",((J36+(2*'PARAMETROS MC'!D$14))*I36))))),"")</f>
        <v>-</v>
      </c>
      <c r="N36" s="1052" t="str">
        <f t="shared" si="27"/>
        <v>Reta</v>
      </c>
      <c r="O36" s="1061">
        <f t="shared" si="0"/>
        <v>104.4</v>
      </c>
      <c r="P36" s="1061">
        <f t="shared" si="1"/>
        <v>104.4</v>
      </c>
      <c r="Q36" s="1053" t="str">
        <f>IF(A36&lt;&gt;0,IF(N36="Inclinada",(F36*(TAN('PARAMETROS MC'!D$9*PI()/180))),IF(N36="Reta","-")),"")</f>
        <v>-</v>
      </c>
      <c r="R36" s="1053" t="str">
        <f t="shared" si="2"/>
        <v>-</v>
      </c>
      <c r="S36" s="1053" t="str">
        <f t="shared" si="3"/>
        <v>-</v>
      </c>
      <c r="T36" s="1053" t="str">
        <f t="shared" si="4"/>
        <v>-</v>
      </c>
      <c r="U36" s="1053" t="str">
        <f t="shared" si="5"/>
        <v>-</v>
      </c>
      <c r="V36" s="1055">
        <f t="shared" si="6"/>
        <v>59.507999999999996</v>
      </c>
      <c r="W36" s="1052">
        <f t="shared" si="28"/>
        <v>0.56999999999999995</v>
      </c>
      <c r="X36" s="1052" t="str">
        <f>IF(A36&lt;&gt;0,IF(N36="Inclinada",((AK36+AR36+AD36+W36)*(TAN('PARAMETROS MC'!D$9*PI()/180))),IF(N36="Reta","-")),"")</f>
        <v>-</v>
      </c>
      <c r="Y36" s="1052" t="str">
        <f t="shared" si="7"/>
        <v>-</v>
      </c>
      <c r="Z36" s="1052" t="str">
        <f t="shared" si="8"/>
        <v>-</v>
      </c>
      <c r="AA36" s="1052" t="str">
        <f t="shared" si="55"/>
        <v>-</v>
      </c>
      <c r="AB36" s="1052" t="str">
        <f t="shared" si="55"/>
        <v>-</v>
      </c>
      <c r="AC36" s="1055">
        <f t="shared" si="9"/>
        <v>59.507999999999996</v>
      </c>
      <c r="AD36" s="1052">
        <f t="shared" si="31"/>
        <v>0</v>
      </c>
      <c r="AE36" s="1052" t="str">
        <f>IF(A36&lt;&gt;0,IF(N36="Inclinada",((AK36+AR36+AD36)*(TAN('PARAMETROS MC'!D$9*PI()/180))),IF(N36="Reta","-")),"")</f>
        <v>-</v>
      </c>
      <c r="AF36" s="1052" t="str">
        <f t="shared" si="10"/>
        <v>-</v>
      </c>
      <c r="AG36" s="1052" t="str">
        <f t="shared" si="47"/>
        <v>-</v>
      </c>
      <c r="AH36" s="1052" t="str">
        <f t="shared" si="56"/>
        <v>-</v>
      </c>
      <c r="AI36" s="1052" t="str">
        <f t="shared" si="56"/>
        <v>-</v>
      </c>
      <c r="AJ36" s="1055">
        <f t="shared" si="11"/>
        <v>0</v>
      </c>
      <c r="AK36" s="1052">
        <f t="shared" si="12"/>
        <v>0</v>
      </c>
      <c r="AL36" s="1052" t="str">
        <f>IF(A36&lt;&gt;0,IF(N36="Inclinada",((AK36+AR36)*(TAN('PARAMETROS MC'!D$9*PI()/180))),IF(N36="Reta","-")),"")</f>
        <v>-</v>
      </c>
      <c r="AM36" s="1059" t="str">
        <f t="shared" si="13"/>
        <v>-</v>
      </c>
      <c r="AN36" s="1052" t="str">
        <f t="shared" si="49"/>
        <v>-</v>
      </c>
      <c r="AO36" s="1052" t="str">
        <f t="shared" si="57"/>
        <v>-</v>
      </c>
      <c r="AP36" s="1052" t="str">
        <f t="shared" si="57"/>
        <v>-</v>
      </c>
      <c r="AQ36" s="1055">
        <f t="shared" si="14"/>
        <v>0</v>
      </c>
      <c r="AR36" s="1052">
        <f t="shared" si="15"/>
        <v>0</v>
      </c>
      <c r="AS36" s="1052" t="str">
        <f>IF(A36&lt;&gt;0,IF(N36="Inclinada",(AR36*(TAN('PARAMETROS MC'!D$9*PI()/180))),IF(N36="Reta","-")),"")</f>
        <v>-</v>
      </c>
      <c r="AT36" s="1052" t="str">
        <f t="shared" si="16"/>
        <v>-</v>
      </c>
      <c r="AU36" s="1052" t="str">
        <f t="shared" si="17"/>
        <v>-</v>
      </c>
      <c r="AV36" s="1052" t="str">
        <f t="shared" si="18"/>
        <v>-</v>
      </c>
      <c r="AW36" s="1052" t="str">
        <f t="shared" si="19"/>
        <v>-</v>
      </c>
      <c r="AX36" s="1055">
        <f t="shared" si="20"/>
        <v>0</v>
      </c>
      <c r="AY36" s="1055" t="str">
        <f>IF(A36&lt;&gt;0,IF(N36="Reta","-",IF(N36="Inclinada",(((H36/1000)+'PARAMETROS MC'!C$35)*(TAN('PARAMETROS MC'!D$9*PI()/180))))),"")</f>
        <v>-</v>
      </c>
      <c r="AZ36" s="1055" t="str">
        <f t="shared" si="21"/>
        <v>-</v>
      </c>
      <c r="BA36" s="1055" t="str">
        <f t="shared" si="22"/>
        <v>-</v>
      </c>
      <c r="BB36" s="1055" t="str">
        <f t="shared" si="23"/>
        <v>-</v>
      </c>
      <c r="BC36" s="1055" t="str">
        <f t="shared" si="24"/>
        <v>-</v>
      </c>
      <c r="BD36" s="1055">
        <f t="shared" si="25"/>
        <v>0.91106186954104007</v>
      </c>
      <c r="BE36" s="1055">
        <f>IF(A36&lt;&gt;0,IF(N36="Inclinada",((((H36/1000+'PARAMETROS MC'!C$35)/6)*(((2*AZ36+BB36)*BA36)+((2*BB36+AZ36)*BC36)))-BD36),IF(N36="Reta",((I36*J36*((H36/1000)+'PARAMETROS MC'!C$35)-BD36)))),"")</f>
        <v>40.848938130458968</v>
      </c>
      <c r="BF36" s="1055">
        <f t="shared" si="35"/>
        <v>17.747999999999987</v>
      </c>
      <c r="BG36" s="1055" t="str">
        <f t="shared" si="36"/>
        <v/>
      </c>
      <c r="BH36" s="1055" t="str">
        <f t="shared" si="37"/>
        <v/>
      </c>
      <c r="BI36" s="1055">
        <f t="shared" si="38"/>
        <v>17.74799999999999</v>
      </c>
      <c r="BJ36" s="1055" t="str">
        <f t="shared" si="39"/>
        <v/>
      </c>
      <c r="BK36" s="1052" t="str">
        <f>IF(A36&lt;&gt;0,IF(N36="Reta",IF(F36&lt;'PARAMETROS MC'!B$17,"-",(I36*F36*2)),IF(N36="Inclinada","-")),"")</f>
        <v>-</v>
      </c>
      <c r="BL36" s="1055" t="str">
        <f>IF(A36&lt;&gt;0,IF(N36="Reta",IF(F36&lt;'PARAMETROS MC'!B$17,"-",IF(F36&gt;='PARAMETROS MC'!B$17,(BK36*('PARAMETROS MC'!B$18/100)))),IF(N36="Inclinada","-")),"")</f>
        <v>-</v>
      </c>
      <c r="BM36" s="1055" t="str">
        <f t="shared" si="40"/>
        <v>-</v>
      </c>
      <c r="BN36" s="1055" t="str">
        <f t="shared" si="41"/>
        <v/>
      </c>
      <c r="BO36" s="1052" t="str">
        <f>IF(A36&lt;&gt;0,IF(N36="Reta",IF(F36&lt;'PARAMETROS MC'!B$17,"-",IF(F36&gt;='PARAMETROS MC'!B$17,(BK36*('PARAMETROS MC'!B$19/100)))),IF(N36="Inclinada","-")),"")</f>
        <v>-</v>
      </c>
      <c r="BP36" s="1060" t="str">
        <f>IF(A36&lt;&gt;0,IF(N36="Reta",IF(F36&lt;'PARAMETROS MC'!B$17,"-",IF(F36&gt;='PARAMETROS MC'!B$17,(BK36*('PARAMETROS MC'!B$20/100)))),IF(N36="Inclinada","-")),"")</f>
        <v>-</v>
      </c>
      <c r="BQ36" s="1060" t="str">
        <f>IF(A36&lt;&gt;0,IF(N36="Reta",IF(F36&lt;'PARAMETROS MC'!B$17,"-",IF(F36&gt;='PARAMETROS MC'!B$17,(BK36*('PARAMETROS MC'!B$21/100)))),IF(N36="Inclinada","-")),"")</f>
        <v>-</v>
      </c>
      <c r="BR36" s="1052"/>
      <c r="BS36" s="1052" t="str">
        <f t="shared" si="26"/>
        <v>-</v>
      </c>
    </row>
    <row r="37" spans="1:71" s="1063" customFormat="1" ht="22.5">
      <c r="A37" s="1057">
        <v>26</v>
      </c>
      <c r="B37" s="1064" t="s">
        <v>12056</v>
      </c>
      <c r="C37" s="1064" t="s">
        <v>12056</v>
      </c>
      <c r="D37" s="1055">
        <f>0.57+0.68</f>
        <v>1.25</v>
      </c>
      <c r="E37" s="1055">
        <f>0.57+0.68</f>
        <v>1.25</v>
      </c>
      <c r="F37" s="1060">
        <f t="shared" si="51"/>
        <v>1.25</v>
      </c>
      <c r="G37" s="1052" t="s">
        <v>11999</v>
      </c>
      <c r="H37" s="1052">
        <v>100</v>
      </c>
      <c r="I37" s="1052">
        <f>5.8*10*2</f>
        <v>116</v>
      </c>
      <c r="J37" s="1059">
        <f>IF(A37&lt;&gt;0,IF(AND(N37="Inclinada",H37&lt;600),(H37/1000+0.6),IF(AND(N37="Inclinada",H37&gt;=600),(H37/1000+0.6),IF(N37="Reta",((H37/1000)+('PARAMETROS MC'!D$11))))),"")</f>
        <v>0.9</v>
      </c>
      <c r="K37" s="1052" t="s">
        <v>11989</v>
      </c>
      <c r="L37" s="1060" t="str">
        <f>IF(A37&lt;&gt;0,IF(K37="",0,IF(K37="Sem Revestimento","-",IF(N37="Inclinada",((R37+(2*'PARAMETROS MC'!D$14))*I37),IF(N37="Reta",((J37+(2*'PARAMETROS MC'!D$14))*I37))))),"")</f>
        <v>-</v>
      </c>
      <c r="M37" s="1060" t="str">
        <f>IF(A37&lt;&gt;0,IF(K37="",0,IF(K37="Sem Revestimento","-",IF(N37="Inclinada",((R37+(2*'PARAMETROS MC'!D$14))*I37),IF(N37="Reta",((J37+(2*'PARAMETROS MC'!D$14))*I37))))),"")</f>
        <v>-</v>
      </c>
      <c r="N37" s="1052" t="str">
        <f t="shared" si="27"/>
        <v>Reta</v>
      </c>
      <c r="O37" s="1061">
        <f t="shared" si="0"/>
        <v>104.4</v>
      </c>
      <c r="P37" s="1061">
        <f t="shared" si="1"/>
        <v>104.4</v>
      </c>
      <c r="Q37" s="1053" t="str">
        <f>IF(A37&lt;&gt;0,IF(N37="Inclinada",(F37*(TAN('PARAMETROS MC'!D$9*PI()/180))),IF(N37="Reta","-")),"")</f>
        <v>-</v>
      </c>
      <c r="R37" s="1053" t="str">
        <f t="shared" si="2"/>
        <v>-</v>
      </c>
      <c r="S37" s="1053" t="str">
        <f t="shared" si="3"/>
        <v>-</v>
      </c>
      <c r="T37" s="1053" t="str">
        <f t="shared" si="4"/>
        <v>-</v>
      </c>
      <c r="U37" s="1053" t="str">
        <f t="shared" si="5"/>
        <v>-</v>
      </c>
      <c r="V37" s="1055">
        <f t="shared" si="6"/>
        <v>130.5</v>
      </c>
      <c r="W37" s="1052">
        <f t="shared" si="28"/>
        <v>1.25</v>
      </c>
      <c r="X37" s="1052" t="str">
        <f>IF(A37&lt;&gt;0,IF(N37="Inclinada",((AK37+AR37+AD37+W37)*(TAN('PARAMETROS MC'!D$9*PI()/180))),IF(N37="Reta","-")),"")</f>
        <v>-</v>
      </c>
      <c r="Y37" s="1052" t="str">
        <f t="shared" si="7"/>
        <v>-</v>
      </c>
      <c r="Z37" s="1052" t="str">
        <f t="shared" si="8"/>
        <v>-</v>
      </c>
      <c r="AA37" s="1052" t="str">
        <f t="shared" si="55"/>
        <v>-</v>
      </c>
      <c r="AB37" s="1052" t="str">
        <f t="shared" si="55"/>
        <v>-</v>
      </c>
      <c r="AC37" s="1055">
        <f t="shared" si="9"/>
        <v>130.5</v>
      </c>
      <c r="AD37" s="1052">
        <f t="shared" si="31"/>
        <v>0</v>
      </c>
      <c r="AE37" s="1052" t="str">
        <f>IF(A37&lt;&gt;0,IF(N37="Inclinada",((AK37+AR37+AD37)*(TAN('PARAMETROS MC'!D$9*PI()/180))),IF(N37="Reta","-")),"")</f>
        <v>-</v>
      </c>
      <c r="AF37" s="1052" t="str">
        <f t="shared" si="10"/>
        <v>-</v>
      </c>
      <c r="AG37" s="1052" t="str">
        <f t="shared" si="47"/>
        <v>-</v>
      </c>
      <c r="AH37" s="1052" t="str">
        <f t="shared" si="56"/>
        <v>-</v>
      </c>
      <c r="AI37" s="1052" t="str">
        <f t="shared" si="56"/>
        <v>-</v>
      </c>
      <c r="AJ37" s="1055">
        <f t="shared" si="11"/>
        <v>0</v>
      </c>
      <c r="AK37" s="1052">
        <f t="shared" si="12"/>
        <v>0</v>
      </c>
      <c r="AL37" s="1052" t="str">
        <f>IF(A37&lt;&gt;0,IF(N37="Inclinada",((AK37+AR37)*(TAN('PARAMETROS MC'!D$9*PI()/180))),IF(N37="Reta","-")),"")</f>
        <v>-</v>
      </c>
      <c r="AM37" s="1059" t="str">
        <f t="shared" si="13"/>
        <v>-</v>
      </c>
      <c r="AN37" s="1052" t="str">
        <f t="shared" si="49"/>
        <v>-</v>
      </c>
      <c r="AO37" s="1052" t="str">
        <f t="shared" si="57"/>
        <v>-</v>
      </c>
      <c r="AP37" s="1052" t="str">
        <f t="shared" si="57"/>
        <v>-</v>
      </c>
      <c r="AQ37" s="1055">
        <f t="shared" si="14"/>
        <v>0</v>
      </c>
      <c r="AR37" s="1052">
        <f t="shared" si="15"/>
        <v>0</v>
      </c>
      <c r="AS37" s="1052" t="str">
        <f>IF(A37&lt;&gt;0,IF(N37="Inclinada",(AR37*(TAN('PARAMETROS MC'!D$9*PI()/180))),IF(N37="Reta","-")),"")</f>
        <v>-</v>
      </c>
      <c r="AT37" s="1052" t="str">
        <f t="shared" si="16"/>
        <v>-</v>
      </c>
      <c r="AU37" s="1052" t="str">
        <f t="shared" si="17"/>
        <v>-</v>
      </c>
      <c r="AV37" s="1052" t="str">
        <f t="shared" si="18"/>
        <v>-</v>
      </c>
      <c r="AW37" s="1052" t="str">
        <f t="shared" si="19"/>
        <v>-</v>
      </c>
      <c r="AX37" s="1055">
        <f t="shared" si="20"/>
        <v>0</v>
      </c>
      <c r="AY37" s="1055" t="str">
        <f>IF(A37&lt;&gt;0,IF(N37="Reta","-",IF(N37="Inclinada",(((H37/1000)+'PARAMETROS MC'!C$35)*(TAN('PARAMETROS MC'!D$9*PI()/180))))),"")</f>
        <v>-</v>
      </c>
      <c r="AZ37" s="1055" t="str">
        <f t="shared" si="21"/>
        <v>-</v>
      </c>
      <c r="BA37" s="1055" t="str">
        <f t="shared" si="22"/>
        <v>-</v>
      </c>
      <c r="BB37" s="1055" t="str">
        <f t="shared" si="23"/>
        <v>-</v>
      </c>
      <c r="BC37" s="1055" t="str">
        <f t="shared" si="24"/>
        <v>-</v>
      </c>
      <c r="BD37" s="1055">
        <f t="shared" si="25"/>
        <v>0.91106186954104007</v>
      </c>
      <c r="BE37" s="1055">
        <f>IF(A37&lt;&gt;0,IF(N37="Inclinada",((((H37/1000+'PARAMETROS MC'!C$35)/6)*(((2*AZ37+BB37)*BA37)+((2*BB37+AZ37)*BC37)))-BD37),IF(N37="Reta",((I37*J37*((H37/1000)+'PARAMETROS MC'!C$35)-BD37)))),"")</f>
        <v>40.848938130458968</v>
      </c>
      <c r="BF37" s="1055">
        <f t="shared" si="35"/>
        <v>88.739999999999981</v>
      </c>
      <c r="BG37" s="1055" t="str">
        <f t="shared" si="36"/>
        <v/>
      </c>
      <c r="BH37" s="1055" t="str">
        <f t="shared" si="37"/>
        <v/>
      </c>
      <c r="BI37" s="1055">
        <f t="shared" si="38"/>
        <v>88.74</v>
      </c>
      <c r="BJ37" s="1055" t="str">
        <f t="shared" si="39"/>
        <v/>
      </c>
      <c r="BK37" s="1052" t="str">
        <f>IF(A37&lt;&gt;0,IF(N37="Reta",IF(F37&lt;'PARAMETROS MC'!B$17,"-",(I37*F37*2)),IF(N37="Inclinada","-")),"")</f>
        <v>-</v>
      </c>
      <c r="BL37" s="1055" t="str">
        <f>IF(A37&lt;&gt;0,IF(N37="Reta",IF(F37&lt;'PARAMETROS MC'!B$17,"-",IF(F37&gt;='PARAMETROS MC'!B$17,(BK37*('PARAMETROS MC'!B$18/100)))),IF(N37="Inclinada","-")),"")</f>
        <v>-</v>
      </c>
      <c r="BM37" s="1055" t="str">
        <f t="shared" si="40"/>
        <v>-</v>
      </c>
      <c r="BN37" s="1055" t="str">
        <f t="shared" si="41"/>
        <v/>
      </c>
      <c r="BO37" s="1052" t="str">
        <f>IF(A37&lt;&gt;0,IF(N37="Reta",IF(F37&lt;'PARAMETROS MC'!B$17,"-",IF(F37&gt;='PARAMETROS MC'!B$17,(BK37*('PARAMETROS MC'!B$19/100)))),IF(N37="Inclinada","-")),"")</f>
        <v>-</v>
      </c>
      <c r="BP37" s="1060" t="str">
        <f>IF(A37&lt;&gt;0,IF(N37="Reta",IF(F37&lt;'PARAMETROS MC'!B$17,"-",IF(F37&gt;='PARAMETROS MC'!B$17,(BK37*('PARAMETROS MC'!B$20/100)))),IF(N37="Inclinada","-")),"")</f>
        <v>-</v>
      </c>
      <c r="BQ37" s="1060" t="str">
        <f>IF(A37&lt;&gt;0,IF(N37="Reta",IF(F37&lt;'PARAMETROS MC'!B$17,"-",IF(F37&gt;='PARAMETROS MC'!B$17,(BK37*('PARAMETROS MC'!B$21/100)))),IF(N37="Inclinada","-")),"")</f>
        <v>-</v>
      </c>
      <c r="BR37" s="1052"/>
      <c r="BS37" s="1052" t="str">
        <f t="shared" si="26"/>
        <v>-</v>
      </c>
    </row>
    <row r="38" spans="1:71" s="1063" customFormat="1" ht="22.5">
      <c r="A38" s="1057">
        <v>27</v>
      </c>
      <c r="B38" s="1064" t="s">
        <v>12015</v>
      </c>
      <c r="C38" s="1064" t="s">
        <v>12015</v>
      </c>
      <c r="D38" s="1059">
        <v>1</v>
      </c>
      <c r="E38" s="1059">
        <v>1</v>
      </c>
      <c r="F38" s="1060">
        <f t="shared" si="51"/>
        <v>1</v>
      </c>
      <c r="G38" s="1052" t="s">
        <v>11999</v>
      </c>
      <c r="H38" s="1052">
        <v>100</v>
      </c>
      <c r="I38" s="1052">
        <f>24*3</f>
        <v>72</v>
      </c>
      <c r="J38" s="1059">
        <f>IF(A38&lt;&gt;0,IF(AND(N38="Inclinada",H38&lt;600),(H38/1000+0.6),IF(AND(N38="Inclinada",H38&gt;=600),(H38/1000+0.6),IF(N38="Reta",((H38/1000)+('PARAMETROS MC'!D$11))))),"")</f>
        <v>0.9</v>
      </c>
      <c r="K38" s="1052" t="s">
        <v>11989</v>
      </c>
      <c r="L38" s="1060" t="str">
        <f>IF(A38&lt;&gt;0,IF(K38="",0,IF(K38="Sem Revestimento","-",IF(N38="Inclinada",((R38+(2*'PARAMETROS MC'!D$14))*I38),IF(N38="Reta",((J38+(2*'PARAMETROS MC'!D$14))*I38))))),"")</f>
        <v>-</v>
      </c>
      <c r="M38" s="1060" t="str">
        <f>IF(A38&lt;&gt;0,IF(K38="",0,IF(K38="Sem Revestimento","-",IF(N38="Inclinada",((R38+(2*'PARAMETROS MC'!D$14))*I38),IF(N38="Reta",((J38+(2*'PARAMETROS MC'!D$14))*I38))))),"")</f>
        <v>-</v>
      </c>
      <c r="N38" s="1052" t="str">
        <f t="shared" si="27"/>
        <v>Reta</v>
      </c>
      <c r="O38" s="1061">
        <f t="shared" si="0"/>
        <v>64.8</v>
      </c>
      <c r="P38" s="1061">
        <f t="shared" si="1"/>
        <v>64.8</v>
      </c>
      <c r="Q38" s="1053" t="str">
        <f>IF(A38&lt;&gt;0,IF(N38="Inclinada",(F38*(TAN('PARAMETROS MC'!D$9*PI()/180))),IF(N38="Reta","-")),"")</f>
        <v>-</v>
      </c>
      <c r="R38" s="1053" t="str">
        <f t="shared" si="2"/>
        <v>-</v>
      </c>
      <c r="S38" s="1053" t="str">
        <f t="shared" si="3"/>
        <v>-</v>
      </c>
      <c r="T38" s="1053" t="str">
        <f t="shared" si="4"/>
        <v>-</v>
      </c>
      <c r="U38" s="1053" t="str">
        <f t="shared" si="5"/>
        <v>-</v>
      </c>
      <c r="V38" s="1055">
        <f t="shared" si="6"/>
        <v>64.8</v>
      </c>
      <c r="W38" s="1052">
        <f t="shared" si="28"/>
        <v>1</v>
      </c>
      <c r="X38" s="1052" t="str">
        <f>IF(A38&lt;&gt;0,IF(N38="Inclinada",((AK38+AR38+AD38+W38)*(TAN('PARAMETROS MC'!D$9*PI()/180))),IF(N38="Reta","-")),"")</f>
        <v>-</v>
      </c>
      <c r="Y38" s="1052" t="str">
        <f t="shared" si="7"/>
        <v>-</v>
      </c>
      <c r="Z38" s="1052" t="str">
        <f t="shared" si="8"/>
        <v>-</v>
      </c>
      <c r="AA38" s="1052" t="str">
        <f>IF(AF38&lt;&gt;"",AF38,"")</f>
        <v>-</v>
      </c>
      <c r="AB38" s="1052" t="str">
        <f>IF(AG38&lt;&gt;"",AG38,"")</f>
        <v>-</v>
      </c>
      <c r="AC38" s="1055">
        <f t="shared" si="9"/>
        <v>64.8</v>
      </c>
      <c r="AD38" s="1052">
        <f t="shared" si="31"/>
        <v>0</v>
      </c>
      <c r="AE38" s="1052" t="str">
        <f>IF(A38&lt;&gt;0,IF(N38="Inclinada",((AK38+AR38+AD38)*(TAN('PARAMETROS MC'!D$9*PI()/180))),IF(N38="Reta","-")),"")</f>
        <v>-</v>
      </c>
      <c r="AF38" s="1052" t="str">
        <f t="shared" si="10"/>
        <v>-</v>
      </c>
      <c r="AG38" s="1052" t="str">
        <f t="shared" si="47"/>
        <v>-</v>
      </c>
      <c r="AH38" s="1052" t="str">
        <f>IF(AM38&lt;&gt;"",AM38,"")</f>
        <v>-</v>
      </c>
      <c r="AI38" s="1052" t="str">
        <f>IF(AN38&lt;&gt;"",AN38,"")</f>
        <v>-</v>
      </c>
      <c r="AJ38" s="1055">
        <f t="shared" si="11"/>
        <v>0</v>
      </c>
      <c r="AK38" s="1052">
        <f t="shared" si="12"/>
        <v>0</v>
      </c>
      <c r="AL38" s="1052" t="str">
        <f>IF(A38&lt;&gt;0,IF(N38="Inclinada",((AK38+AR38)*(TAN('PARAMETROS MC'!D$9*PI()/180))),IF(N38="Reta","-")),"")</f>
        <v>-</v>
      </c>
      <c r="AM38" s="1059" t="str">
        <f t="shared" si="13"/>
        <v>-</v>
      </c>
      <c r="AN38" s="1052" t="str">
        <f t="shared" si="49"/>
        <v>-</v>
      </c>
      <c r="AO38" s="1052" t="str">
        <f>IF(AT38&lt;&gt;"",AT38,"")</f>
        <v>-</v>
      </c>
      <c r="AP38" s="1052" t="str">
        <f>IF(AU38&lt;&gt;"",AU38,"")</f>
        <v>-</v>
      </c>
      <c r="AQ38" s="1055">
        <f t="shared" si="14"/>
        <v>0</v>
      </c>
      <c r="AR38" s="1052">
        <f t="shared" si="15"/>
        <v>0</v>
      </c>
      <c r="AS38" s="1052" t="str">
        <f>IF(A38&lt;&gt;0,IF(N38="Inclinada",(AR38*(TAN('PARAMETROS MC'!D$9*PI()/180))),IF(N38="Reta","-")),"")</f>
        <v>-</v>
      </c>
      <c r="AT38" s="1052" t="str">
        <f t="shared" si="16"/>
        <v>-</v>
      </c>
      <c r="AU38" s="1052" t="str">
        <f t="shared" si="17"/>
        <v>-</v>
      </c>
      <c r="AV38" s="1052" t="str">
        <f t="shared" si="18"/>
        <v>-</v>
      </c>
      <c r="AW38" s="1052" t="str">
        <f t="shared" si="19"/>
        <v>-</v>
      </c>
      <c r="AX38" s="1055">
        <f t="shared" si="20"/>
        <v>0</v>
      </c>
      <c r="AY38" s="1055" t="str">
        <f>IF(A38&lt;&gt;0,IF(N38="Reta","-",IF(N38="Inclinada",(((H38/1000)+'PARAMETROS MC'!C$35)*(TAN('PARAMETROS MC'!D$9*PI()/180))))),"")</f>
        <v>-</v>
      </c>
      <c r="AZ38" s="1055" t="str">
        <f t="shared" si="21"/>
        <v>-</v>
      </c>
      <c r="BA38" s="1055" t="str">
        <f t="shared" si="22"/>
        <v>-</v>
      </c>
      <c r="BB38" s="1055" t="str">
        <f t="shared" si="23"/>
        <v>-</v>
      </c>
      <c r="BC38" s="1055" t="str">
        <f t="shared" si="24"/>
        <v>-</v>
      </c>
      <c r="BD38" s="1055">
        <f t="shared" si="25"/>
        <v>0.56548667764616278</v>
      </c>
      <c r="BE38" s="1055">
        <f>IF(A38&lt;&gt;0,IF(N38="Inclinada",((((H38/1000+'PARAMETROS MC'!C$35)/6)*(((2*AZ38+BB38)*BA38)+((2*BB38+AZ38)*BC38)))-BD38),IF(N38="Reta",((I38*J38*((H38/1000)+'PARAMETROS MC'!C$35)-BD38)))),"")</f>
        <v>25.354513322353839</v>
      </c>
      <c r="BF38" s="1055">
        <f t="shared" si="35"/>
        <v>38.879999999999995</v>
      </c>
      <c r="BG38" s="1055" t="str">
        <f t="shared" si="36"/>
        <v/>
      </c>
      <c r="BH38" s="1055" t="str">
        <f t="shared" si="37"/>
        <v/>
      </c>
      <c r="BI38" s="1055">
        <f t="shared" si="38"/>
        <v>38.879999999999995</v>
      </c>
      <c r="BJ38" s="1055" t="str">
        <f t="shared" si="39"/>
        <v/>
      </c>
      <c r="BK38" s="1052" t="str">
        <f>IF(A38&lt;&gt;0,IF(N38="Reta",IF(F38&lt;'PARAMETROS MC'!B$17,"-",(I38*F38*2)),IF(N38="Inclinada","-")),"")</f>
        <v>-</v>
      </c>
      <c r="BL38" s="1055" t="str">
        <f>IF(A38&lt;&gt;0,IF(N38="Reta",IF(F38&lt;'PARAMETROS MC'!B$17,"-",IF(F38&gt;='PARAMETROS MC'!B$17,(BK38*('PARAMETROS MC'!B$18/100)))),IF(N38="Inclinada","-")),"")</f>
        <v>-</v>
      </c>
      <c r="BM38" s="1055" t="str">
        <f t="shared" si="40"/>
        <v>-</v>
      </c>
      <c r="BN38" s="1055" t="str">
        <f t="shared" si="41"/>
        <v/>
      </c>
      <c r="BO38" s="1052" t="str">
        <f>IF(A38&lt;&gt;0,IF(N38="Reta",IF(F38&lt;'PARAMETROS MC'!B$17,"-",IF(F38&gt;='PARAMETROS MC'!B$17,(BK38*('PARAMETROS MC'!B$19/100)))),IF(N38="Inclinada","-")),"")</f>
        <v>-</v>
      </c>
      <c r="BP38" s="1060" t="str">
        <f>IF(A38&lt;&gt;0,IF(N38="Reta",IF(F38&lt;'PARAMETROS MC'!B$17,"-",IF(F38&gt;='PARAMETROS MC'!B$17,(BK38*('PARAMETROS MC'!B$20/100)))),IF(N38="Inclinada","-")),"")</f>
        <v>-</v>
      </c>
      <c r="BQ38" s="1060" t="str">
        <f>IF(A38&lt;&gt;0,IF(N38="Reta",IF(F38&lt;'PARAMETROS MC'!B$17,"-",IF(F38&gt;='PARAMETROS MC'!B$17,(BK38*('PARAMETROS MC'!B$21/100)))),IF(N38="Inclinada","-")),"")</f>
        <v>-</v>
      </c>
      <c r="BR38" s="1052"/>
      <c r="BS38" s="1052" t="str">
        <f t="shared" si="26"/>
        <v>-</v>
      </c>
    </row>
    <row r="39" spans="1:71" s="1063" customFormat="1" ht="22.5">
      <c r="A39" s="1057">
        <v>28</v>
      </c>
      <c r="B39" s="1064" t="s">
        <v>12015</v>
      </c>
      <c r="C39" s="1064" t="s">
        <v>12015</v>
      </c>
      <c r="D39" s="1059">
        <v>1</v>
      </c>
      <c r="E39" s="1059">
        <v>1</v>
      </c>
      <c r="F39" s="1060">
        <f t="shared" si="51"/>
        <v>1</v>
      </c>
      <c r="G39" s="1052" t="s">
        <v>11999</v>
      </c>
      <c r="H39" s="1052">
        <v>150</v>
      </c>
      <c r="I39" s="1052">
        <f>15*3</f>
        <v>45</v>
      </c>
      <c r="J39" s="1059">
        <f>IF(A39&lt;&gt;0,IF(AND(N39="Inclinada",H39&lt;600),(H39/1000+0.6),IF(AND(N39="Inclinada",H39&gt;=600),(H39/1000+0.6),IF(N39="Reta",((H39/1000)+('PARAMETROS MC'!D$11))))),"")</f>
        <v>0.95000000000000007</v>
      </c>
      <c r="K39" s="1052" t="s">
        <v>11989</v>
      </c>
      <c r="L39" s="1060" t="str">
        <f>IF(A39&lt;&gt;0,IF(K39="",0,IF(K39="Sem Revestimento","-",IF(N39="Inclinada",((R39+(2*'PARAMETROS MC'!D$14))*I39),IF(N39="Reta",((J39+(2*'PARAMETROS MC'!D$14))*I39))))),"")</f>
        <v>-</v>
      </c>
      <c r="M39" s="1060" t="str">
        <f>IF(A39&lt;&gt;0,IF(K39="",0,IF(K39="Sem Revestimento","-",IF(N39="Inclinada",((R39+(2*'PARAMETROS MC'!D$14))*I39),IF(N39="Reta",((J39+(2*'PARAMETROS MC'!D$14))*I39))))),"")</f>
        <v>-</v>
      </c>
      <c r="N39" s="1052" t="str">
        <f t="shared" si="27"/>
        <v>Reta</v>
      </c>
      <c r="O39" s="1061">
        <f t="shared" si="0"/>
        <v>42.75</v>
      </c>
      <c r="P39" s="1061">
        <f t="shared" si="1"/>
        <v>42.75</v>
      </c>
      <c r="Q39" s="1053" t="str">
        <f>IF(A39&lt;&gt;0,IF(N39="Inclinada",(F39*(TAN('PARAMETROS MC'!D$9*PI()/180))),IF(N39="Reta","-")),"")</f>
        <v>-</v>
      </c>
      <c r="R39" s="1053" t="str">
        <f t="shared" si="2"/>
        <v>-</v>
      </c>
      <c r="S39" s="1053" t="str">
        <f t="shared" si="3"/>
        <v>-</v>
      </c>
      <c r="T39" s="1053" t="str">
        <f t="shared" si="4"/>
        <v>-</v>
      </c>
      <c r="U39" s="1053" t="str">
        <f t="shared" si="5"/>
        <v>-</v>
      </c>
      <c r="V39" s="1055">
        <f t="shared" si="6"/>
        <v>42.75</v>
      </c>
      <c r="W39" s="1052">
        <f t="shared" si="28"/>
        <v>1</v>
      </c>
      <c r="X39" s="1052" t="str">
        <f>IF(A39&lt;&gt;0,IF(N39="Inclinada",((AK39+AR39+AD39+W39)*(TAN('PARAMETROS MC'!D$9*PI()/180))),IF(N39="Reta","-")),"")</f>
        <v>-</v>
      </c>
      <c r="Y39" s="1052" t="str">
        <f t="shared" si="7"/>
        <v>-</v>
      </c>
      <c r="Z39" s="1052" t="str">
        <f t="shared" si="8"/>
        <v>-</v>
      </c>
      <c r="AA39" s="1052" t="str">
        <f t="shared" ref="AA39:AB43" si="58">IF(AF39&lt;&gt;"",AF39,"")</f>
        <v>-</v>
      </c>
      <c r="AB39" s="1052" t="str">
        <f t="shared" si="58"/>
        <v>-</v>
      </c>
      <c r="AC39" s="1055">
        <f t="shared" si="9"/>
        <v>42.75</v>
      </c>
      <c r="AD39" s="1052">
        <f t="shared" si="31"/>
        <v>0</v>
      </c>
      <c r="AE39" s="1052" t="str">
        <f>IF(A39&lt;&gt;0,IF(N39="Inclinada",((AK39+AR39+AD39)*(TAN('PARAMETROS MC'!D$9*PI()/180))),IF(N39="Reta","-")),"")</f>
        <v>-</v>
      </c>
      <c r="AF39" s="1052" t="str">
        <f t="shared" si="10"/>
        <v>-</v>
      </c>
      <c r="AG39" s="1052" t="str">
        <f t="shared" si="47"/>
        <v>-</v>
      </c>
      <c r="AH39" s="1052" t="str">
        <f t="shared" ref="AH39:AI43" si="59">IF(AM39&lt;&gt;"",AM39,"")</f>
        <v>-</v>
      </c>
      <c r="AI39" s="1052" t="str">
        <f t="shared" si="59"/>
        <v>-</v>
      </c>
      <c r="AJ39" s="1055">
        <f t="shared" si="11"/>
        <v>0</v>
      </c>
      <c r="AK39" s="1052">
        <f t="shared" si="12"/>
        <v>0</v>
      </c>
      <c r="AL39" s="1052" t="str">
        <f>IF(A39&lt;&gt;0,IF(N39="Inclinada",((AK39+AR39)*(TAN('PARAMETROS MC'!D$9*PI()/180))),IF(N39="Reta","-")),"")</f>
        <v>-</v>
      </c>
      <c r="AM39" s="1059" t="str">
        <f t="shared" si="13"/>
        <v>-</v>
      </c>
      <c r="AN39" s="1052" t="str">
        <f t="shared" si="49"/>
        <v>-</v>
      </c>
      <c r="AO39" s="1052" t="str">
        <f t="shared" ref="AO39:AP43" si="60">IF(AT39&lt;&gt;"",AT39,"")</f>
        <v>-</v>
      </c>
      <c r="AP39" s="1052" t="str">
        <f t="shared" si="60"/>
        <v>-</v>
      </c>
      <c r="AQ39" s="1055">
        <f t="shared" si="14"/>
        <v>0</v>
      </c>
      <c r="AR39" s="1052">
        <f t="shared" si="15"/>
        <v>0</v>
      </c>
      <c r="AS39" s="1052" t="str">
        <f>IF(A39&lt;&gt;0,IF(N39="Inclinada",(AR39*(TAN('PARAMETROS MC'!D$9*PI()/180))),IF(N39="Reta","-")),"")</f>
        <v>-</v>
      </c>
      <c r="AT39" s="1052" t="str">
        <f t="shared" si="16"/>
        <v>-</v>
      </c>
      <c r="AU39" s="1052" t="str">
        <f t="shared" si="17"/>
        <v>-</v>
      </c>
      <c r="AV39" s="1052" t="str">
        <f t="shared" si="18"/>
        <v>-</v>
      </c>
      <c r="AW39" s="1052" t="str">
        <f t="shared" si="19"/>
        <v>-</v>
      </c>
      <c r="AX39" s="1055">
        <f t="shared" si="20"/>
        <v>0</v>
      </c>
      <c r="AY39" s="1055" t="str">
        <f>IF(A39&lt;&gt;0,IF(N39="Reta","-",IF(N39="Inclinada",(((H39/1000)+'PARAMETROS MC'!C$35)*(TAN('PARAMETROS MC'!D$9*PI()/180))))),"")</f>
        <v>-</v>
      </c>
      <c r="AZ39" s="1055" t="str">
        <f t="shared" si="21"/>
        <v>-</v>
      </c>
      <c r="BA39" s="1055" t="str">
        <f t="shared" si="22"/>
        <v>-</v>
      </c>
      <c r="BB39" s="1055" t="str">
        <f t="shared" si="23"/>
        <v>-</v>
      </c>
      <c r="BC39" s="1055" t="str">
        <f t="shared" si="24"/>
        <v>-</v>
      </c>
      <c r="BD39" s="1055">
        <f t="shared" si="25"/>
        <v>0.79521564043991644</v>
      </c>
      <c r="BE39" s="1055">
        <f>IF(A39&lt;&gt;0,IF(N39="Inclinada",((((H39/1000+'PARAMETROS MC'!C$35)/6)*(((2*AZ39+BB39)*BA39)+((2*BB39+AZ39)*BC39)))-BD39),IF(N39="Reta",((I39*J39*((H39/1000)+'PARAMETROS MC'!C$35)-BD39)))),"")</f>
        <v>18.44228435956008</v>
      </c>
      <c r="BF39" s="1055">
        <f t="shared" si="35"/>
        <v>23.512500000000003</v>
      </c>
      <c r="BG39" s="1055" t="str">
        <f t="shared" si="36"/>
        <v/>
      </c>
      <c r="BH39" s="1055" t="str">
        <f t="shared" si="37"/>
        <v/>
      </c>
      <c r="BI39" s="1055">
        <f t="shared" si="38"/>
        <v>23.512500000000003</v>
      </c>
      <c r="BJ39" s="1055" t="str">
        <f t="shared" si="39"/>
        <v/>
      </c>
      <c r="BK39" s="1052" t="str">
        <f>IF(A39&lt;&gt;0,IF(N39="Reta",IF(F39&lt;'PARAMETROS MC'!B$17,"-",(I39*F39*2)),IF(N39="Inclinada","-")),"")</f>
        <v>-</v>
      </c>
      <c r="BL39" s="1055" t="str">
        <f>IF(A39&lt;&gt;0,IF(N39="Reta",IF(F39&lt;'PARAMETROS MC'!B$17,"-",IF(F39&gt;='PARAMETROS MC'!B$17,(BK39*('PARAMETROS MC'!B$18/100)))),IF(N39="Inclinada","-")),"")</f>
        <v>-</v>
      </c>
      <c r="BM39" s="1055" t="str">
        <f t="shared" si="40"/>
        <v>-</v>
      </c>
      <c r="BN39" s="1055" t="str">
        <f t="shared" si="41"/>
        <v/>
      </c>
      <c r="BO39" s="1052" t="str">
        <f>IF(A39&lt;&gt;0,IF(N39="Reta",IF(F39&lt;'PARAMETROS MC'!B$17,"-",IF(F39&gt;='PARAMETROS MC'!B$17,(BK39*('PARAMETROS MC'!B$19/100)))),IF(N39="Inclinada","-")),"")</f>
        <v>-</v>
      </c>
      <c r="BP39" s="1060" t="str">
        <f>IF(A39&lt;&gt;0,IF(N39="Reta",IF(F39&lt;'PARAMETROS MC'!B$17,"-",IF(F39&gt;='PARAMETROS MC'!B$17,(BK39*('PARAMETROS MC'!B$20/100)))),IF(N39="Inclinada","-")),"")</f>
        <v>-</v>
      </c>
      <c r="BQ39" s="1060" t="str">
        <f>IF(A39&lt;&gt;0,IF(N39="Reta",IF(F39&lt;'PARAMETROS MC'!B$17,"-",IF(F39&gt;='PARAMETROS MC'!B$17,(BK39*('PARAMETROS MC'!B$21/100)))),IF(N39="Inclinada","-")),"")</f>
        <v>-</v>
      </c>
      <c r="BR39" s="1052"/>
      <c r="BS39" s="1052" t="str">
        <f t="shared" si="26"/>
        <v>-</v>
      </c>
    </row>
    <row r="40" spans="1:71" s="1063" customFormat="1">
      <c r="A40" s="1057">
        <v>29</v>
      </c>
      <c r="B40" s="1064" t="s">
        <v>11840</v>
      </c>
      <c r="C40" s="1064" t="s">
        <v>12018</v>
      </c>
      <c r="D40" s="1059">
        <v>1.6</v>
      </c>
      <c r="E40" s="1059">
        <v>1.6</v>
      </c>
      <c r="F40" s="1060">
        <f t="shared" si="51"/>
        <v>1.6</v>
      </c>
      <c r="G40" s="1052" t="s">
        <v>11990</v>
      </c>
      <c r="H40" s="1052">
        <v>600</v>
      </c>
      <c r="I40" s="1052">
        <v>27</v>
      </c>
      <c r="J40" s="1059">
        <f>IF(A40&lt;&gt;0,IF(AND(N40="Inclinada",H40&lt;600),(H40/1000+0.6),IF(AND(N40="Inclinada",H40&gt;=600),(H40/1000+0.6),IF(N40="Reta",((H40/1000)+('PARAMETROS MC'!D$11))))),"")</f>
        <v>1.4</v>
      </c>
      <c r="K40" s="1052" t="s">
        <v>11989</v>
      </c>
      <c r="L40" s="1060" t="str">
        <f>IF(A40&lt;&gt;0,IF(K40="",0,IF(K40="Sem Revestimento","-",IF(N40="Inclinada",((R40+(2*'PARAMETROS MC'!D$14))*I40),IF(N40="Reta",((J40+(2*'PARAMETROS MC'!D$14))*I40))))),"")</f>
        <v>-</v>
      </c>
      <c r="M40" s="1060" t="str">
        <f>IF(A40&lt;&gt;0,IF(K40="",0,IF(K40="Sem Revestimento","-",IF(N40="Inclinada",((R40+(2*'PARAMETROS MC'!D$14))*I40),IF(N40="Reta",((J40+(2*'PARAMETROS MC'!D$14))*I40))))),"")</f>
        <v>-</v>
      </c>
      <c r="N40" s="1052" t="str">
        <f t="shared" si="27"/>
        <v>Reta</v>
      </c>
      <c r="O40" s="1061">
        <f t="shared" si="0"/>
        <v>37.799999999999997</v>
      </c>
      <c r="P40" s="1061">
        <f t="shared" si="1"/>
        <v>37.799999999999997</v>
      </c>
      <c r="Q40" s="1053" t="str">
        <f>IF(A40&lt;&gt;0,IF(N40="Inclinada",(F40*(TAN('PARAMETROS MC'!D$9*PI()/180))),IF(N40="Reta","-")),"")</f>
        <v>-</v>
      </c>
      <c r="R40" s="1053" t="str">
        <f t="shared" si="2"/>
        <v>-</v>
      </c>
      <c r="S40" s="1053" t="str">
        <f t="shared" si="3"/>
        <v>-</v>
      </c>
      <c r="T40" s="1053" t="str">
        <f t="shared" si="4"/>
        <v>-</v>
      </c>
      <c r="U40" s="1053" t="str">
        <f t="shared" si="5"/>
        <v>-</v>
      </c>
      <c r="V40" s="1055">
        <f t="shared" si="6"/>
        <v>60.48</v>
      </c>
      <c r="W40" s="1052">
        <f t="shared" si="28"/>
        <v>1.5</v>
      </c>
      <c r="X40" s="1052" t="str">
        <f>IF(A40&lt;&gt;0,IF(N40="Inclinada",((AK40+AR40+AD40+W40)*(TAN('PARAMETROS MC'!D$9*PI()/180))),IF(N40="Reta","-")),"")</f>
        <v>-</v>
      </c>
      <c r="Y40" s="1052" t="str">
        <f t="shared" si="7"/>
        <v>-</v>
      </c>
      <c r="Z40" s="1052" t="str">
        <f t="shared" si="8"/>
        <v>-</v>
      </c>
      <c r="AA40" s="1052" t="str">
        <f t="shared" si="58"/>
        <v>-</v>
      </c>
      <c r="AB40" s="1052" t="str">
        <f t="shared" si="58"/>
        <v>-</v>
      </c>
      <c r="AC40" s="1055">
        <f t="shared" si="9"/>
        <v>56.699999999999996</v>
      </c>
      <c r="AD40" s="1052">
        <f t="shared" si="31"/>
        <v>0.10000000000000009</v>
      </c>
      <c r="AE40" s="1052" t="str">
        <f>IF(A40&lt;&gt;0,IF(N40="Inclinada",((AK40+AR40+AD40)*(TAN('PARAMETROS MC'!D$9*PI()/180))),IF(N40="Reta","-")),"")</f>
        <v>-</v>
      </c>
      <c r="AF40" s="1052" t="str">
        <f t="shared" si="10"/>
        <v>-</v>
      </c>
      <c r="AG40" s="1052" t="str">
        <f t="shared" si="47"/>
        <v>-</v>
      </c>
      <c r="AH40" s="1052" t="str">
        <f t="shared" si="59"/>
        <v>-</v>
      </c>
      <c r="AI40" s="1052" t="str">
        <f t="shared" si="59"/>
        <v>-</v>
      </c>
      <c r="AJ40" s="1055">
        <f t="shared" si="11"/>
        <v>3.7800000000000029</v>
      </c>
      <c r="AK40" s="1052">
        <f t="shared" si="12"/>
        <v>0</v>
      </c>
      <c r="AL40" s="1052" t="str">
        <f>IF(A40&lt;&gt;0,IF(N40="Inclinada",((AK40+AR40)*(TAN('PARAMETROS MC'!D$9*PI()/180))),IF(N40="Reta","-")),"")</f>
        <v>-</v>
      </c>
      <c r="AM40" s="1059" t="str">
        <f t="shared" si="13"/>
        <v>-</v>
      </c>
      <c r="AN40" s="1052" t="str">
        <f t="shared" si="49"/>
        <v>-</v>
      </c>
      <c r="AO40" s="1052" t="str">
        <f t="shared" si="60"/>
        <v>-</v>
      </c>
      <c r="AP40" s="1052" t="str">
        <f t="shared" si="60"/>
        <v>-</v>
      </c>
      <c r="AQ40" s="1055">
        <f t="shared" si="14"/>
        <v>0</v>
      </c>
      <c r="AR40" s="1052">
        <f t="shared" si="15"/>
        <v>0</v>
      </c>
      <c r="AS40" s="1052" t="str">
        <f>IF(A40&lt;&gt;0,IF(N40="Inclinada",(AR40*(TAN('PARAMETROS MC'!D$9*PI()/180))),IF(N40="Reta","-")),"")</f>
        <v>-</v>
      </c>
      <c r="AT40" s="1052" t="str">
        <f t="shared" si="16"/>
        <v>-</v>
      </c>
      <c r="AU40" s="1052" t="str">
        <f t="shared" si="17"/>
        <v>-</v>
      </c>
      <c r="AV40" s="1052" t="str">
        <f t="shared" si="18"/>
        <v>-</v>
      </c>
      <c r="AW40" s="1052" t="str">
        <f t="shared" si="19"/>
        <v>-</v>
      </c>
      <c r="AX40" s="1055">
        <f t="shared" si="20"/>
        <v>0</v>
      </c>
      <c r="AY40" s="1055" t="str">
        <f>IF(A40&lt;&gt;0,IF(N40="Reta","-",IF(N40="Inclinada",(((H40/1000)+'PARAMETROS MC'!C$35)*(TAN('PARAMETROS MC'!D$9*PI()/180))))),"")</f>
        <v>-</v>
      </c>
      <c r="AZ40" s="1055" t="str">
        <f t="shared" si="21"/>
        <v>-</v>
      </c>
      <c r="BA40" s="1055" t="str">
        <f t="shared" si="22"/>
        <v>-</v>
      </c>
      <c r="BB40" s="1055" t="str">
        <f t="shared" si="23"/>
        <v>-</v>
      </c>
      <c r="BC40" s="1055" t="str">
        <f t="shared" si="24"/>
        <v>-</v>
      </c>
      <c r="BD40" s="1055">
        <f t="shared" si="25"/>
        <v>7.6340701482231976</v>
      </c>
      <c r="BE40" s="1055">
        <f>IF(A40&lt;&gt;0,IF(N40="Inclinada",((((H40/1000+'PARAMETROS MC'!C$35)/6)*(((2*AZ40+BB40)*BA40)+((2*BB40+AZ40)*BC40)))-BD40),IF(N40="Reta",((I40*J40*((H40/1000)+'PARAMETROS MC'!C$35)-BD40)))),"")</f>
        <v>26.385929851776798</v>
      </c>
      <c r="BF40" s="1055">
        <f t="shared" si="35"/>
        <v>26.459999999999997</v>
      </c>
      <c r="BG40" s="1055" t="str">
        <f t="shared" si="36"/>
        <v/>
      </c>
      <c r="BH40" s="1055" t="str">
        <f t="shared" si="37"/>
        <v/>
      </c>
      <c r="BI40" s="1055" t="str">
        <f t="shared" si="38"/>
        <v/>
      </c>
      <c r="BJ40" s="1055">
        <f t="shared" si="39"/>
        <v>26.46</v>
      </c>
      <c r="BK40" s="1052">
        <f>IF(A40&lt;&gt;0,IF(N40="Reta",IF(F40&lt;'PARAMETROS MC'!B$17,"-",(I40*F40*2)),IF(N40="Inclinada","-")),"")</f>
        <v>86.4</v>
      </c>
      <c r="BL40" s="1055">
        <f>IF(A40&lt;&gt;0,IF(N40="Reta",IF(F40&lt;'PARAMETROS MC'!B$17,"-",IF(F40&gt;='PARAMETROS MC'!B$17,(BK40*('PARAMETROS MC'!B$18/100)))),IF(N40="Inclinada","-")),"")</f>
        <v>83.808000000000007</v>
      </c>
      <c r="BM40" s="1055" t="str">
        <f t="shared" si="40"/>
        <v/>
      </c>
      <c r="BN40" s="1055">
        <f t="shared" si="41"/>
        <v>83.808000000000007</v>
      </c>
      <c r="BO40" s="1052">
        <f>IF(A40&lt;&gt;0,IF(N40="Reta",IF(F40&lt;'PARAMETROS MC'!B$17,"-",IF(F40&gt;='PARAMETROS MC'!B$17,(BK40*('PARAMETROS MC'!B$19/100)))),IF(N40="Inclinada","-")),"")</f>
        <v>0</v>
      </c>
      <c r="BP40" s="1060">
        <f>IF(A40&lt;&gt;0,IF(N40="Reta",IF(F40&lt;'PARAMETROS MC'!B$17,"-",IF(F40&gt;='PARAMETROS MC'!B$17,(BK40*('PARAMETROS MC'!B$20/100)))),IF(N40="Inclinada","-")),"")</f>
        <v>0</v>
      </c>
      <c r="BQ40" s="1060">
        <f>IF(A40&lt;&gt;0,IF(N40="Reta",IF(F40&lt;'PARAMETROS MC'!B$17,"-",IF(F40&gt;='PARAMETROS MC'!B$17,(BK40*('PARAMETROS MC'!B$21/100)))),IF(N40="Inclinada","-")),"")</f>
        <v>2.5920000000000001</v>
      </c>
      <c r="BR40" s="1052"/>
      <c r="BS40" s="1052" t="str">
        <f t="shared" si="26"/>
        <v>-</v>
      </c>
    </row>
    <row r="41" spans="1:71" s="1063" customFormat="1">
      <c r="A41" s="1057">
        <v>30</v>
      </c>
      <c r="B41" s="1064" t="s">
        <v>12017</v>
      </c>
      <c r="C41" s="1064" t="s">
        <v>12018</v>
      </c>
      <c r="D41" s="1059">
        <v>0.97</v>
      </c>
      <c r="E41" s="1059">
        <v>1.1200000000000001</v>
      </c>
      <c r="F41" s="1060">
        <f t="shared" si="51"/>
        <v>1.0449999999999999</v>
      </c>
      <c r="G41" s="1052" t="s">
        <v>12026</v>
      </c>
      <c r="H41" s="1052">
        <v>500</v>
      </c>
      <c r="I41" s="1052">
        <v>28.45</v>
      </c>
      <c r="J41" s="1059">
        <f>IF(A41&lt;&gt;0,IF(AND(N41="Inclinada",H41&lt;600),(H41/1000+0.6),IF(AND(N41="Inclinada",H41&gt;=600),(H41/1000+0.6),IF(N41="Reta",((H41/1000)+('PARAMETROS MC'!D$11))))),"")</f>
        <v>1.3</v>
      </c>
      <c r="K41" s="1052" t="s">
        <v>11989</v>
      </c>
      <c r="L41" s="1060" t="str">
        <f>IF(A41&lt;&gt;0,IF(K41="",0,IF(K41="Sem Revestimento","-",IF(N41="Inclinada",((R41+(2*'PARAMETROS MC'!D$14))*I41),IF(N41="Reta",((J41+(2*'PARAMETROS MC'!D$14))*I41))))),"")</f>
        <v>-</v>
      </c>
      <c r="M41" s="1060" t="str">
        <f>IF(A41&lt;&gt;0,IF(K41="",0,IF(K41="Sem Revestimento","-",IF(N41="Inclinada",((R41+(2*'PARAMETROS MC'!D$14))*I41),IF(N41="Reta",((J41+(2*'PARAMETROS MC'!D$14))*I41))))),"")</f>
        <v>-</v>
      </c>
      <c r="N41" s="1052" t="str">
        <f t="shared" si="27"/>
        <v>Reta</v>
      </c>
      <c r="O41" s="1061">
        <f t="shared" si="0"/>
        <v>36.984999999999999</v>
      </c>
      <c r="P41" s="1061">
        <f t="shared" si="1"/>
        <v>36.984999999999999</v>
      </c>
      <c r="Q41" s="1053" t="str">
        <f>IF(A41&lt;&gt;0,IF(N41="Inclinada",(F41*(TAN('PARAMETROS MC'!D$9*PI()/180))),IF(N41="Reta","-")),"")</f>
        <v>-</v>
      </c>
      <c r="R41" s="1053" t="str">
        <f t="shared" si="2"/>
        <v>-</v>
      </c>
      <c r="S41" s="1053" t="str">
        <f t="shared" si="3"/>
        <v>-</v>
      </c>
      <c r="T41" s="1053" t="str">
        <f t="shared" si="4"/>
        <v>-</v>
      </c>
      <c r="U41" s="1053" t="str">
        <f t="shared" si="5"/>
        <v>-</v>
      </c>
      <c r="V41" s="1055">
        <f t="shared" si="6"/>
        <v>38.649324999999997</v>
      </c>
      <c r="W41" s="1052">
        <f t="shared" si="28"/>
        <v>1.0449999999999999</v>
      </c>
      <c r="X41" s="1052" t="str">
        <f>IF(A41&lt;&gt;0,IF(N41="Inclinada",((AK41+AR41+AD41+W41)*(TAN('PARAMETROS MC'!D$9*PI()/180))),IF(N41="Reta","-")),"")</f>
        <v>-</v>
      </c>
      <c r="Y41" s="1052" t="str">
        <f t="shared" si="7"/>
        <v>-</v>
      </c>
      <c r="Z41" s="1052" t="str">
        <f t="shared" si="8"/>
        <v>-</v>
      </c>
      <c r="AA41" s="1052" t="str">
        <f t="shared" si="58"/>
        <v>-</v>
      </c>
      <c r="AB41" s="1052" t="str">
        <f t="shared" si="58"/>
        <v>-</v>
      </c>
      <c r="AC41" s="1055">
        <f t="shared" si="9"/>
        <v>38.649324999999997</v>
      </c>
      <c r="AD41" s="1052">
        <f t="shared" si="31"/>
        <v>0</v>
      </c>
      <c r="AE41" s="1052" t="str">
        <f>IF(A41&lt;&gt;0,IF(N41="Inclinada",((AK41+AR41+AD41)*(TAN('PARAMETROS MC'!D$9*PI()/180))),IF(N41="Reta","-")),"")</f>
        <v>-</v>
      </c>
      <c r="AF41" s="1052" t="str">
        <f t="shared" si="10"/>
        <v>-</v>
      </c>
      <c r="AG41" s="1052" t="str">
        <f t="shared" si="47"/>
        <v>-</v>
      </c>
      <c r="AH41" s="1052" t="str">
        <f t="shared" si="59"/>
        <v>-</v>
      </c>
      <c r="AI41" s="1052" t="str">
        <f t="shared" si="59"/>
        <v>-</v>
      </c>
      <c r="AJ41" s="1055">
        <f t="shared" si="11"/>
        <v>0</v>
      </c>
      <c r="AK41" s="1052">
        <f t="shared" si="12"/>
        <v>0</v>
      </c>
      <c r="AL41" s="1052" t="str">
        <f>IF(A41&lt;&gt;0,IF(N41="Inclinada",((AK41+AR41)*(TAN('PARAMETROS MC'!D$9*PI()/180))),IF(N41="Reta","-")),"")</f>
        <v>-</v>
      </c>
      <c r="AM41" s="1059" t="str">
        <f t="shared" si="13"/>
        <v>-</v>
      </c>
      <c r="AN41" s="1052" t="str">
        <f t="shared" si="49"/>
        <v>-</v>
      </c>
      <c r="AO41" s="1052" t="str">
        <f t="shared" si="60"/>
        <v>-</v>
      </c>
      <c r="AP41" s="1052" t="str">
        <f t="shared" si="60"/>
        <v>-</v>
      </c>
      <c r="AQ41" s="1055">
        <f t="shared" si="14"/>
        <v>0</v>
      </c>
      <c r="AR41" s="1052">
        <f t="shared" si="15"/>
        <v>0</v>
      </c>
      <c r="AS41" s="1052" t="str">
        <f>IF(A41&lt;&gt;0,IF(N41="Inclinada",(AR41*(TAN('PARAMETROS MC'!D$9*PI()/180))),IF(N41="Reta","-")),"")</f>
        <v>-</v>
      </c>
      <c r="AT41" s="1052" t="str">
        <f t="shared" si="16"/>
        <v>-</v>
      </c>
      <c r="AU41" s="1052" t="str">
        <f t="shared" si="17"/>
        <v>-</v>
      </c>
      <c r="AV41" s="1052" t="str">
        <f t="shared" si="18"/>
        <v>-</v>
      </c>
      <c r="AW41" s="1052" t="str">
        <f t="shared" si="19"/>
        <v>-</v>
      </c>
      <c r="AX41" s="1055">
        <f t="shared" si="20"/>
        <v>0</v>
      </c>
      <c r="AY41" s="1055" t="str">
        <f>IF(A41&lt;&gt;0,IF(N41="Reta","-",IF(N41="Inclinada",(((H41/1000)+'PARAMETROS MC'!C$35)*(TAN('PARAMETROS MC'!D$9*PI()/180))))),"")</f>
        <v>-</v>
      </c>
      <c r="AZ41" s="1055" t="str">
        <f t="shared" si="21"/>
        <v>-</v>
      </c>
      <c r="BA41" s="1055" t="str">
        <f t="shared" si="22"/>
        <v>-</v>
      </c>
      <c r="BB41" s="1055" t="str">
        <f t="shared" si="23"/>
        <v>-</v>
      </c>
      <c r="BC41" s="1055" t="str">
        <f t="shared" si="24"/>
        <v>-</v>
      </c>
      <c r="BD41" s="1055">
        <f t="shared" si="25"/>
        <v>5.5861444371643509</v>
      </c>
      <c r="BE41" s="1055">
        <f>IF(A41&lt;&gt;0,IF(N41="Inclinada",((((H41/1000+'PARAMETROS MC'!C$35)/6)*(((2*AZ41+BB41)*BA41)+((2*BB41+AZ41)*BC41)))-BD41),IF(N41="Reta",((I41*J41*((H41/1000)+'PARAMETROS MC'!C$35)-BD41)))),"")</f>
        <v>24.001855562835651</v>
      </c>
      <c r="BF41" s="1055">
        <f t="shared" si="35"/>
        <v>9.0613249999999965</v>
      </c>
      <c r="BG41" s="1055" t="str">
        <f t="shared" si="36"/>
        <v/>
      </c>
      <c r="BH41" s="1055" t="str">
        <f t="shared" si="37"/>
        <v/>
      </c>
      <c r="BI41" s="1055">
        <f t="shared" si="38"/>
        <v>9.0613249999999965</v>
      </c>
      <c r="BJ41" s="1055" t="str">
        <f t="shared" si="39"/>
        <v/>
      </c>
      <c r="BK41" s="1052" t="str">
        <f>IF(A41&lt;&gt;0,IF(N41="Reta",IF(F41&lt;'PARAMETROS MC'!B$17,"-",(I41*F41*2)),IF(N41="Inclinada","-")),"")</f>
        <v>-</v>
      </c>
      <c r="BL41" s="1055" t="str">
        <f>IF(A41&lt;&gt;0,IF(N41="Reta",IF(F41&lt;'PARAMETROS MC'!B$17,"-",IF(F41&gt;='PARAMETROS MC'!B$17,(BK41*('PARAMETROS MC'!B$18/100)))),IF(N41="Inclinada","-")),"")</f>
        <v>-</v>
      </c>
      <c r="BM41" s="1055" t="str">
        <f t="shared" si="40"/>
        <v>-</v>
      </c>
      <c r="BN41" s="1055" t="str">
        <f t="shared" si="41"/>
        <v/>
      </c>
      <c r="BO41" s="1052" t="str">
        <f>IF(A41&lt;&gt;0,IF(N41="Reta",IF(F41&lt;'PARAMETROS MC'!B$17,"-",IF(F41&gt;='PARAMETROS MC'!B$17,(BK41*('PARAMETROS MC'!B$19/100)))),IF(N41="Inclinada","-")),"")</f>
        <v>-</v>
      </c>
      <c r="BP41" s="1060" t="str">
        <f>IF(A41&lt;&gt;0,IF(N41="Reta",IF(F41&lt;'PARAMETROS MC'!B$17,"-",IF(F41&gt;='PARAMETROS MC'!B$17,(BK41*('PARAMETROS MC'!B$20/100)))),IF(N41="Inclinada","-")),"")</f>
        <v>-</v>
      </c>
      <c r="BQ41" s="1060" t="str">
        <f>IF(A41&lt;&gt;0,IF(N41="Reta",IF(F41&lt;'PARAMETROS MC'!B$17,"-",IF(F41&gt;='PARAMETROS MC'!B$17,(BK41*('PARAMETROS MC'!B$21/100)))),IF(N41="Inclinada","-")),"")</f>
        <v>-</v>
      </c>
      <c r="BR41" s="1052"/>
      <c r="BS41" s="1052" t="str">
        <f t="shared" si="26"/>
        <v>-</v>
      </c>
    </row>
    <row r="42" spans="1:71" s="1063" customFormat="1">
      <c r="A42" s="1057">
        <v>31</v>
      </c>
      <c r="B42" s="1064" t="str">
        <f>C41</f>
        <v>PV2</v>
      </c>
      <c r="C42" s="1064" t="s">
        <v>12019</v>
      </c>
      <c r="D42" s="1059">
        <f>E41</f>
        <v>1.1200000000000001</v>
      </c>
      <c r="E42" s="1059">
        <v>1.3</v>
      </c>
      <c r="F42" s="1060">
        <f t="shared" si="51"/>
        <v>1.21</v>
      </c>
      <c r="G42" s="1052" t="s">
        <v>12009</v>
      </c>
      <c r="H42" s="1052">
        <v>700</v>
      </c>
      <c r="I42" s="1052">
        <v>35.5</v>
      </c>
      <c r="J42" s="1059">
        <f>IF(A42&lt;&gt;0,IF(AND(N42="Inclinada",H42&lt;600),(H42/1000+0.6),IF(AND(N42="Inclinada",H42&gt;=600),(H42/1000+0.6),IF(N42="Reta",((H42/1000)+('PARAMETROS MC'!D$11))))),"")</f>
        <v>1.5</v>
      </c>
      <c r="K42" s="1052" t="s">
        <v>11989</v>
      </c>
      <c r="L42" s="1060" t="str">
        <f>IF(A42&lt;&gt;0,IF(K42="",0,IF(K42="Sem Revestimento","-",IF(N42="Inclinada",((R42+(2*'PARAMETROS MC'!D$14))*I42),IF(N42="Reta",((J42+(2*'PARAMETROS MC'!D$14))*I42))))),"")</f>
        <v>-</v>
      </c>
      <c r="M42" s="1060" t="str">
        <f>IF(A42&lt;&gt;0,IF(K42="",0,IF(K42="Sem Revestimento","-",IF(N42="Inclinada",((R42+(2*'PARAMETROS MC'!D$14))*I42),IF(N42="Reta",((J42+(2*'PARAMETROS MC'!D$14))*I42))))),"")</f>
        <v>-</v>
      </c>
      <c r="N42" s="1052" t="str">
        <f t="shared" si="27"/>
        <v>Reta</v>
      </c>
      <c r="O42" s="1061">
        <f t="shared" si="0"/>
        <v>53.25</v>
      </c>
      <c r="P42" s="1061">
        <f t="shared" si="1"/>
        <v>53.25</v>
      </c>
      <c r="Q42" s="1053" t="str">
        <f>IF(A42&lt;&gt;0,IF(N42="Inclinada",(F42*(TAN('PARAMETROS MC'!D$9*PI()/180))),IF(N42="Reta","-")),"")</f>
        <v>-</v>
      </c>
      <c r="R42" s="1053" t="str">
        <f t="shared" si="2"/>
        <v>-</v>
      </c>
      <c r="S42" s="1053" t="str">
        <f t="shared" si="3"/>
        <v>-</v>
      </c>
      <c r="T42" s="1053" t="str">
        <f t="shared" si="4"/>
        <v>-</v>
      </c>
      <c r="U42" s="1053" t="str">
        <f t="shared" si="5"/>
        <v>-</v>
      </c>
      <c r="V42" s="1055">
        <f t="shared" si="6"/>
        <v>64.432500000000005</v>
      </c>
      <c r="W42" s="1052">
        <f t="shared" si="28"/>
        <v>1.21</v>
      </c>
      <c r="X42" s="1052" t="str">
        <f>IF(A42&lt;&gt;0,IF(N42="Inclinada",((AK42+AR42+AD42+W42)*(TAN('PARAMETROS MC'!D$9*PI()/180))),IF(N42="Reta","-")),"")</f>
        <v>-</v>
      </c>
      <c r="Y42" s="1052" t="str">
        <f t="shared" si="7"/>
        <v>-</v>
      </c>
      <c r="Z42" s="1052" t="str">
        <f t="shared" si="8"/>
        <v>-</v>
      </c>
      <c r="AA42" s="1052" t="str">
        <f t="shared" si="58"/>
        <v>-</v>
      </c>
      <c r="AB42" s="1052" t="str">
        <f t="shared" si="58"/>
        <v>-</v>
      </c>
      <c r="AC42" s="1055">
        <f t="shared" si="9"/>
        <v>64.432500000000005</v>
      </c>
      <c r="AD42" s="1052">
        <f t="shared" si="31"/>
        <v>0</v>
      </c>
      <c r="AE42" s="1052" t="str">
        <f>IF(A42&lt;&gt;0,IF(N42="Inclinada",((AK42+AR42+AD42)*(TAN('PARAMETROS MC'!D$9*PI()/180))),IF(N42="Reta","-")),"")</f>
        <v>-</v>
      </c>
      <c r="AF42" s="1052" t="str">
        <f t="shared" si="10"/>
        <v>-</v>
      </c>
      <c r="AG42" s="1052" t="str">
        <f t="shared" si="47"/>
        <v>-</v>
      </c>
      <c r="AH42" s="1052" t="str">
        <f t="shared" si="59"/>
        <v>-</v>
      </c>
      <c r="AI42" s="1052" t="str">
        <f t="shared" si="59"/>
        <v>-</v>
      </c>
      <c r="AJ42" s="1055">
        <f t="shared" si="11"/>
        <v>0</v>
      </c>
      <c r="AK42" s="1052">
        <f t="shared" si="12"/>
        <v>0</v>
      </c>
      <c r="AL42" s="1052" t="str">
        <f>IF(A42&lt;&gt;0,IF(N42="Inclinada",((AK42+AR42)*(TAN('PARAMETROS MC'!D$9*PI()/180))),IF(N42="Reta","-")),"")</f>
        <v>-</v>
      </c>
      <c r="AM42" s="1059" t="str">
        <f t="shared" si="13"/>
        <v>-</v>
      </c>
      <c r="AN42" s="1052" t="str">
        <f t="shared" si="49"/>
        <v>-</v>
      </c>
      <c r="AO42" s="1052" t="str">
        <f t="shared" si="60"/>
        <v>-</v>
      </c>
      <c r="AP42" s="1052" t="str">
        <f t="shared" si="60"/>
        <v>-</v>
      </c>
      <c r="AQ42" s="1055">
        <f t="shared" si="14"/>
        <v>0</v>
      </c>
      <c r="AR42" s="1052">
        <f t="shared" si="15"/>
        <v>0</v>
      </c>
      <c r="AS42" s="1052" t="str">
        <f>IF(A42&lt;&gt;0,IF(N42="Inclinada",(AR42*(TAN('PARAMETROS MC'!D$9*PI()/180))),IF(N42="Reta","-")),"")</f>
        <v>-</v>
      </c>
      <c r="AT42" s="1052" t="str">
        <f t="shared" si="16"/>
        <v>-</v>
      </c>
      <c r="AU42" s="1052" t="str">
        <f t="shared" si="17"/>
        <v>-</v>
      </c>
      <c r="AV42" s="1052" t="str">
        <f t="shared" si="18"/>
        <v>-</v>
      </c>
      <c r="AW42" s="1052" t="str">
        <f t="shared" si="19"/>
        <v>-</v>
      </c>
      <c r="AX42" s="1055">
        <f t="shared" si="20"/>
        <v>0</v>
      </c>
      <c r="AY42" s="1055" t="str">
        <f>IF(A42&lt;&gt;0,IF(N42="Reta","-",IF(N42="Inclinada",(((H42/1000)+'PARAMETROS MC'!C$35)*(TAN('PARAMETROS MC'!D$9*PI()/180))))),"")</f>
        <v>-</v>
      </c>
      <c r="AZ42" s="1055" t="str">
        <f t="shared" si="21"/>
        <v>-</v>
      </c>
      <c r="BA42" s="1055" t="str">
        <f t="shared" si="22"/>
        <v>-</v>
      </c>
      <c r="BB42" s="1055" t="str">
        <f t="shared" si="23"/>
        <v>-</v>
      </c>
      <c r="BC42" s="1055" t="str">
        <f t="shared" si="24"/>
        <v>-</v>
      </c>
      <c r="BD42" s="1055">
        <f t="shared" si="25"/>
        <v>13.66200105229861</v>
      </c>
      <c r="BE42" s="1055">
        <f>IF(A42&lt;&gt;0,IF(N42="Inclinada",((((H42/1000+'PARAMETROS MC'!C$35)/6)*(((2*AZ42+BB42)*BA42)+((2*BB42+AZ42)*BC42)))-BD42),IF(N42="Reta",((I42*J42*((H42/1000)+'PARAMETROS MC'!C$35)-BD42)))),"")</f>
        <v>39.587998947701394</v>
      </c>
      <c r="BF42" s="1055">
        <f t="shared" si="35"/>
        <v>11.182500000000001</v>
      </c>
      <c r="BG42" s="1055" t="str">
        <f t="shared" si="36"/>
        <v/>
      </c>
      <c r="BH42" s="1055" t="str">
        <f t="shared" si="37"/>
        <v/>
      </c>
      <c r="BI42" s="1055">
        <f t="shared" si="38"/>
        <v>11.182500000000005</v>
      </c>
      <c r="BJ42" s="1055" t="str">
        <f t="shared" si="39"/>
        <v/>
      </c>
      <c r="BK42" s="1052" t="str">
        <f>IF(A42&lt;&gt;0,IF(N42="Reta",IF(F42&lt;'PARAMETROS MC'!B$17,"-",(I42*F42*2)),IF(N42="Inclinada","-")),"")</f>
        <v>-</v>
      </c>
      <c r="BL42" s="1055" t="str">
        <f>IF(A42&lt;&gt;0,IF(N42="Reta",IF(F42&lt;'PARAMETROS MC'!B$17,"-",IF(F42&gt;='PARAMETROS MC'!B$17,(BK42*('PARAMETROS MC'!B$18/100)))),IF(N42="Inclinada","-")),"")</f>
        <v>-</v>
      </c>
      <c r="BM42" s="1055" t="str">
        <f t="shared" si="40"/>
        <v>-</v>
      </c>
      <c r="BN42" s="1055" t="str">
        <f t="shared" si="41"/>
        <v/>
      </c>
      <c r="BO42" s="1052" t="str">
        <f>IF(A42&lt;&gt;0,IF(N42="Reta",IF(F42&lt;'PARAMETROS MC'!B$17,"-",IF(F42&gt;='PARAMETROS MC'!B$17,(BK42*('PARAMETROS MC'!B$19/100)))),IF(N42="Inclinada","-")),"")</f>
        <v>-</v>
      </c>
      <c r="BP42" s="1060" t="str">
        <f>IF(A42&lt;&gt;0,IF(N42="Reta",IF(F42&lt;'PARAMETROS MC'!B$17,"-",IF(F42&gt;='PARAMETROS MC'!B$17,(BK42*('PARAMETROS MC'!B$20/100)))),IF(N42="Inclinada","-")),"")</f>
        <v>-</v>
      </c>
      <c r="BQ42" s="1060" t="str">
        <f>IF(A42&lt;&gt;0,IF(N42="Reta",IF(F42&lt;'PARAMETROS MC'!B$17,"-",IF(F42&gt;='PARAMETROS MC'!B$17,(BK42*('PARAMETROS MC'!B$21/100)))),IF(N42="Inclinada","-")),"")</f>
        <v>-</v>
      </c>
      <c r="BR42" s="1052"/>
      <c r="BS42" s="1052" t="str">
        <f t="shared" si="26"/>
        <v>-</v>
      </c>
    </row>
    <row r="43" spans="1:71" s="1063" customFormat="1">
      <c r="A43" s="1057">
        <v>32</v>
      </c>
      <c r="B43" s="1064" t="str">
        <f t="shared" ref="B43:B55" si="61">C42</f>
        <v>PV3</v>
      </c>
      <c r="C43" s="1064" t="s">
        <v>12020</v>
      </c>
      <c r="D43" s="1059">
        <f>E42</f>
        <v>1.3</v>
      </c>
      <c r="E43" s="1059">
        <v>1.45</v>
      </c>
      <c r="F43" s="1060">
        <f t="shared" si="51"/>
        <v>1.375</v>
      </c>
      <c r="G43" s="1052" t="s">
        <v>12009</v>
      </c>
      <c r="H43" s="1052">
        <v>700</v>
      </c>
      <c r="I43" s="1052">
        <v>27.05</v>
      </c>
      <c r="J43" s="1059">
        <f>IF(A43&lt;&gt;0,IF(AND(N43="Inclinada",H43&lt;600),(H43/1000+0.6),IF(AND(N43="Inclinada",H43&gt;=600),(H43/1000+0.6),IF(N43="Reta",((H43/1000)+('PARAMETROS MC'!D$11))))),"")</f>
        <v>1.5</v>
      </c>
      <c r="K43" s="1052" t="s">
        <v>11989</v>
      </c>
      <c r="L43" s="1060" t="str">
        <f>IF(A43&lt;&gt;0,IF(K43="",0,IF(K43="Sem Revestimento","-",IF(N43="Inclinada",((R43+(2*'PARAMETROS MC'!D$14))*I43),IF(N43="Reta",((J43+(2*'PARAMETROS MC'!D$14))*I43))))),"")</f>
        <v>-</v>
      </c>
      <c r="M43" s="1060" t="str">
        <f>IF(A43&lt;&gt;0,IF(K43="",0,IF(K43="Sem Revestimento","-",IF(N43="Inclinada",((R43+(2*'PARAMETROS MC'!D$14))*I43),IF(N43="Reta",((J43+(2*'PARAMETROS MC'!D$14))*I43))))),"")</f>
        <v>-</v>
      </c>
      <c r="N43" s="1052" t="str">
        <f t="shared" si="27"/>
        <v>Reta</v>
      </c>
      <c r="O43" s="1061">
        <f t="shared" si="0"/>
        <v>40.575000000000003</v>
      </c>
      <c r="P43" s="1061">
        <f t="shared" si="1"/>
        <v>40.575000000000003</v>
      </c>
      <c r="Q43" s="1053" t="str">
        <f>IF(A43&lt;&gt;0,IF(N43="Inclinada",(F43*(TAN('PARAMETROS MC'!D$9*PI()/180))),IF(N43="Reta","-")),"")</f>
        <v>-</v>
      </c>
      <c r="R43" s="1053" t="str">
        <f t="shared" si="2"/>
        <v>-</v>
      </c>
      <c r="S43" s="1053" t="str">
        <f t="shared" si="3"/>
        <v>-</v>
      </c>
      <c r="T43" s="1053" t="str">
        <f t="shared" si="4"/>
        <v>-</v>
      </c>
      <c r="U43" s="1053" t="str">
        <f t="shared" si="5"/>
        <v>-</v>
      </c>
      <c r="V43" s="1055">
        <f t="shared" si="6"/>
        <v>55.790625000000006</v>
      </c>
      <c r="W43" s="1052">
        <f t="shared" si="28"/>
        <v>1.375</v>
      </c>
      <c r="X43" s="1052" t="str">
        <f>IF(A43&lt;&gt;0,IF(N43="Inclinada",((AK43+AR43+AD43+W43)*(TAN('PARAMETROS MC'!D$9*PI()/180))),IF(N43="Reta","-")),"")</f>
        <v>-</v>
      </c>
      <c r="Y43" s="1052" t="str">
        <f t="shared" si="7"/>
        <v>-</v>
      </c>
      <c r="Z43" s="1052" t="str">
        <f t="shared" si="8"/>
        <v>-</v>
      </c>
      <c r="AA43" s="1052" t="str">
        <f t="shared" si="58"/>
        <v>-</v>
      </c>
      <c r="AB43" s="1052" t="str">
        <f t="shared" si="58"/>
        <v>-</v>
      </c>
      <c r="AC43" s="1055">
        <f t="shared" si="9"/>
        <v>55.790625000000006</v>
      </c>
      <c r="AD43" s="1052">
        <f t="shared" si="31"/>
        <v>0</v>
      </c>
      <c r="AE43" s="1052" t="str">
        <f>IF(A43&lt;&gt;0,IF(N43="Inclinada",((AK43+AR43+AD43)*(TAN('PARAMETROS MC'!D$9*PI()/180))),IF(N43="Reta","-")),"")</f>
        <v>-</v>
      </c>
      <c r="AF43" s="1052" t="str">
        <f t="shared" si="10"/>
        <v>-</v>
      </c>
      <c r="AG43" s="1052" t="str">
        <f t="shared" si="47"/>
        <v>-</v>
      </c>
      <c r="AH43" s="1052" t="str">
        <f t="shared" si="59"/>
        <v>-</v>
      </c>
      <c r="AI43" s="1052" t="str">
        <f t="shared" si="59"/>
        <v>-</v>
      </c>
      <c r="AJ43" s="1055">
        <f t="shared" si="11"/>
        <v>0</v>
      </c>
      <c r="AK43" s="1052">
        <f t="shared" si="12"/>
        <v>0</v>
      </c>
      <c r="AL43" s="1052" t="str">
        <f>IF(A43&lt;&gt;0,IF(N43="Inclinada",((AK43+AR43)*(TAN('PARAMETROS MC'!D$9*PI()/180))),IF(N43="Reta","-")),"")</f>
        <v>-</v>
      </c>
      <c r="AM43" s="1059" t="str">
        <f t="shared" si="13"/>
        <v>-</v>
      </c>
      <c r="AN43" s="1052" t="str">
        <f t="shared" si="49"/>
        <v>-</v>
      </c>
      <c r="AO43" s="1052" t="str">
        <f t="shared" si="60"/>
        <v>-</v>
      </c>
      <c r="AP43" s="1052" t="str">
        <f t="shared" si="60"/>
        <v>-</v>
      </c>
      <c r="AQ43" s="1055">
        <f t="shared" si="14"/>
        <v>0</v>
      </c>
      <c r="AR43" s="1052">
        <f t="shared" si="15"/>
        <v>0</v>
      </c>
      <c r="AS43" s="1052" t="str">
        <f>IF(A43&lt;&gt;0,IF(N43="Inclinada",(AR43*(TAN('PARAMETROS MC'!D$9*PI()/180))),IF(N43="Reta","-")),"")</f>
        <v>-</v>
      </c>
      <c r="AT43" s="1052" t="str">
        <f t="shared" si="16"/>
        <v>-</v>
      </c>
      <c r="AU43" s="1052" t="str">
        <f t="shared" si="17"/>
        <v>-</v>
      </c>
      <c r="AV43" s="1052" t="str">
        <f t="shared" si="18"/>
        <v>-</v>
      </c>
      <c r="AW43" s="1052" t="str">
        <f t="shared" si="19"/>
        <v>-</v>
      </c>
      <c r="AX43" s="1055">
        <f t="shared" si="20"/>
        <v>0</v>
      </c>
      <c r="AY43" s="1055" t="str">
        <f>IF(A43&lt;&gt;0,IF(N43="Reta","-",IF(N43="Inclinada",(((H43/1000)+'PARAMETROS MC'!C$35)*(TAN('PARAMETROS MC'!D$9*PI()/180))))),"")</f>
        <v>-</v>
      </c>
      <c r="AZ43" s="1055" t="str">
        <f t="shared" si="21"/>
        <v>-</v>
      </c>
      <c r="BA43" s="1055" t="str">
        <f t="shared" si="22"/>
        <v>-</v>
      </c>
      <c r="BB43" s="1055" t="str">
        <f t="shared" si="23"/>
        <v>-</v>
      </c>
      <c r="BC43" s="1055" t="str">
        <f t="shared" si="24"/>
        <v>-</v>
      </c>
      <c r="BD43" s="1055">
        <f t="shared" si="25"/>
        <v>10.410059956751477</v>
      </c>
      <c r="BE43" s="1055">
        <f>IF(A43&lt;&gt;0,IF(N43="Inclinada",((((H43/1000+'PARAMETROS MC'!C$35)/6)*(((2*AZ43+BB43)*BA43)+((2*BB43+AZ43)*BC43)))-BD43),IF(N43="Reta",((I43*J43*((H43/1000)+'PARAMETROS MC'!C$35)-BD43)))),"")</f>
        <v>30.164940043248528</v>
      </c>
      <c r="BF43" s="1055">
        <f t="shared" si="35"/>
        <v>15.215625000000001</v>
      </c>
      <c r="BG43" s="1055" t="str">
        <f t="shared" si="36"/>
        <v/>
      </c>
      <c r="BH43" s="1055" t="str">
        <f t="shared" si="37"/>
        <v/>
      </c>
      <c r="BI43" s="1055">
        <f t="shared" si="38"/>
        <v>15.215625000000003</v>
      </c>
      <c r="BJ43" s="1055" t="str">
        <f t="shared" si="39"/>
        <v/>
      </c>
      <c r="BK43" s="1052">
        <f>IF(A43&lt;&gt;0,IF(N43="Reta",IF(F43&lt;'PARAMETROS MC'!B$17,"-",(I43*F43*2)),IF(N43="Inclinada","-")),"")</f>
        <v>74.387500000000003</v>
      </c>
      <c r="BL43" s="1055">
        <f>IF(A43&lt;&gt;0,IF(N43="Reta",IF(F43&lt;'PARAMETROS MC'!B$17,"-",IF(F43&gt;='PARAMETROS MC'!B$17,(BK43*('PARAMETROS MC'!B$18/100)))),IF(N43="Inclinada","-")),"")</f>
        <v>72.155874999999995</v>
      </c>
      <c r="BM43" s="1055">
        <f t="shared" si="40"/>
        <v>72.155874999999995</v>
      </c>
      <c r="BN43" s="1055" t="str">
        <f t="shared" si="41"/>
        <v/>
      </c>
      <c r="BO43" s="1052">
        <f>IF(A43&lt;&gt;0,IF(N43="Reta",IF(F43&lt;'PARAMETROS MC'!B$17,"-",IF(F43&gt;='PARAMETROS MC'!B$17,(BK43*('PARAMETROS MC'!B$19/100)))),IF(N43="Inclinada","-")),"")</f>
        <v>0</v>
      </c>
      <c r="BP43" s="1060">
        <f>IF(A43&lt;&gt;0,IF(N43="Reta",IF(F43&lt;'PARAMETROS MC'!B$17,"-",IF(F43&gt;='PARAMETROS MC'!B$17,(BK43*('PARAMETROS MC'!B$20/100)))),IF(N43="Inclinada","-")),"")</f>
        <v>0</v>
      </c>
      <c r="BQ43" s="1060">
        <f>IF(A43&lt;&gt;0,IF(N43="Reta",IF(F43&lt;'PARAMETROS MC'!B$17,"-",IF(F43&gt;='PARAMETROS MC'!B$17,(BK43*('PARAMETROS MC'!B$21/100)))),IF(N43="Inclinada","-")),"")</f>
        <v>2.2316250000000002</v>
      </c>
      <c r="BR43" s="1052"/>
      <c r="BS43" s="1052" t="str">
        <f t="shared" si="26"/>
        <v>-</v>
      </c>
    </row>
    <row r="44" spans="1:71" s="1063" customFormat="1">
      <c r="A44" s="1057">
        <v>33</v>
      </c>
      <c r="B44" s="1064" t="str">
        <f t="shared" si="61"/>
        <v>PV4</v>
      </c>
      <c r="C44" s="1064" t="s">
        <v>12021</v>
      </c>
      <c r="D44" s="1059">
        <f t="shared" ref="D44:D55" si="62">E43</f>
        <v>1.45</v>
      </c>
      <c r="E44" s="1059">
        <v>1.7</v>
      </c>
      <c r="F44" s="1060">
        <f t="shared" ref="F44:F53" si="63">IF(A44&lt;&gt;0,AVERAGE(D44:E44),"")</f>
        <v>1.575</v>
      </c>
      <c r="G44" s="1052" t="s">
        <v>12009</v>
      </c>
      <c r="H44" s="1052">
        <v>700</v>
      </c>
      <c r="I44" s="1052">
        <v>25.4</v>
      </c>
      <c r="J44" s="1059">
        <f>IF(A44&lt;&gt;0,IF(AND(N44="Inclinada",H44&lt;600),(H44/1000+0.6),IF(AND(N44="Inclinada",H44&gt;=600),(H44/1000+0.6),IF(N44="Reta",((H44/1000)+('PARAMETROS MC'!D$11))))),"")</f>
        <v>1.5</v>
      </c>
      <c r="K44" s="1052" t="s">
        <v>11989</v>
      </c>
      <c r="L44" s="1060" t="str">
        <f>IF(A44&lt;&gt;0,IF(K44="",0,IF(K44="Sem Revestimento","-",IF(N44="Inclinada",((R44+(2*'PARAMETROS MC'!D$14))*I44),IF(N44="Reta",((J44+(2*'PARAMETROS MC'!D$14))*I44))))),"")</f>
        <v>-</v>
      </c>
      <c r="M44" s="1060" t="str">
        <f>IF(A44&lt;&gt;0,IF(K44="",0,IF(K44="Sem Revestimento","-",IF(N44="Inclinada",((R44+(2*'PARAMETROS MC'!D$14))*I44),IF(N44="Reta",((J44+(2*'PARAMETROS MC'!D$14))*I44))))),"")</f>
        <v>-</v>
      </c>
      <c r="N44" s="1052" t="str">
        <f t="shared" si="27"/>
        <v>Reta</v>
      </c>
      <c r="O44" s="1061">
        <f t="shared" si="0"/>
        <v>38.099999999999994</v>
      </c>
      <c r="P44" s="1061">
        <f t="shared" si="1"/>
        <v>38.099999999999994</v>
      </c>
      <c r="Q44" s="1053" t="str">
        <f>IF(A44&lt;&gt;0,IF(N44="Inclinada",(F44*(TAN('PARAMETROS MC'!D$9*PI()/180))),IF(N44="Reta","-")),"")</f>
        <v>-</v>
      </c>
      <c r="R44" s="1053" t="str">
        <f t="shared" si="2"/>
        <v>-</v>
      </c>
      <c r="S44" s="1053" t="str">
        <f t="shared" si="3"/>
        <v>-</v>
      </c>
      <c r="T44" s="1053" t="str">
        <f t="shared" si="4"/>
        <v>-</v>
      </c>
      <c r="U44" s="1053" t="str">
        <f t="shared" si="5"/>
        <v>-</v>
      </c>
      <c r="V44" s="1055">
        <f t="shared" si="6"/>
        <v>60.007499999999986</v>
      </c>
      <c r="W44" s="1052">
        <f t="shared" si="28"/>
        <v>1.5</v>
      </c>
      <c r="X44" s="1052" t="str">
        <f>IF(A44&lt;&gt;0,IF(N44="Inclinada",((AK44+AR44+AD44+W44)*(TAN('PARAMETROS MC'!D$9*PI()/180))),IF(N44="Reta","-")),"")</f>
        <v>-</v>
      </c>
      <c r="Y44" s="1052" t="str">
        <f t="shared" si="7"/>
        <v>-</v>
      </c>
      <c r="Z44" s="1052" t="str">
        <f t="shared" si="8"/>
        <v>-</v>
      </c>
      <c r="AA44" s="1052" t="str">
        <f t="shared" ref="AA44:AA53" si="64">IF(AF44&lt;&gt;"",AF44,"")</f>
        <v>-</v>
      </c>
      <c r="AB44" s="1052" t="str">
        <f t="shared" ref="AB44:AB53" si="65">IF(AG44&lt;&gt;"",AG44,"")</f>
        <v>-</v>
      </c>
      <c r="AC44" s="1055">
        <f t="shared" si="9"/>
        <v>57.149999999999991</v>
      </c>
      <c r="AD44" s="1052">
        <f t="shared" si="31"/>
        <v>7.4999999999999956E-2</v>
      </c>
      <c r="AE44" s="1052" t="str">
        <f>IF(A44&lt;&gt;0,IF(N44="Inclinada",((AK44+AR44+AD44)*(TAN('PARAMETROS MC'!D$9*PI()/180))),IF(N44="Reta","-")),"")</f>
        <v>-</v>
      </c>
      <c r="AF44" s="1052" t="str">
        <f t="shared" si="10"/>
        <v>-</v>
      </c>
      <c r="AG44" s="1052" t="str">
        <f t="shared" ref="AG44:AG53" si="66">IF(AW44&lt;&gt;"",AW44,"")</f>
        <v>-</v>
      </c>
      <c r="AH44" s="1052" t="str">
        <f t="shared" ref="AH44:AH53" si="67">IF(AM44&lt;&gt;"",AM44,"")</f>
        <v>-</v>
      </c>
      <c r="AI44" s="1052" t="str">
        <f t="shared" ref="AI44:AI53" si="68">IF(AN44&lt;&gt;"",AN44,"")</f>
        <v>-</v>
      </c>
      <c r="AJ44" s="1055">
        <f t="shared" si="11"/>
        <v>2.8574999999999977</v>
      </c>
      <c r="AK44" s="1052">
        <f t="shared" si="12"/>
        <v>0</v>
      </c>
      <c r="AL44" s="1052" t="str">
        <f>IF(A44&lt;&gt;0,IF(N44="Inclinada",((AK44+AR44)*(TAN('PARAMETROS MC'!D$9*PI()/180))),IF(N44="Reta","-")),"")</f>
        <v>-</v>
      </c>
      <c r="AM44" s="1059" t="str">
        <f t="shared" si="13"/>
        <v>-</v>
      </c>
      <c r="AN44" s="1052" t="str">
        <f t="shared" ref="AN44:AN53" si="69">IF(AW44&lt;&gt;"",AW44,"")</f>
        <v>-</v>
      </c>
      <c r="AO44" s="1052" t="str">
        <f t="shared" ref="AO44:AO53" si="70">IF(AT44&lt;&gt;"",AT44,"")</f>
        <v>-</v>
      </c>
      <c r="AP44" s="1052" t="str">
        <f t="shared" ref="AP44:AP53" si="71">IF(AU44&lt;&gt;"",AU44,"")</f>
        <v>-</v>
      </c>
      <c r="AQ44" s="1055">
        <f t="shared" si="14"/>
        <v>0</v>
      </c>
      <c r="AR44" s="1052">
        <f t="shared" si="15"/>
        <v>0</v>
      </c>
      <c r="AS44" s="1052" t="str">
        <f>IF(A44&lt;&gt;0,IF(N44="Inclinada",(AR44*(TAN('PARAMETROS MC'!D$9*PI()/180))),IF(N44="Reta","-")),"")</f>
        <v>-</v>
      </c>
      <c r="AT44" s="1052" t="str">
        <f t="shared" si="16"/>
        <v>-</v>
      </c>
      <c r="AU44" s="1052" t="str">
        <f t="shared" si="17"/>
        <v>-</v>
      </c>
      <c r="AV44" s="1052" t="str">
        <f t="shared" si="18"/>
        <v>-</v>
      </c>
      <c r="AW44" s="1052" t="str">
        <f t="shared" si="19"/>
        <v>-</v>
      </c>
      <c r="AX44" s="1055">
        <f t="shared" si="20"/>
        <v>0</v>
      </c>
      <c r="AY44" s="1055" t="str">
        <f>IF(A44&lt;&gt;0,IF(N44="Reta","-",IF(N44="Inclinada",(((H44/1000)+'PARAMETROS MC'!C$35)*(TAN('PARAMETROS MC'!D$9*PI()/180))))),"")</f>
        <v>-</v>
      </c>
      <c r="AZ44" s="1055" t="str">
        <f t="shared" si="21"/>
        <v>-</v>
      </c>
      <c r="BA44" s="1055" t="str">
        <f t="shared" si="22"/>
        <v>-</v>
      </c>
      <c r="BB44" s="1055" t="str">
        <f t="shared" si="23"/>
        <v>-</v>
      </c>
      <c r="BC44" s="1055" t="str">
        <f t="shared" si="24"/>
        <v>-</v>
      </c>
      <c r="BD44" s="1055">
        <f t="shared" si="25"/>
        <v>9.7750655416446399</v>
      </c>
      <c r="BE44" s="1055">
        <f>IF(A44&lt;&gt;0,IF(N44="Inclinada",((((H44/1000+'PARAMETROS MC'!C$35)/6)*(((2*AZ44+BB44)*BA44)+((2*BB44+AZ44)*BC44)))-BD44),IF(N44="Reta",((I44*J44*((H44/1000)+'PARAMETROS MC'!C$35)-BD44)))),"")</f>
        <v>28.324934458355354</v>
      </c>
      <c r="BF44" s="1055">
        <f t="shared" si="35"/>
        <v>21.907499999999992</v>
      </c>
      <c r="BG44" s="1055" t="str">
        <f t="shared" si="36"/>
        <v/>
      </c>
      <c r="BH44" s="1055" t="str">
        <f t="shared" si="37"/>
        <v/>
      </c>
      <c r="BI44" s="1055" t="str">
        <f t="shared" si="38"/>
        <v/>
      </c>
      <c r="BJ44" s="1055">
        <f t="shared" si="39"/>
        <v>21.907499999999992</v>
      </c>
      <c r="BK44" s="1052">
        <f>IF(A44&lt;&gt;0,IF(N44="Reta",IF(F44&lt;'PARAMETROS MC'!B$17,"-",(I44*F44*2)),IF(N44="Inclinada","-")),"")</f>
        <v>80.009999999999991</v>
      </c>
      <c r="BL44" s="1055">
        <f>IF(A44&lt;&gt;0,IF(N44="Reta",IF(F44&lt;'PARAMETROS MC'!B$17,"-",IF(F44&gt;='PARAMETROS MC'!B$17,(BK44*('PARAMETROS MC'!B$18/100)))),IF(N44="Inclinada","-")),"")</f>
        <v>77.609699999999989</v>
      </c>
      <c r="BM44" s="1055" t="str">
        <f t="shared" si="40"/>
        <v/>
      </c>
      <c r="BN44" s="1055">
        <f t="shared" si="41"/>
        <v>77.609699999999989</v>
      </c>
      <c r="BO44" s="1052">
        <f>IF(A44&lt;&gt;0,IF(N44="Reta",IF(F44&lt;'PARAMETROS MC'!B$17,"-",IF(F44&gt;='PARAMETROS MC'!B$17,(BK44*('PARAMETROS MC'!B$19/100)))),IF(N44="Inclinada","-")),"")</f>
        <v>0</v>
      </c>
      <c r="BP44" s="1060">
        <f>IF(A44&lt;&gt;0,IF(N44="Reta",IF(F44&lt;'PARAMETROS MC'!B$17,"-",IF(F44&gt;='PARAMETROS MC'!B$17,(BK44*('PARAMETROS MC'!B$20/100)))),IF(N44="Inclinada","-")),"")</f>
        <v>0</v>
      </c>
      <c r="BQ44" s="1060">
        <f>IF(A44&lt;&gt;0,IF(N44="Reta",IF(F44&lt;'PARAMETROS MC'!B$17,"-",IF(F44&gt;='PARAMETROS MC'!B$17,(BK44*('PARAMETROS MC'!B$21/100)))),IF(N44="Inclinada","-")),"")</f>
        <v>2.4002999999999997</v>
      </c>
      <c r="BR44" s="1052"/>
      <c r="BS44" s="1052" t="str">
        <f t="shared" si="26"/>
        <v>-</v>
      </c>
    </row>
    <row r="45" spans="1:71" s="1063" customFormat="1">
      <c r="A45" s="1057">
        <v>34</v>
      </c>
      <c r="B45" s="1064" t="str">
        <f t="shared" si="61"/>
        <v>PV5</v>
      </c>
      <c r="C45" s="1064" t="s">
        <v>12022</v>
      </c>
      <c r="D45" s="1059">
        <f t="shared" si="62"/>
        <v>1.7</v>
      </c>
      <c r="E45" s="1059">
        <v>1.6</v>
      </c>
      <c r="F45" s="1060">
        <f t="shared" si="63"/>
        <v>1.65</v>
      </c>
      <c r="G45" s="1052" t="s">
        <v>12009</v>
      </c>
      <c r="H45" s="1052">
        <v>700</v>
      </c>
      <c r="I45" s="1052">
        <v>18.5</v>
      </c>
      <c r="J45" s="1059">
        <f>IF(A45&lt;&gt;0,IF(AND(N45="Inclinada",H45&lt;600),(H45/1000+0.6),IF(AND(N45="Inclinada",H45&gt;=600),(H45/1000+0.6),IF(N45="Reta",((H45/1000)+('PARAMETROS MC'!D$11))))),"")</f>
        <v>1.5</v>
      </c>
      <c r="K45" s="1052" t="s">
        <v>11989</v>
      </c>
      <c r="L45" s="1060" t="str">
        <f>IF(A45&lt;&gt;0,IF(K45="",0,IF(K45="Sem Revestimento","-",IF(N45="Inclinada",((R45+(2*'PARAMETROS MC'!D$14))*I45),IF(N45="Reta",((J45+(2*'PARAMETROS MC'!D$14))*I45))))),"")</f>
        <v>-</v>
      </c>
      <c r="M45" s="1060" t="str">
        <f>IF(A45&lt;&gt;0,IF(K45="",0,IF(K45="Sem Revestimento","-",IF(N45="Inclinada",((R45+(2*'PARAMETROS MC'!D$14))*I45),IF(N45="Reta",((J45+(2*'PARAMETROS MC'!D$14))*I45))))),"")</f>
        <v>-</v>
      </c>
      <c r="N45" s="1052" t="str">
        <f t="shared" si="27"/>
        <v>Reta</v>
      </c>
      <c r="O45" s="1061">
        <f t="shared" si="0"/>
        <v>27.75</v>
      </c>
      <c r="P45" s="1061">
        <f t="shared" si="1"/>
        <v>27.75</v>
      </c>
      <c r="Q45" s="1053" t="str">
        <f>IF(A45&lt;&gt;0,IF(N45="Inclinada",(F45*(TAN('PARAMETROS MC'!D$9*PI()/180))),IF(N45="Reta","-")),"")</f>
        <v>-</v>
      </c>
      <c r="R45" s="1053" t="str">
        <f t="shared" si="2"/>
        <v>-</v>
      </c>
      <c r="S45" s="1053" t="str">
        <f t="shared" si="3"/>
        <v>-</v>
      </c>
      <c r="T45" s="1053" t="str">
        <f t="shared" si="4"/>
        <v>-</v>
      </c>
      <c r="U45" s="1053" t="str">
        <f t="shared" si="5"/>
        <v>-</v>
      </c>
      <c r="V45" s="1055">
        <f t="shared" si="6"/>
        <v>45.787499999999994</v>
      </c>
      <c r="W45" s="1052">
        <f t="shared" si="28"/>
        <v>1.5</v>
      </c>
      <c r="X45" s="1052" t="str">
        <f>IF(A45&lt;&gt;0,IF(N45="Inclinada",((AK45+AR45+AD45+W45)*(TAN('PARAMETROS MC'!D$9*PI()/180))),IF(N45="Reta","-")),"")</f>
        <v>-</v>
      </c>
      <c r="Y45" s="1052" t="str">
        <f t="shared" si="7"/>
        <v>-</v>
      </c>
      <c r="Z45" s="1052" t="str">
        <f t="shared" si="8"/>
        <v>-</v>
      </c>
      <c r="AA45" s="1052" t="str">
        <f t="shared" si="64"/>
        <v>-</v>
      </c>
      <c r="AB45" s="1052" t="str">
        <f t="shared" si="65"/>
        <v>-</v>
      </c>
      <c r="AC45" s="1055">
        <f t="shared" si="9"/>
        <v>41.625</v>
      </c>
      <c r="AD45" s="1052">
        <f t="shared" si="31"/>
        <v>0.14999999999999991</v>
      </c>
      <c r="AE45" s="1052" t="str">
        <f>IF(A45&lt;&gt;0,IF(N45="Inclinada",((AK45+AR45+AD45)*(TAN('PARAMETROS MC'!D$9*PI()/180))),IF(N45="Reta","-")),"")</f>
        <v>-</v>
      </c>
      <c r="AF45" s="1052" t="str">
        <f t="shared" si="10"/>
        <v>-</v>
      </c>
      <c r="AG45" s="1052" t="str">
        <f t="shared" si="66"/>
        <v>-</v>
      </c>
      <c r="AH45" s="1052" t="str">
        <f t="shared" si="67"/>
        <v>-</v>
      </c>
      <c r="AI45" s="1052" t="str">
        <f t="shared" si="68"/>
        <v>-</v>
      </c>
      <c r="AJ45" s="1055">
        <f t="shared" si="11"/>
        <v>4.1624999999999979</v>
      </c>
      <c r="AK45" s="1052">
        <f t="shared" si="12"/>
        <v>0</v>
      </c>
      <c r="AL45" s="1052" t="str">
        <f>IF(A45&lt;&gt;0,IF(N45="Inclinada",((AK45+AR45)*(TAN('PARAMETROS MC'!D$9*PI()/180))),IF(N45="Reta","-")),"")</f>
        <v>-</v>
      </c>
      <c r="AM45" s="1059" t="str">
        <f t="shared" si="13"/>
        <v>-</v>
      </c>
      <c r="AN45" s="1052" t="str">
        <f t="shared" si="69"/>
        <v>-</v>
      </c>
      <c r="AO45" s="1052" t="str">
        <f t="shared" si="70"/>
        <v>-</v>
      </c>
      <c r="AP45" s="1052" t="str">
        <f t="shared" si="71"/>
        <v>-</v>
      </c>
      <c r="AQ45" s="1055">
        <f t="shared" si="14"/>
        <v>0</v>
      </c>
      <c r="AR45" s="1052">
        <f t="shared" si="15"/>
        <v>0</v>
      </c>
      <c r="AS45" s="1052" t="str">
        <f>IF(A45&lt;&gt;0,IF(N45="Inclinada",(AR45*(TAN('PARAMETROS MC'!D$9*PI()/180))),IF(N45="Reta","-")),"")</f>
        <v>-</v>
      </c>
      <c r="AT45" s="1052" t="str">
        <f t="shared" si="16"/>
        <v>-</v>
      </c>
      <c r="AU45" s="1052" t="str">
        <f t="shared" si="17"/>
        <v>-</v>
      </c>
      <c r="AV45" s="1052" t="str">
        <f t="shared" si="18"/>
        <v>-</v>
      </c>
      <c r="AW45" s="1052" t="str">
        <f t="shared" si="19"/>
        <v>-</v>
      </c>
      <c r="AX45" s="1055">
        <f t="shared" si="20"/>
        <v>0</v>
      </c>
      <c r="AY45" s="1055" t="str">
        <f>IF(A45&lt;&gt;0,IF(N45="Reta","-",IF(N45="Inclinada",(((H45/1000)+'PARAMETROS MC'!C$35)*(TAN('PARAMETROS MC'!D$9*PI()/180))))),"")</f>
        <v>-</v>
      </c>
      <c r="AZ45" s="1055" t="str">
        <f t="shared" si="21"/>
        <v>-</v>
      </c>
      <c r="BA45" s="1055" t="str">
        <f t="shared" si="22"/>
        <v>-</v>
      </c>
      <c r="BB45" s="1055" t="str">
        <f t="shared" si="23"/>
        <v>-</v>
      </c>
      <c r="BC45" s="1055" t="str">
        <f t="shared" si="24"/>
        <v>-</v>
      </c>
      <c r="BD45" s="1055">
        <f t="shared" si="25"/>
        <v>7.1196343511978677</v>
      </c>
      <c r="BE45" s="1055">
        <f>IF(A45&lt;&gt;0,IF(N45="Inclinada",((((H45/1000+'PARAMETROS MC'!C$35)/6)*(((2*AZ45+BB45)*BA45)+((2*BB45+AZ45)*BC45)))-BD45),IF(N45="Reta",((I45*J45*((H45/1000)+'PARAMETROS MC'!C$35)-BD45)))),"")</f>
        <v>20.630365648802133</v>
      </c>
      <c r="BF45" s="1055">
        <f t="shared" si="35"/>
        <v>18.037499999999994</v>
      </c>
      <c r="BG45" s="1055" t="str">
        <f t="shared" si="36"/>
        <v/>
      </c>
      <c r="BH45" s="1055" t="str">
        <f t="shared" si="37"/>
        <v/>
      </c>
      <c r="BI45" s="1055" t="str">
        <f t="shared" si="38"/>
        <v/>
      </c>
      <c r="BJ45" s="1055">
        <f t="shared" si="39"/>
        <v>18.037499999999994</v>
      </c>
      <c r="BK45" s="1052">
        <f>IF(A45&lt;&gt;0,IF(N45="Reta",IF(F45&lt;'PARAMETROS MC'!B$17,"-",(I45*F45*2)),IF(N45="Inclinada","-")),"")</f>
        <v>61.05</v>
      </c>
      <c r="BL45" s="1055">
        <f>IF(A45&lt;&gt;0,IF(N45="Reta",IF(F45&lt;'PARAMETROS MC'!B$17,"-",IF(F45&gt;='PARAMETROS MC'!B$17,(BK45*('PARAMETROS MC'!B$18/100)))),IF(N45="Inclinada","-")),"")</f>
        <v>59.218499999999999</v>
      </c>
      <c r="BM45" s="1055" t="str">
        <f t="shared" si="40"/>
        <v/>
      </c>
      <c r="BN45" s="1055">
        <f t="shared" si="41"/>
        <v>59.218499999999999</v>
      </c>
      <c r="BO45" s="1052">
        <f>IF(A45&lt;&gt;0,IF(N45="Reta",IF(F45&lt;'PARAMETROS MC'!B$17,"-",IF(F45&gt;='PARAMETROS MC'!B$17,(BK45*('PARAMETROS MC'!B$19/100)))),IF(N45="Inclinada","-")),"")</f>
        <v>0</v>
      </c>
      <c r="BP45" s="1060">
        <f>IF(A45&lt;&gt;0,IF(N45="Reta",IF(F45&lt;'PARAMETROS MC'!B$17,"-",IF(F45&gt;='PARAMETROS MC'!B$17,(BK45*('PARAMETROS MC'!B$20/100)))),IF(N45="Inclinada","-")),"")</f>
        <v>0</v>
      </c>
      <c r="BQ45" s="1060">
        <f>IF(A45&lt;&gt;0,IF(N45="Reta",IF(F45&lt;'PARAMETROS MC'!B$17,"-",IF(F45&gt;='PARAMETROS MC'!B$17,(BK45*('PARAMETROS MC'!B$21/100)))),IF(N45="Inclinada","-")),"")</f>
        <v>1.8314999999999999</v>
      </c>
      <c r="BR45" s="1052"/>
      <c r="BS45" s="1052" t="str">
        <f t="shared" si="26"/>
        <v>-</v>
      </c>
    </row>
    <row r="46" spans="1:71" s="1063" customFormat="1">
      <c r="A46" s="1057">
        <v>35</v>
      </c>
      <c r="B46" s="1064" t="str">
        <f t="shared" si="61"/>
        <v>PV6</v>
      </c>
      <c r="C46" s="1064" t="s">
        <v>12023</v>
      </c>
      <c r="D46" s="1059">
        <f t="shared" si="62"/>
        <v>1.6</v>
      </c>
      <c r="E46" s="1059">
        <v>3.18</v>
      </c>
      <c r="F46" s="1060">
        <f t="shared" si="63"/>
        <v>2.39</v>
      </c>
      <c r="G46" s="1052" t="s">
        <v>12009</v>
      </c>
      <c r="H46" s="1052">
        <v>700</v>
      </c>
      <c r="I46" s="1052">
        <v>45.7</v>
      </c>
      <c r="J46" s="1059">
        <f>IF(A46&lt;&gt;0,IF(AND(N46="Inclinada",H46&lt;600),(H46/1000+0.6),IF(AND(N46="Inclinada",H46&gt;=600),(H46/1000+0.6),IF(N46="Reta",((H46/1000)+('PARAMETROS MC'!D$11))))),"")</f>
        <v>1.5</v>
      </c>
      <c r="K46" s="1052" t="s">
        <v>11989</v>
      </c>
      <c r="L46" s="1060" t="str">
        <f>IF(A46&lt;&gt;0,IF(K46="",0,IF(K46="Sem Revestimento","-",IF(N46="Inclinada",((R46+(2*'PARAMETROS MC'!D$14))*I46),IF(N46="Reta",((J46+(2*'PARAMETROS MC'!D$14))*I46))))),"")</f>
        <v>-</v>
      </c>
      <c r="M46" s="1060" t="str">
        <f>IF(A46&lt;&gt;0,IF(K46="",0,IF(K46="Sem Revestimento","-",IF(N46="Inclinada",((R46+(2*'PARAMETROS MC'!D$14))*I46),IF(N46="Reta",((J46+(2*'PARAMETROS MC'!D$14))*I46))))),"")</f>
        <v>-</v>
      </c>
      <c r="N46" s="1052" t="str">
        <f t="shared" si="27"/>
        <v>Reta</v>
      </c>
      <c r="O46" s="1061">
        <f t="shared" si="0"/>
        <v>68.550000000000011</v>
      </c>
      <c r="P46" s="1061">
        <f t="shared" si="1"/>
        <v>68.550000000000011</v>
      </c>
      <c r="Q46" s="1053" t="str">
        <f>IF(A46&lt;&gt;0,IF(N46="Inclinada",(F46*(TAN('PARAMETROS MC'!D$9*PI()/180))),IF(N46="Reta","-")),"")</f>
        <v>-</v>
      </c>
      <c r="R46" s="1053" t="str">
        <f t="shared" si="2"/>
        <v>-</v>
      </c>
      <c r="S46" s="1053" t="str">
        <f t="shared" si="3"/>
        <v>-</v>
      </c>
      <c r="T46" s="1053" t="str">
        <f t="shared" si="4"/>
        <v>-</v>
      </c>
      <c r="U46" s="1053" t="str">
        <f t="shared" si="5"/>
        <v>-</v>
      </c>
      <c r="V46" s="1055">
        <f t="shared" si="6"/>
        <v>163.83450000000005</v>
      </c>
      <c r="W46" s="1052">
        <f t="shared" si="28"/>
        <v>1.5</v>
      </c>
      <c r="X46" s="1052" t="str">
        <f>IF(A46&lt;&gt;0,IF(N46="Inclinada",((AK46+AR46+AD46+W46)*(TAN('PARAMETROS MC'!D$9*PI()/180))),IF(N46="Reta","-")),"")</f>
        <v>-</v>
      </c>
      <c r="Y46" s="1052" t="str">
        <f t="shared" si="7"/>
        <v>-</v>
      </c>
      <c r="Z46" s="1052" t="str">
        <f t="shared" si="8"/>
        <v>-</v>
      </c>
      <c r="AA46" s="1052" t="str">
        <f t="shared" si="64"/>
        <v>-</v>
      </c>
      <c r="AB46" s="1052" t="str">
        <f t="shared" si="65"/>
        <v>-</v>
      </c>
      <c r="AC46" s="1055">
        <f t="shared" si="9"/>
        <v>102.82500000000002</v>
      </c>
      <c r="AD46" s="1052">
        <f t="shared" si="31"/>
        <v>0.89000000000000012</v>
      </c>
      <c r="AE46" s="1052" t="str">
        <f>IF(A46&lt;&gt;0,IF(N46="Inclinada",((AK46+AR46+AD46)*(TAN('PARAMETROS MC'!D$9*PI()/180))),IF(N46="Reta","-")),"")</f>
        <v>-</v>
      </c>
      <c r="AF46" s="1052" t="str">
        <f t="shared" si="10"/>
        <v>-</v>
      </c>
      <c r="AG46" s="1052" t="str">
        <f t="shared" si="66"/>
        <v>-</v>
      </c>
      <c r="AH46" s="1052" t="str">
        <f t="shared" si="67"/>
        <v>-</v>
      </c>
      <c r="AI46" s="1052" t="str">
        <f t="shared" si="68"/>
        <v>-</v>
      </c>
      <c r="AJ46" s="1055">
        <f t="shared" si="11"/>
        <v>61.009500000000017</v>
      </c>
      <c r="AK46" s="1052">
        <f t="shared" si="12"/>
        <v>0</v>
      </c>
      <c r="AL46" s="1052" t="str">
        <f>IF(A46&lt;&gt;0,IF(N46="Inclinada",((AK46+AR46)*(TAN('PARAMETROS MC'!D$9*PI()/180))),IF(N46="Reta","-")),"")</f>
        <v>-</v>
      </c>
      <c r="AM46" s="1059" t="str">
        <f t="shared" si="13"/>
        <v>-</v>
      </c>
      <c r="AN46" s="1052" t="str">
        <f t="shared" si="69"/>
        <v>-</v>
      </c>
      <c r="AO46" s="1052" t="str">
        <f t="shared" si="70"/>
        <v>-</v>
      </c>
      <c r="AP46" s="1052" t="str">
        <f t="shared" si="71"/>
        <v>-</v>
      </c>
      <c r="AQ46" s="1055">
        <f t="shared" si="14"/>
        <v>0</v>
      </c>
      <c r="AR46" s="1052">
        <f t="shared" si="15"/>
        <v>0</v>
      </c>
      <c r="AS46" s="1052" t="str">
        <f>IF(A46&lt;&gt;0,IF(N46="Inclinada",(AR46*(TAN('PARAMETROS MC'!D$9*PI()/180))),IF(N46="Reta","-")),"")</f>
        <v>-</v>
      </c>
      <c r="AT46" s="1052" t="str">
        <f t="shared" si="16"/>
        <v>-</v>
      </c>
      <c r="AU46" s="1052" t="str">
        <f t="shared" si="17"/>
        <v>-</v>
      </c>
      <c r="AV46" s="1052" t="str">
        <f t="shared" si="18"/>
        <v>-</v>
      </c>
      <c r="AW46" s="1052" t="str">
        <f t="shared" si="19"/>
        <v>-</v>
      </c>
      <c r="AX46" s="1055">
        <f t="shared" si="20"/>
        <v>0</v>
      </c>
      <c r="AY46" s="1055" t="str">
        <f>IF(A46&lt;&gt;0,IF(N46="Reta","-",IF(N46="Inclinada",(((H46/1000)+'PARAMETROS MC'!C$35)*(TAN('PARAMETROS MC'!D$9*PI()/180))))),"")</f>
        <v>-</v>
      </c>
      <c r="AZ46" s="1055" t="str">
        <f t="shared" si="21"/>
        <v>-</v>
      </c>
      <c r="BA46" s="1055" t="str">
        <f t="shared" si="22"/>
        <v>-</v>
      </c>
      <c r="BB46" s="1055" t="str">
        <f t="shared" si="23"/>
        <v>-</v>
      </c>
      <c r="BC46" s="1055" t="str">
        <f t="shared" si="24"/>
        <v>-</v>
      </c>
      <c r="BD46" s="1055">
        <f t="shared" si="25"/>
        <v>17.587421072959057</v>
      </c>
      <c r="BE46" s="1055">
        <f>IF(A46&lt;&gt;0,IF(N46="Inclinada",((((H46/1000+'PARAMETROS MC'!C$35)/6)*(((2*AZ46+BB46)*BA46)+((2*BB46+AZ46)*BC46)))-BD46),IF(N46="Reta",((I46*J46*((H46/1000)+'PARAMETROS MC'!C$35)-BD46)))),"")</f>
        <v>50.962578927040951</v>
      </c>
      <c r="BF46" s="1055">
        <f t="shared" si="35"/>
        <v>95.284500000000037</v>
      </c>
      <c r="BG46" s="1055" t="str">
        <f t="shared" si="36"/>
        <v/>
      </c>
      <c r="BH46" s="1055" t="str">
        <f t="shared" si="37"/>
        <v/>
      </c>
      <c r="BI46" s="1055" t="str">
        <f t="shared" si="38"/>
        <v/>
      </c>
      <c r="BJ46" s="1055">
        <f t="shared" si="39"/>
        <v>95.284500000000037</v>
      </c>
      <c r="BK46" s="1052">
        <f>IF(A46&lt;&gt;0,IF(N46="Reta",IF(F46&lt;'PARAMETROS MC'!B$17,"-",(I46*F46*2)),IF(N46="Inclinada","-")),"")</f>
        <v>218.44600000000003</v>
      </c>
      <c r="BL46" s="1055">
        <f>IF(A46&lt;&gt;0,IF(N46="Reta",IF(F46&lt;'PARAMETROS MC'!B$17,"-",IF(F46&gt;='PARAMETROS MC'!B$17,(BK46*('PARAMETROS MC'!B$18/100)))),IF(N46="Inclinada","-")),"")</f>
        <v>211.89262000000002</v>
      </c>
      <c r="BM46" s="1055" t="str">
        <f t="shared" si="40"/>
        <v/>
      </c>
      <c r="BN46" s="1055">
        <f t="shared" si="41"/>
        <v>211.89262000000002</v>
      </c>
      <c r="BO46" s="1052">
        <f>IF(A46&lt;&gt;0,IF(N46="Reta",IF(F46&lt;'PARAMETROS MC'!B$17,"-",IF(F46&gt;='PARAMETROS MC'!B$17,(BK46*('PARAMETROS MC'!B$19/100)))),IF(N46="Inclinada","-")),"")</f>
        <v>0</v>
      </c>
      <c r="BP46" s="1060">
        <f>IF(A46&lt;&gt;0,IF(N46="Reta",IF(F46&lt;'PARAMETROS MC'!B$17,"-",IF(F46&gt;='PARAMETROS MC'!B$17,(BK46*('PARAMETROS MC'!B$20/100)))),IF(N46="Inclinada","-")),"")</f>
        <v>0</v>
      </c>
      <c r="BQ46" s="1060">
        <f>IF(A46&lt;&gt;0,IF(N46="Reta",IF(F46&lt;'PARAMETROS MC'!B$17,"-",IF(F46&gt;='PARAMETROS MC'!B$17,(BK46*('PARAMETROS MC'!B$21/100)))),IF(N46="Inclinada","-")),"")</f>
        <v>6.5533800000000006</v>
      </c>
      <c r="BR46" s="1052"/>
      <c r="BS46" s="1052" t="str">
        <f t="shared" si="26"/>
        <v>-</v>
      </c>
    </row>
    <row r="47" spans="1:71" s="1063" customFormat="1">
      <c r="A47" s="1057">
        <v>36</v>
      </c>
      <c r="B47" s="1064" t="str">
        <f t="shared" si="61"/>
        <v>PV7</v>
      </c>
      <c r="C47" s="1064" t="s">
        <v>12024</v>
      </c>
      <c r="D47" s="1059">
        <f t="shared" si="62"/>
        <v>3.18</v>
      </c>
      <c r="E47" s="1059">
        <v>2.75</v>
      </c>
      <c r="F47" s="1060">
        <f t="shared" si="63"/>
        <v>2.9649999999999999</v>
      </c>
      <c r="G47" s="1052" t="s">
        <v>12009</v>
      </c>
      <c r="H47" s="1052">
        <v>700</v>
      </c>
      <c r="I47" s="1052">
        <v>43.8</v>
      </c>
      <c r="J47" s="1059">
        <f>IF(A47&lt;&gt;0,IF(AND(N47="Inclinada",H47&lt;600),(H47/1000+0.6),IF(AND(N47="Inclinada",H47&gt;=600),(H47/1000+0.6),IF(N47="Reta",((H47/1000)+('PARAMETROS MC'!D$11))))),"")</f>
        <v>1.2999999999999998</v>
      </c>
      <c r="K47" s="1052" t="s">
        <v>11989</v>
      </c>
      <c r="L47" s="1060" t="str">
        <f>IF(A47&lt;&gt;0,IF(K47="",0,IF(K47="Sem Revestimento","-",IF(N47="Inclinada",((R47+(2*'PARAMETROS MC'!D$14))*I47),IF(N47="Reta",((J47+(2*'PARAMETROS MC'!D$14))*I47))))),"")</f>
        <v>-</v>
      </c>
      <c r="M47" s="1060" t="str">
        <f>IF(A47&lt;&gt;0,IF(K47="",0,IF(K47="Sem Revestimento","-",IF(N47="Inclinada",((R47+(2*'PARAMETROS MC'!D$14))*I47),IF(N47="Reta",((J47+(2*'PARAMETROS MC'!D$14))*I47))))),"")</f>
        <v>-</v>
      </c>
      <c r="N47" s="1052" t="str">
        <f t="shared" si="27"/>
        <v>Inclinada</v>
      </c>
      <c r="O47" s="1061">
        <f t="shared" si="0"/>
        <v>178.05595328323037</v>
      </c>
      <c r="P47" s="1061">
        <f t="shared" si="1"/>
        <v>56.939999999999991</v>
      </c>
      <c r="Q47" s="1053">
        <f>IF(A47&lt;&gt;0,IF(N47="Inclinada",(F47*(TAN('PARAMETROS MC'!D$9*PI()/180))),IF(N47="Reta","-")),"")</f>
        <v>1.3826022064295707</v>
      </c>
      <c r="R47" s="1053">
        <f t="shared" si="2"/>
        <v>4.0652044128591411</v>
      </c>
      <c r="S47" s="1053">
        <f t="shared" si="3"/>
        <v>43.8</v>
      </c>
      <c r="T47" s="1053">
        <f t="shared" si="4"/>
        <v>1.2999999999999998</v>
      </c>
      <c r="U47" s="1053">
        <f t="shared" si="5"/>
        <v>43.8</v>
      </c>
      <c r="V47" s="1055">
        <f t="shared" si="6"/>
        <v>348.38150074238894</v>
      </c>
      <c r="W47" s="1052">
        <f t="shared" si="28"/>
        <v>1.5</v>
      </c>
      <c r="X47" s="1052">
        <f>IF(A47&lt;&gt;0,IF(N47="Inclinada",((AK47+AR47+AD47+W47)*(TAN('PARAMETROS MC'!D$9*PI()/180))),IF(N47="Reta","-")),"")</f>
        <v>1.3826022064295707</v>
      </c>
      <c r="Y47" s="1052">
        <f t="shared" si="7"/>
        <v>4.0652044128591411</v>
      </c>
      <c r="Z47" s="1052">
        <f t="shared" si="8"/>
        <v>43.8</v>
      </c>
      <c r="AA47" s="1052">
        <f t="shared" si="64"/>
        <v>2.6662814383941456</v>
      </c>
      <c r="AB47" s="1052">
        <f t="shared" si="65"/>
        <v>43.8</v>
      </c>
      <c r="AC47" s="1055">
        <f t="shared" si="9"/>
        <v>221.12931021367046</v>
      </c>
      <c r="AD47" s="1052">
        <f t="shared" si="31"/>
        <v>1.4649999999999999</v>
      </c>
      <c r="AE47" s="1052">
        <f>IF(A47&lt;&gt;0,IF(N47="Inclinada",((AK47+AR47+AD47)*(TAN('PARAMETROS MC'!D$9*PI()/180))),IF(N47="Reta","-")),"")</f>
        <v>0.68314071919707287</v>
      </c>
      <c r="AF47" s="1052">
        <f t="shared" si="10"/>
        <v>2.6662814383941456</v>
      </c>
      <c r="AG47" s="1052">
        <f t="shared" si="66"/>
        <v>43.8</v>
      </c>
      <c r="AH47" s="1052">
        <f t="shared" si="67"/>
        <v>1.2999999999999998</v>
      </c>
      <c r="AI47" s="1052">
        <f t="shared" si="68"/>
        <v>43.8</v>
      </c>
      <c r="AJ47" s="1055">
        <f t="shared" si="11"/>
        <v>127.25219052871854</v>
      </c>
      <c r="AK47" s="1052">
        <f t="shared" si="12"/>
        <v>0</v>
      </c>
      <c r="AL47" s="1052">
        <f>IF(A47&lt;&gt;0,IF(N47="Inclinada",((AK47+AR47)*(TAN('PARAMETROS MC'!D$9*PI()/180))),IF(N47="Reta","-")),"")</f>
        <v>0</v>
      </c>
      <c r="AM47" s="1059">
        <f t="shared" si="13"/>
        <v>1.2999999999999998</v>
      </c>
      <c r="AN47" s="1052">
        <f t="shared" si="69"/>
        <v>43.8</v>
      </c>
      <c r="AO47" s="1052">
        <f t="shared" si="70"/>
        <v>1.2999999999999998</v>
      </c>
      <c r="AP47" s="1052">
        <f t="shared" si="71"/>
        <v>43.8</v>
      </c>
      <c r="AQ47" s="1055">
        <f t="shared" si="14"/>
        <v>0</v>
      </c>
      <c r="AR47" s="1052">
        <f t="shared" si="15"/>
        <v>0</v>
      </c>
      <c r="AS47" s="1052">
        <f>IF(A47&lt;&gt;0,IF(N47="Inclinada",(AR47*(TAN('PARAMETROS MC'!D$9*PI()/180))),IF(N47="Reta","-")),"")</f>
        <v>0</v>
      </c>
      <c r="AT47" s="1052">
        <f t="shared" si="16"/>
        <v>1.2999999999999998</v>
      </c>
      <c r="AU47" s="1052">
        <f t="shared" si="17"/>
        <v>43.8</v>
      </c>
      <c r="AV47" s="1052">
        <f t="shared" si="18"/>
        <v>1.2999999999999998</v>
      </c>
      <c r="AW47" s="1052">
        <f t="shared" si="19"/>
        <v>43.8</v>
      </c>
      <c r="AX47" s="1055">
        <f t="shared" si="20"/>
        <v>0</v>
      </c>
      <c r="AY47" s="1055">
        <f>IF(A47&lt;&gt;0,IF(N47="Reta","-",IF(N47="Inclinada",(((H47/1000)+'PARAMETROS MC'!C$35)*(TAN('PARAMETROS MC'!D$9*PI()/180))))),"")</f>
        <v>0.46630765815499858</v>
      </c>
      <c r="AZ47" s="1055">
        <f t="shared" si="21"/>
        <v>2.2326153163099969</v>
      </c>
      <c r="BA47" s="1055">
        <f t="shared" si="22"/>
        <v>43.8</v>
      </c>
      <c r="BB47" s="1055">
        <f t="shared" si="23"/>
        <v>1.2999999999999998</v>
      </c>
      <c r="BC47" s="1055">
        <f t="shared" si="24"/>
        <v>43.8</v>
      </c>
      <c r="BD47" s="1055">
        <f t="shared" si="25"/>
        <v>16.85621538283603</v>
      </c>
      <c r="BE47" s="1055">
        <f>IF(A47&lt;&gt;0,IF(N47="Inclinada",((((H47/1000+'PARAMETROS MC'!C$35)/6)*(((2*AZ47+BB47)*BA47)+((2*BB47+AZ47)*BC47)))-BD47),IF(N47="Reta",((I47*J47*((H47/1000)+'PARAMETROS MC'!C$35)-BD47)))),"")</f>
        <v>60.508060044352888</v>
      </c>
      <c r="BF47" s="1055">
        <f t="shared" si="35"/>
        <v>271.01722531520005</v>
      </c>
      <c r="BG47" s="1055" t="str">
        <f t="shared" si="36"/>
        <v/>
      </c>
      <c r="BH47" s="1055" t="str">
        <f t="shared" si="37"/>
        <v/>
      </c>
      <c r="BI47" s="1055" t="str">
        <f t="shared" si="38"/>
        <v/>
      </c>
      <c r="BJ47" s="1055">
        <f t="shared" si="39"/>
        <v>271.01722531519999</v>
      </c>
      <c r="BK47" s="1052" t="str">
        <f>IF(A47&lt;&gt;0,IF(N47="Reta",IF(F47&lt;'PARAMETROS MC'!B$17,"-",(I47*F47*2)),IF(N47="Inclinada","-")),"")</f>
        <v>-</v>
      </c>
      <c r="BL47" s="1055" t="str">
        <f>IF(A47&lt;&gt;0,IF(N47="Reta",IF(F47&lt;'PARAMETROS MC'!B$17,"-",IF(F47&gt;='PARAMETROS MC'!B$17,(BK47*('PARAMETROS MC'!B$18/100)))),IF(N47="Inclinada","-")),"")</f>
        <v>-</v>
      </c>
      <c r="BM47" s="1055" t="str">
        <f t="shared" si="40"/>
        <v/>
      </c>
      <c r="BN47" s="1055" t="str">
        <f t="shared" si="41"/>
        <v>-</v>
      </c>
      <c r="BO47" s="1052" t="str">
        <f>IF(A47&lt;&gt;0,IF(N47="Reta",IF(F47&lt;'PARAMETROS MC'!B$17,"-",IF(F47&gt;='PARAMETROS MC'!B$17,(BK47*('PARAMETROS MC'!B$19/100)))),IF(N47="Inclinada","-")),"")</f>
        <v>-</v>
      </c>
      <c r="BP47" s="1060" t="str">
        <f>IF(A47&lt;&gt;0,IF(N47="Reta",IF(F47&lt;'PARAMETROS MC'!B$17,"-",IF(F47&gt;='PARAMETROS MC'!B$17,(BK47*('PARAMETROS MC'!B$20/100)))),IF(N47="Inclinada","-")),"")</f>
        <v>-</v>
      </c>
      <c r="BQ47" s="1060" t="str">
        <f>IF(A47&lt;&gt;0,IF(N47="Reta",IF(F47&lt;'PARAMETROS MC'!B$17,"-",IF(F47&gt;='PARAMETROS MC'!B$17,(BK47*('PARAMETROS MC'!B$21/100)))),IF(N47="Inclinada","-")),"")</f>
        <v>-</v>
      </c>
      <c r="BR47" s="1052"/>
      <c r="BS47" s="1052" t="str">
        <f t="shared" si="26"/>
        <v>-</v>
      </c>
    </row>
    <row r="48" spans="1:71" s="1063" customFormat="1">
      <c r="A48" s="1057">
        <v>37</v>
      </c>
      <c r="B48" s="1064" t="str">
        <f t="shared" si="61"/>
        <v>PV8</v>
      </c>
      <c r="C48" s="1064" t="s">
        <v>12025</v>
      </c>
      <c r="D48" s="1059">
        <f t="shared" si="62"/>
        <v>2.75</v>
      </c>
      <c r="E48" s="1059">
        <v>1.6</v>
      </c>
      <c r="F48" s="1060">
        <f t="shared" si="63"/>
        <v>2.1749999999999998</v>
      </c>
      <c r="G48" s="1052" t="s">
        <v>12009</v>
      </c>
      <c r="H48" s="1052">
        <v>700</v>
      </c>
      <c r="I48" s="1052">
        <v>73.3</v>
      </c>
      <c r="J48" s="1059">
        <f>IF(A48&lt;&gt;0,IF(AND(N48="Inclinada",H48&lt;600),(H48/1000+0.6),IF(AND(N48="Inclinada",H48&gt;=600),(H48/1000+0.6),IF(N48="Reta",((H48/1000)+('PARAMETROS MC'!D$11))))),"")</f>
        <v>1.5</v>
      </c>
      <c r="K48" s="1052" t="s">
        <v>11989</v>
      </c>
      <c r="L48" s="1060" t="str">
        <f>IF(A48&lt;&gt;0,IF(K48="",0,IF(K48="Sem Revestimento","-",IF(N48="Inclinada",((R48+(2*'PARAMETROS MC'!D$14))*I48),IF(N48="Reta",((J48+(2*'PARAMETROS MC'!D$14))*I48))))),"")</f>
        <v>-</v>
      </c>
      <c r="M48" s="1060" t="str">
        <f>IF(A48&lt;&gt;0,IF(K48="",0,IF(K48="Sem Revestimento","-",IF(N48="Inclinada",((R48+(2*'PARAMETROS MC'!D$14))*I48),IF(N48="Reta",((J48+(2*'PARAMETROS MC'!D$14))*I48))))),"")</f>
        <v>-</v>
      </c>
      <c r="N48" s="1052" t="str">
        <f t="shared" si="27"/>
        <v>Reta</v>
      </c>
      <c r="O48" s="1061">
        <f t="shared" si="0"/>
        <v>109.94999999999999</v>
      </c>
      <c r="P48" s="1061">
        <f t="shared" si="1"/>
        <v>109.94999999999999</v>
      </c>
      <c r="Q48" s="1053" t="str">
        <f>IF(A48&lt;&gt;0,IF(N48="Inclinada",(F48*(TAN('PARAMETROS MC'!D$9*PI()/180))),IF(N48="Reta","-")),"")</f>
        <v>-</v>
      </c>
      <c r="R48" s="1053" t="str">
        <f t="shared" si="2"/>
        <v>-</v>
      </c>
      <c r="S48" s="1053" t="str">
        <f t="shared" si="3"/>
        <v>-</v>
      </c>
      <c r="T48" s="1053" t="str">
        <f t="shared" si="4"/>
        <v>-</v>
      </c>
      <c r="U48" s="1053" t="str">
        <f t="shared" si="5"/>
        <v>-</v>
      </c>
      <c r="V48" s="1055">
        <f t="shared" si="6"/>
        <v>239.14124999999996</v>
      </c>
      <c r="W48" s="1052">
        <f t="shared" si="28"/>
        <v>1.5</v>
      </c>
      <c r="X48" s="1052" t="str">
        <f>IF(A48&lt;&gt;0,IF(N48="Inclinada",((AK48+AR48+AD48+W48)*(TAN('PARAMETROS MC'!D$9*PI()/180))),IF(N48="Reta","-")),"")</f>
        <v>-</v>
      </c>
      <c r="Y48" s="1052" t="str">
        <f t="shared" si="7"/>
        <v>-</v>
      </c>
      <c r="Z48" s="1052" t="str">
        <f t="shared" si="8"/>
        <v>-</v>
      </c>
      <c r="AA48" s="1052" t="str">
        <f t="shared" si="64"/>
        <v>-</v>
      </c>
      <c r="AB48" s="1052" t="str">
        <f t="shared" si="65"/>
        <v>-</v>
      </c>
      <c r="AC48" s="1055">
        <f t="shared" si="9"/>
        <v>164.92499999999998</v>
      </c>
      <c r="AD48" s="1052">
        <f t="shared" si="31"/>
        <v>0.67499999999999982</v>
      </c>
      <c r="AE48" s="1052" t="str">
        <f>IF(A48&lt;&gt;0,IF(N48="Inclinada",((AK48+AR48+AD48)*(TAN('PARAMETROS MC'!D$9*PI()/180))),IF(N48="Reta","-")),"")</f>
        <v>-</v>
      </c>
      <c r="AF48" s="1052" t="str">
        <f t="shared" si="10"/>
        <v>-</v>
      </c>
      <c r="AG48" s="1052" t="str">
        <f t="shared" si="66"/>
        <v>-</v>
      </c>
      <c r="AH48" s="1052" t="str">
        <f t="shared" si="67"/>
        <v>-</v>
      </c>
      <c r="AI48" s="1052" t="str">
        <f t="shared" si="68"/>
        <v>-</v>
      </c>
      <c r="AJ48" s="1055">
        <f t="shared" si="11"/>
        <v>74.216249999999974</v>
      </c>
      <c r="AK48" s="1052">
        <f t="shared" si="12"/>
        <v>0</v>
      </c>
      <c r="AL48" s="1052" t="str">
        <f>IF(A48&lt;&gt;0,IF(N48="Inclinada",((AK48+AR48)*(TAN('PARAMETROS MC'!D$9*PI()/180))),IF(N48="Reta","-")),"")</f>
        <v>-</v>
      </c>
      <c r="AM48" s="1059" t="str">
        <f t="shared" si="13"/>
        <v>-</v>
      </c>
      <c r="AN48" s="1052" t="str">
        <f t="shared" si="69"/>
        <v>-</v>
      </c>
      <c r="AO48" s="1052" t="str">
        <f t="shared" si="70"/>
        <v>-</v>
      </c>
      <c r="AP48" s="1052" t="str">
        <f t="shared" si="71"/>
        <v>-</v>
      </c>
      <c r="AQ48" s="1055">
        <f t="shared" si="14"/>
        <v>0</v>
      </c>
      <c r="AR48" s="1052">
        <f t="shared" si="15"/>
        <v>0</v>
      </c>
      <c r="AS48" s="1052" t="str">
        <f>IF(A48&lt;&gt;0,IF(N48="Inclinada",(AR48*(TAN('PARAMETROS MC'!D$9*PI()/180))),IF(N48="Reta","-")),"")</f>
        <v>-</v>
      </c>
      <c r="AT48" s="1052" t="str">
        <f t="shared" si="16"/>
        <v>-</v>
      </c>
      <c r="AU48" s="1052" t="str">
        <f t="shared" si="17"/>
        <v>-</v>
      </c>
      <c r="AV48" s="1052" t="str">
        <f t="shared" si="18"/>
        <v>-</v>
      </c>
      <c r="AW48" s="1052" t="str">
        <f t="shared" si="19"/>
        <v>-</v>
      </c>
      <c r="AX48" s="1055">
        <f t="shared" si="20"/>
        <v>0</v>
      </c>
      <c r="AY48" s="1055" t="str">
        <f>IF(A48&lt;&gt;0,IF(N48="Reta","-",IF(N48="Inclinada",(((H48/1000)+'PARAMETROS MC'!C$35)*(TAN('PARAMETROS MC'!D$9*PI()/180))))),"")</f>
        <v>-</v>
      </c>
      <c r="AZ48" s="1055" t="str">
        <f t="shared" si="21"/>
        <v>-</v>
      </c>
      <c r="BA48" s="1055" t="str">
        <f t="shared" si="22"/>
        <v>-</v>
      </c>
      <c r="BB48" s="1055" t="str">
        <f t="shared" si="23"/>
        <v>-</v>
      </c>
      <c r="BC48" s="1055" t="str">
        <f t="shared" si="24"/>
        <v>-</v>
      </c>
      <c r="BD48" s="1055">
        <f t="shared" si="25"/>
        <v>28.209145834746145</v>
      </c>
      <c r="BE48" s="1055">
        <f>IF(A48&lt;&gt;0,IF(N48="Inclinada",((((H48/1000+'PARAMETROS MC'!C$35)/6)*(((2*AZ48+BB48)*BA48)+((2*BB48+AZ48)*BC48)))-BD48),IF(N48="Reta",((I48*J48*((H48/1000)+'PARAMETROS MC'!C$35)-BD48)))),"")</f>
        <v>81.740854165253836</v>
      </c>
      <c r="BF48" s="1055">
        <f t="shared" si="35"/>
        <v>129.19124999999997</v>
      </c>
      <c r="BG48" s="1055" t="str">
        <f t="shared" si="36"/>
        <v/>
      </c>
      <c r="BH48" s="1055" t="str">
        <f t="shared" si="37"/>
        <v/>
      </c>
      <c r="BI48" s="1055" t="str">
        <f t="shared" si="38"/>
        <v/>
      </c>
      <c r="BJ48" s="1055">
        <f t="shared" si="39"/>
        <v>129.19124999999997</v>
      </c>
      <c r="BK48" s="1052">
        <f>IF(A48&lt;&gt;0,IF(N48="Reta",IF(F48&lt;'PARAMETROS MC'!B$17,"-",(I48*F48*2)),IF(N48="Inclinada","-")),"")</f>
        <v>318.85499999999996</v>
      </c>
      <c r="BL48" s="1055">
        <f>IF(A48&lt;&gt;0,IF(N48="Reta",IF(F48&lt;'PARAMETROS MC'!B$17,"-",IF(F48&gt;='PARAMETROS MC'!B$17,(BK48*('PARAMETROS MC'!B$18/100)))),IF(N48="Inclinada","-")),"")</f>
        <v>309.28934999999996</v>
      </c>
      <c r="BM48" s="1055" t="str">
        <f t="shared" si="40"/>
        <v/>
      </c>
      <c r="BN48" s="1055">
        <f t="shared" si="41"/>
        <v>309.28934999999996</v>
      </c>
      <c r="BO48" s="1052">
        <f>IF(A48&lt;&gt;0,IF(N48="Reta",IF(F48&lt;'PARAMETROS MC'!B$17,"-",IF(F48&gt;='PARAMETROS MC'!B$17,(BK48*('PARAMETROS MC'!B$19/100)))),IF(N48="Inclinada","-")),"")</f>
        <v>0</v>
      </c>
      <c r="BP48" s="1060">
        <f>IF(A48&lt;&gt;0,IF(N48="Reta",IF(F48&lt;'PARAMETROS MC'!B$17,"-",IF(F48&gt;='PARAMETROS MC'!B$17,(BK48*('PARAMETROS MC'!B$20/100)))),IF(N48="Inclinada","-")),"")</f>
        <v>0</v>
      </c>
      <c r="BQ48" s="1060">
        <f>IF(A48&lt;&gt;0,IF(N48="Reta",IF(F48&lt;'PARAMETROS MC'!B$17,"-",IF(F48&gt;='PARAMETROS MC'!B$17,(BK48*('PARAMETROS MC'!B$21/100)))),IF(N48="Inclinada","-")),"")</f>
        <v>9.565649999999998</v>
      </c>
      <c r="BR48" s="1052"/>
      <c r="BS48" s="1052" t="str">
        <f t="shared" si="26"/>
        <v>-</v>
      </c>
    </row>
    <row r="49" spans="1:71" s="1063" customFormat="1">
      <c r="A49" s="1057">
        <v>38</v>
      </c>
      <c r="B49" s="1064" t="str">
        <f t="shared" si="61"/>
        <v>PV9</v>
      </c>
      <c r="C49" s="1064" t="s">
        <v>11841</v>
      </c>
      <c r="D49" s="1059">
        <f t="shared" si="62"/>
        <v>1.6</v>
      </c>
      <c r="E49" s="1059">
        <v>1.6</v>
      </c>
      <c r="F49" s="1060">
        <f t="shared" si="63"/>
        <v>1.6</v>
      </c>
      <c r="G49" s="1052" t="s">
        <v>12009</v>
      </c>
      <c r="H49" s="1052">
        <v>700</v>
      </c>
      <c r="I49" s="1052">
        <v>48.45</v>
      </c>
      <c r="J49" s="1059">
        <f>IF(A49&lt;&gt;0,IF(AND(N49="Inclinada",H49&lt;600),(H49/1000+0.6),IF(AND(N49="Inclinada",H49&gt;=600),(H49/1000+0.6),IF(N49="Reta",((H49/1000)+('PARAMETROS MC'!D$11))))),"")</f>
        <v>1.5</v>
      </c>
      <c r="K49" s="1052" t="s">
        <v>11989</v>
      </c>
      <c r="L49" s="1060" t="str">
        <f>IF(A49&lt;&gt;0,IF(K49="",0,IF(K49="Sem Revestimento","-",IF(N49="Inclinada",((R49+(2*'PARAMETROS MC'!D$14))*I49),IF(N49="Reta",((J49+(2*'PARAMETROS MC'!D$14))*I49))))),"")</f>
        <v>-</v>
      </c>
      <c r="M49" s="1060" t="str">
        <f>IF(A49&lt;&gt;0,IF(K49="",0,IF(K49="Sem Revestimento","-",IF(N49="Inclinada",((R49+(2*'PARAMETROS MC'!D$14))*I49),IF(N49="Reta",((J49+(2*'PARAMETROS MC'!D$14))*I49))))),"")</f>
        <v>-</v>
      </c>
      <c r="N49" s="1052" t="str">
        <f t="shared" si="27"/>
        <v>Reta</v>
      </c>
      <c r="O49" s="1061">
        <f t="shared" si="0"/>
        <v>72.675000000000011</v>
      </c>
      <c r="P49" s="1061">
        <f t="shared" si="1"/>
        <v>72.675000000000011</v>
      </c>
      <c r="Q49" s="1053" t="str">
        <f>IF(A49&lt;&gt;0,IF(N49="Inclinada",(F49*(TAN('PARAMETROS MC'!D$9*PI()/180))),IF(N49="Reta","-")),"")</f>
        <v>-</v>
      </c>
      <c r="R49" s="1053" t="str">
        <f t="shared" si="2"/>
        <v>-</v>
      </c>
      <c r="S49" s="1053" t="str">
        <f t="shared" si="3"/>
        <v>-</v>
      </c>
      <c r="T49" s="1053" t="str">
        <f t="shared" si="4"/>
        <v>-</v>
      </c>
      <c r="U49" s="1053" t="str">
        <f t="shared" si="5"/>
        <v>-</v>
      </c>
      <c r="V49" s="1055">
        <f t="shared" si="6"/>
        <v>116.28000000000003</v>
      </c>
      <c r="W49" s="1052">
        <f t="shared" si="28"/>
        <v>1.5</v>
      </c>
      <c r="X49" s="1052" t="str">
        <f>IF(A49&lt;&gt;0,IF(N49="Inclinada",((AK49+AR49+AD49+W49)*(TAN('PARAMETROS MC'!D$9*PI()/180))),IF(N49="Reta","-")),"")</f>
        <v>-</v>
      </c>
      <c r="Y49" s="1052" t="str">
        <f t="shared" si="7"/>
        <v>-</v>
      </c>
      <c r="Z49" s="1052" t="str">
        <f t="shared" si="8"/>
        <v>-</v>
      </c>
      <c r="AA49" s="1052" t="str">
        <f t="shared" si="64"/>
        <v>-</v>
      </c>
      <c r="AB49" s="1052" t="str">
        <f t="shared" si="65"/>
        <v>-</v>
      </c>
      <c r="AC49" s="1055">
        <f t="shared" si="9"/>
        <v>109.01250000000002</v>
      </c>
      <c r="AD49" s="1052">
        <f t="shared" si="31"/>
        <v>0.10000000000000009</v>
      </c>
      <c r="AE49" s="1052" t="str">
        <f>IF(A49&lt;&gt;0,IF(N49="Inclinada",((AK49+AR49+AD49)*(TAN('PARAMETROS MC'!D$9*PI()/180))),IF(N49="Reta","-")),"")</f>
        <v>-</v>
      </c>
      <c r="AF49" s="1052" t="str">
        <f t="shared" si="10"/>
        <v>-</v>
      </c>
      <c r="AG49" s="1052" t="str">
        <f t="shared" si="66"/>
        <v>-</v>
      </c>
      <c r="AH49" s="1052" t="str">
        <f t="shared" si="67"/>
        <v>-</v>
      </c>
      <c r="AI49" s="1052" t="str">
        <f t="shared" si="68"/>
        <v>-</v>
      </c>
      <c r="AJ49" s="1055">
        <f t="shared" si="11"/>
        <v>7.2675000000000072</v>
      </c>
      <c r="AK49" s="1052">
        <f t="shared" si="12"/>
        <v>0</v>
      </c>
      <c r="AL49" s="1052" t="str">
        <f>IF(A49&lt;&gt;0,IF(N49="Inclinada",((AK49+AR49)*(TAN('PARAMETROS MC'!D$9*PI()/180))),IF(N49="Reta","-")),"")</f>
        <v>-</v>
      </c>
      <c r="AM49" s="1059" t="str">
        <f t="shared" si="13"/>
        <v>-</v>
      </c>
      <c r="AN49" s="1052" t="str">
        <f t="shared" si="69"/>
        <v>-</v>
      </c>
      <c r="AO49" s="1052" t="str">
        <f t="shared" si="70"/>
        <v>-</v>
      </c>
      <c r="AP49" s="1052" t="str">
        <f t="shared" si="71"/>
        <v>-</v>
      </c>
      <c r="AQ49" s="1055">
        <f t="shared" si="14"/>
        <v>0</v>
      </c>
      <c r="AR49" s="1052">
        <f t="shared" si="15"/>
        <v>0</v>
      </c>
      <c r="AS49" s="1052" t="str">
        <f>IF(A49&lt;&gt;0,IF(N49="Inclinada",(AR49*(TAN('PARAMETROS MC'!D$9*PI()/180))),IF(N49="Reta","-")),"")</f>
        <v>-</v>
      </c>
      <c r="AT49" s="1052" t="str">
        <f t="shared" si="16"/>
        <v>-</v>
      </c>
      <c r="AU49" s="1052" t="str">
        <f t="shared" si="17"/>
        <v>-</v>
      </c>
      <c r="AV49" s="1052" t="str">
        <f t="shared" si="18"/>
        <v>-</v>
      </c>
      <c r="AW49" s="1052" t="str">
        <f t="shared" si="19"/>
        <v>-</v>
      </c>
      <c r="AX49" s="1055">
        <f t="shared" si="20"/>
        <v>0</v>
      </c>
      <c r="AY49" s="1055" t="str">
        <f>IF(A49&lt;&gt;0,IF(N49="Reta","-",IF(N49="Inclinada",(((H49/1000)+'PARAMETROS MC'!C$35)*(TAN('PARAMETROS MC'!D$9*PI()/180))))),"")</f>
        <v>-</v>
      </c>
      <c r="AZ49" s="1055" t="str">
        <f t="shared" si="21"/>
        <v>-</v>
      </c>
      <c r="BA49" s="1055" t="str">
        <f t="shared" si="22"/>
        <v>-</v>
      </c>
      <c r="BB49" s="1055" t="str">
        <f t="shared" si="23"/>
        <v>-</v>
      </c>
      <c r="BC49" s="1055" t="str">
        <f t="shared" si="24"/>
        <v>-</v>
      </c>
      <c r="BD49" s="1055">
        <f t="shared" si="25"/>
        <v>18.64574509813712</v>
      </c>
      <c r="BE49" s="1055">
        <f>IF(A49&lt;&gt;0,IF(N49="Inclinada",((((H49/1000+'PARAMETROS MC'!C$35)/6)*(((2*AZ49+BB49)*BA49)+((2*BB49+AZ49)*BC49)))-BD49),IF(N49="Reta",((I49*J49*((H49/1000)+'PARAMETROS MC'!C$35)-BD49)))),"")</f>
        <v>54.029254901862892</v>
      </c>
      <c r="BF49" s="1055">
        <f t="shared" si="35"/>
        <v>43.605000000000018</v>
      </c>
      <c r="BG49" s="1055" t="str">
        <f t="shared" si="36"/>
        <v/>
      </c>
      <c r="BH49" s="1055" t="str">
        <f t="shared" si="37"/>
        <v/>
      </c>
      <c r="BI49" s="1055" t="str">
        <f t="shared" si="38"/>
        <v/>
      </c>
      <c r="BJ49" s="1055">
        <f t="shared" si="39"/>
        <v>43.605000000000018</v>
      </c>
      <c r="BK49" s="1052">
        <f>IF(A49&lt;&gt;0,IF(N49="Reta",IF(F49&lt;'PARAMETROS MC'!B$17,"-",(I49*F49*2)),IF(N49="Inclinada","-")),"")</f>
        <v>155.04000000000002</v>
      </c>
      <c r="BL49" s="1055">
        <f>IF(A49&lt;&gt;0,IF(N49="Reta",IF(F49&lt;'PARAMETROS MC'!B$17,"-",IF(F49&gt;='PARAMETROS MC'!B$17,(BK49*('PARAMETROS MC'!B$18/100)))),IF(N49="Inclinada","-")),"")</f>
        <v>150.3888</v>
      </c>
      <c r="BM49" s="1055" t="str">
        <f t="shared" si="40"/>
        <v/>
      </c>
      <c r="BN49" s="1055">
        <f t="shared" si="41"/>
        <v>150.3888</v>
      </c>
      <c r="BO49" s="1052">
        <f>IF(A49&lt;&gt;0,IF(N49="Reta",IF(F49&lt;'PARAMETROS MC'!B$17,"-",IF(F49&gt;='PARAMETROS MC'!B$17,(BK49*('PARAMETROS MC'!B$19/100)))),IF(N49="Inclinada","-")),"")</f>
        <v>0</v>
      </c>
      <c r="BP49" s="1060">
        <f>IF(A49&lt;&gt;0,IF(N49="Reta",IF(F49&lt;'PARAMETROS MC'!B$17,"-",IF(F49&gt;='PARAMETROS MC'!B$17,(BK49*('PARAMETROS MC'!B$20/100)))),IF(N49="Inclinada","-")),"")</f>
        <v>0</v>
      </c>
      <c r="BQ49" s="1060">
        <f>IF(A49&lt;&gt;0,IF(N49="Reta",IF(F49&lt;'PARAMETROS MC'!B$17,"-",IF(F49&gt;='PARAMETROS MC'!B$17,(BK49*('PARAMETROS MC'!B$21/100)))),IF(N49="Inclinada","-")),"")</f>
        <v>4.6512000000000002</v>
      </c>
      <c r="BR49" s="1052"/>
      <c r="BS49" s="1052" t="str">
        <f t="shared" si="26"/>
        <v>-</v>
      </c>
    </row>
    <row r="50" spans="1:71" s="1063" customFormat="1">
      <c r="A50" s="1057">
        <v>39</v>
      </c>
      <c r="B50" s="1064" t="str">
        <f t="shared" si="61"/>
        <v>CDG1</v>
      </c>
      <c r="C50" s="1064" t="s">
        <v>12017</v>
      </c>
      <c r="D50" s="1059">
        <v>1.73</v>
      </c>
      <c r="E50" s="1059">
        <v>1.04</v>
      </c>
      <c r="F50" s="1060">
        <f t="shared" si="63"/>
        <v>1.385</v>
      </c>
      <c r="G50" s="1052" t="s">
        <v>12026</v>
      </c>
      <c r="H50" s="1052">
        <v>500</v>
      </c>
      <c r="I50" s="1052">
        <v>57</v>
      </c>
      <c r="J50" s="1059">
        <f>IF(A50&lt;&gt;0,IF(AND(N50="Inclinada",H50&lt;600),(H50/1000+0.6),IF(AND(N50="Inclinada",H50&gt;=600),(H50/1000+0.6),IF(N50="Reta",((H50/1000)+('PARAMETROS MC'!D$11))))),"")</f>
        <v>1.3</v>
      </c>
      <c r="K50" s="1052" t="s">
        <v>11989</v>
      </c>
      <c r="L50" s="1060" t="str">
        <f>IF(A50&lt;&gt;0,IF(K50="",0,IF(K50="Sem Revestimento","-",IF(N50="Inclinada",((R50+(2*'PARAMETROS MC'!D$14))*I50),IF(N50="Reta",((J50+(2*'PARAMETROS MC'!D$14))*I50))))),"")</f>
        <v>-</v>
      </c>
      <c r="M50" s="1060" t="str">
        <f>IF(A50&lt;&gt;0,IF(K50="",0,IF(K50="Sem Revestimento","-",IF(N50="Inclinada",((R50+(2*'PARAMETROS MC'!D$14))*I50),IF(N50="Reta",((J50+(2*'PARAMETROS MC'!D$14))*I50))))),"")</f>
        <v>-</v>
      </c>
      <c r="N50" s="1052" t="str">
        <f t="shared" si="27"/>
        <v>Reta</v>
      </c>
      <c r="O50" s="1061">
        <f t="shared" si="0"/>
        <v>74.100000000000009</v>
      </c>
      <c r="P50" s="1061">
        <f t="shared" si="1"/>
        <v>74.100000000000009</v>
      </c>
      <c r="Q50" s="1053" t="str">
        <f>IF(A50&lt;&gt;0,IF(N50="Inclinada",(F50*(TAN('PARAMETROS MC'!D$9*PI()/180))),IF(N50="Reta","-")),"")</f>
        <v>-</v>
      </c>
      <c r="R50" s="1053" t="str">
        <f t="shared" si="2"/>
        <v>-</v>
      </c>
      <c r="S50" s="1053" t="str">
        <f t="shared" si="3"/>
        <v>-</v>
      </c>
      <c r="T50" s="1053" t="str">
        <f t="shared" si="4"/>
        <v>-</v>
      </c>
      <c r="U50" s="1053" t="str">
        <f t="shared" si="5"/>
        <v>-</v>
      </c>
      <c r="V50" s="1055">
        <f t="shared" si="6"/>
        <v>102.62850000000002</v>
      </c>
      <c r="W50" s="1052">
        <f t="shared" si="28"/>
        <v>1.385</v>
      </c>
      <c r="X50" s="1052" t="str">
        <f>IF(A50&lt;&gt;0,IF(N50="Inclinada",((AK50+AR50+AD50+W50)*(TAN('PARAMETROS MC'!D$9*PI()/180))),IF(N50="Reta","-")),"")</f>
        <v>-</v>
      </c>
      <c r="Y50" s="1052" t="str">
        <f t="shared" si="7"/>
        <v>-</v>
      </c>
      <c r="Z50" s="1052" t="str">
        <f t="shared" si="8"/>
        <v>-</v>
      </c>
      <c r="AA50" s="1052" t="str">
        <f t="shared" si="64"/>
        <v>-</v>
      </c>
      <c r="AB50" s="1052" t="str">
        <f t="shared" si="65"/>
        <v>-</v>
      </c>
      <c r="AC50" s="1055">
        <f t="shared" si="9"/>
        <v>102.62850000000002</v>
      </c>
      <c r="AD50" s="1052">
        <f t="shared" si="31"/>
        <v>0</v>
      </c>
      <c r="AE50" s="1052" t="str">
        <f>IF(A50&lt;&gt;0,IF(N50="Inclinada",((AK50+AR50+AD50)*(TAN('PARAMETROS MC'!D$9*PI()/180))),IF(N50="Reta","-")),"")</f>
        <v>-</v>
      </c>
      <c r="AF50" s="1052" t="str">
        <f t="shared" si="10"/>
        <v>-</v>
      </c>
      <c r="AG50" s="1052" t="str">
        <f t="shared" si="66"/>
        <v>-</v>
      </c>
      <c r="AH50" s="1052" t="str">
        <f t="shared" si="67"/>
        <v>-</v>
      </c>
      <c r="AI50" s="1052" t="str">
        <f t="shared" si="68"/>
        <v>-</v>
      </c>
      <c r="AJ50" s="1055">
        <f t="shared" si="11"/>
        <v>0</v>
      </c>
      <c r="AK50" s="1052">
        <f t="shared" si="12"/>
        <v>0</v>
      </c>
      <c r="AL50" s="1052" t="str">
        <f>IF(A50&lt;&gt;0,IF(N50="Inclinada",((AK50+AR50)*(TAN('PARAMETROS MC'!D$9*PI()/180))),IF(N50="Reta","-")),"")</f>
        <v>-</v>
      </c>
      <c r="AM50" s="1059" t="str">
        <f t="shared" si="13"/>
        <v>-</v>
      </c>
      <c r="AN50" s="1052" t="str">
        <f t="shared" si="69"/>
        <v>-</v>
      </c>
      <c r="AO50" s="1052" t="str">
        <f t="shared" si="70"/>
        <v>-</v>
      </c>
      <c r="AP50" s="1052" t="str">
        <f t="shared" si="71"/>
        <v>-</v>
      </c>
      <c r="AQ50" s="1055">
        <f t="shared" si="14"/>
        <v>0</v>
      </c>
      <c r="AR50" s="1052">
        <f t="shared" si="15"/>
        <v>0</v>
      </c>
      <c r="AS50" s="1052" t="str">
        <f>IF(A50&lt;&gt;0,IF(N50="Inclinada",(AR50*(TAN('PARAMETROS MC'!D$9*PI()/180))),IF(N50="Reta","-")),"")</f>
        <v>-</v>
      </c>
      <c r="AT50" s="1052" t="str">
        <f t="shared" si="16"/>
        <v>-</v>
      </c>
      <c r="AU50" s="1052" t="str">
        <f t="shared" si="17"/>
        <v>-</v>
      </c>
      <c r="AV50" s="1052" t="str">
        <f t="shared" si="18"/>
        <v>-</v>
      </c>
      <c r="AW50" s="1052" t="str">
        <f t="shared" si="19"/>
        <v>-</v>
      </c>
      <c r="AX50" s="1055">
        <f t="shared" si="20"/>
        <v>0</v>
      </c>
      <c r="AY50" s="1055" t="str">
        <f>IF(A50&lt;&gt;0,IF(N50="Reta","-",IF(N50="Inclinada",(((H50/1000)+'PARAMETROS MC'!C$35)*(TAN('PARAMETROS MC'!D$9*PI()/180))))),"")</f>
        <v>-</v>
      </c>
      <c r="AZ50" s="1055" t="str">
        <f t="shared" si="21"/>
        <v>-</v>
      </c>
      <c r="BA50" s="1055" t="str">
        <f t="shared" si="22"/>
        <v>-</v>
      </c>
      <c r="BB50" s="1055" t="str">
        <f t="shared" si="23"/>
        <v>-</v>
      </c>
      <c r="BC50" s="1055" t="str">
        <f t="shared" si="24"/>
        <v>-</v>
      </c>
      <c r="BD50" s="1055">
        <f t="shared" si="25"/>
        <v>11.191923828413637</v>
      </c>
      <c r="BE50" s="1055">
        <f>IF(A50&lt;&gt;0,IF(N50="Inclinada",((((H50/1000+'PARAMETROS MC'!C$35)/6)*(((2*AZ50+BB50)*BA50)+((2*BB50+AZ50)*BC50)))-BD50),IF(N50="Reta",((I50*J50*((H50/1000)+'PARAMETROS MC'!C$35)-BD50)))),"")</f>
        <v>48.088076171586373</v>
      </c>
      <c r="BF50" s="1055">
        <f t="shared" si="35"/>
        <v>43.348500000000008</v>
      </c>
      <c r="BG50" s="1055" t="str">
        <f t="shared" si="36"/>
        <v/>
      </c>
      <c r="BH50" s="1055" t="str">
        <f t="shared" si="37"/>
        <v/>
      </c>
      <c r="BI50" s="1055">
        <f t="shared" si="38"/>
        <v>43.348500000000008</v>
      </c>
      <c r="BJ50" s="1055" t="str">
        <f t="shared" si="39"/>
        <v/>
      </c>
      <c r="BK50" s="1052">
        <f>IF(A50&lt;&gt;0,IF(N50="Reta",IF(F50&lt;'PARAMETROS MC'!B$17,"-",(I50*F50*2)),IF(N50="Inclinada","-")),"")</f>
        <v>157.89000000000001</v>
      </c>
      <c r="BL50" s="1055">
        <f>IF(A50&lt;&gt;0,IF(N50="Reta",IF(F50&lt;'PARAMETROS MC'!B$17,"-",IF(F50&gt;='PARAMETROS MC'!B$17,(BK50*('PARAMETROS MC'!B$18/100)))),IF(N50="Inclinada","-")),"")</f>
        <v>153.1533</v>
      </c>
      <c r="BM50" s="1055">
        <f t="shared" si="40"/>
        <v>153.1533</v>
      </c>
      <c r="BN50" s="1055" t="str">
        <f t="shared" si="41"/>
        <v/>
      </c>
      <c r="BO50" s="1052">
        <f>IF(A50&lt;&gt;0,IF(N50="Reta",IF(F50&lt;'PARAMETROS MC'!B$17,"-",IF(F50&gt;='PARAMETROS MC'!B$17,(BK50*('PARAMETROS MC'!B$19/100)))),IF(N50="Inclinada","-")),"")</f>
        <v>0</v>
      </c>
      <c r="BP50" s="1060">
        <f>IF(A50&lt;&gt;0,IF(N50="Reta",IF(F50&lt;'PARAMETROS MC'!B$17,"-",IF(F50&gt;='PARAMETROS MC'!B$17,(BK50*('PARAMETROS MC'!B$20/100)))),IF(N50="Inclinada","-")),"")</f>
        <v>0</v>
      </c>
      <c r="BQ50" s="1060">
        <f>IF(A50&lt;&gt;0,IF(N50="Reta",IF(F50&lt;'PARAMETROS MC'!B$17,"-",IF(F50&gt;='PARAMETROS MC'!B$17,(BK50*('PARAMETROS MC'!B$21/100)))),IF(N50="Inclinada","-")),"")</f>
        <v>4.7366999999999999</v>
      </c>
      <c r="BR50" s="1052"/>
      <c r="BS50" s="1052" t="str">
        <f t="shared" si="26"/>
        <v>-</v>
      </c>
    </row>
    <row r="51" spans="1:71" s="1063" customFormat="1">
      <c r="A51" s="1057">
        <v>40</v>
      </c>
      <c r="B51" s="1064" t="str">
        <f t="shared" si="61"/>
        <v>PV1</v>
      </c>
      <c r="C51" s="1064" t="s">
        <v>12018</v>
      </c>
      <c r="D51" s="1059">
        <f t="shared" si="62"/>
        <v>1.04</v>
      </c>
      <c r="E51" s="1059">
        <v>1.02</v>
      </c>
      <c r="F51" s="1060">
        <f t="shared" si="63"/>
        <v>1.03</v>
      </c>
      <c r="G51" s="1052" t="s">
        <v>12026</v>
      </c>
      <c r="H51" s="1052">
        <v>500</v>
      </c>
      <c r="I51" s="1052">
        <v>36.1</v>
      </c>
      <c r="J51" s="1059">
        <f>IF(A51&lt;&gt;0,IF(AND(N51="Inclinada",H51&lt;600),(H51/1000+0.6),IF(AND(N51="Inclinada",H51&gt;=600),(H51/1000+0.6),IF(N51="Reta",((H51/1000)+('PARAMETROS MC'!D$11))))),"")</f>
        <v>1.3</v>
      </c>
      <c r="K51" s="1052" t="s">
        <v>11989</v>
      </c>
      <c r="L51" s="1060" t="str">
        <f>IF(A51&lt;&gt;0,IF(K51="",0,IF(K51="Sem Revestimento","-",IF(N51="Inclinada",((R51+(2*'PARAMETROS MC'!D$14))*I51),IF(N51="Reta",((J51+(2*'PARAMETROS MC'!D$14))*I51))))),"")</f>
        <v>-</v>
      </c>
      <c r="M51" s="1060" t="str">
        <f>IF(A51&lt;&gt;0,IF(K51="",0,IF(K51="Sem Revestimento","-",IF(N51="Inclinada",((R51+(2*'PARAMETROS MC'!D$14))*I51),IF(N51="Reta",((J51+(2*'PARAMETROS MC'!D$14))*I51))))),"")</f>
        <v>-</v>
      </c>
      <c r="N51" s="1052" t="str">
        <f t="shared" si="27"/>
        <v>Reta</v>
      </c>
      <c r="O51" s="1061">
        <f t="shared" si="0"/>
        <v>46.930000000000007</v>
      </c>
      <c r="P51" s="1061">
        <f t="shared" si="1"/>
        <v>46.930000000000007</v>
      </c>
      <c r="Q51" s="1053" t="str">
        <f>IF(A51&lt;&gt;0,IF(N51="Inclinada",(F51*(TAN('PARAMETROS MC'!D$9*PI()/180))),IF(N51="Reta","-")),"")</f>
        <v>-</v>
      </c>
      <c r="R51" s="1053" t="str">
        <f t="shared" si="2"/>
        <v>-</v>
      </c>
      <c r="S51" s="1053" t="str">
        <f t="shared" si="3"/>
        <v>-</v>
      </c>
      <c r="T51" s="1053" t="str">
        <f t="shared" si="4"/>
        <v>-</v>
      </c>
      <c r="U51" s="1053" t="str">
        <f t="shared" si="5"/>
        <v>-</v>
      </c>
      <c r="V51" s="1055">
        <f t="shared" si="6"/>
        <v>48.337900000000005</v>
      </c>
      <c r="W51" s="1052">
        <f t="shared" si="28"/>
        <v>1.03</v>
      </c>
      <c r="X51" s="1052" t="str">
        <f>IF(A51&lt;&gt;0,IF(N51="Inclinada",((AK51+AR51+AD51+W51)*(TAN('PARAMETROS MC'!D$9*PI()/180))),IF(N51="Reta","-")),"")</f>
        <v>-</v>
      </c>
      <c r="Y51" s="1052" t="str">
        <f t="shared" si="7"/>
        <v>-</v>
      </c>
      <c r="Z51" s="1052" t="str">
        <f t="shared" si="8"/>
        <v>-</v>
      </c>
      <c r="AA51" s="1052" t="str">
        <f t="shared" si="64"/>
        <v>-</v>
      </c>
      <c r="AB51" s="1052" t="str">
        <f t="shared" si="65"/>
        <v>-</v>
      </c>
      <c r="AC51" s="1055">
        <f t="shared" si="9"/>
        <v>48.337900000000005</v>
      </c>
      <c r="AD51" s="1052">
        <f t="shared" si="31"/>
        <v>0</v>
      </c>
      <c r="AE51" s="1052" t="str">
        <f>IF(A51&lt;&gt;0,IF(N51="Inclinada",((AK51+AR51+AD51)*(TAN('PARAMETROS MC'!D$9*PI()/180))),IF(N51="Reta","-")),"")</f>
        <v>-</v>
      </c>
      <c r="AF51" s="1052" t="str">
        <f t="shared" si="10"/>
        <v>-</v>
      </c>
      <c r="AG51" s="1052" t="str">
        <f t="shared" si="66"/>
        <v>-</v>
      </c>
      <c r="AH51" s="1052" t="str">
        <f t="shared" si="67"/>
        <v>-</v>
      </c>
      <c r="AI51" s="1052" t="str">
        <f t="shared" si="68"/>
        <v>-</v>
      </c>
      <c r="AJ51" s="1055">
        <f t="shared" si="11"/>
        <v>0</v>
      </c>
      <c r="AK51" s="1052">
        <f t="shared" si="12"/>
        <v>0</v>
      </c>
      <c r="AL51" s="1052" t="str">
        <f>IF(A51&lt;&gt;0,IF(N51="Inclinada",((AK51+AR51)*(TAN('PARAMETROS MC'!D$9*PI()/180))),IF(N51="Reta","-")),"")</f>
        <v>-</v>
      </c>
      <c r="AM51" s="1059" t="str">
        <f t="shared" si="13"/>
        <v>-</v>
      </c>
      <c r="AN51" s="1052" t="str">
        <f t="shared" si="69"/>
        <v>-</v>
      </c>
      <c r="AO51" s="1052" t="str">
        <f t="shared" si="70"/>
        <v>-</v>
      </c>
      <c r="AP51" s="1052" t="str">
        <f t="shared" si="71"/>
        <v>-</v>
      </c>
      <c r="AQ51" s="1055">
        <f t="shared" si="14"/>
        <v>0</v>
      </c>
      <c r="AR51" s="1052">
        <f t="shared" si="15"/>
        <v>0</v>
      </c>
      <c r="AS51" s="1052" t="str">
        <f>IF(A51&lt;&gt;0,IF(N51="Inclinada",(AR51*(TAN('PARAMETROS MC'!D$9*PI()/180))),IF(N51="Reta","-")),"")</f>
        <v>-</v>
      </c>
      <c r="AT51" s="1052" t="str">
        <f t="shared" si="16"/>
        <v>-</v>
      </c>
      <c r="AU51" s="1052" t="str">
        <f t="shared" si="17"/>
        <v>-</v>
      </c>
      <c r="AV51" s="1052" t="str">
        <f t="shared" si="18"/>
        <v>-</v>
      </c>
      <c r="AW51" s="1052" t="str">
        <f t="shared" si="19"/>
        <v>-</v>
      </c>
      <c r="AX51" s="1055">
        <f t="shared" si="20"/>
        <v>0</v>
      </c>
      <c r="AY51" s="1055" t="str">
        <f>IF(A51&lt;&gt;0,IF(N51="Reta","-",IF(N51="Inclinada",(((H51/1000)+'PARAMETROS MC'!C$35)*(TAN('PARAMETROS MC'!D$9*PI()/180))))),"")</f>
        <v>-</v>
      </c>
      <c r="AZ51" s="1055" t="str">
        <f t="shared" si="21"/>
        <v>-</v>
      </c>
      <c r="BA51" s="1055" t="str">
        <f t="shared" si="22"/>
        <v>-</v>
      </c>
      <c r="BB51" s="1055" t="str">
        <f t="shared" si="23"/>
        <v>-</v>
      </c>
      <c r="BC51" s="1055" t="str">
        <f t="shared" si="24"/>
        <v>-</v>
      </c>
      <c r="BD51" s="1055">
        <f t="shared" si="25"/>
        <v>7.0882184246619708</v>
      </c>
      <c r="BE51" s="1055">
        <f>IF(A51&lt;&gt;0,IF(N51="Inclinada",((((H51/1000+'PARAMETROS MC'!C$35)/6)*(((2*AZ51+BB51)*BA51)+((2*BB51+AZ51)*BC51)))-BD51),IF(N51="Reta",((I51*J51*((H51/1000)+'PARAMETROS MC'!C$35)-BD51)))),"")</f>
        <v>30.455781575338033</v>
      </c>
      <c r="BF51" s="1055">
        <f t="shared" si="35"/>
        <v>10.793900000000001</v>
      </c>
      <c r="BG51" s="1055" t="str">
        <f t="shared" si="36"/>
        <v/>
      </c>
      <c r="BH51" s="1055" t="str">
        <f t="shared" si="37"/>
        <v/>
      </c>
      <c r="BI51" s="1055">
        <f t="shared" si="38"/>
        <v>10.793900000000001</v>
      </c>
      <c r="BJ51" s="1055" t="str">
        <f t="shared" si="39"/>
        <v/>
      </c>
      <c r="BK51" s="1052" t="str">
        <f>IF(A51&lt;&gt;0,IF(N51="Reta",IF(F51&lt;'PARAMETROS MC'!B$17,"-",(I51*F51*2)),IF(N51="Inclinada","-")),"")</f>
        <v>-</v>
      </c>
      <c r="BL51" s="1055" t="str">
        <f>IF(A51&lt;&gt;0,IF(N51="Reta",IF(F51&lt;'PARAMETROS MC'!B$17,"-",IF(F51&gt;='PARAMETROS MC'!B$17,(BK51*('PARAMETROS MC'!B$18/100)))),IF(N51="Inclinada","-")),"")</f>
        <v>-</v>
      </c>
      <c r="BM51" s="1055" t="str">
        <f t="shared" si="40"/>
        <v>-</v>
      </c>
      <c r="BN51" s="1055" t="str">
        <f t="shared" si="41"/>
        <v/>
      </c>
      <c r="BO51" s="1052" t="str">
        <f>IF(A51&lt;&gt;0,IF(N51="Reta",IF(F51&lt;'PARAMETROS MC'!B$17,"-",IF(F51&gt;='PARAMETROS MC'!B$17,(BK51*('PARAMETROS MC'!B$19/100)))),IF(N51="Inclinada","-")),"")</f>
        <v>-</v>
      </c>
      <c r="BP51" s="1060" t="str">
        <f>IF(A51&lt;&gt;0,IF(N51="Reta",IF(F51&lt;'PARAMETROS MC'!B$17,"-",IF(F51&gt;='PARAMETROS MC'!B$17,(BK51*('PARAMETROS MC'!B$20/100)))),IF(N51="Inclinada","-")),"")</f>
        <v>-</v>
      </c>
      <c r="BQ51" s="1060" t="str">
        <f>IF(A51&lt;&gt;0,IF(N51="Reta",IF(F51&lt;'PARAMETROS MC'!B$17,"-",IF(F51&gt;='PARAMETROS MC'!B$17,(BK51*('PARAMETROS MC'!B$21/100)))),IF(N51="Inclinada","-")),"")</f>
        <v>-</v>
      </c>
      <c r="BR51" s="1052"/>
      <c r="BS51" s="1052" t="str">
        <f t="shared" si="26"/>
        <v>-</v>
      </c>
    </row>
    <row r="52" spans="1:71" s="1063" customFormat="1">
      <c r="A52" s="1057">
        <v>41</v>
      </c>
      <c r="B52" s="1064" t="str">
        <f t="shared" si="61"/>
        <v>PV2</v>
      </c>
      <c r="C52" s="1064" t="s">
        <v>11843</v>
      </c>
      <c r="D52" s="1059">
        <f t="shared" si="62"/>
        <v>1.02</v>
      </c>
      <c r="E52" s="1059">
        <v>0.2</v>
      </c>
      <c r="F52" s="1060">
        <f t="shared" si="63"/>
        <v>0.61</v>
      </c>
      <c r="G52" s="1052" t="s">
        <v>12026</v>
      </c>
      <c r="H52" s="1052">
        <v>500</v>
      </c>
      <c r="I52" s="1052">
        <v>75.3</v>
      </c>
      <c r="J52" s="1059">
        <f>IF(A52&lt;&gt;0,IF(AND(N52="Inclinada",H52&lt;600),(H52/1000+0.6),IF(AND(N52="Inclinada",H52&gt;=600),(H52/1000+0.6),IF(N52="Reta",((H52/1000)+('PARAMETROS MC'!D$11))))),"")</f>
        <v>1.3</v>
      </c>
      <c r="K52" s="1052" t="s">
        <v>11989</v>
      </c>
      <c r="L52" s="1060" t="str">
        <f>IF(A52&lt;&gt;0,IF(K52="",0,IF(K52="Sem Revestimento","-",IF(N52="Inclinada",((R52+(2*'PARAMETROS MC'!D$14))*I52),IF(N52="Reta",((J52+(2*'PARAMETROS MC'!D$14))*I52))))),"")</f>
        <v>-</v>
      </c>
      <c r="M52" s="1060" t="str">
        <f>IF(A52&lt;&gt;0,IF(K52="",0,IF(K52="Sem Revestimento","-",IF(N52="Inclinada",((R52+(2*'PARAMETROS MC'!D$14))*I52),IF(N52="Reta",((J52+(2*'PARAMETROS MC'!D$14))*I52))))),"")</f>
        <v>-</v>
      </c>
      <c r="N52" s="1052" t="str">
        <f t="shared" si="27"/>
        <v>Reta</v>
      </c>
      <c r="O52" s="1061">
        <f t="shared" si="0"/>
        <v>97.89</v>
      </c>
      <c r="P52" s="1061">
        <f t="shared" si="1"/>
        <v>97.89</v>
      </c>
      <c r="Q52" s="1053" t="str">
        <f>IF(A52&lt;&gt;0,IF(N52="Inclinada",(F52*(TAN('PARAMETROS MC'!D$9*PI()/180))),IF(N52="Reta","-")),"")</f>
        <v>-</v>
      </c>
      <c r="R52" s="1053" t="str">
        <f t="shared" si="2"/>
        <v>-</v>
      </c>
      <c r="S52" s="1053" t="str">
        <f t="shared" si="3"/>
        <v>-</v>
      </c>
      <c r="T52" s="1053" t="str">
        <f t="shared" si="4"/>
        <v>-</v>
      </c>
      <c r="U52" s="1053" t="str">
        <f t="shared" si="5"/>
        <v>-</v>
      </c>
      <c r="V52" s="1055">
        <f>IF(A52&lt;&gt;0,IF(N52="Inclinada",(F52/6)*((2*R52+T52)*S52+((2*T52+R52)*U52)),IF(N52="Reta",(J52*I52*F52))),"")</f>
        <v>59.712899999999998</v>
      </c>
      <c r="W52" s="1052">
        <f t="shared" si="28"/>
        <v>0.61</v>
      </c>
      <c r="X52" s="1052" t="str">
        <f>IF(A52&lt;&gt;0,IF(N52="Inclinada",((AK52+AR52+AD52+W52)*(TAN('PARAMETROS MC'!D$9*PI()/180))),IF(N52="Reta","-")),"")</f>
        <v>-</v>
      </c>
      <c r="Y52" s="1052" t="str">
        <f t="shared" si="7"/>
        <v>-</v>
      </c>
      <c r="Z52" s="1052" t="str">
        <f t="shared" si="8"/>
        <v>-</v>
      </c>
      <c r="AA52" s="1052" t="str">
        <f t="shared" si="64"/>
        <v>-</v>
      </c>
      <c r="AB52" s="1052" t="str">
        <f t="shared" si="65"/>
        <v>-</v>
      </c>
      <c r="AC52" s="1055">
        <f t="shared" si="9"/>
        <v>59.712899999999998</v>
      </c>
      <c r="AD52" s="1052">
        <f t="shared" si="31"/>
        <v>0</v>
      </c>
      <c r="AE52" s="1052" t="str">
        <f>IF(A52&lt;&gt;0,IF(N52="Inclinada",((AK52+AR52+AD52)*(TAN('PARAMETROS MC'!D$9*PI()/180))),IF(N52="Reta","-")),"")</f>
        <v>-</v>
      </c>
      <c r="AF52" s="1052" t="str">
        <f t="shared" si="10"/>
        <v>-</v>
      </c>
      <c r="AG52" s="1052" t="str">
        <f t="shared" si="66"/>
        <v>-</v>
      </c>
      <c r="AH52" s="1052" t="str">
        <f t="shared" si="67"/>
        <v>-</v>
      </c>
      <c r="AI52" s="1052" t="str">
        <f t="shared" si="68"/>
        <v>-</v>
      </c>
      <c r="AJ52" s="1055">
        <f t="shared" si="11"/>
        <v>0</v>
      </c>
      <c r="AK52" s="1052">
        <f t="shared" si="12"/>
        <v>0</v>
      </c>
      <c r="AL52" s="1052" t="str">
        <f>IF(A52&lt;&gt;0,IF(N52="Inclinada",((AK52+AR52)*(TAN('PARAMETROS MC'!D$9*PI()/180))),IF(N52="Reta","-")),"")</f>
        <v>-</v>
      </c>
      <c r="AM52" s="1059" t="str">
        <f t="shared" si="13"/>
        <v>-</v>
      </c>
      <c r="AN52" s="1052" t="str">
        <f t="shared" si="69"/>
        <v>-</v>
      </c>
      <c r="AO52" s="1052" t="str">
        <f t="shared" si="70"/>
        <v>-</v>
      </c>
      <c r="AP52" s="1052" t="str">
        <f t="shared" si="71"/>
        <v>-</v>
      </c>
      <c r="AQ52" s="1055">
        <f t="shared" si="14"/>
        <v>0</v>
      </c>
      <c r="AR52" s="1052">
        <f t="shared" si="15"/>
        <v>0</v>
      </c>
      <c r="AS52" s="1052" t="str">
        <f>IF(A52&lt;&gt;0,IF(N52="Inclinada",(AR52*(TAN('PARAMETROS MC'!D$9*PI()/180))),IF(N52="Reta","-")),"")</f>
        <v>-</v>
      </c>
      <c r="AT52" s="1052" t="str">
        <f t="shared" si="16"/>
        <v>-</v>
      </c>
      <c r="AU52" s="1052" t="str">
        <f t="shared" si="17"/>
        <v>-</v>
      </c>
      <c r="AV52" s="1052" t="str">
        <f t="shared" si="18"/>
        <v>-</v>
      </c>
      <c r="AW52" s="1052" t="str">
        <f t="shared" si="19"/>
        <v>-</v>
      </c>
      <c r="AX52" s="1055">
        <f t="shared" si="20"/>
        <v>0</v>
      </c>
      <c r="AY52" s="1055" t="str">
        <f>IF(A52&lt;&gt;0,IF(N52="Reta","-",IF(N52="Inclinada",(((H52/1000)+'PARAMETROS MC'!C$35)*(TAN('PARAMETROS MC'!D$9*PI()/180))))),"")</f>
        <v>-</v>
      </c>
      <c r="AZ52" s="1055" t="str">
        <f t="shared" si="21"/>
        <v>-</v>
      </c>
      <c r="BA52" s="1055" t="str">
        <f t="shared" si="22"/>
        <v>-</v>
      </c>
      <c r="BB52" s="1055" t="str">
        <f t="shared" si="23"/>
        <v>-</v>
      </c>
      <c r="BC52" s="1055" t="str">
        <f t="shared" si="24"/>
        <v>-</v>
      </c>
      <c r="BD52" s="1055">
        <f t="shared" si="25"/>
        <v>14.785120425956963</v>
      </c>
      <c r="BE52" s="1055">
        <f>I52*J52*(0.1+H52/1000)</f>
        <v>58.733999999999995</v>
      </c>
      <c r="BF52" s="1055">
        <v>0</v>
      </c>
      <c r="BG52" s="1055" t="str">
        <f t="shared" si="36"/>
        <v/>
      </c>
      <c r="BH52" s="1055" t="str">
        <f t="shared" si="37"/>
        <v/>
      </c>
      <c r="BI52" s="1055">
        <v>0</v>
      </c>
      <c r="BJ52" s="1055" t="str">
        <f t="shared" si="39"/>
        <v/>
      </c>
      <c r="BK52" s="1052" t="str">
        <f>IF(A52&lt;&gt;0,IF(N52="Reta",IF(F52&lt;'PARAMETROS MC'!B$17,"-",(I52*F52*2)),IF(N52="Inclinada","-")),"")</f>
        <v>-</v>
      </c>
      <c r="BL52" s="1055" t="str">
        <f>IF(A52&lt;&gt;0,IF(N52="Reta",IF(F52&lt;'PARAMETROS MC'!B$17,"-",IF(F52&gt;='PARAMETROS MC'!B$17,(BK52*('PARAMETROS MC'!B$18/100)))),IF(N52="Inclinada","-")),"")</f>
        <v>-</v>
      </c>
      <c r="BM52" s="1055" t="str">
        <f t="shared" si="40"/>
        <v>-</v>
      </c>
      <c r="BN52" s="1055" t="str">
        <f t="shared" si="41"/>
        <v/>
      </c>
      <c r="BO52" s="1052" t="str">
        <f>IF(A52&lt;&gt;0,IF(N52="Reta",IF(F52&lt;'PARAMETROS MC'!B$17,"-",IF(F52&gt;='PARAMETROS MC'!B$17,(BK52*('PARAMETROS MC'!B$19/100)))),IF(N52="Inclinada","-")),"")</f>
        <v>-</v>
      </c>
      <c r="BP52" s="1060" t="str">
        <f>IF(A52&lt;&gt;0,IF(N52="Reta",IF(F52&lt;'PARAMETROS MC'!B$17,"-",IF(F52&gt;='PARAMETROS MC'!B$17,(BK52*('PARAMETROS MC'!B$20/100)))),IF(N52="Inclinada","-")),"")</f>
        <v>-</v>
      </c>
      <c r="BQ52" s="1060" t="str">
        <f>IF(A52&lt;&gt;0,IF(N52="Reta",IF(F52&lt;'PARAMETROS MC'!B$17,"-",IF(F52&gt;='PARAMETROS MC'!B$17,(BK52*('PARAMETROS MC'!B$21/100)))),IF(N52="Inclinada","-")),"")</f>
        <v>-</v>
      </c>
      <c r="BR52" s="1052"/>
      <c r="BS52" s="1052" t="str">
        <f t="shared" si="26"/>
        <v>-</v>
      </c>
    </row>
    <row r="53" spans="1:71" s="1063" customFormat="1">
      <c r="A53" s="1057">
        <v>42</v>
      </c>
      <c r="B53" s="1064" t="s">
        <v>11841</v>
      </c>
      <c r="C53" s="1064" t="s">
        <v>12017</v>
      </c>
      <c r="D53" s="1059">
        <v>1.73</v>
      </c>
      <c r="E53" s="1059">
        <v>2.16</v>
      </c>
      <c r="F53" s="1060">
        <f t="shared" si="63"/>
        <v>1.9450000000000001</v>
      </c>
      <c r="G53" s="1052" t="s">
        <v>12026</v>
      </c>
      <c r="H53" s="1052">
        <v>500</v>
      </c>
      <c r="I53" s="1052">
        <v>44.8</v>
      </c>
      <c r="J53" s="1059">
        <f>IF(A53&lt;&gt;0,IF(AND(N53="Inclinada",H53&lt;600),(H53/1000+0.6),IF(AND(N53="Inclinada",H53&gt;=600),(H53/1000+0.6),IF(N53="Reta",((H53/1000)+('PARAMETROS MC'!D$11))))),"")</f>
        <v>1.3</v>
      </c>
      <c r="K53" s="1052" t="s">
        <v>11989</v>
      </c>
      <c r="L53" s="1060" t="str">
        <f>IF(A53&lt;&gt;0,IF(K53="",0,IF(K53="Sem Revestimento","-",IF(N53="Inclinada",((R53+(2*'PARAMETROS MC'!D$14))*I53),IF(N53="Reta",((J53+(2*'PARAMETROS MC'!D$14))*I53))))),"")</f>
        <v>-</v>
      </c>
      <c r="M53" s="1060" t="str">
        <f>IF(A53&lt;&gt;0,IF(K53="",0,IF(K53="Sem Revestimento","-",IF(N53="Inclinada",((R53+(2*'PARAMETROS MC'!D$14))*I53),IF(N53="Reta",((J53+(2*'PARAMETROS MC'!D$14))*I53))))),"")</f>
        <v>-</v>
      </c>
      <c r="N53" s="1052" t="str">
        <f t="shared" si="27"/>
        <v>Reta</v>
      </c>
      <c r="O53" s="1061">
        <f t="shared" si="0"/>
        <v>58.239999999999995</v>
      </c>
      <c r="P53" s="1061">
        <f t="shared" si="1"/>
        <v>58.239999999999995</v>
      </c>
      <c r="Q53" s="1053" t="str">
        <f>IF(A53&lt;&gt;0,IF(N53="Inclinada",(F53*(TAN('PARAMETROS MC'!D$9*PI()/180))),IF(N53="Reta","-")),"")</f>
        <v>-</v>
      </c>
      <c r="R53" s="1053" t="str">
        <f t="shared" si="2"/>
        <v>-</v>
      </c>
      <c r="S53" s="1053" t="str">
        <f t="shared" si="3"/>
        <v>-</v>
      </c>
      <c r="T53" s="1053" t="str">
        <f t="shared" si="4"/>
        <v>-</v>
      </c>
      <c r="U53" s="1053" t="str">
        <f t="shared" si="5"/>
        <v>-</v>
      </c>
      <c r="V53" s="1055">
        <f t="shared" si="6"/>
        <v>113.27679999999999</v>
      </c>
      <c r="W53" s="1052">
        <f t="shared" si="28"/>
        <v>1.5</v>
      </c>
      <c r="X53" s="1052" t="str">
        <f>IF(A53&lt;&gt;0,IF(N53="Inclinada",((AK53+AR53+AD53+W53)*(TAN('PARAMETROS MC'!D$9*PI()/180))),IF(N53="Reta","-")),"")</f>
        <v>-</v>
      </c>
      <c r="Y53" s="1052" t="str">
        <f t="shared" si="7"/>
        <v>-</v>
      </c>
      <c r="Z53" s="1052" t="str">
        <f t="shared" si="8"/>
        <v>-</v>
      </c>
      <c r="AA53" s="1052" t="str">
        <f t="shared" si="64"/>
        <v>-</v>
      </c>
      <c r="AB53" s="1052" t="str">
        <f t="shared" si="65"/>
        <v>-</v>
      </c>
      <c r="AC53" s="1055">
        <f t="shared" si="9"/>
        <v>87.359999999999985</v>
      </c>
      <c r="AD53" s="1052">
        <f t="shared" si="31"/>
        <v>0.44500000000000006</v>
      </c>
      <c r="AE53" s="1052" t="str">
        <f>IF(A53&lt;&gt;0,IF(N53="Inclinada",((AK53+AR53+AD53)*(TAN('PARAMETROS MC'!D$9*PI()/180))),IF(N53="Reta","-")),"")</f>
        <v>-</v>
      </c>
      <c r="AF53" s="1052" t="str">
        <f t="shared" si="10"/>
        <v>-</v>
      </c>
      <c r="AG53" s="1052" t="str">
        <f t="shared" si="66"/>
        <v>-</v>
      </c>
      <c r="AH53" s="1052" t="str">
        <f t="shared" si="67"/>
        <v>-</v>
      </c>
      <c r="AI53" s="1052" t="str">
        <f t="shared" si="68"/>
        <v>-</v>
      </c>
      <c r="AJ53" s="1055">
        <f t="shared" si="11"/>
        <v>25.916800000000002</v>
      </c>
      <c r="AK53" s="1052">
        <f t="shared" si="12"/>
        <v>0</v>
      </c>
      <c r="AL53" s="1052" t="str">
        <f>IF(A53&lt;&gt;0,IF(N53="Inclinada",((AK53+AR53)*(TAN('PARAMETROS MC'!D$9*PI()/180))),IF(N53="Reta","-")),"")</f>
        <v>-</v>
      </c>
      <c r="AM53" s="1059" t="str">
        <f t="shared" si="13"/>
        <v>-</v>
      </c>
      <c r="AN53" s="1052" t="str">
        <f t="shared" si="69"/>
        <v>-</v>
      </c>
      <c r="AO53" s="1052" t="str">
        <f t="shared" si="70"/>
        <v>-</v>
      </c>
      <c r="AP53" s="1052" t="str">
        <f t="shared" si="71"/>
        <v>-</v>
      </c>
      <c r="AQ53" s="1055">
        <f t="shared" si="14"/>
        <v>0</v>
      </c>
      <c r="AR53" s="1052">
        <f t="shared" si="15"/>
        <v>0</v>
      </c>
      <c r="AS53" s="1052" t="str">
        <f>IF(A53&lt;&gt;0,IF(N53="Inclinada",(AR53*(TAN('PARAMETROS MC'!D$9*PI()/180))),IF(N53="Reta","-")),"")</f>
        <v>-</v>
      </c>
      <c r="AT53" s="1052" t="str">
        <f t="shared" si="16"/>
        <v>-</v>
      </c>
      <c r="AU53" s="1052" t="str">
        <f t="shared" si="17"/>
        <v>-</v>
      </c>
      <c r="AV53" s="1052" t="str">
        <f t="shared" si="18"/>
        <v>-</v>
      </c>
      <c r="AW53" s="1052" t="str">
        <f t="shared" si="19"/>
        <v>-</v>
      </c>
      <c r="AX53" s="1055">
        <f t="shared" si="20"/>
        <v>0</v>
      </c>
      <c r="AY53" s="1055" t="str">
        <f>IF(A53&lt;&gt;0,IF(N53="Reta","-",IF(N53="Inclinada",(((H53/1000)+'PARAMETROS MC'!C$35)*(TAN('PARAMETROS MC'!D$9*PI()/180))))),"")</f>
        <v>-</v>
      </c>
      <c r="AZ53" s="1055" t="str">
        <f t="shared" si="21"/>
        <v>-</v>
      </c>
      <c r="BA53" s="1055" t="str">
        <f t="shared" si="22"/>
        <v>-</v>
      </c>
      <c r="BB53" s="1055" t="str">
        <f t="shared" si="23"/>
        <v>-</v>
      </c>
      <c r="BC53" s="1055" t="str">
        <f t="shared" si="24"/>
        <v>-</v>
      </c>
      <c r="BD53" s="1055">
        <f t="shared" si="25"/>
        <v>8.7964594300514207</v>
      </c>
      <c r="BE53" s="1055">
        <f>IF(A53&lt;&gt;0,IF(N53="Inclinada",((((H53/1000+'PARAMETROS MC'!C$35)/6)*(((2*AZ53+BB53)*BA53)+((2*BB53+AZ53)*BC53)))-BD53),IF(N53="Reta",((I53*J53*((H53/1000)+'PARAMETROS MC'!C$35)-BD53)))),"")</f>
        <v>37.795540569948578</v>
      </c>
      <c r="BF53" s="1055">
        <f t="shared" si="35"/>
        <v>66.684799999999996</v>
      </c>
      <c r="BG53" s="1055" t="str">
        <f t="shared" si="36"/>
        <v/>
      </c>
      <c r="BH53" s="1055" t="str">
        <f t="shared" si="37"/>
        <v/>
      </c>
      <c r="BI53" s="1055" t="str">
        <f t="shared" si="38"/>
        <v/>
      </c>
      <c r="BJ53" s="1055">
        <f t="shared" si="39"/>
        <v>66.684799999999996</v>
      </c>
      <c r="BK53" s="1052">
        <f>IF(A53&lt;&gt;0,IF(N53="Reta",IF(F53&lt;'PARAMETROS MC'!B$17,"-",(I53*F53*2)),IF(N53="Inclinada","-")),"")</f>
        <v>174.27199999999999</v>
      </c>
      <c r="BL53" s="1055">
        <f>IF(A53&lt;&gt;0,IF(N53="Reta",IF(F53&lt;'PARAMETROS MC'!B$17,"-",IF(F53&gt;='PARAMETROS MC'!B$17,(BK53*('PARAMETROS MC'!B$18/100)))),IF(N53="Inclinada","-")),"")</f>
        <v>169.04383999999999</v>
      </c>
      <c r="BM53" s="1055" t="str">
        <f t="shared" si="40"/>
        <v/>
      </c>
      <c r="BN53" s="1055">
        <f t="shared" si="41"/>
        <v>169.04383999999999</v>
      </c>
      <c r="BO53" s="1052">
        <f>IF(A53&lt;&gt;0,IF(N53="Reta",IF(F53&lt;'PARAMETROS MC'!B$17,"-",IF(F53&gt;='PARAMETROS MC'!B$17,(BK53*('PARAMETROS MC'!B$19/100)))),IF(N53="Inclinada","-")),"")</f>
        <v>0</v>
      </c>
      <c r="BP53" s="1060">
        <f>IF(A53&lt;&gt;0,IF(N53="Reta",IF(F53&lt;'PARAMETROS MC'!B$17,"-",IF(F53&gt;='PARAMETROS MC'!B$17,(BK53*('PARAMETROS MC'!B$20/100)))),IF(N53="Inclinada","-")),"")</f>
        <v>0</v>
      </c>
      <c r="BQ53" s="1060">
        <f>IF(A53&lt;&gt;0,IF(N53="Reta",IF(F53&lt;'PARAMETROS MC'!B$17,"-",IF(F53&gt;='PARAMETROS MC'!B$17,(BK53*('PARAMETROS MC'!B$21/100)))),IF(N53="Inclinada","-")),"")</f>
        <v>5.2281599999999999</v>
      </c>
      <c r="BR53" s="1052"/>
      <c r="BS53" s="1052" t="str">
        <f t="shared" si="26"/>
        <v>-</v>
      </c>
    </row>
    <row r="54" spans="1:71" s="1063" customFormat="1">
      <c r="A54" s="1057">
        <v>43</v>
      </c>
      <c r="B54" s="1064" t="str">
        <f t="shared" si="61"/>
        <v>PV1</v>
      </c>
      <c r="C54" s="1064" t="s">
        <v>12018</v>
      </c>
      <c r="D54" s="1059">
        <f t="shared" si="62"/>
        <v>2.16</v>
      </c>
      <c r="E54" s="1059">
        <v>1.85</v>
      </c>
      <c r="F54" s="1060">
        <f>IF(A54&lt;&gt;0,AVERAGE(D54:E54),"")</f>
        <v>2.0049999999999999</v>
      </c>
      <c r="G54" s="1052" t="s">
        <v>12026</v>
      </c>
      <c r="H54" s="1052">
        <v>500</v>
      </c>
      <c r="I54" s="1052">
        <v>23</v>
      </c>
      <c r="J54" s="1059">
        <f>IF(A54&lt;&gt;0,IF(AND(N54="Inclinada",H54&lt;600),(H54/1000+0.6),IF(AND(N54="Inclinada",H54&gt;=600),(H54/1000+0.6),IF(N54="Reta",((H54/1000)+('PARAMETROS MC'!D$11))))),"")</f>
        <v>1.3</v>
      </c>
      <c r="K54" s="1052" t="s">
        <v>11989</v>
      </c>
      <c r="L54" s="1060" t="str">
        <f>IF(A54&lt;&gt;0,IF(K54="",0,IF(K54="Sem Revestimento","-",IF(N54="Inclinada",((R54+(2*'PARAMETROS MC'!D$14))*I54),IF(N54="Reta",((J54+(2*'PARAMETROS MC'!D$14))*I54))))),"")</f>
        <v>-</v>
      </c>
      <c r="M54" s="1060" t="str">
        <f>IF(A54&lt;&gt;0,IF(K54="",0,IF(K54="Sem Revestimento","-",IF(N54="Inclinada",((R54+(2*'PARAMETROS MC'!D$14))*I54),IF(N54="Reta",((J54+(2*'PARAMETROS MC'!D$14))*I54))))),"")</f>
        <v>-</v>
      </c>
      <c r="N54" s="1052" t="str">
        <f t="shared" si="27"/>
        <v>Reta</v>
      </c>
      <c r="O54" s="1061">
        <f t="shared" si="0"/>
        <v>29.900000000000002</v>
      </c>
      <c r="P54" s="1061">
        <f t="shared" si="1"/>
        <v>29.900000000000002</v>
      </c>
      <c r="Q54" s="1053" t="str">
        <f>IF(A54&lt;&gt;0,IF(N54="Inclinada",(F54*(TAN('PARAMETROS MC'!D$9*PI()/180))),IF(N54="Reta","-")),"")</f>
        <v>-</v>
      </c>
      <c r="R54" s="1053" t="str">
        <f t="shared" si="2"/>
        <v>-</v>
      </c>
      <c r="S54" s="1053" t="str">
        <f t="shared" si="3"/>
        <v>-</v>
      </c>
      <c r="T54" s="1053" t="str">
        <f t="shared" si="4"/>
        <v>-</v>
      </c>
      <c r="U54" s="1053" t="str">
        <f t="shared" si="5"/>
        <v>-</v>
      </c>
      <c r="V54" s="1055">
        <f t="shared" si="6"/>
        <v>59.9495</v>
      </c>
      <c r="W54" s="1052">
        <f t="shared" si="28"/>
        <v>1.5</v>
      </c>
      <c r="X54" s="1052" t="str">
        <f>IF(A54&lt;&gt;0,IF(N54="Inclinada",((AK54+AR54+AD54+W54)*(TAN('PARAMETROS MC'!D$9*PI()/180))),IF(N54="Reta","-")),"")</f>
        <v>-</v>
      </c>
      <c r="Y54" s="1052" t="str">
        <f t="shared" si="7"/>
        <v>-</v>
      </c>
      <c r="Z54" s="1052" t="str">
        <f t="shared" si="8"/>
        <v>-</v>
      </c>
      <c r="AA54" s="1052" t="str">
        <f>IF(AF54&lt;&gt;"",AF54,"")</f>
        <v>-</v>
      </c>
      <c r="AB54" s="1052" t="str">
        <f>IF(AG54&lt;&gt;"",AG54,"")</f>
        <v>-</v>
      </c>
      <c r="AC54" s="1055">
        <f t="shared" si="9"/>
        <v>44.85</v>
      </c>
      <c r="AD54" s="1052">
        <f t="shared" si="31"/>
        <v>0.50499999999999989</v>
      </c>
      <c r="AE54" s="1052" t="str">
        <f>IF(A54&lt;&gt;0,IF(N54="Inclinada",((AK54+AR54+AD54)*(TAN('PARAMETROS MC'!D$9*PI()/180))),IF(N54="Reta","-")),"")</f>
        <v>-</v>
      </c>
      <c r="AF54" s="1052" t="str">
        <f t="shared" si="10"/>
        <v>-</v>
      </c>
      <c r="AG54" s="1052" t="str">
        <f>IF(AW54&lt;&gt;"",AW54,"")</f>
        <v>-</v>
      </c>
      <c r="AH54" s="1052" t="str">
        <f>IF(AM54&lt;&gt;"",AM54,"")</f>
        <v>-</v>
      </c>
      <c r="AI54" s="1052" t="str">
        <f>IF(AN54&lt;&gt;"",AN54,"")</f>
        <v>-</v>
      </c>
      <c r="AJ54" s="1055">
        <f t="shared" si="11"/>
        <v>15.099499999999997</v>
      </c>
      <c r="AK54" s="1052">
        <f t="shared" si="12"/>
        <v>0</v>
      </c>
      <c r="AL54" s="1052" t="str">
        <f>IF(A54&lt;&gt;0,IF(N54="Inclinada",((AK54+AR54)*(TAN('PARAMETROS MC'!D$9*PI()/180))),IF(N54="Reta","-")),"")</f>
        <v>-</v>
      </c>
      <c r="AM54" s="1059" t="str">
        <f t="shared" si="13"/>
        <v>-</v>
      </c>
      <c r="AN54" s="1052" t="str">
        <f>IF(AW54&lt;&gt;"",AW54,"")</f>
        <v>-</v>
      </c>
      <c r="AO54" s="1052" t="str">
        <f>IF(AT54&lt;&gt;"",AT54,"")</f>
        <v>-</v>
      </c>
      <c r="AP54" s="1052" t="str">
        <f>IF(AU54&lt;&gt;"",AU54,"")</f>
        <v>-</v>
      </c>
      <c r="AQ54" s="1055">
        <f t="shared" si="14"/>
        <v>0</v>
      </c>
      <c r="AR54" s="1052">
        <f t="shared" si="15"/>
        <v>0</v>
      </c>
      <c r="AS54" s="1052" t="str">
        <f>IF(A54&lt;&gt;0,IF(N54="Inclinada",(AR54*(TAN('PARAMETROS MC'!D$9*PI()/180))),IF(N54="Reta","-")),"")</f>
        <v>-</v>
      </c>
      <c r="AT54" s="1052" t="str">
        <f t="shared" si="16"/>
        <v>-</v>
      </c>
      <c r="AU54" s="1052" t="str">
        <f t="shared" si="17"/>
        <v>-</v>
      </c>
      <c r="AV54" s="1052" t="str">
        <f t="shared" si="18"/>
        <v>-</v>
      </c>
      <c r="AW54" s="1052" t="str">
        <f t="shared" si="19"/>
        <v>-</v>
      </c>
      <c r="AX54" s="1055">
        <f t="shared" si="20"/>
        <v>0</v>
      </c>
      <c r="AY54" s="1055" t="str">
        <f>IF(A54&lt;&gt;0,IF(N54="Reta","-",IF(N54="Inclinada",(((H54/1000)+'PARAMETROS MC'!C$35)*(TAN('PARAMETROS MC'!D$9*PI()/180))))),"")</f>
        <v>-</v>
      </c>
      <c r="AZ54" s="1055" t="str">
        <f t="shared" si="21"/>
        <v>-</v>
      </c>
      <c r="BA54" s="1055" t="str">
        <f t="shared" si="22"/>
        <v>-</v>
      </c>
      <c r="BB54" s="1055" t="str">
        <f t="shared" si="23"/>
        <v>-</v>
      </c>
      <c r="BC54" s="1055" t="str">
        <f t="shared" si="24"/>
        <v>-</v>
      </c>
      <c r="BD54" s="1055">
        <f t="shared" si="25"/>
        <v>4.5160394395353274</v>
      </c>
      <c r="BE54" s="1055">
        <f>IF(A54&lt;&gt;0,IF(N54="Inclinada",((((H54/1000+'PARAMETROS MC'!C$35)/6)*(((2*AZ54+BB54)*BA54)+((2*BB54+AZ54)*BC54)))-BD54),IF(N54="Reta",((I54*J54*((H54/1000)+'PARAMETROS MC'!C$35)-BD54)))),"")</f>
        <v>19.403960560464675</v>
      </c>
      <c r="BF54" s="1055">
        <f t="shared" si="35"/>
        <v>36.029499999999999</v>
      </c>
      <c r="BG54" s="1055" t="str">
        <f t="shared" si="36"/>
        <v/>
      </c>
      <c r="BH54" s="1055" t="str">
        <f t="shared" si="37"/>
        <v/>
      </c>
      <c r="BI54" s="1055" t="str">
        <f t="shared" si="38"/>
        <v/>
      </c>
      <c r="BJ54" s="1055">
        <f t="shared" si="39"/>
        <v>36.029499999999999</v>
      </c>
      <c r="BK54" s="1052">
        <f>IF(A54&lt;&gt;0,IF(N54="Reta",IF(F54&lt;'PARAMETROS MC'!B$17,"-",(I54*F54*2)),IF(N54="Inclinada","-")),"")</f>
        <v>92.22999999999999</v>
      </c>
      <c r="BL54" s="1055">
        <f>IF(A54&lt;&gt;0,IF(N54="Reta",IF(F54&lt;'PARAMETROS MC'!B$17,"-",IF(F54&gt;='PARAMETROS MC'!B$17,(BK54*('PARAMETROS MC'!B$18/100)))),IF(N54="Inclinada","-")),"")</f>
        <v>89.463099999999983</v>
      </c>
      <c r="BM54" s="1055" t="str">
        <f t="shared" si="40"/>
        <v/>
      </c>
      <c r="BN54" s="1055">
        <f t="shared" si="41"/>
        <v>89.463099999999983</v>
      </c>
      <c r="BO54" s="1052">
        <f>IF(A54&lt;&gt;0,IF(N54="Reta",IF(F54&lt;'PARAMETROS MC'!B$17,"-",IF(F54&gt;='PARAMETROS MC'!B$17,(BK54*('PARAMETROS MC'!B$19/100)))),IF(N54="Inclinada","-")),"")</f>
        <v>0</v>
      </c>
      <c r="BP54" s="1060">
        <f>IF(A54&lt;&gt;0,IF(N54="Reta",IF(F54&lt;'PARAMETROS MC'!B$17,"-",IF(F54&gt;='PARAMETROS MC'!B$17,(BK54*('PARAMETROS MC'!B$20/100)))),IF(N54="Inclinada","-")),"")</f>
        <v>0</v>
      </c>
      <c r="BQ54" s="1060">
        <f>IF(A54&lt;&gt;0,IF(N54="Reta",IF(F54&lt;'PARAMETROS MC'!B$17,"-",IF(F54&gt;='PARAMETROS MC'!B$17,(BK54*('PARAMETROS MC'!B$21/100)))),IF(N54="Inclinada","-")),"")</f>
        <v>2.7668999999999997</v>
      </c>
      <c r="BR54" s="1052"/>
      <c r="BS54" s="1052" t="str">
        <f t="shared" si="26"/>
        <v>-</v>
      </c>
    </row>
    <row r="55" spans="1:71" s="1063" customFormat="1">
      <c r="A55" s="1057">
        <v>44</v>
      </c>
      <c r="B55" s="1064" t="str">
        <f t="shared" si="61"/>
        <v>PV2</v>
      </c>
      <c r="C55" s="1064" t="s">
        <v>11842</v>
      </c>
      <c r="D55" s="1059">
        <f t="shared" si="62"/>
        <v>1.85</v>
      </c>
      <c r="E55" s="1059">
        <v>1.05</v>
      </c>
      <c r="F55" s="1060">
        <f>IF(A55&lt;&gt;0,AVERAGE(D55:E55),"")</f>
        <v>1.4500000000000002</v>
      </c>
      <c r="G55" s="1052" t="s">
        <v>12026</v>
      </c>
      <c r="H55" s="1052">
        <v>500</v>
      </c>
      <c r="I55" s="1052">
        <v>71.75</v>
      </c>
      <c r="J55" s="1059">
        <f>IF(A55&lt;&gt;0,IF(AND(N55="Inclinada",H55&lt;600),(H55/1000+0.6),IF(AND(N55="Inclinada",H55&gt;=600),(H55/1000+0.6),IF(N55="Reta",((H55/1000)+('PARAMETROS MC'!D$11))))),"")</f>
        <v>1.3</v>
      </c>
      <c r="K55" s="1052" t="s">
        <v>11989</v>
      </c>
      <c r="L55" s="1060" t="str">
        <f>IF(A55&lt;&gt;0,IF(K55="",0,IF(K55="Sem Revestimento","-",IF(N55="Inclinada",((R55+(2*'PARAMETROS MC'!D$14))*I55),IF(N55="Reta",((J55+(2*'PARAMETROS MC'!D$14))*I55))))),"")</f>
        <v>-</v>
      </c>
      <c r="M55" s="1060" t="str">
        <f>IF(A55&lt;&gt;0,IF(K55="",0,IF(K55="Sem Revestimento","-",IF(N55="Inclinada",((R55+(2*'PARAMETROS MC'!D$14))*I55),IF(N55="Reta",((J55+(2*'PARAMETROS MC'!D$14))*I55))))),"")</f>
        <v>-</v>
      </c>
      <c r="N55" s="1052" t="str">
        <f t="shared" si="27"/>
        <v>Reta</v>
      </c>
      <c r="O55" s="1061">
        <f t="shared" si="0"/>
        <v>93.275000000000006</v>
      </c>
      <c r="P55" s="1061">
        <f t="shared" si="1"/>
        <v>93.275000000000006</v>
      </c>
      <c r="Q55" s="1053" t="str">
        <f>IF(A55&lt;&gt;0,IF(N55="Inclinada",(F55*(TAN('PARAMETROS MC'!D$9*PI()/180))),IF(N55="Reta","-")),"")</f>
        <v>-</v>
      </c>
      <c r="R55" s="1053" t="str">
        <f t="shared" si="2"/>
        <v>-</v>
      </c>
      <c r="S55" s="1053" t="str">
        <f t="shared" si="3"/>
        <v>-</v>
      </c>
      <c r="T55" s="1053" t="str">
        <f t="shared" si="4"/>
        <v>-</v>
      </c>
      <c r="U55" s="1053" t="str">
        <f t="shared" si="5"/>
        <v>-</v>
      </c>
      <c r="V55" s="1055">
        <f t="shared" si="6"/>
        <v>135.24875000000003</v>
      </c>
      <c r="W55" s="1052">
        <f t="shared" si="28"/>
        <v>1.4500000000000002</v>
      </c>
      <c r="X55" s="1052" t="str">
        <f>IF(A55&lt;&gt;0,IF(N55="Inclinada",((AK55+AR55+AD55+W55)*(TAN('PARAMETROS MC'!D$9*PI()/180))),IF(N55="Reta","-")),"")</f>
        <v>-</v>
      </c>
      <c r="Y55" s="1052" t="str">
        <f t="shared" si="7"/>
        <v>-</v>
      </c>
      <c r="Z55" s="1052" t="str">
        <f t="shared" si="8"/>
        <v>-</v>
      </c>
      <c r="AA55" s="1052" t="str">
        <f>IF(AF55&lt;&gt;"",AF55,"")</f>
        <v>-</v>
      </c>
      <c r="AB55" s="1052" t="str">
        <f>IF(AG55&lt;&gt;"",AG55,"")</f>
        <v>-</v>
      </c>
      <c r="AC55" s="1055">
        <f t="shared" si="9"/>
        <v>135.24875000000003</v>
      </c>
      <c r="AD55" s="1052">
        <f t="shared" si="31"/>
        <v>0</v>
      </c>
      <c r="AE55" s="1052" t="str">
        <f>IF(A55&lt;&gt;0,IF(N55="Inclinada",((AK55+AR55+AD55)*(TAN('PARAMETROS MC'!D$9*PI()/180))),IF(N55="Reta","-")),"")</f>
        <v>-</v>
      </c>
      <c r="AF55" s="1052" t="str">
        <f t="shared" si="10"/>
        <v>-</v>
      </c>
      <c r="AG55" s="1052" t="str">
        <f>IF(AW55&lt;&gt;"",AW55,"")</f>
        <v>-</v>
      </c>
      <c r="AH55" s="1052" t="str">
        <f>IF(AM55&lt;&gt;"",AM55,"")</f>
        <v>-</v>
      </c>
      <c r="AI55" s="1052" t="str">
        <f>IF(AN55&lt;&gt;"",AN55,"")</f>
        <v>-</v>
      </c>
      <c r="AJ55" s="1055">
        <f t="shared" si="11"/>
        <v>0</v>
      </c>
      <c r="AK55" s="1052">
        <f t="shared" si="12"/>
        <v>0</v>
      </c>
      <c r="AL55" s="1052" t="str">
        <f>IF(A55&lt;&gt;0,IF(N55="Inclinada",((AK55+AR55)*(TAN('PARAMETROS MC'!D$9*PI()/180))),IF(N55="Reta","-")),"")</f>
        <v>-</v>
      </c>
      <c r="AM55" s="1059" t="str">
        <f t="shared" si="13"/>
        <v>-</v>
      </c>
      <c r="AN55" s="1052" t="str">
        <f>IF(AW55&lt;&gt;"",AW55,"")</f>
        <v>-</v>
      </c>
      <c r="AO55" s="1052" t="str">
        <f>IF(AT55&lt;&gt;"",AT55,"")</f>
        <v>-</v>
      </c>
      <c r="AP55" s="1052" t="str">
        <f>IF(AU55&lt;&gt;"",AU55,"")</f>
        <v>-</v>
      </c>
      <c r="AQ55" s="1055">
        <f t="shared" si="14"/>
        <v>0</v>
      </c>
      <c r="AR55" s="1052">
        <f t="shared" si="15"/>
        <v>0</v>
      </c>
      <c r="AS55" s="1052" t="str">
        <f>IF(A55&lt;&gt;0,IF(N55="Inclinada",(AR55*(TAN('PARAMETROS MC'!D$9*PI()/180))),IF(N55="Reta","-")),"")</f>
        <v>-</v>
      </c>
      <c r="AT55" s="1052" t="str">
        <f t="shared" si="16"/>
        <v>-</v>
      </c>
      <c r="AU55" s="1052" t="str">
        <f t="shared" si="17"/>
        <v>-</v>
      </c>
      <c r="AV55" s="1052" t="str">
        <f t="shared" si="18"/>
        <v>-</v>
      </c>
      <c r="AW55" s="1052" t="str">
        <f t="shared" si="19"/>
        <v>-</v>
      </c>
      <c r="AX55" s="1055">
        <f t="shared" si="20"/>
        <v>0</v>
      </c>
      <c r="AY55" s="1055" t="str">
        <f>IF(A55&lt;&gt;0,IF(N55="Reta","-",IF(N55="Inclinada",(((H55/1000)+'PARAMETROS MC'!C$35)*(TAN('PARAMETROS MC'!D$9*PI()/180))))),"")</f>
        <v>-</v>
      </c>
      <c r="AZ55" s="1055" t="str">
        <f t="shared" si="21"/>
        <v>-</v>
      </c>
      <c r="BA55" s="1055" t="str">
        <f t="shared" si="22"/>
        <v>-</v>
      </c>
      <c r="BB55" s="1055" t="str">
        <f t="shared" si="23"/>
        <v>-</v>
      </c>
      <c r="BC55" s="1055" t="str">
        <f t="shared" si="24"/>
        <v>-</v>
      </c>
      <c r="BD55" s="1055">
        <f t="shared" si="25"/>
        <v>14.088079555941729</v>
      </c>
      <c r="BE55" s="1055">
        <f>IF(A55&lt;&gt;0,IF(N55="Inclinada",((((H55/1000+'PARAMETROS MC'!C$35)/6)*(((2*AZ55+BB55)*BA55)+((2*BB55+AZ55)*BC55)))-BD55),IF(N55="Reta",((I55*J55*((H55/1000)+'PARAMETROS MC'!C$35)-BD55)))),"")</f>
        <v>60.531920444058272</v>
      </c>
      <c r="BF55" s="1055">
        <f t="shared" si="35"/>
        <v>60.628750000000025</v>
      </c>
      <c r="BG55" s="1055" t="str">
        <f t="shared" si="36"/>
        <v/>
      </c>
      <c r="BH55" s="1055" t="str">
        <f t="shared" si="37"/>
        <v/>
      </c>
      <c r="BI55" s="1055">
        <f t="shared" si="38"/>
        <v>60.628750000000025</v>
      </c>
      <c r="BJ55" s="1055" t="str">
        <f t="shared" si="39"/>
        <v/>
      </c>
      <c r="BK55" s="1052">
        <f>IF(A55&lt;&gt;0,IF(N55="Reta",IF(F55&lt;'PARAMETROS MC'!B$17,"-",(I55*F55*2)),IF(N55="Inclinada","-")),"")</f>
        <v>208.07500000000002</v>
      </c>
      <c r="BL55" s="1055">
        <f>IF(A55&lt;&gt;0,IF(N55="Reta",IF(F55&lt;'PARAMETROS MC'!B$17,"-",IF(F55&gt;='PARAMETROS MC'!B$17,(BK55*('PARAMETROS MC'!B$18/100)))),IF(N55="Inclinada","-")),"")</f>
        <v>201.83275</v>
      </c>
      <c r="BM55" s="1055">
        <f t="shared" si="40"/>
        <v>201.83275</v>
      </c>
      <c r="BN55" s="1055" t="str">
        <f t="shared" si="41"/>
        <v/>
      </c>
      <c r="BO55" s="1052">
        <f>IF(A55&lt;&gt;0,IF(N55="Reta",IF(F55&lt;'PARAMETROS MC'!B$17,"-",IF(F55&gt;='PARAMETROS MC'!B$17,(BK55*('PARAMETROS MC'!B$19/100)))),IF(N55="Inclinada","-")),"")</f>
        <v>0</v>
      </c>
      <c r="BP55" s="1060">
        <f>IF(A55&lt;&gt;0,IF(N55="Reta",IF(F55&lt;'PARAMETROS MC'!B$17,"-",IF(F55&gt;='PARAMETROS MC'!B$17,(BK55*('PARAMETROS MC'!B$20/100)))),IF(N55="Inclinada","-")),"")</f>
        <v>0</v>
      </c>
      <c r="BQ55" s="1060">
        <f>IF(A55&lt;&gt;0,IF(N55="Reta",IF(F55&lt;'PARAMETROS MC'!B$17,"-",IF(F55&gt;='PARAMETROS MC'!B$17,(BK55*('PARAMETROS MC'!B$21/100)))),IF(N55="Inclinada","-")),"")</f>
        <v>6.2422500000000003</v>
      </c>
      <c r="BR55" s="1052"/>
      <c r="BS55" s="1052" t="str">
        <f t="shared" si="26"/>
        <v>-</v>
      </c>
    </row>
    <row r="56" spans="1:71" s="1046" customFormat="1">
      <c r="A56" s="1065" t="s">
        <v>27</v>
      </c>
      <c r="B56" s="1066" t="s">
        <v>30</v>
      </c>
      <c r="C56" s="1066" t="s">
        <v>30</v>
      </c>
      <c r="D56" s="1065" t="s">
        <v>30</v>
      </c>
      <c r="E56" s="1065" t="s">
        <v>30</v>
      </c>
      <c r="F56" s="1067"/>
      <c r="G56" s="1065" t="s">
        <v>30</v>
      </c>
      <c r="H56" s="1065" t="s">
        <v>30</v>
      </c>
      <c r="I56" s="1068">
        <f>SUM(I11:I55)</f>
        <v>3373.3700000000003</v>
      </c>
      <c r="J56" s="1065" t="s">
        <v>30</v>
      </c>
      <c r="K56" s="1065" t="s">
        <v>30</v>
      </c>
      <c r="L56" s="1069">
        <f>SUM(L11:L24)</f>
        <v>0</v>
      </c>
      <c r="M56" s="1069">
        <f>SUM(M11:M24)</f>
        <v>0</v>
      </c>
      <c r="N56" s="1066" t="s">
        <v>30</v>
      </c>
      <c r="O56" s="1068">
        <f>SUM(O11:O55)</f>
        <v>3942.9333895574923</v>
      </c>
      <c r="P56" s="1068">
        <f>$I$56</f>
        <v>3373.3700000000003</v>
      </c>
      <c r="Q56" s="1070"/>
      <c r="R56" s="1070"/>
      <c r="S56" s="1070"/>
      <c r="T56" s="1070"/>
      <c r="U56" s="1070"/>
      <c r="V56" s="1068">
        <f>SUM(V11:V55)</f>
        <v>5085.1896167469249</v>
      </c>
      <c r="W56" s="1071"/>
      <c r="X56" s="1071"/>
      <c r="Y56" s="1071"/>
      <c r="Z56" s="1071"/>
      <c r="AA56" s="1071"/>
      <c r="AB56" s="1071"/>
      <c r="AC56" s="1068">
        <f>SUM(AC11:AC55)</f>
        <v>4345.4643941814884</v>
      </c>
      <c r="AD56" s="1071"/>
      <c r="AE56" s="1071"/>
      <c r="AF56" s="1071"/>
      <c r="AG56" s="1071"/>
      <c r="AH56" s="1071"/>
      <c r="AI56" s="1071"/>
      <c r="AJ56" s="1068">
        <f>SUM(AJ11:AJ55)</f>
        <v>739.72522256543641</v>
      </c>
      <c r="AK56" s="1071"/>
      <c r="AL56" s="1052"/>
      <c r="AM56" s="1071"/>
      <c r="AN56" s="1071"/>
      <c r="AO56" s="1071"/>
      <c r="AP56" s="1071"/>
      <c r="AQ56" s="1071">
        <f>SUM(AQ11:AQ24)</f>
        <v>0</v>
      </c>
      <c r="AR56" s="1071"/>
      <c r="AS56" s="1071"/>
      <c r="AT56" s="1071"/>
      <c r="AU56" s="1071"/>
      <c r="AV56" s="1071"/>
      <c r="AW56" s="1071"/>
      <c r="AX56" s="1071">
        <f>SUM(AX11:AX24)</f>
        <v>0</v>
      </c>
      <c r="AY56" s="1071"/>
      <c r="AZ56" s="1071"/>
      <c r="BA56" s="1071"/>
      <c r="BB56" s="1071"/>
      <c r="BC56" s="1071"/>
      <c r="BD56" s="1068">
        <f t="shared" ref="BD56:BQ56" si="72">SUM(BD11:BD55)</f>
        <v>365.85168331925405</v>
      </c>
      <c r="BE56" s="1068">
        <f t="shared" si="72"/>
        <v>1988.5015028109476</v>
      </c>
      <c r="BF56" s="1068">
        <f>SUM(BF11:BF55)</f>
        <v>2744.6426510426804</v>
      </c>
      <c r="BG56" s="1068">
        <f t="shared" si="72"/>
        <v>0</v>
      </c>
      <c r="BH56" s="1068">
        <f t="shared" si="72"/>
        <v>228.97686064553886</v>
      </c>
      <c r="BI56" s="1068">
        <f t="shared" si="72"/>
        <v>874.4292792900003</v>
      </c>
      <c r="BJ56" s="1068">
        <f t="shared" si="72"/>
        <v>1641.2365111071417</v>
      </c>
      <c r="BK56" s="1068">
        <f t="shared" si="72"/>
        <v>3916.9554999999996</v>
      </c>
      <c r="BL56" s="1068">
        <f>SUM(BL11:BL55)</f>
        <v>3799.4468350000002</v>
      </c>
      <c r="BM56" s="1068">
        <f t="shared" si="72"/>
        <v>540.45732499999997</v>
      </c>
      <c r="BN56" s="1068">
        <f t="shared" si="72"/>
        <v>3258.9895099999999</v>
      </c>
      <c r="BO56" s="1068">
        <f t="shared" si="72"/>
        <v>0</v>
      </c>
      <c r="BP56" s="1068">
        <f t="shared" si="72"/>
        <v>0</v>
      </c>
      <c r="BQ56" s="1068">
        <f t="shared" si="72"/>
        <v>117.50866499999999</v>
      </c>
      <c r="BR56" s="1066" t="s">
        <v>11991</v>
      </c>
      <c r="BS56" s="1066">
        <f>SUM(BS11:BS24)</f>
        <v>0</v>
      </c>
    </row>
    <row r="58" spans="1:71">
      <c r="BF58" s="1074">
        <f>SUM(BG56:BJ56)</f>
        <v>2744.6426510426809</v>
      </c>
      <c r="BK58" s="1074">
        <f>SUM(BM56:BQ56)</f>
        <v>3916.9554999999996</v>
      </c>
    </row>
    <row r="59" spans="1:71">
      <c r="BD59" s="1075"/>
    </row>
  </sheetData>
  <sheetProtection algorithmName="SHA-512" hashValue="VyEd/K+vh/WuC1afayzBJQiEeh0cP0xBMu/wCZfVe73BjgkEOelaPBIsIJi3POo7zfo+JZlujqrVqzLMwZ1e6w==" saltValue="J2Cd4agfN0ZweGFiyh8iKg==" spinCount="100000" sheet="1"/>
  <mergeCells count="6">
    <mergeCell ref="BK8:BQ8"/>
    <mergeCell ref="A8:A9"/>
    <mergeCell ref="V8:AJ8"/>
    <mergeCell ref="BE8:BE9"/>
    <mergeCell ref="BG8:BH8"/>
    <mergeCell ref="BI8:BJ8"/>
  </mergeCells>
  <conditionalFormatting sqref="F1:F1048576">
    <cfRule type="cellIs" dxfId="1199" priority="1" stopIfTrue="1" operator="greaterThan">
      <formula>3</formula>
    </cfRule>
  </conditionalFormatting>
  <pageMargins left="0.51181102362204722" right="0.51181102362204722" top="0.78740157480314965" bottom="0.78740157480314965" header="0.31496062992125984" footer="0.31496062992125984"/>
  <pageSetup paperSize="9" scale="37" orientation="landscape" horizontalDpi="1200" verticalDpi="1200"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IV473"/>
  <sheetViews>
    <sheetView zoomScale="85" zoomScaleNormal="85" zoomScaleSheetLayoutView="85" workbookViewId="0">
      <selection activeCell="D15" sqref="D15"/>
    </sheetView>
  </sheetViews>
  <sheetFormatPr defaultRowHeight="12.75"/>
  <cols>
    <col min="1" max="1" width="21.7109375" style="968" customWidth="1"/>
    <col min="2" max="2" width="6.42578125" style="969" customWidth="1"/>
    <col min="3" max="3" width="7" style="969" customWidth="1"/>
    <col min="4" max="4" width="65.140625" style="1023" customWidth="1"/>
    <col min="5" max="5" width="6.85546875" style="1023" customWidth="1"/>
    <col min="6" max="6" width="11.7109375" style="1024" customWidth="1"/>
    <col min="7" max="7" width="11.28515625" style="1023" customWidth="1"/>
    <col min="8" max="8" width="9.85546875" style="1023" customWidth="1"/>
    <col min="9" max="9" width="11.7109375" style="1023" customWidth="1"/>
    <col min="10" max="10" width="12.140625" style="1025" customWidth="1"/>
    <col min="11" max="11" width="11.28515625" style="1026" customWidth="1"/>
    <col min="12" max="12" width="9.85546875" style="1027" customWidth="1"/>
    <col min="13" max="13" width="11" style="1027" customWidth="1"/>
    <col min="14" max="14" width="11.5703125" style="780" customWidth="1"/>
    <col min="15" max="15" width="7.5703125" style="777" customWidth="1"/>
    <col min="16" max="16" width="7.5703125" style="805" customWidth="1"/>
    <col min="17" max="17" width="7.5703125" style="777" customWidth="1"/>
    <col min="18" max="18" width="4.7109375" style="777" customWidth="1"/>
    <col min="19" max="16384" width="9.140625" style="779"/>
  </cols>
  <sheetData>
    <row r="1" spans="1:18" s="865" customFormat="1" ht="18" customHeight="1">
      <c r="A1" s="921"/>
      <c r="B1" s="919"/>
      <c r="C1" s="919"/>
      <c r="D1" s="1661" t="s">
        <v>11665</v>
      </c>
      <c r="E1" s="1662"/>
      <c r="F1" s="1662"/>
      <c r="G1" s="1662"/>
      <c r="H1" s="1662"/>
      <c r="I1" s="1662"/>
      <c r="J1" s="1662"/>
      <c r="K1" s="1662"/>
      <c r="L1" s="1662"/>
      <c r="M1" s="1663"/>
      <c r="N1" s="700"/>
      <c r="O1" s="863"/>
      <c r="P1" s="864"/>
      <c r="Q1" s="863"/>
      <c r="R1" s="863"/>
    </row>
    <row r="2" spans="1:18" s="865" customFormat="1" ht="18">
      <c r="A2" s="921"/>
      <c r="B2" s="919"/>
      <c r="C2" s="919"/>
      <c r="D2" s="1664"/>
      <c r="E2" s="1665"/>
      <c r="F2" s="1665"/>
      <c r="G2" s="1665"/>
      <c r="H2" s="1665"/>
      <c r="I2" s="1665"/>
      <c r="J2" s="1665"/>
      <c r="K2" s="1665"/>
      <c r="L2" s="1665"/>
      <c r="M2" s="1666"/>
      <c r="N2" s="700"/>
      <c r="O2" s="863"/>
      <c r="P2" s="864"/>
      <c r="Q2" s="863"/>
      <c r="R2" s="863"/>
    </row>
    <row r="3" spans="1:18" s="865" customFormat="1" ht="18">
      <c r="A3" s="921"/>
      <c r="B3" s="919"/>
      <c r="C3" s="919"/>
      <c r="D3" s="1664"/>
      <c r="E3" s="1665"/>
      <c r="F3" s="1665"/>
      <c r="G3" s="1665"/>
      <c r="H3" s="1665"/>
      <c r="I3" s="1665"/>
      <c r="J3" s="1665"/>
      <c r="K3" s="1665"/>
      <c r="L3" s="1665"/>
      <c r="M3" s="1666"/>
      <c r="N3" s="700"/>
      <c r="O3" s="863"/>
      <c r="P3" s="864"/>
      <c r="Q3" s="863"/>
      <c r="R3" s="863"/>
    </row>
    <row r="4" spans="1:18" s="865" customFormat="1" ht="15.75" customHeight="1" thickBot="1">
      <c r="A4" s="921"/>
      <c r="B4" s="919"/>
      <c r="C4" s="919"/>
      <c r="D4" s="1667"/>
      <c r="E4" s="1668"/>
      <c r="F4" s="1668"/>
      <c r="G4" s="1668"/>
      <c r="H4" s="1668"/>
      <c r="I4" s="1668"/>
      <c r="J4" s="1668"/>
      <c r="K4" s="1668"/>
      <c r="L4" s="1668"/>
      <c r="M4" s="1669"/>
      <c r="N4" s="700"/>
      <c r="O4" s="863"/>
      <c r="P4" s="866"/>
      <c r="Q4" s="863"/>
      <c r="R4" s="863"/>
    </row>
    <row r="5" spans="1:18" s="865" customFormat="1" ht="15">
      <c r="A5" s="921"/>
      <c r="B5" s="919"/>
      <c r="C5" s="919"/>
      <c r="D5" s="782"/>
      <c r="E5" s="700"/>
      <c r="F5" s="783"/>
      <c r="G5" s="783"/>
      <c r="H5" s="783"/>
      <c r="I5" s="783"/>
      <c r="J5" s="784"/>
      <c r="K5" s="785"/>
      <c r="L5" s="786"/>
      <c r="M5" s="787"/>
      <c r="N5" s="700"/>
      <c r="O5" s="863"/>
      <c r="P5" s="867"/>
      <c r="Q5" s="863"/>
      <c r="R5" s="863"/>
    </row>
    <row r="6" spans="1:18" s="865" customFormat="1" ht="15">
      <c r="A6" s="921"/>
      <c r="B6" s="919"/>
      <c r="C6" s="919"/>
      <c r="D6" s="789" t="s">
        <v>14559</v>
      </c>
      <c r="E6" s="790"/>
      <c r="F6" s="790"/>
      <c r="G6" s="790"/>
      <c r="H6" s="790"/>
      <c r="I6" s="790"/>
      <c r="J6" s="790"/>
      <c r="K6" s="791"/>
      <c r="L6" s="792"/>
      <c r="M6" s="793"/>
      <c r="N6" s="868"/>
      <c r="O6" s="863"/>
      <c r="P6" s="866"/>
      <c r="Q6" s="863"/>
      <c r="R6" s="863"/>
    </row>
    <row r="7" spans="1:18" s="865" customFormat="1" ht="15">
      <c r="A7" s="921"/>
      <c r="B7" s="919"/>
      <c r="C7" s="919"/>
      <c r="D7" s="789" t="s">
        <v>11836</v>
      </c>
      <c r="E7" s="790"/>
      <c r="F7" s="790"/>
      <c r="G7" s="790"/>
      <c r="H7" s="790"/>
      <c r="I7" s="790"/>
      <c r="J7" s="790"/>
      <c r="K7" s="791"/>
      <c r="L7" s="795"/>
      <c r="M7" s="796"/>
      <c r="N7" s="869"/>
      <c r="O7" s="863"/>
      <c r="P7" s="866"/>
      <c r="Q7" s="863"/>
      <c r="R7" s="863"/>
    </row>
    <row r="8" spans="1:18" s="863" customFormat="1" ht="13.5" customHeight="1">
      <c r="A8" s="921"/>
      <c r="B8" s="919"/>
      <c r="C8" s="919"/>
      <c r="D8" s="789" t="s">
        <v>12029</v>
      </c>
      <c r="E8" s="790"/>
      <c r="F8" s="790"/>
      <c r="G8" s="790"/>
      <c r="H8" s="790"/>
      <c r="I8" s="790"/>
      <c r="J8" s="790"/>
      <c r="K8" s="791"/>
      <c r="L8" s="795"/>
      <c r="M8" s="796"/>
      <c r="N8" s="869"/>
      <c r="P8" s="866"/>
    </row>
    <row r="9" spans="1:18" s="863" customFormat="1" ht="6.75" customHeight="1" thickBot="1">
      <c r="A9" s="921"/>
      <c r="B9" s="919"/>
      <c r="C9" s="919"/>
      <c r="D9" s="798"/>
      <c r="E9" s="799"/>
      <c r="F9" s="799"/>
      <c r="G9" s="800"/>
      <c r="H9" s="800"/>
      <c r="I9" s="800"/>
      <c r="J9" s="800"/>
      <c r="K9" s="801"/>
      <c r="L9" s="802"/>
      <c r="M9" s="803"/>
      <c r="N9" s="869"/>
      <c r="P9" s="866"/>
    </row>
    <row r="10" spans="1:18" s="863" customFormat="1" ht="15.75" customHeight="1" thickTop="1" thickBot="1">
      <c r="A10" s="921"/>
      <c r="B10" s="919"/>
      <c r="C10" s="919"/>
      <c r="D10" s="1653" t="s">
        <v>575</v>
      </c>
      <c r="E10" s="1654"/>
      <c r="F10" s="1654"/>
      <c r="G10" s="1654"/>
      <c r="H10" s="1654"/>
      <c r="I10" s="1654"/>
      <c r="J10" s="1654"/>
      <c r="K10" s="1654"/>
      <c r="L10" s="1654"/>
      <c r="M10" s="1670"/>
      <c r="N10" s="870"/>
      <c r="O10" s="871"/>
      <c r="P10" s="871"/>
    </row>
    <row r="11" spans="1:18" s="863" customFormat="1" ht="6" customHeight="1" thickTop="1" thickBot="1">
      <c r="A11" s="921"/>
      <c r="B11" s="919"/>
      <c r="C11" s="919"/>
      <c r="D11" s="806"/>
      <c r="E11" s="807"/>
      <c r="F11" s="808"/>
      <c r="G11" s="700"/>
      <c r="H11" s="700"/>
      <c r="I11" s="700"/>
      <c r="J11" s="809"/>
      <c r="K11" s="791"/>
      <c r="L11" s="802"/>
      <c r="M11" s="810"/>
      <c r="N11" s="700"/>
      <c r="P11" s="872"/>
    </row>
    <row r="12" spans="1:18" s="777" customFormat="1" ht="14.25" customHeight="1" thickTop="1" thickBot="1">
      <c r="A12" s="968"/>
      <c r="B12" s="969"/>
      <c r="C12" s="969"/>
      <c r="D12" s="1671" t="s">
        <v>3</v>
      </c>
      <c r="E12" s="1672"/>
      <c r="F12" s="1672"/>
      <c r="G12" s="1672"/>
      <c r="H12" s="1672"/>
      <c r="I12" s="1672"/>
      <c r="J12" s="1672"/>
      <c r="K12" s="1672"/>
      <c r="L12" s="1672"/>
      <c r="M12" s="1673"/>
      <c r="N12" s="812"/>
      <c r="P12" s="813"/>
    </row>
    <row r="13" spans="1:18" s="777" customFormat="1" ht="13.5" customHeight="1" thickTop="1">
      <c r="A13" s="968"/>
      <c r="B13" s="969"/>
      <c r="C13" s="969"/>
      <c r="D13" s="814" t="s">
        <v>4</v>
      </c>
      <c r="E13" s="815"/>
      <c r="F13" s="815"/>
      <c r="G13" s="815"/>
      <c r="H13" s="815"/>
      <c r="I13" s="815"/>
      <c r="J13" s="815"/>
      <c r="K13" s="815"/>
      <c r="L13" s="816" t="s">
        <v>5</v>
      </c>
      <c r="M13" s="817">
        <f>'PARAMETROS MC'!C37</f>
        <v>7.5</v>
      </c>
      <c r="N13" s="818"/>
      <c r="O13" s="819"/>
      <c r="P13" s="805"/>
    </row>
    <row r="14" spans="1:18" s="777" customFormat="1" ht="12.75" customHeight="1">
      <c r="A14" s="968"/>
      <c r="B14" s="969"/>
      <c r="C14" s="969"/>
      <c r="D14" s="820" t="s">
        <v>34</v>
      </c>
      <c r="E14" s="821"/>
      <c r="F14" s="821"/>
      <c r="G14" s="821"/>
      <c r="H14" s="821"/>
      <c r="I14" s="821"/>
      <c r="J14" s="821"/>
      <c r="K14" s="821"/>
      <c r="L14" s="816" t="s">
        <v>5</v>
      </c>
      <c r="M14" s="817">
        <f>'PARAMETROS MC'!C38</f>
        <v>4.5999999999999996</v>
      </c>
      <c r="N14" s="818"/>
      <c r="O14" s="819"/>
      <c r="P14" s="805"/>
    </row>
    <row r="15" spans="1:18" s="777" customFormat="1" ht="12.75" customHeight="1">
      <c r="A15" s="968"/>
      <c r="B15" s="969"/>
      <c r="C15" s="969"/>
      <c r="D15" s="820" t="s">
        <v>6</v>
      </c>
      <c r="E15" s="821"/>
      <c r="F15" s="821"/>
      <c r="G15" s="821"/>
      <c r="H15" s="821"/>
      <c r="I15" s="821"/>
      <c r="J15" s="821"/>
      <c r="K15" s="821"/>
      <c r="L15" s="816" t="s">
        <v>8</v>
      </c>
      <c r="M15" s="822">
        <v>0.95</v>
      </c>
      <c r="N15" s="818"/>
      <c r="O15" s="819"/>
      <c r="P15" s="805"/>
    </row>
    <row r="16" spans="1:18" s="777" customFormat="1" ht="12.75" customHeight="1">
      <c r="A16" s="968"/>
      <c r="B16" s="969"/>
      <c r="C16" s="969"/>
      <c r="D16" s="820" t="s">
        <v>7</v>
      </c>
      <c r="E16" s="821"/>
      <c r="F16" s="821"/>
      <c r="G16" s="821"/>
      <c r="H16" s="821"/>
      <c r="I16" s="821"/>
      <c r="J16" s="821"/>
      <c r="K16" s="821"/>
      <c r="L16" s="816" t="s">
        <v>8</v>
      </c>
      <c r="M16" s="822">
        <v>0.05</v>
      </c>
      <c r="N16" s="818"/>
      <c r="O16" s="819"/>
      <c r="P16" s="805"/>
    </row>
    <row r="17" spans="1:19" s="777" customFormat="1" ht="12.75" customHeight="1">
      <c r="A17" s="968"/>
      <c r="B17" s="969"/>
      <c r="C17" s="969"/>
      <c r="D17" s="820" t="s">
        <v>9</v>
      </c>
      <c r="E17" s="821"/>
      <c r="F17" s="821"/>
      <c r="G17" s="821"/>
      <c r="H17" s="821"/>
      <c r="I17" s="821"/>
      <c r="J17" s="821"/>
      <c r="K17" s="821"/>
      <c r="L17" s="816" t="s">
        <v>8</v>
      </c>
      <c r="M17" s="822">
        <v>0.9</v>
      </c>
      <c r="N17" s="818"/>
      <c r="O17" s="819"/>
      <c r="P17" s="805"/>
    </row>
    <row r="18" spans="1:19" s="777" customFormat="1" ht="12.75" customHeight="1">
      <c r="A18" s="968"/>
      <c r="B18" s="969"/>
      <c r="C18" s="969"/>
      <c r="D18" s="820" t="s">
        <v>10</v>
      </c>
      <c r="E18" s="821"/>
      <c r="F18" s="821"/>
      <c r="G18" s="821"/>
      <c r="H18" s="821"/>
      <c r="I18" s="821"/>
      <c r="J18" s="821"/>
      <c r="K18" s="821"/>
      <c r="L18" s="816" t="s">
        <v>8</v>
      </c>
      <c r="M18" s="822">
        <v>0.05</v>
      </c>
      <c r="N18" s="818"/>
      <c r="O18" s="819"/>
      <c r="P18" s="805"/>
    </row>
    <row r="19" spans="1:19" s="777" customFormat="1" ht="12.75" customHeight="1">
      <c r="A19" s="968"/>
      <c r="B19" s="969"/>
      <c r="C19" s="969"/>
      <c r="D19" s="820" t="s">
        <v>11</v>
      </c>
      <c r="E19" s="821"/>
      <c r="F19" s="821"/>
      <c r="G19" s="821"/>
      <c r="H19" s="821"/>
      <c r="I19" s="821"/>
      <c r="J19" s="821"/>
      <c r="K19" s="821"/>
      <c r="L19" s="816" t="s">
        <v>8</v>
      </c>
      <c r="M19" s="822">
        <v>0</v>
      </c>
      <c r="N19" s="818"/>
      <c r="O19" s="819"/>
      <c r="P19" s="805"/>
    </row>
    <row r="20" spans="1:19" s="777" customFormat="1">
      <c r="A20" s="968"/>
      <c r="B20" s="969"/>
      <c r="C20" s="969"/>
      <c r="D20" s="820" t="s">
        <v>12</v>
      </c>
      <c r="E20" s="821"/>
      <c r="F20" s="821"/>
      <c r="G20" s="821"/>
      <c r="H20" s="821"/>
      <c r="I20" s="821"/>
      <c r="J20" s="821"/>
      <c r="K20" s="821"/>
      <c r="L20" s="816" t="s">
        <v>8</v>
      </c>
      <c r="M20" s="822">
        <v>0.05</v>
      </c>
      <c r="N20" s="818"/>
      <c r="O20" s="819"/>
      <c r="P20" s="805"/>
    </row>
    <row r="21" spans="1:19" s="777" customFormat="1" ht="12.75" customHeight="1">
      <c r="A21" s="968"/>
      <c r="B21" s="969"/>
      <c r="C21" s="969"/>
      <c r="D21" s="820" t="s">
        <v>13</v>
      </c>
      <c r="E21" s="821"/>
      <c r="F21" s="821"/>
      <c r="G21" s="821"/>
      <c r="H21" s="821"/>
      <c r="I21" s="821"/>
      <c r="J21" s="821"/>
      <c r="K21" s="821"/>
      <c r="L21" s="816" t="s">
        <v>8</v>
      </c>
      <c r="M21" s="822">
        <v>0.2</v>
      </c>
      <c r="N21" s="818"/>
      <c r="O21" s="819"/>
      <c r="P21" s="805"/>
    </row>
    <row r="22" spans="1:19" s="777" customFormat="1" ht="12.75" customHeight="1">
      <c r="A22" s="968"/>
      <c r="B22" s="969"/>
      <c r="C22" s="969"/>
      <c r="D22" s="820" t="s">
        <v>14</v>
      </c>
      <c r="E22" s="821"/>
      <c r="F22" s="821"/>
      <c r="G22" s="821"/>
      <c r="H22" s="821"/>
      <c r="I22" s="821"/>
      <c r="J22" s="821"/>
      <c r="K22" s="821"/>
      <c r="L22" s="816" t="s">
        <v>8</v>
      </c>
      <c r="M22" s="822">
        <v>0.2</v>
      </c>
      <c r="N22" s="818"/>
      <c r="O22" s="819"/>
      <c r="P22" s="805"/>
    </row>
    <row r="23" spans="1:19" s="777" customFormat="1" ht="12.75" customHeight="1">
      <c r="A23" s="968"/>
      <c r="B23" s="969"/>
      <c r="C23" s="969"/>
      <c r="D23" s="820" t="s">
        <v>15</v>
      </c>
      <c r="E23" s="821"/>
      <c r="F23" s="821"/>
      <c r="G23" s="821"/>
      <c r="H23" s="821"/>
      <c r="I23" s="821"/>
      <c r="J23" s="821"/>
      <c r="K23" s="821"/>
      <c r="L23" s="816" t="s">
        <v>8</v>
      </c>
      <c r="M23" s="822">
        <v>0.1</v>
      </c>
      <c r="N23" s="818"/>
      <c r="O23" s="819"/>
      <c r="P23" s="805"/>
    </row>
    <row r="24" spans="1:19" s="777" customFormat="1" ht="12.75" customHeight="1">
      <c r="A24" s="968"/>
      <c r="B24" s="969"/>
      <c r="C24" s="969"/>
      <c r="D24" s="820" t="s">
        <v>16</v>
      </c>
      <c r="E24" s="821"/>
      <c r="F24" s="821"/>
      <c r="G24" s="821"/>
      <c r="H24" s="821"/>
      <c r="I24" s="821"/>
      <c r="J24" s="821"/>
      <c r="K24" s="821"/>
      <c r="L24" s="816" t="s">
        <v>8</v>
      </c>
      <c r="M24" s="822">
        <v>0.9</v>
      </c>
      <c r="N24" s="818"/>
      <c r="O24" s="819"/>
      <c r="P24" s="805"/>
    </row>
    <row r="25" spans="1:19" s="865" customFormat="1" ht="13.5" thickBot="1">
      <c r="A25" s="921"/>
      <c r="B25" s="919"/>
      <c r="C25" s="919"/>
      <c r="D25" s="823"/>
      <c r="E25" s="700"/>
      <c r="F25" s="808"/>
      <c r="G25" s="700"/>
      <c r="H25" s="700"/>
      <c r="I25" s="700"/>
      <c r="J25" s="809"/>
      <c r="K25" s="791"/>
      <c r="L25" s="824"/>
      <c r="M25" s="825"/>
      <c r="N25" s="700"/>
      <c r="O25" s="863"/>
      <c r="P25" s="871"/>
      <c r="Q25" s="863"/>
      <c r="R25" s="863"/>
    </row>
    <row r="26" spans="1:19" s="777" customFormat="1" ht="14.25" customHeight="1" thickTop="1" thickBot="1">
      <c r="A26" s="968"/>
      <c r="B26" s="969"/>
      <c r="C26" s="969"/>
      <c r="D26" s="1671" t="s">
        <v>11664</v>
      </c>
      <c r="E26" s="1672"/>
      <c r="F26" s="1672"/>
      <c r="G26" s="1672"/>
      <c r="H26" s="1672"/>
      <c r="I26" s="1672"/>
      <c r="J26" s="1672"/>
      <c r="K26" s="1672"/>
      <c r="L26" s="1672"/>
      <c r="M26" s="1673"/>
      <c r="N26" s="812"/>
      <c r="P26" s="813"/>
    </row>
    <row r="27" spans="1:19" s="863" customFormat="1" ht="6" customHeight="1" thickTop="1" thickBot="1">
      <c r="A27" s="921"/>
      <c r="B27" s="919"/>
      <c r="C27" s="919"/>
      <c r="D27" s="826"/>
      <c r="E27" s="790"/>
      <c r="F27" s="790"/>
      <c r="G27" s="700"/>
      <c r="H27" s="700"/>
      <c r="I27" s="700"/>
      <c r="J27" s="700"/>
      <c r="K27" s="700"/>
      <c r="L27" s="700"/>
      <c r="M27" s="827"/>
      <c r="N27" s="700"/>
      <c r="P27" s="871"/>
    </row>
    <row r="28" spans="1:19" s="863" customFormat="1" ht="15.75" customHeight="1" thickTop="1" thickBot="1">
      <c r="A28" s="921"/>
      <c r="B28" s="919"/>
      <c r="C28" s="919"/>
      <c r="D28" s="830" t="s">
        <v>11640</v>
      </c>
      <c r="E28" s="831"/>
      <c r="F28" s="831"/>
      <c r="G28" s="831"/>
      <c r="H28" s="831"/>
      <c r="I28" s="831"/>
      <c r="J28" s="831"/>
      <c r="K28" s="831"/>
      <c r="L28" s="832"/>
      <c r="M28" s="833"/>
      <c r="N28" s="870"/>
      <c r="O28" s="871"/>
      <c r="P28" s="871"/>
    </row>
    <row r="29" spans="1:19" s="865" customFormat="1" ht="13.5" thickTop="1">
      <c r="A29" s="921"/>
      <c r="B29" s="919"/>
      <c r="C29" s="919"/>
      <c r="D29" s="826"/>
      <c r="E29" s="790"/>
      <c r="F29" s="790"/>
      <c r="G29" s="700" t="s">
        <v>30</v>
      </c>
      <c r="H29" s="700" t="s">
        <v>30</v>
      </c>
      <c r="I29" s="700" t="s">
        <v>1275</v>
      </c>
      <c r="J29" s="700" t="s">
        <v>17</v>
      </c>
      <c r="K29" s="700" t="s">
        <v>19</v>
      </c>
      <c r="L29" s="700"/>
      <c r="M29" s="829"/>
      <c r="N29" s="824"/>
      <c r="O29" s="790"/>
      <c r="P29" s="863"/>
      <c r="Q29" s="871"/>
      <c r="R29" s="863"/>
      <c r="S29" s="863"/>
    </row>
    <row r="30" spans="1:19" s="865" customFormat="1">
      <c r="A30" s="921"/>
      <c r="B30" s="919"/>
      <c r="C30" s="919"/>
      <c r="D30" s="826"/>
      <c r="E30" s="1674" t="s">
        <v>11837</v>
      </c>
      <c r="F30" s="1674"/>
      <c r="G30" s="1674"/>
      <c r="H30" s="1674"/>
      <c r="I30" s="700">
        <v>6</v>
      </c>
      <c r="J30" s="828">
        <f t="shared" ref="J30:K37" si="0">J41+2*0.6</f>
        <v>2.6799999999999997</v>
      </c>
      <c r="K30" s="828">
        <f t="shared" si="0"/>
        <v>2.6799999999999997</v>
      </c>
      <c r="L30" s="700" t="s">
        <v>21</v>
      </c>
      <c r="M30" s="829">
        <f>I30*J30*K30</f>
        <v>43.094399999999993</v>
      </c>
      <c r="N30" s="824"/>
      <c r="O30" s="790"/>
      <c r="P30" s="863"/>
      <c r="Q30" s="871"/>
      <c r="R30" s="863"/>
      <c r="S30" s="863"/>
    </row>
    <row r="31" spans="1:19" s="865" customFormat="1">
      <c r="A31" s="921"/>
      <c r="B31" s="919"/>
      <c r="C31" s="919"/>
      <c r="D31" s="826"/>
      <c r="E31" s="1674" t="s">
        <v>11920</v>
      </c>
      <c r="F31" s="1674"/>
      <c r="G31" s="1674"/>
      <c r="H31" s="1674"/>
      <c r="I31" s="700">
        <v>3</v>
      </c>
      <c r="J31" s="828">
        <f t="shared" si="0"/>
        <v>2.6799999999999997</v>
      </c>
      <c r="K31" s="828">
        <f t="shared" si="0"/>
        <v>2.6799999999999997</v>
      </c>
      <c r="L31" s="700" t="s">
        <v>21</v>
      </c>
      <c r="M31" s="829">
        <f t="shared" ref="M31:M37" si="1">I31*J31*K31</f>
        <v>21.547199999999997</v>
      </c>
      <c r="N31" s="824"/>
      <c r="O31" s="790"/>
      <c r="P31" s="863"/>
      <c r="Q31" s="871"/>
      <c r="R31" s="863"/>
      <c r="S31" s="863"/>
    </row>
    <row r="32" spans="1:19" s="865" customFormat="1">
      <c r="A32" s="921"/>
      <c r="B32" s="919"/>
      <c r="C32" s="919"/>
      <c r="D32" s="826"/>
      <c r="E32" s="1674" t="s">
        <v>11838</v>
      </c>
      <c r="F32" s="1674"/>
      <c r="G32" s="1674"/>
      <c r="H32" s="1674"/>
      <c r="I32" s="700">
        <v>1</v>
      </c>
      <c r="J32" s="828">
        <f t="shared" si="0"/>
        <v>4</v>
      </c>
      <c r="K32" s="828">
        <f t="shared" si="0"/>
        <v>3.0999999999999996</v>
      </c>
      <c r="L32" s="700" t="s">
        <v>21</v>
      </c>
      <c r="M32" s="829">
        <f t="shared" si="1"/>
        <v>12.399999999999999</v>
      </c>
      <c r="N32" s="824"/>
      <c r="O32" s="790"/>
      <c r="P32" s="863"/>
      <c r="Q32" s="871"/>
      <c r="R32" s="863"/>
      <c r="S32" s="863"/>
    </row>
    <row r="33" spans="1:19" s="865" customFormat="1">
      <c r="A33" s="921"/>
      <c r="B33" s="919"/>
      <c r="C33" s="919"/>
      <c r="D33" s="826"/>
      <c r="E33" s="1674" t="s">
        <v>11839</v>
      </c>
      <c r="F33" s="1674"/>
      <c r="G33" s="1674"/>
      <c r="H33" s="1674"/>
      <c r="I33" s="700">
        <v>1</v>
      </c>
      <c r="J33" s="828">
        <f t="shared" si="0"/>
        <v>2.8499999999999996</v>
      </c>
      <c r="K33" s="828">
        <f t="shared" si="0"/>
        <v>2.75</v>
      </c>
      <c r="L33" s="700" t="s">
        <v>21</v>
      </c>
      <c r="M33" s="829">
        <f t="shared" si="1"/>
        <v>7.8374999999999986</v>
      </c>
      <c r="N33" s="824"/>
      <c r="O33" s="790"/>
      <c r="P33" s="863"/>
      <c r="Q33" s="871"/>
      <c r="R33" s="863"/>
      <c r="S33" s="863"/>
    </row>
    <row r="34" spans="1:19" s="865" customFormat="1">
      <c r="A34" s="921"/>
      <c r="B34" s="919"/>
      <c r="C34" s="919"/>
      <c r="D34" s="826"/>
      <c r="E34" s="854"/>
      <c r="F34" s="854"/>
      <c r="G34" s="854"/>
      <c r="H34" s="854" t="s">
        <v>11840</v>
      </c>
      <c r="I34" s="700">
        <v>1</v>
      </c>
      <c r="J34" s="828">
        <f t="shared" si="0"/>
        <v>5.2</v>
      </c>
      <c r="K34" s="828">
        <f t="shared" si="0"/>
        <v>3.9000000000000004</v>
      </c>
      <c r="L34" s="700" t="s">
        <v>21</v>
      </c>
      <c r="M34" s="829">
        <f t="shared" si="1"/>
        <v>20.28</v>
      </c>
      <c r="N34" s="824"/>
      <c r="O34" s="790"/>
      <c r="P34" s="863"/>
      <c r="Q34" s="871"/>
      <c r="R34" s="863"/>
      <c r="S34" s="863"/>
    </row>
    <row r="35" spans="1:19" s="865" customFormat="1">
      <c r="A35" s="921"/>
      <c r="B35" s="919"/>
      <c r="C35" s="919"/>
      <c r="D35" s="826"/>
      <c r="E35" s="854"/>
      <c r="F35" s="854"/>
      <c r="G35" s="854"/>
      <c r="H35" s="854" t="s">
        <v>11841</v>
      </c>
      <c r="I35" s="700">
        <v>1</v>
      </c>
      <c r="J35" s="828">
        <f t="shared" si="0"/>
        <v>4.0199999999999996</v>
      </c>
      <c r="K35" s="828">
        <f t="shared" si="0"/>
        <v>3.9000000000000004</v>
      </c>
      <c r="L35" s="700" t="s">
        <v>21</v>
      </c>
      <c r="M35" s="829">
        <f t="shared" si="1"/>
        <v>15.677999999999999</v>
      </c>
      <c r="N35" s="824"/>
      <c r="O35" s="790"/>
      <c r="P35" s="863"/>
      <c r="Q35" s="871"/>
      <c r="R35" s="863"/>
      <c r="S35" s="863"/>
    </row>
    <row r="36" spans="1:19" s="865" customFormat="1">
      <c r="A36" s="921"/>
      <c r="B36" s="919"/>
      <c r="C36" s="919"/>
      <c r="D36" s="826"/>
      <c r="E36" s="854"/>
      <c r="F36" s="854"/>
      <c r="G36" s="854"/>
      <c r="H36" s="854" t="s">
        <v>11842</v>
      </c>
      <c r="I36" s="700">
        <v>1</v>
      </c>
      <c r="J36" s="828">
        <f t="shared" si="0"/>
        <v>4.25</v>
      </c>
      <c r="K36" s="828">
        <f t="shared" si="0"/>
        <v>3.4000000000000004</v>
      </c>
      <c r="L36" s="700" t="s">
        <v>21</v>
      </c>
      <c r="M36" s="829">
        <f t="shared" si="1"/>
        <v>14.450000000000001</v>
      </c>
      <c r="N36" s="824"/>
      <c r="O36" s="790"/>
      <c r="P36" s="863"/>
      <c r="Q36" s="871"/>
      <c r="R36" s="863"/>
      <c r="S36" s="863"/>
    </row>
    <row r="37" spans="1:19" s="865" customFormat="1">
      <c r="A37" s="921"/>
      <c r="B37" s="919"/>
      <c r="C37" s="919"/>
      <c r="D37" s="826"/>
      <c r="E37" s="854"/>
      <c r="F37" s="854"/>
      <c r="G37" s="854"/>
      <c r="H37" s="854" t="s">
        <v>11843</v>
      </c>
      <c r="I37" s="700">
        <v>1</v>
      </c>
      <c r="J37" s="828">
        <f t="shared" si="0"/>
        <v>3.9000000000000004</v>
      </c>
      <c r="K37" s="828">
        <f t="shared" si="0"/>
        <v>3.75</v>
      </c>
      <c r="L37" s="700" t="s">
        <v>21</v>
      </c>
      <c r="M37" s="829">
        <f t="shared" si="1"/>
        <v>14.625000000000002</v>
      </c>
      <c r="N37" s="824"/>
      <c r="O37" s="790"/>
      <c r="P37" s="863"/>
      <c r="Q37" s="871"/>
      <c r="R37" s="863"/>
      <c r="S37" s="863"/>
    </row>
    <row r="38" spans="1:19" s="865" customFormat="1">
      <c r="A38" s="921"/>
      <c r="B38" s="919"/>
      <c r="C38" s="919"/>
      <c r="D38" s="826"/>
      <c r="E38" s="854"/>
      <c r="F38" s="854"/>
      <c r="G38" s="854"/>
      <c r="H38" s="854"/>
      <c r="I38" s="700"/>
      <c r="J38" s="700"/>
      <c r="K38" s="700"/>
      <c r="L38" s="700"/>
      <c r="M38" s="829"/>
      <c r="N38" s="824"/>
      <c r="O38" s="790"/>
      <c r="P38" s="863"/>
      <c r="Q38" s="871"/>
      <c r="R38" s="863"/>
      <c r="S38" s="863"/>
    </row>
    <row r="39" spans="1:19" s="865" customFormat="1" ht="22.5">
      <c r="A39" s="921" t="s">
        <v>14335</v>
      </c>
      <c r="B39" s="850" t="s">
        <v>70</v>
      </c>
      <c r="C39" s="850" t="s">
        <v>19163</v>
      </c>
      <c r="D39" s="836" t="str">
        <f>PROPER(IF(B39="Saneago",VLOOKUP(C39,'SANEAGO-FEV.2016'!A:B,2,0),IF(B39="SINAPI",VLOOKUP(C39,'SINAPI-FEV.2017'!A:D,2,0),IF(B39="Cotação",VLOOKUP(C39,COTAÇÃO!A:D,2,0),IF(B39="Composição",VLOOKUP(C39,COMPOSIÇÃO!A:D,2,0))))))</f>
        <v>Limpeza Mecanizada De Terreno Com Remocao De Camada Vegetal, Utilizando Motoniveladora</v>
      </c>
      <c r="E39" s="837"/>
      <c r="F39" s="837"/>
      <c r="G39" s="852"/>
      <c r="H39" s="852"/>
      <c r="I39" s="852"/>
      <c r="J39" s="852"/>
      <c r="K39" s="856" t="s">
        <v>27</v>
      </c>
      <c r="L39" s="856" t="s">
        <v>21</v>
      </c>
      <c r="M39" s="840">
        <f>SUM(M30:M38)</f>
        <v>149.91209999999998</v>
      </c>
      <c r="N39" s="824"/>
      <c r="O39" s="790"/>
      <c r="P39" s="863"/>
      <c r="Q39" s="871"/>
      <c r="R39" s="863"/>
      <c r="S39" s="863"/>
    </row>
    <row r="40" spans="1:19" s="865" customFormat="1">
      <c r="A40" s="921"/>
      <c r="B40" s="919"/>
      <c r="C40" s="919"/>
      <c r="D40" s="826"/>
      <c r="E40" s="790"/>
      <c r="F40" s="790"/>
      <c r="G40" s="700" t="s">
        <v>30</v>
      </c>
      <c r="H40" s="700" t="s">
        <v>30</v>
      </c>
      <c r="I40" s="700" t="s">
        <v>1275</v>
      </c>
      <c r="J40" s="700" t="s">
        <v>17</v>
      </c>
      <c r="K40" s="700" t="s">
        <v>19</v>
      </c>
      <c r="L40" s="700"/>
      <c r="M40" s="829"/>
      <c r="N40" s="824"/>
      <c r="O40" s="790"/>
      <c r="P40" s="863"/>
      <c r="Q40" s="871"/>
      <c r="R40" s="863"/>
      <c r="S40" s="863"/>
    </row>
    <row r="41" spans="1:19" s="865" customFormat="1">
      <c r="A41" s="921"/>
      <c r="B41" s="919"/>
      <c r="C41" s="919"/>
      <c r="D41" s="826"/>
      <c r="E41" s="1674" t="s">
        <v>11837</v>
      </c>
      <c r="F41" s="1674"/>
      <c r="G41" s="1674"/>
      <c r="H41" s="1674"/>
      <c r="I41" s="700">
        <v>6</v>
      </c>
      <c r="J41" s="828">
        <v>1.48</v>
      </c>
      <c r="K41" s="828">
        <v>1.48</v>
      </c>
      <c r="L41" s="700" t="s">
        <v>21</v>
      </c>
      <c r="M41" s="829">
        <f>I41*J41*K41</f>
        <v>13.142399999999999</v>
      </c>
      <c r="N41" s="824"/>
      <c r="O41" s="790"/>
      <c r="P41" s="863"/>
      <c r="Q41" s="871"/>
      <c r="R41" s="863"/>
      <c r="S41" s="863"/>
    </row>
    <row r="42" spans="1:19" s="865" customFormat="1">
      <c r="A42" s="921"/>
      <c r="B42" s="919"/>
      <c r="C42" s="919"/>
      <c r="D42" s="826"/>
      <c r="E42" s="1674" t="s">
        <v>11920</v>
      </c>
      <c r="F42" s="1674"/>
      <c r="G42" s="1674"/>
      <c r="H42" s="1674"/>
      <c r="I42" s="700">
        <v>3</v>
      </c>
      <c r="J42" s="828">
        <v>1.48</v>
      </c>
      <c r="K42" s="828">
        <v>1.48</v>
      </c>
      <c r="L42" s="700" t="s">
        <v>21</v>
      </c>
      <c r="M42" s="829">
        <f t="shared" ref="M42:M48" si="2">I42*J42*K42</f>
        <v>6.5711999999999993</v>
      </c>
      <c r="N42" s="824"/>
      <c r="O42" s="790"/>
      <c r="P42" s="863"/>
      <c r="Q42" s="871"/>
      <c r="R42" s="863"/>
      <c r="S42" s="863"/>
    </row>
    <row r="43" spans="1:19" s="865" customFormat="1">
      <c r="A43" s="921"/>
      <c r="B43" s="919"/>
      <c r="C43" s="919"/>
      <c r="D43" s="826"/>
      <c r="E43" s="1674" t="s">
        <v>11838</v>
      </c>
      <c r="F43" s="1674"/>
      <c r="G43" s="1674"/>
      <c r="H43" s="1674"/>
      <c r="I43" s="700">
        <v>1</v>
      </c>
      <c r="J43" s="828">
        <v>2.8</v>
      </c>
      <c r="K43" s="828">
        <v>1.9</v>
      </c>
      <c r="L43" s="700" t="s">
        <v>21</v>
      </c>
      <c r="M43" s="829">
        <f t="shared" si="2"/>
        <v>5.3199999999999994</v>
      </c>
      <c r="N43" s="824"/>
      <c r="O43" s="790"/>
      <c r="P43" s="863"/>
      <c r="Q43" s="871"/>
      <c r="R43" s="863"/>
      <c r="S43" s="863"/>
    </row>
    <row r="44" spans="1:19" s="865" customFormat="1">
      <c r="A44" s="921"/>
      <c r="B44" s="919"/>
      <c r="C44" s="919"/>
      <c r="D44" s="826"/>
      <c r="E44" s="1674" t="s">
        <v>11839</v>
      </c>
      <c r="F44" s="1674"/>
      <c r="G44" s="1674"/>
      <c r="H44" s="1674"/>
      <c r="I44" s="700">
        <v>1</v>
      </c>
      <c r="J44" s="828">
        <v>1.65</v>
      </c>
      <c r="K44" s="828">
        <v>1.55</v>
      </c>
      <c r="L44" s="700" t="s">
        <v>21</v>
      </c>
      <c r="M44" s="829">
        <f t="shared" si="2"/>
        <v>2.5575000000000001</v>
      </c>
      <c r="N44" s="824"/>
      <c r="O44" s="790"/>
      <c r="P44" s="863"/>
      <c r="Q44" s="871"/>
      <c r="R44" s="863"/>
      <c r="S44" s="863"/>
    </row>
    <row r="45" spans="1:19" s="865" customFormat="1">
      <c r="A45" s="921"/>
      <c r="B45" s="919"/>
      <c r="C45" s="919"/>
      <c r="D45" s="826"/>
      <c r="E45" s="854"/>
      <c r="F45" s="854"/>
      <c r="G45" s="854"/>
      <c r="H45" s="854" t="s">
        <v>11840</v>
      </c>
      <c r="I45" s="700">
        <v>1</v>
      </c>
      <c r="J45" s="828">
        <v>4</v>
      </c>
      <c r="K45" s="828">
        <v>2.7</v>
      </c>
      <c r="L45" s="700" t="s">
        <v>21</v>
      </c>
      <c r="M45" s="829">
        <f t="shared" si="2"/>
        <v>10.8</v>
      </c>
      <c r="N45" s="824"/>
      <c r="O45" s="790"/>
      <c r="P45" s="863"/>
      <c r="Q45" s="871"/>
      <c r="R45" s="863"/>
      <c r="S45" s="863"/>
    </row>
    <row r="46" spans="1:19" s="865" customFormat="1">
      <c r="A46" s="921"/>
      <c r="B46" s="919"/>
      <c r="C46" s="919"/>
      <c r="D46" s="826"/>
      <c r="E46" s="854"/>
      <c r="F46" s="854"/>
      <c r="G46" s="854"/>
      <c r="H46" s="854" t="s">
        <v>11841</v>
      </c>
      <c r="I46" s="700">
        <v>1</v>
      </c>
      <c r="J46" s="828">
        <v>2.82</v>
      </c>
      <c r="K46" s="828">
        <v>2.7</v>
      </c>
      <c r="L46" s="700" t="s">
        <v>21</v>
      </c>
      <c r="M46" s="829">
        <f t="shared" si="2"/>
        <v>7.6139999999999999</v>
      </c>
      <c r="N46" s="824"/>
      <c r="O46" s="790"/>
      <c r="P46" s="863"/>
      <c r="Q46" s="871"/>
      <c r="R46" s="863"/>
      <c r="S46" s="863"/>
    </row>
    <row r="47" spans="1:19" s="865" customFormat="1">
      <c r="A47" s="921"/>
      <c r="B47" s="919"/>
      <c r="C47" s="919"/>
      <c r="D47" s="826"/>
      <c r="E47" s="854"/>
      <c r="F47" s="854"/>
      <c r="G47" s="854"/>
      <c r="H47" s="854" t="s">
        <v>11842</v>
      </c>
      <c r="I47" s="700">
        <v>1</v>
      </c>
      <c r="J47" s="828">
        <v>3.05</v>
      </c>
      <c r="K47" s="828">
        <v>2.2000000000000002</v>
      </c>
      <c r="L47" s="700" t="s">
        <v>21</v>
      </c>
      <c r="M47" s="829">
        <f t="shared" si="2"/>
        <v>6.71</v>
      </c>
      <c r="N47" s="824"/>
      <c r="O47" s="790"/>
      <c r="P47" s="863"/>
      <c r="Q47" s="871"/>
      <c r="R47" s="863"/>
      <c r="S47" s="863"/>
    </row>
    <row r="48" spans="1:19" s="865" customFormat="1">
      <c r="A48" s="921"/>
      <c r="B48" s="919"/>
      <c r="C48" s="919"/>
      <c r="D48" s="826"/>
      <c r="E48" s="854"/>
      <c r="F48" s="854"/>
      <c r="G48" s="854"/>
      <c r="H48" s="854" t="s">
        <v>11843</v>
      </c>
      <c r="I48" s="700">
        <v>1</v>
      </c>
      <c r="J48" s="828">
        <v>2.7</v>
      </c>
      <c r="K48" s="828">
        <v>2.5499999999999998</v>
      </c>
      <c r="L48" s="700" t="s">
        <v>21</v>
      </c>
      <c r="M48" s="829">
        <f t="shared" si="2"/>
        <v>6.8849999999999998</v>
      </c>
      <c r="N48" s="824"/>
      <c r="O48" s="790"/>
      <c r="P48" s="863"/>
      <c r="Q48" s="871"/>
      <c r="R48" s="863"/>
      <c r="S48" s="863"/>
    </row>
    <row r="49" spans="1:256" s="865" customFormat="1">
      <c r="A49" s="921"/>
      <c r="B49" s="919"/>
      <c r="C49" s="919"/>
      <c r="D49" s="826"/>
      <c r="E49" s="854"/>
      <c r="F49" s="854"/>
      <c r="G49" s="854"/>
      <c r="H49" s="854"/>
      <c r="I49" s="700"/>
      <c r="J49" s="700"/>
      <c r="K49" s="700"/>
      <c r="L49" s="700"/>
      <c r="M49" s="829"/>
      <c r="N49" s="824"/>
      <c r="O49" s="790"/>
      <c r="P49" s="863"/>
      <c r="Q49" s="871"/>
      <c r="R49" s="863"/>
      <c r="S49" s="863"/>
    </row>
    <row r="50" spans="1:256" s="865" customFormat="1" ht="22.5">
      <c r="A50" s="921" t="s">
        <v>11844</v>
      </c>
      <c r="B50" s="850" t="s">
        <v>70</v>
      </c>
      <c r="C50" s="850" t="s">
        <v>19263</v>
      </c>
      <c r="D50" s="836" t="str">
        <f>PROPER(IF(B50="Saneago",VLOOKUP(C50,'SANEAGO-FEV.2016'!A:B,2,0),IF(B50="SINAPI",VLOOKUP(C50,'SINAPI-FEV.2017'!A:D,2,0),IF(B50="Cotação",VLOOKUP(C50,COTAÇÃO!A:D,2,0),IF(B50="Composição",VLOOKUP(C50,COMPOSIÇÃO!A:D,2,0))))))</f>
        <v>Locacao Convencional De Obra, Através De Gabarito De Tabuas Corridas Pontaletadas A Cada 1,50M, Sem Reaproveitamento</v>
      </c>
      <c r="E50" s="837"/>
      <c r="F50" s="837"/>
      <c r="G50" s="852"/>
      <c r="H50" s="852"/>
      <c r="I50" s="852"/>
      <c r="J50" s="852"/>
      <c r="K50" s="856" t="s">
        <v>27</v>
      </c>
      <c r="L50" s="856" t="s">
        <v>21</v>
      </c>
      <c r="M50" s="840">
        <f>SUM(M41:M49)</f>
        <v>59.600099999999998</v>
      </c>
      <c r="N50" s="824"/>
      <c r="O50" s="790"/>
      <c r="P50" s="863"/>
      <c r="Q50" s="871"/>
      <c r="R50" s="863"/>
      <c r="S50" s="863"/>
    </row>
    <row r="51" spans="1:256" s="865" customFormat="1" ht="11.25" customHeight="1" thickBot="1">
      <c r="A51" s="961"/>
      <c r="B51" s="898"/>
      <c r="C51" s="898"/>
      <c r="D51" s="826"/>
      <c r="E51" s="790"/>
      <c r="F51" s="790"/>
      <c r="G51" s="970"/>
      <c r="H51" s="970"/>
      <c r="I51" s="970"/>
      <c r="J51" s="970"/>
      <c r="K51" s="971"/>
      <c r="L51" s="971"/>
      <c r="M51" s="902"/>
      <c r="N51" s="972"/>
      <c r="O51" s="973"/>
      <c r="P51" s="974"/>
      <c r="Q51" s="975"/>
      <c r="R51" s="974"/>
      <c r="S51" s="974"/>
      <c r="T51" s="974"/>
      <c r="U51" s="974"/>
      <c r="V51" s="974"/>
      <c r="W51" s="974"/>
      <c r="X51" s="974"/>
      <c r="Y51" s="974"/>
      <c r="Z51" s="974"/>
      <c r="AA51" s="974"/>
      <c r="AB51" s="974"/>
      <c r="AC51" s="974"/>
      <c r="AD51" s="974"/>
      <c r="AE51" s="974"/>
      <c r="AF51" s="974"/>
      <c r="AG51" s="974"/>
      <c r="AH51" s="974"/>
      <c r="AI51" s="974"/>
      <c r="AJ51" s="974"/>
      <c r="AK51" s="974"/>
      <c r="AL51" s="974"/>
      <c r="AM51" s="974"/>
      <c r="AN51" s="974"/>
      <c r="AO51" s="974"/>
      <c r="AP51" s="974"/>
      <c r="AQ51" s="974"/>
      <c r="AR51" s="974"/>
      <c r="AS51" s="974"/>
      <c r="AT51" s="974"/>
      <c r="AU51" s="974"/>
      <c r="AV51" s="974"/>
      <c r="AW51" s="974"/>
      <c r="AX51" s="974"/>
      <c r="AY51" s="974"/>
      <c r="AZ51" s="974"/>
      <c r="BA51" s="974"/>
      <c r="BB51" s="974"/>
      <c r="BC51" s="974"/>
      <c r="BD51" s="974"/>
      <c r="BE51" s="974"/>
      <c r="BF51" s="974"/>
      <c r="BG51" s="974"/>
      <c r="BH51" s="974"/>
      <c r="BI51" s="974"/>
      <c r="BJ51" s="974"/>
      <c r="BK51" s="974"/>
      <c r="BL51" s="974"/>
      <c r="BM51" s="974"/>
      <c r="BN51" s="974"/>
      <c r="BO51" s="974"/>
      <c r="BP51" s="974"/>
      <c r="BQ51" s="974"/>
      <c r="BR51" s="974"/>
      <c r="BS51" s="974"/>
      <c r="BT51" s="974"/>
      <c r="BU51" s="974"/>
      <c r="BV51" s="974"/>
      <c r="BW51" s="974"/>
      <c r="BX51" s="974"/>
      <c r="BY51" s="974"/>
      <c r="BZ51" s="974"/>
      <c r="CA51" s="974"/>
      <c r="CB51" s="974"/>
      <c r="CC51" s="974"/>
      <c r="CD51" s="974"/>
      <c r="CE51" s="974"/>
      <c r="CF51" s="974"/>
      <c r="CG51" s="974"/>
      <c r="CH51" s="974"/>
      <c r="CI51" s="974"/>
      <c r="CJ51" s="974"/>
      <c r="CK51" s="974"/>
      <c r="CL51" s="974"/>
      <c r="CM51" s="974"/>
      <c r="CN51" s="974"/>
      <c r="CO51" s="974"/>
      <c r="CP51" s="974"/>
      <c r="CQ51" s="974"/>
      <c r="CR51" s="974"/>
      <c r="CS51" s="974"/>
      <c r="CT51" s="974"/>
      <c r="CU51" s="974"/>
      <c r="CV51" s="974"/>
      <c r="CW51" s="974"/>
      <c r="CX51" s="974"/>
      <c r="CY51" s="974"/>
      <c r="CZ51" s="974"/>
      <c r="DA51" s="974"/>
      <c r="DB51" s="974"/>
      <c r="DC51" s="974"/>
      <c r="DD51" s="974"/>
      <c r="DE51" s="974"/>
      <c r="DF51" s="974"/>
      <c r="DG51" s="974"/>
      <c r="DH51" s="974"/>
      <c r="DI51" s="974"/>
      <c r="DJ51" s="974"/>
      <c r="DK51" s="974"/>
      <c r="DL51" s="974"/>
      <c r="DM51" s="974"/>
      <c r="DN51" s="974"/>
      <c r="DO51" s="974"/>
      <c r="DP51" s="974"/>
      <c r="DQ51" s="974"/>
      <c r="DR51" s="974"/>
      <c r="DS51" s="974"/>
      <c r="DT51" s="974"/>
      <c r="DU51" s="974"/>
      <c r="DV51" s="974"/>
      <c r="DW51" s="974"/>
      <c r="DX51" s="974"/>
      <c r="DY51" s="974"/>
      <c r="DZ51" s="974"/>
      <c r="EA51" s="974"/>
      <c r="EB51" s="974"/>
      <c r="EC51" s="974"/>
      <c r="ED51" s="974"/>
      <c r="EE51" s="974"/>
      <c r="EF51" s="974"/>
      <c r="EG51" s="974"/>
      <c r="EH51" s="974"/>
      <c r="EI51" s="974"/>
      <c r="EJ51" s="974"/>
      <c r="EK51" s="974"/>
      <c r="EL51" s="974"/>
      <c r="EM51" s="974"/>
      <c r="EN51" s="974"/>
      <c r="EO51" s="974"/>
      <c r="EP51" s="974"/>
      <c r="EQ51" s="974"/>
      <c r="ER51" s="974"/>
      <c r="ES51" s="974"/>
      <c r="ET51" s="974"/>
      <c r="EU51" s="974"/>
      <c r="EV51" s="974"/>
      <c r="EW51" s="974"/>
      <c r="EX51" s="974"/>
      <c r="EY51" s="974"/>
      <c r="EZ51" s="974"/>
      <c r="FA51" s="974"/>
      <c r="FB51" s="974"/>
      <c r="FC51" s="974"/>
      <c r="FD51" s="974"/>
      <c r="FE51" s="974"/>
      <c r="FF51" s="974"/>
      <c r="FG51" s="974"/>
      <c r="FH51" s="974"/>
      <c r="FI51" s="974"/>
      <c r="FJ51" s="974"/>
      <c r="FK51" s="974"/>
      <c r="FL51" s="974"/>
      <c r="FM51" s="974"/>
      <c r="FN51" s="974"/>
      <c r="FO51" s="974"/>
      <c r="FP51" s="974"/>
      <c r="FQ51" s="974"/>
      <c r="FR51" s="974"/>
      <c r="FS51" s="974"/>
      <c r="FT51" s="974"/>
      <c r="FU51" s="974"/>
      <c r="FV51" s="974"/>
      <c r="FW51" s="974"/>
      <c r="FX51" s="974"/>
      <c r="FY51" s="974"/>
      <c r="FZ51" s="974"/>
      <c r="GA51" s="974"/>
      <c r="GB51" s="974"/>
      <c r="GC51" s="974"/>
      <c r="GD51" s="974"/>
      <c r="GE51" s="974"/>
      <c r="GF51" s="974"/>
      <c r="GG51" s="974"/>
      <c r="GH51" s="974"/>
      <c r="GI51" s="974"/>
      <c r="GJ51" s="974"/>
      <c r="GK51" s="974"/>
      <c r="GL51" s="974"/>
      <c r="GM51" s="974"/>
      <c r="GN51" s="974"/>
      <c r="GO51" s="974"/>
      <c r="GP51" s="974"/>
      <c r="GQ51" s="974"/>
      <c r="GR51" s="974"/>
      <c r="GS51" s="974"/>
      <c r="GT51" s="974"/>
      <c r="GU51" s="974"/>
      <c r="GV51" s="974"/>
      <c r="GW51" s="974"/>
      <c r="GX51" s="974"/>
      <c r="GY51" s="974"/>
      <c r="GZ51" s="974"/>
      <c r="HA51" s="974"/>
      <c r="HB51" s="974"/>
      <c r="HC51" s="974"/>
      <c r="HD51" s="974"/>
      <c r="HE51" s="974"/>
      <c r="HF51" s="974"/>
      <c r="HG51" s="974"/>
      <c r="HH51" s="974"/>
      <c r="HI51" s="974"/>
      <c r="HJ51" s="974"/>
      <c r="HK51" s="974"/>
      <c r="HL51" s="974"/>
      <c r="HM51" s="974"/>
      <c r="HN51" s="974"/>
      <c r="HO51" s="974"/>
      <c r="HP51" s="974"/>
      <c r="HQ51" s="974"/>
      <c r="HR51" s="974"/>
      <c r="HS51" s="974"/>
      <c r="HT51" s="974"/>
      <c r="HU51" s="974"/>
      <c r="HV51" s="974"/>
      <c r="HW51" s="974"/>
      <c r="HX51" s="974"/>
      <c r="HY51" s="974"/>
      <c r="HZ51" s="974"/>
      <c r="IA51" s="974"/>
      <c r="IB51" s="974"/>
      <c r="IC51" s="974"/>
      <c r="ID51" s="974"/>
      <c r="IE51" s="974"/>
      <c r="IF51" s="974"/>
      <c r="IG51" s="974"/>
      <c r="IH51" s="974"/>
      <c r="II51" s="974"/>
      <c r="IJ51" s="974"/>
      <c r="IK51" s="974"/>
      <c r="IL51" s="974"/>
      <c r="IM51" s="974"/>
      <c r="IN51" s="974"/>
      <c r="IO51" s="974"/>
      <c r="IP51" s="974"/>
      <c r="IQ51" s="974"/>
      <c r="IR51" s="974"/>
      <c r="IS51" s="974"/>
      <c r="IT51" s="974"/>
      <c r="IU51" s="974"/>
      <c r="IV51" s="974"/>
    </row>
    <row r="52" spans="1:256" s="865" customFormat="1" ht="13.5" customHeight="1" thickTop="1" thickBot="1">
      <c r="A52" s="961"/>
      <c r="B52" s="898"/>
      <c r="C52" s="976"/>
      <c r="D52" s="977" t="s">
        <v>49</v>
      </c>
      <c r="E52" s="978"/>
      <c r="F52" s="978"/>
      <c r="G52" s="978"/>
      <c r="H52" s="978"/>
      <c r="I52" s="978"/>
      <c r="J52" s="978"/>
      <c r="K52" s="978"/>
      <c r="L52" s="979" t="s">
        <v>25</v>
      </c>
      <c r="M52" s="980" t="s">
        <v>27</v>
      </c>
      <c r="N52" s="972"/>
      <c r="O52" s="973"/>
      <c r="P52" s="974"/>
      <c r="Q52" s="975"/>
      <c r="R52" s="974"/>
      <c r="S52" s="974"/>
      <c r="T52" s="974"/>
      <c r="U52" s="974"/>
      <c r="V52" s="974"/>
      <c r="W52" s="974"/>
      <c r="X52" s="974"/>
      <c r="Y52" s="974"/>
      <c r="Z52" s="974"/>
      <c r="AA52" s="974"/>
      <c r="AB52" s="974"/>
      <c r="AC52" s="974"/>
      <c r="AD52" s="974"/>
      <c r="AE52" s="974"/>
      <c r="AF52" s="974"/>
      <c r="AG52" s="974"/>
      <c r="AH52" s="974"/>
      <c r="AI52" s="974"/>
      <c r="AJ52" s="974"/>
      <c r="AK52" s="974"/>
      <c r="AL52" s="974"/>
      <c r="AM52" s="974"/>
      <c r="AN52" s="974"/>
      <c r="AO52" s="974"/>
      <c r="AP52" s="974"/>
      <c r="AQ52" s="974"/>
      <c r="AR52" s="974"/>
      <c r="AS52" s="974"/>
      <c r="AT52" s="974"/>
      <c r="AU52" s="974"/>
      <c r="AV52" s="974"/>
      <c r="AW52" s="974"/>
      <c r="AX52" s="974"/>
      <c r="AY52" s="974"/>
      <c r="AZ52" s="974"/>
      <c r="BA52" s="974"/>
      <c r="BB52" s="974"/>
      <c r="BC52" s="974"/>
      <c r="BD52" s="974"/>
      <c r="BE52" s="974"/>
      <c r="BF52" s="974"/>
      <c r="BG52" s="974"/>
      <c r="BH52" s="974"/>
      <c r="BI52" s="974"/>
      <c r="BJ52" s="974"/>
      <c r="BK52" s="974"/>
      <c r="BL52" s="974"/>
      <c r="BM52" s="974"/>
      <c r="BN52" s="974"/>
      <c r="BO52" s="974"/>
      <c r="BP52" s="974"/>
      <c r="BQ52" s="974"/>
      <c r="BR52" s="974"/>
      <c r="BS52" s="974"/>
      <c r="BT52" s="974"/>
      <c r="BU52" s="974"/>
      <c r="BV52" s="974"/>
      <c r="BW52" s="974"/>
      <c r="BX52" s="974"/>
      <c r="BY52" s="974"/>
      <c r="BZ52" s="974"/>
      <c r="CA52" s="974"/>
      <c r="CB52" s="974"/>
      <c r="CC52" s="974"/>
      <c r="CD52" s="974"/>
      <c r="CE52" s="974"/>
      <c r="CF52" s="974"/>
      <c r="CG52" s="974"/>
      <c r="CH52" s="974"/>
      <c r="CI52" s="974"/>
      <c r="CJ52" s="974"/>
      <c r="CK52" s="974"/>
      <c r="CL52" s="974"/>
      <c r="CM52" s="974"/>
      <c r="CN52" s="974"/>
      <c r="CO52" s="974"/>
      <c r="CP52" s="974"/>
      <c r="CQ52" s="974"/>
      <c r="CR52" s="974"/>
      <c r="CS52" s="974"/>
      <c r="CT52" s="974"/>
      <c r="CU52" s="974"/>
      <c r="CV52" s="974"/>
      <c r="CW52" s="974"/>
      <c r="CX52" s="974"/>
      <c r="CY52" s="974"/>
      <c r="CZ52" s="974"/>
      <c r="DA52" s="974"/>
      <c r="DB52" s="974"/>
      <c r="DC52" s="974"/>
      <c r="DD52" s="974"/>
      <c r="DE52" s="974"/>
      <c r="DF52" s="974"/>
      <c r="DG52" s="974"/>
      <c r="DH52" s="974"/>
      <c r="DI52" s="974"/>
      <c r="DJ52" s="974"/>
      <c r="DK52" s="974"/>
      <c r="DL52" s="974"/>
      <c r="DM52" s="974"/>
      <c r="DN52" s="974"/>
      <c r="DO52" s="974"/>
      <c r="DP52" s="974"/>
      <c r="DQ52" s="974"/>
      <c r="DR52" s="974"/>
      <c r="DS52" s="974"/>
      <c r="DT52" s="974"/>
      <c r="DU52" s="974"/>
      <c r="DV52" s="974"/>
      <c r="DW52" s="974"/>
      <c r="DX52" s="974"/>
      <c r="DY52" s="974"/>
      <c r="DZ52" s="974"/>
      <c r="EA52" s="974"/>
      <c r="EB52" s="974"/>
      <c r="EC52" s="974"/>
      <c r="ED52" s="974"/>
      <c r="EE52" s="974"/>
      <c r="EF52" s="974"/>
      <c r="EG52" s="974"/>
      <c r="EH52" s="974"/>
      <c r="EI52" s="974"/>
      <c r="EJ52" s="974"/>
      <c r="EK52" s="974"/>
      <c r="EL52" s="974"/>
      <c r="EM52" s="974"/>
      <c r="EN52" s="974"/>
      <c r="EO52" s="974"/>
      <c r="EP52" s="974"/>
      <c r="EQ52" s="974"/>
      <c r="ER52" s="974"/>
      <c r="ES52" s="974"/>
      <c r="ET52" s="974"/>
      <c r="EU52" s="974"/>
      <c r="EV52" s="974"/>
      <c r="EW52" s="974"/>
      <c r="EX52" s="974"/>
      <c r="EY52" s="974"/>
      <c r="EZ52" s="974"/>
      <c r="FA52" s="974"/>
      <c r="FB52" s="974"/>
      <c r="FC52" s="974"/>
      <c r="FD52" s="974"/>
      <c r="FE52" s="974"/>
      <c r="FF52" s="974"/>
      <c r="FG52" s="974"/>
      <c r="FH52" s="974"/>
      <c r="FI52" s="974"/>
      <c r="FJ52" s="974"/>
      <c r="FK52" s="974"/>
      <c r="FL52" s="974"/>
      <c r="FM52" s="974"/>
      <c r="FN52" s="974"/>
      <c r="FO52" s="974"/>
      <c r="FP52" s="974"/>
      <c r="FQ52" s="974"/>
      <c r="FR52" s="974"/>
      <c r="FS52" s="974"/>
      <c r="FT52" s="974"/>
      <c r="FU52" s="974"/>
      <c r="FV52" s="974"/>
      <c r="FW52" s="974"/>
      <c r="FX52" s="974"/>
      <c r="FY52" s="974"/>
      <c r="FZ52" s="974"/>
      <c r="GA52" s="974"/>
      <c r="GB52" s="974"/>
      <c r="GC52" s="974"/>
      <c r="GD52" s="974"/>
      <c r="GE52" s="974"/>
      <c r="GF52" s="974"/>
      <c r="GG52" s="974"/>
      <c r="GH52" s="974"/>
      <c r="GI52" s="974"/>
      <c r="GJ52" s="974"/>
      <c r="GK52" s="974"/>
      <c r="GL52" s="974"/>
      <c r="GM52" s="974"/>
      <c r="GN52" s="974"/>
      <c r="GO52" s="974"/>
      <c r="GP52" s="974"/>
      <c r="GQ52" s="974"/>
      <c r="GR52" s="974"/>
      <c r="GS52" s="974"/>
      <c r="GT52" s="974"/>
      <c r="GU52" s="974"/>
      <c r="GV52" s="974"/>
      <c r="GW52" s="974"/>
      <c r="GX52" s="974"/>
      <c r="GY52" s="974"/>
      <c r="GZ52" s="974"/>
      <c r="HA52" s="974"/>
      <c r="HB52" s="974"/>
      <c r="HC52" s="974"/>
      <c r="HD52" s="974"/>
      <c r="HE52" s="974"/>
      <c r="HF52" s="974"/>
      <c r="HG52" s="974"/>
      <c r="HH52" s="974"/>
      <c r="HI52" s="974"/>
      <c r="HJ52" s="974"/>
      <c r="HK52" s="974"/>
      <c r="HL52" s="974"/>
      <c r="HM52" s="974"/>
      <c r="HN52" s="974"/>
      <c r="HO52" s="974"/>
      <c r="HP52" s="974"/>
      <c r="HQ52" s="974"/>
      <c r="HR52" s="974"/>
      <c r="HS52" s="974"/>
      <c r="HT52" s="974"/>
      <c r="HU52" s="974"/>
      <c r="HV52" s="974"/>
      <c r="HW52" s="974"/>
      <c r="HX52" s="974"/>
      <c r="HY52" s="974"/>
      <c r="HZ52" s="974"/>
      <c r="IA52" s="974"/>
      <c r="IB52" s="974"/>
      <c r="IC52" s="974"/>
      <c r="ID52" s="974"/>
      <c r="IE52" s="974"/>
      <c r="IF52" s="974"/>
      <c r="IG52" s="974"/>
      <c r="IH52" s="974"/>
      <c r="II52" s="974"/>
      <c r="IJ52" s="974"/>
      <c r="IK52" s="974"/>
      <c r="IL52" s="974"/>
      <c r="IM52" s="974"/>
      <c r="IN52" s="974"/>
      <c r="IO52" s="974"/>
      <c r="IP52" s="974"/>
      <c r="IQ52" s="974"/>
      <c r="IR52" s="974"/>
      <c r="IS52" s="974"/>
      <c r="IT52" s="974"/>
      <c r="IU52" s="974"/>
      <c r="IV52" s="974"/>
    </row>
    <row r="53" spans="1:256" s="865" customFormat="1" ht="11.25" customHeight="1" thickTop="1">
      <c r="A53" s="961"/>
      <c r="B53" s="898"/>
      <c r="C53" s="976"/>
      <c r="D53" s="981"/>
      <c r="E53" s="982"/>
      <c r="F53" s="982"/>
      <c r="G53" s="970" t="s">
        <v>30</v>
      </c>
      <c r="H53" s="970" t="s">
        <v>1275</v>
      </c>
      <c r="I53" s="970" t="s">
        <v>17</v>
      </c>
      <c r="J53" s="970" t="s">
        <v>19</v>
      </c>
      <c r="K53" s="970" t="s">
        <v>32</v>
      </c>
      <c r="L53" s="983"/>
      <c r="M53" s="984"/>
      <c r="N53" s="972"/>
      <c r="O53" s="973"/>
      <c r="P53" s="974"/>
      <c r="Q53" s="975"/>
      <c r="R53" s="974"/>
      <c r="S53" s="974"/>
      <c r="T53" s="974"/>
      <c r="U53" s="974"/>
      <c r="V53" s="974"/>
      <c r="W53" s="974"/>
      <c r="X53" s="974"/>
      <c r="Y53" s="974"/>
      <c r="Z53" s="974"/>
      <c r="AA53" s="974"/>
      <c r="AB53" s="974"/>
      <c r="AC53" s="974"/>
      <c r="AD53" s="974"/>
      <c r="AE53" s="974"/>
      <c r="AF53" s="974"/>
      <c r="AG53" s="974"/>
      <c r="AH53" s="974"/>
      <c r="AI53" s="974"/>
      <c r="AJ53" s="974"/>
      <c r="AK53" s="974"/>
      <c r="AL53" s="974"/>
      <c r="AM53" s="974"/>
      <c r="AN53" s="974"/>
      <c r="AO53" s="974"/>
      <c r="AP53" s="974"/>
      <c r="AQ53" s="974"/>
      <c r="AR53" s="974"/>
      <c r="AS53" s="974"/>
      <c r="AT53" s="974"/>
      <c r="AU53" s="974"/>
      <c r="AV53" s="974"/>
      <c r="AW53" s="974"/>
      <c r="AX53" s="974"/>
      <c r="AY53" s="974"/>
      <c r="AZ53" s="974"/>
      <c r="BA53" s="974"/>
      <c r="BB53" s="974"/>
      <c r="BC53" s="974"/>
      <c r="BD53" s="974"/>
      <c r="BE53" s="974"/>
      <c r="BF53" s="974"/>
      <c r="BG53" s="974"/>
      <c r="BH53" s="974"/>
      <c r="BI53" s="974"/>
      <c r="BJ53" s="974"/>
      <c r="BK53" s="974"/>
      <c r="BL53" s="974"/>
      <c r="BM53" s="974"/>
      <c r="BN53" s="974"/>
      <c r="BO53" s="974"/>
      <c r="BP53" s="974"/>
      <c r="BQ53" s="974"/>
      <c r="BR53" s="974"/>
      <c r="BS53" s="974"/>
      <c r="BT53" s="974"/>
      <c r="BU53" s="974"/>
      <c r="BV53" s="974"/>
      <c r="BW53" s="974"/>
      <c r="BX53" s="974"/>
      <c r="BY53" s="974"/>
      <c r="BZ53" s="974"/>
      <c r="CA53" s="974"/>
      <c r="CB53" s="974"/>
      <c r="CC53" s="974"/>
      <c r="CD53" s="974"/>
      <c r="CE53" s="974"/>
      <c r="CF53" s="974"/>
      <c r="CG53" s="974"/>
      <c r="CH53" s="974"/>
      <c r="CI53" s="974"/>
      <c r="CJ53" s="974"/>
      <c r="CK53" s="974"/>
      <c r="CL53" s="974"/>
      <c r="CM53" s="974"/>
      <c r="CN53" s="974"/>
      <c r="CO53" s="974"/>
      <c r="CP53" s="974"/>
      <c r="CQ53" s="974"/>
      <c r="CR53" s="974"/>
      <c r="CS53" s="974"/>
      <c r="CT53" s="974"/>
      <c r="CU53" s="974"/>
      <c r="CV53" s="974"/>
      <c r="CW53" s="974"/>
      <c r="CX53" s="974"/>
      <c r="CY53" s="974"/>
      <c r="CZ53" s="974"/>
      <c r="DA53" s="974"/>
      <c r="DB53" s="974"/>
      <c r="DC53" s="974"/>
      <c r="DD53" s="974"/>
      <c r="DE53" s="974"/>
      <c r="DF53" s="974"/>
      <c r="DG53" s="974"/>
      <c r="DH53" s="974"/>
      <c r="DI53" s="974"/>
      <c r="DJ53" s="974"/>
      <c r="DK53" s="974"/>
      <c r="DL53" s="974"/>
      <c r="DM53" s="974"/>
      <c r="DN53" s="974"/>
      <c r="DO53" s="974"/>
      <c r="DP53" s="974"/>
      <c r="DQ53" s="974"/>
      <c r="DR53" s="974"/>
      <c r="DS53" s="974"/>
      <c r="DT53" s="974"/>
      <c r="DU53" s="974"/>
      <c r="DV53" s="974"/>
      <c r="DW53" s="974"/>
      <c r="DX53" s="974"/>
      <c r="DY53" s="974"/>
      <c r="DZ53" s="974"/>
      <c r="EA53" s="974"/>
      <c r="EB53" s="974"/>
      <c r="EC53" s="974"/>
      <c r="ED53" s="974"/>
      <c r="EE53" s="974"/>
      <c r="EF53" s="974"/>
      <c r="EG53" s="974"/>
      <c r="EH53" s="974"/>
      <c r="EI53" s="974"/>
      <c r="EJ53" s="974"/>
      <c r="EK53" s="974"/>
      <c r="EL53" s="974"/>
      <c r="EM53" s="974"/>
      <c r="EN53" s="974"/>
      <c r="EO53" s="974"/>
      <c r="EP53" s="974"/>
      <c r="EQ53" s="974"/>
      <c r="ER53" s="974"/>
      <c r="ES53" s="974"/>
      <c r="ET53" s="974"/>
      <c r="EU53" s="974"/>
      <c r="EV53" s="974"/>
      <c r="EW53" s="974"/>
      <c r="EX53" s="974"/>
      <c r="EY53" s="974"/>
      <c r="EZ53" s="974"/>
      <c r="FA53" s="974"/>
      <c r="FB53" s="974"/>
      <c r="FC53" s="974"/>
      <c r="FD53" s="974"/>
      <c r="FE53" s="974"/>
      <c r="FF53" s="974"/>
      <c r="FG53" s="974"/>
      <c r="FH53" s="974"/>
      <c r="FI53" s="974"/>
      <c r="FJ53" s="974"/>
      <c r="FK53" s="974"/>
      <c r="FL53" s="974"/>
      <c r="FM53" s="974"/>
      <c r="FN53" s="974"/>
      <c r="FO53" s="974"/>
      <c r="FP53" s="974"/>
      <c r="FQ53" s="974"/>
      <c r="FR53" s="974"/>
      <c r="FS53" s="974"/>
      <c r="FT53" s="974"/>
      <c r="FU53" s="974"/>
      <c r="FV53" s="974"/>
      <c r="FW53" s="974"/>
      <c r="FX53" s="974"/>
      <c r="FY53" s="974"/>
      <c r="FZ53" s="974"/>
      <c r="GA53" s="974"/>
      <c r="GB53" s="974"/>
      <c r="GC53" s="974"/>
      <c r="GD53" s="974"/>
      <c r="GE53" s="974"/>
      <c r="GF53" s="974"/>
      <c r="GG53" s="974"/>
      <c r="GH53" s="974"/>
      <c r="GI53" s="974"/>
      <c r="GJ53" s="974"/>
      <c r="GK53" s="974"/>
      <c r="GL53" s="974"/>
      <c r="GM53" s="974"/>
      <c r="GN53" s="974"/>
      <c r="GO53" s="974"/>
      <c r="GP53" s="974"/>
      <c r="GQ53" s="974"/>
      <c r="GR53" s="974"/>
      <c r="GS53" s="974"/>
      <c r="GT53" s="974"/>
      <c r="GU53" s="974"/>
      <c r="GV53" s="974"/>
      <c r="GW53" s="974"/>
      <c r="GX53" s="974"/>
      <c r="GY53" s="974"/>
      <c r="GZ53" s="974"/>
      <c r="HA53" s="974"/>
      <c r="HB53" s="974"/>
      <c r="HC53" s="974"/>
      <c r="HD53" s="974"/>
      <c r="HE53" s="974"/>
      <c r="HF53" s="974"/>
      <c r="HG53" s="974"/>
      <c r="HH53" s="974"/>
      <c r="HI53" s="974"/>
      <c r="HJ53" s="974"/>
      <c r="HK53" s="974"/>
      <c r="HL53" s="974"/>
      <c r="HM53" s="974"/>
      <c r="HN53" s="974"/>
      <c r="HO53" s="974"/>
      <c r="HP53" s="974"/>
      <c r="HQ53" s="974"/>
      <c r="HR53" s="974"/>
      <c r="HS53" s="974"/>
      <c r="HT53" s="974"/>
      <c r="HU53" s="974"/>
      <c r="HV53" s="974"/>
      <c r="HW53" s="974"/>
      <c r="HX53" s="974"/>
      <c r="HY53" s="974"/>
      <c r="HZ53" s="974"/>
      <c r="IA53" s="974"/>
      <c r="IB53" s="974"/>
      <c r="IC53" s="974"/>
      <c r="ID53" s="974"/>
      <c r="IE53" s="974"/>
      <c r="IF53" s="974"/>
      <c r="IG53" s="974"/>
      <c r="IH53" s="974"/>
      <c r="II53" s="974"/>
      <c r="IJ53" s="974"/>
      <c r="IK53" s="974"/>
      <c r="IL53" s="974"/>
      <c r="IM53" s="974"/>
      <c r="IN53" s="974"/>
      <c r="IO53" s="974"/>
      <c r="IP53" s="974"/>
      <c r="IQ53" s="974"/>
      <c r="IR53" s="974"/>
      <c r="IS53" s="974"/>
      <c r="IT53" s="974"/>
      <c r="IU53" s="974"/>
      <c r="IV53" s="974"/>
    </row>
    <row r="54" spans="1:256" s="865" customFormat="1" ht="11.25" customHeight="1">
      <c r="A54" s="961"/>
      <c r="B54" s="898"/>
      <c r="C54" s="976"/>
      <c r="D54" s="981"/>
      <c r="E54" s="1674" t="s">
        <v>11837</v>
      </c>
      <c r="F54" s="1674"/>
      <c r="G54" s="1674"/>
      <c r="H54" s="700">
        <f>I41</f>
        <v>6</v>
      </c>
      <c r="I54" s="828">
        <v>1.48</v>
      </c>
      <c r="J54" s="828">
        <v>1.48</v>
      </c>
      <c r="K54" s="970">
        <v>0.2</v>
      </c>
      <c r="L54" s="985" t="s">
        <v>19797</v>
      </c>
      <c r="M54" s="986">
        <f>I54*J54*H54</f>
        <v>13.142399999999999</v>
      </c>
      <c r="N54" s="972"/>
      <c r="O54" s="973"/>
      <c r="P54" s="974"/>
      <c r="Q54" s="975"/>
      <c r="R54" s="974"/>
      <c r="S54" s="974"/>
      <c r="T54" s="974"/>
      <c r="U54" s="974"/>
      <c r="V54" s="974"/>
      <c r="W54" s="974"/>
      <c r="X54" s="974"/>
      <c r="Y54" s="974"/>
      <c r="Z54" s="974"/>
      <c r="AA54" s="974"/>
      <c r="AB54" s="974"/>
      <c r="AC54" s="974"/>
      <c r="AD54" s="974"/>
      <c r="AE54" s="974"/>
      <c r="AF54" s="974"/>
      <c r="AG54" s="974"/>
      <c r="AH54" s="974"/>
      <c r="AI54" s="974"/>
      <c r="AJ54" s="974"/>
      <c r="AK54" s="974"/>
      <c r="AL54" s="974"/>
      <c r="AM54" s="974"/>
      <c r="AN54" s="974"/>
      <c r="AO54" s="974"/>
      <c r="AP54" s="974"/>
      <c r="AQ54" s="974"/>
      <c r="AR54" s="974"/>
      <c r="AS54" s="974"/>
      <c r="AT54" s="974"/>
      <c r="AU54" s="974"/>
      <c r="AV54" s="974"/>
      <c r="AW54" s="974"/>
      <c r="AX54" s="974"/>
      <c r="AY54" s="974"/>
      <c r="AZ54" s="974"/>
      <c r="BA54" s="974"/>
      <c r="BB54" s="974"/>
      <c r="BC54" s="974"/>
      <c r="BD54" s="974"/>
      <c r="BE54" s="974"/>
      <c r="BF54" s="974"/>
      <c r="BG54" s="974"/>
      <c r="BH54" s="974"/>
      <c r="BI54" s="974"/>
      <c r="BJ54" s="974"/>
      <c r="BK54" s="974"/>
      <c r="BL54" s="974"/>
      <c r="BM54" s="974"/>
      <c r="BN54" s="974"/>
      <c r="BO54" s="974"/>
      <c r="BP54" s="974"/>
      <c r="BQ54" s="974"/>
      <c r="BR54" s="974"/>
      <c r="BS54" s="974"/>
      <c r="BT54" s="974"/>
      <c r="BU54" s="974"/>
      <c r="BV54" s="974"/>
      <c r="BW54" s="974"/>
      <c r="BX54" s="974"/>
      <c r="BY54" s="974"/>
      <c r="BZ54" s="974"/>
      <c r="CA54" s="974"/>
      <c r="CB54" s="974"/>
      <c r="CC54" s="974"/>
      <c r="CD54" s="974"/>
      <c r="CE54" s="974"/>
      <c r="CF54" s="974"/>
      <c r="CG54" s="974"/>
      <c r="CH54" s="974"/>
      <c r="CI54" s="974"/>
      <c r="CJ54" s="974"/>
      <c r="CK54" s="974"/>
      <c r="CL54" s="974"/>
      <c r="CM54" s="974"/>
      <c r="CN54" s="974"/>
      <c r="CO54" s="974"/>
      <c r="CP54" s="974"/>
      <c r="CQ54" s="974"/>
      <c r="CR54" s="974"/>
      <c r="CS54" s="974"/>
      <c r="CT54" s="974"/>
      <c r="CU54" s="974"/>
      <c r="CV54" s="974"/>
      <c r="CW54" s="974"/>
      <c r="CX54" s="974"/>
      <c r="CY54" s="974"/>
      <c r="CZ54" s="974"/>
      <c r="DA54" s="974"/>
      <c r="DB54" s="974"/>
      <c r="DC54" s="974"/>
      <c r="DD54" s="974"/>
      <c r="DE54" s="974"/>
      <c r="DF54" s="974"/>
      <c r="DG54" s="974"/>
      <c r="DH54" s="974"/>
      <c r="DI54" s="974"/>
      <c r="DJ54" s="974"/>
      <c r="DK54" s="974"/>
      <c r="DL54" s="974"/>
      <c r="DM54" s="974"/>
      <c r="DN54" s="974"/>
      <c r="DO54" s="974"/>
      <c r="DP54" s="974"/>
      <c r="DQ54" s="974"/>
      <c r="DR54" s="974"/>
      <c r="DS54" s="974"/>
      <c r="DT54" s="974"/>
      <c r="DU54" s="974"/>
      <c r="DV54" s="974"/>
      <c r="DW54" s="974"/>
      <c r="DX54" s="974"/>
      <c r="DY54" s="974"/>
      <c r="DZ54" s="974"/>
      <c r="EA54" s="974"/>
      <c r="EB54" s="974"/>
      <c r="EC54" s="974"/>
      <c r="ED54" s="974"/>
      <c r="EE54" s="974"/>
      <c r="EF54" s="974"/>
      <c r="EG54" s="974"/>
      <c r="EH54" s="974"/>
      <c r="EI54" s="974"/>
      <c r="EJ54" s="974"/>
      <c r="EK54" s="974"/>
      <c r="EL54" s="974"/>
      <c r="EM54" s="974"/>
      <c r="EN54" s="974"/>
      <c r="EO54" s="974"/>
      <c r="EP54" s="974"/>
      <c r="EQ54" s="974"/>
      <c r="ER54" s="974"/>
      <c r="ES54" s="974"/>
      <c r="ET54" s="974"/>
      <c r="EU54" s="974"/>
      <c r="EV54" s="974"/>
      <c r="EW54" s="974"/>
      <c r="EX54" s="974"/>
      <c r="EY54" s="974"/>
      <c r="EZ54" s="974"/>
      <c r="FA54" s="974"/>
      <c r="FB54" s="974"/>
      <c r="FC54" s="974"/>
      <c r="FD54" s="974"/>
      <c r="FE54" s="974"/>
      <c r="FF54" s="974"/>
      <c r="FG54" s="974"/>
      <c r="FH54" s="974"/>
      <c r="FI54" s="974"/>
      <c r="FJ54" s="974"/>
      <c r="FK54" s="974"/>
      <c r="FL54" s="974"/>
      <c r="FM54" s="974"/>
      <c r="FN54" s="974"/>
      <c r="FO54" s="974"/>
      <c r="FP54" s="974"/>
      <c r="FQ54" s="974"/>
      <c r="FR54" s="974"/>
      <c r="FS54" s="974"/>
      <c r="FT54" s="974"/>
      <c r="FU54" s="974"/>
      <c r="FV54" s="974"/>
      <c r="FW54" s="974"/>
      <c r="FX54" s="974"/>
      <c r="FY54" s="974"/>
      <c r="FZ54" s="974"/>
      <c r="GA54" s="974"/>
      <c r="GB54" s="974"/>
      <c r="GC54" s="974"/>
      <c r="GD54" s="974"/>
      <c r="GE54" s="974"/>
      <c r="GF54" s="974"/>
      <c r="GG54" s="974"/>
      <c r="GH54" s="974"/>
      <c r="GI54" s="974"/>
      <c r="GJ54" s="974"/>
      <c r="GK54" s="974"/>
      <c r="GL54" s="974"/>
      <c r="GM54" s="974"/>
      <c r="GN54" s="974"/>
      <c r="GO54" s="974"/>
      <c r="GP54" s="974"/>
      <c r="GQ54" s="974"/>
      <c r="GR54" s="974"/>
      <c r="GS54" s="974"/>
      <c r="GT54" s="974"/>
      <c r="GU54" s="974"/>
      <c r="GV54" s="974"/>
      <c r="GW54" s="974"/>
      <c r="GX54" s="974"/>
      <c r="GY54" s="974"/>
      <c r="GZ54" s="974"/>
      <c r="HA54" s="974"/>
      <c r="HB54" s="974"/>
      <c r="HC54" s="974"/>
      <c r="HD54" s="974"/>
      <c r="HE54" s="974"/>
      <c r="HF54" s="974"/>
      <c r="HG54" s="974"/>
      <c r="HH54" s="974"/>
      <c r="HI54" s="974"/>
      <c r="HJ54" s="974"/>
      <c r="HK54" s="974"/>
      <c r="HL54" s="974"/>
      <c r="HM54" s="974"/>
      <c r="HN54" s="974"/>
      <c r="HO54" s="974"/>
      <c r="HP54" s="974"/>
      <c r="HQ54" s="974"/>
      <c r="HR54" s="974"/>
      <c r="HS54" s="974"/>
      <c r="HT54" s="974"/>
      <c r="HU54" s="974"/>
      <c r="HV54" s="974"/>
      <c r="HW54" s="974"/>
      <c r="HX54" s="974"/>
      <c r="HY54" s="974"/>
      <c r="HZ54" s="974"/>
      <c r="IA54" s="974"/>
      <c r="IB54" s="974"/>
      <c r="IC54" s="974"/>
      <c r="ID54" s="974"/>
      <c r="IE54" s="974"/>
      <c r="IF54" s="974"/>
      <c r="IG54" s="974"/>
      <c r="IH54" s="974"/>
      <c r="II54" s="974"/>
      <c r="IJ54" s="974"/>
      <c r="IK54" s="974"/>
      <c r="IL54" s="974"/>
      <c r="IM54" s="974"/>
      <c r="IN54" s="974"/>
      <c r="IO54" s="974"/>
      <c r="IP54" s="974"/>
      <c r="IQ54" s="974"/>
      <c r="IR54" s="974"/>
      <c r="IS54" s="974"/>
      <c r="IT54" s="974"/>
      <c r="IU54" s="974"/>
      <c r="IV54" s="974"/>
    </row>
    <row r="55" spans="1:256" s="865" customFormat="1" ht="11.25" customHeight="1">
      <c r="A55" s="961"/>
      <c r="B55" s="898"/>
      <c r="C55" s="976"/>
      <c r="D55" s="981"/>
      <c r="E55" s="1674" t="s">
        <v>11920</v>
      </c>
      <c r="F55" s="1674"/>
      <c r="G55" s="1674"/>
      <c r="H55" s="700">
        <f>I42</f>
        <v>3</v>
      </c>
      <c r="I55" s="828">
        <v>1.48</v>
      </c>
      <c r="J55" s="828">
        <v>1.48</v>
      </c>
      <c r="K55" s="970">
        <v>0.2</v>
      </c>
      <c r="L55" s="985" t="s">
        <v>19797</v>
      </c>
      <c r="M55" s="986">
        <f t="shared" ref="M55:M62" si="3">I55*J55*H55</f>
        <v>6.5711999999999993</v>
      </c>
      <c r="N55" s="972"/>
      <c r="O55" s="973"/>
      <c r="P55" s="974"/>
      <c r="Q55" s="975"/>
      <c r="R55" s="974"/>
      <c r="S55" s="974"/>
      <c r="T55" s="974"/>
      <c r="U55" s="974"/>
      <c r="V55" s="974"/>
      <c r="W55" s="974"/>
      <c r="X55" s="974"/>
      <c r="Y55" s="974"/>
      <c r="Z55" s="974"/>
      <c r="AA55" s="974"/>
      <c r="AB55" s="974"/>
      <c r="AC55" s="974"/>
      <c r="AD55" s="974"/>
      <c r="AE55" s="974"/>
      <c r="AF55" s="974"/>
      <c r="AG55" s="974"/>
      <c r="AH55" s="974"/>
      <c r="AI55" s="974"/>
      <c r="AJ55" s="974"/>
      <c r="AK55" s="974"/>
      <c r="AL55" s="974"/>
      <c r="AM55" s="974"/>
      <c r="AN55" s="974"/>
      <c r="AO55" s="974"/>
      <c r="AP55" s="974"/>
      <c r="AQ55" s="974"/>
      <c r="AR55" s="974"/>
      <c r="AS55" s="974"/>
      <c r="AT55" s="974"/>
      <c r="AU55" s="974"/>
      <c r="AV55" s="974"/>
      <c r="AW55" s="974"/>
      <c r="AX55" s="974"/>
      <c r="AY55" s="974"/>
      <c r="AZ55" s="974"/>
      <c r="BA55" s="974"/>
      <c r="BB55" s="974"/>
      <c r="BC55" s="974"/>
      <c r="BD55" s="974"/>
      <c r="BE55" s="974"/>
      <c r="BF55" s="974"/>
      <c r="BG55" s="974"/>
      <c r="BH55" s="974"/>
      <c r="BI55" s="974"/>
      <c r="BJ55" s="974"/>
      <c r="BK55" s="974"/>
      <c r="BL55" s="974"/>
      <c r="BM55" s="974"/>
      <c r="BN55" s="974"/>
      <c r="BO55" s="974"/>
      <c r="BP55" s="974"/>
      <c r="BQ55" s="974"/>
      <c r="BR55" s="974"/>
      <c r="BS55" s="974"/>
      <c r="BT55" s="974"/>
      <c r="BU55" s="974"/>
      <c r="BV55" s="974"/>
      <c r="BW55" s="974"/>
      <c r="BX55" s="974"/>
      <c r="BY55" s="974"/>
      <c r="BZ55" s="974"/>
      <c r="CA55" s="974"/>
      <c r="CB55" s="974"/>
      <c r="CC55" s="974"/>
      <c r="CD55" s="974"/>
      <c r="CE55" s="974"/>
      <c r="CF55" s="974"/>
      <c r="CG55" s="974"/>
      <c r="CH55" s="974"/>
      <c r="CI55" s="974"/>
      <c r="CJ55" s="974"/>
      <c r="CK55" s="974"/>
      <c r="CL55" s="974"/>
      <c r="CM55" s="974"/>
      <c r="CN55" s="974"/>
      <c r="CO55" s="974"/>
      <c r="CP55" s="974"/>
      <c r="CQ55" s="974"/>
      <c r="CR55" s="974"/>
      <c r="CS55" s="974"/>
      <c r="CT55" s="974"/>
      <c r="CU55" s="974"/>
      <c r="CV55" s="974"/>
      <c r="CW55" s="974"/>
      <c r="CX55" s="974"/>
      <c r="CY55" s="974"/>
      <c r="CZ55" s="974"/>
      <c r="DA55" s="974"/>
      <c r="DB55" s="974"/>
      <c r="DC55" s="974"/>
      <c r="DD55" s="974"/>
      <c r="DE55" s="974"/>
      <c r="DF55" s="974"/>
      <c r="DG55" s="974"/>
      <c r="DH55" s="974"/>
      <c r="DI55" s="974"/>
      <c r="DJ55" s="974"/>
      <c r="DK55" s="974"/>
      <c r="DL55" s="974"/>
      <c r="DM55" s="974"/>
      <c r="DN55" s="974"/>
      <c r="DO55" s="974"/>
      <c r="DP55" s="974"/>
      <c r="DQ55" s="974"/>
      <c r="DR55" s="974"/>
      <c r="DS55" s="974"/>
      <c r="DT55" s="974"/>
      <c r="DU55" s="974"/>
      <c r="DV55" s="974"/>
      <c r="DW55" s="974"/>
      <c r="DX55" s="974"/>
      <c r="DY55" s="974"/>
      <c r="DZ55" s="974"/>
      <c r="EA55" s="974"/>
      <c r="EB55" s="974"/>
      <c r="EC55" s="974"/>
      <c r="ED55" s="974"/>
      <c r="EE55" s="974"/>
      <c r="EF55" s="974"/>
      <c r="EG55" s="974"/>
      <c r="EH55" s="974"/>
      <c r="EI55" s="974"/>
      <c r="EJ55" s="974"/>
      <c r="EK55" s="974"/>
      <c r="EL55" s="974"/>
      <c r="EM55" s="974"/>
      <c r="EN55" s="974"/>
      <c r="EO55" s="974"/>
      <c r="EP55" s="974"/>
      <c r="EQ55" s="974"/>
      <c r="ER55" s="974"/>
      <c r="ES55" s="974"/>
      <c r="ET55" s="974"/>
      <c r="EU55" s="974"/>
      <c r="EV55" s="974"/>
      <c r="EW55" s="974"/>
      <c r="EX55" s="974"/>
      <c r="EY55" s="974"/>
      <c r="EZ55" s="974"/>
      <c r="FA55" s="974"/>
      <c r="FB55" s="974"/>
      <c r="FC55" s="974"/>
      <c r="FD55" s="974"/>
      <c r="FE55" s="974"/>
      <c r="FF55" s="974"/>
      <c r="FG55" s="974"/>
      <c r="FH55" s="974"/>
      <c r="FI55" s="974"/>
      <c r="FJ55" s="974"/>
      <c r="FK55" s="974"/>
      <c r="FL55" s="974"/>
      <c r="FM55" s="974"/>
      <c r="FN55" s="974"/>
      <c r="FO55" s="974"/>
      <c r="FP55" s="974"/>
      <c r="FQ55" s="974"/>
      <c r="FR55" s="974"/>
      <c r="FS55" s="974"/>
      <c r="FT55" s="974"/>
      <c r="FU55" s="974"/>
      <c r="FV55" s="974"/>
      <c r="FW55" s="974"/>
      <c r="FX55" s="974"/>
      <c r="FY55" s="974"/>
      <c r="FZ55" s="974"/>
      <c r="GA55" s="974"/>
      <c r="GB55" s="974"/>
      <c r="GC55" s="974"/>
      <c r="GD55" s="974"/>
      <c r="GE55" s="974"/>
      <c r="GF55" s="974"/>
      <c r="GG55" s="974"/>
      <c r="GH55" s="974"/>
      <c r="GI55" s="974"/>
      <c r="GJ55" s="974"/>
      <c r="GK55" s="974"/>
      <c r="GL55" s="974"/>
      <c r="GM55" s="974"/>
      <c r="GN55" s="974"/>
      <c r="GO55" s="974"/>
      <c r="GP55" s="974"/>
      <c r="GQ55" s="974"/>
      <c r="GR55" s="974"/>
      <c r="GS55" s="974"/>
      <c r="GT55" s="974"/>
      <c r="GU55" s="974"/>
      <c r="GV55" s="974"/>
      <c r="GW55" s="974"/>
      <c r="GX55" s="974"/>
      <c r="GY55" s="974"/>
      <c r="GZ55" s="974"/>
      <c r="HA55" s="974"/>
      <c r="HB55" s="974"/>
      <c r="HC55" s="974"/>
      <c r="HD55" s="974"/>
      <c r="HE55" s="974"/>
      <c r="HF55" s="974"/>
      <c r="HG55" s="974"/>
      <c r="HH55" s="974"/>
      <c r="HI55" s="974"/>
      <c r="HJ55" s="974"/>
      <c r="HK55" s="974"/>
      <c r="HL55" s="974"/>
      <c r="HM55" s="974"/>
      <c r="HN55" s="974"/>
      <c r="HO55" s="974"/>
      <c r="HP55" s="974"/>
      <c r="HQ55" s="974"/>
      <c r="HR55" s="974"/>
      <c r="HS55" s="974"/>
      <c r="HT55" s="974"/>
      <c r="HU55" s="974"/>
      <c r="HV55" s="974"/>
      <c r="HW55" s="974"/>
      <c r="HX55" s="974"/>
      <c r="HY55" s="974"/>
      <c r="HZ55" s="974"/>
      <c r="IA55" s="974"/>
      <c r="IB55" s="974"/>
      <c r="IC55" s="974"/>
      <c r="ID55" s="974"/>
      <c r="IE55" s="974"/>
      <c r="IF55" s="974"/>
      <c r="IG55" s="974"/>
      <c r="IH55" s="974"/>
      <c r="II55" s="974"/>
      <c r="IJ55" s="974"/>
      <c r="IK55" s="974"/>
      <c r="IL55" s="974"/>
      <c r="IM55" s="974"/>
      <c r="IN55" s="974"/>
      <c r="IO55" s="974"/>
      <c r="IP55" s="974"/>
      <c r="IQ55" s="974"/>
      <c r="IR55" s="974"/>
      <c r="IS55" s="974"/>
      <c r="IT55" s="974"/>
      <c r="IU55" s="974"/>
      <c r="IV55" s="974"/>
    </row>
    <row r="56" spans="1:256" s="865" customFormat="1" ht="11.25" customHeight="1">
      <c r="A56" s="961"/>
      <c r="B56" s="898"/>
      <c r="C56" s="976"/>
      <c r="D56" s="981"/>
      <c r="E56" s="1674" t="s">
        <v>11838</v>
      </c>
      <c r="F56" s="1674"/>
      <c r="G56" s="1674"/>
      <c r="H56" s="700">
        <f>I43</f>
        <v>1</v>
      </c>
      <c r="I56" s="828">
        <v>2.8</v>
      </c>
      <c r="J56" s="828">
        <v>1.9</v>
      </c>
      <c r="K56" s="970">
        <v>0.2</v>
      </c>
      <c r="L56" s="985" t="s">
        <v>19797</v>
      </c>
      <c r="M56" s="986">
        <f t="shared" si="3"/>
        <v>5.3199999999999994</v>
      </c>
      <c r="N56" s="972"/>
      <c r="O56" s="973"/>
      <c r="P56" s="974"/>
      <c r="Q56" s="975"/>
      <c r="R56" s="974"/>
      <c r="S56" s="974"/>
      <c r="T56" s="974"/>
      <c r="U56" s="974"/>
      <c r="V56" s="974"/>
      <c r="W56" s="974"/>
      <c r="X56" s="974"/>
      <c r="Y56" s="974"/>
      <c r="Z56" s="974"/>
      <c r="AA56" s="974"/>
      <c r="AB56" s="974"/>
      <c r="AC56" s="974"/>
      <c r="AD56" s="974"/>
      <c r="AE56" s="974"/>
      <c r="AF56" s="974"/>
      <c r="AG56" s="974"/>
      <c r="AH56" s="974"/>
      <c r="AI56" s="974"/>
      <c r="AJ56" s="974"/>
      <c r="AK56" s="974"/>
      <c r="AL56" s="974"/>
      <c r="AM56" s="974"/>
      <c r="AN56" s="974"/>
      <c r="AO56" s="974"/>
      <c r="AP56" s="974"/>
      <c r="AQ56" s="974"/>
      <c r="AR56" s="974"/>
      <c r="AS56" s="974"/>
      <c r="AT56" s="974"/>
      <c r="AU56" s="974"/>
      <c r="AV56" s="974"/>
      <c r="AW56" s="974"/>
      <c r="AX56" s="974"/>
      <c r="AY56" s="974"/>
      <c r="AZ56" s="974"/>
      <c r="BA56" s="974"/>
      <c r="BB56" s="974"/>
      <c r="BC56" s="974"/>
      <c r="BD56" s="974"/>
      <c r="BE56" s="974"/>
      <c r="BF56" s="974"/>
      <c r="BG56" s="974"/>
      <c r="BH56" s="974"/>
      <c r="BI56" s="974"/>
      <c r="BJ56" s="974"/>
      <c r="BK56" s="974"/>
      <c r="BL56" s="974"/>
      <c r="BM56" s="974"/>
      <c r="BN56" s="974"/>
      <c r="BO56" s="974"/>
      <c r="BP56" s="974"/>
      <c r="BQ56" s="974"/>
      <c r="BR56" s="974"/>
      <c r="BS56" s="974"/>
      <c r="BT56" s="974"/>
      <c r="BU56" s="974"/>
      <c r="BV56" s="974"/>
      <c r="BW56" s="974"/>
      <c r="BX56" s="974"/>
      <c r="BY56" s="974"/>
      <c r="BZ56" s="974"/>
      <c r="CA56" s="974"/>
      <c r="CB56" s="974"/>
      <c r="CC56" s="974"/>
      <c r="CD56" s="974"/>
      <c r="CE56" s="974"/>
      <c r="CF56" s="974"/>
      <c r="CG56" s="974"/>
      <c r="CH56" s="974"/>
      <c r="CI56" s="974"/>
      <c r="CJ56" s="974"/>
      <c r="CK56" s="974"/>
      <c r="CL56" s="974"/>
      <c r="CM56" s="974"/>
      <c r="CN56" s="974"/>
      <c r="CO56" s="974"/>
      <c r="CP56" s="974"/>
      <c r="CQ56" s="974"/>
      <c r="CR56" s="974"/>
      <c r="CS56" s="974"/>
      <c r="CT56" s="974"/>
      <c r="CU56" s="974"/>
      <c r="CV56" s="974"/>
      <c r="CW56" s="974"/>
      <c r="CX56" s="974"/>
      <c r="CY56" s="974"/>
      <c r="CZ56" s="974"/>
      <c r="DA56" s="974"/>
      <c r="DB56" s="974"/>
      <c r="DC56" s="974"/>
      <c r="DD56" s="974"/>
      <c r="DE56" s="974"/>
      <c r="DF56" s="974"/>
      <c r="DG56" s="974"/>
      <c r="DH56" s="974"/>
      <c r="DI56" s="974"/>
      <c r="DJ56" s="974"/>
      <c r="DK56" s="974"/>
      <c r="DL56" s="974"/>
      <c r="DM56" s="974"/>
      <c r="DN56" s="974"/>
      <c r="DO56" s="974"/>
      <c r="DP56" s="974"/>
      <c r="DQ56" s="974"/>
      <c r="DR56" s="974"/>
      <c r="DS56" s="974"/>
      <c r="DT56" s="974"/>
      <c r="DU56" s="974"/>
      <c r="DV56" s="974"/>
      <c r="DW56" s="974"/>
      <c r="DX56" s="974"/>
      <c r="DY56" s="974"/>
      <c r="DZ56" s="974"/>
      <c r="EA56" s="974"/>
      <c r="EB56" s="974"/>
      <c r="EC56" s="974"/>
      <c r="ED56" s="974"/>
      <c r="EE56" s="974"/>
      <c r="EF56" s="974"/>
      <c r="EG56" s="974"/>
      <c r="EH56" s="974"/>
      <c r="EI56" s="974"/>
      <c r="EJ56" s="974"/>
      <c r="EK56" s="974"/>
      <c r="EL56" s="974"/>
      <c r="EM56" s="974"/>
      <c r="EN56" s="974"/>
      <c r="EO56" s="974"/>
      <c r="EP56" s="974"/>
      <c r="EQ56" s="974"/>
      <c r="ER56" s="974"/>
      <c r="ES56" s="974"/>
      <c r="ET56" s="974"/>
      <c r="EU56" s="974"/>
      <c r="EV56" s="974"/>
      <c r="EW56" s="974"/>
      <c r="EX56" s="974"/>
      <c r="EY56" s="974"/>
      <c r="EZ56" s="974"/>
      <c r="FA56" s="974"/>
      <c r="FB56" s="974"/>
      <c r="FC56" s="974"/>
      <c r="FD56" s="974"/>
      <c r="FE56" s="974"/>
      <c r="FF56" s="974"/>
      <c r="FG56" s="974"/>
      <c r="FH56" s="974"/>
      <c r="FI56" s="974"/>
      <c r="FJ56" s="974"/>
      <c r="FK56" s="974"/>
      <c r="FL56" s="974"/>
      <c r="FM56" s="974"/>
      <c r="FN56" s="974"/>
      <c r="FO56" s="974"/>
      <c r="FP56" s="974"/>
      <c r="FQ56" s="974"/>
      <c r="FR56" s="974"/>
      <c r="FS56" s="974"/>
      <c r="FT56" s="974"/>
      <c r="FU56" s="974"/>
      <c r="FV56" s="974"/>
      <c r="FW56" s="974"/>
      <c r="FX56" s="974"/>
      <c r="FY56" s="974"/>
      <c r="FZ56" s="974"/>
      <c r="GA56" s="974"/>
      <c r="GB56" s="974"/>
      <c r="GC56" s="974"/>
      <c r="GD56" s="974"/>
      <c r="GE56" s="974"/>
      <c r="GF56" s="974"/>
      <c r="GG56" s="974"/>
      <c r="GH56" s="974"/>
      <c r="GI56" s="974"/>
      <c r="GJ56" s="974"/>
      <c r="GK56" s="974"/>
      <c r="GL56" s="974"/>
      <c r="GM56" s="974"/>
      <c r="GN56" s="974"/>
      <c r="GO56" s="974"/>
      <c r="GP56" s="974"/>
      <c r="GQ56" s="974"/>
      <c r="GR56" s="974"/>
      <c r="GS56" s="974"/>
      <c r="GT56" s="974"/>
      <c r="GU56" s="974"/>
      <c r="GV56" s="974"/>
      <c r="GW56" s="974"/>
      <c r="GX56" s="974"/>
      <c r="GY56" s="974"/>
      <c r="GZ56" s="974"/>
      <c r="HA56" s="974"/>
      <c r="HB56" s="974"/>
      <c r="HC56" s="974"/>
      <c r="HD56" s="974"/>
      <c r="HE56" s="974"/>
      <c r="HF56" s="974"/>
      <c r="HG56" s="974"/>
      <c r="HH56" s="974"/>
      <c r="HI56" s="974"/>
      <c r="HJ56" s="974"/>
      <c r="HK56" s="974"/>
      <c r="HL56" s="974"/>
      <c r="HM56" s="974"/>
      <c r="HN56" s="974"/>
      <c r="HO56" s="974"/>
      <c r="HP56" s="974"/>
      <c r="HQ56" s="974"/>
      <c r="HR56" s="974"/>
      <c r="HS56" s="974"/>
      <c r="HT56" s="974"/>
      <c r="HU56" s="974"/>
      <c r="HV56" s="974"/>
      <c r="HW56" s="974"/>
      <c r="HX56" s="974"/>
      <c r="HY56" s="974"/>
      <c r="HZ56" s="974"/>
      <c r="IA56" s="974"/>
      <c r="IB56" s="974"/>
      <c r="IC56" s="974"/>
      <c r="ID56" s="974"/>
      <c r="IE56" s="974"/>
      <c r="IF56" s="974"/>
      <c r="IG56" s="974"/>
      <c r="IH56" s="974"/>
      <c r="II56" s="974"/>
      <c r="IJ56" s="974"/>
      <c r="IK56" s="974"/>
      <c r="IL56" s="974"/>
      <c r="IM56" s="974"/>
      <c r="IN56" s="974"/>
      <c r="IO56" s="974"/>
      <c r="IP56" s="974"/>
      <c r="IQ56" s="974"/>
      <c r="IR56" s="974"/>
      <c r="IS56" s="974"/>
      <c r="IT56" s="974"/>
      <c r="IU56" s="974"/>
      <c r="IV56" s="974"/>
    </row>
    <row r="57" spans="1:256" s="865" customFormat="1" ht="11.25" customHeight="1">
      <c r="A57" s="961"/>
      <c r="B57" s="898"/>
      <c r="C57" s="976"/>
      <c r="D57" s="981"/>
      <c r="E57" s="1674" t="s">
        <v>11839</v>
      </c>
      <c r="F57" s="1674"/>
      <c r="G57" s="1674"/>
      <c r="H57" s="700">
        <f>I44</f>
        <v>1</v>
      </c>
      <c r="I57" s="828">
        <v>1.65</v>
      </c>
      <c r="J57" s="828">
        <v>1.55</v>
      </c>
      <c r="K57" s="970">
        <v>0.2</v>
      </c>
      <c r="L57" s="985" t="s">
        <v>19797</v>
      </c>
      <c r="M57" s="986">
        <f t="shared" si="3"/>
        <v>2.5575000000000001</v>
      </c>
      <c r="N57" s="972"/>
      <c r="O57" s="973"/>
      <c r="P57" s="974"/>
      <c r="Q57" s="975"/>
      <c r="R57" s="974"/>
      <c r="S57" s="974"/>
      <c r="T57" s="974"/>
      <c r="U57" s="974"/>
      <c r="V57" s="974"/>
      <c r="W57" s="974"/>
      <c r="X57" s="974"/>
      <c r="Y57" s="974"/>
      <c r="Z57" s="974"/>
      <c r="AA57" s="974"/>
      <c r="AB57" s="974"/>
      <c r="AC57" s="974"/>
      <c r="AD57" s="974"/>
      <c r="AE57" s="974"/>
      <c r="AF57" s="974"/>
      <c r="AG57" s="974"/>
      <c r="AH57" s="974"/>
      <c r="AI57" s="974"/>
      <c r="AJ57" s="974"/>
      <c r="AK57" s="974"/>
      <c r="AL57" s="974"/>
      <c r="AM57" s="974"/>
      <c r="AN57" s="974"/>
      <c r="AO57" s="974"/>
      <c r="AP57" s="974"/>
      <c r="AQ57" s="974"/>
      <c r="AR57" s="974"/>
      <c r="AS57" s="974"/>
      <c r="AT57" s="974"/>
      <c r="AU57" s="974"/>
      <c r="AV57" s="974"/>
      <c r="AW57" s="974"/>
      <c r="AX57" s="974"/>
      <c r="AY57" s="974"/>
      <c r="AZ57" s="974"/>
      <c r="BA57" s="974"/>
      <c r="BB57" s="974"/>
      <c r="BC57" s="974"/>
      <c r="BD57" s="974"/>
      <c r="BE57" s="974"/>
      <c r="BF57" s="974"/>
      <c r="BG57" s="974"/>
      <c r="BH57" s="974"/>
      <c r="BI57" s="974"/>
      <c r="BJ57" s="974"/>
      <c r="BK57" s="974"/>
      <c r="BL57" s="974"/>
      <c r="BM57" s="974"/>
      <c r="BN57" s="974"/>
      <c r="BO57" s="974"/>
      <c r="BP57" s="974"/>
      <c r="BQ57" s="974"/>
      <c r="BR57" s="974"/>
      <c r="BS57" s="974"/>
      <c r="BT57" s="974"/>
      <c r="BU57" s="974"/>
      <c r="BV57" s="974"/>
      <c r="BW57" s="974"/>
      <c r="BX57" s="974"/>
      <c r="BY57" s="974"/>
      <c r="BZ57" s="974"/>
      <c r="CA57" s="974"/>
      <c r="CB57" s="974"/>
      <c r="CC57" s="974"/>
      <c r="CD57" s="974"/>
      <c r="CE57" s="974"/>
      <c r="CF57" s="974"/>
      <c r="CG57" s="974"/>
      <c r="CH57" s="974"/>
      <c r="CI57" s="974"/>
      <c r="CJ57" s="974"/>
      <c r="CK57" s="974"/>
      <c r="CL57" s="974"/>
      <c r="CM57" s="974"/>
      <c r="CN57" s="974"/>
      <c r="CO57" s="974"/>
      <c r="CP57" s="974"/>
      <c r="CQ57" s="974"/>
      <c r="CR57" s="974"/>
      <c r="CS57" s="974"/>
      <c r="CT57" s="974"/>
      <c r="CU57" s="974"/>
      <c r="CV57" s="974"/>
      <c r="CW57" s="974"/>
      <c r="CX57" s="974"/>
      <c r="CY57" s="974"/>
      <c r="CZ57" s="974"/>
      <c r="DA57" s="974"/>
      <c r="DB57" s="974"/>
      <c r="DC57" s="974"/>
      <c r="DD57" s="974"/>
      <c r="DE57" s="974"/>
      <c r="DF57" s="974"/>
      <c r="DG57" s="974"/>
      <c r="DH57" s="974"/>
      <c r="DI57" s="974"/>
      <c r="DJ57" s="974"/>
      <c r="DK57" s="974"/>
      <c r="DL57" s="974"/>
      <c r="DM57" s="974"/>
      <c r="DN57" s="974"/>
      <c r="DO57" s="974"/>
      <c r="DP57" s="974"/>
      <c r="DQ57" s="974"/>
      <c r="DR57" s="974"/>
      <c r="DS57" s="974"/>
      <c r="DT57" s="974"/>
      <c r="DU57" s="974"/>
      <c r="DV57" s="974"/>
      <c r="DW57" s="974"/>
      <c r="DX57" s="974"/>
      <c r="DY57" s="974"/>
      <c r="DZ57" s="974"/>
      <c r="EA57" s="974"/>
      <c r="EB57" s="974"/>
      <c r="EC57" s="974"/>
      <c r="ED57" s="974"/>
      <c r="EE57" s="974"/>
      <c r="EF57" s="974"/>
      <c r="EG57" s="974"/>
      <c r="EH57" s="974"/>
      <c r="EI57" s="974"/>
      <c r="EJ57" s="974"/>
      <c r="EK57" s="974"/>
      <c r="EL57" s="974"/>
      <c r="EM57" s="974"/>
      <c r="EN57" s="974"/>
      <c r="EO57" s="974"/>
      <c r="EP57" s="974"/>
      <c r="EQ57" s="974"/>
      <c r="ER57" s="974"/>
      <c r="ES57" s="974"/>
      <c r="ET57" s="974"/>
      <c r="EU57" s="974"/>
      <c r="EV57" s="974"/>
      <c r="EW57" s="974"/>
      <c r="EX57" s="974"/>
      <c r="EY57" s="974"/>
      <c r="EZ57" s="974"/>
      <c r="FA57" s="974"/>
      <c r="FB57" s="974"/>
      <c r="FC57" s="974"/>
      <c r="FD57" s="974"/>
      <c r="FE57" s="974"/>
      <c r="FF57" s="974"/>
      <c r="FG57" s="974"/>
      <c r="FH57" s="974"/>
      <c r="FI57" s="974"/>
      <c r="FJ57" s="974"/>
      <c r="FK57" s="974"/>
      <c r="FL57" s="974"/>
      <c r="FM57" s="974"/>
      <c r="FN57" s="974"/>
      <c r="FO57" s="974"/>
      <c r="FP57" s="974"/>
      <c r="FQ57" s="974"/>
      <c r="FR57" s="974"/>
      <c r="FS57" s="974"/>
      <c r="FT57" s="974"/>
      <c r="FU57" s="974"/>
      <c r="FV57" s="974"/>
      <c r="FW57" s="974"/>
      <c r="FX57" s="974"/>
      <c r="FY57" s="974"/>
      <c r="FZ57" s="974"/>
      <c r="GA57" s="974"/>
      <c r="GB57" s="974"/>
      <c r="GC57" s="974"/>
      <c r="GD57" s="974"/>
      <c r="GE57" s="974"/>
      <c r="GF57" s="974"/>
      <c r="GG57" s="974"/>
      <c r="GH57" s="974"/>
      <c r="GI57" s="974"/>
      <c r="GJ57" s="974"/>
      <c r="GK57" s="974"/>
      <c r="GL57" s="974"/>
      <c r="GM57" s="974"/>
      <c r="GN57" s="974"/>
      <c r="GO57" s="974"/>
      <c r="GP57" s="974"/>
      <c r="GQ57" s="974"/>
      <c r="GR57" s="974"/>
      <c r="GS57" s="974"/>
      <c r="GT57" s="974"/>
      <c r="GU57" s="974"/>
      <c r="GV57" s="974"/>
      <c r="GW57" s="974"/>
      <c r="GX57" s="974"/>
      <c r="GY57" s="974"/>
      <c r="GZ57" s="974"/>
      <c r="HA57" s="974"/>
      <c r="HB57" s="974"/>
      <c r="HC57" s="974"/>
      <c r="HD57" s="974"/>
      <c r="HE57" s="974"/>
      <c r="HF57" s="974"/>
      <c r="HG57" s="974"/>
      <c r="HH57" s="974"/>
      <c r="HI57" s="974"/>
      <c r="HJ57" s="974"/>
      <c r="HK57" s="974"/>
      <c r="HL57" s="974"/>
      <c r="HM57" s="974"/>
      <c r="HN57" s="974"/>
      <c r="HO57" s="974"/>
      <c r="HP57" s="974"/>
      <c r="HQ57" s="974"/>
      <c r="HR57" s="974"/>
      <c r="HS57" s="974"/>
      <c r="HT57" s="974"/>
      <c r="HU57" s="974"/>
      <c r="HV57" s="974"/>
      <c r="HW57" s="974"/>
      <c r="HX57" s="974"/>
      <c r="HY57" s="974"/>
      <c r="HZ57" s="974"/>
      <c r="IA57" s="974"/>
      <c r="IB57" s="974"/>
      <c r="IC57" s="974"/>
      <c r="ID57" s="974"/>
      <c r="IE57" s="974"/>
      <c r="IF57" s="974"/>
      <c r="IG57" s="974"/>
      <c r="IH57" s="974"/>
      <c r="II57" s="974"/>
      <c r="IJ57" s="974"/>
      <c r="IK57" s="974"/>
      <c r="IL57" s="974"/>
      <c r="IM57" s="974"/>
      <c r="IN57" s="974"/>
      <c r="IO57" s="974"/>
      <c r="IP57" s="974"/>
      <c r="IQ57" s="974"/>
      <c r="IR57" s="974"/>
      <c r="IS57" s="974"/>
      <c r="IT57" s="974"/>
      <c r="IU57" s="974"/>
      <c r="IV57" s="974"/>
    </row>
    <row r="58" spans="1:256" s="865" customFormat="1" ht="11.25" customHeight="1">
      <c r="A58" s="961"/>
      <c r="B58" s="898"/>
      <c r="C58" s="976"/>
      <c r="D58" s="981"/>
      <c r="E58" s="854"/>
      <c r="F58" s="1674" t="s">
        <v>11870</v>
      </c>
      <c r="G58" s="1674"/>
      <c r="H58" s="700">
        <v>4</v>
      </c>
      <c r="I58" s="828">
        <v>1.6</v>
      </c>
      <c r="J58" s="828">
        <v>1.4</v>
      </c>
      <c r="K58" s="970">
        <v>0.2</v>
      </c>
      <c r="L58" s="985" t="s">
        <v>19797</v>
      </c>
      <c r="M58" s="986">
        <f t="shared" si="3"/>
        <v>8.9599999999999991</v>
      </c>
      <c r="N58" s="972"/>
      <c r="O58" s="973"/>
      <c r="P58" s="974"/>
      <c r="Q58" s="975"/>
      <c r="R58" s="974"/>
      <c r="S58" s="974"/>
      <c r="T58" s="974"/>
      <c r="U58" s="974"/>
      <c r="V58" s="974"/>
      <c r="W58" s="974"/>
      <c r="X58" s="974"/>
      <c r="Y58" s="974"/>
      <c r="Z58" s="974"/>
      <c r="AA58" s="974"/>
      <c r="AB58" s="974"/>
      <c r="AC58" s="974"/>
      <c r="AD58" s="974"/>
      <c r="AE58" s="974"/>
      <c r="AF58" s="974"/>
      <c r="AG58" s="974"/>
      <c r="AH58" s="974"/>
      <c r="AI58" s="974"/>
      <c r="AJ58" s="974"/>
      <c r="AK58" s="974"/>
      <c r="AL58" s="974"/>
      <c r="AM58" s="974"/>
      <c r="AN58" s="974"/>
      <c r="AO58" s="974"/>
      <c r="AP58" s="974"/>
      <c r="AQ58" s="974"/>
      <c r="AR58" s="974"/>
      <c r="AS58" s="974"/>
      <c r="AT58" s="974"/>
      <c r="AU58" s="974"/>
      <c r="AV58" s="974"/>
      <c r="AW58" s="974"/>
      <c r="AX58" s="974"/>
      <c r="AY58" s="974"/>
      <c r="AZ58" s="974"/>
      <c r="BA58" s="974"/>
      <c r="BB58" s="974"/>
      <c r="BC58" s="974"/>
      <c r="BD58" s="974"/>
      <c r="BE58" s="974"/>
      <c r="BF58" s="974"/>
      <c r="BG58" s="974"/>
      <c r="BH58" s="974"/>
      <c r="BI58" s="974"/>
      <c r="BJ58" s="974"/>
      <c r="BK58" s="974"/>
      <c r="BL58" s="974"/>
      <c r="BM58" s="974"/>
      <c r="BN58" s="974"/>
      <c r="BO58" s="974"/>
      <c r="BP58" s="974"/>
      <c r="BQ58" s="974"/>
      <c r="BR58" s="974"/>
      <c r="BS58" s="974"/>
      <c r="BT58" s="974"/>
      <c r="BU58" s="974"/>
      <c r="BV58" s="974"/>
      <c r="BW58" s="974"/>
      <c r="BX58" s="974"/>
      <c r="BY58" s="974"/>
      <c r="BZ58" s="974"/>
      <c r="CA58" s="974"/>
      <c r="CB58" s="974"/>
      <c r="CC58" s="974"/>
      <c r="CD58" s="974"/>
      <c r="CE58" s="974"/>
      <c r="CF58" s="974"/>
      <c r="CG58" s="974"/>
      <c r="CH58" s="974"/>
      <c r="CI58" s="974"/>
      <c r="CJ58" s="974"/>
      <c r="CK58" s="974"/>
      <c r="CL58" s="974"/>
      <c r="CM58" s="974"/>
      <c r="CN58" s="974"/>
      <c r="CO58" s="974"/>
      <c r="CP58" s="974"/>
      <c r="CQ58" s="974"/>
      <c r="CR58" s="974"/>
      <c r="CS58" s="974"/>
      <c r="CT58" s="974"/>
      <c r="CU58" s="974"/>
      <c r="CV58" s="974"/>
      <c r="CW58" s="974"/>
      <c r="CX58" s="974"/>
      <c r="CY58" s="974"/>
      <c r="CZ58" s="974"/>
      <c r="DA58" s="974"/>
      <c r="DB58" s="974"/>
      <c r="DC58" s="974"/>
      <c r="DD58" s="974"/>
      <c r="DE58" s="974"/>
      <c r="DF58" s="974"/>
      <c r="DG58" s="974"/>
      <c r="DH58" s="974"/>
      <c r="DI58" s="974"/>
      <c r="DJ58" s="974"/>
      <c r="DK58" s="974"/>
      <c r="DL58" s="974"/>
      <c r="DM58" s="974"/>
      <c r="DN58" s="974"/>
      <c r="DO58" s="974"/>
      <c r="DP58" s="974"/>
      <c r="DQ58" s="974"/>
      <c r="DR58" s="974"/>
      <c r="DS58" s="974"/>
      <c r="DT58" s="974"/>
      <c r="DU58" s="974"/>
      <c r="DV58" s="974"/>
      <c r="DW58" s="974"/>
      <c r="DX58" s="974"/>
      <c r="DY58" s="974"/>
      <c r="DZ58" s="974"/>
      <c r="EA58" s="974"/>
      <c r="EB58" s="974"/>
      <c r="EC58" s="974"/>
      <c r="ED58" s="974"/>
      <c r="EE58" s="974"/>
      <c r="EF58" s="974"/>
      <c r="EG58" s="974"/>
      <c r="EH58" s="974"/>
      <c r="EI58" s="974"/>
      <c r="EJ58" s="974"/>
      <c r="EK58" s="974"/>
      <c r="EL58" s="974"/>
      <c r="EM58" s="974"/>
      <c r="EN58" s="974"/>
      <c r="EO58" s="974"/>
      <c r="EP58" s="974"/>
      <c r="EQ58" s="974"/>
      <c r="ER58" s="974"/>
      <c r="ES58" s="974"/>
      <c r="ET58" s="974"/>
      <c r="EU58" s="974"/>
      <c r="EV58" s="974"/>
      <c r="EW58" s="974"/>
      <c r="EX58" s="974"/>
      <c r="EY58" s="974"/>
      <c r="EZ58" s="974"/>
      <c r="FA58" s="974"/>
      <c r="FB58" s="974"/>
      <c r="FC58" s="974"/>
      <c r="FD58" s="974"/>
      <c r="FE58" s="974"/>
      <c r="FF58" s="974"/>
      <c r="FG58" s="974"/>
      <c r="FH58" s="974"/>
      <c r="FI58" s="974"/>
      <c r="FJ58" s="974"/>
      <c r="FK58" s="974"/>
      <c r="FL58" s="974"/>
      <c r="FM58" s="974"/>
      <c r="FN58" s="974"/>
      <c r="FO58" s="974"/>
      <c r="FP58" s="974"/>
      <c r="FQ58" s="974"/>
      <c r="FR58" s="974"/>
      <c r="FS58" s="974"/>
      <c r="FT58" s="974"/>
      <c r="FU58" s="974"/>
      <c r="FV58" s="974"/>
      <c r="FW58" s="974"/>
      <c r="FX58" s="974"/>
      <c r="FY58" s="974"/>
      <c r="FZ58" s="974"/>
      <c r="GA58" s="974"/>
      <c r="GB58" s="974"/>
      <c r="GC58" s="974"/>
      <c r="GD58" s="974"/>
      <c r="GE58" s="974"/>
      <c r="GF58" s="974"/>
      <c r="GG58" s="974"/>
      <c r="GH58" s="974"/>
      <c r="GI58" s="974"/>
      <c r="GJ58" s="974"/>
      <c r="GK58" s="974"/>
      <c r="GL58" s="974"/>
      <c r="GM58" s="974"/>
      <c r="GN58" s="974"/>
      <c r="GO58" s="974"/>
      <c r="GP58" s="974"/>
      <c r="GQ58" s="974"/>
      <c r="GR58" s="974"/>
      <c r="GS58" s="974"/>
      <c r="GT58" s="974"/>
      <c r="GU58" s="974"/>
      <c r="GV58" s="974"/>
      <c r="GW58" s="974"/>
      <c r="GX58" s="974"/>
      <c r="GY58" s="974"/>
      <c r="GZ58" s="974"/>
      <c r="HA58" s="974"/>
      <c r="HB58" s="974"/>
      <c r="HC58" s="974"/>
      <c r="HD58" s="974"/>
      <c r="HE58" s="974"/>
      <c r="HF58" s="974"/>
      <c r="HG58" s="974"/>
      <c r="HH58" s="974"/>
      <c r="HI58" s="974"/>
      <c r="HJ58" s="974"/>
      <c r="HK58" s="974"/>
      <c r="HL58" s="974"/>
      <c r="HM58" s="974"/>
      <c r="HN58" s="974"/>
      <c r="HO58" s="974"/>
      <c r="HP58" s="974"/>
      <c r="HQ58" s="974"/>
      <c r="HR58" s="974"/>
      <c r="HS58" s="974"/>
      <c r="HT58" s="974"/>
      <c r="HU58" s="974"/>
      <c r="HV58" s="974"/>
      <c r="HW58" s="974"/>
      <c r="HX58" s="974"/>
      <c r="HY58" s="974"/>
      <c r="HZ58" s="974"/>
      <c r="IA58" s="974"/>
      <c r="IB58" s="974"/>
      <c r="IC58" s="974"/>
      <c r="ID58" s="974"/>
      <c r="IE58" s="974"/>
      <c r="IF58" s="974"/>
      <c r="IG58" s="974"/>
      <c r="IH58" s="974"/>
      <c r="II58" s="974"/>
      <c r="IJ58" s="974"/>
      <c r="IK58" s="974"/>
      <c r="IL58" s="974"/>
      <c r="IM58" s="974"/>
      <c r="IN58" s="974"/>
      <c r="IO58" s="974"/>
      <c r="IP58" s="974"/>
      <c r="IQ58" s="974"/>
      <c r="IR58" s="974"/>
      <c r="IS58" s="974"/>
      <c r="IT58" s="974"/>
      <c r="IU58" s="974"/>
      <c r="IV58" s="974"/>
    </row>
    <row r="59" spans="1:256" s="865" customFormat="1" ht="11.25" customHeight="1">
      <c r="A59" s="961"/>
      <c r="B59" s="898"/>
      <c r="C59" s="976"/>
      <c r="D59" s="981"/>
      <c r="E59" s="854"/>
      <c r="F59" s="1674" t="s">
        <v>11871</v>
      </c>
      <c r="G59" s="1674"/>
      <c r="H59" s="700">
        <v>2</v>
      </c>
      <c r="I59" s="828">
        <v>4</v>
      </c>
      <c r="J59" s="828">
        <v>0.2</v>
      </c>
      <c r="K59" s="970">
        <v>0</v>
      </c>
      <c r="L59" s="985" t="s">
        <v>19797</v>
      </c>
      <c r="M59" s="986">
        <f t="shared" si="3"/>
        <v>1.6</v>
      </c>
      <c r="N59" s="972"/>
      <c r="O59" s="973"/>
      <c r="P59" s="974"/>
      <c r="Q59" s="975"/>
      <c r="R59" s="974"/>
      <c r="S59" s="974"/>
      <c r="T59" s="974"/>
      <c r="U59" s="974"/>
      <c r="V59" s="974"/>
      <c r="W59" s="974"/>
      <c r="X59" s="974"/>
      <c r="Y59" s="974"/>
      <c r="Z59" s="974"/>
      <c r="AA59" s="974"/>
      <c r="AB59" s="974"/>
      <c r="AC59" s="974"/>
      <c r="AD59" s="974"/>
      <c r="AE59" s="974"/>
      <c r="AF59" s="974"/>
      <c r="AG59" s="974"/>
      <c r="AH59" s="974"/>
      <c r="AI59" s="974"/>
      <c r="AJ59" s="974"/>
      <c r="AK59" s="974"/>
      <c r="AL59" s="974"/>
      <c r="AM59" s="974"/>
      <c r="AN59" s="974"/>
      <c r="AO59" s="974"/>
      <c r="AP59" s="974"/>
      <c r="AQ59" s="974"/>
      <c r="AR59" s="974"/>
      <c r="AS59" s="974"/>
      <c r="AT59" s="974"/>
      <c r="AU59" s="974"/>
      <c r="AV59" s="974"/>
      <c r="AW59" s="974"/>
      <c r="AX59" s="974"/>
      <c r="AY59" s="974"/>
      <c r="AZ59" s="974"/>
      <c r="BA59" s="974"/>
      <c r="BB59" s="974"/>
      <c r="BC59" s="974"/>
      <c r="BD59" s="974"/>
      <c r="BE59" s="974"/>
      <c r="BF59" s="974"/>
      <c r="BG59" s="974"/>
      <c r="BH59" s="974"/>
      <c r="BI59" s="974"/>
      <c r="BJ59" s="974"/>
      <c r="BK59" s="974"/>
      <c r="BL59" s="974"/>
      <c r="BM59" s="974"/>
      <c r="BN59" s="974"/>
      <c r="BO59" s="974"/>
      <c r="BP59" s="974"/>
      <c r="BQ59" s="974"/>
      <c r="BR59" s="974"/>
      <c r="BS59" s="974"/>
      <c r="BT59" s="974"/>
      <c r="BU59" s="974"/>
      <c r="BV59" s="974"/>
      <c r="BW59" s="974"/>
      <c r="BX59" s="974"/>
      <c r="BY59" s="974"/>
      <c r="BZ59" s="974"/>
      <c r="CA59" s="974"/>
      <c r="CB59" s="974"/>
      <c r="CC59" s="974"/>
      <c r="CD59" s="974"/>
      <c r="CE59" s="974"/>
      <c r="CF59" s="974"/>
      <c r="CG59" s="974"/>
      <c r="CH59" s="974"/>
      <c r="CI59" s="974"/>
      <c r="CJ59" s="974"/>
      <c r="CK59" s="974"/>
      <c r="CL59" s="974"/>
      <c r="CM59" s="974"/>
      <c r="CN59" s="974"/>
      <c r="CO59" s="974"/>
      <c r="CP59" s="974"/>
      <c r="CQ59" s="974"/>
      <c r="CR59" s="974"/>
      <c r="CS59" s="974"/>
      <c r="CT59" s="974"/>
      <c r="CU59" s="974"/>
      <c r="CV59" s="974"/>
      <c r="CW59" s="974"/>
      <c r="CX59" s="974"/>
      <c r="CY59" s="974"/>
      <c r="CZ59" s="974"/>
      <c r="DA59" s="974"/>
      <c r="DB59" s="974"/>
      <c r="DC59" s="974"/>
      <c r="DD59" s="974"/>
      <c r="DE59" s="974"/>
      <c r="DF59" s="974"/>
      <c r="DG59" s="974"/>
      <c r="DH59" s="974"/>
      <c r="DI59" s="974"/>
      <c r="DJ59" s="974"/>
      <c r="DK59" s="974"/>
      <c r="DL59" s="974"/>
      <c r="DM59" s="974"/>
      <c r="DN59" s="974"/>
      <c r="DO59" s="974"/>
      <c r="DP59" s="974"/>
      <c r="DQ59" s="974"/>
      <c r="DR59" s="974"/>
      <c r="DS59" s="974"/>
      <c r="DT59" s="974"/>
      <c r="DU59" s="974"/>
      <c r="DV59" s="974"/>
      <c r="DW59" s="974"/>
      <c r="DX59" s="974"/>
      <c r="DY59" s="974"/>
      <c r="DZ59" s="974"/>
      <c r="EA59" s="974"/>
      <c r="EB59" s="974"/>
      <c r="EC59" s="974"/>
      <c r="ED59" s="974"/>
      <c r="EE59" s="974"/>
      <c r="EF59" s="974"/>
      <c r="EG59" s="974"/>
      <c r="EH59" s="974"/>
      <c r="EI59" s="974"/>
      <c r="EJ59" s="974"/>
      <c r="EK59" s="974"/>
      <c r="EL59" s="974"/>
      <c r="EM59" s="974"/>
      <c r="EN59" s="974"/>
      <c r="EO59" s="974"/>
      <c r="EP59" s="974"/>
      <c r="EQ59" s="974"/>
      <c r="ER59" s="974"/>
      <c r="ES59" s="974"/>
      <c r="ET59" s="974"/>
      <c r="EU59" s="974"/>
      <c r="EV59" s="974"/>
      <c r="EW59" s="974"/>
      <c r="EX59" s="974"/>
      <c r="EY59" s="974"/>
      <c r="EZ59" s="974"/>
      <c r="FA59" s="974"/>
      <c r="FB59" s="974"/>
      <c r="FC59" s="974"/>
      <c r="FD59" s="974"/>
      <c r="FE59" s="974"/>
      <c r="FF59" s="974"/>
      <c r="FG59" s="974"/>
      <c r="FH59" s="974"/>
      <c r="FI59" s="974"/>
      <c r="FJ59" s="974"/>
      <c r="FK59" s="974"/>
      <c r="FL59" s="974"/>
      <c r="FM59" s="974"/>
      <c r="FN59" s="974"/>
      <c r="FO59" s="974"/>
      <c r="FP59" s="974"/>
      <c r="FQ59" s="974"/>
      <c r="FR59" s="974"/>
      <c r="FS59" s="974"/>
      <c r="FT59" s="974"/>
      <c r="FU59" s="974"/>
      <c r="FV59" s="974"/>
      <c r="FW59" s="974"/>
      <c r="FX59" s="974"/>
      <c r="FY59" s="974"/>
      <c r="FZ59" s="974"/>
      <c r="GA59" s="974"/>
      <c r="GB59" s="974"/>
      <c r="GC59" s="974"/>
      <c r="GD59" s="974"/>
      <c r="GE59" s="974"/>
      <c r="GF59" s="974"/>
      <c r="GG59" s="974"/>
      <c r="GH59" s="974"/>
      <c r="GI59" s="974"/>
      <c r="GJ59" s="974"/>
      <c r="GK59" s="974"/>
      <c r="GL59" s="974"/>
      <c r="GM59" s="974"/>
      <c r="GN59" s="974"/>
      <c r="GO59" s="974"/>
      <c r="GP59" s="974"/>
      <c r="GQ59" s="974"/>
      <c r="GR59" s="974"/>
      <c r="GS59" s="974"/>
      <c r="GT59" s="974"/>
      <c r="GU59" s="974"/>
      <c r="GV59" s="974"/>
      <c r="GW59" s="974"/>
      <c r="GX59" s="974"/>
      <c r="GY59" s="974"/>
      <c r="GZ59" s="974"/>
      <c r="HA59" s="974"/>
      <c r="HB59" s="974"/>
      <c r="HC59" s="974"/>
      <c r="HD59" s="974"/>
      <c r="HE59" s="974"/>
      <c r="HF59" s="974"/>
      <c r="HG59" s="974"/>
      <c r="HH59" s="974"/>
      <c r="HI59" s="974"/>
      <c r="HJ59" s="974"/>
      <c r="HK59" s="974"/>
      <c r="HL59" s="974"/>
      <c r="HM59" s="974"/>
      <c r="HN59" s="974"/>
      <c r="HO59" s="974"/>
      <c r="HP59" s="974"/>
      <c r="HQ59" s="974"/>
      <c r="HR59" s="974"/>
      <c r="HS59" s="974"/>
      <c r="HT59" s="974"/>
      <c r="HU59" s="974"/>
      <c r="HV59" s="974"/>
      <c r="HW59" s="974"/>
      <c r="HX59" s="974"/>
      <c r="HY59" s="974"/>
      <c r="HZ59" s="974"/>
      <c r="IA59" s="974"/>
      <c r="IB59" s="974"/>
      <c r="IC59" s="974"/>
      <c r="ID59" s="974"/>
      <c r="IE59" s="974"/>
      <c r="IF59" s="974"/>
      <c r="IG59" s="974"/>
      <c r="IH59" s="974"/>
      <c r="II59" s="974"/>
      <c r="IJ59" s="974"/>
      <c r="IK59" s="974"/>
      <c r="IL59" s="974"/>
      <c r="IM59" s="974"/>
      <c r="IN59" s="974"/>
      <c r="IO59" s="974"/>
      <c r="IP59" s="974"/>
      <c r="IQ59" s="974"/>
      <c r="IR59" s="974"/>
      <c r="IS59" s="974"/>
      <c r="IT59" s="974"/>
      <c r="IU59" s="974"/>
      <c r="IV59" s="974"/>
    </row>
    <row r="60" spans="1:256" s="865" customFormat="1" ht="11.25" customHeight="1">
      <c r="A60" s="961"/>
      <c r="B60" s="898"/>
      <c r="C60" s="976"/>
      <c r="D60" s="981"/>
      <c r="E60" s="854"/>
      <c r="F60" s="1674" t="s">
        <v>11872</v>
      </c>
      <c r="G60" s="1674"/>
      <c r="H60" s="700">
        <v>2</v>
      </c>
      <c r="I60" s="828">
        <v>2.7</v>
      </c>
      <c r="J60" s="828">
        <v>0.2</v>
      </c>
      <c r="K60" s="970">
        <v>0</v>
      </c>
      <c r="L60" s="985" t="s">
        <v>19797</v>
      </c>
      <c r="M60" s="986">
        <f t="shared" si="3"/>
        <v>1.08</v>
      </c>
      <c r="N60" s="972"/>
      <c r="O60" s="973"/>
      <c r="P60" s="974"/>
      <c r="Q60" s="975"/>
      <c r="R60" s="974"/>
      <c r="S60" s="974"/>
      <c r="T60" s="974"/>
      <c r="U60" s="974"/>
      <c r="V60" s="974"/>
      <c r="W60" s="974"/>
      <c r="X60" s="974"/>
      <c r="Y60" s="974"/>
      <c r="Z60" s="974"/>
      <c r="AA60" s="974"/>
      <c r="AB60" s="974"/>
      <c r="AC60" s="974"/>
      <c r="AD60" s="974"/>
      <c r="AE60" s="974"/>
      <c r="AF60" s="974"/>
      <c r="AG60" s="974"/>
      <c r="AH60" s="974"/>
      <c r="AI60" s="974"/>
      <c r="AJ60" s="974"/>
      <c r="AK60" s="974"/>
      <c r="AL60" s="974"/>
      <c r="AM60" s="974"/>
      <c r="AN60" s="974"/>
      <c r="AO60" s="974"/>
      <c r="AP60" s="974"/>
      <c r="AQ60" s="974"/>
      <c r="AR60" s="974"/>
      <c r="AS60" s="974"/>
      <c r="AT60" s="974"/>
      <c r="AU60" s="974"/>
      <c r="AV60" s="974"/>
      <c r="AW60" s="974"/>
      <c r="AX60" s="974"/>
      <c r="AY60" s="974"/>
      <c r="AZ60" s="974"/>
      <c r="BA60" s="974"/>
      <c r="BB60" s="974"/>
      <c r="BC60" s="974"/>
      <c r="BD60" s="974"/>
      <c r="BE60" s="974"/>
      <c r="BF60" s="974"/>
      <c r="BG60" s="974"/>
      <c r="BH60" s="974"/>
      <c r="BI60" s="974"/>
      <c r="BJ60" s="974"/>
      <c r="BK60" s="974"/>
      <c r="BL60" s="974"/>
      <c r="BM60" s="974"/>
      <c r="BN60" s="974"/>
      <c r="BO60" s="974"/>
      <c r="BP60" s="974"/>
      <c r="BQ60" s="974"/>
      <c r="BR60" s="974"/>
      <c r="BS60" s="974"/>
      <c r="BT60" s="974"/>
      <c r="BU60" s="974"/>
      <c r="BV60" s="974"/>
      <c r="BW60" s="974"/>
      <c r="BX60" s="974"/>
      <c r="BY60" s="974"/>
      <c r="BZ60" s="974"/>
      <c r="CA60" s="974"/>
      <c r="CB60" s="974"/>
      <c r="CC60" s="974"/>
      <c r="CD60" s="974"/>
      <c r="CE60" s="974"/>
      <c r="CF60" s="974"/>
      <c r="CG60" s="974"/>
      <c r="CH60" s="974"/>
      <c r="CI60" s="974"/>
      <c r="CJ60" s="974"/>
      <c r="CK60" s="974"/>
      <c r="CL60" s="974"/>
      <c r="CM60" s="974"/>
      <c r="CN60" s="974"/>
      <c r="CO60" s="974"/>
      <c r="CP60" s="974"/>
      <c r="CQ60" s="974"/>
      <c r="CR60" s="974"/>
      <c r="CS60" s="974"/>
      <c r="CT60" s="974"/>
      <c r="CU60" s="974"/>
      <c r="CV60" s="974"/>
      <c r="CW60" s="974"/>
      <c r="CX60" s="974"/>
      <c r="CY60" s="974"/>
      <c r="CZ60" s="974"/>
      <c r="DA60" s="974"/>
      <c r="DB60" s="974"/>
      <c r="DC60" s="974"/>
      <c r="DD60" s="974"/>
      <c r="DE60" s="974"/>
      <c r="DF60" s="974"/>
      <c r="DG60" s="974"/>
      <c r="DH60" s="974"/>
      <c r="DI60" s="974"/>
      <c r="DJ60" s="974"/>
      <c r="DK60" s="974"/>
      <c r="DL60" s="974"/>
      <c r="DM60" s="974"/>
      <c r="DN60" s="974"/>
      <c r="DO60" s="974"/>
      <c r="DP60" s="974"/>
      <c r="DQ60" s="974"/>
      <c r="DR60" s="974"/>
      <c r="DS60" s="974"/>
      <c r="DT60" s="974"/>
      <c r="DU60" s="974"/>
      <c r="DV60" s="974"/>
      <c r="DW60" s="974"/>
      <c r="DX60" s="974"/>
      <c r="DY60" s="974"/>
      <c r="DZ60" s="974"/>
      <c r="EA60" s="974"/>
      <c r="EB60" s="974"/>
      <c r="EC60" s="974"/>
      <c r="ED60" s="974"/>
      <c r="EE60" s="974"/>
      <c r="EF60" s="974"/>
      <c r="EG60" s="974"/>
      <c r="EH60" s="974"/>
      <c r="EI60" s="974"/>
      <c r="EJ60" s="974"/>
      <c r="EK60" s="974"/>
      <c r="EL60" s="974"/>
      <c r="EM60" s="974"/>
      <c r="EN60" s="974"/>
      <c r="EO60" s="974"/>
      <c r="EP60" s="974"/>
      <c r="EQ60" s="974"/>
      <c r="ER60" s="974"/>
      <c r="ES60" s="974"/>
      <c r="ET60" s="974"/>
      <c r="EU60" s="974"/>
      <c r="EV60" s="974"/>
      <c r="EW60" s="974"/>
      <c r="EX60" s="974"/>
      <c r="EY60" s="974"/>
      <c r="EZ60" s="974"/>
      <c r="FA60" s="974"/>
      <c r="FB60" s="974"/>
      <c r="FC60" s="974"/>
      <c r="FD60" s="974"/>
      <c r="FE60" s="974"/>
      <c r="FF60" s="974"/>
      <c r="FG60" s="974"/>
      <c r="FH60" s="974"/>
      <c r="FI60" s="974"/>
      <c r="FJ60" s="974"/>
      <c r="FK60" s="974"/>
      <c r="FL60" s="974"/>
      <c r="FM60" s="974"/>
      <c r="FN60" s="974"/>
      <c r="FO60" s="974"/>
      <c r="FP60" s="974"/>
      <c r="FQ60" s="974"/>
      <c r="FR60" s="974"/>
      <c r="FS60" s="974"/>
      <c r="FT60" s="974"/>
      <c r="FU60" s="974"/>
      <c r="FV60" s="974"/>
      <c r="FW60" s="974"/>
      <c r="FX60" s="974"/>
      <c r="FY60" s="974"/>
      <c r="FZ60" s="974"/>
      <c r="GA60" s="974"/>
      <c r="GB60" s="974"/>
      <c r="GC60" s="974"/>
      <c r="GD60" s="974"/>
      <c r="GE60" s="974"/>
      <c r="GF60" s="974"/>
      <c r="GG60" s="974"/>
      <c r="GH60" s="974"/>
      <c r="GI60" s="974"/>
      <c r="GJ60" s="974"/>
      <c r="GK60" s="974"/>
      <c r="GL60" s="974"/>
      <c r="GM60" s="974"/>
      <c r="GN60" s="974"/>
      <c r="GO60" s="974"/>
      <c r="GP60" s="974"/>
      <c r="GQ60" s="974"/>
      <c r="GR60" s="974"/>
      <c r="GS60" s="974"/>
      <c r="GT60" s="974"/>
      <c r="GU60" s="974"/>
      <c r="GV60" s="974"/>
      <c r="GW60" s="974"/>
      <c r="GX60" s="974"/>
      <c r="GY60" s="974"/>
      <c r="GZ60" s="974"/>
      <c r="HA60" s="974"/>
      <c r="HB60" s="974"/>
      <c r="HC60" s="974"/>
      <c r="HD60" s="974"/>
      <c r="HE60" s="974"/>
      <c r="HF60" s="974"/>
      <c r="HG60" s="974"/>
      <c r="HH60" s="974"/>
      <c r="HI60" s="974"/>
      <c r="HJ60" s="974"/>
      <c r="HK60" s="974"/>
      <c r="HL60" s="974"/>
      <c r="HM60" s="974"/>
      <c r="HN60" s="974"/>
      <c r="HO60" s="974"/>
      <c r="HP60" s="974"/>
      <c r="HQ60" s="974"/>
      <c r="HR60" s="974"/>
      <c r="HS60" s="974"/>
      <c r="HT60" s="974"/>
      <c r="HU60" s="974"/>
      <c r="HV60" s="974"/>
      <c r="HW60" s="974"/>
      <c r="HX60" s="974"/>
      <c r="HY60" s="974"/>
      <c r="HZ60" s="974"/>
      <c r="IA60" s="974"/>
      <c r="IB60" s="974"/>
      <c r="IC60" s="974"/>
      <c r="ID60" s="974"/>
      <c r="IE60" s="974"/>
      <c r="IF60" s="974"/>
      <c r="IG60" s="974"/>
      <c r="IH60" s="974"/>
      <c r="II60" s="974"/>
      <c r="IJ60" s="974"/>
      <c r="IK60" s="974"/>
      <c r="IL60" s="974"/>
      <c r="IM60" s="974"/>
      <c r="IN60" s="974"/>
      <c r="IO60" s="974"/>
      <c r="IP60" s="974"/>
      <c r="IQ60" s="974"/>
      <c r="IR60" s="974"/>
      <c r="IS60" s="974"/>
      <c r="IT60" s="974"/>
      <c r="IU60" s="974"/>
      <c r="IV60" s="974"/>
    </row>
    <row r="61" spans="1:256" s="865" customFormat="1" ht="11.25" customHeight="1">
      <c r="A61" s="961"/>
      <c r="B61" s="898"/>
      <c r="C61" s="976"/>
      <c r="D61" s="981"/>
      <c r="E61" s="854"/>
      <c r="F61" s="854"/>
      <c r="G61" s="854" t="s">
        <v>11841</v>
      </c>
      <c r="H61" s="700">
        <f>I46</f>
        <v>1</v>
      </c>
      <c r="I61" s="828">
        <v>2.82</v>
      </c>
      <c r="J61" s="828">
        <v>2.7</v>
      </c>
      <c r="K61" s="970">
        <v>0.2</v>
      </c>
      <c r="L61" s="985" t="s">
        <v>19797</v>
      </c>
      <c r="M61" s="986">
        <f t="shared" si="3"/>
        <v>7.6139999999999999</v>
      </c>
      <c r="N61" s="972"/>
      <c r="O61" s="973"/>
      <c r="P61" s="974"/>
      <c r="Q61" s="975"/>
      <c r="R61" s="974"/>
      <c r="S61" s="974"/>
      <c r="T61" s="974"/>
      <c r="U61" s="974"/>
      <c r="V61" s="974"/>
      <c r="W61" s="974"/>
      <c r="X61" s="974"/>
      <c r="Y61" s="974"/>
      <c r="Z61" s="974"/>
      <c r="AA61" s="974"/>
      <c r="AB61" s="974"/>
      <c r="AC61" s="974"/>
      <c r="AD61" s="974"/>
      <c r="AE61" s="974"/>
      <c r="AF61" s="974"/>
      <c r="AG61" s="974"/>
      <c r="AH61" s="974"/>
      <c r="AI61" s="974"/>
      <c r="AJ61" s="974"/>
      <c r="AK61" s="974"/>
      <c r="AL61" s="974"/>
      <c r="AM61" s="974"/>
      <c r="AN61" s="974"/>
      <c r="AO61" s="974"/>
      <c r="AP61" s="974"/>
      <c r="AQ61" s="974"/>
      <c r="AR61" s="974"/>
      <c r="AS61" s="974"/>
      <c r="AT61" s="974"/>
      <c r="AU61" s="974"/>
      <c r="AV61" s="974"/>
      <c r="AW61" s="974"/>
      <c r="AX61" s="974"/>
      <c r="AY61" s="974"/>
      <c r="AZ61" s="974"/>
      <c r="BA61" s="974"/>
      <c r="BB61" s="974"/>
      <c r="BC61" s="974"/>
      <c r="BD61" s="974"/>
      <c r="BE61" s="974"/>
      <c r="BF61" s="974"/>
      <c r="BG61" s="974"/>
      <c r="BH61" s="974"/>
      <c r="BI61" s="974"/>
      <c r="BJ61" s="974"/>
      <c r="BK61" s="974"/>
      <c r="BL61" s="974"/>
      <c r="BM61" s="974"/>
      <c r="BN61" s="974"/>
      <c r="BO61" s="974"/>
      <c r="BP61" s="974"/>
      <c r="BQ61" s="974"/>
      <c r="BR61" s="974"/>
      <c r="BS61" s="974"/>
      <c r="BT61" s="974"/>
      <c r="BU61" s="974"/>
      <c r="BV61" s="974"/>
      <c r="BW61" s="974"/>
      <c r="BX61" s="974"/>
      <c r="BY61" s="974"/>
      <c r="BZ61" s="974"/>
      <c r="CA61" s="974"/>
      <c r="CB61" s="974"/>
      <c r="CC61" s="974"/>
      <c r="CD61" s="974"/>
      <c r="CE61" s="974"/>
      <c r="CF61" s="974"/>
      <c r="CG61" s="974"/>
      <c r="CH61" s="974"/>
      <c r="CI61" s="974"/>
      <c r="CJ61" s="974"/>
      <c r="CK61" s="974"/>
      <c r="CL61" s="974"/>
      <c r="CM61" s="974"/>
      <c r="CN61" s="974"/>
      <c r="CO61" s="974"/>
      <c r="CP61" s="974"/>
      <c r="CQ61" s="974"/>
      <c r="CR61" s="974"/>
      <c r="CS61" s="974"/>
      <c r="CT61" s="974"/>
      <c r="CU61" s="974"/>
      <c r="CV61" s="974"/>
      <c r="CW61" s="974"/>
      <c r="CX61" s="974"/>
      <c r="CY61" s="974"/>
      <c r="CZ61" s="974"/>
      <c r="DA61" s="974"/>
      <c r="DB61" s="974"/>
      <c r="DC61" s="974"/>
      <c r="DD61" s="974"/>
      <c r="DE61" s="974"/>
      <c r="DF61" s="974"/>
      <c r="DG61" s="974"/>
      <c r="DH61" s="974"/>
      <c r="DI61" s="974"/>
      <c r="DJ61" s="974"/>
      <c r="DK61" s="974"/>
      <c r="DL61" s="974"/>
      <c r="DM61" s="974"/>
      <c r="DN61" s="974"/>
      <c r="DO61" s="974"/>
      <c r="DP61" s="974"/>
      <c r="DQ61" s="974"/>
      <c r="DR61" s="974"/>
      <c r="DS61" s="974"/>
      <c r="DT61" s="974"/>
      <c r="DU61" s="974"/>
      <c r="DV61" s="974"/>
      <c r="DW61" s="974"/>
      <c r="DX61" s="974"/>
      <c r="DY61" s="974"/>
      <c r="DZ61" s="974"/>
      <c r="EA61" s="974"/>
      <c r="EB61" s="974"/>
      <c r="EC61" s="974"/>
      <c r="ED61" s="974"/>
      <c r="EE61" s="974"/>
      <c r="EF61" s="974"/>
      <c r="EG61" s="974"/>
      <c r="EH61" s="974"/>
      <c r="EI61" s="974"/>
      <c r="EJ61" s="974"/>
      <c r="EK61" s="974"/>
      <c r="EL61" s="974"/>
      <c r="EM61" s="974"/>
      <c r="EN61" s="974"/>
      <c r="EO61" s="974"/>
      <c r="EP61" s="974"/>
      <c r="EQ61" s="974"/>
      <c r="ER61" s="974"/>
      <c r="ES61" s="974"/>
      <c r="ET61" s="974"/>
      <c r="EU61" s="974"/>
      <c r="EV61" s="974"/>
      <c r="EW61" s="974"/>
      <c r="EX61" s="974"/>
      <c r="EY61" s="974"/>
      <c r="EZ61" s="974"/>
      <c r="FA61" s="974"/>
      <c r="FB61" s="974"/>
      <c r="FC61" s="974"/>
      <c r="FD61" s="974"/>
      <c r="FE61" s="974"/>
      <c r="FF61" s="974"/>
      <c r="FG61" s="974"/>
      <c r="FH61" s="974"/>
      <c r="FI61" s="974"/>
      <c r="FJ61" s="974"/>
      <c r="FK61" s="974"/>
      <c r="FL61" s="974"/>
      <c r="FM61" s="974"/>
      <c r="FN61" s="974"/>
      <c r="FO61" s="974"/>
      <c r="FP61" s="974"/>
      <c r="FQ61" s="974"/>
      <c r="FR61" s="974"/>
      <c r="FS61" s="974"/>
      <c r="FT61" s="974"/>
      <c r="FU61" s="974"/>
      <c r="FV61" s="974"/>
      <c r="FW61" s="974"/>
      <c r="FX61" s="974"/>
      <c r="FY61" s="974"/>
      <c r="FZ61" s="974"/>
      <c r="GA61" s="974"/>
      <c r="GB61" s="974"/>
      <c r="GC61" s="974"/>
      <c r="GD61" s="974"/>
      <c r="GE61" s="974"/>
      <c r="GF61" s="974"/>
      <c r="GG61" s="974"/>
      <c r="GH61" s="974"/>
      <c r="GI61" s="974"/>
      <c r="GJ61" s="974"/>
      <c r="GK61" s="974"/>
      <c r="GL61" s="974"/>
      <c r="GM61" s="974"/>
      <c r="GN61" s="974"/>
      <c r="GO61" s="974"/>
      <c r="GP61" s="974"/>
      <c r="GQ61" s="974"/>
      <c r="GR61" s="974"/>
      <c r="GS61" s="974"/>
      <c r="GT61" s="974"/>
      <c r="GU61" s="974"/>
      <c r="GV61" s="974"/>
      <c r="GW61" s="974"/>
      <c r="GX61" s="974"/>
      <c r="GY61" s="974"/>
      <c r="GZ61" s="974"/>
      <c r="HA61" s="974"/>
      <c r="HB61" s="974"/>
      <c r="HC61" s="974"/>
      <c r="HD61" s="974"/>
      <c r="HE61" s="974"/>
      <c r="HF61" s="974"/>
      <c r="HG61" s="974"/>
      <c r="HH61" s="974"/>
      <c r="HI61" s="974"/>
      <c r="HJ61" s="974"/>
      <c r="HK61" s="974"/>
      <c r="HL61" s="974"/>
      <c r="HM61" s="974"/>
      <c r="HN61" s="974"/>
      <c r="HO61" s="974"/>
      <c r="HP61" s="974"/>
      <c r="HQ61" s="974"/>
      <c r="HR61" s="974"/>
      <c r="HS61" s="974"/>
      <c r="HT61" s="974"/>
      <c r="HU61" s="974"/>
      <c r="HV61" s="974"/>
      <c r="HW61" s="974"/>
      <c r="HX61" s="974"/>
      <c r="HY61" s="974"/>
      <c r="HZ61" s="974"/>
      <c r="IA61" s="974"/>
      <c r="IB61" s="974"/>
      <c r="IC61" s="974"/>
      <c r="ID61" s="974"/>
      <c r="IE61" s="974"/>
      <c r="IF61" s="974"/>
      <c r="IG61" s="974"/>
      <c r="IH61" s="974"/>
      <c r="II61" s="974"/>
      <c r="IJ61" s="974"/>
      <c r="IK61" s="974"/>
      <c r="IL61" s="974"/>
      <c r="IM61" s="974"/>
      <c r="IN61" s="974"/>
      <c r="IO61" s="974"/>
      <c r="IP61" s="974"/>
      <c r="IQ61" s="974"/>
      <c r="IR61" s="974"/>
      <c r="IS61" s="974"/>
      <c r="IT61" s="974"/>
      <c r="IU61" s="974"/>
      <c r="IV61" s="974"/>
    </row>
    <row r="62" spans="1:256" s="865" customFormat="1" ht="11.25" customHeight="1">
      <c r="A62" s="961"/>
      <c r="B62" s="898"/>
      <c r="C62" s="976"/>
      <c r="D62" s="981"/>
      <c r="E62" s="854"/>
      <c r="F62" s="854"/>
      <c r="G62" s="854" t="s">
        <v>11842</v>
      </c>
      <c r="H62" s="700">
        <f>I47</f>
        <v>1</v>
      </c>
      <c r="I62" s="828">
        <v>3.05</v>
      </c>
      <c r="J62" s="828">
        <v>2.2000000000000002</v>
      </c>
      <c r="K62" s="970">
        <v>0.2</v>
      </c>
      <c r="L62" s="985" t="s">
        <v>19797</v>
      </c>
      <c r="M62" s="986">
        <f t="shared" si="3"/>
        <v>6.71</v>
      </c>
      <c r="N62" s="972"/>
      <c r="O62" s="973"/>
      <c r="P62" s="974"/>
      <c r="Q62" s="975"/>
      <c r="R62" s="974"/>
      <c r="S62" s="974"/>
      <c r="T62" s="974"/>
      <c r="U62" s="974"/>
      <c r="V62" s="974"/>
      <c r="W62" s="974"/>
      <c r="X62" s="974"/>
      <c r="Y62" s="974"/>
      <c r="Z62" s="974"/>
      <c r="AA62" s="974"/>
      <c r="AB62" s="974"/>
      <c r="AC62" s="974"/>
      <c r="AD62" s="974"/>
      <c r="AE62" s="974"/>
      <c r="AF62" s="974"/>
      <c r="AG62" s="974"/>
      <c r="AH62" s="974"/>
      <c r="AI62" s="974"/>
      <c r="AJ62" s="974"/>
      <c r="AK62" s="974"/>
      <c r="AL62" s="974"/>
      <c r="AM62" s="974"/>
      <c r="AN62" s="974"/>
      <c r="AO62" s="974"/>
      <c r="AP62" s="974"/>
      <c r="AQ62" s="974"/>
      <c r="AR62" s="974"/>
      <c r="AS62" s="974"/>
      <c r="AT62" s="974"/>
      <c r="AU62" s="974"/>
      <c r="AV62" s="974"/>
      <c r="AW62" s="974"/>
      <c r="AX62" s="974"/>
      <c r="AY62" s="974"/>
      <c r="AZ62" s="974"/>
      <c r="BA62" s="974"/>
      <c r="BB62" s="974"/>
      <c r="BC62" s="974"/>
      <c r="BD62" s="974"/>
      <c r="BE62" s="974"/>
      <c r="BF62" s="974"/>
      <c r="BG62" s="974"/>
      <c r="BH62" s="974"/>
      <c r="BI62" s="974"/>
      <c r="BJ62" s="974"/>
      <c r="BK62" s="974"/>
      <c r="BL62" s="974"/>
      <c r="BM62" s="974"/>
      <c r="BN62" s="974"/>
      <c r="BO62" s="974"/>
      <c r="BP62" s="974"/>
      <c r="BQ62" s="974"/>
      <c r="BR62" s="974"/>
      <c r="BS62" s="974"/>
      <c r="BT62" s="974"/>
      <c r="BU62" s="974"/>
      <c r="BV62" s="974"/>
      <c r="BW62" s="974"/>
      <c r="BX62" s="974"/>
      <c r="BY62" s="974"/>
      <c r="BZ62" s="974"/>
      <c r="CA62" s="974"/>
      <c r="CB62" s="974"/>
      <c r="CC62" s="974"/>
      <c r="CD62" s="974"/>
      <c r="CE62" s="974"/>
      <c r="CF62" s="974"/>
      <c r="CG62" s="974"/>
      <c r="CH62" s="974"/>
      <c r="CI62" s="974"/>
      <c r="CJ62" s="974"/>
      <c r="CK62" s="974"/>
      <c r="CL62" s="974"/>
      <c r="CM62" s="974"/>
      <c r="CN62" s="974"/>
      <c r="CO62" s="974"/>
      <c r="CP62" s="974"/>
      <c r="CQ62" s="974"/>
      <c r="CR62" s="974"/>
      <c r="CS62" s="974"/>
      <c r="CT62" s="974"/>
      <c r="CU62" s="974"/>
      <c r="CV62" s="974"/>
      <c r="CW62" s="974"/>
      <c r="CX62" s="974"/>
      <c r="CY62" s="974"/>
      <c r="CZ62" s="974"/>
      <c r="DA62" s="974"/>
      <c r="DB62" s="974"/>
      <c r="DC62" s="974"/>
      <c r="DD62" s="974"/>
      <c r="DE62" s="974"/>
      <c r="DF62" s="974"/>
      <c r="DG62" s="974"/>
      <c r="DH62" s="974"/>
      <c r="DI62" s="974"/>
      <c r="DJ62" s="974"/>
      <c r="DK62" s="974"/>
      <c r="DL62" s="974"/>
      <c r="DM62" s="974"/>
      <c r="DN62" s="974"/>
      <c r="DO62" s="974"/>
      <c r="DP62" s="974"/>
      <c r="DQ62" s="974"/>
      <c r="DR62" s="974"/>
      <c r="DS62" s="974"/>
      <c r="DT62" s="974"/>
      <c r="DU62" s="974"/>
      <c r="DV62" s="974"/>
      <c r="DW62" s="974"/>
      <c r="DX62" s="974"/>
      <c r="DY62" s="974"/>
      <c r="DZ62" s="974"/>
      <c r="EA62" s="974"/>
      <c r="EB62" s="974"/>
      <c r="EC62" s="974"/>
      <c r="ED62" s="974"/>
      <c r="EE62" s="974"/>
      <c r="EF62" s="974"/>
      <c r="EG62" s="974"/>
      <c r="EH62" s="974"/>
      <c r="EI62" s="974"/>
      <c r="EJ62" s="974"/>
      <c r="EK62" s="974"/>
      <c r="EL62" s="974"/>
      <c r="EM62" s="974"/>
      <c r="EN62" s="974"/>
      <c r="EO62" s="974"/>
      <c r="EP62" s="974"/>
      <c r="EQ62" s="974"/>
      <c r="ER62" s="974"/>
      <c r="ES62" s="974"/>
      <c r="ET62" s="974"/>
      <c r="EU62" s="974"/>
      <c r="EV62" s="974"/>
      <c r="EW62" s="974"/>
      <c r="EX62" s="974"/>
      <c r="EY62" s="974"/>
      <c r="EZ62" s="974"/>
      <c r="FA62" s="974"/>
      <c r="FB62" s="974"/>
      <c r="FC62" s="974"/>
      <c r="FD62" s="974"/>
      <c r="FE62" s="974"/>
      <c r="FF62" s="974"/>
      <c r="FG62" s="974"/>
      <c r="FH62" s="974"/>
      <c r="FI62" s="974"/>
      <c r="FJ62" s="974"/>
      <c r="FK62" s="974"/>
      <c r="FL62" s="974"/>
      <c r="FM62" s="974"/>
      <c r="FN62" s="974"/>
      <c r="FO62" s="974"/>
      <c r="FP62" s="974"/>
      <c r="FQ62" s="974"/>
      <c r="FR62" s="974"/>
      <c r="FS62" s="974"/>
      <c r="FT62" s="974"/>
      <c r="FU62" s="974"/>
      <c r="FV62" s="974"/>
      <c r="FW62" s="974"/>
      <c r="FX62" s="974"/>
      <c r="FY62" s="974"/>
      <c r="FZ62" s="974"/>
      <c r="GA62" s="974"/>
      <c r="GB62" s="974"/>
      <c r="GC62" s="974"/>
      <c r="GD62" s="974"/>
      <c r="GE62" s="974"/>
      <c r="GF62" s="974"/>
      <c r="GG62" s="974"/>
      <c r="GH62" s="974"/>
      <c r="GI62" s="974"/>
      <c r="GJ62" s="974"/>
      <c r="GK62" s="974"/>
      <c r="GL62" s="974"/>
      <c r="GM62" s="974"/>
      <c r="GN62" s="974"/>
      <c r="GO62" s="974"/>
      <c r="GP62" s="974"/>
      <c r="GQ62" s="974"/>
      <c r="GR62" s="974"/>
      <c r="GS62" s="974"/>
      <c r="GT62" s="974"/>
      <c r="GU62" s="974"/>
      <c r="GV62" s="974"/>
      <c r="GW62" s="974"/>
      <c r="GX62" s="974"/>
      <c r="GY62" s="974"/>
      <c r="GZ62" s="974"/>
      <c r="HA62" s="974"/>
      <c r="HB62" s="974"/>
      <c r="HC62" s="974"/>
      <c r="HD62" s="974"/>
      <c r="HE62" s="974"/>
      <c r="HF62" s="974"/>
      <c r="HG62" s="974"/>
      <c r="HH62" s="974"/>
      <c r="HI62" s="974"/>
      <c r="HJ62" s="974"/>
      <c r="HK62" s="974"/>
      <c r="HL62" s="974"/>
      <c r="HM62" s="974"/>
      <c r="HN62" s="974"/>
      <c r="HO62" s="974"/>
      <c r="HP62" s="974"/>
      <c r="HQ62" s="974"/>
      <c r="HR62" s="974"/>
      <c r="HS62" s="974"/>
      <c r="HT62" s="974"/>
      <c r="HU62" s="974"/>
      <c r="HV62" s="974"/>
      <c r="HW62" s="974"/>
      <c r="HX62" s="974"/>
      <c r="HY62" s="974"/>
      <c r="HZ62" s="974"/>
      <c r="IA62" s="974"/>
      <c r="IB62" s="974"/>
      <c r="IC62" s="974"/>
      <c r="ID62" s="974"/>
      <c r="IE62" s="974"/>
      <c r="IF62" s="974"/>
      <c r="IG62" s="974"/>
      <c r="IH62" s="974"/>
      <c r="II62" s="974"/>
      <c r="IJ62" s="974"/>
      <c r="IK62" s="974"/>
      <c r="IL62" s="974"/>
      <c r="IM62" s="974"/>
      <c r="IN62" s="974"/>
      <c r="IO62" s="974"/>
      <c r="IP62" s="974"/>
      <c r="IQ62" s="974"/>
      <c r="IR62" s="974"/>
      <c r="IS62" s="974"/>
      <c r="IT62" s="974"/>
      <c r="IU62" s="974"/>
      <c r="IV62" s="974"/>
    </row>
    <row r="63" spans="1:256" s="865" customFormat="1" ht="11.25" customHeight="1">
      <c r="A63" s="961"/>
      <c r="B63" s="898"/>
      <c r="C63" s="976"/>
      <c r="D63" s="981"/>
      <c r="E63" s="854"/>
      <c r="F63" s="854"/>
      <c r="G63" s="854" t="s">
        <v>11843</v>
      </c>
      <c r="H63" s="700">
        <f>I48</f>
        <v>1</v>
      </c>
      <c r="I63" s="828">
        <v>2.7</v>
      </c>
      <c r="J63" s="828">
        <v>2.5499999999999998</v>
      </c>
      <c r="K63" s="970">
        <v>0.2</v>
      </c>
      <c r="L63" s="985" t="s">
        <v>19797</v>
      </c>
      <c r="M63" s="986">
        <f>I63*J63*H63</f>
        <v>6.8849999999999998</v>
      </c>
      <c r="N63" s="972"/>
      <c r="O63" s="973"/>
      <c r="P63" s="974"/>
      <c r="Q63" s="975"/>
      <c r="R63" s="974"/>
      <c r="S63" s="974"/>
      <c r="T63" s="974"/>
      <c r="U63" s="974"/>
      <c r="V63" s="974"/>
      <c r="W63" s="974"/>
      <c r="X63" s="974"/>
      <c r="Y63" s="974"/>
      <c r="Z63" s="974"/>
      <c r="AA63" s="974"/>
      <c r="AB63" s="974"/>
      <c r="AC63" s="974"/>
      <c r="AD63" s="974"/>
      <c r="AE63" s="974"/>
      <c r="AF63" s="974"/>
      <c r="AG63" s="974"/>
      <c r="AH63" s="974"/>
      <c r="AI63" s="974"/>
      <c r="AJ63" s="974"/>
      <c r="AK63" s="974"/>
      <c r="AL63" s="974"/>
      <c r="AM63" s="974"/>
      <c r="AN63" s="974"/>
      <c r="AO63" s="974"/>
      <c r="AP63" s="974"/>
      <c r="AQ63" s="974"/>
      <c r="AR63" s="974"/>
      <c r="AS63" s="974"/>
      <c r="AT63" s="974"/>
      <c r="AU63" s="974"/>
      <c r="AV63" s="974"/>
      <c r="AW63" s="974"/>
      <c r="AX63" s="974"/>
      <c r="AY63" s="974"/>
      <c r="AZ63" s="974"/>
      <c r="BA63" s="974"/>
      <c r="BB63" s="974"/>
      <c r="BC63" s="974"/>
      <c r="BD63" s="974"/>
      <c r="BE63" s="974"/>
      <c r="BF63" s="974"/>
      <c r="BG63" s="974"/>
      <c r="BH63" s="974"/>
      <c r="BI63" s="974"/>
      <c r="BJ63" s="974"/>
      <c r="BK63" s="974"/>
      <c r="BL63" s="974"/>
      <c r="BM63" s="974"/>
      <c r="BN63" s="974"/>
      <c r="BO63" s="974"/>
      <c r="BP63" s="974"/>
      <c r="BQ63" s="974"/>
      <c r="BR63" s="974"/>
      <c r="BS63" s="974"/>
      <c r="BT63" s="974"/>
      <c r="BU63" s="974"/>
      <c r="BV63" s="974"/>
      <c r="BW63" s="974"/>
      <c r="BX63" s="974"/>
      <c r="BY63" s="974"/>
      <c r="BZ63" s="974"/>
      <c r="CA63" s="974"/>
      <c r="CB63" s="974"/>
      <c r="CC63" s="974"/>
      <c r="CD63" s="974"/>
      <c r="CE63" s="974"/>
      <c r="CF63" s="974"/>
      <c r="CG63" s="974"/>
      <c r="CH63" s="974"/>
      <c r="CI63" s="974"/>
      <c r="CJ63" s="974"/>
      <c r="CK63" s="974"/>
      <c r="CL63" s="974"/>
      <c r="CM63" s="974"/>
      <c r="CN63" s="974"/>
      <c r="CO63" s="974"/>
      <c r="CP63" s="974"/>
      <c r="CQ63" s="974"/>
      <c r="CR63" s="974"/>
      <c r="CS63" s="974"/>
      <c r="CT63" s="974"/>
      <c r="CU63" s="974"/>
      <c r="CV63" s="974"/>
      <c r="CW63" s="974"/>
      <c r="CX63" s="974"/>
      <c r="CY63" s="974"/>
      <c r="CZ63" s="974"/>
      <c r="DA63" s="974"/>
      <c r="DB63" s="974"/>
      <c r="DC63" s="974"/>
      <c r="DD63" s="974"/>
      <c r="DE63" s="974"/>
      <c r="DF63" s="974"/>
      <c r="DG63" s="974"/>
      <c r="DH63" s="974"/>
      <c r="DI63" s="974"/>
      <c r="DJ63" s="974"/>
      <c r="DK63" s="974"/>
      <c r="DL63" s="974"/>
      <c r="DM63" s="974"/>
      <c r="DN63" s="974"/>
      <c r="DO63" s="974"/>
      <c r="DP63" s="974"/>
      <c r="DQ63" s="974"/>
      <c r="DR63" s="974"/>
      <c r="DS63" s="974"/>
      <c r="DT63" s="974"/>
      <c r="DU63" s="974"/>
      <c r="DV63" s="974"/>
      <c r="DW63" s="974"/>
      <c r="DX63" s="974"/>
      <c r="DY63" s="974"/>
      <c r="DZ63" s="974"/>
      <c r="EA63" s="974"/>
      <c r="EB63" s="974"/>
      <c r="EC63" s="974"/>
      <c r="ED63" s="974"/>
      <c r="EE63" s="974"/>
      <c r="EF63" s="974"/>
      <c r="EG63" s="974"/>
      <c r="EH63" s="974"/>
      <c r="EI63" s="974"/>
      <c r="EJ63" s="974"/>
      <c r="EK63" s="974"/>
      <c r="EL63" s="974"/>
      <c r="EM63" s="974"/>
      <c r="EN63" s="974"/>
      <c r="EO63" s="974"/>
      <c r="EP63" s="974"/>
      <c r="EQ63" s="974"/>
      <c r="ER63" s="974"/>
      <c r="ES63" s="974"/>
      <c r="ET63" s="974"/>
      <c r="EU63" s="974"/>
      <c r="EV63" s="974"/>
      <c r="EW63" s="974"/>
      <c r="EX63" s="974"/>
      <c r="EY63" s="974"/>
      <c r="EZ63" s="974"/>
      <c r="FA63" s="974"/>
      <c r="FB63" s="974"/>
      <c r="FC63" s="974"/>
      <c r="FD63" s="974"/>
      <c r="FE63" s="974"/>
      <c r="FF63" s="974"/>
      <c r="FG63" s="974"/>
      <c r="FH63" s="974"/>
      <c r="FI63" s="974"/>
      <c r="FJ63" s="974"/>
      <c r="FK63" s="974"/>
      <c r="FL63" s="974"/>
      <c r="FM63" s="974"/>
      <c r="FN63" s="974"/>
      <c r="FO63" s="974"/>
      <c r="FP63" s="974"/>
      <c r="FQ63" s="974"/>
      <c r="FR63" s="974"/>
      <c r="FS63" s="974"/>
      <c r="FT63" s="974"/>
      <c r="FU63" s="974"/>
      <c r="FV63" s="974"/>
      <c r="FW63" s="974"/>
      <c r="FX63" s="974"/>
      <c r="FY63" s="974"/>
      <c r="FZ63" s="974"/>
      <c r="GA63" s="974"/>
      <c r="GB63" s="974"/>
      <c r="GC63" s="974"/>
      <c r="GD63" s="974"/>
      <c r="GE63" s="974"/>
      <c r="GF63" s="974"/>
      <c r="GG63" s="974"/>
      <c r="GH63" s="974"/>
      <c r="GI63" s="974"/>
      <c r="GJ63" s="974"/>
      <c r="GK63" s="974"/>
      <c r="GL63" s="974"/>
      <c r="GM63" s="974"/>
      <c r="GN63" s="974"/>
      <c r="GO63" s="974"/>
      <c r="GP63" s="974"/>
      <c r="GQ63" s="974"/>
      <c r="GR63" s="974"/>
      <c r="GS63" s="974"/>
      <c r="GT63" s="974"/>
      <c r="GU63" s="974"/>
      <c r="GV63" s="974"/>
      <c r="GW63" s="974"/>
      <c r="GX63" s="974"/>
      <c r="GY63" s="974"/>
      <c r="GZ63" s="974"/>
      <c r="HA63" s="974"/>
      <c r="HB63" s="974"/>
      <c r="HC63" s="974"/>
      <c r="HD63" s="974"/>
      <c r="HE63" s="974"/>
      <c r="HF63" s="974"/>
      <c r="HG63" s="974"/>
      <c r="HH63" s="974"/>
      <c r="HI63" s="974"/>
      <c r="HJ63" s="974"/>
      <c r="HK63" s="974"/>
      <c r="HL63" s="974"/>
      <c r="HM63" s="974"/>
      <c r="HN63" s="974"/>
      <c r="HO63" s="974"/>
      <c r="HP63" s="974"/>
      <c r="HQ63" s="974"/>
      <c r="HR63" s="974"/>
      <c r="HS63" s="974"/>
      <c r="HT63" s="974"/>
      <c r="HU63" s="974"/>
      <c r="HV63" s="974"/>
      <c r="HW63" s="974"/>
      <c r="HX63" s="974"/>
      <c r="HY63" s="974"/>
      <c r="HZ63" s="974"/>
      <c r="IA63" s="974"/>
      <c r="IB63" s="974"/>
      <c r="IC63" s="974"/>
      <c r="ID63" s="974"/>
      <c r="IE63" s="974"/>
      <c r="IF63" s="974"/>
      <c r="IG63" s="974"/>
      <c r="IH63" s="974"/>
      <c r="II63" s="974"/>
      <c r="IJ63" s="974"/>
      <c r="IK63" s="974"/>
      <c r="IL63" s="974"/>
      <c r="IM63" s="974"/>
      <c r="IN63" s="974"/>
      <c r="IO63" s="974"/>
      <c r="IP63" s="974"/>
      <c r="IQ63" s="974"/>
      <c r="IR63" s="974"/>
      <c r="IS63" s="974"/>
      <c r="IT63" s="974"/>
      <c r="IU63" s="974"/>
      <c r="IV63" s="974"/>
    </row>
    <row r="64" spans="1:256" s="865" customFormat="1" ht="11.25" customHeight="1">
      <c r="A64" s="961"/>
      <c r="B64" s="898"/>
      <c r="C64" s="976"/>
      <c r="D64" s="981"/>
      <c r="E64" s="982"/>
      <c r="F64" s="982"/>
      <c r="G64" s="970"/>
      <c r="H64" s="854"/>
      <c r="I64" s="970"/>
      <c r="J64" s="970"/>
      <c r="K64" s="970"/>
      <c r="L64" s="985"/>
      <c r="M64" s="986"/>
      <c r="N64" s="972"/>
      <c r="O64" s="973"/>
      <c r="P64" s="974"/>
      <c r="Q64" s="975"/>
      <c r="R64" s="974"/>
      <c r="S64" s="974"/>
      <c r="T64" s="974"/>
      <c r="U64" s="974"/>
      <c r="V64" s="974"/>
      <c r="W64" s="974"/>
      <c r="X64" s="974"/>
      <c r="Y64" s="974"/>
      <c r="Z64" s="974"/>
      <c r="AA64" s="974"/>
      <c r="AB64" s="974"/>
      <c r="AC64" s="974"/>
      <c r="AD64" s="974"/>
      <c r="AE64" s="974"/>
      <c r="AF64" s="974"/>
      <c r="AG64" s="974"/>
      <c r="AH64" s="974"/>
      <c r="AI64" s="974"/>
      <c r="AJ64" s="974"/>
      <c r="AK64" s="974"/>
      <c r="AL64" s="974"/>
      <c r="AM64" s="974"/>
      <c r="AN64" s="974"/>
      <c r="AO64" s="974"/>
      <c r="AP64" s="974"/>
      <c r="AQ64" s="974"/>
      <c r="AR64" s="974"/>
      <c r="AS64" s="974"/>
      <c r="AT64" s="974"/>
      <c r="AU64" s="974"/>
      <c r="AV64" s="974"/>
      <c r="AW64" s="974"/>
      <c r="AX64" s="974"/>
      <c r="AY64" s="974"/>
      <c r="AZ64" s="974"/>
      <c r="BA64" s="974"/>
      <c r="BB64" s="974"/>
      <c r="BC64" s="974"/>
      <c r="BD64" s="974"/>
      <c r="BE64" s="974"/>
      <c r="BF64" s="974"/>
      <c r="BG64" s="974"/>
      <c r="BH64" s="974"/>
      <c r="BI64" s="974"/>
      <c r="BJ64" s="974"/>
      <c r="BK64" s="974"/>
      <c r="BL64" s="974"/>
      <c r="BM64" s="974"/>
      <c r="BN64" s="974"/>
      <c r="BO64" s="974"/>
      <c r="BP64" s="974"/>
      <c r="BQ64" s="974"/>
      <c r="BR64" s="974"/>
      <c r="BS64" s="974"/>
      <c r="BT64" s="974"/>
      <c r="BU64" s="974"/>
      <c r="BV64" s="974"/>
      <c r="BW64" s="974"/>
      <c r="BX64" s="974"/>
      <c r="BY64" s="974"/>
      <c r="BZ64" s="974"/>
      <c r="CA64" s="974"/>
      <c r="CB64" s="974"/>
      <c r="CC64" s="974"/>
      <c r="CD64" s="974"/>
      <c r="CE64" s="974"/>
      <c r="CF64" s="974"/>
      <c r="CG64" s="974"/>
      <c r="CH64" s="974"/>
      <c r="CI64" s="974"/>
      <c r="CJ64" s="974"/>
      <c r="CK64" s="974"/>
      <c r="CL64" s="974"/>
      <c r="CM64" s="974"/>
      <c r="CN64" s="974"/>
      <c r="CO64" s="974"/>
      <c r="CP64" s="974"/>
      <c r="CQ64" s="974"/>
      <c r="CR64" s="974"/>
      <c r="CS64" s="974"/>
      <c r="CT64" s="974"/>
      <c r="CU64" s="974"/>
      <c r="CV64" s="974"/>
      <c r="CW64" s="974"/>
      <c r="CX64" s="974"/>
      <c r="CY64" s="974"/>
      <c r="CZ64" s="974"/>
      <c r="DA64" s="974"/>
      <c r="DB64" s="974"/>
      <c r="DC64" s="974"/>
      <c r="DD64" s="974"/>
      <c r="DE64" s="974"/>
      <c r="DF64" s="974"/>
      <c r="DG64" s="974"/>
      <c r="DH64" s="974"/>
      <c r="DI64" s="974"/>
      <c r="DJ64" s="974"/>
      <c r="DK64" s="974"/>
      <c r="DL64" s="974"/>
      <c r="DM64" s="974"/>
      <c r="DN64" s="974"/>
      <c r="DO64" s="974"/>
      <c r="DP64" s="974"/>
      <c r="DQ64" s="974"/>
      <c r="DR64" s="974"/>
      <c r="DS64" s="974"/>
      <c r="DT64" s="974"/>
      <c r="DU64" s="974"/>
      <c r="DV64" s="974"/>
      <c r="DW64" s="974"/>
      <c r="DX64" s="974"/>
      <c r="DY64" s="974"/>
      <c r="DZ64" s="974"/>
      <c r="EA64" s="974"/>
      <c r="EB64" s="974"/>
      <c r="EC64" s="974"/>
      <c r="ED64" s="974"/>
      <c r="EE64" s="974"/>
      <c r="EF64" s="974"/>
      <c r="EG64" s="974"/>
      <c r="EH64" s="974"/>
      <c r="EI64" s="974"/>
      <c r="EJ64" s="974"/>
      <c r="EK64" s="974"/>
      <c r="EL64" s="974"/>
      <c r="EM64" s="974"/>
      <c r="EN64" s="974"/>
      <c r="EO64" s="974"/>
      <c r="EP64" s="974"/>
      <c r="EQ64" s="974"/>
      <c r="ER64" s="974"/>
      <c r="ES64" s="974"/>
      <c r="ET64" s="974"/>
      <c r="EU64" s="974"/>
      <c r="EV64" s="974"/>
      <c r="EW64" s="974"/>
      <c r="EX64" s="974"/>
      <c r="EY64" s="974"/>
      <c r="EZ64" s="974"/>
      <c r="FA64" s="974"/>
      <c r="FB64" s="974"/>
      <c r="FC64" s="974"/>
      <c r="FD64" s="974"/>
      <c r="FE64" s="974"/>
      <c r="FF64" s="974"/>
      <c r="FG64" s="974"/>
      <c r="FH64" s="974"/>
      <c r="FI64" s="974"/>
      <c r="FJ64" s="974"/>
      <c r="FK64" s="974"/>
      <c r="FL64" s="974"/>
      <c r="FM64" s="974"/>
      <c r="FN64" s="974"/>
      <c r="FO64" s="974"/>
      <c r="FP64" s="974"/>
      <c r="FQ64" s="974"/>
      <c r="FR64" s="974"/>
      <c r="FS64" s="974"/>
      <c r="FT64" s="974"/>
      <c r="FU64" s="974"/>
      <c r="FV64" s="974"/>
      <c r="FW64" s="974"/>
      <c r="FX64" s="974"/>
      <c r="FY64" s="974"/>
      <c r="FZ64" s="974"/>
      <c r="GA64" s="974"/>
      <c r="GB64" s="974"/>
      <c r="GC64" s="974"/>
      <c r="GD64" s="974"/>
      <c r="GE64" s="974"/>
      <c r="GF64" s="974"/>
      <c r="GG64" s="974"/>
      <c r="GH64" s="974"/>
      <c r="GI64" s="974"/>
      <c r="GJ64" s="974"/>
      <c r="GK64" s="974"/>
      <c r="GL64" s="974"/>
      <c r="GM64" s="974"/>
      <c r="GN64" s="974"/>
      <c r="GO64" s="974"/>
      <c r="GP64" s="974"/>
      <c r="GQ64" s="974"/>
      <c r="GR64" s="974"/>
      <c r="GS64" s="974"/>
      <c r="GT64" s="974"/>
      <c r="GU64" s="974"/>
      <c r="GV64" s="974"/>
      <c r="GW64" s="974"/>
      <c r="GX64" s="974"/>
      <c r="GY64" s="974"/>
      <c r="GZ64" s="974"/>
      <c r="HA64" s="974"/>
      <c r="HB64" s="974"/>
      <c r="HC64" s="974"/>
      <c r="HD64" s="974"/>
      <c r="HE64" s="974"/>
      <c r="HF64" s="974"/>
      <c r="HG64" s="974"/>
      <c r="HH64" s="974"/>
      <c r="HI64" s="974"/>
      <c r="HJ64" s="974"/>
      <c r="HK64" s="974"/>
      <c r="HL64" s="974"/>
      <c r="HM64" s="974"/>
      <c r="HN64" s="974"/>
      <c r="HO64" s="974"/>
      <c r="HP64" s="974"/>
      <c r="HQ64" s="974"/>
      <c r="HR64" s="974"/>
      <c r="HS64" s="974"/>
      <c r="HT64" s="974"/>
      <c r="HU64" s="974"/>
      <c r="HV64" s="974"/>
      <c r="HW64" s="974"/>
      <c r="HX64" s="974"/>
      <c r="HY64" s="974"/>
      <c r="HZ64" s="974"/>
      <c r="IA64" s="974"/>
      <c r="IB64" s="974"/>
      <c r="IC64" s="974"/>
      <c r="ID64" s="974"/>
      <c r="IE64" s="974"/>
      <c r="IF64" s="974"/>
      <c r="IG64" s="974"/>
      <c r="IH64" s="974"/>
      <c r="II64" s="974"/>
      <c r="IJ64" s="974"/>
      <c r="IK64" s="974"/>
      <c r="IL64" s="974"/>
      <c r="IM64" s="974"/>
      <c r="IN64" s="974"/>
      <c r="IO64" s="974"/>
      <c r="IP64" s="974"/>
      <c r="IQ64" s="974"/>
      <c r="IR64" s="974"/>
      <c r="IS64" s="974"/>
      <c r="IT64" s="974"/>
      <c r="IU64" s="974"/>
      <c r="IV64" s="974"/>
    </row>
    <row r="65" spans="1:256" s="865" customFormat="1" ht="11.25" customHeight="1">
      <c r="A65" s="961" t="s">
        <v>11845</v>
      </c>
      <c r="B65" s="898" t="s">
        <v>70</v>
      </c>
      <c r="C65" s="898">
        <v>79472</v>
      </c>
      <c r="D65" s="836" t="str">
        <f>PROPER(IF(B65="Saneago",VLOOKUP(C65,'SANEAGO-FEV.2016'!A:B,2,0),IF(B65="SINAPI",VLOOKUP(C65,'SINAPI-FEV.2017'!A:D,2,0),IF(B65="Cotação",VLOOKUP(C65,COTAÇÃO!A:D,2,0),IF(B65="Composição",VLOOKUP(C65,COMPOSIÇÃO!A:D,2,0))))))</f>
        <v>Regularizacao De Superficies Em Terra Com Motoniveladora</v>
      </c>
      <c r="E65" s="837"/>
      <c r="F65" s="837"/>
      <c r="G65" s="987"/>
      <c r="H65" s="987"/>
      <c r="I65" s="987"/>
      <c r="J65" s="987"/>
      <c r="K65" s="988" t="s">
        <v>27</v>
      </c>
      <c r="L65" s="988" t="s">
        <v>19797</v>
      </c>
      <c r="M65" s="840">
        <f>SUM(M54:M63)</f>
        <v>60.440099999999994</v>
      </c>
      <c r="N65" s="972"/>
      <c r="O65" s="973"/>
      <c r="P65" s="974"/>
      <c r="Q65" s="975"/>
      <c r="R65" s="974"/>
      <c r="S65" s="974"/>
      <c r="T65" s="974"/>
      <c r="U65" s="974"/>
      <c r="V65" s="974"/>
      <c r="W65" s="974"/>
      <c r="X65" s="974"/>
      <c r="Y65" s="974"/>
      <c r="Z65" s="974"/>
      <c r="AA65" s="974"/>
      <c r="AB65" s="974"/>
      <c r="AC65" s="974"/>
      <c r="AD65" s="974"/>
      <c r="AE65" s="974"/>
      <c r="AF65" s="974"/>
      <c r="AG65" s="974"/>
      <c r="AH65" s="974"/>
      <c r="AI65" s="974"/>
      <c r="AJ65" s="974"/>
      <c r="AK65" s="974"/>
      <c r="AL65" s="974"/>
      <c r="AM65" s="974"/>
      <c r="AN65" s="974"/>
      <c r="AO65" s="974"/>
      <c r="AP65" s="974"/>
      <c r="AQ65" s="974"/>
      <c r="AR65" s="974"/>
      <c r="AS65" s="974"/>
      <c r="AT65" s="974"/>
      <c r="AU65" s="974"/>
      <c r="AV65" s="974"/>
      <c r="AW65" s="974"/>
      <c r="AX65" s="974"/>
      <c r="AY65" s="974"/>
      <c r="AZ65" s="974"/>
      <c r="BA65" s="974"/>
      <c r="BB65" s="974"/>
      <c r="BC65" s="974"/>
      <c r="BD65" s="974"/>
      <c r="BE65" s="974"/>
      <c r="BF65" s="974"/>
      <c r="BG65" s="974"/>
      <c r="BH65" s="974"/>
      <c r="BI65" s="974"/>
      <c r="BJ65" s="974"/>
      <c r="BK65" s="974"/>
      <c r="BL65" s="974"/>
      <c r="BM65" s="974"/>
      <c r="BN65" s="974"/>
      <c r="BO65" s="974"/>
      <c r="BP65" s="974"/>
      <c r="BQ65" s="974"/>
      <c r="BR65" s="974"/>
      <c r="BS65" s="974"/>
      <c r="BT65" s="974"/>
      <c r="BU65" s="974"/>
      <c r="BV65" s="974"/>
      <c r="BW65" s="974"/>
      <c r="BX65" s="974"/>
      <c r="BY65" s="974"/>
      <c r="BZ65" s="974"/>
      <c r="CA65" s="974"/>
      <c r="CB65" s="974"/>
      <c r="CC65" s="974"/>
      <c r="CD65" s="974"/>
      <c r="CE65" s="974"/>
      <c r="CF65" s="974"/>
      <c r="CG65" s="974"/>
      <c r="CH65" s="974"/>
      <c r="CI65" s="974"/>
      <c r="CJ65" s="974"/>
      <c r="CK65" s="974"/>
      <c r="CL65" s="974"/>
      <c r="CM65" s="974"/>
      <c r="CN65" s="974"/>
      <c r="CO65" s="974"/>
      <c r="CP65" s="974"/>
      <c r="CQ65" s="974"/>
      <c r="CR65" s="974"/>
      <c r="CS65" s="974"/>
      <c r="CT65" s="974"/>
      <c r="CU65" s="974"/>
      <c r="CV65" s="974"/>
      <c r="CW65" s="974"/>
      <c r="CX65" s="974"/>
      <c r="CY65" s="974"/>
      <c r="CZ65" s="974"/>
      <c r="DA65" s="974"/>
      <c r="DB65" s="974"/>
      <c r="DC65" s="974"/>
      <c r="DD65" s="974"/>
      <c r="DE65" s="974"/>
      <c r="DF65" s="974"/>
      <c r="DG65" s="974"/>
      <c r="DH65" s="974"/>
      <c r="DI65" s="974"/>
      <c r="DJ65" s="974"/>
      <c r="DK65" s="974"/>
      <c r="DL65" s="974"/>
      <c r="DM65" s="974"/>
      <c r="DN65" s="974"/>
      <c r="DO65" s="974"/>
      <c r="DP65" s="974"/>
      <c r="DQ65" s="974"/>
      <c r="DR65" s="974"/>
      <c r="DS65" s="974"/>
      <c r="DT65" s="974"/>
      <c r="DU65" s="974"/>
      <c r="DV65" s="974"/>
      <c r="DW65" s="974"/>
      <c r="DX65" s="974"/>
      <c r="DY65" s="974"/>
      <c r="DZ65" s="974"/>
      <c r="EA65" s="974"/>
      <c r="EB65" s="974"/>
      <c r="EC65" s="974"/>
      <c r="ED65" s="974"/>
      <c r="EE65" s="974"/>
      <c r="EF65" s="974"/>
      <c r="EG65" s="974"/>
      <c r="EH65" s="974"/>
      <c r="EI65" s="974"/>
      <c r="EJ65" s="974"/>
      <c r="EK65" s="974"/>
      <c r="EL65" s="974"/>
      <c r="EM65" s="974"/>
      <c r="EN65" s="974"/>
      <c r="EO65" s="974"/>
      <c r="EP65" s="974"/>
      <c r="EQ65" s="974"/>
      <c r="ER65" s="974"/>
      <c r="ES65" s="974"/>
      <c r="ET65" s="974"/>
      <c r="EU65" s="974"/>
      <c r="EV65" s="974"/>
      <c r="EW65" s="974"/>
      <c r="EX65" s="974"/>
      <c r="EY65" s="974"/>
      <c r="EZ65" s="974"/>
      <c r="FA65" s="974"/>
      <c r="FB65" s="974"/>
      <c r="FC65" s="974"/>
      <c r="FD65" s="974"/>
      <c r="FE65" s="974"/>
      <c r="FF65" s="974"/>
      <c r="FG65" s="974"/>
      <c r="FH65" s="974"/>
      <c r="FI65" s="974"/>
      <c r="FJ65" s="974"/>
      <c r="FK65" s="974"/>
      <c r="FL65" s="974"/>
      <c r="FM65" s="974"/>
      <c r="FN65" s="974"/>
      <c r="FO65" s="974"/>
      <c r="FP65" s="974"/>
      <c r="FQ65" s="974"/>
      <c r="FR65" s="974"/>
      <c r="FS65" s="974"/>
      <c r="FT65" s="974"/>
      <c r="FU65" s="974"/>
      <c r="FV65" s="974"/>
      <c r="FW65" s="974"/>
      <c r="FX65" s="974"/>
      <c r="FY65" s="974"/>
      <c r="FZ65" s="974"/>
      <c r="GA65" s="974"/>
      <c r="GB65" s="974"/>
      <c r="GC65" s="974"/>
      <c r="GD65" s="974"/>
      <c r="GE65" s="974"/>
      <c r="GF65" s="974"/>
      <c r="GG65" s="974"/>
      <c r="GH65" s="974"/>
      <c r="GI65" s="974"/>
      <c r="GJ65" s="974"/>
      <c r="GK65" s="974"/>
      <c r="GL65" s="974"/>
      <c r="GM65" s="974"/>
      <c r="GN65" s="974"/>
      <c r="GO65" s="974"/>
      <c r="GP65" s="974"/>
      <c r="GQ65" s="974"/>
      <c r="GR65" s="974"/>
      <c r="GS65" s="974"/>
      <c r="GT65" s="974"/>
      <c r="GU65" s="974"/>
      <c r="GV65" s="974"/>
      <c r="GW65" s="974"/>
      <c r="GX65" s="974"/>
      <c r="GY65" s="974"/>
      <c r="GZ65" s="974"/>
      <c r="HA65" s="974"/>
      <c r="HB65" s="974"/>
      <c r="HC65" s="974"/>
      <c r="HD65" s="974"/>
      <c r="HE65" s="974"/>
      <c r="HF65" s="974"/>
      <c r="HG65" s="974"/>
      <c r="HH65" s="974"/>
      <c r="HI65" s="974"/>
      <c r="HJ65" s="974"/>
      <c r="HK65" s="974"/>
      <c r="HL65" s="974"/>
      <c r="HM65" s="974"/>
      <c r="HN65" s="974"/>
      <c r="HO65" s="974"/>
      <c r="HP65" s="974"/>
      <c r="HQ65" s="974"/>
      <c r="HR65" s="974"/>
      <c r="HS65" s="974"/>
      <c r="HT65" s="974"/>
      <c r="HU65" s="974"/>
      <c r="HV65" s="974"/>
      <c r="HW65" s="974"/>
      <c r="HX65" s="974"/>
      <c r="HY65" s="974"/>
      <c r="HZ65" s="974"/>
      <c r="IA65" s="974"/>
      <c r="IB65" s="974"/>
      <c r="IC65" s="974"/>
      <c r="ID65" s="974"/>
      <c r="IE65" s="974"/>
      <c r="IF65" s="974"/>
      <c r="IG65" s="974"/>
      <c r="IH65" s="974"/>
      <c r="II65" s="974"/>
      <c r="IJ65" s="974"/>
      <c r="IK65" s="974"/>
      <c r="IL65" s="974"/>
      <c r="IM65" s="974"/>
      <c r="IN65" s="974"/>
      <c r="IO65" s="974"/>
      <c r="IP65" s="974"/>
      <c r="IQ65" s="974"/>
      <c r="IR65" s="974"/>
      <c r="IS65" s="974"/>
      <c r="IT65" s="974"/>
      <c r="IU65" s="974"/>
      <c r="IV65" s="974"/>
    </row>
    <row r="66" spans="1:256" s="865" customFormat="1" ht="11.25" customHeight="1">
      <c r="A66" s="961"/>
      <c r="B66" s="898"/>
      <c r="C66" s="898"/>
      <c r="D66" s="989"/>
      <c r="E66" s="990"/>
      <c r="F66" s="990"/>
      <c r="G66" s="970" t="s">
        <v>30</v>
      </c>
      <c r="H66" s="970" t="s">
        <v>1275</v>
      </c>
      <c r="I66" s="970" t="s">
        <v>17</v>
      </c>
      <c r="J66" s="970" t="s">
        <v>19</v>
      </c>
      <c r="K66" s="970" t="s">
        <v>32</v>
      </c>
      <c r="L66" s="983"/>
      <c r="M66" s="984"/>
      <c r="N66" s="972"/>
      <c r="O66" s="973"/>
      <c r="P66" s="974"/>
      <c r="Q66" s="975"/>
      <c r="R66" s="974"/>
      <c r="S66" s="974"/>
      <c r="T66" s="974"/>
      <c r="U66" s="974"/>
      <c r="V66" s="974"/>
      <c r="W66" s="974"/>
      <c r="X66" s="974"/>
      <c r="Y66" s="974"/>
      <c r="Z66" s="974"/>
      <c r="AA66" s="974"/>
      <c r="AB66" s="974"/>
      <c r="AC66" s="974"/>
      <c r="AD66" s="974"/>
      <c r="AE66" s="974"/>
      <c r="AF66" s="974"/>
      <c r="AG66" s="974"/>
      <c r="AH66" s="974"/>
      <c r="AI66" s="974"/>
      <c r="AJ66" s="974"/>
      <c r="AK66" s="974"/>
      <c r="AL66" s="974"/>
      <c r="AM66" s="974"/>
      <c r="AN66" s="974"/>
      <c r="AO66" s="974"/>
      <c r="AP66" s="974"/>
      <c r="AQ66" s="974"/>
      <c r="AR66" s="974"/>
      <c r="AS66" s="974"/>
      <c r="AT66" s="974"/>
      <c r="AU66" s="974"/>
      <c r="AV66" s="974"/>
      <c r="AW66" s="974"/>
      <c r="AX66" s="974"/>
      <c r="AY66" s="974"/>
      <c r="AZ66" s="974"/>
      <c r="BA66" s="974"/>
      <c r="BB66" s="974"/>
      <c r="BC66" s="974"/>
      <c r="BD66" s="974"/>
      <c r="BE66" s="974"/>
      <c r="BF66" s="974"/>
      <c r="BG66" s="974"/>
      <c r="BH66" s="974"/>
      <c r="BI66" s="974"/>
      <c r="BJ66" s="974"/>
      <c r="BK66" s="974"/>
      <c r="BL66" s="974"/>
      <c r="BM66" s="974"/>
      <c r="BN66" s="974"/>
      <c r="BO66" s="974"/>
      <c r="BP66" s="974"/>
      <c r="BQ66" s="974"/>
      <c r="BR66" s="974"/>
      <c r="BS66" s="974"/>
      <c r="BT66" s="974"/>
      <c r="BU66" s="974"/>
      <c r="BV66" s="974"/>
      <c r="BW66" s="974"/>
      <c r="BX66" s="974"/>
      <c r="BY66" s="974"/>
      <c r="BZ66" s="974"/>
      <c r="CA66" s="974"/>
      <c r="CB66" s="974"/>
      <c r="CC66" s="974"/>
      <c r="CD66" s="974"/>
      <c r="CE66" s="974"/>
      <c r="CF66" s="974"/>
      <c r="CG66" s="974"/>
      <c r="CH66" s="974"/>
      <c r="CI66" s="974"/>
      <c r="CJ66" s="974"/>
      <c r="CK66" s="974"/>
      <c r="CL66" s="974"/>
      <c r="CM66" s="974"/>
      <c r="CN66" s="974"/>
      <c r="CO66" s="974"/>
      <c r="CP66" s="974"/>
      <c r="CQ66" s="974"/>
      <c r="CR66" s="974"/>
      <c r="CS66" s="974"/>
      <c r="CT66" s="974"/>
      <c r="CU66" s="974"/>
      <c r="CV66" s="974"/>
      <c r="CW66" s="974"/>
      <c r="CX66" s="974"/>
      <c r="CY66" s="974"/>
      <c r="CZ66" s="974"/>
      <c r="DA66" s="974"/>
      <c r="DB66" s="974"/>
      <c r="DC66" s="974"/>
      <c r="DD66" s="974"/>
      <c r="DE66" s="974"/>
      <c r="DF66" s="974"/>
      <c r="DG66" s="974"/>
      <c r="DH66" s="974"/>
      <c r="DI66" s="974"/>
      <c r="DJ66" s="974"/>
      <c r="DK66" s="974"/>
      <c r="DL66" s="974"/>
      <c r="DM66" s="974"/>
      <c r="DN66" s="974"/>
      <c r="DO66" s="974"/>
      <c r="DP66" s="974"/>
      <c r="DQ66" s="974"/>
      <c r="DR66" s="974"/>
      <c r="DS66" s="974"/>
      <c r="DT66" s="974"/>
      <c r="DU66" s="974"/>
      <c r="DV66" s="974"/>
      <c r="DW66" s="974"/>
      <c r="DX66" s="974"/>
      <c r="DY66" s="974"/>
      <c r="DZ66" s="974"/>
      <c r="EA66" s="974"/>
      <c r="EB66" s="974"/>
      <c r="EC66" s="974"/>
      <c r="ED66" s="974"/>
      <c r="EE66" s="974"/>
      <c r="EF66" s="974"/>
      <c r="EG66" s="974"/>
      <c r="EH66" s="974"/>
      <c r="EI66" s="974"/>
      <c r="EJ66" s="974"/>
      <c r="EK66" s="974"/>
      <c r="EL66" s="974"/>
      <c r="EM66" s="974"/>
      <c r="EN66" s="974"/>
      <c r="EO66" s="974"/>
      <c r="EP66" s="974"/>
      <c r="EQ66" s="974"/>
      <c r="ER66" s="974"/>
      <c r="ES66" s="974"/>
      <c r="ET66" s="974"/>
      <c r="EU66" s="974"/>
      <c r="EV66" s="974"/>
      <c r="EW66" s="974"/>
      <c r="EX66" s="974"/>
      <c r="EY66" s="974"/>
      <c r="EZ66" s="974"/>
      <c r="FA66" s="974"/>
      <c r="FB66" s="974"/>
      <c r="FC66" s="974"/>
      <c r="FD66" s="974"/>
      <c r="FE66" s="974"/>
      <c r="FF66" s="974"/>
      <c r="FG66" s="974"/>
      <c r="FH66" s="974"/>
      <c r="FI66" s="974"/>
      <c r="FJ66" s="974"/>
      <c r="FK66" s="974"/>
      <c r="FL66" s="974"/>
      <c r="FM66" s="974"/>
      <c r="FN66" s="974"/>
      <c r="FO66" s="974"/>
      <c r="FP66" s="974"/>
      <c r="FQ66" s="974"/>
      <c r="FR66" s="974"/>
      <c r="FS66" s="974"/>
      <c r="FT66" s="974"/>
      <c r="FU66" s="974"/>
      <c r="FV66" s="974"/>
      <c r="FW66" s="974"/>
      <c r="FX66" s="974"/>
      <c r="FY66" s="974"/>
      <c r="FZ66" s="974"/>
      <c r="GA66" s="974"/>
      <c r="GB66" s="974"/>
      <c r="GC66" s="974"/>
      <c r="GD66" s="974"/>
      <c r="GE66" s="974"/>
      <c r="GF66" s="974"/>
      <c r="GG66" s="974"/>
      <c r="GH66" s="974"/>
      <c r="GI66" s="974"/>
      <c r="GJ66" s="974"/>
      <c r="GK66" s="974"/>
      <c r="GL66" s="974"/>
      <c r="GM66" s="974"/>
      <c r="GN66" s="974"/>
      <c r="GO66" s="974"/>
      <c r="GP66" s="974"/>
      <c r="GQ66" s="974"/>
      <c r="GR66" s="974"/>
      <c r="GS66" s="974"/>
      <c r="GT66" s="974"/>
      <c r="GU66" s="974"/>
      <c r="GV66" s="974"/>
      <c r="GW66" s="974"/>
      <c r="GX66" s="974"/>
      <c r="GY66" s="974"/>
      <c r="GZ66" s="974"/>
      <c r="HA66" s="974"/>
      <c r="HB66" s="974"/>
      <c r="HC66" s="974"/>
      <c r="HD66" s="974"/>
      <c r="HE66" s="974"/>
      <c r="HF66" s="974"/>
      <c r="HG66" s="974"/>
      <c r="HH66" s="974"/>
      <c r="HI66" s="974"/>
      <c r="HJ66" s="974"/>
      <c r="HK66" s="974"/>
      <c r="HL66" s="974"/>
      <c r="HM66" s="974"/>
      <c r="HN66" s="974"/>
      <c r="HO66" s="974"/>
      <c r="HP66" s="974"/>
      <c r="HQ66" s="974"/>
      <c r="HR66" s="974"/>
      <c r="HS66" s="974"/>
      <c r="HT66" s="974"/>
      <c r="HU66" s="974"/>
      <c r="HV66" s="974"/>
      <c r="HW66" s="974"/>
      <c r="HX66" s="974"/>
      <c r="HY66" s="974"/>
      <c r="HZ66" s="974"/>
      <c r="IA66" s="974"/>
      <c r="IB66" s="974"/>
      <c r="IC66" s="974"/>
      <c r="ID66" s="974"/>
      <c r="IE66" s="974"/>
      <c r="IF66" s="974"/>
      <c r="IG66" s="974"/>
      <c r="IH66" s="974"/>
      <c r="II66" s="974"/>
      <c r="IJ66" s="974"/>
      <c r="IK66" s="974"/>
      <c r="IL66" s="974"/>
      <c r="IM66" s="974"/>
      <c r="IN66" s="974"/>
      <c r="IO66" s="974"/>
      <c r="IP66" s="974"/>
      <c r="IQ66" s="974"/>
      <c r="IR66" s="974"/>
      <c r="IS66" s="974"/>
      <c r="IT66" s="974"/>
      <c r="IU66" s="974"/>
      <c r="IV66" s="974"/>
    </row>
    <row r="67" spans="1:256" s="865" customFormat="1" ht="11.25" customHeight="1">
      <c r="A67" s="961"/>
      <c r="B67" s="898"/>
      <c r="C67" s="898"/>
      <c r="D67" s="989"/>
      <c r="E67" s="1674" t="s">
        <v>11837</v>
      </c>
      <c r="F67" s="1674"/>
      <c r="G67" s="1674"/>
      <c r="H67" s="991">
        <f t="shared" ref="H67:H74" si="4">H54</f>
        <v>6</v>
      </c>
      <c r="I67" s="970">
        <v>1.48</v>
      </c>
      <c r="J67" s="970">
        <v>1.48</v>
      </c>
      <c r="K67" s="970">
        <v>0.25</v>
      </c>
      <c r="L67" s="985" t="s">
        <v>20309</v>
      </c>
      <c r="M67" s="986">
        <f>H67*I67*J67*K67</f>
        <v>3.2855999999999996</v>
      </c>
      <c r="N67" s="972"/>
      <c r="O67" s="973"/>
      <c r="P67" s="974"/>
      <c r="Q67" s="975"/>
      <c r="R67" s="974"/>
      <c r="S67" s="974"/>
      <c r="T67" s="974"/>
      <c r="U67" s="974"/>
      <c r="V67" s="974"/>
      <c r="W67" s="974"/>
      <c r="X67" s="974"/>
      <c r="Y67" s="974"/>
      <c r="Z67" s="974"/>
      <c r="AA67" s="974"/>
      <c r="AB67" s="974"/>
      <c r="AC67" s="974"/>
      <c r="AD67" s="974"/>
      <c r="AE67" s="974"/>
      <c r="AF67" s="974"/>
      <c r="AG67" s="974"/>
      <c r="AH67" s="974"/>
      <c r="AI67" s="974"/>
      <c r="AJ67" s="974"/>
      <c r="AK67" s="974"/>
      <c r="AL67" s="974"/>
      <c r="AM67" s="974"/>
      <c r="AN67" s="974"/>
      <c r="AO67" s="974"/>
      <c r="AP67" s="974"/>
      <c r="AQ67" s="974"/>
      <c r="AR67" s="974"/>
      <c r="AS67" s="974"/>
      <c r="AT67" s="974"/>
      <c r="AU67" s="974"/>
      <c r="AV67" s="974"/>
      <c r="AW67" s="974"/>
      <c r="AX67" s="974"/>
      <c r="AY67" s="974"/>
      <c r="AZ67" s="974"/>
      <c r="BA67" s="974"/>
      <c r="BB67" s="974"/>
      <c r="BC67" s="974"/>
      <c r="BD67" s="974"/>
      <c r="BE67" s="974"/>
      <c r="BF67" s="974"/>
      <c r="BG67" s="974"/>
      <c r="BH67" s="974"/>
      <c r="BI67" s="974"/>
      <c r="BJ67" s="974"/>
      <c r="BK67" s="974"/>
      <c r="BL67" s="974"/>
      <c r="BM67" s="974"/>
      <c r="BN67" s="974"/>
      <c r="BO67" s="974"/>
      <c r="BP67" s="974"/>
      <c r="BQ67" s="974"/>
      <c r="BR67" s="974"/>
      <c r="BS67" s="974"/>
      <c r="BT67" s="974"/>
      <c r="BU67" s="974"/>
      <c r="BV67" s="974"/>
      <c r="BW67" s="974"/>
      <c r="BX67" s="974"/>
      <c r="BY67" s="974"/>
      <c r="BZ67" s="974"/>
      <c r="CA67" s="974"/>
      <c r="CB67" s="974"/>
      <c r="CC67" s="974"/>
      <c r="CD67" s="974"/>
      <c r="CE67" s="974"/>
      <c r="CF67" s="974"/>
      <c r="CG67" s="974"/>
      <c r="CH67" s="974"/>
      <c r="CI67" s="974"/>
      <c r="CJ67" s="974"/>
      <c r="CK67" s="974"/>
      <c r="CL67" s="974"/>
      <c r="CM67" s="974"/>
      <c r="CN67" s="974"/>
      <c r="CO67" s="974"/>
      <c r="CP67" s="974"/>
      <c r="CQ67" s="974"/>
      <c r="CR67" s="974"/>
      <c r="CS67" s="974"/>
      <c r="CT67" s="974"/>
      <c r="CU67" s="974"/>
      <c r="CV67" s="974"/>
      <c r="CW67" s="974"/>
      <c r="CX67" s="974"/>
      <c r="CY67" s="974"/>
      <c r="CZ67" s="974"/>
      <c r="DA67" s="974"/>
      <c r="DB67" s="974"/>
      <c r="DC67" s="974"/>
      <c r="DD67" s="974"/>
      <c r="DE67" s="974"/>
      <c r="DF67" s="974"/>
      <c r="DG67" s="974"/>
      <c r="DH67" s="974"/>
      <c r="DI67" s="974"/>
      <c r="DJ67" s="974"/>
      <c r="DK67" s="974"/>
      <c r="DL67" s="974"/>
      <c r="DM67" s="974"/>
      <c r="DN67" s="974"/>
      <c r="DO67" s="974"/>
      <c r="DP67" s="974"/>
      <c r="DQ67" s="974"/>
      <c r="DR67" s="974"/>
      <c r="DS67" s="974"/>
      <c r="DT67" s="974"/>
      <c r="DU67" s="974"/>
      <c r="DV67" s="974"/>
      <c r="DW67" s="974"/>
      <c r="DX67" s="974"/>
      <c r="DY67" s="974"/>
      <c r="DZ67" s="974"/>
      <c r="EA67" s="974"/>
      <c r="EB67" s="974"/>
      <c r="EC67" s="974"/>
      <c r="ED67" s="974"/>
      <c r="EE67" s="974"/>
      <c r="EF67" s="974"/>
      <c r="EG67" s="974"/>
      <c r="EH67" s="974"/>
      <c r="EI67" s="974"/>
      <c r="EJ67" s="974"/>
      <c r="EK67" s="974"/>
      <c r="EL67" s="974"/>
      <c r="EM67" s="974"/>
      <c r="EN67" s="974"/>
      <c r="EO67" s="974"/>
      <c r="EP67" s="974"/>
      <c r="EQ67" s="974"/>
      <c r="ER67" s="974"/>
      <c r="ES67" s="974"/>
      <c r="ET67" s="974"/>
      <c r="EU67" s="974"/>
      <c r="EV67" s="974"/>
      <c r="EW67" s="974"/>
      <c r="EX67" s="974"/>
      <c r="EY67" s="974"/>
      <c r="EZ67" s="974"/>
      <c r="FA67" s="974"/>
      <c r="FB67" s="974"/>
      <c r="FC67" s="974"/>
      <c r="FD67" s="974"/>
      <c r="FE67" s="974"/>
      <c r="FF67" s="974"/>
      <c r="FG67" s="974"/>
      <c r="FH67" s="974"/>
      <c r="FI67" s="974"/>
      <c r="FJ67" s="974"/>
      <c r="FK67" s="974"/>
      <c r="FL67" s="974"/>
      <c r="FM67" s="974"/>
      <c r="FN67" s="974"/>
      <c r="FO67" s="974"/>
      <c r="FP67" s="974"/>
      <c r="FQ67" s="974"/>
      <c r="FR67" s="974"/>
      <c r="FS67" s="974"/>
      <c r="FT67" s="974"/>
      <c r="FU67" s="974"/>
      <c r="FV67" s="974"/>
      <c r="FW67" s="974"/>
      <c r="FX67" s="974"/>
      <c r="FY67" s="974"/>
      <c r="FZ67" s="974"/>
      <c r="GA67" s="974"/>
      <c r="GB67" s="974"/>
      <c r="GC67" s="974"/>
      <c r="GD67" s="974"/>
      <c r="GE67" s="974"/>
      <c r="GF67" s="974"/>
      <c r="GG67" s="974"/>
      <c r="GH67" s="974"/>
      <c r="GI67" s="974"/>
      <c r="GJ67" s="974"/>
      <c r="GK67" s="974"/>
      <c r="GL67" s="974"/>
      <c r="GM67" s="974"/>
      <c r="GN67" s="974"/>
      <c r="GO67" s="974"/>
      <c r="GP67" s="974"/>
      <c r="GQ67" s="974"/>
      <c r="GR67" s="974"/>
      <c r="GS67" s="974"/>
      <c r="GT67" s="974"/>
      <c r="GU67" s="974"/>
      <c r="GV67" s="974"/>
      <c r="GW67" s="974"/>
      <c r="GX67" s="974"/>
      <c r="GY67" s="974"/>
      <c r="GZ67" s="974"/>
      <c r="HA67" s="974"/>
      <c r="HB67" s="974"/>
      <c r="HC67" s="974"/>
      <c r="HD67" s="974"/>
      <c r="HE67" s="974"/>
      <c r="HF67" s="974"/>
      <c r="HG67" s="974"/>
      <c r="HH67" s="974"/>
      <c r="HI67" s="974"/>
      <c r="HJ67" s="974"/>
      <c r="HK67" s="974"/>
      <c r="HL67" s="974"/>
      <c r="HM67" s="974"/>
      <c r="HN67" s="974"/>
      <c r="HO67" s="974"/>
      <c r="HP67" s="974"/>
      <c r="HQ67" s="974"/>
      <c r="HR67" s="974"/>
      <c r="HS67" s="974"/>
      <c r="HT67" s="974"/>
      <c r="HU67" s="974"/>
      <c r="HV67" s="974"/>
      <c r="HW67" s="974"/>
      <c r="HX67" s="974"/>
      <c r="HY67" s="974"/>
      <c r="HZ67" s="974"/>
      <c r="IA67" s="974"/>
      <c r="IB67" s="974"/>
      <c r="IC67" s="974"/>
      <c r="ID67" s="974"/>
      <c r="IE67" s="974"/>
      <c r="IF67" s="974"/>
      <c r="IG67" s="974"/>
      <c r="IH67" s="974"/>
      <c r="II67" s="974"/>
      <c r="IJ67" s="974"/>
      <c r="IK67" s="974"/>
      <c r="IL67" s="974"/>
      <c r="IM67" s="974"/>
      <c r="IN67" s="974"/>
      <c r="IO67" s="974"/>
      <c r="IP67" s="974"/>
      <c r="IQ67" s="974"/>
      <c r="IR67" s="974"/>
      <c r="IS67" s="974"/>
      <c r="IT67" s="974"/>
      <c r="IU67" s="974"/>
      <c r="IV67" s="974"/>
    </row>
    <row r="68" spans="1:256" s="865" customFormat="1" ht="11.25" customHeight="1">
      <c r="A68" s="961"/>
      <c r="B68" s="898"/>
      <c r="C68" s="898"/>
      <c r="D68" s="989"/>
      <c r="E68" s="1674" t="s">
        <v>11920</v>
      </c>
      <c r="F68" s="1674"/>
      <c r="G68" s="1674"/>
      <c r="H68" s="991">
        <f t="shared" si="4"/>
        <v>3</v>
      </c>
      <c r="I68" s="970">
        <v>1.48</v>
      </c>
      <c r="J68" s="970">
        <v>1.48</v>
      </c>
      <c r="K68" s="970">
        <v>0.25</v>
      </c>
      <c r="L68" s="985" t="s">
        <v>20309</v>
      </c>
      <c r="M68" s="986">
        <f t="shared" ref="M68:M76" si="5">H68*I68*J68*K68</f>
        <v>1.6427999999999998</v>
      </c>
      <c r="N68" s="972"/>
      <c r="O68" s="973"/>
      <c r="P68" s="974"/>
      <c r="Q68" s="975"/>
      <c r="R68" s="974"/>
      <c r="S68" s="974"/>
      <c r="T68" s="974"/>
      <c r="U68" s="974"/>
      <c r="V68" s="974"/>
      <c r="W68" s="974"/>
      <c r="X68" s="974"/>
      <c r="Y68" s="974"/>
      <c r="Z68" s="974"/>
      <c r="AA68" s="974"/>
      <c r="AB68" s="974"/>
      <c r="AC68" s="974"/>
      <c r="AD68" s="974"/>
      <c r="AE68" s="974"/>
      <c r="AF68" s="974"/>
      <c r="AG68" s="974"/>
      <c r="AH68" s="974"/>
      <c r="AI68" s="974"/>
      <c r="AJ68" s="974"/>
      <c r="AK68" s="974"/>
      <c r="AL68" s="974"/>
      <c r="AM68" s="974"/>
      <c r="AN68" s="974"/>
      <c r="AO68" s="974"/>
      <c r="AP68" s="974"/>
      <c r="AQ68" s="974"/>
      <c r="AR68" s="974"/>
      <c r="AS68" s="974"/>
      <c r="AT68" s="974"/>
      <c r="AU68" s="974"/>
      <c r="AV68" s="974"/>
      <c r="AW68" s="974"/>
      <c r="AX68" s="974"/>
      <c r="AY68" s="974"/>
      <c r="AZ68" s="974"/>
      <c r="BA68" s="974"/>
      <c r="BB68" s="974"/>
      <c r="BC68" s="974"/>
      <c r="BD68" s="974"/>
      <c r="BE68" s="974"/>
      <c r="BF68" s="974"/>
      <c r="BG68" s="974"/>
      <c r="BH68" s="974"/>
      <c r="BI68" s="974"/>
      <c r="BJ68" s="974"/>
      <c r="BK68" s="974"/>
      <c r="BL68" s="974"/>
      <c r="BM68" s="974"/>
      <c r="BN68" s="974"/>
      <c r="BO68" s="974"/>
      <c r="BP68" s="974"/>
      <c r="BQ68" s="974"/>
      <c r="BR68" s="974"/>
      <c r="BS68" s="974"/>
      <c r="BT68" s="974"/>
      <c r="BU68" s="974"/>
      <c r="BV68" s="974"/>
      <c r="BW68" s="974"/>
      <c r="BX68" s="974"/>
      <c r="BY68" s="974"/>
      <c r="BZ68" s="974"/>
      <c r="CA68" s="974"/>
      <c r="CB68" s="974"/>
      <c r="CC68" s="974"/>
      <c r="CD68" s="974"/>
      <c r="CE68" s="974"/>
      <c r="CF68" s="974"/>
      <c r="CG68" s="974"/>
      <c r="CH68" s="974"/>
      <c r="CI68" s="974"/>
      <c r="CJ68" s="974"/>
      <c r="CK68" s="974"/>
      <c r="CL68" s="974"/>
      <c r="CM68" s="974"/>
      <c r="CN68" s="974"/>
      <c r="CO68" s="974"/>
      <c r="CP68" s="974"/>
      <c r="CQ68" s="974"/>
      <c r="CR68" s="974"/>
      <c r="CS68" s="974"/>
      <c r="CT68" s="974"/>
      <c r="CU68" s="974"/>
      <c r="CV68" s="974"/>
      <c r="CW68" s="974"/>
      <c r="CX68" s="974"/>
      <c r="CY68" s="974"/>
      <c r="CZ68" s="974"/>
      <c r="DA68" s="974"/>
      <c r="DB68" s="974"/>
      <c r="DC68" s="974"/>
      <c r="DD68" s="974"/>
      <c r="DE68" s="974"/>
      <c r="DF68" s="974"/>
      <c r="DG68" s="974"/>
      <c r="DH68" s="974"/>
      <c r="DI68" s="974"/>
      <c r="DJ68" s="974"/>
      <c r="DK68" s="974"/>
      <c r="DL68" s="974"/>
      <c r="DM68" s="974"/>
      <c r="DN68" s="974"/>
      <c r="DO68" s="974"/>
      <c r="DP68" s="974"/>
      <c r="DQ68" s="974"/>
      <c r="DR68" s="974"/>
      <c r="DS68" s="974"/>
      <c r="DT68" s="974"/>
      <c r="DU68" s="974"/>
      <c r="DV68" s="974"/>
      <c r="DW68" s="974"/>
      <c r="DX68" s="974"/>
      <c r="DY68" s="974"/>
      <c r="DZ68" s="974"/>
      <c r="EA68" s="974"/>
      <c r="EB68" s="974"/>
      <c r="EC68" s="974"/>
      <c r="ED68" s="974"/>
      <c r="EE68" s="974"/>
      <c r="EF68" s="974"/>
      <c r="EG68" s="974"/>
      <c r="EH68" s="974"/>
      <c r="EI68" s="974"/>
      <c r="EJ68" s="974"/>
      <c r="EK68" s="974"/>
      <c r="EL68" s="974"/>
      <c r="EM68" s="974"/>
      <c r="EN68" s="974"/>
      <c r="EO68" s="974"/>
      <c r="EP68" s="974"/>
      <c r="EQ68" s="974"/>
      <c r="ER68" s="974"/>
      <c r="ES68" s="974"/>
      <c r="ET68" s="974"/>
      <c r="EU68" s="974"/>
      <c r="EV68" s="974"/>
      <c r="EW68" s="974"/>
      <c r="EX68" s="974"/>
      <c r="EY68" s="974"/>
      <c r="EZ68" s="974"/>
      <c r="FA68" s="974"/>
      <c r="FB68" s="974"/>
      <c r="FC68" s="974"/>
      <c r="FD68" s="974"/>
      <c r="FE68" s="974"/>
      <c r="FF68" s="974"/>
      <c r="FG68" s="974"/>
      <c r="FH68" s="974"/>
      <c r="FI68" s="974"/>
      <c r="FJ68" s="974"/>
      <c r="FK68" s="974"/>
      <c r="FL68" s="974"/>
      <c r="FM68" s="974"/>
      <c r="FN68" s="974"/>
      <c r="FO68" s="974"/>
      <c r="FP68" s="974"/>
      <c r="FQ68" s="974"/>
      <c r="FR68" s="974"/>
      <c r="FS68" s="974"/>
      <c r="FT68" s="974"/>
      <c r="FU68" s="974"/>
      <c r="FV68" s="974"/>
      <c r="FW68" s="974"/>
      <c r="FX68" s="974"/>
      <c r="FY68" s="974"/>
      <c r="FZ68" s="974"/>
      <c r="GA68" s="974"/>
      <c r="GB68" s="974"/>
      <c r="GC68" s="974"/>
      <c r="GD68" s="974"/>
      <c r="GE68" s="974"/>
      <c r="GF68" s="974"/>
      <c r="GG68" s="974"/>
      <c r="GH68" s="974"/>
      <c r="GI68" s="974"/>
      <c r="GJ68" s="974"/>
      <c r="GK68" s="974"/>
      <c r="GL68" s="974"/>
      <c r="GM68" s="974"/>
      <c r="GN68" s="974"/>
      <c r="GO68" s="974"/>
      <c r="GP68" s="974"/>
      <c r="GQ68" s="974"/>
      <c r="GR68" s="974"/>
      <c r="GS68" s="974"/>
      <c r="GT68" s="974"/>
      <c r="GU68" s="974"/>
      <c r="GV68" s="974"/>
      <c r="GW68" s="974"/>
      <c r="GX68" s="974"/>
      <c r="GY68" s="974"/>
      <c r="GZ68" s="974"/>
      <c r="HA68" s="974"/>
      <c r="HB68" s="974"/>
      <c r="HC68" s="974"/>
      <c r="HD68" s="974"/>
      <c r="HE68" s="974"/>
      <c r="HF68" s="974"/>
      <c r="HG68" s="974"/>
      <c r="HH68" s="974"/>
      <c r="HI68" s="974"/>
      <c r="HJ68" s="974"/>
      <c r="HK68" s="974"/>
      <c r="HL68" s="974"/>
      <c r="HM68" s="974"/>
      <c r="HN68" s="974"/>
      <c r="HO68" s="974"/>
      <c r="HP68" s="974"/>
      <c r="HQ68" s="974"/>
      <c r="HR68" s="974"/>
      <c r="HS68" s="974"/>
      <c r="HT68" s="974"/>
      <c r="HU68" s="974"/>
      <c r="HV68" s="974"/>
      <c r="HW68" s="974"/>
      <c r="HX68" s="974"/>
      <c r="HY68" s="974"/>
      <c r="HZ68" s="974"/>
      <c r="IA68" s="974"/>
      <c r="IB68" s="974"/>
      <c r="IC68" s="974"/>
      <c r="ID68" s="974"/>
      <c r="IE68" s="974"/>
      <c r="IF68" s="974"/>
      <c r="IG68" s="974"/>
      <c r="IH68" s="974"/>
      <c r="II68" s="974"/>
      <c r="IJ68" s="974"/>
      <c r="IK68" s="974"/>
      <c r="IL68" s="974"/>
      <c r="IM68" s="974"/>
      <c r="IN68" s="974"/>
      <c r="IO68" s="974"/>
      <c r="IP68" s="974"/>
      <c r="IQ68" s="974"/>
      <c r="IR68" s="974"/>
      <c r="IS68" s="974"/>
      <c r="IT68" s="974"/>
      <c r="IU68" s="974"/>
      <c r="IV68" s="974"/>
    </row>
    <row r="69" spans="1:256" s="865" customFormat="1" ht="11.25" customHeight="1">
      <c r="A69" s="961"/>
      <c r="B69" s="898"/>
      <c r="C69" s="898"/>
      <c r="D69" s="989"/>
      <c r="E69" s="1674" t="s">
        <v>11838</v>
      </c>
      <c r="F69" s="1674"/>
      <c r="G69" s="1674"/>
      <c r="H69" s="991">
        <f t="shared" si="4"/>
        <v>1</v>
      </c>
      <c r="I69" s="970">
        <v>2.8</v>
      </c>
      <c r="J69" s="970">
        <v>1.9</v>
      </c>
      <c r="K69" s="970">
        <v>0.25</v>
      </c>
      <c r="L69" s="985" t="s">
        <v>20309</v>
      </c>
      <c r="M69" s="986">
        <f t="shared" si="5"/>
        <v>1.3299999999999998</v>
      </c>
      <c r="N69" s="972"/>
      <c r="O69" s="973"/>
      <c r="P69" s="974"/>
      <c r="Q69" s="975"/>
      <c r="R69" s="974"/>
      <c r="S69" s="974"/>
      <c r="T69" s="974"/>
      <c r="U69" s="974"/>
      <c r="V69" s="974"/>
      <c r="W69" s="974"/>
      <c r="X69" s="974"/>
      <c r="Y69" s="974"/>
      <c r="Z69" s="974"/>
      <c r="AA69" s="974"/>
      <c r="AB69" s="974"/>
      <c r="AC69" s="974"/>
      <c r="AD69" s="974"/>
      <c r="AE69" s="974"/>
      <c r="AF69" s="974"/>
      <c r="AG69" s="974"/>
      <c r="AH69" s="974"/>
      <c r="AI69" s="974"/>
      <c r="AJ69" s="974"/>
      <c r="AK69" s="974"/>
      <c r="AL69" s="974"/>
      <c r="AM69" s="974"/>
      <c r="AN69" s="974"/>
      <c r="AO69" s="974"/>
      <c r="AP69" s="974"/>
      <c r="AQ69" s="974"/>
      <c r="AR69" s="974"/>
      <c r="AS69" s="974"/>
      <c r="AT69" s="974"/>
      <c r="AU69" s="974"/>
      <c r="AV69" s="974"/>
      <c r="AW69" s="974"/>
      <c r="AX69" s="974"/>
      <c r="AY69" s="974"/>
      <c r="AZ69" s="974"/>
      <c r="BA69" s="974"/>
      <c r="BB69" s="974"/>
      <c r="BC69" s="974"/>
      <c r="BD69" s="974"/>
      <c r="BE69" s="974"/>
      <c r="BF69" s="974"/>
      <c r="BG69" s="974"/>
      <c r="BH69" s="974"/>
      <c r="BI69" s="974"/>
      <c r="BJ69" s="974"/>
      <c r="BK69" s="974"/>
      <c r="BL69" s="974"/>
      <c r="BM69" s="974"/>
      <c r="BN69" s="974"/>
      <c r="BO69" s="974"/>
      <c r="BP69" s="974"/>
      <c r="BQ69" s="974"/>
      <c r="BR69" s="974"/>
      <c r="BS69" s="974"/>
      <c r="BT69" s="974"/>
      <c r="BU69" s="974"/>
      <c r="BV69" s="974"/>
      <c r="BW69" s="974"/>
      <c r="BX69" s="974"/>
      <c r="BY69" s="974"/>
      <c r="BZ69" s="974"/>
      <c r="CA69" s="974"/>
      <c r="CB69" s="974"/>
      <c r="CC69" s="974"/>
      <c r="CD69" s="974"/>
      <c r="CE69" s="974"/>
      <c r="CF69" s="974"/>
      <c r="CG69" s="974"/>
      <c r="CH69" s="974"/>
      <c r="CI69" s="974"/>
      <c r="CJ69" s="974"/>
      <c r="CK69" s="974"/>
      <c r="CL69" s="974"/>
      <c r="CM69" s="974"/>
      <c r="CN69" s="974"/>
      <c r="CO69" s="974"/>
      <c r="CP69" s="974"/>
      <c r="CQ69" s="974"/>
      <c r="CR69" s="974"/>
      <c r="CS69" s="974"/>
      <c r="CT69" s="974"/>
      <c r="CU69" s="974"/>
      <c r="CV69" s="974"/>
      <c r="CW69" s="974"/>
      <c r="CX69" s="974"/>
      <c r="CY69" s="974"/>
      <c r="CZ69" s="974"/>
      <c r="DA69" s="974"/>
      <c r="DB69" s="974"/>
      <c r="DC69" s="974"/>
      <c r="DD69" s="974"/>
      <c r="DE69" s="974"/>
      <c r="DF69" s="974"/>
      <c r="DG69" s="974"/>
      <c r="DH69" s="974"/>
      <c r="DI69" s="974"/>
      <c r="DJ69" s="974"/>
      <c r="DK69" s="974"/>
      <c r="DL69" s="974"/>
      <c r="DM69" s="974"/>
      <c r="DN69" s="974"/>
      <c r="DO69" s="974"/>
      <c r="DP69" s="974"/>
      <c r="DQ69" s="974"/>
      <c r="DR69" s="974"/>
      <c r="DS69" s="974"/>
      <c r="DT69" s="974"/>
      <c r="DU69" s="974"/>
      <c r="DV69" s="974"/>
      <c r="DW69" s="974"/>
      <c r="DX69" s="974"/>
      <c r="DY69" s="974"/>
      <c r="DZ69" s="974"/>
      <c r="EA69" s="974"/>
      <c r="EB69" s="974"/>
      <c r="EC69" s="974"/>
      <c r="ED69" s="974"/>
      <c r="EE69" s="974"/>
      <c r="EF69" s="974"/>
      <c r="EG69" s="974"/>
      <c r="EH69" s="974"/>
      <c r="EI69" s="974"/>
      <c r="EJ69" s="974"/>
      <c r="EK69" s="974"/>
      <c r="EL69" s="974"/>
      <c r="EM69" s="974"/>
      <c r="EN69" s="974"/>
      <c r="EO69" s="974"/>
      <c r="EP69" s="974"/>
      <c r="EQ69" s="974"/>
      <c r="ER69" s="974"/>
      <c r="ES69" s="974"/>
      <c r="ET69" s="974"/>
      <c r="EU69" s="974"/>
      <c r="EV69" s="974"/>
      <c r="EW69" s="974"/>
      <c r="EX69" s="974"/>
      <c r="EY69" s="974"/>
      <c r="EZ69" s="974"/>
      <c r="FA69" s="974"/>
      <c r="FB69" s="974"/>
      <c r="FC69" s="974"/>
      <c r="FD69" s="974"/>
      <c r="FE69" s="974"/>
      <c r="FF69" s="974"/>
      <c r="FG69" s="974"/>
      <c r="FH69" s="974"/>
      <c r="FI69" s="974"/>
      <c r="FJ69" s="974"/>
      <c r="FK69" s="974"/>
      <c r="FL69" s="974"/>
      <c r="FM69" s="974"/>
      <c r="FN69" s="974"/>
      <c r="FO69" s="974"/>
      <c r="FP69" s="974"/>
      <c r="FQ69" s="974"/>
      <c r="FR69" s="974"/>
      <c r="FS69" s="974"/>
      <c r="FT69" s="974"/>
      <c r="FU69" s="974"/>
      <c r="FV69" s="974"/>
      <c r="FW69" s="974"/>
      <c r="FX69" s="974"/>
      <c r="FY69" s="974"/>
      <c r="FZ69" s="974"/>
      <c r="GA69" s="974"/>
      <c r="GB69" s="974"/>
      <c r="GC69" s="974"/>
      <c r="GD69" s="974"/>
      <c r="GE69" s="974"/>
      <c r="GF69" s="974"/>
      <c r="GG69" s="974"/>
      <c r="GH69" s="974"/>
      <c r="GI69" s="974"/>
      <c r="GJ69" s="974"/>
      <c r="GK69" s="974"/>
      <c r="GL69" s="974"/>
      <c r="GM69" s="974"/>
      <c r="GN69" s="974"/>
      <c r="GO69" s="974"/>
      <c r="GP69" s="974"/>
      <c r="GQ69" s="974"/>
      <c r="GR69" s="974"/>
      <c r="GS69" s="974"/>
      <c r="GT69" s="974"/>
      <c r="GU69" s="974"/>
      <c r="GV69" s="974"/>
      <c r="GW69" s="974"/>
      <c r="GX69" s="974"/>
      <c r="GY69" s="974"/>
      <c r="GZ69" s="974"/>
      <c r="HA69" s="974"/>
      <c r="HB69" s="974"/>
      <c r="HC69" s="974"/>
      <c r="HD69" s="974"/>
      <c r="HE69" s="974"/>
      <c r="HF69" s="974"/>
      <c r="HG69" s="974"/>
      <c r="HH69" s="974"/>
      <c r="HI69" s="974"/>
      <c r="HJ69" s="974"/>
      <c r="HK69" s="974"/>
      <c r="HL69" s="974"/>
      <c r="HM69" s="974"/>
      <c r="HN69" s="974"/>
      <c r="HO69" s="974"/>
      <c r="HP69" s="974"/>
      <c r="HQ69" s="974"/>
      <c r="HR69" s="974"/>
      <c r="HS69" s="974"/>
      <c r="HT69" s="974"/>
      <c r="HU69" s="974"/>
      <c r="HV69" s="974"/>
      <c r="HW69" s="974"/>
      <c r="HX69" s="974"/>
      <c r="HY69" s="974"/>
      <c r="HZ69" s="974"/>
      <c r="IA69" s="974"/>
      <c r="IB69" s="974"/>
      <c r="IC69" s="974"/>
      <c r="ID69" s="974"/>
      <c r="IE69" s="974"/>
      <c r="IF69" s="974"/>
      <c r="IG69" s="974"/>
      <c r="IH69" s="974"/>
      <c r="II69" s="974"/>
      <c r="IJ69" s="974"/>
      <c r="IK69" s="974"/>
      <c r="IL69" s="974"/>
      <c r="IM69" s="974"/>
      <c r="IN69" s="974"/>
      <c r="IO69" s="974"/>
      <c r="IP69" s="974"/>
      <c r="IQ69" s="974"/>
      <c r="IR69" s="974"/>
      <c r="IS69" s="974"/>
      <c r="IT69" s="974"/>
      <c r="IU69" s="974"/>
      <c r="IV69" s="974"/>
    </row>
    <row r="70" spans="1:256" s="865" customFormat="1" ht="11.25" customHeight="1">
      <c r="A70" s="961"/>
      <c r="B70" s="898"/>
      <c r="C70" s="898"/>
      <c r="D70" s="989"/>
      <c r="E70" s="1674" t="s">
        <v>11839</v>
      </c>
      <c r="F70" s="1674"/>
      <c r="G70" s="1674"/>
      <c r="H70" s="991">
        <f t="shared" si="4"/>
        <v>1</v>
      </c>
      <c r="I70" s="970">
        <v>1.65</v>
      </c>
      <c r="J70" s="970">
        <v>1.55</v>
      </c>
      <c r="K70" s="970">
        <v>0.25</v>
      </c>
      <c r="L70" s="985" t="s">
        <v>20309</v>
      </c>
      <c r="M70" s="986">
        <f t="shared" si="5"/>
        <v>0.63937500000000003</v>
      </c>
      <c r="N70" s="972"/>
      <c r="O70" s="973"/>
      <c r="P70" s="974"/>
      <c r="Q70" s="975"/>
      <c r="R70" s="974"/>
      <c r="S70" s="974"/>
      <c r="T70" s="974"/>
      <c r="U70" s="974"/>
      <c r="V70" s="974"/>
      <c r="W70" s="974"/>
      <c r="X70" s="974"/>
      <c r="Y70" s="974"/>
      <c r="Z70" s="974"/>
      <c r="AA70" s="974"/>
      <c r="AB70" s="974"/>
      <c r="AC70" s="974"/>
      <c r="AD70" s="974"/>
      <c r="AE70" s="974"/>
      <c r="AF70" s="974"/>
      <c r="AG70" s="974"/>
      <c r="AH70" s="974"/>
      <c r="AI70" s="974"/>
      <c r="AJ70" s="974"/>
      <c r="AK70" s="974"/>
      <c r="AL70" s="974"/>
      <c r="AM70" s="974"/>
      <c r="AN70" s="974"/>
      <c r="AO70" s="974"/>
      <c r="AP70" s="974"/>
      <c r="AQ70" s="974"/>
      <c r="AR70" s="974"/>
      <c r="AS70" s="974"/>
      <c r="AT70" s="974"/>
      <c r="AU70" s="974"/>
      <c r="AV70" s="974"/>
      <c r="AW70" s="974"/>
      <c r="AX70" s="974"/>
      <c r="AY70" s="974"/>
      <c r="AZ70" s="974"/>
      <c r="BA70" s="974"/>
      <c r="BB70" s="974"/>
      <c r="BC70" s="974"/>
      <c r="BD70" s="974"/>
      <c r="BE70" s="974"/>
      <c r="BF70" s="974"/>
      <c r="BG70" s="974"/>
      <c r="BH70" s="974"/>
      <c r="BI70" s="974"/>
      <c r="BJ70" s="974"/>
      <c r="BK70" s="974"/>
      <c r="BL70" s="974"/>
      <c r="BM70" s="974"/>
      <c r="BN70" s="974"/>
      <c r="BO70" s="974"/>
      <c r="BP70" s="974"/>
      <c r="BQ70" s="974"/>
      <c r="BR70" s="974"/>
      <c r="BS70" s="974"/>
      <c r="BT70" s="974"/>
      <c r="BU70" s="974"/>
      <c r="BV70" s="974"/>
      <c r="BW70" s="974"/>
      <c r="BX70" s="974"/>
      <c r="BY70" s="974"/>
      <c r="BZ70" s="974"/>
      <c r="CA70" s="974"/>
      <c r="CB70" s="974"/>
      <c r="CC70" s="974"/>
      <c r="CD70" s="974"/>
      <c r="CE70" s="974"/>
      <c r="CF70" s="974"/>
      <c r="CG70" s="974"/>
      <c r="CH70" s="974"/>
      <c r="CI70" s="974"/>
      <c r="CJ70" s="974"/>
      <c r="CK70" s="974"/>
      <c r="CL70" s="974"/>
      <c r="CM70" s="974"/>
      <c r="CN70" s="974"/>
      <c r="CO70" s="974"/>
      <c r="CP70" s="974"/>
      <c r="CQ70" s="974"/>
      <c r="CR70" s="974"/>
      <c r="CS70" s="974"/>
      <c r="CT70" s="974"/>
      <c r="CU70" s="974"/>
      <c r="CV70" s="974"/>
      <c r="CW70" s="974"/>
      <c r="CX70" s="974"/>
      <c r="CY70" s="974"/>
      <c r="CZ70" s="974"/>
      <c r="DA70" s="974"/>
      <c r="DB70" s="974"/>
      <c r="DC70" s="974"/>
      <c r="DD70" s="974"/>
      <c r="DE70" s="974"/>
      <c r="DF70" s="974"/>
      <c r="DG70" s="974"/>
      <c r="DH70" s="974"/>
      <c r="DI70" s="974"/>
      <c r="DJ70" s="974"/>
      <c r="DK70" s="974"/>
      <c r="DL70" s="974"/>
      <c r="DM70" s="974"/>
      <c r="DN70" s="974"/>
      <c r="DO70" s="974"/>
      <c r="DP70" s="974"/>
      <c r="DQ70" s="974"/>
      <c r="DR70" s="974"/>
      <c r="DS70" s="974"/>
      <c r="DT70" s="974"/>
      <c r="DU70" s="974"/>
      <c r="DV70" s="974"/>
      <c r="DW70" s="974"/>
      <c r="DX70" s="974"/>
      <c r="DY70" s="974"/>
      <c r="DZ70" s="974"/>
      <c r="EA70" s="974"/>
      <c r="EB70" s="974"/>
      <c r="EC70" s="974"/>
      <c r="ED70" s="974"/>
      <c r="EE70" s="974"/>
      <c r="EF70" s="974"/>
      <c r="EG70" s="974"/>
      <c r="EH70" s="974"/>
      <c r="EI70" s="974"/>
      <c r="EJ70" s="974"/>
      <c r="EK70" s="974"/>
      <c r="EL70" s="974"/>
      <c r="EM70" s="974"/>
      <c r="EN70" s="974"/>
      <c r="EO70" s="974"/>
      <c r="EP70" s="974"/>
      <c r="EQ70" s="974"/>
      <c r="ER70" s="974"/>
      <c r="ES70" s="974"/>
      <c r="ET70" s="974"/>
      <c r="EU70" s="974"/>
      <c r="EV70" s="974"/>
      <c r="EW70" s="974"/>
      <c r="EX70" s="974"/>
      <c r="EY70" s="974"/>
      <c r="EZ70" s="974"/>
      <c r="FA70" s="974"/>
      <c r="FB70" s="974"/>
      <c r="FC70" s="974"/>
      <c r="FD70" s="974"/>
      <c r="FE70" s="974"/>
      <c r="FF70" s="974"/>
      <c r="FG70" s="974"/>
      <c r="FH70" s="974"/>
      <c r="FI70" s="974"/>
      <c r="FJ70" s="974"/>
      <c r="FK70" s="974"/>
      <c r="FL70" s="974"/>
      <c r="FM70" s="974"/>
      <c r="FN70" s="974"/>
      <c r="FO70" s="974"/>
      <c r="FP70" s="974"/>
      <c r="FQ70" s="974"/>
      <c r="FR70" s="974"/>
      <c r="FS70" s="974"/>
      <c r="FT70" s="974"/>
      <c r="FU70" s="974"/>
      <c r="FV70" s="974"/>
      <c r="FW70" s="974"/>
      <c r="FX70" s="974"/>
      <c r="FY70" s="974"/>
      <c r="FZ70" s="974"/>
      <c r="GA70" s="974"/>
      <c r="GB70" s="974"/>
      <c r="GC70" s="974"/>
      <c r="GD70" s="974"/>
      <c r="GE70" s="974"/>
      <c r="GF70" s="974"/>
      <c r="GG70" s="974"/>
      <c r="GH70" s="974"/>
      <c r="GI70" s="974"/>
      <c r="GJ70" s="974"/>
      <c r="GK70" s="974"/>
      <c r="GL70" s="974"/>
      <c r="GM70" s="974"/>
      <c r="GN70" s="974"/>
      <c r="GO70" s="974"/>
      <c r="GP70" s="974"/>
      <c r="GQ70" s="974"/>
      <c r="GR70" s="974"/>
      <c r="GS70" s="974"/>
      <c r="GT70" s="974"/>
      <c r="GU70" s="974"/>
      <c r="GV70" s="974"/>
      <c r="GW70" s="974"/>
      <c r="GX70" s="974"/>
      <c r="GY70" s="974"/>
      <c r="GZ70" s="974"/>
      <c r="HA70" s="974"/>
      <c r="HB70" s="974"/>
      <c r="HC70" s="974"/>
      <c r="HD70" s="974"/>
      <c r="HE70" s="974"/>
      <c r="HF70" s="974"/>
      <c r="HG70" s="974"/>
      <c r="HH70" s="974"/>
      <c r="HI70" s="974"/>
      <c r="HJ70" s="974"/>
      <c r="HK70" s="974"/>
      <c r="HL70" s="974"/>
      <c r="HM70" s="974"/>
      <c r="HN70" s="974"/>
      <c r="HO70" s="974"/>
      <c r="HP70" s="974"/>
      <c r="HQ70" s="974"/>
      <c r="HR70" s="974"/>
      <c r="HS70" s="974"/>
      <c r="HT70" s="974"/>
      <c r="HU70" s="974"/>
      <c r="HV70" s="974"/>
      <c r="HW70" s="974"/>
      <c r="HX70" s="974"/>
      <c r="HY70" s="974"/>
      <c r="HZ70" s="974"/>
      <c r="IA70" s="974"/>
      <c r="IB70" s="974"/>
      <c r="IC70" s="974"/>
      <c r="ID70" s="974"/>
      <c r="IE70" s="974"/>
      <c r="IF70" s="974"/>
      <c r="IG70" s="974"/>
      <c r="IH70" s="974"/>
      <c r="II70" s="974"/>
      <c r="IJ70" s="974"/>
      <c r="IK70" s="974"/>
      <c r="IL70" s="974"/>
      <c r="IM70" s="974"/>
      <c r="IN70" s="974"/>
      <c r="IO70" s="974"/>
      <c r="IP70" s="974"/>
      <c r="IQ70" s="974"/>
      <c r="IR70" s="974"/>
      <c r="IS70" s="974"/>
      <c r="IT70" s="974"/>
      <c r="IU70" s="974"/>
      <c r="IV70" s="974"/>
    </row>
    <row r="71" spans="1:256" s="865" customFormat="1" ht="11.25" customHeight="1">
      <c r="A71" s="961"/>
      <c r="B71" s="898"/>
      <c r="C71" s="898"/>
      <c r="D71" s="989"/>
      <c r="E71" s="854"/>
      <c r="F71" s="1674" t="s">
        <v>11870</v>
      </c>
      <c r="G71" s="1674"/>
      <c r="H71" s="991">
        <f t="shared" si="4"/>
        <v>4</v>
      </c>
      <c r="I71" s="970">
        <v>1.6</v>
      </c>
      <c r="J71" s="970">
        <v>1.4</v>
      </c>
      <c r="K71" s="970">
        <v>0.25</v>
      </c>
      <c r="L71" s="985" t="s">
        <v>20309</v>
      </c>
      <c r="M71" s="986">
        <f>H71*I71*J71*K71</f>
        <v>2.2399999999999998</v>
      </c>
      <c r="N71" s="972"/>
      <c r="O71" s="973"/>
      <c r="P71" s="974"/>
      <c r="Q71" s="975"/>
      <c r="R71" s="974"/>
      <c r="S71" s="974"/>
      <c r="T71" s="974"/>
      <c r="U71" s="974"/>
      <c r="V71" s="974"/>
      <c r="W71" s="974"/>
      <c r="X71" s="974"/>
      <c r="Y71" s="974"/>
      <c r="Z71" s="974"/>
      <c r="AA71" s="974"/>
      <c r="AB71" s="974"/>
      <c r="AC71" s="974"/>
      <c r="AD71" s="974"/>
      <c r="AE71" s="974"/>
      <c r="AF71" s="974"/>
      <c r="AG71" s="974"/>
      <c r="AH71" s="974"/>
      <c r="AI71" s="974"/>
      <c r="AJ71" s="974"/>
      <c r="AK71" s="974"/>
      <c r="AL71" s="974"/>
      <c r="AM71" s="974"/>
      <c r="AN71" s="974"/>
      <c r="AO71" s="974"/>
      <c r="AP71" s="974"/>
      <c r="AQ71" s="974"/>
      <c r="AR71" s="974"/>
      <c r="AS71" s="974"/>
      <c r="AT71" s="974"/>
      <c r="AU71" s="974"/>
      <c r="AV71" s="974"/>
      <c r="AW71" s="974"/>
      <c r="AX71" s="974"/>
      <c r="AY71" s="974"/>
      <c r="AZ71" s="974"/>
      <c r="BA71" s="974"/>
      <c r="BB71" s="974"/>
      <c r="BC71" s="974"/>
      <c r="BD71" s="974"/>
      <c r="BE71" s="974"/>
      <c r="BF71" s="974"/>
      <c r="BG71" s="974"/>
      <c r="BH71" s="974"/>
      <c r="BI71" s="974"/>
      <c r="BJ71" s="974"/>
      <c r="BK71" s="974"/>
      <c r="BL71" s="974"/>
      <c r="BM71" s="974"/>
      <c r="BN71" s="974"/>
      <c r="BO71" s="974"/>
      <c r="BP71" s="974"/>
      <c r="BQ71" s="974"/>
      <c r="BR71" s="974"/>
      <c r="BS71" s="974"/>
      <c r="BT71" s="974"/>
      <c r="BU71" s="974"/>
      <c r="BV71" s="974"/>
      <c r="BW71" s="974"/>
      <c r="BX71" s="974"/>
      <c r="BY71" s="974"/>
      <c r="BZ71" s="974"/>
      <c r="CA71" s="974"/>
      <c r="CB71" s="974"/>
      <c r="CC71" s="974"/>
      <c r="CD71" s="974"/>
      <c r="CE71" s="974"/>
      <c r="CF71" s="974"/>
      <c r="CG71" s="974"/>
      <c r="CH71" s="974"/>
      <c r="CI71" s="974"/>
      <c r="CJ71" s="974"/>
      <c r="CK71" s="974"/>
      <c r="CL71" s="974"/>
      <c r="CM71" s="974"/>
      <c r="CN71" s="974"/>
      <c r="CO71" s="974"/>
      <c r="CP71" s="974"/>
      <c r="CQ71" s="974"/>
      <c r="CR71" s="974"/>
      <c r="CS71" s="974"/>
      <c r="CT71" s="974"/>
      <c r="CU71" s="974"/>
      <c r="CV71" s="974"/>
      <c r="CW71" s="974"/>
      <c r="CX71" s="974"/>
      <c r="CY71" s="974"/>
      <c r="CZ71" s="974"/>
      <c r="DA71" s="974"/>
      <c r="DB71" s="974"/>
      <c r="DC71" s="974"/>
      <c r="DD71" s="974"/>
      <c r="DE71" s="974"/>
      <c r="DF71" s="974"/>
      <c r="DG71" s="974"/>
      <c r="DH71" s="974"/>
      <c r="DI71" s="974"/>
      <c r="DJ71" s="974"/>
      <c r="DK71" s="974"/>
      <c r="DL71" s="974"/>
      <c r="DM71" s="974"/>
      <c r="DN71" s="974"/>
      <c r="DO71" s="974"/>
      <c r="DP71" s="974"/>
      <c r="DQ71" s="974"/>
      <c r="DR71" s="974"/>
      <c r="DS71" s="974"/>
      <c r="DT71" s="974"/>
      <c r="DU71" s="974"/>
      <c r="DV71" s="974"/>
      <c r="DW71" s="974"/>
      <c r="DX71" s="974"/>
      <c r="DY71" s="974"/>
      <c r="DZ71" s="974"/>
      <c r="EA71" s="974"/>
      <c r="EB71" s="974"/>
      <c r="EC71" s="974"/>
      <c r="ED71" s="974"/>
      <c r="EE71" s="974"/>
      <c r="EF71" s="974"/>
      <c r="EG71" s="974"/>
      <c r="EH71" s="974"/>
      <c r="EI71" s="974"/>
      <c r="EJ71" s="974"/>
      <c r="EK71" s="974"/>
      <c r="EL71" s="974"/>
      <c r="EM71" s="974"/>
      <c r="EN71" s="974"/>
      <c r="EO71" s="974"/>
      <c r="EP71" s="974"/>
      <c r="EQ71" s="974"/>
      <c r="ER71" s="974"/>
      <c r="ES71" s="974"/>
      <c r="ET71" s="974"/>
      <c r="EU71" s="974"/>
      <c r="EV71" s="974"/>
      <c r="EW71" s="974"/>
      <c r="EX71" s="974"/>
      <c r="EY71" s="974"/>
      <c r="EZ71" s="974"/>
      <c r="FA71" s="974"/>
      <c r="FB71" s="974"/>
      <c r="FC71" s="974"/>
      <c r="FD71" s="974"/>
      <c r="FE71" s="974"/>
      <c r="FF71" s="974"/>
      <c r="FG71" s="974"/>
      <c r="FH71" s="974"/>
      <c r="FI71" s="974"/>
      <c r="FJ71" s="974"/>
      <c r="FK71" s="974"/>
      <c r="FL71" s="974"/>
      <c r="FM71" s="974"/>
      <c r="FN71" s="974"/>
      <c r="FO71" s="974"/>
      <c r="FP71" s="974"/>
      <c r="FQ71" s="974"/>
      <c r="FR71" s="974"/>
      <c r="FS71" s="974"/>
      <c r="FT71" s="974"/>
      <c r="FU71" s="974"/>
      <c r="FV71" s="974"/>
      <c r="FW71" s="974"/>
      <c r="FX71" s="974"/>
      <c r="FY71" s="974"/>
      <c r="FZ71" s="974"/>
      <c r="GA71" s="974"/>
      <c r="GB71" s="974"/>
      <c r="GC71" s="974"/>
      <c r="GD71" s="974"/>
      <c r="GE71" s="974"/>
      <c r="GF71" s="974"/>
      <c r="GG71" s="974"/>
      <c r="GH71" s="974"/>
      <c r="GI71" s="974"/>
      <c r="GJ71" s="974"/>
      <c r="GK71" s="974"/>
      <c r="GL71" s="974"/>
      <c r="GM71" s="974"/>
      <c r="GN71" s="974"/>
      <c r="GO71" s="974"/>
      <c r="GP71" s="974"/>
      <c r="GQ71" s="974"/>
      <c r="GR71" s="974"/>
      <c r="GS71" s="974"/>
      <c r="GT71" s="974"/>
      <c r="GU71" s="974"/>
      <c r="GV71" s="974"/>
      <c r="GW71" s="974"/>
      <c r="GX71" s="974"/>
      <c r="GY71" s="974"/>
      <c r="GZ71" s="974"/>
      <c r="HA71" s="974"/>
      <c r="HB71" s="974"/>
      <c r="HC71" s="974"/>
      <c r="HD71" s="974"/>
      <c r="HE71" s="974"/>
      <c r="HF71" s="974"/>
      <c r="HG71" s="974"/>
      <c r="HH71" s="974"/>
      <c r="HI71" s="974"/>
      <c r="HJ71" s="974"/>
      <c r="HK71" s="974"/>
      <c r="HL71" s="974"/>
      <c r="HM71" s="974"/>
      <c r="HN71" s="974"/>
      <c r="HO71" s="974"/>
      <c r="HP71" s="974"/>
      <c r="HQ71" s="974"/>
      <c r="HR71" s="974"/>
      <c r="HS71" s="974"/>
      <c r="HT71" s="974"/>
      <c r="HU71" s="974"/>
      <c r="HV71" s="974"/>
      <c r="HW71" s="974"/>
      <c r="HX71" s="974"/>
      <c r="HY71" s="974"/>
      <c r="HZ71" s="974"/>
      <c r="IA71" s="974"/>
      <c r="IB71" s="974"/>
      <c r="IC71" s="974"/>
      <c r="ID71" s="974"/>
      <c r="IE71" s="974"/>
      <c r="IF71" s="974"/>
      <c r="IG71" s="974"/>
      <c r="IH71" s="974"/>
      <c r="II71" s="974"/>
      <c r="IJ71" s="974"/>
      <c r="IK71" s="974"/>
      <c r="IL71" s="974"/>
      <c r="IM71" s="974"/>
      <c r="IN71" s="974"/>
      <c r="IO71" s="974"/>
      <c r="IP71" s="974"/>
      <c r="IQ71" s="974"/>
      <c r="IR71" s="974"/>
      <c r="IS71" s="974"/>
      <c r="IT71" s="974"/>
      <c r="IU71" s="974"/>
      <c r="IV71" s="974"/>
    </row>
    <row r="72" spans="1:256" s="865" customFormat="1" ht="11.25" customHeight="1">
      <c r="A72" s="961"/>
      <c r="B72" s="898"/>
      <c r="C72" s="898"/>
      <c r="D72" s="989"/>
      <c r="E72" s="854"/>
      <c r="F72" s="1674" t="s">
        <v>11871</v>
      </c>
      <c r="G72" s="1674"/>
      <c r="H72" s="991">
        <f t="shared" si="4"/>
        <v>2</v>
      </c>
      <c r="I72" s="970">
        <v>4</v>
      </c>
      <c r="J72" s="970">
        <v>0.2</v>
      </c>
      <c r="K72" s="970">
        <v>0</v>
      </c>
      <c r="L72" s="985" t="s">
        <v>20309</v>
      </c>
      <c r="M72" s="986">
        <f t="shared" si="5"/>
        <v>0</v>
      </c>
      <c r="N72" s="972"/>
      <c r="O72" s="973"/>
      <c r="P72" s="974"/>
      <c r="Q72" s="975"/>
      <c r="R72" s="974"/>
      <c r="S72" s="974"/>
      <c r="T72" s="974"/>
      <c r="U72" s="974"/>
      <c r="V72" s="974"/>
      <c r="W72" s="974"/>
      <c r="X72" s="974"/>
      <c r="Y72" s="974"/>
      <c r="Z72" s="974"/>
      <c r="AA72" s="974"/>
      <c r="AB72" s="974"/>
      <c r="AC72" s="974"/>
      <c r="AD72" s="974"/>
      <c r="AE72" s="974"/>
      <c r="AF72" s="974"/>
      <c r="AG72" s="974"/>
      <c r="AH72" s="974"/>
      <c r="AI72" s="974"/>
      <c r="AJ72" s="974"/>
      <c r="AK72" s="974"/>
      <c r="AL72" s="974"/>
      <c r="AM72" s="974"/>
      <c r="AN72" s="974"/>
      <c r="AO72" s="974"/>
      <c r="AP72" s="974"/>
      <c r="AQ72" s="974"/>
      <c r="AR72" s="974"/>
      <c r="AS72" s="974"/>
      <c r="AT72" s="974"/>
      <c r="AU72" s="974"/>
      <c r="AV72" s="974"/>
      <c r="AW72" s="974"/>
      <c r="AX72" s="974"/>
      <c r="AY72" s="974"/>
      <c r="AZ72" s="974"/>
      <c r="BA72" s="974"/>
      <c r="BB72" s="974"/>
      <c r="BC72" s="974"/>
      <c r="BD72" s="974"/>
      <c r="BE72" s="974"/>
      <c r="BF72" s="974"/>
      <c r="BG72" s="974"/>
      <c r="BH72" s="974"/>
      <c r="BI72" s="974"/>
      <c r="BJ72" s="974"/>
      <c r="BK72" s="974"/>
      <c r="BL72" s="974"/>
      <c r="BM72" s="974"/>
      <c r="BN72" s="974"/>
      <c r="BO72" s="974"/>
      <c r="BP72" s="974"/>
      <c r="BQ72" s="974"/>
      <c r="BR72" s="974"/>
      <c r="BS72" s="974"/>
      <c r="BT72" s="974"/>
      <c r="BU72" s="974"/>
      <c r="BV72" s="974"/>
      <c r="BW72" s="974"/>
      <c r="BX72" s="974"/>
      <c r="BY72" s="974"/>
      <c r="BZ72" s="974"/>
      <c r="CA72" s="974"/>
      <c r="CB72" s="974"/>
      <c r="CC72" s="974"/>
      <c r="CD72" s="974"/>
      <c r="CE72" s="974"/>
      <c r="CF72" s="974"/>
      <c r="CG72" s="974"/>
      <c r="CH72" s="974"/>
      <c r="CI72" s="974"/>
      <c r="CJ72" s="974"/>
      <c r="CK72" s="974"/>
      <c r="CL72" s="974"/>
      <c r="CM72" s="974"/>
      <c r="CN72" s="974"/>
      <c r="CO72" s="974"/>
      <c r="CP72" s="974"/>
      <c r="CQ72" s="974"/>
      <c r="CR72" s="974"/>
      <c r="CS72" s="974"/>
      <c r="CT72" s="974"/>
      <c r="CU72" s="974"/>
      <c r="CV72" s="974"/>
      <c r="CW72" s="974"/>
      <c r="CX72" s="974"/>
      <c r="CY72" s="974"/>
      <c r="CZ72" s="974"/>
      <c r="DA72" s="974"/>
      <c r="DB72" s="974"/>
      <c r="DC72" s="974"/>
      <c r="DD72" s="974"/>
      <c r="DE72" s="974"/>
      <c r="DF72" s="974"/>
      <c r="DG72" s="974"/>
      <c r="DH72" s="974"/>
      <c r="DI72" s="974"/>
      <c r="DJ72" s="974"/>
      <c r="DK72" s="974"/>
      <c r="DL72" s="974"/>
      <c r="DM72" s="974"/>
      <c r="DN72" s="974"/>
      <c r="DO72" s="974"/>
      <c r="DP72" s="974"/>
      <c r="DQ72" s="974"/>
      <c r="DR72" s="974"/>
      <c r="DS72" s="974"/>
      <c r="DT72" s="974"/>
      <c r="DU72" s="974"/>
      <c r="DV72" s="974"/>
      <c r="DW72" s="974"/>
      <c r="DX72" s="974"/>
      <c r="DY72" s="974"/>
      <c r="DZ72" s="974"/>
      <c r="EA72" s="974"/>
      <c r="EB72" s="974"/>
      <c r="EC72" s="974"/>
      <c r="ED72" s="974"/>
      <c r="EE72" s="974"/>
      <c r="EF72" s="974"/>
      <c r="EG72" s="974"/>
      <c r="EH72" s="974"/>
      <c r="EI72" s="974"/>
      <c r="EJ72" s="974"/>
      <c r="EK72" s="974"/>
      <c r="EL72" s="974"/>
      <c r="EM72" s="974"/>
      <c r="EN72" s="974"/>
      <c r="EO72" s="974"/>
      <c r="EP72" s="974"/>
      <c r="EQ72" s="974"/>
      <c r="ER72" s="974"/>
      <c r="ES72" s="974"/>
      <c r="ET72" s="974"/>
      <c r="EU72" s="974"/>
      <c r="EV72" s="974"/>
      <c r="EW72" s="974"/>
      <c r="EX72" s="974"/>
      <c r="EY72" s="974"/>
      <c r="EZ72" s="974"/>
      <c r="FA72" s="974"/>
      <c r="FB72" s="974"/>
      <c r="FC72" s="974"/>
      <c r="FD72" s="974"/>
      <c r="FE72" s="974"/>
      <c r="FF72" s="974"/>
      <c r="FG72" s="974"/>
      <c r="FH72" s="974"/>
      <c r="FI72" s="974"/>
      <c r="FJ72" s="974"/>
      <c r="FK72" s="974"/>
      <c r="FL72" s="974"/>
      <c r="FM72" s="974"/>
      <c r="FN72" s="974"/>
      <c r="FO72" s="974"/>
      <c r="FP72" s="974"/>
      <c r="FQ72" s="974"/>
      <c r="FR72" s="974"/>
      <c r="FS72" s="974"/>
      <c r="FT72" s="974"/>
      <c r="FU72" s="974"/>
      <c r="FV72" s="974"/>
      <c r="FW72" s="974"/>
      <c r="FX72" s="974"/>
      <c r="FY72" s="974"/>
      <c r="FZ72" s="974"/>
      <c r="GA72" s="974"/>
      <c r="GB72" s="974"/>
      <c r="GC72" s="974"/>
      <c r="GD72" s="974"/>
      <c r="GE72" s="974"/>
      <c r="GF72" s="974"/>
      <c r="GG72" s="974"/>
      <c r="GH72" s="974"/>
      <c r="GI72" s="974"/>
      <c r="GJ72" s="974"/>
      <c r="GK72" s="974"/>
      <c r="GL72" s="974"/>
      <c r="GM72" s="974"/>
      <c r="GN72" s="974"/>
      <c r="GO72" s="974"/>
      <c r="GP72" s="974"/>
      <c r="GQ72" s="974"/>
      <c r="GR72" s="974"/>
      <c r="GS72" s="974"/>
      <c r="GT72" s="974"/>
      <c r="GU72" s="974"/>
      <c r="GV72" s="974"/>
      <c r="GW72" s="974"/>
      <c r="GX72" s="974"/>
      <c r="GY72" s="974"/>
      <c r="GZ72" s="974"/>
      <c r="HA72" s="974"/>
      <c r="HB72" s="974"/>
      <c r="HC72" s="974"/>
      <c r="HD72" s="974"/>
      <c r="HE72" s="974"/>
      <c r="HF72" s="974"/>
      <c r="HG72" s="974"/>
      <c r="HH72" s="974"/>
      <c r="HI72" s="974"/>
      <c r="HJ72" s="974"/>
      <c r="HK72" s="974"/>
      <c r="HL72" s="974"/>
      <c r="HM72" s="974"/>
      <c r="HN72" s="974"/>
      <c r="HO72" s="974"/>
      <c r="HP72" s="974"/>
      <c r="HQ72" s="974"/>
      <c r="HR72" s="974"/>
      <c r="HS72" s="974"/>
      <c r="HT72" s="974"/>
      <c r="HU72" s="974"/>
      <c r="HV72" s="974"/>
      <c r="HW72" s="974"/>
      <c r="HX72" s="974"/>
      <c r="HY72" s="974"/>
      <c r="HZ72" s="974"/>
      <c r="IA72" s="974"/>
      <c r="IB72" s="974"/>
      <c r="IC72" s="974"/>
      <c r="ID72" s="974"/>
      <c r="IE72" s="974"/>
      <c r="IF72" s="974"/>
      <c r="IG72" s="974"/>
      <c r="IH72" s="974"/>
      <c r="II72" s="974"/>
      <c r="IJ72" s="974"/>
      <c r="IK72" s="974"/>
      <c r="IL72" s="974"/>
      <c r="IM72" s="974"/>
      <c r="IN72" s="974"/>
      <c r="IO72" s="974"/>
      <c r="IP72" s="974"/>
      <c r="IQ72" s="974"/>
      <c r="IR72" s="974"/>
      <c r="IS72" s="974"/>
      <c r="IT72" s="974"/>
      <c r="IU72" s="974"/>
      <c r="IV72" s="974"/>
    </row>
    <row r="73" spans="1:256" s="865" customFormat="1" ht="11.25" customHeight="1">
      <c r="A73" s="961"/>
      <c r="B73" s="898"/>
      <c r="C73" s="898"/>
      <c r="D73" s="989"/>
      <c r="E73" s="854"/>
      <c r="F73" s="1674" t="s">
        <v>11872</v>
      </c>
      <c r="G73" s="1674"/>
      <c r="H73" s="991">
        <f t="shared" si="4"/>
        <v>2</v>
      </c>
      <c r="I73" s="970">
        <v>2.7</v>
      </c>
      <c r="J73" s="970">
        <v>0.2</v>
      </c>
      <c r="K73" s="970">
        <v>0</v>
      </c>
      <c r="L73" s="985" t="s">
        <v>20309</v>
      </c>
      <c r="M73" s="986">
        <f t="shared" si="5"/>
        <v>0</v>
      </c>
      <c r="N73" s="972"/>
      <c r="O73" s="973"/>
      <c r="P73" s="974"/>
      <c r="Q73" s="975"/>
      <c r="R73" s="974"/>
      <c r="S73" s="974"/>
      <c r="T73" s="974"/>
      <c r="U73" s="974"/>
      <c r="V73" s="974"/>
      <c r="W73" s="974"/>
      <c r="X73" s="974"/>
      <c r="Y73" s="974"/>
      <c r="Z73" s="974"/>
      <c r="AA73" s="974"/>
      <c r="AB73" s="974"/>
      <c r="AC73" s="974"/>
      <c r="AD73" s="974"/>
      <c r="AE73" s="974"/>
      <c r="AF73" s="974"/>
      <c r="AG73" s="974"/>
      <c r="AH73" s="974"/>
      <c r="AI73" s="974"/>
      <c r="AJ73" s="974"/>
      <c r="AK73" s="974"/>
      <c r="AL73" s="974"/>
      <c r="AM73" s="974"/>
      <c r="AN73" s="974"/>
      <c r="AO73" s="974"/>
      <c r="AP73" s="974"/>
      <c r="AQ73" s="974"/>
      <c r="AR73" s="974"/>
      <c r="AS73" s="974"/>
      <c r="AT73" s="974"/>
      <c r="AU73" s="974"/>
      <c r="AV73" s="974"/>
      <c r="AW73" s="974"/>
      <c r="AX73" s="974"/>
      <c r="AY73" s="974"/>
      <c r="AZ73" s="974"/>
      <c r="BA73" s="974"/>
      <c r="BB73" s="974"/>
      <c r="BC73" s="974"/>
      <c r="BD73" s="974"/>
      <c r="BE73" s="974"/>
      <c r="BF73" s="974"/>
      <c r="BG73" s="974"/>
      <c r="BH73" s="974"/>
      <c r="BI73" s="974"/>
      <c r="BJ73" s="974"/>
      <c r="BK73" s="974"/>
      <c r="BL73" s="974"/>
      <c r="BM73" s="974"/>
      <c r="BN73" s="974"/>
      <c r="BO73" s="974"/>
      <c r="BP73" s="974"/>
      <c r="BQ73" s="974"/>
      <c r="BR73" s="974"/>
      <c r="BS73" s="974"/>
      <c r="BT73" s="974"/>
      <c r="BU73" s="974"/>
      <c r="BV73" s="974"/>
      <c r="BW73" s="974"/>
      <c r="BX73" s="974"/>
      <c r="BY73" s="974"/>
      <c r="BZ73" s="974"/>
      <c r="CA73" s="974"/>
      <c r="CB73" s="974"/>
      <c r="CC73" s="974"/>
      <c r="CD73" s="974"/>
      <c r="CE73" s="974"/>
      <c r="CF73" s="974"/>
      <c r="CG73" s="974"/>
      <c r="CH73" s="974"/>
      <c r="CI73" s="974"/>
      <c r="CJ73" s="974"/>
      <c r="CK73" s="974"/>
      <c r="CL73" s="974"/>
      <c r="CM73" s="974"/>
      <c r="CN73" s="974"/>
      <c r="CO73" s="974"/>
      <c r="CP73" s="974"/>
      <c r="CQ73" s="974"/>
      <c r="CR73" s="974"/>
      <c r="CS73" s="974"/>
      <c r="CT73" s="974"/>
      <c r="CU73" s="974"/>
      <c r="CV73" s="974"/>
      <c r="CW73" s="974"/>
      <c r="CX73" s="974"/>
      <c r="CY73" s="974"/>
      <c r="CZ73" s="974"/>
      <c r="DA73" s="974"/>
      <c r="DB73" s="974"/>
      <c r="DC73" s="974"/>
      <c r="DD73" s="974"/>
      <c r="DE73" s="974"/>
      <c r="DF73" s="974"/>
      <c r="DG73" s="974"/>
      <c r="DH73" s="974"/>
      <c r="DI73" s="974"/>
      <c r="DJ73" s="974"/>
      <c r="DK73" s="974"/>
      <c r="DL73" s="974"/>
      <c r="DM73" s="974"/>
      <c r="DN73" s="974"/>
      <c r="DO73" s="974"/>
      <c r="DP73" s="974"/>
      <c r="DQ73" s="974"/>
      <c r="DR73" s="974"/>
      <c r="DS73" s="974"/>
      <c r="DT73" s="974"/>
      <c r="DU73" s="974"/>
      <c r="DV73" s="974"/>
      <c r="DW73" s="974"/>
      <c r="DX73" s="974"/>
      <c r="DY73" s="974"/>
      <c r="DZ73" s="974"/>
      <c r="EA73" s="974"/>
      <c r="EB73" s="974"/>
      <c r="EC73" s="974"/>
      <c r="ED73" s="974"/>
      <c r="EE73" s="974"/>
      <c r="EF73" s="974"/>
      <c r="EG73" s="974"/>
      <c r="EH73" s="974"/>
      <c r="EI73" s="974"/>
      <c r="EJ73" s="974"/>
      <c r="EK73" s="974"/>
      <c r="EL73" s="974"/>
      <c r="EM73" s="974"/>
      <c r="EN73" s="974"/>
      <c r="EO73" s="974"/>
      <c r="EP73" s="974"/>
      <c r="EQ73" s="974"/>
      <c r="ER73" s="974"/>
      <c r="ES73" s="974"/>
      <c r="ET73" s="974"/>
      <c r="EU73" s="974"/>
      <c r="EV73" s="974"/>
      <c r="EW73" s="974"/>
      <c r="EX73" s="974"/>
      <c r="EY73" s="974"/>
      <c r="EZ73" s="974"/>
      <c r="FA73" s="974"/>
      <c r="FB73" s="974"/>
      <c r="FC73" s="974"/>
      <c r="FD73" s="974"/>
      <c r="FE73" s="974"/>
      <c r="FF73" s="974"/>
      <c r="FG73" s="974"/>
      <c r="FH73" s="974"/>
      <c r="FI73" s="974"/>
      <c r="FJ73" s="974"/>
      <c r="FK73" s="974"/>
      <c r="FL73" s="974"/>
      <c r="FM73" s="974"/>
      <c r="FN73" s="974"/>
      <c r="FO73" s="974"/>
      <c r="FP73" s="974"/>
      <c r="FQ73" s="974"/>
      <c r="FR73" s="974"/>
      <c r="FS73" s="974"/>
      <c r="FT73" s="974"/>
      <c r="FU73" s="974"/>
      <c r="FV73" s="974"/>
      <c r="FW73" s="974"/>
      <c r="FX73" s="974"/>
      <c r="FY73" s="974"/>
      <c r="FZ73" s="974"/>
      <c r="GA73" s="974"/>
      <c r="GB73" s="974"/>
      <c r="GC73" s="974"/>
      <c r="GD73" s="974"/>
      <c r="GE73" s="974"/>
      <c r="GF73" s="974"/>
      <c r="GG73" s="974"/>
      <c r="GH73" s="974"/>
      <c r="GI73" s="974"/>
      <c r="GJ73" s="974"/>
      <c r="GK73" s="974"/>
      <c r="GL73" s="974"/>
      <c r="GM73" s="974"/>
      <c r="GN73" s="974"/>
      <c r="GO73" s="974"/>
      <c r="GP73" s="974"/>
      <c r="GQ73" s="974"/>
      <c r="GR73" s="974"/>
      <c r="GS73" s="974"/>
      <c r="GT73" s="974"/>
      <c r="GU73" s="974"/>
      <c r="GV73" s="974"/>
      <c r="GW73" s="974"/>
      <c r="GX73" s="974"/>
      <c r="GY73" s="974"/>
      <c r="GZ73" s="974"/>
      <c r="HA73" s="974"/>
      <c r="HB73" s="974"/>
      <c r="HC73" s="974"/>
      <c r="HD73" s="974"/>
      <c r="HE73" s="974"/>
      <c r="HF73" s="974"/>
      <c r="HG73" s="974"/>
      <c r="HH73" s="974"/>
      <c r="HI73" s="974"/>
      <c r="HJ73" s="974"/>
      <c r="HK73" s="974"/>
      <c r="HL73" s="974"/>
      <c r="HM73" s="974"/>
      <c r="HN73" s="974"/>
      <c r="HO73" s="974"/>
      <c r="HP73" s="974"/>
      <c r="HQ73" s="974"/>
      <c r="HR73" s="974"/>
      <c r="HS73" s="974"/>
      <c r="HT73" s="974"/>
      <c r="HU73" s="974"/>
      <c r="HV73" s="974"/>
      <c r="HW73" s="974"/>
      <c r="HX73" s="974"/>
      <c r="HY73" s="974"/>
      <c r="HZ73" s="974"/>
      <c r="IA73" s="974"/>
      <c r="IB73" s="974"/>
      <c r="IC73" s="974"/>
      <c r="ID73" s="974"/>
      <c r="IE73" s="974"/>
      <c r="IF73" s="974"/>
      <c r="IG73" s="974"/>
      <c r="IH73" s="974"/>
      <c r="II73" s="974"/>
      <c r="IJ73" s="974"/>
      <c r="IK73" s="974"/>
      <c r="IL73" s="974"/>
      <c r="IM73" s="974"/>
      <c r="IN73" s="974"/>
      <c r="IO73" s="974"/>
      <c r="IP73" s="974"/>
      <c r="IQ73" s="974"/>
      <c r="IR73" s="974"/>
      <c r="IS73" s="974"/>
      <c r="IT73" s="974"/>
      <c r="IU73" s="974"/>
      <c r="IV73" s="974"/>
    </row>
    <row r="74" spans="1:256" s="865" customFormat="1" ht="11.25" customHeight="1">
      <c r="A74" s="961"/>
      <c r="B74" s="898"/>
      <c r="C74" s="898"/>
      <c r="D74" s="989"/>
      <c r="E74" s="854"/>
      <c r="F74" s="854"/>
      <c r="G74" s="854" t="s">
        <v>11841</v>
      </c>
      <c r="H74" s="991">
        <f t="shared" si="4"/>
        <v>1</v>
      </c>
      <c r="I74" s="970">
        <v>2.82</v>
      </c>
      <c r="J74" s="970">
        <v>2.7</v>
      </c>
      <c r="K74" s="970">
        <v>0.25</v>
      </c>
      <c r="L74" s="985" t="s">
        <v>20309</v>
      </c>
      <c r="M74" s="986">
        <f t="shared" si="5"/>
        <v>1.9035</v>
      </c>
      <c r="N74" s="972"/>
      <c r="O74" s="973"/>
      <c r="P74" s="974"/>
      <c r="Q74" s="975"/>
      <c r="R74" s="974"/>
      <c r="S74" s="974"/>
      <c r="T74" s="974"/>
      <c r="U74" s="974"/>
      <c r="V74" s="974"/>
      <c r="W74" s="974"/>
      <c r="X74" s="974"/>
      <c r="Y74" s="974"/>
      <c r="Z74" s="974"/>
      <c r="AA74" s="974"/>
      <c r="AB74" s="974"/>
      <c r="AC74" s="974"/>
      <c r="AD74" s="974"/>
      <c r="AE74" s="974"/>
      <c r="AF74" s="974"/>
      <c r="AG74" s="974"/>
      <c r="AH74" s="974"/>
      <c r="AI74" s="974"/>
      <c r="AJ74" s="974"/>
      <c r="AK74" s="974"/>
      <c r="AL74" s="974"/>
      <c r="AM74" s="974"/>
      <c r="AN74" s="974"/>
      <c r="AO74" s="974"/>
      <c r="AP74" s="974"/>
      <c r="AQ74" s="974"/>
      <c r="AR74" s="974"/>
      <c r="AS74" s="974"/>
      <c r="AT74" s="974"/>
      <c r="AU74" s="974"/>
      <c r="AV74" s="974"/>
      <c r="AW74" s="974"/>
      <c r="AX74" s="974"/>
      <c r="AY74" s="974"/>
      <c r="AZ74" s="974"/>
      <c r="BA74" s="974"/>
      <c r="BB74" s="974"/>
      <c r="BC74" s="974"/>
      <c r="BD74" s="974"/>
      <c r="BE74" s="974"/>
      <c r="BF74" s="974"/>
      <c r="BG74" s="974"/>
      <c r="BH74" s="974"/>
      <c r="BI74" s="974"/>
      <c r="BJ74" s="974"/>
      <c r="BK74" s="974"/>
      <c r="BL74" s="974"/>
      <c r="BM74" s="974"/>
      <c r="BN74" s="974"/>
      <c r="BO74" s="974"/>
      <c r="BP74" s="974"/>
      <c r="BQ74" s="974"/>
      <c r="BR74" s="974"/>
      <c r="BS74" s="974"/>
      <c r="BT74" s="974"/>
      <c r="BU74" s="974"/>
      <c r="BV74" s="974"/>
      <c r="BW74" s="974"/>
      <c r="BX74" s="974"/>
      <c r="BY74" s="974"/>
      <c r="BZ74" s="974"/>
      <c r="CA74" s="974"/>
      <c r="CB74" s="974"/>
      <c r="CC74" s="974"/>
      <c r="CD74" s="974"/>
      <c r="CE74" s="974"/>
      <c r="CF74" s="974"/>
      <c r="CG74" s="974"/>
      <c r="CH74" s="974"/>
      <c r="CI74" s="974"/>
      <c r="CJ74" s="974"/>
      <c r="CK74" s="974"/>
      <c r="CL74" s="974"/>
      <c r="CM74" s="974"/>
      <c r="CN74" s="974"/>
      <c r="CO74" s="974"/>
      <c r="CP74" s="974"/>
      <c r="CQ74" s="974"/>
      <c r="CR74" s="974"/>
      <c r="CS74" s="974"/>
      <c r="CT74" s="974"/>
      <c r="CU74" s="974"/>
      <c r="CV74" s="974"/>
      <c r="CW74" s="974"/>
      <c r="CX74" s="974"/>
      <c r="CY74" s="974"/>
      <c r="CZ74" s="974"/>
      <c r="DA74" s="974"/>
      <c r="DB74" s="974"/>
      <c r="DC74" s="974"/>
      <c r="DD74" s="974"/>
      <c r="DE74" s="974"/>
      <c r="DF74" s="974"/>
      <c r="DG74" s="974"/>
      <c r="DH74" s="974"/>
      <c r="DI74" s="974"/>
      <c r="DJ74" s="974"/>
      <c r="DK74" s="974"/>
      <c r="DL74" s="974"/>
      <c r="DM74" s="974"/>
      <c r="DN74" s="974"/>
      <c r="DO74" s="974"/>
      <c r="DP74" s="974"/>
      <c r="DQ74" s="974"/>
      <c r="DR74" s="974"/>
      <c r="DS74" s="974"/>
      <c r="DT74" s="974"/>
      <c r="DU74" s="974"/>
      <c r="DV74" s="974"/>
      <c r="DW74" s="974"/>
      <c r="DX74" s="974"/>
      <c r="DY74" s="974"/>
      <c r="DZ74" s="974"/>
      <c r="EA74" s="974"/>
      <c r="EB74" s="974"/>
      <c r="EC74" s="974"/>
      <c r="ED74" s="974"/>
      <c r="EE74" s="974"/>
      <c r="EF74" s="974"/>
      <c r="EG74" s="974"/>
      <c r="EH74" s="974"/>
      <c r="EI74" s="974"/>
      <c r="EJ74" s="974"/>
      <c r="EK74" s="974"/>
      <c r="EL74" s="974"/>
      <c r="EM74" s="974"/>
      <c r="EN74" s="974"/>
      <c r="EO74" s="974"/>
      <c r="EP74" s="974"/>
      <c r="EQ74" s="974"/>
      <c r="ER74" s="974"/>
      <c r="ES74" s="974"/>
      <c r="ET74" s="974"/>
      <c r="EU74" s="974"/>
      <c r="EV74" s="974"/>
      <c r="EW74" s="974"/>
      <c r="EX74" s="974"/>
      <c r="EY74" s="974"/>
      <c r="EZ74" s="974"/>
      <c r="FA74" s="974"/>
      <c r="FB74" s="974"/>
      <c r="FC74" s="974"/>
      <c r="FD74" s="974"/>
      <c r="FE74" s="974"/>
      <c r="FF74" s="974"/>
      <c r="FG74" s="974"/>
      <c r="FH74" s="974"/>
      <c r="FI74" s="974"/>
      <c r="FJ74" s="974"/>
      <c r="FK74" s="974"/>
      <c r="FL74" s="974"/>
      <c r="FM74" s="974"/>
      <c r="FN74" s="974"/>
      <c r="FO74" s="974"/>
      <c r="FP74" s="974"/>
      <c r="FQ74" s="974"/>
      <c r="FR74" s="974"/>
      <c r="FS74" s="974"/>
      <c r="FT74" s="974"/>
      <c r="FU74" s="974"/>
      <c r="FV74" s="974"/>
      <c r="FW74" s="974"/>
      <c r="FX74" s="974"/>
      <c r="FY74" s="974"/>
      <c r="FZ74" s="974"/>
      <c r="GA74" s="974"/>
      <c r="GB74" s="974"/>
      <c r="GC74" s="974"/>
      <c r="GD74" s="974"/>
      <c r="GE74" s="974"/>
      <c r="GF74" s="974"/>
      <c r="GG74" s="974"/>
      <c r="GH74" s="974"/>
      <c r="GI74" s="974"/>
      <c r="GJ74" s="974"/>
      <c r="GK74" s="974"/>
      <c r="GL74" s="974"/>
      <c r="GM74" s="974"/>
      <c r="GN74" s="974"/>
      <c r="GO74" s="974"/>
      <c r="GP74" s="974"/>
      <c r="GQ74" s="974"/>
      <c r="GR74" s="974"/>
      <c r="GS74" s="974"/>
      <c r="GT74" s="974"/>
      <c r="GU74" s="974"/>
      <c r="GV74" s="974"/>
      <c r="GW74" s="974"/>
      <c r="GX74" s="974"/>
      <c r="GY74" s="974"/>
      <c r="GZ74" s="974"/>
      <c r="HA74" s="974"/>
      <c r="HB74" s="974"/>
      <c r="HC74" s="974"/>
      <c r="HD74" s="974"/>
      <c r="HE74" s="974"/>
      <c r="HF74" s="974"/>
      <c r="HG74" s="974"/>
      <c r="HH74" s="974"/>
      <c r="HI74" s="974"/>
      <c r="HJ74" s="974"/>
      <c r="HK74" s="974"/>
      <c r="HL74" s="974"/>
      <c r="HM74" s="974"/>
      <c r="HN74" s="974"/>
      <c r="HO74" s="974"/>
      <c r="HP74" s="974"/>
      <c r="HQ74" s="974"/>
      <c r="HR74" s="974"/>
      <c r="HS74" s="974"/>
      <c r="HT74" s="974"/>
      <c r="HU74" s="974"/>
      <c r="HV74" s="974"/>
      <c r="HW74" s="974"/>
      <c r="HX74" s="974"/>
      <c r="HY74" s="974"/>
      <c r="HZ74" s="974"/>
      <c r="IA74" s="974"/>
      <c r="IB74" s="974"/>
      <c r="IC74" s="974"/>
      <c r="ID74" s="974"/>
      <c r="IE74" s="974"/>
      <c r="IF74" s="974"/>
      <c r="IG74" s="974"/>
      <c r="IH74" s="974"/>
      <c r="II74" s="974"/>
      <c r="IJ74" s="974"/>
      <c r="IK74" s="974"/>
      <c r="IL74" s="974"/>
      <c r="IM74" s="974"/>
      <c r="IN74" s="974"/>
      <c r="IO74" s="974"/>
      <c r="IP74" s="974"/>
      <c r="IQ74" s="974"/>
      <c r="IR74" s="974"/>
      <c r="IS74" s="974"/>
      <c r="IT74" s="974"/>
      <c r="IU74" s="974"/>
      <c r="IV74" s="974"/>
    </row>
    <row r="75" spans="1:256" s="865" customFormat="1" ht="11.25" customHeight="1">
      <c r="A75" s="961"/>
      <c r="B75" s="898"/>
      <c r="C75" s="898"/>
      <c r="D75" s="989"/>
      <c r="E75" s="854"/>
      <c r="F75" s="854"/>
      <c r="G75" s="854" t="s">
        <v>11842</v>
      </c>
      <c r="H75" s="991">
        <f>H62</f>
        <v>1</v>
      </c>
      <c r="I75" s="970">
        <v>3.05</v>
      </c>
      <c r="J75" s="970">
        <v>2.2000000000000002</v>
      </c>
      <c r="K75" s="970">
        <v>0.25</v>
      </c>
      <c r="L75" s="985" t="s">
        <v>20309</v>
      </c>
      <c r="M75" s="986">
        <f t="shared" si="5"/>
        <v>1.6775</v>
      </c>
      <c r="N75" s="972"/>
      <c r="O75" s="973"/>
      <c r="P75" s="974"/>
      <c r="Q75" s="975"/>
      <c r="R75" s="974"/>
      <c r="S75" s="974"/>
      <c r="T75" s="974"/>
      <c r="U75" s="974"/>
      <c r="V75" s="974"/>
      <c r="W75" s="974"/>
      <c r="X75" s="974"/>
      <c r="Y75" s="974"/>
      <c r="Z75" s="974"/>
      <c r="AA75" s="974"/>
      <c r="AB75" s="974"/>
      <c r="AC75" s="974"/>
      <c r="AD75" s="974"/>
      <c r="AE75" s="974"/>
      <c r="AF75" s="974"/>
      <c r="AG75" s="974"/>
      <c r="AH75" s="974"/>
      <c r="AI75" s="974"/>
      <c r="AJ75" s="974"/>
      <c r="AK75" s="974"/>
      <c r="AL75" s="974"/>
      <c r="AM75" s="974"/>
      <c r="AN75" s="974"/>
      <c r="AO75" s="974"/>
      <c r="AP75" s="974"/>
      <c r="AQ75" s="974"/>
      <c r="AR75" s="974"/>
      <c r="AS75" s="974"/>
      <c r="AT75" s="974"/>
      <c r="AU75" s="974"/>
      <c r="AV75" s="974"/>
      <c r="AW75" s="974"/>
      <c r="AX75" s="974"/>
      <c r="AY75" s="974"/>
      <c r="AZ75" s="974"/>
      <c r="BA75" s="974"/>
      <c r="BB75" s="974"/>
      <c r="BC75" s="974"/>
      <c r="BD75" s="974"/>
      <c r="BE75" s="974"/>
      <c r="BF75" s="974"/>
      <c r="BG75" s="974"/>
      <c r="BH75" s="974"/>
      <c r="BI75" s="974"/>
      <c r="BJ75" s="974"/>
      <c r="BK75" s="974"/>
      <c r="BL75" s="974"/>
      <c r="BM75" s="974"/>
      <c r="BN75" s="974"/>
      <c r="BO75" s="974"/>
      <c r="BP75" s="974"/>
      <c r="BQ75" s="974"/>
      <c r="BR75" s="974"/>
      <c r="BS75" s="974"/>
      <c r="BT75" s="974"/>
      <c r="BU75" s="974"/>
      <c r="BV75" s="974"/>
      <c r="BW75" s="974"/>
      <c r="BX75" s="974"/>
      <c r="BY75" s="974"/>
      <c r="BZ75" s="974"/>
      <c r="CA75" s="974"/>
      <c r="CB75" s="974"/>
      <c r="CC75" s="974"/>
      <c r="CD75" s="974"/>
      <c r="CE75" s="974"/>
      <c r="CF75" s="974"/>
      <c r="CG75" s="974"/>
      <c r="CH75" s="974"/>
      <c r="CI75" s="974"/>
      <c r="CJ75" s="974"/>
      <c r="CK75" s="974"/>
      <c r="CL75" s="974"/>
      <c r="CM75" s="974"/>
      <c r="CN75" s="974"/>
      <c r="CO75" s="974"/>
      <c r="CP75" s="974"/>
      <c r="CQ75" s="974"/>
      <c r="CR75" s="974"/>
      <c r="CS75" s="974"/>
      <c r="CT75" s="974"/>
      <c r="CU75" s="974"/>
      <c r="CV75" s="974"/>
      <c r="CW75" s="974"/>
      <c r="CX75" s="974"/>
      <c r="CY75" s="974"/>
      <c r="CZ75" s="974"/>
      <c r="DA75" s="974"/>
      <c r="DB75" s="974"/>
      <c r="DC75" s="974"/>
      <c r="DD75" s="974"/>
      <c r="DE75" s="974"/>
      <c r="DF75" s="974"/>
      <c r="DG75" s="974"/>
      <c r="DH75" s="974"/>
      <c r="DI75" s="974"/>
      <c r="DJ75" s="974"/>
      <c r="DK75" s="974"/>
      <c r="DL75" s="974"/>
      <c r="DM75" s="974"/>
      <c r="DN75" s="974"/>
      <c r="DO75" s="974"/>
      <c r="DP75" s="974"/>
      <c r="DQ75" s="974"/>
      <c r="DR75" s="974"/>
      <c r="DS75" s="974"/>
      <c r="DT75" s="974"/>
      <c r="DU75" s="974"/>
      <c r="DV75" s="974"/>
      <c r="DW75" s="974"/>
      <c r="DX75" s="974"/>
      <c r="DY75" s="974"/>
      <c r="DZ75" s="974"/>
      <c r="EA75" s="974"/>
      <c r="EB75" s="974"/>
      <c r="EC75" s="974"/>
      <c r="ED75" s="974"/>
      <c r="EE75" s="974"/>
      <c r="EF75" s="974"/>
      <c r="EG75" s="974"/>
      <c r="EH75" s="974"/>
      <c r="EI75" s="974"/>
      <c r="EJ75" s="974"/>
      <c r="EK75" s="974"/>
      <c r="EL75" s="974"/>
      <c r="EM75" s="974"/>
      <c r="EN75" s="974"/>
      <c r="EO75" s="974"/>
      <c r="EP75" s="974"/>
      <c r="EQ75" s="974"/>
      <c r="ER75" s="974"/>
      <c r="ES75" s="974"/>
      <c r="ET75" s="974"/>
      <c r="EU75" s="974"/>
      <c r="EV75" s="974"/>
      <c r="EW75" s="974"/>
      <c r="EX75" s="974"/>
      <c r="EY75" s="974"/>
      <c r="EZ75" s="974"/>
      <c r="FA75" s="974"/>
      <c r="FB75" s="974"/>
      <c r="FC75" s="974"/>
      <c r="FD75" s="974"/>
      <c r="FE75" s="974"/>
      <c r="FF75" s="974"/>
      <c r="FG75" s="974"/>
      <c r="FH75" s="974"/>
      <c r="FI75" s="974"/>
      <c r="FJ75" s="974"/>
      <c r="FK75" s="974"/>
      <c r="FL75" s="974"/>
      <c r="FM75" s="974"/>
      <c r="FN75" s="974"/>
      <c r="FO75" s="974"/>
      <c r="FP75" s="974"/>
      <c r="FQ75" s="974"/>
      <c r="FR75" s="974"/>
      <c r="FS75" s="974"/>
      <c r="FT75" s="974"/>
      <c r="FU75" s="974"/>
      <c r="FV75" s="974"/>
      <c r="FW75" s="974"/>
      <c r="FX75" s="974"/>
      <c r="FY75" s="974"/>
      <c r="FZ75" s="974"/>
      <c r="GA75" s="974"/>
      <c r="GB75" s="974"/>
      <c r="GC75" s="974"/>
      <c r="GD75" s="974"/>
      <c r="GE75" s="974"/>
      <c r="GF75" s="974"/>
      <c r="GG75" s="974"/>
      <c r="GH75" s="974"/>
      <c r="GI75" s="974"/>
      <c r="GJ75" s="974"/>
      <c r="GK75" s="974"/>
      <c r="GL75" s="974"/>
      <c r="GM75" s="974"/>
      <c r="GN75" s="974"/>
      <c r="GO75" s="974"/>
      <c r="GP75" s="974"/>
      <c r="GQ75" s="974"/>
      <c r="GR75" s="974"/>
      <c r="GS75" s="974"/>
      <c r="GT75" s="974"/>
      <c r="GU75" s="974"/>
      <c r="GV75" s="974"/>
      <c r="GW75" s="974"/>
      <c r="GX75" s="974"/>
      <c r="GY75" s="974"/>
      <c r="GZ75" s="974"/>
      <c r="HA75" s="974"/>
      <c r="HB75" s="974"/>
      <c r="HC75" s="974"/>
      <c r="HD75" s="974"/>
      <c r="HE75" s="974"/>
      <c r="HF75" s="974"/>
      <c r="HG75" s="974"/>
      <c r="HH75" s="974"/>
      <c r="HI75" s="974"/>
      <c r="HJ75" s="974"/>
      <c r="HK75" s="974"/>
      <c r="HL75" s="974"/>
      <c r="HM75" s="974"/>
      <c r="HN75" s="974"/>
      <c r="HO75" s="974"/>
      <c r="HP75" s="974"/>
      <c r="HQ75" s="974"/>
      <c r="HR75" s="974"/>
      <c r="HS75" s="974"/>
      <c r="HT75" s="974"/>
      <c r="HU75" s="974"/>
      <c r="HV75" s="974"/>
      <c r="HW75" s="974"/>
      <c r="HX75" s="974"/>
      <c r="HY75" s="974"/>
      <c r="HZ75" s="974"/>
      <c r="IA75" s="974"/>
      <c r="IB75" s="974"/>
      <c r="IC75" s="974"/>
      <c r="ID75" s="974"/>
      <c r="IE75" s="974"/>
      <c r="IF75" s="974"/>
      <c r="IG75" s="974"/>
      <c r="IH75" s="974"/>
      <c r="II75" s="974"/>
      <c r="IJ75" s="974"/>
      <c r="IK75" s="974"/>
      <c r="IL75" s="974"/>
      <c r="IM75" s="974"/>
      <c r="IN75" s="974"/>
      <c r="IO75" s="974"/>
      <c r="IP75" s="974"/>
      <c r="IQ75" s="974"/>
      <c r="IR75" s="974"/>
      <c r="IS75" s="974"/>
      <c r="IT75" s="974"/>
      <c r="IU75" s="974"/>
      <c r="IV75" s="974"/>
    </row>
    <row r="76" spans="1:256" s="865" customFormat="1" ht="11.25" customHeight="1">
      <c r="A76" s="961"/>
      <c r="B76" s="898"/>
      <c r="C76" s="898"/>
      <c r="D76" s="989"/>
      <c r="E76" s="854"/>
      <c r="F76" s="854"/>
      <c r="G76" s="854" t="s">
        <v>11843</v>
      </c>
      <c r="H76" s="991">
        <f>H63</f>
        <v>1</v>
      </c>
      <c r="I76" s="970">
        <v>2.7</v>
      </c>
      <c r="J76" s="970">
        <v>2.5499999999999998</v>
      </c>
      <c r="K76" s="970">
        <v>0.25</v>
      </c>
      <c r="L76" s="985" t="s">
        <v>20309</v>
      </c>
      <c r="M76" s="986">
        <f t="shared" si="5"/>
        <v>1.7212499999999999</v>
      </c>
      <c r="N76" s="972"/>
      <c r="O76" s="973"/>
      <c r="P76" s="974"/>
      <c r="Q76" s="975"/>
      <c r="R76" s="974"/>
      <c r="S76" s="974"/>
      <c r="T76" s="974"/>
      <c r="U76" s="974"/>
      <c r="V76" s="974"/>
      <c r="W76" s="974"/>
      <c r="X76" s="974"/>
      <c r="Y76" s="974"/>
      <c r="Z76" s="974"/>
      <c r="AA76" s="974"/>
      <c r="AB76" s="974"/>
      <c r="AC76" s="974"/>
      <c r="AD76" s="974"/>
      <c r="AE76" s="974"/>
      <c r="AF76" s="974"/>
      <c r="AG76" s="974"/>
      <c r="AH76" s="974"/>
      <c r="AI76" s="974"/>
      <c r="AJ76" s="974"/>
      <c r="AK76" s="974"/>
      <c r="AL76" s="974"/>
      <c r="AM76" s="974"/>
      <c r="AN76" s="974"/>
      <c r="AO76" s="974"/>
      <c r="AP76" s="974"/>
      <c r="AQ76" s="974"/>
      <c r="AR76" s="974"/>
      <c r="AS76" s="974"/>
      <c r="AT76" s="974"/>
      <c r="AU76" s="974"/>
      <c r="AV76" s="974"/>
      <c r="AW76" s="974"/>
      <c r="AX76" s="974"/>
      <c r="AY76" s="974"/>
      <c r="AZ76" s="974"/>
      <c r="BA76" s="974"/>
      <c r="BB76" s="974"/>
      <c r="BC76" s="974"/>
      <c r="BD76" s="974"/>
      <c r="BE76" s="974"/>
      <c r="BF76" s="974"/>
      <c r="BG76" s="974"/>
      <c r="BH76" s="974"/>
      <c r="BI76" s="974"/>
      <c r="BJ76" s="974"/>
      <c r="BK76" s="974"/>
      <c r="BL76" s="974"/>
      <c r="BM76" s="974"/>
      <c r="BN76" s="974"/>
      <c r="BO76" s="974"/>
      <c r="BP76" s="974"/>
      <c r="BQ76" s="974"/>
      <c r="BR76" s="974"/>
      <c r="BS76" s="974"/>
      <c r="BT76" s="974"/>
      <c r="BU76" s="974"/>
      <c r="BV76" s="974"/>
      <c r="BW76" s="974"/>
      <c r="BX76" s="974"/>
      <c r="BY76" s="974"/>
      <c r="BZ76" s="974"/>
      <c r="CA76" s="974"/>
      <c r="CB76" s="974"/>
      <c r="CC76" s="974"/>
      <c r="CD76" s="974"/>
      <c r="CE76" s="974"/>
      <c r="CF76" s="974"/>
      <c r="CG76" s="974"/>
      <c r="CH76" s="974"/>
      <c r="CI76" s="974"/>
      <c r="CJ76" s="974"/>
      <c r="CK76" s="974"/>
      <c r="CL76" s="974"/>
      <c r="CM76" s="974"/>
      <c r="CN76" s="974"/>
      <c r="CO76" s="974"/>
      <c r="CP76" s="974"/>
      <c r="CQ76" s="974"/>
      <c r="CR76" s="974"/>
      <c r="CS76" s="974"/>
      <c r="CT76" s="974"/>
      <c r="CU76" s="974"/>
      <c r="CV76" s="974"/>
      <c r="CW76" s="974"/>
      <c r="CX76" s="974"/>
      <c r="CY76" s="974"/>
      <c r="CZ76" s="974"/>
      <c r="DA76" s="974"/>
      <c r="DB76" s="974"/>
      <c r="DC76" s="974"/>
      <c r="DD76" s="974"/>
      <c r="DE76" s="974"/>
      <c r="DF76" s="974"/>
      <c r="DG76" s="974"/>
      <c r="DH76" s="974"/>
      <c r="DI76" s="974"/>
      <c r="DJ76" s="974"/>
      <c r="DK76" s="974"/>
      <c r="DL76" s="974"/>
      <c r="DM76" s="974"/>
      <c r="DN76" s="974"/>
      <c r="DO76" s="974"/>
      <c r="DP76" s="974"/>
      <c r="DQ76" s="974"/>
      <c r="DR76" s="974"/>
      <c r="DS76" s="974"/>
      <c r="DT76" s="974"/>
      <c r="DU76" s="974"/>
      <c r="DV76" s="974"/>
      <c r="DW76" s="974"/>
      <c r="DX76" s="974"/>
      <c r="DY76" s="974"/>
      <c r="DZ76" s="974"/>
      <c r="EA76" s="974"/>
      <c r="EB76" s="974"/>
      <c r="EC76" s="974"/>
      <c r="ED76" s="974"/>
      <c r="EE76" s="974"/>
      <c r="EF76" s="974"/>
      <c r="EG76" s="974"/>
      <c r="EH76" s="974"/>
      <c r="EI76" s="974"/>
      <c r="EJ76" s="974"/>
      <c r="EK76" s="974"/>
      <c r="EL76" s="974"/>
      <c r="EM76" s="974"/>
      <c r="EN76" s="974"/>
      <c r="EO76" s="974"/>
      <c r="EP76" s="974"/>
      <c r="EQ76" s="974"/>
      <c r="ER76" s="974"/>
      <c r="ES76" s="974"/>
      <c r="ET76" s="974"/>
      <c r="EU76" s="974"/>
      <c r="EV76" s="974"/>
      <c r="EW76" s="974"/>
      <c r="EX76" s="974"/>
      <c r="EY76" s="974"/>
      <c r="EZ76" s="974"/>
      <c r="FA76" s="974"/>
      <c r="FB76" s="974"/>
      <c r="FC76" s="974"/>
      <c r="FD76" s="974"/>
      <c r="FE76" s="974"/>
      <c r="FF76" s="974"/>
      <c r="FG76" s="974"/>
      <c r="FH76" s="974"/>
      <c r="FI76" s="974"/>
      <c r="FJ76" s="974"/>
      <c r="FK76" s="974"/>
      <c r="FL76" s="974"/>
      <c r="FM76" s="974"/>
      <c r="FN76" s="974"/>
      <c r="FO76" s="974"/>
      <c r="FP76" s="974"/>
      <c r="FQ76" s="974"/>
      <c r="FR76" s="974"/>
      <c r="FS76" s="974"/>
      <c r="FT76" s="974"/>
      <c r="FU76" s="974"/>
      <c r="FV76" s="974"/>
      <c r="FW76" s="974"/>
      <c r="FX76" s="974"/>
      <c r="FY76" s="974"/>
      <c r="FZ76" s="974"/>
      <c r="GA76" s="974"/>
      <c r="GB76" s="974"/>
      <c r="GC76" s="974"/>
      <c r="GD76" s="974"/>
      <c r="GE76" s="974"/>
      <c r="GF76" s="974"/>
      <c r="GG76" s="974"/>
      <c r="GH76" s="974"/>
      <c r="GI76" s="974"/>
      <c r="GJ76" s="974"/>
      <c r="GK76" s="974"/>
      <c r="GL76" s="974"/>
      <c r="GM76" s="974"/>
      <c r="GN76" s="974"/>
      <c r="GO76" s="974"/>
      <c r="GP76" s="974"/>
      <c r="GQ76" s="974"/>
      <c r="GR76" s="974"/>
      <c r="GS76" s="974"/>
      <c r="GT76" s="974"/>
      <c r="GU76" s="974"/>
      <c r="GV76" s="974"/>
      <c r="GW76" s="974"/>
      <c r="GX76" s="974"/>
      <c r="GY76" s="974"/>
      <c r="GZ76" s="974"/>
      <c r="HA76" s="974"/>
      <c r="HB76" s="974"/>
      <c r="HC76" s="974"/>
      <c r="HD76" s="974"/>
      <c r="HE76" s="974"/>
      <c r="HF76" s="974"/>
      <c r="HG76" s="974"/>
      <c r="HH76" s="974"/>
      <c r="HI76" s="974"/>
      <c r="HJ76" s="974"/>
      <c r="HK76" s="974"/>
      <c r="HL76" s="974"/>
      <c r="HM76" s="974"/>
      <c r="HN76" s="974"/>
      <c r="HO76" s="974"/>
      <c r="HP76" s="974"/>
      <c r="HQ76" s="974"/>
      <c r="HR76" s="974"/>
      <c r="HS76" s="974"/>
      <c r="HT76" s="974"/>
      <c r="HU76" s="974"/>
      <c r="HV76" s="974"/>
      <c r="HW76" s="974"/>
      <c r="HX76" s="974"/>
      <c r="HY76" s="974"/>
      <c r="HZ76" s="974"/>
      <c r="IA76" s="974"/>
      <c r="IB76" s="974"/>
      <c r="IC76" s="974"/>
      <c r="ID76" s="974"/>
      <c r="IE76" s="974"/>
      <c r="IF76" s="974"/>
      <c r="IG76" s="974"/>
      <c r="IH76" s="974"/>
      <c r="II76" s="974"/>
      <c r="IJ76" s="974"/>
      <c r="IK76" s="974"/>
      <c r="IL76" s="974"/>
      <c r="IM76" s="974"/>
      <c r="IN76" s="974"/>
      <c r="IO76" s="974"/>
      <c r="IP76" s="974"/>
      <c r="IQ76" s="974"/>
      <c r="IR76" s="974"/>
      <c r="IS76" s="974"/>
      <c r="IT76" s="974"/>
      <c r="IU76" s="974"/>
      <c r="IV76" s="974"/>
    </row>
    <row r="77" spans="1:256" s="865" customFormat="1" ht="11.25" customHeight="1">
      <c r="A77" s="961"/>
      <c r="B77" s="898"/>
      <c r="C77" s="898"/>
      <c r="D77" s="989"/>
      <c r="E77" s="854"/>
      <c r="F77" s="854"/>
      <c r="G77" s="854"/>
      <c r="H77" s="991"/>
      <c r="I77" s="970"/>
      <c r="J77" s="970"/>
      <c r="K77" s="970"/>
      <c r="L77" s="985" t="s">
        <v>20309</v>
      </c>
      <c r="M77" s="986"/>
      <c r="N77" s="972"/>
      <c r="O77" s="973"/>
      <c r="P77" s="974"/>
      <c r="Q77" s="975"/>
      <c r="R77" s="974"/>
      <c r="S77" s="974"/>
      <c r="T77" s="974"/>
      <c r="U77" s="974"/>
      <c r="V77" s="974"/>
      <c r="W77" s="974"/>
      <c r="X77" s="974"/>
      <c r="Y77" s="974"/>
      <c r="Z77" s="974"/>
      <c r="AA77" s="974"/>
      <c r="AB77" s="974"/>
      <c r="AC77" s="974"/>
      <c r="AD77" s="974"/>
      <c r="AE77" s="974"/>
      <c r="AF77" s="974"/>
      <c r="AG77" s="974"/>
      <c r="AH77" s="974"/>
      <c r="AI77" s="974"/>
      <c r="AJ77" s="974"/>
      <c r="AK77" s="974"/>
      <c r="AL77" s="974"/>
      <c r="AM77" s="974"/>
      <c r="AN77" s="974"/>
      <c r="AO77" s="974"/>
      <c r="AP77" s="974"/>
      <c r="AQ77" s="974"/>
      <c r="AR77" s="974"/>
      <c r="AS77" s="974"/>
      <c r="AT77" s="974"/>
      <c r="AU77" s="974"/>
      <c r="AV77" s="974"/>
      <c r="AW77" s="974"/>
      <c r="AX77" s="974"/>
      <c r="AY77" s="974"/>
      <c r="AZ77" s="974"/>
      <c r="BA77" s="974"/>
      <c r="BB77" s="974"/>
      <c r="BC77" s="974"/>
      <c r="BD77" s="974"/>
      <c r="BE77" s="974"/>
      <c r="BF77" s="974"/>
      <c r="BG77" s="974"/>
      <c r="BH77" s="974"/>
      <c r="BI77" s="974"/>
      <c r="BJ77" s="974"/>
      <c r="BK77" s="974"/>
      <c r="BL77" s="974"/>
      <c r="BM77" s="974"/>
      <c r="BN77" s="974"/>
      <c r="BO77" s="974"/>
      <c r="BP77" s="974"/>
      <c r="BQ77" s="974"/>
      <c r="BR77" s="974"/>
      <c r="BS77" s="974"/>
      <c r="BT77" s="974"/>
      <c r="BU77" s="974"/>
      <c r="BV77" s="974"/>
      <c r="BW77" s="974"/>
      <c r="BX77" s="974"/>
      <c r="BY77" s="974"/>
      <c r="BZ77" s="974"/>
      <c r="CA77" s="974"/>
      <c r="CB77" s="974"/>
      <c r="CC77" s="974"/>
      <c r="CD77" s="974"/>
      <c r="CE77" s="974"/>
      <c r="CF77" s="974"/>
      <c r="CG77" s="974"/>
      <c r="CH77" s="974"/>
      <c r="CI77" s="974"/>
      <c r="CJ77" s="974"/>
      <c r="CK77" s="974"/>
      <c r="CL77" s="974"/>
      <c r="CM77" s="974"/>
      <c r="CN77" s="974"/>
      <c r="CO77" s="974"/>
      <c r="CP77" s="974"/>
      <c r="CQ77" s="974"/>
      <c r="CR77" s="974"/>
      <c r="CS77" s="974"/>
      <c r="CT77" s="974"/>
      <c r="CU77" s="974"/>
      <c r="CV77" s="974"/>
      <c r="CW77" s="974"/>
      <c r="CX77" s="974"/>
      <c r="CY77" s="974"/>
      <c r="CZ77" s="974"/>
      <c r="DA77" s="974"/>
      <c r="DB77" s="974"/>
      <c r="DC77" s="974"/>
      <c r="DD77" s="974"/>
      <c r="DE77" s="974"/>
      <c r="DF77" s="974"/>
      <c r="DG77" s="974"/>
      <c r="DH77" s="974"/>
      <c r="DI77" s="974"/>
      <c r="DJ77" s="974"/>
      <c r="DK77" s="974"/>
      <c r="DL77" s="974"/>
      <c r="DM77" s="974"/>
      <c r="DN77" s="974"/>
      <c r="DO77" s="974"/>
      <c r="DP77" s="974"/>
      <c r="DQ77" s="974"/>
      <c r="DR77" s="974"/>
      <c r="DS77" s="974"/>
      <c r="DT77" s="974"/>
      <c r="DU77" s="974"/>
      <c r="DV77" s="974"/>
      <c r="DW77" s="974"/>
      <c r="DX77" s="974"/>
      <c r="DY77" s="974"/>
      <c r="DZ77" s="974"/>
      <c r="EA77" s="974"/>
      <c r="EB77" s="974"/>
      <c r="EC77" s="974"/>
      <c r="ED77" s="974"/>
      <c r="EE77" s="974"/>
      <c r="EF77" s="974"/>
      <c r="EG77" s="974"/>
      <c r="EH77" s="974"/>
      <c r="EI77" s="974"/>
      <c r="EJ77" s="974"/>
      <c r="EK77" s="974"/>
      <c r="EL77" s="974"/>
      <c r="EM77" s="974"/>
      <c r="EN77" s="974"/>
      <c r="EO77" s="974"/>
      <c r="EP77" s="974"/>
      <c r="EQ77" s="974"/>
      <c r="ER77" s="974"/>
      <c r="ES77" s="974"/>
      <c r="ET77" s="974"/>
      <c r="EU77" s="974"/>
      <c r="EV77" s="974"/>
      <c r="EW77" s="974"/>
      <c r="EX77" s="974"/>
      <c r="EY77" s="974"/>
      <c r="EZ77" s="974"/>
      <c r="FA77" s="974"/>
      <c r="FB77" s="974"/>
      <c r="FC77" s="974"/>
      <c r="FD77" s="974"/>
      <c r="FE77" s="974"/>
      <c r="FF77" s="974"/>
      <c r="FG77" s="974"/>
      <c r="FH77" s="974"/>
      <c r="FI77" s="974"/>
      <c r="FJ77" s="974"/>
      <c r="FK77" s="974"/>
      <c r="FL77" s="974"/>
      <c r="FM77" s="974"/>
      <c r="FN77" s="974"/>
      <c r="FO77" s="974"/>
      <c r="FP77" s="974"/>
      <c r="FQ77" s="974"/>
      <c r="FR77" s="974"/>
      <c r="FS77" s="974"/>
      <c r="FT77" s="974"/>
      <c r="FU77" s="974"/>
      <c r="FV77" s="974"/>
      <c r="FW77" s="974"/>
      <c r="FX77" s="974"/>
      <c r="FY77" s="974"/>
      <c r="FZ77" s="974"/>
      <c r="GA77" s="974"/>
      <c r="GB77" s="974"/>
      <c r="GC77" s="974"/>
      <c r="GD77" s="974"/>
      <c r="GE77" s="974"/>
      <c r="GF77" s="974"/>
      <c r="GG77" s="974"/>
      <c r="GH77" s="974"/>
      <c r="GI77" s="974"/>
      <c r="GJ77" s="974"/>
      <c r="GK77" s="974"/>
      <c r="GL77" s="974"/>
      <c r="GM77" s="974"/>
      <c r="GN77" s="974"/>
      <c r="GO77" s="974"/>
      <c r="GP77" s="974"/>
      <c r="GQ77" s="974"/>
      <c r="GR77" s="974"/>
      <c r="GS77" s="974"/>
      <c r="GT77" s="974"/>
      <c r="GU77" s="974"/>
      <c r="GV77" s="974"/>
      <c r="GW77" s="974"/>
      <c r="GX77" s="974"/>
      <c r="GY77" s="974"/>
      <c r="GZ77" s="974"/>
      <c r="HA77" s="974"/>
      <c r="HB77" s="974"/>
      <c r="HC77" s="974"/>
      <c r="HD77" s="974"/>
      <c r="HE77" s="974"/>
      <c r="HF77" s="974"/>
      <c r="HG77" s="974"/>
      <c r="HH77" s="974"/>
      <c r="HI77" s="974"/>
      <c r="HJ77" s="974"/>
      <c r="HK77" s="974"/>
      <c r="HL77" s="974"/>
      <c r="HM77" s="974"/>
      <c r="HN77" s="974"/>
      <c r="HO77" s="974"/>
      <c r="HP77" s="974"/>
      <c r="HQ77" s="974"/>
      <c r="HR77" s="974"/>
      <c r="HS77" s="974"/>
      <c r="HT77" s="974"/>
      <c r="HU77" s="974"/>
      <c r="HV77" s="974"/>
      <c r="HW77" s="974"/>
      <c r="HX77" s="974"/>
      <c r="HY77" s="974"/>
      <c r="HZ77" s="974"/>
      <c r="IA77" s="974"/>
      <c r="IB77" s="974"/>
      <c r="IC77" s="974"/>
      <c r="ID77" s="974"/>
      <c r="IE77" s="974"/>
      <c r="IF77" s="974"/>
      <c r="IG77" s="974"/>
      <c r="IH77" s="974"/>
      <c r="II77" s="974"/>
      <c r="IJ77" s="974"/>
      <c r="IK77" s="974"/>
      <c r="IL77" s="974"/>
      <c r="IM77" s="974"/>
      <c r="IN77" s="974"/>
      <c r="IO77" s="974"/>
      <c r="IP77" s="974"/>
      <c r="IQ77" s="974"/>
      <c r="IR77" s="974"/>
      <c r="IS77" s="974"/>
      <c r="IT77" s="974"/>
      <c r="IU77" s="974"/>
      <c r="IV77" s="974"/>
    </row>
    <row r="78" spans="1:256" s="865" customFormat="1" ht="22.5">
      <c r="A78" s="961" t="s">
        <v>11846</v>
      </c>
      <c r="B78" s="898" t="s">
        <v>70</v>
      </c>
      <c r="C78" s="898" t="s">
        <v>18313</v>
      </c>
      <c r="D78" s="836" t="str">
        <f>PROPER(IF(B78="Saneago",VLOOKUP(C78,'SANEAGO-FEV.2016'!A:B,2,0),IF(B78="SINAPI",VLOOKUP(C78,'SINAPI-FEV.2017'!A:D,2,0),IF(B78="Cotação",VLOOKUP(C78,COTAÇÃO!A:D,2,0),IF(B78="Composição",VLOOKUP(C78,COMPOSIÇÃO!A:D,2,0))))))</f>
        <v>Compactacao Mecanica C/ Controle Do Gc&gt;=95% Do Pn (Areas) (C/Moniveladora 140 Hp E Rolo Compressor Vibratorio 80 Hp)</v>
      </c>
      <c r="E78" s="837"/>
      <c r="F78" s="837"/>
      <c r="G78" s="987"/>
      <c r="H78" s="992"/>
      <c r="I78" s="987"/>
      <c r="J78" s="987"/>
      <c r="K78" s="988" t="s">
        <v>27</v>
      </c>
      <c r="L78" s="988" t="s">
        <v>20309</v>
      </c>
      <c r="M78" s="840">
        <f>SUM(M67:M76)</f>
        <v>14.440024999999999</v>
      </c>
      <c r="N78" s="972"/>
      <c r="O78" s="973"/>
      <c r="P78" s="974"/>
      <c r="Q78" s="975"/>
      <c r="R78" s="974"/>
      <c r="S78" s="974"/>
      <c r="T78" s="974"/>
      <c r="U78" s="974"/>
      <c r="V78" s="974"/>
      <c r="W78" s="974"/>
      <c r="X78" s="974"/>
      <c r="Y78" s="974"/>
      <c r="Z78" s="974"/>
      <c r="AA78" s="974"/>
      <c r="AB78" s="974"/>
      <c r="AC78" s="974"/>
      <c r="AD78" s="974"/>
      <c r="AE78" s="974"/>
      <c r="AF78" s="974"/>
      <c r="AG78" s="974"/>
      <c r="AH78" s="974"/>
      <c r="AI78" s="974"/>
      <c r="AJ78" s="974"/>
      <c r="AK78" s="974"/>
      <c r="AL78" s="974"/>
      <c r="AM78" s="974"/>
      <c r="AN78" s="974"/>
      <c r="AO78" s="974"/>
      <c r="AP78" s="974"/>
      <c r="AQ78" s="974"/>
      <c r="AR78" s="974"/>
      <c r="AS78" s="974"/>
      <c r="AT78" s="974"/>
      <c r="AU78" s="974"/>
      <c r="AV78" s="974"/>
      <c r="AW78" s="974"/>
      <c r="AX78" s="974"/>
      <c r="AY78" s="974"/>
      <c r="AZ78" s="974"/>
      <c r="BA78" s="974"/>
      <c r="BB78" s="974"/>
      <c r="BC78" s="974"/>
      <c r="BD78" s="974"/>
      <c r="BE78" s="974"/>
      <c r="BF78" s="974"/>
      <c r="BG78" s="974"/>
      <c r="BH78" s="974"/>
      <c r="BI78" s="974"/>
      <c r="BJ78" s="974"/>
      <c r="BK78" s="974"/>
      <c r="BL78" s="974"/>
      <c r="BM78" s="974"/>
      <c r="BN78" s="974"/>
      <c r="BO78" s="974"/>
      <c r="BP78" s="974"/>
      <c r="BQ78" s="974"/>
      <c r="BR78" s="974"/>
      <c r="BS78" s="974"/>
      <c r="BT78" s="974"/>
      <c r="BU78" s="974"/>
      <c r="BV78" s="974"/>
      <c r="BW78" s="974"/>
      <c r="BX78" s="974"/>
      <c r="BY78" s="974"/>
      <c r="BZ78" s="974"/>
      <c r="CA78" s="974"/>
      <c r="CB78" s="974"/>
      <c r="CC78" s="974"/>
      <c r="CD78" s="974"/>
      <c r="CE78" s="974"/>
      <c r="CF78" s="974"/>
      <c r="CG78" s="974"/>
      <c r="CH78" s="974"/>
      <c r="CI78" s="974"/>
      <c r="CJ78" s="974"/>
      <c r="CK78" s="974"/>
      <c r="CL78" s="974"/>
      <c r="CM78" s="974"/>
      <c r="CN78" s="974"/>
      <c r="CO78" s="974"/>
      <c r="CP78" s="974"/>
      <c r="CQ78" s="974"/>
      <c r="CR78" s="974"/>
      <c r="CS78" s="974"/>
      <c r="CT78" s="974"/>
      <c r="CU78" s="974"/>
      <c r="CV78" s="974"/>
      <c r="CW78" s="974"/>
      <c r="CX78" s="974"/>
      <c r="CY78" s="974"/>
      <c r="CZ78" s="974"/>
      <c r="DA78" s="974"/>
      <c r="DB78" s="974"/>
      <c r="DC78" s="974"/>
      <c r="DD78" s="974"/>
      <c r="DE78" s="974"/>
      <c r="DF78" s="974"/>
      <c r="DG78" s="974"/>
      <c r="DH78" s="974"/>
      <c r="DI78" s="974"/>
      <c r="DJ78" s="974"/>
      <c r="DK78" s="974"/>
      <c r="DL78" s="974"/>
      <c r="DM78" s="974"/>
      <c r="DN78" s="974"/>
      <c r="DO78" s="974"/>
      <c r="DP78" s="974"/>
      <c r="DQ78" s="974"/>
      <c r="DR78" s="974"/>
      <c r="DS78" s="974"/>
      <c r="DT78" s="974"/>
      <c r="DU78" s="974"/>
      <c r="DV78" s="974"/>
      <c r="DW78" s="974"/>
      <c r="DX78" s="974"/>
      <c r="DY78" s="974"/>
      <c r="DZ78" s="974"/>
      <c r="EA78" s="974"/>
      <c r="EB78" s="974"/>
      <c r="EC78" s="974"/>
      <c r="ED78" s="974"/>
      <c r="EE78" s="974"/>
      <c r="EF78" s="974"/>
      <c r="EG78" s="974"/>
      <c r="EH78" s="974"/>
      <c r="EI78" s="974"/>
      <c r="EJ78" s="974"/>
      <c r="EK78" s="974"/>
      <c r="EL78" s="974"/>
      <c r="EM78" s="974"/>
      <c r="EN78" s="974"/>
      <c r="EO78" s="974"/>
      <c r="EP78" s="974"/>
      <c r="EQ78" s="974"/>
      <c r="ER78" s="974"/>
      <c r="ES78" s="974"/>
      <c r="ET78" s="974"/>
      <c r="EU78" s="974"/>
      <c r="EV78" s="974"/>
      <c r="EW78" s="974"/>
      <c r="EX78" s="974"/>
      <c r="EY78" s="974"/>
      <c r="EZ78" s="974"/>
      <c r="FA78" s="974"/>
      <c r="FB78" s="974"/>
      <c r="FC78" s="974"/>
      <c r="FD78" s="974"/>
      <c r="FE78" s="974"/>
      <c r="FF78" s="974"/>
      <c r="FG78" s="974"/>
      <c r="FH78" s="974"/>
      <c r="FI78" s="974"/>
      <c r="FJ78" s="974"/>
      <c r="FK78" s="974"/>
      <c r="FL78" s="974"/>
      <c r="FM78" s="974"/>
      <c r="FN78" s="974"/>
      <c r="FO78" s="974"/>
      <c r="FP78" s="974"/>
      <c r="FQ78" s="974"/>
      <c r="FR78" s="974"/>
      <c r="FS78" s="974"/>
      <c r="FT78" s="974"/>
      <c r="FU78" s="974"/>
      <c r="FV78" s="974"/>
      <c r="FW78" s="974"/>
      <c r="FX78" s="974"/>
      <c r="FY78" s="974"/>
      <c r="FZ78" s="974"/>
      <c r="GA78" s="974"/>
      <c r="GB78" s="974"/>
      <c r="GC78" s="974"/>
      <c r="GD78" s="974"/>
      <c r="GE78" s="974"/>
      <c r="GF78" s="974"/>
      <c r="GG78" s="974"/>
      <c r="GH78" s="974"/>
      <c r="GI78" s="974"/>
      <c r="GJ78" s="974"/>
      <c r="GK78" s="974"/>
      <c r="GL78" s="974"/>
      <c r="GM78" s="974"/>
      <c r="GN78" s="974"/>
      <c r="GO78" s="974"/>
      <c r="GP78" s="974"/>
      <c r="GQ78" s="974"/>
      <c r="GR78" s="974"/>
      <c r="GS78" s="974"/>
      <c r="GT78" s="974"/>
      <c r="GU78" s="974"/>
      <c r="GV78" s="974"/>
      <c r="GW78" s="974"/>
      <c r="GX78" s="974"/>
      <c r="GY78" s="974"/>
      <c r="GZ78" s="974"/>
      <c r="HA78" s="974"/>
      <c r="HB78" s="974"/>
      <c r="HC78" s="974"/>
      <c r="HD78" s="974"/>
      <c r="HE78" s="974"/>
      <c r="HF78" s="974"/>
      <c r="HG78" s="974"/>
      <c r="HH78" s="974"/>
      <c r="HI78" s="974"/>
      <c r="HJ78" s="974"/>
      <c r="HK78" s="974"/>
      <c r="HL78" s="974"/>
      <c r="HM78" s="974"/>
      <c r="HN78" s="974"/>
      <c r="HO78" s="974"/>
      <c r="HP78" s="974"/>
      <c r="HQ78" s="974"/>
      <c r="HR78" s="974"/>
      <c r="HS78" s="974"/>
      <c r="HT78" s="974"/>
      <c r="HU78" s="974"/>
      <c r="HV78" s="974"/>
      <c r="HW78" s="974"/>
      <c r="HX78" s="974"/>
      <c r="HY78" s="974"/>
      <c r="HZ78" s="974"/>
      <c r="IA78" s="974"/>
      <c r="IB78" s="974"/>
      <c r="IC78" s="974"/>
      <c r="ID78" s="974"/>
      <c r="IE78" s="974"/>
      <c r="IF78" s="974"/>
      <c r="IG78" s="974"/>
      <c r="IH78" s="974"/>
      <c r="II78" s="974"/>
      <c r="IJ78" s="974"/>
      <c r="IK78" s="974"/>
      <c r="IL78" s="974"/>
      <c r="IM78" s="974"/>
      <c r="IN78" s="974"/>
      <c r="IO78" s="974"/>
      <c r="IP78" s="974"/>
      <c r="IQ78" s="974"/>
      <c r="IR78" s="974"/>
      <c r="IS78" s="974"/>
      <c r="IT78" s="974"/>
      <c r="IU78" s="974"/>
      <c r="IV78" s="974"/>
    </row>
    <row r="79" spans="1:256" s="865" customFormat="1" ht="11.25" customHeight="1">
      <c r="A79" s="961"/>
      <c r="B79" s="898"/>
      <c r="C79" s="898"/>
      <c r="D79" s="826"/>
      <c r="E79" s="990"/>
      <c r="F79" s="990"/>
      <c r="G79" s="970" t="s">
        <v>30</v>
      </c>
      <c r="H79" s="991" t="s">
        <v>1275</v>
      </c>
      <c r="I79" s="970" t="s">
        <v>17</v>
      </c>
      <c r="J79" s="970" t="s">
        <v>19</v>
      </c>
      <c r="K79" s="970" t="s">
        <v>32</v>
      </c>
      <c r="L79" s="983"/>
      <c r="M79" s="984"/>
      <c r="N79" s="972"/>
      <c r="O79" s="973"/>
      <c r="P79" s="974"/>
      <c r="Q79" s="975"/>
      <c r="R79" s="974"/>
      <c r="S79" s="974"/>
      <c r="T79" s="974"/>
      <c r="U79" s="974"/>
      <c r="V79" s="974"/>
      <c r="W79" s="974"/>
      <c r="X79" s="974"/>
      <c r="Y79" s="974"/>
      <c r="Z79" s="974"/>
      <c r="AA79" s="974"/>
      <c r="AB79" s="974"/>
      <c r="AC79" s="974"/>
      <c r="AD79" s="974"/>
      <c r="AE79" s="974"/>
      <c r="AF79" s="974"/>
      <c r="AG79" s="974"/>
      <c r="AH79" s="974"/>
      <c r="AI79" s="974"/>
      <c r="AJ79" s="974"/>
      <c r="AK79" s="974"/>
      <c r="AL79" s="974"/>
      <c r="AM79" s="974"/>
      <c r="AN79" s="974"/>
      <c r="AO79" s="974"/>
      <c r="AP79" s="974"/>
      <c r="AQ79" s="974"/>
      <c r="AR79" s="974"/>
      <c r="AS79" s="974"/>
      <c r="AT79" s="974"/>
      <c r="AU79" s="974"/>
      <c r="AV79" s="974"/>
      <c r="AW79" s="974"/>
      <c r="AX79" s="974"/>
      <c r="AY79" s="974"/>
      <c r="AZ79" s="974"/>
      <c r="BA79" s="974"/>
      <c r="BB79" s="974"/>
      <c r="BC79" s="974"/>
      <c r="BD79" s="974"/>
      <c r="BE79" s="974"/>
      <c r="BF79" s="974"/>
      <c r="BG79" s="974"/>
      <c r="BH79" s="974"/>
      <c r="BI79" s="974"/>
      <c r="BJ79" s="974"/>
      <c r="BK79" s="974"/>
      <c r="BL79" s="974"/>
      <c r="BM79" s="974"/>
      <c r="BN79" s="974"/>
      <c r="BO79" s="974"/>
      <c r="BP79" s="974"/>
      <c r="BQ79" s="974"/>
      <c r="BR79" s="974"/>
      <c r="BS79" s="974"/>
      <c r="BT79" s="974"/>
      <c r="BU79" s="974"/>
      <c r="BV79" s="974"/>
      <c r="BW79" s="974"/>
      <c r="BX79" s="974"/>
      <c r="BY79" s="974"/>
      <c r="BZ79" s="974"/>
      <c r="CA79" s="974"/>
      <c r="CB79" s="974"/>
      <c r="CC79" s="974"/>
      <c r="CD79" s="974"/>
      <c r="CE79" s="974"/>
      <c r="CF79" s="974"/>
      <c r="CG79" s="974"/>
      <c r="CH79" s="974"/>
      <c r="CI79" s="974"/>
      <c r="CJ79" s="974"/>
      <c r="CK79" s="974"/>
      <c r="CL79" s="974"/>
      <c r="CM79" s="974"/>
      <c r="CN79" s="974"/>
      <c r="CO79" s="974"/>
      <c r="CP79" s="974"/>
      <c r="CQ79" s="974"/>
      <c r="CR79" s="974"/>
      <c r="CS79" s="974"/>
      <c r="CT79" s="974"/>
      <c r="CU79" s="974"/>
      <c r="CV79" s="974"/>
      <c r="CW79" s="974"/>
      <c r="CX79" s="974"/>
      <c r="CY79" s="974"/>
      <c r="CZ79" s="974"/>
      <c r="DA79" s="974"/>
      <c r="DB79" s="974"/>
      <c r="DC79" s="974"/>
      <c r="DD79" s="974"/>
      <c r="DE79" s="974"/>
      <c r="DF79" s="974"/>
      <c r="DG79" s="974"/>
      <c r="DH79" s="974"/>
      <c r="DI79" s="974"/>
      <c r="DJ79" s="974"/>
      <c r="DK79" s="974"/>
      <c r="DL79" s="974"/>
      <c r="DM79" s="974"/>
      <c r="DN79" s="974"/>
      <c r="DO79" s="974"/>
      <c r="DP79" s="974"/>
      <c r="DQ79" s="974"/>
      <c r="DR79" s="974"/>
      <c r="DS79" s="974"/>
      <c r="DT79" s="974"/>
      <c r="DU79" s="974"/>
      <c r="DV79" s="974"/>
      <c r="DW79" s="974"/>
      <c r="DX79" s="974"/>
      <c r="DY79" s="974"/>
      <c r="DZ79" s="974"/>
      <c r="EA79" s="974"/>
      <c r="EB79" s="974"/>
      <c r="EC79" s="974"/>
      <c r="ED79" s="974"/>
      <c r="EE79" s="974"/>
      <c r="EF79" s="974"/>
      <c r="EG79" s="974"/>
      <c r="EH79" s="974"/>
      <c r="EI79" s="974"/>
      <c r="EJ79" s="974"/>
      <c r="EK79" s="974"/>
      <c r="EL79" s="974"/>
      <c r="EM79" s="974"/>
      <c r="EN79" s="974"/>
      <c r="EO79" s="974"/>
      <c r="EP79" s="974"/>
      <c r="EQ79" s="974"/>
      <c r="ER79" s="974"/>
      <c r="ES79" s="974"/>
      <c r="ET79" s="974"/>
      <c r="EU79" s="974"/>
      <c r="EV79" s="974"/>
      <c r="EW79" s="974"/>
      <c r="EX79" s="974"/>
      <c r="EY79" s="974"/>
      <c r="EZ79" s="974"/>
      <c r="FA79" s="974"/>
      <c r="FB79" s="974"/>
      <c r="FC79" s="974"/>
      <c r="FD79" s="974"/>
      <c r="FE79" s="974"/>
      <c r="FF79" s="974"/>
      <c r="FG79" s="974"/>
      <c r="FH79" s="974"/>
      <c r="FI79" s="974"/>
      <c r="FJ79" s="974"/>
      <c r="FK79" s="974"/>
      <c r="FL79" s="974"/>
      <c r="FM79" s="974"/>
      <c r="FN79" s="974"/>
      <c r="FO79" s="974"/>
      <c r="FP79" s="974"/>
      <c r="FQ79" s="974"/>
      <c r="FR79" s="974"/>
      <c r="FS79" s="974"/>
      <c r="FT79" s="974"/>
      <c r="FU79" s="974"/>
      <c r="FV79" s="974"/>
      <c r="FW79" s="974"/>
      <c r="FX79" s="974"/>
      <c r="FY79" s="974"/>
      <c r="FZ79" s="974"/>
      <c r="GA79" s="974"/>
      <c r="GB79" s="974"/>
      <c r="GC79" s="974"/>
      <c r="GD79" s="974"/>
      <c r="GE79" s="974"/>
      <c r="GF79" s="974"/>
      <c r="GG79" s="974"/>
      <c r="GH79" s="974"/>
      <c r="GI79" s="974"/>
      <c r="GJ79" s="974"/>
      <c r="GK79" s="974"/>
      <c r="GL79" s="974"/>
      <c r="GM79" s="974"/>
      <c r="GN79" s="974"/>
      <c r="GO79" s="974"/>
      <c r="GP79" s="974"/>
      <c r="GQ79" s="974"/>
      <c r="GR79" s="974"/>
      <c r="GS79" s="974"/>
      <c r="GT79" s="974"/>
      <c r="GU79" s="974"/>
      <c r="GV79" s="974"/>
      <c r="GW79" s="974"/>
      <c r="GX79" s="974"/>
      <c r="GY79" s="974"/>
      <c r="GZ79" s="974"/>
      <c r="HA79" s="974"/>
      <c r="HB79" s="974"/>
      <c r="HC79" s="974"/>
      <c r="HD79" s="974"/>
      <c r="HE79" s="974"/>
      <c r="HF79" s="974"/>
      <c r="HG79" s="974"/>
      <c r="HH79" s="974"/>
      <c r="HI79" s="974"/>
      <c r="HJ79" s="974"/>
      <c r="HK79" s="974"/>
      <c r="HL79" s="974"/>
      <c r="HM79" s="974"/>
      <c r="HN79" s="974"/>
      <c r="HO79" s="974"/>
      <c r="HP79" s="974"/>
      <c r="HQ79" s="974"/>
      <c r="HR79" s="974"/>
      <c r="HS79" s="974"/>
      <c r="HT79" s="974"/>
      <c r="HU79" s="974"/>
      <c r="HV79" s="974"/>
      <c r="HW79" s="974"/>
      <c r="HX79" s="974"/>
      <c r="HY79" s="974"/>
      <c r="HZ79" s="974"/>
      <c r="IA79" s="974"/>
      <c r="IB79" s="974"/>
      <c r="IC79" s="974"/>
      <c r="ID79" s="974"/>
      <c r="IE79" s="974"/>
      <c r="IF79" s="974"/>
      <c r="IG79" s="974"/>
      <c r="IH79" s="974"/>
      <c r="II79" s="974"/>
      <c r="IJ79" s="974"/>
      <c r="IK79" s="974"/>
      <c r="IL79" s="974"/>
      <c r="IM79" s="974"/>
      <c r="IN79" s="974"/>
      <c r="IO79" s="974"/>
      <c r="IP79" s="974"/>
      <c r="IQ79" s="974"/>
      <c r="IR79" s="974"/>
      <c r="IS79" s="974"/>
      <c r="IT79" s="974"/>
      <c r="IU79" s="974"/>
      <c r="IV79" s="974"/>
    </row>
    <row r="80" spans="1:256" s="865" customFormat="1" ht="11.25" customHeight="1">
      <c r="A80" s="961"/>
      <c r="B80" s="898"/>
      <c r="C80" s="898"/>
      <c r="D80" s="826"/>
      <c r="E80" s="1674" t="s">
        <v>11837</v>
      </c>
      <c r="F80" s="1674"/>
      <c r="G80" s="1674"/>
      <c r="H80" s="991">
        <f t="shared" ref="H80:H89" si="6">H67</f>
        <v>6</v>
      </c>
      <c r="I80" s="970">
        <v>1.48</v>
      </c>
      <c r="J80" s="970">
        <v>1.48</v>
      </c>
      <c r="K80" s="970">
        <v>0.15</v>
      </c>
      <c r="L80" s="985" t="s">
        <v>20309</v>
      </c>
      <c r="M80" s="986">
        <f>H80*I80*J80*K80</f>
        <v>1.9713599999999998</v>
      </c>
      <c r="N80" s="972"/>
      <c r="O80" s="973"/>
      <c r="P80" s="974"/>
      <c r="Q80" s="975"/>
      <c r="R80" s="974"/>
      <c r="S80" s="974"/>
      <c r="T80" s="974"/>
      <c r="U80" s="974"/>
      <c r="V80" s="974"/>
      <c r="W80" s="974"/>
      <c r="X80" s="974"/>
      <c r="Y80" s="974"/>
      <c r="Z80" s="974"/>
      <c r="AA80" s="974"/>
      <c r="AB80" s="974"/>
      <c r="AC80" s="974"/>
      <c r="AD80" s="974"/>
      <c r="AE80" s="974"/>
      <c r="AF80" s="974"/>
      <c r="AG80" s="974"/>
      <c r="AH80" s="974"/>
      <c r="AI80" s="974"/>
      <c r="AJ80" s="974"/>
      <c r="AK80" s="974"/>
      <c r="AL80" s="974"/>
      <c r="AM80" s="974"/>
      <c r="AN80" s="974"/>
      <c r="AO80" s="974"/>
      <c r="AP80" s="974"/>
      <c r="AQ80" s="974"/>
      <c r="AR80" s="974"/>
      <c r="AS80" s="974"/>
      <c r="AT80" s="974"/>
      <c r="AU80" s="974"/>
      <c r="AV80" s="974"/>
      <c r="AW80" s="974"/>
      <c r="AX80" s="974"/>
      <c r="AY80" s="974"/>
      <c r="AZ80" s="974"/>
      <c r="BA80" s="974"/>
      <c r="BB80" s="974"/>
      <c r="BC80" s="974"/>
      <c r="BD80" s="974"/>
      <c r="BE80" s="974"/>
      <c r="BF80" s="974"/>
      <c r="BG80" s="974"/>
      <c r="BH80" s="974"/>
      <c r="BI80" s="974"/>
      <c r="BJ80" s="974"/>
      <c r="BK80" s="974"/>
      <c r="BL80" s="974"/>
      <c r="BM80" s="974"/>
      <c r="BN80" s="974"/>
      <c r="BO80" s="974"/>
      <c r="BP80" s="974"/>
      <c r="BQ80" s="974"/>
      <c r="BR80" s="974"/>
      <c r="BS80" s="974"/>
      <c r="BT80" s="974"/>
      <c r="BU80" s="974"/>
      <c r="BV80" s="974"/>
      <c r="BW80" s="974"/>
      <c r="BX80" s="974"/>
      <c r="BY80" s="974"/>
      <c r="BZ80" s="974"/>
      <c r="CA80" s="974"/>
      <c r="CB80" s="974"/>
      <c r="CC80" s="974"/>
      <c r="CD80" s="974"/>
      <c r="CE80" s="974"/>
      <c r="CF80" s="974"/>
      <c r="CG80" s="974"/>
      <c r="CH80" s="974"/>
      <c r="CI80" s="974"/>
      <c r="CJ80" s="974"/>
      <c r="CK80" s="974"/>
      <c r="CL80" s="974"/>
      <c r="CM80" s="974"/>
      <c r="CN80" s="974"/>
      <c r="CO80" s="974"/>
      <c r="CP80" s="974"/>
      <c r="CQ80" s="974"/>
      <c r="CR80" s="974"/>
      <c r="CS80" s="974"/>
      <c r="CT80" s="974"/>
      <c r="CU80" s="974"/>
      <c r="CV80" s="974"/>
      <c r="CW80" s="974"/>
      <c r="CX80" s="974"/>
      <c r="CY80" s="974"/>
      <c r="CZ80" s="974"/>
      <c r="DA80" s="974"/>
      <c r="DB80" s="974"/>
      <c r="DC80" s="974"/>
      <c r="DD80" s="974"/>
      <c r="DE80" s="974"/>
      <c r="DF80" s="974"/>
      <c r="DG80" s="974"/>
      <c r="DH80" s="974"/>
      <c r="DI80" s="974"/>
      <c r="DJ80" s="974"/>
      <c r="DK80" s="974"/>
      <c r="DL80" s="974"/>
      <c r="DM80" s="974"/>
      <c r="DN80" s="974"/>
      <c r="DO80" s="974"/>
      <c r="DP80" s="974"/>
      <c r="DQ80" s="974"/>
      <c r="DR80" s="974"/>
      <c r="DS80" s="974"/>
      <c r="DT80" s="974"/>
      <c r="DU80" s="974"/>
      <c r="DV80" s="974"/>
      <c r="DW80" s="974"/>
      <c r="DX80" s="974"/>
      <c r="DY80" s="974"/>
      <c r="DZ80" s="974"/>
      <c r="EA80" s="974"/>
      <c r="EB80" s="974"/>
      <c r="EC80" s="974"/>
      <c r="ED80" s="974"/>
      <c r="EE80" s="974"/>
      <c r="EF80" s="974"/>
      <c r="EG80" s="974"/>
      <c r="EH80" s="974"/>
      <c r="EI80" s="974"/>
      <c r="EJ80" s="974"/>
      <c r="EK80" s="974"/>
      <c r="EL80" s="974"/>
      <c r="EM80" s="974"/>
      <c r="EN80" s="974"/>
      <c r="EO80" s="974"/>
      <c r="EP80" s="974"/>
      <c r="EQ80" s="974"/>
      <c r="ER80" s="974"/>
      <c r="ES80" s="974"/>
      <c r="ET80" s="974"/>
      <c r="EU80" s="974"/>
      <c r="EV80" s="974"/>
      <c r="EW80" s="974"/>
      <c r="EX80" s="974"/>
      <c r="EY80" s="974"/>
      <c r="EZ80" s="974"/>
      <c r="FA80" s="974"/>
      <c r="FB80" s="974"/>
      <c r="FC80" s="974"/>
      <c r="FD80" s="974"/>
      <c r="FE80" s="974"/>
      <c r="FF80" s="974"/>
      <c r="FG80" s="974"/>
      <c r="FH80" s="974"/>
      <c r="FI80" s="974"/>
      <c r="FJ80" s="974"/>
      <c r="FK80" s="974"/>
      <c r="FL80" s="974"/>
      <c r="FM80" s="974"/>
      <c r="FN80" s="974"/>
      <c r="FO80" s="974"/>
      <c r="FP80" s="974"/>
      <c r="FQ80" s="974"/>
      <c r="FR80" s="974"/>
      <c r="FS80" s="974"/>
      <c r="FT80" s="974"/>
      <c r="FU80" s="974"/>
      <c r="FV80" s="974"/>
      <c r="FW80" s="974"/>
      <c r="FX80" s="974"/>
      <c r="FY80" s="974"/>
      <c r="FZ80" s="974"/>
      <c r="GA80" s="974"/>
      <c r="GB80" s="974"/>
      <c r="GC80" s="974"/>
      <c r="GD80" s="974"/>
      <c r="GE80" s="974"/>
      <c r="GF80" s="974"/>
      <c r="GG80" s="974"/>
      <c r="GH80" s="974"/>
      <c r="GI80" s="974"/>
      <c r="GJ80" s="974"/>
      <c r="GK80" s="974"/>
      <c r="GL80" s="974"/>
      <c r="GM80" s="974"/>
      <c r="GN80" s="974"/>
      <c r="GO80" s="974"/>
      <c r="GP80" s="974"/>
      <c r="GQ80" s="974"/>
      <c r="GR80" s="974"/>
      <c r="GS80" s="974"/>
      <c r="GT80" s="974"/>
      <c r="GU80" s="974"/>
      <c r="GV80" s="974"/>
      <c r="GW80" s="974"/>
      <c r="GX80" s="974"/>
      <c r="GY80" s="974"/>
      <c r="GZ80" s="974"/>
      <c r="HA80" s="974"/>
      <c r="HB80" s="974"/>
      <c r="HC80" s="974"/>
      <c r="HD80" s="974"/>
      <c r="HE80" s="974"/>
      <c r="HF80" s="974"/>
      <c r="HG80" s="974"/>
      <c r="HH80" s="974"/>
      <c r="HI80" s="974"/>
      <c r="HJ80" s="974"/>
      <c r="HK80" s="974"/>
      <c r="HL80" s="974"/>
      <c r="HM80" s="974"/>
      <c r="HN80" s="974"/>
      <c r="HO80" s="974"/>
      <c r="HP80" s="974"/>
      <c r="HQ80" s="974"/>
      <c r="HR80" s="974"/>
      <c r="HS80" s="974"/>
      <c r="HT80" s="974"/>
      <c r="HU80" s="974"/>
      <c r="HV80" s="974"/>
      <c r="HW80" s="974"/>
      <c r="HX80" s="974"/>
      <c r="HY80" s="974"/>
      <c r="HZ80" s="974"/>
      <c r="IA80" s="974"/>
      <c r="IB80" s="974"/>
      <c r="IC80" s="974"/>
      <c r="ID80" s="974"/>
      <c r="IE80" s="974"/>
      <c r="IF80" s="974"/>
      <c r="IG80" s="974"/>
      <c r="IH80" s="974"/>
      <c r="II80" s="974"/>
      <c r="IJ80" s="974"/>
      <c r="IK80" s="974"/>
      <c r="IL80" s="974"/>
      <c r="IM80" s="974"/>
      <c r="IN80" s="974"/>
      <c r="IO80" s="974"/>
      <c r="IP80" s="974"/>
      <c r="IQ80" s="974"/>
      <c r="IR80" s="974"/>
      <c r="IS80" s="974"/>
      <c r="IT80" s="974"/>
      <c r="IU80" s="974"/>
      <c r="IV80" s="974"/>
    </row>
    <row r="81" spans="1:256" s="865" customFormat="1" ht="11.25" customHeight="1">
      <c r="A81" s="961"/>
      <c r="B81" s="898"/>
      <c r="C81" s="898"/>
      <c r="D81" s="826"/>
      <c r="E81" s="1674" t="s">
        <v>11920</v>
      </c>
      <c r="F81" s="1674"/>
      <c r="G81" s="1674"/>
      <c r="H81" s="991">
        <f t="shared" si="6"/>
        <v>3</v>
      </c>
      <c r="I81" s="970">
        <v>1.48</v>
      </c>
      <c r="J81" s="970">
        <v>1.48</v>
      </c>
      <c r="K81" s="970">
        <v>0.15</v>
      </c>
      <c r="L81" s="985" t="s">
        <v>20309</v>
      </c>
      <c r="M81" s="986">
        <f t="shared" ref="M81:M89" si="7">H81*I81*J81*K81</f>
        <v>0.98567999999999989</v>
      </c>
      <c r="N81" s="972"/>
      <c r="O81" s="973"/>
      <c r="P81" s="974"/>
      <c r="Q81" s="975"/>
      <c r="R81" s="974"/>
      <c r="S81" s="974"/>
      <c r="T81" s="974"/>
      <c r="U81" s="974"/>
      <c r="V81" s="974"/>
      <c r="W81" s="974"/>
      <c r="X81" s="974"/>
      <c r="Y81" s="974"/>
      <c r="Z81" s="974"/>
      <c r="AA81" s="974"/>
      <c r="AB81" s="974"/>
      <c r="AC81" s="974"/>
      <c r="AD81" s="974"/>
      <c r="AE81" s="974"/>
      <c r="AF81" s="974"/>
      <c r="AG81" s="974"/>
      <c r="AH81" s="974"/>
      <c r="AI81" s="974"/>
      <c r="AJ81" s="974"/>
      <c r="AK81" s="974"/>
      <c r="AL81" s="974"/>
      <c r="AM81" s="974"/>
      <c r="AN81" s="974"/>
      <c r="AO81" s="974"/>
      <c r="AP81" s="974"/>
      <c r="AQ81" s="974"/>
      <c r="AR81" s="974"/>
      <c r="AS81" s="974"/>
      <c r="AT81" s="974"/>
      <c r="AU81" s="974"/>
      <c r="AV81" s="974"/>
      <c r="AW81" s="974"/>
      <c r="AX81" s="974"/>
      <c r="AY81" s="974"/>
      <c r="AZ81" s="974"/>
      <c r="BA81" s="974"/>
      <c r="BB81" s="974"/>
      <c r="BC81" s="974"/>
      <c r="BD81" s="974"/>
      <c r="BE81" s="974"/>
      <c r="BF81" s="974"/>
      <c r="BG81" s="974"/>
      <c r="BH81" s="974"/>
      <c r="BI81" s="974"/>
      <c r="BJ81" s="974"/>
      <c r="BK81" s="974"/>
      <c r="BL81" s="974"/>
      <c r="BM81" s="974"/>
      <c r="BN81" s="974"/>
      <c r="BO81" s="974"/>
      <c r="BP81" s="974"/>
      <c r="BQ81" s="974"/>
      <c r="BR81" s="974"/>
      <c r="BS81" s="974"/>
      <c r="BT81" s="974"/>
      <c r="BU81" s="974"/>
      <c r="BV81" s="974"/>
      <c r="BW81" s="974"/>
      <c r="BX81" s="974"/>
      <c r="BY81" s="974"/>
      <c r="BZ81" s="974"/>
      <c r="CA81" s="974"/>
      <c r="CB81" s="974"/>
      <c r="CC81" s="974"/>
      <c r="CD81" s="974"/>
      <c r="CE81" s="974"/>
      <c r="CF81" s="974"/>
      <c r="CG81" s="974"/>
      <c r="CH81" s="974"/>
      <c r="CI81" s="974"/>
      <c r="CJ81" s="974"/>
      <c r="CK81" s="974"/>
      <c r="CL81" s="974"/>
      <c r="CM81" s="974"/>
      <c r="CN81" s="974"/>
      <c r="CO81" s="974"/>
      <c r="CP81" s="974"/>
      <c r="CQ81" s="974"/>
      <c r="CR81" s="974"/>
      <c r="CS81" s="974"/>
      <c r="CT81" s="974"/>
      <c r="CU81" s="974"/>
      <c r="CV81" s="974"/>
      <c r="CW81" s="974"/>
      <c r="CX81" s="974"/>
      <c r="CY81" s="974"/>
      <c r="CZ81" s="974"/>
      <c r="DA81" s="974"/>
      <c r="DB81" s="974"/>
      <c r="DC81" s="974"/>
      <c r="DD81" s="974"/>
      <c r="DE81" s="974"/>
      <c r="DF81" s="974"/>
      <c r="DG81" s="974"/>
      <c r="DH81" s="974"/>
      <c r="DI81" s="974"/>
      <c r="DJ81" s="974"/>
      <c r="DK81" s="974"/>
      <c r="DL81" s="974"/>
      <c r="DM81" s="974"/>
      <c r="DN81" s="974"/>
      <c r="DO81" s="974"/>
      <c r="DP81" s="974"/>
      <c r="DQ81" s="974"/>
      <c r="DR81" s="974"/>
      <c r="DS81" s="974"/>
      <c r="DT81" s="974"/>
      <c r="DU81" s="974"/>
      <c r="DV81" s="974"/>
      <c r="DW81" s="974"/>
      <c r="DX81" s="974"/>
      <c r="DY81" s="974"/>
      <c r="DZ81" s="974"/>
      <c r="EA81" s="974"/>
      <c r="EB81" s="974"/>
      <c r="EC81" s="974"/>
      <c r="ED81" s="974"/>
      <c r="EE81" s="974"/>
      <c r="EF81" s="974"/>
      <c r="EG81" s="974"/>
      <c r="EH81" s="974"/>
      <c r="EI81" s="974"/>
      <c r="EJ81" s="974"/>
      <c r="EK81" s="974"/>
      <c r="EL81" s="974"/>
      <c r="EM81" s="974"/>
      <c r="EN81" s="974"/>
      <c r="EO81" s="974"/>
      <c r="EP81" s="974"/>
      <c r="EQ81" s="974"/>
      <c r="ER81" s="974"/>
      <c r="ES81" s="974"/>
      <c r="ET81" s="974"/>
      <c r="EU81" s="974"/>
      <c r="EV81" s="974"/>
      <c r="EW81" s="974"/>
      <c r="EX81" s="974"/>
      <c r="EY81" s="974"/>
      <c r="EZ81" s="974"/>
      <c r="FA81" s="974"/>
      <c r="FB81" s="974"/>
      <c r="FC81" s="974"/>
      <c r="FD81" s="974"/>
      <c r="FE81" s="974"/>
      <c r="FF81" s="974"/>
      <c r="FG81" s="974"/>
      <c r="FH81" s="974"/>
      <c r="FI81" s="974"/>
      <c r="FJ81" s="974"/>
      <c r="FK81" s="974"/>
      <c r="FL81" s="974"/>
      <c r="FM81" s="974"/>
      <c r="FN81" s="974"/>
      <c r="FO81" s="974"/>
      <c r="FP81" s="974"/>
      <c r="FQ81" s="974"/>
      <c r="FR81" s="974"/>
      <c r="FS81" s="974"/>
      <c r="FT81" s="974"/>
      <c r="FU81" s="974"/>
      <c r="FV81" s="974"/>
      <c r="FW81" s="974"/>
      <c r="FX81" s="974"/>
      <c r="FY81" s="974"/>
      <c r="FZ81" s="974"/>
      <c r="GA81" s="974"/>
      <c r="GB81" s="974"/>
      <c r="GC81" s="974"/>
      <c r="GD81" s="974"/>
      <c r="GE81" s="974"/>
      <c r="GF81" s="974"/>
      <c r="GG81" s="974"/>
      <c r="GH81" s="974"/>
      <c r="GI81" s="974"/>
      <c r="GJ81" s="974"/>
      <c r="GK81" s="974"/>
      <c r="GL81" s="974"/>
      <c r="GM81" s="974"/>
      <c r="GN81" s="974"/>
      <c r="GO81" s="974"/>
      <c r="GP81" s="974"/>
      <c r="GQ81" s="974"/>
      <c r="GR81" s="974"/>
      <c r="GS81" s="974"/>
      <c r="GT81" s="974"/>
      <c r="GU81" s="974"/>
      <c r="GV81" s="974"/>
      <c r="GW81" s="974"/>
      <c r="GX81" s="974"/>
      <c r="GY81" s="974"/>
      <c r="GZ81" s="974"/>
      <c r="HA81" s="974"/>
      <c r="HB81" s="974"/>
      <c r="HC81" s="974"/>
      <c r="HD81" s="974"/>
      <c r="HE81" s="974"/>
      <c r="HF81" s="974"/>
      <c r="HG81" s="974"/>
      <c r="HH81" s="974"/>
      <c r="HI81" s="974"/>
      <c r="HJ81" s="974"/>
      <c r="HK81" s="974"/>
      <c r="HL81" s="974"/>
      <c r="HM81" s="974"/>
      <c r="HN81" s="974"/>
      <c r="HO81" s="974"/>
      <c r="HP81" s="974"/>
      <c r="HQ81" s="974"/>
      <c r="HR81" s="974"/>
      <c r="HS81" s="974"/>
      <c r="HT81" s="974"/>
      <c r="HU81" s="974"/>
      <c r="HV81" s="974"/>
      <c r="HW81" s="974"/>
      <c r="HX81" s="974"/>
      <c r="HY81" s="974"/>
      <c r="HZ81" s="974"/>
      <c r="IA81" s="974"/>
      <c r="IB81" s="974"/>
      <c r="IC81" s="974"/>
      <c r="ID81" s="974"/>
      <c r="IE81" s="974"/>
      <c r="IF81" s="974"/>
      <c r="IG81" s="974"/>
      <c r="IH81" s="974"/>
      <c r="II81" s="974"/>
      <c r="IJ81" s="974"/>
      <c r="IK81" s="974"/>
      <c r="IL81" s="974"/>
      <c r="IM81" s="974"/>
      <c r="IN81" s="974"/>
      <c r="IO81" s="974"/>
      <c r="IP81" s="974"/>
      <c r="IQ81" s="974"/>
      <c r="IR81" s="974"/>
      <c r="IS81" s="974"/>
      <c r="IT81" s="974"/>
      <c r="IU81" s="974"/>
      <c r="IV81" s="974"/>
    </row>
    <row r="82" spans="1:256" s="865" customFormat="1" ht="11.25" customHeight="1">
      <c r="A82" s="961"/>
      <c r="B82" s="898"/>
      <c r="C82" s="898"/>
      <c r="D82" s="826"/>
      <c r="E82" s="1674" t="s">
        <v>11838</v>
      </c>
      <c r="F82" s="1674"/>
      <c r="G82" s="1674"/>
      <c r="H82" s="991">
        <f t="shared" si="6"/>
        <v>1</v>
      </c>
      <c r="I82" s="970">
        <v>2.8</v>
      </c>
      <c r="J82" s="970">
        <v>1.9</v>
      </c>
      <c r="K82" s="970">
        <v>0.15</v>
      </c>
      <c r="L82" s="985" t="s">
        <v>20309</v>
      </c>
      <c r="M82" s="986">
        <f t="shared" si="7"/>
        <v>0.79799999999999993</v>
      </c>
      <c r="N82" s="972"/>
      <c r="O82" s="973"/>
      <c r="P82" s="974"/>
      <c r="Q82" s="975"/>
      <c r="R82" s="974"/>
      <c r="S82" s="974"/>
      <c r="T82" s="974"/>
      <c r="U82" s="974"/>
      <c r="V82" s="974"/>
      <c r="W82" s="974"/>
      <c r="X82" s="974"/>
      <c r="Y82" s="974"/>
      <c r="Z82" s="974"/>
      <c r="AA82" s="974"/>
      <c r="AB82" s="974"/>
      <c r="AC82" s="974"/>
      <c r="AD82" s="974"/>
      <c r="AE82" s="974"/>
      <c r="AF82" s="974"/>
      <c r="AG82" s="974"/>
      <c r="AH82" s="974"/>
      <c r="AI82" s="974"/>
      <c r="AJ82" s="974"/>
      <c r="AK82" s="974"/>
      <c r="AL82" s="974"/>
      <c r="AM82" s="974"/>
      <c r="AN82" s="974"/>
      <c r="AO82" s="974"/>
      <c r="AP82" s="974"/>
      <c r="AQ82" s="974"/>
      <c r="AR82" s="974"/>
      <c r="AS82" s="974"/>
      <c r="AT82" s="974"/>
      <c r="AU82" s="974"/>
      <c r="AV82" s="974"/>
      <c r="AW82" s="974"/>
      <c r="AX82" s="974"/>
      <c r="AY82" s="974"/>
      <c r="AZ82" s="974"/>
      <c r="BA82" s="974"/>
      <c r="BB82" s="974"/>
      <c r="BC82" s="974"/>
      <c r="BD82" s="974"/>
      <c r="BE82" s="974"/>
      <c r="BF82" s="974"/>
      <c r="BG82" s="974"/>
      <c r="BH82" s="974"/>
      <c r="BI82" s="974"/>
      <c r="BJ82" s="974"/>
      <c r="BK82" s="974"/>
      <c r="BL82" s="974"/>
      <c r="BM82" s="974"/>
      <c r="BN82" s="974"/>
      <c r="BO82" s="974"/>
      <c r="BP82" s="974"/>
      <c r="BQ82" s="974"/>
      <c r="BR82" s="974"/>
      <c r="BS82" s="974"/>
      <c r="BT82" s="974"/>
      <c r="BU82" s="974"/>
      <c r="BV82" s="974"/>
      <c r="BW82" s="974"/>
      <c r="BX82" s="974"/>
      <c r="BY82" s="974"/>
      <c r="BZ82" s="974"/>
      <c r="CA82" s="974"/>
      <c r="CB82" s="974"/>
      <c r="CC82" s="974"/>
      <c r="CD82" s="974"/>
      <c r="CE82" s="974"/>
      <c r="CF82" s="974"/>
      <c r="CG82" s="974"/>
      <c r="CH82" s="974"/>
      <c r="CI82" s="974"/>
      <c r="CJ82" s="974"/>
      <c r="CK82" s="974"/>
      <c r="CL82" s="974"/>
      <c r="CM82" s="974"/>
      <c r="CN82" s="974"/>
      <c r="CO82" s="974"/>
      <c r="CP82" s="974"/>
      <c r="CQ82" s="974"/>
      <c r="CR82" s="974"/>
      <c r="CS82" s="974"/>
      <c r="CT82" s="974"/>
      <c r="CU82" s="974"/>
      <c r="CV82" s="974"/>
      <c r="CW82" s="974"/>
      <c r="CX82" s="974"/>
      <c r="CY82" s="974"/>
      <c r="CZ82" s="974"/>
      <c r="DA82" s="974"/>
      <c r="DB82" s="974"/>
      <c r="DC82" s="974"/>
      <c r="DD82" s="974"/>
      <c r="DE82" s="974"/>
      <c r="DF82" s="974"/>
      <c r="DG82" s="974"/>
      <c r="DH82" s="974"/>
      <c r="DI82" s="974"/>
      <c r="DJ82" s="974"/>
      <c r="DK82" s="974"/>
      <c r="DL82" s="974"/>
      <c r="DM82" s="974"/>
      <c r="DN82" s="974"/>
      <c r="DO82" s="974"/>
      <c r="DP82" s="974"/>
      <c r="DQ82" s="974"/>
      <c r="DR82" s="974"/>
      <c r="DS82" s="974"/>
      <c r="DT82" s="974"/>
      <c r="DU82" s="974"/>
      <c r="DV82" s="974"/>
      <c r="DW82" s="974"/>
      <c r="DX82" s="974"/>
      <c r="DY82" s="974"/>
      <c r="DZ82" s="974"/>
      <c r="EA82" s="974"/>
      <c r="EB82" s="974"/>
      <c r="EC82" s="974"/>
      <c r="ED82" s="974"/>
      <c r="EE82" s="974"/>
      <c r="EF82" s="974"/>
      <c r="EG82" s="974"/>
      <c r="EH82" s="974"/>
      <c r="EI82" s="974"/>
      <c r="EJ82" s="974"/>
      <c r="EK82" s="974"/>
      <c r="EL82" s="974"/>
      <c r="EM82" s="974"/>
      <c r="EN82" s="974"/>
      <c r="EO82" s="974"/>
      <c r="EP82" s="974"/>
      <c r="EQ82" s="974"/>
      <c r="ER82" s="974"/>
      <c r="ES82" s="974"/>
      <c r="ET82" s="974"/>
      <c r="EU82" s="974"/>
      <c r="EV82" s="974"/>
      <c r="EW82" s="974"/>
      <c r="EX82" s="974"/>
      <c r="EY82" s="974"/>
      <c r="EZ82" s="974"/>
      <c r="FA82" s="974"/>
      <c r="FB82" s="974"/>
      <c r="FC82" s="974"/>
      <c r="FD82" s="974"/>
      <c r="FE82" s="974"/>
      <c r="FF82" s="974"/>
      <c r="FG82" s="974"/>
      <c r="FH82" s="974"/>
      <c r="FI82" s="974"/>
      <c r="FJ82" s="974"/>
      <c r="FK82" s="974"/>
      <c r="FL82" s="974"/>
      <c r="FM82" s="974"/>
      <c r="FN82" s="974"/>
      <c r="FO82" s="974"/>
      <c r="FP82" s="974"/>
      <c r="FQ82" s="974"/>
      <c r="FR82" s="974"/>
      <c r="FS82" s="974"/>
      <c r="FT82" s="974"/>
      <c r="FU82" s="974"/>
      <c r="FV82" s="974"/>
      <c r="FW82" s="974"/>
      <c r="FX82" s="974"/>
      <c r="FY82" s="974"/>
      <c r="FZ82" s="974"/>
      <c r="GA82" s="974"/>
      <c r="GB82" s="974"/>
      <c r="GC82" s="974"/>
      <c r="GD82" s="974"/>
      <c r="GE82" s="974"/>
      <c r="GF82" s="974"/>
      <c r="GG82" s="974"/>
      <c r="GH82" s="974"/>
      <c r="GI82" s="974"/>
      <c r="GJ82" s="974"/>
      <c r="GK82" s="974"/>
      <c r="GL82" s="974"/>
      <c r="GM82" s="974"/>
      <c r="GN82" s="974"/>
      <c r="GO82" s="974"/>
      <c r="GP82" s="974"/>
      <c r="GQ82" s="974"/>
      <c r="GR82" s="974"/>
      <c r="GS82" s="974"/>
      <c r="GT82" s="974"/>
      <c r="GU82" s="974"/>
      <c r="GV82" s="974"/>
      <c r="GW82" s="974"/>
      <c r="GX82" s="974"/>
      <c r="GY82" s="974"/>
      <c r="GZ82" s="974"/>
      <c r="HA82" s="974"/>
      <c r="HB82" s="974"/>
      <c r="HC82" s="974"/>
      <c r="HD82" s="974"/>
      <c r="HE82" s="974"/>
      <c r="HF82" s="974"/>
      <c r="HG82" s="974"/>
      <c r="HH82" s="974"/>
      <c r="HI82" s="974"/>
      <c r="HJ82" s="974"/>
      <c r="HK82" s="974"/>
      <c r="HL82" s="974"/>
      <c r="HM82" s="974"/>
      <c r="HN82" s="974"/>
      <c r="HO82" s="974"/>
      <c r="HP82" s="974"/>
      <c r="HQ82" s="974"/>
      <c r="HR82" s="974"/>
      <c r="HS82" s="974"/>
      <c r="HT82" s="974"/>
      <c r="HU82" s="974"/>
      <c r="HV82" s="974"/>
      <c r="HW82" s="974"/>
      <c r="HX82" s="974"/>
      <c r="HY82" s="974"/>
      <c r="HZ82" s="974"/>
      <c r="IA82" s="974"/>
      <c r="IB82" s="974"/>
      <c r="IC82" s="974"/>
      <c r="ID82" s="974"/>
      <c r="IE82" s="974"/>
      <c r="IF82" s="974"/>
      <c r="IG82" s="974"/>
      <c r="IH82" s="974"/>
      <c r="II82" s="974"/>
      <c r="IJ82" s="974"/>
      <c r="IK82" s="974"/>
      <c r="IL82" s="974"/>
      <c r="IM82" s="974"/>
      <c r="IN82" s="974"/>
      <c r="IO82" s="974"/>
      <c r="IP82" s="974"/>
      <c r="IQ82" s="974"/>
      <c r="IR82" s="974"/>
      <c r="IS82" s="974"/>
      <c r="IT82" s="974"/>
      <c r="IU82" s="974"/>
      <c r="IV82" s="974"/>
    </row>
    <row r="83" spans="1:256" s="865" customFormat="1" ht="11.25" customHeight="1">
      <c r="A83" s="961"/>
      <c r="B83" s="898"/>
      <c r="C83" s="898"/>
      <c r="D83" s="826"/>
      <c r="E83" s="1674" t="s">
        <v>11839</v>
      </c>
      <c r="F83" s="1674"/>
      <c r="G83" s="1674"/>
      <c r="H83" s="991">
        <f t="shared" si="6"/>
        <v>1</v>
      </c>
      <c r="I83" s="970">
        <v>1.65</v>
      </c>
      <c r="J83" s="970">
        <v>1.55</v>
      </c>
      <c r="K83" s="970">
        <v>0.15</v>
      </c>
      <c r="L83" s="985" t="s">
        <v>20309</v>
      </c>
      <c r="M83" s="986">
        <f t="shared" si="7"/>
        <v>0.38362499999999999</v>
      </c>
      <c r="N83" s="972"/>
      <c r="O83" s="973"/>
      <c r="P83" s="974"/>
      <c r="Q83" s="975"/>
      <c r="R83" s="974"/>
      <c r="S83" s="974"/>
      <c r="T83" s="974"/>
      <c r="U83" s="974"/>
      <c r="V83" s="974"/>
      <c r="W83" s="974"/>
      <c r="X83" s="974"/>
      <c r="Y83" s="974"/>
      <c r="Z83" s="974"/>
      <c r="AA83" s="974"/>
      <c r="AB83" s="974"/>
      <c r="AC83" s="974"/>
      <c r="AD83" s="974"/>
      <c r="AE83" s="974"/>
      <c r="AF83" s="974"/>
      <c r="AG83" s="974"/>
      <c r="AH83" s="974"/>
      <c r="AI83" s="974"/>
      <c r="AJ83" s="974"/>
      <c r="AK83" s="974"/>
      <c r="AL83" s="974"/>
      <c r="AM83" s="974"/>
      <c r="AN83" s="974"/>
      <c r="AO83" s="974"/>
      <c r="AP83" s="974"/>
      <c r="AQ83" s="974"/>
      <c r="AR83" s="974"/>
      <c r="AS83" s="974"/>
      <c r="AT83" s="974"/>
      <c r="AU83" s="974"/>
      <c r="AV83" s="974"/>
      <c r="AW83" s="974"/>
      <c r="AX83" s="974"/>
      <c r="AY83" s="974"/>
      <c r="AZ83" s="974"/>
      <c r="BA83" s="974"/>
      <c r="BB83" s="974"/>
      <c r="BC83" s="974"/>
      <c r="BD83" s="974"/>
      <c r="BE83" s="974"/>
      <c r="BF83" s="974"/>
      <c r="BG83" s="974"/>
      <c r="BH83" s="974"/>
      <c r="BI83" s="974"/>
      <c r="BJ83" s="974"/>
      <c r="BK83" s="974"/>
      <c r="BL83" s="974"/>
      <c r="BM83" s="974"/>
      <c r="BN83" s="974"/>
      <c r="BO83" s="974"/>
      <c r="BP83" s="974"/>
      <c r="BQ83" s="974"/>
      <c r="BR83" s="974"/>
      <c r="BS83" s="974"/>
      <c r="BT83" s="974"/>
      <c r="BU83" s="974"/>
      <c r="BV83" s="974"/>
      <c r="BW83" s="974"/>
      <c r="BX83" s="974"/>
      <c r="BY83" s="974"/>
      <c r="BZ83" s="974"/>
      <c r="CA83" s="974"/>
      <c r="CB83" s="974"/>
      <c r="CC83" s="974"/>
      <c r="CD83" s="974"/>
      <c r="CE83" s="974"/>
      <c r="CF83" s="974"/>
      <c r="CG83" s="974"/>
      <c r="CH83" s="974"/>
      <c r="CI83" s="974"/>
      <c r="CJ83" s="974"/>
      <c r="CK83" s="974"/>
      <c r="CL83" s="974"/>
      <c r="CM83" s="974"/>
      <c r="CN83" s="974"/>
      <c r="CO83" s="974"/>
      <c r="CP83" s="974"/>
      <c r="CQ83" s="974"/>
      <c r="CR83" s="974"/>
      <c r="CS83" s="974"/>
      <c r="CT83" s="974"/>
      <c r="CU83" s="974"/>
      <c r="CV83" s="974"/>
      <c r="CW83" s="974"/>
      <c r="CX83" s="974"/>
      <c r="CY83" s="974"/>
      <c r="CZ83" s="974"/>
      <c r="DA83" s="974"/>
      <c r="DB83" s="974"/>
      <c r="DC83" s="974"/>
      <c r="DD83" s="974"/>
      <c r="DE83" s="974"/>
      <c r="DF83" s="974"/>
      <c r="DG83" s="974"/>
      <c r="DH83" s="974"/>
      <c r="DI83" s="974"/>
      <c r="DJ83" s="974"/>
      <c r="DK83" s="974"/>
      <c r="DL83" s="974"/>
      <c r="DM83" s="974"/>
      <c r="DN83" s="974"/>
      <c r="DO83" s="974"/>
      <c r="DP83" s="974"/>
      <c r="DQ83" s="974"/>
      <c r="DR83" s="974"/>
      <c r="DS83" s="974"/>
      <c r="DT83" s="974"/>
      <c r="DU83" s="974"/>
      <c r="DV83" s="974"/>
      <c r="DW83" s="974"/>
      <c r="DX83" s="974"/>
      <c r="DY83" s="974"/>
      <c r="DZ83" s="974"/>
      <c r="EA83" s="974"/>
      <c r="EB83" s="974"/>
      <c r="EC83" s="974"/>
      <c r="ED83" s="974"/>
      <c r="EE83" s="974"/>
      <c r="EF83" s="974"/>
      <c r="EG83" s="974"/>
      <c r="EH83" s="974"/>
      <c r="EI83" s="974"/>
      <c r="EJ83" s="974"/>
      <c r="EK83" s="974"/>
      <c r="EL83" s="974"/>
      <c r="EM83" s="974"/>
      <c r="EN83" s="974"/>
      <c r="EO83" s="974"/>
      <c r="EP83" s="974"/>
      <c r="EQ83" s="974"/>
      <c r="ER83" s="974"/>
      <c r="ES83" s="974"/>
      <c r="ET83" s="974"/>
      <c r="EU83" s="974"/>
      <c r="EV83" s="974"/>
      <c r="EW83" s="974"/>
      <c r="EX83" s="974"/>
      <c r="EY83" s="974"/>
      <c r="EZ83" s="974"/>
      <c r="FA83" s="974"/>
      <c r="FB83" s="974"/>
      <c r="FC83" s="974"/>
      <c r="FD83" s="974"/>
      <c r="FE83" s="974"/>
      <c r="FF83" s="974"/>
      <c r="FG83" s="974"/>
      <c r="FH83" s="974"/>
      <c r="FI83" s="974"/>
      <c r="FJ83" s="974"/>
      <c r="FK83" s="974"/>
      <c r="FL83" s="974"/>
      <c r="FM83" s="974"/>
      <c r="FN83" s="974"/>
      <c r="FO83" s="974"/>
      <c r="FP83" s="974"/>
      <c r="FQ83" s="974"/>
      <c r="FR83" s="974"/>
      <c r="FS83" s="974"/>
      <c r="FT83" s="974"/>
      <c r="FU83" s="974"/>
      <c r="FV83" s="974"/>
      <c r="FW83" s="974"/>
      <c r="FX83" s="974"/>
      <c r="FY83" s="974"/>
      <c r="FZ83" s="974"/>
      <c r="GA83" s="974"/>
      <c r="GB83" s="974"/>
      <c r="GC83" s="974"/>
      <c r="GD83" s="974"/>
      <c r="GE83" s="974"/>
      <c r="GF83" s="974"/>
      <c r="GG83" s="974"/>
      <c r="GH83" s="974"/>
      <c r="GI83" s="974"/>
      <c r="GJ83" s="974"/>
      <c r="GK83" s="974"/>
      <c r="GL83" s="974"/>
      <c r="GM83" s="974"/>
      <c r="GN83" s="974"/>
      <c r="GO83" s="974"/>
      <c r="GP83" s="974"/>
      <c r="GQ83" s="974"/>
      <c r="GR83" s="974"/>
      <c r="GS83" s="974"/>
      <c r="GT83" s="974"/>
      <c r="GU83" s="974"/>
      <c r="GV83" s="974"/>
      <c r="GW83" s="974"/>
      <c r="GX83" s="974"/>
      <c r="GY83" s="974"/>
      <c r="GZ83" s="974"/>
      <c r="HA83" s="974"/>
      <c r="HB83" s="974"/>
      <c r="HC83" s="974"/>
      <c r="HD83" s="974"/>
      <c r="HE83" s="974"/>
      <c r="HF83" s="974"/>
      <c r="HG83" s="974"/>
      <c r="HH83" s="974"/>
      <c r="HI83" s="974"/>
      <c r="HJ83" s="974"/>
      <c r="HK83" s="974"/>
      <c r="HL83" s="974"/>
      <c r="HM83" s="974"/>
      <c r="HN83" s="974"/>
      <c r="HO83" s="974"/>
      <c r="HP83" s="974"/>
      <c r="HQ83" s="974"/>
      <c r="HR83" s="974"/>
      <c r="HS83" s="974"/>
      <c r="HT83" s="974"/>
      <c r="HU83" s="974"/>
      <c r="HV83" s="974"/>
      <c r="HW83" s="974"/>
      <c r="HX83" s="974"/>
      <c r="HY83" s="974"/>
      <c r="HZ83" s="974"/>
      <c r="IA83" s="974"/>
      <c r="IB83" s="974"/>
      <c r="IC83" s="974"/>
      <c r="ID83" s="974"/>
      <c r="IE83" s="974"/>
      <c r="IF83" s="974"/>
      <c r="IG83" s="974"/>
      <c r="IH83" s="974"/>
      <c r="II83" s="974"/>
      <c r="IJ83" s="974"/>
      <c r="IK83" s="974"/>
      <c r="IL83" s="974"/>
      <c r="IM83" s="974"/>
      <c r="IN83" s="974"/>
      <c r="IO83" s="974"/>
      <c r="IP83" s="974"/>
      <c r="IQ83" s="974"/>
      <c r="IR83" s="974"/>
      <c r="IS83" s="974"/>
      <c r="IT83" s="974"/>
      <c r="IU83" s="974"/>
      <c r="IV83" s="974"/>
    </row>
    <row r="84" spans="1:256" s="865" customFormat="1" ht="11.25" customHeight="1">
      <c r="A84" s="961"/>
      <c r="B84" s="898"/>
      <c r="C84" s="898"/>
      <c r="D84" s="826"/>
      <c r="E84" s="854"/>
      <c r="F84" s="1674" t="s">
        <v>11870</v>
      </c>
      <c r="G84" s="1674"/>
      <c r="H84" s="991">
        <f t="shared" si="6"/>
        <v>4</v>
      </c>
      <c r="I84" s="970">
        <v>1.6</v>
      </c>
      <c r="J84" s="970">
        <v>1.4</v>
      </c>
      <c r="K84" s="970">
        <v>0.15</v>
      </c>
      <c r="L84" s="985" t="s">
        <v>20309</v>
      </c>
      <c r="M84" s="986">
        <f t="shared" si="7"/>
        <v>1.3439999999999999</v>
      </c>
      <c r="N84" s="972"/>
      <c r="O84" s="973"/>
      <c r="P84" s="974"/>
      <c r="Q84" s="975"/>
      <c r="R84" s="974"/>
      <c r="S84" s="974"/>
      <c r="T84" s="974"/>
      <c r="U84" s="974"/>
      <c r="V84" s="974"/>
      <c r="W84" s="974"/>
      <c r="X84" s="974"/>
      <c r="Y84" s="974"/>
      <c r="Z84" s="974"/>
      <c r="AA84" s="974"/>
      <c r="AB84" s="974"/>
      <c r="AC84" s="974"/>
      <c r="AD84" s="974"/>
      <c r="AE84" s="974"/>
      <c r="AF84" s="974"/>
      <c r="AG84" s="974"/>
      <c r="AH84" s="974"/>
      <c r="AI84" s="974"/>
      <c r="AJ84" s="974"/>
      <c r="AK84" s="974"/>
      <c r="AL84" s="974"/>
      <c r="AM84" s="974"/>
      <c r="AN84" s="974"/>
      <c r="AO84" s="974"/>
      <c r="AP84" s="974"/>
      <c r="AQ84" s="974"/>
      <c r="AR84" s="974"/>
      <c r="AS84" s="974"/>
      <c r="AT84" s="974"/>
      <c r="AU84" s="974"/>
      <c r="AV84" s="974"/>
      <c r="AW84" s="974"/>
      <c r="AX84" s="974"/>
      <c r="AY84" s="974"/>
      <c r="AZ84" s="974"/>
      <c r="BA84" s="974"/>
      <c r="BB84" s="974"/>
      <c r="BC84" s="974"/>
      <c r="BD84" s="974"/>
      <c r="BE84" s="974"/>
      <c r="BF84" s="974"/>
      <c r="BG84" s="974"/>
      <c r="BH84" s="974"/>
      <c r="BI84" s="974"/>
      <c r="BJ84" s="974"/>
      <c r="BK84" s="974"/>
      <c r="BL84" s="974"/>
      <c r="BM84" s="974"/>
      <c r="BN84" s="974"/>
      <c r="BO84" s="974"/>
      <c r="BP84" s="974"/>
      <c r="BQ84" s="974"/>
      <c r="BR84" s="974"/>
      <c r="BS84" s="974"/>
      <c r="BT84" s="974"/>
      <c r="BU84" s="974"/>
      <c r="BV84" s="974"/>
      <c r="BW84" s="974"/>
      <c r="BX84" s="974"/>
      <c r="BY84" s="974"/>
      <c r="BZ84" s="974"/>
      <c r="CA84" s="974"/>
      <c r="CB84" s="974"/>
      <c r="CC84" s="974"/>
      <c r="CD84" s="974"/>
      <c r="CE84" s="974"/>
      <c r="CF84" s="974"/>
      <c r="CG84" s="974"/>
      <c r="CH84" s="974"/>
      <c r="CI84" s="974"/>
      <c r="CJ84" s="974"/>
      <c r="CK84" s="974"/>
      <c r="CL84" s="974"/>
      <c r="CM84" s="974"/>
      <c r="CN84" s="974"/>
      <c r="CO84" s="974"/>
      <c r="CP84" s="974"/>
      <c r="CQ84" s="974"/>
      <c r="CR84" s="974"/>
      <c r="CS84" s="974"/>
      <c r="CT84" s="974"/>
      <c r="CU84" s="974"/>
      <c r="CV84" s="974"/>
      <c r="CW84" s="974"/>
      <c r="CX84" s="974"/>
      <c r="CY84" s="974"/>
      <c r="CZ84" s="974"/>
      <c r="DA84" s="974"/>
      <c r="DB84" s="974"/>
      <c r="DC84" s="974"/>
      <c r="DD84" s="974"/>
      <c r="DE84" s="974"/>
      <c r="DF84" s="974"/>
      <c r="DG84" s="974"/>
      <c r="DH84" s="974"/>
      <c r="DI84" s="974"/>
      <c r="DJ84" s="974"/>
      <c r="DK84" s="974"/>
      <c r="DL84" s="974"/>
      <c r="DM84" s="974"/>
      <c r="DN84" s="974"/>
      <c r="DO84" s="974"/>
      <c r="DP84" s="974"/>
      <c r="DQ84" s="974"/>
      <c r="DR84" s="974"/>
      <c r="DS84" s="974"/>
      <c r="DT84" s="974"/>
      <c r="DU84" s="974"/>
      <c r="DV84" s="974"/>
      <c r="DW84" s="974"/>
      <c r="DX84" s="974"/>
      <c r="DY84" s="974"/>
      <c r="DZ84" s="974"/>
      <c r="EA84" s="974"/>
      <c r="EB84" s="974"/>
      <c r="EC84" s="974"/>
      <c r="ED84" s="974"/>
      <c r="EE84" s="974"/>
      <c r="EF84" s="974"/>
      <c r="EG84" s="974"/>
      <c r="EH84" s="974"/>
      <c r="EI84" s="974"/>
      <c r="EJ84" s="974"/>
      <c r="EK84" s="974"/>
      <c r="EL84" s="974"/>
      <c r="EM84" s="974"/>
      <c r="EN84" s="974"/>
      <c r="EO84" s="974"/>
      <c r="EP84" s="974"/>
      <c r="EQ84" s="974"/>
      <c r="ER84" s="974"/>
      <c r="ES84" s="974"/>
      <c r="ET84" s="974"/>
      <c r="EU84" s="974"/>
      <c r="EV84" s="974"/>
      <c r="EW84" s="974"/>
      <c r="EX84" s="974"/>
      <c r="EY84" s="974"/>
      <c r="EZ84" s="974"/>
      <c r="FA84" s="974"/>
      <c r="FB84" s="974"/>
      <c r="FC84" s="974"/>
      <c r="FD84" s="974"/>
      <c r="FE84" s="974"/>
      <c r="FF84" s="974"/>
      <c r="FG84" s="974"/>
      <c r="FH84" s="974"/>
      <c r="FI84" s="974"/>
      <c r="FJ84" s="974"/>
      <c r="FK84" s="974"/>
      <c r="FL84" s="974"/>
      <c r="FM84" s="974"/>
      <c r="FN84" s="974"/>
      <c r="FO84" s="974"/>
      <c r="FP84" s="974"/>
      <c r="FQ84" s="974"/>
      <c r="FR84" s="974"/>
      <c r="FS84" s="974"/>
      <c r="FT84" s="974"/>
      <c r="FU84" s="974"/>
      <c r="FV84" s="974"/>
      <c r="FW84" s="974"/>
      <c r="FX84" s="974"/>
      <c r="FY84" s="974"/>
      <c r="FZ84" s="974"/>
      <c r="GA84" s="974"/>
      <c r="GB84" s="974"/>
      <c r="GC84" s="974"/>
      <c r="GD84" s="974"/>
      <c r="GE84" s="974"/>
      <c r="GF84" s="974"/>
      <c r="GG84" s="974"/>
      <c r="GH84" s="974"/>
      <c r="GI84" s="974"/>
      <c r="GJ84" s="974"/>
      <c r="GK84" s="974"/>
      <c r="GL84" s="974"/>
      <c r="GM84" s="974"/>
      <c r="GN84" s="974"/>
      <c r="GO84" s="974"/>
      <c r="GP84" s="974"/>
      <c r="GQ84" s="974"/>
      <c r="GR84" s="974"/>
      <c r="GS84" s="974"/>
      <c r="GT84" s="974"/>
      <c r="GU84" s="974"/>
      <c r="GV84" s="974"/>
      <c r="GW84" s="974"/>
      <c r="GX84" s="974"/>
      <c r="GY84" s="974"/>
      <c r="GZ84" s="974"/>
      <c r="HA84" s="974"/>
      <c r="HB84" s="974"/>
      <c r="HC84" s="974"/>
      <c r="HD84" s="974"/>
      <c r="HE84" s="974"/>
      <c r="HF84" s="974"/>
      <c r="HG84" s="974"/>
      <c r="HH84" s="974"/>
      <c r="HI84" s="974"/>
      <c r="HJ84" s="974"/>
      <c r="HK84" s="974"/>
      <c r="HL84" s="974"/>
      <c r="HM84" s="974"/>
      <c r="HN84" s="974"/>
      <c r="HO84" s="974"/>
      <c r="HP84" s="974"/>
      <c r="HQ84" s="974"/>
      <c r="HR84" s="974"/>
      <c r="HS84" s="974"/>
      <c r="HT84" s="974"/>
      <c r="HU84" s="974"/>
      <c r="HV84" s="974"/>
      <c r="HW84" s="974"/>
      <c r="HX84" s="974"/>
      <c r="HY84" s="974"/>
      <c r="HZ84" s="974"/>
      <c r="IA84" s="974"/>
      <c r="IB84" s="974"/>
      <c r="IC84" s="974"/>
      <c r="ID84" s="974"/>
      <c r="IE84" s="974"/>
      <c r="IF84" s="974"/>
      <c r="IG84" s="974"/>
      <c r="IH84" s="974"/>
      <c r="II84" s="974"/>
      <c r="IJ84" s="974"/>
      <c r="IK84" s="974"/>
      <c r="IL84" s="974"/>
      <c r="IM84" s="974"/>
      <c r="IN84" s="974"/>
      <c r="IO84" s="974"/>
      <c r="IP84" s="974"/>
      <c r="IQ84" s="974"/>
      <c r="IR84" s="974"/>
      <c r="IS84" s="974"/>
      <c r="IT84" s="974"/>
      <c r="IU84" s="974"/>
      <c r="IV84" s="974"/>
    </row>
    <row r="85" spans="1:256" s="865" customFormat="1" ht="11.25" customHeight="1">
      <c r="A85" s="961"/>
      <c r="B85" s="898"/>
      <c r="C85" s="898"/>
      <c r="D85" s="826"/>
      <c r="E85" s="854"/>
      <c r="F85" s="1674" t="s">
        <v>11871</v>
      </c>
      <c r="G85" s="1674"/>
      <c r="H85" s="991">
        <f t="shared" si="6"/>
        <v>2</v>
      </c>
      <c r="I85" s="970">
        <v>4</v>
      </c>
      <c r="J85" s="970">
        <v>0.2</v>
      </c>
      <c r="K85" s="970">
        <v>0</v>
      </c>
      <c r="L85" s="985" t="s">
        <v>20309</v>
      </c>
      <c r="M85" s="986">
        <f t="shared" si="7"/>
        <v>0</v>
      </c>
      <c r="N85" s="972"/>
      <c r="O85" s="973"/>
      <c r="P85" s="974"/>
      <c r="Q85" s="975"/>
      <c r="R85" s="974"/>
      <c r="S85" s="974"/>
      <c r="T85" s="974"/>
      <c r="U85" s="974"/>
      <c r="V85" s="974"/>
      <c r="W85" s="974"/>
      <c r="X85" s="974"/>
      <c r="Y85" s="974"/>
      <c r="Z85" s="974"/>
      <c r="AA85" s="974"/>
      <c r="AB85" s="974"/>
      <c r="AC85" s="974"/>
      <c r="AD85" s="974"/>
      <c r="AE85" s="974"/>
      <c r="AF85" s="974"/>
      <c r="AG85" s="974"/>
      <c r="AH85" s="974"/>
      <c r="AI85" s="974"/>
      <c r="AJ85" s="974"/>
      <c r="AK85" s="974"/>
      <c r="AL85" s="974"/>
      <c r="AM85" s="974"/>
      <c r="AN85" s="974"/>
      <c r="AO85" s="974"/>
      <c r="AP85" s="974"/>
      <c r="AQ85" s="974"/>
      <c r="AR85" s="974"/>
      <c r="AS85" s="974"/>
      <c r="AT85" s="974"/>
      <c r="AU85" s="974"/>
      <c r="AV85" s="974"/>
      <c r="AW85" s="974"/>
      <c r="AX85" s="974"/>
      <c r="AY85" s="974"/>
      <c r="AZ85" s="974"/>
      <c r="BA85" s="974"/>
      <c r="BB85" s="974"/>
      <c r="BC85" s="974"/>
      <c r="BD85" s="974"/>
      <c r="BE85" s="974"/>
      <c r="BF85" s="974"/>
      <c r="BG85" s="974"/>
      <c r="BH85" s="974"/>
      <c r="BI85" s="974"/>
      <c r="BJ85" s="974"/>
      <c r="BK85" s="974"/>
      <c r="BL85" s="974"/>
      <c r="BM85" s="974"/>
      <c r="BN85" s="974"/>
      <c r="BO85" s="974"/>
      <c r="BP85" s="974"/>
      <c r="BQ85" s="974"/>
      <c r="BR85" s="974"/>
      <c r="BS85" s="974"/>
      <c r="BT85" s="974"/>
      <c r="BU85" s="974"/>
      <c r="BV85" s="974"/>
      <c r="BW85" s="974"/>
      <c r="BX85" s="974"/>
      <c r="BY85" s="974"/>
      <c r="BZ85" s="974"/>
      <c r="CA85" s="974"/>
      <c r="CB85" s="974"/>
      <c r="CC85" s="974"/>
      <c r="CD85" s="974"/>
      <c r="CE85" s="974"/>
      <c r="CF85" s="974"/>
      <c r="CG85" s="974"/>
      <c r="CH85" s="974"/>
      <c r="CI85" s="974"/>
      <c r="CJ85" s="974"/>
      <c r="CK85" s="974"/>
      <c r="CL85" s="974"/>
      <c r="CM85" s="974"/>
      <c r="CN85" s="974"/>
      <c r="CO85" s="974"/>
      <c r="CP85" s="974"/>
      <c r="CQ85" s="974"/>
      <c r="CR85" s="974"/>
      <c r="CS85" s="974"/>
      <c r="CT85" s="974"/>
      <c r="CU85" s="974"/>
      <c r="CV85" s="974"/>
      <c r="CW85" s="974"/>
      <c r="CX85" s="974"/>
      <c r="CY85" s="974"/>
      <c r="CZ85" s="974"/>
      <c r="DA85" s="974"/>
      <c r="DB85" s="974"/>
      <c r="DC85" s="974"/>
      <c r="DD85" s="974"/>
      <c r="DE85" s="974"/>
      <c r="DF85" s="974"/>
      <c r="DG85" s="974"/>
      <c r="DH85" s="974"/>
      <c r="DI85" s="974"/>
      <c r="DJ85" s="974"/>
      <c r="DK85" s="974"/>
      <c r="DL85" s="974"/>
      <c r="DM85" s="974"/>
      <c r="DN85" s="974"/>
      <c r="DO85" s="974"/>
      <c r="DP85" s="974"/>
      <c r="DQ85" s="974"/>
      <c r="DR85" s="974"/>
      <c r="DS85" s="974"/>
      <c r="DT85" s="974"/>
      <c r="DU85" s="974"/>
      <c r="DV85" s="974"/>
      <c r="DW85" s="974"/>
      <c r="DX85" s="974"/>
      <c r="DY85" s="974"/>
      <c r="DZ85" s="974"/>
      <c r="EA85" s="974"/>
      <c r="EB85" s="974"/>
      <c r="EC85" s="974"/>
      <c r="ED85" s="974"/>
      <c r="EE85" s="974"/>
      <c r="EF85" s="974"/>
      <c r="EG85" s="974"/>
      <c r="EH85" s="974"/>
      <c r="EI85" s="974"/>
      <c r="EJ85" s="974"/>
      <c r="EK85" s="974"/>
      <c r="EL85" s="974"/>
      <c r="EM85" s="974"/>
      <c r="EN85" s="974"/>
      <c r="EO85" s="974"/>
      <c r="EP85" s="974"/>
      <c r="EQ85" s="974"/>
      <c r="ER85" s="974"/>
      <c r="ES85" s="974"/>
      <c r="ET85" s="974"/>
      <c r="EU85" s="974"/>
      <c r="EV85" s="974"/>
      <c r="EW85" s="974"/>
      <c r="EX85" s="974"/>
      <c r="EY85" s="974"/>
      <c r="EZ85" s="974"/>
      <c r="FA85" s="974"/>
      <c r="FB85" s="974"/>
      <c r="FC85" s="974"/>
      <c r="FD85" s="974"/>
      <c r="FE85" s="974"/>
      <c r="FF85" s="974"/>
      <c r="FG85" s="974"/>
      <c r="FH85" s="974"/>
      <c r="FI85" s="974"/>
      <c r="FJ85" s="974"/>
      <c r="FK85" s="974"/>
      <c r="FL85" s="974"/>
      <c r="FM85" s="974"/>
      <c r="FN85" s="974"/>
      <c r="FO85" s="974"/>
      <c r="FP85" s="974"/>
      <c r="FQ85" s="974"/>
      <c r="FR85" s="974"/>
      <c r="FS85" s="974"/>
      <c r="FT85" s="974"/>
      <c r="FU85" s="974"/>
      <c r="FV85" s="974"/>
      <c r="FW85" s="974"/>
      <c r="FX85" s="974"/>
      <c r="FY85" s="974"/>
      <c r="FZ85" s="974"/>
      <c r="GA85" s="974"/>
      <c r="GB85" s="974"/>
      <c r="GC85" s="974"/>
      <c r="GD85" s="974"/>
      <c r="GE85" s="974"/>
      <c r="GF85" s="974"/>
      <c r="GG85" s="974"/>
      <c r="GH85" s="974"/>
      <c r="GI85" s="974"/>
      <c r="GJ85" s="974"/>
      <c r="GK85" s="974"/>
      <c r="GL85" s="974"/>
      <c r="GM85" s="974"/>
      <c r="GN85" s="974"/>
      <c r="GO85" s="974"/>
      <c r="GP85" s="974"/>
      <c r="GQ85" s="974"/>
      <c r="GR85" s="974"/>
      <c r="GS85" s="974"/>
      <c r="GT85" s="974"/>
      <c r="GU85" s="974"/>
      <c r="GV85" s="974"/>
      <c r="GW85" s="974"/>
      <c r="GX85" s="974"/>
      <c r="GY85" s="974"/>
      <c r="GZ85" s="974"/>
      <c r="HA85" s="974"/>
      <c r="HB85" s="974"/>
      <c r="HC85" s="974"/>
      <c r="HD85" s="974"/>
      <c r="HE85" s="974"/>
      <c r="HF85" s="974"/>
      <c r="HG85" s="974"/>
      <c r="HH85" s="974"/>
      <c r="HI85" s="974"/>
      <c r="HJ85" s="974"/>
      <c r="HK85" s="974"/>
      <c r="HL85" s="974"/>
      <c r="HM85" s="974"/>
      <c r="HN85" s="974"/>
      <c r="HO85" s="974"/>
      <c r="HP85" s="974"/>
      <c r="HQ85" s="974"/>
      <c r="HR85" s="974"/>
      <c r="HS85" s="974"/>
      <c r="HT85" s="974"/>
      <c r="HU85" s="974"/>
      <c r="HV85" s="974"/>
      <c r="HW85" s="974"/>
      <c r="HX85" s="974"/>
      <c r="HY85" s="974"/>
      <c r="HZ85" s="974"/>
      <c r="IA85" s="974"/>
      <c r="IB85" s="974"/>
      <c r="IC85" s="974"/>
      <c r="ID85" s="974"/>
      <c r="IE85" s="974"/>
      <c r="IF85" s="974"/>
      <c r="IG85" s="974"/>
      <c r="IH85" s="974"/>
      <c r="II85" s="974"/>
      <c r="IJ85" s="974"/>
      <c r="IK85" s="974"/>
      <c r="IL85" s="974"/>
      <c r="IM85" s="974"/>
      <c r="IN85" s="974"/>
      <c r="IO85" s="974"/>
      <c r="IP85" s="974"/>
      <c r="IQ85" s="974"/>
      <c r="IR85" s="974"/>
      <c r="IS85" s="974"/>
      <c r="IT85" s="974"/>
      <c r="IU85" s="974"/>
      <c r="IV85" s="974"/>
    </row>
    <row r="86" spans="1:256" s="865" customFormat="1" ht="11.25" customHeight="1">
      <c r="A86" s="961"/>
      <c r="B86" s="898"/>
      <c r="C86" s="898"/>
      <c r="D86" s="826"/>
      <c r="E86" s="854"/>
      <c r="F86" s="1674" t="s">
        <v>11872</v>
      </c>
      <c r="G86" s="1674"/>
      <c r="H86" s="991">
        <f t="shared" si="6"/>
        <v>2</v>
      </c>
      <c r="I86" s="970">
        <v>2.7</v>
      </c>
      <c r="J86" s="970">
        <v>0.2</v>
      </c>
      <c r="K86" s="970">
        <v>0</v>
      </c>
      <c r="L86" s="985" t="s">
        <v>20309</v>
      </c>
      <c r="M86" s="986">
        <f t="shared" si="7"/>
        <v>0</v>
      </c>
      <c r="N86" s="972"/>
      <c r="O86" s="973"/>
      <c r="P86" s="974"/>
      <c r="Q86" s="975"/>
      <c r="R86" s="974"/>
      <c r="S86" s="974"/>
      <c r="T86" s="974"/>
      <c r="U86" s="974"/>
      <c r="V86" s="974"/>
      <c r="W86" s="974"/>
      <c r="X86" s="974"/>
      <c r="Y86" s="974"/>
      <c r="Z86" s="974"/>
      <c r="AA86" s="974"/>
      <c r="AB86" s="974"/>
      <c r="AC86" s="974"/>
      <c r="AD86" s="974"/>
      <c r="AE86" s="974"/>
      <c r="AF86" s="974"/>
      <c r="AG86" s="974"/>
      <c r="AH86" s="974"/>
      <c r="AI86" s="974"/>
      <c r="AJ86" s="974"/>
      <c r="AK86" s="974"/>
      <c r="AL86" s="974"/>
      <c r="AM86" s="974"/>
      <c r="AN86" s="974"/>
      <c r="AO86" s="974"/>
      <c r="AP86" s="974"/>
      <c r="AQ86" s="974"/>
      <c r="AR86" s="974"/>
      <c r="AS86" s="974"/>
      <c r="AT86" s="974"/>
      <c r="AU86" s="974"/>
      <c r="AV86" s="974"/>
      <c r="AW86" s="974"/>
      <c r="AX86" s="974"/>
      <c r="AY86" s="974"/>
      <c r="AZ86" s="974"/>
      <c r="BA86" s="974"/>
      <c r="BB86" s="974"/>
      <c r="BC86" s="974"/>
      <c r="BD86" s="974"/>
      <c r="BE86" s="974"/>
      <c r="BF86" s="974"/>
      <c r="BG86" s="974"/>
      <c r="BH86" s="974"/>
      <c r="BI86" s="974"/>
      <c r="BJ86" s="974"/>
      <c r="BK86" s="974"/>
      <c r="BL86" s="974"/>
      <c r="BM86" s="974"/>
      <c r="BN86" s="974"/>
      <c r="BO86" s="974"/>
      <c r="BP86" s="974"/>
      <c r="BQ86" s="974"/>
      <c r="BR86" s="974"/>
      <c r="BS86" s="974"/>
      <c r="BT86" s="974"/>
      <c r="BU86" s="974"/>
      <c r="BV86" s="974"/>
      <c r="BW86" s="974"/>
      <c r="BX86" s="974"/>
      <c r="BY86" s="974"/>
      <c r="BZ86" s="974"/>
      <c r="CA86" s="974"/>
      <c r="CB86" s="974"/>
      <c r="CC86" s="974"/>
      <c r="CD86" s="974"/>
      <c r="CE86" s="974"/>
      <c r="CF86" s="974"/>
      <c r="CG86" s="974"/>
      <c r="CH86" s="974"/>
      <c r="CI86" s="974"/>
      <c r="CJ86" s="974"/>
      <c r="CK86" s="974"/>
      <c r="CL86" s="974"/>
      <c r="CM86" s="974"/>
      <c r="CN86" s="974"/>
      <c r="CO86" s="974"/>
      <c r="CP86" s="974"/>
      <c r="CQ86" s="974"/>
      <c r="CR86" s="974"/>
      <c r="CS86" s="974"/>
      <c r="CT86" s="974"/>
      <c r="CU86" s="974"/>
      <c r="CV86" s="974"/>
      <c r="CW86" s="974"/>
      <c r="CX86" s="974"/>
      <c r="CY86" s="974"/>
      <c r="CZ86" s="974"/>
      <c r="DA86" s="974"/>
      <c r="DB86" s="974"/>
      <c r="DC86" s="974"/>
      <c r="DD86" s="974"/>
      <c r="DE86" s="974"/>
      <c r="DF86" s="974"/>
      <c r="DG86" s="974"/>
      <c r="DH86" s="974"/>
      <c r="DI86" s="974"/>
      <c r="DJ86" s="974"/>
      <c r="DK86" s="974"/>
      <c r="DL86" s="974"/>
      <c r="DM86" s="974"/>
      <c r="DN86" s="974"/>
      <c r="DO86" s="974"/>
      <c r="DP86" s="974"/>
      <c r="DQ86" s="974"/>
      <c r="DR86" s="974"/>
      <c r="DS86" s="974"/>
      <c r="DT86" s="974"/>
      <c r="DU86" s="974"/>
      <c r="DV86" s="974"/>
      <c r="DW86" s="974"/>
      <c r="DX86" s="974"/>
      <c r="DY86" s="974"/>
      <c r="DZ86" s="974"/>
      <c r="EA86" s="974"/>
      <c r="EB86" s="974"/>
      <c r="EC86" s="974"/>
      <c r="ED86" s="974"/>
      <c r="EE86" s="974"/>
      <c r="EF86" s="974"/>
      <c r="EG86" s="974"/>
      <c r="EH86" s="974"/>
      <c r="EI86" s="974"/>
      <c r="EJ86" s="974"/>
      <c r="EK86" s="974"/>
      <c r="EL86" s="974"/>
      <c r="EM86" s="974"/>
      <c r="EN86" s="974"/>
      <c r="EO86" s="974"/>
      <c r="EP86" s="974"/>
      <c r="EQ86" s="974"/>
      <c r="ER86" s="974"/>
      <c r="ES86" s="974"/>
      <c r="ET86" s="974"/>
      <c r="EU86" s="974"/>
      <c r="EV86" s="974"/>
      <c r="EW86" s="974"/>
      <c r="EX86" s="974"/>
      <c r="EY86" s="974"/>
      <c r="EZ86" s="974"/>
      <c r="FA86" s="974"/>
      <c r="FB86" s="974"/>
      <c r="FC86" s="974"/>
      <c r="FD86" s="974"/>
      <c r="FE86" s="974"/>
      <c r="FF86" s="974"/>
      <c r="FG86" s="974"/>
      <c r="FH86" s="974"/>
      <c r="FI86" s="974"/>
      <c r="FJ86" s="974"/>
      <c r="FK86" s="974"/>
      <c r="FL86" s="974"/>
      <c r="FM86" s="974"/>
      <c r="FN86" s="974"/>
      <c r="FO86" s="974"/>
      <c r="FP86" s="974"/>
      <c r="FQ86" s="974"/>
      <c r="FR86" s="974"/>
      <c r="FS86" s="974"/>
      <c r="FT86" s="974"/>
      <c r="FU86" s="974"/>
      <c r="FV86" s="974"/>
      <c r="FW86" s="974"/>
      <c r="FX86" s="974"/>
      <c r="FY86" s="974"/>
      <c r="FZ86" s="974"/>
      <c r="GA86" s="974"/>
      <c r="GB86" s="974"/>
      <c r="GC86" s="974"/>
      <c r="GD86" s="974"/>
      <c r="GE86" s="974"/>
      <c r="GF86" s="974"/>
      <c r="GG86" s="974"/>
      <c r="GH86" s="974"/>
      <c r="GI86" s="974"/>
      <c r="GJ86" s="974"/>
      <c r="GK86" s="974"/>
      <c r="GL86" s="974"/>
      <c r="GM86" s="974"/>
      <c r="GN86" s="974"/>
      <c r="GO86" s="974"/>
      <c r="GP86" s="974"/>
      <c r="GQ86" s="974"/>
      <c r="GR86" s="974"/>
      <c r="GS86" s="974"/>
      <c r="GT86" s="974"/>
      <c r="GU86" s="974"/>
      <c r="GV86" s="974"/>
      <c r="GW86" s="974"/>
      <c r="GX86" s="974"/>
      <c r="GY86" s="974"/>
      <c r="GZ86" s="974"/>
      <c r="HA86" s="974"/>
      <c r="HB86" s="974"/>
      <c r="HC86" s="974"/>
      <c r="HD86" s="974"/>
      <c r="HE86" s="974"/>
      <c r="HF86" s="974"/>
      <c r="HG86" s="974"/>
      <c r="HH86" s="974"/>
      <c r="HI86" s="974"/>
      <c r="HJ86" s="974"/>
      <c r="HK86" s="974"/>
      <c r="HL86" s="974"/>
      <c r="HM86" s="974"/>
      <c r="HN86" s="974"/>
      <c r="HO86" s="974"/>
      <c r="HP86" s="974"/>
      <c r="HQ86" s="974"/>
      <c r="HR86" s="974"/>
      <c r="HS86" s="974"/>
      <c r="HT86" s="974"/>
      <c r="HU86" s="974"/>
      <c r="HV86" s="974"/>
      <c r="HW86" s="974"/>
      <c r="HX86" s="974"/>
      <c r="HY86" s="974"/>
      <c r="HZ86" s="974"/>
      <c r="IA86" s="974"/>
      <c r="IB86" s="974"/>
      <c r="IC86" s="974"/>
      <c r="ID86" s="974"/>
      <c r="IE86" s="974"/>
      <c r="IF86" s="974"/>
      <c r="IG86" s="974"/>
      <c r="IH86" s="974"/>
      <c r="II86" s="974"/>
      <c r="IJ86" s="974"/>
      <c r="IK86" s="974"/>
      <c r="IL86" s="974"/>
      <c r="IM86" s="974"/>
      <c r="IN86" s="974"/>
      <c r="IO86" s="974"/>
      <c r="IP86" s="974"/>
      <c r="IQ86" s="974"/>
      <c r="IR86" s="974"/>
      <c r="IS86" s="974"/>
      <c r="IT86" s="974"/>
      <c r="IU86" s="974"/>
      <c r="IV86" s="974"/>
    </row>
    <row r="87" spans="1:256" s="865" customFormat="1" ht="11.25" customHeight="1">
      <c r="A87" s="961"/>
      <c r="B87" s="898"/>
      <c r="C87" s="898"/>
      <c r="D87" s="826"/>
      <c r="E87" s="854"/>
      <c r="F87" s="854"/>
      <c r="G87" s="854" t="s">
        <v>11841</v>
      </c>
      <c r="H87" s="991">
        <f t="shared" si="6"/>
        <v>1</v>
      </c>
      <c r="I87" s="970">
        <v>2.82</v>
      </c>
      <c r="J87" s="970">
        <v>2.7</v>
      </c>
      <c r="K87" s="970">
        <v>0.15</v>
      </c>
      <c r="L87" s="985" t="s">
        <v>20309</v>
      </c>
      <c r="M87" s="986">
        <f t="shared" si="7"/>
        <v>1.1420999999999999</v>
      </c>
      <c r="N87" s="972"/>
      <c r="O87" s="973"/>
      <c r="P87" s="974"/>
      <c r="Q87" s="975"/>
      <c r="R87" s="974"/>
      <c r="S87" s="974"/>
      <c r="T87" s="974"/>
      <c r="U87" s="974"/>
      <c r="V87" s="974"/>
      <c r="W87" s="974"/>
      <c r="X87" s="974"/>
      <c r="Y87" s="974"/>
      <c r="Z87" s="974"/>
      <c r="AA87" s="974"/>
      <c r="AB87" s="974"/>
      <c r="AC87" s="974"/>
      <c r="AD87" s="974"/>
      <c r="AE87" s="974"/>
      <c r="AF87" s="974"/>
      <c r="AG87" s="974"/>
      <c r="AH87" s="974"/>
      <c r="AI87" s="974"/>
      <c r="AJ87" s="974"/>
      <c r="AK87" s="974"/>
      <c r="AL87" s="974"/>
      <c r="AM87" s="974"/>
      <c r="AN87" s="974"/>
      <c r="AO87" s="974"/>
      <c r="AP87" s="974"/>
      <c r="AQ87" s="974"/>
      <c r="AR87" s="974"/>
      <c r="AS87" s="974"/>
      <c r="AT87" s="974"/>
      <c r="AU87" s="974"/>
      <c r="AV87" s="974"/>
      <c r="AW87" s="974"/>
      <c r="AX87" s="974"/>
      <c r="AY87" s="974"/>
      <c r="AZ87" s="974"/>
      <c r="BA87" s="974"/>
      <c r="BB87" s="974"/>
      <c r="BC87" s="974"/>
      <c r="BD87" s="974"/>
      <c r="BE87" s="974"/>
      <c r="BF87" s="974"/>
      <c r="BG87" s="974"/>
      <c r="BH87" s="974"/>
      <c r="BI87" s="974"/>
      <c r="BJ87" s="974"/>
      <c r="BK87" s="974"/>
      <c r="BL87" s="974"/>
      <c r="BM87" s="974"/>
      <c r="BN87" s="974"/>
      <c r="BO87" s="974"/>
      <c r="BP87" s="974"/>
      <c r="BQ87" s="974"/>
      <c r="BR87" s="974"/>
      <c r="BS87" s="974"/>
      <c r="BT87" s="974"/>
      <c r="BU87" s="974"/>
      <c r="BV87" s="974"/>
      <c r="BW87" s="974"/>
      <c r="BX87" s="974"/>
      <c r="BY87" s="974"/>
      <c r="BZ87" s="974"/>
      <c r="CA87" s="974"/>
      <c r="CB87" s="974"/>
      <c r="CC87" s="974"/>
      <c r="CD87" s="974"/>
      <c r="CE87" s="974"/>
      <c r="CF87" s="974"/>
      <c r="CG87" s="974"/>
      <c r="CH87" s="974"/>
      <c r="CI87" s="974"/>
      <c r="CJ87" s="974"/>
      <c r="CK87" s="974"/>
      <c r="CL87" s="974"/>
      <c r="CM87" s="974"/>
      <c r="CN87" s="974"/>
      <c r="CO87" s="974"/>
      <c r="CP87" s="974"/>
      <c r="CQ87" s="974"/>
      <c r="CR87" s="974"/>
      <c r="CS87" s="974"/>
      <c r="CT87" s="974"/>
      <c r="CU87" s="974"/>
      <c r="CV87" s="974"/>
      <c r="CW87" s="974"/>
      <c r="CX87" s="974"/>
      <c r="CY87" s="974"/>
      <c r="CZ87" s="974"/>
      <c r="DA87" s="974"/>
      <c r="DB87" s="974"/>
      <c r="DC87" s="974"/>
      <c r="DD87" s="974"/>
      <c r="DE87" s="974"/>
      <c r="DF87" s="974"/>
      <c r="DG87" s="974"/>
      <c r="DH87" s="974"/>
      <c r="DI87" s="974"/>
      <c r="DJ87" s="974"/>
      <c r="DK87" s="974"/>
      <c r="DL87" s="974"/>
      <c r="DM87" s="974"/>
      <c r="DN87" s="974"/>
      <c r="DO87" s="974"/>
      <c r="DP87" s="974"/>
      <c r="DQ87" s="974"/>
      <c r="DR87" s="974"/>
      <c r="DS87" s="974"/>
      <c r="DT87" s="974"/>
      <c r="DU87" s="974"/>
      <c r="DV87" s="974"/>
      <c r="DW87" s="974"/>
      <c r="DX87" s="974"/>
      <c r="DY87" s="974"/>
      <c r="DZ87" s="974"/>
      <c r="EA87" s="974"/>
      <c r="EB87" s="974"/>
      <c r="EC87" s="974"/>
      <c r="ED87" s="974"/>
      <c r="EE87" s="974"/>
      <c r="EF87" s="974"/>
      <c r="EG87" s="974"/>
      <c r="EH87" s="974"/>
      <c r="EI87" s="974"/>
      <c r="EJ87" s="974"/>
      <c r="EK87" s="974"/>
      <c r="EL87" s="974"/>
      <c r="EM87" s="974"/>
      <c r="EN87" s="974"/>
      <c r="EO87" s="974"/>
      <c r="EP87" s="974"/>
      <c r="EQ87" s="974"/>
      <c r="ER87" s="974"/>
      <c r="ES87" s="974"/>
      <c r="ET87" s="974"/>
      <c r="EU87" s="974"/>
      <c r="EV87" s="974"/>
      <c r="EW87" s="974"/>
      <c r="EX87" s="974"/>
      <c r="EY87" s="974"/>
      <c r="EZ87" s="974"/>
      <c r="FA87" s="974"/>
      <c r="FB87" s="974"/>
      <c r="FC87" s="974"/>
      <c r="FD87" s="974"/>
      <c r="FE87" s="974"/>
      <c r="FF87" s="974"/>
      <c r="FG87" s="974"/>
      <c r="FH87" s="974"/>
      <c r="FI87" s="974"/>
      <c r="FJ87" s="974"/>
      <c r="FK87" s="974"/>
      <c r="FL87" s="974"/>
      <c r="FM87" s="974"/>
      <c r="FN87" s="974"/>
      <c r="FO87" s="974"/>
      <c r="FP87" s="974"/>
      <c r="FQ87" s="974"/>
      <c r="FR87" s="974"/>
      <c r="FS87" s="974"/>
      <c r="FT87" s="974"/>
      <c r="FU87" s="974"/>
      <c r="FV87" s="974"/>
      <c r="FW87" s="974"/>
      <c r="FX87" s="974"/>
      <c r="FY87" s="974"/>
      <c r="FZ87" s="974"/>
      <c r="GA87" s="974"/>
      <c r="GB87" s="974"/>
      <c r="GC87" s="974"/>
      <c r="GD87" s="974"/>
      <c r="GE87" s="974"/>
      <c r="GF87" s="974"/>
      <c r="GG87" s="974"/>
      <c r="GH87" s="974"/>
      <c r="GI87" s="974"/>
      <c r="GJ87" s="974"/>
      <c r="GK87" s="974"/>
      <c r="GL87" s="974"/>
      <c r="GM87" s="974"/>
      <c r="GN87" s="974"/>
      <c r="GO87" s="974"/>
      <c r="GP87" s="974"/>
      <c r="GQ87" s="974"/>
      <c r="GR87" s="974"/>
      <c r="GS87" s="974"/>
      <c r="GT87" s="974"/>
      <c r="GU87" s="974"/>
      <c r="GV87" s="974"/>
      <c r="GW87" s="974"/>
      <c r="GX87" s="974"/>
      <c r="GY87" s="974"/>
      <c r="GZ87" s="974"/>
      <c r="HA87" s="974"/>
      <c r="HB87" s="974"/>
      <c r="HC87" s="974"/>
      <c r="HD87" s="974"/>
      <c r="HE87" s="974"/>
      <c r="HF87" s="974"/>
      <c r="HG87" s="974"/>
      <c r="HH87" s="974"/>
      <c r="HI87" s="974"/>
      <c r="HJ87" s="974"/>
      <c r="HK87" s="974"/>
      <c r="HL87" s="974"/>
      <c r="HM87" s="974"/>
      <c r="HN87" s="974"/>
      <c r="HO87" s="974"/>
      <c r="HP87" s="974"/>
      <c r="HQ87" s="974"/>
      <c r="HR87" s="974"/>
      <c r="HS87" s="974"/>
      <c r="HT87" s="974"/>
      <c r="HU87" s="974"/>
      <c r="HV87" s="974"/>
      <c r="HW87" s="974"/>
      <c r="HX87" s="974"/>
      <c r="HY87" s="974"/>
      <c r="HZ87" s="974"/>
      <c r="IA87" s="974"/>
      <c r="IB87" s="974"/>
      <c r="IC87" s="974"/>
      <c r="ID87" s="974"/>
      <c r="IE87" s="974"/>
      <c r="IF87" s="974"/>
      <c r="IG87" s="974"/>
      <c r="IH87" s="974"/>
      <c r="II87" s="974"/>
      <c r="IJ87" s="974"/>
      <c r="IK87" s="974"/>
      <c r="IL87" s="974"/>
      <c r="IM87" s="974"/>
      <c r="IN87" s="974"/>
      <c r="IO87" s="974"/>
      <c r="IP87" s="974"/>
      <c r="IQ87" s="974"/>
      <c r="IR87" s="974"/>
      <c r="IS87" s="974"/>
      <c r="IT87" s="974"/>
      <c r="IU87" s="974"/>
      <c r="IV87" s="974"/>
    </row>
    <row r="88" spans="1:256" s="865" customFormat="1" ht="11.25" customHeight="1">
      <c r="A88" s="961"/>
      <c r="B88" s="898"/>
      <c r="C88" s="898"/>
      <c r="D88" s="826"/>
      <c r="E88" s="854"/>
      <c r="F88" s="854"/>
      <c r="G88" s="854" t="s">
        <v>11842</v>
      </c>
      <c r="H88" s="991">
        <f t="shared" si="6"/>
        <v>1</v>
      </c>
      <c r="I88" s="970">
        <v>3.05</v>
      </c>
      <c r="J88" s="970">
        <v>2.2000000000000002</v>
      </c>
      <c r="K88" s="970">
        <v>0.15</v>
      </c>
      <c r="L88" s="985" t="s">
        <v>20309</v>
      </c>
      <c r="M88" s="986">
        <f t="shared" si="7"/>
        <v>1.0065</v>
      </c>
      <c r="N88" s="972"/>
      <c r="O88" s="973"/>
      <c r="P88" s="974"/>
      <c r="Q88" s="975"/>
      <c r="R88" s="974"/>
      <c r="S88" s="974"/>
      <c r="T88" s="974"/>
      <c r="U88" s="974"/>
      <c r="V88" s="974"/>
      <c r="W88" s="974"/>
      <c r="X88" s="974"/>
      <c r="Y88" s="974"/>
      <c r="Z88" s="974"/>
      <c r="AA88" s="974"/>
      <c r="AB88" s="974"/>
      <c r="AC88" s="974"/>
      <c r="AD88" s="974"/>
      <c r="AE88" s="974"/>
      <c r="AF88" s="974"/>
      <c r="AG88" s="974"/>
      <c r="AH88" s="974"/>
      <c r="AI88" s="974"/>
      <c r="AJ88" s="974"/>
      <c r="AK88" s="974"/>
      <c r="AL88" s="974"/>
      <c r="AM88" s="974"/>
      <c r="AN88" s="974"/>
      <c r="AO88" s="974"/>
      <c r="AP88" s="974"/>
      <c r="AQ88" s="974"/>
      <c r="AR88" s="974"/>
      <c r="AS88" s="974"/>
      <c r="AT88" s="974"/>
      <c r="AU88" s="974"/>
      <c r="AV88" s="974"/>
      <c r="AW88" s="974"/>
      <c r="AX88" s="974"/>
      <c r="AY88" s="974"/>
      <c r="AZ88" s="974"/>
      <c r="BA88" s="974"/>
      <c r="BB88" s="974"/>
      <c r="BC88" s="974"/>
      <c r="BD88" s="974"/>
      <c r="BE88" s="974"/>
      <c r="BF88" s="974"/>
      <c r="BG88" s="974"/>
      <c r="BH88" s="974"/>
      <c r="BI88" s="974"/>
      <c r="BJ88" s="974"/>
      <c r="BK88" s="974"/>
      <c r="BL88" s="974"/>
      <c r="BM88" s="974"/>
      <c r="BN88" s="974"/>
      <c r="BO88" s="974"/>
      <c r="BP88" s="974"/>
      <c r="BQ88" s="974"/>
      <c r="BR88" s="974"/>
      <c r="BS88" s="974"/>
      <c r="BT88" s="974"/>
      <c r="BU88" s="974"/>
      <c r="BV88" s="974"/>
      <c r="BW88" s="974"/>
      <c r="BX88" s="974"/>
      <c r="BY88" s="974"/>
      <c r="BZ88" s="974"/>
      <c r="CA88" s="974"/>
      <c r="CB88" s="974"/>
      <c r="CC88" s="974"/>
      <c r="CD88" s="974"/>
      <c r="CE88" s="974"/>
      <c r="CF88" s="974"/>
      <c r="CG88" s="974"/>
      <c r="CH88" s="974"/>
      <c r="CI88" s="974"/>
      <c r="CJ88" s="974"/>
      <c r="CK88" s="974"/>
      <c r="CL88" s="974"/>
      <c r="CM88" s="974"/>
      <c r="CN88" s="974"/>
      <c r="CO88" s="974"/>
      <c r="CP88" s="974"/>
      <c r="CQ88" s="974"/>
      <c r="CR88" s="974"/>
      <c r="CS88" s="974"/>
      <c r="CT88" s="974"/>
      <c r="CU88" s="974"/>
      <c r="CV88" s="974"/>
      <c r="CW88" s="974"/>
      <c r="CX88" s="974"/>
      <c r="CY88" s="974"/>
      <c r="CZ88" s="974"/>
      <c r="DA88" s="974"/>
      <c r="DB88" s="974"/>
      <c r="DC88" s="974"/>
      <c r="DD88" s="974"/>
      <c r="DE88" s="974"/>
      <c r="DF88" s="974"/>
      <c r="DG88" s="974"/>
      <c r="DH88" s="974"/>
      <c r="DI88" s="974"/>
      <c r="DJ88" s="974"/>
      <c r="DK88" s="974"/>
      <c r="DL88" s="974"/>
      <c r="DM88" s="974"/>
      <c r="DN88" s="974"/>
      <c r="DO88" s="974"/>
      <c r="DP88" s="974"/>
      <c r="DQ88" s="974"/>
      <c r="DR88" s="974"/>
      <c r="DS88" s="974"/>
      <c r="DT88" s="974"/>
      <c r="DU88" s="974"/>
      <c r="DV88" s="974"/>
      <c r="DW88" s="974"/>
      <c r="DX88" s="974"/>
      <c r="DY88" s="974"/>
      <c r="DZ88" s="974"/>
      <c r="EA88" s="974"/>
      <c r="EB88" s="974"/>
      <c r="EC88" s="974"/>
      <c r="ED88" s="974"/>
      <c r="EE88" s="974"/>
      <c r="EF88" s="974"/>
      <c r="EG88" s="974"/>
      <c r="EH88" s="974"/>
      <c r="EI88" s="974"/>
      <c r="EJ88" s="974"/>
      <c r="EK88" s="974"/>
      <c r="EL88" s="974"/>
      <c r="EM88" s="974"/>
      <c r="EN88" s="974"/>
      <c r="EO88" s="974"/>
      <c r="EP88" s="974"/>
      <c r="EQ88" s="974"/>
      <c r="ER88" s="974"/>
      <c r="ES88" s="974"/>
      <c r="ET88" s="974"/>
      <c r="EU88" s="974"/>
      <c r="EV88" s="974"/>
      <c r="EW88" s="974"/>
      <c r="EX88" s="974"/>
      <c r="EY88" s="974"/>
      <c r="EZ88" s="974"/>
      <c r="FA88" s="974"/>
      <c r="FB88" s="974"/>
      <c r="FC88" s="974"/>
      <c r="FD88" s="974"/>
      <c r="FE88" s="974"/>
      <c r="FF88" s="974"/>
      <c r="FG88" s="974"/>
      <c r="FH88" s="974"/>
      <c r="FI88" s="974"/>
      <c r="FJ88" s="974"/>
      <c r="FK88" s="974"/>
      <c r="FL88" s="974"/>
      <c r="FM88" s="974"/>
      <c r="FN88" s="974"/>
      <c r="FO88" s="974"/>
      <c r="FP88" s="974"/>
      <c r="FQ88" s="974"/>
      <c r="FR88" s="974"/>
      <c r="FS88" s="974"/>
      <c r="FT88" s="974"/>
      <c r="FU88" s="974"/>
      <c r="FV88" s="974"/>
      <c r="FW88" s="974"/>
      <c r="FX88" s="974"/>
      <c r="FY88" s="974"/>
      <c r="FZ88" s="974"/>
      <c r="GA88" s="974"/>
      <c r="GB88" s="974"/>
      <c r="GC88" s="974"/>
      <c r="GD88" s="974"/>
      <c r="GE88" s="974"/>
      <c r="GF88" s="974"/>
      <c r="GG88" s="974"/>
      <c r="GH88" s="974"/>
      <c r="GI88" s="974"/>
      <c r="GJ88" s="974"/>
      <c r="GK88" s="974"/>
      <c r="GL88" s="974"/>
      <c r="GM88" s="974"/>
      <c r="GN88" s="974"/>
      <c r="GO88" s="974"/>
      <c r="GP88" s="974"/>
      <c r="GQ88" s="974"/>
      <c r="GR88" s="974"/>
      <c r="GS88" s="974"/>
      <c r="GT88" s="974"/>
      <c r="GU88" s="974"/>
      <c r="GV88" s="974"/>
      <c r="GW88" s="974"/>
      <c r="GX88" s="974"/>
      <c r="GY88" s="974"/>
      <c r="GZ88" s="974"/>
      <c r="HA88" s="974"/>
      <c r="HB88" s="974"/>
      <c r="HC88" s="974"/>
      <c r="HD88" s="974"/>
      <c r="HE88" s="974"/>
      <c r="HF88" s="974"/>
      <c r="HG88" s="974"/>
      <c r="HH88" s="974"/>
      <c r="HI88" s="974"/>
      <c r="HJ88" s="974"/>
      <c r="HK88" s="974"/>
      <c r="HL88" s="974"/>
      <c r="HM88" s="974"/>
      <c r="HN88" s="974"/>
      <c r="HO88" s="974"/>
      <c r="HP88" s="974"/>
      <c r="HQ88" s="974"/>
      <c r="HR88" s="974"/>
      <c r="HS88" s="974"/>
      <c r="HT88" s="974"/>
      <c r="HU88" s="974"/>
      <c r="HV88" s="974"/>
      <c r="HW88" s="974"/>
      <c r="HX88" s="974"/>
      <c r="HY88" s="974"/>
      <c r="HZ88" s="974"/>
      <c r="IA88" s="974"/>
      <c r="IB88" s="974"/>
      <c r="IC88" s="974"/>
      <c r="ID88" s="974"/>
      <c r="IE88" s="974"/>
      <c r="IF88" s="974"/>
      <c r="IG88" s="974"/>
      <c r="IH88" s="974"/>
      <c r="II88" s="974"/>
      <c r="IJ88" s="974"/>
      <c r="IK88" s="974"/>
      <c r="IL88" s="974"/>
      <c r="IM88" s="974"/>
      <c r="IN88" s="974"/>
      <c r="IO88" s="974"/>
      <c r="IP88" s="974"/>
      <c r="IQ88" s="974"/>
      <c r="IR88" s="974"/>
      <c r="IS88" s="974"/>
      <c r="IT88" s="974"/>
      <c r="IU88" s="974"/>
      <c r="IV88" s="974"/>
    </row>
    <row r="89" spans="1:256" s="865" customFormat="1" ht="11.25" customHeight="1">
      <c r="A89" s="961"/>
      <c r="B89" s="898"/>
      <c r="C89" s="898"/>
      <c r="D89" s="826"/>
      <c r="E89" s="854"/>
      <c r="F89" s="854"/>
      <c r="G89" s="854" t="s">
        <v>11843</v>
      </c>
      <c r="H89" s="991">
        <f t="shared" si="6"/>
        <v>1</v>
      </c>
      <c r="I89" s="970">
        <v>2.7</v>
      </c>
      <c r="J89" s="970">
        <v>2.5499999999999998</v>
      </c>
      <c r="K89" s="970">
        <v>0.15</v>
      </c>
      <c r="L89" s="985" t="s">
        <v>20309</v>
      </c>
      <c r="M89" s="986">
        <f t="shared" si="7"/>
        <v>1.0327499999999998</v>
      </c>
      <c r="N89" s="972"/>
      <c r="O89" s="973"/>
      <c r="P89" s="974"/>
      <c r="Q89" s="975"/>
      <c r="R89" s="974"/>
      <c r="S89" s="974"/>
      <c r="T89" s="974"/>
      <c r="U89" s="974"/>
      <c r="V89" s="974"/>
      <c r="W89" s="974"/>
      <c r="X89" s="974"/>
      <c r="Y89" s="974"/>
      <c r="Z89" s="974"/>
      <c r="AA89" s="974"/>
      <c r="AB89" s="974"/>
      <c r="AC89" s="974"/>
      <c r="AD89" s="974"/>
      <c r="AE89" s="974"/>
      <c r="AF89" s="974"/>
      <c r="AG89" s="974"/>
      <c r="AH89" s="974"/>
      <c r="AI89" s="974"/>
      <c r="AJ89" s="974"/>
      <c r="AK89" s="974"/>
      <c r="AL89" s="974"/>
      <c r="AM89" s="974"/>
      <c r="AN89" s="974"/>
      <c r="AO89" s="974"/>
      <c r="AP89" s="974"/>
      <c r="AQ89" s="974"/>
      <c r="AR89" s="974"/>
      <c r="AS89" s="974"/>
      <c r="AT89" s="974"/>
      <c r="AU89" s="974"/>
      <c r="AV89" s="974"/>
      <c r="AW89" s="974"/>
      <c r="AX89" s="974"/>
      <c r="AY89" s="974"/>
      <c r="AZ89" s="974"/>
      <c r="BA89" s="974"/>
      <c r="BB89" s="974"/>
      <c r="BC89" s="974"/>
      <c r="BD89" s="974"/>
      <c r="BE89" s="974"/>
      <c r="BF89" s="974"/>
      <c r="BG89" s="974"/>
      <c r="BH89" s="974"/>
      <c r="BI89" s="974"/>
      <c r="BJ89" s="974"/>
      <c r="BK89" s="974"/>
      <c r="BL89" s="974"/>
      <c r="BM89" s="974"/>
      <c r="BN89" s="974"/>
      <c r="BO89" s="974"/>
      <c r="BP89" s="974"/>
      <c r="BQ89" s="974"/>
      <c r="BR89" s="974"/>
      <c r="BS89" s="974"/>
      <c r="BT89" s="974"/>
      <c r="BU89" s="974"/>
      <c r="BV89" s="974"/>
      <c r="BW89" s="974"/>
      <c r="BX89" s="974"/>
      <c r="BY89" s="974"/>
      <c r="BZ89" s="974"/>
      <c r="CA89" s="974"/>
      <c r="CB89" s="974"/>
      <c r="CC89" s="974"/>
      <c r="CD89" s="974"/>
      <c r="CE89" s="974"/>
      <c r="CF89" s="974"/>
      <c r="CG89" s="974"/>
      <c r="CH89" s="974"/>
      <c r="CI89" s="974"/>
      <c r="CJ89" s="974"/>
      <c r="CK89" s="974"/>
      <c r="CL89" s="974"/>
      <c r="CM89" s="974"/>
      <c r="CN89" s="974"/>
      <c r="CO89" s="974"/>
      <c r="CP89" s="974"/>
      <c r="CQ89" s="974"/>
      <c r="CR89" s="974"/>
      <c r="CS89" s="974"/>
      <c r="CT89" s="974"/>
      <c r="CU89" s="974"/>
      <c r="CV89" s="974"/>
      <c r="CW89" s="974"/>
      <c r="CX89" s="974"/>
      <c r="CY89" s="974"/>
      <c r="CZ89" s="974"/>
      <c r="DA89" s="974"/>
      <c r="DB89" s="974"/>
      <c r="DC89" s="974"/>
      <c r="DD89" s="974"/>
      <c r="DE89" s="974"/>
      <c r="DF89" s="974"/>
      <c r="DG89" s="974"/>
      <c r="DH89" s="974"/>
      <c r="DI89" s="974"/>
      <c r="DJ89" s="974"/>
      <c r="DK89" s="974"/>
      <c r="DL89" s="974"/>
      <c r="DM89" s="974"/>
      <c r="DN89" s="974"/>
      <c r="DO89" s="974"/>
      <c r="DP89" s="974"/>
      <c r="DQ89" s="974"/>
      <c r="DR89" s="974"/>
      <c r="DS89" s="974"/>
      <c r="DT89" s="974"/>
      <c r="DU89" s="974"/>
      <c r="DV89" s="974"/>
      <c r="DW89" s="974"/>
      <c r="DX89" s="974"/>
      <c r="DY89" s="974"/>
      <c r="DZ89" s="974"/>
      <c r="EA89" s="974"/>
      <c r="EB89" s="974"/>
      <c r="EC89" s="974"/>
      <c r="ED89" s="974"/>
      <c r="EE89" s="974"/>
      <c r="EF89" s="974"/>
      <c r="EG89" s="974"/>
      <c r="EH89" s="974"/>
      <c r="EI89" s="974"/>
      <c r="EJ89" s="974"/>
      <c r="EK89" s="974"/>
      <c r="EL89" s="974"/>
      <c r="EM89" s="974"/>
      <c r="EN89" s="974"/>
      <c r="EO89" s="974"/>
      <c r="EP89" s="974"/>
      <c r="EQ89" s="974"/>
      <c r="ER89" s="974"/>
      <c r="ES89" s="974"/>
      <c r="ET89" s="974"/>
      <c r="EU89" s="974"/>
      <c r="EV89" s="974"/>
      <c r="EW89" s="974"/>
      <c r="EX89" s="974"/>
      <c r="EY89" s="974"/>
      <c r="EZ89" s="974"/>
      <c r="FA89" s="974"/>
      <c r="FB89" s="974"/>
      <c r="FC89" s="974"/>
      <c r="FD89" s="974"/>
      <c r="FE89" s="974"/>
      <c r="FF89" s="974"/>
      <c r="FG89" s="974"/>
      <c r="FH89" s="974"/>
      <c r="FI89" s="974"/>
      <c r="FJ89" s="974"/>
      <c r="FK89" s="974"/>
      <c r="FL89" s="974"/>
      <c r="FM89" s="974"/>
      <c r="FN89" s="974"/>
      <c r="FO89" s="974"/>
      <c r="FP89" s="974"/>
      <c r="FQ89" s="974"/>
      <c r="FR89" s="974"/>
      <c r="FS89" s="974"/>
      <c r="FT89" s="974"/>
      <c r="FU89" s="974"/>
      <c r="FV89" s="974"/>
      <c r="FW89" s="974"/>
      <c r="FX89" s="974"/>
      <c r="FY89" s="974"/>
      <c r="FZ89" s="974"/>
      <c r="GA89" s="974"/>
      <c r="GB89" s="974"/>
      <c r="GC89" s="974"/>
      <c r="GD89" s="974"/>
      <c r="GE89" s="974"/>
      <c r="GF89" s="974"/>
      <c r="GG89" s="974"/>
      <c r="GH89" s="974"/>
      <c r="GI89" s="974"/>
      <c r="GJ89" s="974"/>
      <c r="GK89" s="974"/>
      <c r="GL89" s="974"/>
      <c r="GM89" s="974"/>
      <c r="GN89" s="974"/>
      <c r="GO89" s="974"/>
      <c r="GP89" s="974"/>
      <c r="GQ89" s="974"/>
      <c r="GR89" s="974"/>
      <c r="GS89" s="974"/>
      <c r="GT89" s="974"/>
      <c r="GU89" s="974"/>
      <c r="GV89" s="974"/>
      <c r="GW89" s="974"/>
      <c r="GX89" s="974"/>
      <c r="GY89" s="974"/>
      <c r="GZ89" s="974"/>
      <c r="HA89" s="974"/>
      <c r="HB89" s="974"/>
      <c r="HC89" s="974"/>
      <c r="HD89" s="974"/>
      <c r="HE89" s="974"/>
      <c r="HF89" s="974"/>
      <c r="HG89" s="974"/>
      <c r="HH89" s="974"/>
      <c r="HI89" s="974"/>
      <c r="HJ89" s="974"/>
      <c r="HK89" s="974"/>
      <c r="HL89" s="974"/>
      <c r="HM89" s="974"/>
      <c r="HN89" s="974"/>
      <c r="HO89" s="974"/>
      <c r="HP89" s="974"/>
      <c r="HQ89" s="974"/>
      <c r="HR89" s="974"/>
      <c r="HS89" s="974"/>
      <c r="HT89" s="974"/>
      <c r="HU89" s="974"/>
      <c r="HV89" s="974"/>
      <c r="HW89" s="974"/>
      <c r="HX89" s="974"/>
      <c r="HY89" s="974"/>
      <c r="HZ89" s="974"/>
      <c r="IA89" s="974"/>
      <c r="IB89" s="974"/>
      <c r="IC89" s="974"/>
      <c r="ID89" s="974"/>
      <c r="IE89" s="974"/>
      <c r="IF89" s="974"/>
      <c r="IG89" s="974"/>
      <c r="IH89" s="974"/>
      <c r="II89" s="974"/>
      <c r="IJ89" s="974"/>
      <c r="IK89" s="974"/>
      <c r="IL89" s="974"/>
      <c r="IM89" s="974"/>
      <c r="IN89" s="974"/>
      <c r="IO89" s="974"/>
      <c r="IP89" s="974"/>
      <c r="IQ89" s="974"/>
      <c r="IR89" s="974"/>
      <c r="IS89" s="974"/>
      <c r="IT89" s="974"/>
      <c r="IU89" s="974"/>
      <c r="IV89" s="974"/>
    </row>
    <row r="90" spans="1:256" s="865" customFormat="1" ht="11.25" customHeight="1">
      <c r="A90" s="961"/>
      <c r="B90" s="898"/>
      <c r="C90" s="898"/>
      <c r="D90" s="826"/>
      <c r="E90" s="790"/>
      <c r="F90" s="790"/>
      <c r="G90" s="970"/>
      <c r="H90" s="991"/>
      <c r="I90" s="970"/>
      <c r="J90" s="970"/>
      <c r="K90" s="971"/>
      <c r="L90" s="985" t="s">
        <v>20309</v>
      </c>
      <c r="M90" s="902"/>
      <c r="N90" s="972"/>
      <c r="O90" s="973"/>
      <c r="P90" s="974"/>
      <c r="Q90" s="975"/>
      <c r="R90" s="974"/>
      <c r="S90" s="974"/>
      <c r="T90" s="974"/>
      <c r="U90" s="974"/>
      <c r="V90" s="974"/>
      <c r="W90" s="974"/>
      <c r="X90" s="974"/>
      <c r="Y90" s="974"/>
      <c r="Z90" s="974"/>
      <c r="AA90" s="974"/>
      <c r="AB90" s="974"/>
      <c r="AC90" s="974"/>
      <c r="AD90" s="974"/>
      <c r="AE90" s="974"/>
      <c r="AF90" s="974"/>
      <c r="AG90" s="974"/>
      <c r="AH90" s="974"/>
      <c r="AI90" s="974"/>
      <c r="AJ90" s="974"/>
      <c r="AK90" s="974"/>
      <c r="AL90" s="974"/>
      <c r="AM90" s="974"/>
      <c r="AN90" s="974"/>
      <c r="AO90" s="974"/>
      <c r="AP90" s="974"/>
      <c r="AQ90" s="974"/>
      <c r="AR90" s="974"/>
      <c r="AS90" s="974"/>
      <c r="AT90" s="974"/>
      <c r="AU90" s="974"/>
      <c r="AV90" s="974"/>
      <c r="AW90" s="974"/>
      <c r="AX90" s="974"/>
      <c r="AY90" s="974"/>
      <c r="AZ90" s="974"/>
      <c r="BA90" s="974"/>
      <c r="BB90" s="974"/>
      <c r="BC90" s="974"/>
      <c r="BD90" s="974"/>
      <c r="BE90" s="974"/>
      <c r="BF90" s="974"/>
      <c r="BG90" s="974"/>
      <c r="BH90" s="974"/>
      <c r="BI90" s="974"/>
      <c r="BJ90" s="974"/>
      <c r="BK90" s="974"/>
      <c r="BL90" s="974"/>
      <c r="BM90" s="974"/>
      <c r="BN90" s="974"/>
      <c r="BO90" s="974"/>
      <c r="BP90" s="974"/>
      <c r="BQ90" s="974"/>
      <c r="BR90" s="974"/>
      <c r="BS90" s="974"/>
      <c r="BT90" s="974"/>
      <c r="BU90" s="974"/>
      <c r="BV90" s="974"/>
      <c r="BW90" s="974"/>
      <c r="BX90" s="974"/>
      <c r="BY90" s="974"/>
      <c r="BZ90" s="974"/>
      <c r="CA90" s="974"/>
      <c r="CB90" s="974"/>
      <c r="CC90" s="974"/>
      <c r="CD90" s="974"/>
      <c r="CE90" s="974"/>
      <c r="CF90" s="974"/>
      <c r="CG90" s="974"/>
      <c r="CH90" s="974"/>
      <c r="CI90" s="974"/>
      <c r="CJ90" s="974"/>
      <c r="CK90" s="974"/>
      <c r="CL90" s="974"/>
      <c r="CM90" s="974"/>
      <c r="CN90" s="974"/>
      <c r="CO90" s="974"/>
      <c r="CP90" s="974"/>
      <c r="CQ90" s="974"/>
      <c r="CR90" s="974"/>
      <c r="CS90" s="974"/>
      <c r="CT90" s="974"/>
      <c r="CU90" s="974"/>
      <c r="CV90" s="974"/>
      <c r="CW90" s="974"/>
      <c r="CX90" s="974"/>
      <c r="CY90" s="974"/>
      <c r="CZ90" s="974"/>
      <c r="DA90" s="974"/>
      <c r="DB90" s="974"/>
      <c r="DC90" s="974"/>
      <c r="DD90" s="974"/>
      <c r="DE90" s="974"/>
      <c r="DF90" s="974"/>
      <c r="DG90" s="974"/>
      <c r="DH90" s="974"/>
      <c r="DI90" s="974"/>
      <c r="DJ90" s="974"/>
      <c r="DK90" s="974"/>
      <c r="DL90" s="974"/>
      <c r="DM90" s="974"/>
      <c r="DN90" s="974"/>
      <c r="DO90" s="974"/>
      <c r="DP90" s="974"/>
      <c r="DQ90" s="974"/>
      <c r="DR90" s="974"/>
      <c r="DS90" s="974"/>
      <c r="DT90" s="974"/>
      <c r="DU90" s="974"/>
      <c r="DV90" s="974"/>
      <c r="DW90" s="974"/>
      <c r="DX90" s="974"/>
      <c r="DY90" s="974"/>
      <c r="DZ90" s="974"/>
      <c r="EA90" s="974"/>
      <c r="EB90" s="974"/>
      <c r="EC90" s="974"/>
      <c r="ED90" s="974"/>
      <c r="EE90" s="974"/>
      <c r="EF90" s="974"/>
      <c r="EG90" s="974"/>
      <c r="EH90" s="974"/>
      <c r="EI90" s="974"/>
      <c r="EJ90" s="974"/>
      <c r="EK90" s="974"/>
      <c r="EL90" s="974"/>
      <c r="EM90" s="974"/>
      <c r="EN90" s="974"/>
      <c r="EO90" s="974"/>
      <c r="EP90" s="974"/>
      <c r="EQ90" s="974"/>
      <c r="ER90" s="974"/>
      <c r="ES90" s="974"/>
      <c r="ET90" s="974"/>
      <c r="EU90" s="974"/>
      <c r="EV90" s="974"/>
      <c r="EW90" s="974"/>
      <c r="EX90" s="974"/>
      <c r="EY90" s="974"/>
      <c r="EZ90" s="974"/>
      <c r="FA90" s="974"/>
      <c r="FB90" s="974"/>
      <c r="FC90" s="974"/>
      <c r="FD90" s="974"/>
      <c r="FE90" s="974"/>
      <c r="FF90" s="974"/>
      <c r="FG90" s="974"/>
      <c r="FH90" s="974"/>
      <c r="FI90" s="974"/>
      <c r="FJ90" s="974"/>
      <c r="FK90" s="974"/>
      <c r="FL90" s="974"/>
      <c r="FM90" s="974"/>
      <c r="FN90" s="974"/>
      <c r="FO90" s="974"/>
      <c r="FP90" s="974"/>
      <c r="FQ90" s="974"/>
      <c r="FR90" s="974"/>
      <c r="FS90" s="974"/>
      <c r="FT90" s="974"/>
      <c r="FU90" s="974"/>
      <c r="FV90" s="974"/>
      <c r="FW90" s="974"/>
      <c r="FX90" s="974"/>
      <c r="FY90" s="974"/>
      <c r="FZ90" s="974"/>
      <c r="GA90" s="974"/>
      <c r="GB90" s="974"/>
      <c r="GC90" s="974"/>
      <c r="GD90" s="974"/>
      <c r="GE90" s="974"/>
      <c r="GF90" s="974"/>
      <c r="GG90" s="974"/>
      <c r="GH90" s="974"/>
      <c r="GI90" s="974"/>
      <c r="GJ90" s="974"/>
      <c r="GK90" s="974"/>
      <c r="GL90" s="974"/>
      <c r="GM90" s="974"/>
      <c r="GN90" s="974"/>
      <c r="GO90" s="974"/>
      <c r="GP90" s="974"/>
      <c r="GQ90" s="974"/>
      <c r="GR90" s="974"/>
      <c r="GS90" s="974"/>
      <c r="GT90" s="974"/>
      <c r="GU90" s="974"/>
      <c r="GV90" s="974"/>
      <c r="GW90" s="974"/>
      <c r="GX90" s="974"/>
      <c r="GY90" s="974"/>
      <c r="GZ90" s="974"/>
      <c r="HA90" s="974"/>
      <c r="HB90" s="974"/>
      <c r="HC90" s="974"/>
      <c r="HD90" s="974"/>
      <c r="HE90" s="974"/>
      <c r="HF90" s="974"/>
      <c r="HG90" s="974"/>
      <c r="HH90" s="974"/>
      <c r="HI90" s="974"/>
      <c r="HJ90" s="974"/>
      <c r="HK90" s="974"/>
      <c r="HL90" s="974"/>
      <c r="HM90" s="974"/>
      <c r="HN90" s="974"/>
      <c r="HO90" s="974"/>
      <c r="HP90" s="974"/>
      <c r="HQ90" s="974"/>
      <c r="HR90" s="974"/>
      <c r="HS90" s="974"/>
      <c r="HT90" s="974"/>
      <c r="HU90" s="974"/>
      <c r="HV90" s="974"/>
      <c r="HW90" s="974"/>
      <c r="HX90" s="974"/>
      <c r="HY90" s="974"/>
      <c r="HZ90" s="974"/>
      <c r="IA90" s="974"/>
      <c r="IB90" s="974"/>
      <c r="IC90" s="974"/>
      <c r="ID90" s="974"/>
      <c r="IE90" s="974"/>
      <c r="IF90" s="974"/>
      <c r="IG90" s="974"/>
      <c r="IH90" s="974"/>
      <c r="II90" s="974"/>
      <c r="IJ90" s="974"/>
      <c r="IK90" s="974"/>
      <c r="IL90" s="974"/>
      <c r="IM90" s="974"/>
      <c r="IN90" s="974"/>
      <c r="IO90" s="974"/>
      <c r="IP90" s="974"/>
      <c r="IQ90" s="974"/>
      <c r="IR90" s="974"/>
      <c r="IS90" s="974"/>
      <c r="IT90" s="974"/>
      <c r="IU90" s="974"/>
      <c r="IV90" s="974"/>
    </row>
    <row r="91" spans="1:256" s="865" customFormat="1" ht="22.5">
      <c r="A91" s="961" t="s">
        <v>11847</v>
      </c>
      <c r="B91" s="855" t="s">
        <v>70</v>
      </c>
      <c r="C91" s="909">
        <v>94116</v>
      </c>
      <c r="D91" s="836" t="str">
        <f>PROPER(IF(B91="Saneago",VLOOKUP(C91,'SANEAGO-FEV.2016'!A:B,2,0),IF(B91="SINAPI",VLOOKUP(C91,'SINAPI-FEV.2017'!A:D,2,0),IF(B91="Cotação",VLOOKUP(C91,COTAÇÃO!A:D,2,0),IF(B91="Composição",VLOOKUP(C91,COMPOSIÇÃO!A:D,2,0))))))</f>
        <v>Lastro Com Preparo De Fundo, Largura Maior Ou Igual A 1,5 M, Com Camada De Brita, Lançamento Mecanizado, Em Local Com Nível Baixo De Interferência. Af_06/2016</v>
      </c>
      <c r="E91" s="837"/>
      <c r="F91" s="837"/>
      <c r="G91" s="987"/>
      <c r="H91" s="992"/>
      <c r="I91" s="987"/>
      <c r="J91" s="987"/>
      <c r="K91" s="988" t="s">
        <v>27</v>
      </c>
      <c r="L91" s="988" t="s">
        <v>20309</v>
      </c>
      <c r="M91" s="840">
        <f>SUM(M80:M89)</f>
        <v>8.6640149999999991</v>
      </c>
      <c r="N91" s="972"/>
      <c r="O91" s="973"/>
      <c r="P91" s="974"/>
      <c r="Q91" s="975"/>
      <c r="R91" s="974"/>
      <c r="S91" s="974"/>
      <c r="T91" s="974"/>
      <c r="U91" s="974"/>
      <c r="V91" s="974"/>
      <c r="W91" s="974"/>
      <c r="X91" s="974"/>
      <c r="Y91" s="974"/>
      <c r="Z91" s="974"/>
      <c r="AA91" s="974"/>
      <c r="AB91" s="974"/>
      <c r="AC91" s="974"/>
      <c r="AD91" s="974"/>
      <c r="AE91" s="974"/>
      <c r="AF91" s="974"/>
      <c r="AG91" s="974"/>
      <c r="AH91" s="974"/>
      <c r="AI91" s="974"/>
      <c r="AJ91" s="974"/>
      <c r="AK91" s="974"/>
      <c r="AL91" s="974"/>
      <c r="AM91" s="974"/>
      <c r="AN91" s="974"/>
      <c r="AO91" s="974"/>
      <c r="AP91" s="974"/>
      <c r="AQ91" s="974"/>
      <c r="AR91" s="974"/>
      <c r="AS91" s="974"/>
      <c r="AT91" s="974"/>
      <c r="AU91" s="974"/>
      <c r="AV91" s="974"/>
      <c r="AW91" s="974"/>
      <c r="AX91" s="974"/>
      <c r="AY91" s="974"/>
      <c r="AZ91" s="974"/>
      <c r="BA91" s="974"/>
      <c r="BB91" s="974"/>
      <c r="BC91" s="974"/>
      <c r="BD91" s="974"/>
      <c r="BE91" s="974"/>
      <c r="BF91" s="974"/>
      <c r="BG91" s="974"/>
      <c r="BH91" s="974"/>
      <c r="BI91" s="974"/>
      <c r="BJ91" s="974"/>
      <c r="BK91" s="974"/>
      <c r="BL91" s="974"/>
      <c r="BM91" s="974"/>
      <c r="BN91" s="974"/>
      <c r="BO91" s="974"/>
      <c r="BP91" s="974"/>
      <c r="BQ91" s="974"/>
      <c r="BR91" s="974"/>
      <c r="BS91" s="974"/>
      <c r="BT91" s="974"/>
      <c r="BU91" s="974"/>
      <c r="BV91" s="974"/>
      <c r="BW91" s="974"/>
      <c r="BX91" s="974"/>
      <c r="BY91" s="974"/>
      <c r="BZ91" s="974"/>
      <c r="CA91" s="974"/>
      <c r="CB91" s="974"/>
      <c r="CC91" s="974"/>
      <c r="CD91" s="974"/>
      <c r="CE91" s="974"/>
      <c r="CF91" s="974"/>
      <c r="CG91" s="974"/>
      <c r="CH91" s="974"/>
      <c r="CI91" s="974"/>
      <c r="CJ91" s="974"/>
      <c r="CK91" s="974"/>
      <c r="CL91" s="974"/>
      <c r="CM91" s="974"/>
      <c r="CN91" s="974"/>
      <c r="CO91" s="974"/>
      <c r="CP91" s="974"/>
      <c r="CQ91" s="974"/>
      <c r="CR91" s="974"/>
      <c r="CS91" s="974"/>
      <c r="CT91" s="974"/>
      <c r="CU91" s="974"/>
      <c r="CV91" s="974"/>
      <c r="CW91" s="974"/>
      <c r="CX91" s="974"/>
      <c r="CY91" s="974"/>
      <c r="CZ91" s="974"/>
      <c r="DA91" s="974"/>
      <c r="DB91" s="974"/>
      <c r="DC91" s="974"/>
      <c r="DD91" s="974"/>
      <c r="DE91" s="974"/>
      <c r="DF91" s="974"/>
      <c r="DG91" s="974"/>
      <c r="DH91" s="974"/>
      <c r="DI91" s="974"/>
      <c r="DJ91" s="974"/>
      <c r="DK91" s="974"/>
      <c r="DL91" s="974"/>
      <c r="DM91" s="974"/>
      <c r="DN91" s="974"/>
      <c r="DO91" s="974"/>
      <c r="DP91" s="974"/>
      <c r="DQ91" s="974"/>
      <c r="DR91" s="974"/>
      <c r="DS91" s="974"/>
      <c r="DT91" s="974"/>
      <c r="DU91" s="974"/>
      <c r="DV91" s="974"/>
      <c r="DW91" s="974"/>
      <c r="DX91" s="974"/>
      <c r="DY91" s="974"/>
      <c r="DZ91" s="974"/>
      <c r="EA91" s="974"/>
      <c r="EB91" s="974"/>
      <c r="EC91" s="974"/>
      <c r="ED91" s="974"/>
      <c r="EE91" s="974"/>
      <c r="EF91" s="974"/>
      <c r="EG91" s="974"/>
      <c r="EH91" s="974"/>
      <c r="EI91" s="974"/>
      <c r="EJ91" s="974"/>
      <c r="EK91" s="974"/>
      <c r="EL91" s="974"/>
      <c r="EM91" s="974"/>
      <c r="EN91" s="974"/>
      <c r="EO91" s="974"/>
      <c r="EP91" s="974"/>
      <c r="EQ91" s="974"/>
      <c r="ER91" s="974"/>
      <c r="ES91" s="974"/>
      <c r="ET91" s="974"/>
      <c r="EU91" s="974"/>
      <c r="EV91" s="974"/>
      <c r="EW91" s="974"/>
      <c r="EX91" s="974"/>
      <c r="EY91" s="974"/>
      <c r="EZ91" s="974"/>
      <c r="FA91" s="974"/>
      <c r="FB91" s="974"/>
      <c r="FC91" s="974"/>
      <c r="FD91" s="974"/>
      <c r="FE91" s="974"/>
      <c r="FF91" s="974"/>
      <c r="FG91" s="974"/>
      <c r="FH91" s="974"/>
      <c r="FI91" s="974"/>
      <c r="FJ91" s="974"/>
      <c r="FK91" s="974"/>
      <c r="FL91" s="974"/>
      <c r="FM91" s="974"/>
      <c r="FN91" s="974"/>
      <c r="FO91" s="974"/>
      <c r="FP91" s="974"/>
      <c r="FQ91" s="974"/>
      <c r="FR91" s="974"/>
      <c r="FS91" s="974"/>
      <c r="FT91" s="974"/>
      <c r="FU91" s="974"/>
      <c r="FV91" s="974"/>
      <c r="FW91" s="974"/>
      <c r="FX91" s="974"/>
      <c r="FY91" s="974"/>
      <c r="FZ91" s="974"/>
      <c r="GA91" s="974"/>
      <c r="GB91" s="974"/>
      <c r="GC91" s="974"/>
      <c r="GD91" s="974"/>
      <c r="GE91" s="974"/>
      <c r="GF91" s="974"/>
      <c r="GG91" s="974"/>
      <c r="GH91" s="974"/>
      <c r="GI91" s="974"/>
      <c r="GJ91" s="974"/>
      <c r="GK91" s="974"/>
      <c r="GL91" s="974"/>
      <c r="GM91" s="974"/>
      <c r="GN91" s="974"/>
      <c r="GO91" s="974"/>
      <c r="GP91" s="974"/>
      <c r="GQ91" s="974"/>
      <c r="GR91" s="974"/>
      <c r="GS91" s="974"/>
      <c r="GT91" s="974"/>
      <c r="GU91" s="974"/>
      <c r="GV91" s="974"/>
      <c r="GW91" s="974"/>
      <c r="GX91" s="974"/>
      <c r="GY91" s="974"/>
      <c r="GZ91" s="974"/>
      <c r="HA91" s="974"/>
      <c r="HB91" s="974"/>
      <c r="HC91" s="974"/>
      <c r="HD91" s="974"/>
      <c r="HE91" s="974"/>
      <c r="HF91" s="974"/>
      <c r="HG91" s="974"/>
      <c r="HH91" s="974"/>
      <c r="HI91" s="974"/>
      <c r="HJ91" s="974"/>
      <c r="HK91" s="974"/>
      <c r="HL91" s="974"/>
      <c r="HM91" s="974"/>
      <c r="HN91" s="974"/>
      <c r="HO91" s="974"/>
      <c r="HP91" s="974"/>
      <c r="HQ91" s="974"/>
      <c r="HR91" s="974"/>
      <c r="HS91" s="974"/>
      <c r="HT91" s="974"/>
      <c r="HU91" s="974"/>
      <c r="HV91" s="974"/>
      <c r="HW91" s="974"/>
      <c r="HX91" s="974"/>
      <c r="HY91" s="974"/>
      <c r="HZ91" s="974"/>
      <c r="IA91" s="974"/>
      <c r="IB91" s="974"/>
      <c r="IC91" s="974"/>
      <c r="ID91" s="974"/>
      <c r="IE91" s="974"/>
      <c r="IF91" s="974"/>
      <c r="IG91" s="974"/>
      <c r="IH91" s="974"/>
      <c r="II91" s="974"/>
      <c r="IJ91" s="974"/>
      <c r="IK91" s="974"/>
      <c r="IL91" s="974"/>
      <c r="IM91" s="974"/>
      <c r="IN91" s="974"/>
      <c r="IO91" s="974"/>
      <c r="IP91" s="974"/>
      <c r="IQ91" s="974"/>
      <c r="IR91" s="974"/>
      <c r="IS91" s="974"/>
      <c r="IT91" s="974"/>
      <c r="IU91" s="974"/>
      <c r="IV91" s="974"/>
    </row>
    <row r="92" spans="1:256" s="865" customFormat="1" ht="11.25" customHeight="1">
      <c r="A92" s="961"/>
      <c r="B92" s="898"/>
      <c r="C92" s="898"/>
      <c r="D92" s="826"/>
      <c r="E92" s="990"/>
      <c r="F92" s="990"/>
      <c r="G92" s="970" t="s">
        <v>30</v>
      </c>
      <c r="H92" s="991" t="s">
        <v>1275</v>
      </c>
      <c r="I92" s="970" t="s">
        <v>17</v>
      </c>
      <c r="J92" s="970" t="s">
        <v>19</v>
      </c>
      <c r="K92" s="970" t="s">
        <v>32</v>
      </c>
      <c r="L92" s="983"/>
      <c r="M92" s="984"/>
      <c r="N92" s="972"/>
      <c r="O92" s="973"/>
      <c r="P92" s="974"/>
      <c r="Q92" s="975"/>
      <c r="R92" s="974"/>
      <c r="S92" s="974"/>
      <c r="T92" s="974"/>
      <c r="U92" s="974"/>
      <c r="V92" s="974"/>
      <c r="W92" s="974"/>
      <c r="X92" s="974"/>
      <c r="Y92" s="974"/>
      <c r="Z92" s="974"/>
      <c r="AA92" s="974"/>
      <c r="AB92" s="974"/>
      <c r="AC92" s="974"/>
      <c r="AD92" s="974"/>
      <c r="AE92" s="974"/>
      <c r="AF92" s="974"/>
      <c r="AG92" s="974"/>
      <c r="AH92" s="974"/>
      <c r="AI92" s="974"/>
      <c r="AJ92" s="974"/>
      <c r="AK92" s="974"/>
      <c r="AL92" s="974"/>
      <c r="AM92" s="974"/>
      <c r="AN92" s="974"/>
      <c r="AO92" s="974"/>
      <c r="AP92" s="974"/>
      <c r="AQ92" s="974"/>
      <c r="AR92" s="974"/>
      <c r="AS92" s="974"/>
      <c r="AT92" s="974"/>
      <c r="AU92" s="974"/>
      <c r="AV92" s="974"/>
      <c r="AW92" s="974"/>
      <c r="AX92" s="974"/>
      <c r="AY92" s="974"/>
      <c r="AZ92" s="974"/>
      <c r="BA92" s="974"/>
      <c r="BB92" s="974"/>
      <c r="BC92" s="974"/>
      <c r="BD92" s="974"/>
      <c r="BE92" s="974"/>
      <c r="BF92" s="974"/>
      <c r="BG92" s="974"/>
      <c r="BH92" s="974"/>
      <c r="BI92" s="974"/>
      <c r="BJ92" s="974"/>
      <c r="BK92" s="974"/>
      <c r="BL92" s="974"/>
      <c r="BM92" s="974"/>
      <c r="BN92" s="974"/>
      <c r="BO92" s="974"/>
      <c r="BP92" s="974"/>
      <c r="BQ92" s="974"/>
      <c r="BR92" s="974"/>
      <c r="BS92" s="974"/>
      <c r="BT92" s="974"/>
      <c r="BU92" s="974"/>
      <c r="BV92" s="974"/>
      <c r="BW92" s="974"/>
      <c r="BX92" s="974"/>
      <c r="BY92" s="974"/>
      <c r="BZ92" s="974"/>
      <c r="CA92" s="974"/>
      <c r="CB92" s="974"/>
      <c r="CC92" s="974"/>
      <c r="CD92" s="974"/>
      <c r="CE92" s="974"/>
      <c r="CF92" s="974"/>
      <c r="CG92" s="974"/>
      <c r="CH92" s="974"/>
      <c r="CI92" s="974"/>
      <c r="CJ92" s="974"/>
      <c r="CK92" s="974"/>
      <c r="CL92" s="974"/>
      <c r="CM92" s="974"/>
      <c r="CN92" s="974"/>
      <c r="CO92" s="974"/>
      <c r="CP92" s="974"/>
      <c r="CQ92" s="974"/>
      <c r="CR92" s="974"/>
      <c r="CS92" s="974"/>
      <c r="CT92" s="974"/>
      <c r="CU92" s="974"/>
      <c r="CV92" s="974"/>
      <c r="CW92" s="974"/>
      <c r="CX92" s="974"/>
      <c r="CY92" s="974"/>
      <c r="CZ92" s="974"/>
      <c r="DA92" s="974"/>
      <c r="DB92" s="974"/>
      <c r="DC92" s="974"/>
      <c r="DD92" s="974"/>
      <c r="DE92" s="974"/>
      <c r="DF92" s="974"/>
      <c r="DG92" s="974"/>
      <c r="DH92" s="974"/>
      <c r="DI92" s="974"/>
      <c r="DJ92" s="974"/>
      <c r="DK92" s="974"/>
      <c r="DL92" s="974"/>
      <c r="DM92" s="974"/>
      <c r="DN92" s="974"/>
      <c r="DO92" s="974"/>
      <c r="DP92" s="974"/>
      <c r="DQ92" s="974"/>
      <c r="DR92" s="974"/>
      <c r="DS92" s="974"/>
      <c r="DT92" s="974"/>
      <c r="DU92" s="974"/>
      <c r="DV92" s="974"/>
      <c r="DW92" s="974"/>
      <c r="DX92" s="974"/>
      <c r="DY92" s="974"/>
      <c r="DZ92" s="974"/>
      <c r="EA92" s="974"/>
      <c r="EB92" s="974"/>
      <c r="EC92" s="974"/>
      <c r="ED92" s="974"/>
      <c r="EE92" s="974"/>
      <c r="EF92" s="974"/>
      <c r="EG92" s="974"/>
      <c r="EH92" s="974"/>
      <c r="EI92" s="974"/>
      <c r="EJ92" s="974"/>
      <c r="EK92" s="974"/>
      <c r="EL92" s="974"/>
      <c r="EM92" s="974"/>
      <c r="EN92" s="974"/>
      <c r="EO92" s="974"/>
      <c r="EP92" s="974"/>
      <c r="EQ92" s="974"/>
      <c r="ER92" s="974"/>
      <c r="ES92" s="974"/>
      <c r="ET92" s="974"/>
      <c r="EU92" s="974"/>
      <c r="EV92" s="974"/>
      <c r="EW92" s="974"/>
      <c r="EX92" s="974"/>
      <c r="EY92" s="974"/>
      <c r="EZ92" s="974"/>
      <c r="FA92" s="974"/>
      <c r="FB92" s="974"/>
      <c r="FC92" s="974"/>
      <c r="FD92" s="974"/>
      <c r="FE92" s="974"/>
      <c r="FF92" s="974"/>
      <c r="FG92" s="974"/>
      <c r="FH92" s="974"/>
      <c r="FI92" s="974"/>
      <c r="FJ92" s="974"/>
      <c r="FK92" s="974"/>
      <c r="FL92" s="974"/>
      <c r="FM92" s="974"/>
      <c r="FN92" s="974"/>
      <c r="FO92" s="974"/>
      <c r="FP92" s="974"/>
      <c r="FQ92" s="974"/>
      <c r="FR92" s="974"/>
      <c r="FS92" s="974"/>
      <c r="FT92" s="974"/>
      <c r="FU92" s="974"/>
      <c r="FV92" s="974"/>
      <c r="FW92" s="974"/>
      <c r="FX92" s="974"/>
      <c r="FY92" s="974"/>
      <c r="FZ92" s="974"/>
      <c r="GA92" s="974"/>
      <c r="GB92" s="974"/>
      <c r="GC92" s="974"/>
      <c r="GD92" s="974"/>
      <c r="GE92" s="974"/>
      <c r="GF92" s="974"/>
      <c r="GG92" s="974"/>
      <c r="GH92" s="974"/>
      <c r="GI92" s="974"/>
      <c r="GJ92" s="974"/>
      <c r="GK92" s="974"/>
      <c r="GL92" s="974"/>
      <c r="GM92" s="974"/>
      <c r="GN92" s="974"/>
      <c r="GO92" s="974"/>
      <c r="GP92" s="974"/>
      <c r="GQ92" s="974"/>
      <c r="GR92" s="974"/>
      <c r="GS92" s="974"/>
      <c r="GT92" s="974"/>
      <c r="GU92" s="974"/>
      <c r="GV92" s="974"/>
      <c r="GW92" s="974"/>
      <c r="GX92" s="974"/>
      <c r="GY92" s="974"/>
      <c r="GZ92" s="974"/>
      <c r="HA92" s="974"/>
      <c r="HB92" s="974"/>
      <c r="HC92" s="974"/>
      <c r="HD92" s="974"/>
      <c r="HE92" s="974"/>
      <c r="HF92" s="974"/>
      <c r="HG92" s="974"/>
      <c r="HH92" s="974"/>
      <c r="HI92" s="974"/>
      <c r="HJ92" s="974"/>
      <c r="HK92" s="974"/>
      <c r="HL92" s="974"/>
      <c r="HM92" s="974"/>
      <c r="HN92" s="974"/>
      <c r="HO92" s="974"/>
      <c r="HP92" s="974"/>
      <c r="HQ92" s="974"/>
      <c r="HR92" s="974"/>
      <c r="HS92" s="974"/>
      <c r="HT92" s="974"/>
      <c r="HU92" s="974"/>
      <c r="HV92" s="974"/>
      <c r="HW92" s="974"/>
      <c r="HX92" s="974"/>
      <c r="HY92" s="974"/>
      <c r="HZ92" s="974"/>
      <c r="IA92" s="974"/>
      <c r="IB92" s="974"/>
      <c r="IC92" s="974"/>
      <c r="ID92" s="974"/>
      <c r="IE92" s="974"/>
      <c r="IF92" s="974"/>
      <c r="IG92" s="974"/>
      <c r="IH92" s="974"/>
      <c r="II92" s="974"/>
      <c r="IJ92" s="974"/>
      <c r="IK92" s="974"/>
      <c r="IL92" s="974"/>
      <c r="IM92" s="974"/>
      <c r="IN92" s="974"/>
      <c r="IO92" s="974"/>
      <c r="IP92" s="974"/>
      <c r="IQ92" s="974"/>
      <c r="IR92" s="974"/>
      <c r="IS92" s="974"/>
      <c r="IT92" s="974"/>
      <c r="IU92" s="974"/>
      <c r="IV92" s="974"/>
    </row>
    <row r="93" spans="1:256" s="865" customFormat="1" ht="11.25" customHeight="1">
      <c r="A93" s="961"/>
      <c r="B93" s="898"/>
      <c r="C93" s="898"/>
      <c r="D93" s="826"/>
      <c r="E93" s="1674" t="s">
        <v>11837</v>
      </c>
      <c r="F93" s="1674"/>
      <c r="G93" s="1674"/>
      <c r="H93" s="991">
        <f t="shared" ref="H93:H102" si="8">H80</f>
        <v>6</v>
      </c>
      <c r="I93" s="970">
        <v>1.48</v>
      </c>
      <c r="J93" s="970">
        <v>1.48</v>
      </c>
      <c r="K93" s="970">
        <v>0.05</v>
      </c>
      <c r="L93" s="985" t="s">
        <v>19797</v>
      </c>
      <c r="M93" s="986">
        <f>H93*I93*J93*K93</f>
        <v>0.65711999999999993</v>
      </c>
      <c r="N93" s="972"/>
      <c r="O93" s="973"/>
      <c r="P93" s="974"/>
      <c r="Q93" s="975"/>
      <c r="R93" s="974"/>
      <c r="S93" s="974"/>
      <c r="T93" s="974"/>
      <c r="U93" s="974"/>
      <c r="V93" s="974"/>
      <c r="W93" s="974"/>
      <c r="X93" s="974"/>
      <c r="Y93" s="974"/>
      <c r="Z93" s="974"/>
      <c r="AA93" s="974"/>
      <c r="AB93" s="974"/>
      <c r="AC93" s="974"/>
      <c r="AD93" s="974"/>
      <c r="AE93" s="974"/>
      <c r="AF93" s="974"/>
      <c r="AG93" s="974"/>
      <c r="AH93" s="974"/>
      <c r="AI93" s="974"/>
      <c r="AJ93" s="974"/>
      <c r="AK93" s="974"/>
      <c r="AL93" s="974"/>
      <c r="AM93" s="974"/>
      <c r="AN93" s="974"/>
      <c r="AO93" s="974"/>
      <c r="AP93" s="974"/>
      <c r="AQ93" s="974"/>
      <c r="AR93" s="974"/>
      <c r="AS93" s="974"/>
      <c r="AT93" s="974"/>
      <c r="AU93" s="974"/>
      <c r="AV93" s="974"/>
      <c r="AW93" s="974"/>
      <c r="AX93" s="974"/>
      <c r="AY93" s="974"/>
      <c r="AZ93" s="974"/>
      <c r="BA93" s="974"/>
      <c r="BB93" s="974"/>
      <c r="BC93" s="974"/>
      <c r="BD93" s="974"/>
      <c r="BE93" s="974"/>
      <c r="BF93" s="974"/>
      <c r="BG93" s="974"/>
      <c r="BH93" s="974"/>
      <c r="BI93" s="974"/>
      <c r="BJ93" s="974"/>
      <c r="BK93" s="974"/>
      <c r="BL93" s="974"/>
      <c r="BM93" s="974"/>
      <c r="BN93" s="974"/>
      <c r="BO93" s="974"/>
      <c r="BP93" s="974"/>
      <c r="BQ93" s="974"/>
      <c r="BR93" s="974"/>
      <c r="BS93" s="974"/>
      <c r="BT93" s="974"/>
      <c r="BU93" s="974"/>
      <c r="BV93" s="974"/>
      <c r="BW93" s="974"/>
      <c r="BX93" s="974"/>
      <c r="BY93" s="974"/>
      <c r="BZ93" s="974"/>
      <c r="CA93" s="974"/>
      <c r="CB93" s="974"/>
      <c r="CC93" s="974"/>
      <c r="CD93" s="974"/>
      <c r="CE93" s="974"/>
      <c r="CF93" s="974"/>
      <c r="CG93" s="974"/>
      <c r="CH93" s="974"/>
      <c r="CI93" s="974"/>
      <c r="CJ93" s="974"/>
      <c r="CK93" s="974"/>
      <c r="CL93" s="974"/>
      <c r="CM93" s="974"/>
      <c r="CN93" s="974"/>
      <c r="CO93" s="974"/>
      <c r="CP93" s="974"/>
      <c r="CQ93" s="974"/>
      <c r="CR93" s="974"/>
      <c r="CS93" s="974"/>
      <c r="CT93" s="974"/>
      <c r="CU93" s="974"/>
      <c r="CV93" s="974"/>
      <c r="CW93" s="974"/>
      <c r="CX93" s="974"/>
      <c r="CY93" s="974"/>
      <c r="CZ93" s="974"/>
      <c r="DA93" s="974"/>
      <c r="DB93" s="974"/>
      <c r="DC93" s="974"/>
      <c r="DD93" s="974"/>
      <c r="DE93" s="974"/>
      <c r="DF93" s="974"/>
      <c r="DG93" s="974"/>
      <c r="DH93" s="974"/>
      <c r="DI93" s="974"/>
      <c r="DJ93" s="974"/>
      <c r="DK93" s="974"/>
      <c r="DL93" s="974"/>
      <c r="DM93" s="974"/>
      <c r="DN93" s="974"/>
      <c r="DO93" s="974"/>
      <c r="DP93" s="974"/>
      <c r="DQ93" s="974"/>
      <c r="DR93" s="974"/>
      <c r="DS93" s="974"/>
      <c r="DT93" s="974"/>
      <c r="DU93" s="974"/>
      <c r="DV93" s="974"/>
      <c r="DW93" s="974"/>
      <c r="DX93" s="974"/>
      <c r="DY93" s="974"/>
      <c r="DZ93" s="974"/>
      <c r="EA93" s="974"/>
      <c r="EB93" s="974"/>
      <c r="EC93" s="974"/>
      <c r="ED93" s="974"/>
      <c r="EE93" s="974"/>
      <c r="EF93" s="974"/>
      <c r="EG93" s="974"/>
      <c r="EH93" s="974"/>
      <c r="EI93" s="974"/>
      <c r="EJ93" s="974"/>
      <c r="EK93" s="974"/>
      <c r="EL93" s="974"/>
      <c r="EM93" s="974"/>
      <c r="EN93" s="974"/>
      <c r="EO93" s="974"/>
      <c r="EP93" s="974"/>
      <c r="EQ93" s="974"/>
      <c r="ER93" s="974"/>
      <c r="ES93" s="974"/>
      <c r="ET93" s="974"/>
      <c r="EU93" s="974"/>
      <c r="EV93" s="974"/>
      <c r="EW93" s="974"/>
      <c r="EX93" s="974"/>
      <c r="EY93" s="974"/>
      <c r="EZ93" s="974"/>
      <c r="FA93" s="974"/>
      <c r="FB93" s="974"/>
      <c r="FC93" s="974"/>
      <c r="FD93" s="974"/>
      <c r="FE93" s="974"/>
      <c r="FF93" s="974"/>
      <c r="FG93" s="974"/>
      <c r="FH93" s="974"/>
      <c r="FI93" s="974"/>
      <c r="FJ93" s="974"/>
      <c r="FK93" s="974"/>
      <c r="FL93" s="974"/>
      <c r="FM93" s="974"/>
      <c r="FN93" s="974"/>
      <c r="FO93" s="974"/>
      <c r="FP93" s="974"/>
      <c r="FQ93" s="974"/>
      <c r="FR93" s="974"/>
      <c r="FS93" s="974"/>
      <c r="FT93" s="974"/>
      <c r="FU93" s="974"/>
      <c r="FV93" s="974"/>
      <c r="FW93" s="974"/>
      <c r="FX93" s="974"/>
      <c r="FY93" s="974"/>
      <c r="FZ93" s="974"/>
      <c r="GA93" s="974"/>
      <c r="GB93" s="974"/>
      <c r="GC93" s="974"/>
      <c r="GD93" s="974"/>
      <c r="GE93" s="974"/>
      <c r="GF93" s="974"/>
      <c r="GG93" s="974"/>
      <c r="GH93" s="974"/>
      <c r="GI93" s="974"/>
      <c r="GJ93" s="974"/>
      <c r="GK93" s="974"/>
      <c r="GL93" s="974"/>
      <c r="GM93" s="974"/>
      <c r="GN93" s="974"/>
      <c r="GO93" s="974"/>
      <c r="GP93" s="974"/>
      <c r="GQ93" s="974"/>
      <c r="GR93" s="974"/>
      <c r="GS93" s="974"/>
      <c r="GT93" s="974"/>
      <c r="GU93" s="974"/>
      <c r="GV93" s="974"/>
      <c r="GW93" s="974"/>
      <c r="GX93" s="974"/>
      <c r="GY93" s="974"/>
      <c r="GZ93" s="974"/>
      <c r="HA93" s="974"/>
      <c r="HB93" s="974"/>
      <c r="HC93" s="974"/>
      <c r="HD93" s="974"/>
      <c r="HE93" s="974"/>
      <c r="HF93" s="974"/>
      <c r="HG93" s="974"/>
      <c r="HH93" s="974"/>
      <c r="HI93" s="974"/>
      <c r="HJ93" s="974"/>
      <c r="HK93" s="974"/>
      <c r="HL93" s="974"/>
      <c r="HM93" s="974"/>
      <c r="HN93" s="974"/>
      <c r="HO93" s="974"/>
      <c r="HP93" s="974"/>
      <c r="HQ93" s="974"/>
      <c r="HR93" s="974"/>
      <c r="HS93" s="974"/>
      <c r="HT93" s="974"/>
      <c r="HU93" s="974"/>
      <c r="HV93" s="974"/>
      <c r="HW93" s="974"/>
      <c r="HX93" s="974"/>
      <c r="HY93" s="974"/>
      <c r="HZ93" s="974"/>
      <c r="IA93" s="974"/>
      <c r="IB93" s="974"/>
      <c r="IC93" s="974"/>
      <c r="ID93" s="974"/>
      <c r="IE93" s="974"/>
      <c r="IF93" s="974"/>
      <c r="IG93" s="974"/>
      <c r="IH93" s="974"/>
      <c r="II93" s="974"/>
      <c r="IJ93" s="974"/>
      <c r="IK93" s="974"/>
      <c r="IL93" s="974"/>
      <c r="IM93" s="974"/>
      <c r="IN93" s="974"/>
      <c r="IO93" s="974"/>
      <c r="IP93" s="974"/>
      <c r="IQ93" s="974"/>
      <c r="IR93" s="974"/>
      <c r="IS93" s="974"/>
      <c r="IT93" s="974"/>
      <c r="IU93" s="974"/>
      <c r="IV93" s="974"/>
    </row>
    <row r="94" spans="1:256" s="865" customFormat="1" ht="11.25" customHeight="1">
      <c r="A94" s="961"/>
      <c r="B94" s="898"/>
      <c r="C94" s="898"/>
      <c r="D94" s="826"/>
      <c r="E94" s="1674" t="s">
        <v>11920</v>
      </c>
      <c r="F94" s="1674"/>
      <c r="G94" s="1674"/>
      <c r="H94" s="991">
        <f t="shared" si="8"/>
        <v>3</v>
      </c>
      <c r="I94" s="970">
        <v>1.48</v>
      </c>
      <c r="J94" s="970">
        <v>1.48</v>
      </c>
      <c r="K94" s="970">
        <v>0.05</v>
      </c>
      <c r="L94" s="985" t="s">
        <v>19797</v>
      </c>
      <c r="M94" s="986">
        <f t="shared" ref="M94:M102" si="9">H94*I94*J94*K94</f>
        <v>0.32855999999999996</v>
      </c>
      <c r="N94" s="972"/>
      <c r="O94" s="973"/>
      <c r="P94" s="974"/>
      <c r="Q94" s="975"/>
      <c r="R94" s="974"/>
      <c r="S94" s="974"/>
      <c r="T94" s="974"/>
      <c r="U94" s="974"/>
      <c r="V94" s="974"/>
      <c r="W94" s="974"/>
      <c r="X94" s="974"/>
      <c r="Y94" s="974"/>
      <c r="Z94" s="974"/>
      <c r="AA94" s="974"/>
      <c r="AB94" s="974"/>
      <c r="AC94" s="974"/>
      <c r="AD94" s="974"/>
      <c r="AE94" s="974"/>
      <c r="AF94" s="974"/>
      <c r="AG94" s="974"/>
      <c r="AH94" s="974"/>
      <c r="AI94" s="974"/>
      <c r="AJ94" s="974"/>
      <c r="AK94" s="974"/>
      <c r="AL94" s="974"/>
      <c r="AM94" s="974"/>
      <c r="AN94" s="974"/>
      <c r="AO94" s="974"/>
      <c r="AP94" s="974"/>
      <c r="AQ94" s="974"/>
      <c r="AR94" s="974"/>
      <c r="AS94" s="974"/>
      <c r="AT94" s="974"/>
      <c r="AU94" s="974"/>
      <c r="AV94" s="974"/>
      <c r="AW94" s="974"/>
      <c r="AX94" s="974"/>
      <c r="AY94" s="974"/>
      <c r="AZ94" s="974"/>
      <c r="BA94" s="974"/>
      <c r="BB94" s="974"/>
      <c r="BC94" s="974"/>
      <c r="BD94" s="974"/>
      <c r="BE94" s="974"/>
      <c r="BF94" s="974"/>
      <c r="BG94" s="974"/>
      <c r="BH94" s="974"/>
      <c r="BI94" s="974"/>
      <c r="BJ94" s="974"/>
      <c r="BK94" s="974"/>
      <c r="BL94" s="974"/>
      <c r="BM94" s="974"/>
      <c r="BN94" s="974"/>
      <c r="BO94" s="974"/>
      <c r="BP94" s="974"/>
      <c r="BQ94" s="974"/>
      <c r="BR94" s="974"/>
      <c r="BS94" s="974"/>
      <c r="BT94" s="974"/>
      <c r="BU94" s="974"/>
      <c r="BV94" s="974"/>
      <c r="BW94" s="974"/>
      <c r="BX94" s="974"/>
      <c r="BY94" s="974"/>
      <c r="BZ94" s="974"/>
      <c r="CA94" s="974"/>
      <c r="CB94" s="974"/>
      <c r="CC94" s="974"/>
      <c r="CD94" s="974"/>
      <c r="CE94" s="974"/>
      <c r="CF94" s="974"/>
      <c r="CG94" s="974"/>
      <c r="CH94" s="974"/>
      <c r="CI94" s="974"/>
      <c r="CJ94" s="974"/>
      <c r="CK94" s="974"/>
      <c r="CL94" s="974"/>
      <c r="CM94" s="974"/>
      <c r="CN94" s="974"/>
      <c r="CO94" s="974"/>
      <c r="CP94" s="974"/>
      <c r="CQ94" s="974"/>
      <c r="CR94" s="974"/>
      <c r="CS94" s="974"/>
      <c r="CT94" s="974"/>
      <c r="CU94" s="974"/>
      <c r="CV94" s="974"/>
      <c r="CW94" s="974"/>
      <c r="CX94" s="974"/>
      <c r="CY94" s="974"/>
      <c r="CZ94" s="974"/>
      <c r="DA94" s="974"/>
      <c r="DB94" s="974"/>
      <c r="DC94" s="974"/>
      <c r="DD94" s="974"/>
      <c r="DE94" s="974"/>
      <c r="DF94" s="974"/>
      <c r="DG94" s="974"/>
      <c r="DH94" s="974"/>
      <c r="DI94" s="974"/>
      <c r="DJ94" s="974"/>
      <c r="DK94" s="974"/>
      <c r="DL94" s="974"/>
      <c r="DM94" s="974"/>
      <c r="DN94" s="974"/>
      <c r="DO94" s="974"/>
      <c r="DP94" s="974"/>
      <c r="DQ94" s="974"/>
      <c r="DR94" s="974"/>
      <c r="DS94" s="974"/>
      <c r="DT94" s="974"/>
      <c r="DU94" s="974"/>
      <c r="DV94" s="974"/>
      <c r="DW94" s="974"/>
      <c r="DX94" s="974"/>
      <c r="DY94" s="974"/>
      <c r="DZ94" s="974"/>
      <c r="EA94" s="974"/>
      <c r="EB94" s="974"/>
      <c r="EC94" s="974"/>
      <c r="ED94" s="974"/>
      <c r="EE94" s="974"/>
      <c r="EF94" s="974"/>
      <c r="EG94" s="974"/>
      <c r="EH94" s="974"/>
      <c r="EI94" s="974"/>
      <c r="EJ94" s="974"/>
      <c r="EK94" s="974"/>
      <c r="EL94" s="974"/>
      <c r="EM94" s="974"/>
      <c r="EN94" s="974"/>
      <c r="EO94" s="974"/>
      <c r="EP94" s="974"/>
      <c r="EQ94" s="974"/>
      <c r="ER94" s="974"/>
      <c r="ES94" s="974"/>
      <c r="ET94" s="974"/>
      <c r="EU94" s="974"/>
      <c r="EV94" s="974"/>
      <c r="EW94" s="974"/>
      <c r="EX94" s="974"/>
      <c r="EY94" s="974"/>
      <c r="EZ94" s="974"/>
      <c r="FA94" s="974"/>
      <c r="FB94" s="974"/>
      <c r="FC94" s="974"/>
      <c r="FD94" s="974"/>
      <c r="FE94" s="974"/>
      <c r="FF94" s="974"/>
      <c r="FG94" s="974"/>
      <c r="FH94" s="974"/>
      <c r="FI94" s="974"/>
      <c r="FJ94" s="974"/>
      <c r="FK94" s="974"/>
      <c r="FL94" s="974"/>
      <c r="FM94" s="974"/>
      <c r="FN94" s="974"/>
      <c r="FO94" s="974"/>
      <c r="FP94" s="974"/>
      <c r="FQ94" s="974"/>
      <c r="FR94" s="974"/>
      <c r="FS94" s="974"/>
      <c r="FT94" s="974"/>
      <c r="FU94" s="974"/>
      <c r="FV94" s="974"/>
      <c r="FW94" s="974"/>
      <c r="FX94" s="974"/>
      <c r="FY94" s="974"/>
      <c r="FZ94" s="974"/>
      <c r="GA94" s="974"/>
      <c r="GB94" s="974"/>
      <c r="GC94" s="974"/>
      <c r="GD94" s="974"/>
      <c r="GE94" s="974"/>
      <c r="GF94" s="974"/>
      <c r="GG94" s="974"/>
      <c r="GH94" s="974"/>
      <c r="GI94" s="974"/>
      <c r="GJ94" s="974"/>
      <c r="GK94" s="974"/>
      <c r="GL94" s="974"/>
      <c r="GM94" s="974"/>
      <c r="GN94" s="974"/>
      <c r="GO94" s="974"/>
      <c r="GP94" s="974"/>
      <c r="GQ94" s="974"/>
      <c r="GR94" s="974"/>
      <c r="GS94" s="974"/>
      <c r="GT94" s="974"/>
      <c r="GU94" s="974"/>
      <c r="GV94" s="974"/>
      <c r="GW94" s="974"/>
      <c r="GX94" s="974"/>
      <c r="GY94" s="974"/>
      <c r="GZ94" s="974"/>
      <c r="HA94" s="974"/>
      <c r="HB94" s="974"/>
      <c r="HC94" s="974"/>
      <c r="HD94" s="974"/>
      <c r="HE94" s="974"/>
      <c r="HF94" s="974"/>
      <c r="HG94" s="974"/>
      <c r="HH94" s="974"/>
      <c r="HI94" s="974"/>
      <c r="HJ94" s="974"/>
      <c r="HK94" s="974"/>
      <c r="HL94" s="974"/>
      <c r="HM94" s="974"/>
      <c r="HN94" s="974"/>
      <c r="HO94" s="974"/>
      <c r="HP94" s="974"/>
      <c r="HQ94" s="974"/>
      <c r="HR94" s="974"/>
      <c r="HS94" s="974"/>
      <c r="HT94" s="974"/>
      <c r="HU94" s="974"/>
      <c r="HV94" s="974"/>
      <c r="HW94" s="974"/>
      <c r="HX94" s="974"/>
      <c r="HY94" s="974"/>
      <c r="HZ94" s="974"/>
      <c r="IA94" s="974"/>
      <c r="IB94" s="974"/>
      <c r="IC94" s="974"/>
      <c r="ID94" s="974"/>
      <c r="IE94" s="974"/>
      <c r="IF94" s="974"/>
      <c r="IG94" s="974"/>
      <c r="IH94" s="974"/>
      <c r="II94" s="974"/>
      <c r="IJ94" s="974"/>
      <c r="IK94" s="974"/>
      <c r="IL94" s="974"/>
      <c r="IM94" s="974"/>
      <c r="IN94" s="974"/>
      <c r="IO94" s="974"/>
      <c r="IP94" s="974"/>
      <c r="IQ94" s="974"/>
      <c r="IR94" s="974"/>
      <c r="IS94" s="974"/>
      <c r="IT94" s="974"/>
      <c r="IU94" s="974"/>
      <c r="IV94" s="974"/>
    </row>
    <row r="95" spans="1:256" s="865" customFormat="1" ht="11.25" customHeight="1">
      <c r="A95" s="961"/>
      <c r="B95" s="898"/>
      <c r="C95" s="898"/>
      <c r="D95" s="826"/>
      <c r="E95" s="1674" t="s">
        <v>11838</v>
      </c>
      <c r="F95" s="1674"/>
      <c r="G95" s="1674"/>
      <c r="H95" s="991">
        <f t="shared" si="8"/>
        <v>1</v>
      </c>
      <c r="I95" s="970">
        <v>2.8</v>
      </c>
      <c r="J95" s="970">
        <v>1.9</v>
      </c>
      <c r="K95" s="970">
        <v>0.05</v>
      </c>
      <c r="L95" s="985" t="s">
        <v>19797</v>
      </c>
      <c r="M95" s="986">
        <f t="shared" si="9"/>
        <v>0.26599999999999996</v>
      </c>
      <c r="N95" s="972"/>
      <c r="O95" s="973"/>
      <c r="P95" s="974"/>
      <c r="Q95" s="975"/>
      <c r="R95" s="974"/>
      <c r="S95" s="974"/>
      <c r="T95" s="974"/>
      <c r="U95" s="974"/>
      <c r="V95" s="974"/>
      <c r="W95" s="974"/>
      <c r="X95" s="974"/>
      <c r="Y95" s="974"/>
      <c r="Z95" s="974"/>
      <c r="AA95" s="974"/>
      <c r="AB95" s="974"/>
      <c r="AC95" s="974"/>
      <c r="AD95" s="974"/>
      <c r="AE95" s="974"/>
      <c r="AF95" s="974"/>
      <c r="AG95" s="974"/>
      <c r="AH95" s="974"/>
      <c r="AI95" s="974"/>
      <c r="AJ95" s="974"/>
      <c r="AK95" s="974"/>
      <c r="AL95" s="974"/>
      <c r="AM95" s="974"/>
      <c r="AN95" s="974"/>
      <c r="AO95" s="974"/>
      <c r="AP95" s="974"/>
      <c r="AQ95" s="974"/>
      <c r="AR95" s="974"/>
      <c r="AS95" s="974"/>
      <c r="AT95" s="974"/>
      <c r="AU95" s="974"/>
      <c r="AV95" s="974"/>
      <c r="AW95" s="974"/>
      <c r="AX95" s="974"/>
      <c r="AY95" s="974"/>
      <c r="AZ95" s="974"/>
      <c r="BA95" s="974"/>
      <c r="BB95" s="974"/>
      <c r="BC95" s="974"/>
      <c r="BD95" s="974"/>
      <c r="BE95" s="974"/>
      <c r="BF95" s="974"/>
      <c r="BG95" s="974"/>
      <c r="BH95" s="974"/>
      <c r="BI95" s="974"/>
      <c r="BJ95" s="974"/>
      <c r="BK95" s="974"/>
      <c r="BL95" s="974"/>
      <c r="BM95" s="974"/>
      <c r="BN95" s="974"/>
      <c r="BO95" s="974"/>
      <c r="BP95" s="974"/>
      <c r="BQ95" s="974"/>
      <c r="BR95" s="974"/>
      <c r="BS95" s="974"/>
      <c r="BT95" s="974"/>
      <c r="BU95" s="974"/>
      <c r="BV95" s="974"/>
      <c r="BW95" s="974"/>
      <c r="BX95" s="974"/>
      <c r="BY95" s="974"/>
      <c r="BZ95" s="974"/>
      <c r="CA95" s="974"/>
      <c r="CB95" s="974"/>
      <c r="CC95" s="974"/>
      <c r="CD95" s="974"/>
      <c r="CE95" s="974"/>
      <c r="CF95" s="974"/>
      <c r="CG95" s="974"/>
      <c r="CH95" s="974"/>
      <c r="CI95" s="974"/>
      <c r="CJ95" s="974"/>
      <c r="CK95" s="974"/>
      <c r="CL95" s="974"/>
      <c r="CM95" s="974"/>
      <c r="CN95" s="974"/>
      <c r="CO95" s="974"/>
      <c r="CP95" s="974"/>
      <c r="CQ95" s="974"/>
      <c r="CR95" s="974"/>
      <c r="CS95" s="974"/>
      <c r="CT95" s="974"/>
      <c r="CU95" s="974"/>
      <c r="CV95" s="974"/>
      <c r="CW95" s="974"/>
      <c r="CX95" s="974"/>
      <c r="CY95" s="974"/>
      <c r="CZ95" s="974"/>
      <c r="DA95" s="974"/>
      <c r="DB95" s="974"/>
      <c r="DC95" s="974"/>
      <c r="DD95" s="974"/>
      <c r="DE95" s="974"/>
      <c r="DF95" s="974"/>
      <c r="DG95" s="974"/>
      <c r="DH95" s="974"/>
      <c r="DI95" s="974"/>
      <c r="DJ95" s="974"/>
      <c r="DK95" s="974"/>
      <c r="DL95" s="974"/>
      <c r="DM95" s="974"/>
      <c r="DN95" s="974"/>
      <c r="DO95" s="974"/>
      <c r="DP95" s="974"/>
      <c r="DQ95" s="974"/>
      <c r="DR95" s="974"/>
      <c r="DS95" s="974"/>
      <c r="DT95" s="974"/>
      <c r="DU95" s="974"/>
      <c r="DV95" s="974"/>
      <c r="DW95" s="974"/>
      <c r="DX95" s="974"/>
      <c r="DY95" s="974"/>
      <c r="DZ95" s="974"/>
      <c r="EA95" s="974"/>
      <c r="EB95" s="974"/>
      <c r="EC95" s="974"/>
      <c r="ED95" s="974"/>
      <c r="EE95" s="974"/>
      <c r="EF95" s="974"/>
      <c r="EG95" s="974"/>
      <c r="EH95" s="974"/>
      <c r="EI95" s="974"/>
      <c r="EJ95" s="974"/>
      <c r="EK95" s="974"/>
      <c r="EL95" s="974"/>
      <c r="EM95" s="974"/>
      <c r="EN95" s="974"/>
      <c r="EO95" s="974"/>
      <c r="EP95" s="974"/>
      <c r="EQ95" s="974"/>
      <c r="ER95" s="974"/>
      <c r="ES95" s="974"/>
      <c r="ET95" s="974"/>
      <c r="EU95" s="974"/>
      <c r="EV95" s="974"/>
      <c r="EW95" s="974"/>
      <c r="EX95" s="974"/>
      <c r="EY95" s="974"/>
      <c r="EZ95" s="974"/>
      <c r="FA95" s="974"/>
      <c r="FB95" s="974"/>
      <c r="FC95" s="974"/>
      <c r="FD95" s="974"/>
      <c r="FE95" s="974"/>
      <c r="FF95" s="974"/>
      <c r="FG95" s="974"/>
      <c r="FH95" s="974"/>
      <c r="FI95" s="974"/>
      <c r="FJ95" s="974"/>
      <c r="FK95" s="974"/>
      <c r="FL95" s="974"/>
      <c r="FM95" s="974"/>
      <c r="FN95" s="974"/>
      <c r="FO95" s="974"/>
      <c r="FP95" s="974"/>
      <c r="FQ95" s="974"/>
      <c r="FR95" s="974"/>
      <c r="FS95" s="974"/>
      <c r="FT95" s="974"/>
      <c r="FU95" s="974"/>
      <c r="FV95" s="974"/>
      <c r="FW95" s="974"/>
      <c r="FX95" s="974"/>
      <c r="FY95" s="974"/>
      <c r="FZ95" s="974"/>
      <c r="GA95" s="974"/>
      <c r="GB95" s="974"/>
      <c r="GC95" s="974"/>
      <c r="GD95" s="974"/>
      <c r="GE95" s="974"/>
      <c r="GF95" s="974"/>
      <c r="GG95" s="974"/>
      <c r="GH95" s="974"/>
      <c r="GI95" s="974"/>
      <c r="GJ95" s="974"/>
      <c r="GK95" s="974"/>
      <c r="GL95" s="974"/>
      <c r="GM95" s="974"/>
      <c r="GN95" s="974"/>
      <c r="GO95" s="974"/>
      <c r="GP95" s="974"/>
      <c r="GQ95" s="974"/>
      <c r="GR95" s="974"/>
      <c r="GS95" s="974"/>
      <c r="GT95" s="974"/>
      <c r="GU95" s="974"/>
      <c r="GV95" s="974"/>
      <c r="GW95" s="974"/>
      <c r="GX95" s="974"/>
      <c r="GY95" s="974"/>
      <c r="GZ95" s="974"/>
      <c r="HA95" s="974"/>
      <c r="HB95" s="974"/>
      <c r="HC95" s="974"/>
      <c r="HD95" s="974"/>
      <c r="HE95" s="974"/>
      <c r="HF95" s="974"/>
      <c r="HG95" s="974"/>
      <c r="HH95" s="974"/>
      <c r="HI95" s="974"/>
      <c r="HJ95" s="974"/>
      <c r="HK95" s="974"/>
      <c r="HL95" s="974"/>
      <c r="HM95" s="974"/>
      <c r="HN95" s="974"/>
      <c r="HO95" s="974"/>
      <c r="HP95" s="974"/>
      <c r="HQ95" s="974"/>
      <c r="HR95" s="974"/>
      <c r="HS95" s="974"/>
      <c r="HT95" s="974"/>
      <c r="HU95" s="974"/>
      <c r="HV95" s="974"/>
      <c r="HW95" s="974"/>
      <c r="HX95" s="974"/>
      <c r="HY95" s="974"/>
      <c r="HZ95" s="974"/>
      <c r="IA95" s="974"/>
      <c r="IB95" s="974"/>
      <c r="IC95" s="974"/>
      <c r="ID95" s="974"/>
      <c r="IE95" s="974"/>
      <c r="IF95" s="974"/>
      <c r="IG95" s="974"/>
      <c r="IH95" s="974"/>
      <c r="II95" s="974"/>
      <c r="IJ95" s="974"/>
      <c r="IK95" s="974"/>
      <c r="IL95" s="974"/>
      <c r="IM95" s="974"/>
      <c r="IN95" s="974"/>
      <c r="IO95" s="974"/>
      <c r="IP95" s="974"/>
      <c r="IQ95" s="974"/>
      <c r="IR95" s="974"/>
      <c r="IS95" s="974"/>
      <c r="IT95" s="974"/>
      <c r="IU95" s="974"/>
      <c r="IV95" s="974"/>
    </row>
    <row r="96" spans="1:256" s="865" customFormat="1" ht="11.25" customHeight="1">
      <c r="A96" s="961"/>
      <c r="B96" s="898"/>
      <c r="C96" s="898"/>
      <c r="D96" s="826"/>
      <c r="E96" s="1674" t="s">
        <v>11839</v>
      </c>
      <c r="F96" s="1674"/>
      <c r="G96" s="1674"/>
      <c r="H96" s="991">
        <f t="shared" si="8"/>
        <v>1</v>
      </c>
      <c r="I96" s="970">
        <v>1.65</v>
      </c>
      <c r="J96" s="970">
        <v>1.55</v>
      </c>
      <c r="K96" s="970">
        <v>0.05</v>
      </c>
      <c r="L96" s="985" t="s">
        <v>19797</v>
      </c>
      <c r="M96" s="986">
        <f t="shared" si="9"/>
        <v>0.12787500000000002</v>
      </c>
      <c r="N96" s="972"/>
      <c r="O96" s="973"/>
      <c r="P96" s="974"/>
      <c r="Q96" s="975"/>
      <c r="R96" s="974"/>
      <c r="S96" s="974"/>
      <c r="T96" s="974"/>
      <c r="U96" s="974"/>
      <c r="V96" s="974"/>
      <c r="W96" s="974"/>
      <c r="X96" s="974"/>
      <c r="Y96" s="974"/>
      <c r="Z96" s="974"/>
      <c r="AA96" s="974"/>
      <c r="AB96" s="974"/>
      <c r="AC96" s="974"/>
      <c r="AD96" s="974"/>
      <c r="AE96" s="974"/>
      <c r="AF96" s="974"/>
      <c r="AG96" s="974"/>
      <c r="AH96" s="974"/>
      <c r="AI96" s="974"/>
      <c r="AJ96" s="974"/>
      <c r="AK96" s="974"/>
      <c r="AL96" s="974"/>
      <c r="AM96" s="974"/>
      <c r="AN96" s="974"/>
      <c r="AO96" s="974"/>
      <c r="AP96" s="974"/>
      <c r="AQ96" s="974"/>
      <c r="AR96" s="974"/>
      <c r="AS96" s="974"/>
      <c r="AT96" s="974"/>
      <c r="AU96" s="974"/>
      <c r="AV96" s="974"/>
      <c r="AW96" s="974"/>
      <c r="AX96" s="974"/>
      <c r="AY96" s="974"/>
      <c r="AZ96" s="974"/>
      <c r="BA96" s="974"/>
      <c r="BB96" s="974"/>
      <c r="BC96" s="974"/>
      <c r="BD96" s="974"/>
      <c r="BE96" s="974"/>
      <c r="BF96" s="974"/>
      <c r="BG96" s="974"/>
      <c r="BH96" s="974"/>
      <c r="BI96" s="974"/>
      <c r="BJ96" s="974"/>
      <c r="BK96" s="974"/>
      <c r="BL96" s="974"/>
      <c r="BM96" s="974"/>
      <c r="BN96" s="974"/>
      <c r="BO96" s="974"/>
      <c r="BP96" s="974"/>
      <c r="BQ96" s="974"/>
      <c r="BR96" s="974"/>
      <c r="BS96" s="974"/>
      <c r="BT96" s="974"/>
      <c r="BU96" s="974"/>
      <c r="BV96" s="974"/>
      <c r="BW96" s="974"/>
      <c r="BX96" s="974"/>
      <c r="BY96" s="974"/>
      <c r="BZ96" s="974"/>
      <c r="CA96" s="974"/>
      <c r="CB96" s="974"/>
      <c r="CC96" s="974"/>
      <c r="CD96" s="974"/>
      <c r="CE96" s="974"/>
      <c r="CF96" s="974"/>
      <c r="CG96" s="974"/>
      <c r="CH96" s="974"/>
      <c r="CI96" s="974"/>
      <c r="CJ96" s="974"/>
      <c r="CK96" s="974"/>
      <c r="CL96" s="974"/>
      <c r="CM96" s="974"/>
      <c r="CN96" s="974"/>
      <c r="CO96" s="974"/>
      <c r="CP96" s="974"/>
      <c r="CQ96" s="974"/>
      <c r="CR96" s="974"/>
      <c r="CS96" s="974"/>
      <c r="CT96" s="974"/>
      <c r="CU96" s="974"/>
      <c r="CV96" s="974"/>
      <c r="CW96" s="974"/>
      <c r="CX96" s="974"/>
      <c r="CY96" s="974"/>
      <c r="CZ96" s="974"/>
      <c r="DA96" s="974"/>
      <c r="DB96" s="974"/>
      <c r="DC96" s="974"/>
      <c r="DD96" s="974"/>
      <c r="DE96" s="974"/>
      <c r="DF96" s="974"/>
      <c r="DG96" s="974"/>
      <c r="DH96" s="974"/>
      <c r="DI96" s="974"/>
      <c r="DJ96" s="974"/>
      <c r="DK96" s="974"/>
      <c r="DL96" s="974"/>
      <c r="DM96" s="974"/>
      <c r="DN96" s="974"/>
      <c r="DO96" s="974"/>
      <c r="DP96" s="974"/>
      <c r="DQ96" s="974"/>
      <c r="DR96" s="974"/>
      <c r="DS96" s="974"/>
      <c r="DT96" s="974"/>
      <c r="DU96" s="974"/>
      <c r="DV96" s="974"/>
      <c r="DW96" s="974"/>
      <c r="DX96" s="974"/>
      <c r="DY96" s="974"/>
      <c r="DZ96" s="974"/>
      <c r="EA96" s="974"/>
      <c r="EB96" s="974"/>
      <c r="EC96" s="974"/>
      <c r="ED96" s="974"/>
      <c r="EE96" s="974"/>
      <c r="EF96" s="974"/>
      <c r="EG96" s="974"/>
      <c r="EH96" s="974"/>
      <c r="EI96" s="974"/>
      <c r="EJ96" s="974"/>
      <c r="EK96" s="974"/>
      <c r="EL96" s="974"/>
      <c r="EM96" s="974"/>
      <c r="EN96" s="974"/>
      <c r="EO96" s="974"/>
      <c r="EP96" s="974"/>
      <c r="EQ96" s="974"/>
      <c r="ER96" s="974"/>
      <c r="ES96" s="974"/>
      <c r="ET96" s="974"/>
      <c r="EU96" s="974"/>
      <c r="EV96" s="974"/>
      <c r="EW96" s="974"/>
      <c r="EX96" s="974"/>
      <c r="EY96" s="974"/>
      <c r="EZ96" s="974"/>
      <c r="FA96" s="974"/>
      <c r="FB96" s="974"/>
      <c r="FC96" s="974"/>
      <c r="FD96" s="974"/>
      <c r="FE96" s="974"/>
      <c r="FF96" s="974"/>
      <c r="FG96" s="974"/>
      <c r="FH96" s="974"/>
      <c r="FI96" s="974"/>
      <c r="FJ96" s="974"/>
      <c r="FK96" s="974"/>
      <c r="FL96" s="974"/>
      <c r="FM96" s="974"/>
      <c r="FN96" s="974"/>
      <c r="FO96" s="974"/>
      <c r="FP96" s="974"/>
      <c r="FQ96" s="974"/>
      <c r="FR96" s="974"/>
      <c r="FS96" s="974"/>
      <c r="FT96" s="974"/>
      <c r="FU96" s="974"/>
      <c r="FV96" s="974"/>
      <c r="FW96" s="974"/>
      <c r="FX96" s="974"/>
      <c r="FY96" s="974"/>
      <c r="FZ96" s="974"/>
      <c r="GA96" s="974"/>
      <c r="GB96" s="974"/>
      <c r="GC96" s="974"/>
      <c r="GD96" s="974"/>
      <c r="GE96" s="974"/>
      <c r="GF96" s="974"/>
      <c r="GG96" s="974"/>
      <c r="GH96" s="974"/>
      <c r="GI96" s="974"/>
      <c r="GJ96" s="974"/>
      <c r="GK96" s="974"/>
      <c r="GL96" s="974"/>
      <c r="GM96" s="974"/>
      <c r="GN96" s="974"/>
      <c r="GO96" s="974"/>
      <c r="GP96" s="974"/>
      <c r="GQ96" s="974"/>
      <c r="GR96" s="974"/>
      <c r="GS96" s="974"/>
      <c r="GT96" s="974"/>
      <c r="GU96" s="974"/>
      <c r="GV96" s="974"/>
      <c r="GW96" s="974"/>
      <c r="GX96" s="974"/>
      <c r="GY96" s="974"/>
      <c r="GZ96" s="974"/>
      <c r="HA96" s="974"/>
      <c r="HB96" s="974"/>
      <c r="HC96" s="974"/>
      <c r="HD96" s="974"/>
      <c r="HE96" s="974"/>
      <c r="HF96" s="974"/>
      <c r="HG96" s="974"/>
      <c r="HH96" s="974"/>
      <c r="HI96" s="974"/>
      <c r="HJ96" s="974"/>
      <c r="HK96" s="974"/>
      <c r="HL96" s="974"/>
      <c r="HM96" s="974"/>
      <c r="HN96" s="974"/>
      <c r="HO96" s="974"/>
      <c r="HP96" s="974"/>
      <c r="HQ96" s="974"/>
      <c r="HR96" s="974"/>
      <c r="HS96" s="974"/>
      <c r="HT96" s="974"/>
      <c r="HU96" s="974"/>
      <c r="HV96" s="974"/>
      <c r="HW96" s="974"/>
      <c r="HX96" s="974"/>
      <c r="HY96" s="974"/>
      <c r="HZ96" s="974"/>
      <c r="IA96" s="974"/>
      <c r="IB96" s="974"/>
      <c r="IC96" s="974"/>
      <c r="ID96" s="974"/>
      <c r="IE96" s="974"/>
      <c r="IF96" s="974"/>
      <c r="IG96" s="974"/>
      <c r="IH96" s="974"/>
      <c r="II96" s="974"/>
      <c r="IJ96" s="974"/>
      <c r="IK96" s="974"/>
      <c r="IL96" s="974"/>
      <c r="IM96" s="974"/>
      <c r="IN96" s="974"/>
      <c r="IO96" s="974"/>
      <c r="IP96" s="974"/>
      <c r="IQ96" s="974"/>
      <c r="IR96" s="974"/>
      <c r="IS96" s="974"/>
      <c r="IT96" s="974"/>
      <c r="IU96" s="974"/>
      <c r="IV96" s="974"/>
    </row>
    <row r="97" spans="1:256" s="865" customFormat="1" ht="11.25" customHeight="1">
      <c r="A97" s="961"/>
      <c r="B97" s="898"/>
      <c r="C97" s="898"/>
      <c r="D97" s="826"/>
      <c r="E97" s="854"/>
      <c r="F97" s="1674" t="s">
        <v>11870</v>
      </c>
      <c r="G97" s="1674"/>
      <c r="H97" s="991">
        <f t="shared" si="8"/>
        <v>4</v>
      </c>
      <c r="I97" s="970">
        <v>1.6</v>
      </c>
      <c r="J97" s="970">
        <v>1.4</v>
      </c>
      <c r="K97" s="970">
        <v>0.05</v>
      </c>
      <c r="L97" s="985" t="s">
        <v>19797</v>
      </c>
      <c r="M97" s="986">
        <f t="shared" si="9"/>
        <v>0.44799999999999995</v>
      </c>
      <c r="N97" s="972"/>
      <c r="O97" s="973"/>
      <c r="P97" s="974"/>
      <c r="Q97" s="975"/>
      <c r="R97" s="974"/>
      <c r="S97" s="974"/>
      <c r="T97" s="974"/>
      <c r="U97" s="974"/>
      <c r="V97" s="974"/>
      <c r="W97" s="974"/>
      <c r="X97" s="974"/>
      <c r="Y97" s="974"/>
      <c r="Z97" s="974"/>
      <c r="AA97" s="974"/>
      <c r="AB97" s="974"/>
      <c r="AC97" s="974"/>
      <c r="AD97" s="974"/>
      <c r="AE97" s="974"/>
      <c r="AF97" s="974"/>
      <c r="AG97" s="974"/>
      <c r="AH97" s="974"/>
      <c r="AI97" s="974"/>
      <c r="AJ97" s="974"/>
      <c r="AK97" s="974"/>
      <c r="AL97" s="974"/>
      <c r="AM97" s="974"/>
      <c r="AN97" s="974"/>
      <c r="AO97" s="974"/>
      <c r="AP97" s="974"/>
      <c r="AQ97" s="974"/>
      <c r="AR97" s="974"/>
      <c r="AS97" s="974"/>
      <c r="AT97" s="974"/>
      <c r="AU97" s="974"/>
      <c r="AV97" s="974"/>
      <c r="AW97" s="974"/>
      <c r="AX97" s="974"/>
      <c r="AY97" s="974"/>
      <c r="AZ97" s="974"/>
      <c r="BA97" s="974"/>
      <c r="BB97" s="974"/>
      <c r="BC97" s="974"/>
      <c r="BD97" s="974"/>
      <c r="BE97" s="974"/>
      <c r="BF97" s="974"/>
      <c r="BG97" s="974"/>
      <c r="BH97" s="974"/>
      <c r="BI97" s="974"/>
      <c r="BJ97" s="974"/>
      <c r="BK97" s="974"/>
      <c r="BL97" s="974"/>
      <c r="BM97" s="974"/>
      <c r="BN97" s="974"/>
      <c r="BO97" s="974"/>
      <c r="BP97" s="974"/>
      <c r="BQ97" s="974"/>
      <c r="BR97" s="974"/>
      <c r="BS97" s="974"/>
      <c r="BT97" s="974"/>
      <c r="BU97" s="974"/>
      <c r="BV97" s="974"/>
      <c r="BW97" s="974"/>
      <c r="BX97" s="974"/>
      <c r="BY97" s="974"/>
      <c r="BZ97" s="974"/>
      <c r="CA97" s="974"/>
      <c r="CB97" s="974"/>
      <c r="CC97" s="974"/>
      <c r="CD97" s="974"/>
      <c r="CE97" s="974"/>
      <c r="CF97" s="974"/>
      <c r="CG97" s="974"/>
      <c r="CH97" s="974"/>
      <c r="CI97" s="974"/>
      <c r="CJ97" s="974"/>
      <c r="CK97" s="974"/>
      <c r="CL97" s="974"/>
      <c r="CM97" s="974"/>
      <c r="CN97" s="974"/>
      <c r="CO97" s="974"/>
      <c r="CP97" s="974"/>
      <c r="CQ97" s="974"/>
      <c r="CR97" s="974"/>
      <c r="CS97" s="974"/>
      <c r="CT97" s="974"/>
      <c r="CU97" s="974"/>
      <c r="CV97" s="974"/>
      <c r="CW97" s="974"/>
      <c r="CX97" s="974"/>
      <c r="CY97" s="974"/>
      <c r="CZ97" s="974"/>
      <c r="DA97" s="974"/>
      <c r="DB97" s="974"/>
      <c r="DC97" s="974"/>
      <c r="DD97" s="974"/>
      <c r="DE97" s="974"/>
      <c r="DF97" s="974"/>
      <c r="DG97" s="974"/>
      <c r="DH97" s="974"/>
      <c r="DI97" s="974"/>
      <c r="DJ97" s="974"/>
      <c r="DK97" s="974"/>
      <c r="DL97" s="974"/>
      <c r="DM97" s="974"/>
      <c r="DN97" s="974"/>
      <c r="DO97" s="974"/>
      <c r="DP97" s="974"/>
      <c r="DQ97" s="974"/>
      <c r="DR97" s="974"/>
      <c r="DS97" s="974"/>
      <c r="DT97" s="974"/>
      <c r="DU97" s="974"/>
      <c r="DV97" s="974"/>
      <c r="DW97" s="974"/>
      <c r="DX97" s="974"/>
      <c r="DY97" s="974"/>
      <c r="DZ97" s="974"/>
      <c r="EA97" s="974"/>
      <c r="EB97" s="974"/>
      <c r="EC97" s="974"/>
      <c r="ED97" s="974"/>
      <c r="EE97" s="974"/>
      <c r="EF97" s="974"/>
      <c r="EG97" s="974"/>
      <c r="EH97" s="974"/>
      <c r="EI97" s="974"/>
      <c r="EJ97" s="974"/>
      <c r="EK97" s="974"/>
      <c r="EL97" s="974"/>
      <c r="EM97" s="974"/>
      <c r="EN97" s="974"/>
      <c r="EO97" s="974"/>
      <c r="EP97" s="974"/>
      <c r="EQ97" s="974"/>
      <c r="ER97" s="974"/>
      <c r="ES97" s="974"/>
      <c r="ET97" s="974"/>
      <c r="EU97" s="974"/>
      <c r="EV97" s="974"/>
      <c r="EW97" s="974"/>
      <c r="EX97" s="974"/>
      <c r="EY97" s="974"/>
      <c r="EZ97" s="974"/>
      <c r="FA97" s="974"/>
      <c r="FB97" s="974"/>
      <c r="FC97" s="974"/>
      <c r="FD97" s="974"/>
      <c r="FE97" s="974"/>
      <c r="FF97" s="974"/>
      <c r="FG97" s="974"/>
      <c r="FH97" s="974"/>
      <c r="FI97" s="974"/>
      <c r="FJ97" s="974"/>
      <c r="FK97" s="974"/>
      <c r="FL97" s="974"/>
      <c r="FM97" s="974"/>
      <c r="FN97" s="974"/>
      <c r="FO97" s="974"/>
      <c r="FP97" s="974"/>
      <c r="FQ97" s="974"/>
      <c r="FR97" s="974"/>
      <c r="FS97" s="974"/>
      <c r="FT97" s="974"/>
      <c r="FU97" s="974"/>
      <c r="FV97" s="974"/>
      <c r="FW97" s="974"/>
      <c r="FX97" s="974"/>
      <c r="FY97" s="974"/>
      <c r="FZ97" s="974"/>
      <c r="GA97" s="974"/>
      <c r="GB97" s="974"/>
      <c r="GC97" s="974"/>
      <c r="GD97" s="974"/>
      <c r="GE97" s="974"/>
      <c r="GF97" s="974"/>
      <c r="GG97" s="974"/>
      <c r="GH97" s="974"/>
      <c r="GI97" s="974"/>
      <c r="GJ97" s="974"/>
      <c r="GK97" s="974"/>
      <c r="GL97" s="974"/>
      <c r="GM97" s="974"/>
      <c r="GN97" s="974"/>
      <c r="GO97" s="974"/>
      <c r="GP97" s="974"/>
      <c r="GQ97" s="974"/>
      <c r="GR97" s="974"/>
      <c r="GS97" s="974"/>
      <c r="GT97" s="974"/>
      <c r="GU97" s="974"/>
      <c r="GV97" s="974"/>
      <c r="GW97" s="974"/>
      <c r="GX97" s="974"/>
      <c r="GY97" s="974"/>
      <c r="GZ97" s="974"/>
      <c r="HA97" s="974"/>
      <c r="HB97" s="974"/>
      <c r="HC97" s="974"/>
      <c r="HD97" s="974"/>
      <c r="HE97" s="974"/>
      <c r="HF97" s="974"/>
      <c r="HG97" s="974"/>
      <c r="HH97" s="974"/>
      <c r="HI97" s="974"/>
      <c r="HJ97" s="974"/>
      <c r="HK97" s="974"/>
      <c r="HL97" s="974"/>
      <c r="HM97" s="974"/>
      <c r="HN97" s="974"/>
      <c r="HO97" s="974"/>
      <c r="HP97" s="974"/>
      <c r="HQ97" s="974"/>
      <c r="HR97" s="974"/>
      <c r="HS97" s="974"/>
      <c r="HT97" s="974"/>
      <c r="HU97" s="974"/>
      <c r="HV97" s="974"/>
      <c r="HW97" s="974"/>
      <c r="HX97" s="974"/>
      <c r="HY97" s="974"/>
      <c r="HZ97" s="974"/>
      <c r="IA97" s="974"/>
      <c r="IB97" s="974"/>
      <c r="IC97" s="974"/>
      <c r="ID97" s="974"/>
      <c r="IE97" s="974"/>
      <c r="IF97" s="974"/>
      <c r="IG97" s="974"/>
      <c r="IH97" s="974"/>
      <c r="II97" s="974"/>
      <c r="IJ97" s="974"/>
      <c r="IK97" s="974"/>
      <c r="IL97" s="974"/>
      <c r="IM97" s="974"/>
      <c r="IN97" s="974"/>
      <c r="IO97" s="974"/>
      <c r="IP97" s="974"/>
      <c r="IQ97" s="974"/>
      <c r="IR97" s="974"/>
      <c r="IS97" s="974"/>
      <c r="IT97" s="974"/>
      <c r="IU97" s="974"/>
      <c r="IV97" s="974"/>
    </row>
    <row r="98" spans="1:256" s="865" customFormat="1" ht="11.25" customHeight="1">
      <c r="A98" s="961"/>
      <c r="B98" s="898"/>
      <c r="C98" s="898"/>
      <c r="D98" s="826"/>
      <c r="E98" s="854"/>
      <c r="F98" s="1674" t="s">
        <v>11871</v>
      </c>
      <c r="G98" s="1674"/>
      <c r="H98" s="991">
        <f t="shared" si="8"/>
        <v>2</v>
      </c>
      <c r="I98" s="970">
        <v>4</v>
      </c>
      <c r="J98" s="970">
        <v>0.2</v>
      </c>
      <c r="K98" s="970">
        <v>0</v>
      </c>
      <c r="L98" s="985" t="s">
        <v>19797</v>
      </c>
      <c r="M98" s="986">
        <f t="shared" si="9"/>
        <v>0</v>
      </c>
      <c r="N98" s="972"/>
      <c r="O98" s="973"/>
      <c r="P98" s="974"/>
      <c r="Q98" s="975"/>
      <c r="R98" s="974"/>
      <c r="S98" s="974"/>
      <c r="T98" s="974"/>
      <c r="U98" s="974"/>
      <c r="V98" s="974"/>
      <c r="W98" s="974"/>
      <c r="X98" s="974"/>
      <c r="Y98" s="974"/>
      <c r="Z98" s="974"/>
      <c r="AA98" s="974"/>
      <c r="AB98" s="974"/>
      <c r="AC98" s="974"/>
      <c r="AD98" s="974"/>
      <c r="AE98" s="974"/>
      <c r="AF98" s="974"/>
      <c r="AG98" s="974"/>
      <c r="AH98" s="974"/>
      <c r="AI98" s="974"/>
      <c r="AJ98" s="974"/>
      <c r="AK98" s="974"/>
      <c r="AL98" s="974"/>
      <c r="AM98" s="974"/>
      <c r="AN98" s="974"/>
      <c r="AO98" s="974"/>
      <c r="AP98" s="974"/>
      <c r="AQ98" s="974"/>
      <c r="AR98" s="974"/>
      <c r="AS98" s="974"/>
      <c r="AT98" s="974"/>
      <c r="AU98" s="974"/>
      <c r="AV98" s="974"/>
      <c r="AW98" s="974"/>
      <c r="AX98" s="974"/>
      <c r="AY98" s="974"/>
      <c r="AZ98" s="974"/>
      <c r="BA98" s="974"/>
      <c r="BB98" s="974"/>
      <c r="BC98" s="974"/>
      <c r="BD98" s="974"/>
      <c r="BE98" s="974"/>
      <c r="BF98" s="974"/>
      <c r="BG98" s="974"/>
      <c r="BH98" s="974"/>
      <c r="BI98" s="974"/>
      <c r="BJ98" s="974"/>
      <c r="BK98" s="974"/>
      <c r="BL98" s="974"/>
      <c r="BM98" s="974"/>
      <c r="BN98" s="974"/>
      <c r="BO98" s="974"/>
      <c r="BP98" s="974"/>
      <c r="BQ98" s="974"/>
      <c r="BR98" s="974"/>
      <c r="BS98" s="974"/>
      <c r="BT98" s="974"/>
      <c r="BU98" s="974"/>
      <c r="BV98" s="974"/>
      <c r="BW98" s="974"/>
      <c r="BX98" s="974"/>
      <c r="BY98" s="974"/>
      <c r="BZ98" s="974"/>
      <c r="CA98" s="974"/>
      <c r="CB98" s="974"/>
      <c r="CC98" s="974"/>
      <c r="CD98" s="974"/>
      <c r="CE98" s="974"/>
      <c r="CF98" s="974"/>
      <c r="CG98" s="974"/>
      <c r="CH98" s="974"/>
      <c r="CI98" s="974"/>
      <c r="CJ98" s="974"/>
      <c r="CK98" s="974"/>
      <c r="CL98" s="974"/>
      <c r="CM98" s="974"/>
      <c r="CN98" s="974"/>
      <c r="CO98" s="974"/>
      <c r="CP98" s="974"/>
      <c r="CQ98" s="974"/>
      <c r="CR98" s="974"/>
      <c r="CS98" s="974"/>
      <c r="CT98" s="974"/>
      <c r="CU98" s="974"/>
      <c r="CV98" s="974"/>
      <c r="CW98" s="974"/>
      <c r="CX98" s="974"/>
      <c r="CY98" s="974"/>
      <c r="CZ98" s="974"/>
      <c r="DA98" s="974"/>
      <c r="DB98" s="974"/>
      <c r="DC98" s="974"/>
      <c r="DD98" s="974"/>
      <c r="DE98" s="974"/>
      <c r="DF98" s="974"/>
      <c r="DG98" s="974"/>
      <c r="DH98" s="974"/>
      <c r="DI98" s="974"/>
      <c r="DJ98" s="974"/>
      <c r="DK98" s="974"/>
      <c r="DL98" s="974"/>
      <c r="DM98" s="974"/>
      <c r="DN98" s="974"/>
      <c r="DO98" s="974"/>
      <c r="DP98" s="974"/>
      <c r="DQ98" s="974"/>
      <c r="DR98" s="974"/>
      <c r="DS98" s="974"/>
      <c r="DT98" s="974"/>
      <c r="DU98" s="974"/>
      <c r="DV98" s="974"/>
      <c r="DW98" s="974"/>
      <c r="DX98" s="974"/>
      <c r="DY98" s="974"/>
      <c r="DZ98" s="974"/>
      <c r="EA98" s="974"/>
      <c r="EB98" s="974"/>
      <c r="EC98" s="974"/>
      <c r="ED98" s="974"/>
      <c r="EE98" s="974"/>
      <c r="EF98" s="974"/>
      <c r="EG98" s="974"/>
      <c r="EH98" s="974"/>
      <c r="EI98" s="974"/>
      <c r="EJ98" s="974"/>
      <c r="EK98" s="974"/>
      <c r="EL98" s="974"/>
      <c r="EM98" s="974"/>
      <c r="EN98" s="974"/>
      <c r="EO98" s="974"/>
      <c r="EP98" s="974"/>
      <c r="EQ98" s="974"/>
      <c r="ER98" s="974"/>
      <c r="ES98" s="974"/>
      <c r="ET98" s="974"/>
      <c r="EU98" s="974"/>
      <c r="EV98" s="974"/>
      <c r="EW98" s="974"/>
      <c r="EX98" s="974"/>
      <c r="EY98" s="974"/>
      <c r="EZ98" s="974"/>
      <c r="FA98" s="974"/>
      <c r="FB98" s="974"/>
      <c r="FC98" s="974"/>
      <c r="FD98" s="974"/>
      <c r="FE98" s="974"/>
      <c r="FF98" s="974"/>
      <c r="FG98" s="974"/>
      <c r="FH98" s="974"/>
      <c r="FI98" s="974"/>
      <c r="FJ98" s="974"/>
      <c r="FK98" s="974"/>
      <c r="FL98" s="974"/>
      <c r="FM98" s="974"/>
      <c r="FN98" s="974"/>
      <c r="FO98" s="974"/>
      <c r="FP98" s="974"/>
      <c r="FQ98" s="974"/>
      <c r="FR98" s="974"/>
      <c r="FS98" s="974"/>
      <c r="FT98" s="974"/>
      <c r="FU98" s="974"/>
      <c r="FV98" s="974"/>
      <c r="FW98" s="974"/>
      <c r="FX98" s="974"/>
      <c r="FY98" s="974"/>
      <c r="FZ98" s="974"/>
      <c r="GA98" s="974"/>
      <c r="GB98" s="974"/>
      <c r="GC98" s="974"/>
      <c r="GD98" s="974"/>
      <c r="GE98" s="974"/>
      <c r="GF98" s="974"/>
      <c r="GG98" s="974"/>
      <c r="GH98" s="974"/>
      <c r="GI98" s="974"/>
      <c r="GJ98" s="974"/>
      <c r="GK98" s="974"/>
      <c r="GL98" s="974"/>
      <c r="GM98" s="974"/>
      <c r="GN98" s="974"/>
      <c r="GO98" s="974"/>
      <c r="GP98" s="974"/>
      <c r="GQ98" s="974"/>
      <c r="GR98" s="974"/>
      <c r="GS98" s="974"/>
      <c r="GT98" s="974"/>
      <c r="GU98" s="974"/>
      <c r="GV98" s="974"/>
      <c r="GW98" s="974"/>
      <c r="GX98" s="974"/>
      <c r="GY98" s="974"/>
      <c r="GZ98" s="974"/>
      <c r="HA98" s="974"/>
      <c r="HB98" s="974"/>
      <c r="HC98" s="974"/>
      <c r="HD98" s="974"/>
      <c r="HE98" s="974"/>
      <c r="HF98" s="974"/>
      <c r="HG98" s="974"/>
      <c r="HH98" s="974"/>
      <c r="HI98" s="974"/>
      <c r="HJ98" s="974"/>
      <c r="HK98" s="974"/>
      <c r="HL98" s="974"/>
      <c r="HM98" s="974"/>
      <c r="HN98" s="974"/>
      <c r="HO98" s="974"/>
      <c r="HP98" s="974"/>
      <c r="HQ98" s="974"/>
      <c r="HR98" s="974"/>
      <c r="HS98" s="974"/>
      <c r="HT98" s="974"/>
      <c r="HU98" s="974"/>
      <c r="HV98" s="974"/>
      <c r="HW98" s="974"/>
      <c r="HX98" s="974"/>
      <c r="HY98" s="974"/>
      <c r="HZ98" s="974"/>
      <c r="IA98" s="974"/>
      <c r="IB98" s="974"/>
      <c r="IC98" s="974"/>
      <c r="ID98" s="974"/>
      <c r="IE98" s="974"/>
      <c r="IF98" s="974"/>
      <c r="IG98" s="974"/>
      <c r="IH98" s="974"/>
      <c r="II98" s="974"/>
      <c r="IJ98" s="974"/>
      <c r="IK98" s="974"/>
      <c r="IL98" s="974"/>
      <c r="IM98" s="974"/>
      <c r="IN98" s="974"/>
      <c r="IO98" s="974"/>
      <c r="IP98" s="974"/>
      <c r="IQ98" s="974"/>
      <c r="IR98" s="974"/>
      <c r="IS98" s="974"/>
      <c r="IT98" s="974"/>
      <c r="IU98" s="974"/>
      <c r="IV98" s="974"/>
    </row>
    <row r="99" spans="1:256" s="865" customFormat="1" ht="11.25" customHeight="1">
      <c r="A99" s="961"/>
      <c r="B99" s="898"/>
      <c r="C99" s="898"/>
      <c r="D99" s="826"/>
      <c r="E99" s="854"/>
      <c r="F99" s="1674" t="s">
        <v>11872</v>
      </c>
      <c r="G99" s="1674"/>
      <c r="H99" s="991">
        <f t="shared" si="8"/>
        <v>2</v>
      </c>
      <c r="I99" s="970">
        <v>2.7</v>
      </c>
      <c r="J99" s="970">
        <v>0.2</v>
      </c>
      <c r="K99" s="970">
        <v>0</v>
      </c>
      <c r="L99" s="985" t="s">
        <v>19797</v>
      </c>
      <c r="M99" s="986">
        <f t="shared" si="9"/>
        <v>0</v>
      </c>
      <c r="N99" s="972"/>
      <c r="O99" s="973"/>
      <c r="P99" s="974"/>
      <c r="Q99" s="975"/>
      <c r="R99" s="974"/>
      <c r="S99" s="974"/>
      <c r="T99" s="974"/>
      <c r="U99" s="974"/>
      <c r="V99" s="974"/>
      <c r="W99" s="974"/>
      <c r="X99" s="974"/>
      <c r="Y99" s="974"/>
      <c r="Z99" s="974"/>
      <c r="AA99" s="974"/>
      <c r="AB99" s="974"/>
      <c r="AC99" s="974"/>
      <c r="AD99" s="974"/>
      <c r="AE99" s="974"/>
      <c r="AF99" s="974"/>
      <c r="AG99" s="974"/>
      <c r="AH99" s="974"/>
      <c r="AI99" s="974"/>
      <c r="AJ99" s="974"/>
      <c r="AK99" s="974"/>
      <c r="AL99" s="974"/>
      <c r="AM99" s="974"/>
      <c r="AN99" s="974"/>
      <c r="AO99" s="974"/>
      <c r="AP99" s="974"/>
      <c r="AQ99" s="974"/>
      <c r="AR99" s="974"/>
      <c r="AS99" s="974"/>
      <c r="AT99" s="974"/>
      <c r="AU99" s="974"/>
      <c r="AV99" s="974"/>
      <c r="AW99" s="974"/>
      <c r="AX99" s="974"/>
      <c r="AY99" s="974"/>
      <c r="AZ99" s="974"/>
      <c r="BA99" s="974"/>
      <c r="BB99" s="974"/>
      <c r="BC99" s="974"/>
      <c r="BD99" s="974"/>
      <c r="BE99" s="974"/>
      <c r="BF99" s="974"/>
      <c r="BG99" s="974"/>
      <c r="BH99" s="974"/>
      <c r="BI99" s="974"/>
      <c r="BJ99" s="974"/>
      <c r="BK99" s="974"/>
      <c r="BL99" s="974"/>
      <c r="BM99" s="974"/>
      <c r="BN99" s="974"/>
      <c r="BO99" s="974"/>
      <c r="BP99" s="974"/>
      <c r="BQ99" s="974"/>
      <c r="BR99" s="974"/>
      <c r="BS99" s="974"/>
      <c r="BT99" s="974"/>
      <c r="BU99" s="974"/>
      <c r="BV99" s="974"/>
      <c r="BW99" s="974"/>
      <c r="BX99" s="974"/>
      <c r="BY99" s="974"/>
      <c r="BZ99" s="974"/>
      <c r="CA99" s="974"/>
      <c r="CB99" s="974"/>
      <c r="CC99" s="974"/>
      <c r="CD99" s="974"/>
      <c r="CE99" s="974"/>
      <c r="CF99" s="974"/>
      <c r="CG99" s="974"/>
      <c r="CH99" s="974"/>
      <c r="CI99" s="974"/>
      <c r="CJ99" s="974"/>
      <c r="CK99" s="974"/>
      <c r="CL99" s="974"/>
      <c r="CM99" s="974"/>
      <c r="CN99" s="974"/>
      <c r="CO99" s="974"/>
      <c r="CP99" s="974"/>
      <c r="CQ99" s="974"/>
      <c r="CR99" s="974"/>
      <c r="CS99" s="974"/>
      <c r="CT99" s="974"/>
      <c r="CU99" s="974"/>
      <c r="CV99" s="974"/>
      <c r="CW99" s="974"/>
      <c r="CX99" s="974"/>
      <c r="CY99" s="974"/>
      <c r="CZ99" s="974"/>
      <c r="DA99" s="974"/>
      <c r="DB99" s="974"/>
      <c r="DC99" s="974"/>
      <c r="DD99" s="974"/>
      <c r="DE99" s="974"/>
      <c r="DF99" s="974"/>
      <c r="DG99" s="974"/>
      <c r="DH99" s="974"/>
      <c r="DI99" s="974"/>
      <c r="DJ99" s="974"/>
      <c r="DK99" s="974"/>
      <c r="DL99" s="974"/>
      <c r="DM99" s="974"/>
      <c r="DN99" s="974"/>
      <c r="DO99" s="974"/>
      <c r="DP99" s="974"/>
      <c r="DQ99" s="974"/>
      <c r="DR99" s="974"/>
      <c r="DS99" s="974"/>
      <c r="DT99" s="974"/>
      <c r="DU99" s="974"/>
      <c r="DV99" s="974"/>
      <c r="DW99" s="974"/>
      <c r="DX99" s="974"/>
      <c r="DY99" s="974"/>
      <c r="DZ99" s="974"/>
      <c r="EA99" s="974"/>
      <c r="EB99" s="974"/>
      <c r="EC99" s="974"/>
      <c r="ED99" s="974"/>
      <c r="EE99" s="974"/>
      <c r="EF99" s="974"/>
      <c r="EG99" s="974"/>
      <c r="EH99" s="974"/>
      <c r="EI99" s="974"/>
      <c r="EJ99" s="974"/>
      <c r="EK99" s="974"/>
      <c r="EL99" s="974"/>
      <c r="EM99" s="974"/>
      <c r="EN99" s="974"/>
      <c r="EO99" s="974"/>
      <c r="EP99" s="974"/>
      <c r="EQ99" s="974"/>
      <c r="ER99" s="974"/>
      <c r="ES99" s="974"/>
      <c r="ET99" s="974"/>
      <c r="EU99" s="974"/>
      <c r="EV99" s="974"/>
      <c r="EW99" s="974"/>
      <c r="EX99" s="974"/>
      <c r="EY99" s="974"/>
      <c r="EZ99" s="974"/>
      <c r="FA99" s="974"/>
      <c r="FB99" s="974"/>
      <c r="FC99" s="974"/>
      <c r="FD99" s="974"/>
      <c r="FE99" s="974"/>
      <c r="FF99" s="974"/>
      <c r="FG99" s="974"/>
      <c r="FH99" s="974"/>
      <c r="FI99" s="974"/>
      <c r="FJ99" s="974"/>
      <c r="FK99" s="974"/>
      <c r="FL99" s="974"/>
      <c r="FM99" s="974"/>
      <c r="FN99" s="974"/>
      <c r="FO99" s="974"/>
      <c r="FP99" s="974"/>
      <c r="FQ99" s="974"/>
      <c r="FR99" s="974"/>
      <c r="FS99" s="974"/>
      <c r="FT99" s="974"/>
      <c r="FU99" s="974"/>
      <c r="FV99" s="974"/>
      <c r="FW99" s="974"/>
      <c r="FX99" s="974"/>
      <c r="FY99" s="974"/>
      <c r="FZ99" s="974"/>
      <c r="GA99" s="974"/>
      <c r="GB99" s="974"/>
      <c r="GC99" s="974"/>
      <c r="GD99" s="974"/>
      <c r="GE99" s="974"/>
      <c r="GF99" s="974"/>
      <c r="GG99" s="974"/>
      <c r="GH99" s="974"/>
      <c r="GI99" s="974"/>
      <c r="GJ99" s="974"/>
      <c r="GK99" s="974"/>
      <c r="GL99" s="974"/>
      <c r="GM99" s="974"/>
      <c r="GN99" s="974"/>
      <c r="GO99" s="974"/>
      <c r="GP99" s="974"/>
      <c r="GQ99" s="974"/>
      <c r="GR99" s="974"/>
      <c r="GS99" s="974"/>
      <c r="GT99" s="974"/>
      <c r="GU99" s="974"/>
      <c r="GV99" s="974"/>
      <c r="GW99" s="974"/>
      <c r="GX99" s="974"/>
      <c r="GY99" s="974"/>
      <c r="GZ99" s="974"/>
      <c r="HA99" s="974"/>
      <c r="HB99" s="974"/>
      <c r="HC99" s="974"/>
      <c r="HD99" s="974"/>
      <c r="HE99" s="974"/>
      <c r="HF99" s="974"/>
      <c r="HG99" s="974"/>
      <c r="HH99" s="974"/>
      <c r="HI99" s="974"/>
      <c r="HJ99" s="974"/>
      <c r="HK99" s="974"/>
      <c r="HL99" s="974"/>
      <c r="HM99" s="974"/>
      <c r="HN99" s="974"/>
      <c r="HO99" s="974"/>
      <c r="HP99" s="974"/>
      <c r="HQ99" s="974"/>
      <c r="HR99" s="974"/>
      <c r="HS99" s="974"/>
      <c r="HT99" s="974"/>
      <c r="HU99" s="974"/>
      <c r="HV99" s="974"/>
      <c r="HW99" s="974"/>
      <c r="HX99" s="974"/>
      <c r="HY99" s="974"/>
      <c r="HZ99" s="974"/>
      <c r="IA99" s="974"/>
      <c r="IB99" s="974"/>
      <c r="IC99" s="974"/>
      <c r="ID99" s="974"/>
      <c r="IE99" s="974"/>
      <c r="IF99" s="974"/>
      <c r="IG99" s="974"/>
      <c r="IH99" s="974"/>
      <c r="II99" s="974"/>
      <c r="IJ99" s="974"/>
      <c r="IK99" s="974"/>
      <c r="IL99" s="974"/>
      <c r="IM99" s="974"/>
      <c r="IN99" s="974"/>
      <c r="IO99" s="974"/>
      <c r="IP99" s="974"/>
      <c r="IQ99" s="974"/>
      <c r="IR99" s="974"/>
      <c r="IS99" s="974"/>
      <c r="IT99" s="974"/>
      <c r="IU99" s="974"/>
      <c r="IV99" s="974"/>
    </row>
    <row r="100" spans="1:256" s="865" customFormat="1" ht="11.25" customHeight="1">
      <c r="A100" s="961"/>
      <c r="B100" s="898"/>
      <c r="C100" s="898"/>
      <c r="D100" s="826"/>
      <c r="E100" s="854"/>
      <c r="F100" s="854"/>
      <c r="G100" s="854" t="s">
        <v>11841</v>
      </c>
      <c r="H100" s="991">
        <f t="shared" si="8"/>
        <v>1</v>
      </c>
      <c r="I100" s="970">
        <v>2.82</v>
      </c>
      <c r="J100" s="970">
        <v>2.7</v>
      </c>
      <c r="K100" s="970">
        <v>0.05</v>
      </c>
      <c r="L100" s="985" t="s">
        <v>19797</v>
      </c>
      <c r="M100" s="986">
        <f t="shared" si="9"/>
        <v>0.38070000000000004</v>
      </c>
      <c r="N100" s="972"/>
      <c r="O100" s="973"/>
      <c r="P100" s="974"/>
      <c r="Q100" s="975"/>
      <c r="R100" s="974"/>
      <c r="S100" s="974"/>
      <c r="T100" s="974"/>
      <c r="U100" s="974"/>
      <c r="V100" s="974"/>
      <c r="W100" s="974"/>
      <c r="X100" s="974"/>
      <c r="Y100" s="974"/>
      <c r="Z100" s="974"/>
      <c r="AA100" s="974"/>
      <c r="AB100" s="974"/>
      <c r="AC100" s="974"/>
      <c r="AD100" s="974"/>
      <c r="AE100" s="974"/>
      <c r="AF100" s="974"/>
      <c r="AG100" s="974"/>
      <c r="AH100" s="974"/>
      <c r="AI100" s="974"/>
      <c r="AJ100" s="974"/>
      <c r="AK100" s="974"/>
      <c r="AL100" s="974"/>
      <c r="AM100" s="974"/>
      <c r="AN100" s="974"/>
      <c r="AO100" s="974"/>
      <c r="AP100" s="974"/>
      <c r="AQ100" s="974"/>
      <c r="AR100" s="974"/>
      <c r="AS100" s="974"/>
      <c r="AT100" s="974"/>
      <c r="AU100" s="974"/>
      <c r="AV100" s="974"/>
      <c r="AW100" s="974"/>
      <c r="AX100" s="974"/>
      <c r="AY100" s="974"/>
      <c r="AZ100" s="974"/>
      <c r="BA100" s="974"/>
      <c r="BB100" s="974"/>
      <c r="BC100" s="974"/>
      <c r="BD100" s="974"/>
      <c r="BE100" s="974"/>
      <c r="BF100" s="974"/>
      <c r="BG100" s="974"/>
      <c r="BH100" s="974"/>
      <c r="BI100" s="974"/>
      <c r="BJ100" s="974"/>
      <c r="BK100" s="974"/>
      <c r="BL100" s="974"/>
      <c r="BM100" s="974"/>
      <c r="BN100" s="974"/>
      <c r="BO100" s="974"/>
      <c r="BP100" s="974"/>
      <c r="BQ100" s="974"/>
      <c r="BR100" s="974"/>
      <c r="BS100" s="974"/>
      <c r="BT100" s="974"/>
      <c r="BU100" s="974"/>
      <c r="BV100" s="974"/>
      <c r="BW100" s="974"/>
      <c r="BX100" s="974"/>
      <c r="BY100" s="974"/>
      <c r="BZ100" s="974"/>
      <c r="CA100" s="974"/>
      <c r="CB100" s="974"/>
      <c r="CC100" s="974"/>
      <c r="CD100" s="974"/>
      <c r="CE100" s="974"/>
      <c r="CF100" s="974"/>
      <c r="CG100" s="974"/>
      <c r="CH100" s="974"/>
      <c r="CI100" s="974"/>
      <c r="CJ100" s="974"/>
      <c r="CK100" s="974"/>
      <c r="CL100" s="974"/>
      <c r="CM100" s="974"/>
      <c r="CN100" s="974"/>
      <c r="CO100" s="974"/>
      <c r="CP100" s="974"/>
      <c r="CQ100" s="974"/>
      <c r="CR100" s="974"/>
      <c r="CS100" s="974"/>
      <c r="CT100" s="974"/>
      <c r="CU100" s="974"/>
      <c r="CV100" s="974"/>
      <c r="CW100" s="974"/>
      <c r="CX100" s="974"/>
      <c r="CY100" s="974"/>
      <c r="CZ100" s="974"/>
      <c r="DA100" s="974"/>
      <c r="DB100" s="974"/>
      <c r="DC100" s="974"/>
      <c r="DD100" s="974"/>
      <c r="DE100" s="974"/>
      <c r="DF100" s="974"/>
      <c r="DG100" s="974"/>
      <c r="DH100" s="974"/>
      <c r="DI100" s="974"/>
      <c r="DJ100" s="974"/>
      <c r="DK100" s="974"/>
      <c r="DL100" s="974"/>
      <c r="DM100" s="974"/>
      <c r="DN100" s="974"/>
      <c r="DO100" s="974"/>
      <c r="DP100" s="974"/>
      <c r="DQ100" s="974"/>
      <c r="DR100" s="974"/>
      <c r="DS100" s="974"/>
      <c r="DT100" s="974"/>
      <c r="DU100" s="974"/>
      <c r="DV100" s="974"/>
      <c r="DW100" s="974"/>
      <c r="DX100" s="974"/>
      <c r="DY100" s="974"/>
      <c r="DZ100" s="974"/>
      <c r="EA100" s="974"/>
      <c r="EB100" s="974"/>
      <c r="EC100" s="974"/>
      <c r="ED100" s="974"/>
      <c r="EE100" s="974"/>
      <c r="EF100" s="974"/>
      <c r="EG100" s="974"/>
      <c r="EH100" s="974"/>
      <c r="EI100" s="974"/>
      <c r="EJ100" s="974"/>
      <c r="EK100" s="974"/>
      <c r="EL100" s="974"/>
      <c r="EM100" s="974"/>
      <c r="EN100" s="974"/>
      <c r="EO100" s="974"/>
      <c r="EP100" s="974"/>
      <c r="EQ100" s="974"/>
      <c r="ER100" s="974"/>
      <c r="ES100" s="974"/>
      <c r="ET100" s="974"/>
      <c r="EU100" s="974"/>
      <c r="EV100" s="974"/>
      <c r="EW100" s="974"/>
      <c r="EX100" s="974"/>
      <c r="EY100" s="974"/>
      <c r="EZ100" s="974"/>
      <c r="FA100" s="974"/>
      <c r="FB100" s="974"/>
      <c r="FC100" s="974"/>
      <c r="FD100" s="974"/>
      <c r="FE100" s="974"/>
      <c r="FF100" s="974"/>
      <c r="FG100" s="974"/>
      <c r="FH100" s="974"/>
      <c r="FI100" s="974"/>
      <c r="FJ100" s="974"/>
      <c r="FK100" s="974"/>
      <c r="FL100" s="974"/>
      <c r="FM100" s="974"/>
      <c r="FN100" s="974"/>
      <c r="FO100" s="974"/>
      <c r="FP100" s="974"/>
      <c r="FQ100" s="974"/>
      <c r="FR100" s="974"/>
      <c r="FS100" s="974"/>
      <c r="FT100" s="974"/>
      <c r="FU100" s="974"/>
      <c r="FV100" s="974"/>
      <c r="FW100" s="974"/>
      <c r="FX100" s="974"/>
      <c r="FY100" s="974"/>
      <c r="FZ100" s="974"/>
      <c r="GA100" s="974"/>
      <c r="GB100" s="974"/>
      <c r="GC100" s="974"/>
      <c r="GD100" s="974"/>
      <c r="GE100" s="974"/>
      <c r="GF100" s="974"/>
      <c r="GG100" s="974"/>
      <c r="GH100" s="974"/>
      <c r="GI100" s="974"/>
      <c r="GJ100" s="974"/>
      <c r="GK100" s="974"/>
      <c r="GL100" s="974"/>
      <c r="GM100" s="974"/>
      <c r="GN100" s="974"/>
      <c r="GO100" s="974"/>
      <c r="GP100" s="974"/>
      <c r="GQ100" s="974"/>
      <c r="GR100" s="974"/>
      <c r="GS100" s="974"/>
      <c r="GT100" s="974"/>
      <c r="GU100" s="974"/>
      <c r="GV100" s="974"/>
      <c r="GW100" s="974"/>
      <c r="GX100" s="974"/>
      <c r="GY100" s="974"/>
      <c r="GZ100" s="974"/>
      <c r="HA100" s="974"/>
      <c r="HB100" s="974"/>
      <c r="HC100" s="974"/>
      <c r="HD100" s="974"/>
      <c r="HE100" s="974"/>
      <c r="HF100" s="974"/>
      <c r="HG100" s="974"/>
      <c r="HH100" s="974"/>
      <c r="HI100" s="974"/>
      <c r="HJ100" s="974"/>
      <c r="HK100" s="974"/>
      <c r="HL100" s="974"/>
      <c r="HM100" s="974"/>
      <c r="HN100" s="974"/>
      <c r="HO100" s="974"/>
      <c r="HP100" s="974"/>
      <c r="HQ100" s="974"/>
      <c r="HR100" s="974"/>
      <c r="HS100" s="974"/>
      <c r="HT100" s="974"/>
      <c r="HU100" s="974"/>
      <c r="HV100" s="974"/>
      <c r="HW100" s="974"/>
      <c r="HX100" s="974"/>
      <c r="HY100" s="974"/>
      <c r="HZ100" s="974"/>
      <c r="IA100" s="974"/>
      <c r="IB100" s="974"/>
      <c r="IC100" s="974"/>
      <c r="ID100" s="974"/>
      <c r="IE100" s="974"/>
      <c r="IF100" s="974"/>
      <c r="IG100" s="974"/>
      <c r="IH100" s="974"/>
      <c r="II100" s="974"/>
      <c r="IJ100" s="974"/>
      <c r="IK100" s="974"/>
      <c r="IL100" s="974"/>
      <c r="IM100" s="974"/>
      <c r="IN100" s="974"/>
      <c r="IO100" s="974"/>
      <c r="IP100" s="974"/>
      <c r="IQ100" s="974"/>
      <c r="IR100" s="974"/>
      <c r="IS100" s="974"/>
      <c r="IT100" s="974"/>
      <c r="IU100" s="974"/>
      <c r="IV100" s="974"/>
    </row>
    <row r="101" spans="1:256" s="865" customFormat="1" ht="11.25" customHeight="1">
      <c r="A101" s="961"/>
      <c r="B101" s="898"/>
      <c r="C101" s="898"/>
      <c r="D101" s="826"/>
      <c r="E101" s="854"/>
      <c r="F101" s="854"/>
      <c r="G101" s="854" t="s">
        <v>11842</v>
      </c>
      <c r="H101" s="991">
        <f t="shared" si="8"/>
        <v>1</v>
      </c>
      <c r="I101" s="970">
        <v>3.05</v>
      </c>
      <c r="J101" s="970">
        <v>2.2000000000000002</v>
      </c>
      <c r="K101" s="970">
        <v>0.05</v>
      </c>
      <c r="L101" s="985" t="s">
        <v>19797</v>
      </c>
      <c r="M101" s="986">
        <f t="shared" si="9"/>
        <v>0.33550000000000002</v>
      </c>
      <c r="N101" s="972"/>
      <c r="O101" s="973"/>
      <c r="P101" s="974"/>
      <c r="Q101" s="975"/>
      <c r="R101" s="974"/>
      <c r="S101" s="974"/>
      <c r="T101" s="974"/>
      <c r="U101" s="974"/>
      <c r="V101" s="974"/>
      <c r="W101" s="974"/>
      <c r="X101" s="974"/>
      <c r="Y101" s="974"/>
      <c r="Z101" s="974"/>
      <c r="AA101" s="974"/>
      <c r="AB101" s="974"/>
      <c r="AC101" s="974"/>
      <c r="AD101" s="974"/>
      <c r="AE101" s="974"/>
      <c r="AF101" s="974"/>
      <c r="AG101" s="974"/>
      <c r="AH101" s="974"/>
      <c r="AI101" s="974"/>
      <c r="AJ101" s="974"/>
      <c r="AK101" s="974"/>
      <c r="AL101" s="974"/>
      <c r="AM101" s="974"/>
      <c r="AN101" s="974"/>
      <c r="AO101" s="974"/>
      <c r="AP101" s="974"/>
      <c r="AQ101" s="974"/>
      <c r="AR101" s="974"/>
      <c r="AS101" s="974"/>
      <c r="AT101" s="974"/>
      <c r="AU101" s="974"/>
      <c r="AV101" s="974"/>
      <c r="AW101" s="974"/>
      <c r="AX101" s="974"/>
      <c r="AY101" s="974"/>
      <c r="AZ101" s="974"/>
      <c r="BA101" s="974"/>
      <c r="BB101" s="974"/>
      <c r="BC101" s="974"/>
      <c r="BD101" s="974"/>
      <c r="BE101" s="974"/>
      <c r="BF101" s="974"/>
      <c r="BG101" s="974"/>
      <c r="BH101" s="974"/>
      <c r="BI101" s="974"/>
      <c r="BJ101" s="974"/>
      <c r="BK101" s="974"/>
      <c r="BL101" s="974"/>
      <c r="BM101" s="974"/>
      <c r="BN101" s="974"/>
      <c r="BO101" s="974"/>
      <c r="BP101" s="974"/>
      <c r="BQ101" s="974"/>
      <c r="BR101" s="974"/>
      <c r="BS101" s="974"/>
      <c r="BT101" s="974"/>
      <c r="BU101" s="974"/>
      <c r="BV101" s="974"/>
      <c r="BW101" s="974"/>
      <c r="BX101" s="974"/>
      <c r="BY101" s="974"/>
      <c r="BZ101" s="974"/>
      <c r="CA101" s="974"/>
      <c r="CB101" s="974"/>
      <c r="CC101" s="974"/>
      <c r="CD101" s="974"/>
      <c r="CE101" s="974"/>
      <c r="CF101" s="974"/>
      <c r="CG101" s="974"/>
      <c r="CH101" s="974"/>
      <c r="CI101" s="974"/>
      <c r="CJ101" s="974"/>
      <c r="CK101" s="974"/>
      <c r="CL101" s="974"/>
      <c r="CM101" s="974"/>
      <c r="CN101" s="974"/>
      <c r="CO101" s="974"/>
      <c r="CP101" s="974"/>
      <c r="CQ101" s="974"/>
      <c r="CR101" s="974"/>
      <c r="CS101" s="974"/>
      <c r="CT101" s="974"/>
      <c r="CU101" s="974"/>
      <c r="CV101" s="974"/>
      <c r="CW101" s="974"/>
      <c r="CX101" s="974"/>
      <c r="CY101" s="974"/>
      <c r="CZ101" s="974"/>
      <c r="DA101" s="974"/>
      <c r="DB101" s="974"/>
      <c r="DC101" s="974"/>
      <c r="DD101" s="974"/>
      <c r="DE101" s="974"/>
      <c r="DF101" s="974"/>
      <c r="DG101" s="974"/>
      <c r="DH101" s="974"/>
      <c r="DI101" s="974"/>
      <c r="DJ101" s="974"/>
      <c r="DK101" s="974"/>
      <c r="DL101" s="974"/>
      <c r="DM101" s="974"/>
      <c r="DN101" s="974"/>
      <c r="DO101" s="974"/>
      <c r="DP101" s="974"/>
      <c r="DQ101" s="974"/>
      <c r="DR101" s="974"/>
      <c r="DS101" s="974"/>
      <c r="DT101" s="974"/>
      <c r="DU101" s="974"/>
      <c r="DV101" s="974"/>
      <c r="DW101" s="974"/>
      <c r="DX101" s="974"/>
      <c r="DY101" s="974"/>
      <c r="DZ101" s="974"/>
      <c r="EA101" s="974"/>
      <c r="EB101" s="974"/>
      <c r="EC101" s="974"/>
      <c r="ED101" s="974"/>
      <c r="EE101" s="974"/>
      <c r="EF101" s="974"/>
      <c r="EG101" s="974"/>
      <c r="EH101" s="974"/>
      <c r="EI101" s="974"/>
      <c r="EJ101" s="974"/>
      <c r="EK101" s="974"/>
      <c r="EL101" s="974"/>
      <c r="EM101" s="974"/>
      <c r="EN101" s="974"/>
      <c r="EO101" s="974"/>
      <c r="EP101" s="974"/>
      <c r="EQ101" s="974"/>
      <c r="ER101" s="974"/>
      <c r="ES101" s="974"/>
      <c r="ET101" s="974"/>
      <c r="EU101" s="974"/>
      <c r="EV101" s="974"/>
      <c r="EW101" s="974"/>
      <c r="EX101" s="974"/>
      <c r="EY101" s="974"/>
      <c r="EZ101" s="974"/>
      <c r="FA101" s="974"/>
      <c r="FB101" s="974"/>
      <c r="FC101" s="974"/>
      <c r="FD101" s="974"/>
      <c r="FE101" s="974"/>
      <c r="FF101" s="974"/>
      <c r="FG101" s="974"/>
      <c r="FH101" s="974"/>
      <c r="FI101" s="974"/>
      <c r="FJ101" s="974"/>
      <c r="FK101" s="974"/>
      <c r="FL101" s="974"/>
      <c r="FM101" s="974"/>
      <c r="FN101" s="974"/>
      <c r="FO101" s="974"/>
      <c r="FP101" s="974"/>
      <c r="FQ101" s="974"/>
      <c r="FR101" s="974"/>
      <c r="FS101" s="974"/>
      <c r="FT101" s="974"/>
      <c r="FU101" s="974"/>
      <c r="FV101" s="974"/>
      <c r="FW101" s="974"/>
      <c r="FX101" s="974"/>
      <c r="FY101" s="974"/>
      <c r="FZ101" s="974"/>
      <c r="GA101" s="974"/>
      <c r="GB101" s="974"/>
      <c r="GC101" s="974"/>
      <c r="GD101" s="974"/>
      <c r="GE101" s="974"/>
      <c r="GF101" s="974"/>
      <c r="GG101" s="974"/>
      <c r="GH101" s="974"/>
      <c r="GI101" s="974"/>
      <c r="GJ101" s="974"/>
      <c r="GK101" s="974"/>
      <c r="GL101" s="974"/>
      <c r="GM101" s="974"/>
      <c r="GN101" s="974"/>
      <c r="GO101" s="974"/>
      <c r="GP101" s="974"/>
      <c r="GQ101" s="974"/>
      <c r="GR101" s="974"/>
      <c r="GS101" s="974"/>
      <c r="GT101" s="974"/>
      <c r="GU101" s="974"/>
      <c r="GV101" s="974"/>
      <c r="GW101" s="974"/>
      <c r="GX101" s="974"/>
      <c r="GY101" s="974"/>
      <c r="GZ101" s="974"/>
      <c r="HA101" s="974"/>
      <c r="HB101" s="974"/>
      <c r="HC101" s="974"/>
      <c r="HD101" s="974"/>
      <c r="HE101" s="974"/>
      <c r="HF101" s="974"/>
      <c r="HG101" s="974"/>
      <c r="HH101" s="974"/>
      <c r="HI101" s="974"/>
      <c r="HJ101" s="974"/>
      <c r="HK101" s="974"/>
      <c r="HL101" s="974"/>
      <c r="HM101" s="974"/>
      <c r="HN101" s="974"/>
      <c r="HO101" s="974"/>
      <c r="HP101" s="974"/>
      <c r="HQ101" s="974"/>
      <c r="HR101" s="974"/>
      <c r="HS101" s="974"/>
      <c r="HT101" s="974"/>
      <c r="HU101" s="974"/>
      <c r="HV101" s="974"/>
      <c r="HW101" s="974"/>
      <c r="HX101" s="974"/>
      <c r="HY101" s="974"/>
      <c r="HZ101" s="974"/>
      <c r="IA101" s="974"/>
      <c r="IB101" s="974"/>
      <c r="IC101" s="974"/>
      <c r="ID101" s="974"/>
      <c r="IE101" s="974"/>
      <c r="IF101" s="974"/>
      <c r="IG101" s="974"/>
      <c r="IH101" s="974"/>
      <c r="II101" s="974"/>
      <c r="IJ101" s="974"/>
      <c r="IK101" s="974"/>
      <c r="IL101" s="974"/>
      <c r="IM101" s="974"/>
      <c r="IN101" s="974"/>
      <c r="IO101" s="974"/>
      <c r="IP101" s="974"/>
      <c r="IQ101" s="974"/>
      <c r="IR101" s="974"/>
      <c r="IS101" s="974"/>
      <c r="IT101" s="974"/>
      <c r="IU101" s="974"/>
      <c r="IV101" s="974"/>
    </row>
    <row r="102" spans="1:256" s="865" customFormat="1" ht="11.25" customHeight="1">
      <c r="A102" s="961"/>
      <c r="B102" s="898"/>
      <c r="C102" s="898"/>
      <c r="D102" s="826"/>
      <c r="E102" s="854"/>
      <c r="F102" s="854"/>
      <c r="G102" s="854" t="s">
        <v>11843</v>
      </c>
      <c r="H102" s="991">
        <f t="shared" si="8"/>
        <v>1</v>
      </c>
      <c r="I102" s="970">
        <v>2.7</v>
      </c>
      <c r="J102" s="970">
        <v>2.5499999999999998</v>
      </c>
      <c r="K102" s="970">
        <v>0.05</v>
      </c>
      <c r="L102" s="985" t="s">
        <v>19797</v>
      </c>
      <c r="M102" s="986">
        <f t="shared" si="9"/>
        <v>0.34425</v>
      </c>
      <c r="N102" s="972"/>
      <c r="O102" s="973"/>
      <c r="P102" s="974"/>
      <c r="Q102" s="975"/>
      <c r="R102" s="974"/>
      <c r="S102" s="974"/>
      <c r="T102" s="974"/>
      <c r="U102" s="974"/>
      <c r="V102" s="974"/>
      <c r="W102" s="974"/>
      <c r="X102" s="974"/>
      <c r="Y102" s="974"/>
      <c r="Z102" s="974"/>
      <c r="AA102" s="974"/>
      <c r="AB102" s="974"/>
      <c r="AC102" s="974"/>
      <c r="AD102" s="974"/>
      <c r="AE102" s="974"/>
      <c r="AF102" s="974"/>
      <c r="AG102" s="974"/>
      <c r="AH102" s="974"/>
      <c r="AI102" s="974"/>
      <c r="AJ102" s="974"/>
      <c r="AK102" s="974"/>
      <c r="AL102" s="974"/>
      <c r="AM102" s="974"/>
      <c r="AN102" s="974"/>
      <c r="AO102" s="974"/>
      <c r="AP102" s="974"/>
      <c r="AQ102" s="974"/>
      <c r="AR102" s="974"/>
      <c r="AS102" s="974"/>
      <c r="AT102" s="974"/>
      <c r="AU102" s="974"/>
      <c r="AV102" s="974"/>
      <c r="AW102" s="974"/>
      <c r="AX102" s="974"/>
      <c r="AY102" s="974"/>
      <c r="AZ102" s="974"/>
      <c r="BA102" s="974"/>
      <c r="BB102" s="974"/>
      <c r="BC102" s="974"/>
      <c r="BD102" s="974"/>
      <c r="BE102" s="974"/>
      <c r="BF102" s="974"/>
      <c r="BG102" s="974"/>
      <c r="BH102" s="974"/>
      <c r="BI102" s="974"/>
      <c r="BJ102" s="974"/>
      <c r="BK102" s="974"/>
      <c r="BL102" s="974"/>
      <c r="BM102" s="974"/>
      <c r="BN102" s="974"/>
      <c r="BO102" s="974"/>
      <c r="BP102" s="974"/>
      <c r="BQ102" s="974"/>
      <c r="BR102" s="974"/>
      <c r="BS102" s="974"/>
      <c r="BT102" s="974"/>
      <c r="BU102" s="974"/>
      <c r="BV102" s="974"/>
      <c r="BW102" s="974"/>
      <c r="BX102" s="974"/>
      <c r="BY102" s="974"/>
      <c r="BZ102" s="974"/>
      <c r="CA102" s="974"/>
      <c r="CB102" s="974"/>
      <c r="CC102" s="974"/>
      <c r="CD102" s="974"/>
      <c r="CE102" s="974"/>
      <c r="CF102" s="974"/>
      <c r="CG102" s="974"/>
      <c r="CH102" s="974"/>
      <c r="CI102" s="974"/>
      <c r="CJ102" s="974"/>
      <c r="CK102" s="974"/>
      <c r="CL102" s="974"/>
      <c r="CM102" s="974"/>
      <c r="CN102" s="974"/>
      <c r="CO102" s="974"/>
      <c r="CP102" s="974"/>
      <c r="CQ102" s="974"/>
      <c r="CR102" s="974"/>
      <c r="CS102" s="974"/>
      <c r="CT102" s="974"/>
      <c r="CU102" s="974"/>
      <c r="CV102" s="974"/>
      <c r="CW102" s="974"/>
      <c r="CX102" s="974"/>
      <c r="CY102" s="974"/>
      <c r="CZ102" s="974"/>
      <c r="DA102" s="974"/>
      <c r="DB102" s="974"/>
      <c r="DC102" s="974"/>
      <c r="DD102" s="974"/>
      <c r="DE102" s="974"/>
      <c r="DF102" s="974"/>
      <c r="DG102" s="974"/>
      <c r="DH102" s="974"/>
      <c r="DI102" s="974"/>
      <c r="DJ102" s="974"/>
      <c r="DK102" s="974"/>
      <c r="DL102" s="974"/>
      <c r="DM102" s="974"/>
      <c r="DN102" s="974"/>
      <c r="DO102" s="974"/>
      <c r="DP102" s="974"/>
      <c r="DQ102" s="974"/>
      <c r="DR102" s="974"/>
      <c r="DS102" s="974"/>
      <c r="DT102" s="974"/>
      <c r="DU102" s="974"/>
      <c r="DV102" s="974"/>
      <c r="DW102" s="974"/>
      <c r="DX102" s="974"/>
      <c r="DY102" s="974"/>
      <c r="DZ102" s="974"/>
      <c r="EA102" s="974"/>
      <c r="EB102" s="974"/>
      <c r="EC102" s="974"/>
      <c r="ED102" s="974"/>
      <c r="EE102" s="974"/>
      <c r="EF102" s="974"/>
      <c r="EG102" s="974"/>
      <c r="EH102" s="974"/>
      <c r="EI102" s="974"/>
      <c r="EJ102" s="974"/>
      <c r="EK102" s="974"/>
      <c r="EL102" s="974"/>
      <c r="EM102" s="974"/>
      <c r="EN102" s="974"/>
      <c r="EO102" s="974"/>
      <c r="EP102" s="974"/>
      <c r="EQ102" s="974"/>
      <c r="ER102" s="974"/>
      <c r="ES102" s="974"/>
      <c r="ET102" s="974"/>
      <c r="EU102" s="974"/>
      <c r="EV102" s="974"/>
      <c r="EW102" s="974"/>
      <c r="EX102" s="974"/>
      <c r="EY102" s="974"/>
      <c r="EZ102" s="974"/>
      <c r="FA102" s="974"/>
      <c r="FB102" s="974"/>
      <c r="FC102" s="974"/>
      <c r="FD102" s="974"/>
      <c r="FE102" s="974"/>
      <c r="FF102" s="974"/>
      <c r="FG102" s="974"/>
      <c r="FH102" s="974"/>
      <c r="FI102" s="974"/>
      <c r="FJ102" s="974"/>
      <c r="FK102" s="974"/>
      <c r="FL102" s="974"/>
      <c r="FM102" s="974"/>
      <c r="FN102" s="974"/>
      <c r="FO102" s="974"/>
      <c r="FP102" s="974"/>
      <c r="FQ102" s="974"/>
      <c r="FR102" s="974"/>
      <c r="FS102" s="974"/>
      <c r="FT102" s="974"/>
      <c r="FU102" s="974"/>
      <c r="FV102" s="974"/>
      <c r="FW102" s="974"/>
      <c r="FX102" s="974"/>
      <c r="FY102" s="974"/>
      <c r="FZ102" s="974"/>
      <c r="GA102" s="974"/>
      <c r="GB102" s="974"/>
      <c r="GC102" s="974"/>
      <c r="GD102" s="974"/>
      <c r="GE102" s="974"/>
      <c r="GF102" s="974"/>
      <c r="GG102" s="974"/>
      <c r="GH102" s="974"/>
      <c r="GI102" s="974"/>
      <c r="GJ102" s="974"/>
      <c r="GK102" s="974"/>
      <c r="GL102" s="974"/>
      <c r="GM102" s="974"/>
      <c r="GN102" s="974"/>
      <c r="GO102" s="974"/>
      <c r="GP102" s="974"/>
      <c r="GQ102" s="974"/>
      <c r="GR102" s="974"/>
      <c r="GS102" s="974"/>
      <c r="GT102" s="974"/>
      <c r="GU102" s="974"/>
      <c r="GV102" s="974"/>
      <c r="GW102" s="974"/>
      <c r="GX102" s="974"/>
      <c r="GY102" s="974"/>
      <c r="GZ102" s="974"/>
      <c r="HA102" s="974"/>
      <c r="HB102" s="974"/>
      <c r="HC102" s="974"/>
      <c r="HD102" s="974"/>
      <c r="HE102" s="974"/>
      <c r="HF102" s="974"/>
      <c r="HG102" s="974"/>
      <c r="HH102" s="974"/>
      <c r="HI102" s="974"/>
      <c r="HJ102" s="974"/>
      <c r="HK102" s="974"/>
      <c r="HL102" s="974"/>
      <c r="HM102" s="974"/>
      <c r="HN102" s="974"/>
      <c r="HO102" s="974"/>
      <c r="HP102" s="974"/>
      <c r="HQ102" s="974"/>
      <c r="HR102" s="974"/>
      <c r="HS102" s="974"/>
      <c r="HT102" s="974"/>
      <c r="HU102" s="974"/>
      <c r="HV102" s="974"/>
      <c r="HW102" s="974"/>
      <c r="HX102" s="974"/>
      <c r="HY102" s="974"/>
      <c r="HZ102" s="974"/>
      <c r="IA102" s="974"/>
      <c r="IB102" s="974"/>
      <c r="IC102" s="974"/>
      <c r="ID102" s="974"/>
      <c r="IE102" s="974"/>
      <c r="IF102" s="974"/>
      <c r="IG102" s="974"/>
      <c r="IH102" s="974"/>
      <c r="II102" s="974"/>
      <c r="IJ102" s="974"/>
      <c r="IK102" s="974"/>
      <c r="IL102" s="974"/>
      <c r="IM102" s="974"/>
      <c r="IN102" s="974"/>
      <c r="IO102" s="974"/>
      <c r="IP102" s="974"/>
      <c r="IQ102" s="974"/>
      <c r="IR102" s="974"/>
      <c r="IS102" s="974"/>
      <c r="IT102" s="974"/>
      <c r="IU102" s="974"/>
      <c r="IV102" s="974"/>
    </row>
    <row r="103" spans="1:256" s="865" customFormat="1" ht="11.25" customHeight="1">
      <c r="A103" s="961"/>
      <c r="B103" s="898"/>
      <c r="C103" s="898"/>
      <c r="D103" s="989"/>
      <c r="E103" s="990"/>
      <c r="F103" s="990"/>
      <c r="G103" s="970"/>
      <c r="H103" s="993"/>
      <c r="I103" s="970"/>
      <c r="J103" s="970"/>
      <c r="K103" s="994"/>
      <c r="L103" s="985"/>
      <c r="M103" s="986"/>
      <c r="N103" s="972"/>
      <c r="O103" s="973"/>
      <c r="P103" s="974"/>
      <c r="Q103" s="975"/>
      <c r="R103" s="974"/>
      <c r="S103" s="974"/>
      <c r="T103" s="974"/>
      <c r="U103" s="974"/>
      <c r="V103" s="974"/>
      <c r="W103" s="974"/>
      <c r="X103" s="974"/>
      <c r="Y103" s="974"/>
      <c r="Z103" s="974"/>
      <c r="AA103" s="974"/>
      <c r="AB103" s="974"/>
      <c r="AC103" s="974"/>
      <c r="AD103" s="974"/>
      <c r="AE103" s="974"/>
      <c r="AF103" s="974"/>
      <c r="AG103" s="974"/>
      <c r="AH103" s="974"/>
      <c r="AI103" s="974"/>
      <c r="AJ103" s="974"/>
      <c r="AK103" s="974"/>
      <c r="AL103" s="974"/>
      <c r="AM103" s="974"/>
      <c r="AN103" s="974"/>
      <c r="AO103" s="974"/>
      <c r="AP103" s="974"/>
      <c r="AQ103" s="974"/>
      <c r="AR103" s="974"/>
      <c r="AS103" s="974"/>
      <c r="AT103" s="974"/>
      <c r="AU103" s="974"/>
      <c r="AV103" s="974"/>
      <c r="AW103" s="974"/>
      <c r="AX103" s="974"/>
      <c r="AY103" s="974"/>
      <c r="AZ103" s="974"/>
      <c r="BA103" s="974"/>
      <c r="BB103" s="974"/>
      <c r="BC103" s="974"/>
      <c r="BD103" s="974"/>
      <c r="BE103" s="974"/>
      <c r="BF103" s="974"/>
      <c r="BG103" s="974"/>
      <c r="BH103" s="974"/>
      <c r="BI103" s="974"/>
      <c r="BJ103" s="974"/>
      <c r="BK103" s="974"/>
      <c r="BL103" s="974"/>
      <c r="BM103" s="974"/>
      <c r="BN103" s="974"/>
      <c r="BO103" s="974"/>
      <c r="BP103" s="974"/>
      <c r="BQ103" s="974"/>
      <c r="BR103" s="974"/>
      <c r="BS103" s="974"/>
      <c r="BT103" s="974"/>
      <c r="BU103" s="974"/>
      <c r="BV103" s="974"/>
      <c r="BW103" s="974"/>
      <c r="BX103" s="974"/>
      <c r="BY103" s="974"/>
      <c r="BZ103" s="974"/>
      <c r="CA103" s="974"/>
      <c r="CB103" s="974"/>
      <c r="CC103" s="974"/>
      <c r="CD103" s="974"/>
      <c r="CE103" s="974"/>
      <c r="CF103" s="974"/>
      <c r="CG103" s="974"/>
      <c r="CH103" s="974"/>
      <c r="CI103" s="974"/>
      <c r="CJ103" s="974"/>
      <c r="CK103" s="974"/>
      <c r="CL103" s="974"/>
      <c r="CM103" s="974"/>
      <c r="CN103" s="974"/>
      <c r="CO103" s="974"/>
      <c r="CP103" s="974"/>
      <c r="CQ103" s="974"/>
      <c r="CR103" s="974"/>
      <c r="CS103" s="974"/>
      <c r="CT103" s="974"/>
      <c r="CU103" s="974"/>
      <c r="CV103" s="974"/>
      <c r="CW103" s="974"/>
      <c r="CX103" s="974"/>
      <c r="CY103" s="974"/>
      <c r="CZ103" s="974"/>
      <c r="DA103" s="974"/>
      <c r="DB103" s="974"/>
      <c r="DC103" s="974"/>
      <c r="DD103" s="974"/>
      <c r="DE103" s="974"/>
      <c r="DF103" s="974"/>
      <c r="DG103" s="974"/>
      <c r="DH103" s="974"/>
      <c r="DI103" s="974"/>
      <c r="DJ103" s="974"/>
      <c r="DK103" s="974"/>
      <c r="DL103" s="974"/>
      <c r="DM103" s="974"/>
      <c r="DN103" s="974"/>
      <c r="DO103" s="974"/>
      <c r="DP103" s="974"/>
      <c r="DQ103" s="974"/>
      <c r="DR103" s="974"/>
      <c r="DS103" s="974"/>
      <c r="DT103" s="974"/>
      <c r="DU103" s="974"/>
      <c r="DV103" s="974"/>
      <c r="DW103" s="974"/>
      <c r="DX103" s="974"/>
      <c r="DY103" s="974"/>
      <c r="DZ103" s="974"/>
      <c r="EA103" s="974"/>
      <c r="EB103" s="974"/>
      <c r="EC103" s="974"/>
      <c r="ED103" s="974"/>
      <c r="EE103" s="974"/>
      <c r="EF103" s="974"/>
      <c r="EG103" s="974"/>
      <c r="EH103" s="974"/>
      <c r="EI103" s="974"/>
      <c r="EJ103" s="974"/>
      <c r="EK103" s="974"/>
      <c r="EL103" s="974"/>
      <c r="EM103" s="974"/>
      <c r="EN103" s="974"/>
      <c r="EO103" s="974"/>
      <c r="EP103" s="974"/>
      <c r="EQ103" s="974"/>
      <c r="ER103" s="974"/>
      <c r="ES103" s="974"/>
      <c r="ET103" s="974"/>
      <c r="EU103" s="974"/>
      <c r="EV103" s="974"/>
      <c r="EW103" s="974"/>
      <c r="EX103" s="974"/>
      <c r="EY103" s="974"/>
      <c r="EZ103" s="974"/>
      <c r="FA103" s="974"/>
      <c r="FB103" s="974"/>
      <c r="FC103" s="974"/>
      <c r="FD103" s="974"/>
      <c r="FE103" s="974"/>
      <c r="FF103" s="974"/>
      <c r="FG103" s="974"/>
      <c r="FH103" s="974"/>
      <c r="FI103" s="974"/>
      <c r="FJ103" s="974"/>
      <c r="FK103" s="974"/>
      <c r="FL103" s="974"/>
      <c r="FM103" s="974"/>
      <c r="FN103" s="974"/>
      <c r="FO103" s="974"/>
      <c r="FP103" s="974"/>
      <c r="FQ103" s="974"/>
      <c r="FR103" s="974"/>
      <c r="FS103" s="974"/>
      <c r="FT103" s="974"/>
      <c r="FU103" s="974"/>
      <c r="FV103" s="974"/>
      <c r="FW103" s="974"/>
      <c r="FX103" s="974"/>
      <c r="FY103" s="974"/>
      <c r="FZ103" s="974"/>
      <c r="GA103" s="974"/>
      <c r="GB103" s="974"/>
      <c r="GC103" s="974"/>
      <c r="GD103" s="974"/>
      <c r="GE103" s="974"/>
      <c r="GF103" s="974"/>
      <c r="GG103" s="974"/>
      <c r="GH103" s="974"/>
      <c r="GI103" s="974"/>
      <c r="GJ103" s="974"/>
      <c r="GK103" s="974"/>
      <c r="GL103" s="974"/>
      <c r="GM103" s="974"/>
      <c r="GN103" s="974"/>
      <c r="GO103" s="974"/>
      <c r="GP103" s="974"/>
      <c r="GQ103" s="974"/>
      <c r="GR103" s="974"/>
      <c r="GS103" s="974"/>
      <c r="GT103" s="974"/>
      <c r="GU103" s="974"/>
      <c r="GV103" s="974"/>
      <c r="GW103" s="974"/>
      <c r="GX103" s="974"/>
      <c r="GY103" s="974"/>
      <c r="GZ103" s="974"/>
      <c r="HA103" s="974"/>
      <c r="HB103" s="974"/>
      <c r="HC103" s="974"/>
      <c r="HD103" s="974"/>
      <c r="HE103" s="974"/>
      <c r="HF103" s="974"/>
      <c r="HG103" s="974"/>
      <c r="HH103" s="974"/>
      <c r="HI103" s="974"/>
      <c r="HJ103" s="974"/>
      <c r="HK103" s="974"/>
      <c r="HL103" s="974"/>
      <c r="HM103" s="974"/>
      <c r="HN103" s="974"/>
      <c r="HO103" s="974"/>
      <c r="HP103" s="974"/>
      <c r="HQ103" s="974"/>
      <c r="HR103" s="974"/>
      <c r="HS103" s="974"/>
      <c r="HT103" s="974"/>
      <c r="HU103" s="974"/>
      <c r="HV103" s="974"/>
      <c r="HW103" s="974"/>
      <c r="HX103" s="974"/>
      <c r="HY103" s="974"/>
      <c r="HZ103" s="974"/>
      <c r="IA103" s="974"/>
      <c r="IB103" s="974"/>
      <c r="IC103" s="974"/>
      <c r="ID103" s="974"/>
      <c r="IE103" s="974"/>
      <c r="IF103" s="974"/>
      <c r="IG103" s="974"/>
      <c r="IH103" s="974"/>
      <c r="II103" s="974"/>
      <c r="IJ103" s="974"/>
      <c r="IK103" s="974"/>
      <c r="IL103" s="974"/>
      <c r="IM103" s="974"/>
      <c r="IN103" s="974"/>
      <c r="IO103" s="974"/>
      <c r="IP103" s="974"/>
      <c r="IQ103" s="974"/>
      <c r="IR103" s="974"/>
      <c r="IS103" s="974"/>
      <c r="IT103" s="974"/>
      <c r="IU103" s="974"/>
      <c r="IV103" s="974"/>
    </row>
    <row r="104" spans="1:256" s="865" customFormat="1" ht="11.25" customHeight="1">
      <c r="A104" s="961" t="s">
        <v>11848</v>
      </c>
      <c r="B104" s="855" t="s">
        <v>70</v>
      </c>
      <c r="C104" s="909">
        <v>95241</v>
      </c>
      <c r="D104" s="836" t="str">
        <f>PROPER(IF(B104="Saneago",VLOOKUP(C104,'SANEAGO-FEV.2016'!A:B,2,0),IF(B104="SINAPI",VLOOKUP(C104,'SINAPI-FEV.2017'!A:D,2,0),IF(B104="Cotação",VLOOKUP(C104,COTAÇÃO!A:D,2,0),IF(B104="Composição",VLOOKUP(C104,COMPOSIÇÃO!A:D,2,0))))))</f>
        <v>Lastro De Concreto, E = 5 Cm, Preparo Mecânico, Inclusos Lançamento E Adensamento. Af_07_2016</v>
      </c>
      <c r="E104" s="837"/>
      <c r="F104" s="837"/>
      <c r="G104" s="987"/>
      <c r="H104" s="987"/>
      <c r="I104" s="987"/>
      <c r="J104" s="987"/>
      <c r="K104" s="988" t="s">
        <v>27</v>
      </c>
      <c r="L104" s="988" t="s">
        <v>19797</v>
      </c>
      <c r="M104" s="840">
        <f>SUM(M93:M102)</f>
        <v>2.8880050000000002</v>
      </c>
      <c r="N104" s="972"/>
      <c r="O104" s="973"/>
      <c r="P104" s="974"/>
      <c r="Q104" s="975"/>
      <c r="R104" s="974"/>
      <c r="S104" s="974"/>
      <c r="T104" s="974"/>
      <c r="U104" s="974"/>
      <c r="V104" s="974"/>
      <c r="W104" s="974"/>
      <c r="X104" s="974"/>
      <c r="Y104" s="974"/>
      <c r="Z104" s="974"/>
      <c r="AA104" s="974"/>
      <c r="AB104" s="974"/>
      <c r="AC104" s="974"/>
      <c r="AD104" s="974"/>
      <c r="AE104" s="974"/>
      <c r="AF104" s="974"/>
      <c r="AG104" s="974"/>
      <c r="AH104" s="974"/>
      <c r="AI104" s="974"/>
      <c r="AJ104" s="974"/>
      <c r="AK104" s="974"/>
      <c r="AL104" s="974"/>
      <c r="AM104" s="974"/>
      <c r="AN104" s="974"/>
      <c r="AO104" s="974"/>
      <c r="AP104" s="974"/>
      <c r="AQ104" s="974"/>
      <c r="AR104" s="974"/>
      <c r="AS104" s="974"/>
      <c r="AT104" s="974"/>
      <c r="AU104" s="974"/>
      <c r="AV104" s="974"/>
      <c r="AW104" s="974"/>
      <c r="AX104" s="974"/>
      <c r="AY104" s="974"/>
      <c r="AZ104" s="974"/>
      <c r="BA104" s="974"/>
      <c r="BB104" s="974"/>
      <c r="BC104" s="974"/>
      <c r="BD104" s="974"/>
      <c r="BE104" s="974"/>
      <c r="BF104" s="974"/>
      <c r="BG104" s="974"/>
      <c r="BH104" s="974"/>
      <c r="BI104" s="974"/>
      <c r="BJ104" s="974"/>
      <c r="BK104" s="974"/>
      <c r="BL104" s="974"/>
      <c r="BM104" s="974"/>
      <c r="BN104" s="974"/>
      <c r="BO104" s="974"/>
      <c r="BP104" s="974"/>
      <c r="BQ104" s="974"/>
      <c r="BR104" s="974"/>
      <c r="BS104" s="974"/>
      <c r="BT104" s="974"/>
      <c r="BU104" s="974"/>
      <c r="BV104" s="974"/>
      <c r="BW104" s="974"/>
      <c r="BX104" s="974"/>
      <c r="BY104" s="974"/>
      <c r="BZ104" s="974"/>
      <c r="CA104" s="974"/>
      <c r="CB104" s="974"/>
      <c r="CC104" s="974"/>
      <c r="CD104" s="974"/>
      <c r="CE104" s="974"/>
      <c r="CF104" s="974"/>
      <c r="CG104" s="974"/>
      <c r="CH104" s="974"/>
      <c r="CI104" s="974"/>
      <c r="CJ104" s="974"/>
      <c r="CK104" s="974"/>
      <c r="CL104" s="974"/>
      <c r="CM104" s="974"/>
      <c r="CN104" s="974"/>
      <c r="CO104" s="974"/>
      <c r="CP104" s="974"/>
      <c r="CQ104" s="974"/>
      <c r="CR104" s="974"/>
      <c r="CS104" s="974"/>
      <c r="CT104" s="974"/>
      <c r="CU104" s="974"/>
      <c r="CV104" s="974"/>
      <c r="CW104" s="974"/>
      <c r="CX104" s="974"/>
      <c r="CY104" s="974"/>
      <c r="CZ104" s="974"/>
      <c r="DA104" s="974"/>
      <c r="DB104" s="974"/>
      <c r="DC104" s="974"/>
      <c r="DD104" s="974"/>
      <c r="DE104" s="974"/>
      <c r="DF104" s="974"/>
      <c r="DG104" s="974"/>
      <c r="DH104" s="974"/>
      <c r="DI104" s="974"/>
      <c r="DJ104" s="974"/>
      <c r="DK104" s="974"/>
      <c r="DL104" s="974"/>
      <c r="DM104" s="974"/>
      <c r="DN104" s="974"/>
      <c r="DO104" s="974"/>
      <c r="DP104" s="974"/>
      <c r="DQ104" s="974"/>
      <c r="DR104" s="974"/>
      <c r="DS104" s="974"/>
      <c r="DT104" s="974"/>
      <c r="DU104" s="974"/>
      <c r="DV104" s="974"/>
      <c r="DW104" s="974"/>
      <c r="DX104" s="974"/>
      <c r="DY104" s="974"/>
      <c r="DZ104" s="974"/>
      <c r="EA104" s="974"/>
      <c r="EB104" s="974"/>
      <c r="EC104" s="974"/>
      <c r="ED104" s="974"/>
      <c r="EE104" s="974"/>
      <c r="EF104" s="974"/>
      <c r="EG104" s="974"/>
      <c r="EH104" s="974"/>
      <c r="EI104" s="974"/>
      <c r="EJ104" s="974"/>
      <c r="EK104" s="974"/>
      <c r="EL104" s="974"/>
      <c r="EM104" s="974"/>
      <c r="EN104" s="974"/>
      <c r="EO104" s="974"/>
      <c r="EP104" s="974"/>
      <c r="EQ104" s="974"/>
      <c r="ER104" s="974"/>
      <c r="ES104" s="974"/>
      <c r="ET104" s="974"/>
      <c r="EU104" s="974"/>
      <c r="EV104" s="974"/>
      <c r="EW104" s="974"/>
      <c r="EX104" s="974"/>
      <c r="EY104" s="974"/>
      <c r="EZ104" s="974"/>
      <c r="FA104" s="974"/>
      <c r="FB104" s="974"/>
      <c r="FC104" s="974"/>
      <c r="FD104" s="974"/>
      <c r="FE104" s="974"/>
      <c r="FF104" s="974"/>
      <c r="FG104" s="974"/>
      <c r="FH104" s="974"/>
      <c r="FI104" s="974"/>
      <c r="FJ104" s="974"/>
      <c r="FK104" s="974"/>
      <c r="FL104" s="974"/>
      <c r="FM104" s="974"/>
      <c r="FN104" s="974"/>
      <c r="FO104" s="974"/>
      <c r="FP104" s="974"/>
      <c r="FQ104" s="974"/>
      <c r="FR104" s="974"/>
      <c r="FS104" s="974"/>
      <c r="FT104" s="974"/>
      <c r="FU104" s="974"/>
      <c r="FV104" s="974"/>
      <c r="FW104" s="974"/>
      <c r="FX104" s="974"/>
      <c r="FY104" s="974"/>
      <c r="FZ104" s="974"/>
      <c r="GA104" s="974"/>
      <c r="GB104" s="974"/>
      <c r="GC104" s="974"/>
      <c r="GD104" s="974"/>
      <c r="GE104" s="974"/>
      <c r="GF104" s="974"/>
      <c r="GG104" s="974"/>
      <c r="GH104" s="974"/>
      <c r="GI104" s="974"/>
      <c r="GJ104" s="974"/>
      <c r="GK104" s="974"/>
      <c r="GL104" s="974"/>
      <c r="GM104" s="974"/>
      <c r="GN104" s="974"/>
      <c r="GO104" s="974"/>
      <c r="GP104" s="974"/>
      <c r="GQ104" s="974"/>
      <c r="GR104" s="974"/>
      <c r="GS104" s="974"/>
      <c r="GT104" s="974"/>
      <c r="GU104" s="974"/>
      <c r="GV104" s="974"/>
      <c r="GW104" s="974"/>
      <c r="GX104" s="974"/>
      <c r="GY104" s="974"/>
      <c r="GZ104" s="974"/>
      <c r="HA104" s="974"/>
      <c r="HB104" s="974"/>
      <c r="HC104" s="974"/>
      <c r="HD104" s="974"/>
      <c r="HE104" s="974"/>
      <c r="HF104" s="974"/>
      <c r="HG104" s="974"/>
      <c r="HH104" s="974"/>
      <c r="HI104" s="974"/>
      <c r="HJ104" s="974"/>
      <c r="HK104" s="974"/>
      <c r="HL104" s="974"/>
      <c r="HM104" s="974"/>
      <c r="HN104" s="974"/>
      <c r="HO104" s="974"/>
      <c r="HP104" s="974"/>
      <c r="HQ104" s="974"/>
      <c r="HR104" s="974"/>
      <c r="HS104" s="974"/>
      <c r="HT104" s="974"/>
      <c r="HU104" s="974"/>
      <c r="HV104" s="974"/>
      <c r="HW104" s="974"/>
      <c r="HX104" s="974"/>
      <c r="HY104" s="974"/>
      <c r="HZ104" s="974"/>
      <c r="IA104" s="974"/>
      <c r="IB104" s="974"/>
      <c r="IC104" s="974"/>
      <c r="ID104" s="974"/>
      <c r="IE104" s="974"/>
      <c r="IF104" s="974"/>
      <c r="IG104" s="974"/>
      <c r="IH104" s="974"/>
      <c r="II104" s="974"/>
      <c r="IJ104" s="974"/>
      <c r="IK104" s="974"/>
      <c r="IL104" s="974"/>
      <c r="IM104" s="974"/>
      <c r="IN104" s="974"/>
      <c r="IO104" s="974"/>
      <c r="IP104" s="974"/>
      <c r="IQ104" s="974"/>
      <c r="IR104" s="974"/>
      <c r="IS104" s="974"/>
      <c r="IT104" s="974"/>
      <c r="IU104" s="974"/>
      <c r="IV104" s="974"/>
    </row>
    <row r="105" spans="1:256" s="863" customFormat="1" ht="6.75" customHeight="1" thickBot="1">
      <c r="A105" s="921"/>
      <c r="B105" s="919"/>
      <c r="C105" s="919"/>
      <c r="D105" s="826"/>
      <c r="E105" s="790"/>
      <c r="F105" s="790"/>
      <c r="G105" s="828"/>
      <c r="H105" s="828"/>
      <c r="I105" s="828"/>
      <c r="J105" s="828"/>
      <c r="K105" s="828"/>
      <c r="L105" s="700"/>
      <c r="M105" s="829"/>
      <c r="N105" s="700"/>
      <c r="P105" s="871"/>
    </row>
    <row r="106" spans="1:256" s="863" customFormat="1" ht="15.75" customHeight="1" thickTop="1" thickBot="1">
      <c r="A106" s="921"/>
      <c r="B106" s="919"/>
      <c r="C106" s="919"/>
      <c r="D106" s="830" t="s">
        <v>41</v>
      </c>
      <c r="E106" s="831"/>
      <c r="F106" s="831"/>
      <c r="G106" s="831"/>
      <c r="H106" s="831"/>
      <c r="I106" s="831"/>
      <c r="J106" s="831"/>
      <c r="K106" s="831"/>
      <c r="L106" s="832"/>
      <c r="M106" s="833"/>
      <c r="N106" s="870"/>
      <c r="O106" s="871"/>
      <c r="P106" s="871"/>
    </row>
    <row r="107" spans="1:256" s="863" customFormat="1" ht="13.5" thickTop="1">
      <c r="A107" s="961"/>
      <c r="B107" s="919"/>
      <c r="C107" s="919"/>
      <c r="D107" s="878"/>
      <c r="E107" s="816"/>
      <c r="F107" s="816"/>
      <c r="G107" s="700" t="s">
        <v>30</v>
      </c>
      <c r="H107" s="700" t="s">
        <v>30</v>
      </c>
      <c r="I107" s="700" t="s">
        <v>30</v>
      </c>
      <c r="J107" s="700" t="s">
        <v>30</v>
      </c>
      <c r="K107" s="700" t="s">
        <v>30</v>
      </c>
      <c r="L107" s="700" t="s">
        <v>30</v>
      </c>
      <c r="M107" s="700" t="s">
        <v>30</v>
      </c>
      <c r="N107" s="700"/>
      <c r="P107" s="871"/>
    </row>
    <row r="108" spans="1:256" s="863" customFormat="1">
      <c r="A108" s="961"/>
      <c r="B108" s="919"/>
      <c r="C108" s="976"/>
      <c r="D108" s="836" t="s">
        <v>11693</v>
      </c>
      <c r="E108" s="837"/>
      <c r="F108" s="837"/>
      <c r="G108" s="880"/>
      <c r="H108" s="880"/>
      <c r="I108" s="880"/>
      <c r="J108" s="880"/>
      <c r="K108" s="880"/>
      <c r="L108" s="852" t="s">
        <v>18</v>
      </c>
      <c r="M108" s="853">
        <v>0.6</v>
      </c>
      <c r="N108" s="700"/>
      <c r="P108" s="871"/>
    </row>
    <row r="109" spans="1:256" s="863" customFormat="1">
      <c r="A109" s="961"/>
      <c r="B109" s="919"/>
      <c r="C109" s="898"/>
      <c r="D109" s="881"/>
      <c r="E109" s="882"/>
      <c r="F109" s="882"/>
      <c r="G109" s="700"/>
      <c r="H109" s="700"/>
      <c r="I109" s="700"/>
      <c r="J109" s="700"/>
      <c r="K109" s="700"/>
      <c r="L109" s="883"/>
      <c r="M109" s="884"/>
      <c r="N109" s="700"/>
      <c r="P109" s="871"/>
    </row>
    <row r="110" spans="1:256" s="863" customFormat="1" ht="15">
      <c r="A110" s="961"/>
      <c r="B110" s="919"/>
      <c r="C110" s="976"/>
      <c r="D110" s="836" t="s">
        <v>11668</v>
      </c>
      <c r="E110" s="837"/>
      <c r="F110" s="837"/>
      <c r="G110" s="852"/>
      <c r="H110" s="852"/>
      <c r="I110" s="852"/>
      <c r="J110" s="852"/>
      <c r="K110" s="852"/>
      <c r="L110" s="852"/>
      <c r="M110" s="885">
        <v>25</v>
      </c>
      <c r="N110" s="700"/>
      <c r="O110" s="886"/>
      <c r="P110" s="871"/>
    </row>
    <row r="111" spans="1:256" s="863" customFormat="1" ht="22.5">
      <c r="A111" s="961"/>
      <c r="B111" s="919"/>
      <c r="C111" s="898"/>
      <c r="D111" s="881"/>
      <c r="E111" s="882"/>
      <c r="F111" s="882"/>
      <c r="G111" s="700"/>
      <c r="H111" s="700"/>
      <c r="I111" s="700" t="s">
        <v>11671</v>
      </c>
      <c r="J111" s="700" t="s">
        <v>11672</v>
      </c>
      <c r="K111" s="700" t="s">
        <v>11673</v>
      </c>
      <c r="L111" s="883"/>
      <c r="M111" s="884"/>
      <c r="N111" s="700"/>
      <c r="P111" s="871"/>
    </row>
    <row r="112" spans="1:256" s="863" customFormat="1" ht="15">
      <c r="A112" s="921"/>
      <c r="B112" s="919"/>
      <c r="C112" s="995"/>
      <c r="D112" s="836" t="s">
        <v>11670</v>
      </c>
      <c r="E112" s="837"/>
      <c r="F112" s="837"/>
      <c r="G112" s="852"/>
      <c r="H112" s="852"/>
      <c r="I112" s="852">
        <v>0.25</v>
      </c>
      <c r="J112" s="852">
        <v>0.15</v>
      </c>
      <c r="K112" s="852">
        <v>0.05</v>
      </c>
      <c r="L112" s="852" t="s">
        <v>18</v>
      </c>
      <c r="M112" s="853">
        <f>SUM(I112:K112)</f>
        <v>0.45</v>
      </c>
      <c r="N112" s="700"/>
      <c r="O112" s="886"/>
      <c r="P112" s="871"/>
    </row>
    <row r="113" spans="1:16" s="863" customFormat="1" ht="33.75">
      <c r="A113" s="921"/>
      <c r="B113" s="919"/>
      <c r="C113" s="898"/>
      <c r="D113" s="881"/>
      <c r="E113" s="990"/>
      <c r="F113" s="990"/>
      <c r="G113" s="970" t="s">
        <v>30</v>
      </c>
      <c r="H113" s="970" t="s">
        <v>1275</v>
      </c>
      <c r="I113" s="970" t="s">
        <v>17</v>
      </c>
      <c r="J113" s="970" t="s">
        <v>19</v>
      </c>
      <c r="K113" s="700" t="s">
        <v>11887</v>
      </c>
      <c r="L113" s="700" t="s">
        <v>11875</v>
      </c>
      <c r="M113" s="876" t="s">
        <v>11888</v>
      </c>
      <c r="N113" s="700"/>
      <c r="P113" s="871"/>
    </row>
    <row r="114" spans="1:16" s="863" customFormat="1">
      <c r="A114" s="921"/>
      <c r="B114" s="919"/>
      <c r="C114" s="898"/>
      <c r="D114" s="826"/>
      <c r="E114" s="1674" t="s">
        <v>11877</v>
      </c>
      <c r="F114" s="1674"/>
      <c r="G114" s="1674"/>
      <c r="H114" s="991">
        <v>1</v>
      </c>
      <c r="I114" s="970">
        <f>I93</f>
        <v>1.48</v>
      </c>
      <c r="J114" s="970">
        <f>J93</f>
        <v>1.48</v>
      </c>
      <c r="K114" s="828">
        <f>1.85+0.15</f>
        <v>2</v>
      </c>
      <c r="L114" s="828">
        <f>SUM(K67+K80+K93)</f>
        <v>0.45</v>
      </c>
      <c r="M114" s="877">
        <f>K114+L114</f>
        <v>2.4500000000000002</v>
      </c>
      <c r="N114" s="700"/>
      <c r="P114" s="871"/>
    </row>
    <row r="115" spans="1:16" s="863" customFormat="1">
      <c r="A115" s="921"/>
      <c r="B115" s="919"/>
      <c r="C115" s="898"/>
      <c r="D115" s="826"/>
      <c r="E115" s="1674" t="s">
        <v>11878</v>
      </c>
      <c r="F115" s="1674"/>
      <c r="G115" s="1674"/>
      <c r="H115" s="991">
        <f t="shared" ref="H115:J119" si="10">H114</f>
        <v>1</v>
      </c>
      <c r="I115" s="970">
        <f t="shared" si="10"/>
        <v>1.48</v>
      </c>
      <c r="J115" s="970">
        <f t="shared" si="10"/>
        <v>1.48</v>
      </c>
      <c r="K115" s="828">
        <f>1.2+0.15</f>
        <v>1.3499999999999999</v>
      </c>
      <c r="L115" s="828">
        <f>L114</f>
        <v>0.45</v>
      </c>
      <c r="M115" s="877">
        <f t="shared" ref="M115:M120" si="11">K115+L115</f>
        <v>1.7999999999999998</v>
      </c>
      <c r="N115" s="700"/>
      <c r="P115" s="871"/>
    </row>
    <row r="116" spans="1:16" s="863" customFormat="1">
      <c r="A116" s="921"/>
      <c r="B116" s="919"/>
      <c r="C116" s="898"/>
      <c r="D116" s="826"/>
      <c r="E116" s="1674" t="s">
        <v>11879</v>
      </c>
      <c r="F116" s="1674"/>
      <c r="G116" s="1674"/>
      <c r="H116" s="991">
        <f t="shared" si="10"/>
        <v>1</v>
      </c>
      <c r="I116" s="970">
        <f t="shared" si="10"/>
        <v>1.48</v>
      </c>
      <c r="J116" s="970">
        <f t="shared" si="10"/>
        <v>1.48</v>
      </c>
      <c r="K116" s="828">
        <f>1.6+0.15</f>
        <v>1.75</v>
      </c>
      <c r="L116" s="828">
        <f>L115</f>
        <v>0.45</v>
      </c>
      <c r="M116" s="877">
        <f t="shared" si="11"/>
        <v>2.2000000000000002</v>
      </c>
      <c r="N116" s="700"/>
      <c r="P116" s="871"/>
    </row>
    <row r="117" spans="1:16" s="863" customFormat="1">
      <c r="A117" s="921"/>
      <c r="B117" s="919"/>
      <c r="C117" s="898"/>
      <c r="D117" s="826"/>
      <c r="E117" s="1674" t="s">
        <v>11880</v>
      </c>
      <c r="F117" s="1674"/>
      <c r="G117" s="1674"/>
      <c r="H117" s="991">
        <f t="shared" si="10"/>
        <v>1</v>
      </c>
      <c r="I117" s="970">
        <f t="shared" si="10"/>
        <v>1.48</v>
      </c>
      <c r="J117" s="970">
        <f t="shared" si="10"/>
        <v>1.48</v>
      </c>
      <c r="K117" s="828">
        <f>1.8+0.15</f>
        <v>1.95</v>
      </c>
      <c r="L117" s="828">
        <f>L116</f>
        <v>0.45</v>
      </c>
      <c r="M117" s="877">
        <f t="shared" si="11"/>
        <v>2.4</v>
      </c>
      <c r="N117" s="700"/>
      <c r="P117" s="871"/>
    </row>
    <row r="118" spans="1:16" s="863" customFormat="1">
      <c r="A118" s="921"/>
      <c r="B118" s="919"/>
      <c r="C118" s="898"/>
      <c r="D118" s="826"/>
      <c r="E118" s="1674" t="s">
        <v>11881</v>
      </c>
      <c r="F118" s="1674"/>
      <c r="G118" s="1674"/>
      <c r="H118" s="991">
        <f t="shared" si="10"/>
        <v>1</v>
      </c>
      <c r="I118" s="970">
        <f t="shared" si="10"/>
        <v>1.48</v>
      </c>
      <c r="J118" s="970">
        <f t="shared" si="10"/>
        <v>1.48</v>
      </c>
      <c r="K118" s="828">
        <f>2.45+0.15</f>
        <v>2.6</v>
      </c>
      <c r="L118" s="828">
        <f>L117</f>
        <v>0.45</v>
      </c>
      <c r="M118" s="877">
        <f t="shared" si="11"/>
        <v>3.0500000000000003</v>
      </c>
      <c r="N118" s="700"/>
      <c r="P118" s="871"/>
    </row>
    <row r="119" spans="1:16" s="863" customFormat="1">
      <c r="A119" s="921"/>
      <c r="B119" s="919"/>
      <c r="C119" s="898"/>
      <c r="D119" s="826"/>
      <c r="E119" s="1674" t="s">
        <v>11882</v>
      </c>
      <c r="F119" s="1674"/>
      <c r="G119" s="1674"/>
      <c r="H119" s="991">
        <f t="shared" si="10"/>
        <v>1</v>
      </c>
      <c r="I119" s="970">
        <f t="shared" si="10"/>
        <v>1.48</v>
      </c>
      <c r="J119" s="970">
        <f t="shared" si="10"/>
        <v>1.48</v>
      </c>
      <c r="K119" s="828">
        <f>3+0.15</f>
        <v>3.15</v>
      </c>
      <c r="L119" s="828">
        <f>L118</f>
        <v>0.45</v>
      </c>
      <c r="M119" s="877">
        <f t="shared" si="11"/>
        <v>3.6</v>
      </c>
      <c r="N119" s="700"/>
      <c r="P119" s="871"/>
    </row>
    <row r="120" spans="1:16" s="863" customFormat="1">
      <c r="A120" s="921"/>
      <c r="B120" s="919"/>
      <c r="C120" s="898"/>
      <c r="D120" s="826"/>
      <c r="E120" s="1674" t="s">
        <v>11883</v>
      </c>
      <c r="F120" s="1674"/>
      <c r="G120" s="1674"/>
      <c r="H120" s="991">
        <v>1</v>
      </c>
      <c r="I120" s="970">
        <f t="shared" ref="H120:J122" si="12">I94</f>
        <v>1.48</v>
      </c>
      <c r="J120" s="970">
        <f t="shared" si="12"/>
        <v>1.48</v>
      </c>
      <c r="K120" s="828">
        <f>2.4+0.15</f>
        <v>2.5499999999999998</v>
      </c>
      <c r="L120" s="828">
        <f>SUM(K68+K81+K94)</f>
        <v>0.45</v>
      </c>
      <c r="M120" s="877">
        <f t="shared" si="11"/>
        <v>3</v>
      </c>
      <c r="N120" s="700"/>
      <c r="P120" s="871"/>
    </row>
    <row r="121" spans="1:16" s="863" customFormat="1" ht="12.75" customHeight="1">
      <c r="A121" s="921"/>
      <c r="B121" s="919"/>
      <c r="C121" s="898"/>
      <c r="D121" s="826"/>
      <c r="E121" s="1674" t="s">
        <v>11884</v>
      </c>
      <c r="F121" s="1674"/>
      <c r="G121" s="1674"/>
      <c r="H121" s="991">
        <f t="shared" si="12"/>
        <v>1</v>
      </c>
      <c r="I121" s="970">
        <f>I120</f>
        <v>1.48</v>
      </c>
      <c r="J121" s="970">
        <f>J120</f>
        <v>1.48</v>
      </c>
      <c r="K121" s="828">
        <f>3.2+0.15</f>
        <v>3.35</v>
      </c>
      <c r="L121" s="828">
        <f>SUM(K69+K82+K95)</f>
        <v>0.45</v>
      </c>
      <c r="M121" s="877">
        <f>K121+L121</f>
        <v>3.8000000000000003</v>
      </c>
      <c r="N121" s="700"/>
      <c r="P121" s="871"/>
    </row>
    <row r="122" spans="1:16" s="863" customFormat="1" ht="12.75" customHeight="1">
      <c r="A122" s="921"/>
      <c r="B122" s="919"/>
      <c r="C122" s="898"/>
      <c r="D122" s="826"/>
      <c r="E122" s="1674" t="s">
        <v>11921</v>
      </c>
      <c r="F122" s="1674"/>
      <c r="G122" s="1674"/>
      <c r="H122" s="991">
        <f t="shared" si="12"/>
        <v>1</v>
      </c>
      <c r="I122" s="970">
        <f>I121</f>
        <v>1.48</v>
      </c>
      <c r="J122" s="970">
        <f>J121</f>
        <v>1.48</v>
      </c>
      <c r="K122" s="828">
        <f>1.5+0.15</f>
        <v>1.65</v>
      </c>
      <c r="L122" s="828">
        <f>SUM(K70+K83+K96)</f>
        <v>0.45</v>
      </c>
      <c r="M122" s="877">
        <f>K122+L122</f>
        <v>2.1</v>
      </c>
      <c r="N122" s="700"/>
      <c r="P122" s="871"/>
    </row>
    <row r="123" spans="1:16" s="863" customFormat="1">
      <c r="A123" s="921"/>
      <c r="B123" s="919"/>
      <c r="C123" s="898"/>
      <c r="D123" s="826"/>
      <c r="E123" s="1674" t="s">
        <v>11838</v>
      </c>
      <c r="F123" s="1674"/>
      <c r="G123" s="1674"/>
      <c r="H123" s="991">
        <f t="shared" ref="H123:J130" si="13">H95</f>
        <v>1</v>
      </c>
      <c r="I123" s="970">
        <f t="shared" si="13"/>
        <v>2.8</v>
      </c>
      <c r="J123" s="970">
        <f t="shared" si="13"/>
        <v>1.9</v>
      </c>
      <c r="K123" s="828">
        <v>2</v>
      </c>
      <c r="L123" s="828">
        <f t="shared" ref="L123:L130" si="14">SUM(K69+K82+K95)</f>
        <v>0.45</v>
      </c>
      <c r="M123" s="877">
        <f t="shared" ref="M123:M129" si="15">K123+L123</f>
        <v>2.4500000000000002</v>
      </c>
      <c r="N123" s="700"/>
      <c r="P123" s="871"/>
    </row>
    <row r="124" spans="1:16" s="863" customFormat="1">
      <c r="A124" s="921"/>
      <c r="B124" s="919"/>
      <c r="C124" s="898"/>
      <c r="D124" s="826"/>
      <c r="E124" s="1674" t="s">
        <v>11839</v>
      </c>
      <c r="F124" s="1674"/>
      <c r="G124" s="1674"/>
      <c r="H124" s="991">
        <f t="shared" si="13"/>
        <v>1</v>
      </c>
      <c r="I124" s="970">
        <f t="shared" si="13"/>
        <v>1.65</v>
      </c>
      <c r="J124" s="970">
        <f t="shared" si="13"/>
        <v>1.55</v>
      </c>
      <c r="K124" s="828">
        <f>1.6+0.35+0.2</f>
        <v>2.1500000000000004</v>
      </c>
      <c r="L124" s="828">
        <f t="shared" si="14"/>
        <v>0.45</v>
      </c>
      <c r="M124" s="877">
        <f t="shared" si="15"/>
        <v>2.6000000000000005</v>
      </c>
      <c r="N124" s="700"/>
      <c r="P124" s="871"/>
    </row>
    <row r="125" spans="1:16" s="863" customFormat="1">
      <c r="A125" s="921"/>
      <c r="B125" s="919"/>
      <c r="C125" s="898"/>
      <c r="D125" s="826"/>
      <c r="E125" s="854"/>
      <c r="F125" s="1674" t="s">
        <v>11870</v>
      </c>
      <c r="G125" s="1674"/>
      <c r="H125" s="991">
        <f t="shared" si="13"/>
        <v>4</v>
      </c>
      <c r="I125" s="970">
        <f t="shared" si="13"/>
        <v>1.6</v>
      </c>
      <c r="J125" s="970">
        <f t="shared" si="13"/>
        <v>1.4</v>
      </c>
      <c r="K125" s="828">
        <v>1.4</v>
      </c>
      <c r="L125" s="828">
        <f t="shared" si="14"/>
        <v>0.45</v>
      </c>
      <c r="M125" s="877">
        <f t="shared" si="15"/>
        <v>1.8499999999999999</v>
      </c>
      <c r="N125" s="700"/>
      <c r="P125" s="871"/>
    </row>
    <row r="126" spans="1:16" s="863" customFormat="1">
      <c r="A126" s="921"/>
      <c r="B126" s="919"/>
      <c r="C126" s="898"/>
      <c r="D126" s="826"/>
      <c r="E126" s="854"/>
      <c r="F126" s="1674" t="s">
        <v>11871</v>
      </c>
      <c r="G126" s="1674"/>
      <c r="H126" s="991">
        <f t="shared" si="13"/>
        <v>2</v>
      </c>
      <c r="I126" s="970">
        <f t="shared" si="13"/>
        <v>4</v>
      </c>
      <c r="J126" s="970">
        <f t="shared" si="13"/>
        <v>0.2</v>
      </c>
      <c r="K126" s="828">
        <v>0.3</v>
      </c>
      <c r="L126" s="828">
        <f t="shared" si="14"/>
        <v>0</v>
      </c>
      <c r="M126" s="877">
        <f t="shared" si="15"/>
        <v>0.3</v>
      </c>
      <c r="N126" s="700"/>
      <c r="P126" s="871"/>
    </row>
    <row r="127" spans="1:16" s="863" customFormat="1">
      <c r="A127" s="921"/>
      <c r="B127" s="919"/>
      <c r="C127" s="898"/>
      <c r="D127" s="826"/>
      <c r="E127" s="854"/>
      <c r="F127" s="1674" t="s">
        <v>11872</v>
      </c>
      <c r="G127" s="1674"/>
      <c r="H127" s="991">
        <f t="shared" si="13"/>
        <v>2</v>
      </c>
      <c r="I127" s="970">
        <f t="shared" si="13"/>
        <v>2.7</v>
      </c>
      <c r="J127" s="970">
        <f t="shared" si="13"/>
        <v>0.2</v>
      </c>
      <c r="K127" s="828">
        <v>0.3</v>
      </c>
      <c r="L127" s="828">
        <f t="shared" si="14"/>
        <v>0</v>
      </c>
      <c r="M127" s="877">
        <f t="shared" si="15"/>
        <v>0.3</v>
      </c>
      <c r="N127" s="700"/>
      <c r="P127" s="871"/>
    </row>
    <row r="128" spans="1:16" s="863" customFormat="1">
      <c r="A128" s="921"/>
      <c r="B128" s="919"/>
      <c r="C128" s="898"/>
      <c r="D128" s="826"/>
      <c r="E128" s="854"/>
      <c r="F128" s="854"/>
      <c r="G128" s="854" t="s">
        <v>11841</v>
      </c>
      <c r="H128" s="991">
        <f t="shared" si="13"/>
        <v>1</v>
      </c>
      <c r="I128" s="970">
        <f t="shared" si="13"/>
        <v>2.82</v>
      </c>
      <c r="J128" s="970">
        <f t="shared" si="13"/>
        <v>2.7</v>
      </c>
      <c r="K128" s="828">
        <v>2.15</v>
      </c>
      <c r="L128" s="828">
        <f t="shared" si="14"/>
        <v>0.45</v>
      </c>
      <c r="M128" s="877">
        <f t="shared" si="15"/>
        <v>2.6</v>
      </c>
      <c r="N128" s="700"/>
      <c r="P128" s="871"/>
    </row>
    <row r="129" spans="1:16" s="863" customFormat="1">
      <c r="A129" s="921"/>
      <c r="B129" s="919"/>
      <c r="C129" s="898"/>
      <c r="D129" s="826"/>
      <c r="E129" s="854"/>
      <c r="F129" s="854"/>
      <c r="G129" s="854" t="s">
        <v>11842</v>
      </c>
      <c r="H129" s="991">
        <f t="shared" si="13"/>
        <v>1</v>
      </c>
      <c r="I129" s="970">
        <f t="shared" si="13"/>
        <v>3.05</v>
      </c>
      <c r="J129" s="970">
        <f t="shared" si="13"/>
        <v>2.2000000000000002</v>
      </c>
      <c r="K129" s="828">
        <f>1.4+0.2</f>
        <v>1.5999999999999999</v>
      </c>
      <c r="L129" s="828">
        <f t="shared" si="14"/>
        <v>0.45</v>
      </c>
      <c r="M129" s="877">
        <f t="shared" si="15"/>
        <v>2.0499999999999998</v>
      </c>
      <c r="N129" s="700"/>
      <c r="P129" s="871"/>
    </row>
    <row r="130" spans="1:16" s="863" customFormat="1">
      <c r="A130" s="921"/>
      <c r="B130" s="919"/>
      <c r="C130" s="898"/>
      <c r="D130" s="826"/>
      <c r="E130" s="854"/>
      <c r="F130" s="854"/>
      <c r="G130" s="854" t="s">
        <v>11843</v>
      </c>
      <c r="H130" s="991">
        <f t="shared" si="13"/>
        <v>1</v>
      </c>
      <c r="I130" s="970">
        <f t="shared" si="13"/>
        <v>2.7</v>
      </c>
      <c r="J130" s="970">
        <f t="shared" si="13"/>
        <v>2.5499999999999998</v>
      </c>
      <c r="K130" s="828">
        <v>0.45</v>
      </c>
      <c r="L130" s="828">
        <f t="shared" si="14"/>
        <v>0.45</v>
      </c>
      <c r="M130" s="877">
        <f>K130+L130</f>
        <v>0.9</v>
      </c>
      <c r="N130" s="700"/>
      <c r="P130" s="871"/>
    </row>
    <row r="131" spans="1:16" s="863" customFormat="1" ht="15">
      <c r="A131" s="921"/>
      <c r="B131" s="919"/>
      <c r="C131" s="996"/>
      <c r="D131" s="836" t="s">
        <v>11873</v>
      </c>
      <c r="E131" s="837"/>
      <c r="F131" s="837"/>
      <c r="G131" s="852"/>
      <c r="H131" s="852"/>
      <c r="I131" s="852"/>
      <c r="J131" s="852"/>
      <c r="K131" s="852"/>
      <c r="L131" s="852"/>
      <c r="M131" s="997"/>
      <c r="N131" s="700"/>
      <c r="O131" s="886"/>
      <c r="P131" s="871"/>
    </row>
    <row r="132" spans="1:16" s="863" customFormat="1" ht="22.5" customHeight="1">
      <c r="A132" s="921"/>
      <c r="B132" s="919"/>
      <c r="C132" s="919"/>
      <c r="D132" s="881"/>
      <c r="E132" s="882"/>
      <c r="F132" s="700" t="s">
        <v>1275</v>
      </c>
      <c r="G132" s="700" t="s">
        <v>11885</v>
      </c>
      <c r="H132" s="700" t="s">
        <v>11669</v>
      </c>
      <c r="I132" s="700" t="s">
        <v>11886</v>
      </c>
      <c r="J132" s="700" t="s">
        <v>11675</v>
      </c>
      <c r="K132" s="700" t="s">
        <v>11667</v>
      </c>
      <c r="L132" s="883"/>
      <c r="M132" s="884"/>
      <c r="N132" s="700"/>
      <c r="P132" s="871"/>
    </row>
    <row r="133" spans="1:16" s="863" customFormat="1">
      <c r="A133" s="921"/>
      <c r="B133" s="919"/>
      <c r="C133" s="919"/>
      <c r="D133" s="888" t="s">
        <v>11877</v>
      </c>
      <c r="E133" s="824"/>
      <c r="F133" s="907">
        <f t="shared" ref="F133:F149" si="16">H114</f>
        <v>1</v>
      </c>
      <c r="G133" s="828">
        <f t="shared" ref="G133:G149" si="17">I114+M$108*2</f>
        <v>2.6799999999999997</v>
      </c>
      <c r="H133" s="828">
        <f t="shared" ref="H133:H149" si="18">J114+M$108*2</f>
        <v>2.6799999999999997</v>
      </c>
      <c r="I133" s="828">
        <f>G133+2*(K133*TAN(M$110*PI()/180))</f>
        <v>4.9649075249594929</v>
      </c>
      <c r="J133" s="828">
        <f>H133+2*(K133*TAN(M$110*PI()/180))</f>
        <v>4.9649075249594929</v>
      </c>
      <c r="K133" s="828">
        <f t="shared" ref="K133:K149" si="19">M114</f>
        <v>2.4500000000000002</v>
      </c>
      <c r="L133" s="828" t="s">
        <v>22</v>
      </c>
      <c r="M133" s="829">
        <f>ROUND(F133*((K133/3)*((I133*J133)+SQRT((I133*J133)*(G133*H133))+(G133*H133))),2)</f>
        <v>36.86</v>
      </c>
      <c r="N133" s="700"/>
      <c r="P133" s="871"/>
    </row>
    <row r="134" spans="1:16" s="863" customFormat="1">
      <c r="A134" s="921"/>
      <c r="B134" s="919"/>
      <c r="C134" s="919"/>
      <c r="D134" s="888" t="s">
        <v>11878</v>
      </c>
      <c r="E134" s="824"/>
      <c r="F134" s="907">
        <f t="shared" si="16"/>
        <v>1</v>
      </c>
      <c r="G134" s="828">
        <f t="shared" si="17"/>
        <v>2.6799999999999997</v>
      </c>
      <c r="H134" s="828">
        <f t="shared" si="18"/>
        <v>2.6799999999999997</v>
      </c>
      <c r="I134" s="828">
        <f t="shared" ref="I134:I146" si="20">G134+2*(K134*TAN(M$110*PI()/180))</f>
        <v>4.3587075693579944</v>
      </c>
      <c r="J134" s="828">
        <f t="shared" ref="J134:J146" si="21">H134+2*(K134*TAN(M$110*PI()/180))</f>
        <v>4.3587075693579944</v>
      </c>
      <c r="K134" s="828">
        <f t="shared" si="19"/>
        <v>1.7999999999999998</v>
      </c>
      <c r="L134" s="828" t="s">
        <v>22</v>
      </c>
      <c r="M134" s="829">
        <f t="shared" ref="M134:M149" si="22">ROUND(F134*((K134/3)*((I134*J134)+SQRT((I134*J134)*(G134*H134))+(G134*H134))),2)</f>
        <v>22.72</v>
      </c>
      <c r="N134" s="700"/>
      <c r="P134" s="871"/>
    </row>
    <row r="135" spans="1:16" s="863" customFormat="1">
      <c r="A135" s="921"/>
      <c r="B135" s="919"/>
      <c r="C135" s="919"/>
      <c r="D135" s="888" t="s">
        <v>11879</v>
      </c>
      <c r="E135" s="824"/>
      <c r="F135" s="907">
        <f t="shared" si="16"/>
        <v>1</v>
      </c>
      <c r="G135" s="828">
        <f t="shared" si="17"/>
        <v>2.6799999999999997</v>
      </c>
      <c r="H135" s="828">
        <f t="shared" si="18"/>
        <v>2.6799999999999997</v>
      </c>
      <c r="I135" s="828">
        <f t="shared" si="20"/>
        <v>4.7317536958819932</v>
      </c>
      <c r="J135" s="828">
        <f t="shared" si="21"/>
        <v>4.7317536958819932</v>
      </c>
      <c r="K135" s="828">
        <f t="shared" si="19"/>
        <v>2.2000000000000002</v>
      </c>
      <c r="L135" s="828" t="s">
        <v>22</v>
      </c>
      <c r="M135" s="829">
        <f t="shared" si="22"/>
        <v>30.99</v>
      </c>
      <c r="N135" s="700"/>
      <c r="P135" s="871"/>
    </row>
    <row r="136" spans="1:16" s="863" customFormat="1">
      <c r="A136" s="921"/>
      <c r="B136" s="919"/>
      <c r="C136" s="919"/>
      <c r="D136" s="888" t="s">
        <v>11880</v>
      </c>
      <c r="E136" s="824"/>
      <c r="F136" s="907">
        <f t="shared" si="16"/>
        <v>1</v>
      </c>
      <c r="G136" s="828">
        <f t="shared" si="17"/>
        <v>2.6799999999999997</v>
      </c>
      <c r="H136" s="828">
        <f t="shared" si="18"/>
        <v>2.6799999999999997</v>
      </c>
      <c r="I136" s="828">
        <f t="shared" si="20"/>
        <v>4.9182767591439926</v>
      </c>
      <c r="J136" s="828">
        <f t="shared" si="21"/>
        <v>4.9182767591439926</v>
      </c>
      <c r="K136" s="828">
        <f t="shared" si="19"/>
        <v>2.4</v>
      </c>
      <c r="L136" s="828" t="s">
        <v>22</v>
      </c>
      <c r="M136" s="829">
        <f t="shared" si="22"/>
        <v>35.64</v>
      </c>
      <c r="N136" s="700"/>
      <c r="P136" s="871"/>
    </row>
    <row r="137" spans="1:16" s="863" customFormat="1">
      <c r="A137" s="921"/>
      <c r="B137" s="919"/>
      <c r="C137" s="919"/>
      <c r="D137" s="888" t="s">
        <v>11881</v>
      </c>
      <c r="E137" s="824"/>
      <c r="F137" s="907">
        <f t="shared" si="16"/>
        <v>1</v>
      </c>
      <c r="G137" s="828">
        <f t="shared" si="17"/>
        <v>2.6799999999999997</v>
      </c>
      <c r="H137" s="828">
        <f t="shared" si="18"/>
        <v>2.6799999999999997</v>
      </c>
      <c r="I137" s="828">
        <f t="shared" si="20"/>
        <v>5.5244767147454912</v>
      </c>
      <c r="J137" s="828">
        <f t="shared" si="21"/>
        <v>5.5244767147454912</v>
      </c>
      <c r="K137" s="828">
        <f t="shared" si="19"/>
        <v>3.0500000000000003</v>
      </c>
      <c r="L137" s="828" t="s">
        <v>22</v>
      </c>
      <c r="M137" s="829">
        <f t="shared" si="22"/>
        <v>53.38</v>
      </c>
      <c r="N137" s="700"/>
      <c r="P137" s="871"/>
    </row>
    <row r="138" spans="1:16" s="863" customFormat="1">
      <c r="A138" s="921"/>
      <c r="B138" s="919"/>
      <c r="C138" s="919"/>
      <c r="D138" s="888" t="s">
        <v>11882</v>
      </c>
      <c r="E138" s="824"/>
      <c r="F138" s="907">
        <f t="shared" si="16"/>
        <v>1</v>
      </c>
      <c r="G138" s="828">
        <f t="shared" si="17"/>
        <v>2.6799999999999997</v>
      </c>
      <c r="H138" s="828">
        <f t="shared" si="18"/>
        <v>2.6799999999999997</v>
      </c>
      <c r="I138" s="828">
        <f t="shared" si="20"/>
        <v>6.0374151387159891</v>
      </c>
      <c r="J138" s="828">
        <f t="shared" si="21"/>
        <v>6.0374151387159891</v>
      </c>
      <c r="K138" s="828">
        <f t="shared" si="19"/>
        <v>3.6</v>
      </c>
      <c r="L138" s="828" t="s">
        <v>22</v>
      </c>
      <c r="M138" s="829">
        <f t="shared" si="22"/>
        <v>71.78</v>
      </c>
      <c r="N138" s="700"/>
      <c r="P138" s="871"/>
    </row>
    <row r="139" spans="1:16" s="863" customFormat="1">
      <c r="A139" s="921"/>
      <c r="B139" s="919"/>
      <c r="C139" s="919"/>
      <c r="D139" s="888" t="s">
        <v>11883</v>
      </c>
      <c r="E139" s="824"/>
      <c r="F139" s="907">
        <f t="shared" si="16"/>
        <v>1</v>
      </c>
      <c r="G139" s="828">
        <f t="shared" si="17"/>
        <v>2.6799999999999997</v>
      </c>
      <c r="H139" s="828">
        <f t="shared" si="18"/>
        <v>2.6799999999999997</v>
      </c>
      <c r="I139" s="828">
        <f t="shared" si="20"/>
        <v>5.4778459489299909</v>
      </c>
      <c r="J139" s="828">
        <f t="shared" si="21"/>
        <v>5.4778459489299909</v>
      </c>
      <c r="K139" s="828">
        <f t="shared" si="19"/>
        <v>3</v>
      </c>
      <c r="L139" s="828" t="s">
        <v>22</v>
      </c>
      <c r="M139" s="829">
        <f t="shared" si="22"/>
        <v>51.87</v>
      </c>
      <c r="N139" s="700"/>
      <c r="P139" s="871"/>
    </row>
    <row r="140" spans="1:16" s="863" customFormat="1">
      <c r="A140" s="921"/>
      <c r="B140" s="919"/>
      <c r="C140" s="919"/>
      <c r="D140" s="888" t="s">
        <v>11884</v>
      </c>
      <c r="E140" s="824"/>
      <c r="F140" s="907">
        <f t="shared" si="16"/>
        <v>1</v>
      </c>
      <c r="G140" s="828">
        <f t="shared" si="17"/>
        <v>2.6799999999999997</v>
      </c>
      <c r="H140" s="828">
        <f t="shared" si="18"/>
        <v>2.6799999999999997</v>
      </c>
      <c r="I140" s="828">
        <f t="shared" si="20"/>
        <v>6.2239382019779894</v>
      </c>
      <c r="J140" s="828">
        <f t="shared" si="21"/>
        <v>6.2239382019779894</v>
      </c>
      <c r="K140" s="828">
        <f t="shared" si="19"/>
        <v>3.8000000000000003</v>
      </c>
      <c r="L140" s="828" t="s">
        <v>22</v>
      </c>
      <c r="M140" s="829">
        <f t="shared" si="22"/>
        <v>79.290000000000006</v>
      </c>
      <c r="N140" s="700"/>
      <c r="P140" s="871"/>
    </row>
    <row r="141" spans="1:16" s="863" customFormat="1">
      <c r="A141" s="921"/>
      <c r="B141" s="919"/>
      <c r="C141" s="919"/>
      <c r="D141" s="888" t="s">
        <v>11921</v>
      </c>
      <c r="E141" s="824"/>
      <c r="F141" s="907">
        <f t="shared" si="16"/>
        <v>1</v>
      </c>
      <c r="G141" s="828">
        <f t="shared" si="17"/>
        <v>2.6799999999999997</v>
      </c>
      <c r="H141" s="828">
        <f t="shared" si="18"/>
        <v>2.6799999999999997</v>
      </c>
      <c r="I141" s="828">
        <f>G141+2*(K141*TAN(M$110*PI()/180))</f>
        <v>4.6384921642509935</v>
      </c>
      <c r="J141" s="828">
        <f>H141+2*(K141*TAN(M$110*PI()/180))</f>
        <v>4.6384921642509935</v>
      </c>
      <c r="K141" s="828">
        <f t="shared" si="19"/>
        <v>2.1</v>
      </c>
      <c r="L141" s="828" t="s">
        <v>22</v>
      </c>
      <c r="M141" s="829">
        <f>ROUND(F141*((K141/3)*((I141*J141)+SQRT((I141*J141)*(G141*H141))+(G141*H141))),2)</f>
        <v>28.79</v>
      </c>
      <c r="N141" s="700"/>
      <c r="P141" s="871"/>
    </row>
    <row r="142" spans="1:16" s="863" customFormat="1">
      <c r="A142" s="921"/>
      <c r="B142" s="919"/>
      <c r="C142" s="919"/>
      <c r="D142" s="888" t="s">
        <v>11838</v>
      </c>
      <c r="E142" s="824"/>
      <c r="F142" s="907">
        <f t="shared" si="16"/>
        <v>1</v>
      </c>
      <c r="G142" s="828">
        <f t="shared" si="17"/>
        <v>4</v>
      </c>
      <c r="H142" s="828">
        <f t="shared" si="18"/>
        <v>3.0999999999999996</v>
      </c>
      <c r="I142" s="828">
        <f t="shared" si="20"/>
        <v>6.2849075249594932</v>
      </c>
      <c r="J142" s="828">
        <f t="shared" si="21"/>
        <v>5.3849075249594929</v>
      </c>
      <c r="K142" s="828">
        <f t="shared" si="19"/>
        <v>2.4500000000000002</v>
      </c>
      <c r="L142" s="828" t="s">
        <v>22</v>
      </c>
      <c r="M142" s="829">
        <f t="shared" si="22"/>
        <v>54.5</v>
      </c>
      <c r="N142" s="700"/>
      <c r="P142" s="871"/>
    </row>
    <row r="143" spans="1:16" s="863" customFormat="1">
      <c r="A143" s="921"/>
      <c r="B143" s="919"/>
      <c r="C143" s="919"/>
      <c r="D143" s="888" t="s">
        <v>11839</v>
      </c>
      <c r="E143" s="824"/>
      <c r="F143" s="907">
        <f t="shared" si="16"/>
        <v>1</v>
      </c>
      <c r="G143" s="828">
        <f t="shared" si="17"/>
        <v>2.8499999999999996</v>
      </c>
      <c r="H143" s="828">
        <f t="shared" si="18"/>
        <v>2.75</v>
      </c>
      <c r="I143" s="828">
        <f t="shared" si="20"/>
        <v>5.2747998224059929</v>
      </c>
      <c r="J143" s="828">
        <f t="shared" si="21"/>
        <v>5.1747998224059932</v>
      </c>
      <c r="K143" s="828">
        <f t="shared" si="19"/>
        <v>2.6000000000000005</v>
      </c>
      <c r="L143" s="828" t="s">
        <v>22</v>
      </c>
      <c r="M143" s="829">
        <f t="shared" si="22"/>
        <v>43.13</v>
      </c>
      <c r="N143" s="700"/>
      <c r="P143" s="871"/>
    </row>
    <row r="144" spans="1:16" s="863" customFormat="1" ht="12.75" customHeight="1">
      <c r="A144" s="921"/>
      <c r="B144" s="919"/>
      <c r="C144" s="919"/>
      <c r="D144" s="888" t="s">
        <v>11870</v>
      </c>
      <c r="E144" s="908"/>
      <c r="F144" s="907">
        <f t="shared" si="16"/>
        <v>4</v>
      </c>
      <c r="G144" s="828">
        <f t="shared" si="17"/>
        <v>2.8</v>
      </c>
      <c r="H144" s="828">
        <f t="shared" si="18"/>
        <v>2.5999999999999996</v>
      </c>
      <c r="I144" s="828">
        <f t="shared" si="20"/>
        <v>4.5253383351734939</v>
      </c>
      <c r="J144" s="828">
        <f t="shared" si="21"/>
        <v>4.3253383351734946</v>
      </c>
      <c r="K144" s="828">
        <f t="shared" si="19"/>
        <v>1.8499999999999999</v>
      </c>
      <c r="L144" s="828" t="s">
        <v>22</v>
      </c>
      <c r="M144" s="829">
        <f t="shared" si="22"/>
        <v>95.68</v>
      </c>
      <c r="N144" s="700"/>
      <c r="P144" s="871"/>
    </row>
    <row r="145" spans="1:16" s="863" customFormat="1" ht="12.75" customHeight="1">
      <c r="A145" s="921"/>
      <c r="B145" s="919"/>
      <c r="C145" s="919"/>
      <c r="D145" s="888" t="s">
        <v>11871</v>
      </c>
      <c r="E145" s="908"/>
      <c r="F145" s="907">
        <f t="shared" si="16"/>
        <v>2</v>
      </c>
      <c r="G145" s="828">
        <f t="shared" si="17"/>
        <v>5.2</v>
      </c>
      <c r="H145" s="828">
        <f t="shared" si="18"/>
        <v>1.4</v>
      </c>
      <c r="I145" s="828">
        <f t="shared" si="20"/>
        <v>5.4797845948929993</v>
      </c>
      <c r="J145" s="828">
        <f t="shared" si="21"/>
        <v>1.679784594892999</v>
      </c>
      <c r="K145" s="828">
        <f t="shared" si="19"/>
        <v>0.3</v>
      </c>
      <c r="L145" s="828" t="s">
        <v>22</v>
      </c>
      <c r="M145" s="829">
        <f t="shared" si="22"/>
        <v>4.93</v>
      </c>
      <c r="N145" s="700"/>
      <c r="P145" s="871"/>
    </row>
    <row r="146" spans="1:16" s="863" customFormat="1" ht="12.75" customHeight="1">
      <c r="A146" s="921"/>
      <c r="B146" s="919"/>
      <c r="C146" s="919"/>
      <c r="D146" s="888" t="s">
        <v>11872</v>
      </c>
      <c r="E146" s="908"/>
      <c r="F146" s="907">
        <f t="shared" si="16"/>
        <v>2</v>
      </c>
      <c r="G146" s="828">
        <f t="shared" si="17"/>
        <v>3.9000000000000004</v>
      </c>
      <c r="H146" s="828">
        <f t="shared" si="18"/>
        <v>1.4</v>
      </c>
      <c r="I146" s="828">
        <f t="shared" si="20"/>
        <v>4.1797845948929995</v>
      </c>
      <c r="J146" s="828">
        <f t="shared" si="21"/>
        <v>1.679784594892999</v>
      </c>
      <c r="K146" s="828">
        <f t="shared" si="19"/>
        <v>0.3</v>
      </c>
      <c r="L146" s="828" t="s">
        <v>22</v>
      </c>
      <c r="M146" s="829">
        <f t="shared" si="22"/>
        <v>3.73</v>
      </c>
      <c r="N146" s="700"/>
      <c r="P146" s="871"/>
    </row>
    <row r="147" spans="1:16" s="863" customFormat="1">
      <c r="A147" s="921"/>
      <c r="B147" s="919"/>
      <c r="C147" s="919"/>
      <c r="D147" s="888" t="s">
        <v>11841</v>
      </c>
      <c r="E147" s="854"/>
      <c r="F147" s="907">
        <f t="shared" si="16"/>
        <v>1</v>
      </c>
      <c r="G147" s="828">
        <f t="shared" si="17"/>
        <v>4.0199999999999996</v>
      </c>
      <c r="H147" s="828">
        <f t="shared" si="18"/>
        <v>3.9000000000000004</v>
      </c>
      <c r="I147" s="828">
        <f>G147+2*(K147*TAN(M$110*PI()/180))</f>
        <v>6.4447998224059919</v>
      </c>
      <c r="J147" s="828">
        <f>H147+2*(K147*TAN(M$110*PI()/180))</f>
        <v>6.3247998224059927</v>
      </c>
      <c r="K147" s="828">
        <f t="shared" si="19"/>
        <v>2.6</v>
      </c>
      <c r="L147" s="828" t="s">
        <v>22</v>
      </c>
      <c r="M147" s="829">
        <f t="shared" si="22"/>
        <v>70.819999999999993</v>
      </c>
      <c r="N147" s="700"/>
      <c r="P147" s="871"/>
    </row>
    <row r="148" spans="1:16" s="863" customFormat="1">
      <c r="A148" s="921"/>
      <c r="B148" s="919"/>
      <c r="C148" s="919"/>
      <c r="D148" s="888" t="s">
        <v>11842</v>
      </c>
      <c r="E148" s="854"/>
      <c r="F148" s="907">
        <f t="shared" si="16"/>
        <v>1</v>
      </c>
      <c r="G148" s="828">
        <f t="shared" si="17"/>
        <v>4.25</v>
      </c>
      <c r="H148" s="828">
        <f t="shared" si="18"/>
        <v>3.4000000000000004</v>
      </c>
      <c r="I148" s="828">
        <f>G148+2*(K148*TAN(M$110*PI()/180))</f>
        <v>6.1618613984354944</v>
      </c>
      <c r="J148" s="828">
        <f>H148+2*(K148*TAN(M$110*PI()/180))</f>
        <v>5.3118613984354948</v>
      </c>
      <c r="K148" s="828">
        <f t="shared" si="19"/>
        <v>2.0499999999999998</v>
      </c>
      <c r="L148" s="828" t="s">
        <v>22</v>
      </c>
      <c r="M148" s="829">
        <f t="shared" si="22"/>
        <v>47.1</v>
      </c>
      <c r="N148" s="700"/>
      <c r="P148" s="871"/>
    </row>
    <row r="149" spans="1:16" s="863" customFormat="1">
      <c r="A149" s="921"/>
      <c r="B149" s="919"/>
      <c r="C149" s="919"/>
      <c r="D149" s="888" t="s">
        <v>11843</v>
      </c>
      <c r="E149" s="854"/>
      <c r="F149" s="907">
        <f t="shared" si="16"/>
        <v>1</v>
      </c>
      <c r="G149" s="828">
        <f t="shared" si="17"/>
        <v>3.9000000000000004</v>
      </c>
      <c r="H149" s="828">
        <f t="shared" si="18"/>
        <v>3.75</v>
      </c>
      <c r="I149" s="828">
        <f>G149+2*(K149*TAN(M$110*PI()/180))</f>
        <v>4.7393537846789977</v>
      </c>
      <c r="J149" s="828">
        <f>H149+2*(K149*TAN(M$110*PI()/180))</f>
        <v>4.5893537846789973</v>
      </c>
      <c r="K149" s="828">
        <f t="shared" si="19"/>
        <v>0.9</v>
      </c>
      <c r="L149" s="828" t="s">
        <v>22</v>
      </c>
      <c r="M149" s="829">
        <f t="shared" si="22"/>
        <v>16.260000000000002</v>
      </c>
      <c r="N149" s="700"/>
      <c r="P149" s="871"/>
    </row>
    <row r="150" spans="1:16" s="863" customFormat="1" ht="13.5" customHeight="1">
      <c r="A150" s="921"/>
      <c r="B150" s="919"/>
      <c r="C150" s="919"/>
      <c r="D150" s="888"/>
      <c r="E150" s="790"/>
      <c r="F150" s="998"/>
      <c r="G150" s="828"/>
      <c r="H150" s="828"/>
      <c r="I150" s="828"/>
      <c r="J150" s="828"/>
      <c r="K150" s="828"/>
      <c r="L150" s="828"/>
      <c r="M150" s="829"/>
      <c r="N150" s="700"/>
      <c r="P150" s="871"/>
    </row>
    <row r="151" spans="1:16" s="863" customFormat="1" ht="14.25" customHeight="1">
      <c r="A151" s="921"/>
      <c r="B151" s="919"/>
      <c r="C151" s="919"/>
      <c r="D151" s="836" t="s">
        <v>11874</v>
      </c>
      <c r="E151" s="837"/>
      <c r="F151" s="999"/>
      <c r="G151" s="838"/>
      <c r="H151" s="838"/>
      <c r="I151" s="838"/>
      <c r="J151" s="838"/>
      <c r="K151" s="988" t="s">
        <v>27</v>
      </c>
      <c r="L151" s="988" t="s">
        <v>21</v>
      </c>
      <c r="M151" s="840">
        <f>SUM(M133:M149)</f>
        <v>747.47000000000014</v>
      </c>
      <c r="N151" s="828">
        <f>M171+M191+M211</f>
        <v>747.4899999999999</v>
      </c>
      <c r="O151" s="886"/>
      <c r="P151" s="871"/>
    </row>
    <row r="152" spans="1:16" s="863" customFormat="1" ht="22.5" customHeight="1">
      <c r="A152" s="921"/>
      <c r="B152" s="919"/>
      <c r="C152" s="919"/>
      <c r="D152" s="881"/>
      <c r="E152" s="882"/>
      <c r="F152" s="828" t="s">
        <v>1275</v>
      </c>
      <c r="G152" s="828" t="s">
        <v>11885</v>
      </c>
      <c r="H152" s="828" t="s">
        <v>11669</v>
      </c>
      <c r="I152" s="828" t="s">
        <v>11886</v>
      </c>
      <c r="J152" s="828" t="s">
        <v>11675</v>
      </c>
      <c r="K152" s="828" t="s">
        <v>11667</v>
      </c>
      <c r="L152" s="1000"/>
      <c r="M152" s="1001"/>
      <c r="N152" s="700"/>
      <c r="P152" s="871"/>
    </row>
    <row r="153" spans="1:16" s="863" customFormat="1">
      <c r="A153" s="921"/>
      <c r="B153" s="919"/>
      <c r="C153" s="919"/>
      <c r="D153" s="888" t="s">
        <v>11877</v>
      </c>
      <c r="E153" s="790"/>
      <c r="F153" s="907">
        <f t="shared" ref="F153:F169" si="23">F133</f>
        <v>1</v>
      </c>
      <c r="G153" s="828">
        <f t="shared" ref="G153:G169" si="24">I173</f>
        <v>3.5659845504944974</v>
      </c>
      <c r="H153" s="828">
        <f t="shared" ref="H153:H169" si="25">J173</f>
        <v>3.5659845504944974</v>
      </c>
      <c r="I153" s="828">
        <f>G153+2*(K153*TAN(M$110*PI()/180))</f>
        <v>4.9649075249594929</v>
      </c>
      <c r="J153" s="828">
        <f>H153+2*(K153*TAN(M$110*PI()/180))</f>
        <v>4.9649075249594929</v>
      </c>
      <c r="K153" s="828">
        <f>K133-K173-K193</f>
        <v>1.5</v>
      </c>
      <c r="L153" s="828" t="s">
        <v>22</v>
      </c>
      <c r="M153" s="829">
        <f>ROUND(F153*((K153/3)*((I153*J153)+SQRT((I153*J153)*(G153*H153))+(G153*H153))),2)</f>
        <v>27.54</v>
      </c>
      <c r="N153" s="700"/>
      <c r="P153" s="871"/>
    </row>
    <row r="154" spans="1:16" s="863" customFormat="1">
      <c r="A154" s="921"/>
      <c r="B154" s="919"/>
      <c r="C154" s="919"/>
      <c r="D154" s="888" t="s">
        <v>11878</v>
      </c>
      <c r="E154" s="790"/>
      <c r="F154" s="907">
        <f t="shared" si="23"/>
        <v>1</v>
      </c>
      <c r="G154" s="828">
        <f t="shared" si="24"/>
        <v>2.9597845948929988</v>
      </c>
      <c r="H154" s="828">
        <f t="shared" si="25"/>
        <v>2.9597845948929988</v>
      </c>
      <c r="I154" s="828">
        <f t="shared" ref="I154:I169" si="26">G154+2*(K154*TAN(M$110*PI()/180))</f>
        <v>4.3587075693579944</v>
      </c>
      <c r="J154" s="828">
        <f t="shared" ref="J154:J169" si="27">H154+2*(K154*TAN(M$110*PI()/180))</f>
        <v>4.3587075693579944</v>
      </c>
      <c r="K154" s="828">
        <f t="shared" ref="K154:K169" si="28">K134-K174-K194</f>
        <v>1.5</v>
      </c>
      <c r="L154" s="828" t="s">
        <v>22</v>
      </c>
      <c r="M154" s="829">
        <f t="shared" ref="M154:M169" si="29">ROUND(F154*((K154/3)*((I154*J154)+SQRT((I154*J154)*(G154*H154))+(G154*H154))),2)</f>
        <v>20.329999999999998</v>
      </c>
      <c r="N154" s="700"/>
      <c r="P154" s="871"/>
    </row>
    <row r="155" spans="1:16" s="863" customFormat="1">
      <c r="A155" s="921"/>
      <c r="B155" s="919"/>
      <c r="C155" s="919"/>
      <c r="D155" s="888" t="s">
        <v>11879</v>
      </c>
      <c r="E155" s="790"/>
      <c r="F155" s="907">
        <f t="shared" si="23"/>
        <v>1</v>
      </c>
      <c r="G155" s="828">
        <f t="shared" si="24"/>
        <v>3.3328307214169977</v>
      </c>
      <c r="H155" s="828">
        <f t="shared" si="25"/>
        <v>3.3328307214169977</v>
      </c>
      <c r="I155" s="828">
        <f t="shared" si="26"/>
        <v>4.7317536958819932</v>
      </c>
      <c r="J155" s="828">
        <f t="shared" si="27"/>
        <v>4.7317536958819932</v>
      </c>
      <c r="K155" s="828">
        <f t="shared" si="28"/>
        <v>1.5</v>
      </c>
      <c r="L155" s="828" t="s">
        <v>22</v>
      </c>
      <c r="M155" s="829">
        <f t="shared" si="29"/>
        <v>24.63</v>
      </c>
      <c r="N155" s="700"/>
      <c r="P155" s="871"/>
    </row>
    <row r="156" spans="1:16" s="863" customFormat="1">
      <c r="A156" s="921"/>
      <c r="B156" s="919"/>
      <c r="C156" s="919"/>
      <c r="D156" s="888" t="s">
        <v>11880</v>
      </c>
      <c r="E156" s="790"/>
      <c r="F156" s="907">
        <f t="shared" si="23"/>
        <v>1</v>
      </c>
      <c r="G156" s="828">
        <f t="shared" si="24"/>
        <v>3.5193537846789971</v>
      </c>
      <c r="H156" s="828">
        <f t="shared" si="25"/>
        <v>3.5193537846789971</v>
      </c>
      <c r="I156" s="828">
        <f t="shared" si="26"/>
        <v>4.9182767591439926</v>
      </c>
      <c r="J156" s="828">
        <f t="shared" si="27"/>
        <v>4.9182767591439926</v>
      </c>
      <c r="K156" s="828">
        <f t="shared" si="28"/>
        <v>1.5</v>
      </c>
      <c r="L156" s="828" t="s">
        <v>22</v>
      </c>
      <c r="M156" s="829">
        <f t="shared" si="29"/>
        <v>26.94</v>
      </c>
      <c r="N156" s="700"/>
      <c r="P156" s="871"/>
    </row>
    <row r="157" spans="1:16" s="863" customFormat="1">
      <c r="A157" s="921"/>
      <c r="B157" s="919"/>
      <c r="C157" s="919"/>
      <c r="D157" s="888" t="s">
        <v>11881</v>
      </c>
      <c r="E157" s="790"/>
      <c r="F157" s="907">
        <f t="shared" si="23"/>
        <v>1</v>
      </c>
      <c r="G157" s="828">
        <f t="shared" si="24"/>
        <v>4.1255537402804956</v>
      </c>
      <c r="H157" s="828">
        <f t="shared" si="25"/>
        <v>4.1255537402804956</v>
      </c>
      <c r="I157" s="828">
        <f t="shared" si="26"/>
        <v>5.5244767147454912</v>
      </c>
      <c r="J157" s="828">
        <f t="shared" si="27"/>
        <v>5.5244767147454912</v>
      </c>
      <c r="K157" s="828">
        <f t="shared" si="28"/>
        <v>1.5</v>
      </c>
      <c r="L157" s="828" t="s">
        <v>22</v>
      </c>
      <c r="M157" s="829">
        <f t="shared" si="29"/>
        <v>35.17</v>
      </c>
      <c r="N157" s="700"/>
      <c r="P157" s="871"/>
    </row>
    <row r="158" spans="1:16" s="863" customFormat="1">
      <c r="A158" s="921"/>
      <c r="B158" s="919"/>
      <c r="C158" s="919"/>
      <c r="D158" s="888" t="s">
        <v>11882</v>
      </c>
      <c r="E158" s="790"/>
      <c r="F158" s="907">
        <f t="shared" si="23"/>
        <v>1</v>
      </c>
      <c r="G158" s="828">
        <f t="shared" si="24"/>
        <v>4.6384921642509935</v>
      </c>
      <c r="H158" s="828">
        <f t="shared" si="25"/>
        <v>4.6384921642509935</v>
      </c>
      <c r="I158" s="828">
        <f t="shared" si="26"/>
        <v>6.0374151387159891</v>
      </c>
      <c r="J158" s="828">
        <f t="shared" si="27"/>
        <v>6.0374151387159891</v>
      </c>
      <c r="K158" s="828">
        <f t="shared" si="28"/>
        <v>1.5</v>
      </c>
      <c r="L158" s="828" t="s">
        <v>22</v>
      </c>
      <c r="M158" s="829">
        <f t="shared" si="29"/>
        <v>42.99</v>
      </c>
      <c r="N158" s="700"/>
      <c r="P158" s="871"/>
    </row>
    <row r="159" spans="1:16" s="863" customFormat="1">
      <c r="A159" s="921"/>
      <c r="B159" s="919"/>
      <c r="C159" s="919"/>
      <c r="D159" s="888" t="s">
        <v>11883</v>
      </c>
      <c r="E159" s="790"/>
      <c r="F159" s="907">
        <f t="shared" si="23"/>
        <v>1</v>
      </c>
      <c r="G159" s="828">
        <f t="shared" si="24"/>
        <v>4.0789229744649953</v>
      </c>
      <c r="H159" s="828">
        <f t="shared" si="25"/>
        <v>4.0789229744649953</v>
      </c>
      <c r="I159" s="828">
        <f t="shared" si="26"/>
        <v>5.4778459489299909</v>
      </c>
      <c r="J159" s="828">
        <f t="shared" si="27"/>
        <v>5.4778459489299909</v>
      </c>
      <c r="K159" s="828">
        <f t="shared" si="28"/>
        <v>1.5</v>
      </c>
      <c r="L159" s="828" t="s">
        <v>22</v>
      </c>
      <c r="M159" s="829">
        <f t="shared" si="29"/>
        <v>34.49</v>
      </c>
      <c r="N159" s="700"/>
      <c r="P159" s="871"/>
    </row>
    <row r="160" spans="1:16" s="863" customFormat="1">
      <c r="A160" s="921"/>
      <c r="B160" s="919"/>
      <c r="C160" s="919"/>
      <c r="D160" s="888" t="s">
        <v>11884</v>
      </c>
      <c r="E160" s="790"/>
      <c r="F160" s="907">
        <f t="shared" si="23"/>
        <v>1</v>
      </c>
      <c r="G160" s="828">
        <f t="shared" si="24"/>
        <v>4.8250152275129938</v>
      </c>
      <c r="H160" s="828">
        <f t="shared" si="25"/>
        <v>4.8250152275129938</v>
      </c>
      <c r="I160" s="828">
        <f t="shared" si="26"/>
        <v>6.2239382019779894</v>
      </c>
      <c r="J160" s="828">
        <f t="shared" si="27"/>
        <v>6.2239382019779894</v>
      </c>
      <c r="K160" s="828">
        <f t="shared" si="28"/>
        <v>1.5</v>
      </c>
      <c r="L160" s="828" t="s">
        <v>22</v>
      </c>
      <c r="M160" s="829">
        <f t="shared" si="29"/>
        <v>46.02</v>
      </c>
      <c r="N160" s="700"/>
      <c r="P160" s="871"/>
    </row>
    <row r="161" spans="1:16" s="863" customFormat="1">
      <c r="A161" s="921"/>
      <c r="B161" s="919"/>
      <c r="C161" s="919"/>
      <c r="D161" s="888" t="s">
        <v>11921</v>
      </c>
      <c r="E161" s="790"/>
      <c r="F161" s="907">
        <f t="shared" si="23"/>
        <v>1</v>
      </c>
      <c r="G161" s="828">
        <f t="shared" si="24"/>
        <v>3.2395691897859979</v>
      </c>
      <c r="H161" s="828">
        <f t="shared" si="25"/>
        <v>3.2395691897859979</v>
      </c>
      <c r="I161" s="828">
        <f>G161+2*(K161*TAN(M$110*PI()/180))</f>
        <v>4.6384921642509935</v>
      </c>
      <c r="J161" s="828">
        <f>H161+2*(K161*TAN(M$110*PI()/180))</f>
        <v>4.6384921642509935</v>
      </c>
      <c r="K161" s="828">
        <f t="shared" si="28"/>
        <v>1.5</v>
      </c>
      <c r="L161" s="828" t="s">
        <v>22</v>
      </c>
      <c r="M161" s="829">
        <f>ROUND(F161*((K161/3)*((I161*J161)+SQRT((I161*J161)*(G161*H161))+(G161*H161))),2)</f>
        <v>23.52</v>
      </c>
      <c r="N161" s="700"/>
      <c r="P161" s="871"/>
    </row>
    <row r="162" spans="1:16" s="863" customFormat="1">
      <c r="A162" s="921"/>
      <c r="B162" s="919"/>
      <c r="C162" s="919"/>
      <c r="D162" s="888" t="s">
        <v>11838</v>
      </c>
      <c r="E162" s="790"/>
      <c r="F162" s="907">
        <f t="shared" si="23"/>
        <v>1</v>
      </c>
      <c r="G162" s="828">
        <f t="shared" si="24"/>
        <v>4.8859845504944976</v>
      </c>
      <c r="H162" s="828">
        <f t="shared" si="25"/>
        <v>3.9859845504944973</v>
      </c>
      <c r="I162" s="828">
        <f t="shared" si="26"/>
        <v>6.2849075249594932</v>
      </c>
      <c r="J162" s="828">
        <f t="shared" si="27"/>
        <v>5.3849075249594929</v>
      </c>
      <c r="K162" s="828">
        <f t="shared" si="28"/>
        <v>1.5</v>
      </c>
      <c r="L162" s="828" t="s">
        <v>22</v>
      </c>
      <c r="M162" s="829">
        <f t="shared" si="29"/>
        <v>39.5</v>
      </c>
      <c r="N162" s="700"/>
      <c r="P162" s="871"/>
    </row>
    <row r="163" spans="1:16" s="863" customFormat="1">
      <c r="A163" s="921"/>
      <c r="B163" s="919"/>
      <c r="C163" s="919"/>
      <c r="D163" s="888" t="s">
        <v>11839</v>
      </c>
      <c r="E163" s="790"/>
      <c r="F163" s="907">
        <f t="shared" si="23"/>
        <v>1</v>
      </c>
      <c r="G163" s="828">
        <f t="shared" si="24"/>
        <v>3.8758768479409973</v>
      </c>
      <c r="H163" s="828">
        <f t="shared" si="25"/>
        <v>3.7758768479409976</v>
      </c>
      <c r="I163" s="828">
        <f t="shared" si="26"/>
        <v>5.2747998224059929</v>
      </c>
      <c r="J163" s="828">
        <f t="shared" si="27"/>
        <v>5.1747998224059932</v>
      </c>
      <c r="K163" s="828">
        <f t="shared" si="28"/>
        <v>1.5</v>
      </c>
      <c r="L163" s="828" t="s">
        <v>22</v>
      </c>
      <c r="M163" s="829">
        <f t="shared" si="29"/>
        <v>30.96</v>
      </c>
      <c r="N163" s="700"/>
      <c r="P163" s="871"/>
    </row>
    <row r="164" spans="1:16" s="863" customFormat="1">
      <c r="A164" s="921"/>
      <c r="B164" s="919"/>
      <c r="C164" s="919"/>
      <c r="D164" s="888" t="s">
        <v>11870</v>
      </c>
      <c r="E164" s="790"/>
      <c r="F164" s="907">
        <f t="shared" si="23"/>
        <v>4</v>
      </c>
      <c r="G164" s="828">
        <f t="shared" si="24"/>
        <v>3.1264153607084988</v>
      </c>
      <c r="H164" s="828">
        <f t="shared" si="25"/>
        <v>2.9264153607084986</v>
      </c>
      <c r="I164" s="828">
        <f t="shared" si="26"/>
        <v>4.5253383351734948</v>
      </c>
      <c r="J164" s="828">
        <f t="shared" si="27"/>
        <v>4.3253383351734946</v>
      </c>
      <c r="K164" s="828">
        <f t="shared" si="28"/>
        <v>1.5</v>
      </c>
      <c r="L164" s="828" t="s">
        <v>22</v>
      </c>
      <c r="M164" s="829">
        <f t="shared" si="29"/>
        <v>84.21</v>
      </c>
      <c r="N164" s="700"/>
      <c r="P164" s="871"/>
    </row>
    <row r="165" spans="1:16" s="863" customFormat="1">
      <c r="A165" s="921"/>
      <c r="B165" s="919"/>
      <c r="C165" s="919"/>
      <c r="D165" s="888" t="s">
        <v>11871</v>
      </c>
      <c r="E165" s="790"/>
      <c r="F165" s="907">
        <f t="shared" si="23"/>
        <v>2</v>
      </c>
      <c r="G165" s="828">
        <f t="shared" si="24"/>
        <v>5.2</v>
      </c>
      <c r="H165" s="828">
        <f t="shared" si="25"/>
        <v>1.4</v>
      </c>
      <c r="I165" s="828">
        <f t="shared" si="26"/>
        <v>5.4797845948929993</v>
      </c>
      <c r="J165" s="828">
        <f t="shared" si="27"/>
        <v>1.679784594892999</v>
      </c>
      <c r="K165" s="828">
        <f t="shared" si="28"/>
        <v>0.3</v>
      </c>
      <c r="L165" s="828" t="s">
        <v>22</v>
      </c>
      <c r="M165" s="829">
        <f t="shared" si="29"/>
        <v>4.93</v>
      </c>
      <c r="N165" s="700"/>
      <c r="P165" s="871"/>
    </row>
    <row r="166" spans="1:16" s="863" customFormat="1">
      <c r="A166" s="921"/>
      <c r="B166" s="919"/>
      <c r="C166" s="919"/>
      <c r="D166" s="888" t="s">
        <v>11872</v>
      </c>
      <c r="E166" s="790"/>
      <c r="F166" s="907">
        <f t="shared" si="23"/>
        <v>2</v>
      </c>
      <c r="G166" s="828">
        <f t="shared" si="24"/>
        <v>3.9000000000000004</v>
      </c>
      <c r="H166" s="828">
        <f t="shared" si="25"/>
        <v>1.4</v>
      </c>
      <c r="I166" s="828">
        <f t="shared" si="26"/>
        <v>4.1797845948929995</v>
      </c>
      <c r="J166" s="828">
        <f t="shared" si="27"/>
        <v>1.679784594892999</v>
      </c>
      <c r="K166" s="828">
        <f t="shared" si="28"/>
        <v>0.3</v>
      </c>
      <c r="L166" s="828" t="s">
        <v>22</v>
      </c>
      <c r="M166" s="829">
        <f t="shared" si="29"/>
        <v>3.73</v>
      </c>
      <c r="N166" s="700"/>
      <c r="P166" s="871"/>
    </row>
    <row r="167" spans="1:16" s="863" customFormat="1">
      <c r="A167" s="921"/>
      <c r="B167" s="919"/>
      <c r="C167" s="919"/>
      <c r="D167" s="888" t="s">
        <v>11841</v>
      </c>
      <c r="E167" s="790"/>
      <c r="F167" s="907">
        <f t="shared" si="23"/>
        <v>1</v>
      </c>
      <c r="G167" s="828">
        <f t="shared" si="24"/>
        <v>5.0458768479409963</v>
      </c>
      <c r="H167" s="828">
        <f t="shared" si="25"/>
        <v>4.9258768479409971</v>
      </c>
      <c r="I167" s="828">
        <f t="shared" si="26"/>
        <v>6.4447998224059919</v>
      </c>
      <c r="J167" s="828">
        <f t="shared" si="27"/>
        <v>6.3247998224059927</v>
      </c>
      <c r="K167" s="828">
        <f t="shared" si="28"/>
        <v>1.5</v>
      </c>
      <c r="L167" s="828" t="s">
        <v>22</v>
      </c>
      <c r="M167" s="829">
        <f t="shared" si="29"/>
        <v>48.72</v>
      </c>
      <c r="N167" s="700"/>
      <c r="P167" s="871"/>
    </row>
    <row r="168" spans="1:16" s="863" customFormat="1">
      <c r="A168" s="921"/>
      <c r="B168" s="919"/>
      <c r="C168" s="919"/>
      <c r="D168" s="888" t="s">
        <v>11842</v>
      </c>
      <c r="E168" s="790"/>
      <c r="F168" s="907">
        <f t="shared" si="23"/>
        <v>1</v>
      </c>
      <c r="G168" s="828">
        <f t="shared" si="24"/>
        <v>4.7629384239704979</v>
      </c>
      <c r="H168" s="828">
        <f t="shared" si="25"/>
        <v>3.9129384239704987</v>
      </c>
      <c r="I168" s="828">
        <f t="shared" si="26"/>
        <v>6.1618613984354935</v>
      </c>
      <c r="J168" s="828">
        <f t="shared" si="27"/>
        <v>5.3118613984354948</v>
      </c>
      <c r="K168" s="828">
        <f t="shared" si="28"/>
        <v>1.5</v>
      </c>
      <c r="L168" s="828" t="s">
        <v>22</v>
      </c>
      <c r="M168" s="829">
        <f t="shared" si="29"/>
        <v>38.03</v>
      </c>
      <c r="N168" s="700"/>
      <c r="P168" s="871"/>
    </row>
    <row r="169" spans="1:16" s="863" customFormat="1">
      <c r="A169" s="921"/>
      <c r="B169" s="919"/>
      <c r="C169" s="919"/>
      <c r="D169" s="888" t="s">
        <v>11843</v>
      </c>
      <c r="E169" s="790"/>
      <c r="F169" s="907">
        <f t="shared" si="23"/>
        <v>1</v>
      </c>
      <c r="G169" s="828">
        <f t="shared" si="24"/>
        <v>3.9000000000000004</v>
      </c>
      <c r="H169" s="828">
        <f t="shared" si="25"/>
        <v>3.75</v>
      </c>
      <c r="I169" s="828">
        <f t="shared" si="26"/>
        <v>4.7393537846789977</v>
      </c>
      <c r="J169" s="828">
        <f t="shared" si="27"/>
        <v>4.5893537846789973</v>
      </c>
      <c r="K169" s="828">
        <f t="shared" si="28"/>
        <v>0.9</v>
      </c>
      <c r="L169" s="828" t="s">
        <v>22</v>
      </c>
      <c r="M169" s="829">
        <f t="shared" si="29"/>
        <v>16.260000000000002</v>
      </c>
      <c r="N169" s="700"/>
      <c r="P169" s="871"/>
    </row>
    <row r="170" spans="1:16" s="863" customFormat="1">
      <c r="A170" s="921"/>
      <c r="B170" s="919"/>
      <c r="C170" s="919"/>
      <c r="D170" s="826"/>
      <c r="E170" s="790"/>
      <c r="F170" s="1002"/>
      <c r="G170" s="828"/>
      <c r="H170" s="828"/>
      <c r="I170" s="828"/>
      <c r="J170" s="828"/>
      <c r="K170" s="828"/>
      <c r="L170" s="828"/>
      <c r="M170" s="829"/>
      <c r="N170" s="700"/>
      <c r="P170" s="871"/>
    </row>
    <row r="171" spans="1:16" s="863" customFormat="1" ht="11.25" customHeight="1">
      <c r="A171" s="921"/>
      <c r="B171" s="919"/>
      <c r="C171" s="919"/>
      <c r="D171" s="836" t="s">
        <v>20297</v>
      </c>
      <c r="E171" s="837"/>
      <c r="F171" s="999"/>
      <c r="G171" s="838"/>
      <c r="H171" s="838"/>
      <c r="I171" s="838"/>
      <c r="J171" s="838"/>
      <c r="K171" s="839" t="s">
        <v>27</v>
      </c>
      <c r="L171" s="856" t="s">
        <v>22</v>
      </c>
      <c r="M171" s="840">
        <f>SUM(M153:M169)</f>
        <v>547.96999999999991</v>
      </c>
      <c r="P171" s="871"/>
    </row>
    <row r="172" spans="1:16" s="863" customFormat="1" ht="22.5">
      <c r="A172" s="921"/>
      <c r="B172" s="919"/>
      <c r="C172" s="919"/>
      <c r="D172" s="881"/>
      <c r="E172" s="882"/>
      <c r="F172" s="828" t="s">
        <v>1275</v>
      </c>
      <c r="G172" s="828" t="s">
        <v>11885</v>
      </c>
      <c r="H172" s="828" t="s">
        <v>11669</v>
      </c>
      <c r="I172" s="828" t="s">
        <v>11886</v>
      </c>
      <c r="J172" s="828" t="s">
        <v>11675</v>
      </c>
      <c r="K172" s="828" t="s">
        <v>11667</v>
      </c>
      <c r="L172" s="1000"/>
      <c r="M172" s="1001"/>
      <c r="N172" s="700"/>
      <c r="P172" s="871"/>
    </row>
    <row r="173" spans="1:16" s="863" customFormat="1">
      <c r="A173" s="921"/>
      <c r="B173" s="919"/>
      <c r="C173" s="919"/>
      <c r="D173" s="888" t="s">
        <v>11877</v>
      </c>
      <c r="E173" s="790"/>
      <c r="F173" s="907">
        <f t="shared" ref="F173:F189" si="30">F133</f>
        <v>1</v>
      </c>
      <c r="G173" s="828">
        <f>I193</f>
        <v>2.6799999999999997</v>
      </c>
      <c r="H173" s="828">
        <f>J193</f>
        <v>2.6799999999999997</v>
      </c>
      <c r="I173" s="828">
        <f>G173+2*(K173*TAN(M$110*PI()/180))</f>
        <v>3.5659845504944974</v>
      </c>
      <c r="J173" s="828">
        <f>H173+2*(K173*TAN(M$110*PI()/180))</f>
        <v>3.5659845504944974</v>
      </c>
      <c r="K173" s="828">
        <f>IF(K133&gt;1.5,(K133-1.5-K193),0)</f>
        <v>0.95000000000000018</v>
      </c>
      <c r="L173" s="828" t="s">
        <v>22</v>
      </c>
      <c r="M173" s="829">
        <f>ROUND(F173*((K173/3)*((I173*J173)+SQRT((I173*J173)*(G173*H173))+(G173*H173))),2)</f>
        <v>9.33</v>
      </c>
      <c r="N173" s="700"/>
      <c r="P173" s="871"/>
    </row>
    <row r="174" spans="1:16" s="863" customFormat="1">
      <c r="A174" s="921"/>
      <c r="B174" s="919"/>
      <c r="C174" s="919"/>
      <c r="D174" s="888" t="s">
        <v>11878</v>
      </c>
      <c r="E174" s="790"/>
      <c r="F174" s="907">
        <f t="shared" si="30"/>
        <v>1</v>
      </c>
      <c r="G174" s="828">
        <f t="shared" ref="G174:H189" si="31">I194</f>
        <v>2.6799999999999997</v>
      </c>
      <c r="H174" s="828">
        <f t="shared" si="31"/>
        <v>2.6799999999999997</v>
      </c>
      <c r="I174" s="828">
        <f t="shared" ref="I174:I189" si="32">G174+2*(K174*TAN(M$110*PI()/180))</f>
        <v>2.9597845948929988</v>
      </c>
      <c r="J174" s="828">
        <f t="shared" ref="J174:J189" si="33">H174+2*(K174*TAN(M$110*PI()/180))</f>
        <v>2.9597845948929988</v>
      </c>
      <c r="K174" s="828">
        <f t="shared" ref="K174:K189" si="34">IF(K134&gt;1.5,(K134-1.5-K194),0)</f>
        <v>0.29999999999999982</v>
      </c>
      <c r="L174" s="828" t="s">
        <v>22</v>
      </c>
      <c r="M174" s="829">
        <f t="shared" ref="M174:M189" si="35">ROUND(F174*((K174/3)*((I174*J174)+SQRT((I174*J174)*(G174*H174))+(G174*H174))),2)</f>
        <v>2.39</v>
      </c>
      <c r="N174" s="700"/>
      <c r="P174" s="871"/>
    </row>
    <row r="175" spans="1:16" s="863" customFormat="1">
      <c r="A175" s="921"/>
      <c r="B175" s="919"/>
      <c r="C175" s="919"/>
      <c r="D175" s="888" t="s">
        <v>11879</v>
      </c>
      <c r="E175" s="790"/>
      <c r="F175" s="907">
        <f t="shared" si="30"/>
        <v>1</v>
      </c>
      <c r="G175" s="828">
        <f t="shared" si="31"/>
        <v>2.6799999999999997</v>
      </c>
      <c r="H175" s="828">
        <f t="shared" si="31"/>
        <v>2.6799999999999997</v>
      </c>
      <c r="I175" s="828">
        <f t="shared" si="32"/>
        <v>3.3328307214169977</v>
      </c>
      <c r="J175" s="828">
        <f t="shared" si="33"/>
        <v>3.3328307214169977</v>
      </c>
      <c r="K175" s="828">
        <f t="shared" si="34"/>
        <v>0.70000000000000018</v>
      </c>
      <c r="L175" s="828" t="s">
        <v>22</v>
      </c>
      <c r="M175" s="829">
        <f t="shared" si="35"/>
        <v>6.35</v>
      </c>
      <c r="N175" s="700"/>
      <c r="P175" s="871"/>
    </row>
    <row r="176" spans="1:16" s="863" customFormat="1">
      <c r="A176" s="921"/>
      <c r="B176" s="919"/>
      <c r="C176" s="919"/>
      <c r="D176" s="888" t="s">
        <v>11880</v>
      </c>
      <c r="E176" s="790"/>
      <c r="F176" s="907">
        <f t="shared" si="30"/>
        <v>1</v>
      </c>
      <c r="G176" s="828">
        <f t="shared" si="31"/>
        <v>2.6799999999999997</v>
      </c>
      <c r="H176" s="828">
        <f t="shared" si="31"/>
        <v>2.6799999999999997</v>
      </c>
      <c r="I176" s="828">
        <f t="shared" si="32"/>
        <v>3.5193537846789971</v>
      </c>
      <c r="J176" s="828">
        <f t="shared" si="33"/>
        <v>3.5193537846789971</v>
      </c>
      <c r="K176" s="828">
        <f t="shared" si="34"/>
        <v>0.89999999999999991</v>
      </c>
      <c r="L176" s="828" t="s">
        <v>22</v>
      </c>
      <c r="M176" s="829">
        <f t="shared" si="35"/>
        <v>8.6999999999999993</v>
      </c>
      <c r="N176" s="700"/>
      <c r="P176" s="871"/>
    </row>
    <row r="177" spans="1:16" s="863" customFormat="1">
      <c r="A177" s="921"/>
      <c r="B177" s="919"/>
      <c r="C177" s="919"/>
      <c r="D177" s="888" t="s">
        <v>11881</v>
      </c>
      <c r="E177" s="790"/>
      <c r="F177" s="907">
        <f t="shared" si="30"/>
        <v>1</v>
      </c>
      <c r="G177" s="828">
        <f t="shared" si="31"/>
        <v>2.7266307658155</v>
      </c>
      <c r="H177" s="828">
        <f t="shared" si="31"/>
        <v>2.7266307658155</v>
      </c>
      <c r="I177" s="828">
        <f t="shared" si="32"/>
        <v>4.1255537402804956</v>
      </c>
      <c r="J177" s="828">
        <f t="shared" si="33"/>
        <v>4.1255537402804956</v>
      </c>
      <c r="K177" s="828">
        <f t="shared" si="34"/>
        <v>1.5</v>
      </c>
      <c r="L177" s="828" t="s">
        <v>22</v>
      </c>
      <c r="M177" s="829">
        <f t="shared" si="35"/>
        <v>17.850000000000001</v>
      </c>
      <c r="N177" s="700"/>
      <c r="P177" s="871"/>
    </row>
    <row r="178" spans="1:16" s="863" customFormat="1">
      <c r="A178" s="921"/>
      <c r="B178" s="919"/>
      <c r="C178" s="919"/>
      <c r="D178" s="888" t="s">
        <v>11882</v>
      </c>
      <c r="E178" s="790"/>
      <c r="F178" s="907">
        <f t="shared" si="30"/>
        <v>1</v>
      </c>
      <c r="G178" s="828">
        <f t="shared" si="31"/>
        <v>3.2395691897859979</v>
      </c>
      <c r="H178" s="828">
        <f t="shared" si="31"/>
        <v>3.2395691897859979</v>
      </c>
      <c r="I178" s="828">
        <f t="shared" si="32"/>
        <v>4.6384921642509935</v>
      </c>
      <c r="J178" s="828">
        <f t="shared" si="33"/>
        <v>4.6384921642509935</v>
      </c>
      <c r="K178" s="828">
        <f t="shared" si="34"/>
        <v>1.5</v>
      </c>
      <c r="L178" s="828" t="s">
        <v>22</v>
      </c>
      <c r="M178" s="829">
        <f t="shared" si="35"/>
        <v>23.52</v>
      </c>
      <c r="N178" s="700"/>
      <c r="P178" s="871"/>
    </row>
    <row r="179" spans="1:16" s="863" customFormat="1">
      <c r="A179" s="921"/>
      <c r="B179" s="919"/>
      <c r="C179" s="919"/>
      <c r="D179" s="888" t="s">
        <v>11883</v>
      </c>
      <c r="E179" s="790"/>
      <c r="F179" s="907">
        <f t="shared" si="30"/>
        <v>1</v>
      </c>
      <c r="G179" s="828">
        <f t="shared" si="31"/>
        <v>2.6799999999999997</v>
      </c>
      <c r="H179" s="828">
        <f t="shared" si="31"/>
        <v>2.6799999999999997</v>
      </c>
      <c r="I179" s="828">
        <f t="shared" si="32"/>
        <v>4.0789229744649953</v>
      </c>
      <c r="J179" s="828">
        <f t="shared" si="33"/>
        <v>4.0789229744649953</v>
      </c>
      <c r="K179" s="828">
        <f t="shared" si="34"/>
        <v>1.5</v>
      </c>
      <c r="L179" s="828" t="s">
        <v>22</v>
      </c>
      <c r="M179" s="829">
        <f t="shared" si="35"/>
        <v>17.38</v>
      </c>
      <c r="N179" s="700"/>
      <c r="P179" s="871"/>
    </row>
    <row r="180" spans="1:16" s="863" customFormat="1">
      <c r="A180" s="921"/>
      <c r="B180" s="919"/>
      <c r="C180" s="919"/>
      <c r="D180" s="888" t="s">
        <v>11884</v>
      </c>
      <c r="E180" s="790"/>
      <c r="F180" s="907">
        <f t="shared" si="30"/>
        <v>1</v>
      </c>
      <c r="G180" s="828">
        <f t="shared" si="31"/>
        <v>3.4260922530479978</v>
      </c>
      <c r="H180" s="828">
        <f t="shared" si="31"/>
        <v>3.4260922530479978</v>
      </c>
      <c r="I180" s="828">
        <f t="shared" si="32"/>
        <v>4.8250152275129938</v>
      </c>
      <c r="J180" s="828">
        <f t="shared" si="33"/>
        <v>4.8250152275129938</v>
      </c>
      <c r="K180" s="828">
        <f t="shared" si="34"/>
        <v>1.5</v>
      </c>
      <c r="L180" s="828" t="s">
        <v>22</v>
      </c>
      <c r="M180" s="829">
        <f t="shared" si="35"/>
        <v>25.77</v>
      </c>
      <c r="N180" s="700"/>
      <c r="P180" s="871"/>
    </row>
    <row r="181" spans="1:16" s="863" customFormat="1">
      <c r="A181" s="921"/>
      <c r="B181" s="919"/>
      <c r="C181" s="919"/>
      <c r="D181" s="888" t="s">
        <v>11921</v>
      </c>
      <c r="E181" s="790"/>
      <c r="F181" s="907">
        <f t="shared" si="30"/>
        <v>1</v>
      </c>
      <c r="G181" s="828">
        <f t="shared" si="31"/>
        <v>2.6799999999999997</v>
      </c>
      <c r="H181" s="828">
        <f t="shared" si="31"/>
        <v>2.6799999999999997</v>
      </c>
      <c r="I181" s="828">
        <f>G181+2*(K181*TAN(M$110*PI()/180))</f>
        <v>3.2395691897859979</v>
      </c>
      <c r="J181" s="828">
        <f>H181+2*(K181*TAN(M$110*PI()/180))</f>
        <v>3.2395691897859979</v>
      </c>
      <c r="K181" s="828">
        <f t="shared" si="34"/>
        <v>0.60000000000000009</v>
      </c>
      <c r="L181" s="828" t="s">
        <v>11922</v>
      </c>
      <c r="M181" s="829">
        <f>ROUND(F181*((K181/3)*((I181*J181)+SQRT((I181*J181)*(G181*H181))+(G181*H181))),2)</f>
        <v>5.27</v>
      </c>
      <c r="N181" s="700"/>
      <c r="P181" s="871"/>
    </row>
    <row r="182" spans="1:16" s="863" customFormat="1">
      <c r="A182" s="921"/>
      <c r="B182" s="919"/>
      <c r="C182" s="919"/>
      <c r="D182" s="888" t="s">
        <v>11838</v>
      </c>
      <c r="E182" s="790"/>
      <c r="F182" s="907">
        <f t="shared" si="30"/>
        <v>1</v>
      </c>
      <c r="G182" s="828">
        <f t="shared" si="31"/>
        <v>4</v>
      </c>
      <c r="H182" s="828">
        <f t="shared" si="31"/>
        <v>3.0999999999999996</v>
      </c>
      <c r="I182" s="828">
        <f t="shared" si="32"/>
        <v>4.8859845504944976</v>
      </c>
      <c r="J182" s="828">
        <f t="shared" si="33"/>
        <v>3.9859845504944973</v>
      </c>
      <c r="K182" s="828">
        <f t="shared" si="34"/>
        <v>0.95000000000000018</v>
      </c>
      <c r="L182" s="828" t="s">
        <v>22</v>
      </c>
      <c r="M182" s="829">
        <f t="shared" si="35"/>
        <v>15.01</v>
      </c>
      <c r="N182" s="700"/>
      <c r="P182" s="871"/>
    </row>
    <row r="183" spans="1:16" s="863" customFormat="1">
      <c r="A183" s="921"/>
      <c r="B183" s="919"/>
      <c r="C183" s="919"/>
      <c r="D183" s="888" t="s">
        <v>11839</v>
      </c>
      <c r="E183" s="790"/>
      <c r="F183" s="907">
        <f t="shared" si="30"/>
        <v>1</v>
      </c>
      <c r="G183" s="828">
        <f t="shared" si="31"/>
        <v>2.8499999999999996</v>
      </c>
      <c r="H183" s="828">
        <f t="shared" si="31"/>
        <v>2.75</v>
      </c>
      <c r="I183" s="828">
        <f t="shared" si="32"/>
        <v>3.8758768479409973</v>
      </c>
      <c r="J183" s="828">
        <f t="shared" si="33"/>
        <v>3.7758768479409976</v>
      </c>
      <c r="K183" s="828">
        <f t="shared" si="34"/>
        <v>1.1000000000000005</v>
      </c>
      <c r="L183" s="828" t="s">
        <v>22</v>
      </c>
      <c r="M183" s="829">
        <f t="shared" si="35"/>
        <v>12.17</v>
      </c>
      <c r="N183" s="700"/>
      <c r="P183" s="871"/>
    </row>
    <row r="184" spans="1:16" s="863" customFormat="1">
      <c r="A184" s="921"/>
      <c r="B184" s="919"/>
      <c r="C184" s="919"/>
      <c r="D184" s="888" t="s">
        <v>11870</v>
      </c>
      <c r="E184" s="790"/>
      <c r="F184" s="907">
        <f t="shared" si="30"/>
        <v>4</v>
      </c>
      <c r="G184" s="828">
        <f t="shared" si="31"/>
        <v>2.8</v>
      </c>
      <c r="H184" s="828">
        <f t="shared" si="31"/>
        <v>2.5999999999999996</v>
      </c>
      <c r="I184" s="828">
        <f t="shared" si="32"/>
        <v>3.1264153607084988</v>
      </c>
      <c r="J184" s="828">
        <f t="shared" si="33"/>
        <v>2.9264153607084986</v>
      </c>
      <c r="K184" s="828">
        <f t="shared" si="34"/>
        <v>0.34999999999999987</v>
      </c>
      <c r="L184" s="828" t="s">
        <v>22</v>
      </c>
      <c r="M184" s="829">
        <f t="shared" si="35"/>
        <v>11.48</v>
      </c>
      <c r="N184" s="700"/>
      <c r="P184" s="871"/>
    </row>
    <row r="185" spans="1:16" s="863" customFormat="1">
      <c r="A185" s="921"/>
      <c r="B185" s="919"/>
      <c r="C185" s="919"/>
      <c r="D185" s="888" t="s">
        <v>11871</v>
      </c>
      <c r="E185" s="790"/>
      <c r="F185" s="907">
        <f t="shared" si="30"/>
        <v>2</v>
      </c>
      <c r="G185" s="828">
        <f t="shared" si="31"/>
        <v>5.2</v>
      </c>
      <c r="H185" s="828">
        <f t="shared" si="31"/>
        <v>1.4</v>
      </c>
      <c r="I185" s="828">
        <f t="shared" si="32"/>
        <v>5.2</v>
      </c>
      <c r="J185" s="828">
        <f t="shared" si="33"/>
        <v>1.4</v>
      </c>
      <c r="K185" s="828">
        <f t="shared" si="34"/>
        <v>0</v>
      </c>
      <c r="L185" s="828" t="s">
        <v>22</v>
      </c>
      <c r="M185" s="829">
        <f t="shared" si="35"/>
        <v>0</v>
      </c>
      <c r="N185" s="700"/>
      <c r="P185" s="871"/>
    </row>
    <row r="186" spans="1:16" s="863" customFormat="1">
      <c r="A186" s="921"/>
      <c r="B186" s="919"/>
      <c r="C186" s="919"/>
      <c r="D186" s="888" t="s">
        <v>11872</v>
      </c>
      <c r="E186" s="790"/>
      <c r="F186" s="907">
        <f t="shared" si="30"/>
        <v>2</v>
      </c>
      <c r="G186" s="828">
        <f t="shared" si="31"/>
        <v>3.9000000000000004</v>
      </c>
      <c r="H186" s="828">
        <f t="shared" si="31"/>
        <v>1.4</v>
      </c>
      <c r="I186" s="828">
        <f t="shared" si="32"/>
        <v>3.9000000000000004</v>
      </c>
      <c r="J186" s="828">
        <f t="shared" si="33"/>
        <v>1.4</v>
      </c>
      <c r="K186" s="828">
        <f t="shared" si="34"/>
        <v>0</v>
      </c>
      <c r="L186" s="828" t="s">
        <v>22</v>
      </c>
      <c r="M186" s="829">
        <f t="shared" si="35"/>
        <v>0</v>
      </c>
      <c r="N186" s="700"/>
      <c r="P186" s="871"/>
    </row>
    <row r="187" spans="1:16" s="863" customFormat="1">
      <c r="A187" s="921"/>
      <c r="B187" s="919"/>
      <c r="C187" s="919"/>
      <c r="D187" s="888" t="s">
        <v>11841</v>
      </c>
      <c r="E187" s="790"/>
      <c r="F187" s="907">
        <f t="shared" si="30"/>
        <v>1</v>
      </c>
      <c r="G187" s="828">
        <f t="shared" si="31"/>
        <v>4.0199999999999996</v>
      </c>
      <c r="H187" s="828">
        <f t="shared" si="31"/>
        <v>3.9000000000000004</v>
      </c>
      <c r="I187" s="828">
        <f t="shared" si="32"/>
        <v>5.0458768479409963</v>
      </c>
      <c r="J187" s="828">
        <f t="shared" si="33"/>
        <v>4.9258768479409971</v>
      </c>
      <c r="K187" s="828">
        <f t="shared" si="34"/>
        <v>1.1000000000000001</v>
      </c>
      <c r="L187" s="828" t="s">
        <v>22</v>
      </c>
      <c r="M187" s="829">
        <f t="shared" si="35"/>
        <v>22.1</v>
      </c>
      <c r="N187" s="700"/>
      <c r="P187" s="871"/>
    </row>
    <row r="188" spans="1:16" s="863" customFormat="1">
      <c r="A188" s="921"/>
      <c r="B188" s="919"/>
      <c r="C188" s="919"/>
      <c r="D188" s="888" t="s">
        <v>11842</v>
      </c>
      <c r="E188" s="790"/>
      <c r="F188" s="907">
        <f t="shared" si="30"/>
        <v>1</v>
      </c>
      <c r="G188" s="828">
        <f t="shared" si="31"/>
        <v>4.25</v>
      </c>
      <c r="H188" s="828">
        <f t="shared" si="31"/>
        <v>3.4000000000000004</v>
      </c>
      <c r="I188" s="828">
        <f t="shared" si="32"/>
        <v>4.7629384239704979</v>
      </c>
      <c r="J188" s="828">
        <f t="shared" si="33"/>
        <v>3.9129384239704987</v>
      </c>
      <c r="K188" s="828">
        <f t="shared" si="34"/>
        <v>0.54999999999999982</v>
      </c>
      <c r="L188" s="828" t="s">
        <v>22</v>
      </c>
      <c r="M188" s="829">
        <f t="shared" si="35"/>
        <v>9.07</v>
      </c>
      <c r="N188" s="700"/>
      <c r="P188" s="871"/>
    </row>
    <row r="189" spans="1:16" s="863" customFormat="1">
      <c r="A189" s="921"/>
      <c r="B189" s="919"/>
      <c r="C189" s="919"/>
      <c r="D189" s="888" t="s">
        <v>11843</v>
      </c>
      <c r="E189" s="790"/>
      <c r="F189" s="907">
        <f t="shared" si="30"/>
        <v>1</v>
      </c>
      <c r="G189" s="828">
        <f t="shared" si="31"/>
        <v>3.9000000000000004</v>
      </c>
      <c r="H189" s="828">
        <f t="shared" si="31"/>
        <v>3.75</v>
      </c>
      <c r="I189" s="828">
        <f t="shared" si="32"/>
        <v>3.9000000000000004</v>
      </c>
      <c r="J189" s="828">
        <f t="shared" si="33"/>
        <v>3.75</v>
      </c>
      <c r="K189" s="828">
        <f t="shared" si="34"/>
        <v>0</v>
      </c>
      <c r="L189" s="828" t="s">
        <v>22</v>
      </c>
      <c r="M189" s="829">
        <f t="shared" si="35"/>
        <v>0</v>
      </c>
      <c r="N189" s="700"/>
      <c r="P189" s="871"/>
    </row>
    <row r="190" spans="1:16" s="863" customFormat="1" ht="12.75" customHeight="1">
      <c r="A190" s="921"/>
      <c r="B190" s="919"/>
      <c r="C190" s="919"/>
      <c r="D190" s="826"/>
      <c r="E190" s="790"/>
      <c r="F190" s="1002"/>
      <c r="G190" s="700"/>
      <c r="H190" s="700"/>
      <c r="I190" s="700"/>
      <c r="J190" s="700"/>
      <c r="K190" s="700"/>
      <c r="L190" s="700"/>
      <c r="M190" s="890"/>
      <c r="N190" s="700"/>
      <c r="P190" s="871"/>
    </row>
    <row r="191" spans="1:16" s="863" customFormat="1" ht="12.75" customHeight="1">
      <c r="A191" s="921"/>
      <c r="B191" s="919"/>
      <c r="C191" s="919"/>
      <c r="D191" s="836" t="s">
        <v>20185</v>
      </c>
      <c r="E191" s="837"/>
      <c r="F191" s="837"/>
      <c r="G191" s="838"/>
      <c r="H191" s="838"/>
      <c r="I191" s="838"/>
      <c r="J191" s="838"/>
      <c r="K191" s="839" t="s">
        <v>27</v>
      </c>
      <c r="L191" s="856" t="s">
        <v>22</v>
      </c>
      <c r="M191" s="840">
        <f>SUM(M173:M189)</f>
        <v>186.38999999999996</v>
      </c>
      <c r="N191" s="700"/>
      <c r="P191" s="871"/>
    </row>
    <row r="192" spans="1:16" s="863" customFormat="1" ht="22.5">
      <c r="A192" s="921"/>
      <c r="B192" s="919"/>
      <c r="C192" s="919"/>
      <c r="D192" s="881"/>
      <c r="E192" s="882"/>
      <c r="F192" s="828" t="s">
        <v>1275</v>
      </c>
      <c r="G192" s="828" t="s">
        <v>11885</v>
      </c>
      <c r="H192" s="828" t="s">
        <v>11669</v>
      </c>
      <c r="I192" s="828" t="s">
        <v>11886</v>
      </c>
      <c r="J192" s="828" t="s">
        <v>11675</v>
      </c>
      <c r="K192" s="828" t="s">
        <v>11667</v>
      </c>
      <c r="L192" s="1000"/>
      <c r="M192" s="1001"/>
      <c r="N192" s="700"/>
      <c r="P192" s="871"/>
    </row>
    <row r="193" spans="1:16" s="863" customFormat="1">
      <c r="A193" s="921"/>
      <c r="B193" s="919"/>
      <c r="C193" s="919"/>
      <c r="D193" s="888" t="s">
        <v>11877</v>
      </c>
      <c r="E193" s="790"/>
      <c r="F193" s="907">
        <f t="shared" ref="F193:F209" si="36">F153</f>
        <v>1</v>
      </c>
      <c r="G193" s="828">
        <f t="shared" ref="G193:H209" si="37">G133</f>
        <v>2.6799999999999997</v>
      </c>
      <c r="H193" s="828">
        <f t="shared" si="37"/>
        <v>2.6799999999999997</v>
      </c>
      <c r="I193" s="828">
        <f>G193+2*(K193*TAN(M$110*PI()/180))</f>
        <v>2.6799999999999997</v>
      </c>
      <c r="J193" s="828">
        <f>H193+2*(K193*TAN(M$110*PI()/180))</f>
        <v>2.6799999999999997</v>
      </c>
      <c r="K193" s="828">
        <f>IF(K133&gt;3,(K133-3),0)</f>
        <v>0</v>
      </c>
      <c r="L193" s="828" t="s">
        <v>22</v>
      </c>
      <c r="M193" s="829">
        <f>ROUND(F193*((K193/3)*((I193*J193)+SQRT((I193*J193)*(G193*H193))+(G193*H193))),2)</f>
        <v>0</v>
      </c>
      <c r="N193" s="700"/>
      <c r="P193" s="871"/>
    </row>
    <row r="194" spans="1:16" s="863" customFormat="1">
      <c r="A194" s="921"/>
      <c r="B194" s="919"/>
      <c r="C194" s="919"/>
      <c r="D194" s="888" t="s">
        <v>11878</v>
      </c>
      <c r="E194" s="790"/>
      <c r="F194" s="907">
        <f t="shared" si="36"/>
        <v>1</v>
      </c>
      <c r="G194" s="828">
        <f t="shared" si="37"/>
        <v>2.6799999999999997</v>
      </c>
      <c r="H194" s="828">
        <f t="shared" si="37"/>
        <v>2.6799999999999997</v>
      </c>
      <c r="I194" s="828">
        <f t="shared" ref="I194:I200" si="38">G194+2*(K194*TAN(M$110*PI()/180))</f>
        <v>2.6799999999999997</v>
      </c>
      <c r="J194" s="828">
        <f t="shared" ref="J194:J200" si="39">H194+2*(K194*TAN(M$110*PI()/180))</f>
        <v>2.6799999999999997</v>
      </c>
      <c r="K194" s="828">
        <f t="shared" ref="K194:K209" si="40">IF(K134&gt;3,(K134-3),0)</f>
        <v>0</v>
      </c>
      <c r="L194" s="828" t="s">
        <v>22</v>
      </c>
      <c r="M194" s="829">
        <f t="shared" ref="M194:M200" si="41">ROUND(F194*((K194/3)*((I194*J194)+SQRT((I194*J194)*(G194*H194))+(G194*H194))),2)</f>
        <v>0</v>
      </c>
      <c r="N194" s="700"/>
      <c r="P194" s="871"/>
    </row>
    <row r="195" spans="1:16" s="863" customFormat="1">
      <c r="A195" s="921"/>
      <c r="B195" s="919"/>
      <c r="C195" s="919"/>
      <c r="D195" s="888" t="s">
        <v>11879</v>
      </c>
      <c r="E195" s="790"/>
      <c r="F195" s="907">
        <f t="shared" si="36"/>
        <v>1</v>
      </c>
      <c r="G195" s="828">
        <f t="shared" si="37"/>
        <v>2.6799999999999997</v>
      </c>
      <c r="H195" s="828">
        <f t="shared" si="37"/>
        <v>2.6799999999999997</v>
      </c>
      <c r="I195" s="828">
        <f t="shared" si="38"/>
        <v>2.6799999999999997</v>
      </c>
      <c r="J195" s="828">
        <f t="shared" si="39"/>
        <v>2.6799999999999997</v>
      </c>
      <c r="K195" s="828">
        <f t="shared" si="40"/>
        <v>0</v>
      </c>
      <c r="L195" s="828" t="s">
        <v>22</v>
      </c>
      <c r="M195" s="829">
        <f t="shared" si="41"/>
        <v>0</v>
      </c>
      <c r="N195" s="700"/>
      <c r="P195" s="871"/>
    </row>
    <row r="196" spans="1:16" s="863" customFormat="1">
      <c r="A196" s="921"/>
      <c r="B196" s="919"/>
      <c r="C196" s="919"/>
      <c r="D196" s="888" t="s">
        <v>11880</v>
      </c>
      <c r="E196" s="790"/>
      <c r="F196" s="907">
        <f t="shared" si="36"/>
        <v>1</v>
      </c>
      <c r="G196" s="828">
        <f t="shared" si="37"/>
        <v>2.6799999999999997</v>
      </c>
      <c r="H196" s="828">
        <f t="shared" si="37"/>
        <v>2.6799999999999997</v>
      </c>
      <c r="I196" s="828">
        <f t="shared" si="38"/>
        <v>2.6799999999999997</v>
      </c>
      <c r="J196" s="828">
        <f t="shared" si="39"/>
        <v>2.6799999999999997</v>
      </c>
      <c r="K196" s="828">
        <f t="shared" si="40"/>
        <v>0</v>
      </c>
      <c r="L196" s="828" t="s">
        <v>22</v>
      </c>
      <c r="M196" s="829">
        <f t="shared" si="41"/>
        <v>0</v>
      </c>
      <c r="N196" s="700"/>
      <c r="P196" s="871"/>
    </row>
    <row r="197" spans="1:16" s="863" customFormat="1">
      <c r="A197" s="921"/>
      <c r="B197" s="919"/>
      <c r="C197" s="919"/>
      <c r="D197" s="888" t="s">
        <v>11881</v>
      </c>
      <c r="E197" s="790"/>
      <c r="F197" s="907">
        <f t="shared" si="36"/>
        <v>1</v>
      </c>
      <c r="G197" s="828">
        <f t="shared" si="37"/>
        <v>2.6799999999999997</v>
      </c>
      <c r="H197" s="828">
        <f t="shared" si="37"/>
        <v>2.6799999999999997</v>
      </c>
      <c r="I197" s="828">
        <f t="shared" si="38"/>
        <v>2.7266307658155</v>
      </c>
      <c r="J197" s="828">
        <f t="shared" si="39"/>
        <v>2.7266307658155</v>
      </c>
      <c r="K197" s="828">
        <f t="shared" si="40"/>
        <v>5.0000000000000266E-2</v>
      </c>
      <c r="L197" s="828" t="s">
        <v>22</v>
      </c>
      <c r="M197" s="829">
        <f t="shared" si="41"/>
        <v>0.37</v>
      </c>
      <c r="N197" s="700"/>
      <c r="P197" s="871"/>
    </row>
    <row r="198" spans="1:16" s="863" customFormat="1">
      <c r="A198" s="921"/>
      <c r="B198" s="919"/>
      <c r="C198" s="919"/>
      <c r="D198" s="888" t="s">
        <v>11882</v>
      </c>
      <c r="E198" s="790"/>
      <c r="F198" s="907">
        <f t="shared" si="36"/>
        <v>1</v>
      </c>
      <c r="G198" s="828">
        <f t="shared" si="37"/>
        <v>2.6799999999999997</v>
      </c>
      <c r="H198" s="828">
        <f t="shared" si="37"/>
        <v>2.6799999999999997</v>
      </c>
      <c r="I198" s="828">
        <f t="shared" si="38"/>
        <v>3.2395691897859979</v>
      </c>
      <c r="J198" s="828">
        <f t="shared" si="39"/>
        <v>3.2395691897859979</v>
      </c>
      <c r="K198" s="828">
        <f t="shared" si="40"/>
        <v>0.60000000000000009</v>
      </c>
      <c r="L198" s="828" t="s">
        <v>22</v>
      </c>
      <c r="M198" s="829">
        <f t="shared" si="41"/>
        <v>5.27</v>
      </c>
      <c r="N198" s="700"/>
      <c r="P198" s="871"/>
    </row>
    <row r="199" spans="1:16" s="863" customFormat="1">
      <c r="A199" s="921"/>
      <c r="B199" s="919"/>
      <c r="C199" s="919"/>
      <c r="D199" s="888" t="s">
        <v>11883</v>
      </c>
      <c r="E199" s="790"/>
      <c r="F199" s="907">
        <f t="shared" si="36"/>
        <v>1</v>
      </c>
      <c r="G199" s="828">
        <f t="shared" si="37"/>
        <v>2.6799999999999997</v>
      </c>
      <c r="H199" s="828">
        <f t="shared" si="37"/>
        <v>2.6799999999999997</v>
      </c>
      <c r="I199" s="828">
        <f t="shared" si="38"/>
        <v>2.6799999999999997</v>
      </c>
      <c r="J199" s="828">
        <f t="shared" si="39"/>
        <v>2.6799999999999997</v>
      </c>
      <c r="K199" s="828">
        <f t="shared" si="40"/>
        <v>0</v>
      </c>
      <c r="L199" s="828" t="s">
        <v>22</v>
      </c>
      <c r="M199" s="829">
        <f t="shared" si="41"/>
        <v>0</v>
      </c>
      <c r="N199" s="700"/>
      <c r="P199" s="871"/>
    </row>
    <row r="200" spans="1:16" s="863" customFormat="1">
      <c r="A200" s="921"/>
      <c r="B200" s="919"/>
      <c r="C200" s="919"/>
      <c r="D200" s="888" t="s">
        <v>11884</v>
      </c>
      <c r="E200" s="790"/>
      <c r="F200" s="907">
        <f t="shared" si="36"/>
        <v>1</v>
      </c>
      <c r="G200" s="828">
        <f t="shared" si="37"/>
        <v>2.6799999999999997</v>
      </c>
      <c r="H200" s="828">
        <f t="shared" si="37"/>
        <v>2.6799999999999997</v>
      </c>
      <c r="I200" s="828">
        <f t="shared" si="38"/>
        <v>3.4260922530479978</v>
      </c>
      <c r="J200" s="828">
        <f t="shared" si="39"/>
        <v>3.4260922530479978</v>
      </c>
      <c r="K200" s="828">
        <f t="shared" si="40"/>
        <v>0.80000000000000027</v>
      </c>
      <c r="L200" s="828" t="s">
        <v>22</v>
      </c>
      <c r="M200" s="829">
        <f t="shared" si="41"/>
        <v>7.49</v>
      </c>
      <c r="N200" s="700"/>
      <c r="P200" s="871"/>
    </row>
    <row r="201" spans="1:16" s="863" customFormat="1">
      <c r="A201" s="921"/>
      <c r="B201" s="919"/>
      <c r="C201" s="919"/>
      <c r="D201" s="888" t="s">
        <v>11921</v>
      </c>
      <c r="E201" s="790"/>
      <c r="F201" s="907">
        <f t="shared" si="36"/>
        <v>1</v>
      </c>
      <c r="G201" s="828">
        <f t="shared" si="37"/>
        <v>2.6799999999999997</v>
      </c>
      <c r="H201" s="828">
        <f t="shared" si="37"/>
        <v>2.6799999999999997</v>
      </c>
      <c r="I201" s="828">
        <f>G201+2*(K201*TAN(M$110*PI()/180))</f>
        <v>2.6799999999999997</v>
      </c>
      <c r="J201" s="828">
        <f>H201+2*(K201*TAN(M$110*PI()/180))</f>
        <v>2.6799999999999997</v>
      </c>
      <c r="K201" s="828">
        <f t="shared" si="40"/>
        <v>0</v>
      </c>
      <c r="L201" s="828" t="s">
        <v>11922</v>
      </c>
      <c r="M201" s="829">
        <f>ROUND(F201*((K201/3)*((I201*J201)+SQRT((I201*J201)*(G201*H201))+(G201*H201))),2)</f>
        <v>0</v>
      </c>
      <c r="N201" s="700"/>
      <c r="P201" s="871"/>
    </row>
    <row r="202" spans="1:16" s="863" customFormat="1">
      <c r="A202" s="921"/>
      <c r="B202" s="919"/>
      <c r="C202" s="919"/>
      <c r="D202" s="888" t="s">
        <v>11838</v>
      </c>
      <c r="E202" s="790"/>
      <c r="F202" s="907">
        <f t="shared" si="36"/>
        <v>1</v>
      </c>
      <c r="G202" s="828">
        <f t="shared" si="37"/>
        <v>4</v>
      </c>
      <c r="H202" s="828">
        <f t="shared" si="37"/>
        <v>3.0999999999999996</v>
      </c>
      <c r="I202" s="828">
        <f t="shared" ref="I202:I209" si="42">G202+2*(K202*TAN(M$110*PI()/180))</f>
        <v>4</v>
      </c>
      <c r="J202" s="828">
        <f t="shared" ref="J202:J209" si="43">H202+2*(K202*TAN(M$110*PI()/180))</f>
        <v>3.0999999999999996</v>
      </c>
      <c r="K202" s="828">
        <f t="shared" si="40"/>
        <v>0</v>
      </c>
      <c r="L202" s="828" t="s">
        <v>22</v>
      </c>
      <c r="M202" s="829">
        <f t="shared" ref="M202:M209" si="44">ROUND(F202*((K202/3)*((I202*J202)+SQRT((I202*J202)*(G202*H202))+(G202*H202))),2)</f>
        <v>0</v>
      </c>
      <c r="N202" s="700"/>
      <c r="P202" s="871"/>
    </row>
    <row r="203" spans="1:16" s="863" customFormat="1">
      <c r="A203" s="921"/>
      <c r="B203" s="919"/>
      <c r="C203" s="919"/>
      <c r="D203" s="888" t="s">
        <v>11839</v>
      </c>
      <c r="E203" s="790"/>
      <c r="F203" s="907">
        <f t="shared" si="36"/>
        <v>1</v>
      </c>
      <c r="G203" s="828">
        <f t="shared" si="37"/>
        <v>2.8499999999999996</v>
      </c>
      <c r="H203" s="828">
        <f t="shared" si="37"/>
        <v>2.75</v>
      </c>
      <c r="I203" s="828">
        <f t="shared" si="42"/>
        <v>2.8499999999999996</v>
      </c>
      <c r="J203" s="828">
        <f t="shared" si="43"/>
        <v>2.75</v>
      </c>
      <c r="K203" s="828">
        <f t="shared" si="40"/>
        <v>0</v>
      </c>
      <c r="L203" s="828" t="s">
        <v>22</v>
      </c>
      <c r="M203" s="829">
        <f t="shared" si="44"/>
        <v>0</v>
      </c>
      <c r="N203" s="700"/>
      <c r="P203" s="871"/>
    </row>
    <row r="204" spans="1:16" s="863" customFormat="1">
      <c r="A204" s="921"/>
      <c r="B204" s="919"/>
      <c r="C204" s="919"/>
      <c r="D204" s="888" t="s">
        <v>11870</v>
      </c>
      <c r="E204" s="790"/>
      <c r="F204" s="907">
        <f t="shared" si="36"/>
        <v>4</v>
      </c>
      <c r="G204" s="828">
        <f t="shared" si="37"/>
        <v>2.8</v>
      </c>
      <c r="H204" s="828">
        <f t="shared" si="37"/>
        <v>2.5999999999999996</v>
      </c>
      <c r="I204" s="828">
        <f t="shared" si="42"/>
        <v>2.8</v>
      </c>
      <c r="J204" s="828">
        <f t="shared" si="43"/>
        <v>2.5999999999999996</v>
      </c>
      <c r="K204" s="828">
        <f t="shared" si="40"/>
        <v>0</v>
      </c>
      <c r="L204" s="828" t="s">
        <v>22</v>
      </c>
      <c r="M204" s="829">
        <f t="shared" si="44"/>
        <v>0</v>
      </c>
      <c r="N204" s="700"/>
      <c r="P204" s="871"/>
    </row>
    <row r="205" spans="1:16" s="863" customFormat="1">
      <c r="A205" s="921"/>
      <c r="B205" s="919"/>
      <c r="C205" s="919"/>
      <c r="D205" s="888" t="s">
        <v>11871</v>
      </c>
      <c r="E205" s="790"/>
      <c r="F205" s="907">
        <f t="shared" si="36"/>
        <v>2</v>
      </c>
      <c r="G205" s="828">
        <f t="shared" si="37"/>
        <v>5.2</v>
      </c>
      <c r="H205" s="828">
        <f t="shared" si="37"/>
        <v>1.4</v>
      </c>
      <c r="I205" s="828">
        <f t="shared" si="42"/>
        <v>5.2</v>
      </c>
      <c r="J205" s="828">
        <f t="shared" si="43"/>
        <v>1.4</v>
      </c>
      <c r="K205" s="828">
        <f t="shared" si="40"/>
        <v>0</v>
      </c>
      <c r="L205" s="828" t="s">
        <v>22</v>
      </c>
      <c r="M205" s="829">
        <f t="shared" si="44"/>
        <v>0</v>
      </c>
      <c r="N205" s="700"/>
      <c r="P205" s="871"/>
    </row>
    <row r="206" spans="1:16" s="863" customFormat="1">
      <c r="A206" s="921"/>
      <c r="B206" s="919"/>
      <c r="C206" s="919"/>
      <c r="D206" s="888" t="s">
        <v>11872</v>
      </c>
      <c r="E206" s="790"/>
      <c r="F206" s="907">
        <f t="shared" si="36"/>
        <v>2</v>
      </c>
      <c r="G206" s="828">
        <f t="shared" si="37"/>
        <v>3.9000000000000004</v>
      </c>
      <c r="H206" s="828">
        <f t="shared" si="37"/>
        <v>1.4</v>
      </c>
      <c r="I206" s="828">
        <f t="shared" si="42"/>
        <v>3.9000000000000004</v>
      </c>
      <c r="J206" s="828">
        <f t="shared" si="43"/>
        <v>1.4</v>
      </c>
      <c r="K206" s="828">
        <f t="shared" si="40"/>
        <v>0</v>
      </c>
      <c r="L206" s="828" t="s">
        <v>22</v>
      </c>
      <c r="M206" s="829">
        <f t="shared" si="44"/>
        <v>0</v>
      </c>
      <c r="N206" s="700"/>
      <c r="P206" s="871"/>
    </row>
    <row r="207" spans="1:16" s="863" customFormat="1">
      <c r="A207" s="921"/>
      <c r="B207" s="919"/>
      <c r="C207" s="919"/>
      <c r="D207" s="888" t="s">
        <v>11841</v>
      </c>
      <c r="E207" s="790"/>
      <c r="F207" s="907">
        <f t="shared" si="36"/>
        <v>1</v>
      </c>
      <c r="G207" s="828">
        <f t="shared" si="37"/>
        <v>4.0199999999999996</v>
      </c>
      <c r="H207" s="828">
        <f t="shared" si="37"/>
        <v>3.9000000000000004</v>
      </c>
      <c r="I207" s="828">
        <f t="shared" si="42"/>
        <v>4.0199999999999996</v>
      </c>
      <c r="J207" s="828">
        <f t="shared" si="43"/>
        <v>3.9000000000000004</v>
      </c>
      <c r="K207" s="828">
        <f t="shared" si="40"/>
        <v>0</v>
      </c>
      <c r="L207" s="828" t="s">
        <v>22</v>
      </c>
      <c r="M207" s="829">
        <f t="shared" si="44"/>
        <v>0</v>
      </c>
      <c r="N207" s="700"/>
      <c r="P207" s="871"/>
    </row>
    <row r="208" spans="1:16" s="863" customFormat="1">
      <c r="A208" s="921"/>
      <c r="B208" s="919"/>
      <c r="C208" s="919"/>
      <c r="D208" s="888" t="s">
        <v>11842</v>
      </c>
      <c r="E208" s="790"/>
      <c r="F208" s="907">
        <f t="shared" si="36"/>
        <v>1</v>
      </c>
      <c r="G208" s="828">
        <f t="shared" si="37"/>
        <v>4.25</v>
      </c>
      <c r="H208" s="828">
        <f t="shared" si="37"/>
        <v>3.4000000000000004</v>
      </c>
      <c r="I208" s="828">
        <f t="shared" si="42"/>
        <v>4.25</v>
      </c>
      <c r="J208" s="828">
        <f t="shared" si="43"/>
        <v>3.4000000000000004</v>
      </c>
      <c r="K208" s="828">
        <f t="shared" si="40"/>
        <v>0</v>
      </c>
      <c r="L208" s="828" t="s">
        <v>22</v>
      </c>
      <c r="M208" s="829">
        <f t="shared" si="44"/>
        <v>0</v>
      </c>
      <c r="N208" s="700"/>
      <c r="P208" s="871"/>
    </row>
    <row r="209" spans="1:16" s="863" customFormat="1">
      <c r="A209" s="921"/>
      <c r="B209" s="919"/>
      <c r="C209" s="919"/>
      <c r="D209" s="888" t="s">
        <v>11843</v>
      </c>
      <c r="E209" s="790"/>
      <c r="F209" s="907">
        <f t="shared" si="36"/>
        <v>1</v>
      </c>
      <c r="G209" s="828">
        <f t="shared" si="37"/>
        <v>3.9000000000000004</v>
      </c>
      <c r="H209" s="828">
        <f t="shared" si="37"/>
        <v>3.75</v>
      </c>
      <c r="I209" s="828">
        <f t="shared" si="42"/>
        <v>3.9000000000000004</v>
      </c>
      <c r="J209" s="828">
        <f t="shared" si="43"/>
        <v>3.75</v>
      </c>
      <c r="K209" s="828">
        <f t="shared" si="40"/>
        <v>0</v>
      </c>
      <c r="L209" s="828" t="s">
        <v>22</v>
      </c>
      <c r="M209" s="829">
        <f t="shared" si="44"/>
        <v>0</v>
      </c>
      <c r="N209" s="700"/>
      <c r="P209" s="871"/>
    </row>
    <row r="210" spans="1:16" s="863" customFormat="1" ht="12.75" customHeight="1">
      <c r="A210" s="921"/>
      <c r="B210" s="919"/>
      <c r="C210" s="919"/>
      <c r="D210" s="826"/>
      <c r="E210" s="790"/>
      <c r="F210" s="1002"/>
      <c r="G210" s="700"/>
      <c r="H210" s="700"/>
      <c r="I210" s="700"/>
      <c r="J210" s="700"/>
      <c r="K210" s="700"/>
      <c r="L210" s="700"/>
      <c r="M210" s="890"/>
      <c r="N210" s="700"/>
      <c r="P210" s="871"/>
    </row>
    <row r="211" spans="1:16" s="863" customFormat="1" ht="12.75" customHeight="1">
      <c r="A211" s="921"/>
      <c r="B211" s="919"/>
      <c r="C211" s="919"/>
      <c r="D211" s="836" t="s">
        <v>20186</v>
      </c>
      <c r="E211" s="837"/>
      <c r="F211" s="837"/>
      <c r="G211" s="838"/>
      <c r="H211" s="838"/>
      <c r="I211" s="838"/>
      <c r="J211" s="838"/>
      <c r="K211" s="839" t="s">
        <v>27</v>
      </c>
      <c r="L211" s="856" t="s">
        <v>22</v>
      </c>
      <c r="M211" s="840">
        <f>SUM(M193:M209)</f>
        <v>13.129999999999999</v>
      </c>
      <c r="N211" s="700"/>
      <c r="P211" s="871"/>
    </row>
    <row r="212" spans="1:16" s="863" customFormat="1" ht="13.5" customHeight="1">
      <c r="A212" s="921"/>
      <c r="B212" s="919"/>
      <c r="C212" s="1003"/>
      <c r="D212" s="881"/>
      <c r="E212" s="882"/>
      <c r="F212" s="882"/>
      <c r="G212" s="828" t="s">
        <v>30</v>
      </c>
      <c r="H212" s="828" t="s">
        <v>30</v>
      </c>
      <c r="I212" s="828" t="s">
        <v>30</v>
      </c>
      <c r="J212" s="828" t="s">
        <v>11696</v>
      </c>
      <c r="K212" s="700" t="s">
        <v>11641</v>
      </c>
      <c r="L212" s="883"/>
      <c r="M212" s="884"/>
      <c r="N212" s="700"/>
      <c r="P212" s="871"/>
    </row>
    <row r="213" spans="1:16" s="863" customFormat="1" ht="45">
      <c r="A213" s="921" t="s">
        <v>11849</v>
      </c>
      <c r="B213" s="919" t="s">
        <v>70</v>
      </c>
      <c r="C213" s="1003">
        <v>90105</v>
      </c>
      <c r="D213" s="836" t="str">
        <f>PROPER(IF(B213="Saneago",VLOOKUP(C213,'SANEAGO-FEV.2016'!A:B,2,0),IF(B213="SINAPI",VLOOKUP(C213,'SINAPI-FEV.2017'!A:D,2,0),IF(B213="Cotação",VLOOKUP(C213,COTAÇÃO!A:D,2,0),IF(B213="Composição",VLOOKUP(C213,COMPOSIÇÃO!A:D,2,0))))))</f>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
      <c r="E213" s="837"/>
      <c r="F213" s="837"/>
      <c r="G213" s="852"/>
      <c r="H213" s="852"/>
      <c r="I213" s="852"/>
      <c r="J213" s="904">
        <f>M15</f>
        <v>0.95</v>
      </c>
      <c r="K213" s="896">
        <f>M17</f>
        <v>0.9</v>
      </c>
      <c r="L213" s="852" t="s">
        <v>22</v>
      </c>
      <c r="M213" s="853">
        <f>K213*M$171*J213</f>
        <v>468.51434999999992</v>
      </c>
      <c r="N213" s="828">
        <f>SUM(M213:M235)</f>
        <v>746.2426499999998</v>
      </c>
      <c r="P213" s="871"/>
    </row>
    <row r="214" spans="1:16" s="863" customFormat="1">
      <c r="A214" s="921"/>
      <c r="B214" s="919"/>
      <c r="C214" s="1003"/>
      <c r="D214" s="881"/>
      <c r="E214" s="882"/>
      <c r="F214" s="882"/>
      <c r="G214" s="828" t="s">
        <v>30</v>
      </c>
      <c r="H214" s="828" t="s">
        <v>30</v>
      </c>
      <c r="I214" s="828" t="s">
        <v>30</v>
      </c>
      <c r="J214" s="828" t="s">
        <v>11696</v>
      </c>
      <c r="K214" s="700" t="s">
        <v>11641</v>
      </c>
      <c r="L214" s="883"/>
      <c r="M214" s="884"/>
      <c r="N214" s="700"/>
      <c r="P214" s="871"/>
    </row>
    <row r="215" spans="1:16" s="863" customFormat="1" ht="45">
      <c r="A215" s="921" t="s">
        <v>11850</v>
      </c>
      <c r="B215" s="919" t="s">
        <v>70</v>
      </c>
      <c r="C215" s="1003">
        <v>90107</v>
      </c>
      <c r="D215" s="836" t="str">
        <f>PROPER(IF(B215="Saneago",VLOOKUP(C215,'SANEAGO-FEV.2016'!A:B,2,0),IF(B215="SINAPI",VLOOKUP(C215,'SINAPI-FEV.2017'!A:D,2,0),IF(B215="Cotação",VLOOKUP(C215,COTAÇÃO!A:D,2,0),IF(B215="Composição",VLOOKUP(C215,COMPOSIÇÃO!A:D,2,0))))))</f>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
      <c r="E215" s="837"/>
      <c r="F215" s="837"/>
      <c r="G215" s="852"/>
      <c r="H215" s="852"/>
      <c r="I215" s="852"/>
      <c r="J215" s="904">
        <f>J213</f>
        <v>0.95</v>
      </c>
      <c r="K215" s="896">
        <f>K213</f>
        <v>0.9</v>
      </c>
      <c r="L215" s="852" t="s">
        <v>22</v>
      </c>
      <c r="M215" s="853">
        <f>K215*M$191*J215</f>
        <v>159.36344999999997</v>
      </c>
      <c r="N215" s="700"/>
      <c r="P215" s="871"/>
    </row>
    <row r="216" spans="1:16" s="863" customFormat="1">
      <c r="A216" s="921"/>
      <c r="B216" s="919"/>
      <c r="C216" s="1003"/>
      <c r="D216" s="881"/>
      <c r="E216" s="882"/>
      <c r="F216" s="882"/>
      <c r="G216" s="828" t="s">
        <v>30</v>
      </c>
      <c r="H216" s="828" t="s">
        <v>30</v>
      </c>
      <c r="I216" s="828" t="s">
        <v>30</v>
      </c>
      <c r="J216" s="828" t="s">
        <v>11696</v>
      </c>
      <c r="K216" s="700" t="s">
        <v>11641</v>
      </c>
      <c r="L216" s="883"/>
      <c r="M216" s="884"/>
      <c r="N216" s="700"/>
      <c r="P216" s="871"/>
    </row>
    <row r="217" spans="1:16" s="863" customFormat="1" ht="45">
      <c r="A217" s="921" t="s">
        <v>11851</v>
      </c>
      <c r="B217" s="919" t="s">
        <v>70</v>
      </c>
      <c r="C217" s="1003">
        <v>90094</v>
      </c>
      <c r="D217" s="836" t="str">
        <f>PROPER(IF(B217="Saneago",VLOOKUP(C217,'SANEAGO-FEV.2016'!A:B,2,0),IF(B217="SINAPI",VLOOKUP(C217,'SINAPI-FEV.2017'!A:D,2,0),IF(B217="Cotação",VLOOKUP(C217,COTAÇÃO!A:D,2,0),IF(B217="Composição",VLOOKUP(C217,COMPOSIÇÃO!A:D,2,0))))))</f>
        <v>Escavação Mecanizada De Vala Com Prof. Maior Que 3,0 M Até 4,5 M (Média Entre Montante E Jusante/Uma Composição Por Trecho), Com Escavadeira Hidráulica (0,8 M3/111 Hp), Larg. Menor Que 1,5 M, Em Solo De 1A Categoria, Locais Com Baixo Nível De Interferência. Af_01/2015</v>
      </c>
      <c r="E217" s="837"/>
      <c r="F217" s="837"/>
      <c r="G217" s="852"/>
      <c r="H217" s="852"/>
      <c r="I217" s="852"/>
      <c r="J217" s="904">
        <f>J215</f>
        <v>0.95</v>
      </c>
      <c r="K217" s="896">
        <f>K215</f>
        <v>0.9</v>
      </c>
      <c r="L217" s="852" t="s">
        <v>22</v>
      </c>
      <c r="M217" s="853">
        <f>K217*M$211*J217</f>
        <v>11.226150000000001</v>
      </c>
      <c r="N217" s="700"/>
      <c r="P217" s="871"/>
    </row>
    <row r="218" spans="1:16" s="863" customFormat="1">
      <c r="A218" s="921"/>
      <c r="B218" s="919"/>
      <c r="C218" s="1003"/>
      <c r="D218" s="881"/>
      <c r="E218" s="882"/>
      <c r="F218" s="882"/>
      <c r="G218" s="828" t="s">
        <v>30</v>
      </c>
      <c r="H218" s="828" t="s">
        <v>30</v>
      </c>
      <c r="I218" s="828" t="s">
        <v>30</v>
      </c>
      <c r="J218" s="828" t="s">
        <v>11696</v>
      </c>
      <c r="K218" s="700" t="s">
        <v>11642</v>
      </c>
      <c r="L218" s="883"/>
      <c r="M218" s="884"/>
      <c r="N218" s="700"/>
      <c r="P218" s="871"/>
    </row>
    <row r="219" spans="1:16" s="863" customFormat="1" ht="33.75">
      <c r="A219" s="921" t="s">
        <v>11852</v>
      </c>
      <c r="B219" s="919" t="s">
        <v>10852</v>
      </c>
      <c r="C219" s="1003">
        <v>184</v>
      </c>
      <c r="D219" s="836" t="str">
        <f>PROPER(IF(B219="Saneago",VLOOKUP(C219,'SANEAGO-FEV.2016'!A:B,2,0),IF(B219="SINAPI",VLOOKUP(C219,'SINAPI-FEV.2017'!A:D,2,0),IF(B219="Cotação",VLOOKUP(C219,COTAÇÃO!A:D,2,0),IF(B219="Composição",VLOOKUP(C219,COMPOSIÇÃO!A:D,2,0))))))</f>
        <v>Escavação  Mecanizada  (Com Escavadeira Hidráulica)  Em Valas Com Material De 2ª Categoria
- Profundidade Até 2,0 M</v>
      </c>
      <c r="E219" s="837"/>
      <c r="F219" s="837"/>
      <c r="G219" s="852"/>
      <c r="H219" s="852"/>
      <c r="I219" s="852"/>
      <c r="J219" s="904">
        <f>J215</f>
        <v>0.95</v>
      </c>
      <c r="K219" s="896">
        <f>M18</f>
        <v>0.05</v>
      </c>
      <c r="L219" s="852" t="s">
        <v>22</v>
      </c>
      <c r="M219" s="853">
        <f>K219*M$171*J219</f>
        <v>26.028574999999996</v>
      </c>
      <c r="N219" s="700"/>
      <c r="P219" s="871"/>
    </row>
    <row r="220" spans="1:16" s="863" customFormat="1">
      <c r="A220" s="921"/>
      <c r="B220" s="919"/>
      <c r="C220" s="919"/>
      <c r="D220" s="881"/>
      <c r="E220" s="882"/>
      <c r="F220" s="882"/>
      <c r="G220" s="828" t="s">
        <v>30</v>
      </c>
      <c r="H220" s="828" t="s">
        <v>30</v>
      </c>
      <c r="I220" s="828" t="s">
        <v>30</v>
      </c>
      <c r="J220" s="828" t="s">
        <v>11696</v>
      </c>
      <c r="K220" s="700" t="s">
        <v>11642</v>
      </c>
      <c r="L220" s="883"/>
      <c r="M220" s="884"/>
      <c r="N220" s="700"/>
      <c r="P220" s="871"/>
    </row>
    <row r="221" spans="1:16" s="863" customFormat="1" ht="33.75" customHeight="1">
      <c r="A221" s="921" t="s">
        <v>11853</v>
      </c>
      <c r="B221" s="919" t="s">
        <v>10852</v>
      </c>
      <c r="C221" s="1003">
        <v>185</v>
      </c>
      <c r="D221" s="836" t="str">
        <f>PROPER(IF(B221="Saneago",VLOOKUP(C221,'SANEAGO-FEV.2016'!A:B,2,0),IF(B221="SINAPI",VLOOKUP(C221,'SINAPI-FEV.2017'!A:D,2,0),IF(B221="Cotação",VLOOKUP(C221,COTAÇÃO!A:D,2,0),IF(B221="Composição",VLOOKUP(C221,COMPOSIÇÃO!A:D,2,0))))))</f>
        <v>Escavação  Mecanizada  (Com Escavadeira Hidráulica)  Em Valas Com Material De 2ª Categoria
- Profundidade De 2,0 A 4,0 M</v>
      </c>
      <c r="E221" s="837"/>
      <c r="F221" s="837"/>
      <c r="G221" s="852"/>
      <c r="H221" s="852"/>
      <c r="I221" s="852"/>
      <c r="J221" s="904">
        <f>J219</f>
        <v>0.95</v>
      </c>
      <c r="K221" s="896">
        <f>K219</f>
        <v>0.05</v>
      </c>
      <c r="L221" s="852" t="s">
        <v>22</v>
      </c>
      <c r="M221" s="853">
        <f>K221*M$191*J221</f>
        <v>8.8535249999999976</v>
      </c>
      <c r="N221" s="700"/>
      <c r="P221" s="871"/>
    </row>
    <row r="222" spans="1:16" s="863" customFormat="1" ht="10.5" customHeight="1">
      <c r="A222" s="921"/>
      <c r="B222" s="919"/>
      <c r="C222" s="919"/>
      <c r="D222" s="881"/>
      <c r="E222" s="882"/>
      <c r="F222" s="882"/>
      <c r="G222" s="828" t="s">
        <v>30</v>
      </c>
      <c r="H222" s="828" t="s">
        <v>30</v>
      </c>
      <c r="I222" s="828" t="s">
        <v>30</v>
      </c>
      <c r="J222" s="828" t="s">
        <v>11696</v>
      </c>
      <c r="K222" s="700" t="s">
        <v>11677</v>
      </c>
      <c r="L222" s="883"/>
      <c r="M222" s="884"/>
      <c r="N222" s="700"/>
      <c r="P222" s="871"/>
    </row>
    <row r="223" spans="1:16" s="863" customFormat="1" ht="24" customHeight="1">
      <c r="A223" s="921" t="s">
        <v>11854</v>
      </c>
      <c r="B223" s="919" t="s">
        <v>10852</v>
      </c>
      <c r="C223" s="1003">
        <v>187</v>
      </c>
      <c r="D223" s="836" t="str">
        <f>PROPER(IF(B223="Saneago",VLOOKUP(C223,'SANEAGO-FEV.2016'!A:B,2,0),IF(B223="SINAPI",VLOOKUP(C223,'SINAPI-FEV.2017'!A:D,2,0),IF(B223="Cotação",VLOOKUP(C223,COTAÇÃO!A:D,2,0),IF(B223="Composição",VLOOKUP(C223,COMPOSIÇÃO!A:D,2,0))))))</f>
        <v>Escavação  Mecanizada  (Com Escavadeira Hidráulica)  Em Valas Com Material  De Solo Mole - Profundidade Até 2,0 M</v>
      </c>
      <c r="E223" s="837"/>
      <c r="F223" s="837"/>
      <c r="G223" s="852"/>
      <c r="H223" s="852"/>
      <c r="I223" s="852"/>
      <c r="J223" s="904">
        <f>J221</f>
        <v>0.95</v>
      </c>
      <c r="K223" s="896">
        <f>M20</f>
        <v>0.05</v>
      </c>
      <c r="L223" s="852" t="s">
        <v>22</v>
      </c>
      <c r="M223" s="853">
        <f>K223*M$171*J223</f>
        <v>26.028574999999996</v>
      </c>
      <c r="N223" s="700"/>
      <c r="P223" s="871"/>
    </row>
    <row r="224" spans="1:16" s="863" customFormat="1" ht="11.25" customHeight="1">
      <c r="A224" s="921"/>
      <c r="B224" s="919"/>
      <c r="C224" s="919"/>
      <c r="D224" s="881"/>
      <c r="E224" s="882"/>
      <c r="F224" s="882"/>
      <c r="G224" s="828" t="s">
        <v>30</v>
      </c>
      <c r="H224" s="828" t="s">
        <v>30</v>
      </c>
      <c r="I224" s="828" t="s">
        <v>30</v>
      </c>
      <c r="J224" s="828" t="s">
        <v>11696</v>
      </c>
      <c r="K224" s="700" t="s">
        <v>11677</v>
      </c>
      <c r="L224" s="883"/>
      <c r="M224" s="884"/>
      <c r="N224" s="700"/>
      <c r="P224" s="871"/>
    </row>
    <row r="225" spans="1:16" s="863" customFormat="1" ht="21" customHeight="1">
      <c r="A225" s="921" t="s">
        <v>20448</v>
      </c>
      <c r="B225" s="919" t="s">
        <v>10852</v>
      </c>
      <c r="C225" s="1003">
        <v>188</v>
      </c>
      <c r="D225" s="836" t="str">
        <f>PROPER(IF(B225="Saneago",VLOOKUP(C225,'SANEAGO-FEV.2016'!A:B,2,0),IF(B225="SINAPI",VLOOKUP(C225,'SINAPI-FEV.2017'!A:D,2,0),IF(B225="Cotação",VLOOKUP(C225,COTAÇÃO!A:D,2,0),IF(B225="Composição",VLOOKUP(C225,COMPOSIÇÃO!A:D,2,0))))))</f>
        <v>Escavação  Mecanizada  (Com Escavadeira Hidráulica)  Em Valas Com Material  De Solo Mole - Profundidade De 2,0 A 4,0 M</v>
      </c>
      <c r="E225" s="837"/>
      <c r="F225" s="837"/>
      <c r="G225" s="852"/>
      <c r="H225" s="852"/>
      <c r="I225" s="852"/>
      <c r="J225" s="904">
        <f>J223</f>
        <v>0.95</v>
      </c>
      <c r="K225" s="896">
        <f>K223</f>
        <v>0.05</v>
      </c>
      <c r="L225" s="852" t="s">
        <v>22</v>
      </c>
      <c r="M225" s="853">
        <f>K225*M$191*J225</f>
        <v>8.8535249999999976</v>
      </c>
      <c r="N225" s="700"/>
      <c r="P225" s="871"/>
    </row>
    <row r="226" spans="1:16" s="863" customFormat="1" ht="13.5" customHeight="1">
      <c r="A226" s="921"/>
      <c r="B226" s="919"/>
      <c r="C226" s="919"/>
      <c r="D226" s="881"/>
      <c r="E226" s="882"/>
      <c r="F226" s="882"/>
      <c r="G226" s="828"/>
      <c r="H226" s="828"/>
      <c r="I226" s="828"/>
      <c r="J226" s="828" t="s">
        <v>11737</v>
      </c>
      <c r="K226" s="700" t="s">
        <v>11641</v>
      </c>
      <c r="L226" s="883"/>
      <c r="M226" s="884"/>
      <c r="N226" s="700"/>
      <c r="P226" s="871"/>
    </row>
    <row r="227" spans="1:16" s="863" customFormat="1" ht="13.5" customHeight="1">
      <c r="A227" s="921" t="s">
        <v>11855</v>
      </c>
      <c r="B227" s="919" t="s">
        <v>70</v>
      </c>
      <c r="C227" s="1003">
        <v>93358</v>
      </c>
      <c r="D227" s="836" t="str">
        <f>PROPER(IF(B227="Saneago",VLOOKUP(C227,'SANEAGO-FEV.2016'!A:B,2,0),IF(B227="SINAPI",VLOOKUP(C227,'SINAPI-FEV.2017'!A:D,2,0),IF(B227="Cotação",VLOOKUP(C227,COTAÇÃO!A:D,2,0),IF(B227="Composição",VLOOKUP(C227,COMPOSIÇÃO!A:D,2,0))))))</f>
        <v>Escavação Manual De Valas. Af_03/2016</v>
      </c>
      <c r="E227" s="837"/>
      <c r="F227" s="837"/>
      <c r="G227" s="852"/>
      <c r="H227" s="852"/>
      <c r="I227" s="852"/>
      <c r="J227" s="904">
        <f>M16</f>
        <v>0.05</v>
      </c>
      <c r="K227" s="896">
        <f>K213</f>
        <v>0.9</v>
      </c>
      <c r="L227" s="852" t="s">
        <v>22</v>
      </c>
      <c r="M227" s="853">
        <f>K227*(M$171+M191+M211)*J227</f>
        <v>33.637049999999995</v>
      </c>
      <c r="N227" s="700"/>
      <c r="P227" s="871"/>
    </row>
    <row r="228" spans="1:16" s="863" customFormat="1" ht="13.5" customHeight="1">
      <c r="A228" s="921"/>
      <c r="B228" s="919"/>
      <c r="C228" s="1003"/>
      <c r="D228" s="881"/>
      <c r="E228" s="882"/>
      <c r="F228" s="882"/>
      <c r="G228" s="828"/>
      <c r="H228" s="828"/>
      <c r="I228" s="828"/>
      <c r="J228" s="828" t="s">
        <v>11737</v>
      </c>
      <c r="K228" s="700" t="s">
        <v>11642</v>
      </c>
      <c r="L228" s="883"/>
      <c r="M228" s="884"/>
      <c r="N228" s="700"/>
      <c r="P228" s="871"/>
    </row>
    <row r="229" spans="1:16" s="863" customFormat="1" ht="13.5" customHeight="1">
      <c r="A229" s="921" t="s">
        <v>11856</v>
      </c>
      <c r="B229" s="919" t="s">
        <v>10852</v>
      </c>
      <c r="C229" s="1003">
        <v>170</v>
      </c>
      <c r="D229" s="836" t="str">
        <f>PROPER(IF(B229="Saneago",VLOOKUP(C229,'SANEAGO-FEV.2016'!A:B,2,0),IF(B229="SINAPI",VLOOKUP(C229,'SINAPI-FEV.2017'!A:D,2,0),IF(B229="Cotação",VLOOKUP(C229,COTAÇÃO!A:D,2,0),IF(B229="Composição",VLOOKUP(C229,COMPOSIÇÃO!A:D,2,0))))))</f>
        <v>Escavação  Manual Em Valas Com Material De 2ª Categoria  - Profundidade Até 2,0 M</v>
      </c>
      <c r="E229" s="837"/>
      <c r="F229" s="837"/>
      <c r="G229" s="852"/>
      <c r="H229" s="852"/>
      <c r="I229" s="852"/>
      <c r="J229" s="904">
        <f>J227</f>
        <v>0.05</v>
      </c>
      <c r="K229" s="896">
        <f>K219</f>
        <v>0.05</v>
      </c>
      <c r="L229" s="852" t="s">
        <v>22</v>
      </c>
      <c r="M229" s="853">
        <f>K229*M$171*J229</f>
        <v>1.3699250000000001</v>
      </c>
      <c r="N229" s="700"/>
      <c r="P229" s="871"/>
    </row>
    <row r="230" spans="1:16" s="863" customFormat="1" ht="13.5" customHeight="1">
      <c r="A230" s="921"/>
      <c r="B230" s="919"/>
      <c r="C230" s="919"/>
      <c r="D230" s="881"/>
      <c r="E230" s="882"/>
      <c r="F230" s="882"/>
      <c r="G230" s="828"/>
      <c r="H230" s="828"/>
      <c r="I230" s="828"/>
      <c r="J230" s="828" t="s">
        <v>11737</v>
      </c>
      <c r="K230" s="700" t="s">
        <v>11642</v>
      </c>
      <c r="L230" s="883"/>
      <c r="M230" s="884"/>
      <c r="N230" s="700"/>
      <c r="P230" s="871"/>
    </row>
    <row r="231" spans="1:16" s="863" customFormat="1" ht="13.5" customHeight="1">
      <c r="A231" s="921" t="s">
        <v>11857</v>
      </c>
      <c r="B231" s="919" t="s">
        <v>10852</v>
      </c>
      <c r="C231" s="1003">
        <v>171</v>
      </c>
      <c r="D231" s="836" t="str">
        <f>PROPER(IF(B231="Saneago",VLOOKUP(C231,'SANEAGO-FEV.2016'!A:B,2,0),IF(B231="SINAPI",VLOOKUP(C231,'SINAPI-FEV.2017'!A:D,2,0),IF(B231="Cotação",VLOOKUP(C231,COTAÇÃO!A:D,2,0),IF(B231="Composição",VLOOKUP(C231,COMPOSIÇÃO!A:D,2,0))))))</f>
        <v>Escavação  Manual Em Valas Com Material De 2ª Categoria  - Profundidade De 2,0 A 4,0 M</v>
      </c>
      <c r="E231" s="837"/>
      <c r="F231" s="837"/>
      <c r="G231" s="852"/>
      <c r="H231" s="852"/>
      <c r="I231" s="852"/>
      <c r="J231" s="904">
        <f>J229</f>
        <v>0.05</v>
      </c>
      <c r="K231" s="896">
        <f>K221</f>
        <v>0.05</v>
      </c>
      <c r="L231" s="852" t="s">
        <v>22</v>
      </c>
      <c r="M231" s="853">
        <f>K231*M$211*J231+K231*M$191*J231</f>
        <v>0.49879999999999991</v>
      </c>
      <c r="N231" s="700"/>
      <c r="P231" s="871"/>
    </row>
    <row r="232" spans="1:16" s="863" customFormat="1" ht="13.5" customHeight="1">
      <c r="A232" s="921"/>
      <c r="B232" s="919"/>
      <c r="C232" s="919"/>
      <c r="D232" s="881"/>
      <c r="E232" s="882"/>
      <c r="F232" s="882"/>
      <c r="G232" s="828"/>
      <c r="H232" s="828"/>
      <c r="I232" s="828"/>
      <c r="J232" s="828" t="s">
        <v>11737</v>
      </c>
      <c r="K232" s="700" t="s">
        <v>11677</v>
      </c>
      <c r="L232" s="883"/>
      <c r="M232" s="884"/>
      <c r="N232" s="700"/>
      <c r="P232" s="871"/>
    </row>
    <row r="233" spans="1:16" s="863" customFormat="1" ht="25.5" customHeight="1">
      <c r="A233" s="921" t="s">
        <v>11858</v>
      </c>
      <c r="B233" s="919" t="s">
        <v>10852</v>
      </c>
      <c r="C233" s="1003">
        <v>172</v>
      </c>
      <c r="D233" s="836" t="str">
        <f>PROPER(IF(B233="Saneago",VLOOKUP(C233,'SANEAGO-FEV.2016'!A:B,2,0),IF(B233="SINAPI",VLOOKUP(C233,'SINAPI-FEV.2017'!A:D,2,0),IF(B233="Cotação",VLOOKUP(C233,COTAÇÃO!A:D,2,0),IF(B233="Composição",VLOOKUP(C233,COMPOSIÇÃO!A:D,2,0))))))</f>
        <v>Escavação   Manual   Em  Valas  Com  Material   De  3ª  Categoria   Sem  Uso  De  Explosivo   Com Utilização  De Compressor E Rompedor  -  Profundidade Até 2,0M</v>
      </c>
      <c r="E233" s="837"/>
      <c r="F233" s="837"/>
      <c r="G233" s="852"/>
      <c r="H233" s="852"/>
      <c r="I233" s="852"/>
      <c r="J233" s="904">
        <f>J231</f>
        <v>0.05</v>
      </c>
      <c r="K233" s="896">
        <f>K223</f>
        <v>0.05</v>
      </c>
      <c r="L233" s="852" t="s">
        <v>22</v>
      </c>
      <c r="M233" s="853">
        <f>K233*M$171*J233</f>
        <v>1.3699250000000001</v>
      </c>
      <c r="N233" s="700"/>
      <c r="P233" s="871"/>
    </row>
    <row r="234" spans="1:16" s="863" customFormat="1" ht="13.5" customHeight="1">
      <c r="A234" s="921"/>
      <c r="B234" s="919"/>
      <c r="C234" s="919"/>
      <c r="D234" s="881"/>
      <c r="E234" s="882"/>
      <c r="F234" s="882"/>
      <c r="G234" s="828"/>
      <c r="H234" s="828"/>
      <c r="I234" s="828"/>
      <c r="J234" s="828" t="s">
        <v>11737</v>
      </c>
      <c r="K234" s="700" t="s">
        <v>11677</v>
      </c>
      <c r="L234" s="883"/>
      <c r="M234" s="884"/>
      <c r="N234" s="700"/>
      <c r="P234" s="871"/>
    </row>
    <row r="235" spans="1:16" s="863" customFormat="1" ht="22.5" customHeight="1">
      <c r="A235" s="921" t="s">
        <v>11859</v>
      </c>
      <c r="B235" s="919" t="s">
        <v>10852</v>
      </c>
      <c r="C235" s="1003">
        <v>173</v>
      </c>
      <c r="D235" s="836" t="str">
        <f>PROPER(IF(B235="Saneago",VLOOKUP(C235,'SANEAGO-FEV.2016'!A:B,2,0),IF(B235="SINAPI",VLOOKUP(C235,'SINAPI-FEV.2017'!A:D,2,0),IF(B235="Cotação",VLOOKUP(C235,COTAÇÃO!A:D,2,0),IF(B235="Composição",VLOOKUP(C235,COMPOSIÇÃO!A:D,2,0))))))</f>
        <v>Escavação   Manual   Em  Valas  Com  Material   De  3ª  Categoria   Sem  Uso  De  Explosivo   Com Utilização  De Compressor E Rompedor   - Profundidade De 2,0 A 4,0M</v>
      </c>
      <c r="E235" s="837"/>
      <c r="F235" s="837"/>
      <c r="G235" s="852"/>
      <c r="H235" s="852"/>
      <c r="I235" s="852"/>
      <c r="J235" s="904">
        <f>J233</f>
        <v>0.05</v>
      </c>
      <c r="K235" s="896">
        <f>K225</f>
        <v>0.05</v>
      </c>
      <c r="L235" s="852" t="s">
        <v>22</v>
      </c>
      <c r="M235" s="853">
        <f>K235*M$211*J235+K235*M$191*J235</f>
        <v>0.49879999999999991</v>
      </c>
      <c r="N235" s="700"/>
      <c r="P235" s="871"/>
    </row>
    <row r="236" spans="1:16" s="863" customFormat="1">
      <c r="A236" s="921"/>
      <c r="B236" s="919"/>
      <c r="C236" s="919"/>
      <c r="D236" s="826"/>
      <c r="E236" s="790"/>
      <c r="F236" s="790"/>
      <c r="G236" s="828" t="s">
        <v>30</v>
      </c>
      <c r="H236" s="828" t="s">
        <v>30</v>
      </c>
      <c r="I236" s="828" t="s">
        <v>30</v>
      </c>
      <c r="J236" s="828" t="s">
        <v>30</v>
      </c>
      <c r="K236" s="828" t="s">
        <v>30</v>
      </c>
      <c r="L236" s="828" t="s">
        <v>30</v>
      </c>
      <c r="M236" s="877" t="s">
        <v>30</v>
      </c>
      <c r="N236" s="700"/>
      <c r="P236" s="871"/>
    </row>
    <row r="237" spans="1:16" s="863" customFormat="1" ht="12.75" customHeight="1">
      <c r="A237" s="921" t="s">
        <v>11860</v>
      </c>
      <c r="B237" s="1004" t="s">
        <v>70</v>
      </c>
      <c r="C237" s="1004" t="s">
        <v>15726</v>
      </c>
      <c r="D237" s="836" t="str">
        <f>PROPER(IF(B237="Saneago",VLOOKUP(C237,'SANEAGO-FEV.2016'!A:B,2,0),IF(B237="SINAPI",VLOOKUP(C237,'SINAPI-FEV.2017'!A:D,2,0),IF(B237="Cotação",VLOOKUP(C237,COTAÇÃO!A:D,2,0),IF(B237="Composição",VLOOKUP(C237,COMPOSIÇÃO!A:D,2,0))))))</f>
        <v>Esgotamento Com Moto-Bomba Autoescovante</v>
      </c>
      <c r="E237" s="837"/>
      <c r="F237" s="837"/>
      <c r="G237" s="838"/>
      <c r="H237" s="852"/>
      <c r="I237" s="852"/>
      <c r="J237" s="838"/>
      <c r="K237" s="838"/>
      <c r="L237" s="838" t="s">
        <v>57</v>
      </c>
      <c r="M237" s="853">
        <v>20</v>
      </c>
      <c r="N237" s="700"/>
      <c r="P237" s="871"/>
    </row>
    <row r="238" spans="1:16" s="863" customFormat="1" ht="45">
      <c r="A238" s="921"/>
      <c r="B238" s="919"/>
      <c r="C238" s="919"/>
      <c r="D238" s="899"/>
      <c r="E238" s="970" t="s">
        <v>1275</v>
      </c>
      <c r="F238" s="970" t="s">
        <v>17</v>
      </c>
      <c r="G238" s="970" t="s">
        <v>19</v>
      </c>
      <c r="H238" s="970" t="s">
        <v>20424</v>
      </c>
      <c r="I238" s="971" t="s">
        <v>20425</v>
      </c>
      <c r="J238" s="970" t="s">
        <v>20422</v>
      </c>
      <c r="K238" s="971" t="s">
        <v>20426</v>
      </c>
      <c r="L238" s="970" t="s">
        <v>20423</v>
      </c>
      <c r="M238" s="971" t="s">
        <v>20427</v>
      </c>
      <c r="N238" s="700"/>
      <c r="P238" s="871"/>
    </row>
    <row r="239" spans="1:16" s="863" customFormat="1" ht="12.75" customHeight="1">
      <c r="A239" s="921"/>
      <c r="B239" s="919"/>
      <c r="C239" s="919"/>
      <c r="D239" s="854" t="s">
        <v>11877</v>
      </c>
      <c r="E239" s="970">
        <f t="shared" ref="E239:E250" si="45">H114</f>
        <v>1</v>
      </c>
      <c r="F239" s="970">
        <f t="shared" ref="F239:F250" si="46">I114</f>
        <v>1.48</v>
      </c>
      <c r="G239" s="970">
        <f t="shared" ref="G239:G250" si="47">J114</f>
        <v>1.48</v>
      </c>
      <c r="H239" s="970">
        <f t="shared" ref="H239:H256" si="48">(K114-J239-L239)</f>
        <v>1.5</v>
      </c>
      <c r="I239" s="970">
        <f>E239*F239*G239*H239</f>
        <v>3.2855999999999996</v>
      </c>
      <c r="J239" s="970">
        <f t="shared" ref="J239:J256" si="49">IF(K114&gt;1.5,(K114-1.5-L239),0)</f>
        <v>0.5</v>
      </c>
      <c r="K239" s="970">
        <f>E239*F239*G239*J239</f>
        <v>1.0952</v>
      </c>
      <c r="L239" s="970">
        <f t="shared" ref="L239:L256" si="50">IF(K114&gt;3,(K114-3),0)</f>
        <v>0</v>
      </c>
      <c r="M239" s="970">
        <f>E239*F239*G239*L239</f>
        <v>0</v>
      </c>
      <c r="N239" s="700"/>
      <c r="P239" s="871"/>
    </row>
    <row r="240" spans="1:16" s="863" customFormat="1" ht="12.75" customHeight="1">
      <c r="A240" s="921"/>
      <c r="B240" s="919"/>
      <c r="C240" s="919"/>
      <c r="D240" s="854" t="s">
        <v>11878</v>
      </c>
      <c r="E240" s="970">
        <f t="shared" si="45"/>
        <v>1</v>
      </c>
      <c r="F240" s="970">
        <f t="shared" si="46"/>
        <v>1.48</v>
      </c>
      <c r="G240" s="970">
        <f t="shared" si="47"/>
        <v>1.48</v>
      </c>
      <c r="H240" s="970">
        <f t="shared" si="48"/>
        <v>1.3499999999999999</v>
      </c>
      <c r="I240" s="970">
        <f t="shared" ref="I240:I256" si="51">E240*F240*G240*H240</f>
        <v>2.9570399999999997</v>
      </c>
      <c r="J240" s="970">
        <f t="shared" si="49"/>
        <v>0</v>
      </c>
      <c r="K240" s="970">
        <f t="shared" ref="K240:K256" si="52">E240*F240*G240*J240</f>
        <v>0</v>
      </c>
      <c r="L240" s="970">
        <f t="shared" si="50"/>
        <v>0</v>
      </c>
      <c r="M240" s="970">
        <f t="shared" ref="M240:M256" si="53">E240*F240*G240*L240</f>
        <v>0</v>
      </c>
      <c r="N240" s="700"/>
      <c r="P240" s="871"/>
    </row>
    <row r="241" spans="1:16" s="863" customFormat="1" ht="12.75" customHeight="1">
      <c r="A241" s="921"/>
      <c r="B241" s="919"/>
      <c r="C241" s="919"/>
      <c r="D241" s="854" t="s">
        <v>11879</v>
      </c>
      <c r="E241" s="970">
        <f t="shared" si="45"/>
        <v>1</v>
      </c>
      <c r="F241" s="970">
        <f t="shared" si="46"/>
        <v>1.48</v>
      </c>
      <c r="G241" s="970">
        <f t="shared" si="47"/>
        <v>1.48</v>
      </c>
      <c r="H241" s="970">
        <f t="shared" si="48"/>
        <v>1.5</v>
      </c>
      <c r="I241" s="970">
        <f t="shared" si="51"/>
        <v>3.2855999999999996</v>
      </c>
      <c r="J241" s="970">
        <f t="shared" si="49"/>
        <v>0.25</v>
      </c>
      <c r="K241" s="970">
        <f t="shared" si="52"/>
        <v>0.54759999999999998</v>
      </c>
      <c r="L241" s="970">
        <f t="shared" si="50"/>
        <v>0</v>
      </c>
      <c r="M241" s="970">
        <f t="shared" si="53"/>
        <v>0</v>
      </c>
      <c r="N241" s="700"/>
      <c r="P241" s="871"/>
    </row>
    <row r="242" spans="1:16" s="863" customFormat="1" ht="12.75" customHeight="1">
      <c r="A242" s="921"/>
      <c r="B242" s="919"/>
      <c r="C242" s="919"/>
      <c r="D242" s="854" t="s">
        <v>11880</v>
      </c>
      <c r="E242" s="970">
        <f t="shared" si="45"/>
        <v>1</v>
      </c>
      <c r="F242" s="970">
        <f t="shared" si="46"/>
        <v>1.48</v>
      </c>
      <c r="G242" s="970">
        <f t="shared" si="47"/>
        <v>1.48</v>
      </c>
      <c r="H242" s="970">
        <f t="shared" si="48"/>
        <v>1.5</v>
      </c>
      <c r="I242" s="970">
        <f t="shared" si="51"/>
        <v>3.2855999999999996</v>
      </c>
      <c r="J242" s="970">
        <f t="shared" si="49"/>
        <v>0.44999999999999996</v>
      </c>
      <c r="K242" s="970">
        <f t="shared" si="52"/>
        <v>0.98567999999999989</v>
      </c>
      <c r="L242" s="970">
        <f t="shared" si="50"/>
        <v>0</v>
      </c>
      <c r="M242" s="970">
        <f t="shared" si="53"/>
        <v>0</v>
      </c>
      <c r="N242" s="700"/>
      <c r="P242" s="871"/>
    </row>
    <row r="243" spans="1:16" s="863" customFormat="1" ht="12.75" customHeight="1">
      <c r="A243" s="921"/>
      <c r="B243" s="919"/>
      <c r="C243" s="919"/>
      <c r="D243" s="854" t="s">
        <v>11881</v>
      </c>
      <c r="E243" s="970">
        <f t="shared" si="45"/>
        <v>1</v>
      </c>
      <c r="F243" s="970">
        <f t="shared" si="46"/>
        <v>1.48</v>
      </c>
      <c r="G243" s="970">
        <f t="shared" si="47"/>
        <v>1.48</v>
      </c>
      <c r="H243" s="970">
        <f t="shared" si="48"/>
        <v>1.5</v>
      </c>
      <c r="I243" s="970">
        <f t="shared" si="51"/>
        <v>3.2855999999999996</v>
      </c>
      <c r="J243" s="970">
        <f t="shared" si="49"/>
        <v>1.1000000000000001</v>
      </c>
      <c r="K243" s="970">
        <f t="shared" si="52"/>
        <v>2.40944</v>
      </c>
      <c r="L243" s="970">
        <f t="shared" si="50"/>
        <v>0</v>
      </c>
      <c r="M243" s="970">
        <f t="shared" si="53"/>
        <v>0</v>
      </c>
      <c r="N243" s="700"/>
      <c r="P243" s="871"/>
    </row>
    <row r="244" spans="1:16" s="863" customFormat="1" ht="12.75" customHeight="1">
      <c r="A244" s="921"/>
      <c r="B244" s="919"/>
      <c r="C244" s="919"/>
      <c r="D244" s="854" t="s">
        <v>11882</v>
      </c>
      <c r="E244" s="970">
        <f t="shared" si="45"/>
        <v>1</v>
      </c>
      <c r="F244" s="970">
        <f t="shared" si="46"/>
        <v>1.48</v>
      </c>
      <c r="G244" s="970">
        <f t="shared" si="47"/>
        <v>1.48</v>
      </c>
      <c r="H244" s="970">
        <f t="shared" si="48"/>
        <v>1.5</v>
      </c>
      <c r="I244" s="970">
        <f t="shared" si="51"/>
        <v>3.2855999999999996</v>
      </c>
      <c r="J244" s="970">
        <f t="shared" si="49"/>
        <v>1.5</v>
      </c>
      <c r="K244" s="970">
        <f t="shared" si="52"/>
        <v>3.2855999999999996</v>
      </c>
      <c r="L244" s="970">
        <f t="shared" si="50"/>
        <v>0.14999999999999991</v>
      </c>
      <c r="M244" s="970">
        <f t="shared" si="53"/>
        <v>0.3285599999999998</v>
      </c>
      <c r="N244" s="700"/>
      <c r="P244" s="871"/>
    </row>
    <row r="245" spans="1:16" s="863" customFormat="1" ht="12.75" customHeight="1">
      <c r="A245" s="921"/>
      <c r="B245" s="919"/>
      <c r="C245" s="919"/>
      <c r="D245" s="854" t="s">
        <v>11883</v>
      </c>
      <c r="E245" s="970">
        <f t="shared" si="45"/>
        <v>1</v>
      </c>
      <c r="F245" s="970">
        <f t="shared" si="46"/>
        <v>1.48</v>
      </c>
      <c r="G245" s="970">
        <f t="shared" si="47"/>
        <v>1.48</v>
      </c>
      <c r="H245" s="970">
        <f t="shared" si="48"/>
        <v>1.5</v>
      </c>
      <c r="I245" s="970">
        <f t="shared" si="51"/>
        <v>3.2855999999999996</v>
      </c>
      <c r="J245" s="970">
        <f t="shared" si="49"/>
        <v>1.0499999999999998</v>
      </c>
      <c r="K245" s="970">
        <f t="shared" si="52"/>
        <v>2.2999199999999993</v>
      </c>
      <c r="L245" s="970">
        <f t="shared" si="50"/>
        <v>0</v>
      </c>
      <c r="M245" s="970">
        <f t="shared" si="53"/>
        <v>0</v>
      </c>
      <c r="N245" s="700"/>
      <c r="P245" s="871"/>
    </row>
    <row r="246" spans="1:16" s="863" customFormat="1" ht="12.75" customHeight="1">
      <c r="A246" s="921"/>
      <c r="B246" s="919"/>
      <c r="C246" s="919"/>
      <c r="D246" s="854" t="s">
        <v>11884</v>
      </c>
      <c r="E246" s="970">
        <f t="shared" si="45"/>
        <v>1</v>
      </c>
      <c r="F246" s="970">
        <f t="shared" si="46"/>
        <v>1.48</v>
      </c>
      <c r="G246" s="970">
        <f t="shared" si="47"/>
        <v>1.48</v>
      </c>
      <c r="H246" s="970">
        <f t="shared" si="48"/>
        <v>1.5</v>
      </c>
      <c r="I246" s="970">
        <f t="shared" si="51"/>
        <v>3.2855999999999996</v>
      </c>
      <c r="J246" s="970">
        <f t="shared" si="49"/>
        <v>1.5</v>
      </c>
      <c r="K246" s="970">
        <f t="shared" si="52"/>
        <v>3.2855999999999996</v>
      </c>
      <c r="L246" s="970">
        <f t="shared" si="50"/>
        <v>0.35000000000000009</v>
      </c>
      <c r="M246" s="970">
        <f t="shared" si="53"/>
        <v>0.76664000000000021</v>
      </c>
      <c r="N246" s="700"/>
      <c r="P246" s="871"/>
    </row>
    <row r="247" spans="1:16" s="863" customFormat="1" ht="12.75" customHeight="1">
      <c r="A247" s="921"/>
      <c r="B247" s="919"/>
      <c r="C247" s="919"/>
      <c r="D247" s="854" t="s">
        <v>11921</v>
      </c>
      <c r="E247" s="970">
        <f t="shared" si="45"/>
        <v>1</v>
      </c>
      <c r="F247" s="970">
        <f t="shared" si="46"/>
        <v>1.48</v>
      </c>
      <c r="G247" s="970">
        <f t="shared" si="47"/>
        <v>1.48</v>
      </c>
      <c r="H247" s="970">
        <f t="shared" si="48"/>
        <v>1.5</v>
      </c>
      <c r="I247" s="970">
        <f t="shared" si="51"/>
        <v>3.2855999999999996</v>
      </c>
      <c r="J247" s="970">
        <f t="shared" si="49"/>
        <v>0.14999999999999991</v>
      </c>
      <c r="K247" s="970">
        <f t="shared" si="52"/>
        <v>0.3285599999999998</v>
      </c>
      <c r="L247" s="970">
        <f t="shared" si="50"/>
        <v>0</v>
      </c>
      <c r="M247" s="970">
        <f t="shared" si="53"/>
        <v>0</v>
      </c>
      <c r="N247" s="700"/>
      <c r="P247" s="871"/>
    </row>
    <row r="248" spans="1:16" s="863" customFormat="1" ht="12.75" customHeight="1">
      <c r="A248" s="921"/>
      <c r="B248" s="919"/>
      <c r="C248" s="919"/>
      <c r="D248" s="854" t="s">
        <v>11838</v>
      </c>
      <c r="E248" s="970">
        <f t="shared" si="45"/>
        <v>1</v>
      </c>
      <c r="F248" s="970">
        <f t="shared" si="46"/>
        <v>2.8</v>
      </c>
      <c r="G248" s="970">
        <f t="shared" si="47"/>
        <v>1.9</v>
      </c>
      <c r="H248" s="970">
        <f t="shared" si="48"/>
        <v>1.5</v>
      </c>
      <c r="I248" s="970">
        <f t="shared" si="51"/>
        <v>7.9799999999999986</v>
      </c>
      <c r="J248" s="970">
        <f t="shared" si="49"/>
        <v>0.5</v>
      </c>
      <c r="K248" s="970">
        <f t="shared" si="52"/>
        <v>2.6599999999999997</v>
      </c>
      <c r="L248" s="970">
        <f t="shared" si="50"/>
        <v>0</v>
      </c>
      <c r="M248" s="970">
        <f t="shared" si="53"/>
        <v>0</v>
      </c>
      <c r="N248" s="700"/>
      <c r="P248" s="871"/>
    </row>
    <row r="249" spans="1:16" s="863" customFormat="1" ht="12.75" customHeight="1">
      <c r="A249" s="921"/>
      <c r="B249" s="919"/>
      <c r="C249" s="919"/>
      <c r="D249" s="854" t="s">
        <v>11839</v>
      </c>
      <c r="E249" s="970">
        <f t="shared" si="45"/>
        <v>1</v>
      </c>
      <c r="F249" s="970">
        <f t="shared" si="46"/>
        <v>1.65</v>
      </c>
      <c r="G249" s="970">
        <f t="shared" si="47"/>
        <v>1.55</v>
      </c>
      <c r="H249" s="970">
        <f t="shared" si="48"/>
        <v>1.5</v>
      </c>
      <c r="I249" s="970">
        <f t="shared" si="51"/>
        <v>3.8362500000000002</v>
      </c>
      <c r="J249" s="970">
        <f t="shared" si="49"/>
        <v>0.65000000000000036</v>
      </c>
      <c r="K249" s="970">
        <f t="shared" si="52"/>
        <v>1.662375000000001</v>
      </c>
      <c r="L249" s="970">
        <f t="shared" si="50"/>
        <v>0</v>
      </c>
      <c r="M249" s="970">
        <f t="shared" si="53"/>
        <v>0</v>
      </c>
      <c r="N249" s="700"/>
      <c r="P249" s="871"/>
    </row>
    <row r="250" spans="1:16" s="863" customFormat="1">
      <c r="A250" s="921"/>
      <c r="B250" s="919"/>
      <c r="C250" s="919"/>
      <c r="D250" s="854" t="s">
        <v>11870</v>
      </c>
      <c r="E250" s="970">
        <f t="shared" si="45"/>
        <v>4</v>
      </c>
      <c r="F250" s="970">
        <f t="shared" si="46"/>
        <v>1.6</v>
      </c>
      <c r="G250" s="970">
        <f t="shared" si="47"/>
        <v>1.4</v>
      </c>
      <c r="H250" s="970">
        <f t="shared" si="48"/>
        <v>1.4</v>
      </c>
      <c r="I250" s="970">
        <f t="shared" si="51"/>
        <v>12.543999999999999</v>
      </c>
      <c r="J250" s="970">
        <f t="shared" si="49"/>
        <v>0</v>
      </c>
      <c r="K250" s="970">
        <f t="shared" si="52"/>
        <v>0</v>
      </c>
      <c r="L250" s="970">
        <f t="shared" si="50"/>
        <v>0</v>
      </c>
      <c r="M250" s="970">
        <f t="shared" si="53"/>
        <v>0</v>
      </c>
      <c r="N250" s="700"/>
      <c r="P250" s="871"/>
    </row>
    <row r="251" spans="1:16" s="863" customFormat="1">
      <c r="A251" s="921"/>
      <c r="B251" s="919"/>
      <c r="C251" s="919"/>
      <c r="D251" s="854" t="s">
        <v>11889</v>
      </c>
      <c r="E251" s="970">
        <v>4</v>
      </c>
      <c r="F251" s="970">
        <v>0.4</v>
      </c>
      <c r="G251" s="970">
        <v>0.2</v>
      </c>
      <c r="H251" s="970">
        <f t="shared" si="48"/>
        <v>0.3</v>
      </c>
      <c r="I251" s="970">
        <f t="shared" si="51"/>
        <v>9.6000000000000016E-2</v>
      </c>
      <c r="J251" s="970">
        <f t="shared" si="49"/>
        <v>0</v>
      </c>
      <c r="K251" s="970">
        <f t="shared" si="52"/>
        <v>0</v>
      </c>
      <c r="L251" s="970">
        <f t="shared" si="50"/>
        <v>0</v>
      </c>
      <c r="M251" s="970">
        <f t="shared" si="53"/>
        <v>0</v>
      </c>
      <c r="N251" s="700"/>
      <c r="P251" s="871"/>
    </row>
    <row r="252" spans="1:16" s="863" customFormat="1" ht="12.75" customHeight="1">
      <c r="A252" s="921"/>
      <c r="B252" s="919"/>
      <c r="C252" s="919"/>
      <c r="D252" s="854" t="s">
        <v>11871</v>
      </c>
      <c r="E252" s="970">
        <f t="shared" ref="E252:G256" si="54">H126</f>
        <v>2</v>
      </c>
      <c r="F252" s="970">
        <f t="shared" si="54"/>
        <v>4</v>
      </c>
      <c r="G252" s="970">
        <f t="shared" si="54"/>
        <v>0.2</v>
      </c>
      <c r="H252" s="970">
        <f t="shared" si="48"/>
        <v>0.3</v>
      </c>
      <c r="I252" s="970">
        <f t="shared" si="51"/>
        <v>0.48</v>
      </c>
      <c r="J252" s="970">
        <f t="shared" si="49"/>
        <v>0</v>
      </c>
      <c r="K252" s="970">
        <f t="shared" si="52"/>
        <v>0</v>
      </c>
      <c r="L252" s="970">
        <f t="shared" si="50"/>
        <v>0</v>
      </c>
      <c r="M252" s="970">
        <f t="shared" si="53"/>
        <v>0</v>
      </c>
      <c r="N252" s="700"/>
      <c r="P252" s="871"/>
    </row>
    <row r="253" spans="1:16" s="863" customFormat="1" ht="12.75" customHeight="1">
      <c r="A253" s="921"/>
      <c r="B253" s="919"/>
      <c r="C253" s="919"/>
      <c r="D253" s="854" t="s">
        <v>11872</v>
      </c>
      <c r="E253" s="970">
        <f t="shared" si="54"/>
        <v>2</v>
      </c>
      <c r="F253" s="970">
        <f t="shared" si="54"/>
        <v>2.7</v>
      </c>
      <c r="G253" s="970">
        <f t="shared" si="54"/>
        <v>0.2</v>
      </c>
      <c r="H253" s="970">
        <f t="shared" si="48"/>
        <v>1.5</v>
      </c>
      <c r="I253" s="970">
        <f t="shared" si="51"/>
        <v>1.62</v>
      </c>
      <c r="J253" s="970">
        <f t="shared" si="49"/>
        <v>0.64999999999999991</v>
      </c>
      <c r="K253" s="970">
        <f t="shared" si="52"/>
        <v>0.70199999999999996</v>
      </c>
      <c r="L253" s="970">
        <f t="shared" si="50"/>
        <v>0</v>
      </c>
      <c r="M253" s="970">
        <f t="shared" si="53"/>
        <v>0</v>
      </c>
      <c r="N253" s="700"/>
      <c r="P253" s="871"/>
    </row>
    <row r="254" spans="1:16" s="863" customFormat="1">
      <c r="A254" s="921"/>
      <c r="B254" s="919"/>
      <c r="C254" s="919"/>
      <c r="D254" s="854" t="s">
        <v>11841</v>
      </c>
      <c r="E254" s="970">
        <f t="shared" si="54"/>
        <v>1</v>
      </c>
      <c r="F254" s="970">
        <f t="shared" si="54"/>
        <v>2.82</v>
      </c>
      <c r="G254" s="970">
        <f t="shared" si="54"/>
        <v>2.7</v>
      </c>
      <c r="H254" s="970">
        <f t="shared" si="48"/>
        <v>1.5</v>
      </c>
      <c r="I254" s="970">
        <f t="shared" si="51"/>
        <v>11.420999999999999</v>
      </c>
      <c r="J254" s="970">
        <f t="shared" si="49"/>
        <v>9.9999999999999867E-2</v>
      </c>
      <c r="K254" s="970">
        <f t="shared" si="52"/>
        <v>0.76139999999999897</v>
      </c>
      <c r="L254" s="970">
        <f t="shared" si="50"/>
        <v>0</v>
      </c>
      <c r="M254" s="970">
        <f t="shared" si="53"/>
        <v>0</v>
      </c>
      <c r="N254" s="700"/>
      <c r="P254" s="871"/>
    </row>
    <row r="255" spans="1:16" s="863" customFormat="1">
      <c r="A255" s="921"/>
      <c r="B255" s="919"/>
      <c r="C255" s="919"/>
      <c r="D255" s="854" t="s">
        <v>11842</v>
      </c>
      <c r="E255" s="970">
        <f t="shared" si="54"/>
        <v>1</v>
      </c>
      <c r="F255" s="970">
        <f t="shared" si="54"/>
        <v>3.05</v>
      </c>
      <c r="G255" s="970">
        <f t="shared" si="54"/>
        <v>2.2000000000000002</v>
      </c>
      <c r="H255" s="970">
        <f t="shared" si="48"/>
        <v>0.45</v>
      </c>
      <c r="I255" s="970">
        <f t="shared" si="51"/>
        <v>3.0194999999999999</v>
      </c>
      <c r="J255" s="970">
        <f t="shared" si="49"/>
        <v>0</v>
      </c>
      <c r="K255" s="970">
        <f t="shared" si="52"/>
        <v>0</v>
      </c>
      <c r="L255" s="970">
        <f t="shared" si="50"/>
        <v>0</v>
      </c>
      <c r="M255" s="970">
        <f t="shared" si="53"/>
        <v>0</v>
      </c>
      <c r="N255" s="700"/>
      <c r="P255" s="871"/>
    </row>
    <row r="256" spans="1:16" s="863" customFormat="1">
      <c r="A256" s="921"/>
      <c r="B256" s="919"/>
      <c r="C256" s="919"/>
      <c r="D256" s="854" t="s">
        <v>11843</v>
      </c>
      <c r="E256" s="970">
        <f t="shared" si="54"/>
        <v>1</v>
      </c>
      <c r="F256" s="970">
        <f t="shared" si="54"/>
        <v>2.7</v>
      </c>
      <c r="G256" s="970">
        <f t="shared" si="54"/>
        <v>2.5499999999999998</v>
      </c>
      <c r="H256" s="970">
        <f t="shared" si="48"/>
        <v>0</v>
      </c>
      <c r="I256" s="970">
        <f t="shared" si="51"/>
        <v>0</v>
      </c>
      <c r="J256" s="970">
        <f t="shared" si="49"/>
        <v>0</v>
      </c>
      <c r="K256" s="970">
        <f t="shared" si="52"/>
        <v>0</v>
      </c>
      <c r="L256" s="970">
        <f t="shared" si="50"/>
        <v>0</v>
      </c>
      <c r="M256" s="970">
        <f t="shared" si="53"/>
        <v>0</v>
      </c>
      <c r="N256" s="700"/>
      <c r="P256" s="871"/>
    </row>
    <row r="257" spans="1:18" s="863" customFormat="1">
      <c r="A257" s="921"/>
      <c r="B257" s="919"/>
      <c r="C257" s="919"/>
      <c r="D257" s="1005" t="s">
        <v>11694</v>
      </c>
      <c r="E257" s="1005"/>
      <c r="F257" s="854"/>
      <c r="G257" s="1701"/>
      <c r="H257" s="1701"/>
      <c r="I257" s="971">
        <f>SUM(I239:I256)</f>
        <v>70.238589999999974</v>
      </c>
      <c r="J257" s="971"/>
      <c r="K257" s="971">
        <f>SUM(K239:K256)</f>
        <v>20.023374999999998</v>
      </c>
      <c r="L257" s="901"/>
      <c r="M257" s="971">
        <f>SUM(M239:M256)</f>
        <v>1.0952</v>
      </c>
      <c r="N257" s="700"/>
      <c r="P257" s="871"/>
    </row>
    <row r="258" spans="1:18" s="863" customFormat="1">
      <c r="A258" s="921"/>
      <c r="B258" s="919"/>
      <c r="C258" s="919"/>
      <c r="D258" s="899"/>
      <c r="E258" s="824"/>
      <c r="F258" s="824"/>
      <c r="G258" s="1006"/>
      <c r="H258" s="1006"/>
      <c r="I258" s="1007"/>
      <c r="J258" s="1701"/>
      <c r="K258" s="1701"/>
      <c r="L258" s="901"/>
      <c r="M258" s="902"/>
      <c r="N258" s="700"/>
      <c r="P258" s="871"/>
    </row>
    <row r="259" spans="1:18" s="863" customFormat="1" ht="22.5" customHeight="1">
      <c r="A259" s="921"/>
      <c r="B259" s="919"/>
      <c r="C259" s="919"/>
      <c r="D259" s="899"/>
      <c r="E259" s="824"/>
      <c r="F259" s="824"/>
      <c r="G259" s="1006"/>
      <c r="H259" s="1006"/>
      <c r="I259" s="1007"/>
      <c r="J259" s="901" t="s">
        <v>11680</v>
      </c>
      <c r="K259" s="901" t="s">
        <v>20428</v>
      </c>
      <c r="L259" s="901"/>
      <c r="M259" s="902"/>
      <c r="N259" s="700"/>
      <c r="P259" s="871"/>
    </row>
    <row r="260" spans="1:18" s="863" customFormat="1" ht="12.75" customHeight="1">
      <c r="A260" s="921"/>
      <c r="B260" s="919"/>
      <c r="C260" s="919"/>
      <c r="D260" s="952" t="s">
        <v>20429</v>
      </c>
      <c r="E260" s="824"/>
      <c r="F260" s="824"/>
      <c r="G260" s="1006"/>
      <c r="H260" s="911"/>
      <c r="I260" s="911"/>
      <c r="J260" s="828">
        <f>M171</f>
        <v>547.96999999999991</v>
      </c>
      <c r="K260" s="828">
        <f>I257</f>
        <v>70.238589999999974</v>
      </c>
      <c r="L260" s="828" t="s">
        <v>22</v>
      </c>
      <c r="M260" s="829">
        <f>J260-K260</f>
        <v>477.73140999999993</v>
      </c>
      <c r="N260" s="700"/>
      <c r="P260" s="871"/>
    </row>
    <row r="261" spans="1:18" s="863" customFormat="1" ht="12.75" customHeight="1">
      <c r="A261" s="921"/>
      <c r="B261" s="919"/>
      <c r="C261" s="919"/>
      <c r="D261" s="952" t="s">
        <v>20431</v>
      </c>
      <c r="E261" s="824"/>
      <c r="F261" s="824"/>
      <c r="G261" s="1006"/>
      <c r="H261" s="911"/>
      <c r="I261" s="911"/>
      <c r="J261" s="828">
        <f>M191</f>
        <v>186.38999999999996</v>
      </c>
      <c r="K261" s="828">
        <f>K257</f>
        <v>20.023374999999998</v>
      </c>
      <c r="L261" s="828" t="s">
        <v>22</v>
      </c>
      <c r="M261" s="829">
        <f>J261-K261</f>
        <v>166.36662499999997</v>
      </c>
      <c r="N261" s="700"/>
      <c r="P261" s="871"/>
    </row>
    <row r="262" spans="1:18" s="863" customFormat="1" ht="12.75" customHeight="1">
      <c r="A262" s="921"/>
      <c r="B262" s="919"/>
      <c r="C262" s="919"/>
      <c r="D262" s="1008" t="s">
        <v>20430</v>
      </c>
      <c r="E262" s="837"/>
      <c r="F262" s="837"/>
      <c r="G262" s="828"/>
      <c r="H262" s="910"/>
      <c r="I262" s="910"/>
      <c r="J262" s="838">
        <f>M211</f>
        <v>13.129999999999999</v>
      </c>
      <c r="K262" s="838">
        <f>M257</f>
        <v>1.0952</v>
      </c>
      <c r="L262" s="828" t="s">
        <v>22</v>
      </c>
      <c r="M262" s="829">
        <f>J262-K262</f>
        <v>12.034799999999999</v>
      </c>
      <c r="N262" s="700"/>
      <c r="P262" s="871"/>
    </row>
    <row r="263" spans="1:18" s="863" customFormat="1">
      <c r="A263" s="921"/>
      <c r="B263" s="919"/>
      <c r="C263" s="919"/>
      <c r="D263" s="903" t="s">
        <v>73</v>
      </c>
      <c r="E263" s="790"/>
      <c r="F263" s="790"/>
      <c r="G263" s="883" t="s">
        <v>30</v>
      </c>
      <c r="H263" s="883" t="s">
        <v>30</v>
      </c>
      <c r="I263" s="883" t="s">
        <v>30</v>
      </c>
      <c r="J263" s="883" t="s">
        <v>42</v>
      </c>
      <c r="K263" s="883" t="s">
        <v>50</v>
      </c>
      <c r="L263" s="883"/>
      <c r="M263" s="884"/>
      <c r="N263" s="700"/>
      <c r="P263" s="871"/>
    </row>
    <row r="264" spans="1:18" s="863" customFormat="1" ht="33.75">
      <c r="A264" s="921" t="s">
        <v>20449</v>
      </c>
      <c r="B264" s="919" t="s">
        <v>70</v>
      </c>
      <c r="C264" s="919">
        <v>93367</v>
      </c>
      <c r="D264" s="836" t="str">
        <f>PROPER(IF(B264="Saneago",VLOOKUP(C264,'SANEAGO-FEV.2016'!A:B,2,0),IF(B264="SINAPI",VLOOKUP(C264,'SINAPI-FEV.2017'!A:D,2,0),IF(B264="Cotação",VLOOKUP(C264,COTAÇÃO!A:D,2,0),IF(B264="Composição",VLOOKUP(C264,COMPOSIÇÃO!A:D,2,0))))))</f>
        <v>Reaterro Mecanizado De Vala Com Escavadeira Hidráulica (Capacidade Da Caçamba: 0,8 M³ / Potência: 111 Hp), Largura De 1,5 A 2,5 M, Profundidade Até 1,5 M, Com Solo (Sem Substituição) De 1ª Categoria Em Locais Com Baixo Nível De Interferência. Af_04/2016</v>
      </c>
      <c r="E264" s="837"/>
      <c r="F264" s="837"/>
      <c r="G264" s="852"/>
      <c r="H264" s="852"/>
      <c r="I264" s="852"/>
      <c r="J264" s="838">
        <f>M260</f>
        <v>477.73140999999993</v>
      </c>
      <c r="K264" s="896">
        <f>K268</f>
        <v>0.9</v>
      </c>
      <c r="L264" s="852" t="s">
        <v>22</v>
      </c>
      <c r="M264" s="853">
        <f>J264*K264</f>
        <v>429.95826899999992</v>
      </c>
      <c r="N264" s="700"/>
      <c r="P264" s="871"/>
    </row>
    <row r="265" spans="1:18" s="863" customFormat="1">
      <c r="A265" s="921"/>
      <c r="B265" s="919"/>
      <c r="C265" s="919"/>
      <c r="D265" s="903" t="s">
        <v>73</v>
      </c>
      <c r="E265" s="790"/>
      <c r="F265" s="790"/>
      <c r="G265" s="883" t="s">
        <v>30</v>
      </c>
      <c r="H265" s="883" t="s">
        <v>30</v>
      </c>
      <c r="I265" s="883" t="s">
        <v>30</v>
      </c>
      <c r="J265" s="883" t="s">
        <v>42</v>
      </c>
      <c r="K265" s="883" t="s">
        <v>50</v>
      </c>
      <c r="L265" s="883"/>
      <c r="M265" s="884"/>
      <c r="N265" s="700"/>
      <c r="P265" s="871"/>
    </row>
    <row r="266" spans="1:18" s="863" customFormat="1" ht="45">
      <c r="A266" s="921" t="s">
        <v>20450</v>
      </c>
      <c r="B266" s="919" t="s">
        <v>70</v>
      </c>
      <c r="C266" s="919">
        <v>93369</v>
      </c>
      <c r="D266" s="836" t="str">
        <f>PROPER(IF(B266="Saneago",VLOOKUP(C266,'SANEAGO-FEV.2016'!A:B,2,0),IF(B266="SINAPI",VLOOKUP(C266,'SINAPI-FEV.2017'!A:D,2,0),IF(B266="Cotação",VLOOKUP(C266,COTAÇÃO!A:D,2,0),IF(B266="Composição",VLOOKUP(C266,COMPOSIÇÃO!A:D,2,0))))))</f>
        <v>Reaterro Mecanizado De Vala Com Escavadeira Hidráulica (Capacidade Da Caçamba: 0,8 M³ / Potência: 111 Hp), Largura De 1,5 A 2,5 M, Profundidade De 1,5 A 3,0 M, Com Solo (Sem Substituição) De 1ª Categoria Em Locais Com Baixo Nível De Interferência. Af_04/2016</v>
      </c>
      <c r="E266" s="837"/>
      <c r="F266" s="837"/>
      <c r="G266" s="852"/>
      <c r="H266" s="852"/>
      <c r="I266" s="852"/>
      <c r="J266" s="838">
        <f>M261</f>
        <v>166.36662499999997</v>
      </c>
      <c r="K266" s="896">
        <f>K268</f>
        <v>0.9</v>
      </c>
      <c r="L266" s="852" t="s">
        <v>22</v>
      </c>
      <c r="M266" s="853">
        <f>J266*K266</f>
        <v>149.72996249999997</v>
      </c>
      <c r="N266" s="700"/>
      <c r="P266" s="871"/>
    </row>
    <row r="267" spans="1:18" s="863" customFormat="1">
      <c r="A267" s="921"/>
      <c r="B267" s="919"/>
      <c r="C267" s="919"/>
      <c r="D267" s="903" t="s">
        <v>73</v>
      </c>
      <c r="E267" s="790"/>
      <c r="F267" s="790"/>
      <c r="G267" s="883" t="s">
        <v>30</v>
      </c>
      <c r="H267" s="883" t="s">
        <v>30</v>
      </c>
      <c r="I267" s="883" t="s">
        <v>30</v>
      </c>
      <c r="J267" s="883" t="s">
        <v>42</v>
      </c>
      <c r="K267" s="883" t="s">
        <v>50</v>
      </c>
      <c r="L267" s="883"/>
      <c r="M267" s="884"/>
      <c r="N267" s="700"/>
      <c r="P267" s="871"/>
    </row>
    <row r="268" spans="1:18" s="863" customFormat="1" ht="45">
      <c r="A268" s="921" t="s">
        <v>20451</v>
      </c>
      <c r="B268" s="919" t="s">
        <v>70</v>
      </c>
      <c r="C268" s="919">
        <v>93371</v>
      </c>
      <c r="D268" s="836" t="str">
        <f>PROPER(IF(B268="Saneago",VLOOKUP(C268,'SANEAGO-FEV.2016'!A:B,2,0),IF(B268="SINAPI",VLOOKUP(C268,'SINAPI-FEV.2017'!A:D,2,0),IF(B268="Cotação",VLOOKUP(C268,COTAÇÃO!A:D,2,0),IF(B268="Composição",VLOOKUP(C268,COMPOSIÇÃO!A:D,2,0))))))</f>
        <v>Reaterro Mecanizado De Vala Com Escavadeira Hidráulica (Capacidade Da Caçamba: 0,8 M³ / Potência: 111 Hp), Largura De 1,5 A 2,5 M, Profundidade De 3,0 A 4,5 M, Com Solo (Sem Substituição) De 1ª Categoria Em Locais Com Baixo Nível De Interferência. Af_04/2016</v>
      </c>
      <c r="E268" s="837"/>
      <c r="F268" s="837"/>
      <c r="G268" s="852"/>
      <c r="H268" s="852"/>
      <c r="I268" s="852"/>
      <c r="J268" s="838">
        <f>M262</f>
        <v>12.034799999999999</v>
      </c>
      <c r="K268" s="896">
        <f>M24</f>
        <v>0.9</v>
      </c>
      <c r="L268" s="852" t="s">
        <v>22</v>
      </c>
      <c r="M268" s="853">
        <f>J268*K268</f>
        <v>10.83132</v>
      </c>
      <c r="N268" s="700"/>
      <c r="P268" s="871"/>
    </row>
    <row r="269" spans="1:18" s="863" customFormat="1">
      <c r="A269" s="921"/>
      <c r="B269" s="919"/>
      <c r="C269" s="919"/>
      <c r="D269" s="881"/>
      <c r="E269" s="882"/>
      <c r="F269" s="882"/>
      <c r="G269" s="700" t="s">
        <v>30</v>
      </c>
      <c r="H269" s="700" t="s">
        <v>30</v>
      </c>
      <c r="I269" s="700" t="s">
        <v>30</v>
      </c>
      <c r="J269" s="828" t="s">
        <v>42</v>
      </c>
      <c r="K269" s="828" t="s">
        <v>79</v>
      </c>
      <c r="L269" s="828"/>
      <c r="M269" s="829"/>
      <c r="N269" s="700"/>
      <c r="P269" s="871"/>
    </row>
    <row r="270" spans="1:18" s="863" customFormat="1">
      <c r="A270" s="921" t="s">
        <v>11861</v>
      </c>
      <c r="B270" s="919" t="s">
        <v>70</v>
      </c>
      <c r="C270" s="919" t="s">
        <v>18237</v>
      </c>
      <c r="D270" s="836" t="str">
        <f>PROPER(IF(B270="Saneago",VLOOKUP(C270,'SANEAGO-FEV.2016'!A:B,2,0),IF(B270="SINAPI",VLOOKUP(C270,'SINAPI-FEV.2017'!A:D,2,0),IF(B270="Cotação",VLOOKUP(C270,COTAÇÃO!A:D,2,0),IF(B270="Composição",VLOOKUP(C270,COMPOSIÇÃO!A:D,2,0))))))</f>
        <v>Reaterro De Vala Com Compactação Manual</v>
      </c>
      <c r="E270" s="837"/>
      <c r="F270" s="837"/>
      <c r="G270" s="838"/>
      <c r="H270" s="838"/>
      <c r="I270" s="838"/>
      <c r="J270" s="838">
        <f>SUM(M260:M262)</f>
        <v>656.13283499999989</v>
      </c>
      <c r="K270" s="904">
        <f>M23</f>
        <v>0.1</v>
      </c>
      <c r="L270" s="838" t="s">
        <v>22</v>
      </c>
      <c r="M270" s="853">
        <f>J270*K270</f>
        <v>65.613283499999994</v>
      </c>
      <c r="N270" s="700"/>
      <c r="P270" s="871"/>
    </row>
    <row r="271" spans="1:18" s="824" customFormat="1" ht="10.5" customHeight="1" thickBot="1">
      <c r="A271" s="965"/>
      <c r="B271" s="919"/>
      <c r="C271" s="919"/>
      <c r="D271" s="826"/>
      <c r="E271" s="790"/>
      <c r="F271" s="790"/>
      <c r="G271" s="700"/>
      <c r="H271" s="700"/>
      <c r="I271" s="700"/>
      <c r="J271" s="907"/>
      <c r="K271" s="700"/>
      <c r="L271" s="700"/>
      <c r="M271" s="827"/>
      <c r="N271" s="700"/>
      <c r="O271" s="863"/>
      <c r="P271" s="871"/>
      <c r="Q271" s="863"/>
      <c r="R271" s="863"/>
    </row>
    <row r="272" spans="1:18" s="824" customFormat="1" ht="14.25" customHeight="1" thickTop="1" thickBot="1">
      <c r="A272" s="965"/>
      <c r="B272" s="919"/>
      <c r="C272" s="919"/>
      <c r="D272" s="830" t="s">
        <v>47</v>
      </c>
      <c r="E272" s="831"/>
      <c r="F272" s="831"/>
      <c r="G272" s="831"/>
      <c r="H272" s="831"/>
      <c r="I272" s="831"/>
      <c r="J272" s="831"/>
      <c r="K272" s="831"/>
      <c r="L272" s="832" t="s">
        <v>25</v>
      </c>
      <c r="M272" s="833" t="s">
        <v>27</v>
      </c>
      <c r="N272" s="700"/>
      <c r="O272" s="863"/>
      <c r="P272" s="871"/>
      <c r="Q272" s="863"/>
      <c r="R272" s="863"/>
    </row>
    <row r="273" spans="1:18" s="824" customFormat="1" ht="15" customHeight="1" thickTop="1">
      <c r="A273" s="965"/>
      <c r="B273" s="1009"/>
      <c r="C273" s="1009"/>
      <c r="D273" s="826"/>
      <c r="E273" s="790"/>
      <c r="F273" s="790"/>
      <c r="G273" s="828" t="s">
        <v>30</v>
      </c>
      <c r="H273" s="828" t="s">
        <v>30</v>
      </c>
      <c r="I273" s="828" t="s">
        <v>11735</v>
      </c>
      <c r="J273" s="828" t="s">
        <v>39</v>
      </c>
      <c r="K273" s="828" t="s">
        <v>35</v>
      </c>
      <c r="L273" s="828"/>
      <c r="M273" s="829"/>
      <c r="N273" s="700"/>
      <c r="O273" s="863"/>
      <c r="P273" s="871"/>
      <c r="Q273" s="863"/>
      <c r="R273" s="863"/>
    </row>
    <row r="274" spans="1:18" s="824" customFormat="1" ht="21" customHeight="1">
      <c r="A274" s="921" t="s">
        <v>11862</v>
      </c>
      <c r="B274" s="919" t="s">
        <v>70</v>
      </c>
      <c r="C274" s="919" t="s">
        <v>18276</v>
      </c>
      <c r="D274" s="836" t="str">
        <f>PROPER(IF(B274="Saneago",VLOOKUP(C274,'SANEAGO-FEV.2016'!A:B,2,0),IF(B274="SINAPI",VLOOKUP(C274,'SINAPI-FEV.2017'!A:D,2,0),IF(B274="Cotação",VLOOKUP(C274,COTAÇÃO!A:D,2,0),IF(B274="Composição",VLOOKUP(C274,COMPOSIÇÃO!A:D,2,0))))))</f>
        <v>Carga E Descarga Mecanica De Solo Utilizando Caminhao Basculante 6,0M3/16T E Pa Carregadeira Sobre Pneus 128 Hp, Capacidade Da Caçamba 1,7 A 2,8 M3, Peso Operacional 11632 Kg</v>
      </c>
      <c r="E274" s="837"/>
      <c r="F274" s="837"/>
      <c r="G274" s="838"/>
      <c r="H274" s="838"/>
      <c r="I274" s="838">
        <f>M261</f>
        <v>166.36662499999997</v>
      </c>
      <c r="J274" s="838">
        <f>M262</f>
        <v>12.034799999999999</v>
      </c>
      <c r="K274" s="904">
        <f>M22</f>
        <v>0.2</v>
      </c>
      <c r="L274" s="838" t="s">
        <v>22</v>
      </c>
      <c r="M274" s="853">
        <f>(I274-J274)*(1+K274)</f>
        <v>185.19818999999998</v>
      </c>
      <c r="N274" s="700"/>
      <c r="O274" s="863"/>
      <c r="P274" s="871"/>
      <c r="Q274" s="863"/>
      <c r="R274" s="863"/>
    </row>
    <row r="275" spans="1:18" s="824" customFormat="1" ht="12" customHeight="1">
      <c r="A275" s="965"/>
      <c r="B275" s="919"/>
      <c r="C275" s="919"/>
      <c r="D275" s="826"/>
      <c r="E275" s="790"/>
      <c r="F275" s="790"/>
      <c r="G275" s="828" t="s">
        <v>30</v>
      </c>
      <c r="H275" s="828" t="s">
        <v>30</v>
      </c>
      <c r="I275" s="828" t="s">
        <v>30</v>
      </c>
      <c r="J275" s="828" t="s">
        <v>40</v>
      </c>
      <c r="K275" s="828" t="s">
        <v>48</v>
      </c>
      <c r="L275" s="828"/>
      <c r="M275" s="829"/>
      <c r="N275" s="700"/>
      <c r="O275" s="863"/>
      <c r="P275" s="871"/>
      <c r="Q275" s="863"/>
      <c r="R275" s="863"/>
    </row>
    <row r="276" spans="1:18" s="824" customFormat="1" ht="24" customHeight="1">
      <c r="A276" s="921" t="s">
        <v>11863</v>
      </c>
      <c r="B276" s="919" t="s">
        <v>70</v>
      </c>
      <c r="C276" s="919">
        <v>93590</v>
      </c>
      <c r="D276" s="836" t="str">
        <f>PROPER(IF(B276="Saneago",VLOOKUP(C276,'SANEAGO-FEV.2016'!A:B,2,0),IF(B276="SINAPI",VLOOKUP(C276,'SINAPI-FEV.2017'!A:D,2,0),IF(B276="Cotação",VLOOKUP(C276,COTAÇÃO!A:D,2,0),IF(B276="Composição",VLOOKUP(C276,COMPOSIÇÃO!A:D,2,0))))))</f>
        <v>Transporte Com Caminhão Basculante De 10 M3, Em Via Urbana Pavimentada, Dmt Acima De 30Km (Unidade: M3Xkm). Af_04/2016</v>
      </c>
      <c r="E276" s="837"/>
      <c r="F276" s="837"/>
      <c r="G276" s="838"/>
      <c r="H276" s="838"/>
      <c r="I276" s="838"/>
      <c r="J276" s="838">
        <f>M274</f>
        <v>185.19818999999998</v>
      </c>
      <c r="K276" s="838">
        <f>M13</f>
        <v>7.5</v>
      </c>
      <c r="L276" s="838" t="s">
        <v>23</v>
      </c>
      <c r="M276" s="853">
        <f>J276*K276</f>
        <v>1388.9864249999998</v>
      </c>
      <c r="N276" s="700"/>
      <c r="O276" s="863"/>
      <c r="P276" s="871"/>
      <c r="Q276" s="863"/>
      <c r="R276" s="863"/>
    </row>
    <row r="277" spans="1:18" s="824" customFormat="1">
      <c r="A277" s="965"/>
      <c r="B277" s="1009"/>
      <c r="C277" s="919"/>
      <c r="D277" s="826"/>
      <c r="E277" s="790"/>
      <c r="F277" s="790"/>
      <c r="G277" s="828" t="s">
        <v>30</v>
      </c>
      <c r="H277" s="828" t="s">
        <v>30</v>
      </c>
      <c r="I277" s="828" t="s">
        <v>38</v>
      </c>
      <c r="J277" s="828" t="s">
        <v>39</v>
      </c>
      <c r="K277" s="828" t="s">
        <v>35</v>
      </c>
      <c r="L277" s="828"/>
      <c r="M277" s="829"/>
      <c r="N277" s="700"/>
      <c r="O277" s="863"/>
      <c r="P277" s="871"/>
      <c r="Q277" s="863"/>
      <c r="R277" s="863"/>
    </row>
    <row r="278" spans="1:18" s="824" customFormat="1" ht="12.75" customHeight="1">
      <c r="A278" s="921" t="s">
        <v>11864</v>
      </c>
      <c r="B278" s="919" t="s">
        <v>70</v>
      </c>
      <c r="C278" s="919">
        <v>83344</v>
      </c>
      <c r="D278" s="836" t="str">
        <f>PROPER(IF(B278="Saneago",VLOOKUP(C278,'SANEAGO-FEV.2016'!A:B,2,0),IF(B278="SINAPI",VLOOKUP(C278,'SINAPI-FEV.2017'!A:D,2,0),IF(B278="Cotação",VLOOKUP(C278,COTAÇÃO!A:D,2,0),IF(B278="Composição",VLOOKUP(C278,COMPOSIÇÃO!A:D,2,0))))))</f>
        <v>Espalhamento De Material Em Bota Fora, Com Utilizacao De Trator De Esteiras De 165 Hp</v>
      </c>
      <c r="E278" s="837"/>
      <c r="F278" s="837"/>
      <c r="G278" s="838"/>
      <c r="H278" s="838"/>
      <c r="I278" s="838">
        <f>I274</f>
        <v>166.36662499999997</v>
      </c>
      <c r="J278" s="838">
        <f>J274</f>
        <v>12.034799999999999</v>
      </c>
      <c r="K278" s="904">
        <v>0.15</v>
      </c>
      <c r="L278" s="838" t="s">
        <v>22</v>
      </c>
      <c r="M278" s="853">
        <f>(I278-J278)*(1+K278)</f>
        <v>177.48159874999996</v>
      </c>
      <c r="N278" s="700"/>
      <c r="O278" s="863"/>
      <c r="P278" s="871"/>
      <c r="Q278" s="863"/>
      <c r="R278" s="863"/>
    </row>
    <row r="279" spans="1:18" s="824" customFormat="1" ht="11.25" customHeight="1" thickBot="1">
      <c r="A279" s="965"/>
      <c r="B279" s="1009"/>
      <c r="C279" s="1009"/>
      <c r="D279" s="826"/>
      <c r="E279" s="790"/>
      <c r="F279" s="790"/>
      <c r="G279" s="700"/>
      <c r="H279" s="700"/>
      <c r="I279" s="700"/>
      <c r="J279" s="907"/>
      <c r="K279" s="700"/>
      <c r="L279" s="700"/>
      <c r="M279" s="827"/>
      <c r="N279" s="700"/>
      <c r="O279" s="863"/>
      <c r="P279" s="871"/>
      <c r="Q279" s="863"/>
      <c r="R279" s="863"/>
    </row>
    <row r="280" spans="1:18" s="863" customFormat="1" ht="13.5" customHeight="1" thickTop="1" thickBot="1">
      <c r="A280" s="921"/>
      <c r="B280" s="919"/>
      <c r="C280" s="919"/>
      <c r="D280" s="830" t="s">
        <v>1225</v>
      </c>
      <c r="E280" s="831"/>
      <c r="F280" s="831"/>
      <c r="G280" s="831"/>
      <c r="H280" s="831"/>
      <c r="I280" s="831"/>
      <c r="J280" s="831"/>
      <c r="K280" s="831"/>
      <c r="L280" s="832" t="s">
        <v>25</v>
      </c>
      <c r="M280" s="833" t="s">
        <v>27</v>
      </c>
      <c r="N280" s="700"/>
      <c r="P280" s="871"/>
    </row>
    <row r="281" spans="1:18" s="863" customFormat="1" ht="21.75" customHeight="1" thickTop="1">
      <c r="A281" s="921"/>
      <c r="B281" s="919"/>
      <c r="C281" s="919"/>
      <c r="D281" s="826"/>
      <c r="E281" s="790"/>
      <c r="F281" s="790"/>
      <c r="G281" s="700" t="s">
        <v>30</v>
      </c>
      <c r="H281" s="700" t="s">
        <v>1275</v>
      </c>
      <c r="I281" s="700" t="s">
        <v>17</v>
      </c>
      <c r="J281" s="700" t="s">
        <v>19</v>
      </c>
      <c r="K281" s="700" t="s">
        <v>11876</v>
      </c>
      <c r="L281" s="700" t="s">
        <v>30</v>
      </c>
      <c r="M281" s="876" t="s">
        <v>30</v>
      </c>
      <c r="N281" s="700"/>
      <c r="P281" s="871"/>
    </row>
    <row r="282" spans="1:18" s="863" customFormat="1" ht="24" customHeight="1">
      <c r="A282" s="921"/>
      <c r="B282" s="919"/>
      <c r="C282" s="919"/>
      <c r="D282" s="826"/>
      <c r="E282" s="1768" t="s">
        <v>11923</v>
      </c>
      <c r="F282" s="1768"/>
      <c r="G282" s="1768"/>
      <c r="H282" s="1010">
        <v>9</v>
      </c>
      <c r="I282" s="933">
        <f>F239</f>
        <v>1.48</v>
      </c>
      <c r="J282" s="933">
        <f>G239</f>
        <v>1.48</v>
      </c>
      <c r="K282" s="1011">
        <v>0.15</v>
      </c>
      <c r="L282" s="1011" t="s">
        <v>21</v>
      </c>
      <c r="M282" s="934">
        <f>H282*(2*I282+2*J282)*K282</f>
        <v>7.992</v>
      </c>
      <c r="N282" s="700"/>
      <c r="P282" s="871"/>
    </row>
    <row r="283" spans="1:18" s="863" customFormat="1" ht="24" customHeight="1">
      <c r="A283" s="921"/>
      <c r="B283" s="919"/>
      <c r="C283" s="919"/>
      <c r="D283" s="826"/>
      <c r="E283" s="1768" t="s">
        <v>11924</v>
      </c>
      <c r="F283" s="1768"/>
      <c r="G283" s="1768"/>
      <c r="H283" s="1010">
        <v>9</v>
      </c>
      <c r="I283" s="933">
        <f>I282</f>
        <v>1.48</v>
      </c>
      <c r="J283" s="933">
        <f>J282</f>
        <v>1.48</v>
      </c>
      <c r="K283" s="1011">
        <v>0.1</v>
      </c>
      <c r="L283" s="1011" t="s">
        <v>21</v>
      </c>
      <c r="M283" s="934">
        <f>H283*(2*I283+2*J283)*K283</f>
        <v>5.3280000000000003</v>
      </c>
      <c r="N283" s="700"/>
      <c r="P283" s="871"/>
    </row>
    <row r="284" spans="1:18" s="863" customFormat="1" ht="14.25" customHeight="1">
      <c r="A284" s="921"/>
      <c r="B284" s="919"/>
      <c r="C284" s="919"/>
      <c r="D284" s="826"/>
      <c r="E284" s="1768" t="s">
        <v>11898</v>
      </c>
      <c r="F284" s="1768"/>
      <c r="G284" s="1768"/>
      <c r="H284" s="1010">
        <v>4</v>
      </c>
      <c r="I284" s="933">
        <v>0.15</v>
      </c>
      <c r="J284" s="933">
        <v>0.15</v>
      </c>
      <c r="K284" s="933">
        <f t="shared" ref="K284:K292" si="55">K114-0.15</f>
        <v>1.85</v>
      </c>
      <c r="L284" s="1011" t="s">
        <v>21</v>
      </c>
      <c r="M284" s="934">
        <f>H284*(I284+J284)*K284</f>
        <v>2.2200000000000002</v>
      </c>
      <c r="N284" s="700"/>
      <c r="P284" s="871"/>
    </row>
    <row r="285" spans="1:18" s="863" customFormat="1" ht="13.5" customHeight="1">
      <c r="A285" s="921"/>
      <c r="B285" s="919"/>
      <c r="C285" s="919"/>
      <c r="D285" s="826"/>
      <c r="E285" s="1768" t="s">
        <v>11899</v>
      </c>
      <c r="F285" s="1768"/>
      <c r="G285" s="1768"/>
      <c r="H285" s="1010">
        <v>4</v>
      </c>
      <c r="I285" s="933">
        <v>0.15</v>
      </c>
      <c r="J285" s="933">
        <v>0.15</v>
      </c>
      <c r="K285" s="933">
        <f t="shared" si="55"/>
        <v>1.2</v>
      </c>
      <c r="L285" s="1011" t="s">
        <v>21</v>
      </c>
      <c r="M285" s="934">
        <f t="shared" ref="M285:M292" si="56">H285*(I285+J285)*K285</f>
        <v>1.44</v>
      </c>
      <c r="N285" s="700"/>
      <c r="P285" s="871"/>
    </row>
    <row r="286" spans="1:18" s="863" customFormat="1" ht="13.5" customHeight="1">
      <c r="A286" s="921"/>
      <c r="B286" s="919"/>
      <c r="C286" s="919"/>
      <c r="D286" s="826"/>
      <c r="E286" s="1768" t="s">
        <v>11900</v>
      </c>
      <c r="F286" s="1768"/>
      <c r="G286" s="1768"/>
      <c r="H286" s="1010">
        <v>4</v>
      </c>
      <c r="I286" s="933">
        <v>0.15</v>
      </c>
      <c r="J286" s="933">
        <v>0.15</v>
      </c>
      <c r="K286" s="933">
        <f t="shared" si="55"/>
        <v>1.6</v>
      </c>
      <c r="L286" s="1011" t="s">
        <v>21</v>
      </c>
      <c r="M286" s="934">
        <f t="shared" si="56"/>
        <v>1.92</v>
      </c>
      <c r="N286" s="700"/>
      <c r="P286" s="871"/>
    </row>
    <row r="287" spans="1:18" s="863" customFormat="1" ht="13.5" customHeight="1">
      <c r="A287" s="921"/>
      <c r="B287" s="919"/>
      <c r="C287" s="919"/>
      <c r="D287" s="826"/>
      <c r="E287" s="1768" t="s">
        <v>11901</v>
      </c>
      <c r="F287" s="1768"/>
      <c r="G287" s="1768"/>
      <c r="H287" s="1010">
        <v>4</v>
      </c>
      <c r="I287" s="933">
        <v>0.15</v>
      </c>
      <c r="J287" s="933">
        <v>0.15</v>
      </c>
      <c r="K287" s="933">
        <f t="shared" si="55"/>
        <v>1.8</v>
      </c>
      <c r="L287" s="1011" t="s">
        <v>21</v>
      </c>
      <c r="M287" s="934">
        <f t="shared" si="56"/>
        <v>2.16</v>
      </c>
      <c r="N287" s="700"/>
      <c r="P287" s="871"/>
    </row>
    <row r="288" spans="1:18" s="863" customFormat="1" ht="13.5" customHeight="1">
      <c r="A288" s="921"/>
      <c r="B288" s="919"/>
      <c r="C288" s="919"/>
      <c r="D288" s="826"/>
      <c r="E288" s="1768" t="s">
        <v>11902</v>
      </c>
      <c r="F288" s="1768"/>
      <c r="G288" s="1768"/>
      <c r="H288" s="1010">
        <v>4</v>
      </c>
      <c r="I288" s="933">
        <v>0.15</v>
      </c>
      <c r="J288" s="933">
        <v>0.15</v>
      </c>
      <c r="K288" s="933">
        <f t="shared" si="55"/>
        <v>2.4500000000000002</v>
      </c>
      <c r="L288" s="1011" t="s">
        <v>21</v>
      </c>
      <c r="M288" s="934">
        <f t="shared" si="56"/>
        <v>2.94</v>
      </c>
      <c r="N288" s="700"/>
      <c r="P288" s="871"/>
    </row>
    <row r="289" spans="1:16" s="863" customFormat="1" ht="13.5" customHeight="1">
      <c r="A289" s="921"/>
      <c r="B289" s="919"/>
      <c r="C289" s="919"/>
      <c r="D289" s="826"/>
      <c r="E289" s="1768" t="s">
        <v>11903</v>
      </c>
      <c r="F289" s="1768"/>
      <c r="G289" s="1768"/>
      <c r="H289" s="1010">
        <v>4</v>
      </c>
      <c r="I289" s="933">
        <v>0.15</v>
      </c>
      <c r="J289" s="933">
        <v>0.15</v>
      </c>
      <c r="K289" s="933">
        <f t="shared" si="55"/>
        <v>3</v>
      </c>
      <c r="L289" s="1011" t="s">
        <v>21</v>
      </c>
      <c r="M289" s="934">
        <f t="shared" si="56"/>
        <v>3.5999999999999996</v>
      </c>
      <c r="N289" s="700"/>
      <c r="P289" s="871"/>
    </row>
    <row r="290" spans="1:16" s="863" customFormat="1" ht="13.5" customHeight="1">
      <c r="A290" s="921"/>
      <c r="B290" s="919"/>
      <c r="C290" s="919"/>
      <c r="D290" s="826"/>
      <c r="E290" s="1768" t="s">
        <v>11904</v>
      </c>
      <c r="F290" s="1768"/>
      <c r="G290" s="1768"/>
      <c r="H290" s="1010">
        <v>4</v>
      </c>
      <c r="I290" s="933">
        <v>0.15</v>
      </c>
      <c r="J290" s="933">
        <v>0.15</v>
      </c>
      <c r="K290" s="933">
        <f t="shared" si="55"/>
        <v>2.4</v>
      </c>
      <c r="L290" s="1011" t="s">
        <v>21</v>
      </c>
      <c r="M290" s="934">
        <f t="shared" si="56"/>
        <v>2.88</v>
      </c>
      <c r="N290" s="700"/>
      <c r="P290" s="871"/>
    </row>
    <row r="291" spans="1:16" s="863" customFormat="1" ht="13.5" customHeight="1">
      <c r="A291" s="921"/>
      <c r="B291" s="919"/>
      <c r="C291" s="919"/>
      <c r="D291" s="826"/>
      <c r="E291" s="1768" t="s">
        <v>11905</v>
      </c>
      <c r="F291" s="1768"/>
      <c r="G291" s="1768"/>
      <c r="H291" s="1010">
        <v>4</v>
      </c>
      <c r="I291" s="933">
        <v>0.15</v>
      </c>
      <c r="J291" s="933">
        <v>0.15</v>
      </c>
      <c r="K291" s="933">
        <f t="shared" si="55"/>
        <v>3.2</v>
      </c>
      <c r="L291" s="1011" t="s">
        <v>21</v>
      </c>
      <c r="M291" s="934">
        <f t="shared" si="56"/>
        <v>3.84</v>
      </c>
      <c r="N291" s="700"/>
      <c r="P291" s="871"/>
    </row>
    <row r="292" spans="1:16" s="863" customFormat="1" ht="13.5" customHeight="1">
      <c r="A292" s="921"/>
      <c r="B292" s="919"/>
      <c r="C292" s="919"/>
      <c r="D292" s="826"/>
      <c r="E292" s="1768" t="s">
        <v>11925</v>
      </c>
      <c r="F292" s="1768"/>
      <c r="G292" s="1768"/>
      <c r="H292" s="1010">
        <v>4</v>
      </c>
      <c r="I292" s="933">
        <v>0.15</v>
      </c>
      <c r="J292" s="933">
        <v>0.15</v>
      </c>
      <c r="K292" s="933">
        <f t="shared" si="55"/>
        <v>1.5</v>
      </c>
      <c r="L292" s="1011" t="s">
        <v>21</v>
      </c>
      <c r="M292" s="934">
        <f t="shared" si="56"/>
        <v>1.7999999999999998</v>
      </c>
      <c r="N292" s="700"/>
      <c r="P292" s="871"/>
    </row>
    <row r="293" spans="1:16" s="863" customFormat="1" ht="13.5" customHeight="1">
      <c r="A293" s="921"/>
      <c r="B293" s="919"/>
      <c r="C293" s="919"/>
      <c r="D293" s="826"/>
      <c r="E293" s="1674" t="s">
        <v>11838</v>
      </c>
      <c r="F293" s="1674"/>
      <c r="G293" s="1674"/>
      <c r="H293" s="907">
        <f>E248</f>
        <v>1</v>
      </c>
      <c r="I293" s="1714" t="s">
        <v>11915</v>
      </c>
      <c r="J293" s="1714"/>
      <c r="K293" s="1714"/>
      <c r="L293" s="700" t="s">
        <v>21</v>
      </c>
      <c r="M293" s="876">
        <v>58.33</v>
      </c>
      <c r="N293" s="700"/>
      <c r="P293" s="871"/>
    </row>
    <row r="294" spans="1:16" s="863" customFormat="1" ht="13.5" customHeight="1">
      <c r="A294" s="921"/>
      <c r="B294" s="919"/>
      <c r="C294" s="919"/>
      <c r="D294" s="826"/>
      <c r="E294" s="1674" t="s">
        <v>11916</v>
      </c>
      <c r="F294" s="1674"/>
      <c r="G294" s="1674"/>
      <c r="H294" s="907">
        <f>E249</f>
        <v>1</v>
      </c>
      <c r="I294" s="828">
        <f>F249</f>
        <v>1.65</v>
      </c>
      <c r="J294" s="828">
        <f>G249</f>
        <v>1.55</v>
      </c>
      <c r="K294" s="828">
        <f>K282</f>
        <v>0.15</v>
      </c>
      <c r="L294" s="700" t="s">
        <v>21</v>
      </c>
      <c r="M294" s="877">
        <f>H294*(2*I294+2*J294)*K294</f>
        <v>0.96</v>
      </c>
      <c r="N294" s="700"/>
      <c r="P294" s="871"/>
    </row>
    <row r="295" spans="1:16" s="863" customFormat="1" ht="13.5" customHeight="1">
      <c r="A295" s="921"/>
      <c r="B295" s="919"/>
      <c r="C295" s="919"/>
      <c r="D295" s="826"/>
      <c r="E295" s="1674" t="s">
        <v>11917</v>
      </c>
      <c r="F295" s="1674"/>
      <c r="G295" s="1674"/>
      <c r="H295" s="907">
        <f>H294</f>
        <v>1</v>
      </c>
      <c r="I295" s="828">
        <f>I294</f>
        <v>1.65</v>
      </c>
      <c r="J295" s="828">
        <f>J294</f>
        <v>1.55</v>
      </c>
      <c r="K295" s="828">
        <f>K283</f>
        <v>0.1</v>
      </c>
      <c r="L295" s="700" t="s">
        <v>21</v>
      </c>
      <c r="M295" s="877">
        <f>H295*(2*I295+2*J295)*K295</f>
        <v>0.64000000000000012</v>
      </c>
      <c r="N295" s="700"/>
      <c r="P295" s="871"/>
    </row>
    <row r="296" spans="1:16" s="863" customFormat="1" ht="13.5" customHeight="1">
      <c r="A296" s="921"/>
      <c r="B296" s="919"/>
      <c r="C296" s="919"/>
      <c r="D296" s="826"/>
      <c r="E296" s="1674" t="s">
        <v>11918</v>
      </c>
      <c r="F296" s="1674"/>
      <c r="G296" s="1674"/>
      <c r="H296" s="907">
        <v>4</v>
      </c>
      <c r="I296" s="828">
        <v>0.15</v>
      </c>
      <c r="J296" s="828">
        <v>0.15</v>
      </c>
      <c r="K296" s="828">
        <f>K124</f>
        <v>2.1500000000000004</v>
      </c>
      <c r="L296" s="700" t="s">
        <v>21</v>
      </c>
      <c r="M296" s="877">
        <f>H296*(2*I296+2*J296)*K296</f>
        <v>5.160000000000001</v>
      </c>
      <c r="N296" s="700"/>
      <c r="P296" s="871"/>
    </row>
    <row r="297" spans="1:16" s="863" customFormat="1" ht="13.5" customHeight="1">
      <c r="A297" s="921"/>
      <c r="B297" s="919"/>
      <c r="C297" s="919"/>
      <c r="D297" s="826"/>
      <c r="E297" s="854"/>
      <c r="F297" s="1674" t="s">
        <v>11840</v>
      </c>
      <c r="G297" s="1674"/>
      <c r="H297" s="907">
        <v>1</v>
      </c>
      <c r="I297" s="1714" t="s">
        <v>11915</v>
      </c>
      <c r="J297" s="1714"/>
      <c r="K297" s="1714"/>
      <c r="L297" s="700" t="s">
        <v>21</v>
      </c>
      <c r="M297" s="876">
        <v>129.16</v>
      </c>
      <c r="N297" s="700"/>
      <c r="P297" s="871"/>
    </row>
    <row r="298" spans="1:16" s="863" customFormat="1" ht="13.5" customHeight="1">
      <c r="A298" s="921"/>
      <c r="B298" s="919"/>
      <c r="C298" s="919"/>
      <c r="D298" s="826"/>
      <c r="E298" s="854"/>
      <c r="F298" s="854"/>
      <c r="G298" s="854" t="s">
        <v>11841</v>
      </c>
      <c r="H298" s="907">
        <v>1</v>
      </c>
      <c r="I298" s="1714" t="s">
        <v>11915</v>
      </c>
      <c r="J298" s="1714"/>
      <c r="K298" s="1714"/>
      <c r="L298" s="700" t="s">
        <v>21</v>
      </c>
      <c r="M298" s="876">
        <v>52.5</v>
      </c>
      <c r="N298" s="700"/>
      <c r="P298" s="871"/>
    </row>
    <row r="299" spans="1:16" s="863" customFormat="1" ht="13.5" customHeight="1">
      <c r="A299" s="921"/>
      <c r="B299" s="919"/>
      <c r="C299" s="919"/>
      <c r="D299" s="826"/>
      <c r="E299" s="854"/>
      <c r="F299" s="854"/>
      <c r="G299" s="854" t="s">
        <v>11842</v>
      </c>
      <c r="H299" s="907">
        <v>1</v>
      </c>
      <c r="I299" s="1714" t="s">
        <v>11915</v>
      </c>
      <c r="J299" s="1714"/>
      <c r="K299" s="1714"/>
      <c r="L299" s="700" t="s">
        <v>21</v>
      </c>
      <c r="M299" s="876">
        <v>37.51</v>
      </c>
      <c r="N299" s="700"/>
      <c r="P299" s="871"/>
    </row>
    <row r="300" spans="1:16" s="863" customFormat="1" ht="13.5" customHeight="1">
      <c r="A300" s="921"/>
      <c r="B300" s="919"/>
      <c r="C300" s="919"/>
      <c r="D300" s="826"/>
      <c r="E300" s="854"/>
      <c r="F300" s="854"/>
      <c r="G300" s="854" t="s">
        <v>11843</v>
      </c>
      <c r="H300" s="907">
        <v>1</v>
      </c>
      <c r="I300" s="1714" t="s">
        <v>11915</v>
      </c>
      <c r="J300" s="1714"/>
      <c r="K300" s="1714"/>
      <c r="L300" s="700" t="s">
        <v>21</v>
      </c>
      <c r="M300" s="876">
        <v>31.63</v>
      </c>
      <c r="N300" s="700"/>
      <c r="P300" s="871"/>
    </row>
    <row r="301" spans="1:16" s="863" customFormat="1" ht="13.5" customHeight="1">
      <c r="A301" s="921"/>
      <c r="B301" s="919"/>
      <c r="C301" s="919"/>
      <c r="D301" s="826"/>
      <c r="E301" s="854"/>
      <c r="F301" s="854"/>
      <c r="G301" s="854"/>
      <c r="H301" s="907"/>
      <c r="I301" s="828"/>
      <c r="J301" s="1700" t="s">
        <v>20432</v>
      </c>
      <c r="K301" s="1700"/>
      <c r="L301" s="816" t="s">
        <v>21</v>
      </c>
      <c r="M301" s="951">
        <f>SUM(M284:M292,M296)</f>
        <v>27.96</v>
      </c>
      <c r="N301" s="700"/>
      <c r="P301" s="871"/>
    </row>
    <row r="302" spans="1:16" s="863" customFormat="1" ht="13.5" customHeight="1">
      <c r="A302" s="921"/>
      <c r="B302" s="919"/>
      <c r="C302" s="919"/>
      <c r="D302" s="826"/>
      <c r="E302" s="854"/>
      <c r="F302" s="854"/>
      <c r="G302" s="854"/>
      <c r="H302" s="907"/>
      <c r="I302" s="828"/>
      <c r="J302" s="1700" t="s">
        <v>20433</v>
      </c>
      <c r="K302" s="1700"/>
      <c r="L302" s="816" t="s">
        <v>21</v>
      </c>
      <c r="M302" s="951">
        <f>SUM(M282:M283,M293,M294:M295,M297:M300)</f>
        <v>324.05</v>
      </c>
      <c r="N302" s="700"/>
      <c r="P302" s="871"/>
    </row>
    <row r="303" spans="1:16" s="863" customFormat="1" ht="13.5" customHeight="1">
      <c r="A303" s="921"/>
      <c r="B303" s="919"/>
      <c r="C303" s="919"/>
      <c r="D303" s="826"/>
      <c r="E303" s="854"/>
      <c r="F303" s="854"/>
      <c r="G303" s="854"/>
      <c r="H303" s="907"/>
      <c r="I303" s="828"/>
      <c r="J303" s="952"/>
      <c r="K303" s="952"/>
      <c r="L303" s="816"/>
      <c r="M303" s="951"/>
      <c r="N303" s="700"/>
      <c r="P303" s="871"/>
    </row>
    <row r="304" spans="1:16" s="863" customFormat="1">
      <c r="A304" s="921"/>
      <c r="B304" s="919"/>
      <c r="C304" s="919"/>
      <c r="D304" s="826"/>
      <c r="E304" s="854"/>
      <c r="F304" s="854"/>
      <c r="G304" s="854"/>
      <c r="H304" s="907"/>
      <c r="I304" s="828"/>
      <c r="J304" s="952"/>
      <c r="K304" s="952"/>
      <c r="L304" s="816"/>
      <c r="M304" s="1012"/>
      <c r="N304" s="700"/>
      <c r="P304" s="871"/>
    </row>
    <row r="305" spans="1:16" s="863" customFormat="1" ht="33.75">
      <c r="A305" s="862" t="s">
        <v>20434</v>
      </c>
      <c r="B305" s="835" t="s">
        <v>70</v>
      </c>
      <c r="C305" s="835">
        <v>92418</v>
      </c>
      <c r="D305" s="1013" t="str">
        <f>PROPER(IF(B305="Saneago",VLOOKUP(C305,'SANEAGO-FEV.2016'!A:B,2,0),IF(B305="SINAPI",VLOOKUP(C305,'SINAPI-FEV.2017'!A:D,2,0),IF(B305="Cotação",VLOOKUP(C305,COTAÇÃO!A:D,2,0),IF(B305="Composição",VLOOKUP(C305,COMPOSIÇÃO!A:D,2,0))))))</f>
        <v>Montagem E Desmontagem De Fôrma De Pilares Retangulares E Estruturas Similares Com Área Média Das Seções Menor Ou Igual A 0,25 M², Pé-Direito Simples, Em Chapa De Madeira Compensada Resinada, 4 Utilizações. Af_12/2015</v>
      </c>
      <c r="E305" s="837"/>
      <c r="F305" s="837"/>
      <c r="G305" s="838"/>
      <c r="H305" s="920"/>
      <c r="I305" s="910"/>
      <c r="J305" s="910"/>
      <c r="K305" s="1008" t="s">
        <v>27</v>
      </c>
      <c r="L305" s="856" t="s">
        <v>21</v>
      </c>
      <c r="M305" s="1014">
        <f>M301</f>
        <v>27.96</v>
      </c>
      <c r="N305" s="700"/>
      <c r="P305" s="871"/>
    </row>
    <row r="306" spans="1:16" s="863" customFormat="1">
      <c r="A306" s="862"/>
      <c r="B306" s="835"/>
      <c r="C306" s="835"/>
      <c r="D306" s="826"/>
      <c r="E306" s="790"/>
      <c r="F306" s="790"/>
      <c r="G306" s="828"/>
      <c r="H306" s="907"/>
      <c r="I306" s="952"/>
      <c r="J306" s="952"/>
      <c r="K306" s="952"/>
      <c r="L306" s="816"/>
      <c r="M306" s="1015"/>
      <c r="N306" s="700"/>
      <c r="P306" s="871"/>
    </row>
    <row r="307" spans="1:16" s="863" customFormat="1">
      <c r="A307" s="862"/>
      <c r="B307" s="835"/>
      <c r="C307" s="835"/>
      <c r="D307" s="826"/>
      <c r="E307" s="854"/>
      <c r="F307" s="854"/>
      <c r="G307" s="854"/>
      <c r="H307" s="907"/>
      <c r="I307" s="828"/>
      <c r="J307" s="952"/>
      <c r="K307" s="952"/>
      <c r="L307" s="816"/>
      <c r="M307" s="1012"/>
      <c r="N307" s="700"/>
      <c r="P307" s="871"/>
    </row>
    <row r="308" spans="1:16" s="863" customFormat="1" ht="22.5">
      <c r="A308" s="862" t="s">
        <v>20435</v>
      </c>
      <c r="B308" s="835" t="s">
        <v>70</v>
      </c>
      <c r="C308" s="835">
        <v>92514</v>
      </c>
      <c r="D308" s="836" t="str">
        <f>PROPER(IF(B308="Saneago",VLOOKUP(C308,'SANEAGO-FEV.2016'!A:B,2,0),IF(B308="SINAPI",VLOOKUP(C308,'SINAPI-FEV.2017'!A:D,2,0),IF(B308="Cotação",VLOOKUP(C308,COTAÇÃO!A:D,2,0),IF(B308="Composição",VLOOKUP(C308,COMPOSIÇÃO!A:D,2,0))))))</f>
        <v>Montagem E Desmontagem De Fôrma De Laje Maciça Com Área Média Maior Que 20 M², Pé-Direito Simples, Em Chapa De Madeira Compensada Resinada, 4 Utilizações. Af_12/2015</v>
      </c>
      <c r="E308" s="837"/>
      <c r="F308" s="837"/>
      <c r="G308" s="838"/>
      <c r="H308" s="920"/>
      <c r="I308" s="1678" t="s">
        <v>27</v>
      </c>
      <c r="J308" s="1678"/>
      <c r="K308" s="1678"/>
      <c r="L308" s="856" t="s">
        <v>21</v>
      </c>
      <c r="M308" s="1014">
        <f>M302</f>
        <v>324.05</v>
      </c>
      <c r="N308" s="700"/>
      <c r="P308" s="871"/>
    </row>
    <row r="309" spans="1:16" s="863" customFormat="1" ht="22.5">
      <c r="A309" s="921"/>
      <c r="B309" s="919"/>
      <c r="C309" s="919"/>
      <c r="D309" s="826"/>
      <c r="E309" s="790"/>
      <c r="F309" s="790"/>
      <c r="G309" s="700" t="s">
        <v>30</v>
      </c>
      <c r="H309" s="700" t="s">
        <v>1275</v>
      </c>
      <c r="I309" s="700" t="s">
        <v>17</v>
      </c>
      <c r="J309" s="700" t="s">
        <v>19</v>
      </c>
      <c r="K309" s="700" t="s">
        <v>11876</v>
      </c>
      <c r="L309" s="700" t="s">
        <v>30</v>
      </c>
      <c r="M309" s="876" t="s">
        <v>30</v>
      </c>
      <c r="N309" s="700"/>
      <c r="P309" s="871"/>
    </row>
    <row r="310" spans="1:16" s="863" customFormat="1" ht="27.75" customHeight="1">
      <c r="A310" s="921"/>
      <c r="B310" s="919"/>
      <c r="C310" s="919"/>
      <c r="D310" s="826"/>
      <c r="E310" s="1674" t="s">
        <v>11923</v>
      </c>
      <c r="F310" s="1674"/>
      <c r="G310" s="1674"/>
      <c r="H310" s="907">
        <f t="shared" ref="H310:K320" si="57">H282</f>
        <v>9</v>
      </c>
      <c r="I310" s="828">
        <f t="shared" si="57"/>
        <v>1.48</v>
      </c>
      <c r="J310" s="828">
        <f t="shared" si="57"/>
        <v>1.48</v>
      </c>
      <c r="K310" s="828">
        <f t="shared" si="57"/>
        <v>0.15</v>
      </c>
      <c r="L310" s="700" t="s">
        <v>21</v>
      </c>
      <c r="M310" s="877">
        <f>H310*(I310*J310*K310)</f>
        <v>2.9570399999999997</v>
      </c>
      <c r="N310" s="700">
        <f>SUM(M310:M311)/8*6</f>
        <v>3.6962999999999999</v>
      </c>
      <c r="P310" s="871"/>
    </row>
    <row r="311" spans="1:16" s="863" customFormat="1" ht="24" customHeight="1">
      <c r="A311" s="921"/>
      <c r="B311" s="919"/>
      <c r="C311" s="919"/>
      <c r="D311" s="826"/>
      <c r="E311" s="1674" t="s">
        <v>11924</v>
      </c>
      <c r="F311" s="1674"/>
      <c r="G311" s="1674"/>
      <c r="H311" s="907">
        <f t="shared" si="57"/>
        <v>9</v>
      </c>
      <c r="I311" s="828">
        <f t="shared" si="57"/>
        <v>1.48</v>
      </c>
      <c r="J311" s="828">
        <f t="shared" si="57"/>
        <v>1.48</v>
      </c>
      <c r="K311" s="828">
        <f t="shared" si="57"/>
        <v>0.1</v>
      </c>
      <c r="L311" s="700" t="s">
        <v>21</v>
      </c>
      <c r="M311" s="877">
        <f>H311*(I311*J311*K311)</f>
        <v>1.9713600000000002</v>
      </c>
      <c r="N311" s="700"/>
      <c r="P311" s="871"/>
    </row>
    <row r="312" spans="1:16" s="863" customFormat="1">
      <c r="A312" s="921"/>
      <c r="B312" s="919"/>
      <c r="C312" s="919"/>
      <c r="D312" s="826"/>
      <c r="E312" s="1674" t="s">
        <v>11890</v>
      </c>
      <c r="F312" s="1674"/>
      <c r="G312" s="1674"/>
      <c r="H312" s="907">
        <f t="shared" si="57"/>
        <v>4</v>
      </c>
      <c r="I312" s="828">
        <f t="shared" si="57"/>
        <v>0.15</v>
      </c>
      <c r="J312" s="828">
        <f t="shared" si="57"/>
        <v>0.15</v>
      </c>
      <c r="K312" s="828">
        <f t="shared" si="57"/>
        <v>1.85</v>
      </c>
      <c r="L312" s="700" t="s">
        <v>21</v>
      </c>
      <c r="M312" s="877">
        <f>H312*(I312*J312*K312)</f>
        <v>0.16650000000000001</v>
      </c>
      <c r="N312" s="828">
        <f>SUM(M312:M317)</f>
        <v>1.0710000000000002</v>
      </c>
      <c r="P312" s="871"/>
    </row>
    <row r="313" spans="1:16" s="863" customFormat="1">
      <c r="A313" s="921"/>
      <c r="B313" s="919"/>
      <c r="C313" s="919"/>
      <c r="D313" s="826"/>
      <c r="E313" s="1674" t="s">
        <v>11891</v>
      </c>
      <c r="F313" s="1674"/>
      <c r="G313" s="1674"/>
      <c r="H313" s="907">
        <f t="shared" si="57"/>
        <v>4</v>
      </c>
      <c r="I313" s="828">
        <f t="shared" si="57"/>
        <v>0.15</v>
      </c>
      <c r="J313" s="828">
        <f t="shared" si="57"/>
        <v>0.15</v>
      </c>
      <c r="K313" s="828">
        <f t="shared" si="57"/>
        <v>1.2</v>
      </c>
      <c r="L313" s="700" t="s">
        <v>21</v>
      </c>
      <c r="M313" s="877">
        <f t="shared" ref="M313:M319" si="58">H313*(I313*J313*K313)</f>
        <v>0.108</v>
      </c>
      <c r="N313" s="700"/>
      <c r="P313" s="871"/>
    </row>
    <row r="314" spans="1:16" s="863" customFormat="1">
      <c r="A314" s="921"/>
      <c r="B314" s="919"/>
      <c r="C314" s="919"/>
      <c r="D314" s="826"/>
      <c r="E314" s="1674" t="s">
        <v>11892</v>
      </c>
      <c r="F314" s="1674"/>
      <c r="G314" s="1674"/>
      <c r="H314" s="907">
        <f t="shared" si="57"/>
        <v>4</v>
      </c>
      <c r="I314" s="828">
        <f t="shared" si="57"/>
        <v>0.15</v>
      </c>
      <c r="J314" s="828">
        <f t="shared" si="57"/>
        <v>0.15</v>
      </c>
      <c r="K314" s="828">
        <f t="shared" si="57"/>
        <v>1.6</v>
      </c>
      <c r="L314" s="700" t="s">
        <v>21</v>
      </c>
      <c r="M314" s="877">
        <f t="shared" si="58"/>
        <v>0.14399999999999999</v>
      </c>
      <c r="N314" s="828">
        <f>SUM(N312,N310)</f>
        <v>4.7673000000000005</v>
      </c>
      <c r="P314" s="871"/>
    </row>
    <row r="315" spans="1:16" s="863" customFormat="1">
      <c r="A315" s="921"/>
      <c r="B315" s="919"/>
      <c r="C315" s="919"/>
      <c r="D315" s="826"/>
      <c r="E315" s="1674" t="s">
        <v>11893</v>
      </c>
      <c r="F315" s="1674"/>
      <c r="G315" s="1674"/>
      <c r="H315" s="907">
        <f t="shared" si="57"/>
        <v>4</v>
      </c>
      <c r="I315" s="828">
        <f t="shared" si="57"/>
        <v>0.15</v>
      </c>
      <c r="J315" s="828">
        <f t="shared" si="57"/>
        <v>0.15</v>
      </c>
      <c r="K315" s="828">
        <f t="shared" si="57"/>
        <v>1.8</v>
      </c>
      <c r="L315" s="700" t="s">
        <v>21</v>
      </c>
      <c r="M315" s="877">
        <f t="shared" si="58"/>
        <v>0.16200000000000001</v>
      </c>
      <c r="N315" s="700"/>
      <c r="P315" s="871"/>
    </row>
    <row r="316" spans="1:16" s="863" customFormat="1">
      <c r="A316" s="921"/>
      <c r="B316" s="919"/>
      <c r="C316" s="919"/>
      <c r="D316" s="826"/>
      <c r="E316" s="1674" t="s">
        <v>11894</v>
      </c>
      <c r="F316" s="1674"/>
      <c r="G316" s="1674"/>
      <c r="H316" s="907">
        <f t="shared" si="57"/>
        <v>4</v>
      </c>
      <c r="I316" s="828">
        <f t="shared" si="57"/>
        <v>0.15</v>
      </c>
      <c r="J316" s="828">
        <f t="shared" si="57"/>
        <v>0.15</v>
      </c>
      <c r="K316" s="828">
        <f t="shared" si="57"/>
        <v>2.4500000000000002</v>
      </c>
      <c r="L316" s="700" t="s">
        <v>21</v>
      </c>
      <c r="M316" s="877">
        <f t="shared" si="58"/>
        <v>0.2205</v>
      </c>
      <c r="N316" s="700"/>
      <c r="P316" s="871"/>
    </row>
    <row r="317" spans="1:16" s="863" customFormat="1">
      <c r="A317" s="921"/>
      <c r="B317" s="919"/>
      <c r="C317" s="919"/>
      <c r="D317" s="826"/>
      <c r="E317" s="1674" t="s">
        <v>11895</v>
      </c>
      <c r="F317" s="1674"/>
      <c r="G317" s="1674"/>
      <c r="H317" s="907">
        <f t="shared" si="57"/>
        <v>4</v>
      </c>
      <c r="I317" s="828">
        <f t="shared" si="57"/>
        <v>0.15</v>
      </c>
      <c r="J317" s="828">
        <f t="shared" si="57"/>
        <v>0.15</v>
      </c>
      <c r="K317" s="828">
        <f t="shared" si="57"/>
        <v>3</v>
      </c>
      <c r="L317" s="700" t="s">
        <v>21</v>
      </c>
      <c r="M317" s="877">
        <f t="shared" si="58"/>
        <v>0.27</v>
      </c>
      <c r="N317" s="700"/>
      <c r="P317" s="871"/>
    </row>
    <row r="318" spans="1:16" s="863" customFormat="1">
      <c r="A318" s="921"/>
      <c r="B318" s="919"/>
      <c r="C318" s="919"/>
      <c r="D318" s="826"/>
      <c r="E318" s="1674" t="s">
        <v>11896</v>
      </c>
      <c r="F318" s="1674"/>
      <c r="G318" s="1674"/>
      <c r="H318" s="907">
        <f t="shared" si="57"/>
        <v>4</v>
      </c>
      <c r="I318" s="828">
        <f t="shared" si="57"/>
        <v>0.15</v>
      </c>
      <c r="J318" s="828">
        <f t="shared" si="57"/>
        <v>0.15</v>
      </c>
      <c r="K318" s="828">
        <f t="shared" si="57"/>
        <v>2.4</v>
      </c>
      <c r="L318" s="700" t="s">
        <v>21</v>
      </c>
      <c r="M318" s="877">
        <f t="shared" si="58"/>
        <v>0.216</v>
      </c>
      <c r="N318" s="700"/>
      <c r="P318" s="871"/>
    </row>
    <row r="319" spans="1:16" s="863" customFormat="1">
      <c r="A319" s="921"/>
      <c r="B319" s="919"/>
      <c r="C319" s="919"/>
      <c r="D319" s="826"/>
      <c r="E319" s="1674" t="s">
        <v>11897</v>
      </c>
      <c r="F319" s="1674"/>
      <c r="G319" s="1674"/>
      <c r="H319" s="907">
        <f t="shared" si="57"/>
        <v>4</v>
      </c>
      <c r="I319" s="828">
        <f t="shared" si="57"/>
        <v>0.15</v>
      </c>
      <c r="J319" s="828">
        <f t="shared" si="57"/>
        <v>0.15</v>
      </c>
      <c r="K319" s="828">
        <f t="shared" si="57"/>
        <v>3.2</v>
      </c>
      <c r="L319" s="700" t="s">
        <v>21</v>
      </c>
      <c r="M319" s="877">
        <f t="shared" si="58"/>
        <v>0.28799999999999998</v>
      </c>
      <c r="N319" s="700"/>
      <c r="P319" s="871"/>
    </row>
    <row r="320" spans="1:16" s="863" customFormat="1">
      <c r="A320" s="921"/>
      <c r="B320" s="919"/>
      <c r="C320" s="919"/>
      <c r="D320" s="826"/>
      <c r="E320" s="1674" t="s">
        <v>11926</v>
      </c>
      <c r="F320" s="1674"/>
      <c r="G320" s="1674"/>
      <c r="H320" s="907">
        <f t="shared" si="57"/>
        <v>4</v>
      </c>
      <c r="I320" s="828">
        <f t="shared" si="57"/>
        <v>0.15</v>
      </c>
      <c r="J320" s="828">
        <f t="shared" si="57"/>
        <v>0.15</v>
      </c>
      <c r="K320" s="828">
        <f t="shared" si="57"/>
        <v>1.5</v>
      </c>
      <c r="L320" s="700" t="s">
        <v>21</v>
      </c>
      <c r="M320" s="877">
        <f>H320*(I320*J320*K320)</f>
        <v>0.13500000000000001</v>
      </c>
      <c r="N320" s="700"/>
      <c r="P320" s="871"/>
    </row>
    <row r="321" spans="1:16" s="863" customFormat="1">
      <c r="A321" s="921"/>
      <c r="B321" s="919"/>
      <c r="C321" s="919"/>
      <c r="D321" s="826"/>
      <c r="E321" s="1674" t="s">
        <v>11838</v>
      </c>
      <c r="F321" s="1674"/>
      <c r="G321" s="1674"/>
      <c r="H321" s="907">
        <v>1</v>
      </c>
      <c r="I321" s="1714" t="s">
        <v>11915</v>
      </c>
      <c r="J321" s="1714"/>
      <c r="K321" s="1714"/>
      <c r="L321" s="700" t="s">
        <v>21</v>
      </c>
      <c r="M321" s="876">
        <v>5.88</v>
      </c>
      <c r="N321" s="700"/>
      <c r="P321" s="871"/>
    </row>
    <row r="322" spans="1:16" s="863" customFormat="1">
      <c r="A322" s="921"/>
      <c r="B322" s="919"/>
      <c r="C322" s="919"/>
      <c r="D322" s="826"/>
      <c r="E322" s="1674" t="s">
        <v>11916</v>
      </c>
      <c r="F322" s="1674"/>
      <c r="G322" s="1674"/>
      <c r="H322" s="907">
        <f t="shared" ref="H322:K324" si="59">H294</f>
        <v>1</v>
      </c>
      <c r="I322" s="828">
        <f t="shared" si="59"/>
        <v>1.65</v>
      </c>
      <c r="J322" s="828">
        <f t="shared" si="59"/>
        <v>1.55</v>
      </c>
      <c r="K322" s="828">
        <f t="shared" si="59"/>
        <v>0.15</v>
      </c>
      <c r="L322" s="700" t="s">
        <v>21</v>
      </c>
      <c r="M322" s="877">
        <f>H322*(I322*J322*K322)</f>
        <v>0.38362499999999999</v>
      </c>
      <c r="N322" s="700"/>
      <c r="P322" s="871"/>
    </row>
    <row r="323" spans="1:16" s="863" customFormat="1">
      <c r="A323" s="921"/>
      <c r="B323" s="919"/>
      <c r="C323" s="919"/>
      <c r="D323" s="826"/>
      <c r="E323" s="1674" t="s">
        <v>11917</v>
      </c>
      <c r="F323" s="1674"/>
      <c r="G323" s="1674"/>
      <c r="H323" s="907">
        <f t="shared" si="59"/>
        <v>1</v>
      </c>
      <c r="I323" s="828">
        <f t="shared" si="59"/>
        <v>1.65</v>
      </c>
      <c r="J323" s="828">
        <f t="shared" si="59"/>
        <v>1.55</v>
      </c>
      <c r="K323" s="828">
        <f t="shared" si="59"/>
        <v>0.1</v>
      </c>
      <c r="L323" s="700" t="s">
        <v>21</v>
      </c>
      <c r="M323" s="877">
        <f>H323*(I323*J323*K323)</f>
        <v>0.25575000000000003</v>
      </c>
      <c r="N323" s="700"/>
      <c r="P323" s="871"/>
    </row>
    <row r="324" spans="1:16" s="863" customFormat="1">
      <c r="A324" s="921"/>
      <c r="B324" s="919"/>
      <c r="C324" s="919"/>
      <c r="D324" s="826"/>
      <c r="E324" s="1674" t="s">
        <v>11918</v>
      </c>
      <c r="F324" s="1674"/>
      <c r="G324" s="1674"/>
      <c r="H324" s="907">
        <f t="shared" si="59"/>
        <v>4</v>
      </c>
      <c r="I324" s="828">
        <f t="shared" si="59"/>
        <v>0.15</v>
      </c>
      <c r="J324" s="828">
        <f t="shared" si="59"/>
        <v>0.15</v>
      </c>
      <c r="K324" s="828">
        <f t="shared" si="59"/>
        <v>2.1500000000000004</v>
      </c>
      <c r="L324" s="700" t="s">
        <v>21</v>
      </c>
      <c r="M324" s="877">
        <f>H324*(I324*J324*K324)</f>
        <v>0.19350000000000003</v>
      </c>
      <c r="N324" s="700"/>
      <c r="P324" s="871"/>
    </row>
    <row r="325" spans="1:16" s="863" customFormat="1">
      <c r="A325" s="921"/>
      <c r="B325" s="919"/>
      <c r="C325" s="919"/>
      <c r="D325" s="826"/>
      <c r="E325" s="854"/>
      <c r="F325" s="1674" t="s">
        <v>11840</v>
      </c>
      <c r="G325" s="1674"/>
      <c r="H325" s="907">
        <v>1</v>
      </c>
      <c r="I325" s="1714" t="s">
        <v>11915</v>
      </c>
      <c r="J325" s="1714"/>
      <c r="K325" s="1714"/>
      <c r="L325" s="700" t="s">
        <v>21</v>
      </c>
      <c r="M325" s="876">
        <v>12.36</v>
      </c>
      <c r="N325" s="700"/>
      <c r="P325" s="871"/>
    </row>
    <row r="326" spans="1:16" s="863" customFormat="1">
      <c r="A326" s="921"/>
      <c r="B326" s="919"/>
      <c r="C326" s="919"/>
      <c r="D326" s="826"/>
      <c r="E326" s="854"/>
      <c r="F326" s="854"/>
      <c r="G326" s="854" t="s">
        <v>11841</v>
      </c>
      <c r="H326" s="907">
        <v>1</v>
      </c>
      <c r="I326" s="1714" t="s">
        <v>11915</v>
      </c>
      <c r="J326" s="1714"/>
      <c r="K326" s="1714"/>
      <c r="L326" s="700" t="s">
        <v>21</v>
      </c>
      <c r="M326" s="876">
        <v>6.6</v>
      </c>
      <c r="N326" s="700"/>
      <c r="P326" s="871"/>
    </row>
    <row r="327" spans="1:16" s="863" customFormat="1">
      <c r="A327" s="921"/>
      <c r="B327" s="919"/>
      <c r="C327" s="919"/>
      <c r="D327" s="826"/>
      <c r="E327" s="854"/>
      <c r="F327" s="854"/>
      <c r="G327" s="854" t="s">
        <v>11842</v>
      </c>
      <c r="H327" s="907">
        <v>1</v>
      </c>
      <c r="I327" s="1714" t="s">
        <v>11915</v>
      </c>
      <c r="J327" s="1714"/>
      <c r="K327" s="1714"/>
      <c r="L327" s="700" t="s">
        <v>21</v>
      </c>
      <c r="M327" s="876">
        <v>4.74</v>
      </c>
      <c r="N327" s="700"/>
      <c r="P327" s="871"/>
    </row>
    <row r="328" spans="1:16" s="863" customFormat="1">
      <c r="A328" s="921"/>
      <c r="B328" s="919"/>
      <c r="C328" s="919"/>
      <c r="D328" s="826"/>
      <c r="E328" s="854"/>
      <c r="F328" s="854"/>
      <c r="G328" s="854" t="s">
        <v>11843</v>
      </c>
      <c r="H328" s="907">
        <v>1</v>
      </c>
      <c r="I328" s="1714" t="s">
        <v>11915</v>
      </c>
      <c r="J328" s="1714"/>
      <c r="K328" s="1714"/>
      <c r="L328" s="700" t="s">
        <v>21</v>
      </c>
      <c r="M328" s="876">
        <v>2.76</v>
      </c>
      <c r="N328" s="700"/>
      <c r="P328" s="871"/>
    </row>
    <row r="329" spans="1:16" s="863" customFormat="1" ht="15.75" customHeight="1">
      <c r="A329" s="921"/>
      <c r="B329" s="919"/>
      <c r="C329" s="919"/>
      <c r="D329" s="826"/>
      <c r="E329" s="790"/>
      <c r="F329" s="790"/>
      <c r="G329" s="1016"/>
      <c r="H329" s="907"/>
      <c r="I329" s="700"/>
      <c r="J329" s="700"/>
      <c r="K329" s="700"/>
      <c r="L329" s="700"/>
      <c r="M329" s="1017"/>
      <c r="N329" s="700"/>
      <c r="P329" s="871"/>
    </row>
    <row r="330" spans="1:16" s="863" customFormat="1" ht="24.75" customHeight="1">
      <c r="A330" s="862" t="s">
        <v>11950</v>
      </c>
      <c r="B330" s="835" t="s">
        <v>10852</v>
      </c>
      <c r="C330" s="835">
        <v>316</v>
      </c>
      <c r="D330" s="836" t="str">
        <f>PROPER(IF(B330="Saneago",VLOOKUP(C330,'SANEAGO-FEV.2016'!A:B,2,0),IF(B330="SINAPI",VLOOKUP(C330,'SINAPI-FEV.2017'!A:D,2,0),IF(B330="Cotação",VLOOKUP(C330,COTAÇÃO!A:D,2,0),IF(B330="Composição",VLOOKUP(C330,COMPOSIÇÃO!A:D,2,0))))))</f>
        <v>Concreto  Estrutural Usinado Bombeado  Fck=40 Mpa, Com Adição De 8 À 10% De Microssílica (Incluindo  Lançamento, Aplicação  E Adensamento)</v>
      </c>
      <c r="E330" s="837"/>
      <c r="F330" s="837"/>
      <c r="G330" s="838"/>
      <c r="H330" s="838"/>
      <c r="I330" s="838"/>
      <c r="J330" s="1008"/>
      <c r="K330" s="1008" t="s">
        <v>27</v>
      </c>
      <c r="L330" s="856" t="s">
        <v>21</v>
      </c>
      <c r="M330" s="1014">
        <f>SUM(M310:M328)</f>
        <v>39.811275000000002</v>
      </c>
      <c r="N330" s="700"/>
      <c r="P330" s="871"/>
    </row>
    <row r="331" spans="1:16" s="863" customFormat="1" ht="28.5" customHeight="1">
      <c r="A331" s="921"/>
      <c r="B331" s="919"/>
      <c r="C331" s="919"/>
      <c r="D331" s="826"/>
      <c r="E331" s="790"/>
      <c r="F331" s="790"/>
      <c r="G331" s="700" t="s">
        <v>30</v>
      </c>
      <c r="H331" s="700" t="s">
        <v>1275</v>
      </c>
      <c r="I331" s="700" t="s">
        <v>17</v>
      </c>
      <c r="J331" s="700" t="s">
        <v>19</v>
      </c>
      <c r="K331" s="700" t="s">
        <v>11876</v>
      </c>
      <c r="L331" s="700" t="s">
        <v>30</v>
      </c>
      <c r="M331" s="876" t="s">
        <v>30</v>
      </c>
      <c r="N331" s="700"/>
      <c r="P331" s="871"/>
    </row>
    <row r="332" spans="1:16" s="863" customFormat="1">
      <c r="A332" s="921"/>
      <c r="B332" s="919"/>
      <c r="C332" s="919"/>
      <c r="D332" s="826"/>
      <c r="E332" s="1674" t="s">
        <v>11906</v>
      </c>
      <c r="F332" s="1674"/>
      <c r="G332" s="1674"/>
      <c r="H332" s="907">
        <f t="shared" ref="H332:K340" si="60">H114</f>
        <v>1</v>
      </c>
      <c r="I332" s="828">
        <f t="shared" si="60"/>
        <v>1.48</v>
      </c>
      <c r="J332" s="828">
        <f t="shared" si="60"/>
        <v>1.48</v>
      </c>
      <c r="K332" s="828">
        <f t="shared" si="60"/>
        <v>2</v>
      </c>
      <c r="L332" s="700" t="s">
        <v>21</v>
      </c>
      <c r="M332" s="877">
        <f t="shared" ref="M332:M340" si="61">H332*((I332*2+J332*2)*0.14*K332*H$347)</f>
        <v>1.16032</v>
      </c>
      <c r="N332" s="828"/>
      <c r="P332" s="871"/>
    </row>
    <row r="333" spans="1:16" s="863" customFormat="1" ht="12.75" customHeight="1">
      <c r="A333" s="921"/>
      <c r="B333" s="919"/>
      <c r="C333" s="919"/>
      <c r="D333" s="826"/>
      <c r="E333" s="1674" t="s">
        <v>11907</v>
      </c>
      <c r="F333" s="1674"/>
      <c r="G333" s="1674"/>
      <c r="H333" s="907">
        <f t="shared" si="60"/>
        <v>1</v>
      </c>
      <c r="I333" s="828">
        <f t="shared" si="60"/>
        <v>1.48</v>
      </c>
      <c r="J333" s="828">
        <f t="shared" si="60"/>
        <v>1.48</v>
      </c>
      <c r="K333" s="828">
        <f t="shared" si="60"/>
        <v>1.3499999999999999</v>
      </c>
      <c r="L333" s="700" t="s">
        <v>21</v>
      </c>
      <c r="M333" s="877">
        <f t="shared" si="61"/>
        <v>0.78321600000000002</v>
      </c>
      <c r="N333" s="700"/>
      <c r="P333" s="871"/>
    </row>
    <row r="334" spans="1:16" s="863" customFormat="1" ht="12.75" customHeight="1">
      <c r="A334" s="921"/>
      <c r="B334" s="919"/>
      <c r="C334" s="919"/>
      <c r="D334" s="826"/>
      <c r="E334" s="1674" t="s">
        <v>11908</v>
      </c>
      <c r="F334" s="1674"/>
      <c r="G334" s="1674"/>
      <c r="H334" s="907">
        <f t="shared" si="60"/>
        <v>1</v>
      </c>
      <c r="I334" s="828">
        <f t="shared" si="60"/>
        <v>1.48</v>
      </c>
      <c r="J334" s="828">
        <f t="shared" si="60"/>
        <v>1.48</v>
      </c>
      <c r="K334" s="828">
        <f t="shared" si="60"/>
        <v>1.75</v>
      </c>
      <c r="L334" s="700" t="s">
        <v>21</v>
      </c>
      <c r="M334" s="877">
        <f t="shared" si="61"/>
        <v>1.01528</v>
      </c>
      <c r="N334" s="828"/>
      <c r="P334" s="871"/>
    </row>
    <row r="335" spans="1:16" s="863" customFormat="1" ht="12.75" customHeight="1">
      <c r="A335" s="921"/>
      <c r="B335" s="919"/>
      <c r="C335" s="919"/>
      <c r="D335" s="826"/>
      <c r="E335" s="1674" t="s">
        <v>11909</v>
      </c>
      <c r="F335" s="1674"/>
      <c r="G335" s="1674"/>
      <c r="H335" s="907">
        <f t="shared" si="60"/>
        <v>1</v>
      </c>
      <c r="I335" s="828">
        <f t="shared" si="60"/>
        <v>1.48</v>
      </c>
      <c r="J335" s="828">
        <f t="shared" si="60"/>
        <v>1.48</v>
      </c>
      <c r="K335" s="828">
        <f t="shared" si="60"/>
        <v>1.95</v>
      </c>
      <c r="L335" s="700" t="s">
        <v>21</v>
      </c>
      <c r="M335" s="877">
        <f t="shared" si="61"/>
        <v>1.1313119999999999</v>
      </c>
      <c r="N335" s="700"/>
      <c r="P335" s="871"/>
    </row>
    <row r="336" spans="1:16" s="863" customFormat="1" ht="12.75" customHeight="1">
      <c r="A336" s="921"/>
      <c r="B336" s="919"/>
      <c r="C336" s="919"/>
      <c r="D336" s="826"/>
      <c r="E336" s="1674" t="s">
        <v>11910</v>
      </c>
      <c r="F336" s="1674"/>
      <c r="G336" s="1674"/>
      <c r="H336" s="907">
        <f t="shared" si="60"/>
        <v>1</v>
      </c>
      <c r="I336" s="828">
        <f t="shared" si="60"/>
        <v>1.48</v>
      </c>
      <c r="J336" s="828">
        <f t="shared" si="60"/>
        <v>1.48</v>
      </c>
      <c r="K336" s="828">
        <f t="shared" si="60"/>
        <v>2.6</v>
      </c>
      <c r="L336" s="700" t="s">
        <v>21</v>
      </c>
      <c r="M336" s="877">
        <f t="shared" si="61"/>
        <v>1.5084160000000002</v>
      </c>
      <c r="N336" s="700"/>
      <c r="P336" s="871"/>
    </row>
    <row r="337" spans="1:16" s="863" customFormat="1" ht="12.75" customHeight="1">
      <c r="A337" s="921"/>
      <c r="B337" s="919"/>
      <c r="C337" s="919"/>
      <c r="D337" s="826"/>
      <c r="E337" s="1674" t="s">
        <v>11911</v>
      </c>
      <c r="F337" s="1674"/>
      <c r="G337" s="1674"/>
      <c r="H337" s="907">
        <f t="shared" si="60"/>
        <v>1</v>
      </c>
      <c r="I337" s="828">
        <f t="shared" si="60"/>
        <v>1.48</v>
      </c>
      <c r="J337" s="828">
        <f t="shared" si="60"/>
        <v>1.48</v>
      </c>
      <c r="K337" s="828">
        <f t="shared" si="60"/>
        <v>3.15</v>
      </c>
      <c r="L337" s="700" t="s">
        <v>21</v>
      </c>
      <c r="M337" s="877">
        <f t="shared" si="61"/>
        <v>1.827504</v>
      </c>
      <c r="N337" s="700"/>
      <c r="P337" s="871"/>
    </row>
    <row r="338" spans="1:16" s="863" customFormat="1" ht="12.75" customHeight="1">
      <c r="A338" s="921"/>
      <c r="B338" s="919"/>
      <c r="C338" s="919"/>
      <c r="D338" s="826"/>
      <c r="E338" s="1674" t="s">
        <v>11912</v>
      </c>
      <c r="F338" s="1674"/>
      <c r="G338" s="1674"/>
      <c r="H338" s="907">
        <f t="shared" si="60"/>
        <v>1</v>
      </c>
      <c r="I338" s="828">
        <f t="shared" si="60"/>
        <v>1.48</v>
      </c>
      <c r="J338" s="828">
        <f t="shared" si="60"/>
        <v>1.48</v>
      </c>
      <c r="K338" s="828">
        <f t="shared" si="60"/>
        <v>2.5499999999999998</v>
      </c>
      <c r="L338" s="700" t="s">
        <v>21</v>
      </c>
      <c r="M338" s="877">
        <f t="shared" si="61"/>
        <v>1.4794080000000001</v>
      </c>
      <c r="N338" s="700"/>
      <c r="P338" s="871"/>
    </row>
    <row r="339" spans="1:16" s="863" customFormat="1" ht="12.75" customHeight="1">
      <c r="A339" s="921"/>
      <c r="B339" s="919"/>
      <c r="C339" s="919"/>
      <c r="D339" s="826"/>
      <c r="E339" s="1674" t="s">
        <v>11913</v>
      </c>
      <c r="F339" s="1674"/>
      <c r="G339" s="1674"/>
      <c r="H339" s="907">
        <f t="shared" si="60"/>
        <v>1</v>
      </c>
      <c r="I339" s="828">
        <f t="shared" si="60"/>
        <v>1.48</v>
      </c>
      <c r="J339" s="828">
        <f t="shared" si="60"/>
        <v>1.48</v>
      </c>
      <c r="K339" s="828">
        <f t="shared" si="60"/>
        <v>3.35</v>
      </c>
      <c r="L339" s="700" t="s">
        <v>21</v>
      </c>
      <c r="M339" s="877">
        <f t="shared" si="61"/>
        <v>1.9435360000000002</v>
      </c>
      <c r="N339" s="700"/>
      <c r="P339" s="871"/>
    </row>
    <row r="340" spans="1:16" s="863" customFormat="1" ht="12.75" customHeight="1">
      <c r="A340" s="921"/>
      <c r="B340" s="919"/>
      <c r="C340" s="919"/>
      <c r="D340" s="826"/>
      <c r="E340" s="1674" t="s">
        <v>11927</v>
      </c>
      <c r="F340" s="1674"/>
      <c r="G340" s="1674"/>
      <c r="H340" s="907">
        <f t="shared" si="60"/>
        <v>1</v>
      </c>
      <c r="I340" s="828">
        <f t="shared" si="60"/>
        <v>1.48</v>
      </c>
      <c r="J340" s="828">
        <f t="shared" si="60"/>
        <v>1.48</v>
      </c>
      <c r="K340" s="828">
        <f t="shared" si="60"/>
        <v>1.65</v>
      </c>
      <c r="L340" s="700" t="s">
        <v>21</v>
      </c>
      <c r="M340" s="877">
        <f t="shared" si="61"/>
        <v>0.957264</v>
      </c>
      <c r="N340" s="700"/>
      <c r="P340" s="871"/>
    </row>
    <row r="341" spans="1:16" s="863" customFormat="1">
      <c r="A341" s="921"/>
      <c r="B341" s="919"/>
      <c r="C341" s="919"/>
      <c r="D341" s="826"/>
      <c r="E341" s="1674" t="s">
        <v>11838</v>
      </c>
      <c r="F341" s="1674"/>
      <c r="G341" s="1674"/>
      <c r="H341" s="907">
        <v>1</v>
      </c>
      <c r="I341" s="1714" t="s">
        <v>30</v>
      </c>
      <c r="J341" s="1714"/>
      <c r="K341" s="1714"/>
      <c r="L341" s="700" t="s">
        <v>21</v>
      </c>
      <c r="M341" s="876">
        <v>0</v>
      </c>
      <c r="N341" s="700"/>
      <c r="P341" s="871"/>
    </row>
    <row r="342" spans="1:16" s="863" customFormat="1" ht="12.75" customHeight="1">
      <c r="A342" s="921"/>
      <c r="B342" s="919"/>
      <c r="C342" s="919"/>
      <c r="D342" s="826"/>
      <c r="E342" s="1674" t="s">
        <v>11839</v>
      </c>
      <c r="F342" s="1674"/>
      <c r="G342" s="1674"/>
      <c r="H342" s="907">
        <f>H124</f>
        <v>1</v>
      </c>
      <c r="I342" s="828">
        <f>I124</f>
        <v>1.65</v>
      </c>
      <c r="J342" s="828">
        <f>J124</f>
        <v>1.55</v>
      </c>
      <c r="K342" s="828">
        <f>K124</f>
        <v>2.1500000000000004</v>
      </c>
      <c r="L342" s="700" t="s">
        <v>21</v>
      </c>
      <c r="M342" s="877">
        <f>H342*((I342*2+J342*2)*0.14*K342*H$347)</f>
        <v>1.3484800000000003</v>
      </c>
      <c r="N342" s="700"/>
      <c r="P342" s="871"/>
    </row>
    <row r="343" spans="1:16" s="863" customFormat="1">
      <c r="A343" s="921"/>
      <c r="B343" s="919"/>
      <c r="C343" s="919"/>
      <c r="D343" s="826"/>
      <c r="E343" s="854"/>
      <c r="F343" s="1674" t="s">
        <v>11840</v>
      </c>
      <c r="G343" s="1674"/>
      <c r="H343" s="907">
        <v>1</v>
      </c>
      <c r="I343" s="1714" t="s">
        <v>30</v>
      </c>
      <c r="J343" s="1714"/>
      <c r="K343" s="1714"/>
      <c r="L343" s="700" t="s">
        <v>21</v>
      </c>
      <c r="M343" s="876">
        <v>0</v>
      </c>
      <c r="N343" s="700"/>
      <c r="P343" s="871"/>
    </row>
    <row r="344" spans="1:16" s="863" customFormat="1">
      <c r="A344" s="921"/>
      <c r="B344" s="919"/>
      <c r="C344" s="919"/>
      <c r="D344" s="826"/>
      <c r="E344" s="854"/>
      <c r="F344" s="854"/>
      <c r="G344" s="854" t="s">
        <v>11841</v>
      </c>
      <c r="H344" s="907">
        <v>1</v>
      </c>
      <c r="I344" s="1714" t="s">
        <v>30</v>
      </c>
      <c r="J344" s="1714"/>
      <c r="K344" s="1714"/>
      <c r="L344" s="700" t="s">
        <v>21</v>
      </c>
      <c r="M344" s="876">
        <v>0</v>
      </c>
      <c r="N344" s="700"/>
      <c r="P344" s="871"/>
    </row>
    <row r="345" spans="1:16" s="863" customFormat="1">
      <c r="A345" s="921"/>
      <c r="B345" s="919"/>
      <c r="C345" s="919"/>
      <c r="D345" s="826"/>
      <c r="E345" s="854"/>
      <c r="F345" s="854"/>
      <c r="G345" s="854" t="s">
        <v>11842</v>
      </c>
      <c r="H345" s="907">
        <v>1</v>
      </c>
      <c r="I345" s="1714" t="s">
        <v>30</v>
      </c>
      <c r="J345" s="1714"/>
      <c r="K345" s="1714"/>
      <c r="L345" s="700" t="s">
        <v>21</v>
      </c>
      <c r="M345" s="876">
        <v>0</v>
      </c>
      <c r="N345" s="700"/>
      <c r="P345" s="871"/>
    </row>
    <row r="346" spans="1:16" s="863" customFormat="1">
      <c r="A346" s="921"/>
      <c r="B346" s="919"/>
      <c r="C346" s="919"/>
      <c r="D346" s="826"/>
      <c r="E346" s="854"/>
      <c r="F346" s="854"/>
      <c r="G346" s="854" t="s">
        <v>11843</v>
      </c>
      <c r="H346" s="907">
        <v>1</v>
      </c>
      <c r="I346" s="1714" t="s">
        <v>30</v>
      </c>
      <c r="J346" s="1714"/>
      <c r="K346" s="1714"/>
      <c r="L346" s="700" t="s">
        <v>21</v>
      </c>
      <c r="M346" s="876">
        <v>0</v>
      </c>
      <c r="N346" s="700"/>
      <c r="P346" s="871"/>
    </row>
    <row r="347" spans="1:16" s="863" customFormat="1" ht="21.75" customHeight="1">
      <c r="A347" s="921"/>
      <c r="B347" s="919"/>
      <c r="C347" s="919"/>
      <c r="D347" s="826"/>
      <c r="E347" s="1767" t="s">
        <v>11914</v>
      </c>
      <c r="F347" s="1767"/>
      <c r="G347" s="1767"/>
      <c r="H347" s="964">
        <v>0.7</v>
      </c>
      <c r="I347" s="828"/>
      <c r="J347" s="828"/>
      <c r="K347" s="700"/>
      <c r="L347" s="700"/>
      <c r="M347" s="876"/>
      <c r="N347" s="700"/>
      <c r="P347" s="871"/>
    </row>
    <row r="348" spans="1:16" s="863" customFormat="1" ht="15.75" customHeight="1">
      <c r="A348" s="921"/>
      <c r="B348" s="919"/>
      <c r="C348" s="919"/>
      <c r="D348" s="826"/>
      <c r="E348" s="790"/>
      <c r="F348" s="790"/>
      <c r="G348" s="1016"/>
      <c r="H348" s="700"/>
      <c r="I348" s="700"/>
      <c r="J348" s="700"/>
      <c r="K348" s="700"/>
      <c r="L348" s="700"/>
      <c r="M348" s="1017"/>
      <c r="N348" s="700"/>
      <c r="P348" s="871"/>
    </row>
    <row r="349" spans="1:16" s="863" customFormat="1" ht="22.5">
      <c r="A349" s="862" t="s">
        <v>20436</v>
      </c>
      <c r="B349" s="855" t="s">
        <v>70</v>
      </c>
      <c r="C349" s="1018">
        <v>34493</v>
      </c>
      <c r="D349" s="836" t="str">
        <f>PROPER(IF(B349="Saneago",VLOOKUP(C349,'SANEAGO-FEV.2016'!A:B,2,0),IF(B349="SINAPI",VLOOKUP(C349,'SINAPI-FEV.2017'!A:D,2,0),IF(B349="Cotação",VLOOKUP(C349,COTAÇÃO!A:D,2,0),IF(B349="Composição",VLOOKUP(C349,COMPOSIÇÃO!A:D,2,0))))))</f>
        <v>Concreto Usinado Bombeavel, Classe De Resistencia C25, Com Brita 0 E 1, Slump = 100 +/- 20 Mm, Exclui Servico De Bombeamento (Nbr 8953)</v>
      </c>
      <c r="E349" s="837"/>
      <c r="F349" s="837"/>
      <c r="G349" s="838"/>
      <c r="H349" s="838"/>
      <c r="I349" s="838"/>
      <c r="J349" s="1008"/>
      <c r="K349" s="1008" t="s">
        <v>27</v>
      </c>
      <c r="L349" s="856" t="s">
        <v>21</v>
      </c>
      <c r="M349" s="1014">
        <f>SUM(M332:M346)</f>
        <v>13.154736000000002</v>
      </c>
      <c r="N349" s="700"/>
      <c r="P349" s="871"/>
    </row>
    <row r="350" spans="1:16" s="863" customFormat="1" ht="15.75" customHeight="1">
      <c r="A350" s="921"/>
      <c r="B350" s="919"/>
      <c r="C350" s="919"/>
      <c r="D350" s="826"/>
      <c r="E350" s="790"/>
      <c r="F350" s="790"/>
      <c r="G350" s="1016"/>
      <c r="H350" s="700"/>
      <c r="I350" s="700"/>
      <c r="J350" s="700"/>
      <c r="K350" s="700"/>
      <c r="L350" s="700"/>
      <c r="M350" s="1017"/>
      <c r="N350" s="700"/>
      <c r="P350" s="871"/>
    </row>
    <row r="351" spans="1:16" s="863" customFormat="1" ht="22.5">
      <c r="A351" s="862" t="s">
        <v>20437</v>
      </c>
      <c r="B351" s="855" t="s">
        <v>70</v>
      </c>
      <c r="C351" s="855">
        <v>92874</v>
      </c>
      <c r="D351" s="836" t="str">
        <f>PROPER(IF(B351="Saneago",VLOOKUP(C351,'SANEAGO-FEV.2016'!A:B,2,0),IF(B351="SINAPI",VLOOKUP(C351,'SINAPI-FEV.2017'!A:D,2,0),IF(B351="Cotação",VLOOKUP(C351,COTAÇÃO!A:D,2,0),IF(B351="Composição",VLOOKUP(C351,COMPOSIÇÃO!A:D,2,0))))))</f>
        <v>Lançamento Com Uso De Bomba, Adensamento E Acabamento De Concreto Em Estruturas. Af_12/2015</v>
      </c>
      <c r="E351" s="837"/>
      <c r="F351" s="837"/>
      <c r="G351" s="838"/>
      <c r="H351" s="838"/>
      <c r="I351" s="838"/>
      <c r="J351" s="1008"/>
      <c r="K351" s="1008" t="s">
        <v>27</v>
      </c>
      <c r="L351" s="856" t="s">
        <v>21</v>
      </c>
      <c r="M351" s="1014">
        <f>M349</f>
        <v>13.154736000000002</v>
      </c>
      <c r="N351" s="700"/>
      <c r="P351" s="871"/>
    </row>
    <row r="352" spans="1:16" s="863" customFormat="1" ht="24" customHeight="1">
      <c r="A352" s="921"/>
      <c r="B352" s="919"/>
      <c r="C352" s="919"/>
      <c r="D352" s="826"/>
      <c r="E352" s="854"/>
      <c r="F352" s="700" t="s">
        <v>20351</v>
      </c>
      <c r="G352" s="700" t="s">
        <v>20352</v>
      </c>
      <c r="H352" s="700" t="s">
        <v>20353</v>
      </c>
      <c r="I352" s="700" t="s">
        <v>20354</v>
      </c>
      <c r="J352" s="700" t="s">
        <v>20355</v>
      </c>
      <c r="K352" s="926"/>
      <c r="L352" s="1714"/>
      <c r="M352" s="1019"/>
      <c r="N352" s="700"/>
      <c r="P352" s="871"/>
    </row>
    <row r="353" spans="1:16" s="863" customFormat="1" ht="24" customHeight="1">
      <c r="A353" s="921"/>
      <c r="B353" s="919"/>
      <c r="C353" s="919"/>
      <c r="D353" s="888" t="s">
        <v>20438</v>
      </c>
      <c r="E353" s="700" t="s">
        <v>33</v>
      </c>
      <c r="F353" s="776"/>
      <c r="G353" s="776">
        <v>1747.8</v>
      </c>
      <c r="H353" s="776">
        <v>912.2</v>
      </c>
      <c r="I353" s="776"/>
      <c r="J353" s="700"/>
      <c r="K353" s="926"/>
      <c r="L353" s="1714"/>
      <c r="M353" s="1019"/>
      <c r="N353" s="700"/>
      <c r="P353" s="871"/>
    </row>
    <row r="354" spans="1:16" s="863" customFormat="1" ht="12.75" customHeight="1">
      <c r="A354" s="921"/>
      <c r="B354" s="919"/>
      <c r="C354" s="919"/>
      <c r="D354" s="888" t="s">
        <v>20439</v>
      </c>
      <c r="E354" s="700" t="s">
        <v>33</v>
      </c>
      <c r="F354" s="700"/>
      <c r="G354" s="700">
        <v>227.27</v>
      </c>
      <c r="H354" s="700">
        <v>139.84</v>
      </c>
      <c r="I354" s="828">
        <v>61.54</v>
      </c>
      <c r="J354" s="828"/>
      <c r="K354" s="926"/>
      <c r="L354" s="1714"/>
      <c r="M354" s="1019"/>
      <c r="N354" s="700"/>
      <c r="P354" s="871"/>
    </row>
    <row r="355" spans="1:16" s="863" customFormat="1">
      <c r="A355" s="921"/>
      <c r="B355" s="919"/>
      <c r="C355" s="919"/>
      <c r="D355" s="888" t="s">
        <v>11840</v>
      </c>
      <c r="E355" s="700" t="s">
        <v>33</v>
      </c>
      <c r="F355" s="700">
        <v>35.130000000000003</v>
      </c>
      <c r="G355" s="700">
        <v>31.95</v>
      </c>
      <c r="H355" s="828">
        <v>351.63</v>
      </c>
      <c r="I355" s="828">
        <v>865.63</v>
      </c>
      <c r="J355" s="828">
        <v>209.75</v>
      </c>
      <c r="K355" s="926"/>
      <c r="L355" s="1714"/>
      <c r="M355" s="1019"/>
      <c r="N355" s="700"/>
      <c r="P355" s="871"/>
    </row>
    <row r="356" spans="1:16" s="863" customFormat="1">
      <c r="A356" s="921"/>
      <c r="B356" s="919"/>
      <c r="C356" s="919"/>
      <c r="D356" s="888" t="s">
        <v>20440</v>
      </c>
      <c r="E356" s="700" t="s">
        <v>33</v>
      </c>
      <c r="F356" s="700"/>
      <c r="G356" s="700">
        <v>43.96</v>
      </c>
      <c r="H356" s="828">
        <v>294.98</v>
      </c>
      <c r="I356" s="828">
        <v>331.65</v>
      </c>
      <c r="J356" s="828"/>
      <c r="K356" s="926"/>
      <c r="L356" s="1714"/>
      <c r="M356" s="1019"/>
      <c r="N356" s="700"/>
      <c r="P356" s="871"/>
    </row>
    <row r="357" spans="1:16" s="863" customFormat="1">
      <c r="A357" s="921"/>
      <c r="B357" s="919"/>
      <c r="C357" s="919"/>
      <c r="D357" s="888" t="s">
        <v>20441</v>
      </c>
      <c r="E357" s="700" t="s">
        <v>33</v>
      </c>
      <c r="F357" s="700"/>
      <c r="G357" s="700">
        <v>264.3</v>
      </c>
      <c r="H357" s="828">
        <v>12.17</v>
      </c>
      <c r="I357" s="828">
        <v>118.32</v>
      </c>
      <c r="J357" s="828"/>
      <c r="K357" s="926"/>
      <c r="L357" s="1714"/>
      <c r="M357" s="1019"/>
      <c r="N357" s="700"/>
      <c r="P357" s="871"/>
    </row>
    <row r="358" spans="1:16" s="863" customFormat="1">
      <c r="A358" s="921"/>
      <c r="B358" s="919"/>
      <c r="C358" s="919"/>
      <c r="D358" s="888" t="s">
        <v>20442</v>
      </c>
      <c r="E358" s="700" t="s">
        <v>33</v>
      </c>
      <c r="F358" s="700"/>
      <c r="G358" s="700">
        <v>193.17</v>
      </c>
      <c r="H358" s="828">
        <v>12.17</v>
      </c>
      <c r="I358" s="828">
        <v>104.32</v>
      </c>
      <c r="J358" s="828"/>
      <c r="K358" s="926"/>
      <c r="L358" s="1714"/>
      <c r="M358" s="1019"/>
      <c r="N358" s="700"/>
      <c r="P358" s="871"/>
    </row>
    <row r="359" spans="1:16" s="863" customFormat="1">
      <c r="A359" s="921"/>
      <c r="B359" s="919"/>
      <c r="C359" s="919"/>
      <c r="D359" s="929" t="s">
        <v>1269</v>
      </c>
      <c r="E359" s="816" t="s">
        <v>33</v>
      </c>
      <c r="F359" s="816">
        <f>SUM(F353:F358)</f>
        <v>35.130000000000003</v>
      </c>
      <c r="G359" s="816">
        <f>SUM(G353:G358)</f>
        <v>2508.4500000000003</v>
      </c>
      <c r="H359" s="816">
        <f>SUM(H353:H358)</f>
        <v>1722.9900000000002</v>
      </c>
      <c r="I359" s="816">
        <f>SUM(I353:I358)</f>
        <v>1481.4599999999998</v>
      </c>
      <c r="J359" s="816">
        <f>SUM(J353:J358)</f>
        <v>209.75</v>
      </c>
      <c r="K359" s="926"/>
      <c r="L359" s="1714"/>
      <c r="M359" s="1019"/>
      <c r="N359" s="700"/>
      <c r="P359" s="871"/>
    </row>
    <row r="360" spans="1:16" s="863" customFormat="1">
      <c r="A360" s="921"/>
      <c r="B360" s="919"/>
      <c r="C360" s="919"/>
      <c r="D360" s="826"/>
      <c r="E360" s="824"/>
      <c r="F360" s="824"/>
      <c r="G360" s="824"/>
      <c r="H360" s="926"/>
      <c r="I360" s="926"/>
      <c r="J360" s="926"/>
      <c r="K360" s="926"/>
      <c r="L360" s="1714"/>
      <c r="M360" s="1019"/>
      <c r="N360" s="700"/>
      <c r="P360" s="871"/>
    </row>
    <row r="361" spans="1:16" s="863" customFormat="1" ht="13.5" customHeight="1">
      <c r="A361" s="921"/>
      <c r="B361" s="919"/>
      <c r="C361" s="919"/>
      <c r="D361" s="826"/>
      <c r="E361" s="790"/>
      <c r="F361" s="790"/>
      <c r="G361" s="828"/>
      <c r="H361" s="828"/>
      <c r="I361" s="828"/>
      <c r="J361" s="828"/>
      <c r="K361" s="828"/>
      <c r="L361" s="1714"/>
      <c r="M361" s="1019"/>
      <c r="N361" s="700"/>
      <c r="P361" s="871"/>
    </row>
    <row r="362" spans="1:16" s="863" customFormat="1" ht="33.75">
      <c r="A362" s="912" t="s">
        <v>20443</v>
      </c>
      <c r="B362" s="835" t="s">
        <v>70</v>
      </c>
      <c r="C362" s="835">
        <v>92915</v>
      </c>
      <c r="D362" s="836" t="str">
        <f>PROPER(IF(B362="Saneago",VLOOKUP(C362,'SANEAGO-FEV.2016'!A:B,2,0),IF(B362="SINAPI",VLOOKUP(C362,'SINAPI-FEV.2017'!A:D,2,0),IF(B362="Cotação",VLOOKUP(C362,COTAÇÃO!A:D,2,0),IF(B362="Composição",VLOOKUP(C362,COMPOSIÇÃO!A:D,2,0))))))</f>
        <v>Armação De Estruturas De Concreto Armado, Exceto Vigas, Pilares, Lajes E Fundações Profundas (De Edifícios De Múltiplos Pavimentos, Edificação Térrea Ou Sobrado), Utilizando Aço Ca-60 De 5.0 Mm - Montagem. Af_12/2015</v>
      </c>
      <c r="E362" s="837"/>
      <c r="F362" s="837"/>
      <c r="G362" s="838"/>
      <c r="H362" s="838"/>
      <c r="I362" s="838"/>
      <c r="J362" s="913"/>
      <c r="K362" s="1008" t="s">
        <v>27</v>
      </c>
      <c r="L362" s="856" t="s">
        <v>33</v>
      </c>
      <c r="M362" s="1014">
        <f>F359</f>
        <v>35.130000000000003</v>
      </c>
      <c r="N362" s="914"/>
      <c r="P362" s="871"/>
    </row>
    <row r="363" spans="1:16" s="863" customFormat="1">
      <c r="A363" s="912"/>
      <c r="B363" s="835"/>
      <c r="C363" s="835"/>
      <c r="D363" s="826"/>
      <c r="E363" s="790"/>
      <c r="F363" s="790"/>
      <c r="G363" s="828"/>
      <c r="H363" s="828"/>
      <c r="I363" s="828"/>
      <c r="J363" s="828"/>
      <c r="K363" s="828"/>
      <c r="L363" s="700"/>
      <c r="M363" s="829"/>
      <c r="N363" s="700"/>
      <c r="P363" s="871"/>
    </row>
    <row r="364" spans="1:16" s="863" customFormat="1" ht="33.75">
      <c r="A364" s="912" t="s">
        <v>20444</v>
      </c>
      <c r="B364" s="835" t="s">
        <v>70</v>
      </c>
      <c r="C364" s="835">
        <v>92916</v>
      </c>
      <c r="D364" s="836" t="str">
        <f>PROPER(IF(B364="Saneago",VLOOKUP(C364,'SANEAGO-FEV.2016'!A:B,2,0),IF(B364="SINAPI",VLOOKUP(C364,'SINAPI-FEV.2017'!A:D,2,0),IF(B364="Cotação",VLOOKUP(C364,COTAÇÃO!A:D,2,0),IF(B364="Composição",VLOOKUP(C364,COMPOSIÇÃO!A:D,2,0))))))</f>
        <v>Armação De Estruturas De Concreto Armado, Exceto Vigas, Pilares, Lajes E Fundações Profundas (De Edifícios De Múltiplos Pavimentos, Edificação Térrea Ou Sobrado), Utilizando Aço Ca-50 De 6.3 Mm - Montagem. Af_12/2015</v>
      </c>
      <c r="E364" s="837"/>
      <c r="F364" s="837"/>
      <c r="G364" s="838"/>
      <c r="H364" s="838"/>
      <c r="I364" s="838"/>
      <c r="J364" s="913"/>
      <c r="K364" s="1008" t="s">
        <v>27</v>
      </c>
      <c r="L364" s="856" t="s">
        <v>33</v>
      </c>
      <c r="M364" s="1014">
        <f>G359</f>
        <v>2508.4500000000003</v>
      </c>
      <c r="N364" s="914"/>
      <c r="P364" s="871"/>
    </row>
    <row r="365" spans="1:16" s="863" customFormat="1">
      <c r="A365" s="912"/>
      <c r="B365" s="835"/>
      <c r="C365" s="835"/>
      <c r="D365" s="826"/>
      <c r="E365" s="790"/>
      <c r="F365" s="790"/>
      <c r="G365" s="828"/>
      <c r="H365" s="828"/>
      <c r="I365" s="828"/>
      <c r="J365" s="828"/>
      <c r="K365" s="828"/>
      <c r="L365" s="700"/>
      <c r="M365" s="829"/>
      <c r="N365" s="700"/>
      <c r="P365" s="871"/>
    </row>
    <row r="366" spans="1:16" s="863" customFormat="1" ht="33.75">
      <c r="A366" s="912" t="s">
        <v>20445</v>
      </c>
      <c r="B366" s="835" t="s">
        <v>70</v>
      </c>
      <c r="C366" s="835">
        <v>92917</v>
      </c>
      <c r="D366" s="836" t="str">
        <f>PROPER(IF(B366="Saneago",VLOOKUP(C366,'SANEAGO-FEV.2016'!A:B,2,0),IF(B366="SINAPI",VLOOKUP(C366,'SINAPI-FEV.2017'!A:D,2,0),IF(B366="Cotação",VLOOKUP(C366,COTAÇÃO!A:D,2,0),IF(B366="Composição",VLOOKUP(C366,COMPOSIÇÃO!A:D,2,0))))))</f>
        <v>Armação De Estruturas De Concreto Armado, Exceto Vigas, Pilares, Lajes E Fundações Profundas (De Edifícios De Múltiplos Pavimentos, Edificação Térrea Ou Sobrado), Utilizando Aço Ca-50 De 8.0 Mm - Montagem. Af_12/2015</v>
      </c>
      <c r="E366" s="837"/>
      <c r="F366" s="837"/>
      <c r="G366" s="838"/>
      <c r="H366" s="838"/>
      <c r="I366" s="838"/>
      <c r="J366" s="913"/>
      <c r="K366" s="1008" t="s">
        <v>27</v>
      </c>
      <c r="L366" s="856" t="s">
        <v>33</v>
      </c>
      <c r="M366" s="1014">
        <f>H359</f>
        <v>1722.9900000000002</v>
      </c>
      <c r="N366" s="914"/>
      <c r="P366" s="871"/>
    </row>
    <row r="367" spans="1:16" s="863" customFormat="1">
      <c r="A367" s="912"/>
      <c r="B367" s="835"/>
      <c r="C367" s="835"/>
      <c r="D367" s="826"/>
      <c r="E367" s="790"/>
      <c r="F367" s="790"/>
      <c r="G367" s="828"/>
      <c r="H367" s="828"/>
      <c r="I367" s="828"/>
      <c r="J367" s="828"/>
      <c r="K367" s="828"/>
      <c r="L367" s="700"/>
      <c r="M367" s="829"/>
      <c r="N367" s="700"/>
      <c r="P367" s="871"/>
    </row>
    <row r="368" spans="1:16" s="863" customFormat="1" ht="33.75">
      <c r="A368" s="912" t="s">
        <v>20446</v>
      </c>
      <c r="B368" s="835" t="s">
        <v>70</v>
      </c>
      <c r="C368" s="835">
        <v>92919</v>
      </c>
      <c r="D368" s="836" t="str">
        <f>PROPER(IF(B368="Saneago",VLOOKUP(C368,'SANEAGO-FEV.2016'!A:B,2,0),IF(B368="SINAPI",VLOOKUP(C368,'SINAPI-FEV.2017'!A:D,2,0),IF(B368="Cotação",VLOOKUP(C368,COTAÇÃO!A:D,2,0),IF(B368="Composição",VLOOKUP(C368,COMPOSIÇÃO!A:D,2,0))))))</f>
        <v>Armação De Estruturas De Concreto Armado, Exceto Vigas, Pilares, Lajes E Fundações Profundas (De Edifícios De Múltiplos Pavimentos, Edificação Térrea Ou Sobrado), Utilizando Aço Ca-50 De 10.0 Mm - Montagem. Af_12/2015</v>
      </c>
      <c r="E368" s="837"/>
      <c r="F368" s="837"/>
      <c r="G368" s="838"/>
      <c r="H368" s="838"/>
      <c r="I368" s="838"/>
      <c r="J368" s="913"/>
      <c r="K368" s="1008" t="s">
        <v>27</v>
      </c>
      <c r="L368" s="856" t="s">
        <v>33</v>
      </c>
      <c r="M368" s="1014">
        <f>I359</f>
        <v>1481.4599999999998</v>
      </c>
      <c r="N368" s="914"/>
      <c r="P368" s="871"/>
    </row>
    <row r="369" spans="1:18" s="863" customFormat="1">
      <c r="A369" s="912"/>
      <c r="B369" s="835"/>
      <c r="C369" s="835"/>
      <c r="D369" s="826"/>
      <c r="E369" s="790"/>
      <c r="F369" s="790"/>
      <c r="G369" s="828"/>
      <c r="H369" s="828"/>
      <c r="I369" s="828"/>
      <c r="J369" s="828"/>
      <c r="K369" s="828"/>
      <c r="L369" s="700"/>
      <c r="M369" s="829"/>
      <c r="N369" s="700"/>
      <c r="P369" s="871"/>
    </row>
    <row r="370" spans="1:18" s="863" customFormat="1" ht="33.75">
      <c r="A370" s="912" t="s">
        <v>20447</v>
      </c>
      <c r="B370" s="835" t="s">
        <v>70</v>
      </c>
      <c r="C370" s="835">
        <v>92921</v>
      </c>
      <c r="D370" s="836" t="str">
        <f>PROPER(IF(B370="Saneago",VLOOKUP(C370,'SANEAGO-FEV.2016'!A:B,2,0),IF(B370="SINAPI",VLOOKUP(C370,'SINAPI-FEV.2017'!A:D,2,0),IF(B370="Cotação",VLOOKUP(C370,COTAÇÃO!A:D,2,0),IF(B370="Composição",VLOOKUP(C370,COMPOSIÇÃO!A:D,2,0))))))</f>
        <v>Armação De Estruturas De Concreto Armado, Exceto Vigas, Pilares, Lajes E Fundações Profundas (De Edifícios De Múltiplos Pavimentos, Edificação Térrea Ou Sobrado), Utilizando Aço Ca-50 De 12.5 Mm - Montagem. Af_12/2015</v>
      </c>
      <c r="E370" s="837"/>
      <c r="F370" s="837"/>
      <c r="G370" s="838"/>
      <c r="H370" s="838"/>
      <c r="I370" s="838"/>
      <c r="J370" s="913"/>
      <c r="K370" s="1008" t="s">
        <v>27</v>
      </c>
      <c r="L370" s="856" t="s">
        <v>33</v>
      </c>
      <c r="M370" s="1014">
        <f>J359</f>
        <v>209.75</v>
      </c>
      <c r="N370" s="914"/>
      <c r="P370" s="871"/>
    </row>
    <row r="371" spans="1:18" s="863" customFormat="1" ht="13.5" customHeight="1">
      <c r="A371" s="921"/>
      <c r="B371" s="919"/>
      <c r="C371" s="919"/>
      <c r="D371" s="826"/>
      <c r="E371" s="790"/>
      <c r="F371" s="790"/>
      <c r="G371" s="700" t="s">
        <v>30</v>
      </c>
      <c r="H371" s="700" t="s">
        <v>30</v>
      </c>
      <c r="I371" s="700" t="s">
        <v>30</v>
      </c>
      <c r="J371" s="700" t="s">
        <v>30</v>
      </c>
      <c r="K371" s="700" t="s">
        <v>30</v>
      </c>
      <c r="L371" s="700"/>
      <c r="M371" s="827"/>
      <c r="N371" s="700"/>
      <c r="P371" s="871"/>
    </row>
    <row r="372" spans="1:18" s="863" customFormat="1" ht="13.5" customHeight="1">
      <c r="A372" s="921" t="s">
        <v>11865</v>
      </c>
      <c r="B372" s="835" t="s">
        <v>70</v>
      </c>
      <c r="C372" s="835" t="s">
        <v>19257</v>
      </c>
      <c r="D372" s="836" t="str">
        <f>PROPER(IF(B372="Saneago",VLOOKUP(C372,'SANEAGO-FEV.2016'!A:B,2,0),IF(B372="SINAPI",VLOOKUP(C372,'SINAPI-FEV.2017'!A:D,2,0),IF(B372="Cotação",VLOOKUP(C372,COTAÇÃO!A:D,2,0),IF(B372="Composição",VLOOKUP(C372,COMPOSIÇÃO!A:D,2,0))))))</f>
        <v>Ensaio De Consistencia Do Concreto Ccr - Indice Vebe</v>
      </c>
      <c r="E372" s="837"/>
      <c r="F372" s="837"/>
      <c r="G372" s="838"/>
      <c r="H372" s="838"/>
      <c r="I372" s="838"/>
      <c r="J372" s="838"/>
      <c r="K372" s="838"/>
      <c r="L372" s="852" t="s">
        <v>26</v>
      </c>
      <c r="M372" s="853">
        <v>14</v>
      </c>
      <c r="N372" s="700"/>
      <c r="P372" s="871"/>
    </row>
    <row r="373" spans="1:18" s="863" customFormat="1" ht="9.75" customHeight="1" thickBot="1">
      <c r="A373" s="921"/>
      <c r="B373" s="919"/>
      <c r="C373" s="919"/>
      <c r="D373" s="826"/>
      <c r="E373" s="790"/>
      <c r="F373" s="790"/>
      <c r="G373" s="700"/>
      <c r="H373" s="700"/>
      <c r="I373" s="700"/>
      <c r="J373" s="700"/>
      <c r="K373" s="700"/>
      <c r="L373" s="700"/>
      <c r="M373" s="827"/>
      <c r="N373" s="700"/>
      <c r="P373" s="871"/>
    </row>
    <row r="374" spans="1:18" s="863" customFormat="1" ht="14.25" thickTop="1" thickBot="1">
      <c r="A374" s="921"/>
      <c r="B374" s="919"/>
      <c r="C374" s="919"/>
      <c r="D374" s="830" t="s">
        <v>1231</v>
      </c>
      <c r="E374" s="831"/>
      <c r="F374" s="831"/>
      <c r="G374" s="831"/>
      <c r="H374" s="831"/>
      <c r="I374" s="831"/>
      <c r="J374" s="831"/>
      <c r="K374" s="831"/>
      <c r="L374" s="832"/>
      <c r="M374" s="833"/>
      <c r="N374" s="870"/>
      <c r="O374" s="871"/>
      <c r="P374" s="871"/>
    </row>
    <row r="375" spans="1:18" s="865" customFormat="1" ht="13.5" thickTop="1">
      <c r="A375" s="921"/>
      <c r="B375" s="919"/>
      <c r="C375" s="1003"/>
      <c r="D375" s="826"/>
      <c r="E375" s="790"/>
      <c r="F375" s="790"/>
      <c r="G375" s="828"/>
      <c r="H375" s="828"/>
      <c r="I375" s="828" t="s">
        <v>30</v>
      </c>
      <c r="J375" s="828" t="s">
        <v>1275</v>
      </c>
      <c r="K375" s="828" t="s">
        <v>32</v>
      </c>
      <c r="L375" s="828" t="s">
        <v>30</v>
      </c>
      <c r="M375" s="877" t="s">
        <v>30</v>
      </c>
      <c r="N375" s="700"/>
      <c r="O375" s="863"/>
      <c r="P375" s="871"/>
      <c r="Q375" s="863"/>
      <c r="R375" s="863"/>
    </row>
    <row r="376" spans="1:18" s="865" customFormat="1" ht="12.75" customHeight="1">
      <c r="A376" s="921"/>
      <c r="B376" s="919"/>
      <c r="C376" s="1003"/>
      <c r="D376" s="826"/>
      <c r="E376" s="1674" t="s">
        <v>11919</v>
      </c>
      <c r="F376" s="1674"/>
      <c r="G376" s="1674"/>
      <c r="H376" s="828"/>
      <c r="I376" s="828"/>
      <c r="J376" s="828">
        <v>1</v>
      </c>
      <c r="K376" s="828">
        <f>5*0.3</f>
        <v>1.5</v>
      </c>
      <c r="L376" s="828" t="s">
        <v>18</v>
      </c>
      <c r="M376" s="877">
        <f>J376*K376</f>
        <v>1.5</v>
      </c>
      <c r="N376" s="700"/>
      <c r="O376" s="863"/>
      <c r="P376" s="871"/>
      <c r="Q376" s="863"/>
      <c r="R376" s="863"/>
    </row>
    <row r="377" spans="1:18" s="865" customFormat="1" ht="22.5">
      <c r="A377" s="921" t="s">
        <v>11866</v>
      </c>
      <c r="B377" s="855" t="s">
        <v>70</v>
      </c>
      <c r="C377" s="1020">
        <v>73665</v>
      </c>
      <c r="D377" s="836" t="str">
        <f>PROPER(IF(B377="Saneago",VLOOKUP(C377,'SANEAGO-FEV.2016'!A:B,2,0),IF(B377="SINAPI",VLOOKUP(C377,'SINAPI-FEV.2017'!A:D,2,0),IF(B377="Cotação",VLOOKUP(C377,COTAÇÃO!A:D,2,0),IF(B377="Composição",VLOOKUP(C377,COMPOSIÇÃO!A:D,2,0))))))</f>
        <v>Escada Tipo Marinheiro Em Aco Ca-50 9,52Mm Incluso Pintura Com Fundo Anticorrosivo Tipo Zarcao</v>
      </c>
      <c r="E377" s="837"/>
      <c r="F377" s="837"/>
      <c r="G377" s="852"/>
      <c r="H377" s="852"/>
      <c r="I377" s="851"/>
      <c r="J377" s="851"/>
      <c r="K377" s="1008" t="s">
        <v>27</v>
      </c>
      <c r="L377" s="856" t="s">
        <v>18</v>
      </c>
      <c r="M377" s="840">
        <f>M376</f>
        <v>1.5</v>
      </c>
      <c r="N377" s="700"/>
      <c r="O377" s="863"/>
      <c r="P377" s="871"/>
      <c r="Q377" s="863"/>
      <c r="R377" s="863"/>
    </row>
    <row r="378" spans="1:18" s="863" customFormat="1">
      <c r="A378" s="921"/>
      <c r="B378" s="919"/>
      <c r="C378" s="919"/>
      <c r="D378" s="881"/>
      <c r="E378" s="882"/>
      <c r="F378" s="882"/>
      <c r="G378" s="828" t="s">
        <v>30</v>
      </c>
      <c r="H378" s="828" t="s">
        <v>30</v>
      </c>
      <c r="I378" s="828" t="s">
        <v>30</v>
      </c>
      <c r="J378" s="828" t="s">
        <v>1275</v>
      </c>
      <c r="K378" s="828" t="s">
        <v>43</v>
      </c>
      <c r="L378" s="828" t="s">
        <v>30</v>
      </c>
      <c r="M378" s="877" t="s">
        <v>30</v>
      </c>
      <c r="N378" s="700"/>
      <c r="P378" s="871"/>
    </row>
    <row r="379" spans="1:18" s="863" customFormat="1">
      <c r="A379" s="921"/>
      <c r="B379" s="919"/>
      <c r="C379" s="919"/>
      <c r="D379" s="826"/>
      <c r="E379" s="1674" t="s">
        <v>11840</v>
      </c>
      <c r="F379" s="1674"/>
      <c r="G379" s="1674"/>
      <c r="H379" s="828"/>
      <c r="I379" s="828"/>
      <c r="J379" s="828">
        <v>1</v>
      </c>
      <c r="K379" s="828">
        <f>8.95+2</f>
        <v>10.95</v>
      </c>
      <c r="L379" s="828" t="s">
        <v>18</v>
      </c>
      <c r="M379" s="877">
        <f>J379*K379</f>
        <v>10.95</v>
      </c>
      <c r="N379" s="700"/>
      <c r="P379" s="871"/>
    </row>
    <row r="380" spans="1:18" s="863" customFormat="1">
      <c r="A380" s="921"/>
      <c r="B380" s="919"/>
      <c r="C380" s="919"/>
      <c r="D380" s="826"/>
      <c r="E380" s="1674" t="s">
        <v>11841</v>
      </c>
      <c r="F380" s="1674"/>
      <c r="G380" s="1674"/>
      <c r="H380" s="828"/>
      <c r="I380" s="828"/>
      <c r="J380" s="828">
        <v>1</v>
      </c>
      <c r="K380" s="828">
        <v>9.6</v>
      </c>
      <c r="L380" s="828" t="s">
        <v>18</v>
      </c>
      <c r="M380" s="877">
        <f>J380*K380</f>
        <v>9.6</v>
      </c>
      <c r="N380" s="700"/>
      <c r="P380" s="871"/>
    </row>
    <row r="381" spans="1:18" s="863" customFormat="1">
      <c r="A381" s="921"/>
      <c r="B381" s="919"/>
      <c r="C381" s="919"/>
      <c r="D381" s="826"/>
      <c r="E381" s="1674" t="s">
        <v>11842</v>
      </c>
      <c r="F381" s="1674"/>
      <c r="G381" s="1674"/>
      <c r="H381" s="828"/>
      <c r="I381" s="828"/>
      <c r="J381" s="828">
        <v>1</v>
      </c>
      <c r="K381" s="828">
        <v>9.1999999999999993</v>
      </c>
      <c r="L381" s="828" t="s">
        <v>18</v>
      </c>
      <c r="M381" s="877">
        <f>J381*K381</f>
        <v>9.1999999999999993</v>
      </c>
      <c r="N381" s="700"/>
      <c r="P381" s="871"/>
    </row>
    <row r="382" spans="1:18" s="863" customFormat="1">
      <c r="A382" s="921"/>
      <c r="B382" s="919"/>
      <c r="C382" s="919"/>
      <c r="D382" s="826"/>
      <c r="E382" s="1674"/>
      <c r="F382" s="1674"/>
      <c r="G382" s="1674"/>
      <c r="H382" s="828"/>
      <c r="I382" s="828"/>
      <c r="J382" s="828"/>
      <c r="K382" s="828"/>
      <c r="L382" s="828"/>
      <c r="M382" s="877"/>
      <c r="N382" s="700"/>
      <c r="P382" s="871"/>
    </row>
    <row r="383" spans="1:18" s="863" customFormat="1" ht="33.75">
      <c r="A383" s="921" t="s">
        <v>11867</v>
      </c>
      <c r="B383" s="919" t="s">
        <v>10852</v>
      </c>
      <c r="C383" s="919">
        <v>862</v>
      </c>
      <c r="D383" s="836" t="str">
        <f>PROPER(IF(B383="Saneago",VLOOKUP(C383,'SANEAGO-FEV.2016'!A:B,2,0),IF(B383="SINAPI",VLOOKUP(C383,'SINAPI-FEV.2017'!A:D,2,0),IF(B383="Cotação",VLOOKUP(C383,COTAÇÃO!A:D,2,0),IF(B383="Composição",VLOOKUP(C383,COMPOSIÇÃO!A:D,2,0))))))</f>
        <v>Guarda-Corpo De Tubo Industrial  1.1/2" (40 Mm) Chapa 13;  H=1,0 M, C/ Tela Artística   3 X 3 Fio 12, Perfil  U  Dim.  19,05  X 19,05  X 3,17  Mm,  Barra  Retangular  Dim  9,52  X 6,35  Mm,  Fixada  Em  Chapa Metálica Dim: 0,20 X 0,10 X 0,05 Cm, C/ Injenção De Silicone,</v>
      </c>
      <c r="E383" s="837"/>
      <c r="F383" s="837"/>
      <c r="G383" s="838"/>
      <c r="H383" s="838"/>
      <c r="I383" s="838"/>
      <c r="J383" s="851"/>
      <c r="K383" s="1008" t="s">
        <v>27</v>
      </c>
      <c r="L383" s="856" t="s">
        <v>18</v>
      </c>
      <c r="M383" s="840">
        <f>SUM(M379:M382)</f>
        <v>29.749999999999996</v>
      </c>
      <c r="N383" s="914"/>
      <c r="P383" s="871"/>
    </row>
    <row r="384" spans="1:18" s="863" customFormat="1">
      <c r="A384" s="921"/>
      <c r="B384" s="919"/>
      <c r="C384" s="919"/>
      <c r="D384" s="826"/>
      <c r="E384" s="882"/>
      <c r="F384" s="882"/>
      <c r="G384" s="828" t="s">
        <v>30</v>
      </c>
      <c r="H384" s="828" t="s">
        <v>30</v>
      </c>
      <c r="I384" s="828" t="s">
        <v>11932</v>
      </c>
      <c r="J384" s="828" t="s">
        <v>19</v>
      </c>
      <c r="K384" s="828" t="s">
        <v>19</v>
      </c>
      <c r="L384" s="828" t="s">
        <v>30</v>
      </c>
      <c r="M384" s="877" t="s">
        <v>30</v>
      </c>
      <c r="N384" s="914"/>
      <c r="P384" s="871"/>
    </row>
    <row r="385" spans="1:18" s="865" customFormat="1">
      <c r="A385" s="921"/>
      <c r="B385" s="919"/>
      <c r="C385" s="1003"/>
      <c r="D385" s="826"/>
      <c r="E385" s="1674"/>
      <c r="F385" s="1674"/>
      <c r="G385" s="1674"/>
      <c r="H385" s="828" t="s">
        <v>11840</v>
      </c>
      <c r="I385" s="828">
        <v>1</v>
      </c>
      <c r="J385" s="828">
        <v>0.8</v>
      </c>
      <c r="K385" s="828">
        <v>2.1</v>
      </c>
      <c r="L385" s="828" t="s">
        <v>1274</v>
      </c>
      <c r="M385" s="877">
        <f>I385</f>
        <v>1</v>
      </c>
      <c r="N385" s="700"/>
      <c r="O385" s="863"/>
      <c r="P385" s="871"/>
      <c r="Q385" s="863"/>
      <c r="R385" s="863"/>
    </row>
    <row r="386" spans="1:18" s="865" customFormat="1" ht="22.5">
      <c r="A386" s="921" t="s">
        <v>11949</v>
      </c>
      <c r="B386" s="919" t="s">
        <v>70</v>
      </c>
      <c r="C386" s="919">
        <v>91341</v>
      </c>
      <c r="D386" s="836" t="str">
        <f>PROPER(IF(B386="Saneago",VLOOKUP(C386,'SANEAGO-FEV.2016'!A:B,2,0),IF(B386="SINAPI",VLOOKUP(C386,'SINAPI-FEV.2017'!A:D,2,0),IF(B386="Cotação",VLOOKUP(C386,COTAÇÃO!A:D,2,0),IF(B386="Composição",VLOOKUP(C386,COMPOSIÇÃO!A:D,2,0))))))</f>
        <v>Porta Em Alumínio De Abrir Tipo Veneziana Com Guarnição, Fixação Com Parafusos - Fornecimento E Instalação. Af_08/2015</v>
      </c>
      <c r="E386" s="837"/>
      <c r="F386" s="837"/>
      <c r="G386" s="852"/>
      <c r="H386" s="852"/>
      <c r="I386" s="851"/>
      <c r="J386" s="851"/>
      <c r="K386" s="1008" t="s">
        <v>27</v>
      </c>
      <c r="L386" s="856" t="s">
        <v>18</v>
      </c>
      <c r="M386" s="840">
        <f>M385</f>
        <v>1</v>
      </c>
      <c r="N386" s="700"/>
      <c r="O386" s="863"/>
      <c r="P386" s="871"/>
      <c r="Q386" s="863"/>
      <c r="R386" s="863"/>
    </row>
    <row r="387" spans="1:18" s="865" customFormat="1" ht="13.5" thickBot="1">
      <c r="A387" s="921"/>
      <c r="B387" s="919"/>
      <c r="C387" s="1003"/>
      <c r="D387" s="823"/>
      <c r="E387" s="700"/>
      <c r="F387" s="808"/>
      <c r="G387" s="700"/>
      <c r="H387" s="700"/>
      <c r="I387" s="700"/>
      <c r="J387" s="809"/>
      <c r="K387" s="791"/>
      <c r="L387" s="824"/>
      <c r="M387" s="825"/>
      <c r="N387" s="700"/>
      <c r="O387" s="863"/>
      <c r="P387" s="871"/>
      <c r="Q387" s="863"/>
      <c r="R387" s="863"/>
    </row>
    <row r="388" spans="1:18" s="863" customFormat="1" ht="15.75" customHeight="1" thickTop="1" thickBot="1">
      <c r="A388" s="921"/>
      <c r="B388" s="919"/>
      <c r="C388" s="919"/>
      <c r="D388" s="830" t="s">
        <v>11736</v>
      </c>
      <c r="E388" s="831"/>
      <c r="F388" s="831"/>
      <c r="G388" s="831"/>
      <c r="H388" s="831"/>
      <c r="I388" s="831"/>
      <c r="J388" s="831"/>
      <c r="K388" s="831"/>
      <c r="L388" s="832"/>
      <c r="M388" s="833"/>
      <c r="N388" s="870"/>
      <c r="O388" s="871"/>
      <c r="P388" s="871"/>
    </row>
    <row r="389" spans="1:18" s="865" customFormat="1" ht="34.5" thickTop="1">
      <c r="A389" s="921"/>
      <c r="B389" s="919"/>
      <c r="C389" s="1003"/>
      <c r="D389" s="826"/>
      <c r="E389" s="990"/>
      <c r="F389" s="990"/>
      <c r="G389" s="970" t="s">
        <v>30</v>
      </c>
      <c r="H389" s="970" t="s">
        <v>1275</v>
      </c>
      <c r="I389" s="970" t="s">
        <v>17</v>
      </c>
      <c r="J389" s="970" t="s">
        <v>19</v>
      </c>
      <c r="K389" s="700" t="s">
        <v>11887</v>
      </c>
      <c r="L389" s="700" t="s">
        <v>30</v>
      </c>
      <c r="M389" s="876" t="s">
        <v>30</v>
      </c>
      <c r="N389" s="700"/>
      <c r="O389" s="863"/>
      <c r="P389" s="871"/>
      <c r="Q389" s="863"/>
      <c r="R389" s="863"/>
    </row>
    <row r="390" spans="1:18" s="865" customFormat="1" ht="12" customHeight="1">
      <c r="A390" s="921"/>
      <c r="B390" s="919"/>
      <c r="C390" s="1003"/>
      <c r="D390" s="826"/>
      <c r="E390" s="1674" t="s">
        <v>11877</v>
      </c>
      <c r="F390" s="1674"/>
      <c r="G390" s="1674"/>
      <c r="H390" s="970">
        <v>1</v>
      </c>
      <c r="I390" s="970">
        <f t="shared" ref="I390:J398" si="62">I114</f>
        <v>1.48</v>
      </c>
      <c r="J390" s="970">
        <f t="shared" si="62"/>
        <v>1.48</v>
      </c>
      <c r="K390" s="970">
        <f t="shared" ref="K390:K398" si="63">K114-0.15</f>
        <v>1.85</v>
      </c>
      <c r="L390" s="700" t="s">
        <v>21</v>
      </c>
      <c r="M390" s="1017">
        <f>H390*((2*I390+2*J390)*K390)</f>
        <v>10.952</v>
      </c>
      <c r="N390" s="700"/>
      <c r="O390" s="863"/>
      <c r="P390" s="871"/>
      <c r="Q390" s="863"/>
      <c r="R390" s="863"/>
    </row>
    <row r="391" spans="1:18" s="865" customFormat="1" ht="12" customHeight="1">
      <c r="A391" s="921"/>
      <c r="B391" s="919"/>
      <c r="C391" s="1003"/>
      <c r="D391" s="826"/>
      <c r="E391" s="1674" t="s">
        <v>11878</v>
      </c>
      <c r="F391" s="1674"/>
      <c r="G391" s="1674"/>
      <c r="H391" s="970">
        <f>H390</f>
        <v>1</v>
      </c>
      <c r="I391" s="970">
        <f t="shared" si="62"/>
        <v>1.48</v>
      </c>
      <c r="J391" s="970">
        <f t="shared" si="62"/>
        <v>1.48</v>
      </c>
      <c r="K391" s="970">
        <f t="shared" si="63"/>
        <v>1.2</v>
      </c>
      <c r="L391" s="700" t="s">
        <v>21</v>
      </c>
      <c r="M391" s="1017">
        <f t="shared" ref="M391:M399" si="64">H391*((2*I391+2*J391)*K391)</f>
        <v>7.1040000000000001</v>
      </c>
      <c r="N391" s="700"/>
      <c r="O391" s="863"/>
      <c r="P391" s="871"/>
      <c r="Q391" s="863"/>
      <c r="R391" s="863"/>
    </row>
    <row r="392" spans="1:18" s="865" customFormat="1" ht="12" customHeight="1">
      <c r="A392" s="921"/>
      <c r="B392" s="919"/>
      <c r="C392" s="1003"/>
      <c r="D392" s="826"/>
      <c r="E392" s="1674" t="s">
        <v>11879</v>
      </c>
      <c r="F392" s="1674"/>
      <c r="G392" s="1674"/>
      <c r="H392" s="970">
        <f t="shared" ref="H392:H399" si="65">H391</f>
        <v>1</v>
      </c>
      <c r="I392" s="970">
        <f t="shared" si="62"/>
        <v>1.48</v>
      </c>
      <c r="J392" s="970">
        <f t="shared" si="62"/>
        <v>1.48</v>
      </c>
      <c r="K392" s="970">
        <f t="shared" si="63"/>
        <v>1.6</v>
      </c>
      <c r="L392" s="700" t="s">
        <v>21</v>
      </c>
      <c r="M392" s="1017">
        <f t="shared" si="64"/>
        <v>9.4719999999999995</v>
      </c>
      <c r="N392" s="700"/>
      <c r="O392" s="863"/>
      <c r="P392" s="871"/>
      <c r="Q392" s="863"/>
      <c r="R392" s="863"/>
    </row>
    <row r="393" spans="1:18" s="865" customFormat="1" ht="12" customHeight="1">
      <c r="A393" s="921"/>
      <c r="B393" s="919"/>
      <c r="C393" s="1003"/>
      <c r="D393" s="826"/>
      <c r="E393" s="1674" t="s">
        <v>11880</v>
      </c>
      <c r="F393" s="1674"/>
      <c r="G393" s="1674"/>
      <c r="H393" s="970">
        <f t="shared" si="65"/>
        <v>1</v>
      </c>
      <c r="I393" s="970">
        <f t="shared" si="62"/>
        <v>1.48</v>
      </c>
      <c r="J393" s="970">
        <f t="shared" si="62"/>
        <v>1.48</v>
      </c>
      <c r="K393" s="970">
        <f t="shared" si="63"/>
        <v>1.8</v>
      </c>
      <c r="L393" s="700" t="s">
        <v>21</v>
      </c>
      <c r="M393" s="1017">
        <f t="shared" si="64"/>
        <v>10.656000000000001</v>
      </c>
      <c r="N393" s="700"/>
      <c r="O393" s="863"/>
      <c r="P393" s="871"/>
      <c r="Q393" s="863"/>
      <c r="R393" s="863"/>
    </row>
    <row r="394" spans="1:18" s="865" customFormat="1" ht="12" customHeight="1">
      <c r="A394" s="921"/>
      <c r="B394" s="919"/>
      <c r="C394" s="1003"/>
      <c r="D394" s="826"/>
      <c r="E394" s="1674" t="s">
        <v>11881</v>
      </c>
      <c r="F394" s="1674"/>
      <c r="G394" s="1674"/>
      <c r="H394" s="970">
        <f t="shared" si="65"/>
        <v>1</v>
      </c>
      <c r="I394" s="970">
        <f t="shared" si="62"/>
        <v>1.48</v>
      </c>
      <c r="J394" s="970">
        <f t="shared" si="62"/>
        <v>1.48</v>
      </c>
      <c r="K394" s="970">
        <f t="shared" si="63"/>
        <v>2.4500000000000002</v>
      </c>
      <c r="L394" s="700" t="s">
        <v>21</v>
      </c>
      <c r="M394" s="1017">
        <f t="shared" si="64"/>
        <v>14.504000000000001</v>
      </c>
      <c r="N394" s="700"/>
      <c r="O394" s="863"/>
      <c r="P394" s="871"/>
      <c r="Q394" s="863"/>
      <c r="R394" s="863"/>
    </row>
    <row r="395" spans="1:18" s="865" customFormat="1" ht="12" customHeight="1">
      <c r="A395" s="921"/>
      <c r="B395" s="919"/>
      <c r="C395" s="1003"/>
      <c r="D395" s="826"/>
      <c r="E395" s="1674" t="s">
        <v>11882</v>
      </c>
      <c r="F395" s="1674"/>
      <c r="G395" s="1674"/>
      <c r="H395" s="970">
        <f t="shared" si="65"/>
        <v>1</v>
      </c>
      <c r="I395" s="970">
        <f t="shared" si="62"/>
        <v>1.48</v>
      </c>
      <c r="J395" s="970">
        <f t="shared" si="62"/>
        <v>1.48</v>
      </c>
      <c r="K395" s="970">
        <f t="shared" si="63"/>
        <v>3</v>
      </c>
      <c r="L395" s="700" t="s">
        <v>21</v>
      </c>
      <c r="M395" s="1017">
        <f t="shared" si="64"/>
        <v>17.759999999999998</v>
      </c>
      <c r="N395" s="700"/>
      <c r="O395" s="863"/>
      <c r="P395" s="871"/>
      <c r="Q395" s="863"/>
      <c r="R395" s="863"/>
    </row>
    <row r="396" spans="1:18" s="865" customFormat="1" ht="12" customHeight="1">
      <c r="A396" s="921"/>
      <c r="B396" s="919"/>
      <c r="C396" s="1003"/>
      <c r="D396" s="826"/>
      <c r="E396" s="1674" t="s">
        <v>11883</v>
      </c>
      <c r="F396" s="1674"/>
      <c r="G396" s="1674"/>
      <c r="H396" s="970">
        <f t="shared" si="65"/>
        <v>1</v>
      </c>
      <c r="I396" s="970">
        <f t="shared" si="62"/>
        <v>1.48</v>
      </c>
      <c r="J396" s="970">
        <f t="shared" si="62"/>
        <v>1.48</v>
      </c>
      <c r="K396" s="970">
        <f t="shared" si="63"/>
        <v>2.4</v>
      </c>
      <c r="L396" s="700" t="s">
        <v>21</v>
      </c>
      <c r="M396" s="1017">
        <f t="shared" si="64"/>
        <v>14.208</v>
      </c>
      <c r="N396" s="700"/>
      <c r="O396" s="863"/>
      <c r="P396" s="871"/>
      <c r="Q396" s="863"/>
      <c r="R396" s="863"/>
    </row>
    <row r="397" spans="1:18" s="865" customFormat="1" ht="12" customHeight="1">
      <c r="A397" s="921"/>
      <c r="B397" s="919"/>
      <c r="C397" s="1003"/>
      <c r="D397" s="826"/>
      <c r="E397" s="1674" t="s">
        <v>11884</v>
      </c>
      <c r="F397" s="1674"/>
      <c r="G397" s="1674"/>
      <c r="H397" s="970">
        <f t="shared" si="65"/>
        <v>1</v>
      </c>
      <c r="I397" s="970">
        <f t="shared" si="62"/>
        <v>1.48</v>
      </c>
      <c r="J397" s="970">
        <f t="shared" si="62"/>
        <v>1.48</v>
      </c>
      <c r="K397" s="970">
        <f t="shared" si="63"/>
        <v>3.2</v>
      </c>
      <c r="L397" s="700" t="s">
        <v>21</v>
      </c>
      <c r="M397" s="1017">
        <f t="shared" si="64"/>
        <v>18.943999999999999</v>
      </c>
      <c r="N397" s="700"/>
      <c r="O397" s="863"/>
      <c r="P397" s="871"/>
      <c r="Q397" s="863"/>
      <c r="R397" s="863"/>
    </row>
    <row r="398" spans="1:18" s="865" customFormat="1" ht="12" customHeight="1">
      <c r="A398" s="921"/>
      <c r="B398" s="919"/>
      <c r="C398" s="1003"/>
      <c r="D398" s="826"/>
      <c r="E398" s="1674" t="s">
        <v>11921</v>
      </c>
      <c r="F398" s="1674"/>
      <c r="G398" s="1674"/>
      <c r="H398" s="970">
        <f t="shared" si="65"/>
        <v>1</v>
      </c>
      <c r="I398" s="970">
        <f t="shared" si="62"/>
        <v>1.48</v>
      </c>
      <c r="J398" s="970">
        <f t="shared" si="62"/>
        <v>1.48</v>
      </c>
      <c r="K398" s="970">
        <f t="shared" si="63"/>
        <v>1.5</v>
      </c>
      <c r="L398" s="700" t="s">
        <v>21</v>
      </c>
      <c r="M398" s="1017">
        <f t="shared" si="64"/>
        <v>8.879999999999999</v>
      </c>
      <c r="N398" s="700"/>
      <c r="O398" s="863"/>
      <c r="P398" s="871"/>
      <c r="Q398" s="863"/>
      <c r="R398" s="863"/>
    </row>
    <row r="399" spans="1:18" s="865" customFormat="1" ht="12" customHeight="1">
      <c r="A399" s="921"/>
      <c r="B399" s="919"/>
      <c r="C399" s="1003"/>
      <c r="D399" s="826"/>
      <c r="E399" s="1674" t="s">
        <v>11839</v>
      </c>
      <c r="F399" s="1674"/>
      <c r="G399" s="1674"/>
      <c r="H399" s="970">
        <f t="shared" si="65"/>
        <v>1</v>
      </c>
      <c r="I399" s="970">
        <f>I124</f>
        <v>1.65</v>
      </c>
      <c r="J399" s="970">
        <f>J124</f>
        <v>1.55</v>
      </c>
      <c r="K399" s="970">
        <f>K124-0.15</f>
        <v>2.0000000000000004</v>
      </c>
      <c r="L399" s="700" t="s">
        <v>21</v>
      </c>
      <c r="M399" s="1017">
        <f t="shared" si="64"/>
        <v>12.800000000000004</v>
      </c>
      <c r="N399" s="700"/>
      <c r="O399" s="863"/>
      <c r="P399" s="871"/>
      <c r="Q399" s="863"/>
      <c r="R399" s="863"/>
    </row>
    <row r="400" spans="1:18" s="865" customFormat="1" ht="37.5" customHeight="1">
      <c r="A400" s="921" t="s">
        <v>11928</v>
      </c>
      <c r="B400" s="919" t="s">
        <v>70</v>
      </c>
      <c r="C400" s="919">
        <v>87469</v>
      </c>
      <c r="D400" s="836" t="str">
        <f>PROPER(IF(B400="Saneago",VLOOKUP(C400,'SANEAGO-FEV.2016'!A:B,2,0),IF(B400="SINAPI",VLOOKUP(C400,'SINAPI-FEV.2017'!A:D,2,0),IF(B400="Cotação",VLOOKUP(C400,COTAÇÃO!A:D,2,0),IF(B400="Composição",VLOOKUP(C400,COMPOSIÇÃO!A:D,2,0))))))</f>
        <v>Alvenaria De Vedação De Blocos Vazados De Concreto De 19X19X39Cm (Espessura 19Cm) De Paredes Com Área Líquida Maior Ou Igual A 6M² Com Vãos E Argamassa De Assentamento Com Preparo Em Betoneira. Af_06/2014</v>
      </c>
      <c r="E400" s="837"/>
      <c r="F400" s="837"/>
      <c r="G400" s="838"/>
      <c r="H400" s="838"/>
      <c r="I400" s="838"/>
      <c r="J400" s="1008"/>
      <c r="K400" s="1008" t="s">
        <v>27</v>
      </c>
      <c r="L400" s="856" t="s">
        <v>21</v>
      </c>
      <c r="M400" s="1014">
        <f>SUM(M390:M399)</f>
        <v>125.28</v>
      </c>
      <c r="N400" s="700"/>
      <c r="O400" s="863"/>
      <c r="P400" s="871"/>
      <c r="Q400" s="863"/>
      <c r="R400" s="863"/>
    </row>
    <row r="401" spans="1:16" s="863" customFormat="1" ht="13.5" customHeight="1">
      <c r="A401" s="921"/>
      <c r="B401" s="919"/>
      <c r="C401" s="919"/>
      <c r="D401" s="887"/>
      <c r="E401" s="925"/>
      <c r="F401" s="925"/>
      <c r="G401" s="700" t="s">
        <v>30</v>
      </c>
      <c r="H401" s="700" t="s">
        <v>30</v>
      </c>
      <c r="I401" s="700" t="s">
        <v>1275</v>
      </c>
      <c r="J401" s="700" t="s">
        <v>17</v>
      </c>
      <c r="K401" s="700" t="s">
        <v>19</v>
      </c>
      <c r="L401" s="700"/>
      <c r="M401" s="827"/>
      <c r="N401" s="700"/>
      <c r="P401" s="871"/>
    </row>
    <row r="402" spans="1:16" s="863" customFormat="1" ht="13.5" customHeight="1">
      <c r="A402" s="921"/>
      <c r="B402" s="919"/>
      <c r="C402" s="919"/>
      <c r="D402" s="899"/>
      <c r="E402" s="1674" t="s">
        <v>11929</v>
      </c>
      <c r="F402" s="1674"/>
      <c r="G402" s="1674"/>
      <c r="H402" s="700"/>
      <c r="I402" s="700">
        <v>2</v>
      </c>
      <c r="J402" s="889">
        <v>2</v>
      </c>
      <c r="K402" s="889">
        <v>1.5</v>
      </c>
      <c r="L402" s="700" t="s">
        <v>21</v>
      </c>
      <c r="M402" s="890">
        <f>I402*J402*K402</f>
        <v>6</v>
      </c>
      <c r="N402" s="700"/>
      <c r="P402" s="871"/>
    </row>
    <row r="403" spans="1:16" s="863" customFormat="1" ht="13.5" customHeight="1">
      <c r="A403" s="921"/>
      <c r="B403" s="919"/>
      <c r="C403" s="919"/>
      <c r="D403" s="899"/>
      <c r="E403" s="1674" t="s">
        <v>11929</v>
      </c>
      <c r="F403" s="1674"/>
      <c r="G403" s="1674"/>
      <c r="H403" s="700"/>
      <c r="I403" s="700">
        <v>1</v>
      </c>
      <c r="J403" s="889">
        <v>2</v>
      </c>
      <c r="K403" s="889">
        <v>1</v>
      </c>
      <c r="L403" s="700" t="s">
        <v>21</v>
      </c>
      <c r="M403" s="890">
        <f>I403*J403*K403</f>
        <v>2</v>
      </c>
      <c r="N403" s="700"/>
      <c r="P403" s="871"/>
    </row>
    <row r="404" spans="1:16" s="863" customFormat="1" ht="13.5" customHeight="1">
      <c r="A404" s="921"/>
      <c r="B404" s="919"/>
      <c r="C404" s="919"/>
      <c r="D404" s="899"/>
      <c r="E404" s="1674" t="s">
        <v>11929</v>
      </c>
      <c r="F404" s="1674"/>
      <c r="G404" s="1674"/>
      <c r="H404" s="700"/>
      <c r="I404" s="700">
        <v>8</v>
      </c>
      <c r="J404" s="889">
        <v>0.5</v>
      </c>
      <c r="K404" s="889">
        <v>1.5</v>
      </c>
      <c r="L404" s="700" t="s">
        <v>21</v>
      </c>
      <c r="M404" s="890">
        <f>I404*J404*K404</f>
        <v>6</v>
      </c>
      <c r="N404" s="700"/>
      <c r="P404" s="871"/>
    </row>
    <row r="405" spans="1:16" s="863" customFormat="1" ht="13.5" customHeight="1">
      <c r="A405" s="921"/>
      <c r="B405" s="919"/>
      <c r="C405" s="919"/>
      <c r="D405" s="899"/>
      <c r="E405" s="1674"/>
      <c r="F405" s="1674"/>
      <c r="G405" s="1674"/>
      <c r="H405" s="700"/>
      <c r="I405" s="700"/>
      <c r="J405" s="889"/>
      <c r="K405" s="889"/>
      <c r="L405" s="700"/>
      <c r="M405" s="827"/>
      <c r="N405" s="700"/>
      <c r="P405" s="871"/>
    </row>
    <row r="406" spans="1:16" s="863" customFormat="1" ht="22.5">
      <c r="A406" s="921" t="s">
        <v>11948</v>
      </c>
      <c r="B406" s="919" t="s">
        <v>70</v>
      </c>
      <c r="C406" s="919" t="s">
        <v>18440</v>
      </c>
      <c r="D406" s="836" t="str">
        <f>PROPER(IF(B406="Saneago",VLOOKUP(C406,'SANEAGO-FEV.2016'!A:B,2,0),IF(B406="SINAPI",VLOOKUP(C406,'SINAPI-FEV.2017'!A:D,2,0),IF(B406="Cotação",VLOOKUP(C406,COTAÇÃO!A:D,2,0),IF(B406="Composição",VLOOKUP(C406,COMPOSIÇÃO!A:D,2,0))))))</f>
        <v>Cobogo De Concreto (Elemento Vazado), 7X50X50Cm, Assentado Com Argamassa Traco 1:4 (Cimento E Areia)</v>
      </c>
      <c r="E406" s="837"/>
      <c r="F406" s="837"/>
      <c r="G406" s="838"/>
      <c r="H406" s="838"/>
      <c r="I406" s="838"/>
      <c r="J406" s="838"/>
      <c r="K406" s="1008" t="s">
        <v>27</v>
      </c>
      <c r="L406" s="856" t="s">
        <v>21</v>
      </c>
      <c r="M406" s="840">
        <f>SUM(M402:M405)</f>
        <v>14</v>
      </c>
      <c r="N406" s="700"/>
      <c r="P406" s="871"/>
    </row>
    <row r="407" spans="1:16" s="863" customFormat="1" ht="21.75" customHeight="1">
      <c r="A407" s="921"/>
      <c r="B407" s="919"/>
      <c r="C407" s="919"/>
      <c r="D407" s="887"/>
      <c r="E407" s="925"/>
      <c r="F407" s="925"/>
      <c r="G407" s="700" t="s">
        <v>19</v>
      </c>
      <c r="H407" s="700" t="s">
        <v>11684</v>
      </c>
      <c r="I407" s="700" t="s">
        <v>32</v>
      </c>
      <c r="J407" s="700" t="s">
        <v>11930</v>
      </c>
      <c r="K407" s="700" t="s">
        <v>11931</v>
      </c>
      <c r="L407" s="700"/>
      <c r="M407" s="827"/>
      <c r="N407" s="700"/>
      <c r="P407" s="871"/>
    </row>
    <row r="408" spans="1:16" s="863" customFormat="1" ht="13.5" customHeight="1">
      <c r="A408" s="921"/>
      <c r="B408" s="919"/>
      <c r="C408" s="919"/>
      <c r="D408" s="899"/>
      <c r="E408" s="1674" t="s">
        <v>11929</v>
      </c>
      <c r="F408" s="1674"/>
      <c r="G408" s="700">
        <v>2.2999999999999998</v>
      </c>
      <c r="H408" s="700">
        <v>3.2</v>
      </c>
      <c r="I408" s="700">
        <f>5.25-0.7</f>
        <v>4.55</v>
      </c>
      <c r="J408" s="828">
        <f>M406</f>
        <v>14</v>
      </c>
      <c r="K408" s="828">
        <f>0.8*2.1</f>
        <v>1.6800000000000002</v>
      </c>
      <c r="L408" s="700" t="s">
        <v>21</v>
      </c>
      <c r="M408" s="829">
        <f>(G408*2+H408*2)*I408-J408-K408</f>
        <v>34.369999999999997</v>
      </c>
      <c r="N408" s="700"/>
      <c r="P408" s="871"/>
    </row>
    <row r="409" spans="1:16" s="863" customFormat="1" ht="13.5" customHeight="1">
      <c r="A409" s="921"/>
      <c r="B409" s="919"/>
      <c r="C409" s="919"/>
      <c r="D409" s="899"/>
      <c r="E409" s="1674"/>
      <c r="F409" s="1674"/>
      <c r="G409" s="1674"/>
      <c r="H409" s="700"/>
      <c r="I409" s="700"/>
      <c r="J409" s="700"/>
      <c r="K409" s="700"/>
      <c r="L409" s="700"/>
      <c r="M409" s="829"/>
      <c r="N409" s="700"/>
      <c r="P409" s="871"/>
    </row>
    <row r="410" spans="1:16" s="863" customFormat="1" ht="33.75">
      <c r="A410" s="921" t="s">
        <v>11947</v>
      </c>
      <c r="B410" s="919" t="s">
        <v>70</v>
      </c>
      <c r="C410" s="919">
        <v>87513</v>
      </c>
      <c r="D410" s="836" t="str">
        <f>PROPER(IF(B410="Saneago",VLOOKUP(C410,'SANEAGO-FEV.2016'!A:B,2,0),IF(B410="SINAPI",VLOOKUP(C410,'SINAPI-FEV.2017'!A:D,2,0),IF(B410="Cotação",VLOOKUP(C410,COTAÇÃO!A:D,2,0),IF(B410="Composição",VLOOKUP(C410,COMPOSIÇÃO!A:D,2,0))))))</f>
        <v>Alvenaria De Vedação De Blocos Cerâmicos Furados Na Horizontal De 11,5X19X19Cm (Espessura 11,5Cm) De Paredes Com Área Líquida Menor Que 6M² Com Vãos E Argamassa De Assentamento Com Preparo Em Betoneira. Af_06/2014</v>
      </c>
      <c r="E410" s="837"/>
      <c r="F410" s="837"/>
      <c r="G410" s="838"/>
      <c r="H410" s="838"/>
      <c r="I410" s="838"/>
      <c r="J410" s="838"/>
      <c r="K410" s="1008" t="s">
        <v>27</v>
      </c>
      <c r="L410" s="856" t="s">
        <v>21</v>
      </c>
      <c r="M410" s="840">
        <f>M408</f>
        <v>34.369999999999997</v>
      </c>
      <c r="N410" s="700"/>
      <c r="P410" s="871"/>
    </row>
    <row r="411" spans="1:16" s="863" customFormat="1" ht="13.5" customHeight="1" thickBot="1">
      <c r="A411" s="921"/>
      <c r="B411" s="919"/>
      <c r="C411" s="919"/>
      <c r="D411" s="826"/>
      <c r="E411" s="790"/>
      <c r="F411" s="790"/>
      <c r="G411" s="700"/>
      <c r="H411" s="700"/>
      <c r="I411" s="700"/>
      <c r="J411" s="828"/>
      <c r="K411" s="828"/>
      <c r="L411" s="828"/>
      <c r="M411" s="829"/>
      <c r="N411" s="700"/>
      <c r="P411" s="871"/>
    </row>
    <row r="412" spans="1:16" s="863" customFormat="1" ht="14.25" customHeight="1" thickTop="1" thickBot="1">
      <c r="A412" s="921"/>
      <c r="B412" s="919"/>
      <c r="C412" s="919"/>
      <c r="D412" s="830" t="s">
        <v>55</v>
      </c>
      <c r="E412" s="831"/>
      <c r="F412" s="831"/>
      <c r="G412" s="831"/>
      <c r="H412" s="831"/>
      <c r="I412" s="831"/>
      <c r="J412" s="831"/>
      <c r="K412" s="831"/>
      <c r="L412" s="832" t="s">
        <v>25</v>
      </c>
      <c r="M412" s="833" t="s">
        <v>27</v>
      </c>
      <c r="N412" s="700"/>
      <c r="P412" s="871"/>
    </row>
    <row r="413" spans="1:16" s="863" customFormat="1" ht="13.5" customHeight="1" thickTop="1">
      <c r="A413" s="921"/>
      <c r="B413" s="919"/>
      <c r="C413" s="919"/>
      <c r="D413" s="826"/>
      <c r="E413" s="790"/>
      <c r="F413" s="790"/>
      <c r="G413" s="700" t="s">
        <v>30</v>
      </c>
      <c r="H413" s="700" t="s">
        <v>30</v>
      </c>
      <c r="I413" s="700" t="s">
        <v>30</v>
      </c>
      <c r="J413" s="700" t="s">
        <v>30</v>
      </c>
      <c r="K413" s="700" t="s">
        <v>30</v>
      </c>
      <c r="L413" s="700" t="s">
        <v>30</v>
      </c>
      <c r="M413" s="876" t="s">
        <v>30</v>
      </c>
      <c r="N413" s="700"/>
      <c r="P413" s="871"/>
    </row>
    <row r="414" spans="1:16" s="863" customFormat="1" ht="12" customHeight="1">
      <c r="A414" s="921"/>
      <c r="B414" s="919"/>
      <c r="C414" s="919"/>
      <c r="D414" s="826"/>
      <c r="E414" s="1674"/>
      <c r="F414" s="1674"/>
      <c r="G414" s="700"/>
      <c r="H414" s="700"/>
      <c r="I414" s="700"/>
      <c r="J414" s="1674" t="s">
        <v>11933</v>
      </c>
      <c r="K414" s="1674"/>
      <c r="L414" s="700" t="s">
        <v>21</v>
      </c>
      <c r="M414" s="877">
        <f>M410</f>
        <v>34.369999999999997</v>
      </c>
      <c r="N414" s="700"/>
      <c r="P414" s="871"/>
    </row>
    <row r="415" spans="1:16" s="863" customFormat="1" ht="12" customHeight="1">
      <c r="A415" s="921"/>
      <c r="B415" s="919"/>
      <c r="C415" s="919"/>
      <c r="D415" s="826"/>
      <c r="E415" s="1674"/>
      <c r="F415" s="1674"/>
      <c r="G415" s="700"/>
      <c r="H415" s="700"/>
      <c r="I415" s="700"/>
      <c r="J415" s="1674" t="s">
        <v>11934</v>
      </c>
      <c r="K415" s="1674"/>
      <c r="L415" s="700" t="s">
        <v>21</v>
      </c>
      <c r="M415" s="877">
        <f>M414</f>
        <v>34.369999999999997</v>
      </c>
      <c r="N415" s="700"/>
      <c r="P415" s="871"/>
    </row>
    <row r="416" spans="1:16" s="863" customFormat="1" ht="12" customHeight="1">
      <c r="A416" s="921"/>
      <c r="B416" s="919"/>
      <c r="C416" s="919"/>
      <c r="D416" s="826"/>
      <c r="E416" s="854"/>
      <c r="F416" s="854"/>
      <c r="G416" s="700"/>
      <c r="H416" s="700"/>
      <c r="I416" s="700"/>
      <c r="J416" s="854"/>
      <c r="K416" s="854"/>
      <c r="L416" s="700"/>
      <c r="M416" s="877"/>
      <c r="N416" s="700"/>
      <c r="P416" s="871"/>
    </row>
    <row r="417" spans="1:16" s="863" customFormat="1" ht="33.75">
      <c r="A417" s="921" t="s">
        <v>11944</v>
      </c>
      <c r="B417" s="862" t="s">
        <v>70</v>
      </c>
      <c r="C417" s="835">
        <v>87908</v>
      </c>
      <c r="D417" s="836" t="str">
        <f>PROPER(IF(B417="Saneago",VLOOKUP(C417,'SANEAGO-FEV.2016'!A:B,2,0),IF(B417="SINAPI",VLOOKUP(C417,'SINAPI-FEV.2017'!A:D,2,0),IF(B417="Cotação",VLOOKUP(C417,COTAÇÃO!A:D,2,0),IF(B417="Composição",VLOOKUP(C417,COMPOSIÇÃO!A:D,2,0))))))</f>
        <v>Chapisco Aplicado Em Alvenaria (Com Presença De Vãos) E Estruturas De Concreto De Fachada, Com Equipamento De Projeção.  Argamassa Traço 1:3 Com Preparo Em Betoneira 400 L. Af_06/2014</v>
      </c>
      <c r="E417" s="837"/>
      <c r="F417" s="837"/>
      <c r="G417" s="838"/>
      <c r="H417" s="838"/>
      <c r="I417" s="838"/>
      <c r="J417" s="838"/>
      <c r="K417" s="1008" t="s">
        <v>27</v>
      </c>
      <c r="L417" s="856" t="s">
        <v>21</v>
      </c>
      <c r="M417" s="840">
        <f>SUM(M414:M415)</f>
        <v>68.739999999999995</v>
      </c>
      <c r="N417" s="700"/>
      <c r="P417" s="871"/>
    </row>
    <row r="418" spans="1:16" s="863" customFormat="1" ht="13.5" customHeight="1">
      <c r="A418" s="921"/>
      <c r="B418" s="919"/>
      <c r="C418" s="919"/>
      <c r="D418" s="826"/>
      <c r="E418" s="790"/>
      <c r="F418" s="790"/>
      <c r="G418" s="700" t="s">
        <v>30</v>
      </c>
      <c r="H418" s="700" t="s">
        <v>30</v>
      </c>
      <c r="I418" s="700" t="s">
        <v>30</v>
      </c>
      <c r="J418" s="700" t="s">
        <v>17</v>
      </c>
      <c r="K418" s="700" t="s">
        <v>19</v>
      </c>
      <c r="L418" s="700"/>
      <c r="M418" s="827"/>
      <c r="N418" s="700"/>
      <c r="P418" s="871"/>
    </row>
    <row r="419" spans="1:16" s="863" customFormat="1" ht="24" customHeight="1">
      <c r="A419" s="921" t="s">
        <v>11945</v>
      </c>
      <c r="B419" s="919" t="s">
        <v>70</v>
      </c>
      <c r="C419" s="919">
        <v>87882</v>
      </c>
      <c r="D419" s="836" t="str">
        <f>PROPER(IF(B419="Saneago",VLOOKUP(C419,'SANEAGO-FEV.2016'!A:B,2,0),IF(B419="SINAPI",VLOOKUP(C419,'SINAPI-FEV.2017'!A:D,2,0),IF(B419="Cotação",VLOOKUP(C419,COTAÇÃO!A:D,2,0),IF(B419="Composição",VLOOKUP(C419,COMPOSIÇÃO!A:D,2,0))))))</f>
        <v>Chapisco Aplicado No Teto, Com Rolo Para Textura Acrílica. Argamassa Traço 1:4 E Emulsão Polimérica (Adesivo) Com Preparo Em Betoneira 400L. Af_06/2014</v>
      </c>
      <c r="E419" s="837"/>
      <c r="F419" s="837"/>
      <c r="G419" s="852"/>
      <c r="H419" s="852"/>
      <c r="I419" s="852" t="s">
        <v>11840</v>
      </c>
      <c r="J419" s="936">
        <v>4</v>
      </c>
      <c r="K419" s="936">
        <v>2.7</v>
      </c>
      <c r="L419" s="852" t="s">
        <v>21</v>
      </c>
      <c r="M419" s="937">
        <f>J419*K419</f>
        <v>10.8</v>
      </c>
      <c r="N419" s="700"/>
      <c r="P419" s="871"/>
    </row>
    <row r="420" spans="1:16" s="863" customFormat="1" ht="12.75" customHeight="1">
      <c r="A420" s="921"/>
      <c r="B420" s="919"/>
      <c r="C420" s="919"/>
      <c r="D420" s="826"/>
      <c r="E420" s="790"/>
      <c r="F420" s="790"/>
      <c r="G420" s="700" t="s">
        <v>30</v>
      </c>
      <c r="H420" s="700" t="s">
        <v>30</v>
      </c>
      <c r="I420" s="700" t="s">
        <v>30</v>
      </c>
      <c r="J420" s="700" t="s">
        <v>30</v>
      </c>
      <c r="K420" s="700" t="s">
        <v>30</v>
      </c>
      <c r="L420" s="700" t="s">
        <v>30</v>
      </c>
      <c r="M420" s="876" t="s">
        <v>30</v>
      </c>
      <c r="N420" s="700"/>
      <c r="P420" s="871"/>
    </row>
    <row r="421" spans="1:16" s="863" customFormat="1" ht="12.75" customHeight="1">
      <c r="A421" s="921"/>
      <c r="B421" s="919"/>
      <c r="C421" s="919"/>
      <c r="D421" s="826"/>
      <c r="E421" s="1674"/>
      <c r="F421" s="1674"/>
      <c r="G421" s="700"/>
      <c r="H421" s="1674"/>
      <c r="I421" s="1674"/>
      <c r="J421" s="1674" t="s">
        <v>11933</v>
      </c>
      <c r="K421" s="1674"/>
      <c r="L421" s="700" t="s">
        <v>20309</v>
      </c>
      <c r="M421" s="877">
        <f>M414*0.05</f>
        <v>1.7184999999999999</v>
      </c>
      <c r="N421" s="700"/>
      <c r="P421" s="871"/>
    </row>
    <row r="422" spans="1:16" s="863" customFormat="1" ht="12.75" customHeight="1">
      <c r="A422" s="921"/>
      <c r="B422" s="919"/>
      <c r="C422" s="919"/>
      <c r="D422" s="826"/>
      <c r="E422" s="1674"/>
      <c r="F422" s="1674"/>
      <c r="G422" s="700"/>
      <c r="H422" s="1674"/>
      <c r="I422" s="1674"/>
      <c r="J422" s="1674" t="s">
        <v>11934</v>
      </c>
      <c r="K422" s="1674"/>
      <c r="L422" s="700" t="s">
        <v>20309</v>
      </c>
      <c r="M422" s="877">
        <f>M415*0.05</f>
        <v>1.7184999999999999</v>
      </c>
      <c r="N422" s="700"/>
      <c r="P422" s="871"/>
    </row>
    <row r="423" spans="1:16" s="863" customFormat="1" ht="12.75" customHeight="1">
      <c r="A423" s="921"/>
      <c r="B423" s="919"/>
      <c r="C423" s="919"/>
      <c r="D423" s="826"/>
      <c r="E423" s="790"/>
      <c r="F423" s="790"/>
      <c r="G423" s="700"/>
      <c r="H423" s="700"/>
      <c r="I423" s="700"/>
      <c r="J423" s="700"/>
      <c r="K423" s="700"/>
      <c r="L423" s="700"/>
      <c r="M423" s="827"/>
      <c r="N423" s="700"/>
      <c r="P423" s="871"/>
    </row>
    <row r="424" spans="1:16" s="863" customFormat="1" ht="33.75">
      <c r="A424" s="921" t="s">
        <v>11946</v>
      </c>
      <c r="B424" s="862" t="s">
        <v>70</v>
      </c>
      <c r="C424" s="835">
        <v>87296</v>
      </c>
      <c r="D424" s="836" t="str">
        <f>PROPER(IF(B424="Saneago",VLOOKUP(C424,'SANEAGO-FEV.2016'!A:B,2,0),IF(B424="SINAPI",VLOOKUP(C424,'SINAPI-FEV.2017'!A:D,2,0),IF(B424="Cotação",VLOOKUP(C424,COTAÇÃO!A:D,2,0),IF(B424="Composição",VLOOKUP(C424,COMPOSIÇÃO!A:D,2,0))))))</f>
        <v>Argamassa Traço 1:3:12 (Cimento, Cal E Areia Média) Para Emboço/Massa Única/Assentamento De Alvenaria De Vedação, Preparo Mecânico Com Betoneira 600 L. Af_06/2014</v>
      </c>
      <c r="E424" s="837"/>
      <c r="F424" s="837"/>
      <c r="G424" s="852"/>
      <c r="H424" s="852"/>
      <c r="I424" s="838"/>
      <c r="J424" s="838"/>
      <c r="K424" s="1008" t="s">
        <v>27</v>
      </c>
      <c r="L424" s="856" t="s">
        <v>20309</v>
      </c>
      <c r="M424" s="840">
        <f>SUM(M421:M422)</f>
        <v>3.4369999999999998</v>
      </c>
      <c r="N424" s="700"/>
      <c r="P424" s="871"/>
    </row>
    <row r="425" spans="1:16" s="863" customFormat="1" ht="12" customHeight="1">
      <c r="A425" s="921"/>
      <c r="B425" s="919"/>
      <c r="C425" s="919"/>
      <c r="D425" s="826"/>
      <c r="E425" s="790"/>
      <c r="F425" s="790"/>
      <c r="G425" s="700" t="s">
        <v>30</v>
      </c>
      <c r="H425" s="700" t="s">
        <v>30</v>
      </c>
      <c r="I425" s="700" t="s">
        <v>30</v>
      </c>
      <c r="J425" s="700" t="s">
        <v>30</v>
      </c>
      <c r="K425" s="700" t="s">
        <v>30</v>
      </c>
      <c r="L425" s="700" t="s">
        <v>30</v>
      </c>
      <c r="M425" s="876" t="s">
        <v>30</v>
      </c>
      <c r="N425" s="700"/>
      <c r="P425" s="871"/>
    </row>
    <row r="426" spans="1:16" s="863" customFormat="1" ht="12.75" customHeight="1">
      <c r="A426" s="921"/>
      <c r="B426" s="919"/>
      <c r="C426" s="919"/>
      <c r="D426" s="826"/>
      <c r="E426" s="790"/>
      <c r="F426" s="790"/>
      <c r="G426" s="700"/>
      <c r="H426" s="700"/>
      <c r="I426" s="700"/>
      <c r="J426" s="1674" t="s">
        <v>11933</v>
      </c>
      <c r="K426" s="1674"/>
      <c r="L426" s="700" t="s">
        <v>21</v>
      </c>
      <c r="M426" s="877">
        <f>M421</f>
        <v>1.7184999999999999</v>
      </c>
      <c r="N426" s="700"/>
      <c r="P426" s="871"/>
    </row>
    <row r="427" spans="1:16" s="863" customFormat="1" ht="22.5">
      <c r="A427" s="921" t="s">
        <v>11939</v>
      </c>
      <c r="B427" s="919" t="s">
        <v>70</v>
      </c>
      <c r="C427" s="919">
        <v>88489</v>
      </c>
      <c r="D427" s="836" t="str">
        <f>PROPER(IF(B427="Saneago",VLOOKUP(C427,'SANEAGO-FEV.2016'!A:B,2,0),IF(B427="SINAPI",VLOOKUP(C427,'SINAPI-FEV.2017'!A:D,2,0),IF(B427="Cotação",VLOOKUP(C427,COTAÇÃO!A:D,2,0),IF(B427="Composição",VLOOKUP(C427,COMPOSIÇÃO!A:D,2,0))))))</f>
        <v>Aplicação Manual De Pintura Com Tinta Látex Acrílica Em Paredes, Duas Demãos. Af_06/2014</v>
      </c>
      <c r="E427" s="837"/>
      <c r="F427" s="837"/>
      <c r="G427" s="838"/>
      <c r="H427" s="1021" t="s">
        <v>73</v>
      </c>
      <c r="I427" s="838"/>
      <c r="J427" s="838"/>
      <c r="K427" s="839" t="s">
        <v>27</v>
      </c>
      <c r="L427" s="856" t="s">
        <v>21</v>
      </c>
      <c r="M427" s="840">
        <f>M426</f>
        <v>1.7184999999999999</v>
      </c>
      <c r="N427" s="700"/>
      <c r="P427" s="871"/>
    </row>
    <row r="428" spans="1:16" s="863" customFormat="1" ht="12" customHeight="1">
      <c r="A428" s="921"/>
      <c r="B428" s="919"/>
      <c r="C428" s="919"/>
      <c r="D428" s="826"/>
      <c r="E428" s="790"/>
      <c r="F428" s="790"/>
      <c r="G428" s="700" t="s">
        <v>30</v>
      </c>
      <c r="H428" s="700" t="s">
        <v>30</v>
      </c>
      <c r="I428" s="700" t="s">
        <v>30</v>
      </c>
      <c r="J428" s="700" t="s">
        <v>30</v>
      </c>
      <c r="K428" s="700" t="s">
        <v>30</v>
      </c>
      <c r="L428" s="700" t="s">
        <v>30</v>
      </c>
      <c r="M428" s="876" t="s">
        <v>30</v>
      </c>
      <c r="N428" s="700"/>
      <c r="P428" s="871"/>
    </row>
    <row r="429" spans="1:16" s="863" customFormat="1" ht="12.75" customHeight="1">
      <c r="A429" s="921"/>
      <c r="B429" s="919"/>
      <c r="C429" s="919"/>
      <c r="D429" s="826"/>
      <c r="E429" s="790"/>
      <c r="F429" s="790"/>
      <c r="G429" s="700"/>
      <c r="H429" s="700"/>
      <c r="I429" s="700"/>
      <c r="J429" s="1674" t="s">
        <v>11934</v>
      </c>
      <c r="K429" s="1674"/>
      <c r="L429" s="700" t="s">
        <v>21</v>
      </c>
      <c r="M429" s="877">
        <f>M422</f>
        <v>1.7184999999999999</v>
      </c>
      <c r="N429" s="700"/>
      <c r="P429" s="871"/>
    </row>
    <row r="430" spans="1:16" s="863" customFormat="1" ht="12" customHeight="1">
      <c r="A430" s="921" t="s">
        <v>11940</v>
      </c>
      <c r="B430" s="919" t="s">
        <v>70</v>
      </c>
      <c r="C430" s="919">
        <v>95305</v>
      </c>
      <c r="D430" s="836" t="str">
        <f>PROPER(IF(B430="Saneago",VLOOKUP(C430,'SANEAGO-FEV.2016'!A:B,2,0),IF(B430="SINAPI",VLOOKUP(C430,'SINAPI-FEV.2017'!A:D,2,0),IF(B430="Cotação",VLOOKUP(C430,COTAÇÃO!A:D,2,0),IF(B430="Composição",VLOOKUP(C430,COMPOSIÇÃO!A:D,2,0))))))</f>
        <v>Textura Acrílica, Aplicação Manual Em Parede, Uma Demão. Af_09/2016</v>
      </c>
      <c r="E430" s="837"/>
      <c r="F430" s="837"/>
      <c r="G430" s="838"/>
      <c r="H430" s="1021" t="s">
        <v>73</v>
      </c>
      <c r="I430" s="838"/>
      <c r="J430" s="838"/>
      <c r="K430" s="839" t="s">
        <v>27</v>
      </c>
      <c r="L430" s="856" t="s">
        <v>21</v>
      </c>
      <c r="M430" s="840">
        <f>M429</f>
        <v>1.7184999999999999</v>
      </c>
      <c r="N430" s="700"/>
      <c r="P430" s="871"/>
    </row>
    <row r="431" spans="1:16" s="863" customFormat="1" ht="12" customHeight="1">
      <c r="A431" s="921"/>
      <c r="B431" s="919"/>
      <c r="C431" s="919"/>
      <c r="D431" s="826"/>
      <c r="E431" s="790"/>
      <c r="F431" s="790"/>
      <c r="G431" s="700" t="s">
        <v>30</v>
      </c>
      <c r="H431" s="700" t="s">
        <v>30</v>
      </c>
      <c r="I431" s="700" t="s">
        <v>17</v>
      </c>
      <c r="J431" s="700" t="s">
        <v>19</v>
      </c>
      <c r="K431" s="700" t="s">
        <v>32</v>
      </c>
      <c r="L431" s="700" t="s">
        <v>30</v>
      </c>
      <c r="M431" s="876" t="s">
        <v>30</v>
      </c>
      <c r="N431" s="700"/>
      <c r="P431" s="871"/>
    </row>
    <row r="432" spans="1:16" s="863" customFormat="1" ht="12" customHeight="1">
      <c r="A432" s="921"/>
      <c r="B432" s="919"/>
      <c r="C432" s="919"/>
      <c r="D432" s="826"/>
      <c r="E432" s="790"/>
      <c r="F432" s="1674" t="s">
        <v>11935</v>
      </c>
      <c r="G432" s="1674"/>
      <c r="H432" s="700"/>
      <c r="I432" s="700">
        <v>2.8</v>
      </c>
      <c r="J432" s="700">
        <v>1.8</v>
      </c>
      <c r="K432" s="700">
        <v>1.95</v>
      </c>
      <c r="L432" s="700" t="s">
        <v>21</v>
      </c>
      <c r="M432" s="877">
        <f>(I432*2+J432*2)*K432</f>
        <v>17.939999999999998</v>
      </c>
      <c r="N432" s="700"/>
      <c r="P432" s="871"/>
    </row>
    <row r="433" spans="1:16" s="863" customFormat="1" ht="12" customHeight="1">
      <c r="A433" s="921"/>
      <c r="B433" s="919"/>
      <c r="C433" s="919"/>
      <c r="D433" s="826"/>
      <c r="E433" s="790"/>
      <c r="F433" s="854"/>
      <c r="G433" s="854" t="s">
        <v>11841</v>
      </c>
      <c r="H433" s="700"/>
      <c r="I433" s="700">
        <f t="shared" ref="I433:J435" si="66">J46</f>
        <v>2.82</v>
      </c>
      <c r="J433" s="700">
        <f t="shared" si="66"/>
        <v>2.7</v>
      </c>
      <c r="K433" s="828">
        <f>K128</f>
        <v>2.15</v>
      </c>
      <c r="L433" s="700" t="s">
        <v>21</v>
      </c>
      <c r="M433" s="877">
        <f>(I433*2+J433*2)*K433</f>
        <v>23.735999999999997</v>
      </c>
      <c r="N433" s="700"/>
      <c r="P433" s="871"/>
    </row>
    <row r="434" spans="1:16" s="863" customFormat="1" ht="12" customHeight="1">
      <c r="A434" s="921"/>
      <c r="B434" s="919"/>
      <c r="C434" s="919"/>
      <c r="D434" s="826"/>
      <c r="E434" s="790"/>
      <c r="F434" s="854"/>
      <c r="G434" s="854" t="s">
        <v>11842</v>
      </c>
      <c r="H434" s="700"/>
      <c r="I434" s="700">
        <f t="shared" si="66"/>
        <v>3.05</v>
      </c>
      <c r="J434" s="700">
        <f t="shared" si="66"/>
        <v>2.2000000000000002</v>
      </c>
      <c r="K434" s="828">
        <f>K129</f>
        <v>1.5999999999999999</v>
      </c>
      <c r="L434" s="700" t="s">
        <v>21</v>
      </c>
      <c r="M434" s="877">
        <f>(I434*2+J434*2)*K434</f>
        <v>16.799999999999997</v>
      </c>
      <c r="N434" s="700"/>
      <c r="P434" s="871"/>
    </row>
    <row r="435" spans="1:16" s="863" customFormat="1" ht="12" customHeight="1">
      <c r="A435" s="921"/>
      <c r="B435" s="919"/>
      <c r="C435" s="919"/>
      <c r="D435" s="826"/>
      <c r="E435" s="790"/>
      <c r="F435" s="854"/>
      <c r="G435" s="854" t="s">
        <v>11843</v>
      </c>
      <c r="H435" s="700"/>
      <c r="I435" s="700">
        <f t="shared" si="66"/>
        <v>2.7</v>
      </c>
      <c r="J435" s="700">
        <f t="shared" si="66"/>
        <v>2.5499999999999998</v>
      </c>
      <c r="K435" s="828">
        <f>K130</f>
        <v>0.45</v>
      </c>
      <c r="L435" s="700" t="s">
        <v>21</v>
      </c>
      <c r="M435" s="877">
        <f>(I435*2+J435*2)*K435</f>
        <v>4.7250000000000005</v>
      </c>
      <c r="N435" s="700"/>
      <c r="P435" s="871"/>
    </row>
    <row r="436" spans="1:16" s="863" customFormat="1" ht="12" customHeight="1">
      <c r="A436" s="921"/>
      <c r="B436" s="919"/>
      <c r="C436" s="919"/>
      <c r="D436" s="826"/>
      <c r="E436" s="790"/>
      <c r="F436" s="790"/>
      <c r="G436" s="700"/>
      <c r="H436" s="700"/>
      <c r="I436" s="700"/>
      <c r="J436" s="700"/>
      <c r="K436" s="700"/>
      <c r="L436" s="700"/>
      <c r="M436" s="877"/>
      <c r="N436" s="700"/>
      <c r="P436" s="871"/>
    </row>
    <row r="437" spans="1:16" s="863" customFormat="1" ht="12.75" customHeight="1">
      <c r="A437" s="921"/>
      <c r="B437" s="919"/>
      <c r="C437" s="919"/>
      <c r="D437" s="826"/>
      <c r="E437" s="790"/>
      <c r="F437" s="790"/>
      <c r="G437" s="700"/>
      <c r="H437" s="700"/>
      <c r="I437" s="700"/>
      <c r="J437" s="700"/>
      <c r="K437" s="889"/>
      <c r="L437" s="700"/>
      <c r="M437" s="877"/>
      <c r="N437" s="700"/>
      <c r="P437" s="871"/>
    </row>
    <row r="438" spans="1:16" s="863" customFormat="1" ht="12" customHeight="1">
      <c r="A438" s="921" t="s">
        <v>11868</v>
      </c>
      <c r="B438" s="855" t="s">
        <v>70</v>
      </c>
      <c r="C438" s="855" t="s">
        <v>16604</v>
      </c>
      <c r="D438" s="836" t="str">
        <f>PROPER(IF(B438="Saneago",VLOOKUP(C438,'SANEAGO-FEV.2016'!A:B,2,0),IF(B438="SINAPI",VLOOKUP(C438,'SINAPI-FEV.2017'!A:D,2,0),IF(B438="Cotação",VLOOKUP(C438,COTAÇÃO!A:D,2,0),IF(B438="Composição",VLOOKUP(C438,COMPOSIÇÃO!A:D,2,0))))))</f>
        <v>Impermeabilizacao De Estruturas Enterradas, Com Tinta Asfaltica, Duas Demaos.</v>
      </c>
      <c r="E438" s="837"/>
      <c r="F438" s="837"/>
      <c r="G438" s="838"/>
      <c r="H438" s="1021" t="s">
        <v>73</v>
      </c>
      <c r="I438" s="838"/>
      <c r="J438" s="838"/>
      <c r="K438" s="839" t="s">
        <v>27</v>
      </c>
      <c r="L438" s="856" t="s">
        <v>21</v>
      </c>
      <c r="M438" s="840">
        <f>SUM(M432:M436)</f>
        <v>63.200999999999993</v>
      </c>
      <c r="N438" s="700"/>
      <c r="P438" s="871"/>
    </row>
    <row r="439" spans="1:16" s="863" customFormat="1" ht="16.5" customHeight="1">
      <c r="A439" s="921"/>
      <c r="B439" s="919"/>
      <c r="C439" s="919"/>
      <c r="D439" s="888"/>
      <c r="E439" s="790"/>
      <c r="F439" s="700" t="s">
        <v>30</v>
      </c>
      <c r="G439" s="700" t="s">
        <v>1275</v>
      </c>
      <c r="H439" s="700" t="s">
        <v>11936</v>
      </c>
      <c r="I439" s="700" t="s">
        <v>19</v>
      </c>
      <c r="J439" s="700" t="s">
        <v>32</v>
      </c>
      <c r="K439" s="700" t="s">
        <v>11937</v>
      </c>
      <c r="L439" s="700" t="s">
        <v>30</v>
      </c>
      <c r="M439" s="876" t="s">
        <v>30</v>
      </c>
      <c r="N439" s="700"/>
      <c r="P439" s="871"/>
    </row>
    <row r="440" spans="1:16" s="863" customFormat="1" ht="12" customHeight="1">
      <c r="A440" s="921"/>
      <c r="B440" s="919"/>
      <c r="C440" s="919"/>
      <c r="D440" s="888" t="s">
        <v>11837</v>
      </c>
      <c r="E440" s="824"/>
      <c r="F440" s="824"/>
      <c r="G440" s="700">
        <v>6</v>
      </c>
      <c r="H440" s="700">
        <v>1.48</v>
      </c>
      <c r="I440" s="700">
        <v>1.48</v>
      </c>
      <c r="J440" s="700">
        <v>0.65</v>
      </c>
      <c r="K440" s="700">
        <v>0.7</v>
      </c>
      <c r="L440" s="700" t="s">
        <v>21</v>
      </c>
      <c r="M440" s="877">
        <f>G440*((H440*I440*J440)-((3.14*K440^2/4)*I440/2))</f>
        <v>6.834714</v>
      </c>
      <c r="N440" s="700"/>
      <c r="P440" s="871"/>
    </row>
    <row r="441" spans="1:16" s="863" customFormat="1" ht="12" customHeight="1">
      <c r="A441" s="921"/>
      <c r="B441" s="919"/>
      <c r="C441" s="919"/>
      <c r="D441" s="888"/>
      <c r="E441" s="915"/>
      <c r="F441" s="1022"/>
      <c r="G441" s="1022"/>
      <c r="H441" s="1769" t="s">
        <v>20</v>
      </c>
      <c r="I441" s="1769"/>
      <c r="J441" s="816" t="s">
        <v>36</v>
      </c>
      <c r="K441" s="901"/>
      <c r="L441" s="700"/>
      <c r="M441" s="877"/>
      <c r="N441" s="700"/>
      <c r="P441" s="871"/>
    </row>
    <row r="442" spans="1:16" s="863" customFormat="1" ht="12.75" customHeight="1">
      <c r="A442" s="921"/>
      <c r="B442" s="919"/>
      <c r="C442" s="919"/>
      <c r="D442" s="888" t="s">
        <v>11938</v>
      </c>
      <c r="E442" s="790"/>
      <c r="F442" s="824"/>
      <c r="G442" s="824">
        <v>1</v>
      </c>
      <c r="H442" s="1704">
        <v>1.3</v>
      </c>
      <c r="I442" s="1704"/>
      <c r="J442" s="700">
        <v>1.5</v>
      </c>
      <c r="K442" s="828"/>
      <c r="L442" s="700" t="s">
        <v>21</v>
      </c>
      <c r="M442" s="877">
        <f>G442*H442*J442</f>
        <v>1.9500000000000002</v>
      </c>
      <c r="N442" s="700"/>
      <c r="P442" s="871"/>
    </row>
    <row r="443" spans="1:16" s="863" customFormat="1" ht="12.75" customHeight="1">
      <c r="A443" s="921"/>
      <c r="B443" s="919"/>
      <c r="C443" s="919"/>
      <c r="D443" s="888" t="s">
        <v>11840</v>
      </c>
      <c r="E443" s="790"/>
      <c r="F443" s="824"/>
      <c r="G443" s="824">
        <v>1</v>
      </c>
      <c r="H443" s="1704">
        <f>0.11*2*4</f>
        <v>0.88</v>
      </c>
      <c r="I443" s="1704"/>
      <c r="J443" s="700">
        <v>0.2</v>
      </c>
      <c r="K443" s="828"/>
      <c r="L443" s="700" t="s">
        <v>21</v>
      </c>
      <c r="M443" s="877">
        <f>G443*H443*J443</f>
        <v>0.17600000000000002</v>
      </c>
      <c r="N443" s="700"/>
      <c r="P443" s="871"/>
    </row>
    <row r="444" spans="1:16" s="863" customFormat="1" ht="12" customHeight="1">
      <c r="A444" s="921"/>
      <c r="B444" s="919"/>
      <c r="C444" s="919"/>
      <c r="D444" s="888" t="s">
        <v>11841</v>
      </c>
      <c r="E444" s="790"/>
      <c r="F444" s="824"/>
      <c r="G444" s="824">
        <v>1</v>
      </c>
      <c r="H444" s="1704">
        <f>(0.3+0.18)*2</f>
        <v>0.96</v>
      </c>
      <c r="I444" s="1704"/>
      <c r="J444" s="700">
        <v>1.1499999999999999</v>
      </c>
      <c r="K444" s="828"/>
      <c r="L444" s="700" t="s">
        <v>21</v>
      </c>
      <c r="M444" s="877">
        <f>G444*H444*J444</f>
        <v>1.1039999999999999</v>
      </c>
      <c r="N444" s="700"/>
      <c r="P444" s="871"/>
    </row>
    <row r="445" spans="1:16" s="863" customFormat="1" ht="12" customHeight="1">
      <c r="A445" s="921"/>
      <c r="B445" s="919"/>
      <c r="C445" s="919"/>
      <c r="D445" s="888" t="s">
        <v>11842</v>
      </c>
      <c r="E445" s="790"/>
      <c r="F445" s="700"/>
      <c r="G445" s="824">
        <v>1</v>
      </c>
      <c r="H445" s="1704">
        <f>0.2*2</f>
        <v>0.4</v>
      </c>
      <c r="I445" s="1704"/>
      <c r="J445" s="700">
        <v>0.35</v>
      </c>
      <c r="K445" s="828"/>
      <c r="L445" s="700" t="s">
        <v>21</v>
      </c>
      <c r="M445" s="877">
        <f>G445*H445*J445</f>
        <v>0.13999999999999999</v>
      </c>
      <c r="N445" s="700"/>
      <c r="P445" s="871"/>
    </row>
    <row r="446" spans="1:16" s="863" customFormat="1" ht="12" customHeight="1">
      <c r="A446" s="921"/>
      <c r="B446" s="919"/>
      <c r="C446" s="919"/>
      <c r="D446" s="888" t="s">
        <v>11843</v>
      </c>
      <c r="E446" s="790"/>
      <c r="F446" s="700"/>
      <c r="G446" s="824">
        <v>1</v>
      </c>
      <c r="H446" s="1704">
        <v>0.13</v>
      </c>
      <c r="I446" s="1704"/>
      <c r="J446" s="700">
        <v>0.25</v>
      </c>
      <c r="K446" s="828"/>
      <c r="L446" s="700" t="s">
        <v>21</v>
      </c>
      <c r="M446" s="877">
        <f>G446*H446*J446</f>
        <v>3.2500000000000001E-2</v>
      </c>
      <c r="N446" s="700"/>
      <c r="P446" s="871"/>
    </row>
    <row r="447" spans="1:16" s="863" customFormat="1" ht="12.75" customHeight="1">
      <c r="A447" s="921"/>
      <c r="B447" s="919"/>
      <c r="C447" s="919"/>
      <c r="D447" s="888"/>
      <c r="E447" s="790"/>
      <c r="F447" s="824"/>
      <c r="G447" s="824"/>
      <c r="H447" s="824"/>
      <c r="I447" s="700"/>
      <c r="J447" s="700"/>
      <c r="K447" s="889"/>
      <c r="L447" s="700"/>
      <c r="M447" s="877"/>
      <c r="N447" s="700"/>
      <c r="P447" s="871"/>
    </row>
    <row r="448" spans="1:16" s="863" customFormat="1" ht="22.5">
      <c r="A448" s="921" t="s">
        <v>11941</v>
      </c>
      <c r="B448" s="919" t="s">
        <v>70</v>
      </c>
      <c r="C448" s="919">
        <v>87298</v>
      </c>
      <c r="D448" s="836" t="str">
        <f>PROPER(IF(B448="Saneago",VLOOKUP(C448,'SANEAGO-FEV.2016'!A:B,2,0),IF(B448="SINAPI",VLOOKUP(C448,'SINAPI-FEV.2017'!A:D,2,0),IF(B448="Cotação",VLOOKUP(C448,COTAÇÃO!A:D,2,0),IF(B448="Composição",VLOOKUP(C448,COMPOSIÇÃO!A:D,2,0))))))</f>
        <v>Argamassa Traço 1:3 (Cimento E Areia Média) Para Contrapiso, Preparo Mecânico Com Betoneira 400 L. Af_06/2014</v>
      </c>
      <c r="E448" s="837"/>
      <c r="F448" s="837"/>
      <c r="G448" s="838"/>
      <c r="H448" s="1021" t="s">
        <v>73</v>
      </c>
      <c r="I448" s="838"/>
      <c r="J448" s="838"/>
      <c r="K448" s="839" t="s">
        <v>27</v>
      </c>
      <c r="L448" s="856" t="s">
        <v>21</v>
      </c>
      <c r="M448" s="840">
        <f>SUM(M440:M446)</f>
        <v>10.237214000000002</v>
      </c>
      <c r="N448" s="700"/>
      <c r="P448" s="871"/>
    </row>
    <row r="449" spans="1:18" s="863" customFormat="1" ht="9.75" customHeight="1" thickBot="1">
      <c r="A449" s="921"/>
      <c r="B449" s="919"/>
      <c r="C449" s="919"/>
      <c r="D449" s="826"/>
      <c r="E449" s="790"/>
      <c r="F449" s="790"/>
      <c r="G449" s="700"/>
      <c r="H449" s="700"/>
      <c r="I449" s="700"/>
      <c r="J449" s="828"/>
      <c r="K449" s="828"/>
      <c r="L449" s="828"/>
      <c r="M449" s="829"/>
      <c r="N449" s="700"/>
      <c r="P449" s="871"/>
    </row>
    <row r="450" spans="1:18" s="863" customFormat="1" ht="13.5" customHeight="1" thickTop="1" thickBot="1">
      <c r="A450" s="921"/>
      <c r="B450" s="919"/>
      <c r="C450" s="919"/>
      <c r="D450" s="830" t="s">
        <v>11695</v>
      </c>
      <c r="E450" s="831"/>
      <c r="F450" s="831"/>
      <c r="G450" s="831"/>
      <c r="H450" s="831"/>
      <c r="I450" s="831"/>
      <c r="J450" s="831"/>
      <c r="K450" s="831"/>
      <c r="L450" s="832" t="s">
        <v>25</v>
      </c>
      <c r="M450" s="833" t="s">
        <v>27</v>
      </c>
      <c r="N450" s="700"/>
      <c r="P450" s="871"/>
    </row>
    <row r="451" spans="1:18" s="863" customFormat="1" ht="15" customHeight="1" thickTop="1">
      <c r="A451" s="921"/>
      <c r="B451" s="919"/>
      <c r="C451" s="919"/>
      <c r="D451" s="826"/>
      <c r="E451" s="790"/>
      <c r="F451" s="790"/>
      <c r="G451" s="700" t="s">
        <v>30</v>
      </c>
      <c r="H451" s="700" t="s">
        <v>30</v>
      </c>
      <c r="I451" s="700" t="s">
        <v>30</v>
      </c>
      <c r="J451" s="700" t="s">
        <v>17</v>
      </c>
      <c r="K451" s="700" t="s">
        <v>19</v>
      </c>
      <c r="L451" s="700"/>
      <c r="M451" s="827"/>
      <c r="N451" s="700"/>
      <c r="P451" s="871"/>
    </row>
    <row r="452" spans="1:18" s="863" customFormat="1" ht="13.5" customHeight="1">
      <c r="A452" s="921"/>
      <c r="B452" s="919"/>
      <c r="C452" s="919"/>
      <c r="D452" s="826"/>
      <c r="E452" s="790"/>
      <c r="F452" s="790"/>
      <c r="G452" s="700"/>
      <c r="H452" s="700"/>
      <c r="I452" s="700" t="s">
        <v>11840</v>
      </c>
      <c r="J452" s="700">
        <v>3.6</v>
      </c>
      <c r="K452" s="700">
        <v>2.2999999999999998</v>
      </c>
      <c r="L452" s="700" t="s">
        <v>21</v>
      </c>
      <c r="M452" s="877">
        <f>J452*K452</f>
        <v>8.2799999999999994</v>
      </c>
      <c r="N452" s="700"/>
      <c r="P452" s="871"/>
    </row>
    <row r="453" spans="1:18" s="863" customFormat="1" ht="22.5">
      <c r="A453" s="921" t="s">
        <v>11869</v>
      </c>
      <c r="B453" s="855" t="s">
        <v>70</v>
      </c>
      <c r="C453" s="855" t="s">
        <v>18613</v>
      </c>
      <c r="D453" s="836" t="str">
        <f>PROPER(IF(B453="Saneago",VLOOKUP(C453,'SANEAGO-FEV.2016'!A:B,2,0),IF(B453="SINAPI",VLOOKUP(C453,'SINAPI-FEV.2017'!A:D,2,0),IF(B453="Cotação",VLOOKUP(C453,COTAÇÃO!A:D,2,0),IF(B453="Composição",VLOOKUP(C453,COMPOSIÇÃO!A:D,2,0))))))</f>
        <v>Piso Cimentado Traco 1:3 (Cimento E Areia), Com Acabamento Rustico E Frisado Espessura 2Cm, Preparo Manual</v>
      </c>
      <c r="E453" s="837"/>
      <c r="F453" s="837"/>
      <c r="G453" s="838"/>
      <c r="H453" s="838"/>
      <c r="I453" s="851"/>
      <c r="J453" s="838"/>
      <c r="K453" s="839" t="s">
        <v>27</v>
      </c>
      <c r="L453" s="856" t="s">
        <v>21</v>
      </c>
      <c r="M453" s="840">
        <f>M452</f>
        <v>8.2799999999999994</v>
      </c>
      <c r="N453" s="700"/>
      <c r="P453" s="871"/>
    </row>
    <row r="454" spans="1:18" s="863" customFormat="1">
      <c r="A454" s="921"/>
      <c r="B454" s="919"/>
      <c r="C454" s="919"/>
      <c r="D454" s="826"/>
      <c r="E454" s="790"/>
      <c r="F454" s="790"/>
      <c r="G454" s="700" t="s">
        <v>30</v>
      </c>
      <c r="H454" s="700" t="s">
        <v>30</v>
      </c>
      <c r="I454" s="700" t="s">
        <v>30</v>
      </c>
      <c r="J454" s="700" t="s">
        <v>20</v>
      </c>
      <c r="K454" s="700" t="s">
        <v>36</v>
      </c>
      <c r="L454" s="700"/>
      <c r="M454" s="827"/>
      <c r="N454" s="700"/>
      <c r="P454" s="871"/>
    </row>
    <row r="455" spans="1:18" s="863" customFormat="1">
      <c r="A455" s="921"/>
      <c r="B455" s="919"/>
      <c r="C455" s="919"/>
      <c r="D455" s="826"/>
      <c r="E455" s="790"/>
      <c r="F455" s="790"/>
      <c r="G455" s="700"/>
      <c r="H455" s="700"/>
      <c r="I455" s="700" t="s">
        <v>11840</v>
      </c>
      <c r="J455" s="700">
        <v>13.4</v>
      </c>
      <c r="K455" s="700">
        <v>0.06</v>
      </c>
      <c r="L455" s="700" t="s">
        <v>20309</v>
      </c>
      <c r="M455" s="877">
        <f>K455*J455</f>
        <v>0.80399999999999994</v>
      </c>
      <c r="N455" s="700"/>
      <c r="P455" s="871"/>
    </row>
    <row r="456" spans="1:18" s="863" customFormat="1" ht="22.5">
      <c r="A456" s="921" t="s">
        <v>11942</v>
      </c>
      <c r="B456" s="855" t="s">
        <v>70</v>
      </c>
      <c r="C456" s="850">
        <v>94990</v>
      </c>
      <c r="D456" s="836" t="str">
        <f>PROPER(IF(B456="Saneago",VLOOKUP(C456,'SANEAGO-FEV.2016'!A:B,2,0),IF(B456="SINAPI",VLOOKUP(C456,'SINAPI-FEV.2017'!A:D,2,0),IF(B456="Cotação",VLOOKUP(C456,COTAÇÃO!A:D,2,0),IF(B456="Composição",VLOOKUP(C456,COMPOSIÇÃO!A:D,2,0))))))</f>
        <v>Execução De Passeio (Calçada) Ou Piso De Concreto Com Concreto Moldado In Loco, Feito Em Obra, Acabamento Convencional, Não Armado. Af_07/2016</v>
      </c>
      <c r="E456" s="837"/>
      <c r="F456" s="837"/>
      <c r="G456" s="838"/>
      <c r="H456" s="838"/>
      <c r="I456" s="851"/>
      <c r="J456" s="838"/>
      <c r="K456" s="839" t="s">
        <v>27</v>
      </c>
      <c r="L456" s="856" t="s">
        <v>21</v>
      </c>
      <c r="M456" s="840">
        <f>M455</f>
        <v>0.80399999999999994</v>
      </c>
      <c r="N456" s="700"/>
      <c r="P456" s="871"/>
    </row>
    <row r="457" spans="1:18" s="863" customFormat="1">
      <c r="A457" s="921"/>
      <c r="B457" s="919"/>
      <c r="C457" s="919"/>
      <c r="D457" s="826"/>
      <c r="E457" s="790"/>
      <c r="F457" s="790"/>
      <c r="G457" s="700" t="s">
        <v>30</v>
      </c>
      <c r="H457" s="700" t="s">
        <v>30</v>
      </c>
      <c r="I457" s="700" t="s">
        <v>17</v>
      </c>
      <c r="J457" s="700" t="s">
        <v>19</v>
      </c>
      <c r="K457" s="700" t="s">
        <v>36</v>
      </c>
      <c r="L457" s="700"/>
      <c r="M457" s="827"/>
      <c r="N457" s="700"/>
      <c r="P457" s="871"/>
    </row>
    <row r="458" spans="1:18" s="863" customFormat="1" ht="13.5" customHeight="1">
      <c r="A458" s="921"/>
      <c r="B458" s="855"/>
      <c r="C458" s="850"/>
      <c r="D458" s="826"/>
      <c r="E458" s="790"/>
      <c r="F458" s="790"/>
      <c r="G458" s="700"/>
      <c r="H458" s="700" t="s">
        <v>11840</v>
      </c>
      <c r="I458" s="700">
        <v>3.6</v>
      </c>
      <c r="J458" s="700">
        <v>2.2999999999999998</v>
      </c>
      <c r="K458" s="700">
        <v>0.05</v>
      </c>
      <c r="L458" s="700" t="s">
        <v>22</v>
      </c>
      <c r="M458" s="877">
        <f>I458*J458*K458</f>
        <v>0.41399999999999998</v>
      </c>
      <c r="N458" s="700"/>
      <c r="P458" s="871"/>
    </row>
    <row r="459" spans="1:18" s="863" customFormat="1" ht="22.5">
      <c r="A459" s="921" t="s">
        <v>11943</v>
      </c>
      <c r="B459" s="855" t="s">
        <v>70</v>
      </c>
      <c r="C459" s="850">
        <v>94969</v>
      </c>
      <c r="D459" s="836" t="str">
        <f>PROPER(IF(B459="Saneago",VLOOKUP(C459,'SANEAGO-FEV.2016'!A:B,2,0),IF(B459="SINAPI",VLOOKUP(C459,'SINAPI-FEV.2017'!A:D,2,0),IF(B459="Cotação",VLOOKUP(C459,COTAÇÃO!A:D,2,0),IF(B459="Composição",VLOOKUP(C459,COMPOSIÇÃO!A:D,2,0))))))</f>
        <v>Concreto Fck = 15Mpa, Traço 1:3,4:3,5 (Cimento/ Areia Média/ Brita 1)  - Preparo Mecânico Com Betoneira 600 L. Af_07/2016</v>
      </c>
      <c r="E459" s="837"/>
      <c r="F459" s="837"/>
      <c r="G459" s="838"/>
      <c r="H459" s="838"/>
      <c r="I459" s="851"/>
      <c r="J459" s="838"/>
      <c r="K459" s="839" t="s">
        <v>27</v>
      </c>
      <c r="L459" s="856" t="s">
        <v>22</v>
      </c>
      <c r="M459" s="840">
        <f>M458</f>
        <v>0.41399999999999998</v>
      </c>
      <c r="N459" s="700"/>
      <c r="P459" s="871"/>
    </row>
    <row r="460" spans="1:18" s="863" customFormat="1" ht="15" customHeight="1">
      <c r="A460" s="921"/>
      <c r="B460" s="855"/>
      <c r="C460" s="850"/>
      <c r="D460" s="826"/>
      <c r="E460" s="790"/>
      <c r="F460" s="790"/>
      <c r="G460" s="700" t="s">
        <v>30</v>
      </c>
      <c r="H460" s="700" t="s">
        <v>30</v>
      </c>
      <c r="I460" s="700" t="s">
        <v>30</v>
      </c>
      <c r="J460" s="700" t="s">
        <v>30</v>
      </c>
      <c r="K460" s="700" t="s">
        <v>30</v>
      </c>
      <c r="L460" s="700" t="s">
        <v>30</v>
      </c>
      <c r="M460" s="700" t="s">
        <v>30</v>
      </c>
      <c r="N460" s="700"/>
      <c r="P460" s="871"/>
    </row>
    <row r="461" spans="1:18" s="863" customFormat="1" ht="13.5" customHeight="1">
      <c r="A461" s="921" t="s">
        <v>14334</v>
      </c>
      <c r="B461" s="850" t="s">
        <v>70</v>
      </c>
      <c r="C461" s="922">
        <v>9537</v>
      </c>
      <c r="D461" s="836" t="str">
        <f>PROPER(IF(B461="Saneago",VLOOKUP(C461,'SANEAGO-FEV.2016'!A:B,2,0),IF(B461="SINAPI",VLOOKUP(C461,'SINAPI-FEV.2017'!A:D,2,0),IF(B461="Cotação",VLOOKUP(C461,COTAÇÃO!A:D,2,0),IF(B461="Composição",VLOOKUP(C461,COMPOSIÇÃO!A:D,2,0))))))</f>
        <v>Limpeza Final Da Obra</v>
      </c>
      <c r="E461" s="837"/>
      <c r="F461" s="837"/>
      <c r="G461" s="838"/>
      <c r="H461" s="838"/>
      <c r="I461" s="851"/>
      <c r="J461" s="838"/>
      <c r="K461" s="838"/>
      <c r="L461" s="852" t="s">
        <v>21</v>
      </c>
      <c r="M461" s="853">
        <f>M50</f>
        <v>59.600099999999998</v>
      </c>
      <c r="N461" s="700"/>
      <c r="P461" s="871"/>
    </row>
    <row r="462" spans="1:18" s="865" customFormat="1">
      <c r="A462" s="921"/>
      <c r="B462" s="855"/>
      <c r="C462" s="850"/>
      <c r="D462" s="857"/>
      <c r="E462" s="857"/>
      <c r="F462" s="858"/>
      <c r="G462" s="857"/>
      <c r="H462" s="857"/>
      <c r="I462" s="857"/>
      <c r="J462" s="859"/>
      <c r="K462" s="860"/>
      <c r="L462" s="861"/>
      <c r="M462" s="861"/>
      <c r="N462" s="700"/>
      <c r="O462" s="863"/>
      <c r="P462" s="871"/>
      <c r="Q462" s="863"/>
      <c r="R462" s="863"/>
    </row>
    <row r="463" spans="1:18" s="865" customFormat="1">
      <c r="A463" s="921"/>
      <c r="B463" s="919"/>
      <c r="C463" s="919"/>
      <c r="D463" s="857"/>
      <c r="E463" s="857"/>
      <c r="F463" s="858"/>
      <c r="G463" s="857"/>
      <c r="H463" s="857"/>
      <c r="I463" s="857"/>
      <c r="J463" s="859"/>
      <c r="K463" s="860"/>
      <c r="L463" s="861"/>
      <c r="M463" s="861"/>
      <c r="N463" s="700"/>
      <c r="O463" s="863"/>
      <c r="P463" s="871"/>
      <c r="Q463" s="863"/>
      <c r="R463" s="863"/>
    </row>
    <row r="464" spans="1:18" s="865" customFormat="1">
      <c r="A464" s="921"/>
      <c r="B464" s="919"/>
      <c r="C464" s="919"/>
      <c r="D464" s="857"/>
      <c r="E464" s="857"/>
      <c r="F464" s="858"/>
      <c r="G464" s="857"/>
      <c r="H464" s="857"/>
      <c r="I464" s="857"/>
      <c r="J464" s="859"/>
      <c r="K464" s="860"/>
      <c r="L464" s="861"/>
      <c r="M464" s="861"/>
      <c r="N464" s="700"/>
      <c r="O464" s="863"/>
      <c r="P464" s="871"/>
      <c r="Q464" s="863"/>
      <c r="R464" s="863"/>
    </row>
    <row r="465" spans="1:18" s="865" customFormat="1">
      <c r="A465" s="921"/>
      <c r="B465" s="919"/>
      <c r="C465" s="919"/>
      <c r="D465" s="857"/>
      <c r="E465" s="857"/>
      <c r="F465" s="858"/>
      <c r="G465" s="857"/>
      <c r="H465" s="857"/>
      <c r="I465" s="857"/>
      <c r="J465" s="859"/>
      <c r="K465" s="860"/>
      <c r="L465" s="861"/>
      <c r="M465" s="861"/>
      <c r="N465" s="700"/>
      <c r="O465" s="863"/>
      <c r="P465" s="871"/>
      <c r="Q465" s="863"/>
      <c r="R465" s="863"/>
    </row>
    <row r="466" spans="1:18" s="865" customFormat="1">
      <c r="A466" s="921"/>
      <c r="B466" s="919"/>
      <c r="C466" s="919"/>
      <c r="D466" s="857"/>
      <c r="E466" s="857"/>
      <c r="F466" s="858"/>
      <c r="G466" s="857"/>
      <c r="H466" s="857"/>
      <c r="I466" s="857"/>
      <c r="J466" s="859"/>
      <c r="K466" s="860"/>
      <c r="L466" s="861"/>
      <c r="M466" s="861"/>
      <c r="N466" s="700"/>
      <c r="O466" s="863"/>
      <c r="P466" s="871"/>
      <c r="Q466" s="863"/>
      <c r="R466" s="863"/>
    </row>
    <row r="467" spans="1:18" s="865" customFormat="1">
      <c r="A467" s="921"/>
      <c r="B467" s="919"/>
      <c r="C467" s="919"/>
      <c r="D467" s="857"/>
      <c r="E467" s="857"/>
      <c r="F467" s="858"/>
      <c r="G467" s="857"/>
      <c r="H467" s="857"/>
      <c r="I467" s="857"/>
      <c r="J467" s="859"/>
      <c r="K467" s="860"/>
      <c r="L467" s="861"/>
      <c r="M467" s="861"/>
      <c r="N467" s="700"/>
      <c r="O467" s="863"/>
      <c r="P467" s="871"/>
      <c r="Q467" s="863"/>
      <c r="R467" s="863"/>
    </row>
    <row r="468" spans="1:18" s="865" customFormat="1">
      <c r="A468" s="921"/>
      <c r="B468" s="919"/>
      <c r="C468" s="919"/>
      <c r="D468" s="857"/>
      <c r="E468" s="857"/>
      <c r="F468" s="858"/>
      <c r="G468" s="857"/>
      <c r="H468" s="857"/>
      <c r="I468" s="857"/>
      <c r="J468" s="859"/>
      <c r="K468" s="860"/>
      <c r="L468" s="861"/>
      <c r="M468" s="861"/>
      <c r="N468" s="700"/>
      <c r="O468" s="863"/>
      <c r="P468" s="871"/>
      <c r="Q468" s="863"/>
      <c r="R468" s="863"/>
    </row>
    <row r="469" spans="1:18" s="865" customFormat="1">
      <c r="A469" s="921"/>
      <c r="B469" s="919"/>
      <c r="C469" s="919"/>
      <c r="D469" s="857"/>
      <c r="E469" s="857"/>
      <c r="F469" s="858"/>
      <c r="G469" s="857"/>
      <c r="H469" s="857"/>
      <c r="I469" s="857"/>
      <c r="J469" s="859"/>
      <c r="K469" s="860"/>
      <c r="L469" s="861"/>
      <c r="M469" s="861"/>
      <c r="N469" s="700"/>
      <c r="O469" s="863"/>
      <c r="P469" s="871"/>
      <c r="Q469" s="863"/>
      <c r="R469" s="863"/>
    </row>
    <row r="470" spans="1:18" s="865" customFormat="1">
      <c r="A470" s="921"/>
      <c r="B470" s="919"/>
      <c r="C470" s="919"/>
      <c r="D470" s="857"/>
      <c r="E470" s="857"/>
      <c r="F470" s="858"/>
      <c r="G470" s="857"/>
      <c r="H470" s="857"/>
      <c r="I470" s="857"/>
      <c r="J470" s="859"/>
      <c r="K470" s="860"/>
      <c r="L470" s="861"/>
      <c r="M470" s="861"/>
      <c r="N470" s="700"/>
      <c r="O470" s="863"/>
      <c r="P470" s="871"/>
      <c r="Q470" s="863"/>
      <c r="R470" s="863"/>
    </row>
    <row r="471" spans="1:18" s="865" customFormat="1">
      <c r="A471" s="921"/>
      <c r="B471" s="919"/>
      <c r="C471" s="919"/>
      <c r="D471" s="857"/>
      <c r="E471" s="857"/>
      <c r="F471" s="858"/>
      <c r="G471" s="857"/>
      <c r="H471" s="857"/>
      <c r="I471" s="857"/>
      <c r="J471" s="859"/>
      <c r="K471" s="860"/>
      <c r="L471" s="861"/>
      <c r="M471" s="861"/>
      <c r="N471" s="700"/>
      <c r="O471" s="863"/>
      <c r="P471" s="871"/>
      <c r="Q471" s="863"/>
      <c r="R471" s="863"/>
    </row>
    <row r="472" spans="1:18" s="865" customFormat="1">
      <c r="A472" s="921"/>
      <c r="B472" s="919"/>
      <c r="C472" s="919"/>
      <c r="D472" s="857"/>
      <c r="E472" s="857"/>
      <c r="F472" s="858"/>
      <c r="G472" s="857"/>
      <c r="H472" s="857"/>
      <c r="I472" s="857"/>
      <c r="J472" s="859"/>
      <c r="K472" s="860"/>
      <c r="L472" s="861"/>
      <c r="M472" s="861"/>
      <c r="N472" s="700"/>
      <c r="O472" s="863"/>
      <c r="P472" s="871"/>
      <c r="Q472" s="863"/>
      <c r="R472" s="863"/>
    </row>
    <row r="473" spans="1:18" s="865" customFormat="1">
      <c r="A473" s="921"/>
      <c r="B473" s="919"/>
      <c r="C473" s="919"/>
      <c r="D473" s="857"/>
      <c r="E473" s="857"/>
      <c r="F473" s="858"/>
      <c r="G473" s="857"/>
      <c r="H473" s="857"/>
      <c r="I473" s="857"/>
      <c r="J473" s="859"/>
      <c r="K473" s="860"/>
      <c r="L473" s="861"/>
      <c r="M473" s="861"/>
      <c r="N473" s="700"/>
      <c r="O473" s="863"/>
      <c r="P473" s="871"/>
      <c r="Q473" s="863"/>
      <c r="R473" s="863"/>
    </row>
  </sheetData>
  <sheetProtection algorithmName="SHA-512" hashValue="yAD/AQCg0ZMUlAfCyphAQfiZ2U898oTNsm/vr16eoXFEO56Mly26eAt+2lMM9oB/VXfrO0OhINLLF81AxqOiKw==" saltValue="LwBpyy0mjJxOfU06lWqobA==" spinCount="100000" sheet="1"/>
  <mergeCells count="161">
    <mergeCell ref="H443:I443"/>
    <mergeCell ref="H444:I444"/>
    <mergeCell ref="H445:I445"/>
    <mergeCell ref="H446:I446"/>
    <mergeCell ref="D1:M4"/>
    <mergeCell ref="D26:M26"/>
    <mergeCell ref="J258:K258"/>
    <mergeCell ref="D10:M10"/>
    <mergeCell ref="E30:H30"/>
    <mergeCell ref="I308:K308"/>
    <mergeCell ref="E32:H32"/>
    <mergeCell ref="E33:H33"/>
    <mergeCell ref="H441:I441"/>
    <mergeCell ref="H442:I442"/>
    <mergeCell ref="E55:G55"/>
    <mergeCell ref="E56:G56"/>
    <mergeCell ref="E57:G57"/>
    <mergeCell ref="F60:G60"/>
    <mergeCell ref="F58:G58"/>
    <mergeCell ref="E54:G54"/>
    <mergeCell ref="E67:G67"/>
    <mergeCell ref="E68:G68"/>
    <mergeCell ref="E69:G69"/>
    <mergeCell ref="E70:G70"/>
    <mergeCell ref="F71:G71"/>
    <mergeCell ref="F59:G59"/>
    <mergeCell ref="E31:H31"/>
    <mergeCell ref="D12:M12"/>
    <mergeCell ref="E41:H41"/>
    <mergeCell ref="E43:H43"/>
    <mergeCell ref="E44:H44"/>
    <mergeCell ref="E42:H42"/>
    <mergeCell ref="F72:G72"/>
    <mergeCell ref="F73:G73"/>
    <mergeCell ref="E80:G80"/>
    <mergeCell ref="E81:G81"/>
    <mergeCell ref="E82:G82"/>
    <mergeCell ref="F125:G125"/>
    <mergeCell ref="E119:G119"/>
    <mergeCell ref="E121:G121"/>
    <mergeCell ref="E124:G124"/>
    <mergeCell ref="E120:G120"/>
    <mergeCell ref="E114:G114"/>
    <mergeCell ref="F97:G97"/>
    <mergeCell ref="F98:G98"/>
    <mergeCell ref="F99:G99"/>
    <mergeCell ref="E95:G95"/>
    <mergeCell ref="E96:G96"/>
    <mergeCell ref="E115:G115"/>
    <mergeCell ref="E116:G116"/>
    <mergeCell ref="E117:G117"/>
    <mergeCell ref="E284:G284"/>
    <mergeCell ref="E283:G283"/>
    <mergeCell ref="F126:G126"/>
    <mergeCell ref="E83:G83"/>
    <mergeCell ref="F84:G84"/>
    <mergeCell ref="E123:G123"/>
    <mergeCell ref="F127:G127"/>
    <mergeCell ref="F85:G85"/>
    <mergeCell ref="F86:G86"/>
    <mergeCell ref="E93:G93"/>
    <mergeCell ref="E94:G94"/>
    <mergeCell ref="E118:G118"/>
    <mergeCell ref="E288:G288"/>
    <mergeCell ref="E294:G294"/>
    <mergeCell ref="F297:G297"/>
    <mergeCell ref="E289:G289"/>
    <mergeCell ref="E290:G290"/>
    <mergeCell ref="E291:G291"/>
    <mergeCell ref="E293:G293"/>
    <mergeCell ref="E282:G282"/>
    <mergeCell ref="E285:G285"/>
    <mergeCell ref="E286:G286"/>
    <mergeCell ref="L352:L361"/>
    <mergeCell ref="E318:G318"/>
    <mergeCell ref="E342:G342"/>
    <mergeCell ref="F343:G343"/>
    <mergeCell ref="E332:G332"/>
    <mergeCell ref="E333:G333"/>
    <mergeCell ref="E335:G335"/>
    <mergeCell ref="E336:G336"/>
    <mergeCell ref="E337:G337"/>
    <mergeCell ref="E338:G338"/>
    <mergeCell ref="F325:G325"/>
    <mergeCell ref="E334:G334"/>
    <mergeCell ref="E319:G319"/>
    <mergeCell ref="E324:G324"/>
    <mergeCell ref="E321:G321"/>
    <mergeCell ref="E322:G322"/>
    <mergeCell ref="E122:G122"/>
    <mergeCell ref="E292:G292"/>
    <mergeCell ref="E320:G320"/>
    <mergeCell ref="E340:G340"/>
    <mergeCell ref="E323:G323"/>
    <mergeCell ref="E296:G296"/>
    <mergeCell ref="I297:K297"/>
    <mergeCell ref="I293:K293"/>
    <mergeCell ref="I321:K321"/>
    <mergeCell ref="I298:K298"/>
    <mergeCell ref="I299:K299"/>
    <mergeCell ref="I300:K300"/>
    <mergeCell ref="I326:K326"/>
    <mergeCell ref="I327:K327"/>
    <mergeCell ref="I328:K328"/>
    <mergeCell ref="E317:G317"/>
    <mergeCell ref="E311:G311"/>
    <mergeCell ref="E316:G316"/>
    <mergeCell ref="E310:G310"/>
    <mergeCell ref="E312:G312"/>
    <mergeCell ref="E313:G313"/>
    <mergeCell ref="E314:G314"/>
    <mergeCell ref="E315:G315"/>
    <mergeCell ref="E287:G287"/>
    <mergeCell ref="E414:F414"/>
    <mergeCell ref="E415:F415"/>
    <mergeCell ref="E380:G380"/>
    <mergeCell ref="E381:G381"/>
    <mergeCell ref="E404:G404"/>
    <mergeCell ref="I325:K325"/>
    <mergeCell ref="I343:K343"/>
    <mergeCell ref="E295:G295"/>
    <mergeCell ref="E409:G409"/>
    <mergeCell ref="E402:G402"/>
    <mergeCell ref="E405:G405"/>
    <mergeCell ref="E403:G403"/>
    <mergeCell ref="E393:G393"/>
    <mergeCell ref="E395:G395"/>
    <mergeCell ref="E396:G396"/>
    <mergeCell ref="E339:G339"/>
    <mergeCell ref="E341:G341"/>
    <mergeCell ref="I346:K346"/>
    <mergeCell ref="E382:G382"/>
    <mergeCell ref="I341:K341"/>
    <mergeCell ref="I344:K344"/>
    <mergeCell ref="I345:K345"/>
    <mergeCell ref="E376:G376"/>
    <mergeCell ref="E379:G379"/>
    <mergeCell ref="G257:H257"/>
    <mergeCell ref="J301:K301"/>
    <mergeCell ref="J302:K302"/>
    <mergeCell ref="F432:G432"/>
    <mergeCell ref="J426:K426"/>
    <mergeCell ref="J429:K429"/>
    <mergeCell ref="E421:F421"/>
    <mergeCell ref="E422:F422"/>
    <mergeCell ref="H421:I421"/>
    <mergeCell ref="H422:I422"/>
    <mergeCell ref="J421:K421"/>
    <mergeCell ref="J422:K422"/>
    <mergeCell ref="J414:K414"/>
    <mergeCell ref="J415:K415"/>
    <mergeCell ref="E399:G399"/>
    <mergeCell ref="E390:G390"/>
    <mergeCell ref="E391:G391"/>
    <mergeCell ref="E392:G392"/>
    <mergeCell ref="E397:G397"/>
    <mergeCell ref="E398:G398"/>
    <mergeCell ref="E347:G347"/>
    <mergeCell ref="E408:F408"/>
    <mergeCell ref="E394:G394"/>
    <mergeCell ref="E385:G385"/>
  </mergeCells>
  <conditionalFormatting sqref="L15:M24 K462:M65536 L51:M51 L369:M369 L172:M190 M402:M406 L411:M411 L152:M170">
    <cfRule type="cellIs" dxfId="1198" priority="282" operator="equal">
      <formula>0</formula>
    </cfRule>
  </conditionalFormatting>
  <conditionalFormatting sqref="K5:M9 K25:M25 L13 K11:M11 K387:M387 M261 L257">
    <cfRule type="cellIs" dxfId="1197" priority="283" operator="equal">
      <formula>0</formula>
    </cfRule>
  </conditionalFormatting>
  <conditionalFormatting sqref="L14">
    <cfRule type="cellIs" dxfId="1196" priority="280" operator="equal">
      <formula>0</formula>
    </cfRule>
  </conditionalFormatting>
  <conditionalFormatting sqref="L27:M27">
    <cfRule type="cellIs" dxfId="1195" priority="278" operator="equal">
      <formula>0</formula>
    </cfRule>
  </conditionalFormatting>
  <conditionalFormatting sqref="L373:M373">
    <cfRule type="cellIs" dxfId="1194" priority="274" operator="equal">
      <formula>0</formula>
    </cfRule>
  </conditionalFormatting>
  <conditionalFormatting sqref="L108:M108">
    <cfRule type="cellIs" dxfId="1193" priority="272" operator="equal">
      <formula>0</formula>
    </cfRule>
  </conditionalFormatting>
  <conditionalFormatting sqref="L262:M262">
    <cfRule type="cellIs" dxfId="1192" priority="271" operator="equal">
      <formula>0</formula>
    </cfRule>
  </conditionalFormatting>
  <conditionalFormatting sqref="L270:M270">
    <cfRule type="cellIs" dxfId="1191" priority="270" operator="equal">
      <formula>0</formula>
    </cfRule>
  </conditionalFormatting>
  <conditionalFormatting sqref="L269:M269">
    <cfRule type="cellIs" dxfId="1190" priority="269" operator="equal">
      <formula>0</formula>
    </cfRule>
  </conditionalFormatting>
  <conditionalFormatting sqref="L271:M271">
    <cfRule type="cellIs" dxfId="1189" priority="268" operator="equal">
      <formula>0</formula>
    </cfRule>
  </conditionalFormatting>
  <conditionalFormatting sqref="L274:M274">
    <cfRule type="cellIs" dxfId="1188" priority="266" operator="equal">
      <formula>0</formula>
    </cfRule>
  </conditionalFormatting>
  <conditionalFormatting sqref="L273:M273">
    <cfRule type="cellIs" dxfId="1187" priority="265" operator="equal">
      <formula>0</formula>
    </cfRule>
  </conditionalFormatting>
  <conditionalFormatting sqref="L276:M276">
    <cfRule type="cellIs" dxfId="1186" priority="264" operator="equal">
      <formula>0</formula>
    </cfRule>
  </conditionalFormatting>
  <conditionalFormatting sqref="L275:M275">
    <cfRule type="cellIs" dxfId="1185" priority="263" operator="equal">
      <formula>0</formula>
    </cfRule>
  </conditionalFormatting>
  <conditionalFormatting sqref="L277:M277">
    <cfRule type="cellIs" dxfId="1184" priority="261" operator="equal">
      <formula>0</formula>
    </cfRule>
  </conditionalFormatting>
  <conditionalFormatting sqref="L278">
    <cfRule type="cellIs" dxfId="1183" priority="262" operator="equal">
      <formula>0</formula>
    </cfRule>
  </conditionalFormatting>
  <conditionalFormatting sqref="M151">
    <cfRule type="cellIs" dxfId="1182" priority="251" operator="equal">
      <formula>0</formula>
    </cfRule>
  </conditionalFormatting>
  <conditionalFormatting sqref="L132:M140 L142:M150">
    <cfRule type="cellIs" dxfId="1181" priority="252" operator="equal">
      <formula>0</formula>
    </cfRule>
  </conditionalFormatting>
  <conditionalFormatting sqref="M278">
    <cfRule type="cellIs" dxfId="1180" priority="260" operator="equal">
      <formula>0</formula>
    </cfRule>
  </conditionalFormatting>
  <conditionalFormatting sqref="L449:M449">
    <cfRule type="cellIs" dxfId="1179" priority="249" operator="equal">
      <formula>0</formula>
    </cfRule>
  </conditionalFormatting>
  <conditionalFormatting sqref="L279:M279">
    <cfRule type="cellIs" dxfId="1178" priority="250" operator="equal">
      <formula>0</formula>
    </cfRule>
  </conditionalFormatting>
  <conditionalFormatting sqref="L371:M372">
    <cfRule type="cellIs" dxfId="1177" priority="247" operator="equal">
      <formula>0</formula>
    </cfRule>
  </conditionalFormatting>
  <conditionalFormatting sqref="L451:M451">
    <cfRule type="cellIs" dxfId="1176" priority="240" operator="equal">
      <formula>0</formula>
    </cfRule>
  </conditionalFormatting>
  <conditionalFormatting sqref="L105:M105">
    <cfRule type="cellIs" dxfId="1175" priority="236" operator="equal">
      <formula>0</formula>
    </cfRule>
  </conditionalFormatting>
  <conditionalFormatting sqref="L40:M41 L49:M50 L43:L48 M42:M48">
    <cfRule type="cellIs" dxfId="1174" priority="235" operator="equal">
      <formula>0</formula>
    </cfRule>
  </conditionalFormatting>
  <conditionalFormatting sqref="L109:M109">
    <cfRule type="cellIs" dxfId="1173" priority="232" operator="equal">
      <formula>0</formula>
    </cfRule>
  </conditionalFormatting>
  <conditionalFormatting sqref="L110:M110">
    <cfRule type="cellIs" dxfId="1172" priority="231" operator="equal">
      <formula>0</formula>
    </cfRule>
  </conditionalFormatting>
  <conditionalFormatting sqref="L111:M111">
    <cfRule type="cellIs" dxfId="1171" priority="230" operator="equal">
      <formula>0</formula>
    </cfRule>
  </conditionalFormatting>
  <conditionalFormatting sqref="L225">
    <cfRule type="cellIs" dxfId="1170" priority="207" operator="equal">
      <formula>0</formula>
    </cfRule>
  </conditionalFormatting>
  <conditionalFormatting sqref="L112:M112">
    <cfRule type="cellIs" dxfId="1169" priority="229" operator="equal">
      <formula>0</formula>
    </cfRule>
  </conditionalFormatting>
  <conditionalFormatting sqref="L267:M267">
    <cfRule type="cellIs" dxfId="1168" priority="204" operator="equal">
      <formula>0</formula>
    </cfRule>
  </conditionalFormatting>
  <conditionalFormatting sqref="L212:M212">
    <cfRule type="cellIs" dxfId="1167" priority="224" operator="equal">
      <formula>0</formula>
    </cfRule>
  </conditionalFormatting>
  <conditionalFormatting sqref="L213:M213">
    <cfRule type="cellIs" dxfId="1166" priority="223" operator="equal">
      <formula>0</formula>
    </cfRule>
  </conditionalFormatting>
  <conditionalFormatting sqref="M191">
    <cfRule type="cellIs" dxfId="1165" priority="222" operator="equal">
      <formula>0</formula>
    </cfRule>
  </conditionalFormatting>
  <conditionalFormatting sqref="M215">
    <cfRule type="cellIs" dxfId="1164" priority="220" operator="equal">
      <formula>0</formula>
    </cfRule>
  </conditionalFormatting>
  <conditionalFormatting sqref="L222">
    <cfRule type="cellIs" dxfId="1163" priority="215" operator="equal">
      <formula>0</formula>
    </cfRule>
  </conditionalFormatting>
  <conditionalFormatting sqref="L223">
    <cfRule type="cellIs" dxfId="1162" priority="208" operator="equal">
      <formula>0</formula>
    </cfRule>
  </conditionalFormatting>
  <conditionalFormatting sqref="L221">
    <cfRule type="cellIs" dxfId="1161" priority="209" operator="equal">
      <formula>0</formula>
    </cfRule>
  </conditionalFormatting>
  <conditionalFormatting sqref="L214:M214">
    <cfRule type="cellIs" dxfId="1160" priority="221" operator="equal">
      <formula>0</formula>
    </cfRule>
  </conditionalFormatting>
  <conditionalFormatting sqref="L219">
    <cfRule type="cellIs" dxfId="1159" priority="210" operator="equal">
      <formula>0</formula>
    </cfRule>
  </conditionalFormatting>
  <conditionalFormatting sqref="L218">
    <cfRule type="cellIs" dxfId="1158" priority="219" operator="equal">
      <formula>0</formula>
    </cfRule>
  </conditionalFormatting>
  <conditionalFormatting sqref="L224">
    <cfRule type="cellIs" dxfId="1157" priority="213" operator="equal">
      <formula>0</formula>
    </cfRule>
  </conditionalFormatting>
  <conditionalFormatting sqref="L220">
    <cfRule type="cellIs" dxfId="1156" priority="217" operator="equal">
      <formula>0</formula>
    </cfRule>
  </conditionalFormatting>
  <conditionalFormatting sqref="L268:M268">
    <cfRule type="cellIs" dxfId="1155" priority="203" operator="equal">
      <formula>0</formula>
    </cfRule>
  </conditionalFormatting>
  <conditionalFormatting sqref="L215">
    <cfRule type="cellIs" dxfId="1154" priority="211" operator="equal">
      <formula>0</formula>
    </cfRule>
  </conditionalFormatting>
  <conditionalFormatting sqref="G268:K268">
    <cfRule type="cellIs" dxfId="1153" priority="201" operator="equal">
      <formula>0</formula>
    </cfRule>
  </conditionalFormatting>
  <conditionalFormatting sqref="L237:M237">
    <cfRule type="cellIs" dxfId="1152" priority="206" operator="equal">
      <formula>0</formula>
    </cfRule>
  </conditionalFormatting>
  <conditionalFormatting sqref="G267:K267">
    <cfRule type="cellIs" dxfId="1151" priority="202" operator="equal">
      <formula>0</formula>
    </cfRule>
  </conditionalFormatting>
  <conditionalFormatting sqref="M13:M14">
    <cfRule type="cellIs" dxfId="1150" priority="192" operator="equal">
      <formula>0</formula>
    </cfRule>
  </conditionalFormatting>
  <conditionalFormatting sqref="L438:M438">
    <cfRule type="cellIs" dxfId="1149" priority="199" operator="equal">
      <formula>0</formula>
    </cfRule>
  </conditionalFormatting>
  <conditionalFormatting sqref="M91">
    <cfRule type="cellIs" dxfId="1148" priority="154" operator="equal">
      <formula>0</formula>
    </cfRule>
  </conditionalFormatting>
  <conditionalFormatting sqref="L258:M260">
    <cfRule type="cellIs" dxfId="1147" priority="179" operator="equal">
      <formula>0</formula>
    </cfRule>
  </conditionalFormatting>
  <conditionalFormatting sqref="L65:M65">
    <cfRule type="cellIs" dxfId="1146" priority="177" operator="equal">
      <formula>0</formula>
    </cfRule>
  </conditionalFormatting>
  <conditionalFormatting sqref="L78">
    <cfRule type="cellIs" dxfId="1145" priority="174" operator="equal">
      <formula>0</formula>
    </cfRule>
  </conditionalFormatting>
  <conditionalFormatting sqref="M78 M90">
    <cfRule type="cellIs" dxfId="1144" priority="155" operator="equal">
      <formula>0</formula>
    </cfRule>
  </conditionalFormatting>
  <conditionalFormatting sqref="L191">
    <cfRule type="cellIs" dxfId="1143" priority="150" operator="equal">
      <formula>0</formula>
    </cfRule>
  </conditionalFormatting>
  <conditionalFormatting sqref="D12 D60:D64">
    <cfRule type="cellIs" dxfId="1142" priority="284" operator="equal">
      <formula>0</formula>
    </cfRule>
  </conditionalFormatting>
  <conditionalFormatting sqref="D374">
    <cfRule type="cellIs" dxfId="1141" priority="281" operator="equal">
      <formula>0</formula>
    </cfRule>
  </conditionalFormatting>
  <conditionalFormatting sqref="D26">
    <cfRule type="cellIs" dxfId="1140" priority="279" operator="equal">
      <formula>0</formula>
    </cfRule>
  </conditionalFormatting>
  <conditionalFormatting sqref="D10">
    <cfRule type="cellIs" dxfId="1139" priority="276" operator="equal">
      <formula>0</formula>
    </cfRule>
  </conditionalFormatting>
  <conditionalFormatting sqref="D106">
    <cfRule type="cellIs" dxfId="1138" priority="275" operator="equal">
      <formula>0</formula>
    </cfRule>
  </conditionalFormatting>
  <conditionalFormatting sqref="D107">
    <cfRule type="cellIs" dxfId="1137" priority="273" operator="equal">
      <formula>0</formula>
    </cfRule>
  </conditionalFormatting>
  <conditionalFormatting sqref="D272">
    <cfRule type="cellIs" dxfId="1136" priority="267" operator="equal">
      <formula>0</formula>
    </cfRule>
  </conditionalFormatting>
  <conditionalFormatting sqref="D280">
    <cfRule type="cellIs" dxfId="1135" priority="253" operator="equal">
      <formula>0</formula>
    </cfRule>
  </conditionalFormatting>
  <conditionalFormatting sqref="D412">
    <cfRule type="cellIs" dxfId="1134" priority="255" operator="equal">
      <formula>0</formula>
    </cfRule>
  </conditionalFormatting>
  <conditionalFormatting sqref="D450">
    <cfRule type="cellIs" dxfId="1133" priority="248" operator="equal">
      <formula>0</formula>
    </cfRule>
  </conditionalFormatting>
  <conditionalFormatting sqref="D28">
    <cfRule type="cellIs" dxfId="1132" priority="238" operator="equal">
      <formula>0</formula>
    </cfRule>
  </conditionalFormatting>
  <conditionalFormatting sqref="D52:D58">
    <cfRule type="cellIs" dxfId="1131" priority="178" operator="equal">
      <formula>0</formula>
    </cfRule>
  </conditionalFormatting>
  <conditionalFormatting sqref="L377">
    <cfRule type="cellIs" dxfId="1130" priority="130" operator="equal">
      <formula>0</formula>
    </cfRule>
  </conditionalFormatting>
  <conditionalFormatting sqref="M377">
    <cfRule type="cellIs" dxfId="1129" priority="129" operator="equal">
      <formula>0</formula>
    </cfRule>
  </conditionalFormatting>
  <conditionalFormatting sqref="L383">
    <cfRule type="cellIs" dxfId="1128" priority="128" operator="equal">
      <formula>0</formula>
    </cfRule>
  </conditionalFormatting>
  <conditionalFormatting sqref="M383">
    <cfRule type="cellIs" dxfId="1127" priority="127" operator="equal">
      <formula>0</formula>
    </cfRule>
  </conditionalFormatting>
  <conditionalFormatting sqref="L453:M453">
    <cfRule type="cellIs" dxfId="1126" priority="126" operator="equal">
      <formula>0</formula>
    </cfRule>
  </conditionalFormatting>
  <conditionalFormatting sqref="L226 L228 L230 L232 L234">
    <cfRule type="cellIs" dxfId="1125" priority="93" operator="equal">
      <formula>0</formula>
    </cfRule>
  </conditionalFormatting>
  <conditionalFormatting sqref="L227 L229 L231 L233 L235">
    <cfRule type="cellIs" dxfId="1124" priority="92" operator="equal">
      <formula>0</formula>
    </cfRule>
  </conditionalFormatting>
  <conditionalFormatting sqref="M224">
    <cfRule type="cellIs" dxfId="1123" priority="83" operator="equal">
      <formula>0</formula>
    </cfRule>
  </conditionalFormatting>
  <conditionalFormatting sqref="M218">
    <cfRule type="cellIs" dxfId="1122" priority="89" operator="equal">
      <formula>0</formula>
    </cfRule>
  </conditionalFormatting>
  <conditionalFormatting sqref="M222">
    <cfRule type="cellIs" dxfId="1121" priority="85" operator="equal">
      <formula>0</formula>
    </cfRule>
  </conditionalFormatting>
  <conditionalFormatting sqref="M219">
    <cfRule type="cellIs" dxfId="1120" priority="88" operator="equal">
      <formula>0</formula>
    </cfRule>
  </conditionalFormatting>
  <conditionalFormatting sqref="M220">
    <cfRule type="cellIs" dxfId="1119" priority="87" operator="equal">
      <formula>0</formula>
    </cfRule>
  </conditionalFormatting>
  <conditionalFormatting sqref="M221">
    <cfRule type="cellIs" dxfId="1118" priority="86" operator="equal">
      <formula>0</formula>
    </cfRule>
  </conditionalFormatting>
  <conditionalFormatting sqref="M223">
    <cfRule type="cellIs" dxfId="1117" priority="84" operator="equal">
      <formula>0</formula>
    </cfRule>
  </conditionalFormatting>
  <conditionalFormatting sqref="M225">
    <cfRule type="cellIs" dxfId="1116" priority="82" operator="equal">
      <formula>0</formula>
    </cfRule>
  </conditionalFormatting>
  <conditionalFormatting sqref="M235">
    <cfRule type="cellIs" dxfId="1115" priority="70" operator="equal">
      <formula>0</formula>
    </cfRule>
  </conditionalFormatting>
  <conditionalFormatting sqref="M226">
    <cfRule type="cellIs" dxfId="1114" priority="81" operator="equal">
      <formula>0</formula>
    </cfRule>
  </conditionalFormatting>
  <conditionalFormatting sqref="M227">
    <cfRule type="cellIs" dxfId="1113" priority="80" operator="equal">
      <formula>0</formula>
    </cfRule>
  </conditionalFormatting>
  <conditionalFormatting sqref="M234">
    <cfRule type="cellIs" dxfId="1112" priority="71" operator="equal">
      <formula>0</formula>
    </cfRule>
  </conditionalFormatting>
  <conditionalFormatting sqref="M228">
    <cfRule type="cellIs" dxfId="1111" priority="77" operator="equal">
      <formula>0</formula>
    </cfRule>
  </conditionalFormatting>
  <conditionalFormatting sqref="M229">
    <cfRule type="cellIs" dxfId="1110" priority="76" operator="equal">
      <formula>0</formula>
    </cfRule>
  </conditionalFormatting>
  <conditionalFormatting sqref="M230">
    <cfRule type="cellIs" dxfId="1109" priority="75" operator="equal">
      <formula>0</formula>
    </cfRule>
  </conditionalFormatting>
  <conditionalFormatting sqref="M231">
    <cfRule type="cellIs" dxfId="1108" priority="74" operator="equal">
      <formula>0</formula>
    </cfRule>
  </conditionalFormatting>
  <conditionalFormatting sqref="M232">
    <cfRule type="cellIs" dxfId="1107" priority="73" operator="equal">
      <formula>0</formula>
    </cfRule>
  </conditionalFormatting>
  <conditionalFormatting sqref="M233">
    <cfRule type="cellIs" dxfId="1106" priority="72" operator="equal">
      <formula>0</formula>
    </cfRule>
  </conditionalFormatting>
  <conditionalFormatting sqref="L42">
    <cfRule type="cellIs" dxfId="1105" priority="69" operator="equal">
      <formula>0</formula>
    </cfRule>
  </conditionalFormatting>
  <conditionalFormatting sqref="D59">
    <cfRule type="cellIs" dxfId="1104" priority="68" operator="equal">
      <formula>0</formula>
    </cfRule>
  </conditionalFormatting>
  <conditionalFormatting sqref="M104">
    <cfRule type="cellIs" dxfId="1103" priority="67" operator="equal">
      <formula>0</formula>
    </cfRule>
  </conditionalFormatting>
  <conditionalFormatting sqref="L151">
    <cfRule type="cellIs" dxfId="1102" priority="66" operator="equal">
      <formula>0</formula>
    </cfRule>
  </conditionalFormatting>
  <conditionalFormatting sqref="M171">
    <cfRule type="cellIs" dxfId="1101" priority="65" operator="equal">
      <formula>0</formula>
    </cfRule>
  </conditionalFormatting>
  <conditionalFormatting sqref="L171">
    <cfRule type="cellIs" dxfId="1100" priority="64" operator="equal">
      <formula>0</formula>
    </cfRule>
  </conditionalFormatting>
  <conditionalFormatting sqref="L330:M330">
    <cfRule type="cellIs" dxfId="1099" priority="63" operator="equal">
      <formula>0</formula>
    </cfRule>
  </conditionalFormatting>
  <conditionalFormatting sqref="L349:M349">
    <cfRule type="cellIs" dxfId="1098" priority="62" operator="equal">
      <formula>0</formula>
    </cfRule>
  </conditionalFormatting>
  <conditionalFormatting sqref="M370">
    <cfRule type="cellIs" dxfId="1097" priority="61" operator="equal">
      <formula>0</formula>
    </cfRule>
  </conditionalFormatting>
  <conditionalFormatting sqref="L141:M141">
    <cfRule type="cellIs" dxfId="1096" priority="60" operator="equal">
      <formula>0</formula>
    </cfRule>
  </conditionalFormatting>
  <conditionalFormatting sqref="L400:M400">
    <cfRule type="cellIs" dxfId="1095" priority="57" operator="equal">
      <formula>0</formula>
    </cfRule>
  </conditionalFormatting>
  <conditionalFormatting sqref="D388">
    <cfRule type="cellIs" dxfId="1094" priority="58" operator="equal">
      <formula>0</formula>
    </cfRule>
  </conditionalFormatting>
  <conditionalFormatting sqref="L427:M427">
    <cfRule type="cellIs" dxfId="1093" priority="44" operator="equal">
      <formula>0</formula>
    </cfRule>
  </conditionalFormatting>
  <conditionalFormatting sqref="L407:M410">
    <cfRule type="cellIs" dxfId="1092" priority="56" operator="equal">
      <formula>0</formula>
    </cfRule>
  </conditionalFormatting>
  <conditionalFormatting sqref="L401:M401">
    <cfRule type="cellIs" dxfId="1091" priority="55" operator="equal">
      <formula>0</formula>
    </cfRule>
  </conditionalFormatting>
  <conditionalFormatting sqref="L406">
    <cfRule type="cellIs" dxfId="1090" priority="54" operator="equal">
      <formula>0</formula>
    </cfRule>
  </conditionalFormatting>
  <conditionalFormatting sqref="L386">
    <cfRule type="cellIs" dxfId="1089" priority="53" operator="equal">
      <formula>0</formula>
    </cfRule>
  </conditionalFormatting>
  <conditionalFormatting sqref="M386">
    <cfRule type="cellIs" dxfId="1088" priority="52" operator="equal">
      <formula>0</formula>
    </cfRule>
  </conditionalFormatting>
  <conditionalFormatting sqref="L423:M423">
    <cfRule type="cellIs" dxfId="1087" priority="49" operator="equal">
      <formula>0</formula>
    </cfRule>
  </conditionalFormatting>
  <conditionalFormatting sqref="L417:M417">
    <cfRule type="cellIs" dxfId="1086" priority="51" operator="equal">
      <formula>0</formula>
    </cfRule>
  </conditionalFormatting>
  <conditionalFormatting sqref="L418:M418 L419">
    <cfRule type="cellIs" dxfId="1085" priority="48" operator="equal">
      <formula>0</formula>
    </cfRule>
  </conditionalFormatting>
  <conditionalFormatting sqref="M419">
    <cfRule type="cellIs" dxfId="1084" priority="47" operator="equal">
      <formula>0</formula>
    </cfRule>
  </conditionalFormatting>
  <conditionalFormatting sqref="L424:M424">
    <cfRule type="cellIs" dxfId="1083" priority="45" operator="equal">
      <formula>0</formula>
    </cfRule>
  </conditionalFormatting>
  <conditionalFormatting sqref="L430:M430">
    <cfRule type="cellIs" dxfId="1082" priority="43" operator="equal">
      <formula>0</formula>
    </cfRule>
  </conditionalFormatting>
  <conditionalFormatting sqref="L454:M454">
    <cfRule type="cellIs" dxfId="1081" priority="42" operator="equal">
      <formula>0</formula>
    </cfRule>
  </conditionalFormatting>
  <conditionalFormatting sqref="L456:M456">
    <cfRule type="cellIs" dxfId="1080" priority="41" operator="equal">
      <formula>0</formula>
    </cfRule>
  </conditionalFormatting>
  <conditionalFormatting sqref="L457:M457">
    <cfRule type="cellIs" dxfId="1079" priority="40" operator="equal">
      <formula>0</formula>
    </cfRule>
  </conditionalFormatting>
  <conditionalFormatting sqref="L459:M459">
    <cfRule type="cellIs" dxfId="1078" priority="39" operator="equal">
      <formula>0</formula>
    </cfRule>
  </conditionalFormatting>
  <conditionalFormatting sqref="L448:M448">
    <cfRule type="cellIs" dxfId="1077" priority="38" operator="equal">
      <formula>0</formula>
    </cfRule>
  </conditionalFormatting>
  <conditionalFormatting sqref="L29:M30 L38:M39 L32:L37 M31:M37">
    <cfRule type="cellIs" dxfId="1076" priority="35" operator="equal">
      <formula>0</formula>
    </cfRule>
  </conditionalFormatting>
  <conditionalFormatting sqref="L461:M461">
    <cfRule type="cellIs" dxfId="1075" priority="36" operator="equal">
      <formula>0</formula>
    </cfRule>
  </conditionalFormatting>
  <conditionalFormatting sqref="L31">
    <cfRule type="cellIs" dxfId="1074" priority="34" operator="equal">
      <formula>0</formula>
    </cfRule>
  </conditionalFormatting>
  <conditionalFormatting sqref="L91">
    <cfRule type="cellIs" dxfId="1073" priority="33" operator="equal">
      <formula>0</formula>
    </cfRule>
  </conditionalFormatting>
  <conditionalFormatting sqref="L104">
    <cfRule type="cellIs" dxfId="1072" priority="32" operator="equal">
      <formula>0</formula>
    </cfRule>
  </conditionalFormatting>
  <conditionalFormatting sqref="L192:M210">
    <cfRule type="cellIs" dxfId="1071" priority="31" operator="equal">
      <formula>0</formula>
    </cfRule>
  </conditionalFormatting>
  <conditionalFormatting sqref="M211">
    <cfRule type="cellIs" dxfId="1070" priority="30" operator="equal">
      <formula>0</formula>
    </cfRule>
  </conditionalFormatting>
  <conditionalFormatting sqref="L211">
    <cfRule type="cellIs" dxfId="1069" priority="29" operator="equal">
      <formula>0</formula>
    </cfRule>
  </conditionalFormatting>
  <conditionalFormatting sqref="M217">
    <cfRule type="cellIs" dxfId="1068" priority="27" operator="equal">
      <formula>0</formula>
    </cfRule>
  </conditionalFormatting>
  <conditionalFormatting sqref="L216:M216">
    <cfRule type="cellIs" dxfId="1067" priority="28" operator="equal">
      <formula>0</formula>
    </cfRule>
  </conditionalFormatting>
  <conditionalFormatting sqref="L217">
    <cfRule type="cellIs" dxfId="1066" priority="26" operator="equal">
      <formula>0</formula>
    </cfRule>
  </conditionalFormatting>
  <conditionalFormatting sqref="L263:M263">
    <cfRule type="cellIs" dxfId="1065" priority="25" operator="equal">
      <formula>0</formula>
    </cfRule>
  </conditionalFormatting>
  <conditionalFormatting sqref="L264:M264">
    <cfRule type="cellIs" dxfId="1064" priority="24" operator="equal">
      <formula>0</formula>
    </cfRule>
  </conditionalFormatting>
  <conditionalFormatting sqref="G264:K264">
    <cfRule type="cellIs" dxfId="1063" priority="22" operator="equal">
      <formula>0</formula>
    </cfRule>
  </conditionalFormatting>
  <conditionalFormatting sqref="G263:K263">
    <cfRule type="cellIs" dxfId="1062" priority="23" operator="equal">
      <formula>0</formula>
    </cfRule>
  </conditionalFormatting>
  <conditionalFormatting sqref="L265:M265">
    <cfRule type="cellIs" dxfId="1061" priority="21" operator="equal">
      <formula>0</formula>
    </cfRule>
  </conditionalFormatting>
  <conditionalFormatting sqref="L266:M266">
    <cfRule type="cellIs" dxfId="1060" priority="20" operator="equal">
      <formula>0</formula>
    </cfRule>
  </conditionalFormatting>
  <conditionalFormatting sqref="G266:K266">
    <cfRule type="cellIs" dxfId="1059" priority="18" operator="equal">
      <formula>0</formula>
    </cfRule>
  </conditionalFormatting>
  <conditionalFormatting sqref="G265:K265">
    <cfRule type="cellIs" dxfId="1058" priority="19" operator="equal">
      <formula>0</formula>
    </cfRule>
  </conditionalFormatting>
  <conditionalFormatting sqref="L261">
    <cfRule type="cellIs" dxfId="1057" priority="17" operator="equal">
      <formula>0</formula>
    </cfRule>
  </conditionalFormatting>
  <conditionalFormatting sqref="L305:M306">
    <cfRule type="cellIs" dxfId="1056" priority="16" operator="equal">
      <formula>0</formula>
    </cfRule>
  </conditionalFormatting>
  <conditionalFormatting sqref="L351:M351">
    <cfRule type="cellIs" dxfId="1055" priority="15" operator="equal">
      <formula>0</formula>
    </cfRule>
  </conditionalFormatting>
  <conditionalFormatting sqref="L361:M361">
    <cfRule type="cellIs" dxfId="1054" priority="14" operator="equal">
      <formula>0</formula>
    </cfRule>
  </conditionalFormatting>
  <conditionalFormatting sqref="L362:M362">
    <cfRule type="cellIs" dxfId="1053" priority="13" operator="equal">
      <formula>0</formula>
    </cfRule>
  </conditionalFormatting>
  <conditionalFormatting sqref="L363:M363">
    <cfRule type="cellIs" dxfId="1052" priority="12" operator="equal">
      <formula>0</formula>
    </cfRule>
  </conditionalFormatting>
  <conditionalFormatting sqref="M364">
    <cfRule type="cellIs" dxfId="1051" priority="11" operator="equal">
      <formula>0</formula>
    </cfRule>
  </conditionalFormatting>
  <conditionalFormatting sqref="L365:M365">
    <cfRule type="cellIs" dxfId="1050" priority="10" operator="equal">
      <formula>0</formula>
    </cfRule>
  </conditionalFormatting>
  <conditionalFormatting sqref="M366">
    <cfRule type="cellIs" dxfId="1049" priority="9" operator="equal">
      <formula>0</formula>
    </cfRule>
  </conditionalFormatting>
  <conditionalFormatting sqref="L367:M367">
    <cfRule type="cellIs" dxfId="1048" priority="8" operator="equal">
      <formula>0</formula>
    </cfRule>
  </conditionalFormatting>
  <conditionalFormatting sqref="M368">
    <cfRule type="cellIs" dxfId="1047" priority="7" operator="equal">
      <formula>0</formula>
    </cfRule>
  </conditionalFormatting>
  <conditionalFormatting sqref="L364">
    <cfRule type="cellIs" dxfId="1046" priority="6" operator="equal">
      <formula>0</formula>
    </cfRule>
  </conditionalFormatting>
  <conditionalFormatting sqref="L366">
    <cfRule type="cellIs" dxfId="1045" priority="5" operator="equal">
      <formula>0</formula>
    </cfRule>
  </conditionalFormatting>
  <conditionalFormatting sqref="L368">
    <cfRule type="cellIs" dxfId="1044" priority="4" operator="equal">
      <formula>0</formula>
    </cfRule>
  </conditionalFormatting>
  <conditionalFormatting sqref="L370">
    <cfRule type="cellIs" dxfId="1043" priority="3" operator="equal">
      <formula>0</formula>
    </cfRule>
  </conditionalFormatting>
  <conditionalFormatting sqref="M308">
    <cfRule type="cellIs" dxfId="1042" priority="1" operator="equal">
      <formula>0</formula>
    </cfRule>
  </conditionalFormatting>
  <conditionalFormatting sqref="L308">
    <cfRule type="cellIs" dxfId="1041" priority="2" operator="equal">
      <formula>0</formula>
    </cfRule>
  </conditionalFormatting>
  <printOptions horizontalCentered="1"/>
  <pageMargins left="0.51181102362204722" right="0.51181102362204722" top="0.78740157480314965" bottom="0.78740157480314965" header="0.31496062992125984" footer="0.31496062992125984"/>
  <pageSetup paperSize="9" scale="57" fitToHeight="0" orientation="portrait" horizontalDpi="1200" verticalDpi="1200" r:id="rId1"/>
  <rowBreaks count="4" manualBreakCount="4">
    <brk id="104" min="3" max="12" man="1"/>
    <brk id="237" min="3" max="12" man="1"/>
    <brk id="280" min="3" max="12" man="1"/>
    <brk id="348" min="3" max="12"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S224"/>
  <sheetViews>
    <sheetView zoomScale="85" zoomScaleNormal="85" zoomScaleSheetLayoutView="85" workbookViewId="0">
      <selection activeCell="D1" sqref="D1:M4"/>
    </sheetView>
  </sheetViews>
  <sheetFormatPr defaultRowHeight="12.75"/>
  <cols>
    <col min="1" max="1" width="16.5703125" style="862" customWidth="1"/>
    <col min="2" max="2" width="9.5703125" style="835" customWidth="1"/>
    <col min="3" max="3" width="16.7109375" style="862" customWidth="1"/>
    <col min="4" max="4" width="64.85546875" style="857" customWidth="1"/>
    <col min="5" max="5" width="9" style="857" customWidth="1"/>
    <col min="6" max="6" width="10.5703125" style="858" customWidth="1"/>
    <col min="7" max="8" width="10.85546875" style="857" customWidth="1"/>
    <col min="9" max="9" width="14.85546875" style="857" customWidth="1"/>
    <col min="10" max="10" width="14.140625" style="859" customWidth="1"/>
    <col min="11" max="11" width="12.5703125" style="860" customWidth="1"/>
    <col min="12" max="12" width="12" style="861" customWidth="1"/>
    <col min="13" max="13" width="12.140625" style="861" customWidth="1"/>
    <col min="14" max="14" width="9.42578125" style="700" customWidth="1"/>
    <col min="15" max="15" width="7.5703125" style="863" customWidth="1"/>
    <col min="16" max="16" width="7.5703125" style="871" customWidth="1"/>
    <col min="17" max="17" width="7.5703125" style="863" customWidth="1"/>
    <col min="18" max="18" width="4.7109375" style="863" customWidth="1"/>
    <col min="19" max="16384" width="9.140625" style="865"/>
  </cols>
  <sheetData>
    <row r="1" spans="1:16" ht="18">
      <c r="D1" s="1661" t="s">
        <v>11665</v>
      </c>
      <c r="E1" s="1662"/>
      <c r="F1" s="1662"/>
      <c r="G1" s="1662"/>
      <c r="H1" s="1662"/>
      <c r="I1" s="1662"/>
      <c r="J1" s="1662"/>
      <c r="K1" s="1662"/>
      <c r="L1" s="1662"/>
      <c r="M1" s="1663"/>
      <c r="P1" s="864"/>
    </row>
    <row r="2" spans="1:16" ht="18">
      <c r="D2" s="1664"/>
      <c r="E2" s="1665"/>
      <c r="F2" s="1665"/>
      <c r="G2" s="1665"/>
      <c r="H2" s="1665"/>
      <c r="I2" s="1665"/>
      <c r="J2" s="1665"/>
      <c r="K2" s="1665"/>
      <c r="L2" s="1665"/>
      <c r="M2" s="1666"/>
      <c r="P2" s="864"/>
    </row>
    <row r="3" spans="1:16" ht="18">
      <c r="D3" s="1664"/>
      <c r="E3" s="1665"/>
      <c r="F3" s="1665"/>
      <c r="G3" s="1665"/>
      <c r="H3" s="1665"/>
      <c r="I3" s="1665"/>
      <c r="J3" s="1665"/>
      <c r="K3" s="1665"/>
      <c r="L3" s="1665"/>
      <c r="M3" s="1666"/>
      <c r="P3" s="864"/>
    </row>
    <row r="4" spans="1:16" ht="15.75" customHeight="1" thickBot="1">
      <c r="D4" s="1667"/>
      <c r="E4" s="1668"/>
      <c r="F4" s="1668"/>
      <c r="G4" s="1668"/>
      <c r="H4" s="1668"/>
      <c r="I4" s="1668"/>
      <c r="J4" s="1668"/>
      <c r="K4" s="1668"/>
      <c r="L4" s="1668"/>
      <c r="M4" s="1669"/>
      <c r="P4" s="866"/>
    </row>
    <row r="5" spans="1:16" ht="14.25" customHeight="1">
      <c r="D5" s="782"/>
      <c r="E5" s="700"/>
      <c r="F5" s="783"/>
      <c r="G5" s="783"/>
      <c r="H5" s="783"/>
      <c r="I5" s="783"/>
      <c r="J5" s="784"/>
      <c r="K5" s="785"/>
      <c r="L5" s="786"/>
      <c r="M5" s="787"/>
      <c r="P5" s="867"/>
    </row>
    <row r="6" spans="1:16" ht="14.25" customHeight="1">
      <c r="D6" s="789" t="s">
        <v>14559</v>
      </c>
      <c r="E6" s="790"/>
      <c r="F6" s="790"/>
      <c r="G6" s="790"/>
      <c r="H6" s="790"/>
      <c r="I6" s="790"/>
      <c r="J6" s="790"/>
      <c r="K6" s="791"/>
      <c r="L6" s="792"/>
      <c r="M6" s="793"/>
      <c r="N6" s="868"/>
      <c r="P6" s="866"/>
    </row>
    <row r="7" spans="1:16" ht="14.25" customHeight="1">
      <c r="D7" s="789" t="s">
        <v>11836</v>
      </c>
      <c r="E7" s="790"/>
      <c r="F7" s="790"/>
      <c r="G7" s="790"/>
      <c r="H7" s="790"/>
      <c r="I7" s="790"/>
      <c r="J7" s="790"/>
      <c r="K7" s="791"/>
      <c r="L7" s="795"/>
      <c r="M7" s="796"/>
      <c r="N7" s="869"/>
      <c r="P7" s="866"/>
    </row>
    <row r="8" spans="1:16" s="863" customFormat="1" ht="14.25" customHeight="1">
      <c r="A8" s="862"/>
      <c r="B8" s="835"/>
      <c r="C8" s="862"/>
      <c r="D8" s="789" t="s">
        <v>12304</v>
      </c>
      <c r="E8" s="790"/>
      <c r="F8" s="790"/>
      <c r="G8" s="790"/>
      <c r="H8" s="790"/>
      <c r="I8" s="790"/>
      <c r="J8" s="790"/>
      <c r="K8" s="791"/>
      <c r="L8" s="795"/>
      <c r="M8" s="796"/>
      <c r="N8" s="869"/>
      <c r="P8" s="866"/>
    </row>
    <row r="9" spans="1:16" s="863" customFormat="1" ht="6.75" customHeight="1" thickBot="1">
      <c r="A9" s="862"/>
      <c r="B9" s="835"/>
      <c r="C9" s="862"/>
      <c r="D9" s="798"/>
      <c r="E9" s="799"/>
      <c r="F9" s="799"/>
      <c r="G9" s="800"/>
      <c r="H9" s="800"/>
      <c r="I9" s="800"/>
      <c r="J9" s="800"/>
      <c r="K9" s="801"/>
      <c r="L9" s="802"/>
      <c r="M9" s="803"/>
      <c r="N9" s="869"/>
      <c r="P9" s="866"/>
    </row>
    <row r="10" spans="1:16" s="863" customFormat="1" ht="15.75" customHeight="1" thickTop="1" thickBot="1">
      <c r="A10" s="862"/>
      <c r="B10" s="835"/>
      <c r="C10" s="862"/>
      <c r="D10" s="1653" t="s">
        <v>12305</v>
      </c>
      <c r="E10" s="1654"/>
      <c r="F10" s="1654"/>
      <c r="G10" s="1654"/>
      <c r="H10" s="1654"/>
      <c r="I10" s="1654"/>
      <c r="J10" s="1654"/>
      <c r="K10" s="1654"/>
      <c r="L10" s="1654"/>
      <c r="M10" s="1670"/>
      <c r="N10" s="870"/>
      <c r="O10" s="871"/>
      <c r="P10" s="871"/>
    </row>
    <row r="11" spans="1:16" s="863" customFormat="1" ht="6" customHeight="1" thickTop="1" thickBot="1">
      <c r="A11" s="862"/>
      <c r="B11" s="835"/>
      <c r="C11" s="862"/>
      <c r="D11" s="806"/>
      <c r="E11" s="807"/>
      <c r="F11" s="808"/>
      <c r="G11" s="700"/>
      <c r="H11" s="700"/>
      <c r="I11" s="700"/>
      <c r="J11" s="809"/>
      <c r="K11" s="791"/>
      <c r="L11" s="802"/>
      <c r="M11" s="810"/>
      <c r="N11" s="700"/>
      <c r="P11" s="872"/>
    </row>
    <row r="12" spans="1:16" s="863" customFormat="1" ht="14.25" customHeight="1" thickTop="1" thickBot="1">
      <c r="A12" s="862"/>
      <c r="B12" s="835"/>
      <c r="C12" s="862"/>
      <c r="D12" s="1653" t="s">
        <v>3</v>
      </c>
      <c r="E12" s="1654"/>
      <c r="F12" s="1654"/>
      <c r="G12" s="1654"/>
      <c r="H12" s="1654"/>
      <c r="I12" s="1654"/>
      <c r="J12" s="1654"/>
      <c r="K12" s="1654"/>
      <c r="L12" s="1654"/>
      <c r="M12" s="1670"/>
      <c r="N12" s="816"/>
      <c r="P12" s="873"/>
    </row>
    <row r="13" spans="1:16" s="863" customFormat="1" ht="13.5" thickTop="1">
      <c r="A13" s="862"/>
      <c r="B13" s="835"/>
      <c r="C13" s="862"/>
      <c r="D13" s="814" t="s">
        <v>4</v>
      </c>
      <c r="E13" s="815"/>
      <c r="F13" s="815"/>
      <c r="G13" s="815"/>
      <c r="H13" s="815"/>
      <c r="I13" s="815"/>
      <c r="J13" s="815"/>
      <c r="K13" s="815"/>
      <c r="L13" s="816" t="s">
        <v>5</v>
      </c>
      <c r="M13" s="817">
        <f>'PARAMETROS MC'!C37</f>
        <v>7.5</v>
      </c>
      <c r="N13" s="874"/>
      <c r="O13" s="875"/>
      <c r="P13" s="871"/>
    </row>
    <row r="14" spans="1:16" s="863" customFormat="1">
      <c r="A14" s="862"/>
      <c r="B14" s="835"/>
      <c r="C14" s="862"/>
      <c r="D14" s="820" t="s">
        <v>34</v>
      </c>
      <c r="E14" s="821"/>
      <c r="F14" s="821"/>
      <c r="G14" s="821"/>
      <c r="H14" s="821"/>
      <c r="I14" s="821"/>
      <c r="J14" s="821"/>
      <c r="K14" s="821"/>
      <c r="L14" s="816" t="s">
        <v>5</v>
      </c>
      <c r="M14" s="817">
        <f>'PARAMETROS MC'!C38</f>
        <v>4.5999999999999996</v>
      </c>
      <c r="N14" s="874"/>
      <c r="O14" s="875"/>
      <c r="P14" s="871"/>
    </row>
    <row r="15" spans="1:16" s="863" customFormat="1">
      <c r="A15" s="862"/>
      <c r="B15" s="835"/>
      <c r="C15" s="862"/>
      <c r="D15" s="820" t="s">
        <v>6</v>
      </c>
      <c r="E15" s="821"/>
      <c r="F15" s="821"/>
      <c r="G15" s="821"/>
      <c r="H15" s="821"/>
      <c r="I15" s="821"/>
      <c r="J15" s="821"/>
      <c r="K15" s="821"/>
      <c r="L15" s="816" t="s">
        <v>8</v>
      </c>
      <c r="M15" s="822">
        <v>0.95</v>
      </c>
      <c r="N15" s="874"/>
      <c r="O15" s="875"/>
      <c r="P15" s="871"/>
    </row>
    <row r="16" spans="1:16" s="863" customFormat="1">
      <c r="A16" s="862"/>
      <c r="B16" s="835"/>
      <c r="C16" s="862"/>
      <c r="D16" s="820" t="s">
        <v>7</v>
      </c>
      <c r="E16" s="821"/>
      <c r="F16" s="821"/>
      <c r="G16" s="821"/>
      <c r="H16" s="821"/>
      <c r="I16" s="821"/>
      <c r="J16" s="821"/>
      <c r="K16" s="821"/>
      <c r="L16" s="816" t="s">
        <v>8</v>
      </c>
      <c r="M16" s="822">
        <v>0.05</v>
      </c>
      <c r="N16" s="874"/>
      <c r="O16" s="875"/>
      <c r="P16" s="871"/>
    </row>
    <row r="17" spans="1:19" s="863" customFormat="1">
      <c r="A17" s="862"/>
      <c r="B17" s="835"/>
      <c r="C17" s="862"/>
      <c r="D17" s="820" t="s">
        <v>9</v>
      </c>
      <c r="E17" s="821"/>
      <c r="F17" s="821"/>
      <c r="G17" s="821"/>
      <c r="H17" s="821"/>
      <c r="I17" s="821"/>
      <c r="J17" s="821"/>
      <c r="K17" s="821"/>
      <c r="L17" s="816" t="s">
        <v>8</v>
      </c>
      <c r="M17" s="822">
        <v>0.9</v>
      </c>
      <c r="N17" s="874"/>
      <c r="O17" s="875"/>
      <c r="P17" s="871"/>
    </row>
    <row r="18" spans="1:19" s="863" customFormat="1">
      <c r="A18" s="862"/>
      <c r="B18" s="835"/>
      <c r="C18" s="862"/>
      <c r="D18" s="820" t="s">
        <v>10</v>
      </c>
      <c r="E18" s="821"/>
      <c r="F18" s="821"/>
      <c r="G18" s="821"/>
      <c r="H18" s="821"/>
      <c r="I18" s="821"/>
      <c r="J18" s="821"/>
      <c r="K18" s="821"/>
      <c r="L18" s="816" t="s">
        <v>8</v>
      </c>
      <c r="M18" s="822">
        <v>0.05</v>
      </c>
      <c r="N18" s="874"/>
      <c r="O18" s="875"/>
      <c r="P18" s="871"/>
    </row>
    <row r="19" spans="1:19" s="863" customFormat="1">
      <c r="A19" s="862"/>
      <c r="B19" s="835"/>
      <c r="C19" s="862"/>
      <c r="D19" s="820" t="s">
        <v>11</v>
      </c>
      <c r="E19" s="821"/>
      <c r="F19" s="821"/>
      <c r="G19" s="821"/>
      <c r="H19" s="821"/>
      <c r="I19" s="821"/>
      <c r="J19" s="821"/>
      <c r="K19" s="821"/>
      <c r="L19" s="816" t="s">
        <v>8</v>
      </c>
      <c r="M19" s="822">
        <v>0</v>
      </c>
      <c r="N19" s="874"/>
      <c r="O19" s="875"/>
      <c r="P19" s="871"/>
    </row>
    <row r="20" spans="1:19" s="863" customFormat="1">
      <c r="A20" s="862"/>
      <c r="B20" s="835"/>
      <c r="C20" s="862"/>
      <c r="D20" s="820" t="s">
        <v>12</v>
      </c>
      <c r="E20" s="821"/>
      <c r="F20" s="821"/>
      <c r="G20" s="821"/>
      <c r="H20" s="821"/>
      <c r="I20" s="821"/>
      <c r="J20" s="821"/>
      <c r="K20" s="821"/>
      <c r="L20" s="816" t="s">
        <v>8</v>
      </c>
      <c r="M20" s="822">
        <v>0.05</v>
      </c>
      <c r="N20" s="874"/>
      <c r="O20" s="875"/>
      <c r="P20" s="871"/>
    </row>
    <row r="21" spans="1:19" s="863" customFormat="1">
      <c r="A21" s="862"/>
      <c r="B21" s="835"/>
      <c r="C21" s="862"/>
      <c r="D21" s="820" t="s">
        <v>13</v>
      </c>
      <c r="E21" s="821"/>
      <c r="F21" s="821"/>
      <c r="G21" s="821"/>
      <c r="H21" s="821"/>
      <c r="I21" s="821"/>
      <c r="J21" s="821"/>
      <c r="K21" s="821"/>
      <c r="L21" s="816" t="s">
        <v>8</v>
      </c>
      <c r="M21" s="822">
        <v>0.2</v>
      </c>
      <c r="N21" s="874"/>
      <c r="O21" s="875"/>
      <c r="P21" s="871"/>
    </row>
    <row r="22" spans="1:19" s="863" customFormat="1">
      <c r="A22" s="862"/>
      <c r="B22" s="835"/>
      <c r="C22" s="862"/>
      <c r="D22" s="820" t="s">
        <v>14</v>
      </c>
      <c r="E22" s="821"/>
      <c r="F22" s="821"/>
      <c r="G22" s="821"/>
      <c r="H22" s="821"/>
      <c r="I22" s="821"/>
      <c r="J22" s="821"/>
      <c r="K22" s="821"/>
      <c r="L22" s="816" t="s">
        <v>8</v>
      </c>
      <c r="M22" s="822">
        <v>0.2</v>
      </c>
      <c r="N22" s="874"/>
      <c r="O22" s="875"/>
      <c r="P22" s="871"/>
    </row>
    <row r="23" spans="1:19" s="863" customFormat="1">
      <c r="A23" s="862"/>
      <c r="B23" s="835"/>
      <c r="C23" s="862"/>
      <c r="D23" s="820" t="s">
        <v>15</v>
      </c>
      <c r="E23" s="821"/>
      <c r="F23" s="821"/>
      <c r="G23" s="821"/>
      <c r="H23" s="821"/>
      <c r="I23" s="821"/>
      <c r="J23" s="821"/>
      <c r="K23" s="821"/>
      <c r="L23" s="816" t="s">
        <v>8</v>
      </c>
      <c r="M23" s="822">
        <v>0.1</v>
      </c>
      <c r="N23" s="874"/>
      <c r="O23" s="875"/>
      <c r="P23" s="871"/>
    </row>
    <row r="24" spans="1:19" s="863" customFormat="1">
      <c r="A24" s="862"/>
      <c r="B24" s="835"/>
      <c r="C24" s="862"/>
      <c r="D24" s="820" t="s">
        <v>16</v>
      </c>
      <c r="E24" s="821"/>
      <c r="F24" s="821"/>
      <c r="G24" s="821"/>
      <c r="H24" s="821"/>
      <c r="I24" s="821"/>
      <c r="J24" s="821"/>
      <c r="K24" s="821"/>
      <c r="L24" s="816" t="s">
        <v>8</v>
      </c>
      <c r="M24" s="822">
        <v>0.9</v>
      </c>
      <c r="N24" s="874"/>
      <c r="O24" s="875"/>
      <c r="P24" s="871"/>
    </row>
    <row r="25" spans="1:19">
      <c r="D25" s="823"/>
      <c r="E25" s="700"/>
      <c r="F25" s="808"/>
      <c r="G25" s="700"/>
      <c r="H25" s="700"/>
      <c r="I25" s="700"/>
      <c r="J25" s="809"/>
      <c r="K25" s="791"/>
      <c r="L25" s="824"/>
      <c r="M25" s="825"/>
    </row>
    <row r="26" spans="1:19" s="863" customFormat="1" ht="6" customHeight="1" thickBot="1">
      <c r="A26" s="862"/>
      <c r="B26" s="835"/>
      <c r="C26" s="862"/>
      <c r="D26" s="826"/>
      <c r="E26" s="790"/>
      <c r="F26" s="790"/>
      <c r="G26" s="700"/>
      <c r="H26" s="700"/>
      <c r="I26" s="700"/>
      <c r="J26" s="700"/>
      <c r="K26" s="700"/>
      <c r="L26" s="700"/>
      <c r="M26" s="827"/>
      <c r="N26" s="700"/>
      <c r="P26" s="871"/>
    </row>
    <row r="27" spans="1:19" s="863" customFormat="1" ht="15.75" customHeight="1" thickTop="1" thickBot="1">
      <c r="A27" s="862"/>
      <c r="B27" s="835"/>
      <c r="C27" s="862"/>
      <c r="D27" s="830" t="s">
        <v>11640</v>
      </c>
      <c r="E27" s="831"/>
      <c r="F27" s="831"/>
      <c r="G27" s="831"/>
      <c r="H27" s="831"/>
      <c r="I27" s="831"/>
      <c r="J27" s="831"/>
      <c r="K27" s="831"/>
      <c r="L27" s="832"/>
      <c r="M27" s="833"/>
      <c r="N27" s="870"/>
      <c r="O27" s="871"/>
      <c r="P27" s="871"/>
    </row>
    <row r="28" spans="1:19" ht="13.5" thickTop="1">
      <c r="D28" s="826"/>
      <c r="E28" s="790"/>
      <c r="F28" s="790"/>
      <c r="G28" s="700" t="s">
        <v>30</v>
      </c>
      <c r="H28" s="700" t="s">
        <v>30</v>
      </c>
      <c r="I28" s="700" t="s">
        <v>30</v>
      </c>
      <c r="J28" s="700" t="s">
        <v>17</v>
      </c>
      <c r="K28" s="700" t="s">
        <v>19</v>
      </c>
      <c r="L28" s="700" t="s">
        <v>30</v>
      </c>
      <c r="M28" s="876" t="s">
        <v>30</v>
      </c>
      <c r="N28" s="824"/>
      <c r="O28" s="790"/>
      <c r="P28" s="863"/>
      <c r="Q28" s="871"/>
      <c r="S28" s="863"/>
    </row>
    <row r="29" spans="1:19">
      <c r="D29" s="826"/>
      <c r="E29" s="790"/>
      <c r="F29" s="790"/>
      <c r="G29" s="700"/>
      <c r="H29" s="1674" t="s">
        <v>12332</v>
      </c>
      <c r="I29" s="1674"/>
      <c r="J29" s="828">
        <f t="shared" ref="J29:K33" si="0">J37+1*2</f>
        <v>14.3</v>
      </c>
      <c r="K29" s="828">
        <f t="shared" si="0"/>
        <v>7.2</v>
      </c>
      <c r="L29" s="700" t="s">
        <v>21</v>
      </c>
      <c r="M29" s="877">
        <f>J29*K29</f>
        <v>102.96000000000001</v>
      </c>
      <c r="N29" s="824"/>
      <c r="O29" s="790"/>
      <c r="P29" s="863"/>
      <c r="Q29" s="871"/>
      <c r="S29" s="863"/>
    </row>
    <row r="30" spans="1:19">
      <c r="D30" s="826"/>
      <c r="E30" s="790"/>
      <c r="F30" s="790"/>
      <c r="G30" s="700"/>
      <c r="H30" s="1674" t="s">
        <v>12333</v>
      </c>
      <c r="I30" s="1674"/>
      <c r="J30" s="828">
        <f t="shared" si="0"/>
        <v>4.93</v>
      </c>
      <c r="K30" s="828">
        <f t="shared" si="0"/>
        <v>3.7800000000000002</v>
      </c>
      <c r="L30" s="700" t="s">
        <v>21</v>
      </c>
      <c r="M30" s="877">
        <f>J30*K30</f>
        <v>18.635400000000001</v>
      </c>
      <c r="N30" s="824"/>
      <c r="O30" s="790"/>
      <c r="P30" s="863"/>
      <c r="Q30" s="871"/>
      <c r="S30" s="863"/>
    </row>
    <row r="31" spans="1:19">
      <c r="D31" s="826"/>
      <c r="E31" s="790"/>
      <c r="F31" s="790"/>
      <c r="G31" s="700"/>
      <c r="H31" s="1674" t="s">
        <v>11788</v>
      </c>
      <c r="I31" s="1674"/>
      <c r="J31" s="828">
        <f t="shared" si="0"/>
        <v>10.06</v>
      </c>
      <c r="K31" s="828">
        <f t="shared" si="0"/>
        <v>2.7</v>
      </c>
      <c r="L31" s="700" t="s">
        <v>21</v>
      </c>
      <c r="M31" s="877">
        <f>J31*K31</f>
        <v>27.162000000000003</v>
      </c>
      <c r="N31" s="824"/>
      <c r="O31" s="790"/>
      <c r="P31" s="863"/>
      <c r="Q31" s="871"/>
      <c r="S31" s="863"/>
    </row>
    <row r="32" spans="1:19">
      <c r="D32" s="826"/>
      <c r="E32" s="790"/>
      <c r="F32" s="790"/>
      <c r="G32" s="700"/>
      <c r="H32" s="1674" t="s">
        <v>12334</v>
      </c>
      <c r="I32" s="1674"/>
      <c r="J32" s="828">
        <f t="shared" si="0"/>
        <v>13</v>
      </c>
      <c r="K32" s="828">
        <f t="shared" si="0"/>
        <v>13</v>
      </c>
      <c r="L32" s="700" t="s">
        <v>21</v>
      </c>
      <c r="M32" s="877">
        <f>J32*K32</f>
        <v>169</v>
      </c>
      <c r="N32" s="824"/>
      <c r="O32" s="790"/>
      <c r="P32" s="863"/>
      <c r="Q32" s="871"/>
      <c r="S32" s="863"/>
    </row>
    <row r="33" spans="1:19">
      <c r="D33" s="826"/>
      <c r="E33" s="790"/>
      <c r="F33" s="790"/>
      <c r="G33" s="700"/>
      <c r="H33" s="1674" t="s">
        <v>12334</v>
      </c>
      <c r="I33" s="1674"/>
      <c r="J33" s="828">
        <f t="shared" si="0"/>
        <v>5</v>
      </c>
      <c r="K33" s="828">
        <f t="shared" si="0"/>
        <v>5</v>
      </c>
      <c r="L33" s="700" t="s">
        <v>21</v>
      </c>
      <c r="M33" s="877">
        <f>J33*K33</f>
        <v>25</v>
      </c>
      <c r="N33" s="824"/>
      <c r="O33" s="790"/>
      <c r="P33" s="863"/>
      <c r="Q33" s="871"/>
      <c r="S33" s="863"/>
    </row>
    <row r="34" spans="1:19">
      <c r="D34" s="826"/>
      <c r="E34" s="790"/>
      <c r="F34" s="790"/>
      <c r="G34" s="700"/>
      <c r="H34" s="854"/>
      <c r="I34" s="854"/>
      <c r="J34" s="828"/>
      <c r="K34" s="828"/>
      <c r="L34" s="700"/>
      <c r="M34" s="876"/>
      <c r="N34" s="824"/>
      <c r="O34" s="790"/>
      <c r="P34" s="863"/>
      <c r="Q34" s="871"/>
      <c r="S34" s="863"/>
    </row>
    <row r="35" spans="1:19" ht="22.5">
      <c r="A35" s="862" t="s">
        <v>12306</v>
      </c>
      <c r="B35" s="850" t="s">
        <v>70</v>
      </c>
      <c r="C35" s="959" t="s">
        <v>19163</v>
      </c>
      <c r="D35" s="836" t="str">
        <f>PROPER(IF(B35="Saneago",VLOOKUP(C35,'SANEAGO-FEV.2016'!A:B,2,0),IF(B35="Sinapi",VLOOKUP(C35,'SINAPI-FEV.2017'!A:D,2,0),IF(B35="Cotação",VLOOKUP(C35,COTAÇÃO!A:D,2,0),IF(B35="Composição",VLOOKUP(C35,COMPOSIÇÃO!A:D,2,0))))))</f>
        <v>Limpeza Mecanizada De Terreno Com Remocao De Camada Vegetal, Utilizando Motoniveladora</v>
      </c>
      <c r="E35" s="837"/>
      <c r="F35" s="837"/>
      <c r="G35" s="852"/>
      <c r="H35" s="852"/>
      <c r="I35" s="852"/>
      <c r="J35" s="852"/>
      <c r="K35" s="856" t="s">
        <v>27</v>
      </c>
      <c r="L35" s="856" t="s">
        <v>21</v>
      </c>
      <c r="M35" s="840">
        <f>SUM(M29:M33)</f>
        <v>342.75740000000002</v>
      </c>
      <c r="N35" s="824"/>
      <c r="O35" s="790"/>
      <c r="P35" s="863"/>
      <c r="Q35" s="871"/>
      <c r="S35" s="863"/>
    </row>
    <row r="36" spans="1:19">
      <c r="D36" s="826"/>
      <c r="E36" s="790"/>
      <c r="F36" s="790"/>
      <c r="G36" s="700" t="s">
        <v>30</v>
      </c>
      <c r="H36" s="700" t="s">
        <v>30</v>
      </c>
      <c r="I36" s="700" t="s">
        <v>30</v>
      </c>
      <c r="J36" s="700" t="s">
        <v>17</v>
      </c>
      <c r="K36" s="700" t="s">
        <v>19</v>
      </c>
      <c r="L36" s="700" t="s">
        <v>30</v>
      </c>
      <c r="M36" s="876" t="s">
        <v>30</v>
      </c>
      <c r="N36" s="824"/>
      <c r="O36" s="790"/>
      <c r="P36" s="863"/>
      <c r="Q36" s="871"/>
      <c r="S36" s="863"/>
    </row>
    <row r="37" spans="1:19">
      <c r="D37" s="826"/>
      <c r="E37" s="790"/>
      <c r="F37" s="790"/>
      <c r="G37" s="700"/>
      <c r="H37" s="1674" t="s">
        <v>12332</v>
      </c>
      <c r="I37" s="1674"/>
      <c r="J37" s="828">
        <f>12.3</f>
        <v>12.3</v>
      </c>
      <c r="K37" s="828">
        <f>5.2</f>
        <v>5.2</v>
      </c>
      <c r="L37" s="700" t="s">
        <v>21</v>
      </c>
      <c r="M37" s="829">
        <f>J37*K37</f>
        <v>63.960000000000008</v>
      </c>
      <c r="N37" s="824"/>
      <c r="O37" s="790"/>
      <c r="P37" s="863"/>
      <c r="Q37" s="871"/>
      <c r="S37" s="863"/>
    </row>
    <row r="38" spans="1:19">
      <c r="D38" s="826"/>
      <c r="E38" s="790"/>
      <c r="F38" s="790"/>
      <c r="G38" s="700"/>
      <c r="H38" s="1674" t="s">
        <v>12333</v>
      </c>
      <c r="I38" s="1674"/>
      <c r="J38" s="828">
        <v>2.93</v>
      </c>
      <c r="K38" s="828">
        <v>1.78</v>
      </c>
      <c r="L38" s="700" t="s">
        <v>21</v>
      </c>
      <c r="M38" s="829">
        <f>J38*K38</f>
        <v>5.2154000000000007</v>
      </c>
      <c r="N38" s="824"/>
      <c r="O38" s="790"/>
      <c r="P38" s="863"/>
      <c r="Q38" s="871"/>
      <c r="S38" s="863"/>
    </row>
    <row r="39" spans="1:19">
      <c r="D39" s="826"/>
      <c r="E39" s="790"/>
      <c r="F39" s="790"/>
      <c r="G39" s="700"/>
      <c r="H39" s="1674" t="s">
        <v>11788</v>
      </c>
      <c r="I39" s="1674"/>
      <c r="J39" s="828">
        <f>5.54+2.52</f>
        <v>8.06</v>
      </c>
      <c r="K39" s="828">
        <v>0.7</v>
      </c>
      <c r="L39" s="700" t="s">
        <v>21</v>
      </c>
      <c r="M39" s="829">
        <f>J39*K39</f>
        <v>5.6420000000000003</v>
      </c>
      <c r="N39" s="824"/>
      <c r="O39" s="790"/>
      <c r="P39" s="863"/>
      <c r="Q39" s="871"/>
      <c r="S39" s="863"/>
    </row>
    <row r="40" spans="1:19">
      <c r="D40" s="826"/>
      <c r="E40" s="790"/>
      <c r="F40" s="790"/>
      <c r="G40" s="700"/>
      <c r="H40" s="1674" t="s">
        <v>12334</v>
      </c>
      <c r="I40" s="1674"/>
      <c r="J40" s="828">
        <v>11</v>
      </c>
      <c r="K40" s="828">
        <f>7.6+3.4</f>
        <v>11</v>
      </c>
      <c r="L40" s="700" t="s">
        <v>21</v>
      </c>
      <c r="M40" s="829">
        <f>J40*K40</f>
        <v>121</v>
      </c>
      <c r="N40" s="824"/>
      <c r="O40" s="790"/>
      <c r="P40" s="863"/>
      <c r="Q40" s="871"/>
      <c r="S40" s="863"/>
    </row>
    <row r="41" spans="1:19">
      <c r="D41" s="826"/>
      <c r="E41" s="790"/>
      <c r="F41" s="790"/>
      <c r="G41" s="700"/>
      <c r="H41" s="1674" t="s">
        <v>12368</v>
      </c>
      <c r="I41" s="1674"/>
      <c r="J41" s="828">
        <f>2+1</f>
        <v>3</v>
      </c>
      <c r="K41" s="828">
        <f>2+1</f>
        <v>3</v>
      </c>
      <c r="L41" s="700" t="s">
        <v>21</v>
      </c>
      <c r="M41" s="829">
        <f>J41*K41</f>
        <v>9</v>
      </c>
      <c r="N41" s="824"/>
      <c r="O41" s="790"/>
      <c r="P41" s="863"/>
      <c r="Q41" s="871"/>
      <c r="S41" s="863"/>
    </row>
    <row r="42" spans="1:19">
      <c r="D42" s="826"/>
      <c r="E42" s="790"/>
      <c r="F42" s="790"/>
      <c r="G42" s="700" t="s">
        <v>30</v>
      </c>
      <c r="H42" s="700" t="s">
        <v>30</v>
      </c>
      <c r="I42" s="700" t="s">
        <v>30</v>
      </c>
      <c r="J42" s="700"/>
      <c r="K42" s="700"/>
      <c r="L42" s="700"/>
      <c r="M42" s="876"/>
      <c r="N42" s="824"/>
      <c r="O42" s="790"/>
      <c r="P42" s="863"/>
      <c r="Q42" s="871"/>
      <c r="S42" s="863"/>
    </row>
    <row r="43" spans="1:19" ht="22.5">
      <c r="A43" s="862" t="s">
        <v>12307</v>
      </c>
      <c r="B43" s="850" t="s">
        <v>70</v>
      </c>
      <c r="C43" s="959" t="s">
        <v>19263</v>
      </c>
      <c r="D43" s="836" t="str">
        <f>PROPER(IF(B43="Saneago",VLOOKUP(C43,'SANEAGO-FEV.2016'!A:B,2,0),IF(B43="Sinapi",VLOOKUP(C43,'SINAPI-FEV.2017'!A:D,2,0),IF(B43="Cotação",VLOOKUP(C43,COTAÇÃO!A:D,2,0),IF(B43="Composição",VLOOKUP(C43,COMPOSIÇÃO!A:D,2,0))))))</f>
        <v>Locacao Convencional De Obra, Através De Gabarito De Tabuas Corridas Pontaletadas A Cada 1,50M, Sem Reaproveitamento</v>
      </c>
      <c r="E43" s="837"/>
      <c r="F43" s="837"/>
      <c r="G43" s="852"/>
      <c r="H43" s="852"/>
      <c r="I43" s="852"/>
      <c r="J43" s="852"/>
      <c r="K43" s="856" t="s">
        <v>27</v>
      </c>
      <c r="L43" s="856" t="s">
        <v>21</v>
      </c>
      <c r="M43" s="840">
        <f>SUM(M37:M41)</f>
        <v>204.81740000000002</v>
      </c>
      <c r="N43" s="824"/>
      <c r="O43" s="790"/>
      <c r="P43" s="863"/>
      <c r="Q43" s="871"/>
      <c r="S43" s="863"/>
    </row>
    <row r="44" spans="1:19" s="863" customFormat="1" ht="13.5" thickBot="1">
      <c r="A44" s="862"/>
      <c r="B44" s="835"/>
      <c r="C44" s="862"/>
      <c r="D44" s="826"/>
      <c r="E44" s="790"/>
      <c r="F44" s="790"/>
      <c r="G44" s="828"/>
      <c r="H44" s="828"/>
      <c r="I44" s="828"/>
      <c r="J44" s="828"/>
      <c r="K44" s="828"/>
      <c r="L44" s="700"/>
      <c r="M44" s="829"/>
      <c r="N44" s="700"/>
      <c r="P44" s="871"/>
    </row>
    <row r="45" spans="1:19" s="863" customFormat="1" ht="13.5" customHeight="1" thickTop="1" thickBot="1">
      <c r="A45" s="862"/>
      <c r="B45" s="835"/>
      <c r="C45" s="862"/>
      <c r="D45" s="830" t="s">
        <v>41</v>
      </c>
      <c r="E45" s="831"/>
      <c r="F45" s="831"/>
      <c r="G45" s="831"/>
      <c r="H45" s="831"/>
      <c r="I45" s="831"/>
      <c r="J45" s="831"/>
      <c r="K45" s="831"/>
      <c r="L45" s="832"/>
      <c r="M45" s="833"/>
      <c r="N45" s="870"/>
      <c r="O45" s="871"/>
      <c r="P45" s="871"/>
    </row>
    <row r="46" spans="1:19" s="863" customFormat="1" ht="13.5" customHeight="1" thickTop="1">
      <c r="A46" s="862"/>
      <c r="B46" s="835"/>
      <c r="C46" s="862"/>
      <c r="D46" s="878"/>
      <c r="E46" s="816"/>
      <c r="F46" s="816"/>
      <c r="G46" s="700" t="s">
        <v>30</v>
      </c>
      <c r="H46" s="700" t="s">
        <v>30</v>
      </c>
      <c r="I46" s="700" t="s">
        <v>30</v>
      </c>
      <c r="J46" s="700" t="s">
        <v>30</v>
      </c>
      <c r="K46" s="700" t="s">
        <v>30</v>
      </c>
      <c r="L46" s="700"/>
      <c r="M46" s="879"/>
      <c r="N46" s="700"/>
      <c r="P46" s="871"/>
    </row>
    <row r="47" spans="1:19" s="863" customFormat="1" ht="13.5" customHeight="1">
      <c r="A47" s="862"/>
      <c r="B47" s="835"/>
      <c r="C47" s="862"/>
      <c r="D47" s="836" t="s">
        <v>11766</v>
      </c>
      <c r="E47" s="837"/>
      <c r="F47" s="837"/>
      <c r="G47" s="880"/>
      <c r="H47" s="880"/>
      <c r="I47" s="880"/>
      <c r="J47" s="880"/>
      <c r="K47" s="880"/>
      <c r="L47" s="852" t="s">
        <v>18</v>
      </c>
      <c r="M47" s="853">
        <v>0.6</v>
      </c>
      <c r="N47" s="700"/>
      <c r="P47" s="871"/>
    </row>
    <row r="48" spans="1:19" s="863" customFormat="1" ht="13.5" customHeight="1">
      <c r="A48" s="862"/>
      <c r="B48" s="835"/>
      <c r="C48" s="862"/>
      <c r="D48" s="881"/>
      <c r="E48" s="882"/>
      <c r="F48" s="882"/>
      <c r="G48" s="700"/>
      <c r="H48" s="700"/>
      <c r="I48" s="700"/>
      <c r="J48" s="700"/>
      <c r="K48" s="700"/>
      <c r="L48" s="883"/>
      <c r="M48" s="884"/>
      <c r="N48" s="700"/>
      <c r="P48" s="871"/>
    </row>
    <row r="49" spans="1:16" s="863" customFormat="1" ht="13.5" customHeight="1">
      <c r="A49" s="862"/>
      <c r="B49" s="835"/>
      <c r="C49" s="862"/>
      <c r="D49" s="836" t="s">
        <v>11668</v>
      </c>
      <c r="E49" s="837"/>
      <c r="F49" s="837"/>
      <c r="G49" s="852"/>
      <c r="H49" s="852"/>
      <c r="I49" s="852"/>
      <c r="J49" s="852"/>
      <c r="K49" s="852"/>
      <c r="L49" s="852"/>
      <c r="M49" s="885">
        <v>25</v>
      </c>
      <c r="N49" s="700"/>
      <c r="O49" s="886"/>
      <c r="P49" s="871"/>
    </row>
    <row r="50" spans="1:16" s="863" customFormat="1" ht="27.75" customHeight="1">
      <c r="A50" s="862"/>
      <c r="B50" s="835"/>
      <c r="C50" s="862"/>
      <c r="D50" s="881"/>
      <c r="E50" s="882"/>
      <c r="F50" s="882"/>
      <c r="G50" s="700"/>
      <c r="H50" s="700"/>
      <c r="I50" s="700" t="s">
        <v>11671</v>
      </c>
      <c r="J50" s="700" t="s">
        <v>11672</v>
      </c>
      <c r="K50" s="700" t="s">
        <v>11673</v>
      </c>
      <c r="L50" s="883"/>
      <c r="M50" s="884"/>
      <c r="N50" s="700"/>
      <c r="P50" s="871"/>
    </row>
    <row r="51" spans="1:16" s="863" customFormat="1" ht="13.5" customHeight="1">
      <c r="A51" s="862"/>
      <c r="B51" s="835"/>
      <c r="C51" s="862"/>
      <c r="D51" s="836" t="s">
        <v>11670</v>
      </c>
      <c r="E51" s="837"/>
      <c r="F51" s="837"/>
      <c r="G51" s="852"/>
      <c r="H51" s="852"/>
      <c r="I51" s="852">
        <v>0.25</v>
      </c>
      <c r="J51" s="852">
        <v>0.15</v>
      </c>
      <c r="K51" s="852">
        <v>0.05</v>
      </c>
      <c r="L51" s="852" t="s">
        <v>18</v>
      </c>
      <c r="M51" s="853">
        <f>SUM(I51:K51)</f>
        <v>0.45</v>
      </c>
      <c r="N51" s="700"/>
      <c r="O51" s="886"/>
      <c r="P51" s="871"/>
    </row>
    <row r="52" spans="1:16" s="863" customFormat="1" ht="22.5">
      <c r="A52" s="862"/>
      <c r="B52" s="835"/>
      <c r="C52" s="862"/>
      <c r="D52" s="1770" t="s">
        <v>11834</v>
      </c>
      <c r="E52" s="1771"/>
      <c r="F52" s="700" t="s">
        <v>11676</v>
      </c>
      <c r="G52" s="700" t="s">
        <v>11669</v>
      </c>
      <c r="H52" s="700" t="s">
        <v>11674</v>
      </c>
      <c r="I52" s="700" t="s">
        <v>11675</v>
      </c>
      <c r="J52" s="700" t="s">
        <v>11876</v>
      </c>
      <c r="K52" s="700" t="s">
        <v>11667</v>
      </c>
      <c r="L52" s="883"/>
      <c r="M52" s="884"/>
      <c r="N52" s="700"/>
      <c r="P52" s="871"/>
    </row>
    <row r="53" spans="1:16" s="863" customFormat="1">
      <c r="A53" s="862"/>
      <c r="B53" s="835"/>
      <c r="C53" s="862"/>
      <c r="D53" s="1679" t="s">
        <v>12332</v>
      </c>
      <c r="E53" s="1674"/>
      <c r="F53" s="700">
        <f t="shared" ref="F53:G55" si="1">J37+$M$47*2</f>
        <v>13.5</v>
      </c>
      <c r="G53" s="700">
        <f t="shared" si="1"/>
        <v>6.4</v>
      </c>
      <c r="H53" s="889">
        <f>F53+2*(K53*TAN($M$49*PI()/180))</f>
        <v>14.852292208649496</v>
      </c>
      <c r="I53" s="889">
        <f>G53+2*(K53*TAN($M$49*PI()/180))</f>
        <v>7.7522922086494965</v>
      </c>
      <c r="J53" s="828">
        <f>1</f>
        <v>1</v>
      </c>
      <c r="K53" s="828">
        <f>J53+$M$51</f>
        <v>1.45</v>
      </c>
      <c r="L53" s="700" t="s">
        <v>18</v>
      </c>
      <c r="M53" s="890">
        <f>ROUND((K53/3)*((H53*I53)+SQRT((H53*I53)*(F53*G53))+(F53*G53)),2)</f>
        <v>145.62</v>
      </c>
      <c r="N53" s="700"/>
      <c r="P53" s="871"/>
    </row>
    <row r="54" spans="1:16" s="863" customFormat="1">
      <c r="A54" s="862"/>
      <c r="B54" s="835"/>
      <c r="C54" s="862"/>
      <c r="D54" s="1679" t="s">
        <v>12333</v>
      </c>
      <c r="E54" s="1674"/>
      <c r="F54" s="700">
        <f t="shared" si="1"/>
        <v>4.13</v>
      </c>
      <c r="G54" s="700">
        <f t="shared" si="1"/>
        <v>2.98</v>
      </c>
      <c r="H54" s="889">
        <f>F54+2*(K54*TAN($M$49*PI()/180))</f>
        <v>5.3890306770184964</v>
      </c>
      <c r="I54" s="889">
        <f>G54+2*(K54*TAN($M$49*PI()/180))</f>
        <v>4.239030677018496</v>
      </c>
      <c r="J54" s="700">
        <v>0.9</v>
      </c>
      <c r="K54" s="828">
        <f>J54+$M$51</f>
        <v>1.35</v>
      </c>
      <c r="L54" s="700" t="s">
        <v>18</v>
      </c>
      <c r="M54" s="890">
        <f>ROUND((K54/3)*((H54*I54)+SQRT((H54*I54)*(F54*G54))+(F54*G54)),2)</f>
        <v>23.36</v>
      </c>
      <c r="N54" s="700"/>
      <c r="P54" s="871"/>
    </row>
    <row r="55" spans="1:16" s="863" customFormat="1">
      <c r="A55" s="862"/>
      <c r="B55" s="835"/>
      <c r="C55" s="862"/>
      <c r="D55" s="1679" t="s">
        <v>11788</v>
      </c>
      <c r="E55" s="1674"/>
      <c r="F55" s="700">
        <f t="shared" si="1"/>
        <v>9.26</v>
      </c>
      <c r="G55" s="700">
        <f t="shared" si="1"/>
        <v>1.9</v>
      </c>
      <c r="H55" s="889">
        <f>F55+2*(K55*TAN($M$49*PI()/180))</f>
        <v>9.6796768923394989</v>
      </c>
      <c r="I55" s="889">
        <f>G55+2*(K55*TAN($M$49*PI()/180))</f>
        <v>2.3196768923394986</v>
      </c>
      <c r="J55" s="700">
        <v>0.45</v>
      </c>
      <c r="K55" s="828">
        <f>J55</f>
        <v>0.45</v>
      </c>
      <c r="L55" s="700" t="s">
        <v>18</v>
      </c>
      <c r="M55" s="890">
        <f>ROUND((K55/3)*((H55*I55)+SQRT((H55*I55)*(F55*G55))+(F55*G55)),2)</f>
        <v>8.99</v>
      </c>
      <c r="N55" s="700"/>
      <c r="P55" s="871"/>
    </row>
    <row r="56" spans="1:16" s="863" customFormat="1">
      <c r="A56" s="862"/>
      <c r="B56" s="835"/>
      <c r="C56" s="862"/>
      <c r="D56" s="1679" t="s">
        <v>12334</v>
      </c>
      <c r="E56" s="1674"/>
      <c r="F56" s="700">
        <v>0</v>
      </c>
      <c r="G56" s="700">
        <v>0</v>
      </c>
      <c r="H56" s="889">
        <v>0</v>
      </c>
      <c r="I56" s="889">
        <v>0</v>
      </c>
      <c r="J56" s="700">
        <v>0</v>
      </c>
      <c r="K56" s="828">
        <v>0</v>
      </c>
      <c r="L56" s="700" t="s">
        <v>18</v>
      </c>
      <c r="M56" s="890">
        <f>ROUND((K56/3)*((H56*I56)+SQRT((H56*I56)*(F56*G56))+(F56*G56)),2)</f>
        <v>0</v>
      </c>
      <c r="N56" s="700"/>
      <c r="P56" s="871"/>
    </row>
    <row r="57" spans="1:16" s="863" customFormat="1" ht="12.75" customHeight="1">
      <c r="A57" s="862"/>
      <c r="B57" s="835"/>
      <c r="C57" s="862"/>
      <c r="D57" s="1679" t="s">
        <v>12368</v>
      </c>
      <c r="E57" s="1674"/>
      <c r="F57" s="700">
        <f>J41+$M$47*2</f>
        <v>4.2</v>
      </c>
      <c r="G57" s="700">
        <f>K41+$M$47*2</f>
        <v>4.2</v>
      </c>
      <c r="H57" s="889"/>
      <c r="I57" s="889"/>
      <c r="J57" s="700">
        <v>0.5</v>
      </c>
      <c r="K57" s="828">
        <f>J57</f>
        <v>0.5</v>
      </c>
      <c r="L57" s="700" t="s">
        <v>18</v>
      </c>
      <c r="M57" s="890">
        <f>F57*G57*K57</f>
        <v>8.82</v>
      </c>
      <c r="N57" s="700"/>
      <c r="P57" s="871"/>
    </row>
    <row r="58" spans="1:16" s="863" customFormat="1" ht="15" customHeight="1">
      <c r="A58" s="862"/>
      <c r="B58" s="835"/>
      <c r="C58" s="862"/>
      <c r="D58" s="1679"/>
      <c r="E58" s="1674"/>
      <c r="F58" s="889"/>
      <c r="G58" s="889"/>
      <c r="H58" s="889"/>
      <c r="I58" s="1700" t="s">
        <v>12338</v>
      </c>
      <c r="J58" s="1700"/>
      <c r="K58" s="1700"/>
      <c r="L58" s="816" t="s">
        <v>22</v>
      </c>
      <c r="M58" s="891">
        <f>SUM(M53:M57)</f>
        <v>186.79000000000002</v>
      </c>
      <c r="N58" s="700"/>
      <c r="P58" s="871"/>
    </row>
    <row r="59" spans="1:16" s="863" customFormat="1" ht="13.5" customHeight="1">
      <c r="A59" s="862"/>
      <c r="B59" s="835"/>
      <c r="C59" s="862"/>
      <c r="D59" s="881"/>
      <c r="E59" s="882"/>
      <c r="F59" s="882"/>
      <c r="G59" s="883" t="s">
        <v>37</v>
      </c>
      <c r="H59" s="883" t="s">
        <v>17</v>
      </c>
      <c r="I59" s="883" t="s">
        <v>19</v>
      </c>
      <c r="J59" s="883" t="s">
        <v>28</v>
      </c>
      <c r="K59" s="883" t="s">
        <v>51</v>
      </c>
      <c r="L59" s="883"/>
      <c r="M59" s="884"/>
      <c r="N59" s="700"/>
      <c r="P59" s="871"/>
    </row>
    <row r="60" spans="1:16" s="863" customFormat="1" ht="13.5" customHeight="1">
      <c r="A60" s="862"/>
      <c r="B60" s="835"/>
      <c r="C60" s="862"/>
      <c r="D60" s="826" t="s">
        <v>12335</v>
      </c>
      <c r="E60" s="790"/>
      <c r="F60" s="790"/>
      <c r="G60" s="828">
        <v>0.2</v>
      </c>
      <c r="H60" s="828">
        <v>0.9</v>
      </c>
      <c r="I60" s="828">
        <v>0.9</v>
      </c>
      <c r="J60" s="828">
        <v>0.7</v>
      </c>
      <c r="K60" s="700">
        <v>4</v>
      </c>
      <c r="L60" s="700" t="s">
        <v>22</v>
      </c>
      <c r="M60" s="829">
        <f>(((H60+(2*G60))*(I60+(2*G60)))*J60)*K60</f>
        <v>4.7320000000000002</v>
      </c>
      <c r="N60" s="700"/>
      <c r="P60" s="871"/>
    </row>
    <row r="61" spans="1:16" s="863" customFormat="1" ht="13.5" customHeight="1">
      <c r="A61" s="862"/>
      <c r="B61" s="835"/>
      <c r="C61" s="862"/>
      <c r="D61" s="826"/>
      <c r="E61" s="790"/>
      <c r="F61" s="790"/>
      <c r="G61" s="828" t="s">
        <v>37</v>
      </c>
      <c r="H61" s="828" t="s">
        <v>17</v>
      </c>
      <c r="I61" s="828" t="s">
        <v>19</v>
      </c>
      <c r="J61" s="828" t="s">
        <v>28</v>
      </c>
      <c r="K61" s="700" t="s">
        <v>51</v>
      </c>
      <c r="L61" s="700"/>
      <c r="M61" s="890"/>
      <c r="N61" s="700"/>
      <c r="P61" s="871"/>
    </row>
    <row r="62" spans="1:16" s="863" customFormat="1" ht="13.5" customHeight="1">
      <c r="A62" s="862"/>
      <c r="B62" s="835"/>
      <c r="C62" s="862"/>
      <c r="D62" s="826" t="s">
        <v>12336</v>
      </c>
      <c r="E62" s="790"/>
      <c r="F62" s="790"/>
      <c r="G62" s="828">
        <v>0.2</v>
      </c>
      <c r="H62" s="828">
        <v>1</v>
      </c>
      <c r="I62" s="828">
        <v>1</v>
      </c>
      <c r="J62" s="828">
        <v>0.7</v>
      </c>
      <c r="K62" s="700">
        <v>4</v>
      </c>
      <c r="L62" s="700" t="s">
        <v>22</v>
      </c>
      <c r="M62" s="829">
        <f>(((H62+(2*G62))*(I62+(2*G62)))*J62)*K62</f>
        <v>5.4879999999999987</v>
      </c>
      <c r="N62" s="700"/>
      <c r="P62" s="871"/>
    </row>
    <row r="63" spans="1:16" s="863" customFormat="1" ht="13.5" customHeight="1">
      <c r="A63" s="862"/>
      <c r="B63" s="835"/>
      <c r="C63" s="862"/>
      <c r="D63" s="826"/>
      <c r="E63" s="790"/>
      <c r="F63" s="790"/>
      <c r="G63" s="828" t="s">
        <v>37</v>
      </c>
      <c r="H63" s="828" t="s">
        <v>17</v>
      </c>
      <c r="I63" s="828" t="s">
        <v>19</v>
      </c>
      <c r="J63" s="828" t="s">
        <v>28</v>
      </c>
      <c r="K63" s="700" t="s">
        <v>51</v>
      </c>
      <c r="L63" s="700"/>
      <c r="M63" s="890"/>
      <c r="N63" s="700"/>
      <c r="P63" s="871"/>
    </row>
    <row r="64" spans="1:16" s="863" customFormat="1" ht="13.5" customHeight="1">
      <c r="A64" s="862"/>
      <c r="B64" s="835"/>
      <c r="C64" s="862"/>
      <c r="D64" s="826" t="s">
        <v>12337</v>
      </c>
      <c r="E64" s="790"/>
      <c r="F64" s="790"/>
      <c r="G64" s="828">
        <v>0.2</v>
      </c>
      <c r="H64" s="828">
        <f>12.3*2+5.2*4</f>
        <v>45.400000000000006</v>
      </c>
      <c r="I64" s="828">
        <v>0.15</v>
      </c>
      <c r="J64" s="828">
        <v>0.3</v>
      </c>
      <c r="K64" s="700">
        <v>1</v>
      </c>
      <c r="L64" s="700" t="s">
        <v>22</v>
      </c>
      <c r="M64" s="829">
        <f>(((H64+(2*G64))*(I64+(2*G64)))*J64)*K64</f>
        <v>7.5570000000000013</v>
      </c>
      <c r="N64" s="700"/>
      <c r="P64" s="871"/>
    </row>
    <row r="65" spans="1:16" s="863" customFormat="1" ht="13.5" customHeight="1">
      <c r="A65" s="862"/>
      <c r="B65" s="835"/>
      <c r="C65" s="862"/>
      <c r="D65" s="826"/>
      <c r="E65" s="790"/>
      <c r="F65" s="790"/>
      <c r="G65" s="828"/>
      <c r="H65" s="700"/>
      <c r="I65" s="700"/>
      <c r="J65" s="828"/>
      <c r="K65" s="700"/>
      <c r="L65" s="700"/>
      <c r="M65" s="829"/>
      <c r="N65" s="700"/>
      <c r="P65" s="871"/>
    </row>
    <row r="66" spans="1:16" s="863" customFormat="1" ht="13.5" customHeight="1">
      <c r="A66" s="862"/>
      <c r="B66" s="835"/>
      <c r="C66" s="862"/>
      <c r="D66" s="836"/>
      <c r="E66" s="837"/>
      <c r="F66" s="837"/>
      <c r="G66" s="838"/>
      <c r="H66" s="852"/>
      <c r="I66" s="1678" t="s">
        <v>12339</v>
      </c>
      <c r="J66" s="1678"/>
      <c r="K66" s="1678"/>
      <c r="L66" s="856" t="s">
        <v>22</v>
      </c>
      <c r="M66" s="892">
        <f>SUM(M59:M64)</f>
        <v>17.777000000000001</v>
      </c>
      <c r="N66" s="700"/>
      <c r="P66" s="871"/>
    </row>
    <row r="67" spans="1:16" s="863" customFormat="1">
      <c r="A67" s="862"/>
      <c r="B67" s="835"/>
      <c r="C67" s="862"/>
      <c r="D67" s="826"/>
      <c r="E67" s="790"/>
      <c r="F67" s="700"/>
      <c r="G67" s="700"/>
      <c r="H67" s="700"/>
      <c r="I67" s="700"/>
      <c r="J67" s="700"/>
      <c r="K67" s="700"/>
      <c r="L67" s="700"/>
      <c r="M67" s="890"/>
      <c r="N67" s="700"/>
      <c r="P67" s="871"/>
    </row>
    <row r="68" spans="1:16" s="863" customFormat="1">
      <c r="A68" s="862"/>
      <c r="B68" s="835"/>
      <c r="C68" s="862"/>
      <c r="D68" s="836" t="s">
        <v>11785</v>
      </c>
      <c r="E68" s="837"/>
      <c r="F68" s="837"/>
      <c r="G68" s="838"/>
      <c r="H68" s="838"/>
      <c r="I68" s="838"/>
      <c r="J68" s="838"/>
      <c r="K68" s="856" t="s">
        <v>27</v>
      </c>
      <c r="L68" s="856" t="s">
        <v>21</v>
      </c>
      <c r="M68" s="840">
        <f>M66+M58</f>
        <v>204.56700000000001</v>
      </c>
      <c r="N68" s="700"/>
      <c r="P68" s="871"/>
    </row>
    <row r="69" spans="1:16" s="863" customFormat="1" ht="22.5" hidden="1">
      <c r="A69" s="862"/>
      <c r="B69" s="835"/>
      <c r="C69" s="862"/>
      <c r="D69" s="881"/>
      <c r="E69" s="882"/>
      <c r="F69" s="882"/>
      <c r="G69" s="700" t="s">
        <v>11676</v>
      </c>
      <c r="H69" s="700" t="s">
        <v>11669</v>
      </c>
      <c r="I69" s="700" t="s">
        <v>11674</v>
      </c>
      <c r="J69" s="700" t="s">
        <v>11675</v>
      </c>
      <c r="K69" s="700" t="s">
        <v>11667</v>
      </c>
      <c r="L69" s="883"/>
      <c r="M69" s="884"/>
      <c r="N69" s="700"/>
      <c r="P69" s="871"/>
    </row>
    <row r="70" spans="1:16" s="863" customFormat="1" hidden="1">
      <c r="A70" s="862"/>
      <c r="B70" s="835"/>
      <c r="C70" s="862"/>
      <c r="D70" s="836" t="s">
        <v>11786</v>
      </c>
      <c r="E70" s="837"/>
      <c r="F70" s="837"/>
      <c r="G70" s="838"/>
      <c r="H70" s="838"/>
      <c r="I70" s="838"/>
      <c r="J70" s="838"/>
      <c r="K70" s="838"/>
      <c r="L70" s="852" t="s">
        <v>18</v>
      </c>
      <c r="M70" s="853">
        <f>ROUND((K70/3)*((I70*J70)+SQRT((I70*J70)*(G70*H70))+(G70*H70)),2)</f>
        <v>0</v>
      </c>
      <c r="N70" s="700"/>
      <c r="P70" s="871"/>
    </row>
    <row r="71" spans="1:16" s="863" customFormat="1" ht="13.5" customHeight="1">
      <c r="A71" s="862"/>
      <c r="B71" s="835"/>
      <c r="C71" s="862"/>
      <c r="D71" s="881"/>
      <c r="E71" s="882"/>
      <c r="F71" s="882"/>
      <c r="G71" s="700"/>
      <c r="H71" s="700"/>
      <c r="I71" s="700"/>
      <c r="J71" s="700" t="s">
        <v>11696</v>
      </c>
      <c r="K71" s="700" t="s">
        <v>11641</v>
      </c>
      <c r="L71" s="883"/>
      <c r="M71" s="884"/>
      <c r="N71" s="700"/>
      <c r="P71" s="871"/>
    </row>
    <row r="72" spans="1:16" s="863" customFormat="1" ht="45">
      <c r="A72" s="862" t="s">
        <v>12308</v>
      </c>
      <c r="B72" s="835" t="s">
        <v>70</v>
      </c>
      <c r="C72" s="960">
        <v>90105</v>
      </c>
      <c r="D72" s="894" t="str">
        <f>PROPER(IF(B72="Saneago",VLOOKUP(C72,'SANEAGO-FEV.2016'!A:B,2,0),IF(B72="Sinapi",VLOOKUP(C72,'SINAPI-FEV.2017'!A:D,2,0),IF(B72="Cotação",VLOOKUP(C72,COTAÇÃO!A:D,2,0),IF(B72="Composição",VLOOKUP(C72,COMPOSIÇÃO!A:D,2,0))))))</f>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
      <c r="E72" s="895"/>
      <c r="F72" s="895"/>
      <c r="G72" s="852"/>
      <c r="H72" s="852"/>
      <c r="I72" s="852"/>
      <c r="J72" s="896">
        <f>M15</f>
        <v>0.95</v>
      </c>
      <c r="K72" s="896">
        <f>M17</f>
        <v>0.9</v>
      </c>
      <c r="L72" s="852" t="s">
        <v>22</v>
      </c>
      <c r="M72" s="853">
        <f>K72*M$68*J72</f>
        <v>174.904785</v>
      </c>
      <c r="N72" s="700"/>
      <c r="P72" s="871"/>
    </row>
    <row r="73" spans="1:16" s="863" customFormat="1" hidden="1">
      <c r="A73" s="862"/>
      <c r="B73" s="835"/>
      <c r="C73" s="960"/>
      <c r="D73" s="881"/>
      <c r="E73" s="882"/>
      <c r="F73" s="882"/>
      <c r="G73" s="700"/>
      <c r="H73" s="700"/>
      <c r="I73" s="700"/>
      <c r="J73" s="700" t="s">
        <v>11696</v>
      </c>
      <c r="K73" s="700" t="s">
        <v>11641</v>
      </c>
      <c r="L73" s="883"/>
      <c r="M73" s="884"/>
      <c r="N73" s="700"/>
      <c r="P73" s="871"/>
    </row>
    <row r="74" spans="1:16" s="863" customFormat="1" ht="22.5" hidden="1">
      <c r="A74" s="862" t="s">
        <v>12309</v>
      </c>
      <c r="B74" s="835" t="s">
        <v>10852</v>
      </c>
      <c r="C74" s="960">
        <v>182</v>
      </c>
      <c r="D74" s="894" t="str">
        <f>PROPER(IF(B74="Saneago",VLOOKUP(C74,'SANEAGO-FEV.2016'!A:B,2,0),IF(B74="Sinapi",VLOOKUP(C74,'SINAPI-FEV.2017'!A:D,2,0),IF(B74="Cotação",VLOOKUP(C74,COTAÇÃO!A:D,2,0),IF(B74="Composição",VLOOKUP(C74,COMPOSIÇÃO!A:D,2,0))))))</f>
        <v>Escavação  Mecanizada  (Com Escavadeira Hidráulica)  Em Valas Com Material De 1ª Categoria - Profundidade De 2,0 A 4,0M</v>
      </c>
      <c r="E74" s="895"/>
      <c r="F74" s="895"/>
      <c r="G74" s="852"/>
      <c r="H74" s="852"/>
      <c r="I74" s="852"/>
      <c r="J74" s="896">
        <f>J72</f>
        <v>0.95</v>
      </c>
      <c r="K74" s="896">
        <f>K72</f>
        <v>0.9</v>
      </c>
      <c r="L74" s="852" t="s">
        <v>22</v>
      </c>
      <c r="M74" s="853">
        <f>K74*M$70*J74</f>
        <v>0</v>
      </c>
      <c r="N74" s="700"/>
      <c r="P74" s="871"/>
    </row>
    <row r="75" spans="1:16" s="863" customFormat="1">
      <c r="A75" s="862"/>
      <c r="B75" s="835"/>
      <c r="C75" s="960"/>
      <c r="D75" s="881"/>
      <c r="E75" s="882"/>
      <c r="F75" s="882"/>
      <c r="G75" s="700"/>
      <c r="H75" s="700"/>
      <c r="I75" s="700"/>
      <c r="J75" s="700" t="s">
        <v>11696</v>
      </c>
      <c r="K75" s="700" t="s">
        <v>11642</v>
      </c>
      <c r="L75" s="883"/>
      <c r="M75" s="884"/>
      <c r="N75" s="700"/>
      <c r="P75" s="871"/>
    </row>
    <row r="76" spans="1:16" s="863" customFormat="1" ht="33.75">
      <c r="A76" s="862" t="s">
        <v>12310</v>
      </c>
      <c r="B76" s="835" t="s">
        <v>10852</v>
      </c>
      <c r="C76" s="960">
        <v>184</v>
      </c>
      <c r="D76" s="894" t="str">
        <f>PROPER(IF(B76="Saneago",VLOOKUP(C76,'SANEAGO-FEV.2016'!A:B,2,0),IF(B76="Sinapi",VLOOKUP(C76,'SINAPI-FEV.2017'!A:D,2,0),IF(B76="Cotação",VLOOKUP(C76,COTAÇÃO!A:D,2,0),IF(B76="Composição",VLOOKUP(C76,COMPOSIÇÃO!A:D,2,0))))))</f>
        <v>Escavação  Mecanizada  (Com Escavadeira Hidráulica)  Em Valas Com Material De 2ª Categoria
- Profundidade Até 2,0 M</v>
      </c>
      <c r="E76" s="895"/>
      <c r="F76" s="895"/>
      <c r="G76" s="852"/>
      <c r="H76" s="852"/>
      <c r="I76" s="852"/>
      <c r="J76" s="896">
        <f>J74</f>
        <v>0.95</v>
      </c>
      <c r="K76" s="896">
        <f>M18</f>
        <v>0.05</v>
      </c>
      <c r="L76" s="852" t="s">
        <v>22</v>
      </c>
      <c r="M76" s="853">
        <f>K76*M$68*J76</f>
        <v>9.7169325000000004</v>
      </c>
      <c r="N76" s="700"/>
      <c r="P76" s="871"/>
    </row>
    <row r="77" spans="1:16" s="863" customFormat="1" hidden="1">
      <c r="A77" s="862"/>
      <c r="B77" s="835"/>
      <c r="C77" s="862"/>
      <c r="D77" s="881"/>
      <c r="E77" s="882"/>
      <c r="F77" s="882"/>
      <c r="G77" s="700"/>
      <c r="H77" s="700"/>
      <c r="I77" s="700"/>
      <c r="J77" s="700" t="s">
        <v>11696</v>
      </c>
      <c r="K77" s="700" t="s">
        <v>11642</v>
      </c>
      <c r="L77" s="883"/>
      <c r="M77" s="884"/>
      <c r="N77" s="700"/>
      <c r="P77" s="871"/>
    </row>
    <row r="78" spans="1:16" s="863" customFormat="1" ht="33.75" hidden="1">
      <c r="A78" s="862" t="s">
        <v>12311</v>
      </c>
      <c r="B78" s="835" t="s">
        <v>10852</v>
      </c>
      <c r="C78" s="960">
        <v>185</v>
      </c>
      <c r="D78" s="894" t="str">
        <f>PROPER(IF(B78="Saneago",VLOOKUP(C78,'SANEAGO-FEV.2016'!A:B,2,0),IF(B78="Sinapi",VLOOKUP(C78,'SINAPI-FEV.2017'!A:D,2,0),IF(B78="Cotação",VLOOKUP(C78,COTAÇÃO!A:D,2,0),IF(B78="Composição",VLOOKUP(C78,COMPOSIÇÃO!A:D,2,0))))))</f>
        <v>Escavação  Mecanizada  (Com Escavadeira Hidráulica)  Em Valas Com Material De 2ª Categoria
- Profundidade De 2,0 A 4,0 M</v>
      </c>
      <c r="E78" s="895"/>
      <c r="F78" s="895"/>
      <c r="G78" s="852"/>
      <c r="H78" s="852"/>
      <c r="I78" s="852"/>
      <c r="J78" s="896">
        <f>J76</f>
        <v>0.95</v>
      </c>
      <c r="K78" s="896">
        <f>K76</f>
        <v>0.05</v>
      </c>
      <c r="L78" s="852" t="s">
        <v>22</v>
      </c>
      <c r="M78" s="853">
        <f>K78*M$70*J78</f>
        <v>0</v>
      </c>
      <c r="N78" s="700"/>
      <c r="P78" s="871"/>
    </row>
    <row r="79" spans="1:16" s="863" customFormat="1">
      <c r="A79" s="862"/>
      <c r="B79" s="835"/>
      <c r="C79" s="862"/>
      <c r="D79" s="881"/>
      <c r="E79" s="882"/>
      <c r="F79" s="882"/>
      <c r="G79" s="700"/>
      <c r="H79" s="700"/>
      <c r="I79" s="700"/>
      <c r="J79" s="700" t="s">
        <v>11696</v>
      </c>
      <c r="K79" s="700" t="s">
        <v>11677</v>
      </c>
      <c r="L79" s="883"/>
      <c r="M79" s="884"/>
      <c r="N79" s="700"/>
      <c r="P79" s="871"/>
    </row>
    <row r="80" spans="1:16" s="863" customFormat="1" ht="22.5">
      <c r="A80" s="862" t="s">
        <v>12312</v>
      </c>
      <c r="B80" s="835" t="s">
        <v>10852</v>
      </c>
      <c r="C80" s="960">
        <v>187</v>
      </c>
      <c r="D80" s="894" t="str">
        <f>PROPER(IF(B80="Saneago",VLOOKUP(C80,'SANEAGO-FEV.2016'!A:B,2,0),IF(B80="Sinapi",VLOOKUP(C80,'SINAPI-FEV.2017'!A:D,2,0),IF(B80="Cotação",VLOOKUP(C80,COTAÇÃO!A:D,2,0),IF(B80="Composição",VLOOKUP(C80,COMPOSIÇÃO!A:D,2,0))))))</f>
        <v>Escavação  Mecanizada  (Com Escavadeira Hidráulica)  Em Valas Com Material  De Solo Mole - Profundidade Até 2,0 M</v>
      </c>
      <c r="E80" s="895"/>
      <c r="F80" s="895"/>
      <c r="G80" s="852"/>
      <c r="H80" s="852"/>
      <c r="I80" s="852"/>
      <c r="J80" s="896">
        <f>J78</f>
        <v>0.95</v>
      </c>
      <c r="K80" s="896">
        <f>M20</f>
        <v>0.05</v>
      </c>
      <c r="L80" s="852" t="s">
        <v>22</v>
      </c>
      <c r="M80" s="853">
        <f>K80*M$68*J80</f>
        <v>9.7169325000000004</v>
      </c>
      <c r="N80" s="700"/>
      <c r="P80" s="871"/>
    </row>
    <row r="81" spans="1:16" s="863" customFormat="1" hidden="1">
      <c r="A81" s="862"/>
      <c r="B81" s="835"/>
      <c r="C81" s="862"/>
      <c r="D81" s="881"/>
      <c r="E81" s="882"/>
      <c r="F81" s="882"/>
      <c r="G81" s="700"/>
      <c r="H81" s="700"/>
      <c r="I81" s="700"/>
      <c r="J81" s="700" t="s">
        <v>11696</v>
      </c>
      <c r="K81" s="700" t="s">
        <v>11677</v>
      </c>
      <c r="L81" s="883"/>
      <c r="M81" s="884"/>
      <c r="N81" s="700"/>
      <c r="P81" s="871"/>
    </row>
    <row r="82" spans="1:16" s="863" customFormat="1" ht="22.5" hidden="1">
      <c r="A82" s="862" t="s">
        <v>12313</v>
      </c>
      <c r="B82" s="835" t="s">
        <v>10852</v>
      </c>
      <c r="C82" s="960">
        <v>188</v>
      </c>
      <c r="D82" s="894" t="str">
        <f>PROPER(IF(B82="Saneago",VLOOKUP(C82,'SANEAGO-FEV.2016'!A:B,2,0),IF(B82="Sinapi",VLOOKUP(C82,'SINAPI-FEV.2017'!A:D,2,0),IF(B82="Cotação",VLOOKUP(C82,COTAÇÃO!A:D,2,0),IF(B82="Composição",VLOOKUP(C82,COMPOSIÇÃO!A:D,2,0))))))</f>
        <v>Escavação  Mecanizada  (Com Escavadeira Hidráulica)  Em Valas Com Material  De Solo Mole - Profundidade De 2,0 A 4,0 M</v>
      </c>
      <c r="E82" s="895"/>
      <c r="F82" s="895"/>
      <c r="G82" s="852"/>
      <c r="H82" s="852"/>
      <c r="I82" s="852"/>
      <c r="J82" s="896">
        <f>J80</f>
        <v>0.95</v>
      </c>
      <c r="K82" s="896">
        <f>K80</f>
        <v>0.05</v>
      </c>
      <c r="L82" s="852" t="s">
        <v>22</v>
      </c>
      <c r="M82" s="853">
        <f>K82*M$70*J82</f>
        <v>0</v>
      </c>
      <c r="N82" s="700"/>
      <c r="P82" s="871"/>
    </row>
    <row r="83" spans="1:16" s="863" customFormat="1">
      <c r="A83" s="862"/>
      <c r="B83" s="835"/>
      <c r="C83" s="862"/>
      <c r="D83" s="881"/>
      <c r="E83" s="882"/>
      <c r="F83" s="882"/>
      <c r="G83" s="700"/>
      <c r="H83" s="700"/>
      <c r="I83" s="700"/>
      <c r="J83" s="700" t="s">
        <v>11696</v>
      </c>
      <c r="K83" s="700" t="s">
        <v>11641</v>
      </c>
      <c r="L83" s="883"/>
      <c r="M83" s="884"/>
      <c r="N83" s="700"/>
      <c r="P83" s="871"/>
    </row>
    <row r="84" spans="1:16" s="863" customFormat="1">
      <c r="A84" s="862" t="s">
        <v>12314</v>
      </c>
      <c r="B84" s="835" t="s">
        <v>70</v>
      </c>
      <c r="C84" s="960">
        <v>93358</v>
      </c>
      <c r="D84" s="894" t="str">
        <f>PROPER(IF(B84="Saneago",VLOOKUP(C84,'SANEAGO-FEV.2016'!A:B,2,0),IF(B84="Sinapi",VLOOKUP(C84,'SINAPI-FEV.2017'!A:D,2,0),IF(B84="Cotação",VLOOKUP(C84,COTAÇÃO!A:D,2,0),IF(B84="Composição",VLOOKUP(C84,COMPOSIÇÃO!A:D,2,0))))))</f>
        <v>Escavação Manual De Valas. Af_03/2016</v>
      </c>
      <c r="E84" s="895"/>
      <c r="F84" s="895"/>
      <c r="G84" s="852"/>
      <c r="H84" s="852"/>
      <c r="I84" s="852"/>
      <c r="J84" s="896">
        <f>M16</f>
        <v>0.05</v>
      </c>
      <c r="K84" s="896">
        <f>K72</f>
        <v>0.9</v>
      </c>
      <c r="L84" s="852" t="s">
        <v>22</v>
      </c>
      <c r="M84" s="853">
        <f>K84*M$68*J84</f>
        <v>9.2055150000000019</v>
      </c>
      <c r="N84" s="700"/>
      <c r="P84" s="871"/>
    </row>
    <row r="85" spans="1:16" s="863" customFormat="1" hidden="1">
      <c r="A85" s="862"/>
      <c r="B85" s="835"/>
      <c r="C85" s="960"/>
      <c r="D85" s="881"/>
      <c r="E85" s="882"/>
      <c r="F85" s="882"/>
      <c r="G85" s="700"/>
      <c r="H85" s="700"/>
      <c r="I85" s="700"/>
      <c r="J85" s="700" t="s">
        <v>11696</v>
      </c>
      <c r="K85" s="700" t="s">
        <v>11641</v>
      </c>
      <c r="L85" s="883"/>
      <c r="M85" s="884"/>
      <c r="N85" s="700"/>
      <c r="P85" s="871"/>
    </row>
    <row r="86" spans="1:16" s="863" customFormat="1" ht="22.5" hidden="1">
      <c r="A86" s="862" t="s">
        <v>12315</v>
      </c>
      <c r="B86" s="835" t="s">
        <v>10852</v>
      </c>
      <c r="C86" s="960">
        <v>169</v>
      </c>
      <c r="D86" s="894" t="str">
        <f>PROPER(IF(B86="Saneago",VLOOKUP(C86,'SANEAGO-FEV.2016'!A:B,2,0),IF(B86="Sinapi",VLOOKUP(C86,'SINAPI-FEV.2017'!A:D,2,0),IF(B86="Cotação",VLOOKUP(C86,COTAÇÃO!A:D,2,0),IF(B86="Composição",VLOOKUP(C86,COMPOSIÇÃO!A:D,2,0))))))</f>
        <v>Escavação  Manual Em Valas Com Material De 1ª Categoria  - Profundidade De 2,0 A 4,0 M</v>
      </c>
      <c r="E86" s="895"/>
      <c r="F86" s="895"/>
      <c r="G86" s="852"/>
      <c r="H86" s="852"/>
      <c r="I86" s="852"/>
      <c r="J86" s="896">
        <f>J84</f>
        <v>0.05</v>
      </c>
      <c r="K86" s="896">
        <f>K74</f>
        <v>0.9</v>
      </c>
      <c r="L86" s="852" t="s">
        <v>22</v>
      </c>
      <c r="M86" s="853">
        <f>K86*M$70*J86</f>
        <v>0</v>
      </c>
      <c r="N86" s="700"/>
      <c r="P86" s="871"/>
    </row>
    <row r="87" spans="1:16" s="863" customFormat="1">
      <c r="A87" s="862"/>
      <c r="B87" s="835"/>
      <c r="C87" s="960"/>
      <c r="D87" s="881"/>
      <c r="E87" s="882"/>
      <c r="F87" s="882"/>
      <c r="G87" s="700"/>
      <c r="H87" s="700"/>
      <c r="I87" s="700"/>
      <c r="J87" s="700" t="s">
        <v>11696</v>
      </c>
      <c r="K87" s="700" t="s">
        <v>11642</v>
      </c>
      <c r="L87" s="883"/>
      <c r="M87" s="884"/>
      <c r="N87" s="700"/>
      <c r="P87" s="871"/>
    </row>
    <row r="88" spans="1:16" s="863" customFormat="1">
      <c r="A88" s="862" t="s">
        <v>12316</v>
      </c>
      <c r="B88" s="835" t="s">
        <v>10852</v>
      </c>
      <c r="C88" s="960">
        <v>170</v>
      </c>
      <c r="D88" s="894" t="str">
        <f>PROPER(IF(B88="Saneago",VLOOKUP(C88,'SANEAGO-FEV.2016'!A:B,2,0),IF(B88="Sinapi",VLOOKUP(C88,'SINAPI-FEV.2017'!A:D,2,0),IF(B88="Cotação",VLOOKUP(C88,COTAÇÃO!A:D,2,0),IF(B88="Composição",VLOOKUP(C88,COMPOSIÇÃO!A:D,2,0))))))</f>
        <v>Escavação  Manual Em Valas Com Material De 2ª Categoria  - Profundidade Até 2,0 M</v>
      </c>
      <c r="E88" s="895"/>
      <c r="F88" s="895"/>
      <c r="G88" s="852"/>
      <c r="H88" s="852"/>
      <c r="I88" s="852"/>
      <c r="J88" s="896">
        <f>J86</f>
        <v>0.05</v>
      </c>
      <c r="K88" s="896">
        <f>K76</f>
        <v>0.05</v>
      </c>
      <c r="L88" s="852" t="s">
        <v>22</v>
      </c>
      <c r="M88" s="853">
        <f>K88*M$68*J88</f>
        <v>0.51141750000000008</v>
      </c>
      <c r="N88" s="700"/>
      <c r="P88" s="871"/>
    </row>
    <row r="89" spans="1:16" s="863" customFormat="1" hidden="1">
      <c r="A89" s="862"/>
      <c r="B89" s="835"/>
      <c r="C89" s="862"/>
      <c r="D89" s="881"/>
      <c r="E89" s="882"/>
      <c r="F89" s="882"/>
      <c r="G89" s="700"/>
      <c r="H89" s="700"/>
      <c r="I89" s="700"/>
      <c r="J89" s="700" t="s">
        <v>11696</v>
      </c>
      <c r="K89" s="700" t="s">
        <v>11642</v>
      </c>
      <c r="L89" s="883"/>
      <c r="M89" s="884"/>
      <c r="N89" s="700"/>
      <c r="P89" s="871"/>
    </row>
    <row r="90" spans="1:16" s="863" customFormat="1" ht="22.5" hidden="1">
      <c r="A90" s="862" t="s">
        <v>12317</v>
      </c>
      <c r="B90" s="835" t="s">
        <v>10852</v>
      </c>
      <c r="C90" s="960">
        <v>171</v>
      </c>
      <c r="D90" s="894" t="str">
        <f>PROPER(IF(B90="Saneago",VLOOKUP(C90,'SANEAGO-FEV.2016'!A:B,2,0),IF(B90="Sinapi",VLOOKUP(C90,'SINAPI-FEV.2017'!A:D,2,0),IF(B90="Cotação",VLOOKUP(C90,COTAÇÃO!A:D,2,0),IF(B90="Composição",VLOOKUP(C90,COMPOSIÇÃO!A:D,2,0))))))</f>
        <v>Escavação  Manual Em Valas Com Material De 2ª Categoria  - Profundidade De 2,0 A 4,0 M</v>
      </c>
      <c r="E90" s="895"/>
      <c r="F90" s="895"/>
      <c r="G90" s="852"/>
      <c r="H90" s="852"/>
      <c r="I90" s="852"/>
      <c r="J90" s="896">
        <f>J88</f>
        <v>0.05</v>
      </c>
      <c r="K90" s="896">
        <f>K78</f>
        <v>0.05</v>
      </c>
      <c r="L90" s="852" t="s">
        <v>22</v>
      </c>
      <c r="M90" s="853">
        <f>K90*M$70*J90</f>
        <v>0</v>
      </c>
      <c r="N90" s="700"/>
      <c r="P90" s="871"/>
    </row>
    <row r="91" spans="1:16" s="863" customFormat="1" ht="13.5" customHeight="1">
      <c r="A91" s="862"/>
      <c r="B91" s="835"/>
      <c r="C91" s="862"/>
      <c r="D91" s="881"/>
      <c r="E91" s="882"/>
      <c r="F91" s="882"/>
      <c r="G91" s="700"/>
      <c r="H91" s="700"/>
      <c r="I91" s="700"/>
      <c r="J91" s="700" t="s">
        <v>11696</v>
      </c>
      <c r="K91" s="700" t="s">
        <v>11677</v>
      </c>
      <c r="L91" s="883"/>
      <c r="M91" s="884"/>
      <c r="N91" s="700"/>
      <c r="P91" s="871"/>
    </row>
    <row r="92" spans="1:16" s="863" customFormat="1" ht="25.5" customHeight="1">
      <c r="A92" s="862" t="s">
        <v>12318</v>
      </c>
      <c r="B92" s="835" t="s">
        <v>10852</v>
      </c>
      <c r="C92" s="960">
        <v>172</v>
      </c>
      <c r="D92" s="894" t="str">
        <f>PROPER(IF(B92="Saneago",VLOOKUP(C92,'SANEAGO-FEV.2016'!A:B,2,0),IF(B92="Sinapi",VLOOKUP(C92,'SINAPI-FEV.2017'!A:D,2,0),IF(B92="Cotação",VLOOKUP(C92,COTAÇÃO!A:D,2,0),IF(B92="Composição",VLOOKUP(C92,COMPOSIÇÃO!A:D,2,0))))))</f>
        <v>Escavação   Manual   Em  Valas  Com  Material   De  3ª  Categoria   Sem  Uso  De  Explosivo   Com Utilização  De Compressor E Rompedor  -  Profundidade Até 2,0M</v>
      </c>
      <c r="E92" s="895"/>
      <c r="F92" s="895"/>
      <c r="G92" s="852"/>
      <c r="H92" s="852"/>
      <c r="I92" s="852"/>
      <c r="J92" s="896">
        <f>J90</f>
        <v>0.05</v>
      </c>
      <c r="K92" s="896">
        <f>K80</f>
        <v>0.05</v>
      </c>
      <c r="L92" s="852" t="s">
        <v>22</v>
      </c>
      <c r="M92" s="853">
        <f>K92*M$68*J92</f>
        <v>0.51141750000000008</v>
      </c>
      <c r="N92" s="700"/>
      <c r="P92" s="871"/>
    </row>
    <row r="93" spans="1:16" s="863" customFormat="1" ht="13.5" hidden="1" customHeight="1">
      <c r="A93" s="862"/>
      <c r="B93" s="835"/>
      <c r="C93" s="862"/>
      <c r="D93" s="881"/>
      <c r="E93" s="882"/>
      <c r="F93" s="882"/>
      <c r="G93" s="700"/>
      <c r="H93" s="700"/>
      <c r="I93" s="700"/>
      <c r="J93" s="700" t="s">
        <v>11696</v>
      </c>
      <c r="K93" s="700" t="s">
        <v>11677</v>
      </c>
      <c r="L93" s="883"/>
      <c r="M93" s="884"/>
      <c r="N93" s="700"/>
      <c r="P93" s="871"/>
    </row>
    <row r="94" spans="1:16" s="863" customFormat="1" ht="22.5" hidden="1" customHeight="1">
      <c r="A94" s="862" t="s">
        <v>12319</v>
      </c>
      <c r="B94" s="835" t="s">
        <v>10852</v>
      </c>
      <c r="C94" s="960">
        <v>173</v>
      </c>
      <c r="D94" s="894" t="str">
        <f>PROPER(IF(B94="Saneago",VLOOKUP(C94,'SANEAGO-FEV.2016'!A:B,2,0),IF(B94="Sinapi",VLOOKUP(C94,'SINAPI-FEV.2017'!A:D,2,0),IF(B94="Cotação",VLOOKUP(C94,COTAÇÃO!A:D,2,0),IF(B94="Composição",VLOOKUP(C94,COMPOSIÇÃO!A:D,2,0))))))</f>
        <v>Escavação   Manual   Em  Valas  Com  Material   De  3ª  Categoria   Sem  Uso  De  Explosivo   Com Utilização  De Compressor E Rompedor   - Profundidade De 2,0 A 4,0M</v>
      </c>
      <c r="E94" s="895"/>
      <c r="F94" s="895"/>
      <c r="G94" s="852"/>
      <c r="H94" s="852"/>
      <c r="I94" s="852"/>
      <c r="J94" s="896">
        <f>J92</f>
        <v>0.05</v>
      </c>
      <c r="K94" s="896">
        <f>K82</f>
        <v>0.05</v>
      </c>
      <c r="L94" s="852" t="s">
        <v>22</v>
      </c>
      <c r="M94" s="853">
        <f>K94*M$70*J94</f>
        <v>0</v>
      </c>
      <c r="N94" s="700"/>
      <c r="P94" s="871"/>
    </row>
    <row r="95" spans="1:16" s="863" customFormat="1">
      <c r="A95" s="862"/>
      <c r="B95" s="835"/>
      <c r="C95" s="862"/>
      <c r="D95" s="826"/>
      <c r="E95" s="790"/>
      <c r="F95" s="790"/>
      <c r="G95" s="700" t="s">
        <v>30</v>
      </c>
      <c r="H95" s="700" t="s">
        <v>30</v>
      </c>
      <c r="I95" s="700" t="s">
        <v>30</v>
      </c>
      <c r="J95" s="700" t="s">
        <v>30</v>
      </c>
      <c r="K95" s="700" t="s">
        <v>30</v>
      </c>
      <c r="L95" s="828"/>
      <c r="M95" s="829"/>
      <c r="N95" s="700"/>
      <c r="P95" s="871"/>
    </row>
    <row r="96" spans="1:16" s="863" customFormat="1" ht="12.75" customHeight="1">
      <c r="A96" s="862" t="s">
        <v>12320</v>
      </c>
      <c r="B96" s="835" t="s">
        <v>70</v>
      </c>
      <c r="C96" s="960" t="s">
        <v>15726</v>
      </c>
      <c r="D96" s="836" t="str">
        <f>PROPER(IF(B96="Saneago",VLOOKUP(C96,'SANEAGO-FEV.2016'!A:B,2,0),IF(B96="Sinapi",VLOOKUP(C96,'SINAPI-FEV.2017'!A:D,2,0),IF(B96="Cotação",VLOOKUP(C96,COTAÇÃO!A:D,2,0),IF(B96="Composição",VLOOKUP(C96,COMPOSIÇÃO!A:D,2,0))))))</f>
        <v>Esgotamento Com Moto-Bomba Autoescovante</v>
      </c>
      <c r="E96" s="837"/>
      <c r="F96" s="837"/>
      <c r="G96" s="838"/>
      <c r="H96" s="852"/>
      <c r="I96" s="852"/>
      <c r="J96" s="838"/>
      <c r="K96" s="838"/>
      <c r="L96" s="838" t="s">
        <v>57</v>
      </c>
      <c r="M96" s="853">
        <v>10</v>
      </c>
      <c r="N96" s="700"/>
      <c r="P96" s="871"/>
    </row>
    <row r="97" spans="1:16" s="863" customFormat="1" ht="12.75" customHeight="1">
      <c r="A97" s="862"/>
      <c r="B97" s="835"/>
      <c r="C97" s="862"/>
      <c r="D97" s="826"/>
      <c r="E97" s="790"/>
      <c r="F97" s="790"/>
      <c r="G97" s="897"/>
      <c r="H97" s="854"/>
      <c r="I97" s="700" t="s">
        <v>1275</v>
      </c>
      <c r="J97" s="828" t="s">
        <v>17</v>
      </c>
      <c r="K97" s="828" t="s">
        <v>19</v>
      </c>
      <c r="L97" s="828"/>
      <c r="M97" s="829"/>
      <c r="N97" s="700"/>
      <c r="P97" s="871"/>
    </row>
    <row r="98" spans="1:16" s="863" customFormat="1" ht="12.75" customHeight="1">
      <c r="A98" s="862"/>
      <c r="B98" s="835"/>
      <c r="C98" s="862"/>
      <c r="D98" s="899"/>
      <c r="E98" s="824"/>
      <c r="F98" s="790"/>
      <c r="G98" s="1674" t="s">
        <v>12332</v>
      </c>
      <c r="H98" s="1674"/>
      <c r="I98" s="700">
        <v>1</v>
      </c>
      <c r="J98" s="828">
        <f t="shared" ref="J98:K100" si="2">J37</f>
        <v>12.3</v>
      </c>
      <c r="K98" s="828">
        <f t="shared" si="2"/>
        <v>5.2</v>
      </c>
      <c r="L98" s="828" t="s">
        <v>21</v>
      </c>
      <c r="M98" s="829">
        <f t="shared" ref="M98:M103" si="3">(J98*K98*I98)</f>
        <v>63.960000000000008</v>
      </c>
      <c r="N98" s="700"/>
      <c r="P98" s="871"/>
    </row>
    <row r="99" spans="1:16" s="863" customFormat="1" ht="12.75" customHeight="1">
      <c r="A99" s="862"/>
      <c r="B99" s="835"/>
      <c r="C99" s="862"/>
      <c r="D99" s="899"/>
      <c r="E99" s="824"/>
      <c r="F99" s="790"/>
      <c r="G99" s="1674" t="s">
        <v>12333</v>
      </c>
      <c r="H99" s="1674"/>
      <c r="I99" s="700">
        <v>1</v>
      </c>
      <c r="J99" s="828">
        <f t="shared" si="2"/>
        <v>2.93</v>
      </c>
      <c r="K99" s="828">
        <f t="shared" si="2"/>
        <v>1.78</v>
      </c>
      <c r="L99" s="828" t="s">
        <v>21</v>
      </c>
      <c r="M99" s="829">
        <f t="shared" si="3"/>
        <v>5.2154000000000007</v>
      </c>
      <c r="N99" s="700"/>
      <c r="P99" s="871"/>
    </row>
    <row r="100" spans="1:16" s="863" customFormat="1" ht="12.75" customHeight="1">
      <c r="A100" s="862"/>
      <c r="B100" s="835"/>
      <c r="C100" s="862"/>
      <c r="D100" s="899"/>
      <c r="E100" s="824"/>
      <c r="F100" s="790"/>
      <c r="G100" s="1674" t="s">
        <v>11788</v>
      </c>
      <c r="H100" s="1674"/>
      <c r="I100" s="700">
        <v>1</v>
      </c>
      <c r="J100" s="828">
        <f t="shared" si="2"/>
        <v>8.06</v>
      </c>
      <c r="K100" s="828">
        <f t="shared" si="2"/>
        <v>0.7</v>
      </c>
      <c r="L100" s="828" t="s">
        <v>21</v>
      </c>
      <c r="M100" s="829">
        <f t="shared" si="3"/>
        <v>5.6420000000000003</v>
      </c>
      <c r="N100" s="700"/>
      <c r="P100" s="871"/>
    </row>
    <row r="101" spans="1:16" s="863" customFormat="1" ht="12.75" customHeight="1">
      <c r="A101" s="862"/>
      <c r="B101" s="835"/>
      <c r="C101" s="862"/>
      <c r="D101" s="899"/>
      <c r="E101" s="824"/>
      <c r="F101" s="790"/>
      <c r="G101" s="1674" t="s">
        <v>12334</v>
      </c>
      <c r="H101" s="1674"/>
      <c r="I101" s="700">
        <v>1</v>
      </c>
      <c r="J101" s="828">
        <v>0</v>
      </c>
      <c r="K101" s="828">
        <v>0</v>
      </c>
      <c r="L101" s="828" t="s">
        <v>21</v>
      </c>
      <c r="M101" s="829">
        <f t="shared" si="3"/>
        <v>0</v>
      </c>
      <c r="N101" s="700"/>
      <c r="P101" s="871"/>
    </row>
    <row r="102" spans="1:16" s="863" customFormat="1" ht="12.75" customHeight="1">
      <c r="A102" s="862"/>
      <c r="B102" s="835"/>
      <c r="C102" s="862"/>
      <c r="D102" s="899"/>
      <c r="E102" s="824"/>
      <c r="F102" s="790"/>
      <c r="G102" s="1674" t="s">
        <v>12340</v>
      </c>
      <c r="H102" s="1674"/>
      <c r="I102" s="700">
        <v>4</v>
      </c>
      <c r="J102" s="828">
        <f>H60</f>
        <v>0.9</v>
      </c>
      <c r="K102" s="828">
        <f>I60</f>
        <v>0.9</v>
      </c>
      <c r="L102" s="828" t="s">
        <v>21</v>
      </c>
      <c r="M102" s="829">
        <f t="shared" si="3"/>
        <v>3.24</v>
      </c>
      <c r="N102" s="700"/>
      <c r="P102" s="871"/>
    </row>
    <row r="103" spans="1:16" s="863" customFormat="1" ht="12.75" customHeight="1">
      <c r="A103" s="862"/>
      <c r="B103" s="835"/>
      <c r="C103" s="862"/>
      <c r="D103" s="826"/>
      <c r="E103" s="790"/>
      <c r="F103" s="790"/>
      <c r="G103" s="1674" t="s">
        <v>12341</v>
      </c>
      <c r="H103" s="1674"/>
      <c r="I103" s="700">
        <v>4</v>
      </c>
      <c r="J103" s="828">
        <f>H62</f>
        <v>1</v>
      </c>
      <c r="K103" s="828">
        <f>I62</f>
        <v>1</v>
      </c>
      <c r="L103" s="828" t="s">
        <v>21</v>
      </c>
      <c r="M103" s="829">
        <f t="shared" si="3"/>
        <v>4</v>
      </c>
      <c r="N103" s="700"/>
      <c r="P103" s="871"/>
    </row>
    <row r="104" spans="1:16" s="863" customFormat="1" ht="12.75" customHeight="1">
      <c r="A104" s="862"/>
      <c r="B104" s="835"/>
      <c r="C104" s="862"/>
      <c r="D104" s="826"/>
      <c r="E104" s="1674" t="s">
        <v>12368</v>
      </c>
      <c r="F104" s="1674"/>
      <c r="G104" s="1674"/>
      <c r="H104" s="1674"/>
      <c r="I104" s="700">
        <v>1</v>
      </c>
      <c r="J104" s="828">
        <f>J41</f>
        <v>3</v>
      </c>
      <c r="K104" s="828">
        <f>K41</f>
        <v>3</v>
      </c>
      <c r="L104" s="828" t="s">
        <v>21</v>
      </c>
      <c r="M104" s="829">
        <f>(J104*K104*I104)</f>
        <v>9</v>
      </c>
      <c r="N104" s="700"/>
      <c r="P104" s="871"/>
    </row>
    <row r="105" spans="1:16" s="863" customFormat="1">
      <c r="A105" s="862"/>
      <c r="B105" s="835"/>
      <c r="C105" s="862"/>
      <c r="D105" s="826"/>
      <c r="E105" s="790"/>
      <c r="F105" s="790"/>
      <c r="G105" s="897"/>
      <c r="H105" s="854"/>
      <c r="I105" s="700"/>
      <c r="J105" s="828"/>
      <c r="K105" s="828"/>
      <c r="L105" s="828"/>
      <c r="M105" s="829"/>
      <c r="N105" s="700"/>
      <c r="P105" s="871"/>
    </row>
    <row r="106" spans="1:16" s="863" customFormat="1" ht="12.75" customHeight="1">
      <c r="A106" s="862" t="s">
        <v>12321</v>
      </c>
      <c r="B106" s="898" t="s">
        <v>70</v>
      </c>
      <c r="C106" s="961">
        <v>79472</v>
      </c>
      <c r="D106" s="836" t="str">
        <f>PROPER(IF(B106="Saneago",VLOOKUP(C106,'SANEAGO-FEV.2016'!A:B,2,0),IF(B106="Sinapi",VLOOKUP(C106,'SINAPI-FEV.2017'!A:D,2,0),IF(B106="Cotação",VLOOKUP(C106,COTAÇÃO!A:D,2,0),IF(B106="Composição",VLOOKUP(C106,COMPOSIÇÃO!A:D,2,0))))))</f>
        <v>Regularizacao De Superficies Em Terra Com Motoniveladora</v>
      </c>
      <c r="E106" s="837"/>
      <c r="F106" s="837"/>
      <c r="G106" s="838"/>
      <c r="H106" s="852"/>
      <c r="I106" s="852"/>
      <c r="J106" s="838"/>
      <c r="K106" s="856" t="s">
        <v>27</v>
      </c>
      <c r="L106" s="856" t="s">
        <v>21</v>
      </c>
      <c r="M106" s="840">
        <f>SUM(M98:M104)</f>
        <v>91.057400000000001</v>
      </c>
      <c r="N106" s="700"/>
      <c r="P106" s="871"/>
    </row>
    <row r="107" spans="1:16" s="863" customFormat="1" ht="12.75" customHeight="1">
      <c r="A107" s="862"/>
      <c r="B107" s="835"/>
      <c r="C107" s="862"/>
      <c r="D107" s="826"/>
      <c r="E107" s="790"/>
      <c r="F107" s="790"/>
      <c r="G107" s="828"/>
      <c r="H107" s="700"/>
      <c r="I107" s="900" t="s">
        <v>11680</v>
      </c>
      <c r="J107" s="900" t="s">
        <v>11681</v>
      </c>
      <c r="K107" s="816" t="s">
        <v>30</v>
      </c>
      <c r="L107" s="828" t="s">
        <v>30</v>
      </c>
      <c r="M107" s="877" t="s">
        <v>30</v>
      </c>
      <c r="N107" s="700"/>
      <c r="P107" s="871"/>
    </row>
    <row r="108" spans="1:16" s="863" customFormat="1" ht="12.75" customHeight="1">
      <c r="A108" s="862"/>
      <c r="B108" s="835"/>
      <c r="C108" s="862"/>
      <c r="D108" s="826"/>
      <c r="E108" s="790"/>
      <c r="F108" s="790"/>
      <c r="G108" s="1674" t="s">
        <v>12332</v>
      </c>
      <c r="H108" s="1674"/>
      <c r="I108" s="889">
        <f>M53</f>
        <v>145.62</v>
      </c>
      <c r="J108" s="889">
        <f>J37*K37*J53</f>
        <v>63.960000000000008</v>
      </c>
      <c r="K108" s="816"/>
      <c r="L108" s="828" t="s">
        <v>22</v>
      </c>
      <c r="M108" s="829">
        <f t="shared" ref="M108:M113" si="4">I108-J108</f>
        <v>81.66</v>
      </c>
      <c r="N108" s="700"/>
      <c r="P108" s="871"/>
    </row>
    <row r="109" spans="1:16" s="863" customFormat="1" ht="12.75" customHeight="1">
      <c r="A109" s="862"/>
      <c r="B109" s="835"/>
      <c r="C109" s="862"/>
      <c r="D109" s="826"/>
      <c r="E109" s="790"/>
      <c r="F109" s="790"/>
      <c r="G109" s="1674" t="s">
        <v>12333</v>
      </c>
      <c r="H109" s="1674"/>
      <c r="I109" s="889">
        <f>M54</f>
        <v>23.36</v>
      </c>
      <c r="J109" s="889">
        <f>J38*K38*J54</f>
        <v>4.6938600000000008</v>
      </c>
      <c r="K109" s="816"/>
      <c r="L109" s="828" t="s">
        <v>22</v>
      </c>
      <c r="M109" s="829">
        <f t="shared" si="4"/>
        <v>18.666139999999999</v>
      </c>
      <c r="N109" s="700"/>
      <c r="P109" s="871"/>
    </row>
    <row r="110" spans="1:16" s="863" customFormat="1" ht="12.75" customHeight="1">
      <c r="A110" s="862"/>
      <c r="B110" s="835"/>
      <c r="C110" s="862"/>
      <c r="D110" s="826"/>
      <c r="E110" s="790"/>
      <c r="F110" s="790"/>
      <c r="G110" s="1674" t="s">
        <v>11788</v>
      </c>
      <c r="H110" s="1674"/>
      <c r="I110" s="889">
        <f>M55</f>
        <v>8.99</v>
      </c>
      <c r="J110" s="889">
        <f>J39*K39*J55</f>
        <v>2.5389000000000004</v>
      </c>
      <c r="K110" s="816"/>
      <c r="L110" s="828" t="s">
        <v>22</v>
      </c>
      <c r="M110" s="829">
        <f t="shared" si="4"/>
        <v>6.4511000000000003</v>
      </c>
      <c r="N110" s="700"/>
      <c r="P110" s="871"/>
    </row>
    <row r="111" spans="1:16" s="863" customFormat="1" ht="14.25" customHeight="1">
      <c r="A111" s="862"/>
      <c r="B111" s="835"/>
      <c r="C111" s="862"/>
      <c r="D111" s="826"/>
      <c r="E111" s="790"/>
      <c r="F111" s="790"/>
      <c r="G111" s="1674" t="s">
        <v>12334</v>
      </c>
      <c r="H111" s="1674"/>
      <c r="I111" s="889">
        <f>M56</f>
        <v>0</v>
      </c>
      <c r="J111" s="889">
        <f>J40*K40*J56</f>
        <v>0</v>
      </c>
      <c r="K111" s="828"/>
      <c r="L111" s="828" t="s">
        <v>22</v>
      </c>
      <c r="M111" s="829">
        <f t="shared" si="4"/>
        <v>0</v>
      </c>
      <c r="N111" s="700"/>
      <c r="P111" s="871"/>
    </row>
    <row r="112" spans="1:16" s="863" customFormat="1" ht="14.25" customHeight="1">
      <c r="A112" s="862"/>
      <c r="B112" s="835"/>
      <c r="C112" s="862"/>
      <c r="D112" s="826"/>
      <c r="E112" s="790"/>
      <c r="F112" s="790"/>
      <c r="G112" s="1674" t="s">
        <v>12340</v>
      </c>
      <c r="H112" s="1674"/>
      <c r="I112" s="889">
        <f>M60</f>
        <v>4.7320000000000002</v>
      </c>
      <c r="J112" s="889">
        <f>(I102*J102*K102*0.3)+(0.4*0.2*0.3)</f>
        <v>0.996</v>
      </c>
      <c r="K112" s="828"/>
      <c r="L112" s="828" t="s">
        <v>22</v>
      </c>
      <c r="M112" s="829">
        <f t="shared" si="4"/>
        <v>3.7360000000000002</v>
      </c>
      <c r="N112" s="700"/>
      <c r="P112" s="871"/>
    </row>
    <row r="113" spans="1:18" s="863" customFormat="1" ht="14.25" customHeight="1">
      <c r="A113" s="862"/>
      <c r="B113" s="835"/>
      <c r="C113" s="862"/>
      <c r="D113" s="899"/>
      <c r="E113" s="824"/>
      <c r="F113" s="824"/>
      <c r="G113" s="1674" t="s">
        <v>12341</v>
      </c>
      <c r="H113" s="1674"/>
      <c r="I113" s="889">
        <f>M62</f>
        <v>5.4879999999999987</v>
      </c>
      <c r="J113" s="889">
        <f>(I103*J103*K103*0.3)+(0.4*0.2*0.3)</f>
        <v>1.224</v>
      </c>
      <c r="K113" s="828"/>
      <c r="L113" s="828" t="s">
        <v>22</v>
      </c>
      <c r="M113" s="829">
        <f t="shared" si="4"/>
        <v>4.2639999999999985</v>
      </c>
      <c r="N113" s="700"/>
      <c r="P113" s="871"/>
    </row>
    <row r="114" spans="1:18" s="863" customFormat="1" ht="14.25" customHeight="1">
      <c r="A114" s="862"/>
      <c r="B114" s="835"/>
      <c r="C114" s="862"/>
      <c r="D114" s="899"/>
      <c r="E114" s="824"/>
      <c r="F114" s="824"/>
      <c r="G114" s="854"/>
      <c r="H114" s="854" t="s">
        <v>12272</v>
      </c>
      <c r="I114" s="889">
        <f>M64</f>
        <v>7.5570000000000013</v>
      </c>
      <c r="J114" s="889">
        <f>H64*I64*J64</f>
        <v>2.0430000000000001</v>
      </c>
      <c r="K114" s="828"/>
      <c r="L114" s="828" t="s">
        <v>22</v>
      </c>
      <c r="M114" s="829">
        <f>I114-J114</f>
        <v>5.5140000000000011</v>
      </c>
      <c r="N114" s="700"/>
      <c r="P114" s="871"/>
    </row>
    <row r="115" spans="1:18" s="863" customFormat="1" ht="14.25" customHeight="1">
      <c r="A115" s="862"/>
      <c r="B115" s="835"/>
      <c r="C115" s="862"/>
      <c r="D115" s="899"/>
      <c r="E115" s="1674" t="s">
        <v>12368</v>
      </c>
      <c r="F115" s="1674"/>
      <c r="G115" s="1674"/>
      <c r="H115" s="1674"/>
      <c r="I115" s="889">
        <f>M57</f>
        <v>8.82</v>
      </c>
      <c r="J115" s="889">
        <f>J104*K104*K57</f>
        <v>4.5</v>
      </c>
      <c r="K115" s="828"/>
      <c r="L115" s="828" t="s">
        <v>22</v>
      </c>
      <c r="M115" s="829">
        <f>I115-J115</f>
        <v>4.32</v>
      </c>
      <c r="N115" s="700"/>
      <c r="P115" s="871"/>
    </row>
    <row r="116" spans="1:18" s="863" customFormat="1" ht="14.25" customHeight="1">
      <c r="A116" s="862"/>
      <c r="B116" s="835"/>
      <c r="C116" s="862"/>
      <c r="D116" s="899"/>
      <c r="E116" s="824"/>
      <c r="F116" s="824"/>
      <c r="G116" s="854"/>
      <c r="H116" s="854"/>
      <c r="I116" s="889"/>
      <c r="J116" s="889"/>
      <c r="K116" s="828"/>
      <c r="L116" s="828"/>
      <c r="M116" s="829"/>
      <c r="N116" s="700"/>
      <c r="P116" s="871"/>
    </row>
    <row r="117" spans="1:18" s="863" customFormat="1" ht="14.25" customHeight="1">
      <c r="A117" s="862"/>
      <c r="B117" s="835"/>
      <c r="C117" s="862"/>
      <c r="D117" s="836" t="s">
        <v>11679</v>
      </c>
      <c r="E117" s="837"/>
      <c r="F117" s="837"/>
      <c r="G117" s="828"/>
      <c r="H117" s="828"/>
      <c r="I117" s="828"/>
      <c r="J117" s="1678" t="s">
        <v>42</v>
      </c>
      <c r="K117" s="1678"/>
      <c r="L117" s="901" t="s">
        <v>22</v>
      </c>
      <c r="M117" s="902">
        <f>SUM(M108:M115)</f>
        <v>124.61123999999998</v>
      </c>
      <c r="N117" s="700"/>
      <c r="P117" s="871"/>
    </row>
    <row r="118" spans="1:18" s="863" customFormat="1" ht="23.25" customHeight="1">
      <c r="A118" s="862"/>
      <c r="B118" s="835"/>
      <c r="C118" s="862"/>
      <c r="D118" s="903" t="s">
        <v>73</v>
      </c>
      <c r="E118" s="790"/>
      <c r="F118" s="790"/>
      <c r="G118" s="883" t="s">
        <v>30</v>
      </c>
      <c r="H118" s="883" t="s">
        <v>30</v>
      </c>
      <c r="I118" s="883" t="s">
        <v>30</v>
      </c>
      <c r="J118" s="883" t="s">
        <v>42</v>
      </c>
      <c r="K118" s="883" t="s">
        <v>50</v>
      </c>
      <c r="L118" s="883"/>
      <c r="M118" s="884"/>
      <c r="N118" s="700"/>
      <c r="P118" s="871"/>
    </row>
    <row r="119" spans="1:18" s="863" customFormat="1" ht="33.75">
      <c r="A119" s="862" t="s">
        <v>12322</v>
      </c>
      <c r="B119" s="835" t="s">
        <v>70</v>
      </c>
      <c r="C119" s="862">
        <v>93367</v>
      </c>
      <c r="D119" s="836" t="str">
        <f>PROPER(IF(B119="Saneago",VLOOKUP(C119,'SANEAGO-FEV.2016'!A:B,2,0),IF(B119="Sinapi",VLOOKUP(C119,'SINAPI-FEV.2017'!A:D,2,0),IF(B119="Cotação",VLOOKUP(C119,COTAÇÃO!A:D,2,0),IF(B119="Composição",VLOOKUP(C119,COMPOSIÇÃO!A:D,2,0))))))</f>
        <v>Reaterro Mecanizado De Vala Com Escavadeira Hidráulica (Capacidade Da Caçamba: 0,8 M³ / Potência: 111 Hp), Largura De 1,5 A 2,5 M, Profundidade Até 1,5 M, Com Solo (Sem Substituição) De 1ª Categoria Em Locais Com Baixo Nível De Interferência. Af_04/2016</v>
      </c>
      <c r="E119" s="837"/>
      <c r="F119" s="837"/>
      <c r="G119" s="852"/>
      <c r="H119" s="852"/>
      <c r="I119" s="852"/>
      <c r="J119" s="838">
        <f>M117</f>
        <v>124.61123999999998</v>
      </c>
      <c r="K119" s="896">
        <f>M24</f>
        <v>0.9</v>
      </c>
      <c r="L119" s="852" t="s">
        <v>22</v>
      </c>
      <c r="M119" s="853">
        <f>J119*K119</f>
        <v>112.15011599999998</v>
      </c>
      <c r="N119" s="700"/>
      <c r="P119" s="871"/>
    </row>
    <row r="120" spans="1:18" s="863" customFormat="1">
      <c r="A120" s="862"/>
      <c r="B120" s="835"/>
      <c r="C120" s="862"/>
      <c r="D120" s="881"/>
      <c r="E120" s="882"/>
      <c r="F120" s="882"/>
      <c r="G120" s="700" t="s">
        <v>30</v>
      </c>
      <c r="H120" s="700" t="s">
        <v>30</v>
      </c>
      <c r="I120" s="700" t="s">
        <v>30</v>
      </c>
      <c r="J120" s="828" t="s">
        <v>42</v>
      </c>
      <c r="K120" s="828" t="s">
        <v>79</v>
      </c>
      <c r="L120" s="828"/>
      <c r="M120" s="829"/>
      <c r="N120" s="700"/>
      <c r="P120" s="871"/>
    </row>
    <row r="121" spans="1:18" s="863" customFormat="1">
      <c r="A121" s="862" t="s">
        <v>12323</v>
      </c>
      <c r="B121" s="835" t="s">
        <v>70</v>
      </c>
      <c r="C121" s="862" t="s">
        <v>18237</v>
      </c>
      <c r="D121" s="836" t="str">
        <f>PROPER(IF(B121="Saneago",VLOOKUP(C121,'SANEAGO-FEV.2016'!A:B,2,0),IF(B121="Sinapi",VLOOKUP(C121,'SINAPI-FEV.2017'!A:D,2,0),IF(B121="Cotação",VLOOKUP(C121,COTAÇÃO!A:D,2,0),IF(B121="Composição",VLOOKUP(C121,COMPOSIÇÃO!A:D,2,0))))))</f>
        <v>Reaterro De Vala Com Compactação Manual</v>
      </c>
      <c r="E121" s="837"/>
      <c r="F121" s="837"/>
      <c r="G121" s="838"/>
      <c r="H121" s="838"/>
      <c r="I121" s="838"/>
      <c r="J121" s="838">
        <f>J119</f>
        <v>124.61123999999998</v>
      </c>
      <c r="K121" s="904">
        <f>M23</f>
        <v>0.1</v>
      </c>
      <c r="L121" s="838" t="s">
        <v>22</v>
      </c>
      <c r="M121" s="853">
        <f>J121*K121</f>
        <v>12.461123999999998</v>
      </c>
      <c r="N121" s="700"/>
      <c r="P121" s="871"/>
    </row>
    <row r="122" spans="1:18" s="824" customFormat="1" ht="13.5" thickBot="1">
      <c r="A122" s="905"/>
      <c r="B122" s="906"/>
      <c r="C122" s="905"/>
      <c r="D122" s="826"/>
      <c r="E122" s="790"/>
      <c r="F122" s="790"/>
      <c r="G122" s="700"/>
      <c r="H122" s="700"/>
      <c r="I122" s="700"/>
      <c r="J122" s="907"/>
      <c r="K122" s="700"/>
      <c r="L122" s="700"/>
      <c r="M122" s="827"/>
      <c r="N122" s="700"/>
      <c r="O122" s="863"/>
      <c r="P122" s="871"/>
      <c r="Q122" s="863"/>
      <c r="R122" s="863"/>
    </row>
    <row r="123" spans="1:18" s="824" customFormat="1" ht="14.25" thickTop="1" thickBot="1">
      <c r="A123" s="905"/>
      <c r="B123" s="906"/>
      <c r="C123" s="905"/>
      <c r="D123" s="830" t="s">
        <v>47</v>
      </c>
      <c r="E123" s="831"/>
      <c r="F123" s="831"/>
      <c r="G123" s="831"/>
      <c r="H123" s="831"/>
      <c r="I123" s="831"/>
      <c r="J123" s="831"/>
      <c r="K123" s="831"/>
      <c r="L123" s="832" t="s">
        <v>25</v>
      </c>
      <c r="M123" s="833" t="s">
        <v>27</v>
      </c>
      <c r="N123" s="700"/>
      <c r="O123" s="863"/>
      <c r="P123" s="871"/>
      <c r="Q123" s="863"/>
      <c r="R123" s="863"/>
    </row>
    <row r="124" spans="1:18" s="824" customFormat="1" ht="13.5" thickTop="1">
      <c r="A124" s="905"/>
      <c r="B124" s="906"/>
      <c r="C124" s="905"/>
      <c r="D124" s="826"/>
      <c r="E124" s="790"/>
      <c r="F124" s="790"/>
      <c r="G124" s="828" t="s">
        <v>30</v>
      </c>
      <c r="H124" s="828" t="s">
        <v>30</v>
      </c>
      <c r="I124" s="828" t="s">
        <v>58</v>
      </c>
      <c r="J124" s="828" t="s">
        <v>39</v>
      </c>
      <c r="K124" s="828" t="s">
        <v>35</v>
      </c>
      <c r="L124" s="828"/>
      <c r="M124" s="829"/>
      <c r="N124" s="700"/>
      <c r="O124" s="863"/>
      <c r="P124" s="871"/>
      <c r="Q124" s="863"/>
      <c r="R124" s="863"/>
    </row>
    <row r="125" spans="1:18" s="824" customFormat="1" ht="33.75">
      <c r="A125" s="862" t="s">
        <v>12324</v>
      </c>
      <c r="B125" s="835" t="s">
        <v>70</v>
      </c>
      <c r="C125" s="862" t="s">
        <v>18276</v>
      </c>
      <c r="D125" s="836" t="str">
        <f>PROPER(IF(B125="Saneago",VLOOKUP(C125,'SANEAGO-FEV.2016'!A:B,2,0),IF(B125="Sinapi",VLOOKUP(C125,'SINAPI-FEV.2017'!A:D,2,0),IF(B125="Cotação",VLOOKUP(C125,COTAÇÃO!A:D,2,0),IF(B125="Composição",VLOOKUP(C125,COMPOSIÇÃO!A:D,2,0))))))</f>
        <v>Carga E Descarga Mecanica De Solo Utilizando Caminhao Basculante 6,0M3/16T E Pa Carregadeira Sobre Pneus 128 Hp, Capacidade Da Caçamba 1,7 A 2,8 M3, Peso Operacional 11632 Kg</v>
      </c>
      <c r="E125" s="837"/>
      <c r="F125" s="837"/>
      <c r="G125" s="838"/>
      <c r="H125" s="838"/>
      <c r="I125" s="838">
        <f>M68</f>
        <v>204.56700000000001</v>
      </c>
      <c r="J125" s="838">
        <f>M117</f>
        <v>124.61123999999998</v>
      </c>
      <c r="K125" s="904">
        <f>M22</f>
        <v>0.2</v>
      </c>
      <c r="L125" s="838" t="s">
        <v>22</v>
      </c>
      <c r="M125" s="853">
        <f>(I125-J125)*(1+K125)</f>
        <v>95.946912000000026</v>
      </c>
      <c r="N125" s="700"/>
      <c r="O125" s="863"/>
      <c r="P125" s="871"/>
      <c r="Q125" s="863"/>
      <c r="R125" s="863"/>
    </row>
    <row r="126" spans="1:18" s="824" customFormat="1">
      <c r="A126" s="905"/>
      <c r="B126" s="835"/>
      <c r="C126" s="862"/>
      <c r="D126" s="826"/>
      <c r="E126" s="790"/>
      <c r="F126" s="790"/>
      <c r="G126" s="828" t="s">
        <v>30</v>
      </c>
      <c r="H126" s="828" t="s">
        <v>30</v>
      </c>
      <c r="I126" s="828" t="s">
        <v>30</v>
      </c>
      <c r="J126" s="828" t="s">
        <v>40</v>
      </c>
      <c r="K126" s="828" t="s">
        <v>48</v>
      </c>
      <c r="L126" s="828"/>
      <c r="M126" s="829"/>
      <c r="N126" s="700"/>
      <c r="O126" s="863"/>
      <c r="P126" s="871"/>
      <c r="Q126" s="863"/>
      <c r="R126" s="863"/>
    </row>
    <row r="127" spans="1:18" s="824" customFormat="1" ht="22.5">
      <c r="A127" s="862" t="s">
        <v>12325</v>
      </c>
      <c r="B127" s="835" t="s">
        <v>70</v>
      </c>
      <c r="C127" s="862">
        <v>93590</v>
      </c>
      <c r="D127" s="836" t="str">
        <f>PROPER(IF(B127="Saneago",VLOOKUP(C127,'SANEAGO-FEV.2016'!A:B,2,0),IF(B127="Sinapi",VLOOKUP(C127,'SINAPI-FEV.2017'!A:D,2,0),IF(B127="Cotação",VLOOKUP(C127,COTAÇÃO!A:D,2,0),IF(B127="Composição",VLOOKUP(C127,COMPOSIÇÃO!A:D,2,0))))))</f>
        <v>Transporte Com Caminhão Basculante De 10 M3, Em Via Urbana Pavimentada, Dmt Acima De 30Km (Unidade: M3Xkm). Af_04/2016</v>
      </c>
      <c r="E127" s="837"/>
      <c r="F127" s="837"/>
      <c r="G127" s="838"/>
      <c r="H127" s="838"/>
      <c r="I127" s="838"/>
      <c r="J127" s="838">
        <f>M125</f>
        <v>95.946912000000026</v>
      </c>
      <c r="K127" s="838">
        <f>M13</f>
        <v>7.5</v>
      </c>
      <c r="L127" s="838" t="s">
        <v>23</v>
      </c>
      <c r="M127" s="853">
        <f>J127*K127</f>
        <v>719.60184000000015</v>
      </c>
      <c r="N127" s="700"/>
      <c r="O127" s="863"/>
      <c r="P127" s="871"/>
      <c r="Q127" s="863"/>
      <c r="R127" s="863"/>
    </row>
    <row r="128" spans="1:18" s="824" customFormat="1">
      <c r="A128" s="905"/>
      <c r="B128" s="906"/>
      <c r="C128" s="862"/>
      <c r="D128" s="826"/>
      <c r="E128" s="790"/>
      <c r="F128" s="790"/>
      <c r="G128" s="828" t="s">
        <v>30</v>
      </c>
      <c r="H128" s="828" t="s">
        <v>30</v>
      </c>
      <c r="I128" s="828" t="s">
        <v>38</v>
      </c>
      <c r="J128" s="828" t="s">
        <v>39</v>
      </c>
      <c r="K128" s="828" t="s">
        <v>35</v>
      </c>
      <c r="L128" s="828"/>
      <c r="M128" s="829"/>
      <c r="N128" s="700"/>
      <c r="O128" s="863"/>
      <c r="P128" s="871"/>
      <c r="Q128" s="863"/>
      <c r="R128" s="863"/>
    </row>
    <row r="129" spans="1:18" s="824" customFormat="1">
      <c r="A129" s="862" t="s">
        <v>12326</v>
      </c>
      <c r="B129" s="835" t="s">
        <v>70</v>
      </c>
      <c r="C129" s="862">
        <v>83344</v>
      </c>
      <c r="D129" s="836" t="str">
        <f>PROPER(IF(B129="Saneago",VLOOKUP(C129,'SANEAGO-FEV.2016'!A:B,2,0),IF(B129="Sinapi",VLOOKUP(C129,'SINAPI-FEV.2017'!A:D,2,0),IF(B129="Cotação",VLOOKUP(C129,COTAÇÃO!A:D,2,0),IF(B129="Composição",VLOOKUP(C129,COMPOSIÇÃO!A:D,2,0))))))</f>
        <v>Espalhamento De Material Em Bota Fora, Com Utilizacao De Trator De Esteiras De 165 Hp</v>
      </c>
      <c r="E129" s="837"/>
      <c r="F129" s="837"/>
      <c r="G129" s="838"/>
      <c r="H129" s="838"/>
      <c r="I129" s="838">
        <f>I125</f>
        <v>204.56700000000001</v>
      </c>
      <c r="J129" s="838">
        <f>J125</f>
        <v>124.61123999999998</v>
      </c>
      <c r="K129" s="904">
        <v>0.15</v>
      </c>
      <c r="L129" s="838" t="s">
        <v>22</v>
      </c>
      <c r="M129" s="853">
        <f>(I129-J129)*(1+K129)</f>
        <v>91.949124000000026</v>
      </c>
      <c r="N129" s="700"/>
      <c r="O129" s="863"/>
      <c r="P129" s="871"/>
      <c r="Q129" s="863"/>
      <c r="R129" s="863"/>
    </row>
    <row r="130" spans="1:18" s="824" customFormat="1" ht="13.5" thickBot="1">
      <c r="A130" s="905"/>
      <c r="B130" s="906"/>
      <c r="C130" s="905"/>
      <c r="D130" s="826"/>
      <c r="E130" s="790"/>
      <c r="F130" s="790"/>
      <c r="G130" s="700"/>
      <c r="H130" s="700"/>
      <c r="I130" s="700"/>
      <c r="J130" s="907"/>
      <c r="K130" s="700"/>
      <c r="L130" s="700"/>
      <c r="M130" s="827"/>
      <c r="N130" s="700"/>
      <c r="O130" s="863"/>
      <c r="P130" s="871"/>
      <c r="Q130" s="863"/>
      <c r="R130" s="863"/>
    </row>
    <row r="131" spans="1:18" s="863" customFormat="1" ht="14.25" thickTop="1" thickBot="1">
      <c r="A131" s="862"/>
      <c r="B131" s="835"/>
      <c r="C131" s="862"/>
      <c r="D131" s="830" t="s">
        <v>1225</v>
      </c>
      <c r="E131" s="831"/>
      <c r="F131" s="831"/>
      <c r="G131" s="831"/>
      <c r="H131" s="831"/>
      <c r="I131" s="831"/>
      <c r="J131" s="831"/>
      <c r="K131" s="831"/>
      <c r="L131" s="832" t="s">
        <v>25</v>
      </c>
      <c r="M131" s="833" t="s">
        <v>27</v>
      </c>
      <c r="N131" s="700"/>
      <c r="P131" s="871"/>
    </row>
    <row r="132" spans="1:18" s="863" customFormat="1" ht="13.5" thickTop="1">
      <c r="A132" s="862"/>
      <c r="B132" s="835"/>
      <c r="C132" s="862"/>
      <c r="D132" s="826"/>
      <c r="E132" s="700"/>
      <c r="F132" s="700"/>
      <c r="G132" s="828" t="s">
        <v>1275</v>
      </c>
      <c r="H132" s="828" t="s">
        <v>11684</v>
      </c>
      <c r="I132" s="828" t="s">
        <v>19</v>
      </c>
      <c r="J132" s="828" t="s">
        <v>36</v>
      </c>
      <c r="K132" s="908"/>
      <c r="L132" s="828" t="s">
        <v>30</v>
      </c>
      <c r="M132" s="877" t="s">
        <v>30</v>
      </c>
      <c r="N132" s="700"/>
      <c r="P132" s="871"/>
    </row>
    <row r="133" spans="1:18" s="863" customFormat="1">
      <c r="A133" s="862"/>
      <c r="B133" s="835"/>
      <c r="C133" s="862"/>
      <c r="D133" s="826"/>
      <c r="E133" s="1674" t="s">
        <v>12332</v>
      </c>
      <c r="F133" s="1674"/>
      <c r="G133" s="907">
        <f t="shared" ref="G133:I134" si="5">I138</f>
        <v>1</v>
      </c>
      <c r="H133" s="828">
        <f t="shared" si="5"/>
        <v>12.3</v>
      </c>
      <c r="I133" s="828">
        <f t="shared" si="5"/>
        <v>5.2</v>
      </c>
      <c r="J133" s="828">
        <v>0.15</v>
      </c>
      <c r="K133" s="908"/>
      <c r="L133" s="828" t="s">
        <v>22</v>
      </c>
      <c r="M133" s="877">
        <f>G133*H133*I133*J133</f>
        <v>9.5940000000000012</v>
      </c>
      <c r="N133" s="700"/>
      <c r="P133" s="871"/>
    </row>
    <row r="134" spans="1:18" s="863" customFormat="1">
      <c r="A134" s="862"/>
      <c r="B134" s="835"/>
      <c r="C134" s="862"/>
      <c r="D134" s="826"/>
      <c r="E134" s="1674" t="s">
        <v>12333</v>
      </c>
      <c r="F134" s="1674"/>
      <c r="G134" s="907">
        <f t="shared" si="5"/>
        <v>1</v>
      </c>
      <c r="H134" s="828">
        <f t="shared" si="5"/>
        <v>2.93</v>
      </c>
      <c r="I134" s="828">
        <f t="shared" si="5"/>
        <v>1.78</v>
      </c>
      <c r="J134" s="828">
        <v>0.15</v>
      </c>
      <c r="K134" s="908"/>
      <c r="L134" s="828" t="s">
        <v>22</v>
      </c>
      <c r="M134" s="877">
        <f>G134*H134*I134*J134</f>
        <v>0.78231000000000006</v>
      </c>
      <c r="N134" s="700"/>
      <c r="P134" s="871"/>
    </row>
    <row r="135" spans="1:18" s="863" customFormat="1">
      <c r="A135" s="862"/>
      <c r="B135" s="835"/>
      <c r="C135" s="862"/>
      <c r="D135" s="826"/>
      <c r="E135" s="1674" t="s">
        <v>11788</v>
      </c>
      <c r="F135" s="1674"/>
      <c r="G135" s="907">
        <f>I100</f>
        <v>1</v>
      </c>
      <c r="H135" s="828">
        <f>J39</f>
        <v>8.06</v>
      </c>
      <c r="I135" s="828">
        <f>K39</f>
        <v>0.7</v>
      </c>
      <c r="J135" s="828">
        <v>0.15</v>
      </c>
      <c r="K135" s="908"/>
      <c r="L135" s="828" t="s">
        <v>22</v>
      </c>
      <c r="M135" s="877">
        <f>G135*H135*I135*J135</f>
        <v>0.84630000000000005</v>
      </c>
      <c r="N135" s="700"/>
      <c r="P135" s="871"/>
    </row>
    <row r="136" spans="1:18" s="863" customFormat="1" ht="22.5">
      <c r="A136" s="862" t="s">
        <v>12342</v>
      </c>
      <c r="B136" s="855" t="s">
        <v>70</v>
      </c>
      <c r="C136" s="962">
        <v>94116</v>
      </c>
      <c r="D136" s="836" t="str">
        <f>PROPER(IF(B136="Saneago",VLOOKUP(C136,'SANEAGO-FEV.2016'!A:B,2,0),IF(B136="Sinapi",VLOOKUP(C136,'SINAPI-FEV.2017'!A:D,2,0),IF(B136="Cotação",VLOOKUP(C136,COTAÇÃO!A:D,2,0),IF(B136="Composição",VLOOKUP(C136,COMPOSIÇÃO!A:D,2,0))))))</f>
        <v>Lastro Com Preparo De Fundo, Largura Maior Ou Igual A 1,5 M, Com Camada De Brita, Lançamento Mecanizado, Em Local Com Nível Baixo De Interferência. Af_06/2016</v>
      </c>
      <c r="E136" s="837"/>
      <c r="F136" s="837"/>
      <c r="G136" s="838"/>
      <c r="H136" s="838"/>
      <c r="I136" s="910"/>
      <c r="J136" s="910"/>
      <c r="K136" s="856" t="s">
        <v>27</v>
      </c>
      <c r="L136" s="856" t="s">
        <v>22</v>
      </c>
      <c r="M136" s="840">
        <f>SUM(M133:M135)</f>
        <v>11.222610000000001</v>
      </c>
      <c r="N136" s="700"/>
      <c r="P136" s="871"/>
    </row>
    <row r="137" spans="1:18" s="863" customFormat="1">
      <c r="A137" s="862"/>
      <c r="B137" s="835"/>
      <c r="C137" s="862"/>
      <c r="D137" s="826"/>
      <c r="E137" s="700"/>
      <c r="F137" s="700"/>
      <c r="G137" s="828" t="s">
        <v>30</v>
      </c>
      <c r="H137" s="828" t="s">
        <v>30</v>
      </c>
      <c r="I137" s="828" t="s">
        <v>1275</v>
      </c>
      <c r="J137" s="828" t="s">
        <v>11684</v>
      </c>
      <c r="K137" s="828" t="s">
        <v>19</v>
      </c>
      <c r="L137" s="828" t="s">
        <v>30</v>
      </c>
      <c r="M137" s="877" t="s">
        <v>30</v>
      </c>
      <c r="N137" s="700"/>
      <c r="P137" s="871"/>
    </row>
    <row r="138" spans="1:18" s="863" customFormat="1">
      <c r="A138" s="862"/>
      <c r="B138" s="835"/>
      <c r="C138" s="862"/>
      <c r="D138" s="826"/>
      <c r="E138" s="700"/>
      <c r="F138" s="700"/>
      <c r="G138" s="1674" t="s">
        <v>12332</v>
      </c>
      <c r="H138" s="1674"/>
      <c r="I138" s="907">
        <f>I98</f>
        <v>1</v>
      </c>
      <c r="J138" s="828">
        <f>J37</f>
        <v>12.3</v>
      </c>
      <c r="K138" s="828">
        <f>K37</f>
        <v>5.2</v>
      </c>
      <c r="L138" s="828" t="s">
        <v>21</v>
      </c>
      <c r="M138" s="877">
        <f>I138*J138*K138</f>
        <v>63.960000000000008</v>
      </c>
      <c r="N138" s="700"/>
      <c r="P138" s="871"/>
    </row>
    <row r="139" spans="1:18" s="863" customFormat="1">
      <c r="A139" s="862"/>
      <c r="B139" s="835"/>
      <c r="C139" s="862"/>
      <c r="D139" s="826"/>
      <c r="E139" s="700"/>
      <c r="F139" s="700"/>
      <c r="G139" s="1674" t="s">
        <v>12333</v>
      </c>
      <c r="H139" s="1674"/>
      <c r="I139" s="907">
        <f>I99</f>
        <v>1</v>
      </c>
      <c r="J139" s="828">
        <f>J38</f>
        <v>2.93</v>
      </c>
      <c r="K139" s="828">
        <f>K38</f>
        <v>1.78</v>
      </c>
      <c r="L139" s="828" t="s">
        <v>21</v>
      </c>
      <c r="M139" s="877">
        <f>I139*J139*K139</f>
        <v>5.2154000000000007</v>
      </c>
      <c r="N139" s="700"/>
      <c r="P139" s="871"/>
    </row>
    <row r="140" spans="1:18" s="863" customFormat="1">
      <c r="A140" s="862"/>
      <c r="B140" s="835"/>
      <c r="C140" s="862"/>
      <c r="D140" s="826"/>
      <c r="E140" s="700"/>
      <c r="F140" s="700"/>
      <c r="G140" s="1674" t="s">
        <v>12340</v>
      </c>
      <c r="H140" s="1674"/>
      <c r="I140" s="907">
        <f t="shared" ref="I140:K142" si="6">I102</f>
        <v>4</v>
      </c>
      <c r="J140" s="828">
        <f t="shared" si="6"/>
        <v>0.9</v>
      </c>
      <c r="K140" s="828">
        <f t="shared" si="6"/>
        <v>0.9</v>
      </c>
      <c r="L140" s="828" t="s">
        <v>21</v>
      </c>
      <c r="M140" s="877">
        <f>I140*J140*K140</f>
        <v>3.24</v>
      </c>
      <c r="N140" s="700"/>
      <c r="P140" s="871"/>
    </row>
    <row r="141" spans="1:18" s="863" customFormat="1">
      <c r="A141" s="862"/>
      <c r="B141" s="835"/>
      <c r="C141" s="862"/>
      <c r="D141" s="826"/>
      <c r="E141" s="700"/>
      <c r="F141" s="700"/>
      <c r="G141" s="1674" t="s">
        <v>12341</v>
      </c>
      <c r="H141" s="1674"/>
      <c r="I141" s="907">
        <f t="shared" si="6"/>
        <v>4</v>
      </c>
      <c r="J141" s="828">
        <f t="shared" si="6"/>
        <v>1</v>
      </c>
      <c r="K141" s="828">
        <f t="shared" si="6"/>
        <v>1</v>
      </c>
      <c r="L141" s="828" t="s">
        <v>21</v>
      </c>
      <c r="M141" s="877">
        <f>I141*J141*K141</f>
        <v>4</v>
      </c>
      <c r="N141" s="700"/>
      <c r="P141" s="871"/>
    </row>
    <row r="142" spans="1:18" s="863" customFormat="1" ht="26.25" customHeight="1">
      <c r="A142" s="862"/>
      <c r="B142" s="835"/>
      <c r="C142" s="862"/>
      <c r="D142" s="826"/>
      <c r="E142" s="700"/>
      <c r="F142" s="700"/>
      <c r="G142" s="1674" t="s">
        <v>12368</v>
      </c>
      <c r="H142" s="1674"/>
      <c r="I142" s="907">
        <f t="shared" si="6"/>
        <v>1</v>
      </c>
      <c r="J142" s="828">
        <f t="shared" si="6"/>
        <v>3</v>
      </c>
      <c r="K142" s="828">
        <f t="shared" si="6"/>
        <v>3</v>
      </c>
      <c r="L142" s="828" t="s">
        <v>21</v>
      </c>
      <c r="M142" s="877">
        <f>I142*J142*K142</f>
        <v>9</v>
      </c>
      <c r="N142" s="700"/>
      <c r="P142" s="871"/>
    </row>
    <row r="143" spans="1:18" s="863" customFormat="1" ht="22.5">
      <c r="A143" s="862" t="s">
        <v>12343</v>
      </c>
      <c r="B143" s="855" t="s">
        <v>70</v>
      </c>
      <c r="C143" s="962">
        <v>95241</v>
      </c>
      <c r="D143" s="836" t="str">
        <f>PROPER(IF(B143="Saneago",VLOOKUP(C143,'SANEAGO-FEV.2016'!A:B,2,0),IF(B143="Sinapi",VLOOKUP(C143,'SINAPI-FEV.2017'!A:D,2,0),IF(B143="Cotação",VLOOKUP(C143,COTAÇÃO!A:D,2,0),IF(B143="Composição",VLOOKUP(C143,COMPOSIÇÃO!A:D,2,0))))))</f>
        <v>Lastro De Concreto, E = 5 Cm, Preparo Mecânico, Inclusos Lançamento E Adensamento. Af_07_2016</v>
      </c>
      <c r="E143" s="837"/>
      <c r="F143" s="837"/>
      <c r="G143" s="838"/>
      <c r="H143" s="838"/>
      <c r="I143" s="910"/>
      <c r="J143" s="910"/>
      <c r="K143" s="856" t="s">
        <v>27</v>
      </c>
      <c r="L143" s="856" t="s">
        <v>21</v>
      </c>
      <c r="M143" s="840">
        <f>SUM(M138:M142)</f>
        <v>85.415400000000005</v>
      </c>
      <c r="N143" s="700"/>
      <c r="P143" s="871"/>
    </row>
    <row r="144" spans="1:18" s="863" customFormat="1">
      <c r="A144" s="862"/>
      <c r="B144" s="835"/>
      <c r="C144" s="862"/>
      <c r="D144" s="826"/>
      <c r="E144" s="700"/>
      <c r="F144" s="700"/>
      <c r="G144" s="828" t="s">
        <v>30</v>
      </c>
      <c r="H144" s="828" t="s">
        <v>30</v>
      </c>
      <c r="I144" s="828" t="s">
        <v>30</v>
      </c>
      <c r="J144" s="828" t="s">
        <v>30</v>
      </c>
      <c r="K144" s="828" t="s">
        <v>30</v>
      </c>
      <c r="L144" s="828" t="s">
        <v>30</v>
      </c>
      <c r="M144" s="877" t="s">
        <v>30</v>
      </c>
      <c r="N144" s="700"/>
      <c r="P144" s="871"/>
    </row>
    <row r="145" spans="1:16" s="863" customFormat="1" ht="35.25" customHeight="1">
      <c r="A145" s="862" t="s">
        <v>12327</v>
      </c>
      <c r="B145" s="835" t="s">
        <v>70</v>
      </c>
      <c r="C145" s="862">
        <v>92415</v>
      </c>
      <c r="D145" s="836" t="str">
        <f>PROPER(IF(B145="Saneago",VLOOKUP(C145,'SANEAGO-FEV.2016'!A:B,2,0),IF(B145="Sinapi",VLOOKUP(C145,'SINAPI-FEV.2017'!A:D,2,0),IF(B145="Cotação",VLOOKUP(C145,COTAÇÃO!A:D,2,0),IF(B145="Composição",VLOOKUP(C145,COMPOSIÇÃO!A:D,2,0))))))</f>
        <v>Montagem E Desmontagem De Fôrma De Pilares Retangulares E Estruturas Similares Com Área Média Das Seções Maior Que 0,25 M², Pé-Direito Simples, Em Chapa De Madeira Compensada Resinada, 2 Utilizações. Af_12/2015</v>
      </c>
      <c r="E145" s="837"/>
      <c r="F145" s="837"/>
      <c r="G145" s="838"/>
      <c r="H145" s="838"/>
      <c r="I145" s="910"/>
      <c r="J145" s="910"/>
      <c r="K145" s="852" t="s">
        <v>12275</v>
      </c>
      <c r="L145" s="852" t="s">
        <v>21</v>
      </c>
      <c r="M145" s="853">
        <f>62.7+2.42+17.3+((2*J142+2*K142)*0.5)</f>
        <v>88.42</v>
      </c>
      <c r="N145" s="700"/>
      <c r="P145" s="871"/>
    </row>
    <row r="146" spans="1:16" s="863" customFormat="1">
      <c r="A146" s="862"/>
      <c r="B146" s="835"/>
      <c r="C146" s="862"/>
      <c r="D146" s="826"/>
      <c r="E146" s="790"/>
      <c r="F146" s="790"/>
      <c r="G146" s="828" t="s">
        <v>30</v>
      </c>
      <c r="H146" s="828" t="s">
        <v>30</v>
      </c>
      <c r="I146" s="828" t="s">
        <v>30</v>
      </c>
      <c r="J146" s="828" t="s">
        <v>30</v>
      </c>
      <c r="K146" s="828" t="s">
        <v>30</v>
      </c>
      <c r="L146" s="828" t="s">
        <v>30</v>
      </c>
      <c r="M146" s="877" t="s">
        <v>30</v>
      </c>
      <c r="N146" s="700"/>
      <c r="P146" s="871"/>
    </row>
    <row r="147" spans="1:16" s="863" customFormat="1" ht="22.5">
      <c r="A147" s="862" t="s">
        <v>12352</v>
      </c>
      <c r="B147" s="855" t="s">
        <v>70</v>
      </c>
      <c r="C147" s="963">
        <v>34493</v>
      </c>
      <c r="D147" s="836" t="str">
        <f>PROPER(IF(B147="Saneago",VLOOKUP(C147,'SANEAGO-FEV.2016'!A:B,2,0),IF(B147="Sinapi",VLOOKUP(C147,'SINAPI-FEV.2017'!A:D,2,0),IF(B147="Cotação",VLOOKUP(C147,COTAÇÃO!A:D,2,0),IF(B147="Composição",VLOOKUP(C147,COMPOSIÇÃO!A:D,2,0))))))</f>
        <v>Concreto Usinado Bombeavel, Classe De Resistencia C25, Com Brita 0 E 1, Slump = 100 +/- 20 Mm, Exclui Servico De Bombeamento (Nbr 8953)</v>
      </c>
      <c r="E147" s="837"/>
      <c r="F147" s="837"/>
      <c r="G147" s="838"/>
      <c r="H147" s="838"/>
      <c r="I147" s="910"/>
      <c r="J147" s="910"/>
      <c r="K147" s="852" t="s">
        <v>12275</v>
      </c>
      <c r="L147" s="852" t="s">
        <v>21</v>
      </c>
      <c r="M147" s="853">
        <f>4.3+(J142*K142*0.5)</f>
        <v>8.8000000000000007</v>
      </c>
      <c r="N147" s="700"/>
      <c r="P147" s="871"/>
    </row>
    <row r="148" spans="1:16" s="863" customFormat="1">
      <c r="A148" s="862"/>
      <c r="B148" s="835"/>
      <c r="C148" s="862"/>
      <c r="D148" s="826"/>
      <c r="E148" s="790"/>
      <c r="F148" s="790"/>
      <c r="G148" s="828" t="s">
        <v>30</v>
      </c>
      <c r="H148" s="828" t="s">
        <v>30</v>
      </c>
      <c r="I148" s="828" t="s">
        <v>30</v>
      </c>
      <c r="J148" s="828" t="s">
        <v>30</v>
      </c>
      <c r="K148" s="828" t="s">
        <v>30</v>
      </c>
      <c r="L148" s="828" t="s">
        <v>30</v>
      </c>
      <c r="M148" s="877" t="s">
        <v>30</v>
      </c>
      <c r="N148" s="700"/>
      <c r="P148" s="871"/>
    </row>
    <row r="149" spans="1:16" s="863" customFormat="1" ht="22.5">
      <c r="A149" s="862" t="s">
        <v>20452</v>
      </c>
      <c r="B149" s="855" t="s">
        <v>70</v>
      </c>
      <c r="C149" s="912">
        <v>92874</v>
      </c>
      <c r="D149" s="836" t="str">
        <f>PROPER(IF(B149="Saneago",VLOOKUP(C149,'SANEAGO-FEV.2016'!A:B,2,0),IF(B149="Sinapi",VLOOKUP(C149,'SINAPI-FEV.2017'!A:D,2,0),IF(B149="Cotação",VLOOKUP(C149,COTAÇÃO!A:D,2,0),IF(B149="Composição",VLOOKUP(C149,COMPOSIÇÃO!A:D,2,0))))))</f>
        <v>Lançamento Com Uso De Bomba, Adensamento E Acabamento De Concreto Em Estruturas. Af_12/2015</v>
      </c>
      <c r="E149" s="837"/>
      <c r="F149" s="837"/>
      <c r="G149" s="838"/>
      <c r="H149" s="838"/>
      <c r="I149" s="910"/>
      <c r="J149" s="910"/>
      <c r="K149" s="852" t="s">
        <v>12275</v>
      </c>
      <c r="L149" s="852" t="s">
        <v>21</v>
      </c>
      <c r="M149" s="853">
        <f>M147</f>
        <v>8.8000000000000007</v>
      </c>
      <c r="N149" s="700"/>
      <c r="P149" s="871"/>
    </row>
    <row r="150" spans="1:16" s="863" customFormat="1">
      <c r="A150" s="862"/>
      <c r="B150" s="835"/>
      <c r="C150" s="862"/>
      <c r="D150" s="826"/>
      <c r="E150" s="790"/>
      <c r="F150" s="790"/>
      <c r="G150" s="828" t="s">
        <v>30</v>
      </c>
      <c r="H150" s="828" t="s">
        <v>30</v>
      </c>
      <c r="I150" s="828" t="s">
        <v>30</v>
      </c>
      <c r="J150" s="828" t="s">
        <v>30</v>
      </c>
      <c r="K150" s="828" t="s">
        <v>30</v>
      </c>
      <c r="L150" s="828" t="s">
        <v>30</v>
      </c>
      <c r="M150" s="877" t="s">
        <v>30</v>
      </c>
      <c r="N150" s="700"/>
      <c r="P150" s="871"/>
    </row>
    <row r="151" spans="1:16" s="863" customFormat="1" ht="22.5">
      <c r="A151" s="862" t="s">
        <v>12353</v>
      </c>
      <c r="B151" s="835" t="s">
        <v>10852</v>
      </c>
      <c r="C151" s="862">
        <v>316</v>
      </c>
      <c r="D151" s="836" t="str">
        <f>PROPER(IF(B151="Saneago",VLOOKUP(C151,'SANEAGO-FEV.2016'!A:B,2,0),IF(B151="Sinapi",VLOOKUP(C151,'SINAPI-FEV.2017'!A:D,2,0),IF(B151="Cotação",VLOOKUP(C151,COTAÇÃO!A:D,2,0),IF(B151="Composição",VLOOKUP(C151,COMPOSIÇÃO!A:D,2,0))))))</f>
        <v>Concreto  Estrutural Usinado Bombeado  Fck=40 Mpa, Com Adição De 8 À 10% De Microssílica (Incluindo  Lançamento, Aplicação  E Adensamento)</v>
      </c>
      <c r="E151" s="837"/>
      <c r="F151" s="837"/>
      <c r="G151" s="838"/>
      <c r="H151" s="838"/>
      <c r="I151" s="910"/>
      <c r="J151" s="910"/>
      <c r="K151" s="852" t="s">
        <v>12275</v>
      </c>
      <c r="L151" s="852" t="s">
        <v>21</v>
      </c>
      <c r="M151" s="853">
        <f>1.43+2.31</f>
        <v>3.74</v>
      </c>
      <c r="N151" s="700"/>
      <c r="P151" s="871"/>
    </row>
    <row r="152" spans="1:16" s="863" customFormat="1" ht="22.5">
      <c r="A152" s="862"/>
      <c r="B152" s="835"/>
      <c r="C152" s="862"/>
      <c r="D152" s="826"/>
      <c r="E152" s="790"/>
      <c r="F152" s="790"/>
      <c r="G152" s="700" t="s">
        <v>30</v>
      </c>
      <c r="H152" s="700" t="s">
        <v>1275</v>
      </c>
      <c r="I152" s="700" t="s">
        <v>17</v>
      </c>
      <c r="J152" s="700" t="s">
        <v>19</v>
      </c>
      <c r="K152" s="700" t="s">
        <v>11876</v>
      </c>
      <c r="L152" s="700" t="s">
        <v>30</v>
      </c>
      <c r="M152" s="876" t="s">
        <v>30</v>
      </c>
      <c r="N152" s="700"/>
      <c r="P152" s="871"/>
    </row>
    <row r="153" spans="1:16" s="863" customFormat="1">
      <c r="A153" s="862"/>
      <c r="B153" s="835"/>
      <c r="C153" s="862"/>
      <c r="D153" s="826"/>
      <c r="E153" s="1674" t="s">
        <v>12333</v>
      </c>
      <c r="F153" s="1674"/>
      <c r="G153" s="1674"/>
      <c r="H153" s="828">
        <v>1</v>
      </c>
      <c r="I153" s="828">
        <f>I194</f>
        <v>2.93</v>
      </c>
      <c r="J153" s="828">
        <f>J194</f>
        <v>1.78</v>
      </c>
      <c r="K153" s="828">
        <f>K194</f>
        <v>0.9</v>
      </c>
      <c r="L153" s="700" t="s">
        <v>21</v>
      </c>
      <c r="M153" s="877">
        <f>H153*((I153*2+J153*2)*0.14*K153*H155)</f>
        <v>0.83084400000000014</v>
      </c>
      <c r="N153" s="700"/>
      <c r="P153" s="871"/>
    </row>
    <row r="154" spans="1:16" s="863" customFormat="1">
      <c r="A154" s="862"/>
      <c r="B154" s="835"/>
      <c r="C154" s="862"/>
      <c r="D154" s="826"/>
      <c r="E154" s="1674" t="s">
        <v>12361</v>
      </c>
      <c r="F154" s="1674"/>
      <c r="G154" s="1674"/>
      <c r="H154" s="828">
        <v>1</v>
      </c>
      <c r="I154" s="828">
        <v>6.85</v>
      </c>
      <c r="J154" s="828">
        <v>0.6</v>
      </c>
      <c r="K154" s="828">
        <v>0.6</v>
      </c>
      <c r="L154" s="700" t="s">
        <v>21</v>
      </c>
      <c r="M154" s="877">
        <f>H154*I154*J154*K154</f>
        <v>2.4659999999999997</v>
      </c>
      <c r="N154" s="700"/>
      <c r="P154" s="871"/>
    </row>
    <row r="155" spans="1:16" s="863" customFormat="1">
      <c r="A155" s="862"/>
      <c r="B155" s="835"/>
      <c r="C155" s="862"/>
      <c r="D155" s="826"/>
      <c r="E155" s="1767" t="s">
        <v>11914</v>
      </c>
      <c r="F155" s="1767"/>
      <c r="G155" s="1767"/>
      <c r="H155" s="964">
        <v>0.7</v>
      </c>
      <c r="I155" s="911"/>
      <c r="J155" s="911"/>
      <c r="K155" s="700"/>
      <c r="L155" s="700"/>
      <c r="M155" s="829"/>
      <c r="N155" s="700"/>
      <c r="P155" s="871"/>
    </row>
    <row r="156" spans="1:16" s="863" customFormat="1">
      <c r="A156" s="862"/>
      <c r="B156" s="835"/>
      <c r="C156" s="862"/>
      <c r="D156" s="826"/>
      <c r="E156" s="790"/>
      <c r="F156" s="790"/>
      <c r="G156" s="828" t="s">
        <v>30</v>
      </c>
      <c r="H156" s="828" t="s">
        <v>30</v>
      </c>
      <c r="I156" s="828" t="s">
        <v>30</v>
      </c>
      <c r="J156" s="828" t="s">
        <v>30</v>
      </c>
      <c r="K156" s="828" t="s">
        <v>30</v>
      </c>
      <c r="L156" s="828" t="s">
        <v>30</v>
      </c>
      <c r="M156" s="877" t="s">
        <v>30</v>
      </c>
      <c r="N156" s="700"/>
      <c r="P156" s="871"/>
    </row>
    <row r="157" spans="1:16" s="863" customFormat="1" ht="22.5">
      <c r="A157" s="862" t="s">
        <v>20453</v>
      </c>
      <c r="B157" s="855" t="s">
        <v>70</v>
      </c>
      <c r="C157" s="862">
        <v>94969</v>
      </c>
      <c r="D157" s="836" t="str">
        <f>PROPER(IF(B157="Saneago",VLOOKUP(C157,'SANEAGO-FEV.2016'!A:B,2,0),IF(B157="Sinapi",VLOOKUP(C157,'SINAPI-FEV.2017'!A:D,2,0),IF(B157="Cotação",VLOOKUP(C157,COTAÇÃO!A:D,2,0),IF(B157="Composição",VLOOKUP(C157,COMPOSIÇÃO!A:D,2,0))))))</f>
        <v>Concreto Fck = 15Mpa, Traço 1:3,4:3,5 (Cimento/ Areia Média/ Brita 1)  - Preparo Mecânico Com Betoneira 600 L. Af_07/2016</v>
      </c>
      <c r="E157" s="837"/>
      <c r="F157" s="837"/>
      <c r="G157" s="838"/>
      <c r="H157" s="838"/>
      <c r="I157" s="910"/>
      <c r="J157" s="910"/>
      <c r="K157" s="852" t="s">
        <v>12275</v>
      </c>
      <c r="L157" s="852" t="s">
        <v>21</v>
      </c>
      <c r="M157" s="853">
        <f>M153+M154</f>
        <v>3.2968440000000001</v>
      </c>
      <c r="N157" s="700"/>
      <c r="P157" s="871"/>
    </row>
    <row r="158" spans="1:16" s="863" customFormat="1">
      <c r="A158" s="862"/>
      <c r="B158" s="835"/>
      <c r="C158" s="862"/>
      <c r="D158" s="826"/>
      <c r="E158" s="790"/>
      <c r="F158" s="790"/>
      <c r="G158" s="828" t="s">
        <v>30</v>
      </c>
      <c r="H158" s="828" t="s">
        <v>30</v>
      </c>
      <c r="I158" s="828" t="s">
        <v>30</v>
      </c>
      <c r="J158" s="828" t="s">
        <v>30</v>
      </c>
      <c r="K158" s="828" t="s">
        <v>30</v>
      </c>
      <c r="L158" s="828" t="s">
        <v>30</v>
      </c>
      <c r="M158" s="877" t="s">
        <v>30</v>
      </c>
      <c r="N158" s="700"/>
      <c r="P158" s="871"/>
    </row>
    <row r="159" spans="1:16" s="863" customFormat="1" ht="22.5">
      <c r="A159" s="862" t="s">
        <v>20454</v>
      </c>
      <c r="B159" s="855" t="s">
        <v>70</v>
      </c>
      <c r="C159" s="862">
        <v>92873</v>
      </c>
      <c r="D159" s="836" t="str">
        <f>PROPER(IF(B159="Saneago",VLOOKUP(C159,'SANEAGO-FEV.2016'!A:B,2,0),IF(B159="Sinapi",VLOOKUP(C159,'SINAPI-FEV.2017'!A:D,2,0),IF(B159="Cotação",VLOOKUP(C159,COTAÇÃO!A:D,2,0),IF(B159="Composição",VLOOKUP(C159,COMPOSIÇÃO!A:D,2,0))))))</f>
        <v>Lançamento Com Uso De Baldes, Adensamento E Acabamento De Concreto Em Estruturas. Af_12/2015</v>
      </c>
      <c r="E159" s="837"/>
      <c r="F159" s="837"/>
      <c r="G159" s="838"/>
      <c r="H159" s="838"/>
      <c r="I159" s="910"/>
      <c r="J159" s="910"/>
      <c r="K159" s="852" t="s">
        <v>12275</v>
      </c>
      <c r="L159" s="852" t="s">
        <v>21</v>
      </c>
      <c r="M159" s="853">
        <f>M157</f>
        <v>3.2968440000000001</v>
      </c>
      <c r="N159" s="700"/>
      <c r="P159" s="871"/>
    </row>
    <row r="160" spans="1:16" s="863" customFormat="1">
      <c r="A160" s="862"/>
      <c r="B160" s="835"/>
      <c r="C160" s="862"/>
      <c r="D160" s="888"/>
      <c r="E160" s="790"/>
      <c r="F160" s="700" t="s">
        <v>20351</v>
      </c>
      <c r="G160" s="700" t="s">
        <v>20352</v>
      </c>
      <c r="H160" s="700" t="s">
        <v>20353</v>
      </c>
      <c r="I160" s="700" t="s">
        <v>20354</v>
      </c>
      <c r="J160" s="901" t="s">
        <v>30</v>
      </c>
      <c r="K160" s="901" t="s">
        <v>30</v>
      </c>
      <c r="L160" s="901" t="s">
        <v>30</v>
      </c>
      <c r="M160" s="901" t="s">
        <v>30</v>
      </c>
      <c r="N160" s="700"/>
      <c r="P160" s="871"/>
    </row>
    <row r="161" spans="1:16" s="863" customFormat="1">
      <c r="A161" s="862"/>
      <c r="B161" s="835"/>
      <c r="C161" s="862"/>
      <c r="D161" s="888" t="s">
        <v>20455</v>
      </c>
      <c r="E161" s="700" t="s">
        <v>33</v>
      </c>
      <c r="F161" s="700">
        <v>135.19999999999999</v>
      </c>
      <c r="G161" s="828">
        <v>75.37</v>
      </c>
      <c r="H161" s="828">
        <v>70.489999999999995</v>
      </c>
      <c r="I161" s="828">
        <v>430.95</v>
      </c>
      <c r="J161" s="911"/>
      <c r="K161" s="700"/>
      <c r="L161" s="700"/>
      <c r="M161" s="829"/>
      <c r="N161" s="700"/>
      <c r="P161" s="871"/>
    </row>
    <row r="162" spans="1:16" s="863" customFormat="1">
      <c r="A162" s="862"/>
      <c r="B162" s="835"/>
      <c r="C162" s="862"/>
      <c r="D162" s="888" t="s">
        <v>20456</v>
      </c>
      <c r="E162" s="700" t="s">
        <v>33</v>
      </c>
      <c r="F162" s="700">
        <v>6.63</v>
      </c>
      <c r="G162" s="828">
        <v>12.37</v>
      </c>
      <c r="H162" s="828">
        <v>64.61</v>
      </c>
      <c r="I162" s="828">
        <v>14.66</v>
      </c>
      <c r="J162" s="911"/>
      <c r="K162" s="700"/>
      <c r="L162" s="700"/>
      <c r="M162" s="829"/>
      <c r="N162" s="700"/>
      <c r="P162" s="871"/>
    </row>
    <row r="163" spans="1:16" s="863" customFormat="1">
      <c r="A163" s="862"/>
      <c r="B163" s="835"/>
      <c r="C163" s="862"/>
      <c r="D163" s="888" t="s">
        <v>20457</v>
      </c>
      <c r="E163" s="700" t="s">
        <v>33</v>
      </c>
      <c r="F163" s="700"/>
      <c r="G163" s="828">
        <v>136.25</v>
      </c>
      <c r="H163" s="828">
        <v>34.83</v>
      </c>
      <c r="I163" s="828"/>
      <c r="J163" s="911"/>
      <c r="K163" s="700"/>
      <c r="L163" s="700"/>
      <c r="M163" s="829"/>
      <c r="N163" s="700"/>
      <c r="P163" s="871"/>
    </row>
    <row r="164" spans="1:16" s="863" customFormat="1">
      <c r="A164" s="862"/>
      <c r="B164" s="835"/>
      <c r="C164" s="862"/>
      <c r="D164" s="888" t="s">
        <v>20458</v>
      </c>
      <c r="E164" s="700" t="s">
        <v>33</v>
      </c>
      <c r="F164" s="700"/>
      <c r="G164" s="828">
        <f>(J142*K142*0.5)*90</f>
        <v>405</v>
      </c>
      <c r="H164" s="828"/>
      <c r="I164" s="828"/>
      <c r="J164" s="911"/>
      <c r="K164" s="700"/>
      <c r="L164" s="700"/>
      <c r="M164" s="829"/>
      <c r="N164" s="700"/>
      <c r="P164" s="871"/>
    </row>
    <row r="165" spans="1:16" s="863" customFormat="1">
      <c r="A165" s="862"/>
      <c r="B165" s="835"/>
      <c r="C165" s="862"/>
      <c r="D165" s="929" t="s">
        <v>1269</v>
      </c>
      <c r="E165" s="816" t="s">
        <v>33</v>
      </c>
      <c r="F165" s="816">
        <f>SUM(F161:F163)</f>
        <v>141.82999999999998</v>
      </c>
      <c r="G165" s="901">
        <f>SUM(G161:G164)</f>
        <v>628.99</v>
      </c>
      <c r="H165" s="816">
        <f>SUM(H161:H163)</f>
        <v>169.93</v>
      </c>
      <c r="I165" s="816">
        <f>SUM(I161:I163)</f>
        <v>445.61</v>
      </c>
      <c r="J165" s="911"/>
      <c r="K165" s="700"/>
      <c r="L165" s="700"/>
      <c r="M165" s="829"/>
      <c r="N165" s="700"/>
      <c r="P165" s="871"/>
    </row>
    <row r="166" spans="1:16" s="863" customFormat="1">
      <c r="A166" s="862"/>
      <c r="B166" s="835"/>
      <c r="C166" s="862"/>
      <c r="D166" s="929"/>
      <c r="E166" s="816"/>
      <c r="F166" s="816"/>
      <c r="G166" s="901"/>
      <c r="H166" s="816"/>
      <c r="I166" s="816"/>
      <c r="J166" s="911"/>
      <c r="K166" s="700"/>
      <c r="L166" s="700"/>
      <c r="M166" s="829"/>
      <c r="N166" s="700"/>
      <c r="P166" s="871"/>
    </row>
    <row r="167" spans="1:16" s="863" customFormat="1" ht="33.75">
      <c r="A167" s="912" t="s">
        <v>20459</v>
      </c>
      <c r="B167" s="835" t="s">
        <v>70</v>
      </c>
      <c r="C167" s="862">
        <v>92915</v>
      </c>
      <c r="D167" s="836" t="str">
        <f>PROPER(IF(B167="Saneago",VLOOKUP(C167,'SANEAGO-FEV.2016'!A:B,2,0),IF(B167="Sinapi",VLOOKUP(C167,'SINAPI-FEV.2017'!A:D,2,0),IF(B167="Cotação",VLOOKUP(C167,COTAÇÃO!A:D,2,0),IF(B167="Composição",VLOOKUP(C167,COMPOSIÇÃO!A:D,2,0))))))</f>
        <v>Armação De Estruturas De Concreto Armado, Exceto Vigas, Pilares, Lajes E Fundações Profundas (De Edifícios De Múltiplos Pavimentos, Edificação Térrea Ou Sobrado), Utilizando Aço Ca-60 De 5.0 Mm - Montagem. Af_12/2015</v>
      </c>
      <c r="E167" s="837"/>
      <c r="F167" s="837"/>
      <c r="G167" s="838"/>
      <c r="H167" s="838"/>
      <c r="I167" s="838"/>
      <c r="J167" s="913"/>
      <c r="K167" s="852" t="s">
        <v>27</v>
      </c>
      <c r="L167" s="852" t="s">
        <v>33</v>
      </c>
      <c r="M167" s="853">
        <f>F165</f>
        <v>141.82999999999998</v>
      </c>
      <c r="N167" s="914"/>
      <c r="P167" s="871"/>
    </row>
    <row r="168" spans="1:16" s="863" customFormat="1">
      <c r="A168" s="912"/>
      <c r="B168" s="835"/>
      <c r="C168" s="862"/>
      <c r="D168" s="929"/>
      <c r="E168" s="816"/>
      <c r="F168" s="816"/>
      <c r="G168" s="901"/>
      <c r="H168" s="816"/>
      <c r="I168" s="816"/>
      <c r="J168" s="911"/>
      <c r="K168" s="700"/>
      <c r="L168" s="700"/>
      <c r="M168" s="829"/>
      <c r="N168" s="700"/>
      <c r="P168" s="871"/>
    </row>
    <row r="169" spans="1:16" s="863" customFormat="1" ht="33.75">
      <c r="A169" s="912" t="s">
        <v>20460</v>
      </c>
      <c r="B169" s="835" t="s">
        <v>70</v>
      </c>
      <c r="C169" s="862">
        <v>92916</v>
      </c>
      <c r="D169" s="836" t="str">
        <f>PROPER(IF(B169="Saneago",VLOOKUP(C169,'SANEAGO-FEV.2016'!A:B,2,0),IF(B169="Sinapi",VLOOKUP(C169,'SINAPI-FEV.2017'!A:D,2,0),IF(B169="Cotação",VLOOKUP(C169,COTAÇÃO!A:D,2,0),IF(B169="Composição",VLOOKUP(C169,COMPOSIÇÃO!A:D,2,0))))))</f>
        <v>Armação De Estruturas De Concreto Armado, Exceto Vigas, Pilares, Lajes E Fundações Profundas (De Edifícios De Múltiplos Pavimentos, Edificação Térrea Ou Sobrado), Utilizando Aço Ca-50 De 6.3 Mm - Montagem. Af_12/2015</v>
      </c>
      <c r="E169" s="837"/>
      <c r="F169" s="837"/>
      <c r="G169" s="838"/>
      <c r="H169" s="838"/>
      <c r="I169" s="838"/>
      <c r="J169" s="913"/>
      <c r="K169" s="852" t="s">
        <v>27</v>
      </c>
      <c r="L169" s="852" t="s">
        <v>33</v>
      </c>
      <c r="M169" s="853">
        <f>G165</f>
        <v>628.99</v>
      </c>
      <c r="N169" s="914"/>
      <c r="P169" s="871"/>
    </row>
    <row r="170" spans="1:16" s="863" customFormat="1">
      <c r="A170" s="912"/>
      <c r="B170" s="835"/>
      <c r="C170" s="862"/>
      <c r="D170" s="929"/>
      <c r="E170" s="816"/>
      <c r="F170" s="816"/>
      <c r="G170" s="901"/>
      <c r="H170" s="816"/>
      <c r="I170" s="816"/>
      <c r="J170" s="911"/>
      <c r="K170" s="700"/>
      <c r="L170" s="700"/>
      <c r="M170" s="829"/>
      <c r="N170" s="700"/>
      <c r="P170" s="871"/>
    </row>
    <row r="171" spans="1:16" s="863" customFormat="1" ht="33.75">
      <c r="A171" s="912" t="s">
        <v>20461</v>
      </c>
      <c r="B171" s="835" t="s">
        <v>70</v>
      </c>
      <c r="C171" s="862">
        <v>92917</v>
      </c>
      <c r="D171" s="836" t="str">
        <f>PROPER(IF(B171="Saneago",VLOOKUP(C171,'SANEAGO-FEV.2016'!A:B,2,0),IF(B171="Sinapi",VLOOKUP(C171,'SINAPI-FEV.2017'!A:D,2,0),IF(B171="Cotação",VLOOKUP(C171,COTAÇÃO!A:D,2,0),IF(B171="Composição",VLOOKUP(C171,COMPOSIÇÃO!A:D,2,0))))))</f>
        <v>Armação De Estruturas De Concreto Armado, Exceto Vigas, Pilares, Lajes E Fundações Profundas (De Edifícios De Múltiplos Pavimentos, Edificação Térrea Ou Sobrado), Utilizando Aço Ca-50 De 8.0 Mm - Montagem. Af_12/2015</v>
      </c>
      <c r="E171" s="837"/>
      <c r="F171" s="837"/>
      <c r="G171" s="838"/>
      <c r="H171" s="838"/>
      <c r="I171" s="838"/>
      <c r="J171" s="913"/>
      <c r="K171" s="852" t="s">
        <v>27</v>
      </c>
      <c r="L171" s="852" t="s">
        <v>33</v>
      </c>
      <c r="M171" s="853">
        <f>H165</f>
        <v>169.93</v>
      </c>
      <c r="N171" s="914"/>
      <c r="P171" s="871"/>
    </row>
    <row r="172" spans="1:16" s="863" customFormat="1">
      <c r="A172" s="912"/>
      <c r="B172" s="835"/>
      <c r="C172" s="862"/>
      <c r="D172" s="929"/>
      <c r="E172" s="816"/>
      <c r="F172" s="816"/>
      <c r="G172" s="901"/>
      <c r="H172" s="816"/>
      <c r="I172" s="816"/>
      <c r="J172" s="911"/>
      <c r="K172" s="700"/>
      <c r="L172" s="700"/>
      <c r="M172" s="829"/>
      <c r="N172" s="700"/>
      <c r="P172" s="871"/>
    </row>
    <row r="173" spans="1:16" s="863" customFormat="1" ht="33.75">
      <c r="A173" s="912" t="s">
        <v>20462</v>
      </c>
      <c r="B173" s="835" t="s">
        <v>70</v>
      </c>
      <c r="C173" s="862">
        <v>92919</v>
      </c>
      <c r="D173" s="836" t="str">
        <f>PROPER(IF(B173="Saneago",VLOOKUP(C173,'SANEAGO-FEV.2016'!A:B,2,0),IF(B173="Sinapi",VLOOKUP(C173,'SINAPI-FEV.2017'!A:D,2,0),IF(B173="Cotação",VLOOKUP(C173,COTAÇÃO!A:D,2,0),IF(B173="Composição",VLOOKUP(C173,COMPOSIÇÃO!A:D,2,0))))))</f>
        <v>Armação De Estruturas De Concreto Armado, Exceto Vigas, Pilares, Lajes E Fundações Profundas (De Edifícios De Múltiplos Pavimentos, Edificação Térrea Ou Sobrado), Utilizando Aço Ca-50 De 10.0 Mm - Montagem. Af_12/2015</v>
      </c>
      <c r="E173" s="837"/>
      <c r="F173" s="837"/>
      <c r="G173" s="838"/>
      <c r="H173" s="838"/>
      <c r="I173" s="838"/>
      <c r="J173" s="913"/>
      <c r="K173" s="852" t="s">
        <v>27</v>
      </c>
      <c r="L173" s="852" t="s">
        <v>33</v>
      </c>
      <c r="M173" s="853">
        <f>I165</f>
        <v>445.61</v>
      </c>
      <c r="N173" s="914"/>
      <c r="P173" s="871"/>
    </row>
    <row r="174" spans="1:16" s="863" customFormat="1">
      <c r="A174" s="912"/>
      <c r="B174" s="835"/>
      <c r="C174" s="862"/>
      <c r="D174" s="929"/>
      <c r="E174" s="816"/>
      <c r="F174" s="816"/>
      <c r="G174" s="901"/>
      <c r="H174" s="816"/>
      <c r="I174" s="816"/>
      <c r="J174" s="911"/>
      <c r="K174" s="700"/>
      <c r="L174" s="700"/>
      <c r="M174" s="829"/>
      <c r="N174" s="700"/>
      <c r="P174" s="871"/>
    </row>
    <row r="175" spans="1:16" s="863" customFormat="1">
      <c r="A175" s="912" t="s">
        <v>12328</v>
      </c>
      <c r="B175" s="835" t="s">
        <v>70</v>
      </c>
      <c r="C175" s="862" t="s">
        <v>19257</v>
      </c>
      <c r="D175" s="836" t="str">
        <f>PROPER(IF(B175="Saneago",VLOOKUP(C175,'SANEAGO-FEV.2016'!A:B,2,0),IF(B175="Sinapi",VLOOKUP(C175,'SINAPI-FEV.2017'!A:D,2,0),IF(B175="Cotação",VLOOKUP(C175,COTAÇÃO!A:D,2,0),IF(B175="Composição",VLOOKUP(C175,COMPOSIÇÃO!A:D,2,0))))))</f>
        <v>Ensaio De Consistencia Do Concreto Ccr - Indice Vebe</v>
      </c>
      <c r="E175" s="837"/>
      <c r="F175" s="837"/>
      <c r="G175" s="838"/>
      <c r="H175" s="838"/>
      <c r="I175" s="838"/>
      <c r="J175" s="913"/>
      <c r="K175" s="852"/>
      <c r="L175" s="852" t="s">
        <v>26</v>
      </c>
      <c r="M175" s="853">
        <f>ROUNDUP(M147/50,0)</f>
        <v>1</v>
      </c>
      <c r="N175" s="914"/>
      <c r="P175" s="871"/>
    </row>
    <row r="176" spans="1:16" s="863" customFormat="1" ht="13.5" thickBot="1">
      <c r="A176" s="862"/>
      <c r="B176" s="835"/>
      <c r="C176" s="862"/>
      <c r="D176" s="826"/>
      <c r="E176" s="790"/>
      <c r="F176" s="790"/>
      <c r="G176" s="700"/>
      <c r="H176" s="700"/>
      <c r="I176" s="700"/>
      <c r="J176" s="700"/>
      <c r="K176" s="700"/>
      <c r="L176" s="700"/>
      <c r="M176" s="827"/>
      <c r="N176" s="700"/>
      <c r="P176" s="871"/>
    </row>
    <row r="177" spans="1:16" s="863" customFormat="1" ht="14.25" thickTop="1" thickBot="1">
      <c r="A177" s="862"/>
      <c r="B177" s="835"/>
      <c r="C177" s="862"/>
      <c r="D177" s="830" t="s">
        <v>12349</v>
      </c>
      <c r="E177" s="831"/>
      <c r="F177" s="831"/>
      <c r="G177" s="831"/>
      <c r="H177" s="831"/>
      <c r="I177" s="831"/>
      <c r="J177" s="831"/>
      <c r="K177" s="831"/>
      <c r="L177" s="832"/>
      <c r="M177" s="833"/>
      <c r="N177" s="870"/>
      <c r="O177" s="871"/>
      <c r="P177" s="871"/>
    </row>
    <row r="178" spans="1:16" ht="13.5" thickTop="1">
      <c r="C178" s="960"/>
      <c r="D178" s="826"/>
      <c r="E178" s="790"/>
      <c r="F178" s="790"/>
      <c r="G178" s="700"/>
      <c r="H178" s="700"/>
      <c r="I178" s="700"/>
      <c r="J178" s="700"/>
      <c r="K178" s="700"/>
      <c r="L178" s="700"/>
      <c r="M178" s="876"/>
    </row>
    <row r="179" spans="1:16" ht="39" customHeight="1">
      <c r="A179" s="862" t="s">
        <v>12329</v>
      </c>
      <c r="B179" s="835" t="s">
        <v>10852</v>
      </c>
      <c r="C179" s="960">
        <v>862</v>
      </c>
      <c r="D179" s="836" t="str">
        <f>PROPER(IF(B179="Saneago",VLOOKUP(C179,'SANEAGO-FEV.2016'!A:B,2,0),IF(B179="Sinapi",VLOOKUP(C179,'SINAPI-FEV.2017'!A:D,2,0),IF(B179="Cotação",VLOOKUP(C179,COTAÇÃO!A:D,2,0),IF(B179="Composição",VLOOKUP(C179,COMPOSIÇÃO!A:D,2,0))))))</f>
        <v>Guarda-Corpo De Tubo Industrial  1.1/2" (40 Mm) Chapa 13;  H=1,0 M, C/ Tela Artística   3 X 3 Fio 12, Perfil  U  Dim.  19,05  X 19,05  X 3,17  Mm,  Barra  Retangular  Dim  9,52  X 6,35  Mm,  Fixada  Em  Chapa Metálica Dim: 0,20 X 0,10 X 0,05 Cm, C/ Injenção De Silicone,</v>
      </c>
      <c r="E179" s="837"/>
      <c r="F179" s="837"/>
      <c r="G179" s="852"/>
      <c r="H179" s="852"/>
      <c r="I179" s="852"/>
      <c r="J179" s="838"/>
      <c r="K179" s="838"/>
      <c r="L179" s="852" t="s">
        <v>18</v>
      </c>
      <c r="M179" s="853">
        <f>1.8*2</f>
        <v>3.6</v>
      </c>
    </row>
    <row r="180" spans="1:16">
      <c r="C180" s="960"/>
      <c r="D180" s="826"/>
      <c r="E180" s="790"/>
      <c r="F180" s="790"/>
      <c r="G180" s="700"/>
      <c r="H180" s="700"/>
      <c r="I180" s="700"/>
      <c r="J180" s="700"/>
      <c r="K180" s="700"/>
      <c r="L180" s="700"/>
      <c r="M180" s="876"/>
    </row>
    <row r="181" spans="1:16">
      <c r="A181" s="862" t="s">
        <v>12346</v>
      </c>
      <c r="B181" s="835" t="s">
        <v>11720</v>
      </c>
      <c r="C181" s="960" t="s">
        <v>12344</v>
      </c>
      <c r="D181" s="836" t="str">
        <f>PROPER(IF(B181="Saneago",VLOOKUP(C181,'SANEAGO-FEV.2016'!A:B,2,0),IF(B181="Sinapi",VLOOKUP(C181,'SINAPI-FEV.2017'!A:D,2,0),IF(B181="Cotação",VLOOKUP(C181,COTAÇÃO!A:D,2,0),IF(B181="Composição",VLOOKUP(C181,COMPOSIÇÃO!A:D,2,0))))))</f>
        <v>Suporte Metálico Do Carvão Vegetal</v>
      </c>
      <c r="E181" s="837"/>
      <c r="F181" s="837"/>
      <c r="G181" s="852"/>
      <c r="H181" s="852"/>
      <c r="I181" s="852"/>
      <c r="J181" s="838"/>
      <c r="K181" s="838"/>
      <c r="L181" s="852" t="s">
        <v>10853</v>
      </c>
      <c r="M181" s="853">
        <v>1</v>
      </c>
    </row>
    <row r="182" spans="1:16">
      <c r="C182" s="960"/>
      <c r="D182" s="826"/>
      <c r="E182" s="790"/>
      <c r="F182" s="790"/>
      <c r="G182" s="700"/>
      <c r="H182" s="700"/>
      <c r="I182" s="700"/>
      <c r="J182" s="700"/>
      <c r="K182" s="700"/>
      <c r="L182" s="700"/>
      <c r="M182" s="876"/>
    </row>
    <row r="183" spans="1:16">
      <c r="A183" s="862" t="s">
        <v>12347</v>
      </c>
      <c r="B183" s="835" t="s">
        <v>11722</v>
      </c>
      <c r="C183" s="960" t="s">
        <v>12345</v>
      </c>
      <c r="D183" s="836" t="str">
        <f>PROPER(IF(B183="Saneago",VLOOKUP(C183,'SANEAGO-FEV.2016'!A:B,2,0),IF(B183="Sinapi",VLOOKUP(C183,'SINAPI-FEV.2017'!A:D,2,0),IF(B183="Cotação",VLOOKUP(C183,COTAÇÃO!A:D,2,0),IF(B183="Composição",VLOOKUP(C183,COMPOSIÇÃO!A:D,2,0))))))</f>
        <v>Grade Em Fibra De Vidro</v>
      </c>
      <c r="E183" s="837"/>
      <c r="F183" s="837"/>
      <c r="G183" s="852"/>
      <c r="H183" s="852"/>
      <c r="I183" s="852"/>
      <c r="J183" s="838"/>
      <c r="K183" s="838"/>
      <c r="L183" s="852" t="s">
        <v>21</v>
      </c>
      <c r="M183" s="853">
        <f>3*1.55*0.87</f>
        <v>4.0455000000000005</v>
      </c>
    </row>
    <row r="184" spans="1:16">
      <c r="C184" s="960"/>
      <c r="D184" s="826"/>
      <c r="E184" s="790"/>
      <c r="F184" s="790"/>
      <c r="G184" s="700"/>
      <c r="H184" s="700"/>
      <c r="I184" s="700"/>
      <c r="J184" s="700" t="s">
        <v>17</v>
      </c>
      <c r="K184" s="700" t="s">
        <v>19</v>
      </c>
      <c r="L184" s="700"/>
      <c r="M184" s="876"/>
    </row>
    <row r="185" spans="1:16" ht="33.75">
      <c r="A185" s="862" t="s">
        <v>12348</v>
      </c>
      <c r="B185" s="835" t="s">
        <v>11644</v>
      </c>
      <c r="C185" s="960">
        <v>38968</v>
      </c>
      <c r="D185" s="836" t="str">
        <f>PROPER(IF(B185="Saneago",VLOOKUP(C185,'SANEAGO-FEV.2016'!A:B,2,0),IF(B185="Sinapi",VLOOKUP(C185,'SINAPI-FEV.2017'!A:D,2,0),IF(B185="Cotação",VLOOKUP(C185,COTAÇÃO!A:D,2,0),IF(B185="Composição",VLOOKUP(C185,COMPOSIÇÃO!A:D,2,0))))))</f>
        <v>Gradil *1320 X 2170* Mm (A X L) Em Barra De Aco Chata *25 Mm X 2* Mm, Entrelacada Com Barra Aco Redonda *5* Mm, Malha *65 X 132* Mm, Galvanizado E Pintura Eletrostatica, Cor Preto</v>
      </c>
      <c r="E185" s="837"/>
      <c r="F185" s="837"/>
      <c r="G185" s="852"/>
      <c r="H185" s="852"/>
      <c r="I185" s="852" t="s">
        <v>12334</v>
      </c>
      <c r="J185" s="838">
        <f>J40</f>
        <v>11</v>
      </c>
      <c r="K185" s="838">
        <f>K40</f>
        <v>11</v>
      </c>
      <c r="L185" s="852" t="s">
        <v>21</v>
      </c>
      <c r="M185" s="853">
        <f>J185*K185</f>
        <v>121</v>
      </c>
    </row>
    <row r="186" spans="1:16" ht="13.5" customHeight="1">
      <c r="C186" s="960"/>
      <c r="D186" s="826"/>
      <c r="E186" s="790"/>
      <c r="F186" s="790"/>
      <c r="G186" s="700"/>
      <c r="H186" s="700"/>
      <c r="I186" s="700"/>
      <c r="J186" s="700"/>
      <c r="K186" s="700"/>
      <c r="L186" s="700"/>
      <c r="M186" s="876"/>
    </row>
    <row r="187" spans="1:16" ht="13.5" customHeight="1">
      <c r="A187" s="862" t="s">
        <v>12403</v>
      </c>
      <c r="B187" s="835" t="s">
        <v>10852</v>
      </c>
      <c r="C187" s="960">
        <v>1495</v>
      </c>
      <c r="D187" s="836" t="str">
        <f>PROPER(IF(B187="Saneago",VLOOKUP(C187,'SANEAGO-FEV.2016'!A:B,2,0),IF(B187="Sinapi",VLOOKUP(C187,'SINAPI-FEV.2017'!A:D,2,0),IF(B187="Cotação",VLOOKUP(C187,COTAÇÃO!A:D,2,0),IF(B187="Composição",VLOOKUP(C187,COMPOSIÇÃO!A:D,2,0))))))</f>
        <v>Portão Metálico  Padrão Saneago Para Cerca Tipo A:1,00 X 1,80 M</v>
      </c>
      <c r="E187" s="837"/>
      <c r="F187" s="837"/>
      <c r="G187" s="852"/>
      <c r="H187" s="852"/>
      <c r="I187" s="852"/>
      <c r="J187" s="838"/>
      <c r="K187" s="838"/>
      <c r="L187" s="852" t="s">
        <v>10853</v>
      </c>
      <c r="M187" s="853">
        <v>1</v>
      </c>
    </row>
    <row r="188" spans="1:16" ht="13.5" customHeight="1">
      <c r="C188" s="960"/>
      <c r="D188" s="826"/>
      <c r="E188" s="790"/>
      <c r="F188" s="790"/>
      <c r="G188" s="700"/>
      <c r="H188" s="700"/>
      <c r="I188" s="700"/>
      <c r="J188" s="700"/>
      <c r="K188" s="700"/>
      <c r="L188" s="700"/>
      <c r="M188" s="876"/>
    </row>
    <row r="189" spans="1:16" ht="13.5" customHeight="1">
      <c r="A189" s="862" t="s">
        <v>12404</v>
      </c>
      <c r="B189" s="835" t="s">
        <v>11644</v>
      </c>
      <c r="C189" s="960">
        <v>83623</v>
      </c>
      <c r="D189" s="836" t="str">
        <f>PROPER(IF(B189="Saneago",VLOOKUP(C189,'SANEAGO-FEV.2016'!A:B,2,0),IF(B189="Sinapi",VLOOKUP(C189,'SINAPI-FEV.2017'!A:D,2,0),IF(B189="Cotação",VLOOKUP(C189,COTAÇÃO!A:D,2,0),IF(B189="Composição",VLOOKUP(C189,COMPOSIÇÃO!A:D,2,0))))))</f>
        <v>Grelha De Ferro Fundido Para Canaleta Larg = 30Cm, Fornecimento E Assentamento</v>
      </c>
      <c r="E189" s="837"/>
      <c r="F189" s="837"/>
      <c r="G189" s="852"/>
      <c r="H189" s="852"/>
      <c r="I189" s="852"/>
      <c r="J189" s="838"/>
      <c r="K189" s="838"/>
      <c r="L189" s="852" t="s">
        <v>18</v>
      </c>
      <c r="M189" s="853">
        <v>0.4</v>
      </c>
    </row>
    <row r="190" spans="1:16" ht="13.5" customHeight="1" thickBot="1">
      <c r="C190" s="960"/>
      <c r="D190" s="826"/>
      <c r="E190" s="790"/>
      <c r="F190" s="790"/>
      <c r="G190" s="700"/>
      <c r="H190" s="700"/>
      <c r="I190" s="700"/>
      <c r="J190" s="828"/>
      <c r="K190" s="828"/>
      <c r="L190" s="700"/>
      <c r="M190" s="829"/>
    </row>
    <row r="191" spans="1:16" s="863" customFormat="1" ht="14.25" thickTop="1" thickBot="1">
      <c r="A191" s="862"/>
      <c r="B191" s="835"/>
      <c r="C191" s="862"/>
      <c r="D191" s="830" t="s">
        <v>53</v>
      </c>
      <c r="E191" s="831"/>
      <c r="F191" s="831"/>
      <c r="G191" s="831"/>
      <c r="H191" s="831"/>
      <c r="I191" s="831"/>
      <c r="J191" s="831"/>
      <c r="K191" s="831"/>
      <c r="L191" s="832" t="s">
        <v>25</v>
      </c>
      <c r="M191" s="833" t="s">
        <v>27</v>
      </c>
      <c r="N191" s="700"/>
      <c r="P191" s="871"/>
    </row>
    <row r="192" spans="1:16" s="863" customFormat="1" ht="14.25" customHeight="1" thickTop="1">
      <c r="A192" s="862"/>
      <c r="B192" s="835"/>
      <c r="C192" s="862"/>
      <c r="D192" s="826"/>
      <c r="E192" s="790"/>
      <c r="F192" s="790"/>
      <c r="G192" s="700" t="s">
        <v>30</v>
      </c>
      <c r="H192" s="700" t="s">
        <v>30</v>
      </c>
      <c r="I192" s="700" t="s">
        <v>11791</v>
      </c>
      <c r="J192" s="700" t="s">
        <v>19</v>
      </c>
      <c r="K192" s="700" t="s">
        <v>32</v>
      </c>
      <c r="L192" s="700"/>
      <c r="M192" s="827"/>
      <c r="N192" s="700"/>
      <c r="P192" s="871"/>
    </row>
    <row r="193" spans="1:16" s="863" customFormat="1" ht="14.25" customHeight="1">
      <c r="A193" s="862"/>
      <c r="B193" s="835"/>
      <c r="C193" s="862"/>
      <c r="D193" s="826"/>
      <c r="E193" s="790"/>
      <c r="F193" s="790"/>
      <c r="G193" s="1674" t="s">
        <v>12332</v>
      </c>
      <c r="H193" s="1674"/>
      <c r="I193" s="828">
        <v>11.9</v>
      </c>
      <c r="J193" s="828">
        <f>2*2</f>
        <v>4</v>
      </c>
      <c r="K193" s="828">
        <v>1.1000000000000001</v>
      </c>
      <c r="L193" s="700" t="s">
        <v>21</v>
      </c>
      <c r="M193" s="890">
        <f>(I193+J193)*K193</f>
        <v>17.490000000000002</v>
      </c>
      <c r="N193" s="700"/>
      <c r="P193" s="871"/>
    </row>
    <row r="194" spans="1:16" s="863" customFormat="1" ht="14.25" customHeight="1">
      <c r="A194" s="862"/>
      <c r="B194" s="835"/>
      <c r="C194" s="862"/>
      <c r="D194" s="826"/>
      <c r="E194" s="790"/>
      <c r="F194" s="790"/>
      <c r="G194" s="1674" t="s">
        <v>12350</v>
      </c>
      <c r="H194" s="1674"/>
      <c r="I194" s="828">
        <f>J38</f>
        <v>2.93</v>
      </c>
      <c r="J194" s="828">
        <f>K38</f>
        <v>1.78</v>
      </c>
      <c r="K194" s="828">
        <v>0.9</v>
      </c>
      <c r="L194" s="700" t="s">
        <v>21</v>
      </c>
      <c r="M194" s="890">
        <f>(I194*2+J194*2)*K194</f>
        <v>8.4779999999999998</v>
      </c>
      <c r="N194" s="700"/>
      <c r="P194" s="871"/>
    </row>
    <row r="195" spans="1:16" s="863" customFormat="1" ht="14.25" customHeight="1">
      <c r="A195" s="862"/>
      <c r="B195" s="835"/>
      <c r="C195" s="862"/>
      <c r="D195" s="826"/>
      <c r="E195" s="790"/>
      <c r="F195" s="790"/>
      <c r="G195" s="700"/>
      <c r="H195" s="700"/>
      <c r="I195" s="700"/>
      <c r="J195" s="700"/>
      <c r="K195" s="700"/>
      <c r="L195" s="700" t="s">
        <v>21</v>
      </c>
      <c r="M195" s="890"/>
      <c r="N195" s="700"/>
      <c r="P195" s="871"/>
    </row>
    <row r="196" spans="1:16" s="863" customFormat="1" ht="33.75">
      <c r="A196" s="862" t="s">
        <v>12351</v>
      </c>
      <c r="B196" s="835" t="s">
        <v>11644</v>
      </c>
      <c r="C196" s="862">
        <v>87467</v>
      </c>
      <c r="D196" s="836" t="str">
        <f>PROPER(IF(B196="Saneago",VLOOKUP(C196,'SANEAGO-FEV.2016'!A:B,2,0),IF(B196="Sinapi",VLOOKUP(C196,'SINAPI-FEV.2017'!A:D,2,0),IF(B196="Cotação",VLOOKUP(C196,COTAÇÃO!A:D,2,0),IF(B196="Composição",VLOOKUP(C196,COMPOSIÇÃO!A:D,2,0))))))</f>
        <v>Alvenaria De Vedação De Blocos Vazados De Concreto De 14X19X39Cm (Espessura 14Cm) De Paredes Com Área Líquida Maior Ou Igual A 6M² Com Vãos E Argamassa De Assentamento Com Preparo Em Betoneira. Af_06/2014</v>
      </c>
      <c r="E196" s="837"/>
      <c r="F196" s="837"/>
      <c r="G196" s="852"/>
      <c r="H196" s="852"/>
      <c r="I196" s="838"/>
      <c r="J196" s="838"/>
      <c r="K196" s="856" t="s">
        <v>27</v>
      </c>
      <c r="L196" s="856" t="s">
        <v>21</v>
      </c>
      <c r="M196" s="840">
        <f>SUM(M193:M195)</f>
        <v>25.968000000000004</v>
      </c>
      <c r="N196" s="700"/>
      <c r="P196" s="871"/>
    </row>
    <row r="197" spans="1:16" s="863" customFormat="1" ht="6" customHeight="1" thickBot="1">
      <c r="A197" s="862"/>
      <c r="B197" s="835"/>
      <c r="C197" s="862"/>
      <c r="D197" s="826"/>
      <c r="E197" s="790"/>
      <c r="F197" s="790"/>
      <c r="G197" s="700"/>
      <c r="H197" s="700"/>
      <c r="I197" s="700"/>
      <c r="J197" s="828"/>
      <c r="K197" s="828"/>
      <c r="L197" s="828"/>
      <c r="M197" s="829"/>
      <c r="N197" s="700"/>
      <c r="P197" s="871"/>
    </row>
    <row r="198" spans="1:16" s="863" customFormat="1" ht="13.5" customHeight="1" thickTop="1" thickBot="1">
      <c r="A198" s="862"/>
      <c r="B198" s="835"/>
      <c r="C198" s="862"/>
      <c r="D198" s="830" t="s">
        <v>55</v>
      </c>
      <c r="E198" s="831"/>
      <c r="F198" s="831"/>
      <c r="G198" s="831"/>
      <c r="H198" s="831"/>
      <c r="I198" s="831"/>
      <c r="J198" s="831"/>
      <c r="K198" s="831"/>
      <c r="L198" s="832" t="s">
        <v>25</v>
      </c>
      <c r="M198" s="833" t="s">
        <v>27</v>
      </c>
      <c r="N198" s="700"/>
      <c r="P198" s="871"/>
    </row>
    <row r="199" spans="1:16" s="863" customFormat="1" ht="13.5" customHeight="1" thickTop="1">
      <c r="A199" s="862"/>
      <c r="B199" s="835"/>
      <c r="C199" s="862"/>
      <c r="D199" s="826"/>
      <c r="E199" s="790"/>
      <c r="F199" s="790"/>
      <c r="G199" s="700" t="s">
        <v>30</v>
      </c>
      <c r="H199" s="700" t="s">
        <v>30</v>
      </c>
      <c r="I199" s="700" t="s">
        <v>30</v>
      </c>
      <c r="J199" s="700" t="s">
        <v>30</v>
      </c>
      <c r="K199" s="700" t="s">
        <v>30</v>
      </c>
      <c r="L199" s="700" t="s">
        <v>30</v>
      </c>
      <c r="M199" s="876" t="s">
        <v>30</v>
      </c>
      <c r="N199" s="700"/>
      <c r="P199" s="871"/>
    </row>
    <row r="200" spans="1:16" s="863" customFormat="1" ht="22.5">
      <c r="A200" s="862" t="s">
        <v>12330</v>
      </c>
      <c r="B200" s="835" t="s">
        <v>11644</v>
      </c>
      <c r="C200" s="862">
        <v>88489</v>
      </c>
      <c r="D200" s="836" t="str">
        <f>PROPER(IF(B200="Saneago",VLOOKUP(C200,'SANEAGO-FEV.2016'!A:B,2,0),IF(B200="Sinapi",VLOOKUP(C200,'SINAPI-FEV.2017'!A:D,2,0),IF(B200="Cotação",VLOOKUP(C200,COTAÇÃO!A:D,2,0),IF(B200="Composição",VLOOKUP(C200,COMPOSIÇÃO!A:D,2,0))))))</f>
        <v>Aplicação Manual De Pintura Com Tinta Látex Acrílica Em Paredes, Duas Demãos. Af_06/2014</v>
      </c>
      <c r="E200" s="837"/>
      <c r="F200" s="837"/>
      <c r="G200" s="838"/>
      <c r="H200" s="838"/>
      <c r="I200" s="838"/>
      <c r="J200" s="838"/>
      <c r="K200" s="838"/>
      <c r="L200" s="852" t="s">
        <v>21</v>
      </c>
      <c r="M200" s="853">
        <f>M196</f>
        <v>25.968000000000004</v>
      </c>
      <c r="N200" s="700"/>
      <c r="P200" s="871"/>
    </row>
    <row r="201" spans="1:16" s="863" customFormat="1" ht="6" customHeight="1" thickBot="1">
      <c r="A201" s="862"/>
      <c r="B201" s="835"/>
      <c r="C201" s="862"/>
      <c r="D201" s="826"/>
      <c r="E201" s="790"/>
      <c r="F201" s="790"/>
      <c r="G201" s="700"/>
      <c r="H201" s="700"/>
      <c r="I201" s="700"/>
      <c r="J201" s="828"/>
      <c r="K201" s="828"/>
      <c r="L201" s="828"/>
      <c r="M201" s="829"/>
      <c r="N201" s="700"/>
      <c r="P201" s="871"/>
    </row>
    <row r="202" spans="1:16" s="863" customFormat="1" ht="13.5" customHeight="1" thickTop="1" thickBot="1">
      <c r="A202" s="862"/>
      <c r="B202" s="835"/>
      <c r="C202" s="862"/>
      <c r="D202" s="830" t="s">
        <v>63</v>
      </c>
      <c r="E202" s="831"/>
      <c r="F202" s="831"/>
      <c r="G202" s="831"/>
      <c r="H202" s="831"/>
      <c r="I202" s="831"/>
      <c r="J202" s="831"/>
      <c r="K202" s="831"/>
      <c r="L202" s="832" t="s">
        <v>25</v>
      </c>
      <c r="M202" s="833" t="s">
        <v>27</v>
      </c>
      <c r="N202" s="700"/>
      <c r="P202" s="871"/>
    </row>
    <row r="203" spans="1:16" s="863" customFormat="1" ht="13.5" customHeight="1" thickTop="1">
      <c r="A203" s="862"/>
      <c r="B203" s="835"/>
      <c r="C203" s="862"/>
      <c r="D203" s="826"/>
      <c r="E203" s="790"/>
      <c r="F203" s="790"/>
      <c r="G203" s="700" t="s">
        <v>30</v>
      </c>
      <c r="H203" s="700" t="s">
        <v>30</v>
      </c>
      <c r="I203" s="700" t="s">
        <v>11684</v>
      </c>
      <c r="J203" s="700" t="s">
        <v>19</v>
      </c>
      <c r="K203" s="700" t="s">
        <v>36</v>
      </c>
      <c r="L203" s="700"/>
      <c r="M203" s="827"/>
      <c r="N203" s="700"/>
      <c r="P203" s="871"/>
    </row>
    <row r="204" spans="1:16" s="863" customFormat="1" ht="13.5" customHeight="1">
      <c r="A204" s="862"/>
      <c r="B204" s="835"/>
      <c r="C204" s="862"/>
      <c r="D204" s="826"/>
      <c r="E204" s="790"/>
      <c r="F204" s="790"/>
      <c r="G204" s="1674" t="s">
        <v>12332</v>
      </c>
      <c r="H204" s="1674"/>
      <c r="I204" s="828">
        <v>12</v>
      </c>
      <c r="J204" s="828">
        <v>4.9000000000000004</v>
      </c>
      <c r="K204" s="828">
        <v>0.1</v>
      </c>
      <c r="L204" s="700" t="s">
        <v>22</v>
      </c>
      <c r="M204" s="829">
        <f>I204*J204*K204</f>
        <v>5.8800000000000008</v>
      </c>
      <c r="N204" s="700"/>
      <c r="P204" s="871"/>
    </row>
    <row r="205" spans="1:16" s="863" customFormat="1" ht="22.5">
      <c r="A205" s="862" t="s">
        <v>12331</v>
      </c>
      <c r="B205" s="855" t="s">
        <v>70</v>
      </c>
      <c r="C205" s="959">
        <v>94990</v>
      </c>
      <c r="D205" s="836" t="str">
        <f>PROPER(IF(B205="Saneago",VLOOKUP(C205,'SANEAGO-FEV.2016'!A:B,2,0),IF(B205="Sinapi",VLOOKUP(C205,'SINAPI-FEV.2017'!A:D,2,0),IF(B205="Cotação",VLOOKUP(C205,COTAÇÃO!A:D,2,0),IF(B205="Composição",VLOOKUP(C205,COMPOSIÇÃO!A:D,2,0))))))</f>
        <v>Execução De Passeio (Calçada) Ou Piso De Concreto Com Concreto Moldado In Loco, Feito Em Obra, Acabamento Convencional, Não Armado. Af_07/2016</v>
      </c>
      <c r="E205" s="837"/>
      <c r="F205" s="837"/>
      <c r="G205" s="838"/>
      <c r="H205" s="838"/>
      <c r="I205" s="838"/>
      <c r="J205" s="838"/>
      <c r="K205" s="839" t="s">
        <v>27</v>
      </c>
      <c r="L205" s="856" t="s">
        <v>22</v>
      </c>
      <c r="M205" s="840">
        <f>M204</f>
        <v>5.8800000000000008</v>
      </c>
      <c r="N205" s="700"/>
      <c r="P205" s="871"/>
    </row>
    <row r="206" spans="1:16" s="863" customFormat="1">
      <c r="A206" s="862"/>
      <c r="B206" s="835"/>
      <c r="C206" s="862"/>
      <c r="D206" s="826"/>
      <c r="E206" s="790"/>
      <c r="F206" s="790"/>
      <c r="G206" s="700" t="s">
        <v>30</v>
      </c>
      <c r="H206" s="700" t="s">
        <v>30</v>
      </c>
      <c r="I206" s="828" t="s">
        <v>11684</v>
      </c>
      <c r="J206" s="828" t="s">
        <v>19</v>
      </c>
      <c r="K206" s="828" t="s">
        <v>30</v>
      </c>
      <c r="L206" s="700"/>
      <c r="M206" s="827"/>
      <c r="N206" s="700"/>
      <c r="P206" s="871"/>
    </row>
    <row r="207" spans="1:16" s="863" customFormat="1">
      <c r="A207" s="862"/>
      <c r="B207" s="835"/>
      <c r="C207" s="862"/>
      <c r="D207" s="826"/>
      <c r="E207" s="790"/>
      <c r="F207" s="790"/>
      <c r="G207" s="1674" t="s">
        <v>12333</v>
      </c>
      <c r="H207" s="1674"/>
      <c r="I207" s="828">
        <v>2.65</v>
      </c>
      <c r="J207" s="828">
        <v>1.5</v>
      </c>
      <c r="K207" s="828"/>
      <c r="L207" s="700" t="s">
        <v>19797</v>
      </c>
      <c r="M207" s="829">
        <f>I207*J207</f>
        <v>3.9749999999999996</v>
      </c>
      <c r="N207" s="700"/>
      <c r="P207" s="871"/>
    </row>
    <row r="208" spans="1:16" s="863" customFormat="1" ht="22.5">
      <c r="A208" s="862" t="s">
        <v>12405</v>
      </c>
      <c r="B208" s="855" t="s">
        <v>70</v>
      </c>
      <c r="C208" s="912" t="s">
        <v>18613</v>
      </c>
      <c r="D208" s="836" t="str">
        <f>PROPER(IF(B208="Saneago",VLOOKUP(C208,'SANEAGO-FEV.2016'!A:B,2,0),IF(B208="Sinapi",VLOOKUP(C208,'SINAPI-FEV.2017'!A:D,2,0),IF(B208="Cotação",VLOOKUP(C208,COTAÇÃO!A:D,2,0),IF(B208="Composição",VLOOKUP(C208,COMPOSIÇÃO!A:D,2,0))))))</f>
        <v>Piso Cimentado Traco 1:3 (Cimento E Areia), Com Acabamento Rustico E Frisado Espessura 2Cm, Preparo Manual</v>
      </c>
      <c r="E208" s="837"/>
      <c r="F208" s="837"/>
      <c r="G208" s="838"/>
      <c r="H208" s="838"/>
      <c r="I208" s="838"/>
      <c r="J208" s="838"/>
      <c r="K208" s="839" t="s">
        <v>27</v>
      </c>
      <c r="L208" s="856" t="s">
        <v>19797</v>
      </c>
      <c r="M208" s="840">
        <f>M207</f>
        <v>3.9749999999999996</v>
      </c>
      <c r="N208" s="700"/>
      <c r="P208" s="871"/>
    </row>
    <row r="209" spans="1:18" s="863" customFormat="1" ht="13.5" thickBot="1">
      <c r="A209" s="862"/>
      <c r="B209" s="835"/>
      <c r="C209" s="862"/>
      <c r="D209" s="826"/>
      <c r="E209" s="790"/>
      <c r="F209" s="790"/>
      <c r="G209" s="700"/>
      <c r="H209" s="700"/>
      <c r="I209" s="700"/>
      <c r="J209" s="828"/>
      <c r="K209" s="828"/>
      <c r="L209" s="828"/>
      <c r="M209" s="829"/>
      <c r="N209" s="700"/>
      <c r="P209" s="871"/>
    </row>
    <row r="210" spans="1:18" s="824" customFormat="1" ht="14.25" thickTop="1" thickBot="1">
      <c r="A210" s="905"/>
      <c r="B210" s="906"/>
      <c r="C210" s="905"/>
      <c r="D210" s="830" t="s">
        <v>59</v>
      </c>
      <c r="E210" s="831"/>
      <c r="F210" s="831"/>
      <c r="G210" s="831"/>
      <c r="H210" s="831"/>
      <c r="I210" s="831"/>
      <c r="J210" s="831"/>
      <c r="K210" s="831"/>
      <c r="L210" s="832" t="s">
        <v>25</v>
      </c>
      <c r="M210" s="833" t="s">
        <v>27</v>
      </c>
      <c r="N210" s="700"/>
      <c r="O210" s="863"/>
      <c r="P210" s="871"/>
      <c r="Q210" s="863"/>
      <c r="R210" s="863"/>
    </row>
    <row r="211" spans="1:18" s="824" customFormat="1" ht="13.5" thickTop="1">
      <c r="A211" s="965"/>
      <c r="B211" s="906"/>
      <c r="C211" s="905"/>
      <c r="D211" s="826"/>
      <c r="E211" s="790"/>
      <c r="F211" s="790"/>
      <c r="G211" s="828" t="s">
        <v>30</v>
      </c>
      <c r="H211" s="828" t="s">
        <v>30</v>
      </c>
      <c r="I211" s="828" t="s">
        <v>1275</v>
      </c>
      <c r="J211" s="828" t="s">
        <v>17</v>
      </c>
      <c r="K211" s="828" t="s">
        <v>19</v>
      </c>
      <c r="L211" s="828"/>
      <c r="M211" s="829"/>
      <c r="N211" s="700"/>
      <c r="O211" s="863"/>
      <c r="P211" s="871"/>
      <c r="Q211" s="863"/>
      <c r="R211" s="863"/>
    </row>
    <row r="212" spans="1:18" s="824" customFormat="1">
      <c r="A212" s="921"/>
      <c r="B212" s="835"/>
      <c r="C212" s="862"/>
      <c r="D212" s="826"/>
      <c r="E212" s="790"/>
      <c r="F212" s="790"/>
      <c r="G212" s="1674" t="s">
        <v>12332</v>
      </c>
      <c r="H212" s="1674"/>
      <c r="I212" s="907">
        <v>1</v>
      </c>
      <c r="J212" s="828">
        <f>I204</f>
        <v>12</v>
      </c>
      <c r="K212" s="828">
        <f>J204</f>
        <v>4.9000000000000004</v>
      </c>
      <c r="L212" s="828" t="s">
        <v>21</v>
      </c>
      <c r="M212" s="829">
        <f>K212*J212*I212</f>
        <v>58.800000000000004</v>
      </c>
      <c r="N212" s="700"/>
      <c r="O212" s="863"/>
      <c r="P212" s="871"/>
      <c r="Q212" s="863"/>
      <c r="R212" s="863"/>
    </row>
    <row r="213" spans="1:18" s="824" customFormat="1">
      <c r="A213" s="966" t="s">
        <v>12354</v>
      </c>
      <c r="B213" s="835" t="s">
        <v>10852</v>
      </c>
      <c r="C213" s="905">
        <v>407</v>
      </c>
      <c r="D213" s="836" t="str">
        <f>PROPER(IF(B213="Saneago",VLOOKUP(C213,'SANEAGO-FEV.2016'!A:B,2,0),IF(B213="Sinapi",VLOOKUP(C213,'SINAPI-FEV.2017'!A:D,2,0),IF(B213="Cotação",VLOOKUP(C213,COTAÇÃO!A:D,2,0),IF(B213="Composição",VLOOKUP(C213,COMPOSIÇÃO!A:D,2,0))))))</f>
        <v>Cobertura  Com Telhas De Perfil Trapezoidal Tipo K-49, Kalheta Ou Similar</v>
      </c>
      <c r="E213" s="837"/>
      <c r="F213" s="837"/>
      <c r="G213" s="838"/>
      <c r="H213" s="943"/>
      <c r="I213" s="943"/>
      <c r="J213" s="944"/>
      <c r="K213" s="839" t="s">
        <v>27</v>
      </c>
      <c r="L213" s="839" t="s">
        <v>21</v>
      </c>
      <c r="M213" s="840">
        <f>SUM(M212:M212)</f>
        <v>58.800000000000004</v>
      </c>
      <c r="N213" s="700"/>
      <c r="O213" s="863"/>
      <c r="P213" s="871"/>
      <c r="Q213" s="863"/>
      <c r="R213" s="863"/>
    </row>
    <row r="214" spans="1:18" s="824" customFormat="1">
      <c r="A214" s="921"/>
      <c r="B214" s="835"/>
      <c r="C214" s="862"/>
      <c r="D214" s="826"/>
      <c r="E214" s="790"/>
      <c r="F214" s="790"/>
      <c r="G214" s="828"/>
      <c r="H214" s="828"/>
      <c r="I214" s="828"/>
      <c r="J214" s="828"/>
      <c r="K214" s="828"/>
      <c r="L214" s="828"/>
      <c r="M214" s="829"/>
      <c r="N214" s="700"/>
      <c r="O214" s="863"/>
      <c r="P214" s="871"/>
      <c r="Q214" s="863"/>
      <c r="R214" s="863"/>
    </row>
    <row r="215" spans="1:18" s="824" customFormat="1" ht="6" customHeight="1" thickBot="1">
      <c r="A215" s="905"/>
      <c r="B215" s="906"/>
      <c r="C215" s="905"/>
      <c r="D215" s="826"/>
      <c r="E215" s="790"/>
      <c r="F215" s="790"/>
      <c r="G215" s="700"/>
      <c r="H215" s="700"/>
      <c r="I215" s="700"/>
      <c r="J215" s="907"/>
      <c r="K215" s="700"/>
      <c r="L215" s="700"/>
      <c r="M215" s="827"/>
      <c r="N215" s="700"/>
      <c r="O215" s="863"/>
      <c r="P215" s="871"/>
      <c r="Q215" s="863"/>
      <c r="R215" s="863"/>
    </row>
    <row r="216" spans="1:18" ht="14.25" thickTop="1" thickBot="1">
      <c r="A216" s="912"/>
      <c r="B216" s="855"/>
      <c r="D216" s="830" t="s">
        <v>24</v>
      </c>
      <c r="E216" s="831"/>
      <c r="F216" s="831"/>
      <c r="G216" s="831"/>
      <c r="H216" s="831"/>
      <c r="I216" s="831"/>
      <c r="J216" s="831"/>
      <c r="K216" s="831"/>
      <c r="L216" s="832" t="s">
        <v>25</v>
      </c>
      <c r="M216" s="833" t="s">
        <v>27</v>
      </c>
    </row>
    <row r="217" spans="1:18" s="779" customFormat="1" ht="13.5" thickTop="1">
      <c r="A217" s="921"/>
      <c r="B217" s="835"/>
      <c r="C217" s="862"/>
      <c r="D217" s="826"/>
      <c r="E217" s="790"/>
      <c r="F217" s="790"/>
      <c r="G217" s="700" t="s">
        <v>30</v>
      </c>
      <c r="H217" s="700" t="s">
        <v>30</v>
      </c>
      <c r="I217" s="700" t="s">
        <v>30</v>
      </c>
      <c r="J217" s="700" t="s">
        <v>30</v>
      </c>
      <c r="K217" s="700" t="s">
        <v>30</v>
      </c>
      <c r="L217" s="700"/>
      <c r="M217" s="827"/>
      <c r="N217" s="780"/>
      <c r="O217" s="777"/>
      <c r="P217" s="805"/>
      <c r="Q217" s="777"/>
      <c r="R217" s="777"/>
    </row>
    <row r="218" spans="1:18" s="779" customFormat="1">
      <c r="A218" s="921" t="s">
        <v>12358</v>
      </c>
      <c r="B218" s="835" t="s">
        <v>11720</v>
      </c>
      <c r="C218" s="862" t="s">
        <v>12355</v>
      </c>
      <c r="D218" s="956" t="str">
        <f>PROPER(IF(B218="Saneago",VLOOKUP(C218,'SANEAGO-FEV.2016'!A:B,2,0),IF(B218="Sinapi",VLOOKUP(C218,'SINAPI-FEV.2017'!A:D,2,0),IF(B218="Cotação",VLOOKUP(C218,COTAÇÃO!A:D,2,0),IF(B218="Composição",VLOOKUP(C218,COMPOSIÇÃO!A:D,2,0))))))</f>
        <v>Montagem De Material Hidráulico Do Biogas</v>
      </c>
      <c r="E218" s="837"/>
      <c r="F218" s="837"/>
      <c r="G218" s="838"/>
      <c r="H218" s="838"/>
      <c r="I218" s="851"/>
      <c r="J218" s="838"/>
      <c r="K218" s="838"/>
      <c r="L218" s="852" t="s">
        <v>1274</v>
      </c>
      <c r="M218" s="853">
        <v>1</v>
      </c>
      <c r="N218" s="780"/>
      <c r="O218" s="777"/>
      <c r="P218" s="805"/>
      <c r="Q218" s="777"/>
      <c r="R218" s="777"/>
    </row>
    <row r="219" spans="1:18" s="779" customFormat="1">
      <c r="A219" s="921"/>
      <c r="B219" s="835"/>
      <c r="C219" s="862"/>
      <c r="D219" s="826"/>
      <c r="E219" s="790"/>
      <c r="F219" s="790"/>
      <c r="G219" s="700" t="s">
        <v>30</v>
      </c>
      <c r="H219" s="700" t="s">
        <v>30</v>
      </c>
      <c r="I219" s="700" t="s">
        <v>30</v>
      </c>
      <c r="J219" s="700" t="s">
        <v>30</v>
      </c>
      <c r="K219" s="700" t="s">
        <v>30</v>
      </c>
      <c r="L219" s="700"/>
      <c r="M219" s="827"/>
      <c r="N219" s="780"/>
      <c r="O219" s="777"/>
      <c r="P219" s="805"/>
      <c r="Q219" s="777"/>
      <c r="R219" s="777"/>
    </row>
    <row r="220" spans="1:18" s="779" customFormat="1">
      <c r="A220" s="921" t="s">
        <v>12359</v>
      </c>
      <c r="B220" s="835" t="s">
        <v>11720</v>
      </c>
      <c r="C220" s="862" t="s">
        <v>12356</v>
      </c>
      <c r="D220" s="956" t="str">
        <f>PROPER(IF(B220="Saneago",VLOOKUP(C220,'SANEAGO-FEV.2016'!A:B,2,0),IF(B220="Sinapi",VLOOKUP(C220,'SINAPI-FEV.2017'!A:D,2,0),IF(B220="Cotação",VLOOKUP(C220,COTAÇÃO!A:D,2,0),IF(B220="Composição",VLOOKUP(C220,COMPOSIÇÃO!A:D,2,0))))))</f>
        <v>Montagem De Equipamentos  Do Biogas</v>
      </c>
      <c r="E220" s="837"/>
      <c r="F220" s="837"/>
      <c r="G220" s="838"/>
      <c r="H220" s="851"/>
      <c r="I220" s="838"/>
      <c r="J220" s="838"/>
      <c r="K220" s="838"/>
      <c r="L220" s="852" t="s">
        <v>1274</v>
      </c>
      <c r="M220" s="853">
        <v>1</v>
      </c>
      <c r="N220" s="780"/>
      <c r="O220" s="777"/>
      <c r="P220" s="805"/>
      <c r="Q220" s="777"/>
      <c r="R220" s="777"/>
    </row>
    <row r="221" spans="1:18" s="779" customFormat="1">
      <c r="A221" s="921"/>
      <c r="B221" s="835"/>
      <c r="C221" s="862"/>
      <c r="D221" s="826"/>
      <c r="E221" s="790"/>
      <c r="F221" s="790"/>
      <c r="G221" s="700" t="s">
        <v>30</v>
      </c>
      <c r="H221" s="700" t="s">
        <v>30</v>
      </c>
      <c r="I221" s="700" t="s">
        <v>30</v>
      </c>
      <c r="J221" s="700" t="s">
        <v>30</v>
      </c>
      <c r="K221" s="700" t="s">
        <v>30</v>
      </c>
      <c r="L221" s="700"/>
      <c r="M221" s="827"/>
      <c r="N221" s="780"/>
      <c r="O221" s="777"/>
      <c r="P221" s="805"/>
      <c r="Q221" s="777"/>
      <c r="R221" s="777"/>
    </row>
    <row r="222" spans="1:18" s="779" customFormat="1">
      <c r="A222" s="921" t="s">
        <v>12360</v>
      </c>
      <c r="B222" s="835" t="s">
        <v>11720</v>
      </c>
      <c r="C222" s="862" t="s">
        <v>12357</v>
      </c>
      <c r="D222" s="956" t="str">
        <f>PROPER(IF(B222="Saneago",VLOOKUP(C222,'SANEAGO-FEV.2016'!A:B,2,0),IF(B222="Sinapi",VLOOKUP(C222,'SINAPI-FEV.2017'!A:D,2,0),IF(B222="Cotação",VLOOKUP(C222,COTAÇÃO!A:D,2,0),IF(B222="Composição",VLOOKUP(C222,COMPOSIÇÃO!A:D,2,0))))))</f>
        <v>Montagem De Material Elétrico Do Biogas</v>
      </c>
      <c r="E222" s="837"/>
      <c r="F222" s="837"/>
      <c r="G222" s="838"/>
      <c r="H222" s="851"/>
      <c r="I222" s="838"/>
      <c r="J222" s="838"/>
      <c r="K222" s="838"/>
      <c r="L222" s="852" t="s">
        <v>1274</v>
      </c>
      <c r="M222" s="853">
        <v>1</v>
      </c>
      <c r="N222" s="780"/>
      <c r="O222" s="777"/>
      <c r="P222" s="805"/>
      <c r="Q222" s="777"/>
      <c r="R222" s="777"/>
    </row>
    <row r="223" spans="1:18" s="779" customFormat="1">
      <c r="A223" s="921"/>
      <c r="B223" s="835"/>
      <c r="C223" s="862"/>
      <c r="D223" s="826"/>
      <c r="E223" s="790"/>
      <c r="F223" s="790"/>
      <c r="G223" s="700" t="s">
        <v>30</v>
      </c>
      <c r="H223" s="700" t="s">
        <v>30</v>
      </c>
      <c r="I223" s="700" t="s">
        <v>30</v>
      </c>
      <c r="J223" s="700" t="s">
        <v>30</v>
      </c>
      <c r="K223" s="700" t="s">
        <v>30</v>
      </c>
      <c r="L223" s="700"/>
      <c r="M223" s="827"/>
      <c r="N223" s="780"/>
      <c r="O223" s="777"/>
      <c r="P223" s="805"/>
      <c r="Q223" s="777"/>
      <c r="R223" s="777"/>
    </row>
    <row r="224" spans="1:18" s="779" customFormat="1">
      <c r="A224" s="921" t="s">
        <v>14341</v>
      </c>
      <c r="B224" s="850" t="s">
        <v>70</v>
      </c>
      <c r="C224" s="967">
        <v>9537</v>
      </c>
      <c r="D224" s="957" t="str">
        <f>PROPER(IF(B224="Saneago",VLOOKUP(C224,'SANEAGO-FEV.2016'!A:B,2,0),IF(B224="Sinapi",VLOOKUP(C224,'SINAPI-FEV.2017'!A:D,2,0),IF(B224="Cotação",VLOOKUP(C224,COTAÇÃO!A:D,2,0),IF(B224="Composição",VLOOKUP(C224,COMPOSIÇÃO!A:D,2,0))))))</f>
        <v>Limpeza Final Da Obra</v>
      </c>
      <c r="E224" s="947"/>
      <c r="F224" s="947"/>
      <c r="G224" s="948"/>
      <c r="H224" s="958"/>
      <c r="I224" s="948"/>
      <c r="J224" s="948"/>
      <c r="K224" s="948"/>
      <c r="L224" s="842" t="s">
        <v>21</v>
      </c>
      <c r="M224" s="949">
        <f>M35</f>
        <v>342.75740000000002</v>
      </c>
      <c r="N224" s="780"/>
      <c r="O224" s="777"/>
      <c r="P224" s="805"/>
      <c r="Q224" s="777"/>
      <c r="R224" s="777"/>
    </row>
  </sheetData>
  <sheetProtection algorithmName="SHA-512" hashValue="9hh4TINJIgjurhjmw6xB4uut6000JlGbe+LM0gqxeWP5D3GCPwtQISy2Lo3g0+GCFfNPcRZBZHCzHmOn/dbDgQ==" saltValue="+b5lP1rvz9ZfW3evKyUX6A==" spinCount="100000" sheet="1"/>
  <mergeCells count="53">
    <mergeCell ref="G193:H193"/>
    <mergeCell ref="G194:H194"/>
    <mergeCell ref="E153:G153"/>
    <mergeCell ref="E155:G155"/>
    <mergeCell ref="E154:G154"/>
    <mergeCell ref="D1:M4"/>
    <mergeCell ref="D10:M10"/>
    <mergeCell ref="D12:M12"/>
    <mergeCell ref="J117:K117"/>
    <mergeCell ref="H29:I29"/>
    <mergeCell ref="H31:I31"/>
    <mergeCell ref="H30:I30"/>
    <mergeCell ref="H32:I32"/>
    <mergeCell ref="D54:E54"/>
    <mergeCell ref="H37:I37"/>
    <mergeCell ref="G103:H103"/>
    <mergeCell ref="G102:H102"/>
    <mergeCell ref="G108:H108"/>
    <mergeCell ref="E115:H115"/>
    <mergeCell ref="G212:H212"/>
    <mergeCell ref="D58:E58"/>
    <mergeCell ref="D56:E56"/>
    <mergeCell ref="D52:E52"/>
    <mergeCell ref="I58:K58"/>
    <mergeCell ref="I66:K66"/>
    <mergeCell ref="G100:H100"/>
    <mergeCell ref="G101:H101"/>
    <mergeCell ref="G112:H112"/>
    <mergeCell ref="G113:H113"/>
    <mergeCell ref="E134:F134"/>
    <mergeCell ref="E135:F135"/>
    <mergeCell ref="G141:H141"/>
    <mergeCell ref="E133:F133"/>
    <mergeCell ref="G207:H207"/>
    <mergeCell ref="G204:H204"/>
    <mergeCell ref="H33:I33"/>
    <mergeCell ref="D57:E57"/>
    <mergeCell ref="E104:H104"/>
    <mergeCell ref="H38:I38"/>
    <mergeCell ref="H39:I39"/>
    <mergeCell ref="H40:I40"/>
    <mergeCell ref="D53:E53"/>
    <mergeCell ref="G98:H98"/>
    <mergeCell ref="G99:H99"/>
    <mergeCell ref="D55:E55"/>
    <mergeCell ref="G142:H142"/>
    <mergeCell ref="G109:H109"/>
    <mergeCell ref="G110:H110"/>
    <mergeCell ref="G111:H111"/>
    <mergeCell ref="H41:I41"/>
    <mergeCell ref="G138:H138"/>
    <mergeCell ref="G139:H139"/>
    <mergeCell ref="G140:H140"/>
  </mergeCells>
  <conditionalFormatting sqref="D12">
    <cfRule type="cellIs" dxfId="1040" priority="268" operator="equal">
      <formula>0</formula>
    </cfRule>
  </conditionalFormatting>
  <conditionalFormatting sqref="K5:M9 K25:M25 L13 K11:M11 L196 K225:M65536 L39:M40 L35 L214:M214 L161:M166">
    <cfRule type="cellIs" dxfId="1039" priority="267" operator="equal">
      <formula>0</formula>
    </cfRule>
  </conditionalFormatting>
  <conditionalFormatting sqref="L15:M24">
    <cfRule type="cellIs" dxfId="1038" priority="266" operator="equal">
      <formula>0</formula>
    </cfRule>
  </conditionalFormatting>
  <conditionalFormatting sqref="D177">
    <cfRule type="cellIs" dxfId="1037" priority="265" operator="equal">
      <formula>0</formula>
    </cfRule>
  </conditionalFormatting>
  <conditionalFormatting sqref="L14">
    <cfRule type="cellIs" dxfId="1036" priority="264" operator="equal">
      <formula>0</formula>
    </cfRule>
  </conditionalFormatting>
  <conditionalFormatting sqref="D46">
    <cfRule type="cellIs" dxfId="1035" priority="258" operator="equal">
      <formula>0</formula>
    </cfRule>
  </conditionalFormatting>
  <conditionalFormatting sqref="L26:M26">
    <cfRule type="cellIs" dxfId="1034" priority="262" operator="equal">
      <formula>0</formula>
    </cfRule>
  </conditionalFormatting>
  <conditionalFormatting sqref="D10">
    <cfRule type="cellIs" dxfId="1033" priority="261" operator="equal">
      <formula>0</formula>
    </cfRule>
  </conditionalFormatting>
  <conditionalFormatting sqref="L176:M176">
    <cfRule type="cellIs" dxfId="1032" priority="259" operator="equal">
      <formula>0</formula>
    </cfRule>
  </conditionalFormatting>
  <conditionalFormatting sqref="L47:M47 L59:M59">
    <cfRule type="cellIs" dxfId="1031" priority="257" operator="equal">
      <formula>0</formula>
    </cfRule>
  </conditionalFormatting>
  <conditionalFormatting sqref="D45">
    <cfRule type="cellIs" dxfId="1030" priority="260" operator="equal">
      <formula>0</formula>
    </cfRule>
  </conditionalFormatting>
  <conditionalFormatting sqref="L60:M60">
    <cfRule type="cellIs" dxfId="1029" priority="256" operator="equal">
      <formula>0</formula>
    </cfRule>
  </conditionalFormatting>
  <conditionalFormatting sqref="L117:M117 M107 L107:L113">
    <cfRule type="cellIs" dxfId="1028" priority="255" operator="equal">
      <formula>0</formula>
    </cfRule>
  </conditionalFormatting>
  <conditionalFormatting sqref="L111">
    <cfRule type="cellIs" dxfId="1027" priority="254" operator="equal">
      <formula>0</formula>
    </cfRule>
  </conditionalFormatting>
  <conditionalFormatting sqref="L129">
    <cfRule type="cellIs" dxfId="1026" priority="245" operator="equal">
      <formula>0</formula>
    </cfRule>
  </conditionalFormatting>
  <conditionalFormatting sqref="M129">
    <cfRule type="cellIs" dxfId="1025" priority="243" operator="equal">
      <formula>0</formula>
    </cfRule>
  </conditionalFormatting>
  <conditionalFormatting sqref="L125:M125">
    <cfRule type="cellIs" dxfId="1024" priority="249" operator="equal">
      <formula>0</formula>
    </cfRule>
  </conditionalFormatting>
  <conditionalFormatting sqref="L124:M124">
    <cfRule type="cellIs" dxfId="1023" priority="248" operator="equal">
      <formula>0</formula>
    </cfRule>
  </conditionalFormatting>
  <conditionalFormatting sqref="L127:M127">
    <cfRule type="cellIs" dxfId="1022" priority="247" operator="equal">
      <formula>0</formula>
    </cfRule>
  </conditionalFormatting>
  <conditionalFormatting sqref="L120:M120">
    <cfRule type="cellIs" dxfId="1021" priority="252" operator="equal">
      <formula>0</formula>
    </cfRule>
  </conditionalFormatting>
  <conditionalFormatting sqref="L121:M121">
    <cfRule type="cellIs" dxfId="1020" priority="253" operator="equal">
      <formula>0</formula>
    </cfRule>
  </conditionalFormatting>
  <conditionalFormatting sqref="L126:M126">
    <cfRule type="cellIs" dxfId="1019" priority="246" operator="equal">
      <formula>0</formula>
    </cfRule>
  </conditionalFormatting>
  <conditionalFormatting sqref="L122:M122">
    <cfRule type="cellIs" dxfId="1018" priority="251" operator="equal">
      <formula>0</formula>
    </cfRule>
  </conditionalFormatting>
  <conditionalFormatting sqref="D123">
    <cfRule type="cellIs" dxfId="1017" priority="250" operator="equal">
      <formula>0</formula>
    </cfRule>
  </conditionalFormatting>
  <conditionalFormatting sqref="L128:M128">
    <cfRule type="cellIs" dxfId="1016" priority="244" operator="equal">
      <formula>0</formula>
    </cfRule>
  </conditionalFormatting>
  <conditionalFormatting sqref="L197:M197">
    <cfRule type="cellIs" dxfId="1015" priority="237" operator="equal">
      <formula>0</formula>
    </cfRule>
  </conditionalFormatting>
  <conditionalFormatting sqref="L209:M209">
    <cfRule type="cellIs" dxfId="1014" priority="234" operator="equal">
      <formula>0</formula>
    </cfRule>
  </conditionalFormatting>
  <conditionalFormatting sqref="D191">
    <cfRule type="cellIs" dxfId="1013" priority="238" operator="equal">
      <formula>0</formula>
    </cfRule>
  </conditionalFormatting>
  <conditionalFormatting sqref="D131">
    <cfRule type="cellIs" dxfId="1012" priority="233" operator="equal">
      <formula>0</formula>
    </cfRule>
  </conditionalFormatting>
  <conditionalFormatting sqref="D198">
    <cfRule type="cellIs" dxfId="1011" priority="235" operator="equal">
      <formula>0</formula>
    </cfRule>
  </conditionalFormatting>
  <conditionalFormatting sqref="L192:M192">
    <cfRule type="cellIs" dxfId="1010" priority="232" operator="equal">
      <formula>0</formula>
    </cfRule>
  </conditionalFormatting>
  <conditionalFormatting sqref="L130:M130">
    <cfRule type="cellIs" dxfId="1009" priority="228" operator="equal">
      <formula>0</formula>
    </cfRule>
  </conditionalFormatting>
  <conditionalFormatting sqref="L201:M201">
    <cfRule type="cellIs" dxfId="1008" priority="219" operator="equal">
      <formula>0</formula>
    </cfRule>
  </conditionalFormatting>
  <conditionalFormatting sqref="D210">
    <cfRule type="cellIs" dxfId="1007" priority="227" operator="equal">
      <formula>0</formula>
    </cfRule>
  </conditionalFormatting>
  <conditionalFormatting sqref="L215:M215">
    <cfRule type="cellIs" dxfId="1006" priority="222" operator="equal">
      <formula>0</formula>
    </cfRule>
  </conditionalFormatting>
  <conditionalFormatting sqref="D202">
    <cfRule type="cellIs" dxfId="1005" priority="218" operator="equal">
      <formula>0</formula>
    </cfRule>
  </conditionalFormatting>
  <conditionalFormatting sqref="L67:M67 L52:M58">
    <cfRule type="cellIs" dxfId="1004" priority="198" operator="equal">
      <formula>0</formula>
    </cfRule>
  </conditionalFormatting>
  <conditionalFormatting sqref="L44:M44">
    <cfRule type="cellIs" dxfId="1003" priority="199" operator="equal">
      <formula>0</formula>
    </cfRule>
  </conditionalFormatting>
  <conditionalFormatting sqref="L69:M69">
    <cfRule type="cellIs" dxfId="1002" priority="197" operator="equal">
      <formula>0</formula>
    </cfRule>
  </conditionalFormatting>
  <conditionalFormatting sqref="L49:M49">
    <cfRule type="cellIs" dxfId="1001" priority="195" operator="equal">
      <formula>0</formula>
    </cfRule>
  </conditionalFormatting>
  <conditionalFormatting sqref="D27">
    <cfRule type="cellIs" dxfId="1000" priority="207" operator="equal">
      <formula>0</formula>
    </cfRule>
  </conditionalFormatting>
  <conditionalFormatting sqref="L48:M48">
    <cfRule type="cellIs" dxfId="999" priority="196" operator="equal">
      <formula>0</formula>
    </cfRule>
  </conditionalFormatting>
  <conditionalFormatting sqref="L50:M50">
    <cfRule type="cellIs" dxfId="998" priority="194" operator="equal">
      <formula>0</formula>
    </cfRule>
  </conditionalFormatting>
  <conditionalFormatting sqref="L51:M51">
    <cfRule type="cellIs" dxfId="997" priority="193" operator="equal">
      <formula>0</formula>
    </cfRule>
  </conditionalFormatting>
  <conditionalFormatting sqref="L70">
    <cfRule type="cellIs" dxfId="996" priority="191" operator="equal">
      <formula>0</formula>
    </cfRule>
  </conditionalFormatting>
  <conditionalFormatting sqref="L71:M71">
    <cfRule type="cellIs" dxfId="995" priority="190" operator="equal">
      <formula>0</formula>
    </cfRule>
  </conditionalFormatting>
  <conditionalFormatting sqref="L73:M73">
    <cfRule type="cellIs" dxfId="994" priority="187" operator="equal">
      <formula>0</formula>
    </cfRule>
  </conditionalFormatting>
  <conditionalFormatting sqref="L72:M72">
    <cfRule type="cellIs" dxfId="993" priority="189" operator="equal">
      <formula>0</formula>
    </cfRule>
  </conditionalFormatting>
  <conditionalFormatting sqref="M70">
    <cfRule type="cellIs" dxfId="992" priority="188" operator="equal">
      <formula>0</formula>
    </cfRule>
  </conditionalFormatting>
  <conditionalFormatting sqref="M74">
    <cfRule type="cellIs" dxfId="991" priority="186" operator="equal">
      <formula>0</formula>
    </cfRule>
  </conditionalFormatting>
  <conditionalFormatting sqref="L75">
    <cfRule type="cellIs" dxfId="990" priority="185" operator="equal">
      <formula>0</formula>
    </cfRule>
  </conditionalFormatting>
  <conditionalFormatting sqref="L77">
    <cfRule type="cellIs" dxfId="989" priority="184" operator="equal">
      <formula>0</formula>
    </cfRule>
  </conditionalFormatting>
  <conditionalFormatting sqref="L79">
    <cfRule type="cellIs" dxfId="988" priority="183" operator="equal">
      <formula>0</formula>
    </cfRule>
  </conditionalFormatting>
  <conditionalFormatting sqref="L81">
    <cfRule type="cellIs" dxfId="987" priority="182" operator="equal">
      <formula>0</formula>
    </cfRule>
  </conditionalFormatting>
  <conditionalFormatting sqref="L76">
    <cfRule type="cellIs" dxfId="986" priority="180" operator="equal">
      <formula>0</formula>
    </cfRule>
  </conditionalFormatting>
  <conditionalFormatting sqref="L74">
    <cfRule type="cellIs" dxfId="985" priority="181" operator="equal">
      <formula>0</formula>
    </cfRule>
  </conditionalFormatting>
  <conditionalFormatting sqref="L78">
    <cfRule type="cellIs" dxfId="984" priority="179" operator="equal">
      <formula>0</formula>
    </cfRule>
  </conditionalFormatting>
  <conditionalFormatting sqref="L80">
    <cfRule type="cellIs" dxfId="983" priority="178" operator="equal">
      <formula>0</formula>
    </cfRule>
  </conditionalFormatting>
  <conditionalFormatting sqref="L82">
    <cfRule type="cellIs" dxfId="982" priority="177" operator="equal">
      <formula>0</formula>
    </cfRule>
  </conditionalFormatting>
  <conditionalFormatting sqref="L63:M63">
    <cfRule type="cellIs" dxfId="981" priority="176" operator="equal">
      <formula>0</formula>
    </cfRule>
  </conditionalFormatting>
  <conditionalFormatting sqref="L64:M65">
    <cfRule type="cellIs" dxfId="980" priority="175" operator="equal">
      <formula>0</formula>
    </cfRule>
  </conditionalFormatting>
  <conditionalFormatting sqref="L96:M97 L98:L101">
    <cfRule type="cellIs" dxfId="979" priority="172" operator="equal">
      <formula>0</formula>
    </cfRule>
  </conditionalFormatting>
  <conditionalFormatting sqref="L95:M95">
    <cfRule type="cellIs" dxfId="978" priority="171" operator="equal">
      <formula>0</formula>
    </cfRule>
  </conditionalFormatting>
  <conditionalFormatting sqref="L106:M108 L109:L110 M109:M113">
    <cfRule type="cellIs" dxfId="977" priority="169" operator="equal">
      <formula>0</formula>
    </cfRule>
  </conditionalFormatting>
  <conditionalFormatting sqref="L118:M118">
    <cfRule type="cellIs" dxfId="976" priority="168" operator="equal">
      <formula>0</formula>
    </cfRule>
  </conditionalFormatting>
  <conditionalFormatting sqref="L119:M119">
    <cfRule type="cellIs" dxfId="975" priority="167" operator="equal">
      <formula>0</formula>
    </cfRule>
  </conditionalFormatting>
  <conditionalFormatting sqref="G118:K118">
    <cfRule type="cellIs" dxfId="974" priority="166" operator="equal">
      <formula>0</formula>
    </cfRule>
  </conditionalFormatting>
  <conditionalFormatting sqref="G119:K119">
    <cfRule type="cellIs" dxfId="973" priority="165" operator="equal">
      <formula>0</formula>
    </cfRule>
  </conditionalFormatting>
  <conditionalFormatting sqref="M196">
    <cfRule type="cellIs" dxfId="972" priority="164" operator="equal">
      <formula>0</formula>
    </cfRule>
  </conditionalFormatting>
  <conditionalFormatting sqref="L200:M200">
    <cfRule type="cellIs" dxfId="971" priority="156" operator="equal">
      <formula>0</formula>
    </cfRule>
  </conditionalFormatting>
  <conditionalFormatting sqref="L89">
    <cfRule type="cellIs" dxfId="970" priority="141" operator="equal">
      <formula>0</formula>
    </cfRule>
  </conditionalFormatting>
  <conditionalFormatting sqref="M13:M14">
    <cfRule type="cellIs" dxfId="969" priority="153" operator="equal">
      <formula>0</formula>
    </cfRule>
  </conditionalFormatting>
  <conditionalFormatting sqref="D216">
    <cfRule type="cellIs" dxfId="968" priority="152" operator="equal">
      <formula>0</formula>
    </cfRule>
  </conditionalFormatting>
  <conditionalFormatting sqref="L61:M61">
    <cfRule type="cellIs" dxfId="967" priority="149" operator="equal">
      <formula>0</formula>
    </cfRule>
  </conditionalFormatting>
  <conditionalFormatting sqref="L62:M62">
    <cfRule type="cellIs" dxfId="966" priority="148" operator="equal">
      <formula>0</formula>
    </cfRule>
  </conditionalFormatting>
  <conditionalFormatting sqref="L83">
    <cfRule type="cellIs" dxfId="965" priority="145" operator="equal">
      <formula>0</formula>
    </cfRule>
  </conditionalFormatting>
  <conditionalFormatting sqref="L85">
    <cfRule type="cellIs" dxfId="964" priority="143" operator="equal">
      <formula>0</formula>
    </cfRule>
  </conditionalFormatting>
  <conditionalFormatting sqref="L84">
    <cfRule type="cellIs" dxfId="963" priority="144" operator="equal">
      <formula>0</formula>
    </cfRule>
  </conditionalFormatting>
  <conditionalFormatting sqref="L87">
    <cfRule type="cellIs" dxfId="962" priority="142" operator="equal">
      <formula>0</formula>
    </cfRule>
  </conditionalFormatting>
  <conditionalFormatting sqref="L92">
    <cfRule type="cellIs" dxfId="961" priority="135" operator="equal">
      <formula>0</formula>
    </cfRule>
  </conditionalFormatting>
  <conditionalFormatting sqref="L86">
    <cfRule type="cellIs" dxfId="960" priority="138" operator="equal">
      <formula>0</formula>
    </cfRule>
  </conditionalFormatting>
  <conditionalFormatting sqref="L88">
    <cfRule type="cellIs" dxfId="959" priority="137" operator="equal">
      <formula>0</formula>
    </cfRule>
  </conditionalFormatting>
  <conditionalFormatting sqref="L91">
    <cfRule type="cellIs" dxfId="958" priority="140" operator="equal">
      <formula>0</formula>
    </cfRule>
  </conditionalFormatting>
  <conditionalFormatting sqref="L93">
    <cfRule type="cellIs" dxfId="957" priority="139" operator="equal">
      <formula>0</formula>
    </cfRule>
  </conditionalFormatting>
  <conditionalFormatting sqref="M77">
    <cfRule type="cellIs" dxfId="956" priority="131" operator="equal">
      <formula>0</formula>
    </cfRule>
  </conditionalFormatting>
  <conditionalFormatting sqref="L90">
    <cfRule type="cellIs" dxfId="955" priority="136" operator="equal">
      <formula>0</formula>
    </cfRule>
  </conditionalFormatting>
  <conditionalFormatting sqref="L94">
    <cfRule type="cellIs" dxfId="954" priority="134" operator="equal">
      <formula>0</formula>
    </cfRule>
  </conditionalFormatting>
  <conditionalFormatting sqref="M94">
    <cfRule type="cellIs" dxfId="953" priority="114" operator="equal">
      <formula>0</formula>
    </cfRule>
  </conditionalFormatting>
  <conditionalFormatting sqref="M75">
    <cfRule type="cellIs" dxfId="952" priority="133" operator="equal">
      <formula>0</formula>
    </cfRule>
  </conditionalFormatting>
  <conditionalFormatting sqref="M76">
    <cfRule type="cellIs" dxfId="951" priority="132" operator="equal">
      <formula>0</formula>
    </cfRule>
  </conditionalFormatting>
  <conditionalFormatting sqref="M78">
    <cfRule type="cellIs" dxfId="950" priority="130" operator="equal">
      <formula>0</formula>
    </cfRule>
  </conditionalFormatting>
  <conditionalFormatting sqref="M80">
    <cfRule type="cellIs" dxfId="949" priority="128" operator="equal">
      <formula>0</formula>
    </cfRule>
  </conditionalFormatting>
  <conditionalFormatting sqref="M79">
    <cfRule type="cellIs" dxfId="948" priority="129" operator="equal">
      <formula>0</formula>
    </cfRule>
  </conditionalFormatting>
  <conditionalFormatting sqref="M84">
    <cfRule type="cellIs" dxfId="947" priority="124" operator="equal">
      <formula>0</formula>
    </cfRule>
  </conditionalFormatting>
  <conditionalFormatting sqref="M81">
    <cfRule type="cellIs" dxfId="946" priority="127" operator="equal">
      <formula>0</formula>
    </cfRule>
  </conditionalFormatting>
  <conditionalFormatting sqref="M82">
    <cfRule type="cellIs" dxfId="945" priority="126" operator="equal">
      <formula>0</formula>
    </cfRule>
  </conditionalFormatting>
  <conditionalFormatting sqref="M83">
    <cfRule type="cellIs" dxfId="944" priority="125" operator="equal">
      <formula>0</formula>
    </cfRule>
  </conditionalFormatting>
  <conditionalFormatting sqref="M89">
    <cfRule type="cellIs" dxfId="943" priority="119" operator="equal">
      <formula>0</formula>
    </cfRule>
  </conditionalFormatting>
  <conditionalFormatting sqref="M85">
    <cfRule type="cellIs" dxfId="942" priority="123" operator="equal">
      <formula>0</formula>
    </cfRule>
  </conditionalFormatting>
  <conditionalFormatting sqref="M86">
    <cfRule type="cellIs" dxfId="941" priority="122" operator="equal">
      <formula>0</formula>
    </cfRule>
  </conditionalFormatting>
  <conditionalFormatting sqref="M87">
    <cfRule type="cellIs" dxfId="940" priority="121" operator="equal">
      <formula>0</formula>
    </cfRule>
  </conditionalFormatting>
  <conditionalFormatting sqref="M88">
    <cfRule type="cellIs" dxfId="939" priority="120" operator="equal">
      <formula>0</formula>
    </cfRule>
  </conditionalFormatting>
  <conditionalFormatting sqref="M91">
    <cfRule type="cellIs" dxfId="938" priority="117" operator="equal">
      <formula>0</formula>
    </cfRule>
  </conditionalFormatting>
  <conditionalFormatting sqref="M90">
    <cfRule type="cellIs" dxfId="937" priority="118" operator="equal">
      <formula>0</formula>
    </cfRule>
  </conditionalFormatting>
  <conditionalFormatting sqref="M92">
    <cfRule type="cellIs" dxfId="936" priority="116" operator="equal">
      <formula>0</formula>
    </cfRule>
  </conditionalFormatting>
  <conditionalFormatting sqref="M93">
    <cfRule type="cellIs" dxfId="935" priority="115" operator="equal">
      <formula>0</formula>
    </cfRule>
  </conditionalFormatting>
  <conditionalFormatting sqref="L179">
    <cfRule type="cellIs" dxfId="934" priority="89" operator="equal">
      <formula>0</formula>
    </cfRule>
  </conditionalFormatting>
  <conditionalFormatting sqref="M179">
    <cfRule type="cellIs" dxfId="933" priority="88" operator="equal">
      <formula>0</formula>
    </cfRule>
  </conditionalFormatting>
  <conditionalFormatting sqref="L193:M193 M194:M195">
    <cfRule type="cellIs" dxfId="932" priority="87" operator="equal">
      <formula>0</formula>
    </cfRule>
  </conditionalFormatting>
  <conditionalFormatting sqref="L194:L195">
    <cfRule type="cellIs" dxfId="931" priority="86" operator="equal">
      <formula>0</formula>
    </cfRule>
  </conditionalFormatting>
  <conditionalFormatting sqref="L37:M37">
    <cfRule type="cellIs" dxfId="930" priority="68" operator="equal">
      <formula>0</formula>
    </cfRule>
  </conditionalFormatting>
  <conditionalFormatting sqref="M43">
    <cfRule type="cellIs" dxfId="929" priority="66" operator="equal">
      <formula>0</formula>
    </cfRule>
  </conditionalFormatting>
  <conditionalFormatting sqref="M68">
    <cfRule type="cellIs" dxfId="928" priority="64" operator="equal">
      <formula>0</formula>
    </cfRule>
  </conditionalFormatting>
  <conditionalFormatting sqref="L43">
    <cfRule type="cellIs" dxfId="927" priority="70" operator="equal">
      <formula>0</formula>
    </cfRule>
  </conditionalFormatting>
  <conditionalFormatting sqref="L38:M38">
    <cfRule type="cellIs" dxfId="926" priority="69" operator="equal">
      <formula>0</formula>
    </cfRule>
  </conditionalFormatting>
  <conditionalFormatting sqref="L68">
    <cfRule type="cellIs" dxfId="925" priority="65" operator="equal">
      <formula>0</formula>
    </cfRule>
  </conditionalFormatting>
  <conditionalFormatting sqref="L105:M105 L103">
    <cfRule type="cellIs" dxfId="924" priority="62" operator="equal">
      <formula>0</formula>
    </cfRule>
  </conditionalFormatting>
  <conditionalFormatting sqref="L66:M66">
    <cfRule type="cellIs" dxfId="923" priority="63" operator="equal">
      <formula>0</formula>
    </cfRule>
  </conditionalFormatting>
  <conditionalFormatting sqref="L102 M103">
    <cfRule type="cellIs" dxfId="922" priority="61" operator="equal">
      <formula>0</formula>
    </cfRule>
  </conditionalFormatting>
  <conditionalFormatting sqref="M98:M102">
    <cfRule type="cellIs" dxfId="921" priority="60" operator="equal">
      <formula>0</formula>
    </cfRule>
  </conditionalFormatting>
  <conditionalFormatting sqref="L114 L116">
    <cfRule type="cellIs" dxfId="920" priority="59" operator="equal">
      <formula>0</formula>
    </cfRule>
  </conditionalFormatting>
  <conditionalFormatting sqref="M114 M116">
    <cfRule type="cellIs" dxfId="919" priority="58" operator="equal">
      <formula>0</formula>
    </cfRule>
  </conditionalFormatting>
  <conditionalFormatting sqref="L167:M167">
    <cfRule type="cellIs" dxfId="918" priority="55" operator="equal">
      <formula>0</formula>
    </cfRule>
  </conditionalFormatting>
  <conditionalFormatting sqref="L143:M143">
    <cfRule type="cellIs" dxfId="917" priority="54" operator="equal">
      <formula>0</formula>
    </cfRule>
  </conditionalFormatting>
  <conditionalFormatting sqref="L145:M145">
    <cfRule type="cellIs" dxfId="916" priority="57" operator="equal">
      <formula>0</formula>
    </cfRule>
  </conditionalFormatting>
  <conditionalFormatting sqref="L147:M147">
    <cfRule type="cellIs" dxfId="915" priority="56" operator="equal">
      <formula>0</formula>
    </cfRule>
  </conditionalFormatting>
  <conditionalFormatting sqref="L151:M151 L155:M155">
    <cfRule type="cellIs" dxfId="914" priority="53" operator="equal">
      <formula>0</formula>
    </cfRule>
  </conditionalFormatting>
  <conditionalFormatting sqref="L136:M136">
    <cfRule type="cellIs" dxfId="913" priority="52" operator="equal">
      <formula>0</formula>
    </cfRule>
  </conditionalFormatting>
  <conditionalFormatting sqref="L203:M205">
    <cfRule type="cellIs" dxfId="912" priority="51" operator="equal">
      <formula>0</formula>
    </cfRule>
  </conditionalFormatting>
  <conditionalFormatting sqref="L181">
    <cfRule type="cellIs" dxfId="911" priority="50" operator="equal">
      <formula>0</formula>
    </cfRule>
  </conditionalFormatting>
  <conditionalFormatting sqref="M181">
    <cfRule type="cellIs" dxfId="910" priority="49" operator="equal">
      <formula>0</formula>
    </cfRule>
  </conditionalFormatting>
  <conditionalFormatting sqref="L183">
    <cfRule type="cellIs" dxfId="909" priority="48" operator="equal">
      <formula>0</formula>
    </cfRule>
  </conditionalFormatting>
  <conditionalFormatting sqref="M183">
    <cfRule type="cellIs" dxfId="908" priority="47" operator="equal">
      <formula>0</formula>
    </cfRule>
  </conditionalFormatting>
  <conditionalFormatting sqref="L185">
    <cfRule type="cellIs" dxfId="907" priority="46" operator="equal">
      <formula>0</formula>
    </cfRule>
  </conditionalFormatting>
  <conditionalFormatting sqref="M185">
    <cfRule type="cellIs" dxfId="906" priority="45" operator="equal">
      <formula>0</formula>
    </cfRule>
  </conditionalFormatting>
  <conditionalFormatting sqref="L187">
    <cfRule type="cellIs" dxfId="905" priority="44" operator="equal">
      <formula>0</formula>
    </cfRule>
  </conditionalFormatting>
  <conditionalFormatting sqref="M187">
    <cfRule type="cellIs" dxfId="904" priority="43" operator="equal">
      <formula>0</formula>
    </cfRule>
  </conditionalFormatting>
  <conditionalFormatting sqref="L157:M157">
    <cfRule type="cellIs" dxfId="903" priority="42" operator="equal">
      <formula>0</formula>
    </cfRule>
  </conditionalFormatting>
  <conditionalFormatting sqref="L189:L190">
    <cfRule type="cellIs" dxfId="902" priority="41" operator="equal">
      <formula>0</formula>
    </cfRule>
  </conditionalFormatting>
  <conditionalFormatting sqref="M189:M190">
    <cfRule type="cellIs" dxfId="901" priority="40" operator="equal">
      <formula>0</formula>
    </cfRule>
  </conditionalFormatting>
  <conditionalFormatting sqref="L206:M207">
    <cfRule type="cellIs" dxfId="900" priority="39" operator="equal">
      <formula>0</formula>
    </cfRule>
  </conditionalFormatting>
  <conditionalFormatting sqref="L208:M208">
    <cfRule type="cellIs" dxfId="899" priority="38" operator="equal">
      <formula>0</formula>
    </cfRule>
  </conditionalFormatting>
  <conditionalFormatting sqref="L213:M213">
    <cfRule type="cellIs" dxfId="898" priority="37" operator="equal">
      <formula>0</formula>
    </cfRule>
  </conditionalFormatting>
  <conditionalFormatting sqref="L211:M212">
    <cfRule type="cellIs" dxfId="897" priority="36" operator="equal">
      <formula>0</formula>
    </cfRule>
  </conditionalFormatting>
  <conditionalFormatting sqref="L217:M218">
    <cfRule type="cellIs" dxfId="896" priority="31" operator="equal">
      <formula>0</formula>
    </cfRule>
  </conditionalFormatting>
  <conditionalFormatting sqref="L219:M219 M220">
    <cfRule type="cellIs" dxfId="895" priority="30" operator="equal">
      <formula>0</formula>
    </cfRule>
  </conditionalFormatting>
  <conditionalFormatting sqref="L220">
    <cfRule type="cellIs" dxfId="894" priority="28" operator="equal">
      <formula>0</formula>
    </cfRule>
  </conditionalFormatting>
  <conditionalFormatting sqref="M35">
    <cfRule type="cellIs" dxfId="893" priority="25" operator="equal">
      <formula>0</formula>
    </cfRule>
  </conditionalFormatting>
  <conditionalFormatting sqref="L41:M41">
    <cfRule type="cellIs" dxfId="892" priority="26" operator="equal">
      <formula>0</formula>
    </cfRule>
  </conditionalFormatting>
  <conditionalFormatting sqref="L104">
    <cfRule type="cellIs" dxfId="891" priority="24" operator="equal">
      <formula>0</formula>
    </cfRule>
  </conditionalFormatting>
  <conditionalFormatting sqref="M104">
    <cfRule type="cellIs" dxfId="890" priority="23" operator="equal">
      <formula>0</formula>
    </cfRule>
  </conditionalFormatting>
  <conditionalFormatting sqref="L115">
    <cfRule type="cellIs" dxfId="889" priority="22" operator="equal">
      <formula>0</formula>
    </cfRule>
  </conditionalFormatting>
  <conditionalFormatting sqref="M115">
    <cfRule type="cellIs" dxfId="888" priority="21" operator="equal">
      <formula>0</formula>
    </cfRule>
  </conditionalFormatting>
  <conditionalFormatting sqref="L221:M221 L223:M223 M222 M224">
    <cfRule type="cellIs" dxfId="887" priority="18" operator="equal">
      <formula>0</formula>
    </cfRule>
  </conditionalFormatting>
  <conditionalFormatting sqref="L222 L224">
    <cfRule type="cellIs" dxfId="886" priority="17" operator="equal">
      <formula>0</formula>
    </cfRule>
  </conditionalFormatting>
  <conditionalFormatting sqref="L149:M149">
    <cfRule type="cellIs" dxfId="885" priority="16" operator="equal">
      <formula>0</formula>
    </cfRule>
  </conditionalFormatting>
  <conditionalFormatting sqref="L159:M159">
    <cfRule type="cellIs" dxfId="884" priority="15" operator="equal">
      <formula>0</formula>
    </cfRule>
  </conditionalFormatting>
  <conditionalFormatting sqref="L168:M168">
    <cfRule type="cellIs" dxfId="883" priority="14" operator="equal">
      <formula>0</formula>
    </cfRule>
  </conditionalFormatting>
  <conditionalFormatting sqref="M169">
    <cfRule type="cellIs" dxfId="882" priority="13" operator="equal">
      <formula>0</formula>
    </cfRule>
  </conditionalFormatting>
  <conditionalFormatting sqref="L170:M170">
    <cfRule type="cellIs" dxfId="881" priority="12" operator="equal">
      <formula>0</formula>
    </cfRule>
  </conditionalFormatting>
  <conditionalFormatting sqref="M171">
    <cfRule type="cellIs" dxfId="880" priority="11" operator="equal">
      <formula>0</formula>
    </cfRule>
  </conditionalFormatting>
  <conditionalFormatting sqref="L172:M172">
    <cfRule type="cellIs" dxfId="879" priority="10" operator="equal">
      <formula>0</formula>
    </cfRule>
  </conditionalFormatting>
  <conditionalFormatting sqref="M173">
    <cfRule type="cellIs" dxfId="878" priority="9" operator="equal">
      <formula>0</formula>
    </cfRule>
  </conditionalFormatting>
  <conditionalFormatting sqref="L174:M174">
    <cfRule type="cellIs" dxfId="877" priority="8" operator="equal">
      <formula>0</formula>
    </cfRule>
  </conditionalFormatting>
  <conditionalFormatting sqref="L175:M175">
    <cfRule type="cellIs" dxfId="876" priority="7" operator="equal">
      <formula>0</formula>
    </cfRule>
  </conditionalFormatting>
  <conditionalFormatting sqref="L169">
    <cfRule type="cellIs" dxfId="875" priority="3" operator="equal">
      <formula>0</formula>
    </cfRule>
  </conditionalFormatting>
  <conditionalFormatting sqref="L171">
    <cfRule type="cellIs" dxfId="874" priority="2" operator="equal">
      <formula>0</formula>
    </cfRule>
  </conditionalFormatting>
  <conditionalFormatting sqref="L173">
    <cfRule type="cellIs" dxfId="873" priority="1" operator="equal">
      <formula>0</formula>
    </cfRule>
  </conditionalFormatting>
  <pageMargins left="0.51181102362204722" right="0.51181102362204722" top="0.78740157480314965" bottom="0.78740157480314965" header="0.31496062992125984" footer="0.31496062992125984"/>
  <pageSetup paperSize="9" scale="54" fitToHeight="0" orientation="portrait" horizontalDpi="1200" verticalDpi="1200" r:id="rId1"/>
  <rowBreaks count="2" manualBreakCount="2">
    <brk id="106" min="3" max="12" man="1"/>
    <brk id="166" min="3" max="12" man="1"/>
  </rowBreaks>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S267"/>
  <sheetViews>
    <sheetView view="pageBreakPreview" topLeftCell="C1" zoomScale="85" zoomScaleNormal="85" zoomScaleSheetLayoutView="85" workbookViewId="0">
      <selection activeCell="G6" sqref="G6"/>
    </sheetView>
  </sheetViews>
  <sheetFormatPr defaultRowHeight="12.75"/>
  <cols>
    <col min="1" max="1" width="17" style="862" customWidth="1"/>
    <col min="2" max="2" width="9.140625" style="835" customWidth="1"/>
    <col min="3" max="3" width="11.42578125" style="835" customWidth="1"/>
    <col min="4" max="4" width="65.7109375" style="857" customWidth="1"/>
    <col min="5" max="5" width="15.7109375" style="857" customWidth="1"/>
    <col min="6" max="6" width="14.140625" style="858" customWidth="1"/>
    <col min="7" max="8" width="10.85546875" style="857" customWidth="1"/>
    <col min="9" max="9" width="14.85546875" style="857" customWidth="1"/>
    <col min="10" max="10" width="14.140625" style="859" customWidth="1"/>
    <col min="11" max="11" width="12.5703125" style="860" customWidth="1"/>
    <col min="12" max="12" width="12" style="861" customWidth="1"/>
    <col min="13" max="13" width="12.140625" style="861" customWidth="1"/>
    <col min="14" max="14" width="9.42578125" style="700" customWidth="1"/>
    <col min="15" max="15" width="7.5703125" style="863" customWidth="1"/>
    <col min="16" max="16" width="7.5703125" style="871" customWidth="1"/>
    <col min="17" max="17" width="7.5703125" style="863" customWidth="1"/>
    <col min="18" max="18" width="4.7109375" style="863" customWidth="1"/>
    <col min="19" max="16384" width="9.140625" style="865"/>
  </cols>
  <sheetData>
    <row r="1" spans="1:16" ht="18">
      <c r="D1" s="1661" t="s">
        <v>11665</v>
      </c>
      <c r="E1" s="1662"/>
      <c r="F1" s="1662"/>
      <c r="G1" s="1662"/>
      <c r="H1" s="1662"/>
      <c r="I1" s="1662"/>
      <c r="J1" s="1662"/>
      <c r="K1" s="1662"/>
      <c r="L1" s="1662"/>
      <c r="M1" s="1663"/>
      <c r="P1" s="864"/>
    </row>
    <row r="2" spans="1:16" ht="18">
      <c r="D2" s="1664"/>
      <c r="E2" s="1665"/>
      <c r="F2" s="1665"/>
      <c r="G2" s="1665"/>
      <c r="H2" s="1665"/>
      <c r="I2" s="1665"/>
      <c r="J2" s="1665"/>
      <c r="K2" s="1665"/>
      <c r="L2" s="1665"/>
      <c r="M2" s="1666"/>
      <c r="P2" s="864"/>
    </row>
    <row r="3" spans="1:16" ht="18">
      <c r="D3" s="1664"/>
      <c r="E3" s="1665"/>
      <c r="F3" s="1665"/>
      <c r="G3" s="1665"/>
      <c r="H3" s="1665"/>
      <c r="I3" s="1665"/>
      <c r="J3" s="1665"/>
      <c r="K3" s="1665"/>
      <c r="L3" s="1665"/>
      <c r="M3" s="1666"/>
      <c r="P3" s="864"/>
    </row>
    <row r="4" spans="1:16" ht="15.75" customHeight="1" thickBot="1">
      <c r="D4" s="1667"/>
      <c r="E4" s="1668"/>
      <c r="F4" s="1668"/>
      <c r="G4" s="1668"/>
      <c r="H4" s="1668"/>
      <c r="I4" s="1668"/>
      <c r="J4" s="1668"/>
      <c r="K4" s="1668"/>
      <c r="L4" s="1668"/>
      <c r="M4" s="1669"/>
      <c r="P4" s="866"/>
    </row>
    <row r="5" spans="1:16" ht="14.25" customHeight="1">
      <c r="D5" s="782"/>
      <c r="E5" s="700"/>
      <c r="F5" s="783"/>
      <c r="G5" s="783"/>
      <c r="H5" s="783"/>
      <c r="I5" s="783"/>
      <c r="J5" s="784"/>
      <c r="K5" s="785"/>
      <c r="L5" s="786"/>
      <c r="M5" s="787"/>
      <c r="P5" s="867"/>
    </row>
    <row r="6" spans="1:16" ht="14.25" customHeight="1">
      <c r="D6" s="789" t="s">
        <v>14559</v>
      </c>
      <c r="E6" s="790"/>
      <c r="F6" s="790"/>
      <c r="G6" s="790"/>
      <c r="H6" s="790"/>
      <c r="I6" s="790"/>
      <c r="J6" s="790"/>
      <c r="K6" s="791"/>
      <c r="L6" s="792"/>
      <c r="M6" s="793"/>
      <c r="N6" s="868"/>
      <c r="P6" s="866"/>
    </row>
    <row r="7" spans="1:16" ht="14.25" customHeight="1">
      <c r="D7" s="789" t="s">
        <v>11836</v>
      </c>
      <c r="E7" s="790"/>
      <c r="F7" s="790"/>
      <c r="G7" s="790"/>
      <c r="H7" s="790"/>
      <c r="I7" s="790"/>
      <c r="J7" s="790"/>
      <c r="K7" s="791"/>
      <c r="L7" s="795"/>
      <c r="M7" s="796"/>
      <c r="N7" s="869"/>
      <c r="P7" s="866"/>
    </row>
    <row r="8" spans="1:16" s="863" customFormat="1" ht="14.25" customHeight="1">
      <c r="A8" s="862"/>
      <c r="B8" s="835"/>
      <c r="C8" s="835"/>
      <c r="D8" s="789" t="s">
        <v>12684</v>
      </c>
      <c r="E8" s="790"/>
      <c r="F8" s="790"/>
      <c r="G8" s="790"/>
      <c r="H8" s="790"/>
      <c r="I8" s="790"/>
      <c r="J8" s="790"/>
      <c r="K8" s="791"/>
      <c r="L8" s="795"/>
      <c r="M8" s="796"/>
      <c r="N8" s="869"/>
      <c r="P8" s="866"/>
    </row>
    <row r="9" spans="1:16" s="863" customFormat="1" ht="6.75" customHeight="1" thickBot="1">
      <c r="A9" s="862"/>
      <c r="B9" s="835"/>
      <c r="C9" s="835"/>
      <c r="D9" s="798"/>
      <c r="E9" s="799"/>
      <c r="F9" s="799"/>
      <c r="G9" s="800"/>
      <c r="H9" s="800"/>
      <c r="I9" s="800"/>
      <c r="J9" s="800"/>
      <c r="K9" s="801"/>
      <c r="L9" s="802"/>
      <c r="M9" s="803"/>
      <c r="N9" s="869"/>
      <c r="P9" s="866"/>
    </row>
    <row r="10" spans="1:16" s="863" customFormat="1" ht="15.75" customHeight="1" thickTop="1" thickBot="1">
      <c r="A10" s="862"/>
      <c r="B10" s="835"/>
      <c r="C10" s="835"/>
      <c r="D10" s="1653" t="s">
        <v>12406</v>
      </c>
      <c r="E10" s="1654"/>
      <c r="F10" s="1654"/>
      <c r="G10" s="1654"/>
      <c r="H10" s="1654"/>
      <c r="I10" s="1654"/>
      <c r="J10" s="1654"/>
      <c r="K10" s="1654"/>
      <c r="L10" s="1654"/>
      <c r="M10" s="1670"/>
      <c r="N10" s="870"/>
      <c r="O10" s="871"/>
      <c r="P10" s="871"/>
    </row>
    <row r="11" spans="1:16" s="863" customFormat="1" ht="6" customHeight="1" thickTop="1" thickBot="1">
      <c r="A11" s="862"/>
      <c r="B11" s="835"/>
      <c r="C11" s="835"/>
      <c r="D11" s="806"/>
      <c r="E11" s="807"/>
      <c r="F11" s="808"/>
      <c r="G11" s="700"/>
      <c r="H11" s="700"/>
      <c r="I11" s="700"/>
      <c r="J11" s="809"/>
      <c r="K11" s="791"/>
      <c r="L11" s="802"/>
      <c r="M11" s="810"/>
      <c r="N11" s="700"/>
      <c r="P11" s="872"/>
    </row>
    <row r="12" spans="1:16" s="863" customFormat="1" ht="14.25" customHeight="1" thickTop="1" thickBot="1">
      <c r="A12" s="862"/>
      <c r="B12" s="835"/>
      <c r="C12" s="835"/>
      <c r="D12" s="1653" t="s">
        <v>3</v>
      </c>
      <c r="E12" s="1654"/>
      <c r="F12" s="1654"/>
      <c r="G12" s="1654"/>
      <c r="H12" s="1654"/>
      <c r="I12" s="1654"/>
      <c r="J12" s="1654"/>
      <c r="K12" s="1654"/>
      <c r="L12" s="1654"/>
      <c r="M12" s="1670"/>
      <c r="N12" s="816"/>
      <c r="P12" s="873"/>
    </row>
    <row r="13" spans="1:16" s="863" customFormat="1" ht="13.5" thickTop="1">
      <c r="A13" s="862"/>
      <c r="B13" s="835"/>
      <c r="C13" s="835"/>
      <c r="D13" s="814" t="s">
        <v>4</v>
      </c>
      <c r="E13" s="815"/>
      <c r="F13" s="815"/>
      <c r="G13" s="815"/>
      <c r="H13" s="815"/>
      <c r="I13" s="815"/>
      <c r="J13" s="815"/>
      <c r="K13" s="815"/>
      <c r="L13" s="816" t="s">
        <v>5</v>
      </c>
      <c r="M13" s="817">
        <f>'PARAMETROS MC'!C37</f>
        <v>7.5</v>
      </c>
      <c r="N13" s="874"/>
      <c r="O13" s="875"/>
      <c r="P13" s="871"/>
    </row>
    <row r="14" spans="1:16" s="863" customFormat="1">
      <c r="A14" s="862"/>
      <c r="B14" s="835"/>
      <c r="C14" s="835"/>
      <c r="D14" s="820" t="s">
        <v>34</v>
      </c>
      <c r="E14" s="821"/>
      <c r="F14" s="821"/>
      <c r="G14" s="821"/>
      <c r="H14" s="821"/>
      <c r="I14" s="821"/>
      <c r="J14" s="821"/>
      <c r="K14" s="821"/>
      <c r="L14" s="816" t="s">
        <v>5</v>
      </c>
      <c r="M14" s="817">
        <f>'PARAMETROS MC'!C38</f>
        <v>4.5999999999999996</v>
      </c>
      <c r="N14" s="874"/>
      <c r="O14" s="875"/>
      <c r="P14" s="871"/>
    </row>
    <row r="15" spans="1:16" s="863" customFormat="1">
      <c r="A15" s="862"/>
      <c r="B15" s="835"/>
      <c r="C15" s="835"/>
      <c r="D15" s="820" t="s">
        <v>6</v>
      </c>
      <c r="E15" s="821"/>
      <c r="F15" s="821"/>
      <c r="G15" s="821"/>
      <c r="H15" s="821"/>
      <c r="I15" s="821"/>
      <c r="J15" s="821"/>
      <c r="K15" s="821"/>
      <c r="L15" s="816" t="s">
        <v>8</v>
      </c>
      <c r="M15" s="822">
        <v>0.95</v>
      </c>
      <c r="N15" s="874"/>
      <c r="O15" s="875"/>
      <c r="P15" s="871"/>
    </row>
    <row r="16" spans="1:16" s="863" customFormat="1">
      <c r="A16" s="862"/>
      <c r="B16" s="835"/>
      <c r="C16" s="835"/>
      <c r="D16" s="820" t="s">
        <v>7</v>
      </c>
      <c r="E16" s="821"/>
      <c r="F16" s="821"/>
      <c r="G16" s="821"/>
      <c r="H16" s="821"/>
      <c r="I16" s="821"/>
      <c r="J16" s="821"/>
      <c r="K16" s="821"/>
      <c r="L16" s="816" t="s">
        <v>8</v>
      </c>
      <c r="M16" s="822">
        <v>0.05</v>
      </c>
      <c r="N16" s="874"/>
      <c r="O16" s="875"/>
      <c r="P16" s="871"/>
    </row>
    <row r="17" spans="1:19" s="863" customFormat="1">
      <c r="A17" s="862"/>
      <c r="B17" s="835"/>
      <c r="C17" s="835"/>
      <c r="D17" s="820" t="s">
        <v>9</v>
      </c>
      <c r="E17" s="821"/>
      <c r="F17" s="821"/>
      <c r="G17" s="821"/>
      <c r="H17" s="821"/>
      <c r="I17" s="821"/>
      <c r="J17" s="821"/>
      <c r="K17" s="821"/>
      <c r="L17" s="816" t="s">
        <v>8</v>
      </c>
      <c r="M17" s="822">
        <v>0.9</v>
      </c>
      <c r="N17" s="874"/>
      <c r="O17" s="875"/>
      <c r="P17" s="871"/>
    </row>
    <row r="18" spans="1:19" s="863" customFormat="1">
      <c r="A18" s="862"/>
      <c r="B18" s="835"/>
      <c r="C18" s="835"/>
      <c r="D18" s="820" t="s">
        <v>10</v>
      </c>
      <c r="E18" s="821"/>
      <c r="F18" s="821"/>
      <c r="G18" s="821"/>
      <c r="H18" s="821"/>
      <c r="I18" s="821"/>
      <c r="J18" s="821"/>
      <c r="K18" s="821"/>
      <c r="L18" s="816" t="s">
        <v>8</v>
      </c>
      <c r="M18" s="822">
        <v>0.05</v>
      </c>
      <c r="N18" s="874"/>
      <c r="O18" s="875"/>
      <c r="P18" s="871"/>
    </row>
    <row r="19" spans="1:19" s="863" customFormat="1">
      <c r="A19" s="862"/>
      <c r="B19" s="835"/>
      <c r="C19" s="835"/>
      <c r="D19" s="820" t="s">
        <v>11</v>
      </c>
      <c r="E19" s="821"/>
      <c r="F19" s="821"/>
      <c r="G19" s="821"/>
      <c r="H19" s="821"/>
      <c r="I19" s="821"/>
      <c r="J19" s="821"/>
      <c r="K19" s="821"/>
      <c r="L19" s="816" t="s">
        <v>8</v>
      </c>
      <c r="M19" s="822">
        <v>0</v>
      </c>
      <c r="N19" s="874"/>
      <c r="O19" s="875"/>
      <c r="P19" s="871"/>
    </row>
    <row r="20" spans="1:19" s="863" customFormat="1">
      <c r="A20" s="862"/>
      <c r="B20" s="835"/>
      <c r="C20" s="835"/>
      <c r="D20" s="820" t="s">
        <v>12</v>
      </c>
      <c r="E20" s="821"/>
      <c r="F20" s="821"/>
      <c r="G20" s="821"/>
      <c r="H20" s="821"/>
      <c r="I20" s="821"/>
      <c r="J20" s="821"/>
      <c r="K20" s="821"/>
      <c r="L20" s="816" t="s">
        <v>8</v>
      </c>
      <c r="M20" s="822">
        <v>0.05</v>
      </c>
      <c r="N20" s="874"/>
      <c r="O20" s="875"/>
      <c r="P20" s="871"/>
    </row>
    <row r="21" spans="1:19" s="863" customFormat="1">
      <c r="A21" s="862"/>
      <c r="B21" s="835"/>
      <c r="C21" s="835"/>
      <c r="D21" s="820" t="s">
        <v>13</v>
      </c>
      <c r="E21" s="821"/>
      <c r="F21" s="821"/>
      <c r="G21" s="821"/>
      <c r="H21" s="821"/>
      <c r="I21" s="821"/>
      <c r="J21" s="821"/>
      <c r="K21" s="821"/>
      <c r="L21" s="816" t="s">
        <v>8</v>
      </c>
      <c r="M21" s="822">
        <v>0.2</v>
      </c>
      <c r="N21" s="874"/>
      <c r="O21" s="875"/>
      <c r="P21" s="871"/>
    </row>
    <row r="22" spans="1:19" s="863" customFormat="1">
      <c r="A22" s="862"/>
      <c r="B22" s="835"/>
      <c r="C22" s="835"/>
      <c r="D22" s="820" t="s">
        <v>14</v>
      </c>
      <c r="E22" s="821"/>
      <c r="F22" s="821"/>
      <c r="G22" s="821"/>
      <c r="H22" s="821"/>
      <c r="I22" s="821"/>
      <c r="J22" s="821"/>
      <c r="K22" s="821"/>
      <c r="L22" s="816" t="s">
        <v>8</v>
      </c>
      <c r="M22" s="822">
        <v>0.15</v>
      </c>
      <c r="N22" s="874"/>
      <c r="O22" s="875"/>
      <c r="P22" s="871"/>
    </row>
    <row r="23" spans="1:19" s="863" customFormat="1">
      <c r="A23" s="862"/>
      <c r="B23" s="835"/>
      <c r="C23" s="835"/>
      <c r="D23" s="820" t="s">
        <v>15</v>
      </c>
      <c r="E23" s="821"/>
      <c r="F23" s="821"/>
      <c r="G23" s="821"/>
      <c r="H23" s="821"/>
      <c r="I23" s="821"/>
      <c r="J23" s="821"/>
      <c r="K23" s="821"/>
      <c r="L23" s="816" t="s">
        <v>8</v>
      </c>
      <c r="M23" s="822">
        <v>0.1</v>
      </c>
      <c r="N23" s="874"/>
      <c r="O23" s="875"/>
      <c r="P23" s="871"/>
    </row>
    <row r="24" spans="1:19" s="863" customFormat="1">
      <c r="A24" s="862"/>
      <c r="B24" s="835"/>
      <c r="C24" s="835"/>
      <c r="D24" s="820" t="s">
        <v>16</v>
      </c>
      <c r="E24" s="821"/>
      <c r="F24" s="821"/>
      <c r="G24" s="821"/>
      <c r="H24" s="821"/>
      <c r="I24" s="821"/>
      <c r="J24" s="821"/>
      <c r="K24" s="821"/>
      <c r="L24" s="816" t="s">
        <v>8</v>
      </c>
      <c r="M24" s="822">
        <v>0.9</v>
      </c>
      <c r="N24" s="874"/>
      <c r="O24" s="875"/>
      <c r="P24" s="871"/>
    </row>
    <row r="25" spans="1:19">
      <c r="D25" s="823"/>
      <c r="E25" s="700"/>
      <c r="F25" s="808"/>
      <c r="G25" s="700"/>
      <c r="H25" s="700"/>
      <c r="I25" s="700"/>
      <c r="J25" s="809"/>
      <c r="K25" s="791"/>
      <c r="L25" s="824"/>
      <c r="M25" s="825"/>
    </row>
    <row r="26" spans="1:19" s="863" customFormat="1" ht="6" customHeight="1" thickBot="1">
      <c r="A26" s="862"/>
      <c r="B26" s="835"/>
      <c r="C26" s="835"/>
      <c r="D26" s="826"/>
      <c r="E26" s="790"/>
      <c r="F26" s="790"/>
      <c r="G26" s="700"/>
      <c r="H26" s="700"/>
      <c r="I26" s="700"/>
      <c r="J26" s="700"/>
      <c r="K26" s="700"/>
      <c r="L26" s="700"/>
      <c r="M26" s="827"/>
      <c r="N26" s="700"/>
      <c r="P26" s="871"/>
    </row>
    <row r="27" spans="1:19" s="863" customFormat="1" ht="15.75" customHeight="1" thickTop="1" thickBot="1">
      <c r="A27" s="862"/>
      <c r="B27" s="835"/>
      <c r="C27" s="835"/>
      <c r="D27" s="830" t="s">
        <v>11640</v>
      </c>
      <c r="E27" s="831"/>
      <c r="F27" s="831"/>
      <c r="G27" s="831"/>
      <c r="H27" s="831"/>
      <c r="I27" s="831"/>
      <c r="J27" s="831"/>
      <c r="K27" s="831"/>
      <c r="L27" s="832"/>
      <c r="M27" s="833"/>
      <c r="N27" s="870"/>
      <c r="O27" s="871"/>
      <c r="P27" s="871"/>
    </row>
    <row r="28" spans="1:19" ht="13.5" thickTop="1">
      <c r="D28" s="826"/>
      <c r="E28" s="790"/>
      <c r="F28" s="790"/>
      <c r="G28" s="700" t="s">
        <v>30</v>
      </c>
      <c r="H28" s="700" t="s">
        <v>30</v>
      </c>
      <c r="I28" s="700" t="s">
        <v>1275</v>
      </c>
      <c r="J28" s="700" t="s">
        <v>17</v>
      </c>
      <c r="K28" s="700" t="s">
        <v>19</v>
      </c>
      <c r="L28" s="700" t="s">
        <v>30</v>
      </c>
      <c r="M28" s="876" t="s">
        <v>30</v>
      </c>
      <c r="N28" s="824"/>
      <c r="O28" s="790"/>
      <c r="P28" s="863"/>
      <c r="Q28" s="871"/>
      <c r="S28" s="863"/>
    </row>
    <row r="29" spans="1:19">
      <c r="D29" s="826"/>
      <c r="E29" s="790"/>
      <c r="F29" s="1674" t="s">
        <v>12407</v>
      </c>
      <c r="G29" s="1674"/>
      <c r="H29" s="700"/>
      <c r="I29" s="700">
        <v>1</v>
      </c>
      <c r="J29" s="828">
        <f t="shared" ref="J29:K33" si="0">J37+1*2</f>
        <v>11</v>
      </c>
      <c r="K29" s="828">
        <f t="shared" si="0"/>
        <v>5.8</v>
      </c>
      <c r="L29" s="700" t="s">
        <v>21</v>
      </c>
      <c r="M29" s="877">
        <f>J29*K29</f>
        <v>63.8</v>
      </c>
      <c r="N29" s="824"/>
      <c r="O29" s="790"/>
      <c r="P29" s="863"/>
      <c r="Q29" s="871"/>
      <c r="S29" s="863"/>
    </row>
    <row r="30" spans="1:19">
      <c r="D30" s="826"/>
      <c r="E30" s="790"/>
      <c r="F30" s="1674" t="s">
        <v>12416</v>
      </c>
      <c r="G30" s="1674"/>
      <c r="H30" s="700"/>
      <c r="I30" s="700">
        <v>1</v>
      </c>
      <c r="J30" s="828">
        <f t="shared" si="0"/>
        <v>7.2</v>
      </c>
      <c r="K30" s="828">
        <f t="shared" si="0"/>
        <v>3.05</v>
      </c>
      <c r="L30" s="700" t="s">
        <v>21</v>
      </c>
      <c r="M30" s="877">
        <f>J30*K30</f>
        <v>21.96</v>
      </c>
      <c r="N30" s="824"/>
      <c r="O30" s="790"/>
      <c r="P30" s="863"/>
      <c r="Q30" s="871"/>
      <c r="S30" s="863"/>
    </row>
    <row r="31" spans="1:19">
      <c r="D31" s="826"/>
      <c r="E31" s="790"/>
      <c r="F31" s="1674" t="s">
        <v>11788</v>
      </c>
      <c r="G31" s="1674"/>
      <c r="H31" s="700"/>
      <c r="I31" s="700">
        <v>1</v>
      </c>
      <c r="J31" s="828">
        <f t="shared" si="0"/>
        <v>4</v>
      </c>
      <c r="K31" s="828">
        <f t="shared" si="0"/>
        <v>2.5</v>
      </c>
      <c r="L31" s="700" t="s">
        <v>21</v>
      </c>
      <c r="M31" s="877">
        <f>J31*K31</f>
        <v>10</v>
      </c>
      <c r="N31" s="824"/>
      <c r="O31" s="790"/>
      <c r="P31" s="863"/>
      <c r="Q31" s="871"/>
      <c r="S31" s="863"/>
    </row>
    <row r="32" spans="1:19">
      <c r="D32" s="826"/>
      <c r="E32" s="790"/>
      <c r="F32" s="1674" t="s">
        <v>12417</v>
      </c>
      <c r="G32" s="1674"/>
      <c r="H32" s="700"/>
      <c r="I32" s="700">
        <v>1</v>
      </c>
      <c r="J32" s="828">
        <f t="shared" si="0"/>
        <v>2.7</v>
      </c>
      <c r="K32" s="828">
        <f t="shared" si="0"/>
        <v>2.5499999999999998</v>
      </c>
      <c r="L32" s="700" t="s">
        <v>21</v>
      </c>
      <c r="M32" s="877">
        <f>J32*K32</f>
        <v>6.8849999999999998</v>
      </c>
      <c r="N32" s="824"/>
      <c r="O32" s="790"/>
      <c r="P32" s="863"/>
      <c r="Q32" s="871"/>
      <c r="S32" s="863"/>
    </row>
    <row r="33" spans="1:19">
      <c r="D33" s="826"/>
      <c r="E33" s="790"/>
      <c r="F33" s="1674" t="s">
        <v>12418</v>
      </c>
      <c r="G33" s="1674"/>
      <c r="H33" s="700"/>
      <c r="I33" s="700">
        <v>23</v>
      </c>
      <c r="J33" s="828">
        <f t="shared" si="0"/>
        <v>2.5</v>
      </c>
      <c r="K33" s="828">
        <f t="shared" si="0"/>
        <v>2.5</v>
      </c>
      <c r="L33" s="700" t="s">
        <v>21</v>
      </c>
      <c r="M33" s="877">
        <f>J33*K33</f>
        <v>6.25</v>
      </c>
      <c r="N33" s="824"/>
      <c r="O33" s="790"/>
      <c r="P33" s="863"/>
      <c r="Q33" s="871"/>
      <c r="S33" s="863"/>
    </row>
    <row r="34" spans="1:19">
      <c r="D34" s="826"/>
      <c r="E34" s="790"/>
      <c r="F34" s="790"/>
      <c r="G34" s="700"/>
      <c r="H34" s="854"/>
      <c r="I34" s="854"/>
      <c r="J34" s="828"/>
      <c r="K34" s="828"/>
      <c r="L34" s="700"/>
      <c r="M34" s="876"/>
      <c r="N34" s="824"/>
      <c r="O34" s="790"/>
      <c r="P34" s="863"/>
      <c r="Q34" s="871"/>
      <c r="S34" s="863"/>
    </row>
    <row r="35" spans="1:19" ht="22.5">
      <c r="A35" s="862" t="s">
        <v>12369</v>
      </c>
      <c r="B35" s="850" t="s">
        <v>70</v>
      </c>
      <c r="C35" s="850" t="s">
        <v>19163</v>
      </c>
      <c r="D35" s="836" t="str">
        <f>PROPER(IF(B35="Saneago",VLOOKUP(C35,'SANEAGO-FEV.2016'!A:B,2,0),IF(B35="SINAPI",VLOOKUP(C35,'SINAPI-FEV.2017'!A:D,2,0),IF(B35="Cotação",VLOOKUP(C35,COTAÇÃO!A:D,2,0),IF(B35="Composição",VLOOKUP(C35,COMPOSIÇÃO!A:D,2,0))))))</f>
        <v>Limpeza Mecanizada De Terreno Com Remocao De Camada Vegetal, Utilizando Motoniveladora</v>
      </c>
      <c r="E35" s="837"/>
      <c r="F35" s="837"/>
      <c r="G35" s="852"/>
      <c r="H35" s="852"/>
      <c r="I35" s="852"/>
      <c r="J35" s="852"/>
      <c r="K35" s="856" t="s">
        <v>27</v>
      </c>
      <c r="L35" s="856" t="s">
        <v>21</v>
      </c>
      <c r="M35" s="840">
        <f>SUM(M29:M33)</f>
        <v>108.895</v>
      </c>
      <c r="N35" s="824"/>
      <c r="O35" s="790"/>
      <c r="P35" s="863"/>
      <c r="Q35" s="871"/>
      <c r="S35" s="863"/>
    </row>
    <row r="36" spans="1:19">
      <c r="D36" s="826"/>
      <c r="E36" s="790"/>
      <c r="F36" s="790"/>
      <c r="G36" s="700"/>
      <c r="H36" s="700" t="s">
        <v>30</v>
      </c>
      <c r="I36" s="700" t="s">
        <v>1275</v>
      </c>
      <c r="J36" s="700" t="s">
        <v>17</v>
      </c>
      <c r="K36" s="700" t="s">
        <v>19</v>
      </c>
      <c r="L36" s="700"/>
      <c r="M36" s="829"/>
      <c r="N36" s="824"/>
      <c r="O36" s="790"/>
      <c r="P36" s="863"/>
      <c r="Q36" s="871"/>
      <c r="S36" s="863"/>
    </row>
    <row r="37" spans="1:19">
      <c r="D37" s="826"/>
      <c r="E37" s="790"/>
      <c r="F37" s="1674" t="s">
        <v>12407</v>
      </c>
      <c r="G37" s="1674"/>
      <c r="H37" s="824"/>
      <c r="I37" s="700">
        <v>1</v>
      </c>
      <c r="J37" s="828">
        <v>9</v>
      </c>
      <c r="K37" s="828">
        <v>3.8</v>
      </c>
      <c r="L37" s="700" t="s">
        <v>21</v>
      </c>
      <c r="M37" s="829">
        <f>J37*K37</f>
        <v>34.199999999999996</v>
      </c>
      <c r="N37" s="824"/>
      <c r="O37" s="790"/>
      <c r="P37" s="863"/>
      <c r="Q37" s="871"/>
      <c r="S37" s="863"/>
    </row>
    <row r="38" spans="1:19">
      <c r="D38" s="826"/>
      <c r="E38" s="790"/>
      <c r="F38" s="1674" t="s">
        <v>12416</v>
      </c>
      <c r="G38" s="1674"/>
      <c r="H38" s="824"/>
      <c r="I38" s="700">
        <v>1</v>
      </c>
      <c r="J38" s="828">
        <v>5.2</v>
      </c>
      <c r="K38" s="828">
        <v>1.05</v>
      </c>
      <c r="L38" s="700" t="s">
        <v>21</v>
      </c>
      <c r="M38" s="829">
        <f>J38*K38</f>
        <v>5.4600000000000009</v>
      </c>
      <c r="N38" s="824"/>
      <c r="O38" s="790"/>
      <c r="P38" s="863"/>
      <c r="Q38" s="871"/>
      <c r="S38" s="863"/>
    </row>
    <row r="39" spans="1:19">
      <c r="D39" s="826"/>
      <c r="E39" s="790"/>
      <c r="F39" s="1674" t="s">
        <v>11788</v>
      </c>
      <c r="G39" s="1674"/>
      <c r="H39" s="824"/>
      <c r="I39" s="700">
        <v>1</v>
      </c>
      <c r="J39" s="828">
        <f>1.75+0.125*2</f>
        <v>2</v>
      </c>
      <c r="K39" s="828">
        <f>0.25+0.125*2</f>
        <v>0.5</v>
      </c>
      <c r="L39" s="700" t="s">
        <v>21</v>
      </c>
      <c r="M39" s="829">
        <f>J39*K39</f>
        <v>1</v>
      </c>
      <c r="N39" s="824"/>
      <c r="O39" s="790"/>
      <c r="P39" s="863"/>
      <c r="Q39" s="871"/>
      <c r="S39" s="863"/>
    </row>
    <row r="40" spans="1:19">
      <c r="D40" s="826"/>
      <c r="E40" s="790"/>
      <c r="F40" s="1674" t="s">
        <v>12417</v>
      </c>
      <c r="G40" s="1674"/>
      <c r="H40" s="824"/>
      <c r="I40" s="700">
        <v>1</v>
      </c>
      <c r="J40" s="828">
        <v>0.7</v>
      </c>
      <c r="K40" s="828">
        <v>0.55000000000000004</v>
      </c>
      <c r="L40" s="700" t="s">
        <v>21</v>
      </c>
      <c r="M40" s="829">
        <f>J40*K40</f>
        <v>0.38500000000000001</v>
      </c>
      <c r="N40" s="824"/>
      <c r="O40" s="790"/>
      <c r="P40" s="863"/>
      <c r="Q40" s="871"/>
      <c r="S40" s="863"/>
    </row>
    <row r="41" spans="1:19">
      <c r="D41" s="826"/>
      <c r="E41" s="790"/>
      <c r="F41" s="1674" t="s">
        <v>12418</v>
      </c>
      <c r="G41" s="1674"/>
      <c r="H41" s="824"/>
      <c r="I41" s="700">
        <v>23</v>
      </c>
      <c r="J41" s="828">
        <v>0.5</v>
      </c>
      <c r="K41" s="828">
        <v>0.5</v>
      </c>
      <c r="L41" s="700" t="s">
        <v>21</v>
      </c>
      <c r="M41" s="829">
        <f>J41*K41</f>
        <v>0.25</v>
      </c>
      <c r="N41" s="824"/>
      <c r="O41" s="790"/>
      <c r="P41" s="863"/>
      <c r="Q41" s="871"/>
      <c r="S41" s="863"/>
    </row>
    <row r="42" spans="1:19">
      <c r="D42" s="826"/>
      <c r="E42" s="790"/>
      <c r="F42" s="790"/>
      <c r="G42" s="700"/>
      <c r="H42" s="854"/>
      <c r="I42" s="854"/>
      <c r="J42" s="828"/>
      <c r="K42" s="828"/>
      <c r="L42" s="700"/>
      <c r="M42" s="829"/>
      <c r="N42" s="824"/>
      <c r="O42" s="790"/>
      <c r="P42" s="863"/>
      <c r="Q42" s="871"/>
      <c r="S42" s="863"/>
    </row>
    <row r="43" spans="1:19" ht="22.5">
      <c r="A43" s="862" t="s">
        <v>12370</v>
      </c>
      <c r="B43" s="850" t="s">
        <v>70</v>
      </c>
      <c r="C43" s="850" t="s">
        <v>19263</v>
      </c>
      <c r="D43" s="836" t="str">
        <f>PROPER(IF(B43="Saneago",VLOOKUP(C43,'SANEAGO-FEV.2016'!A:B,2,0),IF(B43="SINAPI",VLOOKUP(C43,'SINAPI-FEV.2017'!A:D,2,0),IF(B43="Cotação",VLOOKUP(C43,COTAÇÃO!A:D,2,0),IF(B43="Composição",VLOOKUP(C43,COMPOSIÇÃO!A:D,2,0))))))</f>
        <v>Locacao Convencional De Obra, Através De Gabarito De Tabuas Corridas Pontaletadas A Cada 1,50M, Sem Reaproveitamento</v>
      </c>
      <c r="E43" s="837"/>
      <c r="F43" s="837"/>
      <c r="G43" s="852"/>
      <c r="H43" s="852"/>
      <c r="I43" s="852"/>
      <c r="J43" s="852"/>
      <c r="K43" s="856" t="s">
        <v>27</v>
      </c>
      <c r="L43" s="856" t="s">
        <v>21</v>
      </c>
      <c r="M43" s="840">
        <f>SUM(M37:M41)</f>
        <v>41.294999999999995</v>
      </c>
      <c r="N43" s="824"/>
      <c r="O43" s="790"/>
      <c r="P43" s="863"/>
      <c r="Q43" s="871"/>
      <c r="S43" s="863"/>
    </row>
    <row r="44" spans="1:19" s="863" customFormat="1" ht="13.5" thickBot="1">
      <c r="A44" s="862"/>
      <c r="B44" s="835"/>
      <c r="C44" s="835"/>
      <c r="D44" s="826"/>
      <c r="E44" s="790"/>
      <c r="F44" s="790"/>
      <c r="G44" s="828"/>
      <c r="H44" s="828"/>
      <c r="I44" s="828"/>
      <c r="J44" s="828"/>
      <c r="K44" s="828"/>
      <c r="L44" s="700"/>
      <c r="M44" s="829"/>
      <c r="N44" s="700"/>
      <c r="P44" s="871"/>
    </row>
    <row r="45" spans="1:19" s="863" customFormat="1" ht="13.5" customHeight="1" thickTop="1" thickBot="1">
      <c r="A45" s="862"/>
      <c r="B45" s="835"/>
      <c r="C45" s="835"/>
      <c r="D45" s="830" t="s">
        <v>41</v>
      </c>
      <c r="E45" s="831"/>
      <c r="F45" s="831"/>
      <c r="G45" s="831"/>
      <c r="H45" s="831"/>
      <c r="I45" s="831"/>
      <c r="J45" s="831"/>
      <c r="K45" s="831"/>
      <c r="L45" s="832"/>
      <c r="M45" s="833"/>
      <c r="N45" s="870"/>
      <c r="O45" s="871"/>
      <c r="P45" s="871"/>
    </row>
    <row r="46" spans="1:19" s="863" customFormat="1" ht="13.5" customHeight="1" thickTop="1">
      <c r="A46" s="862"/>
      <c r="B46" s="835"/>
      <c r="C46" s="835"/>
      <c r="D46" s="878"/>
      <c r="E46" s="816"/>
      <c r="F46" s="816"/>
      <c r="G46" s="700" t="s">
        <v>30</v>
      </c>
      <c r="H46" s="700" t="s">
        <v>30</v>
      </c>
      <c r="I46" s="700" t="s">
        <v>30</v>
      </c>
      <c r="J46" s="700" t="s">
        <v>30</v>
      </c>
      <c r="K46" s="700" t="s">
        <v>30</v>
      </c>
      <c r="L46" s="700" t="s">
        <v>30</v>
      </c>
      <c r="M46" s="876" t="s">
        <v>30</v>
      </c>
      <c r="N46" s="700"/>
      <c r="P46" s="871"/>
    </row>
    <row r="47" spans="1:19" s="863" customFormat="1" ht="13.5" customHeight="1">
      <c r="A47" s="862"/>
      <c r="B47" s="835"/>
      <c r="C47" s="835"/>
      <c r="D47" s="836" t="s">
        <v>11766</v>
      </c>
      <c r="E47" s="837"/>
      <c r="F47" s="837"/>
      <c r="G47" s="880"/>
      <c r="H47" s="880"/>
      <c r="I47" s="880"/>
      <c r="J47" s="880"/>
      <c r="K47" s="880"/>
      <c r="L47" s="852" t="s">
        <v>18</v>
      </c>
      <c r="M47" s="853">
        <v>0.6</v>
      </c>
      <c r="N47" s="700"/>
      <c r="P47" s="871"/>
    </row>
    <row r="48" spans="1:19" s="863" customFormat="1" ht="13.5" customHeight="1">
      <c r="A48" s="862"/>
      <c r="B48" s="835"/>
      <c r="C48" s="835"/>
      <c r="D48" s="881"/>
      <c r="E48" s="882"/>
      <c r="F48" s="882"/>
      <c r="G48" s="700"/>
      <c r="H48" s="700"/>
      <c r="I48" s="700"/>
      <c r="J48" s="700"/>
      <c r="K48" s="700"/>
      <c r="L48" s="883"/>
      <c r="M48" s="884"/>
      <c r="N48" s="700"/>
      <c r="P48" s="871"/>
    </row>
    <row r="49" spans="1:16" s="863" customFormat="1" ht="13.5" customHeight="1">
      <c r="A49" s="862"/>
      <c r="B49" s="835"/>
      <c r="C49" s="835"/>
      <c r="D49" s="836" t="s">
        <v>11668</v>
      </c>
      <c r="E49" s="837"/>
      <c r="F49" s="837"/>
      <c r="G49" s="852"/>
      <c r="H49" s="852"/>
      <c r="I49" s="852"/>
      <c r="J49" s="852"/>
      <c r="K49" s="852"/>
      <c r="L49" s="852"/>
      <c r="M49" s="885">
        <v>25</v>
      </c>
      <c r="N49" s="700"/>
      <c r="O49" s="886"/>
      <c r="P49" s="871"/>
    </row>
    <row r="50" spans="1:16" s="863" customFormat="1" ht="27.75" customHeight="1">
      <c r="A50" s="862"/>
      <c r="B50" s="835"/>
      <c r="C50" s="835"/>
      <c r="D50" s="881"/>
      <c r="E50" s="882"/>
      <c r="F50" s="882"/>
      <c r="G50" s="700"/>
      <c r="H50" s="700"/>
      <c r="I50" s="700" t="s">
        <v>11671</v>
      </c>
      <c r="J50" s="700" t="s">
        <v>11672</v>
      </c>
      <c r="K50" s="700" t="s">
        <v>11673</v>
      </c>
      <c r="L50" s="883"/>
      <c r="M50" s="884"/>
      <c r="N50" s="700"/>
      <c r="P50" s="871"/>
    </row>
    <row r="51" spans="1:16" s="863" customFormat="1" ht="13.5" customHeight="1">
      <c r="A51" s="862"/>
      <c r="B51" s="835"/>
      <c r="C51" s="835"/>
      <c r="D51" s="836" t="s">
        <v>11670</v>
      </c>
      <c r="E51" s="837"/>
      <c r="F51" s="837"/>
      <c r="G51" s="852"/>
      <c r="H51" s="852"/>
      <c r="I51" s="852">
        <v>0</v>
      </c>
      <c r="J51" s="852">
        <v>0.15</v>
      </c>
      <c r="K51" s="852">
        <v>0.05</v>
      </c>
      <c r="L51" s="852" t="s">
        <v>18</v>
      </c>
      <c r="M51" s="853">
        <f>SUM(I51:K51)</f>
        <v>0.2</v>
      </c>
      <c r="N51" s="700"/>
      <c r="O51" s="886"/>
      <c r="P51" s="871"/>
    </row>
    <row r="52" spans="1:16" s="863" customFormat="1" ht="22.5">
      <c r="A52" s="862"/>
      <c r="B52" s="835"/>
      <c r="C52" s="835"/>
      <c r="D52" s="887"/>
      <c r="E52" s="883" t="s">
        <v>1275</v>
      </c>
      <c r="F52" s="700" t="s">
        <v>11676</v>
      </c>
      <c r="G52" s="700" t="s">
        <v>11669</v>
      </c>
      <c r="H52" s="700" t="s">
        <v>11674</v>
      </c>
      <c r="I52" s="700" t="s">
        <v>11675</v>
      </c>
      <c r="J52" s="700" t="s">
        <v>11876</v>
      </c>
      <c r="K52" s="700" t="s">
        <v>11667</v>
      </c>
      <c r="L52" s="883"/>
      <c r="M52" s="884"/>
      <c r="N52" s="700"/>
      <c r="P52" s="871"/>
    </row>
    <row r="53" spans="1:16" s="863" customFormat="1">
      <c r="A53" s="862"/>
      <c r="B53" s="835"/>
      <c r="C53" s="835"/>
      <c r="D53" s="888" t="s">
        <v>12407</v>
      </c>
      <c r="E53" s="700">
        <f>I37</f>
        <v>1</v>
      </c>
      <c r="F53" s="828">
        <f t="shared" ref="F53:G57" si="1">J37+$M$47*2</f>
        <v>10.199999999999999</v>
      </c>
      <c r="G53" s="828">
        <f t="shared" si="1"/>
        <v>5</v>
      </c>
      <c r="H53" s="828">
        <f>F53+2*(K53*TAN($M$49*PI()/180))</f>
        <v>10.806199955601498</v>
      </c>
      <c r="I53" s="828">
        <f>G53+2*(K53*TAN($M$49*PI()/180))</f>
        <v>5.6061999556014985</v>
      </c>
      <c r="J53" s="828">
        <v>0.45</v>
      </c>
      <c r="K53" s="828">
        <f>J53+M$51</f>
        <v>0.65</v>
      </c>
      <c r="L53" s="700" t="s">
        <v>18</v>
      </c>
      <c r="M53" s="890">
        <f>ROUND(E53*((K53/3)*((H53*I53)+SQRT((H53*I53)*(F53*G53))+(F53*G53))),2)</f>
        <v>36.22</v>
      </c>
      <c r="N53" s="700"/>
      <c r="P53" s="871"/>
    </row>
    <row r="54" spans="1:16" s="863" customFormat="1">
      <c r="A54" s="862"/>
      <c r="B54" s="835"/>
      <c r="C54" s="835"/>
      <c r="D54" s="888" t="s">
        <v>12416</v>
      </c>
      <c r="E54" s="700">
        <f>I38</f>
        <v>1</v>
      </c>
      <c r="F54" s="828">
        <f t="shared" si="1"/>
        <v>6.4</v>
      </c>
      <c r="G54" s="828">
        <f t="shared" si="1"/>
        <v>2.25</v>
      </c>
      <c r="H54" s="828">
        <f>F54+2*(K54*TAN($M$49*PI()/180))</f>
        <v>6.7264153607084989</v>
      </c>
      <c r="I54" s="828">
        <f>G54+2*(K54*TAN($M$49*PI()/180))</f>
        <v>2.576415360708499</v>
      </c>
      <c r="J54" s="828">
        <v>0.15</v>
      </c>
      <c r="K54" s="828">
        <f>J54+M$51</f>
        <v>0.35</v>
      </c>
      <c r="L54" s="700" t="s">
        <v>18</v>
      </c>
      <c r="M54" s="890">
        <f>ROUND(E54*((K54/3)*((H54*I54)+SQRT((H54*I54)*(F54*G54))+(F54*G54))),2)</f>
        <v>5.54</v>
      </c>
      <c r="N54" s="700"/>
      <c r="P54" s="871"/>
    </row>
    <row r="55" spans="1:16" s="863" customFormat="1">
      <c r="A55" s="862"/>
      <c r="B55" s="835"/>
      <c r="C55" s="835"/>
      <c r="D55" s="888" t="s">
        <v>11788</v>
      </c>
      <c r="E55" s="700">
        <f>I39</f>
        <v>1</v>
      </c>
      <c r="F55" s="828">
        <f t="shared" si="1"/>
        <v>3.2</v>
      </c>
      <c r="G55" s="828">
        <f t="shared" si="1"/>
        <v>1.7</v>
      </c>
      <c r="H55" s="828">
        <f>F55+2*(K55*TAN($M$49*PI()/180))</f>
        <v>3.8528307214169981</v>
      </c>
      <c r="I55" s="828">
        <f>G55+2*(K55*TAN($M$49*PI()/180))</f>
        <v>2.3528307214169981</v>
      </c>
      <c r="J55" s="828">
        <v>0.5</v>
      </c>
      <c r="K55" s="828">
        <f>J55+M$51</f>
        <v>0.7</v>
      </c>
      <c r="L55" s="700" t="s">
        <v>18</v>
      </c>
      <c r="M55" s="890">
        <f>ROUND(E55*((K55/3)*((H55*I55)+SQRT((H55*I55)*(F55*G55))+(F55*G55))),2)</f>
        <v>5.0199999999999996</v>
      </c>
      <c r="N55" s="700"/>
      <c r="P55" s="871"/>
    </row>
    <row r="56" spans="1:16" s="863" customFormat="1">
      <c r="A56" s="862"/>
      <c r="B56" s="835"/>
      <c r="C56" s="835"/>
      <c r="D56" s="888" t="s">
        <v>12417</v>
      </c>
      <c r="E56" s="700">
        <f>I40</f>
        <v>1</v>
      </c>
      <c r="F56" s="828">
        <f t="shared" si="1"/>
        <v>1.9</v>
      </c>
      <c r="G56" s="828">
        <f t="shared" si="1"/>
        <v>1.75</v>
      </c>
      <c r="H56" s="828">
        <f>F56+2*(K56*TAN($M$49*PI()/180))</f>
        <v>2.7859845504944971</v>
      </c>
      <c r="I56" s="828">
        <f>G56+2*(K56*TAN($M$49*PI()/180))</f>
        <v>2.6359845504944972</v>
      </c>
      <c r="J56" s="828">
        <v>0.75</v>
      </c>
      <c r="K56" s="828">
        <f>J56+M$51</f>
        <v>0.95</v>
      </c>
      <c r="L56" s="700" t="s">
        <v>18</v>
      </c>
      <c r="M56" s="890">
        <f>ROUND(E56*((K56/3)*((H56*I56)+SQRT((H56*I56)*(F56*G56))+(F56*G56))),2)</f>
        <v>4.9400000000000004</v>
      </c>
      <c r="N56" s="700"/>
      <c r="P56" s="871"/>
    </row>
    <row r="57" spans="1:16" s="863" customFormat="1">
      <c r="A57" s="862"/>
      <c r="B57" s="835"/>
      <c r="C57" s="835"/>
      <c r="D57" s="888" t="s">
        <v>12418</v>
      </c>
      <c r="E57" s="700">
        <f>I41</f>
        <v>23</v>
      </c>
      <c r="F57" s="828">
        <f t="shared" si="1"/>
        <v>1.7</v>
      </c>
      <c r="G57" s="828">
        <f t="shared" si="1"/>
        <v>1.7</v>
      </c>
      <c r="H57" s="828">
        <f>F57+2*(K57*TAN($M$49*PI()/180))</f>
        <v>2.3528307214169981</v>
      </c>
      <c r="I57" s="828">
        <f>G57+2*(K57*TAN($M$49*PI()/180))</f>
        <v>2.3528307214169981</v>
      </c>
      <c r="J57" s="828">
        <v>0.5</v>
      </c>
      <c r="K57" s="828">
        <f>J57+M$51</f>
        <v>0.7</v>
      </c>
      <c r="L57" s="700" t="s">
        <v>18</v>
      </c>
      <c r="M57" s="890">
        <f>ROUND(E57*((K57/3)*((H57*I57)+SQRT((H57*I57)*(F57*G57))+(F57*G57))),2)</f>
        <v>66.680000000000007</v>
      </c>
      <c r="N57" s="700"/>
      <c r="P57" s="871"/>
    </row>
    <row r="58" spans="1:16" s="863" customFormat="1">
      <c r="A58" s="862"/>
      <c r="B58" s="835"/>
      <c r="C58" s="835"/>
      <c r="D58" s="888"/>
      <c r="E58" s="700"/>
      <c r="F58" s="700"/>
      <c r="G58" s="700"/>
      <c r="H58" s="889"/>
      <c r="I58" s="889"/>
      <c r="J58" s="700"/>
      <c r="K58" s="828"/>
      <c r="L58" s="700"/>
      <c r="M58" s="890"/>
      <c r="N58" s="700"/>
      <c r="P58" s="871"/>
    </row>
    <row r="59" spans="1:16" s="863" customFormat="1" ht="15" customHeight="1">
      <c r="A59" s="862"/>
      <c r="B59" s="835"/>
      <c r="C59" s="835"/>
      <c r="D59" s="1679"/>
      <c r="E59" s="1674"/>
      <c r="F59" s="889"/>
      <c r="G59" s="889"/>
      <c r="H59" s="889"/>
      <c r="I59" s="1700" t="s">
        <v>12338</v>
      </c>
      <c r="J59" s="1700"/>
      <c r="K59" s="1700"/>
      <c r="L59" s="816" t="s">
        <v>22</v>
      </c>
      <c r="M59" s="891">
        <f>SUM(M53:M57)</f>
        <v>118.4</v>
      </c>
      <c r="N59" s="700"/>
      <c r="P59" s="871"/>
    </row>
    <row r="60" spans="1:16" s="863" customFormat="1" ht="13.5" customHeight="1">
      <c r="A60" s="862"/>
      <c r="B60" s="835"/>
      <c r="C60" s="835"/>
      <c r="D60" s="881"/>
      <c r="E60" s="882"/>
      <c r="F60" s="882"/>
      <c r="G60" s="883" t="s">
        <v>37</v>
      </c>
      <c r="H60" s="883" t="s">
        <v>17</v>
      </c>
      <c r="I60" s="883" t="s">
        <v>19</v>
      </c>
      <c r="J60" s="883" t="s">
        <v>28</v>
      </c>
      <c r="K60" s="883" t="s">
        <v>51</v>
      </c>
      <c r="L60" s="883"/>
      <c r="M60" s="884"/>
      <c r="N60" s="700"/>
      <c r="P60" s="871"/>
    </row>
    <row r="61" spans="1:16" s="863" customFormat="1" ht="13.5" customHeight="1">
      <c r="A61" s="862"/>
      <c r="B61" s="835"/>
      <c r="C61" s="835"/>
      <c r="D61" s="826" t="s">
        <v>12335</v>
      </c>
      <c r="E61" s="790"/>
      <c r="F61" s="790"/>
      <c r="G61" s="828"/>
      <c r="H61" s="828"/>
      <c r="I61" s="828"/>
      <c r="J61" s="828"/>
      <c r="K61" s="700"/>
      <c r="L61" s="700" t="s">
        <v>22</v>
      </c>
      <c r="M61" s="829">
        <f>(((H61+(2*G61))*(I61+(2*G61)))*J61)*K61</f>
        <v>0</v>
      </c>
      <c r="N61" s="700"/>
      <c r="P61" s="871"/>
    </row>
    <row r="62" spans="1:16" s="863" customFormat="1" ht="13.5" customHeight="1">
      <c r="A62" s="862"/>
      <c r="B62" s="835"/>
      <c r="C62" s="835"/>
      <c r="D62" s="826"/>
      <c r="E62" s="790"/>
      <c r="F62" s="790"/>
      <c r="G62" s="828" t="s">
        <v>37</v>
      </c>
      <c r="H62" s="828" t="s">
        <v>17</v>
      </c>
      <c r="I62" s="828" t="s">
        <v>19</v>
      </c>
      <c r="J62" s="828" t="s">
        <v>28</v>
      </c>
      <c r="K62" s="700" t="s">
        <v>51</v>
      </c>
      <c r="L62" s="700"/>
      <c r="M62" s="890"/>
      <c r="N62" s="700"/>
      <c r="P62" s="871"/>
    </row>
    <row r="63" spans="1:16" s="863" customFormat="1" ht="13.5" customHeight="1">
      <c r="A63" s="862"/>
      <c r="B63" s="835"/>
      <c r="C63" s="835"/>
      <c r="D63" s="826" t="s">
        <v>12336</v>
      </c>
      <c r="E63" s="790"/>
      <c r="F63" s="790"/>
      <c r="G63" s="828"/>
      <c r="H63" s="828"/>
      <c r="I63" s="828"/>
      <c r="J63" s="828"/>
      <c r="K63" s="700"/>
      <c r="L63" s="700" t="s">
        <v>22</v>
      </c>
      <c r="M63" s="829">
        <f>(((H63+(2*G63))*(I63+(2*G63)))*J63)*K63</f>
        <v>0</v>
      </c>
      <c r="N63" s="700"/>
      <c r="P63" s="871"/>
    </row>
    <row r="64" spans="1:16" s="863" customFormat="1" ht="13.5" customHeight="1">
      <c r="A64" s="862"/>
      <c r="B64" s="835"/>
      <c r="C64" s="835"/>
      <c r="D64" s="826"/>
      <c r="E64" s="790"/>
      <c r="F64" s="790"/>
      <c r="G64" s="828" t="s">
        <v>37</v>
      </c>
      <c r="H64" s="828" t="s">
        <v>17</v>
      </c>
      <c r="I64" s="828" t="s">
        <v>19</v>
      </c>
      <c r="J64" s="828" t="s">
        <v>28</v>
      </c>
      <c r="K64" s="700" t="s">
        <v>51</v>
      </c>
      <c r="L64" s="700"/>
      <c r="M64" s="890"/>
      <c r="N64" s="700"/>
      <c r="P64" s="871"/>
    </row>
    <row r="65" spans="1:16" s="863" customFormat="1" ht="13.5" customHeight="1">
      <c r="A65" s="862"/>
      <c r="B65" s="835"/>
      <c r="C65" s="835"/>
      <c r="D65" s="826" t="s">
        <v>12337</v>
      </c>
      <c r="E65" s="790"/>
      <c r="F65" s="790"/>
      <c r="G65" s="828"/>
      <c r="H65" s="828"/>
      <c r="I65" s="828"/>
      <c r="J65" s="828"/>
      <c r="K65" s="700"/>
      <c r="L65" s="700" t="s">
        <v>22</v>
      </c>
      <c r="M65" s="829">
        <f>(((H65+(2*G65))*(I65+(2*G65)))*J65)*K65</f>
        <v>0</v>
      </c>
      <c r="N65" s="700"/>
      <c r="P65" s="871"/>
    </row>
    <row r="66" spans="1:16" s="863" customFormat="1" ht="13.5" customHeight="1">
      <c r="A66" s="862"/>
      <c r="B66" s="835"/>
      <c r="C66" s="835"/>
      <c r="D66" s="826"/>
      <c r="E66" s="790"/>
      <c r="F66" s="790"/>
      <c r="G66" s="828"/>
      <c r="H66" s="700"/>
      <c r="I66" s="700"/>
      <c r="J66" s="828"/>
      <c r="K66" s="700"/>
      <c r="L66" s="700"/>
      <c r="M66" s="829"/>
      <c r="N66" s="700"/>
      <c r="P66" s="871"/>
    </row>
    <row r="67" spans="1:16" s="863" customFormat="1" ht="13.5" customHeight="1">
      <c r="A67" s="862"/>
      <c r="B67" s="835"/>
      <c r="C67" s="835"/>
      <c r="D67" s="836"/>
      <c r="E67" s="837"/>
      <c r="F67" s="837"/>
      <c r="G67" s="838"/>
      <c r="H67" s="852"/>
      <c r="I67" s="1678" t="s">
        <v>12339</v>
      </c>
      <c r="J67" s="1678"/>
      <c r="K67" s="1678"/>
      <c r="L67" s="856" t="s">
        <v>22</v>
      </c>
      <c r="M67" s="892">
        <f>SUM(M60:M65)</f>
        <v>0</v>
      </c>
      <c r="N67" s="700"/>
      <c r="P67" s="871"/>
    </row>
    <row r="68" spans="1:16" s="863" customFormat="1">
      <c r="A68" s="862"/>
      <c r="B68" s="835"/>
      <c r="C68" s="835"/>
      <c r="D68" s="826"/>
      <c r="E68" s="790"/>
      <c r="F68" s="700"/>
      <c r="G68" s="700"/>
      <c r="H68" s="700"/>
      <c r="I68" s="700"/>
      <c r="J68" s="700"/>
      <c r="K68" s="700"/>
      <c r="L68" s="700"/>
      <c r="M68" s="890"/>
      <c r="N68" s="700"/>
      <c r="P68" s="871"/>
    </row>
    <row r="69" spans="1:16" s="863" customFormat="1">
      <c r="A69" s="862"/>
      <c r="B69" s="835"/>
      <c r="C69" s="835"/>
      <c r="D69" s="836" t="s">
        <v>11785</v>
      </c>
      <c r="E69" s="837"/>
      <c r="F69" s="837"/>
      <c r="G69" s="838"/>
      <c r="H69" s="838"/>
      <c r="I69" s="838"/>
      <c r="J69" s="838"/>
      <c r="K69" s="856" t="s">
        <v>27</v>
      </c>
      <c r="L69" s="856" t="s">
        <v>21</v>
      </c>
      <c r="M69" s="840">
        <f>M67+M59</f>
        <v>118.4</v>
      </c>
      <c r="N69" s="700"/>
      <c r="P69" s="871"/>
    </row>
    <row r="70" spans="1:16" s="863" customFormat="1" ht="22.5" hidden="1">
      <c r="A70" s="862"/>
      <c r="B70" s="835"/>
      <c r="C70" s="835"/>
      <c r="D70" s="881"/>
      <c r="E70" s="882"/>
      <c r="F70" s="882"/>
      <c r="G70" s="700" t="s">
        <v>11676</v>
      </c>
      <c r="H70" s="700" t="s">
        <v>11669</v>
      </c>
      <c r="I70" s="700" t="s">
        <v>11674</v>
      </c>
      <c r="J70" s="700" t="s">
        <v>11675</v>
      </c>
      <c r="K70" s="700" t="s">
        <v>11667</v>
      </c>
      <c r="L70" s="883"/>
      <c r="M70" s="884"/>
      <c r="N70" s="700"/>
      <c r="P70" s="871"/>
    </row>
    <row r="71" spans="1:16" s="863" customFormat="1" hidden="1">
      <c r="A71" s="862"/>
      <c r="B71" s="835"/>
      <c r="C71" s="835"/>
      <c r="D71" s="836" t="s">
        <v>11786</v>
      </c>
      <c r="E71" s="837"/>
      <c r="F71" s="837"/>
      <c r="G71" s="838"/>
      <c r="H71" s="838"/>
      <c r="I71" s="838"/>
      <c r="J71" s="838"/>
      <c r="K71" s="838"/>
      <c r="L71" s="852" t="s">
        <v>18</v>
      </c>
      <c r="M71" s="853">
        <f>ROUND((K71/3)*((I71*J71)+SQRT((I71*J71)*(G71*H71))+(G71*H71)),2)</f>
        <v>0</v>
      </c>
      <c r="N71" s="700"/>
      <c r="P71" s="871"/>
    </row>
    <row r="72" spans="1:16" s="863" customFormat="1" ht="13.5" customHeight="1">
      <c r="A72" s="862"/>
      <c r="B72" s="835"/>
      <c r="C72" s="835"/>
      <c r="D72" s="881"/>
      <c r="E72" s="882"/>
      <c r="F72" s="882"/>
      <c r="G72" s="700"/>
      <c r="H72" s="700"/>
      <c r="I72" s="700"/>
      <c r="J72" s="700" t="s">
        <v>11696</v>
      </c>
      <c r="K72" s="700" t="s">
        <v>11641</v>
      </c>
      <c r="L72" s="883"/>
      <c r="M72" s="884"/>
      <c r="N72" s="700"/>
      <c r="P72" s="871"/>
    </row>
    <row r="73" spans="1:16" s="863" customFormat="1" ht="45">
      <c r="A73" s="862" t="s">
        <v>12371</v>
      </c>
      <c r="B73" s="835" t="s">
        <v>70</v>
      </c>
      <c r="C73" s="893">
        <v>90105</v>
      </c>
      <c r="D73" s="894" t="str">
        <f>PROPER(IF(B73="Saneago",VLOOKUP(C73,'SANEAGO-FEV.2016'!A:B,2,0),IF(B73="SINAPI",VLOOKUP(C73,'SINAPI-FEV.2017'!A:D,2,0),IF(B73="Cotação",VLOOKUP(C73,COTAÇÃO!A:D,2,0),IF(B73="Composição",VLOOKUP(C73,COMPOSIÇÃO!A:D,2,0))))))</f>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
      <c r="E73" s="895"/>
      <c r="F73" s="895"/>
      <c r="G73" s="852"/>
      <c r="H73" s="852"/>
      <c r="I73" s="852"/>
      <c r="J73" s="896">
        <f>M15</f>
        <v>0.95</v>
      </c>
      <c r="K73" s="896">
        <f>M17</f>
        <v>0.9</v>
      </c>
      <c r="L73" s="852" t="s">
        <v>22</v>
      </c>
      <c r="M73" s="853">
        <f>K73*M$69*J73</f>
        <v>101.232</v>
      </c>
      <c r="N73" s="700"/>
      <c r="P73" s="871"/>
    </row>
    <row r="74" spans="1:16" s="863" customFormat="1" hidden="1">
      <c r="A74" s="862"/>
      <c r="B74" s="835"/>
      <c r="C74" s="893"/>
      <c r="D74" s="881"/>
      <c r="E74" s="882"/>
      <c r="F74" s="882"/>
      <c r="G74" s="700"/>
      <c r="H74" s="700"/>
      <c r="I74" s="700"/>
      <c r="J74" s="700" t="s">
        <v>11696</v>
      </c>
      <c r="K74" s="700" t="s">
        <v>11641</v>
      </c>
      <c r="L74" s="883"/>
      <c r="M74" s="884"/>
      <c r="N74" s="700"/>
      <c r="P74" s="871"/>
    </row>
    <row r="75" spans="1:16" s="863" customFormat="1" ht="22.5" hidden="1">
      <c r="A75" s="862" t="s">
        <v>12372</v>
      </c>
      <c r="B75" s="835" t="s">
        <v>10852</v>
      </c>
      <c r="C75" s="893">
        <v>182</v>
      </c>
      <c r="D75" s="894" t="str">
        <f>PROPER(IF(B75="Saneago",VLOOKUP(C75,'SANEAGO-FEV.2016'!A:B,2,0),IF(B75="SINAPI",VLOOKUP(C75,'SINAPI-FEV.2017'!A:D,2,0),IF(B75="Cotação",VLOOKUP(C75,COTAÇÃO!A:D,2,0),IF(B75="Composição",VLOOKUP(C75,COMPOSIÇÃO!A:D,2,0))))))</f>
        <v>Escavação  Mecanizada  (Com Escavadeira Hidráulica)  Em Valas Com Material De 1ª Categoria - Profundidade De 2,0 A 4,0M</v>
      </c>
      <c r="E75" s="895"/>
      <c r="F75" s="895"/>
      <c r="G75" s="852"/>
      <c r="H75" s="852"/>
      <c r="I75" s="852"/>
      <c r="J75" s="896">
        <f>J73</f>
        <v>0.95</v>
      </c>
      <c r="K75" s="896">
        <f>K73</f>
        <v>0.9</v>
      </c>
      <c r="L75" s="852" t="s">
        <v>22</v>
      </c>
      <c r="M75" s="853">
        <f>K75*M$71*J75</f>
        <v>0</v>
      </c>
      <c r="N75" s="700"/>
      <c r="P75" s="871"/>
    </row>
    <row r="76" spans="1:16" s="863" customFormat="1">
      <c r="A76" s="862"/>
      <c r="B76" s="835"/>
      <c r="C76" s="893"/>
      <c r="D76" s="881"/>
      <c r="E76" s="882"/>
      <c r="F76" s="882"/>
      <c r="G76" s="700"/>
      <c r="H76" s="700"/>
      <c r="I76" s="700"/>
      <c r="J76" s="700" t="s">
        <v>11696</v>
      </c>
      <c r="K76" s="700" t="s">
        <v>11642</v>
      </c>
      <c r="L76" s="883"/>
      <c r="M76" s="884"/>
      <c r="N76" s="700"/>
      <c r="P76" s="871"/>
    </row>
    <row r="77" spans="1:16" s="863" customFormat="1" ht="33.75">
      <c r="A77" s="862" t="s">
        <v>12373</v>
      </c>
      <c r="B77" s="835" t="s">
        <v>10852</v>
      </c>
      <c r="C77" s="893">
        <v>184</v>
      </c>
      <c r="D77" s="894" t="str">
        <f>PROPER(IF(B77="Saneago",VLOOKUP(C77,'SANEAGO-FEV.2016'!A:B,2,0),IF(B77="SINAPI",VLOOKUP(C77,'SINAPI-FEV.2017'!A:D,2,0),IF(B77="Cotação",VLOOKUP(C77,COTAÇÃO!A:D,2,0),IF(B77="Composição",VLOOKUP(C77,COMPOSIÇÃO!A:D,2,0))))))</f>
        <v>Escavação  Mecanizada  (Com Escavadeira Hidráulica)  Em Valas Com Material De 2ª Categoria
- Profundidade Até 2,0 M</v>
      </c>
      <c r="E77" s="895"/>
      <c r="F77" s="895"/>
      <c r="G77" s="852"/>
      <c r="H77" s="852"/>
      <c r="I77" s="852"/>
      <c r="J77" s="896">
        <f>J75</f>
        <v>0.95</v>
      </c>
      <c r="K77" s="896">
        <f>M18</f>
        <v>0.05</v>
      </c>
      <c r="L77" s="852" t="s">
        <v>22</v>
      </c>
      <c r="M77" s="853">
        <f>K77*M$69*J77</f>
        <v>5.6240000000000006</v>
      </c>
      <c r="N77" s="700"/>
      <c r="P77" s="871"/>
    </row>
    <row r="78" spans="1:16" s="863" customFormat="1" hidden="1">
      <c r="A78" s="862"/>
      <c r="B78" s="835"/>
      <c r="C78" s="835"/>
      <c r="D78" s="881"/>
      <c r="E78" s="882"/>
      <c r="F78" s="882"/>
      <c r="G78" s="700"/>
      <c r="H78" s="700"/>
      <c r="I78" s="700"/>
      <c r="J78" s="700" t="s">
        <v>11696</v>
      </c>
      <c r="K78" s="700" t="s">
        <v>11642</v>
      </c>
      <c r="L78" s="883"/>
      <c r="M78" s="884"/>
      <c r="N78" s="700"/>
      <c r="P78" s="871"/>
    </row>
    <row r="79" spans="1:16" s="863" customFormat="1" ht="33.75" hidden="1">
      <c r="A79" s="862" t="s">
        <v>12374</v>
      </c>
      <c r="B79" s="835" t="s">
        <v>10852</v>
      </c>
      <c r="C79" s="893">
        <v>185</v>
      </c>
      <c r="D79" s="894" t="str">
        <f>PROPER(IF(B79="Saneago",VLOOKUP(C79,'SANEAGO-FEV.2016'!A:B,2,0),IF(B79="SINAPI",VLOOKUP(C79,'SINAPI-FEV.2017'!A:D,2,0),IF(B79="Cotação",VLOOKUP(C79,COTAÇÃO!A:D,2,0),IF(B79="Composição",VLOOKUP(C79,COMPOSIÇÃO!A:D,2,0))))))</f>
        <v>Escavação  Mecanizada  (Com Escavadeira Hidráulica)  Em Valas Com Material De 2ª Categoria
- Profundidade De 2,0 A 4,0 M</v>
      </c>
      <c r="E79" s="895"/>
      <c r="F79" s="895"/>
      <c r="G79" s="852"/>
      <c r="H79" s="852"/>
      <c r="I79" s="852"/>
      <c r="J79" s="896">
        <f>J77</f>
        <v>0.95</v>
      </c>
      <c r="K79" s="896">
        <f>K77</f>
        <v>0.05</v>
      </c>
      <c r="L79" s="852" t="s">
        <v>22</v>
      </c>
      <c r="M79" s="853">
        <f>K79*M$71*J79</f>
        <v>0</v>
      </c>
      <c r="N79" s="700"/>
      <c r="P79" s="871"/>
    </row>
    <row r="80" spans="1:16" s="863" customFormat="1">
      <c r="A80" s="862"/>
      <c r="B80" s="835"/>
      <c r="C80" s="835"/>
      <c r="D80" s="881"/>
      <c r="E80" s="882"/>
      <c r="F80" s="882"/>
      <c r="G80" s="700"/>
      <c r="H80" s="700"/>
      <c r="I80" s="700"/>
      <c r="J80" s="700" t="s">
        <v>11696</v>
      </c>
      <c r="K80" s="700" t="s">
        <v>11677</v>
      </c>
      <c r="L80" s="883"/>
      <c r="M80" s="884"/>
      <c r="N80" s="700"/>
      <c r="P80" s="871"/>
    </row>
    <row r="81" spans="1:16" s="863" customFormat="1" ht="22.5">
      <c r="A81" s="862" t="s">
        <v>12375</v>
      </c>
      <c r="B81" s="835" t="s">
        <v>10852</v>
      </c>
      <c r="C81" s="893">
        <v>187</v>
      </c>
      <c r="D81" s="894" t="str">
        <f>PROPER(IF(B81="Saneago",VLOOKUP(C81,'SANEAGO-FEV.2016'!A:B,2,0),IF(B81="SINAPI",VLOOKUP(C81,'SINAPI-FEV.2017'!A:D,2,0),IF(B81="Cotação",VLOOKUP(C81,COTAÇÃO!A:D,2,0),IF(B81="Composição",VLOOKUP(C81,COMPOSIÇÃO!A:D,2,0))))))</f>
        <v>Escavação  Mecanizada  (Com Escavadeira Hidráulica)  Em Valas Com Material  De Solo Mole - Profundidade Até 2,0 M</v>
      </c>
      <c r="E81" s="895"/>
      <c r="F81" s="895"/>
      <c r="G81" s="852"/>
      <c r="H81" s="852"/>
      <c r="I81" s="852"/>
      <c r="J81" s="896">
        <f>J79</f>
        <v>0.95</v>
      </c>
      <c r="K81" s="896">
        <f>M20</f>
        <v>0.05</v>
      </c>
      <c r="L81" s="852" t="s">
        <v>22</v>
      </c>
      <c r="M81" s="853">
        <f>K81*M$69*J81</f>
        <v>5.6240000000000006</v>
      </c>
      <c r="N81" s="700"/>
      <c r="P81" s="871"/>
    </row>
    <row r="82" spans="1:16" s="863" customFormat="1" hidden="1">
      <c r="A82" s="862"/>
      <c r="B82" s="835"/>
      <c r="C82" s="835"/>
      <c r="D82" s="881"/>
      <c r="E82" s="882"/>
      <c r="F82" s="882"/>
      <c r="G82" s="700"/>
      <c r="H82" s="700"/>
      <c r="I82" s="700"/>
      <c r="J82" s="700" t="s">
        <v>11696</v>
      </c>
      <c r="K82" s="700" t="s">
        <v>11677</v>
      </c>
      <c r="L82" s="883"/>
      <c r="M82" s="884"/>
      <c r="N82" s="700"/>
      <c r="P82" s="871"/>
    </row>
    <row r="83" spans="1:16" s="863" customFormat="1" ht="22.5" hidden="1">
      <c r="A83" s="862" t="s">
        <v>12376</v>
      </c>
      <c r="B83" s="835" t="s">
        <v>10852</v>
      </c>
      <c r="C83" s="893">
        <v>188</v>
      </c>
      <c r="D83" s="894" t="str">
        <f>PROPER(IF(B83="Saneago",VLOOKUP(C83,'SANEAGO-FEV.2016'!A:B,2,0),IF(B83="SINAPI",VLOOKUP(C83,'SINAPI-FEV.2017'!A:D,2,0),IF(B83="Cotação",VLOOKUP(C83,COTAÇÃO!A:D,2,0),IF(B83="Composição",VLOOKUP(C83,COMPOSIÇÃO!A:D,2,0))))))</f>
        <v>Escavação  Mecanizada  (Com Escavadeira Hidráulica)  Em Valas Com Material  De Solo Mole - Profundidade De 2,0 A 4,0 M</v>
      </c>
      <c r="E83" s="895"/>
      <c r="F83" s="895"/>
      <c r="G83" s="852"/>
      <c r="H83" s="852"/>
      <c r="I83" s="852"/>
      <c r="J83" s="896">
        <f>J81</f>
        <v>0.95</v>
      </c>
      <c r="K83" s="896">
        <f>K81</f>
        <v>0.05</v>
      </c>
      <c r="L83" s="852" t="s">
        <v>22</v>
      </c>
      <c r="M83" s="853">
        <f>K83*M$71*J83</f>
        <v>0</v>
      </c>
      <c r="N83" s="700"/>
      <c r="P83" s="871"/>
    </row>
    <row r="84" spans="1:16" s="863" customFormat="1">
      <c r="A84" s="862"/>
      <c r="B84" s="835"/>
      <c r="C84" s="835"/>
      <c r="D84" s="881"/>
      <c r="E84" s="882"/>
      <c r="F84" s="882"/>
      <c r="G84" s="700"/>
      <c r="H84" s="700"/>
      <c r="I84" s="700"/>
      <c r="J84" s="700" t="s">
        <v>11696</v>
      </c>
      <c r="K84" s="700" t="s">
        <v>11641</v>
      </c>
      <c r="L84" s="883"/>
      <c r="M84" s="884"/>
      <c r="N84" s="700"/>
      <c r="P84" s="871"/>
    </row>
    <row r="85" spans="1:16" s="863" customFormat="1">
      <c r="A85" s="862" t="s">
        <v>12377</v>
      </c>
      <c r="B85" s="835" t="s">
        <v>70</v>
      </c>
      <c r="C85" s="893">
        <v>93358</v>
      </c>
      <c r="D85" s="894" t="str">
        <f>PROPER(IF(B85="Saneago",VLOOKUP(C85,'SANEAGO-FEV.2016'!A:B,2,0),IF(B85="SINAPI",VLOOKUP(C85,'SINAPI-FEV.2017'!A:D,2,0),IF(B85="Cotação",VLOOKUP(C85,COTAÇÃO!A:D,2,0),IF(B85="Composição",VLOOKUP(C85,COMPOSIÇÃO!A:D,2,0))))))</f>
        <v>Escavação Manual De Valas. Af_03/2016</v>
      </c>
      <c r="E85" s="895"/>
      <c r="F85" s="895"/>
      <c r="G85" s="852"/>
      <c r="H85" s="852"/>
      <c r="I85" s="852"/>
      <c r="J85" s="896">
        <f>M16</f>
        <v>0.05</v>
      </c>
      <c r="K85" s="896">
        <f>K73</f>
        <v>0.9</v>
      </c>
      <c r="L85" s="852" t="s">
        <v>22</v>
      </c>
      <c r="M85" s="853">
        <f>K85*M$69*J85</f>
        <v>5.3280000000000003</v>
      </c>
      <c r="N85" s="700"/>
      <c r="P85" s="871"/>
    </row>
    <row r="86" spans="1:16" s="863" customFormat="1" hidden="1">
      <c r="A86" s="862"/>
      <c r="B86" s="835"/>
      <c r="C86" s="893"/>
      <c r="D86" s="881"/>
      <c r="E86" s="882"/>
      <c r="F86" s="882"/>
      <c r="G86" s="700"/>
      <c r="H86" s="700"/>
      <c r="I86" s="700"/>
      <c r="J86" s="700" t="s">
        <v>11696</v>
      </c>
      <c r="K86" s="700" t="s">
        <v>11641</v>
      </c>
      <c r="L86" s="883"/>
      <c r="M86" s="884"/>
      <c r="N86" s="700"/>
      <c r="P86" s="871"/>
    </row>
    <row r="87" spans="1:16" s="863" customFormat="1" hidden="1">
      <c r="A87" s="862" t="s">
        <v>12378</v>
      </c>
      <c r="B87" s="835" t="s">
        <v>10852</v>
      </c>
      <c r="C87" s="893">
        <v>169</v>
      </c>
      <c r="D87" s="894" t="str">
        <f>PROPER(IF(B87="Saneago",VLOOKUP(C87,'SANEAGO-FEV.2016'!A:B,2,0),IF(B87="SINAPI",VLOOKUP(C87,'SINAPI-FEV.2017'!A:D,2,0),IF(B87="Cotação",VLOOKUP(C87,COTAÇÃO!A:D,2,0),IF(B87="Composição",VLOOKUP(C87,COMPOSIÇÃO!A:D,2,0))))))</f>
        <v>Escavação  Manual Em Valas Com Material De 1ª Categoria  - Profundidade De 2,0 A 4,0 M</v>
      </c>
      <c r="E87" s="895"/>
      <c r="F87" s="895"/>
      <c r="G87" s="852"/>
      <c r="H87" s="852"/>
      <c r="I87" s="852"/>
      <c r="J87" s="896">
        <f>J85</f>
        <v>0.05</v>
      </c>
      <c r="K87" s="896">
        <f>K75</f>
        <v>0.9</v>
      </c>
      <c r="L87" s="852" t="s">
        <v>22</v>
      </c>
      <c r="M87" s="853">
        <f>K87*M$71*J87</f>
        <v>0</v>
      </c>
      <c r="N87" s="700"/>
      <c r="P87" s="871"/>
    </row>
    <row r="88" spans="1:16" s="863" customFormat="1">
      <c r="A88" s="862"/>
      <c r="B88" s="835"/>
      <c r="C88" s="893"/>
      <c r="D88" s="881"/>
      <c r="E88" s="882"/>
      <c r="F88" s="882"/>
      <c r="G88" s="700"/>
      <c r="H88" s="700"/>
      <c r="I88" s="700"/>
      <c r="J88" s="700" t="s">
        <v>11696</v>
      </c>
      <c r="K88" s="700" t="s">
        <v>11642</v>
      </c>
      <c r="L88" s="883"/>
      <c r="M88" s="884"/>
      <c r="N88" s="700"/>
      <c r="P88" s="871"/>
    </row>
    <row r="89" spans="1:16" s="863" customFormat="1">
      <c r="A89" s="862" t="s">
        <v>12379</v>
      </c>
      <c r="B89" s="835" t="s">
        <v>10852</v>
      </c>
      <c r="C89" s="893">
        <v>170</v>
      </c>
      <c r="D89" s="894" t="str">
        <f>PROPER(IF(B89="Saneago",VLOOKUP(C89,'SANEAGO-FEV.2016'!A:B,2,0),IF(B89="SINAPI",VLOOKUP(C89,'SINAPI-FEV.2017'!A:D,2,0),IF(B89="Cotação",VLOOKUP(C89,COTAÇÃO!A:D,2,0),IF(B89="Composição",VLOOKUP(C89,COMPOSIÇÃO!A:D,2,0))))))</f>
        <v>Escavação  Manual Em Valas Com Material De 2ª Categoria  - Profundidade Até 2,0 M</v>
      </c>
      <c r="E89" s="895"/>
      <c r="F89" s="895"/>
      <c r="G89" s="852"/>
      <c r="H89" s="852"/>
      <c r="I89" s="852"/>
      <c r="J89" s="896">
        <f>J87</f>
        <v>0.05</v>
      </c>
      <c r="K89" s="896">
        <f>K77</f>
        <v>0.05</v>
      </c>
      <c r="L89" s="852" t="s">
        <v>22</v>
      </c>
      <c r="M89" s="853">
        <f>K89*M$69*J89</f>
        <v>0.29600000000000004</v>
      </c>
      <c r="N89" s="700"/>
      <c r="P89" s="871"/>
    </row>
    <row r="90" spans="1:16" s="863" customFormat="1" hidden="1">
      <c r="A90" s="862"/>
      <c r="B90" s="835"/>
      <c r="C90" s="835"/>
      <c r="D90" s="881"/>
      <c r="E90" s="882"/>
      <c r="F90" s="882"/>
      <c r="G90" s="700"/>
      <c r="H90" s="700"/>
      <c r="I90" s="700"/>
      <c r="J90" s="700" t="s">
        <v>11696</v>
      </c>
      <c r="K90" s="700" t="s">
        <v>11642</v>
      </c>
      <c r="L90" s="883"/>
      <c r="M90" s="884"/>
      <c r="N90" s="700"/>
      <c r="P90" s="871"/>
    </row>
    <row r="91" spans="1:16" s="863" customFormat="1" hidden="1">
      <c r="A91" s="862" t="s">
        <v>12380</v>
      </c>
      <c r="B91" s="835" t="s">
        <v>10852</v>
      </c>
      <c r="C91" s="893">
        <v>171</v>
      </c>
      <c r="D91" s="894" t="str">
        <f>PROPER(IF(B91="Saneago",VLOOKUP(C91,'SANEAGO-FEV.2016'!A:B,2,0),IF(B91="SINAPI",VLOOKUP(C91,'SINAPI-FEV.2017'!A:D,2,0),IF(B91="Cotação",VLOOKUP(C91,COTAÇÃO!A:D,2,0),IF(B91="Composição",VLOOKUP(C91,COMPOSIÇÃO!A:D,2,0))))))</f>
        <v>Escavação  Manual Em Valas Com Material De 2ª Categoria  - Profundidade De 2,0 A 4,0 M</v>
      </c>
      <c r="E91" s="895"/>
      <c r="F91" s="895"/>
      <c r="G91" s="852"/>
      <c r="H91" s="852"/>
      <c r="I91" s="852"/>
      <c r="J91" s="896">
        <f>J89</f>
        <v>0.05</v>
      </c>
      <c r="K91" s="896">
        <f>K79</f>
        <v>0.05</v>
      </c>
      <c r="L91" s="852" t="s">
        <v>22</v>
      </c>
      <c r="M91" s="853">
        <f>K91*M$71*J91</f>
        <v>0</v>
      </c>
      <c r="N91" s="700"/>
      <c r="P91" s="871"/>
    </row>
    <row r="92" spans="1:16" s="863" customFormat="1" ht="13.5" customHeight="1">
      <c r="A92" s="862"/>
      <c r="B92" s="835"/>
      <c r="C92" s="835"/>
      <c r="D92" s="881"/>
      <c r="E92" s="882"/>
      <c r="F92" s="882"/>
      <c r="G92" s="700"/>
      <c r="H92" s="700"/>
      <c r="I92" s="700"/>
      <c r="J92" s="700" t="s">
        <v>11696</v>
      </c>
      <c r="K92" s="700" t="s">
        <v>11677</v>
      </c>
      <c r="L92" s="883"/>
      <c r="M92" s="884"/>
      <c r="N92" s="700"/>
      <c r="P92" s="871"/>
    </row>
    <row r="93" spans="1:16" s="863" customFormat="1" ht="25.5" customHeight="1">
      <c r="A93" s="862" t="s">
        <v>12381</v>
      </c>
      <c r="B93" s="835" t="s">
        <v>10852</v>
      </c>
      <c r="C93" s="893">
        <v>172</v>
      </c>
      <c r="D93" s="894" t="str">
        <f>PROPER(IF(B93="Saneago",VLOOKUP(C93,'SANEAGO-FEV.2016'!A:B,2,0),IF(B93="SINAPI",VLOOKUP(C93,'SINAPI-FEV.2017'!A:D,2,0),IF(B93="Cotação",VLOOKUP(C93,COTAÇÃO!A:D,2,0),IF(B93="Composição",VLOOKUP(C93,COMPOSIÇÃO!A:D,2,0))))))</f>
        <v>Escavação   Manual   Em  Valas  Com  Material   De  3ª  Categoria   Sem  Uso  De  Explosivo   Com Utilização  De Compressor E Rompedor  -  Profundidade Até 2,0M</v>
      </c>
      <c r="E93" s="895"/>
      <c r="F93" s="895"/>
      <c r="G93" s="852"/>
      <c r="H93" s="852"/>
      <c r="I93" s="852"/>
      <c r="J93" s="896">
        <f>J91</f>
        <v>0.05</v>
      </c>
      <c r="K93" s="896">
        <f>K81</f>
        <v>0.05</v>
      </c>
      <c r="L93" s="852" t="s">
        <v>22</v>
      </c>
      <c r="M93" s="853">
        <f>K93*M$69*J93</f>
        <v>0.29600000000000004</v>
      </c>
      <c r="N93" s="700"/>
      <c r="P93" s="871"/>
    </row>
    <row r="94" spans="1:16" s="863" customFormat="1" ht="13.5" hidden="1" customHeight="1">
      <c r="A94" s="862"/>
      <c r="B94" s="835"/>
      <c r="C94" s="835"/>
      <c r="D94" s="881"/>
      <c r="E94" s="882"/>
      <c r="F94" s="882"/>
      <c r="G94" s="700"/>
      <c r="H94" s="700"/>
      <c r="I94" s="700"/>
      <c r="J94" s="700" t="s">
        <v>11696</v>
      </c>
      <c r="K94" s="700" t="s">
        <v>11677</v>
      </c>
      <c r="L94" s="883"/>
      <c r="M94" s="884"/>
      <c r="N94" s="700"/>
      <c r="P94" s="871"/>
    </row>
    <row r="95" spans="1:16" s="863" customFormat="1" ht="22.5" hidden="1" customHeight="1">
      <c r="A95" s="862" t="s">
        <v>12382</v>
      </c>
      <c r="B95" s="835" t="s">
        <v>10852</v>
      </c>
      <c r="C95" s="893">
        <v>173</v>
      </c>
      <c r="D95" s="894" t="str">
        <f>PROPER(IF(B95="Saneago",VLOOKUP(C95,'SANEAGO-FEV.2016'!A:B,2,0),IF(B95="SINAPI",VLOOKUP(C95,'SINAPI-FEV.2017'!A:D,2,0),IF(B95="Cotação",VLOOKUP(C95,COTAÇÃO!A:D,2,0),IF(B95="Composição",VLOOKUP(C95,COMPOSIÇÃO!A:D,2,0))))))</f>
        <v>Escavação   Manual   Em  Valas  Com  Material   De  3ª  Categoria   Sem  Uso  De  Explosivo   Com Utilização  De Compressor E Rompedor   - Profundidade De 2,0 A 4,0M</v>
      </c>
      <c r="E95" s="895"/>
      <c r="F95" s="895"/>
      <c r="G95" s="852"/>
      <c r="H95" s="852"/>
      <c r="I95" s="852"/>
      <c r="J95" s="896">
        <f>J93</f>
        <v>0.05</v>
      </c>
      <c r="K95" s="896">
        <f>K83</f>
        <v>0.05</v>
      </c>
      <c r="L95" s="852" t="s">
        <v>22</v>
      </c>
      <c r="M95" s="853">
        <f>K95*M$71*J95</f>
        <v>0</v>
      </c>
      <c r="N95" s="700"/>
      <c r="P95" s="871"/>
    </row>
    <row r="96" spans="1:16" s="863" customFormat="1">
      <c r="A96" s="862"/>
      <c r="B96" s="835"/>
      <c r="C96" s="835"/>
      <c r="D96" s="826"/>
      <c r="E96" s="790"/>
      <c r="F96" s="790"/>
      <c r="G96" s="700" t="s">
        <v>30</v>
      </c>
      <c r="H96" s="700" t="s">
        <v>30</v>
      </c>
      <c r="I96" s="700" t="s">
        <v>30</v>
      </c>
      <c r="J96" s="700" t="s">
        <v>30</v>
      </c>
      <c r="K96" s="700" t="s">
        <v>30</v>
      </c>
      <c r="L96" s="828"/>
      <c r="M96" s="829"/>
      <c r="N96" s="700"/>
      <c r="P96" s="871"/>
    </row>
    <row r="97" spans="1:16" s="863" customFormat="1" ht="12.75" customHeight="1">
      <c r="A97" s="862" t="s">
        <v>12383</v>
      </c>
      <c r="B97" s="835" t="s">
        <v>70</v>
      </c>
      <c r="C97" s="893" t="s">
        <v>15726</v>
      </c>
      <c r="D97" s="836" t="str">
        <f>PROPER(IF(B97="Saneago",VLOOKUP(C97,'SANEAGO-FEV.2016'!A:B,2,0),IF(B97="SINAPI",VLOOKUP(C97,'SINAPI-FEV.2017'!A:D,2,0),IF(B97="Cotação",VLOOKUP(C97,COTAÇÃO!A:D,2,0),IF(B97="Composição",VLOOKUP(C97,COMPOSIÇÃO!A:D,2,0))))))</f>
        <v>Esgotamento Com Moto-Bomba Autoescovante</v>
      </c>
      <c r="E97" s="837"/>
      <c r="F97" s="837"/>
      <c r="G97" s="838"/>
      <c r="H97" s="852"/>
      <c r="I97" s="852"/>
      <c r="J97" s="838"/>
      <c r="K97" s="838"/>
      <c r="L97" s="838" t="s">
        <v>57</v>
      </c>
      <c r="M97" s="853">
        <v>5</v>
      </c>
      <c r="N97" s="700"/>
      <c r="P97" s="871"/>
    </row>
    <row r="98" spans="1:16" s="863" customFormat="1" ht="12.75" customHeight="1">
      <c r="A98" s="862"/>
      <c r="B98" s="835"/>
      <c r="C98" s="835"/>
      <c r="D98" s="826"/>
      <c r="E98" s="790"/>
      <c r="F98" s="790"/>
      <c r="G98" s="897"/>
      <c r="H98" s="854"/>
      <c r="I98" s="700" t="s">
        <v>1275</v>
      </c>
      <c r="J98" s="828" t="s">
        <v>17</v>
      </c>
      <c r="K98" s="828" t="s">
        <v>19</v>
      </c>
      <c r="L98" s="828"/>
      <c r="M98" s="829"/>
      <c r="N98" s="700"/>
      <c r="P98" s="871"/>
    </row>
    <row r="99" spans="1:16" s="863" customFormat="1" ht="12.75" customHeight="1">
      <c r="A99" s="862"/>
      <c r="B99" s="835"/>
      <c r="C99" s="835"/>
      <c r="D99" s="899"/>
      <c r="E99" s="824"/>
      <c r="F99" s="790"/>
      <c r="G99" s="1674" t="s">
        <v>12407</v>
      </c>
      <c r="H99" s="1674"/>
      <c r="I99" s="700">
        <f>I37</f>
        <v>1</v>
      </c>
      <c r="J99" s="700">
        <f>J37</f>
        <v>9</v>
      </c>
      <c r="K99" s="700">
        <f>K37</f>
        <v>3.8</v>
      </c>
      <c r="L99" s="828" t="s">
        <v>21</v>
      </c>
      <c r="M99" s="829">
        <f>(J99*K99*I99)</f>
        <v>34.199999999999996</v>
      </c>
      <c r="N99" s="700"/>
      <c r="P99" s="871"/>
    </row>
    <row r="100" spans="1:16" s="863" customFormat="1" ht="12.75" customHeight="1">
      <c r="A100" s="862"/>
      <c r="B100" s="835"/>
      <c r="C100" s="835"/>
      <c r="D100" s="899"/>
      <c r="E100" s="824"/>
      <c r="F100" s="790"/>
      <c r="G100" s="1674" t="s">
        <v>12416</v>
      </c>
      <c r="H100" s="1674"/>
      <c r="I100" s="700">
        <f t="shared" ref="I100:K103" si="2">I38</f>
        <v>1</v>
      </c>
      <c r="J100" s="700">
        <f t="shared" si="2"/>
        <v>5.2</v>
      </c>
      <c r="K100" s="700">
        <f t="shared" si="2"/>
        <v>1.05</v>
      </c>
      <c r="L100" s="828" t="s">
        <v>21</v>
      </c>
      <c r="M100" s="829">
        <f>(J100*K100*I100)</f>
        <v>5.4600000000000009</v>
      </c>
      <c r="N100" s="700"/>
      <c r="P100" s="871"/>
    </row>
    <row r="101" spans="1:16" s="863" customFormat="1" ht="12.75" customHeight="1">
      <c r="A101" s="862"/>
      <c r="B101" s="835"/>
      <c r="C101" s="835"/>
      <c r="D101" s="899"/>
      <c r="E101" s="824"/>
      <c r="F101" s="790"/>
      <c r="G101" s="1674" t="s">
        <v>11788</v>
      </c>
      <c r="H101" s="1674"/>
      <c r="I101" s="700">
        <f t="shared" si="2"/>
        <v>1</v>
      </c>
      <c r="J101" s="700">
        <f t="shared" si="2"/>
        <v>2</v>
      </c>
      <c r="K101" s="700">
        <f t="shared" si="2"/>
        <v>0.5</v>
      </c>
      <c r="L101" s="828" t="s">
        <v>21</v>
      </c>
      <c r="M101" s="829">
        <f>(J101*K101*I101)</f>
        <v>1</v>
      </c>
      <c r="N101" s="700"/>
      <c r="P101" s="871"/>
    </row>
    <row r="102" spans="1:16" s="863" customFormat="1" ht="12.75" customHeight="1">
      <c r="A102" s="862"/>
      <c r="B102" s="835"/>
      <c r="C102" s="835"/>
      <c r="D102" s="899"/>
      <c r="E102" s="824"/>
      <c r="F102" s="790"/>
      <c r="G102" s="1674" t="s">
        <v>12417</v>
      </c>
      <c r="H102" s="1674"/>
      <c r="I102" s="700">
        <f t="shared" si="2"/>
        <v>1</v>
      </c>
      <c r="J102" s="700">
        <f t="shared" si="2"/>
        <v>0.7</v>
      </c>
      <c r="K102" s="700">
        <f t="shared" si="2"/>
        <v>0.55000000000000004</v>
      </c>
      <c r="L102" s="828" t="s">
        <v>21</v>
      </c>
      <c r="M102" s="829">
        <f>(J102*K102*I102)</f>
        <v>0.38500000000000001</v>
      </c>
      <c r="N102" s="700"/>
      <c r="P102" s="871"/>
    </row>
    <row r="103" spans="1:16" s="863" customFormat="1" ht="12.75" customHeight="1">
      <c r="A103" s="862"/>
      <c r="B103" s="835"/>
      <c r="C103" s="835"/>
      <c r="D103" s="899"/>
      <c r="E103" s="824"/>
      <c r="F103" s="790"/>
      <c r="G103" s="1674" t="s">
        <v>12418</v>
      </c>
      <c r="H103" s="1674"/>
      <c r="I103" s="700">
        <f t="shared" si="2"/>
        <v>23</v>
      </c>
      <c r="J103" s="700">
        <f t="shared" si="2"/>
        <v>0.5</v>
      </c>
      <c r="K103" s="700">
        <f t="shared" si="2"/>
        <v>0.5</v>
      </c>
      <c r="L103" s="828" t="s">
        <v>21</v>
      </c>
      <c r="M103" s="829">
        <f>(J103*K103*I103)</f>
        <v>5.75</v>
      </c>
      <c r="N103" s="700"/>
      <c r="P103" s="871"/>
    </row>
    <row r="104" spans="1:16" s="863" customFormat="1">
      <c r="A104" s="862"/>
      <c r="B104" s="835"/>
      <c r="C104" s="835"/>
      <c r="D104" s="826"/>
      <c r="E104" s="790"/>
      <c r="F104" s="790"/>
      <c r="G104" s="897"/>
      <c r="H104" s="854"/>
      <c r="I104" s="700"/>
      <c r="J104" s="828"/>
      <c r="K104" s="828"/>
      <c r="L104" s="828"/>
      <c r="M104" s="829"/>
      <c r="N104" s="700"/>
      <c r="P104" s="871"/>
    </row>
    <row r="105" spans="1:16" s="863" customFormat="1" ht="12.75" customHeight="1">
      <c r="A105" s="862" t="s">
        <v>12384</v>
      </c>
      <c r="B105" s="898" t="s">
        <v>70</v>
      </c>
      <c r="C105" s="898">
        <v>79472</v>
      </c>
      <c r="D105" s="836" t="str">
        <f>PROPER(IF(B105="Saneago",VLOOKUP(C105,'SANEAGO-FEV.2016'!A:B,2,0),IF(B105="SINAPI",VLOOKUP(C105,'SINAPI-FEV.2017'!A:D,2,0),IF(B105="Cotação",VLOOKUP(C105,COTAÇÃO!A:D,2,0),IF(B105="Composição",VLOOKUP(C105,COMPOSIÇÃO!A:D,2,0))))))</f>
        <v>Regularizacao De Superficies Em Terra Com Motoniveladora</v>
      </c>
      <c r="E105" s="837"/>
      <c r="F105" s="837"/>
      <c r="G105" s="838"/>
      <c r="H105" s="852"/>
      <c r="I105" s="852"/>
      <c r="J105" s="838"/>
      <c r="K105" s="856" t="s">
        <v>27</v>
      </c>
      <c r="L105" s="856" t="s">
        <v>21</v>
      </c>
      <c r="M105" s="840">
        <f>SUM(M99:M103)</f>
        <v>46.794999999999995</v>
      </c>
      <c r="N105" s="700"/>
      <c r="P105" s="871"/>
    </row>
    <row r="106" spans="1:16" s="863" customFormat="1" ht="12.75" customHeight="1">
      <c r="A106" s="862"/>
      <c r="B106" s="835"/>
      <c r="C106" s="835"/>
      <c r="D106" s="826"/>
      <c r="E106" s="790"/>
      <c r="F106" s="790"/>
      <c r="G106" s="828"/>
      <c r="H106" s="700"/>
      <c r="I106" s="828" t="s">
        <v>11680</v>
      </c>
      <c r="J106" s="828" t="s">
        <v>11681</v>
      </c>
      <c r="K106" s="816" t="s">
        <v>30</v>
      </c>
      <c r="L106" s="828" t="s">
        <v>30</v>
      </c>
      <c r="M106" s="877" t="s">
        <v>30</v>
      </c>
      <c r="N106" s="700"/>
      <c r="P106" s="871"/>
    </row>
    <row r="107" spans="1:16" s="863" customFormat="1" ht="12.75" customHeight="1">
      <c r="A107" s="862"/>
      <c r="B107" s="835"/>
      <c r="C107" s="835"/>
      <c r="D107" s="826"/>
      <c r="E107" s="790"/>
      <c r="F107" s="790"/>
      <c r="G107" s="1674" t="s">
        <v>12407</v>
      </c>
      <c r="H107" s="1674"/>
      <c r="I107" s="889">
        <f>M53</f>
        <v>36.22</v>
      </c>
      <c r="J107" s="889">
        <f>I37*J37*K37*J53</f>
        <v>15.389999999999999</v>
      </c>
      <c r="K107" s="816"/>
      <c r="L107" s="828" t="s">
        <v>22</v>
      </c>
      <c r="M107" s="829">
        <f>I107-J107</f>
        <v>20.83</v>
      </c>
      <c r="N107" s="700"/>
      <c r="P107" s="871"/>
    </row>
    <row r="108" spans="1:16" s="863" customFormat="1" ht="12.75" customHeight="1">
      <c r="A108" s="862"/>
      <c r="B108" s="835"/>
      <c r="C108" s="835"/>
      <c r="D108" s="826"/>
      <c r="E108" s="790"/>
      <c r="F108" s="790"/>
      <c r="G108" s="1674" t="s">
        <v>12416</v>
      </c>
      <c r="H108" s="1674"/>
      <c r="I108" s="889">
        <f>M54</f>
        <v>5.54</v>
      </c>
      <c r="J108" s="889">
        <f>I38*J38*K38*J54</f>
        <v>0.81900000000000006</v>
      </c>
      <c r="K108" s="816"/>
      <c r="L108" s="828" t="s">
        <v>22</v>
      </c>
      <c r="M108" s="829">
        <f>I108-J108</f>
        <v>4.7210000000000001</v>
      </c>
      <c r="N108" s="700"/>
      <c r="P108" s="871"/>
    </row>
    <row r="109" spans="1:16" s="863" customFormat="1" ht="12.75" customHeight="1">
      <c r="A109" s="862"/>
      <c r="B109" s="835"/>
      <c r="C109" s="835"/>
      <c r="D109" s="826"/>
      <c r="E109" s="790"/>
      <c r="F109" s="790"/>
      <c r="G109" s="1674" t="s">
        <v>11788</v>
      </c>
      <c r="H109" s="1674"/>
      <c r="I109" s="889">
        <f>M55</f>
        <v>5.0199999999999996</v>
      </c>
      <c r="J109" s="889">
        <f>I39*J39*K39*J55</f>
        <v>0.5</v>
      </c>
      <c r="K109" s="816"/>
      <c r="L109" s="828" t="s">
        <v>22</v>
      </c>
      <c r="M109" s="829">
        <f>I109-J109</f>
        <v>4.5199999999999996</v>
      </c>
      <c r="N109" s="700"/>
      <c r="P109" s="871"/>
    </row>
    <row r="110" spans="1:16" s="863" customFormat="1" ht="14.25" customHeight="1">
      <c r="A110" s="862"/>
      <c r="B110" s="835"/>
      <c r="C110" s="835"/>
      <c r="D110" s="826"/>
      <c r="E110" s="790"/>
      <c r="F110" s="790"/>
      <c r="G110" s="1674" t="s">
        <v>12417</v>
      </c>
      <c r="H110" s="1674"/>
      <c r="I110" s="889">
        <f>M56</f>
        <v>4.9400000000000004</v>
      </c>
      <c r="J110" s="889">
        <f>I40*J40*K40*J56</f>
        <v>0.28875000000000001</v>
      </c>
      <c r="K110" s="828"/>
      <c r="L110" s="828" t="s">
        <v>22</v>
      </c>
      <c r="M110" s="829">
        <f>I110-J110</f>
        <v>4.6512500000000001</v>
      </c>
      <c r="N110" s="700"/>
      <c r="P110" s="871"/>
    </row>
    <row r="111" spans="1:16" s="863" customFormat="1" ht="14.25" customHeight="1">
      <c r="A111" s="862"/>
      <c r="B111" s="835"/>
      <c r="C111" s="835"/>
      <c r="D111" s="826"/>
      <c r="E111" s="790"/>
      <c r="F111" s="790"/>
      <c r="G111" s="1674" t="s">
        <v>12418</v>
      </c>
      <c r="H111" s="1674"/>
      <c r="I111" s="889">
        <f>M57</f>
        <v>66.680000000000007</v>
      </c>
      <c r="J111" s="889">
        <f>I41*J41*K41*J57</f>
        <v>2.875</v>
      </c>
      <c r="K111" s="828"/>
      <c r="L111" s="828" t="s">
        <v>22</v>
      </c>
      <c r="M111" s="829">
        <f>I111-J111</f>
        <v>63.805000000000007</v>
      </c>
      <c r="N111" s="700"/>
      <c r="P111" s="871"/>
    </row>
    <row r="112" spans="1:16" s="863" customFormat="1" ht="14.25" customHeight="1">
      <c r="A112" s="862"/>
      <c r="B112" s="835"/>
      <c r="C112" s="835"/>
      <c r="D112" s="899"/>
      <c r="E112" s="824"/>
      <c r="F112" s="824"/>
      <c r="G112" s="854"/>
      <c r="H112" s="854"/>
      <c r="I112" s="889"/>
      <c r="J112" s="889"/>
      <c r="K112" s="828"/>
      <c r="L112" s="828"/>
      <c r="M112" s="829"/>
      <c r="N112" s="700"/>
      <c r="P112" s="871"/>
    </row>
    <row r="113" spans="1:18" s="863" customFormat="1" ht="14.25" customHeight="1">
      <c r="A113" s="862"/>
      <c r="B113" s="835"/>
      <c r="C113" s="835"/>
      <c r="D113" s="836" t="s">
        <v>11679</v>
      </c>
      <c r="E113" s="837"/>
      <c r="F113" s="837"/>
      <c r="G113" s="828"/>
      <c r="H113" s="828"/>
      <c r="I113" s="828"/>
      <c r="J113" s="1678" t="s">
        <v>42</v>
      </c>
      <c r="K113" s="1678"/>
      <c r="L113" s="901" t="s">
        <v>22</v>
      </c>
      <c r="M113" s="902">
        <f>SUM(M107:M111)</f>
        <v>98.527250000000009</v>
      </c>
      <c r="N113" s="700"/>
      <c r="P113" s="871"/>
    </row>
    <row r="114" spans="1:18" s="863" customFormat="1">
      <c r="A114" s="862"/>
      <c r="B114" s="835"/>
      <c r="C114" s="835"/>
      <c r="D114" s="903" t="s">
        <v>73</v>
      </c>
      <c r="E114" s="790"/>
      <c r="F114" s="790"/>
      <c r="G114" s="883" t="s">
        <v>30</v>
      </c>
      <c r="H114" s="883" t="s">
        <v>30</v>
      </c>
      <c r="I114" s="883" t="s">
        <v>30</v>
      </c>
      <c r="J114" s="883" t="s">
        <v>42</v>
      </c>
      <c r="K114" s="883" t="s">
        <v>50</v>
      </c>
      <c r="L114" s="883"/>
      <c r="M114" s="884"/>
      <c r="N114" s="700"/>
      <c r="P114" s="871"/>
    </row>
    <row r="115" spans="1:18" s="863" customFormat="1" ht="33.75">
      <c r="A115" s="862" t="s">
        <v>12385</v>
      </c>
      <c r="B115" s="835" t="s">
        <v>70</v>
      </c>
      <c r="C115" s="835">
        <v>93367</v>
      </c>
      <c r="D115" s="836" t="str">
        <f>PROPER(IF(B115="Saneago",VLOOKUP(C115,'SANEAGO-FEV.2016'!A:B,2,0),IF(B115="SINAPI",VLOOKUP(C115,'SINAPI-FEV.2017'!A:D,2,0),IF(B115="Cotação",VLOOKUP(C115,COTAÇÃO!A:D,2,0),IF(B115="Composição",VLOOKUP(C115,COMPOSIÇÃO!A:D,2,0))))))</f>
        <v>Reaterro Mecanizado De Vala Com Escavadeira Hidráulica (Capacidade Da Caçamba: 0,8 M³ / Potência: 111 Hp), Largura De 1,5 A 2,5 M, Profundidade Até 1,5 M, Com Solo (Sem Substituição) De 1ª Categoria Em Locais Com Baixo Nível De Interferência. Af_04/2016</v>
      </c>
      <c r="E115" s="837"/>
      <c r="F115" s="837"/>
      <c r="G115" s="852"/>
      <c r="H115" s="852"/>
      <c r="I115" s="852"/>
      <c r="J115" s="838">
        <f>M113</f>
        <v>98.527250000000009</v>
      </c>
      <c r="K115" s="896">
        <f>M24</f>
        <v>0.9</v>
      </c>
      <c r="L115" s="852" t="s">
        <v>22</v>
      </c>
      <c r="M115" s="853">
        <f>J115*K115</f>
        <v>88.674525000000017</v>
      </c>
      <c r="N115" s="700"/>
      <c r="P115" s="871"/>
    </row>
    <row r="116" spans="1:18" s="863" customFormat="1">
      <c r="A116" s="862"/>
      <c r="B116" s="835"/>
      <c r="C116" s="835"/>
      <c r="D116" s="881"/>
      <c r="E116" s="882"/>
      <c r="F116" s="882"/>
      <c r="G116" s="700" t="s">
        <v>30</v>
      </c>
      <c r="H116" s="700" t="s">
        <v>30</v>
      </c>
      <c r="I116" s="700" t="s">
        <v>30</v>
      </c>
      <c r="J116" s="828" t="s">
        <v>42</v>
      </c>
      <c r="K116" s="828" t="s">
        <v>79</v>
      </c>
      <c r="L116" s="828"/>
      <c r="M116" s="829"/>
      <c r="N116" s="700"/>
      <c r="P116" s="871"/>
    </row>
    <row r="117" spans="1:18" s="863" customFormat="1">
      <c r="A117" s="862" t="s">
        <v>12386</v>
      </c>
      <c r="B117" s="835" t="s">
        <v>70</v>
      </c>
      <c r="C117" s="835" t="s">
        <v>18237</v>
      </c>
      <c r="D117" s="836" t="str">
        <f>PROPER(IF(B117="Saneago",VLOOKUP(C117,'SANEAGO-FEV.2016'!A:B,2,0),IF(B117="SINAPI",VLOOKUP(C117,'SINAPI-FEV.2017'!A:D,2,0),IF(B117="Cotação",VLOOKUP(C117,COTAÇÃO!A:D,2,0),IF(B117="Composição",VLOOKUP(C117,COMPOSIÇÃO!A:D,2,0))))))</f>
        <v>Reaterro De Vala Com Compactação Manual</v>
      </c>
      <c r="E117" s="837"/>
      <c r="F117" s="837"/>
      <c r="G117" s="838"/>
      <c r="H117" s="838"/>
      <c r="I117" s="838"/>
      <c r="J117" s="838">
        <f>J115</f>
        <v>98.527250000000009</v>
      </c>
      <c r="K117" s="904">
        <f>M23</f>
        <v>0.1</v>
      </c>
      <c r="L117" s="838" t="s">
        <v>22</v>
      </c>
      <c r="M117" s="853">
        <f>J117*K117</f>
        <v>9.8527250000000013</v>
      </c>
      <c r="N117" s="700"/>
      <c r="P117" s="871"/>
    </row>
    <row r="118" spans="1:18" s="824" customFormat="1" ht="10.5" customHeight="1" thickBot="1">
      <c r="A118" s="905"/>
      <c r="B118" s="906"/>
      <c r="C118" s="906"/>
      <c r="D118" s="826"/>
      <c r="E118" s="790"/>
      <c r="F118" s="790"/>
      <c r="G118" s="700"/>
      <c r="H118" s="700"/>
      <c r="I118" s="700"/>
      <c r="J118" s="907"/>
      <c r="K118" s="700"/>
      <c r="L118" s="700"/>
      <c r="M118" s="827"/>
      <c r="N118" s="700"/>
      <c r="O118" s="863"/>
      <c r="P118" s="871"/>
      <c r="Q118" s="863"/>
      <c r="R118" s="863"/>
    </row>
    <row r="119" spans="1:18" s="824" customFormat="1" ht="14.25" thickTop="1" thickBot="1">
      <c r="A119" s="905"/>
      <c r="B119" s="906"/>
      <c r="C119" s="906"/>
      <c r="D119" s="830" t="s">
        <v>47</v>
      </c>
      <c r="E119" s="831"/>
      <c r="F119" s="831"/>
      <c r="G119" s="831"/>
      <c r="H119" s="831"/>
      <c r="I119" s="831"/>
      <c r="J119" s="831"/>
      <c r="K119" s="831"/>
      <c r="L119" s="832" t="s">
        <v>25</v>
      </c>
      <c r="M119" s="833" t="s">
        <v>27</v>
      </c>
      <c r="N119" s="700"/>
      <c r="O119" s="863"/>
      <c r="P119" s="871"/>
      <c r="Q119" s="863"/>
      <c r="R119" s="863"/>
    </row>
    <row r="120" spans="1:18" s="824" customFormat="1" ht="13.5" thickTop="1">
      <c r="A120" s="905"/>
      <c r="B120" s="906"/>
      <c r="C120" s="906"/>
      <c r="D120" s="826"/>
      <c r="E120" s="790"/>
      <c r="F120" s="790"/>
      <c r="G120" s="828" t="s">
        <v>30</v>
      </c>
      <c r="H120" s="828" t="s">
        <v>30</v>
      </c>
      <c r="I120" s="828" t="s">
        <v>58</v>
      </c>
      <c r="J120" s="828" t="s">
        <v>39</v>
      </c>
      <c r="K120" s="828" t="s">
        <v>35</v>
      </c>
      <c r="L120" s="828"/>
      <c r="M120" s="829"/>
      <c r="N120" s="700"/>
      <c r="O120" s="863"/>
      <c r="P120" s="871"/>
      <c r="Q120" s="863"/>
      <c r="R120" s="863"/>
    </row>
    <row r="121" spans="1:18" s="824" customFormat="1" ht="33.75">
      <c r="A121" s="862" t="s">
        <v>12387</v>
      </c>
      <c r="B121" s="835" t="s">
        <v>70</v>
      </c>
      <c r="C121" s="835" t="s">
        <v>18276</v>
      </c>
      <c r="D121" s="836" t="str">
        <f>PROPER(IF(B121="Saneago",VLOOKUP(C121,'SANEAGO-FEV.2016'!A:B,2,0),IF(B121="SINAPI",VLOOKUP(C121,'SINAPI-FEV.2017'!A:D,2,0),IF(B121="Cotação",VLOOKUP(C121,COTAÇÃO!A:D,2,0),IF(B121="Composição",VLOOKUP(C121,COMPOSIÇÃO!A:D,2,0))))))</f>
        <v>Carga E Descarga Mecanica De Solo Utilizando Caminhao Basculante 6,0M3/16T E Pa Carregadeira Sobre Pneus 128 Hp, Capacidade Da Caçamba 1,7 A 2,8 M3, Peso Operacional 11632 Kg</v>
      </c>
      <c r="E121" s="837"/>
      <c r="F121" s="837"/>
      <c r="G121" s="838"/>
      <c r="H121" s="838"/>
      <c r="I121" s="838">
        <f>M69</f>
        <v>118.4</v>
      </c>
      <c r="J121" s="838">
        <f>M113</f>
        <v>98.527250000000009</v>
      </c>
      <c r="K121" s="904">
        <f>M22</f>
        <v>0.15</v>
      </c>
      <c r="L121" s="838" t="s">
        <v>22</v>
      </c>
      <c r="M121" s="853">
        <f>(I121-J121)*(1+K121)</f>
        <v>22.853662499999995</v>
      </c>
      <c r="N121" s="700"/>
      <c r="O121" s="863"/>
      <c r="P121" s="871"/>
      <c r="Q121" s="863"/>
      <c r="R121" s="863"/>
    </row>
    <row r="122" spans="1:18" s="824" customFormat="1">
      <c r="A122" s="905"/>
      <c r="B122" s="835"/>
      <c r="C122" s="835"/>
      <c r="D122" s="826"/>
      <c r="E122" s="790"/>
      <c r="F122" s="790"/>
      <c r="G122" s="828" t="s">
        <v>30</v>
      </c>
      <c r="H122" s="828" t="s">
        <v>30</v>
      </c>
      <c r="I122" s="828" t="s">
        <v>30</v>
      </c>
      <c r="J122" s="828" t="s">
        <v>40</v>
      </c>
      <c r="K122" s="828" t="s">
        <v>48</v>
      </c>
      <c r="L122" s="828"/>
      <c r="M122" s="829"/>
      <c r="N122" s="700"/>
      <c r="O122" s="863"/>
      <c r="P122" s="871"/>
      <c r="Q122" s="863"/>
      <c r="R122" s="863"/>
    </row>
    <row r="123" spans="1:18" s="824" customFormat="1" ht="22.5">
      <c r="A123" s="862" t="s">
        <v>12388</v>
      </c>
      <c r="B123" s="835" t="s">
        <v>70</v>
      </c>
      <c r="C123" s="835">
        <v>93590</v>
      </c>
      <c r="D123" s="836" t="str">
        <f>PROPER(IF(B123="Saneago",VLOOKUP(C123,'SANEAGO-FEV.2016'!A:B,2,0),IF(B123="SINAPI",VLOOKUP(C123,'SINAPI-FEV.2017'!A:D,2,0),IF(B123="Cotação",VLOOKUP(C123,COTAÇÃO!A:D,2,0),IF(B123="Composição",VLOOKUP(C123,COMPOSIÇÃO!A:D,2,0))))))</f>
        <v>Transporte Com Caminhão Basculante De 10 M3, Em Via Urbana Pavimentada, Dmt Acima De 30Km (Unidade: M3Xkm). Af_04/2016</v>
      </c>
      <c r="E123" s="837"/>
      <c r="F123" s="837"/>
      <c r="G123" s="838"/>
      <c r="H123" s="838"/>
      <c r="I123" s="838"/>
      <c r="J123" s="838">
        <f>M121</f>
        <v>22.853662499999995</v>
      </c>
      <c r="K123" s="838">
        <f>M13</f>
        <v>7.5</v>
      </c>
      <c r="L123" s="838" t="s">
        <v>23</v>
      </c>
      <c r="M123" s="853">
        <f>J123*K123</f>
        <v>171.40246874999997</v>
      </c>
      <c r="N123" s="700"/>
      <c r="O123" s="863"/>
      <c r="P123" s="871"/>
      <c r="Q123" s="863"/>
      <c r="R123" s="863"/>
    </row>
    <row r="124" spans="1:18" s="824" customFormat="1">
      <c r="A124" s="905"/>
      <c r="B124" s="906"/>
      <c r="C124" s="835"/>
      <c r="D124" s="826"/>
      <c r="E124" s="790"/>
      <c r="F124" s="790"/>
      <c r="G124" s="828" t="s">
        <v>30</v>
      </c>
      <c r="H124" s="828" t="s">
        <v>30</v>
      </c>
      <c r="I124" s="828" t="s">
        <v>38</v>
      </c>
      <c r="J124" s="828" t="s">
        <v>39</v>
      </c>
      <c r="K124" s="828" t="s">
        <v>35</v>
      </c>
      <c r="L124" s="828"/>
      <c r="M124" s="829"/>
      <c r="N124" s="700"/>
      <c r="O124" s="863"/>
      <c r="P124" s="871"/>
      <c r="Q124" s="863"/>
      <c r="R124" s="863"/>
    </row>
    <row r="125" spans="1:18" s="824" customFormat="1">
      <c r="A125" s="862" t="s">
        <v>12389</v>
      </c>
      <c r="B125" s="835" t="s">
        <v>70</v>
      </c>
      <c r="C125" s="835">
        <v>83344</v>
      </c>
      <c r="D125" s="836" t="str">
        <f>PROPER(IF(B125="Saneago",VLOOKUP(C125,'SANEAGO-FEV.2016'!A:B,2,0),IF(B125="SINAPI",VLOOKUP(C125,'SINAPI-FEV.2017'!A:D,2,0),IF(B125="Cotação",VLOOKUP(C125,COTAÇÃO!A:D,2,0),IF(B125="Composição",VLOOKUP(C125,COMPOSIÇÃO!A:D,2,0))))))</f>
        <v>Espalhamento De Material Em Bota Fora, Com Utilizacao De Trator De Esteiras De 165 Hp</v>
      </c>
      <c r="E125" s="837"/>
      <c r="F125" s="837"/>
      <c r="G125" s="838"/>
      <c r="H125" s="838"/>
      <c r="I125" s="838">
        <f>I121</f>
        <v>118.4</v>
      </c>
      <c r="J125" s="838">
        <f>J121</f>
        <v>98.527250000000009</v>
      </c>
      <c r="K125" s="904">
        <v>0.15</v>
      </c>
      <c r="L125" s="838" t="s">
        <v>22</v>
      </c>
      <c r="M125" s="853">
        <f>(I125-J125)*(1+K125)</f>
        <v>22.853662499999995</v>
      </c>
      <c r="N125" s="700"/>
      <c r="O125" s="863"/>
      <c r="P125" s="871"/>
      <c r="Q125" s="863"/>
      <c r="R125" s="863"/>
    </row>
    <row r="126" spans="1:18" s="824" customFormat="1" ht="13.5" thickBot="1">
      <c r="A126" s="905"/>
      <c r="B126" s="906"/>
      <c r="C126" s="906"/>
      <c r="D126" s="826"/>
      <c r="E126" s="790"/>
      <c r="F126" s="790"/>
      <c r="G126" s="700"/>
      <c r="H126" s="700"/>
      <c r="I126" s="700"/>
      <c r="J126" s="907"/>
      <c r="K126" s="700"/>
      <c r="L126" s="700"/>
      <c r="M126" s="827"/>
      <c r="N126" s="700"/>
      <c r="O126" s="863"/>
      <c r="P126" s="871"/>
      <c r="Q126" s="863"/>
      <c r="R126" s="863"/>
    </row>
    <row r="127" spans="1:18" s="863" customFormat="1" ht="14.25" thickTop="1" thickBot="1">
      <c r="A127" s="862"/>
      <c r="B127" s="835"/>
      <c r="C127" s="835"/>
      <c r="D127" s="830" t="s">
        <v>1225</v>
      </c>
      <c r="E127" s="831"/>
      <c r="F127" s="831"/>
      <c r="G127" s="831"/>
      <c r="H127" s="831"/>
      <c r="I127" s="831"/>
      <c r="J127" s="831"/>
      <c r="K127" s="831"/>
      <c r="L127" s="832" t="s">
        <v>25</v>
      </c>
      <c r="M127" s="833" t="s">
        <v>27</v>
      </c>
      <c r="N127" s="700"/>
      <c r="P127" s="871"/>
    </row>
    <row r="128" spans="1:18" s="863" customFormat="1" ht="13.5" thickTop="1">
      <c r="A128" s="862"/>
      <c r="B128" s="835"/>
      <c r="C128" s="835"/>
      <c r="D128" s="826"/>
      <c r="E128" s="700"/>
      <c r="F128" s="700"/>
      <c r="G128" s="828" t="s">
        <v>1275</v>
      </c>
      <c r="H128" s="828" t="s">
        <v>11684</v>
      </c>
      <c r="I128" s="828" t="s">
        <v>19</v>
      </c>
      <c r="J128" s="828" t="s">
        <v>36</v>
      </c>
      <c r="K128" s="908" t="s">
        <v>30</v>
      </c>
      <c r="L128" s="828" t="s">
        <v>30</v>
      </c>
      <c r="M128" s="877" t="s">
        <v>30</v>
      </c>
      <c r="N128" s="700"/>
      <c r="P128" s="871"/>
    </row>
    <row r="129" spans="1:16" s="863" customFormat="1">
      <c r="A129" s="862"/>
      <c r="B129" s="835"/>
      <c r="C129" s="835"/>
      <c r="D129" s="826"/>
      <c r="E129" s="1674" t="s">
        <v>12407</v>
      </c>
      <c r="F129" s="1674"/>
      <c r="G129" s="907">
        <f>I99</f>
        <v>1</v>
      </c>
      <c r="H129" s="828">
        <f t="shared" ref="H129:I133" si="3">J99</f>
        <v>9</v>
      </c>
      <c r="I129" s="828">
        <f t="shared" si="3"/>
        <v>3.8</v>
      </c>
      <c r="J129" s="828">
        <v>0.15</v>
      </c>
      <c r="K129" s="908"/>
      <c r="L129" s="828" t="s">
        <v>22</v>
      </c>
      <c r="M129" s="877">
        <f>G129*H129*I129*J129</f>
        <v>5.129999999999999</v>
      </c>
      <c r="N129" s="700"/>
      <c r="P129" s="871"/>
    </row>
    <row r="130" spans="1:16" s="863" customFormat="1">
      <c r="A130" s="862"/>
      <c r="B130" s="835"/>
      <c r="C130" s="835"/>
      <c r="D130" s="826"/>
      <c r="E130" s="1674" t="s">
        <v>12416</v>
      </c>
      <c r="F130" s="1674"/>
      <c r="G130" s="907">
        <f>I100</f>
        <v>1</v>
      </c>
      <c r="H130" s="828">
        <f t="shared" si="3"/>
        <v>5.2</v>
      </c>
      <c r="I130" s="828">
        <f t="shared" si="3"/>
        <v>1.05</v>
      </c>
      <c r="J130" s="828">
        <v>0.15</v>
      </c>
      <c r="K130" s="908"/>
      <c r="L130" s="828" t="s">
        <v>22</v>
      </c>
      <c r="M130" s="877">
        <f>G130*H130*I130*J130</f>
        <v>0.81900000000000006</v>
      </c>
      <c r="N130" s="700"/>
      <c r="P130" s="871"/>
    </row>
    <row r="131" spans="1:16" s="863" customFormat="1">
      <c r="A131" s="862"/>
      <c r="B131" s="835"/>
      <c r="C131" s="835"/>
      <c r="D131" s="826"/>
      <c r="E131" s="1674" t="s">
        <v>11788</v>
      </c>
      <c r="F131" s="1674"/>
      <c r="G131" s="907">
        <f>I101</f>
        <v>1</v>
      </c>
      <c r="H131" s="828">
        <f t="shared" si="3"/>
        <v>2</v>
      </c>
      <c r="I131" s="828">
        <f t="shared" si="3"/>
        <v>0.5</v>
      </c>
      <c r="J131" s="828">
        <v>0.15</v>
      </c>
      <c r="K131" s="908"/>
      <c r="L131" s="828" t="s">
        <v>22</v>
      </c>
      <c r="M131" s="877">
        <f>G131*H131*I131*J131</f>
        <v>0.15</v>
      </c>
      <c r="N131" s="700"/>
      <c r="P131" s="871"/>
    </row>
    <row r="132" spans="1:16" s="863" customFormat="1">
      <c r="A132" s="862"/>
      <c r="B132" s="835"/>
      <c r="C132" s="835"/>
      <c r="D132" s="826"/>
      <c r="E132" s="1674" t="s">
        <v>12417</v>
      </c>
      <c r="F132" s="1674"/>
      <c r="G132" s="907">
        <f>I102</f>
        <v>1</v>
      </c>
      <c r="H132" s="828">
        <f t="shared" si="3"/>
        <v>0.7</v>
      </c>
      <c r="I132" s="828">
        <f t="shared" si="3"/>
        <v>0.55000000000000004</v>
      </c>
      <c r="J132" s="828">
        <v>0.15</v>
      </c>
      <c r="K132" s="908"/>
      <c r="L132" s="828" t="s">
        <v>22</v>
      </c>
      <c r="M132" s="877">
        <f>G132*H132*I132*J132</f>
        <v>5.7749999999999996E-2</v>
      </c>
      <c r="N132" s="700"/>
      <c r="P132" s="871"/>
    </row>
    <row r="133" spans="1:16" s="863" customFormat="1">
      <c r="A133" s="862"/>
      <c r="B133" s="835"/>
      <c r="C133" s="835"/>
      <c r="D133" s="826"/>
      <c r="E133" s="1674" t="s">
        <v>12418</v>
      </c>
      <c r="F133" s="1674"/>
      <c r="G133" s="907">
        <f>I103</f>
        <v>23</v>
      </c>
      <c r="H133" s="828">
        <f t="shared" si="3"/>
        <v>0.5</v>
      </c>
      <c r="I133" s="828">
        <f t="shared" si="3"/>
        <v>0.5</v>
      </c>
      <c r="J133" s="828">
        <v>0.15</v>
      </c>
      <c r="K133" s="908"/>
      <c r="L133" s="828" t="s">
        <v>22</v>
      </c>
      <c r="M133" s="877">
        <f>G133*H133*I133*J133</f>
        <v>0.86249999999999993</v>
      </c>
      <c r="N133" s="700"/>
      <c r="P133" s="871"/>
    </row>
    <row r="134" spans="1:16" s="863" customFormat="1" ht="22.5">
      <c r="A134" s="862" t="s">
        <v>12408</v>
      </c>
      <c r="B134" s="855" t="s">
        <v>70</v>
      </c>
      <c r="C134" s="909">
        <v>94116</v>
      </c>
      <c r="D134" s="836" t="str">
        <f>PROPER(IF(B134="Saneago",VLOOKUP(C134,'SANEAGO-FEV.2016'!A:B,2,0),IF(B134="SINAPI",VLOOKUP(C134,'SINAPI-FEV.2017'!A:D,2,0),IF(B134="Cotação",VLOOKUP(C134,COTAÇÃO!A:D,2,0),IF(B134="Composição",VLOOKUP(C134,COMPOSIÇÃO!A:D,2,0))))))</f>
        <v>Lastro Com Preparo De Fundo, Largura Maior Ou Igual A 1,5 M, Com Camada De Brita, Lançamento Mecanizado, Em Local Com Nível Baixo De Interferência. Af_06/2016</v>
      </c>
      <c r="E134" s="837"/>
      <c r="F134" s="837"/>
      <c r="G134" s="838"/>
      <c r="H134" s="838"/>
      <c r="I134" s="910"/>
      <c r="J134" s="910"/>
      <c r="K134" s="856" t="s">
        <v>27</v>
      </c>
      <c r="L134" s="856" t="s">
        <v>22</v>
      </c>
      <c r="M134" s="840">
        <f>SUM(M129:M133)</f>
        <v>7.0192499999999995</v>
      </c>
      <c r="N134" s="700"/>
      <c r="P134" s="871"/>
    </row>
    <row r="135" spans="1:16" s="863" customFormat="1">
      <c r="A135" s="862"/>
      <c r="B135" s="835"/>
      <c r="C135" s="835"/>
      <c r="D135" s="826"/>
      <c r="E135" s="700"/>
      <c r="F135" s="700"/>
      <c r="G135" s="828" t="s">
        <v>30</v>
      </c>
      <c r="H135" s="828" t="s">
        <v>30</v>
      </c>
      <c r="I135" s="828" t="s">
        <v>1275</v>
      </c>
      <c r="J135" s="828" t="s">
        <v>11684</v>
      </c>
      <c r="K135" s="828" t="s">
        <v>19</v>
      </c>
      <c r="L135" s="828" t="s">
        <v>30</v>
      </c>
      <c r="M135" s="877" t="s">
        <v>30</v>
      </c>
      <c r="N135" s="700"/>
      <c r="P135" s="871"/>
    </row>
    <row r="136" spans="1:16" s="863" customFormat="1">
      <c r="A136" s="862"/>
      <c r="B136" s="835"/>
      <c r="C136" s="835"/>
      <c r="D136" s="826"/>
      <c r="E136" s="700"/>
      <c r="F136" s="700"/>
      <c r="G136" s="1674" t="s">
        <v>12407</v>
      </c>
      <c r="H136" s="1674"/>
      <c r="I136" s="907">
        <f>G129</f>
        <v>1</v>
      </c>
      <c r="J136" s="828">
        <f t="shared" ref="J136:K140" si="4">H129</f>
        <v>9</v>
      </c>
      <c r="K136" s="828">
        <f t="shared" si="4"/>
        <v>3.8</v>
      </c>
      <c r="L136" s="828" t="s">
        <v>21</v>
      </c>
      <c r="M136" s="877">
        <f>I136*J136*K136</f>
        <v>34.199999999999996</v>
      </c>
      <c r="N136" s="700"/>
      <c r="P136" s="871"/>
    </row>
    <row r="137" spans="1:16" s="863" customFormat="1">
      <c r="A137" s="862"/>
      <c r="B137" s="835"/>
      <c r="C137" s="835"/>
      <c r="D137" s="826"/>
      <c r="E137" s="700"/>
      <c r="F137" s="700"/>
      <c r="G137" s="1674" t="s">
        <v>12416</v>
      </c>
      <c r="H137" s="1674"/>
      <c r="I137" s="907">
        <f>G130</f>
        <v>1</v>
      </c>
      <c r="J137" s="828">
        <f t="shared" si="4"/>
        <v>5.2</v>
      </c>
      <c r="K137" s="828">
        <f t="shared" si="4"/>
        <v>1.05</v>
      </c>
      <c r="L137" s="828" t="s">
        <v>21</v>
      </c>
      <c r="M137" s="877">
        <f>I137*J137*K137</f>
        <v>5.4600000000000009</v>
      </c>
      <c r="N137" s="700"/>
      <c r="P137" s="871"/>
    </row>
    <row r="138" spans="1:16" s="863" customFormat="1">
      <c r="A138" s="862"/>
      <c r="B138" s="835"/>
      <c r="C138" s="835"/>
      <c r="D138" s="826"/>
      <c r="E138" s="700"/>
      <c r="F138" s="700"/>
      <c r="G138" s="1674" t="s">
        <v>11788</v>
      </c>
      <c r="H138" s="1674"/>
      <c r="I138" s="907">
        <f>G131</f>
        <v>1</v>
      </c>
      <c r="J138" s="828">
        <f t="shared" si="4"/>
        <v>2</v>
      </c>
      <c r="K138" s="828">
        <f t="shared" si="4"/>
        <v>0.5</v>
      </c>
      <c r="L138" s="828" t="s">
        <v>21</v>
      </c>
      <c r="M138" s="877">
        <f>I138*J138*K138</f>
        <v>1</v>
      </c>
      <c r="N138" s="700"/>
      <c r="P138" s="871"/>
    </row>
    <row r="139" spans="1:16" s="863" customFormat="1">
      <c r="A139" s="862"/>
      <c r="B139" s="835"/>
      <c r="C139" s="835"/>
      <c r="D139" s="826"/>
      <c r="E139" s="700"/>
      <c r="F139" s="700"/>
      <c r="G139" s="1674" t="s">
        <v>12417</v>
      </c>
      <c r="H139" s="1674"/>
      <c r="I139" s="907">
        <f>G132</f>
        <v>1</v>
      </c>
      <c r="J139" s="828">
        <f t="shared" si="4"/>
        <v>0.7</v>
      </c>
      <c r="K139" s="828">
        <f t="shared" si="4"/>
        <v>0.55000000000000004</v>
      </c>
      <c r="L139" s="828" t="s">
        <v>21</v>
      </c>
      <c r="M139" s="877">
        <f>I139*J139*K139</f>
        <v>0.38500000000000001</v>
      </c>
      <c r="N139" s="700"/>
      <c r="P139" s="871"/>
    </row>
    <row r="140" spans="1:16" s="863" customFormat="1">
      <c r="A140" s="862"/>
      <c r="B140" s="835"/>
      <c r="C140" s="835"/>
      <c r="D140" s="826"/>
      <c r="E140" s="700"/>
      <c r="F140" s="700"/>
      <c r="G140" s="1674" t="s">
        <v>12418</v>
      </c>
      <c r="H140" s="1674"/>
      <c r="I140" s="907">
        <f>G133</f>
        <v>23</v>
      </c>
      <c r="J140" s="828">
        <f t="shared" si="4"/>
        <v>0.5</v>
      </c>
      <c r="K140" s="828">
        <f t="shared" si="4"/>
        <v>0.5</v>
      </c>
      <c r="L140" s="828" t="s">
        <v>21</v>
      </c>
      <c r="M140" s="877">
        <f>I140*J140*K140</f>
        <v>5.75</v>
      </c>
      <c r="N140" s="700"/>
      <c r="P140" s="871"/>
    </row>
    <row r="141" spans="1:16" s="863" customFormat="1" ht="22.5">
      <c r="A141" s="862" t="s">
        <v>12409</v>
      </c>
      <c r="B141" s="855" t="s">
        <v>70</v>
      </c>
      <c r="C141" s="909">
        <v>95241</v>
      </c>
      <c r="D141" s="836" t="str">
        <f>PROPER(IF(B141="Saneago",VLOOKUP(C141,'SANEAGO-FEV.2016'!A:B,2,0),IF(B141="SINAPI",VLOOKUP(C141,'SINAPI-FEV.2017'!A:D,2,0),IF(B141="Cotação",VLOOKUP(C141,COTAÇÃO!A:D,2,0),IF(B141="Composição",VLOOKUP(C141,COMPOSIÇÃO!A:D,2,0))))))</f>
        <v>Lastro De Concreto, E = 5 Cm, Preparo Mecânico, Inclusos Lançamento E Adensamento. Af_07_2016</v>
      </c>
      <c r="E141" s="837"/>
      <c r="F141" s="837"/>
      <c r="G141" s="838"/>
      <c r="H141" s="838"/>
      <c r="I141" s="910"/>
      <c r="J141" s="910"/>
      <c r="K141" s="856" t="s">
        <v>27</v>
      </c>
      <c r="L141" s="856" t="s">
        <v>21</v>
      </c>
      <c r="M141" s="840">
        <f>SUM(M136:M140)</f>
        <v>46.794999999999995</v>
      </c>
      <c r="N141" s="700"/>
      <c r="P141" s="871"/>
    </row>
    <row r="142" spans="1:16" s="863" customFormat="1">
      <c r="A142" s="862"/>
      <c r="B142" s="835"/>
      <c r="C142" s="835"/>
      <c r="D142" s="826"/>
      <c r="E142" s="700" t="s">
        <v>30</v>
      </c>
      <c r="F142" s="700" t="s">
        <v>30</v>
      </c>
      <c r="G142" s="828" t="s">
        <v>1275</v>
      </c>
      <c r="H142" s="828" t="s">
        <v>11684</v>
      </c>
      <c r="I142" s="828" t="s">
        <v>19</v>
      </c>
      <c r="J142" s="828" t="s">
        <v>32</v>
      </c>
      <c r="K142" s="828" t="s">
        <v>30</v>
      </c>
      <c r="L142" s="828" t="s">
        <v>30</v>
      </c>
      <c r="M142" s="877" t="s">
        <v>30</v>
      </c>
      <c r="N142" s="700"/>
      <c r="P142" s="871"/>
    </row>
    <row r="143" spans="1:16" s="863" customFormat="1">
      <c r="A143" s="862"/>
      <c r="B143" s="835"/>
      <c r="C143" s="835"/>
      <c r="D143" s="888" t="s">
        <v>12419</v>
      </c>
      <c r="E143" s="824"/>
      <c r="F143" s="824"/>
      <c r="G143" s="700">
        <v>3</v>
      </c>
      <c r="H143" s="828">
        <v>0.2</v>
      </c>
      <c r="I143" s="828">
        <v>0.2</v>
      </c>
      <c r="J143" s="828">
        <v>1.05</v>
      </c>
      <c r="K143" s="828"/>
      <c r="L143" s="828" t="s">
        <v>22</v>
      </c>
      <c r="M143" s="877">
        <f>G143*((2*H143+2*I143)*J143)</f>
        <v>2.5200000000000005</v>
      </c>
      <c r="N143" s="700"/>
      <c r="P143" s="871"/>
    </row>
    <row r="144" spans="1:16" s="863" customFormat="1">
      <c r="A144" s="862"/>
      <c r="B144" s="835"/>
      <c r="C144" s="835"/>
      <c r="D144" s="888" t="s">
        <v>12420</v>
      </c>
      <c r="E144" s="824"/>
      <c r="F144" s="824"/>
      <c r="G144" s="700">
        <v>1</v>
      </c>
      <c r="H144" s="828">
        <v>9.4</v>
      </c>
      <c r="I144" s="828">
        <v>4.2</v>
      </c>
      <c r="J144" s="828">
        <v>0.2</v>
      </c>
      <c r="K144" s="828"/>
      <c r="L144" s="828" t="s">
        <v>22</v>
      </c>
      <c r="M144" s="877">
        <f>G144*((2*H144+2*I144)*J144)</f>
        <v>5.4400000000000013</v>
      </c>
      <c r="N144" s="700"/>
      <c r="P144" s="871"/>
    </row>
    <row r="145" spans="1:16" s="863" customFormat="1">
      <c r="A145" s="862"/>
      <c r="B145" s="835"/>
      <c r="C145" s="835"/>
      <c r="D145" s="888" t="s">
        <v>12421</v>
      </c>
      <c r="E145" s="824"/>
      <c r="F145" s="824"/>
      <c r="G145" s="700">
        <v>2</v>
      </c>
      <c r="H145" s="828">
        <f>H144-0.2</f>
        <v>9.2000000000000011</v>
      </c>
      <c r="I145" s="828">
        <f>I144-0.2</f>
        <v>4</v>
      </c>
      <c r="J145" s="828">
        <v>1.2</v>
      </c>
      <c r="K145" s="828"/>
      <c r="L145" s="828" t="s">
        <v>22</v>
      </c>
      <c r="M145" s="877">
        <f>G145*((2*H145+2*I145)*J145)</f>
        <v>63.36</v>
      </c>
      <c r="N145" s="700"/>
      <c r="P145" s="871"/>
    </row>
    <row r="146" spans="1:16" s="863" customFormat="1">
      <c r="A146" s="862"/>
      <c r="B146" s="835"/>
      <c r="C146" s="835"/>
      <c r="D146" s="888" t="s">
        <v>12422</v>
      </c>
      <c r="E146" s="1674"/>
      <c r="F146" s="1674"/>
      <c r="G146" s="700">
        <v>4</v>
      </c>
      <c r="H146" s="828">
        <v>0.2</v>
      </c>
      <c r="I146" s="828">
        <v>0.2</v>
      </c>
      <c r="J146" s="828">
        <v>2.25</v>
      </c>
      <c r="K146" s="828"/>
      <c r="L146" s="828" t="s">
        <v>22</v>
      </c>
      <c r="M146" s="877">
        <f>G146*((2*H146+2*I146)*J146)</f>
        <v>7.2</v>
      </c>
      <c r="N146" s="700"/>
      <c r="P146" s="871"/>
    </row>
    <row r="147" spans="1:16" s="863" customFormat="1">
      <c r="A147" s="862"/>
      <c r="B147" s="835"/>
      <c r="C147" s="835"/>
      <c r="D147" s="888" t="s">
        <v>12432</v>
      </c>
      <c r="E147" s="854"/>
      <c r="F147" s="854"/>
      <c r="G147" s="700">
        <v>2</v>
      </c>
      <c r="H147" s="828">
        <v>5.2</v>
      </c>
      <c r="I147" s="828">
        <v>0.15</v>
      </c>
      <c r="J147" s="828">
        <v>0.3</v>
      </c>
      <c r="K147" s="828"/>
      <c r="L147" s="828" t="s">
        <v>22</v>
      </c>
      <c r="M147" s="877">
        <f>G147*((2*H147+2*I147)*J147+H147*I147)</f>
        <v>7.98</v>
      </c>
      <c r="N147" s="700"/>
      <c r="P147" s="871"/>
    </row>
    <row r="148" spans="1:16" s="863" customFormat="1">
      <c r="A148" s="862"/>
      <c r="B148" s="835"/>
      <c r="C148" s="835"/>
      <c r="D148" s="888" t="s">
        <v>12433</v>
      </c>
      <c r="E148" s="854"/>
      <c r="F148" s="854"/>
      <c r="G148" s="700">
        <v>4</v>
      </c>
      <c r="H148" s="828">
        <v>0.9</v>
      </c>
      <c r="I148" s="828">
        <v>0.15</v>
      </c>
      <c r="J148" s="828">
        <v>0.3</v>
      </c>
      <c r="K148" s="828"/>
      <c r="L148" s="828" t="s">
        <v>22</v>
      </c>
      <c r="M148" s="877">
        <f>G148*((2*H148+2*I148)*J148+H148*I148)</f>
        <v>3.06</v>
      </c>
      <c r="N148" s="700"/>
      <c r="P148" s="871"/>
    </row>
    <row r="149" spans="1:16" s="863" customFormat="1">
      <c r="A149" s="862"/>
      <c r="B149" s="835"/>
      <c r="C149" s="835"/>
      <c r="D149" s="888" t="s">
        <v>12423</v>
      </c>
      <c r="E149" s="700"/>
      <c r="F149" s="700"/>
      <c r="G149" s="700">
        <v>1</v>
      </c>
      <c r="H149" s="828">
        <v>5.4</v>
      </c>
      <c r="I149" s="828">
        <v>1.55</v>
      </c>
      <c r="J149" s="828">
        <v>0.1</v>
      </c>
      <c r="K149" s="828"/>
      <c r="L149" s="828" t="s">
        <v>22</v>
      </c>
      <c r="M149" s="877">
        <f>G149*((2*H149+2*I149)*J149)</f>
        <v>1.3900000000000001</v>
      </c>
      <c r="N149" s="700"/>
      <c r="P149" s="871"/>
    </row>
    <row r="150" spans="1:16" s="863" customFormat="1">
      <c r="A150" s="862"/>
      <c r="B150" s="835"/>
      <c r="C150" s="835"/>
      <c r="D150" s="888" t="s">
        <v>12424</v>
      </c>
      <c r="E150" s="854"/>
      <c r="F150" s="700"/>
      <c r="G150" s="700">
        <v>2</v>
      </c>
      <c r="H150" s="828">
        <f>H131</f>
        <v>2</v>
      </c>
      <c r="I150" s="828">
        <f>I131</f>
        <v>0.5</v>
      </c>
      <c r="J150" s="828">
        <f>J55</f>
        <v>0.5</v>
      </c>
      <c r="K150" s="828"/>
      <c r="L150" s="828" t="s">
        <v>22</v>
      </c>
      <c r="M150" s="877">
        <f>G150*((2*H150+2*I150)*J150)</f>
        <v>5</v>
      </c>
      <c r="N150" s="700"/>
      <c r="P150" s="871"/>
    </row>
    <row r="151" spans="1:16" s="863" customFormat="1">
      <c r="A151" s="862"/>
      <c r="B151" s="835"/>
      <c r="C151" s="835"/>
      <c r="D151" s="888"/>
      <c r="E151" s="854"/>
      <c r="F151" s="700"/>
      <c r="G151" s="700"/>
      <c r="H151" s="828" t="s">
        <v>12427</v>
      </c>
      <c r="I151" s="828" t="s">
        <v>12428</v>
      </c>
      <c r="J151" s="828"/>
      <c r="K151" s="828"/>
      <c r="L151" s="828"/>
      <c r="M151" s="877"/>
      <c r="N151" s="700"/>
      <c r="P151" s="871"/>
    </row>
    <row r="152" spans="1:16" s="863" customFormat="1">
      <c r="A152" s="862"/>
      <c r="B152" s="835"/>
      <c r="C152" s="835"/>
      <c r="D152" s="888" t="s">
        <v>12426</v>
      </c>
      <c r="E152" s="854"/>
      <c r="F152" s="700"/>
      <c r="G152" s="700">
        <v>1</v>
      </c>
      <c r="H152" s="828">
        <f>0.55*4</f>
        <v>2.2000000000000002</v>
      </c>
      <c r="I152" s="828">
        <v>4</v>
      </c>
      <c r="J152" s="828"/>
      <c r="K152" s="828"/>
      <c r="L152" s="828" t="s">
        <v>22</v>
      </c>
      <c r="M152" s="877">
        <f>H152+I152</f>
        <v>6.2</v>
      </c>
      <c r="N152" s="700"/>
      <c r="P152" s="871"/>
    </row>
    <row r="153" spans="1:16" s="863" customFormat="1">
      <c r="A153" s="862"/>
      <c r="B153" s="835"/>
      <c r="C153" s="835"/>
      <c r="D153" s="888"/>
      <c r="E153" s="854"/>
      <c r="F153" s="700"/>
      <c r="G153" s="700"/>
      <c r="H153" s="828"/>
      <c r="I153" s="828"/>
      <c r="J153" s="1700" t="s">
        <v>20463</v>
      </c>
      <c r="K153" s="1700"/>
      <c r="L153" s="901" t="s">
        <v>22</v>
      </c>
      <c r="M153" s="951">
        <f>SUM(M143,M145:M146,M150)</f>
        <v>78.08</v>
      </c>
      <c r="N153" s="700"/>
      <c r="P153" s="871"/>
    </row>
    <row r="154" spans="1:16" s="863" customFormat="1">
      <c r="A154" s="862"/>
      <c r="B154" s="835"/>
      <c r="C154" s="835"/>
      <c r="D154" s="888"/>
      <c r="E154" s="854"/>
      <c r="F154" s="700"/>
      <c r="G154" s="700"/>
      <c r="H154" s="828"/>
      <c r="I154" s="828"/>
      <c r="J154" s="1700" t="s">
        <v>20464</v>
      </c>
      <c r="K154" s="1700"/>
      <c r="L154" s="901" t="s">
        <v>22</v>
      </c>
      <c r="M154" s="951">
        <f>SUM(M147:M148)</f>
        <v>11.040000000000001</v>
      </c>
      <c r="N154" s="700"/>
      <c r="P154" s="871"/>
    </row>
    <row r="155" spans="1:16" s="863" customFormat="1">
      <c r="A155" s="862"/>
      <c r="B155" s="835"/>
      <c r="C155" s="835"/>
      <c r="D155" s="888"/>
      <c r="E155" s="854"/>
      <c r="F155" s="700"/>
      <c r="G155" s="700"/>
      <c r="H155" s="828"/>
      <c r="I155" s="828"/>
      <c r="J155" s="1700" t="s">
        <v>20465</v>
      </c>
      <c r="K155" s="1700"/>
      <c r="L155" s="901" t="s">
        <v>22</v>
      </c>
      <c r="M155" s="951">
        <f>SUM(M144,M149)</f>
        <v>6.8300000000000018</v>
      </c>
      <c r="N155" s="700"/>
      <c r="P155" s="871"/>
    </row>
    <row r="156" spans="1:16" s="863" customFormat="1">
      <c r="A156" s="862"/>
      <c r="B156" s="835"/>
      <c r="C156" s="835"/>
      <c r="D156" s="826"/>
      <c r="E156" s="700"/>
      <c r="F156" s="700"/>
      <c r="G156" s="828"/>
      <c r="H156" s="828"/>
      <c r="I156" s="828"/>
      <c r="J156" s="1700" t="s">
        <v>20466</v>
      </c>
      <c r="K156" s="1700"/>
      <c r="L156" s="901" t="s">
        <v>22</v>
      </c>
      <c r="M156" s="951">
        <f>M152</f>
        <v>6.2</v>
      </c>
      <c r="N156" s="700"/>
      <c r="P156" s="871"/>
    </row>
    <row r="157" spans="1:16" s="863" customFormat="1">
      <c r="A157" s="862"/>
      <c r="B157" s="835"/>
      <c r="C157" s="835"/>
      <c r="D157" s="826"/>
      <c r="E157" s="700"/>
      <c r="F157" s="700"/>
      <c r="G157" s="828"/>
      <c r="H157" s="828"/>
      <c r="I157" s="828"/>
      <c r="J157" s="952"/>
      <c r="K157" s="952"/>
      <c r="L157" s="901"/>
      <c r="M157" s="877"/>
      <c r="N157" s="700"/>
      <c r="P157" s="871"/>
    </row>
    <row r="158" spans="1:16" s="863" customFormat="1" ht="37.5" customHeight="1">
      <c r="A158" s="862" t="s">
        <v>20467</v>
      </c>
      <c r="B158" s="835" t="s">
        <v>70</v>
      </c>
      <c r="C158" s="835">
        <v>92415</v>
      </c>
      <c r="D158" s="836" t="str">
        <f>PROPER(IF(B158="Saneago",VLOOKUP(C158,'SANEAGO-FEV.2016'!A:B,2,0),IF(B158="SINAPI",VLOOKUP(C158,'SINAPI-FEV.2017'!A:D,2,0),IF(B158="Cotação",VLOOKUP(C158,COTAÇÃO!A:D,2,0),IF(B158="Composição",VLOOKUP(C158,COMPOSIÇÃO!A:D,2,0))))))</f>
        <v>Montagem E Desmontagem De Fôrma De Pilares Retangulares E Estruturas Similares Com Área Média Das Seções Maior Que 0,25 M², Pé-Direito Simples, Em Chapa De Madeira Compensada Resinada, 2 Utilizações. Af_12/2015</v>
      </c>
      <c r="E158" s="837"/>
      <c r="F158" s="837"/>
      <c r="G158" s="838"/>
      <c r="H158" s="838"/>
      <c r="I158" s="910"/>
      <c r="J158" s="910"/>
      <c r="K158" s="852" t="s">
        <v>27</v>
      </c>
      <c r="L158" s="852" t="s">
        <v>21</v>
      </c>
      <c r="M158" s="853">
        <f>M153</f>
        <v>78.08</v>
      </c>
      <c r="N158" s="700"/>
      <c r="P158" s="871"/>
    </row>
    <row r="159" spans="1:16" s="863" customFormat="1">
      <c r="A159" s="862"/>
      <c r="B159" s="835"/>
      <c r="C159" s="835"/>
      <c r="D159" s="826"/>
      <c r="E159" s="700"/>
      <c r="F159" s="700"/>
      <c r="G159" s="828"/>
      <c r="H159" s="828"/>
      <c r="I159" s="828"/>
      <c r="J159" s="952"/>
      <c r="K159" s="897"/>
      <c r="L159" s="828"/>
      <c r="M159" s="877"/>
      <c r="N159" s="700"/>
      <c r="P159" s="871"/>
    </row>
    <row r="160" spans="1:16" s="863" customFormat="1" ht="37.5" customHeight="1">
      <c r="A160" s="862" t="s">
        <v>20468</v>
      </c>
      <c r="B160" s="835" t="s">
        <v>70</v>
      </c>
      <c r="C160" s="835">
        <v>92452</v>
      </c>
      <c r="D160" s="836" t="str">
        <f>PROPER(IF(B160="Saneago",VLOOKUP(C160,'SANEAGO-FEV.2016'!A:B,2,0),IF(B160="SINAPI",VLOOKUP(C160,'SINAPI-FEV.2017'!A:D,2,0),IF(B160="Cotação",VLOOKUP(C160,COTAÇÃO!A:D,2,0),IF(B160="Composição",VLOOKUP(C160,COMPOSIÇÃO!A:D,2,0))))))</f>
        <v>Montagem E Desmontagem De Fôrma De Viga, Escoramento Metálico, Pé-Direito Simples, Em Chapa De Madeira Resinada, 2 Utilizações. Af_12/2015</v>
      </c>
      <c r="E160" s="837"/>
      <c r="F160" s="837"/>
      <c r="G160" s="838"/>
      <c r="H160" s="838"/>
      <c r="I160" s="910"/>
      <c r="J160" s="910"/>
      <c r="K160" s="852" t="s">
        <v>27</v>
      </c>
      <c r="L160" s="852" t="s">
        <v>21</v>
      </c>
      <c r="M160" s="853">
        <f>M154</f>
        <v>11.040000000000001</v>
      </c>
      <c r="N160" s="700"/>
      <c r="P160" s="871"/>
    </row>
    <row r="161" spans="1:16" s="863" customFormat="1">
      <c r="A161" s="862"/>
      <c r="B161" s="835"/>
      <c r="C161" s="835"/>
      <c r="D161" s="826"/>
      <c r="E161" s="700"/>
      <c r="F161" s="700"/>
      <c r="G161" s="828"/>
      <c r="H161" s="828"/>
      <c r="I161" s="828"/>
      <c r="J161" s="952"/>
      <c r="K161" s="897"/>
      <c r="L161" s="828"/>
      <c r="M161" s="877"/>
      <c r="N161" s="700"/>
      <c r="P161" s="871"/>
    </row>
    <row r="162" spans="1:16" s="863" customFormat="1" ht="37.5" customHeight="1">
      <c r="A162" s="862" t="s">
        <v>20469</v>
      </c>
      <c r="B162" s="835" t="s">
        <v>70</v>
      </c>
      <c r="C162" s="835">
        <v>92510</v>
      </c>
      <c r="D162" s="836" t="str">
        <f>PROPER(IF(B162="Saneago",VLOOKUP(C162,'SANEAGO-FEV.2016'!A:B,2,0),IF(B162="SINAPI",VLOOKUP(C162,'SINAPI-FEV.2017'!A:D,2,0),IF(B162="Cotação",VLOOKUP(C162,COTAÇÃO!A:D,2,0),IF(B162="Composição",VLOOKUP(C162,COMPOSIÇÃO!A:D,2,0))))))</f>
        <v>Montagem E Desmontagem De Fôrma De Laje Maciça Com Área Média Maior Que 20 M², Pé-Direito Simples, Em Chapa De Madeira Compensada Resinada, 2 Utilizações. Af_12/2015</v>
      </c>
      <c r="E162" s="837"/>
      <c r="F162" s="837"/>
      <c r="G162" s="838"/>
      <c r="H162" s="838"/>
      <c r="I162" s="910"/>
      <c r="J162" s="910"/>
      <c r="K162" s="852" t="s">
        <v>27</v>
      </c>
      <c r="L162" s="852" t="s">
        <v>21</v>
      </c>
      <c r="M162" s="853">
        <f>M155</f>
        <v>6.8300000000000018</v>
      </c>
      <c r="N162" s="700"/>
      <c r="P162" s="871"/>
    </row>
    <row r="163" spans="1:16" s="863" customFormat="1">
      <c r="A163" s="862"/>
      <c r="B163" s="835"/>
      <c r="C163" s="835"/>
      <c r="D163" s="826"/>
      <c r="E163" s="700"/>
      <c r="F163" s="700"/>
      <c r="G163" s="828"/>
      <c r="H163" s="828"/>
      <c r="I163" s="828"/>
      <c r="J163" s="952"/>
      <c r="K163" s="897"/>
      <c r="L163" s="828"/>
      <c r="M163" s="877"/>
      <c r="N163" s="700"/>
      <c r="P163" s="871"/>
    </row>
    <row r="164" spans="1:16" s="863" customFormat="1" ht="37.5" customHeight="1">
      <c r="A164" s="862" t="s">
        <v>20470</v>
      </c>
      <c r="B164" s="835" t="s">
        <v>70</v>
      </c>
      <c r="C164" s="953">
        <v>95939</v>
      </c>
      <c r="D164" s="836" t="str">
        <f>PROPER(IF(B164="Saneago",VLOOKUP(C164,'SANEAGO-FEV.2016'!A:B,2,0),IF(B164="SINAPI",VLOOKUP(C164,'SINAPI-FEV.2017'!A:D,2,0),IF(B164="Cotação",VLOOKUP(C164,COTAÇÃO!A:D,2,0),IF(B164="Composição",VLOOKUP(C164,COMPOSIÇÃO!A:D,2,0))))))</f>
        <v>Montagem E Desmontagem De Fôrma Para Escadas, Com 2 Lances, Em Chapa De Madeira Compensada Resinada, 4 Utilizações. Af_01/2017</v>
      </c>
      <c r="E164" s="837"/>
      <c r="F164" s="837"/>
      <c r="G164" s="838"/>
      <c r="H164" s="838"/>
      <c r="I164" s="910"/>
      <c r="J164" s="910"/>
      <c r="K164" s="852" t="s">
        <v>27</v>
      </c>
      <c r="L164" s="852" t="s">
        <v>21</v>
      </c>
      <c r="M164" s="853">
        <f>M156</f>
        <v>6.2</v>
      </c>
      <c r="N164" s="700"/>
      <c r="P164" s="871"/>
    </row>
    <row r="165" spans="1:16" s="863" customFormat="1">
      <c r="A165" s="862"/>
      <c r="B165" s="835"/>
      <c r="C165" s="835"/>
      <c r="D165" s="826"/>
      <c r="E165" s="700" t="s">
        <v>30</v>
      </c>
      <c r="F165" s="700" t="s">
        <v>30</v>
      </c>
      <c r="G165" s="828" t="s">
        <v>1275</v>
      </c>
      <c r="H165" s="828" t="s">
        <v>11684</v>
      </c>
      <c r="I165" s="828" t="s">
        <v>19</v>
      </c>
      <c r="J165" s="828" t="s">
        <v>32</v>
      </c>
      <c r="K165" s="828" t="s">
        <v>30</v>
      </c>
      <c r="L165" s="828" t="s">
        <v>30</v>
      </c>
      <c r="M165" s="877" t="s">
        <v>30</v>
      </c>
      <c r="N165" s="700"/>
      <c r="P165" s="871"/>
    </row>
    <row r="166" spans="1:16" s="863" customFormat="1">
      <c r="A166" s="862"/>
      <c r="B166" s="835"/>
      <c r="C166" s="835"/>
      <c r="D166" s="888" t="s">
        <v>12419</v>
      </c>
      <c r="E166" s="824"/>
      <c r="F166" s="824"/>
      <c r="G166" s="700">
        <v>3</v>
      </c>
      <c r="H166" s="828">
        <v>0.2</v>
      </c>
      <c r="I166" s="828">
        <v>0.2</v>
      </c>
      <c r="J166" s="828">
        <v>1.05</v>
      </c>
      <c r="K166" s="828"/>
      <c r="L166" s="828" t="s">
        <v>22</v>
      </c>
      <c r="M166" s="877">
        <f>G166*H166*I166*J166</f>
        <v>0.12600000000000003</v>
      </c>
      <c r="N166" s="700"/>
      <c r="P166" s="871"/>
    </row>
    <row r="167" spans="1:16" s="863" customFormat="1">
      <c r="A167" s="862"/>
      <c r="B167" s="835"/>
      <c r="C167" s="835"/>
      <c r="D167" s="888" t="s">
        <v>12420</v>
      </c>
      <c r="E167" s="824"/>
      <c r="F167" s="824"/>
      <c r="G167" s="700">
        <v>1</v>
      </c>
      <c r="H167" s="828">
        <v>9.4</v>
      </c>
      <c r="I167" s="828">
        <v>4.2</v>
      </c>
      <c r="J167" s="828">
        <v>0.2</v>
      </c>
      <c r="K167" s="828"/>
      <c r="L167" s="828" t="s">
        <v>22</v>
      </c>
      <c r="M167" s="877">
        <f>G167*H167*I167*J167</f>
        <v>7.8960000000000008</v>
      </c>
      <c r="N167" s="700"/>
      <c r="P167" s="871"/>
    </row>
    <row r="168" spans="1:16" s="863" customFormat="1">
      <c r="A168" s="862"/>
      <c r="B168" s="835"/>
      <c r="C168" s="835"/>
      <c r="D168" s="888" t="s">
        <v>12421</v>
      </c>
      <c r="E168" s="824"/>
      <c r="F168" s="824"/>
      <c r="G168" s="700">
        <v>1</v>
      </c>
      <c r="H168" s="828">
        <f>H167-0.2</f>
        <v>9.2000000000000011</v>
      </c>
      <c r="I168" s="828">
        <f>I167-0.2</f>
        <v>4</v>
      </c>
      <c r="J168" s="828">
        <v>1.2</v>
      </c>
      <c r="K168" s="828"/>
      <c r="L168" s="828" t="s">
        <v>22</v>
      </c>
      <c r="M168" s="877">
        <f>G168*((H168*2+I168*2)*0.2*J168)</f>
        <v>6.3360000000000012</v>
      </c>
      <c r="N168" s="700"/>
      <c r="P168" s="871"/>
    </row>
    <row r="169" spans="1:16" s="863" customFormat="1">
      <c r="A169" s="862"/>
      <c r="B169" s="835"/>
      <c r="C169" s="835"/>
      <c r="D169" s="888" t="s">
        <v>12422</v>
      </c>
      <c r="E169" s="1674"/>
      <c r="F169" s="1674"/>
      <c r="G169" s="700">
        <v>4</v>
      </c>
      <c r="H169" s="828">
        <v>0.2</v>
      </c>
      <c r="I169" s="828">
        <v>0.2</v>
      </c>
      <c r="J169" s="828">
        <v>2.25</v>
      </c>
      <c r="K169" s="828"/>
      <c r="L169" s="828" t="s">
        <v>22</v>
      </c>
      <c r="M169" s="877">
        <f>G169*H169*I169*J169</f>
        <v>0.3600000000000001</v>
      </c>
      <c r="N169" s="700"/>
      <c r="P169" s="871"/>
    </row>
    <row r="170" spans="1:16" s="863" customFormat="1">
      <c r="A170" s="862"/>
      <c r="B170" s="835"/>
      <c r="C170" s="835"/>
      <c r="D170" s="888" t="s">
        <v>12432</v>
      </c>
      <c r="E170" s="854"/>
      <c r="F170" s="854"/>
      <c r="G170" s="700">
        <v>2</v>
      </c>
      <c r="H170" s="828">
        <v>5.2</v>
      </c>
      <c r="I170" s="828">
        <v>0.15</v>
      </c>
      <c r="J170" s="828">
        <v>0.3</v>
      </c>
      <c r="K170" s="828"/>
      <c r="L170" s="828" t="s">
        <v>22</v>
      </c>
      <c r="M170" s="877">
        <f>G170*H170*I170*J170</f>
        <v>0.46799999999999997</v>
      </c>
      <c r="N170" s="700"/>
      <c r="P170" s="871"/>
    </row>
    <row r="171" spans="1:16" s="863" customFormat="1">
      <c r="A171" s="862"/>
      <c r="B171" s="835"/>
      <c r="C171" s="835"/>
      <c r="D171" s="888" t="s">
        <v>12433</v>
      </c>
      <c r="E171" s="854"/>
      <c r="F171" s="854"/>
      <c r="G171" s="700">
        <v>4</v>
      </c>
      <c r="H171" s="828">
        <v>0.9</v>
      </c>
      <c r="I171" s="828">
        <v>0.15</v>
      </c>
      <c r="J171" s="828">
        <v>0.3</v>
      </c>
      <c r="K171" s="828"/>
      <c r="L171" s="828" t="s">
        <v>22</v>
      </c>
      <c r="M171" s="877">
        <f>G171*H171*I171*J171</f>
        <v>0.16200000000000001</v>
      </c>
      <c r="N171" s="700"/>
      <c r="P171" s="871"/>
    </row>
    <row r="172" spans="1:16" s="863" customFormat="1">
      <c r="A172" s="862"/>
      <c r="B172" s="835"/>
      <c r="C172" s="835"/>
      <c r="D172" s="888" t="s">
        <v>12423</v>
      </c>
      <c r="E172" s="700"/>
      <c r="F172" s="700"/>
      <c r="G172" s="700">
        <v>1</v>
      </c>
      <c r="H172" s="828">
        <v>5.4</v>
      </c>
      <c r="I172" s="828">
        <v>1.55</v>
      </c>
      <c r="J172" s="828">
        <v>0.1</v>
      </c>
      <c r="K172" s="828"/>
      <c r="L172" s="828" t="s">
        <v>22</v>
      </c>
      <c r="M172" s="877">
        <f>G172*H172*I172*J172</f>
        <v>0.83700000000000019</v>
      </c>
      <c r="N172" s="700"/>
      <c r="P172" s="871"/>
    </row>
    <row r="173" spans="1:16" s="863" customFormat="1">
      <c r="A173" s="862"/>
      <c r="B173" s="835"/>
      <c r="C173" s="835"/>
      <c r="D173" s="888" t="s">
        <v>12425</v>
      </c>
      <c r="E173" s="854"/>
      <c r="F173" s="700"/>
      <c r="G173" s="700">
        <v>1</v>
      </c>
      <c r="H173" s="828">
        <f>H150</f>
        <v>2</v>
      </c>
      <c r="I173" s="828">
        <f>I150</f>
        <v>0.5</v>
      </c>
      <c r="J173" s="828">
        <f>J150</f>
        <v>0.5</v>
      </c>
      <c r="K173" s="828"/>
      <c r="L173" s="828" t="s">
        <v>22</v>
      </c>
      <c r="M173" s="877">
        <f>G173*(((H173*2+I173*2)*0.2*J173)+(H173*I173))</f>
        <v>1.5</v>
      </c>
      <c r="N173" s="700"/>
      <c r="P173" s="871"/>
    </row>
    <row r="174" spans="1:16" s="863" customFormat="1" ht="22.5">
      <c r="A174" s="862"/>
      <c r="B174" s="835"/>
      <c r="C174" s="835"/>
      <c r="D174" s="888"/>
      <c r="E174" s="854"/>
      <c r="F174" s="700"/>
      <c r="G174" s="700"/>
      <c r="H174" s="828" t="s">
        <v>12428</v>
      </c>
      <c r="I174" s="828" t="s">
        <v>36</v>
      </c>
      <c r="J174" s="828"/>
      <c r="K174" s="828"/>
      <c r="L174" s="828"/>
      <c r="M174" s="877"/>
      <c r="N174" s="700"/>
      <c r="P174" s="871"/>
    </row>
    <row r="175" spans="1:16" s="863" customFormat="1">
      <c r="A175" s="862"/>
      <c r="B175" s="835"/>
      <c r="C175" s="835"/>
      <c r="D175" s="888" t="s">
        <v>12426</v>
      </c>
      <c r="E175" s="854"/>
      <c r="F175" s="700"/>
      <c r="G175" s="700">
        <v>1</v>
      </c>
      <c r="H175" s="828">
        <v>4</v>
      </c>
      <c r="I175" s="828">
        <v>0.25</v>
      </c>
      <c r="J175" s="828"/>
      <c r="K175" s="828"/>
      <c r="L175" s="828" t="s">
        <v>22</v>
      </c>
      <c r="M175" s="877">
        <f>H175*I175</f>
        <v>1</v>
      </c>
      <c r="N175" s="700"/>
      <c r="P175" s="871"/>
    </row>
    <row r="176" spans="1:16" s="863" customFormat="1">
      <c r="A176" s="862"/>
      <c r="B176" s="835"/>
      <c r="C176" s="835"/>
      <c r="D176" s="826"/>
      <c r="E176" s="790"/>
      <c r="F176" s="790"/>
      <c r="G176" s="828"/>
      <c r="H176" s="828"/>
      <c r="I176" s="828"/>
      <c r="J176" s="828"/>
      <c r="K176" s="828"/>
      <c r="L176" s="828"/>
      <c r="M176" s="877"/>
      <c r="N176" s="700"/>
      <c r="P176" s="871"/>
    </row>
    <row r="177" spans="1:16" s="863" customFormat="1" ht="22.5">
      <c r="A177" s="862" t="s">
        <v>20477</v>
      </c>
      <c r="B177" s="835" t="s">
        <v>10852</v>
      </c>
      <c r="C177" s="835">
        <v>316</v>
      </c>
      <c r="D177" s="836" t="str">
        <f>PROPER(IF(B177="Saneago",VLOOKUP(C177,'SANEAGO-FEV.2016'!A:B,2,0),IF(B177="SINAPI",VLOOKUP(C177,'SINAPI-FEV.2017'!A:D,2,0),IF(B177="Cotação",VLOOKUP(C177,COTAÇÃO!A:D,2,0),IF(B177="Composição",VLOOKUP(C177,COMPOSIÇÃO!A:D,2,0))))))</f>
        <v>Concreto  Estrutural Usinado Bombeado  Fck=40 Mpa, Com Adição De 8 À 10% De Microssílica (Incluindo  Lançamento, Aplicação  E Adensamento)</v>
      </c>
      <c r="E177" s="837"/>
      <c r="F177" s="837"/>
      <c r="G177" s="838"/>
      <c r="H177" s="838"/>
      <c r="I177" s="910"/>
      <c r="J177" s="910"/>
      <c r="K177" s="856" t="s">
        <v>27</v>
      </c>
      <c r="L177" s="856" t="s">
        <v>21</v>
      </c>
      <c r="M177" s="840">
        <f>SUM(M166:M176)</f>
        <v>18.685000000000002</v>
      </c>
      <c r="N177" s="700"/>
      <c r="P177" s="871"/>
    </row>
    <row r="178" spans="1:16" s="863" customFormat="1">
      <c r="A178" s="862"/>
      <c r="B178" s="835"/>
      <c r="C178" s="835"/>
      <c r="D178" s="826"/>
      <c r="E178" s="790"/>
      <c r="F178" s="790"/>
      <c r="G178" s="828" t="s">
        <v>1275</v>
      </c>
      <c r="H178" s="828" t="s">
        <v>11684</v>
      </c>
      <c r="I178" s="828" t="s">
        <v>19</v>
      </c>
      <c r="J178" s="828" t="s">
        <v>32</v>
      </c>
      <c r="K178" s="828" t="s">
        <v>30</v>
      </c>
      <c r="L178" s="828" t="s">
        <v>30</v>
      </c>
      <c r="M178" s="877" t="s">
        <v>30</v>
      </c>
      <c r="N178" s="700"/>
      <c r="P178" s="871"/>
    </row>
    <row r="179" spans="1:16" s="863" customFormat="1">
      <c r="A179" s="862"/>
      <c r="B179" s="835"/>
      <c r="C179" s="835"/>
      <c r="D179" s="826"/>
      <c r="E179" s="1704" t="s">
        <v>12437</v>
      </c>
      <c r="F179" s="1704"/>
      <c r="G179" s="828">
        <f>I41</f>
        <v>23</v>
      </c>
      <c r="H179" s="828">
        <f>J41</f>
        <v>0.5</v>
      </c>
      <c r="I179" s="828">
        <f>K41</f>
        <v>0.5</v>
      </c>
      <c r="J179" s="828">
        <v>0.1</v>
      </c>
      <c r="K179" s="828"/>
      <c r="L179" s="828" t="s">
        <v>22</v>
      </c>
      <c r="M179" s="877">
        <f>G179*H179*I179*J179</f>
        <v>0.57500000000000007</v>
      </c>
      <c r="N179" s="700"/>
      <c r="P179" s="871"/>
    </row>
    <row r="180" spans="1:16" s="863" customFormat="1">
      <c r="A180" s="862"/>
      <c r="B180" s="835"/>
      <c r="C180" s="835"/>
      <c r="D180" s="826"/>
      <c r="E180" s="1704" t="s">
        <v>12438</v>
      </c>
      <c r="F180" s="1704"/>
      <c r="G180" s="828">
        <f>G179</f>
        <v>23</v>
      </c>
      <c r="H180" s="828">
        <v>0.35</v>
      </c>
      <c r="I180" s="828">
        <v>0.35</v>
      </c>
      <c r="J180" s="828">
        <v>0.05</v>
      </c>
      <c r="K180" s="828"/>
      <c r="L180" s="828" t="s">
        <v>22</v>
      </c>
      <c r="M180" s="877">
        <f>G180*H180*I180*J180</f>
        <v>0.14087499999999997</v>
      </c>
      <c r="N180" s="700"/>
      <c r="P180" s="871"/>
    </row>
    <row r="181" spans="1:16" s="863" customFormat="1">
      <c r="A181" s="862"/>
      <c r="B181" s="835"/>
      <c r="C181" s="835"/>
      <c r="D181" s="826"/>
      <c r="E181" s="700"/>
      <c r="F181" s="700"/>
      <c r="G181" s="828"/>
      <c r="H181" s="828"/>
      <c r="I181" s="828"/>
      <c r="J181" s="828"/>
      <c r="K181" s="828"/>
      <c r="L181" s="828"/>
      <c r="M181" s="877"/>
      <c r="N181" s="700"/>
      <c r="P181" s="871"/>
    </row>
    <row r="182" spans="1:16" s="863" customFormat="1" ht="22.5">
      <c r="A182" s="862" t="s">
        <v>12410</v>
      </c>
      <c r="B182" s="855" t="s">
        <v>70</v>
      </c>
      <c r="C182" s="855">
        <v>34493</v>
      </c>
      <c r="D182" s="836" t="str">
        <f>PROPER(IF(B182="Saneago",VLOOKUP(C182,'SANEAGO-FEV.2016'!A:B,2,0),IF(B182="SINAPI",VLOOKUP(C182,'SINAPI-FEV.2017'!A:D,2,0),IF(B182="Cotação",VLOOKUP(C182,COTAÇÃO!A:D,2,0),IF(B182="Composição",VLOOKUP(C182,COMPOSIÇÃO!A:D,2,0))))))</f>
        <v>Concreto Usinado Bombeavel, Classe De Resistencia C25, Com Brita 0 E 1, Slump = 100 +/- 20 Mm, Exclui Servico De Bombeamento (Nbr 8953)</v>
      </c>
      <c r="E182" s="837"/>
      <c r="F182" s="837"/>
      <c r="G182" s="838"/>
      <c r="H182" s="838"/>
      <c r="I182" s="838"/>
      <c r="J182" s="913"/>
      <c r="K182" s="852" t="s">
        <v>27</v>
      </c>
      <c r="L182" s="852" t="s">
        <v>21</v>
      </c>
      <c r="M182" s="853">
        <f>SUM(M179:M180)</f>
        <v>0.71587500000000004</v>
      </c>
      <c r="N182" s="914"/>
      <c r="P182" s="871"/>
    </row>
    <row r="183" spans="1:16" s="863" customFormat="1">
      <c r="A183" s="862"/>
      <c r="B183" s="835"/>
      <c r="C183" s="835"/>
      <c r="D183" s="826"/>
      <c r="E183" s="700"/>
      <c r="F183" s="700"/>
      <c r="G183" s="828"/>
      <c r="H183" s="828"/>
      <c r="I183" s="828"/>
      <c r="J183" s="828"/>
      <c r="K183" s="828"/>
      <c r="L183" s="828"/>
      <c r="M183" s="877"/>
      <c r="N183" s="700"/>
      <c r="P183" s="871"/>
    </row>
    <row r="184" spans="1:16" s="863" customFormat="1" ht="22.5">
      <c r="A184" s="862" t="s">
        <v>20471</v>
      </c>
      <c r="B184" s="855" t="s">
        <v>70</v>
      </c>
      <c r="C184" s="855">
        <v>92874</v>
      </c>
      <c r="D184" s="836" t="str">
        <f>PROPER(IF(B184="Saneago",VLOOKUP(C184,'SANEAGO-FEV.2016'!A:B,2,0),IF(B184="SINAPI",VLOOKUP(C184,'SINAPI-FEV.2017'!A:D,2,0),IF(B184="Cotação",VLOOKUP(C184,COTAÇÃO!A:D,2,0),IF(B184="Composição",VLOOKUP(C184,COMPOSIÇÃO!A:D,2,0))))))</f>
        <v>Lançamento Com Uso De Bomba, Adensamento E Acabamento De Concreto Em Estruturas. Af_12/2015</v>
      </c>
      <c r="E184" s="837"/>
      <c r="F184" s="837"/>
      <c r="G184" s="838"/>
      <c r="H184" s="838"/>
      <c r="I184" s="838"/>
      <c r="J184" s="913"/>
      <c r="K184" s="852" t="s">
        <v>27</v>
      </c>
      <c r="L184" s="852" t="s">
        <v>21</v>
      </c>
      <c r="M184" s="853">
        <f>SUM(M181:M182)</f>
        <v>0.71587500000000004</v>
      </c>
      <c r="N184" s="914"/>
      <c r="P184" s="871"/>
    </row>
    <row r="185" spans="1:16" s="863" customFormat="1">
      <c r="A185" s="862"/>
      <c r="B185" s="855"/>
      <c r="C185" s="855"/>
      <c r="D185" s="888"/>
      <c r="E185" s="790"/>
      <c r="F185" s="700" t="s">
        <v>20351</v>
      </c>
      <c r="G185" s="700" t="s">
        <v>20352</v>
      </c>
      <c r="H185" s="700" t="s">
        <v>20353</v>
      </c>
      <c r="I185" s="700" t="s">
        <v>20354</v>
      </c>
      <c r="J185" s="954"/>
      <c r="K185" s="700"/>
      <c r="L185" s="700"/>
      <c r="M185" s="829"/>
      <c r="N185" s="914"/>
      <c r="P185" s="871"/>
    </row>
    <row r="186" spans="1:16" s="863" customFormat="1">
      <c r="A186" s="862"/>
      <c r="B186" s="855"/>
      <c r="C186" s="855"/>
      <c r="D186" s="888" t="s">
        <v>20472</v>
      </c>
      <c r="E186" s="700" t="s">
        <v>33</v>
      </c>
      <c r="F186" s="828">
        <f>M177*90*0.15</f>
        <v>252.2475</v>
      </c>
      <c r="G186" s="828">
        <f>M177*90*0.22</f>
        <v>369.96300000000002</v>
      </c>
      <c r="H186" s="828">
        <f>M177*90*0.17</f>
        <v>285.88050000000004</v>
      </c>
      <c r="I186" s="828">
        <f>M177*90*0.45</f>
        <v>756.74250000000006</v>
      </c>
      <c r="J186" s="954"/>
      <c r="K186" s="700"/>
      <c r="L186" s="700"/>
      <c r="M186" s="829"/>
      <c r="N186" s="914"/>
      <c r="P186" s="871"/>
    </row>
    <row r="187" spans="1:16" s="863" customFormat="1" ht="33.75">
      <c r="A187" s="912" t="s">
        <v>20473</v>
      </c>
      <c r="B187" s="835" t="s">
        <v>70</v>
      </c>
      <c r="C187" s="835">
        <v>92915</v>
      </c>
      <c r="D187" s="836" t="str">
        <f>PROPER(IF(B187="Saneago",VLOOKUP(C187,'SANEAGO-FEV.2016'!A:B,2,0),IF(B187="SINAPI",VLOOKUP(C187,'SINAPI-FEV.2017'!A:D,2,0),IF(B187="Cotação",VLOOKUP(C187,COTAÇÃO!A:D,2,0),IF(B187="Composição",VLOOKUP(C187,COMPOSIÇÃO!A:D,2,0))))))</f>
        <v>Armação De Estruturas De Concreto Armado, Exceto Vigas, Pilares, Lajes E Fundações Profundas (De Edifícios De Múltiplos Pavimentos, Edificação Térrea Ou Sobrado), Utilizando Aço Ca-60 De 5.0 Mm - Montagem. Af_12/2015</v>
      </c>
      <c r="E187" s="837"/>
      <c r="F187" s="837"/>
      <c r="G187" s="838"/>
      <c r="H187" s="838"/>
      <c r="I187" s="838"/>
      <c r="J187" s="913"/>
      <c r="K187" s="852" t="s">
        <v>12275</v>
      </c>
      <c r="L187" s="852" t="s">
        <v>21</v>
      </c>
      <c r="M187" s="853">
        <f>F186</f>
        <v>252.2475</v>
      </c>
      <c r="N187" s="914"/>
      <c r="P187" s="871"/>
    </row>
    <row r="188" spans="1:16" s="863" customFormat="1">
      <c r="A188" s="912"/>
      <c r="B188" s="835"/>
      <c r="C188" s="835"/>
      <c r="D188" s="826"/>
      <c r="E188" s="790"/>
      <c r="F188" s="790"/>
      <c r="G188" s="828"/>
      <c r="H188" s="828"/>
      <c r="I188" s="828"/>
      <c r="J188" s="954"/>
      <c r="K188" s="700"/>
      <c r="L188" s="700"/>
      <c r="M188" s="829"/>
      <c r="N188" s="914"/>
      <c r="P188" s="871"/>
    </row>
    <row r="189" spans="1:16" s="863" customFormat="1" ht="33.75">
      <c r="A189" s="912" t="s">
        <v>20474</v>
      </c>
      <c r="B189" s="835" t="s">
        <v>70</v>
      </c>
      <c r="C189" s="835">
        <v>92916</v>
      </c>
      <c r="D189" s="836" t="str">
        <f>PROPER(IF(B189="Saneago",VLOOKUP(C189,'SANEAGO-FEV.2016'!A:B,2,0),IF(B189="SINAPI",VLOOKUP(C189,'SINAPI-FEV.2017'!A:D,2,0),IF(B189="Cotação",VLOOKUP(C189,COTAÇÃO!A:D,2,0),IF(B189="Composição",VLOOKUP(C189,COMPOSIÇÃO!A:D,2,0))))))</f>
        <v>Armação De Estruturas De Concreto Armado, Exceto Vigas, Pilares, Lajes E Fundações Profundas (De Edifícios De Múltiplos Pavimentos, Edificação Térrea Ou Sobrado), Utilizando Aço Ca-50 De 6.3 Mm - Montagem. Af_12/2015</v>
      </c>
      <c r="E189" s="837"/>
      <c r="F189" s="837"/>
      <c r="G189" s="838"/>
      <c r="H189" s="838"/>
      <c r="I189" s="838"/>
      <c r="J189" s="913"/>
      <c r="K189" s="852" t="s">
        <v>12275</v>
      </c>
      <c r="L189" s="852" t="s">
        <v>21</v>
      </c>
      <c r="M189" s="853">
        <f>G186</f>
        <v>369.96300000000002</v>
      </c>
      <c r="N189" s="914"/>
      <c r="P189" s="871"/>
    </row>
    <row r="190" spans="1:16" s="863" customFormat="1">
      <c r="A190" s="912"/>
      <c r="B190" s="835"/>
      <c r="C190" s="835"/>
      <c r="D190" s="826"/>
      <c r="E190" s="790"/>
      <c r="F190" s="790"/>
      <c r="G190" s="828"/>
      <c r="H190" s="828"/>
      <c r="I190" s="828"/>
      <c r="J190" s="954"/>
      <c r="K190" s="700"/>
      <c r="L190" s="700"/>
      <c r="M190" s="829"/>
      <c r="N190" s="914"/>
      <c r="P190" s="871"/>
    </row>
    <row r="191" spans="1:16" s="863" customFormat="1" ht="33.75">
      <c r="A191" s="912" t="s">
        <v>20475</v>
      </c>
      <c r="B191" s="835" t="s">
        <v>70</v>
      </c>
      <c r="C191" s="835">
        <v>92917</v>
      </c>
      <c r="D191" s="836" t="str">
        <f>PROPER(IF(B191="Saneago",VLOOKUP(C191,'SANEAGO-FEV.2016'!A:B,2,0),IF(B191="SINAPI",VLOOKUP(C191,'SINAPI-FEV.2017'!A:D,2,0),IF(B191="Cotação",VLOOKUP(C191,COTAÇÃO!A:D,2,0),IF(B191="Composição",VLOOKUP(C191,COMPOSIÇÃO!A:D,2,0))))))</f>
        <v>Armação De Estruturas De Concreto Armado, Exceto Vigas, Pilares, Lajes E Fundações Profundas (De Edifícios De Múltiplos Pavimentos, Edificação Térrea Ou Sobrado), Utilizando Aço Ca-50 De 8.0 Mm - Montagem. Af_12/2015</v>
      </c>
      <c r="E191" s="837"/>
      <c r="F191" s="837"/>
      <c r="G191" s="838"/>
      <c r="H191" s="838"/>
      <c r="I191" s="838"/>
      <c r="J191" s="913"/>
      <c r="K191" s="852" t="s">
        <v>12275</v>
      </c>
      <c r="L191" s="852" t="s">
        <v>21</v>
      </c>
      <c r="M191" s="853">
        <f>H186</f>
        <v>285.88050000000004</v>
      </c>
      <c r="N191" s="914"/>
      <c r="P191" s="871"/>
    </row>
    <row r="192" spans="1:16" s="863" customFormat="1">
      <c r="A192" s="912"/>
      <c r="B192" s="835"/>
      <c r="C192" s="835"/>
      <c r="D192" s="826"/>
      <c r="E192" s="790"/>
      <c r="F192" s="790"/>
      <c r="G192" s="828"/>
      <c r="H192" s="828"/>
      <c r="I192" s="828"/>
      <c r="J192" s="954"/>
      <c r="K192" s="700"/>
      <c r="L192" s="700"/>
      <c r="M192" s="829"/>
      <c r="N192" s="914"/>
      <c r="P192" s="871"/>
    </row>
    <row r="193" spans="1:16" s="863" customFormat="1" ht="33.75">
      <c r="A193" s="912" t="s">
        <v>20476</v>
      </c>
      <c r="B193" s="835" t="s">
        <v>70</v>
      </c>
      <c r="C193" s="835">
        <v>92919</v>
      </c>
      <c r="D193" s="836" t="str">
        <f>PROPER(IF(B193="Saneago",VLOOKUP(C193,'SANEAGO-FEV.2016'!A:B,2,0),IF(B193="SINAPI",VLOOKUP(C193,'SINAPI-FEV.2017'!A:D,2,0),IF(B193="Cotação",VLOOKUP(C193,COTAÇÃO!A:D,2,0),IF(B193="Composição",VLOOKUP(C193,COMPOSIÇÃO!A:D,2,0))))))</f>
        <v>Armação De Estruturas De Concreto Armado, Exceto Vigas, Pilares, Lajes E Fundações Profundas (De Edifícios De Múltiplos Pavimentos, Edificação Térrea Ou Sobrado), Utilizando Aço Ca-50 De 10.0 Mm - Montagem. Af_12/2015</v>
      </c>
      <c r="E193" s="837"/>
      <c r="F193" s="837"/>
      <c r="G193" s="838"/>
      <c r="H193" s="838"/>
      <c r="I193" s="838"/>
      <c r="J193" s="913"/>
      <c r="K193" s="852" t="s">
        <v>12275</v>
      </c>
      <c r="L193" s="852" t="s">
        <v>21</v>
      </c>
      <c r="M193" s="853">
        <f>I186</f>
        <v>756.74250000000006</v>
      </c>
      <c r="N193" s="700"/>
      <c r="P193" s="871"/>
    </row>
    <row r="194" spans="1:16" s="863" customFormat="1">
      <c r="A194" s="912"/>
      <c r="B194" s="835"/>
      <c r="C194" s="835"/>
      <c r="D194" s="826"/>
      <c r="E194" s="790"/>
      <c r="F194" s="790"/>
      <c r="G194" s="828"/>
      <c r="H194" s="828"/>
      <c r="I194" s="828"/>
      <c r="J194" s="828"/>
      <c r="K194" s="828"/>
      <c r="L194" s="828"/>
      <c r="M194" s="877"/>
      <c r="N194" s="700"/>
      <c r="P194" s="871"/>
    </row>
    <row r="195" spans="1:16" s="863" customFormat="1">
      <c r="A195" s="862" t="s">
        <v>12390</v>
      </c>
      <c r="B195" s="835" t="s">
        <v>70</v>
      </c>
      <c r="C195" s="835" t="s">
        <v>19257</v>
      </c>
      <c r="D195" s="836" t="str">
        <f>PROPER(IF(B195="Saneago",VLOOKUP(C195,'SANEAGO-FEV.2016'!A:B,2,0),IF(B195="SINAPI",VLOOKUP(C195,'SINAPI-FEV.2017'!A:D,2,0),IF(B195="Cotação",VLOOKUP(C195,COTAÇÃO!A:D,2,0),IF(B195="Composição",VLOOKUP(C195,COMPOSIÇÃO!A:D,2,0))))))</f>
        <v>Ensaio De Consistencia Do Concreto Ccr - Indice Vebe</v>
      </c>
      <c r="E195" s="837"/>
      <c r="F195" s="837"/>
      <c r="G195" s="838"/>
      <c r="H195" s="838"/>
      <c r="I195" s="838"/>
      <c r="J195" s="838"/>
      <c r="K195" s="838"/>
      <c r="L195" s="852" t="s">
        <v>26</v>
      </c>
      <c r="M195" s="853">
        <f>ROUNDUP(M177/50,0)</f>
        <v>1</v>
      </c>
      <c r="N195" s="700"/>
      <c r="P195" s="871"/>
    </row>
    <row r="196" spans="1:16" s="863" customFormat="1" ht="9.75" customHeight="1" thickBot="1">
      <c r="A196" s="862"/>
      <c r="B196" s="835"/>
      <c r="C196" s="835"/>
      <c r="D196" s="826"/>
      <c r="E196" s="790"/>
      <c r="F196" s="790"/>
      <c r="G196" s="700"/>
      <c r="H196" s="700"/>
      <c r="I196" s="700"/>
      <c r="J196" s="700"/>
      <c r="K196" s="700"/>
      <c r="L196" s="700"/>
      <c r="M196" s="827"/>
      <c r="N196" s="700"/>
      <c r="P196" s="871"/>
    </row>
    <row r="197" spans="1:16" s="863" customFormat="1" ht="14.25" thickTop="1" thickBot="1">
      <c r="A197" s="862"/>
      <c r="B197" s="835"/>
      <c r="C197" s="835"/>
      <c r="D197" s="830" t="s">
        <v>12349</v>
      </c>
      <c r="E197" s="831"/>
      <c r="F197" s="831"/>
      <c r="G197" s="831"/>
      <c r="H197" s="831"/>
      <c r="I197" s="831"/>
      <c r="J197" s="831"/>
      <c r="K197" s="831"/>
      <c r="L197" s="832"/>
      <c r="M197" s="833"/>
      <c r="N197" s="870"/>
      <c r="O197" s="871"/>
      <c r="P197" s="871"/>
    </row>
    <row r="198" spans="1:16" ht="13.5" thickTop="1">
      <c r="C198" s="893"/>
      <c r="D198" s="826"/>
      <c r="E198" s="790"/>
      <c r="F198" s="790"/>
      <c r="G198" s="700" t="s">
        <v>30</v>
      </c>
      <c r="H198" s="700" t="s">
        <v>30</v>
      </c>
      <c r="I198" s="700" t="s">
        <v>30</v>
      </c>
      <c r="J198" s="700" t="s">
        <v>30</v>
      </c>
      <c r="K198" s="700" t="s">
        <v>30</v>
      </c>
      <c r="L198" s="700" t="s">
        <v>30</v>
      </c>
      <c r="M198" s="876" t="s">
        <v>30</v>
      </c>
    </row>
    <row r="199" spans="1:16" ht="33.75">
      <c r="A199" s="862" t="s">
        <v>12391</v>
      </c>
      <c r="B199" s="835" t="s">
        <v>10852</v>
      </c>
      <c r="C199" s="893">
        <v>862</v>
      </c>
      <c r="D199" s="836" t="str">
        <f>PROPER(IF(B199="Saneago",VLOOKUP(C199,'SANEAGO-FEV.2016'!A:B,2,0),IF(B199="SINAPI",VLOOKUP(C199,'SINAPI-FEV.2017'!A:D,2,0),IF(B199="Cotação",VLOOKUP(C199,COTAÇÃO!A:D,2,0),IF(B199="Composição",VLOOKUP(C199,COMPOSIÇÃO!A:D,2,0))))))</f>
        <v>Guarda-Corpo De Tubo Industrial  1.1/2" (40 Mm) Chapa 13;  H=1,0 M, C/ Tela Artística   3 X 3 Fio 12, Perfil  U  Dim.  19,05  X 19,05  X 3,17  Mm,  Barra  Retangular  Dim  9,52  X 6,35  Mm,  Fixada  Em  Chapa Metálica Dim: 0,20 X 0,10 X 0,05 Cm, C/ Injenção De Silicone,</v>
      </c>
      <c r="E199" s="837"/>
      <c r="F199" s="837"/>
      <c r="G199" s="852"/>
      <c r="H199" s="852"/>
      <c r="I199" s="852"/>
      <c r="J199" s="838"/>
      <c r="K199" s="838"/>
      <c r="L199" s="852" t="s">
        <v>18</v>
      </c>
      <c r="M199" s="853">
        <f>5+3</f>
        <v>8</v>
      </c>
    </row>
    <row r="200" spans="1:16">
      <c r="C200" s="893"/>
      <c r="D200" s="826"/>
      <c r="E200" s="790"/>
      <c r="F200" s="790"/>
      <c r="G200" s="700" t="s">
        <v>30</v>
      </c>
      <c r="H200" s="700" t="s">
        <v>30</v>
      </c>
      <c r="I200" s="700" t="s">
        <v>30</v>
      </c>
      <c r="J200" s="700" t="s">
        <v>30</v>
      </c>
      <c r="K200" s="700" t="s">
        <v>30</v>
      </c>
      <c r="L200" s="700" t="s">
        <v>30</v>
      </c>
      <c r="M200" s="876" t="s">
        <v>30</v>
      </c>
    </row>
    <row r="201" spans="1:16">
      <c r="A201" s="862" t="s">
        <v>12411</v>
      </c>
      <c r="B201" s="835" t="s">
        <v>11722</v>
      </c>
      <c r="C201" s="893" t="s">
        <v>12303</v>
      </c>
      <c r="D201" s="836" t="str">
        <f>PROPER(IF(B201="Saneago",VLOOKUP(C201,'SANEAGO-FEV.2016'!A:B,2,0),IF(B201="SINAPI",VLOOKUP(C201,'SINAPI-FEV.2017'!A:D,2,0),IF(B201="Cotação",VLOOKUP(C201,COTAÇÃO!A:D,2,0),IF(B201="Composição",VLOOKUP(C201,COMPOSIÇÃO!A:D,2,0))))))</f>
        <v>Apoio Metálico Da Tubulação</v>
      </c>
      <c r="E201" s="837"/>
      <c r="F201" s="837"/>
      <c r="G201" s="852"/>
      <c r="H201" s="852"/>
      <c r="I201" s="852"/>
      <c r="J201" s="838"/>
      <c r="K201" s="838"/>
      <c r="L201" s="852" t="s">
        <v>18</v>
      </c>
      <c r="M201" s="853">
        <f>3+4</f>
        <v>7</v>
      </c>
    </row>
    <row r="202" spans="1:16">
      <c r="C202" s="893"/>
      <c r="D202" s="826"/>
      <c r="E202" s="790"/>
      <c r="F202" s="790"/>
      <c r="G202" s="700" t="s">
        <v>30</v>
      </c>
      <c r="H202" s="700" t="s">
        <v>30</v>
      </c>
      <c r="I202" s="700" t="s">
        <v>30</v>
      </c>
      <c r="J202" s="700" t="s">
        <v>30</v>
      </c>
      <c r="K202" s="700" t="s">
        <v>30</v>
      </c>
      <c r="L202" s="700" t="s">
        <v>30</v>
      </c>
      <c r="M202" s="876" t="s">
        <v>30</v>
      </c>
    </row>
    <row r="203" spans="1:16">
      <c r="A203" s="862" t="s">
        <v>12412</v>
      </c>
      <c r="B203" s="835" t="s">
        <v>11722</v>
      </c>
      <c r="C203" s="893" t="s">
        <v>12345</v>
      </c>
      <c r="D203" s="836" t="str">
        <f>PROPER(IF(B203="Saneago",VLOOKUP(C203,'SANEAGO-FEV.2016'!A:B,2,0),IF(B203="SINAPI",VLOOKUP(C203,'SINAPI-FEV.2017'!A:D,2,0),IF(B203="Cotação",VLOOKUP(C203,COTAÇÃO!A:D,2,0),IF(B203="Composição",VLOOKUP(C203,COMPOSIÇÃO!A:D,2,0))))))</f>
        <v>Grade Em Fibra De Vidro</v>
      </c>
      <c r="E203" s="837"/>
      <c r="F203" s="837"/>
      <c r="G203" s="852"/>
      <c r="H203" s="852"/>
      <c r="I203" s="852"/>
      <c r="J203" s="838"/>
      <c r="K203" s="838"/>
      <c r="L203" s="852" t="s">
        <v>21</v>
      </c>
      <c r="M203" s="853">
        <f>0.6*0.45+0.61*0.61</f>
        <v>0.6421</v>
      </c>
    </row>
    <row r="204" spans="1:16">
      <c r="C204" s="893"/>
      <c r="D204" s="826"/>
      <c r="E204" s="790"/>
      <c r="F204" s="790"/>
      <c r="G204" s="700"/>
      <c r="H204" s="700"/>
      <c r="I204" s="700" t="s">
        <v>17</v>
      </c>
      <c r="J204" s="700" t="s">
        <v>32</v>
      </c>
      <c r="K204" s="700" t="s">
        <v>30</v>
      </c>
      <c r="L204" s="700"/>
      <c r="M204" s="876"/>
    </row>
    <row r="205" spans="1:16">
      <c r="C205" s="893"/>
      <c r="D205" s="826"/>
      <c r="E205" s="790"/>
      <c r="F205" s="790"/>
      <c r="G205" s="700"/>
      <c r="H205" s="700" t="s">
        <v>11687</v>
      </c>
      <c r="I205" s="828">
        <v>1.45</v>
      </c>
      <c r="J205" s="828">
        <v>2</v>
      </c>
      <c r="K205" s="828"/>
      <c r="L205" s="828" t="s">
        <v>21</v>
      </c>
      <c r="M205" s="955">
        <f>I205*J205</f>
        <v>2.9</v>
      </c>
    </row>
    <row r="206" spans="1:16">
      <c r="C206" s="893"/>
      <c r="D206" s="826"/>
      <c r="E206" s="790"/>
      <c r="F206" s="790"/>
      <c r="G206" s="700"/>
      <c r="H206" s="700" t="s">
        <v>11666</v>
      </c>
      <c r="I206" s="828">
        <v>1.35</v>
      </c>
      <c r="J206" s="828">
        <v>2</v>
      </c>
      <c r="K206" s="828"/>
      <c r="L206" s="828" t="s">
        <v>21</v>
      </c>
      <c r="M206" s="955">
        <f>I206*J206</f>
        <v>2.7</v>
      </c>
    </row>
    <row r="207" spans="1:16">
      <c r="C207" s="893"/>
      <c r="D207" s="826"/>
      <c r="E207" s="790"/>
      <c r="F207" s="790"/>
      <c r="G207" s="700"/>
      <c r="H207" s="700" t="s">
        <v>12154</v>
      </c>
      <c r="I207" s="828">
        <v>1.8</v>
      </c>
      <c r="J207" s="828">
        <v>2</v>
      </c>
      <c r="K207" s="828"/>
      <c r="L207" s="828" t="s">
        <v>21</v>
      </c>
      <c r="M207" s="955">
        <f>I207*J207</f>
        <v>3.6</v>
      </c>
    </row>
    <row r="208" spans="1:16" ht="22.5">
      <c r="A208" s="862" t="s">
        <v>12413</v>
      </c>
      <c r="B208" s="835" t="s">
        <v>70</v>
      </c>
      <c r="C208" s="835">
        <v>91341</v>
      </c>
      <c r="D208" s="836" t="str">
        <f>PROPER(IF(B208="Saneago",VLOOKUP(C208,'SANEAGO-FEV.2016'!A:B,2,0),IF(B208="SINAPI",VLOOKUP(C208,'SINAPI-FEV.2017'!A:D,2,0),IF(B208="Cotação",VLOOKUP(C208,COTAÇÃO!A:D,2,0),IF(B208="Composição",VLOOKUP(C208,COMPOSIÇÃO!A:D,2,0))))))</f>
        <v>Porta Em Alumínio De Abrir Tipo Veneziana Com Guarnição, Fixação Com Parafusos - Fornecimento E Instalação. Af_08/2015</v>
      </c>
      <c r="E208" s="837"/>
      <c r="F208" s="837"/>
      <c r="G208" s="852"/>
      <c r="H208" s="852"/>
      <c r="I208" s="852"/>
      <c r="J208" s="838"/>
      <c r="K208" s="839" t="s">
        <v>27</v>
      </c>
      <c r="L208" s="856" t="s">
        <v>21</v>
      </c>
      <c r="M208" s="892">
        <f>SUM(M205:M207)</f>
        <v>9.1999999999999993</v>
      </c>
    </row>
    <row r="209" spans="1:16">
      <c r="C209" s="893"/>
      <c r="D209" s="826"/>
      <c r="E209" s="790"/>
      <c r="F209" s="790"/>
      <c r="G209" s="700" t="s">
        <v>30</v>
      </c>
      <c r="H209" s="700" t="s">
        <v>30</v>
      </c>
      <c r="I209" s="700" t="s">
        <v>30</v>
      </c>
      <c r="J209" s="700" t="s">
        <v>30</v>
      </c>
      <c r="K209" s="700" t="s">
        <v>30</v>
      </c>
      <c r="L209" s="700" t="s">
        <v>30</v>
      </c>
      <c r="M209" s="876" t="s">
        <v>30</v>
      </c>
    </row>
    <row r="210" spans="1:16">
      <c r="A210" s="862" t="s">
        <v>12434</v>
      </c>
      <c r="B210" s="835" t="s">
        <v>70</v>
      </c>
      <c r="C210" s="893">
        <v>93188</v>
      </c>
      <c r="D210" s="836" t="str">
        <f>PROPER(IF(B210="Saneago",VLOOKUP(C210,'SANEAGO-FEV.2016'!A:B,2,0),IF(B210="SINAPI",VLOOKUP(C210,'SINAPI-FEV.2017'!A:D,2,0),IF(B210="Cotação",VLOOKUP(C210,COTAÇÃO!A:D,2,0),IF(B210="Composição",VLOOKUP(C210,COMPOSIÇÃO!A:D,2,0))))))</f>
        <v>Verga Moldada In Loco Em Concreto Para Portas Com Até 1,5 M De Vão. Af_03/2016</v>
      </c>
      <c r="E210" s="837"/>
      <c r="F210" s="837"/>
      <c r="G210" s="852"/>
      <c r="H210" s="852"/>
      <c r="I210" s="852"/>
      <c r="J210" s="852"/>
      <c r="K210" s="838"/>
      <c r="L210" s="852" t="s">
        <v>18</v>
      </c>
      <c r="M210" s="853">
        <f>SUM(I205:I207)</f>
        <v>4.5999999999999996</v>
      </c>
    </row>
    <row r="211" spans="1:16">
      <c r="C211" s="893"/>
      <c r="D211" s="826"/>
      <c r="E211" s="790"/>
      <c r="F211" s="790"/>
      <c r="G211" s="700" t="s">
        <v>30</v>
      </c>
      <c r="H211" s="700" t="s">
        <v>30</v>
      </c>
      <c r="I211" s="700" t="s">
        <v>30</v>
      </c>
      <c r="J211" s="700" t="s">
        <v>30</v>
      </c>
      <c r="K211" s="700" t="s">
        <v>30</v>
      </c>
      <c r="L211" s="700" t="s">
        <v>30</v>
      </c>
      <c r="M211" s="876" t="s">
        <v>30</v>
      </c>
    </row>
    <row r="212" spans="1:16" ht="22.5">
      <c r="A212" s="862" t="s">
        <v>12435</v>
      </c>
      <c r="B212" s="835" t="s">
        <v>70</v>
      </c>
      <c r="C212" s="893">
        <v>93196</v>
      </c>
      <c r="D212" s="836" t="str">
        <f>PROPER(IF(B212="Saneago",VLOOKUP(C212,'SANEAGO-FEV.2016'!A:B,2,0),IF(B212="SINAPI",VLOOKUP(C212,'SINAPI-FEV.2017'!A:D,2,0),IF(B212="Cotação",VLOOKUP(C212,COTAÇÃO!A:D,2,0),IF(B212="Composição",VLOOKUP(C212,COMPOSIÇÃO!A:D,2,0))))))</f>
        <v>Contraverga Moldada In Loco Em Concreto Para Vãos De Até 1,5 M De Comprimento. Af_03/2016</v>
      </c>
      <c r="E212" s="837"/>
      <c r="F212" s="837"/>
      <c r="G212" s="852"/>
      <c r="H212" s="852"/>
      <c r="I212" s="852"/>
      <c r="J212" s="838"/>
      <c r="K212" s="838"/>
      <c r="L212" s="852" t="s">
        <v>18</v>
      </c>
      <c r="M212" s="853">
        <f>M210</f>
        <v>4.5999999999999996</v>
      </c>
    </row>
    <row r="213" spans="1:16">
      <c r="C213" s="893"/>
      <c r="D213" s="826"/>
      <c r="E213" s="790"/>
      <c r="F213" s="790"/>
      <c r="G213" s="700" t="s">
        <v>30</v>
      </c>
      <c r="H213" s="700" t="s">
        <v>30</v>
      </c>
      <c r="I213" s="700" t="s">
        <v>30</v>
      </c>
      <c r="J213" s="700" t="s">
        <v>30</v>
      </c>
      <c r="K213" s="700" t="s">
        <v>30</v>
      </c>
      <c r="L213" s="700" t="s">
        <v>30</v>
      </c>
      <c r="M213" s="876" t="s">
        <v>30</v>
      </c>
    </row>
    <row r="214" spans="1:16">
      <c r="A214" s="862" t="s">
        <v>12392</v>
      </c>
      <c r="B214" s="835" t="s">
        <v>70</v>
      </c>
      <c r="C214" s="893">
        <v>83623</v>
      </c>
      <c r="D214" s="836" t="str">
        <f>PROPER(IF(B214="Saneago",VLOOKUP(C214,'SANEAGO-FEV.2016'!A:B,2,0),IF(B214="SINAPI",VLOOKUP(C214,'SINAPI-FEV.2017'!A:D,2,0),IF(B214="Cotação",VLOOKUP(C214,COTAÇÃO!A:D,2,0),IF(B214="Composição",VLOOKUP(C214,COMPOSIÇÃO!A:D,2,0))))))</f>
        <v>Grelha De Ferro Fundido Para Canaleta Larg = 30Cm, Fornecimento E Assentamento</v>
      </c>
      <c r="E214" s="837"/>
      <c r="F214" s="837"/>
      <c r="G214" s="852"/>
      <c r="H214" s="852"/>
      <c r="I214" s="852"/>
      <c r="J214" s="838"/>
      <c r="K214" s="838"/>
      <c r="L214" s="852" t="s">
        <v>18</v>
      </c>
      <c r="M214" s="853">
        <f>0.3*1.7</f>
        <v>0.51</v>
      </c>
    </row>
    <row r="215" spans="1:16">
      <c r="C215" s="893"/>
      <c r="D215" s="826"/>
      <c r="E215" s="790"/>
      <c r="F215" s="790"/>
      <c r="G215" s="700" t="s">
        <v>30</v>
      </c>
      <c r="H215" s="700" t="s">
        <v>30</v>
      </c>
      <c r="I215" s="700" t="s">
        <v>30</v>
      </c>
      <c r="J215" s="700" t="s">
        <v>30</v>
      </c>
      <c r="K215" s="700" t="s">
        <v>30</v>
      </c>
      <c r="L215" s="700" t="s">
        <v>30</v>
      </c>
      <c r="M215" s="876" t="s">
        <v>30</v>
      </c>
    </row>
    <row r="216" spans="1:16">
      <c r="A216" s="862" t="s">
        <v>12449</v>
      </c>
      <c r="B216" s="835" t="s">
        <v>11722</v>
      </c>
      <c r="C216" s="893" t="s">
        <v>20516</v>
      </c>
      <c r="D216" s="836" t="str">
        <f>PROPER(IF(B216="Saneago",VLOOKUP(C216,'SANEAGO-FEV.2016'!A:B,2,0),IF(B216="SINAPI",VLOOKUP(C216,'SINAPI-FEV.2017'!A:D,2,0),IF(B216="Cotação",VLOOKUP(C216,COTAÇÃO!A:D,2,0),IF(B216="Composição",VLOOKUP(C216,COMPOSIÇÃO!A:D,2,0))))))</f>
        <v>Chuveiro Lava Olhos</v>
      </c>
      <c r="E216" s="837"/>
      <c r="F216" s="837"/>
      <c r="G216" s="852"/>
      <c r="H216" s="852"/>
      <c r="I216" s="852"/>
      <c r="J216" s="838"/>
      <c r="K216" s="838"/>
      <c r="L216" s="852" t="s">
        <v>10853</v>
      </c>
      <c r="M216" s="937">
        <v>1</v>
      </c>
    </row>
    <row r="217" spans="1:16" ht="13.5" thickBot="1">
      <c r="C217" s="893"/>
      <c r="D217" s="826"/>
      <c r="E217" s="790"/>
      <c r="F217" s="790"/>
      <c r="G217" s="700"/>
      <c r="H217" s="700"/>
      <c r="I217" s="700"/>
      <c r="J217" s="828"/>
      <c r="K217" s="828"/>
      <c r="L217" s="700"/>
      <c r="M217" s="829"/>
    </row>
    <row r="218" spans="1:16" s="863" customFormat="1" ht="15.75" customHeight="1" thickTop="1" thickBot="1">
      <c r="A218" s="862"/>
      <c r="B218" s="835"/>
      <c r="C218" s="835"/>
      <c r="D218" s="830" t="s">
        <v>53</v>
      </c>
      <c r="E218" s="831"/>
      <c r="F218" s="831"/>
      <c r="G218" s="831"/>
      <c r="H218" s="831"/>
      <c r="I218" s="831"/>
      <c r="J218" s="831"/>
      <c r="K218" s="831"/>
      <c r="L218" s="832" t="s">
        <v>25</v>
      </c>
      <c r="M218" s="833" t="s">
        <v>27</v>
      </c>
      <c r="N218" s="700"/>
      <c r="P218" s="871"/>
    </row>
    <row r="219" spans="1:16" ht="13.5" thickTop="1">
      <c r="C219" s="893"/>
      <c r="D219" s="826"/>
      <c r="E219" s="790"/>
      <c r="F219" s="790"/>
      <c r="G219" s="700"/>
      <c r="H219" s="700"/>
      <c r="I219" s="700"/>
      <c r="J219" s="700"/>
      <c r="K219" s="700"/>
      <c r="L219" s="700"/>
      <c r="M219" s="876"/>
    </row>
    <row r="220" spans="1:16" ht="22.5">
      <c r="A220" s="862" t="s">
        <v>12393</v>
      </c>
      <c r="B220" s="919" t="s">
        <v>70</v>
      </c>
      <c r="C220" s="919" t="s">
        <v>18440</v>
      </c>
      <c r="D220" s="836" t="str">
        <f>PROPER(IF(B220="Saneago",VLOOKUP(C220,'SANEAGO-FEV.2016'!A:B,2,0),IF(B220="SINAPI",VLOOKUP(C220,'SINAPI-FEV.2017'!A:D,2,0),IF(B220="Cotação",VLOOKUP(C220,COTAÇÃO!A:D,2,0),IF(B220="Composição",VLOOKUP(C220,COMPOSIÇÃO!A:D,2,0))))))</f>
        <v>Cobogo De Concreto (Elemento Vazado), 7X50X50Cm, Assentado Com Argamassa Traco 1:4 (Cimento E Areia)</v>
      </c>
      <c r="E220" s="837"/>
      <c r="F220" s="837"/>
      <c r="G220" s="852"/>
      <c r="H220" s="852"/>
      <c r="I220" s="852"/>
      <c r="J220" s="838"/>
      <c r="K220" s="838"/>
      <c r="L220" s="852" t="s">
        <v>21</v>
      </c>
      <c r="M220" s="853">
        <f>(2*1+1.5)*0.5</f>
        <v>1.75</v>
      </c>
    </row>
    <row r="221" spans="1:16" s="863" customFormat="1" ht="14.25" customHeight="1">
      <c r="A221" s="862"/>
      <c r="B221" s="835"/>
      <c r="C221" s="835"/>
      <c r="D221" s="826"/>
      <c r="E221" s="790"/>
      <c r="F221" s="790"/>
      <c r="G221" s="700" t="s">
        <v>30</v>
      </c>
      <c r="H221" s="700" t="s">
        <v>1275</v>
      </c>
      <c r="I221" s="700" t="s">
        <v>11791</v>
      </c>
      <c r="J221" s="700" t="s">
        <v>32</v>
      </c>
      <c r="K221" s="700" t="s">
        <v>12429</v>
      </c>
      <c r="L221" s="700"/>
      <c r="M221" s="827"/>
      <c r="N221" s="700"/>
      <c r="P221" s="871"/>
    </row>
    <row r="222" spans="1:16" s="863" customFormat="1" ht="14.25" customHeight="1">
      <c r="A222" s="862"/>
      <c r="B222" s="835"/>
      <c r="C222" s="835"/>
      <c r="D222" s="826"/>
      <c r="E222" s="790"/>
      <c r="F222" s="1674" t="s">
        <v>12430</v>
      </c>
      <c r="G222" s="1674"/>
      <c r="H222" s="700">
        <v>1</v>
      </c>
      <c r="I222" s="828">
        <v>4.9000000000000004</v>
      </c>
      <c r="J222" s="828">
        <f>0.5+0.6</f>
        <v>1.1000000000000001</v>
      </c>
      <c r="K222" s="828">
        <f>M220</f>
        <v>1.75</v>
      </c>
      <c r="L222" s="700" t="s">
        <v>21</v>
      </c>
      <c r="M222" s="890">
        <f>H222*(I222*J222-K222)</f>
        <v>3.6400000000000006</v>
      </c>
      <c r="N222" s="700"/>
      <c r="P222" s="871"/>
    </row>
    <row r="223" spans="1:16" s="863" customFormat="1" ht="14.25" customHeight="1">
      <c r="A223" s="862"/>
      <c r="B223" s="835"/>
      <c r="C223" s="835"/>
      <c r="D223" s="826"/>
      <c r="E223" s="790"/>
      <c r="F223" s="1674" t="s">
        <v>12431</v>
      </c>
      <c r="G223" s="1674"/>
      <c r="H223" s="700">
        <v>4</v>
      </c>
      <c r="I223" s="828">
        <v>0.8</v>
      </c>
      <c r="J223" s="828">
        <v>2</v>
      </c>
      <c r="K223" s="828">
        <v>0</v>
      </c>
      <c r="L223" s="700" t="s">
        <v>21</v>
      </c>
      <c r="M223" s="890">
        <f>H223*(I223*J223-K223)</f>
        <v>6.4</v>
      </c>
      <c r="N223" s="700"/>
      <c r="P223" s="871"/>
    </row>
    <row r="224" spans="1:16" s="863" customFormat="1" ht="14.25" customHeight="1">
      <c r="A224" s="862"/>
      <c r="B224" s="835"/>
      <c r="C224" s="835"/>
      <c r="D224" s="826"/>
      <c r="E224" s="790"/>
      <c r="F224" s="1674" t="s">
        <v>12436</v>
      </c>
      <c r="G224" s="1674"/>
      <c r="H224" s="700">
        <v>23</v>
      </c>
      <c r="I224" s="828">
        <f>0.5*4</f>
        <v>2</v>
      </c>
      <c r="J224" s="828">
        <v>0.4</v>
      </c>
      <c r="K224" s="828">
        <v>0</v>
      </c>
      <c r="L224" s="700" t="s">
        <v>21</v>
      </c>
      <c r="M224" s="890">
        <f>H224*(I224*J224-K224)</f>
        <v>18.400000000000002</v>
      </c>
      <c r="N224" s="700"/>
      <c r="P224" s="871"/>
    </row>
    <row r="225" spans="1:16" s="863" customFormat="1" ht="14.25" customHeight="1">
      <c r="A225" s="862"/>
      <c r="B225" s="835"/>
      <c r="C225" s="835"/>
      <c r="D225" s="826"/>
      <c r="E225" s="790"/>
      <c r="F225" s="700"/>
      <c r="G225" s="700"/>
      <c r="H225" s="700"/>
      <c r="I225" s="700"/>
      <c r="J225" s="700"/>
      <c r="K225" s="700"/>
      <c r="L225" s="700"/>
      <c r="M225" s="890"/>
      <c r="N225" s="700"/>
      <c r="P225" s="871"/>
    </row>
    <row r="226" spans="1:16" s="863" customFormat="1" ht="33.75">
      <c r="A226" s="862" t="s">
        <v>12446</v>
      </c>
      <c r="B226" s="919" t="s">
        <v>70</v>
      </c>
      <c r="C226" s="919">
        <v>87513</v>
      </c>
      <c r="D226" s="836" t="str">
        <f>PROPER(IF(B226="Saneago",VLOOKUP(C226,'SANEAGO-FEV.2016'!A:B,2,0),IF(B226="SINAPI",VLOOKUP(C226,'SINAPI-FEV.2017'!A:D,2,0),IF(B226="Cotação",VLOOKUP(C226,COTAÇÃO!A:D,2,0),IF(B226="Composição",VLOOKUP(C226,COMPOSIÇÃO!A:D,2,0))))))</f>
        <v>Alvenaria De Vedação De Blocos Cerâmicos Furados Na Horizontal De 11,5X19X19Cm (Espessura 11,5Cm) De Paredes Com Área Líquida Menor Que 6M² Com Vãos E Argamassa De Assentamento Com Preparo Em Betoneira. Af_06/2014</v>
      </c>
      <c r="E226" s="837"/>
      <c r="F226" s="837"/>
      <c r="G226" s="852"/>
      <c r="H226" s="852"/>
      <c r="I226" s="838"/>
      <c r="J226" s="838"/>
      <c r="K226" s="856" t="s">
        <v>27</v>
      </c>
      <c r="L226" s="856" t="s">
        <v>21</v>
      </c>
      <c r="M226" s="840">
        <f>SUM(M222:M224)</f>
        <v>28.440000000000005</v>
      </c>
      <c r="N226" s="700"/>
      <c r="P226" s="871"/>
    </row>
    <row r="227" spans="1:16" s="863" customFormat="1" ht="6" customHeight="1" thickBot="1">
      <c r="A227" s="862"/>
      <c r="B227" s="835"/>
      <c r="C227" s="835"/>
      <c r="D227" s="826"/>
      <c r="E227" s="790"/>
      <c r="F227" s="790"/>
      <c r="G227" s="700"/>
      <c r="H227" s="700"/>
      <c r="I227" s="700"/>
      <c r="J227" s="828"/>
      <c r="K227" s="828"/>
      <c r="L227" s="828"/>
      <c r="M227" s="829"/>
      <c r="N227" s="700"/>
      <c r="P227" s="871"/>
    </row>
    <row r="228" spans="1:16" s="863" customFormat="1" ht="14.25" thickTop="1" thickBot="1">
      <c r="A228" s="862"/>
      <c r="B228" s="835"/>
      <c r="C228" s="835"/>
      <c r="D228" s="830" t="s">
        <v>55</v>
      </c>
      <c r="E228" s="831"/>
      <c r="F228" s="831"/>
      <c r="G228" s="831"/>
      <c r="H228" s="831"/>
      <c r="I228" s="831"/>
      <c r="J228" s="831"/>
      <c r="K228" s="831"/>
      <c r="L228" s="832" t="s">
        <v>25</v>
      </c>
      <c r="M228" s="833" t="s">
        <v>27</v>
      </c>
      <c r="N228" s="700"/>
      <c r="P228" s="871"/>
    </row>
    <row r="229" spans="1:16" s="863" customFormat="1" ht="13.5" thickTop="1">
      <c r="A229" s="862"/>
      <c r="B229" s="835"/>
      <c r="C229" s="835"/>
      <c r="D229" s="826"/>
      <c r="E229" s="790"/>
      <c r="F229" s="790"/>
      <c r="G229" s="700" t="s">
        <v>30</v>
      </c>
      <c r="H229" s="700" t="s">
        <v>30</v>
      </c>
      <c r="I229" s="700" t="s">
        <v>30</v>
      </c>
      <c r="J229" s="700" t="s">
        <v>30</v>
      </c>
      <c r="K229" s="700" t="s">
        <v>30</v>
      </c>
      <c r="L229" s="700" t="s">
        <v>30</v>
      </c>
      <c r="M229" s="876" t="s">
        <v>30</v>
      </c>
      <c r="N229" s="700"/>
      <c r="P229" s="871"/>
    </row>
    <row r="230" spans="1:16" s="863" customFormat="1" ht="33.75">
      <c r="A230" s="862" t="s">
        <v>12394</v>
      </c>
      <c r="B230" s="862" t="s">
        <v>70</v>
      </c>
      <c r="C230" s="835">
        <v>87908</v>
      </c>
      <c r="D230" s="836" t="str">
        <f>PROPER(IF(B230="Saneago",VLOOKUP(C230,'SANEAGO-FEV.2016'!A:B,2,0),IF(B230="SINAPI",VLOOKUP(C230,'SINAPI-FEV.2017'!A:D,2,0),IF(B230="Cotação",VLOOKUP(C230,COTAÇÃO!A:D,2,0),IF(B230="Composição",VLOOKUP(C230,COMPOSIÇÃO!A:D,2,0))))))</f>
        <v>Chapisco Aplicado Em Alvenaria (Com Presença De Vãos) E Estruturas De Concreto De Fachada, Com Equipamento De Projeção.  Argamassa Traço 1:3 Com Preparo Em Betoneira 400 L. Af_06/2014</v>
      </c>
      <c r="E230" s="837"/>
      <c r="F230" s="837"/>
      <c r="G230" s="838"/>
      <c r="H230" s="838"/>
      <c r="I230" s="838"/>
      <c r="J230" s="1759" t="s">
        <v>12441</v>
      </c>
      <c r="K230" s="1759"/>
      <c r="L230" s="852" t="s">
        <v>21</v>
      </c>
      <c r="M230" s="853">
        <f>M226*2</f>
        <v>56.88000000000001</v>
      </c>
      <c r="N230" s="700"/>
      <c r="P230" s="871"/>
    </row>
    <row r="231" spans="1:16" s="863" customFormat="1">
      <c r="A231" s="862"/>
      <c r="B231" s="835"/>
      <c r="C231" s="835"/>
      <c r="D231" s="826"/>
      <c r="E231" s="790"/>
      <c r="F231" s="790"/>
      <c r="G231" s="700" t="s">
        <v>30</v>
      </c>
      <c r="H231" s="700" t="s">
        <v>30</v>
      </c>
      <c r="I231" s="700" t="s">
        <v>30</v>
      </c>
      <c r="J231" s="700" t="s">
        <v>17</v>
      </c>
      <c r="K231" s="700" t="s">
        <v>19</v>
      </c>
      <c r="L231" s="700" t="s">
        <v>30</v>
      </c>
      <c r="M231" s="876" t="s">
        <v>30</v>
      </c>
      <c r="N231" s="700"/>
      <c r="P231" s="871"/>
    </row>
    <row r="232" spans="1:16" s="863" customFormat="1" ht="22.5">
      <c r="A232" s="862" t="s">
        <v>12395</v>
      </c>
      <c r="B232" s="835" t="s">
        <v>70</v>
      </c>
      <c r="C232" s="835">
        <v>87882</v>
      </c>
      <c r="D232" s="836" t="str">
        <f>PROPER(IF(B232="Saneago",VLOOKUP(C232,'SANEAGO-FEV.2016'!A:B,2,0),IF(B232="SINAPI",VLOOKUP(C232,'SINAPI-FEV.2017'!A:D,2,0),IF(B232="Cotação",VLOOKUP(C232,COTAÇÃO!A:D,2,0),IF(B232="Composição",VLOOKUP(C232,COMPOSIÇÃO!A:D,2,0))))))</f>
        <v>Chapisco Aplicado No Teto, Com Rolo Para Textura Acrílica. Argamassa Traço 1:4 E Emulsão Polimérica (Adesivo) Com Preparo Em Betoneira 400L. Af_06/2014</v>
      </c>
      <c r="E232" s="837"/>
      <c r="F232" s="837"/>
      <c r="G232" s="852"/>
      <c r="H232" s="852"/>
      <c r="I232" s="852" t="s">
        <v>12440</v>
      </c>
      <c r="J232" s="838">
        <f>H172</f>
        <v>5.4</v>
      </c>
      <c r="K232" s="838">
        <f>I172</f>
        <v>1.55</v>
      </c>
      <c r="L232" s="852" t="s">
        <v>21</v>
      </c>
      <c r="M232" s="853">
        <f>J232*K232</f>
        <v>8.370000000000001</v>
      </c>
      <c r="N232" s="700"/>
      <c r="P232" s="871"/>
    </row>
    <row r="233" spans="1:16" s="863" customFormat="1">
      <c r="A233" s="862"/>
      <c r="B233" s="835"/>
      <c r="C233" s="835"/>
      <c r="D233" s="826"/>
      <c r="E233" s="790"/>
      <c r="F233" s="790"/>
      <c r="G233" s="700" t="s">
        <v>30</v>
      </c>
      <c r="H233" s="700" t="s">
        <v>30</v>
      </c>
      <c r="I233" s="700" t="s">
        <v>30</v>
      </c>
      <c r="J233" s="700" t="s">
        <v>30</v>
      </c>
      <c r="K233" s="700" t="s">
        <v>30</v>
      </c>
      <c r="L233" s="700" t="s">
        <v>30</v>
      </c>
      <c r="M233" s="876" t="s">
        <v>30</v>
      </c>
      <c r="N233" s="700"/>
      <c r="P233" s="871"/>
    </row>
    <row r="234" spans="1:16" s="863" customFormat="1" ht="33.75">
      <c r="A234" s="862" t="s">
        <v>12396</v>
      </c>
      <c r="B234" s="862" t="s">
        <v>70</v>
      </c>
      <c r="C234" s="835">
        <v>87296</v>
      </c>
      <c r="D234" s="836" t="str">
        <f>PROPER(IF(B234="Saneago",VLOOKUP(C234,'SANEAGO-FEV.2016'!A:B,2,0),IF(B234="SINAPI",VLOOKUP(C234,'SINAPI-FEV.2017'!A:D,2,0),IF(B234="Cotação",VLOOKUP(C234,COTAÇÃO!A:D,2,0),IF(B234="Composição",VLOOKUP(C234,COMPOSIÇÃO!A:D,2,0))))))</f>
        <v>Argamassa Traço 1:3:12 (Cimento, Cal E Areia Média) Para Emboço/Massa Única/Assentamento De Alvenaria De Vedação, Preparo Mecânico Com Betoneira 600 L. Af_06/2014</v>
      </c>
      <c r="E234" s="837"/>
      <c r="F234" s="837"/>
      <c r="G234" s="852"/>
      <c r="H234" s="852"/>
      <c r="I234" s="838"/>
      <c r="J234" s="1759"/>
      <c r="K234" s="1759"/>
      <c r="L234" s="852" t="s">
        <v>20309</v>
      </c>
      <c r="M234" s="853">
        <f>M230*0.05</f>
        <v>2.8440000000000007</v>
      </c>
      <c r="N234" s="700"/>
      <c r="P234" s="871"/>
    </row>
    <row r="235" spans="1:16" s="863" customFormat="1">
      <c r="A235" s="862"/>
      <c r="B235" s="835"/>
      <c r="C235" s="835"/>
      <c r="D235" s="826"/>
      <c r="E235" s="790"/>
      <c r="F235" s="790"/>
      <c r="G235" s="700" t="s">
        <v>30</v>
      </c>
      <c r="H235" s="700" t="s">
        <v>30</v>
      </c>
      <c r="I235" s="700" t="s">
        <v>30</v>
      </c>
      <c r="J235" s="700" t="s">
        <v>12442</v>
      </c>
      <c r="K235" s="700" t="s">
        <v>30</v>
      </c>
      <c r="L235" s="700" t="s">
        <v>30</v>
      </c>
      <c r="M235" s="876" t="s">
        <v>30</v>
      </c>
      <c r="N235" s="700"/>
      <c r="P235" s="871"/>
    </row>
    <row r="236" spans="1:16" s="863" customFormat="1">
      <c r="A236" s="862" t="s">
        <v>12397</v>
      </c>
      <c r="B236" s="835" t="s">
        <v>70</v>
      </c>
      <c r="C236" s="835">
        <v>88487</v>
      </c>
      <c r="D236" s="836" t="str">
        <f>PROPER(IF(B236="Saneago",VLOOKUP(C236,'SANEAGO-FEV.2016'!A:B,2,0),IF(B236="SINAPI",VLOOKUP(C236,'SINAPI-FEV.2017'!A:D,2,0),IF(B236="Cotação",VLOOKUP(C236,COTAÇÃO!A:D,2,0),IF(B236="Composição",VLOOKUP(C236,COMPOSIÇÃO!A:D,2,0))))))</f>
        <v>Aplicação Manual De Pintura Com Tinta Látex Pva Em Paredes, Duas Demãos. Af_06/2014</v>
      </c>
      <c r="E236" s="837"/>
      <c r="F236" s="837"/>
      <c r="G236" s="838"/>
      <c r="H236" s="838"/>
      <c r="I236" s="838"/>
      <c r="J236" s="838">
        <f>M222+6*(I223*J223)</f>
        <v>13.240000000000002</v>
      </c>
      <c r="K236" s="838"/>
      <c r="L236" s="852" t="s">
        <v>21</v>
      </c>
      <c r="M236" s="853">
        <f>J236</f>
        <v>13.240000000000002</v>
      </c>
      <c r="N236" s="700"/>
      <c r="P236" s="871"/>
    </row>
    <row r="237" spans="1:16" s="863" customFormat="1">
      <c r="A237" s="862"/>
      <c r="B237" s="835"/>
      <c r="C237" s="835"/>
      <c r="D237" s="826"/>
      <c r="E237" s="790"/>
      <c r="F237" s="790"/>
      <c r="G237" s="700" t="s">
        <v>30</v>
      </c>
      <c r="H237" s="700" t="s">
        <v>30</v>
      </c>
      <c r="I237" s="700" t="s">
        <v>30</v>
      </c>
      <c r="J237" s="700" t="s">
        <v>12443</v>
      </c>
      <c r="K237" s="700" t="s">
        <v>30</v>
      </c>
      <c r="L237" s="700" t="s">
        <v>30</v>
      </c>
      <c r="M237" s="876" t="s">
        <v>30</v>
      </c>
      <c r="N237" s="700"/>
      <c r="P237" s="871"/>
    </row>
    <row r="238" spans="1:16" s="863" customFormat="1" ht="22.5">
      <c r="A238" s="862" t="s">
        <v>12398</v>
      </c>
      <c r="B238" s="835" t="s">
        <v>70</v>
      </c>
      <c r="C238" s="835">
        <v>88489</v>
      </c>
      <c r="D238" s="836" t="str">
        <f>PROPER(IF(B238="Saneago",VLOOKUP(C238,'SANEAGO-FEV.2016'!A:B,2,0),IF(B238="SINAPI",VLOOKUP(C238,'SINAPI-FEV.2017'!A:D,2,0),IF(B238="Cotação",VLOOKUP(C238,COTAÇÃO!A:D,2,0),IF(B238="Composição",VLOOKUP(C238,COMPOSIÇÃO!A:D,2,0))))))</f>
        <v>Aplicação Manual De Pintura Com Tinta Látex Acrílica Em Paredes, Duas Demãos. Af_06/2014</v>
      </c>
      <c r="E238" s="837"/>
      <c r="F238" s="837"/>
      <c r="G238" s="838"/>
      <c r="H238" s="838"/>
      <c r="I238" s="838"/>
      <c r="J238" s="838">
        <f>M222+2*(I223*J223)</f>
        <v>6.8400000000000007</v>
      </c>
      <c r="K238" s="838"/>
      <c r="L238" s="852" t="s">
        <v>21</v>
      </c>
      <c r="M238" s="853">
        <f>J238</f>
        <v>6.8400000000000007</v>
      </c>
      <c r="N238" s="700"/>
      <c r="P238" s="871"/>
    </row>
    <row r="239" spans="1:16" s="863" customFormat="1">
      <c r="A239" s="862"/>
      <c r="B239" s="835"/>
      <c r="C239" s="835"/>
      <c r="D239" s="826"/>
      <c r="E239" s="790"/>
      <c r="F239" s="790"/>
      <c r="G239" s="700" t="s">
        <v>30</v>
      </c>
      <c r="H239" s="700" t="s">
        <v>30</v>
      </c>
      <c r="I239" s="700" t="s">
        <v>30</v>
      </c>
      <c r="J239" s="700" t="s">
        <v>30</v>
      </c>
      <c r="K239" s="700" t="s">
        <v>30</v>
      </c>
      <c r="L239" s="700" t="s">
        <v>30</v>
      </c>
      <c r="M239" s="876" t="s">
        <v>30</v>
      </c>
      <c r="N239" s="700"/>
      <c r="P239" s="871"/>
    </row>
    <row r="240" spans="1:16" s="863" customFormat="1">
      <c r="A240" s="862" t="s">
        <v>12439</v>
      </c>
      <c r="B240" s="835" t="s">
        <v>70</v>
      </c>
      <c r="C240" s="835">
        <v>88486</v>
      </c>
      <c r="D240" s="836" t="str">
        <f>PROPER(IF(B240="Saneago",VLOOKUP(C240,'SANEAGO-FEV.2016'!A:B,2,0),IF(B240="SINAPI",VLOOKUP(C240,'SINAPI-FEV.2017'!A:D,2,0),IF(B240="Cotação",VLOOKUP(C240,COTAÇÃO!A:D,2,0),IF(B240="Composição",VLOOKUP(C240,COMPOSIÇÃO!A:D,2,0))))))</f>
        <v>Aplicação Manual De Pintura Com Tinta Látex Pva Em Teto, Duas Demãos. Af_06/2014</v>
      </c>
      <c r="E240" s="837"/>
      <c r="F240" s="837"/>
      <c r="G240" s="838"/>
      <c r="H240" s="838"/>
      <c r="I240" s="838"/>
      <c r="J240" s="838"/>
      <c r="K240" s="838"/>
      <c r="L240" s="852" t="s">
        <v>21</v>
      </c>
      <c r="M240" s="853">
        <f>M232</f>
        <v>8.370000000000001</v>
      </c>
      <c r="N240" s="700"/>
      <c r="P240" s="871"/>
    </row>
    <row r="241" spans="1:16" s="863" customFormat="1">
      <c r="A241" s="862"/>
      <c r="B241" s="835"/>
      <c r="C241" s="835"/>
      <c r="D241" s="826"/>
      <c r="E241" s="790"/>
      <c r="F241" s="790"/>
      <c r="G241" s="700" t="s">
        <v>30</v>
      </c>
      <c r="H241" s="700" t="s">
        <v>1275</v>
      </c>
      <c r="I241" s="700" t="s">
        <v>17</v>
      </c>
      <c r="J241" s="700" t="s">
        <v>19</v>
      </c>
      <c r="K241" s="700" t="s">
        <v>32</v>
      </c>
      <c r="L241" s="700" t="s">
        <v>30</v>
      </c>
      <c r="M241" s="876" t="s">
        <v>30</v>
      </c>
      <c r="N241" s="700"/>
      <c r="P241" s="871"/>
    </row>
    <row r="242" spans="1:16" s="863" customFormat="1">
      <c r="A242" s="862" t="s">
        <v>12399</v>
      </c>
      <c r="B242" s="835" t="s">
        <v>70</v>
      </c>
      <c r="C242" s="835">
        <v>88415</v>
      </c>
      <c r="D242" s="836" t="str">
        <f>PROPER(IF(B242="Saneago",VLOOKUP(C242,'SANEAGO-FEV.2016'!A:B,2,0),IF(B242="SINAPI",VLOOKUP(C242,'SINAPI-FEV.2017'!A:D,2,0),IF(B242="Cotação",VLOOKUP(C242,COTAÇÃO!A:D,2,0),IF(B242="Composição",VLOOKUP(C242,COMPOSIÇÃO!A:D,2,0))))))</f>
        <v>Aplicação Manual De Fundo Selador Acrílico Em Paredes Externas De Casas. Af_06/2014</v>
      </c>
      <c r="E242" s="837"/>
      <c r="F242" s="1759" t="s">
        <v>12444</v>
      </c>
      <c r="G242" s="1759"/>
      <c r="H242" s="838">
        <v>2</v>
      </c>
      <c r="I242" s="838">
        <f>H168</f>
        <v>9.2000000000000011</v>
      </c>
      <c r="J242" s="838">
        <f>I168</f>
        <v>4</v>
      </c>
      <c r="K242" s="838">
        <f>J168</f>
        <v>1.2</v>
      </c>
      <c r="L242" s="852" t="s">
        <v>21</v>
      </c>
      <c r="M242" s="853">
        <f>H242*((I242*2+J242*2)*K242)</f>
        <v>63.36</v>
      </c>
      <c r="N242" s="700"/>
      <c r="P242" s="871"/>
    </row>
    <row r="243" spans="1:16" s="863" customFormat="1" ht="13.5" thickBot="1">
      <c r="A243" s="862"/>
      <c r="B243" s="835"/>
      <c r="C243" s="835"/>
      <c r="D243" s="826"/>
      <c r="E243" s="790"/>
      <c r="F243" s="790"/>
      <c r="G243" s="700"/>
      <c r="H243" s="700"/>
      <c r="I243" s="700"/>
      <c r="J243" s="828"/>
      <c r="K243" s="828"/>
      <c r="L243" s="828"/>
      <c r="M243" s="829"/>
      <c r="N243" s="700"/>
      <c r="P243" s="871"/>
    </row>
    <row r="244" spans="1:16" s="863" customFormat="1" ht="14.25" thickTop="1" thickBot="1">
      <c r="A244" s="862"/>
      <c r="B244" s="835"/>
      <c r="C244" s="835"/>
      <c r="D244" s="830" t="s">
        <v>63</v>
      </c>
      <c r="E244" s="831"/>
      <c r="F244" s="831"/>
      <c r="G244" s="831"/>
      <c r="H244" s="831"/>
      <c r="I244" s="831"/>
      <c r="J244" s="831"/>
      <c r="K244" s="831"/>
      <c r="L244" s="832" t="s">
        <v>25</v>
      </c>
      <c r="M244" s="833" t="s">
        <v>27</v>
      </c>
      <c r="N244" s="700"/>
      <c r="P244" s="871"/>
    </row>
    <row r="245" spans="1:16" s="863" customFormat="1" ht="13.5" thickTop="1">
      <c r="A245" s="862"/>
      <c r="B245" s="835"/>
      <c r="C245" s="835"/>
      <c r="D245" s="826"/>
      <c r="E245" s="790"/>
      <c r="F245" s="790"/>
      <c r="G245" s="700" t="s">
        <v>30</v>
      </c>
      <c r="H245" s="700" t="s">
        <v>1275</v>
      </c>
      <c r="I245" s="700" t="s">
        <v>11684</v>
      </c>
      <c r="J245" s="700" t="s">
        <v>19</v>
      </c>
      <c r="K245" s="700" t="s">
        <v>36</v>
      </c>
      <c r="L245" s="700"/>
      <c r="M245" s="827"/>
      <c r="N245" s="700"/>
      <c r="P245" s="871"/>
    </row>
    <row r="246" spans="1:16" s="863" customFormat="1">
      <c r="A246" s="862"/>
      <c r="B246" s="835"/>
      <c r="C246" s="835"/>
      <c r="D246" s="826"/>
      <c r="E246" s="1674" t="s">
        <v>12416</v>
      </c>
      <c r="F246" s="1674"/>
      <c r="G246" s="824"/>
      <c r="H246" s="700">
        <f>I30</f>
        <v>1</v>
      </c>
      <c r="I246" s="828">
        <f>J30</f>
        <v>7.2</v>
      </c>
      <c r="J246" s="700">
        <f>K30</f>
        <v>3.05</v>
      </c>
      <c r="K246" s="700">
        <v>0.15</v>
      </c>
      <c r="L246" s="700" t="s">
        <v>22</v>
      </c>
      <c r="M246" s="829">
        <f>I246*J246*K246*H246</f>
        <v>3.294</v>
      </c>
      <c r="N246" s="700"/>
      <c r="P246" s="871"/>
    </row>
    <row r="247" spans="1:16" s="863" customFormat="1" ht="22.5">
      <c r="A247" s="862" t="s">
        <v>12414</v>
      </c>
      <c r="B247" s="835" t="s">
        <v>70</v>
      </c>
      <c r="C247" s="835">
        <v>94962</v>
      </c>
      <c r="D247" s="836" t="str">
        <f>PROPER(IF(B247="Saneago",VLOOKUP(C247,'SANEAGO-FEV.2016'!A:B,2,0),IF(B247="SINAPI",VLOOKUP(C247,'SINAPI-FEV.2017'!A:D,2,0),IF(B247="Cotação",VLOOKUP(C247,COTAÇÃO!A:D,2,0),IF(B247="Composição",VLOOKUP(C247,COMPOSIÇÃO!A:D,2,0))))))</f>
        <v>Concreto Magro Para Lastro, Traço 1:4,5:4,5 (Cimento/ Areia Média/ Brita 1)  - Preparo Mecânico Com Betoneira 400 L. Af_07/2016</v>
      </c>
      <c r="E247" s="837"/>
      <c r="F247" s="837"/>
      <c r="G247" s="838"/>
      <c r="H247" s="838"/>
      <c r="I247" s="838"/>
      <c r="J247" s="838"/>
      <c r="K247" s="839" t="s">
        <v>27</v>
      </c>
      <c r="L247" s="856" t="s">
        <v>22</v>
      </c>
      <c r="M247" s="840">
        <f>M246</f>
        <v>3.294</v>
      </c>
      <c r="N247" s="700"/>
      <c r="P247" s="871"/>
    </row>
    <row r="248" spans="1:16" s="863" customFormat="1">
      <c r="A248" s="862"/>
      <c r="B248" s="835"/>
      <c r="C248" s="835"/>
      <c r="D248" s="826"/>
      <c r="E248" s="790"/>
      <c r="F248" s="790"/>
      <c r="G248" s="700" t="s">
        <v>30</v>
      </c>
      <c r="H248" s="700" t="s">
        <v>1275</v>
      </c>
      <c r="I248" s="700" t="s">
        <v>11684</v>
      </c>
      <c r="J248" s="700" t="s">
        <v>19</v>
      </c>
      <c r="K248" s="700" t="s">
        <v>36</v>
      </c>
      <c r="L248" s="700"/>
      <c r="M248" s="827"/>
      <c r="N248" s="700"/>
      <c r="P248" s="871"/>
    </row>
    <row r="249" spans="1:16" s="863" customFormat="1">
      <c r="A249" s="862"/>
      <c r="B249" s="835"/>
      <c r="C249" s="835"/>
      <c r="D249" s="826"/>
      <c r="E249" s="1674" t="s">
        <v>12407</v>
      </c>
      <c r="F249" s="1674"/>
      <c r="G249" s="700"/>
      <c r="H249" s="700">
        <f>I29</f>
        <v>1</v>
      </c>
      <c r="I249" s="828">
        <f>J37</f>
        <v>9</v>
      </c>
      <c r="J249" s="828">
        <f>K37</f>
        <v>3.8</v>
      </c>
      <c r="K249" s="700"/>
      <c r="L249" s="700" t="s">
        <v>19797</v>
      </c>
      <c r="M249" s="829">
        <f t="shared" ref="M249:M254" si="5">I249*J249*H249</f>
        <v>34.199999999999996</v>
      </c>
      <c r="N249" s="700"/>
      <c r="P249" s="871"/>
    </row>
    <row r="250" spans="1:16" s="863" customFormat="1">
      <c r="A250" s="862"/>
      <c r="B250" s="835"/>
      <c r="C250" s="835"/>
      <c r="D250" s="826"/>
      <c r="E250" s="1674" t="s">
        <v>12416</v>
      </c>
      <c r="F250" s="1674"/>
      <c r="G250" s="700"/>
      <c r="H250" s="700">
        <f>I30</f>
        <v>1</v>
      </c>
      <c r="I250" s="828">
        <f>J38</f>
        <v>5.2</v>
      </c>
      <c r="J250" s="828">
        <f>K38</f>
        <v>1.05</v>
      </c>
      <c r="K250" s="700"/>
      <c r="L250" s="700" t="s">
        <v>19797</v>
      </c>
      <c r="M250" s="829">
        <f t="shared" si="5"/>
        <v>5.4600000000000009</v>
      </c>
      <c r="N250" s="700"/>
      <c r="P250" s="871"/>
    </row>
    <row r="251" spans="1:16" s="863" customFormat="1">
      <c r="A251" s="862"/>
      <c r="B251" s="835"/>
      <c r="C251" s="835"/>
      <c r="D251" s="826"/>
      <c r="E251" s="1674" t="s">
        <v>12447</v>
      </c>
      <c r="F251" s="1674"/>
      <c r="G251" s="700"/>
      <c r="H251" s="700">
        <f>I31</f>
        <v>1</v>
      </c>
      <c r="I251" s="828">
        <f>H149</f>
        <v>5.4</v>
      </c>
      <c r="J251" s="828">
        <f>I149</f>
        <v>1.55</v>
      </c>
      <c r="K251" s="700"/>
      <c r="L251" s="700" t="s">
        <v>19797</v>
      </c>
      <c r="M251" s="829">
        <f t="shared" si="5"/>
        <v>8.370000000000001</v>
      </c>
      <c r="N251" s="700"/>
      <c r="P251" s="871"/>
    </row>
    <row r="252" spans="1:16" s="863" customFormat="1">
      <c r="A252" s="862"/>
      <c r="B252" s="835"/>
      <c r="C252" s="835"/>
      <c r="D252" s="826"/>
      <c r="E252" s="1674" t="s">
        <v>11788</v>
      </c>
      <c r="F252" s="1674"/>
      <c r="G252" s="824"/>
      <c r="H252" s="700">
        <f>I31</f>
        <v>1</v>
      </c>
      <c r="I252" s="828">
        <f t="shared" ref="I252:J254" si="6">J39</f>
        <v>2</v>
      </c>
      <c r="J252" s="828">
        <f t="shared" si="6"/>
        <v>0.5</v>
      </c>
      <c r="K252" s="700"/>
      <c r="L252" s="700" t="s">
        <v>19797</v>
      </c>
      <c r="M252" s="829">
        <f t="shared" si="5"/>
        <v>1</v>
      </c>
      <c r="N252" s="700"/>
      <c r="P252" s="871"/>
    </row>
    <row r="253" spans="1:16" s="863" customFormat="1">
      <c r="A253" s="862"/>
      <c r="B253" s="835"/>
      <c r="C253" s="835"/>
      <c r="D253" s="826"/>
      <c r="E253" s="1674" t="s">
        <v>12417</v>
      </c>
      <c r="F253" s="1674"/>
      <c r="G253" s="824"/>
      <c r="H253" s="700">
        <f>I32</f>
        <v>1</v>
      </c>
      <c r="I253" s="828">
        <f t="shared" si="6"/>
        <v>0.7</v>
      </c>
      <c r="J253" s="828">
        <f t="shared" si="6"/>
        <v>0.55000000000000004</v>
      </c>
      <c r="K253" s="700"/>
      <c r="L253" s="700" t="s">
        <v>19797</v>
      </c>
      <c r="M253" s="829">
        <f t="shared" si="5"/>
        <v>0.38500000000000001</v>
      </c>
      <c r="N253" s="700"/>
      <c r="P253" s="871"/>
    </row>
    <row r="254" spans="1:16" s="863" customFormat="1">
      <c r="A254" s="862"/>
      <c r="B254" s="835"/>
      <c r="C254" s="835"/>
      <c r="D254" s="826"/>
      <c r="E254" s="1674" t="s">
        <v>12418</v>
      </c>
      <c r="F254" s="1674"/>
      <c r="G254" s="824"/>
      <c r="H254" s="700">
        <f>I33</f>
        <v>23</v>
      </c>
      <c r="I254" s="828">
        <f t="shared" si="6"/>
        <v>0.5</v>
      </c>
      <c r="J254" s="828">
        <f t="shared" si="6"/>
        <v>0.5</v>
      </c>
      <c r="K254" s="700"/>
      <c r="L254" s="700" t="s">
        <v>19797</v>
      </c>
      <c r="M254" s="829">
        <f t="shared" si="5"/>
        <v>5.75</v>
      </c>
      <c r="N254" s="700"/>
      <c r="P254" s="871"/>
    </row>
    <row r="255" spans="1:16" s="863" customFormat="1" ht="22.5">
      <c r="A255" s="862" t="s">
        <v>12415</v>
      </c>
      <c r="B255" s="855" t="s">
        <v>70</v>
      </c>
      <c r="C255" s="855" t="s">
        <v>18613</v>
      </c>
      <c r="D255" s="836" t="str">
        <f>PROPER(IF(B255="Saneago",VLOOKUP(C255,'SANEAGO-FEV.2016'!A:B,2,0),IF(B255="SINAPI",VLOOKUP(C255,'SINAPI-FEV.2017'!A:D,2,0),IF(B255="Cotação",VLOOKUP(C255,COTAÇÃO!A:D,2,0),IF(B255="Composição",VLOOKUP(C255,COMPOSIÇÃO!A:D,2,0))))))</f>
        <v>Piso Cimentado Traco 1:3 (Cimento E Areia), Com Acabamento Rustico E Frisado Espessura 2Cm, Preparo Manual</v>
      </c>
      <c r="E255" s="837"/>
      <c r="F255" s="837"/>
      <c r="G255" s="838"/>
      <c r="H255" s="838"/>
      <c r="I255" s="838"/>
      <c r="J255" s="838"/>
      <c r="K255" s="839" t="s">
        <v>27</v>
      </c>
      <c r="L255" s="856" t="s">
        <v>19797</v>
      </c>
      <c r="M255" s="840">
        <f>SUM(M249:M254)</f>
        <v>55.164999999999999</v>
      </c>
      <c r="N255" s="700"/>
      <c r="P255" s="871"/>
    </row>
    <row r="256" spans="1:16" s="863" customFormat="1">
      <c r="A256" s="862"/>
      <c r="B256" s="835"/>
      <c r="C256" s="835"/>
      <c r="D256" s="826"/>
      <c r="E256" s="790"/>
      <c r="F256" s="790"/>
      <c r="G256" s="700" t="s">
        <v>30</v>
      </c>
      <c r="H256" s="700" t="s">
        <v>30</v>
      </c>
      <c r="I256" s="700" t="s">
        <v>30</v>
      </c>
      <c r="J256" s="700" t="s">
        <v>30</v>
      </c>
      <c r="K256" s="700" t="s">
        <v>30</v>
      </c>
      <c r="L256" s="700" t="s">
        <v>30</v>
      </c>
      <c r="M256" s="876" t="s">
        <v>30</v>
      </c>
      <c r="N256" s="700"/>
      <c r="P256" s="871"/>
    </row>
    <row r="257" spans="1:18" s="863" customFormat="1" ht="22.5">
      <c r="A257" s="862" t="s">
        <v>12445</v>
      </c>
      <c r="B257" s="855" t="s">
        <v>70</v>
      </c>
      <c r="C257" s="850">
        <v>94990</v>
      </c>
      <c r="D257" s="836" t="str">
        <f>PROPER(IF(B257="Saneago",VLOOKUP(C257,'SANEAGO-FEV.2016'!A:B,2,0),IF(B257="SINAPI",VLOOKUP(C257,'SINAPI-FEV.2017'!A:D,2,0),IF(B257="Cotação",VLOOKUP(C257,COTAÇÃO!A:D,2,0),IF(B257="Composição",VLOOKUP(C257,COMPOSIÇÃO!A:D,2,0))))))</f>
        <v>Execução De Passeio (Calçada) Ou Piso De Concreto Com Concreto Moldado In Loco, Feito Em Obra, Acabamento Convencional, Não Armado. Af_07/2016</v>
      </c>
      <c r="E257" s="837"/>
      <c r="F257" s="837"/>
      <c r="G257" s="838"/>
      <c r="H257" s="838"/>
      <c r="I257" s="838"/>
      <c r="J257" s="838"/>
      <c r="K257" s="838"/>
      <c r="L257" s="852" t="s">
        <v>21</v>
      </c>
      <c r="M257" s="853">
        <v>14</v>
      </c>
      <c r="N257" s="700"/>
      <c r="P257" s="871"/>
    </row>
    <row r="258" spans="1:18" s="824" customFormat="1" ht="13.5" thickBot="1">
      <c r="A258" s="905"/>
      <c r="B258" s="906"/>
      <c r="C258" s="906"/>
      <c r="D258" s="826"/>
      <c r="E258" s="790"/>
      <c r="F258" s="790"/>
      <c r="G258" s="700"/>
      <c r="H258" s="700"/>
      <c r="I258" s="700"/>
      <c r="J258" s="907"/>
      <c r="K258" s="700"/>
      <c r="L258" s="700"/>
      <c r="M258" s="827"/>
      <c r="N258" s="700"/>
      <c r="O258" s="863"/>
      <c r="P258" s="871"/>
      <c r="Q258" s="863"/>
      <c r="R258" s="863"/>
    </row>
    <row r="259" spans="1:18" ht="14.25" thickTop="1" thickBot="1">
      <c r="A259" s="912"/>
      <c r="B259" s="855"/>
      <c r="D259" s="830" t="s">
        <v>24</v>
      </c>
      <c r="E259" s="831"/>
      <c r="F259" s="831"/>
      <c r="G259" s="831"/>
      <c r="H259" s="831"/>
      <c r="I259" s="831"/>
      <c r="J259" s="831"/>
      <c r="K259" s="831"/>
      <c r="L259" s="832" t="s">
        <v>25</v>
      </c>
      <c r="M259" s="833" t="s">
        <v>27</v>
      </c>
    </row>
    <row r="260" spans="1:18" s="779" customFormat="1" ht="13.5" thickTop="1">
      <c r="A260" s="862"/>
      <c r="B260" s="835"/>
      <c r="C260" s="835"/>
      <c r="D260" s="826"/>
      <c r="E260" s="790"/>
      <c r="F260" s="790"/>
      <c r="G260" s="700" t="s">
        <v>30</v>
      </c>
      <c r="H260" s="700" t="s">
        <v>30</v>
      </c>
      <c r="I260" s="700" t="s">
        <v>30</v>
      </c>
      <c r="J260" s="700" t="s">
        <v>30</v>
      </c>
      <c r="K260" s="700" t="s">
        <v>30</v>
      </c>
      <c r="L260" s="700"/>
      <c r="M260" s="827"/>
      <c r="N260" s="780"/>
      <c r="O260" s="777"/>
      <c r="P260" s="805"/>
      <c r="Q260" s="777"/>
      <c r="R260" s="777"/>
    </row>
    <row r="261" spans="1:18" s="779" customFormat="1">
      <c r="A261" s="862" t="s">
        <v>12400</v>
      </c>
      <c r="B261" s="835" t="s">
        <v>11720</v>
      </c>
      <c r="C261" s="835" t="s">
        <v>12355</v>
      </c>
      <c r="D261" s="956" t="str">
        <f>PROPER(IF(B261="Saneago",VLOOKUP(C261,'SANEAGO-FEV.2016'!A:B,2,0),IF(B261="SINAPI",VLOOKUP(C261,'SINAPI-FEV.2017'!A:D,2,0),IF(B261="Cotação",VLOOKUP(C261,COTAÇÃO!A:D,2,0),IF(B261="Composição",VLOOKUP(C261,COMPOSIÇÃO!A:D,2,0))))))</f>
        <v>Montagem De Material Hidráulico Do Biogas</v>
      </c>
      <c r="E261" s="837"/>
      <c r="F261" s="837"/>
      <c r="G261" s="838"/>
      <c r="H261" s="838"/>
      <c r="I261" s="851"/>
      <c r="J261" s="838"/>
      <c r="K261" s="838"/>
      <c r="L261" s="852" t="s">
        <v>1274</v>
      </c>
      <c r="M261" s="853">
        <v>1</v>
      </c>
      <c r="N261" s="780"/>
      <c r="O261" s="777"/>
      <c r="P261" s="805"/>
      <c r="Q261" s="777"/>
      <c r="R261" s="777"/>
    </row>
    <row r="262" spans="1:18" s="779" customFormat="1">
      <c r="A262" s="862"/>
      <c r="B262" s="835"/>
      <c r="C262" s="835"/>
      <c r="D262" s="826"/>
      <c r="E262" s="790"/>
      <c r="F262" s="790"/>
      <c r="G262" s="700" t="s">
        <v>30</v>
      </c>
      <c r="H262" s="700" t="s">
        <v>30</v>
      </c>
      <c r="I262" s="700" t="s">
        <v>30</v>
      </c>
      <c r="J262" s="700" t="s">
        <v>30</v>
      </c>
      <c r="K262" s="700" t="s">
        <v>30</v>
      </c>
      <c r="L262" s="700"/>
      <c r="M262" s="827"/>
      <c r="N262" s="780"/>
      <c r="O262" s="777"/>
      <c r="P262" s="805"/>
      <c r="Q262" s="777"/>
      <c r="R262" s="777"/>
    </row>
    <row r="263" spans="1:18" s="779" customFormat="1">
      <c r="A263" s="862" t="s">
        <v>12401</v>
      </c>
      <c r="B263" s="835" t="s">
        <v>11720</v>
      </c>
      <c r="C263" s="835" t="s">
        <v>12356</v>
      </c>
      <c r="D263" s="956" t="str">
        <f>PROPER(IF(B263="Saneago",VLOOKUP(C263,'SANEAGO-FEV.2016'!A:B,2,0),IF(B263="SINAPI",VLOOKUP(C263,'SINAPI-FEV.2017'!A:D,2,0),IF(B263="Cotação",VLOOKUP(C263,COTAÇÃO!A:D,2,0),IF(B263="Composição",VLOOKUP(C263,COMPOSIÇÃO!A:D,2,0))))))</f>
        <v>Montagem De Equipamentos  Do Biogas</v>
      </c>
      <c r="E263" s="837"/>
      <c r="F263" s="837"/>
      <c r="G263" s="838"/>
      <c r="H263" s="851"/>
      <c r="I263" s="838"/>
      <c r="J263" s="838"/>
      <c r="K263" s="838"/>
      <c r="L263" s="852" t="s">
        <v>1274</v>
      </c>
      <c r="M263" s="853">
        <v>1</v>
      </c>
      <c r="N263" s="780"/>
      <c r="O263" s="777"/>
      <c r="P263" s="805"/>
      <c r="Q263" s="777"/>
      <c r="R263" s="777"/>
    </row>
    <row r="264" spans="1:18" s="779" customFormat="1">
      <c r="A264" s="862"/>
      <c r="B264" s="835"/>
      <c r="C264" s="835"/>
      <c r="D264" s="826"/>
      <c r="E264" s="790"/>
      <c r="F264" s="790"/>
      <c r="G264" s="700" t="s">
        <v>30</v>
      </c>
      <c r="H264" s="700" t="s">
        <v>30</v>
      </c>
      <c r="I264" s="700" t="s">
        <v>30</v>
      </c>
      <c r="J264" s="700" t="s">
        <v>30</v>
      </c>
      <c r="K264" s="700" t="s">
        <v>30</v>
      </c>
      <c r="L264" s="700"/>
      <c r="M264" s="827"/>
      <c r="N264" s="780"/>
      <c r="O264" s="777"/>
      <c r="P264" s="805"/>
      <c r="Q264" s="777"/>
      <c r="R264" s="777"/>
    </row>
    <row r="265" spans="1:18" s="779" customFormat="1">
      <c r="A265" s="862" t="s">
        <v>12402</v>
      </c>
      <c r="B265" s="835" t="s">
        <v>11720</v>
      </c>
      <c r="C265" s="835" t="s">
        <v>12357</v>
      </c>
      <c r="D265" s="956" t="str">
        <f>PROPER(IF(B265="Saneago",VLOOKUP(C265,'SANEAGO-FEV.2016'!A:B,2,0),IF(B265="SINAPI",VLOOKUP(C265,'SINAPI-FEV.2017'!A:D,2,0),IF(B265="Cotação",VLOOKUP(C265,COTAÇÃO!A:D,2,0),IF(B265="Composição",VLOOKUP(C265,COMPOSIÇÃO!A:D,2,0))))))</f>
        <v>Montagem De Material Elétrico Do Biogas</v>
      </c>
      <c r="E265" s="837"/>
      <c r="F265" s="837"/>
      <c r="G265" s="838"/>
      <c r="H265" s="851"/>
      <c r="I265" s="838"/>
      <c r="J265" s="838"/>
      <c r="K265" s="838"/>
      <c r="L265" s="852" t="s">
        <v>1274</v>
      </c>
      <c r="M265" s="853">
        <v>1</v>
      </c>
      <c r="N265" s="780"/>
      <c r="O265" s="777"/>
      <c r="P265" s="805"/>
      <c r="Q265" s="777"/>
      <c r="R265" s="777"/>
    </row>
    <row r="266" spans="1:18" s="779" customFormat="1">
      <c r="A266" s="862"/>
      <c r="B266" s="835"/>
      <c r="C266" s="835"/>
      <c r="D266" s="826"/>
      <c r="E266" s="790"/>
      <c r="F266" s="790"/>
      <c r="G266" s="700" t="s">
        <v>30</v>
      </c>
      <c r="H266" s="700" t="s">
        <v>30</v>
      </c>
      <c r="I266" s="700" t="s">
        <v>30</v>
      </c>
      <c r="J266" s="700" t="s">
        <v>30</v>
      </c>
      <c r="K266" s="700" t="s">
        <v>30</v>
      </c>
      <c r="L266" s="700"/>
      <c r="M266" s="827"/>
      <c r="N266" s="780"/>
      <c r="O266" s="777"/>
      <c r="P266" s="805"/>
      <c r="Q266" s="777"/>
      <c r="R266" s="777"/>
    </row>
    <row r="267" spans="1:18" s="779" customFormat="1">
      <c r="A267" s="862" t="s">
        <v>14342</v>
      </c>
      <c r="B267" s="850" t="s">
        <v>70</v>
      </c>
      <c r="C267" s="922">
        <v>9537</v>
      </c>
      <c r="D267" s="957" t="str">
        <f>PROPER(IF(B267="Saneago",VLOOKUP(C267,'SANEAGO-FEV.2016'!A:B,2,0),IF(B267="SINAPI",VLOOKUP(C267,'SINAPI-FEV.2017'!A:D,2,0),IF(B267="Cotação",VLOOKUP(C267,COTAÇÃO!A:D,2,0),IF(B267="Composição",VLOOKUP(C267,COMPOSIÇÃO!A:D,2,0))))))</f>
        <v>Limpeza Final Da Obra</v>
      </c>
      <c r="E267" s="947"/>
      <c r="F267" s="947"/>
      <c r="G267" s="948"/>
      <c r="H267" s="958"/>
      <c r="I267" s="948"/>
      <c r="J267" s="948"/>
      <c r="K267" s="948"/>
      <c r="L267" s="842" t="s">
        <v>21</v>
      </c>
      <c r="M267" s="949">
        <f>M35</f>
        <v>108.895</v>
      </c>
      <c r="N267" s="780"/>
      <c r="O267" s="777"/>
      <c r="P267" s="805"/>
      <c r="Q267" s="777"/>
      <c r="R267" s="777"/>
    </row>
  </sheetData>
  <sheetProtection algorithmName="SHA-512" hashValue="nFkufAX2sCFUrfCAt3FSDoWt0jN+TYwq7ij6DykU8kcCSul882N30Ept5ktk70yQCQkso6X+EAYCkGCommuuNA==" saltValue="uCpw5jL9mdwvdS46y8ZIfg==" spinCount="100000" sheet="1"/>
  <mergeCells count="58">
    <mergeCell ref="E254:F254"/>
    <mergeCell ref="F29:G29"/>
    <mergeCell ref="F30:G30"/>
    <mergeCell ref="F31:G31"/>
    <mergeCell ref="F37:G37"/>
    <mergeCell ref="D1:M4"/>
    <mergeCell ref="D10:M10"/>
    <mergeCell ref="D12:M12"/>
    <mergeCell ref="E252:F252"/>
    <mergeCell ref="E253:F253"/>
    <mergeCell ref="F38:G38"/>
    <mergeCell ref="F39:G39"/>
    <mergeCell ref="F32:G32"/>
    <mergeCell ref="F33:G33"/>
    <mergeCell ref="E251:F251"/>
    <mergeCell ref="D59:E59"/>
    <mergeCell ref="E249:F249"/>
    <mergeCell ref="E250:F250"/>
    <mergeCell ref="G107:H107"/>
    <mergeCell ref="E146:F146"/>
    <mergeCell ref="J234:K234"/>
    <mergeCell ref="G108:H108"/>
    <mergeCell ref="G109:H109"/>
    <mergeCell ref="G110:H110"/>
    <mergeCell ref="G111:H111"/>
    <mergeCell ref="E246:F246"/>
    <mergeCell ref="E169:F169"/>
    <mergeCell ref="G101:H101"/>
    <mergeCell ref="G102:H102"/>
    <mergeCell ref="G103:H103"/>
    <mergeCell ref="I59:K59"/>
    <mergeCell ref="I67:K67"/>
    <mergeCell ref="G99:H99"/>
    <mergeCell ref="G100:H100"/>
    <mergeCell ref="F223:G223"/>
    <mergeCell ref="E180:F180"/>
    <mergeCell ref="J156:K156"/>
    <mergeCell ref="J155:K155"/>
    <mergeCell ref="J230:K230"/>
    <mergeCell ref="J113:K113"/>
    <mergeCell ref="E129:F129"/>
    <mergeCell ref="E130:F130"/>
    <mergeCell ref="E131:F131"/>
    <mergeCell ref="G136:H136"/>
    <mergeCell ref="G137:H137"/>
    <mergeCell ref="G139:H139"/>
    <mergeCell ref="J153:K153"/>
    <mergeCell ref="J154:K154"/>
    <mergeCell ref="F242:G242"/>
    <mergeCell ref="G138:H138"/>
    <mergeCell ref="F40:G40"/>
    <mergeCell ref="F41:G41"/>
    <mergeCell ref="E132:F132"/>
    <mergeCell ref="E133:F133"/>
    <mergeCell ref="F222:G222"/>
    <mergeCell ref="F224:G224"/>
    <mergeCell ref="E179:F179"/>
    <mergeCell ref="G140:H140"/>
  </mergeCells>
  <conditionalFormatting sqref="L52:M53 L58:M59 L54:L55 M54:M57 L248:M248 L245:M246 L249 K268:M65536">
    <cfRule type="cellIs" dxfId="872" priority="292" operator="equal">
      <formula>0</formula>
    </cfRule>
  </conditionalFormatting>
  <conditionalFormatting sqref="L14">
    <cfRule type="cellIs" dxfId="871" priority="220" operator="equal">
      <formula>0</formula>
    </cfRule>
  </conditionalFormatting>
  <conditionalFormatting sqref="L113:M113 M106 L106:L111">
    <cfRule type="cellIs" dxfId="870" priority="212" operator="equal">
      <formula>0</formula>
    </cfRule>
  </conditionalFormatting>
  <conditionalFormatting sqref="L110">
    <cfRule type="cellIs" dxfId="869" priority="211" operator="equal">
      <formula>0</formula>
    </cfRule>
  </conditionalFormatting>
  <conditionalFormatting sqref="L26:M26">
    <cfRule type="cellIs" dxfId="868" priority="219" operator="equal">
      <formula>0</formula>
    </cfRule>
  </conditionalFormatting>
  <conditionalFormatting sqref="L196:M196">
    <cfRule type="cellIs" dxfId="867" priority="216" operator="equal">
      <formula>0</formula>
    </cfRule>
  </conditionalFormatting>
  <conditionalFormatting sqref="L47:M47 L60:M60">
    <cfRule type="cellIs" dxfId="866" priority="214" operator="equal">
      <formula>0</formula>
    </cfRule>
  </conditionalFormatting>
  <conditionalFormatting sqref="L61:M61">
    <cfRule type="cellIs" dxfId="865" priority="213" operator="equal">
      <formula>0</formula>
    </cfRule>
  </conditionalFormatting>
  <conditionalFormatting sqref="L117:M117">
    <cfRule type="cellIs" dxfId="864" priority="210" operator="equal">
      <formula>0</formula>
    </cfRule>
  </conditionalFormatting>
  <conditionalFormatting sqref="L116:M116">
    <cfRule type="cellIs" dxfId="863" priority="209" operator="equal">
      <formula>0</formula>
    </cfRule>
  </conditionalFormatting>
  <conditionalFormatting sqref="L118:M118">
    <cfRule type="cellIs" dxfId="862" priority="208" operator="equal">
      <formula>0</formula>
    </cfRule>
  </conditionalFormatting>
  <conditionalFormatting sqref="L121:M121">
    <cfRule type="cellIs" dxfId="861" priority="206" operator="equal">
      <formula>0</formula>
    </cfRule>
  </conditionalFormatting>
  <conditionalFormatting sqref="M125">
    <cfRule type="cellIs" dxfId="860" priority="200" operator="equal">
      <formula>0</formula>
    </cfRule>
  </conditionalFormatting>
  <conditionalFormatting sqref="L120:M120">
    <cfRule type="cellIs" dxfId="859" priority="205" operator="equal">
      <formula>0</formula>
    </cfRule>
  </conditionalFormatting>
  <conditionalFormatting sqref="L123:M123">
    <cfRule type="cellIs" dxfId="858" priority="204" operator="equal">
      <formula>0</formula>
    </cfRule>
  </conditionalFormatting>
  <conditionalFormatting sqref="L122:M122">
    <cfRule type="cellIs" dxfId="857" priority="203" operator="equal">
      <formula>0</formula>
    </cfRule>
  </conditionalFormatting>
  <conditionalFormatting sqref="L125">
    <cfRule type="cellIs" dxfId="856" priority="202" operator="equal">
      <formula>0</formula>
    </cfRule>
  </conditionalFormatting>
  <conditionalFormatting sqref="L124:M124">
    <cfRule type="cellIs" dxfId="855" priority="201" operator="equal">
      <formula>0</formula>
    </cfRule>
  </conditionalFormatting>
  <conditionalFormatting sqref="L227:M227">
    <cfRule type="cellIs" dxfId="854" priority="198" operator="equal">
      <formula>0</formula>
    </cfRule>
  </conditionalFormatting>
  <conditionalFormatting sqref="L221:M221">
    <cfRule type="cellIs" dxfId="853" priority="194" operator="equal">
      <formula>0</formula>
    </cfRule>
  </conditionalFormatting>
  <conditionalFormatting sqref="L126:M126">
    <cfRule type="cellIs" dxfId="852" priority="193" operator="equal">
      <formula>0</formula>
    </cfRule>
  </conditionalFormatting>
  <conditionalFormatting sqref="L49:M49">
    <cfRule type="cellIs" dxfId="851" priority="182" operator="equal">
      <formula>0</formula>
    </cfRule>
  </conditionalFormatting>
  <conditionalFormatting sqref="L258:M258">
    <cfRule type="cellIs" dxfId="850" priority="191" operator="equal">
      <formula>0</formula>
    </cfRule>
  </conditionalFormatting>
  <conditionalFormatting sqref="L243:M243">
    <cfRule type="cellIs" dxfId="849" priority="190" operator="equal">
      <formula>0</formula>
    </cfRule>
  </conditionalFormatting>
  <conditionalFormatting sqref="L195:M195">
    <cfRule type="cellIs" dxfId="848" priority="188" operator="equal">
      <formula>0</formula>
    </cfRule>
  </conditionalFormatting>
  <conditionalFormatting sqref="L44:M44">
    <cfRule type="cellIs" dxfId="847" priority="186" operator="equal">
      <formula>0</formula>
    </cfRule>
  </conditionalFormatting>
  <conditionalFormatting sqref="L68:M68">
    <cfRule type="cellIs" dxfId="846" priority="185" operator="equal">
      <formula>0</formula>
    </cfRule>
  </conditionalFormatting>
  <conditionalFormatting sqref="L70:M70">
    <cfRule type="cellIs" dxfId="845" priority="184" operator="equal">
      <formula>0</formula>
    </cfRule>
  </conditionalFormatting>
  <conditionalFormatting sqref="L48:M48">
    <cfRule type="cellIs" dxfId="844" priority="183" operator="equal">
      <formula>0</formula>
    </cfRule>
  </conditionalFormatting>
  <conditionalFormatting sqref="L50:M50">
    <cfRule type="cellIs" dxfId="843" priority="181" operator="equal">
      <formula>0</formula>
    </cfRule>
  </conditionalFormatting>
  <conditionalFormatting sqref="L51:M51">
    <cfRule type="cellIs" dxfId="842" priority="180" operator="equal">
      <formula>0</formula>
    </cfRule>
  </conditionalFormatting>
  <conditionalFormatting sqref="L71">
    <cfRule type="cellIs" dxfId="841" priority="179" operator="equal">
      <formula>0</formula>
    </cfRule>
  </conditionalFormatting>
  <conditionalFormatting sqref="L72:M72">
    <cfRule type="cellIs" dxfId="840" priority="178" operator="equal">
      <formula>0</formula>
    </cfRule>
  </conditionalFormatting>
  <conditionalFormatting sqref="L73:M73">
    <cfRule type="cellIs" dxfId="839" priority="177" operator="equal">
      <formula>0</formula>
    </cfRule>
  </conditionalFormatting>
  <conditionalFormatting sqref="M71">
    <cfRule type="cellIs" dxfId="838" priority="176" operator="equal">
      <formula>0</formula>
    </cfRule>
  </conditionalFormatting>
  <conditionalFormatting sqref="L74:M74">
    <cfRule type="cellIs" dxfId="837" priority="175" operator="equal">
      <formula>0</formula>
    </cfRule>
  </conditionalFormatting>
  <conditionalFormatting sqref="M75">
    <cfRule type="cellIs" dxfId="836" priority="174" operator="equal">
      <formula>0</formula>
    </cfRule>
  </conditionalFormatting>
  <conditionalFormatting sqref="L76">
    <cfRule type="cellIs" dxfId="835" priority="173" operator="equal">
      <formula>0</formula>
    </cfRule>
  </conditionalFormatting>
  <conditionalFormatting sqref="L78">
    <cfRule type="cellIs" dxfId="834" priority="172" operator="equal">
      <formula>0</formula>
    </cfRule>
  </conditionalFormatting>
  <conditionalFormatting sqref="L80">
    <cfRule type="cellIs" dxfId="833" priority="171" operator="equal">
      <formula>0</formula>
    </cfRule>
  </conditionalFormatting>
  <conditionalFormatting sqref="L82">
    <cfRule type="cellIs" dxfId="832" priority="170" operator="equal">
      <formula>0</formula>
    </cfRule>
  </conditionalFormatting>
  <conditionalFormatting sqref="L75">
    <cfRule type="cellIs" dxfId="831" priority="169" operator="equal">
      <formula>0</formula>
    </cfRule>
  </conditionalFormatting>
  <conditionalFormatting sqref="L77">
    <cfRule type="cellIs" dxfId="830" priority="168" operator="equal">
      <formula>0</formula>
    </cfRule>
  </conditionalFormatting>
  <conditionalFormatting sqref="L79">
    <cfRule type="cellIs" dxfId="829" priority="167" operator="equal">
      <formula>0</formula>
    </cfRule>
  </conditionalFormatting>
  <conditionalFormatting sqref="L81">
    <cfRule type="cellIs" dxfId="828" priority="166" operator="equal">
      <formula>0</formula>
    </cfRule>
  </conditionalFormatting>
  <conditionalFormatting sqref="L83">
    <cfRule type="cellIs" dxfId="827" priority="165" operator="equal">
      <formula>0</formula>
    </cfRule>
  </conditionalFormatting>
  <conditionalFormatting sqref="L97:M98 L99:L102">
    <cfRule type="cellIs" dxfId="826" priority="162" operator="equal">
      <formula>0</formula>
    </cfRule>
  </conditionalFormatting>
  <conditionalFormatting sqref="L64:M64">
    <cfRule type="cellIs" dxfId="825" priority="164" operator="equal">
      <formula>0</formula>
    </cfRule>
  </conditionalFormatting>
  <conditionalFormatting sqref="L65:M66">
    <cfRule type="cellIs" dxfId="824" priority="163" operator="equal">
      <formula>0</formula>
    </cfRule>
  </conditionalFormatting>
  <conditionalFormatting sqref="L96:M96">
    <cfRule type="cellIs" dxfId="823" priority="161" operator="equal">
      <formula>0</formula>
    </cfRule>
  </conditionalFormatting>
  <conditionalFormatting sqref="L105:M107 L108:L109 M108:M111">
    <cfRule type="cellIs" dxfId="822" priority="160" operator="equal">
      <formula>0</formula>
    </cfRule>
  </conditionalFormatting>
  <conditionalFormatting sqref="L115:M115">
    <cfRule type="cellIs" dxfId="821" priority="158" operator="equal">
      <formula>0</formula>
    </cfRule>
  </conditionalFormatting>
  <conditionalFormatting sqref="L114:M114">
    <cfRule type="cellIs" dxfId="820" priority="159" operator="equal">
      <formula>0</formula>
    </cfRule>
  </conditionalFormatting>
  <conditionalFormatting sqref="G114:K114">
    <cfRule type="cellIs" dxfId="819" priority="157" operator="equal">
      <formula>0</formula>
    </cfRule>
  </conditionalFormatting>
  <conditionalFormatting sqref="G115:K115">
    <cfRule type="cellIs" dxfId="818" priority="156" operator="equal">
      <formula>0</formula>
    </cfRule>
  </conditionalFormatting>
  <conditionalFormatting sqref="M226">
    <cfRule type="cellIs" dxfId="817" priority="155" operator="equal">
      <formula>0</formula>
    </cfRule>
  </conditionalFormatting>
  <conditionalFormatting sqref="M13:M14">
    <cfRule type="cellIs" dxfId="816" priority="153" operator="equal">
      <formula>0</formula>
    </cfRule>
  </conditionalFormatting>
  <conditionalFormatting sqref="L63:M63">
    <cfRule type="cellIs" dxfId="815" priority="150" operator="equal">
      <formula>0</formula>
    </cfRule>
  </conditionalFormatting>
  <conditionalFormatting sqref="L62:M62">
    <cfRule type="cellIs" dxfId="814" priority="151" operator="equal">
      <formula>0</formula>
    </cfRule>
  </conditionalFormatting>
  <conditionalFormatting sqref="L85">
    <cfRule type="cellIs" dxfId="813" priority="148" operator="equal">
      <formula>0</formula>
    </cfRule>
  </conditionalFormatting>
  <conditionalFormatting sqref="L86">
    <cfRule type="cellIs" dxfId="812" priority="147" operator="equal">
      <formula>0</formula>
    </cfRule>
  </conditionalFormatting>
  <conditionalFormatting sqref="L84">
    <cfRule type="cellIs" dxfId="811" priority="149" operator="equal">
      <formula>0</formula>
    </cfRule>
  </conditionalFormatting>
  <conditionalFormatting sqref="L90">
    <cfRule type="cellIs" dxfId="810" priority="145" operator="equal">
      <formula>0</formula>
    </cfRule>
  </conditionalFormatting>
  <conditionalFormatting sqref="L92">
    <cfRule type="cellIs" dxfId="809" priority="144" operator="equal">
      <formula>0</formula>
    </cfRule>
  </conditionalFormatting>
  <conditionalFormatting sqref="L88">
    <cfRule type="cellIs" dxfId="808" priority="146" operator="equal">
      <formula>0</formula>
    </cfRule>
  </conditionalFormatting>
  <conditionalFormatting sqref="L94">
    <cfRule type="cellIs" dxfId="807" priority="143" operator="equal">
      <formula>0</formula>
    </cfRule>
  </conditionalFormatting>
  <conditionalFormatting sqref="L87">
    <cfRule type="cellIs" dxfId="806" priority="142" operator="equal">
      <formula>0</formula>
    </cfRule>
  </conditionalFormatting>
  <conditionalFormatting sqref="L89">
    <cfRule type="cellIs" dxfId="805" priority="141" operator="equal">
      <formula>0</formula>
    </cfRule>
  </conditionalFormatting>
  <conditionalFormatting sqref="L91">
    <cfRule type="cellIs" dxfId="804" priority="140" operator="equal">
      <formula>0</formula>
    </cfRule>
  </conditionalFormatting>
  <conditionalFormatting sqref="L93">
    <cfRule type="cellIs" dxfId="803" priority="139" operator="equal">
      <formula>0</formula>
    </cfRule>
  </conditionalFormatting>
  <conditionalFormatting sqref="L95">
    <cfRule type="cellIs" dxfId="802" priority="138" operator="equal">
      <formula>0</formula>
    </cfRule>
  </conditionalFormatting>
  <conditionalFormatting sqref="M77">
    <cfRule type="cellIs" dxfId="801" priority="136" operator="equal">
      <formula>0</formula>
    </cfRule>
  </conditionalFormatting>
  <conditionalFormatting sqref="M78">
    <cfRule type="cellIs" dxfId="800" priority="135" operator="equal">
      <formula>0</formula>
    </cfRule>
  </conditionalFormatting>
  <conditionalFormatting sqref="M79">
    <cfRule type="cellIs" dxfId="799" priority="134" operator="equal">
      <formula>0</formula>
    </cfRule>
  </conditionalFormatting>
  <conditionalFormatting sqref="M80">
    <cfRule type="cellIs" dxfId="798" priority="133" operator="equal">
      <formula>0</formula>
    </cfRule>
  </conditionalFormatting>
  <conditionalFormatting sqref="M81">
    <cfRule type="cellIs" dxfId="797" priority="132" operator="equal">
      <formula>0</formula>
    </cfRule>
  </conditionalFormatting>
  <conditionalFormatting sqref="M82">
    <cfRule type="cellIs" dxfId="796" priority="131" operator="equal">
      <formula>0</formula>
    </cfRule>
  </conditionalFormatting>
  <conditionalFormatting sqref="M83">
    <cfRule type="cellIs" dxfId="795" priority="130" operator="equal">
      <formula>0</formula>
    </cfRule>
  </conditionalFormatting>
  <conditionalFormatting sqref="M84">
    <cfRule type="cellIs" dxfId="794" priority="129" operator="equal">
      <formula>0</formula>
    </cfRule>
  </conditionalFormatting>
  <conditionalFormatting sqref="M85">
    <cfRule type="cellIs" dxfId="793" priority="128" operator="equal">
      <formula>0</formula>
    </cfRule>
  </conditionalFormatting>
  <conditionalFormatting sqref="M87">
    <cfRule type="cellIs" dxfId="792" priority="126" operator="equal">
      <formula>0</formula>
    </cfRule>
  </conditionalFormatting>
  <conditionalFormatting sqref="M86">
    <cfRule type="cellIs" dxfId="791" priority="127" operator="equal">
      <formula>0</formula>
    </cfRule>
  </conditionalFormatting>
  <conditionalFormatting sqref="M89">
    <cfRule type="cellIs" dxfId="790" priority="124" operator="equal">
      <formula>0</formula>
    </cfRule>
  </conditionalFormatting>
  <conditionalFormatting sqref="M88">
    <cfRule type="cellIs" dxfId="789" priority="125" operator="equal">
      <formula>0</formula>
    </cfRule>
  </conditionalFormatting>
  <conditionalFormatting sqref="M91">
    <cfRule type="cellIs" dxfId="788" priority="122" operator="equal">
      <formula>0</formula>
    </cfRule>
  </conditionalFormatting>
  <conditionalFormatting sqref="M94">
    <cfRule type="cellIs" dxfId="787" priority="119" operator="equal">
      <formula>0</formula>
    </cfRule>
  </conditionalFormatting>
  <conditionalFormatting sqref="M90">
    <cfRule type="cellIs" dxfId="786" priority="123" operator="equal">
      <formula>0</formula>
    </cfRule>
  </conditionalFormatting>
  <conditionalFormatting sqref="M92">
    <cfRule type="cellIs" dxfId="785" priority="121" operator="equal">
      <formula>0</formula>
    </cfRule>
  </conditionalFormatting>
  <conditionalFormatting sqref="M93">
    <cfRule type="cellIs" dxfId="784" priority="120" operator="equal">
      <formula>0</formula>
    </cfRule>
  </conditionalFormatting>
  <conditionalFormatting sqref="M95">
    <cfRule type="cellIs" dxfId="783" priority="118" operator="equal">
      <formula>0</formula>
    </cfRule>
  </conditionalFormatting>
  <conditionalFormatting sqref="L199">
    <cfRule type="cellIs" dxfId="782" priority="117" operator="equal">
      <formula>0</formula>
    </cfRule>
  </conditionalFormatting>
  <conditionalFormatting sqref="M199">
    <cfRule type="cellIs" dxfId="781" priority="116" operator="equal">
      <formula>0</formula>
    </cfRule>
  </conditionalFormatting>
  <conditionalFormatting sqref="L223 L225">
    <cfRule type="cellIs" dxfId="780" priority="114" operator="equal">
      <formula>0</formula>
    </cfRule>
  </conditionalFormatting>
  <conditionalFormatting sqref="L222:M222 M223 M225">
    <cfRule type="cellIs" dxfId="779" priority="115" operator="equal">
      <formula>0</formula>
    </cfRule>
  </conditionalFormatting>
  <conditionalFormatting sqref="L43">
    <cfRule type="cellIs" dxfId="778" priority="113" operator="equal">
      <formula>0</formula>
    </cfRule>
  </conditionalFormatting>
  <conditionalFormatting sqref="L38:M38">
    <cfRule type="cellIs" dxfId="777" priority="112" operator="equal">
      <formula>0</formula>
    </cfRule>
  </conditionalFormatting>
  <conditionalFormatting sqref="L37:M37">
    <cfRule type="cellIs" dxfId="776" priority="111" operator="equal">
      <formula>0</formula>
    </cfRule>
  </conditionalFormatting>
  <conditionalFormatting sqref="L69">
    <cfRule type="cellIs" dxfId="775" priority="109" operator="equal">
      <formula>0</formula>
    </cfRule>
  </conditionalFormatting>
  <conditionalFormatting sqref="L67:M67">
    <cfRule type="cellIs" dxfId="774" priority="107" operator="equal">
      <formula>0</formula>
    </cfRule>
  </conditionalFormatting>
  <conditionalFormatting sqref="L158:M158">
    <cfRule type="cellIs" dxfId="773" priority="101" operator="equal">
      <formula>0</formula>
    </cfRule>
  </conditionalFormatting>
  <conditionalFormatting sqref="M69">
    <cfRule type="cellIs" dxfId="772" priority="108" operator="equal">
      <formula>0</formula>
    </cfRule>
  </conditionalFormatting>
  <conditionalFormatting sqref="L104:M104">
    <cfRule type="cellIs" dxfId="771" priority="106" operator="equal">
      <formula>0</formula>
    </cfRule>
  </conditionalFormatting>
  <conditionalFormatting sqref="L112">
    <cfRule type="cellIs" dxfId="770" priority="103" operator="equal">
      <formula>0</formula>
    </cfRule>
  </conditionalFormatting>
  <conditionalFormatting sqref="L103">
    <cfRule type="cellIs" dxfId="769" priority="105" operator="equal">
      <formula>0</formula>
    </cfRule>
  </conditionalFormatting>
  <conditionalFormatting sqref="L187:L188">
    <cfRule type="cellIs" dxfId="768" priority="99" operator="equal">
      <formula>0</formula>
    </cfRule>
  </conditionalFormatting>
  <conditionalFormatting sqref="M99:M103">
    <cfRule type="cellIs" dxfId="767" priority="104" operator="equal">
      <formula>0</formula>
    </cfRule>
  </conditionalFormatting>
  <conditionalFormatting sqref="M112">
    <cfRule type="cellIs" dxfId="766" priority="102" operator="equal">
      <formula>0</formula>
    </cfRule>
  </conditionalFormatting>
  <conditionalFormatting sqref="L141:M141">
    <cfRule type="cellIs" dxfId="765" priority="98" operator="equal">
      <formula>0</formula>
    </cfRule>
  </conditionalFormatting>
  <conditionalFormatting sqref="L203">
    <cfRule type="cellIs" dxfId="764" priority="92" operator="equal">
      <formula>0</formula>
    </cfRule>
  </conditionalFormatting>
  <conditionalFormatting sqref="L134:M134">
    <cfRule type="cellIs" dxfId="763" priority="96" operator="equal">
      <formula>0</formula>
    </cfRule>
  </conditionalFormatting>
  <conditionalFormatting sqref="L247:M247">
    <cfRule type="cellIs" dxfId="762" priority="95" operator="equal">
      <formula>0</formula>
    </cfRule>
  </conditionalFormatting>
  <conditionalFormatting sqref="L208">
    <cfRule type="cellIs" dxfId="761" priority="88" operator="equal">
      <formula>0</formula>
    </cfRule>
  </conditionalFormatting>
  <conditionalFormatting sqref="M208">
    <cfRule type="cellIs" dxfId="760" priority="87" operator="equal">
      <formula>0</formula>
    </cfRule>
  </conditionalFormatting>
  <conditionalFormatting sqref="M203">
    <cfRule type="cellIs" dxfId="759" priority="91" operator="equal">
      <formula>0</formula>
    </cfRule>
  </conditionalFormatting>
  <conditionalFormatting sqref="M214 M217">
    <cfRule type="cellIs" dxfId="758" priority="84" operator="equal">
      <formula>0</formula>
    </cfRule>
  </conditionalFormatting>
  <conditionalFormatting sqref="L214 L217">
    <cfRule type="cellIs" dxfId="757" priority="85" operator="equal">
      <formula>0</formula>
    </cfRule>
  </conditionalFormatting>
  <conditionalFormatting sqref="L255">
    <cfRule type="cellIs" dxfId="756" priority="82" operator="equal">
      <formula>0</formula>
    </cfRule>
  </conditionalFormatting>
  <conditionalFormatting sqref="L262:M262 M263">
    <cfRule type="cellIs" dxfId="755" priority="74" operator="equal">
      <formula>0</formula>
    </cfRule>
  </conditionalFormatting>
  <conditionalFormatting sqref="L260:M261">
    <cfRule type="cellIs" dxfId="754" priority="75" operator="equal">
      <formula>0</formula>
    </cfRule>
  </conditionalFormatting>
  <conditionalFormatting sqref="L263">
    <cfRule type="cellIs" dxfId="753" priority="72" operator="equal">
      <formula>0</formula>
    </cfRule>
  </conditionalFormatting>
  <conditionalFormatting sqref="M35">
    <cfRule type="cellIs" dxfId="752" priority="69" operator="equal">
      <formula>0</formula>
    </cfRule>
  </conditionalFormatting>
  <conditionalFormatting sqref="M43">
    <cfRule type="cellIs" dxfId="751" priority="62" operator="equal">
      <formula>0</formula>
    </cfRule>
  </conditionalFormatting>
  <conditionalFormatting sqref="L177:M177">
    <cfRule type="cellIs" dxfId="750" priority="59" operator="equal">
      <formula>0</formula>
    </cfRule>
  </conditionalFormatting>
  <conditionalFormatting sqref="L40:M40">
    <cfRule type="cellIs" dxfId="749" priority="64" operator="equal">
      <formula>0</formula>
    </cfRule>
  </conditionalFormatting>
  <conditionalFormatting sqref="L56:L57">
    <cfRule type="cellIs" dxfId="748" priority="60" operator="equal">
      <formula>0</formula>
    </cfRule>
  </conditionalFormatting>
  <conditionalFormatting sqref="D12">
    <cfRule type="cellIs" dxfId="747" priority="224" operator="equal">
      <formula>0</formula>
    </cfRule>
  </conditionalFormatting>
  <conditionalFormatting sqref="K5:M9 K25:M25 L13 K11:M11 L226 L36:M36 L39:M39 L35 L42:M42">
    <cfRule type="cellIs" dxfId="746" priority="223" operator="equal">
      <formula>0</formula>
    </cfRule>
  </conditionalFormatting>
  <conditionalFormatting sqref="L15:M24">
    <cfRule type="cellIs" dxfId="745" priority="222" operator="equal">
      <formula>0</formula>
    </cfRule>
  </conditionalFormatting>
  <conditionalFormatting sqref="D197">
    <cfRule type="cellIs" dxfId="744" priority="221" operator="equal">
      <formula>0</formula>
    </cfRule>
  </conditionalFormatting>
  <conditionalFormatting sqref="D46">
    <cfRule type="cellIs" dxfId="743" priority="215" operator="equal">
      <formula>0</formula>
    </cfRule>
  </conditionalFormatting>
  <conditionalFormatting sqref="D10">
    <cfRule type="cellIs" dxfId="742" priority="218" operator="equal">
      <formula>0</formula>
    </cfRule>
  </conditionalFormatting>
  <conditionalFormatting sqref="D45">
    <cfRule type="cellIs" dxfId="741" priority="217" operator="equal">
      <formula>0</formula>
    </cfRule>
  </conditionalFormatting>
  <conditionalFormatting sqref="D119">
    <cfRule type="cellIs" dxfId="740" priority="207" operator="equal">
      <formula>0</formula>
    </cfRule>
  </conditionalFormatting>
  <conditionalFormatting sqref="D218">
    <cfRule type="cellIs" dxfId="739" priority="199" operator="equal">
      <formula>0</formula>
    </cfRule>
  </conditionalFormatting>
  <conditionalFormatting sqref="D127">
    <cfRule type="cellIs" dxfId="738" priority="195" operator="equal">
      <formula>0</formula>
    </cfRule>
  </conditionalFormatting>
  <conditionalFormatting sqref="D228">
    <cfRule type="cellIs" dxfId="737" priority="197" operator="equal">
      <formula>0</formula>
    </cfRule>
  </conditionalFormatting>
  <conditionalFormatting sqref="D244">
    <cfRule type="cellIs" dxfId="736" priority="189" operator="equal">
      <formula>0</formula>
    </cfRule>
  </conditionalFormatting>
  <conditionalFormatting sqref="D27">
    <cfRule type="cellIs" dxfId="735" priority="187" operator="equal">
      <formula>0</formula>
    </cfRule>
  </conditionalFormatting>
  <conditionalFormatting sqref="D259">
    <cfRule type="cellIs" dxfId="734" priority="152" operator="equal">
      <formula>0</formula>
    </cfRule>
  </conditionalFormatting>
  <conditionalFormatting sqref="M76">
    <cfRule type="cellIs" dxfId="733" priority="137" operator="equal">
      <formula>0</formula>
    </cfRule>
  </conditionalFormatting>
  <conditionalFormatting sqref="L41:M41">
    <cfRule type="cellIs" dxfId="732" priority="63" operator="equal">
      <formula>0</formula>
    </cfRule>
  </conditionalFormatting>
  <conditionalFormatting sqref="M187:M188">
    <cfRule type="cellIs" dxfId="731" priority="58" operator="equal">
      <formula>0</formula>
    </cfRule>
  </conditionalFormatting>
  <conditionalFormatting sqref="M201">
    <cfRule type="cellIs" dxfId="730" priority="54" operator="equal">
      <formula>0</formula>
    </cfRule>
  </conditionalFormatting>
  <conditionalFormatting sqref="M220">
    <cfRule type="cellIs" dxfId="729" priority="52" operator="equal">
      <formula>0</formula>
    </cfRule>
  </conditionalFormatting>
  <conditionalFormatting sqref="L201">
    <cfRule type="cellIs" dxfId="728" priority="55" operator="equal">
      <formula>0</formula>
    </cfRule>
  </conditionalFormatting>
  <conditionalFormatting sqref="L220">
    <cfRule type="cellIs" dxfId="727" priority="53" operator="equal">
      <formula>0</formula>
    </cfRule>
  </conditionalFormatting>
  <conditionalFormatting sqref="L210">
    <cfRule type="cellIs" dxfId="726" priority="51" operator="equal">
      <formula>0</formula>
    </cfRule>
  </conditionalFormatting>
  <conditionalFormatting sqref="M210">
    <cfRule type="cellIs" dxfId="725" priority="50" operator="equal">
      <formula>0</formula>
    </cfRule>
  </conditionalFormatting>
  <conditionalFormatting sqref="M212">
    <cfRule type="cellIs" dxfId="724" priority="48" operator="equal">
      <formula>0</formula>
    </cfRule>
  </conditionalFormatting>
  <conditionalFormatting sqref="L212">
    <cfRule type="cellIs" dxfId="723" priority="49" operator="equal">
      <formula>0</formula>
    </cfRule>
  </conditionalFormatting>
  <conditionalFormatting sqref="L182">
    <cfRule type="cellIs" dxfId="722" priority="47" operator="equal">
      <formula>0</formula>
    </cfRule>
  </conditionalFormatting>
  <conditionalFormatting sqref="M182">
    <cfRule type="cellIs" dxfId="721" priority="46" operator="equal">
      <formula>0</formula>
    </cfRule>
  </conditionalFormatting>
  <conditionalFormatting sqref="L224">
    <cfRule type="cellIs" dxfId="720" priority="44" operator="equal">
      <formula>0</formula>
    </cfRule>
  </conditionalFormatting>
  <conditionalFormatting sqref="M224">
    <cfRule type="cellIs" dxfId="719" priority="45" operator="equal">
      <formula>0</formula>
    </cfRule>
  </conditionalFormatting>
  <conditionalFormatting sqref="L234">
    <cfRule type="cellIs" dxfId="718" priority="42" operator="equal">
      <formula>0</formula>
    </cfRule>
  </conditionalFormatting>
  <conditionalFormatting sqref="L230:M230">
    <cfRule type="cellIs" dxfId="717" priority="43" operator="equal">
      <formula>0</formula>
    </cfRule>
  </conditionalFormatting>
  <conditionalFormatting sqref="L232">
    <cfRule type="cellIs" dxfId="716" priority="41" operator="equal">
      <formula>0</formula>
    </cfRule>
  </conditionalFormatting>
  <conditionalFormatting sqref="M232">
    <cfRule type="cellIs" dxfId="715" priority="40" operator="equal">
      <formula>0</formula>
    </cfRule>
  </conditionalFormatting>
  <conditionalFormatting sqref="M234">
    <cfRule type="cellIs" dxfId="714" priority="39" operator="equal">
      <formula>0</formula>
    </cfRule>
  </conditionalFormatting>
  <conditionalFormatting sqref="L236:M236">
    <cfRule type="cellIs" dxfId="713" priority="36" operator="equal">
      <formula>0</formula>
    </cfRule>
  </conditionalFormatting>
  <conditionalFormatting sqref="L238">
    <cfRule type="cellIs" dxfId="712" priority="38" operator="equal">
      <formula>0</formula>
    </cfRule>
  </conditionalFormatting>
  <conditionalFormatting sqref="L240:M240">
    <cfRule type="cellIs" dxfId="711" priority="37" operator="equal">
      <formula>0</formula>
    </cfRule>
  </conditionalFormatting>
  <conditionalFormatting sqref="M238">
    <cfRule type="cellIs" dxfId="710" priority="35" operator="equal">
      <formula>0</formula>
    </cfRule>
  </conditionalFormatting>
  <conditionalFormatting sqref="L249">
    <cfRule type="cellIs" dxfId="709" priority="34" operator="equal">
      <formula>0</formula>
    </cfRule>
  </conditionalFormatting>
  <conditionalFormatting sqref="M255">
    <cfRule type="cellIs" dxfId="708" priority="32" operator="equal">
      <formula>0</formula>
    </cfRule>
  </conditionalFormatting>
  <conditionalFormatting sqref="M249:M254">
    <cfRule type="cellIs" dxfId="707" priority="31" operator="equal">
      <formula>0</formula>
    </cfRule>
  </conditionalFormatting>
  <conditionalFormatting sqref="L257:M257">
    <cfRule type="cellIs" dxfId="706" priority="30" operator="equal">
      <formula>0</formula>
    </cfRule>
  </conditionalFormatting>
  <conditionalFormatting sqref="L242:M242">
    <cfRule type="cellIs" dxfId="705" priority="29" operator="equal">
      <formula>0</formula>
    </cfRule>
  </conditionalFormatting>
  <conditionalFormatting sqref="L216">
    <cfRule type="cellIs" dxfId="704" priority="23" operator="equal">
      <formula>0</formula>
    </cfRule>
  </conditionalFormatting>
  <conditionalFormatting sqref="M216">
    <cfRule type="cellIs" dxfId="703" priority="22" operator="equal">
      <formula>0</formula>
    </cfRule>
  </conditionalFormatting>
  <conditionalFormatting sqref="L264:M264 L266:M266 M265 M267">
    <cfRule type="cellIs" dxfId="702" priority="19" operator="equal">
      <formula>0</formula>
    </cfRule>
  </conditionalFormatting>
  <conditionalFormatting sqref="L265 L267">
    <cfRule type="cellIs" dxfId="701" priority="18" operator="equal">
      <formula>0</formula>
    </cfRule>
  </conditionalFormatting>
  <conditionalFormatting sqref="L160:M160">
    <cfRule type="cellIs" dxfId="700" priority="17" operator="equal">
      <formula>0</formula>
    </cfRule>
  </conditionalFormatting>
  <conditionalFormatting sqref="L164:M164">
    <cfRule type="cellIs" dxfId="699" priority="16" operator="equal">
      <formula>0</formula>
    </cfRule>
  </conditionalFormatting>
  <conditionalFormatting sqref="L162:M162">
    <cfRule type="cellIs" dxfId="698" priority="15" operator="equal">
      <formula>0</formula>
    </cfRule>
  </conditionalFormatting>
  <conditionalFormatting sqref="L184:L186">
    <cfRule type="cellIs" dxfId="697" priority="14" operator="equal">
      <formula>0</formula>
    </cfRule>
  </conditionalFormatting>
  <conditionalFormatting sqref="M184:M186">
    <cfRule type="cellIs" dxfId="696" priority="13" operator="equal">
      <formula>0</formula>
    </cfRule>
  </conditionalFormatting>
  <conditionalFormatting sqref="M193">
    <cfRule type="cellIs" dxfId="695" priority="3" operator="equal">
      <formula>0</formula>
    </cfRule>
  </conditionalFormatting>
  <conditionalFormatting sqref="L189">
    <cfRule type="cellIs" dxfId="694" priority="12" operator="equal">
      <formula>0</formula>
    </cfRule>
  </conditionalFormatting>
  <conditionalFormatting sqref="M189">
    <cfRule type="cellIs" dxfId="693" priority="11" operator="equal">
      <formula>0</formula>
    </cfRule>
  </conditionalFormatting>
  <conditionalFormatting sqref="L190">
    <cfRule type="cellIs" dxfId="692" priority="10" operator="equal">
      <formula>0</formula>
    </cfRule>
  </conditionalFormatting>
  <conditionalFormatting sqref="M190">
    <cfRule type="cellIs" dxfId="691" priority="9" operator="equal">
      <formula>0</formula>
    </cfRule>
  </conditionalFormatting>
  <conditionalFormatting sqref="L191">
    <cfRule type="cellIs" dxfId="690" priority="8" operator="equal">
      <formula>0</formula>
    </cfRule>
  </conditionalFormatting>
  <conditionalFormatting sqref="M191">
    <cfRule type="cellIs" dxfId="689" priority="7" operator="equal">
      <formula>0</formula>
    </cfRule>
  </conditionalFormatting>
  <conditionalFormatting sqref="L192">
    <cfRule type="cellIs" dxfId="688" priority="6" operator="equal">
      <formula>0</formula>
    </cfRule>
  </conditionalFormatting>
  <conditionalFormatting sqref="M192">
    <cfRule type="cellIs" dxfId="687" priority="5" operator="equal">
      <formula>0</formula>
    </cfRule>
  </conditionalFormatting>
  <conditionalFormatting sqref="L193">
    <cfRule type="cellIs" dxfId="686" priority="4" operator="equal">
      <formula>0</formula>
    </cfRule>
  </conditionalFormatting>
  <conditionalFormatting sqref="L250:L254">
    <cfRule type="cellIs" dxfId="685" priority="2" operator="equal">
      <formula>0</formula>
    </cfRule>
  </conditionalFormatting>
  <conditionalFormatting sqref="L250:L254">
    <cfRule type="cellIs" dxfId="684" priority="1" operator="equal">
      <formula>0</formula>
    </cfRule>
  </conditionalFormatting>
  <pageMargins left="0.51181102362204722" right="0.51181102362204722" top="0.78740157480314965" bottom="0.78740157480314965" header="0.31496062992125984" footer="0.31496062992125984"/>
  <pageSetup paperSize="9" scale="50" fitToHeight="0" orientation="portrait" horizontalDpi="1200" verticalDpi="1200" r:id="rId1"/>
  <rowBreaks count="3" manualBreakCount="3">
    <brk id="118" min="3" max="12" man="1"/>
    <brk id="177" min="3" max="12" man="1"/>
    <brk id="217" min="3" max="12" man="1"/>
  </rowBreaks>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S212"/>
  <sheetViews>
    <sheetView zoomScale="85" zoomScaleNormal="85" zoomScaleSheetLayoutView="85" workbookViewId="0">
      <selection activeCell="D1" sqref="D1:M4"/>
    </sheetView>
  </sheetViews>
  <sheetFormatPr defaultRowHeight="12.75"/>
  <cols>
    <col min="1" max="1" width="25.28515625" style="862" customWidth="1"/>
    <col min="2" max="2" width="7.5703125" style="835" bestFit="1" customWidth="1"/>
    <col min="3" max="3" width="9" style="835" bestFit="1" customWidth="1"/>
    <col min="4" max="4" width="63.5703125" style="857" customWidth="1"/>
    <col min="5" max="5" width="9" style="857" customWidth="1"/>
    <col min="6" max="6" width="10.5703125" style="858" customWidth="1"/>
    <col min="7" max="8" width="10.85546875" style="857" customWidth="1"/>
    <col min="9" max="9" width="14.85546875" style="857" customWidth="1"/>
    <col min="10" max="10" width="12.28515625" style="859" customWidth="1"/>
    <col min="11" max="11" width="12" style="860" customWidth="1"/>
    <col min="12" max="12" width="12" style="861" customWidth="1"/>
    <col min="13" max="13" width="12.140625" style="861" customWidth="1"/>
    <col min="14" max="14" width="9.42578125" style="700" customWidth="1"/>
    <col min="15" max="15" width="7.5703125" style="863" customWidth="1"/>
    <col min="16" max="16" width="7.5703125" style="871" customWidth="1"/>
    <col min="17" max="17" width="7.5703125" style="863" customWidth="1"/>
    <col min="18" max="18" width="4.7109375" style="863" customWidth="1"/>
    <col min="19" max="16384" width="9.140625" style="865"/>
  </cols>
  <sheetData>
    <row r="1" spans="1:16" ht="18">
      <c r="D1" s="1661" t="s">
        <v>11665</v>
      </c>
      <c r="E1" s="1662"/>
      <c r="F1" s="1662"/>
      <c r="G1" s="1662"/>
      <c r="H1" s="1662"/>
      <c r="I1" s="1662"/>
      <c r="J1" s="1662"/>
      <c r="K1" s="1662"/>
      <c r="L1" s="1662"/>
      <c r="M1" s="1663"/>
      <c r="P1" s="864"/>
    </row>
    <row r="2" spans="1:16" ht="18">
      <c r="D2" s="1664"/>
      <c r="E2" s="1665"/>
      <c r="F2" s="1665"/>
      <c r="G2" s="1665"/>
      <c r="H2" s="1665"/>
      <c r="I2" s="1665"/>
      <c r="J2" s="1665"/>
      <c r="K2" s="1665"/>
      <c r="L2" s="1665"/>
      <c r="M2" s="1666"/>
      <c r="P2" s="864"/>
    </row>
    <row r="3" spans="1:16" ht="18">
      <c r="D3" s="1664"/>
      <c r="E3" s="1665"/>
      <c r="F3" s="1665"/>
      <c r="G3" s="1665"/>
      <c r="H3" s="1665"/>
      <c r="I3" s="1665"/>
      <c r="J3" s="1665"/>
      <c r="K3" s="1665"/>
      <c r="L3" s="1665"/>
      <c r="M3" s="1666"/>
      <c r="P3" s="864"/>
    </row>
    <row r="4" spans="1:16" ht="15.75" customHeight="1" thickBot="1">
      <c r="D4" s="1667"/>
      <c r="E4" s="1668"/>
      <c r="F4" s="1668"/>
      <c r="G4" s="1668"/>
      <c r="H4" s="1668"/>
      <c r="I4" s="1668"/>
      <c r="J4" s="1668"/>
      <c r="K4" s="1668"/>
      <c r="L4" s="1668"/>
      <c r="M4" s="1669"/>
      <c r="P4" s="866"/>
    </row>
    <row r="5" spans="1:16" ht="14.25" customHeight="1">
      <c r="D5" s="782"/>
      <c r="E5" s="700"/>
      <c r="F5" s="783"/>
      <c r="G5" s="783"/>
      <c r="H5" s="783"/>
      <c r="I5" s="783"/>
      <c r="J5" s="784"/>
      <c r="K5" s="785"/>
      <c r="L5" s="786"/>
      <c r="M5" s="787"/>
      <c r="P5" s="867"/>
    </row>
    <row r="6" spans="1:16" ht="14.25" customHeight="1">
      <c r="D6" s="789" t="s">
        <v>14559</v>
      </c>
      <c r="E6" s="790"/>
      <c r="F6" s="790"/>
      <c r="G6" s="790"/>
      <c r="H6" s="790"/>
      <c r="I6" s="790"/>
      <c r="J6" s="790"/>
      <c r="K6" s="791"/>
      <c r="L6" s="792"/>
      <c r="M6" s="793"/>
      <c r="N6" s="868"/>
      <c r="P6" s="866"/>
    </row>
    <row r="7" spans="1:16" ht="14.25" customHeight="1">
      <c r="D7" s="789" t="s">
        <v>11836</v>
      </c>
      <c r="E7" s="790"/>
      <c r="F7" s="790"/>
      <c r="G7" s="790"/>
      <c r="H7" s="790"/>
      <c r="I7" s="790"/>
      <c r="J7" s="790"/>
      <c r="K7" s="791"/>
      <c r="L7" s="795"/>
      <c r="M7" s="796"/>
      <c r="N7" s="869"/>
      <c r="P7" s="866"/>
    </row>
    <row r="8" spans="1:16" s="863" customFormat="1" ht="14.25" customHeight="1">
      <c r="A8" s="862"/>
      <c r="B8" s="835"/>
      <c r="C8" s="835"/>
      <c r="D8" s="789" t="s">
        <v>12227</v>
      </c>
      <c r="E8" s="790"/>
      <c r="F8" s="790"/>
      <c r="G8" s="790"/>
      <c r="H8" s="790"/>
      <c r="I8" s="790"/>
      <c r="J8" s="790"/>
      <c r="K8" s="791"/>
      <c r="L8" s="795"/>
      <c r="M8" s="796"/>
      <c r="N8" s="869"/>
      <c r="P8" s="866"/>
    </row>
    <row r="9" spans="1:16" s="863" customFormat="1" ht="6.75" customHeight="1" thickBot="1">
      <c r="A9" s="862"/>
      <c r="B9" s="835"/>
      <c r="C9" s="835"/>
      <c r="D9" s="798"/>
      <c r="E9" s="799"/>
      <c r="F9" s="799"/>
      <c r="G9" s="800"/>
      <c r="H9" s="800"/>
      <c r="I9" s="800"/>
      <c r="J9" s="800"/>
      <c r="K9" s="801"/>
      <c r="L9" s="802"/>
      <c r="M9" s="803"/>
      <c r="N9" s="869"/>
      <c r="P9" s="866"/>
    </row>
    <row r="10" spans="1:16" s="863" customFormat="1" ht="15.75" customHeight="1" thickTop="1" thickBot="1">
      <c r="A10" s="862"/>
      <c r="B10" s="835"/>
      <c r="C10" s="835"/>
      <c r="D10" s="1653" t="s">
        <v>12228</v>
      </c>
      <c r="E10" s="1654"/>
      <c r="F10" s="1654"/>
      <c r="G10" s="1654"/>
      <c r="H10" s="1654"/>
      <c r="I10" s="1654"/>
      <c r="J10" s="1654"/>
      <c r="K10" s="1654"/>
      <c r="L10" s="1654"/>
      <c r="M10" s="1670"/>
      <c r="N10" s="870"/>
      <c r="O10" s="871"/>
      <c r="P10" s="871"/>
    </row>
    <row r="11" spans="1:16" s="863" customFormat="1" ht="6" customHeight="1" thickTop="1" thickBot="1">
      <c r="A11" s="862"/>
      <c r="B11" s="835"/>
      <c r="C11" s="835"/>
      <c r="D11" s="806"/>
      <c r="E11" s="807"/>
      <c r="F11" s="808"/>
      <c r="G11" s="700"/>
      <c r="H11" s="700"/>
      <c r="I11" s="700"/>
      <c r="J11" s="809"/>
      <c r="K11" s="791"/>
      <c r="L11" s="802"/>
      <c r="M11" s="810"/>
      <c r="N11" s="700"/>
      <c r="P11" s="872"/>
    </row>
    <row r="12" spans="1:16" s="863" customFormat="1" ht="14.25" customHeight="1" thickTop="1" thickBot="1">
      <c r="A12" s="862"/>
      <c r="B12" s="835"/>
      <c r="C12" s="835"/>
      <c r="D12" s="1653" t="s">
        <v>3</v>
      </c>
      <c r="E12" s="1654"/>
      <c r="F12" s="1654"/>
      <c r="G12" s="1654"/>
      <c r="H12" s="1654"/>
      <c r="I12" s="1654"/>
      <c r="J12" s="1654"/>
      <c r="K12" s="1654"/>
      <c r="L12" s="1654"/>
      <c r="M12" s="1670"/>
      <c r="N12" s="816"/>
      <c r="P12" s="873"/>
    </row>
    <row r="13" spans="1:16" s="863" customFormat="1" ht="13.5" thickTop="1">
      <c r="A13" s="862"/>
      <c r="B13" s="835"/>
      <c r="C13" s="835"/>
      <c r="D13" s="814" t="s">
        <v>4</v>
      </c>
      <c r="E13" s="815"/>
      <c r="F13" s="815"/>
      <c r="G13" s="815"/>
      <c r="H13" s="815"/>
      <c r="I13" s="815"/>
      <c r="J13" s="815"/>
      <c r="K13" s="815"/>
      <c r="L13" s="816" t="s">
        <v>5</v>
      </c>
      <c r="M13" s="817">
        <f>'PARAMETROS MC'!C37</f>
        <v>7.5</v>
      </c>
      <c r="N13" s="874"/>
      <c r="O13" s="875"/>
      <c r="P13" s="871"/>
    </row>
    <row r="14" spans="1:16" s="863" customFormat="1">
      <c r="A14" s="862"/>
      <c r="B14" s="835"/>
      <c r="C14" s="835"/>
      <c r="D14" s="820" t="s">
        <v>34</v>
      </c>
      <c r="E14" s="821"/>
      <c r="F14" s="821"/>
      <c r="G14" s="821"/>
      <c r="H14" s="821"/>
      <c r="I14" s="821"/>
      <c r="J14" s="821"/>
      <c r="K14" s="821"/>
      <c r="L14" s="816" t="s">
        <v>5</v>
      </c>
      <c r="M14" s="817">
        <f>'PARAMETROS MC'!C38</f>
        <v>4.5999999999999996</v>
      </c>
      <c r="N14" s="874"/>
      <c r="O14" s="875"/>
      <c r="P14" s="871"/>
    </row>
    <row r="15" spans="1:16" s="863" customFormat="1">
      <c r="A15" s="862"/>
      <c r="B15" s="835"/>
      <c r="C15" s="835"/>
      <c r="D15" s="820" t="s">
        <v>6</v>
      </c>
      <c r="E15" s="821"/>
      <c r="F15" s="821"/>
      <c r="G15" s="821"/>
      <c r="H15" s="821"/>
      <c r="I15" s="821"/>
      <c r="J15" s="821"/>
      <c r="K15" s="821"/>
      <c r="L15" s="816" t="s">
        <v>8</v>
      </c>
      <c r="M15" s="822">
        <v>0.95</v>
      </c>
      <c r="N15" s="874"/>
      <c r="O15" s="875"/>
      <c r="P15" s="871"/>
    </row>
    <row r="16" spans="1:16" s="863" customFormat="1">
      <c r="A16" s="862"/>
      <c r="B16" s="835"/>
      <c r="C16" s="835"/>
      <c r="D16" s="820" t="s">
        <v>7</v>
      </c>
      <c r="E16" s="821"/>
      <c r="F16" s="821"/>
      <c r="G16" s="821"/>
      <c r="H16" s="821"/>
      <c r="I16" s="821"/>
      <c r="J16" s="821"/>
      <c r="K16" s="821"/>
      <c r="L16" s="816" t="s">
        <v>8</v>
      </c>
      <c r="M16" s="822">
        <v>0.05</v>
      </c>
      <c r="N16" s="874"/>
      <c r="O16" s="875"/>
      <c r="P16" s="871"/>
    </row>
    <row r="17" spans="1:19" s="863" customFormat="1">
      <c r="A17" s="862"/>
      <c r="B17" s="835"/>
      <c r="C17" s="835"/>
      <c r="D17" s="820" t="s">
        <v>9</v>
      </c>
      <c r="E17" s="821"/>
      <c r="F17" s="821"/>
      <c r="G17" s="821"/>
      <c r="H17" s="821"/>
      <c r="I17" s="821"/>
      <c r="J17" s="821"/>
      <c r="K17" s="821"/>
      <c r="L17" s="816" t="s">
        <v>8</v>
      </c>
      <c r="M17" s="822">
        <v>0.9</v>
      </c>
      <c r="N17" s="874"/>
      <c r="O17" s="875"/>
      <c r="P17" s="871"/>
    </row>
    <row r="18" spans="1:19" s="863" customFormat="1">
      <c r="A18" s="862"/>
      <c r="B18" s="835"/>
      <c r="C18" s="835"/>
      <c r="D18" s="820" t="s">
        <v>10</v>
      </c>
      <c r="E18" s="821"/>
      <c r="F18" s="821"/>
      <c r="G18" s="821"/>
      <c r="H18" s="821"/>
      <c r="I18" s="821"/>
      <c r="J18" s="821"/>
      <c r="K18" s="821"/>
      <c r="L18" s="816" t="s">
        <v>8</v>
      </c>
      <c r="M18" s="822">
        <v>0.05</v>
      </c>
      <c r="N18" s="874"/>
      <c r="O18" s="875"/>
      <c r="P18" s="871"/>
    </row>
    <row r="19" spans="1:19" s="863" customFormat="1">
      <c r="A19" s="862"/>
      <c r="B19" s="835"/>
      <c r="C19" s="835"/>
      <c r="D19" s="820" t="s">
        <v>11</v>
      </c>
      <c r="E19" s="821"/>
      <c r="F19" s="821"/>
      <c r="G19" s="821"/>
      <c r="H19" s="821"/>
      <c r="I19" s="821"/>
      <c r="J19" s="821"/>
      <c r="K19" s="821"/>
      <c r="L19" s="816" t="s">
        <v>8</v>
      </c>
      <c r="M19" s="822">
        <v>0</v>
      </c>
      <c r="N19" s="874"/>
      <c r="O19" s="875"/>
      <c r="P19" s="871"/>
    </row>
    <row r="20" spans="1:19" s="863" customFormat="1">
      <c r="A20" s="862"/>
      <c r="B20" s="835"/>
      <c r="C20" s="835"/>
      <c r="D20" s="820" t="s">
        <v>12</v>
      </c>
      <c r="E20" s="821"/>
      <c r="F20" s="821"/>
      <c r="G20" s="821"/>
      <c r="H20" s="821"/>
      <c r="I20" s="821"/>
      <c r="J20" s="821"/>
      <c r="K20" s="821"/>
      <c r="L20" s="816" t="s">
        <v>8</v>
      </c>
      <c r="M20" s="822">
        <v>0.05</v>
      </c>
      <c r="N20" s="874"/>
      <c r="O20" s="875"/>
      <c r="P20" s="871"/>
    </row>
    <row r="21" spans="1:19" s="863" customFormat="1">
      <c r="A21" s="862"/>
      <c r="B21" s="835"/>
      <c r="C21" s="835"/>
      <c r="D21" s="820" t="s">
        <v>13</v>
      </c>
      <c r="E21" s="821"/>
      <c r="F21" s="821"/>
      <c r="G21" s="821"/>
      <c r="H21" s="821"/>
      <c r="I21" s="821"/>
      <c r="J21" s="821"/>
      <c r="K21" s="821"/>
      <c r="L21" s="816" t="s">
        <v>8</v>
      </c>
      <c r="M21" s="822">
        <v>0.2</v>
      </c>
      <c r="N21" s="874"/>
      <c r="O21" s="875"/>
      <c r="P21" s="871"/>
    </row>
    <row r="22" spans="1:19" s="863" customFormat="1">
      <c r="A22" s="862"/>
      <c r="B22" s="835"/>
      <c r="C22" s="835"/>
      <c r="D22" s="820" t="s">
        <v>14</v>
      </c>
      <c r="E22" s="821"/>
      <c r="F22" s="821"/>
      <c r="G22" s="821"/>
      <c r="H22" s="821"/>
      <c r="I22" s="821"/>
      <c r="J22" s="821"/>
      <c r="K22" s="821"/>
      <c r="L22" s="816" t="s">
        <v>8</v>
      </c>
      <c r="M22" s="822">
        <v>0.15</v>
      </c>
      <c r="N22" s="874"/>
      <c r="O22" s="875"/>
      <c r="P22" s="871"/>
    </row>
    <row r="23" spans="1:19" s="863" customFormat="1">
      <c r="A23" s="862"/>
      <c r="B23" s="835"/>
      <c r="C23" s="835"/>
      <c r="D23" s="820" t="s">
        <v>15</v>
      </c>
      <c r="E23" s="821"/>
      <c r="F23" s="821"/>
      <c r="G23" s="821"/>
      <c r="H23" s="821"/>
      <c r="I23" s="821"/>
      <c r="J23" s="821"/>
      <c r="K23" s="821"/>
      <c r="L23" s="816" t="s">
        <v>8</v>
      </c>
      <c r="M23" s="822">
        <v>0.1</v>
      </c>
      <c r="N23" s="874"/>
      <c r="O23" s="875"/>
      <c r="P23" s="871"/>
    </row>
    <row r="24" spans="1:19" s="863" customFormat="1">
      <c r="A24" s="862"/>
      <c r="B24" s="835"/>
      <c r="C24" s="835"/>
      <c r="D24" s="820" t="s">
        <v>16</v>
      </c>
      <c r="E24" s="821"/>
      <c r="F24" s="821"/>
      <c r="G24" s="821"/>
      <c r="H24" s="821"/>
      <c r="I24" s="821"/>
      <c r="J24" s="821"/>
      <c r="K24" s="821"/>
      <c r="L24" s="816" t="s">
        <v>8</v>
      </c>
      <c r="M24" s="822">
        <v>0.9</v>
      </c>
      <c r="N24" s="874"/>
      <c r="O24" s="875"/>
      <c r="P24" s="871"/>
    </row>
    <row r="25" spans="1:19">
      <c r="D25" s="823"/>
      <c r="E25" s="700"/>
      <c r="F25" s="808"/>
      <c r="G25" s="700"/>
      <c r="H25" s="700"/>
      <c r="I25" s="700"/>
      <c r="J25" s="809"/>
      <c r="K25" s="791"/>
      <c r="L25" s="824"/>
      <c r="M25" s="825"/>
    </row>
    <row r="26" spans="1:19" s="863" customFormat="1" ht="6" customHeight="1" thickBot="1">
      <c r="A26" s="862"/>
      <c r="B26" s="835"/>
      <c r="C26" s="835"/>
      <c r="D26" s="826"/>
      <c r="E26" s="790"/>
      <c r="F26" s="790"/>
      <c r="G26" s="700"/>
      <c r="H26" s="700"/>
      <c r="I26" s="700"/>
      <c r="J26" s="700"/>
      <c r="K26" s="700"/>
      <c r="L26" s="700"/>
      <c r="M26" s="827"/>
      <c r="N26" s="700"/>
      <c r="P26" s="871"/>
    </row>
    <row r="27" spans="1:19" s="863" customFormat="1" ht="15.75" customHeight="1" thickTop="1" thickBot="1">
      <c r="A27" s="862"/>
      <c r="B27" s="835"/>
      <c r="C27" s="835"/>
      <c r="D27" s="830" t="s">
        <v>11640</v>
      </c>
      <c r="E27" s="831"/>
      <c r="F27" s="831"/>
      <c r="G27" s="831"/>
      <c r="H27" s="831"/>
      <c r="I27" s="831"/>
      <c r="J27" s="831"/>
      <c r="K27" s="831"/>
      <c r="L27" s="832"/>
      <c r="M27" s="833"/>
      <c r="N27" s="870"/>
      <c r="O27" s="871"/>
      <c r="P27" s="871"/>
    </row>
    <row r="28" spans="1:19" ht="15" customHeight="1" thickTop="1">
      <c r="D28" s="826"/>
      <c r="E28" s="790"/>
      <c r="F28" s="790"/>
      <c r="G28" s="700" t="s">
        <v>30</v>
      </c>
      <c r="H28" s="700" t="s">
        <v>30</v>
      </c>
      <c r="I28" s="700" t="s">
        <v>30</v>
      </c>
      <c r="J28" s="700" t="s">
        <v>17</v>
      </c>
      <c r="K28" s="700" t="s">
        <v>19</v>
      </c>
      <c r="L28" s="700" t="s">
        <v>30</v>
      </c>
      <c r="M28" s="876" t="s">
        <v>30</v>
      </c>
      <c r="N28" s="824"/>
      <c r="O28" s="790"/>
      <c r="P28" s="863"/>
      <c r="Q28" s="871"/>
      <c r="S28" s="863"/>
    </row>
    <row r="29" spans="1:19" ht="22.5">
      <c r="A29" s="862" t="s">
        <v>12229</v>
      </c>
      <c r="B29" s="850" t="s">
        <v>70</v>
      </c>
      <c r="C29" s="850" t="s">
        <v>19163</v>
      </c>
      <c r="D29" s="836" t="str">
        <f>PROPER(IF(B29="Saneago",VLOOKUP(C29,'SANEAGO-FEV.2016'!A:B,2,0),IF(B29="SINAPI",VLOOKUP(C29,'SINAPI-FEV.2017'!A:D,2,0),IF(B29="Cotação",VLOOKUP(C29,COTAÇÃO!A:D,2,0),IF(B29="Composição",VLOOKUP(C29,COMPOSIÇÃO!A:D,2,0))))))</f>
        <v>Limpeza Mecanizada De Terreno Com Remocao De Camada Vegetal, Utilizando Motoniveladora</v>
      </c>
      <c r="E29" s="837"/>
      <c r="F29" s="837"/>
      <c r="G29" s="852"/>
      <c r="H29" s="852"/>
      <c r="I29" s="852"/>
      <c r="J29" s="852">
        <f>7.27+1*2</f>
        <v>9.27</v>
      </c>
      <c r="K29" s="852">
        <f>3.02+1*2</f>
        <v>5.0199999999999996</v>
      </c>
      <c r="L29" s="852" t="s">
        <v>21</v>
      </c>
      <c r="M29" s="853">
        <f>J29*K29</f>
        <v>46.535399999999996</v>
      </c>
      <c r="N29" s="824"/>
      <c r="O29" s="790"/>
      <c r="P29" s="863"/>
      <c r="Q29" s="871"/>
      <c r="S29" s="863"/>
    </row>
    <row r="30" spans="1:19">
      <c r="D30" s="826"/>
      <c r="E30" s="790"/>
      <c r="F30" s="790"/>
      <c r="G30" s="700" t="s">
        <v>30</v>
      </c>
      <c r="H30" s="700" t="s">
        <v>30</v>
      </c>
      <c r="I30" s="700" t="s">
        <v>30</v>
      </c>
      <c r="J30" s="700" t="s">
        <v>17</v>
      </c>
      <c r="K30" s="700" t="s">
        <v>19</v>
      </c>
      <c r="L30" s="700" t="s">
        <v>30</v>
      </c>
      <c r="M30" s="876" t="s">
        <v>30</v>
      </c>
      <c r="N30" s="824"/>
      <c r="O30" s="790"/>
      <c r="P30" s="863"/>
      <c r="Q30" s="871"/>
      <c r="S30" s="863"/>
    </row>
    <row r="31" spans="1:19" ht="22.5">
      <c r="A31" s="862" t="s">
        <v>12230</v>
      </c>
      <c r="B31" s="850" t="s">
        <v>70</v>
      </c>
      <c r="C31" s="850" t="s">
        <v>19263</v>
      </c>
      <c r="D31" s="836" t="str">
        <f>PROPER(IF(B31="Saneago",VLOOKUP(C31,'SANEAGO-FEV.2016'!A:B,2,0),IF(B31="SINAPI",VLOOKUP(C31,'SINAPI-FEV.2017'!A:D,2,0),IF(B31="Cotação",VLOOKUP(C31,COTAÇÃO!A:D,2,0),IF(B31="Composição",VLOOKUP(C31,COMPOSIÇÃO!A:D,2,0))))))</f>
        <v>Locacao Convencional De Obra, Através De Gabarito De Tabuas Corridas Pontaletadas A Cada 1,50M, Sem Reaproveitamento</v>
      </c>
      <c r="E31" s="837"/>
      <c r="F31" s="837"/>
      <c r="G31" s="852"/>
      <c r="H31" s="852"/>
      <c r="I31" s="852"/>
      <c r="J31" s="852">
        <v>7.27</v>
      </c>
      <c r="K31" s="852">
        <v>3.02</v>
      </c>
      <c r="L31" s="852" t="s">
        <v>21</v>
      </c>
      <c r="M31" s="853">
        <f>J31*K31</f>
        <v>21.955399999999997</v>
      </c>
      <c r="N31" s="824"/>
      <c r="O31" s="790"/>
      <c r="P31" s="863"/>
      <c r="Q31" s="871"/>
      <c r="S31" s="863"/>
    </row>
    <row r="32" spans="1:19" s="863" customFormat="1" ht="13.5" thickBot="1">
      <c r="A32" s="862"/>
      <c r="B32" s="835"/>
      <c r="C32" s="835"/>
      <c r="D32" s="826"/>
      <c r="E32" s="790"/>
      <c r="F32" s="790"/>
      <c r="G32" s="828"/>
      <c r="H32" s="828"/>
      <c r="I32" s="828"/>
      <c r="J32" s="828"/>
      <c r="K32" s="828"/>
      <c r="L32" s="700"/>
      <c r="M32" s="829"/>
      <c r="N32" s="700"/>
      <c r="P32" s="871"/>
    </row>
    <row r="33" spans="1:16" s="863" customFormat="1" ht="14.25" thickTop="1" thickBot="1">
      <c r="A33" s="862"/>
      <c r="B33" s="835"/>
      <c r="C33" s="835"/>
      <c r="D33" s="830" t="s">
        <v>41</v>
      </c>
      <c r="E33" s="831"/>
      <c r="F33" s="831"/>
      <c r="G33" s="831"/>
      <c r="H33" s="831"/>
      <c r="I33" s="831"/>
      <c r="J33" s="831"/>
      <c r="K33" s="831"/>
      <c r="L33" s="832"/>
      <c r="M33" s="833"/>
      <c r="N33" s="870"/>
      <c r="O33" s="871"/>
      <c r="P33" s="871"/>
    </row>
    <row r="34" spans="1:16" s="863" customFormat="1" ht="13.5" thickTop="1">
      <c r="A34" s="862"/>
      <c r="B34" s="835"/>
      <c r="C34" s="835"/>
      <c r="D34" s="878"/>
      <c r="E34" s="816"/>
      <c r="F34" s="816"/>
      <c r="G34" s="700" t="s">
        <v>30</v>
      </c>
      <c r="H34" s="700" t="s">
        <v>30</v>
      </c>
      <c r="I34" s="700" t="s">
        <v>30</v>
      </c>
      <c r="J34" s="700" t="s">
        <v>30</v>
      </c>
      <c r="K34" s="700" t="s">
        <v>30</v>
      </c>
      <c r="L34" s="700"/>
      <c r="M34" s="879"/>
      <c r="N34" s="700"/>
      <c r="P34" s="871"/>
    </row>
    <row r="35" spans="1:16" s="863" customFormat="1">
      <c r="A35" s="862"/>
      <c r="B35" s="835"/>
      <c r="C35" s="835"/>
      <c r="D35" s="836" t="s">
        <v>11766</v>
      </c>
      <c r="E35" s="837"/>
      <c r="F35" s="837"/>
      <c r="G35" s="880"/>
      <c r="H35" s="880"/>
      <c r="I35" s="880"/>
      <c r="J35" s="880"/>
      <c r="K35" s="880"/>
      <c r="L35" s="852" t="s">
        <v>18</v>
      </c>
      <c r="M35" s="853">
        <v>0.6</v>
      </c>
      <c r="N35" s="700"/>
      <c r="P35" s="871"/>
    </row>
    <row r="36" spans="1:16" s="863" customFormat="1">
      <c r="A36" s="862"/>
      <c r="B36" s="835"/>
      <c r="C36" s="835"/>
      <c r="D36" s="881"/>
      <c r="E36" s="882"/>
      <c r="F36" s="882"/>
      <c r="G36" s="700"/>
      <c r="H36" s="700"/>
      <c r="I36" s="700"/>
      <c r="J36" s="700"/>
      <c r="K36" s="700"/>
      <c r="L36" s="883"/>
      <c r="M36" s="884"/>
      <c r="N36" s="700"/>
      <c r="P36" s="871"/>
    </row>
    <row r="37" spans="1:16" s="863" customFormat="1" ht="15">
      <c r="A37" s="862"/>
      <c r="B37" s="835"/>
      <c r="C37" s="835"/>
      <c r="D37" s="836" t="s">
        <v>11668</v>
      </c>
      <c r="E37" s="837"/>
      <c r="F37" s="837"/>
      <c r="G37" s="852"/>
      <c r="H37" s="852"/>
      <c r="I37" s="852"/>
      <c r="J37" s="852"/>
      <c r="K37" s="852"/>
      <c r="L37" s="852"/>
      <c r="M37" s="885">
        <v>25</v>
      </c>
      <c r="N37" s="700"/>
      <c r="O37" s="886"/>
      <c r="P37" s="871"/>
    </row>
    <row r="38" spans="1:16" s="863" customFormat="1">
      <c r="A38" s="862"/>
      <c r="B38" s="835"/>
      <c r="C38" s="835"/>
      <c r="D38" s="881"/>
      <c r="E38" s="882"/>
      <c r="F38" s="882"/>
      <c r="G38" s="700"/>
      <c r="H38" s="700"/>
      <c r="I38" s="700" t="s">
        <v>11671</v>
      </c>
      <c r="J38" s="700" t="s">
        <v>11672</v>
      </c>
      <c r="K38" s="700" t="s">
        <v>11673</v>
      </c>
      <c r="L38" s="883"/>
      <c r="M38" s="884"/>
      <c r="N38" s="700"/>
      <c r="P38" s="871"/>
    </row>
    <row r="39" spans="1:16" s="863" customFormat="1" ht="15">
      <c r="A39" s="862"/>
      <c r="B39" s="835"/>
      <c r="C39" s="835"/>
      <c r="D39" s="836" t="s">
        <v>11670</v>
      </c>
      <c r="E39" s="837"/>
      <c r="F39" s="837"/>
      <c r="G39" s="852"/>
      <c r="H39" s="852"/>
      <c r="I39" s="852">
        <v>0</v>
      </c>
      <c r="J39" s="852">
        <v>0</v>
      </c>
      <c r="K39" s="852">
        <v>0.05</v>
      </c>
      <c r="L39" s="852" t="s">
        <v>18</v>
      </c>
      <c r="M39" s="853">
        <f>SUM(I39:K39)</f>
        <v>0.05</v>
      </c>
      <c r="N39" s="700"/>
      <c r="O39" s="886"/>
      <c r="P39" s="871"/>
    </row>
    <row r="40" spans="1:16" s="863" customFormat="1">
      <c r="A40" s="862"/>
      <c r="B40" s="835"/>
      <c r="C40" s="835"/>
      <c r="D40" s="881"/>
      <c r="E40" s="882"/>
      <c r="F40" s="882"/>
      <c r="G40" s="700" t="s">
        <v>37</v>
      </c>
      <c r="H40" s="700" t="s">
        <v>17</v>
      </c>
      <c r="I40" s="700" t="s">
        <v>19</v>
      </c>
      <c r="J40" s="700" t="s">
        <v>28</v>
      </c>
      <c r="K40" s="700" t="s">
        <v>51</v>
      </c>
      <c r="L40" s="883"/>
      <c r="M40" s="884"/>
      <c r="N40" s="700"/>
      <c r="P40" s="871"/>
    </row>
    <row r="41" spans="1:16" s="863" customFormat="1">
      <c r="A41" s="862"/>
      <c r="B41" s="835"/>
      <c r="C41" s="835"/>
      <c r="D41" s="836" t="s">
        <v>11730</v>
      </c>
      <c r="E41" s="837"/>
      <c r="F41" s="837"/>
      <c r="G41" s="838">
        <v>0.6</v>
      </c>
      <c r="H41" s="838">
        <v>0.9</v>
      </c>
      <c r="I41" s="838">
        <v>0.9</v>
      </c>
      <c r="J41" s="838">
        <v>1</v>
      </c>
      <c r="K41" s="852">
        <v>2</v>
      </c>
      <c r="L41" s="852" t="s">
        <v>22</v>
      </c>
      <c r="M41" s="853">
        <f>(((H41+(2*G41))*(I41+(2*G41)))*J41)*K41</f>
        <v>8.82</v>
      </c>
      <c r="N41" s="700"/>
      <c r="P41" s="871"/>
    </row>
    <row r="42" spans="1:16" s="863" customFormat="1">
      <c r="A42" s="862"/>
      <c r="B42" s="835"/>
      <c r="C42" s="835"/>
      <c r="D42" s="881"/>
      <c r="E42" s="882"/>
      <c r="F42" s="882"/>
      <c r="G42" s="828" t="s">
        <v>37</v>
      </c>
      <c r="H42" s="828" t="s">
        <v>17</v>
      </c>
      <c r="I42" s="828" t="s">
        <v>19</v>
      </c>
      <c r="J42" s="828" t="s">
        <v>28</v>
      </c>
      <c r="K42" s="700" t="s">
        <v>51</v>
      </c>
      <c r="L42" s="883"/>
      <c r="M42" s="884"/>
      <c r="N42" s="700"/>
      <c r="P42" s="871"/>
    </row>
    <row r="43" spans="1:16" s="863" customFormat="1">
      <c r="A43" s="862"/>
      <c r="B43" s="835"/>
      <c r="C43" s="835"/>
      <c r="D43" s="836" t="s">
        <v>11731</v>
      </c>
      <c r="E43" s="837"/>
      <c r="F43" s="837"/>
      <c r="G43" s="838">
        <v>0.6</v>
      </c>
      <c r="H43" s="838">
        <v>0.75</v>
      </c>
      <c r="I43" s="838">
        <v>0.75</v>
      </c>
      <c r="J43" s="838">
        <v>1</v>
      </c>
      <c r="K43" s="852">
        <v>6</v>
      </c>
      <c r="L43" s="852" t="s">
        <v>22</v>
      </c>
      <c r="M43" s="853">
        <f>(((H43+(2*G43))*(I43+(2*G43)))*J43)*K43</f>
        <v>22.814999999999998</v>
      </c>
      <c r="N43" s="700"/>
      <c r="P43" s="871"/>
    </row>
    <row r="44" spans="1:16" s="863" customFormat="1">
      <c r="A44" s="862"/>
      <c r="B44" s="835"/>
      <c r="C44" s="835"/>
      <c r="D44" s="881"/>
      <c r="E44" s="882"/>
      <c r="F44" s="882"/>
      <c r="G44" s="828" t="s">
        <v>37</v>
      </c>
      <c r="H44" s="828" t="s">
        <v>17</v>
      </c>
      <c r="I44" s="828" t="s">
        <v>19</v>
      </c>
      <c r="J44" s="828" t="s">
        <v>28</v>
      </c>
      <c r="K44" s="700" t="s">
        <v>51</v>
      </c>
      <c r="L44" s="883"/>
      <c r="M44" s="884"/>
      <c r="N44" s="700"/>
      <c r="P44" s="871"/>
    </row>
    <row r="45" spans="1:16" s="863" customFormat="1">
      <c r="A45" s="862"/>
      <c r="B45" s="835"/>
      <c r="C45" s="835"/>
      <c r="D45" s="836" t="s">
        <v>12274</v>
      </c>
      <c r="E45" s="837"/>
      <c r="F45" s="837"/>
      <c r="G45" s="838">
        <v>0.2</v>
      </c>
      <c r="H45" s="838">
        <v>19.899999999999999</v>
      </c>
      <c r="I45" s="838">
        <v>0.12</v>
      </c>
      <c r="J45" s="838">
        <v>0.4</v>
      </c>
      <c r="K45" s="852">
        <v>1</v>
      </c>
      <c r="L45" s="852" t="s">
        <v>22</v>
      </c>
      <c r="M45" s="853">
        <f>H45*(I45+G45*2)*J45*K45</f>
        <v>4.1391999999999998</v>
      </c>
      <c r="N45" s="700"/>
      <c r="P45" s="871"/>
    </row>
    <row r="46" spans="1:16" s="863" customFormat="1">
      <c r="A46" s="862"/>
      <c r="B46" s="835"/>
      <c r="C46" s="835"/>
      <c r="D46" s="881"/>
      <c r="E46" s="882"/>
      <c r="F46" s="882"/>
      <c r="G46" s="700"/>
      <c r="H46" s="700"/>
      <c r="I46" s="700"/>
      <c r="J46" s="700"/>
      <c r="K46" s="700"/>
      <c r="L46" s="883"/>
      <c r="M46" s="884"/>
      <c r="N46" s="700"/>
      <c r="P46" s="871"/>
    </row>
    <row r="47" spans="1:16" s="863" customFormat="1">
      <c r="A47" s="862"/>
      <c r="B47" s="835"/>
      <c r="C47" s="835"/>
      <c r="D47" s="836" t="s">
        <v>11785</v>
      </c>
      <c r="E47" s="837"/>
      <c r="F47" s="837"/>
      <c r="G47" s="838"/>
      <c r="H47" s="852"/>
      <c r="I47" s="852"/>
      <c r="J47" s="838"/>
      <c r="K47" s="856" t="s">
        <v>27</v>
      </c>
      <c r="L47" s="856" t="s">
        <v>18</v>
      </c>
      <c r="M47" s="840">
        <f>SUM(M45,M43,M41)</f>
        <v>35.774199999999993</v>
      </c>
      <c r="N47" s="700"/>
      <c r="P47" s="871"/>
    </row>
    <row r="48" spans="1:16" s="863" customFormat="1" ht="22.5">
      <c r="A48" s="862"/>
      <c r="B48" s="835"/>
      <c r="C48" s="835"/>
      <c r="D48" s="881"/>
      <c r="E48" s="882"/>
      <c r="F48" s="883" t="s">
        <v>1275</v>
      </c>
      <c r="G48" s="700" t="s">
        <v>11676</v>
      </c>
      <c r="H48" s="700" t="s">
        <v>11669</v>
      </c>
      <c r="I48" s="700" t="s">
        <v>11674</v>
      </c>
      <c r="J48" s="700" t="s">
        <v>11675</v>
      </c>
      <c r="K48" s="700" t="s">
        <v>11667</v>
      </c>
      <c r="L48" s="883"/>
      <c r="M48" s="884"/>
      <c r="N48" s="700"/>
      <c r="P48" s="871"/>
    </row>
    <row r="49" spans="1:16" s="863" customFormat="1">
      <c r="A49" s="862"/>
      <c r="B49" s="835"/>
      <c r="C49" s="835"/>
      <c r="D49" s="826"/>
      <c r="E49" s="790"/>
      <c r="F49" s="700"/>
      <c r="G49" s="828"/>
      <c r="H49" s="828"/>
      <c r="I49" s="828"/>
      <c r="J49" s="828"/>
      <c r="K49" s="901"/>
      <c r="L49" s="816"/>
      <c r="M49" s="902"/>
      <c r="N49" s="700"/>
      <c r="P49" s="871"/>
    </row>
    <row r="50" spans="1:16" s="863" customFormat="1">
      <c r="A50" s="862"/>
      <c r="B50" s="835"/>
      <c r="C50" s="835"/>
      <c r="D50" s="826"/>
      <c r="E50" s="790"/>
      <c r="F50" s="700"/>
      <c r="G50" s="828"/>
      <c r="H50" s="828"/>
      <c r="I50" s="828"/>
      <c r="J50" s="828"/>
      <c r="K50" s="901"/>
      <c r="L50" s="816"/>
      <c r="M50" s="902"/>
      <c r="N50" s="700"/>
      <c r="P50" s="871"/>
    </row>
    <row r="51" spans="1:16" s="863" customFormat="1">
      <c r="A51" s="862"/>
      <c r="B51" s="835"/>
      <c r="C51" s="835"/>
      <c r="D51" s="836" t="s">
        <v>12273</v>
      </c>
      <c r="E51" s="837"/>
      <c r="F51" s="852"/>
      <c r="G51" s="838"/>
      <c r="H51" s="838"/>
      <c r="I51" s="838"/>
      <c r="J51" s="838"/>
      <c r="K51" s="839" t="s">
        <v>27</v>
      </c>
      <c r="L51" s="856" t="s">
        <v>18</v>
      </c>
      <c r="M51" s="840">
        <f>SUM(M48:M50)</f>
        <v>0</v>
      </c>
      <c r="N51" s="700"/>
      <c r="P51" s="871"/>
    </row>
    <row r="52" spans="1:16" s="863" customFormat="1">
      <c r="A52" s="862"/>
      <c r="B52" s="835"/>
      <c r="C52" s="835"/>
      <c r="D52" s="881"/>
      <c r="E52" s="882"/>
      <c r="F52" s="882"/>
      <c r="G52" s="700"/>
      <c r="H52" s="700"/>
      <c r="I52" s="700"/>
      <c r="J52" s="700" t="s">
        <v>11696</v>
      </c>
      <c r="K52" s="700" t="s">
        <v>11641</v>
      </c>
      <c r="L52" s="883"/>
      <c r="M52" s="884"/>
      <c r="N52" s="700"/>
      <c r="P52" s="871"/>
    </row>
    <row r="53" spans="1:16" s="863" customFormat="1" ht="45">
      <c r="A53" s="862" t="s">
        <v>12231</v>
      </c>
      <c r="B53" s="835" t="s">
        <v>70</v>
      </c>
      <c r="C53" s="893">
        <v>90105</v>
      </c>
      <c r="D53" s="894" t="str">
        <f>PROPER(IF(B53="Saneago",VLOOKUP(C53,'SANEAGO-FEV.2016'!A:B,2,0),IF(B53="SINAPI",VLOOKUP(C53,'SINAPI-FEV.2017'!A:D,2,0),IF(B53="Cotação",VLOOKUP(C53,COTAÇÃO!A:D,2,0),IF(B53="Composição",VLOOKUP(C53,COMPOSIÇÃO!A:D,2,0))))))</f>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
      <c r="E53" s="895"/>
      <c r="F53" s="895"/>
      <c r="G53" s="852"/>
      <c r="H53" s="852"/>
      <c r="I53" s="852"/>
      <c r="J53" s="896">
        <f>M15</f>
        <v>0.95</v>
      </c>
      <c r="K53" s="896">
        <f>M17</f>
        <v>0.9</v>
      </c>
      <c r="L53" s="852" t="s">
        <v>22</v>
      </c>
      <c r="M53" s="853">
        <f>K53*M$47*J53</f>
        <v>30.586940999999996</v>
      </c>
      <c r="N53" s="700"/>
      <c r="P53" s="871"/>
    </row>
    <row r="54" spans="1:16" s="863" customFormat="1">
      <c r="A54" s="862"/>
      <c r="B54" s="835"/>
      <c r="C54" s="893"/>
      <c r="D54" s="881"/>
      <c r="E54" s="882"/>
      <c r="F54" s="882"/>
      <c r="G54" s="700"/>
      <c r="H54" s="700"/>
      <c r="I54" s="700"/>
      <c r="J54" s="700" t="s">
        <v>11696</v>
      </c>
      <c r="K54" s="700" t="s">
        <v>11641</v>
      </c>
      <c r="L54" s="883"/>
      <c r="M54" s="884"/>
      <c r="N54" s="700"/>
      <c r="P54" s="871"/>
    </row>
    <row r="55" spans="1:16" s="863" customFormat="1" ht="22.5">
      <c r="A55" s="862" t="s">
        <v>12232</v>
      </c>
      <c r="B55" s="835" t="s">
        <v>10852</v>
      </c>
      <c r="C55" s="893">
        <v>182</v>
      </c>
      <c r="D55" s="894" t="str">
        <f>PROPER(IF(B55="Saneago",VLOOKUP(C55,'SANEAGO-FEV.2016'!A:B,2,0),IF(B55="SINAPI",VLOOKUP(C55,'SINAPI-FEV.2017'!A:D,2,0),IF(B55="Cotação",VLOOKUP(C55,COTAÇÃO!A:D,2,0),IF(B55="Composição",VLOOKUP(C55,COMPOSIÇÃO!A:D,2,0))))))</f>
        <v>Escavação  Mecanizada  (Com Escavadeira Hidráulica)  Em Valas Com Material De 1ª Categoria - Profundidade De 2,0 A 4,0M</v>
      </c>
      <c r="E55" s="895"/>
      <c r="F55" s="895"/>
      <c r="G55" s="852"/>
      <c r="H55" s="852"/>
      <c r="I55" s="852"/>
      <c r="J55" s="896">
        <f>J53</f>
        <v>0.95</v>
      </c>
      <c r="K55" s="896">
        <f>K53</f>
        <v>0.9</v>
      </c>
      <c r="L55" s="852" t="s">
        <v>22</v>
      </c>
      <c r="M55" s="853">
        <f>K55*M$51*J55</f>
        <v>0</v>
      </c>
      <c r="N55" s="700"/>
      <c r="P55" s="871"/>
    </row>
    <row r="56" spans="1:16" s="863" customFormat="1">
      <c r="A56" s="862"/>
      <c r="B56" s="835"/>
      <c r="C56" s="893"/>
      <c r="D56" s="881"/>
      <c r="E56" s="882"/>
      <c r="F56" s="882"/>
      <c r="G56" s="700"/>
      <c r="H56" s="700"/>
      <c r="I56" s="700"/>
      <c r="J56" s="700" t="s">
        <v>11696</v>
      </c>
      <c r="K56" s="700" t="s">
        <v>11642</v>
      </c>
      <c r="L56" s="883"/>
      <c r="M56" s="884"/>
      <c r="N56" s="700"/>
      <c r="P56" s="871"/>
    </row>
    <row r="57" spans="1:16" s="863" customFormat="1" ht="33.75">
      <c r="A57" s="862" t="s">
        <v>12233</v>
      </c>
      <c r="B57" s="835" t="s">
        <v>10852</v>
      </c>
      <c r="C57" s="893">
        <v>184</v>
      </c>
      <c r="D57" s="894" t="str">
        <f>PROPER(IF(B57="Saneago",VLOOKUP(C57,'SANEAGO-FEV.2016'!A:B,2,0),IF(B57="SINAPI",VLOOKUP(C57,'SINAPI-FEV.2017'!A:D,2,0),IF(B57="Cotação",VLOOKUP(C57,COTAÇÃO!A:D,2,0),IF(B57="Composição",VLOOKUP(C57,COMPOSIÇÃO!A:D,2,0))))))</f>
        <v>Escavação  Mecanizada  (Com Escavadeira Hidráulica)  Em Valas Com Material De 2ª Categoria
- Profundidade Até 2,0 M</v>
      </c>
      <c r="E57" s="895"/>
      <c r="F57" s="895"/>
      <c r="G57" s="852"/>
      <c r="H57" s="852"/>
      <c r="I57" s="852"/>
      <c r="J57" s="896">
        <f>J55</f>
        <v>0.95</v>
      </c>
      <c r="K57" s="896">
        <f>M18</f>
        <v>0.05</v>
      </c>
      <c r="L57" s="852" t="s">
        <v>22</v>
      </c>
      <c r="M57" s="853">
        <f>K57*M$47*J57</f>
        <v>1.6992744999999998</v>
      </c>
      <c r="N57" s="700"/>
      <c r="P57" s="871"/>
    </row>
    <row r="58" spans="1:16" s="863" customFormat="1">
      <c r="A58" s="862"/>
      <c r="B58" s="835"/>
      <c r="C58" s="835"/>
      <c r="D58" s="881"/>
      <c r="E58" s="882"/>
      <c r="F58" s="882"/>
      <c r="G58" s="700"/>
      <c r="H58" s="700"/>
      <c r="I58" s="700"/>
      <c r="J58" s="700" t="s">
        <v>11696</v>
      </c>
      <c r="K58" s="700" t="s">
        <v>11642</v>
      </c>
      <c r="L58" s="883"/>
      <c r="M58" s="884"/>
      <c r="N58" s="700"/>
      <c r="P58" s="871"/>
    </row>
    <row r="59" spans="1:16" s="863" customFormat="1" ht="33.75">
      <c r="A59" s="862" t="s">
        <v>12234</v>
      </c>
      <c r="B59" s="835" t="s">
        <v>10852</v>
      </c>
      <c r="C59" s="893">
        <v>185</v>
      </c>
      <c r="D59" s="894" t="str">
        <f>PROPER(IF(B59="Saneago",VLOOKUP(C59,'SANEAGO-FEV.2016'!A:B,2,0),IF(B59="SINAPI",VLOOKUP(C59,'SINAPI-FEV.2017'!A:D,2,0),IF(B59="Cotação",VLOOKUP(C59,COTAÇÃO!A:D,2,0),IF(B59="Composição",VLOOKUP(C59,COMPOSIÇÃO!A:D,2,0))))))</f>
        <v>Escavação  Mecanizada  (Com Escavadeira Hidráulica)  Em Valas Com Material De 2ª Categoria
- Profundidade De 2,0 A 4,0 M</v>
      </c>
      <c r="E59" s="895"/>
      <c r="F59" s="895"/>
      <c r="G59" s="852"/>
      <c r="H59" s="852"/>
      <c r="I59" s="852"/>
      <c r="J59" s="896">
        <f>J57</f>
        <v>0.95</v>
      </c>
      <c r="K59" s="896">
        <f>K57</f>
        <v>0.05</v>
      </c>
      <c r="L59" s="852" t="s">
        <v>22</v>
      </c>
      <c r="M59" s="853">
        <f>K59*M$51*J59</f>
        <v>0</v>
      </c>
      <c r="N59" s="700"/>
      <c r="P59" s="871"/>
    </row>
    <row r="60" spans="1:16" s="863" customFormat="1">
      <c r="A60" s="862"/>
      <c r="B60" s="835"/>
      <c r="C60" s="835"/>
      <c r="D60" s="881"/>
      <c r="E60" s="882"/>
      <c r="F60" s="882"/>
      <c r="G60" s="700"/>
      <c r="H60" s="700"/>
      <c r="I60" s="700"/>
      <c r="J60" s="700" t="s">
        <v>11696</v>
      </c>
      <c r="K60" s="700" t="s">
        <v>11677</v>
      </c>
      <c r="L60" s="883"/>
      <c r="M60" s="884"/>
      <c r="N60" s="700"/>
      <c r="P60" s="871"/>
    </row>
    <row r="61" spans="1:16" s="863" customFormat="1" ht="22.5">
      <c r="A61" s="862" t="s">
        <v>12235</v>
      </c>
      <c r="B61" s="835" t="s">
        <v>10852</v>
      </c>
      <c r="C61" s="893">
        <v>187</v>
      </c>
      <c r="D61" s="894" t="str">
        <f>PROPER(IF(B61="Saneago",VLOOKUP(C61,'SANEAGO-FEV.2016'!A:B,2,0),IF(B61="SINAPI",VLOOKUP(C61,'SINAPI-FEV.2017'!A:D,2,0),IF(B61="Cotação",VLOOKUP(C61,COTAÇÃO!A:D,2,0),IF(B61="Composição",VLOOKUP(C61,COMPOSIÇÃO!A:D,2,0))))))</f>
        <v>Escavação  Mecanizada  (Com Escavadeira Hidráulica)  Em Valas Com Material  De Solo Mole - Profundidade Até 2,0 M</v>
      </c>
      <c r="E61" s="895"/>
      <c r="F61" s="895"/>
      <c r="G61" s="852"/>
      <c r="H61" s="852"/>
      <c r="I61" s="852"/>
      <c r="J61" s="896">
        <f>J59</f>
        <v>0.95</v>
      </c>
      <c r="K61" s="896">
        <f>M20</f>
        <v>0.05</v>
      </c>
      <c r="L61" s="852" t="s">
        <v>22</v>
      </c>
      <c r="M61" s="853">
        <f>K61*M$47*J61</f>
        <v>1.6992744999999998</v>
      </c>
      <c r="N61" s="700"/>
      <c r="P61" s="871"/>
    </row>
    <row r="62" spans="1:16" s="863" customFormat="1">
      <c r="A62" s="862"/>
      <c r="B62" s="835"/>
      <c r="C62" s="835"/>
      <c r="D62" s="881"/>
      <c r="E62" s="882"/>
      <c r="F62" s="882"/>
      <c r="G62" s="700"/>
      <c r="H62" s="700"/>
      <c r="I62" s="700"/>
      <c r="J62" s="700" t="s">
        <v>11696</v>
      </c>
      <c r="K62" s="700" t="s">
        <v>11677</v>
      </c>
      <c r="L62" s="883"/>
      <c r="M62" s="884"/>
      <c r="N62" s="700"/>
      <c r="P62" s="871"/>
    </row>
    <row r="63" spans="1:16" s="863" customFormat="1" ht="22.5">
      <c r="A63" s="862" t="s">
        <v>12236</v>
      </c>
      <c r="B63" s="835" t="s">
        <v>10852</v>
      </c>
      <c r="C63" s="893">
        <v>188</v>
      </c>
      <c r="D63" s="894" t="str">
        <f>PROPER(IF(B63="Saneago",VLOOKUP(C63,'SANEAGO-FEV.2016'!A:B,2,0),IF(B63="SINAPI",VLOOKUP(C63,'SINAPI-FEV.2017'!A:D,2,0),IF(B63="Cotação",VLOOKUP(C63,COTAÇÃO!A:D,2,0),IF(B63="Composição",VLOOKUP(C63,COMPOSIÇÃO!A:D,2,0))))))</f>
        <v>Escavação  Mecanizada  (Com Escavadeira Hidráulica)  Em Valas Com Material  De Solo Mole - Profundidade De 2,0 A 4,0 M</v>
      </c>
      <c r="E63" s="895"/>
      <c r="F63" s="895"/>
      <c r="G63" s="852"/>
      <c r="H63" s="852"/>
      <c r="I63" s="852"/>
      <c r="J63" s="896">
        <f>J61</f>
        <v>0.95</v>
      </c>
      <c r="K63" s="896">
        <f>K61</f>
        <v>0.05</v>
      </c>
      <c r="L63" s="852" t="s">
        <v>22</v>
      </c>
      <c r="M63" s="853">
        <f>K63*M$51*J63</f>
        <v>0</v>
      </c>
      <c r="N63" s="700"/>
      <c r="P63" s="871"/>
    </row>
    <row r="64" spans="1:16" s="863" customFormat="1">
      <c r="A64" s="862"/>
      <c r="B64" s="835"/>
      <c r="C64" s="835"/>
      <c r="D64" s="881"/>
      <c r="E64" s="882"/>
      <c r="F64" s="882"/>
      <c r="G64" s="700"/>
      <c r="H64" s="700"/>
      <c r="I64" s="700"/>
      <c r="J64" s="700" t="s">
        <v>11696</v>
      </c>
      <c r="K64" s="700" t="s">
        <v>11641</v>
      </c>
      <c r="L64" s="883"/>
      <c r="M64" s="884"/>
      <c r="N64" s="700"/>
      <c r="P64" s="871"/>
    </row>
    <row r="65" spans="1:16" s="863" customFormat="1">
      <c r="A65" s="862" t="s">
        <v>12237</v>
      </c>
      <c r="B65" s="835" t="s">
        <v>70</v>
      </c>
      <c r="C65" s="893">
        <v>93358</v>
      </c>
      <c r="D65" s="894" t="str">
        <f>PROPER(IF(B65="Saneago",VLOOKUP(C65,'SANEAGO-FEV.2016'!A:B,2,0),IF(B65="SINAPI",VLOOKUP(C65,'SINAPI-FEV.2017'!A:D,2,0),IF(B65="Cotação",VLOOKUP(C65,COTAÇÃO!A:D,2,0),IF(B65="Composição",VLOOKUP(C65,COMPOSIÇÃO!A:D,2,0))))))</f>
        <v>Escavação Manual De Valas. Af_03/2016</v>
      </c>
      <c r="E65" s="895"/>
      <c r="F65" s="895"/>
      <c r="G65" s="852"/>
      <c r="H65" s="852"/>
      <c r="I65" s="852"/>
      <c r="J65" s="896">
        <f>M16</f>
        <v>0.05</v>
      </c>
      <c r="K65" s="896">
        <f>K53</f>
        <v>0.9</v>
      </c>
      <c r="L65" s="852" t="s">
        <v>22</v>
      </c>
      <c r="M65" s="853">
        <f>K65*M$47*J65</f>
        <v>1.609839</v>
      </c>
      <c r="N65" s="700"/>
      <c r="P65" s="871"/>
    </row>
    <row r="66" spans="1:16" s="863" customFormat="1">
      <c r="A66" s="862"/>
      <c r="B66" s="835"/>
      <c r="C66" s="893"/>
      <c r="D66" s="881"/>
      <c r="E66" s="882"/>
      <c r="F66" s="882"/>
      <c r="G66" s="700"/>
      <c r="H66" s="700"/>
      <c r="I66" s="700"/>
      <c r="J66" s="700" t="s">
        <v>11696</v>
      </c>
      <c r="K66" s="700" t="s">
        <v>11641</v>
      </c>
      <c r="L66" s="883"/>
      <c r="M66" s="884"/>
      <c r="N66" s="700"/>
      <c r="P66" s="871"/>
    </row>
    <row r="67" spans="1:16" s="863" customFormat="1" ht="22.5">
      <c r="A67" s="862" t="s">
        <v>12238</v>
      </c>
      <c r="B67" s="835" t="s">
        <v>10852</v>
      </c>
      <c r="C67" s="893">
        <v>169</v>
      </c>
      <c r="D67" s="894" t="str">
        <f>PROPER(IF(B67="Saneago",VLOOKUP(C67,'SANEAGO-FEV.2016'!A:B,2,0),IF(B67="SINAPI",VLOOKUP(C67,'SINAPI-FEV.2017'!A:D,2,0),IF(B67="Cotação",VLOOKUP(C67,COTAÇÃO!A:D,2,0),IF(B67="Composição",VLOOKUP(C67,COMPOSIÇÃO!A:D,2,0))))))</f>
        <v>Escavação  Manual Em Valas Com Material De 1ª Categoria  - Profundidade De 2,0 A 4,0 M</v>
      </c>
      <c r="E67" s="895"/>
      <c r="F67" s="895"/>
      <c r="G67" s="852"/>
      <c r="H67" s="852"/>
      <c r="I67" s="852"/>
      <c r="J67" s="896">
        <f>J65</f>
        <v>0.05</v>
      </c>
      <c r="K67" s="896">
        <f>K55</f>
        <v>0.9</v>
      </c>
      <c r="L67" s="852" t="s">
        <v>22</v>
      </c>
      <c r="M67" s="853">
        <f>K67*M$51*J67</f>
        <v>0</v>
      </c>
      <c r="N67" s="700"/>
      <c r="P67" s="871"/>
    </row>
    <row r="68" spans="1:16" s="863" customFormat="1">
      <c r="A68" s="862"/>
      <c r="B68" s="835"/>
      <c r="C68" s="893"/>
      <c r="D68" s="881"/>
      <c r="E68" s="882"/>
      <c r="F68" s="882"/>
      <c r="G68" s="700"/>
      <c r="H68" s="700"/>
      <c r="I68" s="700"/>
      <c r="J68" s="700" t="s">
        <v>11696</v>
      </c>
      <c r="K68" s="700" t="s">
        <v>11642</v>
      </c>
      <c r="L68" s="883"/>
      <c r="M68" s="884"/>
      <c r="N68" s="700"/>
      <c r="P68" s="871"/>
    </row>
    <row r="69" spans="1:16" s="863" customFormat="1">
      <c r="A69" s="862" t="s">
        <v>12239</v>
      </c>
      <c r="B69" s="835" t="s">
        <v>10852</v>
      </c>
      <c r="C69" s="893">
        <v>170</v>
      </c>
      <c r="D69" s="894" t="str">
        <f>PROPER(IF(B69="Saneago",VLOOKUP(C69,'SANEAGO-FEV.2016'!A:B,2,0),IF(B69="SINAPI",VLOOKUP(C69,'SINAPI-FEV.2017'!A:D,2,0),IF(B69="Cotação",VLOOKUP(C69,COTAÇÃO!A:D,2,0),IF(B69="Composição",VLOOKUP(C69,COMPOSIÇÃO!A:D,2,0))))))</f>
        <v>Escavação  Manual Em Valas Com Material De 2ª Categoria  - Profundidade Até 2,0 M</v>
      </c>
      <c r="E69" s="895"/>
      <c r="F69" s="895"/>
      <c r="G69" s="852"/>
      <c r="H69" s="852"/>
      <c r="I69" s="852"/>
      <c r="J69" s="896">
        <f>J67</f>
        <v>0.05</v>
      </c>
      <c r="K69" s="896">
        <f>K57</f>
        <v>0.05</v>
      </c>
      <c r="L69" s="852" t="s">
        <v>22</v>
      </c>
      <c r="M69" s="853">
        <f>K69*M$47*J69</f>
        <v>8.9435500000000001E-2</v>
      </c>
      <c r="N69" s="700"/>
      <c r="P69" s="871"/>
    </row>
    <row r="70" spans="1:16" s="863" customFormat="1">
      <c r="A70" s="862"/>
      <c r="B70" s="835"/>
      <c r="C70" s="835"/>
      <c r="D70" s="881"/>
      <c r="E70" s="882"/>
      <c r="F70" s="882"/>
      <c r="G70" s="700"/>
      <c r="H70" s="700"/>
      <c r="I70" s="700"/>
      <c r="J70" s="700" t="s">
        <v>11696</v>
      </c>
      <c r="K70" s="700" t="s">
        <v>11642</v>
      </c>
      <c r="L70" s="883"/>
      <c r="M70" s="884"/>
      <c r="N70" s="700"/>
      <c r="P70" s="871"/>
    </row>
    <row r="71" spans="1:16" s="863" customFormat="1" ht="22.5">
      <c r="A71" s="862" t="s">
        <v>12240</v>
      </c>
      <c r="B71" s="835" t="s">
        <v>10852</v>
      </c>
      <c r="C71" s="893">
        <v>171</v>
      </c>
      <c r="D71" s="894" t="str">
        <f>PROPER(IF(B71="Saneago",VLOOKUP(C71,'SANEAGO-FEV.2016'!A:B,2,0),IF(B71="SINAPI",VLOOKUP(C71,'SINAPI-FEV.2017'!A:D,2,0),IF(B71="Cotação",VLOOKUP(C71,COTAÇÃO!A:D,2,0),IF(B71="Composição",VLOOKUP(C71,COMPOSIÇÃO!A:D,2,0))))))</f>
        <v>Escavação  Manual Em Valas Com Material De 2ª Categoria  - Profundidade De 2,0 A 4,0 M</v>
      </c>
      <c r="E71" s="895"/>
      <c r="F71" s="895"/>
      <c r="G71" s="852"/>
      <c r="H71" s="852"/>
      <c r="I71" s="852"/>
      <c r="J71" s="896">
        <f>J69</f>
        <v>0.05</v>
      </c>
      <c r="K71" s="896">
        <f>K59</f>
        <v>0.05</v>
      </c>
      <c r="L71" s="852" t="s">
        <v>22</v>
      </c>
      <c r="M71" s="853">
        <f>K71*M$51*J71</f>
        <v>0</v>
      </c>
      <c r="N71" s="700"/>
      <c r="P71" s="871"/>
    </row>
    <row r="72" spans="1:16" s="863" customFormat="1">
      <c r="A72" s="862"/>
      <c r="B72" s="835"/>
      <c r="C72" s="835"/>
      <c r="D72" s="881"/>
      <c r="E72" s="882"/>
      <c r="F72" s="882"/>
      <c r="G72" s="700"/>
      <c r="H72" s="700"/>
      <c r="I72" s="700"/>
      <c r="J72" s="700" t="s">
        <v>11696</v>
      </c>
      <c r="K72" s="700" t="s">
        <v>11677</v>
      </c>
      <c r="L72" s="883"/>
      <c r="M72" s="884"/>
      <c r="N72" s="700"/>
      <c r="P72" s="871"/>
    </row>
    <row r="73" spans="1:16" s="863" customFormat="1" ht="22.5">
      <c r="A73" s="862" t="s">
        <v>12241</v>
      </c>
      <c r="B73" s="835" t="s">
        <v>10852</v>
      </c>
      <c r="C73" s="893">
        <v>172</v>
      </c>
      <c r="D73" s="894" t="str">
        <f>PROPER(IF(B73="Saneago",VLOOKUP(C73,'SANEAGO-FEV.2016'!A:B,2,0),IF(B73="SINAPI",VLOOKUP(C73,'SINAPI-FEV.2017'!A:D,2,0),IF(B73="Cotação",VLOOKUP(C73,COTAÇÃO!A:D,2,0),IF(B73="Composição",VLOOKUP(C73,COMPOSIÇÃO!A:D,2,0))))))</f>
        <v>Escavação   Manual   Em  Valas  Com  Material   De  3ª  Categoria   Sem  Uso  De  Explosivo   Com Utilização  De Compressor E Rompedor  -  Profundidade Até 2,0M</v>
      </c>
      <c r="E73" s="895"/>
      <c r="F73" s="895"/>
      <c r="G73" s="852"/>
      <c r="H73" s="852"/>
      <c r="I73" s="852"/>
      <c r="J73" s="896">
        <f>J71</f>
        <v>0.05</v>
      </c>
      <c r="K73" s="896">
        <f>K61</f>
        <v>0.05</v>
      </c>
      <c r="L73" s="852" t="s">
        <v>22</v>
      </c>
      <c r="M73" s="853">
        <f>K73*M$47*J73</f>
        <v>8.9435500000000001E-2</v>
      </c>
      <c r="N73" s="700"/>
      <c r="P73" s="871"/>
    </row>
    <row r="74" spans="1:16" s="863" customFormat="1">
      <c r="A74" s="862"/>
      <c r="B74" s="835"/>
      <c r="C74" s="835"/>
      <c r="D74" s="881"/>
      <c r="E74" s="882"/>
      <c r="F74" s="882"/>
      <c r="G74" s="700"/>
      <c r="H74" s="700"/>
      <c r="I74" s="700"/>
      <c r="J74" s="700" t="s">
        <v>11696</v>
      </c>
      <c r="K74" s="700" t="s">
        <v>11677</v>
      </c>
      <c r="L74" s="883"/>
      <c r="M74" s="884"/>
      <c r="N74" s="700"/>
      <c r="P74" s="871"/>
    </row>
    <row r="75" spans="1:16" s="863" customFormat="1" ht="22.5">
      <c r="A75" s="862" t="s">
        <v>12242</v>
      </c>
      <c r="B75" s="835" t="s">
        <v>10852</v>
      </c>
      <c r="C75" s="893">
        <v>173</v>
      </c>
      <c r="D75" s="894" t="str">
        <f>PROPER(IF(B75="Saneago",VLOOKUP(C75,'SANEAGO-FEV.2016'!A:B,2,0),IF(B75="SINAPI",VLOOKUP(C75,'SINAPI-FEV.2017'!A:D,2,0),IF(B75="Cotação",VLOOKUP(C75,COTAÇÃO!A:D,2,0),IF(B75="Composição",VLOOKUP(C75,COMPOSIÇÃO!A:D,2,0))))))</f>
        <v>Escavação   Manual   Em  Valas  Com  Material   De  3ª  Categoria   Sem  Uso  De  Explosivo   Com Utilização  De Compressor E Rompedor   - Profundidade De 2,0 A 4,0M</v>
      </c>
      <c r="E75" s="895"/>
      <c r="F75" s="895"/>
      <c r="G75" s="852"/>
      <c r="H75" s="852"/>
      <c r="I75" s="852"/>
      <c r="J75" s="896">
        <f>J73</f>
        <v>0.05</v>
      </c>
      <c r="K75" s="896">
        <f>K63</f>
        <v>0.05</v>
      </c>
      <c r="L75" s="852" t="s">
        <v>22</v>
      </c>
      <c r="M75" s="853">
        <f>K75*M$51*J75</f>
        <v>0</v>
      </c>
      <c r="N75" s="700"/>
      <c r="P75" s="871"/>
    </row>
    <row r="76" spans="1:16" s="863" customFormat="1">
      <c r="A76" s="862"/>
      <c r="B76" s="835"/>
      <c r="C76" s="835"/>
      <c r="D76" s="826"/>
      <c r="E76" s="790"/>
      <c r="F76" s="790"/>
      <c r="G76" s="700" t="s">
        <v>30</v>
      </c>
      <c r="H76" s="700" t="s">
        <v>30</v>
      </c>
      <c r="I76" s="700" t="s">
        <v>30</v>
      </c>
      <c r="J76" s="700" t="s">
        <v>30</v>
      </c>
      <c r="K76" s="700" t="s">
        <v>30</v>
      </c>
      <c r="L76" s="828"/>
      <c r="M76" s="829"/>
      <c r="N76" s="700"/>
      <c r="P76" s="871"/>
    </row>
    <row r="77" spans="1:16" s="863" customFormat="1">
      <c r="A77" s="862" t="s">
        <v>12243</v>
      </c>
      <c r="B77" s="835" t="s">
        <v>70</v>
      </c>
      <c r="C77" s="893" t="s">
        <v>15726</v>
      </c>
      <c r="D77" s="836" t="str">
        <f>PROPER(IF(B77="Saneago",VLOOKUP(C77,'SANEAGO-FEV.2016'!A:B,2,0),IF(B77="SINAPI",VLOOKUP(C77,'SINAPI-FEV.2017'!A:D,2,0),IF(B77="Cotação",VLOOKUP(C77,COTAÇÃO!A:D,2,0),IF(B77="Composição",VLOOKUP(C77,COMPOSIÇÃO!A:D,2,0))))))</f>
        <v>Esgotamento Com Moto-Bomba Autoescovante</v>
      </c>
      <c r="E77" s="837"/>
      <c r="F77" s="837"/>
      <c r="G77" s="838"/>
      <c r="H77" s="852"/>
      <c r="I77" s="852"/>
      <c r="J77" s="838"/>
      <c r="K77" s="838"/>
      <c r="L77" s="838" t="s">
        <v>57</v>
      </c>
      <c r="M77" s="853">
        <v>5</v>
      </c>
      <c r="N77" s="700"/>
      <c r="P77" s="871"/>
    </row>
    <row r="78" spans="1:16" s="863" customFormat="1">
      <c r="A78" s="862"/>
      <c r="B78" s="835"/>
      <c r="C78" s="835"/>
      <c r="D78" s="826"/>
      <c r="E78" s="790"/>
      <c r="F78" s="790"/>
      <c r="G78" s="700" t="s">
        <v>30</v>
      </c>
      <c r="H78" s="700" t="s">
        <v>30</v>
      </c>
      <c r="I78" s="700" t="s">
        <v>30</v>
      </c>
      <c r="J78" s="700" t="s">
        <v>11678</v>
      </c>
      <c r="K78" s="700" t="s">
        <v>12272</v>
      </c>
      <c r="L78" s="883"/>
      <c r="M78" s="884"/>
      <c r="N78" s="700"/>
      <c r="P78" s="871"/>
    </row>
    <row r="79" spans="1:16" s="863" customFormat="1">
      <c r="A79" s="862" t="s">
        <v>12244</v>
      </c>
      <c r="B79" s="898" t="s">
        <v>70</v>
      </c>
      <c r="C79" s="898">
        <v>79472</v>
      </c>
      <c r="D79" s="836" t="str">
        <f>PROPER(IF(B79="Saneago",VLOOKUP(C79,'SANEAGO-FEV.2016'!A:B,2,0),IF(B79="SINAPI",VLOOKUP(C79,'SINAPI-FEV.2017'!A:D,2,0),IF(B79="Cotação",VLOOKUP(C79,COTAÇÃO!A:D,2,0),IF(B79="Composição",VLOOKUP(C79,COMPOSIÇÃO!A:D,2,0))))))</f>
        <v>Regularizacao De Superficies Em Terra Com Motoniveladora</v>
      </c>
      <c r="E79" s="837"/>
      <c r="F79" s="837"/>
      <c r="G79" s="838"/>
      <c r="H79" s="852"/>
      <c r="I79" s="852"/>
      <c r="J79" s="838">
        <f>(H41*I41*K41)+(H43*I43*K43)</f>
        <v>4.9950000000000001</v>
      </c>
      <c r="K79" s="838">
        <f>(H45*I45*K45)</f>
        <v>2.3879999999999999</v>
      </c>
      <c r="L79" s="852" t="s">
        <v>21</v>
      </c>
      <c r="M79" s="853">
        <f>(J79+K79)</f>
        <v>7.383</v>
      </c>
      <c r="N79" s="700"/>
      <c r="P79" s="871"/>
    </row>
    <row r="80" spans="1:16" s="863" customFormat="1">
      <c r="A80" s="862"/>
      <c r="B80" s="835"/>
      <c r="C80" s="835"/>
      <c r="D80" s="887"/>
      <c r="E80" s="925"/>
      <c r="F80" s="925"/>
      <c r="G80" s="908"/>
      <c r="H80" s="908"/>
      <c r="I80" s="828"/>
      <c r="J80" s="700" t="s">
        <v>11678</v>
      </c>
      <c r="K80" s="700" t="s">
        <v>12272</v>
      </c>
      <c r="L80" s="828"/>
      <c r="M80" s="829"/>
      <c r="N80" s="700"/>
      <c r="P80" s="871"/>
    </row>
    <row r="81" spans="1:18" s="863" customFormat="1">
      <c r="A81" s="862"/>
      <c r="B81" s="835"/>
      <c r="C81" s="835"/>
      <c r="D81" s="899"/>
      <c r="E81" s="824"/>
      <c r="F81" s="824"/>
      <c r="G81" s="908"/>
      <c r="H81" s="908"/>
      <c r="I81" s="897" t="s">
        <v>11680</v>
      </c>
      <c r="J81" s="828">
        <f>M41+M43</f>
        <v>31.634999999999998</v>
      </c>
      <c r="K81" s="828">
        <f>M45</f>
        <v>4.1391999999999998</v>
      </c>
      <c r="L81" s="828" t="s">
        <v>22</v>
      </c>
      <c r="M81" s="829">
        <f>SUM(J81:K81)</f>
        <v>35.7742</v>
      </c>
      <c r="N81" s="700"/>
      <c r="P81" s="871"/>
    </row>
    <row r="82" spans="1:18" s="863" customFormat="1">
      <c r="A82" s="862"/>
      <c r="B82" s="835"/>
      <c r="C82" s="835"/>
      <c r="D82" s="899"/>
      <c r="E82" s="824"/>
      <c r="F82" s="824"/>
      <c r="G82" s="908"/>
      <c r="H82" s="908"/>
      <c r="I82" s="897" t="s">
        <v>11681</v>
      </c>
      <c r="J82" s="828">
        <f>(K41*((0.9*0.9*0.2)+((0.3/3)*((0.9*0.9)+SQRT((0.9*0.9)*(0.3*0.12))+(0.3*0.12)))))+(K43*((0.75*0.75*0.2)+((0.3/3)*((0.75*0.75)+SQRT((0.75*0.75)*(0.3*0.12))+(0.3*0.12)))))+(0.25*0.2*0.3*6)</f>
        <v>1.7368340955543646</v>
      </c>
      <c r="K82" s="828">
        <f>(H45*I45*J45*K45)</f>
        <v>0.95520000000000005</v>
      </c>
      <c r="L82" s="828" t="s">
        <v>22</v>
      </c>
      <c r="M82" s="829">
        <f>SUM(J82:K82)</f>
        <v>2.6920340955543649</v>
      </c>
      <c r="N82" s="700"/>
      <c r="P82" s="871"/>
    </row>
    <row r="83" spans="1:18" s="863" customFormat="1">
      <c r="A83" s="862"/>
      <c r="B83" s="835"/>
      <c r="C83" s="835"/>
      <c r="D83" s="836" t="s">
        <v>11679</v>
      </c>
      <c r="E83" s="837"/>
      <c r="F83" s="837"/>
      <c r="G83" s="828"/>
      <c r="H83" s="828"/>
      <c r="I83" s="828"/>
      <c r="J83" s="1678" t="s">
        <v>42</v>
      </c>
      <c r="K83" s="1678"/>
      <c r="L83" s="901" t="s">
        <v>22</v>
      </c>
      <c r="M83" s="902">
        <f>M81-M82</f>
        <v>33.082165904445638</v>
      </c>
      <c r="N83" s="700"/>
      <c r="P83" s="871"/>
    </row>
    <row r="84" spans="1:18" s="863" customFormat="1">
      <c r="A84" s="862"/>
      <c r="B84" s="835"/>
      <c r="C84" s="835"/>
      <c r="D84" s="903" t="s">
        <v>73</v>
      </c>
      <c r="E84" s="790"/>
      <c r="F84" s="790"/>
      <c r="G84" s="883" t="s">
        <v>30</v>
      </c>
      <c r="H84" s="883" t="s">
        <v>30</v>
      </c>
      <c r="I84" s="883" t="s">
        <v>30</v>
      </c>
      <c r="J84" s="883" t="s">
        <v>42</v>
      </c>
      <c r="K84" s="883" t="s">
        <v>50</v>
      </c>
      <c r="L84" s="883"/>
      <c r="M84" s="884"/>
      <c r="N84" s="700"/>
      <c r="P84" s="871"/>
    </row>
    <row r="85" spans="1:18" s="863" customFormat="1" ht="45">
      <c r="A85" s="862" t="s">
        <v>12245</v>
      </c>
      <c r="B85" s="835" t="s">
        <v>70</v>
      </c>
      <c r="C85" s="835">
        <v>93367</v>
      </c>
      <c r="D85" s="836" t="str">
        <f>PROPER(IF(B85="Saneago",VLOOKUP(C85,'SANEAGO-FEV.2016'!A:B,2,0),IF(B85="SINAPI",VLOOKUP(C85,'SINAPI-FEV.2017'!A:D,2,0),IF(B85="Cotação",VLOOKUP(C85,COTAÇÃO!A:D,2,0),IF(B85="Composição",VLOOKUP(C85,COMPOSIÇÃO!A:D,2,0))))))</f>
        <v>Reaterro Mecanizado De Vala Com Escavadeira Hidráulica (Capacidade Da Caçamba: 0,8 M³ / Potência: 111 Hp), Largura De 1,5 A 2,5 M, Profundidade Até 1,5 M, Com Solo (Sem Substituição) De 1ª Categoria Em Locais Com Baixo Nível De Interferência. Af_04/2016</v>
      </c>
      <c r="E85" s="837"/>
      <c r="F85" s="837"/>
      <c r="G85" s="852"/>
      <c r="H85" s="852"/>
      <c r="I85" s="852"/>
      <c r="J85" s="838">
        <f>M83</f>
        <v>33.082165904445638</v>
      </c>
      <c r="K85" s="896">
        <f>M24</f>
        <v>0.9</v>
      </c>
      <c r="L85" s="852" t="s">
        <v>22</v>
      </c>
      <c r="M85" s="853">
        <f>J85*K85</f>
        <v>29.773949314001076</v>
      </c>
      <c r="N85" s="700"/>
      <c r="P85" s="871"/>
    </row>
    <row r="86" spans="1:18" s="863" customFormat="1">
      <c r="A86" s="862"/>
      <c r="B86" s="835"/>
      <c r="C86" s="835"/>
      <c r="D86" s="881"/>
      <c r="E86" s="882"/>
      <c r="F86" s="882"/>
      <c r="G86" s="700" t="s">
        <v>30</v>
      </c>
      <c r="H86" s="700" t="s">
        <v>30</v>
      </c>
      <c r="I86" s="700" t="s">
        <v>30</v>
      </c>
      <c r="J86" s="828" t="s">
        <v>42</v>
      </c>
      <c r="K86" s="828" t="s">
        <v>79</v>
      </c>
      <c r="L86" s="828"/>
      <c r="M86" s="829"/>
      <c r="N86" s="700"/>
      <c r="P86" s="871"/>
    </row>
    <row r="87" spans="1:18" s="863" customFormat="1">
      <c r="A87" s="862" t="s">
        <v>12246</v>
      </c>
      <c r="B87" s="835" t="s">
        <v>70</v>
      </c>
      <c r="C87" s="835" t="s">
        <v>18237</v>
      </c>
      <c r="D87" s="836" t="str">
        <f>PROPER(IF(B87="Saneago",VLOOKUP(C87,'SANEAGO-FEV.2016'!A:B,2,0),IF(B87="SINAPI",VLOOKUP(C87,'SINAPI-FEV.2017'!A:D,2,0),IF(B87="Cotação",VLOOKUP(C87,COTAÇÃO!A:D,2,0),IF(B87="Composição",VLOOKUP(C87,COMPOSIÇÃO!A:D,2,0))))))</f>
        <v>Reaterro De Vala Com Compactação Manual</v>
      </c>
      <c r="E87" s="837"/>
      <c r="F87" s="837"/>
      <c r="G87" s="838"/>
      <c r="H87" s="838"/>
      <c r="I87" s="838"/>
      <c r="J87" s="838">
        <f>J85</f>
        <v>33.082165904445638</v>
      </c>
      <c r="K87" s="904">
        <f>M23</f>
        <v>0.1</v>
      </c>
      <c r="L87" s="838" t="s">
        <v>22</v>
      </c>
      <c r="M87" s="853">
        <f>J87*K87</f>
        <v>3.3082165904445642</v>
      </c>
      <c r="N87" s="700"/>
      <c r="P87" s="871"/>
    </row>
    <row r="88" spans="1:18" s="824" customFormat="1" ht="13.5" thickBot="1">
      <c r="A88" s="905"/>
      <c r="B88" s="906"/>
      <c r="C88" s="906"/>
      <c r="D88" s="826"/>
      <c r="E88" s="790"/>
      <c r="F88" s="790"/>
      <c r="G88" s="700"/>
      <c r="H88" s="700"/>
      <c r="I88" s="700"/>
      <c r="J88" s="907"/>
      <c r="K88" s="700"/>
      <c r="L88" s="700"/>
      <c r="M88" s="827"/>
      <c r="N88" s="700"/>
      <c r="O88" s="863"/>
      <c r="P88" s="871"/>
      <c r="Q88" s="863"/>
      <c r="R88" s="863"/>
    </row>
    <row r="89" spans="1:18" s="824" customFormat="1" ht="14.25" thickTop="1" thickBot="1">
      <c r="A89" s="905"/>
      <c r="B89" s="906"/>
      <c r="C89" s="906"/>
      <c r="D89" s="830" t="s">
        <v>47</v>
      </c>
      <c r="E89" s="831"/>
      <c r="F89" s="831"/>
      <c r="G89" s="831"/>
      <c r="H89" s="831"/>
      <c r="I89" s="831"/>
      <c r="J89" s="831"/>
      <c r="K89" s="831"/>
      <c r="L89" s="832" t="s">
        <v>25</v>
      </c>
      <c r="M89" s="833" t="s">
        <v>27</v>
      </c>
      <c r="N89" s="700"/>
      <c r="O89" s="863"/>
      <c r="P89" s="871"/>
      <c r="Q89" s="863"/>
      <c r="R89" s="863"/>
    </row>
    <row r="90" spans="1:18" s="824" customFormat="1" ht="13.5" thickTop="1">
      <c r="A90" s="905"/>
      <c r="B90" s="906"/>
      <c r="C90" s="906"/>
      <c r="D90" s="826"/>
      <c r="E90" s="790"/>
      <c r="F90" s="790"/>
      <c r="G90" s="828" t="s">
        <v>30</v>
      </c>
      <c r="H90" s="828" t="s">
        <v>30</v>
      </c>
      <c r="I90" s="828" t="s">
        <v>58</v>
      </c>
      <c r="J90" s="828" t="s">
        <v>39</v>
      </c>
      <c r="K90" s="828" t="s">
        <v>35</v>
      </c>
      <c r="L90" s="828"/>
      <c r="M90" s="829"/>
      <c r="N90" s="700"/>
      <c r="O90" s="863"/>
      <c r="P90" s="871"/>
      <c r="Q90" s="863"/>
      <c r="R90" s="863"/>
    </row>
    <row r="91" spans="1:18" s="824" customFormat="1" ht="33.75">
      <c r="A91" s="862" t="s">
        <v>12247</v>
      </c>
      <c r="B91" s="835" t="s">
        <v>70</v>
      </c>
      <c r="C91" s="835" t="s">
        <v>18276</v>
      </c>
      <c r="D91" s="836" t="str">
        <f>PROPER(IF(B91="Saneago",VLOOKUP(C91,'SANEAGO-FEV.2016'!A:B,2,0),IF(B91="SINAPI",VLOOKUP(C91,'SINAPI-FEV.2017'!A:D,2,0),IF(B91="Cotação",VLOOKUP(C91,COTAÇÃO!A:D,2,0),IF(B91="Composição",VLOOKUP(C91,COMPOSIÇÃO!A:D,2,0))))))</f>
        <v>Carga E Descarga Mecanica De Solo Utilizando Caminhao Basculante 6,0M3/16T E Pa Carregadeira Sobre Pneus 128 Hp, Capacidade Da Caçamba 1,7 A 2,8 M3, Peso Operacional 11632 Kg</v>
      </c>
      <c r="E91" s="837"/>
      <c r="F91" s="837"/>
      <c r="G91" s="838"/>
      <c r="H91" s="838"/>
      <c r="I91" s="838">
        <f>M81</f>
        <v>35.7742</v>
      </c>
      <c r="J91" s="838">
        <f>M83</f>
        <v>33.082165904445638</v>
      </c>
      <c r="K91" s="904">
        <f>M22</f>
        <v>0.15</v>
      </c>
      <c r="L91" s="838" t="s">
        <v>22</v>
      </c>
      <c r="M91" s="853">
        <f>(I91-J91)*(1+K91)</f>
        <v>3.0958392098875165</v>
      </c>
      <c r="N91" s="700"/>
      <c r="O91" s="863"/>
      <c r="P91" s="871"/>
      <c r="Q91" s="863"/>
      <c r="R91" s="863"/>
    </row>
    <row r="92" spans="1:18" s="824" customFormat="1">
      <c r="A92" s="905"/>
      <c r="B92" s="835"/>
      <c r="C92" s="835"/>
      <c r="D92" s="826"/>
      <c r="E92" s="790"/>
      <c r="F92" s="790"/>
      <c r="G92" s="828" t="s">
        <v>30</v>
      </c>
      <c r="H92" s="828" t="s">
        <v>30</v>
      </c>
      <c r="I92" s="828" t="s">
        <v>30</v>
      </c>
      <c r="J92" s="828" t="s">
        <v>40</v>
      </c>
      <c r="K92" s="828" t="s">
        <v>48</v>
      </c>
      <c r="L92" s="828"/>
      <c r="M92" s="829"/>
      <c r="N92" s="700"/>
      <c r="O92" s="863"/>
      <c r="P92" s="871"/>
      <c r="Q92" s="863"/>
      <c r="R92" s="863"/>
    </row>
    <row r="93" spans="1:18" s="824" customFormat="1" ht="22.5">
      <c r="A93" s="862" t="s">
        <v>12248</v>
      </c>
      <c r="B93" s="835" t="s">
        <v>70</v>
      </c>
      <c r="C93" s="835">
        <v>93590</v>
      </c>
      <c r="D93" s="836" t="str">
        <f>PROPER(IF(B93="Saneago",VLOOKUP(C93,'SANEAGO-FEV.2016'!A:B,2,0),IF(B93="SINAPI",VLOOKUP(C93,'SINAPI-FEV.2017'!A:D,2,0),IF(B93="Cotação",VLOOKUP(C93,COTAÇÃO!A:D,2,0),IF(B93="Composição",VLOOKUP(C93,COMPOSIÇÃO!A:D,2,0))))))</f>
        <v>Transporte Com Caminhão Basculante De 10 M3, Em Via Urbana Pavimentada, Dmt Acima De 30Km (Unidade: M3Xkm). Af_04/2016</v>
      </c>
      <c r="E93" s="837"/>
      <c r="F93" s="837"/>
      <c r="G93" s="838"/>
      <c r="H93" s="838"/>
      <c r="I93" s="838"/>
      <c r="J93" s="838">
        <f>M91</f>
        <v>3.0958392098875165</v>
      </c>
      <c r="K93" s="838">
        <f>M13</f>
        <v>7.5</v>
      </c>
      <c r="L93" s="838" t="s">
        <v>23</v>
      </c>
      <c r="M93" s="853">
        <f>J93*K93</f>
        <v>23.218794074156374</v>
      </c>
      <c r="N93" s="700"/>
      <c r="O93" s="863"/>
      <c r="P93" s="871"/>
      <c r="Q93" s="863"/>
      <c r="R93" s="863"/>
    </row>
    <row r="94" spans="1:18" s="824" customFormat="1">
      <c r="A94" s="905"/>
      <c r="B94" s="906"/>
      <c r="C94" s="835"/>
      <c r="D94" s="826"/>
      <c r="E94" s="790"/>
      <c r="F94" s="790"/>
      <c r="G94" s="828" t="s">
        <v>30</v>
      </c>
      <c r="H94" s="828" t="s">
        <v>30</v>
      </c>
      <c r="I94" s="828" t="s">
        <v>38</v>
      </c>
      <c r="J94" s="828" t="s">
        <v>39</v>
      </c>
      <c r="K94" s="828" t="s">
        <v>35</v>
      </c>
      <c r="L94" s="828"/>
      <c r="M94" s="829"/>
      <c r="N94" s="700"/>
      <c r="O94" s="863"/>
      <c r="P94" s="871"/>
      <c r="Q94" s="863"/>
      <c r="R94" s="863"/>
    </row>
    <row r="95" spans="1:18" s="824" customFormat="1">
      <c r="A95" s="862" t="s">
        <v>12249</v>
      </c>
      <c r="B95" s="835" t="s">
        <v>70</v>
      </c>
      <c r="C95" s="835">
        <v>83344</v>
      </c>
      <c r="D95" s="836" t="str">
        <f>PROPER(IF(B95="Saneago",VLOOKUP(C95,'SANEAGO-FEV.2016'!A:B,2,0),IF(B95="SINAPI",VLOOKUP(C95,'SINAPI-FEV.2017'!A:D,2,0),IF(B95="Cotação",VLOOKUP(C95,COTAÇÃO!A:D,2,0),IF(B95="Composição",VLOOKUP(C95,COMPOSIÇÃO!A:D,2,0))))))</f>
        <v>Espalhamento De Material Em Bota Fora, Com Utilizacao De Trator De Esteiras De 165 Hp</v>
      </c>
      <c r="E95" s="837"/>
      <c r="F95" s="837"/>
      <c r="G95" s="838"/>
      <c r="H95" s="838"/>
      <c r="I95" s="838">
        <f>I91</f>
        <v>35.7742</v>
      </c>
      <c r="J95" s="838">
        <f>J91</f>
        <v>33.082165904445638</v>
      </c>
      <c r="K95" s="904">
        <v>0.15</v>
      </c>
      <c r="L95" s="838" t="s">
        <v>22</v>
      </c>
      <c r="M95" s="853">
        <f>(I95-J95)*(1+K95)</f>
        <v>3.0958392098875165</v>
      </c>
      <c r="N95" s="700"/>
      <c r="O95" s="863"/>
      <c r="P95" s="871"/>
      <c r="Q95" s="863"/>
      <c r="R95" s="863"/>
    </row>
    <row r="96" spans="1:18" s="824" customFormat="1" ht="13.5" thickBot="1">
      <c r="A96" s="905"/>
      <c r="B96" s="906"/>
      <c r="C96" s="906"/>
      <c r="D96" s="826"/>
      <c r="E96" s="790"/>
      <c r="F96" s="790"/>
      <c r="G96" s="700"/>
      <c r="H96" s="700"/>
      <c r="I96" s="700"/>
      <c r="J96" s="907"/>
      <c r="K96" s="700"/>
      <c r="L96" s="700"/>
      <c r="M96" s="827"/>
      <c r="N96" s="700"/>
      <c r="O96" s="863"/>
      <c r="P96" s="871"/>
      <c r="Q96" s="863"/>
      <c r="R96" s="863"/>
    </row>
    <row r="97" spans="1:16" s="863" customFormat="1" ht="14.25" thickTop="1" thickBot="1">
      <c r="A97" s="862"/>
      <c r="B97" s="835"/>
      <c r="C97" s="835"/>
      <c r="D97" s="830" t="s">
        <v>1225</v>
      </c>
      <c r="E97" s="831"/>
      <c r="F97" s="831"/>
      <c r="G97" s="831"/>
      <c r="H97" s="831"/>
      <c r="I97" s="831"/>
      <c r="J97" s="831"/>
      <c r="K97" s="831"/>
      <c r="L97" s="832" t="s">
        <v>25</v>
      </c>
      <c r="M97" s="833" t="s">
        <v>27</v>
      </c>
      <c r="N97" s="700"/>
      <c r="P97" s="871"/>
    </row>
    <row r="98" spans="1:16" s="863" customFormat="1" ht="13.5" thickTop="1">
      <c r="A98" s="862"/>
      <c r="B98" s="835"/>
      <c r="C98" s="835"/>
      <c r="D98" s="826"/>
      <c r="E98" s="700"/>
      <c r="F98" s="700"/>
      <c r="G98" s="828" t="s">
        <v>30</v>
      </c>
      <c r="H98" s="828" t="s">
        <v>30</v>
      </c>
      <c r="I98" s="828" t="s">
        <v>30</v>
      </c>
      <c r="J98" s="828" t="s">
        <v>30</v>
      </c>
      <c r="K98" s="828" t="s">
        <v>30</v>
      </c>
      <c r="L98" s="828" t="s">
        <v>30</v>
      </c>
      <c r="M98" s="877" t="s">
        <v>30</v>
      </c>
      <c r="N98" s="700"/>
      <c r="P98" s="871"/>
    </row>
    <row r="99" spans="1:16" s="863" customFormat="1" ht="22.5">
      <c r="A99" s="862" t="s">
        <v>14338</v>
      </c>
      <c r="B99" s="855" t="s">
        <v>70</v>
      </c>
      <c r="C99" s="909">
        <v>95241</v>
      </c>
      <c r="D99" s="836" t="str">
        <f>PROPER(IF(B99="Saneago",VLOOKUP(C99,'SANEAGO-FEV.2016'!A:B,2,0),IF(B99="SINAPI",VLOOKUP(C99,'SINAPI-FEV.2017'!A:D,2,0),IF(B99="Cotação",VLOOKUP(C99,COTAÇÃO!A:D,2,0),IF(B99="Composição",VLOOKUP(C99,COMPOSIÇÃO!A:D,2,0))))))</f>
        <v>Lastro De Concreto, E = 5 Cm, Preparo Mecânico, Inclusos Lançamento E Adensamento. Af_07_2016</v>
      </c>
      <c r="E99" s="837"/>
      <c r="F99" s="837"/>
      <c r="G99" s="838"/>
      <c r="H99" s="838"/>
      <c r="I99" s="910"/>
      <c r="J99" s="910"/>
      <c r="K99" s="852" t="s">
        <v>12275</v>
      </c>
      <c r="L99" s="852" t="s">
        <v>21</v>
      </c>
      <c r="M99" s="853">
        <f>(K41*H41*I41)+(K43*H43*I43)+(H45*I45*K45)</f>
        <v>7.383</v>
      </c>
      <c r="N99" s="700"/>
      <c r="P99" s="871"/>
    </row>
    <row r="100" spans="1:16" s="863" customFormat="1">
      <c r="A100" s="862"/>
      <c r="B100" s="835"/>
      <c r="C100" s="835"/>
      <c r="D100" s="826"/>
      <c r="E100" s="700"/>
      <c r="F100" s="700"/>
      <c r="G100" s="828" t="s">
        <v>30</v>
      </c>
      <c r="H100" s="828" t="s">
        <v>30</v>
      </c>
      <c r="I100" s="828" t="s">
        <v>30</v>
      </c>
      <c r="J100" s="828" t="s">
        <v>30</v>
      </c>
      <c r="K100" s="828" t="s">
        <v>30</v>
      </c>
      <c r="L100" s="828" t="s">
        <v>30</v>
      </c>
      <c r="M100" s="877" t="s">
        <v>30</v>
      </c>
      <c r="N100" s="700"/>
      <c r="P100" s="871"/>
    </row>
    <row r="101" spans="1:16" s="863" customFormat="1" ht="33.75">
      <c r="A101" s="862" t="s">
        <v>20478</v>
      </c>
      <c r="B101" s="835" t="s">
        <v>70</v>
      </c>
      <c r="C101" s="835">
        <v>92415</v>
      </c>
      <c r="D101" s="836" t="str">
        <f>PROPER(IF(B101="Saneago",VLOOKUP(C101,'SANEAGO-FEV.2016'!A:B,2,0),IF(B101="SINAPI",VLOOKUP(C101,'SINAPI-FEV.2017'!A:D,2,0),IF(B101="Cotação",VLOOKUP(C101,COTAÇÃO!A:D,2,0),IF(B101="Composição",VLOOKUP(C101,COMPOSIÇÃO!A:D,2,0))))))</f>
        <v>Montagem E Desmontagem De Fôrma De Pilares Retangulares E Estruturas Similares Com Área Média Das Seções Maior Que 0,25 M², Pé-Direito Simples, Em Chapa De Madeira Compensada Resinada, 2 Utilizações. Af_12/2015</v>
      </c>
      <c r="E101" s="837"/>
      <c r="F101" s="837"/>
      <c r="G101" s="838"/>
      <c r="H101" s="838"/>
      <c r="I101" s="910"/>
      <c r="J101" s="910"/>
      <c r="K101" s="852" t="s">
        <v>12275</v>
      </c>
      <c r="L101" s="852" t="s">
        <v>21</v>
      </c>
      <c r="M101" s="853">
        <f>62.7*0.2</f>
        <v>12.540000000000001</v>
      </c>
      <c r="N101" s="700"/>
      <c r="P101" s="871"/>
    </row>
    <row r="102" spans="1:16" s="863" customFormat="1">
      <c r="A102" s="862"/>
      <c r="B102" s="835"/>
      <c r="C102" s="835"/>
      <c r="D102" s="826"/>
      <c r="E102" s="700"/>
      <c r="F102" s="700"/>
      <c r="G102" s="828" t="s">
        <v>30</v>
      </c>
      <c r="H102" s="828" t="s">
        <v>30</v>
      </c>
      <c r="I102" s="828" t="s">
        <v>30</v>
      </c>
      <c r="J102" s="828" t="s">
        <v>30</v>
      </c>
      <c r="K102" s="828" t="s">
        <v>30</v>
      </c>
      <c r="L102" s="828" t="s">
        <v>30</v>
      </c>
      <c r="M102" s="877" t="s">
        <v>30</v>
      </c>
      <c r="N102" s="700"/>
      <c r="P102" s="871"/>
    </row>
    <row r="103" spans="1:16" s="863" customFormat="1" ht="22.5">
      <c r="A103" s="862" t="s">
        <v>20479</v>
      </c>
      <c r="B103" s="835" t="s">
        <v>70</v>
      </c>
      <c r="C103" s="835">
        <v>92452</v>
      </c>
      <c r="D103" s="836" t="str">
        <f>PROPER(IF(B103="Saneago",VLOOKUP(C103,'SANEAGO-FEV.2016'!A:B,2,0),IF(B103="SINAPI",VLOOKUP(C103,'SINAPI-FEV.2017'!A:D,2,0),IF(B103="Cotação",VLOOKUP(C103,COTAÇÃO!A:D,2,0),IF(B103="Composição",VLOOKUP(C103,COMPOSIÇÃO!A:D,2,0))))))</f>
        <v>Montagem E Desmontagem De Fôrma De Viga, Escoramento Metálico, Pé-Direito Simples, Em Chapa De Madeira Resinada, 2 Utilizações. Af_12/2015</v>
      </c>
      <c r="E103" s="837"/>
      <c r="F103" s="837"/>
      <c r="G103" s="838"/>
      <c r="H103" s="838"/>
      <c r="I103" s="910"/>
      <c r="J103" s="910"/>
      <c r="K103" s="852" t="s">
        <v>12275</v>
      </c>
      <c r="L103" s="852" t="s">
        <v>21</v>
      </c>
      <c r="M103" s="853">
        <f>62.7*0.15</f>
        <v>9.4049999999999994</v>
      </c>
      <c r="N103" s="700"/>
      <c r="P103" s="871"/>
    </row>
    <row r="104" spans="1:16" s="863" customFormat="1">
      <c r="A104" s="862"/>
      <c r="B104" s="835"/>
      <c r="C104" s="835"/>
      <c r="D104" s="826"/>
      <c r="E104" s="700"/>
      <c r="F104" s="700"/>
      <c r="G104" s="828" t="s">
        <v>30</v>
      </c>
      <c r="H104" s="828" t="s">
        <v>30</v>
      </c>
      <c r="I104" s="828" t="s">
        <v>30</v>
      </c>
      <c r="J104" s="828" t="s">
        <v>30</v>
      </c>
      <c r="K104" s="828" t="s">
        <v>30</v>
      </c>
      <c r="L104" s="828" t="s">
        <v>30</v>
      </c>
      <c r="M104" s="877" t="s">
        <v>30</v>
      </c>
      <c r="N104" s="700"/>
      <c r="P104" s="871"/>
    </row>
    <row r="105" spans="1:16" s="863" customFormat="1" ht="33.75">
      <c r="A105" s="862" t="s">
        <v>20480</v>
      </c>
      <c r="B105" s="835" t="s">
        <v>70</v>
      </c>
      <c r="C105" s="835">
        <v>92510</v>
      </c>
      <c r="D105" s="836" t="str">
        <f>PROPER(IF(B105="Saneago",VLOOKUP(C105,'SANEAGO-FEV.2016'!A:B,2,0),IF(B105="SINAPI",VLOOKUP(C105,'SINAPI-FEV.2017'!A:D,2,0),IF(B105="Cotação",VLOOKUP(C105,COTAÇÃO!A:D,2,0),IF(B105="Composição",VLOOKUP(C105,COMPOSIÇÃO!A:D,2,0))))))</f>
        <v>Montagem E Desmontagem De Fôrma De Laje Maciça Com Área Média Maior Que 20 M², Pé-Direito Simples, Em Chapa De Madeira Compensada Resinada, 2 Utilizações. Af_12/2015</v>
      </c>
      <c r="E105" s="837"/>
      <c r="F105" s="837"/>
      <c r="G105" s="838"/>
      <c r="H105" s="838"/>
      <c r="I105" s="910"/>
      <c r="J105" s="910"/>
      <c r="K105" s="852" t="s">
        <v>12275</v>
      </c>
      <c r="L105" s="852" t="s">
        <v>21</v>
      </c>
      <c r="M105" s="853">
        <f>62.7*0.65</f>
        <v>40.755000000000003</v>
      </c>
      <c r="N105" s="700"/>
      <c r="P105" s="871"/>
    </row>
    <row r="106" spans="1:16" s="863" customFormat="1">
      <c r="A106" s="862"/>
      <c r="B106" s="835"/>
      <c r="C106" s="835"/>
      <c r="D106" s="826"/>
      <c r="E106" s="790"/>
      <c r="F106" s="790"/>
      <c r="G106" s="828" t="s">
        <v>30</v>
      </c>
      <c r="H106" s="828" t="s">
        <v>30</v>
      </c>
      <c r="I106" s="828" t="s">
        <v>30</v>
      </c>
      <c r="J106" s="828" t="s">
        <v>30</v>
      </c>
      <c r="K106" s="828" t="s">
        <v>30</v>
      </c>
      <c r="L106" s="828" t="s">
        <v>30</v>
      </c>
      <c r="M106" s="877" t="s">
        <v>30</v>
      </c>
      <c r="N106" s="700"/>
      <c r="P106" s="871"/>
    </row>
    <row r="107" spans="1:16" s="863" customFormat="1" ht="22.5">
      <c r="A107" s="862" t="s">
        <v>20481</v>
      </c>
      <c r="B107" s="855" t="s">
        <v>70</v>
      </c>
      <c r="C107" s="855">
        <v>34493</v>
      </c>
      <c r="D107" s="836" t="str">
        <f>PROPER(IF(B107="Saneago",VLOOKUP(C107,'SANEAGO-FEV.2016'!A:B,2,0),IF(B107="SINAPI",VLOOKUP(C107,'SINAPI-FEV.2017'!A:D,2,0),IF(B107="Cotação",VLOOKUP(C107,COTAÇÃO!A:D,2,0),IF(B107="Composição",VLOOKUP(C107,COMPOSIÇÃO!A:D,2,0))))))</f>
        <v>Concreto Usinado Bombeavel, Classe De Resistencia C25, Com Brita 0 E 1, Slump = 100 +/- 20 Mm, Exclui Servico De Bombeamento (Nbr 8953)</v>
      </c>
      <c r="E107" s="837"/>
      <c r="F107" s="837"/>
      <c r="G107" s="838"/>
      <c r="H107" s="838"/>
      <c r="I107" s="910"/>
      <c r="J107" s="910"/>
      <c r="K107" s="852" t="s">
        <v>12275</v>
      </c>
      <c r="L107" s="852" t="s">
        <v>21</v>
      </c>
      <c r="M107" s="853">
        <v>4.5</v>
      </c>
      <c r="N107" s="700"/>
      <c r="P107" s="871"/>
    </row>
    <row r="108" spans="1:16" s="863" customFormat="1">
      <c r="A108" s="862"/>
      <c r="B108" s="835"/>
      <c r="C108" s="835"/>
      <c r="D108" s="826"/>
      <c r="E108" s="790"/>
      <c r="F108" s="790"/>
      <c r="G108" s="828" t="s">
        <v>30</v>
      </c>
      <c r="H108" s="828" t="s">
        <v>30</v>
      </c>
      <c r="I108" s="828" t="s">
        <v>30</v>
      </c>
      <c r="J108" s="828" t="s">
        <v>30</v>
      </c>
      <c r="K108" s="828" t="s">
        <v>30</v>
      </c>
      <c r="L108" s="828" t="s">
        <v>30</v>
      </c>
      <c r="M108" s="877" t="s">
        <v>30</v>
      </c>
      <c r="N108" s="700"/>
      <c r="P108" s="871"/>
    </row>
    <row r="109" spans="1:16" s="863" customFormat="1" ht="22.5">
      <c r="A109" s="862" t="s">
        <v>20482</v>
      </c>
      <c r="B109" s="855" t="s">
        <v>70</v>
      </c>
      <c r="C109" s="855">
        <v>92874</v>
      </c>
      <c r="D109" s="836" t="str">
        <f>PROPER(IF(B109="Saneago",VLOOKUP(C109,'SANEAGO-FEV.2016'!A:B,2,0),IF(B109="SINAPI",VLOOKUP(C109,'SINAPI-FEV.2017'!A:D,2,0),IF(B109="Cotação",VLOOKUP(C109,COTAÇÃO!A:D,2,0),IF(B109="Composição",VLOOKUP(C109,COMPOSIÇÃO!A:D,2,0))))))</f>
        <v>Lançamento Com Uso De Bomba, Adensamento E Acabamento De Concreto Em Estruturas. Af_12/2015</v>
      </c>
      <c r="E109" s="837"/>
      <c r="F109" s="837"/>
      <c r="G109" s="838"/>
      <c r="H109" s="838"/>
      <c r="I109" s="910"/>
      <c r="J109" s="910"/>
      <c r="K109" s="852" t="s">
        <v>12275</v>
      </c>
      <c r="L109" s="852" t="s">
        <v>21</v>
      </c>
      <c r="M109" s="853">
        <v>4.5</v>
      </c>
      <c r="N109" s="700"/>
      <c r="P109" s="871"/>
    </row>
    <row r="110" spans="1:16" s="863" customFormat="1">
      <c r="A110" s="862"/>
      <c r="B110" s="855"/>
      <c r="C110" s="855"/>
      <c r="D110" s="826"/>
      <c r="E110" s="790"/>
      <c r="F110" s="790"/>
      <c r="G110" s="828" t="s">
        <v>30</v>
      </c>
      <c r="H110" s="828" t="s">
        <v>30</v>
      </c>
      <c r="I110" s="828" t="s">
        <v>30</v>
      </c>
      <c r="J110" s="828" t="s">
        <v>30</v>
      </c>
      <c r="K110" s="828" t="s">
        <v>30</v>
      </c>
      <c r="L110" s="828" t="s">
        <v>30</v>
      </c>
      <c r="M110" s="877" t="s">
        <v>30</v>
      </c>
      <c r="N110" s="700"/>
      <c r="P110" s="871"/>
    </row>
    <row r="111" spans="1:16" s="863" customFormat="1" ht="33.75">
      <c r="A111" s="912" t="s">
        <v>20473</v>
      </c>
      <c r="B111" s="835" t="s">
        <v>70</v>
      </c>
      <c r="C111" s="835">
        <v>92915</v>
      </c>
      <c r="D111" s="836" t="str">
        <f>PROPER(IF(B111="Saneago",VLOOKUP(C111,'SANEAGO-FEV.2016'!A:B,2,0),IF(B111="SINAPI",VLOOKUP(C111,'SINAPI-FEV.2017'!A:D,2,0),IF(B111="Cotação",VLOOKUP(C111,COTAÇÃO!A:D,2,0),IF(B111="Composição",VLOOKUP(C111,COMPOSIÇÃO!A:D,2,0))))))</f>
        <v>Armação De Estruturas De Concreto Armado, Exceto Vigas, Pilares, Lajes E Fundações Profundas (De Edifícios De Múltiplos Pavimentos, Edificação Térrea Ou Sobrado), Utilizando Aço Ca-60 De 5.0 Mm - Montagem. Af_12/2015</v>
      </c>
      <c r="E111" s="837"/>
      <c r="F111" s="837"/>
      <c r="G111" s="838"/>
      <c r="H111" s="838"/>
      <c r="I111" s="838"/>
      <c r="J111" s="913"/>
      <c r="K111" s="852" t="s">
        <v>12275</v>
      </c>
      <c r="L111" s="852" t="s">
        <v>33</v>
      </c>
      <c r="M111" s="950">
        <f>66.05</f>
        <v>66.05</v>
      </c>
      <c r="N111" s="700"/>
      <c r="P111" s="871"/>
    </row>
    <row r="112" spans="1:16" s="863" customFormat="1">
      <c r="A112" s="912"/>
      <c r="B112" s="835"/>
      <c r="C112" s="835"/>
      <c r="D112" s="826"/>
      <c r="E112" s="790"/>
      <c r="F112" s="790"/>
      <c r="G112" s="828" t="s">
        <v>30</v>
      </c>
      <c r="H112" s="828" t="s">
        <v>30</v>
      </c>
      <c r="I112" s="828" t="s">
        <v>30</v>
      </c>
      <c r="J112" s="828" t="s">
        <v>30</v>
      </c>
      <c r="K112" s="828" t="s">
        <v>30</v>
      </c>
      <c r="L112" s="828" t="s">
        <v>30</v>
      </c>
      <c r="M112" s="934" t="s">
        <v>30</v>
      </c>
      <c r="N112" s="700"/>
      <c r="P112" s="871"/>
    </row>
    <row r="113" spans="1:16" s="863" customFormat="1" ht="33.75">
      <c r="A113" s="912" t="s">
        <v>20474</v>
      </c>
      <c r="B113" s="835" t="s">
        <v>70</v>
      </c>
      <c r="C113" s="835">
        <v>92916</v>
      </c>
      <c r="D113" s="836" t="str">
        <f>PROPER(IF(B113="Saneago",VLOOKUP(C113,'SANEAGO-FEV.2016'!A:B,2,0),IF(B113="SINAPI",VLOOKUP(C113,'SINAPI-FEV.2017'!A:D,2,0),IF(B113="Cotação",VLOOKUP(C113,COTAÇÃO!A:D,2,0),IF(B113="Composição",VLOOKUP(C113,COMPOSIÇÃO!A:D,2,0))))))</f>
        <v>Armação De Estruturas De Concreto Armado, Exceto Vigas, Pilares, Lajes E Fundações Profundas (De Edifícios De Múltiplos Pavimentos, Edificação Térrea Ou Sobrado), Utilizando Aço Ca-50 De 6.3 Mm - Montagem. Af_12/2015</v>
      </c>
      <c r="E113" s="837"/>
      <c r="F113" s="837"/>
      <c r="G113" s="838"/>
      <c r="H113" s="838"/>
      <c r="I113" s="838"/>
      <c r="J113" s="913"/>
      <c r="K113" s="852" t="s">
        <v>12275</v>
      </c>
      <c r="L113" s="852" t="s">
        <v>33</v>
      </c>
      <c r="M113" s="950">
        <v>102.11</v>
      </c>
      <c r="N113" s="700"/>
      <c r="P113" s="871"/>
    </row>
    <row r="114" spans="1:16" s="863" customFormat="1">
      <c r="A114" s="912"/>
      <c r="B114" s="835"/>
      <c r="C114" s="835"/>
      <c r="D114" s="826"/>
      <c r="E114" s="790"/>
      <c r="F114" s="790"/>
      <c r="G114" s="828" t="s">
        <v>30</v>
      </c>
      <c r="H114" s="828" t="s">
        <v>30</v>
      </c>
      <c r="I114" s="828" t="s">
        <v>30</v>
      </c>
      <c r="J114" s="828" t="s">
        <v>30</v>
      </c>
      <c r="K114" s="828" t="s">
        <v>30</v>
      </c>
      <c r="L114" s="828" t="s">
        <v>30</v>
      </c>
      <c r="M114" s="934" t="s">
        <v>30</v>
      </c>
      <c r="N114" s="700"/>
      <c r="P114" s="871"/>
    </row>
    <row r="115" spans="1:16" s="863" customFormat="1" ht="33.75">
      <c r="A115" s="912" t="s">
        <v>20475</v>
      </c>
      <c r="B115" s="835" t="s">
        <v>70</v>
      </c>
      <c r="C115" s="835">
        <v>92917</v>
      </c>
      <c r="D115" s="836" t="str">
        <f>PROPER(IF(B115="Saneago",VLOOKUP(C115,'SANEAGO-FEV.2016'!A:B,2,0),IF(B115="SINAPI",VLOOKUP(C115,'SINAPI-FEV.2017'!A:D,2,0),IF(B115="Cotação",VLOOKUP(C115,COTAÇÃO!A:D,2,0),IF(B115="Composição",VLOOKUP(C115,COMPOSIÇÃO!A:D,2,0))))))</f>
        <v>Armação De Estruturas De Concreto Armado, Exceto Vigas, Pilares, Lajes E Fundações Profundas (De Edifícios De Múltiplos Pavimentos, Edificação Térrea Ou Sobrado), Utilizando Aço Ca-50 De 8.0 Mm - Montagem. Af_12/2015</v>
      </c>
      <c r="E115" s="837"/>
      <c r="F115" s="837"/>
      <c r="G115" s="838"/>
      <c r="H115" s="838"/>
      <c r="I115" s="838"/>
      <c r="J115" s="913"/>
      <c r="K115" s="852" t="s">
        <v>12275</v>
      </c>
      <c r="L115" s="852" t="s">
        <v>33</v>
      </c>
      <c r="M115" s="950">
        <f>94.67</f>
        <v>94.67</v>
      </c>
      <c r="N115" s="700"/>
      <c r="P115" s="871"/>
    </row>
    <row r="116" spans="1:16" s="863" customFormat="1">
      <c r="A116" s="912"/>
      <c r="B116" s="835"/>
      <c r="C116" s="835"/>
      <c r="D116" s="826"/>
      <c r="E116" s="790"/>
      <c r="F116" s="790"/>
      <c r="G116" s="828" t="s">
        <v>30</v>
      </c>
      <c r="H116" s="828" t="s">
        <v>30</v>
      </c>
      <c r="I116" s="828" t="s">
        <v>30</v>
      </c>
      <c r="J116" s="828" t="s">
        <v>30</v>
      </c>
      <c r="K116" s="828" t="s">
        <v>30</v>
      </c>
      <c r="L116" s="828" t="s">
        <v>30</v>
      </c>
      <c r="M116" s="934" t="s">
        <v>30</v>
      </c>
      <c r="N116" s="700"/>
      <c r="P116" s="871"/>
    </row>
    <row r="117" spans="1:16" s="863" customFormat="1" ht="33.75">
      <c r="A117" s="912" t="s">
        <v>20476</v>
      </c>
      <c r="B117" s="835" t="s">
        <v>70</v>
      </c>
      <c r="C117" s="835">
        <v>92919</v>
      </c>
      <c r="D117" s="836" t="str">
        <f>PROPER(IF(B117="Saneago",VLOOKUP(C117,'SANEAGO-FEV.2016'!A:B,2,0),IF(B117="SINAPI",VLOOKUP(C117,'SINAPI-FEV.2017'!A:D,2,0),IF(B117="Cotação",VLOOKUP(C117,COTAÇÃO!A:D,2,0),IF(B117="Composição",VLOOKUP(C117,COMPOSIÇÃO!A:D,2,0))))))</f>
        <v>Armação De Estruturas De Concreto Armado, Exceto Vigas, Pilares, Lajes E Fundações Profundas (De Edifícios De Múltiplos Pavimentos, Edificação Térrea Ou Sobrado), Utilizando Aço Ca-50 De 10.0 Mm - Montagem. Af_12/2015</v>
      </c>
      <c r="E117" s="837"/>
      <c r="F117" s="837"/>
      <c r="G117" s="838"/>
      <c r="H117" s="838"/>
      <c r="I117" s="838"/>
      <c r="J117" s="913"/>
      <c r="K117" s="852" t="s">
        <v>12275</v>
      </c>
      <c r="L117" s="852" t="s">
        <v>33</v>
      </c>
      <c r="M117" s="950">
        <v>87.15</v>
      </c>
      <c r="N117" s="914"/>
      <c r="P117" s="871"/>
    </row>
    <row r="118" spans="1:16" s="863" customFormat="1">
      <c r="A118" s="862"/>
      <c r="B118" s="835"/>
      <c r="C118" s="835"/>
      <c r="D118" s="826"/>
      <c r="E118" s="790"/>
      <c r="F118" s="790"/>
      <c r="G118" s="700" t="s">
        <v>30</v>
      </c>
      <c r="H118" s="700" t="s">
        <v>30</v>
      </c>
      <c r="I118" s="700" t="s">
        <v>30</v>
      </c>
      <c r="J118" s="700" t="s">
        <v>30</v>
      </c>
      <c r="K118" s="700" t="s">
        <v>30</v>
      </c>
      <c r="L118" s="700"/>
      <c r="M118" s="827"/>
      <c r="N118" s="700"/>
      <c r="P118" s="871"/>
    </row>
    <row r="119" spans="1:16" s="863" customFormat="1">
      <c r="A119" s="862" t="s">
        <v>12250</v>
      </c>
      <c r="B119" s="835" t="s">
        <v>70</v>
      </c>
      <c r="C119" s="835" t="s">
        <v>19257</v>
      </c>
      <c r="D119" s="836" t="str">
        <f>PROPER(IF(B119="Saneago",VLOOKUP(C119,'SANEAGO-FEV.2016'!A:B,2,0),IF(B119="SINAPI",VLOOKUP(C119,'SINAPI-FEV.2017'!A:D,2,0),IF(B119="Cotação",VLOOKUP(C119,COTAÇÃO!A:D,2,0),IF(B119="Composição",VLOOKUP(C119,COMPOSIÇÃO!A:D,2,0))))))</f>
        <v>Ensaio De Consistencia Do Concreto Ccr - Indice Vebe</v>
      </c>
      <c r="E119" s="837"/>
      <c r="F119" s="837"/>
      <c r="G119" s="838"/>
      <c r="H119" s="838"/>
      <c r="I119" s="838"/>
      <c r="J119" s="838"/>
      <c r="K119" s="838"/>
      <c r="L119" s="852" t="s">
        <v>26</v>
      </c>
      <c r="M119" s="853">
        <f>ROUNDUP(M107/50,0)</f>
        <v>1</v>
      </c>
      <c r="N119" s="700"/>
      <c r="P119" s="871"/>
    </row>
    <row r="120" spans="1:16" s="863" customFormat="1" ht="13.5" thickBot="1">
      <c r="A120" s="862"/>
      <c r="B120" s="835"/>
      <c r="C120" s="835"/>
      <c r="D120" s="826"/>
      <c r="E120" s="790"/>
      <c r="F120" s="790"/>
      <c r="G120" s="700"/>
      <c r="H120" s="700"/>
      <c r="I120" s="700"/>
      <c r="J120" s="700"/>
      <c r="K120" s="700"/>
      <c r="L120" s="700"/>
      <c r="M120" s="827"/>
      <c r="N120" s="700"/>
      <c r="P120" s="871"/>
    </row>
    <row r="121" spans="1:16" s="863" customFormat="1" ht="14.25" thickTop="1" thickBot="1">
      <c r="A121" s="862"/>
      <c r="B121" s="835"/>
      <c r="C121" s="835"/>
      <c r="D121" s="830" t="s">
        <v>1231</v>
      </c>
      <c r="E121" s="831"/>
      <c r="F121" s="831"/>
      <c r="G121" s="831"/>
      <c r="H121" s="831"/>
      <c r="I121" s="831"/>
      <c r="J121" s="831"/>
      <c r="K121" s="831"/>
      <c r="L121" s="832"/>
      <c r="M121" s="833"/>
      <c r="N121" s="870"/>
      <c r="O121" s="871"/>
      <c r="P121" s="871"/>
    </row>
    <row r="122" spans="1:16" s="863" customFormat="1" ht="13.5" thickTop="1">
      <c r="A122" s="862"/>
      <c r="B122" s="835"/>
      <c r="C122" s="835"/>
      <c r="D122" s="826"/>
      <c r="E122" s="790"/>
      <c r="F122" s="790"/>
      <c r="G122" s="700" t="s">
        <v>30</v>
      </c>
      <c r="H122" s="700" t="s">
        <v>30</v>
      </c>
      <c r="I122" s="700" t="s">
        <v>30</v>
      </c>
      <c r="J122" s="700" t="s">
        <v>30</v>
      </c>
      <c r="K122" s="700" t="s">
        <v>30</v>
      </c>
      <c r="L122" s="700"/>
      <c r="M122" s="827"/>
      <c r="N122" s="700"/>
      <c r="P122" s="871"/>
    </row>
    <row r="123" spans="1:16" s="863" customFormat="1">
      <c r="A123" s="862"/>
      <c r="B123" s="835"/>
      <c r="C123" s="835"/>
      <c r="D123" s="836" t="s">
        <v>52</v>
      </c>
      <c r="E123" s="837"/>
      <c r="F123" s="837"/>
      <c r="G123" s="852"/>
      <c r="H123" s="852"/>
      <c r="I123" s="852"/>
      <c r="J123" s="852"/>
      <c r="K123" s="852"/>
      <c r="L123" s="852" t="s">
        <v>18</v>
      </c>
      <c r="M123" s="853">
        <v>2.5</v>
      </c>
      <c r="N123" s="700"/>
      <c r="P123" s="871"/>
    </row>
    <row r="124" spans="1:16" s="863" customFormat="1">
      <c r="A124" s="862"/>
      <c r="B124" s="835"/>
      <c r="C124" s="835"/>
      <c r="D124" s="826"/>
      <c r="E124" s="790"/>
      <c r="F124" s="790"/>
      <c r="G124" s="700" t="s">
        <v>30</v>
      </c>
      <c r="H124" s="700" t="s">
        <v>30</v>
      </c>
      <c r="I124" s="700" t="s">
        <v>12153</v>
      </c>
      <c r="J124" s="700" t="s">
        <v>32</v>
      </c>
      <c r="K124" s="700" t="s">
        <v>19</v>
      </c>
      <c r="L124" s="700"/>
      <c r="M124" s="827"/>
      <c r="N124" s="700"/>
      <c r="P124" s="871"/>
    </row>
    <row r="125" spans="1:16" s="863" customFormat="1" ht="22.5">
      <c r="A125" s="862" t="s">
        <v>12251</v>
      </c>
      <c r="B125" s="835" t="s">
        <v>70</v>
      </c>
      <c r="C125" s="835">
        <v>91011</v>
      </c>
      <c r="D125" s="836" t="str">
        <f>PROPER(IF(B125="Saneago",VLOOKUP(C125,'SANEAGO-FEV.2016'!A:B,2,0),IF(B125="SINAPI",VLOOKUP(C125,'SINAPI-FEV.2017'!A:D,2,0),IF(B125="Cotação",VLOOKUP(C125,COTAÇÃO!A:D,2,0),IF(B125="Composição",VLOOKUP(C125,COMPOSIÇÃO!A:D,2,0))))))</f>
        <v>Porta De Madeira Para Verniz, Semi-Oca (Leve Ou Média), 80X210Cm, Espessura De 3,5Cm, Incluso Dobradiças - Fornecimento E Instalação. Af_08/2015</v>
      </c>
      <c r="E125" s="837"/>
      <c r="F125" s="837"/>
      <c r="G125" s="852"/>
      <c r="H125" s="852" t="s">
        <v>11687</v>
      </c>
      <c r="I125" s="852">
        <v>1</v>
      </c>
      <c r="J125" s="838">
        <v>2.1</v>
      </c>
      <c r="K125" s="838">
        <v>0.8</v>
      </c>
      <c r="L125" s="852" t="s">
        <v>14339</v>
      </c>
      <c r="M125" s="853">
        <v>1</v>
      </c>
      <c r="N125" s="700"/>
      <c r="P125" s="871"/>
    </row>
    <row r="126" spans="1:16">
      <c r="C126" s="893"/>
      <c r="D126" s="826"/>
      <c r="E126" s="790"/>
      <c r="F126" s="790"/>
      <c r="G126" s="700" t="s">
        <v>30</v>
      </c>
      <c r="H126" s="700" t="s">
        <v>30</v>
      </c>
      <c r="I126" s="700" t="s">
        <v>30</v>
      </c>
      <c r="J126" s="700" t="s">
        <v>30</v>
      </c>
      <c r="K126" s="700" t="s">
        <v>30</v>
      </c>
      <c r="L126" s="700" t="s">
        <v>30</v>
      </c>
      <c r="M126" s="876" t="s">
        <v>30</v>
      </c>
    </row>
    <row r="127" spans="1:16">
      <c r="A127" s="862" t="s">
        <v>12252</v>
      </c>
      <c r="B127" s="835" t="s">
        <v>70</v>
      </c>
      <c r="C127" s="893">
        <v>93188</v>
      </c>
      <c r="D127" s="836" t="str">
        <f>PROPER(IF(B127="Saneago",VLOOKUP(C127,'SANEAGO-FEV.2016'!A:B,2,0),IF(B127="SINAPI",VLOOKUP(C127,'SINAPI-FEV.2017'!A:D,2,0),IF(B127="Cotação",VLOOKUP(C127,COTAÇÃO!A:D,2,0),IF(B127="Composição",VLOOKUP(C127,COMPOSIÇÃO!A:D,2,0))))))</f>
        <v>Verga Moldada In Loco Em Concreto Para Portas Com Até 1,5 M De Vão. Af_03/2016</v>
      </c>
      <c r="E127" s="837"/>
      <c r="F127" s="837"/>
      <c r="G127" s="852"/>
      <c r="H127" s="852"/>
      <c r="I127" s="852"/>
      <c r="J127" s="852"/>
      <c r="K127" s="838"/>
      <c r="L127" s="852" t="s">
        <v>18</v>
      </c>
      <c r="M127" s="853">
        <f>K125</f>
        <v>0.8</v>
      </c>
    </row>
    <row r="128" spans="1:16">
      <c r="C128" s="893"/>
      <c r="D128" s="826"/>
      <c r="E128" s="790"/>
      <c r="F128" s="790"/>
      <c r="G128" s="700" t="s">
        <v>30</v>
      </c>
      <c r="H128" s="700" t="s">
        <v>30</v>
      </c>
      <c r="I128" s="700" t="s">
        <v>30</v>
      </c>
      <c r="J128" s="700" t="s">
        <v>30</v>
      </c>
      <c r="K128" s="700" t="s">
        <v>30</v>
      </c>
      <c r="L128" s="700" t="s">
        <v>30</v>
      </c>
      <c r="M128" s="876" t="s">
        <v>30</v>
      </c>
    </row>
    <row r="129" spans="1:16" ht="22.5">
      <c r="A129" s="862" t="s">
        <v>12253</v>
      </c>
      <c r="B129" s="835" t="s">
        <v>70</v>
      </c>
      <c r="C129" s="893">
        <v>93196</v>
      </c>
      <c r="D129" s="836" t="str">
        <f>PROPER(IF(B129="Saneago",VLOOKUP(C129,'SANEAGO-FEV.2016'!A:B,2,0),IF(B129="SINAPI",VLOOKUP(C129,'SINAPI-FEV.2017'!A:D,2,0),IF(B129="Cotação",VLOOKUP(C129,COTAÇÃO!A:D,2,0),IF(B129="Composição",VLOOKUP(C129,COMPOSIÇÃO!A:D,2,0))))))</f>
        <v>Contraverga Moldada In Loco Em Concreto Para Vãos De Até 1,5 M De Comprimento. Af_03/2016</v>
      </c>
      <c r="E129" s="837"/>
      <c r="F129" s="837"/>
      <c r="G129" s="852"/>
      <c r="H129" s="852"/>
      <c r="I129" s="852"/>
      <c r="J129" s="838"/>
      <c r="K129" s="838"/>
      <c r="L129" s="852" t="s">
        <v>18</v>
      </c>
      <c r="M129" s="853">
        <f>M127</f>
        <v>0.8</v>
      </c>
    </row>
    <row r="130" spans="1:16">
      <c r="C130" s="893"/>
      <c r="D130" s="826"/>
      <c r="E130" s="790"/>
      <c r="F130" s="790"/>
      <c r="G130" s="700" t="s">
        <v>30</v>
      </c>
      <c r="H130" s="700" t="s">
        <v>30</v>
      </c>
      <c r="I130" s="700" t="s">
        <v>12153</v>
      </c>
      <c r="J130" s="700" t="s">
        <v>32</v>
      </c>
      <c r="K130" s="700" t="s">
        <v>19</v>
      </c>
      <c r="L130" s="700"/>
      <c r="M130" s="829"/>
    </row>
    <row r="131" spans="1:16">
      <c r="C131" s="893"/>
      <c r="D131" s="826"/>
      <c r="E131" s="790"/>
      <c r="F131" s="790"/>
      <c r="G131" s="700"/>
      <c r="H131" s="700" t="s">
        <v>12164</v>
      </c>
      <c r="I131" s="700">
        <v>1</v>
      </c>
      <c r="J131" s="700">
        <v>1.5</v>
      </c>
      <c r="K131" s="700">
        <v>3.65</v>
      </c>
      <c r="L131" s="700" t="s">
        <v>21</v>
      </c>
      <c r="M131" s="829">
        <f>K131*J131*I131</f>
        <v>5.4749999999999996</v>
      </c>
    </row>
    <row r="132" spans="1:16">
      <c r="C132" s="893"/>
      <c r="D132" s="826"/>
      <c r="E132" s="790"/>
      <c r="F132" s="790"/>
      <c r="G132" s="700"/>
      <c r="H132" s="700" t="s">
        <v>12165</v>
      </c>
      <c r="I132" s="700">
        <v>1</v>
      </c>
      <c r="J132" s="700">
        <v>0.9</v>
      </c>
      <c r="K132" s="700">
        <v>1.1000000000000001</v>
      </c>
      <c r="L132" s="700" t="s">
        <v>21</v>
      </c>
      <c r="M132" s="829">
        <f>K132*J132*I132</f>
        <v>0.9900000000000001</v>
      </c>
    </row>
    <row r="133" spans="1:16" ht="22.5">
      <c r="A133" s="862" t="s">
        <v>12282</v>
      </c>
      <c r="B133" s="835" t="s">
        <v>70</v>
      </c>
      <c r="C133" s="893">
        <v>94570</v>
      </c>
      <c r="D133" s="836" t="str">
        <f>PROPER(IF(B133="Saneago",VLOOKUP(C133,'SANEAGO-FEV.2016'!A:B,2,0),IF(B133="SINAPI",VLOOKUP(C133,'SINAPI-FEV.2017'!A:D,2,0),IF(B133="Cotação",VLOOKUP(C133,COTAÇÃO!A:D,2,0),IF(B133="Composição",VLOOKUP(C133,COMPOSIÇÃO!A:D,2,0))))))</f>
        <v>Janela De Alumínio De Correr, 2 Folhas, Fixação Com Parafuso Sobre Contramarco (Exclusive Contramarco), Com Vidros Padronizada. Af_07/2016</v>
      </c>
      <c r="E133" s="837"/>
      <c r="F133" s="837"/>
      <c r="G133" s="852"/>
      <c r="H133" s="852"/>
      <c r="I133" s="852"/>
      <c r="J133" s="838"/>
      <c r="K133" s="839" t="s">
        <v>27</v>
      </c>
      <c r="L133" s="856" t="s">
        <v>21</v>
      </c>
      <c r="M133" s="840">
        <f>SUM(M131:M132)</f>
        <v>6.4649999999999999</v>
      </c>
    </row>
    <row r="134" spans="1:16">
      <c r="C134" s="893"/>
      <c r="D134" s="826"/>
      <c r="E134" s="790"/>
      <c r="F134" s="790"/>
      <c r="G134" s="700" t="s">
        <v>30</v>
      </c>
      <c r="H134" s="700" t="s">
        <v>30</v>
      </c>
      <c r="I134" s="700" t="s">
        <v>30</v>
      </c>
      <c r="J134" s="700" t="s">
        <v>30</v>
      </c>
      <c r="K134" s="700" t="s">
        <v>30</v>
      </c>
      <c r="L134" s="700" t="s">
        <v>30</v>
      </c>
      <c r="M134" s="876" t="s">
        <v>30</v>
      </c>
    </row>
    <row r="135" spans="1:16">
      <c r="A135" s="862" t="s">
        <v>12283</v>
      </c>
      <c r="B135" s="835" t="s">
        <v>70</v>
      </c>
      <c r="C135" s="893">
        <v>93186</v>
      </c>
      <c r="D135" s="836" t="str">
        <f>PROPER(IF(B135="Saneago",VLOOKUP(C135,'SANEAGO-FEV.2016'!A:B,2,0),IF(B135="SINAPI",VLOOKUP(C135,'SINAPI-FEV.2017'!A:D,2,0),IF(B135="Cotação",VLOOKUP(C135,COTAÇÃO!A:D,2,0),IF(B135="Composição",VLOOKUP(C135,COMPOSIÇÃO!A:D,2,0))))))</f>
        <v>Verga Moldada In Loco Em Concreto Para Janelas Com Até 1,5 M De Vão. Af_03/2016</v>
      </c>
      <c r="E135" s="837"/>
      <c r="F135" s="837"/>
      <c r="G135" s="852"/>
      <c r="H135" s="852"/>
      <c r="I135" s="852"/>
      <c r="J135" s="852"/>
      <c r="K135" s="838"/>
      <c r="L135" s="852" t="s">
        <v>18</v>
      </c>
      <c r="M135" s="853">
        <f>K132</f>
        <v>1.1000000000000001</v>
      </c>
    </row>
    <row r="136" spans="1:16">
      <c r="C136" s="893"/>
      <c r="D136" s="826"/>
      <c r="E136" s="790"/>
      <c r="F136" s="790"/>
      <c r="G136" s="700" t="s">
        <v>30</v>
      </c>
      <c r="H136" s="700" t="s">
        <v>30</v>
      </c>
      <c r="I136" s="700" t="s">
        <v>30</v>
      </c>
      <c r="J136" s="700" t="s">
        <v>30</v>
      </c>
      <c r="K136" s="700" t="s">
        <v>30</v>
      </c>
      <c r="L136" s="700" t="s">
        <v>30</v>
      </c>
      <c r="M136" s="876" t="s">
        <v>30</v>
      </c>
    </row>
    <row r="137" spans="1:16" ht="22.5">
      <c r="A137" s="862" t="s">
        <v>12284</v>
      </c>
      <c r="B137" s="835" t="s">
        <v>70</v>
      </c>
      <c r="C137" s="893">
        <v>93187</v>
      </c>
      <c r="D137" s="836" t="str">
        <f>PROPER(IF(B137="Saneago",VLOOKUP(C137,'SANEAGO-FEV.2016'!A:B,2,0),IF(B137="SINAPI",VLOOKUP(C137,'SINAPI-FEV.2017'!A:D,2,0),IF(B137="Cotação",VLOOKUP(C137,COTAÇÃO!A:D,2,0),IF(B137="Composição",VLOOKUP(C137,COMPOSIÇÃO!A:D,2,0))))))</f>
        <v>Verga Moldada In Loco Em Concreto Para Janelas Com Mais De 1,5 M De Vão. Af_03/2016</v>
      </c>
      <c r="E137" s="837"/>
      <c r="F137" s="837"/>
      <c r="G137" s="852"/>
      <c r="H137" s="852"/>
      <c r="I137" s="852"/>
      <c r="J137" s="838"/>
      <c r="K137" s="838"/>
      <c r="L137" s="852" t="s">
        <v>18</v>
      </c>
      <c r="M137" s="853">
        <f>K131</f>
        <v>3.65</v>
      </c>
    </row>
    <row r="138" spans="1:16">
      <c r="C138" s="893"/>
      <c r="D138" s="826"/>
      <c r="E138" s="790"/>
      <c r="F138" s="790"/>
      <c r="G138" s="700" t="s">
        <v>30</v>
      </c>
      <c r="H138" s="700" t="s">
        <v>30</v>
      </c>
      <c r="I138" s="700" t="s">
        <v>30</v>
      </c>
      <c r="J138" s="700" t="s">
        <v>30</v>
      </c>
      <c r="K138" s="700" t="s">
        <v>30</v>
      </c>
      <c r="L138" s="700" t="s">
        <v>30</v>
      </c>
      <c r="M138" s="876" t="s">
        <v>30</v>
      </c>
    </row>
    <row r="139" spans="1:16" ht="22.5">
      <c r="A139" s="862" t="s">
        <v>12254</v>
      </c>
      <c r="B139" s="835" t="s">
        <v>70</v>
      </c>
      <c r="C139" s="893">
        <v>93196</v>
      </c>
      <c r="D139" s="836" t="str">
        <f>PROPER(IF(B139="Saneago",VLOOKUP(C139,'SANEAGO-FEV.2016'!A:B,2,0),IF(B139="SINAPI",VLOOKUP(C139,'SINAPI-FEV.2017'!A:D,2,0),IF(B139="Cotação",VLOOKUP(C139,COTAÇÃO!A:D,2,0),IF(B139="Composição",VLOOKUP(C139,COMPOSIÇÃO!A:D,2,0))))))</f>
        <v>Contraverga Moldada In Loco Em Concreto Para Vãos De Até 1,5 M De Comprimento. Af_03/2016</v>
      </c>
      <c r="E139" s="837"/>
      <c r="F139" s="837"/>
      <c r="G139" s="852"/>
      <c r="H139" s="852"/>
      <c r="I139" s="852"/>
      <c r="J139" s="838"/>
      <c r="K139" s="838"/>
      <c r="L139" s="852" t="s">
        <v>18</v>
      </c>
      <c r="M139" s="853">
        <f>M135</f>
        <v>1.1000000000000001</v>
      </c>
    </row>
    <row r="140" spans="1:16">
      <c r="C140" s="893"/>
      <c r="D140" s="826"/>
      <c r="E140" s="790"/>
      <c r="F140" s="790"/>
      <c r="G140" s="700" t="s">
        <v>30</v>
      </c>
      <c r="H140" s="700" t="s">
        <v>30</v>
      </c>
      <c r="I140" s="700" t="s">
        <v>30</v>
      </c>
      <c r="J140" s="700" t="s">
        <v>30</v>
      </c>
      <c r="K140" s="700" t="s">
        <v>30</v>
      </c>
      <c r="L140" s="700" t="s">
        <v>30</v>
      </c>
      <c r="M140" s="876" t="s">
        <v>30</v>
      </c>
    </row>
    <row r="141" spans="1:16" ht="22.5">
      <c r="A141" s="862" t="s">
        <v>12285</v>
      </c>
      <c r="B141" s="835" t="s">
        <v>70</v>
      </c>
      <c r="C141" s="893">
        <v>93197</v>
      </c>
      <c r="D141" s="836" t="str">
        <f>PROPER(IF(B141="Saneago",VLOOKUP(C141,'SANEAGO-FEV.2016'!A:B,2,0),IF(B141="SINAPI",VLOOKUP(C141,'SINAPI-FEV.2017'!A:D,2,0),IF(B141="Cotação",VLOOKUP(C141,COTAÇÃO!A:D,2,0),IF(B141="Composição",VLOOKUP(C141,COMPOSIÇÃO!A:D,2,0))))))</f>
        <v>Contraverga Moldada In Loco Em Concreto Para Vãos De Mais De 1,5 M De Comprimento. Af_03/2016</v>
      </c>
      <c r="E141" s="837"/>
      <c r="F141" s="837"/>
      <c r="G141" s="852"/>
      <c r="H141" s="852"/>
      <c r="I141" s="852"/>
      <c r="J141" s="838"/>
      <c r="K141" s="838"/>
      <c r="L141" s="852" t="s">
        <v>18</v>
      </c>
      <c r="M141" s="853">
        <f>M137</f>
        <v>3.65</v>
      </c>
    </row>
    <row r="142" spans="1:16" s="863" customFormat="1" ht="13.5" thickBot="1">
      <c r="A142" s="862"/>
      <c r="B142" s="835"/>
      <c r="C142" s="835"/>
      <c r="D142" s="826"/>
      <c r="E142" s="790"/>
      <c r="F142" s="790"/>
      <c r="G142" s="700"/>
      <c r="H142" s="700"/>
      <c r="I142" s="700"/>
      <c r="J142" s="828"/>
      <c r="K142" s="828"/>
      <c r="L142" s="828"/>
      <c r="M142" s="829"/>
      <c r="N142" s="700"/>
      <c r="P142" s="871"/>
    </row>
    <row r="143" spans="1:16" s="863" customFormat="1" ht="14.25" thickTop="1" thickBot="1">
      <c r="A143" s="862"/>
      <c r="B143" s="835"/>
      <c r="C143" s="835"/>
      <c r="D143" s="830" t="s">
        <v>53</v>
      </c>
      <c r="E143" s="831"/>
      <c r="F143" s="831"/>
      <c r="G143" s="831"/>
      <c r="H143" s="831"/>
      <c r="I143" s="831"/>
      <c r="J143" s="831"/>
      <c r="K143" s="831"/>
      <c r="L143" s="832" t="s">
        <v>25</v>
      </c>
      <c r="M143" s="833" t="s">
        <v>27</v>
      </c>
      <c r="N143" s="700"/>
      <c r="P143" s="871"/>
    </row>
    <row r="144" spans="1:16" s="863" customFormat="1" ht="23.25" thickTop="1">
      <c r="A144" s="862"/>
      <c r="B144" s="835"/>
      <c r="C144" s="835"/>
      <c r="D144" s="826"/>
      <c r="E144" s="790"/>
      <c r="F144" s="790"/>
      <c r="G144" s="700" t="s">
        <v>30</v>
      </c>
      <c r="H144" s="700" t="s">
        <v>17</v>
      </c>
      <c r="I144" s="700" t="s">
        <v>19</v>
      </c>
      <c r="J144" s="700" t="s">
        <v>32</v>
      </c>
      <c r="K144" s="700" t="s">
        <v>12287</v>
      </c>
      <c r="L144" s="700"/>
      <c r="M144" s="827"/>
      <c r="N144" s="700"/>
      <c r="P144" s="871"/>
    </row>
    <row r="145" spans="1:16" s="863" customFormat="1">
      <c r="A145" s="862"/>
      <c r="B145" s="835"/>
      <c r="C145" s="835"/>
      <c r="D145" s="826"/>
      <c r="E145" s="790"/>
      <c r="F145" s="790"/>
      <c r="G145" s="700" t="s">
        <v>12286</v>
      </c>
      <c r="H145" s="828">
        <v>7</v>
      </c>
      <c r="I145" s="828">
        <v>2.4500000000000002</v>
      </c>
      <c r="J145" s="889">
        <v>2.5</v>
      </c>
      <c r="K145" s="700">
        <v>10.92</v>
      </c>
      <c r="L145" s="700" t="s">
        <v>21</v>
      </c>
      <c r="M145" s="829">
        <f>(H145*2+I145*2)*J145-K145</f>
        <v>36.33</v>
      </c>
      <c r="N145" s="700"/>
      <c r="P145" s="871"/>
    </row>
    <row r="146" spans="1:16" s="863" customFormat="1">
      <c r="A146" s="862"/>
      <c r="B146" s="835"/>
      <c r="C146" s="835"/>
      <c r="D146" s="826"/>
      <c r="E146" s="790"/>
      <c r="F146" s="790"/>
      <c r="G146" s="700" t="s">
        <v>11734</v>
      </c>
      <c r="H146" s="828">
        <v>7.3</v>
      </c>
      <c r="I146" s="828">
        <v>3.05</v>
      </c>
      <c r="J146" s="889">
        <v>0.6</v>
      </c>
      <c r="K146" s="700"/>
      <c r="L146" s="700" t="s">
        <v>21</v>
      </c>
      <c r="M146" s="829">
        <f>(H146*2+I146*2)*J146-K146</f>
        <v>12.42</v>
      </c>
      <c r="N146" s="700"/>
      <c r="P146" s="871"/>
    </row>
    <row r="147" spans="1:16" s="863" customFormat="1" ht="33.75">
      <c r="A147" s="862" t="s">
        <v>12255</v>
      </c>
      <c r="B147" s="919" t="s">
        <v>70</v>
      </c>
      <c r="C147" s="919">
        <v>87513</v>
      </c>
      <c r="D147" s="836" t="str">
        <f>PROPER(IF(B147="Saneago",VLOOKUP(C147,'SANEAGO-FEV.2016'!A:B,2,0),IF(B147="SINAPI",VLOOKUP(C147,'SINAPI-FEV.2017'!A:D,2,0),IF(B147="Cotação",VLOOKUP(C147,COTAÇÃO!A:D,2,0),IF(B147="Composição",VLOOKUP(C147,COMPOSIÇÃO!A:D,2,0))))))</f>
        <v>Alvenaria De Vedação De Blocos Cerâmicos Furados Na Horizontal De 11,5X19X19Cm (Espessura 11,5Cm) De Paredes Com Área Líquida Menor Que 6M² Com Vãos E Argamassa De Assentamento Com Preparo Em Betoneira. Af_06/2014</v>
      </c>
      <c r="E147" s="837"/>
      <c r="F147" s="837"/>
      <c r="G147" s="838"/>
      <c r="H147" s="838"/>
      <c r="I147" s="838"/>
      <c r="J147" s="838"/>
      <c r="K147" s="839" t="s">
        <v>27</v>
      </c>
      <c r="L147" s="856" t="s">
        <v>21</v>
      </c>
      <c r="M147" s="840">
        <f>SUM(M145:M146)</f>
        <v>48.75</v>
      </c>
      <c r="N147" s="700"/>
      <c r="P147" s="871"/>
    </row>
    <row r="148" spans="1:16" s="863" customFormat="1" ht="13.5" thickBot="1">
      <c r="A148" s="862"/>
      <c r="B148" s="835"/>
      <c r="C148" s="835"/>
      <c r="D148" s="826"/>
      <c r="E148" s="790"/>
      <c r="F148" s="790"/>
      <c r="G148" s="700"/>
      <c r="H148" s="700"/>
      <c r="I148" s="700"/>
      <c r="J148" s="828"/>
      <c r="K148" s="828"/>
      <c r="L148" s="828"/>
      <c r="M148" s="829"/>
      <c r="N148" s="700"/>
      <c r="P148" s="871"/>
    </row>
    <row r="149" spans="1:16" s="863" customFormat="1" ht="14.25" thickTop="1" thickBot="1">
      <c r="A149" s="862"/>
      <c r="B149" s="835"/>
      <c r="C149" s="835"/>
      <c r="D149" s="931" t="s">
        <v>54</v>
      </c>
      <c r="E149" s="831"/>
      <c r="F149" s="831"/>
      <c r="G149" s="831"/>
      <c r="H149" s="831"/>
      <c r="I149" s="831"/>
      <c r="J149" s="831"/>
      <c r="K149" s="831"/>
      <c r="L149" s="832" t="s">
        <v>25</v>
      </c>
      <c r="M149" s="833" t="s">
        <v>27</v>
      </c>
      <c r="N149" s="700"/>
      <c r="P149" s="871"/>
    </row>
    <row r="150" spans="1:16" s="863" customFormat="1" ht="13.5" thickTop="1">
      <c r="A150" s="862"/>
      <c r="B150" s="835"/>
      <c r="C150" s="835"/>
      <c r="D150" s="932"/>
      <c r="E150" s="1772" t="s">
        <v>12172</v>
      </c>
      <c r="F150" s="1772"/>
      <c r="G150" s="1772" t="s">
        <v>12173</v>
      </c>
      <c r="H150" s="1772"/>
      <c r="I150" s="1772" t="s">
        <v>12174</v>
      </c>
      <c r="J150" s="1772"/>
      <c r="K150" s="1772" t="s">
        <v>32</v>
      </c>
      <c r="L150" s="1772" t="s">
        <v>12175</v>
      </c>
      <c r="M150" s="1773" t="s">
        <v>12176</v>
      </c>
      <c r="N150" s="700"/>
      <c r="P150" s="871"/>
    </row>
    <row r="151" spans="1:16" s="863" customFormat="1" ht="22.5">
      <c r="A151" s="862"/>
      <c r="B151" s="835"/>
      <c r="C151" s="835"/>
      <c r="D151" s="826"/>
      <c r="E151" s="700" t="s">
        <v>12177</v>
      </c>
      <c r="F151" s="700" t="s">
        <v>20</v>
      </c>
      <c r="G151" s="700" t="s">
        <v>12178</v>
      </c>
      <c r="H151" s="700" t="s">
        <v>43</v>
      </c>
      <c r="I151" s="700" t="s">
        <v>12178</v>
      </c>
      <c r="J151" s="700" t="s">
        <v>43</v>
      </c>
      <c r="K151" s="1704"/>
      <c r="L151" s="1704"/>
      <c r="M151" s="1774"/>
      <c r="N151" s="700"/>
      <c r="P151" s="871"/>
    </row>
    <row r="152" spans="1:16" s="863" customFormat="1">
      <c r="A152" s="862"/>
      <c r="B152" s="835"/>
      <c r="C152" s="835"/>
      <c r="D152" s="888" t="s">
        <v>12288</v>
      </c>
      <c r="E152" s="700" t="s">
        <v>12291</v>
      </c>
      <c r="F152" s="700">
        <f>K145</f>
        <v>10.92</v>
      </c>
      <c r="G152" s="700" t="s">
        <v>11683</v>
      </c>
      <c r="H152" s="828">
        <f>18.8+1.75</f>
        <v>20.55</v>
      </c>
      <c r="I152" s="828" t="s">
        <v>12180</v>
      </c>
      <c r="J152" s="828">
        <f>20-J153</f>
        <v>15.25</v>
      </c>
      <c r="K152" s="828">
        <v>2.5</v>
      </c>
      <c r="L152" s="828">
        <f>(H152*K152)-F152</f>
        <v>40.454999999999998</v>
      </c>
      <c r="M152" s="877">
        <f>(J152*K152)-M125</f>
        <v>37.125</v>
      </c>
      <c r="N152" s="700"/>
      <c r="P152" s="871"/>
    </row>
    <row r="153" spans="1:16" s="863" customFormat="1">
      <c r="A153" s="862"/>
      <c r="B153" s="835"/>
      <c r="C153" s="835"/>
      <c r="D153" s="888" t="s">
        <v>12288</v>
      </c>
      <c r="E153" s="700" t="s">
        <v>12292</v>
      </c>
      <c r="F153" s="828">
        <f>M133</f>
        <v>6.4649999999999999</v>
      </c>
      <c r="G153" s="700"/>
      <c r="H153" s="828"/>
      <c r="I153" s="828" t="s">
        <v>11682</v>
      </c>
      <c r="J153" s="828">
        <f>3.65+1.1</f>
        <v>4.75</v>
      </c>
      <c r="K153" s="828">
        <v>2.5</v>
      </c>
      <c r="L153" s="828"/>
      <c r="M153" s="877">
        <f>(J153*K153)-F153</f>
        <v>5.41</v>
      </c>
      <c r="N153" s="700"/>
      <c r="P153" s="871"/>
    </row>
    <row r="154" spans="1:16" s="863" customFormat="1">
      <c r="A154" s="862"/>
      <c r="B154" s="835"/>
      <c r="C154" s="835"/>
      <c r="D154" s="888" t="s">
        <v>12201</v>
      </c>
      <c r="E154" s="700"/>
      <c r="F154" s="700"/>
      <c r="G154" s="700"/>
      <c r="H154" s="828"/>
      <c r="I154" s="828" t="s">
        <v>12180</v>
      </c>
      <c r="J154" s="828">
        <v>20.7</v>
      </c>
      <c r="K154" s="828">
        <v>0.6</v>
      </c>
      <c r="L154" s="828"/>
      <c r="M154" s="877">
        <f>(J154*K154)</f>
        <v>12.42</v>
      </c>
      <c r="N154" s="700"/>
      <c r="P154" s="871"/>
    </row>
    <row r="155" spans="1:16" s="863" customFormat="1">
      <c r="A155" s="862"/>
      <c r="B155" s="835"/>
      <c r="C155" s="835"/>
      <c r="D155" s="888"/>
      <c r="E155" s="700"/>
      <c r="F155" s="700"/>
      <c r="G155" s="700"/>
      <c r="H155" s="828"/>
      <c r="I155" s="828"/>
      <c r="J155" s="828"/>
      <c r="K155" s="828"/>
      <c r="L155" s="828"/>
      <c r="M155" s="877"/>
      <c r="N155" s="700"/>
      <c r="P155" s="871"/>
    </row>
    <row r="156" spans="1:16" s="863" customFormat="1" ht="40.5" customHeight="1">
      <c r="A156" s="862"/>
      <c r="B156" s="835"/>
      <c r="C156" s="835"/>
      <c r="D156" s="826" t="s">
        <v>12289</v>
      </c>
      <c r="E156" s="790"/>
      <c r="F156" s="790"/>
      <c r="G156" s="790"/>
      <c r="H156" s="790"/>
      <c r="I156" s="790" t="s">
        <v>12181</v>
      </c>
      <c r="J156" s="790"/>
      <c r="K156" s="790" t="s">
        <v>11682</v>
      </c>
      <c r="L156" s="700" t="s">
        <v>21</v>
      </c>
      <c r="M156" s="877">
        <f>SUMIFS(M152:M155,I152:I155,K156)+SUMIFS(L152:L155,G152:G155,K156)</f>
        <v>5.41</v>
      </c>
      <c r="N156" s="700"/>
      <c r="P156" s="871"/>
    </row>
    <row r="157" spans="1:16" s="863" customFormat="1" ht="43.5" customHeight="1">
      <c r="A157" s="862"/>
      <c r="B157" s="835"/>
      <c r="C157" s="835"/>
      <c r="D157" s="826" t="s">
        <v>14337</v>
      </c>
      <c r="E157" s="790"/>
      <c r="F157" s="790"/>
      <c r="G157" s="790"/>
      <c r="H157" s="790"/>
      <c r="I157" s="790" t="s">
        <v>12181</v>
      </c>
      <c r="J157" s="790"/>
      <c r="K157" s="790" t="s">
        <v>12180</v>
      </c>
      <c r="L157" s="700" t="s">
        <v>21</v>
      </c>
      <c r="M157" s="877">
        <f>SUMIFS(M152:M155,I152:I155,K157)+SUMIFS(L152:L155,G152:G155,K157)</f>
        <v>49.545000000000002</v>
      </c>
      <c r="N157" s="700"/>
      <c r="P157" s="871"/>
    </row>
    <row r="158" spans="1:16" s="863" customFormat="1" ht="37.5" customHeight="1">
      <c r="A158" s="862"/>
      <c r="B158" s="835"/>
      <c r="C158" s="835"/>
      <c r="D158" s="836" t="s">
        <v>12290</v>
      </c>
      <c r="E158" s="837"/>
      <c r="F158" s="837"/>
      <c r="G158" s="837"/>
      <c r="H158" s="837"/>
      <c r="I158" s="837" t="s">
        <v>12181</v>
      </c>
      <c r="J158" s="837"/>
      <c r="K158" s="837" t="s">
        <v>11683</v>
      </c>
      <c r="L158" s="852" t="s">
        <v>21</v>
      </c>
      <c r="M158" s="939">
        <f>SUMIFS(M152:M155,I152:I155,K158)+SUMIFS(L152:L155,G152:G155,K158)</f>
        <v>40.454999999999998</v>
      </c>
      <c r="N158" s="700"/>
      <c r="P158" s="871"/>
    </row>
    <row r="159" spans="1:16" s="863" customFormat="1">
      <c r="A159" s="862"/>
      <c r="B159" s="835"/>
      <c r="C159" s="835"/>
      <c r="D159" s="826"/>
      <c r="E159" s="790"/>
      <c r="F159" s="790"/>
      <c r="G159" s="700" t="s">
        <v>30</v>
      </c>
      <c r="H159" s="700" t="s">
        <v>30</v>
      </c>
      <c r="I159" s="700" t="s">
        <v>30</v>
      </c>
      <c r="J159" s="700" t="s">
        <v>30</v>
      </c>
      <c r="K159" s="700" t="s">
        <v>30</v>
      </c>
      <c r="L159" s="700" t="s">
        <v>30</v>
      </c>
      <c r="M159" s="876" t="s">
        <v>30</v>
      </c>
      <c r="N159" s="700"/>
      <c r="P159" s="871"/>
    </row>
    <row r="160" spans="1:16" s="863" customFormat="1" ht="22.5">
      <c r="A160" s="862"/>
      <c r="B160" s="835"/>
      <c r="C160" s="835"/>
      <c r="D160" s="836" t="s">
        <v>12210</v>
      </c>
      <c r="E160" s="837"/>
      <c r="F160" s="837"/>
      <c r="G160" s="852"/>
      <c r="H160" s="838"/>
      <c r="I160" s="852"/>
      <c r="J160" s="838"/>
      <c r="K160" s="852" t="s">
        <v>27</v>
      </c>
      <c r="L160" s="852" t="s">
        <v>21</v>
      </c>
      <c r="M160" s="853">
        <f>18.8+2.55</f>
        <v>21.35</v>
      </c>
      <c r="N160" s="700"/>
      <c r="P160" s="871"/>
    </row>
    <row r="161" spans="1:16" s="863" customFormat="1">
      <c r="A161" s="862"/>
      <c r="B161" s="835"/>
      <c r="C161" s="835"/>
      <c r="D161" s="826"/>
      <c r="E161" s="790"/>
      <c r="F161" s="790"/>
      <c r="G161" s="700" t="s">
        <v>30</v>
      </c>
      <c r="H161" s="700" t="s">
        <v>30</v>
      </c>
      <c r="I161" s="700" t="s">
        <v>30</v>
      </c>
      <c r="J161" s="700" t="s">
        <v>30</v>
      </c>
      <c r="K161" s="700" t="s">
        <v>30</v>
      </c>
      <c r="L161" s="700" t="s">
        <v>30</v>
      </c>
      <c r="M161" s="827"/>
      <c r="N161" s="700"/>
      <c r="P161" s="871"/>
    </row>
    <row r="162" spans="1:16" s="863" customFormat="1" ht="33.75">
      <c r="A162" s="862" t="s">
        <v>12256</v>
      </c>
      <c r="B162" s="835" t="s">
        <v>70</v>
      </c>
      <c r="C162" s="835">
        <v>87908</v>
      </c>
      <c r="D162" s="836" t="str">
        <f>PROPER(IF(B162="Saneago",VLOOKUP(C162,'SANEAGO-FEV.2016'!A:B,2,0),IF(B162="SINAPI",VLOOKUP(C162,'SINAPI-FEV.2017'!A:D,2,0),IF(B162="Cotação",VLOOKUP(C162,COTAÇÃO!A:D,2,0),IF(B162="Composição",VLOOKUP(C162,COMPOSIÇÃO!A:D,2,0))))))</f>
        <v>Chapisco Aplicado Em Alvenaria (Com Presença De Vãos) E Estruturas De Concreto De Fachada, Com Equipamento De Projeção.  Argamassa Traço 1:3 Com Preparo Em Betoneira 400 L. Af_06/2014</v>
      </c>
      <c r="E162" s="837"/>
      <c r="F162" s="837"/>
      <c r="G162" s="838"/>
      <c r="H162" s="838"/>
      <c r="I162" s="838"/>
      <c r="J162" s="1759" t="s">
        <v>12293</v>
      </c>
      <c r="K162" s="1759"/>
      <c r="L162" s="852" t="s">
        <v>21</v>
      </c>
      <c r="M162" s="853">
        <f>SUM(L152:M154)</f>
        <v>95.41</v>
      </c>
      <c r="N162" s="700"/>
      <c r="P162" s="871"/>
    </row>
    <row r="163" spans="1:16" s="863" customFormat="1">
      <c r="A163" s="862"/>
      <c r="B163" s="835"/>
      <c r="C163" s="835"/>
      <c r="D163" s="826"/>
      <c r="E163" s="790"/>
      <c r="F163" s="790"/>
      <c r="G163" s="700" t="s">
        <v>30</v>
      </c>
      <c r="H163" s="700" t="s">
        <v>30</v>
      </c>
      <c r="I163" s="700" t="s">
        <v>30</v>
      </c>
      <c r="J163" s="700" t="s">
        <v>30</v>
      </c>
      <c r="K163" s="700" t="s">
        <v>30</v>
      </c>
      <c r="L163" s="700" t="s">
        <v>30</v>
      </c>
      <c r="M163" s="876" t="s">
        <v>30</v>
      </c>
      <c r="N163" s="700"/>
      <c r="P163" s="871"/>
    </row>
    <row r="164" spans="1:16" s="863" customFormat="1" ht="22.5">
      <c r="A164" s="862" t="s">
        <v>12257</v>
      </c>
      <c r="B164" s="835" t="s">
        <v>70</v>
      </c>
      <c r="C164" s="835">
        <v>87882</v>
      </c>
      <c r="D164" s="836" t="str">
        <f>PROPER(IF(B164="Saneago",VLOOKUP(C164,'SANEAGO-FEV.2016'!A:B,2,0),IF(B164="SINAPI",VLOOKUP(C164,'SINAPI-FEV.2017'!A:D,2,0),IF(B164="Cotação",VLOOKUP(C164,COTAÇÃO!A:D,2,0),IF(B164="Composição",VLOOKUP(C164,COMPOSIÇÃO!A:D,2,0))))))</f>
        <v>Chapisco Aplicado No Teto, Com Rolo Para Textura Acrílica. Argamassa Traço 1:4 E Emulsão Polimérica (Adesivo) Com Preparo Em Betoneira 400L. Af_06/2014</v>
      </c>
      <c r="E164" s="837"/>
      <c r="F164" s="837"/>
      <c r="G164" s="852"/>
      <c r="H164" s="852"/>
      <c r="I164" s="852"/>
      <c r="J164" s="852"/>
      <c r="K164" s="936" t="s">
        <v>12211</v>
      </c>
      <c r="L164" s="852" t="s">
        <v>21</v>
      </c>
      <c r="M164" s="853">
        <f>M160</f>
        <v>21.35</v>
      </c>
      <c r="N164" s="700"/>
      <c r="P164" s="871"/>
    </row>
    <row r="165" spans="1:16" s="863" customFormat="1">
      <c r="A165" s="862"/>
      <c r="B165" s="835"/>
      <c r="C165" s="835"/>
      <c r="D165" s="826"/>
      <c r="E165" s="790"/>
      <c r="F165" s="790"/>
      <c r="G165" s="700" t="s">
        <v>30</v>
      </c>
      <c r="H165" s="700" t="s">
        <v>30</v>
      </c>
      <c r="I165" s="700" t="s">
        <v>30</v>
      </c>
      <c r="J165" s="700" t="s">
        <v>11683</v>
      </c>
      <c r="K165" s="700" t="s">
        <v>12200</v>
      </c>
      <c r="L165" s="700" t="s">
        <v>30</v>
      </c>
      <c r="M165" s="876" t="s">
        <v>30</v>
      </c>
      <c r="N165" s="700"/>
      <c r="P165" s="871"/>
    </row>
    <row r="166" spans="1:16" s="863" customFormat="1" ht="33.75">
      <c r="A166" s="862" t="s">
        <v>12258</v>
      </c>
      <c r="B166" s="835" t="s">
        <v>70</v>
      </c>
      <c r="C166" s="835">
        <v>87296</v>
      </c>
      <c r="D166" s="836" t="str">
        <f>PROPER(IF(B166="Saneago",VLOOKUP(C166,'SANEAGO-FEV.2016'!A:B,2,0),IF(B166="SINAPI",VLOOKUP(C166,'SINAPI-FEV.2017'!A:D,2,0),IF(B166="Cotação",VLOOKUP(C166,COTAÇÃO!A:D,2,0),IF(B166="Composição",VLOOKUP(C166,COMPOSIÇÃO!A:D,2,0))))))</f>
        <v>Argamassa Traço 1:3:12 (Cimento, Cal E Areia Média) Para Emboço/Massa Única/Assentamento De Alvenaria De Vedação, Preparo Mecânico Com Betoneira 600 L. Af_06/2014</v>
      </c>
      <c r="E166" s="837"/>
      <c r="F166" s="837"/>
      <c r="G166" s="852"/>
      <c r="H166" s="852"/>
      <c r="I166" s="838"/>
      <c r="J166" s="1759" t="s">
        <v>12293</v>
      </c>
      <c r="K166" s="1759"/>
      <c r="L166" s="852" t="s">
        <v>20309</v>
      </c>
      <c r="M166" s="853">
        <f>M162*0.05</f>
        <v>4.7705000000000002</v>
      </c>
      <c r="N166" s="700"/>
      <c r="P166" s="871"/>
    </row>
    <row r="167" spans="1:16" s="863" customFormat="1" ht="13.5" thickBot="1">
      <c r="A167" s="862"/>
      <c r="B167" s="835"/>
      <c r="C167" s="835"/>
      <c r="D167" s="826"/>
      <c r="E167" s="790"/>
      <c r="F167" s="790"/>
      <c r="G167" s="700"/>
      <c r="H167" s="700"/>
      <c r="I167" s="700"/>
      <c r="J167" s="828"/>
      <c r="K167" s="828"/>
      <c r="L167" s="828"/>
      <c r="M167" s="829"/>
      <c r="N167" s="700"/>
      <c r="P167" s="871"/>
    </row>
    <row r="168" spans="1:16" s="863" customFormat="1" ht="14.25" thickTop="1" thickBot="1">
      <c r="A168" s="862"/>
      <c r="B168" s="835"/>
      <c r="C168" s="835"/>
      <c r="D168" s="830" t="s">
        <v>55</v>
      </c>
      <c r="E168" s="831"/>
      <c r="F168" s="831"/>
      <c r="G168" s="831"/>
      <c r="H168" s="831"/>
      <c r="I168" s="831"/>
      <c r="J168" s="831"/>
      <c r="K168" s="831"/>
      <c r="L168" s="832" t="s">
        <v>25</v>
      </c>
      <c r="M168" s="833" t="s">
        <v>27</v>
      </c>
      <c r="N168" s="700"/>
      <c r="P168" s="871"/>
    </row>
    <row r="169" spans="1:16" s="863" customFormat="1" ht="13.5" thickTop="1">
      <c r="A169" s="862"/>
      <c r="B169" s="835"/>
      <c r="C169" s="835"/>
      <c r="D169" s="826"/>
      <c r="E169" s="790"/>
      <c r="F169" s="790"/>
      <c r="G169" s="700" t="s">
        <v>30</v>
      </c>
      <c r="H169" s="700" t="s">
        <v>30</v>
      </c>
      <c r="I169" s="700" t="s">
        <v>30</v>
      </c>
      <c r="J169" s="700" t="s">
        <v>11682</v>
      </c>
      <c r="K169" s="700" t="s">
        <v>12180</v>
      </c>
      <c r="L169" s="700" t="s">
        <v>30</v>
      </c>
      <c r="M169" s="876" t="s">
        <v>30</v>
      </c>
      <c r="N169" s="700"/>
      <c r="P169" s="871"/>
    </row>
    <row r="170" spans="1:16" s="863" customFormat="1" ht="22.5">
      <c r="A170" s="862" t="s">
        <v>12294</v>
      </c>
      <c r="B170" s="835" t="s">
        <v>70</v>
      </c>
      <c r="C170" s="835">
        <v>88487</v>
      </c>
      <c r="D170" s="836" t="str">
        <f>PROPER(IF(B170="Saneago",VLOOKUP(C170,'SANEAGO-FEV.2016'!A:B,2,0),IF(B170="SINAPI",VLOOKUP(C170,'SINAPI-FEV.2017'!A:D,2,0),IF(B170="Cotação",VLOOKUP(C170,COTAÇÃO!A:D,2,0),IF(B170="Composição",VLOOKUP(C170,COMPOSIÇÃO!A:D,2,0))))))</f>
        <v>Aplicação Manual De Pintura Com Tinta Látex Pva Em Paredes, Duas Demãos. Af_06/2014</v>
      </c>
      <c r="E170" s="837"/>
      <c r="F170" s="837"/>
      <c r="G170" s="838"/>
      <c r="H170" s="838"/>
      <c r="I170" s="838"/>
      <c r="J170" s="838">
        <f>M156</f>
        <v>5.41</v>
      </c>
      <c r="K170" s="838">
        <f>M157</f>
        <v>49.545000000000002</v>
      </c>
      <c r="L170" s="852" t="s">
        <v>21</v>
      </c>
      <c r="M170" s="853">
        <f>SUM(G170:K170)</f>
        <v>54.954999999999998</v>
      </c>
      <c r="N170" s="700"/>
      <c r="P170" s="871"/>
    </row>
    <row r="171" spans="1:16" s="863" customFormat="1">
      <c r="A171" s="862"/>
      <c r="B171" s="835"/>
      <c r="C171" s="835"/>
      <c r="D171" s="826"/>
      <c r="E171" s="790"/>
      <c r="F171" s="790"/>
      <c r="G171" s="700" t="s">
        <v>30</v>
      </c>
      <c r="H171" s="700" t="s">
        <v>30</v>
      </c>
      <c r="I171" s="700" t="s">
        <v>30</v>
      </c>
      <c r="J171" s="700" t="s">
        <v>30</v>
      </c>
      <c r="K171" s="700" t="s">
        <v>11683</v>
      </c>
      <c r="L171" s="700" t="s">
        <v>30</v>
      </c>
      <c r="M171" s="876" t="s">
        <v>30</v>
      </c>
      <c r="N171" s="700"/>
      <c r="P171" s="871"/>
    </row>
    <row r="172" spans="1:16" s="863" customFormat="1" ht="22.5">
      <c r="A172" s="862" t="s">
        <v>12259</v>
      </c>
      <c r="B172" s="835" t="s">
        <v>70</v>
      </c>
      <c r="C172" s="835">
        <v>88489</v>
      </c>
      <c r="D172" s="836" t="str">
        <f>PROPER(IF(B172="Saneago",VLOOKUP(C172,'SANEAGO-FEV.2016'!A:B,2,0),IF(B172="SINAPI",VLOOKUP(C172,'SINAPI-FEV.2017'!A:D,2,0),IF(B172="Cotação",VLOOKUP(C172,COTAÇÃO!A:D,2,0),IF(B172="Composição",VLOOKUP(C172,COMPOSIÇÃO!A:D,2,0))))))</f>
        <v>Aplicação Manual De Pintura Com Tinta Látex Acrílica Em Paredes, Duas Demãos. Af_06/2014</v>
      </c>
      <c r="E172" s="837"/>
      <c r="F172" s="837"/>
      <c r="G172" s="838"/>
      <c r="H172" s="838"/>
      <c r="I172" s="838"/>
      <c r="J172" s="838"/>
      <c r="K172" s="838">
        <f>M158</f>
        <v>40.454999999999998</v>
      </c>
      <c r="L172" s="852" t="s">
        <v>21</v>
      </c>
      <c r="M172" s="853">
        <f>SUM(G172:K172)</f>
        <v>40.454999999999998</v>
      </c>
      <c r="N172" s="700"/>
      <c r="P172" s="871"/>
    </row>
    <row r="173" spans="1:16" s="863" customFormat="1">
      <c r="A173" s="862"/>
      <c r="B173" s="835"/>
      <c r="C173" s="835"/>
      <c r="D173" s="826"/>
      <c r="E173" s="790"/>
      <c r="F173" s="790"/>
      <c r="G173" s="700" t="s">
        <v>30</v>
      </c>
      <c r="H173" s="700" t="s">
        <v>30</v>
      </c>
      <c r="I173" s="700" t="s">
        <v>30</v>
      </c>
      <c r="J173" s="700" t="s">
        <v>30</v>
      </c>
      <c r="K173" s="700" t="s">
        <v>12295</v>
      </c>
      <c r="L173" s="700" t="s">
        <v>30</v>
      </c>
      <c r="M173" s="876" t="s">
        <v>30</v>
      </c>
      <c r="N173" s="700"/>
      <c r="P173" s="871"/>
    </row>
    <row r="174" spans="1:16" s="863" customFormat="1">
      <c r="A174" s="862" t="s">
        <v>12296</v>
      </c>
      <c r="B174" s="835" t="s">
        <v>70</v>
      </c>
      <c r="C174" s="835">
        <v>88486</v>
      </c>
      <c r="D174" s="836" t="str">
        <f>PROPER(IF(B174="Saneago",VLOOKUP(C174,'SANEAGO-FEV.2016'!A:B,2,0),IF(B174="SINAPI",VLOOKUP(C174,'SINAPI-FEV.2017'!A:D,2,0),IF(B174="Cotação",VLOOKUP(C174,COTAÇÃO!A:D,2,0),IF(B174="Composição",VLOOKUP(C174,COMPOSIÇÃO!A:D,2,0))))))</f>
        <v>Aplicação Manual De Pintura Com Tinta Látex Pva Em Teto, Duas Demãos. Af_06/2014</v>
      </c>
      <c r="E174" s="837"/>
      <c r="F174" s="837"/>
      <c r="G174" s="838"/>
      <c r="H174" s="838"/>
      <c r="I174" s="838"/>
      <c r="J174" s="838"/>
      <c r="K174" s="838">
        <f>M164</f>
        <v>21.35</v>
      </c>
      <c r="L174" s="852" t="s">
        <v>21</v>
      </c>
      <c r="M174" s="853">
        <f>SUM(I174:K174)</f>
        <v>21.35</v>
      </c>
      <c r="N174" s="700"/>
      <c r="P174" s="871"/>
    </row>
    <row r="175" spans="1:16" s="863" customFormat="1" ht="13.5" thickBot="1">
      <c r="A175" s="862"/>
      <c r="B175" s="835"/>
      <c r="C175" s="835"/>
      <c r="D175" s="826"/>
      <c r="E175" s="790"/>
      <c r="F175" s="790"/>
      <c r="G175" s="700"/>
      <c r="H175" s="700"/>
      <c r="I175" s="700"/>
      <c r="J175" s="828"/>
      <c r="K175" s="828"/>
      <c r="L175" s="828"/>
      <c r="M175" s="829"/>
      <c r="N175" s="700"/>
      <c r="P175" s="871"/>
    </row>
    <row r="176" spans="1:16" s="863" customFormat="1" ht="14.25" thickTop="1" thickBot="1">
      <c r="A176" s="862"/>
      <c r="B176" s="835"/>
      <c r="C176" s="835"/>
      <c r="D176" s="830" t="s">
        <v>63</v>
      </c>
      <c r="E176" s="831"/>
      <c r="F176" s="831"/>
      <c r="G176" s="831"/>
      <c r="H176" s="831"/>
      <c r="I176" s="831"/>
      <c r="J176" s="831"/>
      <c r="K176" s="831"/>
      <c r="L176" s="832" t="s">
        <v>25</v>
      </c>
      <c r="M176" s="833" t="s">
        <v>27</v>
      </c>
      <c r="N176" s="700"/>
      <c r="P176" s="871"/>
    </row>
    <row r="177" spans="1:18" s="863" customFormat="1" ht="13.5" thickTop="1">
      <c r="A177" s="862"/>
      <c r="B177" s="835"/>
      <c r="C177" s="835"/>
      <c r="D177" s="881"/>
      <c r="E177" s="882"/>
      <c r="F177" s="882"/>
      <c r="G177" s="925"/>
      <c r="H177" s="828" t="s">
        <v>30</v>
      </c>
      <c r="I177" s="700" t="s">
        <v>30</v>
      </c>
      <c r="J177" s="700" t="s">
        <v>30</v>
      </c>
      <c r="K177" s="700" t="s">
        <v>30</v>
      </c>
      <c r="L177" s="700" t="s">
        <v>30</v>
      </c>
      <c r="M177" s="876" t="s">
        <v>30</v>
      </c>
      <c r="N177" s="700"/>
      <c r="P177" s="871"/>
    </row>
    <row r="178" spans="1:18" s="863" customFormat="1" ht="22.5">
      <c r="A178" s="862"/>
      <c r="B178" s="835"/>
      <c r="C178" s="835"/>
      <c r="D178" s="836" t="s">
        <v>12219</v>
      </c>
      <c r="E178" s="837"/>
      <c r="F178" s="837"/>
      <c r="G178" s="895"/>
      <c r="H178" s="838"/>
      <c r="I178" s="838"/>
      <c r="J178" s="838"/>
      <c r="K178" s="838"/>
      <c r="L178" s="838" t="s">
        <v>21</v>
      </c>
      <c r="M178" s="939">
        <v>18.8</v>
      </c>
      <c r="N178" s="700"/>
      <c r="P178" s="871"/>
    </row>
    <row r="179" spans="1:18" s="863" customFormat="1">
      <c r="A179" s="862"/>
      <c r="B179" s="835"/>
      <c r="C179" s="835"/>
      <c r="D179" s="881"/>
      <c r="E179" s="882"/>
      <c r="F179" s="882"/>
      <c r="G179" s="925"/>
      <c r="H179" s="828" t="s">
        <v>30</v>
      </c>
      <c r="I179" s="700" t="s">
        <v>30</v>
      </c>
      <c r="J179" s="700" t="s">
        <v>30</v>
      </c>
      <c r="K179" s="700" t="s">
        <v>30</v>
      </c>
      <c r="L179" s="700" t="s">
        <v>30</v>
      </c>
      <c r="M179" s="876" t="s">
        <v>30</v>
      </c>
      <c r="N179" s="700"/>
      <c r="P179" s="871"/>
    </row>
    <row r="180" spans="1:18" s="863" customFormat="1" ht="22.5">
      <c r="A180" s="862"/>
      <c r="B180" s="835"/>
      <c r="C180" s="835"/>
      <c r="D180" s="836" t="s">
        <v>12220</v>
      </c>
      <c r="E180" s="837"/>
      <c r="F180" s="837"/>
      <c r="G180" s="895"/>
      <c r="H180" s="838"/>
      <c r="I180" s="838"/>
      <c r="J180" s="838"/>
      <c r="K180" s="838"/>
      <c r="L180" s="838" t="s">
        <v>21</v>
      </c>
      <c r="M180" s="939">
        <v>16</v>
      </c>
      <c r="N180" s="700"/>
      <c r="P180" s="871"/>
    </row>
    <row r="181" spans="1:18" s="863" customFormat="1">
      <c r="A181" s="862"/>
      <c r="B181" s="835"/>
      <c r="C181" s="835"/>
      <c r="D181" s="826"/>
      <c r="E181" s="790"/>
      <c r="F181" s="790"/>
      <c r="G181" s="700" t="s">
        <v>30</v>
      </c>
      <c r="H181" s="700" t="s">
        <v>30</v>
      </c>
      <c r="I181" s="700" t="s">
        <v>30</v>
      </c>
      <c r="J181" s="700" t="s">
        <v>30</v>
      </c>
      <c r="K181" s="700" t="s">
        <v>30</v>
      </c>
      <c r="L181" s="700"/>
      <c r="M181" s="827"/>
      <c r="N181" s="700"/>
      <c r="P181" s="871"/>
    </row>
    <row r="182" spans="1:18" s="863" customFormat="1" ht="22.5">
      <c r="A182" s="862" t="s">
        <v>12260</v>
      </c>
      <c r="B182" s="855" t="s">
        <v>70</v>
      </c>
      <c r="C182" s="855" t="s">
        <v>18613</v>
      </c>
      <c r="D182" s="836" t="str">
        <f>PROPER(IF(B182="Saneago",VLOOKUP(C182,'SANEAGO-FEV.2016'!A:B,2,0),IF(B182="SINAPI",VLOOKUP(C182,'SINAPI-FEV.2017'!A:D,2,0),IF(B182="Cotação",VLOOKUP(C182,COTAÇÃO!A:D,2,0),IF(B182="Composição",VLOOKUP(C182,COMPOSIÇÃO!A:D,2,0))))))</f>
        <v>Piso Cimentado Traco 1:3 (Cimento E Areia), Com Acabamento Rustico E Frisado Espessura 2Cm, Preparo Manual</v>
      </c>
      <c r="E182" s="837"/>
      <c r="F182" s="837"/>
      <c r="G182" s="838"/>
      <c r="H182" s="838"/>
      <c r="I182" s="838"/>
      <c r="J182" s="838"/>
      <c r="K182" s="838"/>
      <c r="L182" s="852" t="s">
        <v>21</v>
      </c>
      <c r="M182" s="853">
        <f>M178</f>
        <v>18.8</v>
      </c>
      <c r="N182" s="700"/>
      <c r="P182" s="871"/>
    </row>
    <row r="183" spans="1:18" s="863" customFormat="1">
      <c r="A183" s="862"/>
      <c r="B183" s="835"/>
      <c r="C183" s="835"/>
      <c r="D183" s="826"/>
      <c r="E183" s="790"/>
      <c r="F183" s="790"/>
      <c r="G183" s="700" t="s">
        <v>30</v>
      </c>
      <c r="H183" s="700" t="s">
        <v>30</v>
      </c>
      <c r="I183" s="700" t="s">
        <v>30</v>
      </c>
      <c r="J183" s="700" t="s">
        <v>30</v>
      </c>
      <c r="K183" s="700" t="s">
        <v>30</v>
      </c>
      <c r="L183" s="700"/>
      <c r="M183" s="827"/>
      <c r="N183" s="700"/>
      <c r="P183" s="871"/>
    </row>
    <row r="184" spans="1:18" s="863" customFormat="1" ht="22.5">
      <c r="A184" s="862" t="s">
        <v>12261</v>
      </c>
      <c r="B184" s="855" t="s">
        <v>70</v>
      </c>
      <c r="C184" s="835">
        <v>87247</v>
      </c>
      <c r="D184" s="836" t="str">
        <f>PROPER(IF(B184="Saneago",VLOOKUP(C184,'SANEAGO-FEV.2016'!A:B,2,0),IF(B184="SINAPI",VLOOKUP(C184,'SINAPI-FEV.2017'!A:D,2,0),IF(B184="Cotação",VLOOKUP(C184,COTAÇÃO!A:D,2,0),IF(B184="Composição",VLOOKUP(C184,COMPOSIÇÃO!A:D,2,0))))))</f>
        <v>Revestimento Cerâmico Para Piso Com Placas Tipo Grês De Dimensões 35X35 Cm Aplicada Em Ambientes De Área Entre 5 M2 E 10 M2. Af_06/2014</v>
      </c>
      <c r="E184" s="837"/>
      <c r="F184" s="837"/>
      <c r="G184" s="838"/>
      <c r="H184" s="838"/>
      <c r="I184" s="838"/>
      <c r="J184" s="838"/>
      <c r="K184" s="838"/>
      <c r="L184" s="852" t="s">
        <v>21</v>
      </c>
      <c r="M184" s="853">
        <f>M182</f>
        <v>18.8</v>
      </c>
      <c r="N184" s="700"/>
      <c r="P184" s="871"/>
    </row>
    <row r="185" spans="1:18" s="863" customFormat="1">
      <c r="A185" s="862"/>
      <c r="B185" s="835"/>
      <c r="C185" s="835"/>
      <c r="D185" s="826"/>
      <c r="E185" s="790"/>
      <c r="F185" s="790"/>
      <c r="G185" s="700" t="s">
        <v>30</v>
      </c>
      <c r="H185" s="700" t="s">
        <v>30</v>
      </c>
      <c r="I185" s="700" t="s">
        <v>30</v>
      </c>
      <c r="J185" s="700" t="s">
        <v>30</v>
      </c>
      <c r="K185" s="700" t="s">
        <v>30</v>
      </c>
      <c r="L185" s="700"/>
      <c r="M185" s="827"/>
      <c r="N185" s="700"/>
      <c r="P185" s="871"/>
    </row>
    <row r="186" spans="1:18" s="863" customFormat="1" ht="22.5">
      <c r="A186" s="862" t="s">
        <v>12262</v>
      </c>
      <c r="B186" s="855" t="s">
        <v>70</v>
      </c>
      <c r="C186" s="850">
        <v>94990</v>
      </c>
      <c r="D186" s="836" t="str">
        <f>PROPER(IF(B186="Saneago",VLOOKUP(C186,'SANEAGO-FEV.2016'!A:B,2,0),IF(B186="SINAPI",VLOOKUP(C186,'SINAPI-FEV.2017'!A:D,2,0),IF(B186="Cotação",VLOOKUP(C186,COTAÇÃO!A:D,2,0),IF(B186="Composição",VLOOKUP(C186,COMPOSIÇÃO!A:D,2,0))))))</f>
        <v>Execução De Passeio (Calçada) Ou Piso De Concreto Com Concreto Moldado In Loco, Feito Em Obra, Acabamento Convencional, Não Armado. Af_07/2016</v>
      </c>
      <c r="E186" s="837"/>
      <c r="F186" s="837"/>
      <c r="G186" s="838"/>
      <c r="H186" s="838"/>
      <c r="I186" s="838"/>
      <c r="J186" s="838"/>
      <c r="K186" s="838"/>
      <c r="L186" s="852" t="s">
        <v>20309</v>
      </c>
      <c r="M186" s="853">
        <f>M180*0.06</f>
        <v>0.96</v>
      </c>
      <c r="N186" s="700"/>
      <c r="P186" s="871"/>
    </row>
    <row r="187" spans="1:18" s="863" customFormat="1">
      <c r="A187" s="862"/>
      <c r="B187" s="835"/>
      <c r="C187" s="835"/>
      <c r="D187" s="826"/>
      <c r="E187" s="790"/>
      <c r="F187" s="790"/>
      <c r="G187" s="700" t="s">
        <v>30</v>
      </c>
      <c r="H187" s="700" t="s">
        <v>30</v>
      </c>
      <c r="I187" s="700" t="s">
        <v>30</v>
      </c>
      <c r="J187" s="700" t="s">
        <v>30</v>
      </c>
      <c r="K187" s="700" t="s">
        <v>30</v>
      </c>
      <c r="L187" s="700"/>
      <c r="M187" s="827"/>
      <c r="N187" s="700"/>
      <c r="P187" s="871"/>
    </row>
    <row r="188" spans="1:18" s="863" customFormat="1" ht="22.5">
      <c r="A188" s="862" t="s">
        <v>12263</v>
      </c>
      <c r="B188" s="855" t="s">
        <v>70</v>
      </c>
      <c r="C188" s="835">
        <v>20231</v>
      </c>
      <c r="D188" s="836" t="str">
        <f>PROPER(IF(B188="Saneago",VLOOKUP(C188,'SANEAGO-FEV.2016'!A:B,2,0),IF(B188="SINAPI",VLOOKUP(C188,'SINAPI-FEV.2017'!A:D,2,0),IF(B188="Cotação",VLOOKUP(C188,COTAÇÃO!A:D,2,0),IF(B188="Composição",VLOOKUP(C188,COMPOSIÇÃO!A:D,2,0))))))</f>
        <v>Rodape Ou Rodabancada Em Granito, Polido, Tipo Andorinha/ Quartz/ Castelo/ Corumba Ou Outros Equivalentes Da Regiao, H= 10 Cm, E=  *2,0* Cm</v>
      </c>
      <c r="E188" s="837"/>
      <c r="F188" s="837"/>
      <c r="G188" s="838"/>
      <c r="H188" s="838"/>
      <c r="I188" s="838"/>
      <c r="J188" s="838"/>
      <c r="K188" s="838"/>
      <c r="L188" s="852" t="s">
        <v>18</v>
      </c>
      <c r="M188" s="853">
        <f>18.8+1.75-0.8</f>
        <v>19.75</v>
      </c>
      <c r="N188" s="700"/>
      <c r="P188" s="871"/>
    </row>
    <row r="189" spans="1:18" s="863" customFormat="1">
      <c r="A189" s="862"/>
      <c r="B189" s="835"/>
      <c r="C189" s="835"/>
      <c r="D189" s="826"/>
      <c r="E189" s="790"/>
      <c r="F189" s="790"/>
      <c r="G189" s="700" t="s">
        <v>30</v>
      </c>
      <c r="H189" s="700" t="s">
        <v>30</v>
      </c>
      <c r="I189" s="700" t="s">
        <v>30</v>
      </c>
      <c r="J189" s="700" t="s">
        <v>30</v>
      </c>
      <c r="K189" s="700" t="s">
        <v>30</v>
      </c>
      <c r="L189" s="700"/>
      <c r="M189" s="827"/>
      <c r="N189" s="700"/>
      <c r="P189" s="871"/>
    </row>
    <row r="190" spans="1:18" s="863" customFormat="1" ht="22.5">
      <c r="A190" s="862" t="s">
        <v>12264</v>
      </c>
      <c r="B190" s="835" t="s">
        <v>70</v>
      </c>
      <c r="C190" s="835">
        <v>20232</v>
      </c>
      <c r="D190" s="836" t="str">
        <f>PROPER(IF(B190="Saneago",VLOOKUP(C190,'SANEAGO-FEV.2016'!A:B,2,0),IF(B190="SINAPI",VLOOKUP(C190,'SINAPI-FEV.2017'!A:D,2,0),IF(B190="Cotação",VLOOKUP(C190,COTAÇÃO!A:D,2,0),IF(B190="Composição",VLOOKUP(C190,COMPOSIÇÃO!A:D,2,0))))))</f>
        <v>Soleira Em Granito, Polido, Tipo Andorinha/ Quartz/ Castelo/ Corumba Ou Outros Equivalentes Da Regiao, L= *15* Cm, E=  *2,0* Cm</v>
      </c>
      <c r="E190" s="837"/>
      <c r="F190" s="837"/>
      <c r="G190" s="838"/>
      <c r="H190" s="838"/>
      <c r="I190" s="838"/>
      <c r="J190" s="838"/>
      <c r="K190" s="838"/>
      <c r="L190" s="852" t="s">
        <v>18</v>
      </c>
      <c r="M190" s="853">
        <v>0.8</v>
      </c>
      <c r="N190" s="700"/>
      <c r="P190" s="871"/>
    </row>
    <row r="191" spans="1:18" s="863" customFormat="1" ht="13.5" thickBot="1">
      <c r="A191" s="862"/>
      <c r="B191" s="835"/>
      <c r="C191" s="835"/>
      <c r="D191" s="826"/>
      <c r="E191" s="790"/>
      <c r="F191" s="790"/>
      <c r="G191" s="700"/>
      <c r="H191" s="700"/>
      <c r="I191" s="700"/>
      <c r="J191" s="828"/>
      <c r="K191" s="828"/>
      <c r="L191" s="828"/>
      <c r="M191" s="829"/>
      <c r="N191" s="700"/>
      <c r="P191" s="871"/>
    </row>
    <row r="192" spans="1:18" s="824" customFormat="1" ht="14.25" thickTop="1" thickBot="1">
      <c r="A192" s="905"/>
      <c r="B192" s="906"/>
      <c r="C192" s="906"/>
      <c r="D192" s="830" t="s">
        <v>59</v>
      </c>
      <c r="E192" s="831"/>
      <c r="F192" s="831"/>
      <c r="G192" s="831"/>
      <c r="H192" s="831"/>
      <c r="I192" s="831"/>
      <c r="J192" s="831"/>
      <c r="K192" s="831"/>
      <c r="L192" s="832" t="s">
        <v>25</v>
      </c>
      <c r="M192" s="833" t="s">
        <v>27</v>
      </c>
      <c r="N192" s="700"/>
      <c r="O192" s="863"/>
      <c r="P192" s="871"/>
      <c r="Q192" s="863"/>
      <c r="R192" s="863"/>
    </row>
    <row r="193" spans="1:18" s="824" customFormat="1" ht="13.5" thickTop="1">
      <c r="A193" s="905"/>
      <c r="B193" s="906"/>
      <c r="C193" s="906"/>
      <c r="D193" s="826"/>
      <c r="E193" s="790"/>
      <c r="F193" s="828" t="s">
        <v>30</v>
      </c>
      <c r="G193" s="828" t="s">
        <v>30</v>
      </c>
      <c r="H193" s="828" t="s">
        <v>30</v>
      </c>
      <c r="I193" s="828" t="s">
        <v>30</v>
      </c>
      <c r="J193" s="828" t="s">
        <v>30</v>
      </c>
      <c r="K193" s="828" t="s">
        <v>30</v>
      </c>
      <c r="L193" s="828" t="s">
        <v>30</v>
      </c>
      <c r="M193" s="877" t="s">
        <v>30</v>
      </c>
      <c r="N193" s="700"/>
      <c r="O193" s="863"/>
      <c r="P193" s="871"/>
      <c r="Q193" s="863"/>
      <c r="R193" s="863"/>
    </row>
    <row r="194" spans="1:18" s="824" customFormat="1">
      <c r="A194" s="862" t="s">
        <v>12265</v>
      </c>
      <c r="B194" s="835" t="s">
        <v>10852</v>
      </c>
      <c r="C194" s="835">
        <v>409</v>
      </c>
      <c r="D194" s="836" t="str">
        <f>PROPER(IF(B194="Saneago",VLOOKUP(C194,'SANEAGO-FEV.2016'!A:B,2,0),IF(B194="SINAPI",VLOOKUP(C194,'SINAPI-FEV.2017'!A:D,2,0),IF(B194="Cotação",VLOOKUP(C194,COTAÇÃO!A:D,2,0),IF(B194="Composição",VLOOKUP(C194,COMPOSIÇÃO!A:D,2,0))))))</f>
        <v>Cobertura  Com Telhas Onduladas  Fibro Cimento Esp.=6 Mm</v>
      </c>
      <c r="E194" s="837"/>
      <c r="F194" s="837"/>
      <c r="G194" s="838"/>
      <c r="H194" s="943"/>
      <c r="I194" s="943"/>
      <c r="J194" s="944"/>
      <c r="K194" s="838"/>
      <c r="L194" s="838" t="s">
        <v>21</v>
      </c>
      <c r="M194" s="853">
        <f>2.6*7</f>
        <v>18.2</v>
      </c>
      <c r="N194" s="700"/>
      <c r="O194" s="863"/>
      <c r="P194" s="871"/>
      <c r="Q194" s="863"/>
      <c r="R194" s="863"/>
    </row>
    <row r="195" spans="1:18" s="824" customFormat="1">
      <c r="A195" s="905"/>
      <c r="B195" s="906"/>
      <c r="C195" s="906"/>
      <c r="D195" s="826"/>
      <c r="E195" s="790"/>
      <c r="F195" s="790"/>
      <c r="G195" s="828" t="s">
        <v>30</v>
      </c>
      <c r="H195" s="828" t="s">
        <v>30</v>
      </c>
      <c r="I195" s="828" t="s">
        <v>30</v>
      </c>
      <c r="J195" s="828"/>
      <c r="K195" s="828"/>
      <c r="L195" s="828"/>
      <c r="M195" s="829"/>
      <c r="N195" s="700"/>
      <c r="O195" s="863"/>
      <c r="P195" s="871"/>
      <c r="Q195" s="863"/>
      <c r="R195" s="863"/>
    </row>
    <row r="196" spans="1:18" s="824" customFormat="1" ht="33.75">
      <c r="A196" s="862" t="s">
        <v>12266</v>
      </c>
      <c r="B196" s="835" t="s">
        <v>70</v>
      </c>
      <c r="C196" s="835">
        <v>92580</v>
      </c>
      <c r="D196" s="836" t="str">
        <f>PROPER(IF(B196="Saneago",VLOOKUP(C196,'SANEAGO-FEV.2016'!A:B,2,0),IF(B196="SINAPI",VLOOKUP(C196,'SINAPI-FEV.2017'!A:D,2,0),IF(B196="Cotação",VLOOKUP(C196,COTAÇÃO!A:D,2,0),IF(B196="Composição",VLOOKUP(C196,COMPOSIÇÃO!A:D,2,0))))))</f>
        <v>Trama De Aço Composta Por Terças Para Telhados De Até 2 Águas Para Telha Ondulada De Fibrocimento, Metálica, Plástica Ou Termoacústica, Incluso Transporte Vertical. Af_12/2015</v>
      </c>
      <c r="E196" s="837"/>
      <c r="F196" s="837"/>
      <c r="G196" s="838"/>
      <c r="H196" s="838"/>
      <c r="I196" s="838"/>
      <c r="J196" s="838"/>
      <c r="K196" s="838"/>
      <c r="L196" s="838" t="s">
        <v>21</v>
      </c>
      <c r="M196" s="853">
        <f>M194</f>
        <v>18.2</v>
      </c>
      <c r="N196" s="700"/>
      <c r="O196" s="863"/>
      <c r="P196" s="871"/>
      <c r="Q196" s="863"/>
      <c r="R196" s="863"/>
    </row>
    <row r="197" spans="1:18" s="824" customFormat="1">
      <c r="A197" s="905"/>
      <c r="B197" s="835"/>
      <c r="C197" s="835"/>
      <c r="D197" s="826"/>
      <c r="E197" s="790"/>
      <c r="F197" s="790"/>
      <c r="G197" s="828" t="s">
        <v>30</v>
      </c>
      <c r="H197" s="828" t="s">
        <v>30</v>
      </c>
      <c r="I197" s="828" t="s">
        <v>30</v>
      </c>
      <c r="J197" s="828" t="s">
        <v>30</v>
      </c>
      <c r="K197" s="828" t="s">
        <v>30</v>
      </c>
      <c r="L197" s="828"/>
      <c r="M197" s="829"/>
      <c r="N197" s="700"/>
      <c r="O197" s="863"/>
      <c r="P197" s="871"/>
      <c r="Q197" s="863"/>
      <c r="R197" s="863"/>
    </row>
    <row r="198" spans="1:18" s="824" customFormat="1">
      <c r="A198" s="862" t="s">
        <v>12267</v>
      </c>
      <c r="B198" s="835" t="s">
        <v>70</v>
      </c>
      <c r="C198" s="835">
        <v>1109</v>
      </c>
      <c r="D198" s="836" t="str">
        <f>PROPER(IF(B198="Saneago",VLOOKUP(C198,'SANEAGO-FEV.2016'!A:B,2,0),IF(B198="SINAPI",VLOOKUP(C198,'SINAPI-FEV.2017'!A:D,2,0),IF(B198="Cotação",VLOOKUP(C198,COTAÇÃO!A:D,2,0),IF(B198="Composição",VLOOKUP(C198,COMPOSIÇÃO!A:D,2,0))))))</f>
        <v>Calha Quadrada De Chapa De Aco Galvanizada Num 26, Corte 33 Cm</v>
      </c>
      <c r="E198" s="837"/>
      <c r="F198" s="837"/>
      <c r="G198" s="838"/>
      <c r="H198" s="838"/>
      <c r="I198" s="838"/>
      <c r="J198" s="838"/>
      <c r="K198" s="838"/>
      <c r="L198" s="838" t="s">
        <v>18</v>
      </c>
      <c r="M198" s="853">
        <v>7</v>
      </c>
      <c r="N198" s="700"/>
      <c r="O198" s="863"/>
      <c r="P198" s="871"/>
      <c r="Q198" s="863"/>
      <c r="R198" s="863"/>
    </row>
    <row r="199" spans="1:18" s="824" customFormat="1">
      <c r="A199" s="862"/>
      <c r="B199" s="835"/>
      <c r="C199" s="835"/>
      <c r="D199" s="826"/>
      <c r="E199" s="790"/>
      <c r="F199" s="790"/>
      <c r="G199" s="828" t="s">
        <v>30</v>
      </c>
      <c r="H199" s="828" t="s">
        <v>30</v>
      </c>
      <c r="I199" s="828" t="s">
        <v>30</v>
      </c>
      <c r="J199" s="828" t="s">
        <v>30</v>
      </c>
      <c r="K199" s="828" t="s">
        <v>30</v>
      </c>
      <c r="L199" s="828" t="s">
        <v>30</v>
      </c>
      <c r="M199" s="877" t="s">
        <v>30</v>
      </c>
      <c r="N199" s="700"/>
      <c r="O199" s="863"/>
      <c r="P199" s="871"/>
      <c r="Q199" s="863"/>
      <c r="R199" s="863"/>
    </row>
    <row r="200" spans="1:18" s="824" customFormat="1" ht="22.5">
      <c r="A200" s="862" t="s">
        <v>12268</v>
      </c>
      <c r="B200" s="835" t="s">
        <v>70</v>
      </c>
      <c r="C200" s="945">
        <v>7219</v>
      </c>
      <c r="D200" s="836" t="str">
        <f>PROPER(IF(B200="Saneago",VLOOKUP(C200,'SANEAGO-FEV.2016'!A:B,2,0),IF(B200="SINAPI",VLOOKUP(C200,'SINAPI-FEV.2017'!A:D,2,0),IF(B200="Cotação",VLOOKUP(C200,COTAÇÃO!A:D,2,0),IF(B200="Composição",VLOOKUP(C200,COMPOSIÇÃO!A:D,2,0))))))</f>
        <v>Cumeeira Universal Para Telha Ondulada De Fibrocimento, E = 6 Mm, Aba 210 Mm, Comprimento 1100 Mm (Sem Amianto)</v>
      </c>
      <c r="E200" s="837"/>
      <c r="F200" s="837"/>
      <c r="G200" s="838"/>
      <c r="H200" s="838"/>
      <c r="I200" s="838"/>
      <c r="J200" s="838"/>
      <c r="K200" s="838"/>
      <c r="L200" s="838" t="s">
        <v>18</v>
      </c>
      <c r="M200" s="853">
        <v>7</v>
      </c>
      <c r="N200" s="700"/>
      <c r="O200" s="863"/>
      <c r="P200" s="871"/>
      <c r="Q200" s="863"/>
      <c r="R200" s="863"/>
    </row>
    <row r="201" spans="1:18" s="824" customFormat="1">
      <c r="A201" s="905"/>
      <c r="B201" s="906"/>
      <c r="C201" s="906"/>
      <c r="D201" s="826"/>
      <c r="E201" s="790"/>
      <c r="F201" s="790"/>
      <c r="G201" s="828" t="s">
        <v>30</v>
      </c>
      <c r="H201" s="828" t="s">
        <v>30</v>
      </c>
      <c r="I201" s="828" t="s">
        <v>30</v>
      </c>
      <c r="J201" s="828" t="s">
        <v>30</v>
      </c>
      <c r="K201" s="828" t="s">
        <v>30</v>
      </c>
      <c r="L201" s="828"/>
      <c r="M201" s="829"/>
      <c r="N201" s="700"/>
      <c r="O201" s="863"/>
      <c r="P201" s="871"/>
      <c r="Q201" s="863"/>
      <c r="R201" s="863"/>
    </row>
    <row r="202" spans="1:18" s="824" customFormat="1">
      <c r="A202" s="862" t="s">
        <v>12269</v>
      </c>
      <c r="B202" s="835" t="s">
        <v>70</v>
      </c>
      <c r="C202" s="835">
        <v>1113</v>
      </c>
      <c r="D202" s="836" t="str">
        <f>PROPER(IF(B202="Saneago",VLOOKUP(C202,'SANEAGO-FEV.2016'!A:B,2,0),IF(B202="SINAPI",VLOOKUP(C202,'SINAPI-FEV.2017'!A:D,2,0),IF(B202="Cotação",VLOOKUP(C202,COTAÇÃO!A:D,2,0),IF(B202="Composição",VLOOKUP(C202,COMPOSIÇÃO!A:D,2,0))))))</f>
        <v>Rufo Externo/Interno De Chapa De Aco Galvanizada Num 26, Corte 33 Cm</v>
      </c>
      <c r="E202" s="837"/>
      <c r="F202" s="837"/>
      <c r="G202" s="838"/>
      <c r="H202" s="838"/>
      <c r="I202" s="838"/>
      <c r="J202" s="838"/>
      <c r="K202" s="838"/>
      <c r="L202" s="838" t="s">
        <v>18</v>
      </c>
      <c r="M202" s="853">
        <v>12.5</v>
      </c>
      <c r="N202" s="700"/>
      <c r="O202" s="863"/>
      <c r="P202" s="871"/>
      <c r="Q202" s="863"/>
      <c r="R202" s="863"/>
    </row>
    <row r="203" spans="1:18" s="824" customFormat="1" ht="22.5">
      <c r="A203" s="905"/>
      <c r="B203" s="906"/>
      <c r="C203" s="906"/>
      <c r="D203" s="826"/>
      <c r="E203" s="790"/>
      <c r="F203" s="790"/>
      <c r="G203" s="828" t="s">
        <v>61</v>
      </c>
      <c r="H203" s="828" t="s">
        <v>11688</v>
      </c>
      <c r="I203" s="828" t="s">
        <v>11689</v>
      </c>
      <c r="J203" s="828" t="s">
        <v>62</v>
      </c>
      <c r="K203" s="828" t="s">
        <v>36</v>
      </c>
      <c r="L203" s="828"/>
      <c r="M203" s="829"/>
      <c r="N203" s="700"/>
      <c r="O203" s="863"/>
      <c r="P203" s="871"/>
      <c r="Q203" s="863"/>
      <c r="R203" s="863"/>
    </row>
    <row r="204" spans="1:18" s="824" customFormat="1" ht="22.5">
      <c r="A204" s="862" t="s">
        <v>12270</v>
      </c>
      <c r="B204" s="835" t="s">
        <v>70</v>
      </c>
      <c r="C204" s="835">
        <v>73549</v>
      </c>
      <c r="D204" s="836" t="str">
        <f>PROPER(IF(B204="Saneago",VLOOKUP(C204,'SANEAGO-FEV.2016'!A:B,2,0),IF(B204="SINAPI",VLOOKUP(C204,'SINAPI-FEV.2017'!A:D,2,0),IF(B204="Cotação",VLOOKUP(C204,COTAÇÃO!A:D,2,0),IF(B204="Composição",VLOOKUP(C204,COMPOSIÇÃO!A:D,2,0))))))</f>
        <v>Argamassa Traco 1:4 (Cimento E Areia), Preparo Manual, Incluso Aditivo Impermeabilizante</v>
      </c>
      <c r="E204" s="837"/>
      <c r="F204" s="837"/>
      <c r="G204" s="838">
        <f>M198</f>
        <v>7</v>
      </c>
      <c r="H204" s="838">
        <v>0.35</v>
      </c>
      <c r="I204" s="838">
        <f>M202</f>
        <v>12.5</v>
      </c>
      <c r="J204" s="838">
        <v>0.1</v>
      </c>
      <c r="K204" s="838">
        <v>0.05</v>
      </c>
      <c r="L204" s="838" t="s">
        <v>20309</v>
      </c>
      <c r="M204" s="853">
        <f>((G204*H204)+(I204*J204))*0.05</f>
        <v>0.185</v>
      </c>
      <c r="N204" s="700"/>
      <c r="O204" s="863"/>
      <c r="P204" s="871"/>
      <c r="Q204" s="863"/>
      <c r="R204" s="863"/>
    </row>
    <row r="205" spans="1:18" s="824" customFormat="1" ht="13.5" thickBot="1">
      <c r="A205" s="905"/>
      <c r="B205" s="906"/>
      <c r="C205" s="906"/>
      <c r="D205" s="826"/>
      <c r="E205" s="790"/>
      <c r="F205" s="790"/>
      <c r="G205" s="700"/>
      <c r="H205" s="700"/>
      <c r="I205" s="700"/>
      <c r="J205" s="907"/>
      <c r="K205" s="700"/>
      <c r="L205" s="700"/>
      <c r="M205" s="827"/>
      <c r="N205" s="700"/>
      <c r="O205" s="863"/>
      <c r="P205" s="871"/>
      <c r="Q205" s="863"/>
      <c r="R205" s="863"/>
    </row>
    <row r="206" spans="1:18" ht="17.25" customHeight="1" thickTop="1" thickBot="1">
      <c r="A206" s="912"/>
      <c r="B206" s="855"/>
      <c r="D206" s="830" t="s">
        <v>24</v>
      </c>
      <c r="E206" s="831"/>
      <c r="F206" s="831"/>
      <c r="G206" s="831"/>
      <c r="H206" s="831"/>
      <c r="I206" s="831"/>
      <c r="J206" s="831"/>
      <c r="K206" s="831"/>
      <c r="L206" s="832" t="s">
        <v>25</v>
      </c>
      <c r="M206" s="833" t="s">
        <v>27</v>
      </c>
    </row>
    <row r="207" spans="1:18" s="824" customFormat="1" ht="13.5" thickTop="1">
      <c r="A207" s="905"/>
      <c r="B207" s="906"/>
      <c r="C207" s="906"/>
      <c r="D207" s="826"/>
      <c r="E207" s="790"/>
      <c r="F207" s="790"/>
      <c r="G207" s="828" t="s">
        <v>30</v>
      </c>
      <c r="H207" s="828" t="s">
        <v>30</v>
      </c>
      <c r="I207" s="828" t="s">
        <v>30</v>
      </c>
      <c r="J207" s="828" t="s">
        <v>30</v>
      </c>
      <c r="K207" s="828" t="s">
        <v>30</v>
      </c>
      <c r="L207" s="828"/>
      <c r="M207" s="829"/>
      <c r="N207" s="700"/>
      <c r="O207" s="863"/>
      <c r="P207" s="871"/>
      <c r="Q207" s="863"/>
      <c r="R207" s="863"/>
    </row>
    <row r="208" spans="1:18" s="824" customFormat="1" ht="22.5">
      <c r="A208" s="862" t="s">
        <v>12271</v>
      </c>
      <c r="B208" s="835" t="s">
        <v>70</v>
      </c>
      <c r="C208" s="835">
        <v>11795</v>
      </c>
      <c r="D208" s="836" t="str">
        <f>PROPER(IF(B208="Saneago",VLOOKUP(C208,'SANEAGO-FEV.2016'!A:B,2,0),IF(B208="SINAPI",VLOOKUP(C208,'SINAPI-FEV.2017'!A:D,2,0),IF(B208="Cotação",VLOOKUP(C208,COTAÇÃO!A:D,2,0),IF(B208="Composição",VLOOKUP(C208,COMPOSIÇÃO!A:D,2,0))))))</f>
        <v>Granito Para Bancada, Polido, Tipo Andorinha/ Quartz/ Castelo/ Corumba Ou Outros Equivalentes Da Regiao, E=  *2,5* Cm</v>
      </c>
      <c r="E208" s="837"/>
      <c r="F208" s="837"/>
      <c r="G208" s="838"/>
      <c r="H208" s="838"/>
      <c r="I208" s="838"/>
      <c r="J208" s="838"/>
      <c r="K208" s="838"/>
      <c r="L208" s="838" t="s">
        <v>21</v>
      </c>
      <c r="M208" s="853">
        <v>2.25</v>
      </c>
      <c r="N208" s="700"/>
      <c r="O208" s="863"/>
      <c r="P208" s="871"/>
      <c r="Q208" s="863"/>
      <c r="R208" s="863"/>
    </row>
    <row r="209" spans="1:18" s="824" customFormat="1">
      <c r="A209" s="905"/>
      <c r="B209" s="906"/>
      <c r="C209" s="906"/>
      <c r="D209" s="826"/>
      <c r="E209" s="790"/>
      <c r="F209" s="790"/>
      <c r="G209" s="828" t="s">
        <v>30</v>
      </c>
      <c r="H209" s="828" t="s">
        <v>30</v>
      </c>
      <c r="I209" s="828" t="s">
        <v>30</v>
      </c>
      <c r="J209" s="828" t="s">
        <v>30</v>
      </c>
      <c r="K209" s="828" t="s">
        <v>30</v>
      </c>
      <c r="L209" s="828"/>
      <c r="M209" s="829"/>
      <c r="N209" s="700"/>
      <c r="O209" s="863"/>
      <c r="P209" s="871"/>
      <c r="Q209" s="863"/>
      <c r="R209" s="863"/>
    </row>
    <row r="210" spans="1:18" s="824" customFormat="1">
      <c r="A210" s="862" t="s">
        <v>12298</v>
      </c>
      <c r="B210" s="835" t="s">
        <v>11722</v>
      </c>
      <c r="C210" s="835" t="s">
        <v>20518</v>
      </c>
      <c r="D210" s="836" t="str">
        <f>PROPER(IF(B210="Saneago",VLOOKUP(C210,'SANEAGO-FEV.2016'!A:B,2,0),IF(B210="SINAPI",VLOOKUP(C210,'SINAPI-FEV.2017'!A:D,2,0),IF(B210="Cotação",VLOOKUP(C210,COTAÇÃO!A:D,2,0),IF(B210="Composição",VLOOKUP(C210,COMPOSIÇÃO!A:D,2,0))))))</f>
        <v>Armario De Cozinha</v>
      </c>
      <c r="E210" s="837"/>
      <c r="F210" s="837"/>
      <c r="G210" s="838"/>
      <c r="H210" s="838"/>
      <c r="I210" s="838"/>
      <c r="J210" s="838"/>
      <c r="K210" s="838"/>
      <c r="L210" s="838" t="s">
        <v>12093</v>
      </c>
      <c r="M210" s="853">
        <v>1</v>
      </c>
      <c r="N210" s="700"/>
      <c r="O210" s="863"/>
      <c r="P210" s="871"/>
      <c r="Q210" s="863"/>
      <c r="R210" s="863"/>
    </row>
    <row r="211" spans="1:18" s="824" customFormat="1">
      <c r="A211" s="905"/>
      <c r="B211" s="906"/>
      <c r="C211" s="906"/>
      <c r="D211" s="826"/>
      <c r="E211" s="790"/>
      <c r="F211" s="790"/>
      <c r="G211" s="828" t="s">
        <v>30</v>
      </c>
      <c r="H211" s="828" t="s">
        <v>30</v>
      </c>
      <c r="I211" s="828" t="s">
        <v>30</v>
      </c>
      <c r="J211" s="828" t="s">
        <v>30</v>
      </c>
      <c r="K211" s="828" t="s">
        <v>30</v>
      </c>
      <c r="L211" s="828"/>
      <c r="M211" s="829"/>
      <c r="N211" s="700"/>
      <c r="O211" s="863"/>
      <c r="P211" s="871"/>
      <c r="Q211" s="863"/>
      <c r="R211" s="863"/>
    </row>
    <row r="212" spans="1:18" s="824" customFormat="1">
      <c r="A212" s="862" t="s">
        <v>14343</v>
      </c>
      <c r="B212" s="850" t="s">
        <v>70</v>
      </c>
      <c r="C212" s="922">
        <v>9537</v>
      </c>
      <c r="D212" s="946" t="str">
        <f>PROPER(IF(B212="Saneago",VLOOKUP(C212,'SANEAGO-FEV.2016'!A:B,2,0),IF(B212="SINAPI",VLOOKUP(C212,'SINAPI-FEV.2017'!A:D,2,0),IF(B212="Cotação",VLOOKUP(C212,COTAÇÃO!A:D,2,0),IF(B212="Composição",VLOOKUP(C212,COMPOSIÇÃO!A:D,2,0))))))</f>
        <v>Limpeza Final Da Obra</v>
      </c>
      <c r="E212" s="947"/>
      <c r="F212" s="947"/>
      <c r="G212" s="948"/>
      <c r="H212" s="948"/>
      <c r="I212" s="948"/>
      <c r="J212" s="948"/>
      <c r="K212" s="948"/>
      <c r="L212" s="948" t="s">
        <v>21</v>
      </c>
      <c r="M212" s="949">
        <f>M29</f>
        <v>46.535399999999996</v>
      </c>
      <c r="N212" s="700"/>
      <c r="O212" s="863"/>
      <c r="P212" s="871"/>
      <c r="Q212" s="863"/>
      <c r="R212" s="863"/>
    </row>
  </sheetData>
  <sheetProtection algorithmName="SHA-512" hashValue="PBZX1jGophb6rJmOcgUQ2xLtwdWO20jTqHo4wPDZ8jOpjveNo1wDiEq/l3ZCwhCqKD6g3v4qMXTUP+dsfsO2JQ==" saltValue="jmZs35VGroAsUYA2IVPGng==" spinCount="100000" sheet="1"/>
  <mergeCells count="12">
    <mergeCell ref="D1:M4"/>
    <mergeCell ref="D10:M10"/>
    <mergeCell ref="D12:M12"/>
    <mergeCell ref="J83:K83"/>
    <mergeCell ref="K150:K151"/>
    <mergeCell ref="L150:L151"/>
    <mergeCell ref="M150:M151"/>
    <mergeCell ref="J162:K162"/>
    <mergeCell ref="J166:K166"/>
    <mergeCell ref="E150:F150"/>
    <mergeCell ref="G150:H150"/>
    <mergeCell ref="I150:J150"/>
  </mergeCells>
  <conditionalFormatting sqref="D12 D149 D156:D158">
    <cfRule type="cellIs" dxfId="683" priority="221" operator="equal">
      <formula>0</formula>
    </cfRule>
  </conditionalFormatting>
  <conditionalFormatting sqref="K5:M9 K25:M25 L13 L144:M145 K11:M11 L29:M29 L31 K213:M65536 L147:M147">
    <cfRule type="cellIs" dxfId="682" priority="220" operator="equal">
      <formula>0</formula>
    </cfRule>
  </conditionalFormatting>
  <conditionalFormatting sqref="L15:M24">
    <cfRule type="cellIs" dxfId="681" priority="219" operator="equal">
      <formula>0</formula>
    </cfRule>
  </conditionalFormatting>
  <conditionalFormatting sqref="D121">
    <cfRule type="cellIs" dxfId="680" priority="218" operator="equal">
      <formula>0</formula>
    </cfRule>
  </conditionalFormatting>
  <conditionalFormatting sqref="L14">
    <cfRule type="cellIs" dxfId="679" priority="217" operator="equal">
      <formula>0</formula>
    </cfRule>
  </conditionalFormatting>
  <conditionalFormatting sqref="L26:M26">
    <cfRule type="cellIs" dxfId="678" priority="215" operator="equal">
      <formula>0</formula>
    </cfRule>
  </conditionalFormatting>
  <conditionalFormatting sqref="D10">
    <cfRule type="cellIs" dxfId="677" priority="214" operator="equal">
      <formula>0</formula>
    </cfRule>
  </conditionalFormatting>
  <conditionalFormatting sqref="L120:M120">
    <cfRule type="cellIs" dxfId="676" priority="212" operator="equal">
      <formula>0</formula>
    </cfRule>
  </conditionalFormatting>
  <conditionalFormatting sqref="L35:M35 L40:M40">
    <cfRule type="cellIs" dxfId="675" priority="210" operator="equal">
      <formula>0</formula>
    </cfRule>
  </conditionalFormatting>
  <conditionalFormatting sqref="D33">
    <cfRule type="cellIs" dxfId="674" priority="213" operator="equal">
      <formula>0</formula>
    </cfRule>
  </conditionalFormatting>
  <conditionalFormatting sqref="D34">
    <cfRule type="cellIs" dxfId="673" priority="211" operator="equal">
      <formula>0</formula>
    </cfRule>
  </conditionalFormatting>
  <conditionalFormatting sqref="L41:M41">
    <cfRule type="cellIs" dxfId="672" priority="209" operator="equal">
      <formula>0</formula>
    </cfRule>
  </conditionalFormatting>
  <conditionalFormatting sqref="L81:M83">
    <cfRule type="cellIs" dxfId="671" priority="208" operator="equal">
      <formula>0</formula>
    </cfRule>
  </conditionalFormatting>
  <conditionalFormatting sqref="L80:M80">
    <cfRule type="cellIs" dxfId="670" priority="207" operator="equal">
      <formula>0</formula>
    </cfRule>
  </conditionalFormatting>
  <conditionalFormatting sqref="L95">
    <cfRule type="cellIs" dxfId="669" priority="198" operator="equal">
      <formula>0</formula>
    </cfRule>
  </conditionalFormatting>
  <conditionalFormatting sqref="M95">
    <cfRule type="cellIs" dxfId="668" priority="196" operator="equal">
      <formula>0</formula>
    </cfRule>
  </conditionalFormatting>
  <conditionalFormatting sqref="L91:M91">
    <cfRule type="cellIs" dxfId="667" priority="202" operator="equal">
      <formula>0</formula>
    </cfRule>
  </conditionalFormatting>
  <conditionalFormatting sqref="L90:M90">
    <cfRule type="cellIs" dxfId="666" priority="201" operator="equal">
      <formula>0</formula>
    </cfRule>
  </conditionalFormatting>
  <conditionalFormatting sqref="L93:M93">
    <cfRule type="cellIs" dxfId="665" priority="200" operator="equal">
      <formula>0</formula>
    </cfRule>
  </conditionalFormatting>
  <conditionalFormatting sqref="L86:M86">
    <cfRule type="cellIs" dxfId="664" priority="205" operator="equal">
      <formula>0</formula>
    </cfRule>
  </conditionalFormatting>
  <conditionalFormatting sqref="L87:M87">
    <cfRule type="cellIs" dxfId="663" priority="206" operator="equal">
      <formula>0</formula>
    </cfRule>
  </conditionalFormatting>
  <conditionalFormatting sqref="L92:M92">
    <cfRule type="cellIs" dxfId="662" priority="199" operator="equal">
      <formula>0</formula>
    </cfRule>
  </conditionalFormatting>
  <conditionalFormatting sqref="L88:M88">
    <cfRule type="cellIs" dxfId="661" priority="204" operator="equal">
      <formula>0</formula>
    </cfRule>
  </conditionalFormatting>
  <conditionalFormatting sqref="D89">
    <cfRule type="cellIs" dxfId="660" priority="203" operator="equal">
      <formula>0</formula>
    </cfRule>
  </conditionalFormatting>
  <conditionalFormatting sqref="L94:M94">
    <cfRule type="cellIs" dxfId="659" priority="197" operator="equal">
      <formula>0</formula>
    </cfRule>
  </conditionalFormatting>
  <conditionalFormatting sqref="L122:M123">
    <cfRule type="cellIs" dxfId="658" priority="195" operator="equal">
      <formula>0</formula>
    </cfRule>
  </conditionalFormatting>
  <conditionalFormatting sqref="L124:M124 L125">
    <cfRule type="cellIs" dxfId="657" priority="193" operator="equal">
      <formula>0</formula>
    </cfRule>
  </conditionalFormatting>
  <conditionalFormatting sqref="L142:M142">
    <cfRule type="cellIs" dxfId="656" priority="192" operator="equal">
      <formula>0</formula>
    </cfRule>
  </conditionalFormatting>
  <conditionalFormatting sqref="L148:M148">
    <cfRule type="cellIs" dxfId="655" priority="190" operator="equal">
      <formula>0</formula>
    </cfRule>
  </conditionalFormatting>
  <conditionalFormatting sqref="D143">
    <cfRule type="cellIs" dxfId="654" priority="191" operator="equal">
      <formula>0</formula>
    </cfRule>
  </conditionalFormatting>
  <conditionalFormatting sqref="L167:M167">
    <cfRule type="cellIs" dxfId="653" priority="189" operator="equal">
      <formula>0</formula>
    </cfRule>
  </conditionalFormatting>
  <conditionalFormatting sqref="D97">
    <cfRule type="cellIs" dxfId="652" priority="186" operator="equal">
      <formula>0</formula>
    </cfRule>
  </conditionalFormatting>
  <conditionalFormatting sqref="D168">
    <cfRule type="cellIs" dxfId="651" priority="188" operator="equal">
      <formula>0</formula>
    </cfRule>
  </conditionalFormatting>
  <conditionalFormatting sqref="L191:M191">
    <cfRule type="cellIs" dxfId="650" priority="187" operator="equal">
      <formula>0</formula>
    </cfRule>
  </conditionalFormatting>
  <conditionalFormatting sqref="L166">
    <cfRule type="cellIs" dxfId="649" priority="182" operator="equal">
      <formula>0</formula>
    </cfRule>
  </conditionalFormatting>
  <conditionalFormatting sqref="L162:M162 M161">
    <cfRule type="cellIs" dxfId="648" priority="184" operator="equal">
      <formula>0</formula>
    </cfRule>
  </conditionalFormatting>
  <conditionalFormatting sqref="L198:M198">
    <cfRule type="cellIs" dxfId="647" priority="177" operator="equal">
      <formula>0</formula>
    </cfRule>
  </conditionalFormatting>
  <conditionalFormatting sqref="L96:M96">
    <cfRule type="cellIs" dxfId="646" priority="181" operator="equal">
      <formula>0</formula>
    </cfRule>
  </conditionalFormatting>
  <conditionalFormatting sqref="L194:M194">
    <cfRule type="cellIs" dxfId="645" priority="179" operator="equal">
      <formula>0</formula>
    </cfRule>
  </conditionalFormatting>
  <conditionalFormatting sqref="L197:M197">
    <cfRule type="cellIs" dxfId="644" priority="176" operator="equal">
      <formula>0</formula>
    </cfRule>
  </conditionalFormatting>
  <conditionalFormatting sqref="D192">
    <cfRule type="cellIs" dxfId="643" priority="180" operator="equal">
      <formula>0</formula>
    </cfRule>
  </conditionalFormatting>
  <conditionalFormatting sqref="L203:M203">
    <cfRule type="cellIs" dxfId="642" priority="173" operator="equal">
      <formula>0</formula>
    </cfRule>
  </conditionalFormatting>
  <conditionalFormatting sqref="L175:M175">
    <cfRule type="cellIs" dxfId="641" priority="172" operator="equal">
      <formula>0</formula>
    </cfRule>
  </conditionalFormatting>
  <conditionalFormatting sqref="L205:M205">
    <cfRule type="cellIs" dxfId="640" priority="175" operator="equal">
      <formula>0</formula>
    </cfRule>
  </conditionalFormatting>
  <conditionalFormatting sqref="L200">
    <cfRule type="cellIs" dxfId="639" priority="163" operator="equal">
      <formula>0</formula>
    </cfRule>
  </conditionalFormatting>
  <conditionalFormatting sqref="L204:M204">
    <cfRule type="cellIs" dxfId="638" priority="174" operator="equal">
      <formula>0</formula>
    </cfRule>
  </conditionalFormatting>
  <conditionalFormatting sqref="L201:M201">
    <cfRule type="cellIs" dxfId="637" priority="166" operator="equal">
      <formula>0</formula>
    </cfRule>
  </conditionalFormatting>
  <conditionalFormatting sqref="L183:M184">
    <cfRule type="cellIs" dxfId="636" priority="170" operator="equal">
      <formula>0</formula>
    </cfRule>
  </conditionalFormatting>
  <conditionalFormatting sqref="D176">
    <cfRule type="cellIs" dxfId="635" priority="171" operator="equal">
      <formula>0</formula>
    </cfRule>
  </conditionalFormatting>
  <conditionalFormatting sqref="L164">
    <cfRule type="cellIs" dxfId="634" priority="168" operator="equal">
      <formula>0</formula>
    </cfRule>
  </conditionalFormatting>
  <conditionalFormatting sqref="L118:M119">
    <cfRule type="cellIs" dxfId="633" priority="169" operator="equal">
      <formula>0</formula>
    </cfRule>
  </conditionalFormatting>
  <conditionalFormatting sqref="L202">
    <cfRule type="cellIs" dxfId="632" priority="167" operator="equal">
      <formula>0</formula>
    </cfRule>
  </conditionalFormatting>
  <conditionalFormatting sqref="L185:M186">
    <cfRule type="cellIs" dxfId="631" priority="164" operator="equal">
      <formula>0</formula>
    </cfRule>
  </conditionalFormatting>
  <conditionalFormatting sqref="L117:M117">
    <cfRule type="cellIs" dxfId="630" priority="165" operator="equal">
      <formula>0</formula>
    </cfRule>
  </conditionalFormatting>
  <conditionalFormatting sqref="M125">
    <cfRule type="cellIs" dxfId="629" priority="158" operator="equal">
      <formula>0</formula>
    </cfRule>
  </conditionalFormatting>
  <conditionalFormatting sqref="L196:M196">
    <cfRule type="cellIs" dxfId="628" priority="162" operator="equal">
      <formula>0</formula>
    </cfRule>
  </conditionalFormatting>
  <conditionalFormatting sqref="L127">
    <cfRule type="cellIs" dxfId="627" priority="157" operator="equal">
      <formula>0</formula>
    </cfRule>
  </conditionalFormatting>
  <conditionalFormatting sqref="L195:M195">
    <cfRule type="cellIs" dxfId="626" priority="161" operator="equal">
      <formula>0</formula>
    </cfRule>
  </conditionalFormatting>
  <conditionalFormatting sqref="M127">
    <cfRule type="cellIs" dxfId="625" priority="156" operator="equal">
      <formula>0</formula>
    </cfRule>
  </conditionalFormatting>
  <conditionalFormatting sqref="M129">
    <cfRule type="cellIs" dxfId="624" priority="154" operator="equal">
      <formula>0</formula>
    </cfRule>
  </conditionalFormatting>
  <conditionalFormatting sqref="L32:M32">
    <cfRule type="cellIs" dxfId="623" priority="152" operator="equal">
      <formula>0</formula>
    </cfRule>
  </conditionalFormatting>
  <conditionalFormatting sqref="D27">
    <cfRule type="cellIs" dxfId="622" priority="160" operator="equal">
      <formula>0</formula>
    </cfRule>
  </conditionalFormatting>
  <conditionalFormatting sqref="L129">
    <cfRule type="cellIs" dxfId="621" priority="155" operator="equal">
      <formula>0</formula>
    </cfRule>
  </conditionalFormatting>
  <conditionalFormatting sqref="L38:M38">
    <cfRule type="cellIs" dxfId="620" priority="147" operator="equal">
      <formula>0</formula>
    </cfRule>
  </conditionalFormatting>
  <conditionalFormatting sqref="L36:M36">
    <cfRule type="cellIs" dxfId="619" priority="149" operator="equal">
      <formula>0</formula>
    </cfRule>
  </conditionalFormatting>
  <conditionalFormatting sqref="L37:M37">
    <cfRule type="cellIs" dxfId="618" priority="148" operator="equal">
      <formula>0</formula>
    </cfRule>
  </conditionalFormatting>
  <conditionalFormatting sqref="L39:M39">
    <cfRule type="cellIs" dxfId="617" priority="146" operator="equal">
      <formula>0</formula>
    </cfRule>
  </conditionalFormatting>
  <conditionalFormatting sqref="L53:M53">
    <cfRule type="cellIs" dxfId="616" priority="142" operator="equal">
      <formula>0</formula>
    </cfRule>
  </conditionalFormatting>
  <conditionalFormatting sqref="L49:M50">
    <cfRule type="cellIs" dxfId="615" priority="145" operator="equal">
      <formula>0</formula>
    </cfRule>
  </conditionalFormatting>
  <conditionalFormatting sqref="L52:M52">
    <cfRule type="cellIs" dxfId="614" priority="143" operator="equal">
      <formula>0</formula>
    </cfRule>
  </conditionalFormatting>
  <conditionalFormatting sqref="L54:M54">
    <cfRule type="cellIs" dxfId="613" priority="140" operator="equal">
      <formula>0</formula>
    </cfRule>
  </conditionalFormatting>
  <conditionalFormatting sqref="M55">
    <cfRule type="cellIs" dxfId="612" priority="139" operator="equal">
      <formula>0</formula>
    </cfRule>
  </conditionalFormatting>
  <conditionalFormatting sqref="L56">
    <cfRule type="cellIs" dxfId="611" priority="138" operator="equal">
      <formula>0</formula>
    </cfRule>
  </conditionalFormatting>
  <conditionalFormatting sqref="L58">
    <cfRule type="cellIs" dxfId="610" priority="137" operator="equal">
      <formula>0</formula>
    </cfRule>
  </conditionalFormatting>
  <conditionalFormatting sqref="L60">
    <cfRule type="cellIs" dxfId="609" priority="136" operator="equal">
      <formula>0</formula>
    </cfRule>
  </conditionalFormatting>
  <conditionalFormatting sqref="L77:M77">
    <cfRule type="cellIs" dxfId="608" priority="125" operator="equal">
      <formula>0</formula>
    </cfRule>
  </conditionalFormatting>
  <conditionalFormatting sqref="L62">
    <cfRule type="cellIs" dxfId="607" priority="135" operator="equal">
      <formula>0</formula>
    </cfRule>
  </conditionalFormatting>
  <conditionalFormatting sqref="L57">
    <cfRule type="cellIs" dxfId="606" priority="133" operator="equal">
      <formula>0</formula>
    </cfRule>
  </conditionalFormatting>
  <conditionalFormatting sqref="L55">
    <cfRule type="cellIs" dxfId="605" priority="134" operator="equal">
      <formula>0</formula>
    </cfRule>
  </conditionalFormatting>
  <conditionalFormatting sqref="L59">
    <cfRule type="cellIs" dxfId="604" priority="132" operator="equal">
      <formula>0</formula>
    </cfRule>
  </conditionalFormatting>
  <conditionalFormatting sqref="L61">
    <cfRule type="cellIs" dxfId="603" priority="131" operator="equal">
      <formula>0</formula>
    </cfRule>
  </conditionalFormatting>
  <conditionalFormatting sqref="L63">
    <cfRule type="cellIs" dxfId="602" priority="130" operator="equal">
      <formula>0</formula>
    </cfRule>
  </conditionalFormatting>
  <conditionalFormatting sqref="L44:M44">
    <cfRule type="cellIs" dxfId="601" priority="129" operator="equal">
      <formula>0</formula>
    </cfRule>
  </conditionalFormatting>
  <conditionalFormatting sqref="L45:M45">
    <cfRule type="cellIs" dxfId="600" priority="128" operator="equal">
      <formula>0</formula>
    </cfRule>
  </conditionalFormatting>
  <conditionalFormatting sqref="L76:M76">
    <cfRule type="cellIs" dxfId="599" priority="124" operator="equal">
      <formula>0</formula>
    </cfRule>
  </conditionalFormatting>
  <conditionalFormatting sqref="L78:M78">
    <cfRule type="cellIs" dxfId="598" priority="123" operator="equal">
      <formula>0</formula>
    </cfRule>
  </conditionalFormatting>
  <conditionalFormatting sqref="L79:M79">
    <cfRule type="cellIs" dxfId="597" priority="122" operator="equal">
      <formula>0</formula>
    </cfRule>
  </conditionalFormatting>
  <conditionalFormatting sqref="L84:M84">
    <cfRule type="cellIs" dxfId="596" priority="121" operator="equal">
      <formula>0</formula>
    </cfRule>
  </conditionalFormatting>
  <conditionalFormatting sqref="L85:M85">
    <cfRule type="cellIs" dxfId="595" priority="120" operator="equal">
      <formula>0</formula>
    </cfRule>
  </conditionalFormatting>
  <conditionalFormatting sqref="G84:K84">
    <cfRule type="cellIs" dxfId="594" priority="119" operator="equal">
      <formula>0</formula>
    </cfRule>
  </conditionalFormatting>
  <conditionalFormatting sqref="G85:K85">
    <cfRule type="cellIs" dxfId="593" priority="118" operator="equal">
      <formula>0</formula>
    </cfRule>
  </conditionalFormatting>
  <conditionalFormatting sqref="L160">
    <cfRule type="cellIs" dxfId="592" priority="116" operator="equal">
      <formula>0</formula>
    </cfRule>
  </conditionalFormatting>
  <conditionalFormatting sqref="M164">
    <cfRule type="cellIs" dxfId="591" priority="114" operator="equal">
      <formula>0</formula>
    </cfRule>
  </conditionalFormatting>
  <conditionalFormatting sqref="M160">
    <cfRule type="cellIs" dxfId="590" priority="115" operator="equal">
      <formula>0</formula>
    </cfRule>
  </conditionalFormatting>
  <conditionalFormatting sqref="L170:M170">
    <cfRule type="cellIs" dxfId="589" priority="109" operator="equal">
      <formula>0</formula>
    </cfRule>
  </conditionalFormatting>
  <conditionalFormatting sqref="L172:M172">
    <cfRule type="cellIs" dxfId="588" priority="113" operator="equal">
      <formula>0</formula>
    </cfRule>
  </conditionalFormatting>
  <conditionalFormatting sqref="L174:M174">
    <cfRule type="cellIs" dxfId="587" priority="112" operator="equal">
      <formula>0</formula>
    </cfRule>
  </conditionalFormatting>
  <conditionalFormatting sqref="M178">
    <cfRule type="cellIs" dxfId="586" priority="108" operator="equal">
      <formula>0</formula>
    </cfRule>
  </conditionalFormatting>
  <conditionalFormatting sqref="M180">
    <cfRule type="cellIs" dxfId="585" priority="107" operator="equal">
      <formula>0</formula>
    </cfRule>
  </conditionalFormatting>
  <conditionalFormatting sqref="M13:M14">
    <cfRule type="cellIs" dxfId="584" priority="106" operator="equal">
      <formula>0</formula>
    </cfRule>
  </conditionalFormatting>
  <conditionalFormatting sqref="L42:M42">
    <cfRule type="cellIs" dxfId="583" priority="102" operator="equal">
      <formula>0</formula>
    </cfRule>
  </conditionalFormatting>
  <conditionalFormatting sqref="D206">
    <cfRule type="cellIs" dxfId="582" priority="105" operator="equal">
      <formula>0</formula>
    </cfRule>
  </conditionalFormatting>
  <conditionalFormatting sqref="M31">
    <cfRule type="cellIs" dxfId="581" priority="103" operator="equal">
      <formula>0</formula>
    </cfRule>
  </conditionalFormatting>
  <conditionalFormatting sqref="L43:M43">
    <cfRule type="cellIs" dxfId="580" priority="101" operator="equal">
      <formula>0</formula>
    </cfRule>
  </conditionalFormatting>
  <conditionalFormatting sqref="M166">
    <cfRule type="cellIs" dxfId="579" priority="100" operator="equal">
      <formula>0</formula>
    </cfRule>
  </conditionalFormatting>
  <conditionalFormatting sqref="M202">
    <cfRule type="cellIs" dxfId="578" priority="99" operator="equal">
      <formula>0</formula>
    </cfRule>
  </conditionalFormatting>
  <conditionalFormatting sqref="L64">
    <cfRule type="cellIs" dxfId="577" priority="98" operator="equal">
      <formula>0</formula>
    </cfRule>
  </conditionalFormatting>
  <conditionalFormatting sqref="L66">
    <cfRule type="cellIs" dxfId="576" priority="96" operator="equal">
      <formula>0</formula>
    </cfRule>
  </conditionalFormatting>
  <conditionalFormatting sqref="L65">
    <cfRule type="cellIs" dxfId="575" priority="97" operator="equal">
      <formula>0</formula>
    </cfRule>
  </conditionalFormatting>
  <conditionalFormatting sqref="L68">
    <cfRule type="cellIs" dxfId="574" priority="95" operator="equal">
      <formula>0</formula>
    </cfRule>
  </conditionalFormatting>
  <conditionalFormatting sqref="L73">
    <cfRule type="cellIs" dxfId="573" priority="88" operator="equal">
      <formula>0</formula>
    </cfRule>
  </conditionalFormatting>
  <conditionalFormatting sqref="L70">
    <cfRule type="cellIs" dxfId="572" priority="94" operator="equal">
      <formula>0</formula>
    </cfRule>
  </conditionalFormatting>
  <conditionalFormatting sqref="L67">
    <cfRule type="cellIs" dxfId="571" priority="91" operator="equal">
      <formula>0</formula>
    </cfRule>
  </conditionalFormatting>
  <conditionalFormatting sqref="L69">
    <cfRule type="cellIs" dxfId="570" priority="90" operator="equal">
      <formula>0</formula>
    </cfRule>
  </conditionalFormatting>
  <conditionalFormatting sqref="L72">
    <cfRule type="cellIs" dxfId="569" priority="93" operator="equal">
      <formula>0</formula>
    </cfRule>
  </conditionalFormatting>
  <conditionalFormatting sqref="L74">
    <cfRule type="cellIs" dxfId="568" priority="92" operator="equal">
      <formula>0</formula>
    </cfRule>
  </conditionalFormatting>
  <conditionalFormatting sqref="M58">
    <cfRule type="cellIs" dxfId="567" priority="84" operator="equal">
      <formula>0</formula>
    </cfRule>
  </conditionalFormatting>
  <conditionalFormatting sqref="L71">
    <cfRule type="cellIs" dxfId="566" priority="89" operator="equal">
      <formula>0</formula>
    </cfRule>
  </conditionalFormatting>
  <conditionalFormatting sqref="L75">
    <cfRule type="cellIs" dxfId="565" priority="87" operator="equal">
      <formula>0</formula>
    </cfRule>
  </conditionalFormatting>
  <conditionalFormatting sqref="L105:M105">
    <cfRule type="cellIs" dxfId="564" priority="66" operator="equal">
      <formula>0</formula>
    </cfRule>
  </conditionalFormatting>
  <conditionalFormatting sqref="M56">
    <cfRule type="cellIs" dxfId="563" priority="86" operator="equal">
      <formula>0</formula>
    </cfRule>
  </conditionalFormatting>
  <conditionalFormatting sqref="M57">
    <cfRule type="cellIs" dxfId="562" priority="85" operator="equal">
      <formula>0</formula>
    </cfRule>
  </conditionalFormatting>
  <conditionalFormatting sqref="M64">
    <cfRule type="cellIs" dxfId="561" priority="78" operator="equal">
      <formula>0</formula>
    </cfRule>
  </conditionalFormatting>
  <conditionalFormatting sqref="M61">
    <cfRule type="cellIs" dxfId="560" priority="81" operator="equal">
      <formula>0</formula>
    </cfRule>
  </conditionalFormatting>
  <conditionalFormatting sqref="M60">
    <cfRule type="cellIs" dxfId="559" priority="82" operator="equal">
      <formula>0</formula>
    </cfRule>
  </conditionalFormatting>
  <conditionalFormatting sqref="M65">
    <cfRule type="cellIs" dxfId="558" priority="77" operator="equal">
      <formula>0</formula>
    </cfRule>
  </conditionalFormatting>
  <conditionalFormatting sqref="M62">
    <cfRule type="cellIs" dxfId="557" priority="80" operator="equal">
      <formula>0</formula>
    </cfRule>
  </conditionalFormatting>
  <conditionalFormatting sqref="M69">
    <cfRule type="cellIs" dxfId="556" priority="73" operator="equal">
      <formula>0</formula>
    </cfRule>
  </conditionalFormatting>
  <conditionalFormatting sqref="M66">
    <cfRule type="cellIs" dxfId="555" priority="76" operator="equal">
      <formula>0</formula>
    </cfRule>
  </conditionalFormatting>
  <conditionalFormatting sqref="M70">
    <cfRule type="cellIs" dxfId="554" priority="72" operator="equal">
      <formula>0</formula>
    </cfRule>
  </conditionalFormatting>
  <conditionalFormatting sqref="M68">
    <cfRule type="cellIs" dxfId="553" priority="74" operator="equal">
      <formula>0</formula>
    </cfRule>
  </conditionalFormatting>
  <conditionalFormatting sqref="M72">
    <cfRule type="cellIs" dxfId="552" priority="70" operator="equal">
      <formula>0</formula>
    </cfRule>
  </conditionalFormatting>
  <conditionalFormatting sqref="M73">
    <cfRule type="cellIs" dxfId="551" priority="69" operator="equal">
      <formula>0</formula>
    </cfRule>
  </conditionalFormatting>
  <conditionalFormatting sqref="M74">
    <cfRule type="cellIs" dxfId="550" priority="68" operator="equal">
      <formula>0</formula>
    </cfRule>
  </conditionalFormatting>
  <conditionalFormatting sqref="L107">
    <cfRule type="cellIs" dxfId="549" priority="65" operator="equal">
      <formula>0</formula>
    </cfRule>
  </conditionalFormatting>
  <conditionalFormatting sqref="M107">
    <cfRule type="cellIs" dxfId="548" priority="64" operator="equal">
      <formula>0</formula>
    </cfRule>
  </conditionalFormatting>
  <conditionalFormatting sqref="L130:M132">
    <cfRule type="cellIs" dxfId="547" priority="54" operator="equal">
      <formula>0</formula>
    </cfRule>
  </conditionalFormatting>
  <conditionalFormatting sqref="L133">
    <cfRule type="cellIs" dxfId="546" priority="56" operator="equal">
      <formula>0</formula>
    </cfRule>
  </conditionalFormatting>
  <conditionalFormatting sqref="L135">
    <cfRule type="cellIs" dxfId="545" priority="50" operator="equal">
      <formula>0</formula>
    </cfRule>
  </conditionalFormatting>
  <conditionalFormatting sqref="M133">
    <cfRule type="cellIs" dxfId="544" priority="55" operator="equal">
      <formula>0</formula>
    </cfRule>
  </conditionalFormatting>
  <conditionalFormatting sqref="M135">
    <cfRule type="cellIs" dxfId="543" priority="49" operator="equal">
      <formula>0</formula>
    </cfRule>
  </conditionalFormatting>
  <conditionalFormatting sqref="L137">
    <cfRule type="cellIs" dxfId="542" priority="48" operator="equal">
      <formula>0</formula>
    </cfRule>
  </conditionalFormatting>
  <conditionalFormatting sqref="M137">
    <cfRule type="cellIs" dxfId="541" priority="47" operator="equal">
      <formula>0</formula>
    </cfRule>
  </conditionalFormatting>
  <conditionalFormatting sqref="L139">
    <cfRule type="cellIs" dxfId="540" priority="46" operator="equal">
      <formula>0</formula>
    </cfRule>
  </conditionalFormatting>
  <conditionalFormatting sqref="M139">
    <cfRule type="cellIs" dxfId="539" priority="45" operator="equal">
      <formula>0</formula>
    </cfRule>
  </conditionalFormatting>
  <conditionalFormatting sqref="L141">
    <cfRule type="cellIs" dxfId="538" priority="44" operator="equal">
      <formula>0</formula>
    </cfRule>
  </conditionalFormatting>
  <conditionalFormatting sqref="M141">
    <cfRule type="cellIs" dxfId="537" priority="43" operator="equal">
      <formula>0</formula>
    </cfRule>
  </conditionalFormatting>
  <conditionalFormatting sqref="L150 L155:M155 M152:M154">
    <cfRule type="cellIs" dxfId="536" priority="38" operator="equal">
      <formula>0</formula>
    </cfRule>
  </conditionalFormatting>
  <conditionalFormatting sqref="M150">
    <cfRule type="cellIs" dxfId="535" priority="37" operator="equal">
      <formula>0</formula>
    </cfRule>
  </conditionalFormatting>
  <conditionalFormatting sqref="L187:M188">
    <cfRule type="cellIs" dxfId="534" priority="32" operator="equal">
      <formula>0</formula>
    </cfRule>
  </conditionalFormatting>
  <conditionalFormatting sqref="L181:M182">
    <cfRule type="cellIs" dxfId="533" priority="33" operator="equal">
      <formula>0</formula>
    </cfRule>
  </conditionalFormatting>
  <conditionalFormatting sqref="L189:M189">
    <cfRule type="cellIs" dxfId="532" priority="31" operator="equal">
      <formula>0</formula>
    </cfRule>
  </conditionalFormatting>
  <conditionalFormatting sqref="L190">
    <cfRule type="cellIs" dxfId="531" priority="30" operator="equal">
      <formula>0</formula>
    </cfRule>
  </conditionalFormatting>
  <conditionalFormatting sqref="M190">
    <cfRule type="cellIs" dxfId="530" priority="29" operator="equal">
      <formula>0</formula>
    </cfRule>
  </conditionalFormatting>
  <conditionalFormatting sqref="M200">
    <cfRule type="cellIs" dxfId="529" priority="28" operator="equal">
      <formula>0</formula>
    </cfRule>
  </conditionalFormatting>
  <conditionalFormatting sqref="L48:M48">
    <cfRule type="cellIs" dxfId="528" priority="25" operator="equal">
      <formula>0</formula>
    </cfRule>
  </conditionalFormatting>
  <conditionalFormatting sqref="L51:M51">
    <cfRule type="cellIs" dxfId="527" priority="24" operator="equal">
      <formula>0</formula>
    </cfRule>
  </conditionalFormatting>
  <conditionalFormatting sqref="M59">
    <cfRule type="cellIs" dxfId="526" priority="23" operator="equal">
      <formula>0</formula>
    </cfRule>
  </conditionalFormatting>
  <conditionalFormatting sqref="M63">
    <cfRule type="cellIs" dxfId="525" priority="22" operator="equal">
      <formula>0</formula>
    </cfRule>
  </conditionalFormatting>
  <conditionalFormatting sqref="M67">
    <cfRule type="cellIs" dxfId="524" priority="21" operator="equal">
      <formula>0</formula>
    </cfRule>
  </conditionalFormatting>
  <conditionalFormatting sqref="M71">
    <cfRule type="cellIs" dxfId="523" priority="20" operator="equal">
      <formula>0</formula>
    </cfRule>
  </conditionalFormatting>
  <conditionalFormatting sqref="M75">
    <cfRule type="cellIs" dxfId="522" priority="19" operator="equal">
      <formula>0</formula>
    </cfRule>
  </conditionalFormatting>
  <conditionalFormatting sqref="L46:M46">
    <cfRule type="cellIs" dxfId="521" priority="18" operator="equal">
      <formula>0</formula>
    </cfRule>
  </conditionalFormatting>
  <conditionalFormatting sqref="L47:M47">
    <cfRule type="cellIs" dxfId="520" priority="17" operator="equal">
      <formula>0</formula>
    </cfRule>
  </conditionalFormatting>
  <conditionalFormatting sqref="L99:M99">
    <cfRule type="cellIs" dxfId="519" priority="16" operator="equal">
      <formula>0</formula>
    </cfRule>
  </conditionalFormatting>
  <conditionalFormatting sqref="L146:M146">
    <cfRule type="cellIs" dxfId="518" priority="15" operator="equal">
      <formula>0</formula>
    </cfRule>
  </conditionalFormatting>
  <conditionalFormatting sqref="L152:L154">
    <cfRule type="cellIs" dxfId="517" priority="13" operator="equal">
      <formula>0</formula>
    </cfRule>
  </conditionalFormatting>
  <conditionalFormatting sqref="L208:M208 L210:M210 L212:M212">
    <cfRule type="cellIs" dxfId="516" priority="9" operator="equal">
      <formula>0</formula>
    </cfRule>
  </conditionalFormatting>
  <conditionalFormatting sqref="L207:M207 L209:M209 L211:M211">
    <cfRule type="cellIs" dxfId="515" priority="8" operator="equal">
      <formula>0</formula>
    </cfRule>
  </conditionalFormatting>
  <conditionalFormatting sqref="L101:M101">
    <cfRule type="cellIs" dxfId="514" priority="7" operator="equal">
      <formula>0</formula>
    </cfRule>
  </conditionalFormatting>
  <conditionalFormatting sqref="L103:M103">
    <cfRule type="cellIs" dxfId="513" priority="6" operator="equal">
      <formula>0</formula>
    </cfRule>
  </conditionalFormatting>
  <conditionalFormatting sqref="L109">
    <cfRule type="cellIs" dxfId="512" priority="5" operator="equal">
      <formula>0</formula>
    </cfRule>
  </conditionalFormatting>
  <conditionalFormatting sqref="M109">
    <cfRule type="cellIs" dxfId="511" priority="4" operator="equal">
      <formula>0</formula>
    </cfRule>
  </conditionalFormatting>
  <conditionalFormatting sqref="L111:M111">
    <cfRule type="cellIs" dxfId="510" priority="3" operator="equal">
      <formula>0</formula>
    </cfRule>
  </conditionalFormatting>
  <conditionalFormatting sqref="L113:M113">
    <cfRule type="cellIs" dxfId="509" priority="2" operator="equal">
      <formula>0</formula>
    </cfRule>
  </conditionalFormatting>
  <conditionalFormatting sqref="L115:M115">
    <cfRule type="cellIs" dxfId="508" priority="1" operator="equal">
      <formula>0</formula>
    </cfRule>
  </conditionalFormatting>
  <pageMargins left="0.51181102362204722" right="0.51181102362204722" top="0.78740157480314965" bottom="0.78740157480314965" header="0.31496062992125984" footer="0.31496062992125984"/>
  <pageSetup paperSize="9" scale="55" fitToHeight="5" orientation="portrait" horizontalDpi="1200" verticalDpi="1200" r:id="rId1"/>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S293"/>
  <sheetViews>
    <sheetView zoomScale="85" zoomScaleNormal="85" zoomScaleSheetLayoutView="85" workbookViewId="0">
      <selection activeCell="D8" sqref="D8"/>
    </sheetView>
  </sheetViews>
  <sheetFormatPr defaultRowHeight="12.75"/>
  <cols>
    <col min="1" max="1" width="24.140625" style="862" customWidth="1"/>
    <col min="2" max="2" width="5.85546875" style="835" customWidth="1"/>
    <col min="3" max="3" width="7.5703125" style="835" customWidth="1"/>
    <col min="4" max="4" width="64.85546875" style="857" customWidth="1"/>
    <col min="5" max="5" width="9" style="857" customWidth="1"/>
    <col min="6" max="6" width="10.5703125" style="858" customWidth="1"/>
    <col min="7" max="8" width="10.85546875" style="857" customWidth="1"/>
    <col min="9" max="9" width="14.85546875" style="857" customWidth="1"/>
    <col min="10" max="10" width="12.28515625" style="859" customWidth="1"/>
    <col min="11" max="11" width="10.85546875" style="860" customWidth="1"/>
    <col min="12" max="12" width="12" style="861" customWidth="1"/>
    <col min="13" max="13" width="12.140625" style="861" customWidth="1"/>
    <col min="14" max="14" width="9.42578125" style="700" customWidth="1"/>
    <col min="15" max="15" width="7.5703125" style="863" customWidth="1"/>
    <col min="16" max="16" width="7.5703125" style="871" customWidth="1"/>
    <col min="17" max="17" width="7.5703125" style="863" customWidth="1"/>
    <col min="18" max="18" width="4.7109375" style="863" customWidth="1"/>
    <col min="19" max="16384" width="9.140625" style="865"/>
  </cols>
  <sheetData>
    <row r="1" spans="1:16" ht="18">
      <c r="D1" s="1661" t="s">
        <v>11665</v>
      </c>
      <c r="E1" s="1662"/>
      <c r="F1" s="1662"/>
      <c r="G1" s="1662"/>
      <c r="H1" s="1662"/>
      <c r="I1" s="1662"/>
      <c r="J1" s="1662"/>
      <c r="K1" s="1662"/>
      <c r="L1" s="1662"/>
      <c r="M1" s="1663"/>
      <c r="P1" s="864"/>
    </row>
    <row r="2" spans="1:16" ht="18">
      <c r="D2" s="1664"/>
      <c r="E2" s="1665"/>
      <c r="F2" s="1665"/>
      <c r="G2" s="1665"/>
      <c r="H2" s="1665"/>
      <c r="I2" s="1665"/>
      <c r="J2" s="1665"/>
      <c r="K2" s="1665"/>
      <c r="L2" s="1665"/>
      <c r="M2" s="1666"/>
      <c r="P2" s="864"/>
    </row>
    <row r="3" spans="1:16" ht="18">
      <c r="D3" s="1664"/>
      <c r="E3" s="1665"/>
      <c r="F3" s="1665"/>
      <c r="G3" s="1665"/>
      <c r="H3" s="1665"/>
      <c r="I3" s="1665"/>
      <c r="J3" s="1665"/>
      <c r="K3" s="1665"/>
      <c r="L3" s="1665"/>
      <c r="M3" s="1666"/>
      <c r="P3" s="864"/>
    </row>
    <row r="4" spans="1:16" ht="15.75" customHeight="1" thickBot="1">
      <c r="D4" s="1667"/>
      <c r="E4" s="1668"/>
      <c r="F4" s="1668"/>
      <c r="G4" s="1668"/>
      <c r="H4" s="1668"/>
      <c r="I4" s="1668"/>
      <c r="J4" s="1668"/>
      <c r="K4" s="1668"/>
      <c r="L4" s="1668"/>
      <c r="M4" s="1669"/>
      <c r="P4" s="866"/>
    </row>
    <row r="5" spans="1:16" ht="14.25" customHeight="1">
      <c r="D5" s="782"/>
      <c r="E5" s="700"/>
      <c r="F5" s="783"/>
      <c r="G5" s="783"/>
      <c r="H5" s="783"/>
      <c r="I5" s="783"/>
      <c r="J5" s="784"/>
      <c r="K5" s="785"/>
      <c r="L5" s="786"/>
      <c r="M5" s="787"/>
      <c r="P5" s="867"/>
    </row>
    <row r="6" spans="1:16" ht="14.25" customHeight="1">
      <c r="D6" s="789" t="s">
        <v>14559</v>
      </c>
      <c r="E6" s="790"/>
      <c r="F6" s="790"/>
      <c r="G6" s="790"/>
      <c r="H6" s="790"/>
      <c r="I6" s="790"/>
      <c r="J6" s="790"/>
      <c r="K6" s="791"/>
      <c r="L6" s="792"/>
      <c r="M6" s="793"/>
      <c r="N6" s="868"/>
      <c r="P6" s="866"/>
    </row>
    <row r="7" spans="1:16" ht="14.25" customHeight="1">
      <c r="D7" s="789" t="s">
        <v>11836</v>
      </c>
      <c r="E7" s="790"/>
      <c r="F7" s="790"/>
      <c r="G7" s="790"/>
      <c r="H7" s="790"/>
      <c r="I7" s="790"/>
      <c r="J7" s="790"/>
      <c r="K7" s="791"/>
      <c r="L7" s="795"/>
      <c r="M7" s="796"/>
      <c r="N7" s="869"/>
      <c r="P7" s="866"/>
    </row>
    <row r="8" spans="1:16" s="863" customFormat="1" ht="14.25" customHeight="1">
      <c r="A8" s="862"/>
      <c r="B8" s="835"/>
      <c r="C8" s="835"/>
      <c r="D8" s="789" t="s">
        <v>14529</v>
      </c>
      <c r="E8" s="790"/>
      <c r="F8" s="790"/>
      <c r="G8" s="790"/>
      <c r="H8" s="790"/>
      <c r="I8" s="790"/>
      <c r="J8" s="790"/>
      <c r="K8" s="791"/>
      <c r="L8" s="795"/>
      <c r="M8" s="796"/>
      <c r="N8" s="869"/>
      <c r="P8" s="866"/>
    </row>
    <row r="9" spans="1:16" s="863" customFormat="1" ht="6.75" customHeight="1" thickBot="1">
      <c r="A9" s="862"/>
      <c r="B9" s="835"/>
      <c r="C9" s="835"/>
      <c r="D9" s="798"/>
      <c r="E9" s="799"/>
      <c r="F9" s="799"/>
      <c r="G9" s="800"/>
      <c r="H9" s="800"/>
      <c r="I9" s="800"/>
      <c r="J9" s="800"/>
      <c r="K9" s="801"/>
      <c r="L9" s="802"/>
      <c r="M9" s="803"/>
      <c r="N9" s="869"/>
      <c r="P9" s="866"/>
    </row>
    <row r="10" spans="1:16" s="863" customFormat="1" ht="15.75" customHeight="1" thickTop="1" thickBot="1">
      <c r="A10" s="862"/>
      <c r="B10" s="835"/>
      <c r="C10" s="835"/>
      <c r="D10" s="1653" t="s">
        <v>14530</v>
      </c>
      <c r="E10" s="1654"/>
      <c r="F10" s="1654"/>
      <c r="G10" s="1654"/>
      <c r="H10" s="1654"/>
      <c r="I10" s="1654"/>
      <c r="J10" s="1654"/>
      <c r="K10" s="1654"/>
      <c r="L10" s="1654"/>
      <c r="M10" s="1670"/>
      <c r="N10" s="870"/>
      <c r="O10" s="871"/>
      <c r="P10" s="871"/>
    </row>
    <row r="11" spans="1:16" s="863" customFormat="1" ht="6" customHeight="1" thickTop="1" thickBot="1">
      <c r="A11" s="862"/>
      <c r="B11" s="835"/>
      <c r="C11" s="835"/>
      <c r="D11" s="806"/>
      <c r="E11" s="807"/>
      <c r="F11" s="808"/>
      <c r="G11" s="700"/>
      <c r="H11" s="700"/>
      <c r="I11" s="700"/>
      <c r="J11" s="809"/>
      <c r="K11" s="791"/>
      <c r="L11" s="802"/>
      <c r="M11" s="810"/>
      <c r="N11" s="700"/>
      <c r="P11" s="872"/>
    </row>
    <row r="12" spans="1:16" s="863" customFormat="1" ht="14.25" customHeight="1" thickTop="1" thickBot="1">
      <c r="A12" s="862"/>
      <c r="B12" s="835"/>
      <c r="C12" s="835"/>
      <c r="D12" s="1653" t="s">
        <v>3</v>
      </c>
      <c r="E12" s="1654"/>
      <c r="F12" s="1654"/>
      <c r="G12" s="1654"/>
      <c r="H12" s="1654"/>
      <c r="I12" s="1654"/>
      <c r="J12" s="1654"/>
      <c r="K12" s="1654"/>
      <c r="L12" s="1654"/>
      <c r="M12" s="1670"/>
      <c r="N12" s="816"/>
      <c r="P12" s="873"/>
    </row>
    <row r="13" spans="1:16" s="863" customFormat="1" ht="13.5" thickTop="1">
      <c r="A13" s="862"/>
      <c r="B13" s="835"/>
      <c r="C13" s="835"/>
      <c r="D13" s="814" t="s">
        <v>4</v>
      </c>
      <c r="E13" s="815"/>
      <c r="F13" s="815"/>
      <c r="G13" s="815"/>
      <c r="H13" s="815"/>
      <c r="I13" s="815"/>
      <c r="J13" s="815"/>
      <c r="K13" s="815"/>
      <c r="L13" s="816" t="s">
        <v>5</v>
      </c>
      <c r="M13" s="817">
        <f>'PARAMETROS MC'!C37</f>
        <v>7.5</v>
      </c>
      <c r="N13" s="874"/>
      <c r="O13" s="875"/>
      <c r="P13" s="871"/>
    </row>
    <row r="14" spans="1:16" s="863" customFormat="1">
      <c r="A14" s="862"/>
      <c r="B14" s="835"/>
      <c r="C14" s="835"/>
      <c r="D14" s="820" t="s">
        <v>34</v>
      </c>
      <c r="E14" s="821"/>
      <c r="F14" s="821"/>
      <c r="G14" s="821"/>
      <c r="H14" s="821"/>
      <c r="I14" s="821"/>
      <c r="J14" s="821"/>
      <c r="K14" s="821"/>
      <c r="L14" s="816" t="s">
        <v>5</v>
      </c>
      <c r="M14" s="817">
        <f>'PARAMETROS MC'!C38</f>
        <v>4.5999999999999996</v>
      </c>
      <c r="N14" s="874"/>
      <c r="O14" s="875"/>
      <c r="P14" s="871"/>
    </row>
    <row r="15" spans="1:16" s="863" customFormat="1">
      <c r="A15" s="862"/>
      <c r="B15" s="835"/>
      <c r="C15" s="835"/>
      <c r="D15" s="820" t="s">
        <v>6</v>
      </c>
      <c r="E15" s="821"/>
      <c r="F15" s="821"/>
      <c r="G15" s="821"/>
      <c r="H15" s="821"/>
      <c r="I15" s="821"/>
      <c r="J15" s="821"/>
      <c r="K15" s="821"/>
      <c r="L15" s="816" t="s">
        <v>8</v>
      </c>
      <c r="M15" s="822">
        <v>0.95</v>
      </c>
      <c r="N15" s="874"/>
      <c r="O15" s="875"/>
      <c r="P15" s="871"/>
    </row>
    <row r="16" spans="1:16" s="863" customFormat="1">
      <c r="A16" s="862"/>
      <c r="B16" s="835"/>
      <c r="C16" s="835"/>
      <c r="D16" s="820" t="s">
        <v>7</v>
      </c>
      <c r="E16" s="821"/>
      <c r="F16" s="821"/>
      <c r="G16" s="821"/>
      <c r="H16" s="821"/>
      <c r="I16" s="821"/>
      <c r="J16" s="821"/>
      <c r="K16" s="821"/>
      <c r="L16" s="816" t="s">
        <v>8</v>
      </c>
      <c r="M16" s="822">
        <v>0.05</v>
      </c>
      <c r="N16" s="874"/>
      <c r="O16" s="875"/>
      <c r="P16" s="871"/>
    </row>
    <row r="17" spans="1:19" s="863" customFormat="1">
      <c r="A17" s="862"/>
      <c r="B17" s="835"/>
      <c r="C17" s="835"/>
      <c r="D17" s="820" t="s">
        <v>9</v>
      </c>
      <c r="E17" s="821"/>
      <c r="F17" s="821"/>
      <c r="G17" s="821"/>
      <c r="H17" s="821"/>
      <c r="I17" s="821"/>
      <c r="J17" s="821"/>
      <c r="K17" s="821"/>
      <c r="L17" s="816" t="s">
        <v>8</v>
      </c>
      <c r="M17" s="822">
        <v>0.9</v>
      </c>
      <c r="N17" s="874"/>
      <c r="O17" s="875"/>
      <c r="P17" s="871"/>
    </row>
    <row r="18" spans="1:19" s="863" customFormat="1">
      <c r="A18" s="862"/>
      <c r="B18" s="835"/>
      <c r="C18" s="835"/>
      <c r="D18" s="820" t="s">
        <v>10</v>
      </c>
      <c r="E18" s="821"/>
      <c r="F18" s="821"/>
      <c r="G18" s="821"/>
      <c r="H18" s="821"/>
      <c r="I18" s="821"/>
      <c r="J18" s="821"/>
      <c r="K18" s="821"/>
      <c r="L18" s="816" t="s">
        <v>8</v>
      </c>
      <c r="M18" s="822">
        <v>0.05</v>
      </c>
      <c r="N18" s="874"/>
      <c r="O18" s="875"/>
      <c r="P18" s="871"/>
    </row>
    <row r="19" spans="1:19" s="863" customFormat="1">
      <c r="A19" s="862"/>
      <c r="B19" s="835"/>
      <c r="C19" s="835"/>
      <c r="D19" s="820" t="s">
        <v>11</v>
      </c>
      <c r="E19" s="821"/>
      <c r="F19" s="821"/>
      <c r="G19" s="821"/>
      <c r="H19" s="821"/>
      <c r="I19" s="821"/>
      <c r="J19" s="821"/>
      <c r="K19" s="821"/>
      <c r="L19" s="816" t="s">
        <v>8</v>
      </c>
      <c r="M19" s="822">
        <v>0</v>
      </c>
      <c r="N19" s="874"/>
      <c r="O19" s="875"/>
      <c r="P19" s="871"/>
    </row>
    <row r="20" spans="1:19" s="863" customFormat="1">
      <c r="A20" s="862"/>
      <c r="B20" s="835"/>
      <c r="C20" s="835"/>
      <c r="D20" s="820" t="s">
        <v>12</v>
      </c>
      <c r="E20" s="821"/>
      <c r="F20" s="821"/>
      <c r="G20" s="821"/>
      <c r="H20" s="821"/>
      <c r="I20" s="821"/>
      <c r="J20" s="821"/>
      <c r="K20" s="821"/>
      <c r="L20" s="816" t="s">
        <v>8</v>
      </c>
      <c r="M20" s="822">
        <v>0.05</v>
      </c>
      <c r="N20" s="874"/>
      <c r="O20" s="875"/>
      <c r="P20" s="871"/>
    </row>
    <row r="21" spans="1:19" s="863" customFormat="1">
      <c r="A21" s="862"/>
      <c r="B21" s="835"/>
      <c r="C21" s="835"/>
      <c r="D21" s="820" t="s">
        <v>13</v>
      </c>
      <c r="E21" s="821"/>
      <c r="F21" s="821"/>
      <c r="G21" s="821"/>
      <c r="H21" s="821"/>
      <c r="I21" s="821"/>
      <c r="J21" s="821"/>
      <c r="K21" s="821"/>
      <c r="L21" s="816" t="s">
        <v>8</v>
      </c>
      <c r="M21" s="822">
        <v>0.2</v>
      </c>
      <c r="N21" s="874"/>
      <c r="O21" s="875"/>
      <c r="P21" s="871"/>
    </row>
    <row r="22" spans="1:19" s="863" customFormat="1">
      <c r="A22" s="862"/>
      <c r="B22" s="835"/>
      <c r="C22" s="835"/>
      <c r="D22" s="820" t="s">
        <v>14</v>
      </c>
      <c r="E22" s="821"/>
      <c r="F22" s="821"/>
      <c r="G22" s="821"/>
      <c r="H22" s="821"/>
      <c r="I22" s="821"/>
      <c r="J22" s="821"/>
      <c r="K22" s="821"/>
      <c r="L22" s="816" t="s">
        <v>8</v>
      </c>
      <c r="M22" s="822">
        <v>0.15</v>
      </c>
      <c r="N22" s="874"/>
      <c r="O22" s="875"/>
      <c r="P22" s="871"/>
    </row>
    <row r="23" spans="1:19" s="863" customFormat="1">
      <c r="A23" s="862"/>
      <c r="B23" s="835"/>
      <c r="C23" s="835"/>
      <c r="D23" s="820" t="s">
        <v>15</v>
      </c>
      <c r="E23" s="821"/>
      <c r="F23" s="821"/>
      <c r="G23" s="821"/>
      <c r="H23" s="821"/>
      <c r="I23" s="821"/>
      <c r="J23" s="821"/>
      <c r="K23" s="821"/>
      <c r="L23" s="816" t="s">
        <v>8</v>
      </c>
      <c r="M23" s="822">
        <v>0.1</v>
      </c>
      <c r="N23" s="874"/>
      <c r="O23" s="875"/>
      <c r="P23" s="871"/>
    </row>
    <row r="24" spans="1:19" s="863" customFormat="1">
      <c r="A24" s="862"/>
      <c r="B24" s="835"/>
      <c r="C24" s="835"/>
      <c r="D24" s="820" t="s">
        <v>16</v>
      </c>
      <c r="E24" s="821"/>
      <c r="F24" s="821"/>
      <c r="G24" s="821"/>
      <c r="H24" s="821"/>
      <c r="I24" s="821"/>
      <c r="J24" s="821"/>
      <c r="K24" s="821"/>
      <c r="L24" s="816" t="s">
        <v>8</v>
      </c>
      <c r="M24" s="822">
        <v>0.9</v>
      </c>
      <c r="N24" s="874"/>
      <c r="O24" s="875"/>
      <c r="P24" s="871"/>
    </row>
    <row r="25" spans="1:19" ht="13.5" thickBot="1">
      <c r="D25" s="823"/>
      <c r="E25" s="700"/>
      <c r="F25" s="808"/>
      <c r="G25" s="700"/>
      <c r="H25" s="700"/>
      <c r="I25" s="700"/>
      <c r="J25" s="809"/>
      <c r="K25" s="791"/>
      <c r="L25" s="824"/>
      <c r="M25" s="825"/>
    </row>
    <row r="26" spans="1:19" s="863" customFormat="1" ht="14.25" customHeight="1" thickTop="1" thickBot="1">
      <c r="A26" s="862"/>
      <c r="B26" s="835"/>
      <c r="C26" s="835"/>
      <c r="D26" s="1653" t="s">
        <v>11664</v>
      </c>
      <c r="E26" s="1654"/>
      <c r="F26" s="1654"/>
      <c r="G26" s="1654"/>
      <c r="H26" s="1654"/>
      <c r="I26" s="1654"/>
      <c r="J26" s="1654"/>
      <c r="K26" s="1654"/>
      <c r="L26" s="1654"/>
      <c r="M26" s="1670"/>
      <c r="N26" s="816"/>
      <c r="P26" s="873"/>
    </row>
    <row r="27" spans="1:19" s="863" customFormat="1" ht="6" customHeight="1" thickTop="1" thickBot="1">
      <c r="A27" s="862"/>
      <c r="B27" s="835"/>
      <c r="C27" s="835"/>
      <c r="D27" s="826"/>
      <c r="E27" s="790"/>
      <c r="F27" s="790"/>
      <c r="G27" s="700"/>
      <c r="H27" s="700"/>
      <c r="I27" s="700"/>
      <c r="J27" s="700"/>
      <c r="K27" s="700"/>
      <c r="L27" s="700"/>
      <c r="M27" s="827"/>
      <c r="N27" s="700"/>
      <c r="P27" s="871"/>
    </row>
    <row r="28" spans="1:19" s="863" customFormat="1" ht="15.75" hidden="1" customHeight="1" thickTop="1" thickBot="1">
      <c r="A28" s="862"/>
      <c r="B28" s="835"/>
      <c r="C28" s="835"/>
      <c r="D28" s="830" t="s">
        <v>11640</v>
      </c>
      <c r="E28" s="831"/>
      <c r="F28" s="831"/>
      <c r="G28" s="831"/>
      <c r="H28" s="831"/>
      <c r="I28" s="831"/>
      <c r="J28" s="831"/>
      <c r="K28" s="831"/>
      <c r="L28" s="832"/>
      <c r="M28" s="833"/>
      <c r="N28" s="870"/>
      <c r="O28" s="871"/>
      <c r="P28" s="871"/>
    </row>
    <row r="29" spans="1:19" ht="15" hidden="1" customHeight="1" thickTop="1">
      <c r="D29" s="826"/>
      <c r="E29" s="790"/>
      <c r="F29" s="790"/>
      <c r="G29" s="700" t="s">
        <v>30</v>
      </c>
      <c r="H29" s="700" t="s">
        <v>30</v>
      </c>
      <c r="I29" s="700" t="s">
        <v>30</v>
      </c>
      <c r="J29" s="700" t="s">
        <v>30</v>
      </c>
      <c r="K29" s="700" t="s">
        <v>30</v>
      </c>
      <c r="L29" s="700" t="s">
        <v>30</v>
      </c>
      <c r="M29" s="876" t="s">
        <v>30</v>
      </c>
      <c r="N29" s="824"/>
      <c r="O29" s="790"/>
      <c r="P29" s="863"/>
      <c r="Q29" s="871"/>
      <c r="S29" s="863"/>
    </row>
    <row r="30" spans="1:19" ht="12.75" hidden="1" customHeight="1">
      <c r="A30" s="862" t="s">
        <v>12100</v>
      </c>
      <c r="B30" s="835" t="s">
        <v>1</v>
      </c>
      <c r="C30" s="835">
        <v>122</v>
      </c>
      <c r="D30" s="836" t="str">
        <f>PROPER(IF(B30="SANEAGO",VLOOKUP(C30,'SANEAGO-FEV.2016'!A:B,2,0),IF(B30="SINAPI",VLOOKUP(C30,'SINAPI-FEV.2017'!A:D,2,0),IF(B30="Cotação",VLOOKUP(C30,COTAÇÃO!A:D,2,0),IF(B30="Composição",VLOOKUP(C30,COMPOSIÇÃO!A:D,2,0))))))</f>
        <v>Limpeza Mecanizada  Terreno Com Raspagem  Superficial</v>
      </c>
      <c r="E30" s="837"/>
      <c r="F30" s="837"/>
      <c r="G30" s="852"/>
      <c r="H30" s="852"/>
      <c r="I30" s="852"/>
      <c r="J30" s="852"/>
      <c r="K30" s="852"/>
      <c r="L30" s="852" t="s">
        <v>21</v>
      </c>
      <c r="M30" s="853">
        <f>J30*K30</f>
        <v>0</v>
      </c>
      <c r="N30" s="824"/>
      <c r="O30" s="790"/>
      <c r="P30" s="863"/>
      <c r="Q30" s="871"/>
      <c r="S30" s="863"/>
    </row>
    <row r="31" spans="1:19" ht="12.75" hidden="1" customHeight="1">
      <c r="D31" s="826"/>
      <c r="E31" s="790"/>
      <c r="F31" s="790"/>
      <c r="G31" s="700" t="s">
        <v>30</v>
      </c>
      <c r="H31" s="700" t="s">
        <v>30</v>
      </c>
      <c r="I31" s="700" t="s">
        <v>30</v>
      </c>
      <c r="J31" s="700" t="s">
        <v>30</v>
      </c>
      <c r="K31" s="700" t="s">
        <v>30</v>
      </c>
      <c r="L31" s="700" t="s">
        <v>30</v>
      </c>
      <c r="M31" s="876" t="s">
        <v>30</v>
      </c>
      <c r="N31" s="824"/>
      <c r="O31" s="790"/>
      <c r="P31" s="863"/>
      <c r="Q31" s="871"/>
      <c r="S31" s="863"/>
    </row>
    <row r="32" spans="1:19" ht="12.75" hidden="1" customHeight="1">
      <c r="A32" s="862" t="s">
        <v>12101</v>
      </c>
      <c r="B32" s="835" t="s">
        <v>1</v>
      </c>
      <c r="C32" s="835">
        <v>123</v>
      </c>
      <c r="D32" s="836" t="str">
        <f>PROPER(IF(B32="SANEAGO",VLOOKUP(C32,'SANEAGO-FEV.2016'!A:B,2,0),IF(B32="SINAPI",VLOOKUP(C32,'SINAPI-FEV.2017'!A:D,2,0),IF(B32="Cotação",VLOOKUP(C32,COTAÇÃO!A:D,2,0),IF(B32="Composição",VLOOKUP(C32,COMPOSIÇÃO!A:D,2,0))))))</f>
        <v>Locação E Demarcação Da Obra</v>
      </c>
      <c r="E32" s="837"/>
      <c r="F32" s="837"/>
      <c r="G32" s="852"/>
      <c r="H32" s="852"/>
      <c r="I32" s="852"/>
      <c r="J32" s="852"/>
      <c r="K32" s="856"/>
      <c r="L32" s="852" t="s">
        <v>21</v>
      </c>
      <c r="M32" s="853">
        <f>J32*K32</f>
        <v>0</v>
      </c>
      <c r="N32" s="824"/>
      <c r="O32" s="790"/>
      <c r="P32" s="863"/>
      <c r="Q32" s="871"/>
      <c r="S32" s="863"/>
    </row>
    <row r="33" spans="1:16" s="863" customFormat="1" ht="13.5" hidden="1" customHeight="1" thickBot="1">
      <c r="A33" s="862"/>
      <c r="B33" s="835"/>
      <c r="C33" s="835"/>
      <c r="D33" s="826"/>
      <c r="E33" s="790"/>
      <c r="F33" s="790"/>
      <c r="G33" s="828"/>
      <c r="H33" s="828"/>
      <c r="I33" s="828"/>
      <c r="J33" s="828"/>
      <c r="K33" s="828"/>
      <c r="L33" s="700"/>
      <c r="M33" s="829"/>
      <c r="N33" s="700"/>
      <c r="P33" s="871"/>
    </row>
    <row r="34" spans="1:16" s="863" customFormat="1" ht="13.5" hidden="1" customHeight="1" thickTop="1" thickBot="1">
      <c r="A34" s="862"/>
      <c r="B34" s="835"/>
      <c r="C34" s="835"/>
      <c r="D34" s="830" t="s">
        <v>41</v>
      </c>
      <c r="E34" s="831"/>
      <c r="F34" s="831"/>
      <c r="G34" s="831"/>
      <c r="H34" s="831"/>
      <c r="I34" s="831"/>
      <c r="J34" s="831"/>
      <c r="K34" s="831"/>
      <c r="L34" s="832"/>
      <c r="M34" s="833"/>
      <c r="N34" s="870"/>
      <c r="O34" s="871"/>
      <c r="P34" s="871"/>
    </row>
    <row r="35" spans="1:16" s="863" customFormat="1" ht="13.5" hidden="1" customHeight="1" thickTop="1">
      <c r="A35" s="862"/>
      <c r="B35" s="835"/>
      <c r="C35" s="835"/>
      <c r="D35" s="878"/>
      <c r="E35" s="816"/>
      <c r="F35" s="816"/>
      <c r="G35" s="700" t="s">
        <v>30</v>
      </c>
      <c r="H35" s="700" t="s">
        <v>30</v>
      </c>
      <c r="I35" s="700" t="s">
        <v>30</v>
      </c>
      <c r="J35" s="700" t="s">
        <v>30</v>
      </c>
      <c r="K35" s="700" t="s">
        <v>30</v>
      </c>
      <c r="L35" s="700"/>
      <c r="M35" s="879"/>
      <c r="N35" s="700"/>
      <c r="P35" s="871"/>
    </row>
    <row r="36" spans="1:16" s="863" customFormat="1" ht="13.5" hidden="1" customHeight="1">
      <c r="A36" s="862"/>
      <c r="B36" s="835"/>
      <c r="C36" s="835"/>
      <c r="D36" s="836" t="s">
        <v>11766</v>
      </c>
      <c r="E36" s="837"/>
      <c r="F36" s="837"/>
      <c r="G36" s="880"/>
      <c r="H36" s="880"/>
      <c r="I36" s="880"/>
      <c r="J36" s="880"/>
      <c r="K36" s="880"/>
      <c r="L36" s="852" t="s">
        <v>18</v>
      </c>
      <c r="M36" s="853">
        <v>1</v>
      </c>
      <c r="N36" s="700"/>
      <c r="P36" s="871"/>
    </row>
    <row r="37" spans="1:16" s="863" customFormat="1" ht="13.5" hidden="1" customHeight="1">
      <c r="A37" s="862"/>
      <c r="B37" s="835"/>
      <c r="C37" s="835"/>
      <c r="D37" s="881"/>
      <c r="E37" s="882"/>
      <c r="F37" s="882"/>
      <c r="G37" s="700"/>
      <c r="H37" s="700"/>
      <c r="I37" s="700"/>
      <c r="J37" s="700"/>
      <c r="K37" s="700"/>
      <c r="L37" s="883"/>
      <c r="M37" s="884"/>
      <c r="N37" s="700"/>
      <c r="P37" s="871"/>
    </row>
    <row r="38" spans="1:16" s="863" customFormat="1" ht="13.5" hidden="1" customHeight="1">
      <c r="A38" s="862"/>
      <c r="B38" s="835"/>
      <c r="C38" s="835"/>
      <c r="D38" s="836" t="s">
        <v>11668</v>
      </c>
      <c r="E38" s="837"/>
      <c r="F38" s="837"/>
      <c r="G38" s="852"/>
      <c r="H38" s="852"/>
      <c r="I38" s="852"/>
      <c r="J38" s="852"/>
      <c r="K38" s="852"/>
      <c r="L38" s="852"/>
      <c r="M38" s="885">
        <v>25</v>
      </c>
      <c r="N38" s="700"/>
      <c r="O38" s="886"/>
      <c r="P38" s="871"/>
    </row>
    <row r="39" spans="1:16" s="863" customFormat="1" ht="27.75" hidden="1" customHeight="1">
      <c r="A39" s="862"/>
      <c r="B39" s="835"/>
      <c r="C39" s="835"/>
      <c r="D39" s="881"/>
      <c r="E39" s="882"/>
      <c r="F39" s="882"/>
      <c r="G39" s="700"/>
      <c r="H39" s="700"/>
      <c r="I39" s="700" t="s">
        <v>11671</v>
      </c>
      <c r="J39" s="700" t="s">
        <v>11672</v>
      </c>
      <c r="K39" s="700" t="s">
        <v>11673</v>
      </c>
      <c r="L39" s="883"/>
      <c r="M39" s="884"/>
      <c r="N39" s="700"/>
      <c r="P39" s="871"/>
    </row>
    <row r="40" spans="1:16" s="863" customFormat="1" ht="13.5" hidden="1" customHeight="1">
      <c r="A40" s="862"/>
      <c r="B40" s="835"/>
      <c r="C40" s="835"/>
      <c r="D40" s="836" t="s">
        <v>11670</v>
      </c>
      <c r="E40" s="837"/>
      <c r="F40" s="837"/>
      <c r="G40" s="852"/>
      <c r="H40" s="852"/>
      <c r="I40" s="852"/>
      <c r="J40" s="852"/>
      <c r="K40" s="852"/>
      <c r="L40" s="852" t="s">
        <v>18</v>
      </c>
      <c r="M40" s="853">
        <f>SUM(I40:K40)</f>
        <v>0</v>
      </c>
      <c r="N40" s="700"/>
      <c r="O40" s="886"/>
      <c r="P40" s="871"/>
    </row>
    <row r="41" spans="1:16" s="863" customFormat="1" ht="26.25" hidden="1" customHeight="1">
      <c r="A41" s="862"/>
      <c r="B41" s="835"/>
      <c r="C41" s="835"/>
      <c r="D41" s="881"/>
      <c r="E41" s="882"/>
      <c r="F41" s="882"/>
      <c r="G41" s="700" t="s">
        <v>11676</v>
      </c>
      <c r="H41" s="700" t="s">
        <v>11669</v>
      </c>
      <c r="I41" s="700" t="s">
        <v>11674</v>
      </c>
      <c r="J41" s="700" t="s">
        <v>11675</v>
      </c>
      <c r="K41" s="700" t="s">
        <v>11667</v>
      </c>
      <c r="L41" s="883"/>
      <c r="M41" s="884"/>
      <c r="N41" s="700"/>
      <c r="P41" s="871"/>
    </row>
    <row r="42" spans="1:16" s="863" customFormat="1" ht="23.25" hidden="1" customHeight="1">
      <c r="A42" s="862"/>
      <c r="B42" s="835"/>
      <c r="C42" s="835"/>
      <c r="D42" s="836" t="s">
        <v>11785</v>
      </c>
      <c r="E42" s="837"/>
      <c r="F42" s="837"/>
      <c r="G42" s="838"/>
      <c r="H42" s="838"/>
      <c r="I42" s="838"/>
      <c r="J42" s="838"/>
      <c r="K42" s="838"/>
      <c r="L42" s="852" t="s">
        <v>18</v>
      </c>
      <c r="M42" s="853">
        <f>ROUND((K42/3)*((I42*J42)+SQRT((I42*J42)*(G42*H42))+(G42*H42)),2)</f>
        <v>0</v>
      </c>
      <c r="N42" s="700"/>
      <c r="P42" s="871"/>
    </row>
    <row r="43" spans="1:16" s="863" customFormat="1" ht="22.5" hidden="1" customHeight="1">
      <c r="A43" s="862"/>
      <c r="B43" s="835"/>
      <c r="C43" s="835"/>
      <c r="D43" s="881"/>
      <c r="E43" s="882"/>
      <c r="F43" s="882"/>
      <c r="G43" s="700" t="s">
        <v>11676</v>
      </c>
      <c r="H43" s="700" t="s">
        <v>11669</v>
      </c>
      <c r="I43" s="700" t="s">
        <v>11674</v>
      </c>
      <c r="J43" s="700" t="s">
        <v>11675</v>
      </c>
      <c r="K43" s="700" t="s">
        <v>11667</v>
      </c>
      <c r="L43" s="883"/>
      <c r="M43" s="884"/>
      <c r="N43" s="700"/>
      <c r="P43" s="871"/>
    </row>
    <row r="44" spans="1:16" s="863" customFormat="1" ht="13.5" hidden="1" customHeight="1">
      <c r="A44" s="862"/>
      <c r="B44" s="835"/>
      <c r="C44" s="835"/>
      <c r="D44" s="836" t="s">
        <v>11786</v>
      </c>
      <c r="E44" s="837"/>
      <c r="F44" s="837"/>
      <c r="G44" s="838"/>
      <c r="H44" s="838"/>
      <c r="I44" s="838"/>
      <c r="J44" s="838"/>
      <c r="K44" s="838"/>
      <c r="L44" s="852" t="s">
        <v>18</v>
      </c>
      <c r="M44" s="853">
        <f>ROUND((K44/3)*((I44*J44)+SQRT((I44*J44)*(G44*H44))+(G44*H44)),2)</f>
        <v>0</v>
      </c>
      <c r="N44" s="700"/>
      <c r="P44" s="871"/>
    </row>
    <row r="45" spans="1:16" s="863" customFormat="1" ht="13.5" hidden="1" customHeight="1">
      <c r="A45" s="862"/>
      <c r="B45" s="835"/>
      <c r="C45" s="835"/>
      <c r="D45" s="881"/>
      <c r="E45" s="882"/>
      <c r="F45" s="882"/>
      <c r="G45" s="700"/>
      <c r="H45" s="700"/>
      <c r="I45" s="700"/>
      <c r="J45" s="700" t="s">
        <v>11696</v>
      </c>
      <c r="K45" s="700" t="s">
        <v>11641</v>
      </c>
      <c r="L45" s="883"/>
      <c r="M45" s="884"/>
      <c r="N45" s="700"/>
      <c r="P45" s="871"/>
    </row>
    <row r="46" spans="1:16" s="863" customFormat="1" ht="23.25" hidden="1" thickBot="1">
      <c r="A46" s="862" t="s">
        <v>12102</v>
      </c>
      <c r="B46" s="835" t="s">
        <v>1</v>
      </c>
      <c r="C46" s="893">
        <v>181</v>
      </c>
      <c r="D46" s="894" t="str">
        <f>PROPER(IF(B46="SANEAGO",VLOOKUP(C46,'SANEAGO-FEV.2016'!A:B,2,0),IF(B46="SINAPI",VLOOKUP(C46,'SINAPI-FEV.2017'!A:D,2,0),IF(B46="Cotação",VLOOKUP(C46,COTAÇÃO!A:D,2,0),IF(B46="Composição",VLOOKUP(C46,COMPOSIÇÃO!A:D,2,0))))))</f>
        <v>Escavação  Mecanizada  (Com Escavadeira Hidráulica)  Em Valas Com Material De 1ª Categoria - Profundidade Até 2,0 M</v>
      </c>
      <c r="E46" s="895"/>
      <c r="F46" s="895"/>
      <c r="G46" s="852"/>
      <c r="H46" s="852"/>
      <c r="I46" s="852"/>
      <c r="J46" s="896">
        <f>M15</f>
        <v>0.95</v>
      </c>
      <c r="K46" s="896">
        <f>M17</f>
        <v>0.9</v>
      </c>
      <c r="L46" s="852" t="s">
        <v>22</v>
      </c>
      <c r="M46" s="853">
        <f>K46*M$42*J46</f>
        <v>0</v>
      </c>
      <c r="N46" s="700"/>
      <c r="P46" s="871"/>
    </row>
    <row r="47" spans="1:16" s="863" customFormat="1" ht="13.5" hidden="1" thickBot="1">
      <c r="A47" s="862"/>
      <c r="B47" s="835"/>
      <c r="C47" s="893"/>
      <c r="D47" s="881"/>
      <c r="E47" s="882"/>
      <c r="F47" s="882"/>
      <c r="G47" s="700"/>
      <c r="H47" s="700"/>
      <c r="I47" s="700"/>
      <c r="J47" s="700" t="s">
        <v>11696</v>
      </c>
      <c r="K47" s="700" t="s">
        <v>11641</v>
      </c>
      <c r="L47" s="883"/>
      <c r="M47" s="884"/>
      <c r="N47" s="700"/>
      <c r="P47" s="871"/>
    </row>
    <row r="48" spans="1:16" s="863" customFormat="1" ht="23.25" hidden="1" thickBot="1">
      <c r="A48" s="862" t="s">
        <v>12103</v>
      </c>
      <c r="B48" s="835" t="s">
        <v>1</v>
      </c>
      <c r="C48" s="893">
        <v>182</v>
      </c>
      <c r="D48" s="894" t="str">
        <f>PROPER(IF(B48="SANEAGO",VLOOKUP(C48,'SANEAGO-FEV.2016'!A:B,2,0),IF(B48="SINAPI",VLOOKUP(C48,'SINAPI-FEV.2017'!A:D,2,0),IF(B48="Cotação",VLOOKUP(C48,COTAÇÃO!A:D,2,0),IF(B48="Composição",VLOOKUP(C48,COMPOSIÇÃO!A:D,2,0))))))</f>
        <v>Escavação  Mecanizada  (Com Escavadeira Hidráulica)  Em Valas Com Material De 1ª Categoria - Profundidade De 2,0 A 4,0M</v>
      </c>
      <c r="E48" s="895"/>
      <c r="F48" s="895"/>
      <c r="G48" s="852"/>
      <c r="H48" s="852"/>
      <c r="I48" s="852"/>
      <c r="J48" s="896">
        <f>J46</f>
        <v>0.95</v>
      </c>
      <c r="K48" s="896">
        <f>K46</f>
        <v>0.9</v>
      </c>
      <c r="L48" s="852" t="s">
        <v>22</v>
      </c>
      <c r="M48" s="853">
        <f>K48*M$44*J48</f>
        <v>0</v>
      </c>
      <c r="N48" s="700"/>
      <c r="P48" s="871"/>
    </row>
    <row r="49" spans="1:16" s="863" customFormat="1" ht="13.5" hidden="1" thickBot="1">
      <c r="A49" s="862"/>
      <c r="B49" s="835"/>
      <c r="C49" s="893"/>
      <c r="D49" s="881"/>
      <c r="E49" s="882"/>
      <c r="F49" s="882"/>
      <c r="G49" s="700"/>
      <c r="H49" s="700"/>
      <c r="I49" s="700"/>
      <c r="J49" s="700" t="s">
        <v>11696</v>
      </c>
      <c r="K49" s="700" t="s">
        <v>11642</v>
      </c>
      <c r="L49" s="883"/>
      <c r="M49" s="884"/>
      <c r="N49" s="700"/>
      <c r="P49" s="871"/>
    </row>
    <row r="50" spans="1:16" s="863" customFormat="1" ht="34.5" hidden="1" thickBot="1">
      <c r="A50" s="862" t="s">
        <v>12104</v>
      </c>
      <c r="B50" s="835" t="s">
        <v>1</v>
      </c>
      <c r="C50" s="893">
        <v>184</v>
      </c>
      <c r="D50" s="894" t="str">
        <f>PROPER(IF(B50="SANEAGO",VLOOKUP(C50,'SANEAGO-FEV.2016'!A:B,2,0),IF(B50="SINAPI",VLOOKUP(C50,'SINAPI-FEV.2017'!A:D,2,0),IF(B50="Cotação",VLOOKUP(C50,COTAÇÃO!A:D,2,0),IF(B50="Composição",VLOOKUP(C50,COMPOSIÇÃO!A:D,2,0))))))</f>
        <v>Escavação  Mecanizada  (Com Escavadeira Hidráulica)  Em Valas Com Material De 2ª Categoria
- Profundidade Até 2,0 M</v>
      </c>
      <c r="E50" s="895"/>
      <c r="F50" s="895"/>
      <c r="G50" s="852"/>
      <c r="H50" s="852"/>
      <c r="I50" s="852"/>
      <c r="J50" s="896">
        <f>J48</f>
        <v>0.95</v>
      </c>
      <c r="K50" s="896">
        <f>M18</f>
        <v>0.05</v>
      </c>
      <c r="L50" s="852" t="s">
        <v>22</v>
      </c>
      <c r="M50" s="853">
        <f>K50*M$42*J50</f>
        <v>0</v>
      </c>
      <c r="N50" s="700"/>
      <c r="P50" s="871"/>
    </row>
    <row r="51" spans="1:16" s="863" customFormat="1" ht="13.5" hidden="1" thickBot="1">
      <c r="A51" s="862"/>
      <c r="B51" s="835"/>
      <c r="C51" s="835"/>
      <c r="D51" s="881"/>
      <c r="E51" s="882"/>
      <c r="F51" s="882"/>
      <c r="G51" s="700"/>
      <c r="H51" s="700"/>
      <c r="I51" s="700"/>
      <c r="J51" s="700" t="s">
        <v>11696</v>
      </c>
      <c r="K51" s="700" t="s">
        <v>11642</v>
      </c>
      <c r="L51" s="883"/>
      <c r="M51" s="884"/>
      <c r="N51" s="700"/>
      <c r="P51" s="871"/>
    </row>
    <row r="52" spans="1:16" s="863" customFormat="1" ht="34.5" hidden="1" thickBot="1">
      <c r="A52" s="862" t="s">
        <v>12105</v>
      </c>
      <c r="B52" s="835" t="s">
        <v>1</v>
      </c>
      <c r="C52" s="893">
        <v>185</v>
      </c>
      <c r="D52" s="894" t="str">
        <f>PROPER(IF(B52="SANEAGO",VLOOKUP(C52,'SANEAGO-FEV.2016'!A:B,2,0),IF(B52="SINAPI",VLOOKUP(C52,'SINAPI-FEV.2017'!A:D,2,0),IF(B52="Cotação",VLOOKUP(C52,COTAÇÃO!A:D,2,0),IF(B52="Composição",VLOOKUP(C52,COMPOSIÇÃO!A:D,2,0))))))</f>
        <v>Escavação  Mecanizada  (Com Escavadeira Hidráulica)  Em Valas Com Material De 2ª Categoria
- Profundidade De 2,0 A 4,0 M</v>
      </c>
      <c r="E52" s="895"/>
      <c r="F52" s="895"/>
      <c r="G52" s="852"/>
      <c r="H52" s="852"/>
      <c r="I52" s="852"/>
      <c r="J52" s="896">
        <f>J50</f>
        <v>0.95</v>
      </c>
      <c r="K52" s="896">
        <f>K50</f>
        <v>0.05</v>
      </c>
      <c r="L52" s="852" t="s">
        <v>22</v>
      </c>
      <c r="M52" s="853">
        <f>K52*M$44*J52</f>
        <v>0</v>
      </c>
      <c r="N52" s="700"/>
      <c r="P52" s="871"/>
    </row>
    <row r="53" spans="1:16" s="863" customFormat="1" ht="13.5" hidden="1" thickBot="1">
      <c r="A53" s="862"/>
      <c r="B53" s="835"/>
      <c r="C53" s="835"/>
      <c r="D53" s="881"/>
      <c r="E53" s="882"/>
      <c r="F53" s="882"/>
      <c r="G53" s="700"/>
      <c r="H53" s="700"/>
      <c r="I53" s="700"/>
      <c r="J53" s="700" t="s">
        <v>11696</v>
      </c>
      <c r="K53" s="700" t="s">
        <v>11677</v>
      </c>
      <c r="L53" s="883"/>
      <c r="M53" s="884"/>
      <c r="N53" s="700"/>
      <c r="P53" s="871"/>
    </row>
    <row r="54" spans="1:16" s="863" customFormat="1" ht="23.25" hidden="1" thickBot="1">
      <c r="A54" s="862" t="s">
        <v>12106</v>
      </c>
      <c r="B54" s="835" t="s">
        <v>1</v>
      </c>
      <c r="C54" s="893">
        <v>187</v>
      </c>
      <c r="D54" s="894" t="str">
        <f>PROPER(IF(B54="SANEAGO",VLOOKUP(C54,'SANEAGO-FEV.2016'!A:B,2,0),IF(B54="SINAPI",VLOOKUP(C54,'SINAPI-FEV.2017'!A:D,2,0),IF(B54="Cotação",VLOOKUP(C54,COTAÇÃO!A:D,2,0),IF(B54="Composição",VLOOKUP(C54,COMPOSIÇÃO!A:D,2,0))))))</f>
        <v>Escavação  Mecanizada  (Com Escavadeira Hidráulica)  Em Valas Com Material  De Solo Mole - Profundidade Até 2,0 M</v>
      </c>
      <c r="E54" s="895"/>
      <c r="F54" s="895"/>
      <c r="G54" s="852"/>
      <c r="H54" s="852"/>
      <c r="I54" s="852"/>
      <c r="J54" s="896">
        <f>J52</f>
        <v>0.95</v>
      </c>
      <c r="K54" s="896">
        <f>M20</f>
        <v>0.05</v>
      </c>
      <c r="L54" s="852" t="s">
        <v>22</v>
      </c>
      <c r="M54" s="853">
        <f>K54*M$42*J54</f>
        <v>0</v>
      </c>
      <c r="N54" s="700"/>
      <c r="P54" s="871"/>
    </row>
    <row r="55" spans="1:16" s="863" customFormat="1" ht="13.5" hidden="1" thickBot="1">
      <c r="A55" s="862"/>
      <c r="B55" s="835"/>
      <c r="C55" s="835"/>
      <c r="D55" s="881"/>
      <c r="E55" s="882"/>
      <c r="F55" s="882"/>
      <c r="G55" s="700"/>
      <c r="H55" s="700"/>
      <c r="I55" s="700"/>
      <c r="J55" s="700" t="s">
        <v>11696</v>
      </c>
      <c r="K55" s="700" t="s">
        <v>11677</v>
      </c>
      <c r="L55" s="883"/>
      <c r="M55" s="884"/>
      <c r="N55" s="700"/>
      <c r="P55" s="871"/>
    </row>
    <row r="56" spans="1:16" s="863" customFormat="1" ht="23.25" hidden="1" thickBot="1">
      <c r="A56" s="862" t="s">
        <v>12107</v>
      </c>
      <c r="B56" s="835" t="s">
        <v>1</v>
      </c>
      <c r="C56" s="893">
        <v>188</v>
      </c>
      <c r="D56" s="894" t="str">
        <f>PROPER(IF(B56="SANEAGO",VLOOKUP(C56,'SANEAGO-FEV.2016'!A:B,2,0),IF(B56="SINAPI",VLOOKUP(C56,'SINAPI-FEV.2017'!A:D,2,0),IF(B56="Cotação",VLOOKUP(C56,COTAÇÃO!A:D,2,0),IF(B56="Composição",VLOOKUP(C56,COMPOSIÇÃO!A:D,2,0))))))</f>
        <v>Escavação  Mecanizada  (Com Escavadeira Hidráulica)  Em Valas Com Material  De Solo Mole - Profundidade De 2,0 A 4,0 M</v>
      </c>
      <c r="E56" s="895"/>
      <c r="F56" s="895"/>
      <c r="G56" s="852"/>
      <c r="H56" s="852"/>
      <c r="I56" s="852"/>
      <c r="J56" s="896">
        <f>J54</f>
        <v>0.95</v>
      </c>
      <c r="K56" s="896">
        <f>K54</f>
        <v>0.05</v>
      </c>
      <c r="L56" s="852" t="s">
        <v>22</v>
      </c>
      <c r="M56" s="853">
        <f>K56*M$44*J56</f>
        <v>0</v>
      </c>
      <c r="N56" s="700"/>
      <c r="P56" s="871"/>
    </row>
    <row r="57" spans="1:16" s="863" customFormat="1" ht="13.5" hidden="1" thickBot="1">
      <c r="A57" s="862"/>
      <c r="B57" s="835"/>
      <c r="C57" s="835"/>
      <c r="D57" s="881"/>
      <c r="E57" s="882"/>
      <c r="F57" s="882"/>
      <c r="G57" s="700"/>
      <c r="H57" s="700"/>
      <c r="I57" s="700"/>
      <c r="J57" s="700" t="s">
        <v>11696</v>
      </c>
      <c r="K57" s="700" t="s">
        <v>11641</v>
      </c>
      <c r="L57" s="883"/>
      <c r="M57" s="884"/>
      <c r="N57" s="700"/>
      <c r="P57" s="871"/>
    </row>
    <row r="58" spans="1:16" s="863" customFormat="1" ht="13.5" hidden="1" thickBot="1">
      <c r="A58" s="862" t="s">
        <v>12108</v>
      </c>
      <c r="B58" s="835" t="s">
        <v>1</v>
      </c>
      <c r="C58" s="893">
        <v>168</v>
      </c>
      <c r="D58" s="894" t="str">
        <f>PROPER(IF(B58="SANEAGO",VLOOKUP(C58,'SANEAGO-FEV.2016'!A:B,2,0),IF(B58="SINAPI",VLOOKUP(C58,'SINAPI-FEV.2017'!A:D,2,0),IF(B58="Cotação",VLOOKUP(C58,COTAÇÃO!A:D,2,0),IF(B58="Composição",VLOOKUP(C58,COMPOSIÇÃO!A:D,2,0))))))</f>
        <v>Escavação  Manual Em Valas Com Material De 1ª Categoria  - Profundidade Até 2,0M</v>
      </c>
      <c r="E58" s="895"/>
      <c r="F58" s="895"/>
      <c r="G58" s="852"/>
      <c r="H58" s="852"/>
      <c r="I58" s="852"/>
      <c r="J58" s="896">
        <f>M16</f>
        <v>0.05</v>
      </c>
      <c r="K58" s="896">
        <f>K46</f>
        <v>0.9</v>
      </c>
      <c r="L58" s="852" t="s">
        <v>22</v>
      </c>
      <c r="M58" s="853">
        <f>K58*M$42*J58</f>
        <v>0</v>
      </c>
      <c r="N58" s="700"/>
      <c r="P58" s="871"/>
    </row>
    <row r="59" spans="1:16" s="863" customFormat="1" ht="13.5" hidden="1" thickBot="1">
      <c r="A59" s="862"/>
      <c r="B59" s="835"/>
      <c r="C59" s="893"/>
      <c r="D59" s="881"/>
      <c r="E59" s="882"/>
      <c r="F59" s="882"/>
      <c r="G59" s="700"/>
      <c r="H59" s="700"/>
      <c r="I59" s="700"/>
      <c r="J59" s="700" t="s">
        <v>11696</v>
      </c>
      <c r="K59" s="700" t="s">
        <v>11641</v>
      </c>
      <c r="L59" s="883"/>
      <c r="M59" s="884"/>
      <c r="N59" s="700"/>
      <c r="P59" s="871"/>
    </row>
    <row r="60" spans="1:16" s="863" customFormat="1" ht="23.25" hidden="1" thickBot="1">
      <c r="A60" s="862" t="s">
        <v>12109</v>
      </c>
      <c r="B60" s="835" t="s">
        <v>1</v>
      </c>
      <c r="C60" s="893">
        <v>169</v>
      </c>
      <c r="D60" s="894" t="str">
        <f>PROPER(IF(B60="SANEAGO",VLOOKUP(C60,'SANEAGO-FEV.2016'!A:B,2,0),IF(B60="SINAPI",VLOOKUP(C60,'SINAPI-FEV.2017'!A:D,2,0),IF(B60="Cotação",VLOOKUP(C60,COTAÇÃO!A:D,2,0),IF(B60="Composição",VLOOKUP(C60,COMPOSIÇÃO!A:D,2,0))))))</f>
        <v>Escavação  Manual Em Valas Com Material De 1ª Categoria  - Profundidade De 2,0 A 4,0 M</v>
      </c>
      <c r="E60" s="895"/>
      <c r="F60" s="895"/>
      <c r="G60" s="852"/>
      <c r="H60" s="852"/>
      <c r="I60" s="852"/>
      <c r="J60" s="896">
        <f>J58</f>
        <v>0.05</v>
      </c>
      <c r="K60" s="896">
        <f>K48</f>
        <v>0.9</v>
      </c>
      <c r="L60" s="852" t="s">
        <v>22</v>
      </c>
      <c r="M60" s="853">
        <f>K60*M$44*J60</f>
        <v>0</v>
      </c>
      <c r="N60" s="700"/>
      <c r="P60" s="871"/>
    </row>
    <row r="61" spans="1:16" s="863" customFormat="1" ht="13.5" hidden="1" thickBot="1">
      <c r="A61" s="862"/>
      <c r="B61" s="835"/>
      <c r="C61" s="893"/>
      <c r="D61" s="881"/>
      <c r="E61" s="882"/>
      <c r="F61" s="882"/>
      <c r="G61" s="700"/>
      <c r="H61" s="700"/>
      <c r="I61" s="700"/>
      <c r="J61" s="700" t="s">
        <v>11696</v>
      </c>
      <c r="K61" s="700" t="s">
        <v>11642</v>
      </c>
      <c r="L61" s="883"/>
      <c r="M61" s="884"/>
      <c r="N61" s="700"/>
      <c r="P61" s="871"/>
    </row>
    <row r="62" spans="1:16" s="863" customFormat="1" ht="13.5" hidden="1" thickBot="1">
      <c r="A62" s="862" t="s">
        <v>12110</v>
      </c>
      <c r="B62" s="835" t="s">
        <v>1</v>
      </c>
      <c r="C62" s="893">
        <v>170</v>
      </c>
      <c r="D62" s="894" t="str">
        <f>PROPER(IF(B62="SANEAGO",VLOOKUP(C62,'SANEAGO-FEV.2016'!A:B,2,0),IF(B62="SINAPI",VLOOKUP(C62,'SINAPI-FEV.2017'!A:D,2,0),IF(B62="Cotação",VLOOKUP(C62,COTAÇÃO!A:D,2,0),IF(B62="Composição",VLOOKUP(C62,COMPOSIÇÃO!A:D,2,0))))))</f>
        <v>Escavação  Manual Em Valas Com Material De 2ª Categoria  - Profundidade Até 2,0 M</v>
      </c>
      <c r="E62" s="895"/>
      <c r="F62" s="895"/>
      <c r="G62" s="852"/>
      <c r="H62" s="852"/>
      <c r="I62" s="852"/>
      <c r="J62" s="896">
        <f>J60</f>
        <v>0.05</v>
      </c>
      <c r="K62" s="896">
        <f>K50</f>
        <v>0.05</v>
      </c>
      <c r="L62" s="852" t="s">
        <v>22</v>
      </c>
      <c r="M62" s="853">
        <f>K62*M$42*J62</f>
        <v>0</v>
      </c>
      <c r="N62" s="700"/>
      <c r="P62" s="871"/>
    </row>
    <row r="63" spans="1:16" s="863" customFormat="1" ht="13.5" hidden="1" thickBot="1">
      <c r="A63" s="862"/>
      <c r="B63" s="835"/>
      <c r="C63" s="835"/>
      <c r="D63" s="881"/>
      <c r="E63" s="882"/>
      <c r="F63" s="882"/>
      <c r="G63" s="700"/>
      <c r="H63" s="700"/>
      <c r="I63" s="700"/>
      <c r="J63" s="700" t="s">
        <v>11696</v>
      </c>
      <c r="K63" s="700" t="s">
        <v>11642</v>
      </c>
      <c r="L63" s="883"/>
      <c r="M63" s="884"/>
      <c r="N63" s="700"/>
      <c r="P63" s="871"/>
    </row>
    <row r="64" spans="1:16" s="863" customFormat="1" ht="23.25" hidden="1" thickBot="1">
      <c r="A64" s="862" t="s">
        <v>12111</v>
      </c>
      <c r="B64" s="835" t="s">
        <v>1</v>
      </c>
      <c r="C64" s="893">
        <v>171</v>
      </c>
      <c r="D64" s="894" t="str">
        <f>PROPER(IF(B64="SANEAGO",VLOOKUP(C64,'SANEAGO-FEV.2016'!A:B,2,0),IF(B64="SINAPI",VLOOKUP(C64,'SINAPI-FEV.2017'!A:D,2,0),IF(B64="Cotação",VLOOKUP(C64,COTAÇÃO!A:D,2,0),IF(B64="Composição",VLOOKUP(C64,COMPOSIÇÃO!A:D,2,0))))))</f>
        <v>Escavação  Manual Em Valas Com Material De 2ª Categoria  - Profundidade De 2,0 A 4,0 M</v>
      </c>
      <c r="E64" s="895"/>
      <c r="F64" s="895"/>
      <c r="G64" s="852"/>
      <c r="H64" s="852"/>
      <c r="I64" s="852"/>
      <c r="J64" s="896">
        <f>J62</f>
        <v>0.05</v>
      </c>
      <c r="K64" s="896">
        <f>K52</f>
        <v>0.05</v>
      </c>
      <c r="L64" s="852" t="s">
        <v>22</v>
      </c>
      <c r="M64" s="853">
        <f>K64*M$44*J64</f>
        <v>0</v>
      </c>
      <c r="N64" s="700"/>
      <c r="P64" s="871"/>
    </row>
    <row r="65" spans="1:16" s="863" customFormat="1" ht="13.5" hidden="1" customHeight="1">
      <c r="A65" s="862"/>
      <c r="B65" s="835"/>
      <c r="C65" s="835"/>
      <c r="D65" s="881"/>
      <c r="E65" s="882"/>
      <c r="F65" s="882"/>
      <c r="G65" s="700"/>
      <c r="H65" s="700"/>
      <c r="I65" s="700"/>
      <c r="J65" s="700" t="s">
        <v>11696</v>
      </c>
      <c r="K65" s="700" t="s">
        <v>11677</v>
      </c>
      <c r="L65" s="883"/>
      <c r="M65" s="884"/>
      <c r="N65" s="700"/>
      <c r="P65" s="871"/>
    </row>
    <row r="66" spans="1:16" s="863" customFormat="1" ht="25.5" hidden="1" customHeight="1">
      <c r="A66" s="862" t="s">
        <v>12112</v>
      </c>
      <c r="B66" s="835" t="s">
        <v>1</v>
      </c>
      <c r="C66" s="893">
        <v>172</v>
      </c>
      <c r="D66" s="894" t="str">
        <f>PROPER(IF(B66="SANEAGO",VLOOKUP(C66,'SANEAGO-FEV.2016'!A:B,2,0),IF(B66="SINAPI",VLOOKUP(C66,'SINAPI-FEV.2017'!A:D,2,0),IF(B66="Cotação",VLOOKUP(C66,COTAÇÃO!A:D,2,0),IF(B66="Composição",VLOOKUP(C66,COMPOSIÇÃO!A:D,2,0))))))</f>
        <v>Escavação   Manual   Em  Valas  Com  Material   De  3ª  Categoria   Sem  Uso  De  Explosivo   Com Utilização  De Compressor E Rompedor  -  Profundidade Até 2,0M</v>
      </c>
      <c r="E66" s="895"/>
      <c r="F66" s="895"/>
      <c r="G66" s="852"/>
      <c r="H66" s="852"/>
      <c r="I66" s="852"/>
      <c r="J66" s="896">
        <f>J64</f>
        <v>0.05</v>
      </c>
      <c r="K66" s="896">
        <f>K54</f>
        <v>0.05</v>
      </c>
      <c r="L66" s="852" t="s">
        <v>22</v>
      </c>
      <c r="M66" s="853">
        <f>K66*M$42*J66</f>
        <v>0</v>
      </c>
      <c r="N66" s="700"/>
      <c r="P66" s="871"/>
    </row>
    <row r="67" spans="1:16" s="863" customFormat="1" ht="13.5" hidden="1" customHeight="1">
      <c r="A67" s="862"/>
      <c r="B67" s="835"/>
      <c r="C67" s="835"/>
      <c r="D67" s="881"/>
      <c r="E67" s="882"/>
      <c r="F67" s="882"/>
      <c r="G67" s="700"/>
      <c r="H67" s="700"/>
      <c r="I67" s="700"/>
      <c r="J67" s="700" t="s">
        <v>11696</v>
      </c>
      <c r="K67" s="700" t="s">
        <v>11677</v>
      </c>
      <c r="L67" s="883"/>
      <c r="M67" s="884"/>
      <c r="N67" s="700"/>
      <c r="P67" s="871"/>
    </row>
    <row r="68" spans="1:16" s="863" customFormat="1" ht="22.5" hidden="1" customHeight="1">
      <c r="A68" s="862" t="s">
        <v>12113</v>
      </c>
      <c r="B68" s="835" t="s">
        <v>1</v>
      </c>
      <c r="C68" s="893">
        <v>173</v>
      </c>
      <c r="D68" s="894" t="str">
        <f>PROPER(IF(B68="SANEAGO",VLOOKUP(C68,'SANEAGO-FEV.2016'!A:B,2,0),IF(B68="SINAPI",VLOOKUP(C68,'SINAPI-FEV.2017'!A:D,2,0),IF(B68="Cotação",VLOOKUP(C68,COTAÇÃO!A:D,2,0),IF(B68="Composição",VLOOKUP(C68,COMPOSIÇÃO!A:D,2,0))))))</f>
        <v>Escavação   Manual   Em  Valas  Com  Material   De  3ª  Categoria   Sem  Uso  De  Explosivo   Com Utilização  De Compressor E Rompedor   - Profundidade De 2,0 A 4,0M</v>
      </c>
      <c r="E68" s="895"/>
      <c r="F68" s="895"/>
      <c r="G68" s="852"/>
      <c r="H68" s="852"/>
      <c r="I68" s="852"/>
      <c r="J68" s="896">
        <f>J66</f>
        <v>0.05</v>
      </c>
      <c r="K68" s="896">
        <f>K56</f>
        <v>0.05</v>
      </c>
      <c r="L68" s="852" t="s">
        <v>22</v>
      </c>
      <c r="M68" s="853">
        <f>K68*M$44*J68</f>
        <v>0</v>
      </c>
      <c r="N68" s="700"/>
      <c r="P68" s="871"/>
    </row>
    <row r="69" spans="1:16" s="863" customFormat="1" ht="13.5" hidden="1" customHeight="1">
      <c r="A69" s="862"/>
      <c r="B69" s="835"/>
      <c r="C69" s="835"/>
      <c r="D69" s="881"/>
      <c r="E69" s="882"/>
      <c r="F69" s="882"/>
      <c r="G69" s="700" t="s">
        <v>37</v>
      </c>
      <c r="H69" s="700" t="s">
        <v>17</v>
      </c>
      <c r="I69" s="700" t="s">
        <v>19</v>
      </c>
      <c r="J69" s="700" t="s">
        <v>28</v>
      </c>
      <c r="K69" s="700" t="s">
        <v>51</v>
      </c>
      <c r="L69" s="883"/>
      <c r="M69" s="884"/>
      <c r="N69" s="700"/>
      <c r="P69" s="871"/>
    </row>
    <row r="70" spans="1:16" s="863" customFormat="1" ht="13.5" hidden="1" customHeight="1">
      <c r="A70" s="862"/>
      <c r="B70" s="835"/>
      <c r="C70" s="835"/>
      <c r="D70" s="836" t="s">
        <v>11730</v>
      </c>
      <c r="E70" s="837"/>
      <c r="F70" s="837"/>
      <c r="G70" s="838"/>
      <c r="H70" s="852"/>
      <c r="I70" s="852"/>
      <c r="J70" s="838"/>
      <c r="K70" s="852"/>
      <c r="L70" s="852" t="s">
        <v>22</v>
      </c>
      <c r="M70" s="853">
        <f>(((H70+(2*G70))*(I70+(2*G70)))*J70)*K70</f>
        <v>0</v>
      </c>
      <c r="N70" s="700"/>
      <c r="P70" s="871"/>
    </row>
    <row r="71" spans="1:16" s="863" customFormat="1" ht="13.5" hidden="1" customHeight="1">
      <c r="A71" s="862"/>
      <c r="B71" s="835"/>
      <c r="C71" s="835"/>
      <c r="D71" s="881"/>
      <c r="E71" s="882"/>
      <c r="F71" s="882"/>
      <c r="G71" s="700" t="s">
        <v>37</v>
      </c>
      <c r="H71" s="700" t="s">
        <v>17</v>
      </c>
      <c r="I71" s="700" t="s">
        <v>19</v>
      </c>
      <c r="J71" s="700" t="s">
        <v>28</v>
      </c>
      <c r="K71" s="700" t="s">
        <v>51</v>
      </c>
      <c r="L71" s="883"/>
      <c r="M71" s="884"/>
      <c r="N71" s="700"/>
      <c r="P71" s="871"/>
    </row>
    <row r="72" spans="1:16" s="863" customFormat="1" ht="13.5" hidden="1" customHeight="1">
      <c r="A72" s="862"/>
      <c r="B72" s="835"/>
      <c r="C72" s="835"/>
      <c r="D72" s="836" t="s">
        <v>11731</v>
      </c>
      <c r="E72" s="837"/>
      <c r="F72" s="837"/>
      <c r="G72" s="838"/>
      <c r="H72" s="852"/>
      <c r="I72" s="852"/>
      <c r="J72" s="838"/>
      <c r="K72" s="852"/>
      <c r="L72" s="852" t="s">
        <v>22</v>
      </c>
      <c r="M72" s="853">
        <f>(((H72+(2*G72))*(I72+(2*G72)))*J72)*K72</f>
        <v>0</v>
      </c>
      <c r="N72" s="700"/>
      <c r="P72" s="871"/>
    </row>
    <row r="73" spans="1:16" s="863" customFormat="1" ht="13.5" hidden="1" customHeight="1">
      <c r="A73" s="862"/>
      <c r="B73" s="835"/>
      <c r="C73" s="835"/>
      <c r="D73" s="881"/>
      <c r="E73" s="882"/>
      <c r="F73" s="882"/>
      <c r="G73" s="700" t="s">
        <v>37</v>
      </c>
      <c r="H73" s="700" t="s">
        <v>17</v>
      </c>
      <c r="I73" s="700" t="s">
        <v>19</v>
      </c>
      <c r="J73" s="700" t="s">
        <v>28</v>
      </c>
      <c r="K73" s="700" t="s">
        <v>51</v>
      </c>
      <c r="L73" s="883"/>
      <c r="M73" s="884"/>
      <c r="N73" s="700"/>
      <c r="P73" s="871"/>
    </row>
    <row r="74" spans="1:16" s="863" customFormat="1" ht="13.5" hidden="1" customHeight="1">
      <c r="A74" s="862"/>
      <c r="B74" s="835"/>
      <c r="C74" s="835"/>
      <c r="D74" s="836" t="s">
        <v>11732</v>
      </c>
      <c r="E74" s="837"/>
      <c r="F74" s="837"/>
      <c r="G74" s="838"/>
      <c r="H74" s="852"/>
      <c r="I74" s="852"/>
      <c r="J74" s="838"/>
      <c r="K74" s="852"/>
      <c r="L74" s="852" t="s">
        <v>22</v>
      </c>
      <c r="M74" s="853">
        <f>(((H74+(2*G74))*(I74+(2*G74)))*J74)*K74</f>
        <v>0</v>
      </c>
      <c r="N74" s="700"/>
      <c r="P74" s="871"/>
    </row>
    <row r="75" spans="1:16" s="863" customFormat="1" ht="13.5" hidden="1" customHeight="1">
      <c r="A75" s="862"/>
      <c r="B75" s="835"/>
      <c r="C75" s="835"/>
      <c r="D75" s="826"/>
      <c r="E75" s="790"/>
      <c r="F75" s="790"/>
      <c r="G75" s="700"/>
      <c r="H75" s="700"/>
      <c r="I75" s="700"/>
      <c r="J75" s="700"/>
      <c r="K75" s="700"/>
      <c r="L75" s="883"/>
      <c r="M75" s="884"/>
      <c r="N75" s="700"/>
      <c r="P75" s="871"/>
    </row>
    <row r="76" spans="1:16" s="863" customFormat="1" ht="13.5" hidden="1" customHeight="1">
      <c r="A76" s="862" t="s">
        <v>12114</v>
      </c>
      <c r="B76" s="835" t="s">
        <v>1</v>
      </c>
      <c r="C76" s="835">
        <v>178</v>
      </c>
      <c r="D76" s="836" t="str">
        <f>PROPER(IF(B76="SANEAGO",VLOOKUP(C76,'SANEAGO-FEV.2016'!A:B,2,0),IF(B76="SINAPI",VLOOKUP(C76,'SINAPI-FEV.2017'!A:D,2,0),IF(B76="Cotação",VLOOKUP(C76,COTAÇÃO!A:D,2,0),IF(B76="Composição",VLOOKUP(C76,COMPOSIÇÃO!A:D,2,0))))))</f>
        <v>Escavação  Manual Em Valas De Terra Com Profundidade Até 2,0 M</v>
      </c>
      <c r="E76" s="837"/>
      <c r="F76" s="837"/>
      <c r="G76" s="838"/>
      <c r="H76" s="852"/>
      <c r="I76" s="838"/>
      <c r="J76" s="923"/>
      <c r="K76" s="924" t="s">
        <v>27</v>
      </c>
      <c r="L76" s="856" t="s">
        <v>22</v>
      </c>
      <c r="M76" s="840">
        <f>M70+M72+M74</f>
        <v>0</v>
      </c>
      <c r="N76" s="700"/>
      <c r="P76" s="871"/>
    </row>
    <row r="77" spans="1:16" s="863" customFormat="1" ht="13.5" hidden="1" thickBot="1">
      <c r="A77" s="862"/>
      <c r="B77" s="835"/>
      <c r="C77" s="835"/>
      <c r="D77" s="826"/>
      <c r="E77" s="790"/>
      <c r="F77" s="790"/>
      <c r="G77" s="700" t="s">
        <v>30</v>
      </c>
      <c r="H77" s="700" t="s">
        <v>30</v>
      </c>
      <c r="I77" s="700" t="s">
        <v>30</v>
      </c>
      <c r="J77" s="700" t="s">
        <v>30</v>
      </c>
      <c r="K77" s="700" t="s">
        <v>30</v>
      </c>
      <c r="L77" s="828"/>
      <c r="M77" s="829"/>
      <c r="N77" s="700"/>
      <c r="P77" s="871"/>
    </row>
    <row r="78" spans="1:16" s="863" customFormat="1" ht="12.75" hidden="1" customHeight="1">
      <c r="A78" s="862" t="s">
        <v>12115</v>
      </c>
      <c r="B78" s="835" t="s">
        <v>70</v>
      </c>
      <c r="C78" s="835" t="s">
        <v>349</v>
      </c>
      <c r="D78" s="836" t="e">
        <f>PROPER(IF(B78="SANEAGO",VLOOKUP(C78,'SANEAGO-FEV.2016'!A:B,2,0),IF(B78="SINAPI",VLOOKUP(C78,'SINAPI-FEV.2017'!A:D,2,0),IF(B78="Cotação",VLOOKUP(C78,COTAÇÃO!A:D,2,0),IF(B78="Composição",VLOOKUP(C78,COMPOSIÇÃO!A:D,2,0))))))</f>
        <v>#N/A</v>
      </c>
      <c r="E78" s="837"/>
      <c r="F78" s="837"/>
      <c r="G78" s="838"/>
      <c r="H78" s="852"/>
      <c r="I78" s="852"/>
      <c r="J78" s="838"/>
      <c r="K78" s="838"/>
      <c r="L78" s="838" t="s">
        <v>57</v>
      </c>
      <c r="M78" s="853">
        <f>(J78*K78)</f>
        <v>0</v>
      </c>
      <c r="N78" s="700"/>
      <c r="P78" s="871"/>
    </row>
    <row r="79" spans="1:16" s="863" customFormat="1" ht="13.5" hidden="1" thickBot="1">
      <c r="A79" s="862"/>
      <c r="B79" s="835"/>
      <c r="C79" s="835"/>
      <c r="D79" s="826"/>
      <c r="E79" s="790"/>
      <c r="F79" s="790"/>
      <c r="G79" s="700" t="s">
        <v>30</v>
      </c>
      <c r="H79" s="700" t="s">
        <v>30</v>
      </c>
      <c r="I79" s="700" t="s">
        <v>30</v>
      </c>
      <c r="J79" s="700" t="s">
        <v>30</v>
      </c>
      <c r="K79" s="700" t="s">
        <v>30</v>
      </c>
      <c r="L79" s="883"/>
      <c r="M79" s="884"/>
      <c r="N79" s="700"/>
      <c r="P79" s="871"/>
    </row>
    <row r="80" spans="1:16" s="863" customFormat="1" ht="12.75" hidden="1" customHeight="1">
      <c r="A80" s="862" t="s">
        <v>12116</v>
      </c>
      <c r="B80" s="835" t="s">
        <v>1</v>
      </c>
      <c r="C80" s="835">
        <v>207</v>
      </c>
      <c r="D80" s="836" t="str">
        <f>PROPER(IF(B80="SANEAGO",VLOOKUP(C80,'SANEAGO-FEV.2016'!A:B,2,0),IF(B80="SINAPI",VLOOKUP(C80,'SINAPI-FEV.2017'!A:D,2,0),IF(B80="Cotação",VLOOKUP(C80,COTAÇÃO!A:D,2,0),IF(B80="Composição",VLOOKUP(C80,COMPOSIÇÃO!A:D,2,0))))))</f>
        <v>Acerto De Fundo De Vala Sem Compactação</v>
      </c>
      <c r="E80" s="837"/>
      <c r="F80" s="837"/>
      <c r="G80" s="838"/>
      <c r="H80" s="852"/>
      <c r="I80" s="852"/>
      <c r="J80" s="838"/>
      <c r="K80" s="852"/>
      <c r="L80" s="852" t="s">
        <v>21</v>
      </c>
      <c r="M80" s="853">
        <f>(J80*K80)</f>
        <v>0</v>
      </c>
      <c r="N80" s="700"/>
      <c r="P80" s="871"/>
    </row>
    <row r="81" spans="1:18" s="863" customFormat="1" ht="14.25" hidden="1" customHeight="1">
      <c r="A81" s="862"/>
      <c r="B81" s="835"/>
      <c r="C81" s="835"/>
      <c r="D81" s="887"/>
      <c r="E81" s="925"/>
      <c r="F81" s="925"/>
      <c r="G81" s="908"/>
      <c r="H81" s="908"/>
      <c r="I81" s="828"/>
      <c r="J81" s="828"/>
      <c r="K81" s="828"/>
      <c r="L81" s="828"/>
      <c r="M81" s="829"/>
      <c r="N81" s="700"/>
      <c r="P81" s="871"/>
    </row>
    <row r="82" spans="1:18" s="863" customFormat="1" ht="14.25" hidden="1" customHeight="1">
      <c r="A82" s="862"/>
      <c r="B82" s="835"/>
      <c r="C82" s="835"/>
      <c r="D82" s="899"/>
      <c r="E82" s="824"/>
      <c r="F82" s="824"/>
      <c r="G82" s="908"/>
      <c r="H82" s="908"/>
      <c r="I82" s="900" t="s">
        <v>11680</v>
      </c>
      <c r="J82" s="828">
        <v>0</v>
      </c>
      <c r="K82" s="828">
        <v>0</v>
      </c>
      <c r="L82" s="828" t="s">
        <v>22</v>
      </c>
      <c r="M82" s="829">
        <f>SUM(J82:K82)</f>
        <v>0</v>
      </c>
      <c r="N82" s="700"/>
      <c r="P82" s="871"/>
    </row>
    <row r="83" spans="1:18" s="863" customFormat="1" ht="14.25" hidden="1" customHeight="1">
      <c r="A83" s="862"/>
      <c r="B83" s="835"/>
      <c r="C83" s="835"/>
      <c r="D83" s="899"/>
      <c r="E83" s="824"/>
      <c r="F83" s="824"/>
      <c r="G83" s="908"/>
      <c r="H83" s="908"/>
      <c r="I83" s="900" t="s">
        <v>11681</v>
      </c>
      <c r="J83" s="828">
        <v>0</v>
      </c>
      <c r="K83" s="828">
        <v>0</v>
      </c>
      <c r="L83" s="828" t="s">
        <v>22</v>
      </c>
      <c r="M83" s="829">
        <f>SUM(J83:K83)</f>
        <v>0</v>
      </c>
      <c r="N83" s="700"/>
      <c r="P83" s="871"/>
    </row>
    <row r="84" spans="1:18" s="863" customFormat="1" ht="14.25" hidden="1" customHeight="1">
      <c r="A84" s="862"/>
      <c r="B84" s="835"/>
      <c r="C84" s="835"/>
      <c r="D84" s="836" t="s">
        <v>11679</v>
      </c>
      <c r="E84" s="837"/>
      <c r="F84" s="837"/>
      <c r="G84" s="828"/>
      <c r="H84" s="828"/>
      <c r="I84" s="828"/>
      <c r="J84" s="1678" t="s">
        <v>42</v>
      </c>
      <c r="K84" s="1678"/>
      <c r="L84" s="901" t="s">
        <v>22</v>
      </c>
      <c r="M84" s="902">
        <f>M82-M83</f>
        <v>0</v>
      </c>
      <c r="N84" s="700"/>
      <c r="P84" s="871"/>
    </row>
    <row r="85" spans="1:18" s="863" customFormat="1" ht="23.25" hidden="1" customHeight="1">
      <c r="A85" s="862"/>
      <c r="B85" s="835"/>
      <c r="C85" s="835"/>
      <c r="D85" s="903" t="s">
        <v>73</v>
      </c>
      <c r="E85" s="790"/>
      <c r="F85" s="790"/>
      <c r="G85" s="883" t="s">
        <v>30</v>
      </c>
      <c r="H85" s="883" t="s">
        <v>30</v>
      </c>
      <c r="I85" s="883" t="s">
        <v>30</v>
      </c>
      <c r="J85" s="883" t="s">
        <v>42</v>
      </c>
      <c r="K85" s="883" t="s">
        <v>50</v>
      </c>
      <c r="L85" s="883"/>
      <c r="M85" s="884"/>
      <c r="N85" s="700"/>
      <c r="P85" s="871"/>
    </row>
    <row r="86" spans="1:18" s="863" customFormat="1" ht="24.75" hidden="1" customHeight="1">
      <c r="A86" s="862" t="s">
        <v>12117</v>
      </c>
      <c r="B86" s="835" t="s">
        <v>1</v>
      </c>
      <c r="C86" s="835">
        <v>225</v>
      </c>
      <c r="D86" s="836" t="str">
        <f>PROPER(IF(B86="SANEAGO",VLOOKUP(C86,'SANEAGO-FEV.2016'!A:B,2,0),IF(B86="SINAPI",VLOOKUP(C86,'SINAPI-FEV.2017'!A:D,2,0),IF(B86="Cotação",VLOOKUP(C86,COTAÇÃO!A:D,2,0),IF(B86="Composição",VLOOKUP(C86,COMPOSIÇÃO!A:D,2,0))))))</f>
        <v>Reaterro  Mecanizado  De Vala Empregando Compactador De Placa Vibratória  (Ou Soquete
Vibratório), Em Camadas De Até 30 Cm</v>
      </c>
      <c r="E86" s="837"/>
      <c r="F86" s="837"/>
      <c r="G86" s="852"/>
      <c r="H86" s="852"/>
      <c r="I86" s="852"/>
      <c r="J86" s="838"/>
      <c r="K86" s="896">
        <f>M24</f>
        <v>0.9</v>
      </c>
      <c r="L86" s="852" t="s">
        <v>22</v>
      </c>
      <c r="M86" s="853">
        <f>J86*K86</f>
        <v>0</v>
      </c>
      <c r="N86" s="700"/>
      <c r="P86" s="871"/>
    </row>
    <row r="87" spans="1:18" s="863" customFormat="1" ht="22.5" hidden="1" customHeight="1">
      <c r="A87" s="862"/>
      <c r="B87" s="835"/>
      <c r="C87" s="835"/>
      <c r="D87" s="881"/>
      <c r="E87" s="882"/>
      <c r="F87" s="882"/>
      <c r="G87" s="700" t="s">
        <v>30</v>
      </c>
      <c r="H87" s="700" t="s">
        <v>30</v>
      </c>
      <c r="I87" s="700" t="s">
        <v>30</v>
      </c>
      <c r="J87" s="828" t="s">
        <v>42</v>
      </c>
      <c r="K87" s="828" t="s">
        <v>79</v>
      </c>
      <c r="L87" s="828"/>
      <c r="M87" s="829"/>
      <c r="N87" s="700"/>
      <c r="P87" s="871"/>
    </row>
    <row r="88" spans="1:18" s="863" customFormat="1" ht="13.5" hidden="1" thickBot="1">
      <c r="A88" s="862" t="s">
        <v>12118</v>
      </c>
      <c r="B88" s="835" t="s">
        <v>1</v>
      </c>
      <c r="C88" s="835">
        <v>220</v>
      </c>
      <c r="D88" s="836" t="str">
        <f>PROPER(IF(B88="SANEAGO",VLOOKUP(C88,'SANEAGO-FEV.2016'!A:B,2,0),IF(B88="SINAPI",VLOOKUP(C88,'SINAPI-FEV.2017'!A:D,2,0),IF(B88="Cotação",VLOOKUP(C88,COTAÇÃO!A:D,2,0),IF(B88="Composição",VLOOKUP(C88,COMPOSIÇÃO!A:D,2,0))))))</f>
        <v>Reaterro  Manual Compactado Em Camadas De 20Cm</v>
      </c>
      <c r="E88" s="837"/>
      <c r="F88" s="837"/>
      <c r="G88" s="838"/>
      <c r="H88" s="838"/>
      <c r="I88" s="838"/>
      <c r="J88" s="838"/>
      <c r="K88" s="904">
        <f>M23</f>
        <v>0.1</v>
      </c>
      <c r="L88" s="838" t="s">
        <v>22</v>
      </c>
      <c r="M88" s="853">
        <f>J88*K88</f>
        <v>0</v>
      </c>
      <c r="N88" s="700"/>
      <c r="P88" s="871"/>
    </row>
    <row r="89" spans="1:18" s="824" customFormat="1" ht="10.5" hidden="1" customHeight="1" thickBot="1">
      <c r="A89" s="905"/>
      <c r="B89" s="906"/>
      <c r="C89" s="906"/>
      <c r="D89" s="826"/>
      <c r="E89" s="790"/>
      <c r="F89" s="790"/>
      <c r="G89" s="700"/>
      <c r="H89" s="700"/>
      <c r="I89" s="700"/>
      <c r="J89" s="907"/>
      <c r="K89" s="700"/>
      <c r="L89" s="700"/>
      <c r="M89" s="827"/>
      <c r="N89" s="700"/>
      <c r="O89" s="863"/>
      <c r="P89" s="871"/>
      <c r="Q89" s="863"/>
      <c r="R89" s="863"/>
    </row>
    <row r="90" spans="1:18" s="824" customFormat="1" ht="14.25" hidden="1" thickTop="1" thickBot="1">
      <c r="A90" s="905"/>
      <c r="B90" s="906"/>
      <c r="C90" s="906"/>
      <c r="D90" s="830" t="s">
        <v>47</v>
      </c>
      <c r="E90" s="831"/>
      <c r="F90" s="831"/>
      <c r="G90" s="831"/>
      <c r="H90" s="831"/>
      <c r="I90" s="831"/>
      <c r="J90" s="831"/>
      <c r="K90" s="831"/>
      <c r="L90" s="832" t="s">
        <v>25</v>
      </c>
      <c r="M90" s="833" t="s">
        <v>27</v>
      </c>
      <c r="N90" s="700"/>
      <c r="O90" s="863"/>
      <c r="P90" s="871"/>
      <c r="Q90" s="863"/>
      <c r="R90" s="863"/>
    </row>
    <row r="91" spans="1:18" s="824" customFormat="1" ht="13.5" hidden="1" thickBot="1">
      <c r="A91" s="905"/>
      <c r="B91" s="906"/>
      <c r="C91" s="906"/>
      <c r="D91" s="826"/>
      <c r="E91" s="790"/>
      <c r="F91" s="790"/>
      <c r="G91" s="828" t="s">
        <v>30</v>
      </c>
      <c r="H91" s="828" t="s">
        <v>30</v>
      </c>
      <c r="I91" s="828" t="s">
        <v>58</v>
      </c>
      <c r="J91" s="828" t="s">
        <v>39</v>
      </c>
      <c r="K91" s="828" t="s">
        <v>35</v>
      </c>
      <c r="L91" s="828"/>
      <c r="M91" s="829"/>
      <c r="N91" s="700"/>
      <c r="O91" s="863"/>
      <c r="P91" s="871"/>
      <c r="Q91" s="863"/>
      <c r="R91" s="863"/>
    </row>
    <row r="92" spans="1:18" s="824" customFormat="1" ht="23.25" hidden="1" thickBot="1">
      <c r="A92" s="862" t="s">
        <v>12119</v>
      </c>
      <c r="B92" s="835" t="s">
        <v>1</v>
      </c>
      <c r="C92" s="835">
        <v>237</v>
      </c>
      <c r="D92" s="836" t="str">
        <f>PROPER(IF(B92="SANEAGO",VLOOKUP(C92,'SANEAGO-FEV.2016'!A:B,2,0),IF(B92="SINAPI",VLOOKUP(C92,'SINAPI-FEV.2017'!A:D,2,0),IF(B92="Cotação",VLOOKUP(C92,COTAÇÃO!A:D,2,0),IF(B92="Composição",VLOOKUP(C92,COMPOSIÇÃO!A:D,2,0))))))</f>
        <v>Carga  Mecanizada   (Com  A  Pá  Frontal   Da  Retroescavadeira)  Em  Caminhão   Basculante  - Material De 1ª Categoria</v>
      </c>
      <c r="E92" s="837"/>
      <c r="F92" s="837"/>
      <c r="G92" s="838"/>
      <c r="H92" s="838"/>
      <c r="I92" s="838">
        <f>M82</f>
        <v>0</v>
      </c>
      <c r="J92" s="838">
        <f>M84</f>
        <v>0</v>
      </c>
      <c r="K92" s="904">
        <f>M22</f>
        <v>0.15</v>
      </c>
      <c r="L92" s="838" t="s">
        <v>22</v>
      </c>
      <c r="M92" s="853">
        <f>(I92-J92)*(1+K92)</f>
        <v>0</v>
      </c>
      <c r="N92" s="700"/>
      <c r="O92" s="863"/>
      <c r="P92" s="871"/>
      <c r="Q92" s="863"/>
      <c r="R92" s="863"/>
    </row>
    <row r="93" spans="1:18" s="824" customFormat="1" ht="25.5" hidden="1" customHeight="1">
      <c r="A93" s="905"/>
      <c r="B93" s="835"/>
      <c r="C93" s="835"/>
      <c r="D93" s="826"/>
      <c r="E93" s="790"/>
      <c r="F93" s="790"/>
      <c r="G93" s="828" t="s">
        <v>30</v>
      </c>
      <c r="H93" s="828" t="s">
        <v>30</v>
      </c>
      <c r="I93" s="828" t="s">
        <v>30</v>
      </c>
      <c r="J93" s="828" t="s">
        <v>40</v>
      </c>
      <c r="K93" s="828" t="s">
        <v>48</v>
      </c>
      <c r="L93" s="828"/>
      <c r="M93" s="829"/>
      <c r="N93" s="700"/>
      <c r="O93" s="863"/>
      <c r="P93" s="871"/>
      <c r="Q93" s="863"/>
      <c r="R93" s="863"/>
    </row>
    <row r="94" spans="1:18" s="824" customFormat="1" ht="23.25" hidden="1" thickBot="1">
      <c r="A94" s="862" t="s">
        <v>12120</v>
      </c>
      <c r="B94" s="835" t="s">
        <v>1</v>
      </c>
      <c r="C94" s="835">
        <v>19315</v>
      </c>
      <c r="D94" s="836" t="str">
        <f>PROPER(IF(B94="SANEAGO",VLOOKUP(C94,'SANEAGO-FEV.2016'!A:B,2,0),IF(B94="SINAPI",VLOOKUP(C94,'SINAPI-FEV.2017'!A:D,2,0),IF(B94="Cotação",VLOOKUP(C94,COTAÇÃO!A:D,2,0),IF(B94="Composição",VLOOKUP(C94,COMPOSIÇÃO!A:D,2,0))))))</f>
        <v>Transporte E Descarga  De Material De 1ª Ou 2ª Categoria  (M3 X Km) - Em Caminhão  Basculante Cap. 10 M3 - Com Empolamento</v>
      </c>
      <c r="E94" s="837"/>
      <c r="F94" s="837"/>
      <c r="G94" s="838"/>
      <c r="H94" s="838"/>
      <c r="I94" s="838"/>
      <c r="J94" s="838">
        <f>M92</f>
        <v>0</v>
      </c>
      <c r="K94" s="838">
        <f>M13</f>
        <v>7.5</v>
      </c>
      <c r="L94" s="838" t="s">
        <v>23</v>
      </c>
      <c r="M94" s="853">
        <f>J94*K94</f>
        <v>0</v>
      </c>
      <c r="N94" s="700"/>
      <c r="O94" s="863"/>
      <c r="P94" s="871"/>
      <c r="Q94" s="863"/>
      <c r="R94" s="863"/>
    </row>
    <row r="95" spans="1:18" s="824" customFormat="1" ht="13.5" hidden="1" thickBot="1">
      <c r="A95" s="905"/>
      <c r="B95" s="906"/>
      <c r="C95" s="835"/>
      <c r="D95" s="826"/>
      <c r="E95" s="790"/>
      <c r="F95" s="790"/>
      <c r="G95" s="828" t="s">
        <v>30</v>
      </c>
      <c r="H95" s="828" t="s">
        <v>30</v>
      </c>
      <c r="I95" s="828" t="s">
        <v>38</v>
      </c>
      <c r="J95" s="828" t="s">
        <v>39</v>
      </c>
      <c r="K95" s="828" t="s">
        <v>35</v>
      </c>
      <c r="L95" s="828"/>
      <c r="M95" s="829"/>
      <c r="N95" s="700"/>
      <c r="O95" s="863"/>
      <c r="P95" s="871"/>
      <c r="Q95" s="863"/>
      <c r="R95" s="863"/>
    </row>
    <row r="96" spans="1:18" s="824" customFormat="1" ht="13.5" hidden="1" thickBot="1">
      <c r="A96" s="862" t="s">
        <v>12121</v>
      </c>
      <c r="B96" s="835" t="s">
        <v>1</v>
      </c>
      <c r="C96" s="835">
        <v>244</v>
      </c>
      <c r="D96" s="836" t="str">
        <f>PROPER(IF(B96="SANEAGO",VLOOKUP(C96,'SANEAGO-FEV.2016'!A:B,2,0),IF(B96="SINAPI",VLOOKUP(C96,'SINAPI-FEV.2017'!A:D,2,0),IF(B96="Cotação",VLOOKUP(C96,COTAÇÃO!A:D,2,0),IF(B96="Composição",VLOOKUP(C96,COMPOSIÇÃO!A:D,2,0))))))</f>
        <v>Espalhamento De Material Em Bota Fora Proveniente De Escavação</v>
      </c>
      <c r="E96" s="837"/>
      <c r="F96" s="837"/>
      <c r="G96" s="838"/>
      <c r="H96" s="838"/>
      <c r="I96" s="838">
        <f>I92</f>
        <v>0</v>
      </c>
      <c r="J96" s="838">
        <f>J92</f>
        <v>0</v>
      </c>
      <c r="K96" s="904">
        <v>0.15</v>
      </c>
      <c r="L96" s="838" t="s">
        <v>22</v>
      </c>
      <c r="M96" s="853">
        <f>(I96-J96)*(1+K96)</f>
        <v>0</v>
      </c>
      <c r="N96" s="700"/>
      <c r="O96" s="863"/>
      <c r="P96" s="871"/>
      <c r="Q96" s="863"/>
      <c r="R96" s="863"/>
    </row>
    <row r="97" spans="1:18" s="824" customFormat="1" ht="13.5" hidden="1" thickBot="1">
      <c r="A97" s="905"/>
      <c r="B97" s="906"/>
      <c r="C97" s="906"/>
      <c r="D97" s="826"/>
      <c r="E97" s="790"/>
      <c r="F97" s="790"/>
      <c r="G97" s="700"/>
      <c r="H97" s="700"/>
      <c r="I97" s="700"/>
      <c r="J97" s="907"/>
      <c r="K97" s="700"/>
      <c r="L97" s="700"/>
      <c r="M97" s="827"/>
      <c r="N97" s="700"/>
      <c r="O97" s="863"/>
      <c r="P97" s="871"/>
      <c r="Q97" s="863"/>
      <c r="R97" s="863"/>
    </row>
    <row r="98" spans="1:18" s="863" customFormat="1" ht="13.5" customHeight="1" thickTop="1" thickBot="1">
      <c r="A98" s="862"/>
      <c r="B98" s="835"/>
      <c r="C98" s="835"/>
      <c r="D98" s="830" t="s">
        <v>1225</v>
      </c>
      <c r="E98" s="831"/>
      <c r="F98" s="831"/>
      <c r="G98" s="831"/>
      <c r="H98" s="831"/>
      <c r="I98" s="831"/>
      <c r="J98" s="831"/>
      <c r="K98" s="831"/>
      <c r="L98" s="832" t="s">
        <v>25</v>
      </c>
      <c r="M98" s="833" t="s">
        <v>27</v>
      </c>
      <c r="N98" s="700"/>
      <c r="P98" s="871"/>
    </row>
    <row r="99" spans="1:18" s="863" customFormat="1" ht="14.25" customHeight="1" thickTop="1">
      <c r="A99" s="862"/>
      <c r="B99" s="835"/>
      <c r="C99" s="835"/>
      <c r="D99" s="826"/>
      <c r="E99" s="700"/>
      <c r="F99" s="700"/>
      <c r="G99" s="700"/>
      <c r="H99" s="700"/>
      <c r="I99" s="700" t="s">
        <v>17</v>
      </c>
      <c r="J99" s="700" t="s">
        <v>19</v>
      </c>
      <c r="K99" s="700" t="s">
        <v>32</v>
      </c>
      <c r="L99" s="700"/>
      <c r="M99" s="876"/>
      <c r="N99" s="700"/>
      <c r="P99" s="871"/>
    </row>
    <row r="100" spans="1:18" s="863" customFormat="1" ht="14.25" customHeight="1">
      <c r="A100" s="862"/>
      <c r="B100" s="835"/>
      <c r="C100" s="835"/>
      <c r="D100" s="826"/>
      <c r="E100" s="700"/>
      <c r="F100" s="700"/>
      <c r="G100" s="926"/>
      <c r="H100" s="897" t="s">
        <v>12140</v>
      </c>
      <c r="I100" s="700">
        <v>9.82</v>
      </c>
      <c r="J100" s="700">
        <v>0.12</v>
      </c>
      <c r="K100" s="828">
        <v>0.4</v>
      </c>
      <c r="L100" s="700" t="s">
        <v>21</v>
      </c>
      <c r="M100" s="877">
        <f>(I100*J100)+(I100*K100*2)</f>
        <v>9.0344000000000015</v>
      </c>
      <c r="N100" s="700"/>
      <c r="P100" s="871"/>
    </row>
    <row r="101" spans="1:18" s="863" customFormat="1" ht="14.25" customHeight="1">
      <c r="A101" s="862"/>
      <c r="B101" s="835"/>
      <c r="C101" s="835"/>
      <c r="D101" s="826"/>
      <c r="E101" s="700"/>
      <c r="F101" s="700"/>
      <c r="G101" s="926"/>
      <c r="H101" s="897" t="s">
        <v>12141</v>
      </c>
      <c r="I101" s="700">
        <v>6.82</v>
      </c>
      <c r="J101" s="700">
        <v>0.12</v>
      </c>
      <c r="K101" s="828">
        <v>0.4</v>
      </c>
      <c r="L101" s="700" t="s">
        <v>21</v>
      </c>
      <c r="M101" s="877">
        <f t="shared" ref="M101:M106" si="0">(I101*J101)+(I101*K101*2)</f>
        <v>6.2744</v>
      </c>
      <c r="N101" s="700"/>
      <c r="P101" s="871"/>
    </row>
    <row r="102" spans="1:18" s="863" customFormat="1" ht="14.25" customHeight="1">
      <c r="A102" s="862"/>
      <c r="B102" s="835"/>
      <c r="C102" s="835"/>
      <c r="D102" s="826"/>
      <c r="E102" s="700"/>
      <c r="F102" s="700"/>
      <c r="G102" s="926"/>
      <c r="H102" s="897" t="s">
        <v>12142</v>
      </c>
      <c r="I102" s="700">
        <v>3.12</v>
      </c>
      <c r="J102" s="700">
        <v>0.12</v>
      </c>
      <c r="K102" s="828">
        <v>0.4</v>
      </c>
      <c r="L102" s="700" t="s">
        <v>21</v>
      </c>
      <c r="M102" s="877">
        <f t="shared" si="0"/>
        <v>2.8704000000000005</v>
      </c>
      <c r="N102" s="700"/>
      <c r="P102" s="871"/>
    </row>
    <row r="103" spans="1:18" s="863" customFormat="1" ht="14.25" customHeight="1">
      <c r="A103" s="862"/>
      <c r="B103" s="835"/>
      <c r="C103" s="835"/>
      <c r="D103" s="826"/>
      <c r="E103" s="700"/>
      <c r="F103" s="700"/>
      <c r="G103" s="926"/>
      <c r="H103" s="897" t="s">
        <v>12143</v>
      </c>
      <c r="I103" s="700">
        <v>4.82</v>
      </c>
      <c r="J103" s="700">
        <v>0.12</v>
      </c>
      <c r="K103" s="828">
        <v>0.4</v>
      </c>
      <c r="L103" s="700" t="s">
        <v>21</v>
      </c>
      <c r="M103" s="877">
        <f t="shared" si="0"/>
        <v>4.4344000000000001</v>
      </c>
      <c r="N103" s="700"/>
      <c r="P103" s="871"/>
    </row>
    <row r="104" spans="1:18" s="863" customFormat="1" ht="14.25" customHeight="1">
      <c r="A104" s="862"/>
      <c r="B104" s="835"/>
      <c r="C104" s="835"/>
      <c r="D104" s="826"/>
      <c r="E104" s="700"/>
      <c r="F104" s="700"/>
      <c r="G104" s="926"/>
      <c r="H104" s="897" t="s">
        <v>12144</v>
      </c>
      <c r="I104" s="700">
        <v>5.07</v>
      </c>
      <c r="J104" s="700">
        <v>0.12</v>
      </c>
      <c r="K104" s="828">
        <v>0.4</v>
      </c>
      <c r="L104" s="700" t="s">
        <v>21</v>
      </c>
      <c r="M104" s="877">
        <f t="shared" si="0"/>
        <v>4.6644000000000005</v>
      </c>
      <c r="N104" s="700"/>
      <c r="P104" s="871"/>
    </row>
    <row r="105" spans="1:18" s="863" customFormat="1" ht="14.25" customHeight="1">
      <c r="A105" s="862"/>
      <c r="B105" s="835"/>
      <c r="C105" s="835"/>
      <c r="D105" s="927"/>
      <c r="E105" s="700"/>
      <c r="F105" s="700"/>
      <c r="G105" s="926"/>
      <c r="H105" s="897" t="s">
        <v>12145</v>
      </c>
      <c r="I105" s="700">
        <v>5.92</v>
      </c>
      <c r="J105" s="700">
        <v>0.12</v>
      </c>
      <c r="K105" s="828">
        <v>0.4</v>
      </c>
      <c r="L105" s="700" t="s">
        <v>21</v>
      </c>
      <c r="M105" s="877">
        <f t="shared" si="0"/>
        <v>5.4463999999999997</v>
      </c>
      <c r="N105" s="700"/>
      <c r="P105" s="871"/>
    </row>
    <row r="106" spans="1:18" s="863" customFormat="1" ht="14.25" customHeight="1">
      <c r="A106" s="862"/>
      <c r="B106" s="835"/>
      <c r="C106" s="835"/>
      <c r="D106" s="927"/>
      <c r="E106" s="700"/>
      <c r="F106" s="700"/>
      <c r="G106" s="926"/>
      <c r="H106" s="897" t="s">
        <v>12146</v>
      </c>
      <c r="I106" s="700">
        <v>5.92</v>
      </c>
      <c r="J106" s="700">
        <v>0.12</v>
      </c>
      <c r="K106" s="828">
        <v>0.4</v>
      </c>
      <c r="L106" s="700" t="s">
        <v>21</v>
      </c>
      <c r="M106" s="877">
        <f t="shared" si="0"/>
        <v>5.4463999999999997</v>
      </c>
      <c r="N106" s="700"/>
      <c r="P106" s="871"/>
    </row>
    <row r="107" spans="1:18" s="863" customFormat="1" ht="13.5" customHeight="1">
      <c r="A107" s="862"/>
      <c r="B107" s="835"/>
      <c r="C107" s="835"/>
      <c r="D107" s="927"/>
      <c r="E107" s="700"/>
      <c r="F107" s="700"/>
      <c r="G107" s="926"/>
      <c r="H107" s="897" t="s">
        <v>12147</v>
      </c>
      <c r="I107" s="700">
        <v>4.12</v>
      </c>
      <c r="J107" s="700">
        <v>0.12</v>
      </c>
      <c r="K107" s="828">
        <v>0.4</v>
      </c>
      <c r="L107" s="700" t="s">
        <v>21</v>
      </c>
      <c r="M107" s="877">
        <f>(I107*J107)+(I107*K107*2)</f>
        <v>3.7904000000000004</v>
      </c>
      <c r="N107" s="700"/>
      <c r="P107" s="871"/>
    </row>
    <row r="108" spans="1:18" s="863" customFormat="1" ht="13.5" customHeight="1">
      <c r="A108" s="862"/>
      <c r="B108" s="835"/>
      <c r="C108" s="835"/>
      <c r="D108" s="927"/>
      <c r="E108" s="700"/>
      <c r="F108" s="700"/>
      <c r="G108" s="1692" t="s">
        <v>12148</v>
      </c>
      <c r="H108" s="1692"/>
      <c r="I108" s="700">
        <v>3.26</v>
      </c>
      <c r="J108" s="700">
        <v>5.65</v>
      </c>
      <c r="K108" s="828">
        <v>0.1</v>
      </c>
      <c r="L108" s="700" t="s">
        <v>21</v>
      </c>
      <c r="M108" s="877">
        <f>(I108*J108)+(I108*2+K108*2)*K108</f>
        <v>19.091000000000001</v>
      </c>
      <c r="N108" s="700"/>
      <c r="P108" s="871"/>
    </row>
    <row r="109" spans="1:18" s="863" customFormat="1" ht="13.5" customHeight="1">
      <c r="A109" s="862"/>
      <c r="B109" s="835"/>
      <c r="C109" s="835"/>
      <c r="D109" s="927"/>
      <c r="E109" s="700"/>
      <c r="F109" s="700"/>
      <c r="G109" s="1692" t="s">
        <v>12149</v>
      </c>
      <c r="H109" s="1692"/>
      <c r="I109" s="700">
        <v>4.82</v>
      </c>
      <c r="J109" s="700">
        <v>4.3899999999999997</v>
      </c>
      <c r="K109" s="828">
        <v>0.1</v>
      </c>
      <c r="L109" s="700" t="s">
        <v>21</v>
      </c>
      <c r="M109" s="877">
        <f>(I109*J109)+(I109*2+K109*2)*K109</f>
        <v>22.143799999999999</v>
      </c>
      <c r="N109" s="700"/>
      <c r="P109" s="871"/>
    </row>
    <row r="110" spans="1:18" s="863" customFormat="1" ht="13.5" customHeight="1">
      <c r="A110" s="862"/>
      <c r="B110" s="835"/>
      <c r="C110" s="835"/>
      <c r="D110" s="927"/>
      <c r="E110" s="700"/>
      <c r="F110" s="700"/>
      <c r="G110" s="1692" t="s">
        <v>12150</v>
      </c>
      <c r="H110" s="1692"/>
      <c r="I110" s="700">
        <v>2.27</v>
      </c>
      <c r="J110" s="700">
        <v>1.8</v>
      </c>
      <c r="K110" s="828">
        <v>0.1</v>
      </c>
      <c r="L110" s="700" t="s">
        <v>21</v>
      </c>
      <c r="M110" s="877">
        <f>(I110*J110)+(I110*2+K110*2)*K110</f>
        <v>4.5600000000000005</v>
      </c>
      <c r="N110" s="700"/>
      <c r="P110" s="871"/>
    </row>
    <row r="111" spans="1:18" s="863" customFormat="1" ht="13.5" customHeight="1">
      <c r="A111" s="862"/>
      <c r="B111" s="835"/>
      <c r="C111" s="835"/>
      <c r="D111" s="927"/>
      <c r="E111" s="700"/>
      <c r="F111" s="700"/>
      <c r="G111" s="1692" t="s">
        <v>12151</v>
      </c>
      <c r="H111" s="1692"/>
      <c r="I111" s="700">
        <v>4.82</v>
      </c>
      <c r="J111" s="700">
        <v>4.6500000000000004</v>
      </c>
      <c r="K111" s="828">
        <v>0.1</v>
      </c>
      <c r="L111" s="700" t="s">
        <v>21</v>
      </c>
      <c r="M111" s="877">
        <f>(I111*J111)+(I111*2+K111*2)*K111</f>
        <v>23.397000000000006</v>
      </c>
      <c r="N111" s="700"/>
      <c r="P111" s="871"/>
    </row>
    <row r="112" spans="1:18" s="863" customFormat="1" ht="13.5" customHeight="1">
      <c r="A112" s="862"/>
      <c r="B112" s="835"/>
      <c r="C112" s="835"/>
      <c r="D112" s="927"/>
      <c r="E112" s="700"/>
      <c r="F112" s="700"/>
      <c r="G112" s="926"/>
      <c r="H112" s="897"/>
      <c r="I112" s="700"/>
      <c r="J112" s="700"/>
      <c r="K112" s="901" t="s">
        <v>27</v>
      </c>
      <c r="L112" s="816" t="s">
        <v>21</v>
      </c>
      <c r="M112" s="928">
        <f>SUM(M100:M107)</f>
        <v>41.961199999999998</v>
      </c>
      <c r="N112" s="700"/>
      <c r="P112" s="871"/>
    </row>
    <row r="113" spans="1:16" s="863" customFormat="1" ht="22.5">
      <c r="A113" s="862" t="s">
        <v>20483</v>
      </c>
      <c r="B113" s="835" t="s">
        <v>70</v>
      </c>
      <c r="C113" s="835">
        <v>92452</v>
      </c>
      <c r="D113" s="836" t="str">
        <f>PROPER(IF(B113="SANEAGO",VLOOKUP(C113,'SANEAGO-FEV.2016'!A:B,2,0),IF(B113="SINAPI",VLOOKUP(C113,'SINAPI-FEV.2017'!A:D,2,0),IF(B113="Cotação",VLOOKUP(C113,COTAÇÃO!A:D,2,0),IF(B113="Composição",VLOOKUP(C113,COMPOSIÇÃO!A:D,2,0))))))</f>
        <v>Montagem E Desmontagem De Fôrma De Viga, Escoramento Metálico, Pé-Direito Simples, Em Chapa De Madeira Resinada, 2 Utilizações. Af_12/2015</v>
      </c>
      <c r="E113" s="837"/>
      <c r="F113" s="837"/>
      <c r="G113" s="838"/>
      <c r="H113" s="838"/>
      <c r="I113" s="1775" t="s">
        <v>21009</v>
      </c>
      <c r="J113" s="1775"/>
      <c r="K113" s="1775"/>
      <c r="L113" s="856" t="s">
        <v>21</v>
      </c>
      <c r="M113" s="840">
        <f>SUM(M100:M107)/2</f>
        <v>20.980599999999999</v>
      </c>
      <c r="N113" s="700"/>
      <c r="P113" s="871"/>
    </row>
    <row r="114" spans="1:16" s="863" customFormat="1" ht="41.25" customHeight="1">
      <c r="A114" s="862"/>
      <c r="B114" s="835"/>
      <c r="C114" s="835"/>
      <c r="D114" s="826"/>
      <c r="E114" s="790"/>
      <c r="F114" s="790"/>
      <c r="G114" s="828"/>
      <c r="H114" s="828"/>
      <c r="I114" s="911"/>
      <c r="J114" s="911"/>
      <c r="K114" s="816"/>
      <c r="L114" s="816"/>
      <c r="M114" s="902"/>
      <c r="N114" s="700"/>
      <c r="P114" s="871"/>
    </row>
    <row r="115" spans="1:16" s="863" customFormat="1" ht="13.5" customHeight="1">
      <c r="A115" s="862"/>
      <c r="B115" s="835"/>
      <c r="C115" s="835"/>
      <c r="D115" s="927"/>
      <c r="E115" s="700"/>
      <c r="F115" s="700"/>
      <c r="G115" s="926"/>
      <c r="H115" s="897"/>
      <c r="I115" s="700"/>
      <c r="J115" s="700"/>
      <c r="K115" s="901" t="s">
        <v>27</v>
      </c>
      <c r="L115" s="816" t="s">
        <v>21</v>
      </c>
      <c r="M115" s="928">
        <f>SUM(M108:M111)</f>
        <v>69.191800000000001</v>
      </c>
      <c r="N115" s="700"/>
      <c r="P115" s="871"/>
    </row>
    <row r="116" spans="1:16" s="863" customFormat="1" ht="41.25" customHeight="1">
      <c r="A116" s="862" t="s">
        <v>20484</v>
      </c>
      <c r="B116" s="835" t="s">
        <v>70</v>
      </c>
      <c r="C116" s="835">
        <v>92510</v>
      </c>
      <c r="D116" s="836" t="str">
        <f>PROPER(IF(B116="SANEAGO",VLOOKUP(C116,'SANEAGO-FEV.2016'!A:B,2,0),IF(B116="SINAPI",VLOOKUP(C116,'SINAPI-FEV.2017'!A:D,2,0),IF(B116="Cotação",VLOOKUP(C116,COTAÇÃO!A:D,2,0),IF(B116="Composição",VLOOKUP(C116,COMPOSIÇÃO!A:D,2,0))))))</f>
        <v>Montagem E Desmontagem De Fôrma De Laje Maciça Com Área Média Maior Que 20 M², Pé-Direito Simples, Em Chapa De Madeira Compensada Resinada, 2 Utilizações. Af_12/2015</v>
      </c>
      <c r="E116" s="837"/>
      <c r="F116" s="837"/>
      <c r="G116" s="838"/>
      <c r="H116" s="838"/>
      <c r="I116" s="1775" t="s">
        <v>21009</v>
      </c>
      <c r="J116" s="1775"/>
      <c r="K116" s="1775"/>
      <c r="L116" s="856" t="s">
        <v>21</v>
      </c>
      <c r="M116" s="840">
        <f>M115/2</f>
        <v>34.5959</v>
      </c>
      <c r="N116" s="700"/>
      <c r="P116" s="871"/>
    </row>
    <row r="117" spans="1:16" s="863" customFormat="1">
      <c r="A117" s="862"/>
      <c r="B117" s="835"/>
      <c r="C117" s="835"/>
      <c r="D117" s="826"/>
      <c r="E117" s="790"/>
      <c r="F117" s="790"/>
      <c r="G117" s="700"/>
      <c r="H117" s="700"/>
      <c r="I117" s="700" t="s">
        <v>17</v>
      </c>
      <c r="J117" s="700" t="s">
        <v>19</v>
      </c>
      <c r="K117" s="700" t="s">
        <v>32</v>
      </c>
      <c r="L117" s="700"/>
      <c r="M117" s="876"/>
      <c r="N117" s="700"/>
      <c r="P117" s="871"/>
    </row>
    <row r="118" spans="1:16" s="863" customFormat="1">
      <c r="A118" s="862"/>
      <c r="B118" s="835"/>
      <c r="C118" s="835"/>
      <c r="D118" s="826"/>
      <c r="E118" s="790"/>
      <c r="F118" s="790"/>
      <c r="G118" s="926"/>
      <c r="H118" s="897" t="s">
        <v>12140</v>
      </c>
      <c r="I118" s="700">
        <v>9.82</v>
      </c>
      <c r="J118" s="700">
        <v>0.12</v>
      </c>
      <c r="K118" s="828">
        <v>0.4</v>
      </c>
      <c r="L118" s="700" t="s">
        <v>22</v>
      </c>
      <c r="M118" s="877">
        <f>(I118*J118*K118)</f>
        <v>0.47136</v>
      </c>
      <c r="N118" s="700"/>
      <c r="P118" s="871"/>
    </row>
    <row r="119" spans="1:16" s="863" customFormat="1">
      <c r="A119" s="862"/>
      <c r="B119" s="835"/>
      <c r="C119" s="835"/>
      <c r="D119" s="826"/>
      <c r="E119" s="790"/>
      <c r="F119" s="790"/>
      <c r="G119" s="926"/>
      <c r="H119" s="897" t="s">
        <v>12141</v>
      </c>
      <c r="I119" s="700">
        <v>6.82</v>
      </c>
      <c r="J119" s="700">
        <v>0.12</v>
      </c>
      <c r="K119" s="828">
        <v>0.4</v>
      </c>
      <c r="L119" s="700" t="s">
        <v>22</v>
      </c>
      <c r="M119" s="877">
        <f t="shared" ref="M119:M125" si="1">(I119*J119*K119)</f>
        <v>0.32736000000000004</v>
      </c>
      <c r="N119" s="700"/>
      <c r="P119" s="871"/>
    </row>
    <row r="120" spans="1:16" s="863" customFormat="1">
      <c r="A120" s="862"/>
      <c r="B120" s="835"/>
      <c r="C120" s="835"/>
      <c r="D120" s="826"/>
      <c r="E120" s="790"/>
      <c r="F120" s="790"/>
      <c r="G120" s="926"/>
      <c r="H120" s="897" t="s">
        <v>12142</v>
      </c>
      <c r="I120" s="700">
        <v>3.12</v>
      </c>
      <c r="J120" s="700">
        <v>0.12</v>
      </c>
      <c r="K120" s="828">
        <v>0.4</v>
      </c>
      <c r="L120" s="700" t="s">
        <v>22</v>
      </c>
      <c r="M120" s="877">
        <f t="shared" si="1"/>
        <v>0.14976</v>
      </c>
      <c r="N120" s="700"/>
      <c r="P120" s="871"/>
    </row>
    <row r="121" spans="1:16" s="863" customFormat="1">
      <c r="A121" s="862"/>
      <c r="B121" s="835"/>
      <c r="C121" s="835"/>
      <c r="D121" s="826"/>
      <c r="E121" s="790"/>
      <c r="F121" s="790"/>
      <c r="G121" s="926"/>
      <c r="H121" s="897" t="s">
        <v>12143</v>
      </c>
      <c r="I121" s="700">
        <v>4.82</v>
      </c>
      <c r="J121" s="700">
        <v>0.12</v>
      </c>
      <c r="K121" s="828">
        <v>0.4</v>
      </c>
      <c r="L121" s="700" t="s">
        <v>22</v>
      </c>
      <c r="M121" s="877">
        <f t="shared" si="1"/>
        <v>0.23136000000000001</v>
      </c>
      <c r="N121" s="700"/>
      <c r="P121" s="871"/>
    </row>
    <row r="122" spans="1:16" s="863" customFormat="1">
      <c r="A122" s="862"/>
      <c r="B122" s="835"/>
      <c r="C122" s="835"/>
      <c r="D122" s="826"/>
      <c r="E122" s="790"/>
      <c r="F122" s="790"/>
      <c r="G122" s="926"/>
      <c r="H122" s="897" t="s">
        <v>12144</v>
      </c>
      <c r="I122" s="700">
        <v>5.07</v>
      </c>
      <c r="J122" s="700">
        <v>0.12</v>
      </c>
      <c r="K122" s="828">
        <v>0.4</v>
      </c>
      <c r="L122" s="700" t="s">
        <v>22</v>
      </c>
      <c r="M122" s="877">
        <f t="shared" si="1"/>
        <v>0.24336000000000002</v>
      </c>
      <c r="N122" s="700"/>
      <c r="P122" s="871"/>
    </row>
    <row r="123" spans="1:16" s="863" customFormat="1">
      <c r="A123" s="862"/>
      <c r="B123" s="835"/>
      <c r="C123" s="835"/>
      <c r="D123" s="826"/>
      <c r="E123" s="790"/>
      <c r="F123" s="790"/>
      <c r="G123" s="926"/>
      <c r="H123" s="897" t="s">
        <v>12145</v>
      </c>
      <c r="I123" s="700">
        <v>5.92</v>
      </c>
      <c r="J123" s="700">
        <v>0.12</v>
      </c>
      <c r="K123" s="828">
        <v>0.4</v>
      </c>
      <c r="L123" s="700" t="s">
        <v>22</v>
      </c>
      <c r="M123" s="877">
        <f t="shared" si="1"/>
        <v>0.28415999999999997</v>
      </c>
      <c r="N123" s="700"/>
      <c r="P123" s="871"/>
    </row>
    <row r="124" spans="1:16" s="863" customFormat="1">
      <c r="A124" s="862"/>
      <c r="B124" s="835"/>
      <c r="C124" s="835"/>
      <c r="D124" s="826"/>
      <c r="E124" s="790"/>
      <c r="F124" s="790"/>
      <c r="G124" s="926"/>
      <c r="H124" s="897" t="s">
        <v>12146</v>
      </c>
      <c r="I124" s="700">
        <v>5.92</v>
      </c>
      <c r="J124" s="700">
        <v>0.12</v>
      </c>
      <c r="K124" s="828">
        <v>0.4</v>
      </c>
      <c r="L124" s="700" t="s">
        <v>22</v>
      </c>
      <c r="M124" s="877">
        <f t="shared" si="1"/>
        <v>0.28415999999999997</v>
      </c>
      <c r="N124" s="700"/>
      <c r="P124" s="871"/>
    </row>
    <row r="125" spans="1:16" s="863" customFormat="1">
      <c r="A125" s="862"/>
      <c r="B125" s="835"/>
      <c r="C125" s="835"/>
      <c r="D125" s="826"/>
      <c r="E125" s="790"/>
      <c r="F125" s="790"/>
      <c r="G125" s="926"/>
      <c r="H125" s="897" t="s">
        <v>12147</v>
      </c>
      <c r="I125" s="700">
        <v>4.12</v>
      </c>
      <c r="J125" s="700">
        <v>0.12</v>
      </c>
      <c r="K125" s="828">
        <v>0.4</v>
      </c>
      <c r="L125" s="700" t="s">
        <v>22</v>
      </c>
      <c r="M125" s="877">
        <f t="shared" si="1"/>
        <v>0.19776000000000002</v>
      </c>
      <c r="N125" s="700"/>
      <c r="P125" s="871"/>
    </row>
    <row r="126" spans="1:16" s="863" customFormat="1" ht="12.75" customHeight="1">
      <c r="A126" s="862"/>
      <c r="B126" s="835"/>
      <c r="C126" s="835"/>
      <c r="D126" s="826"/>
      <c r="E126" s="790"/>
      <c r="F126" s="790"/>
      <c r="G126" s="1692" t="s">
        <v>12148</v>
      </c>
      <c r="H126" s="1692"/>
      <c r="I126" s="700">
        <v>3.26</v>
      </c>
      <c r="J126" s="700">
        <v>5.65</v>
      </c>
      <c r="K126" s="828">
        <v>0.1</v>
      </c>
      <c r="L126" s="700" t="s">
        <v>22</v>
      </c>
      <c r="M126" s="877">
        <f>(I126*J126*K126)</f>
        <v>1.8419000000000001</v>
      </c>
      <c r="N126" s="700"/>
      <c r="P126" s="871"/>
    </row>
    <row r="127" spans="1:16" s="863" customFormat="1">
      <c r="A127" s="862"/>
      <c r="B127" s="835"/>
      <c r="C127" s="835"/>
      <c r="D127" s="826"/>
      <c r="E127" s="790"/>
      <c r="F127" s="790"/>
      <c r="G127" s="1692" t="s">
        <v>12149</v>
      </c>
      <c r="H127" s="1692"/>
      <c r="I127" s="700">
        <v>4.82</v>
      </c>
      <c r="J127" s="700">
        <v>4.3899999999999997</v>
      </c>
      <c r="K127" s="828">
        <v>0.1</v>
      </c>
      <c r="L127" s="700" t="s">
        <v>22</v>
      </c>
      <c r="M127" s="877">
        <f>(I127*J127*K127)</f>
        <v>2.11598</v>
      </c>
      <c r="N127" s="700"/>
      <c r="P127" s="871"/>
    </row>
    <row r="128" spans="1:16" s="863" customFormat="1">
      <c r="A128" s="862"/>
      <c r="B128" s="835"/>
      <c r="C128" s="835"/>
      <c r="D128" s="826"/>
      <c r="E128" s="790"/>
      <c r="F128" s="790"/>
      <c r="G128" s="1692" t="s">
        <v>12150</v>
      </c>
      <c r="H128" s="1692"/>
      <c r="I128" s="700">
        <v>2.27</v>
      </c>
      <c r="J128" s="700">
        <v>1.8</v>
      </c>
      <c r="K128" s="828">
        <v>0.1</v>
      </c>
      <c r="L128" s="700" t="s">
        <v>22</v>
      </c>
      <c r="M128" s="877">
        <f>(I128*J128*K128)</f>
        <v>0.40860000000000007</v>
      </c>
      <c r="N128" s="700"/>
      <c r="P128" s="871"/>
    </row>
    <row r="129" spans="1:16" s="863" customFormat="1">
      <c r="A129" s="862"/>
      <c r="B129" s="835"/>
      <c r="C129" s="835"/>
      <c r="D129" s="826"/>
      <c r="E129" s="790"/>
      <c r="F129" s="790"/>
      <c r="G129" s="1692" t="s">
        <v>12151</v>
      </c>
      <c r="H129" s="1692"/>
      <c r="I129" s="700">
        <v>4.82</v>
      </c>
      <c r="J129" s="700">
        <v>4.6500000000000004</v>
      </c>
      <c r="K129" s="828">
        <v>0.1</v>
      </c>
      <c r="L129" s="700" t="s">
        <v>22</v>
      </c>
      <c r="M129" s="877">
        <f>(I129*J129*K129)</f>
        <v>2.2413000000000003</v>
      </c>
      <c r="N129" s="700"/>
      <c r="P129" s="871"/>
    </row>
    <row r="130" spans="1:16" s="863" customFormat="1">
      <c r="A130" s="862"/>
      <c r="B130" s="835"/>
      <c r="C130" s="835"/>
      <c r="D130" s="826"/>
      <c r="E130" s="790"/>
      <c r="F130" s="790"/>
      <c r="G130" s="897"/>
      <c r="H130" s="897"/>
      <c r="I130" s="700"/>
      <c r="J130" s="700"/>
      <c r="K130" s="828"/>
      <c r="L130" s="700"/>
      <c r="M130" s="877"/>
      <c r="N130" s="700"/>
      <c r="P130" s="871"/>
    </row>
    <row r="131" spans="1:16" s="863" customFormat="1" ht="24" customHeight="1">
      <c r="A131" s="862" t="s">
        <v>12122</v>
      </c>
      <c r="B131" s="855" t="s">
        <v>70</v>
      </c>
      <c r="C131" s="855">
        <v>34493</v>
      </c>
      <c r="D131" s="836" t="str">
        <f>PROPER(IF(B131="SANEAGO",VLOOKUP(C131,'SANEAGO-FEV.2016'!A:B,2,0),IF(B131="SINAPI",VLOOKUP(C131,'SINAPI-FEV.2017'!A:D,2,0),IF(B131="Cotação",VLOOKUP(C131,COTAÇÃO!A:D,2,0),IF(B131="Composição",VLOOKUP(C131,COMPOSIÇÃO!A:D,2,0))))))</f>
        <v>Concreto Usinado Bombeavel, Classe De Resistencia C25, Com Brita 0 E 1, Slump = 100 +/- 20 Mm, Exclui Servico De Bombeamento (Nbr 8953)</v>
      </c>
      <c r="E131" s="837"/>
      <c r="F131" s="837"/>
      <c r="G131" s="838"/>
      <c r="H131" s="838"/>
      <c r="I131" s="910"/>
      <c r="J131" s="910"/>
      <c r="K131" s="856" t="s">
        <v>27</v>
      </c>
      <c r="L131" s="856" t="s">
        <v>21</v>
      </c>
      <c r="M131" s="840">
        <f>SUM(M118:M129)</f>
        <v>8.7970600000000001</v>
      </c>
      <c r="N131" s="700"/>
      <c r="P131" s="871"/>
    </row>
    <row r="132" spans="1:16" s="863" customFormat="1">
      <c r="A132" s="862"/>
      <c r="B132" s="835"/>
      <c r="C132" s="835"/>
      <c r="D132" s="826"/>
      <c r="E132" s="790"/>
      <c r="F132" s="790"/>
      <c r="G132" s="897"/>
      <c r="H132" s="897"/>
      <c r="I132" s="700"/>
      <c r="J132" s="700"/>
      <c r="K132" s="828"/>
      <c r="L132" s="700"/>
      <c r="M132" s="877"/>
      <c r="N132" s="700"/>
      <c r="P132" s="871"/>
    </row>
    <row r="133" spans="1:16" s="863" customFormat="1" ht="24" customHeight="1">
      <c r="A133" s="862" t="s">
        <v>20487</v>
      </c>
      <c r="B133" s="855" t="s">
        <v>70</v>
      </c>
      <c r="C133" s="855">
        <v>92874</v>
      </c>
      <c r="D133" s="836" t="str">
        <f>PROPER(IF(B133="SANEAGO",VLOOKUP(C133,'SANEAGO-FEV.2016'!A:B,2,0),IF(B133="SINAPI",VLOOKUP(C133,'SINAPI-FEV.2017'!A:D,2,0),IF(B133="Cotação",VLOOKUP(C133,COTAÇÃO!A:D,2,0),IF(B133="Composição",VLOOKUP(C133,COMPOSIÇÃO!A:D,2,0))))))</f>
        <v>Lançamento Com Uso De Bomba, Adensamento E Acabamento De Concreto Em Estruturas. Af_12/2015</v>
      </c>
      <c r="E133" s="837"/>
      <c r="F133" s="837"/>
      <c r="G133" s="838"/>
      <c r="H133" s="838"/>
      <c r="I133" s="910"/>
      <c r="J133" s="910"/>
      <c r="K133" s="856" t="s">
        <v>27</v>
      </c>
      <c r="L133" s="856" t="s">
        <v>21</v>
      </c>
      <c r="M133" s="840">
        <f>M131</f>
        <v>8.7970600000000001</v>
      </c>
      <c r="N133" s="700"/>
      <c r="P133" s="871"/>
    </row>
    <row r="134" spans="1:16" s="863" customFormat="1" ht="13.5" customHeight="1">
      <c r="A134" s="862"/>
      <c r="B134" s="835"/>
      <c r="C134" s="835"/>
      <c r="D134" s="888"/>
      <c r="E134" s="790"/>
      <c r="F134" s="700" t="s">
        <v>20351</v>
      </c>
      <c r="G134" s="700" t="s">
        <v>20352</v>
      </c>
      <c r="H134" s="700" t="s">
        <v>20353</v>
      </c>
      <c r="I134" s="700" t="s">
        <v>20354</v>
      </c>
      <c r="J134" s="700" t="s">
        <v>20355</v>
      </c>
      <c r="K134" s="828" t="s">
        <v>30</v>
      </c>
      <c r="L134" s="828" t="s">
        <v>30</v>
      </c>
      <c r="M134" s="877" t="s">
        <v>30</v>
      </c>
      <c r="N134" s="700"/>
      <c r="P134" s="871"/>
    </row>
    <row r="135" spans="1:16" s="863" customFormat="1" ht="13.5" customHeight="1">
      <c r="A135" s="862"/>
      <c r="B135" s="835"/>
      <c r="C135" s="835"/>
      <c r="D135" s="888" t="s">
        <v>20485</v>
      </c>
      <c r="E135" s="700" t="s">
        <v>33</v>
      </c>
      <c r="F135" s="700">
        <v>37.380000000000003</v>
      </c>
      <c r="G135" s="828">
        <v>14.9</v>
      </c>
      <c r="H135" s="828">
        <v>4.4800000000000004</v>
      </c>
      <c r="I135" s="828">
        <v>45.53</v>
      </c>
      <c r="J135" s="828">
        <v>26.46</v>
      </c>
      <c r="K135" s="828"/>
      <c r="L135" s="828"/>
      <c r="M135" s="877"/>
      <c r="N135" s="700"/>
      <c r="P135" s="871"/>
    </row>
    <row r="136" spans="1:16" s="863" customFormat="1" ht="13.5" customHeight="1">
      <c r="A136" s="862"/>
      <c r="B136" s="835"/>
      <c r="C136" s="835"/>
      <c r="D136" s="888" t="s">
        <v>59</v>
      </c>
      <c r="E136" s="700" t="s">
        <v>33</v>
      </c>
      <c r="F136" s="700">
        <v>7.83</v>
      </c>
      <c r="G136" s="828">
        <v>309.24</v>
      </c>
      <c r="H136" s="828">
        <v>21.9</v>
      </c>
      <c r="I136" s="828"/>
      <c r="J136" s="828"/>
      <c r="K136" s="828"/>
      <c r="L136" s="828"/>
      <c r="M136" s="877"/>
      <c r="N136" s="700"/>
      <c r="P136" s="871"/>
    </row>
    <row r="137" spans="1:16" s="863" customFormat="1" ht="13.5" customHeight="1">
      <c r="A137" s="862"/>
      <c r="B137" s="835"/>
      <c r="C137" s="835"/>
      <c r="D137" s="929" t="s">
        <v>1269</v>
      </c>
      <c r="E137" s="816" t="s">
        <v>33</v>
      </c>
      <c r="F137" s="816">
        <f>SUM(F135:F136)</f>
        <v>45.21</v>
      </c>
      <c r="G137" s="816">
        <f>SUM(G135:G136)</f>
        <v>324.14</v>
      </c>
      <c r="H137" s="816">
        <f>SUM(H135:H136)</f>
        <v>26.38</v>
      </c>
      <c r="I137" s="816">
        <f>SUM(I135:I136)</f>
        <v>45.53</v>
      </c>
      <c r="J137" s="816">
        <f>SUM(J135:J136)</f>
        <v>26.46</v>
      </c>
      <c r="K137" s="700"/>
      <c r="L137" s="700"/>
      <c r="M137" s="829"/>
      <c r="N137" s="700"/>
      <c r="P137" s="871"/>
    </row>
    <row r="138" spans="1:16" s="863" customFormat="1" ht="13.5" customHeight="1">
      <c r="A138" s="862"/>
      <c r="B138" s="835"/>
      <c r="C138" s="835"/>
      <c r="D138" s="826"/>
      <c r="E138" s="790"/>
      <c r="F138" s="790"/>
      <c r="G138" s="828"/>
      <c r="H138" s="828"/>
      <c r="I138" s="1692"/>
      <c r="J138" s="1692"/>
      <c r="K138" s="828"/>
      <c r="L138" s="700"/>
      <c r="M138" s="829"/>
      <c r="N138" s="700"/>
      <c r="P138" s="871"/>
    </row>
    <row r="139" spans="1:16" s="863" customFormat="1" ht="33.75">
      <c r="A139" s="912" t="s">
        <v>20473</v>
      </c>
      <c r="B139" s="835" t="s">
        <v>70</v>
      </c>
      <c r="C139" s="835">
        <v>92915</v>
      </c>
      <c r="D139" s="836" t="str">
        <f>PROPER(IF(B139="SANEAGO",VLOOKUP(C139,'SANEAGO-FEV.2016'!A:B,2,0),IF(B139="SINAPI",VLOOKUP(C139,'SINAPI-FEV.2017'!A:D,2,0),IF(B139="Cotação",VLOOKUP(C139,COTAÇÃO!A:D,2,0),IF(B139="Composição",VLOOKUP(C139,COMPOSIÇÃO!A:D,2,0))))))</f>
        <v>Armação De Estruturas De Concreto Armado, Exceto Vigas, Pilares, Lajes E Fundações Profundas (De Edifícios De Múltiplos Pavimentos, Edificação Térrea Ou Sobrado), Utilizando Aço Ca-60 De 5.0 Mm - Montagem. Af_12/2015</v>
      </c>
      <c r="E139" s="837"/>
      <c r="F139" s="837"/>
      <c r="G139" s="838"/>
      <c r="H139" s="838"/>
      <c r="I139" s="838"/>
      <c r="J139" s="913"/>
      <c r="K139" s="930" t="s">
        <v>27</v>
      </c>
      <c r="L139" s="856" t="s">
        <v>33</v>
      </c>
      <c r="M139" s="840">
        <f>F137</f>
        <v>45.21</v>
      </c>
      <c r="N139" s="914"/>
      <c r="P139" s="871"/>
    </row>
    <row r="140" spans="1:16" s="863" customFormat="1">
      <c r="A140" s="912"/>
      <c r="B140" s="835"/>
      <c r="C140" s="835"/>
      <c r="D140" s="826"/>
      <c r="E140" s="790"/>
      <c r="F140" s="790"/>
      <c r="G140" s="828"/>
      <c r="H140" s="828"/>
      <c r="I140" s="1692"/>
      <c r="J140" s="1692"/>
      <c r="K140" s="828"/>
      <c r="L140" s="700"/>
      <c r="M140" s="829"/>
      <c r="N140" s="700"/>
      <c r="P140" s="871"/>
    </row>
    <row r="141" spans="1:16" s="863" customFormat="1" ht="33.75">
      <c r="A141" s="912" t="s">
        <v>20474</v>
      </c>
      <c r="B141" s="835" t="s">
        <v>70</v>
      </c>
      <c r="C141" s="835">
        <v>92916</v>
      </c>
      <c r="D141" s="836" t="str">
        <f>PROPER(IF(B141="SANEAGO",VLOOKUP(C141,'SANEAGO-FEV.2016'!A:B,2,0),IF(B141="SINAPI",VLOOKUP(C141,'SINAPI-FEV.2017'!A:D,2,0),IF(B141="Cotação",VLOOKUP(C141,COTAÇÃO!A:D,2,0),IF(B141="Composição",VLOOKUP(C141,COMPOSIÇÃO!A:D,2,0))))))</f>
        <v>Armação De Estruturas De Concreto Armado, Exceto Vigas, Pilares, Lajes E Fundações Profundas (De Edifícios De Múltiplos Pavimentos, Edificação Térrea Ou Sobrado), Utilizando Aço Ca-50 De 6.3 Mm - Montagem. Af_12/2015</v>
      </c>
      <c r="E141" s="837"/>
      <c r="F141" s="837"/>
      <c r="G141" s="838"/>
      <c r="H141" s="838"/>
      <c r="I141" s="838"/>
      <c r="J141" s="913"/>
      <c r="K141" s="930" t="s">
        <v>27</v>
      </c>
      <c r="L141" s="856" t="s">
        <v>33</v>
      </c>
      <c r="M141" s="840">
        <f>G137</f>
        <v>324.14</v>
      </c>
      <c r="N141" s="914"/>
      <c r="P141" s="871"/>
    </row>
    <row r="142" spans="1:16" s="863" customFormat="1">
      <c r="A142" s="912"/>
      <c r="B142" s="835"/>
      <c r="C142" s="835"/>
      <c r="D142" s="826"/>
      <c r="E142" s="790"/>
      <c r="F142" s="790"/>
      <c r="G142" s="828"/>
      <c r="H142" s="828"/>
      <c r="I142" s="1692"/>
      <c r="J142" s="1692"/>
      <c r="K142" s="828"/>
      <c r="L142" s="700"/>
      <c r="M142" s="829"/>
      <c r="N142" s="700"/>
      <c r="P142" s="871"/>
    </row>
    <row r="143" spans="1:16" s="863" customFormat="1" ht="33.75">
      <c r="A143" s="912" t="s">
        <v>20475</v>
      </c>
      <c r="B143" s="835" t="s">
        <v>70</v>
      </c>
      <c r="C143" s="835">
        <v>92917</v>
      </c>
      <c r="D143" s="836" t="str">
        <f>PROPER(IF(B143="SANEAGO",VLOOKUP(C143,'SANEAGO-FEV.2016'!A:B,2,0),IF(B143="SINAPI",VLOOKUP(C143,'SINAPI-FEV.2017'!A:D,2,0),IF(B143="Cotação",VLOOKUP(C143,COTAÇÃO!A:D,2,0),IF(B143="Composição",VLOOKUP(C143,COMPOSIÇÃO!A:D,2,0))))))</f>
        <v>Armação De Estruturas De Concreto Armado, Exceto Vigas, Pilares, Lajes E Fundações Profundas (De Edifícios De Múltiplos Pavimentos, Edificação Térrea Ou Sobrado), Utilizando Aço Ca-50 De 8.0 Mm - Montagem. Af_12/2015</v>
      </c>
      <c r="E143" s="837"/>
      <c r="F143" s="837"/>
      <c r="G143" s="838"/>
      <c r="H143" s="838"/>
      <c r="I143" s="838"/>
      <c r="J143" s="913"/>
      <c r="K143" s="930" t="s">
        <v>27</v>
      </c>
      <c r="L143" s="856" t="s">
        <v>33</v>
      </c>
      <c r="M143" s="840">
        <f>H137</f>
        <v>26.38</v>
      </c>
      <c r="N143" s="914"/>
      <c r="P143" s="871"/>
    </row>
    <row r="144" spans="1:16" s="863" customFormat="1">
      <c r="A144" s="912"/>
      <c r="B144" s="835"/>
      <c r="C144" s="835"/>
      <c r="D144" s="826"/>
      <c r="E144" s="790"/>
      <c r="F144" s="790"/>
      <c r="G144" s="828"/>
      <c r="H144" s="828"/>
      <c r="I144" s="1692"/>
      <c r="J144" s="1692"/>
      <c r="K144" s="828"/>
      <c r="L144" s="700"/>
      <c r="M144" s="829"/>
      <c r="N144" s="700"/>
      <c r="P144" s="871"/>
    </row>
    <row r="145" spans="1:16" s="863" customFormat="1" ht="38.25" customHeight="1">
      <c r="A145" s="912" t="s">
        <v>20476</v>
      </c>
      <c r="B145" s="835" t="s">
        <v>70</v>
      </c>
      <c r="C145" s="835">
        <v>92919</v>
      </c>
      <c r="D145" s="836" t="str">
        <f>PROPER(IF(B145="SANEAGO",VLOOKUP(C145,'SANEAGO-FEV.2016'!A:B,2,0),IF(B145="SINAPI",VLOOKUP(C145,'SINAPI-FEV.2017'!A:D,2,0),IF(B145="Cotação",VLOOKUP(C145,COTAÇÃO!A:D,2,0),IF(B145="Composição",VLOOKUP(C145,COMPOSIÇÃO!A:D,2,0))))))</f>
        <v>Armação De Estruturas De Concreto Armado, Exceto Vigas, Pilares, Lajes E Fundações Profundas (De Edifícios De Múltiplos Pavimentos, Edificação Térrea Ou Sobrado), Utilizando Aço Ca-50 De 10.0 Mm - Montagem. Af_12/2015</v>
      </c>
      <c r="E145" s="837"/>
      <c r="F145" s="837"/>
      <c r="G145" s="838"/>
      <c r="H145" s="838"/>
      <c r="I145" s="838"/>
      <c r="J145" s="913"/>
      <c r="K145" s="930" t="s">
        <v>27</v>
      </c>
      <c r="L145" s="856" t="s">
        <v>33</v>
      </c>
      <c r="M145" s="840">
        <f>I137</f>
        <v>45.53</v>
      </c>
      <c r="N145" s="914"/>
      <c r="P145" s="871"/>
    </row>
    <row r="146" spans="1:16" s="863" customFormat="1">
      <c r="A146" s="912"/>
      <c r="B146" s="835"/>
      <c r="C146" s="835"/>
      <c r="D146" s="826"/>
      <c r="E146" s="790"/>
      <c r="F146" s="790"/>
      <c r="G146" s="828"/>
      <c r="H146" s="828"/>
      <c r="I146" s="1692"/>
      <c r="J146" s="1692"/>
      <c r="K146" s="828"/>
      <c r="L146" s="700"/>
      <c r="M146" s="829"/>
      <c r="N146" s="700"/>
      <c r="P146" s="871"/>
    </row>
    <row r="147" spans="1:16" s="863" customFormat="1" ht="38.25" customHeight="1">
      <c r="A147" s="912" t="s">
        <v>20486</v>
      </c>
      <c r="B147" s="835" t="s">
        <v>70</v>
      </c>
      <c r="C147" s="835">
        <v>92921</v>
      </c>
      <c r="D147" s="836" t="str">
        <f>PROPER(IF(B147="SANEAGO",VLOOKUP(C147,'SANEAGO-FEV.2016'!A:B,2,0),IF(B147="SINAPI",VLOOKUP(C147,'SINAPI-FEV.2017'!A:D,2,0),IF(B147="Cotação",VLOOKUP(C147,COTAÇÃO!A:D,2,0),IF(B147="Composição",VLOOKUP(C147,COMPOSIÇÃO!A:D,2,0))))))</f>
        <v>Armação De Estruturas De Concreto Armado, Exceto Vigas, Pilares, Lajes E Fundações Profundas (De Edifícios De Múltiplos Pavimentos, Edificação Térrea Ou Sobrado), Utilizando Aço Ca-50 De 12.5 Mm - Montagem. Af_12/2015</v>
      </c>
      <c r="E147" s="837"/>
      <c r="F147" s="837"/>
      <c r="G147" s="838"/>
      <c r="H147" s="838"/>
      <c r="I147" s="838"/>
      <c r="J147" s="913"/>
      <c r="K147" s="930" t="s">
        <v>27</v>
      </c>
      <c r="L147" s="856" t="s">
        <v>33</v>
      </c>
      <c r="M147" s="840">
        <f>J137</f>
        <v>26.46</v>
      </c>
      <c r="N147" s="914"/>
      <c r="P147" s="871"/>
    </row>
    <row r="148" spans="1:16" s="863" customFormat="1">
      <c r="A148" s="862"/>
      <c r="B148" s="835"/>
      <c r="C148" s="835"/>
      <c r="D148" s="826"/>
      <c r="E148" s="790"/>
      <c r="F148" s="790"/>
      <c r="G148" s="700" t="s">
        <v>30</v>
      </c>
      <c r="H148" s="700" t="s">
        <v>30</v>
      </c>
      <c r="I148" s="700" t="s">
        <v>30</v>
      </c>
      <c r="J148" s="700" t="s">
        <v>30</v>
      </c>
      <c r="K148" s="700" t="s">
        <v>30</v>
      </c>
      <c r="L148" s="700"/>
      <c r="M148" s="827"/>
      <c r="N148" s="700"/>
      <c r="P148" s="871"/>
    </row>
    <row r="149" spans="1:16" s="863" customFormat="1" ht="13.5" customHeight="1">
      <c r="A149" s="862" t="s">
        <v>12123</v>
      </c>
      <c r="B149" s="835" t="s">
        <v>70</v>
      </c>
      <c r="C149" s="835" t="s">
        <v>19257</v>
      </c>
      <c r="D149" s="836" t="str">
        <f>PROPER(IF(B149="SANEAGO",VLOOKUP(C149,'SANEAGO-FEV.2016'!A:B,2,0),IF(B149="SINAPI",VLOOKUP(C149,'SINAPI-FEV.2017'!A:D,2,0),IF(B149="Cotação",VLOOKUP(C149,COTAÇÃO!A:D,2,0),IF(B149="Composição",VLOOKUP(C149,COMPOSIÇÃO!A:D,2,0))))))</f>
        <v>Ensaio De Consistencia Do Concreto Ccr - Indice Vebe</v>
      </c>
      <c r="E149" s="837"/>
      <c r="F149" s="837"/>
      <c r="G149" s="838"/>
      <c r="H149" s="838"/>
      <c r="I149" s="838"/>
      <c r="J149" s="838"/>
      <c r="K149" s="838"/>
      <c r="L149" s="852" t="s">
        <v>26</v>
      </c>
      <c r="M149" s="853">
        <f>ROUNDUP(M131/50,0)</f>
        <v>1</v>
      </c>
      <c r="N149" s="700"/>
      <c r="P149" s="871"/>
    </row>
    <row r="150" spans="1:16" s="863" customFormat="1" ht="9.75" customHeight="1" thickBot="1">
      <c r="A150" s="862"/>
      <c r="B150" s="835"/>
      <c r="C150" s="835"/>
      <c r="D150" s="826"/>
      <c r="E150" s="790"/>
      <c r="F150" s="790"/>
      <c r="G150" s="700"/>
      <c r="H150" s="700"/>
      <c r="I150" s="700"/>
      <c r="J150" s="700"/>
      <c r="K150" s="700"/>
      <c r="L150" s="700"/>
      <c r="M150" s="827"/>
      <c r="N150" s="700"/>
      <c r="P150" s="871"/>
    </row>
    <row r="151" spans="1:16" s="863" customFormat="1" ht="15.75" customHeight="1" thickTop="1" thickBot="1">
      <c r="A151" s="862"/>
      <c r="B151" s="835"/>
      <c r="C151" s="835"/>
      <c r="D151" s="830" t="s">
        <v>1231</v>
      </c>
      <c r="E151" s="831"/>
      <c r="F151" s="831"/>
      <c r="G151" s="831"/>
      <c r="H151" s="831"/>
      <c r="I151" s="831"/>
      <c r="J151" s="831"/>
      <c r="K151" s="831"/>
      <c r="L151" s="832"/>
      <c r="M151" s="833"/>
      <c r="N151" s="870"/>
      <c r="O151" s="871"/>
      <c r="P151" s="871"/>
    </row>
    <row r="152" spans="1:16" s="863" customFormat="1" ht="13.5" customHeight="1" thickTop="1">
      <c r="A152" s="862"/>
      <c r="B152" s="835"/>
      <c r="C152" s="835"/>
      <c r="D152" s="826"/>
      <c r="E152" s="790"/>
      <c r="F152" s="790"/>
      <c r="G152" s="700" t="s">
        <v>30</v>
      </c>
      <c r="H152" s="700" t="s">
        <v>30</v>
      </c>
      <c r="I152" s="700" t="s">
        <v>30</v>
      </c>
      <c r="J152" s="700" t="s">
        <v>30</v>
      </c>
      <c r="K152" s="700" t="s">
        <v>30</v>
      </c>
      <c r="L152" s="700"/>
      <c r="M152" s="827"/>
      <c r="N152" s="700"/>
      <c r="P152" s="871"/>
    </row>
    <row r="153" spans="1:16" s="863" customFormat="1" ht="13.5" customHeight="1">
      <c r="A153" s="862"/>
      <c r="B153" s="835"/>
      <c r="C153" s="835"/>
      <c r="D153" s="836" t="s">
        <v>52</v>
      </c>
      <c r="E153" s="837"/>
      <c r="F153" s="837"/>
      <c r="G153" s="852"/>
      <c r="H153" s="852"/>
      <c r="I153" s="852"/>
      <c r="J153" s="852"/>
      <c r="K153" s="852"/>
      <c r="L153" s="852" t="s">
        <v>18</v>
      </c>
      <c r="M153" s="853">
        <v>4.32</v>
      </c>
      <c r="N153" s="700"/>
      <c r="P153" s="871"/>
    </row>
    <row r="154" spans="1:16" s="863" customFormat="1" ht="13.5" customHeight="1">
      <c r="A154" s="862"/>
      <c r="B154" s="835"/>
      <c r="C154" s="835"/>
      <c r="D154" s="826"/>
      <c r="E154" s="790"/>
      <c r="F154" s="790"/>
      <c r="G154" s="790" t="s">
        <v>30</v>
      </c>
      <c r="H154" s="700" t="s">
        <v>30</v>
      </c>
      <c r="I154" s="700" t="s">
        <v>12153</v>
      </c>
      <c r="J154" s="700" t="s">
        <v>32</v>
      </c>
      <c r="K154" s="700" t="s">
        <v>19</v>
      </c>
      <c r="L154" s="700"/>
      <c r="M154" s="827"/>
      <c r="N154" s="700"/>
      <c r="P154" s="871"/>
    </row>
    <row r="155" spans="1:16" s="863" customFormat="1" ht="13.5" customHeight="1">
      <c r="A155" s="862"/>
      <c r="B155" s="835"/>
      <c r="C155" s="835"/>
      <c r="D155" s="826"/>
      <c r="E155" s="790"/>
      <c r="F155" s="790"/>
      <c r="G155" s="790"/>
      <c r="H155" s="700" t="s">
        <v>11687</v>
      </c>
      <c r="I155" s="700">
        <v>1</v>
      </c>
      <c r="J155" s="700">
        <v>2.2999999999999998</v>
      </c>
      <c r="K155" s="700">
        <v>1.1000000000000001</v>
      </c>
      <c r="L155" s="700" t="s">
        <v>21</v>
      </c>
      <c r="M155" s="829">
        <f>K155*J155*I155</f>
        <v>2.5299999999999998</v>
      </c>
      <c r="N155" s="700">
        <f>I155*J155*K155</f>
        <v>2.5299999999999998</v>
      </c>
      <c r="P155" s="871"/>
    </row>
    <row r="156" spans="1:16" s="863" customFormat="1" ht="13.5" customHeight="1">
      <c r="A156" s="862"/>
      <c r="B156" s="835"/>
      <c r="C156" s="835"/>
      <c r="D156" s="826"/>
      <c r="E156" s="790"/>
      <c r="F156" s="790"/>
      <c r="G156" s="790"/>
      <c r="H156" s="700" t="s">
        <v>11666</v>
      </c>
      <c r="I156" s="700">
        <v>1</v>
      </c>
      <c r="J156" s="700">
        <v>2.15</v>
      </c>
      <c r="K156" s="700">
        <v>0.88</v>
      </c>
      <c r="L156" s="700" t="s">
        <v>21</v>
      </c>
      <c r="M156" s="829">
        <f>K156*J156*I156</f>
        <v>1.8919999999999999</v>
      </c>
      <c r="N156" s="700">
        <f>I156*J156*K156</f>
        <v>1.8919999999999999</v>
      </c>
      <c r="P156" s="871"/>
    </row>
    <row r="157" spans="1:16" s="863" customFormat="1" ht="27.75" customHeight="1">
      <c r="A157" s="862" t="s">
        <v>12152</v>
      </c>
      <c r="B157" s="835" t="s">
        <v>70</v>
      </c>
      <c r="C157" s="835">
        <v>91341</v>
      </c>
      <c r="D157" s="836" t="str">
        <f>PROPER(IF(B157="SANEAGO",VLOOKUP(C157,'SANEAGO-FEV.2016'!A:B,2,0),IF(B157="SINAPI",VLOOKUP(C157,'SINAPI-FEV.2017'!A:D,2,0),IF(B157="Cotação",VLOOKUP(C157,COTAÇÃO!A:D,2,0),IF(B157="Composição",VLOOKUP(C157,COMPOSIÇÃO!A:D,2,0))))))</f>
        <v>Porta Em Alumínio De Abrir Tipo Veneziana Com Guarnição, Fixação Com Parafusos - Fornecimento E Instalação. Af_08/2015</v>
      </c>
      <c r="E157" s="837"/>
      <c r="F157" s="837"/>
      <c r="G157" s="852"/>
      <c r="H157" s="852"/>
      <c r="I157" s="852"/>
      <c r="J157" s="838"/>
      <c r="K157" s="839" t="s">
        <v>27</v>
      </c>
      <c r="L157" s="856" t="s">
        <v>21</v>
      </c>
      <c r="M157" s="840">
        <f>SUM(M155:M156)</f>
        <v>4.4219999999999997</v>
      </c>
      <c r="N157" s="700"/>
      <c r="P157" s="871"/>
    </row>
    <row r="158" spans="1:16" s="863" customFormat="1">
      <c r="A158" s="862"/>
      <c r="B158" s="835"/>
      <c r="C158" s="835"/>
      <c r="D158" s="826"/>
      <c r="E158" s="790"/>
      <c r="F158" s="790"/>
      <c r="G158" s="700" t="s">
        <v>30</v>
      </c>
      <c r="H158" s="700" t="s">
        <v>30</v>
      </c>
      <c r="I158" s="700" t="s">
        <v>12153</v>
      </c>
      <c r="J158" s="700" t="s">
        <v>32</v>
      </c>
      <c r="K158" s="700" t="s">
        <v>19</v>
      </c>
      <c r="L158" s="700"/>
      <c r="M158" s="827"/>
      <c r="N158" s="700"/>
      <c r="P158" s="871"/>
    </row>
    <row r="159" spans="1:16" s="863" customFormat="1" ht="22.5" customHeight="1">
      <c r="A159" s="862" t="s">
        <v>12124</v>
      </c>
      <c r="B159" s="835" t="s">
        <v>70</v>
      </c>
      <c r="C159" s="835">
        <v>91011</v>
      </c>
      <c r="D159" s="836" t="str">
        <f>PROPER(IF(B159="SANEAGO",VLOOKUP(C159,'SANEAGO-FEV.2016'!A:B,2,0),IF(B159="SINAPI",VLOOKUP(C159,'SINAPI-FEV.2017'!A:D,2,0),IF(B159="Cotação",VLOOKUP(C159,COTAÇÃO!A:D,2,0),IF(B159="Composição",VLOOKUP(C159,COMPOSIÇÃO!A:D,2,0))))))</f>
        <v>Porta De Madeira Para Verniz, Semi-Oca (Leve Ou Média), 80X210Cm, Espessura De 3,5Cm, Incluso Dobradiças - Fornecimento E Instalação. Af_08/2015</v>
      </c>
      <c r="E159" s="837"/>
      <c r="F159" s="837"/>
      <c r="G159" s="852"/>
      <c r="H159" s="852" t="s">
        <v>12154</v>
      </c>
      <c r="I159" s="852">
        <v>2</v>
      </c>
      <c r="J159" s="838">
        <v>2.1</v>
      </c>
      <c r="K159" s="838">
        <v>0.8</v>
      </c>
      <c r="L159" s="852" t="s">
        <v>10853</v>
      </c>
      <c r="M159" s="853">
        <v>2</v>
      </c>
      <c r="N159" s="700">
        <f>I159*J159*K159</f>
        <v>3.3600000000000003</v>
      </c>
      <c r="P159" s="871"/>
    </row>
    <row r="160" spans="1:16" s="863" customFormat="1">
      <c r="A160" s="862"/>
      <c r="B160" s="835"/>
      <c r="C160" s="835"/>
      <c r="D160" s="826"/>
      <c r="E160" s="790"/>
      <c r="F160" s="790"/>
      <c r="G160" s="700" t="s">
        <v>30</v>
      </c>
      <c r="H160" s="700" t="s">
        <v>30</v>
      </c>
      <c r="I160" s="700" t="s">
        <v>12153</v>
      </c>
      <c r="J160" s="700" t="s">
        <v>32</v>
      </c>
      <c r="K160" s="700" t="s">
        <v>19</v>
      </c>
      <c r="L160" s="700"/>
      <c r="M160" s="827"/>
      <c r="N160" s="700"/>
      <c r="P160" s="871"/>
    </row>
    <row r="161" spans="1:16" s="863" customFormat="1" ht="22.5" customHeight="1">
      <c r="A161" s="862" t="s">
        <v>12160</v>
      </c>
      <c r="B161" s="835" t="s">
        <v>70</v>
      </c>
      <c r="C161" s="893">
        <v>91009</v>
      </c>
      <c r="D161" s="836" t="str">
        <f>PROPER(IF(B161="SANEAGO",VLOOKUP(C161,'SANEAGO-FEV.2016'!A:B,2,0),IF(B161="SINAPI",VLOOKUP(C161,'SINAPI-FEV.2017'!A:D,2,0),IF(B161="Cotação",VLOOKUP(C161,COTAÇÃO!A:D,2,0),IF(B161="Composição",VLOOKUP(C161,COMPOSIÇÃO!A:D,2,0))))))</f>
        <v>Porta De Madeira Para Verniz, Semi-Oca (Leve Ou Média), 60X210Cm, Espessura De 3,5Cm, Incluso Dobradiças - Fornecimento E Instalação. Af_08/2015</v>
      </c>
      <c r="E161" s="837"/>
      <c r="F161" s="837"/>
      <c r="G161" s="852"/>
      <c r="H161" s="852" t="s">
        <v>12155</v>
      </c>
      <c r="I161" s="852">
        <v>1</v>
      </c>
      <c r="J161" s="838">
        <v>2.1</v>
      </c>
      <c r="K161" s="838">
        <v>0.6</v>
      </c>
      <c r="L161" s="852" t="s">
        <v>10853</v>
      </c>
      <c r="M161" s="853">
        <v>1</v>
      </c>
      <c r="N161" s="700"/>
      <c r="P161" s="871"/>
    </row>
    <row r="162" spans="1:16" s="863" customFormat="1">
      <c r="A162" s="862"/>
      <c r="B162" s="835"/>
      <c r="C162" s="835"/>
      <c r="D162" s="826"/>
      <c r="E162" s="790"/>
      <c r="F162" s="790"/>
      <c r="G162" s="700" t="s">
        <v>30</v>
      </c>
      <c r="H162" s="700" t="s">
        <v>30</v>
      </c>
      <c r="I162" s="700" t="s">
        <v>12153</v>
      </c>
      <c r="J162" s="700" t="s">
        <v>32</v>
      </c>
      <c r="K162" s="700" t="s">
        <v>19</v>
      </c>
      <c r="L162" s="700"/>
      <c r="M162" s="827"/>
      <c r="N162" s="700"/>
      <c r="P162" s="871"/>
    </row>
    <row r="163" spans="1:16" s="863" customFormat="1">
      <c r="A163" s="862"/>
      <c r="B163" s="835"/>
      <c r="C163" s="835"/>
      <c r="D163" s="826"/>
      <c r="E163" s="790"/>
      <c r="F163" s="790"/>
      <c r="G163" s="700"/>
      <c r="H163" s="700" t="s">
        <v>12156</v>
      </c>
      <c r="I163" s="700">
        <v>1</v>
      </c>
      <c r="J163" s="700">
        <v>2.2999999999999998</v>
      </c>
      <c r="K163" s="700">
        <v>1.1200000000000001</v>
      </c>
      <c r="L163" s="700" t="s">
        <v>21</v>
      </c>
      <c r="M163" s="829">
        <f>K163*J163*I163</f>
        <v>2.5760000000000001</v>
      </c>
      <c r="N163" s="700">
        <f>I163*J163*K163</f>
        <v>2.5760000000000001</v>
      </c>
      <c r="P163" s="871"/>
    </row>
    <row r="164" spans="1:16" s="863" customFormat="1">
      <c r="A164" s="862"/>
      <c r="B164" s="835"/>
      <c r="C164" s="835"/>
      <c r="D164" s="826"/>
      <c r="E164" s="790"/>
      <c r="F164" s="790"/>
      <c r="G164" s="700"/>
      <c r="H164" s="700" t="s">
        <v>12157</v>
      </c>
      <c r="I164" s="700">
        <v>1</v>
      </c>
      <c r="J164" s="700">
        <v>2.15</v>
      </c>
      <c r="K164" s="700">
        <v>0.9</v>
      </c>
      <c r="L164" s="700" t="s">
        <v>21</v>
      </c>
      <c r="M164" s="829">
        <f>K164*J164*I164</f>
        <v>1.9350000000000001</v>
      </c>
      <c r="N164" s="700">
        <f>I164*J164*K164</f>
        <v>1.9350000000000001</v>
      </c>
      <c r="P164" s="871"/>
    </row>
    <row r="165" spans="1:16" s="863" customFormat="1">
      <c r="A165" s="862"/>
      <c r="B165" s="835"/>
      <c r="C165" s="835"/>
      <c r="D165" s="826"/>
      <c r="E165" s="790"/>
      <c r="F165" s="790"/>
      <c r="G165" s="700"/>
      <c r="H165" s="700" t="s">
        <v>12158</v>
      </c>
      <c r="I165" s="700">
        <v>1</v>
      </c>
      <c r="J165" s="700">
        <v>2.2999999999999998</v>
      </c>
      <c r="K165" s="700">
        <v>1.38</v>
      </c>
      <c r="L165" s="700" t="s">
        <v>21</v>
      </c>
      <c r="M165" s="829">
        <f>K165*J165*I165</f>
        <v>3.1739999999999995</v>
      </c>
      <c r="N165" s="700">
        <f>I165*J165*K165</f>
        <v>3.1739999999999995</v>
      </c>
      <c r="P165" s="871"/>
    </row>
    <row r="166" spans="1:16" s="863" customFormat="1">
      <c r="A166" s="862"/>
      <c r="B166" s="835"/>
      <c r="C166" s="835"/>
      <c r="D166" s="826"/>
      <c r="E166" s="790"/>
      <c r="F166" s="790"/>
      <c r="G166" s="700"/>
      <c r="H166" s="700" t="s">
        <v>12159</v>
      </c>
      <c r="I166" s="700">
        <v>1</v>
      </c>
      <c r="J166" s="700">
        <v>2.2999999999999998</v>
      </c>
      <c r="K166" s="700">
        <v>1.03</v>
      </c>
      <c r="L166" s="700" t="s">
        <v>21</v>
      </c>
      <c r="M166" s="829">
        <f>K166*J166*I166</f>
        <v>2.3689999999999998</v>
      </c>
      <c r="N166" s="700">
        <f>I166*J166*K166</f>
        <v>2.3689999999999998</v>
      </c>
      <c r="P166" s="871"/>
    </row>
    <row r="167" spans="1:16" s="863" customFormat="1" ht="22.5" customHeight="1">
      <c r="A167" s="862" t="s">
        <v>12161</v>
      </c>
      <c r="B167" s="835" t="s">
        <v>70</v>
      </c>
      <c r="C167" s="893" t="s">
        <v>16108</v>
      </c>
      <c r="D167" s="836" t="str">
        <f>PROPER(IF(B167="SANEAGO",VLOOKUP(C167,'SANEAGO-FEV.2016'!A:B,2,0),IF(B167="SINAPI",VLOOKUP(C167,'SINAPI-FEV.2017'!A:D,2,0),IF(B167="Cotação",VLOOKUP(C167,COTAÇÃO!A:D,2,0),IF(B167="Composição",VLOOKUP(C167,COMPOSIÇÃO!A:D,2,0))))))</f>
        <v>Porta De Ferro De Abrir Tipo Barra Chata, Com Requadro E Guarnicao Completa</v>
      </c>
      <c r="E167" s="837"/>
      <c r="F167" s="837"/>
      <c r="G167" s="852"/>
      <c r="H167" s="852"/>
      <c r="I167" s="852"/>
      <c r="J167" s="838"/>
      <c r="K167" s="839" t="s">
        <v>27</v>
      </c>
      <c r="L167" s="856" t="s">
        <v>21</v>
      </c>
      <c r="M167" s="840">
        <f>SUM(M163:M166)</f>
        <v>10.053999999999998</v>
      </c>
      <c r="N167" s="700"/>
      <c r="P167" s="871"/>
    </row>
    <row r="168" spans="1:16">
      <c r="C168" s="893"/>
      <c r="D168" s="826"/>
      <c r="E168" s="790"/>
      <c r="F168" s="790"/>
      <c r="G168" s="700" t="s">
        <v>30</v>
      </c>
      <c r="H168" s="700" t="s">
        <v>30</v>
      </c>
      <c r="I168" s="700" t="s">
        <v>30</v>
      </c>
      <c r="J168" s="700" t="s">
        <v>30</v>
      </c>
      <c r="K168" s="700" t="s">
        <v>30</v>
      </c>
      <c r="L168" s="700" t="s">
        <v>30</v>
      </c>
      <c r="M168" s="876" t="s">
        <v>30</v>
      </c>
    </row>
    <row r="169" spans="1:16">
      <c r="A169" s="862" t="s">
        <v>12162</v>
      </c>
      <c r="B169" s="835" t="s">
        <v>70</v>
      </c>
      <c r="C169" s="893">
        <v>93188</v>
      </c>
      <c r="D169" s="836" t="str">
        <f>PROPER(IF(B169="SANEAGO",VLOOKUP(C169,'SANEAGO-FEV.2016'!A:B,2,0),IF(B169="SINAPI",VLOOKUP(C169,'SINAPI-FEV.2017'!A:D,2,0),IF(B169="Cotação",VLOOKUP(C169,COTAÇÃO!A:D,2,0),IF(B169="Composição",VLOOKUP(C169,COMPOSIÇÃO!A:D,2,0))))))</f>
        <v>Verga Moldada In Loco Em Concreto Para Portas Com Até 1,5 M De Vão. Af_03/2016</v>
      </c>
      <c r="E169" s="837"/>
      <c r="F169" s="837"/>
      <c r="G169" s="852"/>
      <c r="H169" s="852"/>
      <c r="I169" s="852"/>
      <c r="J169" s="852"/>
      <c r="K169" s="838"/>
      <c r="L169" s="852" t="s">
        <v>18</v>
      </c>
      <c r="M169" s="853">
        <f>SUM(K155:K156,K159*I159,K161,K163:K166)</f>
        <v>8.61</v>
      </c>
    </row>
    <row r="170" spans="1:16">
      <c r="C170" s="893"/>
      <c r="D170" s="826"/>
      <c r="E170" s="790"/>
      <c r="F170" s="790"/>
      <c r="G170" s="700" t="s">
        <v>30</v>
      </c>
      <c r="H170" s="700" t="s">
        <v>30</v>
      </c>
      <c r="I170" s="700" t="s">
        <v>30</v>
      </c>
      <c r="J170" s="700" t="s">
        <v>30</v>
      </c>
      <c r="K170" s="700" t="s">
        <v>30</v>
      </c>
      <c r="L170" s="700" t="s">
        <v>30</v>
      </c>
      <c r="M170" s="876" t="s">
        <v>30</v>
      </c>
    </row>
    <row r="171" spans="1:16" ht="22.5">
      <c r="A171" s="862" t="s">
        <v>12163</v>
      </c>
      <c r="B171" s="835" t="s">
        <v>70</v>
      </c>
      <c r="C171" s="893">
        <v>93196</v>
      </c>
      <c r="D171" s="836" t="str">
        <f>PROPER(IF(B171="SANEAGO",VLOOKUP(C171,'SANEAGO-FEV.2016'!A:B,2,0),IF(B171="SINAPI",VLOOKUP(C171,'SINAPI-FEV.2017'!A:D,2,0),IF(B171="Cotação",VLOOKUP(C171,COTAÇÃO!A:D,2,0),IF(B171="Composição",VLOOKUP(C171,COMPOSIÇÃO!A:D,2,0))))))</f>
        <v>Contraverga Moldada In Loco Em Concreto Para Vãos De Até 1,5 M De Comprimento. Af_03/2016</v>
      </c>
      <c r="E171" s="837"/>
      <c r="F171" s="837"/>
      <c r="G171" s="852"/>
      <c r="H171" s="852"/>
      <c r="I171" s="852"/>
      <c r="J171" s="838"/>
      <c r="K171" s="838"/>
      <c r="L171" s="852" t="s">
        <v>18</v>
      </c>
      <c r="M171" s="853">
        <f>M169</f>
        <v>8.61</v>
      </c>
    </row>
    <row r="172" spans="1:16">
      <c r="C172" s="893"/>
      <c r="D172" s="826"/>
      <c r="E172" s="790"/>
      <c r="F172" s="790"/>
      <c r="G172" s="700" t="s">
        <v>30</v>
      </c>
      <c r="H172" s="700" t="s">
        <v>30</v>
      </c>
      <c r="I172" s="700" t="s">
        <v>12153</v>
      </c>
      <c r="J172" s="700" t="s">
        <v>32</v>
      </c>
      <c r="K172" s="700" t="s">
        <v>19</v>
      </c>
      <c r="L172" s="700"/>
      <c r="M172" s="827"/>
    </row>
    <row r="173" spans="1:16" ht="22.5" customHeight="1">
      <c r="A173" s="862" t="s">
        <v>12276</v>
      </c>
      <c r="B173" s="835" t="s">
        <v>70</v>
      </c>
      <c r="C173" s="893">
        <v>94570</v>
      </c>
      <c r="D173" s="836" t="str">
        <f>PROPER(IF(B173="SANEAGO",VLOOKUP(C173,'SANEAGO-FEV.2016'!A:B,2,0),IF(B173="SINAPI",VLOOKUP(C173,'SINAPI-FEV.2017'!A:D,2,0),IF(B173="Cotação",VLOOKUP(C173,COTAÇÃO!A:D,2,0),IF(B173="Composição",VLOOKUP(C173,COMPOSIÇÃO!A:D,2,0))))))</f>
        <v>Janela De Alumínio De Correr, 2 Folhas, Fixação Com Parafuso Sobre Contramarco (Exclusive Contramarco), Com Vidros Padronizada. Af_07/2016</v>
      </c>
      <c r="E173" s="837"/>
      <c r="F173" s="837"/>
      <c r="G173" s="852"/>
      <c r="H173" s="852" t="s">
        <v>12164</v>
      </c>
      <c r="I173" s="852">
        <v>2</v>
      </c>
      <c r="J173" s="838">
        <v>1.6</v>
      </c>
      <c r="K173" s="838">
        <v>1.6</v>
      </c>
      <c r="L173" s="852" t="s">
        <v>21</v>
      </c>
      <c r="M173" s="853">
        <f>K173*J173*I173</f>
        <v>5.120000000000001</v>
      </c>
      <c r="N173" s="700">
        <f>I173*J173*K173</f>
        <v>5.120000000000001</v>
      </c>
    </row>
    <row r="174" spans="1:16">
      <c r="C174" s="893"/>
      <c r="D174" s="826"/>
      <c r="E174" s="790"/>
      <c r="F174" s="790"/>
      <c r="G174" s="700" t="s">
        <v>30</v>
      </c>
      <c r="H174" s="700" t="s">
        <v>30</v>
      </c>
      <c r="I174" s="700" t="s">
        <v>12153</v>
      </c>
      <c r="J174" s="700" t="s">
        <v>32</v>
      </c>
      <c r="K174" s="700" t="s">
        <v>19</v>
      </c>
      <c r="L174" s="700"/>
      <c r="M174" s="827"/>
    </row>
    <row r="175" spans="1:16">
      <c r="C175" s="893"/>
      <c r="D175" s="826"/>
      <c r="E175" s="790"/>
      <c r="F175" s="790"/>
      <c r="G175" s="700"/>
      <c r="H175" s="700" t="s">
        <v>12165</v>
      </c>
      <c r="I175" s="700">
        <v>3</v>
      </c>
      <c r="J175" s="700">
        <v>0.6</v>
      </c>
      <c r="K175" s="700">
        <v>1.2</v>
      </c>
      <c r="L175" s="700" t="s">
        <v>21</v>
      </c>
      <c r="M175" s="829">
        <f>K175*J175*I175</f>
        <v>2.16</v>
      </c>
      <c r="N175" s="700">
        <f>I175*J175*K175</f>
        <v>2.1599999999999997</v>
      </c>
    </row>
    <row r="176" spans="1:16">
      <c r="C176" s="893"/>
      <c r="D176" s="826"/>
      <c r="E176" s="790"/>
      <c r="F176" s="790"/>
      <c r="G176" s="700"/>
      <c r="H176" s="700" t="s">
        <v>12166</v>
      </c>
      <c r="I176" s="700">
        <v>2</v>
      </c>
      <c r="J176" s="700">
        <v>0.6</v>
      </c>
      <c r="K176" s="700">
        <v>0.6</v>
      </c>
      <c r="L176" s="700" t="s">
        <v>21</v>
      </c>
      <c r="M176" s="829">
        <f>K176*J176*I176</f>
        <v>0.72</v>
      </c>
      <c r="N176" s="700">
        <f>I176*J176*K176</f>
        <v>0.72</v>
      </c>
    </row>
    <row r="177" spans="1:16" ht="22.5" customHeight="1">
      <c r="A177" s="862" t="s">
        <v>12277</v>
      </c>
      <c r="B177" s="835" t="s">
        <v>70</v>
      </c>
      <c r="C177" s="893">
        <v>94574</v>
      </c>
      <c r="D177" s="836" t="str">
        <f>PROPER(IF(B177="SANEAGO",VLOOKUP(C177,'SANEAGO-FEV.2016'!A:B,2,0),IF(B177="SINAPI",VLOOKUP(C177,'SINAPI-FEV.2017'!A:D,2,0),IF(B177="Cotação",VLOOKUP(C177,COTAÇÃO!A:D,2,0),IF(B177="Composição",VLOOKUP(C177,COMPOSIÇÃO!A:D,2,0))))))</f>
        <v>Janela De Alumínio De Correr, 6 Folhas, Fixação Com Parafuso Sobre Contramarco (Exclusive Contramarco), Com Vidros, Padronizada. Af_07/2016</v>
      </c>
      <c r="E177" s="837"/>
      <c r="F177" s="837"/>
      <c r="G177" s="852"/>
      <c r="H177" s="852"/>
      <c r="I177" s="852"/>
      <c r="J177" s="838"/>
      <c r="K177" s="839" t="s">
        <v>27</v>
      </c>
      <c r="L177" s="856" t="s">
        <v>21</v>
      </c>
      <c r="M177" s="840">
        <f>SUM(M175:M176)</f>
        <v>2.88</v>
      </c>
    </row>
    <row r="178" spans="1:16">
      <c r="C178" s="893"/>
      <c r="D178" s="826"/>
      <c r="E178" s="790"/>
      <c r="F178" s="790"/>
      <c r="G178" s="700" t="s">
        <v>30</v>
      </c>
      <c r="H178" s="700" t="s">
        <v>30</v>
      </c>
      <c r="I178" s="700" t="s">
        <v>30</v>
      </c>
      <c r="J178" s="700" t="s">
        <v>30</v>
      </c>
      <c r="K178" s="700" t="s">
        <v>30</v>
      </c>
      <c r="L178" s="700" t="s">
        <v>30</v>
      </c>
      <c r="M178" s="876" t="s">
        <v>30</v>
      </c>
    </row>
    <row r="179" spans="1:16">
      <c r="A179" s="862" t="s">
        <v>12279</v>
      </c>
      <c r="B179" s="835" t="s">
        <v>70</v>
      </c>
      <c r="C179" s="893">
        <v>93186</v>
      </c>
      <c r="D179" s="836" t="str">
        <f>PROPER(IF(B179="SANEAGO",VLOOKUP(C179,'SANEAGO-FEV.2016'!A:B,2,0),IF(B179="SINAPI",VLOOKUP(C179,'SINAPI-FEV.2017'!A:D,2,0),IF(B179="Cotação",VLOOKUP(C179,COTAÇÃO!A:D,2,0),IF(B179="Composição",VLOOKUP(C179,COMPOSIÇÃO!A:D,2,0))))))</f>
        <v>Verga Moldada In Loco Em Concreto Para Janelas Com Até 1,5 M De Vão. Af_03/2016</v>
      </c>
      <c r="E179" s="837"/>
      <c r="F179" s="837"/>
      <c r="G179" s="852"/>
      <c r="H179" s="852"/>
      <c r="I179" s="852"/>
      <c r="J179" s="852"/>
      <c r="K179" s="838"/>
      <c r="L179" s="852" t="s">
        <v>18</v>
      </c>
      <c r="M179" s="853">
        <f>K175*I175+K176*I176</f>
        <v>4.8</v>
      </c>
    </row>
    <row r="180" spans="1:16">
      <c r="C180" s="893"/>
      <c r="D180" s="826"/>
      <c r="E180" s="790"/>
      <c r="F180" s="790"/>
      <c r="G180" s="700" t="s">
        <v>30</v>
      </c>
      <c r="H180" s="700" t="s">
        <v>30</v>
      </c>
      <c r="I180" s="700" t="s">
        <v>30</v>
      </c>
      <c r="J180" s="700" t="s">
        <v>30</v>
      </c>
      <c r="K180" s="700" t="s">
        <v>30</v>
      </c>
      <c r="L180" s="700" t="s">
        <v>30</v>
      </c>
      <c r="M180" s="876" t="s">
        <v>30</v>
      </c>
    </row>
    <row r="181" spans="1:16" ht="22.5">
      <c r="A181" s="862" t="s">
        <v>12280</v>
      </c>
      <c r="B181" s="835" t="s">
        <v>70</v>
      </c>
      <c r="C181" s="893">
        <v>93187</v>
      </c>
      <c r="D181" s="836" t="str">
        <f>PROPER(IF(B181="SANEAGO",VLOOKUP(C181,'SANEAGO-FEV.2016'!A:B,2,0),IF(B181="SINAPI",VLOOKUP(C181,'SINAPI-FEV.2017'!A:D,2,0),IF(B181="Cotação",VLOOKUP(C181,COTAÇÃO!A:D,2,0),IF(B181="Composição",VLOOKUP(C181,COMPOSIÇÃO!A:D,2,0))))))</f>
        <v>Verga Moldada In Loco Em Concreto Para Janelas Com Mais De 1,5 M De Vão. Af_03/2016</v>
      </c>
      <c r="E181" s="837"/>
      <c r="F181" s="837"/>
      <c r="G181" s="852"/>
      <c r="H181" s="852"/>
      <c r="I181" s="852"/>
      <c r="J181" s="838"/>
      <c r="K181" s="838"/>
      <c r="L181" s="852" t="s">
        <v>18</v>
      </c>
      <c r="M181" s="853">
        <f>K173*I173</f>
        <v>3.2</v>
      </c>
    </row>
    <row r="182" spans="1:16">
      <c r="C182" s="893"/>
      <c r="D182" s="826"/>
      <c r="E182" s="790"/>
      <c r="F182" s="790"/>
      <c r="G182" s="700" t="s">
        <v>30</v>
      </c>
      <c r="H182" s="700" t="s">
        <v>30</v>
      </c>
      <c r="I182" s="700" t="s">
        <v>30</v>
      </c>
      <c r="J182" s="700" t="s">
        <v>30</v>
      </c>
      <c r="K182" s="700" t="s">
        <v>30</v>
      </c>
      <c r="L182" s="700" t="s">
        <v>30</v>
      </c>
      <c r="M182" s="876" t="s">
        <v>30</v>
      </c>
    </row>
    <row r="183" spans="1:16" ht="22.5">
      <c r="A183" s="862" t="s">
        <v>12278</v>
      </c>
      <c r="B183" s="835" t="s">
        <v>70</v>
      </c>
      <c r="C183" s="893">
        <v>93196</v>
      </c>
      <c r="D183" s="836" t="str">
        <f>PROPER(IF(B183="SANEAGO",VLOOKUP(C183,'SANEAGO-FEV.2016'!A:B,2,0),IF(B183="SINAPI",VLOOKUP(C183,'SINAPI-FEV.2017'!A:D,2,0),IF(B183="Cotação",VLOOKUP(C183,COTAÇÃO!A:D,2,0),IF(B183="Composição",VLOOKUP(C183,COMPOSIÇÃO!A:D,2,0))))))</f>
        <v>Contraverga Moldada In Loco Em Concreto Para Vãos De Até 1,5 M De Comprimento. Af_03/2016</v>
      </c>
      <c r="E183" s="837"/>
      <c r="F183" s="837"/>
      <c r="G183" s="852"/>
      <c r="H183" s="852"/>
      <c r="I183" s="852"/>
      <c r="J183" s="838"/>
      <c r="K183" s="838"/>
      <c r="L183" s="852" t="s">
        <v>18</v>
      </c>
      <c r="M183" s="853">
        <f>M179</f>
        <v>4.8</v>
      </c>
    </row>
    <row r="184" spans="1:16">
      <c r="C184" s="893"/>
      <c r="D184" s="826"/>
      <c r="E184" s="790"/>
      <c r="F184" s="790"/>
      <c r="G184" s="700" t="s">
        <v>30</v>
      </c>
      <c r="H184" s="700" t="s">
        <v>30</v>
      </c>
      <c r="I184" s="700" t="s">
        <v>30</v>
      </c>
      <c r="J184" s="700" t="s">
        <v>30</v>
      </c>
      <c r="K184" s="700" t="s">
        <v>30</v>
      </c>
      <c r="L184" s="700" t="s">
        <v>30</v>
      </c>
      <c r="M184" s="876" t="s">
        <v>30</v>
      </c>
    </row>
    <row r="185" spans="1:16" ht="22.5">
      <c r="A185" s="862" t="s">
        <v>12281</v>
      </c>
      <c r="B185" s="835" t="s">
        <v>70</v>
      </c>
      <c r="C185" s="893">
        <v>93197</v>
      </c>
      <c r="D185" s="836" t="str">
        <f>PROPER(IF(B185="SANEAGO",VLOOKUP(C185,'SANEAGO-FEV.2016'!A:B,2,0),IF(B185="SINAPI",VLOOKUP(C185,'SINAPI-FEV.2017'!A:D,2,0),IF(B185="Cotação",VLOOKUP(C185,COTAÇÃO!A:D,2,0),IF(B185="Composição",VLOOKUP(C185,COMPOSIÇÃO!A:D,2,0))))))</f>
        <v>Contraverga Moldada In Loco Em Concreto Para Vãos De Mais De 1,5 M De Comprimento. Af_03/2016</v>
      </c>
      <c r="E185" s="837"/>
      <c r="F185" s="837"/>
      <c r="G185" s="852"/>
      <c r="H185" s="852"/>
      <c r="I185" s="852"/>
      <c r="J185" s="838"/>
      <c r="K185" s="838"/>
      <c r="L185" s="852" t="s">
        <v>18</v>
      </c>
      <c r="M185" s="853">
        <f>M181</f>
        <v>3.2</v>
      </c>
    </row>
    <row r="186" spans="1:16">
      <c r="C186" s="893"/>
      <c r="D186" s="826"/>
      <c r="E186" s="790"/>
      <c r="F186" s="790"/>
      <c r="G186" s="700"/>
      <c r="H186" s="700"/>
      <c r="I186" s="700"/>
      <c r="J186" s="700"/>
      <c r="K186" s="700"/>
      <c r="L186" s="700"/>
      <c r="M186" s="876"/>
    </row>
    <row r="187" spans="1:16" ht="40.5" customHeight="1">
      <c r="A187" s="862" t="s">
        <v>12125</v>
      </c>
      <c r="B187" s="835" t="s">
        <v>1</v>
      </c>
      <c r="C187" s="893">
        <v>862</v>
      </c>
      <c r="D187" s="836" t="str">
        <f>PROPER(IF(B187="SANEAGO",VLOOKUP(C187,'SANEAGO-FEV.2016'!A:B,2,0),IF(B187="SINAPI",VLOOKUP(C187,'SINAPI-FEV.2017'!A:D,2,0),IF(B187="Cotação",VLOOKUP(C187,COTAÇÃO!A:D,2,0),IF(B187="Composição",VLOOKUP(C187,COMPOSIÇÃO!A:D,2,0))))))</f>
        <v>Guarda-Corpo De Tubo Industrial  1.1/2" (40 Mm) Chapa 13;  H=1,0 M, C/ Tela Artística   3 X 3 Fio 12, Perfil  U  Dim.  19,05  X 19,05  X 3,17  Mm,  Barra  Retangular  Dim  9,52  X 6,35  Mm,  Fixada  Em  Chapa Metálica Dim: 0,20 X 0,10 X 0,05 Cm, C/ Injenção De Silicone,</v>
      </c>
      <c r="E187" s="837"/>
      <c r="F187" s="837"/>
      <c r="G187" s="852"/>
      <c r="H187" s="852"/>
      <c r="I187" s="852"/>
      <c r="J187" s="838"/>
      <c r="K187" s="838"/>
      <c r="L187" s="852" t="s">
        <v>18</v>
      </c>
      <c r="M187" s="853">
        <v>0</v>
      </c>
    </row>
    <row r="188" spans="1:16" s="863" customFormat="1" ht="9.75" customHeight="1" thickBot="1">
      <c r="A188" s="862"/>
      <c r="B188" s="835"/>
      <c r="C188" s="835"/>
      <c r="D188" s="826"/>
      <c r="E188" s="790"/>
      <c r="F188" s="790"/>
      <c r="G188" s="700"/>
      <c r="H188" s="700"/>
      <c r="I188" s="700"/>
      <c r="J188" s="828"/>
      <c r="K188" s="828"/>
      <c r="L188" s="828"/>
      <c r="M188" s="829"/>
      <c r="N188" s="700"/>
      <c r="P188" s="871"/>
    </row>
    <row r="189" spans="1:16" s="863" customFormat="1" ht="14.25" customHeight="1" thickTop="1" thickBot="1">
      <c r="A189" s="862"/>
      <c r="B189" s="835"/>
      <c r="C189" s="835"/>
      <c r="D189" s="830" t="s">
        <v>53</v>
      </c>
      <c r="E189" s="831"/>
      <c r="F189" s="831"/>
      <c r="G189" s="831"/>
      <c r="H189" s="831"/>
      <c r="I189" s="831"/>
      <c r="J189" s="831"/>
      <c r="K189" s="831"/>
      <c r="L189" s="832" t="s">
        <v>25</v>
      </c>
      <c r="M189" s="833" t="s">
        <v>27</v>
      </c>
      <c r="N189" s="700"/>
      <c r="P189" s="871"/>
    </row>
    <row r="190" spans="1:16" s="863" customFormat="1" ht="24.75" customHeight="1" thickTop="1">
      <c r="A190" s="862"/>
      <c r="B190" s="835"/>
      <c r="C190" s="835"/>
      <c r="D190" s="826"/>
      <c r="E190" s="790"/>
      <c r="F190" s="790"/>
      <c r="G190" s="700" t="s">
        <v>30</v>
      </c>
      <c r="H190" s="700" t="s">
        <v>30</v>
      </c>
      <c r="I190" s="700" t="s">
        <v>21010</v>
      </c>
      <c r="J190" s="700" t="s">
        <v>21011</v>
      </c>
      <c r="K190" s="700"/>
      <c r="L190" s="700"/>
      <c r="M190" s="827"/>
      <c r="N190" s="700"/>
      <c r="P190" s="871"/>
    </row>
    <row r="191" spans="1:16" s="863" customFormat="1" ht="13.5" customHeight="1">
      <c r="A191" s="862"/>
      <c r="B191" s="835"/>
      <c r="C191" s="835"/>
      <c r="D191" s="836" t="s">
        <v>12171</v>
      </c>
      <c r="E191" s="837"/>
      <c r="F191" s="837"/>
      <c r="G191" s="852"/>
      <c r="H191" s="852"/>
      <c r="I191" s="838">
        <f>127.66-17.83-8</f>
        <v>101.83</v>
      </c>
      <c r="J191" s="838">
        <v>54.76</v>
      </c>
      <c r="K191" s="852"/>
      <c r="L191" s="852" t="s">
        <v>21</v>
      </c>
      <c r="M191" s="853">
        <f>I191-J191</f>
        <v>47.07</v>
      </c>
      <c r="N191" s="700"/>
      <c r="P191" s="871"/>
    </row>
    <row r="192" spans="1:16" s="863" customFormat="1" ht="14.25" customHeight="1">
      <c r="A192" s="862"/>
      <c r="B192" s="835"/>
      <c r="C192" s="835"/>
      <c r="D192" s="826"/>
      <c r="E192" s="790"/>
      <c r="F192" s="790"/>
      <c r="G192" s="700" t="s">
        <v>30</v>
      </c>
      <c r="H192" s="700" t="s">
        <v>30</v>
      </c>
      <c r="I192" s="700" t="s">
        <v>12170</v>
      </c>
      <c r="J192" s="700" t="s">
        <v>32</v>
      </c>
      <c r="K192" s="700" t="s">
        <v>30</v>
      </c>
      <c r="L192" s="700"/>
      <c r="M192" s="827"/>
      <c r="N192" s="700"/>
      <c r="P192" s="871"/>
    </row>
    <row r="193" spans="1:16" s="863" customFormat="1" ht="14.25" customHeight="1">
      <c r="A193" s="862"/>
      <c r="B193" s="835"/>
      <c r="C193" s="835"/>
      <c r="D193" s="826"/>
      <c r="E193" s="790"/>
      <c r="F193" s="790"/>
      <c r="G193" s="700"/>
      <c r="H193" s="700" t="s">
        <v>12167</v>
      </c>
      <c r="I193" s="700">
        <v>18.100000000000001</v>
      </c>
      <c r="J193" s="700">
        <v>0.7</v>
      </c>
      <c r="K193" s="700"/>
      <c r="L193" s="700" t="s">
        <v>21</v>
      </c>
      <c r="M193" s="890">
        <f>I193*J193</f>
        <v>12.67</v>
      </c>
      <c r="N193" s="700"/>
      <c r="P193" s="871"/>
    </row>
    <row r="194" spans="1:16" s="863" customFormat="1" ht="14.25" customHeight="1">
      <c r="A194" s="862"/>
      <c r="B194" s="835"/>
      <c r="C194" s="835"/>
      <c r="D194" s="826"/>
      <c r="E194" s="790"/>
      <c r="F194" s="790"/>
      <c r="G194" s="700"/>
      <c r="H194" s="700" t="s">
        <v>12168</v>
      </c>
      <c r="I194" s="700">
        <f>23.2-4.65</f>
        <v>18.549999999999997</v>
      </c>
      <c r="J194" s="700">
        <v>0.7</v>
      </c>
      <c r="K194" s="700"/>
      <c r="L194" s="700" t="s">
        <v>21</v>
      </c>
      <c r="M194" s="890">
        <f>I194*J194</f>
        <v>12.984999999999998</v>
      </c>
      <c r="N194" s="700"/>
      <c r="P194" s="871"/>
    </row>
    <row r="195" spans="1:16" s="863" customFormat="1" ht="14.25" customHeight="1">
      <c r="A195" s="862"/>
      <c r="B195" s="835"/>
      <c r="C195" s="835"/>
      <c r="D195" s="826"/>
      <c r="E195" s="790"/>
      <c r="F195" s="790"/>
      <c r="G195" s="700"/>
      <c r="H195" s="700" t="s">
        <v>12169</v>
      </c>
      <c r="I195" s="700">
        <v>6.95</v>
      </c>
      <c r="J195" s="700">
        <v>0.4</v>
      </c>
      <c r="K195" s="700"/>
      <c r="L195" s="700" t="s">
        <v>21</v>
      </c>
      <c r="M195" s="890">
        <f>I195*J195</f>
        <v>2.7800000000000002</v>
      </c>
      <c r="N195" s="700"/>
      <c r="P195" s="871"/>
    </row>
    <row r="196" spans="1:16" s="863" customFormat="1" ht="17.25" customHeight="1">
      <c r="A196" s="862"/>
      <c r="B196" s="835"/>
      <c r="C196" s="835"/>
      <c r="D196" s="836" t="s">
        <v>56</v>
      </c>
      <c r="E196" s="837"/>
      <c r="F196" s="837"/>
      <c r="G196" s="852"/>
      <c r="H196" s="852"/>
      <c r="I196" s="838"/>
      <c r="J196" s="838"/>
      <c r="K196" s="856" t="s">
        <v>27</v>
      </c>
      <c r="L196" s="856" t="s">
        <v>21</v>
      </c>
      <c r="M196" s="840">
        <f>SUM(M193:M195)</f>
        <v>28.434999999999999</v>
      </c>
      <c r="N196" s="700"/>
      <c r="P196" s="871"/>
    </row>
    <row r="197" spans="1:16" s="863" customFormat="1" ht="13.5" customHeight="1">
      <c r="A197" s="862"/>
      <c r="B197" s="835"/>
      <c r="C197" s="835"/>
      <c r="D197" s="887"/>
      <c r="E197" s="925"/>
      <c r="F197" s="925"/>
      <c r="G197" s="700" t="s">
        <v>30</v>
      </c>
      <c r="H197" s="700" t="s">
        <v>30</v>
      </c>
      <c r="I197" s="700" t="s">
        <v>30</v>
      </c>
      <c r="J197" s="700" t="s">
        <v>30</v>
      </c>
      <c r="K197" s="700" t="s">
        <v>30</v>
      </c>
      <c r="L197" s="700"/>
      <c r="M197" s="827"/>
      <c r="N197" s="700"/>
      <c r="P197" s="871"/>
    </row>
    <row r="198" spans="1:16" s="863" customFormat="1" ht="33.75">
      <c r="A198" s="862" t="s">
        <v>12126</v>
      </c>
      <c r="B198" s="919" t="s">
        <v>70</v>
      </c>
      <c r="C198" s="919">
        <v>87513</v>
      </c>
      <c r="D198" s="836" t="str">
        <f>PROPER(IF(B198="SANEAGO",VLOOKUP(C198,'SANEAGO-FEV.2016'!A:B,2,0),IF(B198="SINAPI",VLOOKUP(C198,'SINAPI-FEV.2017'!A:D,2,0),IF(B198="Cotação",VLOOKUP(C198,COTAÇÃO!A:D,2,0),IF(B198="Composição",VLOOKUP(C198,COMPOSIÇÃO!A:D,2,0))))))</f>
        <v>Alvenaria De Vedação De Blocos Cerâmicos Furados Na Horizontal De 11,5X19X19Cm (Espessura 11,5Cm) De Paredes Com Área Líquida Menor Que 6M² Com Vãos E Argamassa De Assentamento Com Preparo Em Betoneira. Af_06/2014</v>
      </c>
      <c r="E198" s="837"/>
      <c r="F198" s="837"/>
      <c r="G198" s="838"/>
      <c r="H198" s="838"/>
      <c r="I198" s="838"/>
      <c r="J198" s="838"/>
      <c r="K198" s="838"/>
      <c r="L198" s="852" t="s">
        <v>21</v>
      </c>
      <c r="M198" s="853">
        <f>SUM(M191:M191,M196)</f>
        <v>75.504999999999995</v>
      </c>
      <c r="N198" s="700"/>
      <c r="P198" s="871"/>
    </row>
    <row r="199" spans="1:16" s="863" customFormat="1" ht="6" customHeight="1" thickBot="1">
      <c r="A199" s="862"/>
      <c r="B199" s="835"/>
      <c r="C199" s="835"/>
      <c r="D199" s="826"/>
      <c r="E199" s="790"/>
      <c r="F199" s="790"/>
      <c r="G199" s="700"/>
      <c r="H199" s="700"/>
      <c r="I199" s="700"/>
      <c r="J199" s="828"/>
      <c r="K199" s="828"/>
      <c r="L199" s="828"/>
      <c r="M199" s="829"/>
      <c r="N199" s="700"/>
      <c r="P199" s="871"/>
    </row>
    <row r="200" spans="1:16" s="863" customFormat="1" ht="13.5" customHeight="1" thickTop="1" thickBot="1">
      <c r="A200" s="862"/>
      <c r="B200" s="835"/>
      <c r="C200" s="835"/>
      <c r="D200" s="931" t="s">
        <v>54</v>
      </c>
      <c r="E200" s="831"/>
      <c r="F200" s="831"/>
      <c r="G200" s="831"/>
      <c r="H200" s="831"/>
      <c r="I200" s="831"/>
      <c r="J200" s="831"/>
      <c r="K200" s="831"/>
      <c r="L200" s="832" t="s">
        <v>25</v>
      </c>
      <c r="M200" s="833" t="s">
        <v>27</v>
      </c>
      <c r="N200" s="700"/>
      <c r="P200" s="871"/>
    </row>
    <row r="201" spans="1:16" s="863" customFormat="1" ht="13.5" thickTop="1">
      <c r="A201" s="862"/>
      <c r="B201" s="835"/>
      <c r="C201" s="835"/>
      <c r="D201" s="932"/>
      <c r="E201" s="1772" t="s">
        <v>12172</v>
      </c>
      <c r="F201" s="1772"/>
      <c r="G201" s="1772" t="s">
        <v>12173</v>
      </c>
      <c r="H201" s="1772"/>
      <c r="I201" s="1772" t="s">
        <v>12174</v>
      </c>
      <c r="J201" s="1772"/>
      <c r="K201" s="1772" t="s">
        <v>32</v>
      </c>
      <c r="L201" s="1772" t="s">
        <v>12175</v>
      </c>
      <c r="M201" s="1773" t="s">
        <v>12176</v>
      </c>
      <c r="N201" s="700"/>
      <c r="P201" s="871"/>
    </row>
    <row r="202" spans="1:16" s="863" customFormat="1" ht="22.5">
      <c r="A202" s="862"/>
      <c r="B202" s="835"/>
      <c r="C202" s="835"/>
      <c r="D202" s="826"/>
      <c r="E202" s="700" t="s">
        <v>12177</v>
      </c>
      <c r="F202" s="700" t="s">
        <v>20</v>
      </c>
      <c r="G202" s="700" t="s">
        <v>12178</v>
      </c>
      <c r="H202" s="700" t="s">
        <v>43</v>
      </c>
      <c r="I202" s="700" t="s">
        <v>12178</v>
      </c>
      <c r="J202" s="700" t="s">
        <v>43</v>
      </c>
      <c r="K202" s="1704"/>
      <c r="L202" s="1704"/>
      <c r="M202" s="1774"/>
      <c r="N202" s="700"/>
      <c r="P202" s="871"/>
    </row>
    <row r="203" spans="1:16" s="863" customFormat="1">
      <c r="A203" s="862"/>
      <c r="B203" s="835"/>
      <c r="C203" s="835"/>
      <c r="D203" s="888" t="s">
        <v>12182</v>
      </c>
      <c r="E203" s="700" t="s">
        <v>12186</v>
      </c>
      <c r="F203" s="700">
        <f>2*1.2*0.6+0.8*2.1</f>
        <v>3.12</v>
      </c>
      <c r="G203" s="700" t="s">
        <v>12179</v>
      </c>
      <c r="H203" s="828">
        <v>9.1</v>
      </c>
      <c r="I203" s="828" t="s">
        <v>11682</v>
      </c>
      <c r="J203" s="828">
        <v>5</v>
      </c>
      <c r="K203" s="828">
        <v>2.9</v>
      </c>
      <c r="L203" s="933">
        <f>(H203*K203)-F203</f>
        <v>23.269999999999996</v>
      </c>
      <c r="M203" s="934">
        <f>(J203*K203)-2*1.2*0.6</f>
        <v>13.06</v>
      </c>
      <c r="N203" s="700"/>
      <c r="P203" s="871"/>
    </row>
    <row r="204" spans="1:16" s="863" customFormat="1">
      <c r="A204" s="862"/>
      <c r="B204" s="835"/>
      <c r="C204" s="835"/>
      <c r="D204" s="888" t="s">
        <v>12183</v>
      </c>
      <c r="E204" s="700" t="s">
        <v>12187</v>
      </c>
      <c r="F204" s="700">
        <f>0.8*2.1+1.6*1.6</f>
        <v>4.24</v>
      </c>
      <c r="G204" s="700" t="s">
        <v>11682</v>
      </c>
      <c r="H204" s="828">
        <v>11.7</v>
      </c>
      <c r="I204" s="828" t="s">
        <v>11682</v>
      </c>
      <c r="J204" s="828">
        <f>7.3-J205</f>
        <v>5.6999999999999993</v>
      </c>
      <c r="K204" s="828">
        <f>K203</f>
        <v>2.9</v>
      </c>
      <c r="L204" s="933">
        <f>(H204*K204)-F204</f>
        <v>29.689999999999998</v>
      </c>
      <c r="M204" s="934">
        <f>(J204*K204)</f>
        <v>16.529999999999998</v>
      </c>
      <c r="N204" s="700"/>
      <c r="P204" s="871"/>
    </row>
    <row r="205" spans="1:16" s="863" customFormat="1">
      <c r="A205" s="862"/>
      <c r="B205" s="835"/>
      <c r="C205" s="835"/>
      <c r="D205" s="888" t="s">
        <v>12183</v>
      </c>
      <c r="E205" s="700"/>
      <c r="F205" s="700"/>
      <c r="G205" s="700"/>
      <c r="H205" s="828"/>
      <c r="I205" s="828" t="s">
        <v>12180</v>
      </c>
      <c r="J205" s="828">
        <v>1.6</v>
      </c>
      <c r="K205" s="828">
        <f t="shared" ref="K205:K211" si="2">K204</f>
        <v>2.9</v>
      </c>
      <c r="L205" s="933">
        <f>(H205*K205)-F205</f>
        <v>0</v>
      </c>
      <c r="M205" s="934">
        <f>(J205*K205)-1.6*1.6</f>
        <v>2.0799999999999992</v>
      </c>
      <c r="N205" s="700"/>
      <c r="P205" s="871"/>
    </row>
    <row r="206" spans="1:16" s="863" customFormat="1">
      <c r="A206" s="862"/>
      <c r="B206" s="835"/>
      <c r="C206" s="835"/>
      <c r="D206" s="888" t="s">
        <v>12184</v>
      </c>
      <c r="E206" s="700" t="s">
        <v>12188</v>
      </c>
      <c r="F206" s="700">
        <f>0.6*0.6+0.6*2.1</f>
        <v>1.62</v>
      </c>
      <c r="G206" s="700" t="s">
        <v>12179</v>
      </c>
      <c r="H206" s="828">
        <v>5.0999999999999996</v>
      </c>
      <c r="I206" s="828" t="s">
        <v>11682</v>
      </c>
      <c r="J206" s="828">
        <v>1.35</v>
      </c>
      <c r="K206" s="828">
        <f t="shared" si="2"/>
        <v>2.9</v>
      </c>
      <c r="L206" s="933">
        <f t="shared" ref="L206:L213" si="3">(H206*K206)-F206</f>
        <v>13.169999999999998</v>
      </c>
      <c r="M206" s="934">
        <f>(J206*K206)-0.6*0.6</f>
        <v>3.5550000000000002</v>
      </c>
      <c r="N206" s="700"/>
      <c r="P206" s="871"/>
    </row>
    <row r="207" spans="1:16" s="863" customFormat="1">
      <c r="A207" s="862"/>
      <c r="B207" s="835"/>
      <c r="C207" s="835"/>
      <c r="D207" s="888" t="s">
        <v>12185</v>
      </c>
      <c r="E207" s="700" t="s">
        <v>12188</v>
      </c>
      <c r="F207" s="700">
        <f>0.6*0.6+0.6*2.1</f>
        <v>1.62</v>
      </c>
      <c r="G207" s="700" t="s">
        <v>12179</v>
      </c>
      <c r="H207" s="828">
        <v>6.6</v>
      </c>
      <c r="I207" s="828" t="s">
        <v>11682</v>
      </c>
      <c r="J207" s="828">
        <v>2.1</v>
      </c>
      <c r="K207" s="828">
        <f t="shared" si="2"/>
        <v>2.9</v>
      </c>
      <c r="L207" s="933">
        <f t="shared" si="3"/>
        <v>17.519999999999996</v>
      </c>
      <c r="M207" s="934">
        <f>(J207*K207)-0.6*0.6</f>
        <v>5.7299999999999995</v>
      </c>
      <c r="N207" s="700"/>
      <c r="P207" s="871"/>
    </row>
    <row r="208" spans="1:16" s="863" customFormat="1">
      <c r="A208" s="862"/>
      <c r="B208" s="835"/>
      <c r="C208" s="835"/>
      <c r="D208" s="888" t="s">
        <v>12189</v>
      </c>
      <c r="E208" s="700" t="s">
        <v>12190</v>
      </c>
      <c r="F208" s="700">
        <f>1.38*2.3+1.03*2.3</f>
        <v>5.5429999999999993</v>
      </c>
      <c r="G208" s="700" t="s">
        <v>12179</v>
      </c>
      <c r="H208" s="828">
        <v>6.4</v>
      </c>
      <c r="I208" s="828" t="s">
        <v>11682</v>
      </c>
      <c r="J208" s="828">
        <v>3.65</v>
      </c>
      <c r="K208" s="828">
        <f t="shared" si="2"/>
        <v>2.9</v>
      </c>
      <c r="L208" s="933">
        <f t="shared" si="3"/>
        <v>13.016999999999999</v>
      </c>
      <c r="M208" s="934">
        <f>(J208*K208)-1.38*2.3</f>
        <v>7.4109999999999996</v>
      </c>
      <c r="N208" s="700"/>
      <c r="P208" s="871"/>
    </row>
    <row r="209" spans="1:16" s="863" customFormat="1">
      <c r="A209" s="862"/>
      <c r="B209" s="835"/>
      <c r="C209" s="835"/>
      <c r="D209" s="888" t="s">
        <v>12191</v>
      </c>
      <c r="E209" s="700" t="s">
        <v>12192</v>
      </c>
      <c r="F209" s="700">
        <f>1.03*2.3+1.2*0.6</f>
        <v>3.0889999999999995</v>
      </c>
      <c r="G209" s="700" t="s">
        <v>11683</v>
      </c>
      <c r="H209" s="828">
        <v>8.4</v>
      </c>
      <c r="I209" s="828" t="s">
        <v>11682</v>
      </c>
      <c r="J209" s="828">
        <v>4.6500000000000004</v>
      </c>
      <c r="K209" s="828">
        <f t="shared" si="2"/>
        <v>2.9</v>
      </c>
      <c r="L209" s="933">
        <f t="shared" si="3"/>
        <v>21.271000000000001</v>
      </c>
      <c r="M209" s="934">
        <f>(J209*K209)-1.2*0.6</f>
        <v>12.765000000000001</v>
      </c>
      <c r="N209" s="700"/>
      <c r="P209" s="871"/>
    </row>
    <row r="210" spans="1:16" s="863" customFormat="1">
      <c r="A210" s="862"/>
      <c r="B210" s="835"/>
      <c r="C210" s="835"/>
      <c r="D210" s="888" t="s">
        <v>12193</v>
      </c>
      <c r="E210" s="700" t="s">
        <v>12194</v>
      </c>
      <c r="F210" s="700">
        <f>1.6*1.6+1.15*2.9</f>
        <v>5.8949999999999996</v>
      </c>
      <c r="G210" s="700" t="s">
        <v>12179</v>
      </c>
      <c r="H210" s="828">
        <v>11.25</v>
      </c>
      <c r="I210" s="828" t="s">
        <v>11682</v>
      </c>
      <c r="J210" s="828">
        <v>3.45</v>
      </c>
      <c r="K210" s="828">
        <f t="shared" si="2"/>
        <v>2.9</v>
      </c>
      <c r="L210" s="933">
        <f t="shared" si="3"/>
        <v>26.73</v>
      </c>
      <c r="M210" s="934">
        <f>(J210*K210)-F210</f>
        <v>4.1100000000000012</v>
      </c>
      <c r="N210" s="700"/>
      <c r="P210" s="871"/>
    </row>
    <row r="211" spans="1:16" s="863" customFormat="1" ht="33.75">
      <c r="A211" s="862"/>
      <c r="B211" s="835"/>
      <c r="C211" s="835"/>
      <c r="D211" s="888" t="s">
        <v>12195</v>
      </c>
      <c r="E211" s="700" t="s">
        <v>12196</v>
      </c>
      <c r="F211" s="700">
        <f>1.1*2.3+0.8*2.1*2+0.9*2.15+0.6*2.1+1.15*2.9</f>
        <v>12.42</v>
      </c>
      <c r="G211" s="700" t="s">
        <v>11682</v>
      </c>
      <c r="H211" s="828">
        <v>10.199999999999999</v>
      </c>
      <c r="I211" s="828" t="s">
        <v>11682</v>
      </c>
      <c r="J211" s="828">
        <f>1.4*2</f>
        <v>2.8</v>
      </c>
      <c r="K211" s="828">
        <f t="shared" si="2"/>
        <v>2.9</v>
      </c>
      <c r="L211" s="933">
        <f>(H211*K211)-F211</f>
        <v>17.159999999999997</v>
      </c>
      <c r="M211" s="934">
        <f>(J211*K211)</f>
        <v>8.1199999999999992</v>
      </c>
      <c r="N211" s="700"/>
      <c r="P211" s="871"/>
    </row>
    <row r="212" spans="1:16" s="863" customFormat="1">
      <c r="A212" s="862"/>
      <c r="B212" s="835"/>
      <c r="C212" s="835"/>
      <c r="D212" s="888" t="s">
        <v>12197</v>
      </c>
      <c r="E212" s="700">
        <v>0</v>
      </c>
      <c r="F212" s="700">
        <v>0</v>
      </c>
      <c r="G212" s="700" t="s">
        <v>12200</v>
      </c>
      <c r="H212" s="828">
        <v>16.899999999999999</v>
      </c>
      <c r="I212" s="700" t="s">
        <v>11682</v>
      </c>
      <c r="J212" s="828">
        <v>18.100000000000001</v>
      </c>
      <c r="K212" s="828">
        <v>0.9</v>
      </c>
      <c r="L212" s="933">
        <f t="shared" si="3"/>
        <v>15.209999999999999</v>
      </c>
      <c r="M212" s="934">
        <f>(J212*K212)-F212</f>
        <v>16.290000000000003</v>
      </c>
      <c r="N212" s="700"/>
      <c r="P212" s="871"/>
    </row>
    <row r="213" spans="1:16" s="863" customFormat="1">
      <c r="A213" s="862"/>
      <c r="B213" s="835"/>
      <c r="C213" s="835"/>
      <c r="D213" s="888" t="s">
        <v>12198</v>
      </c>
      <c r="E213" s="700">
        <v>0</v>
      </c>
      <c r="F213" s="700">
        <v>0</v>
      </c>
      <c r="G213" s="700" t="s">
        <v>12200</v>
      </c>
      <c r="H213" s="828">
        <v>17.95</v>
      </c>
      <c r="I213" s="700" t="s">
        <v>11682</v>
      </c>
      <c r="J213" s="828">
        <v>18.55</v>
      </c>
      <c r="K213" s="828">
        <v>0.9</v>
      </c>
      <c r="L213" s="933">
        <f t="shared" si="3"/>
        <v>16.155000000000001</v>
      </c>
      <c r="M213" s="934">
        <f>(J213*K213)-F213</f>
        <v>16.695</v>
      </c>
      <c r="N213" s="700"/>
      <c r="P213" s="871"/>
    </row>
    <row r="214" spans="1:16" s="863" customFormat="1">
      <c r="A214" s="862"/>
      <c r="B214" s="835"/>
      <c r="C214" s="835"/>
      <c r="D214" s="888" t="s">
        <v>12199</v>
      </c>
      <c r="E214" s="700">
        <v>0</v>
      </c>
      <c r="F214" s="700">
        <v>0</v>
      </c>
      <c r="G214" s="700" t="s">
        <v>12200</v>
      </c>
      <c r="H214" s="828">
        <v>6.35</v>
      </c>
      <c r="I214" s="700" t="s">
        <v>11682</v>
      </c>
      <c r="J214" s="828">
        <v>6.95</v>
      </c>
      <c r="K214" s="828">
        <v>0.9</v>
      </c>
      <c r="L214" s="933">
        <f>(H214*K214)-F214</f>
        <v>5.7149999999999999</v>
      </c>
      <c r="M214" s="934">
        <f>(J214*K214)-F214</f>
        <v>6.2549999999999999</v>
      </c>
      <c r="N214" s="700"/>
      <c r="P214" s="871"/>
    </row>
    <row r="215" spans="1:16" s="863" customFormat="1">
      <c r="A215" s="862"/>
      <c r="B215" s="835"/>
      <c r="C215" s="835"/>
      <c r="D215" s="888"/>
      <c r="E215" s="700"/>
      <c r="F215" s="700"/>
      <c r="G215" s="700"/>
      <c r="H215" s="828"/>
      <c r="I215" s="700"/>
      <c r="J215" s="828"/>
      <c r="K215" s="828"/>
      <c r="L215" s="933"/>
      <c r="M215" s="934"/>
      <c r="N215" s="700"/>
      <c r="P215" s="871"/>
    </row>
    <row r="216" spans="1:16" s="863" customFormat="1">
      <c r="A216" s="862"/>
      <c r="B216" s="835"/>
      <c r="C216" s="835"/>
      <c r="D216" s="888"/>
      <c r="E216" s="700"/>
      <c r="F216" s="700"/>
      <c r="G216" s="700"/>
      <c r="H216" s="828"/>
      <c r="I216" s="828"/>
      <c r="J216" s="828"/>
      <c r="K216" s="828"/>
      <c r="L216" s="828"/>
      <c r="M216" s="877"/>
      <c r="N216" s="700"/>
      <c r="P216" s="871"/>
    </row>
    <row r="217" spans="1:16" s="863" customFormat="1" ht="45">
      <c r="A217" s="862"/>
      <c r="B217" s="835"/>
      <c r="C217" s="835"/>
      <c r="D217" s="826" t="s">
        <v>12202</v>
      </c>
      <c r="E217" s="790"/>
      <c r="F217" s="790"/>
      <c r="G217" s="790"/>
      <c r="H217" s="790"/>
      <c r="I217" s="790" t="s">
        <v>12181</v>
      </c>
      <c r="J217" s="790"/>
      <c r="K217" s="790" t="s">
        <v>11682</v>
      </c>
      <c r="L217" s="700" t="s">
        <v>21</v>
      </c>
      <c r="M217" s="934">
        <f>SUMIFS(M203:M216,I203:I216,K217)+SUMIFS(L203:L216,G203:G216,K217)</f>
        <v>157.37099999999998</v>
      </c>
      <c r="N217" s="700"/>
      <c r="P217" s="871"/>
    </row>
    <row r="218" spans="1:16" s="863" customFormat="1" ht="33.75">
      <c r="A218" s="862"/>
      <c r="B218" s="835"/>
      <c r="C218" s="835"/>
      <c r="D218" s="826" t="s">
        <v>12203</v>
      </c>
      <c r="E218" s="790"/>
      <c r="F218" s="790"/>
      <c r="G218" s="790"/>
      <c r="H218" s="790"/>
      <c r="I218" s="790" t="s">
        <v>12181</v>
      </c>
      <c r="J218" s="790"/>
      <c r="K218" s="790" t="s">
        <v>12180</v>
      </c>
      <c r="L218" s="700" t="s">
        <v>21</v>
      </c>
      <c r="M218" s="934">
        <f>SUMIFS(M203:M216,I203:I216,K218)+SUMIFS(L203:L216,G203:G216,K218)</f>
        <v>2.0799999999999992</v>
      </c>
      <c r="N218" s="700"/>
      <c r="P218" s="871"/>
    </row>
    <row r="219" spans="1:16" s="863" customFormat="1" ht="45">
      <c r="A219" s="862"/>
      <c r="B219" s="835"/>
      <c r="C219" s="835"/>
      <c r="D219" s="826" t="s">
        <v>12204</v>
      </c>
      <c r="E219" s="790"/>
      <c r="F219" s="790"/>
      <c r="G219" s="790"/>
      <c r="H219" s="790"/>
      <c r="I219" s="790" t="s">
        <v>12181</v>
      </c>
      <c r="J219" s="790"/>
      <c r="K219" s="790" t="s">
        <v>11683</v>
      </c>
      <c r="L219" s="700" t="s">
        <v>21</v>
      </c>
      <c r="M219" s="934">
        <f>SUMIFS(M203:M216,I203:I216,K219)+SUMIFS(L203:L216,G203:G216,K219)</f>
        <v>21.271000000000001</v>
      </c>
      <c r="N219" s="700"/>
      <c r="P219" s="871"/>
    </row>
    <row r="220" spans="1:16" s="863" customFormat="1" ht="56.25">
      <c r="A220" s="862"/>
      <c r="B220" s="835"/>
      <c r="C220" s="835"/>
      <c r="D220" s="826" t="s">
        <v>12205</v>
      </c>
      <c r="E220" s="790"/>
      <c r="F220" s="790"/>
      <c r="G220" s="790"/>
      <c r="H220" s="790"/>
      <c r="I220" s="790" t="s">
        <v>12181</v>
      </c>
      <c r="J220" s="790"/>
      <c r="K220" s="790" t="s">
        <v>12179</v>
      </c>
      <c r="L220" s="700" t="s">
        <v>21</v>
      </c>
      <c r="M220" s="934">
        <f>SUMIFS(M203:M216,I203:I216,K220)+SUMIFS(L203:L216,G203:G216,K220)</f>
        <v>93.706999999999994</v>
      </c>
      <c r="N220" s="700"/>
      <c r="P220" s="871"/>
    </row>
    <row r="221" spans="1:16" s="863" customFormat="1" ht="33.75">
      <c r="A221" s="862"/>
      <c r="B221" s="835"/>
      <c r="C221" s="835"/>
      <c r="D221" s="836" t="s">
        <v>12206</v>
      </c>
      <c r="E221" s="837"/>
      <c r="F221" s="837"/>
      <c r="G221" s="837"/>
      <c r="H221" s="837"/>
      <c r="I221" s="837" t="s">
        <v>12181</v>
      </c>
      <c r="J221" s="837"/>
      <c r="K221" s="837" t="s">
        <v>12200</v>
      </c>
      <c r="L221" s="852" t="s">
        <v>21</v>
      </c>
      <c r="M221" s="935">
        <f>SUMIFS(M204:M217,I204:I217,K221)+SUMIFS(L204:L217,G204:G217,K221)</f>
        <v>37.08</v>
      </c>
      <c r="N221" s="700"/>
      <c r="P221" s="871"/>
    </row>
    <row r="222" spans="1:16" s="863" customFormat="1">
      <c r="A222" s="862"/>
      <c r="B222" s="835"/>
      <c r="C222" s="835"/>
      <c r="D222" s="826"/>
      <c r="E222" s="790"/>
      <c r="F222" s="790"/>
      <c r="G222" s="700" t="s">
        <v>30</v>
      </c>
      <c r="H222" s="700" t="s">
        <v>30</v>
      </c>
      <c r="I222" s="700" t="s">
        <v>30</v>
      </c>
      <c r="J222" s="700" t="s">
        <v>30</v>
      </c>
      <c r="K222" s="700" t="s">
        <v>12209</v>
      </c>
      <c r="L222" s="700" t="s">
        <v>30</v>
      </c>
      <c r="M222" s="876" t="s">
        <v>30</v>
      </c>
      <c r="N222" s="700"/>
      <c r="P222" s="871"/>
    </row>
    <row r="223" spans="1:16" s="863" customFormat="1">
      <c r="A223" s="862"/>
      <c r="B223" s="835"/>
      <c r="C223" s="835"/>
      <c r="D223" s="826"/>
      <c r="E223" s="790"/>
      <c r="F223" s="790"/>
      <c r="G223" s="700"/>
      <c r="H223" s="700"/>
      <c r="I223" s="700"/>
      <c r="J223" s="854" t="s">
        <v>12182</v>
      </c>
      <c r="K223" s="700">
        <v>4.8499999999999996</v>
      </c>
      <c r="L223" s="700" t="s">
        <v>21</v>
      </c>
      <c r="M223" s="829">
        <f>K223</f>
        <v>4.8499999999999996</v>
      </c>
      <c r="N223" s="700"/>
      <c r="P223" s="871"/>
    </row>
    <row r="224" spans="1:16" s="863" customFormat="1">
      <c r="A224" s="862"/>
      <c r="B224" s="835"/>
      <c r="C224" s="835"/>
      <c r="D224" s="826"/>
      <c r="E224" s="790"/>
      <c r="F224" s="790"/>
      <c r="G224" s="700"/>
      <c r="H224" s="700"/>
      <c r="I224" s="700"/>
      <c r="J224" s="854" t="s">
        <v>12183</v>
      </c>
      <c r="K224" s="700">
        <v>8.5500000000000007</v>
      </c>
      <c r="L224" s="700" t="s">
        <v>21</v>
      </c>
      <c r="M224" s="829">
        <f t="shared" ref="M224:M231" si="4">K224</f>
        <v>8.5500000000000007</v>
      </c>
      <c r="N224" s="700"/>
      <c r="P224" s="871"/>
    </row>
    <row r="225" spans="1:16" s="863" customFormat="1">
      <c r="A225" s="862"/>
      <c r="B225" s="835"/>
      <c r="C225" s="835"/>
      <c r="D225" s="826"/>
      <c r="E225" s="790"/>
      <c r="F225" s="790"/>
      <c r="G225" s="700"/>
      <c r="H225" s="700"/>
      <c r="I225" s="700"/>
      <c r="J225" s="854" t="s">
        <v>12184</v>
      </c>
      <c r="K225" s="700">
        <v>1.76</v>
      </c>
      <c r="L225" s="700" t="s">
        <v>21</v>
      </c>
      <c r="M225" s="829">
        <f t="shared" si="4"/>
        <v>1.76</v>
      </c>
      <c r="N225" s="700"/>
      <c r="P225" s="871"/>
    </row>
    <row r="226" spans="1:16" s="863" customFormat="1">
      <c r="A226" s="862"/>
      <c r="B226" s="835"/>
      <c r="C226" s="835"/>
      <c r="D226" s="826"/>
      <c r="E226" s="790"/>
      <c r="F226" s="790"/>
      <c r="G226" s="700"/>
      <c r="H226" s="700"/>
      <c r="I226" s="700"/>
      <c r="J226" s="854" t="s">
        <v>12185</v>
      </c>
      <c r="K226" s="700">
        <v>2.63</v>
      </c>
      <c r="L226" s="700" t="s">
        <v>21</v>
      </c>
      <c r="M226" s="829">
        <f t="shared" si="4"/>
        <v>2.63</v>
      </c>
      <c r="N226" s="700"/>
      <c r="P226" s="871"/>
    </row>
    <row r="227" spans="1:16" s="863" customFormat="1">
      <c r="A227" s="862"/>
      <c r="B227" s="835"/>
      <c r="C227" s="835"/>
      <c r="D227" s="826"/>
      <c r="E227" s="790"/>
      <c r="F227" s="790"/>
      <c r="G227" s="700"/>
      <c r="H227" s="700"/>
      <c r="I227" s="700"/>
      <c r="J227" s="854" t="s">
        <v>12189</v>
      </c>
      <c r="K227" s="700">
        <v>2.5</v>
      </c>
      <c r="L227" s="700" t="s">
        <v>21</v>
      </c>
      <c r="M227" s="829">
        <f t="shared" si="4"/>
        <v>2.5</v>
      </c>
      <c r="N227" s="700"/>
      <c r="P227" s="871"/>
    </row>
    <row r="228" spans="1:16" s="863" customFormat="1">
      <c r="A228" s="862"/>
      <c r="B228" s="835"/>
      <c r="C228" s="835"/>
      <c r="D228" s="826"/>
      <c r="E228" s="790"/>
      <c r="F228" s="790"/>
      <c r="G228" s="700"/>
      <c r="H228" s="700"/>
      <c r="I228" s="700"/>
      <c r="J228" s="854" t="s">
        <v>12191</v>
      </c>
      <c r="K228" s="700">
        <v>4.3499999999999996</v>
      </c>
      <c r="L228" s="700" t="s">
        <v>21</v>
      </c>
      <c r="M228" s="829">
        <f t="shared" si="4"/>
        <v>4.3499999999999996</v>
      </c>
      <c r="N228" s="700"/>
      <c r="P228" s="871"/>
    </row>
    <row r="229" spans="1:16" s="863" customFormat="1" ht="22.5">
      <c r="A229" s="862"/>
      <c r="B229" s="835"/>
      <c r="C229" s="835"/>
      <c r="D229" s="826"/>
      <c r="E229" s="790"/>
      <c r="F229" s="790"/>
      <c r="G229" s="700"/>
      <c r="H229" s="700"/>
      <c r="I229" s="700"/>
      <c r="J229" s="854" t="s">
        <v>12193</v>
      </c>
      <c r="K229" s="700">
        <v>7.75</v>
      </c>
      <c r="L229" s="700" t="s">
        <v>21</v>
      </c>
      <c r="M229" s="829">
        <f t="shared" si="4"/>
        <v>7.75</v>
      </c>
      <c r="N229" s="700"/>
      <c r="P229" s="871"/>
    </row>
    <row r="230" spans="1:16" s="863" customFormat="1">
      <c r="A230" s="862"/>
      <c r="B230" s="835"/>
      <c r="C230" s="835"/>
      <c r="D230" s="826"/>
      <c r="E230" s="790"/>
      <c r="F230" s="790"/>
      <c r="G230" s="700"/>
      <c r="H230" s="700"/>
      <c r="I230" s="700"/>
      <c r="J230" s="854" t="s">
        <v>12195</v>
      </c>
      <c r="K230" s="700">
        <v>6.32</v>
      </c>
      <c r="L230" s="700"/>
      <c r="M230" s="829">
        <f t="shared" si="4"/>
        <v>6.32</v>
      </c>
      <c r="N230" s="700"/>
      <c r="P230" s="871"/>
    </row>
    <row r="231" spans="1:16" s="863" customFormat="1">
      <c r="A231" s="862"/>
      <c r="B231" s="835"/>
      <c r="C231" s="835"/>
      <c r="D231" s="826"/>
      <c r="E231" s="790"/>
      <c r="F231" s="790"/>
      <c r="G231" s="700"/>
      <c r="H231" s="700"/>
      <c r="I231" s="700"/>
      <c r="J231" s="854" t="s">
        <v>12207</v>
      </c>
      <c r="K231" s="700">
        <v>6.82</v>
      </c>
      <c r="L231" s="700" t="s">
        <v>21</v>
      </c>
      <c r="M231" s="829">
        <f t="shared" si="4"/>
        <v>6.82</v>
      </c>
      <c r="N231" s="700"/>
      <c r="P231" s="871"/>
    </row>
    <row r="232" spans="1:16" s="863" customFormat="1" ht="25.5" customHeight="1">
      <c r="A232" s="862" t="s">
        <v>12208</v>
      </c>
      <c r="B232" s="835"/>
      <c r="C232" s="835"/>
      <c r="D232" s="826" t="s">
        <v>12210</v>
      </c>
      <c r="E232" s="790"/>
      <c r="F232" s="790"/>
      <c r="G232" s="700"/>
      <c r="H232" s="700"/>
      <c r="I232" s="700"/>
      <c r="J232" s="700"/>
      <c r="K232" s="700"/>
      <c r="L232" s="700"/>
      <c r="M232" s="829"/>
      <c r="N232" s="700"/>
      <c r="P232" s="871"/>
    </row>
    <row r="233" spans="1:16" s="863" customFormat="1" ht="13.5" customHeight="1">
      <c r="A233" s="862"/>
      <c r="B233" s="835"/>
      <c r="C233" s="835"/>
      <c r="D233" s="836" t="s">
        <v>11733</v>
      </c>
      <c r="E233" s="837"/>
      <c r="F233" s="837"/>
      <c r="G233" s="852"/>
      <c r="H233" s="838"/>
      <c r="I233" s="852"/>
      <c r="J233" s="838"/>
      <c r="K233" s="856" t="s">
        <v>27</v>
      </c>
      <c r="L233" s="856" t="s">
        <v>21</v>
      </c>
      <c r="M233" s="840">
        <f>SUM(M223:M231)</f>
        <v>45.53</v>
      </c>
      <c r="N233" s="700"/>
      <c r="P233" s="871"/>
    </row>
    <row r="234" spans="1:16" s="863" customFormat="1" ht="25.5" customHeight="1">
      <c r="A234" s="862"/>
      <c r="B234" s="835"/>
      <c r="C234" s="835"/>
      <c r="D234" s="826"/>
      <c r="E234" s="790"/>
      <c r="F234" s="790"/>
      <c r="G234" s="700" t="s">
        <v>30</v>
      </c>
      <c r="H234" s="700" t="s">
        <v>30</v>
      </c>
      <c r="I234" s="700" t="s">
        <v>30</v>
      </c>
      <c r="J234" s="700" t="s">
        <v>30</v>
      </c>
      <c r="K234" s="700" t="s">
        <v>30</v>
      </c>
      <c r="L234" s="700" t="s">
        <v>30</v>
      </c>
      <c r="M234" s="827"/>
      <c r="N234" s="700"/>
      <c r="P234" s="871"/>
    </row>
    <row r="235" spans="1:16" s="863" customFormat="1" ht="33.75">
      <c r="A235" s="862" t="s">
        <v>12127</v>
      </c>
      <c r="B235" s="835" t="s">
        <v>70</v>
      </c>
      <c r="C235" s="835">
        <v>87908</v>
      </c>
      <c r="D235" s="836" t="str">
        <f>PROPER(IF(B235="SANEAGO",VLOOKUP(C235,'SANEAGO-FEV.2016'!A:B,2,0),IF(B235="SINAPI",VLOOKUP(C235,'SINAPI-FEV.2017'!A:D,2,0),IF(B235="Cotação",VLOOKUP(C235,COTAÇÃO!A:D,2,0),IF(B235="Composição",VLOOKUP(C235,COMPOSIÇÃO!A:D,2,0))))))</f>
        <v>Chapisco Aplicado Em Alvenaria (Com Presença De Vãos) E Estruturas De Concreto De Fachada, Com Equipamento De Projeção.  Argamassa Traço 1:3 Com Preparo Em Betoneira 400 L. Af_06/2014</v>
      </c>
      <c r="E235" s="837"/>
      <c r="F235" s="837"/>
      <c r="G235" s="838"/>
      <c r="H235" s="838"/>
      <c r="I235" s="838"/>
      <c r="J235" s="1759" t="s">
        <v>27</v>
      </c>
      <c r="K235" s="1759"/>
      <c r="L235" s="852" t="s">
        <v>21</v>
      </c>
      <c r="M235" s="853">
        <f>SUM(L203:L215,M203:M215)</f>
        <v>311.50900000000001</v>
      </c>
      <c r="N235" s="700"/>
      <c r="P235" s="871"/>
    </row>
    <row r="236" spans="1:16" s="863" customFormat="1" ht="13.5" customHeight="1">
      <c r="A236" s="862"/>
      <c r="B236" s="835"/>
      <c r="C236" s="835"/>
      <c r="D236" s="826"/>
      <c r="E236" s="790"/>
      <c r="F236" s="790"/>
      <c r="G236" s="700" t="s">
        <v>30</v>
      </c>
      <c r="H236" s="700" t="s">
        <v>30</v>
      </c>
      <c r="I236" s="700" t="s">
        <v>30</v>
      </c>
      <c r="J236" s="700" t="s">
        <v>30</v>
      </c>
      <c r="K236" s="700" t="s">
        <v>30</v>
      </c>
      <c r="L236" s="700" t="s">
        <v>30</v>
      </c>
      <c r="M236" s="876" t="s">
        <v>30</v>
      </c>
      <c r="N236" s="700"/>
      <c r="P236" s="871"/>
    </row>
    <row r="237" spans="1:16" s="863" customFormat="1" ht="24" customHeight="1">
      <c r="A237" s="862" t="s">
        <v>12128</v>
      </c>
      <c r="B237" s="835" t="s">
        <v>70</v>
      </c>
      <c r="C237" s="835">
        <v>87882</v>
      </c>
      <c r="D237" s="836" t="str">
        <f>PROPER(IF(B237="SANEAGO",VLOOKUP(C237,'SANEAGO-FEV.2016'!A:B,2,0),IF(B237="SINAPI",VLOOKUP(C237,'SINAPI-FEV.2017'!A:D,2,0),IF(B237="Cotação",VLOOKUP(C237,COTAÇÃO!A:D,2,0),IF(B237="Composição",VLOOKUP(C237,COMPOSIÇÃO!A:D,2,0))))))</f>
        <v>Chapisco Aplicado No Teto, Com Rolo Para Textura Acrílica. Argamassa Traço 1:4 E Emulsão Polimérica (Adesivo) Com Preparo Em Betoneira 400L. Af_06/2014</v>
      </c>
      <c r="E237" s="837"/>
      <c r="F237" s="837"/>
      <c r="G237" s="852"/>
      <c r="H237" s="852"/>
      <c r="I237" s="852"/>
      <c r="J237" s="852"/>
      <c r="K237" s="936" t="s">
        <v>12211</v>
      </c>
      <c r="L237" s="852" t="s">
        <v>21</v>
      </c>
      <c r="M237" s="937">
        <f>M233</f>
        <v>45.53</v>
      </c>
      <c r="N237" s="700"/>
      <c r="P237" s="871"/>
    </row>
    <row r="238" spans="1:16" s="863" customFormat="1">
      <c r="A238" s="862"/>
      <c r="B238" s="835"/>
      <c r="C238" s="835"/>
      <c r="D238" s="826"/>
      <c r="E238" s="790"/>
      <c r="F238" s="790"/>
      <c r="G238" s="700" t="s">
        <v>30</v>
      </c>
      <c r="H238" s="700" t="s">
        <v>30</v>
      </c>
      <c r="I238" s="700" t="s">
        <v>11682</v>
      </c>
      <c r="J238" s="700" t="s">
        <v>12180</v>
      </c>
      <c r="K238" s="700" t="s">
        <v>12179</v>
      </c>
      <c r="L238" s="700" t="s">
        <v>30</v>
      </c>
      <c r="M238" s="827" t="s">
        <v>30</v>
      </c>
      <c r="N238" s="700"/>
      <c r="P238" s="871"/>
    </row>
    <row r="239" spans="1:16" s="863" customFormat="1" ht="45">
      <c r="A239" s="862" t="s">
        <v>12129</v>
      </c>
      <c r="B239" s="835" t="s">
        <v>70</v>
      </c>
      <c r="C239" s="835">
        <v>87527</v>
      </c>
      <c r="D239" s="836" t="str">
        <f>PROPER(IF(B239="SANEAGO",VLOOKUP(C239,'SANEAGO-FEV.2016'!A:B,2,0),IF(B239="SINAPI",VLOOKUP(C239,'SINAPI-FEV.2017'!A:D,2,0),IF(B239="Cotação",VLOOKUP(C239,COTAÇÃO!A:D,2,0),IF(B239="Composição",VLOOKUP(C239,COMPOSIÇÃO!A:D,2,0))))))</f>
        <v>Emboço, Para Recebimento De Cerâmica, Em Argamassa Traço 1:2:8, Preparo Mecânico Com Betoneira 400L, Aplicado Manualmente Em Faces Internas De Paredes, Para Ambiente Com Área Menor Que 5M2, Espessura De 20Mm, Com Execução De Taliscas. Af_06/2014</v>
      </c>
      <c r="E239" s="837"/>
      <c r="F239" s="837"/>
      <c r="G239" s="852"/>
      <c r="H239" s="852"/>
      <c r="I239" s="838">
        <f>M217</f>
        <v>157.37099999999998</v>
      </c>
      <c r="J239" s="838">
        <f>M218</f>
        <v>2.0799999999999992</v>
      </c>
      <c r="K239" s="838">
        <f>M220</f>
        <v>93.706999999999994</v>
      </c>
      <c r="L239" s="852" t="s">
        <v>21</v>
      </c>
      <c r="M239" s="853">
        <f>SUM(I239:K239)</f>
        <v>253.15799999999999</v>
      </c>
      <c r="N239" s="700"/>
      <c r="P239" s="871"/>
    </row>
    <row r="240" spans="1:16" s="863" customFormat="1">
      <c r="A240" s="862"/>
      <c r="B240" s="835"/>
      <c r="C240" s="835"/>
      <c r="D240" s="826"/>
      <c r="E240" s="790"/>
      <c r="F240" s="790"/>
      <c r="G240" s="700" t="s">
        <v>30</v>
      </c>
      <c r="H240" s="700" t="s">
        <v>30</v>
      </c>
      <c r="I240" s="700" t="s">
        <v>11683</v>
      </c>
      <c r="J240" s="700" t="s">
        <v>12200</v>
      </c>
      <c r="K240" s="700" t="s">
        <v>36</v>
      </c>
      <c r="L240" s="700" t="s">
        <v>30</v>
      </c>
      <c r="M240" s="876" t="s">
        <v>30</v>
      </c>
      <c r="N240" s="700"/>
      <c r="P240" s="871"/>
    </row>
    <row r="241" spans="1:16" s="863" customFormat="1" ht="33.75">
      <c r="A241" s="862" t="s">
        <v>12130</v>
      </c>
      <c r="B241" s="835" t="s">
        <v>70</v>
      </c>
      <c r="C241" s="835">
        <v>87296</v>
      </c>
      <c r="D241" s="836" t="str">
        <f>PROPER(IF(B241="SANEAGO",VLOOKUP(C241,'SANEAGO-FEV.2016'!A:B,2,0),IF(B241="SINAPI",VLOOKUP(C241,'SINAPI-FEV.2017'!A:D,2,0),IF(B241="Cotação",VLOOKUP(C241,COTAÇÃO!A:D,2,0),IF(B241="Composição",VLOOKUP(C241,COMPOSIÇÃO!A:D,2,0))))))</f>
        <v>Argamassa Traço 1:3:12 (Cimento, Cal E Areia Média) Para Emboço/Massa Única/Assentamento De Alvenaria De Vedação, Preparo Mecânico Com Betoneira 600 L. Af_06/2014</v>
      </c>
      <c r="E241" s="837"/>
      <c r="F241" s="837"/>
      <c r="G241" s="852"/>
      <c r="H241" s="852"/>
      <c r="I241" s="838">
        <f>M219</f>
        <v>21.271000000000001</v>
      </c>
      <c r="J241" s="838">
        <f>M221</f>
        <v>37.08</v>
      </c>
      <c r="K241" s="913">
        <v>2.5000000000000001E-2</v>
      </c>
      <c r="L241" s="852" t="s">
        <v>20309</v>
      </c>
      <c r="M241" s="853">
        <f>SUM(G241:J241)*K241</f>
        <v>1.4587750000000002</v>
      </c>
      <c r="N241" s="700"/>
      <c r="P241" s="871"/>
    </row>
    <row r="242" spans="1:16" s="863" customFormat="1" ht="12.75" customHeight="1" thickBot="1">
      <c r="A242" s="862"/>
      <c r="B242" s="835"/>
      <c r="C242" s="835"/>
      <c r="D242" s="826"/>
      <c r="E242" s="790"/>
      <c r="F242" s="790"/>
      <c r="G242" s="700"/>
      <c r="H242" s="700"/>
      <c r="I242" s="700"/>
      <c r="J242" s="828"/>
      <c r="K242" s="828"/>
      <c r="L242" s="828"/>
      <c r="M242" s="829"/>
      <c r="N242" s="700"/>
      <c r="P242" s="871"/>
    </row>
    <row r="243" spans="1:16" s="863" customFormat="1" ht="14.25" thickTop="1" thickBot="1">
      <c r="A243" s="862"/>
      <c r="B243" s="835"/>
      <c r="C243" s="835"/>
      <c r="D243" s="830" t="s">
        <v>55</v>
      </c>
      <c r="E243" s="831"/>
      <c r="F243" s="831"/>
      <c r="G243" s="831"/>
      <c r="H243" s="831"/>
      <c r="I243" s="831"/>
      <c r="J243" s="831"/>
      <c r="K243" s="831"/>
      <c r="L243" s="832" t="s">
        <v>25</v>
      </c>
      <c r="M243" s="833" t="s">
        <v>27</v>
      </c>
      <c r="N243" s="700"/>
      <c r="P243" s="871"/>
    </row>
    <row r="244" spans="1:16" s="863" customFormat="1" ht="13.5" thickTop="1">
      <c r="A244" s="862"/>
      <c r="B244" s="835"/>
      <c r="C244" s="835"/>
      <c r="D244" s="826"/>
      <c r="E244" s="790"/>
      <c r="F244" s="790"/>
      <c r="G244" s="700" t="s">
        <v>30</v>
      </c>
      <c r="H244" s="700" t="s">
        <v>30</v>
      </c>
      <c r="I244" s="700" t="s">
        <v>30</v>
      </c>
      <c r="J244" s="700" t="s">
        <v>30</v>
      </c>
      <c r="K244" s="700" t="s">
        <v>11683</v>
      </c>
      <c r="L244" s="700" t="s">
        <v>30</v>
      </c>
      <c r="M244" s="876" t="s">
        <v>30</v>
      </c>
      <c r="N244" s="700"/>
      <c r="P244" s="871"/>
    </row>
    <row r="245" spans="1:16" s="863" customFormat="1">
      <c r="A245" s="862" t="s">
        <v>12131</v>
      </c>
      <c r="B245" s="835" t="s">
        <v>70</v>
      </c>
      <c r="C245" s="835">
        <v>88487</v>
      </c>
      <c r="D245" s="836" t="str">
        <f>PROPER(IF(B245="SANEAGO",VLOOKUP(C245,'SANEAGO-FEV.2016'!A:B,2,0),IF(B245="SINAPI",VLOOKUP(C245,'SINAPI-FEV.2017'!A:D,2,0),IF(B245="Cotação",VLOOKUP(C245,COTAÇÃO!A:D,2,0),IF(B245="Composição",VLOOKUP(C245,COMPOSIÇÃO!A:D,2,0))))))</f>
        <v>Aplicação Manual De Pintura Com Tinta Látex Pva Em Paredes, Duas Demãos. Af_06/2014</v>
      </c>
      <c r="E245" s="837"/>
      <c r="F245" s="837"/>
      <c r="G245" s="838"/>
      <c r="H245" s="838"/>
      <c r="I245" s="838"/>
      <c r="J245" s="838"/>
      <c r="K245" s="838">
        <f>M219</f>
        <v>21.271000000000001</v>
      </c>
      <c r="L245" s="852" t="s">
        <v>21</v>
      </c>
      <c r="M245" s="853">
        <f>SUM(G245:K245)</f>
        <v>21.271000000000001</v>
      </c>
      <c r="N245" s="700"/>
      <c r="P245" s="871"/>
    </row>
    <row r="246" spans="1:16" s="863" customFormat="1">
      <c r="A246" s="862"/>
      <c r="B246" s="835"/>
      <c r="C246" s="835"/>
      <c r="D246" s="826"/>
      <c r="E246" s="790"/>
      <c r="F246" s="790"/>
      <c r="G246" s="700" t="s">
        <v>30</v>
      </c>
      <c r="H246" s="700" t="s">
        <v>30</v>
      </c>
      <c r="I246" s="700" t="s">
        <v>30</v>
      </c>
      <c r="J246" s="700" t="s">
        <v>30</v>
      </c>
      <c r="K246" s="700" t="s">
        <v>12200</v>
      </c>
      <c r="L246" s="700" t="s">
        <v>30</v>
      </c>
      <c r="M246" s="876" t="s">
        <v>30</v>
      </c>
      <c r="N246" s="700"/>
      <c r="P246" s="871"/>
    </row>
    <row r="247" spans="1:16" s="863" customFormat="1" ht="22.5">
      <c r="A247" s="862" t="s">
        <v>12212</v>
      </c>
      <c r="B247" s="835" t="s">
        <v>70</v>
      </c>
      <c r="C247" s="835">
        <v>88489</v>
      </c>
      <c r="D247" s="836" t="str">
        <f>PROPER(IF(B247="SANEAGO",VLOOKUP(C247,'SANEAGO-FEV.2016'!A:B,2,0),IF(B247="SINAPI",VLOOKUP(C247,'SINAPI-FEV.2017'!A:D,2,0),IF(B247="Cotação",VLOOKUP(C247,COTAÇÃO!A:D,2,0),IF(B247="Composição",VLOOKUP(C247,COMPOSIÇÃO!A:D,2,0))))))</f>
        <v>Aplicação Manual De Pintura Com Tinta Látex Acrílica Em Paredes, Duas Demãos. Af_06/2014</v>
      </c>
      <c r="E247" s="837"/>
      <c r="F247" s="837"/>
      <c r="G247" s="838"/>
      <c r="H247" s="838"/>
      <c r="I247" s="838"/>
      <c r="J247" s="838"/>
      <c r="K247" s="838">
        <f>M221</f>
        <v>37.08</v>
      </c>
      <c r="L247" s="852" t="s">
        <v>21</v>
      </c>
      <c r="M247" s="853">
        <f>SUM(G247:K247)</f>
        <v>37.08</v>
      </c>
      <c r="N247" s="700"/>
      <c r="P247" s="871"/>
    </row>
    <row r="248" spans="1:16" s="863" customFormat="1">
      <c r="A248" s="862"/>
      <c r="B248" s="835"/>
      <c r="C248" s="835"/>
      <c r="D248" s="826"/>
      <c r="E248" s="790"/>
      <c r="F248" s="790"/>
      <c r="G248" s="700" t="s">
        <v>30</v>
      </c>
      <c r="H248" s="700" t="s">
        <v>30</v>
      </c>
      <c r="I248" s="700" t="s">
        <v>30</v>
      </c>
      <c r="J248" s="700" t="s">
        <v>11682</v>
      </c>
      <c r="K248" s="700" t="s">
        <v>12180</v>
      </c>
      <c r="L248" s="700" t="s">
        <v>30</v>
      </c>
      <c r="M248" s="876" t="s">
        <v>30</v>
      </c>
      <c r="N248" s="700"/>
      <c r="P248" s="871"/>
    </row>
    <row r="249" spans="1:16" s="863" customFormat="1">
      <c r="A249" s="862" t="s">
        <v>12213</v>
      </c>
      <c r="B249" s="835" t="s">
        <v>70</v>
      </c>
      <c r="C249" s="835">
        <v>36881</v>
      </c>
      <c r="D249" s="836" t="str">
        <f>PROPER(IF(B249="SANEAGO",VLOOKUP(C249,'SANEAGO-FEV.2016'!A:B,2,0),IF(B249="SINAPI",VLOOKUP(C249,'SINAPI-FEV.2017'!A:D,2,0),IF(B249="Cotação",VLOOKUP(C249,COTAÇÃO!A:D,2,0),IF(B249="Composição",VLOOKUP(C249,COMPOSIÇÃO!A:D,2,0))))))</f>
        <v>Pastilha Ceramica/Porcelana, Revest Int/Ext E  Piscina, Cores Frias *5 X 5* Cm</v>
      </c>
      <c r="E249" s="837"/>
      <c r="F249" s="837"/>
      <c r="G249" s="838"/>
      <c r="H249" s="838"/>
      <c r="I249" s="838"/>
      <c r="J249" s="838">
        <f>M217</f>
        <v>157.37099999999998</v>
      </c>
      <c r="K249" s="838">
        <f>M218</f>
        <v>2.0799999999999992</v>
      </c>
      <c r="L249" s="852" t="s">
        <v>21</v>
      </c>
      <c r="M249" s="853">
        <f>SUM(I249:K249)</f>
        <v>159.45099999999999</v>
      </c>
      <c r="N249" s="700"/>
      <c r="P249" s="871"/>
    </row>
    <row r="250" spans="1:16" s="863" customFormat="1">
      <c r="A250" s="862"/>
      <c r="B250" s="835"/>
      <c r="C250" s="835"/>
      <c r="D250" s="938"/>
      <c r="E250" s="883"/>
      <c r="F250" s="883"/>
      <c r="G250" s="700" t="s">
        <v>30</v>
      </c>
      <c r="H250" s="700" t="s">
        <v>30</v>
      </c>
      <c r="I250" s="700" t="s">
        <v>30</v>
      </c>
      <c r="J250" s="700" t="s">
        <v>30</v>
      </c>
      <c r="K250" s="700" t="s">
        <v>12179</v>
      </c>
      <c r="L250" s="700" t="s">
        <v>30</v>
      </c>
      <c r="M250" s="876" t="s">
        <v>30</v>
      </c>
      <c r="N250" s="700"/>
      <c r="P250" s="871"/>
    </row>
    <row r="251" spans="1:16" s="863" customFormat="1" ht="33.75">
      <c r="A251" s="862" t="s">
        <v>12214</v>
      </c>
      <c r="B251" s="835" t="s">
        <v>70</v>
      </c>
      <c r="C251" s="835">
        <v>87269</v>
      </c>
      <c r="D251" s="836" t="str">
        <f>PROPER(IF(B251="SANEAGO",VLOOKUP(C251,'SANEAGO-FEV.2016'!A:B,2,0),IF(B251="SINAPI",VLOOKUP(C251,'SINAPI-FEV.2017'!A:D,2,0),IF(B251="Cotação",VLOOKUP(C251,COTAÇÃO!A:D,2,0),IF(B251="Composição",VLOOKUP(C251,COMPOSIÇÃO!A:D,2,0))))))</f>
        <v>Revestimento Cerâmico Para Paredes Internas Com Placas Tipo Grês Ou Semi-Grês De Dimensões 25X35 Cm Aplicadas Em Ambientes De Área Maior Que 5 M² Na Altura Inteira Das Paredes. Af_06/2014</v>
      </c>
      <c r="E251" s="837"/>
      <c r="F251" s="837"/>
      <c r="G251" s="838"/>
      <c r="H251" s="838"/>
      <c r="I251" s="838"/>
      <c r="J251" s="838"/>
      <c r="K251" s="838">
        <f>M220</f>
        <v>93.706999999999994</v>
      </c>
      <c r="L251" s="852" t="s">
        <v>21</v>
      </c>
      <c r="M251" s="853">
        <f>SUM(H251:K251)</f>
        <v>93.706999999999994</v>
      </c>
      <c r="N251" s="700"/>
      <c r="P251" s="871"/>
    </row>
    <row r="252" spans="1:16" s="863" customFormat="1">
      <c r="A252" s="862"/>
      <c r="B252" s="835"/>
      <c r="C252" s="835"/>
      <c r="D252" s="826"/>
      <c r="E252" s="790"/>
      <c r="F252" s="790"/>
      <c r="G252" s="700" t="s">
        <v>30</v>
      </c>
      <c r="H252" s="700" t="s">
        <v>30</v>
      </c>
      <c r="I252" s="700" t="s">
        <v>30</v>
      </c>
      <c r="J252" s="700" t="s">
        <v>30</v>
      </c>
      <c r="K252" s="700" t="s">
        <v>12295</v>
      </c>
      <c r="L252" s="700" t="s">
        <v>30</v>
      </c>
      <c r="M252" s="876" t="s">
        <v>30</v>
      </c>
      <c r="N252" s="700"/>
      <c r="P252" s="871"/>
    </row>
    <row r="253" spans="1:16" s="863" customFormat="1">
      <c r="A253" s="862" t="s">
        <v>12297</v>
      </c>
      <c r="B253" s="835" t="s">
        <v>70</v>
      </c>
      <c r="C253" s="835">
        <v>88486</v>
      </c>
      <c r="D253" s="836" t="str">
        <f>PROPER(IF(B253="SANEAGO",VLOOKUP(C253,'SANEAGO-FEV.2016'!A:B,2,0),IF(B253="SINAPI",VLOOKUP(C253,'SINAPI-FEV.2017'!A:D,2,0),IF(B253="Cotação",VLOOKUP(C253,COTAÇÃO!A:D,2,0),IF(B253="Composição",VLOOKUP(C253,COMPOSIÇÃO!A:D,2,0))))))</f>
        <v>Aplicação Manual De Pintura Com Tinta Látex Pva Em Teto, Duas Demãos. Af_06/2014</v>
      </c>
      <c r="E253" s="837"/>
      <c r="F253" s="837"/>
      <c r="G253" s="838"/>
      <c r="H253" s="838"/>
      <c r="I253" s="838"/>
      <c r="J253" s="838"/>
      <c r="K253" s="838">
        <f>M237</f>
        <v>45.53</v>
      </c>
      <c r="L253" s="852" t="s">
        <v>21</v>
      </c>
      <c r="M253" s="853">
        <f>SUM(I253:K253)</f>
        <v>45.53</v>
      </c>
      <c r="N253" s="700"/>
      <c r="P253" s="871"/>
    </row>
    <row r="254" spans="1:16" s="863" customFormat="1">
      <c r="A254" s="862"/>
      <c r="B254" s="835"/>
      <c r="C254" s="835"/>
      <c r="D254" s="826"/>
      <c r="E254" s="790"/>
      <c r="F254" s="790"/>
      <c r="G254" s="700" t="s">
        <v>12215</v>
      </c>
      <c r="H254" s="700" t="s">
        <v>12216</v>
      </c>
      <c r="I254" s="700" t="s">
        <v>12217</v>
      </c>
      <c r="J254" s="700" t="s">
        <v>12218</v>
      </c>
      <c r="K254" s="700" t="s">
        <v>30</v>
      </c>
      <c r="L254" s="700" t="s">
        <v>30</v>
      </c>
      <c r="M254" s="876" t="s">
        <v>30</v>
      </c>
      <c r="N254" s="700"/>
      <c r="P254" s="871"/>
    </row>
    <row r="255" spans="1:16" s="863" customFormat="1">
      <c r="A255" s="862" t="s">
        <v>12132</v>
      </c>
      <c r="B255" s="835" t="s">
        <v>70</v>
      </c>
      <c r="C255" s="835" t="s">
        <v>18580</v>
      </c>
      <c r="D255" s="836" t="str">
        <f>PROPER(IF(B255="SANEAGO",VLOOKUP(C255,'SANEAGO-FEV.2016'!A:B,2,0),IF(B255="SINAPI",VLOOKUP(C255,'SINAPI-FEV.2017'!A:D,2,0),IF(B255="Cotação",VLOOKUP(C255,COTAÇÃO!A:D,2,0),IF(B255="Composição",VLOOKUP(C255,COMPOSIÇÃO!A:D,2,0))))))</f>
        <v>Pintura Esmalte Fosco, Duas Demaos, Sobre Superficie Metalica</v>
      </c>
      <c r="E255" s="837"/>
      <c r="F255" s="837"/>
      <c r="G255" s="838">
        <f>1.12*2.3</f>
        <v>2.5760000000000001</v>
      </c>
      <c r="H255" s="838">
        <f>0.9*2.15</f>
        <v>1.9350000000000001</v>
      </c>
      <c r="I255" s="838">
        <f>1.38*2.3</f>
        <v>3.1739999999999995</v>
      </c>
      <c r="J255" s="838">
        <f>1.03*2.3</f>
        <v>2.3689999999999998</v>
      </c>
      <c r="K255" s="838"/>
      <c r="L255" s="852" t="s">
        <v>21</v>
      </c>
      <c r="M255" s="853">
        <f>SUM(G255:K255)</f>
        <v>10.053999999999998</v>
      </c>
      <c r="N255" s="700"/>
      <c r="P255" s="871"/>
    </row>
    <row r="256" spans="1:16" s="863" customFormat="1" ht="13.5" thickBot="1">
      <c r="A256" s="862"/>
      <c r="B256" s="835"/>
      <c r="C256" s="835"/>
      <c r="D256" s="826"/>
      <c r="E256" s="790"/>
      <c r="F256" s="790"/>
      <c r="G256" s="700"/>
      <c r="H256" s="700"/>
      <c r="I256" s="700"/>
      <c r="J256" s="828"/>
      <c r="K256" s="828"/>
      <c r="L256" s="828"/>
      <c r="M256" s="829"/>
      <c r="N256" s="700"/>
      <c r="P256" s="871"/>
    </row>
    <row r="257" spans="1:16" s="863" customFormat="1" ht="14.25" thickTop="1" thickBot="1">
      <c r="A257" s="862"/>
      <c r="B257" s="835"/>
      <c r="C257" s="835"/>
      <c r="D257" s="830" t="s">
        <v>63</v>
      </c>
      <c r="E257" s="831"/>
      <c r="F257" s="831"/>
      <c r="G257" s="831"/>
      <c r="H257" s="831"/>
      <c r="I257" s="831"/>
      <c r="J257" s="831"/>
      <c r="K257" s="831"/>
      <c r="L257" s="832" t="s">
        <v>25</v>
      </c>
      <c r="M257" s="833" t="s">
        <v>27</v>
      </c>
      <c r="N257" s="700"/>
      <c r="P257" s="871"/>
    </row>
    <row r="258" spans="1:16" s="863" customFormat="1" ht="13.5" thickTop="1">
      <c r="A258" s="862"/>
      <c r="B258" s="835"/>
      <c r="C258" s="835"/>
      <c r="D258" s="881"/>
      <c r="E258" s="882"/>
      <c r="F258" s="882"/>
      <c r="G258" s="925"/>
      <c r="H258" s="828" t="s">
        <v>30</v>
      </c>
      <c r="I258" s="700" t="s">
        <v>30</v>
      </c>
      <c r="J258" s="700" t="s">
        <v>30</v>
      </c>
      <c r="K258" s="700" t="s">
        <v>30</v>
      </c>
      <c r="L258" s="700" t="s">
        <v>30</v>
      </c>
      <c r="M258" s="876" t="s">
        <v>30</v>
      </c>
      <c r="N258" s="700"/>
      <c r="P258" s="871"/>
    </row>
    <row r="259" spans="1:16" s="863" customFormat="1" ht="22.5">
      <c r="A259" s="862"/>
      <c r="B259" s="835"/>
      <c r="C259" s="835"/>
      <c r="D259" s="836" t="s">
        <v>12219</v>
      </c>
      <c r="E259" s="837"/>
      <c r="F259" s="837"/>
      <c r="G259" s="895"/>
      <c r="H259" s="838"/>
      <c r="I259" s="838"/>
      <c r="J259" s="838"/>
      <c r="K259" s="838"/>
      <c r="L259" s="838" t="s">
        <v>21</v>
      </c>
      <c r="M259" s="939">
        <f>M233</f>
        <v>45.53</v>
      </c>
      <c r="N259" s="700"/>
      <c r="P259" s="871"/>
    </row>
    <row r="260" spans="1:16" s="863" customFormat="1">
      <c r="A260" s="862"/>
      <c r="B260" s="835"/>
      <c r="C260" s="835"/>
      <c r="D260" s="881"/>
      <c r="E260" s="882"/>
      <c r="F260" s="882"/>
      <c r="G260" s="925"/>
      <c r="H260" s="828" t="s">
        <v>30</v>
      </c>
      <c r="I260" s="700" t="s">
        <v>30</v>
      </c>
      <c r="J260" s="700" t="s">
        <v>30</v>
      </c>
      <c r="K260" s="700" t="s">
        <v>30</v>
      </c>
      <c r="L260" s="700" t="s">
        <v>30</v>
      </c>
      <c r="M260" s="876" t="s">
        <v>30</v>
      </c>
      <c r="N260" s="700"/>
      <c r="P260" s="871"/>
    </row>
    <row r="261" spans="1:16" s="863" customFormat="1" ht="22.5">
      <c r="A261" s="862"/>
      <c r="B261" s="835"/>
      <c r="C261" s="835"/>
      <c r="D261" s="836" t="s">
        <v>12220</v>
      </c>
      <c r="E261" s="837"/>
      <c r="F261" s="837"/>
      <c r="G261" s="895"/>
      <c r="H261" s="838"/>
      <c r="I261" s="838"/>
      <c r="J261" s="838"/>
      <c r="K261" s="838"/>
      <c r="L261" s="838" t="s">
        <v>21</v>
      </c>
      <c r="M261" s="939">
        <f>34.5</f>
        <v>34.5</v>
      </c>
      <c r="N261" s="700"/>
      <c r="P261" s="871"/>
    </row>
    <row r="262" spans="1:16" s="863" customFormat="1">
      <c r="A262" s="862"/>
      <c r="B262" s="835"/>
      <c r="C262" s="835"/>
      <c r="D262" s="826"/>
      <c r="E262" s="790"/>
      <c r="F262" s="790"/>
      <c r="G262" s="700" t="s">
        <v>30</v>
      </c>
      <c r="H262" s="700" t="s">
        <v>30</v>
      </c>
      <c r="I262" s="700" t="s">
        <v>30</v>
      </c>
      <c r="J262" s="700" t="s">
        <v>30</v>
      </c>
      <c r="K262" s="700" t="s">
        <v>30</v>
      </c>
      <c r="L262" s="700"/>
      <c r="M262" s="827"/>
      <c r="N262" s="700"/>
      <c r="P262" s="871"/>
    </row>
    <row r="263" spans="1:16" s="863" customFormat="1" ht="22.5">
      <c r="A263" s="862" t="s">
        <v>12221</v>
      </c>
      <c r="B263" s="855" t="s">
        <v>70</v>
      </c>
      <c r="C263" s="855" t="s">
        <v>18613</v>
      </c>
      <c r="D263" s="836" t="str">
        <f>PROPER(IF(B263="SANEAGO",VLOOKUP(C263,'SANEAGO-FEV.2016'!A:B,2,0),IF(B263="SINAPI",VLOOKUP(C263,'SINAPI-FEV.2017'!A:D,2,0),IF(B263="Cotação",VLOOKUP(C263,COTAÇÃO!A:D,2,0),IF(B263="Composição",VLOOKUP(C263,COMPOSIÇÃO!A:D,2,0))))))</f>
        <v>Piso Cimentado Traco 1:3 (Cimento E Areia), Com Acabamento Rustico E Frisado Espessura 2Cm, Preparo Manual</v>
      </c>
      <c r="E263" s="837"/>
      <c r="F263" s="837"/>
      <c r="G263" s="838"/>
      <c r="H263" s="838"/>
      <c r="I263" s="838"/>
      <c r="J263" s="838"/>
      <c r="K263" s="838"/>
      <c r="L263" s="852" t="s">
        <v>21</v>
      </c>
      <c r="M263" s="853">
        <f>M259</f>
        <v>45.53</v>
      </c>
      <c r="N263" s="700"/>
      <c r="P263" s="871"/>
    </row>
    <row r="264" spans="1:16" s="863" customFormat="1">
      <c r="A264" s="862"/>
      <c r="B264" s="835"/>
      <c r="C264" s="835"/>
      <c r="D264" s="826"/>
      <c r="E264" s="790"/>
      <c r="F264" s="790"/>
      <c r="G264" s="700" t="s">
        <v>30</v>
      </c>
      <c r="H264" s="700" t="s">
        <v>30</v>
      </c>
      <c r="I264" s="700" t="s">
        <v>30</v>
      </c>
      <c r="J264" s="700" t="s">
        <v>30</v>
      </c>
      <c r="K264" s="700" t="s">
        <v>30</v>
      </c>
      <c r="L264" s="700"/>
      <c r="M264" s="827"/>
      <c r="N264" s="700"/>
      <c r="P264" s="871"/>
    </row>
    <row r="265" spans="1:16" s="863" customFormat="1" ht="22.5">
      <c r="A265" s="862" t="s">
        <v>12222</v>
      </c>
      <c r="B265" s="855" t="s">
        <v>70</v>
      </c>
      <c r="C265" s="835">
        <v>87247</v>
      </c>
      <c r="D265" s="836" t="str">
        <f>PROPER(IF(B265="SANEAGO",VLOOKUP(C265,'SANEAGO-FEV.2016'!A:B,2,0),IF(B265="SINAPI",VLOOKUP(C265,'SINAPI-FEV.2017'!A:D,2,0),IF(B265="Cotação",VLOOKUP(C265,COTAÇÃO!A:D,2,0),IF(B265="Composição",VLOOKUP(C265,COMPOSIÇÃO!A:D,2,0))))))</f>
        <v>Revestimento Cerâmico Para Piso Com Placas Tipo Grês De Dimensões 35X35 Cm Aplicada Em Ambientes De Área Entre 5 M2 E 10 M2. Af_06/2014</v>
      </c>
      <c r="E265" s="837"/>
      <c r="F265" s="837"/>
      <c r="G265" s="838"/>
      <c r="H265" s="838"/>
      <c r="I265" s="838"/>
      <c r="J265" s="838"/>
      <c r="K265" s="838"/>
      <c r="L265" s="852" t="s">
        <v>21</v>
      </c>
      <c r="M265" s="853">
        <f>M263</f>
        <v>45.53</v>
      </c>
      <c r="N265" s="700"/>
      <c r="P265" s="871"/>
    </row>
    <row r="266" spans="1:16" s="863" customFormat="1">
      <c r="A266" s="862"/>
      <c r="B266" s="835"/>
      <c r="C266" s="835"/>
      <c r="D266" s="826"/>
      <c r="E266" s="790"/>
      <c r="F266" s="790"/>
      <c r="G266" s="700" t="s">
        <v>30</v>
      </c>
      <c r="H266" s="700" t="s">
        <v>30</v>
      </c>
      <c r="I266" s="700" t="s">
        <v>30</v>
      </c>
      <c r="J266" s="700" t="s">
        <v>30</v>
      </c>
      <c r="K266" s="700" t="s">
        <v>30</v>
      </c>
      <c r="L266" s="700"/>
      <c r="M266" s="827"/>
      <c r="N266" s="700"/>
      <c r="P266" s="871"/>
    </row>
    <row r="267" spans="1:16" s="863" customFormat="1" ht="22.5">
      <c r="A267" s="862" t="s">
        <v>12223</v>
      </c>
      <c r="B267" s="855" t="s">
        <v>70</v>
      </c>
      <c r="C267" s="850">
        <v>94990</v>
      </c>
      <c r="D267" s="836" t="str">
        <f>PROPER(IF(B267="SANEAGO",VLOOKUP(C267,'SANEAGO-FEV.2016'!A:B,2,0),IF(B267="SINAPI",VLOOKUP(C267,'SINAPI-FEV.2017'!A:D,2,0),IF(B267="Cotação",VLOOKUP(C267,COTAÇÃO!A:D,2,0),IF(B267="Composição",VLOOKUP(C267,COMPOSIÇÃO!A:D,2,0))))))</f>
        <v>Execução De Passeio (Calçada) Ou Piso De Concreto Com Concreto Moldado In Loco, Feito Em Obra, Acabamento Convencional, Não Armado. Af_07/2016</v>
      </c>
      <c r="E267" s="837"/>
      <c r="F267" s="837"/>
      <c r="G267" s="838"/>
      <c r="H267" s="838"/>
      <c r="I267" s="838"/>
      <c r="J267" s="838"/>
      <c r="K267" s="838"/>
      <c r="L267" s="852" t="s">
        <v>20309</v>
      </c>
      <c r="M267" s="853">
        <f>M261*0.06</f>
        <v>2.0699999999999998</v>
      </c>
      <c r="N267" s="700"/>
      <c r="P267" s="871"/>
    </row>
    <row r="268" spans="1:16" s="863" customFormat="1">
      <c r="A268" s="862"/>
      <c r="B268" s="835"/>
      <c r="C268" s="835"/>
      <c r="D268" s="826"/>
      <c r="E268" s="790"/>
      <c r="F268" s="790"/>
      <c r="G268" s="700" t="s">
        <v>30</v>
      </c>
      <c r="H268" s="700" t="s">
        <v>30</v>
      </c>
      <c r="I268" s="700" t="s">
        <v>30</v>
      </c>
      <c r="J268" s="700" t="s">
        <v>30</v>
      </c>
      <c r="K268" s="700" t="s">
        <v>30</v>
      </c>
      <c r="L268" s="700"/>
      <c r="M268" s="827"/>
      <c r="N268" s="700"/>
      <c r="P268" s="871"/>
    </row>
    <row r="269" spans="1:16" s="863" customFormat="1" ht="22.5">
      <c r="A269" s="862" t="s">
        <v>12224</v>
      </c>
      <c r="B269" s="855" t="s">
        <v>70</v>
      </c>
      <c r="C269" s="835">
        <v>20231</v>
      </c>
      <c r="D269" s="836" t="str">
        <f>PROPER(IF(B269="SANEAGO",VLOOKUP(C269,'SANEAGO-FEV.2016'!A:B,2,0),IF(B269="SINAPI",VLOOKUP(C269,'SINAPI-FEV.2017'!A:D,2,0),IF(B269="Cotação",VLOOKUP(C269,COTAÇÃO!A:D,2,0),IF(B269="Composição",VLOOKUP(C269,COMPOSIÇÃO!A:D,2,0))))))</f>
        <v>Rodape Ou Rodabancada Em Granito, Polido, Tipo Andorinha/ Quartz/ Castelo/ Corumba Ou Outros Equivalentes Da Regiao, H= 10 Cm, E=  *2,0* Cm</v>
      </c>
      <c r="E269" s="837"/>
      <c r="F269" s="837"/>
      <c r="G269" s="838"/>
      <c r="H269" s="838"/>
      <c r="I269" s="838"/>
      <c r="J269" s="838"/>
      <c r="K269" s="838"/>
      <c r="L269" s="852" t="s">
        <v>18</v>
      </c>
      <c r="M269" s="853">
        <f>8.4-1</f>
        <v>7.4</v>
      </c>
      <c r="N269" s="700"/>
      <c r="P269" s="871"/>
    </row>
    <row r="270" spans="1:16" s="863" customFormat="1">
      <c r="A270" s="862"/>
      <c r="B270" s="835"/>
      <c r="C270" s="835"/>
      <c r="D270" s="826"/>
      <c r="E270" s="790"/>
      <c r="F270" s="790"/>
      <c r="G270" s="700" t="s">
        <v>30</v>
      </c>
      <c r="H270" s="700" t="s">
        <v>30</v>
      </c>
      <c r="I270" s="700" t="s">
        <v>30</v>
      </c>
      <c r="J270" s="700" t="s">
        <v>30</v>
      </c>
      <c r="K270" s="700" t="s">
        <v>30</v>
      </c>
      <c r="L270" s="700"/>
      <c r="M270" s="827"/>
      <c r="N270" s="700"/>
      <c r="P270" s="871"/>
    </row>
    <row r="271" spans="1:16" s="863" customFormat="1" ht="22.5">
      <c r="A271" s="862" t="s">
        <v>12225</v>
      </c>
      <c r="B271" s="835" t="s">
        <v>70</v>
      </c>
      <c r="C271" s="835">
        <v>20232</v>
      </c>
      <c r="D271" s="836" t="str">
        <f>PROPER(IF(B271="SANEAGO",VLOOKUP(C271,'SANEAGO-FEV.2016'!A:B,2,0),IF(B271="SINAPI",VLOOKUP(C271,'SINAPI-FEV.2017'!A:D,2,0),IF(B271="Cotação",VLOOKUP(C271,COTAÇÃO!A:D,2,0),IF(B271="Composição",VLOOKUP(C271,COMPOSIÇÃO!A:D,2,0))))))</f>
        <v>Soleira Em Granito, Polido, Tipo Andorinha/ Quartz/ Castelo/ Corumba Ou Outros Equivalentes Da Regiao, L= *15* Cm, E=  *2,0* Cm</v>
      </c>
      <c r="E271" s="837"/>
      <c r="F271" s="837"/>
      <c r="G271" s="838"/>
      <c r="H271" s="838"/>
      <c r="I271" s="838"/>
      <c r="J271" s="838"/>
      <c r="K271" s="838"/>
      <c r="L271" s="852" t="s">
        <v>18</v>
      </c>
      <c r="M271" s="853">
        <f>1.38+0.6*2+1.1*2+0.9+0.8*2</f>
        <v>7.2800000000000011</v>
      </c>
      <c r="N271" s="700"/>
      <c r="P271" s="871"/>
    </row>
    <row r="272" spans="1:16" s="863" customFormat="1" ht="13.5" thickBot="1">
      <c r="A272" s="862"/>
      <c r="B272" s="835"/>
      <c r="C272" s="835"/>
      <c r="D272" s="826"/>
      <c r="E272" s="790"/>
      <c r="F272" s="790"/>
      <c r="G272" s="700"/>
      <c r="H272" s="700"/>
      <c r="I272" s="700"/>
      <c r="J272" s="828"/>
      <c r="K272" s="828"/>
      <c r="L272" s="828"/>
      <c r="M272" s="829"/>
      <c r="N272" s="700"/>
      <c r="P272" s="871"/>
    </row>
    <row r="273" spans="1:18" s="824" customFormat="1" ht="14.25" thickTop="1" thickBot="1">
      <c r="A273" s="905"/>
      <c r="B273" s="906"/>
      <c r="C273" s="906"/>
      <c r="D273" s="830" t="s">
        <v>59</v>
      </c>
      <c r="E273" s="831"/>
      <c r="F273" s="831"/>
      <c r="G273" s="831"/>
      <c r="H273" s="831"/>
      <c r="I273" s="831"/>
      <c r="J273" s="831"/>
      <c r="K273" s="831"/>
      <c r="L273" s="832" t="s">
        <v>25</v>
      </c>
      <c r="M273" s="833" t="s">
        <v>27</v>
      </c>
      <c r="N273" s="700"/>
      <c r="O273" s="863"/>
      <c r="P273" s="871"/>
      <c r="Q273" s="863"/>
      <c r="R273" s="863"/>
    </row>
    <row r="274" spans="1:18" s="824" customFormat="1" ht="13.5" thickTop="1">
      <c r="A274" s="905"/>
      <c r="B274" s="906"/>
      <c r="C274" s="906"/>
      <c r="D274" s="932"/>
      <c r="E274" s="940"/>
      <c r="F274" s="940"/>
      <c r="G274" s="941" t="s">
        <v>30</v>
      </c>
      <c r="H274" s="941" t="s">
        <v>30</v>
      </c>
      <c r="I274" s="941" t="s">
        <v>30</v>
      </c>
      <c r="J274" s="941" t="s">
        <v>30</v>
      </c>
      <c r="K274" s="941" t="s">
        <v>30</v>
      </c>
      <c r="L274" s="941" t="s">
        <v>30</v>
      </c>
      <c r="M274" s="942" t="s">
        <v>30</v>
      </c>
      <c r="N274" s="700"/>
      <c r="O274" s="863"/>
      <c r="P274" s="871"/>
      <c r="Q274" s="863"/>
      <c r="R274" s="863"/>
    </row>
    <row r="275" spans="1:18" s="824" customFormat="1">
      <c r="A275" s="862" t="s">
        <v>12133</v>
      </c>
      <c r="B275" s="835" t="s">
        <v>1</v>
      </c>
      <c r="C275" s="835">
        <v>409</v>
      </c>
      <c r="D275" s="894" t="str">
        <f>PROPER(IF(B275="SANEAGO",VLOOKUP(C275,'SANEAGO-FEV.2016'!A:B,2,0),IF(B275="SINAPI",VLOOKUP(C275,'SINAPI-FEV.2017'!A:D,2,0),IF(B275="Cotação",VLOOKUP(C275,COTAÇÃO!A:D,2,0),IF(B275="Composição",VLOOKUP(C275,COMPOSIÇÃO!A:D,2,0))))))</f>
        <v>Cobertura  Com Telhas Onduladas  Fibro Cimento Esp.=6 Mm</v>
      </c>
      <c r="E275" s="837"/>
      <c r="F275" s="837"/>
      <c r="G275" s="838"/>
      <c r="H275" s="943"/>
      <c r="I275" s="943"/>
      <c r="J275" s="944"/>
      <c r="K275" s="838"/>
      <c r="L275" s="838" t="s">
        <v>21</v>
      </c>
      <c r="M275" s="853">
        <f>M263</f>
        <v>45.53</v>
      </c>
      <c r="N275" s="700"/>
      <c r="O275" s="863"/>
      <c r="P275" s="871"/>
      <c r="Q275" s="863"/>
      <c r="R275" s="863"/>
    </row>
    <row r="276" spans="1:18" s="824" customFormat="1">
      <c r="A276" s="905"/>
      <c r="B276" s="906"/>
      <c r="C276" s="906"/>
      <c r="D276" s="826"/>
      <c r="E276" s="790"/>
      <c r="F276" s="790"/>
      <c r="G276" s="828" t="s">
        <v>30</v>
      </c>
      <c r="H276" s="828" t="s">
        <v>30</v>
      </c>
      <c r="I276" s="828" t="s">
        <v>30</v>
      </c>
      <c r="J276" s="828" t="s">
        <v>30</v>
      </c>
      <c r="K276" s="828" t="s">
        <v>30</v>
      </c>
      <c r="L276" s="828" t="s">
        <v>30</v>
      </c>
      <c r="M276" s="877" t="s">
        <v>30</v>
      </c>
      <c r="N276" s="700"/>
      <c r="O276" s="863"/>
      <c r="P276" s="871"/>
      <c r="Q276" s="863"/>
      <c r="R276" s="863"/>
    </row>
    <row r="277" spans="1:18" s="824" customFormat="1" ht="33.75">
      <c r="A277" s="862" t="s">
        <v>12134</v>
      </c>
      <c r="B277" s="835" t="s">
        <v>70</v>
      </c>
      <c r="C277" s="835">
        <v>92580</v>
      </c>
      <c r="D277" s="836" t="str">
        <f>PROPER(IF(B277="SANEAGO",VLOOKUP(C277,'SANEAGO-FEV.2016'!A:B,2,0),IF(B277="SINAPI",VLOOKUP(C277,'SINAPI-FEV.2017'!A:D,2,0),IF(B277="Cotação",VLOOKUP(C277,COTAÇÃO!A:D,2,0),IF(B277="Composição",VLOOKUP(C277,COMPOSIÇÃO!A:D,2,0))))))</f>
        <v>Trama De Aço Composta Por Terças Para Telhados De Até 2 Águas Para Telha Ondulada De Fibrocimento, Metálica, Plástica Ou Termoacústica, Incluso Transporte Vertical. Af_12/2015</v>
      </c>
      <c r="E277" s="837"/>
      <c r="F277" s="837"/>
      <c r="G277" s="838"/>
      <c r="H277" s="838"/>
      <c r="I277" s="838"/>
      <c r="J277" s="838"/>
      <c r="K277" s="838"/>
      <c r="L277" s="838" t="s">
        <v>21</v>
      </c>
      <c r="M277" s="853">
        <f>M275</f>
        <v>45.53</v>
      </c>
      <c r="N277" s="700"/>
      <c r="O277" s="863"/>
      <c r="P277" s="871"/>
      <c r="Q277" s="863"/>
      <c r="R277" s="863"/>
    </row>
    <row r="278" spans="1:18" s="824" customFormat="1">
      <c r="A278" s="905"/>
      <c r="B278" s="835"/>
      <c r="C278" s="835"/>
      <c r="D278" s="826"/>
      <c r="E278" s="790"/>
      <c r="F278" s="790"/>
      <c r="G278" s="828" t="s">
        <v>30</v>
      </c>
      <c r="H278" s="828" t="s">
        <v>30</v>
      </c>
      <c r="I278" s="828" t="s">
        <v>30</v>
      </c>
      <c r="J278" s="828" t="s">
        <v>30</v>
      </c>
      <c r="K278" s="828" t="s">
        <v>30</v>
      </c>
      <c r="L278" s="828"/>
      <c r="M278" s="829"/>
      <c r="N278" s="700"/>
      <c r="O278" s="863"/>
      <c r="P278" s="871"/>
      <c r="Q278" s="863"/>
      <c r="R278" s="863"/>
    </row>
    <row r="279" spans="1:18" s="824" customFormat="1">
      <c r="A279" s="862" t="s">
        <v>12135</v>
      </c>
      <c r="B279" s="835" t="s">
        <v>70</v>
      </c>
      <c r="C279" s="835">
        <v>1109</v>
      </c>
      <c r="D279" s="836" t="str">
        <f>PROPER(IF(B279="SANEAGO",VLOOKUP(C279,'SANEAGO-FEV.2016'!A:B,2,0),IF(B279="SINAPI",VLOOKUP(C279,'SINAPI-FEV.2017'!A:D,2,0),IF(B279="Cotação",VLOOKUP(C279,COTAÇÃO!A:D,2,0),IF(B279="Composição",VLOOKUP(C279,COMPOSIÇÃO!A:D,2,0))))))</f>
        <v>Calha Quadrada De Chapa De Aco Galvanizada Num 26, Corte 33 Cm</v>
      </c>
      <c r="E279" s="837"/>
      <c r="F279" s="837"/>
      <c r="G279" s="838"/>
      <c r="H279" s="838"/>
      <c r="I279" s="838"/>
      <c r="J279" s="838"/>
      <c r="K279" s="838"/>
      <c r="L279" s="838" t="s">
        <v>18</v>
      </c>
      <c r="M279" s="853">
        <f>3.1*2+6.8*2+4.55</f>
        <v>24.35</v>
      </c>
      <c r="N279" s="700"/>
      <c r="O279" s="863"/>
      <c r="P279" s="871"/>
      <c r="Q279" s="863"/>
      <c r="R279" s="863"/>
    </row>
    <row r="280" spans="1:18" s="824" customFormat="1">
      <c r="A280" s="862"/>
      <c r="B280" s="835"/>
      <c r="C280" s="835"/>
      <c r="D280" s="826"/>
      <c r="E280" s="790"/>
      <c r="F280" s="790"/>
      <c r="G280" s="828" t="s">
        <v>30</v>
      </c>
      <c r="H280" s="828" t="s">
        <v>30</v>
      </c>
      <c r="I280" s="828" t="s">
        <v>30</v>
      </c>
      <c r="J280" s="828" t="s">
        <v>30</v>
      </c>
      <c r="K280" s="828" t="s">
        <v>30</v>
      </c>
      <c r="L280" s="828" t="s">
        <v>30</v>
      </c>
      <c r="M280" s="877" t="s">
        <v>30</v>
      </c>
      <c r="N280" s="700"/>
      <c r="O280" s="863"/>
      <c r="P280" s="871"/>
      <c r="Q280" s="863"/>
      <c r="R280" s="863"/>
    </row>
    <row r="281" spans="1:18" s="824" customFormat="1" ht="22.5">
      <c r="A281" s="862" t="s">
        <v>12136</v>
      </c>
      <c r="B281" s="835" t="s">
        <v>70</v>
      </c>
      <c r="C281" s="945">
        <v>7219</v>
      </c>
      <c r="D281" s="836" t="str">
        <f>PROPER(IF(B281="SANEAGO",VLOOKUP(C281,'SANEAGO-FEV.2016'!A:B,2,0),IF(B281="SINAPI",VLOOKUP(C281,'SINAPI-FEV.2017'!A:D,2,0),IF(B281="Cotação",VLOOKUP(C281,COTAÇÃO!A:D,2,0),IF(B281="Composição",VLOOKUP(C281,COMPOSIÇÃO!A:D,2,0))))))</f>
        <v>Cumeeira Universal Para Telha Ondulada De Fibrocimento, E = 6 Mm, Aba 210 Mm, Comprimento 1100 Mm (Sem Amianto)</v>
      </c>
      <c r="E281" s="837"/>
      <c r="F281" s="837"/>
      <c r="G281" s="838"/>
      <c r="H281" s="838"/>
      <c r="I281" s="838"/>
      <c r="J281" s="838"/>
      <c r="K281" s="838"/>
      <c r="L281" s="838" t="s">
        <v>18</v>
      </c>
      <c r="M281" s="853">
        <f>3.1+6.8+4.55</f>
        <v>14.45</v>
      </c>
      <c r="N281" s="700"/>
      <c r="O281" s="863"/>
      <c r="P281" s="871"/>
      <c r="Q281" s="863"/>
      <c r="R281" s="863"/>
    </row>
    <row r="282" spans="1:18" s="824" customFormat="1">
      <c r="A282" s="905"/>
      <c r="B282" s="906"/>
      <c r="C282" s="906"/>
      <c r="D282" s="826"/>
      <c r="E282" s="790"/>
      <c r="F282" s="790"/>
      <c r="G282" s="828" t="s">
        <v>30</v>
      </c>
      <c r="H282" s="828" t="s">
        <v>30</v>
      </c>
      <c r="I282" s="828" t="s">
        <v>30</v>
      </c>
      <c r="J282" s="828" t="s">
        <v>30</v>
      </c>
      <c r="K282" s="828" t="s">
        <v>30</v>
      </c>
      <c r="L282" s="828"/>
      <c r="M282" s="829"/>
      <c r="N282" s="700"/>
      <c r="O282" s="863"/>
      <c r="P282" s="871"/>
      <c r="Q282" s="863"/>
      <c r="R282" s="863"/>
    </row>
    <row r="283" spans="1:18" s="824" customFormat="1">
      <c r="A283" s="862" t="s">
        <v>12137</v>
      </c>
      <c r="B283" s="835" t="s">
        <v>70</v>
      </c>
      <c r="C283" s="835">
        <v>1113</v>
      </c>
      <c r="D283" s="836" t="str">
        <f>PROPER(IF(B283="SANEAGO",VLOOKUP(C283,'SANEAGO-FEV.2016'!A:B,2,0),IF(B283="SINAPI",VLOOKUP(C283,'SINAPI-FEV.2017'!A:D,2,0),IF(B283="Cotação",VLOOKUP(C283,COTAÇÃO!A:D,2,0),IF(B283="Composição",VLOOKUP(C283,COMPOSIÇÃO!A:D,2,0))))))</f>
        <v>Rufo Externo/Interno De Chapa De Aco Galvanizada Num 26, Corte 33 Cm</v>
      </c>
      <c r="E283" s="837"/>
      <c r="F283" s="837"/>
      <c r="G283" s="838"/>
      <c r="H283" s="838"/>
      <c r="I283" s="838"/>
      <c r="J283" s="838"/>
      <c r="K283" s="838"/>
      <c r="L283" s="838" t="s">
        <v>18</v>
      </c>
      <c r="M283" s="853">
        <f>4.85*2+3.85*2+1.15</f>
        <v>18.549999999999997</v>
      </c>
      <c r="N283" s="700"/>
      <c r="O283" s="863"/>
      <c r="P283" s="871"/>
      <c r="Q283" s="863"/>
      <c r="R283" s="863"/>
    </row>
    <row r="284" spans="1:18" s="824" customFormat="1" ht="22.5">
      <c r="A284" s="905"/>
      <c r="B284" s="906"/>
      <c r="C284" s="906"/>
      <c r="D284" s="826"/>
      <c r="E284" s="790"/>
      <c r="F284" s="790"/>
      <c r="G284" s="828" t="s">
        <v>61</v>
      </c>
      <c r="H284" s="828" t="s">
        <v>11688</v>
      </c>
      <c r="I284" s="828" t="s">
        <v>11689</v>
      </c>
      <c r="J284" s="828" t="s">
        <v>62</v>
      </c>
      <c r="K284" s="828" t="s">
        <v>36</v>
      </c>
      <c r="L284" s="828"/>
      <c r="M284" s="829"/>
      <c r="N284" s="700"/>
      <c r="O284" s="863"/>
      <c r="P284" s="871"/>
      <c r="Q284" s="863"/>
      <c r="R284" s="863"/>
    </row>
    <row r="285" spans="1:18" s="824" customFormat="1" ht="22.5">
      <c r="A285" s="862" t="s">
        <v>12138</v>
      </c>
      <c r="B285" s="835" t="s">
        <v>70</v>
      </c>
      <c r="C285" s="835">
        <v>73549</v>
      </c>
      <c r="D285" s="836" t="str">
        <f>PROPER(IF(B285="SANEAGO",VLOOKUP(C285,'SANEAGO-FEV.2016'!A:B,2,0),IF(B285="SINAPI",VLOOKUP(C285,'SINAPI-FEV.2017'!A:D,2,0),IF(B285="Cotação",VLOOKUP(C285,COTAÇÃO!A:D,2,0),IF(B285="Composição",VLOOKUP(C285,COMPOSIÇÃO!A:D,2,0))))))</f>
        <v>Argamassa Traco 1:4 (Cimento E Areia), Preparo Manual, Incluso Aditivo Impermeabilizante</v>
      </c>
      <c r="E285" s="837"/>
      <c r="F285" s="837"/>
      <c r="G285" s="838">
        <f>M279</f>
        <v>24.35</v>
      </c>
      <c r="H285" s="838">
        <v>0.35</v>
      </c>
      <c r="I285" s="838">
        <f>M283</f>
        <v>18.549999999999997</v>
      </c>
      <c r="J285" s="838">
        <v>0.1</v>
      </c>
      <c r="K285" s="838">
        <v>0.05</v>
      </c>
      <c r="L285" s="838" t="s">
        <v>20309</v>
      </c>
      <c r="M285" s="853">
        <f>((G285*H285)+(I285*J285))*K285</f>
        <v>0.51887499999999998</v>
      </c>
      <c r="N285" s="700"/>
      <c r="O285" s="863"/>
      <c r="P285" s="871"/>
      <c r="Q285" s="863"/>
      <c r="R285" s="863"/>
    </row>
    <row r="286" spans="1:18" s="824" customFormat="1" ht="13.5" thickBot="1">
      <c r="A286" s="905"/>
      <c r="B286" s="906"/>
      <c r="C286" s="906"/>
      <c r="D286" s="826"/>
      <c r="E286" s="790"/>
      <c r="F286" s="790"/>
      <c r="G286" s="700"/>
      <c r="H286" s="700"/>
      <c r="I286" s="700"/>
      <c r="J286" s="907"/>
      <c r="K286" s="700"/>
      <c r="L286" s="700"/>
      <c r="M286" s="827"/>
      <c r="N286" s="700"/>
      <c r="O286" s="863"/>
      <c r="P286" s="871"/>
      <c r="Q286" s="863"/>
      <c r="R286" s="863"/>
    </row>
    <row r="287" spans="1:18" ht="14.25" thickTop="1" thickBot="1">
      <c r="A287" s="912"/>
      <c r="B287" s="855"/>
      <c r="D287" s="830" t="s">
        <v>24</v>
      </c>
      <c r="E287" s="831"/>
      <c r="F287" s="831"/>
      <c r="G287" s="831"/>
      <c r="H287" s="831"/>
      <c r="I287" s="831"/>
      <c r="J287" s="831"/>
      <c r="K287" s="831"/>
      <c r="L287" s="832" t="s">
        <v>25</v>
      </c>
      <c r="M287" s="833" t="s">
        <v>27</v>
      </c>
    </row>
    <row r="288" spans="1:18" ht="13.5" thickTop="1">
      <c r="D288" s="826"/>
      <c r="E288" s="790"/>
      <c r="F288" s="790"/>
      <c r="G288" s="700" t="s">
        <v>30</v>
      </c>
      <c r="H288" s="700" t="s">
        <v>30</v>
      </c>
      <c r="I288" s="700" t="s">
        <v>30</v>
      </c>
      <c r="J288" s="700" t="s">
        <v>30</v>
      </c>
      <c r="K288" s="700" t="s">
        <v>30</v>
      </c>
      <c r="L288" s="700"/>
      <c r="M288" s="827"/>
    </row>
    <row r="289" spans="1:18" ht="22.5">
      <c r="A289" s="862" t="s">
        <v>12226</v>
      </c>
      <c r="B289" s="835" t="s">
        <v>70</v>
      </c>
      <c r="C289" s="835">
        <v>11795</v>
      </c>
      <c r="D289" s="836" t="str">
        <f>PROPER(IF(B289="SANEAGO",VLOOKUP(C289,'SANEAGO-FEV.2016'!A:B,2,0),IF(B289="SINAPI",VLOOKUP(C289,'SINAPI-FEV.2017'!A:D,2,0),IF(B289="Cotação",VLOOKUP(C289,COTAÇÃO!A:D,2,0),IF(B289="Composição",VLOOKUP(C289,COMPOSIÇÃO!A:D,2,0))))))</f>
        <v>Granito Para Bancada, Polido, Tipo Andorinha/ Quartz/ Castelo/ Corumba Ou Outros Equivalentes Da Regiao, E=  *2,5* Cm</v>
      </c>
      <c r="E289" s="837"/>
      <c r="F289" s="837"/>
      <c r="G289" s="838"/>
      <c r="H289" s="838"/>
      <c r="I289" s="851"/>
      <c r="J289" s="838"/>
      <c r="K289" s="838"/>
      <c r="L289" s="852" t="s">
        <v>21</v>
      </c>
      <c r="M289" s="853">
        <f>3.3*0.6*2</f>
        <v>3.9599999999999995</v>
      </c>
    </row>
    <row r="290" spans="1:18">
      <c r="B290" s="862"/>
      <c r="D290" s="826"/>
      <c r="E290" s="790"/>
      <c r="F290" s="790"/>
      <c r="G290" s="700" t="s">
        <v>30</v>
      </c>
      <c r="H290" s="700" t="s">
        <v>30</v>
      </c>
      <c r="I290" s="700" t="s">
        <v>30</v>
      </c>
      <c r="J290" s="700" t="s">
        <v>30</v>
      </c>
      <c r="K290" s="700" t="s">
        <v>30</v>
      </c>
      <c r="L290" s="700"/>
      <c r="M290" s="827"/>
    </row>
    <row r="291" spans="1:18">
      <c r="A291" s="862" t="s">
        <v>12299</v>
      </c>
      <c r="B291" s="862" t="s">
        <v>11722</v>
      </c>
      <c r="C291" s="835" t="s">
        <v>20518</v>
      </c>
      <c r="D291" s="836" t="str">
        <f>PROPER(IF(B291="SANEAGO",VLOOKUP(C291,'SANEAGO-FEV.2016'!A:B,2,0),IF(B291="SINAPI",VLOOKUP(C291,'SINAPI-FEV.2017'!A:D,2,0),IF(B291="Cotação",VLOOKUP(C291,COTAÇÃO!A:D,2,0),IF(B291="Composição",VLOOKUP(C291,COMPOSIÇÃO!A:D,2,0))))))</f>
        <v>Armario De Cozinha</v>
      </c>
      <c r="E291" s="837"/>
      <c r="F291" s="837"/>
      <c r="G291" s="838"/>
      <c r="H291" s="838"/>
      <c r="I291" s="851"/>
      <c r="J291" s="838"/>
      <c r="K291" s="838"/>
      <c r="L291" s="852" t="s">
        <v>12093</v>
      </c>
      <c r="M291" s="853">
        <v>1</v>
      </c>
    </row>
    <row r="292" spans="1:18" s="824" customFormat="1">
      <c r="A292" s="905"/>
      <c r="B292" s="905"/>
      <c r="C292" s="906"/>
      <c r="D292" s="826"/>
      <c r="E292" s="790"/>
      <c r="F292" s="790"/>
      <c r="G292" s="828" t="s">
        <v>30</v>
      </c>
      <c r="H292" s="828" t="s">
        <v>30</v>
      </c>
      <c r="I292" s="828" t="s">
        <v>30</v>
      </c>
      <c r="J292" s="828" t="s">
        <v>30</v>
      </c>
      <c r="K292" s="828" t="s">
        <v>30</v>
      </c>
      <c r="L292" s="828"/>
      <c r="M292" s="829"/>
      <c r="N292" s="700"/>
      <c r="O292" s="863"/>
      <c r="P292" s="871"/>
      <c r="Q292" s="863"/>
      <c r="R292" s="863"/>
    </row>
    <row r="293" spans="1:18" s="824" customFormat="1">
      <c r="A293" s="862" t="s">
        <v>14344</v>
      </c>
      <c r="B293" s="850" t="s">
        <v>70</v>
      </c>
      <c r="C293" s="922">
        <v>9537</v>
      </c>
      <c r="D293" s="946" t="str">
        <f>PROPER(IF(B293="SANEAGO",VLOOKUP(C293,'SANEAGO-FEV.2016'!A:B,2,0),IF(B293="SINAPI",VLOOKUP(C293,'SINAPI-FEV.2017'!A:D,2,0),IF(B293="Cotação",VLOOKUP(C293,COTAÇÃO!A:D,2,0),IF(B293="Composição",VLOOKUP(C293,COMPOSIÇÃO!A:D,2,0))))))</f>
        <v>Limpeza Final Da Obra</v>
      </c>
      <c r="E293" s="947"/>
      <c r="F293" s="947"/>
      <c r="G293" s="948"/>
      <c r="H293" s="948"/>
      <c r="I293" s="948"/>
      <c r="J293" s="948"/>
      <c r="K293" s="948"/>
      <c r="L293" s="948" t="s">
        <v>21</v>
      </c>
      <c r="M293" s="949">
        <v>85</v>
      </c>
      <c r="N293" s="700"/>
      <c r="O293" s="863"/>
      <c r="P293" s="871"/>
      <c r="Q293" s="863"/>
      <c r="R293" s="863"/>
    </row>
  </sheetData>
  <sheetProtection algorithmName="SHA-512" hashValue="us5eXc/Fl45oc8G/n0i4SVCZq0fMYVuBXg5i6Borpd/v+mQUt0kmPpiQ/Oo1V6y4TxWF8IIwsIj1dUOhl3X6/A==" saltValue="Al1BydgQrrY+Gl1sFPiZXg==" spinCount="100000" sheet="1"/>
  <mergeCells count="27">
    <mergeCell ref="D1:M4"/>
    <mergeCell ref="D10:M10"/>
    <mergeCell ref="D12:M12"/>
    <mergeCell ref="D26:M26"/>
    <mergeCell ref="E201:F201"/>
    <mergeCell ref="G128:H128"/>
    <mergeCell ref="G129:H129"/>
    <mergeCell ref="K201:K202"/>
    <mergeCell ref="L201:L202"/>
    <mergeCell ref="G201:H201"/>
    <mergeCell ref="G108:H108"/>
    <mergeCell ref="G126:H126"/>
    <mergeCell ref="I140:J140"/>
    <mergeCell ref="G109:H109"/>
    <mergeCell ref="G110:H110"/>
    <mergeCell ref="J84:K84"/>
    <mergeCell ref="I201:J201"/>
    <mergeCell ref="G111:H111"/>
    <mergeCell ref="G127:H127"/>
    <mergeCell ref="M201:M202"/>
    <mergeCell ref="J235:K235"/>
    <mergeCell ref="I138:J138"/>
    <mergeCell ref="I142:J142"/>
    <mergeCell ref="I144:J144"/>
    <mergeCell ref="I146:J146"/>
    <mergeCell ref="I113:K113"/>
    <mergeCell ref="I116:K116"/>
  </mergeCells>
  <conditionalFormatting sqref="D12 D200 D217:D220">
    <cfRule type="cellIs" dxfId="507" priority="297" operator="equal">
      <formula>0</formula>
    </cfRule>
  </conditionalFormatting>
  <conditionalFormatting sqref="K5:M9 K25:M25 L13 L190:M191 K11:M11 L196 L30:M30 L32 L223:M232 K294:M65536">
    <cfRule type="cellIs" dxfId="506" priority="296" operator="equal">
      <formula>0</formula>
    </cfRule>
  </conditionalFormatting>
  <conditionalFormatting sqref="L15:M24">
    <cfRule type="cellIs" dxfId="505" priority="295" operator="equal">
      <formula>0</formula>
    </cfRule>
  </conditionalFormatting>
  <conditionalFormatting sqref="D151">
    <cfRule type="cellIs" dxfId="504" priority="294" operator="equal">
      <formula>0</formula>
    </cfRule>
  </conditionalFormatting>
  <conditionalFormatting sqref="L14">
    <cfRule type="cellIs" dxfId="503" priority="293" operator="equal">
      <formula>0</formula>
    </cfRule>
  </conditionalFormatting>
  <conditionalFormatting sqref="D26">
    <cfRule type="cellIs" dxfId="502" priority="292" operator="equal">
      <formula>0</formula>
    </cfRule>
  </conditionalFormatting>
  <conditionalFormatting sqref="L27:M27">
    <cfRule type="cellIs" dxfId="501" priority="291" operator="equal">
      <formula>0</formula>
    </cfRule>
  </conditionalFormatting>
  <conditionalFormatting sqref="D10">
    <cfRule type="cellIs" dxfId="500" priority="290" operator="equal">
      <formula>0</formula>
    </cfRule>
  </conditionalFormatting>
  <conditionalFormatting sqref="L150:M150">
    <cfRule type="cellIs" dxfId="499" priority="288" operator="equal">
      <formula>0</formula>
    </cfRule>
  </conditionalFormatting>
  <conditionalFormatting sqref="L36:M36 L69:M69">
    <cfRule type="cellIs" dxfId="498" priority="286" operator="equal">
      <formula>0</formula>
    </cfRule>
  </conditionalFormatting>
  <conditionalFormatting sqref="D34">
    <cfRule type="cellIs" dxfId="497" priority="289" operator="equal">
      <formula>0</formula>
    </cfRule>
  </conditionalFormatting>
  <conditionalFormatting sqref="D35">
    <cfRule type="cellIs" dxfId="496" priority="287" operator="equal">
      <formula>0</formula>
    </cfRule>
  </conditionalFormatting>
  <conditionalFormatting sqref="L70:M70">
    <cfRule type="cellIs" dxfId="495" priority="285" operator="equal">
      <formula>0</formula>
    </cfRule>
  </conditionalFormatting>
  <conditionalFormatting sqref="L82:M84">
    <cfRule type="cellIs" dxfId="494" priority="284" operator="equal">
      <formula>0</formula>
    </cfRule>
  </conditionalFormatting>
  <conditionalFormatting sqref="L81:M81">
    <cfRule type="cellIs" dxfId="493" priority="283" operator="equal">
      <formula>0</formula>
    </cfRule>
  </conditionalFormatting>
  <conditionalFormatting sqref="L96">
    <cfRule type="cellIs" dxfId="492" priority="274" operator="equal">
      <formula>0</formula>
    </cfRule>
  </conditionalFormatting>
  <conditionalFormatting sqref="M96">
    <cfRule type="cellIs" dxfId="491" priority="272" operator="equal">
      <formula>0</formula>
    </cfRule>
  </conditionalFormatting>
  <conditionalFormatting sqref="L92:M92">
    <cfRule type="cellIs" dxfId="490" priority="278" operator="equal">
      <formula>0</formula>
    </cfRule>
  </conditionalFormatting>
  <conditionalFormatting sqref="L91:M91">
    <cfRule type="cellIs" dxfId="489" priority="277" operator="equal">
      <formula>0</formula>
    </cfRule>
  </conditionalFormatting>
  <conditionalFormatting sqref="L94:M94">
    <cfRule type="cellIs" dxfId="488" priority="276" operator="equal">
      <formula>0</formula>
    </cfRule>
  </conditionalFormatting>
  <conditionalFormatting sqref="L87:M87">
    <cfRule type="cellIs" dxfId="487" priority="281" operator="equal">
      <formula>0</formula>
    </cfRule>
  </conditionalFormatting>
  <conditionalFormatting sqref="L88:M88">
    <cfRule type="cellIs" dxfId="486" priority="282" operator="equal">
      <formula>0</formula>
    </cfRule>
  </conditionalFormatting>
  <conditionalFormatting sqref="L93:M93">
    <cfRule type="cellIs" dxfId="485" priority="275" operator="equal">
      <formula>0</formula>
    </cfRule>
  </conditionalFormatting>
  <conditionalFormatting sqref="L89:M89">
    <cfRule type="cellIs" dxfId="484" priority="280" operator="equal">
      <formula>0</formula>
    </cfRule>
  </conditionalFormatting>
  <conditionalFormatting sqref="D90">
    <cfRule type="cellIs" dxfId="483" priority="279" operator="equal">
      <formula>0</formula>
    </cfRule>
  </conditionalFormatting>
  <conditionalFormatting sqref="L95:M95">
    <cfRule type="cellIs" dxfId="482" priority="273" operator="equal">
      <formula>0</formula>
    </cfRule>
  </conditionalFormatting>
  <conditionalFormatting sqref="L152:M153">
    <cfRule type="cellIs" dxfId="481" priority="271" operator="equal">
      <formula>0</formula>
    </cfRule>
  </conditionalFormatting>
  <conditionalFormatting sqref="L154:M156 L156:L157">
    <cfRule type="cellIs" dxfId="480" priority="270" operator="equal">
      <formula>0</formula>
    </cfRule>
  </conditionalFormatting>
  <conditionalFormatting sqref="L158:M158 L159">
    <cfRule type="cellIs" dxfId="479" priority="269" operator="equal">
      <formula>0</formula>
    </cfRule>
  </conditionalFormatting>
  <conditionalFormatting sqref="L188:M188">
    <cfRule type="cellIs" dxfId="478" priority="268" operator="equal">
      <formula>0</formula>
    </cfRule>
  </conditionalFormatting>
  <conditionalFormatting sqref="L199:M199">
    <cfRule type="cellIs" dxfId="477" priority="265" operator="equal">
      <formula>0</formula>
    </cfRule>
  </conditionalFormatting>
  <conditionalFormatting sqref="D189">
    <cfRule type="cellIs" dxfId="476" priority="267" operator="equal">
      <formula>0</formula>
    </cfRule>
  </conditionalFormatting>
  <conditionalFormatting sqref="L242:M242">
    <cfRule type="cellIs" dxfId="475" priority="264" operator="equal">
      <formula>0</formula>
    </cfRule>
  </conditionalFormatting>
  <conditionalFormatting sqref="D98">
    <cfRule type="cellIs" dxfId="474" priority="261" operator="equal">
      <formula>0</formula>
    </cfRule>
  </conditionalFormatting>
  <conditionalFormatting sqref="D243">
    <cfRule type="cellIs" dxfId="473" priority="263" operator="equal">
      <formula>0</formula>
    </cfRule>
  </conditionalFormatting>
  <conditionalFormatting sqref="L272:M272">
    <cfRule type="cellIs" dxfId="472" priority="262" operator="equal">
      <formula>0</formula>
    </cfRule>
  </conditionalFormatting>
  <conditionalFormatting sqref="L192:M192">
    <cfRule type="cellIs" dxfId="471" priority="260" operator="equal">
      <formula>0</formula>
    </cfRule>
  </conditionalFormatting>
  <conditionalFormatting sqref="L241">
    <cfRule type="cellIs" dxfId="470" priority="257" operator="equal">
      <formula>0</formula>
    </cfRule>
  </conditionalFormatting>
  <conditionalFormatting sqref="L235:M235 M234">
    <cfRule type="cellIs" dxfId="469" priority="259" operator="equal">
      <formula>0</formula>
    </cfRule>
  </conditionalFormatting>
  <conditionalFormatting sqref="L239:M239 M238">
    <cfRule type="cellIs" dxfId="468" priority="258" operator="equal">
      <formula>0</formula>
    </cfRule>
  </conditionalFormatting>
  <conditionalFormatting sqref="L279:M279">
    <cfRule type="cellIs" dxfId="467" priority="250" operator="equal">
      <formula>0</formula>
    </cfRule>
  </conditionalFormatting>
  <conditionalFormatting sqref="L97:M97">
    <cfRule type="cellIs" dxfId="466" priority="254" operator="equal">
      <formula>0</formula>
    </cfRule>
  </conditionalFormatting>
  <conditionalFormatting sqref="L275:M275">
    <cfRule type="cellIs" dxfId="465" priority="252" operator="equal">
      <formula>0</formula>
    </cfRule>
  </conditionalFormatting>
  <conditionalFormatting sqref="L278:M278">
    <cfRule type="cellIs" dxfId="464" priority="249" operator="equal">
      <formula>0</formula>
    </cfRule>
  </conditionalFormatting>
  <conditionalFormatting sqref="D273">
    <cfRule type="cellIs" dxfId="463" priority="253" operator="equal">
      <formula>0</formula>
    </cfRule>
  </conditionalFormatting>
  <conditionalFormatting sqref="L284:M284">
    <cfRule type="cellIs" dxfId="462" priority="246" operator="equal">
      <formula>0</formula>
    </cfRule>
  </conditionalFormatting>
  <conditionalFormatting sqref="L256:M256">
    <cfRule type="cellIs" dxfId="461" priority="245" operator="equal">
      <formula>0</formula>
    </cfRule>
  </conditionalFormatting>
  <conditionalFormatting sqref="L286:M286">
    <cfRule type="cellIs" dxfId="460" priority="248" operator="equal">
      <formula>0</formula>
    </cfRule>
  </conditionalFormatting>
  <conditionalFormatting sqref="L281">
    <cfRule type="cellIs" dxfId="459" priority="231" operator="equal">
      <formula>0</formula>
    </cfRule>
  </conditionalFormatting>
  <conditionalFormatting sqref="L285:M285">
    <cfRule type="cellIs" dxfId="458" priority="247" operator="equal">
      <formula>0</formula>
    </cfRule>
  </conditionalFormatting>
  <conditionalFormatting sqref="L282:M282">
    <cfRule type="cellIs" dxfId="457" priority="239" operator="equal">
      <formula>0</formula>
    </cfRule>
  </conditionalFormatting>
  <conditionalFormatting sqref="L264:M265">
    <cfRule type="cellIs" dxfId="456" priority="243" operator="equal">
      <formula>0</formula>
    </cfRule>
  </conditionalFormatting>
  <conditionalFormatting sqref="D257">
    <cfRule type="cellIs" dxfId="455" priority="244" operator="equal">
      <formula>0</formula>
    </cfRule>
  </conditionalFormatting>
  <conditionalFormatting sqref="L237">
    <cfRule type="cellIs" dxfId="454" priority="241" operator="equal">
      <formula>0</formula>
    </cfRule>
  </conditionalFormatting>
  <conditionalFormatting sqref="L148:M149">
    <cfRule type="cellIs" dxfId="453" priority="242" operator="equal">
      <formula>0</formula>
    </cfRule>
  </conditionalFormatting>
  <conditionalFormatting sqref="L283">
    <cfRule type="cellIs" dxfId="452" priority="240" operator="equal">
      <formula>0</formula>
    </cfRule>
  </conditionalFormatting>
  <conditionalFormatting sqref="L266:M267">
    <cfRule type="cellIs" dxfId="451" priority="232" operator="equal">
      <formula>0</formula>
    </cfRule>
  </conditionalFormatting>
  <conditionalFormatting sqref="L141:M141">
    <cfRule type="cellIs" dxfId="450" priority="234" operator="equal">
      <formula>0</formula>
    </cfRule>
  </conditionalFormatting>
  <conditionalFormatting sqref="M159">
    <cfRule type="cellIs" dxfId="449" priority="224" operator="equal">
      <formula>0</formula>
    </cfRule>
  </conditionalFormatting>
  <conditionalFormatting sqref="L277:M277">
    <cfRule type="cellIs" dxfId="448" priority="229" operator="equal">
      <formula>0</formula>
    </cfRule>
  </conditionalFormatting>
  <conditionalFormatting sqref="M157">
    <cfRule type="cellIs" dxfId="447" priority="225" operator="equal">
      <formula>0</formula>
    </cfRule>
  </conditionalFormatting>
  <conditionalFormatting sqref="L169">
    <cfRule type="cellIs" dxfId="446" priority="221" operator="equal">
      <formula>0</formula>
    </cfRule>
  </conditionalFormatting>
  <conditionalFormatting sqref="M169">
    <cfRule type="cellIs" dxfId="445" priority="219" operator="equal">
      <formula>0</formula>
    </cfRule>
  </conditionalFormatting>
  <conditionalFormatting sqref="M171">
    <cfRule type="cellIs" dxfId="444" priority="215" operator="equal">
      <formula>0</formula>
    </cfRule>
  </conditionalFormatting>
  <conditionalFormatting sqref="L33:M33">
    <cfRule type="cellIs" dxfId="443" priority="213" operator="equal">
      <formula>0</formula>
    </cfRule>
  </conditionalFormatting>
  <conditionalFormatting sqref="L41:M41">
    <cfRule type="cellIs" dxfId="442" priority="210" operator="equal">
      <formula>0</formula>
    </cfRule>
  </conditionalFormatting>
  <conditionalFormatting sqref="D28">
    <cfRule type="cellIs" dxfId="441" priority="226" operator="equal">
      <formula>0</formula>
    </cfRule>
  </conditionalFormatting>
  <conditionalFormatting sqref="L171">
    <cfRule type="cellIs" dxfId="440" priority="216" operator="equal">
      <formula>0</formula>
    </cfRule>
  </conditionalFormatting>
  <conditionalFormatting sqref="L39:M39">
    <cfRule type="cellIs" dxfId="439" priority="206" operator="equal">
      <formula>0</formula>
    </cfRule>
  </conditionalFormatting>
  <conditionalFormatting sqref="L37:M37">
    <cfRule type="cellIs" dxfId="438" priority="208" operator="equal">
      <formula>0</formula>
    </cfRule>
  </conditionalFormatting>
  <conditionalFormatting sqref="L197:M198">
    <cfRule type="cellIs" dxfId="437" priority="214" operator="equal">
      <formula>0</formula>
    </cfRule>
  </conditionalFormatting>
  <conditionalFormatting sqref="L43:M43">
    <cfRule type="cellIs" dxfId="436" priority="209" operator="equal">
      <formula>0</formula>
    </cfRule>
  </conditionalFormatting>
  <conditionalFormatting sqref="L38:M38">
    <cfRule type="cellIs" dxfId="435" priority="207" operator="equal">
      <formula>0</formula>
    </cfRule>
  </conditionalFormatting>
  <conditionalFormatting sqref="L40:M40">
    <cfRule type="cellIs" dxfId="434" priority="205" operator="equal">
      <formula>0</formula>
    </cfRule>
  </conditionalFormatting>
  <conditionalFormatting sqref="L44">
    <cfRule type="cellIs" dxfId="433" priority="203" operator="equal">
      <formula>0</formula>
    </cfRule>
  </conditionalFormatting>
  <conditionalFormatting sqref="L42:M42">
    <cfRule type="cellIs" dxfId="432" priority="204" operator="equal">
      <formula>0</formula>
    </cfRule>
  </conditionalFormatting>
  <conditionalFormatting sqref="L45:M45">
    <cfRule type="cellIs" dxfId="431" priority="202" operator="equal">
      <formula>0</formula>
    </cfRule>
  </conditionalFormatting>
  <conditionalFormatting sqref="L47:M47">
    <cfRule type="cellIs" dxfId="430" priority="199" operator="equal">
      <formula>0</formula>
    </cfRule>
  </conditionalFormatting>
  <conditionalFormatting sqref="L46:M46">
    <cfRule type="cellIs" dxfId="429" priority="201" operator="equal">
      <formula>0</formula>
    </cfRule>
  </conditionalFormatting>
  <conditionalFormatting sqref="M44">
    <cfRule type="cellIs" dxfId="428" priority="200" operator="equal">
      <formula>0</formula>
    </cfRule>
  </conditionalFormatting>
  <conditionalFormatting sqref="M48">
    <cfRule type="cellIs" dxfId="427" priority="198" operator="equal">
      <formula>0</formula>
    </cfRule>
  </conditionalFormatting>
  <conditionalFormatting sqref="L49">
    <cfRule type="cellIs" dxfId="426" priority="197" operator="equal">
      <formula>0</formula>
    </cfRule>
  </conditionalFormatting>
  <conditionalFormatting sqref="L51">
    <cfRule type="cellIs" dxfId="425" priority="196" operator="equal">
      <formula>0</formula>
    </cfRule>
  </conditionalFormatting>
  <conditionalFormatting sqref="L53">
    <cfRule type="cellIs" dxfId="424" priority="195" operator="equal">
      <formula>0</formula>
    </cfRule>
  </conditionalFormatting>
  <conditionalFormatting sqref="L75:M75">
    <cfRule type="cellIs" dxfId="423" priority="186" operator="equal">
      <formula>0</formula>
    </cfRule>
  </conditionalFormatting>
  <conditionalFormatting sqref="L55">
    <cfRule type="cellIs" dxfId="422" priority="194" operator="equal">
      <formula>0</formula>
    </cfRule>
  </conditionalFormatting>
  <conditionalFormatting sqref="L50">
    <cfRule type="cellIs" dxfId="421" priority="192" operator="equal">
      <formula>0</formula>
    </cfRule>
  </conditionalFormatting>
  <conditionalFormatting sqref="L48">
    <cfRule type="cellIs" dxfId="420" priority="193" operator="equal">
      <formula>0</formula>
    </cfRule>
  </conditionalFormatting>
  <conditionalFormatting sqref="L52">
    <cfRule type="cellIs" dxfId="419" priority="191" operator="equal">
      <formula>0</formula>
    </cfRule>
  </conditionalFormatting>
  <conditionalFormatting sqref="L54">
    <cfRule type="cellIs" dxfId="418" priority="190" operator="equal">
      <formula>0</formula>
    </cfRule>
  </conditionalFormatting>
  <conditionalFormatting sqref="L56">
    <cfRule type="cellIs" dxfId="417" priority="189" operator="equal">
      <formula>0</formula>
    </cfRule>
  </conditionalFormatting>
  <conditionalFormatting sqref="L73:M73">
    <cfRule type="cellIs" dxfId="416" priority="188" operator="equal">
      <formula>0</formula>
    </cfRule>
  </conditionalFormatting>
  <conditionalFormatting sqref="L74:M74">
    <cfRule type="cellIs" dxfId="415" priority="187" operator="equal">
      <formula>0</formula>
    </cfRule>
  </conditionalFormatting>
  <conditionalFormatting sqref="L76:M76">
    <cfRule type="cellIs" dxfId="414" priority="185" operator="equal">
      <formula>0</formula>
    </cfRule>
  </conditionalFormatting>
  <conditionalFormatting sqref="L78:M78">
    <cfRule type="cellIs" dxfId="413" priority="184" operator="equal">
      <formula>0</formula>
    </cfRule>
  </conditionalFormatting>
  <conditionalFormatting sqref="L77:M77">
    <cfRule type="cellIs" dxfId="412" priority="183" operator="equal">
      <formula>0</formula>
    </cfRule>
  </conditionalFormatting>
  <conditionalFormatting sqref="L79:M79">
    <cfRule type="cellIs" dxfId="411" priority="182" operator="equal">
      <formula>0</formula>
    </cfRule>
  </conditionalFormatting>
  <conditionalFormatting sqref="L80:M80">
    <cfRule type="cellIs" dxfId="410" priority="181" operator="equal">
      <formula>0</formula>
    </cfRule>
  </conditionalFormatting>
  <conditionalFormatting sqref="L85:M85">
    <cfRule type="cellIs" dxfId="409" priority="180" operator="equal">
      <formula>0</formula>
    </cfRule>
  </conditionalFormatting>
  <conditionalFormatting sqref="L86:M86">
    <cfRule type="cellIs" dxfId="408" priority="179" operator="equal">
      <formula>0</formula>
    </cfRule>
  </conditionalFormatting>
  <conditionalFormatting sqref="G85:K85">
    <cfRule type="cellIs" dxfId="407" priority="178" operator="equal">
      <formula>0</formula>
    </cfRule>
  </conditionalFormatting>
  <conditionalFormatting sqref="G86:K86">
    <cfRule type="cellIs" dxfId="406" priority="177" operator="equal">
      <formula>0</formula>
    </cfRule>
  </conditionalFormatting>
  <conditionalFormatting sqref="M196">
    <cfRule type="cellIs" dxfId="405" priority="173" operator="equal">
      <formula>0</formula>
    </cfRule>
  </conditionalFormatting>
  <conditionalFormatting sqref="L233">
    <cfRule type="cellIs" dxfId="404" priority="172" operator="equal">
      <formula>0</formula>
    </cfRule>
  </conditionalFormatting>
  <conditionalFormatting sqref="M237">
    <cfRule type="cellIs" dxfId="403" priority="170" operator="equal">
      <formula>0</formula>
    </cfRule>
  </conditionalFormatting>
  <conditionalFormatting sqref="M233">
    <cfRule type="cellIs" dxfId="402" priority="171" operator="equal">
      <formula>0</formula>
    </cfRule>
  </conditionalFormatting>
  <conditionalFormatting sqref="L251:M251">
    <cfRule type="cellIs" dxfId="401" priority="161" operator="equal">
      <formula>0</formula>
    </cfRule>
  </conditionalFormatting>
  <conditionalFormatting sqref="L245:M245">
    <cfRule type="cellIs" dxfId="400" priority="159" operator="equal">
      <formula>0</formula>
    </cfRule>
  </conditionalFormatting>
  <conditionalFormatting sqref="L247:M247">
    <cfRule type="cellIs" dxfId="399" priority="163" operator="equal">
      <formula>0</formula>
    </cfRule>
  </conditionalFormatting>
  <conditionalFormatting sqref="L255:M255">
    <cfRule type="cellIs" dxfId="398" priority="160" operator="equal">
      <formula>0</formula>
    </cfRule>
  </conditionalFormatting>
  <conditionalFormatting sqref="L249:M249">
    <cfRule type="cellIs" dxfId="397" priority="162" operator="equal">
      <formula>0</formula>
    </cfRule>
  </conditionalFormatting>
  <conditionalFormatting sqref="M259">
    <cfRule type="cellIs" dxfId="396" priority="158" operator="equal">
      <formula>0</formula>
    </cfRule>
  </conditionalFormatting>
  <conditionalFormatting sqref="M261">
    <cfRule type="cellIs" dxfId="395" priority="157" operator="equal">
      <formula>0</formula>
    </cfRule>
  </conditionalFormatting>
  <conditionalFormatting sqref="M13:M14">
    <cfRule type="cellIs" dxfId="394" priority="144" operator="equal">
      <formula>0</formula>
    </cfRule>
  </conditionalFormatting>
  <conditionalFormatting sqref="L288:M289">
    <cfRule type="cellIs" dxfId="393" priority="140" operator="equal">
      <formula>0</formula>
    </cfRule>
  </conditionalFormatting>
  <conditionalFormatting sqref="D287">
    <cfRule type="cellIs" dxfId="392" priority="141" operator="equal">
      <formula>0</formula>
    </cfRule>
  </conditionalFormatting>
  <conditionalFormatting sqref="M32">
    <cfRule type="cellIs" dxfId="391" priority="135" operator="equal">
      <formula>0</formula>
    </cfRule>
  </conditionalFormatting>
  <conditionalFormatting sqref="L71:M71">
    <cfRule type="cellIs" dxfId="390" priority="134" operator="equal">
      <formula>0</formula>
    </cfRule>
  </conditionalFormatting>
  <conditionalFormatting sqref="L72:M72">
    <cfRule type="cellIs" dxfId="389" priority="133" operator="equal">
      <formula>0</formula>
    </cfRule>
  </conditionalFormatting>
  <conditionalFormatting sqref="M241">
    <cfRule type="cellIs" dxfId="388" priority="122" operator="equal">
      <formula>0</formula>
    </cfRule>
  </conditionalFormatting>
  <conditionalFormatting sqref="M283">
    <cfRule type="cellIs" dxfId="387" priority="118" operator="equal">
      <formula>0</formula>
    </cfRule>
  </conditionalFormatting>
  <conditionalFormatting sqref="L57">
    <cfRule type="cellIs" dxfId="386" priority="115" operator="equal">
      <formula>0</formula>
    </cfRule>
  </conditionalFormatting>
  <conditionalFormatting sqref="L59">
    <cfRule type="cellIs" dxfId="385" priority="113" operator="equal">
      <formula>0</formula>
    </cfRule>
  </conditionalFormatting>
  <conditionalFormatting sqref="L58">
    <cfRule type="cellIs" dxfId="384" priority="114" operator="equal">
      <formula>0</formula>
    </cfRule>
  </conditionalFormatting>
  <conditionalFormatting sqref="L61">
    <cfRule type="cellIs" dxfId="383" priority="112" operator="equal">
      <formula>0</formula>
    </cfRule>
  </conditionalFormatting>
  <conditionalFormatting sqref="L66">
    <cfRule type="cellIs" dxfId="382" priority="105" operator="equal">
      <formula>0</formula>
    </cfRule>
  </conditionalFormatting>
  <conditionalFormatting sqref="L63">
    <cfRule type="cellIs" dxfId="381" priority="111" operator="equal">
      <formula>0</formula>
    </cfRule>
  </conditionalFormatting>
  <conditionalFormatting sqref="L60">
    <cfRule type="cellIs" dxfId="380" priority="108" operator="equal">
      <formula>0</formula>
    </cfRule>
  </conditionalFormatting>
  <conditionalFormatting sqref="L62">
    <cfRule type="cellIs" dxfId="379" priority="107" operator="equal">
      <formula>0</formula>
    </cfRule>
  </conditionalFormatting>
  <conditionalFormatting sqref="L65">
    <cfRule type="cellIs" dxfId="378" priority="110" operator="equal">
      <formula>0</formula>
    </cfRule>
  </conditionalFormatting>
  <conditionalFormatting sqref="L67">
    <cfRule type="cellIs" dxfId="377" priority="109" operator="equal">
      <formula>0</formula>
    </cfRule>
  </conditionalFormatting>
  <conditionalFormatting sqref="M51">
    <cfRule type="cellIs" dxfId="376" priority="101" operator="equal">
      <formula>0</formula>
    </cfRule>
  </conditionalFormatting>
  <conditionalFormatting sqref="L64">
    <cfRule type="cellIs" dxfId="375" priority="106" operator="equal">
      <formula>0</formula>
    </cfRule>
  </conditionalFormatting>
  <conditionalFormatting sqref="L68">
    <cfRule type="cellIs" dxfId="374" priority="104" operator="equal">
      <formula>0</formula>
    </cfRule>
  </conditionalFormatting>
  <conditionalFormatting sqref="M68">
    <cfRule type="cellIs" dxfId="373" priority="84" operator="equal">
      <formula>0</formula>
    </cfRule>
  </conditionalFormatting>
  <conditionalFormatting sqref="M49">
    <cfRule type="cellIs" dxfId="372" priority="103" operator="equal">
      <formula>0</formula>
    </cfRule>
  </conditionalFormatting>
  <conditionalFormatting sqref="M50">
    <cfRule type="cellIs" dxfId="371" priority="102" operator="equal">
      <formula>0</formula>
    </cfRule>
  </conditionalFormatting>
  <conditionalFormatting sqref="M52">
    <cfRule type="cellIs" dxfId="370" priority="100" operator="equal">
      <formula>0</formula>
    </cfRule>
  </conditionalFormatting>
  <conditionalFormatting sqref="M54">
    <cfRule type="cellIs" dxfId="369" priority="98" operator="equal">
      <formula>0</formula>
    </cfRule>
  </conditionalFormatting>
  <conditionalFormatting sqref="M53">
    <cfRule type="cellIs" dxfId="368" priority="99" operator="equal">
      <formula>0</formula>
    </cfRule>
  </conditionalFormatting>
  <conditionalFormatting sqref="M58">
    <cfRule type="cellIs" dxfId="367" priority="94" operator="equal">
      <formula>0</formula>
    </cfRule>
  </conditionalFormatting>
  <conditionalFormatting sqref="M55">
    <cfRule type="cellIs" dxfId="366" priority="97" operator="equal">
      <formula>0</formula>
    </cfRule>
  </conditionalFormatting>
  <conditionalFormatting sqref="M56">
    <cfRule type="cellIs" dxfId="365" priority="96" operator="equal">
      <formula>0</formula>
    </cfRule>
  </conditionalFormatting>
  <conditionalFormatting sqref="M57">
    <cfRule type="cellIs" dxfId="364" priority="95" operator="equal">
      <formula>0</formula>
    </cfRule>
  </conditionalFormatting>
  <conditionalFormatting sqref="M63">
    <cfRule type="cellIs" dxfId="363" priority="89" operator="equal">
      <formula>0</formula>
    </cfRule>
  </conditionalFormatting>
  <conditionalFormatting sqref="M59">
    <cfRule type="cellIs" dxfId="362" priority="93" operator="equal">
      <formula>0</formula>
    </cfRule>
  </conditionalFormatting>
  <conditionalFormatting sqref="M60">
    <cfRule type="cellIs" dxfId="361" priority="92" operator="equal">
      <formula>0</formula>
    </cfRule>
  </conditionalFormatting>
  <conditionalFormatting sqref="M61">
    <cfRule type="cellIs" dxfId="360" priority="91" operator="equal">
      <formula>0</formula>
    </cfRule>
  </conditionalFormatting>
  <conditionalFormatting sqref="M62">
    <cfRule type="cellIs" dxfId="359" priority="90" operator="equal">
      <formula>0</formula>
    </cfRule>
  </conditionalFormatting>
  <conditionalFormatting sqref="M65">
    <cfRule type="cellIs" dxfId="358" priority="87" operator="equal">
      <formula>0</formula>
    </cfRule>
  </conditionalFormatting>
  <conditionalFormatting sqref="M64">
    <cfRule type="cellIs" dxfId="357" priority="88" operator="equal">
      <formula>0</formula>
    </cfRule>
  </conditionalFormatting>
  <conditionalFormatting sqref="M66">
    <cfRule type="cellIs" dxfId="356" priority="86" operator="equal">
      <formula>0</formula>
    </cfRule>
  </conditionalFormatting>
  <conditionalFormatting sqref="M67">
    <cfRule type="cellIs" dxfId="355" priority="85" operator="equal">
      <formula>0</formula>
    </cfRule>
  </conditionalFormatting>
  <conditionalFormatting sqref="L160:M160">
    <cfRule type="cellIs" dxfId="354" priority="66" operator="equal">
      <formula>0</formula>
    </cfRule>
  </conditionalFormatting>
  <conditionalFormatting sqref="L131 L140">
    <cfRule type="cellIs" dxfId="353" priority="71" operator="equal">
      <formula>0</formula>
    </cfRule>
  </conditionalFormatting>
  <conditionalFormatting sqref="L163:M166">
    <cfRule type="cellIs" dxfId="352" priority="62" operator="equal">
      <formula>0</formula>
    </cfRule>
  </conditionalFormatting>
  <conditionalFormatting sqref="M167">
    <cfRule type="cellIs" dxfId="351" priority="60" operator="equal">
      <formula>0</formula>
    </cfRule>
  </conditionalFormatting>
  <conditionalFormatting sqref="L167">
    <cfRule type="cellIs" dxfId="350" priority="61" operator="equal">
      <formula>0</formula>
    </cfRule>
  </conditionalFormatting>
  <conditionalFormatting sqref="M131 M137 M140">
    <cfRule type="cellIs" dxfId="349" priority="68" operator="equal">
      <formula>0</formula>
    </cfRule>
  </conditionalFormatting>
  <conditionalFormatting sqref="L137">
    <cfRule type="cellIs" dxfId="348" priority="67" operator="equal">
      <formula>0</formula>
    </cfRule>
  </conditionalFormatting>
  <conditionalFormatting sqref="L172:M172">
    <cfRule type="cellIs" dxfId="347" priority="52" operator="equal">
      <formula>0</formula>
    </cfRule>
  </conditionalFormatting>
  <conditionalFormatting sqref="L162:M162">
    <cfRule type="cellIs" dxfId="346" priority="59" operator="equal">
      <formula>0</formula>
    </cfRule>
  </conditionalFormatting>
  <conditionalFormatting sqref="L174:M176">
    <cfRule type="cellIs" dxfId="345" priority="51" operator="equal">
      <formula>0</formula>
    </cfRule>
  </conditionalFormatting>
  <conditionalFormatting sqref="L173">
    <cfRule type="cellIs" dxfId="344" priority="54" operator="equal">
      <formula>0</formula>
    </cfRule>
  </conditionalFormatting>
  <conditionalFormatting sqref="L177">
    <cfRule type="cellIs" dxfId="343" priority="50" operator="equal">
      <formula>0</formula>
    </cfRule>
  </conditionalFormatting>
  <conditionalFormatting sqref="M177">
    <cfRule type="cellIs" dxfId="342" priority="49" operator="equal">
      <formula>0</formula>
    </cfRule>
  </conditionalFormatting>
  <conditionalFormatting sqref="M173">
    <cfRule type="cellIs" dxfId="341" priority="53" operator="equal">
      <formula>0</formula>
    </cfRule>
  </conditionalFormatting>
  <conditionalFormatting sqref="L179">
    <cfRule type="cellIs" dxfId="340" priority="48" operator="equal">
      <formula>0</formula>
    </cfRule>
  </conditionalFormatting>
  <conditionalFormatting sqref="M179">
    <cfRule type="cellIs" dxfId="339" priority="47" operator="equal">
      <formula>0</formula>
    </cfRule>
  </conditionalFormatting>
  <conditionalFormatting sqref="L181">
    <cfRule type="cellIs" dxfId="338" priority="46" operator="equal">
      <formula>0</formula>
    </cfRule>
  </conditionalFormatting>
  <conditionalFormatting sqref="M181">
    <cfRule type="cellIs" dxfId="337" priority="45" operator="equal">
      <formula>0</formula>
    </cfRule>
  </conditionalFormatting>
  <conditionalFormatting sqref="L183">
    <cfRule type="cellIs" dxfId="336" priority="44" operator="equal">
      <formula>0</formula>
    </cfRule>
  </conditionalFormatting>
  <conditionalFormatting sqref="M183">
    <cfRule type="cellIs" dxfId="335" priority="43" operator="equal">
      <formula>0</formula>
    </cfRule>
  </conditionalFormatting>
  <conditionalFormatting sqref="L185">
    <cfRule type="cellIs" dxfId="334" priority="42" operator="equal">
      <formula>0</formula>
    </cfRule>
  </conditionalFormatting>
  <conditionalFormatting sqref="M185">
    <cfRule type="cellIs" dxfId="333" priority="40" operator="equal">
      <formula>0</formula>
    </cfRule>
  </conditionalFormatting>
  <conditionalFormatting sqref="L187">
    <cfRule type="cellIs" dxfId="332" priority="39" operator="equal">
      <formula>0</formula>
    </cfRule>
  </conditionalFormatting>
  <conditionalFormatting sqref="M187">
    <cfRule type="cellIs" dxfId="331" priority="38" operator="equal">
      <formula>0</formula>
    </cfRule>
  </conditionalFormatting>
  <conditionalFormatting sqref="L193:M193 M194:M195">
    <cfRule type="cellIs" dxfId="330" priority="37" operator="equal">
      <formula>0</formula>
    </cfRule>
  </conditionalFormatting>
  <conditionalFormatting sqref="L194:L195">
    <cfRule type="cellIs" dxfId="329" priority="36" operator="equal">
      <formula>0</formula>
    </cfRule>
  </conditionalFormatting>
  <conditionalFormatting sqref="L201 L203:M204 L215:M216 L206:M213">
    <cfRule type="cellIs" dxfId="328" priority="35" operator="equal">
      <formula>0</formula>
    </cfRule>
  </conditionalFormatting>
  <conditionalFormatting sqref="M201">
    <cfRule type="cellIs" dxfId="327" priority="34" operator="equal">
      <formula>0</formula>
    </cfRule>
  </conditionalFormatting>
  <conditionalFormatting sqref="L214:M214">
    <cfRule type="cellIs" dxfId="326" priority="33" operator="equal">
      <formula>0</formula>
    </cfRule>
  </conditionalFormatting>
  <conditionalFormatting sqref="D221">
    <cfRule type="cellIs" dxfId="325" priority="32" operator="equal">
      <formula>0</formula>
    </cfRule>
  </conditionalFormatting>
  <conditionalFormatting sqref="L205:M205">
    <cfRule type="cellIs" dxfId="324" priority="31" operator="equal">
      <formula>0</formula>
    </cfRule>
  </conditionalFormatting>
  <conditionalFormatting sqref="L262:M263">
    <cfRule type="cellIs" dxfId="323" priority="30" operator="equal">
      <formula>0</formula>
    </cfRule>
  </conditionalFormatting>
  <conditionalFormatting sqref="L268:M269">
    <cfRule type="cellIs" dxfId="322" priority="29" operator="equal">
      <formula>0</formula>
    </cfRule>
  </conditionalFormatting>
  <conditionalFormatting sqref="L270:M270">
    <cfRule type="cellIs" dxfId="321" priority="28" operator="equal">
      <formula>0</formula>
    </cfRule>
  </conditionalFormatting>
  <conditionalFormatting sqref="L271">
    <cfRule type="cellIs" dxfId="320" priority="27" operator="equal">
      <formula>0</formula>
    </cfRule>
  </conditionalFormatting>
  <conditionalFormatting sqref="M271">
    <cfRule type="cellIs" dxfId="319" priority="26" operator="equal">
      <formula>0</formula>
    </cfRule>
  </conditionalFormatting>
  <conditionalFormatting sqref="M281">
    <cfRule type="cellIs" dxfId="318" priority="25" operator="equal">
      <formula>0</formula>
    </cfRule>
  </conditionalFormatting>
  <conditionalFormatting sqref="L253:M253">
    <cfRule type="cellIs" dxfId="317" priority="22" operator="equal">
      <formula>0</formula>
    </cfRule>
  </conditionalFormatting>
  <conditionalFormatting sqref="L290:M291">
    <cfRule type="cellIs" dxfId="316" priority="21" operator="equal">
      <formula>0</formula>
    </cfRule>
  </conditionalFormatting>
  <conditionalFormatting sqref="L293:M293">
    <cfRule type="cellIs" dxfId="315" priority="20" operator="equal">
      <formula>0</formula>
    </cfRule>
  </conditionalFormatting>
  <conditionalFormatting sqref="L292:M292">
    <cfRule type="cellIs" dxfId="314" priority="19" operator="equal">
      <formula>0</formula>
    </cfRule>
  </conditionalFormatting>
  <conditionalFormatting sqref="M161">
    <cfRule type="cellIs" dxfId="313" priority="17" operator="equal">
      <formula>0</formula>
    </cfRule>
  </conditionalFormatting>
  <conditionalFormatting sqref="L161">
    <cfRule type="cellIs" dxfId="312" priority="18" operator="equal">
      <formula>0</formula>
    </cfRule>
  </conditionalFormatting>
  <conditionalFormatting sqref="L113:M114">
    <cfRule type="cellIs" dxfId="311" priority="16" operator="equal">
      <formula>0</formula>
    </cfRule>
  </conditionalFormatting>
  <conditionalFormatting sqref="L133">
    <cfRule type="cellIs" dxfId="310" priority="15" operator="equal">
      <formula>0</formula>
    </cfRule>
  </conditionalFormatting>
  <conditionalFormatting sqref="M133">
    <cfRule type="cellIs" dxfId="309" priority="14" operator="equal">
      <formula>0</formula>
    </cfRule>
  </conditionalFormatting>
  <conditionalFormatting sqref="L139:M139">
    <cfRule type="cellIs" dxfId="308" priority="13" operator="equal">
      <formula>0</formula>
    </cfRule>
  </conditionalFormatting>
  <conditionalFormatting sqref="L138">
    <cfRule type="cellIs" dxfId="307" priority="12" operator="equal">
      <formula>0</formula>
    </cfRule>
  </conditionalFormatting>
  <conditionalFormatting sqref="M138">
    <cfRule type="cellIs" dxfId="306" priority="11" operator="equal">
      <formula>0</formula>
    </cfRule>
  </conditionalFormatting>
  <conditionalFormatting sqref="L143:M143">
    <cfRule type="cellIs" dxfId="305" priority="10" operator="equal">
      <formula>0</formula>
    </cfRule>
  </conditionalFormatting>
  <conditionalFormatting sqref="L142">
    <cfRule type="cellIs" dxfId="304" priority="9" operator="equal">
      <formula>0</formula>
    </cfRule>
  </conditionalFormatting>
  <conditionalFormatting sqref="M142">
    <cfRule type="cellIs" dxfId="303" priority="8" operator="equal">
      <formula>0</formula>
    </cfRule>
  </conditionalFormatting>
  <conditionalFormatting sqref="L145:M145">
    <cfRule type="cellIs" dxfId="302" priority="7" operator="equal">
      <formula>0</formula>
    </cfRule>
  </conditionalFormatting>
  <conditionalFormatting sqref="L144">
    <cfRule type="cellIs" dxfId="301" priority="6" operator="equal">
      <formula>0</formula>
    </cfRule>
  </conditionalFormatting>
  <conditionalFormatting sqref="M144">
    <cfRule type="cellIs" dxfId="300" priority="5" operator="equal">
      <formula>0</formula>
    </cfRule>
  </conditionalFormatting>
  <conditionalFormatting sqref="L147:M147">
    <cfRule type="cellIs" dxfId="299" priority="4" operator="equal">
      <formula>0</formula>
    </cfRule>
  </conditionalFormatting>
  <conditionalFormatting sqref="L146">
    <cfRule type="cellIs" dxfId="298" priority="3" operator="equal">
      <formula>0</formula>
    </cfRule>
  </conditionalFormatting>
  <conditionalFormatting sqref="M146">
    <cfRule type="cellIs" dxfId="297" priority="2" operator="equal">
      <formula>0</formula>
    </cfRule>
  </conditionalFormatting>
  <conditionalFormatting sqref="L116:M116">
    <cfRule type="cellIs" dxfId="296" priority="1" operator="equal">
      <formula>0</formula>
    </cfRule>
  </conditionalFormatting>
  <pageMargins left="0.51181102362204722" right="0.51181102362204722" top="0.78740157480314965" bottom="0.78740157480314965" header="0.31496062992125984" footer="0.31496062992125984"/>
  <pageSetup paperSize="9" scale="55" fitToHeight="0" orientation="portrait" horizontalDpi="1200" verticalDpi="1200" r:id="rId1"/>
  <rowBreaks count="2" manualBreakCount="2">
    <brk id="171" min="3" max="12" man="1"/>
    <brk id="237" min="3" max="12" man="1"/>
  </rowBreaks>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S164"/>
  <sheetViews>
    <sheetView topLeftCell="D1" zoomScale="85" zoomScaleNormal="85" zoomScaleSheetLayoutView="85" workbookViewId="0">
      <selection activeCell="D10" sqref="D10:M10"/>
    </sheetView>
  </sheetViews>
  <sheetFormatPr defaultRowHeight="12.75"/>
  <cols>
    <col min="1" max="1" width="20.7109375" style="862" customWidth="1"/>
    <col min="2" max="2" width="7.5703125" style="862" bestFit="1" customWidth="1"/>
    <col min="3" max="3" width="11.140625" style="835" customWidth="1"/>
    <col min="4" max="4" width="67" style="857" customWidth="1"/>
    <col min="5" max="5" width="15.7109375" style="857" customWidth="1"/>
    <col min="6" max="6" width="14.140625" style="858" customWidth="1"/>
    <col min="7" max="8" width="10.85546875" style="857" customWidth="1"/>
    <col min="9" max="9" width="14.85546875" style="857" customWidth="1"/>
    <col min="10" max="10" width="14.140625" style="859" customWidth="1"/>
    <col min="11" max="11" width="12.5703125" style="860" customWidth="1"/>
    <col min="12" max="12" width="12" style="861" customWidth="1"/>
    <col min="13" max="13" width="12.140625" style="861" customWidth="1"/>
    <col min="14" max="14" width="9.42578125" style="700" customWidth="1"/>
    <col min="15" max="15" width="7.5703125" style="863" customWidth="1"/>
    <col min="16" max="16" width="7.5703125" style="871" customWidth="1"/>
    <col min="17" max="17" width="7.5703125" style="863" customWidth="1"/>
    <col min="18" max="18" width="4.7109375" style="863" customWidth="1"/>
    <col min="19" max="16384" width="9.140625" style="865"/>
  </cols>
  <sheetData>
    <row r="1" spans="1:16" ht="18">
      <c r="D1" s="1661" t="s">
        <v>11665</v>
      </c>
      <c r="E1" s="1662"/>
      <c r="F1" s="1662"/>
      <c r="G1" s="1662"/>
      <c r="H1" s="1662"/>
      <c r="I1" s="1662"/>
      <c r="J1" s="1662"/>
      <c r="K1" s="1662"/>
      <c r="L1" s="1662"/>
      <c r="M1" s="1663"/>
      <c r="P1" s="864"/>
    </row>
    <row r="2" spans="1:16" ht="18">
      <c r="D2" s="1664"/>
      <c r="E2" s="1665"/>
      <c r="F2" s="1665"/>
      <c r="G2" s="1665"/>
      <c r="H2" s="1665"/>
      <c r="I2" s="1665"/>
      <c r="J2" s="1665"/>
      <c r="K2" s="1665"/>
      <c r="L2" s="1665"/>
      <c r="M2" s="1666"/>
      <c r="P2" s="864"/>
    </row>
    <row r="3" spans="1:16" ht="18">
      <c r="D3" s="1664"/>
      <c r="E3" s="1665"/>
      <c r="F3" s="1665"/>
      <c r="G3" s="1665"/>
      <c r="H3" s="1665"/>
      <c r="I3" s="1665"/>
      <c r="J3" s="1665"/>
      <c r="K3" s="1665"/>
      <c r="L3" s="1665"/>
      <c r="M3" s="1666"/>
      <c r="P3" s="864"/>
    </row>
    <row r="4" spans="1:16" ht="15.75" customHeight="1" thickBot="1">
      <c r="D4" s="1667"/>
      <c r="E4" s="1668"/>
      <c r="F4" s="1668"/>
      <c r="G4" s="1668"/>
      <c r="H4" s="1668"/>
      <c r="I4" s="1668"/>
      <c r="J4" s="1668"/>
      <c r="K4" s="1668"/>
      <c r="L4" s="1668"/>
      <c r="M4" s="1669"/>
      <c r="P4" s="866"/>
    </row>
    <row r="5" spans="1:16" ht="14.25" customHeight="1">
      <c r="D5" s="782"/>
      <c r="E5" s="700"/>
      <c r="F5" s="783"/>
      <c r="G5" s="783"/>
      <c r="H5" s="783"/>
      <c r="I5" s="783"/>
      <c r="J5" s="784"/>
      <c r="K5" s="785"/>
      <c r="L5" s="786"/>
      <c r="M5" s="787"/>
      <c r="P5" s="867"/>
    </row>
    <row r="6" spans="1:16" ht="14.25" customHeight="1">
      <c r="D6" s="789" t="s">
        <v>14559</v>
      </c>
      <c r="E6" s="790"/>
      <c r="F6" s="790"/>
      <c r="G6" s="790"/>
      <c r="H6" s="790"/>
      <c r="I6" s="790"/>
      <c r="J6" s="790"/>
      <c r="K6" s="791"/>
      <c r="L6" s="792"/>
      <c r="M6" s="793"/>
      <c r="N6" s="868"/>
      <c r="P6" s="866"/>
    </row>
    <row r="7" spans="1:16" ht="14.25" customHeight="1">
      <c r="D7" s="789" t="s">
        <v>11836</v>
      </c>
      <c r="E7" s="790"/>
      <c r="F7" s="790"/>
      <c r="G7" s="790"/>
      <c r="H7" s="790"/>
      <c r="I7" s="790"/>
      <c r="J7" s="790"/>
      <c r="K7" s="791"/>
      <c r="L7" s="795"/>
      <c r="M7" s="796"/>
      <c r="N7" s="869"/>
      <c r="P7" s="866"/>
    </row>
    <row r="8" spans="1:16" s="863" customFormat="1" ht="14.25" customHeight="1">
      <c r="A8" s="862"/>
      <c r="B8" s="862"/>
      <c r="C8" s="835"/>
      <c r="D8" s="1675" t="s">
        <v>12451</v>
      </c>
      <c r="E8" s="1676"/>
      <c r="F8" s="790"/>
      <c r="G8" s="790"/>
      <c r="H8" s="790"/>
      <c r="I8" s="790"/>
      <c r="J8" s="790"/>
      <c r="K8" s="791"/>
      <c r="L8" s="795"/>
      <c r="M8" s="796"/>
      <c r="N8" s="869"/>
      <c r="P8" s="866"/>
    </row>
    <row r="9" spans="1:16" s="863" customFormat="1" ht="6.75" customHeight="1" thickBot="1">
      <c r="A9" s="862"/>
      <c r="B9" s="862"/>
      <c r="C9" s="835"/>
      <c r="D9" s="798"/>
      <c r="E9" s="799"/>
      <c r="F9" s="799"/>
      <c r="G9" s="800"/>
      <c r="H9" s="800"/>
      <c r="I9" s="800"/>
      <c r="J9" s="800"/>
      <c r="K9" s="801"/>
      <c r="L9" s="802"/>
      <c r="M9" s="803"/>
      <c r="N9" s="869"/>
      <c r="P9" s="866"/>
    </row>
    <row r="10" spans="1:16" s="863" customFormat="1" ht="15.75" customHeight="1" thickTop="1" thickBot="1">
      <c r="A10" s="862"/>
      <c r="B10" s="862"/>
      <c r="C10" s="835"/>
      <c r="D10" s="1653" t="s">
        <v>12452</v>
      </c>
      <c r="E10" s="1654"/>
      <c r="F10" s="1654"/>
      <c r="G10" s="1654"/>
      <c r="H10" s="1654"/>
      <c r="I10" s="1654"/>
      <c r="J10" s="1654"/>
      <c r="K10" s="1654"/>
      <c r="L10" s="1654"/>
      <c r="M10" s="1670"/>
      <c r="N10" s="870"/>
      <c r="O10" s="871"/>
      <c r="P10" s="871"/>
    </row>
    <row r="11" spans="1:16" s="863" customFormat="1" ht="6" customHeight="1" thickTop="1" thickBot="1">
      <c r="A11" s="862"/>
      <c r="B11" s="862"/>
      <c r="C11" s="835"/>
      <c r="D11" s="806"/>
      <c r="E11" s="807"/>
      <c r="F11" s="808"/>
      <c r="G11" s="700"/>
      <c r="H11" s="700"/>
      <c r="I11" s="700"/>
      <c r="J11" s="809"/>
      <c r="K11" s="791"/>
      <c r="L11" s="802"/>
      <c r="M11" s="810"/>
      <c r="N11" s="700"/>
      <c r="P11" s="872"/>
    </row>
    <row r="12" spans="1:16" s="863" customFormat="1" ht="14.25" customHeight="1" thickTop="1" thickBot="1">
      <c r="A12" s="862"/>
      <c r="B12" s="862"/>
      <c r="C12" s="835"/>
      <c r="D12" s="1653" t="s">
        <v>3</v>
      </c>
      <c r="E12" s="1654"/>
      <c r="F12" s="1654"/>
      <c r="G12" s="1654"/>
      <c r="H12" s="1654"/>
      <c r="I12" s="1654"/>
      <c r="J12" s="1654"/>
      <c r="K12" s="1654"/>
      <c r="L12" s="1654"/>
      <c r="M12" s="1670"/>
      <c r="N12" s="816"/>
      <c r="P12" s="873"/>
    </row>
    <row r="13" spans="1:16" s="863" customFormat="1" ht="13.5" thickTop="1">
      <c r="A13" s="862"/>
      <c r="B13" s="862"/>
      <c r="C13" s="835"/>
      <c r="D13" s="814" t="s">
        <v>4</v>
      </c>
      <c r="E13" s="815"/>
      <c r="F13" s="815"/>
      <c r="G13" s="815"/>
      <c r="H13" s="815"/>
      <c r="I13" s="815"/>
      <c r="J13" s="815"/>
      <c r="K13" s="815"/>
      <c r="L13" s="816" t="s">
        <v>5</v>
      </c>
      <c r="M13" s="817">
        <f>'PARAMETROS MC'!C37</f>
        <v>7.5</v>
      </c>
      <c r="N13" s="874"/>
      <c r="O13" s="875"/>
      <c r="P13" s="871"/>
    </row>
    <row r="14" spans="1:16" s="863" customFormat="1">
      <c r="A14" s="862"/>
      <c r="B14" s="862"/>
      <c r="C14" s="835"/>
      <c r="D14" s="820" t="s">
        <v>34</v>
      </c>
      <c r="E14" s="821"/>
      <c r="F14" s="821"/>
      <c r="G14" s="821"/>
      <c r="H14" s="821"/>
      <c r="I14" s="821"/>
      <c r="J14" s="821"/>
      <c r="K14" s="821"/>
      <c r="L14" s="816" t="s">
        <v>5</v>
      </c>
      <c r="M14" s="817">
        <f>'PARAMETROS MC'!C38</f>
        <v>4.5999999999999996</v>
      </c>
      <c r="N14" s="874"/>
      <c r="O14" s="875"/>
      <c r="P14" s="871"/>
    </row>
    <row r="15" spans="1:16" s="863" customFormat="1">
      <c r="A15" s="862"/>
      <c r="B15" s="862"/>
      <c r="C15" s="835"/>
      <c r="D15" s="820" t="s">
        <v>6</v>
      </c>
      <c r="E15" s="821"/>
      <c r="F15" s="821"/>
      <c r="G15" s="821"/>
      <c r="H15" s="821"/>
      <c r="I15" s="821"/>
      <c r="J15" s="821"/>
      <c r="K15" s="821"/>
      <c r="L15" s="816" t="s">
        <v>8</v>
      </c>
      <c r="M15" s="822">
        <v>0.95</v>
      </c>
      <c r="N15" s="874"/>
      <c r="O15" s="875"/>
      <c r="P15" s="871"/>
    </row>
    <row r="16" spans="1:16" s="863" customFormat="1">
      <c r="A16" s="862"/>
      <c r="B16" s="862"/>
      <c r="C16" s="835"/>
      <c r="D16" s="820" t="s">
        <v>7</v>
      </c>
      <c r="E16" s="821"/>
      <c r="F16" s="821"/>
      <c r="G16" s="821"/>
      <c r="H16" s="821"/>
      <c r="I16" s="821"/>
      <c r="J16" s="821"/>
      <c r="K16" s="821"/>
      <c r="L16" s="816" t="s">
        <v>8</v>
      </c>
      <c r="M16" s="822">
        <v>0.05</v>
      </c>
      <c r="N16" s="874"/>
      <c r="O16" s="875"/>
      <c r="P16" s="871"/>
    </row>
    <row r="17" spans="1:19" s="863" customFormat="1">
      <c r="A17" s="862"/>
      <c r="B17" s="862"/>
      <c r="C17" s="835"/>
      <c r="D17" s="820" t="s">
        <v>9</v>
      </c>
      <c r="E17" s="821"/>
      <c r="F17" s="821"/>
      <c r="G17" s="821"/>
      <c r="H17" s="821"/>
      <c r="I17" s="821"/>
      <c r="J17" s="821"/>
      <c r="K17" s="821"/>
      <c r="L17" s="816" t="s">
        <v>8</v>
      </c>
      <c r="M17" s="822">
        <v>0.9</v>
      </c>
      <c r="N17" s="874"/>
      <c r="O17" s="875"/>
      <c r="P17" s="871"/>
    </row>
    <row r="18" spans="1:19" s="863" customFormat="1">
      <c r="A18" s="862"/>
      <c r="B18" s="862"/>
      <c r="C18" s="835"/>
      <c r="D18" s="820" t="s">
        <v>10</v>
      </c>
      <c r="E18" s="821"/>
      <c r="F18" s="821"/>
      <c r="G18" s="821"/>
      <c r="H18" s="821"/>
      <c r="I18" s="821"/>
      <c r="J18" s="821"/>
      <c r="K18" s="821"/>
      <c r="L18" s="816" t="s">
        <v>8</v>
      </c>
      <c r="M18" s="822">
        <v>0.05</v>
      </c>
      <c r="N18" s="874"/>
      <c r="O18" s="875"/>
      <c r="P18" s="871"/>
    </row>
    <row r="19" spans="1:19" s="863" customFormat="1">
      <c r="A19" s="862"/>
      <c r="B19" s="862"/>
      <c r="C19" s="835"/>
      <c r="D19" s="820" t="s">
        <v>11</v>
      </c>
      <c r="E19" s="821"/>
      <c r="F19" s="821"/>
      <c r="G19" s="821"/>
      <c r="H19" s="821"/>
      <c r="I19" s="821"/>
      <c r="J19" s="821"/>
      <c r="K19" s="821"/>
      <c r="L19" s="816" t="s">
        <v>8</v>
      </c>
      <c r="M19" s="822">
        <v>0</v>
      </c>
      <c r="N19" s="874"/>
      <c r="O19" s="875"/>
      <c r="P19" s="871"/>
    </row>
    <row r="20" spans="1:19" s="863" customFormat="1">
      <c r="A20" s="862"/>
      <c r="B20" s="862"/>
      <c r="C20" s="835"/>
      <c r="D20" s="820" t="s">
        <v>12</v>
      </c>
      <c r="E20" s="821"/>
      <c r="F20" s="821"/>
      <c r="G20" s="821"/>
      <c r="H20" s="821"/>
      <c r="I20" s="821"/>
      <c r="J20" s="821"/>
      <c r="K20" s="821"/>
      <c r="L20" s="816" t="s">
        <v>8</v>
      </c>
      <c r="M20" s="822">
        <v>0.05</v>
      </c>
      <c r="N20" s="874"/>
      <c r="O20" s="875"/>
      <c r="P20" s="871"/>
    </row>
    <row r="21" spans="1:19" s="863" customFormat="1">
      <c r="A21" s="862"/>
      <c r="B21" s="862"/>
      <c r="C21" s="835"/>
      <c r="D21" s="820" t="s">
        <v>13</v>
      </c>
      <c r="E21" s="821"/>
      <c r="F21" s="821"/>
      <c r="G21" s="821"/>
      <c r="H21" s="821"/>
      <c r="I21" s="821"/>
      <c r="J21" s="821"/>
      <c r="K21" s="821"/>
      <c r="L21" s="816" t="s">
        <v>8</v>
      </c>
      <c r="M21" s="822">
        <v>0.2</v>
      </c>
      <c r="N21" s="874"/>
      <c r="O21" s="875"/>
      <c r="P21" s="871"/>
    </row>
    <row r="22" spans="1:19" s="863" customFormat="1">
      <c r="A22" s="862"/>
      <c r="B22" s="862"/>
      <c r="C22" s="835"/>
      <c r="D22" s="820" t="s">
        <v>14</v>
      </c>
      <c r="E22" s="821"/>
      <c r="F22" s="821"/>
      <c r="G22" s="821"/>
      <c r="H22" s="821"/>
      <c r="I22" s="821"/>
      <c r="J22" s="821"/>
      <c r="K22" s="821"/>
      <c r="L22" s="816" t="s">
        <v>8</v>
      </c>
      <c r="M22" s="822">
        <v>0.15</v>
      </c>
      <c r="N22" s="874"/>
      <c r="O22" s="875"/>
      <c r="P22" s="871"/>
    </row>
    <row r="23" spans="1:19" s="863" customFormat="1">
      <c r="A23" s="862"/>
      <c r="B23" s="862"/>
      <c r="C23" s="835"/>
      <c r="D23" s="820" t="s">
        <v>15</v>
      </c>
      <c r="E23" s="821"/>
      <c r="F23" s="821"/>
      <c r="G23" s="821"/>
      <c r="H23" s="821"/>
      <c r="I23" s="821"/>
      <c r="J23" s="821"/>
      <c r="K23" s="821"/>
      <c r="L23" s="816" t="s">
        <v>8</v>
      </c>
      <c r="M23" s="822">
        <v>0.1</v>
      </c>
      <c r="N23" s="874"/>
      <c r="O23" s="875"/>
      <c r="P23" s="871"/>
    </row>
    <row r="24" spans="1:19" s="863" customFormat="1">
      <c r="A24" s="862"/>
      <c r="B24" s="862"/>
      <c r="C24" s="835"/>
      <c r="D24" s="820" t="s">
        <v>16</v>
      </c>
      <c r="E24" s="821"/>
      <c r="F24" s="821"/>
      <c r="G24" s="821"/>
      <c r="H24" s="821"/>
      <c r="I24" s="821"/>
      <c r="J24" s="821"/>
      <c r="K24" s="821"/>
      <c r="L24" s="816" t="s">
        <v>8</v>
      </c>
      <c r="M24" s="822">
        <v>0.9</v>
      </c>
      <c r="N24" s="874"/>
      <c r="O24" s="875"/>
      <c r="P24" s="871"/>
    </row>
    <row r="25" spans="1:19">
      <c r="D25" s="823"/>
      <c r="E25" s="700"/>
      <c r="F25" s="808"/>
      <c r="G25" s="700"/>
      <c r="H25" s="700"/>
      <c r="I25" s="700"/>
      <c r="J25" s="809"/>
      <c r="K25" s="791"/>
      <c r="L25" s="824"/>
      <c r="M25" s="825"/>
    </row>
    <row r="26" spans="1:19" s="863" customFormat="1" ht="6" customHeight="1" thickBot="1">
      <c r="A26" s="862"/>
      <c r="B26" s="862"/>
      <c r="C26" s="835"/>
      <c r="D26" s="826"/>
      <c r="E26" s="790"/>
      <c r="F26" s="790"/>
      <c r="G26" s="700"/>
      <c r="H26" s="700"/>
      <c r="I26" s="700"/>
      <c r="J26" s="700"/>
      <c r="K26" s="700"/>
      <c r="L26" s="700"/>
      <c r="M26" s="827"/>
      <c r="N26" s="700"/>
      <c r="P26" s="871"/>
    </row>
    <row r="27" spans="1:19" s="863" customFormat="1" ht="14.25" thickTop="1" thickBot="1">
      <c r="A27" s="862"/>
      <c r="B27" s="862"/>
      <c r="C27" s="835"/>
      <c r="D27" s="830" t="s">
        <v>11640</v>
      </c>
      <c r="E27" s="831"/>
      <c r="F27" s="831"/>
      <c r="G27" s="831"/>
      <c r="H27" s="831"/>
      <c r="I27" s="831"/>
      <c r="J27" s="831"/>
      <c r="K27" s="831"/>
      <c r="L27" s="832"/>
      <c r="M27" s="833"/>
      <c r="N27" s="870"/>
      <c r="O27" s="871"/>
      <c r="P27" s="871"/>
    </row>
    <row r="28" spans="1:19" ht="13.5" thickTop="1">
      <c r="D28" s="826"/>
      <c r="E28" s="790"/>
      <c r="F28" s="790"/>
      <c r="G28" s="700" t="s">
        <v>30</v>
      </c>
      <c r="H28" s="700" t="s">
        <v>30</v>
      </c>
      <c r="I28" s="700" t="s">
        <v>1275</v>
      </c>
      <c r="J28" s="700" t="s">
        <v>17</v>
      </c>
      <c r="K28" s="700" t="s">
        <v>19</v>
      </c>
      <c r="L28" s="700" t="s">
        <v>30</v>
      </c>
      <c r="M28" s="876" t="s">
        <v>30</v>
      </c>
      <c r="N28" s="824"/>
      <c r="O28" s="790"/>
      <c r="P28" s="863"/>
      <c r="Q28" s="871"/>
      <c r="S28" s="863"/>
    </row>
    <row r="29" spans="1:19">
      <c r="D29" s="826"/>
      <c r="E29" s="790"/>
      <c r="F29" s="1674" t="s">
        <v>12478</v>
      </c>
      <c r="G29" s="1674"/>
      <c r="H29" s="700"/>
      <c r="I29" s="700">
        <v>1</v>
      </c>
      <c r="J29" s="828">
        <f>J32+1*2</f>
        <v>6</v>
      </c>
      <c r="K29" s="828">
        <f>K32+1*2</f>
        <v>3.7</v>
      </c>
      <c r="L29" s="700" t="s">
        <v>21</v>
      </c>
      <c r="M29" s="877">
        <f>J29*K29</f>
        <v>22.200000000000003</v>
      </c>
      <c r="N29" s="824"/>
      <c r="O29" s="790"/>
      <c r="P29" s="863"/>
      <c r="Q29" s="871"/>
      <c r="S29" s="863"/>
    </row>
    <row r="30" spans="1:19" ht="22.5">
      <c r="A30" s="862" t="s">
        <v>12453</v>
      </c>
      <c r="B30" s="850" t="s">
        <v>70</v>
      </c>
      <c r="C30" s="850" t="s">
        <v>19163</v>
      </c>
      <c r="D30" s="836" t="str">
        <f>PROPER(IF(B30="SANEAGO",VLOOKUP(C30,'SANEAGO-FEV.2016'!A:B,2,0),IF(B30="SINAPI",VLOOKUP(C30,'SINAPI-FEV.2017'!A:D,2,0),IF(B30="Cotação",VLOOKUP(C30,COTAÇÃO!A:D,2,0),IF(B30="Composição",VLOOKUP(C30,COMPOSIÇÃO!A:D,2,0))))))</f>
        <v>Limpeza Mecanizada De Terreno Com Remocao De Camada Vegetal, Utilizando Motoniveladora</v>
      </c>
      <c r="E30" s="837"/>
      <c r="F30" s="837"/>
      <c r="G30" s="852"/>
      <c r="H30" s="852"/>
      <c r="I30" s="852"/>
      <c r="J30" s="852"/>
      <c r="K30" s="856" t="s">
        <v>27</v>
      </c>
      <c r="L30" s="856" t="s">
        <v>21</v>
      </c>
      <c r="M30" s="840">
        <f>SUM(M29:M29)</f>
        <v>22.200000000000003</v>
      </c>
      <c r="N30" s="824"/>
      <c r="O30" s="790"/>
      <c r="P30" s="863"/>
      <c r="Q30" s="871"/>
      <c r="S30" s="863"/>
    </row>
    <row r="31" spans="1:19">
      <c r="B31" s="835"/>
      <c r="D31" s="826"/>
      <c r="E31" s="790"/>
      <c r="F31" s="790"/>
      <c r="G31" s="700"/>
      <c r="H31" s="700" t="s">
        <v>30</v>
      </c>
      <c r="I31" s="700" t="s">
        <v>1275</v>
      </c>
      <c r="J31" s="700" t="s">
        <v>17</v>
      </c>
      <c r="K31" s="700" t="s">
        <v>19</v>
      </c>
      <c r="L31" s="700"/>
      <c r="M31" s="829"/>
      <c r="N31" s="824"/>
      <c r="O31" s="790"/>
      <c r="P31" s="863"/>
      <c r="Q31" s="871"/>
      <c r="S31" s="863"/>
    </row>
    <row r="32" spans="1:19">
      <c r="B32" s="850"/>
      <c r="C32" s="850"/>
      <c r="D32" s="826"/>
      <c r="E32" s="790"/>
      <c r="F32" s="1674" t="s">
        <v>12478</v>
      </c>
      <c r="G32" s="1674"/>
      <c r="H32" s="824"/>
      <c r="I32" s="700">
        <v>1</v>
      </c>
      <c r="J32" s="828">
        <f>3.6+0.4</f>
        <v>4</v>
      </c>
      <c r="K32" s="828">
        <f>1.3+0.4</f>
        <v>1.7000000000000002</v>
      </c>
      <c r="L32" s="700" t="s">
        <v>21</v>
      </c>
      <c r="M32" s="829">
        <f>J32*K32</f>
        <v>6.8000000000000007</v>
      </c>
      <c r="N32" s="824"/>
      <c r="O32" s="790"/>
      <c r="P32" s="863"/>
      <c r="Q32" s="871"/>
      <c r="S32" s="863"/>
    </row>
    <row r="33" spans="1:19" ht="22.5">
      <c r="A33" s="862" t="s">
        <v>12454</v>
      </c>
      <c r="B33" s="850" t="s">
        <v>70</v>
      </c>
      <c r="C33" s="850" t="s">
        <v>19263</v>
      </c>
      <c r="D33" s="836" t="str">
        <f>PROPER(IF(B33="SANEAGO",VLOOKUP(C33,'SANEAGO-FEV.2016'!A:B,2,0),IF(B33="SINAPI",VLOOKUP(C33,'SINAPI-FEV.2017'!A:D,2,0),IF(B33="Cotação",VLOOKUP(C33,COTAÇÃO!A:D,2,0),IF(B33="Composição",VLOOKUP(C33,COMPOSIÇÃO!A:D,2,0))))))</f>
        <v>Locacao Convencional De Obra, Através De Gabarito De Tabuas Corridas Pontaletadas A Cada 1,50M, Sem Reaproveitamento</v>
      </c>
      <c r="E33" s="837"/>
      <c r="F33" s="837"/>
      <c r="G33" s="852"/>
      <c r="H33" s="852"/>
      <c r="I33" s="852"/>
      <c r="J33" s="852"/>
      <c r="K33" s="856" t="s">
        <v>27</v>
      </c>
      <c r="L33" s="856" t="s">
        <v>21</v>
      </c>
      <c r="M33" s="840">
        <f>SUM(M32:M32)</f>
        <v>6.8000000000000007</v>
      </c>
      <c r="N33" s="824"/>
      <c r="O33" s="790"/>
      <c r="P33" s="863"/>
      <c r="Q33" s="871"/>
      <c r="S33" s="863"/>
    </row>
    <row r="34" spans="1:19" s="863" customFormat="1" ht="13.5" thickBot="1">
      <c r="A34" s="862"/>
      <c r="B34" s="862"/>
      <c r="C34" s="835"/>
      <c r="D34" s="826"/>
      <c r="E34" s="790"/>
      <c r="F34" s="790"/>
      <c r="G34" s="828"/>
      <c r="H34" s="828"/>
      <c r="I34" s="828"/>
      <c r="J34" s="828"/>
      <c r="K34" s="828"/>
      <c r="L34" s="700"/>
      <c r="M34" s="829"/>
      <c r="N34" s="700"/>
      <c r="P34" s="871"/>
    </row>
    <row r="35" spans="1:19" s="863" customFormat="1" ht="14.25" thickTop="1" thickBot="1">
      <c r="A35" s="862"/>
      <c r="B35" s="862"/>
      <c r="C35" s="835"/>
      <c r="D35" s="830" t="s">
        <v>41</v>
      </c>
      <c r="E35" s="831"/>
      <c r="F35" s="831"/>
      <c r="G35" s="831"/>
      <c r="H35" s="831"/>
      <c r="I35" s="831"/>
      <c r="J35" s="831"/>
      <c r="K35" s="831"/>
      <c r="L35" s="832"/>
      <c r="M35" s="833"/>
      <c r="N35" s="870"/>
      <c r="O35" s="871"/>
      <c r="P35" s="871"/>
    </row>
    <row r="36" spans="1:19" s="863" customFormat="1" ht="13.5" thickTop="1">
      <c r="A36" s="862"/>
      <c r="B36" s="862"/>
      <c r="C36" s="835"/>
      <c r="D36" s="878"/>
      <c r="E36" s="816"/>
      <c r="F36" s="816"/>
      <c r="G36" s="700" t="s">
        <v>30</v>
      </c>
      <c r="H36" s="700" t="s">
        <v>30</v>
      </c>
      <c r="I36" s="700" t="s">
        <v>30</v>
      </c>
      <c r="J36" s="700" t="s">
        <v>30</v>
      </c>
      <c r="K36" s="700" t="s">
        <v>30</v>
      </c>
      <c r="L36" s="700"/>
      <c r="M36" s="879"/>
      <c r="N36" s="700"/>
      <c r="P36" s="871"/>
    </row>
    <row r="37" spans="1:19" s="863" customFormat="1">
      <c r="A37" s="862"/>
      <c r="B37" s="862"/>
      <c r="C37" s="835"/>
      <c r="D37" s="836" t="s">
        <v>11766</v>
      </c>
      <c r="E37" s="837"/>
      <c r="F37" s="837"/>
      <c r="G37" s="880"/>
      <c r="H37" s="880"/>
      <c r="I37" s="880"/>
      <c r="J37" s="880"/>
      <c r="K37" s="880"/>
      <c r="L37" s="852" t="s">
        <v>18</v>
      </c>
      <c r="M37" s="853">
        <v>0.6</v>
      </c>
      <c r="N37" s="700"/>
      <c r="P37" s="871"/>
    </row>
    <row r="38" spans="1:19" s="863" customFormat="1">
      <c r="A38" s="862"/>
      <c r="B38" s="862"/>
      <c r="C38" s="835"/>
      <c r="D38" s="881"/>
      <c r="E38" s="882"/>
      <c r="F38" s="882"/>
      <c r="G38" s="700"/>
      <c r="H38" s="700"/>
      <c r="I38" s="700"/>
      <c r="J38" s="700"/>
      <c r="K38" s="700"/>
      <c r="L38" s="883"/>
      <c r="M38" s="884"/>
      <c r="N38" s="700"/>
      <c r="P38" s="871"/>
    </row>
    <row r="39" spans="1:19" s="863" customFormat="1" ht="15">
      <c r="A39" s="862"/>
      <c r="B39" s="862"/>
      <c r="C39" s="835"/>
      <c r="D39" s="836" t="s">
        <v>11668</v>
      </c>
      <c r="E39" s="837"/>
      <c r="F39" s="837"/>
      <c r="G39" s="852"/>
      <c r="H39" s="852"/>
      <c r="I39" s="852"/>
      <c r="J39" s="852"/>
      <c r="K39" s="852"/>
      <c r="L39" s="852"/>
      <c r="M39" s="885">
        <v>25</v>
      </c>
      <c r="N39" s="700"/>
      <c r="O39" s="886"/>
      <c r="P39" s="871"/>
    </row>
    <row r="40" spans="1:19" s="863" customFormat="1">
      <c r="A40" s="862"/>
      <c r="B40" s="862"/>
      <c r="C40" s="835"/>
      <c r="D40" s="881"/>
      <c r="E40" s="882"/>
      <c r="F40" s="882"/>
      <c r="G40" s="700"/>
      <c r="H40" s="700"/>
      <c r="I40" s="700" t="s">
        <v>11671</v>
      </c>
      <c r="J40" s="700" t="s">
        <v>11672</v>
      </c>
      <c r="K40" s="700" t="s">
        <v>11673</v>
      </c>
      <c r="L40" s="883"/>
      <c r="M40" s="884"/>
      <c r="N40" s="700"/>
      <c r="P40" s="871"/>
    </row>
    <row r="41" spans="1:19" s="863" customFormat="1" ht="15">
      <c r="A41" s="862"/>
      <c r="B41" s="862"/>
      <c r="C41" s="835"/>
      <c r="D41" s="836" t="s">
        <v>11670</v>
      </c>
      <c r="E41" s="837"/>
      <c r="F41" s="837"/>
      <c r="G41" s="852"/>
      <c r="H41" s="852"/>
      <c r="I41" s="852">
        <v>0.25</v>
      </c>
      <c r="J41" s="852">
        <v>0.15</v>
      </c>
      <c r="K41" s="852">
        <v>0.05</v>
      </c>
      <c r="L41" s="852" t="s">
        <v>18</v>
      </c>
      <c r="M41" s="853">
        <f>SUM(I41:K41)</f>
        <v>0.45</v>
      </c>
      <c r="N41" s="700"/>
      <c r="O41" s="886"/>
      <c r="P41" s="871"/>
    </row>
    <row r="42" spans="1:19" s="863" customFormat="1" ht="22.5">
      <c r="A42" s="862"/>
      <c r="B42" s="862"/>
      <c r="C42" s="835"/>
      <c r="D42" s="887"/>
      <c r="E42" s="883" t="s">
        <v>1275</v>
      </c>
      <c r="F42" s="700" t="s">
        <v>11676</v>
      </c>
      <c r="G42" s="700" t="s">
        <v>11669</v>
      </c>
      <c r="H42" s="700" t="s">
        <v>11674</v>
      </c>
      <c r="I42" s="700" t="s">
        <v>11675</v>
      </c>
      <c r="J42" s="700" t="s">
        <v>11876</v>
      </c>
      <c r="K42" s="700" t="s">
        <v>11667</v>
      </c>
      <c r="L42" s="883"/>
      <c r="M42" s="884"/>
      <c r="N42" s="700"/>
      <c r="P42" s="871"/>
    </row>
    <row r="43" spans="1:19" s="863" customFormat="1">
      <c r="A43" s="862"/>
      <c r="B43" s="862"/>
      <c r="C43" s="835"/>
      <c r="D43" s="888" t="s">
        <v>12478</v>
      </c>
      <c r="E43" s="700">
        <f>I32</f>
        <v>1</v>
      </c>
      <c r="F43" s="700">
        <f>J32+$M$37*2</f>
        <v>5.2</v>
      </c>
      <c r="G43" s="700">
        <f>K32+$M$37*2</f>
        <v>2.9000000000000004</v>
      </c>
      <c r="H43" s="889">
        <f>F43+2*(K43*TAN($M$39*PI()/180))</f>
        <v>6.9253383351734943</v>
      </c>
      <c r="I43" s="889">
        <f>G43+2*(K43*TAN($M$39*PI()/180))</f>
        <v>4.6253383351734954</v>
      </c>
      <c r="J43" s="828">
        <v>1.4</v>
      </c>
      <c r="K43" s="828">
        <f>J43+M$41</f>
        <v>1.8499999999999999</v>
      </c>
      <c r="L43" s="700" t="s">
        <v>22</v>
      </c>
      <c r="M43" s="890">
        <f>ROUND(E43*((K43/3)*((H43*I43)+SQRT((H43*I43)*(F43*G43))+(F43*G43))),2)</f>
        <v>42.61</v>
      </c>
      <c r="N43" s="700"/>
      <c r="P43" s="871"/>
    </row>
    <row r="44" spans="1:19" s="863" customFormat="1">
      <c r="A44" s="862"/>
      <c r="B44" s="862"/>
      <c r="C44" s="835"/>
      <c r="D44" s="888" t="s">
        <v>12490</v>
      </c>
      <c r="E44" s="700">
        <v>2</v>
      </c>
      <c r="F44" s="889">
        <f>3+M37*2</f>
        <v>4.2</v>
      </c>
      <c r="G44" s="889">
        <f>3+M37*2</f>
        <v>4.2</v>
      </c>
      <c r="H44" s="889"/>
      <c r="I44" s="889"/>
      <c r="J44" s="889">
        <v>1</v>
      </c>
      <c r="K44" s="889">
        <f>J44</f>
        <v>1</v>
      </c>
      <c r="L44" s="700" t="s">
        <v>22</v>
      </c>
      <c r="M44" s="890">
        <f>F44*G44*K44</f>
        <v>17.64</v>
      </c>
      <c r="N44" s="700"/>
      <c r="P44" s="871"/>
    </row>
    <row r="45" spans="1:19" s="863" customFormat="1">
      <c r="A45" s="862"/>
      <c r="B45" s="862"/>
      <c r="C45" s="835"/>
      <c r="D45" s="888"/>
      <c r="E45" s="700"/>
      <c r="F45" s="700"/>
      <c r="G45" s="700"/>
      <c r="H45" s="889"/>
      <c r="I45" s="889"/>
      <c r="J45" s="700"/>
      <c r="K45" s="828"/>
      <c r="L45" s="700"/>
      <c r="M45" s="890"/>
      <c r="N45" s="700"/>
      <c r="P45" s="871"/>
    </row>
    <row r="46" spans="1:19" s="863" customFormat="1">
      <c r="A46" s="862"/>
      <c r="B46" s="862"/>
      <c r="C46" s="835"/>
      <c r="D46" s="1679"/>
      <c r="E46" s="1674"/>
      <c r="F46" s="889"/>
      <c r="G46" s="889"/>
      <c r="H46" s="889"/>
      <c r="I46" s="1700" t="s">
        <v>12338</v>
      </c>
      <c r="J46" s="1700"/>
      <c r="K46" s="1700"/>
      <c r="L46" s="816" t="s">
        <v>22</v>
      </c>
      <c r="M46" s="891">
        <f>SUM(M43:M44)</f>
        <v>60.25</v>
      </c>
      <c r="N46" s="700"/>
      <c r="P46" s="871"/>
    </row>
    <row r="47" spans="1:19" s="863" customFormat="1">
      <c r="A47" s="862"/>
      <c r="B47" s="862"/>
      <c r="C47" s="835"/>
      <c r="D47" s="826"/>
      <c r="E47" s="790"/>
      <c r="F47" s="700"/>
      <c r="G47" s="700"/>
      <c r="H47" s="700"/>
      <c r="I47" s="700"/>
      <c r="J47" s="700"/>
      <c r="K47" s="700"/>
      <c r="L47" s="700"/>
      <c r="M47" s="890"/>
      <c r="N47" s="700"/>
      <c r="P47" s="871"/>
    </row>
    <row r="48" spans="1:19" s="863" customFormat="1">
      <c r="A48" s="862"/>
      <c r="B48" s="862"/>
      <c r="C48" s="835"/>
      <c r="D48" s="836" t="s">
        <v>11785</v>
      </c>
      <c r="E48" s="837"/>
      <c r="F48" s="837"/>
      <c r="G48" s="838"/>
      <c r="H48" s="838"/>
      <c r="I48" s="838"/>
      <c r="J48" s="838"/>
      <c r="K48" s="856" t="s">
        <v>27</v>
      </c>
      <c r="L48" s="856" t="s">
        <v>21</v>
      </c>
      <c r="M48" s="892">
        <f>M46</f>
        <v>60.25</v>
      </c>
      <c r="N48" s="700"/>
      <c r="P48" s="871"/>
    </row>
    <row r="49" spans="1:16" s="863" customFormat="1" ht="22.5">
      <c r="A49" s="862"/>
      <c r="B49" s="862"/>
      <c r="C49" s="835"/>
      <c r="D49" s="881"/>
      <c r="E49" s="882"/>
      <c r="F49" s="882"/>
      <c r="G49" s="700" t="s">
        <v>11676</v>
      </c>
      <c r="H49" s="700" t="s">
        <v>11669</v>
      </c>
      <c r="I49" s="700" t="s">
        <v>11674</v>
      </c>
      <c r="J49" s="700" t="s">
        <v>11675</v>
      </c>
      <c r="K49" s="700" t="s">
        <v>11667</v>
      </c>
      <c r="L49" s="883"/>
      <c r="M49" s="884"/>
      <c r="N49" s="700"/>
      <c r="P49" s="871"/>
    </row>
    <row r="50" spans="1:16" s="863" customFormat="1">
      <c r="A50" s="862"/>
      <c r="B50" s="862"/>
      <c r="C50" s="835"/>
      <c r="D50" s="836" t="s">
        <v>11786</v>
      </c>
      <c r="E50" s="837"/>
      <c r="F50" s="837"/>
      <c r="G50" s="838"/>
      <c r="H50" s="838"/>
      <c r="I50" s="838"/>
      <c r="J50" s="838"/>
      <c r="K50" s="838"/>
      <c r="L50" s="852" t="s">
        <v>18</v>
      </c>
      <c r="M50" s="853">
        <f>ROUND((K50/3)*((I50*J50)+SQRT((I50*J50)*(G50*H50))+(G50*H50)),2)</f>
        <v>0</v>
      </c>
      <c r="N50" s="700"/>
      <c r="P50" s="871"/>
    </row>
    <row r="51" spans="1:16" s="863" customFormat="1">
      <c r="A51" s="862"/>
      <c r="B51" s="862"/>
      <c r="C51" s="835"/>
      <c r="D51" s="881"/>
      <c r="E51" s="882"/>
      <c r="F51" s="882"/>
      <c r="G51" s="700"/>
      <c r="H51" s="700"/>
      <c r="I51" s="700"/>
      <c r="J51" s="700" t="s">
        <v>11696</v>
      </c>
      <c r="K51" s="700" t="s">
        <v>11641</v>
      </c>
      <c r="L51" s="883"/>
      <c r="M51" s="884"/>
      <c r="N51" s="700"/>
      <c r="P51" s="871"/>
    </row>
    <row r="52" spans="1:16" s="863" customFormat="1" ht="45">
      <c r="A52" s="862" t="s">
        <v>12455</v>
      </c>
      <c r="B52" s="835" t="s">
        <v>70</v>
      </c>
      <c r="C52" s="893">
        <v>90105</v>
      </c>
      <c r="D52" s="894" t="str">
        <f>PROPER(IF(B52="SANEAGO",VLOOKUP(C52,'SANEAGO-FEV.2016'!A:B,2,0),IF(B52="SINAPI",VLOOKUP(C52,'SINAPI-FEV.2017'!A:D,2,0),IF(B52="Cotação",VLOOKUP(C52,COTAÇÃO!A:D,2,0),IF(B52="Composição",VLOOKUP(C52,COMPOSIÇÃO!A:D,2,0))))))</f>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
      <c r="E52" s="895"/>
      <c r="F52" s="895"/>
      <c r="G52" s="852"/>
      <c r="H52" s="852"/>
      <c r="I52" s="852"/>
      <c r="J52" s="896">
        <f>M15</f>
        <v>0.95</v>
      </c>
      <c r="K52" s="896">
        <f>M17</f>
        <v>0.9</v>
      </c>
      <c r="L52" s="852" t="s">
        <v>22</v>
      </c>
      <c r="M52" s="853">
        <f>K52*M$48*J52</f>
        <v>51.513750000000002</v>
      </c>
      <c r="N52" s="700"/>
      <c r="P52" s="871"/>
    </row>
    <row r="53" spans="1:16" s="863" customFormat="1">
      <c r="A53" s="862"/>
      <c r="B53" s="862"/>
      <c r="C53" s="893"/>
      <c r="D53" s="881"/>
      <c r="E53" s="882"/>
      <c r="F53" s="882"/>
      <c r="G53" s="700"/>
      <c r="H53" s="700"/>
      <c r="I53" s="700"/>
      <c r="J53" s="700" t="s">
        <v>11696</v>
      </c>
      <c r="K53" s="700" t="s">
        <v>11641</v>
      </c>
      <c r="L53" s="883"/>
      <c r="M53" s="884"/>
      <c r="N53" s="700"/>
      <c r="P53" s="871"/>
    </row>
    <row r="54" spans="1:16" s="863" customFormat="1" ht="22.5">
      <c r="A54" s="862" t="s">
        <v>12456</v>
      </c>
      <c r="B54" s="862" t="s">
        <v>1</v>
      </c>
      <c r="C54" s="893">
        <v>182</v>
      </c>
      <c r="D54" s="894" t="str">
        <f>PROPER(IF(B54="SANEAGO",VLOOKUP(C54,'SANEAGO-FEV.2016'!A:B,2,0),IF(B54="SINAPI",VLOOKUP(C54,'SINAPI-FEV.2017'!A:D,2,0),IF(B54="Cotação",VLOOKUP(C54,COTAÇÃO!A:D,2,0),IF(B54="Composição",VLOOKUP(C54,COMPOSIÇÃO!A:D,2,0))))))</f>
        <v>Escavação  Mecanizada  (Com Escavadeira Hidráulica)  Em Valas Com Material De 1ª Categoria - Profundidade De 2,0 A 4,0M</v>
      </c>
      <c r="E54" s="895"/>
      <c r="F54" s="895"/>
      <c r="G54" s="852"/>
      <c r="H54" s="852"/>
      <c r="I54" s="852"/>
      <c r="J54" s="896">
        <f>J52</f>
        <v>0.95</v>
      </c>
      <c r="K54" s="896">
        <f>K52</f>
        <v>0.9</v>
      </c>
      <c r="L54" s="852" t="s">
        <v>22</v>
      </c>
      <c r="M54" s="853">
        <f>K54*M$50*J54</f>
        <v>0</v>
      </c>
      <c r="N54" s="700"/>
      <c r="P54" s="871"/>
    </row>
    <row r="55" spans="1:16" s="863" customFormat="1">
      <c r="A55" s="862"/>
      <c r="B55" s="862"/>
      <c r="C55" s="893"/>
      <c r="D55" s="881"/>
      <c r="E55" s="882"/>
      <c r="F55" s="882"/>
      <c r="G55" s="700"/>
      <c r="H55" s="700"/>
      <c r="I55" s="700"/>
      <c r="J55" s="700" t="s">
        <v>11696</v>
      </c>
      <c r="K55" s="700" t="s">
        <v>11642</v>
      </c>
      <c r="L55" s="883"/>
      <c r="M55" s="884"/>
      <c r="N55" s="700"/>
      <c r="P55" s="871"/>
    </row>
    <row r="56" spans="1:16" s="863" customFormat="1" ht="33.75">
      <c r="A56" s="862" t="s">
        <v>12457</v>
      </c>
      <c r="B56" s="862" t="s">
        <v>1</v>
      </c>
      <c r="C56" s="893">
        <v>184</v>
      </c>
      <c r="D56" s="894" t="str">
        <f>PROPER(IF(B56="SANEAGO",VLOOKUP(C56,'SANEAGO-FEV.2016'!A:B,2,0),IF(B56="SINAPI",VLOOKUP(C56,'SINAPI-FEV.2017'!A:D,2,0),IF(B56="Cotação",VLOOKUP(C56,COTAÇÃO!A:D,2,0),IF(B56="Composição",VLOOKUP(C56,COMPOSIÇÃO!A:D,2,0))))))</f>
        <v>Escavação  Mecanizada  (Com Escavadeira Hidráulica)  Em Valas Com Material De 2ª Categoria
- Profundidade Até 2,0 M</v>
      </c>
      <c r="E56" s="895"/>
      <c r="F56" s="895"/>
      <c r="G56" s="852"/>
      <c r="H56" s="852"/>
      <c r="I56" s="852"/>
      <c r="J56" s="896">
        <f>J54</f>
        <v>0.95</v>
      </c>
      <c r="K56" s="896">
        <f>M18</f>
        <v>0.05</v>
      </c>
      <c r="L56" s="852" t="s">
        <v>22</v>
      </c>
      <c r="M56" s="853">
        <f>K56*M$48*J56</f>
        <v>2.8618749999999999</v>
      </c>
      <c r="N56" s="700"/>
      <c r="P56" s="871"/>
    </row>
    <row r="57" spans="1:16" s="863" customFormat="1">
      <c r="A57" s="862"/>
      <c r="B57" s="862"/>
      <c r="C57" s="835"/>
      <c r="D57" s="881"/>
      <c r="E57" s="882"/>
      <c r="F57" s="882"/>
      <c r="G57" s="700"/>
      <c r="H57" s="700"/>
      <c r="I57" s="700"/>
      <c r="J57" s="700" t="s">
        <v>11696</v>
      </c>
      <c r="K57" s="700" t="s">
        <v>11642</v>
      </c>
      <c r="L57" s="883"/>
      <c r="M57" s="884"/>
      <c r="N57" s="700"/>
      <c r="P57" s="871"/>
    </row>
    <row r="58" spans="1:16" s="863" customFormat="1" ht="33.75">
      <c r="A58" s="862" t="s">
        <v>12458</v>
      </c>
      <c r="B58" s="862" t="s">
        <v>1</v>
      </c>
      <c r="C58" s="893">
        <v>185</v>
      </c>
      <c r="D58" s="894" t="str">
        <f>PROPER(IF(B58="SANEAGO",VLOOKUP(C58,'SANEAGO-FEV.2016'!A:B,2,0),IF(B58="SINAPI",VLOOKUP(C58,'SINAPI-FEV.2017'!A:D,2,0),IF(B58="Cotação",VLOOKUP(C58,COTAÇÃO!A:D,2,0),IF(B58="Composição",VLOOKUP(C58,COMPOSIÇÃO!A:D,2,0))))))</f>
        <v>Escavação  Mecanizada  (Com Escavadeira Hidráulica)  Em Valas Com Material De 2ª Categoria
- Profundidade De 2,0 A 4,0 M</v>
      </c>
      <c r="E58" s="895"/>
      <c r="F58" s="895"/>
      <c r="G58" s="852"/>
      <c r="H58" s="852"/>
      <c r="I58" s="852"/>
      <c r="J58" s="896">
        <f>J56</f>
        <v>0.95</v>
      </c>
      <c r="K58" s="896">
        <f>K56</f>
        <v>0.05</v>
      </c>
      <c r="L58" s="852" t="s">
        <v>22</v>
      </c>
      <c r="M58" s="853">
        <f>K58*M$50*J58</f>
        <v>0</v>
      </c>
      <c r="N58" s="700"/>
      <c r="P58" s="871"/>
    </row>
    <row r="59" spans="1:16" s="863" customFormat="1">
      <c r="A59" s="862"/>
      <c r="B59" s="862"/>
      <c r="C59" s="835"/>
      <c r="D59" s="881"/>
      <c r="E59" s="882"/>
      <c r="F59" s="882"/>
      <c r="G59" s="700"/>
      <c r="H59" s="700"/>
      <c r="I59" s="700"/>
      <c r="J59" s="700" t="s">
        <v>11696</v>
      </c>
      <c r="K59" s="700" t="s">
        <v>11677</v>
      </c>
      <c r="L59" s="883"/>
      <c r="M59" s="884"/>
      <c r="N59" s="700"/>
      <c r="P59" s="871"/>
    </row>
    <row r="60" spans="1:16" s="863" customFormat="1" ht="22.5">
      <c r="A60" s="862" t="s">
        <v>12459</v>
      </c>
      <c r="B60" s="862" t="s">
        <v>1</v>
      </c>
      <c r="C60" s="893">
        <v>187</v>
      </c>
      <c r="D60" s="894" t="str">
        <f>PROPER(IF(B60="SANEAGO",VLOOKUP(C60,'SANEAGO-FEV.2016'!A:B,2,0),IF(B60="SINAPI",VLOOKUP(C60,'SINAPI-FEV.2017'!A:D,2,0),IF(B60="Cotação",VLOOKUP(C60,COTAÇÃO!A:D,2,0),IF(B60="Composição",VLOOKUP(C60,COMPOSIÇÃO!A:D,2,0))))))</f>
        <v>Escavação  Mecanizada  (Com Escavadeira Hidráulica)  Em Valas Com Material  De Solo Mole - Profundidade Até 2,0 M</v>
      </c>
      <c r="E60" s="895"/>
      <c r="F60" s="895"/>
      <c r="G60" s="852"/>
      <c r="H60" s="852"/>
      <c r="I60" s="852"/>
      <c r="J60" s="896">
        <f>J58</f>
        <v>0.95</v>
      </c>
      <c r="K60" s="896">
        <f>M20</f>
        <v>0.05</v>
      </c>
      <c r="L60" s="852" t="s">
        <v>22</v>
      </c>
      <c r="M60" s="853">
        <f>K60*M$48*J60</f>
        <v>2.8618749999999999</v>
      </c>
      <c r="N60" s="700"/>
      <c r="P60" s="871"/>
    </row>
    <row r="61" spans="1:16" s="863" customFormat="1">
      <c r="A61" s="862"/>
      <c r="B61" s="862"/>
      <c r="C61" s="835"/>
      <c r="D61" s="881"/>
      <c r="E61" s="882"/>
      <c r="F61" s="882"/>
      <c r="G61" s="700"/>
      <c r="H61" s="700"/>
      <c r="I61" s="700"/>
      <c r="J61" s="700" t="s">
        <v>11696</v>
      </c>
      <c r="K61" s="700" t="s">
        <v>11677</v>
      </c>
      <c r="L61" s="883"/>
      <c r="M61" s="884"/>
      <c r="N61" s="700"/>
      <c r="P61" s="871"/>
    </row>
    <row r="62" spans="1:16" s="863" customFormat="1" ht="22.5">
      <c r="A62" s="862" t="s">
        <v>12460</v>
      </c>
      <c r="B62" s="862" t="s">
        <v>1</v>
      </c>
      <c r="C62" s="893">
        <v>188</v>
      </c>
      <c r="D62" s="894" t="str">
        <f>PROPER(IF(B62="SANEAGO",VLOOKUP(C62,'SANEAGO-FEV.2016'!A:B,2,0),IF(B62="SINAPI",VLOOKUP(C62,'SINAPI-FEV.2017'!A:D,2,0),IF(B62="Cotação",VLOOKUP(C62,COTAÇÃO!A:D,2,0),IF(B62="Composição",VLOOKUP(C62,COMPOSIÇÃO!A:D,2,0))))))</f>
        <v>Escavação  Mecanizada  (Com Escavadeira Hidráulica)  Em Valas Com Material  De Solo Mole - Profundidade De 2,0 A 4,0 M</v>
      </c>
      <c r="E62" s="895"/>
      <c r="F62" s="895"/>
      <c r="G62" s="852"/>
      <c r="H62" s="852"/>
      <c r="I62" s="852"/>
      <c r="J62" s="896">
        <f>J60</f>
        <v>0.95</v>
      </c>
      <c r="K62" s="896">
        <f>K60</f>
        <v>0.05</v>
      </c>
      <c r="L62" s="852" t="s">
        <v>22</v>
      </c>
      <c r="M62" s="853">
        <f>K62*M$50*J62</f>
        <v>0</v>
      </c>
      <c r="N62" s="700"/>
      <c r="P62" s="871"/>
    </row>
    <row r="63" spans="1:16" s="863" customFormat="1">
      <c r="A63" s="862"/>
      <c r="B63" s="862"/>
      <c r="C63" s="835"/>
      <c r="D63" s="881"/>
      <c r="E63" s="882"/>
      <c r="F63" s="882"/>
      <c r="G63" s="700"/>
      <c r="H63" s="700"/>
      <c r="I63" s="700"/>
      <c r="J63" s="700" t="s">
        <v>11696</v>
      </c>
      <c r="K63" s="700" t="s">
        <v>11641</v>
      </c>
      <c r="L63" s="883"/>
      <c r="M63" s="884"/>
      <c r="N63" s="700"/>
      <c r="P63" s="871"/>
    </row>
    <row r="64" spans="1:16" s="863" customFormat="1">
      <c r="A64" s="862" t="s">
        <v>12461</v>
      </c>
      <c r="B64" s="835" t="s">
        <v>70</v>
      </c>
      <c r="C64" s="893">
        <v>93358</v>
      </c>
      <c r="D64" s="894" t="str">
        <f>PROPER(IF(B64="SANEAGO",VLOOKUP(C64,'SANEAGO-FEV.2016'!A:B,2,0),IF(B64="SINAPI",VLOOKUP(C64,'SINAPI-FEV.2017'!A:D,2,0),IF(B64="Cotação",VLOOKUP(C64,COTAÇÃO!A:D,2,0),IF(B64="Composição",VLOOKUP(C64,COMPOSIÇÃO!A:D,2,0))))))</f>
        <v>Escavação Manual De Valas. Af_03/2016</v>
      </c>
      <c r="E64" s="895"/>
      <c r="F64" s="895"/>
      <c r="G64" s="852"/>
      <c r="H64" s="852"/>
      <c r="I64" s="852"/>
      <c r="J64" s="896">
        <f>M16</f>
        <v>0.05</v>
      </c>
      <c r="K64" s="896">
        <f>K52</f>
        <v>0.9</v>
      </c>
      <c r="L64" s="852" t="s">
        <v>22</v>
      </c>
      <c r="M64" s="853">
        <f>K64*M$48*J64</f>
        <v>2.7112500000000002</v>
      </c>
      <c r="N64" s="700"/>
      <c r="P64" s="871"/>
    </row>
    <row r="65" spans="1:16" s="863" customFormat="1">
      <c r="A65" s="862"/>
      <c r="B65" s="862"/>
      <c r="C65" s="893"/>
      <c r="D65" s="881"/>
      <c r="E65" s="882"/>
      <c r="F65" s="882"/>
      <c r="G65" s="700"/>
      <c r="H65" s="700"/>
      <c r="I65" s="700"/>
      <c r="J65" s="700" t="s">
        <v>11696</v>
      </c>
      <c r="K65" s="700" t="s">
        <v>11641</v>
      </c>
      <c r="L65" s="883"/>
      <c r="M65" s="884"/>
      <c r="N65" s="700"/>
      <c r="P65" s="871"/>
    </row>
    <row r="66" spans="1:16" s="863" customFormat="1">
      <c r="A66" s="862" t="s">
        <v>12462</v>
      </c>
      <c r="B66" s="862" t="s">
        <v>1</v>
      </c>
      <c r="C66" s="893">
        <v>169</v>
      </c>
      <c r="D66" s="894" t="str">
        <f>PROPER(IF(B66="SANEAGO",VLOOKUP(C66,'SANEAGO-FEV.2016'!A:B,2,0),IF(B66="SINAPI",VLOOKUP(C66,'SINAPI-FEV.2017'!A:D,2,0),IF(B66="Cotação",VLOOKUP(C66,COTAÇÃO!A:D,2,0),IF(B66="Composição",VLOOKUP(C66,COMPOSIÇÃO!A:D,2,0))))))</f>
        <v>Escavação  Manual Em Valas Com Material De 1ª Categoria  - Profundidade De 2,0 A 4,0 M</v>
      </c>
      <c r="E66" s="895"/>
      <c r="F66" s="895"/>
      <c r="G66" s="852"/>
      <c r="H66" s="852"/>
      <c r="I66" s="852"/>
      <c r="J66" s="896">
        <f>J64</f>
        <v>0.05</v>
      </c>
      <c r="K66" s="896">
        <f>K54</f>
        <v>0.9</v>
      </c>
      <c r="L66" s="852" t="s">
        <v>22</v>
      </c>
      <c r="M66" s="853">
        <f>K66*M$50*J66</f>
        <v>0</v>
      </c>
      <c r="N66" s="700"/>
      <c r="P66" s="871"/>
    </row>
    <row r="67" spans="1:16" s="863" customFormat="1">
      <c r="A67" s="862"/>
      <c r="B67" s="862"/>
      <c r="C67" s="893"/>
      <c r="D67" s="881"/>
      <c r="E67" s="882"/>
      <c r="F67" s="882"/>
      <c r="G67" s="700"/>
      <c r="H67" s="700"/>
      <c r="I67" s="700"/>
      <c r="J67" s="700" t="s">
        <v>11696</v>
      </c>
      <c r="K67" s="700" t="s">
        <v>11642</v>
      </c>
      <c r="L67" s="883"/>
      <c r="M67" s="884"/>
      <c r="N67" s="700"/>
      <c r="P67" s="871"/>
    </row>
    <row r="68" spans="1:16" s="863" customFormat="1">
      <c r="A68" s="862" t="s">
        <v>12463</v>
      </c>
      <c r="B68" s="862" t="s">
        <v>1</v>
      </c>
      <c r="C68" s="893">
        <v>170</v>
      </c>
      <c r="D68" s="894" t="str">
        <f>PROPER(IF(B68="SANEAGO",VLOOKUP(C68,'SANEAGO-FEV.2016'!A:B,2,0),IF(B68="SINAPI",VLOOKUP(C68,'SINAPI-FEV.2017'!A:D,2,0),IF(B68="Cotação",VLOOKUP(C68,COTAÇÃO!A:D,2,0),IF(B68="Composição",VLOOKUP(C68,COMPOSIÇÃO!A:D,2,0))))))</f>
        <v>Escavação  Manual Em Valas Com Material De 2ª Categoria  - Profundidade Até 2,0 M</v>
      </c>
      <c r="E68" s="895"/>
      <c r="F68" s="895"/>
      <c r="G68" s="852"/>
      <c r="H68" s="852"/>
      <c r="I68" s="852"/>
      <c r="J68" s="896">
        <f>J66</f>
        <v>0.05</v>
      </c>
      <c r="K68" s="896">
        <f>K56</f>
        <v>0.05</v>
      </c>
      <c r="L68" s="852" t="s">
        <v>22</v>
      </c>
      <c r="M68" s="853">
        <f>K68*M$48*J68</f>
        <v>0.15062500000000001</v>
      </c>
      <c r="N68" s="700"/>
      <c r="P68" s="871"/>
    </row>
    <row r="69" spans="1:16" s="863" customFormat="1">
      <c r="A69" s="862"/>
      <c r="B69" s="862"/>
      <c r="C69" s="835"/>
      <c r="D69" s="881"/>
      <c r="E69" s="882"/>
      <c r="F69" s="882"/>
      <c r="G69" s="700"/>
      <c r="H69" s="700"/>
      <c r="I69" s="700"/>
      <c r="J69" s="700" t="s">
        <v>11696</v>
      </c>
      <c r="K69" s="700" t="s">
        <v>11642</v>
      </c>
      <c r="L69" s="883"/>
      <c r="M69" s="884"/>
      <c r="N69" s="700"/>
      <c r="P69" s="871"/>
    </row>
    <row r="70" spans="1:16" s="863" customFormat="1">
      <c r="A70" s="862" t="s">
        <v>12464</v>
      </c>
      <c r="B70" s="862" t="s">
        <v>1</v>
      </c>
      <c r="C70" s="893">
        <v>171</v>
      </c>
      <c r="D70" s="894" t="str">
        <f>PROPER(IF(B70="SANEAGO",VLOOKUP(C70,'SANEAGO-FEV.2016'!A:B,2,0),IF(B70="SINAPI",VLOOKUP(C70,'SINAPI-FEV.2017'!A:D,2,0),IF(B70="Cotação",VLOOKUP(C70,COTAÇÃO!A:D,2,0),IF(B70="Composição",VLOOKUP(C70,COMPOSIÇÃO!A:D,2,0))))))</f>
        <v>Escavação  Manual Em Valas Com Material De 2ª Categoria  - Profundidade De 2,0 A 4,0 M</v>
      </c>
      <c r="E70" s="895"/>
      <c r="F70" s="895"/>
      <c r="G70" s="852"/>
      <c r="H70" s="852"/>
      <c r="I70" s="852"/>
      <c r="J70" s="896">
        <f>J68</f>
        <v>0.05</v>
      </c>
      <c r="K70" s="896">
        <f>K58</f>
        <v>0.05</v>
      </c>
      <c r="L70" s="852" t="s">
        <v>22</v>
      </c>
      <c r="M70" s="853">
        <f>K70*M$50*J70</f>
        <v>0</v>
      </c>
      <c r="N70" s="700"/>
      <c r="P70" s="871"/>
    </row>
    <row r="71" spans="1:16" s="863" customFormat="1">
      <c r="A71" s="862"/>
      <c r="B71" s="862"/>
      <c r="C71" s="835"/>
      <c r="D71" s="881"/>
      <c r="E71" s="882"/>
      <c r="F71" s="882"/>
      <c r="G71" s="700"/>
      <c r="H71" s="700"/>
      <c r="I71" s="700"/>
      <c r="J71" s="700" t="s">
        <v>11696</v>
      </c>
      <c r="K71" s="700" t="s">
        <v>11677</v>
      </c>
      <c r="L71" s="883"/>
      <c r="M71" s="884"/>
      <c r="N71" s="700"/>
      <c r="P71" s="871"/>
    </row>
    <row r="72" spans="1:16" s="863" customFormat="1" ht="22.5">
      <c r="A72" s="862" t="s">
        <v>12465</v>
      </c>
      <c r="B72" s="862" t="s">
        <v>1</v>
      </c>
      <c r="C72" s="893">
        <v>172</v>
      </c>
      <c r="D72" s="894" t="str">
        <f>PROPER(IF(B72="SANEAGO",VLOOKUP(C72,'SANEAGO-FEV.2016'!A:B,2,0),IF(B72="SINAPI",VLOOKUP(C72,'SINAPI-FEV.2017'!A:D,2,0),IF(B72="Cotação",VLOOKUP(C72,COTAÇÃO!A:D,2,0),IF(B72="Composição",VLOOKUP(C72,COMPOSIÇÃO!A:D,2,0))))))</f>
        <v>Escavação   Manual   Em  Valas  Com  Material   De  3ª  Categoria   Sem  Uso  De  Explosivo   Com Utilização  De Compressor E Rompedor  -  Profundidade Até 2,0M</v>
      </c>
      <c r="E72" s="895"/>
      <c r="F72" s="895"/>
      <c r="G72" s="852"/>
      <c r="H72" s="852"/>
      <c r="I72" s="852"/>
      <c r="J72" s="896">
        <f>J70</f>
        <v>0.05</v>
      </c>
      <c r="K72" s="896">
        <f>K60</f>
        <v>0.05</v>
      </c>
      <c r="L72" s="852" t="s">
        <v>22</v>
      </c>
      <c r="M72" s="853">
        <f>K72*M$48*J72</f>
        <v>0.15062500000000001</v>
      </c>
      <c r="N72" s="700"/>
      <c r="P72" s="871"/>
    </row>
    <row r="73" spans="1:16" s="863" customFormat="1">
      <c r="A73" s="862"/>
      <c r="B73" s="862"/>
      <c r="C73" s="835"/>
      <c r="D73" s="881"/>
      <c r="E73" s="882"/>
      <c r="F73" s="882"/>
      <c r="G73" s="700"/>
      <c r="H73" s="700"/>
      <c r="I73" s="700"/>
      <c r="J73" s="700" t="s">
        <v>11696</v>
      </c>
      <c r="K73" s="700" t="s">
        <v>11677</v>
      </c>
      <c r="L73" s="883"/>
      <c r="M73" s="884"/>
      <c r="N73" s="700"/>
      <c r="P73" s="871"/>
    </row>
    <row r="74" spans="1:16" s="863" customFormat="1" ht="22.5">
      <c r="A74" s="862" t="s">
        <v>12466</v>
      </c>
      <c r="B74" s="862" t="s">
        <v>1</v>
      </c>
      <c r="C74" s="893">
        <v>173</v>
      </c>
      <c r="D74" s="894" t="str">
        <f>PROPER(IF(B74="SANEAGO",VLOOKUP(C74,'SANEAGO-FEV.2016'!A:B,2,0),IF(B74="SINAPI",VLOOKUP(C74,'SINAPI-FEV.2017'!A:D,2,0),IF(B74="Cotação",VLOOKUP(C74,COTAÇÃO!A:D,2,0),IF(B74="Composição",VLOOKUP(C74,COMPOSIÇÃO!A:D,2,0))))))</f>
        <v>Escavação   Manual   Em  Valas  Com  Material   De  3ª  Categoria   Sem  Uso  De  Explosivo   Com Utilização  De Compressor E Rompedor   - Profundidade De 2,0 A 4,0M</v>
      </c>
      <c r="E74" s="895"/>
      <c r="F74" s="895"/>
      <c r="G74" s="852"/>
      <c r="H74" s="852"/>
      <c r="I74" s="852"/>
      <c r="J74" s="896">
        <f>J72</f>
        <v>0.05</v>
      </c>
      <c r="K74" s="896">
        <f>K62</f>
        <v>0.05</v>
      </c>
      <c r="L74" s="852" t="s">
        <v>22</v>
      </c>
      <c r="M74" s="853">
        <f>K74*M$50*J74</f>
        <v>0</v>
      </c>
      <c r="N74" s="700"/>
      <c r="P74" s="871"/>
    </row>
    <row r="75" spans="1:16" s="863" customFormat="1">
      <c r="A75" s="862"/>
      <c r="B75" s="862"/>
      <c r="C75" s="835"/>
      <c r="D75" s="826"/>
      <c r="E75" s="790"/>
      <c r="F75" s="790"/>
      <c r="G75" s="700" t="s">
        <v>30</v>
      </c>
      <c r="H75" s="700" t="s">
        <v>30</v>
      </c>
      <c r="I75" s="700" t="s">
        <v>30</v>
      </c>
      <c r="J75" s="700" t="s">
        <v>30</v>
      </c>
      <c r="K75" s="700" t="s">
        <v>30</v>
      </c>
      <c r="L75" s="828"/>
      <c r="M75" s="829"/>
      <c r="N75" s="700"/>
      <c r="P75" s="871"/>
    </row>
    <row r="76" spans="1:16" s="863" customFormat="1">
      <c r="A76" s="862" t="s">
        <v>12467</v>
      </c>
      <c r="B76" s="835" t="s">
        <v>70</v>
      </c>
      <c r="C76" s="893" t="s">
        <v>15726</v>
      </c>
      <c r="D76" s="836" t="str">
        <f>PROPER(IF(B76="SANEAGO",VLOOKUP(C76,'SANEAGO-FEV.2016'!A:B,2,0),IF(B76="SINAPI",VLOOKUP(C76,'SINAPI-FEV.2017'!A:D,2,0),IF(B76="Cotação",VLOOKUP(C76,COTAÇÃO!A:D,2,0),IF(B76="Composição",VLOOKUP(C76,COMPOSIÇÃO!A:D,2,0))))))</f>
        <v>Esgotamento Com Moto-Bomba Autoescovante</v>
      </c>
      <c r="E76" s="837"/>
      <c r="F76" s="837"/>
      <c r="G76" s="838"/>
      <c r="H76" s="852"/>
      <c r="I76" s="852"/>
      <c r="J76" s="838"/>
      <c r="K76" s="838"/>
      <c r="L76" s="838" t="s">
        <v>57</v>
      </c>
      <c r="M76" s="853">
        <v>10</v>
      </c>
      <c r="N76" s="700"/>
      <c r="P76" s="871"/>
    </row>
    <row r="77" spans="1:16" s="863" customFormat="1">
      <c r="A77" s="862"/>
      <c r="B77" s="835"/>
      <c r="C77" s="835"/>
      <c r="D77" s="826"/>
      <c r="E77" s="790"/>
      <c r="F77" s="790"/>
      <c r="G77" s="897"/>
      <c r="H77" s="854"/>
      <c r="I77" s="700" t="s">
        <v>1275</v>
      </c>
      <c r="J77" s="828" t="s">
        <v>17</v>
      </c>
      <c r="K77" s="828" t="s">
        <v>19</v>
      </c>
      <c r="L77" s="828"/>
      <c r="M77" s="829"/>
      <c r="N77" s="700"/>
      <c r="P77" s="871"/>
    </row>
    <row r="78" spans="1:16" s="863" customFormat="1">
      <c r="A78" s="862"/>
      <c r="B78" s="898"/>
      <c r="C78" s="898"/>
      <c r="D78" s="899"/>
      <c r="E78" s="824"/>
      <c r="F78" s="790"/>
      <c r="G78" s="1674" t="s">
        <v>12478</v>
      </c>
      <c r="H78" s="1674"/>
      <c r="I78" s="700">
        <f>I32</f>
        <v>1</v>
      </c>
      <c r="J78" s="889">
        <f>J32</f>
        <v>4</v>
      </c>
      <c r="K78" s="889">
        <f>K32</f>
        <v>1.7000000000000002</v>
      </c>
      <c r="L78" s="828" t="s">
        <v>21</v>
      </c>
      <c r="M78" s="829">
        <f>(J78*K78*I78)</f>
        <v>6.8000000000000007</v>
      </c>
      <c r="N78" s="700"/>
      <c r="P78" s="871"/>
    </row>
    <row r="79" spans="1:16" s="863" customFormat="1">
      <c r="A79" s="862"/>
      <c r="B79" s="862"/>
      <c r="C79" s="835"/>
      <c r="D79" s="826"/>
      <c r="E79" s="790"/>
      <c r="F79" s="790"/>
      <c r="G79" s="897"/>
      <c r="H79" s="854"/>
      <c r="I79" s="700"/>
      <c r="J79" s="828"/>
      <c r="K79" s="828"/>
      <c r="L79" s="828"/>
      <c r="M79" s="829"/>
      <c r="N79" s="700"/>
      <c r="P79" s="871"/>
    </row>
    <row r="80" spans="1:16" s="863" customFormat="1">
      <c r="A80" s="862" t="s">
        <v>12468</v>
      </c>
      <c r="B80" s="898" t="s">
        <v>70</v>
      </c>
      <c r="C80" s="898">
        <v>79472</v>
      </c>
      <c r="D80" s="836" t="str">
        <f>PROPER(IF(B80="SANEAGO",VLOOKUP(C80,'SANEAGO-FEV.2016'!A:B,2,0),IF(B80="SINAPI",VLOOKUP(C80,'SINAPI-FEV.2017'!A:D,2,0),IF(B80="Cotação",VLOOKUP(C80,COTAÇÃO!A:D,2,0),IF(B80="Composição",VLOOKUP(C80,COMPOSIÇÃO!A:D,2,0))))))</f>
        <v>Regularizacao De Superficies Em Terra Com Motoniveladora</v>
      </c>
      <c r="E80" s="837"/>
      <c r="F80" s="837"/>
      <c r="G80" s="838"/>
      <c r="H80" s="852"/>
      <c r="I80" s="852"/>
      <c r="J80" s="838"/>
      <c r="K80" s="856" t="s">
        <v>27</v>
      </c>
      <c r="L80" s="856" t="s">
        <v>21</v>
      </c>
      <c r="M80" s="840">
        <f>SUM(M78:M78)</f>
        <v>6.8000000000000007</v>
      </c>
      <c r="N80" s="700"/>
      <c r="P80" s="871"/>
    </row>
    <row r="81" spans="1:18" s="863" customFormat="1">
      <c r="A81" s="862"/>
      <c r="B81" s="862"/>
      <c r="C81" s="835"/>
      <c r="D81" s="826"/>
      <c r="E81" s="790"/>
      <c r="F81" s="790"/>
      <c r="G81" s="828"/>
      <c r="H81" s="700"/>
      <c r="I81" s="900" t="s">
        <v>11680</v>
      </c>
      <c r="J81" s="900" t="s">
        <v>11681</v>
      </c>
      <c r="K81" s="816" t="s">
        <v>30</v>
      </c>
      <c r="L81" s="828" t="s">
        <v>30</v>
      </c>
      <c r="M81" s="877" t="s">
        <v>30</v>
      </c>
      <c r="N81" s="700"/>
      <c r="P81" s="871"/>
    </row>
    <row r="82" spans="1:18" s="863" customFormat="1">
      <c r="A82" s="862"/>
      <c r="B82" s="862"/>
      <c r="C82" s="835"/>
      <c r="D82" s="826"/>
      <c r="E82" s="790"/>
      <c r="F82" s="790"/>
      <c r="G82" s="1674" t="s">
        <v>12478</v>
      </c>
      <c r="H82" s="1674"/>
      <c r="I82" s="889">
        <f>M43</f>
        <v>42.61</v>
      </c>
      <c r="J82" s="889">
        <f>I32*J32*K32*J43</f>
        <v>9.52</v>
      </c>
      <c r="K82" s="816"/>
      <c r="L82" s="828" t="s">
        <v>22</v>
      </c>
      <c r="M82" s="829">
        <f>I82-J82</f>
        <v>33.090000000000003</v>
      </c>
      <c r="N82" s="700"/>
      <c r="P82" s="871"/>
    </row>
    <row r="83" spans="1:18" s="863" customFormat="1">
      <c r="A83" s="862"/>
      <c r="B83" s="862"/>
      <c r="C83" s="835"/>
      <c r="D83" s="826"/>
      <c r="E83" s="790"/>
      <c r="F83" s="790"/>
      <c r="G83" s="854"/>
      <c r="H83" s="854" t="s">
        <v>12490</v>
      </c>
      <c r="I83" s="889">
        <f>M44</f>
        <v>17.64</v>
      </c>
      <c r="J83" s="889">
        <f>3*3*K44</f>
        <v>9</v>
      </c>
      <c r="K83" s="816"/>
      <c r="L83" s="828" t="s">
        <v>22</v>
      </c>
      <c r="M83" s="829">
        <f>I83-J83</f>
        <v>8.64</v>
      </c>
      <c r="N83" s="700"/>
      <c r="P83" s="871"/>
    </row>
    <row r="84" spans="1:18" s="863" customFormat="1">
      <c r="A84" s="862"/>
      <c r="B84" s="862"/>
      <c r="C84" s="835"/>
      <c r="D84" s="836" t="s">
        <v>11679</v>
      </c>
      <c r="E84" s="837"/>
      <c r="F84" s="837"/>
      <c r="G84" s="828"/>
      <c r="H84" s="828"/>
      <c r="I84" s="828"/>
      <c r="J84" s="1678" t="s">
        <v>42</v>
      </c>
      <c r="K84" s="1678"/>
      <c r="L84" s="901" t="s">
        <v>22</v>
      </c>
      <c r="M84" s="902">
        <f>SUM(M82:M83)</f>
        <v>41.730000000000004</v>
      </c>
      <c r="N84" s="700"/>
      <c r="P84" s="871"/>
    </row>
    <row r="85" spans="1:18" s="863" customFormat="1">
      <c r="A85" s="862"/>
      <c r="B85" s="862"/>
      <c r="C85" s="835"/>
      <c r="D85" s="903" t="s">
        <v>73</v>
      </c>
      <c r="E85" s="790"/>
      <c r="F85" s="790"/>
      <c r="G85" s="883" t="s">
        <v>30</v>
      </c>
      <c r="H85" s="883" t="s">
        <v>30</v>
      </c>
      <c r="I85" s="883" t="s">
        <v>30</v>
      </c>
      <c r="J85" s="883" t="s">
        <v>42</v>
      </c>
      <c r="K85" s="883" t="s">
        <v>50</v>
      </c>
      <c r="L85" s="883"/>
      <c r="M85" s="884"/>
      <c r="N85" s="700"/>
      <c r="P85" s="871"/>
    </row>
    <row r="86" spans="1:18" s="863" customFormat="1" ht="33.75">
      <c r="A86" s="862" t="s">
        <v>12469</v>
      </c>
      <c r="B86" s="835" t="s">
        <v>70</v>
      </c>
      <c r="C86" s="835">
        <v>93367</v>
      </c>
      <c r="D86" s="836" t="str">
        <f>PROPER(IF(B86="SANEAGO",VLOOKUP(C86,'SANEAGO-FEV.2016'!A:B,2,0),IF(B86="SINAPI",VLOOKUP(C86,'SINAPI-FEV.2017'!A:D,2,0),IF(B86="Cotação",VLOOKUP(C86,COTAÇÃO!A:D,2,0),IF(B86="Composição",VLOOKUP(C86,COMPOSIÇÃO!A:D,2,0))))))</f>
        <v>Reaterro Mecanizado De Vala Com Escavadeira Hidráulica (Capacidade Da Caçamba: 0,8 M³ / Potência: 111 Hp), Largura De 1,5 A 2,5 M, Profundidade Até 1,5 M, Com Solo (Sem Substituição) De 1ª Categoria Em Locais Com Baixo Nível De Interferência. Af_04/2016</v>
      </c>
      <c r="E86" s="837"/>
      <c r="F86" s="837"/>
      <c r="G86" s="852"/>
      <c r="H86" s="852"/>
      <c r="I86" s="852"/>
      <c r="J86" s="838">
        <f>M84</f>
        <v>41.730000000000004</v>
      </c>
      <c r="K86" s="896">
        <f>M24</f>
        <v>0.9</v>
      </c>
      <c r="L86" s="852" t="s">
        <v>22</v>
      </c>
      <c r="M86" s="853">
        <f>J86*K86</f>
        <v>37.557000000000002</v>
      </c>
      <c r="N86" s="700"/>
      <c r="P86" s="871"/>
    </row>
    <row r="87" spans="1:18" s="863" customFormat="1">
      <c r="A87" s="862"/>
      <c r="B87" s="835"/>
      <c r="C87" s="835"/>
      <c r="D87" s="881"/>
      <c r="E87" s="882"/>
      <c r="F87" s="882"/>
      <c r="G87" s="700" t="s">
        <v>30</v>
      </c>
      <c r="H87" s="700" t="s">
        <v>30</v>
      </c>
      <c r="I87" s="700" t="s">
        <v>30</v>
      </c>
      <c r="J87" s="828" t="s">
        <v>42</v>
      </c>
      <c r="K87" s="828" t="s">
        <v>79</v>
      </c>
      <c r="L87" s="828"/>
      <c r="M87" s="829"/>
      <c r="N87" s="700"/>
      <c r="P87" s="871"/>
    </row>
    <row r="88" spans="1:18" s="863" customFormat="1">
      <c r="A88" s="862" t="s">
        <v>12470</v>
      </c>
      <c r="B88" s="835" t="s">
        <v>70</v>
      </c>
      <c r="C88" s="835" t="s">
        <v>18237</v>
      </c>
      <c r="D88" s="836" t="str">
        <f>PROPER(IF(B88="SANEAGO",VLOOKUP(C88,'SANEAGO-FEV.2016'!A:B,2,0),IF(B88="SINAPI",VLOOKUP(C88,'SINAPI-FEV.2017'!A:D,2,0),IF(B88="Cotação",VLOOKUP(C88,COTAÇÃO!A:D,2,0),IF(B88="Composição",VLOOKUP(C88,COMPOSIÇÃO!A:D,2,0))))))</f>
        <v>Reaterro De Vala Com Compactação Manual</v>
      </c>
      <c r="E88" s="837"/>
      <c r="F88" s="837"/>
      <c r="G88" s="838"/>
      <c r="H88" s="838"/>
      <c r="I88" s="838"/>
      <c r="J88" s="838">
        <f>J86</f>
        <v>41.730000000000004</v>
      </c>
      <c r="K88" s="904">
        <f>M23</f>
        <v>0.1</v>
      </c>
      <c r="L88" s="838" t="s">
        <v>22</v>
      </c>
      <c r="M88" s="853">
        <f>J88*K88</f>
        <v>4.1730000000000009</v>
      </c>
      <c r="N88" s="700"/>
      <c r="P88" s="871"/>
    </row>
    <row r="89" spans="1:18" s="824" customFormat="1" ht="13.5" thickBot="1">
      <c r="A89" s="905"/>
      <c r="B89" s="905"/>
      <c r="C89" s="906"/>
      <c r="D89" s="826"/>
      <c r="E89" s="790"/>
      <c r="F89" s="790"/>
      <c r="G89" s="700"/>
      <c r="H89" s="700"/>
      <c r="I89" s="700"/>
      <c r="J89" s="907"/>
      <c r="K89" s="700"/>
      <c r="L89" s="700"/>
      <c r="M89" s="827"/>
      <c r="N89" s="700"/>
      <c r="O89" s="863"/>
      <c r="P89" s="871"/>
      <c r="Q89" s="863"/>
      <c r="R89" s="863"/>
    </row>
    <row r="90" spans="1:18" s="824" customFormat="1" ht="14.25" thickTop="1" thickBot="1">
      <c r="A90" s="905"/>
      <c r="B90" s="905"/>
      <c r="C90" s="906"/>
      <c r="D90" s="830" t="s">
        <v>47</v>
      </c>
      <c r="E90" s="831"/>
      <c r="F90" s="831"/>
      <c r="G90" s="831"/>
      <c r="H90" s="831"/>
      <c r="I90" s="831"/>
      <c r="J90" s="831"/>
      <c r="K90" s="831"/>
      <c r="L90" s="832" t="s">
        <v>25</v>
      </c>
      <c r="M90" s="833" t="s">
        <v>27</v>
      </c>
      <c r="N90" s="700"/>
      <c r="O90" s="863"/>
      <c r="P90" s="871"/>
      <c r="Q90" s="863"/>
      <c r="R90" s="863"/>
    </row>
    <row r="91" spans="1:18" s="824" customFormat="1" ht="13.5" thickTop="1">
      <c r="A91" s="905"/>
      <c r="B91" s="905"/>
      <c r="C91" s="906"/>
      <c r="D91" s="826"/>
      <c r="E91" s="790"/>
      <c r="F91" s="790"/>
      <c r="G91" s="828" t="s">
        <v>30</v>
      </c>
      <c r="H91" s="828" t="s">
        <v>30</v>
      </c>
      <c r="I91" s="828" t="s">
        <v>58</v>
      </c>
      <c r="J91" s="828" t="s">
        <v>39</v>
      </c>
      <c r="K91" s="828" t="s">
        <v>35</v>
      </c>
      <c r="L91" s="828"/>
      <c r="M91" s="829"/>
      <c r="N91" s="700"/>
      <c r="O91" s="863"/>
      <c r="P91" s="871"/>
      <c r="Q91" s="863"/>
      <c r="R91" s="863"/>
    </row>
    <row r="92" spans="1:18" s="824" customFormat="1" ht="33.75">
      <c r="A92" s="862" t="s">
        <v>12471</v>
      </c>
      <c r="B92" s="835" t="s">
        <v>70</v>
      </c>
      <c r="C92" s="835" t="s">
        <v>18276</v>
      </c>
      <c r="D92" s="836" t="str">
        <f>PROPER(IF(B92="SANEAGO",VLOOKUP(C92,'SANEAGO-FEV.2016'!A:B,2,0),IF(B92="SINAPI",VLOOKUP(C92,'SINAPI-FEV.2017'!A:D,2,0),IF(B92="Cotação",VLOOKUP(C92,COTAÇÃO!A:D,2,0),IF(B92="Composição",VLOOKUP(C92,COMPOSIÇÃO!A:D,2,0))))))</f>
        <v>Carga E Descarga Mecanica De Solo Utilizando Caminhao Basculante 6,0M3/16T E Pa Carregadeira Sobre Pneus 128 Hp, Capacidade Da Caçamba 1,7 A 2,8 M3, Peso Operacional 11632 Kg</v>
      </c>
      <c r="E92" s="837"/>
      <c r="F92" s="837"/>
      <c r="G92" s="838"/>
      <c r="H92" s="838"/>
      <c r="I92" s="838">
        <f>M48</f>
        <v>60.25</v>
      </c>
      <c r="J92" s="838">
        <f>M84</f>
        <v>41.730000000000004</v>
      </c>
      <c r="K92" s="904">
        <f>M22</f>
        <v>0.15</v>
      </c>
      <c r="L92" s="838" t="s">
        <v>22</v>
      </c>
      <c r="M92" s="853">
        <f>(I92-J92)*(1+K92)</f>
        <v>21.297999999999995</v>
      </c>
      <c r="N92" s="700"/>
      <c r="O92" s="863"/>
      <c r="P92" s="871"/>
      <c r="Q92" s="863"/>
      <c r="R92" s="863"/>
    </row>
    <row r="93" spans="1:18" s="824" customFormat="1">
      <c r="A93" s="905"/>
      <c r="B93" s="835"/>
      <c r="C93" s="835"/>
      <c r="D93" s="826"/>
      <c r="E93" s="790"/>
      <c r="F93" s="790"/>
      <c r="G93" s="828" t="s">
        <v>30</v>
      </c>
      <c r="H93" s="828" t="s">
        <v>30</v>
      </c>
      <c r="I93" s="828" t="s">
        <v>30</v>
      </c>
      <c r="J93" s="828" t="s">
        <v>40</v>
      </c>
      <c r="K93" s="828" t="s">
        <v>48</v>
      </c>
      <c r="L93" s="828"/>
      <c r="M93" s="829"/>
      <c r="N93" s="700"/>
      <c r="O93" s="863"/>
      <c r="P93" s="871"/>
      <c r="Q93" s="863"/>
      <c r="R93" s="863"/>
    </row>
    <row r="94" spans="1:18" s="824" customFormat="1" ht="22.5">
      <c r="A94" s="862" t="s">
        <v>12472</v>
      </c>
      <c r="B94" s="835" t="s">
        <v>70</v>
      </c>
      <c r="C94" s="835">
        <v>93590</v>
      </c>
      <c r="D94" s="836" t="str">
        <f>PROPER(IF(B94="SANEAGO",VLOOKUP(C94,'SANEAGO-FEV.2016'!A:B,2,0),IF(B94="SINAPI",VLOOKUP(C94,'SINAPI-FEV.2017'!A:D,2,0),IF(B94="Cotação",VLOOKUP(C94,COTAÇÃO!A:D,2,0),IF(B94="Composição",VLOOKUP(C94,COMPOSIÇÃO!A:D,2,0))))))</f>
        <v>Transporte Com Caminhão Basculante De 10 M3, Em Via Urbana Pavimentada, Dmt Acima De 30Km (Unidade: M3Xkm). Af_04/2016</v>
      </c>
      <c r="E94" s="837"/>
      <c r="F94" s="837"/>
      <c r="G94" s="838"/>
      <c r="H94" s="838"/>
      <c r="I94" s="838"/>
      <c r="J94" s="838">
        <f>M92</f>
        <v>21.297999999999995</v>
      </c>
      <c r="K94" s="838">
        <f>M13</f>
        <v>7.5</v>
      </c>
      <c r="L94" s="838" t="s">
        <v>23</v>
      </c>
      <c r="M94" s="853">
        <f>J94*K94</f>
        <v>159.73499999999996</v>
      </c>
      <c r="N94" s="700"/>
      <c r="O94" s="863"/>
      <c r="P94" s="871"/>
      <c r="Q94" s="863"/>
      <c r="R94" s="863"/>
    </row>
    <row r="95" spans="1:18" s="824" customFormat="1">
      <c r="A95" s="905"/>
      <c r="B95" s="906"/>
      <c r="C95" s="835"/>
      <c r="D95" s="826"/>
      <c r="E95" s="790"/>
      <c r="F95" s="790"/>
      <c r="G95" s="828" t="s">
        <v>30</v>
      </c>
      <c r="H95" s="828" t="s">
        <v>30</v>
      </c>
      <c r="I95" s="828" t="s">
        <v>38</v>
      </c>
      <c r="J95" s="828" t="s">
        <v>39</v>
      </c>
      <c r="K95" s="828" t="s">
        <v>35</v>
      </c>
      <c r="L95" s="828"/>
      <c r="M95" s="829"/>
      <c r="N95" s="700"/>
      <c r="O95" s="863"/>
      <c r="P95" s="871"/>
      <c r="Q95" s="863"/>
      <c r="R95" s="863"/>
    </row>
    <row r="96" spans="1:18" s="824" customFormat="1">
      <c r="A96" s="862" t="s">
        <v>12473</v>
      </c>
      <c r="B96" s="835" t="s">
        <v>70</v>
      </c>
      <c r="C96" s="835">
        <v>83344</v>
      </c>
      <c r="D96" s="836" t="str">
        <f>PROPER(IF(B96="SANEAGO",VLOOKUP(C96,'SANEAGO-FEV.2016'!A:B,2,0),IF(B96="SINAPI",VLOOKUP(C96,'SINAPI-FEV.2017'!A:D,2,0),IF(B96="Cotação",VLOOKUP(C96,COTAÇÃO!A:D,2,0),IF(B96="Composição",VLOOKUP(C96,COMPOSIÇÃO!A:D,2,0))))))</f>
        <v>Espalhamento De Material Em Bota Fora, Com Utilizacao De Trator De Esteiras De 165 Hp</v>
      </c>
      <c r="E96" s="837"/>
      <c r="F96" s="837"/>
      <c r="G96" s="838"/>
      <c r="H96" s="838"/>
      <c r="I96" s="838">
        <f>I92</f>
        <v>60.25</v>
      </c>
      <c r="J96" s="838">
        <f>J92</f>
        <v>41.730000000000004</v>
      </c>
      <c r="K96" s="904">
        <v>0.15</v>
      </c>
      <c r="L96" s="838" t="s">
        <v>22</v>
      </c>
      <c r="M96" s="853">
        <f>(I96-J96)*(1+K96)</f>
        <v>21.297999999999995</v>
      </c>
      <c r="N96" s="700"/>
      <c r="O96" s="863"/>
      <c r="P96" s="871"/>
      <c r="Q96" s="863"/>
      <c r="R96" s="863"/>
    </row>
    <row r="97" spans="1:18" s="824" customFormat="1" ht="13.5" thickBot="1">
      <c r="A97" s="905"/>
      <c r="B97" s="905"/>
      <c r="C97" s="906"/>
      <c r="D97" s="826"/>
      <c r="E97" s="790"/>
      <c r="F97" s="790"/>
      <c r="G97" s="700"/>
      <c r="H97" s="700"/>
      <c r="I97" s="700"/>
      <c r="J97" s="907"/>
      <c r="K97" s="700"/>
      <c r="L97" s="700"/>
      <c r="M97" s="827"/>
      <c r="N97" s="700"/>
      <c r="O97" s="863"/>
      <c r="P97" s="871"/>
      <c r="Q97" s="863"/>
      <c r="R97" s="863"/>
    </row>
    <row r="98" spans="1:18" s="863" customFormat="1" ht="14.25" thickTop="1" thickBot="1">
      <c r="A98" s="862"/>
      <c r="B98" s="862"/>
      <c r="C98" s="835"/>
      <c r="D98" s="830" t="s">
        <v>1225</v>
      </c>
      <c r="E98" s="831"/>
      <c r="F98" s="831"/>
      <c r="G98" s="831"/>
      <c r="H98" s="831"/>
      <c r="I98" s="831"/>
      <c r="J98" s="831"/>
      <c r="K98" s="831"/>
      <c r="L98" s="832" t="s">
        <v>25</v>
      </c>
      <c r="M98" s="833" t="s">
        <v>27</v>
      </c>
      <c r="N98" s="700"/>
      <c r="P98" s="871"/>
    </row>
    <row r="99" spans="1:18" s="863" customFormat="1" ht="13.5" thickTop="1">
      <c r="A99" s="862"/>
      <c r="B99" s="862"/>
      <c r="C99" s="835"/>
      <c r="D99" s="826"/>
      <c r="E99" s="700"/>
      <c r="F99" s="700"/>
      <c r="G99" s="828" t="s">
        <v>1275</v>
      </c>
      <c r="H99" s="828" t="s">
        <v>11684</v>
      </c>
      <c r="I99" s="828" t="s">
        <v>19</v>
      </c>
      <c r="J99" s="828" t="s">
        <v>36</v>
      </c>
      <c r="K99" s="908" t="s">
        <v>30</v>
      </c>
      <c r="L99" s="828" t="s">
        <v>30</v>
      </c>
      <c r="M99" s="877" t="s">
        <v>30</v>
      </c>
      <c r="N99" s="700"/>
      <c r="P99" s="871"/>
    </row>
    <row r="100" spans="1:18" s="863" customFormat="1">
      <c r="A100" s="862"/>
      <c r="B100" s="862"/>
      <c r="C100" s="835"/>
      <c r="D100" s="826"/>
      <c r="E100" s="1674" t="s">
        <v>12478</v>
      </c>
      <c r="F100" s="1674"/>
      <c r="G100" s="907">
        <f>I78</f>
        <v>1</v>
      </c>
      <c r="H100" s="828">
        <f>J78+0.05</f>
        <v>4.05</v>
      </c>
      <c r="I100" s="828">
        <f>K78+0.05</f>
        <v>1.7500000000000002</v>
      </c>
      <c r="J100" s="828">
        <v>0.15</v>
      </c>
      <c r="K100" s="908"/>
      <c r="L100" s="828" t="s">
        <v>22</v>
      </c>
      <c r="M100" s="877">
        <f>G100*H100*I100*J100</f>
        <v>1.0631250000000001</v>
      </c>
      <c r="N100" s="700"/>
      <c r="P100" s="871"/>
    </row>
    <row r="101" spans="1:18" s="863" customFormat="1" ht="22.5">
      <c r="A101" s="862" t="s">
        <v>12474</v>
      </c>
      <c r="B101" s="855" t="s">
        <v>70</v>
      </c>
      <c r="C101" s="909">
        <v>94116</v>
      </c>
      <c r="D101" s="836" t="str">
        <f>PROPER(IF(B101="SANEAGO",VLOOKUP(C101,'SANEAGO-FEV.2016'!A:B,2,0),IF(B101="SINAPI",VLOOKUP(C101,'SINAPI-FEV.2017'!A:D,2,0),IF(B101="Cotação",VLOOKUP(C101,COTAÇÃO!A:D,2,0),IF(B101="Composição",VLOOKUP(C101,COMPOSIÇÃO!A:D,2,0))))))</f>
        <v>Lastro Com Preparo De Fundo, Largura Maior Ou Igual A 1,5 M, Com Camada De Brita, Lançamento Mecanizado, Em Local Com Nível Baixo De Interferência. Af_06/2016</v>
      </c>
      <c r="E101" s="837"/>
      <c r="F101" s="837"/>
      <c r="G101" s="838"/>
      <c r="H101" s="838"/>
      <c r="I101" s="910"/>
      <c r="J101" s="910"/>
      <c r="K101" s="856" t="s">
        <v>27</v>
      </c>
      <c r="L101" s="856" t="s">
        <v>22</v>
      </c>
      <c r="M101" s="840">
        <f>SUM(M100:M100)</f>
        <v>1.0631250000000001</v>
      </c>
      <c r="N101" s="700"/>
      <c r="P101" s="871"/>
    </row>
    <row r="102" spans="1:18" s="863" customFormat="1">
      <c r="A102" s="862"/>
      <c r="B102" s="862"/>
      <c r="C102" s="835"/>
      <c r="D102" s="826"/>
      <c r="E102" s="700"/>
      <c r="F102" s="700"/>
      <c r="G102" s="828" t="s">
        <v>30</v>
      </c>
      <c r="H102" s="828" t="s">
        <v>30</v>
      </c>
      <c r="I102" s="828" t="s">
        <v>1275</v>
      </c>
      <c r="J102" s="828" t="s">
        <v>11684</v>
      </c>
      <c r="K102" s="828" t="s">
        <v>19</v>
      </c>
      <c r="L102" s="828" t="s">
        <v>30</v>
      </c>
      <c r="M102" s="877" t="s">
        <v>30</v>
      </c>
      <c r="N102" s="700"/>
      <c r="P102" s="871"/>
    </row>
    <row r="103" spans="1:18" s="863" customFormat="1">
      <c r="A103" s="862"/>
      <c r="B103" s="862"/>
      <c r="C103" s="835"/>
      <c r="D103" s="826"/>
      <c r="E103" s="1674" t="s">
        <v>12478</v>
      </c>
      <c r="F103" s="1674"/>
      <c r="G103" s="1674"/>
      <c r="H103" s="1674"/>
      <c r="I103" s="907">
        <f>G100</f>
        <v>1</v>
      </c>
      <c r="J103" s="828">
        <f>H100</f>
        <v>4.05</v>
      </c>
      <c r="K103" s="828">
        <f>I100</f>
        <v>1.7500000000000002</v>
      </c>
      <c r="L103" s="828" t="s">
        <v>21</v>
      </c>
      <c r="M103" s="877">
        <f>I103*J103*K103</f>
        <v>7.0875000000000004</v>
      </c>
      <c r="N103" s="700"/>
      <c r="P103" s="871"/>
    </row>
    <row r="104" spans="1:18" s="863" customFormat="1" ht="22.5">
      <c r="A104" s="862" t="s">
        <v>12475</v>
      </c>
      <c r="B104" s="855" t="s">
        <v>70</v>
      </c>
      <c r="C104" s="909">
        <v>95241</v>
      </c>
      <c r="D104" s="836" t="str">
        <f>PROPER(IF(B104="SANEAGO",VLOOKUP(C104,'SANEAGO-FEV.2016'!A:B,2,0),IF(B104="SINAPI",VLOOKUP(C104,'SINAPI-FEV.2017'!A:D,2,0),IF(B104="Cotação",VLOOKUP(C104,COTAÇÃO!A:D,2,0),IF(B104="Composição",VLOOKUP(C104,COMPOSIÇÃO!A:D,2,0))))))</f>
        <v>Lastro De Concreto, E = 5 Cm, Preparo Mecânico, Inclusos Lançamento E Adensamento. Af_07_2016</v>
      </c>
      <c r="E104" s="837"/>
      <c r="F104" s="837"/>
      <c r="G104" s="838"/>
      <c r="H104" s="838"/>
      <c r="I104" s="910"/>
      <c r="J104" s="910"/>
      <c r="K104" s="856" t="s">
        <v>27</v>
      </c>
      <c r="L104" s="856" t="s">
        <v>21</v>
      </c>
      <c r="M104" s="840">
        <f>SUM(M103:M103)</f>
        <v>7.0875000000000004</v>
      </c>
      <c r="N104" s="700"/>
      <c r="P104" s="871"/>
    </row>
    <row r="105" spans="1:18" s="863" customFormat="1">
      <c r="A105" s="862"/>
      <c r="B105" s="862"/>
      <c r="C105" s="835"/>
      <c r="D105" s="826"/>
      <c r="E105" s="700" t="s">
        <v>30</v>
      </c>
      <c r="F105" s="700" t="s">
        <v>30</v>
      </c>
      <c r="G105" s="828" t="s">
        <v>1275</v>
      </c>
      <c r="H105" s="828" t="s">
        <v>11684</v>
      </c>
      <c r="I105" s="828" t="s">
        <v>19</v>
      </c>
      <c r="J105" s="828" t="s">
        <v>32</v>
      </c>
      <c r="K105" s="828" t="s">
        <v>30</v>
      </c>
      <c r="L105" s="828" t="s">
        <v>30</v>
      </c>
      <c r="M105" s="877" t="s">
        <v>30</v>
      </c>
      <c r="N105" s="700"/>
      <c r="P105" s="871"/>
    </row>
    <row r="106" spans="1:18" s="863" customFormat="1">
      <c r="A106" s="862"/>
      <c r="B106" s="862"/>
      <c r="C106" s="835"/>
      <c r="D106" s="888" t="s">
        <v>12479</v>
      </c>
      <c r="E106" s="824"/>
      <c r="F106" s="824"/>
      <c r="G106" s="700">
        <v>4</v>
      </c>
      <c r="H106" s="828">
        <v>0.2</v>
      </c>
      <c r="I106" s="828">
        <v>0.2</v>
      </c>
      <c r="J106" s="828">
        <v>1.6</v>
      </c>
      <c r="K106" s="828"/>
      <c r="L106" s="828" t="s">
        <v>22</v>
      </c>
      <c r="M106" s="877">
        <f>G106*((2*H106+2*I106)*J106)</f>
        <v>5.120000000000001</v>
      </c>
      <c r="N106" s="700"/>
      <c r="P106" s="871"/>
    </row>
    <row r="107" spans="1:18" s="863" customFormat="1">
      <c r="A107" s="862"/>
      <c r="B107" s="862"/>
      <c r="C107" s="835"/>
      <c r="D107" s="888" t="s">
        <v>12480</v>
      </c>
      <c r="E107" s="824"/>
      <c r="F107" s="824"/>
      <c r="G107" s="700">
        <v>1</v>
      </c>
      <c r="H107" s="828">
        <v>4</v>
      </c>
      <c r="I107" s="828">
        <v>1.7</v>
      </c>
      <c r="J107" s="828">
        <v>0.2</v>
      </c>
      <c r="K107" s="828"/>
      <c r="L107" s="828" t="s">
        <v>22</v>
      </c>
      <c r="M107" s="877">
        <f>G107*((2*H107+2*I107)*J107)</f>
        <v>2.2800000000000002</v>
      </c>
      <c r="N107" s="700"/>
      <c r="P107" s="871"/>
    </row>
    <row r="108" spans="1:18" s="863" customFormat="1">
      <c r="A108" s="862"/>
      <c r="B108" s="862"/>
      <c r="C108" s="835"/>
      <c r="D108" s="888" t="s">
        <v>12481</v>
      </c>
      <c r="E108" s="824"/>
      <c r="F108" s="824"/>
      <c r="G108" s="700">
        <v>1</v>
      </c>
      <c r="H108" s="828">
        <v>4</v>
      </c>
      <c r="I108" s="828">
        <v>1.7</v>
      </c>
      <c r="J108" s="828">
        <v>1.6</v>
      </c>
      <c r="K108" s="828"/>
      <c r="L108" s="828" t="s">
        <v>22</v>
      </c>
      <c r="M108" s="877">
        <f>G108*((2*H108+2*I108)*J108)</f>
        <v>18.240000000000002</v>
      </c>
      <c r="N108" s="700"/>
      <c r="P108" s="871"/>
    </row>
    <row r="109" spans="1:18" s="863" customFormat="1">
      <c r="A109" s="862"/>
      <c r="B109" s="862"/>
      <c r="C109" s="835"/>
      <c r="D109" s="888" t="s">
        <v>12482</v>
      </c>
      <c r="E109" s="824"/>
      <c r="F109" s="824"/>
      <c r="G109" s="700">
        <v>5</v>
      </c>
      <c r="H109" s="828">
        <v>0.8</v>
      </c>
      <c r="I109" s="828">
        <v>0</v>
      </c>
      <c r="J109" s="828">
        <v>1.4</v>
      </c>
      <c r="K109" s="828"/>
      <c r="L109" s="828" t="s">
        <v>22</v>
      </c>
      <c r="M109" s="877">
        <f>G109*((2*H109+2*I109)*J109)</f>
        <v>11.2</v>
      </c>
      <c r="N109" s="700"/>
      <c r="P109" s="871"/>
    </row>
    <row r="110" spans="1:18" s="863" customFormat="1">
      <c r="A110" s="862"/>
      <c r="B110" s="862"/>
      <c r="C110" s="835"/>
      <c r="D110" s="826"/>
      <c r="E110" s="700"/>
      <c r="F110" s="700"/>
      <c r="G110" s="828"/>
      <c r="H110" s="828"/>
      <c r="I110" s="828"/>
      <c r="J110" s="828"/>
      <c r="K110" s="828"/>
      <c r="L110" s="828"/>
      <c r="M110" s="877"/>
      <c r="N110" s="700"/>
      <c r="P110" s="871"/>
    </row>
    <row r="111" spans="1:18" s="863" customFormat="1" ht="39" customHeight="1">
      <c r="A111" s="862" t="s">
        <v>20488</v>
      </c>
      <c r="B111" s="835" t="s">
        <v>70</v>
      </c>
      <c r="C111" s="835">
        <v>92415</v>
      </c>
      <c r="D111" s="836" t="str">
        <f>PROPER(IF(B111="SANEAGO",VLOOKUP(C111,'SANEAGO-FEV.2016'!A:B,2,0),IF(B111="SINAPI",VLOOKUP(C111,'SINAPI-FEV.2017'!A:D,2,0),IF(B111="Cotação",VLOOKUP(C111,COTAÇÃO!A:D,2,0),IF(B111="Composição",VLOOKUP(C111,COMPOSIÇÃO!A:D,2,0))))))</f>
        <v>Montagem E Desmontagem De Fôrma De Pilares Retangulares E Estruturas Similares Com Área Média Das Seções Maior Que 0,25 M², Pé-Direito Simples, Em Chapa De Madeira Compensada Resinada, 2 Utilizações. Af_12/2015</v>
      </c>
      <c r="E111" s="837"/>
      <c r="F111" s="837"/>
      <c r="G111" s="838"/>
      <c r="H111" s="838"/>
      <c r="I111" s="910"/>
      <c r="J111" s="910"/>
      <c r="K111" s="856" t="s">
        <v>20490</v>
      </c>
      <c r="L111" s="856" t="s">
        <v>21</v>
      </c>
      <c r="M111" s="840">
        <f>SUM(M106,M108:M109)</f>
        <v>34.56</v>
      </c>
      <c r="N111" s="700"/>
      <c r="P111" s="871"/>
    </row>
    <row r="112" spans="1:18" s="863" customFormat="1">
      <c r="A112" s="862"/>
      <c r="B112" s="862"/>
      <c r="C112" s="835"/>
      <c r="D112" s="826"/>
      <c r="E112" s="700"/>
      <c r="F112" s="700"/>
      <c r="G112" s="828"/>
      <c r="H112" s="828"/>
      <c r="I112" s="828"/>
      <c r="J112" s="828"/>
      <c r="K112" s="828"/>
      <c r="L112" s="828"/>
      <c r="M112" s="877"/>
      <c r="N112" s="700"/>
      <c r="P112" s="871"/>
    </row>
    <row r="113" spans="1:16" s="863" customFormat="1" ht="39" customHeight="1">
      <c r="A113" s="862" t="s">
        <v>20489</v>
      </c>
      <c r="B113" s="835" t="s">
        <v>70</v>
      </c>
      <c r="C113" s="835">
        <v>92510</v>
      </c>
      <c r="D113" s="836" t="str">
        <f>PROPER(IF(B113="SANEAGO",VLOOKUP(C113,'SANEAGO-FEV.2016'!A:B,2,0),IF(B113="SINAPI",VLOOKUP(C113,'SINAPI-FEV.2017'!A:D,2,0),IF(B113="Cotação",VLOOKUP(C113,COTAÇÃO!A:D,2,0),IF(B113="Composição",VLOOKUP(C113,COMPOSIÇÃO!A:D,2,0))))))</f>
        <v>Montagem E Desmontagem De Fôrma De Laje Maciça Com Área Média Maior Que 20 M², Pé-Direito Simples, Em Chapa De Madeira Compensada Resinada, 2 Utilizações. Af_12/2015</v>
      </c>
      <c r="E113" s="837"/>
      <c r="F113" s="837"/>
      <c r="G113" s="838"/>
      <c r="H113" s="838"/>
      <c r="I113" s="910"/>
      <c r="J113" s="910"/>
      <c r="K113" s="856" t="s">
        <v>20491</v>
      </c>
      <c r="L113" s="856" t="s">
        <v>21</v>
      </c>
      <c r="M113" s="840">
        <f>M107</f>
        <v>2.2800000000000002</v>
      </c>
      <c r="N113" s="700"/>
      <c r="P113" s="871"/>
    </row>
    <row r="114" spans="1:16" s="863" customFormat="1">
      <c r="A114" s="862"/>
      <c r="B114" s="862"/>
      <c r="C114" s="835"/>
      <c r="D114" s="826"/>
      <c r="E114" s="700" t="s">
        <v>30</v>
      </c>
      <c r="F114" s="700" t="s">
        <v>30</v>
      </c>
      <c r="G114" s="828" t="s">
        <v>1275</v>
      </c>
      <c r="H114" s="828" t="s">
        <v>11684</v>
      </c>
      <c r="I114" s="828" t="s">
        <v>19</v>
      </c>
      <c r="J114" s="828" t="s">
        <v>32</v>
      </c>
      <c r="K114" s="828" t="s">
        <v>30</v>
      </c>
      <c r="L114" s="828" t="s">
        <v>30</v>
      </c>
      <c r="M114" s="877" t="s">
        <v>30</v>
      </c>
      <c r="N114" s="700"/>
      <c r="P114" s="871"/>
    </row>
    <row r="115" spans="1:16" s="863" customFormat="1">
      <c r="A115" s="862"/>
      <c r="B115" s="862"/>
      <c r="C115" s="835"/>
      <c r="D115" s="888" t="s">
        <v>12479</v>
      </c>
      <c r="E115" s="824"/>
      <c r="F115" s="824"/>
      <c r="G115" s="700">
        <f>G106</f>
        <v>4</v>
      </c>
      <c r="H115" s="700">
        <f>H106</f>
        <v>0.2</v>
      </c>
      <c r="I115" s="700">
        <f>I106</f>
        <v>0.2</v>
      </c>
      <c r="J115" s="700">
        <f>J106</f>
        <v>1.6</v>
      </c>
      <c r="K115" s="828"/>
      <c r="L115" s="828" t="s">
        <v>22</v>
      </c>
      <c r="M115" s="877">
        <f>G115*H115*I115*J115</f>
        <v>0.25600000000000006</v>
      </c>
      <c r="N115" s="700"/>
      <c r="P115" s="871"/>
    </row>
    <row r="116" spans="1:16" s="863" customFormat="1">
      <c r="A116" s="862"/>
      <c r="B116" s="862"/>
      <c r="C116" s="835"/>
      <c r="D116" s="888" t="s">
        <v>12480</v>
      </c>
      <c r="E116" s="824"/>
      <c r="F116" s="824"/>
      <c r="G116" s="700">
        <f t="shared" ref="G116:J118" si="0">G107</f>
        <v>1</v>
      </c>
      <c r="H116" s="700">
        <f t="shared" si="0"/>
        <v>4</v>
      </c>
      <c r="I116" s="700">
        <f t="shared" si="0"/>
        <v>1.7</v>
      </c>
      <c r="J116" s="700">
        <f t="shared" si="0"/>
        <v>0.2</v>
      </c>
      <c r="K116" s="828"/>
      <c r="L116" s="828" t="s">
        <v>22</v>
      </c>
      <c r="M116" s="877">
        <f>G116*H116*I116*J116</f>
        <v>1.36</v>
      </c>
      <c r="N116" s="700"/>
      <c r="P116" s="871"/>
    </row>
    <row r="117" spans="1:16" s="863" customFormat="1">
      <c r="A117" s="862"/>
      <c r="B117" s="862"/>
      <c r="C117" s="835"/>
      <c r="D117" s="888" t="s">
        <v>12481</v>
      </c>
      <c r="E117" s="824"/>
      <c r="F117" s="824"/>
      <c r="G117" s="700">
        <f t="shared" si="0"/>
        <v>1</v>
      </c>
      <c r="H117" s="700">
        <f t="shared" si="0"/>
        <v>4</v>
      </c>
      <c r="I117" s="700">
        <f t="shared" si="0"/>
        <v>1.7</v>
      </c>
      <c r="J117" s="700">
        <f t="shared" si="0"/>
        <v>1.6</v>
      </c>
      <c r="K117" s="828"/>
      <c r="L117" s="828" t="s">
        <v>22</v>
      </c>
      <c r="M117" s="877">
        <f>G117*((H117*2+I117*2)*0.2*J117)</f>
        <v>3.6480000000000006</v>
      </c>
      <c r="N117" s="700"/>
      <c r="P117" s="871"/>
    </row>
    <row r="118" spans="1:16" s="863" customFormat="1">
      <c r="A118" s="862"/>
      <c r="B118" s="862"/>
      <c r="C118" s="835"/>
      <c r="D118" s="888" t="s">
        <v>12482</v>
      </c>
      <c r="E118" s="1674"/>
      <c r="F118" s="1674"/>
      <c r="G118" s="700">
        <f t="shared" si="0"/>
        <v>5</v>
      </c>
      <c r="H118" s="700">
        <f t="shared" si="0"/>
        <v>0.8</v>
      </c>
      <c r="I118" s="700">
        <f t="shared" si="0"/>
        <v>0</v>
      </c>
      <c r="J118" s="700">
        <f t="shared" si="0"/>
        <v>1.4</v>
      </c>
      <c r="K118" s="828"/>
      <c r="L118" s="828" t="s">
        <v>22</v>
      </c>
      <c r="M118" s="877">
        <f>G118*(H118*0.15*J118)</f>
        <v>0.83999999999999986</v>
      </c>
      <c r="N118" s="700"/>
      <c r="P118" s="871"/>
    </row>
    <row r="119" spans="1:16" s="863" customFormat="1">
      <c r="A119" s="862"/>
      <c r="B119" s="862"/>
      <c r="C119" s="835"/>
      <c r="D119" s="826"/>
      <c r="E119" s="790"/>
      <c r="F119" s="790"/>
      <c r="G119" s="828"/>
      <c r="H119" s="828"/>
      <c r="I119" s="828"/>
      <c r="J119" s="828"/>
      <c r="K119" s="828"/>
      <c r="L119" s="828"/>
      <c r="M119" s="877"/>
      <c r="N119" s="700"/>
      <c r="P119" s="871"/>
    </row>
    <row r="120" spans="1:16" s="863" customFormat="1" ht="22.5">
      <c r="A120" s="862" t="s">
        <v>20493</v>
      </c>
      <c r="B120" s="862" t="s">
        <v>1</v>
      </c>
      <c r="C120" s="835">
        <v>316</v>
      </c>
      <c r="D120" s="836" t="str">
        <f>PROPER(IF(B120="SANEAGO",VLOOKUP(C120,'SANEAGO-FEV.2016'!A:B,2,0),IF(B120="SINAPI",VLOOKUP(C120,'SINAPI-FEV.2017'!A:D,2,0),IF(B120="Cotação",VLOOKUP(C120,COTAÇÃO!A:D,2,0),IF(B120="Composição",VLOOKUP(C120,COMPOSIÇÃO!A:D,2,0))))))</f>
        <v>Concreto  Estrutural Usinado Bombeado  Fck=40 Mpa, Com Adição De 8 À 10% De Microssílica (Incluindo  Lançamento, Aplicação  E Adensamento)</v>
      </c>
      <c r="E120" s="837"/>
      <c r="F120" s="837"/>
      <c r="G120" s="838"/>
      <c r="H120" s="838"/>
      <c r="I120" s="910"/>
      <c r="J120" s="910"/>
      <c r="K120" s="856" t="s">
        <v>27</v>
      </c>
      <c r="L120" s="856" t="s">
        <v>21</v>
      </c>
      <c r="M120" s="840">
        <f>SUM(M115:M119)</f>
        <v>6.104000000000001</v>
      </c>
      <c r="N120" s="700"/>
      <c r="P120" s="871"/>
    </row>
    <row r="121" spans="1:16" s="863" customFormat="1">
      <c r="A121" s="862"/>
      <c r="B121" s="862"/>
      <c r="C121" s="835"/>
      <c r="D121" s="888"/>
      <c r="E121" s="790"/>
      <c r="F121" s="700" t="s">
        <v>20351</v>
      </c>
      <c r="G121" s="700" t="s">
        <v>20352</v>
      </c>
      <c r="H121" s="700" t="s">
        <v>20353</v>
      </c>
      <c r="I121" s="700" t="s">
        <v>20354</v>
      </c>
      <c r="J121" s="911"/>
      <c r="K121" s="816"/>
      <c r="L121" s="816"/>
      <c r="M121" s="902"/>
      <c r="N121" s="700"/>
      <c r="P121" s="871"/>
    </row>
    <row r="122" spans="1:16" s="863" customFormat="1">
      <c r="A122" s="862"/>
      <c r="B122" s="862"/>
      <c r="C122" s="835"/>
      <c r="D122" s="888" t="s">
        <v>20492</v>
      </c>
      <c r="E122" s="700" t="s">
        <v>33</v>
      </c>
      <c r="F122" s="828">
        <f>M120*110*0.15</f>
        <v>100.71600000000001</v>
      </c>
      <c r="G122" s="828">
        <f>M120*110*0.22</f>
        <v>147.71680000000001</v>
      </c>
      <c r="H122" s="828">
        <f>M120*110*0.17</f>
        <v>114.14480000000002</v>
      </c>
      <c r="I122" s="828">
        <f>M120*110*0.45</f>
        <v>302.14800000000002</v>
      </c>
      <c r="J122" s="911"/>
      <c r="K122" s="816"/>
      <c r="L122" s="816"/>
      <c r="M122" s="902"/>
      <c r="N122" s="700"/>
      <c r="P122" s="871"/>
    </row>
    <row r="123" spans="1:16" s="863" customFormat="1">
      <c r="A123" s="862"/>
      <c r="B123" s="862"/>
      <c r="C123" s="835"/>
      <c r="D123" s="826"/>
      <c r="E123" s="790"/>
      <c r="F123" s="790"/>
      <c r="G123" s="828" t="s">
        <v>30</v>
      </c>
      <c r="H123" s="828" t="s">
        <v>30</v>
      </c>
      <c r="I123" s="828" t="s">
        <v>30</v>
      </c>
      <c r="J123" s="828" t="s">
        <v>30</v>
      </c>
      <c r="K123" s="828" t="s">
        <v>30</v>
      </c>
      <c r="L123" s="828" t="s">
        <v>30</v>
      </c>
      <c r="M123" s="877" t="s">
        <v>30</v>
      </c>
      <c r="N123" s="700"/>
      <c r="P123" s="871"/>
    </row>
    <row r="124" spans="1:16" s="863" customFormat="1" ht="33.75">
      <c r="A124" s="912" t="s">
        <v>20494</v>
      </c>
      <c r="B124" s="835" t="s">
        <v>70</v>
      </c>
      <c r="C124" s="835">
        <v>92915</v>
      </c>
      <c r="D124" s="836" t="str">
        <f>PROPER(IF(B124="SANEAGO",VLOOKUP(C124,'SANEAGO-FEV.2016'!A:B,2,0),IF(B124="SINAPI",VLOOKUP(C124,'SINAPI-FEV.2017'!A:D,2,0),IF(B124="Cotação",VLOOKUP(C124,COTAÇÃO!A:D,2,0),IF(B124="Composição",VLOOKUP(C124,COMPOSIÇÃO!A:D,2,0))))))</f>
        <v>Armação De Estruturas De Concreto Armado, Exceto Vigas, Pilares, Lajes E Fundações Profundas (De Edifícios De Múltiplos Pavimentos, Edificação Térrea Ou Sobrado), Utilizando Aço Ca-60 De 5.0 Mm - Montagem. Af_12/2015</v>
      </c>
      <c r="E124" s="837"/>
      <c r="F124" s="837"/>
      <c r="G124" s="838"/>
      <c r="H124" s="838"/>
      <c r="I124" s="838"/>
      <c r="J124" s="913"/>
      <c r="K124" s="852" t="s">
        <v>12275</v>
      </c>
      <c r="L124" s="852" t="s">
        <v>21</v>
      </c>
      <c r="M124" s="853">
        <f>F122</f>
        <v>100.71600000000001</v>
      </c>
      <c r="N124" s="914"/>
      <c r="P124" s="871"/>
    </row>
    <row r="125" spans="1:16" s="863" customFormat="1">
      <c r="A125" s="912"/>
      <c r="B125" s="835"/>
      <c r="C125" s="835"/>
      <c r="D125" s="826"/>
      <c r="E125" s="790"/>
      <c r="F125" s="790"/>
      <c r="G125" s="828" t="s">
        <v>30</v>
      </c>
      <c r="H125" s="828" t="s">
        <v>30</v>
      </c>
      <c r="I125" s="828" t="s">
        <v>30</v>
      </c>
      <c r="J125" s="828" t="s">
        <v>30</v>
      </c>
      <c r="K125" s="828" t="s">
        <v>30</v>
      </c>
      <c r="L125" s="828" t="s">
        <v>30</v>
      </c>
      <c r="M125" s="877" t="s">
        <v>30</v>
      </c>
      <c r="N125" s="700"/>
      <c r="P125" s="871"/>
    </row>
    <row r="126" spans="1:16" s="863" customFormat="1" ht="33.75">
      <c r="A126" s="912" t="s">
        <v>20495</v>
      </c>
      <c r="B126" s="835" t="s">
        <v>70</v>
      </c>
      <c r="C126" s="835">
        <v>92916</v>
      </c>
      <c r="D126" s="836" t="str">
        <f>PROPER(IF(B126="SANEAGO",VLOOKUP(C126,'SANEAGO-FEV.2016'!A:B,2,0),IF(B126="SINAPI",VLOOKUP(C126,'SINAPI-FEV.2017'!A:D,2,0),IF(B126="Cotação",VLOOKUP(C126,COTAÇÃO!A:D,2,0),IF(B126="Composição",VLOOKUP(C126,COMPOSIÇÃO!A:D,2,0))))))</f>
        <v>Armação De Estruturas De Concreto Armado, Exceto Vigas, Pilares, Lajes E Fundações Profundas (De Edifícios De Múltiplos Pavimentos, Edificação Térrea Ou Sobrado), Utilizando Aço Ca-50 De 6.3 Mm - Montagem. Af_12/2015</v>
      </c>
      <c r="E126" s="837"/>
      <c r="F126" s="837"/>
      <c r="G126" s="838"/>
      <c r="H126" s="838"/>
      <c r="I126" s="838"/>
      <c r="J126" s="913"/>
      <c r="K126" s="852" t="s">
        <v>12275</v>
      </c>
      <c r="L126" s="852" t="s">
        <v>21</v>
      </c>
      <c r="M126" s="853">
        <f>G122</f>
        <v>147.71680000000001</v>
      </c>
      <c r="N126" s="914"/>
      <c r="P126" s="871"/>
    </row>
    <row r="127" spans="1:16" s="863" customFormat="1">
      <c r="A127" s="912"/>
      <c r="B127" s="835"/>
      <c r="C127" s="835"/>
      <c r="D127" s="826"/>
      <c r="E127" s="790"/>
      <c r="F127" s="790"/>
      <c r="G127" s="828" t="s">
        <v>30</v>
      </c>
      <c r="H127" s="828" t="s">
        <v>30</v>
      </c>
      <c r="I127" s="828" t="s">
        <v>30</v>
      </c>
      <c r="J127" s="828" t="s">
        <v>30</v>
      </c>
      <c r="K127" s="828" t="s">
        <v>30</v>
      </c>
      <c r="L127" s="828" t="s">
        <v>30</v>
      </c>
      <c r="M127" s="877" t="s">
        <v>30</v>
      </c>
      <c r="N127" s="700"/>
      <c r="P127" s="871"/>
    </row>
    <row r="128" spans="1:16" s="863" customFormat="1" ht="33.75">
      <c r="A128" s="912" t="s">
        <v>20496</v>
      </c>
      <c r="B128" s="835" t="s">
        <v>70</v>
      </c>
      <c r="C128" s="835">
        <v>92917</v>
      </c>
      <c r="D128" s="836" t="str">
        <f>PROPER(IF(B128="SANEAGO",VLOOKUP(C128,'SANEAGO-FEV.2016'!A:B,2,0),IF(B128="SINAPI",VLOOKUP(C128,'SINAPI-FEV.2017'!A:D,2,0),IF(B128="Cotação",VLOOKUP(C128,COTAÇÃO!A:D,2,0),IF(B128="Composição",VLOOKUP(C128,COMPOSIÇÃO!A:D,2,0))))))</f>
        <v>Armação De Estruturas De Concreto Armado, Exceto Vigas, Pilares, Lajes E Fundações Profundas (De Edifícios De Múltiplos Pavimentos, Edificação Térrea Ou Sobrado), Utilizando Aço Ca-50 De 8.0 Mm - Montagem. Af_12/2015</v>
      </c>
      <c r="E128" s="837"/>
      <c r="F128" s="837"/>
      <c r="G128" s="838"/>
      <c r="H128" s="838"/>
      <c r="I128" s="838"/>
      <c r="J128" s="913"/>
      <c r="K128" s="852" t="s">
        <v>12275</v>
      </c>
      <c r="L128" s="852" t="s">
        <v>21</v>
      </c>
      <c r="M128" s="853">
        <f>H122</f>
        <v>114.14480000000002</v>
      </c>
      <c r="N128" s="914"/>
      <c r="P128" s="871"/>
    </row>
    <row r="129" spans="1:17" s="863" customFormat="1">
      <c r="A129" s="912"/>
      <c r="B129" s="835"/>
      <c r="C129" s="835"/>
      <c r="D129" s="826"/>
      <c r="E129" s="790"/>
      <c r="F129" s="790"/>
      <c r="G129" s="828" t="s">
        <v>30</v>
      </c>
      <c r="H129" s="828" t="s">
        <v>30</v>
      </c>
      <c r="I129" s="828" t="s">
        <v>30</v>
      </c>
      <c r="J129" s="828" t="s">
        <v>30</v>
      </c>
      <c r="K129" s="828" t="s">
        <v>30</v>
      </c>
      <c r="L129" s="828" t="s">
        <v>30</v>
      </c>
      <c r="M129" s="877" t="s">
        <v>30</v>
      </c>
      <c r="N129" s="700"/>
      <c r="P129" s="871"/>
    </row>
    <row r="130" spans="1:17" s="863" customFormat="1" ht="33.75">
      <c r="A130" s="912" t="s">
        <v>20497</v>
      </c>
      <c r="B130" s="835" t="s">
        <v>70</v>
      </c>
      <c r="C130" s="835">
        <v>92919</v>
      </c>
      <c r="D130" s="836" t="str">
        <f>PROPER(IF(B130="SANEAGO",VLOOKUP(C130,'SANEAGO-FEV.2016'!A:B,2,0),IF(B130="SINAPI",VLOOKUP(C130,'SINAPI-FEV.2017'!A:D,2,0),IF(B130="Cotação",VLOOKUP(C130,COTAÇÃO!A:D,2,0),IF(B130="Composição",VLOOKUP(C130,COMPOSIÇÃO!A:D,2,0))))))</f>
        <v>Armação De Estruturas De Concreto Armado, Exceto Vigas, Pilares, Lajes E Fundações Profundas (De Edifícios De Múltiplos Pavimentos, Edificação Térrea Ou Sobrado), Utilizando Aço Ca-50 De 10.0 Mm - Montagem. Af_12/2015</v>
      </c>
      <c r="E130" s="837"/>
      <c r="F130" s="837"/>
      <c r="G130" s="838"/>
      <c r="H130" s="838"/>
      <c r="I130" s="838"/>
      <c r="J130" s="913"/>
      <c r="K130" s="852" t="s">
        <v>12275</v>
      </c>
      <c r="L130" s="852" t="s">
        <v>21</v>
      </c>
      <c r="M130" s="853">
        <f>I122</f>
        <v>302.14800000000002</v>
      </c>
      <c r="N130" s="914"/>
      <c r="P130" s="871"/>
    </row>
    <row r="131" spans="1:17" s="863" customFormat="1">
      <c r="A131" s="862"/>
      <c r="B131" s="862"/>
      <c r="C131" s="835"/>
      <c r="D131" s="826"/>
      <c r="E131" s="790"/>
      <c r="F131" s="790"/>
      <c r="G131" s="828" t="s">
        <v>30</v>
      </c>
      <c r="H131" s="828" t="s">
        <v>30</v>
      </c>
      <c r="I131" s="828" t="s">
        <v>30</v>
      </c>
      <c r="J131" s="828" t="s">
        <v>30</v>
      </c>
      <c r="K131" s="828" t="s">
        <v>30</v>
      </c>
      <c r="L131" s="828" t="s">
        <v>30</v>
      </c>
      <c r="M131" s="877" t="s">
        <v>30</v>
      </c>
      <c r="N131" s="700"/>
      <c r="P131" s="871"/>
    </row>
    <row r="132" spans="1:17" s="863" customFormat="1">
      <c r="A132" s="862" t="s">
        <v>12476</v>
      </c>
      <c r="B132" s="835" t="s">
        <v>70</v>
      </c>
      <c r="C132" s="835" t="s">
        <v>19257</v>
      </c>
      <c r="D132" s="836" t="str">
        <f>PROPER(IF(B132="SANEAGO",VLOOKUP(C132,'SANEAGO-FEV.2016'!A:B,2,0),IF(B132="SINAPI",VLOOKUP(C132,'SINAPI-FEV.2017'!A:D,2,0),IF(B132="Cotação",VLOOKUP(C132,COTAÇÃO!A:D,2,0),IF(B132="Composição",VLOOKUP(C132,COMPOSIÇÃO!A:D,2,0))))))</f>
        <v>Ensaio De Consistencia Do Concreto Ccr - Indice Vebe</v>
      </c>
      <c r="E132" s="837"/>
      <c r="F132" s="837"/>
      <c r="G132" s="838"/>
      <c r="H132" s="838"/>
      <c r="I132" s="838"/>
      <c r="J132" s="838"/>
      <c r="K132" s="838"/>
      <c r="L132" s="852" t="s">
        <v>26</v>
      </c>
      <c r="M132" s="853">
        <f>ROUNDUP(M120/50,0)</f>
        <v>1</v>
      </c>
      <c r="N132" s="700"/>
      <c r="P132" s="871"/>
    </row>
    <row r="133" spans="1:17" s="863" customFormat="1" ht="13.5" thickBot="1">
      <c r="A133" s="862"/>
      <c r="B133" s="862"/>
      <c r="C133" s="835"/>
      <c r="D133" s="826"/>
      <c r="E133" s="790"/>
      <c r="F133" s="790"/>
      <c r="G133" s="700"/>
      <c r="H133" s="700"/>
      <c r="I133" s="700"/>
      <c r="J133" s="700"/>
      <c r="K133" s="700"/>
      <c r="L133" s="700"/>
      <c r="M133" s="827"/>
      <c r="N133" s="700"/>
      <c r="P133" s="871"/>
    </row>
    <row r="134" spans="1:17" s="863" customFormat="1" ht="14.25" thickTop="1" thickBot="1">
      <c r="A134" s="862"/>
      <c r="B134" s="862"/>
      <c r="C134" s="835"/>
      <c r="D134" s="830" t="s">
        <v>12483</v>
      </c>
      <c r="E134" s="831"/>
      <c r="F134" s="831"/>
      <c r="G134" s="831"/>
      <c r="H134" s="831"/>
      <c r="I134" s="831"/>
      <c r="J134" s="831"/>
      <c r="K134" s="831"/>
      <c r="L134" s="832"/>
      <c r="M134" s="833"/>
      <c r="N134" s="870"/>
      <c r="O134" s="871"/>
      <c r="P134" s="871"/>
    </row>
    <row r="135" spans="1:17" s="863" customFormat="1" ht="13.5" thickTop="1">
      <c r="A135" s="862"/>
      <c r="B135" s="862"/>
      <c r="C135" s="835"/>
      <c r="D135" s="789"/>
      <c r="E135" s="915"/>
      <c r="F135" s="790"/>
      <c r="G135" s="828" t="s">
        <v>1275</v>
      </c>
      <c r="H135" s="828" t="s">
        <v>11684</v>
      </c>
      <c r="I135" s="828" t="s">
        <v>19</v>
      </c>
      <c r="J135" s="828" t="s">
        <v>32</v>
      </c>
      <c r="K135" s="700" t="s">
        <v>30</v>
      </c>
      <c r="L135" s="700"/>
      <c r="M135" s="876"/>
      <c r="N135" s="870"/>
      <c r="O135" s="871"/>
      <c r="P135" s="871"/>
    </row>
    <row r="136" spans="1:17" s="863" customFormat="1">
      <c r="A136" s="862"/>
      <c r="B136" s="862"/>
      <c r="C136" s="835"/>
      <c r="D136" s="789"/>
      <c r="E136" s="915"/>
      <c r="F136" s="790" t="s">
        <v>12485</v>
      </c>
      <c r="G136" s="700">
        <v>1</v>
      </c>
      <c r="H136" s="889">
        <v>3</v>
      </c>
      <c r="I136" s="889">
        <v>1</v>
      </c>
      <c r="J136" s="889">
        <v>1</v>
      </c>
      <c r="K136" s="790"/>
      <c r="L136" s="700" t="s">
        <v>22</v>
      </c>
      <c r="M136" s="877">
        <f>G136*H136*I136*J136</f>
        <v>3</v>
      </c>
      <c r="N136" s="870"/>
      <c r="O136" s="871"/>
      <c r="P136" s="871"/>
    </row>
    <row r="137" spans="1:17" s="863" customFormat="1">
      <c r="A137" s="862"/>
      <c r="B137" s="862"/>
      <c r="C137" s="835"/>
      <c r="D137" s="789"/>
      <c r="E137" s="915"/>
      <c r="F137" s="790" t="s">
        <v>12486</v>
      </c>
      <c r="G137" s="700">
        <v>1</v>
      </c>
      <c r="H137" s="889">
        <v>3</v>
      </c>
      <c r="I137" s="889">
        <v>3</v>
      </c>
      <c r="J137" s="889">
        <v>0.3</v>
      </c>
      <c r="K137" s="790"/>
      <c r="L137" s="700" t="s">
        <v>22</v>
      </c>
      <c r="M137" s="877">
        <f>G137*H137*I137*J137</f>
        <v>2.6999999999999997</v>
      </c>
      <c r="N137" s="870"/>
      <c r="O137" s="871"/>
      <c r="P137" s="871"/>
    </row>
    <row r="138" spans="1:17" s="863" customFormat="1">
      <c r="A138" s="862"/>
      <c r="B138" s="862"/>
      <c r="C138" s="835"/>
      <c r="D138" s="789"/>
      <c r="E138" s="915"/>
      <c r="F138" s="790" t="s">
        <v>12487</v>
      </c>
      <c r="G138" s="700">
        <v>3</v>
      </c>
      <c r="H138" s="889">
        <v>2</v>
      </c>
      <c r="I138" s="889">
        <v>1</v>
      </c>
      <c r="J138" s="889">
        <v>1</v>
      </c>
      <c r="K138" s="790"/>
      <c r="L138" s="700" t="s">
        <v>22</v>
      </c>
      <c r="M138" s="877">
        <f>G138*H138*I138*J138</f>
        <v>6</v>
      </c>
      <c r="N138" s="870"/>
      <c r="O138" s="871"/>
      <c r="P138" s="871"/>
    </row>
    <row r="139" spans="1:17" ht="33.75">
      <c r="A139" s="862" t="s">
        <v>12484</v>
      </c>
      <c r="B139" s="835" t="s">
        <v>70</v>
      </c>
      <c r="C139" s="893">
        <v>92743</v>
      </c>
      <c r="D139" s="836" t="str">
        <f>PROPER(IF(B139="SANEAGO",VLOOKUP(C139,'SANEAGO-FEV.2016'!A:B,2,0),IF(B139="SINAPI",VLOOKUP(C139,'SINAPI-FEV.2017'!A:D,2,0),IF(B139="Cotação",VLOOKUP(C139,COTAÇÃO!A:D,2,0),IF(B139="Composição",VLOOKUP(C139,COMPOSIÇÃO!A:D,2,0))))))</f>
        <v>Muro De Gabião, Enchimento Com Pedra De Mão Tipo Rachão, De Gravidade, Com Gaiolas De Comprimento Igual A 2 Metros, Altura Do Muro De Até 4 Metros - Fornecimento E Execução. Af_12/2015</v>
      </c>
      <c r="E139" s="837"/>
      <c r="F139" s="837"/>
      <c r="G139" s="852"/>
      <c r="H139" s="852"/>
      <c r="I139" s="852"/>
      <c r="J139" s="838"/>
      <c r="K139" s="839" t="s">
        <v>27</v>
      </c>
      <c r="L139" s="856" t="s">
        <v>22</v>
      </c>
      <c r="M139" s="840">
        <f>SUM(M136:M138)</f>
        <v>11.7</v>
      </c>
    </row>
    <row r="140" spans="1:17" ht="13.5" thickBot="1">
      <c r="C140" s="893"/>
      <c r="D140" s="826"/>
      <c r="E140" s="790"/>
      <c r="F140" s="790"/>
      <c r="G140" s="700"/>
      <c r="H140" s="700"/>
      <c r="I140" s="700"/>
      <c r="J140" s="828"/>
      <c r="K140" s="828"/>
      <c r="L140" s="700"/>
      <c r="M140" s="829"/>
    </row>
    <row r="141" spans="1:17" s="863" customFormat="1" ht="14.25" thickTop="1" thickBot="1">
      <c r="A141" s="862"/>
      <c r="B141" s="862"/>
      <c r="C141" s="835"/>
      <c r="D141" s="830" t="s">
        <v>46</v>
      </c>
      <c r="E141" s="831"/>
      <c r="F141" s="831"/>
      <c r="G141" s="831"/>
      <c r="H141" s="831"/>
      <c r="I141" s="831"/>
      <c r="J141" s="831"/>
      <c r="K141" s="831"/>
      <c r="L141" s="832" t="s">
        <v>25</v>
      </c>
      <c r="M141" s="833" t="s">
        <v>27</v>
      </c>
      <c r="N141" s="700"/>
      <c r="P141" s="871"/>
    </row>
    <row r="142" spans="1:17" s="863" customFormat="1" ht="13.5" thickTop="1">
      <c r="A142" s="916"/>
      <c r="B142" s="835"/>
      <c r="C142" s="835"/>
      <c r="D142" s="826"/>
      <c r="E142" s="790"/>
      <c r="F142" s="790"/>
      <c r="G142" s="828"/>
      <c r="H142" s="700"/>
      <c r="I142" s="828"/>
      <c r="J142" s="828" t="s">
        <v>31</v>
      </c>
      <c r="K142" s="828" t="s">
        <v>81</v>
      </c>
      <c r="L142" s="828"/>
      <c r="M142" s="829"/>
      <c r="N142" s="870"/>
      <c r="O142" s="917"/>
      <c r="P142" s="871"/>
      <c r="Q142" s="871"/>
    </row>
    <row r="143" spans="1:17" s="863" customFormat="1" ht="33.75">
      <c r="A143" s="918" t="s">
        <v>14349</v>
      </c>
      <c r="B143" s="835" t="s">
        <v>70</v>
      </c>
      <c r="C143" s="919">
        <v>92836</v>
      </c>
      <c r="D143" s="836" t="str">
        <f>PROPER(IF(B143="SANEAGO",VLOOKUP(C143,'SANEAGO-FEV.2016'!A:B,2,0),IF(B143="SINAPI",VLOOKUP(C143,'SINAPI-FEV.2017'!A:D,2,0),IF(B143="Cotação",VLOOKUP(C143,COTAÇÃO!A:D,2,0),IF(B143="Composição",VLOOKUP(C143,COMPOSIÇÃO!A:D,2,0))))))</f>
        <v>Assentamento De Tubo De Concreto Para Redes Coletoras De Esgoto Sanitário, Diâmetro De 400 Mm, Junta Elástica, Instalado Em Local Com Baixo Nível De Interferências (Não Inclui Fornecimento). Af_12/2015</v>
      </c>
      <c r="E143" s="837"/>
      <c r="F143" s="837"/>
      <c r="G143" s="838"/>
      <c r="H143" s="838"/>
      <c r="I143" s="838"/>
      <c r="J143" s="920">
        <v>400</v>
      </c>
      <c r="K143" s="920" t="s">
        <v>11699</v>
      </c>
      <c r="L143" s="838" t="s">
        <v>18</v>
      </c>
      <c r="M143" s="853">
        <f>4+7</f>
        <v>11</v>
      </c>
      <c r="N143" s="870"/>
      <c r="O143" s="917"/>
      <c r="P143" s="871"/>
      <c r="Q143" s="871"/>
    </row>
    <row r="144" spans="1:17" s="863" customFormat="1" ht="13.5" thickBot="1">
      <c r="A144" s="918"/>
      <c r="B144" s="919"/>
      <c r="C144" s="919"/>
      <c r="D144" s="826"/>
      <c r="E144" s="790"/>
      <c r="F144" s="790"/>
      <c r="G144" s="828"/>
      <c r="H144" s="828"/>
      <c r="I144" s="828"/>
      <c r="J144" s="907"/>
      <c r="K144" s="907"/>
      <c r="L144" s="828"/>
      <c r="M144" s="829"/>
      <c r="N144" s="870"/>
      <c r="O144" s="917"/>
      <c r="P144" s="871"/>
      <c r="Q144" s="871"/>
    </row>
    <row r="145" spans="1:18" s="863" customFormat="1" ht="14.25" thickTop="1" thickBot="1">
      <c r="A145" s="862"/>
      <c r="B145" s="862"/>
      <c r="C145" s="835"/>
      <c r="D145" s="830" t="s">
        <v>14346</v>
      </c>
      <c r="E145" s="831"/>
      <c r="F145" s="831"/>
      <c r="G145" s="831"/>
      <c r="H145" s="831"/>
      <c r="I145" s="831"/>
      <c r="J145" s="831"/>
      <c r="K145" s="831"/>
      <c r="L145" s="832" t="s">
        <v>25</v>
      </c>
      <c r="M145" s="833" t="s">
        <v>27</v>
      </c>
      <c r="N145" s="700"/>
      <c r="P145" s="871"/>
    </row>
    <row r="146" spans="1:18" s="863" customFormat="1" ht="13.5" thickTop="1">
      <c r="A146" s="862"/>
      <c r="B146" s="862"/>
      <c r="C146" s="835"/>
      <c r="D146" s="789"/>
      <c r="E146" s="816" t="s">
        <v>30</v>
      </c>
      <c r="F146" s="816" t="s">
        <v>30</v>
      </c>
      <c r="G146" s="828" t="s">
        <v>1275</v>
      </c>
      <c r="H146" s="828" t="s">
        <v>11684</v>
      </c>
      <c r="I146" s="828" t="s">
        <v>19</v>
      </c>
      <c r="J146" s="828" t="s">
        <v>32</v>
      </c>
      <c r="K146" s="816" t="s">
        <v>30</v>
      </c>
      <c r="L146" s="816" t="s">
        <v>30</v>
      </c>
      <c r="M146" s="816" t="s">
        <v>30</v>
      </c>
      <c r="N146" s="700"/>
      <c r="P146" s="871"/>
    </row>
    <row r="147" spans="1:18" s="863" customFormat="1">
      <c r="A147" s="862"/>
      <c r="B147" s="862"/>
      <c r="C147" s="835"/>
      <c r="D147" s="888" t="s">
        <v>12481</v>
      </c>
      <c r="E147" s="824"/>
      <c r="F147" s="824"/>
      <c r="G147" s="700">
        <f>G117</f>
        <v>1</v>
      </c>
      <c r="H147" s="889">
        <f>H117</f>
        <v>4</v>
      </c>
      <c r="I147" s="889">
        <f>I117</f>
        <v>1.7</v>
      </c>
      <c r="J147" s="889">
        <f>J117+0.2</f>
        <v>1.8</v>
      </c>
      <c r="K147" s="828"/>
      <c r="L147" s="828" t="s">
        <v>22</v>
      </c>
      <c r="M147" s="877">
        <f>G147*((H147*2+I147*2)*J147)</f>
        <v>20.52</v>
      </c>
      <c r="N147" s="700"/>
      <c r="P147" s="871"/>
    </row>
    <row r="148" spans="1:18" s="863" customFormat="1">
      <c r="A148" s="918"/>
      <c r="B148" s="919"/>
      <c r="C148" s="919"/>
      <c r="D148" s="826"/>
      <c r="E148" s="790"/>
      <c r="F148" s="790"/>
      <c r="G148" s="828"/>
      <c r="H148" s="828"/>
      <c r="I148" s="828"/>
      <c r="J148" s="907"/>
      <c r="K148" s="907"/>
      <c r="L148" s="828"/>
      <c r="M148" s="829"/>
      <c r="N148" s="870"/>
      <c r="O148" s="917"/>
      <c r="P148" s="871"/>
      <c r="Q148" s="871"/>
    </row>
    <row r="149" spans="1:18" s="863" customFormat="1">
      <c r="A149" s="921" t="s">
        <v>14350</v>
      </c>
      <c r="B149" s="855" t="s">
        <v>70</v>
      </c>
      <c r="C149" s="855" t="s">
        <v>16604</v>
      </c>
      <c r="D149" s="836" t="str">
        <f>PROPER(IF(B149="SANEAGO",VLOOKUP(C149,'SANEAGO-FEV.2016'!A:B,2,0),IF(B149="SINAPI",VLOOKUP(C149,'SINAPI-FEV.2017'!A:D,2,0),IF(B149="Cotação",VLOOKUP(C149,COTAÇÃO!A:D,2,0),IF(B149="Composição",VLOOKUP(C149,COMPOSIÇÃO!A:D,2,0))))))</f>
        <v>Impermeabilizacao De Estruturas Enterradas, Com Tinta Asfaltica, Duas Demaos.</v>
      </c>
      <c r="E149" s="837"/>
      <c r="F149" s="837"/>
      <c r="G149" s="838"/>
      <c r="H149" s="838"/>
      <c r="I149" s="838"/>
      <c r="J149" s="838"/>
      <c r="K149" s="839" t="s">
        <v>27</v>
      </c>
      <c r="L149" s="856" t="s">
        <v>21</v>
      </c>
      <c r="M149" s="840">
        <f>M147</f>
        <v>20.52</v>
      </c>
      <c r="N149" s="700"/>
      <c r="P149" s="871"/>
    </row>
    <row r="150" spans="1:18" s="863" customFormat="1">
      <c r="A150" s="921"/>
      <c r="B150" s="919"/>
      <c r="C150" s="919"/>
      <c r="D150" s="789"/>
      <c r="E150" s="816" t="s">
        <v>30</v>
      </c>
      <c r="F150" s="816" t="s">
        <v>30</v>
      </c>
      <c r="G150" s="828" t="s">
        <v>1275</v>
      </c>
      <c r="H150" s="828" t="s">
        <v>11684</v>
      </c>
      <c r="I150" s="828" t="s">
        <v>19</v>
      </c>
      <c r="J150" s="828" t="s">
        <v>32</v>
      </c>
      <c r="K150" s="816" t="s">
        <v>30</v>
      </c>
      <c r="L150" s="816" t="s">
        <v>30</v>
      </c>
      <c r="M150" s="816" t="s">
        <v>30</v>
      </c>
      <c r="N150" s="700"/>
      <c r="P150" s="871"/>
    </row>
    <row r="151" spans="1:18" s="863" customFormat="1">
      <c r="A151" s="921"/>
      <c r="B151" s="919"/>
      <c r="C151" s="919"/>
      <c r="D151" s="888" t="s">
        <v>14348</v>
      </c>
      <c r="E151" s="824"/>
      <c r="F151" s="824"/>
      <c r="G151" s="700">
        <f>G147</f>
        <v>1</v>
      </c>
      <c r="H151" s="889">
        <f>H147-0.2*2</f>
        <v>3.6</v>
      </c>
      <c r="I151" s="889">
        <f>I147-0.2*2</f>
        <v>1.2999999999999998</v>
      </c>
      <c r="J151" s="889">
        <f>J147</f>
        <v>1.8</v>
      </c>
      <c r="K151" s="828"/>
      <c r="L151" s="828" t="s">
        <v>22</v>
      </c>
      <c r="M151" s="877">
        <f>G151*((H151*2+I151*2)*J151)</f>
        <v>17.64</v>
      </c>
      <c r="N151" s="700"/>
      <c r="P151" s="871"/>
    </row>
    <row r="152" spans="1:18" s="863" customFormat="1">
      <c r="A152" s="918"/>
      <c r="B152" s="919"/>
      <c r="C152" s="919"/>
      <c r="D152" s="888" t="s">
        <v>14347</v>
      </c>
      <c r="E152" s="824"/>
      <c r="F152" s="824"/>
      <c r="G152" s="700">
        <f>G118</f>
        <v>5</v>
      </c>
      <c r="H152" s="700">
        <f>H118</f>
        <v>0.8</v>
      </c>
      <c r="I152" s="700">
        <v>0.2</v>
      </c>
      <c r="J152" s="700">
        <f>J118</f>
        <v>1.4</v>
      </c>
      <c r="K152" s="828"/>
      <c r="L152" s="828" t="s">
        <v>22</v>
      </c>
      <c r="M152" s="877">
        <f>G152*((H152*2+I152)*J152)</f>
        <v>12.6</v>
      </c>
      <c r="N152" s="870"/>
      <c r="O152" s="917"/>
      <c r="P152" s="871"/>
      <c r="Q152" s="871"/>
    </row>
    <row r="153" spans="1:18" s="863" customFormat="1">
      <c r="A153" s="918"/>
      <c r="B153" s="919"/>
      <c r="C153" s="919"/>
      <c r="D153" s="826"/>
      <c r="E153" s="790"/>
      <c r="F153" s="790"/>
      <c r="G153" s="828"/>
      <c r="H153" s="828"/>
      <c r="I153" s="828"/>
      <c r="J153" s="907"/>
      <c r="K153" s="907"/>
      <c r="L153" s="828"/>
      <c r="M153" s="829"/>
      <c r="N153" s="870"/>
      <c r="O153" s="917"/>
      <c r="P153" s="871"/>
      <c r="Q153" s="871"/>
    </row>
    <row r="154" spans="1:18" s="863" customFormat="1" ht="15.75" customHeight="1">
      <c r="A154" s="921" t="s">
        <v>14351</v>
      </c>
      <c r="B154" s="919" t="s">
        <v>70</v>
      </c>
      <c r="C154" s="919" t="s">
        <v>16608</v>
      </c>
      <c r="D154" s="836" t="str">
        <f>PROPER(IF(B154="SANEAGO",VLOOKUP(C154,'SANEAGO-FEV.2016'!A:B,2,0),IF(B154="SINAPI",VLOOKUP(C154,'SINAPI-FEV.2017'!A:D,2,0),IF(B154="Cotação",VLOOKUP(C154,COTAÇÃO!A:D,2,0),IF(B154="Composição",VLOOKUP(C154,COMPOSIÇÃO!A:D,2,0))))))</f>
        <v>Impermeabilizacao Com Pintura A Base De Resina Epoxi Alcatrao, Duas Demaos.</v>
      </c>
      <c r="E154" s="837"/>
      <c r="F154" s="837"/>
      <c r="G154" s="838"/>
      <c r="H154" s="838"/>
      <c r="I154" s="838"/>
      <c r="J154" s="838"/>
      <c r="K154" s="839" t="s">
        <v>27</v>
      </c>
      <c r="L154" s="856" t="s">
        <v>21</v>
      </c>
      <c r="M154" s="840">
        <f>SUM(M151:M153)</f>
        <v>30.240000000000002</v>
      </c>
      <c r="N154" s="700"/>
      <c r="P154" s="871"/>
    </row>
    <row r="155" spans="1:18" s="863" customFormat="1" ht="13.5" thickBot="1">
      <c r="A155" s="862"/>
      <c r="B155" s="862"/>
      <c r="C155" s="835"/>
      <c r="D155" s="826" t="s">
        <v>12208</v>
      </c>
      <c r="E155" s="790"/>
      <c r="F155" s="790"/>
      <c r="G155" s="700"/>
      <c r="H155" s="700"/>
      <c r="I155" s="700"/>
      <c r="J155" s="828"/>
      <c r="K155" s="828"/>
      <c r="L155" s="828"/>
      <c r="M155" s="829"/>
      <c r="N155" s="700"/>
      <c r="P155" s="871"/>
    </row>
    <row r="156" spans="1:18" s="863" customFormat="1" ht="14.25" thickTop="1" thickBot="1">
      <c r="A156" s="862"/>
      <c r="B156" s="862"/>
      <c r="C156" s="835"/>
      <c r="D156" s="830" t="s">
        <v>11695</v>
      </c>
      <c r="E156" s="831"/>
      <c r="F156" s="831"/>
      <c r="G156" s="831"/>
      <c r="H156" s="831"/>
      <c r="I156" s="831"/>
      <c r="J156" s="831"/>
      <c r="K156" s="831"/>
      <c r="L156" s="832" t="s">
        <v>25</v>
      </c>
      <c r="M156" s="833" t="s">
        <v>27</v>
      </c>
      <c r="N156" s="700"/>
      <c r="P156" s="871"/>
    </row>
    <row r="157" spans="1:18" s="863" customFormat="1" ht="13.5" thickTop="1">
      <c r="A157" s="862"/>
      <c r="B157" s="862"/>
      <c r="C157" s="835"/>
      <c r="D157" s="826"/>
      <c r="E157" s="790"/>
      <c r="F157" s="790"/>
      <c r="G157" s="700" t="s">
        <v>30</v>
      </c>
      <c r="H157" s="700" t="s">
        <v>1275</v>
      </c>
      <c r="I157" s="700" t="s">
        <v>11684</v>
      </c>
      <c r="J157" s="700" t="s">
        <v>19</v>
      </c>
      <c r="K157" s="700"/>
      <c r="L157" s="700"/>
      <c r="M157" s="827"/>
      <c r="N157" s="700"/>
      <c r="P157" s="871"/>
    </row>
    <row r="158" spans="1:18" s="863" customFormat="1" ht="22.5">
      <c r="A158" s="862" t="s">
        <v>12477</v>
      </c>
      <c r="B158" s="855" t="s">
        <v>70</v>
      </c>
      <c r="C158" s="855" t="s">
        <v>18613</v>
      </c>
      <c r="D158" s="836" t="str">
        <f>PROPER(IF(B158="SANEAGO",VLOOKUP(C158,'SANEAGO-FEV.2016'!A:B,2,0),IF(B158="SINAPI",VLOOKUP(C158,'SINAPI-FEV.2017'!A:D,2,0),IF(B158="Cotação",VLOOKUP(C158,COTAÇÃO!A:D,2,0),IF(B158="Composição",VLOOKUP(C158,COMPOSIÇÃO!A:D,2,0))))))</f>
        <v>Piso Cimentado Traco 1:3 (Cimento E Areia), Com Acabamento Rustico E Frisado Espessura 2Cm, Preparo Manual</v>
      </c>
      <c r="E158" s="837"/>
      <c r="F158" s="1677" t="s">
        <v>12488</v>
      </c>
      <c r="G158" s="1677"/>
      <c r="H158" s="838">
        <v>1</v>
      </c>
      <c r="I158" s="838">
        <v>4</v>
      </c>
      <c r="J158" s="838">
        <v>1.7000000000000002</v>
      </c>
      <c r="K158" s="838"/>
      <c r="L158" s="852" t="s">
        <v>22</v>
      </c>
      <c r="M158" s="853">
        <f>H158*I158*J158</f>
        <v>6.8000000000000007</v>
      </c>
      <c r="N158" s="700"/>
      <c r="P158" s="871"/>
    </row>
    <row r="159" spans="1:18" s="824" customFormat="1" ht="13.5" thickBot="1">
      <c r="A159" s="905"/>
      <c r="B159" s="905"/>
      <c r="C159" s="906"/>
      <c r="D159" s="826"/>
      <c r="E159" s="790"/>
      <c r="F159" s="790"/>
      <c r="G159" s="700"/>
      <c r="H159" s="700"/>
      <c r="I159" s="700"/>
      <c r="J159" s="907"/>
      <c r="K159" s="700"/>
      <c r="L159" s="700"/>
      <c r="M159" s="827"/>
      <c r="N159" s="700"/>
      <c r="O159" s="863"/>
      <c r="P159" s="871"/>
      <c r="Q159" s="863"/>
      <c r="R159" s="863"/>
    </row>
    <row r="160" spans="1:18" ht="14.25" thickTop="1" thickBot="1">
      <c r="A160" s="912"/>
      <c r="B160" s="912"/>
      <c r="D160" s="830" t="s">
        <v>24</v>
      </c>
      <c r="E160" s="831"/>
      <c r="F160" s="831"/>
      <c r="G160" s="831"/>
      <c r="H160" s="831"/>
      <c r="I160" s="831"/>
      <c r="J160" s="831"/>
      <c r="K160" s="831"/>
      <c r="L160" s="832" t="s">
        <v>25</v>
      </c>
      <c r="M160" s="833" t="s">
        <v>27</v>
      </c>
    </row>
    <row r="161" spans="1:16" s="863" customFormat="1" ht="13.5" thickTop="1">
      <c r="A161" s="862"/>
      <c r="B161" s="862"/>
      <c r="C161" s="835"/>
      <c r="D161" s="826"/>
      <c r="E161" s="790"/>
      <c r="F161" s="790"/>
      <c r="G161" s="828" t="s">
        <v>30</v>
      </c>
      <c r="H161" s="828" t="s">
        <v>30</v>
      </c>
      <c r="I161" s="828" t="s">
        <v>30</v>
      </c>
      <c r="J161" s="828" t="s">
        <v>30</v>
      </c>
      <c r="K161" s="828" t="s">
        <v>30</v>
      </c>
      <c r="L161" s="828"/>
      <c r="M161" s="877"/>
      <c r="N161" s="700"/>
      <c r="P161" s="871"/>
    </row>
    <row r="162" spans="1:16" s="863" customFormat="1" ht="22.5">
      <c r="A162" s="862" t="s">
        <v>12489</v>
      </c>
      <c r="B162" s="862" t="s">
        <v>1</v>
      </c>
      <c r="C162" s="835">
        <v>1612</v>
      </c>
      <c r="D162" s="836" t="str">
        <f>PROPER(IF(B162="SANEAGO",VLOOKUP(C162,'SANEAGO-FEV.2016'!A:B,2,0),IF(B162="SINAPI",VLOOKUP(C162,'SINAPI-FEV.2017'!A:D,2,0),IF(B162="Cotação",VLOOKUP(C162,COTAÇÃO!A:D,2,0),IF(B162="Composição",VLOOKUP(C162,COMPOSIÇÃO!A:D,2,0))))))</f>
        <v>Poço De Visita  Em Anéis De Concreto Diâmetros 60 Cm (Chaminé) E 90 Cm (Balão), Incluindo Anel Tampão De Concreto, Profundidade = 2,0 M</v>
      </c>
      <c r="E162" s="837"/>
      <c r="F162" s="837"/>
      <c r="G162" s="838"/>
      <c r="H162" s="838"/>
      <c r="I162" s="838"/>
      <c r="J162" s="913"/>
      <c r="K162" s="852"/>
      <c r="L162" s="852" t="s">
        <v>1274</v>
      </c>
      <c r="M162" s="853">
        <v>1</v>
      </c>
      <c r="N162" s="914"/>
      <c r="P162" s="871"/>
    </row>
    <row r="163" spans="1:16" s="863" customFormat="1">
      <c r="A163" s="862"/>
      <c r="B163" s="862"/>
      <c r="C163" s="835"/>
      <c r="D163" s="826"/>
      <c r="E163" s="790"/>
      <c r="F163" s="790"/>
      <c r="G163" s="828" t="s">
        <v>30</v>
      </c>
      <c r="H163" s="828" t="s">
        <v>30</v>
      </c>
      <c r="I163" s="828" t="s">
        <v>30</v>
      </c>
      <c r="J163" s="828" t="s">
        <v>30</v>
      </c>
      <c r="K163" s="828" t="s">
        <v>30</v>
      </c>
      <c r="L163" s="828"/>
      <c r="M163" s="877"/>
      <c r="N163" s="700"/>
      <c r="P163" s="871"/>
    </row>
    <row r="164" spans="1:16" s="863" customFormat="1">
      <c r="A164" s="862" t="s">
        <v>14345</v>
      </c>
      <c r="B164" s="850" t="s">
        <v>70</v>
      </c>
      <c r="C164" s="922">
        <v>9537</v>
      </c>
      <c r="D164" s="836" t="str">
        <f>PROPER(IF(B164="SANEAGO",VLOOKUP(C164,'SANEAGO-FEV.2016'!A:B,2,0),IF(B164="SINAPI",VLOOKUP(C164,'SINAPI-FEV.2017'!A:D,2,0),IF(B164="Cotação",VLOOKUP(C164,COTAÇÃO!A:D,2,0),IF(B164="Composição",VLOOKUP(C164,COMPOSIÇÃO!A:D,2,0))))))</f>
        <v>Limpeza Final Da Obra</v>
      </c>
      <c r="E164" s="837"/>
      <c r="F164" s="837"/>
      <c r="G164" s="838"/>
      <c r="H164" s="838"/>
      <c r="I164" s="838"/>
      <c r="J164" s="838"/>
      <c r="K164" s="838"/>
      <c r="L164" s="852" t="s">
        <v>21</v>
      </c>
      <c r="M164" s="853">
        <f>M30</f>
        <v>22.200000000000003</v>
      </c>
      <c r="N164" s="700"/>
      <c r="P164" s="871"/>
    </row>
  </sheetData>
  <sheetProtection algorithmName="SHA-512" hashValue="yYjH9mX7vcRnxlkA3zMQc86ZzEduhHFIVD1/ccAjOPVi7Uhybn76YdUMHcCg87HwDtQUbIM1hwHFM83zg3lWpw==" saltValue="ODvnoEs+jQl72TLyrgtm9g==" spinCount="100000" sheet="1"/>
  <mergeCells count="16">
    <mergeCell ref="F32:G32"/>
    <mergeCell ref="D1:M4"/>
    <mergeCell ref="D10:M10"/>
    <mergeCell ref="D12:M12"/>
    <mergeCell ref="F29:G29"/>
    <mergeCell ref="D8:E8"/>
    <mergeCell ref="D46:E46"/>
    <mergeCell ref="I46:K46"/>
    <mergeCell ref="G78:H78"/>
    <mergeCell ref="F158:G158"/>
    <mergeCell ref="E118:F118"/>
    <mergeCell ref="G103:H103"/>
    <mergeCell ref="J84:K84"/>
    <mergeCell ref="E100:F100"/>
    <mergeCell ref="G82:H82"/>
    <mergeCell ref="E103:F103"/>
  </mergeCells>
  <conditionalFormatting sqref="L157:M157 K165:M65536 L42:M46">
    <cfRule type="cellIs" dxfId="295" priority="198" operator="equal">
      <formula>0</formula>
    </cfRule>
  </conditionalFormatting>
  <conditionalFormatting sqref="L14">
    <cfRule type="cellIs" dxfId="294" priority="193" operator="equal">
      <formula>0</formula>
    </cfRule>
  </conditionalFormatting>
  <conditionalFormatting sqref="L84:M84 M81 L81:L83">
    <cfRule type="cellIs" dxfId="293" priority="185" operator="equal">
      <formula>0</formula>
    </cfRule>
  </conditionalFormatting>
  <conditionalFormatting sqref="L89:M89">
    <cfRule type="cellIs" dxfId="292" priority="181" operator="equal">
      <formula>0</formula>
    </cfRule>
  </conditionalFormatting>
  <conditionalFormatting sqref="L26:M26">
    <cfRule type="cellIs" dxfId="291" priority="192" operator="equal">
      <formula>0</formula>
    </cfRule>
  </conditionalFormatting>
  <conditionalFormatting sqref="L133:M133">
    <cfRule type="cellIs" dxfId="290" priority="189" operator="equal">
      <formula>0</formula>
    </cfRule>
  </conditionalFormatting>
  <conditionalFormatting sqref="L37:M37">
    <cfRule type="cellIs" dxfId="289" priority="187" operator="equal">
      <formula>0</formula>
    </cfRule>
  </conditionalFormatting>
  <conditionalFormatting sqref="L88:M88">
    <cfRule type="cellIs" dxfId="288" priority="183" operator="equal">
      <formula>0</formula>
    </cfRule>
  </conditionalFormatting>
  <conditionalFormatting sqref="L87:M87">
    <cfRule type="cellIs" dxfId="287" priority="182" operator="equal">
      <formula>0</formula>
    </cfRule>
  </conditionalFormatting>
  <conditionalFormatting sqref="L92:M92">
    <cfRule type="cellIs" dxfId="286" priority="179" operator="equal">
      <formula>0</formula>
    </cfRule>
  </conditionalFormatting>
  <conditionalFormatting sqref="M96">
    <cfRule type="cellIs" dxfId="285" priority="173" operator="equal">
      <formula>0</formula>
    </cfRule>
  </conditionalFormatting>
  <conditionalFormatting sqref="L91:M91">
    <cfRule type="cellIs" dxfId="284" priority="178" operator="equal">
      <formula>0</formula>
    </cfRule>
  </conditionalFormatting>
  <conditionalFormatting sqref="L94:M94">
    <cfRule type="cellIs" dxfId="283" priority="177" operator="equal">
      <formula>0</formula>
    </cfRule>
  </conditionalFormatting>
  <conditionalFormatting sqref="L93:M93">
    <cfRule type="cellIs" dxfId="282" priority="176" operator="equal">
      <formula>0</formula>
    </cfRule>
  </conditionalFormatting>
  <conditionalFormatting sqref="L96">
    <cfRule type="cellIs" dxfId="281" priority="175" operator="equal">
      <formula>0</formula>
    </cfRule>
  </conditionalFormatting>
  <conditionalFormatting sqref="L95:M95">
    <cfRule type="cellIs" dxfId="280" priority="174" operator="equal">
      <formula>0</formula>
    </cfRule>
  </conditionalFormatting>
  <conditionalFormatting sqref="L155:M155">
    <cfRule type="cellIs" dxfId="279" priority="171" operator="equal">
      <formula>0</formula>
    </cfRule>
  </conditionalFormatting>
  <conditionalFormatting sqref="L97:M97">
    <cfRule type="cellIs" dxfId="278" priority="166" operator="equal">
      <formula>0</formula>
    </cfRule>
  </conditionalFormatting>
  <conditionalFormatting sqref="L39:M39">
    <cfRule type="cellIs" dxfId="277" priority="156" operator="equal">
      <formula>0</formula>
    </cfRule>
  </conditionalFormatting>
  <conditionalFormatting sqref="L159:M159">
    <cfRule type="cellIs" dxfId="276" priority="165" operator="equal">
      <formula>0</formula>
    </cfRule>
  </conditionalFormatting>
  <conditionalFormatting sqref="L132:M132">
    <cfRule type="cellIs" dxfId="275" priority="162" operator="equal">
      <formula>0</formula>
    </cfRule>
  </conditionalFormatting>
  <conditionalFormatting sqref="L34:M34">
    <cfRule type="cellIs" dxfId="274" priority="160" operator="equal">
      <formula>0</formula>
    </cfRule>
  </conditionalFormatting>
  <conditionalFormatting sqref="L47:M47">
    <cfRule type="cellIs" dxfId="273" priority="159" operator="equal">
      <formula>0</formula>
    </cfRule>
  </conditionalFormatting>
  <conditionalFormatting sqref="L49:M49">
    <cfRule type="cellIs" dxfId="272" priority="158" operator="equal">
      <formula>0</formula>
    </cfRule>
  </conditionalFormatting>
  <conditionalFormatting sqref="L38:M38">
    <cfRule type="cellIs" dxfId="271" priority="157" operator="equal">
      <formula>0</formula>
    </cfRule>
  </conditionalFormatting>
  <conditionalFormatting sqref="L40:M40">
    <cfRule type="cellIs" dxfId="270" priority="155" operator="equal">
      <formula>0</formula>
    </cfRule>
  </conditionalFormatting>
  <conditionalFormatting sqref="L41:M41">
    <cfRule type="cellIs" dxfId="269" priority="154" operator="equal">
      <formula>0</formula>
    </cfRule>
  </conditionalFormatting>
  <conditionalFormatting sqref="L50">
    <cfRule type="cellIs" dxfId="268" priority="153" operator="equal">
      <formula>0</formula>
    </cfRule>
  </conditionalFormatting>
  <conditionalFormatting sqref="L51:M51">
    <cfRule type="cellIs" dxfId="267" priority="152" operator="equal">
      <formula>0</formula>
    </cfRule>
  </conditionalFormatting>
  <conditionalFormatting sqref="L52:M52">
    <cfRule type="cellIs" dxfId="266" priority="151" operator="equal">
      <formula>0</formula>
    </cfRule>
  </conditionalFormatting>
  <conditionalFormatting sqref="M50">
    <cfRule type="cellIs" dxfId="265" priority="150" operator="equal">
      <formula>0</formula>
    </cfRule>
  </conditionalFormatting>
  <conditionalFormatting sqref="L53:M53">
    <cfRule type="cellIs" dxfId="264" priority="149" operator="equal">
      <formula>0</formula>
    </cfRule>
  </conditionalFormatting>
  <conditionalFormatting sqref="M54">
    <cfRule type="cellIs" dxfId="263" priority="148" operator="equal">
      <formula>0</formula>
    </cfRule>
  </conditionalFormatting>
  <conditionalFormatting sqref="L55">
    <cfRule type="cellIs" dxfId="262" priority="147" operator="equal">
      <formula>0</formula>
    </cfRule>
  </conditionalFormatting>
  <conditionalFormatting sqref="L57">
    <cfRule type="cellIs" dxfId="261" priority="146" operator="equal">
      <formula>0</formula>
    </cfRule>
  </conditionalFormatting>
  <conditionalFormatting sqref="L59">
    <cfRule type="cellIs" dxfId="260" priority="145" operator="equal">
      <formula>0</formula>
    </cfRule>
  </conditionalFormatting>
  <conditionalFormatting sqref="L61">
    <cfRule type="cellIs" dxfId="259" priority="144" operator="equal">
      <formula>0</formula>
    </cfRule>
  </conditionalFormatting>
  <conditionalFormatting sqref="L54">
    <cfRule type="cellIs" dxfId="258" priority="143" operator="equal">
      <formula>0</formula>
    </cfRule>
  </conditionalFormatting>
  <conditionalFormatting sqref="L56">
    <cfRule type="cellIs" dxfId="257" priority="142" operator="equal">
      <formula>0</formula>
    </cfRule>
  </conditionalFormatting>
  <conditionalFormatting sqref="L58">
    <cfRule type="cellIs" dxfId="256" priority="141" operator="equal">
      <formula>0</formula>
    </cfRule>
  </conditionalFormatting>
  <conditionalFormatting sqref="L60">
    <cfRule type="cellIs" dxfId="255" priority="140" operator="equal">
      <formula>0</formula>
    </cfRule>
  </conditionalFormatting>
  <conditionalFormatting sqref="L62">
    <cfRule type="cellIs" dxfId="254" priority="139" operator="equal">
      <formula>0</formula>
    </cfRule>
  </conditionalFormatting>
  <conditionalFormatting sqref="L76:M77 L78">
    <cfRule type="cellIs" dxfId="253" priority="136" operator="equal">
      <formula>0</formula>
    </cfRule>
  </conditionalFormatting>
  <conditionalFormatting sqref="L75:M75">
    <cfRule type="cellIs" dxfId="252" priority="135" operator="equal">
      <formula>0</formula>
    </cfRule>
  </conditionalFormatting>
  <conditionalFormatting sqref="L80:M83">
    <cfRule type="cellIs" dxfId="251" priority="134" operator="equal">
      <formula>0</formula>
    </cfRule>
  </conditionalFormatting>
  <conditionalFormatting sqref="L86:M86">
    <cfRule type="cellIs" dxfId="250" priority="132" operator="equal">
      <formula>0</formula>
    </cfRule>
  </conditionalFormatting>
  <conditionalFormatting sqref="L85:M85">
    <cfRule type="cellIs" dxfId="249" priority="133" operator="equal">
      <formula>0</formula>
    </cfRule>
  </conditionalFormatting>
  <conditionalFormatting sqref="G85:K85">
    <cfRule type="cellIs" dxfId="248" priority="131" operator="equal">
      <formula>0</formula>
    </cfRule>
  </conditionalFormatting>
  <conditionalFormatting sqref="G86:K86">
    <cfRule type="cellIs" dxfId="247" priority="130" operator="equal">
      <formula>0</formula>
    </cfRule>
  </conditionalFormatting>
  <conditionalFormatting sqref="M13:M14">
    <cfRule type="cellIs" dxfId="246" priority="128" operator="equal">
      <formula>0</formula>
    </cfRule>
  </conditionalFormatting>
  <conditionalFormatting sqref="L65">
    <cfRule type="cellIs" dxfId="245" priority="122" operator="equal">
      <formula>0</formula>
    </cfRule>
  </conditionalFormatting>
  <conditionalFormatting sqref="L64">
    <cfRule type="cellIs" dxfId="244" priority="123" operator="equal">
      <formula>0</formula>
    </cfRule>
  </conditionalFormatting>
  <conditionalFormatting sqref="L63">
    <cfRule type="cellIs" dxfId="243" priority="124" operator="equal">
      <formula>0</formula>
    </cfRule>
  </conditionalFormatting>
  <conditionalFormatting sqref="L69">
    <cfRule type="cellIs" dxfId="242" priority="120" operator="equal">
      <formula>0</formula>
    </cfRule>
  </conditionalFormatting>
  <conditionalFormatting sqref="L71">
    <cfRule type="cellIs" dxfId="241" priority="119" operator="equal">
      <formula>0</formula>
    </cfRule>
  </conditionalFormatting>
  <conditionalFormatting sqref="L67">
    <cfRule type="cellIs" dxfId="240" priority="121" operator="equal">
      <formula>0</formula>
    </cfRule>
  </conditionalFormatting>
  <conditionalFormatting sqref="L73">
    <cfRule type="cellIs" dxfId="239" priority="118" operator="equal">
      <formula>0</formula>
    </cfRule>
  </conditionalFormatting>
  <conditionalFormatting sqref="L66">
    <cfRule type="cellIs" dxfId="238" priority="117" operator="equal">
      <formula>0</formula>
    </cfRule>
  </conditionalFormatting>
  <conditionalFormatting sqref="L68">
    <cfRule type="cellIs" dxfId="237" priority="116" operator="equal">
      <formula>0</formula>
    </cfRule>
  </conditionalFormatting>
  <conditionalFormatting sqref="L70">
    <cfRule type="cellIs" dxfId="236" priority="115" operator="equal">
      <formula>0</formula>
    </cfRule>
  </conditionalFormatting>
  <conditionalFormatting sqref="L72">
    <cfRule type="cellIs" dxfId="235" priority="114" operator="equal">
      <formula>0</formula>
    </cfRule>
  </conditionalFormatting>
  <conditionalFormatting sqref="L74">
    <cfRule type="cellIs" dxfId="234" priority="113" operator="equal">
      <formula>0</formula>
    </cfRule>
  </conditionalFormatting>
  <conditionalFormatting sqref="M56">
    <cfRule type="cellIs" dxfId="233" priority="111" operator="equal">
      <formula>0</formula>
    </cfRule>
  </conditionalFormatting>
  <conditionalFormatting sqref="M57">
    <cfRule type="cellIs" dxfId="232" priority="110" operator="equal">
      <formula>0</formula>
    </cfRule>
  </conditionalFormatting>
  <conditionalFormatting sqref="M58">
    <cfRule type="cellIs" dxfId="231" priority="109" operator="equal">
      <formula>0</formula>
    </cfRule>
  </conditionalFormatting>
  <conditionalFormatting sqref="M59">
    <cfRule type="cellIs" dxfId="230" priority="108" operator="equal">
      <formula>0</formula>
    </cfRule>
  </conditionalFormatting>
  <conditionalFormatting sqref="M60">
    <cfRule type="cellIs" dxfId="229" priority="107" operator="equal">
      <formula>0</formula>
    </cfRule>
  </conditionalFormatting>
  <conditionalFormatting sqref="M61">
    <cfRule type="cellIs" dxfId="228" priority="106" operator="equal">
      <formula>0</formula>
    </cfRule>
  </conditionalFormatting>
  <conditionalFormatting sqref="M62">
    <cfRule type="cellIs" dxfId="227" priority="105" operator="equal">
      <formula>0</formula>
    </cfRule>
  </conditionalFormatting>
  <conditionalFormatting sqref="M63">
    <cfRule type="cellIs" dxfId="226" priority="104" operator="equal">
      <formula>0</formula>
    </cfRule>
  </conditionalFormatting>
  <conditionalFormatting sqref="M64">
    <cfRule type="cellIs" dxfId="225" priority="103" operator="equal">
      <formula>0</formula>
    </cfRule>
  </conditionalFormatting>
  <conditionalFormatting sqref="M66">
    <cfRule type="cellIs" dxfId="224" priority="101" operator="equal">
      <formula>0</formula>
    </cfRule>
  </conditionalFormatting>
  <conditionalFormatting sqref="M65">
    <cfRule type="cellIs" dxfId="223" priority="102" operator="equal">
      <formula>0</formula>
    </cfRule>
  </conditionalFormatting>
  <conditionalFormatting sqref="M68">
    <cfRule type="cellIs" dxfId="222" priority="99" operator="equal">
      <formula>0</formula>
    </cfRule>
  </conditionalFormatting>
  <conditionalFormatting sqref="M67">
    <cfRule type="cellIs" dxfId="221" priority="100" operator="equal">
      <formula>0</formula>
    </cfRule>
  </conditionalFormatting>
  <conditionalFormatting sqref="M70">
    <cfRule type="cellIs" dxfId="220" priority="97" operator="equal">
      <formula>0</formula>
    </cfRule>
  </conditionalFormatting>
  <conditionalFormatting sqref="M73">
    <cfRule type="cellIs" dxfId="219" priority="94" operator="equal">
      <formula>0</formula>
    </cfRule>
  </conditionalFormatting>
  <conditionalFormatting sqref="M69">
    <cfRule type="cellIs" dxfId="218" priority="98" operator="equal">
      <formula>0</formula>
    </cfRule>
  </conditionalFormatting>
  <conditionalFormatting sqref="M71">
    <cfRule type="cellIs" dxfId="217" priority="96" operator="equal">
      <formula>0</formula>
    </cfRule>
  </conditionalFormatting>
  <conditionalFormatting sqref="M72">
    <cfRule type="cellIs" dxfId="216" priority="95" operator="equal">
      <formula>0</formula>
    </cfRule>
  </conditionalFormatting>
  <conditionalFormatting sqref="M74">
    <cfRule type="cellIs" dxfId="215" priority="93" operator="equal">
      <formula>0</formula>
    </cfRule>
  </conditionalFormatting>
  <conditionalFormatting sqref="L139">
    <cfRule type="cellIs" dxfId="214" priority="92" operator="equal">
      <formula>0</formula>
    </cfRule>
  </conditionalFormatting>
  <conditionalFormatting sqref="M139">
    <cfRule type="cellIs" dxfId="213" priority="91" operator="equal">
      <formula>0</formula>
    </cfRule>
  </conditionalFormatting>
  <conditionalFormatting sqref="L33">
    <cfRule type="cellIs" dxfId="212" priority="88" operator="equal">
      <formula>0</formula>
    </cfRule>
  </conditionalFormatting>
  <conditionalFormatting sqref="M48">
    <cfRule type="cellIs" dxfId="211" priority="84" operator="equal">
      <formula>0</formula>
    </cfRule>
  </conditionalFormatting>
  <conditionalFormatting sqref="L32:M32">
    <cfRule type="cellIs" dxfId="210" priority="86" operator="equal">
      <formula>0</formula>
    </cfRule>
  </conditionalFormatting>
  <conditionalFormatting sqref="L48">
    <cfRule type="cellIs" dxfId="209" priority="85" operator="equal">
      <formula>0</formula>
    </cfRule>
  </conditionalFormatting>
  <conditionalFormatting sqref="M78">
    <cfRule type="cellIs" dxfId="208" priority="80" operator="equal">
      <formula>0</formula>
    </cfRule>
  </conditionalFormatting>
  <conditionalFormatting sqref="L111:M111">
    <cfRule type="cellIs" dxfId="207" priority="77" operator="equal">
      <formula>0</formula>
    </cfRule>
  </conditionalFormatting>
  <conditionalFormatting sqref="L79:M79">
    <cfRule type="cellIs" dxfId="206" priority="82" operator="equal">
      <formula>0</formula>
    </cfRule>
  </conditionalFormatting>
  <conditionalFormatting sqref="L128">
    <cfRule type="cellIs" dxfId="205" priority="76" operator="equal">
      <formula>0</formula>
    </cfRule>
  </conditionalFormatting>
  <conditionalFormatting sqref="L104:M104">
    <cfRule type="cellIs" dxfId="204" priority="75" operator="equal">
      <formula>0</formula>
    </cfRule>
  </conditionalFormatting>
  <conditionalFormatting sqref="L101:M101">
    <cfRule type="cellIs" dxfId="203" priority="74" operator="equal">
      <formula>0</formula>
    </cfRule>
  </conditionalFormatting>
  <conditionalFormatting sqref="M140">
    <cfRule type="cellIs" dxfId="202" priority="67" operator="equal">
      <formula>0</formula>
    </cfRule>
  </conditionalFormatting>
  <conditionalFormatting sqref="L140">
    <cfRule type="cellIs" dxfId="201" priority="68" operator="equal">
      <formula>0</formula>
    </cfRule>
  </conditionalFormatting>
  <conditionalFormatting sqref="L158">
    <cfRule type="cellIs" dxfId="200" priority="65" operator="equal">
      <formula>0</formula>
    </cfRule>
  </conditionalFormatting>
  <conditionalFormatting sqref="M30">
    <cfRule type="cellIs" dxfId="199" priority="59" operator="equal">
      <formula>0</formula>
    </cfRule>
  </conditionalFormatting>
  <conditionalFormatting sqref="M33">
    <cfRule type="cellIs" dxfId="198" priority="56" operator="equal">
      <formula>0</formula>
    </cfRule>
  </conditionalFormatting>
  <conditionalFormatting sqref="L120:M122">
    <cfRule type="cellIs" dxfId="197" priority="54" operator="equal">
      <formula>0</formula>
    </cfRule>
  </conditionalFormatting>
  <conditionalFormatting sqref="D12">
    <cfRule type="cellIs" dxfId="196" priority="197" operator="equal">
      <formula>0</formula>
    </cfRule>
  </conditionalFormatting>
  <conditionalFormatting sqref="K5:M9 K25:M25 L13 K11:M11 L31:M31 L30">
    <cfRule type="cellIs" dxfId="195" priority="196" operator="equal">
      <formula>0</formula>
    </cfRule>
  </conditionalFormatting>
  <conditionalFormatting sqref="L15:M24">
    <cfRule type="cellIs" dxfId="194" priority="195" operator="equal">
      <formula>0</formula>
    </cfRule>
  </conditionalFormatting>
  <conditionalFormatting sqref="D134:D138">
    <cfRule type="cellIs" dxfId="193" priority="194" operator="equal">
      <formula>0</formula>
    </cfRule>
  </conditionalFormatting>
  <conditionalFormatting sqref="D36">
    <cfRule type="cellIs" dxfId="192" priority="188" operator="equal">
      <formula>0</formula>
    </cfRule>
  </conditionalFormatting>
  <conditionalFormatting sqref="D10">
    <cfRule type="cellIs" dxfId="191" priority="191" operator="equal">
      <formula>0</formula>
    </cfRule>
  </conditionalFormatting>
  <conditionalFormatting sqref="D35">
    <cfRule type="cellIs" dxfId="190" priority="190" operator="equal">
      <formula>0</formula>
    </cfRule>
  </conditionalFormatting>
  <conditionalFormatting sqref="D90">
    <cfRule type="cellIs" dxfId="189" priority="180" operator="equal">
      <formula>0</formula>
    </cfRule>
  </conditionalFormatting>
  <conditionalFormatting sqref="D141">
    <cfRule type="cellIs" dxfId="188" priority="172" operator="equal">
      <formula>0</formula>
    </cfRule>
  </conditionalFormatting>
  <conditionalFormatting sqref="D98">
    <cfRule type="cellIs" dxfId="187" priority="168" operator="equal">
      <formula>0</formula>
    </cfRule>
  </conditionalFormatting>
  <conditionalFormatting sqref="D156">
    <cfRule type="cellIs" dxfId="186" priority="163" operator="equal">
      <formula>0</formula>
    </cfRule>
  </conditionalFormatting>
  <conditionalFormatting sqref="D27">
    <cfRule type="cellIs" dxfId="185" priority="161" operator="equal">
      <formula>0</formula>
    </cfRule>
  </conditionalFormatting>
  <conditionalFormatting sqref="D160">
    <cfRule type="cellIs" dxfId="184" priority="127" operator="equal">
      <formula>0</formula>
    </cfRule>
  </conditionalFormatting>
  <conditionalFormatting sqref="M55">
    <cfRule type="cellIs" dxfId="183" priority="112" operator="equal">
      <formula>0</formula>
    </cfRule>
  </conditionalFormatting>
  <conditionalFormatting sqref="M128">
    <cfRule type="cellIs" dxfId="182" priority="53" operator="equal">
      <formula>0</formula>
    </cfRule>
  </conditionalFormatting>
  <conditionalFormatting sqref="M158">
    <cfRule type="cellIs" dxfId="181" priority="30" operator="equal">
      <formula>0</formula>
    </cfRule>
  </conditionalFormatting>
  <conditionalFormatting sqref="L142:M142">
    <cfRule type="cellIs" dxfId="180" priority="20" operator="equal">
      <formula>0</formula>
    </cfRule>
  </conditionalFormatting>
  <conditionalFormatting sqref="M148 M153 M143:M144">
    <cfRule type="cellIs" dxfId="179" priority="19" operator="equal">
      <formula>0</formula>
    </cfRule>
  </conditionalFormatting>
  <conditionalFormatting sqref="L148 L153 L143:L144">
    <cfRule type="cellIs" dxfId="178" priority="21" operator="equal">
      <formula>0</formula>
    </cfRule>
  </conditionalFormatting>
  <conditionalFormatting sqref="M162">
    <cfRule type="cellIs" dxfId="177" priority="15" operator="equal">
      <formula>0</formula>
    </cfRule>
  </conditionalFormatting>
  <conditionalFormatting sqref="L164:M164">
    <cfRule type="cellIs" dxfId="176" priority="17" operator="equal">
      <formula>0</formula>
    </cfRule>
  </conditionalFormatting>
  <conditionalFormatting sqref="L162">
    <cfRule type="cellIs" dxfId="175" priority="16" operator="equal">
      <formula>0</formula>
    </cfRule>
  </conditionalFormatting>
  <conditionalFormatting sqref="L154:M154">
    <cfRule type="cellIs" dxfId="174" priority="12" operator="equal">
      <formula>0</formula>
    </cfRule>
  </conditionalFormatting>
  <conditionalFormatting sqref="D145:D146">
    <cfRule type="cellIs" dxfId="173" priority="14" operator="equal">
      <formula>0</formula>
    </cfRule>
  </conditionalFormatting>
  <conditionalFormatting sqref="L149:M149">
    <cfRule type="cellIs" dxfId="172" priority="13" operator="equal">
      <formula>0</formula>
    </cfRule>
  </conditionalFormatting>
  <conditionalFormatting sqref="D150">
    <cfRule type="cellIs" dxfId="171" priority="11" operator="equal">
      <formula>0</formula>
    </cfRule>
  </conditionalFormatting>
  <conditionalFormatting sqref="L113:M113">
    <cfRule type="cellIs" dxfId="170" priority="10" operator="equal">
      <formula>0</formula>
    </cfRule>
  </conditionalFormatting>
  <conditionalFormatting sqref="L124">
    <cfRule type="cellIs" dxfId="169" priority="9" operator="equal">
      <formula>0</formula>
    </cfRule>
  </conditionalFormatting>
  <conditionalFormatting sqref="M124">
    <cfRule type="cellIs" dxfId="168" priority="8" operator="equal">
      <formula>0</formula>
    </cfRule>
  </conditionalFormatting>
  <conditionalFormatting sqref="L126">
    <cfRule type="cellIs" dxfId="167" priority="7" operator="equal">
      <formula>0</formula>
    </cfRule>
  </conditionalFormatting>
  <conditionalFormatting sqref="M126">
    <cfRule type="cellIs" dxfId="166" priority="6" operator="equal">
      <formula>0</formula>
    </cfRule>
  </conditionalFormatting>
  <conditionalFormatting sqref="L130">
    <cfRule type="cellIs" dxfId="165" priority="5" operator="equal">
      <formula>0</formula>
    </cfRule>
  </conditionalFormatting>
  <conditionalFormatting sqref="M130">
    <cfRule type="cellIs" dxfId="164" priority="4" operator="equal">
      <formula>0</formula>
    </cfRule>
  </conditionalFormatting>
  <pageMargins left="0.51181102362204722" right="0.51181102362204722" top="0.78740157480314965" bottom="0.78740157480314965" header="0.31496062992125984" footer="0.31496062992125984"/>
  <pageSetup paperSize="9" scale="50" fitToHeight="0" orientation="portrait" horizontalDpi="1200" verticalDpi="1200" r:id="rId1"/>
  <rowBreaks count="1" manualBreakCount="1">
    <brk id="96" min="3" max="12" man="1"/>
  </rowBreaks>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R81"/>
  <sheetViews>
    <sheetView zoomScale="85" zoomScaleNormal="85" zoomScaleSheetLayoutView="85" workbookViewId="0">
      <selection activeCell="D17" sqref="D17"/>
    </sheetView>
  </sheetViews>
  <sheetFormatPr defaultRowHeight="12.75"/>
  <cols>
    <col min="1" max="1" width="16.42578125" style="774" customWidth="1"/>
    <col min="2" max="2" width="8.85546875" style="775" bestFit="1" customWidth="1"/>
    <col min="3" max="3" width="8.140625" style="774" customWidth="1"/>
    <col min="4" max="4" width="82" style="857" customWidth="1"/>
    <col min="5" max="5" width="4.85546875" style="857" customWidth="1"/>
    <col min="6" max="6" width="4.85546875" style="858" customWidth="1"/>
    <col min="7" max="7" width="15.42578125" style="857" customWidth="1"/>
    <col min="8" max="8" width="12.85546875" style="857" customWidth="1"/>
    <col min="9" max="9" width="11.7109375" style="857" customWidth="1"/>
    <col min="10" max="10" width="11.85546875" style="859" customWidth="1"/>
    <col min="11" max="11" width="12.28515625" style="860" customWidth="1"/>
    <col min="12" max="12" width="9.85546875" style="861" customWidth="1"/>
    <col min="13" max="13" width="12.140625" style="861" customWidth="1"/>
    <col min="14" max="14" width="9.42578125" style="780" customWidth="1"/>
    <col min="15" max="15" width="7.5703125" style="777" customWidth="1"/>
    <col min="16" max="16" width="7.5703125" style="805" customWidth="1"/>
    <col min="17" max="17" width="7.5703125" style="777" customWidth="1"/>
    <col min="18" max="18" width="4.7109375" style="777" customWidth="1"/>
    <col min="19" max="16384" width="9.140625" style="779"/>
  </cols>
  <sheetData>
    <row r="1" spans="1:16" ht="18">
      <c r="D1" s="1661" t="s">
        <v>11665</v>
      </c>
      <c r="E1" s="1662"/>
      <c r="F1" s="1662"/>
      <c r="G1" s="1662"/>
      <c r="H1" s="1662"/>
      <c r="I1" s="1662"/>
      <c r="J1" s="1662"/>
      <c r="K1" s="1662"/>
      <c r="L1" s="1662"/>
      <c r="M1" s="1663"/>
      <c r="N1" s="776"/>
      <c r="P1" s="778"/>
    </row>
    <row r="2" spans="1:16" ht="18">
      <c r="D2" s="1664"/>
      <c r="E2" s="1665"/>
      <c r="F2" s="1665"/>
      <c r="G2" s="1665"/>
      <c r="H2" s="1665"/>
      <c r="I2" s="1665"/>
      <c r="J2" s="1665"/>
      <c r="K2" s="1665"/>
      <c r="L2" s="1665"/>
      <c r="M2" s="1666"/>
      <c r="N2" s="776"/>
      <c r="P2" s="778"/>
    </row>
    <row r="3" spans="1:16" ht="18">
      <c r="D3" s="1664"/>
      <c r="E3" s="1665"/>
      <c r="F3" s="1665"/>
      <c r="G3" s="1665"/>
      <c r="H3" s="1665"/>
      <c r="I3" s="1665"/>
      <c r="J3" s="1665"/>
      <c r="K3" s="1665"/>
      <c r="L3" s="1665"/>
      <c r="M3" s="1666"/>
      <c r="N3" s="776"/>
      <c r="P3" s="778"/>
    </row>
    <row r="4" spans="1:16" ht="15.75" customHeight="1" thickBot="1">
      <c r="D4" s="1667"/>
      <c r="E4" s="1668"/>
      <c r="F4" s="1668"/>
      <c r="G4" s="1668"/>
      <c r="H4" s="1668"/>
      <c r="I4" s="1668"/>
      <c r="J4" s="1668"/>
      <c r="K4" s="1668"/>
      <c r="L4" s="1668"/>
      <c r="M4" s="1669"/>
      <c r="P4" s="781"/>
    </row>
    <row r="5" spans="1:16" ht="14.25" customHeight="1">
      <c r="D5" s="782"/>
      <c r="E5" s="700"/>
      <c r="F5" s="783"/>
      <c r="G5" s="783"/>
      <c r="H5" s="783"/>
      <c r="I5" s="783"/>
      <c r="J5" s="784"/>
      <c r="K5" s="785"/>
      <c r="L5" s="786"/>
      <c r="M5" s="787"/>
      <c r="P5" s="788"/>
    </row>
    <row r="6" spans="1:16" ht="14.25" customHeight="1">
      <c r="D6" s="789" t="s">
        <v>14559</v>
      </c>
      <c r="E6" s="790"/>
      <c r="F6" s="790"/>
      <c r="G6" s="790"/>
      <c r="H6" s="790"/>
      <c r="I6" s="790"/>
      <c r="J6" s="790"/>
      <c r="K6" s="791"/>
      <c r="L6" s="792"/>
      <c r="M6" s="793"/>
      <c r="N6" s="794"/>
      <c r="P6" s="781"/>
    </row>
    <row r="7" spans="1:16" ht="14.25" customHeight="1">
      <c r="D7" s="789" t="s">
        <v>11836</v>
      </c>
      <c r="E7" s="790"/>
      <c r="F7" s="790"/>
      <c r="G7" s="790"/>
      <c r="H7" s="790"/>
      <c r="I7" s="790"/>
      <c r="J7" s="790"/>
      <c r="K7" s="791"/>
      <c r="L7" s="795"/>
      <c r="M7" s="796"/>
      <c r="N7" s="797"/>
      <c r="P7" s="781"/>
    </row>
    <row r="8" spans="1:16" s="777" customFormat="1" ht="14.25" customHeight="1">
      <c r="A8" s="774"/>
      <c r="B8" s="775"/>
      <c r="C8" s="774"/>
      <c r="D8" s="789" t="s">
        <v>12099</v>
      </c>
      <c r="E8" s="790"/>
      <c r="F8" s="790"/>
      <c r="G8" s="790"/>
      <c r="H8" s="790"/>
      <c r="I8" s="790"/>
      <c r="J8" s="790"/>
      <c r="K8" s="791"/>
      <c r="L8" s="795"/>
      <c r="M8" s="796"/>
      <c r="N8" s="797"/>
      <c r="P8" s="781"/>
    </row>
    <row r="9" spans="1:16" s="777" customFormat="1" ht="6.75" customHeight="1" thickBot="1">
      <c r="A9" s="774"/>
      <c r="B9" s="775"/>
      <c r="C9" s="774"/>
      <c r="D9" s="798"/>
      <c r="E9" s="799"/>
      <c r="F9" s="799"/>
      <c r="G9" s="800"/>
      <c r="H9" s="800"/>
      <c r="I9" s="800"/>
      <c r="J9" s="800"/>
      <c r="K9" s="801"/>
      <c r="L9" s="802"/>
      <c r="M9" s="803"/>
      <c r="N9" s="797"/>
      <c r="P9" s="781"/>
    </row>
    <row r="10" spans="1:16" s="777" customFormat="1" ht="15.75" customHeight="1" thickTop="1" thickBot="1">
      <c r="A10" s="774"/>
      <c r="B10" s="775"/>
      <c r="C10" s="774"/>
      <c r="D10" s="1653" t="s">
        <v>12073</v>
      </c>
      <c r="E10" s="1654"/>
      <c r="F10" s="1654"/>
      <c r="G10" s="1654"/>
      <c r="H10" s="1654"/>
      <c r="I10" s="1654"/>
      <c r="J10" s="1654"/>
      <c r="K10" s="1654"/>
      <c r="L10" s="1654"/>
      <c r="M10" s="1670"/>
      <c r="N10" s="804"/>
      <c r="O10" s="805"/>
      <c r="P10" s="805"/>
    </row>
    <row r="11" spans="1:16" s="777" customFormat="1" ht="6" customHeight="1" thickTop="1" thickBot="1">
      <c r="A11" s="774"/>
      <c r="B11" s="775"/>
      <c r="C11" s="774"/>
      <c r="D11" s="806"/>
      <c r="E11" s="807"/>
      <c r="F11" s="808"/>
      <c r="G11" s="700"/>
      <c r="H11" s="700"/>
      <c r="I11" s="700"/>
      <c r="J11" s="809"/>
      <c r="K11" s="791"/>
      <c r="L11" s="802"/>
      <c r="M11" s="810"/>
      <c r="N11" s="780"/>
      <c r="P11" s="811"/>
    </row>
    <row r="12" spans="1:16" s="777" customFormat="1" ht="14.25" customHeight="1" thickTop="1" thickBot="1">
      <c r="A12" s="774"/>
      <c r="B12" s="775"/>
      <c r="C12" s="774"/>
      <c r="D12" s="1671" t="s">
        <v>3</v>
      </c>
      <c r="E12" s="1672"/>
      <c r="F12" s="1672"/>
      <c r="G12" s="1672"/>
      <c r="H12" s="1672"/>
      <c r="I12" s="1672"/>
      <c r="J12" s="1672"/>
      <c r="K12" s="1672"/>
      <c r="L12" s="1672"/>
      <c r="M12" s="1673"/>
      <c r="N12" s="812"/>
      <c r="P12" s="813"/>
    </row>
    <row r="13" spans="1:16" s="777" customFormat="1" ht="13.5" thickTop="1">
      <c r="A13" s="774"/>
      <c r="B13" s="775"/>
      <c r="C13" s="774"/>
      <c r="D13" s="814" t="s">
        <v>4</v>
      </c>
      <c r="E13" s="815"/>
      <c r="F13" s="815"/>
      <c r="G13" s="815"/>
      <c r="H13" s="815"/>
      <c r="I13" s="815"/>
      <c r="J13" s="815"/>
      <c r="K13" s="815"/>
      <c r="L13" s="816" t="s">
        <v>5</v>
      </c>
      <c r="M13" s="817">
        <f>'PARAMETROS MC'!C37</f>
        <v>7.5</v>
      </c>
      <c r="N13" s="818"/>
      <c r="O13" s="819"/>
      <c r="P13" s="805"/>
    </row>
    <row r="14" spans="1:16" s="777" customFormat="1">
      <c r="A14" s="774"/>
      <c r="B14" s="775"/>
      <c r="C14" s="774"/>
      <c r="D14" s="820" t="s">
        <v>34</v>
      </c>
      <c r="E14" s="821"/>
      <c r="F14" s="821"/>
      <c r="G14" s="821"/>
      <c r="H14" s="821"/>
      <c r="I14" s="821"/>
      <c r="J14" s="821"/>
      <c r="K14" s="821"/>
      <c r="L14" s="816" t="s">
        <v>5</v>
      </c>
      <c r="M14" s="817">
        <f>'PARAMETROS MC'!C38</f>
        <v>4.5999999999999996</v>
      </c>
      <c r="N14" s="818"/>
      <c r="O14" s="819"/>
      <c r="P14" s="805"/>
    </row>
    <row r="15" spans="1:16" s="777" customFormat="1">
      <c r="A15" s="774"/>
      <c r="B15" s="775"/>
      <c r="C15" s="774"/>
      <c r="D15" s="820" t="s">
        <v>6</v>
      </c>
      <c r="E15" s="821"/>
      <c r="F15" s="821"/>
      <c r="G15" s="821"/>
      <c r="H15" s="821"/>
      <c r="I15" s="821"/>
      <c r="J15" s="821"/>
      <c r="K15" s="821"/>
      <c r="L15" s="816" t="s">
        <v>8</v>
      </c>
      <c r="M15" s="822">
        <v>0.95</v>
      </c>
      <c r="N15" s="818"/>
      <c r="O15" s="819"/>
      <c r="P15" s="805"/>
    </row>
    <row r="16" spans="1:16" s="777" customFormat="1">
      <c r="A16" s="774"/>
      <c r="B16" s="775"/>
      <c r="C16" s="774"/>
      <c r="D16" s="820" t="s">
        <v>7</v>
      </c>
      <c r="E16" s="821"/>
      <c r="F16" s="821"/>
      <c r="G16" s="821"/>
      <c r="H16" s="821"/>
      <c r="I16" s="821"/>
      <c r="J16" s="821"/>
      <c r="K16" s="821"/>
      <c r="L16" s="816" t="s">
        <v>8</v>
      </c>
      <c r="M16" s="822">
        <v>0.05</v>
      </c>
      <c r="N16" s="818"/>
      <c r="O16" s="819"/>
      <c r="P16" s="805"/>
    </row>
    <row r="17" spans="1:18" s="777" customFormat="1">
      <c r="A17" s="774"/>
      <c r="B17" s="775"/>
      <c r="C17" s="774"/>
      <c r="D17" s="820" t="s">
        <v>9</v>
      </c>
      <c r="E17" s="821"/>
      <c r="F17" s="821"/>
      <c r="G17" s="821"/>
      <c r="H17" s="821"/>
      <c r="I17" s="821"/>
      <c r="J17" s="821"/>
      <c r="K17" s="821"/>
      <c r="L17" s="816" t="s">
        <v>8</v>
      </c>
      <c r="M17" s="822">
        <v>0.9</v>
      </c>
      <c r="N17" s="818"/>
      <c r="O17" s="819"/>
      <c r="P17" s="805"/>
    </row>
    <row r="18" spans="1:18" s="777" customFormat="1">
      <c r="A18" s="774"/>
      <c r="B18" s="775"/>
      <c r="C18" s="774"/>
      <c r="D18" s="820" t="s">
        <v>10</v>
      </c>
      <c r="E18" s="821"/>
      <c r="F18" s="821"/>
      <c r="G18" s="821"/>
      <c r="H18" s="821"/>
      <c r="I18" s="821"/>
      <c r="J18" s="821"/>
      <c r="K18" s="821"/>
      <c r="L18" s="816" t="s">
        <v>8</v>
      </c>
      <c r="M18" s="822">
        <v>0.05</v>
      </c>
      <c r="N18" s="818"/>
      <c r="O18" s="819"/>
      <c r="P18" s="805"/>
    </row>
    <row r="19" spans="1:18" s="777" customFormat="1">
      <c r="A19" s="774"/>
      <c r="B19" s="775"/>
      <c r="C19" s="774"/>
      <c r="D19" s="820" t="s">
        <v>11</v>
      </c>
      <c r="E19" s="821"/>
      <c r="F19" s="821"/>
      <c r="G19" s="821"/>
      <c r="H19" s="821"/>
      <c r="I19" s="821"/>
      <c r="J19" s="821"/>
      <c r="K19" s="821"/>
      <c r="L19" s="816" t="s">
        <v>8</v>
      </c>
      <c r="M19" s="822">
        <v>0</v>
      </c>
      <c r="N19" s="818"/>
      <c r="O19" s="819"/>
      <c r="P19" s="805"/>
    </row>
    <row r="20" spans="1:18" s="777" customFormat="1">
      <c r="A20" s="774"/>
      <c r="B20" s="775"/>
      <c r="C20" s="774"/>
      <c r="D20" s="820" t="s">
        <v>12</v>
      </c>
      <c r="E20" s="821"/>
      <c r="F20" s="821"/>
      <c r="G20" s="821"/>
      <c r="H20" s="821"/>
      <c r="I20" s="821"/>
      <c r="J20" s="821"/>
      <c r="K20" s="821"/>
      <c r="L20" s="816" t="s">
        <v>8</v>
      </c>
      <c r="M20" s="822">
        <v>0.05</v>
      </c>
      <c r="N20" s="818"/>
      <c r="O20" s="819"/>
      <c r="P20" s="805"/>
    </row>
    <row r="21" spans="1:18" s="777" customFormat="1">
      <c r="A21" s="774"/>
      <c r="B21" s="775"/>
      <c r="C21" s="774"/>
      <c r="D21" s="820" t="s">
        <v>13</v>
      </c>
      <c r="E21" s="821"/>
      <c r="F21" s="821"/>
      <c r="G21" s="821"/>
      <c r="H21" s="821"/>
      <c r="I21" s="821"/>
      <c r="J21" s="821"/>
      <c r="K21" s="821"/>
      <c r="L21" s="816" t="s">
        <v>8</v>
      </c>
      <c r="M21" s="822">
        <v>0.2</v>
      </c>
      <c r="N21" s="818"/>
      <c r="O21" s="819"/>
      <c r="P21" s="805"/>
    </row>
    <row r="22" spans="1:18" s="777" customFormat="1">
      <c r="A22" s="774"/>
      <c r="B22" s="775"/>
      <c r="C22" s="774"/>
      <c r="D22" s="820" t="s">
        <v>14</v>
      </c>
      <c r="E22" s="821"/>
      <c r="F22" s="821"/>
      <c r="G22" s="821"/>
      <c r="H22" s="821"/>
      <c r="I22" s="821"/>
      <c r="J22" s="821"/>
      <c r="K22" s="821"/>
      <c r="L22" s="816" t="s">
        <v>8</v>
      </c>
      <c r="M22" s="822">
        <v>0.15</v>
      </c>
      <c r="N22" s="818"/>
      <c r="O22" s="819"/>
      <c r="P22" s="805"/>
    </row>
    <row r="23" spans="1:18" s="777" customFormat="1">
      <c r="A23" s="774"/>
      <c r="B23" s="775"/>
      <c r="C23" s="774"/>
      <c r="D23" s="820" t="s">
        <v>15</v>
      </c>
      <c r="E23" s="821"/>
      <c r="F23" s="821"/>
      <c r="G23" s="821"/>
      <c r="H23" s="821"/>
      <c r="I23" s="821"/>
      <c r="J23" s="821"/>
      <c r="K23" s="821"/>
      <c r="L23" s="816" t="s">
        <v>8</v>
      </c>
      <c r="M23" s="822">
        <v>0.1</v>
      </c>
      <c r="N23" s="818"/>
      <c r="O23" s="819"/>
      <c r="P23" s="805"/>
    </row>
    <row r="24" spans="1:18" s="777" customFormat="1">
      <c r="A24" s="774"/>
      <c r="B24" s="775"/>
      <c r="C24" s="774"/>
      <c r="D24" s="820" t="s">
        <v>16</v>
      </c>
      <c r="E24" s="821"/>
      <c r="F24" s="821"/>
      <c r="G24" s="821"/>
      <c r="H24" s="821"/>
      <c r="I24" s="821"/>
      <c r="J24" s="821"/>
      <c r="K24" s="821"/>
      <c r="L24" s="816" t="s">
        <v>8</v>
      </c>
      <c r="M24" s="822">
        <v>0.9</v>
      </c>
      <c r="N24" s="818"/>
      <c r="O24" s="819"/>
      <c r="P24" s="805"/>
    </row>
    <row r="25" spans="1:18" ht="13.5" thickBot="1">
      <c r="D25" s="823"/>
      <c r="E25" s="700"/>
      <c r="F25" s="808"/>
      <c r="G25" s="700"/>
      <c r="H25" s="700"/>
      <c r="I25" s="700"/>
      <c r="J25" s="809"/>
      <c r="K25" s="791"/>
      <c r="L25" s="824"/>
      <c r="M25" s="825"/>
    </row>
    <row r="26" spans="1:18" s="777" customFormat="1" ht="14.25" customHeight="1" thickTop="1" thickBot="1">
      <c r="A26" s="774"/>
      <c r="B26" s="775"/>
      <c r="C26" s="774"/>
      <c r="D26" s="1671" t="s">
        <v>11664</v>
      </c>
      <c r="E26" s="1672"/>
      <c r="F26" s="1672"/>
      <c r="G26" s="1672"/>
      <c r="H26" s="1672"/>
      <c r="I26" s="1672"/>
      <c r="J26" s="1672"/>
      <c r="K26" s="1672"/>
      <c r="L26" s="1672"/>
      <c r="M26" s="1673"/>
      <c r="N26" s="812"/>
      <c r="P26" s="813"/>
    </row>
    <row r="27" spans="1:18" s="777" customFormat="1" ht="6" customHeight="1" thickTop="1">
      <c r="A27" s="774"/>
      <c r="B27" s="775"/>
      <c r="C27" s="774"/>
      <c r="D27" s="826"/>
      <c r="E27" s="790"/>
      <c r="F27" s="790"/>
      <c r="G27" s="700"/>
      <c r="H27" s="700"/>
      <c r="I27" s="700"/>
      <c r="J27" s="700"/>
      <c r="K27" s="700"/>
      <c r="L27" s="700"/>
      <c r="M27" s="827"/>
      <c r="N27" s="780"/>
      <c r="P27" s="805"/>
    </row>
    <row r="28" spans="1:18" s="777" customFormat="1" ht="6" customHeight="1" thickBot="1">
      <c r="A28" s="774"/>
      <c r="B28" s="775"/>
      <c r="C28" s="774"/>
      <c r="D28" s="826"/>
      <c r="E28" s="790"/>
      <c r="F28" s="790"/>
      <c r="G28" s="700"/>
      <c r="H28" s="700"/>
      <c r="I28" s="700"/>
      <c r="J28" s="828"/>
      <c r="K28" s="828"/>
      <c r="L28" s="828"/>
      <c r="M28" s="829"/>
      <c r="N28" s="780"/>
      <c r="P28" s="805"/>
    </row>
    <row r="29" spans="1:18" s="834" customFormat="1" ht="14.25" thickTop="1" thickBot="1">
      <c r="A29" s="774"/>
      <c r="B29" s="775"/>
      <c r="C29" s="774"/>
      <c r="D29" s="830" t="s">
        <v>12083</v>
      </c>
      <c r="E29" s="831"/>
      <c r="F29" s="831"/>
      <c r="G29" s="831"/>
      <c r="H29" s="831"/>
      <c r="I29" s="831"/>
      <c r="J29" s="831"/>
      <c r="K29" s="831"/>
      <c r="L29" s="832" t="s">
        <v>25</v>
      </c>
      <c r="M29" s="833" t="s">
        <v>27</v>
      </c>
      <c r="N29" s="780"/>
      <c r="O29" s="777"/>
      <c r="P29" s="805"/>
      <c r="Q29" s="777"/>
      <c r="R29" s="777"/>
    </row>
    <row r="30" spans="1:18" s="834" customFormat="1" ht="13.5" thickTop="1">
      <c r="A30" s="774"/>
      <c r="B30" s="775"/>
      <c r="C30" s="774"/>
      <c r="D30" s="826"/>
      <c r="E30" s="790"/>
      <c r="F30" s="790"/>
      <c r="G30" s="828" t="s">
        <v>30</v>
      </c>
      <c r="H30" s="828" t="s">
        <v>1275</v>
      </c>
      <c r="I30" s="828" t="s">
        <v>17</v>
      </c>
      <c r="J30" s="828" t="s">
        <v>19</v>
      </c>
      <c r="K30" s="828" t="s">
        <v>32</v>
      </c>
      <c r="L30" s="828" t="s">
        <v>30</v>
      </c>
      <c r="M30" s="829"/>
      <c r="N30" s="780"/>
      <c r="O30" s="777"/>
      <c r="P30" s="805"/>
      <c r="Q30" s="777"/>
      <c r="R30" s="777"/>
    </row>
    <row r="31" spans="1:18" s="834" customFormat="1">
      <c r="A31" s="774"/>
      <c r="B31" s="775"/>
      <c r="C31" s="774"/>
      <c r="D31" s="826"/>
      <c r="E31" s="790"/>
      <c r="F31" s="790"/>
      <c r="G31" s="828" t="s">
        <v>12069</v>
      </c>
      <c r="H31" s="828">
        <f>24+3+8</f>
        <v>35</v>
      </c>
      <c r="I31" s="828">
        <v>0.08</v>
      </c>
      <c r="J31" s="828">
        <v>0.08</v>
      </c>
      <c r="K31" s="828">
        <v>0.75</v>
      </c>
      <c r="L31" s="828" t="s">
        <v>21</v>
      </c>
      <c r="M31" s="829">
        <f>H31*(I31*2+J31*2)*K31</f>
        <v>8.4</v>
      </c>
      <c r="N31" s="780"/>
      <c r="O31" s="777"/>
      <c r="P31" s="805"/>
      <c r="Q31" s="777"/>
      <c r="R31" s="777"/>
    </row>
    <row r="32" spans="1:18" s="834" customFormat="1">
      <c r="A32" s="774"/>
      <c r="B32" s="775"/>
      <c r="C32" s="774"/>
      <c r="D32" s="826"/>
      <c r="E32" s="790"/>
      <c r="F32" s="790"/>
      <c r="G32" s="828" t="s">
        <v>12070</v>
      </c>
      <c r="H32" s="828">
        <f>24+3+8</f>
        <v>35</v>
      </c>
      <c r="I32" s="828">
        <v>0.25</v>
      </c>
      <c r="J32" s="828">
        <v>0.25</v>
      </c>
      <c r="K32" s="828">
        <v>0.4</v>
      </c>
      <c r="L32" s="828" t="s">
        <v>21</v>
      </c>
      <c r="M32" s="829">
        <f>H32*(I32*2+J32*2)*K32</f>
        <v>14</v>
      </c>
      <c r="N32" s="780"/>
      <c r="O32" s="777"/>
      <c r="P32" s="805"/>
      <c r="Q32" s="777"/>
      <c r="R32" s="777"/>
    </row>
    <row r="33" spans="1:18" s="834" customFormat="1" ht="25.5" customHeight="1">
      <c r="A33" s="774" t="s">
        <v>12075</v>
      </c>
      <c r="B33" s="835" t="s">
        <v>70</v>
      </c>
      <c r="C33" s="835">
        <v>92415</v>
      </c>
      <c r="D33" s="836" t="str">
        <f>PROPER(IF(B33="Saneago",VLOOKUP(C33,'SANEAGO-FEV.2016'!A:B,2,0),IF(B33="SINAPI",VLOOKUP(C33,'SINAPI-FEV.2017'!A:D,2,0),IF(B33="Cotação",VLOOKUP(C33,COTAÇÃO!A:D,2,0),IF(B33="Composição",VLOOKUP(C33,COMPOSIÇÃO!A:D,2,0))))))</f>
        <v>Montagem E Desmontagem De Fôrma De Pilares Retangulares E Estruturas Similares Com Área Média Das Seções Maior Que 0,25 M², Pé-Direito Simples, Em Chapa De Madeira Compensada Resinada, 2 Utilizações. Af_12/2015</v>
      </c>
      <c r="E33" s="837"/>
      <c r="F33" s="837"/>
      <c r="G33" s="838"/>
      <c r="H33" s="838"/>
      <c r="I33" s="838"/>
      <c r="J33" s="838"/>
      <c r="K33" s="839" t="s">
        <v>27</v>
      </c>
      <c r="L33" s="839" t="s">
        <v>21</v>
      </c>
      <c r="M33" s="840">
        <f>SUM(M31:M32)</f>
        <v>22.4</v>
      </c>
      <c r="N33" s="780"/>
      <c r="O33" s="777"/>
      <c r="P33" s="805"/>
      <c r="Q33" s="777"/>
      <c r="R33" s="777"/>
    </row>
    <row r="34" spans="1:18" s="834" customFormat="1">
      <c r="A34" s="774"/>
      <c r="B34" s="775"/>
      <c r="C34" s="774"/>
      <c r="D34" s="826"/>
      <c r="E34" s="790"/>
      <c r="F34" s="790"/>
      <c r="G34" s="828" t="s">
        <v>30</v>
      </c>
      <c r="H34" s="828" t="s">
        <v>1275</v>
      </c>
      <c r="I34" s="828" t="s">
        <v>17</v>
      </c>
      <c r="J34" s="828" t="s">
        <v>19</v>
      </c>
      <c r="K34" s="828" t="s">
        <v>32</v>
      </c>
      <c r="L34" s="828" t="s">
        <v>30</v>
      </c>
      <c r="M34" s="829"/>
      <c r="N34" s="780"/>
      <c r="O34" s="777"/>
      <c r="P34" s="805"/>
      <c r="Q34" s="777"/>
      <c r="R34" s="777"/>
    </row>
    <row r="35" spans="1:18" s="834" customFormat="1">
      <c r="A35" s="774"/>
      <c r="B35" s="775"/>
      <c r="C35" s="774"/>
      <c r="D35" s="826"/>
      <c r="E35" s="790"/>
      <c r="F35" s="790"/>
      <c r="G35" s="828" t="s">
        <v>12069</v>
      </c>
      <c r="H35" s="828">
        <f>24+3+8</f>
        <v>35</v>
      </c>
      <c r="I35" s="828">
        <v>0.08</v>
      </c>
      <c r="J35" s="828">
        <v>0.08</v>
      </c>
      <c r="K35" s="828">
        <v>0.75</v>
      </c>
      <c r="L35" s="828" t="s">
        <v>21</v>
      </c>
      <c r="M35" s="829">
        <f>H35*I35*J35*K35</f>
        <v>0.16800000000000004</v>
      </c>
      <c r="N35" s="780"/>
      <c r="O35" s="777"/>
      <c r="P35" s="805"/>
      <c r="Q35" s="777"/>
      <c r="R35" s="777"/>
    </row>
    <row r="36" spans="1:18" s="834" customFormat="1">
      <c r="A36" s="774"/>
      <c r="B36" s="775"/>
      <c r="C36" s="774"/>
      <c r="D36" s="826"/>
      <c r="E36" s="790"/>
      <c r="F36" s="790"/>
      <c r="G36" s="828" t="s">
        <v>12070</v>
      </c>
      <c r="H36" s="828">
        <f>24+3+8</f>
        <v>35</v>
      </c>
      <c r="I36" s="828">
        <v>0.25</v>
      </c>
      <c r="J36" s="828">
        <v>0.25</v>
      </c>
      <c r="K36" s="828">
        <v>0.4</v>
      </c>
      <c r="L36" s="828" t="s">
        <v>21</v>
      </c>
      <c r="M36" s="829">
        <f>H36*I36*J36*K36</f>
        <v>0.875</v>
      </c>
      <c r="N36" s="780"/>
      <c r="O36" s="777"/>
      <c r="P36" s="805"/>
      <c r="Q36" s="777"/>
      <c r="R36" s="777"/>
    </row>
    <row r="37" spans="1:18" s="834" customFormat="1" ht="22.5">
      <c r="A37" s="774" t="s">
        <v>12076</v>
      </c>
      <c r="B37" s="835" t="s">
        <v>70</v>
      </c>
      <c r="C37" s="774">
        <v>94962</v>
      </c>
      <c r="D37" s="836" t="str">
        <f>PROPER(IF(B37="Saneago",VLOOKUP(C37,'SANEAGO-FEV.2016'!A:B,2,0),IF(B37="SINAPI",VLOOKUP(C37,'SINAPI-FEV.2017'!A:D,2,0),IF(B37="Cotação",VLOOKUP(C37,COTAÇÃO!A:D,2,0),IF(B37="Composição",VLOOKUP(C37,COMPOSIÇÃO!A:D,2,0))))))</f>
        <v>Concreto Magro Para Lastro, Traço 1:4,5:4,5 (Cimento/ Areia Média/ Brita 1)  - Preparo Mecânico Com Betoneira 400 L. Af_07/2016</v>
      </c>
      <c r="E37" s="837"/>
      <c r="F37" s="837"/>
      <c r="G37" s="838"/>
      <c r="H37" s="838"/>
      <c r="I37" s="838"/>
      <c r="J37" s="838"/>
      <c r="K37" s="839" t="s">
        <v>27</v>
      </c>
      <c r="L37" s="839" t="s">
        <v>21</v>
      </c>
      <c r="M37" s="840">
        <f>SUM(M35:M36)</f>
        <v>1.0430000000000001</v>
      </c>
      <c r="N37" s="780"/>
      <c r="O37" s="777"/>
      <c r="P37" s="805"/>
      <c r="Q37" s="777"/>
      <c r="R37" s="777"/>
    </row>
    <row r="38" spans="1:18" ht="10.5" customHeight="1" thickBot="1">
      <c r="D38" s="841"/>
      <c r="E38" s="842"/>
      <c r="F38" s="843"/>
      <c r="G38" s="842"/>
      <c r="H38" s="842"/>
      <c r="I38" s="842"/>
      <c r="J38" s="844"/>
      <c r="K38" s="845"/>
      <c r="L38" s="846"/>
      <c r="M38" s="847"/>
    </row>
    <row r="39" spans="1:18" ht="13.5" customHeight="1" thickTop="1" thickBot="1">
      <c r="C39" s="848"/>
      <c r="D39" s="830" t="s">
        <v>12071</v>
      </c>
      <c r="E39" s="831"/>
      <c r="F39" s="831"/>
      <c r="G39" s="831"/>
      <c r="H39" s="831"/>
      <c r="I39" s="831"/>
      <c r="J39" s="831"/>
      <c r="K39" s="831"/>
      <c r="L39" s="832" t="s">
        <v>25</v>
      </c>
      <c r="M39" s="833" t="s">
        <v>27</v>
      </c>
    </row>
    <row r="40" spans="1:18" ht="13.5" thickTop="1">
      <c r="A40" s="848"/>
      <c r="B40" s="849"/>
      <c r="C40" s="848"/>
      <c r="D40" s="826"/>
      <c r="E40" s="790"/>
      <c r="F40" s="790"/>
      <c r="G40" s="700" t="s">
        <v>30</v>
      </c>
      <c r="H40" s="700" t="s">
        <v>30</v>
      </c>
      <c r="I40" s="700" t="s">
        <v>30</v>
      </c>
      <c r="J40" s="700" t="s">
        <v>30</v>
      </c>
      <c r="K40" s="700" t="s">
        <v>30</v>
      </c>
      <c r="L40" s="700"/>
      <c r="M40" s="827"/>
    </row>
    <row r="41" spans="1:18">
      <c r="A41" s="848" t="s">
        <v>12139</v>
      </c>
      <c r="B41" s="850" t="s">
        <v>70</v>
      </c>
      <c r="C41" s="850" t="s">
        <v>19163</v>
      </c>
      <c r="D41" s="836" t="str">
        <f>PROPER(IF(B41="Saneago",VLOOKUP(C41,'SANEAGO-FEV.2016'!A:B,2,0),IF(B41="SINAPI",VLOOKUP(C41,'SINAPI-FEV.2017'!A:D,2,0),IF(B41="Cotação",VLOOKUP(C41,COTAÇÃO!A:D,2,0),IF(B41="Composição",VLOOKUP(C41,COMPOSIÇÃO!A:D,2,0))))))</f>
        <v>Limpeza Mecanizada De Terreno Com Remocao De Camada Vegetal, Utilizando Motoniveladora</v>
      </c>
      <c r="E41" s="837"/>
      <c r="F41" s="837"/>
      <c r="G41" s="838"/>
      <c r="H41" s="838"/>
      <c r="I41" s="851"/>
      <c r="J41" s="838"/>
      <c r="K41" s="838"/>
      <c r="L41" s="852" t="s">
        <v>21</v>
      </c>
      <c r="M41" s="853">
        <f>M43+M45</f>
        <v>4940</v>
      </c>
    </row>
    <row r="42" spans="1:18">
      <c r="A42" s="848"/>
      <c r="B42" s="849"/>
      <c r="C42" s="848"/>
      <c r="D42" s="826"/>
      <c r="E42" s="790"/>
      <c r="F42" s="790"/>
      <c r="G42" s="700" t="s">
        <v>30</v>
      </c>
      <c r="H42" s="700" t="s">
        <v>30</v>
      </c>
      <c r="I42" s="700" t="s">
        <v>30</v>
      </c>
      <c r="J42" s="700" t="s">
        <v>30</v>
      </c>
      <c r="K42" s="700" t="s">
        <v>30</v>
      </c>
      <c r="L42" s="700"/>
      <c r="M42" s="827"/>
    </row>
    <row r="43" spans="1:18" ht="22.5">
      <c r="A43" s="848" t="s">
        <v>12085</v>
      </c>
      <c r="B43" s="775" t="s">
        <v>70</v>
      </c>
      <c r="C43" s="774">
        <v>92394</v>
      </c>
      <c r="D43" s="836" t="str">
        <f>PROPER(IF(B43="Saneago",VLOOKUP(C43,'SANEAGO-FEV.2016'!A:B,2,0),IF(B43="SINAPI",VLOOKUP(C43,'SINAPI-FEV.2017'!A:D,2,0),IF(B43="Cotação",VLOOKUP(C43,COTAÇÃO!A:D,2,0),IF(B43="Composição",VLOOKUP(C43,COMPOSIÇÃO!A:D,2,0))))))</f>
        <v>Execução De Pavimento Em Piso Intertravado, Com Bloco Sextavado De 25 X 25 Cm, Espessura 8 Cm. Af_12/2015</v>
      </c>
      <c r="E43" s="837"/>
      <c r="F43" s="837"/>
      <c r="G43" s="838"/>
      <c r="H43" s="838"/>
      <c r="I43" s="851"/>
      <c r="J43" s="838"/>
      <c r="K43" s="838"/>
      <c r="L43" s="852" t="s">
        <v>21</v>
      </c>
      <c r="M43" s="853">
        <v>4400</v>
      </c>
    </row>
    <row r="44" spans="1:18">
      <c r="A44" s="848"/>
      <c r="B44" s="849"/>
      <c r="C44" s="848"/>
      <c r="D44" s="826"/>
      <c r="E44" s="790"/>
      <c r="F44" s="790"/>
      <c r="G44" s="700" t="s">
        <v>30</v>
      </c>
      <c r="H44" s="700" t="s">
        <v>30</v>
      </c>
      <c r="I44" s="700" t="s">
        <v>30</v>
      </c>
      <c r="J44" s="700" t="s">
        <v>30</v>
      </c>
      <c r="K44" s="700" t="s">
        <v>30</v>
      </c>
      <c r="L44" s="700"/>
      <c r="M44" s="827"/>
    </row>
    <row r="45" spans="1:18">
      <c r="A45" s="848" t="s">
        <v>12086</v>
      </c>
      <c r="B45" s="775" t="s">
        <v>70</v>
      </c>
      <c r="C45" s="774">
        <v>68333</v>
      </c>
      <c r="D45" s="836" t="str">
        <f>PROPER(IF(B45="Saneago",VLOOKUP(C45,'SANEAGO-FEV.2016'!A:B,2,0),IF(B45="SINAPI",VLOOKUP(C45,'SINAPI-FEV.2017'!A:D,2,0),IF(B45="Cotação",VLOOKUP(C45,COTAÇÃO!A:D,2,0),IF(B45="Composição",VLOOKUP(C45,COMPOSIÇÃO!A:D,2,0))))))</f>
        <v>Piso Em Concreto 20 Mpa Preparo Mecanico, Espessura 7Cm, Incluso Juntas De Dilatacao Em Madeira</v>
      </c>
      <c r="E45" s="837"/>
      <c r="F45" s="837"/>
      <c r="G45" s="838"/>
      <c r="H45" s="838"/>
      <c r="I45" s="851"/>
      <c r="J45" s="838"/>
      <c r="K45" s="838"/>
      <c r="L45" s="852" t="s">
        <v>21</v>
      </c>
      <c r="M45" s="853">
        <v>540</v>
      </c>
    </row>
    <row r="46" spans="1:18">
      <c r="A46" s="848"/>
      <c r="D46" s="826"/>
      <c r="E46" s="790"/>
      <c r="F46" s="790"/>
      <c r="G46" s="700" t="s">
        <v>30</v>
      </c>
      <c r="H46" s="700" t="s">
        <v>30</v>
      </c>
      <c r="I46" s="700" t="s">
        <v>30</v>
      </c>
      <c r="J46" s="700" t="s">
        <v>30</v>
      </c>
      <c r="K46" s="700" t="s">
        <v>30</v>
      </c>
      <c r="L46" s="700"/>
      <c r="M46" s="827"/>
    </row>
    <row r="47" spans="1:18">
      <c r="A47" s="774" t="s">
        <v>12077</v>
      </c>
      <c r="B47" s="775" t="s">
        <v>70</v>
      </c>
      <c r="C47" s="774">
        <v>4059</v>
      </c>
      <c r="D47" s="836" t="str">
        <f>PROPER(IF(B47="Saneago",VLOOKUP(C47,'SANEAGO-FEV.2016'!A:B,2,0),IF(B47="SINAPI",VLOOKUP(C47,'SINAPI-FEV.2017'!A:D,2,0),IF(B47="Cotação",VLOOKUP(C47,COTAÇÃO!A:D,2,0),IF(B47="Composição",VLOOKUP(C47,COMPOSIÇÃO!A:D,2,0))))))</f>
        <v>Meio-Fio Ou Guia De Concreto, Pre-Moldado, Comp 1 M, *30 X 15/ 12* Cm (H X L1/L2)</v>
      </c>
      <c r="E47" s="837"/>
      <c r="F47" s="837"/>
      <c r="G47" s="838"/>
      <c r="H47" s="851"/>
      <c r="I47" s="838"/>
      <c r="J47" s="838"/>
      <c r="K47" s="838"/>
      <c r="L47" s="852" t="s">
        <v>12072</v>
      </c>
      <c r="M47" s="853">
        <v>2835</v>
      </c>
    </row>
    <row r="48" spans="1:18">
      <c r="A48" s="848"/>
      <c r="D48" s="826"/>
      <c r="E48" s="790"/>
      <c r="F48" s="790"/>
      <c r="G48" s="700" t="s">
        <v>30</v>
      </c>
      <c r="H48" s="700" t="s">
        <v>30</v>
      </c>
      <c r="I48" s="700" t="s">
        <v>30</v>
      </c>
      <c r="J48" s="700" t="s">
        <v>30</v>
      </c>
      <c r="K48" s="700" t="s">
        <v>30</v>
      </c>
      <c r="L48" s="700"/>
      <c r="M48" s="827"/>
    </row>
    <row r="49" spans="1:18" ht="33.75">
      <c r="A49" s="774" t="s">
        <v>20498</v>
      </c>
      <c r="B49" s="775" t="s">
        <v>70</v>
      </c>
      <c r="C49" s="774">
        <v>94273</v>
      </c>
      <c r="D49" s="836" t="str">
        <f>PROPER(IF(B49="Saneago",VLOOKUP(C49,'SANEAGO-FEV.2016'!A:B,2,0),IF(B49="SINAPI",VLOOKUP(C49,'SINAPI-FEV.2017'!A:D,2,0),IF(B49="Cotação",VLOOKUP(C49,COTAÇÃO!A:D,2,0),IF(B49="Composição",VLOOKUP(C49,COMPOSIÇÃO!A:D,2,0))))))</f>
        <v>Assentamento De Guia (Meio-Fio) Em Trecho Reto, Confeccionada Em Concreto Pré-Fabricado, Dimensões 100X15X13X30 Cm (Comprimento X Base Inferior X Base Superior X Altura), Para Vias Urbanas (Uso Viário). Af_06/2016</v>
      </c>
      <c r="E49" s="837"/>
      <c r="F49" s="837"/>
      <c r="G49" s="838"/>
      <c r="H49" s="851"/>
      <c r="I49" s="838"/>
      <c r="J49" s="838"/>
      <c r="K49" s="838"/>
      <c r="L49" s="852" t="s">
        <v>12072</v>
      </c>
      <c r="M49" s="853">
        <v>2835</v>
      </c>
    </row>
    <row r="50" spans="1:18">
      <c r="A50" s="848"/>
      <c r="D50" s="826"/>
      <c r="E50" s="790"/>
      <c r="F50" s="790"/>
      <c r="G50" s="700" t="s">
        <v>30</v>
      </c>
      <c r="H50" s="700" t="s">
        <v>30</v>
      </c>
      <c r="I50" s="700" t="s">
        <v>30</v>
      </c>
      <c r="J50" s="700" t="s">
        <v>30</v>
      </c>
      <c r="K50" s="700" t="s">
        <v>30</v>
      </c>
      <c r="L50" s="700"/>
      <c r="M50" s="827"/>
    </row>
    <row r="51" spans="1:18" ht="23.25" customHeight="1">
      <c r="A51" s="774" t="s">
        <v>12087</v>
      </c>
      <c r="B51" s="775" t="s">
        <v>70</v>
      </c>
      <c r="C51" s="774">
        <v>94283</v>
      </c>
      <c r="D51" s="836" t="str">
        <f>PROPER(IF(B51="Saneago",VLOOKUP(C51,'SANEAGO-FEV.2016'!A:B,2,0),IF(B51="SINAPI",VLOOKUP(C51,'SINAPI-FEV.2017'!A:D,2,0),IF(B51="Cotação",VLOOKUP(C51,COTAÇÃO!A:D,2,0),IF(B51="Composição",VLOOKUP(C51,COMPOSIÇÃO!A:D,2,0))))))</f>
        <v>Execução De Sarjeta De Concreto Usinado, Moldada  In Loco  Em Trecho Reto, 45 Cm Base X 15 Cm Altura. Af_06/2016</v>
      </c>
      <c r="E51" s="837"/>
      <c r="F51" s="837"/>
      <c r="G51" s="838"/>
      <c r="H51" s="851"/>
      <c r="I51" s="838"/>
      <c r="J51" s="838"/>
      <c r="K51" s="838"/>
      <c r="L51" s="852" t="s">
        <v>12072</v>
      </c>
      <c r="M51" s="853">
        <f>2030*0.7</f>
        <v>1421</v>
      </c>
    </row>
    <row r="52" spans="1:18">
      <c r="A52" s="848"/>
      <c r="D52" s="826"/>
      <c r="E52" s="790"/>
      <c r="F52" s="790"/>
      <c r="G52" s="700" t="s">
        <v>30</v>
      </c>
      <c r="H52" s="700" t="s">
        <v>30</v>
      </c>
      <c r="I52" s="700" t="s">
        <v>30</v>
      </c>
      <c r="J52" s="700" t="s">
        <v>30</v>
      </c>
      <c r="K52" s="700" t="s">
        <v>30</v>
      </c>
      <c r="L52" s="700"/>
      <c r="M52" s="827"/>
    </row>
    <row r="53" spans="1:18" ht="22.5">
      <c r="A53" s="774" t="s">
        <v>12088</v>
      </c>
      <c r="B53" s="775" t="s">
        <v>70</v>
      </c>
      <c r="C53" s="774">
        <v>94284</v>
      </c>
      <c r="D53" s="836" t="str">
        <f>PROPER(IF(B53="Saneago",VLOOKUP(C53,'SANEAGO-FEV.2016'!A:B,2,0),IF(B53="SINAPI",VLOOKUP(C53,'SINAPI-FEV.2017'!A:D,2,0),IF(B53="Cotação",VLOOKUP(C53,COTAÇÃO!A:D,2,0),IF(B53="Composição",VLOOKUP(C53,COMPOSIÇÃO!A:D,2,0))))))</f>
        <v>Execução De Sarjeta De Concreto Usinado, Moldada  In Loco  Em Trecho Curvo, 45 Cm Base X 15 Cm Altura. Af_06/2016</v>
      </c>
      <c r="E53" s="837"/>
      <c r="F53" s="837"/>
      <c r="G53" s="838"/>
      <c r="H53" s="851"/>
      <c r="I53" s="838"/>
      <c r="J53" s="838"/>
      <c r="K53" s="838"/>
      <c r="L53" s="852" t="s">
        <v>12072</v>
      </c>
      <c r="M53" s="853">
        <f>2030*0.3</f>
        <v>609</v>
      </c>
    </row>
    <row r="54" spans="1:18">
      <c r="A54" s="848"/>
      <c r="D54" s="826"/>
      <c r="E54" s="790"/>
      <c r="F54" s="790"/>
      <c r="G54" s="700" t="s">
        <v>30</v>
      </c>
      <c r="H54" s="700" t="s">
        <v>30</v>
      </c>
      <c r="I54" s="700" t="s">
        <v>30</v>
      </c>
      <c r="J54" s="700" t="s">
        <v>30</v>
      </c>
      <c r="K54" s="700" t="s">
        <v>30</v>
      </c>
      <c r="L54" s="700"/>
      <c r="M54" s="827"/>
    </row>
    <row r="55" spans="1:18" ht="22.5">
      <c r="A55" s="774" t="s">
        <v>12089</v>
      </c>
      <c r="B55" s="775" t="s">
        <v>70</v>
      </c>
      <c r="C55" s="774">
        <v>94293</v>
      </c>
      <c r="D55" s="836" t="str">
        <f>PROPER(IF(B55="Saneago",VLOOKUP(C55,'SANEAGO-FEV.2016'!A:B,2,0),IF(B55="SINAPI",VLOOKUP(C55,'SINAPI-FEV.2017'!A:D,2,0),IF(B55="Cotação",VLOOKUP(C55,COTAÇÃO!A:D,2,0),IF(B55="Composição",VLOOKUP(C55,COMPOSIÇÃO!A:D,2,0))))))</f>
        <v>Execução De Sarjetão De Concreto Usinado, Moldada  In Loco  Em Trecho Reto, 100 Cm Base X 20 Cm Altura. Af_06/2016</v>
      </c>
      <c r="E55" s="837"/>
      <c r="F55" s="837"/>
      <c r="G55" s="838"/>
      <c r="H55" s="851"/>
      <c r="I55" s="838"/>
      <c r="J55" s="838"/>
      <c r="K55" s="838"/>
      <c r="L55" s="852" t="s">
        <v>12072</v>
      </c>
      <c r="M55" s="853">
        <f>15*5</f>
        <v>75</v>
      </c>
    </row>
    <row r="56" spans="1:18">
      <c r="A56" s="848"/>
      <c r="B56" s="849"/>
      <c r="C56" s="848"/>
      <c r="D56" s="826"/>
      <c r="E56" s="790"/>
      <c r="F56" s="790"/>
      <c r="G56" s="700" t="s">
        <v>30</v>
      </c>
      <c r="H56" s="700" t="s">
        <v>30</v>
      </c>
      <c r="I56" s="700" t="s">
        <v>30</v>
      </c>
      <c r="J56" s="700" t="s">
        <v>30</v>
      </c>
      <c r="K56" s="700" t="s">
        <v>30</v>
      </c>
      <c r="L56" s="700"/>
      <c r="M56" s="827"/>
    </row>
    <row r="57" spans="1:18" ht="12" customHeight="1">
      <c r="A57" s="848"/>
      <c r="B57" s="849"/>
      <c r="C57" s="848"/>
      <c r="D57" s="826"/>
      <c r="E57" s="790"/>
      <c r="F57" s="790"/>
      <c r="G57" s="700"/>
      <c r="H57" s="700"/>
      <c r="I57" s="700"/>
      <c r="J57" s="1674" t="s">
        <v>12080</v>
      </c>
      <c r="K57" s="1674"/>
      <c r="L57" s="700" t="s">
        <v>21</v>
      </c>
      <c r="M57" s="829">
        <v>0</v>
      </c>
    </row>
    <row r="58" spans="1:18" ht="12" customHeight="1">
      <c r="A58" s="848"/>
      <c r="B58" s="849"/>
      <c r="C58" s="848"/>
      <c r="D58" s="826"/>
      <c r="E58" s="790"/>
      <c r="F58" s="790"/>
      <c r="G58" s="700"/>
      <c r="H58" s="700"/>
      <c r="I58" s="700"/>
      <c r="J58" s="1674" t="s">
        <v>12082</v>
      </c>
      <c r="K58" s="1674"/>
      <c r="L58" s="700" t="s">
        <v>21</v>
      </c>
      <c r="M58" s="829">
        <v>271</v>
      </c>
    </row>
    <row r="59" spans="1:18">
      <c r="A59" s="848"/>
      <c r="B59" s="849"/>
      <c r="C59" s="848"/>
      <c r="D59" s="826"/>
      <c r="E59" s="790"/>
      <c r="F59" s="790"/>
      <c r="G59" s="700"/>
      <c r="H59" s="700"/>
      <c r="I59" s="700"/>
      <c r="J59" s="1674" t="s">
        <v>12081</v>
      </c>
      <c r="K59" s="1674"/>
      <c r="L59" s="700" t="s">
        <v>21</v>
      </c>
      <c r="M59" s="829">
        <v>208</v>
      </c>
    </row>
    <row r="60" spans="1:18">
      <c r="A60" s="848"/>
      <c r="B60" s="849"/>
      <c r="C60" s="848"/>
      <c r="D60" s="826"/>
      <c r="E60" s="790"/>
      <c r="F60" s="790"/>
      <c r="G60" s="700"/>
      <c r="H60" s="700"/>
      <c r="I60" s="700"/>
      <c r="J60" s="854"/>
      <c r="K60" s="854" t="s">
        <v>36</v>
      </c>
      <c r="L60" s="700" t="s">
        <v>18</v>
      </c>
      <c r="M60" s="829">
        <v>0.06</v>
      </c>
    </row>
    <row r="61" spans="1:18" ht="22.5">
      <c r="A61" s="848" t="s">
        <v>12078</v>
      </c>
      <c r="B61" s="855" t="s">
        <v>70</v>
      </c>
      <c r="C61" s="850">
        <v>94990</v>
      </c>
      <c r="D61" s="836" t="str">
        <f>PROPER(IF(B61="Saneago",VLOOKUP(C61,'SANEAGO-FEV.2016'!A:B,2,0),IF(B61="SINAPI",VLOOKUP(C61,'SINAPI-FEV.2017'!A:D,2,0),IF(B61="Cotação",VLOOKUP(C61,COTAÇÃO!A:D,2,0),IF(B61="Composição",VLOOKUP(C61,COMPOSIÇÃO!A:D,2,0))))))</f>
        <v>Execução De Passeio (Calçada) Ou Piso De Concreto Com Concreto Moldado In Loco, Feito Em Obra, Acabamento Convencional, Não Armado. Af_07/2016</v>
      </c>
      <c r="E61" s="837"/>
      <c r="F61" s="837"/>
      <c r="G61" s="838"/>
      <c r="H61" s="838"/>
      <c r="I61" s="851"/>
      <c r="J61" s="838"/>
      <c r="K61" s="839" t="s">
        <v>27</v>
      </c>
      <c r="L61" s="856" t="s">
        <v>20309</v>
      </c>
      <c r="M61" s="840">
        <f>SUM(M57:M59)*M60</f>
        <v>28.74</v>
      </c>
    </row>
    <row r="62" spans="1:18" ht="13.5" thickBot="1">
      <c r="C62" s="848"/>
    </row>
    <row r="63" spans="1:18" s="834" customFormat="1" ht="14.25" thickTop="1" thickBot="1">
      <c r="A63" s="774"/>
      <c r="B63" s="775"/>
      <c r="C63" s="774"/>
      <c r="D63" s="830" t="s">
        <v>12079</v>
      </c>
      <c r="E63" s="831"/>
      <c r="F63" s="831"/>
      <c r="G63" s="831"/>
      <c r="H63" s="831"/>
      <c r="I63" s="831"/>
      <c r="J63" s="831"/>
      <c r="K63" s="831"/>
      <c r="L63" s="832" t="s">
        <v>25</v>
      </c>
      <c r="M63" s="833" t="s">
        <v>27</v>
      </c>
      <c r="N63" s="780"/>
      <c r="O63" s="777"/>
      <c r="P63" s="805"/>
      <c r="Q63" s="777"/>
      <c r="R63" s="777"/>
    </row>
    <row r="64" spans="1:18" s="834" customFormat="1" ht="13.5" thickTop="1">
      <c r="A64" s="774"/>
      <c r="B64" s="775"/>
      <c r="C64" s="774"/>
      <c r="D64" s="826"/>
      <c r="E64" s="790"/>
      <c r="F64" s="790"/>
      <c r="G64" s="828" t="s">
        <v>30</v>
      </c>
      <c r="H64" s="828" t="s">
        <v>30</v>
      </c>
      <c r="I64" s="828" t="s">
        <v>30</v>
      </c>
      <c r="J64" s="828" t="s">
        <v>30</v>
      </c>
      <c r="K64" s="828" t="s">
        <v>30</v>
      </c>
      <c r="L64" s="828"/>
      <c r="M64" s="829"/>
      <c r="N64" s="780"/>
      <c r="O64" s="777"/>
      <c r="P64" s="805"/>
      <c r="Q64" s="777"/>
      <c r="R64" s="777"/>
    </row>
    <row r="65" spans="1:18" s="834" customFormat="1" ht="12" customHeight="1">
      <c r="A65" s="774" t="s">
        <v>12074</v>
      </c>
      <c r="B65" s="775" t="s">
        <v>70</v>
      </c>
      <c r="C65" s="774">
        <v>85180</v>
      </c>
      <c r="D65" s="836" t="str">
        <f>PROPER(IF(B65="Saneago",VLOOKUP(C65,'SANEAGO-FEV.2016'!A:B,2,0),IF(B65="SINAPI",VLOOKUP(C65,'SINAPI-FEV.2017'!A:D,2,0),IF(B65="Cotação",VLOOKUP(C65,COTAÇÃO!A:D,2,0),IF(B65="Composição",VLOOKUP(C65,COMPOSIÇÃO!A:D,2,0))))))</f>
        <v>Plantio De Grama Esmeralda Em Rolo</v>
      </c>
      <c r="E65" s="837"/>
      <c r="F65" s="837"/>
      <c r="G65" s="838"/>
      <c r="H65" s="838"/>
      <c r="I65" s="838"/>
      <c r="J65" s="838"/>
      <c r="K65" s="838"/>
      <c r="L65" s="838" t="s">
        <v>21</v>
      </c>
      <c r="M65" s="853">
        <v>12791</v>
      </c>
      <c r="N65" s="780"/>
      <c r="O65" s="777"/>
      <c r="P65" s="805"/>
      <c r="Q65" s="777"/>
      <c r="R65" s="777"/>
    </row>
    <row r="66" spans="1:18" s="834" customFormat="1">
      <c r="A66" s="774"/>
      <c r="B66" s="775"/>
      <c r="C66" s="774"/>
      <c r="D66" s="826"/>
      <c r="E66" s="790"/>
      <c r="F66" s="790"/>
      <c r="G66" s="828" t="s">
        <v>30</v>
      </c>
      <c r="H66" s="828" t="s">
        <v>30</v>
      </c>
      <c r="I66" s="828" t="s">
        <v>30</v>
      </c>
      <c r="J66" s="828" t="s">
        <v>30</v>
      </c>
      <c r="K66" s="828" t="s">
        <v>30</v>
      </c>
      <c r="L66" s="828"/>
      <c r="M66" s="829"/>
      <c r="N66" s="780"/>
      <c r="O66" s="777"/>
      <c r="P66" s="805"/>
      <c r="Q66" s="777"/>
      <c r="R66" s="777"/>
    </row>
    <row r="67" spans="1:18" s="834" customFormat="1">
      <c r="A67" s="774" t="s">
        <v>12090</v>
      </c>
      <c r="B67" s="775" t="s">
        <v>70</v>
      </c>
      <c r="C67" s="774" t="s">
        <v>19323</v>
      </c>
      <c r="D67" s="836" t="str">
        <f>PROPER(IF(B67="Saneago",VLOOKUP(C67,'SANEAGO-FEV.2016'!A:B,2,0),IF(B67="SINAPI",VLOOKUP(C67,'SINAPI-FEV.2017'!A:D,2,0),IF(B67="Cotação",VLOOKUP(C67,COTAÇÃO!A:D,2,0),IF(B67="Composição",VLOOKUP(C67,COMPOSIÇÃO!A:D,2,0))))))</f>
        <v>Plantio De Arvore, Altura De 1,00M, Em Cavas De 80X80X80Cm</v>
      </c>
      <c r="E67" s="837"/>
      <c r="F67" s="837"/>
      <c r="G67" s="838"/>
      <c r="H67" s="838"/>
      <c r="I67" s="838"/>
      <c r="J67" s="838"/>
      <c r="K67" s="838"/>
      <c r="L67" s="838" t="s">
        <v>1274</v>
      </c>
      <c r="M67" s="853">
        <f>4*5</f>
        <v>20</v>
      </c>
      <c r="N67" s="780"/>
      <c r="O67" s="777"/>
      <c r="P67" s="805"/>
      <c r="Q67" s="777"/>
      <c r="R67" s="777"/>
    </row>
    <row r="68" spans="1:18" s="834" customFormat="1">
      <c r="A68" s="774"/>
      <c r="B68" s="775"/>
      <c r="C68" s="774"/>
      <c r="D68" s="826"/>
      <c r="E68" s="790"/>
      <c r="F68" s="790"/>
      <c r="G68" s="828" t="s">
        <v>30</v>
      </c>
      <c r="H68" s="828" t="s">
        <v>30</v>
      </c>
      <c r="I68" s="828" t="s">
        <v>30</v>
      </c>
      <c r="J68" s="828" t="s">
        <v>30</v>
      </c>
      <c r="K68" s="828" t="s">
        <v>30</v>
      </c>
      <c r="L68" s="828"/>
      <c r="M68" s="829"/>
      <c r="N68" s="780"/>
      <c r="O68" s="777"/>
      <c r="P68" s="805"/>
      <c r="Q68" s="777"/>
      <c r="R68" s="777"/>
    </row>
    <row r="69" spans="1:18" s="834" customFormat="1">
      <c r="A69" s="774" t="s">
        <v>12091</v>
      </c>
      <c r="B69" s="775" t="s">
        <v>70</v>
      </c>
      <c r="C69" s="774" t="s">
        <v>19324</v>
      </c>
      <c r="D69" s="836" t="str">
        <f>PROPER(IF(B69="Saneago",VLOOKUP(C69,'SANEAGO-FEV.2016'!A:B,2,0),IF(B69="SINAPI",VLOOKUP(C69,'SINAPI-FEV.2017'!A:D,2,0),IF(B69="Cotação",VLOOKUP(C69,COTAÇÃO!A:D,2,0),IF(B69="Composição",VLOOKUP(C69,COMPOSIÇÃO!A:D,2,0))))))</f>
        <v>Plantio De Arvore Regional, Altura Maior Que 2,00M, Em Cavas De 80X80X80Cm</v>
      </c>
      <c r="E69" s="837"/>
      <c r="F69" s="837"/>
      <c r="G69" s="838"/>
      <c r="H69" s="838"/>
      <c r="I69" s="838"/>
      <c r="J69" s="838"/>
      <c r="K69" s="838"/>
      <c r="L69" s="838" t="s">
        <v>1274</v>
      </c>
      <c r="M69" s="853">
        <v>18</v>
      </c>
      <c r="N69" s="780"/>
      <c r="O69" s="777"/>
      <c r="P69" s="805"/>
      <c r="Q69" s="777"/>
      <c r="R69" s="777"/>
    </row>
    <row r="70" spans="1:18" ht="13.5" thickBot="1"/>
    <row r="71" spans="1:18" s="834" customFormat="1" ht="14.25" thickTop="1" thickBot="1">
      <c r="A71" s="774"/>
      <c r="B71" s="775"/>
      <c r="C71" s="774"/>
      <c r="D71" s="830" t="s">
        <v>12084</v>
      </c>
      <c r="E71" s="831"/>
      <c r="F71" s="831"/>
      <c r="G71" s="831"/>
      <c r="H71" s="831"/>
      <c r="I71" s="831"/>
      <c r="J71" s="831"/>
      <c r="K71" s="831"/>
      <c r="L71" s="832" t="s">
        <v>25</v>
      </c>
      <c r="M71" s="833" t="s">
        <v>27</v>
      </c>
      <c r="N71" s="780"/>
      <c r="O71" s="777"/>
      <c r="P71" s="805"/>
      <c r="Q71" s="777"/>
      <c r="R71" s="777"/>
    </row>
    <row r="72" spans="1:18" s="834" customFormat="1" ht="13.5" thickTop="1">
      <c r="A72" s="774"/>
      <c r="B72" s="775"/>
      <c r="C72" s="774"/>
      <c r="D72" s="826"/>
      <c r="E72" s="790"/>
      <c r="F72" s="790"/>
      <c r="G72" s="828" t="s">
        <v>30</v>
      </c>
      <c r="H72" s="828" t="s">
        <v>30</v>
      </c>
      <c r="I72" s="828" t="s">
        <v>30</v>
      </c>
      <c r="J72" s="828" t="s">
        <v>30</v>
      </c>
      <c r="K72" s="828" t="s">
        <v>30</v>
      </c>
      <c r="L72" s="828" t="s">
        <v>30</v>
      </c>
      <c r="M72" s="829"/>
      <c r="N72" s="780"/>
      <c r="O72" s="777"/>
      <c r="P72" s="805"/>
      <c r="Q72" s="777"/>
      <c r="R72" s="777"/>
    </row>
    <row r="73" spans="1:18" s="834" customFormat="1" ht="19.5" customHeight="1">
      <c r="A73" s="774" t="s">
        <v>12092</v>
      </c>
      <c r="B73" s="775" t="s">
        <v>70</v>
      </c>
      <c r="C73" s="774" t="s">
        <v>15767</v>
      </c>
      <c r="D73" s="836" t="str">
        <f>PROPER(IF(B73="Saneago",VLOOKUP(C73,'SANEAGO-FEV.2016'!A:B,2,0),IF(B73="SINAPI",VLOOKUP(C73,'SINAPI-FEV.2017'!A:D,2,0),IF(B73="Cotação",VLOOKUP(C73,COTAÇÃO!A:D,2,0),IF(B73="Composição",VLOOKUP(C73,COMPOSIÇÃO!A:D,2,0))))))</f>
        <v>Muro De Arrimo De Concreto Ciclopico Com 30% De Pedra De Mao</v>
      </c>
      <c r="E73" s="837"/>
      <c r="F73" s="837"/>
      <c r="G73" s="838"/>
      <c r="H73" s="838"/>
      <c r="I73" s="1715" t="s">
        <v>14352</v>
      </c>
      <c r="J73" s="1715"/>
      <c r="K73" s="1715"/>
      <c r="L73" s="838" t="s">
        <v>22</v>
      </c>
      <c r="M73" s="853">
        <f>((1.25+0.01)*20/2)*0.3</f>
        <v>3.78</v>
      </c>
      <c r="N73" s="780"/>
      <c r="O73" s="777"/>
      <c r="P73" s="805"/>
      <c r="Q73" s="777"/>
      <c r="R73" s="777"/>
    </row>
    <row r="74" spans="1:18" ht="13.5" thickBot="1"/>
    <row r="75" spans="1:18" s="834" customFormat="1" ht="14.25" thickTop="1" thickBot="1">
      <c r="A75" s="774"/>
      <c r="B75" s="775"/>
      <c r="C75" s="774"/>
      <c r="D75" s="830" t="s">
        <v>24</v>
      </c>
      <c r="E75" s="831"/>
      <c r="F75" s="831"/>
      <c r="G75" s="831"/>
      <c r="H75" s="831"/>
      <c r="I75" s="831"/>
      <c r="J75" s="831"/>
      <c r="K75" s="831"/>
      <c r="L75" s="832" t="s">
        <v>25</v>
      </c>
      <c r="M75" s="833" t="s">
        <v>27</v>
      </c>
      <c r="N75" s="780"/>
      <c r="O75" s="777"/>
      <c r="P75" s="805"/>
      <c r="Q75" s="777"/>
      <c r="R75" s="777"/>
    </row>
    <row r="76" spans="1:18" s="834" customFormat="1" ht="13.5" thickTop="1">
      <c r="A76" s="774"/>
      <c r="B76" s="775"/>
      <c r="C76" s="774"/>
      <c r="D76" s="826"/>
      <c r="E76" s="790"/>
      <c r="F76" s="790"/>
      <c r="G76" s="828" t="s">
        <v>30</v>
      </c>
      <c r="H76" s="828" t="s">
        <v>30</v>
      </c>
      <c r="I76" s="828" t="s">
        <v>30</v>
      </c>
      <c r="J76" s="828" t="s">
        <v>30</v>
      </c>
      <c r="K76" s="828" t="s">
        <v>30</v>
      </c>
      <c r="L76" s="828" t="s">
        <v>30</v>
      </c>
      <c r="M76" s="829"/>
      <c r="N76" s="780"/>
      <c r="O76" s="777"/>
      <c r="P76" s="805"/>
      <c r="Q76" s="777"/>
      <c r="R76" s="777"/>
    </row>
    <row r="77" spans="1:18" s="834" customFormat="1" ht="19.5" customHeight="1">
      <c r="A77" s="774" t="s">
        <v>12094</v>
      </c>
      <c r="B77" s="775" t="s">
        <v>10852</v>
      </c>
      <c r="C77" s="774">
        <v>1496</v>
      </c>
      <c r="D77" s="836" t="str">
        <f>PROPER(IF(B77="Saneago",VLOOKUP(C77,'SANEAGO-FEV.2016'!A:B,2,0),IF(B77="SINAPI",VLOOKUP(C77,'SINAPI-FEV.2017'!A:D,2,0),IF(B77="Cotação",VLOOKUP(C77,COTAÇÃO!A:D,2,0),IF(B77="Composição",VLOOKUP(C77,COMPOSIÇÃO!A:D,2,0))))))</f>
        <v>Portão Metálico  Padrão Saneago Para Cerca Tipo A:4,00 X 1,80 M</v>
      </c>
      <c r="E77" s="837"/>
      <c r="F77" s="837"/>
      <c r="G77" s="838"/>
      <c r="H77" s="838"/>
      <c r="I77" s="838"/>
      <c r="J77" s="838"/>
      <c r="K77" s="838"/>
      <c r="L77" s="838" t="s">
        <v>12093</v>
      </c>
      <c r="M77" s="853">
        <v>1</v>
      </c>
      <c r="N77" s="780"/>
      <c r="O77" s="777"/>
      <c r="P77" s="805"/>
      <c r="Q77" s="777"/>
      <c r="R77" s="777"/>
    </row>
    <row r="78" spans="1:18" s="834" customFormat="1">
      <c r="A78" s="774"/>
      <c r="B78" s="775"/>
      <c r="C78" s="774"/>
      <c r="D78" s="826"/>
      <c r="E78" s="790"/>
      <c r="F78" s="790"/>
      <c r="G78" s="828" t="s">
        <v>30</v>
      </c>
      <c r="H78" s="828" t="s">
        <v>30</v>
      </c>
      <c r="I78" s="828" t="s">
        <v>30</v>
      </c>
      <c r="J78" s="828" t="s">
        <v>30</v>
      </c>
      <c r="K78" s="828" t="s">
        <v>30</v>
      </c>
      <c r="L78" s="828" t="s">
        <v>30</v>
      </c>
      <c r="M78" s="829"/>
      <c r="N78" s="780"/>
      <c r="O78" s="777"/>
      <c r="P78" s="805"/>
      <c r="Q78" s="777"/>
      <c r="R78" s="777"/>
    </row>
    <row r="79" spans="1:18" s="834" customFormat="1" ht="19.5" customHeight="1">
      <c r="A79" s="774" t="s">
        <v>12095</v>
      </c>
      <c r="B79" s="775" t="s">
        <v>11720</v>
      </c>
      <c r="C79" s="774" t="s">
        <v>12097</v>
      </c>
      <c r="D79" s="836" t="str">
        <f>PROPER(IF(B79="Saneago",VLOOKUP(C79,'SANEAGO-FEV.2016'!A:B,2,0),IF(B79="SINAPI",VLOOKUP(C79,'SINAPI-FEV.2017'!A:D,2,0),IF(B79="Cotação",VLOOKUP(C79,COTAÇÃO!A:D,2,0),IF(B79="Composição",VLOOKUP(C79,COMPOSIÇÃO!A:D,2,0))))))</f>
        <v>Referência De Nível</v>
      </c>
      <c r="E79" s="837"/>
      <c r="F79" s="837"/>
      <c r="G79" s="838"/>
      <c r="H79" s="838"/>
      <c r="I79" s="838"/>
      <c r="J79" s="838"/>
      <c r="K79" s="838"/>
      <c r="L79" s="838" t="s">
        <v>12093</v>
      </c>
      <c r="M79" s="853">
        <v>8</v>
      </c>
      <c r="N79" s="780"/>
      <c r="O79" s="777"/>
      <c r="P79" s="805"/>
      <c r="Q79" s="777"/>
      <c r="R79" s="777"/>
    </row>
    <row r="80" spans="1:18" s="834" customFormat="1">
      <c r="A80" s="774"/>
      <c r="B80" s="775"/>
      <c r="C80" s="774"/>
      <c r="D80" s="826"/>
      <c r="E80" s="790"/>
      <c r="F80" s="790"/>
      <c r="G80" s="828" t="s">
        <v>30</v>
      </c>
      <c r="H80" s="828" t="s">
        <v>30</v>
      </c>
      <c r="I80" s="828" t="s">
        <v>30</v>
      </c>
      <c r="J80" s="828" t="s">
        <v>30</v>
      </c>
      <c r="K80" s="828" t="s">
        <v>30</v>
      </c>
      <c r="L80" s="828" t="s">
        <v>30</v>
      </c>
      <c r="M80" s="829"/>
      <c r="N80" s="780"/>
      <c r="O80" s="777"/>
      <c r="P80" s="805"/>
      <c r="Q80" s="777"/>
      <c r="R80" s="777"/>
    </row>
    <row r="81" spans="1:18" s="834" customFormat="1" ht="19.5" customHeight="1">
      <c r="A81" s="774" t="s">
        <v>12096</v>
      </c>
      <c r="B81" s="775" t="s">
        <v>11720</v>
      </c>
      <c r="C81" s="774" t="s">
        <v>12098</v>
      </c>
      <c r="D81" s="836" t="str">
        <f>PROPER(IF(B81="Saneago",VLOOKUP(C81,'SANEAGO-FEV.2016'!A:B,2,0),IF(B81="SINAPI",VLOOKUP(C81,'SINAPI-FEV.2017'!A:D,2,0),IF(B81="Cotação",VLOOKUP(C81,COTAÇÃO!A:D,2,0),IF(B81="Composição",VLOOKUP(C81,COMPOSIÇÃO!A:D,2,0))))))</f>
        <v>Marco De Identificação</v>
      </c>
      <c r="E81" s="837"/>
      <c r="F81" s="837"/>
      <c r="G81" s="838"/>
      <c r="H81" s="838"/>
      <c r="I81" s="838"/>
      <c r="J81" s="838"/>
      <c r="K81" s="838"/>
      <c r="L81" s="838" t="s">
        <v>12093</v>
      </c>
      <c r="M81" s="853">
        <v>1</v>
      </c>
      <c r="N81" s="780"/>
      <c r="O81" s="777"/>
      <c r="P81" s="805"/>
      <c r="Q81" s="777"/>
      <c r="R81" s="777"/>
    </row>
  </sheetData>
  <sheetProtection algorithmName="SHA-512" hashValue="uLfxXxB3Gm5F3RiX6k+QuQerL5IZ/y+bnb0BylKM0Vjirr71sy1ubNc0HZ2HtlSwm2208YBe4y+VwZfqhH1IJQ==" saltValue="i3GADPlsmi5CQYg3CTZULw==" spinCount="100000" sheet="1"/>
  <mergeCells count="8">
    <mergeCell ref="I73:K73"/>
    <mergeCell ref="D1:M4"/>
    <mergeCell ref="D10:M10"/>
    <mergeCell ref="D12:M12"/>
    <mergeCell ref="D26:M26"/>
    <mergeCell ref="J57:K57"/>
    <mergeCell ref="J59:K59"/>
    <mergeCell ref="J58:K58"/>
  </mergeCells>
  <conditionalFormatting sqref="D12">
    <cfRule type="cellIs" dxfId="163" priority="57" operator="equal">
      <formula>0</formula>
    </cfRule>
  </conditionalFormatting>
  <conditionalFormatting sqref="K5:M9 K25:M25 L13 K11:M11 K38:M38 K62:M62 K70:M70 K74:M74 K82:M65536">
    <cfRule type="cellIs" dxfId="162" priority="56" operator="equal">
      <formula>0</formula>
    </cfRule>
  </conditionalFormatting>
  <conditionalFormatting sqref="L15:M24">
    <cfRule type="cellIs" dxfId="161" priority="55" operator="equal">
      <formula>0</formula>
    </cfRule>
  </conditionalFormatting>
  <conditionalFormatting sqref="L14">
    <cfRule type="cellIs" dxfId="160" priority="54" operator="equal">
      <formula>0</formula>
    </cfRule>
  </conditionalFormatting>
  <conditionalFormatting sqref="D26">
    <cfRule type="cellIs" dxfId="159" priority="53" operator="equal">
      <formula>0</formula>
    </cfRule>
  </conditionalFormatting>
  <conditionalFormatting sqref="L27:M27">
    <cfRule type="cellIs" dxfId="158" priority="52" operator="equal">
      <formula>0</formula>
    </cfRule>
  </conditionalFormatting>
  <conditionalFormatting sqref="D10">
    <cfRule type="cellIs" dxfId="157" priority="51" operator="equal">
      <formula>0</formula>
    </cfRule>
  </conditionalFormatting>
  <conditionalFormatting sqref="L28:M28">
    <cfRule type="cellIs" dxfId="156" priority="50" operator="equal">
      <formula>0</formula>
    </cfRule>
  </conditionalFormatting>
  <conditionalFormatting sqref="D29">
    <cfRule type="cellIs" dxfId="155" priority="49" operator="equal">
      <formula>0</formula>
    </cfRule>
  </conditionalFormatting>
  <conditionalFormatting sqref="M13:M14">
    <cfRule type="cellIs" dxfId="154" priority="46" operator="equal">
      <formula>0</formula>
    </cfRule>
  </conditionalFormatting>
  <conditionalFormatting sqref="L42:M42 M43">
    <cfRule type="cellIs" dxfId="153" priority="42" operator="equal">
      <formula>0</formula>
    </cfRule>
  </conditionalFormatting>
  <conditionalFormatting sqref="L33:M33">
    <cfRule type="cellIs" dxfId="152" priority="36" operator="equal">
      <formula>0</formula>
    </cfRule>
  </conditionalFormatting>
  <conditionalFormatting sqref="L43">
    <cfRule type="cellIs" dxfId="151" priority="37" operator="equal">
      <formula>0</formula>
    </cfRule>
  </conditionalFormatting>
  <conditionalFormatting sqref="M61 L56:M57 L59:M60">
    <cfRule type="cellIs" dxfId="150" priority="40" operator="equal">
      <formula>0</formula>
    </cfRule>
  </conditionalFormatting>
  <conditionalFormatting sqref="L46:M46 M47">
    <cfRule type="cellIs" dxfId="149" priority="41" operator="equal">
      <formula>0</formula>
    </cfRule>
  </conditionalFormatting>
  <conditionalFormatting sqref="D39">
    <cfRule type="cellIs" dxfId="148" priority="43" operator="equal">
      <formula>0</formula>
    </cfRule>
  </conditionalFormatting>
  <conditionalFormatting sqref="L47">
    <cfRule type="cellIs" dxfId="147" priority="39" operator="equal">
      <formula>0</formula>
    </cfRule>
  </conditionalFormatting>
  <conditionalFormatting sqref="L37:M37">
    <cfRule type="cellIs" dxfId="146" priority="34" operator="equal">
      <formula>0</formula>
    </cfRule>
  </conditionalFormatting>
  <conditionalFormatting sqref="M34 L35:M36">
    <cfRule type="cellIs" dxfId="145" priority="33" operator="equal">
      <formula>0</formula>
    </cfRule>
  </conditionalFormatting>
  <conditionalFormatting sqref="L61">
    <cfRule type="cellIs" dxfId="144" priority="38" operator="equal">
      <formula>0</formula>
    </cfRule>
  </conditionalFormatting>
  <conditionalFormatting sqref="L58:M58">
    <cfRule type="cellIs" dxfId="143" priority="25" operator="equal">
      <formula>0</formula>
    </cfRule>
  </conditionalFormatting>
  <conditionalFormatting sqref="L65:M65">
    <cfRule type="cellIs" dxfId="142" priority="31" operator="equal">
      <formula>0</formula>
    </cfRule>
  </conditionalFormatting>
  <conditionalFormatting sqref="M30 L31:M32">
    <cfRule type="cellIs" dxfId="141" priority="35" operator="equal">
      <formula>0</formula>
    </cfRule>
  </conditionalFormatting>
  <conditionalFormatting sqref="L66:M66">
    <cfRule type="cellIs" dxfId="140" priority="28" operator="equal">
      <formula>0</formula>
    </cfRule>
  </conditionalFormatting>
  <conditionalFormatting sqref="L67:M67">
    <cfRule type="cellIs" dxfId="139" priority="29" operator="equal">
      <formula>0</formula>
    </cfRule>
  </conditionalFormatting>
  <conditionalFormatting sqref="D63">
    <cfRule type="cellIs" dxfId="138" priority="32" operator="equal">
      <formula>0</formula>
    </cfRule>
  </conditionalFormatting>
  <conditionalFormatting sqref="L44:M44 M45">
    <cfRule type="cellIs" dxfId="137" priority="24" operator="equal">
      <formula>0</formula>
    </cfRule>
  </conditionalFormatting>
  <conditionalFormatting sqref="L64:M64">
    <cfRule type="cellIs" dxfId="136" priority="30" operator="equal">
      <formula>0</formula>
    </cfRule>
  </conditionalFormatting>
  <conditionalFormatting sqref="L50:M50">
    <cfRule type="cellIs" dxfId="135" priority="22" operator="equal">
      <formula>0</formula>
    </cfRule>
  </conditionalFormatting>
  <conditionalFormatting sqref="L51">
    <cfRule type="cellIs" dxfId="134" priority="21" operator="equal">
      <formula>0</formula>
    </cfRule>
  </conditionalFormatting>
  <conditionalFormatting sqref="L69:M69">
    <cfRule type="cellIs" dxfId="133" priority="27" operator="equal">
      <formula>0</formula>
    </cfRule>
  </conditionalFormatting>
  <conditionalFormatting sqref="L68:M68">
    <cfRule type="cellIs" dxfId="132" priority="26" operator="equal">
      <formula>0</formula>
    </cfRule>
  </conditionalFormatting>
  <conditionalFormatting sqref="L45">
    <cfRule type="cellIs" dxfId="131" priority="23" operator="equal">
      <formula>0</formula>
    </cfRule>
  </conditionalFormatting>
  <conditionalFormatting sqref="L52:M52">
    <cfRule type="cellIs" dxfId="130" priority="20" operator="equal">
      <formula>0</formula>
    </cfRule>
  </conditionalFormatting>
  <conditionalFormatting sqref="L53">
    <cfRule type="cellIs" dxfId="129" priority="19" operator="equal">
      <formula>0</formula>
    </cfRule>
  </conditionalFormatting>
  <conditionalFormatting sqref="L54:M54 M55">
    <cfRule type="cellIs" dxfId="128" priority="18" operator="equal">
      <formula>0</formula>
    </cfRule>
  </conditionalFormatting>
  <conditionalFormatting sqref="L55">
    <cfRule type="cellIs" dxfId="127" priority="17" operator="equal">
      <formula>0</formula>
    </cfRule>
  </conditionalFormatting>
  <conditionalFormatting sqref="M51">
    <cfRule type="cellIs" dxfId="126" priority="16" operator="equal">
      <formula>0</formula>
    </cfRule>
  </conditionalFormatting>
  <conditionalFormatting sqref="M53">
    <cfRule type="cellIs" dxfId="125" priority="15" operator="equal">
      <formula>0</formula>
    </cfRule>
  </conditionalFormatting>
  <conditionalFormatting sqref="D71">
    <cfRule type="cellIs" dxfId="124" priority="14" operator="equal">
      <formula>0</formula>
    </cfRule>
  </conditionalFormatting>
  <conditionalFormatting sqref="L73:M73">
    <cfRule type="cellIs" dxfId="123" priority="13" operator="equal">
      <formula>0</formula>
    </cfRule>
  </conditionalFormatting>
  <conditionalFormatting sqref="M72">
    <cfRule type="cellIs" dxfId="122" priority="12" operator="equal">
      <formula>0</formula>
    </cfRule>
  </conditionalFormatting>
  <conditionalFormatting sqref="D75">
    <cfRule type="cellIs" dxfId="121" priority="11" operator="equal">
      <formula>0</formula>
    </cfRule>
  </conditionalFormatting>
  <conditionalFormatting sqref="L77:M77">
    <cfRule type="cellIs" dxfId="120" priority="10" operator="equal">
      <formula>0</formula>
    </cfRule>
  </conditionalFormatting>
  <conditionalFormatting sqref="M76">
    <cfRule type="cellIs" dxfId="119" priority="9" operator="equal">
      <formula>0</formula>
    </cfRule>
  </conditionalFormatting>
  <conditionalFormatting sqref="L79:M79">
    <cfRule type="cellIs" dxfId="118" priority="8" operator="equal">
      <formula>0</formula>
    </cfRule>
  </conditionalFormatting>
  <conditionalFormatting sqref="M78">
    <cfRule type="cellIs" dxfId="117" priority="7" operator="equal">
      <formula>0</formula>
    </cfRule>
  </conditionalFormatting>
  <conditionalFormatting sqref="L81:M81">
    <cfRule type="cellIs" dxfId="116" priority="6" operator="equal">
      <formula>0</formula>
    </cfRule>
  </conditionalFormatting>
  <conditionalFormatting sqref="M80">
    <cfRule type="cellIs" dxfId="115" priority="5" operator="equal">
      <formula>0</formula>
    </cfRule>
  </conditionalFormatting>
  <conditionalFormatting sqref="L40:M40 M41">
    <cfRule type="cellIs" dxfId="114" priority="4" operator="equal">
      <formula>0</formula>
    </cfRule>
  </conditionalFormatting>
  <conditionalFormatting sqref="L41">
    <cfRule type="cellIs" dxfId="113" priority="3" operator="equal">
      <formula>0</formula>
    </cfRule>
  </conditionalFormatting>
  <conditionalFormatting sqref="L48:M48 M49">
    <cfRule type="cellIs" dxfId="112" priority="2" operator="equal">
      <formula>0</formula>
    </cfRule>
  </conditionalFormatting>
  <conditionalFormatting sqref="L49">
    <cfRule type="cellIs" dxfId="111" priority="1" operator="equal">
      <formula>0</formula>
    </cfRule>
  </conditionalFormatting>
  <pageMargins left="0.51181102362204722" right="0.51181102362204722" top="0.78740157480314965" bottom="0.78740157480314965" header="0.31496062992125984" footer="0.31496062992125984"/>
  <pageSetup paperSize="9" scale="52" fitToHeight="0" orientation="portrait" horizontalDpi="1200" verticalDpi="1200"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M42"/>
  <sheetViews>
    <sheetView zoomScale="85" zoomScaleNormal="85" zoomScaleSheetLayoutView="85" workbookViewId="0">
      <selection activeCell="B37" sqref="B37"/>
    </sheetView>
  </sheetViews>
  <sheetFormatPr defaultRowHeight="12.75"/>
  <cols>
    <col min="1" max="1" width="9.5703125" style="36" customWidth="1"/>
    <col min="2" max="2" width="55.5703125" style="36" customWidth="1"/>
    <col min="3" max="3" width="11.5703125" style="36" customWidth="1"/>
    <col min="4" max="4" width="9.7109375" style="36" hidden="1" customWidth="1"/>
    <col min="5" max="5" width="10.5703125" style="36" hidden="1" customWidth="1"/>
    <col min="6" max="6" width="18.7109375" style="36" customWidth="1"/>
    <col min="7" max="7" width="16.7109375" style="36" customWidth="1"/>
    <col min="8" max="8" width="19.140625" style="36" customWidth="1"/>
    <col min="9" max="9" width="15.140625" style="36" customWidth="1"/>
    <col min="10" max="10" width="18.28515625" style="36" customWidth="1"/>
    <col min="11" max="11" width="17" style="664" bestFit="1" customWidth="1"/>
    <col min="12" max="12" width="14.5703125" style="664" customWidth="1"/>
    <col min="13" max="13" width="12.28515625" style="36" bestFit="1" customWidth="1"/>
    <col min="14" max="14" width="8" style="36" customWidth="1"/>
    <col min="15" max="16384" width="9.140625" style="36"/>
  </cols>
  <sheetData>
    <row r="1" spans="1:13" ht="15" customHeight="1">
      <c r="A1" s="1613" t="s">
        <v>1271</v>
      </c>
      <c r="B1" s="1614"/>
      <c r="C1" s="1614"/>
      <c r="D1" s="1614"/>
      <c r="E1" s="1614"/>
      <c r="F1" s="1614"/>
      <c r="G1" s="1614"/>
      <c r="H1" s="1614"/>
      <c r="I1" s="1614"/>
      <c r="J1" s="1615"/>
    </row>
    <row r="2" spans="1:13" ht="15" customHeight="1">
      <c r="A2" s="1616"/>
      <c r="B2" s="1617"/>
      <c r="C2" s="1617"/>
      <c r="D2" s="1617"/>
      <c r="E2" s="1617"/>
      <c r="F2" s="1617"/>
      <c r="G2" s="1617"/>
      <c r="H2" s="1617"/>
      <c r="I2" s="1617"/>
      <c r="J2" s="1618"/>
    </row>
    <row r="3" spans="1:13" ht="15" customHeight="1">
      <c r="A3" s="1616"/>
      <c r="B3" s="1617"/>
      <c r="C3" s="1617"/>
      <c r="D3" s="1617"/>
      <c r="E3" s="1617"/>
      <c r="F3" s="1617"/>
      <c r="G3" s="1617"/>
      <c r="H3" s="1617"/>
      <c r="I3" s="1617"/>
      <c r="J3" s="1618"/>
    </row>
    <row r="4" spans="1:13" ht="15.75" customHeight="1" thickBot="1">
      <c r="A4" s="1619"/>
      <c r="B4" s="1620"/>
      <c r="C4" s="1620"/>
      <c r="D4" s="1620"/>
      <c r="E4" s="1620"/>
      <c r="F4" s="1620"/>
      <c r="G4" s="1620"/>
      <c r="H4" s="1620"/>
      <c r="I4" s="1620"/>
      <c r="J4" s="1621"/>
    </row>
    <row r="5" spans="1:13" ht="19.5" customHeight="1">
      <c r="A5" s="361"/>
      <c r="B5" s="362"/>
      <c r="C5" s="362"/>
      <c r="D5" s="362"/>
      <c r="E5" s="362"/>
      <c r="F5" s="363"/>
      <c r="G5" s="1622" t="s">
        <v>74</v>
      </c>
      <c r="H5" s="1622"/>
      <c r="I5" s="1624" t="str">
        <f>ORÇAMENTO!O5</f>
        <v>Fevereiro de 2017</v>
      </c>
      <c r="J5" s="1625"/>
    </row>
    <row r="6" spans="1:13" ht="19.5" customHeight="1">
      <c r="A6" s="385"/>
      <c r="B6" s="362"/>
      <c r="C6" s="362"/>
      <c r="D6" s="362"/>
      <c r="E6" s="362"/>
      <c r="F6" s="363"/>
      <c r="G6" s="1623" t="s">
        <v>20993</v>
      </c>
      <c r="H6" s="1623"/>
      <c r="I6" s="1611">
        <f>ORÇAMENTO!O6</f>
        <v>42991</v>
      </c>
      <c r="J6" s="1612"/>
    </row>
    <row r="7" spans="1:13" ht="17.25" customHeight="1">
      <c r="A7" s="364" t="s">
        <v>0</v>
      </c>
      <c r="B7" s="365" t="str">
        <f>ORÇAMENTO!I7</f>
        <v>SUPERINTENDÊNCIA MUNICIPAL DE ÁGUA E ESGOTOS - SAE</v>
      </c>
      <c r="C7" s="365"/>
      <c r="D7" s="365"/>
      <c r="E7" s="365"/>
      <c r="F7" s="363"/>
      <c r="G7" s="1623" t="s">
        <v>75</v>
      </c>
      <c r="H7" s="1623"/>
      <c r="I7" s="1626">
        <f>ORÇAMENTO!O7</f>
        <v>0.2215</v>
      </c>
      <c r="J7" s="1627"/>
    </row>
    <row r="8" spans="1:13" ht="17.25" customHeight="1">
      <c r="A8" s="364" t="s">
        <v>2</v>
      </c>
      <c r="B8" s="365" t="str">
        <f>ORÇAMENTO!I8</f>
        <v>CATALÃO, GO</v>
      </c>
      <c r="C8" s="365"/>
      <c r="D8" s="365"/>
      <c r="E8" s="365"/>
      <c r="F8" s="363"/>
      <c r="G8" s="1623" t="s">
        <v>76</v>
      </c>
      <c r="H8" s="1623"/>
      <c r="I8" s="1626">
        <f>ORÇAMENTO!O8</f>
        <v>0.12479999999999999</v>
      </c>
      <c r="J8" s="1627"/>
    </row>
    <row r="9" spans="1:13" ht="27" customHeight="1">
      <c r="A9" s="364" t="s">
        <v>11707</v>
      </c>
      <c r="B9" s="365" t="str">
        <f>ORÇAMENTO!I9</f>
        <v>AMPLIAÇÃO DO SISTEMA DE ESGOTAMENTO SANITÁRIO</v>
      </c>
      <c r="C9" s="365"/>
      <c r="D9" s="365"/>
      <c r="E9" s="365"/>
      <c r="F9" s="363"/>
      <c r="G9" s="1623" t="s">
        <v>21000</v>
      </c>
      <c r="H9" s="1623"/>
      <c r="I9" s="1626" t="str">
        <f>ORÇAMENTO!O9</f>
        <v>SINAPI - GO (FEV/17) - SANEAGO (FEV/16)</v>
      </c>
      <c r="J9" s="1627"/>
    </row>
    <row r="10" spans="1:13" ht="17.25" customHeight="1" thickBot="1">
      <c r="A10" s="364"/>
      <c r="B10" s="366"/>
      <c r="C10" s="366"/>
      <c r="D10" s="366"/>
      <c r="E10" s="366"/>
      <c r="F10" s="362"/>
      <c r="G10" s="362"/>
      <c r="H10" s="367"/>
      <c r="I10" s="368"/>
      <c r="J10" s="369"/>
    </row>
    <row r="11" spans="1:13" s="354" customFormat="1" ht="27" thickTop="1" thickBot="1">
      <c r="A11" s="370"/>
      <c r="B11" s="371" t="s">
        <v>14048</v>
      </c>
      <c r="C11" s="371"/>
      <c r="D11" s="371"/>
      <c r="E11" s="371"/>
      <c r="F11" s="372" t="s">
        <v>14049</v>
      </c>
      <c r="G11" s="372" t="s">
        <v>14050</v>
      </c>
      <c r="H11" s="372" t="s">
        <v>21004</v>
      </c>
      <c r="I11" s="373" t="s">
        <v>14051</v>
      </c>
      <c r="J11" s="374" t="s">
        <v>1269</v>
      </c>
      <c r="K11" s="665"/>
      <c r="L11" s="665"/>
    </row>
    <row r="12" spans="1:13" ht="14.25" thickTop="1" thickBot="1">
      <c r="A12" s="375"/>
      <c r="B12" s="376"/>
      <c r="C12" s="376"/>
      <c r="D12" s="376"/>
      <c r="E12" s="376"/>
      <c r="F12" s="377"/>
      <c r="G12" s="377"/>
      <c r="H12" s="377"/>
      <c r="I12" s="378"/>
      <c r="J12" s="379"/>
      <c r="K12" s="665"/>
      <c r="L12" s="665"/>
    </row>
    <row r="13" spans="1:13" s="598" customFormat="1" ht="27" thickTop="1" thickBot="1">
      <c r="A13" s="380"/>
      <c r="B13" s="381" t="s">
        <v>11664</v>
      </c>
      <c r="C13" s="382" t="s">
        <v>14276</v>
      </c>
      <c r="D13" s="382" t="s">
        <v>1275</v>
      </c>
      <c r="E13" s="382" t="s">
        <v>14277</v>
      </c>
      <c r="F13" s="383">
        <f>F15+F19+F21+F17+F34</f>
        <v>0</v>
      </c>
      <c r="G13" s="383">
        <f>G15+G19+G21+G17+G34</f>
        <v>0</v>
      </c>
      <c r="H13" s="383">
        <f>H15+H19+H21+H17+H34</f>
        <v>0</v>
      </c>
      <c r="I13" s="383">
        <f>I15+I19+I21+I17+I34</f>
        <v>0</v>
      </c>
      <c r="J13" s="383">
        <f>J15+J19+J21+J17+J34</f>
        <v>0</v>
      </c>
      <c r="K13" s="665">
        <f>ORÇAMENTO!P11</f>
        <v>0</v>
      </c>
      <c r="L13" s="665"/>
      <c r="M13" s="622"/>
    </row>
    <row r="14" spans="1:13" ht="14.25" thickTop="1" thickBot="1">
      <c r="A14" s="375"/>
      <c r="B14" s="376"/>
      <c r="C14" s="376"/>
      <c r="D14" s="376"/>
      <c r="E14" s="376"/>
      <c r="F14" s="377"/>
      <c r="G14" s="377"/>
      <c r="H14" s="377"/>
      <c r="I14" s="378"/>
      <c r="J14" s="379"/>
      <c r="K14" s="665"/>
      <c r="L14" s="665"/>
    </row>
    <row r="15" spans="1:13" s="598" customFormat="1" ht="17.25" customHeight="1" thickTop="1" thickBot="1">
      <c r="A15" s="380">
        <v>1</v>
      </c>
      <c r="B15" s="381" t="s">
        <v>11727</v>
      </c>
      <c r="C15" s="382"/>
      <c r="D15" s="382"/>
      <c r="E15" s="382"/>
      <c r="F15" s="383">
        <f>ORÇAMENTO!P21+ORÇAMENTO!P22</f>
        <v>0</v>
      </c>
      <c r="G15" s="383">
        <v>0</v>
      </c>
      <c r="H15" s="383">
        <v>0</v>
      </c>
      <c r="I15" s="383">
        <v>0</v>
      </c>
      <c r="J15" s="384">
        <f>SUM(F15:I15)</f>
        <v>0</v>
      </c>
      <c r="K15" s="665"/>
      <c r="L15" s="664"/>
    </row>
    <row r="16" spans="1:13" ht="14.25" thickTop="1" thickBot="1">
      <c r="A16" s="385"/>
      <c r="B16" s="366"/>
      <c r="C16" s="362"/>
      <c r="D16" s="362"/>
      <c r="E16" s="362"/>
      <c r="F16" s="386"/>
      <c r="G16" s="386"/>
      <c r="H16" s="386"/>
      <c r="I16" s="386"/>
      <c r="J16" s="387"/>
      <c r="K16" s="665"/>
    </row>
    <row r="17" spans="1:12" s="598" customFormat="1" ht="15" customHeight="1" thickTop="1" thickBot="1">
      <c r="A17" s="380">
        <v>2</v>
      </c>
      <c r="B17" s="381" t="s">
        <v>14634</v>
      </c>
      <c r="C17" s="382" t="s">
        <v>18</v>
      </c>
      <c r="D17" s="382">
        <f>ORÇAMENTO!M32</f>
        <v>0</v>
      </c>
      <c r="E17" s="388" t="e">
        <f>J17/D17</f>
        <v>#DIV/0!</v>
      </c>
      <c r="F17" s="383">
        <f>ORÇAMENTO!P26</f>
        <v>0</v>
      </c>
      <c r="G17" s="383">
        <f>ORÇAMENTO!P1393</f>
        <v>0</v>
      </c>
      <c r="H17" s="383">
        <v>0</v>
      </c>
      <c r="I17" s="383">
        <v>0</v>
      </c>
      <c r="J17" s="384">
        <f>SUM(F17:I17)</f>
        <v>0</v>
      </c>
      <c r="K17" s="665"/>
      <c r="L17" s="666"/>
    </row>
    <row r="18" spans="1:12" ht="14.25" thickTop="1" thickBot="1">
      <c r="A18" s="385"/>
      <c r="B18" s="366"/>
      <c r="C18" s="362"/>
      <c r="D18" s="362"/>
      <c r="E18" s="362"/>
      <c r="F18" s="386"/>
      <c r="G18" s="386"/>
      <c r="H18" s="386"/>
      <c r="I18" s="386"/>
      <c r="J18" s="387"/>
      <c r="K18" s="665"/>
    </row>
    <row r="19" spans="1:12" s="598" customFormat="1" ht="17.25" customHeight="1" thickTop="1" thickBot="1">
      <c r="A19" s="380">
        <v>3</v>
      </c>
      <c r="B19" s="381" t="s">
        <v>14631</v>
      </c>
      <c r="C19" s="382" t="s">
        <v>18</v>
      </c>
      <c r="D19" s="382">
        <f>ORÇAMENTO!M248</f>
        <v>1474</v>
      </c>
      <c r="E19" s="388">
        <f>J19/D19</f>
        <v>0</v>
      </c>
      <c r="F19" s="383">
        <f>ORÇAMENTO!P242</f>
        <v>0</v>
      </c>
      <c r="G19" s="383">
        <f>ORÇAMENTO!P1418</f>
        <v>0</v>
      </c>
      <c r="H19" s="383">
        <v>0</v>
      </c>
      <c r="I19" s="383">
        <v>0</v>
      </c>
      <c r="J19" s="384">
        <f>SUM(F19:I19)</f>
        <v>0</v>
      </c>
      <c r="K19" s="665"/>
      <c r="L19" s="666"/>
    </row>
    <row r="20" spans="1:12" ht="14.25" thickTop="1" thickBot="1">
      <c r="A20" s="385"/>
      <c r="B20" s="366"/>
      <c r="C20" s="366"/>
      <c r="D20" s="366"/>
      <c r="E20" s="366"/>
      <c r="F20" s="386"/>
      <c r="G20" s="386"/>
      <c r="H20" s="386"/>
      <c r="I20" s="386"/>
      <c r="J20" s="387"/>
      <c r="K20" s="665"/>
    </row>
    <row r="21" spans="1:12" s="598" customFormat="1" ht="18" customHeight="1" thickTop="1" thickBot="1">
      <c r="A21" s="380">
        <v>4</v>
      </c>
      <c r="B21" s="381" t="s">
        <v>12694</v>
      </c>
      <c r="C21" s="381"/>
      <c r="D21" s="381"/>
      <c r="E21" s="381"/>
      <c r="F21" s="383">
        <f>SUM(F22:F32)</f>
        <v>0</v>
      </c>
      <c r="G21" s="383">
        <f>SUM(G22:G32)</f>
        <v>0</v>
      </c>
      <c r="H21" s="383">
        <f>SUM(H22:H32)</f>
        <v>0</v>
      </c>
      <c r="I21" s="383">
        <f>SUM(I22:I32)</f>
        <v>0</v>
      </c>
      <c r="J21" s="383">
        <f>SUM(J22:J32)</f>
        <v>0</v>
      </c>
      <c r="K21" s="665"/>
      <c r="L21" s="666"/>
    </row>
    <row r="22" spans="1:12" ht="15" customHeight="1" thickTop="1">
      <c r="A22" s="385"/>
      <c r="B22" s="366" t="str">
        <f>ORÇAMENTO!I447</f>
        <v>TRATAMENTO PRELIMINAR</v>
      </c>
      <c r="C22" s="366"/>
      <c r="D22" s="366"/>
      <c r="E22" s="366"/>
      <c r="F22" s="386">
        <f>ORÇAMENTO!P447-F36</f>
        <v>0</v>
      </c>
      <c r="G22" s="386">
        <f>ORÇAMENTO!P1444</f>
        <v>0</v>
      </c>
      <c r="H22" s="386">
        <f>ORÇAMENTO!P1960</f>
        <v>0</v>
      </c>
      <c r="I22" s="386">
        <f>ORÇAMENTO!P2107+ORÇAMENTO!P2245+ORÇAMENTO!P2286+ORÇAMENTO!P2334</f>
        <v>0</v>
      </c>
      <c r="J22" s="387">
        <f>SUM(F22:I22)</f>
        <v>0</v>
      </c>
      <c r="K22" s="665"/>
      <c r="L22" s="599"/>
    </row>
    <row r="23" spans="1:12" ht="15" customHeight="1">
      <c r="A23" s="385"/>
      <c r="B23" s="366" t="str">
        <f>ORÇAMENTO!I548</f>
        <v>REATORES UASB (2 MÓDULOS DE 2.000 M³)</v>
      </c>
      <c r="C23" s="366"/>
      <c r="D23" s="366"/>
      <c r="E23" s="366"/>
      <c r="F23" s="386">
        <f>ORÇAMENTO!P548-F35</f>
        <v>0</v>
      </c>
      <c r="G23" s="386">
        <f>ORÇAMENTO!P1530</f>
        <v>0</v>
      </c>
      <c r="H23" s="386">
        <f>ORÇAMENTO!P1985</f>
        <v>0</v>
      </c>
      <c r="I23" s="386">
        <v>0</v>
      </c>
      <c r="J23" s="387">
        <f>SUM(F23:I23)</f>
        <v>0</v>
      </c>
      <c r="K23" s="665"/>
    </row>
    <row r="24" spans="1:12" ht="15" customHeight="1">
      <c r="A24" s="385"/>
      <c r="B24" s="366" t="str">
        <f>ORÇAMENTO!I617</f>
        <v>LEITOS DE SECAGEM (4 MÓDULOS)</v>
      </c>
      <c r="C24" s="366"/>
      <c r="D24" s="366"/>
      <c r="E24" s="366"/>
      <c r="F24" s="386">
        <f>ORÇAMENTO!P617</f>
        <v>0</v>
      </c>
      <c r="G24" s="386">
        <f>ORÇAMENTO!P1787</f>
        <v>0</v>
      </c>
      <c r="H24" s="386">
        <v>0</v>
      </c>
      <c r="I24" s="386">
        <v>0</v>
      </c>
      <c r="J24" s="387">
        <f t="shared" ref="J24:J32" si="0">SUM(F24:I24)</f>
        <v>0</v>
      </c>
    </row>
    <row r="25" spans="1:12" ht="15" customHeight="1">
      <c r="A25" s="385"/>
      <c r="B25" s="366" t="str">
        <f>ORÇAMENTO!I697</f>
        <v xml:space="preserve"> TUBULAÇÕES ENTERRADAS</v>
      </c>
      <c r="C25" s="366"/>
      <c r="D25" s="366"/>
      <c r="E25" s="366"/>
      <c r="F25" s="386">
        <f>ORÇAMENTO!P697</f>
        <v>0</v>
      </c>
      <c r="G25" s="386">
        <v>0</v>
      </c>
      <c r="H25" s="386">
        <v>0</v>
      </c>
      <c r="I25" s="386">
        <v>0</v>
      </c>
      <c r="J25" s="387">
        <f t="shared" si="0"/>
        <v>0</v>
      </c>
    </row>
    <row r="26" spans="1:12" ht="15" customHeight="1">
      <c r="A26" s="385"/>
      <c r="B26" s="366" t="str">
        <f>ORÇAMENTO!I780</f>
        <v xml:space="preserve"> CAIXAS (PASSAGEM, DESCARGA, CHEGADA, CDR, CDGs)</v>
      </c>
      <c r="C26" s="366"/>
      <c r="D26" s="366"/>
      <c r="E26" s="366"/>
      <c r="F26" s="386">
        <f>ORÇAMENTO!P780</f>
        <v>0</v>
      </c>
      <c r="G26" s="386">
        <f>ORÇAMENTO!P1823+ORÇAMENTO!P1811</f>
        <v>0</v>
      </c>
      <c r="H26" s="386">
        <f>ORÇAMENTO!P1994+ORÇAMENTO!P2000</f>
        <v>0</v>
      </c>
      <c r="I26" s="386">
        <v>0</v>
      </c>
      <c r="J26" s="387">
        <f t="shared" si="0"/>
        <v>0</v>
      </c>
    </row>
    <row r="27" spans="1:12" ht="15" customHeight="1">
      <c r="A27" s="385"/>
      <c r="B27" s="366" t="str">
        <f>ORÇAMENTO!I881</f>
        <v xml:space="preserve"> TRATAMENTO DO BIOGAS</v>
      </c>
      <c r="C27" s="366"/>
      <c r="D27" s="366"/>
      <c r="E27" s="366"/>
      <c r="F27" s="386">
        <f>ORÇAMENTO!P881</f>
        <v>0</v>
      </c>
      <c r="G27" s="386">
        <f>ORÇAMENTO!P1832</f>
        <v>0</v>
      </c>
      <c r="H27" s="386">
        <f>ORÇAMENTO!P2006</f>
        <v>0</v>
      </c>
      <c r="I27" s="386">
        <f>ORÇAMENTO!P2369+ORÇAMENTO!P2213</f>
        <v>0</v>
      </c>
      <c r="J27" s="387">
        <f t="shared" si="0"/>
        <v>0</v>
      </c>
    </row>
    <row r="28" spans="1:12" ht="15" customHeight="1">
      <c r="A28" s="385"/>
      <c r="B28" s="366" t="str">
        <f>ORÇAMENTO!I977</f>
        <v xml:space="preserve"> DESINFECÇÃO - HIPOCLORITO DE SÓDIO</v>
      </c>
      <c r="C28" s="366"/>
      <c r="D28" s="366"/>
      <c r="E28" s="366"/>
      <c r="F28" s="386">
        <f>ORÇAMENTO!P977</f>
        <v>0</v>
      </c>
      <c r="G28" s="386">
        <f>ORÇAMENTO!P1851</f>
        <v>0</v>
      </c>
      <c r="H28" s="386">
        <f>ORÇAMENTO!P2014</f>
        <v>0</v>
      </c>
      <c r="I28" s="386">
        <f>ORÇAMENTO!P2178+ORÇAMENTO!P2394</f>
        <v>0</v>
      </c>
      <c r="J28" s="387">
        <f t="shared" si="0"/>
        <v>0</v>
      </c>
    </row>
    <row r="29" spans="1:12" ht="15" customHeight="1">
      <c r="A29" s="385"/>
      <c r="B29" s="366" t="str">
        <f>ORÇAMENTO!I1077</f>
        <v xml:space="preserve"> SALA ELÉTRICA</v>
      </c>
      <c r="C29" s="366"/>
      <c r="D29" s="366"/>
      <c r="E29" s="366"/>
      <c r="F29" s="386">
        <f>ORÇAMENTO!P1077</f>
        <v>0</v>
      </c>
      <c r="G29" s="386">
        <v>0</v>
      </c>
      <c r="H29" s="386">
        <v>0</v>
      </c>
      <c r="I29" s="386">
        <f>ORÇAMENTO!P2021+ORÇAMENTO!P2068</f>
        <v>0</v>
      </c>
      <c r="J29" s="387">
        <f t="shared" si="0"/>
        <v>0</v>
      </c>
    </row>
    <row r="30" spans="1:12" ht="15" customHeight="1">
      <c r="A30" s="385"/>
      <c r="B30" s="366" t="s">
        <v>14530</v>
      </c>
      <c r="C30" s="366"/>
      <c r="D30" s="366"/>
      <c r="E30" s="366"/>
      <c r="F30" s="386">
        <f>ORÇAMENTO!P1184</f>
        <v>0</v>
      </c>
      <c r="G30" s="386">
        <f>ORÇAMENTO!P1897</f>
        <v>0</v>
      </c>
      <c r="H30" s="386">
        <v>0</v>
      </c>
      <c r="I30" s="386">
        <f>ORÇAMENTO!P2143</f>
        <v>0</v>
      </c>
      <c r="J30" s="387">
        <f t="shared" si="0"/>
        <v>0</v>
      </c>
    </row>
    <row r="31" spans="1:12" ht="15" customHeight="1">
      <c r="A31" s="385"/>
      <c r="B31" s="366" t="str">
        <f>ORÇAMENTO!I1267</f>
        <v xml:space="preserve"> ESTRUTURA DE LANÇAMENTO FINAL DO EFLUENTE</v>
      </c>
      <c r="C31" s="366"/>
      <c r="D31" s="366"/>
      <c r="E31" s="366"/>
      <c r="F31" s="386">
        <f>ORÇAMENTO!P1267</f>
        <v>0</v>
      </c>
      <c r="G31" s="386">
        <f>ORÇAMENTO!P1954</f>
        <v>0</v>
      </c>
      <c r="H31" s="386">
        <v>0</v>
      </c>
      <c r="I31" s="386">
        <v>0</v>
      </c>
      <c r="J31" s="387">
        <f t="shared" si="0"/>
        <v>0</v>
      </c>
    </row>
    <row r="32" spans="1:12" ht="15" customHeight="1">
      <c r="A32" s="385"/>
      <c r="B32" s="366" t="s">
        <v>12695</v>
      </c>
      <c r="C32" s="366"/>
      <c r="D32" s="366"/>
      <c r="E32" s="366"/>
      <c r="F32" s="386">
        <f>ORÇAMENTO!P1346</f>
        <v>0</v>
      </c>
      <c r="G32" s="386">
        <f>ORÇAMENTO!P1932</f>
        <v>0</v>
      </c>
      <c r="H32" s="386">
        <v>0</v>
      </c>
      <c r="I32" s="386">
        <v>0</v>
      </c>
      <c r="J32" s="387">
        <f t="shared" si="0"/>
        <v>0</v>
      </c>
    </row>
    <row r="33" spans="1:12" s="445" customFormat="1" ht="15" customHeight="1" thickBot="1">
      <c r="A33" s="385"/>
      <c r="K33" s="667"/>
      <c r="L33" s="667"/>
    </row>
    <row r="34" spans="1:12" s="598" customFormat="1" ht="14.25" thickTop="1" thickBot="1">
      <c r="A34" s="380">
        <v>4</v>
      </c>
      <c r="B34" s="381" t="s">
        <v>14309</v>
      </c>
      <c r="C34" s="381"/>
      <c r="D34" s="381"/>
      <c r="E34" s="381"/>
      <c r="F34" s="383">
        <f>F35+F36</f>
        <v>0</v>
      </c>
      <c r="G34" s="383">
        <f>G35+G36</f>
        <v>0</v>
      </c>
      <c r="H34" s="383">
        <f>H35+H36</f>
        <v>0</v>
      </c>
      <c r="I34" s="383">
        <f>I35+I36</f>
        <v>0</v>
      </c>
      <c r="J34" s="383">
        <f>J35+J36</f>
        <v>0</v>
      </c>
      <c r="K34" s="665"/>
      <c r="L34" s="666"/>
    </row>
    <row r="35" spans="1:12" ht="18" customHeight="1" thickTop="1">
      <c r="A35" s="445"/>
      <c r="B35" s="366" t="str">
        <f>'REATOR (x2)'!D336</f>
        <v>RECUPERAÇÃO DA ESTRUTRURA DE CONCRETO ARMADO</v>
      </c>
      <c r="C35" s="366"/>
      <c r="D35" s="366"/>
      <c r="E35" s="366"/>
      <c r="F35" s="386">
        <f>ORÇAMENTO!P581</f>
        <v>0</v>
      </c>
      <c r="G35" s="386">
        <v>0</v>
      </c>
      <c r="H35" s="386">
        <v>0</v>
      </c>
      <c r="I35" s="386">
        <v>0</v>
      </c>
      <c r="J35" s="387">
        <f>SUM(F35:I35)</f>
        <v>0</v>
      </c>
    </row>
    <row r="36" spans="1:12">
      <c r="A36" s="445"/>
      <c r="B36" s="445" t="s">
        <v>21115</v>
      </c>
      <c r="C36" s="445"/>
      <c r="D36" s="445"/>
      <c r="E36" s="445"/>
      <c r="F36" s="386">
        <f>+ORÇAMENTO!P625+ORÇAMENTO!P454</f>
        <v>0</v>
      </c>
      <c r="G36" s="445"/>
      <c r="H36" s="445"/>
      <c r="I36" s="445"/>
      <c r="J36" s="387">
        <f>SUM(F36:I36)</f>
        <v>0</v>
      </c>
    </row>
    <row r="37" spans="1:12">
      <c r="A37" s="445"/>
      <c r="B37" s="445"/>
      <c r="C37" s="445"/>
      <c r="D37" s="445"/>
      <c r="E37" s="445"/>
      <c r="F37" s="445"/>
      <c r="G37" s="445"/>
      <c r="H37" s="601"/>
      <c r="I37" s="601"/>
      <c r="J37" s="602"/>
    </row>
    <row r="38" spans="1:12">
      <c r="A38" s="445"/>
      <c r="B38" s="445"/>
      <c r="C38" s="445"/>
      <c r="D38" s="445"/>
      <c r="E38" s="445"/>
      <c r="F38" s="445"/>
      <c r="G38" s="445"/>
      <c r="H38" s="445"/>
      <c r="I38" s="445"/>
      <c r="J38" s="600"/>
    </row>
    <row r="39" spans="1:12">
      <c r="A39" s="445"/>
      <c r="B39" s="445"/>
      <c r="C39" s="445"/>
      <c r="D39" s="445"/>
      <c r="E39" s="445"/>
      <c r="F39" s="445"/>
      <c r="G39" s="445"/>
      <c r="H39" s="445"/>
      <c r="I39" s="445"/>
      <c r="J39" s="600"/>
    </row>
    <row r="40" spans="1:12">
      <c r="A40" s="445"/>
      <c r="B40" s="445"/>
      <c r="C40" s="445"/>
      <c r="D40" s="445"/>
      <c r="E40" s="445"/>
      <c r="F40" s="445"/>
      <c r="G40" s="445"/>
      <c r="H40" s="445"/>
      <c r="I40" s="445"/>
      <c r="J40" s="600"/>
      <c r="K40" s="668"/>
    </row>
    <row r="41" spans="1:12">
      <c r="A41" s="445"/>
      <c r="B41" s="445"/>
      <c r="C41" s="445"/>
      <c r="D41" s="445"/>
      <c r="E41" s="445"/>
      <c r="F41" s="445"/>
      <c r="G41" s="445"/>
      <c r="H41" s="445"/>
      <c r="I41" s="445"/>
      <c r="J41" s="600"/>
    </row>
    <row r="42" spans="1:12">
      <c r="A42" s="445"/>
      <c r="B42" s="445"/>
      <c r="C42" s="445"/>
      <c r="D42" s="445"/>
      <c r="E42" s="445"/>
      <c r="F42" s="445"/>
      <c r="G42" s="445"/>
      <c r="H42" s="445"/>
      <c r="I42" s="445"/>
      <c r="J42" s="445"/>
    </row>
  </sheetData>
  <sheetProtection algorithmName="SHA-512" hashValue="HKJt8hFghVAZdoEtrupXNKVriIdzZgf6b+kCfy7slMzym2xqMQXbCb6OuaHxqGD9J8HAsS/rqX8AZ9NGHHNAmA==" saltValue="5SScFohZKMwHNojeDb5sHw==" spinCount="100000" sheet="1" objects="1" scenarios="1"/>
  <mergeCells count="11">
    <mergeCell ref="G9:H9"/>
    <mergeCell ref="I5:J5"/>
    <mergeCell ref="I7:J7"/>
    <mergeCell ref="I8:J8"/>
    <mergeCell ref="I9:J9"/>
    <mergeCell ref="G6:H6"/>
    <mergeCell ref="I6:J6"/>
    <mergeCell ref="A1:J4"/>
    <mergeCell ref="G5:H5"/>
    <mergeCell ref="G7:H7"/>
    <mergeCell ref="G8:H8"/>
  </mergeCells>
  <conditionalFormatting sqref="F7 H11:J12 I5:I7 H14:J14">
    <cfRule type="cellIs" dxfId="2739" priority="63" operator="equal">
      <formula>0</formula>
    </cfRule>
  </conditionalFormatting>
  <conditionalFormatting sqref="F8">
    <cfRule type="cellIs" dxfId="2738" priority="61" operator="equal">
      <formula>0</formula>
    </cfRule>
  </conditionalFormatting>
  <conditionalFormatting sqref="H10:J10">
    <cfRule type="cellIs" dxfId="2737" priority="60" operator="equal">
      <formula>0</formula>
    </cfRule>
  </conditionalFormatting>
  <conditionalFormatting sqref="F5:F6">
    <cfRule type="cellIs" dxfId="2736" priority="59" operator="equal">
      <formula>0</formula>
    </cfRule>
  </conditionalFormatting>
  <conditionalFormatting sqref="F9">
    <cfRule type="cellIs" dxfId="2735" priority="58" operator="equal">
      <formula>0</formula>
    </cfRule>
  </conditionalFormatting>
  <conditionalFormatting sqref="A21">
    <cfRule type="cellIs" dxfId="2734" priority="47" operator="equal">
      <formula>0</formula>
    </cfRule>
  </conditionalFormatting>
  <conditionalFormatting sqref="G7">
    <cfRule type="cellIs" dxfId="2733" priority="20" operator="equal">
      <formula>0</formula>
    </cfRule>
  </conditionalFormatting>
  <conditionalFormatting sqref="G5:G6">
    <cfRule type="cellIs" dxfId="2732" priority="18" operator="equal">
      <formula>0</formula>
    </cfRule>
  </conditionalFormatting>
  <conditionalFormatting sqref="I8:I9">
    <cfRule type="cellIs" dxfId="2731" priority="10" operator="equal">
      <formula>0</formula>
    </cfRule>
  </conditionalFormatting>
  <conditionalFormatting sqref="G8:G9">
    <cfRule type="cellIs" dxfId="2730" priority="11" operator="equal">
      <formula>0</formula>
    </cfRule>
  </conditionalFormatting>
  <conditionalFormatting sqref="A15">
    <cfRule type="cellIs" dxfId="2729" priority="9" operator="equal">
      <formula>0</formula>
    </cfRule>
  </conditionalFormatting>
  <conditionalFormatting sqref="A13">
    <cfRule type="cellIs" dxfId="2728" priority="8" operator="equal">
      <formula>0</formula>
    </cfRule>
  </conditionalFormatting>
  <conditionalFormatting sqref="A19">
    <cfRule type="cellIs" dxfId="2727" priority="5" operator="equal">
      <formula>0</formula>
    </cfRule>
  </conditionalFormatting>
  <conditionalFormatting sqref="A17">
    <cfRule type="cellIs" dxfId="2726" priority="4" operator="equal">
      <formula>0</formula>
    </cfRule>
  </conditionalFormatting>
  <conditionalFormatting sqref="A34">
    <cfRule type="cellIs" dxfId="2725" priority="1" operator="equal">
      <formula>0</formula>
    </cfRule>
  </conditionalFormatting>
  <pageMargins left="0.51181102362204722" right="0.51181102362204722" top="0.78740157480314965" bottom="0.78740157480314965" header="0.31496062992125984" footer="0.31496062992125984"/>
  <pageSetup paperSize="9" scale="82" orientation="landscape"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E373"/>
  <sheetViews>
    <sheetView topLeftCell="B249" zoomScale="85" zoomScaleNormal="70" zoomScaleSheetLayoutView="85" workbookViewId="0">
      <selection activeCell="M180" sqref="M180"/>
    </sheetView>
  </sheetViews>
  <sheetFormatPr defaultRowHeight="12.75"/>
  <cols>
    <col min="1" max="1" width="19" style="157" customWidth="1"/>
    <col min="2" max="2" width="7.5703125" style="157" bestFit="1" customWidth="1"/>
    <col min="3" max="3" width="14.5703125" style="87" bestFit="1" customWidth="1"/>
    <col min="4" max="4" width="63.28515625" style="42" customWidth="1"/>
    <col min="5" max="5" width="15.7109375" style="42" customWidth="1"/>
    <col min="6" max="6" width="16.42578125" style="43" customWidth="1"/>
    <col min="7" max="7" width="12" style="42" customWidth="1"/>
    <col min="8" max="8" width="10.85546875" style="42" customWidth="1"/>
    <col min="9" max="9" width="11.42578125" style="42" customWidth="1"/>
    <col min="10" max="10" width="15.28515625" style="77" customWidth="1"/>
    <col min="11" max="11" width="14.140625" style="44" customWidth="1"/>
    <col min="12" max="12" width="11" style="78" customWidth="1"/>
    <col min="13" max="13" width="12.140625" style="78" customWidth="1"/>
    <col min="14" max="14" width="3.42578125" style="313" customWidth="1"/>
    <col min="15" max="15" width="10.42578125" style="33" customWidth="1"/>
    <col min="16" max="16" width="7.7109375" style="33" customWidth="1"/>
    <col min="17" max="17" width="7.5703125" style="33" customWidth="1"/>
    <col min="18" max="18" width="9.7109375" style="33" customWidth="1"/>
    <col min="19" max="19" width="13.7109375" style="174" bestFit="1" customWidth="1"/>
    <col min="20" max="22" width="8.5703125" style="39" customWidth="1"/>
    <col min="23" max="23" width="13.42578125" style="39" customWidth="1"/>
    <col min="24" max="24" width="8.42578125" style="39" customWidth="1"/>
    <col min="25" max="25" width="7.42578125" style="39" customWidth="1"/>
    <col min="26" max="26" width="9" style="39" customWidth="1"/>
    <col min="27" max="27" width="8" style="39" customWidth="1"/>
    <col min="28" max="16384" width="9.140625" style="39"/>
  </cols>
  <sheetData>
    <row r="1" spans="1:19">
      <c r="D1" s="1717" t="s">
        <v>11665</v>
      </c>
      <c r="E1" s="1718"/>
      <c r="F1" s="1718"/>
      <c r="G1" s="1718"/>
      <c r="H1" s="1718"/>
      <c r="I1" s="1718"/>
      <c r="J1" s="1718"/>
      <c r="K1" s="1718"/>
      <c r="L1" s="1718"/>
      <c r="M1" s="1719"/>
      <c r="P1" s="127"/>
    </row>
    <row r="2" spans="1:19" ht="39.75" customHeight="1">
      <c r="D2" s="1720"/>
      <c r="E2" s="1721"/>
      <c r="F2" s="1721"/>
      <c r="G2" s="1721"/>
      <c r="H2" s="1721"/>
      <c r="I2" s="1721"/>
      <c r="J2" s="1721"/>
      <c r="K2" s="1721"/>
      <c r="L2" s="1721"/>
      <c r="M2" s="1722"/>
      <c r="P2" s="127"/>
    </row>
    <row r="3" spans="1:19">
      <c r="D3" s="1720"/>
      <c r="E3" s="1721"/>
      <c r="F3" s="1721"/>
      <c r="G3" s="1721"/>
      <c r="H3" s="1721"/>
      <c r="I3" s="1721"/>
      <c r="J3" s="1721"/>
      <c r="K3" s="1721"/>
      <c r="L3" s="1721"/>
      <c r="M3" s="1722"/>
      <c r="P3" s="127"/>
    </row>
    <row r="4" spans="1:19" ht="15.75" customHeight="1" thickBot="1">
      <c r="D4" s="1723"/>
      <c r="E4" s="1724"/>
      <c r="F4" s="1724"/>
      <c r="G4" s="1724"/>
      <c r="H4" s="1724"/>
      <c r="I4" s="1724"/>
      <c r="J4" s="1724"/>
      <c r="K4" s="1724"/>
      <c r="L4" s="1724"/>
      <c r="M4" s="1725"/>
    </row>
    <row r="5" spans="1:19" ht="14.25" customHeight="1">
      <c r="D5" s="64"/>
      <c r="E5" s="313"/>
      <c r="F5" s="113"/>
      <c r="G5" s="113"/>
      <c r="H5" s="113"/>
      <c r="I5" s="113"/>
      <c r="J5" s="15"/>
      <c r="K5" s="2"/>
      <c r="L5" s="117"/>
      <c r="M5" s="118"/>
      <c r="P5" s="175"/>
    </row>
    <row r="6" spans="1:19" ht="14.25" customHeight="1">
      <c r="D6" s="328" t="s">
        <v>11759</v>
      </c>
      <c r="E6" s="105"/>
      <c r="F6" s="105"/>
      <c r="G6" s="105"/>
      <c r="H6" s="105"/>
      <c r="I6" s="105"/>
      <c r="J6" s="105"/>
      <c r="K6" s="4"/>
      <c r="L6" s="304"/>
      <c r="M6" s="51"/>
      <c r="N6" s="65"/>
    </row>
    <row r="7" spans="1:19" ht="14.25" customHeight="1">
      <c r="D7" s="328" t="s">
        <v>11836</v>
      </c>
      <c r="E7" s="105"/>
      <c r="F7" s="105"/>
      <c r="G7" s="105"/>
      <c r="H7" s="105"/>
      <c r="I7" s="105"/>
      <c r="J7" s="105"/>
      <c r="K7" s="4"/>
      <c r="L7" s="5"/>
      <c r="M7" s="6"/>
      <c r="N7" s="66"/>
    </row>
    <row r="8" spans="1:19" s="35" customFormat="1" ht="14.25" customHeight="1">
      <c r="A8" s="157"/>
      <c r="B8" s="157"/>
      <c r="C8" s="87"/>
      <c r="D8" s="328" t="s">
        <v>12569</v>
      </c>
      <c r="E8" s="105"/>
      <c r="F8" s="105"/>
      <c r="G8" s="105"/>
      <c r="H8" s="105"/>
      <c r="I8" s="105"/>
      <c r="J8" s="105"/>
      <c r="K8" s="4"/>
      <c r="L8" s="5"/>
      <c r="M8" s="6"/>
      <c r="N8" s="66"/>
      <c r="O8" s="33"/>
      <c r="P8" s="33"/>
      <c r="Q8" s="33"/>
      <c r="R8" s="33"/>
      <c r="S8" s="33"/>
    </row>
    <row r="9" spans="1:19" s="35" customFormat="1" ht="6.75" customHeight="1" thickBot="1">
      <c r="A9" s="157"/>
      <c r="B9" s="157"/>
      <c r="C9" s="87"/>
      <c r="D9" s="67"/>
      <c r="E9" s="68"/>
      <c r="F9" s="68"/>
      <c r="G9" s="69"/>
      <c r="H9" s="69"/>
      <c r="I9" s="69"/>
      <c r="J9" s="69"/>
      <c r="K9" s="13"/>
      <c r="L9" s="10"/>
      <c r="M9" s="14"/>
      <c r="N9" s="66"/>
      <c r="O9" s="33"/>
      <c r="P9" s="33"/>
      <c r="Q9" s="33"/>
      <c r="R9" s="33"/>
      <c r="S9" s="33"/>
    </row>
    <row r="10" spans="1:19" s="35" customFormat="1" ht="15.75" customHeight="1" thickTop="1" thickBot="1">
      <c r="A10" s="157"/>
      <c r="B10" s="157"/>
      <c r="C10" s="87"/>
      <c r="D10" s="1728" t="s">
        <v>12570</v>
      </c>
      <c r="E10" s="1729"/>
      <c r="F10" s="1729"/>
      <c r="G10" s="1729"/>
      <c r="H10" s="1729"/>
      <c r="I10" s="1729"/>
      <c r="J10" s="1729"/>
      <c r="K10" s="1729"/>
      <c r="L10" s="1729"/>
      <c r="M10" s="1730"/>
      <c r="N10" s="70"/>
      <c r="O10" s="33"/>
      <c r="P10" s="33"/>
      <c r="Q10" s="33"/>
      <c r="R10" s="33"/>
      <c r="S10" s="33"/>
    </row>
    <row r="11" spans="1:19" s="35" customFormat="1" ht="9" customHeight="1" thickTop="1" thickBot="1">
      <c r="A11" s="157"/>
      <c r="B11" s="157"/>
      <c r="C11" s="87"/>
      <c r="D11" s="7"/>
      <c r="E11" s="8"/>
      <c r="F11" s="9"/>
      <c r="G11" s="313"/>
      <c r="H11" s="313"/>
      <c r="I11" s="313"/>
      <c r="J11" s="17"/>
      <c r="K11" s="4"/>
      <c r="L11" s="10"/>
      <c r="M11" s="30"/>
      <c r="N11" s="313"/>
      <c r="O11" s="33"/>
      <c r="P11" s="312"/>
      <c r="Q11" s="33"/>
      <c r="R11" s="33"/>
      <c r="S11" s="33"/>
    </row>
    <row r="12" spans="1:19" s="35" customFormat="1" ht="14.25" customHeight="1" thickTop="1" thickBot="1">
      <c r="A12" s="157"/>
      <c r="B12" s="157"/>
      <c r="C12" s="87"/>
      <c r="D12" s="1728" t="s">
        <v>3</v>
      </c>
      <c r="E12" s="1729"/>
      <c r="F12" s="1729"/>
      <c r="G12" s="1729"/>
      <c r="H12" s="1729"/>
      <c r="I12" s="1729"/>
      <c r="J12" s="1729"/>
      <c r="K12" s="1729"/>
      <c r="L12" s="1729"/>
      <c r="M12" s="1730"/>
      <c r="N12" s="306"/>
      <c r="O12" s="33"/>
      <c r="P12" s="88"/>
      <c r="Q12" s="33"/>
      <c r="R12" s="33"/>
      <c r="S12" s="33"/>
    </row>
    <row r="13" spans="1:19" s="35" customFormat="1" ht="13.5" thickTop="1">
      <c r="A13" s="157"/>
      <c r="B13" s="157"/>
      <c r="C13" s="87"/>
      <c r="D13" s="106" t="s">
        <v>4</v>
      </c>
      <c r="E13" s="107"/>
      <c r="F13" s="107"/>
      <c r="G13" s="107"/>
      <c r="H13" s="107"/>
      <c r="I13" s="107"/>
      <c r="J13" s="107"/>
      <c r="K13" s="107"/>
      <c r="L13" s="306" t="s">
        <v>5</v>
      </c>
      <c r="M13" s="50">
        <f>'PARAMETROS MC'!C37</f>
        <v>7.5</v>
      </c>
      <c r="N13" s="126"/>
      <c r="O13" s="127"/>
      <c r="P13" s="33"/>
      <c r="Q13" s="33"/>
      <c r="R13" s="33"/>
      <c r="S13" s="33"/>
    </row>
    <row r="14" spans="1:19" s="35" customFormat="1">
      <c r="A14" s="157"/>
      <c r="B14" s="157"/>
      <c r="C14" s="87"/>
      <c r="D14" s="108" t="s">
        <v>34</v>
      </c>
      <c r="E14" s="109"/>
      <c r="F14" s="109"/>
      <c r="G14" s="109"/>
      <c r="H14" s="109"/>
      <c r="I14" s="109"/>
      <c r="J14" s="109"/>
      <c r="K14" s="109"/>
      <c r="L14" s="306" t="s">
        <v>5</v>
      </c>
      <c r="M14" s="50">
        <f>'PARAMETROS MC'!C38</f>
        <v>4.5999999999999996</v>
      </c>
      <c r="N14" s="126"/>
      <c r="O14" s="127"/>
      <c r="P14" s="33"/>
      <c r="Q14" s="33"/>
      <c r="R14" s="33"/>
      <c r="S14" s="33"/>
    </row>
    <row r="15" spans="1:19" s="35" customFormat="1">
      <c r="A15" s="157"/>
      <c r="B15" s="157"/>
      <c r="C15" s="87"/>
      <c r="D15" s="108" t="s">
        <v>6</v>
      </c>
      <c r="E15" s="109"/>
      <c r="F15" s="109"/>
      <c r="G15" s="109"/>
      <c r="H15" s="109"/>
      <c r="I15" s="109"/>
      <c r="J15" s="109"/>
      <c r="K15" s="109"/>
      <c r="L15" s="306" t="s">
        <v>8</v>
      </c>
      <c r="M15" s="32">
        <v>0.95</v>
      </c>
      <c r="N15" s="126"/>
      <c r="O15" s="127"/>
      <c r="P15" s="33"/>
      <c r="Q15" s="33"/>
      <c r="R15" s="33"/>
      <c r="S15" s="33"/>
    </row>
    <row r="16" spans="1:19" s="35" customFormat="1">
      <c r="A16" s="157"/>
      <c r="B16" s="157"/>
      <c r="C16" s="87"/>
      <c r="D16" s="108" t="s">
        <v>7</v>
      </c>
      <c r="E16" s="109"/>
      <c r="F16" s="109"/>
      <c r="G16" s="109"/>
      <c r="H16" s="109"/>
      <c r="I16" s="109"/>
      <c r="J16" s="109"/>
      <c r="K16" s="109"/>
      <c r="L16" s="306" t="s">
        <v>8</v>
      </c>
      <c r="M16" s="32">
        <v>0.05</v>
      </c>
      <c r="N16" s="126"/>
      <c r="O16" s="127"/>
      <c r="P16" s="33"/>
      <c r="Q16" s="33"/>
      <c r="R16" s="33"/>
      <c r="S16" s="33"/>
    </row>
    <row r="17" spans="1:19" s="35" customFormat="1">
      <c r="A17" s="157"/>
      <c r="B17" s="157"/>
      <c r="C17" s="87"/>
      <c r="D17" s="108" t="s">
        <v>9</v>
      </c>
      <c r="E17" s="109"/>
      <c r="F17" s="109"/>
      <c r="G17" s="109"/>
      <c r="H17" s="109"/>
      <c r="I17" s="109"/>
      <c r="J17" s="109"/>
      <c r="K17" s="109"/>
      <c r="L17" s="306" t="s">
        <v>8</v>
      </c>
      <c r="M17" s="32">
        <v>0.9</v>
      </c>
      <c r="N17" s="126"/>
      <c r="O17" s="127"/>
      <c r="P17" s="33"/>
      <c r="Q17" s="33"/>
      <c r="R17" s="33"/>
      <c r="S17" s="33"/>
    </row>
    <row r="18" spans="1:19" s="35" customFormat="1">
      <c r="A18" s="157"/>
      <c r="B18" s="157"/>
      <c r="C18" s="87"/>
      <c r="D18" s="108" t="s">
        <v>10</v>
      </c>
      <c r="E18" s="109"/>
      <c r="F18" s="109"/>
      <c r="G18" s="109"/>
      <c r="H18" s="109"/>
      <c r="I18" s="109"/>
      <c r="J18" s="109"/>
      <c r="K18" s="109"/>
      <c r="L18" s="306" t="s">
        <v>8</v>
      </c>
      <c r="M18" s="32">
        <v>0.05</v>
      </c>
      <c r="N18" s="126"/>
      <c r="O18" s="127"/>
      <c r="P18" s="33"/>
      <c r="Q18" s="33"/>
      <c r="R18" s="33"/>
      <c r="S18" s="33"/>
    </row>
    <row r="19" spans="1:19" s="35" customFormat="1">
      <c r="A19" s="157"/>
      <c r="B19" s="157"/>
      <c r="C19" s="87"/>
      <c r="D19" s="108" t="s">
        <v>11</v>
      </c>
      <c r="E19" s="109"/>
      <c r="F19" s="109"/>
      <c r="G19" s="109"/>
      <c r="H19" s="109"/>
      <c r="I19" s="109"/>
      <c r="J19" s="109"/>
      <c r="K19" s="109"/>
      <c r="L19" s="306" t="s">
        <v>8</v>
      </c>
      <c r="M19" s="32">
        <v>0</v>
      </c>
      <c r="N19" s="126"/>
      <c r="O19" s="127"/>
      <c r="P19" s="33"/>
      <c r="Q19" s="33"/>
      <c r="R19" s="33"/>
      <c r="S19" s="33"/>
    </row>
    <row r="20" spans="1:19" s="35" customFormat="1">
      <c r="A20" s="157"/>
      <c r="B20" s="157"/>
      <c r="C20" s="87"/>
      <c r="D20" s="108" t="s">
        <v>12</v>
      </c>
      <c r="E20" s="109"/>
      <c r="F20" s="109"/>
      <c r="G20" s="109"/>
      <c r="H20" s="109"/>
      <c r="I20" s="109"/>
      <c r="J20" s="109"/>
      <c r="K20" s="109"/>
      <c r="L20" s="306" t="s">
        <v>8</v>
      </c>
      <c r="M20" s="32">
        <v>0.05</v>
      </c>
      <c r="N20" s="126"/>
      <c r="O20" s="127"/>
      <c r="P20" s="33"/>
      <c r="Q20" s="33"/>
      <c r="R20" s="33"/>
      <c r="S20" s="33"/>
    </row>
    <row r="21" spans="1:19" s="35" customFormat="1">
      <c r="A21" s="157"/>
      <c r="B21" s="157"/>
      <c r="C21" s="87"/>
      <c r="D21" s="108" t="s">
        <v>13</v>
      </c>
      <c r="E21" s="109"/>
      <c r="F21" s="109"/>
      <c r="G21" s="109"/>
      <c r="H21" s="109"/>
      <c r="I21" s="109"/>
      <c r="J21" s="109"/>
      <c r="K21" s="109"/>
      <c r="L21" s="306" t="s">
        <v>8</v>
      </c>
      <c r="M21" s="32">
        <v>0.2</v>
      </c>
      <c r="N21" s="126"/>
      <c r="O21" s="127"/>
      <c r="P21" s="33"/>
      <c r="Q21" s="33"/>
      <c r="R21" s="33"/>
      <c r="S21" s="33"/>
    </row>
    <row r="22" spans="1:19" s="35" customFormat="1">
      <c r="A22" s="157"/>
      <c r="B22" s="157"/>
      <c r="C22" s="87"/>
      <c r="D22" s="108" t="s">
        <v>14</v>
      </c>
      <c r="E22" s="109"/>
      <c r="F22" s="109"/>
      <c r="G22" s="109"/>
      <c r="H22" s="109"/>
      <c r="I22" s="109"/>
      <c r="J22" s="109"/>
      <c r="K22" s="109"/>
      <c r="L22" s="306" t="s">
        <v>8</v>
      </c>
      <c r="M22" s="32">
        <v>0.15</v>
      </c>
      <c r="N22" s="126"/>
      <c r="O22" s="127"/>
      <c r="P22" s="33"/>
      <c r="Q22" s="33"/>
      <c r="R22" s="33"/>
      <c r="S22" s="33"/>
    </row>
    <row r="23" spans="1:19" s="35" customFormat="1">
      <c r="A23" s="157"/>
      <c r="B23" s="157"/>
      <c r="C23" s="87"/>
      <c r="D23" s="108" t="s">
        <v>15</v>
      </c>
      <c r="E23" s="109"/>
      <c r="F23" s="109"/>
      <c r="G23" s="109"/>
      <c r="H23" s="109"/>
      <c r="I23" s="109"/>
      <c r="J23" s="109"/>
      <c r="K23" s="109"/>
      <c r="L23" s="306" t="s">
        <v>8</v>
      </c>
      <c r="M23" s="32">
        <v>0.1</v>
      </c>
      <c r="N23" s="126"/>
      <c r="O23" s="127"/>
      <c r="P23" s="33"/>
      <c r="Q23" s="33"/>
      <c r="R23" s="33"/>
      <c r="S23" s="33"/>
    </row>
    <row r="24" spans="1:19" s="35" customFormat="1">
      <c r="A24" s="157"/>
      <c r="B24" s="157"/>
      <c r="C24" s="87"/>
      <c r="D24" s="108" t="s">
        <v>16</v>
      </c>
      <c r="E24" s="109"/>
      <c r="F24" s="109"/>
      <c r="G24" s="109"/>
      <c r="H24" s="109"/>
      <c r="I24" s="109"/>
      <c r="J24" s="109"/>
      <c r="K24" s="109"/>
      <c r="L24" s="306" t="s">
        <v>8</v>
      </c>
      <c r="M24" s="32">
        <v>0.9</v>
      </c>
      <c r="N24" s="126"/>
      <c r="O24" s="127"/>
      <c r="P24" s="33"/>
      <c r="Q24" s="33"/>
      <c r="R24" s="33"/>
      <c r="S24" s="33"/>
    </row>
    <row r="25" spans="1:19" ht="13.5" thickBot="1">
      <c r="D25" s="85"/>
      <c r="E25" s="313"/>
      <c r="F25" s="9"/>
      <c r="G25" s="313"/>
      <c r="H25" s="313"/>
      <c r="I25" s="313"/>
      <c r="J25" s="17"/>
      <c r="K25" s="4"/>
      <c r="L25" s="38"/>
      <c r="M25" s="128"/>
    </row>
    <row r="26" spans="1:19" s="35" customFormat="1" ht="14.25" thickTop="1" thickBot="1">
      <c r="A26" s="157"/>
      <c r="B26" s="157"/>
      <c r="C26" s="87"/>
      <c r="D26" s="110" t="s">
        <v>11640</v>
      </c>
      <c r="E26" s="111"/>
      <c r="F26" s="111"/>
      <c r="G26" s="111"/>
      <c r="H26" s="111"/>
      <c r="I26" s="111"/>
      <c r="J26" s="111"/>
      <c r="K26" s="111"/>
      <c r="L26" s="308"/>
      <c r="M26" s="309"/>
      <c r="N26" s="70"/>
      <c r="O26" s="33"/>
      <c r="P26" s="33"/>
      <c r="Q26" s="33"/>
      <c r="R26" s="33"/>
      <c r="S26" s="33"/>
    </row>
    <row r="27" spans="1:19" ht="13.5" thickTop="1">
      <c r="D27" s="327"/>
      <c r="E27" s="105"/>
      <c r="F27" s="105"/>
      <c r="G27" s="313" t="s">
        <v>30</v>
      </c>
      <c r="H27" s="313" t="s">
        <v>30</v>
      </c>
      <c r="I27" s="313" t="s">
        <v>1275</v>
      </c>
      <c r="J27" s="313" t="s">
        <v>17</v>
      </c>
      <c r="K27" s="313" t="s">
        <v>19</v>
      </c>
      <c r="L27" s="313" t="s">
        <v>30</v>
      </c>
      <c r="M27" s="325" t="s">
        <v>30</v>
      </c>
      <c r="N27" s="38"/>
      <c r="O27" s="105"/>
      <c r="S27" s="33"/>
    </row>
    <row r="28" spans="1:19" ht="15" customHeight="1">
      <c r="D28" s="327"/>
      <c r="E28" s="1731" t="s">
        <v>12571</v>
      </c>
      <c r="F28" s="1731"/>
      <c r="G28" s="1731"/>
      <c r="H28" s="38"/>
      <c r="I28" s="313">
        <v>2</v>
      </c>
      <c r="J28" s="315">
        <v>75</v>
      </c>
      <c r="K28" s="315">
        <v>5.5</v>
      </c>
      <c r="L28" s="313" t="s">
        <v>21</v>
      </c>
      <c r="M28" s="322">
        <f>J28*K28*I28</f>
        <v>825</v>
      </c>
      <c r="N28" s="38"/>
      <c r="O28" s="105"/>
      <c r="S28" s="33"/>
    </row>
    <row r="29" spans="1:19" ht="12.75" customHeight="1">
      <c r="D29" s="327"/>
      <c r="E29" s="1731" t="s">
        <v>12572</v>
      </c>
      <c r="F29" s="1731" t="s">
        <v>12572</v>
      </c>
      <c r="G29" s="1731"/>
      <c r="H29" s="38"/>
      <c r="I29" s="313">
        <v>1</v>
      </c>
      <c r="J29" s="313">
        <f>J34+2.6*2</f>
        <v>32.25</v>
      </c>
      <c r="K29" s="313">
        <f>K34+2.6*2</f>
        <v>22.9</v>
      </c>
      <c r="L29" s="313" t="s">
        <v>21</v>
      </c>
      <c r="M29" s="322">
        <f>J29*K29*I29</f>
        <v>738.52499999999998</v>
      </c>
      <c r="N29" s="38"/>
      <c r="O29" s="105"/>
      <c r="S29" s="33"/>
    </row>
    <row r="30" spans="1:19">
      <c r="D30" s="327"/>
      <c r="E30" s="1733"/>
      <c r="F30" s="1733"/>
      <c r="G30" s="1733"/>
      <c r="H30" s="313"/>
      <c r="I30" s="313"/>
      <c r="J30" s="315"/>
      <c r="K30" s="315"/>
      <c r="L30" s="313"/>
      <c r="M30" s="322"/>
      <c r="N30" s="38"/>
      <c r="O30" s="105"/>
      <c r="S30" s="33"/>
    </row>
    <row r="31" spans="1:19">
      <c r="A31" s="157" t="s">
        <v>12540</v>
      </c>
      <c r="B31" s="157" t="s">
        <v>10852</v>
      </c>
      <c r="C31" s="87">
        <v>122</v>
      </c>
      <c r="D31" s="112" t="str">
        <f>PROPER(IF(B31="Saneago",VLOOKUP(C31,'SANEAGO-FEV.2016'!A:B,2,0),IF(B31="Sinapi",VLOOKUP(C31,'SINAPI-FEV.2017'!A:D,2,0),IF(B31="Cotação",VLOOKUP(C31,COTAÇÃO!A:D,2,0),IF(B31="Composição",VLOOKUP(C31,COMPOSIÇÃO!A:D,2,0))))))</f>
        <v>Limpeza Mecanizada  Terreno Com Raspagem  Superficial</v>
      </c>
      <c r="E31" s="317"/>
      <c r="F31" s="317"/>
      <c r="G31" s="79"/>
      <c r="H31" s="79"/>
      <c r="I31" s="79"/>
      <c r="J31" s="79"/>
      <c r="K31" s="73" t="s">
        <v>27</v>
      </c>
      <c r="L31" s="73" t="s">
        <v>21</v>
      </c>
      <c r="M31" s="81">
        <f>SUM(M28:M29)</f>
        <v>1563.5250000000001</v>
      </c>
      <c r="N31" s="38"/>
      <c r="O31" s="105"/>
      <c r="S31" s="33"/>
    </row>
    <row r="32" spans="1:19">
      <c r="D32" s="327"/>
      <c r="E32" s="105"/>
      <c r="F32" s="105"/>
      <c r="G32" s="313"/>
      <c r="H32" s="313" t="s">
        <v>30</v>
      </c>
      <c r="I32" s="313" t="s">
        <v>1275</v>
      </c>
      <c r="J32" s="313" t="s">
        <v>17</v>
      </c>
      <c r="K32" s="313" t="s">
        <v>19</v>
      </c>
      <c r="L32" s="313"/>
      <c r="M32" s="55"/>
      <c r="N32" s="38"/>
      <c r="O32" s="105"/>
      <c r="S32" s="33"/>
    </row>
    <row r="33" spans="1:19">
      <c r="D33" s="327"/>
      <c r="E33" s="1731" t="s">
        <v>12571</v>
      </c>
      <c r="F33" s="1731"/>
      <c r="G33" s="1731"/>
      <c r="H33" s="38"/>
      <c r="I33" s="313">
        <v>0</v>
      </c>
      <c r="J33" s="315">
        <v>0</v>
      </c>
      <c r="K33" s="315">
        <v>0</v>
      </c>
      <c r="L33" s="313" t="s">
        <v>21</v>
      </c>
      <c r="M33" s="55">
        <f>I33*J33*K33</f>
        <v>0</v>
      </c>
      <c r="N33" s="38"/>
      <c r="O33" s="105"/>
      <c r="S33" s="33"/>
    </row>
    <row r="34" spans="1:19">
      <c r="D34" s="327"/>
      <c r="E34" s="1731" t="s">
        <v>12572</v>
      </c>
      <c r="F34" s="1731" t="s">
        <v>12572</v>
      </c>
      <c r="G34" s="1731"/>
      <c r="H34" s="310"/>
      <c r="I34" s="313">
        <v>1</v>
      </c>
      <c r="J34" s="315">
        <v>27.05</v>
      </c>
      <c r="K34" s="315">
        <v>17.7</v>
      </c>
      <c r="L34" s="313" t="s">
        <v>21</v>
      </c>
      <c r="M34" s="55">
        <f>I34*J34*K34</f>
        <v>478.78499999999997</v>
      </c>
      <c r="N34" s="38"/>
      <c r="O34" s="105"/>
      <c r="S34" s="33"/>
    </row>
    <row r="35" spans="1:19">
      <c r="D35" s="327"/>
      <c r="E35" s="310"/>
      <c r="F35" s="310"/>
      <c r="G35" s="310"/>
      <c r="H35" s="310"/>
      <c r="I35" s="313"/>
      <c r="J35" s="315"/>
      <c r="K35" s="315"/>
      <c r="L35" s="313"/>
      <c r="M35" s="55"/>
      <c r="N35" s="38"/>
      <c r="O35" s="105"/>
      <c r="S35" s="33"/>
    </row>
    <row r="36" spans="1:19">
      <c r="A36" s="157" t="s">
        <v>12541</v>
      </c>
      <c r="B36" s="157" t="s">
        <v>10852</v>
      </c>
      <c r="C36" s="87">
        <v>123</v>
      </c>
      <c r="D36" s="112" t="str">
        <f>PROPER(IF(B36="Saneago",VLOOKUP(C36,'SANEAGO-FEV.2016'!A:B,2,0),IF(B36="Sinapi",VLOOKUP(C36,'SINAPI-FEV.2017'!A:D,2,0),IF(B36="Cotação",VLOOKUP(C36,COTAÇÃO!A:D,2,0),IF(B36="Composição",VLOOKUP(C36,COMPOSIÇÃO!A:D,2,0))))))</f>
        <v>Locação E Demarcação Da Obra</v>
      </c>
      <c r="E36" s="317"/>
      <c r="F36" s="317"/>
      <c r="G36" s="79"/>
      <c r="H36" s="79"/>
      <c r="I36" s="79"/>
      <c r="J36" s="79"/>
      <c r="K36" s="73" t="s">
        <v>27</v>
      </c>
      <c r="L36" s="73" t="s">
        <v>21</v>
      </c>
      <c r="M36" s="81">
        <f>SUM(M33:M34)</f>
        <v>478.78499999999997</v>
      </c>
      <c r="N36" s="38"/>
      <c r="O36" s="105"/>
      <c r="S36" s="33"/>
    </row>
    <row r="37" spans="1:19" s="35" customFormat="1" ht="13.5" thickBot="1">
      <c r="A37" s="157"/>
      <c r="B37" s="157"/>
      <c r="C37" s="87"/>
      <c r="D37" s="327"/>
      <c r="E37" s="105"/>
      <c r="F37" s="105"/>
      <c r="G37" s="315"/>
      <c r="H37" s="315"/>
      <c r="I37" s="315"/>
      <c r="J37" s="315"/>
      <c r="K37" s="315"/>
      <c r="L37" s="313"/>
      <c r="M37" s="55"/>
      <c r="N37" s="313"/>
      <c r="O37" s="33"/>
      <c r="P37" s="33"/>
      <c r="Q37" s="33"/>
      <c r="R37" s="33"/>
      <c r="S37" s="33"/>
    </row>
    <row r="38" spans="1:19" s="35" customFormat="1" ht="18.75" customHeight="1" thickTop="1" thickBot="1">
      <c r="A38" s="157"/>
      <c r="B38" s="157"/>
      <c r="C38" s="87"/>
      <c r="D38" s="110" t="s">
        <v>41</v>
      </c>
      <c r="E38" s="111"/>
      <c r="F38" s="111"/>
      <c r="G38" s="111"/>
      <c r="H38" s="111"/>
      <c r="I38" s="111"/>
      <c r="J38" s="111"/>
      <c r="K38" s="111"/>
      <c r="L38" s="308"/>
      <c r="M38" s="309"/>
      <c r="N38" s="70"/>
      <c r="O38" s="33"/>
      <c r="P38" s="33"/>
      <c r="Q38" s="33"/>
      <c r="R38" s="33"/>
      <c r="S38" s="33"/>
    </row>
    <row r="39" spans="1:19" s="35" customFormat="1" ht="13.5" thickTop="1">
      <c r="A39" s="157"/>
      <c r="B39" s="157"/>
      <c r="C39" s="87"/>
      <c r="D39" s="305"/>
      <c r="E39" s="306"/>
      <c r="F39" s="306"/>
      <c r="G39" s="313" t="s">
        <v>30</v>
      </c>
      <c r="H39" s="313" t="s">
        <v>30</v>
      </c>
      <c r="I39" s="313" t="s">
        <v>30</v>
      </c>
      <c r="J39" s="313" t="s">
        <v>30</v>
      </c>
      <c r="K39" s="313" t="s">
        <v>30</v>
      </c>
      <c r="L39" s="313"/>
      <c r="M39" s="307"/>
      <c r="N39" s="313"/>
      <c r="O39" s="33"/>
      <c r="P39" s="33"/>
      <c r="Q39" s="33"/>
      <c r="R39" s="33"/>
      <c r="S39" s="33"/>
    </row>
    <row r="40" spans="1:19" s="35" customFormat="1">
      <c r="A40" s="157"/>
      <c r="B40" s="157"/>
      <c r="C40" s="87"/>
      <c r="D40" s="112" t="s">
        <v>11766</v>
      </c>
      <c r="E40" s="317"/>
      <c r="F40" s="317"/>
      <c r="G40" s="71"/>
      <c r="H40" s="71"/>
      <c r="I40" s="71"/>
      <c r="J40" s="71"/>
      <c r="K40" s="71"/>
      <c r="L40" s="79" t="s">
        <v>18</v>
      </c>
      <c r="M40" s="52">
        <v>2.6</v>
      </c>
      <c r="N40" s="313"/>
      <c r="O40" s="33"/>
      <c r="P40" s="33"/>
      <c r="Q40" s="33"/>
      <c r="R40" s="33"/>
      <c r="S40" s="33"/>
    </row>
    <row r="41" spans="1:19" s="35" customFormat="1">
      <c r="A41" s="157"/>
      <c r="B41" s="157"/>
      <c r="C41" s="87"/>
      <c r="D41" s="114"/>
      <c r="E41" s="115"/>
      <c r="F41" s="115"/>
      <c r="G41" s="313"/>
      <c r="H41" s="313"/>
      <c r="I41" s="313"/>
      <c r="J41" s="313"/>
      <c r="K41" s="313"/>
      <c r="L41" s="116"/>
      <c r="M41" s="53"/>
      <c r="N41" s="313"/>
      <c r="O41" s="33"/>
      <c r="P41" s="33"/>
      <c r="Q41" s="33"/>
      <c r="R41" s="33"/>
      <c r="S41" s="33"/>
    </row>
    <row r="42" spans="1:19" s="35" customFormat="1">
      <c r="A42" s="157"/>
      <c r="B42" s="157"/>
      <c r="C42" s="87"/>
      <c r="D42" s="112" t="s">
        <v>11668</v>
      </c>
      <c r="E42" s="317"/>
      <c r="F42" s="317"/>
      <c r="G42" s="79"/>
      <c r="H42" s="79"/>
      <c r="I42" s="79"/>
      <c r="J42" s="79"/>
      <c r="K42" s="79"/>
      <c r="L42" s="79"/>
      <c r="M42" s="140">
        <v>25</v>
      </c>
      <c r="N42" s="313"/>
      <c r="O42" s="146"/>
      <c r="P42" s="33"/>
      <c r="Q42" s="33"/>
      <c r="R42" s="33"/>
      <c r="S42" s="33"/>
    </row>
    <row r="43" spans="1:19" s="35" customFormat="1" ht="22.5">
      <c r="A43" s="157"/>
      <c r="B43" s="157"/>
      <c r="C43" s="87"/>
      <c r="D43" s="131"/>
      <c r="E43" s="116" t="s">
        <v>1275</v>
      </c>
      <c r="F43" s="313" t="s">
        <v>11676</v>
      </c>
      <c r="G43" s="313" t="s">
        <v>11669</v>
      </c>
      <c r="H43" s="313" t="s">
        <v>11674</v>
      </c>
      <c r="I43" s="313" t="s">
        <v>11675</v>
      </c>
      <c r="J43" s="313" t="s">
        <v>11667</v>
      </c>
      <c r="K43" s="35" t="s">
        <v>30</v>
      </c>
      <c r="L43" s="116"/>
      <c r="M43" s="53"/>
      <c r="N43" s="313"/>
      <c r="O43" s="33"/>
      <c r="P43" s="33"/>
      <c r="Q43" s="33"/>
      <c r="R43" s="33"/>
      <c r="S43" s="33"/>
    </row>
    <row r="44" spans="1:19" s="35" customFormat="1">
      <c r="A44" s="157"/>
      <c r="B44" s="157"/>
      <c r="C44" s="87"/>
      <c r="D44" s="310" t="s">
        <v>12573</v>
      </c>
      <c r="E44" s="313">
        <v>1</v>
      </c>
      <c r="F44" s="313">
        <f>J29+$M$40*2</f>
        <v>37.450000000000003</v>
      </c>
      <c r="G44" s="313">
        <f>K29+$M$40*2</f>
        <v>28.099999999999998</v>
      </c>
      <c r="H44" s="120">
        <f>F44+2*(J44*TAN($M$42*PI()/180))</f>
        <v>41.646768923394987</v>
      </c>
      <c r="I44" s="120">
        <f>G44+2*(J44*TAN($M$42*PI()/180))</f>
        <v>32.296768923394986</v>
      </c>
      <c r="J44" s="315">
        <v>4.5</v>
      </c>
      <c r="L44" s="313" t="s">
        <v>18</v>
      </c>
      <c r="M44" s="130">
        <f>ROUND(E44*((J44/3)*((H44*I44)+SQRT((H44*I44)*(F44*G44))+(F44*G44))),2)</f>
        <v>5380.7</v>
      </c>
      <c r="N44" s="313"/>
      <c r="O44" s="33"/>
      <c r="P44" s="33"/>
      <c r="Q44" s="33"/>
      <c r="R44" s="33"/>
      <c r="S44" s="33"/>
    </row>
    <row r="45" spans="1:19" s="35" customFormat="1" ht="15" customHeight="1">
      <c r="A45" s="157"/>
      <c r="B45" s="157"/>
      <c r="C45" s="87"/>
      <c r="D45" s="144" t="s">
        <v>12575</v>
      </c>
      <c r="E45" s="132"/>
      <c r="F45" s="120"/>
      <c r="G45" s="120"/>
      <c r="H45" s="120"/>
      <c r="I45" s="1732" t="s">
        <v>27</v>
      </c>
      <c r="J45" s="1732"/>
      <c r="K45" s="1732"/>
      <c r="L45" s="306" t="s">
        <v>22</v>
      </c>
      <c r="M45" s="163">
        <f>SUM(M44:M44)</f>
        <v>5380.7</v>
      </c>
      <c r="N45" s="313"/>
      <c r="O45" s="33"/>
      <c r="P45" s="33"/>
      <c r="Q45" s="33"/>
      <c r="R45" s="33"/>
      <c r="S45" s="33"/>
    </row>
    <row r="46" spans="1:19" s="35" customFormat="1" ht="22.5">
      <c r="A46" s="157"/>
      <c r="B46" s="157"/>
      <c r="C46" s="87"/>
      <c r="D46" s="131"/>
      <c r="E46" s="116" t="s">
        <v>1275</v>
      </c>
      <c r="F46" s="116" t="s">
        <v>11676</v>
      </c>
      <c r="G46" s="116" t="s">
        <v>11669</v>
      </c>
      <c r="H46" s="116" t="s">
        <v>11674</v>
      </c>
      <c r="I46" s="116" t="s">
        <v>11675</v>
      </c>
      <c r="J46" s="116" t="s">
        <v>11667</v>
      </c>
      <c r="K46" s="116" t="s">
        <v>11667</v>
      </c>
      <c r="L46" s="116"/>
      <c r="M46" s="53"/>
      <c r="N46" s="313"/>
      <c r="O46" s="33"/>
      <c r="P46" s="33"/>
      <c r="Q46" s="33"/>
      <c r="R46" s="33"/>
      <c r="S46" s="33"/>
    </row>
    <row r="47" spans="1:19" s="35" customFormat="1">
      <c r="A47" s="157"/>
      <c r="B47" s="157"/>
      <c r="C47" s="87"/>
      <c r="D47" s="310" t="s">
        <v>12573</v>
      </c>
      <c r="E47" s="313">
        <v>1</v>
      </c>
      <c r="F47" s="315">
        <f>H50</f>
        <v>39.79</v>
      </c>
      <c r="G47" s="315">
        <f>I50</f>
        <v>30.44</v>
      </c>
      <c r="H47" s="315">
        <f>ROUND(F47+2*(J47*TAN(M$42*PI()/180)),2)</f>
        <v>41.66</v>
      </c>
      <c r="I47" s="315">
        <f>ROUND(G47+2*(J47*TAN(M$42*PI()/180)),2)</f>
        <v>32.31</v>
      </c>
      <c r="J47" s="315">
        <v>2</v>
      </c>
      <c r="K47" s="313"/>
      <c r="L47" s="313" t="s">
        <v>22</v>
      </c>
      <c r="M47" s="130">
        <f>ROUND((J47/3)*((H47*I47)+SQRT((H47*I47)*(F47*G47))+(F47*G47)),2)</f>
        <v>2556.06</v>
      </c>
      <c r="N47" s="313"/>
      <c r="O47" s="33"/>
      <c r="P47" s="33"/>
      <c r="Q47" s="33"/>
      <c r="R47" s="33"/>
      <c r="S47" s="33"/>
    </row>
    <row r="48" spans="1:19" s="35" customFormat="1">
      <c r="A48" s="157"/>
      <c r="B48" s="157"/>
      <c r="C48" s="87"/>
      <c r="D48" s="112" t="s">
        <v>12515</v>
      </c>
      <c r="E48" s="317"/>
      <c r="F48" s="317"/>
      <c r="G48" s="79"/>
      <c r="H48" s="79"/>
      <c r="I48" s="79"/>
      <c r="J48" s="79"/>
      <c r="K48" s="303" t="s">
        <v>27</v>
      </c>
      <c r="L48" s="73" t="s">
        <v>22</v>
      </c>
      <c r="M48" s="81">
        <f>SUM(M47:M47)</f>
        <v>2556.06</v>
      </c>
      <c r="N48" s="315">
        <f>SUM(M54,M51,M48)</f>
        <v>5383.36</v>
      </c>
      <c r="O48" s="33"/>
      <c r="P48" s="33"/>
      <c r="Q48" s="33"/>
      <c r="R48" s="33"/>
      <c r="S48" s="33"/>
    </row>
    <row r="49" spans="1:19" s="35" customFormat="1" ht="22.5">
      <c r="A49" s="157"/>
      <c r="B49" s="157"/>
      <c r="C49" s="87"/>
      <c r="D49" s="131"/>
      <c r="E49" s="116" t="s">
        <v>1275</v>
      </c>
      <c r="F49" s="313" t="s">
        <v>11676</v>
      </c>
      <c r="G49" s="313" t="s">
        <v>11669</v>
      </c>
      <c r="H49" s="313" t="s">
        <v>11674</v>
      </c>
      <c r="I49" s="313" t="s">
        <v>11675</v>
      </c>
      <c r="J49" s="313" t="s">
        <v>11667</v>
      </c>
      <c r="K49" s="35" t="s">
        <v>30</v>
      </c>
      <c r="L49" s="313"/>
      <c r="M49" s="130"/>
      <c r="N49" s="313"/>
      <c r="O49" s="33"/>
      <c r="P49" s="33"/>
      <c r="Q49" s="33"/>
      <c r="R49" s="33"/>
      <c r="S49" s="33"/>
    </row>
    <row r="50" spans="1:19" s="35" customFormat="1">
      <c r="A50" s="157"/>
      <c r="B50" s="157"/>
      <c r="C50" s="87"/>
      <c r="D50" s="310" t="s">
        <v>12573</v>
      </c>
      <c r="E50" s="313">
        <v>1</v>
      </c>
      <c r="F50" s="315">
        <f>H53</f>
        <v>37.92</v>
      </c>
      <c r="G50" s="315">
        <f>I53</f>
        <v>28.57</v>
      </c>
      <c r="H50" s="315">
        <f>ROUND(F50+2*(J50*TAN(M$42*PI()/180)),2)</f>
        <v>39.79</v>
      </c>
      <c r="I50" s="315">
        <f>ROUND(G50+2*(J50*TAN(M$42*PI()/180)),2)</f>
        <v>30.44</v>
      </c>
      <c r="J50" s="315">
        <v>2</v>
      </c>
      <c r="L50" s="313" t="s">
        <v>22</v>
      </c>
      <c r="M50" s="130">
        <f>ROUND((J50/3)*((H50*I50)+SQRT((H50*I50)*(F50*G50))+(F50*G50)),2)</f>
        <v>2293.39</v>
      </c>
      <c r="N50" s="313"/>
      <c r="O50" s="33"/>
      <c r="P50" s="33"/>
      <c r="Q50" s="33"/>
      <c r="R50" s="33"/>
      <c r="S50" s="33"/>
    </row>
    <row r="51" spans="1:19" s="35" customFormat="1">
      <c r="A51" s="157"/>
      <c r="B51" s="157"/>
      <c r="C51" s="87"/>
      <c r="D51" s="112" t="s">
        <v>11786</v>
      </c>
      <c r="E51" s="317"/>
      <c r="F51" s="317"/>
      <c r="G51" s="74"/>
      <c r="H51" s="74"/>
      <c r="I51" s="74"/>
      <c r="J51" s="74"/>
      <c r="K51" s="303" t="s">
        <v>27</v>
      </c>
      <c r="L51" s="73" t="s">
        <v>22</v>
      </c>
      <c r="M51" s="81">
        <f>SUM(M50:M50)</f>
        <v>2293.39</v>
      </c>
      <c r="N51" s="313"/>
      <c r="O51" s="33"/>
      <c r="P51" s="33"/>
      <c r="Q51" s="33"/>
      <c r="R51" s="33"/>
      <c r="S51" s="33"/>
    </row>
    <row r="52" spans="1:19" s="35" customFormat="1" ht="22.5">
      <c r="A52" s="157"/>
      <c r="B52" s="157"/>
      <c r="C52" s="87"/>
      <c r="D52" s="131"/>
      <c r="E52" s="116" t="s">
        <v>1275</v>
      </c>
      <c r="F52" s="313" t="s">
        <v>11676</v>
      </c>
      <c r="G52" s="313" t="s">
        <v>11669</v>
      </c>
      <c r="H52" s="313" t="s">
        <v>11674</v>
      </c>
      <c r="I52" s="313" t="s">
        <v>11675</v>
      </c>
      <c r="J52" s="313" t="s">
        <v>11667</v>
      </c>
      <c r="K52" s="313" t="s">
        <v>30</v>
      </c>
      <c r="L52" s="313"/>
      <c r="M52" s="130"/>
      <c r="N52" s="313"/>
      <c r="O52" s="33"/>
      <c r="P52" s="33"/>
      <c r="Q52" s="33"/>
      <c r="R52" s="33"/>
      <c r="S52" s="33"/>
    </row>
    <row r="53" spans="1:19" s="35" customFormat="1">
      <c r="A53" s="157"/>
      <c r="B53" s="157"/>
      <c r="C53" s="87"/>
      <c r="D53" s="310" t="s">
        <v>12573</v>
      </c>
      <c r="E53" s="313">
        <v>1</v>
      </c>
      <c r="F53" s="315">
        <f>F44</f>
        <v>37.450000000000003</v>
      </c>
      <c r="G53" s="315">
        <f>G44</f>
        <v>28.099999999999998</v>
      </c>
      <c r="H53" s="315">
        <f>ROUND(F53+2*(J53*TAN(M$42*PI()/180)),2)</f>
        <v>37.92</v>
      </c>
      <c r="I53" s="315">
        <f>ROUND(G53+2*(J53*TAN(M$42*PI()/180)),2)</f>
        <v>28.57</v>
      </c>
      <c r="J53" s="315">
        <f>0.5</f>
        <v>0.5</v>
      </c>
      <c r="K53" s="313"/>
      <c r="L53" s="313" t="s">
        <v>22</v>
      </c>
      <c r="M53" s="130">
        <f>ROUND((J53/3)*((H53*I53)+SQRT((H53*I53)*(F53*G53))+(F53*G53)),2)</f>
        <v>533.91</v>
      </c>
      <c r="N53" s="313"/>
      <c r="O53" s="33"/>
      <c r="P53" s="33"/>
      <c r="Q53" s="33"/>
      <c r="R53" s="33"/>
      <c r="S53" s="33"/>
    </row>
    <row r="54" spans="1:19" s="35" customFormat="1">
      <c r="A54" s="157"/>
      <c r="B54" s="157"/>
      <c r="C54" s="87"/>
      <c r="D54" s="112" t="s">
        <v>12574</v>
      </c>
      <c r="E54" s="317"/>
      <c r="F54" s="317"/>
      <c r="G54" s="74"/>
      <c r="H54" s="74"/>
      <c r="I54" s="74"/>
      <c r="J54" s="74"/>
      <c r="K54" s="303" t="s">
        <v>27</v>
      </c>
      <c r="L54" s="73" t="s">
        <v>22</v>
      </c>
      <c r="M54" s="81">
        <f>SUM(M53:M53)</f>
        <v>533.91</v>
      </c>
      <c r="O54" s="33"/>
      <c r="P54" s="33"/>
      <c r="Q54" s="33"/>
      <c r="R54" s="33"/>
      <c r="S54" s="33"/>
    </row>
    <row r="55" spans="1:19" s="35" customFormat="1">
      <c r="A55" s="157"/>
      <c r="B55" s="157"/>
      <c r="C55" s="87"/>
      <c r="D55" s="114"/>
      <c r="E55" s="115"/>
      <c r="F55" s="115"/>
      <c r="G55" s="313"/>
      <c r="H55" s="313"/>
      <c r="I55" s="313"/>
      <c r="J55" s="313" t="s">
        <v>11696</v>
      </c>
      <c r="K55" s="313" t="s">
        <v>11641</v>
      </c>
      <c r="L55" s="116"/>
      <c r="M55" s="53"/>
      <c r="N55" s="315">
        <f>SUM(M56:M84)</f>
        <v>5373.905925</v>
      </c>
      <c r="O55" s="33"/>
      <c r="P55" s="33"/>
      <c r="Q55" s="33"/>
      <c r="R55" s="33"/>
      <c r="S55" s="33"/>
    </row>
    <row r="56" spans="1:19" s="35" customFormat="1" ht="22.5">
      <c r="A56" s="157" t="s">
        <v>12542</v>
      </c>
      <c r="B56" s="157" t="s">
        <v>10852</v>
      </c>
      <c r="C56" s="158">
        <v>181</v>
      </c>
      <c r="D56" s="144" t="str">
        <f>PROPER(IF(B56="Saneago",VLOOKUP(C56,'SANEAGO-FEV.2016'!A:B,2,0),IF(B56="Sinapi",VLOOKUP(C56,'SINAPI-FEV.2017'!A:D,2,0),IF(B56="Cotação",VLOOKUP(C56,COTAÇÃO!A:D,2,0),IF(B56="Composição",VLOOKUP(C56,COMPOSIÇÃO!A:D,2,0))))))</f>
        <v>Escavação  Mecanizada  (Com Escavadeira Hidráulica)  Em Valas Com Material De 1ª Categoria - Profundidade Até 2,0 M</v>
      </c>
      <c r="E56" s="132"/>
      <c r="F56" s="132"/>
      <c r="G56" s="79"/>
      <c r="H56" s="79"/>
      <c r="I56" s="79"/>
      <c r="J56" s="72">
        <f>M15</f>
        <v>0.95</v>
      </c>
      <c r="K56" s="72">
        <f>M17</f>
        <v>0.9</v>
      </c>
      <c r="L56" s="79" t="s">
        <v>22</v>
      </c>
      <c r="M56" s="52">
        <f>K56*$M$48*J56</f>
        <v>2185.4313000000002</v>
      </c>
      <c r="N56" s="315">
        <f>SUM(M56,M62,M68,M74,M78,M82)</f>
        <v>2550.3479500000003</v>
      </c>
      <c r="O56" s="195">
        <f>M48-N56</f>
        <v>5.7120499999996355</v>
      </c>
      <c r="P56" s="33"/>
      <c r="Q56" s="33"/>
      <c r="R56" s="33"/>
      <c r="S56" s="33"/>
    </row>
    <row r="57" spans="1:19" s="35" customFormat="1">
      <c r="A57" s="157"/>
      <c r="B57" s="157"/>
      <c r="C57" s="158"/>
      <c r="D57" s="114"/>
      <c r="E57" s="115"/>
      <c r="F57" s="115"/>
      <c r="G57" s="313"/>
      <c r="H57" s="313"/>
      <c r="I57" s="313"/>
      <c r="J57" s="313" t="s">
        <v>11696</v>
      </c>
      <c r="K57" s="313" t="s">
        <v>11641</v>
      </c>
      <c r="L57" s="116"/>
      <c r="M57" s="53"/>
      <c r="N57" s="315"/>
      <c r="O57" s="33"/>
      <c r="P57" s="33"/>
      <c r="Q57" s="33"/>
      <c r="R57" s="33"/>
      <c r="S57" s="33"/>
    </row>
    <row r="58" spans="1:19" s="35" customFormat="1" ht="22.5">
      <c r="A58" s="157" t="s">
        <v>12543</v>
      </c>
      <c r="B58" s="157" t="s">
        <v>10852</v>
      </c>
      <c r="C58" s="158">
        <v>182</v>
      </c>
      <c r="D58" s="144" t="str">
        <f>PROPER(IF(B58="Saneago",VLOOKUP(C58,'SANEAGO-FEV.2016'!A:B,2,0),IF(B58="Sinapi",VLOOKUP(C58,'SINAPI-FEV.2017'!A:D,2,0),IF(B58="Cotação",VLOOKUP(C58,COTAÇÃO!A:D,2,0),IF(B58="Composição",VLOOKUP(C58,COMPOSIÇÃO!A:D,2,0))))))</f>
        <v>Escavação  Mecanizada  (Com Escavadeira Hidráulica)  Em Valas Com Material De 1ª Categoria - Profundidade De 2,0 A 4,0M</v>
      </c>
      <c r="E58" s="132"/>
      <c r="F58" s="132"/>
      <c r="G58" s="79"/>
      <c r="H58" s="79"/>
      <c r="I58" s="79"/>
      <c r="J58" s="72">
        <f>J56</f>
        <v>0.95</v>
      </c>
      <c r="K58" s="72">
        <f>K56</f>
        <v>0.9</v>
      </c>
      <c r="L58" s="79" t="s">
        <v>22</v>
      </c>
      <c r="M58" s="52">
        <f>K58*M$51*J58</f>
        <v>1960.8484499999997</v>
      </c>
      <c r="N58" s="315">
        <f>SUM(M58,M64,M70,M76,M80,M84)</f>
        <v>2289.6479749999999</v>
      </c>
      <c r="O58" s="195">
        <f>M50-N58</f>
        <v>3.7420250000000124</v>
      </c>
      <c r="P58" s="33"/>
      <c r="Q58" s="33"/>
      <c r="R58" s="33"/>
      <c r="S58" s="33"/>
    </row>
    <row r="59" spans="1:19" s="35" customFormat="1">
      <c r="A59" s="157"/>
      <c r="B59" s="157"/>
      <c r="C59" s="158"/>
      <c r="D59" s="114"/>
      <c r="E59" s="115"/>
      <c r="F59" s="115"/>
      <c r="G59" s="313"/>
      <c r="H59" s="313"/>
      <c r="I59" s="313"/>
      <c r="J59" s="313" t="s">
        <v>11696</v>
      </c>
      <c r="K59" s="313" t="s">
        <v>11641</v>
      </c>
      <c r="L59" s="116"/>
      <c r="M59" s="53"/>
      <c r="N59" s="315"/>
      <c r="O59" s="33"/>
      <c r="P59" s="33"/>
      <c r="Q59" s="33"/>
      <c r="R59" s="33"/>
      <c r="S59" s="33"/>
    </row>
    <row r="60" spans="1:19" s="35" customFormat="1" ht="22.5">
      <c r="A60" s="157" t="s">
        <v>12544</v>
      </c>
      <c r="B60" s="157" t="s">
        <v>10852</v>
      </c>
      <c r="C60" s="158">
        <v>183</v>
      </c>
      <c r="D60" s="144" t="str">
        <f>PROPER(IF(B60="Saneago",VLOOKUP(C60,'SANEAGO-FEV.2016'!A:B,2,0),IF(B60="Sinapi",VLOOKUP(C60,'SINAPI-FEV.2017'!A:D,2,0),IF(B60="Cotação",VLOOKUP(C60,COTAÇÃO!A:D,2,0),IF(B60="Composição",VLOOKUP(C60,COMPOSIÇÃO!A:D,2,0))))))</f>
        <v>Escavação  Mecanizada  (Com Escavadeira Hidráulica)  Em Valas Com Material De 1ª Categoria - Profundidade De 4,0 A 6,0M</v>
      </c>
      <c r="E60" s="132"/>
      <c r="F60" s="132"/>
      <c r="G60" s="79"/>
      <c r="H60" s="79"/>
      <c r="I60" s="79"/>
      <c r="J60" s="72">
        <v>1</v>
      </c>
      <c r="K60" s="72">
        <f>K58</f>
        <v>0.9</v>
      </c>
      <c r="L60" s="79" t="s">
        <v>22</v>
      </c>
      <c r="M60" s="52">
        <f>K60*M$54*J60</f>
        <v>480.51900000000001</v>
      </c>
      <c r="N60" s="315">
        <f>SUM(M60,M66,M72,)</f>
        <v>533.91</v>
      </c>
      <c r="O60" s="195"/>
      <c r="P60" s="33"/>
      <c r="Q60" s="33"/>
      <c r="R60" s="33"/>
      <c r="S60" s="33"/>
    </row>
    <row r="61" spans="1:19" s="35" customFormat="1">
      <c r="A61" s="157"/>
      <c r="B61" s="157"/>
      <c r="C61" s="158"/>
      <c r="D61" s="114"/>
      <c r="E61" s="115"/>
      <c r="F61" s="115"/>
      <c r="G61" s="313"/>
      <c r="H61" s="313"/>
      <c r="I61" s="313"/>
      <c r="J61" s="313" t="s">
        <v>11696</v>
      </c>
      <c r="K61" s="313" t="s">
        <v>11642</v>
      </c>
      <c r="L61" s="116"/>
      <c r="M61" s="53"/>
      <c r="N61" s="315"/>
      <c r="O61" s="33"/>
      <c r="P61" s="33"/>
      <c r="Q61" s="33"/>
      <c r="R61" s="33"/>
      <c r="S61" s="33"/>
    </row>
    <row r="62" spans="1:19" s="35" customFormat="1" ht="33.75">
      <c r="A62" s="157" t="s">
        <v>12545</v>
      </c>
      <c r="B62" s="157" t="s">
        <v>10852</v>
      </c>
      <c r="C62" s="158">
        <v>184</v>
      </c>
      <c r="D62" s="144" t="str">
        <f>PROPER(IF(B62="Saneago",VLOOKUP(C62,'SANEAGO-FEV.2016'!A:B,2,0),IF(B62="Sinapi",VLOOKUP(C62,'SINAPI-FEV.2017'!A:D,2,0),IF(B62="Cotação",VLOOKUP(C62,COTAÇÃO!A:D,2,0),IF(B62="Composição",VLOOKUP(C62,COMPOSIÇÃO!A:D,2,0))))))</f>
        <v>Escavação  Mecanizada  (Com Escavadeira Hidráulica)  Em Valas Com Material De 2ª Categoria
- Profundidade Até 2,0 M</v>
      </c>
      <c r="E62" s="132"/>
      <c r="F62" s="132"/>
      <c r="G62" s="79"/>
      <c r="H62" s="79"/>
      <c r="I62" s="79"/>
      <c r="J62" s="72">
        <f>J58</f>
        <v>0.95</v>
      </c>
      <c r="K62" s="72">
        <f>M18</f>
        <v>0.05</v>
      </c>
      <c r="L62" s="79" t="s">
        <v>22</v>
      </c>
      <c r="M62" s="52">
        <f>K62*$M$48*J62</f>
        <v>121.41284999999999</v>
      </c>
      <c r="N62" s="315"/>
      <c r="O62" s="33"/>
      <c r="P62" s="33"/>
      <c r="Q62" s="33"/>
      <c r="R62" s="33"/>
      <c r="S62" s="33"/>
    </row>
    <row r="63" spans="1:19" s="35" customFormat="1">
      <c r="A63" s="157"/>
      <c r="B63" s="157"/>
      <c r="C63" s="87"/>
      <c r="D63" s="114"/>
      <c r="E63" s="115"/>
      <c r="F63" s="115"/>
      <c r="G63" s="313"/>
      <c r="H63" s="313"/>
      <c r="I63" s="313"/>
      <c r="J63" s="313" t="s">
        <v>11696</v>
      </c>
      <c r="K63" s="313" t="s">
        <v>11642</v>
      </c>
      <c r="L63" s="116"/>
      <c r="M63" s="53"/>
      <c r="N63" s="313"/>
      <c r="O63" s="33"/>
      <c r="P63" s="33"/>
      <c r="Q63" s="33"/>
      <c r="R63" s="33"/>
      <c r="S63" s="33"/>
    </row>
    <row r="64" spans="1:19" s="35" customFormat="1" ht="33.75">
      <c r="A64" s="157" t="s">
        <v>12546</v>
      </c>
      <c r="B64" s="157" t="s">
        <v>10852</v>
      </c>
      <c r="C64" s="158">
        <v>185</v>
      </c>
      <c r="D64" s="144" t="str">
        <f>PROPER(IF(B64="Saneago",VLOOKUP(C64,'SANEAGO-FEV.2016'!A:B,2,0),IF(B64="Sinapi",VLOOKUP(C64,'SINAPI-FEV.2017'!A:D,2,0),IF(B64="Cotação",VLOOKUP(C64,COTAÇÃO!A:D,2,0),IF(B64="Composição",VLOOKUP(C64,COMPOSIÇÃO!A:D,2,0))))))</f>
        <v>Escavação  Mecanizada  (Com Escavadeira Hidráulica)  Em Valas Com Material De 2ª Categoria
- Profundidade De 2,0 A 4,0 M</v>
      </c>
      <c r="E64" s="132"/>
      <c r="F64" s="132"/>
      <c r="G64" s="79"/>
      <c r="H64" s="79"/>
      <c r="I64" s="79"/>
      <c r="J64" s="72">
        <f>J62</f>
        <v>0.95</v>
      </c>
      <c r="K64" s="72">
        <f>K62</f>
        <v>0.05</v>
      </c>
      <c r="L64" s="79" t="s">
        <v>22</v>
      </c>
      <c r="M64" s="52">
        <f>K64*M$51*J64</f>
        <v>108.936025</v>
      </c>
      <c r="N64" s="313"/>
      <c r="O64" s="33"/>
      <c r="P64" s="33"/>
      <c r="Q64" s="33"/>
      <c r="R64" s="33"/>
      <c r="S64" s="33"/>
    </row>
    <row r="65" spans="1:19" s="35" customFormat="1">
      <c r="A65" s="157"/>
      <c r="B65" s="157"/>
      <c r="C65" s="158"/>
      <c r="D65" s="114"/>
      <c r="E65" s="115"/>
      <c r="F65" s="115"/>
      <c r="G65" s="313"/>
      <c r="H65" s="313"/>
      <c r="I65" s="313"/>
      <c r="J65" s="313" t="s">
        <v>11696</v>
      </c>
      <c r="K65" s="313" t="s">
        <v>11642</v>
      </c>
      <c r="L65" s="116"/>
      <c r="M65" s="53"/>
      <c r="N65" s="313"/>
      <c r="O65" s="33"/>
      <c r="P65" s="33"/>
      <c r="Q65" s="33"/>
      <c r="R65" s="33"/>
      <c r="S65" s="33"/>
    </row>
    <row r="66" spans="1:19" s="35" customFormat="1" ht="33.75">
      <c r="A66" s="157" t="s">
        <v>12547</v>
      </c>
      <c r="B66" s="157" t="s">
        <v>10852</v>
      </c>
      <c r="C66" s="158">
        <v>186</v>
      </c>
      <c r="D66" s="144" t="str">
        <f>PROPER(IF(B66="Saneago",VLOOKUP(C66,'SANEAGO-FEV.2016'!A:B,2,0),IF(B66="Sinapi",VLOOKUP(C66,'SINAPI-FEV.2017'!A:D,2,0),IF(B66="Cotação",VLOOKUP(C66,COTAÇÃO!A:D,2,0),IF(B66="Composição",VLOOKUP(C66,COMPOSIÇÃO!A:D,2,0))))))</f>
        <v>Escavação  Mecanizada  (Com Escavadeira Hidráulica)  Em Valas Com Material De 2ª Categoria
- Profundidade De 4,0 A 6,0 M</v>
      </c>
      <c r="E66" s="132"/>
      <c r="F66" s="132"/>
      <c r="G66" s="79"/>
      <c r="H66" s="79"/>
      <c r="I66" s="79"/>
      <c r="J66" s="72">
        <v>1</v>
      </c>
      <c r="K66" s="72">
        <f>K64</f>
        <v>0.05</v>
      </c>
      <c r="L66" s="79" t="s">
        <v>22</v>
      </c>
      <c r="M66" s="52">
        <f>K66*M$54*J66</f>
        <v>26.695499999999999</v>
      </c>
      <c r="N66" s="313"/>
      <c r="O66" s="33"/>
      <c r="P66" s="33"/>
      <c r="Q66" s="33"/>
      <c r="R66" s="33"/>
      <c r="S66" s="33"/>
    </row>
    <row r="67" spans="1:19" s="35" customFormat="1">
      <c r="A67" s="157"/>
      <c r="B67" s="157"/>
      <c r="C67" s="87"/>
      <c r="D67" s="114"/>
      <c r="E67" s="115"/>
      <c r="F67" s="115"/>
      <c r="G67" s="313"/>
      <c r="H67" s="313"/>
      <c r="I67" s="313"/>
      <c r="J67" s="313" t="s">
        <v>11696</v>
      </c>
      <c r="K67" s="313" t="s">
        <v>11677</v>
      </c>
      <c r="L67" s="116"/>
      <c r="M67" s="53"/>
      <c r="N67" s="313"/>
      <c r="O67" s="33"/>
      <c r="P67" s="33"/>
      <c r="Q67" s="33"/>
      <c r="R67" s="33"/>
      <c r="S67" s="33"/>
    </row>
    <row r="68" spans="1:19" s="35" customFormat="1" ht="22.5">
      <c r="A68" s="157" t="s">
        <v>12576</v>
      </c>
      <c r="B68" s="157" t="s">
        <v>10852</v>
      </c>
      <c r="C68" s="158">
        <v>187</v>
      </c>
      <c r="D68" s="144" t="str">
        <f>PROPER(IF(B68="Saneago",VLOOKUP(C68,'SANEAGO-FEV.2016'!A:B,2,0),IF(B68="Sinapi",VLOOKUP(C68,'SINAPI-FEV.2017'!A:D,2,0),IF(B68="Cotação",VLOOKUP(C68,COTAÇÃO!A:D,2,0),IF(B68="Composição",VLOOKUP(C68,COMPOSIÇÃO!A:D,2,0))))))</f>
        <v>Escavação  Mecanizada  (Com Escavadeira Hidráulica)  Em Valas Com Material  De Solo Mole - Profundidade Até 2,0 M</v>
      </c>
      <c r="E68" s="132"/>
      <c r="F68" s="132"/>
      <c r="G68" s="79"/>
      <c r="H68" s="79"/>
      <c r="I68" s="79"/>
      <c r="J68" s="72">
        <f>J64</f>
        <v>0.95</v>
      </c>
      <c r="K68" s="72">
        <f>M20</f>
        <v>0.05</v>
      </c>
      <c r="L68" s="79" t="s">
        <v>22</v>
      </c>
      <c r="M68" s="52">
        <f>K68*$M$48*J68</f>
        <v>121.41284999999999</v>
      </c>
      <c r="N68" s="313"/>
      <c r="O68" s="33"/>
      <c r="P68" s="33"/>
      <c r="Q68" s="33"/>
      <c r="R68" s="33"/>
      <c r="S68" s="33"/>
    </row>
    <row r="69" spans="1:19" s="35" customFormat="1">
      <c r="A69" s="157"/>
      <c r="B69" s="157"/>
      <c r="C69" s="87"/>
      <c r="D69" s="114"/>
      <c r="E69" s="115"/>
      <c r="F69" s="115"/>
      <c r="G69" s="313"/>
      <c r="H69" s="313"/>
      <c r="I69" s="313"/>
      <c r="J69" s="313" t="s">
        <v>11696</v>
      </c>
      <c r="K69" s="313" t="s">
        <v>11677</v>
      </c>
      <c r="L69" s="116"/>
      <c r="M69" s="53"/>
      <c r="N69" s="313"/>
      <c r="O69" s="33"/>
      <c r="P69" s="33"/>
      <c r="Q69" s="33"/>
      <c r="R69" s="33"/>
      <c r="S69" s="33"/>
    </row>
    <row r="70" spans="1:19" s="35" customFormat="1" ht="22.5">
      <c r="A70" s="157" t="s">
        <v>12577</v>
      </c>
      <c r="B70" s="157" t="s">
        <v>10852</v>
      </c>
      <c r="C70" s="158">
        <v>188</v>
      </c>
      <c r="D70" s="144" t="str">
        <f>PROPER(IF(B70="Saneago",VLOOKUP(C70,'SANEAGO-FEV.2016'!A:B,2,0),IF(B70="Sinapi",VLOOKUP(C70,'SINAPI-FEV.2017'!A:D,2,0),IF(B70="Cotação",VLOOKUP(C70,COTAÇÃO!A:D,2,0),IF(B70="Composição",VLOOKUP(C70,COMPOSIÇÃO!A:D,2,0))))))</f>
        <v>Escavação  Mecanizada  (Com Escavadeira Hidráulica)  Em Valas Com Material  De Solo Mole - Profundidade De 2,0 A 4,0 M</v>
      </c>
      <c r="E70" s="132"/>
      <c r="F70" s="132"/>
      <c r="G70" s="79"/>
      <c r="H70" s="79"/>
      <c r="I70" s="79"/>
      <c r="J70" s="72">
        <f>J68</f>
        <v>0.95</v>
      </c>
      <c r="K70" s="72">
        <f>K68</f>
        <v>0.05</v>
      </c>
      <c r="L70" s="79" t="s">
        <v>22</v>
      </c>
      <c r="M70" s="52">
        <f>K70*M$51*J70</f>
        <v>108.936025</v>
      </c>
      <c r="N70" s="313"/>
      <c r="O70" s="33"/>
      <c r="P70" s="33"/>
      <c r="Q70" s="33"/>
      <c r="R70" s="33"/>
      <c r="S70" s="33"/>
    </row>
    <row r="71" spans="1:19" s="35" customFormat="1">
      <c r="A71" s="157"/>
      <c r="B71" s="157"/>
      <c r="C71" s="87"/>
      <c r="D71" s="114"/>
      <c r="E71" s="115"/>
      <c r="F71" s="115"/>
      <c r="G71" s="313"/>
      <c r="H71" s="313"/>
      <c r="I71" s="313"/>
      <c r="J71" s="313" t="s">
        <v>11696</v>
      </c>
      <c r="K71" s="313" t="s">
        <v>11677</v>
      </c>
      <c r="L71" s="116"/>
      <c r="M71" s="53"/>
      <c r="N71" s="313"/>
      <c r="O71" s="33"/>
      <c r="P71" s="33"/>
      <c r="Q71" s="33"/>
      <c r="R71" s="33"/>
      <c r="S71" s="33"/>
    </row>
    <row r="72" spans="1:19" s="35" customFormat="1" ht="22.5">
      <c r="A72" s="157" t="s">
        <v>12578</v>
      </c>
      <c r="B72" s="157" t="s">
        <v>10852</v>
      </c>
      <c r="C72" s="158">
        <v>189</v>
      </c>
      <c r="D72" s="144" t="str">
        <f>PROPER(IF(B72="Saneago",VLOOKUP(C72,'SANEAGO-FEV.2016'!A:B,2,0),IF(B72="Sinapi",VLOOKUP(C72,'SINAPI-FEV.2017'!A:D,2,0),IF(B72="Cotação",VLOOKUP(C72,COTAÇÃO!A:D,2,0),IF(B72="Composição",VLOOKUP(C72,COMPOSIÇÃO!A:D,2,0))))))</f>
        <v>Escavação  Mecanizada  (Com Escavadeira Hidráulica)  Em Valas Com Material  De Solo Mole - Profundidade De 4,0 A 6,0 M</v>
      </c>
      <c r="E72" s="132"/>
      <c r="F72" s="132"/>
      <c r="G72" s="79"/>
      <c r="H72" s="79"/>
      <c r="I72" s="79"/>
      <c r="J72" s="72">
        <v>1</v>
      </c>
      <c r="K72" s="72">
        <f>K70</f>
        <v>0.05</v>
      </c>
      <c r="L72" s="79" t="s">
        <v>22</v>
      </c>
      <c r="M72" s="52">
        <f>K72*M$54*J72</f>
        <v>26.695499999999999</v>
      </c>
      <c r="N72" s="313"/>
      <c r="O72" s="33"/>
      <c r="P72" s="33"/>
      <c r="Q72" s="33"/>
      <c r="R72" s="33"/>
      <c r="S72" s="33"/>
    </row>
    <row r="73" spans="1:19" s="35" customFormat="1">
      <c r="A73" s="157"/>
      <c r="B73" s="157"/>
      <c r="C73" s="87"/>
      <c r="D73" s="114"/>
      <c r="E73" s="115"/>
      <c r="F73" s="115"/>
      <c r="G73" s="313"/>
      <c r="H73" s="313"/>
      <c r="I73" s="313"/>
      <c r="J73" s="313" t="s">
        <v>11737</v>
      </c>
      <c r="K73" s="313" t="s">
        <v>11641</v>
      </c>
      <c r="L73" s="116"/>
      <c r="M73" s="53"/>
      <c r="N73" s="313"/>
      <c r="O73" s="33"/>
      <c r="P73" s="33"/>
      <c r="Q73" s="33"/>
      <c r="R73" s="33"/>
      <c r="S73" s="33"/>
    </row>
    <row r="74" spans="1:19" s="35" customFormat="1">
      <c r="A74" s="157" t="s">
        <v>12548</v>
      </c>
      <c r="B74" s="157" t="s">
        <v>10852</v>
      </c>
      <c r="C74" s="158">
        <v>168</v>
      </c>
      <c r="D74" s="144" t="str">
        <f>PROPER(IF(B74="Saneago",VLOOKUP(C74,'SANEAGO-FEV.2016'!A:B,2,0),IF(B74="Sinapi",VLOOKUP(C74,'SINAPI-FEV.2017'!A:D,2,0),IF(B74="Cotação",VLOOKUP(C74,COTAÇÃO!A:D,2,0),IF(B74="Composição",VLOOKUP(C74,COMPOSIÇÃO!A:D,2,0))))))</f>
        <v>Escavação  Manual Em Valas Com Material De 1ª Categoria  - Profundidade Até 2,0M</v>
      </c>
      <c r="E74" s="132"/>
      <c r="F74" s="132"/>
      <c r="G74" s="79"/>
      <c r="H74" s="79"/>
      <c r="I74" s="79"/>
      <c r="J74" s="72">
        <f>M16</f>
        <v>0.05</v>
      </c>
      <c r="K74" s="72">
        <f>K56</f>
        <v>0.9</v>
      </c>
      <c r="L74" s="79" t="s">
        <v>22</v>
      </c>
      <c r="M74" s="52">
        <f>K74*$M$48*J74</f>
        <v>115.02270000000001</v>
      </c>
      <c r="N74" s="313"/>
      <c r="O74" s="33"/>
      <c r="P74" s="33"/>
      <c r="Q74" s="33"/>
      <c r="R74" s="33"/>
      <c r="S74" s="33"/>
    </row>
    <row r="75" spans="1:19" s="35" customFormat="1">
      <c r="A75" s="157"/>
      <c r="B75" s="157"/>
      <c r="C75" s="158"/>
      <c r="D75" s="114"/>
      <c r="E75" s="115"/>
      <c r="F75" s="115"/>
      <c r="G75" s="313"/>
      <c r="H75" s="313"/>
      <c r="I75" s="313"/>
      <c r="J75" s="313" t="s">
        <v>11737</v>
      </c>
      <c r="K75" s="313" t="s">
        <v>11641</v>
      </c>
      <c r="L75" s="116"/>
      <c r="M75" s="53"/>
      <c r="N75" s="313"/>
      <c r="O75" s="33"/>
      <c r="P75" s="33"/>
      <c r="Q75" s="33"/>
      <c r="R75" s="33"/>
      <c r="S75" s="33"/>
    </row>
    <row r="76" spans="1:19" s="35" customFormat="1" ht="22.5">
      <c r="A76" s="157" t="s">
        <v>12549</v>
      </c>
      <c r="B76" s="157" t="s">
        <v>10852</v>
      </c>
      <c r="C76" s="158">
        <v>169</v>
      </c>
      <c r="D76" s="144" t="str">
        <f>PROPER(IF(B76="Saneago",VLOOKUP(C76,'SANEAGO-FEV.2016'!A:B,2,0),IF(B76="Sinapi",VLOOKUP(C76,'SINAPI-FEV.2017'!A:D,2,0),IF(B76="Cotação",VLOOKUP(C76,COTAÇÃO!A:D,2,0),IF(B76="Composição",VLOOKUP(C76,COMPOSIÇÃO!A:D,2,0))))))</f>
        <v>Escavação  Manual Em Valas Com Material De 1ª Categoria  - Profundidade De 2,0 A 4,0 M</v>
      </c>
      <c r="E76" s="132"/>
      <c r="F76" s="132"/>
      <c r="G76" s="79"/>
      <c r="H76" s="79"/>
      <c r="I76" s="79"/>
      <c r="J76" s="72">
        <f>J74</f>
        <v>0.05</v>
      </c>
      <c r="K76" s="72">
        <f>K58</f>
        <v>0.9</v>
      </c>
      <c r="L76" s="79" t="s">
        <v>22</v>
      </c>
      <c r="M76" s="52">
        <f>K76*M$51*J76</f>
        <v>103.20255</v>
      </c>
      <c r="N76" s="313"/>
      <c r="O76" s="33"/>
      <c r="P76" s="33"/>
      <c r="Q76" s="33"/>
      <c r="R76" s="33"/>
      <c r="S76" s="33"/>
    </row>
    <row r="77" spans="1:19" s="35" customFormat="1">
      <c r="A77" s="157"/>
      <c r="B77" s="157"/>
      <c r="C77" s="158"/>
      <c r="D77" s="114"/>
      <c r="E77" s="115"/>
      <c r="F77" s="115"/>
      <c r="G77" s="313"/>
      <c r="H77" s="313"/>
      <c r="I77" s="313"/>
      <c r="J77" s="313" t="s">
        <v>11737</v>
      </c>
      <c r="K77" s="313" t="s">
        <v>11642</v>
      </c>
      <c r="L77" s="116"/>
      <c r="M77" s="53"/>
      <c r="N77" s="313"/>
      <c r="O77" s="33"/>
      <c r="P77" s="33"/>
      <c r="Q77" s="33"/>
      <c r="R77" s="33"/>
      <c r="S77" s="33"/>
    </row>
    <row r="78" spans="1:19" s="35" customFormat="1">
      <c r="A78" s="157" t="s">
        <v>12550</v>
      </c>
      <c r="B78" s="157" t="s">
        <v>10852</v>
      </c>
      <c r="C78" s="158">
        <v>170</v>
      </c>
      <c r="D78" s="144" t="str">
        <f>PROPER(IF(B78="Saneago",VLOOKUP(C78,'SANEAGO-FEV.2016'!A:B,2,0),IF(B78="Sinapi",VLOOKUP(C78,'SINAPI-FEV.2017'!A:D,2,0),IF(B78="Cotação",VLOOKUP(C78,COTAÇÃO!A:D,2,0),IF(B78="Composição",VLOOKUP(C78,COMPOSIÇÃO!A:D,2,0))))))</f>
        <v>Escavação  Manual Em Valas Com Material De 2ª Categoria  - Profundidade Até 2,0 M</v>
      </c>
      <c r="E78" s="132"/>
      <c r="F78" s="132"/>
      <c r="G78" s="79"/>
      <c r="H78" s="79"/>
      <c r="I78" s="79"/>
      <c r="J78" s="72">
        <f>J76</f>
        <v>0.05</v>
      </c>
      <c r="K78" s="72">
        <f>K62</f>
        <v>0.05</v>
      </c>
      <c r="L78" s="79" t="s">
        <v>22</v>
      </c>
      <c r="M78" s="52">
        <f>K78*M$54*J78</f>
        <v>1.334775</v>
      </c>
      <c r="N78" s="313"/>
      <c r="O78" s="33"/>
      <c r="P78" s="33"/>
      <c r="Q78" s="33"/>
      <c r="R78" s="33"/>
      <c r="S78" s="33"/>
    </row>
    <row r="79" spans="1:19" s="35" customFormat="1">
      <c r="A79" s="157"/>
      <c r="B79" s="157"/>
      <c r="C79" s="87"/>
      <c r="D79" s="114"/>
      <c r="E79" s="115"/>
      <c r="F79" s="115"/>
      <c r="G79" s="313"/>
      <c r="H79" s="313"/>
      <c r="I79" s="313"/>
      <c r="J79" s="313" t="s">
        <v>11737</v>
      </c>
      <c r="K79" s="313" t="s">
        <v>11642</v>
      </c>
      <c r="L79" s="116"/>
      <c r="M79" s="53"/>
      <c r="N79" s="313"/>
      <c r="O79" s="33"/>
      <c r="P79" s="33"/>
      <c r="Q79" s="33"/>
      <c r="R79" s="33"/>
      <c r="S79" s="33"/>
    </row>
    <row r="80" spans="1:19" s="35" customFormat="1" ht="22.5">
      <c r="A80" s="157" t="s">
        <v>12551</v>
      </c>
      <c r="B80" s="157" t="s">
        <v>10852</v>
      </c>
      <c r="C80" s="158">
        <v>171</v>
      </c>
      <c r="D80" s="144" t="str">
        <f>PROPER(IF(B80="Saneago",VLOOKUP(C80,'SANEAGO-FEV.2016'!A:B,2,0),IF(B80="Sinapi",VLOOKUP(C80,'SINAPI-FEV.2017'!A:D,2,0),IF(B80="Cotação",VLOOKUP(C80,COTAÇÃO!A:D,2,0),IF(B80="Composição",VLOOKUP(C80,COMPOSIÇÃO!A:D,2,0))))))</f>
        <v>Escavação  Manual Em Valas Com Material De 2ª Categoria  - Profundidade De 2,0 A 4,0 M</v>
      </c>
      <c r="E80" s="132"/>
      <c r="F80" s="132"/>
      <c r="G80" s="79"/>
      <c r="H80" s="79"/>
      <c r="I80" s="79"/>
      <c r="J80" s="72">
        <f>J78</f>
        <v>0.05</v>
      </c>
      <c r="K80" s="72">
        <f>K64</f>
        <v>0.05</v>
      </c>
      <c r="L80" s="79" t="s">
        <v>22</v>
      </c>
      <c r="M80" s="52">
        <f>K80*$M$48*J80</f>
        <v>6.3901500000000002</v>
      </c>
      <c r="N80" s="313"/>
      <c r="O80" s="33"/>
      <c r="P80" s="33"/>
      <c r="Q80" s="33"/>
      <c r="R80" s="33"/>
      <c r="S80" s="33"/>
    </row>
    <row r="81" spans="1:19" s="35" customFormat="1">
      <c r="A81" s="157"/>
      <c r="B81" s="157"/>
      <c r="C81" s="87"/>
      <c r="D81" s="114"/>
      <c r="E81" s="115"/>
      <c r="F81" s="115"/>
      <c r="G81" s="313"/>
      <c r="H81" s="313"/>
      <c r="I81" s="313"/>
      <c r="J81" s="313" t="s">
        <v>11737</v>
      </c>
      <c r="K81" s="313" t="s">
        <v>11677</v>
      </c>
      <c r="L81" s="116"/>
      <c r="M81" s="53"/>
      <c r="N81" s="313"/>
      <c r="O81" s="33"/>
      <c r="P81" s="33"/>
      <c r="Q81" s="33"/>
      <c r="R81" s="33"/>
      <c r="S81" s="33"/>
    </row>
    <row r="82" spans="1:19" s="35" customFormat="1" ht="22.5">
      <c r="A82" s="157" t="s">
        <v>12552</v>
      </c>
      <c r="B82" s="157" t="s">
        <v>10852</v>
      </c>
      <c r="C82" s="158">
        <v>172</v>
      </c>
      <c r="D82" s="144" t="str">
        <f>PROPER(IF(B82="Saneago",VLOOKUP(C82,'SANEAGO-FEV.2016'!A:B,2,0),IF(B82="Sinapi",VLOOKUP(C82,'SINAPI-FEV.2017'!A:D,2,0),IF(B82="Cotação",VLOOKUP(C82,COTAÇÃO!A:D,2,0),IF(B82="Composição",VLOOKUP(C82,COMPOSIÇÃO!A:D,2,0))))))</f>
        <v>Escavação   Manual   Em  Valas  Com  Material   De  3ª  Categoria   Sem  Uso  De  Explosivo   Com Utilização  De Compressor E Rompedor  -  Profundidade Até 2,0M</v>
      </c>
      <c r="E82" s="132"/>
      <c r="F82" s="132"/>
      <c r="G82" s="79"/>
      <c r="H82" s="79"/>
      <c r="I82" s="79"/>
      <c r="J82" s="72">
        <f>J80</f>
        <v>0.05</v>
      </c>
      <c r="K82" s="72">
        <f>K68</f>
        <v>0.05</v>
      </c>
      <c r="L82" s="79" t="s">
        <v>22</v>
      </c>
      <c r="M82" s="52">
        <f>K82*M$51*J82</f>
        <v>5.7334750000000003</v>
      </c>
      <c r="N82" s="313"/>
      <c r="O82" s="33"/>
      <c r="P82" s="33"/>
      <c r="Q82" s="33"/>
      <c r="R82" s="33"/>
      <c r="S82" s="33"/>
    </row>
    <row r="83" spans="1:19" s="35" customFormat="1">
      <c r="A83" s="157"/>
      <c r="B83" s="157"/>
      <c r="C83" s="87"/>
      <c r="D83" s="114"/>
      <c r="E83" s="115"/>
      <c r="F83" s="115"/>
      <c r="G83" s="313"/>
      <c r="H83" s="313"/>
      <c r="I83" s="313"/>
      <c r="J83" s="313" t="s">
        <v>11696</v>
      </c>
      <c r="K83" s="313" t="s">
        <v>11677</v>
      </c>
      <c r="L83" s="116"/>
      <c r="M83" s="53"/>
      <c r="N83" s="313"/>
      <c r="O83" s="33"/>
      <c r="P83" s="33"/>
      <c r="Q83" s="33"/>
      <c r="R83" s="33"/>
      <c r="S83" s="33"/>
    </row>
    <row r="84" spans="1:19" s="35" customFormat="1" ht="22.5">
      <c r="A84" s="157" t="s">
        <v>12553</v>
      </c>
      <c r="B84" s="157" t="s">
        <v>10852</v>
      </c>
      <c r="C84" s="158">
        <v>173</v>
      </c>
      <c r="D84" s="144" t="str">
        <f>PROPER(IF(B84="Saneago",VLOOKUP(C84,'SANEAGO-FEV.2016'!A:B,2,0),IF(B84="Sinapi",VLOOKUP(C84,'SINAPI-FEV.2017'!A:D,2,0),IF(B84="Cotação",VLOOKUP(C84,COTAÇÃO!A:D,2,0),IF(B84="Composição",VLOOKUP(C84,COMPOSIÇÃO!A:D,2,0))))))</f>
        <v>Escavação   Manual   Em  Valas  Com  Material   De  3ª  Categoria   Sem  Uso  De  Explosivo   Com Utilização  De Compressor E Rompedor   - Profundidade De 2,0 A 4,0M</v>
      </c>
      <c r="E84" s="132"/>
      <c r="F84" s="132"/>
      <c r="G84" s="79"/>
      <c r="H84" s="79"/>
      <c r="I84" s="79"/>
      <c r="J84" s="72">
        <f>J82</f>
        <v>0.05</v>
      </c>
      <c r="K84" s="72">
        <f>K70</f>
        <v>0.05</v>
      </c>
      <c r="L84" s="79" t="s">
        <v>22</v>
      </c>
      <c r="M84" s="52">
        <f>K84*M$54*J84</f>
        <v>1.334775</v>
      </c>
      <c r="N84" s="313"/>
      <c r="O84" s="33"/>
      <c r="P84" s="33"/>
      <c r="Q84" s="33"/>
      <c r="R84" s="33"/>
      <c r="S84" s="33"/>
    </row>
    <row r="85" spans="1:19" s="35" customFormat="1">
      <c r="A85" s="157"/>
      <c r="B85" s="157"/>
      <c r="C85" s="87"/>
      <c r="D85" s="114"/>
      <c r="E85" s="116" t="s">
        <v>30</v>
      </c>
      <c r="F85" s="116" t="s">
        <v>30</v>
      </c>
      <c r="G85" s="313" t="s">
        <v>30</v>
      </c>
      <c r="H85" s="313" t="s">
        <v>30</v>
      </c>
      <c r="I85" s="313" t="s">
        <v>30</v>
      </c>
      <c r="J85" s="313" t="s">
        <v>30</v>
      </c>
      <c r="K85" s="313" t="s">
        <v>30</v>
      </c>
      <c r="L85" s="116" t="s">
        <v>30</v>
      </c>
      <c r="M85" s="53" t="s">
        <v>30</v>
      </c>
      <c r="N85" s="313"/>
      <c r="O85" s="33"/>
      <c r="P85" s="33"/>
      <c r="Q85" s="33"/>
      <c r="R85" s="33"/>
      <c r="S85" s="33"/>
    </row>
    <row r="86" spans="1:19" s="35" customFormat="1">
      <c r="A86" s="157" t="s">
        <v>12554</v>
      </c>
      <c r="B86" s="157" t="s">
        <v>11644</v>
      </c>
      <c r="C86" s="87" t="s">
        <v>349</v>
      </c>
      <c r="D86" s="144" t="e">
        <f>PROPER(IF(B86="Saneago",VLOOKUP(C86,'SANEAGO-FEV.2016'!A:B,2,0),IF(B86="Sinapi",VLOOKUP(C86,'SINAPI-FEV.2017'!A:D,2,0),IF(B86="Cotação",VLOOKUP(C86,COTAÇÃO!A:D,2,0),IF(B86="Composição",VLOOKUP(C86,COMPOSIÇÃO!A:D,2,0))))))</f>
        <v>#N/A</v>
      </c>
      <c r="E86" s="79"/>
      <c r="F86" s="79"/>
      <c r="G86" s="79"/>
      <c r="H86" s="79"/>
      <c r="I86" s="79"/>
      <c r="J86" s="72"/>
      <c r="K86" s="72"/>
      <c r="L86" s="79" t="s">
        <v>57</v>
      </c>
      <c r="M86" s="52">
        <f>(J86*K86)</f>
        <v>0</v>
      </c>
      <c r="N86" s="313"/>
      <c r="O86" s="33"/>
      <c r="P86" s="33"/>
      <c r="Q86" s="33"/>
      <c r="R86" s="33"/>
      <c r="S86" s="33"/>
    </row>
    <row r="87" spans="1:19" s="35" customFormat="1">
      <c r="A87" s="157"/>
      <c r="B87" s="157"/>
      <c r="C87" s="87"/>
      <c r="D87" s="327"/>
      <c r="E87" s="313" t="s">
        <v>30</v>
      </c>
      <c r="F87" s="313" t="s">
        <v>30</v>
      </c>
      <c r="G87" s="313" t="s">
        <v>30</v>
      </c>
      <c r="H87" s="313" t="s">
        <v>30</v>
      </c>
      <c r="I87" s="313" t="s">
        <v>1275</v>
      </c>
      <c r="J87" s="315" t="s">
        <v>17</v>
      </c>
      <c r="K87" s="315" t="s">
        <v>19</v>
      </c>
      <c r="L87" s="313" t="s">
        <v>30</v>
      </c>
      <c r="M87" s="313" t="s">
        <v>30</v>
      </c>
      <c r="N87" s="313"/>
      <c r="O87" s="33"/>
      <c r="P87" s="33"/>
      <c r="Q87" s="33"/>
      <c r="R87" s="33"/>
      <c r="S87" s="33"/>
    </row>
    <row r="88" spans="1:19" s="35" customFormat="1">
      <c r="A88" s="157"/>
      <c r="B88" s="157"/>
      <c r="C88" s="87"/>
      <c r="D88" s="125"/>
      <c r="E88" s="38"/>
      <c r="F88" s="105"/>
      <c r="G88" s="1733" t="s">
        <v>12573</v>
      </c>
      <c r="H88" s="1733"/>
      <c r="I88" s="196">
        <f>I34</f>
        <v>1</v>
      </c>
      <c r="J88" s="196">
        <f>J34</f>
        <v>27.05</v>
      </c>
      <c r="K88" s="196">
        <f>K34</f>
        <v>17.7</v>
      </c>
      <c r="L88" s="315" t="s">
        <v>21</v>
      </c>
      <c r="M88" s="55">
        <f>(J88*K88*I88)</f>
        <v>478.78499999999997</v>
      </c>
      <c r="N88" s="313"/>
      <c r="O88" s="33"/>
      <c r="P88" s="33"/>
      <c r="Q88" s="33"/>
      <c r="R88" s="33"/>
      <c r="S88" s="33"/>
    </row>
    <row r="89" spans="1:19" s="35" customFormat="1">
      <c r="A89" s="157"/>
      <c r="B89" s="157"/>
      <c r="C89" s="87"/>
      <c r="D89" s="327"/>
      <c r="E89" s="105"/>
      <c r="F89" s="105"/>
      <c r="G89" s="326"/>
      <c r="H89" s="310"/>
      <c r="I89" s="313"/>
      <c r="J89" s="315"/>
      <c r="K89" s="315"/>
      <c r="L89" s="315"/>
      <c r="M89" s="55"/>
      <c r="N89" s="313"/>
      <c r="O89" s="33"/>
      <c r="P89" s="33"/>
      <c r="Q89" s="33"/>
      <c r="R89" s="33"/>
      <c r="S89" s="33"/>
    </row>
    <row r="90" spans="1:19" s="35" customFormat="1">
      <c r="A90" s="157" t="s">
        <v>12555</v>
      </c>
      <c r="B90" s="157" t="s">
        <v>10852</v>
      </c>
      <c r="C90" s="87">
        <v>207</v>
      </c>
      <c r="D90" s="112" t="str">
        <f>PROPER(IF(B90="Saneago",VLOOKUP(C90,'SANEAGO-FEV.2016'!A:B,2,0),IF(B90="Sinapi",VLOOKUP(C90,'SINAPI-FEV.2017'!A:D,2,0),IF(B90="Cotação",VLOOKUP(C90,COTAÇÃO!A:D,2,0),IF(B90="Composição",VLOOKUP(C90,COMPOSIÇÃO!A:D,2,0))))))</f>
        <v>Acerto De Fundo De Vala Sem Compactação</v>
      </c>
      <c r="E90" s="317"/>
      <c r="F90" s="317"/>
      <c r="G90" s="74"/>
      <c r="H90" s="79"/>
      <c r="I90" s="79"/>
      <c r="J90" s="74"/>
      <c r="K90" s="73" t="s">
        <v>27</v>
      </c>
      <c r="L90" s="73" t="s">
        <v>21</v>
      </c>
      <c r="M90" s="81">
        <f>SUM(M88:M88)</f>
        <v>478.78499999999997</v>
      </c>
      <c r="N90" s="313"/>
      <c r="O90" s="33"/>
      <c r="P90" s="33"/>
      <c r="Q90" s="33"/>
      <c r="R90" s="33"/>
      <c r="S90" s="33"/>
    </row>
    <row r="91" spans="1:19" s="35" customFormat="1" ht="35.25" customHeight="1">
      <c r="A91" s="157"/>
      <c r="B91" s="157"/>
      <c r="C91" s="87"/>
      <c r="D91" s="327"/>
      <c r="E91" s="313" t="s">
        <v>30</v>
      </c>
      <c r="F91" s="313" t="s">
        <v>30</v>
      </c>
      <c r="G91" s="313" t="s">
        <v>30</v>
      </c>
      <c r="H91" s="313" t="s">
        <v>30</v>
      </c>
      <c r="I91" s="313" t="s">
        <v>30</v>
      </c>
      <c r="J91" s="315" t="s">
        <v>12579</v>
      </c>
      <c r="K91" s="315" t="s">
        <v>12580</v>
      </c>
      <c r="L91" s="315" t="s">
        <v>30</v>
      </c>
      <c r="M91" s="322" t="s">
        <v>30</v>
      </c>
      <c r="N91" s="313"/>
      <c r="O91" s="33"/>
      <c r="P91" s="33"/>
      <c r="Q91" s="33"/>
      <c r="R91" s="33"/>
      <c r="S91" s="33"/>
    </row>
    <row r="92" spans="1:19" s="35" customFormat="1">
      <c r="A92" s="157"/>
      <c r="B92" s="157"/>
      <c r="C92" s="87"/>
      <c r="D92" s="327"/>
      <c r="E92" s="105"/>
      <c r="F92" s="105"/>
      <c r="G92" s="1731"/>
      <c r="H92" s="1731"/>
      <c r="I92" s="120"/>
      <c r="J92" s="120">
        <f>0.6*M45</f>
        <v>3228.4199999999996</v>
      </c>
      <c r="K92" s="120">
        <f>M45*0.4</f>
        <v>2152.2800000000002</v>
      </c>
      <c r="L92" s="315" t="s">
        <v>22</v>
      </c>
      <c r="M92" s="55">
        <f>SUM(J92:K92)</f>
        <v>5380.7</v>
      </c>
      <c r="N92" s="313"/>
      <c r="O92" s="33"/>
      <c r="P92" s="33"/>
      <c r="Q92" s="33"/>
      <c r="R92" s="33"/>
      <c r="S92" s="33"/>
    </row>
    <row r="93" spans="1:19" s="35" customFormat="1">
      <c r="A93" s="157"/>
      <c r="B93" s="157"/>
      <c r="C93" s="87"/>
      <c r="D93" s="125"/>
      <c r="E93" s="38"/>
      <c r="F93" s="38"/>
      <c r="G93" s="310"/>
      <c r="H93" s="310"/>
      <c r="I93" s="120"/>
      <c r="J93" s="120"/>
      <c r="K93" s="315"/>
      <c r="L93" s="315"/>
      <c r="M93" s="55"/>
      <c r="N93" s="313"/>
      <c r="O93" s="33"/>
      <c r="P93" s="33"/>
      <c r="Q93" s="33"/>
      <c r="R93" s="33"/>
      <c r="S93" s="33"/>
    </row>
    <row r="94" spans="1:19" s="35" customFormat="1">
      <c r="A94" s="157"/>
      <c r="B94" s="157"/>
      <c r="C94" s="87"/>
      <c r="D94" s="112" t="s">
        <v>11768</v>
      </c>
      <c r="E94" s="317"/>
      <c r="F94" s="317"/>
      <c r="G94" s="315"/>
      <c r="H94" s="315"/>
      <c r="I94" s="315"/>
      <c r="J94" s="1734" t="s">
        <v>42</v>
      </c>
      <c r="K94" s="1734"/>
      <c r="L94" s="83" t="s">
        <v>22</v>
      </c>
      <c r="M94" s="82">
        <f>M92</f>
        <v>5380.7</v>
      </c>
      <c r="N94" s="313"/>
      <c r="O94" s="33"/>
      <c r="P94" s="33"/>
      <c r="Q94" s="33"/>
      <c r="R94" s="33"/>
      <c r="S94" s="33"/>
    </row>
    <row r="95" spans="1:19" s="35" customFormat="1">
      <c r="A95" s="157"/>
      <c r="B95" s="157"/>
      <c r="C95" s="87"/>
      <c r="D95" s="143" t="s">
        <v>73</v>
      </c>
      <c r="E95" s="105"/>
      <c r="F95" s="105"/>
      <c r="G95" s="116" t="s">
        <v>30</v>
      </c>
      <c r="H95" s="116" t="s">
        <v>30</v>
      </c>
      <c r="I95" s="116" t="s">
        <v>30</v>
      </c>
      <c r="J95" s="116" t="s">
        <v>42</v>
      </c>
      <c r="K95" s="116" t="s">
        <v>50</v>
      </c>
      <c r="L95" s="116"/>
      <c r="M95" s="53"/>
      <c r="N95" s="313"/>
      <c r="O95" s="33"/>
      <c r="P95" s="33"/>
      <c r="Q95" s="33"/>
      <c r="R95" s="33"/>
      <c r="S95" s="33"/>
    </row>
    <row r="96" spans="1:19" s="35" customFormat="1">
      <c r="A96" s="157" t="s">
        <v>12556</v>
      </c>
      <c r="B96" s="157" t="s">
        <v>11644</v>
      </c>
      <c r="C96" s="87" t="s">
        <v>835</v>
      </c>
      <c r="D96" s="112" t="e">
        <f>PROPER(IF(B96="Saneago",VLOOKUP(C96,'SANEAGO-FEV.2016'!A:B,2,0),IF(B96="Sinapi",VLOOKUP(C96,'SINAPI-FEV.2017'!A:D,2,0),IF(B96="Cotação",VLOOKUP(C96,COTAÇÃO!A:D,2,0),IF(B96="Composição",VLOOKUP(C96,COMPOSIÇÃO!A:D,2,0))))))</f>
        <v>#N/A</v>
      </c>
      <c r="E96" s="317"/>
      <c r="F96" s="317"/>
      <c r="G96" s="79"/>
      <c r="H96" s="79"/>
      <c r="I96" s="79"/>
      <c r="J96" s="74">
        <f>M94</f>
        <v>5380.7</v>
      </c>
      <c r="K96" s="72">
        <f>M24</f>
        <v>0.9</v>
      </c>
      <c r="L96" s="79" t="s">
        <v>22</v>
      </c>
      <c r="M96" s="52">
        <f>J96*K96</f>
        <v>4842.63</v>
      </c>
      <c r="N96" s="313"/>
      <c r="O96" s="33"/>
      <c r="P96" s="33"/>
      <c r="Q96" s="33"/>
      <c r="R96" s="33"/>
      <c r="S96" s="33"/>
    </row>
    <row r="97" spans="1:19" s="35" customFormat="1">
      <c r="A97" s="157"/>
      <c r="B97" s="157"/>
      <c r="C97" s="87"/>
      <c r="D97" s="114"/>
      <c r="E97" s="115"/>
      <c r="F97" s="115"/>
      <c r="G97" s="313" t="s">
        <v>30</v>
      </c>
      <c r="H97" s="313" t="s">
        <v>30</v>
      </c>
      <c r="I97" s="313" t="s">
        <v>30</v>
      </c>
      <c r="J97" s="315" t="s">
        <v>42</v>
      </c>
      <c r="K97" s="315" t="s">
        <v>79</v>
      </c>
      <c r="L97" s="315"/>
      <c r="M97" s="55"/>
      <c r="N97" s="313"/>
      <c r="O97" s="33"/>
      <c r="P97" s="33"/>
      <c r="Q97" s="33"/>
      <c r="R97" s="33"/>
      <c r="S97" s="33"/>
    </row>
    <row r="98" spans="1:19" s="35" customFormat="1">
      <c r="A98" s="157" t="s">
        <v>12557</v>
      </c>
      <c r="B98" s="157" t="s">
        <v>10852</v>
      </c>
      <c r="C98" s="87">
        <v>220</v>
      </c>
      <c r="D98" s="112" t="str">
        <f>PROPER(IF(B98="Saneago",VLOOKUP(C98,'SANEAGO-FEV.2016'!A:B,2,0),IF(B98="Sinapi",VLOOKUP(C98,'SINAPI-FEV.2017'!A:D,2,0),IF(B98="Cotação",VLOOKUP(C98,COTAÇÃO!A:D,2,0),IF(B98="Composição",VLOOKUP(C98,COMPOSIÇÃO!A:D,2,0))))))</f>
        <v>Reaterro  Manual Compactado Em Camadas De 20Cm</v>
      </c>
      <c r="E98" s="317"/>
      <c r="F98" s="317"/>
      <c r="G98" s="74"/>
      <c r="H98" s="74"/>
      <c r="I98" s="74"/>
      <c r="J98" s="74">
        <f>J96</f>
        <v>5380.7</v>
      </c>
      <c r="K98" s="56">
        <f>M23</f>
        <v>0.1</v>
      </c>
      <c r="L98" s="74" t="s">
        <v>22</v>
      </c>
      <c r="M98" s="52">
        <f>J98*K98</f>
        <v>538.07000000000005</v>
      </c>
      <c r="N98" s="313"/>
      <c r="O98" s="33"/>
      <c r="P98" s="33"/>
      <c r="Q98" s="33"/>
      <c r="R98" s="33"/>
      <c r="S98" s="33"/>
    </row>
    <row r="99" spans="1:19" s="35" customFormat="1" ht="13.5" thickBot="1">
      <c r="A99" s="157"/>
      <c r="B99" s="157"/>
      <c r="C99" s="87"/>
      <c r="D99" s="327"/>
      <c r="E99" s="105"/>
      <c r="F99" s="105"/>
      <c r="G99" s="315"/>
      <c r="H99" s="315"/>
      <c r="I99" s="315"/>
      <c r="J99" s="315"/>
      <c r="K99" s="197"/>
      <c r="L99" s="315"/>
      <c r="M99" s="55"/>
      <c r="N99" s="313"/>
      <c r="O99" s="33"/>
      <c r="P99" s="33"/>
      <c r="Q99" s="33"/>
      <c r="R99" s="33"/>
      <c r="S99" s="33"/>
    </row>
    <row r="100" spans="1:19" s="38" customFormat="1" thickTop="1" thickBot="1">
      <c r="A100" s="159"/>
      <c r="B100" s="159"/>
      <c r="C100" s="160"/>
      <c r="D100" s="110" t="s">
        <v>12516</v>
      </c>
      <c r="E100" s="111"/>
      <c r="F100" s="111"/>
      <c r="G100" s="111"/>
      <c r="H100" s="111"/>
      <c r="I100" s="111"/>
      <c r="J100" s="111"/>
      <c r="K100" s="111"/>
      <c r="L100" s="308" t="s">
        <v>25</v>
      </c>
      <c r="M100" s="309" t="s">
        <v>27</v>
      </c>
      <c r="N100" s="313"/>
      <c r="O100" s="33"/>
      <c r="P100" s="33"/>
      <c r="Q100" s="33"/>
      <c r="R100" s="33"/>
    </row>
    <row r="101" spans="1:19" s="38" customFormat="1" ht="12" thickTop="1">
      <c r="A101" s="159"/>
      <c r="B101" s="159"/>
      <c r="C101" s="160"/>
      <c r="D101" s="327"/>
      <c r="E101" s="105"/>
      <c r="F101" s="105"/>
      <c r="G101" s="315" t="s">
        <v>30</v>
      </c>
      <c r="H101" s="315" t="s">
        <v>30</v>
      </c>
      <c r="I101" s="315" t="s">
        <v>30</v>
      </c>
      <c r="J101" s="315" t="s">
        <v>30</v>
      </c>
      <c r="K101" s="315" t="s">
        <v>30</v>
      </c>
      <c r="L101" s="315"/>
      <c r="M101" s="55"/>
      <c r="N101" s="313"/>
      <c r="O101" s="33"/>
      <c r="P101" s="33"/>
      <c r="Q101" s="33"/>
      <c r="R101" s="33"/>
    </row>
    <row r="102" spans="1:19" s="38" customFormat="1" ht="11.25">
      <c r="A102" s="157" t="s">
        <v>12558</v>
      </c>
      <c r="B102" s="157" t="s">
        <v>10852</v>
      </c>
      <c r="C102" s="87">
        <v>232</v>
      </c>
      <c r="D102" s="112" t="str">
        <f>PROPER(IF(B102="Saneago",VLOOKUP(C102,'SANEAGO-FEV.2016'!A:B,2,0),IF(B102="Sinapi",VLOOKUP(C102,'SINAPI-FEV.2017'!A:D,2,0),IF(B102="Cotação",VLOOKUP(C102,COTAÇÃO!A:D,2,0),IF(B102="Composição",VLOOKUP(C102,COMPOSIÇÃO!A:D,2,0))))))</f>
        <v>Aquisição  De Material De Jazida</v>
      </c>
      <c r="E102" s="317"/>
      <c r="F102" s="317"/>
      <c r="G102" s="74"/>
      <c r="H102" s="74"/>
      <c r="I102" s="74"/>
      <c r="J102" s="74"/>
      <c r="K102" s="74"/>
      <c r="L102" s="74" t="s">
        <v>22</v>
      </c>
      <c r="M102" s="52">
        <f>K92</f>
        <v>2152.2800000000002</v>
      </c>
      <c r="N102" s="313"/>
      <c r="O102" s="33"/>
      <c r="P102" s="33"/>
      <c r="Q102" s="33"/>
      <c r="R102" s="33"/>
    </row>
    <row r="103" spans="1:19" s="38" customFormat="1" ht="11.25">
      <c r="A103" s="159"/>
      <c r="B103" s="159"/>
      <c r="C103" s="160"/>
      <c r="D103" s="327"/>
      <c r="E103" s="105"/>
      <c r="F103" s="105"/>
      <c r="G103" s="315" t="s">
        <v>30</v>
      </c>
      <c r="H103" s="315" t="s">
        <v>30</v>
      </c>
      <c r="I103" s="315" t="s">
        <v>30</v>
      </c>
      <c r="J103" s="315" t="s">
        <v>30</v>
      </c>
      <c r="K103" s="315" t="s">
        <v>30</v>
      </c>
      <c r="L103" s="315"/>
      <c r="M103" s="55"/>
      <c r="N103" s="313"/>
      <c r="O103" s="33"/>
      <c r="P103" s="33"/>
      <c r="Q103" s="33"/>
      <c r="R103" s="33"/>
    </row>
    <row r="104" spans="1:19" s="38" customFormat="1" ht="22.5">
      <c r="A104" s="157" t="s">
        <v>12559</v>
      </c>
      <c r="B104" s="157" t="s">
        <v>10852</v>
      </c>
      <c r="C104" s="87">
        <v>237</v>
      </c>
      <c r="D104" s="112" t="str">
        <f>PROPER(IF(B104="Saneago",VLOOKUP(C104,'SANEAGO-FEV.2016'!A:B,2,0),IF(B104="Sinapi",VLOOKUP(C104,'SINAPI-FEV.2017'!A:D,2,0),IF(B104="Cotação",VLOOKUP(C104,COTAÇÃO!A:D,2,0),IF(B104="Composição",VLOOKUP(C104,COMPOSIÇÃO!A:D,2,0))))))</f>
        <v>Carga  Mecanizada   (Com  A  Pá  Frontal   Da  Retroescavadeira)  Em  Caminhão   Basculante  - Material De 1ª Categoria</v>
      </c>
      <c r="E104" s="317"/>
      <c r="F104" s="317"/>
      <c r="G104" s="74"/>
      <c r="H104" s="74"/>
      <c r="I104" s="74"/>
      <c r="J104" s="74"/>
      <c r="K104" s="56"/>
      <c r="L104" s="74" t="s">
        <v>22</v>
      </c>
      <c r="M104" s="52">
        <f>M102</f>
        <v>2152.2800000000002</v>
      </c>
      <c r="N104" s="313"/>
      <c r="O104" s="33"/>
      <c r="P104" s="33"/>
      <c r="Q104" s="33"/>
      <c r="R104" s="33"/>
    </row>
    <row r="105" spans="1:19" s="38" customFormat="1" ht="11.25">
      <c r="A105" s="159"/>
      <c r="B105" s="157"/>
      <c r="C105" s="87"/>
      <c r="D105" s="327"/>
      <c r="E105" s="105"/>
      <c r="F105" s="105"/>
      <c r="G105" s="315" t="s">
        <v>30</v>
      </c>
      <c r="H105" s="315" t="s">
        <v>30</v>
      </c>
      <c r="I105" s="315" t="s">
        <v>30</v>
      </c>
      <c r="J105" s="315" t="s">
        <v>12581</v>
      </c>
      <c r="K105" s="315" t="s">
        <v>11774</v>
      </c>
      <c r="L105" s="315"/>
      <c r="M105" s="55"/>
      <c r="N105" s="313"/>
      <c r="O105" s="33"/>
      <c r="P105" s="33"/>
      <c r="Q105" s="33"/>
      <c r="R105" s="33"/>
    </row>
    <row r="106" spans="1:19" s="38" customFormat="1" ht="22.5">
      <c r="A106" s="157" t="s">
        <v>12560</v>
      </c>
      <c r="B106" s="157" t="s">
        <v>10852</v>
      </c>
      <c r="C106" s="87">
        <v>246</v>
      </c>
      <c r="D106" s="112" t="str">
        <f>PROPER(IF(B106="Saneago",VLOOKUP(C106,'SANEAGO-FEV.2016'!A:B,2,0),IF(B106="Sinapi",VLOOKUP(C106,'SINAPI-FEV.2017'!A:D,2,0),IF(B106="Cotação",VLOOKUP(C106,COTAÇÃO!A:D,2,0),IF(B106="Composição",VLOOKUP(C106,COMPOSIÇÃO!A:D,2,0))))))</f>
        <v>Transporte E Descarga  De Material De 1ª Ou 2ª Categoria  (M3 X Km) - Em Caminhão  Basculante Cap. 6 M3 - Com Empolamento</v>
      </c>
      <c r="E106" s="317"/>
      <c r="F106" s="317"/>
      <c r="G106" s="74"/>
      <c r="H106" s="74"/>
      <c r="I106" s="74"/>
      <c r="J106" s="74">
        <f>M104</f>
        <v>2152.2800000000002</v>
      </c>
      <c r="K106" s="74">
        <f>M14</f>
        <v>4.5999999999999996</v>
      </c>
      <c r="L106" s="74" t="s">
        <v>23</v>
      </c>
      <c r="M106" s="52">
        <f>J106*K106</f>
        <v>9900.4879999999994</v>
      </c>
      <c r="N106" s="313"/>
      <c r="O106" s="33"/>
      <c r="P106" s="33"/>
      <c r="Q106" s="33"/>
      <c r="R106" s="33"/>
    </row>
    <row r="107" spans="1:19" s="38" customFormat="1" ht="11.25">
      <c r="A107" s="159"/>
      <c r="B107" s="159"/>
      <c r="C107" s="87"/>
      <c r="D107" s="327"/>
      <c r="E107" s="105"/>
      <c r="F107" s="105"/>
      <c r="G107" s="315" t="s">
        <v>30</v>
      </c>
      <c r="H107" s="315" t="s">
        <v>30</v>
      </c>
      <c r="I107" s="315" t="s">
        <v>30</v>
      </c>
      <c r="J107" s="315" t="s">
        <v>30</v>
      </c>
      <c r="K107" s="315" t="s">
        <v>30</v>
      </c>
      <c r="L107" s="315"/>
      <c r="M107" s="55"/>
      <c r="N107" s="313"/>
      <c r="O107" s="33"/>
      <c r="P107" s="33"/>
      <c r="Q107" s="33"/>
      <c r="R107" s="33"/>
    </row>
    <row r="108" spans="1:19" s="38" customFormat="1" ht="11.25">
      <c r="A108" s="157" t="s">
        <v>12561</v>
      </c>
      <c r="B108" s="157" t="s">
        <v>10852</v>
      </c>
      <c r="C108" s="87">
        <v>244</v>
      </c>
      <c r="D108" s="112" t="str">
        <f>PROPER(IF(B108="Saneago",VLOOKUP(C108,'SANEAGO-FEV.2016'!A:B,2,0),IF(B108="Sinapi",VLOOKUP(C108,'SINAPI-FEV.2017'!A:D,2,0),IF(B108="Cotação",VLOOKUP(C108,COTAÇÃO!A:D,2,0),IF(B108="Composição",VLOOKUP(C108,COMPOSIÇÃO!A:D,2,0))))))</f>
        <v>Espalhamento De Material Em Bota Fora Proveniente De Escavação</v>
      </c>
      <c r="E108" s="317"/>
      <c r="F108" s="317"/>
      <c r="G108" s="74"/>
      <c r="H108" s="74"/>
      <c r="I108" s="74"/>
      <c r="J108" s="74"/>
      <c r="K108" s="56"/>
      <c r="L108" s="74" t="s">
        <v>22</v>
      </c>
      <c r="M108" s="52">
        <f>M104</f>
        <v>2152.2800000000002</v>
      </c>
      <c r="N108" s="313"/>
      <c r="O108" s="33"/>
      <c r="P108" s="33"/>
      <c r="Q108" s="33"/>
      <c r="R108" s="33"/>
    </row>
    <row r="109" spans="1:19" s="38" customFormat="1" ht="12" thickBot="1">
      <c r="A109" s="159"/>
      <c r="B109" s="159"/>
      <c r="C109" s="160"/>
      <c r="D109" s="327"/>
      <c r="E109" s="105"/>
      <c r="F109" s="105"/>
      <c r="G109" s="313"/>
      <c r="H109" s="313"/>
      <c r="I109" s="313"/>
      <c r="J109" s="34"/>
      <c r="K109" s="313"/>
      <c r="L109" s="313"/>
      <c r="M109" s="54"/>
      <c r="N109" s="313"/>
      <c r="O109" s="33"/>
      <c r="P109" s="33"/>
      <c r="Q109" s="33"/>
      <c r="R109" s="33"/>
    </row>
    <row r="110" spans="1:19" s="38" customFormat="1" thickTop="1" thickBot="1">
      <c r="A110" s="159"/>
      <c r="B110" s="159"/>
      <c r="C110" s="160"/>
      <c r="D110" s="110" t="s">
        <v>12582</v>
      </c>
      <c r="E110" s="111"/>
      <c r="F110" s="111"/>
      <c r="G110" s="111"/>
      <c r="H110" s="111"/>
      <c r="I110" s="111"/>
      <c r="J110" s="111"/>
      <c r="K110" s="111"/>
      <c r="L110" s="308" t="s">
        <v>25</v>
      </c>
      <c r="M110" s="309" t="s">
        <v>27</v>
      </c>
      <c r="N110" s="313"/>
      <c r="O110" s="33"/>
      <c r="P110" s="33"/>
      <c r="Q110" s="33"/>
      <c r="R110" s="33"/>
    </row>
    <row r="111" spans="1:19" s="38" customFormat="1" ht="12" thickTop="1">
      <c r="A111" s="159"/>
      <c r="B111" s="159"/>
      <c r="C111" s="160"/>
      <c r="D111" s="327"/>
      <c r="E111" s="105"/>
      <c r="F111" s="105"/>
      <c r="G111" s="315" t="s">
        <v>30</v>
      </c>
      <c r="H111" s="315" t="s">
        <v>30</v>
      </c>
      <c r="I111" s="315" t="s">
        <v>30</v>
      </c>
      <c r="J111" s="315" t="s">
        <v>30</v>
      </c>
      <c r="K111" s="315" t="s">
        <v>30</v>
      </c>
      <c r="L111" s="315"/>
      <c r="M111" s="55"/>
      <c r="N111" s="313"/>
      <c r="O111" s="33"/>
      <c r="P111" s="33"/>
      <c r="Q111" s="33"/>
      <c r="R111" s="33"/>
    </row>
    <row r="112" spans="1:19" s="38" customFormat="1" ht="22.5">
      <c r="A112" s="157" t="s">
        <v>12583</v>
      </c>
      <c r="B112" s="157" t="s">
        <v>10852</v>
      </c>
      <c r="C112" s="87">
        <v>237</v>
      </c>
      <c r="D112" s="112" t="str">
        <f>PROPER(IF(B112="Saneago",VLOOKUP(C112,'SANEAGO-FEV.2016'!A:B,2,0),IF(B112="Sinapi",VLOOKUP(C112,'SINAPI-FEV.2017'!A:D,2,0),IF(B112="Cotação",VLOOKUP(C112,COTAÇÃO!A:D,2,0),IF(B112="Composição",VLOOKUP(C112,COMPOSIÇÃO!A:D,2,0))))))</f>
        <v>Carga  Mecanizada   (Com  A  Pá  Frontal   Da  Retroescavadeira)  Em  Caminhão   Basculante  - Material De 1ª Categoria</v>
      </c>
      <c r="E112" s="317"/>
      <c r="F112" s="317"/>
      <c r="G112" s="74"/>
      <c r="H112" s="74"/>
      <c r="I112" s="74"/>
      <c r="J112" s="74"/>
      <c r="K112" s="56"/>
      <c r="L112" s="74" t="s">
        <v>22</v>
      </c>
      <c r="M112" s="52">
        <f>M102</f>
        <v>2152.2800000000002</v>
      </c>
      <c r="N112" s="313"/>
      <c r="O112" s="33"/>
      <c r="P112" s="33"/>
      <c r="Q112" s="33"/>
      <c r="R112" s="33"/>
    </row>
    <row r="113" spans="1:19" s="38" customFormat="1" ht="11.25">
      <c r="A113" s="159"/>
      <c r="B113" s="157"/>
      <c r="C113" s="87"/>
      <c r="D113" s="327"/>
      <c r="E113" s="105"/>
      <c r="F113" s="105"/>
      <c r="G113" s="315" t="s">
        <v>30</v>
      </c>
      <c r="H113" s="315" t="s">
        <v>30</v>
      </c>
      <c r="I113" s="315" t="s">
        <v>30</v>
      </c>
      <c r="J113" s="315" t="s">
        <v>11680</v>
      </c>
      <c r="K113" s="315" t="s">
        <v>48</v>
      </c>
      <c r="L113" s="315"/>
      <c r="M113" s="55"/>
      <c r="N113" s="313"/>
      <c r="O113" s="33"/>
      <c r="P113" s="33"/>
      <c r="Q113" s="33"/>
      <c r="R113" s="33"/>
    </row>
    <row r="114" spans="1:19" s="38" customFormat="1" ht="22.5">
      <c r="A114" s="157" t="s">
        <v>12584</v>
      </c>
      <c r="B114" s="157" t="s">
        <v>10852</v>
      </c>
      <c r="C114" s="87">
        <v>246</v>
      </c>
      <c r="D114" s="112" t="str">
        <f>PROPER(IF(B114="Saneago",VLOOKUP(C114,'SANEAGO-FEV.2016'!A:B,2,0),IF(B114="Sinapi",VLOOKUP(C114,'SINAPI-FEV.2017'!A:D,2,0),IF(B114="Cotação",VLOOKUP(C114,COTAÇÃO!A:D,2,0),IF(B114="Composição",VLOOKUP(C114,COMPOSIÇÃO!A:D,2,0))))))</f>
        <v>Transporte E Descarga  De Material De 1ª Ou 2ª Categoria  (M3 X Km) - Em Caminhão  Basculante Cap. 6 M3 - Com Empolamento</v>
      </c>
      <c r="E114" s="317"/>
      <c r="F114" s="317"/>
      <c r="G114" s="74"/>
      <c r="H114" s="74"/>
      <c r="I114" s="74"/>
      <c r="J114" s="74">
        <f>M112</f>
        <v>2152.2800000000002</v>
      </c>
      <c r="K114" s="74">
        <f>M13</f>
        <v>7.5</v>
      </c>
      <c r="L114" s="74" t="s">
        <v>23</v>
      </c>
      <c r="M114" s="52">
        <f>J114*K114</f>
        <v>16142.100000000002</v>
      </c>
      <c r="N114" s="313"/>
      <c r="O114" s="33"/>
      <c r="P114" s="33"/>
      <c r="Q114" s="33"/>
      <c r="R114" s="33"/>
    </row>
    <row r="115" spans="1:19" s="38" customFormat="1" ht="11.25">
      <c r="A115" s="159"/>
      <c r="B115" s="159"/>
      <c r="C115" s="87"/>
      <c r="D115" s="327"/>
      <c r="E115" s="105"/>
      <c r="F115" s="105"/>
      <c r="G115" s="315" t="s">
        <v>30</v>
      </c>
      <c r="H115" s="315" t="s">
        <v>30</v>
      </c>
      <c r="I115" s="315" t="s">
        <v>30</v>
      </c>
      <c r="J115" s="315" t="s">
        <v>30</v>
      </c>
      <c r="K115" s="315" t="s">
        <v>30</v>
      </c>
      <c r="L115" s="315"/>
      <c r="M115" s="55"/>
      <c r="N115" s="313"/>
      <c r="O115" s="33"/>
      <c r="P115" s="33"/>
      <c r="Q115" s="33"/>
      <c r="R115" s="33"/>
    </row>
    <row r="116" spans="1:19" s="38" customFormat="1" ht="11.25">
      <c r="A116" s="157" t="s">
        <v>12585</v>
      </c>
      <c r="B116" s="157" t="s">
        <v>10852</v>
      </c>
      <c r="C116" s="87">
        <v>244</v>
      </c>
      <c r="D116" s="112" t="str">
        <f>PROPER(IF(B116="Saneago",VLOOKUP(C116,'SANEAGO-FEV.2016'!A:B,2,0),IF(B116="Sinapi",VLOOKUP(C116,'SINAPI-FEV.2017'!A:D,2,0),IF(B116="Cotação",VLOOKUP(C116,COTAÇÃO!A:D,2,0),IF(B116="Composição",VLOOKUP(C116,COMPOSIÇÃO!A:D,2,0))))))</f>
        <v>Espalhamento De Material Em Bota Fora Proveniente De Escavação</v>
      </c>
      <c r="E116" s="317"/>
      <c r="F116" s="317"/>
      <c r="G116" s="74"/>
      <c r="H116" s="74"/>
      <c r="I116" s="74"/>
      <c r="J116" s="74"/>
      <c r="K116" s="56"/>
      <c r="L116" s="74" t="s">
        <v>22</v>
      </c>
      <c r="M116" s="52">
        <f>M112</f>
        <v>2152.2800000000002</v>
      </c>
      <c r="N116" s="313"/>
      <c r="O116" s="33"/>
      <c r="P116" s="33"/>
      <c r="Q116" s="33"/>
      <c r="R116" s="33"/>
    </row>
    <row r="117" spans="1:19" s="38" customFormat="1" ht="12" thickBot="1">
      <c r="A117" s="159"/>
      <c r="B117" s="159"/>
      <c r="C117" s="160"/>
      <c r="D117" s="327"/>
      <c r="E117" s="105"/>
      <c r="F117" s="105"/>
      <c r="G117" s="313"/>
      <c r="H117" s="313"/>
      <c r="I117" s="313"/>
      <c r="J117" s="34"/>
      <c r="K117" s="313"/>
      <c r="L117" s="313"/>
      <c r="M117" s="54"/>
      <c r="N117" s="313"/>
      <c r="O117" s="33"/>
      <c r="P117" s="33"/>
      <c r="Q117" s="33"/>
      <c r="R117" s="33"/>
    </row>
    <row r="118" spans="1:19" s="35" customFormat="1" ht="17.25" customHeight="1" thickTop="1" thickBot="1">
      <c r="A118" s="157"/>
      <c r="B118" s="157"/>
      <c r="C118" s="87"/>
      <c r="D118" s="110" t="s">
        <v>12520</v>
      </c>
      <c r="E118" s="111"/>
      <c r="F118" s="111"/>
      <c r="G118" s="111"/>
      <c r="H118" s="111"/>
      <c r="I118" s="111"/>
      <c r="J118" s="111"/>
      <c r="K118" s="111"/>
      <c r="L118" s="308" t="s">
        <v>25</v>
      </c>
      <c r="M118" s="309" t="s">
        <v>27</v>
      </c>
      <c r="N118" s="313"/>
      <c r="O118" s="33"/>
      <c r="P118" s="33"/>
      <c r="Q118" s="33"/>
      <c r="R118" s="33"/>
      <c r="S118" s="33"/>
    </row>
    <row r="119" spans="1:19" s="35" customFormat="1" ht="13.5" thickTop="1">
      <c r="A119" s="157"/>
      <c r="B119" s="157"/>
      <c r="C119" s="87"/>
      <c r="D119" s="327"/>
      <c r="E119" s="313"/>
      <c r="F119" s="313"/>
      <c r="I119" s="315" t="s">
        <v>1275</v>
      </c>
      <c r="J119" s="315" t="s">
        <v>11684</v>
      </c>
      <c r="K119" s="315" t="s">
        <v>19</v>
      </c>
      <c r="L119" s="315" t="s">
        <v>30</v>
      </c>
      <c r="M119" s="322" t="s">
        <v>30</v>
      </c>
      <c r="N119" s="313"/>
      <c r="O119" s="33"/>
      <c r="P119" s="33"/>
      <c r="Q119" s="33"/>
      <c r="R119" s="33"/>
      <c r="S119" s="33"/>
    </row>
    <row r="120" spans="1:19" s="35" customFormat="1">
      <c r="A120" s="157"/>
      <c r="B120" s="157"/>
      <c r="C120" s="87"/>
      <c r="D120" s="327"/>
      <c r="E120" s="38"/>
      <c r="F120" s="38"/>
      <c r="G120" s="38" t="s">
        <v>12573</v>
      </c>
      <c r="H120" s="38" t="s">
        <v>12518</v>
      </c>
      <c r="I120" s="34">
        <f>I34</f>
        <v>1</v>
      </c>
      <c r="J120" s="315">
        <f>J34</f>
        <v>27.05</v>
      </c>
      <c r="K120" s="315">
        <f>K34</f>
        <v>17.7</v>
      </c>
      <c r="L120" s="315" t="s">
        <v>21</v>
      </c>
      <c r="M120" s="322">
        <f>I120*J120*K120</f>
        <v>478.78499999999997</v>
      </c>
      <c r="N120" s="313"/>
      <c r="O120" s="33"/>
      <c r="P120" s="33"/>
      <c r="Q120" s="33"/>
      <c r="R120" s="33"/>
      <c r="S120" s="33"/>
    </row>
    <row r="121" spans="1:19" s="35" customFormat="1">
      <c r="A121" s="157" t="s">
        <v>12562</v>
      </c>
      <c r="B121" s="157" t="s">
        <v>10852</v>
      </c>
      <c r="C121" s="87">
        <v>333</v>
      </c>
      <c r="D121" s="112" t="str">
        <f>PROPER(IF(B121="Saneago",VLOOKUP(C121,'SANEAGO-FEV.2016'!A:B,2,0),IF(B121="Sinapi",VLOOKUP(C121,'SINAPI-FEV.2017'!A:D,2,0),IF(B121="Cotação",VLOOKUP(C121,COTAÇÃO!A:D,2,0),IF(B121="Composição",VLOOKUP(C121,COMPOSIÇÃO!A:D,2,0))))))</f>
        <v>Lastro De Concreto  Magro Esp. = 5 Cm</v>
      </c>
      <c r="E121" s="317"/>
      <c r="F121" s="317"/>
      <c r="G121" s="74"/>
      <c r="H121" s="74"/>
      <c r="I121" s="129"/>
      <c r="J121" s="129"/>
      <c r="K121" s="73" t="s">
        <v>27</v>
      </c>
      <c r="L121" s="73" t="s">
        <v>21</v>
      </c>
      <c r="M121" s="81">
        <f>SUM(M120:M120)</f>
        <v>478.78499999999997</v>
      </c>
      <c r="N121" s="313"/>
      <c r="O121" s="33"/>
      <c r="P121" s="33"/>
      <c r="Q121" s="33"/>
      <c r="R121" s="33"/>
      <c r="S121" s="33"/>
    </row>
    <row r="122" spans="1:19" s="168" customFormat="1">
      <c r="A122" s="165"/>
      <c r="B122" s="165"/>
      <c r="C122" s="166"/>
      <c r="D122" s="124" t="s">
        <v>12573</v>
      </c>
      <c r="E122" s="83" t="s">
        <v>1275</v>
      </c>
      <c r="F122" s="83" t="s">
        <v>11684</v>
      </c>
      <c r="G122" s="83" t="s">
        <v>19</v>
      </c>
      <c r="H122" s="83" t="s">
        <v>32</v>
      </c>
      <c r="I122" s="83" t="s">
        <v>36</v>
      </c>
      <c r="J122" s="83" t="s">
        <v>12593</v>
      </c>
      <c r="K122" s="83" t="s">
        <v>30</v>
      </c>
      <c r="L122" s="83" t="s">
        <v>30</v>
      </c>
      <c r="M122" s="167" t="s">
        <v>30</v>
      </c>
      <c r="N122" s="306"/>
      <c r="O122" s="127"/>
      <c r="P122" s="127"/>
      <c r="Q122" s="127"/>
      <c r="R122" s="127"/>
      <c r="S122" s="127"/>
    </row>
    <row r="123" spans="1:19" s="35" customFormat="1">
      <c r="A123" s="157"/>
      <c r="B123" s="157"/>
      <c r="C123" s="87"/>
      <c r="D123" s="310" t="s">
        <v>12518</v>
      </c>
      <c r="E123" s="313">
        <v>2</v>
      </c>
      <c r="F123" s="315">
        <f>17.2+0.5</f>
        <v>17.7</v>
      </c>
      <c r="G123" s="315">
        <f>12.8+0.5</f>
        <v>13.3</v>
      </c>
      <c r="H123" s="315">
        <v>0.3</v>
      </c>
      <c r="I123" s="315" t="s">
        <v>30</v>
      </c>
      <c r="J123" s="315" t="s">
        <v>30</v>
      </c>
      <c r="K123" s="315"/>
      <c r="L123" s="315" t="s">
        <v>21</v>
      </c>
      <c r="M123" s="322">
        <f>E123*((2*F123+2*G123)*H123)</f>
        <v>37.199999999999996</v>
      </c>
      <c r="N123" s="313"/>
      <c r="O123" s="33"/>
      <c r="P123" s="33"/>
      <c r="Q123" s="33"/>
      <c r="R123" s="33"/>
      <c r="S123" s="33"/>
    </row>
    <row r="124" spans="1:19" s="35" customFormat="1">
      <c r="A124" s="157"/>
      <c r="B124" s="157"/>
      <c r="C124" s="87"/>
      <c r="D124" s="310" t="s">
        <v>12620</v>
      </c>
      <c r="E124" s="313">
        <f>2*24</f>
        <v>48</v>
      </c>
      <c r="F124" s="315">
        <v>0.2</v>
      </c>
      <c r="G124" s="315">
        <v>0.2</v>
      </c>
      <c r="H124" s="315">
        <v>4.8499999999999996</v>
      </c>
      <c r="I124" s="315" t="s">
        <v>30</v>
      </c>
      <c r="J124" s="315" t="s">
        <v>30</v>
      </c>
      <c r="K124" s="315"/>
      <c r="L124" s="315" t="s">
        <v>21</v>
      </c>
      <c r="M124" s="322">
        <f>E124*((2*F124+2*G124)*H124)</f>
        <v>186.24</v>
      </c>
      <c r="N124" s="313"/>
      <c r="O124" s="33"/>
      <c r="P124" s="33"/>
      <c r="Q124" s="33"/>
      <c r="R124" s="33"/>
      <c r="S124" s="33"/>
    </row>
    <row r="125" spans="1:19" s="35" customFormat="1">
      <c r="A125" s="157"/>
      <c r="B125" s="157"/>
      <c r="C125" s="87"/>
      <c r="D125" s="310" t="s">
        <v>12621</v>
      </c>
      <c r="E125" s="313">
        <v>2</v>
      </c>
      <c r="F125" s="315">
        <v>0.15</v>
      </c>
      <c r="G125" s="315">
        <v>0.3</v>
      </c>
      <c r="H125" s="315">
        <v>3.25</v>
      </c>
      <c r="I125" s="315" t="s">
        <v>30</v>
      </c>
      <c r="J125" s="315" t="s">
        <v>30</v>
      </c>
      <c r="K125" s="315"/>
      <c r="L125" s="315" t="s">
        <v>21</v>
      </c>
      <c r="M125" s="322">
        <f>E125*((2*F125+2*G125)*H125)</f>
        <v>5.85</v>
      </c>
      <c r="N125" s="313"/>
      <c r="O125" s="33"/>
      <c r="P125" s="33"/>
      <c r="Q125" s="33"/>
      <c r="R125" s="33"/>
      <c r="S125" s="33"/>
    </row>
    <row r="126" spans="1:19" s="35" customFormat="1">
      <c r="A126" s="157"/>
      <c r="B126" s="157"/>
      <c r="C126" s="87"/>
      <c r="D126" s="310" t="s">
        <v>12595</v>
      </c>
      <c r="E126" s="313">
        <v>2</v>
      </c>
      <c r="F126" s="315">
        <v>0.5</v>
      </c>
      <c r="G126" s="315">
        <v>0.5</v>
      </c>
      <c r="H126" s="315">
        <v>0.5</v>
      </c>
      <c r="I126" s="315" t="s">
        <v>30</v>
      </c>
      <c r="J126" s="315" t="s">
        <v>30</v>
      </c>
      <c r="K126" s="315"/>
      <c r="L126" s="315" t="s">
        <v>21</v>
      </c>
      <c r="M126" s="322">
        <f>E126*((2*F126+2*G126)*H126)</f>
        <v>2</v>
      </c>
      <c r="N126" s="313"/>
      <c r="O126" s="33"/>
      <c r="P126" s="33"/>
      <c r="Q126" s="33"/>
      <c r="R126" s="33"/>
      <c r="S126" s="33"/>
    </row>
    <row r="127" spans="1:19" s="35" customFormat="1">
      <c r="A127" s="157"/>
      <c r="B127" s="157"/>
      <c r="C127" s="87"/>
      <c r="D127" s="310" t="s">
        <v>12594</v>
      </c>
      <c r="E127" s="313">
        <v>72</v>
      </c>
      <c r="F127" s="315">
        <v>0.3</v>
      </c>
      <c r="G127" s="315">
        <v>0.05</v>
      </c>
      <c r="H127" s="315">
        <v>1.05</v>
      </c>
      <c r="I127" s="315"/>
      <c r="J127" s="315" t="s">
        <v>30</v>
      </c>
      <c r="K127" s="315"/>
      <c r="L127" s="315" t="s">
        <v>21</v>
      </c>
      <c r="M127" s="322">
        <f>E127*((2*F127+2*G127)*H127)</f>
        <v>52.92</v>
      </c>
      <c r="N127" s="313"/>
      <c r="O127" s="33"/>
      <c r="P127" s="33"/>
      <c r="Q127" s="33"/>
      <c r="R127" s="33"/>
      <c r="S127" s="33"/>
    </row>
    <row r="128" spans="1:19" s="35" customFormat="1" ht="12.75" customHeight="1">
      <c r="A128" s="157"/>
      <c r="B128" s="157"/>
      <c r="C128" s="87"/>
      <c r="D128" s="310" t="s">
        <v>12586</v>
      </c>
      <c r="E128" s="313">
        <v>2</v>
      </c>
      <c r="F128" s="315">
        <f>17.2+0.5</f>
        <v>17.7</v>
      </c>
      <c r="G128" s="315">
        <f>13.9</f>
        <v>13.9</v>
      </c>
      <c r="H128" s="315">
        <v>5.15</v>
      </c>
      <c r="I128" s="315">
        <v>0.25</v>
      </c>
      <c r="J128" s="315" t="s">
        <v>30</v>
      </c>
      <c r="K128" s="315"/>
      <c r="L128" s="315" t="s">
        <v>21</v>
      </c>
      <c r="M128" s="322">
        <f>E128*(2*((2*F128+2*G128)*H128))</f>
        <v>1301.92</v>
      </c>
      <c r="N128" s="313"/>
      <c r="O128" s="33"/>
      <c r="P128" s="33"/>
      <c r="Q128" s="33"/>
      <c r="R128" s="33"/>
      <c r="S128" s="33"/>
    </row>
    <row r="129" spans="1:19" s="35" customFormat="1" ht="12.75" customHeight="1">
      <c r="A129" s="157"/>
      <c r="B129" s="157"/>
      <c r="C129" s="87"/>
      <c r="D129" s="310" t="s">
        <v>12587</v>
      </c>
      <c r="E129" s="313">
        <v>16</v>
      </c>
      <c r="F129" s="315">
        <v>17.2</v>
      </c>
      <c r="G129" s="315" t="s">
        <v>30</v>
      </c>
      <c r="H129" s="315">
        <v>0.9</v>
      </c>
      <c r="I129" s="315">
        <v>0.2</v>
      </c>
      <c r="J129" s="315" t="s">
        <v>30</v>
      </c>
      <c r="K129" s="315"/>
      <c r="L129" s="315" t="s">
        <v>21</v>
      </c>
      <c r="M129" s="322">
        <f t="shared" ref="M129:M134" si="0">E129*((F129*I129)+(2*F129*H129))</f>
        <v>550.4</v>
      </c>
      <c r="N129" s="313"/>
      <c r="O129" s="33"/>
      <c r="P129" s="33"/>
      <c r="Q129" s="33"/>
      <c r="R129" s="33"/>
      <c r="S129" s="33"/>
    </row>
    <row r="130" spans="1:19" s="35" customFormat="1" ht="12.75" customHeight="1">
      <c r="A130" s="157"/>
      <c r="B130" s="157"/>
      <c r="C130" s="87"/>
      <c r="D130" s="310" t="s">
        <v>12588</v>
      </c>
      <c r="E130" s="313">
        <v>8</v>
      </c>
      <c r="F130" s="315">
        <v>2.4500000000000002</v>
      </c>
      <c r="G130" s="315" t="s">
        <v>30</v>
      </c>
      <c r="H130" s="315">
        <v>0.3</v>
      </c>
      <c r="I130" s="315">
        <v>0.2</v>
      </c>
      <c r="J130" s="315" t="s">
        <v>30</v>
      </c>
      <c r="K130" s="315"/>
      <c r="L130" s="315" t="s">
        <v>21</v>
      </c>
      <c r="M130" s="322">
        <f t="shared" si="0"/>
        <v>15.68</v>
      </c>
      <c r="N130" s="313"/>
      <c r="O130" s="33"/>
      <c r="P130" s="33"/>
      <c r="Q130" s="33"/>
      <c r="R130" s="33"/>
      <c r="S130" s="33"/>
    </row>
    <row r="131" spans="1:19" s="35" customFormat="1" ht="12.75" customHeight="1">
      <c r="A131" s="157"/>
      <c r="B131" s="157"/>
      <c r="C131" s="87"/>
      <c r="D131" s="310" t="s">
        <v>12589</v>
      </c>
      <c r="E131" s="313">
        <v>8</v>
      </c>
      <c r="F131" s="315">
        <v>4.5</v>
      </c>
      <c r="G131" s="315" t="s">
        <v>30</v>
      </c>
      <c r="H131" s="315">
        <v>0.3</v>
      </c>
      <c r="I131" s="315">
        <v>0.2</v>
      </c>
      <c r="J131" s="315" t="s">
        <v>30</v>
      </c>
      <c r="K131" s="315"/>
      <c r="L131" s="315" t="s">
        <v>21</v>
      </c>
      <c r="M131" s="322">
        <f t="shared" si="0"/>
        <v>28.799999999999997</v>
      </c>
      <c r="N131" s="313"/>
      <c r="O131" s="33"/>
      <c r="P131" s="33"/>
      <c r="Q131" s="33"/>
      <c r="R131" s="33"/>
      <c r="S131" s="33"/>
    </row>
    <row r="132" spans="1:19" s="35" customFormat="1" ht="12.75" customHeight="1">
      <c r="A132" s="157"/>
      <c r="B132" s="157"/>
      <c r="C132" s="87"/>
      <c r="D132" s="310" t="s">
        <v>12590</v>
      </c>
      <c r="E132" s="313">
        <v>16</v>
      </c>
      <c r="F132" s="315">
        <v>12.8</v>
      </c>
      <c r="G132" s="315" t="s">
        <v>30</v>
      </c>
      <c r="H132" s="315">
        <v>0.3</v>
      </c>
      <c r="I132" s="315">
        <v>0.2</v>
      </c>
      <c r="J132" s="315" t="s">
        <v>30</v>
      </c>
      <c r="K132" s="315"/>
      <c r="L132" s="315" t="s">
        <v>21</v>
      </c>
      <c r="M132" s="322">
        <f t="shared" si="0"/>
        <v>163.84</v>
      </c>
      <c r="N132" s="313"/>
      <c r="O132" s="33"/>
      <c r="P132" s="33"/>
      <c r="Q132" s="33"/>
      <c r="R132" s="33"/>
      <c r="S132" s="33"/>
    </row>
    <row r="133" spans="1:19" s="35" customFormat="1">
      <c r="A133" s="157"/>
      <c r="B133" s="157"/>
      <c r="C133" s="87"/>
      <c r="D133" s="310" t="s">
        <v>12591</v>
      </c>
      <c r="E133" s="313">
        <v>2</v>
      </c>
      <c r="F133" s="315">
        <v>17.2</v>
      </c>
      <c r="G133" s="315" t="s">
        <v>30</v>
      </c>
      <c r="H133" s="315">
        <v>0.15</v>
      </c>
      <c r="I133" s="315">
        <v>0.2</v>
      </c>
      <c r="J133" s="315" t="s">
        <v>30</v>
      </c>
      <c r="K133" s="315"/>
      <c r="L133" s="315" t="s">
        <v>21</v>
      </c>
      <c r="M133" s="322">
        <f t="shared" si="0"/>
        <v>17.2</v>
      </c>
      <c r="N133" s="313"/>
      <c r="O133" s="33"/>
      <c r="P133" s="33"/>
      <c r="Q133" s="33"/>
      <c r="R133" s="33"/>
      <c r="S133" s="33"/>
    </row>
    <row r="134" spans="1:19" s="35" customFormat="1">
      <c r="A134" s="157"/>
      <c r="B134" s="157"/>
      <c r="C134" s="87"/>
      <c r="D134" s="310" t="s">
        <v>12592</v>
      </c>
      <c r="E134" s="313">
        <v>16</v>
      </c>
      <c r="F134" s="315">
        <v>12.8</v>
      </c>
      <c r="G134" s="315" t="s">
        <v>30</v>
      </c>
      <c r="H134" s="315">
        <v>0.3</v>
      </c>
      <c r="I134" s="315">
        <v>0.2</v>
      </c>
      <c r="J134" s="315" t="s">
        <v>30</v>
      </c>
      <c r="K134" s="315"/>
      <c r="L134" s="315" t="s">
        <v>21</v>
      </c>
      <c r="M134" s="322">
        <f t="shared" si="0"/>
        <v>163.84</v>
      </c>
      <c r="N134" s="313"/>
      <c r="O134" s="33"/>
      <c r="P134" s="33"/>
      <c r="Q134" s="33"/>
      <c r="R134" s="33"/>
      <c r="S134" s="33"/>
    </row>
    <row r="135" spans="1:19" s="35" customFormat="1">
      <c r="A135" s="157"/>
      <c r="B135" s="157"/>
      <c r="C135" s="87"/>
      <c r="D135" s="324" t="s">
        <v>12596</v>
      </c>
      <c r="E135" s="116">
        <v>2</v>
      </c>
      <c r="F135" s="321">
        <f>0.85+0.2*2+0.45</f>
        <v>1.7</v>
      </c>
      <c r="G135" s="321">
        <v>13.4</v>
      </c>
      <c r="H135" s="321"/>
      <c r="I135" s="321"/>
      <c r="J135" s="321"/>
      <c r="K135" s="321"/>
      <c r="L135" s="321" t="s">
        <v>21</v>
      </c>
      <c r="M135" s="172">
        <f t="shared" ref="M135:M141" si="1">E135*F135*G135</f>
        <v>45.56</v>
      </c>
      <c r="N135" s="313"/>
      <c r="O135" s="33"/>
      <c r="P135" s="33"/>
      <c r="Q135" s="33"/>
      <c r="R135" s="33"/>
      <c r="S135" s="33"/>
    </row>
    <row r="136" spans="1:19" s="35" customFormat="1">
      <c r="A136" s="157"/>
      <c r="B136" s="157"/>
      <c r="C136" s="87"/>
      <c r="D136" s="310" t="s">
        <v>12597</v>
      </c>
      <c r="E136" s="313">
        <v>4</v>
      </c>
      <c r="F136" s="315">
        <f>0.65*2+0.11</f>
        <v>1.4100000000000001</v>
      </c>
      <c r="G136" s="315">
        <v>17.2</v>
      </c>
      <c r="H136" s="315"/>
      <c r="I136" s="315"/>
      <c r="J136" s="315"/>
      <c r="K136" s="315"/>
      <c r="L136" s="315" t="s">
        <v>21</v>
      </c>
      <c r="M136" s="322">
        <f t="shared" si="1"/>
        <v>97.00800000000001</v>
      </c>
      <c r="N136" s="313"/>
      <c r="O136" s="33"/>
      <c r="P136" s="33"/>
      <c r="Q136" s="33"/>
      <c r="R136" s="33"/>
      <c r="S136" s="33"/>
    </row>
    <row r="137" spans="1:19" s="35" customFormat="1">
      <c r="A137" s="157"/>
      <c r="B137" s="157"/>
      <c r="C137" s="87"/>
      <c r="D137" s="310" t="s">
        <v>12598</v>
      </c>
      <c r="E137" s="313">
        <v>6</v>
      </c>
      <c r="F137" s="315">
        <f>0.55*2+0.2+0.11*2+0.6*2</f>
        <v>2.7199999999999998</v>
      </c>
      <c r="G137" s="315">
        <v>17.2</v>
      </c>
      <c r="H137" s="315"/>
      <c r="I137" s="315"/>
      <c r="J137" s="315"/>
      <c r="K137" s="315"/>
      <c r="L137" s="315" t="s">
        <v>21</v>
      </c>
      <c r="M137" s="322">
        <f t="shared" si="1"/>
        <v>280.70400000000001</v>
      </c>
      <c r="N137" s="313"/>
      <c r="O137" s="33"/>
      <c r="P137" s="33"/>
      <c r="Q137" s="33"/>
      <c r="R137" s="33"/>
      <c r="S137" s="33"/>
    </row>
    <row r="138" spans="1:19" s="35" customFormat="1">
      <c r="A138" s="157"/>
      <c r="B138" s="157"/>
      <c r="C138" s="87"/>
      <c r="D138" s="310" t="s">
        <v>12599</v>
      </c>
      <c r="E138" s="313">
        <v>2</v>
      </c>
      <c r="F138" s="315">
        <f>0.85+0.2*2+0.45</f>
        <v>1.7</v>
      </c>
      <c r="G138" s="315">
        <v>13.4</v>
      </c>
      <c r="H138" s="315"/>
      <c r="I138" s="315"/>
      <c r="J138" s="315"/>
      <c r="K138" s="315"/>
      <c r="L138" s="315" t="s">
        <v>21</v>
      </c>
      <c r="M138" s="322">
        <f t="shared" si="1"/>
        <v>45.56</v>
      </c>
      <c r="N138" s="313"/>
      <c r="O138" s="33"/>
      <c r="P138" s="33"/>
      <c r="Q138" s="33"/>
      <c r="R138" s="33"/>
      <c r="S138" s="33"/>
    </row>
    <row r="139" spans="1:19" s="35" customFormat="1">
      <c r="A139" s="157"/>
      <c r="B139" s="157"/>
      <c r="C139" s="87"/>
      <c r="D139" s="310" t="s">
        <v>12600</v>
      </c>
      <c r="E139" s="313">
        <v>4</v>
      </c>
      <c r="F139" s="315">
        <v>0.4</v>
      </c>
      <c r="G139" s="315">
        <v>13.4</v>
      </c>
      <c r="H139" s="315"/>
      <c r="I139" s="315"/>
      <c r="J139" s="315"/>
      <c r="K139" s="315"/>
      <c r="L139" s="315" t="s">
        <v>21</v>
      </c>
      <c r="M139" s="322">
        <f t="shared" si="1"/>
        <v>21.44</v>
      </c>
      <c r="N139" s="313"/>
      <c r="O139" s="33"/>
      <c r="P139" s="33"/>
      <c r="Q139" s="33"/>
      <c r="R139" s="33"/>
      <c r="S139" s="33"/>
    </row>
    <row r="140" spans="1:19" s="35" customFormat="1">
      <c r="A140" s="157"/>
      <c r="B140" s="157"/>
      <c r="C140" s="87"/>
      <c r="D140" s="310" t="s">
        <v>12601</v>
      </c>
      <c r="E140" s="313">
        <v>8</v>
      </c>
      <c r="F140" s="315">
        <v>1.5</v>
      </c>
      <c r="G140" s="315">
        <v>17.2</v>
      </c>
      <c r="H140" s="315"/>
      <c r="I140" s="315"/>
      <c r="J140" s="315"/>
      <c r="K140" s="315"/>
      <c r="L140" s="315" t="s">
        <v>21</v>
      </c>
      <c r="M140" s="322">
        <f t="shared" si="1"/>
        <v>206.39999999999998</v>
      </c>
      <c r="N140" s="313"/>
      <c r="O140" s="33"/>
      <c r="P140" s="33"/>
      <c r="Q140" s="33"/>
      <c r="R140" s="33"/>
      <c r="S140" s="33"/>
    </row>
    <row r="141" spans="1:19" s="35" customFormat="1">
      <c r="A141" s="157"/>
      <c r="B141" s="157"/>
      <c r="C141" s="87"/>
      <c r="D141" s="320" t="s">
        <v>12602</v>
      </c>
      <c r="E141" s="79">
        <v>4</v>
      </c>
      <c r="F141" s="79">
        <f>(50+20+15+47.5+30+15+45)/100</f>
        <v>2.2250000000000001</v>
      </c>
      <c r="G141" s="74">
        <f>2.15+0.3</f>
        <v>2.4499999999999997</v>
      </c>
      <c r="H141" s="74"/>
      <c r="I141" s="74"/>
      <c r="J141" s="74"/>
      <c r="K141" s="74"/>
      <c r="L141" s="74" t="s">
        <v>21</v>
      </c>
      <c r="M141" s="133">
        <f t="shared" si="1"/>
        <v>21.805</v>
      </c>
      <c r="N141" s="313"/>
      <c r="O141" s="33"/>
      <c r="P141" s="33"/>
      <c r="Q141" s="33"/>
      <c r="R141" s="33"/>
      <c r="S141" s="33"/>
    </row>
    <row r="142" spans="1:19" s="35" customFormat="1">
      <c r="A142" s="157"/>
      <c r="B142" s="157"/>
      <c r="C142" s="87"/>
      <c r="D142" s="324" t="s">
        <v>12613</v>
      </c>
      <c r="E142" s="116">
        <f>2*2</f>
        <v>4</v>
      </c>
      <c r="F142" s="173">
        <v>2.15</v>
      </c>
      <c r="G142" s="173">
        <v>1.125</v>
      </c>
      <c r="H142" s="321" t="s">
        <v>30</v>
      </c>
      <c r="I142" s="321">
        <v>0.15</v>
      </c>
      <c r="J142" s="321">
        <f>E142*F142*G142</f>
        <v>9.6749999999999989</v>
      </c>
      <c r="K142" s="321"/>
      <c r="L142" s="321" t="s">
        <v>21</v>
      </c>
      <c r="M142" s="172">
        <f>E142*F142*G142</f>
        <v>9.6749999999999989</v>
      </c>
      <c r="N142" s="313"/>
      <c r="O142" s="33"/>
      <c r="P142" s="33"/>
      <c r="Q142" s="33"/>
      <c r="R142" s="33"/>
      <c r="S142" s="33"/>
    </row>
    <row r="143" spans="1:19" s="35" customFormat="1">
      <c r="A143" s="157"/>
      <c r="B143" s="157"/>
      <c r="C143" s="87"/>
      <c r="D143" s="310" t="s">
        <v>12614</v>
      </c>
      <c r="E143" s="313">
        <f>6*8*2</f>
        <v>96</v>
      </c>
      <c r="F143" s="311">
        <v>0.6</v>
      </c>
      <c r="G143" s="311">
        <v>0.20100000000000001</v>
      </c>
      <c r="H143" s="315" t="s">
        <v>30</v>
      </c>
      <c r="I143" s="315">
        <v>0.15</v>
      </c>
      <c r="J143" s="315">
        <f>E143*F143*G143</f>
        <v>11.5776</v>
      </c>
      <c r="K143" s="315"/>
      <c r="L143" s="315" t="s">
        <v>21</v>
      </c>
      <c r="M143" s="322">
        <f>E143*((F143*2+G143*2)*I143)</f>
        <v>23.068799999999996</v>
      </c>
      <c r="N143" s="313"/>
      <c r="O143" s="33"/>
      <c r="P143" s="33"/>
      <c r="Q143" s="33"/>
      <c r="R143" s="33"/>
      <c r="S143" s="33"/>
    </row>
    <row r="144" spans="1:19" s="35" customFormat="1">
      <c r="A144" s="157"/>
      <c r="B144" s="157"/>
      <c r="C144" s="87"/>
      <c r="D144" s="310" t="s">
        <v>12615</v>
      </c>
      <c r="E144" s="313">
        <f>6*2</f>
        <v>12</v>
      </c>
      <c r="F144" s="311">
        <v>1.32</v>
      </c>
      <c r="G144" s="311">
        <v>1.1000000000000001</v>
      </c>
      <c r="H144" s="315" t="s">
        <v>30</v>
      </c>
      <c r="I144" s="315">
        <v>0.15</v>
      </c>
      <c r="J144" s="315">
        <f>E144*F144*G144</f>
        <v>17.423999999999999</v>
      </c>
      <c r="K144" s="315"/>
      <c r="L144" s="315" t="s">
        <v>21</v>
      </c>
      <c r="M144" s="322">
        <f>E144*((F144*2+G144*2)*I144)</f>
        <v>8.7119999999999997</v>
      </c>
      <c r="N144" s="313"/>
      <c r="O144" s="33"/>
      <c r="P144" s="33"/>
      <c r="Q144" s="33"/>
      <c r="R144" s="33"/>
      <c r="S144" s="33"/>
    </row>
    <row r="145" spans="1:19" s="35" customFormat="1">
      <c r="A145" s="157"/>
      <c r="B145" s="157"/>
      <c r="C145" s="87"/>
      <c r="D145" s="310" t="s">
        <v>12616</v>
      </c>
      <c r="E145" s="313">
        <f>6*2</f>
        <v>12</v>
      </c>
      <c r="F145" s="311">
        <v>1.76</v>
      </c>
      <c r="G145" s="311">
        <v>1.1000000000000001</v>
      </c>
      <c r="H145" s="315" t="s">
        <v>30</v>
      </c>
      <c r="I145" s="315">
        <v>0.15</v>
      </c>
      <c r="J145" s="315">
        <f>E145*F145*G145</f>
        <v>23.232000000000003</v>
      </c>
      <c r="K145" s="315"/>
      <c r="L145" s="315" t="s">
        <v>21</v>
      </c>
      <c r="M145" s="322">
        <f>E145*((F145*2+G145*2)*I145)</f>
        <v>10.296000000000001</v>
      </c>
      <c r="N145" s="313"/>
      <c r="O145" s="33"/>
      <c r="P145" s="33"/>
      <c r="Q145" s="33"/>
      <c r="R145" s="33"/>
      <c r="S145" s="33"/>
    </row>
    <row r="146" spans="1:19" s="35" customFormat="1">
      <c r="A146" s="157"/>
      <c r="B146" s="157"/>
      <c r="C146" s="87"/>
      <c r="D146" s="310" t="s">
        <v>12617</v>
      </c>
      <c r="E146" s="313">
        <f>6*2</f>
        <v>12</v>
      </c>
      <c r="F146" s="311">
        <v>1.1000000000000001</v>
      </c>
      <c r="G146" s="311">
        <v>0.6</v>
      </c>
      <c r="H146" s="315" t="s">
        <v>30</v>
      </c>
      <c r="I146" s="315">
        <v>0.15</v>
      </c>
      <c r="J146" s="315">
        <f>E146*F146*G146</f>
        <v>7.92</v>
      </c>
      <c r="K146" s="315"/>
      <c r="L146" s="315" t="s">
        <v>21</v>
      </c>
      <c r="M146" s="322">
        <f>E146*((F146*2+G146*2)*I146)</f>
        <v>6.12</v>
      </c>
      <c r="N146" s="313"/>
      <c r="O146" s="33"/>
      <c r="P146" s="33"/>
      <c r="Q146" s="33"/>
      <c r="R146" s="33"/>
      <c r="S146" s="33"/>
    </row>
    <row r="147" spans="1:19" s="35" customFormat="1">
      <c r="A147" s="157"/>
      <c r="B147" s="157"/>
      <c r="C147" s="87"/>
      <c r="D147" s="320" t="s">
        <v>12440</v>
      </c>
      <c r="E147" s="79">
        <v>2</v>
      </c>
      <c r="F147" s="74">
        <f>2.3+17.7+1.2</f>
        <v>21.2</v>
      </c>
      <c r="G147" s="74">
        <v>13.9</v>
      </c>
      <c r="H147" s="74" t="s">
        <v>30</v>
      </c>
      <c r="I147" s="74">
        <v>0.15</v>
      </c>
      <c r="J147" s="74">
        <f>SUM(J142:J146)</f>
        <v>69.828600000000009</v>
      </c>
      <c r="K147" s="74"/>
      <c r="L147" s="74" t="s">
        <v>21</v>
      </c>
      <c r="M147" s="133">
        <f>E147*((F147*G147)+((F147*2+G147*2)*I147))-J147</f>
        <v>540.59139999999991</v>
      </c>
      <c r="N147" s="313"/>
      <c r="O147" s="33"/>
      <c r="P147" s="33"/>
      <c r="Q147" s="33"/>
      <c r="R147" s="33"/>
      <c r="S147" s="33"/>
    </row>
    <row r="148" spans="1:19" s="35" customFormat="1">
      <c r="A148" s="157"/>
      <c r="B148" s="157"/>
      <c r="C148" s="87"/>
      <c r="D148" s="310" t="s">
        <v>12603</v>
      </c>
      <c r="E148" s="313">
        <v>1</v>
      </c>
      <c r="F148" s="315">
        <v>2.7</v>
      </c>
      <c r="G148" s="315">
        <v>1.85</v>
      </c>
      <c r="H148" s="315">
        <v>0.2</v>
      </c>
      <c r="I148" s="315"/>
      <c r="J148" s="315"/>
      <c r="K148" s="315"/>
      <c r="L148" s="315" t="s">
        <v>21</v>
      </c>
      <c r="M148" s="322">
        <f>E148*((F148*G148)+(F148*2+G148*2)*H148)</f>
        <v>6.8150000000000013</v>
      </c>
      <c r="N148" s="313"/>
      <c r="O148" s="33"/>
      <c r="P148" s="33"/>
      <c r="Q148" s="33"/>
      <c r="R148" s="33"/>
      <c r="S148" s="33"/>
    </row>
    <row r="149" spans="1:19" s="35" customFormat="1">
      <c r="A149" s="157"/>
      <c r="B149" s="157"/>
      <c r="C149" s="87"/>
      <c r="D149" s="310" t="s">
        <v>12603</v>
      </c>
      <c r="E149" s="313">
        <v>1</v>
      </c>
      <c r="F149" s="315">
        <v>0.75</v>
      </c>
      <c r="G149" s="315">
        <v>1.1000000000000001</v>
      </c>
      <c r="H149" s="315">
        <v>0.2</v>
      </c>
      <c r="I149" s="315"/>
      <c r="J149" s="315"/>
      <c r="K149" s="315"/>
      <c r="L149" s="315" t="s">
        <v>21</v>
      </c>
      <c r="M149" s="322">
        <f>E149*((F149*G149)+(F149*2+G149*2)*H149)</f>
        <v>1.5650000000000002</v>
      </c>
      <c r="N149" s="313"/>
      <c r="O149" s="33"/>
      <c r="P149" s="33"/>
      <c r="Q149" s="33"/>
      <c r="R149" s="33"/>
      <c r="S149" s="33"/>
    </row>
    <row r="150" spans="1:19" s="35" customFormat="1">
      <c r="A150" s="157"/>
      <c r="B150" s="157"/>
      <c r="C150" s="87"/>
      <c r="D150" s="310" t="s">
        <v>12604</v>
      </c>
      <c r="E150" s="313">
        <v>2</v>
      </c>
      <c r="F150" s="315">
        <v>1.85</v>
      </c>
      <c r="G150" s="315">
        <v>0.15</v>
      </c>
      <c r="H150" s="315">
        <v>1.8</v>
      </c>
      <c r="I150" s="315"/>
      <c r="J150" s="315"/>
      <c r="K150" s="315"/>
      <c r="L150" s="315" t="s">
        <v>21</v>
      </c>
      <c r="M150" s="322">
        <f>E150*(2*(F150*H150))</f>
        <v>13.32</v>
      </c>
      <c r="N150" s="313"/>
      <c r="O150" s="33"/>
      <c r="P150" s="33"/>
      <c r="Q150" s="33"/>
      <c r="R150" s="33"/>
      <c r="S150" s="33"/>
    </row>
    <row r="151" spans="1:19" s="35" customFormat="1">
      <c r="A151" s="157"/>
      <c r="B151" s="157"/>
      <c r="C151" s="87"/>
      <c r="D151" s="310" t="s">
        <v>12605</v>
      </c>
      <c r="E151" s="313">
        <v>2</v>
      </c>
      <c r="F151" s="315">
        <v>1.85</v>
      </c>
      <c r="G151" s="315">
        <v>0.15</v>
      </c>
      <c r="H151" s="315">
        <v>1.8</v>
      </c>
      <c r="I151" s="315"/>
      <c r="J151" s="315"/>
      <c r="K151" s="315"/>
      <c r="L151" s="315" t="s">
        <v>21</v>
      </c>
      <c r="M151" s="322">
        <f t="shared" ref="M151:M157" si="2">E151*(2*(F151*H151))</f>
        <v>13.32</v>
      </c>
      <c r="N151" s="313"/>
      <c r="O151" s="33"/>
      <c r="P151" s="33"/>
      <c r="Q151" s="33"/>
      <c r="R151" s="33"/>
      <c r="S151" s="33"/>
    </row>
    <row r="152" spans="1:19" s="35" customFormat="1">
      <c r="A152" s="157"/>
      <c r="B152" s="157"/>
      <c r="C152" s="87"/>
      <c r="D152" s="310" t="s">
        <v>12606</v>
      </c>
      <c r="E152" s="313">
        <v>2</v>
      </c>
      <c r="F152" s="315">
        <v>0.75</v>
      </c>
      <c r="G152" s="315">
        <v>0.15</v>
      </c>
      <c r="H152" s="315">
        <v>1.8</v>
      </c>
      <c r="I152" s="315"/>
      <c r="J152" s="315"/>
      <c r="K152" s="315"/>
      <c r="L152" s="315" t="s">
        <v>21</v>
      </c>
      <c r="M152" s="322">
        <f t="shared" si="2"/>
        <v>5.4</v>
      </c>
      <c r="N152" s="313"/>
      <c r="O152" s="33"/>
      <c r="P152" s="33"/>
      <c r="Q152" s="33"/>
      <c r="R152" s="33"/>
      <c r="S152" s="33"/>
    </row>
    <row r="153" spans="1:19" s="35" customFormat="1">
      <c r="A153" s="157"/>
      <c r="B153" s="157"/>
      <c r="C153" s="87"/>
      <c r="D153" s="310" t="s">
        <v>12607</v>
      </c>
      <c r="E153" s="313">
        <v>1</v>
      </c>
      <c r="F153" s="315">
        <v>1.1000000000000001</v>
      </c>
      <c r="G153" s="315">
        <v>0.15</v>
      </c>
      <c r="H153" s="315">
        <v>1.8</v>
      </c>
      <c r="I153" s="315"/>
      <c r="J153" s="315"/>
      <c r="K153" s="315"/>
      <c r="L153" s="315" t="s">
        <v>21</v>
      </c>
      <c r="M153" s="322">
        <f t="shared" si="2"/>
        <v>3.9600000000000004</v>
      </c>
      <c r="N153" s="313"/>
      <c r="O153" s="33"/>
      <c r="P153" s="33"/>
      <c r="Q153" s="33"/>
      <c r="R153" s="33"/>
      <c r="S153" s="33"/>
    </row>
    <row r="154" spans="1:19" s="35" customFormat="1">
      <c r="A154" s="157"/>
      <c r="B154" s="157"/>
      <c r="C154" s="87"/>
      <c r="D154" s="310" t="s">
        <v>12608</v>
      </c>
      <c r="E154" s="313">
        <v>2</v>
      </c>
      <c r="F154" s="315">
        <v>0.95</v>
      </c>
      <c r="G154" s="315">
        <v>0.15</v>
      </c>
      <c r="H154" s="315">
        <v>1.8</v>
      </c>
      <c r="I154" s="315"/>
      <c r="J154" s="315"/>
      <c r="K154" s="315"/>
      <c r="L154" s="315" t="s">
        <v>21</v>
      </c>
      <c r="M154" s="322">
        <f t="shared" si="2"/>
        <v>6.84</v>
      </c>
      <c r="N154" s="313"/>
      <c r="O154" s="33"/>
      <c r="P154" s="33"/>
      <c r="Q154" s="33"/>
      <c r="R154" s="33"/>
      <c r="S154" s="33"/>
    </row>
    <row r="155" spans="1:19" s="35" customFormat="1">
      <c r="A155" s="157"/>
      <c r="B155" s="157"/>
      <c r="C155" s="87"/>
      <c r="D155" s="310" t="s">
        <v>12609</v>
      </c>
      <c r="E155" s="313">
        <v>1</v>
      </c>
      <c r="F155" s="315">
        <v>0.8</v>
      </c>
      <c r="G155" s="315">
        <v>0.15</v>
      </c>
      <c r="H155" s="315">
        <v>0.75</v>
      </c>
      <c r="I155" s="315"/>
      <c r="J155" s="315"/>
      <c r="K155" s="315"/>
      <c r="L155" s="315" t="s">
        <v>21</v>
      </c>
      <c r="M155" s="322">
        <f t="shared" si="2"/>
        <v>1.2000000000000002</v>
      </c>
      <c r="N155" s="313"/>
      <c r="O155" s="33"/>
      <c r="P155" s="33"/>
      <c r="Q155" s="33"/>
      <c r="R155" s="33"/>
      <c r="S155" s="33"/>
    </row>
    <row r="156" spans="1:19" s="35" customFormat="1">
      <c r="A156" s="157"/>
      <c r="B156" s="157"/>
      <c r="C156" s="87"/>
      <c r="D156" s="310" t="s">
        <v>12610</v>
      </c>
      <c r="E156" s="313">
        <v>2</v>
      </c>
      <c r="F156" s="315">
        <v>0.5</v>
      </c>
      <c r="G156" s="315">
        <v>0.15</v>
      </c>
      <c r="H156" s="315">
        <v>1.8</v>
      </c>
      <c r="I156" s="315"/>
      <c r="J156" s="315"/>
      <c r="K156" s="315"/>
      <c r="L156" s="315" t="s">
        <v>21</v>
      </c>
      <c r="M156" s="322">
        <f t="shared" si="2"/>
        <v>3.6</v>
      </c>
      <c r="N156" s="313"/>
      <c r="O156" s="33"/>
      <c r="P156" s="33"/>
      <c r="Q156" s="33"/>
      <c r="R156" s="33"/>
      <c r="S156" s="33"/>
    </row>
    <row r="157" spans="1:19" s="35" customFormat="1">
      <c r="A157" s="157"/>
      <c r="B157" s="157"/>
      <c r="C157" s="87"/>
      <c r="D157" s="310" t="s">
        <v>12611</v>
      </c>
      <c r="E157" s="313">
        <v>1</v>
      </c>
      <c r="F157" s="315">
        <v>2.7</v>
      </c>
      <c r="G157" s="315">
        <v>0.15</v>
      </c>
      <c r="H157" s="315">
        <v>1.8</v>
      </c>
      <c r="I157" s="315"/>
      <c r="J157" s="315"/>
      <c r="K157" s="315"/>
      <c r="L157" s="315" t="s">
        <v>21</v>
      </c>
      <c r="M157" s="322">
        <f t="shared" si="2"/>
        <v>9.7200000000000006</v>
      </c>
      <c r="N157" s="313"/>
      <c r="O157" s="33"/>
      <c r="P157" s="33"/>
      <c r="Q157" s="33"/>
      <c r="R157" s="33"/>
      <c r="S157" s="33"/>
    </row>
    <row r="158" spans="1:19" s="35" customFormat="1">
      <c r="A158" s="157"/>
      <c r="B158" s="157"/>
      <c r="C158" s="87"/>
      <c r="D158" s="310" t="s">
        <v>12612</v>
      </c>
      <c r="E158" s="313">
        <v>1</v>
      </c>
      <c r="F158" s="315">
        <f>1.1+1.85</f>
        <v>2.95</v>
      </c>
      <c r="G158" s="315">
        <v>2.7</v>
      </c>
      <c r="H158" s="315">
        <v>0.15</v>
      </c>
      <c r="I158" s="315">
        <f>4*0.5*0.7+1.1*1.55+0.8*0.75</f>
        <v>3.7050000000000005</v>
      </c>
      <c r="J158" s="315"/>
      <c r="K158" s="315"/>
      <c r="L158" s="315" t="s">
        <v>21</v>
      </c>
      <c r="M158" s="322">
        <f>E158*((F158*G158)+(F158*2+G158*2)*H158)-I158</f>
        <v>5.9550000000000001</v>
      </c>
      <c r="N158" s="313"/>
      <c r="O158" s="33"/>
      <c r="P158" s="33"/>
      <c r="Q158" s="33"/>
      <c r="R158" s="33"/>
      <c r="S158" s="33"/>
    </row>
    <row r="159" spans="1:19" s="35" customFormat="1" ht="15" customHeight="1">
      <c r="A159" s="157"/>
      <c r="B159" s="157"/>
      <c r="C159" s="87"/>
      <c r="D159" s="327"/>
      <c r="E159" s="313"/>
      <c r="F159" s="315"/>
      <c r="G159" s="315"/>
      <c r="H159" s="315"/>
      <c r="I159" s="315"/>
      <c r="J159" s="1734" t="s">
        <v>12618</v>
      </c>
      <c r="K159" s="1734"/>
      <c r="L159" s="83" t="s">
        <v>21</v>
      </c>
      <c r="M159" s="167">
        <f>SUM(M123:M158)</f>
        <v>3914.5252</v>
      </c>
      <c r="N159" s="313"/>
      <c r="O159" s="33"/>
      <c r="P159" s="33"/>
      <c r="Q159" s="33"/>
      <c r="R159" s="33"/>
      <c r="S159" s="33"/>
    </row>
    <row r="160" spans="1:19" s="35" customFormat="1">
      <c r="A160" s="157"/>
      <c r="B160" s="157"/>
      <c r="C160" s="87"/>
      <c r="D160" s="169" t="s">
        <v>12619</v>
      </c>
      <c r="E160" s="170" t="s">
        <v>1275</v>
      </c>
      <c r="F160" s="170" t="s">
        <v>11684</v>
      </c>
      <c r="G160" s="170" t="s">
        <v>19</v>
      </c>
      <c r="H160" s="170" t="s">
        <v>32</v>
      </c>
      <c r="I160" s="170" t="s">
        <v>36</v>
      </c>
      <c r="J160" s="170" t="s">
        <v>12593</v>
      </c>
      <c r="K160" s="170" t="s">
        <v>30</v>
      </c>
      <c r="L160" s="170" t="s">
        <v>30</v>
      </c>
      <c r="M160" s="171" t="s">
        <v>30</v>
      </c>
      <c r="N160" s="313"/>
      <c r="O160" s="33"/>
      <c r="P160" s="33"/>
      <c r="Q160" s="33"/>
      <c r="R160" s="33"/>
      <c r="S160" s="33"/>
    </row>
    <row r="161" spans="1:19" s="35" customFormat="1">
      <c r="A161" s="157"/>
      <c r="B161" s="157"/>
      <c r="C161" s="87"/>
      <c r="D161" s="310" t="s">
        <v>12518</v>
      </c>
      <c r="E161" s="313">
        <v>0</v>
      </c>
      <c r="F161" s="315">
        <f>17.2+0.5</f>
        <v>17.7</v>
      </c>
      <c r="G161" s="315">
        <f>12.8+0.5</f>
        <v>13.3</v>
      </c>
      <c r="H161" s="315">
        <v>0.3</v>
      </c>
      <c r="I161" s="315" t="s">
        <v>30</v>
      </c>
      <c r="J161" s="315" t="s">
        <v>30</v>
      </c>
      <c r="K161" s="315"/>
      <c r="L161" s="315" t="s">
        <v>21</v>
      </c>
      <c r="M161" s="322">
        <f>E161*((2*F161+2*G161)*H161)</f>
        <v>0</v>
      </c>
      <c r="N161" s="313"/>
      <c r="O161" s="33"/>
      <c r="P161" s="33"/>
      <c r="Q161" s="33"/>
      <c r="R161" s="33"/>
      <c r="S161" s="33"/>
    </row>
    <row r="162" spans="1:19" s="35" customFormat="1">
      <c r="A162" s="157"/>
      <c r="B162" s="157"/>
      <c r="C162" s="87"/>
      <c r="D162" s="310" t="s">
        <v>12620</v>
      </c>
      <c r="E162" s="313">
        <f>E124*2</f>
        <v>96</v>
      </c>
      <c r="F162" s="315">
        <v>0.2</v>
      </c>
      <c r="G162" s="315">
        <v>0.2</v>
      </c>
      <c r="H162" s="315">
        <f>4.85-1.55-0.174-0.11</f>
        <v>3.016</v>
      </c>
      <c r="I162" s="315" t="s">
        <v>30</v>
      </c>
      <c r="J162" s="315" t="s">
        <v>30</v>
      </c>
      <c r="K162" s="315"/>
      <c r="L162" s="315" t="s">
        <v>21</v>
      </c>
      <c r="M162" s="322">
        <f>E162*((2*F162+2*G162)*H162)</f>
        <v>231.62880000000001</v>
      </c>
      <c r="N162" s="313"/>
      <c r="O162" s="33"/>
      <c r="P162" s="33"/>
      <c r="Q162" s="33"/>
      <c r="R162" s="33"/>
      <c r="S162" s="33"/>
    </row>
    <row r="163" spans="1:19" s="35" customFormat="1">
      <c r="A163" s="157"/>
      <c r="B163" s="157"/>
      <c r="C163" s="87"/>
      <c r="D163" s="310" t="s">
        <v>12621</v>
      </c>
      <c r="E163" s="313">
        <f>E125*2</f>
        <v>4</v>
      </c>
      <c r="F163" s="315">
        <v>0.15</v>
      </c>
      <c r="G163" s="315">
        <v>0.3</v>
      </c>
      <c r="H163" s="315">
        <v>3.25</v>
      </c>
      <c r="I163" s="315" t="s">
        <v>30</v>
      </c>
      <c r="J163" s="315" t="s">
        <v>30</v>
      </c>
      <c r="K163" s="315"/>
      <c r="L163" s="315" t="s">
        <v>21</v>
      </c>
      <c r="M163" s="322">
        <f>E163*((2*F163+2*G163)*H163)</f>
        <v>11.7</v>
      </c>
      <c r="N163" s="313"/>
      <c r="O163" s="33"/>
      <c r="P163" s="33"/>
      <c r="Q163" s="33"/>
      <c r="R163" s="33"/>
      <c r="S163" s="33"/>
    </row>
    <row r="164" spans="1:19" s="35" customFormat="1">
      <c r="A164" s="157"/>
      <c r="B164" s="157"/>
      <c r="C164" s="87"/>
      <c r="D164" s="310" t="s">
        <v>12595</v>
      </c>
      <c r="E164" s="313">
        <f t="shared" ref="E164:E196" si="3">E126*2</f>
        <v>4</v>
      </c>
      <c r="F164" s="315">
        <v>0.5</v>
      </c>
      <c r="G164" s="315">
        <v>0.5</v>
      </c>
      <c r="H164" s="315">
        <v>0.5</v>
      </c>
      <c r="I164" s="315" t="s">
        <v>30</v>
      </c>
      <c r="J164" s="315" t="s">
        <v>30</v>
      </c>
      <c r="K164" s="315"/>
      <c r="L164" s="315" t="s">
        <v>21</v>
      </c>
      <c r="M164" s="322">
        <f>E164*((2*F164+2*G164)*H164)</f>
        <v>4</v>
      </c>
      <c r="N164" s="313"/>
      <c r="O164" s="33"/>
      <c r="P164" s="33"/>
      <c r="Q164" s="33"/>
      <c r="R164" s="33"/>
      <c r="S164" s="33"/>
    </row>
    <row r="165" spans="1:19" s="35" customFormat="1">
      <c r="A165" s="157"/>
      <c r="B165" s="157"/>
      <c r="C165" s="87"/>
      <c r="D165" s="310" t="s">
        <v>12594</v>
      </c>
      <c r="E165" s="313">
        <v>0</v>
      </c>
      <c r="F165" s="315">
        <v>0.3</v>
      </c>
      <c r="G165" s="315">
        <v>0.05</v>
      </c>
      <c r="H165" s="315">
        <v>1.05</v>
      </c>
      <c r="I165" s="315"/>
      <c r="J165" s="315" t="s">
        <v>30</v>
      </c>
      <c r="K165" s="315"/>
      <c r="L165" s="315" t="s">
        <v>21</v>
      </c>
      <c r="M165" s="322">
        <f>E165*((2*F165+2*G165)*H165)</f>
        <v>0</v>
      </c>
      <c r="N165" s="313"/>
      <c r="O165" s="33"/>
      <c r="P165" s="33"/>
      <c r="Q165" s="33"/>
      <c r="R165" s="33"/>
      <c r="S165" s="33"/>
    </row>
    <row r="166" spans="1:19" s="35" customFormat="1">
      <c r="A166" s="157"/>
      <c r="B166" s="157"/>
      <c r="C166" s="87"/>
      <c r="D166" s="310" t="s">
        <v>12586</v>
      </c>
      <c r="E166" s="313">
        <f t="shared" si="3"/>
        <v>4</v>
      </c>
      <c r="F166" s="315">
        <f>17.2+0.5</f>
        <v>17.7</v>
      </c>
      <c r="G166" s="315">
        <f>13.9</f>
        <v>13.9</v>
      </c>
      <c r="H166" s="315">
        <v>1.1000000000000001</v>
      </c>
      <c r="I166" s="315">
        <v>0.25</v>
      </c>
      <c r="J166" s="315" t="s">
        <v>30</v>
      </c>
      <c r="K166" s="315"/>
      <c r="L166" s="315" t="s">
        <v>21</v>
      </c>
      <c r="M166" s="322">
        <f>E166*(2*((2*F166+2*G166)*H166))</f>
        <v>556.16000000000008</v>
      </c>
      <c r="N166" s="313"/>
      <c r="O166" s="33"/>
      <c r="P166" s="33"/>
      <c r="Q166" s="33"/>
      <c r="R166" s="33"/>
      <c r="S166" s="33"/>
    </row>
    <row r="167" spans="1:19" s="35" customFormat="1">
      <c r="A167" s="157"/>
      <c r="B167" s="157"/>
      <c r="C167" s="87"/>
      <c r="D167" s="310" t="s">
        <v>12587</v>
      </c>
      <c r="E167" s="313">
        <f t="shared" si="3"/>
        <v>32</v>
      </c>
      <c r="F167" s="315">
        <v>17.2</v>
      </c>
      <c r="G167" s="315" t="s">
        <v>30</v>
      </c>
      <c r="H167" s="315">
        <v>0.9</v>
      </c>
      <c r="I167" s="315">
        <v>0.2</v>
      </c>
      <c r="J167" s="315" t="s">
        <v>30</v>
      </c>
      <c r="K167" s="315"/>
      <c r="L167" s="315" t="s">
        <v>21</v>
      </c>
      <c r="M167" s="322">
        <f t="shared" ref="M167:M172" si="4">E167*((F167*I167)+(2*F167*H167))</f>
        <v>1100.8</v>
      </c>
      <c r="N167" s="313"/>
      <c r="O167" s="33"/>
      <c r="P167" s="33"/>
      <c r="Q167" s="33"/>
      <c r="R167" s="33"/>
      <c r="S167" s="33"/>
    </row>
    <row r="168" spans="1:19" s="35" customFormat="1" ht="14.25" customHeight="1">
      <c r="A168" s="157"/>
      <c r="B168" s="157"/>
      <c r="C168" s="87"/>
      <c r="D168" s="310" t="s">
        <v>12588</v>
      </c>
      <c r="E168" s="313">
        <f t="shared" si="3"/>
        <v>16</v>
      </c>
      <c r="F168" s="315">
        <v>2.4500000000000002</v>
      </c>
      <c r="G168" s="315" t="s">
        <v>30</v>
      </c>
      <c r="H168" s="315">
        <v>0.3</v>
      </c>
      <c r="I168" s="315">
        <v>0.2</v>
      </c>
      <c r="J168" s="315" t="s">
        <v>30</v>
      </c>
      <c r="K168" s="315"/>
      <c r="L168" s="315" t="s">
        <v>21</v>
      </c>
      <c r="M168" s="322">
        <f t="shared" si="4"/>
        <v>31.36</v>
      </c>
      <c r="N168" s="313"/>
      <c r="O168" s="33"/>
      <c r="P168" s="33"/>
      <c r="Q168" s="33"/>
      <c r="R168" s="33"/>
      <c r="S168" s="33"/>
    </row>
    <row r="169" spans="1:19" s="35" customFormat="1">
      <c r="A169" s="157"/>
      <c r="B169" s="157"/>
      <c r="C169" s="87"/>
      <c r="D169" s="310" t="s">
        <v>12589</v>
      </c>
      <c r="E169" s="313">
        <f t="shared" si="3"/>
        <v>16</v>
      </c>
      <c r="F169" s="315">
        <v>4.5</v>
      </c>
      <c r="G169" s="315" t="s">
        <v>30</v>
      </c>
      <c r="H169" s="315">
        <v>0.3</v>
      </c>
      <c r="I169" s="315">
        <v>0.2</v>
      </c>
      <c r="J169" s="315" t="s">
        <v>30</v>
      </c>
      <c r="K169" s="315"/>
      <c r="L169" s="315" t="s">
        <v>21</v>
      </c>
      <c r="M169" s="322">
        <f t="shared" si="4"/>
        <v>57.599999999999994</v>
      </c>
      <c r="N169" s="313"/>
      <c r="O169" s="33"/>
      <c r="P169" s="33"/>
      <c r="Q169" s="33"/>
      <c r="R169" s="33"/>
      <c r="S169" s="33"/>
    </row>
    <row r="170" spans="1:19" s="35" customFormat="1">
      <c r="A170" s="157"/>
      <c r="B170" s="157"/>
      <c r="C170" s="87"/>
      <c r="D170" s="310" t="s">
        <v>12590</v>
      </c>
      <c r="E170" s="313">
        <f t="shared" si="3"/>
        <v>32</v>
      </c>
      <c r="F170" s="315">
        <v>12.8</v>
      </c>
      <c r="G170" s="315" t="s">
        <v>30</v>
      </c>
      <c r="H170" s="315">
        <v>0.3</v>
      </c>
      <c r="I170" s="315">
        <v>0.2</v>
      </c>
      <c r="J170" s="315" t="s">
        <v>30</v>
      </c>
      <c r="K170" s="315"/>
      <c r="L170" s="315" t="s">
        <v>21</v>
      </c>
      <c r="M170" s="322">
        <f t="shared" si="4"/>
        <v>327.68</v>
      </c>
      <c r="N170" s="313"/>
      <c r="O170" s="33"/>
      <c r="P170" s="33"/>
      <c r="Q170" s="33"/>
      <c r="R170" s="33"/>
      <c r="S170" s="33"/>
    </row>
    <row r="171" spans="1:19" s="35" customFormat="1">
      <c r="A171" s="157"/>
      <c r="B171" s="157"/>
      <c r="C171" s="87"/>
      <c r="D171" s="310" t="s">
        <v>12591</v>
      </c>
      <c r="E171" s="313">
        <f t="shared" si="3"/>
        <v>4</v>
      </c>
      <c r="F171" s="315">
        <v>17.2</v>
      </c>
      <c r="G171" s="315" t="s">
        <v>30</v>
      </c>
      <c r="H171" s="315">
        <v>0.15</v>
      </c>
      <c r="I171" s="315">
        <v>0.2</v>
      </c>
      <c r="J171" s="315" t="s">
        <v>30</v>
      </c>
      <c r="K171" s="315"/>
      <c r="L171" s="315" t="s">
        <v>21</v>
      </c>
      <c r="M171" s="322">
        <f t="shared" si="4"/>
        <v>34.4</v>
      </c>
      <c r="N171" s="313"/>
      <c r="O171" s="33"/>
      <c r="P171" s="33"/>
      <c r="Q171" s="33"/>
      <c r="R171" s="33"/>
      <c r="S171" s="33"/>
    </row>
    <row r="172" spans="1:19" s="35" customFormat="1">
      <c r="A172" s="157"/>
      <c r="B172" s="157"/>
      <c r="C172" s="87"/>
      <c r="D172" s="310" t="s">
        <v>12592</v>
      </c>
      <c r="E172" s="313">
        <f t="shared" si="3"/>
        <v>32</v>
      </c>
      <c r="F172" s="315">
        <v>12.8</v>
      </c>
      <c r="G172" s="315" t="s">
        <v>30</v>
      </c>
      <c r="H172" s="315">
        <v>0.3</v>
      </c>
      <c r="I172" s="315">
        <v>0.2</v>
      </c>
      <c r="J172" s="315" t="s">
        <v>30</v>
      </c>
      <c r="K172" s="315"/>
      <c r="L172" s="315" t="s">
        <v>21</v>
      </c>
      <c r="M172" s="322">
        <f t="shared" si="4"/>
        <v>327.68</v>
      </c>
      <c r="N172" s="313"/>
      <c r="O172" s="33"/>
      <c r="P172" s="33"/>
      <c r="Q172" s="33"/>
      <c r="R172" s="33"/>
      <c r="S172" s="33"/>
    </row>
    <row r="173" spans="1:19" s="35" customFormat="1">
      <c r="A173" s="157"/>
      <c r="B173" s="157"/>
      <c r="C173" s="87"/>
      <c r="D173" s="324" t="s">
        <v>12596</v>
      </c>
      <c r="E173" s="116">
        <f t="shared" si="3"/>
        <v>4</v>
      </c>
      <c r="F173" s="321">
        <f>0.85+0.2*2+0.45</f>
        <v>1.7</v>
      </c>
      <c r="G173" s="321">
        <v>13.4</v>
      </c>
      <c r="H173" s="321"/>
      <c r="I173" s="321"/>
      <c r="J173" s="321"/>
      <c r="K173" s="321"/>
      <c r="L173" s="321" t="s">
        <v>21</v>
      </c>
      <c r="M173" s="172">
        <f t="shared" ref="M173:M180" si="5">E173*F173*G173</f>
        <v>91.12</v>
      </c>
      <c r="N173" s="313"/>
      <c r="O173" s="33"/>
      <c r="P173" s="33"/>
      <c r="Q173" s="33"/>
      <c r="R173" s="33"/>
      <c r="S173" s="33"/>
    </row>
    <row r="174" spans="1:19" s="35" customFormat="1">
      <c r="A174" s="157"/>
      <c r="B174" s="157"/>
      <c r="C174" s="87"/>
      <c r="D174" s="310" t="s">
        <v>12597</v>
      </c>
      <c r="E174" s="313">
        <v>0</v>
      </c>
      <c r="F174" s="315">
        <f>0.65*2+0.11</f>
        <v>1.4100000000000001</v>
      </c>
      <c r="G174" s="315">
        <v>17.2</v>
      </c>
      <c r="H174" s="315"/>
      <c r="I174" s="315"/>
      <c r="J174" s="315"/>
      <c r="K174" s="315"/>
      <c r="L174" s="315" t="s">
        <v>21</v>
      </c>
      <c r="M174" s="322">
        <f t="shared" si="5"/>
        <v>0</v>
      </c>
      <c r="N174" s="313"/>
      <c r="O174" s="33"/>
      <c r="P174" s="33"/>
      <c r="Q174" s="33"/>
      <c r="R174" s="33"/>
      <c r="S174" s="33"/>
    </row>
    <row r="175" spans="1:19" s="35" customFormat="1">
      <c r="A175" s="157"/>
      <c r="B175" s="157"/>
      <c r="C175" s="87"/>
      <c r="D175" s="310" t="s">
        <v>12598</v>
      </c>
      <c r="E175" s="313">
        <v>0</v>
      </c>
      <c r="F175" s="315">
        <f>0.55*2+0.2+0.11*2+0.6*2</f>
        <v>2.7199999999999998</v>
      </c>
      <c r="G175" s="315">
        <v>17.2</v>
      </c>
      <c r="H175" s="315"/>
      <c r="I175" s="315"/>
      <c r="J175" s="315"/>
      <c r="K175" s="315"/>
      <c r="L175" s="315" t="s">
        <v>21</v>
      </c>
      <c r="M175" s="322">
        <f t="shared" si="5"/>
        <v>0</v>
      </c>
      <c r="N175" s="313"/>
      <c r="O175" s="33"/>
      <c r="P175" s="33"/>
      <c r="Q175" s="33"/>
      <c r="R175" s="33"/>
      <c r="S175" s="33"/>
    </row>
    <row r="176" spans="1:19" s="35" customFormat="1">
      <c r="A176" s="157"/>
      <c r="B176" s="157"/>
      <c r="C176" s="87"/>
      <c r="D176" s="310" t="s">
        <v>12599</v>
      </c>
      <c r="E176" s="313">
        <f t="shared" si="3"/>
        <v>4</v>
      </c>
      <c r="F176" s="315">
        <f>0.85+0.2*2+0.45</f>
        <v>1.7</v>
      </c>
      <c r="G176" s="315">
        <v>13.4</v>
      </c>
      <c r="H176" s="315"/>
      <c r="I176" s="315"/>
      <c r="J176" s="315"/>
      <c r="K176" s="315"/>
      <c r="L176" s="315" t="s">
        <v>21</v>
      </c>
      <c r="M176" s="322">
        <f t="shared" si="5"/>
        <v>91.12</v>
      </c>
      <c r="N176" s="313"/>
      <c r="O176" s="33"/>
      <c r="P176" s="33"/>
      <c r="Q176" s="33"/>
      <c r="R176" s="33"/>
      <c r="S176" s="33"/>
    </row>
    <row r="177" spans="1:19" s="35" customFormat="1">
      <c r="A177" s="157"/>
      <c r="B177" s="157"/>
      <c r="C177" s="87"/>
      <c r="D177" s="310" t="s">
        <v>12600</v>
      </c>
      <c r="E177" s="313">
        <v>0</v>
      </c>
      <c r="F177" s="315">
        <v>0.4</v>
      </c>
      <c r="G177" s="315">
        <v>13.4</v>
      </c>
      <c r="H177" s="315"/>
      <c r="I177" s="315"/>
      <c r="J177" s="315"/>
      <c r="K177" s="315"/>
      <c r="L177" s="315" t="s">
        <v>21</v>
      </c>
      <c r="M177" s="322">
        <f t="shared" si="5"/>
        <v>0</v>
      </c>
      <c r="N177" s="313"/>
      <c r="O177" s="33"/>
      <c r="P177" s="33"/>
      <c r="Q177" s="33"/>
      <c r="R177" s="33"/>
      <c r="S177" s="33"/>
    </row>
    <row r="178" spans="1:19" s="35" customFormat="1">
      <c r="A178" s="157"/>
      <c r="B178" s="157"/>
      <c r="C178" s="87"/>
      <c r="D178" s="310" t="s">
        <v>12601</v>
      </c>
      <c r="E178" s="313">
        <f t="shared" si="3"/>
        <v>16</v>
      </c>
      <c r="F178" s="315">
        <v>1.5</v>
      </c>
      <c r="G178" s="315">
        <v>17.2</v>
      </c>
      <c r="H178" s="315"/>
      <c r="I178" s="315"/>
      <c r="J178" s="315"/>
      <c r="K178" s="315"/>
      <c r="L178" s="315" t="s">
        <v>21</v>
      </c>
      <c r="M178" s="322">
        <f t="shared" si="5"/>
        <v>412.79999999999995</v>
      </c>
      <c r="N178" s="313"/>
      <c r="O178" s="33"/>
      <c r="P178" s="33"/>
      <c r="Q178" s="33"/>
      <c r="R178" s="33"/>
      <c r="S178" s="33"/>
    </row>
    <row r="179" spans="1:19" s="35" customFormat="1">
      <c r="A179" s="157"/>
      <c r="B179" s="157"/>
      <c r="C179" s="87"/>
      <c r="D179" s="320" t="s">
        <v>12602</v>
      </c>
      <c r="E179" s="79">
        <f t="shared" si="3"/>
        <v>8</v>
      </c>
      <c r="F179" s="79">
        <f>(50+20+15+47.5+30+15+45)/100</f>
        <v>2.2250000000000001</v>
      </c>
      <c r="G179" s="74">
        <f>2.15+0.3</f>
        <v>2.4499999999999997</v>
      </c>
      <c r="H179" s="74"/>
      <c r="I179" s="74"/>
      <c r="J179" s="74"/>
      <c r="K179" s="74"/>
      <c r="L179" s="74" t="s">
        <v>21</v>
      </c>
      <c r="M179" s="133">
        <f t="shared" si="5"/>
        <v>43.61</v>
      </c>
      <c r="N179" s="313"/>
      <c r="O179" s="33"/>
      <c r="P179" s="33"/>
      <c r="Q179" s="33"/>
      <c r="R179" s="33"/>
      <c r="S179" s="33"/>
    </row>
    <row r="180" spans="1:19" s="35" customFormat="1">
      <c r="A180" s="157"/>
      <c r="B180" s="157"/>
      <c r="C180" s="87"/>
      <c r="D180" s="324" t="s">
        <v>12613</v>
      </c>
      <c r="E180" s="116">
        <f t="shared" si="3"/>
        <v>8</v>
      </c>
      <c r="F180" s="173">
        <v>2.15</v>
      </c>
      <c r="G180" s="173">
        <v>1.125</v>
      </c>
      <c r="H180" s="321" t="s">
        <v>30</v>
      </c>
      <c r="I180" s="321">
        <v>0.15</v>
      </c>
      <c r="J180" s="321">
        <f>E180*F180*G180</f>
        <v>19.349999999999998</v>
      </c>
      <c r="K180" s="321"/>
      <c r="L180" s="321" t="s">
        <v>21</v>
      </c>
      <c r="M180" s="172">
        <f t="shared" si="5"/>
        <v>19.349999999999998</v>
      </c>
      <c r="N180" s="313"/>
      <c r="O180" s="33"/>
      <c r="P180" s="33"/>
      <c r="Q180" s="33"/>
      <c r="R180" s="33"/>
      <c r="S180" s="33"/>
    </row>
    <row r="181" spans="1:19" s="35" customFormat="1">
      <c r="A181" s="157"/>
      <c r="B181" s="157"/>
      <c r="C181" s="87"/>
      <c r="D181" s="310" t="s">
        <v>12614</v>
      </c>
      <c r="E181" s="313">
        <f t="shared" si="3"/>
        <v>192</v>
      </c>
      <c r="F181" s="311">
        <v>0.6</v>
      </c>
      <c r="G181" s="311">
        <v>0.20100000000000001</v>
      </c>
      <c r="H181" s="315" t="s">
        <v>30</v>
      </c>
      <c r="I181" s="315">
        <v>0.15</v>
      </c>
      <c r="J181" s="315">
        <f>E181*F181*G181</f>
        <v>23.155200000000001</v>
      </c>
      <c r="K181" s="315"/>
      <c r="L181" s="315" t="s">
        <v>21</v>
      </c>
      <c r="M181" s="322">
        <f>E181*((F181*2+G181*2)*I181)</f>
        <v>46.137599999999992</v>
      </c>
      <c r="N181" s="313"/>
      <c r="O181" s="33"/>
      <c r="P181" s="33"/>
      <c r="Q181" s="33"/>
      <c r="R181" s="33"/>
      <c r="S181" s="33"/>
    </row>
    <row r="182" spans="1:19" s="35" customFormat="1">
      <c r="A182" s="157"/>
      <c r="B182" s="157"/>
      <c r="C182" s="87"/>
      <c r="D182" s="310" t="s">
        <v>12615</v>
      </c>
      <c r="E182" s="313">
        <f t="shared" si="3"/>
        <v>24</v>
      </c>
      <c r="F182" s="311">
        <v>1.32</v>
      </c>
      <c r="G182" s="311">
        <v>1.1000000000000001</v>
      </c>
      <c r="H182" s="315" t="s">
        <v>30</v>
      </c>
      <c r="I182" s="315">
        <v>0.15</v>
      </c>
      <c r="J182" s="315">
        <f>E182*F182*G182</f>
        <v>34.847999999999999</v>
      </c>
      <c r="K182" s="315"/>
      <c r="L182" s="315" t="s">
        <v>21</v>
      </c>
      <c r="M182" s="322">
        <f>E182*((F182*2+G182*2)*I182)</f>
        <v>17.423999999999999</v>
      </c>
      <c r="N182" s="313"/>
      <c r="O182" s="33"/>
      <c r="P182" s="33"/>
      <c r="Q182" s="33"/>
      <c r="R182" s="33"/>
      <c r="S182" s="33"/>
    </row>
    <row r="183" spans="1:19" s="35" customFormat="1">
      <c r="A183" s="157"/>
      <c r="B183" s="157"/>
      <c r="C183" s="87"/>
      <c r="D183" s="310" t="s">
        <v>12616</v>
      </c>
      <c r="E183" s="313">
        <f t="shared" si="3"/>
        <v>24</v>
      </c>
      <c r="F183" s="311">
        <v>1.76</v>
      </c>
      <c r="G183" s="311">
        <v>1.1000000000000001</v>
      </c>
      <c r="H183" s="315" t="s">
        <v>30</v>
      </c>
      <c r="I183" s="315">
        <v>0.15</v>
      </c>
      <c r="J183" s="315">
        <f>E183*F183*G183</f>
        <v>46.464000000000006</v>
      </c>
      <c r="K183" s="315"/>
      <c r="L183" s="315" t="s">
        <v>21</v>
      </c>
      <c r="M183" s="322">
        <f>E183*((F183*2+G183*2)*I183)</f>
        <v>20.592000000000002</v>
      </c>
      <c r="N183" s="313"/>
      <c r="O183" s="33"/>
      <c r="P183" s="33"/>
      <c r="Q183" s="33"/>
      <c r="R183" s="33"/>
      <c r="S183" s="33"/>
    </row>
    <row r="184" spans="1:19" s="35" customFormat="1">
      <c r="A184" s="157"/>
      <c r="B184" s="157"/>
      <c r="C184" s="87"/>
      <c r="D184" s="310" t="s">
        <v>12617</v>
      </c>
      <c r="E184" s="313">
        <f t="shared" si="3"/>
        <v>24</v>
      </c>
      <c r="F184" s="311">
        <v>1.1000000000000001</v>
      </c>
      <c r="G184" s="311">
        <v>0.6</v>
      </c>
      <c r="H184" s="315" t="s">
        <v>30</v>
      </c>
      <c r="I184" s="315">
        <v>0.15</v>
      </c>
      <c r="J184" s="315">
        <f>E184*F184*G184</f>
        <v>15.84</v>
      </c>
      <c r="K184" s="315"/>
      <c r="L184" s="315" t="s">
        <v>21</v>
      </c>
      <c r="M184" s="322">
        <f>E184*((F184*2+G184*2)*I184)</f>
        <v>12.24</v>
      </c>
      <c r="N184" s="313"/>
      <c r="O184" s="33"/>
      <c r="P184" s="33"/>
      <c r="Q184" s="33"/>
      <c r="R184" s="33"/>
      <c r="S184" s="33"/>
    </row>
    <row r="185" spans="1:19" s="35" customFormat="1">
      <c r="A185" s="157"/>
      <c r="B185" s="157"/>
      <c r="C185" s="87"/>
      <c r="D185" s="320" t="s">
        <v>12440</v>
      </c>
      <c r="E185" s="79">
        <f t="shared" si="3"/>
        <v>4</v>
      </c>
      <c r="F185" s="74">
        <f>2.3+17.7+1.2</f>
        <v>21.2</v>
      </c>
      <c r="G185" s="74">
        <v>13.9</v>
      </c>
      <c r="H185" s="74" t="s">
        <v>30</v>
      </c>
      <c r="I185" s="74">
        <v>0.15</v>
      </c>
      <c r="J185" s="74">
        <f>SUM(J180:J184)</f>
        <v>139.65720000000002</v>
      </c>
      <c r="K185" s="74"/>
      <c r="L185" s="74" t="s">
        <v>21</v>
      </c>
      <c r="M185" s="133">
        <f>E185*((F185*G185)+((F185*2+G185*2)*I185))-J185</f>
        <v>1081.1827999999998</v>
      </c>
      <c r="N185" s="313"/>
      <c r="O185" s="33"/>
      <c r="P185" s="33"/>
      <c r="Q185" s="33"/>
      <c r="R185" s="33"/>
      <c r="S185" s="33"/>
    </row>
    <row r="186" spans="1:19" s="35" customFormat="1">
      <c r="A186" s="157"/>
      <c r="B186" s="157"/>
      <c r="C186" s="87"/>
      <c r="D186" s="310" t="s">
        <v>12603</v>
      </c>
      <c r="E186" s="313">
        <f t="shared" si="3"/>
        <v>2</v>
      </c>
      <c r="F186" s="315">
        <v>2.7</v>
      </c>
      <c r="G186" s="315">
        <v>1.85</v>
      </c>
      <c r="H186" s="315">
        <v>0.2</v>
      </c>
      <c r="I186" s="315"/>
      <c r="J186" s="315"/>
      <c r="K186" s="315"/>
      <c r="L186" s="315" t="s">
        <v>21</v>
      </c>
      <c r="M186" s="322">
        <f>E186*((F186*G186)+(F186*2+G186*2)*H186)</f>
        <v>13.630000000000003</v>
      </c>
      <c r="N186" s="313"/>
      <c r="O186" s="33"/>
      <c r="P186" s="33"/>
      <c r="Q186" s="33"/>
      <c r="R186" s="33"/>
      <c r="S186" s="33"/>
    </row>
    <row r="187" spans="1:19" s="35" customFormat="1">
      <c r="A187" s="157"/>
      <c r="B187" s="157"/>
      <c r="C187" s="87"/>
      <c r="D187" s="310" t="s">
        <v>12603</v>
      </c>
      <c r="E187" s="313">
        <f t="shared" si="3"/>
        <v>2</v>
      </c>
      <c r="F187" s="315">
        <v>0.75</v>
      </c>
      <c r="G187" s="315">
        <v>1.1000000000000001</v>
      </c>
      <c r="H187" s="315">
        <v>0.2</v>
      </c>
      <c r="I187" s="315"/>
      <c r="J187" s="315"/>
      <c r="K187" s="315"/>
      <c r="L187" s="315" t="s">
        <v>21</v>
      </c>
      <c r="M187" s="322">
        <f>E187*((F187*G187)+(F187*2+G187*2)*H187)</f>
        <v>3.1300000000000003</v>
      </c>
      <c r="N187" s="313"/>
      <c r="O187" s="33"/>
      <c r="P187" s="33"/>
      <c r="Q187" s="33"/>
      <c r="R187" s="33"/>
      <c r="S187" s="33"/>
    </row>
    <row r="188" spans="1:19" s="35" customFormat="1">
      <c r="A188" s="157"/>
      <c r="B188" s="157"/>
      <c r="C188" s="87"/>
      <c r="D188" s="310" t="s">
        <v>12604</v>
      </c>
      <c r="E188" s="313">
        <f t="shared" si="3"/>
        <v>4</v>
      </c>
      <c r="F188" s="315">
        <v>1.85</v>
      </c>
      <c r="G188" s="315">
        <v>0.15</v>
      </c>
      <c r="H188" s="315">
        <v>1.8</v>
      </c>
      <c r="I188" s="315"/>
      <c r="J188" s="315"/>
      <c r="K188" s="315"/>
      <c r="L188" s="315" t="s">
        <v>21</v>
      </c>
      <c r="M188" s="322">
        <f>E188*(2*(F188*H188))</f>
        <v>26.64</v>
      </c>
      <c r="N188" s="313"/>
      <c r="O188" s="33"/>
      <c r="P188" s="33"/>
      <c r="Q188" s="33"/>
      <c r="R188" s="33"/>
      <c r="S188" s="33"/>
    </row>
    <row r="189" spans="1:19" s="35" customFormat="1">
      <c r="A189" s="157"/>
      <c r="B189" s="157"/>
      <c r="C189" s="87"/>
      <c r="D189" s="310" t="s">
        <v>12605</v>
      </c>
      <c r="E189" s="313">
        <f t="shared" si="3"/>
        <v>4</v>
      </c>
      <c r="F189" s="315">
        <v>1.85</v>
      </c>
      <c r="G189" s="315">
        <v>0.15</v>
      </c>
      <c r="H189" s="315">
        <v>1.8</v>
      </c>
      <c r="I189" s="315"/>
      <c r="J189" s="315"/>
      <c r="K189" s="315"/>
      <c r="L189" s="315" t="s">
        <v>21</v>
      </c>
      <c r="M189" s="322">
        <f t="shared" ref="M189:M195" si="6">E189*(2*(F189*H189))</f>
        <v>26.64</v>
      </c>
      <c r="N189" s="313"/>
      <c r="O189" s="33"/>
      <c r="P189" s="33"/>
      <c r="Q189" s="33"/>
      <c r="R189" s="33"/>
      <c r="S189" s="33"/>
    </row>
    <row r="190" spans="1:19" s="35" customFormat="1">
      <c r="A190" s="157"/>
      <c r="B190" s="157"/>
      <c r="C190" s="87"/>
      <c r="D190" s="310" t="s">
        <v>12606</v>
      </c>
      <c r="E190" s="313">
        <f t="shared" si="3"/>
        <v>4</v>
      </c>
      <c r="F190" s="315">
        <v>0.75</v>
      </c>
      <c r="G190" s="315">
        <v>0.15</v>
      </c>
      <c r="H190" s="315">
        <v>1.8</v>
      </c>
      <c r="I190" s="315"/>
      <c r="J190" s="315"/>
      <c r="K190" s="315"/>
      <c r="L190" s="315" t="s">
        <v>21</v>
      </c>
      <c r="M190" s="322">
        <f t="shared" si="6"/>
        <v>10.8</v>
      </c>
      <c r="N190" s="313"/>
      <c r="O190" s="33"/>
      <c r="P190" s="33"/>
      <c r="Q190" s="33"/>
      <c r="R190" s="33"/>
      <c r="S190" s="33"/>
    </row>
    <row r="191" spans="1:19" s="35" customFormat="1">
      <c r="A191" s="157"/>
      <c r="B191" s="157"/>
      <c r="C191" s="87"/>
      <c r="D191" s="310" t="s">
        <v>12607</v>
      </c>
      <c r="E191" s="313">
        <f t="shared" si="3"/>
        <v>2</v>
      </c>
      <c r="F191" s="315">
        <v>1.1000000000000001</v>
      </c>
      <c r="G191" s="315">
        <v>0.15</v>
      </c>
      <c r="H191" s="315">
        <v>1.8</v>
      </c>
      <c r="I191" s="315"/>
      <c r="J191" s="315"/>
      <c r="K191" s="315"/>
      <c r="L191" s="315" t="s">
        <v>21</v>
      </c>
      <c r="M191" s="322">
        <f t="shared" si="6"/>
        <v>7.9200000000000008</v>
      </c>
      <c r="N191" s="313"/>
      <c r="O191" s="33"/>
      <c r="P191" s="33"/>
      <c r="Q191" s="33"/>
      <c r="R191" s="33"/>
      <c r="S191" s="33"/>
    </row>
    <row r="192" spans="1:19" s="35" customFormat="1">
      <c r="A192" s="157"/>
      <c r="B192" s="157"/>
      <c r="C192" s="87"/>
      <c r="D192" s="310" t="s">
        <v>12608</v>
      </c>
      <c r="E192" s="313">
        <f t="shared" si="3"/>
        <v>4</v>
      </c>
      <c r="F192" s="315">
        <v>0.95</v>
      </c>
      <c r="G192" s="315">
        <v>0.15</v>
      </c>
      <c r="H192" s="315">
        <v>1.8</v>
      </c>
      <c r="I192" s="315"/>
      <c r="J192" s="315"/>
      <c r="K192" s="315"/>
      <c r="L192" s="315" t="s">
        <v>21</v>
      </c>
      <c r="M192" s="322">
        <f t="shared" si="6"/>
        <v>13.68</v>
      </c>
      <c r="N192" s="313"/>
      <c r="O192" s="33"/>
      <c r="P192" s="33"/>
      <c r="Q192" s="33"/>
      <c r="R192" s="33"/>
      <c r="S192" s="33"/>
    </row>
    <row r="193" spans="1:19" s="35" customFormat="1">
      <c r="A193" s="157"/>
      <c r="B193" s="157"/>
      <c r="C193" s="87"/>
      <c r="D193" s="310" t="s">
        <v>12609</v>
      </c>
      <c r="E193" s="313">
        <f t="shared" si="3"/>
        <v>2</v>
      </c>
      <c r="F193" s="315">
        <v>0.8</v>
      </c>
      <c r="G193" s="315">
        <v>0.15</v>
      </c>
      <c r="H193" s="315">
        <v>0.75</v>
      </c>
      <c r="I193" s="315"/>
      <c r="J193" s="315"/>
      <c r="K193" s="315"/>
      <c r="L193" s="315" t="s">
        <v>21</v>
      </c>
      <c r="M193" s="322">
        <f t="shared" si="6"/>
        <v>2.4000000000000004</v>
      </c>
      <c r="N193" s="313"/>
      <c r="O193" s="33"/>
      <c r="P193" s="33"/>
      <c r="Q193" s="33"/>
      <c r="R193" s="33"/>
      <c r="S193" s="33"/>
    </row>
    <row r="194" spans="1:19" s="35" customFormat="1">
      <c r="A194" s="157"/>
      <c r="B194" s="157"/>
      <c r="C194" s="87"/>
      <c r="D194" s="310" t="s">
        <v>12610</v>
      </c>
      <c r="E194" s="313">
        <f t="shared" si="3"/>
        <v>4</v>
      </c>
      <c r="F194" s="315">
        <v>0.5</v>
      </c>
      <c r="G194" s="315">
        <v>0.15</v>
      </c>
      <c r="H194" s="315">
        <v>1.8</v>
      </c>
      <c r="I194" s="315"/>
      <c r="J194" s="315"/>
      <c r="K194" s="315"/>
      <c r="L194" s="315" t="s">
        <v>21</v>
      </c>
      <c r="M194" s="322">
        <f>E194*(2*(F194*H194))</f>
        <v>7.2</v>
      </c>
      <c r="N194" s="313"/>
      <c r="O194" s="33"/>
      <c r="P194" s="33"/>
      <c r="Q194" s="33"/>
      <c r="R194" s="33"/>
      <c r="S194" s="33"/>
    </row>
    <row r="195" spans="1:19" s="35" customFormat="1">
      <c r="A195" s="157"/>
      <c r="B195" s="157"/>
      <c r="C195" s="87"/>
      <c r="D195" s="310" t="s">
        <v>12611</v>
      </c>
      <c r="E195" s="313">
        <f t="shared" si="3"/>
        <v>2</v>
      </c>
      <c r="F195" s="315">
        <v>2.7</v>
      </c>
      <c r="G195" s="315">
        <v>0.15</v>
      </c>
      <c r="H195" s="315">
        <v>1.8</v>
      </c>
      <c r="I195" s="315"/>
      <c r="J195" s="315"/>
      <c r="K195" s="315"/>
      <c r="L195" s="315" t="s">
        <v>21</v>
      </c>
      <c r="M195" s="322">
        <f t="shared" si="6"/>
        <v>19.440000000000001</v>
      </c>
      <c r="N195" s="313"/>
      <c r="O195" s="33"/>
      <c r="P195" s="33"/>
      <c r="Q195" s="33"/>
      <c r="R195" s="33"/>
      <c r="S195" s="33"/>
    </row>
    <row r="196" spans="1:19" s="35" customFormat="1">
      <c r="A196" s="157"/>
      <c r="B196" s="157"/>
      <c r="C196" s="87"/>
      <c r="D196" s="310" t="s">
        <v>12612</v>
      </c>
      <c r="E196" s="313">
        <f t="shared" si="3"/>
        <v>2</v>
      </c>
      <c r="F196" s="315">
        <f>1.1+1.85</f>
        <v>2.95</v>
      </c>
      <c r="G196" s="315">
        <v>2.7</v>
      </c>
      <c r="H196" s="315">
        <v>0.15</v>
      </c>
      <c r="I196" s="315">
        <f>4*0.5*0.7+1.1*1.55+0.8*0.75</f>
        <v>3.7050000000000005</v>
      </c>
      <c r="J196" s="315"/>
      <c r="K196" s="315"/>
      <c r="L196" s="315" t="s">
        <v>21</v>
      </c>
      <c r="M196" s="322">
        <f>E196*((F196*G196)+(F196*2+G196*2)*H196)-I196</f>
        <v>15.615</v>
      </c>
      <c r="N196" s="313"/>
      <c r="O196" s="33"/>
      <c r="P196" s="33"/>
      <c r="Q196" s="33"/>
      <c r="R196" s="33"/>
      <c r="S196" s="33"/>
    </row>
    <row r="197" spans="1:19" s="35" customFormat="1" ht="15" customHeight="1">
      <c r="A197" s="157"/>
      <c r="B197" s="157"/>
      <c r="C197" s="87"/>
      <c r="D197" s="112"/>
      <c r="E197" s="79"/>
      <c r="F197" s="74"/>
      <c r="G197" s="74"/>
      <c r="H197" s="74"/>
      <c r="I197" s="74"/>
      <c r="J197" s="1734" t="s">
        <v>12622</v>
      </c>
      <c r="K197" s="1734"/>
      <c r="L197" s="303" t="s">
        <v>21</v>
      </c>
      <c r="M197" s="198">
        <f>SUM(M161:M196)</f>
        <v>4665.6801999999998</v>
      </c>
      <c r="N197" s="313"/>
      <c r="O197" s="33"/>
      <c r="P197" s="33"/>
      <c r="Q197" s="33"/>
      <c r="R197" s="33"/>
      <c r="S197" s="33"/>
    </row>
    <row r="198" spans="1:19" s="35" customFormat="1" ht="25.5" customHeight="1">
      <c r="A198" s="157" t="s">
        <v>12563</v>
      </c>
      <c r="B198" s="157" t="s">
        <v>10852</v>
      </c>
      <c r="C198" s="87">
        <v>323</v>
      </c>
      <c r="D198" s="112" t="str">
        <f>PROPER(IF(B198="Saneago",VLOOKUP(C198,'SANEAGO-FEV.2016'!A:B,2,0),IF(B198="Sinapi",VLOOKUP(C198,'SINAPI-FEV.2017'!A:D,2,0),IF(B198="Cotação",VLOOKUP(C198,COTAÇÃO!A:D,2,0),IF(B198="Composição",VLOOKUP(C198,COMPOSIÇÃO!A:D,2,0))))))</f>
        <v>Formas    Curvas    Pinho+Chapa   Madeirit    Compensada   Espessura    De   6Mm   Escoramento
Desforma  Reaproveitamento De 2 Vezes</v>
      </c>
      <c r="E198" s="317"/>
      <c r="F198" s="317"/>
      <c r="G198" s="74"/>
      <c r="H198" s="74"/>
      <c r="I198" s="129"/>
      <c r="J198" s="129"/>
      <c r="K198" s="73" t="s">
        <v>27</v>
      </c>
      <c r="L198" s="73" t="s">
        <v>21</v>
      </c>
      <c r="M198" s="81">
        <f>M197+M159</f>
        <v>8580.2053999999989</v>
      </c>
      <c r="N198" s="313"/>
      <c r="O198" s="33"/>
      <c r="P198" s="33"/>
      <c r="Q198" s="33"/>
      <c r="R198" s="33"/>
      <c r="S198" s="33"/>
    </row>
    <row r="199" spans="1:19" s="35" customFormat="1">
      <c r="A199" s="157"/>
      <c r="B199" s="157"/>
      <c r="C199" s="87"/>
      <c r="D199" s="323"/>
      <c r="E199" s="313" t="s">
        <v>30</v>
      </c>
      <c r="F199" s="313" t="s">
        <v>30</v>
      </c>
      <c r="G199" s="313" t="s">
        <v>30</v>
      </c>
      <c r="H199" s="313" t="s">
        <v>30</v>
      </c>
      <c r="I199" s="313" t="s">
        <v>1275</v>
      </c>
      <c r="J199" s="313" t="s">
        <v>80</v>
      </c>
      <c r="K199" s="315" t="s">
        <v>91</v>
      </c>
      <c r="L199" s="306" t="s">
        <v>30</v>
      </c>
      <c r="M199" s="82" t="s">
        <v>12623</v>
      </c>
      <c r="N199" s="313"/>
      <c r="O199" s="33"/>
      <c r="P199" s="33"/>
      <c r="Q199" s="33"/>
      <c r="R199" s="33"/>
      <c r="S199" s="33"/>
    </row>
    <row r="200" spans="1:19" s="35" customFormat="1" ht="12.75" customHeight="1">
      <c r="A200" s="157"/>
      <c r="B200" s="157"/>
      <c r="C200" s="87"/>
      <c r="D200" s="323"/>
      <c r="E200" s="105"/>
      <c r="F200" s="1739" t="s">
        <v>12624</v>
      </c>
      <c r="G200" s="1739"/>
      <c r="H200" s="1739"/>
      <c r="I200" s="34">
        <f>2*3</f>
        <v>6</v>
      </c>
      <c r="J200" s="315">
        <v>0.3</v>
      </c>
      <c r="K200" s="313">
        <f>6</f>
        <v>6</v>
      </c>
      <c r="L200" s="313" t="s">
        <v>18</v>
      </c>
      <c r="M200" s="55">
        <f>I200*K200</f>
        <v>36</v>
      </c>
      <c r="N200" s="313"/>
      <c r="O200" s="33"/>
      <c r="P200" s="33"/>
      <c r="Q200" s="33"/>
      <c r="R200" s="33"/>
      <c r="S200" s="33"/>
    </row>
    <row r="201" spans="1:19" s="35" customFormat="1">
      <c r="A201" s="157" t="s">
        <v>12564</v>
      </c>
      <c r="B201" s="157" t="s">
        <v>10852</v>
      </c>
      <c r="C201" s="87">
        <v>286</v>
      </c>
      <c r="D201" s="112" t="str">
        <f>PROPER(IF(B201="Saneago",VLOOKUP(C201,'SANEAGO-FEV.2016'!A:B,2,0),IF(B201="Sinapi",VLOOKUP(C201,'SINAPI-FEV.2017'!A:D,2,0),IF(B201="Cotação",VLOOKUP(C201,COTAÇÃO!A:D,2,0),IF(B201="Composição",VLOOKUP(C201,COMPOSIÇÃO!A:D,2,0))))))</f>
        <v>Estacas Concreto  A Trado Fck=135Kg/Cm2 Com 20Kg Fer/M3 Dn 30Cm</v>
      </c>
      <c r="E201" s="317"/>
      <c r="F201" s="317"/>
      <c r="G201" s="74"/>
      <c r="H201" s="74"/>
      <c r="I201" s="129"/>
      <c r="J201" s="129"/>
      <c r="K201" s="73" t="s">
        <v>27</v>
      </c>
      <c r="L201" s="73" t="s">
        <v>18</v>
      </c>
      <c r="M201" s="81">
        <f>M200</f>
        <v>36</v>
      </c>
      <c r="N201" s="313"/>
      <c r="O201" s="33"/>
      <c r="P201" s="33"/>
      <c r="Q201" s="33"/>
      <c r="R201" s="33"/>
      <c r="S201" s="33"/>
    </row>
    <row r="202" spans="1:19" s="35" customFormat="1">
      <c r="A202" s="157"/>
      <c r="B202" s="157"/>
      <c r="C202" s="87"/>
      <c r="D202" s="124" t="s">
        <v>12573</v>
      </c>
      <c r="E202" s="83" t="s">
        <v>1275</v>
      </c>
      <c r="F202" s="83" t="s">
        <v>11684</v>
      </c>
      <c r="G202" s="83" t="s">
        <v>19</v>
      </c>
      <c r="H202" s="83" t="s">
        <v>32</v>
      </c>
      <c r="I202" s="83" t="s">
        <v>36</v>
      </c>
      <c r="J202" s="83" t="s">
        <v>12593</v>
      </c>
      <c r="K202" s="83" t="s">
        <v>30</v>
      </c>
      <c r="L202" s="83" t="s">
        <v>30</v>
      </c>
      <c r="M202" s="167" t="s">
        <v>30</v>
      </c>
      <c r="N202" s="313"/>
      <c r="O202" s="33"/>
      <c r="P202" s="33"/>
      <c r="Q202" s="33"/>
      <c r="R202" s="33"/>
      <c r="S202" s="33"/>
    </row>
    <row r="203" spans="1:19" s="35" customFormat="1">
      <c r="A203" s="157"/>
      <c r="B203" s="157"/>
      <c r="C203" s="87"/>
      <c r="D203" s="310" t="s">
        <v>12518</v>
      </c>
      <c r="E203" s="313">
        <v>2</v>
      </c>
      <c r="F203" s="315">
        <f>17.2+0.5</f>
        <v>17.7</v>
      </c>
      <c r="G203" s="315">
        <f>12.8+0.5</f>
        <v>13.3</v>
      </c>
      <c r="H203" s="315">
        <v>0.3</v>
      </c>
      <c r="I203" s="315" t="s">
        <v>30</v>
      </c>
      <c r="J203" s="315" t="s">
        <v>30</v>
      </c>
      <c r="K203" s="315"/>
      <c r="L203" s="315" t="s">
        <v>21</v>
      </c>
      <c r="M203" s="322">
        <f>E203*(F203*G203*H203)</f>
        <v>141.24599999999998</v>
      </c>
      <c r="N203" s="313"/>
      <c r="O203" s="33"/>
      <c r="P203" s="33"/>
      <c r="Q203" s="33"/>
      <c r="R203" s="33"/>
      <c r="S203" s="33"/>
    </row>
    <row r="204" spans="1:19" s="35" customFormat="1">
      <c r="A204" s="157"/>
      <c r="B204" s="157"/>
      <c r="C204" s="87"/>
      <c r="D204" s="310" t="s">
        <v>12620</v>
      </c>
      <c r="E204" s="313">
        <f>2*24</f>
        <v>48</v>
      </c>
      <c r="F204" s="315">
        <v>0.2</v>
      </c>
      <c r="G204" s="315">
        <v>0.2</v>
      </c>
      <c r="H204" s="315">
        <v>4.8499999999999996</v>
      </c>
      <c r="I204" s="315" t="s">
        <v>30</v>
      </c>
      <c r="J204" s="315" t="s">
        <v>30</v>
      </c>
      <c r="K204" s="315"/>
      <c r="L204" s="315" t="s">
        <v>21</v>
      </c>
      <c r="M204" s="322">
        <f>E204*(F204*G204*H204)</f>
        <v>9.3120000000000012</v>
      </c>
      <c r="N204" s="313"/>
      <c r="O204" s="33"/>
      <c r="P204" s="33"/>
      <c r="Q204" s="33"/>
      <c r="R204" s="33"/>
      <c r="S204" s="33"/>
    </row>
    <row r="205" spans="1:19" s="35" customFormat="1">
      <c r="A205" s="157"/>
      <c r="B205" s="157"/>
      <c r="C205" s="87"/>
      <c r="D205" s="310" t="s">
        <v>12621</v>
      </c>
      <c r="E205" s="313">
        <v>2</v>
      </c>
      <c r="F205" s="315">
        <v>0.15</v>
      </c>
      <c r="G205" s="315">
        <v>0.3</v>
      </c>
      <c r="H205" s="315">
        <v>3.25</v>
      </c>
      <c r="I205" s="315" t="s">
        <v>30</v>
      </c>
      <c r="J205" s="315" t="s">
        <v>30</v>
      </c>
      <c r="K205" s="315"/>
      <c r="L205" s="315" t="s">
        <v>21</v>
      </c>
      <c r="M205" s="322">
        <f>E205*(F205*G205*H205)</f>
        <v>0.29249999999999998</v>
      </c>
      <c r="N205" s="313"/>
      <c r="O205" s="33"/>
      <c r="P205" s="33"/>
      <c r="Q205" s="33"/>
      <c r="R205" s="33"/>
      <c r="S205" s="33"/>
    </row>
    <row r="206" spans="1:19" s="35" customFormat="1">
      <c r="A206" s="157"/>
      <c r="B206" s="157"/>
      <c r="C206" s="87"/>
      <c r="D206" s="310" t="s">
        <v>12595</v>
      </c>
      <c r="E206" s="313">
        <v>2</v>
      </c>
      <c r="F206" s="315">
        <v>0.5</v>
      </c>
      <c r="G206" s="315">
        <v>0.5</v>
      </c>
      <c r="H206" s="315">
        <v>0.5</v>
      </c>
      <c r="I206" s="315" t="s">
        <v>30</v>
      </c>
      <c r="J206" s="315" t="s">
        <v>30</v>
      </c>
      <c r="K206" s="315"/>
      <c r="L206" s="315" t="s">
        <v>21</v>
      </c>
      <c r="M206" s="322">
        <f>E206*(F206*G206*H206)</f>
        <v>0.25</v>
      </c>
      <c r="N206" s="313"/>
      <c r="O206" s="33"/>
      <c r="P206" s="33"/>
      <c r="Q206" s="33"/>
      <c r="R206" s="33"/>
      <c r="S206" s="33"/>
    </row>
    <row r="207" spans="1:19" s="35" customFormat="1">
      <c r="A207" s="157"/>
      <c r="B207" s="157"/>
      <c r="C207" s="87"/>
      <c r="D207" s="310" t="s">
        <v>12594</v>
      </c>
      <c r="E207" s="313">
        <v>72</v>
      </c>
      <c r="F207" s="315">
        <v>0.3</v>
      </c>
      <c r="G207" s="315">
        <v>0.05</v>
      </c>
      <c r="H207" s="315">
        <v>1.05</v>
      </c>
      <c r="I207" s="315"/>
      <c r="J207" s="315" t="s">
        <v>30</v>
      </c>
      <c r="K207" s="315"/>
      <c r="L207" s="315" t="s">
        <v>21</v>
      </c>
      <c r="M207" s="322">
        <f>E207*(F207*G207*H207)</f>
        <v>1.1339999999999999</v>
      </c>
      <c r="N207" s="313"/>
      <c r="O207" s="33"/>
      <c r="P207" s="33"/>
      <c r="Q207" s="33"/>
      <c r="R207" s="33"/>
      <c r="S207" s="33"/>
    </row>
    <row r="208" spans="1:19" s="35" customFormat="1">
      <c r="A208" s="157"/>
      <c r="B208" s="157"/>
      <c r="C208" s="87"/>
      <c r="D208" s="310" t="s">
        <v>12586</v>
      </c>
      <c r="E208" s="313">
        <v>2</v>
      </c>
      <c r="F208" s="315">
        <f>17.2</f>
        <v>17.2</v>
      </c>
      <c r="G208" s="315">
        <f>13.9-0.5</f>
        <v>13.4</v>
      </c>
      <c r="H208" s="315">
        <v>5.15</v>
      </c>
      <c r="I208" s="315">
        <v>0.25</v>
      </c>
      <c r="J208" s="315" t="s">
        <v>30</v>
      </c>
      <c r="K208" s="315"/>
      <c r="L208" s="315" t="s">
        <v>21</v>
      </c>
      <c r="M208" s="322">
        <f>E208*((2*F208+2*G208)*H208*I208)</f>
        <v>157.59000000000003</v>
      </c>
      <c r="N208" s="313"/>
      <c r="O208" s="33"/>
      <c r="P208" s="33"/>
      <c r="Q208" s="33"/>
      <c r="R208" s="33"/>
      <c r="S208" s="33"/>
    </row>
    <row r="209" spans="1:19" s="35" customFormat="1">
      <c r="A209" s="157"/>
      <c r="B209" s="157"/>
      <c r="C209" s="87"/>
      <c r="D209" s="310" t="s">
        <v>12587</v>
      </c>
      <c r="E209" s="313">
        <v>16</v>
      </c>
      <c r="F209" s="315">
        <v>17.2</v>
      </c>
      <c r="G209" s="315" t="s">
        <v>30</v>
      </c>
      <c r="H209" s="315">
        <v>0.9</v>
      </c>
      <c r="I209" s="315">
        <v>0.2</v>
      </c>
      <c r="J209" s="315" t="s">
        <v>30</v>
      </c>
      <c r="K209" s="315"/>
      <c r="L209" s="315" t="s">
        <v>21</v>
      </c>
      <c r="M209" s="322">
        <f t="shared" ref="M209:M214" si="7">E209*(F209*I209*H209)</f>
        <v>49.536000000000001</v>
      </c>
      <c r="N209" s="313"/>
      <c r="O209" s="33"/>
      <c r="P209" s="33"/>
      <c r="Q209" s="33"/>
      <c r="R209" s="33"/>
      <c r="S209" s="33"/>
    </row>
    <row r="210" spans="1:19" s="35" customFormat="1">
      <c r="A210" s="157"/>
      <c r="B210" s="157"/>
      <c r="C210" s="87"/>
      <c r="D210" s="310" t="s">
        <v>12588</v>
      </c>
      <c r="E210" s="313">
        <v>8</v>
      </c>
      <c r="F210" s="315">
        <v>2.4500000000000002</v>
      </c>
      <c r="G210" s="315" t="s">
        <v>30</v>
      </c>
      <c r="H210" s="315">
        <v>0.3</v>
      </c>
      <c r="I210" s="315">
        <v>0.2</v>
      </c>
      <c r="J210" s="315" t="s">
        <v>30</v>
      </c>
      <c r="K210" s="315"/>
      <c r="L210" s="315" t="s">
        <v>21</v>
      </c>
      <c r="M210" s="322">
        <f t="shared" si="7"/>
        <v>1.1760000000000002</v>
      </c>
      <c r="N210" s="313"/>
      <c r="O210" s="33"/>
      <c r="P210" s="33"/>
      <c r="Q210" s="33"/>
      <c r="R210" s="33"/>
      <c r="S210" s="33"/>
    </row>
    <row r="211" spans="1:19" s="35" customFormat="1">
      <c r="A211" s="157"/>
      <c r="B211" s="157"/>
      <c r="C211" s="87"/>
      <c r="D211" s="310" t="s">
        <v>12589</v>
      </c>
      <c r="E211" s="313">
        <v>8</v>
      </c>
      <c r="F211" s="315">
        <v>4.5</v>
      </c>
      <c r="G211" s="315" t="s">
        <v>30</v>
      </c>
      <c r="H211" s="315">
        <v>0.3</v>
      </c>
      <c r="I211" s="315">
        <v>0.2</v>
      </c>
      <c r="J211" s="315" t="s">
        <v>30</v>
      </c>
      <c r="K211" s="315"/>
      <c r="L211" s="315" t="s">
        <v>21</v>
      </c>
      <c r="M211" s="322">
        <f t="shared" si="7"/>
        <v>2.16</v>
      </c>
      <c r="N211" s="313"/>
      <c r="O211" s="33"/>
      <c r="P211" s="33"/>
      <c r="Q211" s="33"/>
      <c r="R211" s="33"/>
      <c r="S211" s="33"/>
    </row>
    <row r="212" spans="1:19" s="35" customFormat="1">
      <c r="A212" s="157"/>
      <c r="B212" s="157"/>
      <c r="C212" s="87"/>
      <c r="D212" s="310" t="s">
        <v>12590</v>
      </c>
      <c r="E212" s="313">
        <v>16</v>
      </c>
      <c r="F212" s="315">
        <v>12.8</v>
      </c>
      <c r="G212" s="315" t="s">
        <v>30</v>
      </c>
      <c r="H212" s="315">
        <v>0.3</v>
      </c>
      <c r="I212" s="315">
        <v>0.2</v>
      </c>
      <c r="J212" s="315" t="s">
        <v>30</v>
      </c>
      <c r="K212" s="315"/>
      <c r="L212" s="315" t="s">
        <v>21</v>
      </c>
      <c r="M212" s="322">
        <f t="shared" si="7"/>
        <v>12.288000000000002</v>
      </c>
      <c r="N212" s="313"/>
      <c r="O212" s="33"/>
      <c r="P212" s="33"/>
      <c r="Q212" s="33"/>
      <c r="R212" s="33"/>
      <c r="S212" s="33"/>
    </row>
    <row r="213" spans="1:19" s="35" customFormat="1">
      <c r="A213" s="157"/>
      <c r="B213" s="157"/>
      <c r="C213" s="87"/>
      <c r="D213" s="310" t="s">
        <v>12591</v>
      </c>
      <c r="E213" s="313">
        <v>2</v>
      </c>
      <c r="F213" s="315">
        <v>17.2</v>
      </c>
      <c r="G213" s="315" t="s">
        <v>30</v>
      </c>
      <c r="H213" s="315">
        <v>0.15</v>
      </c>
      <c r="I213" s="315">
        <v>0.2</v>
      </c>
      <c r="J213" s="315" t="s">
        <v>30</v>
      </c>
      <c r="K213" s="315"/>
      <c r="L213" s="315" t="s">
        <v>21</v>
      </c>
      <c r="M213" s="322">
        <f t="shared" si="7"/>
        <v>1.032</v>
      </c>
      <c r="N213" s="313"/>
      <c r="O213" s="33"/>
      <c r="P213" s="33"/>
      <c r="Q213" s="33"/>
      <c r="R213" s="33"/>
      <c r="S213" s="33"/>
    </row>
    <row r="214" spans="1:19" s="35" customFormat="1">
      <c r="A214" s="157"/>
      <c r="B214" s="157"/>
      <c r="C214" s="87"/>
      <c r="D214" s="310" t="s">
        <v>12592</v>
      </c>
      <c r="E214" s="313">
        <v>16</v>
      </c>
      <c r="F214" s="315">
        <v>12.8</v>
      </c>
      <c r="G214" s="315" t="s">
        <v>30</v>
      </c>
      <c r="H214" s="315">
        <v>0.3</v>
      </c>
      <c r="I214" s="315">
        <v>0.2</v>
      </c>
      <c r="J214" s="315" t="s">
        <v>30</v>
      </c>
      <c r="K214" s="315"/>
      <c r="L214" s="315" t="s">
        <v>21</v>
      </c>
      <c r="M214" s="322">
        <f t="shared" si="7"/>
        <v>12.288000000000002</v>
      </c>
      <c r="N214" s="313"/>
      <c r="O214" s="33"/>
      <c r="P214" s="33"/>
      <c r="Q214" s="33"/>
      <c r="R214" s="33"/>
      <c r="S214" s="33"/>
    </row>
    <row r="215" spans="1:19" s="35" customFormat="1">
      <c r="A215" s="157"/>
      <c r="B215" s="157"/>
      <c r="C215" s="87"/>
      <c r="D215" s="324"/>
      <c r="E215" s="116"/>
      <c r="F215" s="321" t="s">
        <v>20</v>
      </c>
      <c r="G215" s="321" t="s">
        <v>19</v>
      </c>
      <c r="H215" s="321"/>
      <c r="I215" s="321"/>
      <c r="J215" s="321"/>
      <c r="K215" s="321"/>
      <c r="L215" s="321"/>
      <c r="M215" s="172"/>
      <c r="N215" s="313"/>
      <c r="O215" s="33"/>
      <c r="P215" s="33"/>
      <c r="Q215" s="33"/>
      <c r="R215" s="33"/>
      <c r="S215" s="33"/>
    </row>
    <row r="216" spans="1:19" s="35" customFormat="1">
      <c r="A216" s="157"/>
      <c r="B216" s="157"/>
      <c r="C216" s="87"/>
      <c r="D216" s="310" t="s">
        <v>12596</v>
      </c>
      <c r="E216" s="313">
        <v>2</v>
      </c>
      <c r="F216" s="315">
        <f>(0.85+0.45)*0.2</f>
        <v>0.26</v>
      </c>
      <c r="G216" s="315">
        <v>13.4</v>
      </c>
      <c r="H216" s="315"/>
      <c r="I216" s="315"/>
      <c r="J216" s="315"/>
      <c r="K216" s="315"/>
      <c r="L216" s="315" t="s">
        <v>21</v>
      </c>
      <c r="M216" s="322">
        <f>E216*F216*G216</f>
        <v>6.9680000000000009</v>
      </c>
      <c r="N216" s="313"/>
      <c r="O216" s="33"/>
      <c r="P216" s="33"/>
      <c r="Q216" s="33"/>
      <c r="R216" s="33"/>
      <c r="S216" s="33"/>
    </row>
    <row r="217" spans="1:19" s="35" customFormat="1">
      <c r="A217" s="157"/>
      <c r="B217" s="157"/>
      <c r="C217" s="87"/>
      <c r="D217" s="310" t="s">
        <v>12597</v>
      </c>
      <c r="E217" s="313">
        <v>4</v>
      </c>
      <c r="F217" s="315">
        <f>((0.11+0.284)*0.65/2)</f>
        <v>0.12805</v>
      </c>
      <c r="G217" s="315">
        <v>17.2</v>
      </c>
      <c r="H217" s="315"/>
      <c r="I217" s="315"/>
      <c r="J217" s="315"/>
      <c r="K217" s="315"/>
      <c r="L217" s="315" t="s">
        <v>21</v>
      </c>
      <c r="M217" s="322">
        <f t="shared" ref="M217:M222" si="8">E217*F217*G217</f>
        <v>8.8098399999999994</v>
      </c>
      <c r="N217" s="313"/>
      <c r="O217" s="33"/>
      <c r="P217" s="33"/>
      <c r="Q217" s="33"/>
      <c r="R217" s="33"/>
      <c r="S217" s="33"/>
    </row>
    <row r="218" spans="1:19" s="35" customFormat="1">
      <c r="A218" s="157"/>
      <c r="B218" s="157"/>
      <c r="C218" s="87"/>
      <c r="D218" s="310" t="s">
        <v>12598</v>
      </c>
      <c r="E218" s="313">
        <v>6</v>
      </c>
      <c r="F218" s="315">
        <f>2*((0.11+0.284)*0.65/2)</f>
        <v>0.25609999999999999</v>
      </c>
      <c r="G218" s="315">
        <v>17.2</v>
      </c>
      <c r="H218" s="315"/>
      <c r="I218" s="315"/>
      <c r="J218" s="315"/>
      <c r="K218" s="315"/>
      <c r="L218" s="315" t="s">
        <v>21</v>
      </c>
      <c r="M218" s="322">
        <f t="shared" si="8"/>
        <v>26.429519999999997</v>
      </c>
      <c r="N218" s="313"/>
      <c r="O218" s="33"/>
      <c r="P218" s="33"/>
      <c r="Q218" s="33"/>
      <c r="R218" s="33"/>
      <c r="S218" s="33"/>
    </row>
    <row r="219" spans="1:19" s="35" customFormat="1">
      <c r="A219" s="157"/>
      <c r="B219" s="157"/>
      <c r="C219" s="87"/>
      <c r="D219" s="310" t="s">
        <v>12599</v>
      </c>
      <c r="E219" s="313">
        <v>2</v>
      </c>
      <c r="F219" s="315">
        <f>((0.85+0.45)*0.15)</f>
        <v>0.19500000000000001</v>
      </c>
      <c r="G219" s="315">
        <v>13.4</v>
      </c>
      <c r="H219" s="315"/>
      <c r="I219" s="315"/>
      <c r="J219" s="315"/>
      <c r="K219" s="315"/>
      <c r="L219" s="315" t="s">
        <v>21</v>
      </c>
      <c r="M219" s="322">
        <f t="shared" si="8"/>
        <v>5.226</v>
      </c>
      <c r="N219" s="313"/>
      <c r="O219" s="33"/>
      <c r="P219" s="33"/>
      <c r="Q219" s="33"/>
      <c r="R219" s="33"/>
      <c r="S219" s="33"/>
    </row>
    <row r="220" spans="1:19" s="35" customFormat="1">
      <c r="A220" s="157"/>
      <c r="B220" s="157"/>
      <c r="C220" s="87"/>
      <c r="D220" s="310" t="s">
        <v>12600</v>
      </c>
      <c r="E220" s="313">
        <v>4</v>
      </c>
      <c r="F220" s="315">
        <f>0.2*0.8</f>
        <v>0.16000000000000003</v>
      </c>
      <c r="G220" s="315">
        <v>13.4</v>
      </c>
      <c r="H220" s="315"/>
      <c r="I220" s="315"/>
      <c r="J220" s="315"/>
      <c r="K220" s="315"/>
      <c r="L220" s="315" t="s">
        <v>21</v>
      </c>
      <c r="M220" s="322">
        <f t="shared" si="8"/>
        <v>8.5760000000000023</v>
      </c>
      <c r="N220" s="313"/>
      <c r="O220" s="33"/>
      <c r="P220" s="33"/>
      <c r="Q220" s="33"/>
      <c r="R220" s="33"/>
      <c r="S220" s="33"/>
    </row>
    <row r="221" spans="1:19" s="35" customFormat="1">
      <c r="A221" s="157"/>
      <c r="B221" s="157"/>
      <c r="C221" s="87"/>
      <c r="D221" s="310" t="s">
        <v>12601</v>
      </c>
      <c r="E221" s="313">
        <v>8</v>
      </c>
      <c r="F221" s="315">
        <f>(0.4*2+0.3)*0.12</f>
        <v>0.13200000000000001</v>
      </c>
      <c r="G221" s="315">
        <v>17.2</v>
      </c>
      <c r="H221" s="315"/>
      <c r="I221" s="315"/>
      <c r="J221" s="315"/>
      <c r="K221" s="315"/>
      <c r="L221" s="315" t="s">
        <v>21</v>
      </c>
      <c r="M221" s="322">
        <f t="shared" si="8"/>
        <v>18.1632</v>
      </c>
      <c r="N221" s="313"/>
      <c r="O221" s="33"/>
      <c r="P221" s="33"/>
      <c r="Q221" s="33"/>
      <c r="R221" s="33"/>
      <c r="S221" s="33"/>
    </row>
    <row r="222" spans="1:19" s="35" customFormat="1">
      <c r="A222" s="157"/>
      <c r="B222" s="157"/>
      <c r="C222" s="87"/>
      <c r="D222" s="320" t="s">
        <v>12602</v>
      </c>
      <c r="E222" s="79">
        <v>4</v>
      </c>
      <c r="F222" s="79">
        <f>(0.2+0.5+0.475)*0.2+(0.2+0.8+0.45)*0.2</f>
        <v>0.52499999999999991</v>
      </c>
      <c r="G222" s="74">
        <f>2.15+0.3</f>
        <v>2.4499999999999997</v>
      </c>
      <c r="H222" s="74"/>
      <c r="I222" s="74"/>
      <c r="J222" s="74"/>
      <c r="K222" s="74"/>
      <c r="L222" s="74" t="s">
        <v>21</v>
      </c>
      <c r="M222" s="133">
        <f t="shared" si="8"/>
        <v>5.1449999999999987</v>
      </c>
      <c r="N222" s="313"/>
      <c r="O222" s="33"/>
      <c r="P222" s="33"/>
      <c r="Q222" s="33"/>
      <c r="R222" s="33"/>
      <c r="S222" s="33"/>
    </row>
    <row r="223" spans="1:19" s="35" customFormat="1">
      <c r="A223" s="157"/>
      <c r="B223" s="157"/>
      <c r="C223" s="87"/>
      <c r="D223" s="324" t="s">
        <v>12613</v>
      </c>
      <c r="E223" s="116">
        <f>2*2</f>
        <v>4</v>
      </c>
      <c r="F223" s="173">
        <v>2.15</v>
      </c>
      <c r="G223" s="173">
        <v>1.125</v>
      </c>
      <c r="H223" s="321" t="s">
        <v>30</v>
      </c>
      <c r="I223" s="321">
        <v>0.15</v>
      </c>
      <c r="J223" s="321">
        <f>E223*F223*G223*I223</f>
        <v>1.4512499999999997</v>
      </c>
      <c r="K223" s="321"/>
      <c r="L223" s="321" t="s">
        <v>21</v>
      </c>
      <c r="M223" s="172">
        <v>0</v>
      </c>
      <c r="N223" s="313"/>
      <c r="O223" s="33"/>
      <c r="P223" s="33"/>
      <c r="Q223" s="33"/>
      <c r="R223" s="33"/>
      <c r="S223" s="33"/>
    </row>
    <row r="224" spans="1:19" s="35" customFormat="1">
      <c r="A224" s="157"/>
      <c r="B224" s="157"/>
      <c r="C224" s="87"/>
      <c r="D224" s="310" t="s">
        <v>12614</v>
      </c>
      <c r="E224" s="313">
        <f>6*8*2</f>
        <v>96</v>
      </c>
      <c r="F224" s="311">
        <v>0.6</v>
      </c>
      <c r="G224" s="311">
        <v>0.20100000000000001</v>
      </c>
      <c r="H224" s="315" t="s">
        <v>30</v>
      </c>
      <c r="I224" s="315">
        <v>0.15</v>
      </c>
      <c r="J224" s="315">
        <f>E224*F224*G224*I224</f>
        <v>1.73664</v>
      </c>
      <c r="K224" s="315"/>
      <c r="L224" s="315" t="s">
        <v>21</v>
      </c>
      <c r="M224" s="322">
        <v>0</v>
      </c>
      <c r="N224" s="313"/>
      <c r="O224" s="33"/>
      <c r="P224" s="33"/>
      <c r="Q224" s="33"/>
      <c r="R224" s="33"/>
      <c r="S224" s="33"/>
    </row>
    <row r="225" spans="1:19" s="35" customFormat="1">
      <c r="A225" s="157"/>
      <c r="B225" s="157"/>
      <c r="C225" s="87"/>
      <c r="D225" s="310" t="s">
        <v>12615</v>
      </c>
      <c r="E225" s="313">
        <f>6*2</f>
        <v>12</v>
      </c>
      <c r="F225" s="311">
        <v>1.32</v>
      </c>
      <c r="G225" s="311">
        <v>1.1000000000000001</v>
      </c>
      <c r="H225" s="315" t="s">
        <v>30</v>
      </c>
      <c r="I225" s="315">
        <v>0.15</v>
      </c>
      <c r="J225" s="315">
        <f>E225*F225*G225*I225</f>
        <v>2.6135999999999999</v>
      </c>
      <c r="K225" s="315"/>
      <c r="L225" s="315" t="s">
        <v>21</v>
      </c>
      <c r="M225" s="322">
        <v>0</v>
      </c>
      <c r="N225" s="313"/>
      <c r="O225" s="33"/>
      <c r="P225" s="33"/>
      <c r="Q225" s="33"/>
      <c r="R225" s="33"/>
      <c r="S225" s="33"/>
    </row>
    <row r="226" spans="1:19" s="35" customFormat="1">
      <c r="A226" s="157"/>
      <c r="B226" s="157"/>
      <c r="C226" s="87"/>
      <c r="D226" s="310" t="s">
        <v>12616</v>
      </c>
      <c r="E226" s="313">
        <f>6*2</f>
        <v>12</v>
      </c>
      <c r="F226" s="311">
        <v>1.76</v>
      </c>
      <c r="G226" s="311">
        <v>1.1000000000000001</v>
      </c>
      <c r="H226" s="315" t="s">
        <v>30</v>
      </c>
      <c r="I226" s="315">
        <v>0.15</v>
      </c>
      <c r="J226" s="315">
        <f>E226*F226*G226*I226</f>
        <v>3.4848000000000003</v>
      </c>
      <c r="K226" s="315"/>
      <c r="L226" s="315" t="s">
        <v>21</v>
      </c>
      <c r="M226" s="322">
        <v>0</v>
      </c>
      <c r="N226" s="313"/>
      <c r="O226" s="33"/>
      <c r="P226" s="33"/>
      <c r="Q226" s="33"/>
      <c r="R226" s="33"/>
      <c r="S226" s="33"/>
    </row>
    <row r="227" spans="1:19" s="35" customFormat="1">
      <c r="A227" s="157"/>
      <c r="B227" s="157"/>
      <c r="C227" s="87"/>
      <c r="D227" s="310" t="s">
        <v>12617</v>
      </c>
      <c r="E227" s="313">
        <f>6*2</f>
        <v>12</v>
      </c>
      <c r="F227" s="311">
        <v>1.1000000000000001</v>
      </c>
      <c r="G227" s="311">
        <v>0.6</v>
      </c>
      <c r="H227" s="315" t="s">
        <v>30</v>
      </c>
      <c r="I227" s="315">
        <v>0.15</v>
      </c>
      <c r="J227" s="315">
        <f>E227*F227*G227*I227</f>
        <v>1.1879999999999999</v>
      </c>
      <c r="K227" s="315"/>
      <c r="L227" s="315" t="s">
        <v>21</v>
      </c>
      <c r="M227" s="322">
        <v>0</v>
      </c>
      <c r="N227" s="313"/>
      <c r="O227" s="33"/>
      <c r="P227" s="33"/>
      <c r="Q227" s="33"/>
      <c r="R227" s="33"/>
      <c r="S227" s="33"/>
    </row>
    <row r="228" spans="1:19" s="35" customFormat="1">
      <c r="A228" s="157"/>
      <c r="B228" s="157"/>
      <c r="C228" s="87"/>
      <c r="D228" s="320" t="s">
        <v>12440</v>
      </c>
      <c r="E228" s="79">
        <v>2</v>
      </c>
      <c r="F228" s="74">
        <f>2.3+17.7+1.2</f>
        <v>21.2</v>
      </c>
      <c r="G228" s="74">
        <v>13.9</v>
      </c>
      <c r="H228" s="74" t="s">
        <v>30</v>
      </c>
      <c r="I228" s="74">
        <v>0.15</v>
      </c>
      <c r="J228" s="74">
        <f>SUM(J223:J227)</f>
        <v>10.47429</v>
      </c>
      <c r="K228" s="74"/>
      <c r="L228" s="74" t="s">
        <v>21</v>
      </c>
      <c r="M228" s="133">
        <f>E228*(F228*G228*I228)-J228</f>
        <v>77.92971</v>
      </c>
      <c r="N228" s="313"/>
      <c r="O228" s="33"/>
      <c r="P228" s="33"/>
      <c r="Q228" s="33"/>
      <c r="R228" s="33"/>
      <c r="S228" s="33"/>
    </row>
    <row r="229" spans="1:19" s="35" customFormat="1">
      <c r="A229" s="157"/>
      <c r="B229" s="157"/>
      <c r="C229" s="87"/>
      <c r="D229" s="310" t="s">
        <v>12603</v>
      </c>
      <c r="E229" s="313">
        <v>1</v>
      </c>
      <c r="F229" s="315">
        <v>2.7</v>
      </c>
      <c r="G229" s="315">
        <v>1.85</v>
      </c>
      <c r="H229" s="315">
        <v>0.2</v>
      </c>
      <c r="I229" s="315"/>
      <c r="J229" s="315"/>
      <c r="K229" s="315"/>
      <c r="L229" s="315" t="s">
        <v>21</v>
      </c>
      <c r="M229" s="322">
        <f>E229*(F229*G229*H229)</f>
        <v>0.99900000000000022</v>
      </c>
      <c r="N229" s="313"/>
      <c r="O229" s="33"/>
      <c r="P229" s="33"/>
      <c r="Q229" s="33"/>
      <c r="R229" s="33"/>
      <c r="S229" s="33"/>
    </row>
    <row r="230" spans="1:19" s="35" customFormat="1">
      <c r="A230" s="157"/>
      <c r="B230" s="157"/>
      <c r="C230" s="87"/>
      <c r="D230" s="310" t="s">
        <v>12603</v>
      </c>
      <c r="E230" s="313">
        <v>1</v>
      </c>
      <c r="F230" s="315">
        <v>0.75</v>
      </c>
      <c r="G230" s="315">
        <v>1.1000000000000001</v>
      </c>
      <c r="H230" s="315">
        <v>0.2</v>
      </c>
      <c r="I230" s="315"/>
      <c r="J230" s="315"/>
      <c r="K230" s="315"/>
      <c r="L230" s="315" t="s">
        <v>21</v>
      </c>
      <c r="M230" s="322">
        <f>E230*(F230*G230*H230)</f>
        <v>0.16500000000000004</v>
      </c>
      <c r="N230" s="313"/>
      <c r="O230" s="33"/>
      <c r="P230" s="33"/>
      <c r="Q230" s="33"/>
      <c r="R230" s="33"/>
      <c r="S230" s="33"/>
    </row>
    <row r="231" spans="1:19" s="35" customFormat="1">
      <c r="A231" s="157"/>
      <c r="B231" s="157"/>
      <c r="C231" s="87"/>
      <c r="D231" s="310" t="s">
        <v>12604</v>
      </c>
      <c r="E231" s="313">
        <v>2</v>
      </c>
      <c r="F231" s="315">
        <v>1.85</v>
      </c>
      <c r="G231" s="315">
        <v>0.15</v>
      </c>
      <c r="H231" s="315">
        <v>1.8</v>
      </c>
      <c r="I231" s="315"/>
      <c r="J231" s="315"/>
      <c r="K231" s="315"/>
      <c r="L231" s="315" t="s">
        <v>21</v>
      </c>
      <c r="M231" s="322">
        <f>E231*(F231*H231*G231)</f>
        <v>0.999</v>
      </c>
      <c r="N231" s="313"/>
      <c r="O231" s="33"/>
      <c r="P231" s="33"/>
      <c r="Q231" s="33"/>
      <c r="R231" s="33"/>
      <c r="S231" s="33"/>
    </row>
    <row r="232" spans="1:19" s="35" customFormat="1">
      <c r="A232" s="157"/>
      <c r="B232" s="157"/>
      <c r="C232" s="87"/>
      <c r="D232" s="310" t="s">
        <v>12605</v>
      </c>
      <c r="E232" s="313">
        <v>2</v>
      </c>
      <c r="F232" s="315">
        <v>1.85</v>
      </c>
      <c r="G232" s="315">
        <v>0.15</v>
      </c>
      <c r="H232" s="315">
        <v>1.8</v>
      </c>
      <c r="I232" s="315"/>
      <c r="J232" s="315"/>
      <c r="K232" s="315"/>
      <c r="L232" s="315" t="s">
        <v>21</v>
      </c>
      <c r="M232" s="322">
        <f t="shared" ref="M232:M238" si="9">E232*(F232*H232*G232)</f>
        <v>0.999</v>
      </c>
      <c r="N232" s="313"/>
      <c r="O232" s="33"/>
      <c r="P232" s="33"/>
      <c r="Q232" s="33"/>
      <c r="R232" s="33"/>
      <c r="S232" s="33"/>
    </row>
    <row r="233" spans="1:19" s="35" customFormat="1">
      <c r="A233" s="157"/>
      <c r="B233" s="157"/>
      <c r="C233" s="87"/>
      <c r="D233" s="310" t="s">
        <v>12606</v>
      </c>
      <c r="E233" s="313">
        <v>2</v>
      </c>
      <c r="F233" s="315">
        <v>0.75</v>
      </c>
      <c r="G233" s="315">
        <v>0.15</v>
      </c>
      <c r="H233" s="315">
        <v>1.8</v>
      </c>
      <c r="I233" s="315"/>
      <c r="J233" s="315"/>
      <c r="K233" s="315"/>
      <c r="L233" s="315" t="s">
        <v>21</v>
      </c>
      <c r="M233" s="322">
        <f t="shared" si="9"/>
        <v>0.40500000000000003</v>
      </c>
      <c r="N233" s="313"/>
      <c r="O233" s="33"/>
      <c r="P233" s="33"/>
      <c r="Q233" s="33"/>
      <c r="R233" s="33"/>
      <c r="S233" s="33"/>
    </row>
    <row r="234" spans="1:19" s="35" customFormat="1">
      <c r="A234" s="157"/>
      <c r="B234" s="157"/>
      <c r="C234" s="87"/>
      <c r="D234" s="310" t="s">
        <v>12607</v>
      </c>
      <c r="E234" s="313">
        <v>1</v>
      </c>
      <c r="F234" s="315">
        <v>1.1000000000000001</v>
      </c>
      <c r="G234" s="315">
        <v>0.15</v>
      </c>
      <c r="H234" s="315">
        <v>1.8</v>
      </c>
      <c r="I234" s="315"/>
      <c r="J234" s="315"/>
      <c r="K234" s="315"/>
      <c r="L234" s="315" t="s">
        <v>21</v>
      </c>
      <c r="M234" s="322">
        <f t="shared" si="9"/>
        <v>0.29700000000000004</v>
      </c>
      <c r="N234" s="313"/>
      <c r="O234" s="33"/>
      <c r="P234" s="33"/>
      <c r="Q234" s="33"/>
      <c r="R234" s="33"/>
      <c r="S234" s="33"/>
    </row>
    <row r="235" spans="1:19" s="35" customFormat="1">
      <c r="A235" s="157"/>
      <c r="B235" s="157"/>
      <c r="C235" s="87"/>
      <c r="D235" s="310" t="s">
        <v>12608</v>
      </c>
      <c r="E235" s="313">
        <v>2</v>
      </c>
      <c r="F235" s="315">
        <v>0.95</v>
      </c>
      <c r="G235" s="315">
        <v>0.15</v>
      </c>
      <c r="H235" s="315">
        <v>1.8</v>
      </c>
      <c r="I235" s="315"/>
      <c r="J235" s="315"/>
      <c r="K235" s="315"/>
      <c r="L235" s="315" t="s">
        <v>21</v>
      </c>
      <c r="M235" s="322">
        <f t="shared" si="9"/>
        <v>0.51300000000000001</v>
      </c>
      <c r="N235" s="313"/>
      <c r="O235" s="33"/>
      <c r="P235" s="33"/>
      <c r="Q235" s="33"/>
      <c r="R235" s="33"/>
      <c r="S235" s="33"/>
    </row>
    <row r="236" spans="1:19" s="35" customFormat="1">
      <c r="A236" s="157"/>
      <c r="B236" s="157"/>
      <c r="C236" s="87"/>
      <c r="D236" s="310" t="s">
        <v>12609</v>
      </c>
      <c r="E236" s="313">
        <v>1</v>
      </c>
      <c r="F236" s="315">
        <v>0.8</v>
      </c>
      <c r="G236" s="315">
        <v>0.15</v>
      </c>
      <c r="H236" s="315">
        <v>0.75</v>
      </c>
      <c r="I236" s="315"/>
      <c r="J236" s="315"/>
      <c r="K236" s="315"/>
      <c r="L236" s="315" t="s">
        <v>21</v>
      </c>
      <c r="M236" s="322">
        <f t="shared" si="9"/>
        <v>9.0000000000000011E-2</v>
      </c>
      <c r="N236" s="313"/>
      <c r="O236" s="33"/>
      <c r="P236" s="33"/>
      <c r="Q236" s="33"/>
      <c r="R236" s="33"/>
      <c r="S236" s="33"/>
    </row>
    <row r="237" spans="1:19" s="35" customFormat="1">
      <c r="A237" s="157"/>
      <c r="B237" s="157"/>
      <c r="C237" s="87"/>
      <c r="D237" s="310" t="s">
        <v>12610</v>
      </c>
      <c r="E237" s="313">
        <v>2</v>
      </c>
      <c r="F237" s="315">
        <v>0.5</v>
      </c>
      <c r="G237" s="315">
        <v>0.15</v>
      </c>
      <c r="H237" s="315">
        <v>1.8</v>
      </c>
      <c r="I237" s="315"/>
      <c r="J237" s="315"/>
      <c r="K237" s="315"/>
      <c r="L237" s="315" t="s">
        <v>21</v>
      </c>
      <c r="M237" s="322">
        <f t="shared" si="9"/>
        <v>0.27</v>
      </c>
      <c r="N237" s="313"/>
      <c r="O237" s="33"/>
      <c r="P237" s="33"/>
      <c r="Q237" s="33"/>
      <c r="R237" s="33"/>
      <c r="S237" s="33"/>
    </row>
    <row r="238" spans="1:19" s="35" customFormat="1">
      <c r="A238" s="157"/>
      <c r="B238" s="157"/>
      <c r="C238" s="87"/>
      <c r="D238" s="310" t="s">
        <v>12611</v>
      </c>
      <c r="E238" s="313">
        <v>1</v>
      </c>
      <c r="F238" s="315">
        <v>2.7</v>
      </c>
      <c r="G238" s="315">
        <v>0.15</v>
      </c>
      <c r="H238" s="315">
        <v>1.8</v>
      </c>
      <c r="I238" s="315"/>
      <c r="J238" s="315"/>
      <c r="K238" s="315"/>
      <c r="L238" s="315" t="s">
        <v>21</v>
      </c>
      <c r="M238" s="322">
        <f t="shared" si="9"/>
        <v>0.72899999999999998</v>
      </c>
      <c r="N238" s="313"/>
      <c r="O238" s="33"/>
      <c r="P238" s="33"/>
      <c r="Q238" s="33"/>
      <c r="R238" s="33"/>
      <c r="S238" s="33"/>
    </row>
    <row r="239" spans="1:19" s="35" customFormat="1">
      <c r="A239" s="157"/>
      <c r="B239" s="157"/>
      <c r="C239" s="87"/>
      <c r="D239" s="310" t="s">
        <v>12612</v>
      </c>
      <c r="E239" s="313">
        <v>1</v>
      </c>
      <c r="F239" s="315">
        <f>1.1+1.85</f>
        <v>2.95</v>
      </c>
      <c r="G239" s="315">
        <v>2.7</v>
      </c>
      <c r="H239" s="315">
        <v>0.15</v>
      </c>
      <c r="I239" s="315">
        <f>4*0.5*0.7+1.1*1.55+0.8*0.75</f>
        <v>3.7050000000000005</v>
      </c>
      <c r="J239" s="315"/>
      <c r="K239" s="315"/>
      <c r="L239" s="315" t="s">
        <v>21</v>
      </c>
      <c r="M239" s="322">
        <f>E239*(F239*G239*H239)-I239*H239</f>
        <v>0.6389999999999999</v>
      </c>
      <c r="N239" s="313"/>
      <c r="O239" s="33"/>
      <c r="P239" s="33"/>
      <c r="Q239" s="33"/>
      <c r="R239" s="33"/>
      <c r="S239" s="33"/>
    </row>
    <row r="240" spans="1:19" s="35" customFormat="1">
      <c r="A240" s="157"/>
      <c r="B240" s="157"/>
      <c r="C240" s="87"/>
      <c r="D240" s="327"/>
      <c r="E240" s="313"/>
      <c r="F240" s="315"/>
      <c r="G240" s="315"/>
      <c r="H240" s="315"/>
      <c r="I240" s="315"/>
      <c r="J240" s="1734" t="s">
        <v>12625</v>
      </c>
      <c r="K240" s="1734"/>
      <c r="L240" s="83" t="s">
        <v>21</v>
      </c>
      <c r="M240" s="167">
        <f>SUM(M203:M239)</f>
        <v>551.65677000000017</v>
      </c>
      <c r="N240" s="313"/>
      <c r="O240" s="33"/>
      <c r="P240" s="33"/>
      <c r="Q240" s="33"/>
      <c r="R240" s="33"/>
      <c r="S240" s="33"/>
    </row>
    <row r="241" spans="1:19" s="35" customFormat="1">
      <c r="A241" s="157"/>
      <c r="B241" s="157"/>
      <c r="C241" s="87"/>
      <c r="D241" s="169" t="s">
        <v>12619</v>
      </c>
      <c r="E241" s="170" t="s">
        <v>1275</v>
      </c>
      <c r="F241" s="170" t="s">
        <v>11684</v>
      </c>
      <c r="G241" s="170" t="s">
        <v>19</v>
      </c>
      <c r="H241" s="170" t="s">
        <v>32</v>
      </c>
      <c r="I241" s="170" t="s">
        <v>36</v>
      </c>
      <c r="J241" s="170" t="s">
        <v>12593</v>
      </c>
      <c r="K241" s="170" t="s">
        <v>30</v>
      </c>
      <c r="L241" s="170" t="s">
        <v>30</v>
      </c>
      <c r="M241" s="171" t="s">
        <v>30</v>
      </c>
      <c r="N241" s="313"/>
      <c r="O241" s="33"/>
      <c r="P241" s="33"/>
      <c r="Q241" s="33"/>
      <c r="R241" s="33"/>
      <c r="S241" s="33"/>
    </row>
    <row r="242" spans="1:19" s="35" customFormat="1">
      <c r="A242" s="157"/>
      <c r="B242" s="157"/>
      <c r="C242" s="87"/>
      <c r="D242" s="310" t="s">
        <v>12518</v>
      </c>
      <c r="E242" s="313">
        <v>0</v>
      </c>
      <c r="F242" s="315">
        <f>17.2+0.5</f>
        <v>17.7</v>
      </c>
      <c r="G242" s="315">
        <f>12.8+0.5</f>
        <v>13.3</v>
      </c>
      <c r="H242" s="315">
        <v>0.3</v>
      </c>
      <c r="I242" s="315" t="s">
        <v>30</v>
      </c>
      <c r="J242" s="315" t="s">
        <v>30</v>
      </c>
      <c r="K242" s="315"/>
      <c r="L242" s="315" t="s">
        <v>21</v>
      </c>
      <c r="M242" s="322">
        <f>E242*(F242*G242*H242)</f>
        <v>0</v>
      </c>
      <c r="N242" s="313"/>
      <c r="O242" s="33"/>
      <c r="P242" s="33"/>
      <c r="Q242" s="33"/>
      <c r="R242" s="33"/>
      <c r="S242" s="33"/>
    </row>
    <row r="243" spans="1:19" s="35" customFormat="1">
      <c r="A243" s="157"/>
      <c r="B243" s="157"/>
      <c r="C243" s="87"/>
      <c r="D243" s="310" t="s">
        <v>12620</v>
      </c>
      <c r="E243" s="313">
        <f t="shared" ref="E243:E278" si="10">E204*2</f>
        <v>96</v>
      </c>
      <c r="F243" s="315">
        <v>0.2</v>
      </c>
      <c r="G243" s="315">
        <v>0.2</v>
      </c>
      <c r="H243" s="315">
        <f>4.85-1.55-0.174-0.11</f>
        <v>3.016</v>
      </c>
      <c r="I243" s="315" t="s">
        <v>30</v>
      </c>
      <c r="J243" s="315" t="s">
        <v>30</v>
      </c>
      <c r="K243" s="315"/>
      <c r="L243" s="315" t="s">
        <v>21</v>
      </c>
      <c r="M243" s="322">
        <f>E243*(F243*G243*H243)</f>
        <v>11.581440000000002</v>
      </c>
      <c r="N243" s="313"/>
      <c r="O243" s="33"/>
      <c r="P243" s="33"/>
      <c r="Q243" s="33"/>
      <c r="R243" s="33"/>
      <c r="S243" s="33"/>
    </row>
    <row r="244" spans="1:19" s="35" customFormat="1">
      <c r="A244" s="157"/>
      <c r="B244" s="157"/>
      <c r="C244" s="87"/>
      <c r="D244" s="310" t="s">
        <v>12621</v>
      </c>
      <c r="E244" s="313">
        <f t="shared" si="10"/>
        <v>4</v>
      </c>
      <c r="F244" s="315">
        <v>0.15</v>
      </c>
      <c r="G244" s="315">
        <v>0.3</v>
      </c>
      <c r="H244" s="315">
        <v>3.25</v>
      </c>
      <c r="I244" s="315" t="s">
        <v>30</v>
      </c>
      <c r="J244" s="315" t="s">
        <v>30</v>
      </c>
      <c r="K244" s="315"/>
      <c r="L244" s="315" t="s">
        <v>21</v>
      </c>
      <c r="M244" s="322">
        <f>E244*(F244*G244*H244)</f>
        <v>0.58499999999999996</v>
      </c>
      <c r="N244" s="313"/>
      <c r="O244" s="33"/>
      <c r="P244" s="33"/>
      <c r="Q244" s="33"/>
      <c r="R244" s="33"/>
      <c r="S244" s="33"/>
    </row>
    <row r="245" spans="1:19" s="35" customFormat="1">
      <c r="A245" s="157"/>
      <c r="B245" s="157"/>
      <c r="C245" s="87"/>
      <c r="D245" s="310" t="s">
        <v>12595</v>
      </c>
      <c r="E245" s="313">
        <f t="shared" si="10"/>
        <v>4</v>
      </c>
      <c r="F245" s="315">
        <v>0.5</v>
      </c>
      <c r="G245" s="315">
        <v>0.5</v>
      </c>
      <c r="H245" s="315">
        <v>0.5</v>
      </c>
      <c r="I245" s="315" t="s">
        <v>30</v>
      </c>
      <c r="J245" s="315" t="s">
        <v>30</v>
      </c>
      <c r="K245" s="315"/>
      <c r="L245" s="315" t="s">
        <v>21</v>
      </c>
      <c r="M245" s="322">
        <f>E245*(F245*G245*H245)</f>
        <v>0.5</v>
      </c>
      <c r="N245" s="313"/>
      <c r="O245" s="33"/>
      <c r="P245" s="33"/>
      <c r="Q245" s="33"/>
      <c r="R245" s="33"/>
      <c r="S245" s="33"/>
    </row>
    <row r="246" spans="1:19" s="35" customFormat="1">
      <c r="A246" s="157"/>
      <c r="B246" s="157"/>
      <c r="C246" s="87"/>
      <c r="D246" s="310" t="s">
        <v>12594</v>
      </c>
      <c r="E246" s="313">
        <v>0</v>
      </c>
      <c r="F246" s="315">
        <v>0.3</v>
      </c>
      <c r="G246" s="315">
        <v>0.05</v>
      </c>
      <c r="H246" s="315">
        <v>1.05</v>
      </c>
      <c r="I246" s="315"/>
      <c r="J246" s="315" t="s">
        <v>30</v>
      </c>
      <c r="K246" s="315"/>
      <c r="L246" s="315" t="s">
        <v>21</v>
      </c>
      <c r="M246" s="322">
        <f>E246*(F246*G246*H246)</f>
        <v>0</v>
      </c>
      <c r="N246" s="313"/>
      <c r="O246" s="33"/>
      <c r="P246" s="33"/>
      <c r="Q246" s="33"/>
      <c r="R246" s="33"/>
      <c r="S246" s="33"/>
    </row>
    <row r="247" spans="1:19" s="35" customFormat="1">
      <c r="A247" s="157"/>
      <c r="B247" s="157"/>
      <c r="C247" s="87"/>
      <c r="D247" s="310" t="s">
        <v>12586</v>
      </c>
      <c r="E247" s="313">
        <f t="shared" si="10"/>
        <v>4</v>
      </c>
      <c r="F247" s="315">
        <f>17.2</f>
        <v>17.2</v>
      </c>
      <c r="G247" s="315">
        <f>13.9-0.5</f>
        <v>13.4</v>
      </c>
      <c r="H247" s="315">
        <v>1.1000000000000001</v>
      </c>
      <c r="I247" s="315">
        <v>0.25</v>
      </c>
      <c r="J247" s="315" t="s">
        <v>30</v>
      </c>
      <c r="K247" s="315"/>
      <c r="L247" s="315" t="s">
        <v>21</v>
      </c>
      <c r="M247" s="322">
        <f>E247*((2*F247+2*G247)*H247*I247)</f>
        <v>67.320000000000007</v>
      </c>
      <c r="N247" s="313"/>
      <c r="O247" s="33"/>
      <c r="P247" s="33"/>
      <c r="Q247" s="33"/>
      <c r="R247" s="33"/>
      <c r="S247" s="33"/>
    </row>
    <row r="248" spans="1:19" s="35" customFormat="1">
      <c r="A248" s="157"/>
      <c r="B248" s="157"/>
      <c r="C248" s="87"/>
      <c r="D248" s="310" t="s">
        <v>12587</v>
      </c>
      <c r="E248" s="313">
        <f t="shared" si="10"/>
        <v>32</v>
      </c>
      <c r="F248" s="315">
        <v>17.2</v>
      </c>
      <c r="G248" s="315" t="s">
        <v>30</v>
      </c>
      <c r="H248" s="315">
        <v>0.9</v>
      </c>
      <c r="I248" s="315">
        <v>0.2</v>
      </c>
      <c r="J248" s="315" t="s">
        <v>30</v>
      </c>
      <c r="K248" s="315"/>
      <c r="L248" s="315" t="s">
        <v>21</v>
      </c>
      <c r="M248" s="322">
        <f t="shared" ref="M248:M253" si="11">E248*(F248*I248*H248)</f>
        <v>99.072000000000003</v>
      </c>
      <c r="N248" s="313"/>
      <c r="O248" s="33"/>
      <c r="P248" s="33"/>
      <c r="Q248" s="33"/>
      <c r="R248" s="33"/>
      <c r="S248" s="33"/>
    </row>
    <row r="249" spans="1:19" s="35" customFormat="1">
      <c r="A249" s="157"/>
      <c r="B249" s="157"/>
      <c r="C249" s="87"/>
      <c r="D249" s="310" t="s">
        <v>12588</v>
      </c>
      <c r="E249" s="313">
        <f t="shared" si="10"/>
        <v>16</v>
      </c>
      <c r="F249" s="315">
        <v>2.4500000000000002</v>
      </c>
      <c r="G249" s="315" t="s">
        <v>30</v>
      </c>
      <c r="H249" s="315">
        <v>0.3</v>
      </c>
      <c r="I249" s="315">
        <v>0.2</v>
      </c>
      <c r="J249" s="315" t="s">
        <v>30</v>
      </c>
      <c r="K249" s="315"/>
      <c r="L249" s="315" t="s">
        <v>21</v>
      </c>
      <c r="M249" s="322">
        <f t="shared" si="11"/>
        <v>2.3520000000000003</v>
      </c>
      <c r="N249" s="313"/>
      <c r="O249" s="33"/>
      <c r="P249" s="33"/>
      <c r="Q249" s="33"/>
      <c r="R249" s="33"/>
      <c r="S249" s="33"/>
    </row>
    <row r="250" spans="1:19" s="35" customFormat="1">
      <c r="A250" s="157"/>
      <c r="B250" s="157"/>
      <c r="C250" s="87"/>
      <c r="D250" s="310" t="s">
        <v>12589</v>
      </c>
      <c r="E250" s="313">
        <f t="shared" si="10"/>
        <v>16</v>
      </c>
      <c r="F250" s="315">
        <v>4.5</v>
      </c>
      <c r="G250" s="315" t="s">
        <v>30</v>
      </c>
      <c r="H250" s="315">
        <v>0.3</v>
      </c>
      <c r="I250" s="315">
        <v>0.2</v>
      </c>
      <c r="J250" s="315" t="s">
        <v>30</v>
      </c>
      <c r="K250" s="315"/>
      <c r="L250" s="315" t="s">
        <v>21</v>
      </c>
      <c r="M250" s="322">
        <f t="shared" si="11"/>
        <v>4.32</v>
      </c>
      <c r="N250" s="313"/>
      <c r="O250" s="33"/>
      <c r="P250" s="33"/>
      <c r="Q250" s="33"/>
      <c r="R250" s="33"/>
      <c r="S250" s="33"/>
    </row>
    <row r="251" spans="1:19" s="35" customFormat="1">
      <c r="A251" s="157"/>
      <c r="B251" s="157"/>
      <c r="C251" s="87"/>
      <c r="D251" s="310" t="s">
        <v>12590</v>
      </c>
      <c r="E251" s="313">
        <f t="shared" si="10"/>
        <v>32</v>
      </c>
      <c r="F251" s="315">
        <v>12.8</v>
      </c>
      <c r="G251" s="315" t="s">
        <v>30</v>
      </c>
      <c r="H251" s="315">
        <v>0.3</v>
      </c>
      <c r="I251" s="315">
        <v>0.2</v>
      </c>
      <c r="J251" s="315" t="s">
        <v>30</v>
      </c>
      <c r="K251" s="315"/>
      <c r="L251" s="315" t="s">
        <v>21</v>
      </c>
      <c r="M251" s="322">
        <f t="shared" si="11"/>
        <v>24.576000000000004</v>
      </c>
      <c r="N251" s="313"/>
      <c r="O251" s="33"/>
      <c r="P251" s="33"/>
      <c r="Q251" s="33"/>
      <c r="R251" s="33"/>
      <c r="S251" s="33"/>
    </row>
    <row r="252" spans="1:19" s="35" customFormat="1">
      <c r="A252" s="157"/>
      <c r="B252" s="157"/>
      <c r="C252" s="87"/>
      <c r="D252" s="310" t="s">
        <v>12591</v>
      </c>
      <c r="E252" s="313">
        <f t="shared" si="10"/>
        <v>4</v>
      </c>
      <c r="F252" s="315">
        <v>17.2</v>
      </c>
      <c r="G252" s="315" t="s">
        <v>30</v>
      </c>
      <c r="H252" s="315">
        <v>0.15</v>
      </c>
      <c r="I252" s="315">
        <v>0.2</v>
      </c>
      <c r="J252" s="315" t="s">
        <v>30</v>
      </c>
      <c r="K252" s="315"/>
      <c r="L252" s="315" t="s">
        <v>21</v>
      </c>
      <c r="M252" s="322">
        <f t="shared" si="11"/>
        <v>2.0640000000000001</v>
      </c>
      <c r="N252" s="313"/>
      <c r="O252" s="33"/>
      <c r="P252" s="33"/>
      <c r="Q252" s="33"/>
      <c r="R252" s="33"/>
      <c r="S252" s="33"/>
    </row>
    <row r="253" spans="1:19" s="35" customFormat="1">
      <c r="A253" s="157"/>
      <c r="B253" s="157"/>
      <c r="C253" s="87"/>
      <c r="D253" s="310" t="s">
        <v>12592</v>
      </c>
      <c r="E253" s="313">
        <f t="shared" si="10"/>
        <v>32</v>
      </c>
      <c r="F253" s="315">
        <v>12.8</v>
      </c>
      <c r="G253" s="315" t="s">
        <v>30</v>
      </c>
      <c r="H253" s="315">
        <v>0.3</v>
      </c>
      <c r="I253" s="315">
        <v>0.2</v>
      </c>
      <c r="J253" s="315" t="s">
        <v>30</v>
      </c>
      <c r="K253" s="315"/>
      <c r="L253" s="315" t="s">
        <v>21</v>
      </c>
      <c r="M253" s="322">
        <f t="shared" si="11"/>
        <v>24.576000000000004</v>
      </c>
      <c r="N253" s="313"/>
      <c r="O253" s="33"/>
      <c r="P253" s="33"/>
      <c r="Q253" s="33"/>
      <c r="R253" s="33"/>
      <c r="S253" s="33"/>
    </row>
    <row r="254" spans="1:19" s="35" customFormat="1">
      <c r="A254" s="157"/>
      <c r="B254" s="157"/>
      <c r="C254" s="87"/>
      <c r="D254" s="199"/>
      <c r="E254" s="200" t="s">
        <v>30</v>
      </c>
      <c r="F254" s="201" t="s">
        <v>20</v>
      </c>
      <c r="G254" s="201" t="s">
        <v>19</v>
      </c>
      <c r="H254" s="201" t="s">
        <v>30</v>
      </c>
      <c r="I254" s="201" t="s">
        <v>30</v>
      </c>
      <c r="J254" s="201" t="s">
        <v>30</v>
      </c>
      <c r="K254" s="201" t="s">
        <v>30</v>
      </c>
      <c r="L254" s="201" t="s">
        <v>30</v>
      </c>
      <c r="M254" s="201" t="s">
        <v>30</v>
      </c>
      <c r="N254" s="313"/>
      <c r="O254" s="33"/>
      <c r="P254" s="33"/>
      <c r="Q254" s="33"/>
      <c r="R254" s="33"/>
      <c r="S254" s="33"/>
    </row>
    <row r="255" spans="1:19" s="35" customFormat="1">
      <c r="A255" s="157"/>
      <c r="B255" s="157"/>
      <c r="C255" s="87"/>
      <c r="D255" s="202" t="s">
        <v>12596</v>
      </c>
      <c r="E255" s="313">
        <f>E216*2</f>
        <v>4</v>
      </c>
      <c r="F255" s="203">
        <f>(0.85+0.45)*0.2</f>
        <v>0.26</v>
      </c>
      <c r="G255" s="203">
        <v>13.4</v>
      </c>
      <c r="H255" s="203"/>
      <c r="I255" s="203"/>
      <c r="J255" s="203"/>
      <c r="K255" s="203"/>
      <c r="L255" s="203" t="s">
        <v>21</v>
      </c>
      <c r="M255" s="203">
        <f>E255*F255*G255</f>
        <v>13.936000000000002</v>
      </c>
      <c r="N255" s="313"/>
      <c r="O255" s="33"/>
      <c r="P255" s="33"/>
      <c r="Q255" s="33"/>
      <c r="R255" s="33"/>
      <c r="S255" s="33"/>
    </row>
    <row r="256" spans="1:19" s="35" customFormat="1">
      <c r="A256" s="157"/>
      <c r="B256" s="157"/>
      <c r="C256" s="87"/>
      <c r="D256" s="202" t="s">
        <v>12597</v>
      </c>
      <c r="E256" s="204">
        <v>0</v>
      </c>
      <c r="F256" s="203">
        <f>((0.11+0.284)*0.65/2)</f>
        <v>0.12805</v>
      </c>
      <c r="G256" s="203">
        <v>17.2</v>
      </c>
      <c r="H256" s="203"/>
      <c r="I256" s="203"/>
      <c r="J256" s="203"/>
      <c r="K256" s="203"/>
      <c r="L256" s="203" t="s">
        <v>21</v>
      </c>
      <c r="M256" s="203">
        <f t="shared" ref="M256:M261" si="12">E256*F256*G256</f>
        <v>0</v>
      </c>
      <c r="N256" s="313"/>
      <c r="O256" s="33"/>
      <c r="P256" s="33"/>
      <c r="Q256" s="33"/>
      <c r="R256" s="33"/>
      <c r="S256" s="33"/>
    </row>
    <row r="257" spans="1:19" s="35" customFormat="1">
      <c r="A257" s="157"/>
      <c r="B257" s="157"/>
      <c r="C257" s="87"/>
      <c r="D257" s="310" t="s">
        <v>12598</v>
      </c>
      <c r="E257" s="313">
        <v>0</v>
      </c>
      <c r="F257" s="315">
        <f>2*((0.11+0.284)*0.65/2)</f>
        <v>0.25609999999999999</v>
      </c>
      <c r="G257" s="315">
        <v>17.2</v>
      </c>
      <c r="H257" s="315"/>
      <c r="I257" s="315"/>
      <c r="J257" s="315"/>
      <c r="K257" s="315"/>
      <c r="L257" s="315" t="s">
        <v>21</v>
      </c>
      <c r="M257" s="322">
        <f t="shared" si="12"/>
        <v>0</v>
      </c>
      <c r="N257" s="313"/>
      <c r="O257" s="33"/>
      <c r="P257" s="33"/>
      <c r="Q257" s="33"/>
      <c r="R257" s="33"/>
      <c r="S257" s="33"/>
    </row>
    <row r="258" spans="1:19" s="35" customFormat="1">
      <c r="A258" s="157"/>
      <c r="B258" s="157"/>
      <c r="C258" s="87"/>
      <c r="D258" s="310" t="s">
        <v>12599</v>
      </c>
      <c r="E258" s="313">
        <f>E219*2</f>
        <v>4</v>
      </c>
      <c r="F258" s="315">
        <f>((0.85+0.45)*0.15)</f>
        <v>0.19500000000000001</v>
      </c>
      <c r="G258" s="315">
        <v>13.4</v>
      </c>
      <c r="H258" s="315"/>
      <c r="I258" s="315"/>
      <c r="J258" s="315"/>
      <c r="K258" s="315"/>
      <c r="L258" s="315" t="s">
        <v>21</v>
      </c>
      <c r="M258" s="322">
        <f t="shared" si="12"/>
        <v>10.452</v>
      </c>
      <c r="N258" s="313"/>
      <c r="O258" s="33"/>
      <c r="P258" s="33"/>
      <c r="Q258" s="33"/>
      <c r="R258" s="33"/>
      <c r="S258" s="33"/>
    </row>
    <row r="259" spans="1:19" s="35" customFormat="1">
      <c r="A259" s="157"/>
      <c r="B259" s="157"/>
      <c r="C259" s="87"/>
      <c r="D259" s="310" t="s">
        <v>12600</v>
      </c>
      <c r="E259" s="313">
        <v>0</v>
      </c>
      <c r="F259" s="315">
        <f>0.2*0.8</f>
        <v>0.16000000000000003</v>
      </c>
      <c r="G259" s="315">
        <v>13.4</v>
      </c>
      <c r="H259" s="315"/>
      <c r="I259" s="315"/>
      <c r="J259" s="315"/>
      <c r="K259" s="315"/>
      <c r="L259" s="315" t="s">
        <v>21</v>
      </c>
      <c r="M259" s="322">
        <f t="shared" si="12"/>
        <v>0</v>
      </c>
      <c r="N259" s="313"/>
      <c r="O259" s="33"/>
      <c r="P259" s="33"/>
      <c r="Q259" s="33"/>
      <c r="R259" s="33"/>
      <c r="S259" s="33"/>
    </row>
    <row r="260" spans="1:19" s="35" customFormat="1">
      <c r="A260" s="157"/>
      <c r="B260" s="157"/>
      <c r="C260" s="87"/>
      <c r="D260" s="310" t="s">
        <v>12601</v>
      </c>
      <c r="E260" s="313">
        <f t="shared" si="10"/>
        <v>16</v>
      </c>
      <c r="F260" s="315">
        <f>(0.4*2+0.3)*0.12</f>
        <v>0.13200000000000001</v>
      </c>
      <c r="G260" s="315">
        <v>17.2</v>
      </c>
      <c r="H260" s="315"/>
      <c r="I260" s="315"/>
      <c r="J260" s="315"/>
      <c r="K260" s="315"/>
      <c r="L260" s="315" t="s">
        <v>21</v>
      </c>
      <c r="M260" s="322">
        <f t="shared" si="12"/>
        <v>36.3264</v>
      </c>
      <c r="N260" s="313"/>
      <c r="O260" s="33"/>
      <c r="P260" s="33"/>
      <c r="Q260" s="33"/>
      <c r="R260" s="33"/>
      <c r="S260" s="33"/>
    </row>
    <row r="261" spans="1:19" s="35" customFormat="1">
      <c r="A261" s="157"/>
      <c r="B261" s="157"/>
      <c r="C261" s="87"/>
      <c r="D261" s="320" t="s">
        <v>12602</v>
      </c>
      <c r="E261" s="79">
        <f t="shared" si="10"/>
        <v>8</v>
      </c>
      <c r="F261" s="79">
        <f>(0.2+0.5+0.475)*0.2+(0.2+0.8+0.45)*0.2</f>
        <v>0.52499999999999991</v>
      </c>
      <c r="G261" s="74">
        <f>2.15+0.3</f>
        <v>2.4499999999999997</v>
      </c>
      <c r="H261" s="74"/>
      <c r="I261" s="74"/>
      <c r="J261" s="74"/>
      <c r="K261" s="74"/>
      <c r="L261" s="74" t="s">
        <v>21</v>
      </c>
      <c r="M261" s="133">
        <f t="shared" si="12"/>
        <v>10.289999999999997</v>
      </c>
      <c r="N261" s="313"/>
      <c r="O261" s="33"/>
      <c r="P261" s="33"/>
      <c r="Q261" s="33"/>
      <c r="R261" s="33"/>
      <c r="S261" s="33"/>
    </row>
    <row r="262" spans="1:19" s="35" customFormat="1">
      <c r="A262" s="157"/>
      <c r="B262" s="157"/>
      <c r="C262" s="87"/>
      <c r="D262" s="324" t="s">
        <v>12613</v>
      </c>
      <c r="E262" s="116">
        <f t="shared" si="10"/>
        <v>8</v>
      </c>
      <c r="F262" s="173">
        <v>2.15</v>
      </c>
      <c r="G262" s="173">
        <v>1.125</v>
      </c>
      <c r="H262" s="321" t="s">
        <v>30</v>
      </c>
      <c r="I262" s="321">
        <v>0.15</v>
      </c>
      <c r="J262" s="321">
        <f>E262*F262*G262*I262</f>
        <v>2.9024999999999994</v>
      </c>
      <c r="K262" s="321"/>
      <c r="L262" s="321" t="s">
        <v>21</v>
      </c>
      <c r="M262" s="172">
        <v>0</v>
      </c>
      <c r="N262" s="313"/>
      <c r="O262" s="33"/>
      <c r="P262" s="33"/>
      <c r="Q262" s="33"/>
      <c r="R262" s="33"/>
      <c r="S262" s="33"/>
    </row>
    <row r="263" spans="1:19" s="35" customFormat="1">
      <c r="A263" s="157"/>
      <c r="B263" s="157"/>
      <c r="C263" s="87"/>
      <c r="D263" s="310" t="s">
        <v>12614</v>
      </c>
      <c r="E263" s="313">
        <f t="shared" si="10"/>
        <v>192</v>
      </c>
      <c r="F263" s="311">
        <v>0.6</v>
      </c>
      <c r="G263" s="311">
        <v>0.20100000000000001</v>
      </c>
      <c r="H263" s="315" t="s">
        <v>30</v>
      </c>
      <c r="I263" s="315">
        <v>0.15</v>
      </c>
      <c r="J263" s="315">
        <f>E263*F263*G263*I263</f>
        <v>3.4732799999999999</v>
      </c>
      <c r="K263" s="315"/>
      <c r="L263" s="315" t="s">
        <v>21</v>
      </c>
      <c r="M263" s="322">
        <v>0</v>
      </c>
      <c r="N263" s="313"/>
      <c r="O263" s="33"/>
      <c r="P263" s="33"/>
      <c r="Q263" s="33"/>
      <c r="R263" s="33"/>
      <c r="S263" s="33"/>
    </row>
    <row r="264" spans="1:19" s="35" customFormat="1">
      <c r="A264" s="157"/>
      <c r="B264" s="157"/>
      <c r="C264" s="87"/>
      <c r="D264" s="310" t="s">
        <v>12615</v>
      </c>
      <c r="E264" s="313">
        <f t="shared" si="10"/>
        <v>24</v>
      </c>
      <c r="F264" s="311">
        <v>1.32</v>
      </c>
      <c r="G264" s="311">
        <v>1.1000000000000001</v>
      </c>
      <c r="H264" s="315" t="s">
        <v>30</v>
      </c>
      <c r="I264" s="315">
        <v>0.15</v>
      </c>
      <c r="J264" s="315">
        <f>E264*F264*G264*I264</f>
        <v>5.2271999999999998</v>
      </c>
      <c r="K264" s="315"/>
      <c r="L264" s="315" t="s">
        <v>21</v>
      </c>
      <c r="M264" s="322">
        <v>0</v>
      </c>
      <c r="N264" s="313"/>
      <c r="O264" s="33"/>
      <c r="P264" s="33"/>
      <c r="Q264" s="33"/>
      <c r="R264" s="33"/>
      <c r="S264" s="33"/>
    </row>
    <row r="265" spans="1:19" s="35" customFormat="1">
      <c r="A265" s="157"/>
      <c r="B265" s="157"/>
      <c r="C265" s="87"/>
      <c r="D265" s="310" t="s">
        <v>12616</v>
      </c>
      <c r="E265" s="313">
        <f t="shared" si="10"/>
        <v>24</v>
      </c>
      <c r="F265" s="311">
        <v>1.76</v>
      </c>
      <c r="G265" s="311">
        <v>1.1000000000000001</v>
      </c>
      <c r="H265" s="315" t="s">
        <v>30</v>
      </c>
      <c r="I265" s="315">
        <v>0.15</v>
      </c>
      <c r="J265" s="315">
        <f>E265*F265*G265*I265</f>
        <v>6.9696000000000007</v>
      </c>
      <c r="K265" s="315"/>
      <c r="L265" s="315" t="s">
        <v>21</v>
      </c>
      <c r="M265" s="322">
        <v>0</v>
      </c>
      <c r="N265" s="313"/>
      <c r="O265" s="33"/>
      <c r="P265" s="33"/>
      <c r="Q265" s="33"/>
      <c r="R265" s="33"/>
      <c r="S265" s="33"/>
    </row>
    <row r="266" spans="1:19" s="35" customFormat="1">
      <c r="A266" s="157"/>
      <c r="B266" s="157"/>
      <c r="C266" s="87"/>
      <c r="D266" s="310" t="s">
        <v>12617</v>
      </c>
      <c r="E266" s="313">
        <f t="shared" si="10"/>
        <v>24</v>
      </c>
      <c r="F266" s="311">
        <v>1.1000000000000001</v>
      </c>
      <c r="G266" s="311">
        <v>0.6</v>
      </c>
      <c r="H266" s="315" t="s">
        <v>30</v>
      </c>
      <c r="I266" s="315">
        <v>0.15</v>
      </c>
      <c r="J266" s="315">
        <f>E266*F266*G266*I266</f>
        <v>2.3759999999999999</v>
      </c>
      <c r="K266" s="315"/>
      <c r="L266" s="315" t="s">
        <v>21</v>
      </c>
      <c r="M266" s="322">
        <v>0</v>
      </c>
      <c r="N266" s="313"/>
      <c r="O266" s="33"/>
      <c r="P266" s="33"/>
      <c r="Q266" s="33"/>
      <c r="R266" s="33"/>
      <c r="S266" s="33"/>
    </row>
    <row r="267" spans="1:19" s="35" customFormat="1">
      <c r="A267" s="157"/>
      <c r="B267" s="157"/>
      <c r="C267" s="87"/>
      <c r="D267" s="320" t="s">
        <v>12440</v>
      </c>
      <c r="E267" s="79">
        <f t="shared" si="10"/>
        <v>4</v>
      </c>
      <c r="F267" s="74">
        <f>2.3+17.7+1.2</f>
        <v>21.2</v>
      </c>
      <c r="G267" s="74">
        <v>13.9</v>
      </c>
      <c r="H267" s="74" t="s">
        <v>30</v>
      </c>
      <c r="I267" s="74">
        <v>0.15</v>
      </c>
      <c r="J267" s="74">
        <f>SUM(J262:J266)</f>
        <v>20.94858</v>
      </c>
      <c r="K267" s="74"/>
      <c r="L267" s="74" t="s">
        <v>21</v>
      </c>
      <c r="M267" s="133">
        <f>E267*(F267*G267*I267)-J267</f>
        <v>155.85942</v>
      </c>
      <c r="N267" s="313"/>
      <c r="O267" s="33"/>
      <c r="P267" s="33"/>
      <c r="Q267" s="33"/>
      <c r="R267" s="33"/>
      <c r="S267" s="33"/>
    </row>
    <row r="268" spans="1:19" s="35" customFormat="1">
      <c r="A268" s="157"/>
      <c r="B268" s="157"/>
      <c r="C268" s="87"/>
      <c r="D268" s="310" t="s">
        <v>12603</v>
      </c>
      <c r="E268" s="313">
        <f t="shared" si="10"/>
        <v>2</v>
      </c>
      <c r="F268" s="315">
        <v>2.7</v>
      </c>
      <c r="G268" s="315">
        <v>1.85</v>
      </c>
      <c r="H268" s="315">
        <v>0.2</v>
      </c>
      <c r="I268" s="315"/>
      <c r="J268" s="315"/>
      <c r="K268" s="315"/>
      <c r="L268" s="315" t="s">
        <v>21</v>
      </c>
      <c r="M268" s="322">
        <f>E268*(F268*G268*H268)</f>
        <v>1.9980000000000004</v>
      </c>
      <c r="N268" s="313"/>
      <c r="O268" s="33"/>
      <c r="P268" s="33"/>
      <c r="Q268" s="33"/>
      <c r="R268" s="33"/>
      <c r="S268" s="33"/>
    </row>
    <row r="269" spans="1:19" s="35" customFormat="1">
      <c r="A269" s="157"/>
      <c r="B269" s="157"/>
      <c r="C269" s="87"/>
      <c r="D269" s="310" t="s">
        <v>12603</v>
      </c>
      <c r="E269" s="313">
        <f t="shared" si="10"/>
        <v>2</v>
      </c>
      <c r="F269" s="315">
        <v>0.75</v>
      </c>
      <c r="G269" s="315">
        <v>1.1000000000000001</v>
      </c>
      <c r="H269" s="315">
        <v>0.2</v>
      </c>
      <c r="I269" s="315"/>
      <c r="J269" s="315"/>
      <c r="K269" s="315"/>
      <c r="L269" s="315" t="s">
        <v>21</v>
      </c>
      <c r="M269" s="322">
        <f>E269*(F269*G269*H269)</f>
        <v>0.33000000000000007</v>
      </c>
      <c r="N269" s="313"/>
      <c r="O269" s="33"/>
      <c r="P269" s="33"/>
      <c r="Q269" s="33"/>
      <c r="R269" s="33"/>
      <c r="S269" s="33"/>
    </row>
    <row r="270" spans="1:19" s="35" customFormat="1">
      <c r="A270" s="157"/>
      <c r="B270" s="157"/>
      <c r="C270" s="87"/>
      <c r="D270" s="310" t="s">
        <v>12604</v>
      </c>
      <c r="E270" s="313">
        <f t="shared" si="10"/>
        <v>4</v>
      </c>
      <c r="F270" s="315">
        <v>1.85</v>
      </c>
      <c r="G270" s="315">
        <v>0.15</v>
      </c>
      <c r="H270" s="315">
        <v>1.8</v>
      </c>
      <c r="I270" s="315"/>
      <c r="J270" s="315"/>
      <c r="K270" s="315"/>
      <c r="L270" s="315" t="s">
        <v>21</v>
      </c>
      <c r="M270" s="322">
        <f>E270*(F270*H270*G270)</f>
        <v>1.998</v>
      </c>
      <c r="N270" s="313"/>
      <c r="O270" s="33"/>
      <c r="P270" s="33"/>
      <c r="Q270" s="33"/>
      <c r="R270" s="33"/>
      <c r="S270" s="33"/>
    </row>
    <row r="271" spans="1:19" s="35" customFormat="1">
      <c r="A271" s="157"/>
      <c r="B271" s="157"/>
      <c r="C271" s="87"/>
      <c r="D271" s="310" t="s">
        <v>12605</v>
      </c>
      <c r="E271" s="313">
        <f t="shared" si="10"/>
        <v>4</v>
      </c>
      <c r="F271" s="315">
        <v>1.85</v>
      </c>
      <c r="G271" s="315">
        <v>0.15</v>
      </c>
      <c r="H271" s="315">
        <v>1.8</v>
      </c>
      <c r="I271" s="315"/>
      <c r="J271" s="315"/>
      <c r="K271" s="315"/>
      <c r="L271" s="315" t="s">
        <v>21</v>
      </c>
      <c r="M271" s="322">
        <f t="shared" ref="M271:M277" si="13">E271*(F271*H271*G271)</f>
        <v>1.998</v>
      </c>
      <c r="N271" s="313"/>
      <c r="O271" s="33"/>
      <c r="P271" s="33"/>
      <c r="Q271" s="33"/>
      <c r="R271" s="33"/>
      <c r="S271" s="33"/>
    </row>
    <row r="272" spans="1:19" s="35" customFormat="1">
      <c r="A272" s="157"/>
      <c r="B272" s="157"/>
      <c r="C272" s="87"/>
      <c r="D272" s="310" t="s">
        <v>12606</v>
      </c>
      <c r="E272" s="313">
        <f t="shared" si="10"/>
        <v>4</v>
      </c>
      <c r="F272" s="315">
        <v>0.75</v>
      </c>
      <c r="G272" s="315">
        <v>0.15</v>
      </c>
      <c r="H272" s="315">
        <v>1.8</v>
      </c>
      <c r="I272" s="315"/>
      <c r="J272" s="315"/>
      <c r="K272" s="315"/>
      <c r="L272" s="315" t="s">
        <v>21</v>
      </c>
      <c r="M272" s="322">
        <f t="shared" si="13"/>
        <v>0.81</v>
      </c>
      <c r="N272" s="313"/>
      <c r="O272" s="33"/>
      <c r="P272" s="33"/>
      <c r="Q272" s="33"/>
      <c r="R272" s="33"/>
      <c r="S272" s="33"/>
    </row>
    <row r="273" spans="1:31" s="35" customFormat="1">
      <c r="A273" s="157"/>
      <c r="B273" s="157"/>
      <c r="C273" s="87"/>
      <c r="D273" s="310" t="s">
        <v>12607</v>
      </c>
      <c r="E273" s="313">
        <f t="shared" si="10"/>
        <v>2</v>
      </c>
      <c r="F273" s="315">
        <v>1.1000000000000001</v>
      </c>
      <c r="G273" s="315">
        <v>0.15</v>
      </c>
      <c r="H273" s="315">
        <v>1.8</v>
      </c>
      <c r="I273" s="315"/>
      <c r="J273" s="315"/>
      <c r="K273" s="315"/>
      <c r="L273" s="315" t="s">
        <v>21</v>
      </c>
      <c r="M273" s="322">
        <f t="shared" si="13"/>
        <v>0.59400000000000008</v>
      </c>
      <c r="N273" s="313"/>
      <c r="O273" s="33"/>
      <c r="P273" s="33"/>
      <c r="Q273" s="33"/>
      <c r="R273" s="33"/>
      <c r="S273" s="33"/>
    </row>
    <row r="274" spans="1:31" s="35" customFormat="1">
      <c r="A274" s="157"/>
      <c r="B274" s="157"/>
      <c r="C274" s="87"/>
      <c r="D274" s="310" t="s">
        <v>12608</v>
      </c>
      <c r="E274" s="313">
        <f t="shared" si="10"/>
        <v>4</v>
      </c>
      <c r="F274" s="315">
        <v>0.95</v>
      </c>
      <c r="G274" s="315">
        <v>0.15</v>
      </c>
      <c r="H274" s="315">
        <v>1.8</v>
      </c>
      <c r="I274" s="315"/>
      <c r="J274" s="315"/>
      <c r="K274" s="315"/>
      <c r="L274" s="315" t="s">
        <v>21</v>
      </c>
      <c r="M274" s="322">
        <f t="shared" si="13"/>
        <v>1.026</v>
      </c>
      <c r="N274" s="313"/>
      <c r="O274" s="33"/>
      <c r="P274" s="33"/>
      <c r="Q274" s="33"/>
      <c r="R274" s="33"/>
      <c r="S274" s="33"/>
    </row>
    <row r="275" spans="1:31" s="35" customFormat="1">
      <c r="A275" s="157"/>
      <c r="B275" s="157"/>
      <c r="C275" s="87"/>
      <c r="D275" s="310" t="s">
        <v>12609</v>
      </c>
      <c r="E275" s="313">
        <f t="shared" si="10"/>
        <v>2</v>
      </c>
      <c r="F275" s="315">
        <v>0.8</v>
      </c>
      <c r="G275" s="315">
        <v>0.15</v>
      </c>
      <c r="H275" s="315">
        <v>0.75</v>
      </c>
      <c r="I275" s="315"/>
      <c r="J275" s="315"/>
      <c r="K275" s="315"/>
      <c r="L275" s="315" t="s">
        <v>21</v>
      </c>
      <c r="M275" s="322">
        <f t="shared" si="13"/>
        <v>0.18000000000000002</v>
      </c>
      <c r="N275" s="313"/>
      <c r="O275" s="33"/>
      <c r="P275" s="33"/>
      <c r="Q275" s="33"/>
      <c r="R275" s="33"/>
      <c r="S275" s="33"/>
    </row>
    <row r="276" spans="1:31" s="35" customFormat="1">
      <c r="A276" s="157"/>
      <c r="B276" s="157"/>
      <c r="C276" s="87"/>
      <c r="D276" s="310" t="s">
        <v>12610</v>
      </c>
      <c r="E276" s="313">
        <f t="shared" si="10"/>
        <v>4</v>
      </c>
      <c r="F276" s="315">
        <v>0.5</v>
      </c>
      <c r="G276" s="315">
        <v>0.15</v>
      </c>
      <c r="H276" s="315">
        <v>1.8</v>
      </c>
      <c r="I276" s="315"/>
      <c r="J276" s="315"/>
      <c r="K276" s="315"/>
      <c r="L276" s="315" t="s">
        <v>21</v>
      </c>
      <c r="M276" s="322">
        <f t="shared" si="13"/>
        <v>0.54</v>
      </c>
      <c r="N276" s="313"/>
      <c r="O276" s="33"/>
      <c r="P276" s="33"/>
      <c r="Q276" s="33"/>
      <c r="R276" s="33"/>
      <c r="S276" s="33"/>
    </row>
    <row r="277" spans="1:31" s="35" customFormat="1">
      <c r="A277" s="157"/>
      <c r="B277" s="157"/>
      <c r="C277" s="87"/>
      <c r="D277" s="310" t="s">
        <v>12611</v>
      </c>
      <c r="E277" s="313">
        <f t="shared" si="10"/>
        <v>2</v>
      </c>
      <c r="F277" s="315">
        <v>2.7</v>
      </c>
      <c r="G277" s="315">
        <v>0.15</v>
      </c>
      <c r="H277" s="315">
        <v>1.8</v>
      </c>
      <c r="I277" s="315"/>
      <c r="J277" s="315"/>
      <c r="K277" s="315"/>
      <c r="L277" s="315" t="s">
        <v>21</v>
      </c>
      <c r="M277" s="322">
        <f t="shared" si="13"/>
        <v>1.458</v>
      </c>
      <c r="N277" s="313"/>
      <c r="O277" s="33"/>
      <c r="P277" s="33"/>
      <c r="Q277" s="33"/>
      <c r="R277" s="33"/>
      <c r="S277" s="33"/>
    </row>
    <row r="278" spans="1:31" s="35" customFormat="1" ht="12.75" customHeight="1">
      <c r="A278" s="157"/>
      <c r="B278" s="157"/>
      <c r="C278" s="87"/>
      <c r="D278" s="310" t="s">
        <v>12612</v>
      </c>
      <c r="E278" s="313">
        <f t="shared" si="10"/>
        <v>2</v>
      </c>
      <c r="F278" s="315">
        <f>1.1+1.85</f>
        <v>2.95</v>
      </c>
      <c r="G278" s="315">
        <v>2.7</v>
      </c>
      <c r="H278" s="315">
        <v>0.15</v>
      </c>
      <c r="I278" s="315">
        <f>4*0.5*0.7+1.1*1.55+0.8*0.75</f>
        <v>3.7050000000000005</v>
      </c>
      <c r="J278" s="315"/>
      <c r="K278" s="315"/>
      <c r="L278" s="315" t="s">
        <v>21</v>
      </c>
      <c r="M278" s="322">
        <f>E278*(F278*G278*H278)-I278*H278</f>
        <v>1.8337499999999998</v>
      </c>
      <c r="N278" s="313"/>
      <c r="O278" s="33"/>
      <c r="P278" s="33"/>
      <c r="Q278" s="33"/>
      <c r="R278" s="33"/>
      <c r="S278" s="33"/>
    </row>
    <row r="279" spans="1:31" s="35" customFormat="1">
      <c r="A279" s="157"/>
      <c r="B279" s="157"/>
      <c r="C279" s="87"/>
      <c r="D279" s="327"/>
      <c r="E279" s="313"/>
      <c r="F279" s="315"/>
      <c r="G279" s="315"/>
      <c r="H279" s="315"/>
      <c r="I279" s="315"/>
      <c r="J279" s="1732" t="s">
        <v>12626</v>
      </c>
      <c r="K279" s="1732"/>
      <c r="L279" s="83" t="s">
        <v>21</v>
      </c>
      <c r="M279" s="83">
        <f>SUM(M242:M278)</f>
        <v>476.57601000000005</v>
      </c>
      <c r="N279" s="76"/>
      <c r="O279" s="33"/>
      <c r="P279" s="33"/>
      <c r="Q279" s="33"/>
      <c r="R279" s="33"/>
      <c r="S279" s="33"/>
    </row>
    <row r="280" spans="1:31" s="35" customFormat="1" ht="22.5">
      <c r="A280" s="157" t="s">
        <v>12675</v>
      </c>
      <c r="B280" s="157" t="s">
        <v>10852</v>
      </c>
      <c r="C280" s="87">
        <v>316</v>
      </c>
      <c r="D280" s="112" t="str">
        <f>PROPER(IF(B280="Saneago",VLOOKUP(C280,'SANEAGO-FEV.2016'!A:B,2,0),IF(B280="Sinapi",VLOOKUP(C280,'SINAPI-FEV.2017'!A:D,2,0),IF(B280="Cotação",VLOOKUP(C280,COTAÇÃO!A:D,2,0),IF(B280="Composição",VLOOKUP(C280,COMPOSIÇÃO!A:D,2,0))))))</f>
        <v>Concreto  Estrutural Usinado Bombeado  Fck=40 Mpa, Com Adição De 8 À 10% De Microssílica (Incluindo  Lançamento, Aplicação  E Adensamento)</v>
      </c>
      <c r="E280" s="317"/>
      <c r="F280" s="317"/>
      <c r="G280" s="74"/>
      <c r="H280" s="74"/>
      <c r="I280" s="74"/>
      <c r="J280" s="75"/>
      <c r="K280" s="73" t="s">
        <v>27</v>
      </c>
      <c r="L280" s="73" t="s">
        <v>21</v>
      </c>
      <c r="M280" s="81">
        <f>M279+M240</f>
        <v>1028.2327800000003</v>
      </c>
      <c r="N280" s="76"/>
      <c r="O280" s="33"/>
      <c r="P280" s="33"/>
      <c r="Q280" s="33"/>
      <c r="R280" s="33"/>
      <c r="S280" s="33"/>
    </row>
    <row r="281" spans="1:31" s="35" customFormat="1" ht="15" customHeight="1">
      <c r="A281" s="157"/>
      <c r="B281" s="157"/>
      <c r="C281" s="87"/>
      <c r="D281" s="169"/>
      <c r="E281" s="170"/>
      <c r="F281" s="115"/>
      <c r="G281" s="321"/>
      <c r="H281" s="1776" t="s">
        <v>12573</v>
      </c>
      <c r="I281" s="1776"/>
      <c r="J281" s="1776"/>
      <c r="K281" s="1776"/>
      <c r="L281" s="116"/>
      <c r="M281" s="141"/>
      <c r="N281" s="76"/>
      <c r="O281" s="33"/>
      <c r="P281" s="33"/>
      <c r="Q281" s="33"/>
      <c r="R281" s="33"/>
      <c r="S281" s="33"/>
    </row>
    <row r="282" spans="1:31" s="35" customFormat="1">
      <c r="A282" s="157"/>
      <c r="B282" s="157"/>
      <c r="C282" s="87"/>
      <c r="D282" s="327"/>
      <c r="E282" s="105"/>
      <c r="F282" s="105"/>
      <c r="G282" s="315"/>
      <c r="H282" s="315"/>
      <c r="I282" s="315"/>
      <c r="J282" s="311"/>
      <c r="K282" s="313" t="s">
        <v>12627</v>
      </c>
      <c r="L282" s="313" t="s">
        <v>33</v>
      </c>
      <c r="M282" s="54">
        <f>24+64</f>
        <v>88</v>
      </c>
      <c r="N282" s="76"/>
      <c r="O282" s="33"/>
      <c r="P282" s="33"/>
      <c r="Q282" s="33"/>
      <c r="R282" s="33"/>
      <c r="S282" s="33"/>
    </row>
    <row r="283" spans="1:31" s="35" customFormat="1" ht="15" customHeight="1">
      <c r="A283" s="157"/>
      <c r="B283" s="157"/>
      <c r="C283" s="87"/>
      <c r="D283" s="327"/>
      <c r="E283" s="105"/>
      <c r="F283" s="105"/>
      <c r="G283" s="1731" t="s">
        <v>12628</v>
      </c>
      <c r="H283" s="1731"/>
      <c r="I283" s="1731"/>
      <c r="J283" s="1731"/>
      <c r="K283" s="1731"/>
      <c r="L283" s="313" t="s">
        <v>33</v>
      </c>
      <c r="M283" s="54">
        <f>180+24147</f>
        <v>24327</v>
      </c>
      <c r="N283" s="76"/>
      <c r="O283" s="33"/>
      <c r="P283" s="33"/>
      <c r="Q283" s="33"/>
      <c r="R283" s="33"/>
      <c r="S283" s="33"/>
    </row>
    <row r="284" spans="1:31" s="35" customFormat="1">
      <c r="A284" s="157"/>
      <c r="B284" s="157"/>
      <c r="C284" s="87"/>
      <c r="D284" s="327"/>
      <c r="E284" s="105"/>
      <c r="F284" s="105"/>
      <c r="G284" s="1731" t="s">
        <v>12629</v>
      </c>
      <c r="H284" s="1731"/>
      <c r="I284" s="1731"/>
      <c r="J284" s="1731"/>
      <c r="K284" s="1731"/>
      <c r="L284" s="313" t="s">
        <v>33</v>
      </c>
      <c r="M284" s="54">
        <v>20006</v>
      </c>
      <c r="N284" s="76"/>
      <c r="O284" s="33"/>
      <c r="P284" s="33"/>
      <c r="Q284" s="33"/>
      <c r="R284" s="33"/>
      <c r="S284" s="33"/>
    </row>
    <row r="285" spans="1:31" s="35" customFormat="1" ht="12.75" customHeight="1" thickBot="1">
      <c r="A285" s="157"/>
      <c r="B285" s="157"/>
      <c r="C285" s="87"/>
      <c r="D285" s="327"/>
      <c r="E285" s="105"/>
      <c r="F285" s="105"/>
      <c r="G285" s="1777" t="s">
        <v>12630</v>
      </c>
      <c r="H285" s="1777"/>
      <c r="I285" s="1777"/>
      <c r="J285" s="1777"/>
      <c r="K285" s="1777"/>
      <c r="L285" s="313" t="s">
        <v>33</v>
      </c>
      <c r="M285" s="54">
        <f>180+13+24</f>
        <v>217</v>
      </c>
      <c r="N285" s="76"/>
      <c r="P285" s="33"/>
      <c r="Q285" s="33"/>
      <c r="R285" s="33"/>
      <c r="S285" s="33"/>
    </row>
    <row r="286" spans="1:31" s="35" customFormat="1" ht="15.75" customHeight="1" thickBot="1">
      <c r="A286" s="157"/>
      <c r="B286" s="157"/>
      <c r="C286" s="87"/>
      <c r="D286" s="327"/>
      <c r="E286" s="105"/>
      <c r="F286" s="105"/>
      <c r="G286" s="315"/>
      <c r="H286" s="315"/>
      <c r="I286" s="315"/>
      <c r="J286" s="1778" t="s">
        <v>12631</v>
      </c>
      <c r="K286" s="1778"/>
      <c r="L286" s="313" t="s">
        <v>33</v>
      </c>
      <c r="M286" s="54">
        <f>607+8313</f>
        <v>8920</v>
      </c>
      <c r="N286" s="76"/>
      <c r="O286" s="1779" t="s">
        <v>12647</v>
      </c>
      <c r="P286" s="1780"/>
      <c r="Q286" s="1780"/>
      <c r="R286" s="1781"/>
      <c r="S286" s="1779" t="s">
        <v>12646</v>
      </c>
      <c r="T286" s="1780"/>
      <c r="U286" s="1780"/>
      <c r="V286" s="1780"/>
      <c r="W286" s="1779" t="s">
        <v>12648</v>
      </c>
      <c r="X286" s="1780"/>
      <c r="Y286" s="1780"/>
      <c r="Z286" s="1780"/>
      <c r="AA286" s="1781"/>
      <c r="AB286" s="1779" t="s">
        <v>12646</v>
      </c>
      <c r="AC286" s="1780"/>
      <c r="AD286" s="1780"/>
      <c r="AE286" s="1781"/>
    </row>
    <row r="287" spans="1:31" s="35" customFormat="1" ht="22.5">
      <c r="A287" s="157"/>
      <c r="B287" s="157"/>
      <c r="C287" s="87"/>
      <c r="D287" s="112"/>
      <c r="E287" s="317"/>
      <c r="F287" s="317"/>
      <c r="G287" s="74"/>
      <c r="H287" s="74"/>
      <c r="I287" s="74"/>
      <c r="J287" s="75"/>
      <c r="K287" s="79" t="s">
        <v>27</v>
      </c>
      <c r="L287" s="73" t="s">
        <v>33</v>
      </c>
      <c r="M287" s="205">
        <f>SUM(M282:M286)</f>
        <v>53558</v>
      </c>
      <c r="N287" s="76"/>
      <c r="O287" s="178"/>
      <c r="P287" s="1782" t="s">
        <v>12639</v>
      </c>
      <c r="Q287" s="1782"/>
      <c r="R287" s="1783"/>
      <c r="S287" s="178"/>
      <c r="T287" s="1782" t="s">
        <v>12639</v>
      </c>
      <c r="U287" s="1782"/>
      <c r="V287" s="1782"/>
      <c r="W287" s="178"/>
      <c r="X287" s="313" t="s">
        <v>11967</v>
      </c>
      <c r="Y287" s="313" t="s">
        <v>12649</v>
      </c>
      <c r="Z287" s="313" t="s">
        <v>12650</v>
      </c>
      <c r="AA287" s="188" t="s">
        <v>12651</v>
      </c>
      <c r="AB287" s="178"/>
      <c r="AC287" s="1782" t="s">
        <v>12639</v>
      </c>
      <c r="AD287" s="1782"/>
      <c r="AE287" s="1783"/>
    </row>
    <row r="288" spans="1:31" s="35" customFormat="1">
      <c r="A288" s="157"/>
      <c r="B288" s="157"/>
      <c r="C288" s="87"/>
      <c r="D288" s="327"/>
      <c r="E288" s="105"/>
      <c r="F288" s="105"/>
      <c r="G288" s="315"/>
      <c r="H288" s="1776" t="s">
        <v>12619</v>
      </c>
      <c r="I288" s="1776"/>
      <c r="J288" s="1776"/>
      <c r="K288" s="1776"/>
      <c r="L288" s="313"/>
      <c r="M288" s="54"/>
      <c r="N288" s="76"/>
      <c r="O288" s="316" t="s">
        <v>12636</v>
      </c>
      <c r="P288" s="312" t="s">
        <v>12633</v>
      </c>
      <c r="Q288" s="312" t="s">
        <v>12634</v>
      </c>
      <c r="R288" s="314" t="s">
        <v>12635</v>
      </c>
      <c r="S288" s="316" t="s">
        <v>12636</v>
      </c>
      <c r="T288" s="312" t="s">
        <v>12634</v>
      </c>
      <c r="U288" s="312" t="s">
        <v>12643</v>
      </c>
      <c r="V288" s="312" t="s">
        <v>12644</v>
      </c>
      <c r="W288" s="179" t="s">
        <v>12652</v>
      </c>
      <c r="X288" s="142">
        <f>(17.2)*2</f>
        <v>34.4</v>
      </c>
      <c r="Y288" s="142">
        <v>4.7</v>
      </c>
      <c r="Z288" s="142">
        <v>0.25</v>
      </c>
      <c r="AA288" s="184">
        <f>X288*Y288*Z288</f>
        <v>40.42</v>
      </c>
      <c r="AB288" s="316" t="s">
        <v>12636</v>
      </c>
      <c r="AC288" s="312" t="s">
        <v>12634</v>
      </c>
      <c r="AD288" s="312" t="s">
        <v>12635</v>
      </c>
      <c r="AE288" s="314" t="s">
        <v>12643</v>
      </c>
    </row>
    <row r="289" spans="1:31" s="35" customFormat="1">
      <c r="A289" s="157"/>
      <c r="B289" s="157"/>
      <c r="C289" s="87"/>
      <c r="D289" s="327"/>
      <c r="E289" s="105"/>
      <c r="F289" s="105"/>
      <c r="G289" s="315"/>
      <c r="H289" s="315"/>
      <c r="I289" s="315"/>
      <c r="J289" s="311"/>
      <c r="K289" s="313" t="s">
        <v>12627</v>
      </c>
      <c r="L289" s="313" t="s">
        <v>33</v>
      </c>
      <c r="M289" s="54">
        <f>M282*2</f>
        <v>176</v>
      </c>
      <c r="N289" s="76"/>
      <c r="O289" s="179" t="s">
        <v>12596</v>
      </c>
      <c r="P289" s="180">
        <v>35910</v>
      </c>
      <c r="Q289" s="180"/>
      <c r="R289" s="181">
        <v>57276</v>
      </c>
      <c r="S289" s="177" t="s">
        <v>12652</v>
      </c>
      <c r="T289" s="180">
        <v>377400</v>
      </c>
      <c r="U289" s="180">
        <f>11400+456660</f>
        <v>468060</v>
      </c>
      <c r="V289" s="180">
        <v>11400</v>
      </c>
      <c r="W289" s="179" t="s">
        <v>12645</v>
      </c>
      <c r="X289" s="142">
        <f>17.2</f>
        <v>17.2</v>
      </c>
      <c r="Y289" s="142">
        <v>4.7</v>
      </c>
      <c r="Z289" s="142">
        <v>0.25</v>
      </c>
      <c r="AA289" s="184">
        <f>X289*Y289*Z289</f>
        <v>20.21</v>
      </c>
      <c r="AB289" s="179" t="s">
        <v>12656</v>
      </c>
      <c r="AC289" s="191">
        <f>5952+5516</f>
        <v>11468</v>
      </c>
      <c r="AD289" s="191">
        <v>868</v>
      </c>
      <c r="AE289" s="193">
        <v>948</v>
      </c>
    </row>
    <row r="290" spans="1:31" s="35" customFormat="1">
      <c r="A290" s="157"/>
      <c r="B290" s="157"/>
      <c r="C290" s="87"/>
      <c r="D290" s="327"/>
      <c r="E290" s="105"/>
      <c r="F290" s="105"/>
      <c r="G290" s="1731" t="s">
        <v>12632</v>
      </c>
      <c r="H290" s="1731"/>
      <c r="I290" s="1731"/>
      <c r="J290" s="1731"/>
      <c r="K290" s="1731"/>
      <c r="L290" s="313" t="s">
        <v>33</v>
      </c>
      <c r="M290" s="54">
        <f>SUM(P295:R295)*2</f>
        <v>3179.1120000000001</v>
      </c>
      <c r="N290" s="76"/>
      <c r="O290" s="179" t="s">
        <v>12599</v>
      </c>
      <c r="P290" s="180">
        <v>35910</v>
      </c>
      <c r="Q290" s="180">
        <v>46216</v>
      </c>
      <c r="R290" s="181"/>
      <c r="S290" s="177" t="s">
        <v>12645</v>
      </c>
      <c r="T290" s="180">
        <v>185000</v>
      </c>
      <c r="U290" s="180">
        <f>5700+228330</f>
        <v>234030</v>
      </c>
      <c r="V290" s="180">
        <v>5700</v>
      </c>
      <c r="W290" s="179" t="s">
        <v>12653</v>
      </c>
      <c r="X290" s="142">
        <f>(12.8)*4</f>
        <v>51.2</v>
      </c>
      <c r="Y290" s="142">
        <v>4.7</v>
      </c>
      <c r="Z290" s="142">
        <v>0.25</v>
      </c>
      <c r="AA290" s="184">
        <f>X290*Y290*Z290</f>
        <v>60.160000000000004</v>
      </c>
      <c r="AB290" s="179" t="s">
        <v>12657</v>
      </c>
      <c r="AC290" s="191">
        <f>5206+4728+480+2304+1104</f>
        <v>13822</v>
      </c>
      <c r="AD290" s="191">
        <v>868</v>
      </c>
      <c r="AE290" s="193">
        <v>948</v>
      </c>
    </row>
    <row r="291" spans="1:31" s="35" customFormat="1">
      <c r="A291" s="157"/>
      <c r="B291" s="157"/>
      <c r="C291" s="87"/>
      <c r="D291" s="327"/>
      <c r="E291" s="105"/>
      <c r="F291" s="105"/>
      <c r="G291" s="1731" t="s">
        <v>12641</v>
      </c>
      <c r="H291" s="1731"/>
      <c r="I291" s="1731"/>
      <c r="J291" s="1731"/>
      <c r="K291" s="1731"/>
      <c r="L291" s="313" t="s">
        <v>33</v>
      </c>
      <c r="M291" s="54">
        <f>AA299*2</f>
        <v>9125.059174468086</v>
      </c>
      <c r="N291" s="76"/>
      <c r="O291" s="179" t="s">
        <v>12637</v>
      </c>
      <c r="P291" s="180">
        <f>259264</f>
        <v>259264</v>
      </c>
      <c r="Q291" s="180"/>
      <c r="R291" s="181"/>
      <c r="S291" s="177" t="s">
        <v>12653</v>
      </c>
      <c r="T291" s="180">
        <v>591600</v>
      </c>
      <c r="U291" s="180">
        <f>18000+713664</f>
        <v>731664</v>
      </c>
      <c r="V291" s="180">
        <v>18600</v>
      </c>
      <c r="W291" s="1784" t="s">
        <v>12654</v>
      </c>
      <c r="X291" s="1782"/>
      <c r="Y291" s="1782"/>
      <c r="Z291" s="1782"/>
      <c r="AA291" s="314">
        <f>SUM(AA288:AA290)</f>
        <v>120.79</v>
      </c>
      <c r="AB291" s="179" t="s">
        <v>12658</v>
      </c>
      <c r="AC291" s="191">
        <f>2232+2856</f>
        <v>5088</v>
      </c>
      <c r="AD291" s="191">
        <v>488</v>
      </c>
      <c r="AE291" s="193">
        <v>568</v>
      </c>
    </row>
    <row r="292" spans="1:31" s="35" customFormat="1" ht="13.5" thickBot="1">
      <c r="A292" s="157"/>
      <c r="B292" s="157"/>
      <c r="C292" s="87"/>
      <c r="D292" s="327"/>
      <c r="E292" s="105"/>
      <c r="F292" s="105"/>
      <c r="G292" s="1731" t="s">
        <v>12642</v>
      </c>
      <c r="H292" s="1731"/>
      <c r="I292" s="1731"/>
      <c r="J292" s="1731"/>
      <c r="K292" s="1731"/>
      <c r="L292" s="313" t="s">
        <v>33</v>
      </c>
      <c r="M292" s="54">
        <f>SUM(AC295:AE295)*2</f>
        <v>310.64439999999996</v>
      </c>
      <c r="N292" s="76"/>
      <c r="O292" s="179" t="s">
        <v>12638</v>
      </c>
      <c r="P292" s="180">
        <f>12324</f>
        <v>12324</v>
      </c>
      <c r="Q292" s="180"/>
      <c r="R292" s="181">
        <f>20540*2</f>
        <v>41080</v>
      </c>
      <c r="S292" s="179"/>
      <c r="T292" s="180"/>
      <c r="U292" s="180"/>
      <c r="V292" s="180"/>
      <c r="W292" s="1784" t="s">
        <v>12655</v>
      </c>
      <c r="X292" s="1782"/>
      <c r="Y292" s="1782"/>
      <c r="Z292" s="1782"/>
      <c r="AA292" s="189">
        <f>SUM(T295:V295)/AA291</f>
        <v>161.39121284874577</v>
      </c>
      <c r="AB292" s="179"/>
      <c r="AC292" s="191"/>
      <c r="AD292" s="191"/>
      <c r="AE292" s="193"/>
    </row>
    <row r="293" spans="1:31" s="35" customFormat="1" ht="13.5" thickBot="1">
      <c r="A293" s="157"/>
      <c r="B293" s="157"/>
      <c r="C293" s="87"/>
      <c r="D293" s="327"/>
      <c r="E293" s="105"/>
      <c r="F293" s="105"/>
      <c r="G293" s="1777" t="s">
        <v>12630</v>
      </c>
      <c r="H293" s="1777"/>
      <c r="I293" s="1777"/>
      <c r="J293" s="1777"/>
      <c r="K293" s="1777"/>
      <c r="L293" s="313" t="s">
        <v>33</v>
      </c>
      <c r="M293" s="54">
        <f>M285*2</f>
        <v>434</v>
      </c>
      <c r="N293" s="76"/>
      <c r="O293" s="178"/>
      <c r="P293" s="182">
        <f>SUM(P289:P292)</f>
        <v>343408</v>
      </c>
      <c r="Q293" s="182">
        <f>SUM(Q289:Q292)</f>
        <v>46216</v>
      </c>
      <c r="R293" s="183">
        <f>SUM(R289:R292)</f>
        <v>98356</v>
      </c>
      <c r="S293" s="178"/>
      <c r="T293" s="182">
        <f>SUM(T289:T292)</f>
        <v>1154000</v>
      </c>
      <c r="U293" s="182">
        <f>SUM(U289:U292)</f>
        <v>1433754</v>
      </c>
      <c r="V293" s="182">
        <f>SUM(V289:V292)</f>
        <v>35700</v>
      </c>
      <c r="W293" s="1779" t="s">
        <v>12648</v>
      </c>
      <c r="X293" s="1780"/>
      <c r="Y293" s="1780"/>
      <c r="Z293" s="1780"/>
      <c r="AA293" s="1781"/>
      <c r="AB293" s="178"/>
      <c r="AC293" s="182">
        <f>SUM(AC289:AC292)</f>
        <v>30378</v>
      </c>
      <c r="AD293" s="182">
        <f>SUM(AD289:AD292)</f>
        <v>2224</v>
      </c>
      <c r="AE293" s="183">
        <f>SUM(AE289:AE292)</f>
        <v>2464</v>
      </c>
    </row>
    <row r="294" spans="1:31" s="35" customFormat="1" ht="23.25" customHeight="1">
      <c r="A294" s="157"/>
      <c r="B294" s="157"/>
      <c r="C294" s="87"/>
      <c r="D294" s="327"/>
      <c r="E294" s="105"/>
      <c r="F294" s="105"/>
      <c r="G294" s="315"/>
      <c r="H294" s="315"/>
      <c r="I294" s="315"/>
      <c r="J294" s="1777" t="s">
        <v>12631</v>
      </c>
      <c r="K294" s="1777"/>
      <c r="L294" s="313" t="s">
        <v>33</v>
      </c>
      <c r="M294" s="54">
        <f>M286*2</f>
        <v>17840</v>
      </c>
      <c r="N294" s="76"/>
      <c r="O294" s="178" t="s">
        <v>12640</v>
      </c>
      <c r="P294" s="142">
        <v>0.25</v>
      </c>
      <c r="Q294" s="142">
        <v>0.39</v>
      </c>
      <c r="R294" s="184">
        <v>0.56000000000000005</v>
      </c>
      <c r="S294" s="178" t="s">
        <v>12640</v>
      </c>
      <c r="T294" s="142">
        <v>0.39</v>
      </c>
      <c r="U294" s="142">
        <v>0.99</v>
      </c>
      <c r="V294" s="142">
        <v>2.2400000000000002</v>
      </c>
      <c r="W294" s="178"/>
      <c r="X294" s="313" t="s">
        <v>11967</v>
      </c>
      <c r="Y294" s="313" t="s">
        <v>12649</v>
      </c>
      <c r="Z294" s="313" t="s">
        <v>12650</v>
      </c>
      <c r="AA294" s="188" t="s">
        <v>12651</v>
      </c>
      <c r="AB294" s="178" t="s">
        <v>12640</v>
      </c>
      <c r="AC294" s="142">
        <v>0.39</v>
      </c>
      <c r="AD294" s="142">
        <v>0.56000000000000005</v>
      </c>
      <c r="AE294" s="184">
        <v>0.99</v>
      </c>
    </row>
    <row r="295" spans="1:31" s="35" customFormat="1" ht="13.5" thickBot="1">
      <c r="A295" s="157"/>
      <c r="B295" s="157"/>
      <c r="C295" s="87"/>
      <c r="D295" s="112"/>
      <c r="E295" s="317"/>
      <c r="F295" s="317"/>
      <c r="G295" s="74"/>
      <c r="H295" s="74"/>
      <c r="I295" s="74"/>
      <c r="J295" s="75"/>
      <c r="K295" s="73" t="s">
        <v>27</v>
      </c>
      <c r="L295" s="73" t="s">
        <v>21</v>
      </c>
      <c r="M295" s="205">
        <f>SUM(M289:M294)</f>
        <v>31064.815574468084</v>
      </c>
      <c r="N295" s="76"/>
      <c r="O295" s="185" t="s">
        <v>33</v>
      </c>
      <c r="P295" s="186">
        <f>P293/100*P294</f>
        <v>858.52</v>
      </c>
      <c r="Q295" s="186">
        <f>Q293/100*Q294</f>
        <v>180.2424</v>
      </c>
      <c r="R295" s="187">
        <f>R293/100*R294</f>
        <v>550.79359999999997</v>
      </c>
      <c r="S295" s="318" t="s">
        <v>33</v>
      </c>
      <c r="T295" s="319">
        <f>T293/100*T294</f>
        <v>4500.6000000000004</v>
      </c>
      <c r="U295" s="319">
        <f>U293/100*U294</f>
        <v>14194.1646</v>
      </c>
      <c r="V295" s="319">
        <f>V293/100*V294</f>
        <v>799.68000000000006</v>
      </c>
      <c r="W295" s="179" t="s">
        <v>12652</v>
      </c>
      <c r="X295" s="142">
        <f>(17.2)*2</f>
        <v>34.4</v>
      </c>
      <c r="Y295" s="142">
        <v>1.1000000000000001</v>
      </c>
      <c r="Z295" s="142">
        <v>0.25</v>
      </c>
      <c r="AA295" s="184">
        <f>X295*Y295*Z295</f>
        <v>9.4600000000000009</v>
      </c>
      <c r="AB295" s="318" t="s">
        <v>33</v>
      </c>
      <c r="AC295" s="192">
        <f>AC293/100*AC294</f>
        <v>118.4742</v>
      </c>
      <c r="AD295" s="192">
        <f>AD293/100*AD294</f>
        <v>12.4544</v>
      </c>
      <c r="AE295" s="190">
        <f>AE293/100*AE294</f>
        <v>24.393599999999999</v>
      </c>
    </row>
    <row r="296" spans="1:31" s="35" customFormat="1">
      <c r="A296" s="157"/>
      <c r="B296" s="157"/>
      <c r="C296" s="87"/>
      <c r="D296" s="327"/>
      <c r="E296" s="105"/>
      <c r="F296" s="105"/>
      <c r="G296" s="315" t="s">
        <v>30</v>
      </c>
      <c r="H296" s="315" t="s">
        <v>30</v>
      </c>
      <c r="I296" s="315" t="s">
        <v>30</v>
      </c>
      <c r="J296" s="315" t="s">
        <v>30</v>
      </c>
      <c r="K296" s="315" t="s">
        <v>30</v>
      </c>
      <c r="L296" s="315" t="s">
        <v>30</v>
      </c>
      <c r="M296" s="322" t="s">
        <v>30</v>
      </c>
      <c r="N296" s="76"/>
      <c r="O296" s="142"/>
      <c r="P296" s="142"/>
      <c r="Q296" s="142"/>
      <c r="R296" s="142"/>
      <c r="S296" s="312"/>
      <c r="T296" s="312"/>
      <c r="U296" s="312"/>
      <c r="V296" s="312"/>
      <c r="W296" s="179" t="s">
        <v>12645</v>
      </c>
      <c r="X296" s="142">
        <f>17.2</f>
        <v>17.2</v>
      </c>
      <c r="Y296" s="142">
        <v>1.1000000000000001</v>
      </c>
      <c r="Z296" s="142">
        <v>0.25</v>
      </c>
      <c r="AA296" s="184">
        <f>X296*Y296*Z296</f>
        <v>4.7300000000000004</v>
      </c>
      <c r="AB296" s="312"/>
      <c r="AC296" s="194"/>
      <c r="AD296" s="194"/>
      <c r="AE296" s="194"/>
    </row>
    <row r="297" spans="1:31" s="35" customFormat="1">
      <c r="A297" s="157" t="s">
        <v>12565</v>
      </c>
      <c r="B297" s="157" t="s">
        <v>10852</v>
      </c>
      <c r="C297" s="87">
        <v>294</v>
      </c>
      <c r="D297" s="112" t="str">
        <f>PROPER(IF(B297="Saneago",VLOOKUP(C297,'SANEAGO-FEV.2016'!A:B,2,0),IF(B297="Sinapi",VLOOKUP(C297,'SINAPI-FEV.2017'!A:D,2,0),IF(B297="Cotação",VLOOKUP(C297,COTAÇÃO!A:D,2,0),IF(B297="Composição",VLOOKUP(C297,COMPOSIÇÃO!A:D,2,0))))))</f>
        <v>Armadura  De Aço Em Barras</v>
      </c>
      <c r="E297" s="317"/>
      <c r="F297" s="317"/>
      <c r="G297" s="74"/>
      <c r="H297" s="74"/>
      <c r="I297" s="74"/>
      <c r="J297" s="74"/>
      <c r="K297" s="73" t="s">
        <v>27</v>
      </c>
      <c r="L297" s="73" t="s">
        <v>21</v>
      </c>
      <c r="M297" s="205">
        <f>M295+M287</f>
        <v>84622.815574468084</v>
      </c>
      <c r="N297" s="76"/>
      <c r="O297" s="142"/>
      <c r="P297" s="142"/>
      <c r="Q297" s="142"/>
      <c r="R297" s="142"/>
      <c r="S297" s="312"/>
      <c r="T297" s="312"/>
      <c r="U297" s="312"/>
      <c r="V297" s="312"/>
      <c r="W297" s="179" t="s">
        <v>12653</v>
      </c>
      <c r="X297" s="142">
        <f>(12.8)*4</f>
        <v>51.2</v>
      </c>
      <c r="Y297" s="142">
        <v>1.1000000000000001</v>
      </c>
      <c r="Z297" s="142">
        <v>0.25</v>
      </c>
      <c r="AA297" s="184">
        <f>X297*Y297*Z297</f>
        <v>14.080000000000002</v>
      </c>
      <c r="AB297" s="312"/>
      <c r="AC297" s="194"/>
      <c r="AD297" s="194"/>
      <c r="AE297" s="194"/>
    </row>
    <row r="298" spans="1:31" s="35" customFormat="1">
      <c r="A298" s="157"/>
      <c r="B298" s="157"/>
      <c r="C298" s="87"/>
      <c r="D298" s="327"/>
      <c r="E298" s="105"/>
      <c r="F298" s="105"/>
      <c r="G298" s="315" t="s">
        <v>30</v>
      </c>
      <c r="H298" s="315" t="s">
        <v>30</v>
      </c>
      <c r="I298" s="315" t="s">
        <v>30</v>
      </c>
      <c r="J298" s="315" t="s">
        <v>30</v>
      </c>
      <c r="K298" s="315" t="s">
        <v>30</v>
      </c>
      <c r="L298" s="315" t="s">
        <v>30</v>
      </c>
      <c r="M298" s="322" t="s">
        <v>30</v>
      </c>
      <c r="N298" s="313"/>
      <c r="W298" s="1784" t="s">
        <v>12654</v>
      </c>
      <c r="X298" s="1782"/>
      <c r="Y298" s="1782"/>
      <c r="Z298" s="1782"/>
      <c r="AA298" s="314">
        <f>SUM(AA295:AA297)</f>
        <v>28.270000000000003</v>
      </c>
    </row>
    <row r="299" spans="1:31" s="35" customFormat="1" ht="13.5" thickBot="1">
      <c r="A299" s="157" t="s">
        <v>12566</v>
      </c>
      <c r="B299" s="157" t="s">
        <v>11644</v>
      </c>
      <c r="C299" s="87" t="s">
        <v>67</v>
      </c>
      <c r="D299" s="112" t="e">
        <f>PROPER(IF(B299="Saneago",VLOOKUP(C299,'SANEAGO-FEV.2016'!A:B,2,0),IF(B299="Sinapi",VLOOKUP(C299,'SINAPI-FEV.2017'!A:D,2,0),IF(B299="Cotação",VLOOKUP(C299,COTAÇÃO!A:D,2,0),IF(B299="Composição",VLOOKUP(C299,COMPOSIÇÃO!A:D,2,0))))))</f>
        <v>#N/A</v>
      </c>
      <c r="E299" s="317"/>
      <c r="F299" s="317"/>
      <c r="G299" s="74"/>
      <c r="H299" s="74"/>
      <c r="I299" s="74"/>
      <c r="J299" s="74"/>
      <c r="K299" s="74"/>
      <c r="L299" s="79" t="s">
        <v>26</v>
      </c>
      <c r="M299" s="52">
        <f>ROUNDUP(M280/50,0)</f>
        <v>21</v>
      </c>
      <c r="N299" s="313"/>
      <c r="O299" s="33"/>
      <c r="P299" s="33"/>
      <c r="Q299" s="33"/>
      <c r="W299" s="1785" t="s">
        <v>12655</v>
      </c>
      <c r="X299" s="1786"/>
      <c r="Y299" s="1786"/>
      <c r="Z299" s="1786"/>
      <c r="AA299" s="190">
        <f>AA298*AA292</f>
        <v>4562.529587234043</v>
      </c>
    </row>
    <row r="300" spans="1:31" s="35" customFormat="1" ht="13.5" thickBot="1">
      <c r="A300" s="157"/>
      <c r="B300" s="157"/>
      <c r="C300" s="87"/>
      <c r="D300" s="327"/>
      <c r="E300" s="105"/>
      <c r="F300" s="105"/>
      <c r="G300" s="313"/>
      <c r="H300" s="313"/>
      <c r="I300" s="313"/>
      <c r="J300" s="313"/>
      <c r="K300" s="313"/>
      <c r="L300" s="313"/>
      <c r="M300" s="54"/>
      <c r="N300" s="313"/>
      <c r="O300" s="33"/>
      <c r="P300" s="33"/>
      <c r="Q300" s="33"/>
    </row>
    <row r="301" spans="1:31" s="35" customFormat="1" ht="14.25" thickTop="1" thickBot="1">
      <c r="A301" s="157"/>
      <c r="B301" s="157"/>
      <c r="C301" s="87"/>
      <c r="D301" s="110" t="s">
        <v>55</v>
      </c>
      <c r="E301" s="111"/>
      <c r="F301" s="111"/>
      <c r="G301" s="111"/>
      <c r="H301" s="111"/>
      <c r="I301" s="111"/>
      <c r="J301" s="111"/>
      <c r="K301" s="111"/>
      <c r="L301" s="308" t="s">
        <v>25</v>
      </c>
      <c r="M301" s="309" t="s">
        <v>27</v>
      </c>
      <c r="N301" s="313"/>
      <c r="O301" s="33"/>
      <c r="P301" s="33"/>
      <c r="Q301" s="33"/>
      <c r="R301" s="33"/>
      <c r="S301" s="33"/>
    </row>
    <row r="302" spans="1:31" s="168" customFormat="1" ht="13.5" thickTop="1">
      <c r="A302" s="165"/>
      <c r="B302" s="165"/>
      <c r="C302" s="166"/>
      <c r="D302" s="124" t="s">
        <v>12663</v>
      </c>
      <c r="E302" s="83" t="s">
        <v>1275</v>
      </c>
      <c r="F302" s="83" t="s">
        <v>11684</v>
      </c>
      <c r="G302" s="83" t="s">
        <v>19</v>
      </c>
      <c r="H302" s="83" t="s">
        <v>32</v>
      </c>
      <c r="I302" s="83" t="s">
        <v>36</v>
      </c>
      <c r="J302" s="83" t="s">
        <v>12593</v>
      </c>
      <c r="K302" s="83" t="s">
        <v>30</v>
      </c>
      <c r="L302" s="83" t="s">
        <v>30</v>
      </c>
      <c r="M302" s="167" t="s">
        <v>30</v>
      </c>
      <c r="N302" s="306"/>
      <c r="O302" s="127"/>
      <c r="P302" s="127"/>
      <c r="Q302" s="127"/>
      <c r="R302" s="127"/>
      <c r="S302" s="127"/>
    </row>
    <row r="303" spans="1:31" s="35" customFormat="1">
      <c r="A303" s="157"/>
      <c r="B303" s="157"/>
      <c r="C303" s="87"/>
      <c r="D303" s="310" t="s">
        <v>12518</v>
      </c>
      <c r="E303" s="313">
        <v>0</v>
      </c>
      <c r="F303" s="315">
        <f>17.2+0.5</f>
        <v>17.7</v>
      </c>
      <c r="G303" s="315">
        <f>12.8+0.5</f>
        <v>13.3</v>
      </c>
      <c r="H303" s="315">
        <v>0.3</v>
      </c>
      <c r="I303" s="315" t="s">
        <v>30</v>
      </c>
      <c r="J303" s="315" t="s">
        <v>30</v>
      </c>
      <c r="K303" s="315"/>
      <c r="L303" s="315" t="s">
        <v>21</v>
      </c>
      <c r="M303" s="322">
        <f>E303*((2*F303+2*G303)*H303)</f>
        <v>0</v>
      </c>
      <c r="N303" s="313"/>
      <c r="O303" s="33"/>
      <c r="P303" s="33"/>
      <c r="Q303" s="33"/>
      <c r="R303" s="33"/>
      <c r="S303" s="33"/>
    </row>
    <row r="304" spans="1:31" s="35" customFormat="1">
      <c r="A304" s="157"/>
      <c r="B304" s="157"/>
      <c r="C304" s="87"/>
      <c r="D304" s="310" t="s">
        <v>12620</v>
      </c>
      <c r="E304" s="313">
        <f>2*24*3</f>
        <v>144</v>
      </c>
      <c r="F304" s="315">
        <v>0.2</v>
      </c>
      <c r="G304" s="315">
        <v>0.2</v>
      </c>
      <c r="H304" s="315">
        <v>4.7</v>
      </c>
      <c r="I304" s="315" t="s">
        <v>30</v>
      </c>
      <c r="J304" s="315" t="s">
        <v>30</v>
      </c>
      <c r="K304" s="315"/>
      <c r="L304" s="315" t="s">
        <v>21</v>
      </c>
      <c r="M304" s="322">
        <f>E304*((2*F304+2*G304)*H304)</f>
        <v>541.44000000000005</v>
      </c>
      <c r="N304" s="313"/>
      <c r="O304" s="33"/>
      <c r="P304" s="33"/>
      <c r="Q304" s="33"/>
      <c r="R304" s="33"/>
      <c r="S304" s="33"/>
    </row>
    <row r="305" spans="1:19" s="35" customFormat="1">
      <c r="A305" s="157"/>
      <c r="B305" s="157"/>
      <c r="C305" s="87"/>
      <c r="D305" s="310" t="s">
        <v>12594</v>
      </c>
      <c r="E305" s="313">
        <f>72*3</f>
        <v>216</v>
      </c>
      <c r="F305" s="315">
        <v>0.3</v>
      </c>
      <c r="G305" s="315">
        <v>0.05</v>
      </c>
      <c r="H305" s="315">
        <v>1.05</v>
      </c>
      <c r="I305" s="315"/>
      <c r="J305" s="315" t="s">
        <v>30</v>
      </c>
      <c r="K305" s="315"/>
      <c r="L305" s="315" t="s">
        <v>21</v>
      </c>
      <c r="M305" s="322">
        <f>E305*((2*F305+2*G305)*H305)</f>
        <v>158.76</v>
      </c>
      <c r="N305" s="313"/>
      <c r="O305" s="33"/>
      <c r="P305" s="33"/>
      <c r="Q305" s="33"/>
      <c r="R305" s="33"/>
      <c r="S305" s="33"/>
    </row>
    <row r="306" spans="1:19" s="35" customFormat="1" ht="12.75" customHeight="1">
      <c r="A306" s="157"/>
      <c r="B306" s="157"/>
      <c r="C306" s="87"/>
      <c r="D306" s="310" t="s">
        <v>12664</v>
      </c>
      <c r="E306" s="313">
        <v>3</v>
      </c>
      <c r="F306" s="315">
        <f>17.2</f>
        <v>17.2</v>
      </c>
      <c r="G306" s="315">
        <f>13.9-0.5</f>
        <v>13.4</v>
      </c>
      <c r="H306" s="315">
        <v>4.7</v>
      </c>
      <c r="I306" s="315">
        <v>0.25</v>
      </c>
      <c r="J306" s="315" t="s">
        <v>30</v>
      </c>
      <c r="K306" s="315"/>
      <c r="L306" s="315" t="s">
        <v>21</v>
      </c>
      <c r="M306" s="322">
        <f>E306*((2*F306+2*G306)*H306)</f>
        <v>862.92000000000007</v>
      </c>
      <c r="N306" s="313"/>
      <c r="O306" s="33"/>
      <c r="P306" s="33"/>
      <c r="Q306" s="33"/>
      <c r="R306" s="33"/>
      <c r="S306" s="33"/>
    </row>
    <row r="307" spans="1:19" s="35" customFormat="1" ht="12.75" customHeight="1">
      <c r="A307" s="157"/>
      <c r="B307" s="157"/>
      <c r="C307" s="87"/>
      <c r="D307" s="310" t="s">
        <v>12665</v>
      </c>
      <c r="E307" s="313">
        <f>16*2</f>
        <v>32</v>
      </c>
      <c r="F307" s="315">
        <v>17.2</v>
      </c>
      <c r="G307" s="315" t="s">
        <v>30</v>
      </c>
      <c r="H307" s="315">
        <v>0.9</v>
      </c>
      <c r="I307" s="315">
        <v>0.2</v>
      </c>
      <c r="J307" s="315" t="s">
        <v>30</v>
      </c>
      <c r="K307" s="315"/>
      <c r="L307" s="315" t="s">
        <v>21</v>
      </c>
      <c r="M307" s="322">
        <f t="shared" ref="M307:M312" si="14">E307*((F307*I307)+(2*F307*H307))</f>
        <v>1100.8</v>
      </c>
      <c r="N307" s="313"/>
      <c r="O307" s="33"/>
      <c r="P307" s="33"/>
      <c r="Q307" s="33"/>
      <c r="R307" s="33"/>
      <c r="S307" s="33"/>
    </row>
    <row r="308" spans="1:19" s="35" customFormat="1" ht="12.75" customHeight="1">
      <c r="A308" s="157"/>
      <c r="B308" s="157"/>
      <c r="C308" s="87"/>
      <c r="D308" s="310" t="s">
        <v>12588</v>
      </c>
      <c r="E308" s="313">
        <f>8*3</f>
        <v>24</v>
      </c>
      <c r="F308" s="315">
        <v>2.4500000000000002</v>
      </c>
      <c r="G308" s="315" t="s">
        <v>30</v>
      </c>
      <c r="H308" s="315">
        <v>0.3</v>
      </c>
      <c r="I308" s="315">
        <v>0.2</v>
      </c>
      <c r="J308" s="315" t="s">
        <v>30</v>
      </c>
      <c r="K308" s="315"/>
      <c r="L308" s="315" t="s">
        <v>21</v>
      </c>
      <c r="M308" s="322">
        <f t="shared" si="14"/>
        <v>47.04</v>
      </c>
      <c r="N308" s="313"/>
      <c r="O308" s="33"/>
      <c r="P308" s="33"/>
      <c r="Q308" s="33"/>
      <c r="R308" s="33"/>
      <c r="S308" s="33"/>
    </row>
    <row r="309" spans="1:19" s="35" customFormat="1" ht="12.75" customHeight="1">
      <c r="A309" s="157"/>
      <c r="B309" s="157"/>
      <c r="C309" s="87"/>
      <c r="D309" s="310" t="s">
        <v>12589</v>
      </c>
      <c r="E309" s="313">
        <f>8*3</f>
        <v>24</v>
      </c>
      <c r="F309" s="315">
        <v>4.5</v>
      </c>
      <c r="G309" s="315" t="s">
        <v>30</v>
      </c>
      <c r="H309" s="315">
        <v>0.3</v>
      </c>
      <c r="I309" s="315">
        <v>0.2</v>
      </c>
      <c r="J309" s="315" t="s">
        <v>30</v>
      </c>
      <c r="K309" s="315"/>
      <c r="L309" s="315" t="s">
        <v>21</v>
      </c>
      <c r="M309" s="322">
        <f t="shared" si="14"/>
        <v>86.399999999999991</v>
      </c>
      <c r="N309" s="313"/>
      <c r="O309" s="33"/>
      <c r="P309" s="33"/>
      <c r="Q309" s="33"/>
      <c r="R309" s="33"/>
      <c r="S309" s="33"/>
    </row>
    <row r="310" spans="1:19" s="35" customFormat="1" ht="12.75" customHeight="1">
      <c r="A310" s="157"/>
      <c r="B310" s="157"/>
      <c r="C310" s="87"/>
      <c r="D310" s="310" t="s">
        <v>12590</v>
      </c>
      <c r="E310" s="313">
        <f>16*3</f>
        <v>48</v>
      </c>
      <c r="F310" s="315">
        <v>12.8</v>
      </c>
      <c r="G310" s="315" t="s">
        <v>30</v>
      </c>
      <c r="H310" s="315">
        <v>0.3</v>
      </c>
      <c r="I310" s="315">
        <v>0.2</v>
      </c>
      <c r="J310" s="315" t="s">
        <v>30</v>
      </c>
      <c r="K310" s="315"/>
      <c r="L310" s="315" t="s">
        <v>21</v>
      </c>
      <c r="M310" s="322">
        <f t="shared" si="14"/>
        <v>491.52</v>
      </c>
      <c r="N310" s="313"/>
      <c r="O310" s="33"/>
      <c r="P310" s="33"/>
      <c r="Q310" s="33"/>
      <c r="R310" s="33"/>
      <c r="S310" s="33"/>
    </row>
    <row r="311" spans="1:19" s="35" customFormat="1">
      <c r="A311" s="157"/>
      <c r="B311" s="157"/>
      <c r="C311" s="87"/>
      <c r="D311" s="310" t="s">
        <v>12591</v>
      </c>
      <c r="E311" s="313">
        <f>2*3</f>
        <v>6</v>
      </c>
      <c r="F311" s="315">
        <v>17.2</v>
      </c>
      <c r="G311" s="315" t="s">
        <v>30</v>
      </c>
      <c r="H311" s="315">
        <v>0.15</v>
      </c>
      <c r="I311" s="315">
        <v>0.2</v>
      </c>
      <c r="J311" s="315" t="s">
        <v>30</v>
      </c>
      <c r="K311" s="315"/>
      <c r="L311" s="315" t="s">
        <v>21</v>
      </c>
      <c r="M311" s="322">
        <f t="shared" si="14"/>
        <v>51.599999999999994</v>
      </c>
      <c r="N311" s="313"/>
      <c r="O311" s="33"/>
      <c r="P311" s="33"/>
      <c r="Q311" s="33"/>
      <c r="R311" s="33"/>
      <c r="S311" s="33"/>
    </row>
    <row r="312" spans="1:19" s="35" customFormat="1">
      <c r="A312" s="157"/>
      <c r="B312" s="157"/>
      <c r="C312" s="87"/>
      <c r="D312" s="310" t="s">
        <v>12592</v>
      </c>
      <c r="E312" s="313">
        <f>16*3</f>
        <v>48</v>
      </c>
      <c r="F312" s="315">
        <v>12.8</v>
      </c>
      <c r="G312" s="315" t="s">
        <v>30</v>
      </c>
      <c r="H312" s="315">
        <v>0.3</v>
      </c>
      <c r="I312" s="315">
        <v>0.2</v>
      </c>
      <c r="J312" s="315" t="s">
        <v>30</v>
      </c>
      <c r="K312" s="315"/>
      <c r="L312" s="315" t="s">
        <v>21</v>
      </c>
      <c r="M312" s="322">
        <f t="shared" si="14"/>
        <v>491.52</v>
      </c>
      <c r="N312" s="313"/>
      <c r="O312" s="33"/>
      <c r="P312" s="33"/>
      <c r="Q312" s="33"/>
      <c r="R312" s="33"/>
      <c r="S312" s="33"/>
    </row>
    <row r="313" spans="1:19" s="35" customFormat="1">
      <c r="A313" s="157"/>
      <c r="B313" s="157"/>
      <c r="C313" s="87"/>
      <c r="D313" s="324" t="s">
        <v>12596</v>
      </c>
      <c r="E313" s="116">
        <f>2*3</f>
        <v>6</v>
      </c>
      <c r="F313" s="321">
        <f>0.85+0.2*2+0.45</f>
        <v>1.7</v>
      </c>
      <c r="G313" s="321">
        <v>13.4</v>
      </c>
      <c r="H313" s="321"/>
      <c r="I313" s="321"/>
      <c r="J313" s="321"/>
      <c r="K313" s="321"/>
      <c r="L313" s="321" t="s">
        <v>21</v>
      </c>
      <c r="M313" s="172">
        <f t="shared" ref="M313:M319" si="15">E313*F313*G313</f>
        <v>136.68</v>
      </c>
      <c r="N313" s="313"/>
      <c r="O313" s="33"/>
      <c r="P313" s="33"/>
      <c r="Q313" s="33"/>
      <c r="R313" s="33"/>
      <c r="S313" s="33"/>
    </row>
    <row r="314" spans="1:19" s="35" customFormat="1">
      <c r="A314" s="157"/>
      <c r="B314" s="157"/>
      <c r="C314" s="87"/>
      <c r="D314" s="310" t="s">
        <v>12597</v>
      </c>
      <c r="E314" s="313">
        <f>4*3</f>
        <v>12</v>
      </c>
      <c r="F314" s="315">
        <f>0.65*2+0.11</f>
        <v>1.4100000000000001</v>
      </c>
      <c r="G314" s="315">
        <v>17.2</v>
      </c>
      <c r="H314" s="315"/>
      <c r="I314" s="315"/>
      <c r="J314" s="315"/>
      <c r="K314" s="315"/>
      <c r="L314" s="315" t="s">
        <v>21</v>
      </c>
      <c r="M314" s="322">
        <f t="shared" si="15"/>
        <v>291.024</v>
      </c>
      <c r="N314" s="313"/>
      <c r="O314" s="33"/>
      <c r="P314" s="33"/>
      <c r="Q314" s="33"/>
      <c r="R314" s="33"/>
      <c r="S314" s="33"/>
    </row>
    <row r="315" spans="1:19" s="35" customFormat="1">
      <c r="A315" s="157"/>
      <c r="B315" s="157"/>
      <c r="C315" s="87"/>
      <c r="D315" s="310" t="s">
        <v>12598</v>
      </c>
      <c r="E315" s="313">
        <f>6*3</f>
        <v>18</v>
      </c>
      <c r="F315" s="315">
        <f>0.55*2+0.2+0.11*2+0.6*2</f>
        <v>2.7199999999999998</v>
      </c>
      <c r="G315" s="315">
        <v>17.2</v>
      </c>
      <c r="H315" s="315"/>
      <c r="I315" s="315"/>
      <c r="J315" s="315"/>
      <c r="K315" s="315"/>
      <c r="L315" s="315" t="s">
        <v>21</v>
      </c>
      <c r="M315" s="322">
        <f t="shared" si="15"/>
        <v>842.11199999999985</v>
      </c>
      <c r="N315" s="313"/>
      <c r="O315" s="33"/>
      <c r="P315" s="33"/>
      <c r="Q315" s="33"/>
      <c r="R315" s="33"/>
      <c r="S315" s="33"/>
    </row>
    <row r="316" spans="1:19" s="35" customFormat="1">
      <c r="A316" s="157"/>
      <c r="B316" s="157"/>
      <c r="C316" s="87"/>
      <c r="D316" s="310" t="s">
        <v>12599</v>
      </c>
      <c r="E316" s="313">
        <f>2*3</f>
        <v>6</v>
      </c>
      <c r="F316" s="315">
        <f>0.85+0.2*2+0.45</f>
        <v>1.7</v>
      </c>
      <c r="G316" s="315">
        <v>13.4</v>
      </c>
      <c r="H316" s="315"/>
      <c r="I316" s="315"/>
      <c r="J316" s="315"/>
      <c r="K316" s="315"/>
      <c r="L316" s="315" t="s">
        <v>21</v>
      </c>
      <c r="M316" s="322">
        <f t="shared" si="15"/>
        <v>136.68</v>
      </c>
      <c r="N316" s="313"/>
      <c r="O316" s="33"/>
      <c r="P316" s="33"/>
      <c r="Q316" s="33"/>
      <c r="R316" s="33"/>
      <c r="S316" s="33"/>
    </row>
    <row r="317" spans="1:19" s="35" customFormat="1">
      <c r="A317" s="157"/>
      <c r="B317" s="157"/>
      <c r="C317" s="87"/>
      <c r="D317" s="310" t="s">
        <v>12600</v>
      </c>
      <c r="E317" s="313">
        <f>4*3</f>
        <v>12</v>
      </c>
      <c r="F317" s="315">
        <v>0.4</v>
      </c>
      <c r="G317" s="315">
        <v>13.4</v>
      </c>
      <c r="H317" s="315"/>
      <c r="I317" s="315"/>
      <c r="J317" s="315"/>
      <c r="K317" s="315"/>
      <c r="L317" s="315" t="s">
        <v>21</v>
      </c>
      <c r="M317" s="322">
        <f t="shared" si="15"/>
        <v>64.320000000000007</v>
      </c>
      <c r="N317" s="313"/>
      <c r="O317" s="33"/>
      <c r="P317" s="33"/>
      <c r="Q317" s="33"/>
      <c r="R317" s="33"/>
      <c r="S317" s="33"/>
    </row>
    <row r="318" spans="1:19" s="35" customFormat="1">
      <c r="A318" s="157"/>
      <c r="B318" s="157"/>
      <c r="C318" s="87"/>
      <c r="D318" s="310" t="s">
        <v>12601</v>
      </c>
      <c r="E318" s="313">
        <f>8*3</f>
        <v>24</v>
      </c>
      <c r="F318" s="315">
        <v>1.5</v>
      </c>
      <c r="G318" s="315">
        <v>17.2</v>
      </c>
      <c r="H318" s="315"/>
      <c r="I318" s="315"/>
      <c r="J318" s="315"/>
      <c r="K318" s="315"/>
      <c r="L318" s="315" t="s">
        <v>21</v>
      </c>
      <c r="M318" s="322">
        <f t="shared" si="15"/>
        <v>619.19999999999993</v>
      </c>
      <c r="N318" s="313"/>
      <c r="O318" s="33"/>
      <c r="P318" s="33"/>
      <c r="Q318" s="33"/>
      <c r="R318" s="33"/>
      <c r="S318" s="33"/>
    </row>
    <row r="319" spans="1:19" s="35" customFormat="1">
      <c r="A319" s="157"/>
      <c r="B319" s="157"/>
      <c r="C319" s="87"/>
      <c r="D319" s="320" t="s">
        <v>12602</v>
      </c>
      <c r="E319" s="79">
        <f>4*3</f>
        <v>12</v>
      </c>
      <c r="F319" s="79">
        <f>(50+20+15+47.5+30+15+45)/100</f>
        <v>2.2250000000000001</v>
      </c>
      <c r="G319" s="74">
        <f>2.15+0.3</f>
        <v>2.4499999999999997</v>
      </c>
      <c r="H319" s="74"/>
      <c r="I319" s="74"/>
      <c r="J319" s="74"/>
      <c r="K319" s="74"/>
      <c r="L319" s="74" t="s">
        <v>21</v>
      </c>
      <c r="M319" s="133">
        <f t="shared" si="15"/>
        <v>65.415000000000006</v>
      </c>
      <c r="N319" s="313"/>
      <c r="O319" s="33"/>
      <c r="P319" s="33"/>
      <c r="Q319" s="33"/>
      <c r="R319" s="33"/>
      <c r="S319" s="33"/>
    </row>
    <row r="320" spans="1:19" s="35" customFormat="1">
      <c r="A320" s="157"/>
      <c r="B320" s="157"/>
      <c r="C320" s="87"/>
      <c r="D320" s="324" t="s">
        <v>12613</v>
      </c>
      <c r="E320" s="116">
        <f>2*2*3</f>
        <v>12</v>
      </c>
      <c r="F320" s="173">
        <v>2.15</v>
      </c>
      <c r="G320" s="173">
        <v>1.125</v>
      </c>
      <c r="H320" s="321" t="s">
        <v>30</v>
      </c>
      <c r="I320" s="321">
        <v>0.15</v>
      </c>
      <c r="J320" s="321">
        <f>E320*F320*G320</f>
        <v>29.024999999999999</v>
      </c>
      <c r="K320" s="321"/>
      <c r="L320" s="321" t="s">
        <v>21</v>
      </c>
      <c r="M320" s="172">
        <v>0</v>
      </c>
      <c r="N320" s="313"/>
      <c r="O320" s="33"/>
      <c r="P320" s="33"/>
      <c r="Q320" s="33"/>
      <c r="R320" s="33"/>
      <c r="S320" s="33"/>
    </row>
    <row r="321" spans="1:19" s="35" customFormat="1">
      <c r="A321" s="157"/>
      <c r="B321" s="157"/>
      <c r="C321" s="87"/>
      <c r="D321" s="310" t="s">
        <v>12614</v>
      </c>
      <c r="E321" s="313">
        <f>6*8*2*3</f>
        <v>288</v>
      </c>
      <c r="F321" s="311">
        <v>0.6</v>
      </c>
      <c r="G321" s="311">
        <v>0.20100000000000001</v>
      </c>
      <c r="H321" s="315" t="s">
        <v>30</v>
      </c>
      <c r="I321" s="315">
        <v>0.15</v>
      </c>
      <c r="J321" s="315">
        <f>E321*F321*G321</f>
        <v>34.732799999999997</v>
      </c>
      <c r="K321" s="315"/>
      <c r="L321" s="315" t="s">
        <v>21</v>
      </c>
      <c r="M321" s="322">
        <v>0</v>
      </c>
      <c r="N321" s="313"/>
      <c r="O321" s="33"/>
      <c r="P321" s="33"/>
      <c r="Q321" s="33"/>
      <c r="R321" s="33"/>
      <c r="S321" s="33"/>
    </row>
    <row r="322" spans="1:19" s="35" customFormat="1">
      <c r="A322" s="157"/>
      <c r="B322" s="157"/>
      <c r="C322" s="87"/>
      <c r="D322" s="310" t="s">
        <v>12615</v>
      </c>
      <c r="E322" s="313">
        <f>6*2*3</f>
        <v>36</v>
      </c>
      <c r="F322" s="311">
        <v>1.32</v>
      </c>
      <c r="G322" s="311">
        <v>1.1000000000000001</v>
      </c>
      <c r="H322" s="315" t="s">
        <v>30</v>
      </c>
      <c r="I322" s="315">
        <v>0.15</v>
      </c>
      <c r="J322" s="315">
        <f>E322*F322*G322</f>
        <v>52.272000000000006</v>
      </c>
      <c r="K322" s="315"/>
      <c r="L322" s="315" t="s">
        <v>21</v>
      </c>
      <c r="M322" s="322">
        <v>0</v>
      </c>
      <c r="N322" s="313"/>
      <c r="O322" s="33"/>
      <c r="P322" s="33"/>
      <c r="Q322" s="33"/>
      <c r="R322" s="33"/>
      <c r="S322" s="33"/>
    </row>
    <row r="323" spans="1:19" s="35" customFormat="1">
      <c r="A323" s="157"/>
      <c r="B323" s="157"/>
      <c r="C323" s="87"/>
      <c r="D323" s="310" t="s">
        <v>12616</v>
      </c>
      <c r="E323" s="313">
        <f>6*2*3</f>
        <v>36</v>
      </c>
      <c r="F323" s="311">
        <v>1.76</v>
      </c>
      <c r="G323" s="311">
        <v>1.1000000000000001</v>
      </c>
      <c r="H323" s="315" t="s">
        <v>30</v>
      </c>
      <c r="I323" s="315">
        <v>0.15</v>
      </c>
      <c r="J323" s="315">
        <f>E323*F323*G323</f>
        <v>69.695999999999998</v>
      </c>
      <c r="K323" s="315"/>
      <c r="L323" s="315" t="s">
        <v>21</v>
      </c>
      <c r="M323" s="322">
        <v>0</v>
      </c>
      <c r="N323" s="313"/>
      <c r="O323" s="33"/>
      <c r="P323" s="33"/>
      <c r="Q323" s="33"/>
      <c r="R323" s="33"/>
      <c r="S323" s="33"/>
    </row>
    <row r="324" spans="1:19" s="35" customFormat="1">
      <c r="A324" s="157"/>
      <c r="B324" s="157"/>
      <c r="C324" s="87"/>
      <c r="D324" s="310" t="s">
        <v>12617</v>
      </c>
      <c r="E324" s="313">
        <f>6*2*3</f>
        <v>36</v>
      </c>
      <c r="F324" s="311">
        <v>1.1000000000000001</v>
      </c>
      <c r="G324" s="311">
        <v>0.6</v>
      </c>
      <c r="H324" s="315" t="s">
        <v>30</v>
      </c>
      <c r="I324" s="315">
        <v>0.15</v>
      </c>
      <c r="J324" s="315">
        <f>E324*F324*G324</f>
        <v>23.76</v>
      </c>
      <c r="K324" s="315"/>
      <c r="L324" s="315" t="s">
        <v>21</v>
      </c>
      <c r="M324" s="322">
        <v>0</v>
      </c>
      <c r="N324" s="313"/>
      <c r="O324" s="33"/>
      <c r="P324" s="33"/>
      <c r="Q324" s="33"/>
      <c r="R324" s="33"/>
      <c r="S324" s="33"/>
    </row>
    <row r="325" spans="1:19" s="35" customFormat="1">
      <c r="A325" s="157"/>
      <c r="B325" s="157"/>
      <c r="C325" s="87"/>
      <c r="D325" s="320" t="s">
        <v>12440</v>
      </c>
      <c r="E325" s="79">
        <f>2*3</f>
        <v>6</v>
      </c>
      <c r="F325" s="74">
        <f>2.3+17.7+1.2</f>
        <v>21.2</v>
      </c>
      <c r="G325" s="74">
        <v>13.9</v>
      </c>
      <c r="H325" s="74" t="s">
        <v>30</v>
      </c>
      <c r="I325" s="74">
        <v>0.15</v>
      </c>
      <c r="J325" s="74">
        <f>SUM(J320:J324)</f>
        <v>209.48579999999998</v>
      </c>
      <c r="K325" s="74"/>
      <c r="L325" s="74" t="s">
        <v>21</v>
      </c>
      <c r="M325" s="133">
        <f>E325*((F325*G325))-J325</f>
        <v>1558.5942</v>
      </c>
      <c r="N325" s="313"/>
      <c r="O325" s="33"/>
      <c r="P325" s="33"/>
      <c r="Q325" s="33"/>
      <c r="R325" s="33"/>
      <c r="S325" s="33"/>
    </row>
    <row r="326" spans="1:19" s="35" customFormat="1">
      <c r="A326" s="157"/>
      <c r="B326" s="157"/>
      <c r="C326" s="87"/>
      <c r="D326" s="310" t="s">
        <v>12603</v>
      </c>
      <c r="E326" s="313">
        <f>1*3</f>
        <v>3</v>
      </c>
      <c r="F326" s="315">
        <v>2.7</v>
      </c>
      <c r="G326" s="315">
        <v>1.85</v>
      </c>
      <c r="H326" s="315">
        <v>0.2</v>
      </c>
      <c r="I326" s="315"/>
      <c r="J326" s="315"/>
      <c r="K326" s="315"/>
      <c r="L326" s="315" t="s">
        <v>21</v>
      </c>
      <c r="M326" s="322">
        <f>E326*((F326*G326)+(F326*2+G326*2)*H326)</f>
        <v>20.445000000000004</v>
      </c>
      <c r="N326" s="313"/>
      <c r="O326" s="33"/>
      <c r="P326" s="33"/>
      <c r="Q326" s="33"/>
      <c r="R326" s="33"/>
      <c r="S326" s="33"/>
    </row>
    <row r="327" spans="1:19" s="35" customFormat="1">
      <c r="A327" s="157"/>
      <c r="B327" s="157"/>
      <c r="C327" s="87"/>
      <c r="D327" s="310" t="s">
        <v>12603</v>
      </c>
      <c r="E327" s="313">
        <f>1*3</f>
        <v>3</v>
      </c>
      <c r="F327" s="315">
        <v>0.75</v>
      </c>
      <c r="G327" s="315">
        <v>1.1000000000000001</v>
      </c>
      <c r="H327" s="315">
        <v>0.2</v>
      </c>
      <c r="I327" s="315"/>
      <c r="J327" s="315"/>
      <c r="K327" s="315"/>
      <c r="L327" s="315" t="s">
        <v>21</v>
      </c>
      <c r="M327" s="322">
        <f>E327*((F327*G327)+(F327*2+G327*2)*H327)</f>
        <v>4.6950000000000003</v>
      </c>
      <c r="N327" s="313"/>
      <c r="O327" s="33"/>
      <c r="P327" s="33"/>
      <c r="Q327" s="33"/>
      <c r="R327" s="33"/>
      <c r="S327" s="33"/>
    </row>
    <row r="328" spans="1:19" s="35" customFormat="1">
      <c r="A328" s="157"/>
      <c r="B328" s="157"/>
      <c r="C328" s="87"/>
      <c r="D328" s="310" t="s">
        <v>12604</v>
      </c>
      <c r="E328" s="313">
        <f>2*3</f>
        <v>6</v>
      </c>
      <c r="F328" s="315">
        <v>1.85</v>
      </c>
      <c r="G328" s="315">
        <v>0.15</v>
      </c>
      <c r="H328" s="315">
        <v>1.8</v>
      </c>
      <c r="I328" s="315"/>
      <c r="J328" s="315"/>
      <c r="K328" s="315"/>
      <c r="L328" s="315" t="s">
        <v>21</v>
      </c>
      <c r="M328" s="322">
        <f>E328*(2*(F328*H328))</f>
        <v>39.96</v>
      </c>
      <c r="N328" s="313"/>
      <c r="O328" s="33"/>
      <c r="P328" s="33"/>
      <c r="Q328" s="33"/>
      <c r="R328" s="33"/>
      <c r="S328" s="33"/>
    </row>
    <row r="329" spans="1:19" s="35" customFormat="1">
      <c r="A329" s="157"/>
      <c r="B329" s="157"/>
      <c r="C329" s="87"/>
      <c r="D329" s="310" t="s">
        <v>12605</v>
      </c>
      <c r="E329" s="313">
        <f>2*3</f>
        <v>6</v>
      </c>
      <c r="F329" s="315">
        <v>1.85</v>
      </c>
      <c r="G329" s="315">
        <v>0.15</v>
      </c>
      <c r="H329" s="315">
        <v>1.8</v>
      </c>
      <c r="I329" s="315"/>
      <c r="J329" s="315"/>
      <c r="K329" s="315"/>
      <c r="L329" s="315" t="s">
        <v>21</v>
      </c>
      <c r="M329" s="322">
        <f t="shared" ref="M329:M335" si="16">E329*(2*(F329*H329))</f>
        <v>39.96</v>
      </c>
      <c r="N329" s="313"/>
      <c r="O329" s="33"/>
      <c r="P329" s="33"/>
      <c r="Q329" s="33"/>
      <c r="R329" s="33"/>
      <c r="S329" s="33"/>
    </row>
    <row r="330" spans="1:19" s="35" customFormat="1">
      <c r="A330" s="157"/>
      <c r="B330" s="157"/>
      <c r="C330" s="87"/>
      <c r="D330" s="310" t="s">
        <v>12606</v>
      </c>
      <c r="E330" s="313">
        <f>2*3</f>
        <v>6</v>
      </c>
      <c r="F330" s="315">
        <v>0.75</v>
      </c>
      <c r="G330" s="315">
        <v>0.15</v>
      </c>
      <c r="H330" s="315">
        <v>1.8</v>
      </c>
      <c r="I330" s="315"/>
      <c r="J330" s="315"/>
      <c r="K330" s="315"/>
      <c r="L330" s="315" t="s">
        <v>21</v>
      </c>
      <c r="M330" s="322">
        <f t="shared" si="16"/>
        <v>16.200000000000003</v>
      </c>
      <c r="N330" s="313"/>
      <c r="O330" s="33"/>
      <c r="P330" s="33"/>
      <c r="Q330" s="33"/>
      <c r="R330" s="33"/>
      <c r="S330" s="33"/>
    </row>
    <row r="331" spans="1:19" s="35" customFormat="1">
      <c r="A331" s="157"/>
      <c r="B331" s="157"/>
      <c r="C331" s="87"/>
      <c r="D331" s="310" t="s">
        <v>12607</v>
      </c>
      <c r="E331" s="313">
        <f>1*3</f>
        <v>3</v>
      </c>
      <c r="F331" s="315">
        <v>1.1000000000000001</v>
      </c>
      <c r="G331" s="315">
        <v>0.15</v>
      </c>
      <c r="H331" s="315">
        <v>1.8</v>
      </c>
      <c r="I331" s="315"/>
      <c r="J331" s="315"/>
      <c r="K331" s="315"/>
      <c r="L331" s="315" t="s">
        <v>21</v>
      </c>
      <c r="M331" s="322">
        <f t="shared" si="16"/>
        <v>11.88</v>
      </c>
      <c r="N331" s="313"/>
      <c r="O331" s="33"/>
      <c r="P331" s="33"/>
      <c r="Q331" s="33"/>
      <c r="R331" s="33"/>
      <c r="S331" s="33"/>
    </row>
    <row r="332" spans="1:19" s="35" customFormat="1">
      <c r="A332" s="157"/>
      <c r="B332" s="157"/>
      <c r="C332" s="87"/>
      <c r="D332" s="310" t="s">
        <v>12608</v>
      </c>
      <c r="E332" s="313">
        <f>2*3</f>
        <v>6</v>
      </c>
      <c r="F332" s="315">
        <v>0.95</v>
      </c>
      <c r="G332" s="315">
        <v>0.15</v>
      </c>
      <c r="H332" s="315">
        <v>1.8</v>
      </c>
      <c r="I332" s="315"/>
      <c r="J332" s="315"/>
      <c r="K332" s="315"/>
      <c r="L332" s="315" t="s">
        <v>21</v>
      </c>
      <c r="M332" s="322">
        <f t="shared" si="16"/>
        <v>20.52</v>
      </c>
      <c r="N332" s="313"/>
      <c r="O332" s="33"/>
      <c r="P332" s="33"/>
      <c r="Q332" s="33"/>
      <c r="R332" s="33"/>
      <c r="S332" s="33"/>
    </row>
    <row r="333" spans="1:19" s="35" customFormat="1">
      <c r="A333" s="157"/>
      <c r="B333" s="157"/>
      <c r="C333" s="87"/>
      <c r="D333" s="310" t="s">
        <v>12609</v>
      </c>
      <c r="E333" s="313">
        <f>1*3</f>
        <v>3</v>
      </c>
      <c r="F333" s="315">
        <v>0.8</v>
      </c>
      <c r="G333" s="315">
        <v>0.15</v>
      </c>
      <c r="H333" s="315">
        <v>0.75</v>
      </c>
      <c r="I333" s="315"/>
      <c r="J333" s="315"/>
      <c r="K333" s="315"/>
      <c r="L333" s="315" t="s">
        <v>21</v>
      </c>
      <c r="M333" s="322">
        <f t="shared" si="16"/>
        <v>3.6000000000000005</v>
      </c>
      <c r="N333" s="313"/>
      <c r="O333" s="33"/>
      <c r="P333" s="33"/>
      <c r="Q333" s="33"/>
      <c r="R333" s="33"/>
      <c r="S333" s="33"/>
    </row>
    <row r="334" spans="1:19" s="35" customFormat="1">
      <c r="A334" s="157"/>
      <c r="B334" s="157"/>
      <c r="C334" s="87"/>
      <c r="D334" s="310" t="s">
        <v>12610</v>
      </c>
      <c r="E334" s="313">
        <f>2*3</f>
        <v>6</v>
      </c>
      <c r="F334" s="315">
        <v>0.5</v>
      </c>
      <c r="G334" s="315">
        <v>0.15</v>
      </c>
      <c r="H334" s="315">
        <v>1.8</v>
      </c>
      <c r="I334" s="315"/>
      <c r="J334" s="315"/>
      <c r="K334" s="315"/>
      <c r="L334" s="315" t="s">
        <v>21</v>
      </c>
      <c r="M334" s="322">
        <f t="shared" si="16"/>
        <v>10.8</v>
      </c>
      <c r="N334" s="313"/>
      <c r="O334" s="33"/>
      <c r="P334" s="33"/>
      <c r="Q334" s="33"/>
      <c r="R334" s="33"/>
      <c r="S334" s="33"/>
    </row>
    <row r="335" spans="1:19" s="35" customFormat="1">
      <c r="A335" s="157"/>
      <c r="B335" s="157"/>
      <c r="C335" s="87"/>
      <c r="D335" s="310" t="s">
        <v>12611</v>
      </c>
      <c r="E335" s="313">
        <f>1*3</f>
        <v>3</v>
      </c>
      <c r="F335" s="315">
        <v>2.7</v>
      </c>
      <c r="G335" s="315">
        <v>0.15</v>
      </c>
      <c r="H335" s="315">
        <v>1.8</v>
      </c>
      <c r="I335" s="315"/>
      <c r="J335" s="315"/>
      <c r="K335" s="315"/>
      <c r="L335" s="315" t="s">
        <v>21</v>
      </c>
      <c r="M335" s="322">
        <f t="shared" si="16"/>
        <v>29.160000000000004</v>
      </c>
      <c r="N335" s="313"/>
      <c r="O335" s="33"/>
      <c r="P335" s="33"/>
      <c r="Q335" s="33"/>
      <c r="R335" s="33"/>
      <c r="S335" s="33"/>
    </row>
    <row r="336" spans="1:19" s="35" customFormat="1">
      <c r="A336" s="157"/>
      <c r="B336" s="157"/>
      <c r="C336" s="87"/>
      <c r="D336" s="310" t="s">
        <v>12612</v>
      </c>
      <c r="E336" s="313">
        <f>1*3</f>
        <v>3</v>
      </c>
      <c r="F336" s="315">
        <f>1.1+1.85</f>
        <v>2.95</v>
      </c>
      <c r="G336" s="315">
        <v>2.7</v>
      </c>
      <c r="H336" s="315">
        <v>0.15</v>
      </c>
      <c r="I336" s="315">
        <f>(4*0.5*0.7+1.1*1.55+0.8*0.75)*3</f>
        <v>11.115000000000002</v>
      </c>
      <c r="J336" s="315"/>
      <c r="K336" s="315"/>
      <c r="L336" s="315" t="s">
        <v>21</v>
      </c>
      <c r="M336" s="322">
        <f>E336*((F336*G336)+(F336*2+G336*2)*H336)-I336</f>
        <v>17.864999999999998</v>
      </c>
      <c r="N336" s="313"/>
      <c r="O336" s="33"/>
      <c r="P336" s="33"/>
      <c r="Q336" s="33"/>
      <c r="R336" s="33"/>
      <c r="S336" s="33"/>
    </row>
    <row r="337" spans="1:19" s="35" customFormat="1">
      <c r="A337" s="157"/>
      <c r="B337" s="157"/>
      <c r="C337" s="87"/>
      <c r="D337" s="310"/>
      <c r="E337" s="38"/>
      <c r="F337" s="313"/>
      <c r="G337" s="120"/>
      <c r="H337" s="120"/>
      <c r="I337" s="120"/>
      <c r="J337" s="120"/>
      <c r="K337" s="120"/>
      <c r="L337" s="313"/>
      <c r="M337" s="130"/>
      <c r="N337" s="313"/>
      <c r="O337" s="33"/>
      <c r="P337" s="33"/>
      <c r="Q337" s="33"/>
      <c r="R337" s="33"/>
      <c r="S337" s="33"/>
    </row>
    <row r="338" spans="1:19" s="35" customFormat="1">
      <c r="A338" s="157"/>
      <c r="B338" s="157"/>
      <c r="C338" s="87"/>
      <c r="D338" s="310"/>
      <c r="E338" s="313"/>
      <c r="F338" s="313"/>
      <c r="G338" s="120"/>
      <c r="H338" s="120"/>
      <c r="I338" s="120"/>
      <c r="J338" s="120"/>
      <c r="K338" s="120"/>
      <c r="L338" s="313"/>
      <c r="M338" s="130"/>
      <c r="N338" s="313"/>
      <c r="O338" s="33"/>
      <c r="P338" s="33"/>
      <c r="Q338" s="33"/>
      <c r="R338" s="33"/>
      <c r="S338" s="33"/>
    </row>
    <row r="339" spans="1:19" s="35" customFormat="1">
      <c r="A339" s="157" t="s">
        <v>12676</v>
      </c>
      <c r="B339" s="157" t="s">
        <v>11644</v>
      </c>
      <c r="C339" s="87" t="s">
        <v>567</v>
      </c>
      <c r="D339" s="206" t="e">
        <f>PROPER(IF(B339="Saneago",VLOOKUP(C339,'SANEAGO-FEV.2016'!A:B,2,0),IF(B339="Sinapi",VLOOKUP(C339,'SINAPI-FEV.2017'!A:D,2,0),IF(B339="Cotação",VLOOKUP(C339,COTAÇÃO!A:D,2,0),IF(B339="Composição",VLOOKUP(C339,COMPOSIÇÃO!A:D,2,0))))))</f>
        <v>#N/A</v>
      </c>
      <c r="E339" s="317"/>
      <c r="F339" s="1740" t="s">
        <v>12662</v>
      </c>
      <c r="G339" s="1740"/>
      <c r="H339" s="1740"/>
      <c r="I339" s="1740"/>
      <c r="J339" s="1734" t="s">
        <v>12659</v>
      </c>
      <c r="K339" s="1734"/>
      <c r="L339" s="73" t="s">
        <v>21</v>
      </c>
      <c r="M339" s="81">
        <f>SUM(M303:M336)</f>
        <v>7761.1102000000001</v>
      </c>
      <c r="N339" s="313"/>
      <c r="O339" s="33"/>
      <c r="P339" s="33"/>
      <c r="Q339" s="33"/>
      <c r="R339" s="33"/>
      <c r="S339" s="33"/>
    </row>
    <row r="340" spans="1:19" s="35" customFormat="1">
      <c r="A340" s="157"/>
      <c r="B340" s="157"/>
      <c r="C340" s="87"/>
      <c r="D340" s="327"/>
      <c r="E340" s="105"/>
      <c r="F340" s="105"/>
      <c r="G340" s="313" t="s">
        <v>1275</v>
      </c>
      <c r="H340" s="313" t="s">
        <v>11684</v>
      </c>
      <c r="I340" s="313" t="s">
        <v>19</v>
      </c>
      <c r="J340" s="313" t="s">
        <v>12667</v>
      </c>
      <c r="K340" s="83" t="s">
        <v>30</v>
      </c>
      <c r="L340" s="83" t="s">
        <v>30</v>
      </c>
      <c r="M340" s="83" t="s">
        <v>30</v>
      </c>
      <c r="N340" s="313"/>
      <c r="O340" s="33"/>
      <c r="P340" s="33"/>
      <c r="Q340" s="33"/>
      <c r="R340" s="33"/>
      <c r="S340" s="33"/>
    </row>
    <row r="341" spans="1:19" s="35" customFormat="1" ht="12.75" customHeight="1">
      <c r="A341" s="157"/>
      <c r="B341" s="157"/>
      <c r="C341" s="87"/>
      <c r="D341" s="327"/>
      <c r="E341" s="105"/>
      <c r="F341" s="105" t="s">
        <v>12666</v>
      </c>
      <c r="G341" s="313">
        <v>3</v>
      </c>
      <c r="H341" s="313">
        <v>17.2</v>
      </c>
      <c r="I341" s="313">
        <v>13.4</v>
      </c>
      <c r="J341" s="83" t="s">
        <v>30</v>
      </c>
      <c r="K341" s="83"/>
      <c r="L341" s="313" t="s">
        <v>21</v>
      </c>
      <c r="M341" s="55">
        <f>G341*H341*I341</f>
        <v>691.43999999999994</v>
      </c>
      <c r="N341" s="313"/>
      <c r="O341" s="33"/>
      <c r="P341" s="33"/>
      <c r="Q341" s="33"/>
      <c r="R341" s="33"/>
      <c r="S341" s="33"/>
    </row>
    <row r="342" spans="1:19" s="35" customFormat="1" ht="12.75" customHeight="1">
      <c r="A342" s="157"/>
      <c r="B342" s="157"/>
      <c r="C342" s="87"/>
      <c r="D342" s="327"/>
      <c r="E342" s="105"/>
      <c r="F342" s="105" t="s">
        <v>12668</v>
      </c>
      <c r="G342" s="313">
        <f>2*2*3</f>
        <v>12</v>
      </c>
      <c r="H342" s="313" t="s">
        <v>30</v>
      </c>
      <c r="I342" s="313" t="s">
        <v>30</v>
      </c>
      <c r="J342" s="315">
        <v>0.16250000000000001</v>
      </c>
      <c r="K342" s="315"/>
      <c r="L342" s="313" t="s">
        <v>21</v>
      </c>
      <c r="M342" s="55">
        <f>G342*J342</f>
        <v>1.9500000000000002</v>
      </c>
      <c r="N342" s="313"/>
      <c r="O342" s="33"/>
      <c r="P342" s="33"/>
      <c r="Q342" s="33"/>
      <c r="R342" s="33"/>
      <c r="S342" s="33"/>
    </row>
    <row r="343" spans="1:19" s="35" customFormat="1" ht="12.75" customHeight="1">
      <c r="A343" s="157"/>
      <c r="B343" s="157"/>
      <c r="C343" s="87"/>
      <c r="D343" s="327"/>
      <c r="E343" s="105"/>
      <c r="F343" s="105" t="s">
        <v>12598</v>
      </c>
      <c r="G343" s="313">
        <f>3*2*3</f>
        <v>18</v>
      </c>
      <c r="H343" s="313" t="s">
        <v>30</v>
      </c>
      <c r="I343" s="313" t="s">
        <v>30</v>
      </c>
      <c r="J343" s="315">
        <f>0.1625*2</f>
        <v>0.32500000000000001</v>
      </c>
      <c r="K343" s="315"/>
      <c r="L343" s="313" t="s">
        <v>21</v>
      </c>
      <c r="M343" s="55">
        <f>G343*J343</f>
        <v>5.8500000000000005</v>
      </c>
      <c r="N343" s="313"/>
      <c r="O343" s="33"/>
      <c r="P343" s="33"/>
      <c r="Q343" s="33"/>
      <c r="R343" s="33"/>
      <c r="S343" s="33"/>
    </row>
    <row r="344" spans="1:19" s="35" customFormat="1" ht="12.75" customHeight="1">
      <c r="A344" s="157"/>
      <c r="B344" s="157"/>
      <c r="C344" s="87"/>
      <c r="D344" s="327"/>
      <c r="E344" s="1731" t="s">
        <v>12669</v>
      </c>
      <c r="F344" s="1731"/>
      <c r="G344" s="313">
        <f>2*2*3</f>
        <v>12</v>
      </c>
      <c r="H344" s="313">
        <f>13.4</f>
        <v>13.4</v>
      </c>
      <c r="I344" s="313">
        <v>0.45</v>
      </c>
      <c r="J344" s="315"/>
      <c r="K344" s="315"/>
      <c r="L344" s="313" t="s">
        <v>21</v>
      </c>
      <c r="M344" s="55">
        <f>G344*H344*I344</f>
        <v>72.360000000000014</v>
      </c>
      <c r="N344" s="313"/>
      <c r="O344" s="33"/>
      <c r="P344" s="33"/>
      <c r="Q344" s="33"/>
      <c r="R344" s="33"/>
      <c r="S344" s="33"/>
    </row>
    <row r="345" spans="1:19" s="35" customFormat="1" ht="12" customHeight="1">
      <c r="A345" s="157"/>
      <c r="B345" s="157"/>
      <c r="C345" s="87"/>
      <c r="D345" s="327"/>
      <c r="E345" s="1731" t="s">
        <v>12670</v>
      </c>
      <c r="F345" s="1731"/>
      <c r="G345" s="313">
        <f>8*2*3</f>
        <v>48</v>
      </c>
      <c r="H345" s="313">
        <v>17.2</v>
      </c>
      <c r="I345" s="313">
        <v>0.35</v>
      </c>
      <c r="J345" s="313"/>
      <c r="K345" s="313"/>
      <c r="L345" s="313" t="s">
        <v>21</v>
      </c>
      <c r="M345" s="55">
        <f>G345*H345*I345</f>
        <v>288.95999999999992</v>
      </c>
      <c r="N345" s="313"/>
      <c r="O345" s="33"/>
      <c r="P345" s="33"/>
      <c r="Q345" s="33"/>
      <c r="R345" s="33"/>
      <c r="S345" s="33"/>
    </row>
    <row r="346" spans="1:19" s="35" customFormat="1">
      <c r="A346" s="157" t="s">
        <v>12660</v>
      </c>
      <c r="B346" s="157" t="s">
        <v>10852</v>
      </c>
      <c r="C346" s="87">
        <v>598</v>
      </c>
      <c r="D346" s="206" t="str">
        <f>PROPER(IF(B346="Saneago",VLOOKUP(C346,'SANEAGO-FEV.2016'!A:B,2,0),IF(B346="Sinapi",VLOOKUP(C346,'SINAPI-FEV.2017'!A:D,2,0),IF(B346="Cotação",VLOOKUP(C346,COTAÇÃO!A:D,2,0),IF(B346="Composição",VLOOKUP(C346,COMPOSIÇÃO!A:D,2,0))))))</f>
        <v>Regularização Fundo Com Argamassa  Cimento E Areia 1:3</v>
      </c>
      <c r="E346" s="317"/>
      <c r="F346" s="1740"/>
      <c r="G346" s="1740"/>
      <c r="H346" s="1740"/>
      <c r="I346" s="1740"/>
      <c r="J346" s="1734" t="s">
        <v>12659</v>
      </c>
      <c r="K346" s="1734"/>
      <c r="L346" s="73" t="s">
        <v>21</v>
      </c>
      <c r="M346" s="81">
        <f>SUM(M341:M345)</f>
        <v>1060.56</v>
      </c>
      <c r="N346" s="313"/>
      <c r="O346" s="33"/>
      <c r="P346" s="33"/>
      <c r="Q346" s="33"/>
      <c r="R346" s="33"/>
      <c r="S346" s="33"/>
    </row>
    <row r="347" spans="1:19" s="35" customFormat="1">
      <c r="A347" s="157"/>
      <c r="B347" s="157"/>
      <c r="C347" s="87"/>
      <c r="D347" s="124" t="s">
        <v>12663</v>
      </c>
      <c r="E347" s="83" t="s">
        <v>1275</v>
      </c>
      <c r="F347" s="83" t="s">
        <v>11684</v>
      </c>
      <c r="G347" s="83" t="s">
        <v>19</v>
      </c>
      <c r="H347" s="83" t="s">
        <v>32</v>
      </c>
      <c r="I347" s="83" t="s">
        <v>36</v>
      </c>
      <c r="J347" s="83" t="s">
        <v>12593</v>
      </c>
      <c r="K347" s="83" t="s">
        <v>30</v>
      </c>
      <c r="L347" s="83" t="s">
        <v>30</v>
      </c>
      <c r="M347" s="167" t="s">
        <v>30</v>
      </c>
      <c r="N347" s="313"/>
      <c r="O347" s="33"/>
      <c r="P347" s="33"/>
      <c r="Q347" s="33"/>
      <c r="R347" s="33"/>
      <c r="S347" s="33"/>
    </row>
    <row r="348" spans="1:19" s="35" customFormat="1">
      <c r="A348" s="157"/>
      <c r="B348" s="157"/>
      <c r="C348" s="87"/>
      <c r="D348" s="327"/>
      <c r="E348" s="105"/>
      <c r="F348" s="105"/>
      <c r="G348" s="313"/>
      <c r="H348" s="313"/>
      <c r="I348" s="313"/>
      <c r="J348" s="313"/>
      <c r="K348" s="313"/>
      <c r="L348" s="313"/>
      <c r="M348" s="325"/>
      <c r="N348" s="313"/>
      <c r="O348" s="33"/>
      <c r="P348" s="33"/>
      <c r="Q348" s="33"/>
      <c r="R348" s="33"/>
      <c r="S348" s="33"/>
    </row>
    <row r="349" spans="1:19" s="35" customFormat="1">
      <c r="A349" s="157"/>
      <c r="B349" s="157"/>
      <c r="C349" s="87"/>
      <c r="D349" s="310" t="s">
        <v>12586</v>
      </c>
      <c r="E349" s="313">
        <f>2*3</f>
        <v>6</v>
      </c>
      <c r="F349" s="315">
        <f>17.2</f>
        <v>17.2</v>
      </c>
      <c r="G349" s="315">
        <f>13.9-0.5</f>
        <v>13.4</v>
      </c>
      <c r="H349" s="315">
        <f>4.7+0.15</f>
        <v>4.8500000000000005</v>
      </c>
      <c r="I349" s="315"/>
      <c r="J349" s="315" t="s">
        <v>30</v>
      </c>
      <c r="K349" s="315"/>
      <c r="L349" s="315" t="s">
        <v>21</v>
      </c>
      <c r="M349" s="322">
        <f>E349*((F349+2*G349)*H349)</f>
        <v>1280.4000000000001</v>
      </c>
      <c r="N349" s="313"/>
      <c r="O349" s="33"/>
      <c r="P349" s="33"/>
      <c r="Q349" s="33"/>
      <c r="R349" s="33"/>
      <c r="S349" s="33"/>
    </row>
    <row r="350" spans="1:19" s="35" customFormat="1">
      <c r="A350" s="157"/>
      <c r="B350" s="157"/>
      <c r="C350" s="87"/>
      <c r="D350" s="310" t="s">
        <v>12603</v>
      </c>
      <c r="E350" s="313">
        <f>1*3</f>
        <v>3</v>
      </c>
      <c r="F350" s="315">
        <v>2.7</v>
      </c>
      <c r="G350" s="315">
        <v>1.85</v>
      </c>
      <c r="H350" s="315">
        <v>0.2</v>
      </c>
      <c r="I350" s="315"/>
      <c r="J350" s="315"/>
      <c r="K350" s="315"/>
      <c r="L350" s="315" t="s">
        <v>21</v>
      </c>
      <c r="M350" s="322">
        <f>E350*((F350*G350)+(F350*2+G350*2)*H350)</f>
        <v>20.445000000000004</v>
      </c>
      <c r="N350" s="313"/>
      <c r="O350" s="33"/>
      <c r="P350" s="33"/>
      <c r="Q350" s="33"/>
      <c r="R350" s="33"/>
      <c r="S350" s="33"/>
    </row>
    <row r="351" spans="1:19" s="35" customFormat="1">
      <c r="A351" s="157"/>
      <c r="B351" s="157"/>
      <c r="C351" s="87"/>
      <c r="D351" s="310" t="s">
        <v>12603</v>
      </c>
      <c r="E351" s="313">
        <f>1*3</f>
        <v>3</v>
      </c>
      <c r="F351" s="315">
        <v>0.75</v>
      </c>
      <c r="G351" s="315">
        <v>1.1000000000000001</v>
      </c>
      <c r="H351" s="315">
        <v>0.2</v>
      </c>
      <c r="I351" s="315"/>
      <c r="J351" s="315"/>
      <c r="K351" s="315"/>
      <c r="L351" s="315" t="s">
        <v>21</v>
      </c>
      <c r="M351" s="322">
        <f>E351*((F351*G351)+(F351*2+G351*2)*H351)</f>
        <v>4.6950000000000003</v>
      </c>
      <c r="N351" s="313"/>
      <c r="O351" s="33"/>
      <c r="P351" s="33"/>
      <c r="Q351" s="33"/>
      <c r="R351" s="33"/>
      <c r="S351" s="33"/>
    </row>
    <row r="352" spans="1:19" s="35" customFormat="1">
      <c r="A352" s="157"/>
      <c r="B352" s="157"/>
      <c r="C352" s="87"/>
      <c r="D352" s="310" t="s">
        <v>12604</v>
      </c>
      <c r="E352" s="313">
        <f>2*3</f>
        <v>6</v>
      </c>
      <c r="F352" s="315">
        <v>1.85</v>
      </c>
      <c r="G352" s="315">
        <v>0.15</v>
      </c>
      <c r="H352" s="315">
        <v>1.8</v>
      </c>
      <c r="I352" s="315"/>
      <c r="J352" s="315"/>
      <c r="K352" s="315"/>
      <c r="L352" s="315" t="s">
        <v>21</v>
      </c>
      <c r="M352" s="322">
        <f>E352*(2*(F352*H352))</f>
        <v>39.96</v>
      </c>
      <c r="N352" s="313"/>
      <c r="O352" s="33"/>
      <c r="P352" s="33"/>
      <c r="Q352" s="33"/>
      <c r="R352" s="33"/>
      <c r="S352" s="33"/>
    </row>
    <row r="353" spans="1:19" s="35" customFormat="1">
      <c r="A353" s="157"/>
      <c r="B353" s="157"/>
      <c r="C353" s="87"/>
      <c r="D353" s="310" t="s">
        <v>12605</v>
      </c>
      <c r="E353" s="313">
        <f>2*3</f>
        <v>6</v>
      </c>
      <c r="F353" s="315">
        <v>1.85</v>
      </c>
      <c r="G353" s="315">
        <v>0.15</v>
      </c>
      <c r="H353" s="315">
        <v>1.8</v>
      </c>
      <c r="I353" s="315"/>
      <c r="J353" s="315"/>
      <c r="K353" s="315"/>
      <c r="L353" s="315" t="s">
        <v>21</v>
      </c>
      <c r="M353" s="322">
        <f t="shared" ref="M353:M359" si="17">E353*(2*(F353*H353))</f>
        <v>39.96</v>
      </c>
      <c r="N353" s="313"/>
      <c r="O353" s="33"/>
      <c r="P353" s="33"/>
      <c r="Q353" s="33"/>
      <c r="R353" s="33"/>
      <c r="S353" s="33"/>
    </row>
    <row r="354" spans="1:19" s="35" customFormat="1">
      <c r="A354" s="157"/>
      <c r="B354" s="157"/>
      <c r="C354" s="87"/>
      <c r="D354" s="310" t="s">
        <v>12606</v>
      </c>
      <c r="E354" s="313">
        <f>2*3</f>
        <v>6</v>
      </c>
      <c r="F354" s="315">
        <v>0.75</v>
      </c>
      <c r="G354" s="315">
        <v>0.15</v>
      </c>
      <c r="H354" s="315">
        <v>1.8</v>
      </c>
      <c r="I354" s="315"/>
      <c r="J354" s="315"/>
      <c r="K354" s="315"/>
      <c r="L354" s="315" t="s">
        <v>21</v>
      </c>
      <c r="M354" s="322">
        <f t="shared" si="17"/>
        <v>16.200000000000003</v>
      </c>
      <c r="N354" s="313"/>
      <c r="O354" s="33"/>
      <c r="P354" s="33"/>
      <c r="Q354" s="33"/>
      <c r="R354" s="33"/>
      <c r="S354" s="33"/>
    </row>
    <row r="355" spans="1:19" s="35" customFormat="1">
      <c r="A355" s="157"/>
      <c r="B355" s="157"/>
      <c r="C355" s="87"/>
      <c r="D355" s="310" t="s">
        <v>12607</v>
      </c>
      <c r="E355" s="313">
        <f>1*3</f>
        <v>3</v>
      </c>
      <c r="F355" s="315">
        <v>1.1000000000000001</v>
      </c>
      <c r="G355" s="315">
        <v>0.15</v>
      </c>
      <c r="H355" s="315">
        <v>1.8</v>
      </c>
      <c r="I355" s="315"/>
      <c r="J355" s="315"/>
      <c r="K355" s="315"/>
      <c r="L355" s="315" t="s">
        <v>21</v>
      </c>
      <c r="M355" s="322">
        <f t="shared" si="17"/>
        <v>11.88</v>
      </c>
      <c r="N355" s="313"/>
      <c r="O355" s="33"/>
      <c r="P355" s="33"/>
      <c r="Q355" s="33"/>
      <c r="R355" s="33"/>
      <c r="S355" s="33"/>
    </row>
    <row r="356" spans="1:19" s="35" customFormat="1">
      <c r="A356" s="157"/>
      <c r="B356" s="157"/>
      <c r="C356" s="87"/>
      <c r="D356" s="310" t="s">
        <v>12608</v>
      </c>
      <c r="E356" s="313">
        <f>2*3</f>
        <v>6</v>
      </c>
      <c r="F356" s="315">
        <v>0.95</v>
      </c>
      <c r="G356" s="315">
        <v>0.15</v>
      </c>
      <c r="H356" s="315">
        <v>1.8</v>
      </c>
      <c r="I356" s="315"/>
      <c r="J356" s="315"/>
      <c r="K356" s="315"/>
      <c r="L356" s="315" t="s">
        <v>21</v>
      </c>
      <c r="M356" s="322">
        <f t="shared" si="17"/>
        <v>20.52</v>
      </c>
      <c r="N356" s="313"/>
      <c r="O356" s="33"/>
      <c r="P356" s="33"/>
      <c r="Q356" s="33"/>
      <c r="R356" s="33"/>
      <c r="S356" s="33"/>
    </row>
    <row r="357" spans="1:19" s="35" customFormat="1">
      <c r="A357" s="157"/>
      <c r="B357" s="157"/>
      <c r="C357" s="87"/>
      <c r="D357" s="310" t="s">
        <v>12609</v>
      </c>
      <c r="E357" s="313">
        <f>1*3</f>
        <v>3</v>
      </c>
      <c r="F357" s="315">
        <v>0.8</v>
      </c>
      <c r="G357" s="315">
        <v>0.15</v>
      </c>
      <c r="H357" s="315">
        <v>0.75</v>
      </c>
      <c r="I357" s="315"/>
      <c r="J357" s="315"/>
      <c r="K357" s="315"/>
      <c r="L357" s="315" t="s">
        <v>21</v>
      </c>
      <c r="M357" s="322">
        <f t="shared" si="17"/>
        <v>3.6000000000000005</v>
      </c>
      <c r="N357" s="313"/>
      <c r="O357" s="33"/>
      <c r="P357" s="33"/>
      <c r="Q357" s="33"/>
      <c r="R357" s="33"/>
      <c r="S357" s="33"/>
    </row>
    <row r="358" spans="1:19" s="35" customFormat="1">
      <c r="A358" s="157"/>
      <c r="B358" s="157"/>
      <c r="C358" s="87"/>
      <c r="D358" s="310" t="s">
        <v>12610</v>
      </c>
      <c r="E358" s="313">
        <f>2*3</f>
        <v>6</v>
      </c>
      <c r="F358" s="315">
        <v>0.5</v>
      </c>
      <c r="G358" s="315">
        <v>0.15</v>
      </c>
      <c r="H358" s="315">
        <v>1.8</v>
      </c>
      <c r="I358" s="315"/>
      <c r="J358" s="315"/>
      <c r="K358" s="315"/>
      <c r="L358" s="315" t="s">
        <v>21</v>
      </c>
      <c r="M358" s="322">
        <f t="shared" si="17"/>
        <v>10.8</v>
      </c>
      <c r="N358" s="313"/>
      <c r="O358" s="33"/>
      <c r="P358" s="33"/>
      <c r="Q358" s="33"/>
      <c r="R358" s="33"/>
      <c r="S358" s="33"/>
    </row>
    <row r="359" spans="1:19" s="35" customFormat="1">
      <c r="A359" s="157"/>
      <c r="B359" s="157"/>
      <c r="C359" s="87"/>
      <c r="D359" s="310" t="s">
        <v>12611</v>
      </c>
      <c r="E359" s="313">
        <f>1*3</f>
        <v>3</v>
      </c>
      <c r="F359" s="315">
        <v>2.7</v>
      </c>
      <c r="G359" s="315">
        <v>0.15</v>
      </c>
      <c r="H359" s="315">
        <v>1.8</v>
      </c>
      <c r="I359" s="315"/>
      <c r="J359" s="315"/>
      <c r="K359" s="315"/>
      <c r="L359" s="315" t="s">
        <v>21</v>
      </c>
      <c r="M359" s="322">
        <f t="shared" si="17"/>
        <v>29.160000000000004</v>
      </c>
      <c r="N359" s="313"/>
      <c r="O359" s="33"/>
      <c r="P359" s="33"/>
      <c r="Q359" s="33"/>
      <c r="R359" s="33"/>
      <c r="S359" s="33"/>
    </row>
    <row r="360" spans="1:19" s="35" customFormat="1">
      <c r="A360" s="157"/>
      <c r="B360" s="157"/>
      <c r="C360" s="87"/>
      <c r="D360" s="310" t="s">
        <v>12612</v>
      </c>
      <c r="E360" s="313">
        <f>1*3</f>
        <v>3</v>
      </c>
      <c r="F360" s="315">
        <f>1.1+1.85</f>
        <v>2.95</v>
      </c>
      <c r="G360" s="315">
        <v>2.7</v>
      </c>
      <c r="H360" s="315">
        <v>0.15</v>
      </c>
      <c r="I360" s="315">
        <f>(4*0.5*0.7+1.1*1.55+0.8*0.75)*3</f>
        <v>11.115000000000002</v>
      </c>
      <c r="J360" s="315"/>
      <c r="K360" s="315"/>
      <c r="L360" s="315" t="s">
        <v>21</v>
      </c>
      <c r="M360" s="322">
        <f>E360*((F360*G360)+(F360*2+G360*2)*H360)-I360</f>
        <v>17.864999999999998</v>
      </c>
      <c r="N360" s="313"/>
      <c r="O360" s="33"/>
      <c r="P360" s="33"/>
      <c r="Q360" s="33"/>
      <c r="R360" s="33"/>
      <c r="S360" s="33"/>
    </row>
    <row r="361" spans="1:19" s="35" customFormat="1">
      <c r="A361" s="157"/>
      <c r="B361" s="157"/>
      <c r="C361" s="87"/>
      <c r="D361" s="310" t="s">
        <v>12440</v>
      </c>
      <c r="E361" s="313">
        <f>2*3</f>
        <v>6</v>
      </c>
      <c r="F361" s="315">
        <f>2.3+17.7+1.2</f>
        <v>21.2</v>
      </c>
      <c r="G361" s="315">
        <v>13.9</v>
      </c>
      <c r="H361" s="315" t="s">
        <v>30</v>
      </c>
      <c r="I361" s="315">
        <v>0.15</v>
      </c>
      <c r="J361" s="315">
        <f>SUM(J356:J360)</f>
        <v>0</v>
      </c>
      <c r="K361" s="315"/>
      <c r="L361" s="315" t="s">
        <v>21</v>
      </c>
      <c r="M361" s="322">
        <f>E361*((F361*G361))-J361</f>
        <v>1768.08</v>
      </c>
      <c r="N361" s="313"/>
      <c r="O361" s="33"/>
      <c r="P361" s="33"/>
      <c r="Q361" s="33"/>
      <c r="R361" s="33"/>
      <c r="S361" s="33"/>
    </row>
    <row r="362" spans="1:19" s="35" customFormat="1">
      <c r="A362" s="157"/>
      <c r="B362" s="157"/>
      <c r="C362" s="87"/>
      <c r="D362" s="327"/>
      <c r="E362" s="105"/>
      <c r="F362" s="105"/>
      <c r="G362" s="313"/>
      <c r="H362" s="313"/>
      <c r="I362" s="313"/>
      <c r="J362" s="313"/>
      <c r="K362" s="313"/>
      <c r="L362" s="313"/>
      <c r="M362" s="325"/>
      <c r="N362" s="313"/>
      <c r="O362" s="33"/>
      <c r="P362" s="33"/>
      <c r="Q362" s="33"/>
      <c r="R362" s="33"/>
      <c r="S362" s="33"/>
    </row>
    <row r="363" spans="1:19" s="35" customFormat="1">
      <c r="A363" s="157" t="s">
        <v>12661</v>
      </c>
      <c r="B363" s="157" t="s">
        <v>11644</v>
      </c>
      <c r="C363" s="87">
        <v>84678</v>
      </c>
      <c r="D363" s="206" t="str">
        <f>PROPER(IF(B363="Saneago",VLOOKUP(C363,'SANEAGO-FEV.2016'!A:B,2,0),IF(B363="Sinapi",VLOOKUP(C363,'SINAPI-FEV.2017'!A:D,2,0),IF(B363="Cotação",VLOOKUP(C363,COTAÇÃO!A:D,2,0),IF(B363="Composição",VLOOKUP(C363,COMPOSIÇÃO!A:D,2,0))))))</f>
        <v>Verniz Poliuretano Brilhante Em Concreto Ou Tijolo, Tres Demaos</v>
      </c>
      <c r="E363" s="317"/>
      <c r="F363" s="317"/>
      <c r="G363" s="79"/>
      <c r="H363" s="79"/>
      <c r="I363" s="74"/>
      <c r="J363" s="1787"/>
      <c r="K363" s="1787"/>
      <c r="L363" s="79" t="s">
        <v>21</v>
      </c>
      <c r="M363" s="52">
        <f>SUM(M349:M361)</f>
        <v>3263.5650000000001</v>
      </c>
      <c r="N363" s="313"/>
      <c r="O363" s="33"/>
      <c r="P363" s="33"/>
      <c r="Q363" s="33"/>
      <c r="R363" s="33"/>
      <c r="S363" s="33"/>
    </row>
    <row r="364" spans="1:19" s="35" customFormat="1">
      <c r="A364" s="157"/>
      <c r="B364" s="157"/>
      <c r="C364" s="87"/>
      <c r="D364" s="327"/>
      <c r="E364" s="105"/>
      <c r="F364" s="105"/>
      <c r="G364" s="313" t="s">
        <v>30</v>
      </c>
      <c r="H364" s="313" t="s">
        <v>30</v>
      </c>
      <c r="I364" s="313" t="s">
        <v>30</v>
      </c>
      <c r="J364" s="313" t="s">
        <v>30</v>
      </c>
      <c r="K364" s="313" t="s">
        <v>30</v>
      </c>
      <c r="L364" s="313" t="s">
        <v>30</v>
      </c>
      <c r="M364" s="325" t="s">
        <v>30</v>
      </c>
      <c r="N364" s="313"/>
      <c r="O364" s="33"/>
      <c r="P364" s="33"/>
      <c r="Q364" s="33"/>
      <c r="R364" s="33"/>
      <c r="S364" s="33"/>
    </row>
    <row r="365" spans="1:19" s="35" customFormat="1" ht="22.5">
      <c r="A365" s="157" t="s">
        <v>12677</v>
      </c>
      <c r="B365" s="157" t="s">
        <v>11644</v>
      </c>
      <c r="C365" s="87">
        <v>83741</v>
      </c>
      <c r="D365" s="206" t="str">
        <f>PROPER(IF(B365="Saneago",VLOOKUP(C365,'SANEAGO-FEV.2016'!A:B,2,0),IF(B365="Sinapi",VLOOKUP(C365,'SINAPI-FEV.2017'!A:D,2,0),IF(B365="Cotação",VLOOKUP(C365,COTAÇÃO!A:D,2,0),IF(B365="Composição",VLOOKUP(C365,COMPOSIÇÃO!A:D,2,0))))))</f>
        <v>Impermeabilizacao De Superficie Com Emulsao Asfaltica Com Elastomero, Inclusos Primer E Veu De Poliester</v>
      </c>
      <c r="E365" s="317"/>
      <c r="F365" s="1740"/>
      <c r="G365" s="1740"/>
      <c r="H365" s="1740"/>
      <c r="I365" s="1740"/>
      <c r="J365" s="1787"/>
      <c r="K365" s="1787"/>
      <c r="L365" s="79" t="s">
        <v>21</v>
      </c>
      <c r="M365" s="52">
        <f>M346</f>
        <v>1060.56</v>
      </c>
      <c r="N365" s="313"/>
      <c r="O365" s="33"/>
      <c r="P365" s="33"/>
      <c r="Q365" s="33"/>
      <c r="R365" s="33"/>
      <c r="S365" s="33"/>
    </row>
    <row r="366" spans="1:19" s="35" customFormat="1" ht="13.5" customHeight="1" thickBot="1">
      <c r="A366" s="157"/>
      <c r="B366" s="157"/>
      <c r="C366" s="87"/>
      <c r="D366" s="327"/>
      <c r="E366" s="105"/>
      <c r="F366" s="105"/>
      <c r="G366" s="313"/>
      <c r="H366" s="313"/>
      <c r="I366" s="313"/>
      <c r="J366" s="315"/>
      <c r="K366" s="315"/>
      <c r="L366" s="315"/>
      <c r="M366" s="55"/>
      <c r="N366" s="313"/>
      <c r="O366" s="33"/>
      <c r="P366" s="33"/>
      <c r="Q366" s="33"/>
      <c r="R366" s="33"/>
      <c r="S366" s="33"/>
    </row>
    <row r="367" spans="1:19" ht="14.25" thickTop="1" thickBot="1">
      <c r="A367" s="161"/>
      <c r="B367" s="161"/>
      <c r="D367" s="110" t="s">
        <v>24</v>
      </c>
      <c r="E367" s="111"/>
      <c r="F367" s="111"/>
      <c r="G367" s="111"/>
      <c r="H367" s="111"/>
      <c r="I367" s="111"/>
      <c r="J367" s="111"/>
      <c r="K367" s="111"/>
      <c r="L367" s="308" t="s">
        <v>25</v>
      </c>
      <c r="M367" s="309" t="s">
        <v>27</v>
      </c>
    </row>
    <row r="368" spans="1:19" s="37" customFormat="1" ht="13.5" thickTop="1">
      <c r="A368" s="157"/>
      <c r="B368" s="157"/>
      <c r="C368" s="87"/>
      <c r="D368" s="327"/>
      <c r="E368" s="105"/>
      <c r="F368" s="105"/>
      <c r="G368" s="313" t="s">
        <v>30</v>
      </c>
      <c r="H368" s="313" t="s">
        <v>30</v>
      </c>
      <c r="I368" s="313" t="s">
        <v>30</v>
      </c>
      <c r="J368" s="313" t="s">
        <v>30</v>
      </c>
      <c r="K368" s="313" t="s">
        <v>30</v>
      </c>
      <c r="L368" s="313"/>
      <c r="M368" s="54"/>
      <c r="N368" s="18"/>
      <c r="O368" s="11"/>
      <c r="P368" s="11"/>
      <c r="Q368" s="11"/>
      <c r="R368" s="11"/>
      <c r="S368" s="176"/>
    </row>
    <row r="369" spans="1:19" s="37" customFormat="1">
      <c r="A369" s="157" t="s">
        <v>12672</v>
      </c>
      <c r="B369" s="157" t="s">
        <v>10852</v>
      </c>
      <c r="C369" s="87">
        <v>700</v>
      </c>
      <c r="D369" s="104" t="str">
        <f>PROPER(IF(B369="Saneago",VLOOKUP(C369,'SANEAGO-FEV.2016'!A:B,2,0),IF(B369="Sinapi",VLOOKUP(C369,'SINAPI-FEV.2017'!A:D,2,0),IF(B369="Cotação",VLOOKUP(C369,COTAÇÃO!A:D,2,0),IF(B369="Composição",VLOOKUP(C369,COMPOSIÇÃO!A:D,2,0))))))</f>
        <v>Limpeza Final De Obras Localizadas</v>
      </c>
      <c r="E369" s="317"/>
      <c r="F369" s="317"/>
      <c r="G369" s="74"/>
      <c r="H369" s="74"/>
      <c r="I369" s="84"/>
      <c r="J369" s="74"/>
      <c r="K369" s="74"/>
      <c r="L369" s="79" t="s">
        <v>21</v>
      </c>
      <c r="M369" s="52">
        <f>131*38-E349*F349*G349</f>
        <v>3595.12</v>
      </c>
      <c r="N369" s="18"/>
      <c r="O369" s="11"/>
      <c r="P369" s="11"/>
      <c r="Q369" s="11"/>
      <c r="R369" s="11"/>
      <c r="S369" s="176"/>
    </row>
    <row r="370" spans="1:19" s="37" customFormat="1">
      <c r="A370" s="157"/>
      <c r="B370" s="157"/>
      <c r="C370" s="87"/>
      <c r="D370" s="327"/>
      <c r="E370" s="105"/>
      <c r="F370" s="105"/>
      <c r="G370" s="313" t="s">
        <v>30</v>
      </c>
      <c r="H370" s="313" t="s">
        <v>30</v>
      </c>
      <c r="I370" s="313" t="s">
        <v>30</v>
      </c>
      <c r="J370" s="313" t="s">
        <v>30</v>
      </c>
      <c r="K370" s="313" t="s">
        <v>30</v>
      </c>
      <c r="L370" s="313"/>
      <c r="M370" s="54"/>
      <c r="N370" s="18"/>
      <c r="O370" s="11"/>
      <c r="P370" s="11"/>
      <c r="Q370" s="11"/>
      <c r="R370" s="11"/>
      <c r="S370" s="176"/>
    </row>
    <row r="371" spans="1:19" s="37" customFormat="1">
      <c r="A371" s="157" t="s">
        <v>12567</v>
      </c>
      <c r="B371" s="157" t="s">
        <v>10852</v>
      </c>
      <c r="C371" s="87">
        <v>685</v>
      </c>
      <c r="D371" s="104" t="str">
        <f>PROPER(IF(B371="Saneago",VLOOKUP(C371,'SANEAGO-FEV.2016'!A:B,2,0),IF(B371="Sinapi",VLOOKUP(C371,'SINAPI-FEV.2017'!A:D,2,0),IF(B371="Cotação",VLOOKUP(C371,COTAÇÃO!A:D,2,0),IF(B371="Composição",VLOOKUP(C371,COMPOSIÇÃO!A:D,2,0))))))</f>
        <v>Cx.De Passagem Alv.Tij.1/2 Com Tampa Conc.: 0,6 X 0,6 X 0,6 M</v>
      </c>
      <c r="E371" s="317"/>
      <c r="F371" s="317"/>
      <c r="G371" s="74"/>
      <c r="H371" s="84"/>
      <c r="I371" s="74"/>
      <c r="J371" s="74"/>
      <c r="K371" s="74"/>
      <c r="L371" s="79" t="s">
        <v>1274</v>
      </c>
      <c r="M371" s="52">
        <v>0</v>
      </c>
      <c r="N371" s="18"/>
      <c r="O371" s="11"/>
      <c r="P371" s="11"/>
      <c r="Q371" s="11"/>
      <c r="R371" s="11"/>
      <c r="S371" s="176"/>
    </row>
    <row r="372" spans="1:19" s="37" customFormat="1">
      <c r="A372" s="157"/>
      <c r="B372" s="157"/>
      <c r="C372" s="87"/>
      <c r="D372" s="327"/>
      <c r="E372" s="105"/>
      <c r="F372" s="105"/>
      <c r="G372" s="313" t="s">
        <v>30</v>
      </c>
      <c r="H372" s="313" t="s">
        <v>30</v>
      </c>
      <c r="I372" s="313" t="s">
        <v>30</v>
      </c>
      <c r="J372" s="313" t="s">
        <v>30</v>
      </c>
      <c r="K372" s="313" t="s">
        <v>30</v>
      </c>
      <c r="L372" s="313"/>
      <c r="M372" s="54"/>
      <c r="N372" s="18"/>
      <c r="O372" s="11"/>
      <c r="P372" s="11"/>
      <c r="Q372" s="11"/>
      <c r="R372" s="11"/>
      <c r="S372" s="176"/>
    </row>
    <row r="373" spans="1:19" s="37" customFormat="1">
      <c r="A373" s="157" t="s">
        <v>12568</v>
      </c>
      <c r="B373" s="157" t="s">
        <v>11720</v>
      </c>
      <c r="C373" s="87" t="s">
        <v>12671</v>
      </c>
      <c r="D373" s="104" t="str">
        <f>PROPER(IF(B373="Saneago",VLOOKUP(C373,'SANEAGO-FEV.2016'!A:B,2,0),IF(B373="Sinapi",VLOOKUP(C373,'SINAPI-FEV.2017'!A:D,2,0),IF(B373="Cotação",VLOOKUP(C373,COTAÇÃO!A:D,2,0),IF(B373="Composição",VLOOKUP(C373,COMPOSIÇÃO!A:D,2,0))))))</f>
        <v>Montagem De Material Hidráulico Do Reator</v>
      </c>
      <c r="E373" s="317"/>
      <c r="F373" s="317"/>
      <c r="G373" s="74"/>
      <c r="H373" s="84"/>
      <c r="I373" s="74"/>
      <c r="J373" s="74"/>
      <c r="K373" s="74"/>
      <c r="L373" s="79" t="s">
        <v>1274</v>
      </c>
      <c r="M373" s="52">
        <v>1</v>
      </c>
      <c r="N373" s="18"/>
      <c r="O373" s="11"/>
      <c r="P373" s="11"/>
      <c r="Q373" s="11"/>
      <c r="R373" s="11"/>
      <c r="S373" s="176"/>
    </row>
  </sheetData>
  <mergeCells count="49">
    <mergeCell ref="J363:K363"/>
    <mergeCell ref="F365:I365"/>
    <mergeCell ref="J365:K365"/>
    <mergeCell ref="F339:I339"/>
    <mergeCell ref="J339:K339"/>
    <mergeCell ref="E344:F344"/>
    <mergeCell ref="E345:F345"/>
    <mergeCell ref="F346:I346"/>
    <mergeCell ref="J346:K346"/>
    <mergeCell ref="G293:K293"/>
    <mergeCell ref="W293:AA293"/>
    <mergeCell ref="J294:K294"/>
    <mergeCell ref="W298:Z298"/>
    <mergeCell ref="W299:Z299"/>
    <mergeCell ref="G290:K290"/>
    <mergeCell ref="G291:K291"/>
    <mergeCell ref="W291:Z291"/>
    <mergeCell ref="G292:K292"/>
    <mergeCell ref="W292:Z292"/>
    <mergeCell ref="AB286:AE286"/>
    <mergeCell ref="P287:R287"/>
    <mergeCell ref="T287:V287"/>
    <mergeCell ref="AC287:AE287"/>
    <mergeCell ref="H288:K288"/>
    <mergeCell ref="G285:K285"/>
    <mergeCell ref="J286:K286"/>
    <mergeCell ref="O286:R286"/>
    <mergeCell ref="S286:V286"/>
    <mergeCell ref="W286:AA286"/>
    <mergeCell ref="J240:K240"/>
    <mergeCell ref="J279:K279"/>
    <mergeCell ref="H281:K281"/>
    <mergeCell ref="G283:K283"/>
    <mergeCell ref="G284:K284"/>
    <mergeCell ref="G92:H92"/>
    <mergeCell ref="J94:K94"/>
    <mergeCell ref="J159:K159"/>
    <mergeCell ref="J197:K197"/>
    <mergeCell ref="F200:H200"/>
    <mergeCell ref="E30:G30"/>
    <mergeCell ref="E33:G33"/>
    <mergeCell ref="E34:G34"/>
    <mergeCell ref="I45:K45"/>
    <mergeCell ref="G88:H88"/>
    <mergeCell ref="D1:M4"/>
    <mergeCell ref="D10:M10"/>
    <mergeCell ref="D12:M12"/>
    <mergeCell ref="E28:G28"/>
    <mergeCell ref="E29:G29"/>
  </mergeCells>
  <conditionalFormatting sqref="L43:M45 L198:M200 L337:M337 K374:M65536">
    <cfRule type="cellIs" dxfId="110" priority="111" operator="equal">
      <formula>0</formula>
    </cfRule>
  </conditionalFormatting>
  <conditionalFormatting sqref="L14">
    <cfRule type="cellIs" dxfId="109" priority="107" operator="equal">
      <formula>0</formula>
    </cfRule>
  </conditionalFormatting>
  <conditionalFormatting sqref="L94:M94 M91 L91:L92">
    <cfRule type="cellIs" dxfId="108" priority="101" operator="equal">
      <formula>0</formula>
    </cfRule>
  </conditionalFormatting>
  <conditionalFormatting sqref="L98:M99">
    <cfRule type="cellIs" dxfId="107" priority="100" operator="equal">
      <formula>0</formula>
    </cfRule>
  </conditionalFormatting>
  <conditionalFormatting sqref="L300:M300">
    <cfRule type="cellIs" dxfId="106" priority="104" operator="equal">
      <formula>0</formula>
    </cfRule>
  </conditionalFormatting>
  <conditionalFormatting sqref="L40:M40">
    <cfRule type="cellIs" dxfId="105" priority="102" operator="equal">
      <formula>0</formula>
    </cfRule>
  </conditionalFormatting>
  <conditionalFormatting sqref="L112:M112">
    <cfRule type="cellIs" dxfId="104" priority="97" operator="equal">
      <formula>0</formula>
    </cfRule>
  </conditionalFormatting>
  <conditionalFormatting sqref="L97:M97">
    <cfRule type="cellIs" dxfId="103" priority="99" operator="equal">
      <formula>0</formula>
    </cfRule>
  </conditionalFormatting>
  <conditionalFormatting sqref="M116">
    <cfRule type="cellIs" dxfId="102" priority="91" operator="equal">
      <formula>0</formula>
    </cfRule>
  </conditionalFormatting>
  <conditionalFormatting sqref="L299:M299">
    <cfRule type="cellIs" dxfId="101" priority="87" operator="equal">
      <formula>0</formula>
    </cfRule>
  </conditionalFormatting>
  <conditionalFormatting sqref="L111:M111">
    <cfRule type="cellIs" dxfId="100" priority="96" operator="equal">
      <formula>0</formula>
    </cfRule>
  </conditionalFormatting>
  <conditionalFormatting sqref="L114">
    <cfRule type="cellIs" dxfId="99" priority="95" operator="equal">
      <formula>0</formula>
    </cfRule>
  </conditionalFormatting>
  <conditionalFormatting sqref="L113:M113">
    <cfRule type="cellIs" dxfId="98" priority="94" operator="equal">
      <formula>0</formula>
    </cfRule>
  </conditionalFormatting>
  <conditionalFormatting sqref="L116">
    <cfRule type="cellIs" dxfId="97" priority="93" operator="equal">
      <formula>0</formula>
    </cfRule>
  </conditionalFormatting>
  <conditionalFormatting sqref="L115:M115">
    <cfRule type="cellIs" dxfId="96" priority="92" operator="equal">
      <formula>0</formula>
    </cfRule>
  </conditionalFormatting>
  <conditionalFormatting sqref="L366:M366">
    <cfRule type="cellIs" dxfId="95" priority="88" operator="equal">
      <formula>0</formula>
    </cfRule>
  </conditionalFormatting>
  <conditionalFormatting sqref="L117:M117">
    <cfRule type="cellIs" dxfId="94" priority="89" operator="equal">
      <formula>0</formula>
    </cfRule>
  </conditionalFormatting>
  <conditionalFormatting sqref="L42:M42">
    <cfRule type="cellIs" dxfId="93" priority="82" operator="equal">
      <formula>0</formula>
    </cfRule>
  </conditionalFormatting>
  <conditionalFormatting sqref="L49:M50">
    <cfRule type="cellIs" dxfId="92" priority="84" operator="equal">
      <formula>0</formula>
    </cfRule>
  </conditionalFormatting>
  <conditionalFormatting sqref="L37:M37">
    <cfRule type="cellIs" dxfId="91" priority="85" operator="equal">
      <formula>0</formula>
    </cfRule>
  </conditionalFormatting>
  <conditionalFormatting sqref="L41:M41">
    <cfRule type="cellIs" dxfId="90" priority="83" operator="equal">
      <formula>0</formula>
    </cfRule>
  </conditionalFormatting>
  <conditionalFormatting sqref="L88">
    <cfRule type="cellIs" dxfId="89" priority="78" operator="equal">
      <formula>0</formula>
    </cfRule>
  </conditionalFormatting>
  <conditionalFormatting sqref="L90:M92">
    <cfRule type="cellIs" dxfId="88" priority="77" operator="equal">
      <formula>0</formula>
    </cfRule>
  </conditionalFormatting>
  <conditionalFormatting sqref="L55:M55">
    <cfRule type="cellIs" dxfId="87" priority="81" operator="equal">
      <formula>0</formula>
    </cfRule>
  </conditionalFormatting>
  <conditionalFormatting sqref="M51">
    <cfRule type="cellIs" dxfId="86" priority="79" operator="equal">
      <formula>0</formula>
    </cfRule>
  </conditionalFormatting>
  <conditionalFormatting sqref="L56:M56">
    <cfRule type="cellIs" dxfId="85" priority="80" operator="equal">
      <formula>0</formula>
    </cfRule>
  </conditionalFormatting>
  <conditionalFormatting sqref="M13:M14">
    <cfRule type="cellIs" dxfId="84" priority="72" operator="equal">
      <formula>0</formula>
    </cfRule>
  </conditionalFormatting>
  <conditionalFormatting sqref="L95:M95">
    <cfRule type="cellIs" dxfId="83" priority="76" operator="equal">
      <formula>0</formula>
    </cfRule>
  </conditionalFormatting>
  <conditionalFormatting sqref="L96:M96">
    <cfRule type="cellIs" dxfId="82" priority="75" operator="equal">
      <formula>0</formula>
    </cfRule>
  </conditionalFormatting>
  <conditionalFormatting sqref="G95:K95">
    <cfRule type="cellIs" dxfId="81" priority="74" operator="equal">
      <formula>0</formula>
    </cfRule>
  </conditionalFormatting>
  <conditionalFormatting sqref="L33:M33">
    <cfRule type="cellIs" dxfId="80" priority="69" operator="equal">
      <formula>0</formula>
    </cfRule>
  </conditionalFormatting>
  <conditionalFormatting sqref="G96:K96">
    <cfRule type="cellIs" dxfId="79" priority="73" operator="equal">
      <formula>0</formula>
    </cfRule>
  </conditionalFormatting>
  <conditionalFormatting sqref="L89:M89">
    <cfRule type="cellIs" dxfId="78" priority="68" operator="equal">
      <formula>0</formula>
    </cfRule>
  </conditionalFormatting>
  <conditionalFormatting sqref="M88">
    <cfRule type="cellIs" dxfId="77" priority="67" operator="equal">
      <formula>0</formula>
    </cfRule>
  </conditionalFormatting>
  <conditionalFormatting sqref="L368:M369">
    <cfRule type="cellIs" dxfId="76" priority="63" operator="equal">
      <formula>0</formula>
    </cfRule>
  </conditionalFormatting>
  <conditionalFormatting sqref="M93">
    <cfRule type="cellIs" dxfId="75" priority="65" operator="equal">
      <formula>0</formula>
    </cfRule>
  </conditionalFormatting>
  <conditionalFormatting sqref="L93">
    <cfRule type="cellIs" dxfId="74" priority="66" operator="equal">
      <formula>0</formula>
    </cfRule>
  </conditionalFormatting>
  <conditionalFormatting sqref="L295">
    <cfRule type="cellIs" dxfId="73" priority="64" operator="equal">
      <formula>0</formula>
    </cfRule>
  </conditionalFormatting>
  <conditionalFormatting sqref="L36">
    <cfRule type="cellIs" dxfId="72" priority="70" operator="equal">
      <formula>0</formula>
    </cfRule>
  </conditionalFormatting>
  <conditionalFormatting sqref="M31">
    <cfRule type="cellIs" dxfId="71" priority="62" operator="equal">
      <formula>0</formula>
    </cfRule>
  </conditionalFormatting>
  <conditionalFormatting sqref="L346">
    <cfRule type="cellIs" dxfId="70" priority="60" operator="equal">
      <formula>0</formula>
    </cfRule>
  </conditionalFormatting>
  <conditionalFormatting sqref="L339:M339 L341:M343 M344:M345">
    <cfRule type="cellIs" dxfId="69" priority="61" operator="equal">
      <formula>0</formula>
    </cfRule>
  </conditionalFormatting>
  <conditionalFormatting sqref="D12">
    <cfRule type="cellIs" dxfId="68" priority="110" operator="equal">
      <formula>0</formula>
    </cfRule>
  </conditionalFormatting>
  <conditionalFormatting sqref="K5:M9 K25:M25 L13 K11:M11 L32:M32 L31">
    <cfRule type="cellIs" dxfId="67" priority="109" operator="equal">
      <formula>0</formula>
    </cfRule>
  </conditionalFormatting>
  <conditionalFormatting sqref="L15:M24">
    <cfRule type="cellIs" dxfId="66" priority="108" operator="equal">
      <formula>0</formula>
    </cfRule>
  </conditionalFormatting>
  <conditionalFormatting sqref="D39">
    <cfRule type="cellIs" dxfId="65" priority="103" operator="equal">
      <formula>0</formula>
    </cfRule>
  </conditionalFormatting>
  <conditionalFormatting sqref="D10">
    <cfRule type="cellIs" dxfId="64" priority="106" operator="equal">
      <formula>0</formula>
    </cfRule>
  </conditionalFormatting>
  <conditionalFormatting sqref="D38">
    <cfRule type="cellIs" dxfId="63" priority="105" operator="equal">
      <formula>0</formula>
    </cfRule>
  </conditionalFormatting>
  <conditionalFormatting sqref="D110">
    <cfRule type="cellIs" dxfId="62" priority="98" operator="equal">
      <formula>0</formula>
    </cfRule>
  </conditionalFormatting>
  <conditionalFormatting sqref="D301">
    <cfRule type="cellIs" dxfId="61" priority="90" operator="equal">
      <formula>0</formula>
    </cfRule>
  </conditionalFormatting>
  <conditionalFormatting sqref="D26">
    <cfRule type="cellIs" dxfId="60" priority="86" operator="equal">
      <formula>0</formula>
    </cfRule>
  </conditionalFormatting>
  <conditionalFormatting sqref="D367">
    <cfRule type="cellIs" dxfId="59" priority="71" operator="equal">
      <formula>0</formula>
    </cfRule>
  </conditionalFormatting>
  <conditionalFormatting sqref="M346">
    <cfRule type="cellIs" dxfId="58" priority="59" operator="equal">
      <formula>0</formula>
    </cfRule>
  </conditionalFormatting>
  <conditionalFormatting sqref="L34:M35">
    <cfRule type="cellIs" dxfId="57" priority="54" operator="equal">
      <formula>0</formula>
    </cfRule>
  </conditionalFormatting>
  <conditionalFormatting sqref="L338">
    <cfRule type="cellIs" dxfId="56" priority="55" operator="equal">
      <formula>0</formula>
    </cfRule>
  </conditionalFormatting>
  <conditionalFormatting sqref="L51">
    <cfRule type="cellIs" dxfId="55" priority="58" operator="equal">
      <formula>0</formula>
    </cfRule>
  </conditionalFormatting>
  <conditionalFormatting sqref="D118">
    <cfRule type="cellIs" dxfId="54" priority="57" operator="equal">
      <formula>0</formula>
    </cfRule>
  </conditionalFormatting>
  <conditionalFormatting sqref="M338">
    <cfRule type="cellIs" dxfId="53" priority="56" operator="equal">
      <formula>0</formula>
    </cfRule>
  </conditionalFormatting>
  <conditionalFormatting sqref="M36">
    <cfRule type="cellIs" dxfId="52" priority="53" operator="equal">
      <formula>0</formula>
    </cfRule>
  </conditionalFormatting>
  <conditionalFormatting sqref="L46:M47">
    <cfRule type="cellIs" dxfId="51" priority="52" operator="equal">
      <formula>0</formula>
    </cfRule>
  </conditionalFormatting>
  <conditionalFormatting sqref="L52:M53">
    <cfRule type="cellIs" dxfId="50" priority="51" operator="equal">
      <formula>0</formula>
    </cfRule>
  </conditionalFormatting>
  <conditionalFormatting sqref="M48">
    <cfRule type="cellIs" dxfId="49" priority="50" operator="equal">
      <formula>0</formula>
    </cfRule>
  </conditionalFormatting>
  <conditionalFormatting sqref="L48">
    <cfRule type="cellIs" dxfId="48" priority="49" operator="equal">
      <formula>0</formula>
    </cfRule>
  </conditionalFormatting>
  <conditionalFormatting sqref="M54">
    <cfRule type="cellIs" dxfId="47" priority="48" operator="equal">
      <formula>0</formula>
    </cfRule>
  </conditionalFormatting>
  <conditionalFormatting sqref="L54">
    <cfRule type="cellIs" dxfId="46" priority="47" operator="equal">
      <formula>0</formula>
    </cfRule>
  </conditionalFormatting>
  <conditionalFormatting sqref="L57:M57 L59:M59 L61 L63 L65 L67 L69 L71 L73 L75 L77 L79 L81 L83 L85:M85">
    <cfRule type="cellIs" dxfId="45" priority="46" operator="equal">
      <formula>0</formula>
    </cfRule>
  </conditionalFormatting>
  <conditionalFormatting sqref="L58:M58 L60:M60 L62 L64 L66 L68 L70 L72 L74 L76 L78 L80 L82 L84 L86:M86">
    <cfRule type="cellIs" dxfId="44" priority="45" operator="equal">
      <formula>0</formula>
    </cfRule>
  </conditionalFormatting>
  <conditionalFormatting sqref="M61">
    <cfRule type="cellIs" dxfId="43" priority="44" operator="equal">
      <formula>0</formula>
    </cfRule>
  </conditionalFormatting>
  <conditionalFormatting sqref="M73">
    <cfRule type="cellIs" dxfId="42" priority="36" operator="equal">
      <formula>0</formula>
    </cfRule>
  </conditionalFormatting>
  <conditionalFormatting sqref="M74">
    <cfRule type="cellIs" dxfId="41" priority="35" operator="equal">
      <formula>0</formula>
    </cfRule>
  </conditionalFormatting>
  <conditionalFormatting sqref="M64 M66">
    <cfRule type="cellIs" dxfId="40" priority="41" operator="equal">
      <formula>0</formula>
    </cfRule>
  </conditionalFormatting>
  <conditionalFormatting sqref="M67">
    <cfRule type="cellIs" dxfId="39" priority="40" operator="equal">
      <formula>0</formula>
    </cfRule>
  </conditionalFormatting>
  <conditionalFormatting sqref="M69 M71">
    <cfRule type="cellIs" dxfId="38" priority="38" operator="equal">
      <formula>0</formula>
    </cfRule>
  </conditionalFormatting>
  <conditionalFormatting sqref="M68">
    <cfRule type="cellIs" dxfId="37" priority="39" operator="equal">
      <formula>0</formula>
    </cfRule>
  </conditionalFormatting>
  <conditionalFormatting sqref="M75 M77">
    <cfRule type="cellIs" dxfId="36" priority="34" operator="equal">
      <formula>0</formula>
    </cfRule>
  </conditionalFormatting>
  <conditionalFormatting sqref="M70 M72">
    <cfRule type="cellIs" dxfId="35" priority="37" operator="equal">
      <formula>0</formula>
    </cfRule>
  </conditionalFormatting>
  <conditionalFormatting sqref="M62">
    <cfRule type="cellIs" dxfId="34" priority="43" operator="equal">
      <formula>0</formula>
    </cfRule>
  </conditionalFormatting>
  <conditionalFormatting sqref="M63 M65">
    <cfRule type="cellIs" dxfId="33" priority="42" operator="equal">
      <formula>0</formula>
    </cfRule>
  </conditionalFormatting>
  <conditionalFormatting sqref="M76 M78">
    <cfRule type="cellIs" dxfId="32" priority="33" operator="equal">
      <formula>0</formula>
    </cfRule>
  </conditionalFormatting>
  <conditionalFormatting sqref="M80">
    <cfRule type="cellIs" dxfId="31" priority="31" operator="equal">
      <formula>0</formula>
    </cfRule>
  </conditionalFormatting>
  <conditionalFormatting sqref="M79">
    <cfRule type="cellIs" dxfId="30" priority="32" operator="equal">
      <formula>0</formula>
    </cfRule>
  </conditionalFormatting>
  <conditionalFormatting sqref="M81 M83">
    <cfRule type="cellIs" dxfId="29" priority="30" operator="equal">
      <formula>0</formula>
    </cfRule>
  </conditionalFormatting>
  <conditionalFormatting sqref="M82 M84">
    <cfRule type="cellIs" dxfId="28" priority="29" operator="equal">
      <formula>0</formula>
    </cfRule>
  </conditionalFormatting>
  <conditionalFormatting sqref="L101:M101">
    <cfRule type="cellIs" dxfId="27" priority="18" operator="equal">
      <formula>0</formula>
    </cfRule>
  </conditionalFormatting>
  <conditionalFormatting sqref="M114">
    <cfRule type="cellIs" dxfId="26" priority="17" operator="equal">
      <formula>0</formula>
    </cfRule>
  </conditionalFormatting>
  <conditionalFormatting sqref="L121:M121">
    <cfRule type="cellIs" dxfId="25" priority="16" operator="equal">
      <formula>0</formula>
    </cfRule>
  </conditionalFormatting>
  <conditionalFormatting sqref="L104:M104">
    <cfRule type="cellIs" dxfId="24" priority="27" operator="equal">
      <formula>0</formula>
    </cfRule>
  </conditionalFormatting>
  <conditionalFormatting sqref="L103:M103">
    <cfRule type="cellIs" dxfId="23" priority="26" operator="equal">
      <formula>0</formula>
    </cfRule>
  </conditionalFormatting>
  <conditionalFormatting sqref="L106:M106">
    <cfRule type="cellIs" dxfId="22" priority="25" operator="equal">
      <formula>0</formula>
    </cfRule>
  </conditionalFormatting>
  <conditionalFormatting sqref="L105:M105">
    <cfRule type="cellIs" dxfId="21" priority="24" operator="equal">
      <formula>0</formula>
    </cfRule>
  </conditionalFormatting>
  <conditionalFormatting sqref="L107:M107">
    <cfRule type="cellIs" dxfId="20" priority="22" operator="equal">
      <formula>0</formula>
    </cfRule>
  </conditionalFormatting>
  <conditionalFormatting sqref="L108">
    <cfRule type="cellIs" dxfId="19" priority="23" operator="equal">
      <formula>0</formula>
    </cfRule>
  </conditionalFormatting>
  <conditionalFormatting sqref="M108">
    <cfRule type="cellIs" dxfId="18" priority="21" operator="equal">
      <formula>0</formula>
    </cfRule>
  </conditionalFormatting>
  <conditionalFormatting sqref="L109:M109">
    <cfRule type="cellIs" dxfId="17" priority="20" operator="equal">
      <formula>0</formula>
    </cfRule>
  </conditionalFormatting>
  <conditionalFormatting sqref="L102:M102">
    <cfRule type="cellIs" dxfId="16" priority="19" operator="equal">
      <formula>0</formula>
    </cfRule>
  </conditionalFormatting>
  <conditionalFormatting sqref="D100">
    <cfRule type="cellIs" dxfId="15" priority="28" operator="equal">
      <formula>0</formula>
    </cfRule>
  </conditionalFormatting>
  <conditionalFormatting sqref="L201:M201">
    <cfRule type="cellIs" dxfId="14" priority="15" operator="equal">
      <formula>0</formula>
    </cfRule>
  </conditionalFormatting>
  <conditionalFormatting sqref="L280:L288">
    <cfRule type="cellIs" dxfId="13" priority="14" operator="equal">
      <formula>0</formula>
    </cfRule>
  </conditionalFormatting>
  <conditionalFormatting sqref="M280:M288">
    <cfRule type="cellIs" dxfId="12" priority="13" operator="equal">
      <formula>0</formula>
    </cfRule>
  </conditionalFormatting>
  <conditionalFormatting sqref="L289:L294">
    <cfRule type="cellIs" dxfId="11" priority="12" operator="equal">
      <formula>0</formula>
    </cfRule>
  </conditionalFormatting>
  <conditionalFormatting sqref="M289:M294">
    <cfRule type="cellIs" dxfId="10" priority="11" operator="equal">
      <formula>0</formula>
    </cfRule>
  </conditionalFormatting>
  <conditionalFormatting sqref="M295">
    <cfRule type="cellIs" dxfId="9" priority="10" operator="equal">
      <formula>0</formula>
    </cfRule>
  </conditionalFormatting>
  <conditionalFormatting sqref="M297">
    <cfRule type="cellIs" dxfId="8" priority="8" operator="equal">
      <formula>0</formula>
    </cfRule>
  </conditionalFormatting>
  <conditionalFormatting sqref="L297">
    <cfRule type="cellIs" dxfId="7" priority="9" operator="equal">
      <formula>0</formula>
    </cfRule>
  </conditionalFormatting>
  <conditionalFormatting sqref="M363">
    <cfRule type="cellIs" dxfId="6" priority="6" operator="equal">
      <formula>0</formula>
    </cfRule>
  </conditionalFormatting>
  <conditionalFormatting sqref="L363">
    <cfRule type="cellIs" dxfId="5" priority="7" operator="equal">
      <formula>0</formula>
    </cfRule>
  </conditionalFormatting>
  <conditionalFormatting sqref="M365">
    <cfRule type="cellIs" dxfId="4" priority="4" operator="equal">
      <formula>0</formula>
    </cfRule>
  </conditionalFormatting>
  <conditionalFormatting sqref="L365">
    <cfRule type="cellIs" dxfId="3" priority="5" operator="equal">
      <formula>0</formula>
    </cfRule>
  </conditionalFormatting>
  <conditionalFormatting sqref="L344:L345">
    <cfRule type="cellIs" dxfId="2" priority="3" operator="equal">
      <formula>0</formula>
    </cfRule>
  </conditionalFormatting>
  <conditionalFormatting sqref="L371 L373">
    <cfRule type="cellIs" dxfId="1" priority="1" operator="equal">
      <formula>0</formula>
    </cfRule>
  </conditionalFormatting>
  <conditionalFormatting sqref="L370:M370 L372:M372 M371 M373">
    <cfRule type="cellIs" dxfId="0" priority="2" operator="equal">
      <formula>0</formula>
    </cfRule>
  </conditionalFormatting>
  <pageMargins left="0.511811024" right="0.511811024" top="0.78740157499999996" bottom="0.78740157499999996" header="0.31496062000000002" footer="0.31496062000000002"/>
  <pageSetup paperSize="9" scale="49" orientation="portrait" horizontalDpi="1200" verticalDpi="1200"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A38"/>
  <sheetViews>
    <sheetView zoomScaleNormal="100" zoomScaleSheetLayoutView="100" workbookViewId="0">
      <selection activeCell="G9" sqref="G9"/>
    </sheetView>
  </sheetViews>
  <sheetFormatPr defaultRowHeight="15"/>
  <cols>
    <col min="1" max="2" width="16" style="748" customWidth="1"/>
    <col min="3" max="3" width="7.42578125" style="748" bestFit="1" customWidth="1"/>
    <col min="4" max="4" width="7.85546875" style="748" customWidth="1"/>
    <col min="5" max="5" width="18.28515625" style="748" bestFit="1" customWidth="1"/>
    <col min="6" max="16384" width="9.140625" style="748"/>
  </cols>
  <sheetData>
    <row r="1" spans="1:79" s="738" customFormat="1" ht="18" customHeight="1">
      <c r="A1" s="1788" t="s">
        <v>11953</v>
      </c>
      <c r="B1" s="1789"/>
      <c r="C1" s="1789"/>
      <c r="D1" s="1789"/>
      <c r="E1" s="1790"/>
      <c r="F1" s="736"/>
      <c r="G1" s="736"/>
      <c r="H1" s="736"/>
      <c r="I1" s="737"/>
      <c r="J1" s="737"/>
      <c r="K1" s="737"/>
      <c r="L1" s="737"/>
      <c r="R1" s="737"/>
      <c r="AF1" s="737"/>
      <c r="AG1" s="737"/>
      <c r="AH1" s="737"/>
      <c r="AI1" s="737"/>
      <c r="AJ1" s="737"/>
      <c r="AK1" s="737"/>
      <c r="AL1" s="737"/>
      <c r="AM1" s="737"/>
      <c r="AN1" s="737"/>
      <c r="AO1" s="737"/>
      <c r="AP1" s="737"/>
      <c r="AQ1" s="737"/>
      <c r="AR1" s="737"/>
      <c r="AS1" s="737"/>
      <c r="AT1" s="737"/>
      <c r="AU1" s="737"/>
      <c r="AV1" s="737"/>
      <c r="AW1" s="737"/>
      <c r="AX1" s="737"/>
      <c r="AY1" s="737"/>
      <c r="AZ1" s="737"/>
      <c r="BA1" s="737"/>
      <c r="BB1" s="737"/>
      <c r="BC1" s="737"/>
      <c r="BD1" s="737"/>
      <c r="BE1" s="737"/>
      <c r="BF1" s="737"/>
      <c r="BG1" s="737"/>
      <c r="BH1" s="737"/>
      <c r="BI1" s="737"/>
      <c r="BJ1" s="737"/>
      <c r="BK1" s="737"/>
      <c r="BL1" s="737"/>
      <c r="BM1" s="737"/>
      <c r="BN1" s="737"/>
      <c r="BO1" s="737"/>
      <c r="BP1" s="737"/>
      <c r="BQ1" s="737"/>
      <c r="BR1" s="737"/>
      <c r="BS1" s="737"/>
      <c r="BT1" s="737"/>
      <c r="BU1" s="737"/>
      <c r="BV1" s="737"/>
      <c r="BW1" s="737"/>
      <c r="BX1" s="737"/>
      <c r="BY1" s="737"/>
      <c r="BZ1" s="737"/>
      <c r="CA1" s="737"/>
    </row>
    <row r="2" spans="1:79" s="738" customFormat="1" ht="6.75" customHeight="1">
      <c r="A2" s="739"/>
      <c r="B2" s="739"/>
      <c r="C2" s="739"/>
      <c r="D2" s="739"/>
      <c r="E2" s="739"/>
      <c r="F2" s="736"/>
      <c r="G2" s="736"/>
      <c r="H2" s="736"/>
      <c r="I2" s="737"/>
      <c r="J2" s="737"/>
      <c r="K2" s="737"/>
      <c r="L2" s="737"/>
      <c r="R2" s="737"/>
      <c r="AF2" s="737"/>
      <c r="AG2" s="737"/>
      <c r="AH2" s="737"/>
      <c r="AI2" s="737"/>
      <c r="AJ2" s="737"/>
      <c r="AK2" s="737"/>
      <c r="AL2" s="737"/>
      <c r="AM2" s="737"/>
      <c r="AN2" s="737"/>
      <c r="AO2" s="737"/>
      <c r="AP2" s="737"/>
      <c r="AQ2" s="737"/>
      <c r="AR2" s="737"/>
      <c r="AS2" s="737"/>
      <c r="AT2" s="737"/>
      <c r="AU2" s="737"/>
      <c r="AV2" s="737"/>
      <c r="AW2" s="737"/>
      <c r="AX2" s="737"/>
      <c r="AY2" s="737"/>
      <c r="AZ2" s="737"/>
      <c r="BA2" s="737"/>
      <c r="BB2" s="737"/>
      <c r="BC2" s="737"/>
      <c r="BD2" s="737"/>
      <c r="BE2" s="737"/>
      <c r="BF2" s="737"/>
      <c r="BG2" s="737"/>
      <c r="BH2" s="737"/>
      <c r="BI2" s="737"/>
      <c r="BJ2" s="737"/>
      <c r="BK2" s="737"/>
      <c r="BL2" s="737"/>
      <c r="BM2" s="737"/>
      <c r="BN2" s="737"/>
      <c r="BO2" s="737"/>
      <c r="BP2" s="737"/>
      <c r="BQ2" s="737"/>
      <c r="BR2" s="737"/>
      <c r="BS2" s="737"/>
      <c r="BT2" s="737"/>
      <c r="BU2" s="737"/>
      <c r="BV2" s="737"/>
      <c r="BW2" s="737"/>
      <c r="BX2" s="737"/>
      <c r="BY2" s="737"/>
      <c r="BZ2" s="737"/>
      <c r="CA2" s="737"/>
    </row>
    <row r="3" spans="1:79" s="738" customFormat="1" ht="11.25" customHeight="1">
      <c r="A3" s="1791" t="s">
        <v>11632</v>
      </c>
      <c r="B3" s="1792"/>
      <c r="C3" s="1793" t="s">
        <v>28</v>
      </c>
      <c r="D3" s="1793"/>
      <c r="E3" s="1794"/>
      <c r="F3" s="736"/>
      <c r="L3" s="737"/>
      <c r="R3" s="737"/>
      <c r="AF3" s="737"/>
      <c r="AG3" s="737"/>
      <c r="AH3" s="737"/>
      <c r="AI3" s="737"/>
      <c r="AJ3" s="737"/>
      <c r="AK3" s="737"/>
      <c r="AL3" s="737"/>
      <c r="AM3" s="737"/>
      <c r="AN3" s="737"/>
      <c r="AO3" s="737"/>
      <c r="AP3" s="737"/>
      <c r="AQ3" s="737"/>
      <c r="AR3" s="737"/>
      <c r="AS3" s="737"/>
      <c r="AT3" s="737"/>
      <c r="AU3" s="737"/>
      <c r="AV3" s="737"/>
      <c r="AW3" s="737"/>
      <c r="AX3" s="737"/>
      <c r="AY3" s="737"/>
      <c r="AZ3" s="737"/>
      <c r="BA3" s="737"/>
      <c r="BB3" s="737"/>
      <c r="BC3" s="737"/>
      <c r="BD3" s="737"/>
      <c r="BE3" s="737"/>
      <c r="BF3" s="737"/>
      <c r="BG3" s="737"/>
      <c r="BH3" s="737"/>
      <c r="BI3" s="737"/>
      <c r="BJ3" s="737"/>
      <c r="BK3" s="737"/>
      <c r="BL3" s="737"/>
      <c r="BM3" s="737"/>
      <c r="BN3" s="737"/>
      <c r="BO3" s="737"/>
      <c r="BP3" s="737"/>
      <c r="BQ3" s="737"/>
      <c r="BR3" s="737"/>
      <c r="BS3" s="737"/>
      <c r="BT3" s="737"/>
      <c r="BU3" s="737"/>
      <c r="BV3" s="737"/>
      <c r="BW3" s="737"/>
      <c r="BX3" s="737"/>
      <c r="BY3" s="737"/>
      <c r="BZ3" s="737"/>
      <c r="CA3" s="737"/>
    </row>
    <row r="4" spans="1:79" s="738" customFormat="1" ht="11.25">
      <c r="A4" s="1795" t="s">
        <v>11647</v>
      </c>
      <c r="B4" s="1796"/>
      <c r="C4" s="740" t="s">
        <v>11646</v>
      </c>
      <c r="D4" s="740">
        <v>2.5</v>
      </c>
      <c r="E4" s="741" t="s">
        <v>18</v>
      </c>
      <c r="F4" s="736"/>
      <c r="L4" s="737"/>
      <c r="R4" s="737"/>
      <c r="AF4" s="737"/>
      <c r="AG4" s="737"/>
      <c r="AH4" s="737"/>
      <c r="AI4" s="737"/>
      <c r="AJ4" s="737"/>
      <c r="AK4" s="737"/>
      <c r="AL4" s="737"/>
      <c r="AM4" s="737"/>
      <c r="AN4" s="737"/>
      <c r="AO4" s="737"/>
      <c r="AP4" s="737"/>
      <c r="AQ4" s="737"/>
      <c r="AR4" s="737"/>
      <c r="AS4" s="737"/>
      <c r="AT4" s="737"/>
      <c r="AU4" s="737"/>
      <c r="AV4" s="737"/>
      <c r="AW4" s="737"/>
      <c r="AX4" s="737"/>
      <c r="AY4" s="737"/>
      <c r="AZ4" s="737"/>
      <c r="BA4" s="737"/>
      <c r="BB4" s="737"/>
      <c r="BC4" s="737"/>
      <c r="BD4" s="737"/>
      <c r="BE4" s="737"/>
      <c r="BF4" s="737"/>
      <c r="BG4" s="737"/>
      <c r="BH4" s="737"/>
      <c r="BI4" s="737"/>
      <c r="BJ4" s="737"/>
      <c r="BK4" s="737"/>
      <c r="BL4" s="737"/>
      <c r="BM4" s="737"/>
      <c r="BN4" s="737"/>
      <c r="BO4" s="737"/>
      <c r="BP4" s="737"/>
      <c r="BQ4" s="737"/>
      <c r="BR4" s="737"/>
      <c r="BS4" s="737"/>
      <c r="BT4" s="737"/>
      <c r="BU4" s="737"/>
      <c r="BV4" s="737"/>
      <c r="BW4" s="737"/>
      <c r="BX4" s="737"/>
      <c r="BY4" s="737"/>
      <c r="BZ4" s="737"/>
      <c r="CA4" s="737"/>
    </row>
    <row r="5" spans="1:79" s="738" customFormat="1" ht="11.25">
      <c r="A5" s="1797" t="s">
        <v>11645</v>
      </c>
      <c r="B5" s="1798"/>
      <c r="C5" s="742" t="s">
        <v>11648</v>
      </c>
      <c r="D5" s="742">
        <v>2.5</v>
      </c>
      <c r="E5" s="743" t="s">
        <v>18</v>
      </c>
      <c r="F5" s="736"/>
      <c r="L5" s="737"/>
      <c r="R5" s="737"/>
      <c r="S5" s="737"/>
      <c r="T5" s="737"/>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c r="AT5" s="737"/>
      <c r="AU5" s="737"/>
      <c r="AV5" s="737"/>
      <c r="AW5" s="737"/>
      <c r="AX5" s="737"/>
      <c r="AY5" s="737"/>
      <c r="AZ5" s="737"/>
      <c r="BA5" s="737"/>
      <c r="BB5" s="737"/>
      <c r="BC5" s="737"/>
      <c r="BD5" s="737"/>
      <c r="BE5" s="737"/>
      <c r="BF5" s="737"/>
      <c r="BG5" s="737"/>
      <c r="BH5" s="737"/>
      <c r="BI5" s="737"/>
      <c r="BJ5" s="737"/>
      <c r="BK5" s="737"/>
      <c r="BL5" s="737"/>
      <c r="BM5" s="737"/>
      <c r="BN5" s="737"/>
      <c r="BO5" s="737"/>
      <c r="BP5" s="737"/>
      <c r="BQ5" s="737"/>
      <c r="BR5" s="737"/>
      <c r="BS5" s="737"/>
      <c r="BT5" s="737"/>
      <c r="BU5" s="737"/>
      <c r="BV5" s="737"/>
      <c r="BW5" s="737"/>
      <c r="BX5" s="737"/>
      <c r="BY5" s="737"/>
      <c r="BZ5" s="737"/>
      <c r="CA5" s="737"/>
    </row>
    <row r="6" spans="1:79" s="738" customFormat="1" ht="11.25">
      <c r="A6" s="744"/>
      <c r="B6" s="744"/>
      <c r="C6" s="736"/>
      <c r="D6" s="736"/>
      <c r="E6" s="745"/>
      <c r="F6" s="736"/>
      <c r="L6" s="737"/>
      <c r="R6" s="737"/>
      <c r="S6" s="737"/>
      <c r="T6" s="737"/>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c r="AT6" s="737"/>
      <c r="AU6" s="737"/>
      <c r="AV6" s="737"/>
      <c r="AW6" s="737"/>
      <c r="AX6" s="737"/>
      <c r="AY6" s="737"/>
      <c r="AZ6" s="737"/>
      <c r="BA6" s="737"/>
      <c r="BB6" s="737"/>
      <c r="BC6" s="737"/>
      <c r="BD6" s="737"/>
      <c r="BE6" s="737"/>
      <c r="BF6" s="737"/>
      <c r="BG6" s="737"/>
      <c r="BH6" s="737"/>
      <c r="BI6" s="737"/>
      <c r="BJ6" s="737"/>
      <c r="BK6" s="737"/>
      <c r="BL6" s="737"/>
      <c r="BM6" s="737"/>
      <c r="BN6" s="737"/>
      <c r="BO6" s="737"/>
      <c r="BP6" s="737"/>
      <c r="BQ6" s="737"/>
      <c r="BR6" s="737"/>
      <c r="BS6" s="737"/>
      <c r="BT6" s="737"/>
      <c r="BU6" s="737"/>
      <c r="BV6" s="737"/>
      <c r="BW6" s="737"/>
      <c r="BX6" s="737"/>
      <c r="BY6" s="737"/>
      <c r="BZ6" s="737"/>
      <c r="CA6" s="737"/>
    </row>
    <row r="7" spans="1:79" s="738" customFormat="1" ht="11.25" customHeight="1">
      <c r="A7" s="1791" t="s">
        <v>11645</v>
      </c>
      <c r="B7" s="1792"/>
      <c r="C7" s="1792"/>
      <c r="D7" s="1792"/>
      <c r="E7" s="1799"/>
      <c r="F7" s="736"/>
      <c r="L7" s="737"/>
      <c r="R7" s="737"/>
      <c r="S7" s="737"/>
      <c r="T7" s="737"/>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c r="AT7" s="737"/>
      <c r="AU7" s="737"/>
      <c r="AV7" s="737"/>
      <c r="AW7" s="737"/>
      <c r="AX7" s="737"/>
      <c r="AY7" s="737"/>
      <c r="AZ7" s="737"/>
      <c r="BA7" s="737"/>
      <c r="BB7" s="737"/>
      <c r="BC7" s="737"/>
      <c r="BD7" s="737"/>
      <c r="BE7" s="737"/>
      <c r="BF7" s="737"/>
      <c r="BG7" s="737"/>
      <c r="BH7" s="737"/>
      <c r="BI7" s="737"/>
      <c r="BJ7" s="737"/>
      <c r="BK7" s="737"/>
      <c r="BL7" s="737"/>
      <c r="BM7" s="737"/>
      <c r="BN7" s="737"/>
      <c r="BO7" s="737"/>
      <c r="BP7" s="737"/>
      <c r="BQ7" s="737"/>
      <c r="BR7" s="737"/>
      <c r="BS7" s="737"/>
      <c r="BT7" s="737"/>
      <c r="BU7" s="737"/>
      <c r="BV7" s="737"/>
      <c r="BW7" s="737"/>
      <c r="BX7" s="737"/>
      <c r="BY7" s="737"/>
      <c r="BZ7" s="737"/>
      <c r="CA7" s="737"/>
    </row>
    <row r="8" spans="1:79" s="738" customFormat="1" ht="11.25">
      <c r="A8" s="1800" t="s">
        <v>11649</v>
      </c>
      <c r="B8" s="1801"/>
      <c r="C8" s="1801"/>
      <c r="D8" s="740" t="s">
        <v>80</v>
      </c>
      <c r="E8" s="741" t="s">
        <v>18</v>
      </c>
      <c r="F8" s="736"/>
      <c r="L8" s="737"/>
      <c r="R8" s="737"/>
      <c r="S8" s="737"/>
      <c r="T8" s="737"/>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c r="AT8" s="737"/>
      <c r="AU8" s="737"/>
      <c r="AV8" s="737"/>
      <c r="AW8" s="737"/>
      <c r="AX8" s="737"/>
      <c r="AY8" s="737"/>
      <c r="AZ8" s="737"/>
      <c r="BA8" s="737"/>
      <c r="BB8" s="737"/>
      <c r="BC8" s="737"/>
      <c r="BD8" s="737"/>
      <c r="BE8" s="737"/>
      <c r="BF8" s="737"/>
      <c r="BG8" s="737"/>
      <c r="BH8" s="737"/>
      <c r="BI8" s="737"/>
      <c r="BJ8" s="737"/>
      <c r="BK8" s="737"/>
      <c r="BL8" s="737"/>
      <c r="BM8" s="737"/>
      <c r="BN8" s="737"/>
      <c r="BO8" s="737"/>
      <c r="BP8" s="737"/>
      <c r="BQ8" s="737"/>
      <c r="BR8" s="737"/>
      <c r="BS8" s="737"/>
      <c r="BT8" s="737"/>
      <c r="BU8" s="737"/>
      <c r="BV8" s="737"/>
      <c r="BW8" s="737"/>
      <c r="BX8" s="737"/>
      <c r="BY8" s="737"/>
      <c r="BZ8" s="737"/>
      <c r="CA8" s="737"/>
    </row>
    <row r="9" spans="1:79" s="738" customFormat="1" ht="11.25">
      <c r="A9" s="1802" t="s">
        <v>11650</v>
      </c>
      <c r="B9" s="1803"/>
      <c r="C9" s="1803"/>
      <c r="D9" s="746">
        <v>25</v>
      </c>
      <c r="E9" s="747" t="s">
        <v>29</v>
      </c>
      <c r="F9" s="736"/>
      <c r="L9" s="737"/>
      <c r="R9" s="737"/>
      <c r="S9" s="737"/>
      <c r="T9" s="737"/>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c r="AT9" s="737"/>
      <c r="AU9" s="737"/>
      <c r="AV9" s="737"/>
      <c r="AW9" s="737"/>
      <c r="AX9" s="737"/>
      <c r="AY9" s="737"/>
      <c r="AZ9" s="737"/>
      <c r="BA9" s="737"/>
      <c r="BB9" s="737"/>
      <c r="BC9" s="737"/>
      <c r="BD9" s="737"/>
      <c r="BE9" s="737"/>
      <c r="BF9" s="737"/>
      <c r="BG9" s="737"/>
      <c r="BH9" s="737"/>
      <c r="BI9" s="737"/>
      <c r="BJ9" s="737"/>
      <c r="BK9" s="737"/>
      <c r="BL9" s="737"/>
      <c r="BM9" s="737"/>
      <c r="BN9" s="737"/>
      <c r="BO9" s="737"/>
      <c r="BP9" s="737"/>
      <c r="BQ9" s="737"/>
      <c r="BR9" s="737"/>
      <c r="BS9" s="737"/>
      <c r="BT9" s="737"/>
      <c r="BU9" s="737"/>
      <c r="BV9" s="737"/>
      <c r="BW9" s="737"/>
      <c r="BX9" s="737"/>
      <c r="BY9" s="737"/>
      <c r="BZ9" s="737"/>
      <c r="CA9" s="737"/>
    </row>
    <row r="10" spans="1:79" s="738" customFormat="1" ht="11.25" customHeight="1">
      <c r="A10" s="1804" t="s">
        <v>11647</v>
      </c>
      <c r="B10" s="1805"/>
      <c r="C10" s="1805"/>
      <c r="D10" s="1805"/>
      <c r="E10" s="1806"/>
      <c r="F10" s="736"/>
      <c r="L10" s="737"/>
      <c r="R10" s="737"/>
      <c r="S10" s="737"/>
      <c r="T10" s="737"/>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c r="AT10" s="737"/>
      <c r="AU10" s="737"/>
      <c r="AV10" s="737"/>
      <c r="AW10" s="737"/>
      <c r="AX10" s="737"/>
      <c r="AY10" s="737"/>
      <c r="AZ10" s="737"/>
      <c r="BA10" s="737"/>
      <c r="BB10" s="737"/>
      <c r="BC10" s="737"/>
      <c r="BD10" s="737"/>
      <c r="BE10" s="737"/>
      <c r="BF10" s="737"/>
      <c r="BG10" s="737"/>
      <c r="BH10" s="737"/>
      <c r="BI10" s="737"/>
      <c r="BJ10" s="737"/>
      <c r="BK10" s="737"/>
      <c r="BL10" s="737"/>
      <c r="BM10" s="737"/>
      <c r="BN10" s="737"/>
      <c r="BO10" s="737"/>
      <c r="BP10" s="737"/>
      <c r="BQ10" s="737"/>
      <c r="BR10" s="737"/>
      <c r="BS10" s="737"/>
      <c r="BT10" s="737"/>
      <c r="BU10" s="737"/>
      <c r="BV10" s="737"/>
      <c r="BW10" s="737"/>
      <c r="BX10" s="737"/>
      <c r="BY10" s="737"/>
      <c r="BZ10" s="737"/>
      <c r="CA10" s="737"/>
    </row>
    <row r="11" spans="1:79" s="738" customFormat="1" ht="11.25" customHeight="1">
      <c r="A11" s="1807" t="s">
        <v>11649</v>
      </c>
      <c r="B11" s="1808"/>
      <c r="C11" s="742" t="s">
        <v>11651</v>
      </c>
      <c r="D11" s="742">
        <v>0.8</v>
      </c>
      <c r="E11" s="743" t="s">
        <v>18</v>
      </c>
      <c r="F11" s="736"/>
      <c r="L11" s="737"/>
      <c r="R11" s="737"/>
      <c r="S11" s="737"/>
      <c r="T11" s="737"/>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c r="AT11" s="737"/>
      <c r="AU11" s="737"/>
      <c r="AV11" s="737"/>
      <c r="AW11" s="737"/>
      <c r="AX11" s="737"/>
      <c r="AY11" s="737"/>
      <c r="AZ11" s="737"/>
      <c r="BA11" s="737"/>
      <c r="BB11" s="737"/>
      <c r="BC11" s="737"/>
      <c r="BD11" s="737"/>
      <c r="BE11" s="737"/>
      <c r="BF11" s="737"/>
      <c r="BG11" s="737"/>
      <c r="BH11" s="737"/>
      <c r="BI11" s="737"/>
      <c r="BJ11" s="737"/>
      <c r="BK11" s="737"/>
      <c r="BL11" s="737"/>
      <c r="BM11" s="737"/>
      <c r="BN11" s="737"/>
      <c r="BO11" s="737"/>
      <c r="BP11" s="737"/>
      <c r="BQ11" s="737"/>
      <c r="BR11" s="737"/>
      <c r="BS11" s="737"/>
      <c r="BT11" s="737"/>
      <c r="BU11" s="737"/>
      <c r="BV11" s="737"/>
      <c r="BW11" s="737"/>
      <c r="BX11" s="737"/>
      <c r="BY11" s="737"/>
      <c r="BZ11" s="737"/>
      <c r="CA11" s="737"/>
    </row>
    <row r="12" spans="1:79" s="738" customFormat="1" ht="11.25">
      <c r="A12" s="744"/>
      <c r="B12" s="736"/>
      <c r="C12" s="736"/>
      <c r="D12" s="736"/>
      <c r="E12" s="745"/>
      <c r="F12" s="736"/>
      <c r="G12" s="736"/>
      <c r="H12" s="736"/>
      <c r="I12" s="737"/>
      <c r="J12" s="737"/>
      <c r="K12" s="737"/>
      <c r="L12" s="737"/>
      <c r="R12" s="737"/>
      <c r="S12" s="737"/>
      <c r="T12" s="737"/>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c r="AT12" s="737"/>
      <c r="AU12" s="737"/>
      <c r="AV12" s="737"/>
      <c r="AW12" s="737"/>
      <c r="AX12" s="737"/>
      <c r="AY12" s="737"/>
      <c r="AZ12" s="737"/>
      <c r="BA12" s="737"/>
      <c r="BB12" s="737"/>
      <c r="BC12" s="737"/>
      <c r="BD12" s="737"/>
      <c r="BE12" s="737"/>
      <c r="BF12" s="737"/>
      <c r="BG12" s="737"/>
      <c r="BH12" s="737"/>
      <c r="BI12" s="737"/>
      <c r="BJ12" s="737"/>
      <c r="BK12" s="737"/>
      <c r="BL12" s="737"/>
      <c r="BM12" s="737"/>
      <c r="BN12" s="737"/>
      <c r="BO12" s="737"/>
      <c r="BP12" s="737"/>
      <c r="BQ12" s="737"/>
      <c r="BR12" s="737"/>
      <c r="BS12" s="737"/>
      <c r="BT12" s="737"/>
      <c r="BU12" s="737"/>
      <c r="BV12" s="737"/>
      <c r="BW12" s="737"/>
      <c r="BX12" s="737"/>
      <c r="BY12" s="737"/>
      <c r="BZ12" s="737"/>
      <c r="CA12" s="737"/>
    </row>
    <row r="13" spans="1:79">
      <c r="A13" s="1791" t="s">
        <v>11652</v>
      </c>
      <c r="B13" s="1792"/>
      <c r="C13" s="1792"/>
      <c r="D13" s="1792"/>
      <c r="E13" s="1799"/>
    </row>
    <row r="14" spans="1:79">
      <c r="A14" s="1809" t="s">
        <v>11653</v>
      </c>
      <c r="B14" s="1810"/>
      <c r="C14" s="1810"/>
      <c r="D14" s="749">
        <v>0.2</v>
      </c>
      <c r="E14" s="750" t="s">
        <v>18</v>
      </c>
    </row>
    <row r="15" spans="1:79">
      <c r="A15" s="736"/>
      <c r="B15" s="736"/>
      <c r="C15" s="737"/>
      <c r="D15" s="737"/>
      <c r="E15" s="737"/>
    </row>
    <row r="16" spans="1:79">
      <c r="A16" s="1791" t="s">
        <v>11654</v>
      </c>
      <c r="B16" s="1792"/>
      <c r="C16" s="1792"/>
      <c r="D16" s="1792"/>
      <c r="E16" s="1799"/>
    </row>
    <row r="17" spans="1:5">
      <c r="A17" s="751" t="s">
        <v>11655</v>
      </c>
      <c r="B17" s="752">
        <v>1.3</v>
      </c>
      <c r="C17" s="753"/>
      <c r="D17" s="754" t="s">
        <v>18</v>
      </c>
      <c r="E17" s="755" t="s">
        <v>11656</v>
      </c>
    </row>
    <row r="18" spans="1:5">
      <c r="A18" s="756"/>
      <c r="B18" s="752">
        <v>97</v>
      </c>
      <c r="C18" s="757"/>
      <c r="D18" s="740" t="s">
        <v>8</v>
      </c>
      <c r="E18" s="755" t="s">
        <v>11637</v>
      </c>
    </row>
    <row r="19" spans="1:5">
      <c r="A19" s="758"/>
      <c r="B19" s="759">
        <v>0</v>
      </c>
      <c r="C19" s="760"/>
      <c r="D19" s="746" t="s">
        <v>8</v>
      </c>
      <c r="E19" s="761" t="s">
        <v>11638</v>
      </c>
    </row>
    <row r="20" spans="1:5">
      <c r="A20" s="756"/>
      <c r="B20" s="759">
        <v>0</v>
      </c>
      <c r="C20" s="760"/>
      <c r="D20" s="740" t="s">
        <v>8</v>
      </c>
      <c r="E20" s="755" t="s">
        <v>11639</v>
      </c>
    </row>
    <row r="21" spans="1:5">
      <c r="A21" s="762"/>
      <c r="B21" s="763">
        <v>3</v>
      </c>
      <c r="C21" s="764"/>
      <c r="D21" s="742" t="s">
        <v>8</v>
      </c>
      <c r="E21" s="765" t="s">
        <v>11636</v>
      </c>
    </row>
    <row r="23" spans="1:5">
      <c r="A23" s="1791" t="s">
        <v>11657</v>
      </c>
      <c r="B23" s="1792"/>
      <c r="C23" s="1792"/>
      <c r="D23" s="1792"/>
      <c r="E23" s="1799"/>
    </row>
    <row r="24" spans="1:5">
      <c r="A24" s="1811" t="s">
        <v>11658</v>
      </c>
      <c r="B24" s="1812"/>
      <c r="C24" s="1812"/>
      <c r="D24" s="754">
        <v>6</v>
      </c>
      <c r="E24" s="766" t="s">
        <v>18</v>
      </c>
    </row>
    <row r="25" spans="1:5">
      <c r="A25" s="1811" t="s">
        <v>11659</v>
      </c>
      <c r="B25" s="1812"/>
      <c r="C25" s="1812"/>
      <c r="D25" s="754">
        <v>0.6</v>
      </c>
      <c r="E25" s="766" t="s">
        <v>18</v>
      </c>
    </row>
    <row r="26" spans="1:5">
      <c r="A26" s="1811" t="s">
        <v>11660</v>
      </c>
      <c r="B26" s="1812"/>
      <c r="C26" s="1812"/>
      <c r="D26" s="754">
        <v>0.6</v>
      </c>
      <c r="E26" s="766" t="s">
        <v>18</v>
      </c>
    </row>
    <row r="27" spans="1:5">
      <c r="A27" s="1813" t="s">
        <v>60</v>
      </c>
      <c r="B27" s="1814"/>
      <c r="C27" s="1814"/>
      <c r="D27" s="749">
        <v>1.2</v>
      </c>
      <c r="E27" s="767" t="s">
        <v>18</v>
      </c>
    </row>
    <row r="28" spans="1:5">
      <c r="A28" s="768"/>
      <c r="B28" s="768"/>
      <c r="C28" s="768"/>
      <c r="D28" s="737"/>
      <c r="E28" s="737"/>
    </row>
    <row r="29" spans="1:5">
      <c r="A29" s="1819" t="s">
        <v>11661</v>
      </c>
      <c r="B29" s="1820"/>
      <c r="C29" s="1820"/>
      <c r="D29" s="1820"/>
      <c r="E29" s="1821"/>
    </row>
    <row r="30" spans="1:5">
      <c r="A30" s="769" t="s">
        <v>11634</v>
      </c>
      <c r="B30" s="754"/>
      <c r="C30" s="754" t="s">
        <v>18</v>
      </c>
      <c r="D30" s="754"/>
      <c r="E30" s="766"/>
    </row>
    <row r="31" spans="1:5">
      <c r="A31" s="769" t="s">
        <v>11635</v>
      </c>
      <c r="B31" s="754">
        <f>D27</f>
        <v>1.2</v>
      </c>
      <c r="C31" s="754" t="s">
        <v>18</v>
      </c>
      <c r="D31" s="754"/>
      <c r="E31" s="766"/>
    </row>
    <row r="32" spans="1:5">
      <c r="A32" s="770" t="s">
        <v>11633</v>
      </c>
      <c r="B32" s="749">
        <f>B31</f>
        <v>1.2</v>
      </c>
      <c r="C32" s="749" t="s">
        <v>18</v>
      </c>
      <c r="D32" s="749"/>
      <c r="E32" s="767"/>
    </row>
    <row r="34" spans="1:13" ht="15" customHeight="1">
      <c r="A34" s="1791" t="s">
        <v>11662</v>
      </c>
      <c r="B34" s="1792"/>
      <c r="C34" s="1792"/>
      <c r="D34" s="1792"/>
      <c r="E34" s="1799"/>
      <c r="F34" s="771"/>
      <c r="G34" s="771"/>
      <c r="H34" s="771"/>
      <c r="I34" s="771"/>
      <c r="J34" s="771"/>
      <c r="K34" s="771"/>
      <c r="L34" s="771"/>
      <c r="M34" s="771"/>
    </row>
    <row r="35" spans="1:13">
      <c r="A35" s="1813" t="s">
        <v>11663</v>
      </c>
      <c r="B35" s="1814"/>
      <c r="C35" s="772">
        <v>0.3</v>
      </c>
      <c r="D35" s="749" t="s">
        <v>18</v>
      </c>
      <c r="E35" s="773"/>
    </row>
    <row r="36" spans="1:13">
      <c r="A36" s="1791" t="s">
        <v>11690</v>
      </c>
      <c r="B36" s="1792"/>
      <c r="C36" s="1792"/>
      <c r="D36" s="1792"/>
      <c r="E36" s="1799"/>
    </row>
    <row r="37" spans="1:13">
      <c r="A37" s="1815" t="s">
        <v>11691</v>
      </c>
      <c r="B37" s="1816"/>
      <c r="C37" s="754">
        <v>7.5</v>
      </c>
      <c r="D37" s="754" t="s">
        <v>5</v>
      </c>
      <c r="E37" s="766"/>
    </row>
    <row r="38" spans="1:13">
      <c r="A38" s="1817" t="s">
        <v>11692</v>
      </c>
      <c r="B38" s="1818"/>
      <c r="C38" s="749">
        <v>4.5999999999999996</v>
      </c>
      <c r="D38" s="749" t="s">
        <v>5</v>
      </c>
      <c r="E38" s="767"/>
    </row>
  </sheetData>
  <sheetProtection algorithmName="SHA-512" hashValue="0elSESsi+oH0beAEtQZJ6q7WZxuWJKN64mRomAvC1LdoovBW7DHlWhQba2ixjamTn0R/V9CxrpuoEit7+lFY1g==" saltValue="I+k+rBkquCT/LzSrPBsm/Q==" spinCount="100000" sheet="1"/>
  <mergeCells count="24">
    <mergeCell ref="A38:B38"/>
    <mergeCell ref="A29:E29"/>
    <mergeCell ref="A34:E34"/>
    <mergeCell ref="A35:B35"/>
    <mergeCell ref="A25:C25"/>
    <mergeCell ref="A26:C26"/>
    <mergeCell ref="A27:C27"/>
    <mergeCell ref="A36:E36"/>
    <mergeCell ref="A37:B37"/>
    <mergeCell ref="A13:E13"/>
    <mergeCell ref="A14:C14"/>
    <mergeCell ref="A16:E16"/>
    <mergeCell ref="A23:E23"/>
    <mergeCell ref="A24:C24"/>
    <mergeCell ref="A7:E7"/>
    <mergeCell ref="A8:C8"/>
    <mergeCell ref="A9:C9"/>
    <mergeCell ref="A10:E10"/>
    <mergeCell ref="A11:B11"/>
    <mergeCell ref="A1:E1"/>
    <mergeCell ref="A3:B3"/>
    <mergeCell ref="C3:E3"/>
    <mergeCell ref="A4:B4"/>
    <mergeCell ref="A5:B5"/>
  </mergeCells>
  <pageMargins left="0.511811024" right="0.511811024" top="0.78740157499999996" bottom="0.78740157499999996" header="0.31496062000000002" footer="0.31496062000000002"/>
  <pageSetup paperSize="9" orientation="portrait" horizontalDpi="1200" verticalDpi="12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675"/>
  <sheetViews>
    <sheetView view="pageBreakPreview" zoomScaleNormal="100" zoomScaleSheetLayoutView="100" workbookViewId="0">
      <pane xSplit="1" ySplit="3" topLeftCell="B79" activePane="bottomRight" state="frozen"/>
      <selection activeCell="D34" sqref="D34"/>
      <selection pane="topRight" activeCell="D34" sqref="D34"/>
      <selection pane="bottomLeft" activeCell="D34" sqref="D34"/>
      <selection pane="bottomRight" activeCell="B81" sqref="B81"/>
    </sheetView>
  </sheetViews>
  <sheetFormatPr defaultRowHeight="11.25"/>
  <cols>
    <col min="1" max="1" width="21.140625" style="736" customWidth="1"/>
    <col min="2" max="2" width="70.42578125" style="1847" customWidth="1"/>
    <col min="3" max="3" width="7.5703125" style="736" customWidth="1"/>
    <col min="4" max="4" width="16.140625" style="1851" customWidth="1"/>
    <col min="5" max="5" width="11.7109375" style="738" customWidth="1"/>
    <col min="6" max="16384" width="9.140625" style="738"/>
  </cols>
  <sheetData>
    <row r="1" spans="1:7" ht="42" customHeight="1">
      <c r="A1" s="1823" t="s">
        <v>21121</v>
      </c>
      <c r="B1" s="1824"/>
      <c r="C1" s="1824"/>
      <c r="D1" s="1825"/>
    </row>
    <row r="2" spans="1:7" ht="12">
      <c r="A2" s="1826" t="s">
        <v>0</v>
      </c>
      <c r="B2" s="1827" t="s">
        <v>14560</v>
      </c>
      <c r="C2" s="1827"/>
      <c r="D2" s="1828"/>
      <c r="E2" s="1827"/>
      <c r="F2" s="1827"/>
      <c r="G2" s="1827"/>
    </row>
    <row r="3" spans="1:7" ht="12">
      <c r="A3" s="1829" t="s">
        <v>2</v>
      </c>
      <c r="B3" s="1830" t="s">
        <v>13879</v>
      </c>
      <c r="C3" s="1830"/>
      <c r="D3" s="1831"/>
      <c r="E3" s="1830"/>
      <c r="F3" s="1830"/>
      <c r="G3" s="1830"/>
    </row>
    <row r="4" spans="1:7" ht="12">
      <c r="A4" s="1829" t="s">
        <v>11707</v>
      </c>
      <c r="B4" s="1830" t="s">
        <v>14268</v>
      </c>
      <c r="C4" s="1830"/>
      <c r="D4" s="1831"/>
      <c r="E4" s="1830"/>
      <c r="F4" s="1830"/>
      <c r="G4" s="1830"/>
    </row>
    <row r="5" spans="1:7">
      <c r="A5" s="1832"/>
      <c r="B5" s="1833"/>
      <c r="C5" s="1834"/>
      <c r="D5" s="1835"/>
    </row>
    <row r="6" spans="1:7">
      <c r="A6" s="1836" t="s">
        <v>86</v>
      </c>
      <c r="B6" s="1837" t="s">
        <v>11752</v>
      </c>
      <c r="C6" s="1836" t="s">
        <v>25</v>
      </c>
      <c r="D6" s="1838" t="s">
        <v>88</v>
      </c>
    </row>
    <row r="7" spans="1:7">
      <c r="A7" s="1839" t="s">
        <v>13353</v>
      </c>
      <c r="B7" s="1840" t="s">
        <v>13354</v>
      </c>
      <c r="C7" s="1841" t="s">
        <v>1270</v>
      </c>
      <c r="D7" s="1842">
        <v>4.24</v>
      </c>
      <c r="E7" s="1843"/>
    </row>
    <row r="8" spans="1:7">
      <c r="A8" s="1839" t="s">
        <v>13355</v>
      </c>
      <c r="B8" s="1840" t="s">
        <v>13356</v>
      </c>
      <c r="C8" s="1841" t="s">
        <v>1270</v>
      </c>
      <c r="D8" s="1842">
        <v>16.600000000000001</v>
      </c>
      <c r="E8" s="1843"/>
    </row>
    <row r="9" spans="1:7">
      <c r="A9" s="1839" t="s">
        <v>13058</v>
      </c>
      <c r="B9" s="1840" t="s">
        <v>13059</v>
      </c>
      <c r="C9" s="1841" t="s">
        <v>10854</v>
      </c>
      <c r="D9" s="1842">
        <v>3970</v>
      </c>
      <c r="E9" s="1843"/>
    </row>
    <row r="10" spans="1:7">
      <c r="A10" s="1839" t="s">
        <v>13060</v>
      </c>
      <c r="B10" s="1840" t="s">
        <v>13061</v>
      </c>
      <c r="C10" s="1841" t="s">
        <v>10854</v>
      </c>
      <c r="D10" s="1842">
        <v>4640</v>
      </c>
      <c r="E10" s="1843"/>
    </row>
    <row r="11" spans="1:7">
      <c r="A11" s="1839" t="s">
        <v>13080</v>
      </c>
      <c r="B11" s="1840" t="s">
        <v>13081</v>
      </c>
      <c r="C11" s="1841" t="s">
        <v>10854</v>
      </c>
      <c r="D11" s="1842">
        <v>264.48</v>
      </c>
      <c r="E11" s="1843"/>
    </row>
    <row r="12" spans="1:7">
      <c r="A12" s="1839" t="s">
        <v>13299</v>
      </c>
      <c r="B12" s="1840" t="s">
        <v>13301</v>
      </c>
      <c r="C12" s="1841" t="s">
        <v>1270</v>
      </c>
      <c r="D12" s="1842">
        <v>290.40000000000003</v>
      </c>
      <c r="E12" s="1843"/>
    </row>
    <row r="13" spans="1:7">
      <c r="A13" s="1839" t="s">
        <v>13300</v>
      </c>
      <c r="B13" s="1840" t="s">
        <v>13302</v>
      </c>
      <c r="C13" s="1841" t="s">
        <v>1270</v>
      </c>
      <c r="D13" s="1842">
        <v>305.39300000000003</v>
      </c>
      <c r="E13" s="1843"/>
    </row>
    <row r="14" spans="1:7">
      <c r="A14" s="1839" t="s">
        <v>12815</v>
      </c>
      <c r="B14" s="1840" t="s">
        <v>12816</v>
      </c>
      <c r="C14" s="1841" t="s">
        <v>1270</v>
      </c>
      <c r="D14" s="1842">
        <v>20.065000000000001</v>
      </c>
      <c r="E14" s="1843"/>
    </row>
    <row r="15" spans="1:7">
      <c r="A15" s="1839" t="s">
        <v>12817</v>
      </c>
      <c r="B15" s="1840" t="s">
        <v>12818</v>
      </c>
      <c r="C15" s="1841" t="s">
        <v>1270</v>
      </c>
      <c r="D15" s="1842">
        <v>147.10499999999999</v>
      </c>
      <c r="E15" s="1843"/>
    </row>
    <row r="16" spans="1:7" ht="22.5">
      <c r="A16" s="1839" t="s">
        <v>13289</v>
      </c>
      <c r="B16" s="1840" t="s">
        <v>13290</v>
      </c>
      <c r="C16" s="1841" t="s">
        <v>1270</v>
      </c>
      <c r="D16" s="1842">
        <v>20347.474999999999</v>
      </c>
      <c r="E16" s="1843"/>
    </row>
    <row r="17" spans="1:5">
      <c r="A17" s="1839" t="s">
        <v>12855</v>
      </c>
      <c r="B17" s="1840" t="s">
        <v>12856</v>
      </c>
      <c r="C17" s="1841" t="s">
        <v>1270</v>
      </c>
      <c r="D17" s="1842">
        <v>5367</v>
      </c>
      <c r="E17" s="1843"/>
    </row>
    <row r="18" spans="1:5">
      <c r="A18" s="1839" t="s">
        <v>12871</v>
      </c>
      <c r="B18" s="1840" t="s">
        <v>12872</v>
      </c>
      <c r="C18" s="1841" t="s">
        <v>1270</v>
      </c>
      <c r="D18" s="1842">
        <v>5334.45</v>
      </c>
      <c r="E18" s="1843"/>
    </row>
    <row r="19" spans="1:5">
      <c r="A19" s="1839" t="s">
        <v>12869</v>
      </c>
      <c r="B19" s="1840" t="s">
        <v>12870</v>
      </c>
      <c r="C19" s="1841" t="s">
        <v>1270</v>
      </c>
      <c r="D19" s="1842">
        <v>2130.15</v>
      </c>
      <c r="E19" s="1843"/>
    </row>
    <row r="20" spans="1:5">
      <c r="A20" s="1839" t="s">
        <v>13036</v>
      </c>
      <c r="B20" s="1840" t="s">
        <v>13037</v>
      </c>
      <c r="C20" s="1841" t="s">
        <v>1270</v>
      </c>
      <c r="D20" s="1842">
        <v>7830.9850000000006</v>
      </c>
      <c r="E20" s="1843"/>
    </row>
    <row r="21" spans="1:5">
      <c r="A21" s="1839" t="s">
        <v>13082</v>
      </c>
      <c r="B21" s="1840" t="s">
        <v>13083</v>
      </c>
      <c r="C21" s="1841" t="s">
        <v>1270</v>
      </c>
      <c r="D21" s="1842">
        <v>697.01499999999999</v>
      </c>
      <c r="E21" s="1843"/>
    </row>
    <row r="22" spans="1:5">
      <c r="A22" s="1839" t="s">
        <v>13074</v>
      </c>
      <c r="B22" s="1840" t="s">
        <v>13075</v>
      </c>
      <c r="C22" s="1841" t="s">
        <v>1270</v>
      </c>
      <c r="D22" s="1842">
        <v>787.93000000000018</v>
      </c>
      <c r="E22" s="1843"/>
    </row>
    <row r="23" spans="1:5">
      <c r="A23" s="1839" t="s">
        <v>13227</v>
      </c>
      <c r="B23" s="1840" t="s">
        <v>13228</v>
      </c>
      <c r="C23" s="1841" t="s">
        <v>18</v>
      </c>
      <c r="D23" s="1842">
        <v>158.53</v>
      </c>
      <c r="E23" s="1843"/>
    </row>
    <row r="24" spans="1:5">
      <c r="A24" s="1839" t="s">
        <v>12823</v>
      </c>
      <c r="B24" s="1840" t="s">
        <v>12822</v>
      </c>
      <c r="C24" s="1841" t="s">
        <v>1270</v>
      </c>
      <c r="D24" s="1842">
        <v>3.87</v>
      </c>
      <c r="E24" s="1843"/>
    </row>
    <row r="25" spans="1:5">
      <c r="A25" s="1839" t="s">
        <v>12881</v>
      </c>
      <c r="B25" s="1840" t="s">
        <v>12882</v>
      </c>
      <c r="C25" s="1841" t="s">
        <v>1270</v>
      </c>
      <c r="D25" s="1842">
        <v>113.03</v>
      </c>
      <c r="E25" s="1843"/>
    </row>
    <row r="26" spans="1:5">
      <c r="A26" s="1839" t="s">
        <v>12905</v>
      </c>
      <c r="B26" s="1840" t="s">
        <v>12906</v>
      </c>
      <c r="C26" s="1841" t="s">
        <v>1270</v>
      </c>
      <c r="D26" s="1842">
        <v>5.5350000000000001</v>
      </c>
      <c r="E26" s="1843"/>
    </row>
    <row r="27" spans="1:5">
      <c r="A27" s="1839" t="s">
        <v>13118</v>
      </c>
      <c r="B27" s="1840" t="s">
        <v>13119</v>
      </c>
      <c r="C27" s="1841" t="s">
        <v>1270</v>
      </c>
      <c r="D27" s="1842">
        <v>585</v>
      </c>
      <c r="E27" s="1843"/>
    </row>
    <row r="28" spans="1:5">
      <c r="A28" s="1839" t="s">
        <v>13108</v>
      </c>
      <c r="B28" s="1840" t="s">
        <v>13109</v>
      </c>
      <c r="C28" s="1841" t="s">
        <v>1270</v>
      </c>
      <c r="D28" s="1842">
        <v>1115</v>
      </c>
      <c r="E28" s="1843"/>
    </row>
    <row r="29" spans="1:5">
      <c r="A29" s="1839" t="s">
        <v>13199</v>
      </c>
      <c r="B29" s="1840" t="s">
        <v>13200</v>
      </c>
      <c r="C29" s="1841" t="s">
        <v>1270</v>
      </c>
      <c r="D29" s="1842">
        <v>623.18300000000011</v>
      </c>
      <c r="E29" s="1843"/>
    </row>
    <row r="30" spans="1:5">
      <c r="A30" s="1839" t="s">
        <v>13179</v>
      </c>
      <c r="B30" s="1840" t="s">
        <v>13180</v>
      </c>
      <c r="C30" s="1841" t="s">
        <v>1270</v>
      </c>
      <c r="D30" s="1842">
        <v>397.05599999999998</v>
      </c>
      <c r="E30" s="1843"/>
    </row>
    <row r="31" spans="1:5">
      <c r="A31" s="1839" t="s">
        <v>13189</v>
      </c>
      <c r="B31" s="1840" t="s">
        <v>13190</v>
      </c>
      <c r="C31" s="1841" t="s">
        <v>1270</v>
      </c>
      <c r="D31" s="1842">
        <v>133.75120000000001</v>
      </c>
      <c r="E31" s="1843"/>
    </row>
    <row r="32" spans="1:5">
      <c r="A32" s="1839" t="s">
        <v>13203</v>
      </c>
      <c r="B32" s="1840" t="s">
        <v>13204</v>
      </c>
      <c r="C32" s="1841" t="s">
        <v>1270</v>
      </c>
      <c r="D32" s="1842">
        <v>623.18300000000011</v>
      </c>
      <c r="E32" s="1843"/>
    </row>
    <row r="33" spans="1:5">
      <c r="A33" s="1839" t="s">
        <v>13193</v>
      </c>
      <c r="B33" s="1840" t="s">
        <v>13194</v>
      </c>
      <c r="C33" s="1841" t="s">
        <v>1270</v>
      </c>
      <c r="D33" s="1842">
        <v>397.05599999999998</v>
      </c>
      <c r="E33" s="1843"/>
    </row>
    <row r="34" spans="1:5">
      <c r="A34" s="1839" t="s">
        <v>13231</v>
      </c>
      <c r="B34" s="1840" t="s">
        <v>13232</v>
      </c>
      <c r="C34" s="1841" t="s">
        <v>18</v>
      </c>
      <c r="D34" s="1842">
        <v>286.04399999999998</v>
      </c>
      <c r="E34" s="1843"/>
    </row>
    <row r="35" spans="1:5">
      <c r="A35" s="1839" t="s">
        <v>13229</v>
      </c>
      <c r="B35" s="1840" t="s">
        <v>13230</v>
      </c>
      <c r="C35" s="1841" t="s">
        <v>1270</v>
      </c>
      <c r="D35" s="1842">
        <v>114.41760000000002</v>
      </c>
      <c r="E35" s="1843"/>
    </row>
    <row r="36" spans="1:5">
      <c r="A36" s="1839" t="s">
        <v>12907</v>
      </c>
      <c r="B36" s="1840" t="s">
        <v>21117</v>
      </c>
      <c r="C36" s="1841" t="s">
        <v>1270</v>
      </c>
      <c r="D36" s="1842">
        <v>12.629999999999999</v>
      </c>
      <c r="E36" s="1843"/>
    </row>
    <row r="37" spans="1:5">
      <c r="A37" s="1839" t="s">
        <v>12909</v>
      </c>
      <c r="B37" s="1840" t="s">
        <v>12910</v>
      </c>
      <c r="C37" s="1841" t="s">
        <v>1270</v>
      </c>
      <c r="D37" s="1842">
        <v>21.344999999999999</v>
      </c>
      <c r="E37" s="1843"/>
    </row>
    <row r="38" spans="1:5" ht="22.5">
      <c r="A38" s="1839" t="s">
        <v>13143</v>
      </c>
      <c r="B38" s="1840" t="s">
        <v>13144</v>
      </c>
      <c r="C38" s="1841" t="s">
        <v>1270</v>
      </c>
      <c r="D38" s="1842">
        <v>120.31655328000001</v>
      </c>
      <c r="E38" s="1843"/>
    </row>
    <row r="39" spans="1:5" ht="22.5">
      <c r="A39" s="1839" t="s">
        <v>13145</v>
      </c>
      <c r="B39" s="1840" t="s">
        <v>13146</v>
      </c>
      <c r="C39" s="1841" t="s">
        <v>1270</v>
      </c>
      <c r="D39" s="1842">
        <v>153.13015872</v>
      </c>
      <c r="E39" s="1843"/>
    </row>
    <row r="40" spans="1:5" ht="22.5">
      <c r="A40" s="1839" t="s">
        <v>13147</v>
      </c>
      <c r="B40" s="1840" t="s">
        <v>13148</v>
      </c>
      <c r="C40" s="1841" t="s">
        <v>1270</v>
      </c>
      <c r="D40" s="1842">
        <v>501.37312923999997</v>
      </c>
      <c r="E40" s="1843"/>
    </row>
    <row r="41" spans="1:5" ht="22.5">
      <c r="A41" s="1839" t="s">
        <v>13149</v>
      </c>
      <c r="B41" s="1840" t="s">
        <v>13150</v>
      </c>
      <c r="C41" s="1841" t="s">
        <v>1270</v>
      </c>
      <c r="D41" s="1842">
        <v>3840.2207104000004</v>
      </c>
      <c r="E41" s="1843"/>
    </row>
    <row r="42" spans="1:5" ht="22.5">
      <c r="A42" s="1839" t="s">
        <v>13163</v>
      </c>
      <c r="B42" s="1840" t="s">
        <v>13164</v>
      </c>
      <c r="C42" s="1841" t="s">
        <v>1270</v>
      </c>
      <c r="D42" s="1842">
        <v>114.84761904</v>
      </c>
      <c r="E42" s="1843"/>
    </row>
    <row r="43" spans="1:5" ht="22.5">
      <c r="A43" s="1839" t="s">
        <v>13165</v>
      </c>
      <c r="B43" s="1840" t="s">
        <v>13166</v>
      </c>
      <c r="C43" s="1841" t="s">
        <v>1270</v>
      </c>
      <c r="D43" s="1842">
        <v>114.84761904</v>
      </c>
      <c r="E43" s="1843"/>
    </row>
    <row r="44" spans="1:5">
      <c r="A44" s="1839" t="s">
        <v>12697</v>
      </c>
      <c r="B44" s="1840" t="s">
        <v>12698</v>
      </c>
      <c r="C44" s="1841" t="s">
        <v>1270</v>
      </c>
      <c r="D44" s="1842">
        <v>23.02</v>
      </c>
      <c r="E44" s="1843"/>
    </row>
    <row r="45" spans="1:5">
      <c r="A45" s="1839" t="s">
        <v>12699</v>
      </c>
      <c r="B45" s="1840" t="s">
        <v>12700</v>
      </c>
      <c r="C45" s="1841" t="s">
        <v>1270</v>
      </c>
      <c r="D45" s="1842">
        <v>9.82</v>
      </c>
      <c r="E45" s="1843"/>
    </row>
    <row r="46" spans="1:5">
      <c r="A46" s="1839" t="s">
        <v>12701</v>
      </c>
      <c r="B46" s="1840" t="s">
        <v>12702</v>
      </c>
      <c r="C46" s="1841" t="s">
        <v>1270</v>
      </c>
      <c r="D46" s="1842">
        <v>67</v>
      </c>
      <c r="E46" s="1843"/>
    </row>
    <row r="47" spans="1:5">
      <c r="A47" s="1839" t="s">
        <v>12703</v>
      </c>
      <c r="B47" s="1840" t="s">
        <v>12704</v>
      </c>
      <c r="C47" s="1841" t="s">
        <v>10854</v>
      </c>
      <c r="D47" s="1842">
        <v>18326</v>
      </c>
      <c r="E47" s="1843"/>
    </row>
    <row r="48" spans="1:5">
      <c r="A48" s="1839" t="s">
        <v>12705</v>
      </c>
      <c r="B48" s="1840" t="s">
        <v>12706</v>
      </c>
      <c r="C48" s="1841" t="s">
        <v>1270</v>
      </c>
      <c r="D48" s="1842">
        <v>332</v>
      </c>
      <c r="E48" s="1843"/>
    </row>
    <row r="49" spans="1:5">
      <c r="A49" s="1839" t="s">
        <v>12707</v>
      </c>
      <c r="B49" s="1840" t="s">
        <v>12708</v>
      </c>
      <c r="C49" s="1841" t="s">
        <v>1270</v>
      </c>
      <c r="D49" s="1842">
        <v>43.64</v>
      </c>
      <c r="E49" s="1843"/>
    </row>
    <row r="50" spans="1:5">
      <c r="A50" s="1839" t="s">
        <v>12709</v>
      </c>
      <c r="B50" s="1840" t="s">
        <v>12710</v>
      </c>
      <c r="C50" s="1841" t="s">
        <v>1270</v>
      </c>
      <c r="D50" s="1842">
        <v>162.5</v>
      </c>
      <c r="E50" s="1843"/>
    </row>
    <row r="51" spans="1:5">
      <c r="A51" s="1839" t="s">
        <v>12711</v>
      </c>
      <c r="B51" s="1840" t="s">
        <v>12710</v>
      </c>
      <c r="C51" s="1841" t="s">
        <v>1270</v>
      </c>
      <c r="D51" s="1842">
        <v>162.5</v>
      </c>
      <c r="E51" s="1843"/>
    </row>
    <row r="52" spans="1:5">
      <c r="A52" s="1839" t="s">
        <v>12712</v>
      </c>
      <c r="B52" s="1840" t="s">
        <v>12713</v>
      </c>
      <c r="C52" s="1841" t="s">
        <v>1270</v>
      </c>
      <c r="D52" s="1842">
        <v>18.2</v>
      </c>
      <c r="E52" s="1843"/>
    </row>
    <row r="53" spans="1:5">
      <c r="A53" s="1839" t="s">
        <v>12714</v>
      </c>
      <c r="B53" s="1840" t="s">
        <v>12715</v>
      </c>
      <c r="C53" s="1841" t="s">
        <v>1270</v>
      </c>
      <c r="D53" s="1842">
        <v>298.2</v>
      </c>
      <c r="E53" s="1843"/>
    </row>
    <row r="54" spans="1:5">
      <c r="A54" s="1839" t="s">
        <v>12716</v>
      </c>
      <c r="B54" s="1840" t="s">
        <v>12717</v>
      </c>
      <c r="C54" s="1841" t="s">
        <v>1270</v>
      </c>
      <c r="D54" s="1842">
        <v>11.2</v>
      </c>
      <c r="E54" s="1843"/>
    </row>
    <row r="55" spans="1:5">
      <c r="A55" s="1839" t="s">
        <v>12718</v>
      </c>
      <c r="B55" s="1840" t="s">
        <v>12719</v>
      </c>
      <c r="C55" s="1841" t="s">
        <v>1270</v>
      </c>
      <c r="D55" s="1842">
        <v>32.700000000000003</v>
      </c>
      <c r="E55" s="1843"/>
    </row>
    <row r="56" spans="1:5">
      <c r="A56" s="1839" t="s">
        <v>12720</v>
      </c>
      <c r="B56" s="1840" t="s">
        <v>12721</v>
      </c>
      <c r="C56" s="1841" t="s">
        <v>1270</v>
      </c>
      <c r="D56" s="1842">
        <v>124.8</v>
      </c>
      <c r="E56" s="1843"/>
    </row>
    <row r="57" spans="1:5">
      <c r="A57" s="1839" t="s">
        <v>12722</v>
      </c>
      <c r="B57" s="1840" t="s">
        <v>12723</v>
      </c>
      <c r="C57" s="1841" t="s">
        <v>1270</v>
      </c>
      <c r="D57" s="1842">
        <v>58.8</v>
      </c>
      <c r="E57" s="1843"/>
    </row>
    <row r="58" spans="1:5">
      <c r="A58" s="1839" t="s">
        <v>12724</v>
      </c>
      <c r="B58" s="1840" t="s">
        <v>12725</v>
      </c>
      <c r="C58" s="1841" t="s">
        <v>1270</v>
      </c>
      <c r="D58" s="1842">
        <v>4.3499999999999996</v>
      </c>
      <c r="E58" s="1843"/>
    </row>
    <row r="59" spans="1:5">
      <c r="A59" s="1839" t="s">
        <v>12726</v>
      </c>
      <c r="B59" s="1840" t="s">
        <v>12727</v>
      </c>
      <c r="C59" s="1841" t="s">
        <v>1270</v>
      </c>
      <c r="D59" s="1842">
        <v>4.3499999999999996</v>
      </c>
      <c r="E59" s="1843"/>
    </row>
    <row r="60" spans="1:5">
      <c r="A60" s="1839" t="s">
        <v>12728</v>
      </c>
      <c r="B60" s="1840" t="s">
        <v>12729</v>
      </c>
      <c r="C60" s="1841" t="s">
        <v>1270</v>
      </c>
      <c r="D60" s="1842">
        <v>359</v>
      </c>
      <c r="E60" s="1843"/>
    </row>
    <row r="61" spans="1:5">
      <c r="A61" s="1839" t="s">
        <v>12730</v>
      </c>
      <c r="B61" s="1840" t="s">
        <v>12731</v>
      </c>
      <c r="C61" s="1841" t="s">
        <v>1270</v>
      </c>
      <c r="D61" s="1842">
        <v>33.479999999999997</v>
      </c>
      <c r="E61" s="1843"/>
    </row>
    <row r="62" spans="1:5">
      <c r="A62" s="1839" t="s">
        <v>12732</v>
      </c>
      <c r="B62" s="1840" t="s">
        <v>12733</v>
      </c>
      <c r="C62" s="1841" t="s">
        <v>1270</v>
      </c>
      <c r="D62" s="1842">
        <v>59.97</v>
      </c>
      <c r="E62" s="1843"/>
    </row>
    <row r="63" spans="1:5">
      <c r="A63" s="1839" t="s">
        <v>12734</v>
      </c>
      <c r="B63" s="1840" t="s">
        <v>12735</v>
      </c>
      <c r="C63" s="1841" t="s">
        <v>1270</v>
      </c>
      <c r="D63" s="1842">
        <v>59.97</v>
      </c>
      <c r="E63" s="1843"/>
    </row>
    <row r="64" spans="1:5">
      <c r="A64" s="1839" t="s">
        <v>12736</v>
      </c>
      <c r="B64" s="1840" t="s">
        <v>12737</v>
      </c>
      <c r="C64" s="1841" t="s">
        <v>1270</v>
      </c>
      <c r="D64" s="1842">
        <v>13.89</v>
      </c>
      <c r="E64" s="1843"/>
    </row>
    <row r="65" spans="1:5">
      <c r="A65" s="1839" t="s">
        <v>12738</v>
      </c>
      <c r="B65" s="1840" t="s">
        <v>12739</v>
      </c>
      <c r="C65" s="1841" t="s">
        <v>1270</v>
      </c>
      <c r="D65" s="1842">
        <v>13.89</v>
      </c>
      <c r="E65" s="1843"/>
    </row>
    <row r="66" spans="1:5">
      <c r="A66" s="1839" t="s">
        <v>12740</v>
      </c>
      <c r="B66" s="1840" t="s">
        <v>12741</v>
      </c>
      <c r="C66" s="1841" t="s">
        <v>1270</v>
      </c>
      <c r="D66" s="1842">
        <v>53.85</v>
      </c>
      <c r="E66" s="1843"/>
    </row>
    <row r="67" spans="1:5">
      <c r="A67" s="1839" t="s">
        <v>12742</v>
      </c>
      <c r="B67" s="1840" t="s">
        <v>12743</v>
      </c>
      <c r="C67" s="1841" t="s">
        <v>1270</v>
      </c>
      <c r="D67" s="1842">
        <v>23.63</v>
      </c>
      <c r="E67" s="1843"/>
    </row>
    <row r="68" spans="1:5">
      <c r="A68" s="1839" t="s">
        <v>12744</v>
      </c>
      <c r="B68" s="1840" t="s">
        <v>12745</v>
      </c>
      <c r="C68" s="1841" t="s">
        <v>1270</v>
      </c>
      <c r="D68" s="1842">
        <v>112</v>
      </c>
      <c r="E68" s="1843"/>
    </row>
    <row r="69" spans="1:5">
      <c r="A69" s="1839" t="s">
        <v>12746</v>
      </c>
      <c r="B69" s="1840" t="s">
        <v>12747</v>
      </c>
      <c r="C69" s="1841" t="s">
        <v>1270</v>
      </c>
      <c r="D69" s="1842">
        <v>77.989999999999995</v>
      </c>
      <c r="E69" s="1843"/>
    </row>
    <row r="70" spans="1:5">
      <c r="A70" s="1839" t="s">
        <v>12748</v>
      </c>
      <c r="B70" s="1840" t="s">
        <v>12749</v>
      </c>
      <c r="C70" s="1841" t="s">
        <v>1270</v>
      </c>
      <c r="D70" s="1842">
        <v>49.86</v>
      </c>
      <c r="E70" s="1843"/>
    </row>
    <row r="71" spans="1:5">
      <c r="A71" s="1839" t="s">
        <v>12750</v>
      </c>
      <c r="B71" s="1840" t="s">
        <v>12751</v>
      </c>
      <c r="C71" s="1841" t="s">
        <v>1270</v>
      </c>
      <c r="D71" s="1842">
        <v>550</v>
      </c>
      <c r="E71" s="1843"/>
    </row>
    <row r="72" spans="1:5">
      <c r="A72" s="1839" t="s">
        <v>12752</v>
      </c>
      <c r="B72" s="1840" t="s">
        <v>12753</v>
      </c>
      <c r="C72" s="1841" t="s">
        <v>18</v>
      </c>
      <c r="D72" s="1842">
        <v>123</v>
      </c>
      <c r="E72" s="1843"/>
    </row>
    <row r="73" spans="1:5">
      <c r="A73" s="1839" t="s">
        <v>12754</v>
      </c>
      <c r="B73" s="1840" t="s">
        <v>12755</v>
      </c>
      <c r="C73" s="1841" t="s">
        <v>18</v>
      </c>
      <c r="D73" s="1842">
        <v>68</v>
      </c>
      <c r="E73" s="1843"/>
    </row>
    <row r="74" spans="1:5">
      <c r="A74" s="1839" t="s">
        <v>12756</v>
      </c>
      <c r="B74" s="1840" t="s">
        <v>12757</v>
      </c>
      <c r="C74" s="1841" t="s">
        <v>1270</v>
      </c>
      <c r="D74" s="1842">
        <v>68</v>
      </c>
      <c r="E74" s="1843"/>
    </row>
    <row r="75" spans="1:5">
      <c r="A75" s="1839" t="s">
        <v>12758</v>
      </c>
      <c r="B75" s="1840" t="s">
        <v>12759</v>
      </c>
      <c r="C75" s="1841" t="s">
        <v>18</v>
      </c>
      <c r="D75" s="1842">
        <v>110.5</v>
      </c>
      <c r="E75" s="1843"/>
    </row>
    <row r="76" spans="1:5">
      <c r="A76" s="1839" t="s">
        <v>12760</v>
      </c>
      <c r="B76" s="1840" t="s">
        <v>12761</v>
      </c>
      <c r="C76" s="1841" t="s">
        <v>18</v>
      </c>
      <c r="D76" s="1842">
        <v>32.4</v>
      </c>
      <c r="E76" s="1843"/>
    </row>
    <row r="77" spans="1:5">
      <c r="A77" s="1839" t="s">
        <v>12762</v>
      </c>
      <c r="B77" s="1840" t="s">
        <v>12763</v>
      </c>
      <c r="C77" s="1841" t="s">
        <v>18</v>
      </c>
      <c r="D77" s="1842">
        <v>110.5</v>
      </c>
      <c r="E77" s="1843"/>
    </row>
    <row r="78" spans="1:5">
      <c r="A78" s="1839" t="s">
        <v>12764</v>
      </c>
      <c r="B78" s="1840" t="s">
        <v>12765</v>
      </c>
      <c r="C78" s="1841" t="s">
        <v>18</v>
      </c>
      <c r="D78" s="1842">
        <v>144.5</v>
      </c>
      <c r="E78" s="1843"/>
    </row>
    <row r="79" spans="1:5">
      <c r="A79" s="1839" t="s">
        <v>12766</v>
      </c>
      <c r="B79" s="1840" t="s">
        <v>12767</v>
      </c>
      <c r="C79" s="1841" t="s">
        <v>18</v>
      </c>
      <c r="D79" s="1842">
        <v>37.4</v>
      </c>
      <c r="E79" s="1843"/>
    </row>
    <row r="80" spans="1:5">
      <c r="A80" s="1839" t="s">
        <v>12768</v>
      </c>
      <c r="B80" s="1840" t="s">
        <v>12769</v>
      </c>
      <c r="C80" s="1841" t="s">
        <v>18</v>
      </c>
      <c r="D80" s="1842">
        <v>25.5</v>
      </c>
      <c r="E80" s="1843"/>
    </row>
    <row r="81" spans="1:5">
      <c r="A81" s="1839" t="s">
        <v>12770</v>
      </c>
      <c r="B81" s="1840" t="s">
        <v>12771</v>
      </c>
      <c r="C81" s="1841" t="s">
        <v>18</v>
      </c>
      <c r="D81" s="1842">
        <v>54.4</v>
      </c>
      <c r="E81" s="1843"/>
    </row>
    <row r="82" spans="1:5">
      <c r="A82" s="1839" t="s">
        <v>12772</v>
      </c>
      <c r="B82" s="1840" t="s">
        <v>12773</v>
      </c>
      <c r="C82" s="1841" t="s">
        <v>1270</v>
      </c>
      <c r="D82" s="1842">
        <v>163.80000000000001</v>
      </c>
      <c r="E82" s="1843"/>
    </row>
    <row r="83" spans="1:5">
      <c r="A83" s="1839" t="s">
        <v>12774</v>
      </c>
      <c r="B83" s="1840" t="s">
        <v>12775</v>
      </c>
      <c r="C83" s="1841" t="s">
        <v>1270</v>
      </c>
      <c r="D83" s="1842">
        <v>105.1</v>
      </c>
      <c r="E83" s="1843"/>
    </row>
    <row r="84" spans="1:5">
      <c r="A84" s="1839" t="s">
        <v>12776</v>
      </c>
      <c r="B84" s="1840" t="s">
        <v>12777</v>
      </c>
      <c r="C84" s="1841" t="s">
        <v>1270</v>
      </c>
      <c r="D84" s="1842">
        <v>105.1</v>
      </c>
      <c r="E84" s="1843"/>
    </row>
    <row r="85" spans="1:5">
      <c r="A85" s="1839" t="s">
        <v>12813</v>
      </c>
      <c r="B85" s="1840" t="s">
        <v>12814</v>
      </c>
      <c r="C85" s="1841" t="s">
        <v>1270</v>
      </c>
      <c r="D85" s="1842">
        <v>5.8949999999999996</v>
      </c>
      <c r="E85" s="1843"/>
    </row>
    <row r="86" spans="1:5">
      <c r="A86" s="1839" t="s">
        <v>12821</v>
      </c>
      <c r="B86" s="1840" t="s">
        <v>12822</v>
      </c>
      <c r="C86" s="1841" t="s">
        <v>1270</v>
      </c>
      <c r="D86" s="1842">
        <v>3.87</v>
      </c>
      <c r="E86" s="1843"/>
    </row>
    <row r="87" spans="1:5">
      <c r="A87" s="1839" t="s">
        <v>12824</v>
      </c>
      <c r="B87" s="1840" t="s">
        <v>12825</v>
      </c>
      <c r="C87" s="1841" t="s">
        <v>1270</v>
      </c>
      <c r="D87" s="1842">
        <v>1.6400000000000001</v>
      </c>
      <c r="E87" s="1843"/>
    </row>
    <row r="88" spans="1:5">
      <c r="A88" s="1839" t="s">
        <v>12826</v>
      </c>
      <c r="B88" s="1840" t="s">
        <v>12827</v>
      </c>
      <c r="C88" s="1841" t="s">
        <v>1270</v>
      </c>
      <c r="D88" s="1842">
        <v>7.33</v>
      </c>
      <c r="E88" s="1843"/>
    </row>
    <row r="89" spans="1:5">
      <c r="A89" s="1839" t="s">
        <v>12830</v>
      </c>
      <c r="B89" s="1840" t="s">
        <v>12829</v>
      </c>
      <c r="C89" s="1841" t="s">
        <v>1270</v>
      </c>
      <c r="D89" s="1842">
        <v>12.734999999999999</v>
      </c>
      <c r="E89" s="1843"/>
    </row>
    <row r="90" spans="1:5">
      <c r="A90" s="1839" t="s">
        <v>12837</v>
      </c>
      <c r="B90" s="1840" t="s">
        <v>12838</v>
      </c>
      <c r="C90" s="1841" t="s">
        <v>1270</v>
      </c>
      <c r="D90" s="1842">
        <v>383.78</v>
      </c>
      <c r="E90" s="1843"/>
    </row>
    <row r="91" spans="1:5">
      <c r="A91" s="1839" t="s">
        <v>13285</v>
      </c>
      <c r="B91" s="1840" t="s">
        <v>13286</v>
      </c>
      <c r="C91" s="1841" t="s">
        <v>1270</v>
      </c>
      <c r="D91" s="1842">
        <v>125.559</v>
      </c>
      <c r="E91" s="1843"/>
    </row>
    <row r="92" spans="1:5">
      <c r="A92" s="1839" t="s">
        <v>13287</v>
      </c>
      <c r="B92" s="1840" t="s">
        <v>13288</v>
      </c>
      <c r="C92" s="1841" t="s">
        <v>11723</v>
      </c>
      <c r="D92" s="1842">
        <v>2375</v>
      </c>
      <c r="E92" s="1843"/>
    </row>
    <row r="93" spans="1:5">
      <c r="A93" s="1839" t="s">
        <v>12839</v>
      </c>
      <c r="B93" s="1840" t="s">
        <v>12840</v>
      </c>
      <c r="C93" s="1841" t="s">
        <v>1270</v>
      </c>
      <c r="D93" s="1842">
        <v>55.43</v>
      </c>
      <c r="E93" s="1843"/>
    </row>
    <row r="94" spans="1:5">
      <c r="A94" s="1839" t="s">
        <v>12841</v>
      </c>
      <c r="B94" s="1840" t="s">
        <v>12842</v>
      </c>
      <c r="C94" s="1841" t="s">
        <v>1270</v>
      </c>
      <c r="D94" s="1842">
        <v>55.43</v>
      </c>
      <c r="E94" s="1843"/>
    </row>
    <row r="95" spans="1:5">
      <c r="A95" s="1839" t="s">
        <v>12843</v>
      </c>
      <c r="B95" s="1840" t="s">
        <v>12844</v>
      </c>
      <c r="C95" s="1841" t="s">
        <v>1270</v>
      </c>
      <c r="D95" s="1842">
        <v>193.25</v>
      </c>
      <c r="E95" s="1843"/>
    </row>
    <row r="96" spans="1:5">
      <c r="A96" s="1839" t="s">
        <v>12845</v>
      </c>
      <c r="B96" s="1840" t="s">
        <v>12846</v>
      </c>
      <c r="C96" s="1841" t="s">
        <v>1270</v>
      </c>
      <c r="D96" s="1842">
        <v>3146.2749999999996</v>
      </c>
      <c r="E96" s="1843"/>
    </row>
    <row r="97" spans="1:5">
      <c r="A97" s="1839" t="s">
        <v>12847</v>
      </c>
      <c r="B97" s="1840" t="s">
        <v>12848</v>
      </c>
      <c r="C97" s="1841" t="s">
        <v>1270</v>
      </c>
      <c r="D97" s="1842">
        <v>252.64</v>
      </c>
      <c r="E97" s="1843"/>
    </row>
    <row r="98" spans="1:5">
      <c r="A98" s="1839" t="s">
        <v>12851</v>
      </c>
      <c r="B98" s="1840" t="s">
        <v>12852</v>
      </c>
      <c r="C98" s="1841" t="s">
        <v>1270</v>
      </c>
      <c r="D98" s="1842">
        <v>468.83499999999998</v>
      </c>
      <c r="E98" s="1843"/>
    </row>
    <row r="99" spans="1:5">
      <c r="A99" s="1839" t="s">
        <v>12853</v>
      </c>
      <c r="B99" s="1840" t="s">
        <v>12854</v>
      </c>
      <c r="C99" s="1841" t="s">
        <v>1270</v>
      </c>
      <c r="D99" s="1842">
        <v>1188.605</v>
      </c>
      <c r="E99" s="1843"/>
    </row>
    <row r="100" spans="1:5">
      <c r="A100" s="1839" t="s">
        <v>12865</v>
      </c>
      <c r="B100" s="1840" t="s">
        <v>12866</v>
      </c>
      <c r="C100" s="1841" t="s">
        <v>1270</v>
      </c>
      <c r="D100" s="1842">
        <v>439.92999999999995</v>
      </c>
      <c r="E100" s="1843"/>
    </row>
    <row r="101" spans="1:5">
      <c r="A101" s="1839" t="s">
        <v>12873</v>
      </c>
      <c r="B101" s="1840" t="s">
        <v>12874</v>
      </c>
      <c r="C101" s="1841" t="s">
        <v>1270</v>
      </c>
      <c r="D101" s="1842">
        <v>179.80500000000001</v>
      </c>
      <c r="E101" s="1843"/>
    </row>
    <row r="102" spans="1:5">
      <c r="A102" s="1839" t="s">
        <v>12875</v>
      </c>
      <c r="B102" s="1840" t="s">
        <v>12876</v>
      </c>
      <c r="C102" s="1841" t="s">
        <v>1270</v>
      </c>
      <c r="D102" s="1842">
        <v>179.80500000000001</v>
      </c>
      <c r="E102" s="1843"/>
    </row>
    <row r="103" spans="1:5">
      <c r="A103" s="1839" t="s">
        <v>12877</v>
      </c>
      <c r="B103" s="1840" t="s">
        <v>12878</v>
      </c>
      <c r="C103" s="1841" t="s">
        <v>1270</v>
      </c>
      <c r="D103" s="1842">
        <v>556.24</v>
      </c>
      <c r="E103" s="1843"/>
    </row>
    <row r="104" spans="1:5">
      <c r="A104" s="1839" t="s">
        <v>12879</v>
      </c>
      <c r="B104" s="1840" t="s">
        <v>12880</v>
      </c>
      <c r="C104" s="1841" t="s">
        <v>1270</v>
      </c>
      <c r="D104" s="1842">
        <v>111.02500000000001</v>
      </c>
      <c r="E104" s="1843"/>
    </row>
    <row r="105" spans="1:5">
      <c r="A105" s="1839" t="s">
        <v>12883</v>
      </c>
      <c r="B105" s="1840" t="s">
        <v>12884</v>
      </c>
      <c r="C105" s="1841" t="s">
        <v>1270</v>
      </c>
      <c r="D105" s="1842">
        <v>90.44</v>
      </c>
      <c r="E105" s="1843"/>
    </row>
    <row r="106" spans="1:5">
      <c r="A106" s="1839" t="s">
        <v>12885</v>
      </c>
      <c r="B106" s="1840" t="s">
        <v>12886</v>
      </c>
      <c r="C106" s="1841" t="s">
        <v>1270</v>
      </c>
      <c r="D106" s="1842">
        <v>235.22500000000002</v>
      </c>
      <c r="E106" s="1843"/>
    </row>
    <row r="107" spans="1:5">
      <c r="A107" s="1839" t="s">
        <v>12889</v>
      </c>
      <c r="B107" s="1840" t="s">
        <v>12890</v>
      </c>
      <c r="C107" s="1841" t="s">
        <v>1270</v>
      </c>
      <c r="D107" s="1842">
        <v>5059.0249999999996</v>
      </c>
      <c r="E107" s="1843"/>
    </row>
    <row r="108" spans="1:5">
      <c r="A108" s="1839" t="s">
        <v>12895</v>
      </c>
      <c r="B108" s="1840" t="s">
        <v>12896</v>
      </c>
      <c r="C108" s="1841" t="s">
        <v>1270</v>
      </c>
      <c r="D108" s="1842">
        <v>281.8</v>
      </c>
      <c r="E108" s="1843"/>
    </row>
    <row r="109" spans="1:5">
      <c r="A109" s="1839" t="s">
        <v>12897</v>
      </c>
      <c r="B109" s="1840" t="s">
        <v>12898</v>
      </c>
      <c r="C109" s="1841" t="s">
        <v>1270</v>
      </c>
      <c r="D109" s="1842">
        <v>133.255</v>
      </c>
      <c r="E109" s="1843"/>
    </row>
    <row r="110" spans="1:5">
      <c r="A110" s="1839" t="s">
        <v>12899</v>
      </c>
      <c r="B110" s="1840" t="s">
        <v>12900</v>
      </c>
      <c r="C110" s="1841" t="s">
        <v>1270</v>
      </c>
      <c r="D110" s="1842">
        <v>391.36</v>
      </c>
      <c r="E110" s="1843"/>
    </row>
    <row r="111" spans="1:5">
      <c r="A111" s="1839" t="s">
        <v>12903</v>
      </c>
      <c r="B111" s="1840" t="s">
        <v>12904</v>
      </c>
      <c r="C111" s="1841" t="s">
        <v>1270</v>
      </c>
      <c r="D111" s="1842">
        <v>223.32</v>
      </c>
      <c r="E111" s="1843"/>
    </row>
    <row r="112" spans="1:5">
      <c r="A112" s="1839" t="s">
        <v>12913</v>
      </c>
      <c r="B112" s="1840" t="s">
        <v>12912</v>
      </c>
      <c r="C112" s="1841" t="s">
        <v>1270</v>
      </c>
      <c r="D112" s="1842">
        <v>3.19</v>
      </c>
      <c r="E112" s="1843"/>
    </row>
    <row r="113" spans="1:5">
      <c r="A113" s="1839" t="s">
        <v>12914</v>
      </c>
      <c r="B113" s="1840" t="s">
        <v>12912</v>
      </c>
      <c r="C113" s="1841" t="s">
        <v>1270</v>
      </c>
      <c r="D113" s="1842">
        <v>3.19</v>
      </c>
      <c r="E113" s="1843"/>
    </row>
    <row r="114" spans="1:5">
      <c r="A114" s="1839" t="s">
        <v>12916</v>
      </c>
      <c r="B114" s="1840" t="s">
        <v>11740</v>
      </c>
      <c r="C114" s="1841" t="s">
        <v>1270</v>
      </c>
      <c r="D114" s="1842">
        <v>5.5350000000000001</v>
      </c>
      <c r="E114" s="1843"/>
    </row>
    <row r="115" spans="1:5">
      <c r="A115" s="1839" t="s">
        <v>12917</v>
      </c>
      <c r="B115" s="1840" t="s">
        <v>12918</v>
      </c>
      <c r="C115" s="1841" t="s">
        <v>1270</v>
      </c>
      <c r="D115" s="1842">
        <v>3.169</v>
      </c>
      <c r="E115" s="1843"/>
    </row>
    <row r="116" spans="1:5">
      <c r="A116" s="1839" t="s">
        <v>12919</v>
      </c>
      <c r="B116" s="1840" t="s">
        <v>12920</v>
      </c>
      <c r="C116" s="1841" t="s">
        <v>1270</v>
      </c>
      <c r="D116" s="1842">
        <v>5.5750000000000002</v>
      </c>
      <c r="E116" s="1843"/>
    </row>
    <row r="117" spans="1:5">
      <c r="A117" s="1839" t="s">
        <v>12921</v>
      </c>
      <c r="B117" s="1840" t="s">
        <v>12922</v>
      </c>
      <c r="C117" s="1841" t="s">
        <v>1270</v>
      </c>
      <c r="D117" s="1842">
        <v>5.5750000000000002</v>
      </c>
      <c r="E117" s="1843"/>
    </row>
    <row r="118" spans="1:5">
      <c r="A118" s="1839" t="s">
        <v>12923</v>
      </c>
      <c r="B118" s="1840" t="s">
        <v>12924</v>
      </c>
      <c r="C118" s="1841" t="s">
        <v>1270</v>
      </c>
      <c r="D118" s="1842">
        <v>5.5750000000000002</v>
      </c>
      <c r="E118" s="1843"/>
    </row>
    <row r="119" spans="1:5">
      <c r="A119" s="1839" t="s">
        <v>12927</v>
      </c>
      <c r="B119" s="1840" t="s">
        <v>21116</v>
      </c>
      <c r="C119" s="1841" t="s">
        <v>1270</v>
      </c>
      <c r="D119" s="1842">
        <v>12.629999999999999</v>
      </c>
      <c r="E119" s="1843"/>
    </row>
    <row r="120" spans="1:5">
      <c r="A120" s="1839" t="s">
        <v>12934</v>
      </c>
      <c r="B120" s="1840" t="s">
        <v>20994</v>
      </c>
      <c r="C120" s="1841" t="s">
        <v>1270</v>
      </c>
      <c r="D120" s="1842">
        <v>31.805</v>
      </c>
      <c r="E120" s="1843"/>
    </row>
    <row r="121" spans="1:5">
      <c r="A121" s="1839" t="s">
        <v>12936</v>
      </c>
      <c r="B121" s="1840" t="s">
        <v>12937</v>
      </c>
      <c r="C121" s="1841" t="s">
        <v>1270</v>
      </c>
      <c r="D121" s="1842">
        <v>1634.0050000000001</v>
      </c>
      <c r="E121" s="1843"/>
    </row>
    <row r="122" spans="1:5">
      <c r="A122" s="1839" t="s">
        <v>12942</v>
      </c>
      <c r="B122" s="1840" t="s">
        <v>12943</v>
      </c>
      <c r="C122" s="1841" t="s">
        <v>1270</v>
      </c>
      <c r="D122" s="1842">
        <v>4059.59</v>
      </c>
      <c r="E122" s="1843"/>
    </row>
    <row r="123" spans="1:5">
      <c r="A123" s="1839" t="s">
        <v>12948</v>
      </c>
      <c r="B123" s="1840" t="s">
        <v>12949</v>
      </c>
      <c r="C123" s="1841" t="s">
        <v>1270</v>
      </c>
      <c r="D123" s="1842">
        <v>307.10500000000002</v>
      </c>
      <c r="E123" s="1843"/>
    </row>
    <row r="124" spans="1:5">
      <c r="A124" s="1839" t="s">
        <v>12960</v>
      </c>
      <c r="B124" s="1840" t="s">
        <v>12961</v>
      </c>
      <c r="C124" s="1841" t="s">
        <v>1270</v>
      </c>
      <c r="D124" s="1842">
        <v>506.72999999999996</v>
      </c>
      <c r="E124" s="1843"/>
    </row>
    <row r="125" spans="1:5">
      <c r="A125" s="1839" t="s">
        <v>12962</v>
      </c>
      <c r="B125" s="1840" t="s">
        <v>12963</v>
      </c>
      <c r="C125" s="1841" t="s">
        <v>1270</v>
      </c>
      <c r="D125" s="1842">
        <v>549.68999999999994</v>
      </c>
      <c r="E125" s="1843"/>
    </row>
    <row r="126" spans="1:5">
      <c r="A126" s="1839" t="s">
        <v>12964</v>
      </c>
      <c r="B126" s="1840" t="s">
        <v>12965</v>
      </c>
      <c r="C126" s="1841" t="s">
        <v>1270</v>
      </c>
      <c r="D126" s="1842">
        <v>1092.3899999999999</v>
      </c>
      <c r="E126" s="1843"/>
    </row>
    <row r="127" spans="1:5">
      <c r="A127" s="1839" t="s">
        <v>12966</v>
      </c>
      <c r="B127" s="1840" t="s">
        <v>12967</v>
      </c>
      <c r="C127" s="1841" t="s">
        <v>1270</v>
      </c>
      <c r="D127" s="1842">
        <v>1910.38</v>
      </c>
      <c r="E127" s="1843"/>
    </row>
    <row r="128" spans="1:5">
      <c r="A128" s="1839" t="s">
        <v>12980</v>
      </c>
      <c r="B128" s="1840" t="s">
        <v>12981</v>
      </c>
      <c r="C128" s="1841" t="s">
        <v>1270</v>
      </c>
      <c r="D128" s="1842">
        <v>1786.32</v>
      </c>
      <c r="E128" s="1843"/>
    </row>
    <row r="129" spans="1:5">
      <c r="A129" s="1839" t="s">
        <v>12982</v>
      </c>
      <c r="B129" s="1840" t="s">
        <v>12983</v>
      </c>
      <c r="C129" s="1841" t="s">
        <v>1270</v>
      </c>
      <c r="D129" s="1842">
        <v>1786.32</v>
      </c>
      <c r="E129" s="1843"/>
    </row>
    <row r="130" spans="1:5">
      <c r="A130" s="1839" t="s">
        <v>12988</v>
      </c>
      <c r="B130" s="1840" t="s">
        <v>12989</v>
      </c>
      <c r="C130" s="1841" t="s">
        <v>1270</v>
      </c>
      <c r="D130" s="1842">
        <v>4443.8149999999996</v>
      </c>
      <c r="E130" s="1843"/>
    </row>
    <row r="131" spans="1:5">
      <c r="A131" s="1839" t="s">
        <v>12990</v>
      </c>
      <c r="B131" s="1840" t="s">
        <v>12991</v>
      </c>
      <c r="C131" s="1841" t="s">
        <v>1270</v>
      </c>
      <c r="D131" s="1842">
        <v>4621.1149999999998</v>
      </c>
      <c r="E131" s="1843"/>
    </row>
    <row r="132" spans="1:5">
      <c r="A132" s="1839" t="s">
        <v>13000</v>
      </c>
      <c r="B132" s="1840" t="s">
        <v>13001</v>
      </c>
      <c r="C132" s="1841" t="s">
        <v>1270</v>
      </c>
      <c r="D132" s="1842">
        <v>501.23500000000001</v>
      </c>
      <c r="E132" s="1843"/>
    </row>
    <row r="133" spans="1:5">
      <c r="A133" s="1839" t="s">
        <v>13002</v>
      </c>
      <c r="B133" s="1840" t="s">
        <v>13003</v>
      </c>
      <c r="C133" s="1841" t="s">
        <v>1270</v>
      </c>
      <c r="D133" s="1842">
        <v>501.23500000000001</v>
      </c>
      <c r="E133" s="1843"/>
    </row>
    <row r="134" spans="1:5">
      <c r="A134" s="1839" t="s">
        <v>13004</v>
      </c>
      <c r="B134" s="1840" t="s">
        <v>13005</v>
      </c>
      <c r="C134" s="1841" t="s">
        <v>1270</v>
      </c>
      <c r="D134" s="1842">
        <v>501.23500000000001</v>
      </c>
      <c r="E134" s="1843"/>
    </row>
    <row r="135" spans="1:5">
      <c r="A135" s="1839" t="s">
        <v>13008</v>
      </c>
      <c r="B135" s="1840" t="s">
        <v>13009</v>
      </c>
      <c r="C135" s="1841" t="s">
        <v>1270</v>
      </c>
      <c r="D135" s="1842">
        <v>573.43499999999995</v>
      </c>
      <c r="E135" s="1843"/>
    </row>
    <row r="136" spans="1:5">
      <c r="A136" s="1839" t="s">
        <v>13010</v>
      </c>
      <c r="B136" s="1840" t="s">
        <v>13011</v>
      </c>
      <c r="C136" s="1841" t="s">
        <v>1270</v>
      </c>
      <c r="D136" s="1842">
        <v>573.43499999999995</v>
      </c>
      <c r="E136" s="1843"/>
    </row>
    <row r="137" spans="1:5">
      <c r="A137" s="1839" t="s">
        <v>13012</v>
      </c>
      <c r="B137" s="1840" t="s">
        <v>13013</v>
      </c>
      <c r="C137" s="1841" t="s">
        <v>1270</v>
      </c>
      <c r="D137" s="1842">
        <v>579.68499999999995</v>
      </c>
      <c r="E137" s="1843"/>
    </row>
    <row r="138" spans="1:5">
      <c r="A138" s="1839" t="s">
        <v>13016</v>
      </c>
      <c r="B138" s="1840" t="s">
        <v>13017</v>
      </c>
      <c r="C138" s="1841" t="s">
        <v>1270</v>
      </c>
      <c r="D138" s="1842">
        <v>994.18499999999995</v>
      </c>
      <c r="E138" s="1843"/>
    </row>
    <row r="139" spans="1:5">
      <c r="A139" s="1839" t="s">
        <v>13020</v>
      </c>
      <c r="B139" s="1840" t="s">
        <v>13021</v>
      </c>
      <c r="C139" s="1841" t="s">
        <v>1270</v>
      </c>
      <c r="D139" s="1842">
        <v>677.505</v>
      </c>
      <c r="E139" s="1843"/>
    </row>
    <row r="140" spans="1:5">
      <c r="A140" s="1839" t="s">
        <v>13022</v>
      </c>
      <c r="B140" s="1840" t="s">
        <v>13023</v>
      </c>
      <c r="C140" s="1841" t="s">
        <v>1270</v>
      </c>
      <c r="D140" s="1842">
        <v>1998.4649999999999</v>
      </c>
      <c r="E140" s="1843"/>
    </row>
    <row r="141" spans="1:5">
      <c r="A141" s="1839" t="s">
        <v>13024</v>
      </c>
      <c r="B141" s="1840" t="s">
        <v>13025</v>
      </c>
      <c r="C141" s="1841" t="s">
        <v>1270</v>
      </c>
      <c r="D141" s="1842">
        <v>700.70499999999993</v>
      </c>
      <c r="E141" s="1843"/>
    </row>
    <row r="142" spans="1:5">
      <c r="A142" s="1839" t="s">
        <v>13026</v>
      </c>
      <c r="B142" s="1840" t="s">
        <v>13027</v>
      </c>
      <c r="C142" s="1841" t="s">
        <v>1270</v>
      </c>
      <c r="D142" s="1842">
        <v>810.61</v>
      </c>
      <c r="E142" s="1843"/>
    </row>
    <row r="143" spans="1:5">
      <c r="A143" s="1839" t="s">
        <v>13028</v>
      </c>
      <c r="B143" s="1840" t="s">
        <v>13029</v>
      </c>
      <c r="C143" s="1841" t="s">
        <v>1270</v>
      </c>
      <c r="D143" s="1842">
        <v>810.61</v>
      </c>
      <c r="E143" s="1843"/>
    </row>
    <row r="144" spans="1:5">
      <c r="A144" s="1839" t="s">
        <v>13050</v>
      </c>
      <c r="B144" s="1840" t="s">
        <v>13051</v>
      </c>
      <c r="C144" s="1841" t="s">
        <v>1270</v>
      </c>
      <c r="D144" s="1842">
        <v>2880</v>
      </c>
      <c r="E144" s="1843"/>
    </row>
    <row r="145" spans="1:5">
      <c r="A145" s="1839" t="s">
        <v>13052</v>
      </c>
      <c r="B145" s="1840" t="s">
        <v>13053</v>
      </c>
      <c r="C145" s="1841" t="s">
        <v>1270</v>
      </c>
      <c r="D145" s="1842">
        <v>2880</v>
      </c>
      <c r="E145" s="1843"/>
    </row>
    <row r="146" spans="1:5">
      <c r="A146" s="1839" t="s">
        <v>13054</v>
      </c>
      <c r="B146" s="1840" t="s">
        <v>13055</v>
      </c>
      <c r="C146" s="1841" t="s">
        <v>1270</v>
      </c>
      <c r="D146" s="1842">
        <v>2850</v>
      </c>
      <c r="E146" s="1843"/>
    </row>
    <row r="147" spans="1:5">
      <c r="A147" s="1839" t="s">
        <v>13056</v>
      </c>
      <c r="B147" s="1840" t="s">
        <v>13057</v>
      </c>
      <c r="C147" s="1841" t="s">
        <v>11723</v>
      </c>
      <c r="D147" s="1842">
        <v>6885</v>
      </c>
      <c r="E147" s="1843"/>
    </row>
    <row r="148" spans="1:5">
      <c r="A148" s="1839" t="s">
        <v>13076</v>
      </c>
      <c r="B148" s="1840" t="s">
        <v>13077</v>
      </c>
      <c r="C148" s="1841" t="s">
        <v>10854</v>
      </c>
      <c r="D148" s="1842">
        <v>318.03720000000004</v>
      </c>
      <c r="E148" s="1843"/>
    </row>
    <row r="149" spans="1:5">
      <c r="A149" s="1839" t="s">
        <v>13078</v>
      </c>
      <c r="B149" s="1840" t="s">
        <v>13079</v>
      </c>
      <c r="C149" s="1841" t="s">
        <v>10854</v>
      </c>
      <c r="D149" s="1842">
        <v>216.70829999999998</v>
      </c>
      <c r="E149" s="1843"/>
    </row>
    <row r="150" spans="1:5">
      <c r="A150" s="1839" t="s">
        <v>13262</v>
      </c>
      <c r="B150" s="1840" t="s">
        <v>13263</v>
      </c>
      <c r="C150" s="1841" t="s">
        <v>10854</v>
      </c>
      <c r="D150" s="1842">
        <v>17.829999999999998</v>
      </c>
      <c r="E150" s="1843"/>
    </row>
    <row r="151" spans="1:5">
      <c r="A151" s="1839" t="s">
        <v>13264</v>
      </c>
      <c r="B151" s="1840" t="s">
        <v>13265</v>
      </c>
      <c r="C151" s="1841" t="s">
        <v>1270</v>
      </c>
      <c r="D151" s="1842">
        <v>1.61</v>
      </c>
      <c r="E151" s="1843"/>
    </row>
    <row r="152" spans="1:5">
      <c r="A152" s="1839" t="s">
        <v>13266</v>
      </c>
      <c r="B152" s="1840" t="s">
        <v>13267</v>
      </c>
      <c r="C152" s="1841" t="s">
        <v>1270</v>
      </c>
      <c r="D152" s="1842">
        <v>8.73</v>
      </c>
      <c r="E152" s="1843"/>
    </row>
    <row r="153" spans="1:5">
      <c r="A153" s="1839" t="s">
        <v>13293</v>
      </c>
      <c r="B153" s="1840" t="s">
        <v>13295</v>
      </c>
      <c r="C153" s="1841" t="s">
        <v>1270</v>
      </c>
      <c r="D153" s="1842">
        <v>1265.99</v>
      </c>
      <c r="E153" s="1843"/>
    </row>
    <row r="154" spans="1:5">
      <c r="A154" s="1839" t="s">
        <v>13294</v>
      </c>
      <c r="B154" s="1840" t="s">
        <v>13296</v>
      </c>
      <c r="C154" s="1841" t="s">
        <v>1270</v>
      </c>
      <c r="D154" s="1842">
        <v>447.01150000000001</v>
      </c>
      <c r="E154" s="1843"/>
    </row>
    <row r="155" spans="1:5">
      <c r="A155" s="1839" t="s">
        <v>13175</v>
      </c>
      <c r="B155" s="1840" t="s">
        <v>13176</v>
      </c>
      <c r="C155" s="1841" t="s">
        <v>1270</v>
      </c>
      <c r="D155" s="1842">
        <v>397.05599999999998</v>
      </c>
      <c r="E155" s="1843"/>
    </row>
    <row r="156" spans="1:5">
      <c r="A156" s="1839" t="s">
        <v>13177</v>
      </c>
      <c r="B156" s="1840" t="s">
        <v>13178</v>
      </c>
      <c r="C156" s="1841" t="s">
        <v>1270</v>
      </c>
      <c r="D156" s="1842">
        <v>397.05599999999998</v>
      </c>
      <c r="E156" s="1843"/>
    </row>
    <row r="157" spans="1:5">
      <c r="A157" s="1839" t="s">
        <v>13181</v>
      </c>
      <c r="B157" s="1840" t="s">
        <v>13182</v>
      </c>
      <c r="C157" s="1841" t="s">
        <v>1270</v>
      </c>
      <c r="D157" s="1842">
        <v>493.04750000000013</v>
      </c>
      <c r="E157" s="1843"/>
    </row>
    <row r="158" spans="1:5">
      <c r="A158" s="1839" t="s">
        <v>13183</v>
      </c>
      <c r="B158" s="1840" t="s">
        <v>13184</v>
      </c>
      <c r="C158" s="1841" t="s">
        <v>1270</v>
      </c>
      <c r="D158" s="1842">
        <v>493.04750000000013</v>
      </c>
      <c r="E158" s="1843"/>
    </row>
    <row r="159" spans="1:5">
      <c r="A159" s="1839" t="s">
        <v>13185</v>
      </c>
      <c r="B159" s="1840" t="s">
        <v>13186</v>
      </c>
      <c r="C159" s="1841" t="s">
        <v>1270</v>
      </c>
      <c r="D159" s="1842">
        <v>493.04750000000013</v>
      </c>
      <c r="E159" s="1843"/>
    </row>
    <row r="160" spans="1:5" ht="22.5">
      <c r="A160" s="1839" t="s">
        <v>13187</v>
      </c>
      <c r="B160" s="1840" t="s">
        <v>13188</v>
      </c>
      <c r="C160" s="1841" t="s">
        <v>1270</v>
      </c>
      <c r="D160" s="1842">
        <v>334.37800000000004</v>
      </c>
      <c r="E160" s="1843"/>
    </row>
    <row r="161" spans="1:5">
      <c r="A161" s="1839" t="s">
        <v>13191</v>
      </c>
      <c r="B161" s="1840" t="s">
        <v>13192</v>
      </c>
      <c r="C161" s="1841" t="s">
        <v>1270</v>
      </c>
      <c r="D161" s="1842">
        <v>178.02400000000003</v>
      </c>
      <c r="E161" s="1843"/>
    </row>
    <row r="162" spans="1:5">
      <c r="A162" s="1839" t="s">
        <v>13195</v>
      </c>
      <c r="B162" s="1840" t="s">
        <v>13196</v>
      </c>
      <c r="C162" s="1841" t="s">
        <v>1270</v>
      </c>
      <c r="D162" s="1842">
        <v>193.15799999999999</v>
      </c>
      <c r="E162" s="1843"/>
    </row>
    <row r="163" spans="1:5">
      <c r="A163" s="1839" t="s">
        <v>13197</v>
      </c>
      <c r="B163" s="1840" t="s">
        <v>13198</v>
      </c>
      <c r="C163" s="1841" t="s">
        <v>1270</v>
      </c>
      <c r="D163" s="1842">
        <v>219.85999999999999</v>
      </c>
      <c r="E163" s="1843"/>
    </row>
    <row r="164" spans="1:5">
      <c r="A164" s="1839" t="s">
        <v>13088</v>
      </c>
      <c r="B164" s="1840" t="s">
        <v>13089</v>
      </c>
      <c r="C164" s="1841" t="s">
        <v>11723</v>
      </c>
      <c r="D164" s="1842">
        <v>25500</v>
      </c>
      <c r="E164" s="1843"/>
    </row>
    <row r="165" spans="1:5">
      <c r="A165" s="1839" t="s">
        <v>13201</v>
      </c>
      <c r="B165" s="1840" t="s">
        <v>13202</v>
      </c>
      <c r="C165" s="1841" t="s">
        <v>1270</v>
      </c>
      <c r="D165" s="1842">
        <v>623.18300000000011</v>
      </c>
      <c r="E165" s="1843"/>
    </row>
    <row r="166" spans="1:5">
      <c r="A166" s="1839" t="s">
        <v>13205</v>
      </c>
      <c r="B166" s="1840" t="s">
        <v>13206</v>
      </c>
      <c r="C166" s="1841" t="s">
        <v>18</v>
      </c>
      <c r="D166" s="1842">
        <v>286.04399999999998</v>
      </c>
      <c r="E166" s="1843"/>
    </row>
    <row r="167" spans="1:5">
      <c r="A167" s="1839" t="s">
        <v>13207</v>
      </c>
      <c r="B167" s="1840" t="s">
        <v>13208</v>
      </c>
      <c r="C167" s="1841" t="s">
        <v>18</v>
      </c>
      <c r="D167" s="1842">
        <v>286.04399999999998</v>
      </c>
      <c r="E167" s="1843"/>
    </row>
    <row r="168" spans="1:5">
      <c r="A168" s="1839" t="s">
        <v>13209</v>
      </c>
      <c r="B168" s="1840" t="s">
        <v>13210</v>
      </c>
      <c r="C168" s="1841" t="s">
        <v>1270</v>
      </c>
      <c r="D168" s="1842">
        <v>286.04399999999998</v>
      </c>
      <c r="E168" s="1843"/>
    </row>
    <row r="169" spans="1:5">
      <c r="A169" s="1839" t="s">
        <v>13211</v>
      </c>
      <c r="B169" s="1840" t="s">
        <v>13212</v>
      </c>
      <c r="C169" s="1841" t="s">
        <v>1270</v>
      </c>
      <c r="D169" s="1842">
        <v>328.95060000000001</v>
      </c>
      <c r="E169" s="1843"/>
    </row>
    <row r="170" spans="1:5">
      <c r="A170" s="1839" t="s">
        <v>13213</v>
      </c>
      <c r="B170" s="1840" t="s">
        <v>13214</v>
      </c>
      <c r="C170" s="1841" t="s">
        <v>1270</v>
      </c>
      <c r="D170" s="1842">
        <v>57.208800000000011</v>
      </c>
      <c r="E170" s="1843"/>
    </row>
    <row r="171" spans="1:5">
      <c r="A171" s="1839" t="s">
        <v>13215</v>
      </c>
      <c r="B171" s="1840" t="s">
        <v>13216</v>
      </c>
      <c r="C171" s="1841" t="s">
        <v>1270</v>
      </c>
      <c r="D171" s="1842">
        <v>71.510999999999996</v>
      </c>
      <c r="E171" s="1843"/>
    </row>
    <row r="172" spans="1:5">
      <c r="A172" s="1839" t="s">
        <v>13217</v>
      </c>
      <c r="B172" s="1840" t="s">
        <v>13218</v>
      </c>
      <c r="C172" s="1841" t="s">
        <v>1270</v>
      </c>
      <c r="D172" s="1842">
        <v>120.13848</v>
      </c>
      <c r="E172" s="1843"/>
    </row>
    <row r="173" spans="1:5">
      <c r="A173" s="1839" t="s">
        <v>13219</v>
      </c>
      <c r="B173" s="1840" t="s">
        <v>13220</v>
      </c>
      <c r="C173" s="1841" t="s">
        <v>1270</v>
      </c>
      <c r="D173" s="1842">
        <v>214.53300000000002</v>
      </c>
      <c r="E173" s="1843"/>
    </row>
    <row r="174" spans="1:5">
      <c r="A174" s="1839" t="s">
        <v>13221</v>
      </c>
      <c r="B174" s="1840" t="s">
        <v>13222</v>
      </c>
      <c r="C174" s="1841" t="s">
        <v>1270</v>
      </c>
      <c r="D174" s="1842">
        <v>308.92752000000007</v>
      </c>
      <c r="E174" s="1843"/>
    </row>
    <row r="175" spans="1:5">
      <c r="A175" s="1839" t="s">
        <v>13223</v>
      </c>
      <c r="B175" s="1840" t="s">
        <v>13224</v>
      </c>
      <c r="C175" s="1841" t="s">
        <v>1270</v>
      </c>
      <c r="D175" s="1842">
        <v>323.22971999999999</v>
      </c>
      <c r="E175" s="1843"/>
    </row>
    <row r="176" spans="1:5">
      <c r="A176" s="1839" t="s">
        <v>13225</v>
      </c>
      <c r="B176" s="1840" t="s">
        <v>13226</v>
      </c>
      <c r="C176" s="1841" t="s">
        <v>18</v>
      </c>
      <c r="D176" s="1842">
        <v>286.04399999999998</v>
      </c>
      <c r="E176" s="1843"/>
    </row>
    <row r="177" spans="1:5">
      <c r="A177" s="1839" t="s">
        <v>13233</v>
      </c>
      <c r="B177" s="1840" t="s">
        <v>13234</v>
      </c>
      <c r="C177" s="1841" t="s">
        <v>18</v>
      </c>
      <c r="D177" s="1842">
        <v>286.04399999999998</v>
      </c>
      <c r="E177" s="1843"/>
    </row>
    <row r="178" spans="1:5">
      <c r="A178" s="1839" t="s">
        <v>13110</v>
      </c>
      <c r="B178" s="1840" t="s">
        <v>13111</v>
      </c>
      <c r="C178" s="1841" t="s">
        <v>1270</v>
      </c>
      <c r="D178" s="1842">
        <v>1115</v>
      </c>
      <c r="E178" s="1843"/>
    </row>
    <row r="179" spans="1:5">
      <c r="A179" s="1839" t="s">
        <v>13116</v>
      </c>
      <c r="B179" s="1840" t="s">
        <v>13117</v>
      </c>
      <c r="C179" s="1841" t="s">
        <v>1270</v>
      </c>
      <c r="D179" s="1842">
        <v>1150</v>
      </c>
      <c r="E179" s="1843"/>
    </row>
    <row r="180" spans="1:5">
      <c r="A180" s="1839" t="s">
        <v>13122</v>
      </c>
      <c r="B180" s="1840" t="s">
        <v>13123</v>
      </c>
      <c r="C180" s="1841" t="s">
        <v>1270</v>
      </c>
      <c r="D180" s="1842">
        <v>650</v>
      </c>
      <c r="E180" s="1843"/>
    </row>
    <row r="181" spans="1:5">
      <c r="A181" s="1839" t="s">
        <v>13124</v>
      </c>
      <c r="B181" s="1840" t="s">
        <v>14462</v>
      </c>
      <c r="C181" s="1841" t="s">
        <v>1270</v>
      </c>
      <c r="D181" s="1842">
        <v>1150</v>
      </c>
      <c r="E181" s="1843"/>
    </row>
    <row r="182" spans="1:5">
      <c r="A182" s="1839" t="s">
        <v>13127</v>
      </c>
      <c r="B182" s="1840" t="s">
        <v>14472</v>
      </c>
      <c r="C182" s="1841" t="s">
        <v>1270</v>
      </c>
      <c r="D182" s="1842">
        <v>128</v>
      </c>
      <c r="E182" s="1843"/>
    </row>
    <row r="183" spans="1:5">
      <c r="A183" s="1839" t="s">
        <v>13129</v>
      </c>
      <c r="B183" s="1840" t="s">
        <v>13130</v>
      </c>
      <c r="C183" s="1841" t="s">
        <v>10854</v>
      </c>
      <c r="D183" s="1842">
        <v>128</v>
      </c>
      <c r="E183" s="1843"/>
    </row>
    <row r="184" spans="1:5">
      <c r="A184" s="1839" t="s">
        <v>13131</v>
      </c>
      <c r="B184" s="1840" t="s">
        <v>13132</v>
      </c>
      <c r="C184" s="1841" t="s">
        <v>1270</v>
      </c>
      <c r="D184" s="1842">
        <v>26</v>
      </c>
      <c r="E184" s="1843"/>
    </row>
    <row r="185" spans="1:5">
      <c r="A185" s="1839" t="s">
        <v>13137</v>
      </c>
      <c r="B185" s="1840" t="s">
        <v>13138</v>
      </c>
      <c r="C185" s="1841" t="s">
        <v>10854</v>
      </c>
      <c r="D185" s="1842">
        <v>5550</v>
      </c>
      <c r="E185" s="1843"/>
    </row>
    <row r="186" spans="1:5">
      <c r="A186" s="1839" t="s">
        <v>13139</v>
      </c>
      <c r="B186" s="1840" t="s">
        <v>13140</v>
      </c>
      <c r="C186" s="1841" t="s">
        <v>10854</v>
      </c>
      <c r="D186" s="1842">
        <v>750</v>
      </c>
      <c r="E186" s="1843"/>
    </row>
    <row r="187" spans="1:5" ht="12.75" customHeight="1">
      <c r="A187" s="1839" t="s">
        <v>14471</v>
      </c>
      <c r="B187" s="1840" t="s">
        <v>13128</v>
      </c>
      <c r="C187" s="1841" t="s">
        <v>10854</v>
      </c>
      <c r="D187" s="1842">
        <v>8680</v>
      </c>
      <c r="E187" s="1843"/>
    </row>
    <row r="188" spans="1:5" ht="12.75" customHeight="1">
      <c r="A188" s="1839" t="s">
        <v>14477</v>
      </c>
      <c r="B188" s="1840" t="s">
        <v>14479</v>
      </c>
      <c r="C188" s="1841" t="s">
        <v>1270</v>
      </c>
      <c r="D188" s="1842">
        <v>26</v>
      </c>
      <c r="E188" s="1843"/>
    </row>
    <row r="189" spans="1:5" ht="12.75" customHeight="1">
      <c r="A189" s="1839" t="s">
        <v>14478</v>
      </c>
      <c r="B189" s="1840" t="s">
        <v>14480</v>
      </c>
      <c r="C189" s="1841" t="s">
        <v>1270</v>
      </c>
      <c r="D189" s="1842">
        <v>195</v>
      </c>
      <c r="E189" s="1843"/>
    </row>
    <row r="190" spans="1:5" ht="12.75" customHeight="1">
      <c r="A190" s="1839" t="s">
        <v>13090</v>
      </c>
      <c r="B190" s="1840" t="s">
        <v>14354</v>
      </c>
      <c r="C190" s="1841" t="s">
        <v>18</v>
      </c>
      <c r="D190" s="1842">
        <v>380</v>
      </c>
      <c r="E190" s="1843"/>
    </row>
    <row r="191" spans="1:5">
      <c r="A191" s="1839" t="s">
        <v>13091</v>
      </c>
      <c r="B191" s="1840" t="s">
        <v>14355</v>
      </c>
      <c r="C191" s="1841" t="s">
        <v>10854</v>
      </c>
      <c r="D191" s="1842">
        <v>155</v>
      </c>
      <c r="E191" s="1843"/>
    </row>
    <row r="192" spans="1:5">
      <c r="A192" s="1839" t="s">
        <v>13093</v>
      </c>
      <c r="B192" s="1840" t="s">
        <v>13092</v>
      </c>
      <c r="C192" s="1841" t="s">
        <v>18</v>
      </c>
      <c r="D192" s="1842">
        <v>58</v>
      </c>
      <c r="E192" s="1843"/>
    </row>
    <row r="193" spans="1:5">
      <c r="A193" s="1839" t="s">
        <v>13094</v>
      </c>
      <c r="B193" s="1840" t="s">
        <v>14356</v>
      </c>
      <c r="C193" s="1841" t="s">
        <v>1270</v>
      </c>
      <c r="D193" s="1842">
        <v>85</v>
      </c>
      <c r="E193" s="1843"/>
    </row>
    <row r="194" spans="1:5">
      <c r="A194" s="1839" t="s">
        <v>13095</v>
      </c>
      <c r="B194" s="1840" t="s">
        <v>14357</v>
      </c>
      <c r="C194" s="1841" t="s">
        <v>1270</v>
      </c>
      <c r="D194" s="1842">
        <v>1.2519</v>
      </c>
      <c r="E194" s="1843"/>
    </row>
    <row r="195" spans="1:5" ht="22.5">
      <c r="A195" s="1839" t="s">
        <v>13096</v>
      </c>
      <c r="B195" s="1840" t="s">
        <v>14358</v>
      </c>
      <c r="C195" s="1841" t="s">
        <v>1270</v>
      </c>
      <c r="D195" s="1842">
        <v>0.96500000000000008</v>
      </c>
      <c r="E195" s="1843"/>
    </row>
    <row r="196" spans="1:5" ht="22.5">
      <c r="A196" s="1839" t="s">
        <v>13097</v>
      </c>
      <c r="B196" s="1840" t="s">
        <v>14359</v>
      </c>
      <c r="C196" s="1841" t="s">
        <v>1270</v>
      </c>
      <c r="D196" s="1842">
        <v>0.375</v>
      </c>
      <c r="E196" s="1843"/>
    </row>
    <row r="197" spans="1:5">
      <c r="A197" s="1839" t="s">
        <v>13098</v>
      </c>
      <c r="B197" s="1840" t="s">
        <v>13106</v>
      </c>
      <c r="C197" s="1841" t="s">
        <v>1270</v>
      </c>
      <c r="D197" s="1842">
        <v>155</v>
      </c>
      <c r="E197" s="1843"/>
    </row>
    <row r="198" spans="1:5">
      <c r="A198" s="1839" t="s">
        <v>13099</v>
      </c>
      <c r="B198" s="1840" t="s">
        <v>14360</v>
      </c>
      <c r="C198" s="1841" t="s">
        <v>10854</v>
      </c>
      <c r="D198" s="1842">
        <v>774</v>
      </c>
      <c r="E198" s="1843"/>
    </row>
    <row r="199" spans="1:5">
      <c r="A199" s="1839" t="s">
        <v>13100</v>
      </c>
      <c r="B199" s="1840" t="s">
        <v>14361</v>
      </c>
      <c r="C199" s="1841" t="s">
        <v>18</v>
      </c>
      <c r="D199" s="1842">
        <v>6.6750000000000007</v>
      </c>
      <c r="E199" s="1843"/>
    </row>
    <row r="200" spans="1:5">
      <c r="A200" s="1839" t="s">
        <v>13101</v>
      </c>
      <c r="B200" s="1840" t="s">
        <v>14362</v>
      </c>
      <c r="C200" s="1841" t="s">
        <v>18</v>
      </c>
      <c r="D200" s="1842">
        <v>6.6750000000000007</v>
      </c>
      <c r="E200" s="1843"/>
    </row>
    <row r="201" spans="1:5">
      <c r="A201" s="1839" t="s">
        <v>13102</v>
      </c>
      <c r="B201" s="1840" t="s">
        <v>14363</v>
      </c>
      <c r="C201" s="1841" t="s">
        <v>10854</v>
      </c>
      <c r="D201" s="1842">
        <v>151.62400000000002</v>
      </c>
      <c r="E201" s="1843"/>
    </row>
    <row r="202" spans="1:5">
      <c r="A202" s="1839" t="s">
        <v>13103</v>
      </c>
      <c r="B202" s="1840" t="s">
        <v>14364</v>
      </c>
      <c r="C202" s="1841" t="s">
        <v>10854</v>
      </c>
      <c r="D202" s="1842">
        <v>45</v>
      </c>
      <c r="E202" s="1843"/>
    </row>
    <row r="203" spans="1:5" ht="22.5">
      <c r="A203" s="1839" t="s">
        <v>13104</v>
      </c>
      <c r="B203" s="1840" t="s">
        <v>14365</v>
      </c>
      <c r="C203" s="1841" t="s">
        <v>10854</v>
      </c>
      <c r="D203" s="1842">
        <v>774</v>
      </c>
      <c r="E203" s="1843"/>
    </row>
    <row r="204" spans="1:5">
      <c r="A204" s="1839" t="s">
        <v>13105</v>
      </c>
      <c r="B204" s="1840" t="s">
        <v>14366</v>
      </c>
      <c r="C204" s="1841" t="s">
        <v>10854</v>
      </c>
      <c r="D204" s="1842">
        <v>580</v>
      </c>
      <c r="E204" s="1843"/>
    </row>
    <row r="205" spans="1:5">
      <c r="A205" s="1839" t="s">
        <v>13107</v>
      </c>
      <c r="B205" s="1840" t="s">
        <v>14367</v>
      </c>
      <c r="C205" s="1841" t="s">
        <v>10854</v>
      </c>
      <c r="D205" s="1842">
        <v>95.181000000000012</v>
      </c>
      <c r="E205" s="1843"/>
    </row>
    <row r="206" spans="1:5">
      <c r="A206" s="1839" t="s">
        <v>14368</v>
      </c>
      <c r="B206" s="1840" t="s">
        <v>14369</v>
      </c>
      <c r="C206" s="1841" t="s">
        <v>18</v>
      </c>
      <c r="D206" s="1842">
        <v>85</v>
      </c>
      <c r="E206" s="1843"/>
    </row>
    <row r="207" spans="1:5">
      <c r="A207" s="1839" t="s">
        <v>14370</v>
      </c>
      <c r="B207" s="1840" t="s">
        <v>14371</v>
      </c>
      <c r="C207" s="1841" t="s">
        <v>1270</v>
      </c>
      <c r="D207" s="1842">
        <v>1.2519</v>
      </c>
      <c r="E207" s="1843"/>
    </row>
    <row r="208" spans="1:5" ht="22.5">
      <c r="A208" s="1839" t="s">
        <v>14372</v>
      </c>
      <c r="B208" s="1840" t="s">
        <v>14373</v>
      </c>
      <c r="C208" s="1841" t="s">
        <v>1270</v>
      </c>
      <c r="D208" s="1842">
        <v>0.96500000000000008</v>
      </c>
      <c r="E208" s="1843"/>
    </row>
    <row r="209" spans="1:5">
      <c r="A209" s="1839" t="s">
        <v>14374</v>
      </c>
      <c r="B209" s="1840" t="s">
        <v>14375</v>
      </c>
      <c r="C209" s="1841" t="s">
        <v>1270</v>
      </c>
      <c r="D209" s="1842">
        <v>1.83</v>
      </c>
      <c r="E209" s="1843"/>
    </row>
    <row r="210" spans="1:5">
      <c r="A210" s="1839" t="s">
        <v>14376</v>
      </c>
      <c r="B210" s="1840" t="s">
        <v>14377</v>
      </c>
      <c r="C210" s="1841" t="s">
        <v>18</v>
      </c>
      <c r="D210" s="1842">
        <v>6.6750000000000007</v>
      </c>
      <c r="E210" s="1843"/>
    </row>
    <row r="211" spans="1:5">
      <c r="A211" s="1839" t="s">
        <v>14378</v>
      </c>
      <c r="B211" s="1840" t="s">
        <v>14379</v>
      </c>
      <c r="C211" s="1841" t="s">
        <v>18</v>
      </c>
      <c r="D211" s="1842">
        <v>145.9205</v>
      </c>
      <c r="E211" s="1843"/>
    </row>
    <row r="212" spans="1:5">
      <c r="A212" s="1839" t="s">
        <v>14380</v>
      </c>
      <c r="B212" s="1840" t="s">
        <v>14381</v>
      </c>
      <c r="C212" s="1841" t="s">
        <v>1270</v>
      </c>
      <c r="D212" s="1842">
        <v>0.46553499999999998</v>
      </c>
      <c r="E212" s="1843"/>
    </row>
    <row r="213" spans="1:5">
      <c r="A213" s="1839" t="s">
        <v>14382</v>
      </c>
      <c r="B213" s="1840" t="s">
        <v>14383</v>
      </c>
      <c r="C213" s="1841" t="s">
        <v>1270</v>
      </c>
      <c r="D213" s="1842">
        <v>0.46553499999999998</v>
      </c>
      <c r="E213" s="1843"/>
    </row>
    <row r="214" spans="1:5">
      <c r="A214" s="1839" t="s">
        <v>14384</v>
      </c>
      <c r="B214" s="1840" t="s">
        <v>14385</v>
      </c>
      <c r="C214" s="1841" t="s">
        <v>1270</v>
      </c>
      <c r="D214" s="1842">
        <v>0.46553499999999998</v>
      </c>
      <c r="E214" s="1843"/>
    </row>
    <row r="215" spans="1:5">
      <c r="A215" s="1839" t="s">
        <v>14386</v>
      </c>
      <c r="B215" s="1840" t="s">
        <v>14387</v>
      </c>
      <c r="C215" s="1841" t="s">
        <v>1270</v>
      </c>
      <c r="D215" s="1842">
        <v>0.46553499999999998</v>
      </c>
      <c r="E215" s="1843"/>
    </row>
    <row r="216" spans="1:5">
      <c r="A216" s="1839" t="s">
        <v>14388</v>
      </c>
      <c r="B216" s="1840" t="s">
        <v>14389</v>
      </c>
      <c r="C216" s="1841" t="s">
        <v>18</v>
      </c>
      <c r="D216" s="1842">
        <v>6.6750000000000007</v>
      </c>
      <c r="E216" s="1843"/>
    </row>
    <row r="217" spans="1:5">
      <c r="A217" s="1839" t="s">
        <v>14390</v>
      </c>
      <c r="B217" s="1840" t="s">
        <v>14391</v>
      </c>
      <c r="C217" s="1841" t="s">
        <v>1270</v>
      </c>
      <c r="D217" s="1842">
        <v>71.5</v>
      </c>
      <c r="E217" s="1843"/>
    </row>
    <row r="218" spans="1:5">
      <c r="A218" s="1839" t="s">
        <v>14392</v>
      </c>
      <c r="B218" s="1840" t="s">
        <v>14393</v>
      </c>
      <c r="C218" s="1841" t="s">
        <v>18</v>
      </c>
      <c r="D218" s="1842">
        <v>145.9205</v>
      </c>
      <c r="E218" s="1843"/>
    </row>
    <row r="219" spans="1:5">
      <c r="A219" s="1839" t="s">
        <v>14394</v>
      </c>
      <c r="B219" s="1840" t="s">
        <v>14395</v>
      </c>
      <c r="C219" s="1841" t="s">
        <v>1270</v>
      </c>
      <c r="D219" s="1842">
        <v>1.83</v>
      </c>
      <c r="E219" s="1843"/>
    </row>
    <row r="220" spans="1:5" ht="22.5">
      <c r="A220" s="1839" t="s">
        <v>14396</v>
      </c>
      <c r="B220" s="1840" t="s">
        <v>14397</v>
      </c>
      <c r="C220" s="1841" t="s">
        <v>1270</v>
      </c>
      <c r="D220" s="1842">
        <v>0.5</v>
      </c>
      <c r="E220" s="1843"/>
    </row>
    <row r="221" spans="1:5">
      <c r="A221" s="1839" t="s">
        <v>14398</v>
      </c>
      <c r="B221" s="1840" t="s">
        <v>14399</v>
      </c>
      <c r="C221" s="1841" t="s">
        <v>18</v>
      </c>
      <c r="D221" s="1842">
        <v>6.6750000000000007</v>
      </c>
      <c r="E221" s="1843"/>
    </row>
    <row r="222" spans="1:5">
      <c r="A222" s="1839" t="s">
        <v>14400</v>
      </c>
      <c r="B222" s="1840" t="s">
        <v>14401</v>
      </c>
      <c r="C222" s="1841" t="s">
        <v>1270</v>
      </c>
      <c r="D222" s="1842">
        <v>71.5</v>
      </c>
      <c r="E222" s="1843"/>
    </row>
    <row r="223" spans="1:5">
      <c r="A223" s="1839" t="s">
        <v>14402</v>
      </c>
      <c r="B223" s="1840" t="s">
        <v>14403</v>
      </c>
      <c r="C223" s="1841" t="s">
        <v>18</v>
      </c>
      <c r="D223" s="1842">
        <v>145.9205</v>
      </c>
      <c r="E223" s="1843"/>
    </row>
    <row r="224" spans="1:5">
      <c r="A224" s="1839" t="s">
        <v>14404</v>
      </c>
      <c r="B224" s="1840" t="s">
        <v>14405</v>
      </c>
      <c r="C224" s="1841" t="s">
        <v>10854</v>
      </c>
      <c r="D224" s="1842">
        <v>1243.0000000000002</v>
      </c>
      <c r="E224" s="1843"/>
    </row>
    <row r="225" spans="1:5">
      <c r="A225" s="1839" t="s">
        <v>14406</v>
      </c>
      <c r="B225" s="1840" t="s">
        <v>14407</v>
      </c>
      <c r="C225" s="1841" t="s">
        <v>10854</v>
      </c>
      <c r="D225" s="1842">
        <v>71.5</v>
      </c>
      <c r="E225" s="1843"/>
    </row>
    <row r="226" spans="1:5">
      <c r="A226" s="1839" t="s">
        <v>14408</v>
      </c>
      <c r="B226" s="1840" t="s">
        <v>14409</v>
      </c>
      <c r="C226" s="1841" t="s">
        <v>10854</v>
      </c>
      <c r="D226" s="1842">
        <v>647.90000000000009</v>
      </c>
      <c r="E226" s="1843"/>
    </row>
    <row r="227" spans="1:5">
      <c r="A227" s="1839" t="s">
        <v>14410</v>
      </c>
      <c r="B227" s="1840" t="s">
        <v>14411</v>
      </c>
      <c r="C227" s="1841" t="s">
        <v>18</v>
      </c>
      <c r="D227" s="1842">
        <v>6.6750000000000007</v>
      </c>
      <c r="E227" s="1843"/>
    </row>
    <row r="228" spans="1:5">
      <c r="A228" s="1839" t="s">
        <v>14412</v>
      </c>
      <c r="B228" s="1840" t="s">
        <v>14413</v>
      </c>
      <c r="C228" s="1841" t="s">
        <v>10854</v>
      </c>
      <c r="D228" s="1842">
        <v>41.800000000000004</v>
      </c>
      <c r="E228" s="1843"/>
    </row>
    <row r="229" spans="1:5">
      <c r="A229" s="1839" t="s">
        <v>14414</v>
      </c>
      <c r="B229" s="1840" t="s">
        <v>14415</v>
      </c>
      <c r="C229" s="1841" t="s">
        <v>18</v>
      </c>
      <c r="D229" s="1842">
        <v>145.9205</v>
      </c>
      <c r="E229" s="1843"/>
    </row>
    <row r="230" spans="1:5">
      <c r="A230" s="1839" t="s">
        <v>14416</v>
      </c>
      <c r="B230" s="1840" t="s">
        <v>14417</v>
      </c>
      <c r="C230" s="1841" t="s">
        <v>18</v>
      </c>
      <c r="D230" s="1842">
        <v>6.6750000000000007</v>
      </c>
      <c r="E230" s="1843"/>
    </row>
    <row r="231" spans="1:5">
      <c r="A231" s="1839" t="s">
        <v>14418</v>
      </c>
      <c r="B231" s="1840" t="s">
        <v>14419</v>
      </c>
      <c r="C231" s="1841" t="s">
        <v>1270</v>
      </c>
      <c r="D231" s="1842">
        <v>71.5</v>
      </c>
      <c r="E231" s="1843"/>
    </row>
    <row r="232" spans="1:5">
      <c r="A232" s="1839" t="s">
        <v>14420</v>
      </c>
      <c r="B232" s="1840" t="s">
        <v>14421</v>
      </c>
      <c r="C232" s="1841" t="s">
        <v>18</v>
      </c>
      <c r="D232" s="1842">
        <v>145.9205</v>
      </c>
      <c r="E232" s="1843"/>
    </row>
    <row r="233" spans="1:5">
      <c r="A233" s="1839" t="s">
        <v>14422</v>
      </c>
      <c r="B233" s="1840" t="s">
        <v>14423</v>
      </c>
      <c r="C233" s="1841" t="s">
        <v>10854</v>
      </c>
      <c r="D233" s="1842">
        <v>1243.0000000000002</v>
      </c>
      <c r="E233" s="1843"/>
    </row>
    <row r="234" spans="1:5">
      <c r="A234" s="1839" t="s">
        <v>14424</v>
      </c>
      <c r="B234" s="1840" t="s">
        <v>14425</v>
      </c>
      <c r="C234" s="1841" t="s">
        <v>10854</v>
      </c>
      <c r="D234" s="1842">
        <v>71.5</v>
      </c>
      <c r="E234" s="1843"/>
    </row>
    <row r="235" spans="1:5">
      <c r="A235" s="1839" t="s">
        <v>12782</v>
      </c>
      <c r="B235" s="1840" t="s">
        <v>12783</v>
      </c>
      <c r="C235" s="1841" t="s">
        <v>1270</v>
      </c>
      <c r="D235" s="1842">
        <v>64.5</v>
      </c>
      <c r="E235" s="1843"/>
    </row>
    <row r="236" spans="1:5">
      <c r="A236" s="1839" t="s">
        <v>12784</v>
      </c>
      <c r="B236" s="1840" t="s">
        <v>12785</v>
      </c>
      <c r="C236" s="1841" t="s">
        <v>1270</v>
      </c>
      <c r="D236" s="1842">
        <v>103</v>
      </c>
      <c r="E236" s="1843"/>
    </row>
    <row r="237" spans="1:5">
      <c r="A237" s="1839" t="s">
        <v>12786</v>
      </c>
      <c r="B237" s="1840" t="s">
        <v>12787</v>
      </c>
      <c r="C237" s="1841" t="s">
        <v>1270</v>
      </c>
      <c r="D237" s="1842">
        <v>233.63</v>
      </c>
      <c r="E237" s="1843"/>
    </row>
    <row r="238" spans="1:5">
      <c r="A238" s="1839" t="s">
        <v>12788</v>
      </c>
      <c r="B238" s="1840" t="s">
        <v>12789</v>
      </c>
      <c r="C238" s="1841" t="s">
        <v>1270</v>
      </c>
      <c r="D238" s="1842">
        <v>43.64</v>
      </c>
      <c r="E238" s="1843"/>
    </row>
    <row r="239" spans="1:5">
      <c r="A239" s="1839" t="s">
        <v>12790</v>
      </c>
      <c r="B239" s="1840" t="s">
        <v>12791</v>
      </c>
      <c r="C239" s="1841" t="s">
        <v>18</v>
      </c>
      <c r="D239" s="1842">
        <v>123</v>
      </c>
      <c r="E239" s="1843"/>
    </row>
    <row r="240" spans="1:5">
      <c r="A240" s="1839" t="s">
        <v>12792</v>
      </c>
      <c r="B240" s="1840" t="s">
        <v>12793</v>
      </c>
      <c r="C240" s="1841" t="s">
        <v>1270</v>
      </c>
      <c r="D240" s="1842">
        <v>55</v>
      </c>
      <c r="E240" s="1843"/>
    </row>
    <row r="241" spans="1:5">
      <c r="A241" s="1839" t="s">
        <v>12794</v>
      </c>
      <c r="B241" s="1840" t="s">
        <v>12795</v>
      </c>
      <c r="C241" s="1841" t="s">
        <v>1270</v>
      </c>
      <c r="D241" s="1842">
        <v>112</v>
      </c>
      <c r="E241" s="1843"/>
    </row>
    <row r="242" spans="1:5">
      <c r="A242" s="1839" t="s">
        <v>12796</v>
      </c>
      <c r="B242" s="1840" t="s">
        <v>12797</v>
      </c>
      <c r="C242" s="1841" t="s">
        <v>10854</v>
      </c>
      <c r="D242" s="1842">
        <v>163.80000000000001</v>
      </c>
      <c r="E242" s="1843"/>
    </row>
    <row r="243" spans="1:5">
      <c r="A243" s="1839" t="s">
        <v>12798</v>
      </c>
      <c r="B243" s="1840" t="s">
        <v>12799</v>
      </c>
      <c r="C243" s="1841" t="s">
        <v>18</v>
      </c>
      <c r="D243" s="1842">
        <v>112</v>
      </c>
      <c r="E243" s="1843"/>
    </row>
    <row r="244" spans="1:5">
      <c r="A244" s="1839" t="s">
        <v>12800</v>
      </c>
      <c r="B244" s="1840" t="s">
        <v>12785</v>
      </c>
      <c r="C244" s="1841" t="s">
        <v>1270</v>
      </c>
      <c r="D244" s="1842">
        <v>103</v>
      </c>
      <c r="E244" s="1843"/>
    </row>
    <row r="245" spans="1:5">
      <c r="A245" s="1839" t="s">
        <v>12801</v>
      </c>
      <c r="B245" s="1840" t="s">
        <v>12783</v>
      </c>
      <c r="C245" s="1841" t="s">
        <v>1270</v>
      </c>
      <c r="D245" s="1842">
        <v>64.5</v>
      </c>
      <c r="E245" s="1843"/>
    </row>
    <row r="246" spans="1:5">
      <c r="A246" s="1839" t="s">
        <v>12802</v>
      </c>
      <c r="B246" s="1840" t="s">
        <v>12787</v>
      </c>
      <c r="C246" s="1841" t="s">
        <v>1270</v>
      </c>
      <c r="D246" s="1842">
        <v>233.63</v>
      </c>
      <c r="E246" s="1843"/>
    </row>
    <row r="247" spans="1:5">
      <c r="A247" s="1839" t="s">
        <v>12803</v>
      </c>
      <c r="B247" s="1840" t="s">
        <v>12804</v>
      </c>
      <c r="C247" s="1841" t="s">
        <v>18</v>
      </c>
      <c r="D247" s="1842">
        <v>123</v>
      </c>
      <c r="E247" s="1843"/>
    </row>
    <row r="248" spans="1:5">
      <c r="A248" s="1839" t="s">
        <v>12805</v>
      </c>
      <c r="B248" s="1840" t="s">
        <v>12806</v>
      </c>
      <c r="C248" s="1841" t="s">
        <v>1270</v>
      </c>
      <c r="D248" s="1842">
        <v>55</v>
      </c>
      <c r="E248" s="1843"/>
    </row>
    <row r="249" spans="1:5">
      <c r="A249" s="1839" t="s">
        <v>12807</v>
      </c>
      <c r="B249" s="1840" t="s">
        <v>12808</v>
      </c>
      <c r="C249" s="1841" t="s">
        <v>1270</v>
      </c>
      <c r="D249" s="1842">
        <v>64.5</v>
      </c>
      <c r="E249" s="1843"/>
    </row>
    <row r="250" spans="1:5">
      <c r="A250" s="1839" t="s">
        <v>12809</v>
      </c>
      <c r="B250" s="1840" t="s">
        <v>12787</v>
      </c>
      <c r="C250" s="1841" t="s">
        <v>1270</v>
      </c>
      <c r="D250" s="1842">
        <v>233.63</v>
      </c>
      <c r="E250" s="1843"/>
    </row>
    <row r="251" spans="1:5">
      <c r="A251" s="1839" t="s">
        <v>12810</v>
      </c>
      <c r="B251" s="1840" t="s">
        <v>12785</v>
      </c>
      <c r="C251" s="1841" t="s">
        <v>1270</v>
      </c>
      <c r="D251" s="1842">
        <v>103</v>
      </c>
      <c r="E251" s="1843"/>
    </row>
    <row r="252" spans="1:5">
      <c r="A252" s="1839" t="s">
        <v>12811</v>
      </c>
      <c r="B252" s="1840" t="s">
        <v>12804</v>
      </c>
      <c r="C252" s="1841" t="s">
        <v>18</v>
      </c>
      <c r="D252" s="1842">
        <v>123</v>
      </c>
      <c r="E252" s="1843"/>
    </row>
    <row r="253" spans="1:5">
      <c r="A253" s="1839" t="s">
        <v>12812</v>
      </c>
      <c r="B253" s="1840" t="s">
        <v>12793</v>
      </c>
      <c r="C253" s="1841" t="s">
        <v>1270</v>
      </c>
      <c r="D253" s="1842">
        <v>55</v>
      </c>
      <c r="E253" s="1843"/>
    </row>
    <row r="254" spans="1:5">
      <c r="A254" s="1839" t="s">
        <v>13304</v>
      </c>
      <c r="B254" s="1840" t="s">
        <v>13319</v>
      </c>
      <c r="C254" s="1841" t="s">
        <v>10854</v>
      </c>
      <c r="D254" s="1842">
        <v>1400</v>
      </c>
      <c r="E254" s="1843"/>
    </row>
    <row r="255" spans="1:5">
      <c r="A255" s="1839" t="s">
        <v>13305</v>
      </c>
      <c r="B255" s="1840" t="s">
        <v>13320</v>
      </c>
      <c r="C255" s="1841" t="s">
        <v>10854</v>
      </c>
      <c r="D255" s="1842">
        <v>12100</v>
      </c>
      <c r="E255" s="1843"/>
    </row>
    <row r="256" spans="1:5">
      <c r="A256" s="1839" t="s">
        <v>13306</v>
      </c>
      <c r="B256" s="1840" t="s">
        <v>13321</v>
      </c>
      <c r="C256" s="1841" t="s">
        <v>11723</v>
      </c>
      <c r="D256" s="1842">
        <v>8900</v>
      </c>
      <c r="E256" s="1843"/>
    </row>
    <row r="257" spans="1:5">
      <c r="A257" s="1839" t="s">
        <v>13307</v>
      </c>
      <c r="B257" s="1840" t="s">
        <v>13322</v>
      </c>
      <c r="C257" s="1841" t="s">
        <v>11723</v>
      </c>
      <c r="D257" s="1842">
        <v>320</v>
      </c>
      <c r="E257" s="1843"/>
    </row>
    <row r="258" spans="1:5">
      <c r="A258" s="1839" t="s">
        <v>13308</v>
      </c>
      <c r="B258" s="1840" t="s">
        <v>14463</v>
      </c>
      <c r="C258" s="1841" t="s">
        <v>11723</v>
      </c>
      <c r="D258" s="1842">
        <v>29600</v>
      </c>
      <c r="E258" s="1843"/>
    </row>
    <row r="259" spans="1:5">
      <c r="A259" s="1839" t="s">
        <v>13309</v>
      </c>
      <c r="B259" s="1840" t="s">
        <v>13323</v>
      </c>
      <c r="C259" s="1841" t="s">
        <v>1270</v>
      </c>
      <c r="D259" s="1842">
        <v>1100</v>
      </c>
      <c r="E259" s="1843"/>
    </row>
    <row r="260" spans="1:5">
      <c r="A260" s="1839" t="s">
        <v>13310</v>
      </c>
      <c r="B260" s="1840" t="s">
        <v>13324</v>
      </c>
      <c r="C260" s="1841" t="s">
        <v>11723</v>
      </c>
      <c r="D260" s="1842">
        <v>89805</v>
      </c>
      <c r="E260" s="1843"/>
    </row>
    <row r="261" spans="1:5">
      <c r="A261" s="1839" t="s">
        <v>13311</v>
      </c>
      <c r="B261" s="1840" t="s">
        <v>13319</v>
      </c>
      <c r="C261" s="1841" t="s">
        <v>10854</v>
      </c>
      <c r="D261" s="1842">
        <v>1400</v>
      </c>
      <c r="E261" s="1843"/>
    </row>
    <row r="262" spans="1:5">
      <c r="A262" s="1839" t="s">
        <v>13312</v>
      </c>
      <c r="B262" s="1840" t="s">
        <v>13320</v>
      </c>
      <c r="C262" s="1841" t="s">
        <v>10854</v>
      </c>
      <c r="D262" s="1842">
        <v>12100</v>
      </c>
      <c r="E262" s="1843"/>
    </row>
    <row r="263" spans="1:5">
      <c r="A263" s="1839" t="s">
        <v>13313</v>
      </c>
      <c r="B263" s="1840" t="s">
        <v>13325</v>
      </c>
      <c r="C263" s="1841" t="s">
        <v>11723</v>
      </c>
      <c r="D263" s="1842">
        <v>58151.05</v>
      </c>
      <c r="E263" s="1843"/>
    </row>
    <row r="264" spans="1:5">
      <c r="A264" s="1839" t="s">
        <v>13314</v>
      </c>
      <c r="B264" s="1840" t="s">
        <v>13319</v>
      </c>
      <c r="C264" s="1841" t="s">
        <v>10854</v>
      </c>
      <c r="D264" s="1842">
        <v>1400</v>
      </c>
      <c r="E264" s="1843"/>
    </row>
    <row r="265" spans="1:5">
      <c r="A265" s="1839" t="s">
        <v>13315</v>
      </c>
      <c r="B265" s="1840" t="s">
        <v>13326</v>
      </c>
      <c r="C265" s="1841" t="s">
        <v>10854</v>
      </c>
      <c r="D265" s="1842">
        <v>12900</v>
      </c>
      <c r="E265" s="1843"/>
    </row>
    <row r="266" spans="1:5">
      <c r="A266" s="1839" t="s">
        <v>13316</v>
      </c>
      <c r="B266" s="1840" t="s">
        <v>13320</v>
      </c>
      <c r="C266" s="1841" t="s">
        <v>10854</v>
      </c>
      <c r="D266" s="1842">
        <v>12100</v>
      </c>
      <c r="E266" s="1843"/>
    </row>
    <row r="267" spans="1:5">
      <c r="A267" s="1839" t="s">
        <v>13317</v>
      </c>
      <c r="B267" s="1840" t="s">
        <v>13321</v>
      </c>
      <c r="C267" s="1841" t="s">
        <v>11723</v>
      </c>
      <c r="D267" s="1842">
        <v>8900</v>
      </c>
      <c r="E267" s="1843"/>
    </row>
    <row r="268" spans="1:5">
      <c r="A268" s="1839" t="s">
        <v>13318</v>
      </c>
      <c r="B268" s="1840" t="s">
        <v>13327</v>
      </c>
      <c r="C268" s="1841" t="s">
        <v>10854</v>
      </c>
      <c r="D268" s="1842">
        <v>29000</v>
      </c>
      <c r="E268" s="1843"/>
    </row>
    <row r="269" spans="1:5">
      <c r="A269" s="1839" t="s">
        <v>13173</v>
      </c>
      <c r="B269" s="1840" t="s">
        <v>13174</v>
      </c>
      <c r="C269" s="1841" t="s">
        <v>1270</v>
      </c>
      <c r="D269" s="1842">
        <v>17.090419499999999</v>
      </c>
      <c r="E269" s="1843"/>
    </row>
    <row r="270" spans="1:5">
      <c r="A270" s="1839" t="s">
        <v>12778</v>
      </c>
      <c r="B270" s="1840" t="s">
        <v>12779</v>
      </c>
      <c r="C270" s="1841" t="s">
        <v>1270</v>
      </c>
      <c r="D270" s="1842">
        <v>46.8</v>
      </c>
      <c r="E270" s="1843"/>
    </row>
    <row r="271" spans="1:5">
      <c r="A271" s="1839" t="s">
        <v>12780</v>
      </c>
      <c r="B271" s="1840" t="s">
        <v>12781</v>
      </c>
      <c r="C271" s="1841" t="s">
        <v>1270</v>
      </c>
      <c r="D271" s="1842">
        <v>46.8</v>
      </c>
      <c r="E271" s="1843"/>
    </row>
    <row r="272" spans="1:5">
      <c r="A272" s="1839" t="s">
        <v>13329</v>
      </c>
      <c r="B272" s="1840" t="s">
        <v>13345</v>
      </c>
      <c r="C272" s="1841" t="s">
        <v>1270</v>
      </c>
      <c r="D272" s="1842">
        <v>49.5</v>
      </c>
      <c r="E272" s="1843"/>
    </row>
    <row r="273" spans="1:5">
      <c r="A273" s="1839" t="s">
        <v>13330</v>
      </c>
      <c r="B273" s="1840" t="s">
        <v>13346</v>
      </c>
      <c r="C273" s="1841" t="s">
        <v>1270</v>
      </c>
      <c r="D273" s="1842">
        <v>49.5</v>
      </c>
      <c r="E273" s="1843"/>
    </row>
    <row r="274" spans="1:5">
      <c r="A274" s="1839" t="s">
        <v>13331</v>
      </c>
      <c r="B274" s="1840" t="s">
        <v>13341</v>
      </c>
      <c r="C274" s="1841" t="s">
        <v>1270</v>
      </c>
      <c r="D274" s="1842">
        <v>1.45</v>
      </c>
      <c r="E274" s="1843"/>
    </row>
    <row r="275" spans="1:5">
      <c r="A275" s="1839" t="s">
        <v>13332</v>
      </c>
      <c r="B275" s="1840" t="s">
        <v>13342</v>
      </c>
      <c r="C275" s="1841" t="s">
        <v>1270</v>
      </c>
      <c r="D275" s="1842">
        <v>1.45</v>
      </c>
      <c r="E275" s="1843"/>
    </row>
    <row r="276" spans="1:5">
      <c r="A276" s="1839" t="s">
        <v>13259</v>
      </c>
      <c r="B276" s="1840" t="s">
        <v>13260</v>
      </c>
      <c r="C276" s="1841" t="s">
        <v>11723</v>
      </c>
      <c r="D276" s="1842">
        <v>12414.21</v>
      </c>
      <c r="E276" s="1843"/>
    </row>
    <row r="277" spans="1:5">
      <c r="A277" s="1839" t="s">
        <v>13333</v>
      </c>
      <c r="B277" s="1840" t="s">
        <v>13348</v>
      </c>
      <c r="C277" s="1841" t="s">
        <v>10854</v>
      </c>
      <c r="D277" s="1842">
        <v>63.82200000000001</v>
      </c>
      <c r="E277" s="1843"/>
    </row>
    <row r="278" spans="1:5">
      <c r="A278" s="1839" t="s">
        <v>13334</v>
      </c>
      <c r="B278" s="1840" t="s">
        <v>13349</v>
      </c>
      <c r="C278" s="1841" t="s">
        <v>10854</v>
      </c>
      <c r="D278" s="1842">
        <v>93.654000000000011</v>
      </c>
      <c r="E278" s="1843"/>
    </row>
    <row r="279" spans="1:5">
      <c r="A279" s="1839" t="s">
        <v>13335</v>
      </c>
      <c r="B279" s="1840" t="s">
        <v>13343</v>
      </c>
      <c r="C279" s="1841" t="s">
        <v>1270</v>
      </c>
      <c r="D279" s="1842">
        <v>3.169</v>
      </c>
      <c r="E279" s="1843"/>
    </row>
    <row r="280" spans="1:5">
      <c r="A280" s="1839" t="s">
        <v>13336</v>
      </c>
      <c r="B280" s="1840" t="s">
        <v>13344</v>
      </c>
      <c r="C280" s="1841" t="s">
        <v>1270</v>
      </c>
      <c r="D280" s="1842">
        <v>3.169</v>
      </c>
      <c r="E280" s="1843"/>
    </row>
    <row r="281" spans="1:5">
      <c r="A281" s="1839" t="s">
        <v>13257</v>
      </c>
      <c r="B281" s="1840" t="s">
        <v>13258</v>
      </c>
      <c r="C281" s="1841" t="s">
        <v>11723</v>
      </c>
      <c r="D281" s="1842">
        <v>12414.21</v>
      </c>
      <c r="E281" s="1843"/>
    </row>
    <row r="282" spans="1:5">
      <c r="A282" s="1839" t="s">
        <v>13337</v>
      </c>
      <c r="B282" s="1840" t="s">
        <v>13350</v>
      </c>
      <c r="C282" s="1841" t="s">
        <v>1270</v>
      </c>
      <c r="D282" s="1842">
        <v>39.049999999999997</v>
      </c>
      <c r="E282" s="1843"/>
    </row>
    <row r="283" spans="1:5">
      <c r="A283" s="1839" t="s">
        <v>13338</v>
      </c>
      <c r="B283" s="1840" t="s">
        <v>13351</v>
      </c>
      <c r="C283" s="1841" t="s">
        <v>1270</v>
      </c>
      <c r="D283" s="1842">
        <v>242</v>
      </c>
      <c r="E283" s="1843"/>
    </row>
    <row r="284" spans="1:5">
      <c r="A284" s="1839" t="s">
        <v>13339</v>
      </c>
      <c r="B284" s="1840" t="s">
        <v>13352</v>
      </c>
      <c r="C284" s="1841" t="s">
        <v>1270</v>
      </c>
      <c r="D284" s="1842">
        <v>242</v>
      </c>
      <c r="E284" s="1843"/>
    </row>
    <row r="285" spans="1:5">
      <c r="A285" s="1839" t="s">
        <v>13086</v>
      </c>
      <c r="B285" s="1840" t="s">
        <v>13087</v>
      </c>
      <c r="C285" s="1841" t="s">
        <v>10854</v>
      </c>
      <c r="D285" s="1842">
        <v>25500</v>
      </c>
      <c r="E285" s="1843"/>
    </row>
    <row r="286" spans="1:5">
      <c r="A286" s="1839" t="s">
        <v>13340</v>
      </c>
      <c r="B286" s="1840" t="s">
        <v>13347</v>
      </c>
      <c r="C286" s="1841" t="s">
        <v>10854</v>
      </c>
      <c r="D286" s="1842">
        <v>28.875</v>
      </c>
      <c r="E286" s="1843"/>
    </row>
    <row r="287" spans="1:5" ht="22.5">
      <c r="A287" s="1839" t="s">
        <v>13141</v>
      </c>
      <c r="B287" s="1840" t="s">
        <v>13142</v>
      </c>
      <c r="C287" s="1841" t="s">
        <v>1270</v>
      </c>
      <c r="D287" s="1842">
        <v>150.69999999999999</v>
      </c>
      <c r="E287" s="1843"/>
    </row>
    <row r="288" spans="1:5" ht="22.5">
      <c r="A288" s="1839" t="s">
        <v>13151</v>
      </c>
      <c r="B288" s="1840" t="s">
        <v>13152</v>
      </c>
      <c r="C288" s="1841" t="s">
        <v>10854</v>
      </c>
      <c r="D288" s="1842">
        <v>518.71160000000009</v>
      </c>
      <c r="E288" s="1843"/>
    </row>
    <row r="289" spans="1:5" ht="22.5">
      <c r="A289" s="1839" t="s">
        <v>13153</v>
      </c>
      <c r="B289" s="1840" t="s">
        <v>13154</v>
      </c>
      <c r="C289" s="1841" t="s">
        <v>10854</v>
      </c>
      <c r="D289" s="1842">
        <v>518.71160000000009</v>
      </c>
      <c r="E289" s="1843"/>
    </row>
    <row r="290" spans="1:5" ht="22.5">
      <c r="A290" s="1839" t="s">
        <v>13155</v>
      </c>
      <c r="B290" s="1840" t="s">
        <v>13156</v>
      </c>
      <c r="C290" s="1841" t="s">
        <v>1270</v>
      </c>
      <c r="D290" s="1842">
        <v>518.71160000000009</v>
      </c>
      <c r="E290" s="1843"/>
    </row>
    <row r="291" spans="1:5" ht="22.5">
      <c r="A291" s="1839" t="s">
        <v>13157</v>
      </c>
      <c r="B291" s="1840" t="s">
        <v>13158</v>
      </c>
      <c r="C291" s="1841" t="s">
        <v>1270</v>
      </c>
      <c r="D291" s="1842">
        <v>2686.2</v>
      </c>
      <c r="E291" s="1843"/>
    </row>
    <row r="292" spans="1:5" ht="22.5">
      <c r="A292" s="1839" t="s">
        <v>13159</v>
      </c>
      <c r="B292" s="1840" t="s">
        <v>13160</v>
      </c>
      <c r="C292" s="1841" t="s">
        <v>1270</v>
      </c>
      <c r="D292" s="1842">
        <v>9.2288265299999992</v>
      </c>
      <c r="E292" s="1843"/>
    </row>
    <row r="293" spans="1:5" ht="22.5">
      <c r="A293" s="1839" t="s">
        <v>13161</v>
      </c>
      <c r="B293" s="1840" t="s">
        <v>13162</v>
      </c>
      <c r="C293" s="1841" t="s">
        <v>1270</v>
      </c>
      <c r="D293" s="1842">
        <v>13.843239794999999</v>
      </c>
      <c r="E293" s="1843"/>
    </row>
    <row r="294" spans="1:5" ht="22.5">
      <c r="A294" s="1839" t="s">
        <v>13167</v>
      </c>
      <c r="B294" s="1840" t="s">
        <v>13168</v>
      </c>
      <c r="C294" s="1841" t="s">
        <v>18</v>
      </c>
      <c r="D294" s="1842">
        <v>51.271258499999988</v>
      </c>
      <c r="E294" s="1843"/>
    </row>
    <row r="295" spans="1:5" ht="22.5">
      <c r="A295" s="1839" t="s">
        <v>13169</v>
      </c>
      <c r="B295" s="1840" t="s">
        <v>13170</v>
      </c>
      <c r="C295" s="1841" t="s">
        <v>1270</v>
      </c>
      <c r="D295" s="1842">
        <v>9.7985071799999997</v>
      </c>
      <c r="E295" s="1843"/>
    </row>
    <row r="296" spans="1:5" ht="22.5">
      <c r="A296" s="1839" t="s">
        <v>13171</v>
      </c>
      <c r="B296" s="1840" t="s">
        <v>13172</v>
      </c>
      <c r="C296" s="1841" t="s">
        <v>1270</v>
      </c>
      <c r="D296" s="1842">
        <v>151.8361678</v>
      </c>
      <c r="E296" s="1843"/>
    </row>
    <row r="297" spans="1:5">
      <c r="A297" s="1839" t="s">
        <v>12819</v>
      </c>
      <c r="B297" s="1840" t="s">
        <v>12820</v>
      </c>
      <c r="C297" s="1841" t="s">
        <v>1270</v>
      </c>
      <c r="D297" s="1842">
        <v>2.895</v>
      </c>
      <c r="E297" s="1843"/>
    </row>
    <row r="298" spans="1:5">
      <c r="A298" s="1839" t="s">
        <v>12828</v>
      </c>
      <c r="B298" s="1840" t="s">
        <v>12829</v>
      </c>
      <c r="C298" s="1841" t="s">
        <v>1270</v>
      </c>
      <c r="D298" s="1842">
        <v>12.734999999999999</v>
      </c>
      <c r="E298" s="1843"/>
    </row>
    <row r="299" spans="1:5">
      <c r="A299" s="1839" t="s">
        <v>12831</v>
      </c>
      <c r="B299" s="1840" t="s">
        <v>12832</v>
      </c>
      <c r="C299" s="1841" t="s">
        <v>1270</v>
      </c>
      <c r="D299" s="1842">
        <v>20.065000000000001</v>
      </c>
      <c r="E299" s="1843"/>
    </row>
    <row r="300" spans="1:5">
      <c r="A300" s="1839" t="s">
        <v>12833</v>
      </c>
      <c r="B300" s="1840" t="s">
        <v>12834</v>
      </c>
      <c r="C300" s="1841" t="s">
        <v>1270</v>
      </c>
      <c r="D300" s="1842">
        <v>147.10499999999999</v>
      </c>
      <c r="E300" s="1843"/>
    </row>
    <row r="301" spans="1:5">
      <c r="A301" s="1839" t="s">
        <v>12835</v>
      </c>
      <c r="B301" s="1840" t="s">
        <v>12836</v>
      </c>
      <c r="C301" s="1841" t="s">
        <v>1270</v>
      </c>
      <c r="D301" s="1842">
        <v>2.4449999999999998</v>
      </c>
      <c r="E301" s="1843"/>
    </row>
    <row r="302" spans="1:5">
      <c r="A302" s="1839" t="s">
        <v>13253</v>
      </c>
      <c r="B302" s="1840" t="s">
        <v>13254</v>
      </c>
      <c r="C302" s="1841" t="s">
        <v>11723</v>
      </c>
      <c r="D302" s="1842">
        <v>12150</v>
      </c>
      <c r="E302" s="1843"/>
    </row>
    <row r="303" spans="1:5">
      <c r="A303" s="1839" t="s">
        <v>13255</v>
      </c>
      <c r="B303" s="1840" t="s">
        <v>13256</v>
      </c>
      <c r="C303" s="1841" t="s">
        <v>11723</v>
      </c>
      <c r="D303" s="1842">
        <v>195500</v>
      </c>
      <c r="E303" s="1843"/>
    </row>
    <row r="304" spans="1:5">
      <c r="A304" s="1839" t="s">
        <v>13272</v>
      </c>
      <c r="B304" s="1840" t="s">
        <v>14464</v>
      </c>
      <c r="C304" s="1841" t="s">
        <v>10854</v>
      </c>
      <c r="D304" s="1842">
        <v>10500.225</v>
      </c>
      <c r="E304" s="1843"/>
    </row>
    <row r="305" spans="1:5">
      <c r="A305" s="1839" t="s">
        <v>13361</v>
      </c>
      <c r="B305" s="1840" t="s">
        <v>14465</v>
      </c>
      <c r="C305" s="1841" t="s">
        <v>10854</v>
      </c>
      <c r="D305" s="1842">
        <v>14450</v>
      </c>
      <c r="E305" s="1843"/>
    </row>
    <row r="306" spans="1:5" ht="56.25">
      <c r="A306" s="1839" t="s">
        <v>13362</v>
      </c>
      <c r="B306" s="1840" t="s">
        <v>14466</v>
      </c>
      <c r="C306" s="1841" t="s">
        <v>18</v>
      </c>
      <c r="D306" s="1842">
        <v>408.21545893719809</v>
      </c>
      <c r="E306" s="1843"/>
    </row>
    <row r="307" spans="1:5">
      <c r="A307" s="1839" t="s">
        <v>13273</v>
      </c>
      <c r="B307" s="1840" t="s">
        <v>13364</v>
      </c>
      <c r="C307" s="1841" t="s">
        <v>10854</v>
      </c>
      <c r="D307" s="1842">
        <v>7106.18</v>
      </c>
      <c r="E307" s="1843"/>
    </row>
    <row r="308" spans="1:5" ht="22.5">
      <c r="A308" s="1839" t="s">
        <v>13291</v>
      </c>
      <c r="B308" s="1840" t="s">
        <v>13363</v>
      </c>
      <c r="C308" s="1841" t="s">
        <v>10854</v>
      </c>
      <c r="D308" s="1842">
        <v>20482</v>
      </c>
      <c r="E308" s="1843"/>
    </row>
    <row r="309" spans="1:5">
      <c r="A309" s="1839" t="s">
        <v>13062</v>
      </c>
      <c r="B309" s="1840" t="s">
        <v>13063</v>
      </c>
      <c r="C309" s="1841" t="s">
        <v>10854</v>
      </c>
      <c r="D309" s="1842">
        <v>4600</v>
      </c>
      <c r="E309" s="1843"/>
    </row>
    <row r="310" spans="1:5">
      <c r="A310" s="1839" t="s">
        <v>13064</v>
      </c>
      <c r="B310" s="1840" t="s">
        <v>13065</v>
      </c>
      <c r="C310" s="1841" t="s">
        <v>10854</v>
      </c>
      <c r="D310" s="1842">
        <v>7400</v>
      </c>
      <c r="E310" s="1843"/>
    </row>
    <row r="311" spans="1:5">
      <c r="A311" s="1839" t="s">
        <v>13066</v>
      </c>
      <c r="B311" s="1840" t="s">
        <v>13067</v>
      </c>
      <c r="C311" s="1841" t="s">
        <v>10854</v>
      </c>
      <c r="D311" s="1842">
        <v>8500</v>
      </c>
      <c r="E311" s="1843"/>
    </row>
    <row r="312" spans="1:5">
      <c r="A312" s="1839" t="s">
        <v>13068</v>
      </c>
      <c r="B312" s="1840" t="s">
        <v>13069</v>
      </c>
      <c r="C312" s="1841" t="s">
        <v>10854</v>
      </c>
      <c r="D312" s="1842">
        <v>5900</v>
      </c>
      <c r="E312" s="1843"/>
    </row>
    <row r="313" spans="1:5">
      <c r="A313" s="1839" t="s">
        <v>13070</v>
      </c>
      <c r="B313" s="1840" t="s">
        <v>13071</v>
      </c>
      <c r="C313" s="1841" t="s">
        <v>10854</v>
      </c>
      <c r="D313" s="1842">
        <v>3500</v>
      </c>
      <c r="E313" s="1843"/>
    </row>
    <row r="314" spans="1:5" ht="22.5">
      <c r="A314" s="1839" t="s">
        <v>13072</v>
      </c>
      <c r="B314" s="1840" t="s">
        <v>13073</v>
      </c>
      <c r="C314" s="1841" t="s">
        <v>10854</v>
      </c>
      <c r="D314" s="1842">
        <v>12100</v>
      </c>
      <c r="E314" s="1843"/>
    </row>
    <row r="315" spans="1:5">
      <c r="A315" s="1839" t="s">
        <v>13274</v>
      </c>
      <c r="B315" s="1840" t="s">
        <v>13275</v>
      </c>
      <c r="C315" s="1841" t="s">
        <v>13276</v>
      </c>
      <c r="D315" s="1842">
        <v>290000</v>
      </c>
      <c r="E315" s="1843"/>
    </row>
    <row r="316" spans="1:5">
      <c r="A316" s="1839" t="s">
        <v>13277</v>
      </c>
      <c r="B316" s="1840" t="s">
        <v>14426</v>
      </c>
      <c r="C316" s="1841" t="s">
        <v>11723</v>
      </c>
      <c r="D316" s="1842">
        <v>58151.05</v>
      </c>
      <c r="E316" s="1843"/>
    </row>
    <row r="317" spans="1:5">
      <c r="A317" s="1839" t="s">
        <v>13278</v>
      </c>
      <c r="B317" s="1840" t="s">
        <v>13279</v>
      </c>
      <c r="C317" s="1841" t="s">
        <v>10854</v>
      </c>
      <c r="D317" s="1842">
        <v>8344.7749999999996</v>
      </c>
      <c r="E317" s="1843"/>
    </row>
    <row r="318" spans="1:5">
      <c r="A318" s="1839" t="s">
        <v>13280</v>
      </c>
      <c r="B318" s="1840" t="s">
        <v>14427</v>
      </c>
      <c r="C318" s="1841" t="s">
        <v>11723</v>
      </c>
      <c r="D318" s="1842">
        <v>202500</v>
      </c>
      <c r="E318" s="1843"/>
    </row>
    <row r="319" spans="1:5">
      <c r="A319" s="1839" t="s">
        <v>13281</v>
      </c>
      <c r="B319" s="1840" t="s">
        <v>13282</v>
      </c>
      <c r="C319" s="1841" t="s">
        <v>11723</v>
      </c>
      <c r="D319" s="1842">
        <v>74500</v>
      </c>
      <c r="E319" s="1843"/>
    </row>
    <row r="320" spans="1:5">
      <c r="A320" s="1839" t="s">
        <v>13283</v>
      </c>
      <c r="B320" s="1840" t="s">
        <v>13284</v>
      </c>
      <c r="C320" s="1841" t="s">
        <v>11723</v>
      </c>
      <c r="D320" s="1842">
        <v>2506.9</v>
      </c>
      <c r="E320" s="1843"/>
    </row>
    <row r="321" spans="1:5">
      <c r="A321" s="1839" t="s">
        <v>12849</v>
      </c>
      <c r="B321" s="1840" t="s">
        <v>12850</v>
      </c>
      <c r="C321" s="1841" t="s">
        <v>1270</v>
      </c>
      <c r="D321" s="1842">
        <v>162.38</v>
      </c>
      <c r="E321" s="1843"/>
    </row>
    <row r="322" spans="1:5">
      <c r="A322" s="1839" t="s">
        <v>12857</v>
      </c>
      <c r="B322" s="1840" t="s">
        <v>12858</v>
      </c>
      <c r="C322" s="1841" t="s">
        <v>1270</v>
      </c>
      <c r="D322" s="1842">
        <v>1550.15</v>
      </c>
      <c r="E322" s="1843"/>
    </row>
    <row r="323" spans="1:5">
      <c r="A323" s="1839" t="s">
        <v>12859</v>
      </c>
      <c r="B323" s="1840" t="s">
        <v>12860</v>
      </c>
      <c r="C323" s="1841" t="s">
        <v>1270</v>
      </c>
      <c r="D323" s="1842">
        <v>143.935</v>
      </c>
      <c r="E323" s="1843"/>
    </row>
    <row r="324" spans="1:5">
      <c r="A324" s="1839" t="s">
        <v>12861</v>
      </c>
      <c r="B324" s="1840" t="s">
        <v>12862</v>
      </c>
      <c r="C324" s="1841" t="s">
        <v>1270</v>
      </c>
      <c r="D324" s="1842">
        <v>1188.605</v>
      </c>
      <c r="E324" s="1843"/>
    </row>
    <row r="325" spans="1:5">
      <c r="A325" s="1839" t="s">
        <v>12863</v>
      </c>
      <c r="B325" s="1840" t="s">
        <v>12864</v>
      </c>
      <c r="C325" s="1841" t="s">
        <v>1270</v>
      </c>
      <c r="D325" s="1842">
        <v>2836.2799999999997</v>
      </c>
      <c r="E325" s="1843"/>
    </row>
    <row r="326" spans="1:5">
      <c r="A326" s="1839" t="s">
        <v>12867</v>
      </c>
      <c r="B326" s="1840" t="s">
        <v>12868</v>
      </c>
      <c r="C326" s="1841" t="s">
        <v>1270</v>
      </c>
      <c r="D326" s="1842">
        <v>6255.57</v>
      </c>
      <c r="E326" s="1843"/>
    </row>
    <row r="327" spans="1:5">
      <c r="A327" s="1839" t="s">
        <v>12887</v>
      </c>
      <c r="B327" s="1840" t="s">
        <v>12888</v>
      </c>
      <c r="C327" s="1841" t="s">
        <v>1270</v>
      </c>
      <c r="D327" s="1842">
        <v>564.77500000000009</v>
      </c>
      <c r="E327" s="1843"/>
    </row>
    <row r="328" spans="1:5">
      <c r="A328" s="1839" t="s">
        <v>12891</v>
      </c>
      <c r="B328" s="1840" t="s">
        <v>12892</v>
      </c>
      <c r="C328" s="1841" t="s">
        <v>1270</v>
      </c>
      <c r="D328" s="1842">
        <v>667.43000000000006</v>
      </c>
      <c r="E328" s="1843"/>
    </row>
    <row r="329" spans="1:5">
      <c r="A329" s="1839" t="s">
        <v>12893</v>
      </c>
      <c r="B329" s="1840" t="s">
        <v>12894</v>
      </c>
      <c r="C329" s="1841" t="s">
        <v>1270</v>
      </c>
      <c r="D329" s="1842">
        <v>2153.9549999999999</v>
      </c>
      <c r="E329" s="1843"/>
    </row>
    <row r="330" spans="1:5">
      <c r="A330" s="1839" t="s">
        <v>12901</v>
      </c>
      <c r="B330" s="1840" t="s">
        <v>12902</v>
      </c>
      <c r="C330" s="1841" t="s">
        <v>1270</v>
      </c>
      <c r="D330" s="1842">
        <v>144.31</v>
      </c>
      <c r="E330" s="1843"/>
    </row>
    <row r="331" spans="1:5" ht="22.5">
      <c r="A331" s="1839" t="s">
        <v>12938</v>
      </c>
      <c r="B331" s="1840" t="s">
        <v>12939</v>
      </c>
      <c r="C331" s="1841" t="s">
        <v>1270</v>
      </c>
      <c r="D331" s="1842">
        <v>705.02</v>
      </c>
      <c r="E331" s="1843"/>
    </row>
    <row r="332" spans="1:5">
      <c r="A332" s="1839" t="s">
        <v>12940</v>
      </c>
      <c r="B332" s="1840" t="s">
        <v>12941</v>
      </c>
      <c r="C332" s="1841" t="s">
        <v>1270</v>
      </c>
      <c r="D332" s="1842">
        <v>3617.105</v>
      </c>
      <c r="E332" s="1843"/>
    </row>
    <row r="333" spans="1:5">
      <c r="A333" s="1839" t="s">
        <v>12911</v>
      </c>
      <c r="B333" s="1840" t="s">
        <v>12912</v>
      </c>
      <c r="C333" s="1841" t="s">
        <v>1270</v>
      </c>
      <c r="D333" s="1842">
        <v>3.19</v>
      </c>
      <c r="E333" s="1843"/>
    </row>
    <row r="334" spans="1:5">
      <c r="A334" s="1839" t="s">
        <v>12925</v>
      </c>
      <c r="B334" s="1840" t="s">
        <v>12926</v>
      </c>
      <c r="C334" s="1841" t="s">
        <v>1270</v>
      </c>
      <c r="D334" s="1842">
        <v>5.5750000000000002</v>
      </c>
      <c r="E334" s="1843"/>
    </row>
    <row r="335" spans="1:5">
      <c r="A335" s="1839" t="s">
        <v>12929</v>
      </c>
      <c r="B335" s="1840" t="s">
        <v>21118</v>
      </c>
      <c r="C335" s="1841" t="s">
        <v>1270</v>
      </c>
      <c r="D335" s="1842">
        <v>12.629999999999999</v>
      </c>
      <c r="E335" s="1843"/>
    </row>
    <row r="336" spans="1:5">
      <c r="A336" s="1839" t="s">
        <v>12931</v>
      </c>
      <c r="B336" s="1840" t="s">
        <v>11741</v>
      </c>
      <c r="C336" s="1841" t="s">
        <v>1270</v>
      </c>
      <c r="D336" s="1842">
        <v>21.344999999999999</v>
      </c>
      <c r="E336" s="1843"/>
    </row>
    <row r="337" spans="1:5">
      <c r="A337" s="1839" t="s">
        <v>12932</v>
      </c>
      <c r="B337" s="1840" t="s">
        <v>12933</v>
      </c>
      <c r="C337" s="1841" t="s">
        <v>1270</v>
      </c>
      <c r="D337" s="1842">
        <v>3.19</v>
      </c>
      <c r="E337" s="1843"/>
    </row>
    <row r="338" spans="1:5">
      <c r="A338" s="1839" t="s">
        <v>12944</v>
      </c>
      <c r="B338" s="1840" t="s">
        <v>12945</v>
      </c>
      <c r="C338" s="1841" t="s">
        <v>1270</v>
      </c>
      <c r="D338" s="1842">
        <v>224.44</v>
      </c>
      <c r="E338" s="1843"/>
    </row>
    <row r="339" spans="1:5">
      <c r="A339" s="1839" t="s">
        <v>12946</v>
      </c>
      <c r="B339" s="1840" t="s">
        <v>12947</v>
      </c>
      <c r="C339" s="1841" t="s">
        <v>1270</v>
      </c>
      <c r="D339" s="1842">
        <v>3341.52</v>
      </c>
      <c r="E339" s="1843"/>
    </row>
    <row r="340" spans="1:5">
      <c r="A340" s="1839" t="s">
        <v>12950</v>
      </c>
      <c r="B340" s="1840" t="s">
        <v>12951</v>
      </c>
      <c r="C340" s="1841" t="s">
        <v>1270</v>
      </c>
      <c r="D340" s="1842">
        <v>5231.87</v>
      </c>
      <c r="E340" s="1843"/>
    </row>
    <row r="341" spans="1:5">
      <c r="A341" s="1839" t="s">
        <v>12952</v>
      </c>
      <c r="B341" s="1840" t="s">
        <v>12953</v>
      </c>
      <c r="C341" s="1841" t="s">
        <v>1270</v>
      </c>
      <c r="D341" s="1842">
        <v>752.38</v>
      </c>
      <c r="E341" s="1843"/>
    </row>
    <row r="342" spans="1:5">
      <c r="A342" s="1839" t="s">
        <v>12954</v>
      </c>
      <c r="B342" s="1840" t="s">
        <v>12955</v>
      </c>
      <c r="C342" s="1841" t="s">
        <v>1270</v>
      </c>
      <c r="D342" s="1842">
        <v>193.91</v>
      </c>
      <c r="E342" s="1843"/>
    </row>
    <row r="343" spans="1:5">
      <c r="A343" s="1839" t="s">
        <v>12956</v>
      </c>
      <c r="B343" s="1840" t="s">
        <v>12957</v>
      </c>
      <c r="C343" s="1841" t="s">
        <v>1270</v>
      </c>
      <c r="D343" s="1842">
        <v>957.04499999999996</v>
      </c>
      <c r="E343" s="1843"/>
    </row>
    <row r="344" spans="1:5">
      <c r="A344" s="1839" t="s">
        <v>12958</v>
      </c>
      <c r="B344" s="1840" t="s">
        <v>12959</v>
      </c>
      <c r="C344" s="1841" t="s">
        <v>1270</v>
      </c>
      <c r="D344" s="1842">
        <v>187.43</v>
      </c>
      <c r="E344" s="1843"/>
    </row>
    <row r="345" spans="1:5">
      <c r="A345" s="1839" t="s">
        <v>12968</v>
      </c>
      <c r="B345" s="1840" t="s">
        <v>12969</v>
      </c>
      <c r="C345" s="1841" t="s">
        <v>1270</v>
      </c>
      <c r="D345" s="1842">
        <v>930.7650000000001</v>
      </c>
      <c r="E345" s="1843"/>
    </row>
    <row r="346" spans="1:5">
      <c r="A346" s="1839" t="s">
        <v>12970</v>
      </c>
      <c r="B346" s="1840" t="s">
        <v>12971</v>
      </c>
      <c r="C346" s="1841" t="s">
        <v>1270</v>
      </c>
      <c r="D346" s="1842">
        <v>803.53</v>
      </c>
      <c r="E346" s="1843"/>
    </row>
    <row r="347" spans="1:5">
      <c r="A347" s="1839" t="s">
        <v>12972</v>
      </c>
      <c r="B347" s="1840" t="s">
        <v>12973</v>
      </c>
      <c r="C347" s="1841" t="s">
        <v>1270</v>
      </c>
      <c r="D347" s="1842">
        <v>495.84499999999997</v>
      </c>
      <c r="E347" s="1843"/>
    </row>
    <row r="348" spans="1:5">
      <c r="A348" s="1839" t="s">
        <v>12974</v>
      </c>
      <c r="B348" s="1840" t="s">
        <v>12975</v>
      </c>
      <c r="C348" s="1841" t="s">
        <v>1270</v>
      </c>
      <c r="D348" s="1842">
        <v>601.68499999999995</v>
      </c>
      <c r="E348" s="1843"/>
    </row>
    <row r="349" spans="1:5">
      <c r="A349" s="1839" t="s">
        <v>12976</v>
      </c>
      <c r="B349" s="1840" t="s">
        <v>12977</v>
      </c>
      <c r="C349" s="1841" t="s">
        <v>1270</v>
      </c>
      <c r="D349" s="1842">
        <v>601.68499999999995</v>
      </c>
      <c r="E349" s="1843"/>
    </row>
    <row r="350" spans="1:5">
      <c r="A350" s="1839" t="s">
        <v>12978</v>
      </c>
      <c r="B350" s="1840" t="s">
        <v>12979</v>
      </c>
      <c r="C350" s="1841" t="s">
        <v>1270</v>
      </c>
      <c r="D350" s="1842">
        <v>2803.46</v>
      </c>
      <c r="E350" s="1843"/>
    </row>
    <row r="351" spans="1:5">
      <c r="A351" s="1839" t="s">
        <v>12984</v>
      </c>
      <c r="B351" s="1840" t="s">
        <v>12985</v>
      </c>
      <c r="C351" s="1841" t="s">
        <v>1270</v>
      </c>
      <c r="D351" s="1842">
        <v>1893.2149999999999</v>
      </c>
      <c r="E351" s="1843"/>
    </row>
    <row r="352" spans="1:5">
      <c r="A352" s="1839" t="s">
        <v>12986</v>
      </c>
      <c r="B352" s="1840" t="s">
        <v>12987</v>
      </c>
      <c r="C352" s="1841" t="s">
        <v>1270</v>
      </c>
      <c r="D352" s="1842">
        <v>2526.665</v>
      </c>
      <c r="E352" s="1843"/>
    </row>
    <row r="353" spans="1:5">
      <c r="A353" s="1839" t="s">
        <v>12992</v>
      </c>
      <c r="B353" s="1840" t="s">
        <v>12993</v>
      </c>
      <c r="C353" s="1841" t="s">
        <v>1270</v>
      </c>
      <c r="D353" s="1842">
        <v>3061.0299999999997</v>
      </c>
      <c r="E353" s="1843"/>
    </row>
    <row r="354" spans="1:5">
      <c r="A354" s="1839" t="s">
        <v>12994</v>
      </c>
      <c r="B354" s="1840" t="s">
        <v>12995</v>
      </c>
      <c r="C354" s="1841" t="s">
        <v>1270</v>
      </c>
      <c r="D354" s="1842">
        <v>1893.2149999999999</v>
      </c>
      <c r="E354" s="1843"/>
    </row>
    <row r="355" spans="1:5">
      <c r="A355" s="1839" t="s">
        <v>12996</v>
      </c>
      <c r="B355" s="1840" t="s">
        <v>12997</v>
      </c>
      <c r="C355" s="1841" t="s">
        <v>1270</v>
      </c>
      <c r="D355" s="1842">
        <v>11310.94</v>
      </c>
      <c r="E355" s="1843"/>
    </row>
    <row r="356" spans="1:5">
      <c r="A356" s="1839" t="s">
        <v>12998</v>
      </c>
      <c r="B356" s="1840" t="s">
        <v>12999</v>
      </c>
      <c r="C356" s="1841" t="s">
        <v>1270</v>
      </c>
      <c r="D356" s="1842">
        <v>1121.5900000000001</v>
      </c>
      <c r="E356" s="1843"/>
    </row>
    <row r="357" spans="1:5">
      <c r="A357" s="1839" t="s">
        <v>13006</v>
      </c>
      <c r="B357" s="1840" t="s">
        <v>13007</v>
      </c>
      <c r="C357" s="1841" t="s">
        <v>1270</v>
      </c>
      <c r="D357" s="1842">
        <v>501.23500000000001</v>
      </c>
      <c r="E357" s="1843"/>
    </row>
    <row r="358" spans="1:5">
      <c r="A358" s="1839" t="s">
        <v>13014</v>
      </c>
      <c r="B358" s="1840" t="s">
        <v>13015</v>
      </c>
      <c r="C358" s="1841" t="s">
        <v>1270</v>
      </c>
      <c r="D358" s="1842">
        <v>594.89</v>
      </c>
      <c r="E358" s="1843"/>
    </row>
    <row r="359" spans="1:5">
      <c r="A359" s="1839" t="s">
        <v>13018</v>
      </c>
      <c r="B359" s="1840" t="s">
        <v>13019</v>
      </c>
      <c r="C359" s="1841" t="s">
        <v>1270</v>
      </c>
      <c r="D359" s="1842">
        <v>1346.855</v>
      </c>
      <c r="E359" s="1843"/>
    </row>
    <row r="360" spans="1:5">
      <c r="A360" s="1839" t="s">
        <v>13030</v>
      </c>
      <c r="B360" s="1840" t="s">
        <v>13031</v>
      </c>
      <c r="C360" s="1841" t="s">
        <v>1270</v>
      </c>
      <c r="D360" s="1842">
        <v>2439.835</v>
      </c>
      <c r="E360" s="1843"/>
    </row>
    <row r="361" spans="1:5">
      <c r="A361" s="1839" t="s">
        <v>13032</v>
      </c>
      <c r="B361" s="1840" t="s">
        <v>13033</v>
      </c>
      <c r="C361" s="1841" t="s">
        <v>1270</v>
      </c>
      <c r="D361" s="1842">
        <v>2129.0500000000002</v>
      </c>
      <c r="E361" s="1843"/>
    </row>
    <row r="362" spans="1:5">
      <c r="A362" s="1839" t="s">
        <v>13034</v>
      </c>
      <c r="B362" s="1840" t="s">
        <v>13035</v>
      </c>
      <c r="C362" s="1841" t="s">
        <v>1270</v>
      </c>
      <c r="D362" s="1842">
        <v>1900.95</v>
      </c>
      <c r="E362" s="1843"/>
    </row>
    <row r="363" spans="1:5">
      <c r="A363" s="1839" t="s">
        <v>13038</v>
      </c>
      <c r="B363" s="1840" t="s">
        <v>13039</v>
      </c>
      <c r="C363" s="1841" t="s">
        <v>1270</v>
      </c>
      <c r="D363" s="1842">
        <v>691.92000000000007</v>
      </c>
      <c r="E363" s="1843"/>
    </row>
    <row r="364" spans="1:5">
      <c r="A364" s="1839" t="s">
        <v>13040</v>
      </c>
      <c r="B364" s="1840" t="s">
        <v>13041</v>
      </c>
      <c r="C364" s="1841" t="s">
        <v>1270</v>
      </c>
      <c r="D364" s="1842">
        <v>3136.7</v>
      </c>
      <c r="E364" s="1843"/>
    </row>
    <row r="365" spans="1:5">
      <c r="A365" s="1839" t="s">
        <v>13042</v>
      </c>
      <c r="B365" s="1840" t="s">
        <v>13043</v>
      </c>
      <c r="C365" s="1841" t="s">
        <v>1270</v>
      </c>
      <c r="D365" s="1842">
        <v>3935.71</v>
      </c>
      <c r="E365" s="1843"/>
    </row>
    <row r="366" spans="1:5">
      <c r="A366" s="1839" t="s">
        <v>13044</v>
      </c>
      <c r="B366" s="1840" t="s">
        <v>13045</v>
      </c>
      <c r="C366" s="1841" t="s">
        <v>1270</v>
      </c>
      <c r="D366" s="1842">
        <v>744.4</v>
      </c>
      <c r="E366" s="1843"/>
    </row>
    <row r="367" spans="1:5">
      <c r="A367" s="1839" t="s">
        <v>13046</v>
      </c>
      <c r="B367" s="1840" t="s">
        <v>13047</v>
      </c>
      <c r="C367" s="1841" t="s">
        <v>1270</v>
      </c>
      <c r="D367" s="1842">
        <v>944.29</v>
      </c>
      <c r="E367" s="1843"/>
    </row>
    <row r="368" spans="1:5">
      <c r="A368" s="1839" t="s">
        <v>13048</v>
      </c>
      <c r="B368" s="1840" t="s">
        <v>13049</v>
      </c>
      <c r="C368" s="1841" t="s">
        <v>1270</v>
      </c>
      <c r="D368" s="1842">
        <v>386.31500000000005</v>
      </c>
      <c r="E368" s="1843"/>
    </row>
    <row r="369" spans="1:5">
      <c r="A369" s="1839" t="s">
        <v>13235</v>
      </c>
      <c r="B369" s="1840" t="s">
        <v>13236</v>
      </c>
      <c r="C369" s="1841" t="s">
        <v>10854</v>
      </c>
      <c r="D369" s="1842">
        <v>567.08920000000001</v>
      </c>
      <c r="E369" s="1843"/>
    </row>
    <row r="370" spans="1:5">
      <c r="A370" s="1839" t="s">
        <v>13237</v>
      </c>
      <c r="B370" s="1840" t="s">
        <v>13238</v>
      </c>
      <c r="C370" s="1841" t="s">
        <v>10854</v>
      </c>
      <c r="D370" s="1842">
        <v>380.30019999999996</v>
      </c>
      <c r="E370" s="1843"/>
    </row>
    <row r="371" spans="1:5">
      <c r="A371" s="1839" t="s">
        <v>13239</v>
      </c>
      <c r="B371" s="1840" t="s">
        <v>13240</v>
      </c>
      <c r="C371" s="1841" t="s">
        <v>10854</v>
      </c>
      <c r="D371" s="1842">
        <v>440.8</v>
      </c>
      <c r="E371" s="1843"/>
    </row>
    <row r="372" spans="1:5">
      <c r="A372" s="1839" t="s">
        <v>13241</v>
      </c>
      <c r="B372" s="1840" t="s">
        <v>13242</v>
      </c>
      <c r="C372" s="1841" t="s">
        <v>10854</v>
      </c>
      <c r="D372" s="1842">
        <v>428.12700000000007</v>
      </c>
      <c r="E372" s="1843"/>
    </row>
    <row r="373" spans="1:5">
      <c r="A373" s="1839" t="s">
        <v>13243</v>
      </c>
      <c r="B373" s="1840" t="s">
        <v>13244</v>
      </c>
      <c r="C373" s="1841" t="s">
        <v>10854</v>
      </c>
      <c r="D373" s="1842">
        <v>431.43299999999999</v>
      </c>
      <c r="E373" s="1843"/>
    </row>
    <row r="374" spans="1:5">
      <c r="A374" s="1839" t="s">
        <v>13245</v>
      </c>
      <c r="B374" s="1840" t="s">
        <v>13246</v>
      </c>
      <c r="C374" s="1841" t="s">
        <v>10854</v>
      </c>
      <c r="D374" s="1842">
        <v>551</v>
      </c>
      <c r="E374" s="1843"/>
    </row>
    <row r="375" spans="1:5">
      <c r="A375" s="1839" t="s">
        <v>13247</v>
      </c>
      <c r="B375" s="1840" t="s">
        <v>13248</v>
      </c>
      <c r="C375" s="1841" t="s">
        <v>10854</v>
      </c>
      <c r="D375" s="1842">
        <v>519.3175</v>
      </c>
      <c r="E375" s="1843"/>
    </row>
    <row r="376" spans="1:5">
      <c r="A376" s="1839" t="s">
        <v>13084</v>
      </c>
      <c r="B376" s="1840" t="s">
        <v>13085</v>
      </c>
      <c r="C376" s="1841" t="s">
        <v>10854</v>
      </c>
      <c r="D376" s="1842">
        <v>760</v>
      </c>
      <c r="E376" s="1843"/>
    </row>
    <row r="377" spans="1:5">
      <c r="A377" s="1839" t="s">
        <v>13268</v>
      </c>
      <c r="B377" s="1840" t="s">
        <v>13269</v>
      </c>
      <c r="C377" s="1841" t="s">
        <v>10854</v>
      </c>
      <c r="D377" s="1842">
        <v>12993.750000000002</v>
      </c>
      <c r="E377" s="1843"/>
    </row>
    <row r="378" spans="1:5">
      <c r="A378" s="1839" t="s">
        <v>13270</v>
      </c>
      <c r="B378" s="1840" t="s">
        <v>13271</v>
      </c>
      <c r="C378" s="1841" t="s">
        <v>10854</v>
      </c>
      <c r="D378" s="1842">
        <v>7437.1910000000007</v>
      </c>
      <c r="E378" s="1843"/>
    </row>
    <row r="379" spans="1:5">
      <c r="A379" s="1839" t="s">
        <v>13261</v>
      </c>
      <c r="B379" s="1840" t="e">
        <v>#N/A</v>
      </c>
      <c r="C379" s="1841" t="e">
        <v>#N/A</v>
      </c>
      <c r="D379" s="1842" t="e">
        <v>#N/A</v>
      </c>
      <c r="E379" s="1843"/>
    </row>
    <row r="380" spans="1:5">
      <c r="A380" s="1839" t="s">
        <v>13249</v>
      </c>
      <c r="B380" s="1840" t="s">
        <v>13250</v>
      </c>
      <c r="C380" s="1841" t="s">
        <v>11723</v>
      </c>
      <c r="D380" s="1842">
        <v>162796.75</v>
      </c>
      <c r="E380" s="1843"/>
    </row>
    <row r="381" spans="1:5">
      <c r="A381" s="1839" t="s">
        <v>13251</v>
      </c>
      <c r="B381" s="1840" t="s">
        <v>13252</v>
      </c>
      <c r="C381" s="1841" t="s">
        <v>11723</v>
      </c>
      <c r="D381" s="1842">
        <v>43959</v>
      </c>
      <c r="E381" s="1843"/>
    </row>
    <row r="382" spans="1:5" ht="16.5" customHeight="1">
      <c r="A382" s="1839" t="s">
        <v>13112</v>
      </c>
      <c r="B382" s="1840" t="s">
        <v>13113</v>
      </c>
      <c r="C382" s="1841" t="s">
        <v>10854</v>
      </c>
      <c r="D382" s="1842">
        <v>650</v>
      </c>
      <c r="E382" s="1843"/>
    </row>
    <row r="383" spans="1:5">
      <c r="A383" s="1839" t="s">
        <v>13114</v>
      </c>
      <c r="B383" s="1840" t="s">
        <v>13115</v>
      </c>
      <c r="C383" s="1841" t="s">
        <v>10854</v>
      </c>
      <c r="D383" s="1842">
        <v>4380</v>
      </c>
      <c r="E383" s="1843"/>
    </row>
    <row r="384" spans="1:5">
      <c r="A384" s="1839" t="s">
        <v>13120</v>
      </c>
      <c r="B384" s="1840" t="s">
        <v>13121</v>
      </c>
      <c r="C384" s="1841" t="s">
        <v>10854</v>
      </c>
      <c r="D384" s="1842">
        <v>500</v>
      </c>
      <c r="E384" s="1843"/>
    </row>
    <row r="385" spans="1:6">
      <c r="A385" s="1839" t="s">
        <v>13125</v>
      </c>
      <c r="B385" s="1840" t="s">
        <v>13126</v>
      </c>
      <c r="C385" s="1841" t="s">
        <v>11723</v>
      </c>
      <c r="D385" s="1842">
        <v>1280</v>
      </c>
      <c r="E385" s="1843"/>
    </row>
    <row r="386" spans="1:6">
      <c r="A386" s="1839" t="s">
        <v>13133</v>
      </c>
      <c r="B386" s="1840" t="s">
        <v>13134</v>
      </c>
      <c r="C386" s="1841" t="s">
        <v>10854</v>
      </c>
      <c r="D386" s="1842">
        <v>1289</v>
      </c>
      <c r="E386" s="1843"/>
    </row>
    <row r="387" spans="1:6">
      <c r="A387" s="1839" t="s">
        <v>13135</v>
      </c>
      <c r="B387" s="1840" t="s">
        <v>13136</v>
      </c>
      <c r="C387" s="1841" t="s">
        <v>10854</v>
      </c>
      <c r="D387" s="1842">
        <v>6890</v>
      </c>
      <c r="E387" s="1843"/>
    </row>
    <row r="388" spans="1:6">
      <c r="A388" s="1839" t="s">
        <v>13358</v>
      </c>
      <c r="B388" s="1840" t="s">
        <v>13359</v>
      </c>
      <c r="C388" s="1841" t="s">
        <v>1270</v>
      </c>
      <c r="D388" s="1842">
        <v>20.92</v>
      </c>
      <c r="E388" s="1843"/>
    </row>
    <row r="389" spans="1:6">
      <c r="A389" s="1839" t="s">
        <v>13358</v>
      </c>
      <c r="B389" s="1840" t="s">
        <v>13359</v>
      </c>
      <c r="C389" s="1841" t="s">
        <v>1270</v>
      </c>
      <c r="D389" s="1842">
        <v>20.92</v>
      </c>
      <c r="E389" s="1843"/>
    </row>
    <row r="390" spans="1:6">
      <c r="A390" s="1839" t="s">
        <v>14428</v>
      </c>
      <c r="B390" s="1840" t="s">
        <v>20520</v>
      </c>
      <c r="C390" s="1841" t="s">
        <v>14339</v>
      </c>
      <c r="D390" s="1842">
        <v>13337.77</v>
      </c>
      <c r="E390" s="1843"/>
      <c r="F390" s="738">
        <v>13337.77</v>
      </c>
    </row>
    <row r="391" spans="1:6">
      <c r="A391" s="1839" t="s">
        <v>14429</v>
      </c>
      <c r="B391" s="1840" t="s">
        <v>14328</v>
      </c>
      <c r="C391" s="1841" t="s">
        <v>69</v>
      </c>
      <c r="D391" s="1844">
        <v>3423.94</v>
      </c>
      <c r="E391" s="1843"/>
      <c r="F391" s="738">
        <v>3423.94</v>
      </c>
    </row>
    <row r="392" spans="1:6">
      <c r="A392" s="1839" t="s">
        <v>14658</v>
      </c>
      <c r="B392" s="1840" t="s">
        <v>20521</v>
      </c>
      <c r="C392" s="1841" t="s">
        <v>14339</v>
      </c>
      <c r="D392" s="1842">
        <v>9509.98</v>
      </c>
      <c r="E392" s="1843"/>
      <c r="F392" s="738">
        <v>9509.98</v>
      </c>
    </row>
    <row r="393" spans="1:6">
      <c r="A393" s="1839" t="s">
        <v>14510</v>
      </c>
      <c r="B393" s="1840" t="s">
        <v>14519</v>
      </c>
      <c r="C393" s="1841" t="s">
        <v>10854</v>
      </c>
      <c r="D393" s="1842">
        <v>308</v>
      </c>
      <c r="E393" s="1843"/>
    </row>
    <row r="394" spans="1:6" ht="22.5">
      <c r="A394" s="1839" t="s">
        <v>14511</v>
      </c>
      <c r="B394" s="1840" t="s">
        <v>14520</v>
      </c>
      <c r="C394" s="1841" t="s">
        <v>10854</v>
      </c>
      <c r="D394" s="1842">
        <v>215.2</v>
      </c>
      <c r="E394" s="1843"/>
    </row>
    <row r="395" spans="1:6" ht="22.5">
      <c r="A395" s="1839" t="s">
        <v>14512</v>
      </c>
      <c r="B395" s="1840" t="s">
        <v>14521</v>
      </c>
      <c r="C395" s="1841" t="s">
        <v>10854</v>
      </c>
      <c r="D395" s="1842">
        <v>148.80000000000001</v>
      </c>
      <c r="E395" s="1843"/>
    </row>
    <row r="396" spans="1:6" ht="33.75">
      <c r="A396" s="1839" t="s">
        <v>14513</v>
      </c>
      <c r="B396" s="1840" t="s">
        <v>14522</v>
      </c>
      <c r="C396" s="1841" t="s">
        <v>10854</v>
      </c>
      <c r="D396" s="1842">
        <v>294</v>
      </c>
      <c r="E396" s="1843"/>
    </row>
    <row r="397" spans="1:6" ht="22.5">
      <c r="A397" s="1839" t="s">
        <v>14514</v>
      </c>
      <c r="B397" s="1840" t="s">
        <v>14523</v>
      </c>
      <c r="C397" s="1841" t="s">
        <v>10854</v>
      </c>
      <c r="D397" s="1842">
        <v>285</v>
      </c>
      <c r="E397" s="1843"/>
    </row>
    <row r="398" spans="1:6">
      <c r="A398" s="1839" t="s">
        <v>14515</v>
      </c>
      <c r="B398" s="1840" t="s">
        <v>14524</v>
      </c>
      <c r="C398" s="1841" t="s">
        <v>10854</v>
      </c>
      <c r="D398" s="1842">
        <v>369</v>
      </c>
      <c r="E398" s="1843"/>
    </row>
    <row r="399" spans="1:6" ht="22.5">
      <c r="A399" s="1839" t="s">
        <v>14516</v>
      </c>
      <c r="B399" s="1840" t="s">
        <v>14525</v>
      </c>
      <c r="C399" s="1841" t="s">
        <v>10854</v>
      </c>
      <c r="D399" s="1842">
        <v>116.25</v>
      </c>
      <c r="E399" s="1843"/>
    </row>
    <row r="400" spans="1:6">
      <c r="A400" s="1839" t="s">
        <v>14517</v>
      </c>
      <c r="B400" s="1840" t="s">
        <v>14526</v>
      </c>
      <c r="C400" s="1841" t="s">
        <v>10854</v>
      </c>
      <c r="D400" s="1842">
        <v>420</v>
      </c>
      <c r="E400" s="1843"/>
    </row>
    <row r="401" spans="1:5" ht="22.5">
      <c r="A401" s="1839" t="s">
        <v>14518</v>
      </c>
      <c r="B401" s="1840" t="s">
        <v>14527</v>
      </c>
      <c r="C401" s="1841" t="s">
        <v>10854</v>
      </c>
      <c r="D401" s="1842">
        <v>191.7</v>
      </c>
      <c r="E401" s="1843"/>
    </row>
    <row r="402" spans="1:5">
      <c r="A402" s="1839" t="s">
        <v>20516</v>
      </c>
      <c r="B402" s="1840" t="s">
        <v>12450</v>
      </c>
      <c r="C402" s="1841" t="s">
        <v>14339</v>
      </c>
      <c r="D402" s="1842">
        <v>1735</v>
      </c>
      <c r="E402" s="1843"/>
    </row>
    <row r="403" spans="1:5">
      <c r="A403" s="1839" t="s">
        <v>12345</v>
      </c>
      <c r="B403" s="1840" t="s">
        <v>20517</v>
      </c>
      <c r="C403" s="1841" t="s">
        <v>21</v>
      </c>
      <c r="D403" s="1842">
        <v>551</v>
      </c>
      <c r="E403" s="1843"/>
    </row>
    <row r="404" spans="1:5">
      <c r="A404" s="1839" t="s">
        <v>12303</v>
      </c>
      <c r="B404" s="1840" t="s">
        <v>20505</v>
      </c>
      <c r="C404" s="1841" t="s">
        <v>1274</v>
      </c>
      <c r="D404" s="1842">
        <v>72.5</v>
      </c>
      <c r="E404" s="1843"/>
    </row>
    <row r="405" spans="1:5">
      <c r="A405" s="1839" t="s">
        <v>12300</v>
      </c>
      <c r="B405" s="1840" t="s">
        <v>20506</v>
      </c>
      <c r="C405" s="1841" t="s">
        <v>1274</v>
      </c>
      <c r="D405" s="1842">
        <v>203</v>
      </c>
      <c r="E405" s="1843"/>
    </row>
    <row r="406" spans="1:5">
      <c r="A406" s="1839" t="s">
        <v>12301</v>
      </c>
      <c r="B406" s="1840" t="s">
        <v>20507</v>
      </c>
      <c r="C406" s="1841" t="s">
        <v>1274</v>
      </c>
      <c r="D406" s="1842">
        <v>203</v>
      </c>
      <c r="E406" s="1843"/>
    </row>
    <row r="407" spans="1:5">
      <c r="A407" s="1839" t="s">
        <v>12302</v>
      </c>
      <c r="B407" s="1840" t="s">
        <v>20508</v>
      </c>
      <c r="C407" s="1841" t="s">
        <v>1274</v>
      </c>
      <c r="D407" s="1842">
        <v>206</v>
      </c>
      <c r="E407" s="1843"/>
    </row>
    <row r="408" spans="1:5">
      <c r="A408" s="1839" t="s">
        <v>20518</v>
      </c>
      <c r="B408" s="1840" t="s">
        <v>20519</v>
      </c>
      <c r="C408" s="1841" t="s">
        <v>14339</v>
      </c>
      <c r="D408" s="1842">
        <v>576.86</v>
      </c>
      <c r="E408" s="1843"/>
    </row>
    <row r="409" spans="1:5">
      <c r="A409" s="1839" t="s">
        <v>14165</v>
      </c>
      <c r="B409" s="1840" t="s">
        <v>14278</v>
      </c>
      <c r="C409" s="1841" t="s">
        <v>1272</v>
      </c>
      <c r="D409" s="1845">
        <v>38150</v>
      </c>
      <c r="E409" s="1843"/>
    </row>
    <row r="410" spans="1:5">
      <c r="A410" s="1839" t="s">
        <v>20950</v>
      </c>
      <c r="B410" s="1840" t="s">
        <v>20951</v>
      </c>
      <c r="C410" s="1841" t="s">
        <v>1274</v>
      </c>
      <c r="D410" s="1845">
        <v>227.56299999999999</v>
      </c>
      <c r="E410" s="1843"/>
    </row>
    <row r="411" spans="1:5">
      <c r="A411" s="1839" t="s">
        <v>20952</v>
      </c>
      <c r="B411" s="1840" t="s">
        <v>20953</v>
      </c>
      <c r="C411" s="1841" t="s">
        <v>1274</v>
      </c>
      <c r="D411" s="1845">
        <v>201.5558</v>
      </c>
      <c r="E411" s="1843"/>
    </row>
    <row r="412" spans="1:5">
      <c r="A412" s="1839" t="s">
        <v>20954</v>
      </c>
      <c r="B412" s="1840" t="s">
        <v>20955</v>
      </c>
      <c r="C412" s="1841" t="s">
        <v>1274</v>
      </c>
      <c r="D412" s="1845">
        <v>292.58100000000002</v>
      </c>
      <c r="E412" s="1843"/>
    </row>
    <row r="413" spans="1:5">
      <c r="A413" s="1839" t="s">
        <v>20956</v>
      </c>
      <c r="B413" s="1840" t="s">
        <v>20957</v>
      </c>
      <c r="C413" s="1841" t="s">
        <v>1274</v>
      </c>
      <c r="D413" s="1845">
        <v>234.06479999999996</v>
      </c>
      <c r="E413" s="1843"/>
    </row>
    <row r="414" spans="1:5">
      <c r="A414" s="1839" t="s">
        <v>20958</v>
      </c>
      <c r="B414" s="1840" t="s">
        <v>20959</v>
      </c>
      <c r="C414" s="1841" t="s">
        <v>1274</v>
      </c>
      <c r="D414" s="1845">
        <v>279.57740000000001</v>
      </c>
      <c r="E414" s="1843"/>
    </row>
    <row r="415" spans="1:5">
      <c r="A415" s="1839" t="s">
        <v>20960</v>
      </c>
      <c r="B415" s="1840" t="s">
        <v>20961</v>
      </c>
      <c r="C415" s="1841" t="s">
        <v>1274</v>
      </c>
      <c r="D415" s="1845">
        <v>344.59540000000004</v>
      </c>
      <c r="E415" s="1843"/>
    </row>
    <row r="416" spans="1:5">
      <c r="A416" s="1839" t="s">
        <v>20962</v>
      </c>
      <c r="B416" s="1840" t="s">
        <v>20963</v>
      </c>
      <c r="C416" s="1841" t="s">
        <v>1274</v>
      </c>
      <c r="D416" s="1845">
        <v>336.99160000000001</v>
      </c>
      <c r="E416" s="1843"/>
    </row>
    <row r="417" spans="1:5">
      <c r="A417" s="1839" t="s">
        <v>20964</v>
      </c>
      <c r="B417" s="1840" t="s">
        <v>20965</v>
      </c>
      <c r="C417" s="1841" t="s">
        <v>1274</v>
      </c>
      <c r="D417" s="1845">
        <v>276.38159999999999</v>
      </c>
      <c r="E417" s="1843"/>
    </row>
    <row r="418" spans="1:5">
      <c r="A418" s="1839" t="s">
        <v>20966</v>
      </c>
      <c r="B418" s="1840" t="s">
        <v>20967</v>
      </c>
      <c r="C418" s="1841" t="s">
        <v>1274</v>
      </c>
      <c r="D418" s="1845">
        <v>389.77740000000006</v>
      </c>
      <c r="E418" s="1843"/>
    </row>
    <row r="419" spans="1:5">
      <c r="A419" s="1839" t="s">
        <v>20968</v>
      </c>
      <c r="B419" s="1840" t="s">
        <v>20969</v>
      </c>
      <c r="C419" s="1841" t="s">
        <v>1274</v>
      </c>
      <c r="D419" s="1845">
        <v>132.16</v>
      </c>
      <c r="E419" s="1843"/>
    </row>
    <row r="420" spans="1:5">
      <c r="A420" s="1839" t="s">
        <v>20970</v>
      </c>
      <c r="B420" s="1840" t="s">
        <v>20971</v>
      </c>
      <c r="C420" s="1841" t="s">
        <v>1274</v>
      </c>
      <c r="D420" s="1845">
        <v>117.056</v>
      </c>
      <c r="E420" s="1843"/>
    </row>
    <row r="421" spans="1:5">
      <c r="A421" s="1839" t="s">
        <v>20972</v>
      </c>
      <c r="B421" s="1840" t="s">
        <v>20973</v>
      </c>
      <c r="C421" s="1841" t="s">
        <v>1274</v>
      </c>
      <c r="D421" s="1845">
        <v>169.92</v>
      </c>
      <c r="E421" s="1843"/>
    </row>
    <row r="422" spans="1:5">
      <c r="A422" s="1839" t="s">
        <v>20974</v>
      </c>
      <c r="B422" s="1840" t="s">
        <v>20975</v>
      </c>
      <c r="C422" s="1841" t="s">
        <v>1274</v>
      </c>
      <c r="D422" s="1845">
        <v>135.93599999999998</v>
      </c>
      <c r="E422" s="1843"/>
    </row>
    <row r="423" spans="1:5">
      <c r="A423" s="1839" t="s">
        <v>20976</v>
      </c>
      <c r="B423" s="1840" t="s">
        <v>20977</v>
      </c>
      <c r="C423" s="1841" t="s">
        <v>1274</v>
      </c>
      <c r="D423" s="1845">
        <v>162.36799999999999</v>
      </c>
      <c r="E423" s="1843"/>
    </row>
    <row r="424" spans="1:5">
      <c r="A424" s="1839" t="s">
        <v>20978</v>
      </c>
      <c r="B424" s="1840" t="s">
        <v>20979</v>
      </c>
      <c r="C424" s="1841" t="s">
        <v>1274</v>
      </c>
      <c r="D424" s="1845">
        <v>200.12800000000001</v>
      </c>
      <c r="E424" s="1843"/>
    </row>
    <row r="425" spans="1:5">
      <c r="A425" s="1839" t="s">
        <v>20980</v>
      </c>
      <c r="B425" s="1840" t="s">
        <v>20981</v>
      </c>
      <c r="C425" s="1841" t="s">
        <v>1274</v>
      </c>
      <c r="D425" s="1845">
        <v>195.71199999999999</v>
      </c>
      <c r="E425" s="1843"/>
    </row>
    <row r="426" spans="1:5">
      <c r="A426" s="1839" t="s">
        <v>20982</v>
      </c>
      <c r="B426" s="1840" t="s">
        <v>20983</v>
      </c>
      <c r="C426" s="1841" t="s">
        <v>1274</v>
      </c>
      <c r="D426" s="1845">
        <v>160.51199999999997</v>
      </c>
      <c r="E426" s="1843"/>
    </row>
    <row r="427" spans="1:5">
      <c r="A427" s="1839" t="s">
        <v>20984</v>
      </c>
      <c r="B427" s="1840" t="s">
        <v>20985</v>
      </c>
      <c r="C427" s="1841" t="s">
        <v>1274</v>
      </c>
      <c r="D427" s="1845">
        <v>226.36800000000002</v>
      </c>
      <c r="E427" s="1843"/>
    </row>
    <row r="428" spans="1:5">
      <c r="A428" s="1839" t="s">
        <v>20986</v>
      </c>
      <c r="B428" s="1840" t="s">
        <v>20987</v>
      </c>
      <c r="C428" s="1841" t="s">
        <v>1270</v>
      </c>
      <c r="D428" s="1845">
        <v>1.83</v>
      </c>
      <c r="E428" s="1843"/>
    </row>
    <row r="429" spans="1:5">
      <c r="A429" s="1832" t="s">
        <v>20988</v>
      </c>
      <c r="B429" s="1833" t="s">
        <v>20989</v>
      </c>
      <c r="C429" s="1834" t="s">
        <v>18</v>
      </c>
      <c r="D429" s="1846">
        <v>95.181000000000012</v>
      </c>
      <c r="E429" s="1843"/>
    </row>
    <row r="430" spans="1:5">
      <c r="D430" s="1848"/>
      <c r="E430" s="1843"/>
    </row>
    <row r="431" spans="1:5">
      <c r="A431" s="736" t="s">
        <v>14057</v>
      </c>
      <c r="B431" s="1847" t="s">
        <v>14430</v>
      </c>
      <c r="C431" s="736" t="s">
        <v>10854</v>
      </c>
      <c r="D431" s="1848">
        <v>7.16</v>
      </c>
      <c r="E431" s="1843"/>
    </row>
    <row r="432" spans="1:5">
      <c r="A432" s="736" t="s">
        <v>14058</v>
      </c>
      <c r="B432" s="1847" t="s">
        <v>14431</v>
      </c>
      <c r="C432" s="736" t="s">
        <v>10854</v>
      </c>
      <c r="D432" s="1848">
        <v>15.73</v>
      </c>
      <c r="E432" s="1843"/>
    </row>
    <row r="433" spans="1:5">
      <c r="A433" s="736" t="s">
        <v>14059</v>
      </c>
      <c r="B433" s="1847" t="s">
        <v>14432</v>
      </c>
      <c r="C433" s="736" t="s">
        <v>10854</v>
      </c>
      <c r="D433" s="1848">
        <v>17</v>
      </c>
      <c r="E433" s="1843"/>
    </row>
    <row r="434" spans="1:5">
      <c r="A434" s="736" t="s">
        <v>14060</v>
      </c>
      <c r="B434" s="1847" t="s">
        <v>14433</v>
      </c>
      <c r="C434" s="736" t="s">
        <v>10854</v>
      </c>
      <c r="D434" s="1848">
        <v>34</v>
      </c>
      <c r="E434" s="1843"/>
    </row>
    <row r="435" spans="1:5">
      <c r="A435" s="736" t="s">
        <v>14061</v>
      </c>
      <c r="B435" s="1847" t="s">
        <v>14434</v>
      </c>
      <c r="C435" s="736" t="s">
        <v>10854</v>
      </c>
      <c r="D435" s="1848">
        <v>92.65</v>
      </c>
      <c r="E435" s="1843"/>
    </row>
    <row r="436" spans="1:5">
      <c r="A436" s="736" t="s">
        <v>14062</v>
      </c>
      <c r="B436" s="1847" t="s">
        <v>14435</v>
      </c>
      <c r="C436" s="736" t="s">
        <v>10854</v>
      </c>
      <c r="D436" s="1848">
        <v>149.6</v>
      </c>
      <c r="E436" s="1843"/>
    </row>
    <row r="437" spans="1:5">
      <c r="A437" s="736" t="s">
        <v>14052</v>
      </c>
      <c r="B437" s="1847" t="s">
        <v>14436</v>
      </c>
      <c r="C437" s="736" t="s">
        <v>10854</v>
      </c>
      <c r="D437" s="1848">
        <v>153</v>
      </c>
      <c r="E437" s="1843"/>
    </row>
    <row r="438" spans="1:5">
      <c r="A438" s="736" t="s">
        <v>14053</v>
      </c>
      <c r="B438" s="1847" t="s">
        <v>14437</v>
      </c>
      <c r="C438" s="736" t="s">
        <v>10854</v>
      </c>
      <c r="D438" s="1848">
        <v>148.75</v>
      </c>
      <c r="E438" s="1843"/>
    </row>
    <row r="439" spans="1:5">
      <c r="A439" s="736" t="s">
        <v>14054</v>
      </c>
      <c r="B439" s="1847" t="s">
        <v>14438</v>
      </c>
      <c r="C439" s="736" t="s">
        <v>10854</v>
      </c>
      <c r="D439" s="1848">
        <v>151.1</v>
      </c>
      <c r="E439" s="1843"/>
    </row>
    <row r="440" spans="1:5">
      <c r="A440" s="736" t="s">
        <v>14055</v>
      </c>
      <c r="B440" s="1847" t="s">
        <v>14430</v>
      </c>
      <c r="C440" s="736" t="s">
        <v>10854</v>
      </c>
      <c r="D440" s="1848">
        <v>7.16</v>
      </c>
      <c r="E440" s="1843"/>
    </row>
    <row r="441" spans="1:5">
      <c r="A441" s="736" t="s">
        <v>14056</v>
      </c>
      <c r="B441" s="1847" t="s">
        <v>14439</v>
      </c>
      <c r="C441" s="736" t="s">
        <v>10854</v>
      </c>
      <c r="D441" s="1848">
        <v>18.79</v>
      </c>
      <c r="E441" s="1843"/>
    </row>
    <row r="442" spans="1:5">
      <c r="A442" s="736" t="s">
        <v>14182</v>
      </c>
      <c r="B442" s="1847" t="s">
        <v>14440</v>
      </c>
      <c r="C442" s="736" t="s">
        <v>10854</v>
      </c>
      <c r="D442" s="1848">
        <v>1005.72</v>
      </c>
      <c r="E442" s="1843"/>
    </row>
    <row r="443" spans="1:5">
      <c r="A443" s="736" t="s">
        <v>14178</v>
      </c>
      <c r="B443" s="1847" t="s">
        <v>14441</v>
      </c>
      <c r="C443" s="736" t="s">
        <v>10854</v>
      </c>
      <c r="D443" s="1848">
        <v>6380.44</v>
      </c>
      <c r="E443" s="1843"/>
    </row>
    <row r="444" spans="1:5">
      <c r="A444" s="736" t="s">
        <v>14177</v>
      </c>
      <c r="B444" s="1847" t="s">
        <v>14442</v>
      </c>
      <c r="C444" s="736" t="s">
        <v>10854</v>
      </c>
      <c r="D444" s="1848">
        <v>7012.57</v>
      </c>
      <c r="E444" s="1843"/>
    </row>
    <row r="445" spans="1:5">
      <c r="A445" s="736" t="s">
        <v>14181</v>
      </c>
      <c r="B445" s="1847" t="s">
        <v>14443</v>
      </c>
      <c r="C445" s="736" t="s">
        <v>10854</v>
      </c>
      <c r="D445" s="1848">
        <v>4518.33</v>
      </c>
      <c r="E445" s="1843"/>
    </row>
    <row r="446" spans="1:5">
      <c r="A446" s="736" t="s">
        <v>14183</v>
      </c>
      <c r="B446" s="1847" t="s">
        <v>14444</v>
      </c>
      <c r="C446" s="736" t="s">
        <v>10854</v>
      </c>
      <c r="D446" s="1848">
        <v>798.93</v>
      </c>
      <c r="E446" s="1843"/>
    </row>
    <row r="447" spans="1:5">
      <c r="A447" s="736" t="s">
        <v>14184</v>
      </c>
      <c r="B447" s="1847" t="s">
        <v>14445</v>
      </c>
      <c r="C447" s="736" t="s">
        <v>10854</v>
      </c>
      <c r="D447" s="1848">
        <v>1483.73</v>
      </c>
      <c r="E447" s="1843"/>
    </row>
    <row r="448" spans="1:5">
      <c r="A448" s="736" t="s">
        <v>14185</v>
      </c>
      <c r="B448" s="1847" t="s">
        <v>14446</v>
      </c>
      <c r="C448" s="736" t="s">
        <v>10854</v>
      </c>
      <c r="D448" s="1848">
        <v>2881.86</v>
      </c>
      <c r="E448" s="1843"/>
    </row>
    <row r="449" spans="1:5">
      <c r="A449" s="736" t="s">
        <v>14186</v>
      </c>
      <c r="B449" s="1847" t="s">
        <v>14447</v>
      </c>
      <c r="C449" s="736" t="s">
        <v>10854</v>
      </c>
      <c r="D449" s="1848">
        <v>3423.99</v>
      </c>
      <c r="E449" s="1843"/>
    </row>
    <row r="450" spans="1:5">
      <c r="A450" s="736" t="s">
        <v>14174</v>
      </c>
      <c r="B450" s="1847" t="s">
        <v>14448</v>
      </c>
      <c r="C450" s="736" t="s">
        <v>10854</v>
      </c>
      <c r="D450" s="1848">
        <v>4286.76</v>
      </c>
      <c r="E450" s="1843"/>
    </row>
    <row r="451" spans="1:5" ht="16.5" customHeight="1">
      <c r="A451" s="736" t="s">
        <v>14180</v>
      </c>
      <c r="B451" s="1847" t="s">
        <v>14449</v>
      </c>
      <c r="C451" s="736" t="s">
        <v>10854</v>
      </c>
      <c r="D451" s="1848">
        <v>10542.77</v>
      </c>
      <c r="E451" s="1843"/>
    </row>
    <row r="452" spans="1:5" ht="16.5" customHeight="1">
      <c r="A452" s="736" t="s">
        <v>14173</v>
      </c>
      <c r="B452" s="1847" t="s">
        <v>14450</v>
      </c>
      <c r="C452" s="736" t="s">
        <v>10854</v>
      </c>
      <c r="D452" s="1848">
        <v>4359.42</v>
      </c>
      <c r="E452" s="1843"/>
    </row>
    <row r="453" spans="1:5" ht="16.5" customHeight="1">
      <c r="A453" s="736" t="s">
        <v>14176</v>
      </c>
      <c r="B453" s="1847" t="s">
        <v>14451</v>
      </c>
      <c r="C453" s="736" t="s">
        <v>10854</v>
      </c>
      <c r="D453" s="1848">
        <v>5926.94</v>
      </c>
      <c r="E453" s="1843"/>
    </row>
    <row r="454" spans="1:5" ht="16.5" customHeight="1">
      <c r="A454" s="736" t="s">
        <v>14187</v>
      </c>
      <c r="B454" s="1847" t="s">
        <v>14452</v>
      </c>
      <c r="C454" s="736" t="s">
        <v>10854</v>
      </c>
      <c r="D454" s="1848">
        <v>3757.71</v>
      </c>
      <c r="E454" s="1843"/>
    </row>
    <row r="455" spans="1:5" ht="16.5" customHeight="1">
      <c r="A455" s="736" t="s">
        <v>14188</v>
      </c>
      <c r="B455" s="1847" t="s">
        <v>14453</v>
      </c>
      <c r="C455" s="736" t="s">
        <v>10854</v>
      </c>
      <c r="D455" s="1848">
        <v>4281.7700000000004</v>
      </c>
      <c r="E455" s="1843"/>
    </row>
    <row r="456" spans="1:5" ht="16.5" customHeight="1">
      <c r="A456" s="736" t="s">
        <v>14189</v>
      </c>
      <c r="B456" s="1847" t="s">
        <v>14454</v>
      </c>
      <c r="C456" s="736" t="s">
        <v>10854</v>
      </c>
      <c r="D456" s="1848">
        <v>4621.7</v>
      </c>
      <c r="E456" s="1843"/>
    </row>
    <row r="457" spans="1:5" ht="16.5" customHeight="1">
      <c r="A457" s="736" t="s">
        <v>14175</v>
      </c>
      <c r="B457" s="1847" t="s">
        <v>14455</v>
      </c>
      <c r="C457" s="736" t="s">
        <v>10854</v>
      </c>
      <c r="D457" s="1848">
        <v>8569.9699999999993</v>
      </c>
      <c r="E457" s="1843"/>
    </row>
    <row r="458" spans="1:5" ht="16.5" customHeight="1">
      <c r="A458" s="736" t="s">
        <v>14263</v>
      </c>
      <c r="B458" s="1847" t="s">
        <v>14456</v>
      </c>
      <c r="C458" s="736" t="s">
        <v>10854</v>
      </c>
      <c r="D458" s="1848">
        <v>3252.79</v>
      </c>
      <c r="E458" s="1843"/>
    </row>
    <row r="459" spans="1:5" ht="16.5" customHeight="1">
      <c r="A459" s="736" t="s">
        <v>14264</v>
      </c>
      <c r="B459" s="1847" t="s">
        <v>14457</v>
      </c>
      <c r="C459" s="736" t="s">
        <v>10854</v>
      </c>
      <c r="D459" s="1848">
        <v>1997.33</v>
      </c>
      <c r="E459" s="1843"/>
    </row>
    <row r="460" spans="1:5">
      <c r="A460" s="736" t="s">
        <v>14265</v>
      </c>
      <c r="B460" s="1847" t="s">
        <v>14458</v>
      </c>
      <c r="C460" s="736" t="s">
        <v>10854</v>
      </c>
      <c r="D460" s="1848">
        <v>856</v>
      </c>
      <c r="E460" s="1843"/>
    </row>
    <row r="461" spans="1:5">
      <c r="A461" s="736" t="s">
        <v>14266</v>
      </c>
      <c r="B461" s="1847" t="s">
        <v>14459</v>
      </c>
      <c r="C461" s="736" t="s">
        <v>10854</v>
      </c>
      <c r="D461" s="1848">
        <v>1369.6</v>
      </c>
      <c r="E461" s="1843"/>
    </row>
    <row r="462" spans="1:5">
      <c r="A462" s="736" t="s">
        <v>14460</v>
      </c>
      <c r="B462" s="1847" t="s">
        <v>14461</v>
      </c>
      <c r="C462" s="736" t="s">
        <v>18</v>
      </c>
      <c r="D462" s="1848">
        <v>1126</v>
      </c>
      <c r="E462" s="1843"/>
    </row>
    <row r="463" spans="1:5" ht="21" customHeight="1">
      <c r="A463" s="736" t="s">
        <v>14274</v>
      </c>
      <c r="B463" s="1847" t="s">
        <v>14467</v>
      </c>
      <c r="C463" s="736" t="s">
        <v>18</v>
      </c>
      <c r="D463" s="1848">
        <v>193</v>
      </c>
      <c r="E463" s="1843"/>
    </row>
    <row r="464" spans="1:5">
      <c r="A464" s="736" t="s">
        <v>14275</v>
      </c>
      <c r="B464" s="1847" t="s">
        <v>14468</v>
      </c>
      <c r="C464" s="736" t="s">
        <v>10854</v>
      </c>
      <c r="D464" s="1848">
        <v>332.55</v>
      </c>
      <c r="E464" s="1843"/>
    </row>
    <row r="465" spans="1:5" ht="22.5">
      <c r="A465" s="736" t="s">
        <v>20526</v>
      </c>
      <c r="B465" s="1847" t="s">
        <v>20527</v>
      </c>
      <c r="C465" s="736" t="s">
        <v>18</v>
      </c>
      <c r="D465" s="1848">
        <v>164.93</v>
      </c>
      <c r="E465" s="1843"/>
    </row>
    <row r="466" spans="1:5" ht="60" customHeight="1">
      <c r="D466" s="1849"/>
      <c r="E466" s="1843"/>
    </row>
    <row r="467" spans="1:5">
      <c r="A467" s="1836" t="s">
        <v>86</v>
      </c>
      <c r="B467" s="1837" t="s">
        <v>13869</v>
      </c>
      <c r="C467" s="1836" t="s">
        <v>25</v>
      </c>
      <c r="D467" s="1850" t="s">
        <v>88</v>
      </c>
      <c r="E467" s="1843"/>
    </row>
    <row r="468" spans="1:5" ht="22.5">
      <c r="A468" s="736" t="s">
        <v>11754</v>
      </c>
      <c r="B468" s="1847" t="s">
        <v>13424</v>
      </c>
      <c r="C468" s="736" t="s">
        <v>10853</v>
      </c>
      <c r="D468" s="1848">
        <v>1.65</v>
      </c>
      <c r="E468" s="1843"/>
    </row>
    <row r="469" spans="1:5" ht="56.25">
      <c r="A469" s="736" t="s">
        <v>11755</v>
      </c>
      <c r="B469" s="1847" t="s">
        <v>13430</v>
      </c>
      <c r="C469" s="736" t="s">
        <v>10853</v>
      </c>
      <c r="D469" s="1848">
        <v>11290.78</v>
      </c>
      <c r="E469" s="1843"/>
    </row>
    <row r="470" spans="1:5" ht="78.75">
      <c r="A470" s="736" t="s">
        <v>11756</v>
      </c>
      <c r="B470" s="1847" t="s">
        <v>13431</v>
      </c>
      <c r="C470" s="736" t="s">
        <v>10853</v>
      </c>
      <c r="D470" s="1848">
        <v>9291.66</v>
      </c>
      <c r="E470" s="1843"/>
    </row>
    <row r="471" spans="1:5" ht="33.75">
      <c r="A471" s="736" t="s">
        <v>13451</v>
      </c>
      <c r="B471" s="1847" t="s">
        <v>13452</v>
      </c>
      <c r="C471" s="736" t="s">
        <v>10853</v>
      </c>
      <c r="D471" s="1848">
        <v>9.41</v>
      </c>
      <c r="E471" s="1843"/>
    </row>
    <row r="472" spans="1:5" ht="33.75">
      <c r="A472" s="736" t="s">
        <v>13453</v>
      </c>
      <c r="B472" s="1847" t="s">
        <v>13454</v>
      </c>
      <c r="C472" s="736" t="s">
        <v>10853</v>
      </c>
      <c r="D472" s="1848">
        <v>9.48</v>
      </c>
      <c r="E472" s="1843"/>
    </row>
    <row r="473" spans="1:5" ht="22.5">
      <c r="A473" s="736" t="s">
        <v>13458</v>
      </c>
      <c r="B473" s="1847" t="s">
        <v>13459</v>
      </c>
      <c r="C473" s="736" t="s">
        <v>10853</v>
      </c>
      <c r="D473" s="1848">
        <v>9.48</v>
      </c>
      <c r="E473" s="1843"/>
    </row>
    <row r="474" spans="1:5" ht="22.5">
      <c r="A474" s="736" t="s">
        <v>11743</v>
      </c>
      <c r="B474" s="1847" t="s">
        <v>13370</v>
      </c>
      <c r="C474" s="736" t="s">
        <v>18</v>
      </c>
      <c r="D474" s="1848">
        <v>17.96</v>
      </c>
      <c r="E474" s="1843"/>
    </row>
    <row r="475" spans="1:5" ht="22.5">
      <c r="A475" s="736" t="s">
        <v>11744</v>
      </c>
      <c r="B475" s="1847" t="s">
        <v>13379</v>
      </c>
      <c r="C475" s="736" t="s">
        <v>10853</v>
      </c>
      <c r="D475" s="1848">
        <v>108.05</v>
      </c>
      <c r="E475" s="1843"/>
    </row>
    <row r="476" spans="1:5">
      <c r="A476" s="736" t="s">
        <v>11745</v>
      </c>
      <c r="B476" s="1847" t="s">
        <v>13380</v>
      </c>
      <c r="C476" s="736" t="s">
        <v>10854</v>
      </c>
      <c r="D476" s="1848">
        <v>22.58</v>
      </c>
      <c r="E476" s="1843"/>
    </row>
    <row r="477" spans="1:5">
      <c r="A477" s="736" t="s">
        <v>11746</v>
      </c>
      <c r="B477" s="1847" t="s">
        <v>13381</v>
      </c>
      <c r="C477" s="736" t="s">
        <v>10854</v>
      </c>
      <c r="D477" s="1848">
        <v>22.58</v>
      </c>
      <c r="E477" s="1843"/>
    </row>
    <row r="478" spans="1:5">
      <c r="A478" s="736" t="s">
        <v>11747</v>
      </c>
      <c r="B478" s="1847" t="s">
        <v>13382</v>
      </c>
      <c r="C478" s="736" t="s">
        <v>13383</v>
      </c>
      <c r="D478" s="1848">
        <v>22.58</v>
      </c>
      <c r="E478" s="1843"/>
    </row>
    <row r="479" spans="1:5">
      <c r="A479" s="736" t="s">
        <v>11748</v>
      </c>
      <c r="B479" s="1847" t="s">
        <v>13384</v>
      </c>
      <c r="C479" s="736" t="s">
        <v>13383</v>
      </c>
      <c r="D479" s="1848">
        <v>18.600000000000001</v>
      </c>
      <c r="E479" s="1843"/>
    </row>
    <row r="480" spans="1:5">
      <c r="A480" s="736" t="s">
        <v>11749</v>
      </c>
      <c r="B480" s="1847" t="s">
        <v>13385</v>
      </c>
      <c r="C480" s="736" t="s">
        <v>10854</v>
      </c>
      <c r="D480" s="1848">
        <v>25.8</v>
      </c>
      <c r="E480" s="1843"/>
    </row>
    <row r="481" spans="1:5">
      <c r="A481" s="736" t="s">
        <v>11750</v>
      </c>
      <c r="B481" s="1847" t="s">
        <v>13386</v>
      </c>
      <c r="C481" s="736" t="s">
        <v>10854</v>
      </c>
      <c r="D481" s="1848">
        <v>25.8</v>
      </c>
      <c r="E481" s="1843"/>
    </row>
    <row r="482" spans="1:5">
      <c r="A482" s="736" t="s">
        <v>11751</v>
      </c>
      <c r="B482" s="1847" t="s">
        <v>13387</v>
      </c>
      <c r="C482" s="736" t="s">
        <v>10854</v>
      </c>
      <c r="D482" s="1848">
        <v>25.8</v>
      </c>
      <c r="E482" s="1843"/>
    </row>
    <row r="483" spans="1:5">
      <c r="A483" s="736" t="s">
        <v>13388</v>
      </c>
      <c r="B483" s="1847" t="s">
        <v>13389</v>
      </c>
      <c r="C483" s="736" t="s">
        <v>10854</v>
      </c>
      <c r="D483" s="1848">
        <v>80.8</v>
      </c>
      <c r="E483" s="1843"/>
    </row>
    <row r="484" spans="1:5">
      <c r="A484" s="736" t="s">
        <v>13390</v>
      </c>
      <c r="B484" s="1847" t="s">
        <v>13391</v>
      </c>
      <c r="C484" s="736" t="s">
        <v>10854</v>
      </c>
      <c r="D484" s="1848">
        <v>80.8</v>
      </c>
      <c r="E484" s="1843"/>
    </row>
    <row r="485" spans="1:5">
      <c r="A485" s="736" t="s">
        <v>13392</v>
      </c>
      <c r="B485" s="1847" t="s">
        <v>13393</v>
      </c>
      <c r="C485" s="736" t="s">
        <v>10854</v>
      </c>
      <c r="D485" s="1848">
        <v>80.8</v>
      </c>
      <c r="E485" s="1843"/>
    </row>
    <row r="486" spans="1:5">
      <c r="A486" s="736" t="s">
        <v>13394</v>
      </c>
      <c r="B486" s="1847" t="s">
        <v>13395</v>
      </c>
      <c r="C486" s="736" t="s">
        <v>10854</v>
      </c>
      <c r="D486" s="1848">
        <v>92.92</v>
      </c>
      <c r="E486" s="1843"/>
    </row>
    <row r="487" spans="1:5">
      <c r="A487" s="736" t="s">
        <v>13396</v>
      </c>
      <c r="B487" s="1847" t="s">
        <v>13397</v>
      </c>
      <c r="C487" s="736" t="s">
        <v>10854</v>
      </c>
      <c r="D487" s="1848">
        <v>80.8</v>
      </c>
      <c r="E487" s="1843"/>
    </row>
    <row r="488" spans="1:5">
      <c r="A488" s="736" t="s">
        <v>13398</v>
      </c>
      <c r="B488" s="1847" t="s">
        <v>13399</v>
      </c>
      <c r="C488" s="736" t="s">
        <v>10854</v>
      </c>
      <c r="D488" s="1848">
        <v>92.92</v>
      </c>
      <c r="E488" s="1843"/>
    </row>
    <row r="489" spans="1:5" ht="22.5">
      <c r="A489" s="736" t="s">
        <v>13403</v>
      </c>
      <c r="B489" s="1847" t="s">
        <v>13404</v>
      </c>
      <c r="C489" s="736" t="s">
        <v>18</v>
      </c>
      <c r="D489" s="1848">
        <v>17.96</v>
      </c>
      <c r="E489" s="1843"/>
    </row>
    <row r="490" spans="1:5" ht="22.5">
      <c r="A490" s="736" t="s">
        <v>13405</v>
      </c>
      <c r="B490" s="1847" t="s">
        <v>13406</v>
      </c>
      <c r="C490" s="736" t="s">
        <v>18</v>
      </c>
      <c r="D490" s="1848">
        <v>11.45</v>
      </c>
      <c r="E490" s="1843"/>
    </row>
    <row r="491" spans="1:5" ht="22.5">
      <c r="A491" s="736" t="s">
        <v>13407</v>
      </c>
      <c r="B491" s="1847" t="s">
        <v>13408</v>
      </c>
      <c r="C491" s="736" t="s">
        <v>18</v>
      </c>
      <c r="D491" s="1848">
        <v>8.8000000000000007</v>
      </c>
      <c r="E491" s="1843"/>
    </row>
    <row r="492" spans="1:5">
      <c r="A492" s="736" t="s">
        <v>13412</v>
      </c>
      <c r="B492" s="1847" t="s">
        <v>13413</v>
      </c>
      <c r="C492" s="736" t="s">
        <v>10854</v>
      </c>
      <c r="D492" s="1848">
        <v>18.25</v>
      </c>
      <c r="E492" s="1843"/>
    </row>
    <row r="493" spans="1:5">
      <c r="A493" s="736" t="s">
        <v>13414</v>
      </c>
      <c r="B493" s="1847" t="s">
        <v>13415</v>
      </c>
      <c r="C493" s="736" t="s">
        <v>10854</v>
      </c>
      <c r="D493" s="1848">
        <v>12.69</v>
      </c>
      <c r="E493" s="1843"/>
    </row>
    <row r="494" spans="1:5">
      <c r="A494" s="736" t="s">
        <v>13416</v>
      </c>
      <c r="B494" s="1847" t="s">
        <v>13417</v>
      </c>
      <c r="C494" s="736" t="s">
        <v>10854</v>
      </c>
      <c r="D494" s="1848">
        <v>10.35</v>
      </c>
      <c r="E494" s="1843"/>
    </row>
    <row r="495" spans="1:5">
      <c r="A495" s="736" t="s">
        <v>13418</v>
      </c>
      <c r="B495" s="1847" t="s">
        <v>13419</v>
      </c>
      <c r="C495" s="736" t="s">
        <v>10854</v>
      </c>
      <c r="D495" s="1848">
        <v>22.08</v>
      </c>
      <c r="E495" s="1843"/>
    </row>
    <row r="496" spans="1:5">
      <c r="A496" s="736" t="s">
        <v>13420</v>
      </c>
      <c r="B496" s="1847" t="s">
        <v>13421</v>
      </c>
      <c r="C496" s="736" t="s">
        <v>10854</v>
      </c>
      <c r="D496" s="1848">
        <v>13.22</v>
      </c>
      <c r="E496" s="1843"/>
    </row>
    <row r="497" spans="1:5">
      <c r="A497" s="736" t="s">
        <v>13422</v>
      </c>
      <c r="B497" s="1847" t="s">
        <v>13423</v>
      </c>
      <c r="C497" s="736" t="s">
        <v>10854</v>
      </c>
      <c r="D497" s="1848">
        <v>9.35</v>
      </c>
      <c r="E497" s="1843"/>
    </row>
    <row r="498" spans="1:5" ht="22.5">
      <c r="A498" s="736" t="s">
        <v>13797</v>
      </c>
      <c r="B498" s="1847" t="s">
        <v>13798</v>
      </c>
      <c r="C498" s="736" t="s">
        <v>18</v>
      </c>
      <c r="D498" s="1848">
        <v>15.1</v>
      </c>
      <c r="E498" s="1843"/>
    </row>
    <row r="499" spans="1:5">
      <c r="A499" s="736" t="s">
        <v>13799</v>
      </c>
      <c r="B499" s="1847" t="s">
        <v>13800</v>
      </c>
      <c r="C499" s="736" t="s">
        <v>10854</v>
      </c>
      <c r="D499" s="1848">
        <v>24.11</v>
      </c>
      <c r="E499" s="1843"/>
    </row>
    <row r="500" spans="1:5" ht="22.5">
      <c r="A500" s="736" t="s">
        <v>13801</v>
      </c>
      <c r="B500" s="1847" t="s">
        <v>13802</v>
      </c>
      <c r="C500" s="736" t="s">
        <v>10854</v>
      </c>
      <c r="D500" s="1848">
        <v>34.28</v>
      </c>
      <c r="E500" s="1843"/>
    </row>
    <row r="501" spans="1:5">
      <c r="A501" s="736" t="s">
        <v>13803</v>
      </c>
      <c r="B501" s="1847" t="s">
        <v>13804</v>
      </c>
      <c r="C501" s="736" t="s">
        <v>10854</v>
      </c>
      <c r="D501" s="1848">
        <v>57.37</v>
      </c>
      <c r="E501" s="1843"/>
    </row>
    <row r="502" spans="1:5">
      <c r="A502" s="736" t="s">
        <v>13805</v>
      </c>
      <c r="B502" s="1847" t="s">
        <v>13806</v>
      </c>
      <c r="C502" s="736" t="s">
        <v>10854</v>
      </c>
      <c r="D502" s="1848">
        <v>57.37</v>
      </c>
      <c r="E502" s="1843"/>
    </row>
    <row r="503" spans="1:5">
      <c r="A503" s="736" t="s">
        <v>13807</v>
      </c>
      <c r="B503" s="1847" t="s">
        <v>13808</v>
      </c>
      <c r="C503" s="736" t="s">
        <v>10854</v>
      </c>
      <c r="D503" s="1848">
        <v>57.37</v>
      </c>
      <c r="E503" s="1843"/>
    </row>
    <row r="504" spans="1:5" ht="22.5">
      <c r="A504" s="736" t="s">
        <v>13809</v>
      </c>
      <c r="B504" s="1847" t="s">
        <v>13810</v>
      </c>
      <c r="C504" s="736" t="s">
        <v>10854</v>
      </c>
      <c r="D504" s="1848">
        <v>50.7</v>
      </c>
      <c r="E504" s="1843"/>
    </row>
    <row r="505" spans="1:5">
      <c r="A505" s="736" t="s">
        <v>13811</v>
      </c>
      <c r="B505" s="1847" t="s">
        <v>13812</v>
      </c>
      <c r="C505" s="736" t="s">
        <v>10854</v>
      </c>
      <c r="D505" s="1848">
        <v>43.23</v>
      </c>
      <c r="E505" s="1843"/>
    </row>
    <row r="506" spans="1:5">
      <c r="A506" s="736" t="s">
        <v>13813</v>
      </c>
      <c r="B506" s="1847" t="s">
        <v>13814</v>
      </c>
      <c r="C506" s="736" t="s">
        <v>10854</v>
      </c>
      <c r="D506" s="1848">
        <v>53.45</v>
      </c>
      <c r="E506" s="1843"/>
    </row>
    <row r="507" spans="1:5" ht="22.5">
      <c r="A507" s="736" t="s">
        <v>13823</v>
      </c>
      <c r="B507" s="1847" t="s">
        <v>13824</v>
      </c>
      <c r="C507" s="736" t="s">
        <v>10854</v>
      </c>
      <c r="D507" s="1848">
        <v>2014.18</v>
      </c>
      <c r="E507" s="1843"/>
    </row>
    <row r="508" spans="1:5" ht="22.5">
      <c r="A508" s="736" t="s">
        <v>13501</v>
      </c>
      <c r="B508" s="1847" t="s">
        <v>13502</v>
      </c>
      <c r="C508" s="736" t="s">
        <v>10854</v>
      </c>
      <c r="D508" s="1848">
        <v>1.65</v>
      </c>
      <c r="E508" s="1843"/>
    </row>
    <row r="509" spans="1:5" ht="22.5">
      <c r="A509" s="736" t="s">
        <v>13508</v>
      </c>
      <c r="B509" s="1847" t="s">
        <v>13509</v>
      </c>
      <c r="C509" s="736" t="s">
        <v>10854</v>
      </c>
      <c r="D509" s="1848">
        <v>107.55</v>
      </c>
      <c r="E509" s="1843"/>
    </row>
    <row r="510" spans="1:5" ht="33.75">
      <c r="A510" s="736" t="s">
        <v>13525</v>
      </c>
      <c r="B510" s="1847" t="s">
        <v>13496</v>
      </c>
      <c r="C510" s="736" t="s">
        <v>10853</v>
      </c>
      <c r="D510" s="1848">
        <v>1678.94</v>
      </c>
      <c r="E510" s="1843"/>
    </row>
    <row r="511" spans="1:5" ht="112.5">
      <c r="A511" s="736" t="s">
        <v>13527</v>
      </c>
      <c r="B511" s="1847" t="s">
        <v>13498</v>
      </c>
      <c r="C511" s="736" t="s">
        <v>10853</v>
      </c>
      <c r="D511" s="1848">
        <v>545.04</v>
      </c>
      <c r="E511" s="1843"/>
    </row>
    <row r="512" spans="1:5" ht="33.75">
      <c r="A512" s="736" t="s">
        <v>13528</v>
      </c>
      <c r="B512" s="1847" t="s">
        <v>13530</v>
      </c>
      <c r="C512" s="736" t="s">
        <v>10854</v>
      </c>
      <c r="D512" s="1848">
        <v>9.41</v>
      </c>
      <c r="E512" s="1843"/>
    </row>
    <row r="513" spans="1:5" ht="33.75">
      <c r="A513" s="736" t="s">
        <v>13529</v>
      </c>
      <c r="B513" s="1847" t="s">
        <v>13532</v>
      </c>
      <c r="C513" s="736" t="s">
        <v>10854</v>
      </c>
      <c r="D513" s="1848">
        <v>18.82</v>
      </c>
      <c r="E513" s="1843"/>
    </row>
    <row r="514" spans="1:5">
      <c r="A514" s="736" t="s">
        <v>13531</v>
      </c>
      <c r="B514" s="1847" t="s">
        <v>14651</v>
      </c>
      <c r="C514" s="736" t="s">
        <v>10854</v>
      </c>
      <c r="D514" s="1848">
        <v>6.25</v>
      </c>
      <c r="E514" s="1843"/>
    </row>
    <row r="515" spans="1:5">
      <c r="A515" s="736" t="s">
        <v>13533</v>
      </c>
      <c r="B515" s="1847" t="s">
        <v>13534</v>
      </c>
      <c r="C515" s="736" t="s">
        <v>10854</v>
      </c>
      <c r="D515" s="1848">
        <v>2.83</v>
      </c>
      <c r="E515" s="1843"/>
    </row>
    <row r="516" spans="1:5" ht="33.75">
      <c r="A516" s="736" t="s">
        <v>13535</v>
      </c>
      <c r="B516" s="1847" t="s">
        <v>13537</v>
      </c>
      <c r="C516" s="736" t="s">
        <v>10854</v>
      </c>
      <c r="D516" s="1848">
        <v>12.85</v>
      </c>
      <c r="E516" s="1843"/>
    </row>
    <row r="517" spans="1:5">
      <c r="A517" s="736" t="s">
        <v>13464</v>
      </c>
      <c r="B517" s="1847" t="s">
        <v>13465</v>
      </c>
      <c r="C517" s="736" t="s">
        <v>18</v>
      </c>
      <c r="D517" s="1848">
        <v>97.77</v>
      </c>
      <c r="E517" s="1843"/>
    </row>
    <row r="518" spans="1:5">
      <c r="A518" s="736" t="s">
        <v>13466</v>
      </c>
      <c r="B518" s="1847" t="s">
        <v>13467</v>
      </c>
      <c r="C518" s="736" t="s">
        <v>18</v>
      </c>
      <c r="D518" s="1848">
        <v>126.74</v>
      </c>
      <c r="E518" s="1843"/>
    </row>
    <row r="519" spans="1:5" ht="22.5">
      <c r="A519" s="736" t="s">
        <v>13468</v>
      </c>
      <c r="B519" s="1847" t="s">
        <v>13469</v>
      </c>
      <c r="C519" s="736" t="s">
        <v>18</v>
      </c>
      <c r="D519" s="1848">
        <v>21.71</v>
      </c>
      <c r="E519" s="1843"/>
    </row>
    <row r="520" spans="1:5" ht="22.5">
      <c r="A520" s="736" t="s">
        <v>13470</v>
      </c>
      <c r="B520" s="1847" t="s">
        <v>13471</v>
      </c>
      <c r="C520" s="736" t="s">
        <v>18</v>
      </c>
      <c r="D520" s="1848">
        <v>24.36</v>
      </c>
      <c r="E520" s="1843"/>
    </row>
    <row r="521" spans="1:5">
      <c r="A521" s="736" t="s">
        <v>13472</v>
      </c>
      <c r="B521" s="1847" t="s">
        <v>13473</v>
      </c>
      <c r="C521" s="736" t="s">
        <v>10853</v>
      </c>
      <c r="D521" s="1848">
        <v>24.11</v>
      </c>
      <c r="E521" s="1843"/>
    </row>
    <row r="522" spans="1:5">
      <c r="A522" s="736" t="s">
        <v>13474</v>
      </c>
      <c r="B522" s="1847" t="s">
        <v>13475</v>
      </c>
      <c r="C522" s="736" t="s">
        <v>10853</v>
      </c>
      <c r="D522" s="1848">
        <v>57.37</v>
      </c>
      <c r="E522" s="1843"/>
    </row>
    <row r="523" spans="1:5">
      <c r="A523" s="736" t="s">
        <v>13476</v>
      </c>
      <c r="B523" s="1847" t="s">
        <v>13477</v>
      </c>
      <c r="C523" s="736" t="s">
        <v>10853</v>
      </c>
      <c r="D523" s="1848">
        <v>87.04</v>
      </c>
      <c r="E523" s="1843"/>
    </row>
    <row r="524" spans="1:5" ht="33.75">
      <c r="A524" s="736" t="s">
        <v>13495</v>
      </c>
      <c r="B524" s="1847" t="s">
        <v>13496</v>
      </c>
      <c r="C524" s="736" t="s">
        <v>10853</v>
      </c>
      <c r="D524" s="1848">
        <v>1678.94</v>
      </c>
      <c r="E524" s="1843"/>
    </row>
    <row r="525" spans="1:5" ht="112.5">
      <c r="A525" s="736" t="s">
        <v>13497</v>
      </c>
      <c r="B525" s="1847" t="s">
        <v>13498</v>
      </c>
      <c r="C525" s="736" t="s">
        <v>10854</v>
      </c>
      <c r="D525" s="1848">
        <v>545.04</v>
      </c>
      <c r="E525" s="1843"/>
    </row>
    <row r="526" spans="1:5" ht="22.5">
      <c r="A526" s="736" t="s">
        <v>13826</v>
      </c>
      <c r="B526" s="1847" t="s">
        <v>14656</v>
      </c>
      <c r="C526" s="736" t="s">
        <v>11753</v>
      </c>
      <c r="D526" s="1848">
        <v>239.99</v>
      </c>
      <c r="E526" s="1843"/>
    </row>
    <row r="527" spans="1:5">
      <c r="A527" s="736" t="s">
        <v>13827</v>
      </c>
      <c r="B527" s="1847" t="s">
        <v>14657</v>
      </c>
      <c r="C527" s="736" t="s">
        <v>18</v>
      </c>
      <c r="D527" s="1848">
        <v>97.77</v>
      </c>
      <c r="E527" s="1843"/>
    </row>
    <row r="528" spans="1:5" ht="22.5">
      <c r="A528" s="736" t="s">
        <v>13828</v>
      </c>
      <c r="B528" s="1847" t="s">
        <v>13798</v>
      </c>
      <c r="C528" s="736" t="s">
        <v>18</v>
      </c>
      <c r="D528" s="1848">
        <v>15.1</v>
      </c>
      <c r="E528" s="1843"/>
    </row>
    <row r="529" spans="1:5" ht="22.5">
      <c r="A529" s="736" t="s">
        <v>13829</v>
      </c>
      <c r="B529" s="1847" t="s">
        <v>13830</v>
      </c>
      <c r="C529" s="736" t="s">
        <v>10854</v>
      </c>
      <c r="D529" s="1848">
        <v>34.28</v>
      </c>
      <c r="E529" s="1843"/>
    </row>
    <row r="530" spans="1:5" ht="22.5">
      <c r="A530" s="736" t="s">
        <v>13831</v>
      </c>
      <c r="B530" s="1847" t="s">
        <v>13832</v>
      </c>
      <c r="C530" s="736" t="s">
        <v>10854</v>
      </c>
      <c r="D530" s="1848">
        <v>23.97</v>
      </c>
      <c r="E530" s="1843"/>
    </row>
    <row r="531" spans="1:5" ht="22.5">
      <c r="A531" s="736" t="s">
        <v>13833</v>
      </c>
      <c r="B531" s="1847" t="s">
        <v>13834</v>
      </c>
      <c r="C531" s="736" t="s">
        <v>10854</v>
      </c>
      <c r="D531" s="1848">
        <v>24.11</v>
      </c>
      <c r="E531" s="1843"/>
    </row>
    <row r="532" spans="1:5">
      <c r="A532" s="736" t="s">
        <v>13835</v>
      </c>
      <c r="B532" s="1847" t="s">
        <v>13836</v>
      </c>
      <c r="C532" s="736" t="s">
        <v>10854</v>
      </c>
      <c r="D532" s="1848">
        <v>43.23</v>
      </c>
      <c r="E532" s="1843"/>
    </row>
    <row r="533" spans="1:5">
      <c r="A533" s="736" t="s">
        <v>13837</v>
      </c>
      <c r="B533" s="1847" t="s">
        <v>13838</v>
      </c>
      <c r="C533" s="736" t="s">
        <v>10854</v>
      </c>
      <c r="D533" s="1848">
        <v>35.369999999999997</v>
      </c>
      <c r="E533" s="1843"/>
    </row>
    <row r="534" spans="1:5">
      <c r="A534" s="736" t="s">
        <v>13839</v>
      </c>
      <c r="B534" s="1847" t="s">
        <v>13840</v>
      </c>
      <c r="C534" s="736" t="s">
        <v>10854</v>
      </c>
      <c r="D534" s="1848">
        <v>35.369999999999997</v>
      </c>
      <c r="E534" s="1843"/>
    </row>
    <row r="535" spans="1:5">
      <c r="A535" s="736" t="s">
        <v>13841</v>
      </c>
      <c r="B535" s="1847" t="s">
        <v>13800</v>
      </c>
      <c r="C535" s="736" t="s">
        <v>10854</v>
      </c>
      <c r="D535" s="1848">
        <v>24.11</v>
      </c>
      <c r="E535" s="1843"/>
    </row>
    <row r="536" spans="1:5">
      <c r="A536" s="736" t="s">
        <v>13842</v>
      </c>
      <c r="B536" s="1847" t="s">
        <v>13843</v>
      </c>
      <c r="C536" s="736" t="s">
        <v>10854</v>
      </c>
      <c r="D536" s="1848">
        <v>57.37</v>
      </c>
      <c r="E536" s="1843"/>
    </row>
    <row r="537" spans="1:5">
      <c r="A537" s="736" t="s">
        <v>13844</v>
      </c>
      <c r="B537" s="1847" t="s">
        <v>13845</v>
      </c>
      <c r="C537" s="736" t="s">
        <v>10854</v>
      </c>
      <c r="D537" s="1848">
        <v>57.37</v>
      </c>
      <c r="E537" s="1843"/>
    </row>
    <row r="538" spans="1:5">
      <c r="A538" s="736" t="s">
        <v>13846</v>
      </c>
      <c r="B538" s="1847" t="s">
        <v>13847</v>
      </c>
      <c r="C538" s="736" t="s">
        <v>10854</v>
      </c>
      <c r="D538" s="1848">
        <v>57.37</v>
      </c>
      <c r="E538" s="1843"/>
    </row>
    <row r="539" spans="1:5">
      <c r="A539" s="736" t="s">
        <v>13848</v>
      </c>
      <c r="B539" s="1847" t="s">
        <v>13849</v>
      </c>
      <c r="C539" s="736" t="s">
        <v>10854</v>
      </c>
      <c r="D539" s="1848">
        <v>57.37</v>
      </c>
      <c r="E539" s="1843"/>
    </row>
    <row r="540" spans="1:5">
      <c r="A540" s="736" t="s">
        <v>13850</v>
      </c>
      <c r="B540" s="1847" t="s">
        <v>13851</v>
      </c>
      <c r="C540" s="736" t="s">
        <v>10854</v>
      </c>
      <c r="D540" s="1848">
        <v>150.37</v>
      </c>
      <c r="E540" s="1843"/>
    </row>
    <row r="541" spans="1:5">
      <c r="A541" s="736" t="s">
        <v>13852</v>
      </c>
      <c r="B541" s="1847" t="s">
        <v>13812</v>
      </c>
      <c r="C541" s="736" t="s">
        <v>10854</v>
      </c>
      <c r="D541" s="1848">
        <v>43.23</v>
      </c>
      <c r="E541" s="1843"/>
    </row>
    <row r="542" spans="1:5">
      <c r="A542" s="736" t="s">
        <v>13853</v>
      </c>
      <c r="B542" s="1847" t="s">
        <v>13854</v>
      </c>
      <c r="C542" s="736" t="s">
        <v>10854</v>
      </c>
      <c r="D542" s="1848">
        <v>53.45</v>
      </c>
      <c r="E542" s="1843"/>
    </row>
    <row r="543" spans="1:5" ht="22.5">
      <c r="A543" s="736" t="s">
        <v>13860</v>
      </c>
      <c r="B543" s="1847" t="s">
        <v>13824</v>
      </c>
      <c r="C543" s="736" t="s">
        <v>10854</v>
      </c>
      <c r="D543" s="1848">
        <v>2014.18</v>
      </c>
      <c r="E543" s="1843"/>
    </row>
    <row r="544" spans="1:5" ht="22.5">
      <c r="A544" s="736" t="s">
        <v>13861</v>
      </c>
      <c r="B544" s="1847" t="s">
        <v>13862</v>
      </c>
      <c r="C544" s="736" t="s">
        <v>10854</v>
      </c>
      <c r="D544" s="1848">
        <v>471.91</v>
      </c>
      <c r="E544" s="1843"/>
    </row>
    <row r="545" spans="1:5" ht="22.5">
      <c r="A545" s="736" t="s">
        <v>13863</v>
      </c>
      <c r="B545" s="1847" t="s">
        <v>13864</v>
      </c>
      <c r="C545" s="736" t="s">
        <v>10854</v>
      </c>
      <c r="D545" s="1848">
        <v>471.91</v>
      </c>
      <c r="E545" s="1843"/>
    </row>
    <row r="546" spans="1:5" ht="22.5">
      <c r="A546" s="736" t="s">
        <v>13865</v>
      </c>
      <c r="B546" s="1847" t="s">
        <v>13866</v>
      </c>
      <c r="C546" s="736" t="s">
        <v>10854</v>
      </c>
      <c r="D546" s="1848">
        <v>471.91</v>
      </c>
      <c r="E546" s="1843"/>
    </row>
    <row r="547" spans="1:5" ht="22.5">
      <c r="A547" s="736" t="s">
        <v>13868</v>
      </c>
      <c r="B547" s="1847" t="s">
        <v>13509</v>
      </c>
      <c r="C547" s="736" t="s">
        <v>10854</v>
      </c>
      <c r="D547" s="1848">
        <v>107.55</v>
      </c>
      <c r="E547" s="1843"/>
    </row>
    <row r="548" spans="1:5">
      <c r="A548" s="736" t="s">
        <v>13597</v>
      </c>
      <c r="B548" s="1847" t="s">
        <v>13539</v>
      </c>
      <c r="C548" s="736" t="s">
        <v>10854</v>
      </c>
      <c r="D548" s="1848">
        <v>187.37</v>
      </c>
      <c r="E548" s="1843"/>
    </row>
    <row r="549" spans="1:5">
      <c r="A549" s="736" t="s">
        <v>13598</v>
      </c>
      <c r="B549" s="1847" t="s">
        <v>13545</v>
      </c>
      <c r="C549" s="736" t="s">
        <v>10853</v>
      </c>
      <c r="D549" s="1848">
        <v>2.0699999999999998</v>
      </c>
      <c r="E549" s="1843"/>
    </row>
    <row r="550" spans="1:5" ht="22.5">
      <c r="A550" s="736" t="s">
        <v>13600</v>
      </c>
      <c r="B550" s="1847" t="s">
        <v>13549</v>
      </c>
      <c r="C550" s="736" t="s">
        <v>10854</v>
      </c>
      <c r="D550" s="1848">
        <v>176.08</v>
      </c>
      <c r="E550" s="1843"/>
    </row>
    <row r="551" spans="1:5" ht="22.5">
      <c r="A551" s="736" t="s">
        <v>13601</v>
      </c>
      <c r="B551" s="1847" t="s">
        <v>13602</v>
      </c>
      <c r="C551" s="736" t="s">
        <v>10853</v>
      </c>
      <c r="D551" s="1848">
        <v>71.61</v>
      </c>
      <c r="E551" s="1843"/>
    </row>
    <row r="552" spans="1:5" ht="22.5">
      <c r="A552" s="736" t="s">
        <v>13603</v>
      </c>
      <c r="B552" s="1847" t="s">
        <v>13604</v>
      </c>
      <c r="C552" s="736" t="s">
        <v>10853</v>
      </c>
      <c r="D552" s="1848">
        <v>71.61</v>
      </c>
      <c r="E552" s="1843"/>
    </row>
    <row r="553" spans="1:5" ht="22.5">
      <c r="A553" s="736" t="s">
        <v>13605</v>
      </c>
      <c r="B553" s="1847" t="s">
        <v>13555</v>
      </c>
      <c r="C553" s="736" t="s">
        <v>10853</v>
      </c>
      <c r="D553" s="1848">
        <v>48.83</v>
      </c>
      <c r="E553" s="1843"/>
    </row>
    <row r="554" spans="1:5" ht="22.5">
      <c r="A554" s="736" t="s">
        <v>13606</v>
      </c>
      <c r="B554" s="1847" t="s">
        <v>13557</v>
      </c>
      <c r="C554" s="736" t="s">
        <v>10854</v>
      </c>
      <c r="D554" s="1848">
        <v>48.83</v>
      </c>
      <c r="E554" s="1843"/>
    </row>
    <row r="555" spans="1:5" ht="22.5">
      <c r="A555" s="736" t="s">
        <v>13607</v>
      </c>
      <c r="B555" s="1847" t="s">
        <v>13559</v>
      </c>
      <c r="C555" s="736" t="s">
        <v>10853</v>
      </c>
      <c r="D555" s="1848">
        <v>9.42</v>
      </c>
      <c r="E555" s="1843"/>
    </row>
    <row r="556" spans="1:5" ht="22.5">
      <c r="A556" s="736" t="s">
        <v>13608</v>
      </c>
      <c r="B556" s="1847" t="s">
        <v>13561</v>
      </c>
      <c r="C556" s="736" t="s">
        <v>10854</v>
      </c>
      <c r="D556" s="1848">
        <v>9.42</v>
      </c>
      <c r="E556" s="1843"/>
    </row>
    <row r="557" spans="1:5" ht="22.5">
      <c r="A557" s="736" t="s">
        <v>13609</v>
      </c>
      <c r="B557" s="1847" t="s">
        <v>13563</v>
      </c>
      <c r="C557" s="736" t="s">
        <v>10854</v>
      </c>
      <c r="D557" s="1848">
        <v>107.55</v>
      </c>
      <c r="E557" s="1843"/>
    </row>
    <row r="558" spans="1:5">
      <c r="A558" s="736" t="s">
        <v>13610</v>
      </c>
      <c r="B558" s="1847" t="s">
        <v>13565</v>
      </c>
      <c r="C558" s="736" t="s">
        <v>11723</v>
      </c>
      <c r="D558" s="1848">
        <v>171.03</v>
      </c>
      <c r="E558" s="1843"/>
    </row>
    <row r="559" spans="1:5" ht="33.75">
      <c r="A559" s="736" t="s">
        <v>13611</v>
      </c>
      <c r="B559" s="1847" t="s">
        <v>13612</v>
      </c>
      <c r="C559" s="736" t="s">
        <v>10853</v>
      </c>
      <c r="D559" s="1848">
        <v>11290.78</v>
      </c>
      <c r="E559" s="1843"/>
    </row>
    <row r="560" spans="1:5">
      <c r="A560" s="736" t="s">
        <v>13614</v>
      </c>
      <c r="B560" s="1847" t="s">
        <v>13574</v>
      </c>
      <c r="C560" s="736" t="s">
        <v>10854</v>
      </c>
      <c r="D560" s="1848">
        <v>65.27</v>
      </c>
      <c r="E560" s="1843"/>
    </row>
    <row r="561" spans="1:5" ht="22.5">
      <c r="A561" s="736" t="s">
        <v>13615</v>
      </c>
      <c r="B561" s="1847" t="s">
        <v>13616</v>
      </c>
      <c r="C561" s="736" t="s">
        <v>10853</v>
      </c>
      <c r="D561" s="1848">
        <v>471.91</v>
      </c>
      <c r="E561" s="1843"/>
    </row>
    <row r="562" spans="1:5">
      <c r="A562" s="736" t="s">
        <v>13617</v>
      </c>
      <c r="B562" s="1847" t="s">
        <v>13580</v>
      </c>
      <c r="C562" s="736" t="s">
        <v>18</v>
      </c>
      <c r="D562" s="1848">
        <v>20.61</v>
      </c>
      <c r="E562" s="1843"/>
    </row>
    <row r="563" spans="1:5">
      <c r="A563" s="736" t="s">
        <v>13618</v>
      </c>
      <c r="B563" s="1847" t="s">
        <v>13582</v>
      </c>
      <c r="C563" s="736" t="s">
        <v>18</v>
      </c>
      <c r="D563" s="1848">
        <v>20.61</v>
      </c>
      <c r="E563" s="1843"/>
    </row>
    <row r="564" spans="1:5">
      <c r="A564" s="736" t="s">
        <v>13619</v>
      </c>
      <c r="B564" s="1847" t="s">
        <v>13584</v>
      </c>
      <c r="C564" s="736" t="s">
        <v>18</v>
      </c>
      <c r="D564" s="1848">
        <v>20.61</v>
      </c>
      <c r="E564" s="1843"/>
    </row>
    <row r="565" spans="1:5" ht="22.5">
      <c r="A565" s="736" t="s">
        <v>13620</v>
      </c>
      <c r="B565" s="1847" t="s">
        <v>13586</v>
      </c>
      <c r="C565" s="736" t="s">
        <v>10854</v>
      </c>
      <c r="D565" s="1848">
        <v>266.64</v>
      </c>
      <c r="E565" s="1843"/>
    </row>
    <row r="566" spans="1:5" ht="22.5">
      <c r="A566" s="736" t="s">
        <v>13621</v>
      </c>
      <c r="B566" s="1847" t="s">
        <v>13588</v>
      </c>
      <c r="C566" s="736" t="s">
        <v>10854</v>
      </c>
      <c r="D566" s="1848">
        <v>176.08</v>
      </c>
      <c r="E566" s="1843"/>
    </row>
    <row r="567" spans="1:5" ht="22.5">
      <c r="A567" s="736" t="s">
        <v>13622</v>
      </c>
      <c r="B567" s="1847" t="s">
        <v>13590</v>
      </c>
      <c r="C567" s="736" t="s">
        <v>10853</v>
      </c>
      <c r="D567" s="1848">
        <v>438.66</v>
      </c>
      <c r="E567" s="1843"/>
    </row>
    <row r="568" spans="1:5" ht="22.5">
      <c r="A568" s="736" t="s">
        <v>13623</v>
      </c>
      <c r="B568" s="1847" t="s">
        <v>13592</v>
      </c>
      <c r="C568" s="736" t="s">
        <v>10853</v>
      </c>
      <c r="D568" s="1848">
        <v>978.31</v>
      </c>
      <c r="E568" s="1843"/>
    </row>
    <row r="569" spans="1:5" ht="22.5">
      <c r="A569" s="736" t="s">
        <v>13624</v>
      </c>
      <c r="B569" s="1847" t="s">
        <v>13594</v>
      </c>
      <c r="C569" s="736" t="s">
        <v>10853</v>
      </c>
      <c r="D569" s="1848">
        <v>636.99</v>
      </c>
      <c r="E569" s="1843"/>
    </row>
    <row r="570" spans="1:5" ht="22.5">
      <c r="A570" s="736" t="s">
        <v>13762</v>
      </c>
      <c r="B570" s="1847" t="s">
        <v>13695</v>
      </c>
      <c r="C570" s="736" t="s">
        <v>11758</v>
      </c>
      <c r="D570" s="1848">
        <v>176.08</v>
      </c>
      <c r="E570" s="1843"/>
    </row>
    <row r="571" spans="1:5" ht="22.5">
      <c r="A571" s="736" t="s">
        <v>13763</v>
      </c>
      <c r="B571" s="1847" t="s">
        <v>13602</v>
      </c>
      <c r="C571" s="736" t="s">
        <v>11758</v>
      </c>
      <c r="D571" s="1848">
        <v>71.61</v>
      </c>
      <c r="E571" s="1843"/>
    </row>
    <row r="572" spans="1:5" ht="22.5">
      <c r="A572" s="736" t="s">
        <v>13764</v>
      </c>
      <c r="B572" s="1847" t="s">
        <v>13604</v>
      </c>
      <c r="C572" s="736" t="s">
        <v>11758</v>
      </c>
      <c r="D572" s="1848">
        <v>71.61</v>
      </c>
      <c r="E572" s="1843"/>
    </row>
    <row r="573" spans="1:5" ht="22.5">
      <c r="A573" s="736" t="s">
        <v>13765</v>
      </c>
      <c r="B573" s="1847" t="s">
        <v>13699</v>
      </c>
      <c r="C573" s="736" t="s">
        <v>11758</v>
      </c>
      <c r="D573" s="1848">
        <v>48.83</v>
      </c>
      <c r="E573" s="1843"/>
    </row>
    <row r="574" spans="1:5" ht="22.5">
      <c r="A574" s="736" t="s">
        <v>13766</v>
      </c>
      <c r="B574" s="1847" t="s">
        <v>13767</v>
      </c>
      <c r="C574" s="736" t="s">
        <v>11758</v>
      </c>
      <c r="D574" s="1848">
        <v>48.83</v>
      </c>
      <c r="E574" s="1843"/>
    </row>
    <row r="575" spans="1:5">
      <c r="A575" s="736" t="s">
        <v>13768</v>
      </c>
      <c r="B575" s="1847" t="s">
        <v>13703</v>
      </c>
      <c r="C575" s="736" t="s">
        <v>11758</v>
      </c>
      <c r="D575" s="1848">
        <v>9.42</v>
      </c>
      <c r="E575" s="1843"/>
    </row>
    <row r="576" spans="1:5">
      <c r="A576" s="736" t="s">
        <v>13769</v>
      </c>
      <c r="B576" s="1847" t="s">
        <v>13705</v>
      </c>
      <c r="C576" s="736" t="s">
        <v>11758</v>
      </c>
      <c r="D576" s="1848">
        <v>9.42</v>
      </c>
      <c r="E576" s="1843"/>
    </row>
    <row r="577" spans="1:5">
      <c r="A577" s="736" t="s">
        <v>13770</v>
      </c>
      <c r="B577" s="1847" t="s">
        <v>13707</v>
      </c>
      <c r="C577" s="736" t="s">
        <v>11758</v>
      </c>
      <c r="D577" s="1848">
        <v>9.42</v>
      </c>
      <c r="E577" s="1843"/>
    </row>
    <row r="578" spans="1:5" ht="22.5">
      <c r="A578" s="736" t="s">
        <v>13771</v>
      </c>
      <c r="B578" s="1847" t="s">
        <v>13709</v>
      </c>
      <c r="C578" s="736" t="s">
        <v>11758</v>
      </c>
      <c r="D578" s="1848">
        <v>107.55</v>
      </c>
      <c r="E578" s="1843"/>
    </row>
    <row r="579" spans="1:5" ht="22.5">
      <c r="A579" s="736" t="s">
        <v>13772</v>
      </c>
      <c r="B579" s="1847" t="s">
        <v>13711</v>
      </c>
      <c r="C579" s="736" t="s">
        <v>11758</v>
      </c>
      <c r="D579" s="1848">
        <v>266.64</v>
      </c>
      <c r="E579" s="1843"/>
    </row>
    <row r="580" spans="1:5" ht="22.5">
      <c r="A580" s="736" t="s">
        <v>13773</v>
      </c>
      <c r="B580" s="1847" t="s">
        <v>13714</v>
      </c>
      <c r="C580" s="736" t="s">
        <v>11758</v>
      </c>
      <c r="D580" s="1848">
        <v>176.08</v>
      </c>
      <c r="E580" s="1843"/>
    </row>
    <row r="581" spans="1:5">
      <c r="A581" s="736" t="s">
        <v>13774</v>
      </c>
      <c r="B581" s="1847" t="s">
        <v>13716</v>
      </c>
      <c r="C581" s="736" t="s">
        <v>11757</v>
      </c>
      <c r="D581" s="1848">
        <v>171.03</v>
      </c>
      <c r="E581" s="1843"/>
    </row>
    <row r="582" spans="1:5" ht="33.75">
      <c r="A582" s="736" t="s">
        <v>13775</v>
      </c>
      <c r="B582" s="1847" t="s">
        <v>13718</v>
      </c>
      <c r="C582" s="736" t="s">
        <v>11758</v>
      </c>
      <c r="D582" s="1848">
        <v>11290.78</v>
      </c>
      <c r="E582" s="1843"/>
    </row>
    <row r="583" spans="1:5">
      <c r="A583" s="736" t="s">
        <v>13776</v>
      </c>
      <c r="B583" s="1847" t="s">
        <v>13777</v>
      </c>
      <c r="C583" s="736" t="s">
        <v>11758</v>
      </c>
      <c r="D583" s="1848">
        <v>52.98</v>
      </c>
      <c r="E583" s="1843"/>
    </row>
    <row r="584" spans="1:5">
      <c r="A584" s="736" t="s">
        <v>13781</v>
      </c>
      <c r="B584" s="1847" t="s">
        <v>13728</v>
      </c>
      <c r="C584" s="736" t="s">
        <v>11758</v>
      </c>
      <c r="D584" s="1848">
        <v>27.2</v>
      </c>
      <c r="E584" s="1843"/>
    </row>
    <row r="585" spans="1:5">
      <c r="A585" s="736" t="s">
        <v>13782</v>
      </c>
      <c r="B585" s="1847" t="s">
        <v>13783</v>
      </c>
      <c r="C585" s="736" t="s">
        <v>11758</v>
      </c>
      <c r="D585" s="1848">
        <v>334</v>
      </c>
      <c r="E585" s="1843"/>
    </row>
    <row r="586" spans="1:5" ht="22.5">
      <c r="A586" s="736" t="s">
        <v>13785</v>
      </c>
      <c r="B586" s="1847" t="s">
        <v>13590</v>
      </c>
      <c r="C586" s="736" t="s">
        <v>11758</v>
      </c>
      <c r="D586" s="1848">
        <v>438.66</v>
      </c>
      <c r="E586" s="1843"/>
    </row>
    <row r="587" spans="1:5" ht="22.5">
      <c r="A587" s="736" t="s">
        <v>13786</v>
      </c>
      <c r="B587" s="1847" t="s">
        <v>13787</v>
      </c>
      <c r="C587" s="736" t="s">
        <v>11758</v>
      </c>
      <c r="D587" s="1848">
        <v>471.91</v>
      </c>
      <c r="E587" s="1843"/>
    </row>
    <row r="588" spans="1:5" ht="22.5">
      <c r="A588" s="736" t="s">
        <v>13788</v>
      </c>
      <c r="B588" s="1847" t="s">
        <v>13789</v>
      </c>
      <c r="C588" s="736" t="s">
        <v>11758</v>
      </c>
      <c r="D588" s="1848">
        <v>371.91</v>
      </c>
      <c r="E588" s="1843"/>
    </row>
    <row r="589" spans="1:5" ht="22.5">
      <c r="A589" s="736" t="s">
        <v>13790</v>
      </c>
      <c r="B589" s="1847" t="s">
        <v>13791</v>
      </c>
      <c r="C589" s="736" t="s">
        <v>11758</v>
      </c>
      <c r="D589" s="1848">
        <v>371.91</v>
      </c>
      <c r="E589" s="1843"/>
    </row>
    <row r="590" spans="1:5" ht="22.5">
      <c r="A590" s="736" t="s">
        <v>13792</v>
      </c>
      <c r="B590" s="1847" t="s">
        <v>13753</v>
      </c>
      <c r="C590" s="736" t="s">
        <v>11757</v>
      </c>
      <c r="D590" s="1848">
        <v>978.31</v>
      </c>
      <c r="E590" s="1843"/>
    </row>
    <row r="591" spans="1:5" ht="22.5">
      <c r="A591" s="736" t="s">
        <v>13793</v>
      </c>
      <c r="B591" s="1847" t="s">
        <v>13755</v>
      </c>
      <c r="C591" s="736" t="s">
        <v>11757</v>
      </c>
      <c r="D591" s="1848">
        <v>636.99</v>
      </c>
      <c r="E591" s="1843"/>
    </row>
    <row r="592" spans="1:5">
      <c r="A592" s="736" t="s">
        <v>13794</v>
      </c>
      <c r="B592" s="1847" t="s">
        <v>13757</v>
      </c>
      <c r="C592" s="736" t="s">
        <v>11758</v>
      </c>
      <c r="D592" s="1848">
        <v>171.03</v>
      </c>
      <c r="E592" s="1843"/>
    </row>
    <row r="593" spans="1:5">
      <c r="A593" s="736" t="s">
        <v>13795</v>
      </c>
      <c r="B593" s="1847" t="s">
        <v>13796</v>
      </c>
      <c r="C593" s="736" t="s">
        <v>11758</v>
      </c>
      <c r="D593" s="1848">
        <v>187.37</v>
      </c>
      <c r="E593" s="1843"/>
    </row>
    <row r="594" spans="1:5">
      <c r="A594" s="736" t="s">
        <v>13683</v>
      </c>
      <c r="B594" s="1847" t="s">
        <v>13684</v>
      </c>
      <c r="C594" s="736" t="s">
        <v>11758</v>
      </c>
      <c r="D594" s="1848">
        <v>91.21</v>
      </c>
      <c r="E594" s="1843"/>
    </row>
    <row r="595" spans="1:5">
      <c r="A595" s="736" t="s">
        <v>13685</v>
      </c>
      <c r="B595" s="1847" t="s">
        <v>13686</v>
      </c>
      <c r="C595" s="736" t="s">
        <v>11758</v>
      </c>
      <c r="D595" s="1848">
        <v>83.28</v>
      </c>
      <c r="E595" s="1843"/>
    </row>
    <row r="596" spans="1:5">
      <c r="A596" s="736" t="s">
        <v>13687</v>
      </c>
      <c r="B596" s="1847" t="s">
        <v>13688</v>
      </c>
      <c r="C596" s="736" t="s">
        <v>11758</v>
      </c>
      <c r="D596" s="1848">
        <v>83.28</v>
      </c>
      <c r="E596" s="1843"/>
    </row>
    <row r="597" spans="1:5">
      <c r="A597" s="736" t="s">
        <v>13689</v>
      </c>
      <c r="B597" s="1847" t="s">
        <v>13690</v>
      </c>
      <c r="C597" s="736" t="s">
        <v>13691</v>
      </c>
      <c r="D597" s="1848">
        <v>21.11</v>
      </c>
      <c r="E597" s="1843"/>
    </row>
    <row r="598" spans="1:5" ht="22.5">
      <c r="A598" s="736" t="s">
        <v>13694</v>
      </c>
      <c r="B598" s="1847" t="s">
        <v>13695</v>
      </c>
      <c r="C598" s="736" t="s">
        <v>11758</v>
      </c>
      <c r="D598" s="1848">
        <v>176.08</v>
      </c>
      <c r="E598" s="1843"/>
    </row>
    <row r="599" spans="1:5" ht="22.5">
      <c r="A599" s="736" t="s">
        <v>13696</v>
      </c>
      <c r="B599" s="1847" t="s">
        <v>13602</v>
      </c>
      <c r="C599" s="736" t="s">
        <v>13691</v>
      </c>
      <c r="D599" s="1848">
        <v>71.61</v>
      </c>
      <c r="E599" s="1843"/>
    </row>
    <row r="600" spans="1:5" ht="22.5">
      <c r="A600" s="736" t="s">
        <v>13697</v>
      </c>
      <c r="B600" s="1847" t="s">
        <v>13604</v>
      </c>
      <c r="C600" s="736" t="s">
        <v>13691</v>
      </c>
      <c r="D600" s="1848">
        <v>71.61</v>
      </c>
      <c r="E600" s="1843"/>
    </row>
    <row r="601" spans="1:5" ht="22.5">
      <c r="A601" s="736" t="s">
        <v>13698</v>
      </c>
      <c r="B601" s="1847" t="s">
        <v>13699</v>
      </c>
      <c r="C601" s="736" t="s">
        <v>13691</v>
      </c>
      <c r="D601" s="1848">
        <v>48.83</v>
      </c>
      <c r="E601" s="1843"/>
    </row>
    <row r="602" spans="1:5" ht="22.5">
      <c r="A602" s="736" t="s">
        <v>13700</v>
      </c>
      <c r="B602" s="1847" t="s">
        <v>13701</v>
      </c>
      <c r="C602" s="736" t="s">
        <v>11758</v>
      </c>
      <c r="D602" s="1848">
        <v>48.83</v>
      </c>
      <c r="E602" s="1843"/>
    </row>
    <row r="603" spans="1:5">
      <c r="A603" s="736" t="s">
        <v>13702</v>
      </c>
      <c r="B603" s="1847" t="s">
        <v>13703</v>
      </c>
      <c r="C603" s="736" t="s">
        <v>13691</v>
      </c>
      <c r="D603" s="1848">
        <v>9.42</v>
      </c>
      <c r="E603" s="1843"/>
    </row>
    <row r="604" spans="1:5">
      <c r="A604" s="736" t="s">
        <v>13704</v>
      </c>
      <c r="B604" s="1847" t="s">
        <v>13705</v>
      </c>
      <c r="C604" s="736" t="s">
        <v>11758</v>
      </c>
      <c r="D604" s="1848">
        <v>9.42</v>
      </c>
      <c r="E604" s="1843"/>
    </row>
    <row r="605" spans="1:5">
      <c r="A605" s="736" t="s">
        <v>13706</v>
      </c>
      <c r="B605" s="1847" t="s">
        <v>13707</v>
      </c>
      <c r="C605" s="736" t="s">
        <v>11758</v>
      </c>
      <c r="D605" s="1848">
        <v>9.42</v>
      </c>
      <c r="E605" s="1843"/>
    </row>
    <row r="606" spans="1:5" ht="22.5">
      <c r="A606" s="736" t="s">
        <v>13708</v>
      </c>
      <c r="B606" s="1847" t="s">
        <v>13709</v>
      </c>
      <c r="C606" s="736" t="s">
        <v>13691</v>
      </c>
      <c r="D606" s="1848">
        <v>107.55</v>
      </c>
      <c r="E606" s="1843"/>
    </row>
    <row r="607" spans="1:5" ht="22.5">
      <c r="A607" s="736" t="s">
        <v>13710</v>
      </c>
      <c r="B607" s="1847" t="s">
        <v>13711</v>
      </c>
      <c r="C607" s="736" t="s">
        <v>13691</v>
      </c>
      <c r="D607" s="1848">
        <v>266.64</v>
      </c>
      <c r="E607" s="1843"/>
    </row>
    <row r="608" spans="1:5" ht="22.5">
      <c r="A608" s="736" t="s">
        <v>13713</v>
      </c>
      <c r="B608" s="1847" t="s">
        <v>13714</v>
      </c>
      <c r="C608" s="736" t="s">
        <v>13691</v>
      </c>
      <c r="D608" s="1848">
        <v>176.08</v>
      </c>
      <c r="E608" s="1843"/>
    </row>
    <row r="609" spans="1:5">
      <c r="A609" s="736" t="s">
        <v>13715</v>
      </c>
      <c r="B609" s="1847" t="s">
        <v>13716</v>
      </c>
      <c r="C609" s="736" t="s">
        <v>11757</v>
      </c>
      <c r="D609" s="1848">
        <v>171.03</v>
      </c>
      <c r="E609" s="1843"/>
    </row>
    <row r="610" spans="1:5" ht="33.75">
      <c r="A610" s="736" t="s">
        <v>13717</v>
      </c>
      <c r="B610" s="1847" t="s">
        <v>13718</v>
      </c>
      <c r="C610" s="736" t="s">
        <v>13691</v>
      </c>
      <c r="D610" s="1848">
        <v>11290.78</v>
      </c>
      <c r="E610" s="1843"/>
    </row>
    <row r="611" spans="1:5">
      <c r="A611" s="736" t="s">
        <v>13719</v>
      </c>
      <c r="B611" s="1847" t="s">
        <v>13720</v>
      </c>
      <c r="C611" s="736" t="s">
        <v>11758</v>
      </c>
      <c r="D611" s="1848">
        <v>52.98</v>
      </c>
      <c r="E611" s="1843"/>
    </row>
    <row r="612" spans="1:5">
      <c r="A612" s="736" t="s">
        <v>13721</v>
      </c>
      <c r="B612" s="1847" t="s">
        <v>13722</v>
      </c>
      <c r="C612" s="736" t="s">
        <v>11758</v>
      </c>
      <c r="D612" s="1848">
        <v>76.650000000000006</v>
      </c>
      <c r="E612" s="1843"/>
    </row>
    <row r="613" spans="1:5">
      <c r="A613" s="736" t="s">
        <v>13725</v>
      </c>
      <c r="B613" s="1847" t="s">
        <v>13726</v>
      </c>
      <c r="C613" s="736" t="s">
        <v>11758</v>
      </c>
      <c r="D613" s="1848">
        <v>5798.88</v>
      </c>
      <c r="E613" s="1843"/>
    </row>
    <row r="614" spans="1:5">
      <c r="A614" s="736" t="s">
        <v>13727</v>
      </c>
      <c r="B614" s="1847" t="s">
        <v>13728</v>
      </c>
      <c r="C614" s="736" t="s">
        <v>11758</v>
      </c>
      <c r="D614" s="1848">
        <v>27.2</v>
      </c>
      <c r="E614" s="1843"/>
    </row>
    <row r="615" spans="1:5">
      <c r="A615" s="736" t="s">
        <v>13730</v>
      </c>
      <c r="B615" s="1847" t="s">
        <v>13731</v>
      </c>
      <c r="C615" s="736" t="s">
        <v>11758</v>
      </c>
      <c r="D615" s="1848">
        <v>334</v>
      </c>
      <c r="E615" s="1843"/>
    </row>
    <row r="616" spans="1:5" ht="22.5">
      <c r="A616" s="736" t="s">
        <v>13733</v>
      </c>
      <c r="B616" s="1847" t="s">
        <v>13734</v>
      </c>
      <c r="C616" s="736" t="s">
        <v>11758</v>
      </c>
      <c r="D616" s="1848">
        <v>12795.81</v>
      </c>
      <c r="E616" s="1843"/>
    </row>
    <row r="617" spans="1:5" ht="33.75">
      <c r="A617" s="736" t="s">
        <v>13735</v>
      </c>
      <c r="B617" s="1847" t="s">
        <v>13736</v>
      </c>
      <c r="C617" s="736" t="s">
        <v>11758</v>
      </c>
      <c r="D617" s="1848">
        <v>1065.24</v>
      </c>
      <c r="E617" s="1843"/>
    </row>
    <row r="618" spans="1:5">
      <c r="A618" s="736" t="s">
        <v>13737</v>
      </c>
      <c r="B618" s="1847" t="s">
        <v>13738</v>
      </c>
      <c r="C618" s="736" t="s">
        <v>11758</v>
      </c>
      <c r="D618" s="1848">
        <v>107.55</v>
      </c>
      <c r="E618" s="1843"/>
    </row>
    <row r="619" spans="1:5">
      <c r="A619" s="736" t="s">
        <v>13739</v>
      </c>
      <c r="B619" s="1847" t="s">
        <v>13740</v>
      </c>
      <c r="C619" s="736" t="s">
        <v>11758</v>
      </c>
      <c r="D619" s="1848">
        <v>413.09</v>
      </c>
      <c r="E619" s="1843"/>
    </row>
    <row r="620" spans="1:5">
      <c r="A620" s="736" t="s">
        <v>13741</v>
      </c>
      <c r="B620" s="1847" t="s">
        <v>13742</v>
      </c>
      <c r="C620" s="736" t="s">
        <v>11758</v>
      </c>
      <c r="D620" s="1848">
        <v>963.33</v>
      </c>
      <c r="E620" s="1843"/>
    </row>
    <row r="621" spans="1:5" ht="22.5">
      <c r="A621" s="736" t="s">
        <v>13743</v>
      </c>
      <c r="B621" s="1847" t="s">
        <v>13744</v>
      </c>
      <c r="C621" s="736" t="s">
        <v>11758</v>
      </c>
      <c r="D621" s="1848">
        <v>12</v>
      </c>
      <c r="E621" s="1843"/>
    </row>
    <row r="622" spans="1:5" ht="22.5">
      <c r="A622" s="736" t="s">
        <v>13745</v>
      </c>
      <c r="B622" s="1847" t="s">
        <v>13590</v>
      </c>
      <c r="C622" s="736" t="s">
        <v>11758</v>
      </c>
      <c r="D622" s="1848">
        <v>438.66</v>
      </c>
      <c r="E622" s="1843"/>
    </row>
    <row r="623" spans="1:5">
      <c r="A623" s="736" t="s">
        <v>13748</v>
      </c>
      <c r="B623" s="1847" t="s">
        <v>13749</v>
      </c>
      <c r="C623" s="736" t="s">
        <v>11758</v>
      </c>
      <c r="D623" s="1848">
        <v>643.04999999999995</v>
      </c>
      <c r="E623" s="1843"/>
    </row>
    <row r="624" spans="1:5">
      <c r="A624" s="736" t="s">
        <v>13750</v>
      </c>
      <c r="B624" s="1847" t="s">
        <v>13751</v>
      </c>
      <c r="C624" s="736" t="s">
        <v>11758</v>
      </c>
      <c r="D624" s="1848">
        <v>12</v>
      </c>
      <c r="E624" s="1843"/>
    </row>
    <row r="625" spans="1:5" ht="22.5">
      <c r="A625" s="736" t="s">
        <v>13752</v>
      </c>
      <c r="B625" s="1847" t="s">
        <v>13753</v>
      </c>
      <c r="C625" s="736" t="s">
        <v>11757</v>
      </c>
      <c r="D625" s="1848">
        <v>978.31</v>
      </c>
      <c r="E625" s="1843"/>
    </row>
    <row r="626" spans="1:5" ht="22.5">
      <c r="A626" s="736" t="s">
        <v>13754</v>
      </c>
      <c r="B626" s="1847" t="s">
        <v>13755</v>
      </c>
      <c r="C626" s="736" t="s">
        <v>11757</v>
      </c>
      <c r="D626" s="1848">
        <v>636.99</v>
      </c>
      <c r="E626" s="1843"/>
    </row>
    <row r="627" spans="1:5">
      <c r="A627" s="736" t="s">
        <v>13756</v>
      </c>
      <c r="B627" s="1847" t="s">
        <v>13757</v>
      </c>
      <c r="C627" s="736" t="s">
        <v>11758</v>
      </c>
      <c r="D627" s="1848">
        <v>171.03</v>
      </c>
      <c r="E627" s="1843"/>
    </row>
    <row r="628" spans="1:5" ht="22.5">
      <c r="A628" s="736" t="s">
        <v>13758</v>
      </c>
      <c r="B628" s="1847" t="s">
        <v>13759</v>
      </c>
      <c r="C628" s="736" t="s">
        <v>11758</v>
      </c>
      <c r="D628" s="1848">
        <v>34.51</v>
      </c>
      <c r="E628" s="1843"/>
    </row>
    <row r="629" spans="1:5">
      <c r="A629" s="736" t="s">
        <v>13538</v>
      </c>
      <c r="B629" s="1847" t="s">
        <v>13539</v>
      </c>
      <c r="C629" s="736" t="s">
        <v>10854</v>
      </c>
      <c r="D629" s="1848">
        <v>187.37</v>
      </c>
      <c r="E629" s="1843"/>
    </row>
    <row r="630" spans="1:5">
      <c r="A630" s="736" t="s">
        <v>13540</v>
      </c>
      <c r="B630" s="1847" t="s">
        <v>13541</v>
      </c>
      <c r="C630" s="736" t="s">
        <v>10854</v>
      </c>
      <c r="D630" s="1848">
        <v>91.21</v>
      </c>
      <c r="E630" s="1843"/>
    </row>
    <row r="631" spans="1:5">
      <c r="A631" s="736" t="s">
        <v>13542</v>
      </c>
      <c r="B631" s="1847" t="s">
        <v>13543</v>
      </c>
      <c r="C631" s="736" t="s">
        <v>10854</v>
      </c>
      <c r="D631" s="1848">
        <v>83.28</v>
      </c>
      <c r="E631" s="1843"/>
    </row>
    <row r="632" spans="1:5">
      <c r="A632" s="736" t="s">
        <v>13544</v>
      </c>
      <c r="B632" s="1847" t="s">
        <v>13545</v>
      </c>
      <c r="C632" s="736" t="s">
        <v>10853</v>
      </c>
      <c r="D632" s="1848">
        <v>2.0699999999999998</v>
      </c>
      <c r="E632" s="1843"/>
    </row>
    <row r="633" spans="1:5" ht="22.5">
      <c r="A633" s="736" t="s">
        <v>13548</v>
      </c>
      <c r="B633" s="1847" t="s">
        <v>13549</v>
      </c>
      <c r="C633" s="736" t="s">
        <v>10854</v>
      </c>
      <c r="D633" s="1848">
        <v>176.08</v>
      </c>
      <c r="E633" s="1843"/>
    </row>
    <row r="634" spans="1:5" ht="22.5">
      <c r="A634" s="736" t="s">
        <v>13550</v>
      </c>
      <c r="B634" s="1847" t="s">
        <v>13551</v>
      </c>
      <c r="C634" s="736" t="s">
        <v>10853</v>
      </c>
      <c r="D634" s="1848">
        <v>71.61</v>
      </c>
      <c r="E634" s="1843"/>
    </row>
    <row r="635" spans="1:5" ht="22.5">
      <c r="A635" s="736" t="s">
        <v>13552</v>
      </c>
      <c r="B635" s="1847" t="s">
        <v>13553</v>
      </c>
      <c r="C635" s="736" t="s">
        <v>10853</v>
      </c>
      <c r="D635" s="1848">
        <v>71.61</v>
      </c>
      <c r="E635" s="1843"/>
    </row>
    <row r="636" spans="1:5" ht="22.5">
      <c r="A636" s="736" t="s">
        <v>13554</v>
      </c>
      <c r="B636" s="1847" t="s">
        <v>13555</v>
      </c>
      <c r="C636" s="736" t="s">
        <v>10853</v>
      </c>
      <c r="D636" s="1848">
        <v>48.83</v>
      </c>
      <c r="E636" s="1843"/>
    </row>
    <row r="637" spans="1:5" ht="22.5">
      <c r="A637" s="736" t="s">
        <v>13556</v>
      </c>
      <c r="B637" s="1847" t="s">
        <v>13557</v>
      </c>
      <c r="C637" s="736" t="s">
        <v>10854</v>
      </c>
      <c r="D637" s="1848">
        <v>48.83</v>
      </c>
      <c r="E637" s="1843"/>
    </row>
    <row r="638" spans="1:5" ht="22.5">
      <c r="A638" s="736" t="s">
        <v>13558</v>
      </c>
      <c r="B638" s="1847" t="s">
        <v>13559</v>
      </c>
      <c r="C638" s="736" t="s">
        <v>10853</v>
      </c>
      <c r="D638" s="1848">
        <v>9.42</v>
      </c>
      <c r="E638" s="1843"/>
    </row>
    <row r="639" spans="1:5" ht="22.5">
      <c r="A639" s="736" t="s">
        <v>13560</v>
      </c>
      <c r="B639" s="1847" t="s">
        <v>13561</v>
      </c>
      <c r="C639" s="736" t="s">
        <v>10854</v>
      </c>
      <c r="D639" s="1848">
        <v>9.42</v>
      </c>
      <c r="E639" s="1843"/>
    </row>
    <row r="640" spans="1:5" ht="22.5">
      <c r="A640" s="736" t="s">
        <v>13562</v>
      </c>
      <c r="B640" s="1847" t="s">
        <v>13563</v>
      </c>
      <c r="C640" s="736" t="s">
        <v>10854</v>
      </c>
      <c r="D640" s="1848">
        <v>107.55</v>
      </c>
      <c r="E640" s="1843"/>
    </row>
    <row r="641" spans="1:5">
      <c r="A641" s="736" t="s">
        <v>13564</v>
      </c>
      <c r="B641" s="1847" t="s">
        <v>13565</v>
      </c>
      <c r="C641" s="736" t="s">
        <v>11723</v>
      </c>
      <c r="D641" s="1848">
        <v>171.03</v>
      </c>
      <c r="E641" s="1843"/>
    </row>
    <row r="642" spans="1:5" ht="33.75">
      <c r="A642" s="736" t="s">
        <v>13566</v>
      </c>
      <c r="B642" s="1847" t="s">
        <v>13567</v>
      </c>
      <c r="C642" s="736" t="s">
        <v>10853</v>
      </c>
      <c r="D642" s="1848">
        <v>11290.78</v>
      </c>
      <c r="E642" s="1843"/>
    </row>
    <row r="643" spans="1:5">
      <c r="A643" s="736" t="s">
        <v>13573</v>
      </c>
      <c r="B643" s="1847" t="s">
        <v>13574</v>
      </c>
      <c r="C643" s="736" t="s">
        <v>10854</v>
      </c>
      <c r="D643" s="1848">
        <v>65.27</v>
      </c>
      <c r="E643" s="1843"/>
    </row>
    <row r="644" spans="1:5" ht="22.5">
      <c r="A644" s="736" t="s">
        <v>13575</v>
      </c>
      <c r="B644" s="1847" t="s">
        <v>13576</v>
      </c>
      <c r="C644" s="736" t="s">
        <v>10853</v>
      </c>
      <c r="D644" s="1848">
        <v>471.91</v>
      </c>
      <c r="E644" s="1843"/>
    </row>
    <row r="645" spans="1:5" ht="22.5">
      <c r="A645" s="736" t="s">
        <v>13577</v>
      </c>
      <c r="B645" s="1847" t="s">
        <v>13578</v>
      </c>
      <c r="C645" s="736" t="s">
        <v>10854</v>
      </c>
      <c r="D645" s="1848">
        <v>471.91</v>
      </c>
      <c r="E645" s="1843"/>
    </row>
    <row r="646" spans="1:5">
      <c r="A646" s="736" t="s">
        <v>13579</v>
      </c>
      <c r="B646" s="1847" t="s">
        <v>13580</v>
      </c>
      <c r="C646" s="736" t="s">
        <v>18</v>
      </c>
      <c r="D646" s="1848">
        <v>20.61</v>
      </c>
      <c r="E646" s="1843"/>
    </row>
    <row r="647" spans="1:5">
      <c r="A647" s="736" t="s">
        <v>13581</v>
      </c>
      <c r="B647" s="1847" t="s">
        <v>13582</v>
      </c>
      <c r="C647" s="736" t="s">
        <v>18</v>
      </c>
      <c r="D647" s="1848">
        <v>20.61</v>
      </c>
      <c r="E647" s="1843"/>
    </row>
    <row r="648" spans="1:5">
      <c r="A648" s="736" t="s">
        <v>13583</v>
      </c>
      <c r="B648" s="1847" t="s">
        <v>13584</v>
      </c>
      <c r="C648" s="736" t="s">
        <v>18</v>
      </c>
      <c r="D648" s="1848">
        <v>20.61</v>
      </c>
      <c r="E648" s="1843"/>
    </row>
    <row r="649" spans="1:5" ht="22.5">
      <c r="A649" s="736" t="s">
        <v>13585</v>
      </c>
      <c r="B649" s="1847" t="s">
        <v>13586</v>
      </c>
      <c r="C649" s="736" t="s">
        <v>10854</v>
      </c>
      <c r="D649" s="1848">
        <v>266.64</v>
      </c>
      <c r="E649" s="1843"/>
    </row>
    <row r="650" spans="1:5" ht="22.5">
      <c r="A650" s="736" t="s">
        <v>13587</v>
      </c>
      <c r="B650" s="1847" t="s">
        <v>13588</v>
      </c>
      <c r="C650" s="736" t="s">
        <v>10854</v>
      </c>
      <c r="D650" s="1848">
        <v>176.08</v>
      </c>
      <c r="E650" s="1843"/>
    </row>
    <row r="651" spans="1:5" ht="22.5">
      <c r="A651" s="736" t="s">
        <v>13589</v>
      </c>
      <c r="B651" s="1847" t="s">
        <v>13590</v>
      </c>
      <c r="C651" s="736" t="s">
        <v>10853</v>
      </c>
      <c r="D651" s="1848">
        <v>438.66</v>
      </c>
      <c r="E651" s="1843"/>
    </row>
    <row r="652" spans="1:5" ht="22.5">
      <c r="A652" s="736" t="s">
        <v>13591</v>
      </c>
      <c r="B652" s="1847" t="s">
        <v>13592</v>
      </c>
      <c r="C652" s="736" t="s">
        <v>10853</v>
      </c>
      <c r="D652" s="1848">
        <v>978.31</v>
      </c>
      <c r="E652" s="1843"/>
    </row>
    <row r="653" spans="1:5" ht="22.5">
      <c r="A653" s="736" t="s">
        <v>13593</v>
      </c>
      <c r="B653" s="1847" t="s">
        <v>13594</v>
      </c>
      <c r="C653" s="736" t="s">
        <v>10853</v>
      </c>
      <c r="D653" s="1848">
        <v>636.99</v>
      </c>
      <c r="E653" s="1843"/>
    </row>
    <row r="654" spans="1:5" ht="22.5">
      <c r="A654" s="736" t="s">
        <v>13595</v>
      </c>
      <c r="B654" s="1847" t="s">
        <v>13596</v>
      </c>
      <c r="C654" s="736" t="s">
        <v>10853</v>
      </c>
      <c r="D654" s="1848">
        <v>12795.81</v>
      </c>
      <c r="E654" s="1843"/>
    </row>
    <row r="655" spans="1:5">
      <c r="A655" s="736" t="s">
        <v>13625</v>
      </c>
      <c r="B655" s="1847" t="s">
        <v>13626</v>
      </c>
      <c r="C655" s="736" t="s">
        <v>10854</v>
      </c>
      <c r="D655" s="1848">
        <v>1661.45</v>
      </c>
      <c r="E655" s="1843"/>
    </row>
    <row r="656" spans="1:5">
      <c r="A656" s="736" t="s">
        <v>13628</v>
      </c>
      <c r="B656" s="1847" t="s">
        <v>13629</v>
      </c>
      <c r="C656" s="736" t="s">
        <v>10854</v>
      </c>
      <c r="D656" s="1848">
        <v>93.77</v>
      </c>
      <c r="E656" s="1843"/>
    </row>
    <row r="657" spans="1:5">
      <c r="A657" s="736" t="s">
        <v>13630</v>
      </c>
      <c r="B657" s="1847" t="s">
        <v>13631</v>
      </c>
      <c r="C657" s="736" t="s">
        <v>10854</v>
      </c>
      <c r="D657" s="1848">
        <v>64.92</v>
      </c>
      <c r="E657" s="1843"/>
    </row>
    <row r="658" spans="1:5">
      <c r="A658" s="736" t="s">
        <v>13633</v>
      </c>
      <c r="B658" s="1847" t="s">
        <v>13634</v>
      </c>
      <c r="C658" s="736" t="s">
        <v>10854</v>
      </c>
      <c r="D658" s="1848">
        <v>334</v>
      </c>
      <c r="E658" s="1843"/>
    </row>
    <row r="659" spans="1:5">
      <c r="A659" s="736" t="s">
        <v>13635</v>
      </c>
      <c r="B659" s="1847" t="s">
        <v>13636</v>
      </c>
      <c r="C659" s="736" t="s">
        <v>10854</v>
      </c>
      <c r="D659" s="1848">
        <v>334</v>
      </c>
      <c r="E659" s="1843"/>
    </row>
    <row r="660" spans="1:5">
      <c r="A660" s="736" t="s">
        <v>13637</v>
      </c>
      <c r="B660" s="1847" t="s">
        <v>13638</v>
      </c>
      <c r="C660" s="736" t="s">
        <v>10854</v>
      </c>
      <c r="D660" s="1848">
        <v>229.12</v>
      </c>
      <c r="E660" s="1843"/>
    </row>
    <row r="661" spans="1:5">
      <c r="A661" s="736" t="s">
        <v>13639</v>
      </c>
      <c r="B661" s="1847" t="s">
        <v>13640</v>
      </c>
      <c r="C661" s="736" t="s">
        <v>10854</v>
      </c>
      <c r="D661" s="1848">
        <v>17.78</v>
      </c>
      <c r="E661" s="1843"/>
    </row>
    <row r="662" spans="1:5">
      <c r="A662" s="736" t="s">
        <v>13641</v>
      </c>
      <c r="B662" s="1847" t="s">
        <v>13642</v>
      </c>
      <c r="C662" s="736" t="s">
        <v>10854</v>
      </c>
      <c r="D662" s="1848">
        <v>229.12</v>
      </c>
      <c r="E662" s="1843"/>
    </row>
    <row r="663" spans="1:5">
      <c r="A663" s="736" t="s">
        <v>13643</v>
      </c>
      <c r="B663" s="1847" t="s">
        <v>13644</v>
      </c>
      <c r="C663" s="736" t="s">
        <v>18</v>
      </c>
      <c r="D663" s="1848">
        <v>7.43</v>
      </c>
      <c r="E663" s="1843"/>
    </row>
    <row r="664" spans="1:5">
      <c r="A664" s="736" t="s">
        <v>13645</v>
      </c>
      <c r="B664" s="1847" t="s">
        <v>13646</v>
      </c>
      <c r="C664" s="736" t="s">
        <v>10854</v>
      </c>
      <c r="D664" s="1848">
        <v>7.43</v>
      </c>
      <c r="E664" s="1843"/>
    </row>
    <row r="665" spans="1:5">
      <c r="A665" s="736" t="s">
        <v>13647</v>
      </c>
      <c r="B665" s="1847" t="s">
        <v>13648</v>
      </c>
      <c r="C665" s="736" t="s">
        <v>10854</v>
      </c>
      <c r="D665" s="1848">
        <v>5.39</v>
      </c>
      <c r="E665" s="1843"/>
    </row>
    <row r="666" spans="1:5">
      <c r="A666" s="736" t="s">
        <v>13649</v>
      </c>
      <c r="B666" s="1847" t="s">
        <v>13650</v>
      </c>
      <c r="C666" s="736" t="s">
        <v>10854</v>
      </c>
      <c r="D666" s="1848">
        <v>7.43</v>
      </c>
      <c r="E666" s="1843"/>
    </row>
    <row r="667" spans="1:5">
      <c r="A667" s="736" t="s">
        <v>13652</v>
      </c>
      <c r="B667" s="1847" t="s">
        <v>13653</v>
      </c>
      <c r="C667" s="736" t="s">
        <v>18</v>
      </c>
      <c r="D667" s="1848">
        <v>6.27</v>
      </c>
      <c r="E667" s="1843"/>
    </row>
    <row r="668" spans="1:5">
      <c r="A668" s="736" t="s">
        <v>13654</v>
      </c>
      <c r="B668" s="1847" t="s">
        <v>13655</v>
      </c>
      <c r="C668" s="736" t="s">
        <v>18</v>
      </c>
      <c r="D668" s="1848">
        <v>6.27</v>
      </c>
      <c r="E668" s="1843"/>
    </row>
    <row r="669" spans="1:5">
      <c r="A669" s="736" t="s">
        <v>13656</v>
      </c>
      <c r="B669" s="1847" t="s">
        <v>13657</v>
      </c>
      <c r="C669" s="736" t="s">
        <v>18</v>
      </c>
      <c r="D669" s="1848">
        <v>5.0999999999999996</v>
      </c>
      <c r="E669" s="1843"/>
    </row>
    <row r="670" spans="1:5">
      <c r="A670" s="736" t="s">
        <v>13658</v>
      </c>
      <c r="B670" s="1847" t="s">
        <v>13659</v>
      </c>
      <c r="C670" s="736" t="s">
        <v>10854</v>
      </c>
      <c r="D670" s="1848">
        <v>9.42</v>
      </c>
      <c r="E670" s="1843"/>
    </row>
    <row r="671" spans="1:5">
      <c r="A671" s="736" t="s">
        <v>13660</v>
      </c>
      <c r="B671" s="1847" t="s">
        <v>13661</v>
      </c>
      <c r="C671" s="736" t="s">
        <v>10854</v>
      </c>
      <c r="D671" s="1848">
        <v>337.99</v>
      </c>
      <c r="E671" s="1843"/>
    </row>
    <row r="672" spans="1:5">
      <c r="A672" s="736" t="s">
        <v>13662</v>
      </c>
      <c r="B672" s="1847" t="s">
        <v>13663</v>
      </c>
      <c r="C672" s="736" t="s">
        <v>10854</v>
      </c>
      <c r="D672" s="1848">
        <v>50897</v>
      </c>
      <c r="E672" s="1843"/>
    </row>
    <row r="673" spans="1:5">
      <c r="A673" s="736" t="s">
        <v>13664</v>
      </c>
      <c r="B673" s="1847" t="s">
        <v>13665</v>
      </c>
      <c r="C673" s="736" t="s">
        <v>11753</v>
      </c>
      <c r="D673" s="1848">
        <v>474.64</v>
      </c>
      <c r="E673" s="1843"/>
    </row>
    <row r="674" spans="1:5">
      <c r="A674" s="736" t="s">
        <v>13671</v>
      </c>
      <c r="B674" s="1847" t="s">
        <v>13672</v>
      </c>
      <c r="C674" s="736" t="s">
        <v>10854</v>
      </c>
      <c r="D674" s="1848">
        <v>250.93</v>
      </c>
      <c r="E674" s="1843"/>
    </row>
    <row r="675" spans="1:5">
      <c r="A675" s="736" t="s">
        <v>13679</v>
      </c>
      <c r="B675" s="1847" t="s">
        <v>13680</v>
      </c>
      <c r="C675" s="736" t="s">
        <v>10854</v>
      </c>
      <c r="D675" s="1848">
        <v>489.12</v>
      </c>
      <c r="E675" s="1843"/>
    </row>
  </sheetData>
  <sheetProtection algorithmName="SHA-512" hashValue="W4WEfGmV1og/oxld7q3meTWssjjX1kYopc3VojaQfUbzXG1QQJHP1/KsoD7eWMEuqKZsh4+PiXFjH3eD6D76ZQ==" saltValue="L3ctd0VhCs5g2pZNBicQLg==" spinCount="100000" sheet="1" objects="1" scenarios="1"/>
  <mergeCells count="1">
    <mergeCell ref="A1:D1"/>
  </mergeCells>
  <conditionalFormatting sqref="D467 D676:D65536 D6:D390 D392 D402:D465">
    <cfRule type="cellIs" dxfId="2742" priority="5" stopIfTrue="1" operator="equal">
      <formula>0</formula>
    </cfRule>
  </conditionalFormatting>
  <conditionalFormatting sqref="D393:D401">
    <cfRule type="cellIs" dxfId="2741" priority="3" stopIfTrue="1" operator="equal">
      <formula>0</formula>
    </cfRule>
  </conditionalFormatting>
  <conditionalFormatting sqref="D468:D675">
    <cfRule type="cellIs" dxfId="2740" priority="2" stopIfTrue="1" operator="equal">
      <formula>0</formula>
    </cfRule>
  </conditionalFormatting>
  <pageMargins left="0.51181102362204722" right="0.51181102362204722" top="0.78740157480314965" bottom="0.78740157480314965" header="0.31496062992125984" footer="0.31496062992125984"/>
  <pageSetup paperSize="9" scale="80" fitToHeight="0"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839"/>
  <sheetViews>
    <sheetView zoomScale="60" zoomScaleNormal="100" workbookViewId="0">
      <selection activeCell="B6" sqref="B6"/>
    </sheetView>
  </sheetViews>
  <sheetFormatPr defaultRowHeight="15"/>
  <cols>
    <col min="1" max="1" width="13.42578125" style="25" customWidth="1"/>
    <col min="2" max="2" width="84.5703125" style="25" customWidth="1"/>
    <col min="3" max="3" width="9.140625" style="25"/>
    <col min="4" max="4" width="16.5703125" style="329" customWidth="1"/>
    <col min="5" max="16384" width="9.140625" style="25"/>
  </cols>
  <sheetData>
    <row r="1" spans="1:4" ht="15.75" customHeight="1" thickBot="1">
      <c r="A1" s="45" t="s">
        <v>86</v>
      </c>
      <c r="B1" s="46" t="s">
        <v>10855</v>
      </c>
      <c r="C1" s="45" t="s">
        <v>25</v>
      </c>
      <c r="D1" s="331" t="s">
        <v>10856</v>
      </c>
    </row>
    <row r="2" spans="1:4" ht="30">
      <c r="A2" s="28" t="s">
        <v>257</v>
      </c>
      <c r="B2" s="26" t="s">
        <v>2310</v>
      </c>
      <c r="C2" s="28" t="s">
        <v>71</v>
      </c>
      <c r="D2" s="329">
        <v>2.83</v>
      </c>
    </row>
    <row r="3" spans="1:4" ht="30">
      <c r="A3" s="47" t="s">
        <v>258</v>
      </c>
      <c r="B3" s="48" t="s">
        <v>2311</v>
      </c>
      <c r="C3" s="47" t="s">
        <v>71</v>
      </c>
      <c r="D3" s="332">
        <v>3.41</v>
      </c>
    </row>
    <row r="4" spans="1:4" ht="30">
      <c r="A4" s="28" t="s">
        <v>259</v>
      </c>
      <c r="B4" s="26" t="s">
        <v>2315</v>
      </c>
      <c r="C4" s="28" t="s">
        <v>71</v>
      </c>
      <c r="D4" s="329">
        <v>5.89</v>
      </c>
    </row>
    <row r="5" spans="1:4" ht="30">
      <c r="A5" s="47" t="s">
        <v>260</v>
      </c>
      <c r="B5" s="48" t="s">
        <v>2316</v>
      </c>
      <c r="C5" s="47" t="s">
        <v>71</v>
      </c>
      <c r="D5" s="332">
        <v>7.54</v>
      </c>
    </row>
    <row r="6" spans="1:4" ht="30">
      <c r="A6" s="28" t="s">
        <v>261</v>
      </c>
      <c r="B6" s="26" t="s">
        <v>2317</v>
      </c>
      <c r="C6" s="28" t="s">
        <v>71</v>
      </c>
      <c r="D6" s="329">
        <v>9.1199999999999992</v>
      </c>
    </row>
    <row r="7" spans="1:4" ht="30">
      <c r="A7" s="47" t="s">
        <v>262</v>
      </c>
      <c r="B7" s="48" t="s">
        <v>2318</v>
      </c>
      <c r="C7" s="47" t="s">
        <v>71</v>
      </c>
      <c r="D7" s="332">
        <v>10.33</v>
      </c>
    </row>
    <row r="8" spans="1:4" ht="30">
      <c r="A8" s="28" t="s">
        <v>263</v>
      </c>
      <c r="B8" s="26" t="s">
        <v>2319</v>
      </c>
      <c r="C8" s="28" t="s">
        <v>71</v>
      </c>
      <c r="D8" s="329">
        <v>12.08</v>
      </c>
    </row>
    <row r="9" spans="1:4" ht="30">
      <c r="A9" s="47" t="s">
        <v>264</v>
      </c>
      <c r="B9" s="48" t="s">
        <v>2320</v>
      </c>
      <c r="C9" s="47" t="s">
        <v>71</v>
      </c>
      <c r="D9" s="332">
        <v>13.32</v>
      </c>
    </row>
    <row r="10" spans="1:4" ht="30">
      <c r="A10" s="28" t="s">
        <v>265</v>
      </c>
      <c r="B10" s="26" t="s">
        <v>2321</v>
      </c>
      <c r="C10" s="28" t="s">
        <v>71</v>
      </c>
      <c r="D10" s="329">
        <v>15.57</v>
      </c>
    </row>
    <row r="11" spans="1:4" ht="30">
      <c r="A11" s="47" t="s">
        <v>266</v>
      </c>
      <c r="B11" s="48" t="s">
        <v>2322</v>
      </c>
      <c r="C11" s="47" t="s">
        <v>71</v>
      </c>
      <c r="D11" s="332">
        <v>17.28</v>
      </c>
    </row>
    <row r="12" spans="1:4" ht="30">
      <c r="A12" s="28" t="s">
        <v>267</v>
      </c>
      <c r="B12" s="26" t="s">
        <v>2323</v>
      </c>
      <c r="C12" s="28" t="s">
        <v>71</v>
      </c>
      <c r="D12" s="329">
        <v>20.89</v>
      </c>
    </row>
    <row r="13" spans="1:4" ht="30">
      <c r="A13" s="47" t="s">
        <v>268</v>
      </c>
      <c r="B13" s="48" t="s">
        <v>2324</v>
      </c>
      <c r="C13" s="47" t="s">
        <v>71</v>
      </c>
      <c r="D13" s="332">
        <v>26.06</v>
      </c>
    </row>
    <row r="14" spans="1:4" ht="30">
      <c r="A14" s="28" t="s">
        <v>269</v>
      </c>
      <c r="B14" s="26" t="s">
        <v>2325</v>
      </c>
      <c r="C14" s="28" t="s">
        <v>71</v>
      </c>
      <c r="D14" s="329">
        <v>30.07</v>
      </c>
    </row>
    <row r="15" spans="1:4" ht="30">
      <c r="A15" s="47" t="s">
        <v>270</v>
      </c>
      <c r="B15" s="48" t="s">
        <v>2326</v>
      </c>
      <c r="C15" s="47" t="s">
        <v>71</v>
      </c>
      <c r="D15" s="332">
        <v>35.19</v>
      </c>
    </row>
    <row r="16" spans="1:4" ht="30">
      <c r="A16" s="28" t="s">
        <v>271</v>
      </c>
      <c r="B16" s="26" t="s">
        <v>2312</v>
      </c>
      <c r="C16" s="28" t="s">
        <v>71</v>
      </c>
      <c r="D16" s="329">
        <v>37.89</v>
      </c>
    </row>
    <row r="17" spans="1:4" ht="30">
      <c r="A17" s="47" t="s">
        <v>272</v>
      </c>
      <c r="B17" s="48" t="s">
        <v>2313</v>
      </c>
      <c r="C17" s="47" t="s">
        <v>71</v>
      </c>
      <c r="D17" s="332">
        <v>44.86</v>
      </c>
    </row>
    <row r="18" spans="1:4" ht="30">
      <c r="A18" s="28" t="s">
        <v>273</v>
      </c>
      <c r="B18" s="26" t="s">
        <v>2314</v>
      </c>
      <c r="C18" s="28" t="s">
        <v>71</v>
      </c>
      <c r="D18" s="329">
        <v>52.96</v>
      </c>
    </row>
    <row r="19" spans="1:4" ht="30">
      <c r="A19" s="47">
        <v>83655</v>
      </c>
      <c r="B19" s="48" t="s">
        <v>2327</v>
      </c>
      <c r="C19" s="47" t="s">
        <v>71</v>
      </c>
      <c r="D19" s="332">
        <v>3.07</v>
      </c>
    </row>
    <row r="20" spans="1:4" ht="30">
      <c r="A20" s="28" t="s">
        <v>274</v>
      </c>
      <c r="B20" s="26" t="s">
        <v>2332</v>
      </c>
      <c r="C20" s="28" t="s">
        <v>71</v>
      </c>
      <c r="D20" s="329">
        <v>1.37</v>
      </c>
    </row>
    <row r="21" spans="1:4" ht="30">
      <c r="A21" s="47" t="s">
        <v>275</v>
      </c>
      <c r="B21" s="48" t="s">
        <v>2336</v>
      </c>
      <c r="C21" s="47" t="s">
        <v>71</v>
      </c>
      <c r="D21" s="332">
        <v>1.83</v>
      </c>
    </row>
    <row r="22" spans="1:4" ht="30">
      <c r="A22" s="28" t="s">
        <v>276</v>
      </c>
      <c r="B22" s="26" t="s">
        <v>2329</v>
      </c>
      <c r="C22" s="28" t="s">
        <v>71</v>
      </c>
      <c r="D22" s="329">
        <v>2.29</v>
      </c>
    </row>
    <row r="23" spans="1:4" ht="30">
      <c r="A23" s="47" t="s">
        <v>277</v>
      </c>
      <c r="B23" s="48" t="s">
        <v>2331</v>
      </c>
      <c r="C23" s="47" t="s">
        <v>71</v>
      </c>
      <c r="D23" s="332">
        <v>6.91</v>
      </c>
    </row>
    <row r="24" spans="1:4" ht="30">
      <c r="A24" s="28" t="s">
        <v>278</v>
      </c>
      <c r="B24" s="26" t="s">
        <v>2333</v>
      </c>
      <c r="C24" s="28" t="s">
        <v>71</v>
      </c>
      <c r="D24" s="329">
        <v>7.63</v>
      </c>
    </row>
    <row r="25" spans="1:4" ht="30">
      <c r="A25" s="47" t="s">
        <v>279</v>
      </c>
      <c r="B25" s="48" t="s">
        <v>2334</v>
      </c>
      <c r="C25" s="47" t="s">
        <v>71</v>
      </c>
      <c r="D25" s="332">
        <v>8.5399999999999991</v>
      </c>
    </row>
    <row r="26" spans="1:4" ht="30">
      <c r="A26" s="28" t="s">
        <v>280</v>
      </c>
      <c r="B26" s="26" t="s">
        <v>2335</v>
      </c>
      <c r="C26" s="28" t="s">
        <v>71</v>
      </c>
      <c r="D26" s="329">
        <v>9.31</v>
      </c>
    </row>
    <row r="27" spans="1:4" ht="30">
      <c r="A27" s="47" t="s">
        <v>281</v>
      </c>
      <c r="B27" s="48" t="s">
        <v>2337</v>
      </c>
      <c r="C27" s="47" t="s">
        <v>71</v>
      </c>
      <c r="D27" s="332">
        <v>10.18</v>
      </c>
    </row>
    <row r="28" spans="1:4" ht="30">
      <c r="A28" s="28" t="s">
        <v>282</v>
      </c>
      <c r="B28" s="26" t="s">
        <v>2338</v>
      </c>
      <c r="C28" s="28" t="s">
        <v>71</v>
      </c>
      <c r="D28" s="329">
        <v>10.99</v>
      </c>
    </row>
    <row r="29" spans="1:4" ht="30">
      <c r="A29" s="47" t="s">
        <v>283</v>
      </c>
      <c r="B29" s="48" t="s">
        <v>2330</v>
      </c>
      <c r="C29" s="47" t="s">
        <v>71</v>
      </c>
      <c r="D29" s="332">
        <v>11.71</v>
      </c>
    </row>
    <row r="30" spans="1:4" ht="45">
      <c r="A30" s="28">
        <v>90694</v>
      </c>
      <c r="B30" s="26" t="s">
        <v>10376</v>
      </c>
      <c r="C30" s="28" t="s">
        <v>71</v>
      </c>
      <c r="D30" s="329">
        <v>15.85</v>
      </c>
    </row>
    <row r="31" spans="1:4" ht="45">
      <c r="A31" s="47">
        <v>90695</v>
      </c>
      <c r="B31" s="48" t="s">
        <v>10378</v>
      </c>
      <c r="C31" s="47" t="s">
        <v>71</v>
      </c>
      <c r="D31" s="332">
        <v>31.09</v>
      </c>
    </row>
    <row r="32" spans="1:4" ht="45">
      <c r="A32" s="28">
        <v>90696</v>
      </c>
      <c r="B32" s="26" t="s">
        <v>10380</v>
      </c>
      <c r="C32" s="28" t="s">
        <v>71</v>
      </c>
      <c r="D32" s="329">
        <v>50.32</v>
      </c>
    </row>
    <row r="33" spans="1:4" ht="45">
      <c r="A33" s="47">
        <v>90697</v>
      </c>
      <c r="B33" s="48" t="s">
        <v>10382</v>
      </c>
      <c r="C33" s="47" t="s">
        <v>71</v>
      </c>
      <c r="D33" s="332">
        <v>80.150000000000006</v>
      </c>
    </row>
    <row r="34" spans="1:4" ht="45">
      <c r="A34" s="28">
        <v>90698</v>
      </c>
      <c r="B34" s="26" t="s">
        <v>10384</v>
      </c>
      <c r="C34" s="28" t="s">
        <v>71</v>
      </c>
      <c r="D34" s="329">
        <v>128.62</v>
      </c>
    </row>
    <row r="35" spans="1:4" ht="45">
      <c r="A35" s="47">
        <v>90699</v>
      </c>
      <c r="B35" s="48" t="s">
        <v>10386</v>
      </c>
      <c r="C35" s="47" t="s">
        <v>71</v>
      </c>
      <c r="D35" s="332">
        <v>160.97</v>
      </c>
    </row>
    <row r="36" spans="1:4" ht="45">
      <c r="A36" s="28">
        <v>90700</v>
      </c>
      <c r="B36" s="26" t="s">
        <v>10388</v>
      </c>
      <c r="C36" s="28" t="s">
        <v>71</v>
      </c>
      <c r="D36" s="329">
        <v>215.93</v>
      </c>
    </row>
    <row r="37" spans="1:4" ht="45">
      <c r="A37" s="47">
        <v>90701</v>
      </c>
      <c r="B37" s="48" t="s">
        <v>10364</v>
      </c>
      <c r="C37" s="47" t="s">
        <v>71</v>
      </c>
      <c r="D37" s="332">
        <v>42.85</v>
      </c>
    </row>
    <row r="38" spans="1:4" ht="45">
      <c r="A38" s="28">
        <v>90702</v>
      </c>
      <c r="B38" s="26" t="s">
        <v>10366</v>
      </c>
      <c r="C38" s="28" t="s">
        <v>71</v>
      </c>
      <c r="D38" s="329">
        <v>64.760000000000005</v>
      </c>
    </row>
    <row r="39" spans="1:4" ht="45">
      <c r="A39" s="47">
        <v>90703</v>
      </c>
      <c r="B39" s="48" t="s">
        <v>10368</v>
      </c>
      <c r="C39" s="47" t="s">
        <v>71</v>
      </c>
      <c r="D39" s="332">
        <v>106.6</v>
      </c>
    </row>
    <row r="40" spans="1:4" ht="45">
      <c r="A40" s="28">
        <v>90704</v>
      </c>
      <c r="B40" s="26" t="s">
        <v>10370</v>
      </c>
      <c r="C40" s="28" t="s">
        <v>71</v>
      </c>
      <c r="D40" s="329">
        <v>166.86</v>
      </c>
    </row>
    <row r="41" spans="1:4" ht="45">
      <c r="A41" s="47">
        <v>90705</v>
      </c>
      <c r="B41" s="48" t="s">
        <v>10372</v>
      </c>
      <c r="C41" s="47" t="s">
        <v>71</v>
      </c>
      <c r="D41" s="332">
        <v>244.48</v>
      </c>
    </row>
    <row r="42" spans="1:4" ht="45">
      <c r="A42" s="28">
        <v>90706</v>
      </c>
      <c r="B42" s="26" t="s">
        <v>10374</v>
      </c>
      <c r="C42" s="28" t="s">
        <v>71</v>
      </c>
      <c r="D42" s="329">
        <v>298</v>
      </c>
    </row>
    <row r="43" spans="1:4" ht="45">
      <c r="A43" s="47">
        <v>90708</v>
      </c>
      <c r="B43" s="48" t="s">
        <v>10358</v>
      </c>
      <c r="C43" s="47" t="s">
        <v>71</v>
      </c>
      <c r="D43" s="332">
        <v>479.98</v>
      </c>
    </row>
    <row r="44" spans="1:4" ht="45">
      <c r="A44" s="28">
        <v>90709</v>
      </c>
      <c r="B44" s="26" t="s">
        <v>10375</v>
      </c>
      <c r="C44" s="28" t="s">
        <v>71</v>
      </c>
      <c r="D44" s="329">
        <v>17.48</v>
      </c>
    </row>
    <row r="45" spans="1:4" ht="45">
      <c r="A45" s="47">
        <v>90710</v>
      </c>
      <c r="B45" s="48" t="s">
        <v>10377</v>
      </c>
      <c r="C45" s="47" t="s">
        <v>71</v>
      </c>
      <c r="D45" s="332">
        <v>32.72</v>
      </c>
    </row>
    <row r="46" spans="1:4" ht="45">
      <c r="A46" s="28">
        <v>90711</v>
      </c>
      <c r="B46" s="26" t="s">
        <v>10379</v>
      </c>
      <c r="C46" s="28" t="s">
        <v>71</v>
      </c>
      <c r="D46" s="329">
        <v>51.94</v>
      </c>
    </row>
    <row r="47" spans="1:4" ht="45">
      <c r="A47" s="47">
        <v>90712</v>
      </c>
      <c r="B47" s="48" t="s">
        <v>10381</v>
      </c>
      <c r="C47" s="47" t="s">
        <v>71</v>
      </c>
      <c r="D47" s="332">
        <v>81.77</v>
      </c>
    </row>
    <row r="48" spans="1:4" ht="45">
      <c r="A48" s="28">
        <v>90713</v>
      </c>
      <c r="B48" s="26" t="s">
        <v>10383</v>
      </c>
      <c r="C48" s="28" t="s">
        <v>71</v>
      </c>
      <c r="D48" s="329">
        <v>130.24</v>
      </c>
    </row>
    <row r="49" spans="1:4" ht="45">
      <c r="A49" s="47">
        <v>90714</v>
      </c>
      <c r="B49" s="48" t="s">
        <v>10385</v>
      </c>
      <c r="C49" s="47" t="s">
        <v>71</v>
      </c>
      <c r="D49" s="332">
        <v>162.59</v>
      </c>
    </row>
    <row r="50" spans="1:4" ht="45">
      <c r="A50" s="28">
        <v>90715</v>
      </c>
      <c r="B50" s="26" t="s">
        <v>10387</v>
      </c>
      <c r="C50" s="28" t="s">
        <v>71</v>
      </c>
      <c r="D50" s="329">
        <v>219.75</v>
      </c>
    </row>
    <row r="51" spans="1:4" ht="45">
      <c r="A51" s="47">
        <v>90716</v>
      </c>
      <c r="B51" s="48" t="s">
        <v>10363</v>
      </c>
      <c r="C51" s="47" t="s">
        <v>71</v>
      </c>
      <c r="D51" s="332">
        <v>44.47</v>
      </c>
    </row>
    <row r="52" spans="1:4" ht="45">
      <c r="A52" s="28">
        <v>90717</v>
      </c>
      <c r="B52" s="26" t="s">
        <v>10365</v>
      </c>
      <c r="C52" s="28" t="s">
        <v>71</v>
      </c>
      <c r="D52" s="329">
        <v>66.38</v>
      </c>
    </row>
    <row r="53" spans="1:4" ht="45">
      <c r="A53" s="47">
        <v>90718</v>
      </c>
      <c r="B53" s="48" t="s">
        <v>10367</v>
      </c>
      <c r="C53" s="47" t="s">
        <v>71</v>
      </c>
      <c r="D53" s="332">
        <v>108.22</v>
      </c>
    </row>
    <row r="54" spans="1:4" ht="45">
      <c r="A54" s="28">
        <v>90719</v>
      </c>
      <c r="B54" s="26" t="s">
        <v>10369</v>
      </c>
      <c r="C54" s="28" t="s">
        <v>71</v>
      </c>
      <c r="D54" s="329">
        <v>168.48</v>
      </c>
    </row>
    <row r="55" spans="1:4" ht="45">
      <c r="A55" s="47">
        <v>90720</v>
      </c>
      <c r="B55" s="48" t="s">
        <v>10371</v>
      </c>
      <c r="C55" s="47" t="s">
        <v>71</v>
      </c>
      <c r="D55" s="332">
        <v>246.1</v>
      </c>
    </row>
    <row r="56" spans="1:4" ht="45">
      <c r="A56" s="28">
        <v>90721</v>
      </c>
      <c r="B56" s="26" t="s">
        <v>10373</v>
      </c>
      <c r="C56" s="28" t="s">
        <v>71</v>
      </c>
      <c r="D56" s="329">
        <v>301.82</v>
      </c>
    </row>
    <row r="57" spans="1:4" ht="45">
      <c r="A57" s="47">
        <v>90723</v>
      </c>
      <c r="B57" s="48" t="s">
        <v>10357</v>
      </c>
      <c r="C57" s="47" t="s">
        <v>71</v>
      </c>
      <c r="D57" s="332">
        <v>482.38</v>
      </c>
    </row>
    <row r="58" spans="1:4" ht="30">
      <c r="A58" s="28">
        <v>90724</v>
      </c>
      <c r="B58" s="26" t="s">
        <v>6526</v>
      </c>
      <c r="C58" s="28" t="s">
        <v>65</v>
      </c>
      <c r="D58" s="329">
        <v>18.79</v>
      </c>
    </row>
    <row r="59" spans="1:4" ht="30">
      <c r="A59" s="47">
        <v>90725</v>
      </c>
      <c r="B59" s="48" t="s">
        <v>6527</v>
      </c>
      <c r="C59" s="47" t="s">
        <v>65</v>
      </c>
      <c r="D59" s="332">
        <v>23.18</v>
      </c>
    </row>
    <row r="60" spans="1:4" ht="30">
      <c r="A60" s="28">
        <v>90726</v>
      </c>
      <c r="B60" s="26" t="s">
        <v>6528</v>
      </c>
      <c r="C60" s="28" t="s">
        <v>65</v>
      </c>
      <c r="D60" s="329">
        <v>27.57</v>
      </c>
    </row>
    <row r="61" spans="1:4" ht="30">
      <c r="A61" s="47">
        <v>90727</v>
      </c>
      <c r="B61" s="48" t="s">
        <v>6529</v>
      </c>
      <c r="C61" s="47" t="s">
        <v>65</v>
      </c>
      <c r="D61" s="332">
        <v>31.96</v>
      </c>
    </row>
    <row r="62" spans="1:4" ht="30">
      <c r="A62" s="28">
        <v>90728</v>
      </c>
      <c r="B62" s="26" t="s">
        <v>6530</v>
      </c>
      <c r="C62" s="28" t="s">
        <v>65</v>
      </c>
      <c r="D62" s="329">
        <v>36.35</v>
      </c>
    </row>
    <row r="63" spans="1:4" ht="30">
      <c r="A63" s="47">
        <v>90729</v>
      </c>
      <c r="B63" s="48" t="s">
        <v>6531</v>
      </c>
      <c r="C63" s="47" t="s">
        <v>65</v>
      </c>
      <c r="D63" s="332">
        <v>40.75</v>
      </c>
    </row>
    <row r="64" spans="1:4" ht="30">
      <c r="A64" s="28">
        <v>90730</v>
      </c>
      <c r="B64" s="26" t="s">
        <v>6532</v>
      </c>
      <c r="C64" s="28" t="s">
        <v>65</v>
      </c>
      <c r="D64" s="329">
        <v>45.17</v>
      </c>
    </row>
    <row r="65" spans="1:4" ht="30">
      <c r="A65" s="47">
        <v>90731</v>
      </c>
      <c r="B65" s="48" t="s">
        <v>6533</v>
      </c>
      <c r="C65" s="47" t="s">
        <v>65</v>
      </c>
      <c r="D65" s="332">
        <v>49.57</v>
      </c>
    </row>
    <row r="66" spans="1:4" ht="30">
      <c r="A66" s="28">
        <v>90732</v>
      </c>
      <c r="B66" s="26" t="s">
        <v>6534</v>
      </c>
      <c r="C66" s="28" t="s">
        <v>65</v>
      </c>
      <c r="D66" s="329">
        <v>62.74</v>
      </c>
    </row>
    <row r="67" spans="1:4" ht="45">
      <c r="A67" s="47">
        <v>90733</v>
      </c>
      <c r="B67" s="48" t="s">
        <v>2281</v>
      </c>
      <c r="C67" s="47" t="s">
        <v>71</v>
      </c>
      <c r="D67" s="332">
        <v>2.0499999999999998</v>
      </c>
    </row>
    <row r="68" spans="1:4" ht="45">
      <c r="A68" s="28">
        <v>90734</v>
      </c>
      <c r="B68" s="26" t="s">
        <v>2283</v>
      </c>
      <c r="C68" s="28" t="s">
        <v>71</v>
      </c>
      <c r="D68" s="329">
        <v>2.5</v>
      </c>
    </row>
    <row r="69" spans="1:4" ht="45">
      <c r="A69" s="47">
        <v>90735</v>
      </c>
      <c r="B69" s="48" t="s">
        <v>2285</v>
      </c>
      <c r="C69" s="47" t="s">
        <v>71</v>
      </c>
      <c r="D69" s="332">
        <v>2.97</v>
      </c>
    </row>
    <row r="70" spans="1:4" ht="45">
      <c r="A70" s="28">
        <v>90736</v>
      </c>
      <c r="B70" s="26" t="s">
        <v>2287</v>
      </c>
      <c r="C70" s="28" t="s">
        <v>71</v>
      </c>
      <c r="D70" s="329">
        <v>3.42</v>
      </c>
    </row>
    <row r="71" spans="1:4" ht="45">
      <c r="A71" s="47">
        <v>90737</v>
      </c>
      <c r="B71" s="48" t="s">
        <v>2289</v>
      </c>
      <c r="C71" s="47" t="s">
        <v>71</v>
      </c>
      <c r="D71" s="332">
        <v>3.88</v>
      </c>
    </row>
    <row r="72" spans="1:4" ht="45">
      <c r="A72" s="28">
        <v>90738</v>
      </c>
      <c r="B72" s="26" t="s">
        <v>2291</v>
      </c>
      <c r="C72" s="28" t="s">
        <v>71</v>
      </c>
      <c r="D72" s="329">
        <v>4.34</v>
      </c>
    </row>
    <row r="73" spans="1:4" ht="45">
      <c r="A73" s="47">
        <v>90739</v>
      </c>
      <c r="B73" s="48" t="s">
        <v>2293</v>
      </c>
      <c r="C73" s="47" t="s">
        <v>71</v>
      </c>
      <c r="D73" s="332">
        <v>11.28</v>
      </c>
    </row>
    <row r="74" spans="1:4" ht="45">
      <c r="A74" s="28">
        <v>90740</v>
      </c>
      <c r="B74" s="26" t="s">
        <v>2269</v>
      </c>
      <c r="C74" s="28" t="s">
        <v>71</v>
      </c>
      <c r="D74" s="329">
        <v>4.57</v>
      </c>
    </row>
    <row r="75" spans="1:4" ht="45">
      <c r="A75" s="47">
        <v>90741</v>
      </c>
      <c r="B75" s="48" t="s">
        <v>2271</v>
      </c>
      <c r="C75" s="47" t="s">
        <v>71</v>
      </c>
      <c r="D75" s="332">
        <v>5.03</v>
      </c>
    </row>
    <row r="76" spans="1:4" ht="45">
      <c r="A76" s="28">
        <v>90742</v>
      </c>
      <c r="B76" s="26" t="s">
        <v>2273</v>
      </c>
      <c r="C76" s="28" t="s">
        <v>71</v>
      </c>
      <c r="D76" s="329">
        <v>5.49</v>
      </c>
    </row>
    <row r="77" spans="1:4" ht="45">
      <c r="A77" s="47">
        <v>90743</v>
      </c>
      <c r="B77" s="48" t="s">
        <v>2275</v>
      </c>
      <c r="C77" s="47" t="s">
        <v>71</v>
      </c>
      <c r="D77" s="332">
        <v>5.94</v>
      </c>
    </row>
    <row r="78" spans="1:4" ht="45">
      <c r="A78" s="28">
        <v>90744</v>
      </c>
      <c r="B78" s="26" t="s">
        <v>2277</v>
      </c>
      <c r="C78" s="28" t="s">
        <v>71</v>
      </c>
      <c r="D78" s="329">
        <v>6.4</v>
      </c>
    </row>
    <row r="79" spans="1:4" ht="45">
      <c r="A79" s="47">
        <v>90745</v>
      </c>
      <c r="B79" s="48" t="s">
        <v>2279</v>
      </c>
      <c r="C79" s="47" t="s">
        <v>71</v>
      </c>
      <c r="D79" s="332">
        <v>16.12</v>
      </c>
    </row>
    <row r="80" spans="1:4" ht="45">
      <c r="A80" s="28">
        <v>90746</v>
      </c>
      <c r="B80" s="26" t="s">
        <v>2261</v>
      </c>
      <c r="C80" s="28" t="s">
        <v>71</v>
      </c>
      <c r="D80" s="329">
        <v>2.78</v>
      </c>
    </row>
    <row r="81" spans="1:4" ht="45">
      <c r="A81" s="47">
        <v>90747</v>
      </c>
      <c r="B81" s="48" t="s">
        <v>2263</v>
      </c>
      <c r="C81" s="47" t="s">
        <v>71</v>
      </c>
      <c r="D81" s="332">
        <v>12.66</v>
      </c>
    </row>
    <row r="82" spans="1:4" ht="45">
      <c r="A82" s="28">
        <v>90748</v>
      </c>
      <c r="B82" s="26" t="s">
        <v>2280</v>
      </c>
      <c r="C82" s="28" t="s">
        <v>71</v>
      </c>
      <c r="D82" s="329">
        <v>3.68</v>
      </c>
    </row>
    <row r="83" spans="1:4" ht="45">
      <c r="A83" s="47">
        <v>90749</v>
      </c>
      <c r="B83" s="48" t="s">
        <v>2282</v>
      </c>
      <c r="C83" s="47" t="s">
        <v>71</v>
      </c>
      <c r="D83" s="332">
        <v>4.13</v>
      </c>
    </row>
    <row r="84" spans="1:4" ht="45">
      <c r="A84" s="28">
        <v>90750</v>
      </c>
      <c r="B84" s="26" t="s">
        <v>2284</v>
      </c>
      <c r="C84" s="28" t="s">
        <v>71</v>
      </c>
      <c r="D84" s="329">
        <v>4.59</v>
      </c>
    </row>
    <row r="85" spans="1:4" ht="45">
      <c r="A85" s="47">
        <v>90751</v>
      </c>
      <c r="B85" s="48" t="s">
        <v>2286</v>
      </c>
      <c r="C85" s="47" t="s">
        <v>71</v>
      </c>
      <c r="D85" s="332">
        <v>5.05</v>
      </c>
    </row>
    <row r="86" spans="1:4" ht="45">
      <c r="A86" s="28">
        <v>90752</v>
      </c>
      <c r="B86" s="26" t="s">
        <v>2288</v>
      </c>
      <c r="C86" s="28" t="s">
        <v>71</v>
      </c>
      <c r="D86" s="329">
        <v>5.5</v>
      </c>
    </row>
    <row r="87" spans="1:4" ht="45">
      <c r="A87" s="47">
        <v>90753</v>
      </c>
      <c r="B87" s="48" t="s">
        <v>2290</v>
      </c>
      <c r="C87" s="47" t="s">
        <v>71</v>
      </c>
      <c r="D87" s="332">
        <v>5.96</v>
      </c>
    </row>
    <row r="88" spans="1:4" ht="45">
      <c r="A88" s="28">
        <v>90754</v>
      </c>
      <c r="B88" s="26" t="s">
        <v>2292</v>
      </c>
      <c r="C88" s="28" t="s">
        <v>71</v>
      </c>
      <c r="D88" s="329">
        <v>15.1</v>
      </c>
    </row>
    <row r="89" spans="1:4" ht="45">
      <c r="A89" s="47">
        <v>90755</v>
      </c>
      <c r="B89" s="48" t="s">
        <v>2268</v>
      </c>
      <c r="C89" s="47" t="s">
        <v>71</v>
      </c>
      <c r="D89" s="332">
        <v>6.2</v>
      </c>
    </row>
    <row r="90" spans="1:4" ht="45">
      <c r="A90" s="28">
        <v>90756</v>
      </c>
      <c r="B90" s="26" t="s">
        <v>2270</v>
      </c>
      <c r="C90" s="28" t="s">
        <v>71</v>
      </c>
      <c r="D90" s="329">
        <v>6.65</v>
      </c>
    </row>
    <row r="91" spans="1:4" ht="45">
      <c r="A91" s="47">
        <v>90757</v>
      </c>
      <c r="B91" s="48" t="s">
        <v>2272</v>
      </c>
      <c r="C91" s="47" t="s">
        <v>71</v>
      </c>
      <c r="D91" s="332">
        <v>7.11</v>
      </c>
    </row>
    <row r="92" spans="1:4" ht="45">
      <c r="A92" s="28">
        <v>90758</v>
      </c>
      <c r="B92" s="26" t="s">
        <v>2274</v>
      </c>
      <c r="C92" s="28" t="s">
        <v>71</v>
      </c>
      <c r="D92" s="329">
        <v>7.57</v>
      </c>
    </row>
    <row r="93" spans="1:4" ht="45">
      <c r="A93" s="47">
        <v>90759</v>
      </c>
      <c r="B93" s="48" t="s">
        <v>2276</v>
      </c>
      <c r="C93" s="47" t="s">
        <v>71</v>
      </c>
      <c r="D93" s="332">
        <v>8.02</v>
      </c>
    </row>
    <row r="94" spans="1:4" ht="45">
      <c r="A94" s="28">
        <v>90760</v>
      </c>
      <c r="B94" s="26" t="s">
        <v>2278</v>
      </c>
      <c r="C94" s="28" t="s">
        <v>71</v>
      </c>
      <c r="D94" s="329">
        <v>19.95</v>
      </c>
    </row>
    <row r="95" spans="1:4" ht="45">
      <c r="A95" s="47">
        <v>90761</v>
      </c>
      <c r="B95" s="48" t="s">
        <v>2260</v>
      </c>
      <c r="C95" s="47" t="s">
        <v>71</v>
      </c>
      <c r="D95" s="332">
        <v>3.41</v>
      </c>
    </row>
    <row r="96" spans="1:4" ht="45">
      <c r="A96" s="28">
        <v>90762</v>
      </c>
      <c r="B96" s="26" t="s">
        <v>2262</v>
      </c>
      <c r="C96" s="28" t="s">
        <v>71</v>
      </c>
      <c r="D96" s="329">
        <v>15.07</v>
      </c>
    </row>
    <row r="97" spans="1:4" ht="45">
      <c r="A97" s="47">
        <v>94869</v>
      </c>
      <c r="B97" s="48" t="s">
        <v>10354</v>
      </c>
      <c r="C97" s="47" t="s">
        <v>71</v>
      </c>
      <c r="D97" s="332">
        <v>82.33</v>
      </c>
    </row>
    <row r="98" spans="1:4" ht="45">
      <c r="A98" s="28">
        <v>94870</v>
      </c>
      <c r="B98" s="26" t="s">
        <v>2257</v>
      </c>
      <c r="C98" s="28" t="s">
        <v>71</v>
      </c>
      <c r="D98" s="329">
        <v>0.68</v>
      </c>
    </row>
    <row r="99" spans="1:4" ht="45">
      <c r="A99" s="47">
        <v>94871</v>
      </c>
      <c r="B99" s="48" t="s">
        <v>10356</v>
      </c>
      <c r="C99" s="47" t="s">
        <v>71</v>
      </c>
      <c r="D99" s="332">
        <v>121.73</v>
      </c>
    </row>
    <row r="100" spans="1:4" ht="45">
      <c r="A100" s="28">
        <v>94872</v>
      </c>
      <c r="B100" s="26" t="s">
        <v>2259</v>
      </c>
      <c r="C100" s="28" t="s">
        <v>71</v>
      </c>
      <c r="D100" s="329">
        <v>1.19</v>
      </c>
    </row>
    <row r="101" spans="1:4" ht="45">
      <c r="A101" s="47">
        <v>94875</v>
      </c>
      <c r="B101" s="48" t="s">
        <v>10360</v>
      </c>
      <c r="C101" s="47" t="s">
        <v>71</v>
      </c>
      <c r="D101" s="332">
        <v>712.26</v>
      </c>
    </row>
    <row r="102" spans="1:4" ht="45">
      <c r="A102" s="28">
        <v>94876</v>
      </c>
      <c r="B102" s="26" t="s">
        <v>2265</v>
      </c>
      <c r="C102" s="28" t="s">
        <v>71</v>
      </c>
      <c r="D102" s="329">
        <v>19.16</v>
      </c>
    </row>
    <row r="103" spans="1:4" ht="45">
      <c r="A103" s="47">
        <v>94877</v>
      </c>
      <c r="B103" s="48" t="s">
        <v>10362</v>
      </c>
      <c r="C103" s="47" t="s">
        <v>71</v>
      </c>
      <c r="D103" s="332">
        <v>777.68</v>
      </c>
    </row>
    <row r="104" spans="1:4" ht="45">
      <c r="A104" s="28">
        <v>94878</v>
      </c>
      <c r="B104" s="26" t="s">
        <v>2267</v>
      </c>
      <c r="C104" s="28" t="s">
        <v>71</v>
      </c>
      <c r="D104" s="329">
        <v>22.49</v>
      </c>
    </row>
    <row r="105" spans="1:4" ht="45">
      <c r="A105" s="47">
        <v>94879</v>
      </c>
      <c r="B105" s="48" t="s">
        <v>10348</v>
      </c>
      <c r="C105" s="47" t="s">
        <v>71</v>
      </c>
      <c r="D105" s="332">
        <v>1078.81</v>
      </c>
    </row>
    <row r="106" spans="1:4" ht="45">
      <c r="A106" s="28">
        <v>94880</v>
      </c>
      <c r="B106" s="26" t="s">
        <v>2251</v>
      </c>
      <c r="C106" s="28" t="s">
        <v>71</v>
      </c>
      <c r="D106" s="329">
        <v>27.53</v>
      </c>
    </row>
    <row r="107" spans="1:4" ht="45">
      <c r="A107" s="47">
        <v>94881</v>
      </c>
      <c r="B107" s="48" t="s">
        <v>10350</v>
      </c>
      <c r="C107" s="47" t="s">
        <v>71</v>
      </c>
      <c r="D107" s="332">
        <v>1536.37</v>
      </c>
    </row>
    <row r="108" spans="1:4" ht="45">
      <c r="A108" s="28">
        <v>94882</v>
      </c>
      <c r="B108" s="26" t="s">
        <v>2253</v>
      </c>
      <c r="C108" s="28" t="s">
        <v>71</v>
      </c>
      <c r="D108" s="329">
        <v>32.65</v>
      </c>
    </row>
    <row r="109" spans="1:4" ht="45">
      <c r="A109" s="47">
        <v>94883</v>
      </c>
      <c r="B109" s="48" t="s">
        <v>10352</v>
      </c>
      <c r="C109" s="47" t="s">
        <v>71</v>
      </c>
      <c r="D109" s="332">
        <v>1868.32</v>
      </c>
    </row>
    <row r="110" spans="1:4" ht="45">
      <c r="A110" s="28">
        <v>94884</v>
      </c>
      <c r="B110" s="26" t="s">
        <v>2255</v>
      </c>
      <c r="C110" s="28" t="s">
        <v>71</v>
      </c>
      <c r="D110" s="329">
        <v>43.04</v>
      </c>
    </row>
    <row r="111" spans="1:4" ht="45">
      <c r="A111" s="47">
        <v>94885</v>
      </c>
      <c r="B111" s="48" t="s">
        <v>10353</v>
      </c>
      <c r="C111" s="47" t="s">
        <v>71</v>
      </c>
      <c r="D111" s="332">
        <v>82.52</v>
      </c>
    </row>
    <row r="112" spans="1:4" ht="45">
      <c r="A112" s="28">
        <v>94886</v>
      </c>
      <c r="B112" s="26" t="s">
        <v>2256</v>
      </c>
      <c r="C112" s="28" t="s">
        <v>71</v>
      </c>
      <c r="D112" s="329">
        <v>0.88</v>
      </c>
    </row>
    <row r="113" spans="1:4" ht="45">
      <c r="A113" s="47">
        <v>94887</v>
      </c>
      <c r="B113" s="48" t="s">
        <v>10355</v>
      </c>
      <c r="C113" s="47" t="s">
        <v>71</v>
      </c>
      <c r="D113" s="332">
        <v>122.05</v>
      </c>
    </row>
    <row r="114" spans="1:4" ht="45">
      <c r="A114" s="28">
        <v>94888</v>
      </c>
      <c r="B114" s="26" t="s">
        <v>2258</v>
      </c>
      <c r="C114" s="28" t="s">
        <v>71</v>
      </c>
      <c r="D114" s="329">
        <v>1.51</v>
      </c>
    </row>
    <row r="115" spans="1:4" ht="45">
      <c r="A115" s="47">
        <v>94891</v>
      </c>
      <c r="B115" s="48" t="s">
        <v>10359</v>
      </c>
      <c r="C115" s="47" t="s">
        <v>71</v>
      </c>
      <c r="D115" s="332">
        <v>715.35</v>
      </c>
    </row>
    <row r="116" spans="1:4" ht="45">
      <c r="A116" s="28">
        <v>94892</v>
      </c>
      <c r="B116" s="26" t="s">
        <v>2264</v>
      </c>
      <c r="C116" s="28" t="s">
        <v>71</v>
      </c>
      <c r="D116" s="329">
        <v>22.24</v>
      </c>
    </row>
    <row r="117" spans="1:4" ht="45">
      <c r="A117" s="47">
        <v>94893</v>
      </c>
      <c r="B117" s="48" t="s">
        <v>10361</v>
      </c>
      <c r="C117" s="47" t="s">
        <v>71</v>
      </c>
      <c r="D117" s="332">
        <v>781.03</v>
      </c>
    </row>
    <row r="118" spans="1:4" ht="45">
      <c r="A118" s="28">
        <v>94894</v>
      </c>
      <c r="B118" s="26" t="s">
        <v>2266</v>
      </c>
      <c r="C118" s="28" t="s">
        <v>71</v>
      </c>
      <c r="D118" s="329">
        <v>25.84</v>
      </c>
    </row>
    <row r="119" spans="1:4" ht="45">
      <c r="A119" s="47">
        <v>94895</v>
      </c>
      <c r="B119" s="48" t="s">
        <v>10347</v>
      </c>
      <c r="C119" s="47" t="s">
        <v>71</v>
      </c>
      <c r="D119" s="332">
        <v>1082.49</v>
      </c>
    </row>
    <row r="120" spans="1:4" ht="45">
      <c r="A120" s="28">
        <v>94896</v>
      </c>
      <c r="B120" s="26" t="s">
        <v>2250</v>
      </c>
      <c r="C120" s="28" t="s">
        <v>71</v>
      </c>
      <c r="D120" s="329">
        <v>31.21</v>
      </c>
    </row>
    <row r="121" spans="1:4" ht="45">
      <c r="A121" s="47">
        <v>94897</v>
      </c>
      <c r="B121" s="48" t="s">
        <v>10349</v>
      </c>
      <c r="C121" s="47" t="s">
        <v>71</v>
      </c>
      <c r="D121" s="332">
        <v>1540.32</v>
      </c>
    </row>
    <row r="122" spans="1:4" ht="45">
      <c r="A122" s="28">
        <v>94898</v>
      </c>
      <c r="B122" s="26" t="s">
        <v>2252</v>
      </c>
      <c r="C122" s="28" t="s">
        <v>71</v>
      </c>
      <c r="D122" s="329">
        <v>36.590000000000003</v>
      </c>
    </row>
    <row r="123" spans="1:4" ht="45">
      <c r="A123" s="47">
        <v>94899</v>
      </c>
      <c r="B123" s="48" t="s">
        <v>10351</v>
      </c>
      <c r="C123" s="47" t="s">
        <v>71</v>
      </c>
      <c r="D123" s="332">
        <v>1872.64</v>
      </c>
    </row>
    <row r="124" spans="1:4" ht="45">
      <c r="A124" s="28">
        <v>94900</v>
      </c>
      <c r="B124" s="26" t="s">
        <v>2254</v>
      </c>
      <c r="C124" s="28" t="s">
        <v>71</v>
      </c>
      <c r="D124" s="329">
        <v>47.37</v>
      </c>
    </row>
    <row r="125" spans="1:4" ht="45">
      <c r="A125" s="47">
        <v>92833</v>
      </c>
      <c r="B125" s="48" t="s">
        <v>10857</v>
      </c>
      <c r="C125" s="47" t="s">
        <v>71</v>
      </c>
      <c r="D125" s="332">
        <v>101.49</v>
      </c>
    </row>
    <row r="126" spans="1:4" ht="45">
      <c r="A126" s="28">
        <v>92834</v>
      </c>
      <c r="B126" s="26" t="s">
        <v>2237</v>
      </c>
      <c r="C126" s="28" t="s">
        <v>71</v>
      </c>
      <c r="D126" s="329">
        <v>6.68</v>
      </c>
    </row>
    <row r="127" spans="1:4" ht="45">
      <c r="A127" s="47">
        <v>92835</v>
      </c>
      <c r="B127" s="48" t="s">
        <v>10325</v>
      </c>
      <c r="C127" s="47" t="s">
        <v>71</v>
      </c>
      <c r="D127" s="332">
        <v>124.81</v>
      </c>
    </row>
    <row r="128" spans="1:4" ht="45">
      <c r="A128" s="28">
        <v>92836</v>
      </c>
      <c r="B128" s="26" t="s">
        <v>2239</v>
      </c>
      <c r="C128" s="28" t="s">
        <v>71</v>
      </c>
      <c r="D128" s="329">
        <v>8.5299999999999994</v>
      </c>
    </row>
    <row r="129" spans="1:4" ht="45">
      <c r="A129" s="47">
        <v>92837</v>
      </c>
      <c r="B129" s="48" t="s">
        <v>10858</v>
      </c>
      <c r="C129" s="47" t="s">
        <v>71</v>
      </c>
      <c r="D129" s="332">
        <v>168.11</v>
      </c>
    </row>
    <row r="130" spans="1:4" ht="45">
      <c r="A130" s="28">
        <v>92838</v>
      </c>
      <c r="B130" s="26" t="s">
        <v>2241</v>
      </c>
      <c r="C130" s="28" t="s">
        <v>71</v>
      </c>
      <c r="D130" s="329">
        <v>10.23</v>
      </c>
    </row>
    <row r="131" spans="1:4" ht="45">
      <c r="A131" s="47">
        <v>92839</v>
      </c>
      <c r="B131" s="48" t="s">
        <v>10859</v>
      </c>
      <c r="C131" s="47" t="s">
        <v>71</v>
      </c>
      <c r="D131" s="332">
        <v>220.29</v>
      </c>
    </row>
    <row r="132" spans="1:4" ht="45">
      <c r="A132" s="28">
        <v>92840</v>
      </c>
      <c r="B132" s="26" t="s">
        <v>2243</v>
      </c>
      <c r="C132" s="28" t="s">
        <v>71</v>
      </c>
      <c r="D132" s="329">
        <v>12.13</v>
      </c>
    </row>
    <row r="133" spans="1:4" ht="45">
      <c r="A133" s="47">
        <v>92841</v>
      </c>
      <c r="B133" s="48" t="s">
        <v>10860</v>
      </c>
      <c r="C133" s="47" t="s">
        <v>71</v>
      </c>
      <c r="D133" s="332">
        <v>249.51</v>
      </c>
    </row>
    <row r="134" spans="1:4" ht="45">
      <c r="A134" s="28">
        <v>92842</v>
      </c>
      <c r="B134" s="26" t="s">
        <v>2245</v>
      </c>
      <c r="C134" s="28" t="s">
        <v>71</v>
      </c>
      <c r="D134" s="329">
        <v>13.84</v>
      </c>
    </row>
    <row r="135" spans="1:4" ht="45">
      <c r="A135" s="47">
        <v>92844</v>
      </c>
      <c r="B135" s="48" t="s">
        <v>2247</v>
      </c>
      <c r="C135" s="47" t="s">
        <v>71</v>
      </c>
      <c r="D135" s="332">
        <v>15.74</v>
      </c>
    </row>
    <row r="136" spans="1:4" ht="45">
      <c r="A136" s="28">
        <v>92846</v>
      </c>
      <c r="B136" s="26" t="s">
        <v>2249</v>
      </c>
      <c r="C136" s="28" t="s">
        <v>71</v>
      </c>
      <c r="D136" s="329">
        <v>17.43</v>
      </c>
    </row>
    <row r="137" spans="1:4">
      <c r="A137" s="47">
        <v>92847</v>
      </c>
      <c r="B137" s="48" t="s">
        <v>10861</v>
      </c>
      <c r="C137" s="47" t="s">
        <v>71</v>
      </c>
      <c r="D137" s="332">
        <v>434.12</v>
      </c>
    </row>
    <row r="138" spans="1:4" ht="45">
      <c r="A138" s="28">
        <v>92848</v>
      </c>
      <c r="B138" s="26" t="s">
        <v>2235</v>
      </c>
      <c r="C138" s="28" t="s">
        <v>71</v>
      </c>
      <c r="D138" s="329">
        <v>19.350000000000001</v>
      </c>
    </row>
    <row r="139" spans="1:4" ht="45">
      <c r="A139" s="47">
        <v>92849</v>
      </c>
      <c r="B139" s="48" t="s">
        <v>10862</v>
      </c>
      <c r="C139" s="47" t="s">
        <v>71</v>
      </c>
      <c r="D139" s="332">
        <v>107.45</v>
      </c>
    </row>
    <row r="140" spans="1:4" ht="45">
      <c r="A140" s="28">
        <v>92850</v>
      </c>
      <c r="B140" s="26" t="s">
        <v>2236</v>
      </c>
      <c r="C140" s="28" t="s">
        <v>71</v>
      </c>
      <c r="D140" s="329">
        <v>12.63</v>
      </c>
    </row>
    <row r="141" spans="1:4" ht="45">
      <c r="A141" s="47">
        <v>92851</v>
      </c>
      <c r="B141" s="48" t="s">
        <v>10324</v>
      </c>
      <c r="C141" s="47" t="s">
        <v>71</v>
      </c>
      <c r="D141" s="332">
        <v>140.91</v>
      </c>
    </row>
    <row r="142" spans="1:4" ht="45">
      <c r="A142" s="28">
        <v>92852</v>
      </c>
      <c r="B142" s="26" t="s">
        <v>2238</v>
      </c>
      <c r="C142" s="28" t="s">
        <v>71</v>
      </c>
      <c r="D142" s="329">
        <v>15.94</v>
      </c>
    </row>
    <row r="143" spans="1:4" ht="45">
      <c r="A143" s="47">
        <v>92853</v>
      </c>
      <c r="B143" s="48" t="s">
        <v>10863</v>
      </c>
      <c r="C143" s="47" t="s">
        <v>71</v>
      </c>
      <c r="D143" s="332">
        <v>177.28</v>
      </c>
    </row>
    <row r="144" spans="1:4" ht="45">
      <c r="A144" s="28">
        <v>92854</v>
      </c>
      <c r="B144" s="26" t="s">
        <v>2240</v>
      </c>
      <c r="C144" s="28" t="s">
        <v>71</v>
      </c>
      <c r="D144" s="329">
        <v>19.41</v>
      </c>
    </row>
    <row r="145" spans="1:4" ht="45">
      <c r="A145" s="47">
        <v>92855</v>
      </c>
      <c r="B145" s="48" t="s">
        <v>10864</v>
      </c>
      <c r="C145" s="47" t="s">
        <v>71</v>
      </c>
      <c r="D145" s="332">
        <v>231.04</v>
      </c>
    </row>
    <row r="146" spans="1:4" ht="45">
      <c r="A146" s="28">
        <v>92856</v>
      </c>
      <c r="B146" s="26" t="s">
        <v>2242</v>
      </c>
      <c r="C146" s="28" t="s">
        <v>71</v>
      </c>
      <c r="D146" s="329">
        <v>22.88</v>
      </c>
    </row>
    <row r="147" spans="1:4" ht="45">
      <c r="A147" s="47">
        <v>92857</v>
      </c>
      <c r="B147" s="48" t="s">
        <v>10865</v>
      </c>
      <c r="C147" s="47" t="s">
        <v>71</v>
      </c>
      <c r="D147" s="332">
        <v>261.85000000000002</v>
      </c>
    </row>
    <row r="148" spans="1:4" ht="45">
      <c r="A148" s="28">
        <v>92858</v>
      </c>
      <c r="B148" s="26" t="s">
        <v>2244</v>
      </c>
      <c r="C148" s="28" t="s">
        <v>71</v>
      </c>
      <c r="D148" s="329">
        <v>26.18</v>
      </c>
    </row>
    <row r="149" spans="1:4" ht="45">
      <c r="A149" s="47">
        <v>92860</v>
      </c>
      <c r="B149" s="48" t="s">
        <v>2246</v>
      </c>
      <c r="C149" s="47" t="s">
        <v>71</v>
      </c>
      <c r="D149" s="332">
        <v>29.73</v>
      </c>
    </row>
    <row r="150" spans="1:4" ht="45">
      <c r="A150" s="28">
        <v>92862</v>
      </c>
      <c r="B150" s="26" t="s">
        <v>2248</v>
      </c>
      <c r="C150" s="28" t="s">
        <v>71</v>
      </c>
      <c r="D150" s="329">
        <v>33.17</v>
      </c>
    </row>
    <row r="151" spans="1:4">
      <c r="A151" s="47">
        <v>92863</v>
      </c>
      <c r="B151" s="48" t="s">
        <v>10861</v>
      </c>
      <c r="C151" s="47" t="s">
        <v>71</v>
      </c>
      <c r="D151" s="332">
        <v>451.41</v>
      </c>
    </row>
    <row r="152" spans="1:4" ht="45">
      <c r="A152" s="28">
        <v>92864</v>
      </c>
      <c r="B152" s="26" t="s">
        <v>2234</v>
      </c>
      <c r="C152" s="28" t="s">
        <v>71</v>
      </c>
      <c r="D152" s="329">
        <v>36.64</v>
      </c>
    </row>
    <row r="153" spans="1:4" ht="45">
      <c r="A153" s="47">
        <v>92210</v>
      </c>
      <c r="B153" s="48" t="s">
        <v>10313</v>
      </c>
      <c r="C153" s="47" t="s">
        <v>71</v>
      </c>
      <c r="D153" s="332">
        <v>91.4</v>
      </c>
    </row>
    <row r="154" spans="1:4" ht="45">
      <c r="A154" s="28">
        <v>92211</v>
      </c>
      <c r="B154" s="26" t="s">
        <v>10315</v>
      </c>
      <c r="C154" s="28" t="s">
        <v>71</v>
      </c>
      <c r="D154" s="329">
        <v>116.66</v>
      </c>
    </row>
    <row r="155" spans="1:4" ht="45">
      <c r="A155" s="47">
        <v>92212</v>
      </c>
      <c r="B155" s="48" t="s">
        <v>10317</v>
      </c>
      <c r="C155" s="47" t="s">
        <v>71</v>
      </c>
      <c r="D155" s="332">
        <v>148.03</v>
      </c>
    </row>
    <row r="156" spans="1:4" ht="45">
      <c r="A156" s="28">
        <v>92213</v>
      </c>
      <c r="B156" s="26" t="s">
        <v>10319</v>
      </c>
      <c r="C156" s="28" t="s">
        <v>71</v>
      </c>
      <c r="D156" s="329">
        <v>202.31</v>
      </c>
    </row>
    <row r="157" spans="1:4" ht="45">
      <c r="A157" s="47">
        <v>92214</v>
      </c>
      <c r="B157" s="48" t="s">
        <v>10321</v>
      </c>
      <c r="C157" s="47" t="s">
        <v>71</v>
      </c>
      <c r="D157" s="332">
        <v>221.36</v>
      </c>
    </row>
    <row r="158" spans="1:4" ht="45">
      <c r="A158" s="28">
        <v>92215</v>
      </c>
      <c r="B158" s="26" t="s">
        <v>10323</v>
      </c>
      <c r="C158" s="28" t="s">
        <v>71</v>
      </c>
      <c r="D158" s="329">
        <v>266.2</v>
      </c>
    </row>
    <row r="159" spans="1:4" ht="45">
      <c r="A159" s="47">
        <v>92216</v>
      </c>
      <c r="B159" s="48" t="s">
        <v>10307</v>
      </c>
      <c r="C159" s="47" t="s">
        <v>71</v>
      </c>
      <c r="D159" s="332">
        <v>298.05</v>
      </c>
    </row>
    <row r="160" spans="1:4" ht="45">
      <c r="A160" s="28">
        <v>92219</v>
      </c>
      <c r="B160" s="26" t="s">
        <v>10312</v>
      </c>
      <c r="C160" s="28" t="s">
        <v>71</v>
      </c>
      <c r="D160" s="329">
        <v>98.8</v>
      </c>
    </row>
    <row r="161" spans="1:4" ht="45">
      <c r="A161" s="47">
        <v>92220</v>
      </c>
      <c r="B161" s="48" t="s">
        <v>10314</v>
      </c>
      <c r="C161" s="47" t="s">
        <v>71</v>
      </c>
      <c r="D161" s="332">
        <v>125.84</v>
      </c>
    </row>
    <row r="162" spans="1:4" ht="45">
      <c r="A162" s="28">
        <v>92221</v>
      </c>
      <c r="B162" s="26" t="s">
        <v>10316</v>
      </c>
      <c r="C162" s="28" t="s">
        <v>71</v>
      </c>
      <c r="D162" s="329">
        <v>158.79</v>
      </c>
    </row>
    <row r="163" spans="1:4" ht="45">
      <c r="A163" s="47">
        <v>92222</v>
      </c>
      <c r="B163" s="48" t="s">
        <v>10318</v>
      </c>
      <c r="C163" s="47" t="s">
        <v>71</v>
      </c>
      <c r="D163" s="332">
        <v>214.81</v>
      </c>
    </row>
    <row r="164" spans="1:4" ht="45">
      <c r="A164" s="28">
        <v>92223</v>
      </c>
      <c r="B164" s="26" t="s">
        <v>10320</v>
      </c>
      <c r="C164" s="28" t="s">
        <v>71</v>
      </c>
      <c r="D164" s="329">
        <v>235.35</v>
      </c>
    </row>
    <row r="165" spans="1:4" ht="45">
      <c r="A165" s="47">
        <v>92224</v>
      </c>
      <c r="B165" s="48" t="s">
        <v>10322</v>
      </c>
      <c r="C165" s="47" t="s">
        <v>71</v>
      </c>
      <c r="D165" s="332">
        <v>281.72000000000003</v>
      </c>
    </row>
    <row r="166" spans="1:4" ht="45">
      <c r="A166" s="28">
        <v>92226</v>
      </c>
      <c r="B166" s="26" t="s">
        <v>10306</v>
      </c>
      <c r="C166" s="28" t="s">
        <v>71</v>
      </c>
      <c r="D166" s="329">
        <v>315.43</v>
      </c>
    </row>
    <row r="167" spans="1:4" ht="45">
      <c r="A167" s="47">
        <v>92808</v>
      </c>
      <c r="B167" s="48" t="s">
        <v>2221</v>
      </c>
      <c r="C167" s="47" t="s">
        <v>71</v>
      </c>
      <c r="D167" s="332">
        <v>29.97</v>
      </c>
    </row>
    <row r="168" spans="1:4" ht="45">
      <c r="A168" s="28">
        <v>92809</v>
      </c>
      <c r="B168" s="26" t="s">
        <v>2223</v>
      </c>
      <c r="C168" s="28" t="s">
        <v>71</v>
      </c>
      <c r="D168" s="329">
        <v>38.369999999999997</v>
      </c>
    </row>
    <row r="169" spans="1:4" ht="45">
      <c r="A169" s="47">
        <v>92810</v>
      </c>
      <c r="B169" s="48" t="s">
        <v>2225</v>
      </c>
      <c r="C169" s="47" t="s">
        <v>71</v>
      </c>
      <c r="D169" s="332">
        <v>46.64</v>
      </c>
    </row>
    <row r="170" spans="1:4" ht="45">
      <c r="A170" s="28">
        <v>92811</v>
      </c>
      <c r="B170" s="26" t="s">
        <v>2227</v>
      </c>
      <c r="C170" s="28" t="s">
        <v>71</v>
      </c>
      <c r="D170" s="329">
        <v>55.41</v>
      </c>
    </row>
    <row r="171" spans="1:4" ht="45">
      <c r="A171" s="47">
        <v>92812</v>
      </c>
      <c r="B171" s="48" t="s">
        <v>2229</v>
      </c>
      <c r="C171" s="47" t="s">
        <v>71</v>
      </c>
      <c r="D171" s="332">
        <v>64.040000000000006</v>
      </c>
    </row>
    <row r="172" spans="1:4" ht="45">
      <c r="A172" s="28">
        <v>92813</v>
      </c>
      <c r="B172" s="26" t="s">
        <v>2231</v>
      </c>
      <c r="C172" s="28" t="s">
        <v>71</v>
      </c>
      <c r="D172" s="329">
        <v>73.92</v>
      </c>
    </row>
    <row r="173" spans="1:4" ht="45">
      <c r="A173" s="47">
        <v>92814</v>
      </c>
      <c r="B173" s="48" t="s">
        <v>2233</v>
      </c>
      <c r="C173" s="47" t="s">
        <v>71</v>
      </c>
      <c r="D173" s="332">
        <v>84.18</v>
      </c>
    </row>
    <row r="174" spans="1:4" ht="45">
      <c r="A174" s="28">
        <v>92815</v>
      </c>
      <c r="B174" s="26" t="s">
        <v>2215</v>
      </c>
      <c r="C174" s="28" t="s">
        <v>71</v>
      </c>
      <c r="D174" s="329">
        <v>95.67</v>
      </c>
    </row>
    <row r="175" spans="1:4" ht="45">
      <c r="A175" s="47">
        <v>92816</v>
      </c>
      <c r="B175" s="48" t="s">
        <v>10309</v>
      </c>
      <c r="C175" s="47" t="s">
        <v>71</v>
      </c>
      <c r="D175" s="332">
        <v>406.52</v>
      </c>
    </row>
    <row r="176" spans="1:4" ht="45">
      <c r="A176" s="28">
        <v>92817</v>
      </c>
      <c r="B176" s="26" t="s">
        <v>2217</v>
      </c>
      <c r="C176" s="28" t="s">
        <v>71</v>
      </c>
      <c r="D176" s="329">
        <v>119.71</v>
      </c>
    </row>
    <row r="177" spans="1:4" ht="45">
      <c r="A177" s="47">
        <v>92818</v>
      </c>
      <c r="B177" s="48" t="s">
        <v>10311</v>
      </c>
      <c r="C177" s="47" t="s">
        <v>71</v>
      </c>
      <c r="D177" s="332">
        <v>587.73</v>
      </c>
    </row>
    <row r="178" spans="1:4" ht="45">
      <c r="A178" s="28">
        <v>92819</v>
      </c>
      <c r="B178" s="26" t="s">
        <v>2219</v>
      </c>
      <c r="C178" s="28" t="s">
        <v>71</v>
      </c>
      <c r="D178" s="329">
        <v>161.13</v>
      </c>
    </row>
    <row r="179" spans="1:4" ht="45">
      <c r="A179" s="47">
        <v>92820</v>
      </c>
      <c r="B179" s="48" t="s">
        <v>2220</v>
      </c>
      <c r="C179" s="47" t="s">
        <v>71</v>
      </c>
      <c r="D179" s="332">
        <v>35.76</v>
      </c>
    </row>
    <row r="180" spans="1:4" ht="45">
      <c r="A180" s="28">
        <v>92821</v>
      </c>
      <c r="B180" s="26" t="s">
        <v>2222</v>
      </c>
      <c r="C180" s="28" t="s">
        <v>71</v>
      </c>
      <c r="D180" s="329">
        <v>45.78</v>
      </c>
    </row>
    <row r="181" spans="1:4" ht="45">
      <c r="A181" s="47">
        <v>92822</v>
      </c>
      <c r="B181" s="48" t="s">
        <v>2224</v>
      </c>
      <c r="C181" s="47" t="s">
        <v>71</v>
      </c>
      <c r="D181" s="332">
        <v>55.82</v>
      </c>
    </row>
    <row r="182" spans="1:4" ht="45">
      <c r="A182" s="28">
        <v>92824</v>
      </c>
      <c r="B182" s="26" t="s">
        <v>2226</v>
      </c>
      <c r="C182" s="28" t="s">
        <v>71</v>
      </c>
      <c r="D182" s="329">
        <v>66.16</v>
      </c>
    </row>
    <row r="183" spans="1:4" ht="45">
      <c r="A183" s="47">
        <v>92825</v>
      </c>
      <c r="B183" s="48" t="s">
        <v>2228</v>
      </c>
      <c r="C183" s="47" t="s">
        <v>71</v>
      </c>
      <c r="D183" s="332">
        <v>76.55</v>
      </c>
    </row>
    <row r="184" spans="1:4" ht="45">
      <c r="A184" s="28">
        <v>92826</v>
      </c>
      <c r="B184" s="26" t="s">
        <v>2230</v>
      </c>
      <c r="C184" s="28" t="s">
        <v>71</v>
      </c>
      <c r="D184" s="329">
        <v>87.91</v>
      </c>
    </row>
    <row r="185" spans="1:4" ht="45">
      <c r="A185" s="47">
        <v>92827</v>
      </c>
      <c r="B185" s="48" t="s">
        <v>2232</v>
      </c>
      <c r="C185" s="47" t="s">
        <v>71</v>
      </c>
      <c r="D185" s="332">
        <v>99.7</v>
      </c>
    </row>
    <row r="186" spans="1:4" ht="45">
      <c r="A186" s="28">
        <v>92828</v>
      </c>
      <c r="B186" s="26" t="s">
        <v>2214</v>
      </c>
      <c r="C186" s="28" t="s">
        <v>71</v>
      </c>
      <c r="D186" s="329">
        <v>113.05</v>
      </c>
    </row>
    <row r="187" spans="1:4" ht="45">
      <c r="A187" s="47">
        <v>92829</v>
      </c>
      <c r="B187" s="48" t="s">
        <v>10308</v>
      </c>
      <c r="C187" s="47" t="s">
        <v>71</v>
      </c>
      <c r="D187" s="332">
        <v>427.05</v>
      </c>
    </row>
    <row r="188" spans="1:4" ht="45">
      <c r="A188" s="28">
        <v>92830</v>
      </c>
      <c r="B188" s="26" t="s">
        <v>2216</v>
      </c>
      <c r="C188" s="28" t="s">
        <v>71</v>
      </c>
      <c r="D188" s="329">
        <v>140.24</v>
      </c>
    </row>
    <row r="189" spans="1:4" ht="45">
      <c r="A189" s="47">
        <v>92831</v>
      </c>
      <c r="B189" s="48" t="s">
        <v>10310</v>
      </c>
      <c r="C189" s="47" t="s">
        <v>71</v>
      </c>
      <c r="D189" s="332">
        <v>613.01</v>
      </c>
    </row>
    <row r="190" spans="1:4" ht="45">
      <c r="A190" s="28">
        <v>92832</v>
      </c>
      <c r="B190" s="26" t="s">
        <v>2218</v>
      </c>
      <c r="C190" s="28" t="s">
        <v>71</v>
      </c>
      <c r="D190" s="329">
        <v>186.42</v>
      </c>
    </row>
    <row r="191" spans="1:4" ht="45">
      <c r="A191" s="47">
        <v>95565</v>
      </c>
      <c r="B191" s="48" t="s">
        <v>10866</v>
      </c>
      <c r="C191" s="47" t="s">
        <v>71</v>
      </c>
      <c r="D191" s="332">
        <v>80.150000000000006</v>
      </c>
    </row>
    <row r="192" spans="1:4" ht="45">
      <c r="A192" s="28">
        <v>95566</v>
      </c>
      <c r="B192" s="26" t="s">
        <v>10867</v>
      </c>
      <c r="C192" s="28" t="s">
        <v>71</v>
      </c>
      <c r="D192" s="329">
        <v>85.94</v>
      </c>
    </row>
    <row r="193" spans="1:4" ht="45">
      <c r="A193" s="47">
        <v>95567</v>
      </c>
      <c r="B193" s="48" t="s">
        <v>10868</v>
      </c>
      <c r="C193" s="47" t="s">
        <v>71</v>
      </c>
      <c r="D193" s="332">
        <v>54.31</v>
      </c>
    </row>
    <row r="194" spans="1:4" ht="45">
      <c r="A194" s="28">
        <v>95568</v>
      </c>
      <c r="B194" s="26" t="s">
        <v>10869</v>
      </c>
      <c r="C194" s="28" t="s">
        <v>71</v>
      </c>
      <c r="D194" s="329">
        <v>70.55</v>
      </c>
    </row>
    <row r="195" spans="1:4" ht="45">
      <c r="A195" s="47">
        <v>95569</v>
      </c>
      <c r="B195" s="48" t="s">
        <v>10870</v>
      </c>
      <c r="C195" s="47" t="s">
        <v>71</v>
      </c>
      <c r="D195" s="332">
        <v>93.25</v>
      </c>
    </row>
    <row r="196" spans="1:4" ht="45">
      <c r="A196" s="28">
        <v>95570</v>
      </c>
      <c r="B196" s="26" t="s">
        <v>10871</v>
      </c>
      <c r="C196" s="28" t="s">
        <v>71</v>
      </c>
      <c r="D196" s="329">
        <v>60.1</v>
      </c>
    </row>
    <row r="197" spans="1:4" ht="45">
      <c r="A197" s="47">
        <v>95571</v>
      </c>
      <c r="B197" s="48" t="s">
        <v>10872</v>
      </c>
      <c r="C197" s="47" t="s">
        <v>71</v>
      </c>
      <c r="D197" s="332">
        <v>77.95</v>
      </c>
    </row>
    <row r="198" spans="1:4" ht="45">
      <c r="A198" s="28">
        <v>95572</v>
      </c>
      <c r="B198" s="26" t="s">
        <v>10873</v>
      </c>
      <c r="C198" s="28" t="s">
        <v>71</v>
      </c>
      <c r="D198" s="329">
        <v>102.43</v>
      </c>
    </row>
    <row r="199" spans="1:4">
      <c r="A199" s="47">
        <v>73606</v>
      </c>
      <c r="B199" s="48" t="s">
        <v>2213</v>
      </c>
      <c r="C199" s="47" t="s">
        <v>65</v>
      </c>
      <c r="D199" s="332">
        <v>98.71</v>
      </c>
    </row>
    <row r="200" spans="1:4">
      <c r="A200" s="28">
        <v>73607</v>
      </c>
      <c r="B200" s="26" t="s">
        <v>2212</v>
      </c>
      <c r="C200" s="28" t="s">
        <v>65</v>
      </c>
      <c r="D200" s="329">
        <v>65.81</v>
      </c>
    </row>
    <row r="201" spans="1:4" ht="30">
      <c r="A201" s="47">
        <v>83623</v>
      </c>
      <c r="B201" s="48" t="s">
        <v>5834</v>
      </c>
      <c r="C201" s="47" t="s">
        <v>71</v>
      </c>
      <c r="D201" s="332">
        <v>207.56</v>
      </c>
    </row>
    <row r="202" spans="1:4" ht="30">
      <c r="A202" s="28">
        <v>83624</v>
      </c>
      <c r="B202" s="26" t="s">
        <v>5833</v>
      </c>
      <c r="C202" s="28" t="s">
        <v>71</v>
      </c>
      <c r="D202" s="329">
        <v>146.09</v>
      </c>
    </row>
    <row r="203" spans="1:4" ht="30">
      <c r="A203" s="47">
        <v>83626</v>
      </c>
      <c r="B203" s="48" t="s">
        <v>5832</v>
      </c>
      <c r="C203" s="47" t="s">
        <v>71</v>
      </c>
      <c r="D203" s="332">
        <v>115.35</v>
      </c>
    </row>
    <row r="204" spans="1:4" ht="45">
      <c r="A204" s="28">
        <v>83627</v>
      </c>
      <c r="B204" s="26" t="s">
        <v>9141</v>
      </c>
      <c r="C204" s="28" t="s">
        <v>65</v>
      </c>
      <c r="D204" s="329">
        <v>394.14</v>
      </c>
    </row>
    <row r="205" spans="1:4" ht="30">
      <c r="A205" s="47">
        <v>83724</v>
      </c>
      <c r="B205" s="48" t="s">
        <v>2210</v>
      </c>
      <c r="C205" s="47" t="s">
        <v>90</v>
      </c>
      <c r="D205" s="332">
        <v>1.37</v>
      </c>
    </row>
    <row r="206" spans="1:4" ht="30">
      <c r="A206" s="28">
        <v>83725</v>
      </c>
      <c r="B206" s="26" t="s">
        <v>2209</v>
      </c>
      <c r="C206" s="28" t="s">
        <v>90</v>
      </c>
      <c r="D206" s="329">
        <v>0.87</v>
      </c>
    </row>
    <row r="207" spans="1:4" ht="30">
      <c r="A207" s="47">
        <v>83726</v>
      </c>
      <c r="B207" s="48" t="s">
        <v>2211</v>
      </c>
      <c r="C207" s="47" t="s">
        <v>90</v>
      </c>
      <c r="D207" s="332">
        <v>0.65</v>
      </c>
    </row>
    <row r="208" spans="1:4">
      <c r="A208" s="28">
        <v>83520</v>
      </c>
      <c r="B208" s="26" t="s">
        <v>9358</v>
      </c>
      <c r="C208" s="28" t="s">
        <v>65</v>
      </c>
      <c r="D208" s="329">
        <v>102.56</v>
      </c>
    </row>
    <row r="209" spans="1:4">
      <c r="A209" s="47">
        <v>83531</v>
      </c>
      <c r="B209" s="48" t="s">
        <v>4599</v>
      </c>
      <c r="C209" s="47" t="s">
        <v>65</v>
      </c>
      <c r="D209" s="332">
        <v>260.43</v>
      </c>
    </row>
    <row r="210" spans="1:4">
      <c r="A210" s="28">
        <v>83535</v>
      </c>
      <c r="B210" s="26" t="s">
        <v>4620</v>
      </c>
      <c r="C210" s="28" t="s">
        <v>65</v>
      </c>
      <c r="D210" s="329">
        <v>215.89</v>
      </c>
    </row>
    <row r="211" spans="1:4">
      <c r="A211" s="47" t="s">
        <v>284</v>
      </c>
      <c r="B211" s="48" t="s">
        <v>6098</v>
      </c>
      <c r="C211" s="47" t="s">
        <v>65</v>
      </c>
      <c r="D211" s="332">
        <v>50.16</v>
      </c>
    </row>
    <row r="212" spans="1:4">
      <c r="A212" s="28" t="s">
        <v>285</v>
      </c>
      <c r="B212" s="26" t="s">
        <v>6102</v>
      </c>
      <c r="C212" s="28" t="s">
        <v>65</v>
      </c>
      <c r="D212" s="329">
        <v>73.7</v>
      </c>
    </row>
    <row r="213" spans="1:4">
      <c r="A213" s="47" t="s">
        <v>286</v>
      </c>
      <c r="B213" s="48" t="s">
        <v>6089</v>
      </c>
      <c r="C213" s="47" t="s">
        <v>65</v>
      </c>
      <c r="D213" s="332">
        <v>92.13</v>
      </c>
    </row>
    <row r="214" spans="1:4">
      <c r="A214" s="28" t="s">
        <v>287</v>
      </c>
      <c r="B214" s="26" t="s">
        <v>6091</v>
      </c>
      <c r="C214" s="28" t="s">
        <v>65</v>
      </c>
      <c r="D214" s="329">
        <v>415.97</v>
      </c>
    </row>
    <row r="215" spans="1:4">
      <c r="A215" s="47" t="s">
        <v>288</v>
      </c>
      <c r="B215" s="48" t="s">
        <v>6092</v>
      </c>
      <c r="C215" s="47" t="s">
        <v>65</v>
      </c>
      <c r="D215" s="332">
        <v>485.3</v>
      </c>
    </row>
    <row r="216" spans="1:4">
      <c r="A216" s="28" t="s">
        <v>289</v>
      </c>
      <c r="B216" s="26" t="s">
        <v>6093</v>
      </c>
      <c r="C216" s="28" t="s">
        <v>65</v>
      </c>
      <c r="D216" s="329">
        <v>589.29999999999995</v>
      </c>
    </row>
    <row r="217" spans="1:4">
      <c r="A217" s="47" t="s">
        <v>290</v>
      </c>
      <c r="B217" s="48" t="s">
        <v>6094</v>
      </c>
      <c r="C217" s="47" t="s">
        <v>65</v>
      </c>
      <c r="D217" s="332">
        <v>658.63</v>
      </c>
    </row>
    <row r="218" spans="1:4">
      <c r="A218" s="28" t="s">
        <v>291</v>
      </c>
      <c r="B218" s="26" t="s">
        <v>6095</v>
      </c>
      <c r="C218" s="28" t="s">
        <v>65</v>
      </c>
      <c r="D218" s="329">
        <v>693.29</v>
      </c>
    </row>
    <row r="219" spans="1:4">
      <c r="A219" s="47" t="s">
        <v>292</v>
      </c>
      <c r="B219" s="48" t="s">
        <v>6096</v>
      </c>
      <c r="C219" s="47" t="s">
        <v>65</v>
      </c>
      <c r="D219" s="332">
        <v>762.62</v>
      </c>
    </row>
    <row r="220" spans="1:4">
      <c r="A220" s="28" t="s">
        <v>293</v>
      </c>
      <c r="B220" s="26" t="s">
        <v>6097</v>
      </c>
      <c r="C220" s="28" t="s">
        <v>65</v>
      </c>
      <c r="D220" s="329">
        <v>797.29</v>
      </c>
    </row>
    <row r="221" spans="1:4">
      <c r="A221" s="47" t="s">
        <v>294</v>
      </c>
      <c r="B221" s="48" t="s">
        <v>6099</v>
      </c>
      <c r="C221" s="47" t="s">
        <v>65</v>
      </c>
      <c r="D221" s="332">
        <v>866.62</v>
      </c>
    </row>
    <row r="222" spans="1:4">
      <c r="A222" s="28" t="s">
        <v>295</v>
      </c>
      <c r="B222" s="26" t="s">
        <v>6100</v>
      </c>
      <c r="C222" s="28" t="s">
        <v>65</v>
      </c>
      <c r="D222" s="329">
        <v>935.95</v>
      </c>
    </row>
    <row r="223" spans="1:4">
      <c r="A223" s="47" t="s">
        <v>296</v>
      </c>
      <c r="B223" s="48" t="s">
        <v>6101</v>
      </c>
      <c r="C223" s="47" t="s">
        <v>65</v>
      </c>
      <c r="D223" s="332">
        <v>1036.0899999999999</v>
      </c>
    </row>
    <row r="224" spans="1:4">
      <c r="A224" s="28" t="s">
        <v>297</v>
      </c>
      <c r="B224" s="26" t="s">
        <v>6103</v>
      </c>
      <c r="C224" s="28" t="s">
        <v>65</v>
      </c>
      <c r="D224" s="329">
        <v>1036.0899999999999</v>
      </c>
    </row>
    <row r="225" spans="1:4">
      <c r="A225" s="47" t="s">
        <v>298</v>
      </c>
      <c r="B225" s="48" t="s">
        <v>6104</v>
      </c>
      <c r="C225" s="47" t="s">
        <v>65</v>
      </c>
      <c r="D225" s="332">
        <v>1047.6300000000001</v>
      </c>
    </row>
    <row r="226" spans="1:4">
      <c r="A226" s="28" t="s">
        <v>299</v>
      </c>
      <c r="B226" s="26" t="s">
        <v>6090</v>
      </c>
      <c r="C226" s="28" t="s">
        <v>65</v>
      </c>
      <c r="D226" s="329">
        <v>1184.1099999999999</v>
      </c>
    </row>
    <row r="227" spans="1:4">
      <c r="A227" s="47" t="s">
        <v>300</v>
      </c>
      <c r="B227" s="48" t="s">
        <v>6085</v>
      </c>
      <c r="C227" s="47" t="s">
        <v>65</v>
      </c>
      <c r="D227" s="332">
        <v>22.98</v>
      </c>
    </row>
    <row r="228" spans="1:4">
      <c r="A228" s="28" t="s">
        <v>301</v>
      </c>
      <c r="B228" s="26" t="s">
        <v>6088</v>
      </c>
      <c r="C228" s="28" t="s">
        <v>65</v>
      </c>
      <c r="D228" s="329">
        <v>27.64</v>
      </c>
    </row>
    <row r="229" spans="1:4">
      <c r="A229" s="47" t="s">
        <v>302</v>
      </c>
      <c r="B229" s="48" t="s">
        <v>6077</v>
      </c>
      <c r="C229" s="47" t="s">
        <v>65</v>
      </c>
      <c r="D229" s="332">
        <v>31.32</v>
      </c>
    </row>
    <row r="230" spans="1:4">
      <c r="A230" s="28" t="s">
        <v>303</v>
      </c>
      <c r="B230" s="26" t="s">
        <v>6078</v>
      </c>
      <c r="C230" s="28" t="s">
        <v>65</v>
      </c>
      <c r="D230" s="329">
        <v>152.52000000000001</v>
      </c>
    </row>
    <row r="231" spans="1:4">
      <c r="A231" s="47" t="s">
        <v>304</v>
      </c>
      <c r="B231" s="48" t="s">
        <v>6079</v>
      </c>
      <c r="C231" s="47" t="s">
        <v>65</v>
      </c>
      <c r="D231" s="332">
        <v>197.58</v>
      </c>
    </row>
    <row r="232" spans="1:4">
      <c r="A232" s="28" t="s">
        <v>305</v>
      </c>
      <c r="B232" s="26" t="s">
        <v>6080</v>
      </c>
      <c r="C232" s="28" t="s">
        <v>65</v>
      </c>
      <c r="D232" s="329">
        <v>232.25</v>
      </c>
    </row>
    <row r="233" spans="1:4">
      <c r="A233" s="47" t="s">
        <v>306</v>
      </c>
      <c r="B233" s="48" t="s">
        <v>6081</v>
      </c>
      <c r="C233" s="47" t="s">
        <v>65</v>
      </c>
      <c r="D233" s="332">
        <v>253.05</v>
      </c>
    </row>
    <row r="234" spans="1:4">
      <c r="A234" s="28" t="s">
        <v>307</v>
      </c>
      <c r="B234" s="26" t="s">
        <v>6082</v>
      </c>
      <c r="C234" s="28" t="s">
        <v>65</v>
      </c>
      <c r="D234" s="329">
        <v>277.31</v>
      </c>
    </row>
    <row r="235" spans="1:4">
      <c r="A235" s="47" t="s">
        <v>308</v>
      </c>
      <c r="B235" s="48" t="s">
        <v>6083</v>
      </c>
      <c r="C235" s="47" t="s">
        <v>65</v>
      </c>
      <c r="D235" s="332">
        <v>305.05</v>
      </c>
    </row>
    <row r="236" spans="1:4">
      <c r="A236" s="28" t="s">
        <v>309</v>
      </c>
      <c r="B236" s="26" t="s">
        <v>6084</v>
      </c>
      <c r="C236" s="28" t="s">
        <v>65</v>
      </c>
      <c r="D236" s="329">
        <v>329.31</v>
      </c>
    </row>
    <row r="237" spans="1:4">
      <c r="A237" s="47" t="s">
        <v>310</v>
      </c>
      <c r="B237" s="48" t="s">
        <v>6086</v>
      </c>
      <c r="C237" s="47" t="s">
        <v>65</v>
      </c>
      <c r="D237" s="332">
        <v>346.64</v>
      </c>
    </row>
    <row r="238" spans="1:4">
      <c r="A238" s="28" t="s">
        <v>311</v>
      </c>
      <c r="B238" s="26" t="s">
        <v>6087</v>
      </c>
      <c r="C238" s="28" t="s">
        <v>65</v>
      </c>
      <c r="D238" s="329">
        <v>395.17</v>
      </c>
    </row>
    <row r="239" spans="1:4" ht="30">
      <c r="A239" s="47" t="s">
        <v>312</v>
      </c>
      <c r="B239" s="48" t="s">
        <v>2297</v>
      </c>
      <c r="C239" s="47" t="s">
        <v>71</v>
      </c>
      <c r="D239" s="332">
        <v>6.37</v>
      </c>
    </row>
    <row r="240" spans="1:4" ht="30">
      <c r="A240" s="28" t="s">
        <v>313</v>
      </c>
      <c r="B240" s="26" t="s">
        <v>2298</v>
      </c>
      <c r="C240" s="28" t="s">
        <v>71</v>
      </c>
      <c r="D240" s="329">
        <v>8.15</v>
      </c>
    </row>
    <row r="241" spans="1:4" ht="30">
      <c r="A241" s="47" t="s">
        <v>314</v>
      </c>
      <c r="B241" s="48" t="s">
        <v>2299</v>
      </c>
      <c r="C241" s="47" t="s">
        <v>71</v>
      </c>
      <c r="D241" s="332">
        <v>9.84</v>
      </c>
    </row>
    <row r="242" spans="1:4" ht="30">
      <c r="A242" s="28" t="s">
        <v>315</v>
      </c>
      <c r="B242" s="26" t="s">
        <v>2300</v>
      </c>
      <c r="C242" s="28" t="s">
        <v>71</v>
      </c>
      <c r="D242" s="329">
        <v>11.12</v>
      </c>
    </row>
    <row r="243" spans="1:4" ht="30">
      <c r="A243" s="47" t="s">
        <v>316</v>
      </c>
      <c r="B243" s="48" t="s">
        <v>2301</v>
      </c>
      <c r="C243" s="47" t="s">
        <v>71</v>
      </c>
      <c r="D243" s="332">
        <v>13</v>
      </c>
    </row>
    <row r="244" spans="1:4" ht="30">
      <c r="A244" s="28" t="s">
        <v>317</v>
      </c>
      <c r="B244" s="26" t="s">
        <v>2302</v>
      </c>
      <c r="C244" s="28" t="s">
        <v>71</v>
      </c>
      <c r="D244" s="329">
        <v>14.87</v>
      </c>
    </row>
    <row r="245" spans="1:4" ht="30">
      <c r="A245" s="47" t="s">
        <v>318</v>
      </c>
      <c r="B245" s="48" t="s">
        <v>2303</v>
      </c>
      <c r="C245" s="47" t="s">
        <v>71</v>
      </c>
      <c r="D245" s="332">
        <v>16.71</v>
      </c>
    </row>
    <row r="246" spans="1:4" ht="30">
      <c r="A246" s="28" t="s">
        <v>319</v>
      </c>
      <c r="B246" s="26" t="s">
        <v>2304</v>
      </c>
      <c r="C246" s="28" t="s">
        <v>71</v>
      </c>
      <c r="D246" s="329">
        <v>18.53</v>
      </c>
    </row>
    <row r="247" spans="1:4" ht="30">
      <c r="A247" s="47" t="s">
        <v>320</v>
      </c>
      <c r="B247" s="48" t="s">
        <v>2305</v>
      </c>
      <c r="C247" s="47" t="s">
        <v>71</v>
      </c>
      <c r="D247" s="332">
        <v>22.35</v>
      </c>
    </row>
    <row r="248" spans="1:4" ht="30">
      <c r="A248" s="28" t="s">
        <v>321</v>
      </c>
      <c r="B248" s="26" t="s">
        <v>2306</v>
      </c>
      <c r="C248" s="28" t="s">
        <v>71</v>
      </c>
      <c r="D248" s="329">
        <v>27.87</v>
      </c>
    </row>
    <row r="249" spans="1:4" ht="30">
      <c r="A249" s="47" t="s">
        <v>322</v>
      </c>
      <c r="B249" s="48" t="s">
        <v>2307</v>
      </c>
      <c r="C249" s="47" t="s">
        <v>71</v>
      </c>
      <c r="D249" s="332">
        <v>32.08</v>
      </c>
    </row>
    <row r="250" spans="1:4" ht="30">
      <c r="A250" s="28" t="s">
        <v>323</v>
      </c>
      <c r="B250" s="26" t="s">
        <v>2294</v>
      </c>
      <c r="C250" s="28" t="s">
        <v>71</v>
      </c>
      <c r="D250" s="329">
        <v>40.270000000000003</v>
      </c>
    </row>
    <row r="251" spans="1:4" ht="30">
      <c r="A251" s="47" t="s">
        <v>324</v>
      </c>
      <c r="B251" s="48" t="s">
        <v>2295</v>
      </c>
      <c r="C251" s="47" t="s">
        <v>71</v>
      </c>
      <c r="D251" s="332">
        <v>47.72</v>
      </c>
    </row>
    <row r="252" spans="1:4" ht="30">
      <c r="A252" s="28" t="s">
        <v>325</v>
      </c>
      <c r="B252" s="26" t="s">
        <v>2296</v>
      </c>
      <c r="C252" s="28" t="s">
        <v>71</v>
      </c>
      <c r="D252" s="329">
        <v>56.37</v>
      </c>
    </row>
    <row r="253" spans="1:4" ht="30">
      <c r="A253" s="47" t="s">
        <v>2308</v>
      </c>
      <c r="B253" s="48" t="s">
        <v>2309</v>
      </c>
      <c r="C253" s="47" t="s">
        <v>71</v>
      </c>
      <c r="D253" s="332">
        <v>37.520000000000003</v>
      </c>
    </row>
    <row r="254" spans="1:4" ht="30">
      <c r="A254" s="28">
        <v>92235</v>
      </c>
      <c r="B254" s="26" t="s">
        <v>5550</v>
      </c>
      <c r="C254" s="28" t="s">
        <v>256</v>
      </c>
      <c r="D254" s="329">
        <v>45.68</v>
      </c>
    </row>
    <row r="255" spans="1:4" ht="30">
      <c r="A255" s="47">
        <v>93181</v>
      </c>
      <c r="B255" s="48" t="s">
        <v>5551</v>
      </c>
      <c r="C255" s="47" t="s">
        <v>256</v>
      </c>
      <c r="D255" s="332">
        <v>44.01</v>
      </c>
    </row>
    <row r="256" spans="1:4" ht="30">
      <c r="A256" s="28">
        <v>93206</v>
      </c>
      <c r="B256" s="26" t="s">
        <v>5338</v>
      </c>
      <c r="C256" s="28" t="s">
        <v>256</v>
      </c>
      <c r="D256" s="329">
        <v>680.76</v>
      </c>
    </row>
    <row r="257" spans="1:4" ht="30">
      <c r="A257" s="47">
        <v>93207</v>
      </c>
      <c r="B257" s="48" t="s">
        <v>5339</v>
      </c>
      <c r="C257" s="47" t="s">
        <v>256</v>
      </c>
      <c r="D257" s="332">
        <v>515.94000000000005</v>
      </c>
    </row>
    <row r="258" spans="1:4" ht="30">
      <c r="A258" s="28">
        <v>93208</v>
      </c>
      <c r="B258" s="26" t="s">
        <v>5320</v>
      </c>
      <c r="C258" s="28" t="s">
        <v>256</v>
      </c>
      <c r="D258" s="329">
        <v>381.71</v>
      </c>
    </row>
    <row r="259" spans="1:4" ht="30">
      <c r="A259" s="47">
        <v>93209</v>
      </c>
      <c r="B259" s="48" t="s">
        <v>5319</v>
      </c>
      <c r="C259" s="47" t="s">
        <v>256</v>
      </c>
      <c r="D259" s="332">
        <v>526.6</v>
      </c>
    </row>
    <row r="260" spans="1:4" ht="30">
      <c r="A260" s="28">
        <v>93210</v>
      </c>
      <c r="B260" s="26" t="s">
        <v>5379</v>
      </c>
      <c r="C260" s="28" t="s">
        <v>256</v>
      </c>
      <c r="D260" s="329">
        <v>300.19</v>
      </c>
    </row>
    <row r="261" spans="1:4" ht="30">
      <c r="A261" s="47">
        <v>93211</v>
      </c>
      <c r="B261" s="48" t="s">
        <v>5378</v>
      </c>
      <c r="C261" s="47" t="s">
        <v>256</v>
      </c>
      <c r="D261" s="332">
        <v>327.31</v>
      </c>
    </row>
    <row r="262" spans="1:4" ht="30">
      <c r="A262" s="28">
        <v>93212</v>
      </c>
      <c r="B262" s="26" t="s">
        <v>5415</v>
      </c>
      <c r="C262" s="28" t="s">
        <v>256</v>
      </c>
      <c r="D262" s="329">
        <v>487.63</v>
      </c>
    </row>
    <row r="263" spans="1:4" ht="30">
      <c r="A263" s="47">
        <v>93213</v>
      </c>
      <c r="B263" s="48" t="s">
        <v>5414</v>
      </c>
      <c r="C263" s="47" t="s">
        <v>256</v>
      </c>
      <c r="D263" s="332">
        <v>590.38</v>
      </c>
    </row>
    <row r="264" spans="1:4" ht="30">
      <c r="A264" s="28">
        <v>93214</v>
      </c>
      <c r="B264" s="26" t="s">
        <v>5380</v>
      </c>
      <c r="C264" s="28" t="s">
        <v>65</v>
      </c>
      <c r="D264" s="329">
        <v>1014.13</v>
      </c>
    </row>
    <row r="265" spans="1:4" ht="30">
      <c r="A265" s="47">
        <v>93243</v>
      </c>
      <c r="B265" s="48" t="s">
        <v>5381</v>
      </c>
      <c r="C265" s="47" t="s">
        <v>65</v>
      </c>
      <c r="D265" s="332">
        <v>1947.13</v>
      </c>
    </row>
    <row r="266" spans="1:4" ht="30">
      <c r="A266" s="28">
        <v>93582</v>
      </c>
      <c r="B266" s="26" t="s">
        <v>5321</v>
      </c>
      <c r="C266" s="28" t="s">
        <v>256</v>
      </c>
      <c r="D266" s="329">
        <v>127.05</v>
      </c>
    </row>
    <row r="267" spans="1:4" ht="30">
      <c r="A267" s="47">
        <v>93583</v>
      </c>
      <c r="B267" s="48" t="s">
        <v>5322</v>
      </c>
      <c r="C267" s="47" t="s">
        <v>256</v>
      </c>
      <c r="D267" s="332">
        <v>245.54</v>
      </c>
    </row>
    <row r="268" spans="1:4" ht="30">
      <c r="A268" s="28">
        <v>93584</v>
      </c>
      <c r="B268" s="26" t="s">
        <v>5323</v>
      </c>
      <c r="C268" s="28" t="s">
        <v>256</v>
      </c>
      <c r="D268" s="329">
        <v>378.92</v>
      </c>
    </row>
    <row r="269" spans="1:4" ht="30">
      <c r="A269" s="47">
        <v>93585</v>
      </c>
      <c r="B269" s="48" t="s">
        <v>5360</v>
      </c>
      <c r="C269" s="47" t="s">
        <v>256</v>
      </c>
      <c r="D269" s="332">
        <v>476.59</v>
      </c>
    </row>
    <row r="270" spans="1:4">
      <c r="A270" s="28" t="s">
        <v>326</v>
      </c>
      <c r="B270" s="26" t="s">
        <v>8111</v>
      </c>
      <c r="C270" s="28" t="s">
        <v>256</v>
      </c>
      <c r="D270" s="329">
        <v>300.42</v>
      </c>
    </row>
    <row r="271" spans="1:4" ht="45">
      <c r="A271" s="47" t="s">
        <v>327</v>
      </c>
      <c r="B271" s="48" t="s">
        <v>1679</v>
      </c>
      <c r="C271" s="47" t="s">
        <v>1643</v>
      </c>
      <c r="D271" s="332">
        <v>402.34</v>
      </c>
    </row>
    <row r="272" spans="1:4" ht="30">
      <c r="A272" s="28">
        <v>5631</v>
      </c>
      <c r="B272" s="26" t="s">
        <v>5195</v>
      </c>
      <c r="C272" s="28" t="s">
        <v>328</v>
      </c>
      <c r="D272" s="329">
        <v>152.61000000000001</v>
      </c>
    </row>
    <row r="273" spans="1:4" ht="45">
      <c r="A273" s="47">
        <v>5678</v>
      </c>
      <c r="B273" s="48" t="s">
        <v>8773</v>
      </c>
      <c r="C273" s="47" t="s">
        <v>328</v>
      </c>
      <c r="D273" s="332">
        <v>109.64</v>
      </c>
    </row>
    <row r="274" spans="1:4" ht="45">
      <c r="A274" s="28">
        <v>5680</v>
      </c>
      <c r="B274" s="26" t="s">
        <v>8761</v>
      </c>
      <c r="C274" s="28" t="s">
        <v>328</v>
      </c>
      <c r="D274" s="329">
        <v>102.99</v>
      </c>
    </row>
    <row r="275" spans="1:4" ht="45">
      <c r="A275" s="47">
        <v>5684</v>
      </c>
      <c r="B275" s="48" t="s">
        <v>8911</v>
      </c>
      <c r="C275" s="47" t="s">
        <v>328</v>
      </c>
      <c r="D275" s="332">
        <v>99.99</v>
      </c>
    </row>
    <row r="276" spans="1:4" ht="30">
      <c r="A276" s="28">
        <v>5686</v>
      </c>
      <c r="B276" s="26" t="s">
        <v>8959</v>
      </c>
      <c r="C276" s="28" t="s">
        <v>328</v>
      </c>
      <c r="D276" s="329">
        <v>75.900000000000006</v>
      </c>
    </row>
    <row r="277" spans="1:4" ht="30">
      <c r="A277" s="47">
        <v>5689</v>
      </c>
      <c r="B277" s="48" t="s">
        <v>5779</v>
      </c>
      <c r="C277" s="47" t="s">
        <v>328</v>
      </c>
      <c r="D277" s="332">
        <v>4.6399999999999997</v>
      </c>
    </row>
    <row r="278" spans="1:4" ht="30">
      <c r="A278" s="28">
        <v>5795</v>
      </c>
      <c r="B278" s="26" t="s">
        <v>7300</v>
      </c>
      <c r="C278" s="28" t="s">
        <v>328</v>
      </c>
      <c r="D278" s="329">
        <v>20.059999999999999</v>
      </c>
    </row>
    <row r="279" spans="1:4" ht="45">
      <c r="A279" s="47">
        <v>5811</v>
      </c>
      <c r="B279" s="48" t="s">
        <v>3206</v>
      </c>
      <c r="C279" s="47" t="s">
        <v>328</v>
      </c>
      <c r="D279" s="332">
        <v>144.62</v>
      </c>
    </row>
    <row r="280" spans="1:4" ht="30">
      <c r="A280" s="28">
        <v>5823</v>
      </c>
      <c r="B280" s="26" t="s">
        <v>10646</v>
      </c>
      <c r="C280" s="28" t="s">
        <v>328</v>
      </c>
      <c r="D280" s="329">
        <v>167.9</v>
      </c>
    </row>
    <row r="281" spans="1:4" ht="45">
      <c r="A281" s="47">
        <v>5824</v>
      </c>
      <c r="B281" s="48" t="s">
        <v>3252</v>
      </c>
      <c r="C281" s="47" t="s">
        <v>328</v>
      </c>
      <c r="D281" s="332">
        <v>117.13</v>
      </c>
    </row>
    <row r="282" spans="1:4" ht="30">
      <c r="A282" s="28">
        <v>5835</v>
      </c>
      <c r="B282" s="26" t="s">
        <v>10797</v>
      </c>
      <c r="C282" s="28" t="s">
        <v>328</v>
      </c>
      <c r="D282" s="329">
        <v>196.99</v>
      </c>
    </row>
    <row r="283" spans="1:4" ht="30">
      <c r="A283" s="47">
        <v>5839</v>
      </c>
      <c r="B283" s="48" t="s">
        <v>10747</v>
      </c>
      <c r="C283" s="47" t="s">
        <v>328</v>
      </c>
      <c r="D283" s="332">
        <v>4.8</v>
      </c>
    </row>
    <row r="284" spans="1:4" ht="30">
      <c r="A284" s="28">
        <v>5843</v>
      </c>
      <c r="B284" s="26" t="s">
        <v>10111</v>
      </c>
      <c r="C284" s="28" t="s">
        <v>328</v>
      </c>
      <c r="D284" s="329">
        <v>102.96</v>
      </c>
    </row>
    <row r="285" spans="1:4" ht="30">
      <c r="A285" s="47">
        <v>5847</v>
      </c>
      <c r="B285" s="48" t="s">
        <v>10085</v>
      </c>
      <c r="C285" s="47" t="s">
        <v>328</v>
      </c>
      <c r="D285" s="332">
        <v>223.64</v>
      </c>
    </row>
    <row r="286" spans="1:4" ht="30">
      <c r="A286" s="28">
        <v>5851</v>
      </c>
      <c r="B286" s="26" t="s">
        <v>10079</v>
      </c>
      <c r="C286" s="28" t="s">
        <v>328</v>
      </c>
      <c r="D286" s="329">
        <v>213.44</v>
      </c>
    </row>
    <row r="287" spans="1:4" ht="30">
      <c r="A287" s="47">
        <v>5855</v>
      </c>
      <c r="B287" s="48" t="s">
        <v>10091</v>
      </c>
      <c r="C287" s="47" t="s">
        <v>328</v>
      </c>
      <c r="D287" s="332">
        <v>545.23</v>
      </c>
    </row>
    <row r="288" spans="1:4" ht="45">
      <c r="A288" s="28">
        <v>5863</v>
      </c>
      <c r="B288" s="26" t="s">
        <v>8941</v>
      </c>
      <c r="C288" s="28" t="s">
        <v>328</v>
      </c>
      <c r="D288" s="329">
        <v>10.17</v>
      </c>
    </row>
    <row r="289" spans="1:4" ht="30">
      <c r="A289" s="47">
        <v>5867</v>
      </c>
      <c r="B289" s="48" t="s">
        <v>8947</v>
      </c>
      <c r="C289" s="47" t="s">
        <v>328</v>
      </c>
      <c r="D289" s="332">
        <v>97.73</v>
      </c>
    </row>
    <row r="290" spans="1:4" ht="30">
      <c r="A290" s="28">
        <v>5871</v>
      </c>
      <c r="B290" s="26" t="s">
        <v>8893</v>
      </c>
      <c r="C290" s="28" t="s">
        <v>328</v>
      </c>
      <c r="D290" s="329">
        <v>116.52</v>
      </c>
    </row>
    <row r="291" spans="1:4" ht="60">
      <c r="A291" s="47">
        <v>5875</v>
      </c>
      <c r="B291" s="48" t="s">
        <v>8767</v>
      </c>
      <c r="C291" s="47" t="s">
        <v>328</v>
      </c>
      <c r="D291" s="332">
        <v>102.22</v>
      </c>
    </row>
    <row r="292" spans="1:4" ht="45">
      <c r="A292" s="28">
        <v>5879</v>
      </c>
      <c r="B292" s="26" t="s">
        <v>8935</v>
      </c>
      <c r="C292" s="28" t="s">
        <v>328</v>
      </c>
      <c r="D292" s="329">
        <v>83.82</v>
      </c>
    </row>
    <row r="293" spans="1:4" ht="45">
      <c r="A293" s="47">
        <v>5882</v>
      </c>
      <c r="B293" s="48" t="s">
        <v>10652</v>
      </c>
      <c r="C293" s="47" t="s">
        <v>328</v>
      </c>
      <c r="D293" s="332">
        <v>69.91</v>
      </c>
    </row>
    <row r="294" spans="1:4" ht="45">
      <c r="A294" s="28">
        <v>5890</v>
      </c>
      <c r="B294" s="26" t="s">
        <v>3260</v>
      </c>
      <c r="C294" s="28" t="s">
        <v>328</v>
      </c>
      <c r="D294" s="329">
        <v>107.92</v>
      </c>
    </row>
    <row r="295" spans="1:4" ht="45">
      <c r="A295" s="47">
        <v>5894</v>
      </c>
      <c r="B295" s="48" t="s">
        <v>3269</v>
      </c>
      <c r="C295" s="47" t="s">
        <v>328</v>
      </c>
      <c r="D295" s="332">
        <v>115.25</v>
      </c>
    </row>
    <row r="296" spans="1:4" ht="45">
      <c r="A296" s="28">
        <v>5901</v>
      </c>
      <c r="B296" s="26" t="s">
        <v>3231</v>
      </c>
      <c r="C296" s="28" t="s">
        <v>328</v>
      </c>
      <c r="D296" s="329">
        <v>142.5</v>
      </c>
    </row>
    <row r="297" spans="1:4" ht="30">
      <c r="A297" s="47">
        <v>5909</v>
      </c>
      <c r="B297" s="48" t="s">
        <v>5259</v>
      </c>
      <c r="C297" s="47" t="s">
        <v>328</v>
      </c>
      <c r="D297" s="332">
        <v>23.47</v>
      </c>
    </row>
    <row r="298" spans="1:4" ht="30">
      <c r="A298" s="28">
        <v>5921</v>
      </c>
      <c r="B298" s="26" t="s">
        <v>5784</v>
      </c>
      <c r="C298" s="28" t="s">
        <v>328</v>
      </c>
      <c r="D298" s="329">
        <v>3.64</v>
      </c>
    </row>
    <row r="299" spans="1:4" ht="45">
      <c r="A299" s="47">
        <v>5928</v>
      </c>
      <c r="B299" s="48" t="s">
        <v>5960</v>
      </c>
      <c r="C299" s="47" t="s">
        <v>328</v>
      </c>
      <c r="D299" s="332">
        <v>127.35</v>
      </c>
    </row>
    <row r="300" spans="1:4" ht="30">
      <c r="A300" s="28">
        <v>5932</v>
      </c>
      <c r="B300" s="26" t="s">
        <v>7601</v>
      </c>
      <c r="C300" s="28" t="s">
        <v>328</v>
      </c>
      <c r="D300" s="329">
        <v>175.6</v>
      </c>
    </row>
    <row r="301" spans="1:4" ht="30">
      <c r="A301" s="47">
        <v>5940</v>
      </c>
      <c r="B301" s="48" t="s">
        <v>7751</v>
      </c>
      <c r="C301" s="47" t="s">
        <v>328</v>
      </c>
      <c r="D301" s="332">
        <v>147.71</v>
      </c>
    </row>
    <row r="302" spans="1:4" ht="30">
      <c r="A302" s="28">
        <v>5944</v>
      </c>
      <c r="B302" s="26" t="s">
        <v>7745</v>
      </c>
      <c r="C302" s="28" t="s">
        <v>328</v>
      </c>
      <c r="D302" s="329">
        <v>209.26</v>
      </c>
    </row>
    <row r="303" spans="1:4" ht="30">
      <c r="A303" s="47">
        <v>5948</v>
      </c>
      <c r="B303" s="48" t="s">
        <v>8920</v>
      </c>
      <c r="C303" s="47" t="s">
        <v>328</v>
      </c>
      <c r="D303" s="332">
        <v>101.4</v>
      </c>
    </row>
    <row r="304" spans="1:4" ht="30">
      <c r="A304" s="28">
        <v>5953</v>
      </c>
      <c r="B304" s="26" t="s">
        <v>3687</v>
      </c>
      <c r="C304" s="28" t="s">
        <v>328</v>
      </c>
      <c r="D304" s="329">
        <v>35.17</v>
      </c>
    </row>
    <row r="305" spans="1:4" ht="45">
      <c r="A305" s="47">
        <v>6259</v>
      </c>
      <c r="B305" s="48" t="s">
        <v>3238</v>
      </c>
      <c r="C305" s="47" t="s">
        <v>328</v>
      </c>
      <c r="D305" s="332">
        <v>120.95</v>
      </c>
    </row>
    <row r="306" spans="1:4" ht="30">
      <c r="A306" s="28">
        <v>6879</v>
      </c>
      <c r="B306" s="26" t="s">
        <v>8887</v>
      </c>
      <c r="C306" s="28" t="s">
        <v>328</v>
      </c>
      <c r="D306" s="329">
        <v>123.34</v>
      </c>
    </row>
    <row r="307" spans="1:4" ht="30">
      <c r="A307" s="47">
        <v>7030</v>
      </c>
      <c r="B307" s="48" t="s">
        <v>9180</v>
      </c>
      <c r="C307" s="47" t="s">
        <v>328</v>
      </c>
      <c r="D307" s="332">
        <v>132.29</v>
      </c>
    </row>
    <row r="308" spans="1:4" ht="45">
      <c r="A308" s="28">
        <v>7042</v>
      </c>
      <c r="B308" s="26" t="s">
        <v>7591</v>
      </c>
      <c r="C308" s="28" t="s">
        <v>328</v>
      </c>
      <c r="D308" s="329">
        <v>5.91</v>
      </c>
    </row>
    <row r="309" spans="1:4" ht="45">
      <c r="A309" s="47">
        <v>7049</v>
      </c>
      <c r="B309" s="48" t="s">
        <v>8903</v>
      </c>
      <c r="C309" s="47" t="s">
        <v>328</v>
      </c>
      <c r="D309" s="332">
        <v>133.26</v>
      </c>
    </row>
    <row r="310" spans="1:4" ht="45">
      <c r="A310" s="28">
        <v>67826</v>
      </c>
      <c r="B310" s="26" t="s">
        <v>3199</v>
      </c>
      <c r="C310" s="28" t="s">
        <v>328</v>
      </c>
      <c r="D310" s="329">
        <v>127.93</v>
      </c>
    </row>
    <row r="311" spans="1:4" ht="30">
      <c r="A311" s="47">
        <v>73417</v>
      </c>
      <c r="B311" s="48" t="s">
        <v>5885</v>
      </c>
      <c r="C311" s="47" t="s">
        <v>328</v>
      </c>
      <c r="D311" s="332">
        <v>110.01</v>
      </c>
    </row>
    <row r="312" spans="1:4" ht="45">
      <c r="A312" s="28">
        <v>73436</v>
      </c>
      <c r="B312" s="26" t="s">
        <v>8928</v>
      </c>
      <c r="C312" s="28" t="s">
        <v>328</v>
      </c>
      <c r="D312" s="329">
        <v>161.80000000000001</v>
      </c>
    </row>
    <row r="313" spans="1:4" ht="45">
      <c r="A313" s="47">
        <v>73467</v>
      </c>
      <c r="B313" s="48" t="s">
        <v>3245</v>
      </c>
      <c r="C313" s="47" t="s">
        <v>328</v>
      </c>
      <c r="D313" s="332">
        <v>122.89</v>
      </c>
    </row>
    <row r="314" spans="1:4" ht="45">
      <c r="A314" s="28">
        <v>73536</v>
      </c>
      <c r="B314" s="26" t="s">
        <v>7584</v>
      </c>
      <c r="C314" s="28" t="s">
        <v>328</v>
      </c>
      <c r="D314" s="329">
        <v>4.99</v>
      </c>
    </row>
    <row r="315" spans="1:4" ht="45">
      <c r="A315" s="47">
        <v>83362</v>
      </c>
      <c r="B315" s="48" t="s">
        <v>5267</v>
      </c>
      <c r="C315" s="47" t="s">
        <v>328</v>
      </c>
      <c r="D315" s="332">
        <v>167.6</v>
      </c>
    </row>
    <row r="316" spans="1:4" ht="30">
      <c r="A316" s="28">
        <v>83765</v>
      </c>
      <c r="B316" s="26" t="s">
        <v>5861</v>
      </c>
      <c r="C316" s="28" t="s">
        <v>328</v>
      </c>
      <c r="D316" s="329">
        <v>55.76</v>
      </c>
    </row>
    <row r="317" spans="1:4" ht="30">
      <c r="A317" s="47">
        <v>87445</v>
      </c>
      <c r="B317" s="48" t="s">
        <v>2503</v>
      </c>
      <c r="C317" s="47" t="s">
        <v>328</v>
      </c>
      <c r="D317" s="332">
        <v>2.9</v>
      </c>
    </row>
    <row r="318" spans="1:4" ht="30">
      <c r="A318" s="28">
        <v>88386</v>
      </c>
      <c r="B318" s="26" t="s">
        <v>7412</v>
      </c>
      <c r="C318" s="28" t="s">
        <v>328</v>
      </c>
      <c r="D318" s="329">
        <v>3.05</v>
      </c>
    </row>
    <row r="319" spans="1:4" ht="30">
      <c r="A319" s="47">
        <v>88393</v>
      </c>
      <c r="B319" s="48" t="s">
        <v>7419</v>
      </c>
      <c r="C319" s="47" t="s">
        <v>328</v>
      </c>
      <c r="D319" s="332">
        <v>4.1900000000000004</v>
      </c>
    </row>
    <row r="320" spans="1:4" ht="30">
      <c r="A320" s="28">
        <v>88399</v>
      </c>
      <c r="B320" s="26" t="s">
        <v>7405</v>
      </c>
      <c r="C320" s="28" t="s">
        <v>328</v>
      </c>
      <c r="D320" s="329">
        <v>2.2599999999999998</v>
      </c>
    </row>
    <row r="321" spans="1:4" ht="30">
      <c r="A321" s="47">
        <v>88418</v>
      </c>
      <c r="B321" s="48" t="s">
        <v>8430</v>
      </c>
      <c r="C321" s="47" t="s">
        <v>328</v>
      </c>
      <c r="D321" s="332">
        <v>10.42</v>
      </c>
    </row>
    <row r="322" spans="1:4" ht="30">
      <c r="A322" s="28">
        <v>88433</v>
      </c>
      <c r="B322" s="26" t="s">
        <v>8436</v>
      </c>
      <c r="C322" s="28" t="s">
        <v>328</v>
      </c>
      <c r="D322" s="329">
        <v>12.92</v>
      </c>
    </row>
    <row r="323" spans="1:4" ht="30">
      <c r="A323" s="47">
        <v>88830</v>
      </c>
      <c r="B323" s="48" t="s">
        <v>2517</v>
      </c>
      <c r="C323" s="47" t="s">
        <v>328</v>
      </c>
      <c r="D323" s="332">
        <v>1.2</v>
      </c>
    </row>
    <row r="324" spans="1:4" ht="30">
      <c r="A324" s="28">
        <v>88843</v>
      </c>
      <c r="B324" s="26" t="s">
        <v>10072</v>
      </c>
      <c r="C324" s="28" t="s">
        <v>328</v>
      </c>
      <c r="D324" s="329">
        <v>180.83</v>
      </c>
    </row>
    <row r="325" spans="1:4" ht="30">
      <c r="A325" s="47">
        <v>88907</v>
      </c>
      <c r="B325" s="48" t="s">
        <v>5208</v>
      </c>
      <c r="C325" s="47" t="s">
        <v>328</v>
      </c>
      <c r="D325" s="332">
        <v>179.87</v>
      </c>
    </row>
    <row r="326" spans="1:4" ht="45">
      <c r="A326" s="28">
        <v>89021</v>
      </c>
      <c r="B326" s="26" t="s">
        <v>2677</v>
      </c>
      <c r="C326" s="28" t="s">
        <v>328</v>
      </c>
      <c r="D326" s="329">
        <v>1.81</v>
      </c>
    </row>
    <row r="327" spans="1:4" ht="30">
      <c r="A327" s="47">
        <v>89028</v>
      </c>
      <c r="B327" s="48" t="s">
        <v>9172</v>
      </c>
      <c r="C327" s="47" t="s">
        <v>328</v>
      </c>
      <c r="D327" s="332">
        <v>122.93</v>
      </c>
    </row>
    <row r="328" spans="1:4" ht="30">
      <c r="A328" s="28">
        <v>89032</v>
      </c>
      <c r="B328" s="26" t="s">
        <v>10066</v>
      </c>
      <c r="C328" s="28" t="s">
        <v>328</v>
      </c>
      <c r="D328" s="329">
        <v>163.74</v>
      </c>
    </row>
    <row r="329" spans="1:4" ht="30">
      <c r="A329" s="47">
        <v>89035</v>
      </c>
      <c r="B329" s="48" t="s">
        <v>10117</v>
      </c>
      <c r="C329" s="47" t="s">
        <v>328</v>
      </c>
      <c r="D329" s="332">
        <v>82.39</v>
      </c>
    </row>
    <row r="330" spans="1:4" ht="30">
      <c r="A330" s="28">
        <v>89225</v>
      </c>
      <c r="B330" s="26" t="s">
        <v>2523</v>
      </c>
      <c r="C330" s="28" t="s">
        <v>328</v>
      </c>
      <c r="D330" s="329">
        <v>3.35</v>
      </c>
    </row>
    <row r="331" spans="1:4" ht="30">
      <c r="A331" s="47">
        <v>89234</v>
      </c>
      <c r="B331" s="48" t="s">
        <v>5694</v>
      </c>
      <c r="C331" s="47" t="s">
        <v>328</v>
      </c>
      <c r="D331" s="332">
        <v>315.64</v>
      </c>
    </row>
    <row r="332" spans="1:4" ht="30">
      <c r="A332" s="28">
        <v>89242</v>
      </c>
      <c r="B332" s="26" t="s">
        <v>5700</v>
      </c>
      <c r="C332" s="28" t="s">
        <v>328</v>
      </c>
      <c r="D332" s="329">
        <v>720.57</v>
      </c>
    </row>
    <row r="333" spans="1:4" ht="30">
      <c r="A333" s="47">
        <v>89250</v>
      </c>
      <c r="B333" s="48" t="s">
        <v>8588</v>
      </c>
      <c r="C333" s="47" t="s">
        <v>328</v>
      </c>
      <c r="D333" s="332">
        <v>605.35</v>
      </c>
    </row>
    <row r="334" spans="1:4" ht="30">
      <c r="A334" s="28">
        <v>89257</v>
      </c>
      <c r="B334" s="26" t="s">
        <v>10802</v>
      </c>
      <c r="C334" s="28" t="s">
        <v>328</v>
      </c>
      <c r="D334" s="329">
        <v>173.66</v>
      </c>
    </row>
    <row r="335" spans="1:4" ht="30">
      <c r="A335" s="47">
        <v>89272</v>
      </c>
      <c r="B335" s="48" t="s">
        <v>5932</v>
      </c>
      <c r="C335" s="47" t="s">
        <v>328</v>
      </c>
      <c r="D335" s="332">
        <v>168.61</v>
      </c>
    </row>
    <row r="336" spans="1:4" ht="30">
      <c r="A336" s="28">
        <v>89278</v>
      </c>
      <c r="B336" s="26" t="s">
        <v>2529</v>
      </c>
      <c r="C336" s="28" t="s">
        <v>328</v>
      </c>
      <c r="D336" s="329">
        <v>6.82</v>
      </c>
    </row>
    <row r="337" spans="1:4" ht="30">
      <c r="A337" s="47">
        <v>89843</v>
      </c>
      <c r="B337" s="48" t="s">
        <v>2490</v>
      </c>
      <c r="C337" s="47" t="s">
        <v>328</v>
      </c>
      <c r="D337" s="332">
        <v>156.31</v>
      </c>
    </row>
    <row r="338" spans="1:4" ht="45">
      <c r="A338" s="28">
        <v>89876</v>
      </c>
      <c r="B338" s="26" t="s">
        <v>3185</v>
      </c>
      <c r="C338" s="28" t="s">
        <v>328</v>
      </c>
      <c r="D338" s="329">
        <v>182.78</v>
      </c>
    </row>
    <row r="339" spans="1:4" ht="45">
      <c r="A339" s="47">
        <v>89883</v>
      </c>
      <c r="B339" s="48" t="s">
        <v>3192</v>
      </c>
      <c r="C339" s="47" t="s">
        <v>328</v>
      </c>
      <c r="D339" s="332">
        <v>200.75</v>
      </c>
    </row>
    <row r="340" spans="1:4" ht="30">
      <c r="A340" s="28">
        <v>90586</v>
      </c>
      <c r="B340" s="26" t="s">
        <v>10787</v>
      </c>
      <c r="C340" s="28" t="s">
        <v>328</v>
      </c>
      <c r="D340" s="329">
        <v>2.33</v>
      </c>
    </row>
    <row r="341" spans="1:4" ht="30">
      <c r="A341" s="47">
        <v>90625</v>
      </c>
      <c r="B341" s="48" t="s">
        <v>7958</v>
      </c>
      <c r="C341" s="47" t="s">
        <v>328</v>
      </c>
      <c r="D341" s="332">
        <v>5.39</v>
      </c>
    </row>
    <row r="342" spans="1:4" ht="30">
      <c r="A342" s="28">
        <v>90631</v>
      </c>
      <c r="B342" s="26" t="s">
        <v>7970</v>
      </c>
      <c r="C342" s="28" t="s">
        <v>328</v>
      </c>
      <c r="D342" s="329">
        <v>107.52</v>
      </c>
    </row>
    <row r="343" spans="1:4" ht="45">
      <c r="A343" s="47">
        <v>90637</v>
      </c>
      <c r="B343" s="48" t="s">
        <v>7428</v>
      </c>
      <c r="C343" s="47" t="s">
        <v>328</v>
      </c>
      <c r="D343" s="332">
        <v>9.51</v>
      </c>
    </row>
    <row r="344" spans="1:4" ht="30">
      <c r="A344" s="28">
        <v>90643</v>
      </c>
      <c r="B344" s="26" t="s">
        <v>2697</v>
      </c>
      <c r="C344" s="28" t="s">
        <v>328</v>
      </c>
      <c r="D344" s="329">
        <v>14.08</v>
      </c>
    </row>
    <row r="345" spans="1:4" ht="45">
      <c r="A345" s="47">
        <v>90650</v>
      </c>
      <c r="B345" s="48" t="s">
        <v>2631</v>
      </c>
      <c r="C345" s="47" t="s">
        <v>328</v>
      </c>
      <c r="D345" s="332">
        <v>7.91</v>
      </c>
    </row>
    <row r="346" spans="1:4" ht="30">
      <c r="A346" s="28">
        <v>90656</v>
      </c>
      <c r="B346" s="26" t="s">
        <v>2647</v>
      </c>
      <c r="C346" s="28" t="s">
        <v>328</v>
      </c>
      <c r="D346" s="329">
        <v>10.42</v>
      </c>
    </row>
    <row r="347" spans="1:4" ht="30">
      <c r="A347" s="47">
        <v>90662</v>
      </c>
      <c r="B347" s="48" t="s">
        <v>2654</v>
      </c>
      <c r="C347" s="47" t="s">
        <v>328</v>
      </c>
      <c r="D347" s="332">
        <v>10.85</v>
      </c>
    </row>
    <row r="348" spans="1:4" ht="45">
      <c r="A348" s="28">
        <v>90668</v>
      </c>
      <c r="B348" s="26" t="s">
        <v>8443</v>
      </c>
      <c r="C348" s="28" t="s">
        <v>328</v>
      </c>
      <c r="D348" s="329">
        <v>43.82</v>
      </c>
    </row>
    <row r="349" spans="1:4" ht="45">
      <c r="A349" s="47">
        <v>90674</v>
      </c>
      <c r="B349" s="48" t="s">
        <v>7935</v>
      </c>
      <c r="C349" s="47" t="s">
        <v>328</v>
      </c>
      <c r="D349" s="332">
        <v>468.42</v>
      </c>
    </row>
    <row r="350" spans="1:4" ht="45">
      <c r="A350" s="28">
        <v>90680</v>
      </c>
      <c r="B350" s="26" t="s">
        <v>7950</v>
      </c>
      <c r="C350" s="28" t="s">
        <v>328</v>
      </c>
      <c r="D350" s="329">
        <v>253.32</v>
      </c>
    </row>
    <row r="351" spans="1:4" ht="30">
      <c r="A351" s="47">
        <v>90686</v>
      </c>
      <c r="B351" s="48" t="s">
        <v>7234</v>
      </c>
      <c r="C351" s="47" t="s">
        <v>328</v>
      </c>
      <c r="D351" s="332">
        <v>128.5</v>
      </c>
    </row>
    <row r="352" spans="1:4" ht="30">
      <c r="A352" s="28">
        <v>90692</v>
      </c>
      <c r="B352" s="26" t="s">
        <v>7392</v>
      </c>
      <c r="C352" s="28" t="s">
        <v>328</v>
      </c>
      <c r="D352" s="329">
        <v>76.260000000000005</v>
      </c>
    </row>
    <row r="353" spans="1:4" ht="30">
      <c r="A353" s="47">
        <v>90964</v>
      </c>
      <c r="B353" s="48" t="s">
        <v>3712</v>
      </c>
      <c r="C353" s="47" t="s">
        <v>328</v>
      </c>
      <c r="D353" s="332">
        <v>15.54</v>
      </c>
    </row>
    <row r="354" spans="1:4" ht="30">
      <c r="A354" s="28">
        <v>90972</v>
      </c>
      <c r="B354" s="26" t="s">
        <v>3693</v>
      </c>
      <c r="C354" s="28" t="s">
        <v>328</v>
      </c>
      <c r="D354" s="329">
        <v>45.4</v>
      </c>
    </row>
    <row r="355" spans="1:4" ht="30">
      <c r="A355" s="47">
        <v>90979</v>
      </c>
      <c r="B355" s="48" t="s">
        <v>3706</v>
      </c>
      <c r="C355" s="47" t="s">
        <v>328</v>
      </c>
      <c r="D355" s="332">
        <v>117.35</v>
      </c>
    </row>
    <row r="356" spans="1:4" ht="30">
      <c r="A356" s="28">
        <v>90991</v>
      </c>
      <c r="B356" s="26" t="s">
        <v>5201</v>
      </c>
      <c r="C356" s="28" t="s">
        <v>328</v>
      </c>
      <c r="D356" s="329">
        <v>149.13</v>
      </c>
    </row>
    <row r="357" spans="1:4" ht="30">
      <c r="A357" s="47">
        <v>90999</v>
      </c>
      <c r="B357" s="48" t="s">
        <v>3700</v>
      </c>
      <c r="C357" s="47" t="s">
        <v>328</v>
      </c>
      <c r="D357" s="332">
        <v>60.64</v>
      </c>
    </row>
    <row r="358" spans="1:4" ht="45">
      <c r="A358" s="28">
        <v>91031</v>
      </c>
      <c r="B358" s="26" t="s">
        <v>3287</v>
      </c>
      <c r="C358" s="28" t="s">
        <v>328</v>
      </c>
      <c r="D358" s="329">
        <v>140.81</v>
      </c>
    </row>
    <row r="359" spans="1:4" ht="30">
      <c r="A359" s="47">
        <v>91277</v>
      </c>
      <c r="B359" s="48" t="s">
        <v>8125</v>
      </c>
      <c r="C359" s="47" t="s">
        <v>328</v>
      </c>
      <c r="D359" s="332">
        <v>6.05</v>
      </c>
    </row>
    <row r="360" spans="1:4" ht="45">
      <c r="A360" s="28">
        <v>91283</v>
      </c>
      <c r="B360" s="26" t="s">
        <v>4087</v>
      </c>
      <c r="C360" s="28" t="s">
        <v>328</v>
      </c>
      <c r="D360" s="329">
        <v>12.58</v>
      </c>
    </row>
    <row r="361" spans="1:4" ht="45">
      <c r="A361" s="47">
        <v>91386</v>
      </c>
      <c r="B361" s="48" t="s">
        <v>3178</v>
      </c>
      <c r="C361" s="47" t="s">
        <v>328</v>
      </c>
      <c r="D361" s="332">
        <v>149.52000000000001</v>
      </c>
    </row>
    <row r="362" spans="1:4" ht="30">
      <c r="A362" s="28">
        <v>91533</v>
      </c>
      <c r="B362" s="26" t="s">
        <v>3673</v>
      </c>
      <c r="C362" s="28" t="s">
        <v>328</v>
      </c>
      <c r="D362" s="329">
        <v>6.09</v>
      </c>
    </row>
    <row r="363" spans="1:4" ht="45">
      <c r="A363" s="47">
        <v>91634</v>
      </c>
      <c r="B363" s="48" t="s">
        <v>5968</v>
      </c>
      <c r="C363" s="47" t="s">
        <v>328</v>
      </c>
      <c r="D363" s="332">
        <v>115.04</v>
      </c>
    </row>
    <row r="364" spans="1:4" ht="45">
      <c r="A364" s="28">
        <v>91645</v>
      </c>
      <c r="B364" s="26" t="s">
        <v>3220</v>
      </c>
      <c r="C364" s="28" t="s">
        <v>328</v>
      </c>
      <c r="D364" s="329">
        <v>213.72</v>
      </c>
    </row>
    <row r="365" spans="1:4" ht="30">
      <c r="A365" s="47">
        <v>91692</v>
      </c>
      <c r="B365" s="48" t="s">
        <v>9013</v>
      </c>
      <c r="C365" s="47" t="s">
        <v>328</v>
      </c>
      <c r="D365" s="332">
        <v>1.9</v>
      </c>
    </row>
    <row r="366" spans="1:4" ht="30">
      <c r="A366" s="28">
        <v>92043</v>
      </c>
      <c r="B366" s="26" t="s">
        <v>4796</v>
      </c>
      <c r="C366" s="28" t="s">
        <v>328</v>
      </c>
      <c r="D366" s="329">
        <v>5.98</v>
      </c>
    </row>
    <row r="367" spans="1:4" ht="45">
      <c r="A367" s="47">
        <v>92106</v>
      </c>
      <c r="B367" s="48" t="s">
        <v>3229</v>
      </c>
      <c r="C367" s="47" t="s">
        <v>328</v>
      </c>
      <c r="D367" s="332">
        <v>154.59</v>
      </c>
    </row>
    <row r="368" spans="1:4" ht="30">
      <c r="A368" s="28">
        <v>92112</v>
      </c>
      <c r="B368" s="26" t="s">
        <v>7903</v>
      </c>
      <c r="C368" s="28" t="s">
        <v>328</v>
      </c>
      <c r="D368" s="329">
        <v>2.67</v>
      </c>
    </row>
    <row r="369" spans="1:4">
      <c r="A369" s="47">
        <v>92118</v>
      </c>
      <c r="B369" s="48" t="s">
        <v>329</v>
      </c>
      <c r="C369" s="47" t="s">
        <v>328</v>
      </c>
      <c r="D369" s="332">
        <v>1.44</v>
      </c>
    </row>
    <row r="370" spans="1:4" ht="30">
      <c r="A370" s="28">
        <v>92138</v>
      </c>
      <c r="B370" s="26" t="s">
        <v>3309</v>
      </c>
      <c r="C370" s="28" t="s">
        <v>328</v>
      </c>
      <c r="D370" s="329">
        <v>106.97</v>
      </c>
    </row>
    <row r="371" spans="1:4" ht="30">
      <c r="A371" s="47">
        <v>92145</v>
      </c>
      <c r="B371" s="48" t="s">
        <v>3301</v>
      </c>
      <c r="C371" s="47" t="s">
        <v>328</v>
      </c>
      <c r="D371" s="332">
        <v>92.77</v>
      </c>
    </row>
    <row r="372" spans="1:4" ht="45">
      <c r="A372" s="28">
        <v>92242</v>
      </c>
      <c r="B372" s="26" t="s">
        <v>3213</v>
      </c>
      <c r="C372" s="28" t="s">
        <v>328</v>
      </c>
      <c r="D372" s="329">
        <v>186.49</v>
      </c>
    </row>
    <row r="373" spans="1:4" ht="30">
      <c r="A373" s="47">
        <v>92716</v>
      </c>
      <c r="B373" s="48" t="s">
        <v>1888</v>
      </c>
      <c r="C373" s="47" t="s">
        <v>328</v>
      </c>
      <c r="D373" s="332">
        <v>13.52</v>
      </c>
    </row>
    <row r="374" spans="1:4" ht="30">
      <c r="A374" s="28">
        <v>92960</v>
      </c>
      <c r="B374" s="26" t="s">
        <v>7280</v>
      </c>
      <c r="C374" s="28" t="s">
        <v>328</v>
      </c>
      <c r="D374" s="329">
        <v>14.76</v>
      </c>
    </row>
    <row r="375" spans="1:4" ht="30">
      <c r="A375" s="47">
        <v>92966</v>
      </c>
      <c r="B375" s="48" t="s">
        <v>7316</v>
      </c>
      <c r="C375" s="47" t="s">
        <v>328</v>
      </c>
      <c r="D375" s="332">
        <v>20.13</v>
      </c>
    </row>
    <row r="376" spans="1:4" ht="45">
      <c r="A376" s="28">
        <v>93224</v>
      </c>
      <c r="B376" s="26" t="s">
        <v>7941</v>
      </c>
      <c r="C376" s="28" t="s">
        <v>328</v>
      </c>
      <c r="D376" s="329">
        <v>680.94</v>
      </c>
    </row>
    <row r="377" spans="1:4" ht="30">
      <c r="A377" s="47">
        <v>93233</v>
      </c>
      <c r="B377" s="48" t="s">
        <v>2510</v>
      </c>
      <c r="C377" s="47" t="s">
        <v>328</v>
      </c>
      <c r="D377" s="332">
        <v>5.32</v>
      </c>
    </row>
    <row r="378" spans="1:4" ht="30">
      <c r="A378" s="28">
        <v>93272</v>
      </c>
      <c r="B378" s="26" t="s">
        <v>5857</v>
      </c>
      <c r="C378" s="28" t="s">
        <v>328</v>
      </c>
      <c r="D378" s="329">
        <v>93.8</v>
      </c>
    </row>
    <row r="379" spans="1:4" ht="30">
      <c r="A379" s="47">
        <v>93281</v>
      </c>
      <c r="B379" s="48" t="s">
        <v>5925</v>
      </c>
      <c r="C379" s="47" t="s">
        <v>328</v>
      </c>
      <c r="D379" s="332">
        <v>18.54</v>
      </c>
    </row>
    <row r="380" spans="1:4" ht="30">
      <c r="A380" s="28">
        <v>93287</v>
      </c>
      <c r="B380" s="26" t="s">
        <v>5940</v>
      </c>
      <c r="C380" s="28" t="s">
        <v>328</v>
      </c>
      <c r="D380" s="329">
        <v>328.62</v>
      </c>
    </row>
    <row r="381" spans="1:4" ht="45">
      <c r="A381" s="47">
        <v>93402</v>
      </c>
      <c r="B381" s="48" t="s">
        <v>5952</v>
      </c>
      <c r="C381" s="47" t="s">
        <v>328</v>
      </c>
      <c r="D381" s="332">
        <v>124.73</v>
      </c>
    </row>
    <row r="382" spans="1:4" ht="60">
      <c r="A382" s="28">
        <v>93408</v>
      </c>
      <c r="B382" s="26" t="s">
        <v>7285</v>
      </c>
      <c r="C382" s="28" t="s">
        <v>328</v>
      </c>
      <c r="D382" s="329">
        <v>59.91</v>
      </c>
    </row>
    <row r="383" spans="1:4" ht="30">
      <c r="A383" s="47">
        <v>93415</v>
      </c>
      <c r="B383" s="48" t="s">
        <v>5769</v>
      </c>
      <c r="C383" s="47" t="s">
        <v>328</v>
      </c>
      <c r="D383" s="332">
        <v>11.38</v>
      </c>
    </row>
    <row r="384" spans="1:4" ht="30">
      <c r="A384" s="28">
        <v>93421</v>
      </c>
      <c r="B384" s="26" t="s">
        <v>5900</v>
      </c>
      <c r="C384" s="28" t="s">
        <v>328</v>
      </c>
      <c r="D384" s="329">
        <v>43.52</v>
      </c>
    </row>
    <row r="385" spans="1:4" ht="30">
      <c r="A385" s="47">
        <v>93427</v>
      </c>
      <c r="B385" s="48" t="s">
        <v>5891</v>
      </c>
      <c r="C385" s="47" t="s">
        <v>328</v>
      </c>
      <c r="D385" s="332">
        <v>99.8</v>
      </c>
    </row>
    <row r="386" spans="1:4" ht="30">
      <c r="A386" s="28">
        <v>93433</v>
      </c>
      <c r="B386" s="26" t="s">
        <v>10659</v>
      </c>
      <c r="C386" s="28" t="s">
        <v>328</v>
      </c>
      <c r="D386" s="329">
        <v>1766.78</v>
      </c>
    </row>
    <row r="387" spans="1:4" ht="30">
      <c r="A387" s="47">
        <v>93439</v>
      </c>
      <c r="B387" s="48" t="s">
        <v>10634</v>
      </c>
      <c r="C387" s="47" t="s">
        <v>328</v>
      </c>
      <c r="D387" s="332">
        <v>105.91</v>
      </c>
    </row>
    <row r="388" spans="1:4" ht="30">
      <c r="A388" s="28">
        <v>95121</v>
      </c>
      <c r="B388" s="26" t="s">
        <v>10667</v>
      </c>
      <c r="C388" s="28" t="s">
        <v>328</v>
      </c>
      <c r="D388" s="329">
        <v>224.83</v>
      </c>
    </row>
    <row r="389" spans="1:4" ht="30">
      <c r="A389" s="47">
        <v>95127</v>
      </c>
      <c r="B389" s="48" t="s">
        <v>4791</v>
      </c>
      <c r="C389" s="47" t="s">
        <v>328</v>
      </c>
      <c r="D389" s="332">
        <v>115.55</v>
      </c>
    </row>
    <row r="390" spans="1:4" ht="30">
      <c r="A390" s="28">
        <v>95133</v>
      </c>
      <c r="B390" s="26" t="s">
        <v>7272</v>
      </c>
      <c r="C390" s="28" t="s">
        <v>328</v>
      </c>
      <c r="D390" s="329">
        <v>147.57</v>
      </c>
    </row>
    <row r="391" spans="1:4" ht="30">
      <c r="A391" s="47">
        <v>95139</v>
      </c>
      <c r="B391" s="48" t="s">
        <v>9121</v>
      </c>
      <c r="C391" s="47" t="s">
        <v>328</v>
      </c>
      <c r="D391" s="332">
        <v>0.1</v>
      </c>
    </row>
    <row r="392" spans="1:4" ht="30">
      <c r="A392" s="28">
        <v>95212</v>
      </c>
      <c r="B392" s="26" t="s">
        <v>5849</v>
      </c>
      <c r="C392" s="28" t="s">
        <v>328</v>
      </c>
      <c r="D392" s="329">
        <v>99.96</v>
      </c>
    </row>
    <row r="393" spans="1:4" ht="30">
      <c r="A393" s="47">
        <v>95218</v>
      </c>
      <c r="B393" s="48" t="s">
        <v>8467</v>
      </c>
      <c r="C393" s="47" t="s">
        <v>328</v>
      </c>
      <c r="D393" s="332">
        <v>1.76</v>
      </c>
    </row>
    <row r="394" spans="1:4">
      <c r="A394" s="28">
        <v>95258</v>
      </c>
      <c r="B394" s="26" t="s">
        <v>7306</v>
      </c>
      <c r="C394" s="28" t="s">
        <v>328</v>
      </c>
      <c r="D394" s="329">
        <v>20.04</v>
      </c>
    </row>
    <row r="395" spans="1:4" ht="30">
      <c r="A395" s="47">
        <v>95264</v>
      </c>
      <c r="B395" s="48" t="s">
        <v>3667</v>
      </c>
      <c r="C395" s="47" t="s">
        <v>328</v>
      </c>
      <c r="D395" s="332">
        <v>5.14</v>
      </c>
    </row>
    <row r="396" spans="1:4" ht="30">
      <c r="A396" s="28">
        <v>95270</v>
      </c>
      <c r="B396" s="26" t="s">
        <v>8704</v>
      </c>
      <c r="C396" s="28" t="s">
        <v>328</v>
      </c>
      <c r="D396" s="329">
        <v>6.65</v>
      </c>
    </row>
    <row r="397" spans="1:4" ht="30">
      <c r="A397" s="47">
        <v>95276</v>
      </c>
      <c r="B397" s="48" t="s">
        <v>8230</v>
      </c>
      <c r="C397" s="47" t="s">
        <v>328</v>
      </c>
      <c r="D397" s="332">
        <v>3.55</v>
      </c>
    </row>
    <row r="398" spans="1:4" ht="30">
      <c r="A398" s="28">
        <v>95282</v>
      </c>
      <c r="B398" s="26" t="s">
        <v>4670</v>
      </c>
      <c r="C398" s="28" t="s">
        <v>328</v>
      </c>
      <c r="D398" s="329">
        <v>6.73</v>
      </c>
    </row>
    <row r="399" spans="1:4" ht="30">
      <c r="A399" s="47">
        <v>95620</v>
      </c>
      <c r="B399" s="48" t="s">
        <v>10874</v>
      </c>
      <c r="C399" s="47" t="s">
        <v>328</v>
      </c>
      <c r="D399" s="332">
        <v>19.41</v>
      </c>
    </row>
    <row r="400" spans="1:4" ht="30">
      <c r="A400" s="28">
        <v>95631</v>
      </c>
      <c r="B400" s="26" t="s">
        <v>10875</v>
      </c>
      <c r="C400" s="28" t="s">
        <v>328</v>
      </c>
      <c r="D400" s="329">
        <v>136.96</v>
      </c>
    </row>
    <row r="401" spans="1:4" ht="30">
      <c r="A401" s="47">
        <v>95702</v>
      </c>
      <c r="B401" s="48" t="s">
        <v>10876</v>
      </c>
      <c r="C401" s="47" t="s">
        <v>328</v>
      </c>
      <c r="D401" s="332">
        <v>41.04</v>
      </c>
    </row>
    <row r="402" spans="1:4" ht="30">
      <c r="A402" s="28">
        <v>95708</v>
      </c>
      <c r="B402" s="26" t="s">
        <v>10877</v>
      </c>
      <c r="C402" s="28" t="s">
        <v>328</v>
      </c>
      <c r="D402" s="329">
        <v>117.46</v>
      </c>
    </row>
    <row r="403" spans="1:4" ht="45">
      <c r="A403" s="47">
        <v>95714</v>
      </c>
      <c r="B403" s="48" t="s">
        <v>10878</v>
      </c>
      <c r="C403" s="47" t="s">
        <v>328</v>
      </c>
      <c r="D403" s="332">
        <v>183.83</v>
      </c>
    </row>
    <row r="404" spans="1:4" ht="45">
      <c r="A404" s="28">
        <v>95720</v>
      </c>
      <c r="B404" s="26" t="s">
        <v>10879</v>
      </c>
      <c r="C404" s="28" t="s">
        <v>328</v>
      </c>
      <c r="D404" s="329">
        <v>180.94</v>
      </c>
    </row>
    <row r="405" spans="1:4" ht="30">
      <c r="A405" s="47">
        <v>5632</v>
      </c>
      <c r="B405" s="48" t="s">
        <v>5194</v>
      </c>
      <c r="C405" s="47" t="s">
        <v>330</v>
      </c>
      <c r="D405" s="332">
        <v>67.349999999999994</v>
      </c>
    </row>
    <row r="406" spans="1:4" ht="45">
      <c r="A406" s="28">
        <v>5679</v>
      </c>
      <c r="B406" s="26" t="s">
        <v>8772</v>
      </c>
      <c r="C406" s="28" t="s">
        <v>330</v>
      </c>
      <c r="D406" s="329">
        <v>53.31</v>
      </c>
    </row>
    <row r="407" spans="1:4" ht="45">
      <c r="A407" s="47">
        <v>5681</v>
      </c>
      <c r="B407" s="48" t="s">
        <v>8760</v>
      </c>
      <c r="C407" s="47" t="s">
        <v>330</v>
      </c>
      <c r="D407" s="332">
        <v>51.46</v>
      </c>
    </row>
    <row r="408" spans="1:4" ht="45">
      <c r="A408" s="28">
        <v>5685</v>
      </c>
      <c r="B408" s="26" t="s">
        <v>8910</v>
      </c>
      <c r="C408" s="28" t="s">
        <v>330</v>
      </c>
      <c r="D408" s="329">
        <v>47.96</v>
      </c>
    </row>
    <row r="409" spans="1:4" ht="30">
      <c r="A409" s="47">
        <v>5690</v>
      </c>
      <c r="B409" s="48" t="s">
        <v>5778</v>
      </c>
      <c r="C409" s="47" t="s">
        <v>330</v>
      </c>
      <c r="D409" s="332">
        <v>2.92</v>
      </c>
    </row>
    <row r="410" spans="1:4" ht="45">
      <c r="A410" s="28">
        <v>5806</v>
      </c>
      <c r="B410" s="26" t="s">
        <v>7583</v>
      </c>
      <c r="C410" s="28" t="s">
        <v>330</v>
      </c>
      <c r="D410" s="329">
        <v>0.22</v>
      </c>
    </row>
    <row r="411" spans="1:4" ht="45">
      <c r="A411" s="47">
        <v>5826</v>
      </c>
      <c r="B411" s="48" t="s">
        <v>3251</v>
      </c>
      <c r="C411" s="47" t="s">
        <v>330</v>
      </c>
      <c r="D411" s="332">
        <v>42.59</v>
      </c>
    </row>
    <row r="412" spans="1:4" ht="30">
      <c r="A412" s="28">
        <v>5829</v>
      </c>
      <c r="B412" s="26" t="s">
        <v>10645</v>
      </c>
      <c r="C412" s="28" t="s">
        <v>330</v>
      </c>
      <c r="D412" s="329">
        <v>121.67</v>
      </c>
    </row>
    <row r="413" spans="1:4" ht="30">
      <c r="A413" s="47">
        <v>5837</v>
      </c>
      <c r="B413" s="48" t="s">
        <v>10796</v>
      </c>
      <c r="C413" s="47" t="s">
        <v>330</v>
      </c>
      <c r="D413" s="332">
        <v>93.03</v>
      </c>
    </row>
    <row r="414" spans="1:4" ht="30">
      <c r="A414" s="28">
        <v>5841</v>
      </c>
      <c r="B414" s="26" t="s">
        <v>10746</v>
      </c>
      <c r="C414" s="28" t="s">
        <v>330</v>
      </c>
      <c r="D414" s="329">
        <v>2.98</v>
      </c>
    </row>
    <row r="415" spans="1:4" ht="30">
      <c r="A415" s="47">
        <v>5845</v>
      </c>
      <c r="B415" s="48" t="s">
        <v>10110</v>
      </c>
      <c r="C415" s="47" t="s">
        <v>330</v>
      </c>
      <c r="D415" s="332">
        <v>41.79</v>
      </c>
    </row>
    <row r="416" spans="1:4" ht="30">
      <c r="A416" s="28">
        <v>5849</v>
      </c>
      <c r="B416" s="26" t="s">
        <v>10084</v>
      </c>
      <c r="C416" s="28" t="s">
        <v>330</v>
      </c>
      <c r="D416" s="329">
        <v>82.02</v>
      </c>
    </row>
    <row r="417" spans="1:4" ht="30">
      <c r="A417" s="47">
        <v>5853</v>
      </c>
      <c r="B417" s="48" t="s">
        <v>10078</v>
      </c>
      <c r="C417" s="47" t="s">
        <v>330</v>
      </c>
      <c r="D417" s="332">
        <v>82.32</v>
      </c>
    </row>
    <row r="418" spans="1:4" ht="30">
      <c r="A418" s="28">
        <v>5857</v>
      </c>
      <c r="B418" s="26" t="s">
        <v>10090</v>
      </c>
      <c r="C418" s="28" t="s">
        <v>330</v>
      </c>
      <c r="D418" s="329">
        <v>193.82</v>
      </c>
    </row>
    <row r="419" spans="1:4" ht="45">
      <c r="A419" s="47">
        <v>5865</v>
      </c>
      <c r="B419" s="48" t="s">
        <v>8940</v>
      </c>
      <c r="C419" s="47" t="s">
        <v>330</v>
      </c>
      <c r="D419" s="332">
        <v>5.35</v>
      </c>
    </row>
    <row r="420" spans="1:4" ht="30">
      <c r="A420" s="28">
        <v>5869</v>
      </c>
      <c r="B420" s="26" t="s">
        <v>8946</v>
      </c>
      <c r="C420" s="28" t="s">
        <v>330</v>
      </c>
      <c r="D420" s="329">
        <v>52</v>
      </c>
    </row>
    <row r="421" spans="1:4" ht="30">
      <c r="A421" s="47">
        <v>5873</v>
      </c>
      <c r="B421" s="48" t="s">
        <v>8892</v>
      </c>
      <c r="C421" s="47" t="s">
        <v>330</v>
      </c>
      <c r="D421" s="332">
        <v>53.29</v>
      </c>
    </row>
    <row r="422" spans="1:4" ht="60">
      <c r="A422" s="28">
        <v>5877</v>
      </c>
      <c r="B422" s="26" t="s">
        <v>8766</v>
      </c>
      <c r="C422" s="28" t="s">
        <v>330</v>
      </c>
      <c r="D422" s="329">
        <v>52.72</v>
      </c>
    </row>
    <row r="423" spans="1:4" ht="45">
      <c r="A423" s="47">
        <v>5881</v>
      </c>
      <c r="B423" s="48" t="s">
        <v>8934</v>
      </c>
      <c r="C423" s="47" t="s">
        <v>330</v>
      </c>
      <c r="D423" s="332">
        <v>54.45</v>
      </c>
    </row>
    <row r="424" spans="1:4" ht="45">
      <c r="A424" s="28">
        <v>5884</v>
      </c>
      <c r="B424" s="26" t="s">
        <v>10651</v>
      </c>
      <c r="C424" s="28" t="s">
        <v>330</v>
      </c>
      <c r="D424" s="329">
        <v>36.590000000000003</v>
      </c>
    </row>
    <row r="425" spans="1:4" ht="30">
      <c r="A425" s="47">
        <v>5892</v>
      </c>
      <c r="B425" s="48" t="s">
        <v>3259</v>
      </c>
      <c r="C425" s="47" t="s">
        <v>330</v>
      </c>
      <c r="D425" s="332">
        <v>43.69</v>
      </c>
    </row>
    <row r="426" spans="1:4" ht="45">
      <c r="A426" s="28">
        <v>5896</v>
      </c>
      <c r="B426" s="26" t="s">
        <v>3268</v>
      </c>
      <c r="C426" s="28" t="s">
        <v>330</v>
      </c>
      <c r="D426" s="329">
        <v>41.63</v>
      </c>
    </row>
    <row r="427" spans="1:4" ht="45">
      <c r="A427" s="47">
        <v>5903</v>
      </c>
      <c r="B427" s="48" t="s">
        <v>3230</v>
      </c>
      <c r="C427" s="47" t="s">
        <v>330</v>
      </c>
      <c r="D427" s="332">
        <v>48.58</v>
      </c>
    </row>
    <row r="428" spans="1:4" ht="30">
      <c r="A428" s="28">
        <v>5911</v>
      </c>
      <c r="B428" s="26" t="s">
        <v>5258</v>
      </c>
      <c r="C428" s="28" t="s">
        <v>330</v>
      </c>
      <c r="D428" s="329">
        <v>16.39</v>
      </c>
    </row>
    <row r="429" spans="1:4" ht="30">
      <c r="A429" s="47">
        <v>5923</v>
      </c>
      <c r="B429" s="48" t="s">
        <v>5783</v>
      </c>
      <c r="C429" s="47" t="s">
        <v>330</v>
      </c>
      <c r="D429" s="332">
        <v>2.29</v>
      </c>
    </row>
    <row r="430" spans="1:4" ht="45">
      <c r="A430" s="28">
        <v>5930</v>
      </c>
      <c r="B430" s="26" t="s">
        <v>5959</v>
      </c>
      <c r="C430" s="28" t="s">
        <v>330</v>
      </c>
      <c r="D430" s="329">
        <v>49.28</v>
      </c>
    </row>
    <row r="431" spans="1:4" ht="30">
      <c r="A431" s="47">
        <v>5934</v>
      </c>
      <c r="B431" s="48" t="s">
        <v>7600</v>
      </c>
      <c r="C431" s="47" t="s">
        <v>330</v>
      </c>
      <c r="D431" s="332">
        <v>76.510000000000005</v>
      </c>
    </row>
    <row r="432" spans="1:4" ht="30">
      <c r="A432" s="28">
        <v>5942</v>
      </c>
      <c r="B432" s="26" t="s">
        <v>7750</v>
      </c>
      <c r="C432" s="28" t="s">
        <v>330</v>
      </c>
      <c r="D432" s="329">
        <v>63.86</v>
      </c>
    </row>
    <row r="433" spans="1:4" ht="30">
      <c r="A433" s="47">
        <v>5946</v>
      </c>
      <c r="B433" s="48" t="s">
        <v>7744</v>
      </c>
      <c r="C433" s="47" t="s">
        <v>330</v>
      </c>
      <c r="D433" s="332">
        <v>75.19</v>
      </c>
    </row>
    <row r="434" spans="1:4" ht="30">
      <c r="A434" s="28">
        <v>5952</v>
      </c>
      <c r="B434" s="26" t="s">
        <v>7299</v>
      </c>
      <c r="C434" s="28" t="s">
        <v>330</v>
      </c>
      <c r="D434" s="329">
        <v>19.239999999999998</v>
      </c>
    </row>
    <row r="435" spans="1:4" ht="30">
      <c r="A435" s="47">
        <v>5954</v>
      </c>
      <c r="B435" s="48" t="s">
        <v>3686</v>
      </c>
      <c r="C435" s="47" t="s">
        <v>330</v>
      </c>
      <c r="D435" s="332">
        <v>2.2999999999999998</v>
      </c>
    </row>
    <row r="436" spans="1:4" ht="45">
      <c r="A436" s="28">
        <v>5961</v>
      </c>
      <c r="B436" s="26" t="s">
        <v>3205</v>
      </c>
      <c r="C436" s="28" t="s">
        <v>330</v>
      </c>
      <c r="D436" s="329">
        <v>48.41</v>
      </c>
    </row>
    <row r="437" spans="1:4" ht="45">
      <c r="A437" s="47">
        <v>6260</v>
      </c>
      <c r="B437" s="48" t="s">
        <v>3237</v>
      </c>
      <c r="C437" s="47" t="s">
        <v>330</v>
      </c>
      <c r="D437" s="332">
        <v>44.55</v>
      </c>
    </row>
    <row r="438" spans="1:4" ht="30">
      <c r="A438" s="28">
        <v>6880</v>
      </c>
      <c r="B438" s="26" t="s">
        <v>8886</v>
      </c>
      <c r="C438" s="28" t="s">
        <v>330</v>
      </c>
      <c r="D438" s="329">
        <v>54.07</v>
      </c>
    </row>
    <row r="439" spans="1:4" ht="30">
      <c r="A439" s="47">
        <v>7031</v>
      </c>
      <c r="B439" s="48" t="s">
        <v>9179</v>
      </c>
      <c r="C439" s="47" t="s">
        <v>330</v>
      </c>
      <c r="D439" s="332">
        <v>1.86</v>
      </c>
    </row>
    <row r="440" spans="1:4" ht="45">
      <c r="A440" s="28">
        <v>7043</v>
      </c>
      <c r="B440" s="26" t="s">
        <v>7590</v>
      </c>
      <c r="C440" s="28" t="s">
        <v>330</v>
      </c>
      <c r="D440" s="329">
        <v>0.27</v>
      </c>
    </row>
    <row r="441" spans="1:4" ht="45">
      <c r="A441" s="47">
        <v>7050</v>
      </c>
      <c r="B441" s="48" t="s">
        <v>8902</v>
      </c>
      <c r="C441" s="47" t="s">
        <v>330</v>
      </c>
      <c r="D441" s="332">
        <v>54.81</v>
      </c>
    </row>
    <row r="442" spans="1:4" ht="45">
      <c r="A442" s="28">
        <v>67827</v>
      </c>
      <c r="B442" s="26" t="s">
        <v>3198</v>
      </c>
      <c r="C442" s="28" t="s">
        <v>330</v>
      </c>
      <c r="D442" s="329">
        <v>47.6</v>
      </c>
    </row>
    <row r="443" spans="1:4" ht="30">
      <c r="A443" s="47">
        <v>73395</v>
      </c>
      <c r="B443" s="48" t="s">
        <v>5884</v>
      </c>
      <c r="C443" s="47" t="s">
        <v>330</v>
      </c>
      <c r="D443" s="332">
        <v>4.3600000000000003</v>
      </c>
    </row>
    <row r="444" spans="1:4" ht="30">
      <c r="A444" s="28">
        <v>83766</v>
      </c>
      <c r="B444" s="26" t="s">
        <v>5860</v>
      </c>
      <c r="C444" s="28" t="s">
        <v>330</v>
      </c>
      <c r="D444" s="329">
        <v>23.07</v>
      </c>
    </row>
    <row r="445" spans="1:4" ht="30">
      <c r="A445" s="47">
        <v>84013</v>
      </c>
      <c r="B445" s="48" t="s">
        <v>5200</v>
      </c>
      <c r="C445" s="47" t="s">
        <v>330</v>
      </c>
      <c r="D445" s="332">
        <v>65.94</v>
      </c>
    </row>
    <row r="446" spans="1:4" ht="30">
      <c r="A446" s="28">
        <v>87446</v>
      </c>
      <c r="B446" s="26" t="s">
        <v>2502</v>
      </c>
      <c r="C446" s="28" t="s">
        <v>330</v>
      </c>
      <c r="D446" s="329">
        <v>0.38</v>
      </c>
    </row>
    <row r="447" spans="1:4" ht="30">
      <c r="A447" s="47">
        <v>88392</v>
      </c>
      <c r="B447" s="48" t="s">
        <v>7411</v>
      </c>
      <c r="C447" s="47" t="s">
        <v>330</v>
      </c>
      <c r="D447" s="332">
        <v>0.74</v>
      </c>
    </row>
    <row r="448" spans="1:4" ht="30">
      <c r="A448" s="28">
        <v>88398</v>
      </c>
      <c r="B448" s="26" t="s">
        <v>7418</v>
      </c>
      <c r="C448" s="28" t="s">
        <v>330</v>
      </c>
      <c r="D448" s="329">
        <v>0.88</v>
      </c>
    </row>
    <row r="449" spans="1:4" ht="30">
      <c r="A449" s="47">
        <v>88404</v>
      </c>
      <c r="B449" s="48" t="s">
        <v>7404</v>
      </c>
      <c r="C449" s="47" t="s">
        <v>330</v>
      </c>
      <c r="D449" s="332">
        <v>0.7</v>
      </c>
    </row>
    <row r="450" spans="1:4" ht="30">
      <c r="A450" s="28">
        <v>88430</v>
      </c>
      <c r="B450" s="26" t="s">
        <v>8429</v>
      </c>
      <c r="C450" s="28" t="s">
        <v>330</v>
      </c>
      <c r="D450" s="329">
        <v>4.58</v>
      </c>
    </row>
    <row r="451" spans="1:4" ht="30">
      <c r="A451" s="47">
        <v>88438</v>
      </c>
      <c r="B451" s="48" t="s">
        <v>8435</v>
      </c>
      <c r="C451" s="47" t="s">
        <v>330</v>
      </c>
      <c r="D451" s="332">
        <v>6.07</v>
      </c>
    </row>
    <row r="452" spans="1:4" ht="30">
      <c r="A452" s="28">
        <v>88831</v>
      </c>
      <c r="B452" s="26" t="s">
        <v>2516</v>
      </c>
      <c r="C452" s="28" t="s">
        <v>330</v>
      </c>
      <c r="D452" s="329">
        <v>0.28000000000000003</v>
      </c>
    </row>
    <row r="453" spans="1:4" ht="30">
      <c r="A453" s="47">
        <v>88844</v>
      </c>
      <c r="B453" s="48" t="s">
        <v>10071</v>
      </c>
      <c r="C453" s="47" t="s">
        <v>330</v>
      </c>
      <c r="D453" s="332">
        <v>72.88</v>
      </c>
    </row>
    <row r="454" spans="1:4" ht="30">
      <c r="A454" s="28">
        <v>88908</v>
      </c>
      <c r="B454" s="26" t="s">
        <v>5207</v>
      </c>
      <c r="C454" s="28" t="s">
        <v>330</v>
      </c>
      <c r="D454" s="329">
        <v>70.8</v>
      </c>
    </row>
    <row r="455" spans="1:4" ht="45">
      <c r="A455" s="47">
        <v>89022</v>
      </c>
      <c r="B455" s="48" t="s">
        <v>2676</v>
      </c>
      <c r="C455" s="47" t="s">
        <v>330</v>
      </c>
      <c r="D455" s="332">
        <v>0.31</v>
      </c>
    </row>
    <row r="456" spans="1:4" ht="30">
      <c r="A456" s="28">
        <v>89027</v>
      </c>
      <c r="B456" s="26" t="s">
        <v>9171</v>
      </c>
      <c r="C456" s="28" t="s">
        <v>330</v>
      </c>
      <c r="D456" s="329">
        <v>1.51</v>
      </c>
    </row>
    <row r="457" spans="1:4" ht="30">
      <c r="A457" s="47">
        <v>89031</v>
      </c>
      <c r="B457" s="48" t="s">
        <v>10065</v>
      </c>
      <c r="C457" s="47" t="s">
        <v>330</v>
      </c>
      <c r="D457" s="332">
        <v>71.12</v>
      </c>
    </row>
    <row r="458" spans="1:4" ht="30">
      <c r="A458" s="28">
        <v>89036</v>
      </c>
      <c r="B458" s="26" t="s">
        <v>10116</v>
      </c>
      <c r="C458" s="28" t="s">
        <v>330</v>
      </c>
      <c r="D458" s="329">
        <v>39.53</v>
      </c>
    </row>
    <row r="459" spans="1:4" ht="30">
      <c r="A459" s="47">
        <v>89218</v>
      </c>
      <c r="B459" s="48" t="s">
        <v>2489</v>
      </c>
      <c r="C459" s="47" t="s">
        <v>330</v>
      </c>
      <c r="D459" s="332">
        <v>61.31</v>
      </c>
    </row>
    <row r="460" spans="1:4" ht="30">
      <c r="A460" s="28">
        <v>89226</v>
      </c>
      <c r="B460" s="26" t="s">
        <v>2522</v>
      </c>
      <c r="C460" s="28" t="s">
        <v>330</v>
      </c>
      <c r="D460" s="329">
        <v>1.1399999999999999</v>
      </c>
    </row>
    <row r="461" spans="1:4" ht="30">
      <c r="A461" s="47">
        <v>89227</v>
      </c>
      <c r="B461" s="48" t="s">
        <v>8919</v>
      </c>
      <c r="C461" s="47" t="s">
        <v>330</v>
      </c>
      <c r="D461" s="332">
        <v>48.74</v>
      </c>
    </row>
    <row r="462" spans="1:4" ht="30">
      <c r="A462" s="28">
        <v>89235</v>
      </c>
      <c r="B462" s="26" t="s">
        <v>5693</v>
      </c>
      <c r="C462" s="28" t="s">
        <v>330</v>
      </c>
      <c r="D462" s="329">
        <v>116.69</v>
      </c>
    </row>
    <row r="463" spans="1:4" ht="30">
      <c r="A463" s="47">
        <v>89243</v>
      </c>
      <c r="B463" s="48" t="s">
        <v>5699</v>
      </c>
      <c r="C463" s="47" t="s">
        <v>330</v>
      </c>
      <c r="D463" s="332">
        <v>226.92</v>
      </c>
    </row>
    <row r="464" spans="1:4" ht="30">
      <c r="A464" s="28">
        <v>89251</v>
      </c>
      <c r="B464" s="26" t="s">
        <v>8587</v>
      </c>
      <c r="C464" s="28" t="s">
        <v>330</v>
      </c>
      <c r="D464" s="329">
        <v>201.66</v>
      </c>
    </row>
    <row r="465" spans="1:4" ht="30">
      <c r="A465" s="47">
        <v>89258</v>
      </c>
      <c r="B465" s="48" t="s">
        <v>10803</v>
      </c>
      <c r="C465" s="47" t="s">
        <v>330</v>
      </c>
      <c r="D465" s="332">
        <v>82.41</v>
      </c>
    </row>
    <row r="466" spans="1:4" ht="30">
      <c r="A466" s="28">
        <v>89273</v>
      </c>
      <c r="B466" s="26" t="s">
        <v>5931</v>
      </c>
      <c r="C466" s="28" t="s">
        <v>330</v>
      </c>
      <c r="D466" s="329">
        <v>84.25</v>
      </c>
    </row>
    <row r="467" spans="1:4" ht="30">
      <c r="A467" s="47">
        <v>89279</v>
      </c>
      <c r="B467" s="48" t="s">
        <v>2528</v>
      </c>
      <c r="C467" s="47" t="s">
        <v>330</v>
      </c>
      <c r="D467" s="332">
        <v>1.39</v>
      </c>
    </row>
    <row r="468" spans="1:4" ht="45">
      <c r="A468" s="28">
        <v>89877</v>
      </c>
      <c r="B468" s="26" t="s">
        <v>3184</v>
      </c>
      <c r="C468" s="28" t="s">
        <v>330</v>
      </c>
      <c r="D468" s="329">
        <v>57.71</v>
      </c>
    </row>
    <row r="469" spans="1:4" ht="45">
      <c r="A469" s="47">
        <v>89884</v>
      </c>
      <c r="B469" s="48" t="s">
        <v>3191</v>
      </c>
      <c r="C469" s="47" t="s">
        <v>330</v>
      </c>
      <c r="D469" s="332">
        <v>59.29</v>
      </c>
    </row>
    <row r="470" spans="1:4" ht="30">
      <c r="A470" s="28">
        <v>90587</v>
      </c>
      <c r="B470" s="26" t="s">
        <v>10786</v>
      </c>
      <c r="C470" s="28" t="s">
        <v>330</v>
      </c>
      <c r="D470" s="329">
        <v>1.48</v>
      </c>
    </row>
    <row r="471" spans="1:4" ht="30">
      <c r="A471" s="47">
        <v>90626</v>
      </c>
      <c r="B471" s="48" t="s">
        <v>7957</v>
      </c>
      <c r="C471" s="47" t="s">
        <v>330</v>
      </c>
      <c r="D471" s="332">
        <v>1.92</v>
      </c>
    </row>
    <row r="472" spans="1:4" ht="30">
      <c r="A472" s="28">
        <v>90632</v>
      </c>
      <c r="B472" s="26" t="s">
        <v>7969</v>
      </c>
      <c r="C472" s="28" t="s">
        <v>330</v>
      </c>
      <c r="D472" s="329">
        <v>68.290000000000006</v>
      </c>
    </row>
    <row r="473" spans="1:4" ht="45">
      <c r="A473" s="47">
        <v>90638</v>
      </c>
      <c r="B473" s="48" t="s">
        <v>7427</v>
      </c>
      <c r="C473" s="47" t="s">
        <v>330</v>
      </c>
      <c r="D473" s="332">
        <v>3.52</v>
      </c>
    </row>
    <row r="474" spans="1:4" ht="30">
      <c r="A474" s="28">
        <v>90644</v>
      </c>
      <c r="B474" s="26" t="s">
        <v>2696</v>
      </c>
      <c r="C474" s="28" t="s">
        <v>330</v>
      </c>
      <c r="D474" s="329">
        <v>6.07</v>
      </c>
    </row>
    <row r="475" spans="1:4" ht="45">
      <c r="A475" s="47">
        <v>90651</v>
      </c>
      <c r="B475" s="48" t="s">
        <v>2630</v>
      </c>
      <c r="C475" s="47" t="s">
        <v>330</v>
      </c>
      <c r="D475" s="332">
        <v>0.77</v>
      </c>
    </row>
    <row r="476" spans="1:4" ht="30">
      <c r="A476" s="28">
        <v>90657</v>
      </c>
      <c r="B476" s="26" t="s">
        <v>2646</v>
      </c>
      <c r="C476" s="28" t="s">
        <v>330</v>
      </c>
      <c r="D476" s="329">
        <v>3.95</v>
      </c>
    </row>
    <row r="477" spans="1:4" ht="30">
      <c r="A477" s="47">
        <v>90663</v>
      </c>
      <c r="B477" s="48" t="s">
        <v>2653</v>
      </c>
      <c r="C477" s="47" t="s">
        <v>330</v>
      </c>
      <c r="D477" s="332">
        <v>4.2300000000000004</v>
      </c>
    </row>
    <row r="478" spans="1:4" ht="45">
      <c r="A478" s="28">
        <v>90669</v>
      </c>
      <c r="B478" s="26" t="s">
        <v>8442</v>
      </c>
      <c r="C478" s="28" t="s">
        <v>330</v>
      </c>
      <c r="D478" s="329">
        <v>3.6</v>
      </c>
    </row>
    <row r="479" spans="1:4" ht="45">
      <c r="A479" s="47">
        <v>90675</v>
      </c>
      <c r="B479" s="48" t="s">
        <v>7934</v>
      </c>
      <c r="C479" s="47" t="s">
        <v>330</v>
      </c>
      <c r="D479" s="332">
        <v>201.19</v>
      </c>
    </row>
    <row r="480" spans="1:4" ht="45">
      <c r="A480" s="28">
        <v>90681</v>
      </c>
      <c r="B480" s="26" t="s">
        <v>7949</v>
      </c>
      <c r="C480" s="28" t="s">
        <v>330</v>
      </c>
      <c r="D480" s="329">
        <v>118.83</v>
      </c>
    </row>
    <row r="481" spans="1:4" ht="30">
      <c r="A481" s="47">
        <v>90687</v>
      </c>
      <c r="B481" s="48" t="s">
        <v>7233</v>
      </c>
      <c r="C481" s="47" t="s">
        <v>330</v>
      </c>
      <c r="D481" s="332">
        <v>63.95</v>
      </c>
    </row>
    <row r="482" spans="1:4" ht="30">
      <c r="A482" s="28">
        <v>90693</v>
      </c>
      <c r="B482" s="26" t="s">
        <v>7391</v>
      </c>
      <c r="C482" s="28" t="s">
        <v>330</v>
      </c>
      <c r="D482" s="329">
        <v>45.4</v>
      </c>
    </row>
    <row r="483" spans="1:4" ht="30">
      <c r="A483" s="47">
        <v>90965</v>
      </c>
      <c r="B483" s="48" t="s">
        <v>3711</v>
      </c>
      <c r="C483" s="47" t="s">
        <v>330</v>
      </c>
      <c r="D483" s="332">
        <v>3</v>
      </c>
    </row>
    <row r="484" spans="1:4" ht="30">
      <c r="A484" s="28">
        <v>90973</v>
      </c>
      <c r="B484" s="26" t="s">
        <v>3692</v>
      </c>
      <c r="C484" s="28" t="s">
        <v>330</v>
      </c>
      <c r="D484" s="329">
        <v>3.01</v>
      </c>
    </row>
    <row r="485" spans="1:4" ht="30">
      <c r="A485" s="47">
        <v>90982</v>
      </c>
      <c r="B485" s="48" t="s">
        <v>3705</v>
      </c>
      <c r="C485" s="47" t="s">
        <v>330</v>
      </c>
      <c r="D485" s="332">
        <v>7.65</v>
      </c>
    </row>
    <row r="486" spans="1:4" ht="30">
      <c r="A486" s="28">
        <v>91001</v>
      </c>
      <c r="B486" s="26" t="s">
        <v>3699</v>
      </c>
      <c r="C486" s="28" t="s">
        <v>330</v>
      </c>
      <c r="D486" s="329">
        <v>3.57</v>
      </c>
    </row>
    <row r="487" spans="1:4" ht="45">
      <c r="A487" s="47">
        <v>91032</v>
      </c>
      <c r="B487" s="48" t="s">
        <v>3286</v>
      </c>
      <c r="C487" s="47" t="s">
        <v>330</v>
      </c>
      <c r="D487" s="332">
        <v>47.55</v>
      </c>
    </row>
    <row r="488" spans="1:4" ht="30">
      <c r="A488" s="28">
        <v>91278</v>
      </c>
      <c r="B488" s="26" t="s">
        <v>8124</v>
      </c>
      <c r="C488" s="28" t="s">
        <v>330</v>
      </c>
      <c r="D488" s="329">
        <v>0.93</v>
      </c>
    </row>
    <row r="489" spans="1:4" ht="45">
      <c r="A489" s="47">
        <v>91285</v>
      </c>
      <c r="B489" s="48" t="s">
        <v>4086</v>
      </c>
      <c r="C489" s="47" t="s">
        <v>330</v>
      </c>
      <c r="D489" s="332">
        <v>0.79</v>
      </c>
    </row>
    <row r="490" spans="1:4" ht="45">
      <c r="A490" s="28">
        <v>91387</v>
      </c>
      <c r="B490" s="26" t="s">
        <v>3177</v>
      </c>
      <c r="C490" s="28" t="s">
        <v>330</v>
      </c>
      <c r="D490" s="329">
        <v>50.74</v>
      </c>
    </row>
    <row r="491" spans="1:4" ht="45">
      <c r="A491" s="47">
        <v>91395</v>
      </c>
      <c r="B491" s="48" t="s">
        <v>3244</v>
      </c>
      <c r="C491" s="47" t="s">
        <v>330</v>
      </c>
      <c r="D491" s="332">
        <v>47.57</v>
      </c>
    </row>
    <row r="492" spans="1:4" ht="45">
      <c r="A492" s="28">
        <v>91486</v>
      </c>
      <c r="B492" s="26" t="s">
        <v>5266</v>
      </c>
      <c r="C492" s="28" t="s">
        <v>330</v>
      </c>
      <c r="D492" s="329">
        <v>53.64</v>
      </c>
    </row>
    <row r="493" spans="1:4" ht="30">
      <c r="A493" s="47">
        <v>91534</v>
      </c>
      <c r="B493" s="48" t="s">
        <v>3672</v>
      </c>
      <c r="C493" s="47" t="s">
        <v>330</v>
      </c>
      <c r="D493" s="332">
        <v>1.5</v>
      </c>
    </row>
    <row r="494" spans="1:4" ht="45">
      <c r="A494" s="28">
        <v>91635</v>
      </c>
      <c r="B494" s="26" t="s">
        <v>5967</v>
      </c>
      <c r="C494" s="28" t="s">
        <v>330</v>
      </c>
      <c r="D494" s="329">
        <v>47.92</v>
      </c>
    </row>
    <row r="495" spans="1:4" ht="45">
      <c r="A495" s="47">
        <v>91646</v>
      </c>
      <c r="B495" s="48" t="s">
        <v>3219</v>
      </c>
      <c r="C495" s="47" t="s">
        <v>330</v>
      </c>
      <c r="D495" s="332">
        <v>64.05</v>
      </c>
    </row>
    <row r="496" spans="1:4" ht="30">
      <c r="A496" s="28">
        <v>91693</v>
      </c>
      <c r="B496" s="26" t="s">
        <v>9012</v>
      </c>
      <c r="C496" s="28" t="s">
        <v>330</v>
      </c>
      <c r="D496" s="329">
        <v>0.05</v>
      </c>
    </row>
    <row r="497" spans="1:4" ht="30">
      <c r="A497" s="47">
        <v>92044</v>
      </c>
      <c r="B497" s="48" t="s">
        <v>4795</v>
      </c>
      <c r="C497" s="47" t="s">
        <v>330</v>
      </c>
      <c r="D497" s="332">
        <v>3.96</v>
      </c>
    </row>
    <row r="498" spans="1:4" ht="45">
      <c r="A498" s="28">
        <v>92107</v>
      </c>
      <c r="B498" s="26" t="s">
        <v>3228</v>
      </c>
      <c r="C498" s="28" t="s">
        <v>330</v>
      </c>
      <c r="D498" s="329">
        <v>55.67</v>
      </c>
    </row>
    <row r="499" spans="1:4" ht="30">
      <c r="A499" s="47">
        <v>92113</v>
      </c>
      <c r="B499" s="48" t="s">
        <v>7902</v>
      </c>
      <c r="C499" s="47" t="s">
        <v>330</v>
      </c>
      <c r="D499" s="332">
        <v>1.08</v>
      </c>
    </row>
    <row r="500" spans="1:4">
      <c r="A500" s="28">
        <v>92119</v>
      </c>
      <c r="B500" s="26" t="s">
        <v>331</v>
      </c>
      <c r="C500" s="28" t="s">
        <v>330</v>
      </c>
      <c r="D500" s="329">
        <v>0.88</v>
      </c>
    </row>
    <row r="501" spans="1:4" ht="30">
      <c r="A501" s="47">
        <v>92139</v>
      </c>
      <c r="B501" s="48" t="s">
        <v>3308</v>
      </c>
      <c r="C501" s="47" t="s">
        <v>330</v>
      </c>
      <c r="D501" s="332">
        <v>37.54</v>
      </c>
    </row>
    <row r="502" spans="1:4" ht="30">
      <c r="A502" s="28">
        <v>92146</v>
      </c>
      <c r="B502" s="26" t="s">
        <v>3300</v>
      </c>
      <c r="C502" s="28" t="s">
        <v>330</v>
      </c>
      <c r="D502" s="329">
        <v>31.91</v>
      </c>
    </row>
    <row r="503" spans="1:4" ht="45">
      <c r="A503" s="47">
        <v>92243</v>
      </c>
      <c r="B503" s="48" t="s">
        <v>3212</v>
      </c>
      <c r="C503" s="47" t="s">
        <v>330</v>
      </c>
      <c r="D503" s="332">
        <v>54.91</v>
      </c>
    </row>
    <row r="504" spans="1:4" ht="30">
      <c r="A504" s="28">
        <v>92717</v>
      </c>
      <c r="B504" s="26" t="s">
        <v>1887</v>
      </c>
      <c r="C504" s="28" t="s">
        <v>330</v>
      </c>
      <c r="D504" s="329">
        <v>0.16</v>
      </c>
    </row>
    <row r="505" spans="1:4" ht="30">
      <c r="A505" s="47">
        <v>92961</v>
      </c>
      <c r="B505" s="48" t="s">
        <v>7279</v>
      </c>
      <c r="C505" s="47" t="s">
        <v>330</v>
      </c>
      <c r="D505" s="332">
        <v>4.88</v>
      </c>
    </row>
    <row r="506" spans="1:4" ht="30">
      <c r="A506" s="28">
        <v>92967</v>
      </c>
      <c r="B506" s="26" t="s">
        <v>7315</v>
      </c>
      <c r="C506" s="28" t="s">
        <v>330</v>
      </c>
      <c r="D506" s="329">
        <v>19.29</v>
      </c>
    </row>
    <row r="507" spans="1:4" ht="45">
      <c r="A507" s="47">
        <v>93225</v>
      </c>
      <c r="B507" s="48" t="s">
        <v>7940</v>
      </c>
      <c r="C507" s="47" t="s">
        <v>330</v>
      </c>
      <c r="D507" s="332">
        <v>295.48</v>
      </c>
    </row>
    <row r="508" spans="1:4" ht="30">
      <c r="A508" s="28">
        <v>93234</v>
      </c>
      <c r="B508" s="26" t="s">
        <v>2509</v>
      </c>
      <c r="C508" s="28" t="s">
        <v>330</v>
      </c>
      <c r="D508" s="329">
        <v>0.35</v>
      </c>
    </row>
    <row r="509" spans="1:4" ht="30">
      <c r="A509" s="47">
        <v>93242</v>
      </c>
      <c r="B509" s="48" t="s">
        <v>8958</v>
      </c>
      <c r="C509" s="47" t="s">
        <v>330</v>
      </c>
      <c r="D509" s="332">
        <v>43.73</v>
      </c>
    </row>
    <row r="510" spans="1:4" ht="45">
      <c r="A510" s="28">
        <v>93244</v>
      </c>
      <c r="B510" s="26" t="s">
        <v>8927</v>
      </c>
      <c r="C510" s="28" t="s">
        <v>330</v>
      </c>
      <c r="D510" s="329">
        <v>48.66</v>
      </c>
    </row>
    <row r="511" spans="1:4" ht="30">
      <c r="A511" s="47">
        <v>93274</v>
      </c>
      <c r="B511" s="48" t="s">
        <v>5856</v>
      </c>
      <c r="C511" s="47" t="s">
        <v>330</v>
      </c>
      <c r="D511" s="332">
        <v>65.290000000000006</v>
      </c>
    </row>
    <row r="512" spans="1:4" ht="30">
      <c r="A512" s="28">
        <v>93282</v>
      </c>
      <c r="B512" s="26" t="s">
        <v>5924</v>
      </c>
      <c r="C512" s="28" t="s">
        <v>330</v>
      </c>
      <c r="D512" s="329">
        <v>17.95</v>
      </c>
    </row>
    <row r="513" spans="1:4" ht="30">
      <c r="A513" s="47">
        <v>93288</v>
      </c>
      <c r="B513" s="48" t="s">
        <v>5939</v>
      </c>
      <c r="C513" s="47" t="s">
        <v>330</v>
      </c>
      <c r="D513" s="332">
        <v>123.41</v>
      </c>
    </row>
    <row r="514" spans="1:4" ht="30">
      <c r="A514" s="28">
        <v>93416</v>
      </c>
      <c r="B514" s="26" t="s">
        <v>5768</v>
      </c>
      <c r="C514" s="28" t="s">
        <v>330</v>
      </c>
      <c r="D514" s="329">
        <v>0.21</v>
      </c>
    </row>
    <row r="515" spans="1:4" ht="30">
      <c r="A515" s="47">
        <v>93422</v>
      </c>
      <c r="B515" s="48" t="s">
        <v>5899</v>
      </c>
      <c r="C515" s="47" t="s">
        <v>330</v>
      </c>
      <c r="D515" s="332">
        <v>2.74</v>
      </c>
    </row>
    <row r="516" spans="1:4" ht="30">
      <c r="A516" s="28">
        <v>93428</v>
      </c>
      <c r="B516" s="26" t="s">
        <v>5890</v>
      </c>
      <c r="C516" s="28" t="s">
        <v>330</v>
      </c>
      <c r="D516" s="329">
        <v>3.89</v>
      </c>
    </row>
    <row r="517" spans="1:4" ht="30">
      <c r="A517" s="47">
        <v>93434</v>
      </c>
      <c r="B517" s="48" t="s">
        <v>10658</v>
      </c>
      <c r="C517" s="47" t="s">
        <v>330</v>
      </c>
      <c r="D517" s="332">
        <v>199.99</v>
      </c>
    </row>
    <row r="518" spans="1:4" ht="30">
      <c r="A518" s="28">
        <v>93440</v>
      </c>
      <c r="B518" s="26" t="s">
        <v>10633</v>
      </c>
      <c r="C518" s="28" t="s">
        <v>330</v>
      </c>
      <c r="D518" s="329">
        <v>85.93</v>
      </c>
    </row>
    <row r="519" spans="1:4" ht="30">
      <c r="A519" s="47">
        <v>95122</v>
      </c>
      <c r="B519" s="48" t="s">
        <v>10666</v>
      </c>
      <c r="C519" s="47" t="s">
        <v>330</v>
      </c>
      <c r="D519" s="332">
        <v>141.05000000000001</v>
      </c>
    </row>
    <row r="520" spans="1:4" ht="30">
      <c r="A520" s="28">
        <v>95128</v>
      </c>
      <c r="B520" s="26" t="s">
        <v>4790</v>
      </c>
      <c r="C520" s="28" t="s">
        <v>330</v>
      </c>
      <c r="D520" s="329">
        <v>45.91</v>
      </c>
    </row>
    <row r="521" spans="1:4" ht="30">
      <c r="A521" s="47">
        <v>95134</v>
      </c>
      <c r="B521" s="48" t="s">
        <v>7271</v>
      </c>
      <c r="C521" s="47" t="s">
        <v>57</v>
      </c>
      <c r="D521" s="332">
        <v>83.03</v>
      </c>
    </row>
    <row r="522" spans="1:4" ht="30">
      <c r="A522" s="28">
        <v>95140</v>
      </c>
      <c r="B522" s="26" t="s">
        <v>9120</v>
      </c>
      <c r="C522" s="28" t="s">
        <v>330</v>
      </c>
      <c r="D522" s="329">
        <v>0.06</v>
      </c>
    </row>
    <row r="523" spans="1:4" ht="30">
      <c r="A523" s="47">
        <v>95213</v>
      </c>
      <c r="B523" s="48" t="s">
        <v>5848</v>
      </c>
      <c r="C523" s="47" t="s">
        <v>330</v>
      </c>
      <c r="D523" s="332">
        <v>68.38</v>
      </c>
    </row>
    <row r="524" spans="1:4" ht="30">
      <c r="A524" s="28">
        <v>95219</v>
      </c>
      <c r="B524" s="26" t="s">
        <v>8467</v>
      </c>
      <c r="C524" s="28" t="s">
        <v>330</v>
      </c>
      <c r="D524" s="329">
        <v>0.72</v>
      </c>
    </row>
    <row r="525" spans="1:4">
      <c r="A525" s="47">
        <v>95259</v>
      </c>
      <c r="B525" s="48" t="s">
        <v>7305</v>
      </c>
      <c r="C525" s="47" t="s">
        <v>330</v>
      </c>
      <c r="D525" s="332">
        <v>18.93</v>
      </c>
    </row>
    <row r="526" spans="1:4" ht="30">
      <c r="A526" s="28">
        <v>95265</v>
      </c>
      <c r="B526" s="26" t="s">
        <v>3666</v>
      </c>
      <c r="C526" s="28" t="s">
        <v>330</v>
      </c>
      <c r="D526" s="329">
        <v>1.31</v>
      </c>
    </row>
    <row r="527" spans="1:4" ht="30">
      <c r="A527" s="47">
        <v>95271</v>
      </c>
      <c r="B527" s="48" t="s">
        <v>8703</v>
      </c>
      <c r="C527" s="47" t="s">
        <v>330</v>
      </c>
      <c r="D527" s="332">
        <v>1.1200000000000001</v>
      </c>
    </row>
    <row r="528" spans="1:4" ht="30">
      <c r="A528" s="28">
        <v>95277</v>
      </c>
      <c r="B528" s="26" t="s">
        <v>8229</v>
      </c>
      <c r="C528" s="28" t="s">
        <v>330</v>
      </c>
      <c r="D528" s="329">
        <v>1.21</v>
      </c>
    </row>
    <row r="529" spans="1:4" ht="30">
      <c r="A529" s="47">
        <v>95283</v>
      </c>
      <c r="B529" s="48" t="s">
        <v>4669</v>
      </c>
      <c r="C529" s="47" t="s">
        <v>330</v>
      </c>
      <c r="D529" s="332">
        <v>1.32</v>
      </c>
    </row>
    <row r="530" spans="1:4" ht="30">
      <c r="A530" s="28">
        <v>95621</v>
      </c>
      <c r="B530" s="26" t="s">
        <v>10880</v>
      </c>
      <c r="C530" s="28" t="s">
        <v>330</v>
      </c>
      <c r="D530" s="329">
        <v>18.809999999999999</v>
      </c>
    </row>
    <row r="531" spans="1:4" ht="30">
      <c r="A531" s="47">
        <v>95632</v>
      </c>
      <c r="B531" s="48" t="s">
        <v>10881</v>
      </c>
      <c r="C531" s="47" t="s">
        <v>330</v>
      </c>
      <c r="D531" s="332">
        <v>56.75</v>
      </c>
    </row>
    <row r="532" spans="1:4" ht="30">
      <c r="A532" s="28">
        <v>95703</v>
      </c>
      <c r="B532" s="26" t="s">
        <v>10882</v>
      </c>
      <c r="C532" s="28" t="s">
        <v>330</v>
      </c>
      <c r="D532" s="329">
        <v>35.54</v>
      </c>
    </row>
    <row r="533" spans="1:4" ht="30">
      <c r="A533" s="47">
        <v>95709</v>
      </c>
      <c r="B533" s="48" t="s">
        <v>10883</v>
      </c>
      <c r="C533" s="47" t="s">
        <v>330</v>
      </c>
      <c r="D533" s="332">
        <v>66.75</v>
      </c>
    </row>
    <row r="534" spans="1:4" ht="45">
      <c r="A534" s="28">
        <v>95715</v>
      </c>
      <c r="B534" s="26" t="s">
        <v>10884</v>
      </c>
      <c r="C534" s="28" t="s">
        <v>330</v>
      </c>
      <c r="D534" s="329">
        <v>72.650000000000006</v>
      </c>
    </row>
    <row r="535" spans="1:4" ht="45">
      <c r="A535" s="47">
        <v>95721</v>
      </c>
      <c r="B535" s="48" t="s">
        <v>10885</v>
      </c>
      <c r="C535" s="47" t="s">
        <v>330</v>
      </c>
      <c r="D535" s="332">
        <v>71.3</v>
      </c>
    </row>
    <row r="536" spans="1:4" ht="45">
      <c r="A536" s="28">
        <v>5089</v>
      </c>
      <c r="B536" s="26" t="s">
        <v>8931</v>
      </c>
      <c r="C536" s="28" t="s">
        <v>57</v>
      </c>
      <c r="D536" s="329">
        <v>16.600000000000001</v>
      </c>
    </row>
    <row r="537" spans="1:4" ht="30">
      <c r="A537" s="47">
        <v>5627</v>
      </c>
      <c r="B537" s="48" t="s">
        <v>5196</v>
      </c>
      <c r="C537" s="47" t="s">
        <v>57</v>
      </c>
      <c r="D537" s="332">
        <v>25.06</v>
      </c>
    </row>
    <row r="538" spans="1:4" ht="30">
      <c r="A538" s="28">
        <v>5628</v>
      </c>
      <c r="B538" s="26" t="s">
        <v>5197</v>
      </c>
      <c r="C538" s="28" t="s">
        <v>57</v>
      </c>
      <c r="D538" s="329">
        <v>5.63</v>
      </c>
    </row>
    <row r="539" spans="1:4" ht="30">
      <c r="A539" s="47">
        <v>5629</v>
      </c>
      <c r="B539" s="48" t="s">
        <v>5198</v>
      </c>
      <c r="C539" s="47" t="s">
        <v>57</v>
      </c>
      <c r="D539" s="332">
        <v>35.24</v>
      </c>
    </row>
    <row r="540" spans="1:4" ht="30">
      <c r="A540" s="28">
        <v>5630</v>
      </c>
      <c r="B540" s="26" t="s">
        <v>5199</v>
      </c>
      <c r="C540" s="28" t="s">
        <v>57</v>
      </c>
      <c r="D540" s="329">
        <v>50.01</v>
      </c>
    </row>
    <row r="541" spans="1:4" ht="30">
      <c r="A541" s="47">
        <v>5658</v>
      </c>
      <c r="B541" s="48" t="s">
        <v>5782</v>
      </c>
      <c r="C541" s="47" t="s">
        <v>57</v>
      </c>
      <c r="D541" s="332">
        <v>1.71</v>
      </c>
    </row>
    <row r="542" spans="1:4" ht="45">
      <c r="A542" s="28">
        <v>5664</v>
      </c>
      <c r="B542" s="26" t="s">
        <v>8776</v>
      </c>
      <c r="C542" s="28" t="s">
        <v>57</v>
      </c>
      <c r="D542" s="329">
        <v>14.87</v>
      </c>
    </row>
    <row r="543" spans="1:4" ht="45">
      <c r="A543" s="47">
        <v>5667</v>
      </c>
      <c r="B543" s="48" t="s">
        <v>8764</v>
      </c>
      <c r="C543" s="47" t="s">
        <v>57</v>
      </c>
      <c r="D543" s="332">
        <v>13.22</v>
      </c>
    </row>
    <row r="544" spans="1:4" ht="60">
      <c r="A544" s="28">
        <v>5668</v>
      </c>
      <c r="B544" s="26" t="s">
        <v>8765</v>
      </c>
      <c r="C544" s="28" t="s">
        <v>57</v>
      </c>
      <c r="D544" s="329">
        <v>38.29</v>
      </c>
    </row>
    <row r="545" spans="1:4" ht="45">
      <c r="A545" s="47">
        <v>5674</v>
      </c>
      <c r="B545" s="48" t="s">
        <v>8914</v>
      </c>
      <c r="C545" s="47" t="s">
        <v>57</v>
      </c>
      <c r="D545" s="332">
        <v>15.96</v>
      </c>
    </row>
    <row r="546" spans="1:4" ht="30">
      <c r="A546" s="28">
        <v>5675</v>
      </c>
      <c r="B546" s="26" t="s">
        <v>8960</v>
      </c>
      <c r="C546" s="28" t="s">
        <v>57</v>
      </c>
      <c r="D546" s="329">
        <v>10.71</v>
      </c>
    </row>
    <row r="547" spans="1:4" ht="30">
      <c r="A547" s="47">
        <v>5676</v>
      </c>
      <c r="B547" s="48" t="s">
        <v>8962</v>
      </c>
      <c r="C547" s="47" t="s">
        <v>57</v>
      </c>
      <c r="D547" s="332">
        <v>11.9</v>
      </c>
    </row>
    <row r="548" spans="1:4" ht="45">
      <c r="A548" s="28">
        <v>5677</v>
      </c>
      <c r="B548" s="26" t="s">
        <v>8963</v>
      </c>
      <c r="C548" s="28" t="s">
        <v>57</v>
      </c>
      <c r="D548" s="329">
        <v>20.260000000000002</v>
      </c>
    </row>
    <row r="549" spans="1:4" ht="45">
      <c r="A549" s="47">
        <v>5692</v>
      </c>
      <c r="B549" s="48" t="s">
        <v>7587</v>
      </c>
      <c r="C549" s="47" t="s">
        <v>57</v>
      </c>
      <c r="D549" s="332">
        <v>0.11</v>
      </c>
    </row>
    <row r="550" spans="1:4" ht="45">
      <c r="A550" s="28">
        <v>5693</v>
      </c>
      <c r="B550" s="26" t="s">
        <v>7588</v>
      </c>
      <c r="C550" s="28" t="s">
        <v>57</v>
      </c>
      <c r="D550" s="329">
        <v>4.6500000000000004</v>
      </c>
    </row>
    <row r="551" spans="1:4" ht="45">
      <c r="A551" s="47">
        <v>5695</v>
      </c>
      <c r="B551" s="48" t="s">
        <v>3210</v>
      </c>
      <c r="C551" s="47" t="s">
        <v>57</v>
      </c>
      <c r="D551" s="332">
        <v>19.53</v>
      </c>
    </row>
    <row r="552" spans="1:4" ht="30">
      <c r="A552" s="28">
        <v>5703</v>
      </c>
      <c r="B552" s="26" t="s">
        <v>10650</v>
      </c>
      <c r="C552" s="28" t="s">
        <v>57</v>
      </c>
      <c r="D552" s="329">
        <v>13.72</v>
      </c>
    </row>
    <row r="553" spans="1:4" ht="45">
      <c r="A553" s="47">
        <v>5705</v>
      </c>
      <c r="B553" s="48" t="s">
        <v>3256</v>
      </c>
      <c r="C553" s="47" t="s">
        <v>57</v>
      </c>
      <c r="D553" s="332">
        <v>11.5</v>
      </c>
    </row>
    <row r="554" spans="1:4" ht="30">
      <c r="A554" s="28">
        <v>5707</v>
      </c>
      <c r="B554" s="26" t="s">
        <v>10670</v>
      </c>
      <c r="C554" s="28" t="s">
        <v>57</v>
      </c>
      <c r="D554" s="329">
        <v>47</v>
      </c>
    </row>
    <row r="555" spans="1:4" ht="30">
      <c r="A555" s="47">
        <v>5710</v>
      </c>
      <c r="B555" s="48" t="s">
        <v>10800</v>
      </c>
      <c r="C555" s="47" t="s">
        <v>57</v>
      </c>
      <c r="D555" s="332">
        <v>56.63</v>
      </c>
    </row>
    <row r="556" spans="1:4" ht="30">
      <c r="A556" s="28">
        <v>5711</v>
      </c>
      <c r="B556" s="26" t="s">
        <v>10801</v>
      </c>
      <c r="C556" s="28" t="s">
        <v>57</v>
      </c>
      <c r="D556" s="329">
        <v>47.32</v>
      </c>
    </row>
    <row r="557" spans="1:4" ht="30">
      <c r="A557" s="47">
        <v>5714</v>
      </c>
      <c r="B557" s="48" t="s">
        <v>10120</v>
      </c>
      <c r="C557" s="47" t="s">
        <v>57</v>
      </c>
      <c r="D557" s="332">
        <v>5.08</v>
      </c>
    </row>
    <row r="558" spans="1:4" ht="30">
      <c r="A558" s="28">
        <v>5715</v>
      </c>
      <c r="B558" s="26" t="s">
        <v>10121</v>
      </c>
      <c r="C558" s="28" t="s">
        <v>57</v>
      </c>
      <c r="D558" s="329">
        <v>37.78</v>
      </c>
    </row>
    <row r="559" spans="1:4" ht="30">
      <c r="A559" s="47">
        <v>5718</v>
      </c>
      <c r="B559" s="48" t="s">
        <v>10089</v>
      </c>
      <c r="C559" s="47" t="s">
        <v>57</v>
      </c>
      <c r="D559" s="332">
        <v>91.92</v>
      </c>
    </row>
    <row r="560" spans="1:4" ht="30">
      <c r="A560" s="28">
        <v>5721</v>
      </c>
      <c r="B560" s="26" t="s">
        <v>10083</v>
      </c>
      <c r="C560" s="28" t="s">
        <v>57</v>
      </c>
      <c r="D560" s="329">
        <v>81.11</v>
      </c>
    </row>
    <row r="561" spans="1:4" ht="30">
      <c r="A561" s="47">
        <v>5722</v>
      </c>
      <c r="B561" s="48" t="s">
        <v>10095</v>
      </c>
      <c r="C561" s="47" t="s">
        <v>57</v>
      </c>
      <c r="D561" s="332">
        <v>187.63</v>
      </c>
    </row>
    <row r="562" spans="1:4" ht="30">
      <c r="A562" s="28">
        <v>5724</v>
      </c>
      <c r="B562" s="26" t="s">
        <v>10069</v>
      </c>
      <c r="C562" s="28" t="s">
        <v>57</v>
      </c>
      <c r="D562" s="329">
        <v>38.56</v>
      </c>
    </row>
    <row r="563" spans="1:4" ht="45">
      <c r="A563" s="47">
        <v>5727</v>
      </c>
      <c r="B563" s="48" t="s">
        <v>8944</v>
      </c>
      <c r="C563" s="47" t="s">
        <v>57</v>
      </c>
      <c r="D563" s="332">
        <v>4.8099999999999996</v>
      </c>
    </row>
    <row r="564" spans="1:4" ht="30">
      <c r="A564" s="28">
        <v>5729</v>
      </c>
      <c r="B564" s="26" t="s">
        <v>8950</v>
      </c>
      <c r="C564" s="28" t="s">
        <v>57</v>
      </c>
      <c r="D564" s="329">
        <v>19.600000000000001</v>
      </c>
    </row>
    <row r="565" spans="1:4" ht="30">
      <c r="A565" s="47">
        <v>5730</v>
      </c>
      <c r="B565" s="48" t="s">
        <v>8951</v>
      </c>
      <c r="C565" s="47" t="s">
        <v>57</v>
      </c>
      <c r="D565" s="332">
        <v>26.12</v>
      </c>
    </row>
    <row r="566" spans="1:4" ht="45">
      <c r="A566" s="28">
        <v>5732</v>
      </c>
      <c r="B566" s="26" t="s">
        <v>8896</v>
      </c>
      <c r="C566" s="28" t="s">
        <v>57</v>
      </c>
      <c r="D566" s="329">
        <v>18.62</v>
      </c>
    </row>
    <row r="567" spans="1:4" ht="45">
      <c r="A567" s="47">
        <v>5733</v>
      </c>
      <c r="B567" s="48" t="s">
        <v>8897</v>
      </c>
      <c r="C567" s="47" t="s">
        <v>57</v>
      </c>
      <c r="D567" s="332">
        <v>44.6</v>
      </c>
    </row>
    <row r="568" spans="1:4" ht="60">
      <c r="A568" s="28">
        <v>5735</v>
      </c>
      <c r="B568" s="26" t="s">
        <v>8770</v>
      </c>
      <c r="C568" s="28" t="s">
        <v>57</v>
      </c>
      <c r="D568" s="329">
        <v>14.35</v>
      </c>
    </row>
    <row r="569" spans="1:4" ht="60">
      <c r="A569" s="47">
        <v>5736</v>
      </c>
      <c r="B569" s="48" t="s">
        <v>8771</v>
      </c>
      <c r="C569" s="47" t="s">
        <v>57</v>
      </c>
      <c r="D569" s="332">
        <v>35.15</v>
      </c>
    </row>
    <row r="570" spans="1:4" ht="45">
      <c r="A570" s="28">
        <v>5738</v>
      </c>
      <c r="B570" s="26" t="s">
        <v>8936</v>
      </c>
      <c r="C570" s="28" t="s">
        <v>57</v>
      </c>
      <c r="D570" s="329">
        <v>19.64</v>
      </c>
    </row>
    <row r="571" spans="1:4" ht="45">
      <c r="A571" s="47">
        <v>5739</v>
      </c>
      <c r="B571" s="48" t="s">
        <v>8938</v>
      </c>
      <c r="C571" s="47" t="s">
        <v>57</v>
      </c>
      <c r="D571" s="332">
        <v>21.81</v>
      </c>
    </row>
    <row r="572" spans="1:4" ht="45">
      <c r="A572" s="28">
        <v>5741</v>
      </c>
      <c r="B572" s="26" t="s">
        <v>10655</v>
      </c>
      <c r="C572" s="28" t="s">
        <v>57</v>
      </c>
      <c r="D572" s="329">
        <v>18.64</v>
      </c>
    </row>
    <row r="573" spans="1:4" ht="45">
      <c r="A573" s="47">
        <v>5742</v>
      </c>
      <c r="B573" s="48" t="s">
        <v>10656</v>
      </c>
      <c r="C573" s="47" t="s">
        <v>57</v>
      </c>
      <c r="D573" s="332">
        <v>14.67</v>
      </c>
    </row>
    <row r="574" spans="1:4" ht="45">
      <c r="A574" s="28">
        <v>5747</v>
      </c>
      <c r="B574" s="26" t="s">
        <v>3243</v>
      </c>
      <c r="C574" s="28" t="s">
        <v>57</v>
      </c>
      <c r="D574" s="329">
        <v>63.02</v>
      </c>
    </row>
    <row r="575" spans="1:4" ht="45">
      <c r="A575" s="47">
        <v>5751</v>
      </c>
      <c r="B575" s="48" t="s">
        <v>3264</v>
      </c>
      <c r="C575" s="47" t="s">
        <v>57</v>
      </c>
      <c r="D575" s="332">
        <v>2.56</v>
      </c>
    </row>
    <row r="576" spans="1:4" ht="45">
      <c r="A576" s="28">
        <v>5754</v>
      </c>
      <c r="B576" s="26" t="s">
        <v>3273</v>
      </c>
      <c r="C576" s="28" t="s">
        <v>57</v>
      </c>
      <c r="D576" s="329">
        <v>10.59</v>
      </c>
    </row>
    <row r="577" spans="1:4" ht="45">
      <c r="A577" s="47">
        <v>5763</v>
      </c>
      <c r="B577" s="48" t="s">
        <v>3235</v>
      </c>
      <c r="C577" s="47" t="s">
        <v>57</v>
      </c>
      <c r="D577" s="332">
        <v>17.23</v>
      </c>
    </row>
    <row r="578" spans="1:4" ht="30">
      <c r="A578" s="28">
        <v>5765</v>
      </c>
      <c r="B578" s="26" t="s">
        <v>5262</v>
      </c>
      <c r="C578" s="28" t="s">
        <v>57</v>
      </c>
      <c r="D578" s="329">
        <v>4.16</v>
      </c>
    </row>
    <row r="579" spans="1:4" ht="30">
      <c r="A579" s="47">
        <v>5766</v>
      </c>
      <c r="B579" s="48" t="s">
        <v>5263</v>
      </c>
      <c r="C579" s="47" t="s">
        <v>57</v>
      </c>
      <c r="D579" s="332">
        <v>2.92</v>
      </c>
    </row>
    <row r="580" spans="1:4" ht="30">
      <c r="A580" s="28">
        <v>5779</v>
      </c>
      <c r="B580" s="26" t="s">
        <v>7604</v>
      </c>
      <c r="C580" s="28" t="s">
        <v>57</v>
      </c>
      <c r="D580" s="329">
        <v>31.5</v>
      </c>
    </row>
    <row r="581" spans="1:4" ht="30">
      <c r="A581" s="47">
        <v>5787</v>
      </c>
      <c r="B581" s="48" t="s">
        <v>7749</v>
      </c>
      <c r="C581" s="47" t="s">
        <v>57</v>
      </c>
      <c r="D581" s="332">
        <v>97.78</v>
      </c>
    </row>
    <row r="582" spans="1:4" ht="30">
      <c r="A582" s="28">
        <v>5791</v>
      </c>
      <c r="B582" s="26" t="s">
        <v>8923</v>
      </c>
      <c r="C582" s="28" t="s">
        <v>57</v>
      </c>
      <c r="D582" s="329">
        <v>16.59</v>
      </c>
    </row>
    <row r="583" spans="1:4" ht="45">
      <c r="A583" s="47">
        <v>5792</v>
      </c>
      <c r="B583" s="48" t="s">
        <v>8924</v>
      </c>
      <c r="C583" s="47" t="s">
        <v>57</v>
      </c>
      <c r="D583" s="332">
        <v>36.049999999999997</v>
      </c>
    </row>
    <row r="584" spans="1:4" ht="30">
      <c r="A584" s="28">
        <v>5797</v>
      </c>
      <c r="B584" s="26" t="s">
        <v>3690</v>
      </c>
      <c r="C584" s="28" t="s">
        <v>57</v>
      </c>
      <c r="D584" s="329">
        <v>2.06</v>
      </c>
    </row>
    <row r="585" spans="1:4" ht="45">
      <c r="A585" s="47">
        <v>5800</v>
      </c>
      <c r="B585" s="48" t="s">
        <v>2680</v>
      </c>
      <c r="C585" s="47" t="s">
        <v>57</v>
      </c>
      <c r="D585" s="332">
        <v>0.16</v>
      </c>
    </row>
    <row r="586" spans="1:4" ht="30">
      <c r="A586" s="28">
        <v>7032</v>
      </c>
      <c r="B586" s="26" t="s">
        <v>9181</v>
      </c>
      <c r="C586" s="28" t="s">
        <v>57</v>
      </c>
      <c r="D586" s="329">
        <v>1.43</v>
      </c>
    </row>
    <row r="587" spans="1:4" ht="30">
      <c r="A587" s="47">
        <v>7033</v>
      </c>
      <c r="B587" s="48" t="s">
        <v>9182</v>
      </c>
      <c r="C587" s="47" t="s">
        <v>57</v>
      </c>
      <c r="D587" s="332">
        <v>0.42</v>
      </c>
    </row>
    <row r="588" spans="1:4" ht="30">
      <c r="A588" s="28">
        <v>7034</v>
      </c>
      <c r="B588" s="26" t="s">
        <v>9183</v>
      </c>
      <c r="C588" s="28" t="s">
        <v>57</v>
      </c>
      <c r="D588" s="329">
        <v>0.99</v>
      </c>
    </row>
    <row r="589" spans="1:4" ht="30">
      <c r="A589" s="47">
        <v>7035</v>
      </c>
      <c r="B589" s="48" t="s">
        <v>9184</v>
      </c>
      <c r="C589" s="47" t="s">
        <v>57</v>
      </c>
      <c r="D589" s="332">
        <v>129.43</v>
      </c>
    </row>
    <row r="590" spans="1:4" ht="30">
      <c r="A590" s="28">
        <v>7038</v>
      </c>
      <c r="B590" s="26" t="s">
        <v>8888</v>
      </c>
      <c r="C590" s="28" t="s">
        <v>57</v>
      </c>
      <c r="D590" s="329">
        <v>18.7</v>
      </c>
    </row>
    <row r="591" spans="1:4" ht="30">
      <c r="A591" s="47">
        <v>7039</v>
      </c>
      <c r="B591" s="48" t="s">
        <v>8889</v>
      </c>
      <c r="C591" s="47" t="s">
        <v>57</v>
      </c>
      <c r="D591" s="332">
        <v>5.14</v>
      </c>
    </row>
    <row r="592" spans="1:4" ht="30">
      <c r="A592" s="28">
        <v>7040</v>
      </c>
      <c r="B592" s="26" t="s">
        <v>8890</v>
      </c>
      <c r="C592" s="28" t="s">
        <v>57</v>
      </c>
      <c r="D592" s="329">
        <v>19.25</v>
      </c>
    </row>
    <row r="593" spans="1:4" ht="45">
      <c r="A593" s="47">
        <v>7044</v>
      </c>
      <c r="B593" s="48" t="s">
        <v>7592</v>
      </c>
      <c r="C593" s="47" t="s">
        <v>57</v>
      </c>
      <c r="D593" s="332">
        <v>0.21</v>
      </c>
    </row>
    <row r="594" spans="1:4" ht="45">
      <c r="A594" s="28">
        <v>7045</v>
      </c>
      <c r="B594" s="26" t="s">
        <v>7593</v>
      </c>
      <c r="C594" s="28" t="s">
        <v>57</v>
      </c>
      <c r="D594" s="329">
        <v>0.06</v>
      </c>
    </row>
    <row r="595" spans="1:4" ht="45">
      <c r="A595" s="47">
        <v>7046</v>
      </c>
      <c r="B595" s="48" t="s">
        <v>7594</v>
      </c>
      <c r="C595" s="47" t="s">
        <v>57</v>
      </c>
      <c r="D595" s="332">
        <v>0.13</v>
      </c>
    </row>
    <row r="596" spans="1:4" ht="45">
      <c r="A596" s="28">
        <v>7047</v>
      </c>
      <c r="B596" s="26" t="s">
        <v>7595</v>
      </c>
      <c r="C596" s="28" t="s">
        <v>57</v>
      </c>
      <c r="D596" s="329">
        <v>5.5</v>
      </c>
    </row>
    <row r="597" spans="1:4" ht="45">
      <c r="A597" s="47">
        <v>7051</v>
      </c>
      <c r="B597" s="48" t="s">
        <v>8904</v>
      </c>
      <c r="C597" s="47" t="s">
        <v>57</v>
      </c>
      <c r="D597" s="332">
        <v>19.920000000000002</v>
      </c>
    </row>
    <row r="598" spans="1:4" ht="45">
      <c r="A598" s="28">
        <v>7052</v>
      </c>
      <c r="B598" s="26" t="s">
        <v>8905</v>
      </c>
      <c r="C598" s="28" t="s">
        <v>57</v>
      </c>
      <c r="D598" s="329">
        <v>4.6399999999999997</v>
      </c>
    </row>
    <row r="599" spans="1:4" ht="45">
      <c r="A599" s="47">
        <v>7053</v>
      </c>
      <c r="B599" s="48" t="s">
        <v>8906</v>
      </c>
      <c r="C599" s="47" t="s">
        <v>57</v>
      </c>
      <c r="D599" s="332">
        <v>22.13</v>
      </c>
    </row>
    <row r="600" spans="1:4" ht="45">
      <c r="A600" s="28">
        <v>7054</v>
      </c>
      <c r="B600" s="26" t="s">
        <v>8907</v>
      </c>
      <c r="C600" s="28" t="s">
        <v>57</v>
      </c>
      <c r="D600" s="329">
        <v>56.32</v>
      </c>
    </row>
    <row r="601" spans="1:4" ht="45">
      <c r="A601" s="47">
        <v>7058</v>
      </c>
      <c r="B601" s="48" t="s">
        <v>3200</v>
      </c>
      <c r="C601" s="47" t="s">
        <v>57</v>
      </c>
      <c r="D601" s="332">
        <v>13.27</v>
      </c>
    </row>
    <row r="602" spans="1:4" ht="45">
      <c r="A602" s="28">
        <v>7059</v>
      </c>
      <c r="B602" s="26" t="s">
        <v>3202</v>
      </c>
      <c r="C602" s="28" t="s">
        <v>57</v>
      </c>
      <c r="D602" s="329">
        <v>3.14</v>
      </c>
    </row>
    <row r="603" spans="1:4" ht="45">
      <c r="A603" s="47">
        <v>7060</v>
      </c>
      <c r="B603" s="48" t="s">
        <v>3203</v>
      </c>
      <c r="C603" s="47" t="s">
        <v>57</v>
      </c>
      <c r="D603" s="332">
        <v>18.66</v>
      </c>
    </row>
    <row r="604" spans="1:4" ht="45">
      <c r="A604" s="28">
        <v>7061</v>
      </c>
      <c r="B604" s="26" t="s">
        <v>3204</v>
      </c>
      <c r="C604" s="28" t="s">
        <v>57</v>
      </c>
      <c r="D604" s="329">
        <v>61.66</v>
      </c>
    </row>
    <row r="605" spans="1:4" ht="30">
      <c r="A605" s="47">
        <v>7063</v>
      </c>
      <c r="B605" s="48" t="s">
        <v>10112</v>
      </c>
      <c r="C605" s="47" t="s">
        <v>57</v>
      </c>
      <c r="D605" s="332">
        <v>6.33</v>
      </c>
    </row>
    <row r="606" spans="1:4" ht="30">
      <c r="A606" s="28">
        <v>7064</v>
      </c>
      <c r="B606" s="26" t="s">
        <v>10113</v>
      </c>
      <c r="C606" s="28" t="s">
        <v>57</v>
      </c>
      <c r="D606" s="329">
        <v>2.13</v>
      </c>
    </row>
    <row r="607" spans="1:4" ht="30">
      <c r="A607" s="47">
        <v>7065</v>
      </c>
      <c r="B607" s="48" t="s">
        <v>10114</v>
      </c>
      <c r="C607" s="47" t="s">
        <v>57</v>
      </c>
      <c r="D607" s="332">
        <v>6.93</v>
      </c>
    </row>
    <row r="608" spans="1:4" ht="30">
      <c r="A608" s="28">
        <v>7066</v>
      </c>
      <c r="B608" s="26" t="s">
        <v>10115</v>
      </c>
      <c r="C608" s="28" t="s">
        <v>57</v>
      </c>
      <c r="D608" s="329">
        <v>54.23</v>
      </c>
    </row>
    <row r="609" spans="1:4" ht="60">
      <c r="A609" s="47">
        <v>53786</v>
      </c>
      <c r="B609" s="48" t="s">
        <v>8777</v>
      </c>
      <c r="C609" s="47" t="s">
        <v>57</v>
      </c>
      <c r="D609" s="332">
        <v>41.46</v>
      </c>
    </row>
    <row r="610" spans="1:4" ht="45">
      <c r="A610" s="28">
        <v>53788</v>
      </c>
      <c r="B610" s="26" t="s">
        <v>8915</v>
      </c>
      <c r="C610" s="28" t="s">
        <v>57</v>
      </c>
      <c r="D610" s="329">
        <v>36.049999999999997</v>
      </c>
    </row>
    <row r="611" spans="1:4" ht="45">
      <c r="A611" s="47">
        <v>53792</v>
      </c>
      <c r="B611" s="48" t="s">
        <v>3211</v>
      </c>
      <c r="C611" s="47" t="s">
        <v>57</v>
      </c>
      <c r="D611" s="332">
        <v>76.67</v>
      </c>
    </row>
    <row r="612" spans="1:4" ht="30">
      <c r="A612" s="28">
        <v>53794</v>
      </c>
      <c r="B612" s="26" t="s">
        <v>10649</v>
      </c>
      <c r="C612" s="28" t="s">
        <v>57</v>
      </c>
      <c r="D612" s="329">
        <v>32.5</v>
      </c>
    </row>
    <row r="613" spans="1:4" ht="60">
      <c r="A613" s="47">
        <v>53797</v>
      </c>
      <c r="B613" s="48" t="s">
        <v>3257</v>
      </c>
      <c r="C613" s="47" t="s">
        <v>57</v>
      </c>
      <c r="D613" s="332">
        <v>63.02</v>
      </c>
    </row>
    <row r="614" spans="1:4" ht="30">
      <c r="A614" s="28">
        <v>53804</v>
      </c>
      <c r="B614" s="26" t="s">
        <v>10750</v>
      </c>
      <c r="C614" s="28" t="s">
        <v>57</v>
      </c>
      <c r="D614" s="329">
        <v>1.81</v>
      </c>
    </row>
    <row r="615" spans="1:4" ht="30">
      <c r="A615" s="47">
        <v>53806</v>
      </c>
      <c r="B615" s="48" t="s">
        <v>10088</v>
      </c>
      <c r="C615" s="47" t="s">
        <v>57</v>
      </c>
      <c r="D615" s="332">
        <v>49.69</v>
      </c>
    </row>
    <row r="616" spans="1:4" ht="30">
      <c r="A616" s="28">
        <v>53810</v>
      </c>
      <c r="B616" s="26" t="s">
        <v>10082</v>
      </c>
      <c r="C616" s="28" t="s">
        <v>57</v>
      </c>
      <c r="D616" s="329">
        <v>50</v>
      </c>
    </row>
    <row r="617" spans="1:4" ht="30">
      <c r="A617" s="47">
        <v>53814</v>
      </c>
      <c r="B617" s="48" t="s">
        <v>10094</v>
      </c>
      <c r="C617" s="47" t="s">
        <v>57</v>
      </c>
      <c r="D617" s="332">
        <v>163.77000000000001</v>
      </c>
    </row>
    <row r="618" spans="1:4" ht="30">
      <c r="A618" s="28">
        <v>53817</v>
      </c>
      <c r="B618" s="26" t="s">
        <v>10070</v>
      </c>
      <c r="C618" s="28" t="s">
        <v>57</v>
      </c>
      <c r="D618" s="329">
        <v>54.05</v>
      </c>
    </row>
    <row r="619" spans="1:4" ht="45">
      <c r="A619" s="47">
        <v>53818</v>
      </c>
      <c r="B619" s="48" t="s">
        <v>8942</v>
      </c>
      <c r="C619" s="47" t="s">
        <v>57</v>
      </c>
      <c r="D619" s="332">
        <v>4.33</v>
      </c>
    </row>
    <row r="620" spans="1:4" ht="30">
      <c r="A620" s="28">
        <v>53823</v>
      </c>
      <c r="B620" s="26" t="s">
        <v>8894</v>
      </c>
      <c r="C620" s="28" t="s">
        <v>57</v>
      </c>
      <c r="D620" s="329">
        <v>18.079999999999998</v>
      </c>
    </row>
    <row r="621" spans="1:4" ht="45">
      <c r="A621" s="47">
        <v>53827</v>
      </c>
      <c r="B621" s="48" t="s">
        <v>3265</v>
      </c>
      <c r="C621" s="47" t="s">
        <v>57</v>
      </c>
      <c r="D621" s="332">
        <v>61.66</v>
      </c>
    </row>
    <row r="622" spans="1:4" ht="45">
      <c r="A622" s="28">
        <v>53829</v>
      </c>
      <c r="B622" s="26" t="s">
        <v>3274</v>
      </c>
      <c r="C622" s="28" t="s">
        <v>57</v>
      </c>
      <c r="D622" s="329">
        <v>63.02</v>
      </c>
    </row>
    <row r="623" spans="1:4" ht="45">
      <c r="A623" s="47">
        <v>53831</v>
      </c>
      <c r="B623" s="48" t="s">
        <v>3236</v>
      </c>
      <c r="C623" s="47" t="s">
        <v>57</v>
      </c>
      <c r="D623" s="332">
        <v>76.67</v>
      </c>
    </row>
    <row r="624" spans="1:4" ht="30">
      <c r="A624" s="28">
        <v>53840</v>
      </c>
      <c r="B624" s="26" t="s">
        <v>5785</v>
      </c>
      <c r="C624" s="28" t="s">
        <v>57</v>
      </c>
      <c r="D624" s="329">
        <v>1.7</v>
      </c>
    </row>
    <row r="625" spans="1:4" ht="30">
      <c r="A625" s="47">
        <v>53841</v>
      </c>
      <c r="B625" s="48" t="s">
        <v>5787</v>
      </c>
      <c r="C625" s="47" t="s">
        <v>57</v>
      </c>
      <c r="D625" s="332">
        <v>1.34</v>
      </c>
    </row>
    <row r="626" spans="1:4" ht="30">
      <c r="A626" s="28">
        <v>53849</v>
      </c>
      <c r="B626" s="26" t="s">
        <v>7605</v>
      </c>
      <c r="C626" s="28" t="s">
        <v>57</v>
      </c>
      <c r="D626" s="329">
        <v>67.58</v>
      </c>
    </row>
    <row r="627" spans="1:4" ht="30">
      <c r="A627" s="47">
        <v>53857</v>
      </c>
      <c r="B627" s="48" t="s">
        <v>7754</v>
      </c>
      <c r="C627" s="47" t="s">
        <v>57</v>
      </c>
      <c r="D627" s="332">
        <v>26.16</v>
      </c>
    </row>
    <row r="628" spans="1:4" ht="30">
      <c r="A628" s="28">
        <v>53858</v>
      </c>
      <c r="B628" s="26" t="s">
        <v>7755</v>
      </c>
      <c r="C628" s="28" t="s">
        <v>57</v>
      </c>
      <c r="D628" s="329">
        <v>57.68</v>
      </c>
    </row>
    <row r="629" spans="1:4" ht="30">
      <c r="A629" s="47">
        <v>53861</v>
      </c>
      <c r="B629" s="48" t="s">
        <v>7748</v>
      </c>
      <c r="C629" s="47" t="s">
        <v>57</v>
      </c>
      <c r="D629" s="332">
        <v>36.28</v>
      </c>
    </row>
    <row r="630" spans="1:4" ht="30">
      <c r="A630" s="28">
        <v>53863</v>
      </c>
      <c r="B630" s="26" t="s">
        <v>7303</v>
      </c>
      <c r="C630" s="28" t="s">
        <v>57</v>
      </c>
      <c r="D630" s="329">
        <v>0.81</v>
      </c>
    </row>
    <row r="631" spans="1:4" ht="30">
      <c r="A631" s="47">
        <v>53865</v>
      </c>
      <c r="B631" s="48" t="s">
        <v>3691</v>
      </c>
      <c r="C631" s="47" t="s">
        <v>57</v>
      </c>
      <c r="D631" s="332">
        <v>30.8</v>
      </c>
    </row>
    <row r="632" spans="1:4" ht="45">
      <c r="A632" s="28">
        <v>53866</v>
      </c>
      <c r="B632" s="26" t="s">
        <v>2681</v>
      </c>
      <c r="C632" s="28" t="s">
        <v>57</v>
      </c>
      <c r="D632" s="329">
        <v>1.33</v>
      </c>
    </row>
    <row r="633" spans="1:4" ht="45">
      <c r="A633" s="47">
        <v>53882</v>
      </c>
      <c r="B633" s="48" t="s">
        <v>3242</v>
      </c>
      <c r="C633" s="47" t="s">
        <v>57</v>
      </c>
      <c r="D633" s="332">
        <v>13.37</v>
      </c>
    </row>
    <row r="634" spans="1:4" ht="45">
      <c r="A634" s="28">
        <v>55263</v>
      </c>
      <c r="B634" s="26" t="s">
        <v>8891</v>
      </c>
      <c r="C634" s="28" t="s">
        <v>57</v>
      </c>
      <c r="D634" s="329">
        <v>50.01</v>
      </c>
    </row>
    <row r="635" spans="1:4" ht="30">
      <c r="A635" s="47">
        <v>73303</v>
      </c>
      <c r="B635" s="48" t="s">
        <v>5886</v>
      </c>
      <c r="C635" s="47" t="s">
        <v>57</v>
      </c>
      <c r="D635" s="332">
        <v>3.4</v>
      </c>
    </row>
    <row r="636" spans="1:4" ht="30">
      <c r="A636" s="28">
        <v>73307</v>
      </c>
      <c r="B636" s="26" t="s">
        <v>5888</v>
      </c>
      <c r="C636" s="28" t="s">
        <v>57</v>
      </c>
      <c r="D636" s="329">
        <v>2.5</v>
      </c>
    </row>
    <row r="637" spans="1:4" ht="45">
      <c r="A637" s="47">
        <v>73309</v>
      </c>
      <c r="B637" s="48" t="s">
        <v>8929</v>
      </c>
      <c r="C637" s="47" t="s">
        <v>57</v>
      </c>
      <c r="D637" s="332">
        <v>14.94</v>
      </c>
    </row>
    <row r="638" spans="1:4" ht="30">
      <c r="A638" s="28">
        <v>73311</v>
      </c>
      <c r="B638" s="26" t="s">
        <v>5889</v>
      </c>
      <c r="C638" s="28" t="s">
        <v>57</v>
      </c>
      <c r="D638" s="329">
        <v>104.09</v>
      </c>
    </row>
    <row r="639" spans="1:4" ht="45">
      <c r="A639" s="47">
        <v>73313</v>
      </c>
      <c r="B639" s="48" t="s">
        <v>8930</v>
      </c>
      <c r="C639" s="47" t="s">
        <v>57</v>
      </c>
      <c r="D639" s="332">
        <v>3.48</v>
      </c>
    </row>
    <row r="640" spans="1:4" ht="45">
      <c r="A640" s="28">
        <v>73315</v>
      </c>
      <c r="B640" s="26" t="s">
        <v>8932</v>
      </c>
      <c r="C640" s="28" t="s">
        <v>57</v>
      </c>
      <c r="D640" s="329">
        <v>36.049999999999997</v>
      </c>
    </row>
    <row r="641" spans="1:4" ht="45">
      <c r="A641" s="47">
        <v>73335</v>
      </c>
      <c r="B641" s="48" t="s">
        <v>3249</v>
      </c>
      <c r="C641" s="47" t="s">
        <v>57</v>
      </c>
      <c r="D641" s="332">
        <v>13.65</v>
      </c>
    </row>
    <row r="642" spans="1:4" ht="60">
      <c r="A642" s="28">
        <v>73340</v>
      </c>
      <c r="B642" s="26" t="s">
        <v>3250</v>
      </c>
      <c r="C642" s="28" t="s">
        <v>57</v>
      </c>
      <c r="D642" s="329">
        <v>61.66</v>
      </c>
    </row>
    <row r="643" spans="1:4" ht="30">
      <c r="A643" s="47">
        <v>73343</v>
      </c>
      <c r="B643" s="48" t="s">
        <v>10779</v>
      </c>
      <c r="C643" s="47" t="s">
        <v>57</v>
      </c>
      <c r="D643" s="332">
        <v>0.47</v>
      </c>
    </row>
    <row r="644" spans="1:4" ht="45">
      <c r="A644" s="28">
        <v>83361</v>
      </c>
      <c r="B644" s="26" t="s">
        <v>5271</v>
      </c>
      <c r="C644" s="28" t="s">
        <v>57</v>
      </c>
      <c r="D644" s="329">
        <v>22.09</v>
      </c>
    </row>
    <row r="645" spans="1:4" ht="30">
      <c r="A645" s="47">
        <v>83761</v>
      </c>
      <c r="B645" s="48" t="s">
        <v>5862</v>
      </c>
      <c r="C645" s="47" t="s">
        <v>57</v>
      </c>
      <c r="D645" s="332">
        <v>5.07</v>
      </c>
    </row>
    <row r="646" spans="1:4" ht="30">
      <c r="A646" s="28">
        <v>83762</v>
      </c>
      <c r="B646" s="26" t="s">
        <v>5864</v>
      </c>
      <c r="C646" s="28" t="s">
        <v>57</v>
      </c>
      <c r="D646" s="329">
        <v>3.33</v>
      </c>
    </row>
    <row r="647" spans="1:4" ht="30">
      <c r="A647" s="47">
        <v>83763</v>
      </c>
      <c r="B647" s="48" t="s">
        <v>5865</v>
      </c>
      <c r="C647" s="47" t="s">
        <v>57</v>
      </c>
      <c r="D647" s="332">
        <v>29.35</v>
      </c>
    </row>
    <row r="648" spans="1:4" ht="30">
      <c r="A648" s="28">
        <v>83764</v>
      </c>
      <c r="B648" s="26" t="s">
        <v>5863</v>
      </c>
      <c r="C648" s="28" t="s">
        <v>57</v>
      </c>
      <c r="D648" s="329">
        <v>1.28</v>
      </c>
    </row>
    <row r="649" spans="1:4" ht="30">
      <c r="A649" s="47">
        <v>87026</v>
      </c>
      <c r="B649" s="48" t="s">
        <v>5786</v>
      </c>
      <c r="C649" s="47" t="s">
        <v>57</v>
      </c>
      <c r="D649" s="332">
        <v>0.59</v>
      </c>
    </row>
    <row r="650" spans="1:4" ht="30">
      <c r="A650" s="28">
        <v>87441</v>
      </c>
      <c r="B650" s="26" t="s">
        <v>2504</v>
      </c>
      <c r="C650" s="28" t="s">
        <v>57</v>
      </c>
      <c r="D650" s="329">
        <v>0.31</v>
      </c>
    </row>
    <row r="651" spans="1:4" ht="30">
      <c r="A651" s="47">
        <v>87442</v>
      </c>
      <c r="B651" s="48" t="s">
        <v>2505</v>
      </c>
      <c r="C651" s="47" t="s">
        <v>57</v>
      </c>
      <c r="D651" s="332">
        <v>7.0000000000000007E-2</v>
      </c>
    </row>
    <row r="652" spans="1:4" ht="30">
      <c r="A652" s="28">
        <v>87443</v>
      </c>
      <c r="B652" s="26" t="s">
        <v>2506</v>
      </c>
      <c r="C652" s="28" t="s">
        <v>57</v>
      </c>
      <c r="D652" s="329">
        <v>0.25</v>
      </c>
    </row>
    <row r="653" spans="1:4" ht="30">
      <c r="A653" s="47">
        <v>87444</v>
      </c>
      <c r="B653" s="48" t="s">
        <v>2507</v>
      </c>
      <c r="C653" s="47" t="s">
        <v>57</v>
      </c>
      <c r="D653" s="332">
        <v>2.2599999999999998</v>
      </c>
    </row>
    <row r="654" spans="1:4" ht="30">
      <c r="A654" s="28">
        <v>88387</v>
      </c>
      <c r="B654" s="26" t="s">
        <v>7413</v>
      </c>
      <c r="C654" s="28" t="s">
        <v>57</v>
      </c>
      <c r="D654" s="329">
        <v>0.6</v>
      </c>
    </row>
    <row r="655" spans="1:4" ht="30">
      <c r="A655" s="47">
        <v>88389</v>
      </c>
      <c r="B655" s="48" t="s">
        <v>7414</v>
      </c>
      <c r="C655" s="47" t="s">
        <v>57</v>
      </c>
      <c r="D655" s="332">
        <v>0.14000000000000001</v>
      </c>
    </row>
    <row r="656" spans="1:4" ht="30">
      <c r="A656" s="28">
        <v>88390</v>
      </c>
      <c r="B656" s="26" t="s">
        <v>7415</v>
      </c>
      <c r="C656" s="28" t="s">
        <v>57</v>
      </c>
      <c r="D656" s="329">
        <v>0.5</v>
      </c>
    </row>
    <row r="657" spans="1:4" ht="30">
      <c r="A657" s="47">
        <v>88391</v>
      </c>
      <c r="B657" s="48" t="s">
        <v>7416</v>
      </c>
      <c r="C657" s="47" t="s">
        <v>57</v>
      </c>
      <c r="D657" s="332">
        <v>1.8</v>
      </c>
    </row>
    <row r="658" spans="1:4" ht="30">
      <c r="A658" s="28">
        <v>88394</v>
      </c>
      <c r="B658" s="26" t="s">
        <v>7420</v>
      </c>
      <c r="C658" s="28" t="s">
        <v>57</v>
      </c>
      <c r="D658" s="329">
        <v>0.71</v>
      </c>
    </row>
    <row r="659" spans="1:4" ht="30">
      <c r="A659" s="47">
        <v>88395</v>
      </c>
      <c r="B659" s="48" t="s">
        <v>7421</v>
      </c>
      <c r="C659" s="47" t="s">
        <v>57</v>
      </c>
      <c r="D659" s="332">
        <v>0.16</v>
      </c>
    </row>
    <row r="660" spans="1:4" ht="30">
      <c r="A660" s="28">
        <v>88396</v>
      </c>
      <c r="B660" s="26" t="s">
        <v>7422</v>
      </c>
      <c r="C660" s="28" t="s">
        <v>57</v>
      </c>
      <c r="D660" s="329">
        <v>0.59</v>
      </c>
    </row>
    <row r="661" spans="1:4" ht="30">
      <c r="A661" s="47">
        <v>88397</v>
      </c>
      <c r="B661" s="48" t="s">
        <v>7423</v>
      </c>
      <c r="C661" s="47" t="s">
        <v>57</v>
      </c>
      <c r="D661" s="332">
        <v>2.7</v>
      </c>
    </row>
    <row r="662" spans="1:4" ht="30">
      <c r="A662" s="28">
        <v>88400</v>
      </c>
      <c r="B662" s="26" t="s">
        <v>7406</v>
      </c>
      <c r="C662" s="28" t="s">
        <v>57</v>
      </c>
      <c r="D662" s="329">
        <v>0.56999999999999995</v>
      </c>
    </row>
    <row r="663" spans="1:4" ht="30">
      <c r="A663" s="47">
        <v>88401</v>
      </c>
      <c r="B663" s="48" t="s">
        <v>7407</v>
      </c>
      <c r="C663" s="47" t="s">
        <v>57</v>
      </c>
      <c r="D663" s="332">
        <v>0.13</v>
      </c>
    </row>
    <row r="664" spans="1:4" ht="30">
      <c r="A664" s="28">
        <v>88402</v>
      </c>
      <c r="B664" s="26" t="s">
        <v>7408</v>
      </c>
      <c r="C664" s="28" t="s">
        <v>57</v>
      </c>
      <c r="D664" s="329">
        <v>0.47</v>
      </c>
    </row>
    <row r="665" spans="1:4" ht="30">
      <c r="A665" s="47">
        <v>88403</v>
      </c>
      <c r="B665" s="48" t="s">
        <v>7409</v>
      </c>
      <c r="C665" s="47" t="s">
        <v>57</v>
      </c>
      <c r="D665" s="332">
        <v>1.08</v>
      </c>
    </row>
    <row r="666" spans="1:4" ht="30">
      <c r="A666" s="28">
        <v>88419</v>
      </c>
      <c r="B666" s="26" t="s">
        <v>8431</v>
      </c>
      <c r="C666" s="28" t="s">
        <v>57</v>
      </c>
      <c r="D666" s="329">
        <v>3.71</v>
      </c>
    </row>
    <row r="667" spans="1:4" ht="30">
      <c r="A667" s="47">
        <v>88422</v>
      </c>
      <c r="B667" s="48" t="s">
        <v>8432</v>
      </c>
      <c r="C667" s="47" t="s">
        <v>57</v>
      </c>
      <c r="D667" s="332">
        <v>0.86</v>
      </c>
    </row>
    <row r="668" spans="1:4" ht="30">
      <c r="A668" s="28">
        <v>88425</v>
      </c>
      <c r="B668" s="26" t="s">
        <v>8433</v>
      </c>
      <c r="C668" s="28" t="s">
        <v>57</v>
      </c>
      <c r="D668" s="329">
        <v>3.09</v>
      </c>
    </row>
    <row r="669" spans="1:4" ht="30">
      <c r="A669" s="47">
        <v>88427</v>
      </c>
      <c r="B669" s="48" t="s">
        <v>8434</v>
      </c>
      <c r="C669" s="47" t="s">
        <v>57</v>
      </c>
      <c r="D669" s="332">
        <v>2.74</v>
      </c>
    </row>
    <row r="670" spans="1:4" ht="30">
      <c r="A670" s="28">
        <v>88434</v>
      </c>
      <c r="B670" s="26" t="s">
        <v>8437</v>
      </c>
      <c r="C670" s="28" t="s">
        <v>57</v>
      </c>
      <c r="D670" s="329">
        <v>4.92</v>
      </c>
    </row>
    <row r="671" spans="1:4" ht="30">
      <c r="A671" s="47">
        <v>88435</v>
      </c>
      <c r="B671" s="48" t="s">
        <v>8438</v>
      </c>
      <c r="C671" s="47" t="s">
        <v>57</v>
      </c>
      <c r="D671" s="332">
        <v>1.1399999999999999</v>
      </c>
    </row>
    <row r="672" spans="1:4" ht="30">
      <c r="A672" s="28">
        <v>88436</v>
      </c>
      <c r="B672" s="26" t="s">
        <v>8439</v>
      </c>
      <c r="C672" s="28" t="s">
        <v>57</v>
      </c>
      <c r="D672" s="329">
        <v>4.0999999999999996</v>
      </c>
    </row>
    <row r="673" spans="1:4" ht="30">
      <c r="A673" s="47">
        <v>88437</v>
      </c>
      <c r="B673" s="48" t="s">
        <v>8440</v>
      </c>
      <c r="C673" s="47" t="s">
        <v>57</v>
      </c>
      <c r="D673" s="332">
        <v>2.74</v>
      </c>
    </row>
    <row r="674" spans="1:4" ht="30">
      <c r="A674" s="28">
        <v>88569</v>
      </c>
      <c r="B674" s="26" t="s">
        <v>5260</v>
      </c>
      <c r="C674" s="28" t="s">
        <v>57</v>
      </c>
      <c r="D674" s="329">
        <v>3.32</v>
      </c>
    </row>
    <row r="675" spans="1:4" ht="30">
      <c r="A675" s="47">
        <v>88570</v>
      </c>
      <c r="B675" s="48" t="s">
        <v>5261</v>
      </c>
      <c r="C675" s="47" t="s">
        <v>57</v>
      </c>
      <c r="D675" s="332">
        <v>1.37</v>
      </c>
    </row>
    <row r="676" spans="1:4" ht="30">
      <c r="A676" s="28">
        <v>88826</v>
      </c>
      <c r="B676" s="26" t="s">
        <v>2518</v>
      </c>
      <c r="C676" s="28" t="s">
        <v>57</v>
      </c>
      <c r="D676" s="329">
        <v>0.22</v>
      </c>
    </row>
    <row r="677" spans="1:4" ht="30">
      <c r="A677" s="47">
        <v>88827</v>
      </c>
      <c r="B677" s="48" t="s">
        <v>2519</v>
      </c>
      <c r="C677" s="47" t="s">
        <v>57</v>
      </c>
      <c r="D677" s="332">
        <v>0.05</v>
      </c>
    </row>
    <row r="678" spans="1:4" ht="30">
      <c r="A678" s="28">
        <v>88828</v>
      </c>
      <c r="B678" s="26" t="s">
        <v>2520</v>
      </c>
      <c r="C678" s="28" t="s">
        <v>57</v>
      </c>
      <c r="D678" s="329">
        <v>0.18</v>
      </c>
    </row>
    <row r="679" spans="1:4" ht="45">
      <c r="A679" s="47">
        <v>88829</v>
      </c>
      <c r="B679" s="48" t="s">
        <v>2521</v>
      </c>
      <c r="C679" s="47" t="s">
        <v>57</v>
      </c>
      <c r="D679" s="332">
        <v>0.73</v>
      </c>
    </row>
    <row r="680" spans="1:4" ht="30">
      <c r="A680" s="28">
        <v>88832</v>
      </c>
      <c r="B680" s="26" t="s">
        <v>5202</v>
      </c>
      <c r="C680" s="28" t="s">
        <v>57</v>
      </c>
      <c r="D680" s="329">
        <v>23.91</v>
      </c>
    </row>
    <row r="681" spans="1:4" ht="30">
      <c r="A681" s="47">
        <v>88834</v>
      </c>
      <c r="B681" s="48" t="s">
        <v>5203</v>
      </c>
      <c r="C681" s="47" t="s">
        <v>57</v>
      </c>
      <c r="D681" s="332">
        <v>5.38</v>
      </c>
    </row>
    <row r="682" spans="1:4" ht="30">
      <c r="A682" s="28">
        <v>88835</v>
      </c>
      <c r="B682" s="26" t="s">
        <v>5204</v>
      </c>
      <c r="C682" s="28" t="s">
        <v>57</v>
      </c>
      <c r="D682" s="329">
        <v>33.630000000000003</v>
      </c>
    </row>
    <row r="683" spans="1:4" ht="30">
      <c r="A683" s="47">
        <v>88836</v>
      </c>
      <c r="B683" s="48" t="s">
        <v>5205</v>
      </c>
      <c r="C683" s="47" t="s">
        <v>57</v>
      </c>
      <c r="D683" s="332">
        <v>49.55</v>
      </c>
    </row>
    <row r="684" spans="1:4" ht="30">
      <c r="A684" s="28">
        <v>88839</v>
      </c>
      <c r="B684" s="26" t="s">
        <v>10073</v>
      </c>
      <c r="C684" s="28" t="s">
        <v>57</v>
      </c>
      <c r="D684" s="329">
        <v>32.29</v>
      </c>
    </row>
    <row r="685" spans="1:4" ht="30">
      <c r="A685" s="47">
        <v>88840</v>
      </c>
      <c r="B685" s="48" t="s">
        <v>10074</v>
      </c>
      <c r="C685" s="47" t="s">
        <v>57</v>
      </c>
      <c r="D685" s="332">
        <v>7.26</v>
      </c>
    </row>
    <row r="686" spans="1:4" ht="30">
      <c r="A686" s="28">
        <v>88841</v>
      </c>
      <c r="B686" s="26" t="s">
        <v>10075</v>
      </c>
      <c r="C686" s="28" t="s">
        <v>57</v>
      </c>
      <c r="D686" s="329">
        <v>40.36</v>
      </c>
    </row>
    <row r="687" spans="1:4" ht="30">
      <c r="A687" s="47">
        <v>88842</v>
      </c>
      <c r="B687" s="48" t="s">
        <v>10076</v>
      </c>
      <c r="C687" s="47" t="s">
        <v>57</v>
      </c>
      <c r="D687" s="332">
        <v>67.58</v>
      </c>
    </row>
    <row r="688" spans="1:4" ht="45">
      <c r="A688" s="28">
        <v>88847</v>
      </c>
      <c r="B688" s="26" t="s">
        <v>10653</v>
      </c>
      <c r="C688" s="28" t="s">
        <v>57</v>
      </c>
      <c r="D688" s="329">
        <v>19.16</v>
      </c>
    </row>
    <row r="689" spans="1:4" ht="45">
      <c r="A689" s="47">
        <v>88848</v>
      </c>
      <c r="B689" s="48" t="s">
        <v>10654</v>
      </c>
      <c r="C689" s="47" t="s">
        <v>57</v>
      </c>
      <c r="D689" s="332">
        <v>5.74</v>
      </c>
    </row>
    <row r="690" spans="1:4" ht="45">
      <c r="A690" s="28">
        <v>88853</v>
      </c>
      <c r="B690" s="26" t="s">
        <v>7585</v>
      </c>
      <c r="C690" s="28" t="s">
        <v>57</v>
      </c>
      <c r="D690" s="329">
        <v>0.17</v>
      </c>
    </row>
    <row r="691" spans="1:4" ht="45">
      <c r="A691" s="47">
        <v>88854</v>
      </c>
      <c r="B691" s="48" t="s">
        <v>7586</v>
      </c>
      <c r="C691" s="47" t="s">
        <v>57</v>
      </c>
      <c r="D691" s="332">
        <v>0.04</v>
      </c>
    </row>
    <row r="692" spans="1:4" ht="30">
      <c r="A692" s="28">
        <v>88855</v>
      </c>
      <c r="B692" s="26" t="s">
        <v>5780</v>
      </c>
      <c r="C692" s="28" t="s">
        <v>57</v>
      </c>
      <c r="D692" s="329">
        <v>2.17</v>
      </c>
    </row>
    <row r="693" spans="1:4" ht="30">
      <c r="A693" s="47">
        <v>88856</v>
      </c>
      <c r="B693" s="48" t="s">
        <v>5781</v>
      </c>
      <c r="C693" s="47" t="s">
        <v>57</v>
      </c>
      <c r="D693" s="332">
        <v>0.75</v>
      </c>
    </row>
    <row r="694" spans="1:4" ht="45">
      <c r="A694" s="28">
        <v>88857</v>
      </c>
      <c r="B694" s="26" t="s">
        <v>8774</v>
      </c>
      <c r="C694" s="28" t="s">
        <v>57</v>
      </c>
      <c r="D694" s="329">
        <v>13.59</v>
      </c>
    </row>
    <row r="695" spans="1:4" ht="45">
      <c r="A695" s="47">
        <v>88858</v>
      </c>
      <c r="B695" s="48" t="s">
        <v>8775</v>
      </c>
      <c r="C695" s="47" t="s">
        <v>57</v>
      </c>
      <c r="D695" s="332">
        <v>3.05</v>
      </c>
    </row>
    <row r="696" spans="1:4" ht="45">
      <c r="A696" s="28">
        <v>88859</v>
      </c>
      <c r="B696" s="26" t="s">
        <v>8762</v>
      </c>
      <c r="C696" s="28" t="s">
        <v>57</v>
      </c>
      <c r="D696" s="329">
        <v>12.09</v>
      </c>
    </row>
    <row r="697" spans="1:4" ht="45">
      <c r="A697" s="47">
        <v>88860</v>
      </c>
      <c r="B697" s="48" t="s">
        <v>8763</v>
      </c>
      <c r="C697" s="47" t="s">
        <v>57</v>
      </c>
      <c r="D697" s="332">
        <v>2.72</v>
      </c>
    </row>
    <row r="698" spans="1:4" ht="30">
      <c r="A698" s="28">
        <v>88900</v>
      </c>
      <c r="B698" s="26" t="s">
        <v>5209</v>
      </c>
      <c r="C698" s="28" t="s">
        <v>57</v>
      </c>
      <c r="D698" s="329">
        <v>27.88</v>
      </c>
    </row>
    <row r="699" spans="1:4" ht="30">
      <c r="A699" s="47">
        <v>88902</v>
      </c>
      <c r="B699" s="48" t="s">
        <v>5210</v>
      </c>
      <c r="C699" s="47" t="s">
        <v>57</v>
      </c>
      <c r="D699" s="332">
        <v>6.27</v>
      </c>
    </row>
    <row r="700" spans="1:4" ht="30">
      <c r="A700" s="28">
        <v>88903</v>
      </c>
      <c r="B700" s="26" t="s">
        <v>5211</v>
      </c>
      <c r="C700" s="28" t="s">
        <v>57</v>
      </c>
      <c r="D700" s="329">
        <v>39.21</v>
      </c>
    </row>
    <row r="701" spans="1:4" ht="30">
      <c r="A701" s="47">
        <v>88904</v>
      </c>
      <c r="B701" s="48" t="s">
        <v>5212</v>
      </c>
      <c r="C701" s="47" t="s">
        <v>57</v>
      </c>
      <c r="D701" s="332">
        <v>69.849999999999994</v>
      </c>
    </row>
    <row r="702" spans="1:4" ht="30">
      <c r="A702" s="28">
        <v>89009</v>
      </c>
      <c r="B702" s="26" t="s">
        <v>10080</v>
      </c>
      <c r="C702" s="28" t="s">
        <v>57</v>
      </c>
      <c r="D702" s="329">
        <v>40</v>
      </c>
    </row>
    <row r="703" spans="1:4" ht="30">
      <c r="A703" s="47">
        <v>89010</v>
      </c>
      <c r="B703" s="48" t="s">
        <v>10081</v>
      </c>
      <c r="C703" s="47" t="s">
        <v>57</v>
      </c>
      <c r="D703" s="332">
        <v>9</v>
      </c>
    </row>
    <row r="704" spans="1:4" ht="60">
      <c r="A704" s="28">
        <v>89011</v>
      </c>
      <c r="B704" s="26" t="s">
        <v>8768</v>
      </c>
      <c r="C704" s="28" t="s">
        <v>57</v>
      </c>
      <c r="D704" s="329">
        <v>13.12</v>
      </c>
    </row>
    <row r="705" spans="1:4" ht="60">
      <c r="A705" s="47">
        <v>89012</v>
      </c>
      <c r="B705" s="48" t="s">
        <v>8769</v>
      </c>
      <c r="C705" s="47" t="s">
        <v>57</v>
      </c>
      <c r="D705" s="332">
        <v>2.95</v>
      </c>
    </row>
    <row r="706" spans="1:4" ht="30">
      <c r="A706" s="28">
        <v>89013</v>
      </c>
      <c r="B706" s="26" t="s">
        <v>10092</v>
      </c>
      <c r="C706" s="28" t="s">
        <v>57</v>
      </c>
      <c r="D706" s="329">
        <v>131.02000000000001</v>
      </c>
    </row>
    <row r="707" spans="1:4" ht="30">
      <c r="A707" s="47">
        <v>89014</v>
      </c>
      <c r="B707" s="48" t="s">
        <v>10093</v>
      </c>
      <c r="C707" s="47" t="s">
        <v>57</v>
      </c>
      <c r="D707" s="332">
        <v>29.48</v>
      </c>
    </row>
    <row r="708" spans="1:4" ht="30">
      <c r="A708" s="28">
        <v>89015</v>
      </c>
      <c r="B708" s="26" t="s">
        <v>10748</v>
      </c>
      <c r="C708" s="28" t="s">
        <v>57</v>
      </c>
      <c r="D708" s="329">
        <v>2.1800000000000002</v>
      </c>
    </row>
    <row r="709" spans="1:4" ht="30">
      <c r="A709" s="47">
        <v>89016</v>
      </c>
      <c r="B709" s="48" t="s">
        <v>10749</v>
      </c>
      <c r="C709" s="47" t="s">
        <v>57</v>
      </c>
      <c r="D709" s="332">
        <v>0.8</v>
      </c>
    </row>
    <row r="710" spans="1:4" ht="30">
      <c r="A710" s="28">
        <v>89017</v>
      </c>
      <c r="B710" s="26" t="s">
        <v>10086</v>
      </c>
      <c r="C710" s="28" t="s">
        <v>57</v>
      </c>
      <c r="D710" s="329">
        <v>39.75</v>
      </c>
    </row>
    <row r="711" spans="1:4" ht="30">
      <c r="A711" s="47">
        <v>89018</v>
      </c>
      <c r="B711" s="48" t="s">
        <v>10087</v>
      </c>
      <c r="C711" s="47" t="s">
        <v>57</v>
      </c>
      <c r="D711" s="332">
        <v>8.94</v>
      </c>
    </row>
    <row r="712" spans="1:4" ht="45">
      <c r="A712" s="28">
        <v>89019</v>
      </c>
      <c r="B712" s="26" t="s">
        <v>2678</v>
      </c>
      <c r="C712" s="28" t="s">
        <v>57</v>
      </c>
      <c r="D712" s="329">
        <v>0.24</v>
      </c>
    </row>
    <row r="713" spans="1:4" ht="45">
      <c r="A713" s="47">
        <v>89020</v>
      </c>
      <c r="B713" s="48" t="s">
        <v>2679</v>
      </c>
      <c r="C713" s="47" t="s">
        <v>57</v>
      </c>
      <c r="D713" s="332">
        <v>7.0000000000000007E-2</v>
      </c>
    </row>
    <row r="714" spans="1:4" ht="30">
      <c r="A714" s="28">
        <v>89023</v>
      </c>
      <c r="B714" s="26" t="s">
        <v>9173</v>
      </c>
      <c r="C714" s="28" t="s">
        <v>57</v>
      </c>
      <c r="D714" s="329">
        <v>1.1599999999999999</v>
      </c>
    </row>
    <row r="715" spans="1:4" ht="30">
      <c r="A715" s="47">
        <v>89024</v>
      </c>
      <c r="B715" s="48" t="s">
        <v>9174</v>
      </c>
      <c r="C715" s="47" t="s">
        <v>57</v>
      </c>
      <c r="D715" s="332">
        <v>0.34</v>
      </c>
    </row>
    <row r="716" spans="1:4" ht="30">
      <c r="A716" s="28">
        <v>89025</v>
      </c>
      <c r="B716" s="26" t="s">
        <v>9175</v>
      </c>
      <c r="C716" s="28" t="s">
        <v>57</v>
      </c>
      <c r="D716" s="329">
        <v>0.8</v>
      </c>
    </row>
    <row r="717" spans="1:4" ht="30">
      <c r="A717" s="47">
        <v>89026</v>
      </c>
      <c r="B717" s="48" t="s">
        <v>9176</v>
      </c>
      <c r="C717" s="47" t="s">
        <v>57</v>
      </c>
      <c r="D717" s="332">
        <v>120.61</v>
      </c>
    </row>
    <row r="718" spans="1:4" ht="30">
      <c r="A718" s="28">
        <v>89029</v>
      </c>
      <c r="B718" s="26" t="s">
        <v>10067</v>
      </c>
      <c r="C718" s="28" t="s">
        <v>57</v>
      </c>
      <c r="D718" s="329">
        <v>30.85</v>
      </c>
    </row>
    <row r="719" spans="1:4" ht="30">
      <c r="A719" s="47">
        <v>89030</v>
      </c>
      <c r="B719" s="48" t="s">
        <v>10068</v>
      </c>
      <c r="C719" s="47" t="s">
        <v>57</v>
      </c>
      <c r="D719" s="332">
        <v>6.94</v>
      </c>
    </row>
    <row r="720" spans="1:4" ht="30">
      <c r="A720" s="28">
        <v>89033</v>
      </c>
      <c r="B720" s="26" t="s">
        <v>10118</v>
      </c>
      <c r="C720" s="28" t="s">
        <v>57</v>
      </c>
      <c r="D720" s="329">
        <v>4.6399999999999997</v>
      </c>
    </row>
    <row r="721" spans="1:4" ht="30">
      <c r="A721" s="47">
        <v>89034</v>
      </c>
      <c r="B721" s="48" t="s">
        <v>10119</v>
      </c>
      <c r="C721" s="47" t="s">
        <v>57</v>
      </c>
      <c r="D721" s="332">
        <v>1.56</v>
      </c>
    </row>
    <row r="722" spans="1:4" ht="30">
      <c r="A722" s="28">
        <v>89128</v>
      </c>
      <c r="B722" s="26" t="s">
        <v>7752</v>
      </c>
      <c r="C722" s="28" t="s">
        <v>57</v>
      </c>
      <c r="D722" s="329">
        <v>23.92</v>
      </c>
    </row>
    <row r="723" spans="1:4" ht="30">
      <c r="A723" s="47">
        <v>89129</v>
      </c>
      <c r="B723" s="48" t="s">
        <v>7753</v>
      </c>
      <c r="C723" s="47" t="s">
        <v>57</v>
      </c>
      <c r="D723" s="332">
        <v>5.38</v>
      </c>
    </row>
    <row r="724" spans="1:4" ht="30">
      <c r="A724" s="28">
        <v>89130</v>
      </c>
      <c r="B724" s="26" t="s">
        <v>7746</v>
      </c>
      <c r="C724" s="28" t="s">
        <v>57</v>
      </c>
      <c r="D724" s="329">
        <v>33.17</v>
      </c>
    </row>
    <row r="725" spans="1:4" ht="30">
      <c r="A725" s="47">
        <v>89131</v>
      </c>
      <c r="B725" s="48" t="s">
        <v>7747</v>
      </c>
      <c r="C725" s="47" t="s">
        <v>57</v>
      </c>
      <c r="D725" s="332">
        <v>7.46</v>
      </c>
    </row>
    <row r="726" spans="1:4" ht="45">
      <c r="A726" s="28">
        <v>89210</v>
      </c>
      <c r="B726" s="26" t="s">
        <v>8912</v>
      </c>
      <c r="C726" s="28" t="s">
        <v>57</v>
      </c>
      <c r="D726" s="329">
        <v>14.37</v>
      </c>
    </row>
    <row r="727" spans="1:4" ht="45">
      <c r="A727" s="47">
        <v>89211</v>
      </c>
      <c r="B727" s="48" t="s">
        <v>8913</v>
      </c>
      <c r="C727" s="47" t="s">
        <v>57</v>
      </c>
      <c r="D727" s="332">
        <v>3.35</v>
      </c>
    </row>
    <row r="728" spans="1:4" ht="30">
      <c r="A728" s="28">
        <v>89212</v>
      </c>
      <c r="B728" s="26" t="s">
        <v>2491</v>
      </c>
      <c r="C728" s="28" t="s">
        <v>57</v>
      </c>
      <c r="D728" s="329">
        <v>13.34</v>
      </c>
    </row>
    <row r="729" spans="1:4" ht="30">
      <c r="A729" s="47">
        <v>89213</v>
      </c>
      <c r="B729" s="48" t="s">
        <v>2492</v>
      </c>
      <c r="C729" s="47" t="s">
        <v>57</v>
      </c>
      <c r="D729" s="332">
        <v>5.18</v>
      </c>
    </row>
    <row r="730" spans="1:4" ht="30">
      <c r="A730" s="28">
        <v>89214</v>
      </c>
      <c r="B730" s="26" t="s">
        <v>2493</v>
      </c>
      <c r="C730" s="28" t="s">
        <v>57</v>
      </c>
      <c r="D730" s="329">
        <v>15.69</v>
      </c>
    </row>
    <row r="731" spans="1:4" ht="30">
      <c r="A731" s="47">
        <v>89215</v>
      </c>
      <c r="B731" s="48" t="s">
        <v>2494</v>
      </c>
      <c r="C731" s="47" t="s">
        <v>57</v>
      </c>
      <c r="D731" s="332">
        <v>79.3</v>
      </c>
    </row>
    <row r="732" spans="1:4" ht="30">
      <c r="A732" s="28">
        <v>89219</v>
      </c>
      <c r="B732" s="26" t="s">
        <v>8921</v>
      </c>
      <c r="C732" s="28" t="s">
        <v>57</v>
      </c>
      <c r="D732" s="329">
        <v>15</v>
      </c>
    </row>
    <row r="733" spans="1:4" ht="30">
      <c r="A733" s="47">
        <v>89220</v>
      </c>
      <c r="B733" s="48" t="s">
        <v>8922</v>
      </c>
      <c r="C733" s="47" t="s">
        <v>57</v>
      </c>
      <c r="D733" s="332">
        <v>3.5</v>
      </c>
    </row>
    <row r="734" spans="1:4" ht="30">
      <c r="A734" s="28">
        <v>89221</v>
      </c>
      <c r="B734" s="26" t="s">
        <v>2524</v>
      </c>
      <c r="C734" s="28" t="s">
        <v>57</v>
      </c>
      <c r="D734" s="329">
        <v>0.92</v>
      </c>
    </row>
    <row r="735" spans="1:4" ht="30">
      <c r="A735" s="47">
        <v>89222</v>
      </c>
      <c r="B735" s="48" t="s">
        <v>2525</v>
      </c>
      <c r="C735" s="47" t="s">
        <v>57</v>
      </c>
      <c r="D735" s="332">
        <v>0.21</v>
      </c>
    </row>
    <row r="736" spans="1:4" ht="30">
      <c r="A736" s="28">
        <v>89223</v>
      </c>
      <c r="B736" s="26" t="s">
        <v>2526</v>
      </c>
      <c r="C736" s="28" t="s">
        <v>57</v>
      </c>
      <c r="D736" s="329">
        <v>0.77</v>
      </c>
    </row>
    <row r="737" spans="1:4" ht="45">
      <c r="A737" s="47">
        <v>89224</v>
      </c>
      <c r="B737" s="48" t="s">
        <v>2527</v>
      </c>
      <c r="C737" s="47" t="s">
        <v>57</v>
      </c>
      <c r="D737" s="332">
        <v>1.44</v>
      </c>
    </row>
    <row r="738" spans="1:4" ht="30">
      <c r="A738" s="28">
        <v>89228</v>
      </c>
      <c r="B738" s="26" t="s">
        <v>7602</v>
      </c>
      <c r="C738" s="28" t="s">
        <v>57</v>
      </c>
      <c r="D738" s="329">
        <v>22.41</v>
      </c>
    </row>
    <row r="739" spans="1:4" ht="30">
      <c r="A739" s="47">
        <v>89229</v>
      </c>
      <c r="B739" s="48" t="s">
        <v>7603</v>
      </c>
      <c r="C739" s="47" t="s">
        <v>57</v>
      </c>
      <c r="D739" s="332">
        <v>7.14</v>
      </c>
    </row>
    <row r="740" spans="1:4" ht="30">
      <c r="A740" s="28">
        <v>89230</v>
      </c>
      <c r="B740" s="26" t="s">
        <v>5695</v>
      </c>
      <c r="C740" s="28" t="s">
        <v>57</v>
      </c>
      <c r="D740" s="329">
        <v>67.349999999999994</v>
      </c>
    </row>
    <row r="741" spans="1:4" ht="30">
      <c r="A741" s="47">
        <v>89231</v>
      </c>
      <c r="B741" s="48" t="s">
        <v>5696</v>
      </c>
      <c r="C741" s="47" t="s">
        <v>57</v>
      </c>
      <c r="D741" s="332">
        <v>15.15</v>
      </c>
    </row>
    <row r="742" spans="1:4" ht="30">
      <c r="A742" s="28">
        <v>89232</v>
      </c>
      <c r="B742" s="26" t="s">
        <v>5697</v>
      </c>
      <c r="C742" s="28" t="s">
        <v>57</v>
      </c>
      <c r="D742" s="329">
        <v>105.23</v>
      </c>
    </row>
    <row r="743" spans="1:4" ht="30">
      <c r="A743" s="47">
        <v>89233</v>
      </c>
      <c r="B743" s="48" t="s">
        <v>5698</v>
      </c>
      <c r="C743" s="47" t="s">
        <v>57</v>
      </c>
      <c r="D743" s="332">
        <v>93.71</v>
      </c>
    </row>
    <row r="744" spans="1:4" ht="30">
      <c r="A744" s="28">
        <v>89236</v>
      </c>
      <c r="B744" s="26" t="s">
        <v>5701</v>
      </c>
      <c r="C744" s="28" t="s">
        <v>57</v>
      </c>
      <c r="D744" s="329">
        <v>157.33000000000001</v>
      </c>
    </row>
    <row r="745" spans="1:4" ht="30">
      <c r="A745" s="47">
        <v>89237</v>
      </c>
      <c r="B745" s="48" t="s">
        <v>5702</v>
      </c>
      <c r="C745" s="47" t="s">
        <v>57</v>
      </c>
      <c r="D745" s="332">
        <v>35.39</v>
      </c>
    </row>
    <row r="746" spans="1:4" ht="30">
      <c r="A746" s="28">
        <v>89238</v>
      </c>
      <c r="B746" s="26" t="s">
        <v>5703</v>
      </c>
      <c r="C746" s="28" t="s">
        <v>57</v>
      </c>
      <c r="D746" s="329">
        <v>245.82</v>
      </c>
    </row>
    <row r="747" spans="1:4" ht="30">
      <c r="A747" s="47">
        <v>89239</v>
      </c>
      <c r="B747" s="48" t="s">
        <v>5704</v>
      </c>
      <c r="C747" s="47" t="s">
        <v>57</v>
      </c>
      <c r="D747" s="332">
        <v>247.82</v>
      </c>
    </row>
    <row r="748" spans="1:4" ht="30">
      <c r="A748" s="28">
        <v>89240</v>
      </c>
      <c r="B748" s="26" t="s">
        <v>10798</v>
      </c>
      <c r="C748" s="28" t="s">
        <v>57</v>
      </c>
      <c r="D748" s="329">
        <v>45.27</v>
      </c>
    </row>
    <row r="749" spans="1:4" ht="30">
      <c r="A749" s="47">
        <v>89241</v>
      </c>
      <c r="B749" s="48" t="s">
        <v>10799</v>
      </c>
      <c r="C749" s="47" t="s">
        <v>57</v>
      </c>
      <c r="D749" s="332">
        <v>13.56</v>
      </c>
    </row>
    <row r="750" spans="1:4" ht="30">
      <c r="A750" s="28">
        <v>89246</v>
      </c>
      <c r="B750" s="26" t="s">
        <v>8589</v>
      </c>
      <c r="C750" s="28" t="s">
        <v>57</v>
      </c>
      <c r="D750" s="329">
        <v>136.71</v>
      </c>
    </row>
    <row r="751" spans="1:4" ht="30">
      <c r="A751" s="47">
        <v>89247</v>
      </c>
      <c r="B751" s="48" t="s">
        <v>8590</v>
      </c>
      <c r="C751" s="47" t="s">
        <v>57</v>
      </c>
      <c r="D751" s="332">
        <v>30.75</v>
      </c>
    </row>
    <row r="752" spans="1:4" ht="30">
      <c r="A752" s="28">
        <v>89248</v>
      </c>
      <c r="B752" s="26" t="s">
        <v>8591</v>
      </c>
      <c r="C752" s="28" t="s">
        <v>57</v>
      </c>
      <c r="D752" s="329">
        <v>213.6</v>
      </c>
    </row>
    <row r="753" spans="1:4" ht="30">
      <c r="A753" s="47">
        <v>89249</v>
      </c>
      <c r="B753" s="48" t="s">
        <v>8592</v>
      </c>
      <c r="C753" s="47" t="s">
        <v>57</v>
      </c>
      <c r="D753" s="332">
        <v>190.07</v>
      </c>
    </row>
    <row r="754" spans="1:4" ht="30">
      <c r="A754" s="28">
        <v>89253</v>
      </c>
      <c r="B754" s="26" t="s">
        <v>10804</v>
      </c>
      <c r="C754" s="28" t="s">
        <v>57</v>
      </c>
      <c r="D754" s="329">
        <v>37.1</v>
      </c>
    </row>
    <row r="755" spans="1:4" ht="30">
      <c r="A755" s="47">
        <v>89254</v>
      </c>
      <c r="B755" s="48" t="s">
        <v>10805</v>
      </c>
      <c r="C755" s="47" t="s">
        <v>57</v>
      </c>
      <c r="D755" s="332">
        <v>11.11</v>
      </c>
    </row>
    <row r="756" spans="1:4" ht="30">
      <c r="A756" s="28">
        <v>89255</v>
      </c>
      <c r="B756" s="26" t="s">
        <v>10806</v>
      </c>
      <c r="C756" s="28" t="s">
        <v>57</v>
      </c>
      <c r="D756" s="329">
        <v>46.19</v>
      </c>
    </row>
    <row r="757" spans="1:4" ht="30">
      <c r="A757" s="47">
        <v>89256</v>
      </c>
      <c r="B757" s="48" t="s">
        <v>10807</v>
      </c>
      <c r="C757" s="47" t="s">
        <v>57</v>
      </c>
      <c r="D757" s="332">
        <v>45.05</v>
      </c>
    </row>
    <row r="758" spans="1:4" ht="45">
      <c r="A758" s="28">
        <v>89259</v>
      </c>
      <c r="B758" s="26" t="s">
        <v>5961</v>
      </c>
      <c r="C758" s="28" t="s">
        <v>57</v>
      </c>
      <c r="D758" s="329">
        <v>12.06</v>
      </c>
    </row>
    <row r="759" spans="1:4" ht="45">
      <c r="A759" s="47">
        <v>89260</v>
      </c>
      <c r="B759" s="48" t="s">
        <v>5963</v>
      </c>
      <c r="C759" s="47" t="s">
        <v>57</v>
      </c>
      <c r="D759" s="332">
        <v>3.08</v>
      </c>
    </row>
    <row r="760" spans="1:4" ht="45">
      <c r="A760" s="28">
        <v>89262</v>
      </c>
      <c r="B760" s="26" t="s">
        <v>5964</v>
      </c>
      <c r="C760" s="28" t="s">
        <v>57</v>
      </c>
      <c r="D760" s="329">
        <v>15.07</v>
      </c>
    </row>
    <row r="761" spans="1:4" ht="45">
      <c r="A761" s="47">
        <v>89264</v>
      </c>
      <c r="B761" s="48" t="s">
        <v>3253</v>
      </c>
      <c r="C761" s="47" t="s">
        <v>57</v>
      </c>
      <c r="D761" s="332">
        <v>9.1999999999999993</v>
      </c>
    </row>
    <row r="762" spans="1:4" ht="45">
      <c r="A762" s="28">
        <v>89265</v>
      </c>
      <c r="B762" s="26" t="s">
        <v>3255</v>
      </c>
      <c r="C762" s="28" t="s">
        <v>57</v>
      </c>
      <c r="D762" s="329">
        <v>2.35</v>
      </c>
    </row>
    <row r="763" spans="1:4" ht="60">
      <c r="A763" s="47">
        <v>89266</v>
      </c>
      <c r="B763" s="48" t="s">
        <v>3254</v>
      </c>
      <c r="C763" s="47" t="s">
        <v>57</v>
      </c>
      <c r="D763" s="332">
        <v>0.48</v>
      </c>
    </row>
    <row r="764" spans="1:4" ht="30">
      <c r="A764" s="28">
        <v>89267</v>
      </c>
      <c r="B764" s="26" t="s">
        <v>5933</v>
      </c>
      <c r="C764" s="28" t="s">
        <v>57</v>
      </c>
      <c r="D764" s="329">
        <v>32.21</v>
      </c>
    </row>
    <row r="765" spans="1:4" ht="30">
      <c r="A765" s="47">
        <v>89268</v>
      </c>
      <c r="B765" s="48" t="s">
        <v>5935</v>
      </c>
      <c r="C765" s="47" t="s">
        <v>57</v>
      </c>
      <c r="D765" s="332">
        <v>8.25</v>
      </c>
    </row>
    <row r="766" spans="1:4" ht="30">
      <c r="A766" s="28">
        <v>89269</v>
      </c>
      <c r="B766" s="26" t="s">
        <v>5934</v>
      </c>
      <c r="C766" s="28" t="s">
        <v>57</v>
      </c>
      <c r="D766" s="329">
        <v>1.69</v>
      </c>
    </row>
    <row r="767" spans="1:4" ht="30">
      <c r="A767" s="47">
        <v>89270</v>
      </c>
      <c r="B767" s="48" t="s">
        <v>5936</v>
      </c>
      <c r="C767" s="47" t="s">
        <v>57</v>
      </c>
      <c r="D767" s="332">
        <v>40.409999999999997</v>
      </c>
    </row>
    <row r="768" spans="1:4" ht="30">
      <c r="A768" s="28">
        <v>89271</v>
      </c>
      <c r="B768" s="26" t="s">
        <v>5937</v>
      </c>
      <c r="C768" s="28" t="s">
        <v>57</v>
      </c>
      <c r="D768" s="329">
        <v>43.94</v>
      </c>
    </row>
    <row r="769" spans="1:4" ht="30">
      <c r="A769" s="47">
        <v>89274</v>
      </c>
      <c r="B769" s="48" t="s">
        <v>2530</v>
      </c>
      <c r="C769" s="47" t="s">
        <v>57</v>
      </c>
      <c r="D769" s="332">
        <v>1.1200000000000001</v>
      </c>
    </row>
    <row r="770" spans="1:4" ht="30">
      <c r="A770" s="28">
        <v>89275</v>
      </c>
      <c r="B770" s="26" t="s">
        <v>2531</v>
      </c>
      <c r="C770" s="28" t="s">
        <v>57</v>
      </c>
      <c r="D770" s="329">
        <v>0.26</v>
      </c>
    </row>
    <row r="771" spans="1:4" ht="30">
      <c r="A771" s="47">
        <v>89276</v>
      </c>
      <c r="B771" s="48" t="s">
        <v>2532</v>
      </c>
      <c r="C771" s="47" t="s">
        <v>57</v>
      </c>
      <c r="D771" s="332">
        <v>0.93</v>
      </c>
    </row>
    <row r="772" spans="1:4" ht="30">
      <c r="A772" s="28">
        <v>89277</v>
      </c>
      <c r="B772" s="26" t="s">
        <v>2533</v>
      </c>
      <c r="C772" s="28" t="s">
        <v>57</v>
      </c>
      <c r="D772" s="329">
        <v>4.49</v>
      </c>
    </row>
    <row r="773" spans="1:4" ht="30">
      <c r="A773" s="47">
        <v>89280</v>
      </c>
      <c r="B773" s="48" t="s">
        <v>8948</v>
      </c>
      <c r="C773" s="47" t="s">
        <v>57</v>
      </c>
      <c r="D773" s="332">
        <v>17.649999999999999</v>
      </c>
    </row>
    <row r="774" spans="1:4" ht="30">
      <c r="A774" s="28">
        <v>89281</v>
      </c>
      <c r="B774" s="26" t="s">
        <v>8949</v>
      </c>
      <c r="C774" s="28" t="s">
        <v>57</v>
      </c>
      <c r="D774" s="329">
        <v>4.1100000000000003</v>
      </c>
    </row>
    <row r="775" spans="1:4" ht="45">
      <c r="A775" s="47">
        <v>89870</v>
      </c>
      <c r="B775" s="48" t="s">
        <v>3186</v>
      </c>
      <c r="C775" s="47" t="s">
        <v>57</v>
      </c>
      <c r="D775" s="332">
        <v>21.14</v>
      </c>
    </row>
    <row r="776" spans="1:4" ht="45">
      <c r="A776" s="28">
        <v>89871</v>
      </c>
      <c r="B776" s="26" t="s">
        <v>3188</v>
      </c>
      <c r="C776" s="28" t="s">
        <v>57</v>
      </c>
      <c r="D776" s="329">
        <v>5</v>
      </c>
    </row>
    <row r="777" spans="1:4" ht="45">
      <c r="A777" s="47">
        <v>89872</v>
      </c>
      <c r="B777" s="48" t="s">
        <v>3187</v>
      </c>
      <c r="C777" s="47" t="s">
        <v>57</v>
      </c>
      <c r="D777" s="332">
        <v>1.01</v>
      </c>
    </row>
    <row r="778" spans="1:4" ht="45">
      <c r="A778" s="28">
        <v>89873</v>
      </c>
      <c r="B778" s="26" t="s">
        <v>3189</v>
      </c>
      <c r="C778" s="28" t="s">
        <v>57</v>
      </c>
      <c r="D778" s="329">
        <v>29.72</v>
      </c>
    </row>
    <row r="779" spans="1:4" ht="45">
      <c r="A779" s="47">
        <v>89874</v>
      </c>
      <c r="B779" s="48" t="s">
        <v>3190</v>
      </c>
      <c r="C779" s="47" t="s">
        <v>57</v>
      </c>
      <c r="D779" s="332">
        <v>95.34</v>
      </c>
    </row>
    <row r="780" spans="1:4" ht="45">
      <c r="A780" s="28">
        <v>89878</v>
      </c>
      <c r="B780" s="26" t="s">
        <v>3193</v>
      </c>
      <c r="C780" s="28" t="s">
        <v>57</v>
      </c>
      <c r="D780" s="329">
        <v>22.37</v>
      </c>
    </row>
    <row r="781" spans="1:4" ht="45">
      <c r="A781" s="47">
        <v>89879</v>
      </c>
      <c r="B781" s="48" t="s">
        <v>3195</v>
      </c>
      <c r="C781" s="47" t="s">
        <v>57</v>
      </c>
      <c r="D781" s="332">
        <v>5.29</v>
      </c>
    </row>
    <row r="782" spans="1:4" ht="45">
      <c r="A782" s="28">
        <v>89880</v>
      </c>
      <c r="B782" s="26" t="s">
        <v>3194</v>
      </c>
      <c r="C782" s="28" t="s">
        <v>57</v>
      </c>
      <c r="D782" s="329">
        <v>1.07</v>
      </c>
    </row>
    <row r="783" spans="1:4" ht="45">
      <c r="A783" s="47">
        <v>89881</v>
      </c>
      <c r="B783" s="48" t="s">
        <v>3196</v>
      </c>
      <c r="C783" s="47" t="s">
        <v>57</v>
      </c>
      <c r="D783" s="332">
        <v>31.44</v>
      </c>
    </row>
    <row r="784" spans="1:4" ht="45">
      <c r="A784" s="28">
        <v>89882</v>
      </c>
      <c r="B784" s="26" t="s">
        <v>3197</v>
      </c>
      <c r="C784" s="28" t="s">
        <v>57</v>
      </c>
      <c r="D784" s="329">
        <v>110.01</v>
      </c>
    </row>
    <row r="785" spans="1:4" ht="30">
      <c r="A785" s="47">
        <v>90582</v>
      </c>
      <c r="B785" s="48" t="s">
        <v>10788</v>
      </c>
      <c r="C785" s="47" t="s">
        <v>57</v>
      </c>
      <c r="D785" s="332">
        <v>1.43</v>
      </c>
    </row>
    <row r="786" spans="1:4" ht="30">
      <c r="A786" s="28">
        <v>90583</v>
      </c>
      <c r="B786" s="26" t="s">
        <v>10789</v>
      </c>
      <c r="C786" s="28" t="s">
        <v>57</v>
      </c>
      <c r="D786" s="329">
        <v>0.05</v>
      </c>
    </row>
    <row r="787" spans="1:4" ht="30">
      <c r="A787" s="47">
        <v>90584</v>
      </c>
      <c r="B787" s="48" t="s">
        <v>10790</v>
      </c>
      <c r="C787" s="47" t="s">
        <v>57</v>
      </c>
      <c r="D787" s="332">
        <v>0.13</v>
      </c>
    </row>
    <row r="788" spans="1:4" ht="30">
      <c r="A788" s="28">
        <v>90585</v>
      </c>
      <c r="B788" s="26" t="s">
        <v>10791</v>
      </c>
      <c r="C788" s="28" t="s">
        <v>57</v>
      </c>
      <c r="D788" s="329">
        <v>0.72</v>
      </c>
    </row>
    <row r="789" spans="1:4" ht="30">
      <c r="A789" s="47">
        <v>90621</v>
      </c>
      <c r="B789" s="48" t="s">
        <v>7959</v>
      </c>
      <c r="C789" s="47" t="s">
        <v>57</v>
      </c>
      <c r="D789" s="332">
        <v>1.58</v>
      </c>
    </row>
    <row r="790" spans="1:4" ht="30">
      <c r="A790" s="28">
        <v>90622</v>
      </c>
      <c r="B790" s="26" t="s">
        <v>7960</v>
      </c>
      <c r="C790" s="28" t="s">
        <v>57</v>
      </c>
      <c r="D790" s="329">
        <v>0.34</v>
      </c>
    </row>
    <row r="791" spans="1:4" ht="30">
      <c r="A791" s="47">
        <v>90623</v>
      </c>
      <c r="B791" s="48" t="s">
        <v>7961</v>
      </c>
      <c r="C791" s="47" t="s">
        <v>57</v>
      </c>
      <c r="D791" s="332">
        <v>1.66</v>
      </c>
    </row>
    <row r="792" spans="1:4" ht="30">
      <c r="A792" s="28">
        <v>90624</v>
      </c>
      <c r="B792" s="26" t="s">
        <v>7962</v>
      </c>
      <c r="C792" s="28" t="s">
        <v>57</v>
      </c>
      <c r="D792" s="329">
        <v>1.8</v>
      </c>
    </row>
    <row r="793" spans="1:4" ht="30">
      <c r="A793" s="47">
        <v>90627</v>
      </c>
      <c r="B793" s="48" t="s">
        <v>7971</v>
      </c>
      <c r="C793" s="47" t="s">
        <v>57</v>
      </c>
      <c r="D793" s="332">
        <v>30.32</v>
      </c>
    </row>
    <row r="794" spans="1:4" ht="30">
      <c r="A794" s="28">
        <v>90628</v>
      </c>
      <c r="B794" s="26" t="s">
        <v>7972</v>
      </c>
      <c r="C794" s="28" t="s">
        <v>57</v>
      </c>
      <c r="D794" s="329">
        <v>6.7</v>
      </c>
    </row>
    <row r="795" spans="1:4" ht="30">
      <c r="A795" s="47">
        <v>90629</v>
      </c>
      <c r="B795" s="48" t="s">
        <v>7973</v>
      </c>
      <c r="C795" s="47" t="s">
        <v>57</v>
      </c>
      <c r="D795" s="332">
        <v>31.91</v>
      </c>
    </row>
    <row r="796" spans="1:4" ht="30">
      <c r="A796" s="28">
        <v>90630</v>
      </c>
      <c r="B796" s="26" t="s">
        <v>7974</v>
      </c>
      <c r="C796" s="28" t="s">
        <v>57</v>
      </c>
      <c r="D796" s="329">
        <v>7.31</v>
      </c>
    </row>
    <row r="797" spans="1:4" ht="45">
      <c r="A797" s="47">
        <v>90633</v>
      </c>
      <c r="B797" s="48" t="s">
        <v>7429</v>
      </c>
      <c r="C797" s="47" t="s">
        <v>57</v>
      </c>
      <c r="D797" s="332">
        <v>2.86</v>
      </c>
    </row>
    <row r="798" spans="1:4" ht="45">
      <c r="A798" s="28">
        <v>90634</v>
      </c>
      <c r="B798" s="26" t="s">
        <v>7430</v>
      </c>
      <c r="C798" s="28" t="s">
        <v>57</v>
      </c>
      <c r="D798" s="329">
        <v>0.66</v>
      </c>
    </row>
    <row r="799" spans="1:4" ht="45">
      <c r="A799" s="47">
        <v>90635</v>
      </c>
      <c r="B799" s="48" t="s">
        <v>7431</v>
      </c>
      <c r="C799" s="47" t="s">
        <v>57</v>
      </c>
      <c r="D799" s="332">
        <v>2.38</v>
      </c>
    </row>
    <row r="800" spans="1:4" ht="45">
      <c r="A800" s="28">
        <v>90636</v>
      </c>
      <c r="B800" s="26" t="s">
        <v>7432</v>
      </c>
      <c r="C800" s="28" t="s">
        <v>57</v>
      </c>
      <c r="D800" s="329">
        <v>3.61</v>
      </c>
    </row>
    <row r="801" spans="1:4" ht="30">
      <c r="A801" s="47">
        <v>90639</v>
      </c>
      <c r="B801" s="48" t="s">
        <v>2698</v>
      </c>
      <c r="C801" s="47" t="s">
        <v>57</v>
      </c>
      <c r="D801" s="332">
        <v>4.7300000000000004</v>
      </c>
    </row>
    <row r="802" spans="1:4" ht="30">
      <c r="A802" s="28">
        <v>90640</v>
      </c>
      <c r="B802" s="26" t="s">
        <v>2699</v>
      </c>
      <c r="C802" s="28" t="s">
        <v>57</v>
      </c>
      <c r="D802" s="329">
        <v>1.34</v>
      </c>
    </row>
    <row r="803" spans="1:4" ht="30">
      <c r="A803" s="47">
        <v>90641</v>
      </c>
      <c r="B803" s="48" t="s">
        <v>2700</v>
      </c>
      <c r="C803" s="47" t="s">
        <v>57</v>
      </c>
      <c r="D803" s="332">
        <v>3.11</v>
      </c>
    </row>
    <row r="804" spans="1:4" ht="30">
      <c r="A804" s="28">
        <v>90642</v>
      </c>
      <c r="B804" s="26" t="s">
        <v>2701</v>
      </c>
      <c r="C804" s="28" t="s">
        <v>57</v>
      </c>
      <c r="D804" s="329">
        <v>4.8899999999999997</v>
      </c>
    </row>
    <row r="805" spans="1:4" ht="45">
      <c r="A805" s="47">
        <v>90646</v>
      </c>
      <c r="B805" s="48" t="s">
        <v>2632</v>
      </c>
      <c r="C805" s="47" t="s">
        <v>57</v>
      </c>
      <c r="D805" s="332">
        <v>0.6</v>
      </c>
    </row>
    <row r="806" spans="1:4" ht="45">
      <c r="A806" s="28">
        <v>90647</v>
      </c>
      <c r="B806" s="26" t="s">
        <v>2633</v>
      </c>
      <c r="C806" s="28" t="s">
        <v>57</v>
      </c>
      <c r="D806" s="329">
        <v>0.17</v>
      </c>
    </row>
    <row r="807" spans="1:4" ht="45">
      <c r="A807" s="47">
        <v>90648</v>
      </c>
      <c r="B807" s="48" t="s">
        <v>2634</v>
      </c>
      <c r="C807" s="47" t="s">
        <v>57</v>
      </c>
      <c r="D807" s="332">
        <v>0.39</v>
      </c>
    </row>
    <row r="808" spans="1:4" ht="45">
      <c r="A808" s="28">
        <v>90649</v>
      </c>
      <c r="B808" s="26" t="s">
        <v>2635</v>
      </c>
      <c r="C808" s="28" t="s">
        <v>57</v>
      </c>
      <c r="D808" s="329">
        <v>6.75</v>
      </c>
    </row>
    <row r="809" spans="1:4" ht="30">
      <c r="A809" s="47">
        <v>90652</v>
      </c>
      <c r="B809" s="48" t="s">
        <v>2648</v>
      </c>
      <c r="C809" s="47" t="s">
        <v>57</v>
      </c>
      <c r="D809" s="332">
        <v>3.07</v>
      </c>
    </row>
    <row r="810" spans="1:4" ht="30">
      <c r="A810" s="28">
        <v>90653</v>
      </c>
      <c r="B810" s="26" t="s">
        <v>2649</v>
      </c>
      <c r="C810" s="28" t="s">
        <v>57</v>
      </c>
      <c r="D810" s="329">
        <v>0.87</v>
      </c>
    </row>
    <row r="811" spans="1:4" ht="30">
      <c r="A811" s="47">
        <v>90654</v>
      </c>
      <c r="B811" s="48" t="s">
        <v>2650</v>
      </c>
      <c r="C811" s="47" t="s">
        <v>57</v>
      </c>
      <c r="D811" s="332">
        <v>2.02</v>
      </c>
    </row>
    <row r="812" spans="1:4" ht="30">
      <c r="A812" s="28">
        <v>90655</v>
      </c>
      <c r="B812" s="26" t="s">
        <v>2651</v>
      </c>
      <c r="C812" s="28" t="s">
        <v>57</v>
      </c>
      <c r="D812" s="329">
        <v>4.4400000000000004</v>
      </c>
    </row>
    <row r="813" spans="1:4" ht="30">
      <c r="A813" s="47">
        <v>90658</v>
      </c>
      <c r="B813" s="48" t="s">
        <v>2655</v>
      </c>
      <c r="C813" s="47" t="s">
        <v>57</v>
      </c>
      <c r="D813" s="332">
        <v>3.29</v>
      </c>
    </row>
    <row r="814" spans="1:4" ht="30">
      <c r="A814" s="28">
        <v>90659</v>
      </c>
      <c r="B814" s="26" t="s">
        <v>2656</v>
      </c>
      <c r="C814" s="28" t="s">
        <v>57</v>
      </c>
      <c r="D814" s="329">
        <v>0.93</v>
      </c>
    </row>
    <row r="815" spans="1:4" ht="30">
      <c r="A815" s="47">
        <v>90660</v>
      </c>
      <c r="B815" s="48" t="s">
        <v>2657</v>
      </c>
      <c r="C815" s="47" t="s">
        <v>57</v>
      </c>
      <c r="D815" s="332">
        <v>2.17</v>
      </c>
    </row>
    <row r="816" spans="1:4" ht="30">
      <c r="A816" s="28">
        <v>90661</v>
      </c>
      <c r="B816" s="26" t="s">
        <v>2658</v>
      </c>
      <c r="C816" s="28" t="s">
        <v>57</v>
      </c>
      <c r="D816" s="329">
        <v>4.4400000000000004</v>
      </c>
    </row>
    <row r="817" spans="1:4" ht="45">
      <c r="A817" s="47">
        <v>90664</v>
      </c>
      <c r="B817" s="48" t="s">
        <v>8444</v>
      </c>
      <c r="C817" s="47" t="s">
        <v>57</v>
      </c>
      <c r="D817" s="332">
        <v>2.92</v>
      </c>
    </row>
    <row r="818" spans="1:4" ht="45">
      <c r="A818" s="28">
        <v>90665</v>
      </c>
      <c r="B818" s="26" t="s">
        <v>8445</v>
      </c>
      <c r="C818" s="28" t="s">
        <v>57</v>
      </c>
      <c r="D818" s="329">
        <v>0.68</v>
      </c>
    </row>
    <row r="819" spans="1:4" ht="45">
      <c r="A819" s="47">
        <v>90666</v>
      </c>
      <c r="B819" s="48" t="s">
        <v>8446</v>
      </c>
      <c r="C819" s="47" t="s">
        <v>57</v>
      </c>
      <c r="D819" s="332">
        <v>2.4300000000000002</v>
      </c>
    </row>
    <row r="820" spans="1:4" ht="45">
      <c r="A820" s="28">
        <v>90667</v>
      </c>
      <c r="B820" s="26" t="s">
        <v>8447</v>
      </c>
      <c r="C820" s="28" t="s">
        <v>57</v>
      </c>
      <c r="D820" s="329">
        <v>37.78</v>
      </c>
    </row>
    <row r="821" spans="1:4" ht="60">
      <c r="A821" s="47">
        <v>90670</v>
      </c>
      <c r="B821" s="48" t="s">
        <v>7936</v>
      </c>
      <c r="C821" s="47" t="s">
        <v>57</v>
      </c>
      <c r="D821" s="332">
        <v>139.16</v>
      </c>
    </row>
    <row r="822" spans="1:4" ht="45">
      <c r="A822" s="28">
        <v>90671</v>
      </c>
      <c r="B822" s="26" t="s">
        <v>7937</v>
      </c>
      <c r="C822" s="28" t="s">
        <v>57</v>
      </c>
      <c r="D822" s="329">
        <v>30.75</v>
      </c>
    </row>
    <row r="823" spans="1:4" ht="60">
      <c r="A823" s="47">
        <v>90672</v>
      </c>
      <c r="B823" s="48" t="s">
        <v>7938</v>
      </c>
      <c r="C823" s="47" t="s">
        <v>57</v>
      </c>
      <c r="D823" s="332">
        <v>146.46</v>
      </c>
    </row>
    <row r="824" spans="1:4" ht="60">
      <c r="A824" s="28">
        <v>90673</v>
      </c>
      <c r="B824" s="26" t="s">
        <v>7939</v>
      </c>
      <c r="C824" s="28" t="s">
        <v>57</v>
      </c>
      <c r="D824" s="329">
        <v>120.76</v>
      </c>
    </row>
    <row r="825" spans="1:4" ht="45">
      <c r="A825" s="47">
        <v>90676</v>
      </c>
      <c r="B825" s="48" t="s">
        <v>7951</v>
      </c>
      <c r="C825" s="47" t="s">
        <v>57</v>
      </c>
      <c r="D825" s="332">
        <v>69.13</v>
      </c>
    </row>
    <row r="826" spans="1:4" ht="45">
      <c r="A826" s="28">
        <v>90677</v>
      </c>
      <c r="B826" s="26" t="s">
        <v>7953</v>
      </c>
      <c r="C826" s="28" t="s">
        <v>57</v>
      </c>
      <c r="D826" s="329">
        <v>15.27</v>
      </c>
    </row>
    <row r="827" spans="1:4" ht="45">
      <c r="A827" s="47">
        <v>90678</v>
      </c>
      <c r="B827" s="48" t="s">
        <v>7954</v>
      </c>
      <c r="C827" s="47" t="s">
        <v>57</v>
      </c>
      <c r="D827" s="332">
        <v>72.75</v>
      </c>
    </row>
    <row r="828" spans="1:4" ht="60">
      <c r="A828" s="28">
        <v>90679</v>
      </c>
      <c r="B828" s="26" t="s">
        <v>7955</v>
      </c>
      <c r="C828" s="28" t="s">
        <v>57</v>
      </c>
      <c r="D828" s="329">
        <v>61.72</v>
      </c>
    </row>
    <row r="829" spans="1:4" ht="30">
      <c r="A829" s="47">
        <v>90682</v>
      </c>
      <c r="B829" s="48" t="s">
        <v>7235</v>
      </c>
      <c r="C829" s="47" t="s">
        <v>57</v>
      </c>
      <c r="D829" s="332">
        <v>24</v>
      </c>
    </row>
    <row r="830" spans="1:4" ht="30">
      <c r="A830" s="28">
        <v>90683</v>
      </c>
      <c r="B830" s="26" t="s">
        <v>7236</v>
      </c>
      <c r="C830" s="28" t="s">
        <v>57</v>
      </c>
      <c r="D830" s="329">
        <v>5.4</v>
      </c>
    </row>
    <row r="831" spans="1:4" ht="30">
      <c r="A831" s="47">
        <v>90684</v>
      </c>
      <c r="B831" s="48" t="s">
        <v>7237</v>
      </c>
      <c r="C831" s="47" t="s">
        <v>57</v>
      </c>
      <c r="D831" s="332">
        <v>26.25</v>
      </c>
    </row>
    <row r="832" spans="1:4" ht="30">
      <c r="A832" s="28">
        <v>90685</v>
      </c>
      <c r="B832" s="26" t="s">
        <v>7238</v>
      </c>
      <c r="C832" s="28" t="s">
        <v>57</v>
      </c>
      <c r="D832" s="329">
        <v>38.29</v>
      </c>
    </row>
    <row r="833" spans="1:4" ht="30">
      <c r="A833" s="47">
        <v>90688</v>
      </c>
      <c r="B833" s="48" t="s">
        <v>7393</v>
      </c>
      <c r="C833" s="47" t="s">
        <v>57</v>
      </c>
      <c r="D833" s="332">
        <v>8.85</v>
      </c>
    </row>
    <row r="834" spans="1:4" ht="30">
      <c r="A834" s="28">
        <v>90689</v>
      </c>
      <c r="B834" s="26" t="s">
        <v>7394</v>
      </c>
      <c r="C834" s="28" t="s">
        <v>57</v>
      </c>
      <c r="D834" s="329">
        <v>1.99</v>
      </c>
    </row>
    <row r="835" spans="1:4" ht="30">
      <c r="A835" s="47">
        <v>90690</v>
      </c>
      <c r="B835" s="48" t="s">
        <v>7395</v>
      </c>
      <c r="C835" s="47" t="s">
        <v>57</v>
      </c>
      <c r="D835" s="332">
        <v>9.68</v>
      </c>
    </row>
    <row r="836" spans="1:4" ht="30">
      <c r="A836" s="28">
        <v>90691</v>
      </c>
      <c r="B836" s="26" t="s">
        <v>7396</v>
      </c>
      <c r="C836" s="28" t="s">
        <v>57</v>
      </c>
      <c r="D836" s="329">
        <v>21.17</v>
      </c>
    </row>
    <row r="837" spans="1:4" ht="30">
      <c r="A837" s="47">
        <v>90957</v>
      </c>
      <c r="B837" s="48" t="s">
        <v>3688</v>
      </c>
      <c r="C837" s="47" t="s">
        <v>57</v>
      </c>
      <c r="D837" s="332">
        <v>1.8</v>
      </c>
    </row>
    <row r="838" spans="1:4" ht="30">
      <c r="A838" s="28">
        <v>90958</v>
      </c>
      <c r="B838" s="26" t="s">
        <v>3689</v>
      </c>
      <c r="C838" s="28" t="s">
        <v>57</v>
      </c>
      <c r="D838" s="329">
        <v>0.49</v>
      </c>
    </row>
    <row r="839" spans="1:4" ht="30">
      <c r="A839" s="47">
        <v>90960</v>
      </c>
      <c r="B839" s="48" t="s">
        <v>3713</v>
      </c>
      <c r="C839" s="47" t="s">
        <v>57</v>
      </c>
      <c r="D839" s="332">
        <v>2.34</v>
      </c>
    </row>
    <row r="840" spans="1:4" ht="30">
      <c r="A840" s="28">
        <v>90961</v>
      </c>
      <c r="B840" s="26" t="s">
        <v>3714</v>
      </c>
      <c r="C840" s="28" t="s">
        <v>57</v>
      </c>
      <c r="D840" s="329">
        <v>0.66</v>
      </c>
    </row>
    <row r="841" spans="1:4" ht="30">
      <c r="A841" s="47">
        <v>90962</v>
      </c>
      <c r="B841" s="48" t="s">
        <v>3715</v>
      </c>
      <c r="C841" s="47" t="s">
        <v>57</v>
      </c>
      <c r="D841" s="332">
        <v>2.75</v>
      </c>
    </row>
    <row r="842" spans="1:4" ht="30">
      <c r="A842" s="28">
        <v>90963</v>
      </c>
      <c r="B842" s="26" t="s">
        <v>3716</v>
      </c>
      <c r="C842" s="28" t="s">
        <v>57</v>
      </c>
      <c r="D842" s="329">
        <v>9.7799999999999994</v>
      </c>
    </row>
    <row r="843" spans="1:4" ht="30">
      <c r="A843" s="47">
        <v>90968</v>
      </c>
      <c r="B843" s="48" t="s">
        <v>3694</v>
      </c>
      <c r="C843" s="47" t="s">
        <v>57</v>
      </c>
      <c r="D843" s="332">
        <v>2.35</v>
      </c>
    </row>
    <row r="844" spans="1:4" ht="30">
      <c r="A844" s="28">
        <v>90969</v>
      </c>
      <c r="B844" s="26" t="s">
        <v>3695</v>
      </c>
      <c r="C844" s="28" t="s">
        <v>57</v>
      </c>
      <c r="D844" s="329">
        <v>0.66</v>
      </c>
    </row>
    <row r="845" spans="1:4" ht="30">
      <c r="A845" s="47">
        <v>90970</v>
      </c>
      <c r="B845" s="48" t="s">
        <v>3696</v>
      </c>
      <c r="C845" s="47" t="s">
        <v>57</v>
      </c>
      <c r="D845" s="332">
        <v>2.76</v>
      </c>
    </row>
    <row r="846" spans="1:4" ht="30">
      <c r="A846" s="28">
        <v>90971</v>
      </c>
      <c r="B846" s="26" t="s">
        <v>3697</v>
      </c>
      <c r="C846" s="28" t="s">
        <v>57</v>
      </c>
      <c r="D846" s="329">
        <v>39.619999999999997</v>
      </c>
    </row>
    <row r="847" spans="1:4" ht="30">
      <c r="A847" s="47">
        <v>90975</v>
      </c>
      <c r="B847" s="48" t="s">
        <v>3707</v>
      </c>
      <c r="C847" s="47" t="s">
        <v>57</v>
      </c>
      <c r="D847" s="332">
        <v>5.96</v>
      </c>
    </row>
    <row r="848" spans="1:4" ht="30">
      <c r="A848" s="28">
        <v>90976</v>
      </c>
      <c r="B848" s="26" t="s">
        <v>3708</v>
      </c>
      <c r="C848" s="28" t="s">
        <v>57</v>
      </c>
      <c r="D848" s="329">
        <v>1.68</v>
      </c>
    </row>
    <row r="849" spans="1:4" ht="30">
      <c r="A849" s="47">
        <v>90977</v>
      </c>
      <c r="B849" s="48" t="s">
        <v>3709</v>
      </c>
      <c r="C849" s="47" t="s">
        <v>57</v>
      </c>
      <c r="D849" s="332">
        <v>7.02</v>
      </c>
    </row>
    <row r="850" spans="1:4" ht="30">
      <c r="A850" s="28">
        <v>90978</v>
      </c>
      <c r="B850" s="26" t="s">
        <v>3710</v>
      </c>
      <c r="C850" s="28" t="s">
        <v>57</v>
      </c>
      <c r="D850" s="329">
        <v>102.68</v>
      </c>
    </row>
    <row r="851" spans="1:4" ht="30">
      <c r="A851" s="47">
        <v>90992</v>
      </c>
      <c r="B851" s="48" t="s">
        <v>3701</v>
      </c>
      <c r="C851" s="47" t="s">
        <v>57</v>
      </c>
      <c r="D851" s="332">
        <v>2.78</v>
      </c>
    </row>
    <row r="852" spans="1:4" ht="30">
      <c r="A852" s="28">
        <v>90993</v>
      </c>
      <c r="B852" s="26" t="s">
        <v>3702</v>
      </c>
      <c r="C852" s="28" t="s">
        <v>57</v>
      </c>
      <c r="D852" s="329">
        <v>0.78</v>
      </c>
    </row>
    <row r="853" spans="1:4" ht="30">
      <c r="A853" s="47">
        <v>90994</v>
      </c>
      <c r="B853" s="48" t="s">
        <v>3703</v>
      </c>
      <c r="C853" s="47" t="s">
        <v>57</v>
      </c>
      <c r="D853" s="332">
        <v>3.27</v>
      </c>
    </row>
    <row r="854" spans="1:4" ht="30">
      <c r="A854" s="28">
        <v>90995</v>
      </c>
      <c r="B854" s="26" t="s">
        <v>3704</v>
      </c>
      <c r="C854" s="28" t="s">
        <v>57</v>
      </c>
      <c r="D854" s="329">
        <v>53.78</v>
      </c>
    </row>
    <row r="855" spans="1:4" ht="45">
      <c r="A855" s="47">
        <v>91021</v>
      </c>
      <c r="B855" s="48" t="s">
        <v>7952</v>
      </c>
      <c r="C855" s="47" t="s">
        <v>57</v>
      </c>
      <c r="D855" s="332">
        <v>3.15</v>
      </c>
    </row>
    <row r="856" spans="1:4" ht="45">
      <c r="A856" s="28">
        <v>91026</v>
      </c>
      <c r="B856" s="26" t="s">
        <v>3288</v>
      </c>
      <c r="C856" s="28" t="s">
        <v>57</v>
      </c>
      <c r="D856" s="329">
        <v>12.99</v>
      </c>
    </row>
    <row r="857" spans="1:4" ht="45">
      <c r="A857" s="47">
        <v>91027</v>
      </c>
      <c r="B857" s="48" t="s">
        <v>3290</v>
      </c>
      <c r="C857" s="47" t="s">
        <v>57</v>
      </c>
      <c r="D857" s="332">
        <v>3.32</v>
      </c>
    </row>
    <row r="858" spans="1:4" ht="45">
      <c r="A858" s="28">
        <v>91028</v>
      </c>
      <c r="B858" s="26" t="s">
        <v>3289</v>
      </c>
      <c r="C858" s="28" t="s">
        <v>57</v>
      </c>
      <c r="D858" s="329">
        <v>0.68</v>
      </c>
    </row>
    <row r="859" spans="1:4" ht="45">
      <c r="A859" s="47">
        <v>91029</v>
      </c>
      <c r="B859" s="48" t="s">
        <v>3291</v>
      </c>
      <c r="C859" s="47" t="s">
        <v>57</v>
      </c>
      <c r="D859" s="332">
        <v>16.239999999999998</v>
      </c>
    </row>
    <row r="860" spans="1:4" ht="45">
      <c r="A860" s="28">
        <v>91030</v>
      </c>
      <c r="B860" s="26" t="s">
        <v>3292</v>
      </c>
      <c r="C860" s="28" t="s">
        <v>57</v>
      </c>
      <c r="D860" s="329">
        <v>77.010000000000005</v>
      </c>
    </row>
    <row r="861" spans="1:4" ht="30">
      <c r="A861" s="47">
        <v>91273</v>
      </c>
      <c r="B861" s="48" t="s">
        <v>8126</v>
      </c>
      <c r="C861" s="47" t="s">
        <v>57</v>
      </c>
      <c r="D861" s="332">
        <v>0.69</v>
      </c>
    </row>
    <row r="862" spans="1:4" ht="30">
      <c r="A862" s="28">
        <v>91274</v>
      </c>
      <c r="B862" s="26" t="s">
        <v>8127</v>
      </c>
      <c r="C862" s="28" t="s">
        <v>57</v>
      </c>
      <c r="D862" s="329">
        <v>0.24</v>
      </c>
    </row>
    <row r="863" spans="1:4" ht="30">
      <c r="A863" s="47">
        <v>91275</v>
      </c>
      <c r="B863" s="48" t="s">
        <v>8128</v>
      </c>
      <c r="C863" s="47" t="s">
        <v>57</v>
      </c>
      <c r="D863" s="332">
        <v>0.45</v>
      </c>
    </row>
    <row r="864" spans="1:4" ht="30">
      <c r="A864" s="28">
        <v>91276</v>
      </c>
      <c r="B864" s="26" t="s">
        <v>8129</v>
      </c>
      <c r="C864" s="28" t="s">
        <v>57</v>
      </c>
      <c r="D864" s="329">
        <v>4.6500000000000004</v>
      </c>
    </row>
    <row r="865" spans="1:4" ht="45">
      <c r="A865" s="47">
        <v>91279</v>
      </c>
      <c r="B865" s="48" t="s">
        <v>4088</v>
      </c>
      <c r="C865" s="47" t="s">
        <v>57</v>
      </c>
      <c r="D865" s="332">
        <v>0.6</v>
      </c>
    </row>
    <row r="866" spans="1:4" ht="45">
      <c r="A866" s="28">
        <v>91280</v>
      </c>
      <c r="B866" s="26" t="s">
        <v>4089</v>
      </c>
      <c r="C866" s="28" t="s">
        <v>57</v>
      </c>
      <c r="D866" s="329">
        <v>0.18</v>
      </c>
    </row>
    <row r="867" spans="1:4" ht="45">
      <c r="A867" s="47">
        <v>91281</v>
      </c>
      <c r="B867" s="48" t="s">
        <v>4090</v>
      </c>
      <c r="C867" s="47" t="s">
        <v>57</v>
      </c>
      <c r="D867" s="332">
        <v>0.59</v>
      </c>
    </row>
    <row r="868" spans="1:4" ht="45">
      <c r="A868" s="28">
        <v>91282</v>
      </c>
      <c r="B868" s="26" t="s">
        <v>4091</v>
      </c>
      <c r="C868" s="28" t="s">
        <v>57</v>
      </c>
      <c r="D868" s="329">
        <v>11.2</v>
      </c>
    </row>
    <row r="869" spans="1:4" ht="45">
      <c r="A869" s="47">
        <v>91354</v>
      </c>
      <c r="B869" s="48" t="s">
        <v>3261</v>
      </c>
      <c r="C869" s="47" t="s">
        <v>57</v>
      </c>
      <c r="D869" s="332">
        <v>10.039999999999999</v>
      </c>
    </row>
    <row r="870" spans="1:4" ht="30">
      <c r="A870" s="28">
        <v>91355</v>
      </c>
      <c r="B870" s="26" t="s">
        <v>3263</v>
      </c>
      <c r="C870" s="28" t="s">
        <v>57</v>
      </c>
      <c r="D870" s="329">
        <v>2.56</v>
      </c>
    </row>
    <row r="871" spans="1:4" ht="45">
      <c r="A871" s="47">
        <v>91356</v>
      </c>
      <c r="B871" s="48" t="s">
        <v>3262</v>
      </c>
      <c r="C871" s="47" t="s">
        <v>57</v>
      </c>
      <c r="D871" s="332">
        <v>0.52</v>
      </c>
    </row>
    <row r="872" spans="1:4" ht="45">
      <c r="A872" s="28">
        <v>91359</v>
      </c>
      <c r="B872" s="26" t="s">
        <v>3239</v>
      </c>
      <c r="C872" s="28" t="s">
        <v>57</v>
      </c>
      <c r="D872" s="329">
        <v>10.7</v>
      </c>
    </row>
    <row r="873" spans="1:4" ht="45">
      <c r="A873" s="47">
        <v>91360</v>
      </c>
      <c r="B873" s="48" t="s">
        <v>3241</v>
      </c>
      <c r="C873" s="47" t="s">
        <v>57</v>
      </c>
      <c r="D873" s="332">
        <v>2.73</v>
      </c>
    </row>
    <row r="874" spans="1:4" ht="45">
      <c r="A874" s="28">
        <v>91361</v>
      </c>
      <c r="B874" s="26" t="s">
        <v>3240</v>
      </c>
      <c r="C874" s="28" t="s">
        <v>57</v>
      </c>
      <c r="D874" s="329">
        <v>0.56000000000000005</v>
      </c>
    </row>
    <row r="875" spans="1:4" ht="45">
      <c r="A875" s="47">
        <v>91367</v>
      </c>
      <c r="B875" s="48" t="s">
        <v>3207</v>
      </c>
      <c r="C875" s="47" t="s">
        <v>57</v>
      </c>
      <c r="D875" s="332">
        <v>13.89</v>
      </c>
    </row>
    <row r="876" spans="1:4" ht="45">
      <c r="A876" s="28">
        <v>91368</v>
      </c>
      <c r="B876" s="26" t="s">
        <v>3209</v>
      </c>
      <c r="C876" s="28" t="s">
        <v>57</v>
      </c>
      <c r="D876" s="329">
        <v>3.29</v>
      </c>
    </row>
    <row r="877" spans="1:4" ht="45">
      <c r="A877" s="47">
        <v>91369</v>
      </c>
      <c r="B877" s="48" t="s">
        <v>3208</v>
      </c>
      <c r="C877" s="47" t="s">
        <v>57</v>
      </c>
      <c r="D877" s="332">
        <v>0.66</v>
      </c>
    </row>
    <row r="878" spans="1:4" ht="45">
      <c r="A878" s="28">
        <v>91375</v>
      </c>
      <c r="B878" s="26" t="s">
        <v>3270</v>
      </c>
      <c r="C878" s="28" t="s">
        <v>57</v>
      </c>
      <c r="D878" s="329">
        <v>8.4700000000000006</v>
      </c>
    </row>
    <row r="879" spans="1:4" ht="45">
      <c r="A879" s="47">
        <v>91376</v>
      </c>
      <c r="B879" s="48" t="s">
        <v>3272</v>
      </c>
      <c r="C879" s="47" t="s">
        <v>57</v>
      </c>
      <c r="D879" s="332">
        <v>2.16</v>
      </c>
    </row>
    <row r="880" spans="1:4" ht="45">
      <c r="A880" s="28">
        <v>91377</v>
      </c>
      <c r="B880" s="26" t="s">
        <v>3271</v>
      </c>
      <c r="C880" s="28" t="s">
        <v>57</v>
      </c>
      <c r="D880" s="329">
        <v>0.44</v>
      </c>
    </row>
    <row r="881" spans="1:4" ht="45">
      <c r="A881" s="47">
        <v>91380</v>
      </c>
      <c r="B881" s="48" t="s">
        <v>3179</v>
      </c>
      <c r="C881" s="47" t="s">
        <v>57</v>
      </c>
      <c r="D881" s="332">
        <v>15.71</v>
      </c>
    </row>
    <row r="882" spans="1:4" ht="45">
      <c r="A882" s="28">
        <v>91381</v>
      </c>
      <c r="B882" s="26" t="s">
        <v>3181</v>
      </c>
      <c r="C882" s="28" t="s">
        <v>57</v>
      </c>
      <c r="D882" s="329">
        <v>3.72</v>
      </c>
    </row>
    <row r="883" spans="1:4" ht="45">
      <c r="A883" s="47">
        <v>91382</v>
      </c>
      <c r="B883" s="48" t="s">
        <v>3180</v>
      </c>
      <c r="C883" s="47" t="s">
        <v>57</v>
      </c>
      <c r="D883" s="332">
        <v>0.75</v>
      </c>
    </row>
    <row r="884" spans="1:4" ht="45">
      <c r="A884" s="28">
        <v>91383</v>
      </c>
      <c r="B884" s="26" t="s">
        <v>3182</v>
      </c>
      <c r="C884" s="28" t="s">
        <v>57</v>
      </c>
      <c r="D884" s="329">
        <v>22.09</v>
      </c>
    </row>
    <row r="885" spans="1:4" ht="45">
      <c r="A885" s="47">
        <v>91384</v>
      </c>
      <c r="B885" s="48" t="s">
        <v>3183</v>
      </c>
      <c r="C885" s="47" t="s">
        <v>57</v>
      </c>
      <c r="D885" s="332">
        <v>76.67</v>
      </c>
    </row>
    <row r="886" spans="1:4" ht="45">
      <c r="A886" s="28">
        <v>91390</v>
      </c>
      <c r="B886" s="26" t="s">
        <v>3246</v>
      </c>
      <c r="C886" s="28" t="s">
        <v>57</v>
      </c>
      <c r="D886" s="329">
        <v>13.65</v>
      </c>
    </row>
    <row r="887" spans="1:4" ht="45">
      <c r="A887" s="47">
        <v>91391</v>
      </c>
      <c r="B887" s="48" t="s">
        <v>3248</v>
      </c>
      <c r="C887" s="47" t="s">
        <v>57</v>
      </c>
      <c r="D887" s="332">
        <v>2.79</v>
      </c>
    </row>
    <row r="888" spans="1:4" ht="60">
      <c r="A888" s="28">
        <v>91392</v>
      </c>
      <c r="B888" s="26" t="s">
        <v>3247</v>
      </c>
      <c r="C888" s="28" t="s">
        <v>57</v>
      </c>
      <c r="D888" s="329">
        <v>0.56999999999999995</v>
      </c>
    </row>
    <row r="889" spans="1:4" ht="45">
      <c r="A889" s="47">
        <v>91396</v>
      </c>
      <c r="B889" s="48" t="s">
        <v>3232</v>
      </c>
      <c r="C889" s="47" t="s">
        <v>57</v>
      </c>
      <c r="D889" s="332">
        <v>13.79</v>
      </c>
    </row>
    <row r="890" spans="1:4" ht="45">
      <c r="A890" s="28">
        <v>91397</v>
      </c>
      <c r="B890" s="26" t="s">
        <v>3234</v>
      </c>
      <c r="C890" s="28" t="s">
        <v>57</v>
      </c>
      <c r="D890" s="329">
        <v>3.52</v>
      </c>
    </row>
    <row r="891" spans="1:4" ht="45">
      <c r="A891" s="47">
        <v>91398</v>
      </c>
      <c r="B891" s="48" t="s">
        <v>3233</v>
      </c>
      <c r="C891" s="47" t="s">
        <v>57</v>
      </c>
      <c r="D891" s="332">
        <v>0.72</v>
      </c>
    </row>
    <row r="892" spans="1:4" ht="45">
      <c r="A892" s="28">
        <v>91402</v>
      </c>
      <c r="B892" s="26" t="s">
        <v>3201</v>
      </c>
      <c r="C892" s="28" t="s">
        <v>57</v>
      </c>
      <c r="D892" s="329">
        <v>0.63</v>
      </c>
    </row>
    <row r="893" spans="1:4" ht="45">
      <c r="A893" s="47">
        <v>91466</v>
      </c>
      <c r="B893" s="48" t="s">
        <v>5962</v>
      </c>
      <c r="C893" s="47" t="s">
        <v>57</v>
      </c>
      <c r="D893" s="332">
        <v>0.63</v>
      </c>
    </row>
    <row r="894" spans="1:4" ht="45">
      <c r="A894" s="28">
        <v>91467</v>
      </c>
      <c r="B894" s="26" t="s">
        <v>5965</v>
      </c>
      <c r="C894" s="28" t="s">
        <v>57</v>
      </c>
      <c r="D894" s="329">
        <v>62.99</v>
      </c>
    </row>
    <row r="895" spans="1:4" ht="45">
      <c r="A895" s="47">
        <v>91468</v>
      </c>
      <c r="B895" s="48" t="s">
        <v>5268</v>
      </c>
      <c r="C895" s="47" t="s">
        <v>57</v>
      </c>
      <c r="D895" s="332">
        <v>17.64</v>
      </c>
    </row>
    <row r="896" spans="1:4" ht="45">
      <c r="A896" s="28">
        <v>91469</v>
      </c>
      <c r="B896" s="26" t="s">
        <v>5270</v>
      </c>
      <c r="C896" s="28" t="s">
        <v>57</v>
      </c>
      <c r="D896" s="329">
        <v>4.51</v>
      </c>
    </row>
    <row r="897" spans="1:4" ht="45">
      <c r="A897" s="47">
        <v>91484</v>
      </c>
      <c r="B897" s="48" t="s">
        <v>5269</v>
      </c>
      <c r="C897" s="47" t="s">
        <v>57</v>
      </c>
      <c r="D897" s="332">
        <v>0.92</v>
      </c>
    </row>
    <row r="898" spans="1:4" ht="60">
      <c r="A898" s="28">
        <v>91485</v>
      </c>
      <c r="B898" s="26" t="s">
        <v>5272</v>
      </c>
      <c r="C898" s="28" t="s">
        <v>57</v>
      </c>
      <c r="D898" s="329">
        <v>91.86</v>
      </c>
    </row>
    <row r="899" spans="1:4" ht="30">
      <c r="A899" s="47">
        <v>91529</v>
      </c>
      <c r="B899" s="48" t="s">
        <v>3674</v>
      </c>
      <c r="C899" s="47" t="s">
        <v>57</v>
      </c>
      <c r="D899" s="332">
        <v>1.1399999999999999</v>
      </c>
    </row>
    <row r="900" spans="1:4" ht="30">
      <c r="A900" s="28">
        <v>91530</v>
      </c>
      <c r="B900" s="26" t="s">
        <v>3675</v>
      </c>
      <c r="C900" s="28" t="s">
        <v>57</v>
      </c>
      <c r="D900" s="329">
        <v>0.36</v>
      </c>
    </row>
    <row r="901" spans="1:4" ht="30">
      <c r="A901" s="47">
        <v>91531</v>
      </c>
      <c r="B901" s="48" t="s">
        <v>3676</v>
      </c>
      <c r="C901" s="47" t="s">
        <v>57</v>
      </c>
      <c r="D901" s="332">
        <v>1.2</v>
      </c>
    </row>
    <row r="902" spans="1:4" ht="30">
      <c r="A902" s="28">
        <v>91532</v>
      </c>
      <c r="B902" s="26" t="s">
        <v>3677</v>
      </c>
      <c r="C902" s="28" t="s">
        <v>57</v>
      </c>
      <c r="D902" s="329">
        <v>3.38</v>
      </c>
    </row>
    <row r="903" spans="1:4" ht="45">
      <c r="A903" s="47">
        <v>91629</v>
      </c>
      <c r="B903" s="48" t="s">
        <v>5969</v>
      </c>
      <c r="C903" s="47" t="s">
        <v>57</v>
      </c>
      <c r="D903" s="332">
        <v>11.02</v>
      </c>
    </row>
    <row r="904" spans="1:4" ht="45">
      <c r="A904" s="28">
        <v>91630</v>
      </c>
      <c r="B904" s="26" t="s">
        <v>5971</v>
      </c>
      <c r="C904" s="28" t="s">
        <v>57</v>
      </c>
      <c r="D904" s="329">
        <v>2.81</v>
      </c>
    </row>
    <row r="905" spans="1:4" ht="45">
      <c r="A905" s="47">
        <v>91631</v>
      </c>
      <c r="B905" s="48" t="s">
        <v>5970</v>
      </c>
      <c r="C905" s="47" t="s">
        <v>57</v>
      </c>
      <c r="D905" s="332">
        <v>0.56999999999999995</v>
      </c>
    </row>
    <row r="906" spans="1:4" ht="45">
      <c r="A906" s="28">
        <v>91632</v>
      </c>
      <c r="B906" s="26" t="s">
        <v>5972</v>
      </c>
      <c r="C906" s="28" t="s">
        <v>57</v>
      </c>
      <c r="D906" s="329">
        <v>13.78</v>
      </c>
    </row>
    <row r="907" spans="1:4" ht="45">
      <c r="A907" s="47">
        <v>91633</v>
      </c>
      <c r="B907" s="48" t="s">
        <v>5973</v>
      </c>
      <c r="C907" s="47" t="s">
        <v>57</v>
      </c>
      <c r="D907" s="332">
        <v>53.33</v>
      </c>
    </row>
    <row r="908" spans="1:4" ht="45">
      <c r="A908" s="28">
        <v>91640</v>
      </c>
      <c r="B908" s="26" t="s">
        <v>3221</v>
      </c>
      <c r="C908" s="28" t="s">
        <v>57</v>
      </c>
      <c r="D908" s="329">
        <v>21.07</v>
      </c>
    </row>
    <row r="909" spans="1:4" ht="45">
      <c r="A909" s="47">
        <v>91641</v>
      </c>
      <c r="B909" s="48" t="s">
        <v>3223</v>
      </c>
      <c r="C909" s="47" t="s">
        <v>57</v>
      </c>
      <c r="D909" s="332">
        <v>10.28</v>
      </c>
    </row>
    <row r="910" spans="1:4" ht="45">
      <c r="A910" s="28">
        <v>91642</v>
      </c>
      <c r="B910" s="26" t="s">
        <v>3222</v>
      </c>
      <c r="C910" s="28" t="s">
        <v>57</v>
      </c>
      <c r="D910" s="329">
        <v>2.13</v>
      </c>
    </row>
    <row r="911" spans="1:4" ht="45">
      <c r="A911" s="47">
        <v>91643</v>
      </c>
      <c r="B911" s="48" t="s">
        <v>3224</v>
      </c>
      <c r="C911" s="47" t="s">
        <v>57</v>
      </c>
      <c r="D911" s="332">
        <v>29.65</v>
      </c>
    </row>
    <row r="912" spans="1:4" ht="45">
      <c r="A912" s="28">
        <v>91644</v>
      </c>
      <c r="B912" s="26" t="s">
        <v>3225</v>
      </c>
      <c r="C912" s="28" t="s">
        <v>57</v>
      </c>
      <c r="D912" s="329">
        <v>120.01</v>
      </c>
    </row>
    <row r="913" spans="1:4" ht="30">
      <c r="A913" s="47">
        <v>91688</v>
      </c>
      <c r="B913" s="48" t="s">
        <v>9014</v>
      </c>
      <c r="C913" s="47" t="s">
        <v>57</v>
      </c>
      <c r="D913" s="332">
        <v>0.04</v>
      </c>
    </row>
    <row r="914" spans="1:4" ht="30">
      <c r="A914" s="28">
        <v>91689</v>
      </c>
      <c r="B914" s="26" t="s">
        <v>9015</v>
      </c>
      <c r="C914" s="28" t="s">
        <v>57</v>
      </c>
      <c r="D914" s="329">
        <v>0.01</v>
      </c>
    </row>
    <row r="915" spans="1:4" ht="30">
      <c r="A915" s="47">
        <v>91690</v>
      </c>
      <c r="B915" s="48" t="s">
        <v>9016</v>
      </c>
      <c r="C915" s="47" t="s">
        <v>57</v>
      </c>
      <c r="D915" s="332">
        <v>0.02</v>
      </c>
    </row>
    <row r="916" spans="1:4" ht="30">
      <c r="A916" s="28">
        <v>91691</v>
      </c>
      <c r="B916" s="26" t="s">
        <v>9017</v>
      </c>
      <c r="C916" s="28" t="s">
        <v>57</v>
      </c>
      <c r="D916" s="329">
        <v>1.82</v>
      </c>
    </row>
    <row r="917" spans="1:4" ht="30">
      <c r="A917" s="47">
        <v>92040</v>
      </c>
      <c r="B917" s="48" t="s">
        <v>4797</v>
      </c>
      <c r="C917" s="47" t="s">
        <v>57</v>
      </c>
      <c r="D917" s="332">
        <v>2.9</v>
      </c>
    </row>
    <row r="918" spans="1:4" ht="30">
      <c r="A918" s="28">
        <v>92041</v>
      </c>
      <c r="B918" s="26" t="s">
        <v>4798</v>
      </c>
      <c r="C918" s="28" t="s">
        <v>57</v>
      </c>
      <c r="D918" s="329">
        <v>1.06</v>
      </c>
    </row>
    <row r="919" spans="1:4" ht="30">
      <c r="A919" s="47">
        <v>92042</v>
      </c>
      <c r="B919" s="48" t="s">
        <v>4799</v>
      </c>
      <c r="C919" s="47" t="s">
        <v>57</v>
      </c>
      <c r="D919" s="332">
        <v>2.0099999999999998</v>
      </c>
    </row>
    <row r="920" spans="1:4" ht="45">
      <c r="A920" s="28">
        <v>92101</v>
      </c>
      <c r="B920" s="26" t="s">
        <v>3228</v>
      </c>
      <c r="C920" s="28" t="s">
        <v>57</v>
      </c>
      <c r="D920" s="329">
        <v>15.8</v>
      </c>
    </row>
    <row r="921" spans="1:4" ht="45">
      <c r="A921" s="47">
        <v>92102</v>
      </c>
      <c r="B921" s="48" t="s">
        <v>3228</v>
      </c>
      <c r="C921" s="47" t="s">
        <v>57</v>
      </c>
      <c r="D921" s="332">
        <v>7.71</v>
      </c>
    </row>
    <row r="922" spans="1:4" ht="45">
      <c r="A922" s="28">
        <v>92103</v>
      </c>
      <c r="B922" s="26" t="s">
        <v>3228</v>
      </c>
      <c r="C922" s="28" t="s">
        <v>57</v>
      </c>
      <c r="D922" s="329">
        <v>1.6</v>
      </c>
    </row>
    <row r="923" spans="1:4" ht="45">
      <c r="A923" s="47">
        <v>92104</v>
      </c>
      <c r="B923" s="48" t="s">
        <v>3228</v>
      </c>
      <c r="C923" s="47" t="s">
        <v>57</v>
      </c>
      <c r="D923" s="332">
        <v>22.24</v>
      </c>
    </row>
    <row r="924" spans="1:4" ht="45">
      <c r="A924" s="28">
        <v>92105</v>
      </c>
      <c r="B924" s="26" t="s">
        <v>3228</v>
      </c>
      <c r="C924" s="28" t="s">
        <v>57</v>
      </c>
      <c r="D924" s="329">
        <v>76.67</v>
      </c>
    </row>
    <row r="925" spans="1:4" ht="30">
      <c r="A925" s="47">
        <v>92108</v>
      </c>
      <c r="B925" s="48" t="s">
        <v>7904</v>
      </c>
      <c r="C925" s="47" t="s">
        <v>57</v>
      </c>
      <c r="D925" s="332">
        <v>0.82</v>
      </c>
    </row>
    <row r="926" spans="1:4" ht="30">
      <c r="A926" s="28">
        <v>92109</v>
      </c>
      <c r="B926" s="26" t="s">
        <v>7905</v>
      </c>
      <c r="C926" s="28" t="s">
        <v>57</v>
      </c>
      <c r="D926" s="329">
        <v>0.26</v>
      </c>
    </row>
    <row r="927" spans="1:4" ht="30">
      <c r="A927" s="47">
        <v>92110</v>
      </c>
      <c r="B927" s="48" t="s">
        <v>7906</v>
      </c>
      <c r="C927" s="47" t="s">
        <v>57</v>
      </c>
      <c r="D927" s="332">
        <v>0.86</v>
      </c>
    </row>
    <row r="928" spans="1:4" ht="30">
      <c r="A928" s="28">
        <v>92111</v>
      </c>
      <c r="B928" s="26" t="s">
        <v>7907</v>
      </c>
      <c r="C928" s="28" t="s">
        <v>57</v>
      </c>
      <c r="D928" s="329">
        <v>0.72</v>
      </c>
    </row>
    <row r="929" spans="1:4">
      <c r="A929" s="47">
        <v>92114</v>
      </c>
      <c r="B929" s="48" t="s">
        <v>332</v>
      </c>
      <c r="C929" s="47" t="s">
        <v>57</v>
      </c>
      <c r="D929" s="332">
        <v>0.83</v>
      </c>
    </row>
    <row r="930" spans="1:4">
      <c r="A930" s="28">
        <v>92115</v>
      </c>
      <c r="B930" s="26" t="s">
        <v>333</v>
      </c>
      <c r="C930" s="28" t="s">
        <v>57</v>
      </c>
      <c r="D930" s="329">
        <v>0.05</v>
      </c>
    </row>
    <row r="931" spans="1:4">
      <c r="A931" s="47">
        <v>92116</v>
      </c>
      <c r="B931" s="48" t="s">
        <v>334</v>
      </c>
      <c r="C931" s="47" t="s">
        <v>57</v>
      </c>
      <c r="D931" s="332">
        <v>0.55000000000000004</v>
      </c>
    </row>
    <row r="932" spans="1:4" ht="30">
      <c r="A932" s="28">
        <v>92133</v>
      </c>
      <c r="B932" s="26" t="s">
        <v>3310</v>
      </c>
      <c r="C932" s="28" t="s">
        <v>57</v>
      </c>
      <c r="D932" s="329">
        <v>7.07</v>
      </c>
    </row>
    <row r="933" spans="1:4" ht="30">
      <c r="A933" s="47">
        <v>92134</v>
      </c>
      <c r="B933" s="48" t="s">
        <v>3312</v>
      </c>
      <c r="C933" s="47" t="s">
        <v>57</v>
      </c>
      <c r="D933" s="332">
        <v>1.69</v>
      </c>
    </row>
    <row r="934" spans="1:4" ht="30">
      <c r="A934" s="28">
        <v>92135</v>
      </c>
      <c r="B934" s="26" t="s">
        <v>3311</v>
      </c>
      <c r="C934" s="28" t="s">
        <v>57</v>
      </c>
      <c r="D934" s="329">
        <v>0.35</v>
      </c>
    </row>
    <row r="935" spans="1:4" ht="30">
      <c r="A935" s="47">
        <v>92136</v>
      </c>
      <c r="B935" s="48" t="s">
        <v>3313</v>
      </c>
      <c r="C935" s="47" t="s">
        <v>57</v>
      </c>
      <c r="D935" s="332">
        <v>9.42</v>
      </c>
    </row>
    <row r="936" spans="1:4" ht="30">
      <c r="A936" s="28">
        <v>92137</v>
      </c>
      <c r="B936" s="26" t="s">
        <v>3314</v>
      </c>
      <c r="C936" s="28" t="s">
        <v>57</v>
      </c>
      <c r="D936" s="329">
        <v>60</v>
      </c>
    </row>
    <row r="937" spans="1:4" ht="30">
      <c r="A937" s="47">
        <v>92140</v>
      </c>
      <c r="B937" s="48" t="s">
        <v>3302</v>
      </c>
      <c r="C937" s="47" t="s">
        <v>57</v>
      </c>
      <c r="D937" s="332">
        <v>2.7</v>
      </c>
    </row>
    <row r="938" spans="1:4" ht="30">
      <c r="A938" s="28">
        <v>92141</v>
      </c>
      <c r="B938" s="26" t="s">
        <v>3304</v>
      </c>
      <c r="C938" s="28" t="s">
        <v>57</v>
      </c>
      <c r="D938" s="329">
        <v>0.65</v>
      </c>
    </row>
    <row r="939" spans="1:4" ht="30">
      <c r="A939" s="47">
        <v>92142</v>
      </c>
      <c r="B939" s="48" t="s">
        <v>3303</v>
      </c>
      <c r="C939" s="47" t="s">
        <v>57</v>
      </c>
      <c r="D939" s="332">
        <v>0.13</v>
      </c>
    </row>
    <row r="940" spans="1:4" ht="30">
      <c r="A940" s="28">
        <v>92143</v>
      </c>
      <c r="B940" s="26" t="s">
        <v>3305</v>
      </c>
      <c r="C940" s="28" t="s">
        <v>57</v>
      </c>
      <c r="D940" s="329">
        <v>3.61</v>
      </c>
    </row>
    <row r="941" spans="1:4" ht="30">
      <c r="A941" s="47">
        <v>92144</v>
      </c>
      <c r="B941" s="48" t="s">
        <v>3306</v>
      </c>
      <c r="C941" s="47" t="s">
        <v>57</v>
      </c>
      <c r="D941" s="332">
        <v>57.24</v>
      </c>
    </row>
    <row r="942" spans="1:4" ht="45">
      <c r="A942" s="28">
        <v>92237</v>
      </c>
      <c r="B942" s="26" t="s">
        <v>3214</v>
      </c>
      <c r="C942" s="28" t="s">
        <v>57</v>
      </c>
      <c r="D942" s="329">
        <v>15.32</v>
      </c>
    </row>
    <row r="943" spans="1:4" ht="45">
      <c r="A943" s="47">
        <v>92238</v>
      </c>
      <c r="B943" s="48" t="s">
        <v>3216</v>
      </c>
      <c r="C943" s="47" t="s">
        <v>57</v>
      </c>
      <c r="D943" s="332">
        <v>7.47</v>
      </c>
    </row>
    <row r="944" spans="1:4" ht="45">
      <c r="A944" s="28">
        <v>92239</v>
      </c>
      <c r="B944" s="26" t="s">
        <v>3215</v>
      </c>
      <c r="C944" s="28" t="s">
        <v>57</v>
      </c>
      <c r="D944" s="329">
        <v>1.55</v>
      </c>
    </row>
    <row r="945" spans="1:4" ht="45">
      <c r="A945" s="47">
        <v>92240</v>
      </c>
      <c r="B945" s="48" t="s">
        <v>3217</v>
      </c>
      <c r="C945" s="47" t="s">
        <v>57</v>
      </c>
      <c r="D945" s="332">
        <v>21.55</v>
      </c>
    </row>
    <row r="946" spans="1:4" ht="45">
      <c r="A946" s="28">
        <v>92241</v>
      </c>
      <c r="B946" s="26" t="s">
        <v>3218</v>
      </c>
      <c r="C946" s="28" t="s">
        <v>57</v>
      </c>
      <c r="D946" s="329">
        <v>110.01</v>
      </c>
    </row>
    <row r="947" spans="1:4" ht="30">
      <c r="A947" s="47">
        <v>92712</v>
      </c>
      <c r="B947" s="48" t="s">
        <v>1889</v>
      </c>
      <c r="C947" s="47" t="s">
        <v>57</v>
      </c>
      <c r="D947" s="332">
        <v>0.13</v>
      </c>
    </row>
    <row r="948" spans="1:4" ht="30">
      <c r="A948" s="28">
        <v>92713</v>
      </c>
      <c r="B948" s="26" t="s">
        <v>1890</v>
      </c>
      <c r="C948" s="28" t="s">
        <v>57</v>
      </c>
      <c r="D948" s="329">
        <v>0.03</v>
      </c>
    </row>
    <row r="949" spans="1:4" ht="30">
      <c r="A949" s="47">
        <v>92714</v>
      </c>
      <c r="B949" s="48" t="s">
        <v>1891</v>
      </c>
      <c r="C949" s="47" t="s">
        <v>57</v>
      </c>
      <c r="D949" s="332">
        <v>0.08</v>
      </c>
    </row>
    <row r="950" spans="1:4" ht="30">
      <c r="A950" s="28">
        <v>92715</v>
      </c>
      <c r="B950" s="26" t="s">
        <v>1892</v>
      </c>
      <c r="C950" s="28" t="s">
        <v>57</v>
      </c>
      <c r="D950" s="329">
        <v>13.26</v>
      </c>
    </row>
    <row r="951" spans="1:4" ht="30">
      <c r="A951" s="47">
        <v>92956</v>
      </c>
      <c r="B951" s="48" t="s">
        <v>7281</v>
      </c>
      <c r="C951" s="47" t="s">
        <v>57</v>
      </c>
      <c r="D951" s="332">
        <v>3.75</v>
      </c>
    </row>
    <row r="952" spans="1:4" ht="30">
      <c r="A952" s="28">
        <v>92957</v>
      </c>
      <c r="B952" s="26" t="s">
        <v>7282</v>
      </c>
      <c r="C952" s="28" t="s">
        <v>57</v>
      </c>
      <c r="D952" s="329">
        <v>1.1200000000000001</v>
      </c>
    </row>
    <row r="953" spans="1:4" ht="30">
      <c r="A953" s="47">
        <v>92958</v>
      </c>
      <c r="B953" s="48" t="s">
        <v>7283</v>
      </c>
      <c r="C953" s="47" t="s">
        <v>57</v>
      </c>
      <c r="D953" s="332">
        <v>3.65</v>
      </c>
    </row>
    <row r="954" spans="1:4" ht="30">
      <c r="A954" s="28">
        <v>92959</v>
      </c>
      <c r="B954" s="26" t="s">
        <v>7284</v>
      </c>
      <c r="C954" s="28" t="s">
        <v>57</v>
      </c>
      <c r="D954" s="329">
        <v>6.22</v>
      </c>
    </row>
    <row r="955" spans="1:4" ht="30">
      <c r="A955" s="47">
        <v>92963</v>
      </c>
      <c r="B955" s="48" t="s">
        <v>7317</v>
      </c>
      <c r="C955" s="47" t="s">
        <v>57</v>
      </c>
      <c r="D955" s="332">
        <v>1.28</v>
      </c>
    </row>
    <row r="956" spans="1:4" ht="30">
      <c r="A956" s="28">
        <v>92964</v>
      </c>
      <c r="B956" s="26" t="s">
        <v>7318</v>
      </c>
      <c r="C956" s="28" t="s">
        <v>57</v>
      </c>
      <c r="D956" s="329">
        <v>0.36</v>
      </c>
    </row>
    <row r="957" spans="1:4" ht="30">
      <c r="A957" s="47">
        <v>92965</v>
      </c>
      <c r="B957" s="48" t="s">
        <v>7319</v>
      </c>
      <c r="C957" s="47" t="s">
        <v>57</v>
      </c>
      <c r="D957" s="332">
        <v>0.84</v>
      </c>
    </row>
    <row r="958" spans="1:4" ht="60">
      <c r="A958" s="28">
        <v>93220</v>
      </c>
      <c r="B958" s="26" t="s">
        <v>7942</v>
      </c>
      <c r="C958" s="28" t="s">
        <v>57</v>
      </c>
      <c r="D958" s="329">
        <v>216.39</v>
      </c>
    </row>
    <row r="959" spans="1:4" ht="45">
      <c r="A959" s="47">
        <v>93221</v>
      </c>
      <c r="B959" s="48" t="s">
        <v>7943</v>
      </c>
      <c r="C959" s="47" t="s">
        <v>57</v>
      </c>
      <c r="D959" s="332">
        <v>47.82</v>
      </c>
    </row>
    <row r="960" spans="1:4" ht="60">
      <c r="A960" s="28">
        <v>93222</v>
      </c>
      <c r="B960" s="26" t="s">
        <v>7944</v>
      </c>
      <c r="C960" s="28" t="s">
        <v>57</v>
      </c>
      <c r="D960" s="329">
        <v>227.75</v>
      </c>
    </row>
    <row r="961" spans="1:4" ht="60">
      <c r="A961" s="47">
        <v>93223</v>
      </c>
      <c r="B961" s="48" t="s">
        <v>7945</v>
      </c>
      <c r="C961" s="47" t="s">
        <v>57</v>
      </c>
      <c r="D961" s="332">
        <v>157.69999999999999</v>
      </c>
    </row>
    <row r="962" spans="1:4" ht="30">
      <c r="A962" s="28">
        <v>93229</v>
      </c>
      <c r="B962" s="26" t="s">
        <v>2511</v>
      </c>
      <c r="C962" s="28" t="s">
        <v>57</v>
      </c>
      <c r="D962" s="329">
        <v>0.28000000000000003</v>
      </c>
    </row>
    <row r="963" spans="1:4" ht="30">
      <c r="A963" s="47">
        <v>93230</v>
      </c>
      <c r="B963" s="48" t="s">
        <v>2512</v>
      </c>
      <c r="C963" s="47" t="s">
        <v>57</v>
      </c>
      <c r="D963" s="332">
        <v>0.06</v>
      </c>
    </row>
    <row r="964" spans="1:4" ht="30">
      <c r="A964" s="28">
        <v>93231</v>
      </c>
      <c r="B964" s="26" t="s">
        <v>2513</v>
      </c>
      <c r="C964" s="28" t="s">
        <v>57</v>
      </c>
      <c r="D964" s="329">
        <v>0.23</v>
      </c>
    </row>
    <row r="965" spans="1:4" ht="30">
      <c r="A965" s="47">
        <v>93232</v>
      </c>
      <c r="B965" s="48" t="s">
        <v>2514</v>
      </c>
      <c r="C965" s="47" t="s">
        <v>57</v>
      </c>
      <c r="D965" s="332">
        <v>4.7300000000000004</v>
      </c>
    </row>
    <row r="966" spans="1:4">
      <c r="A966" s="28">
        <v>93235</v>
      </c>
      <c r="B966" s="26" t="s">
        <v>5887</v>
      </c>
      <c r="C966" s="28" t="s">
        <v>57</v>
      </c>
      <c r="D966" s="329">
        <v>0.96</v>
      </c>
    </row>
    <row r="967" spans="1:4" ht="30">
      <c r="A967" s="47">
        <v>93236</v>
      </c>
      <c r="B967" s="48" t="s">
        <v>8895</v>
      </c>
      <c r="C967" s="47" t="s">
        <v>57</v>
      </c>
      <c r="D967" s="332">
        <v>4.97</v>
      </c>
    </row>
    <row r="968" spans="1:4" ht="45">
      <c r="A968" s="28">
        <v>93238</v>
      </c>
      <c r="B968" s="26" t="s">
        <v>8943</v>
      </c>
      <c r="C968" s="28" t="s">
        <v>57</v>
      </c>
      <c r="D968" s="329">
        <v>1.01</v>
      </c>
    </row>
    <row r="969" spans="1:4" ht="45">
      <c r="A969" s="47">
        <v>93239</v>
      </c>
      <c r="B969" s="48" t="s">
        <v>8937</v>
      </c>
      <c r="C969" s="47" t="s">
        <v>57</v>
      </c>
      <c r="D969" s="332">
        <v>4.58</v>
      </c>
    </row>
    <row r="970" spans="1:4" ht="45">
      <c r="A970" s="28">
        <v>93240</v>
      </c>
      <c r="B970" s="26" t="s">
        <v>8939</v>
      </c>
      <c r="C970" s="28" t="s">
        <v>57</v>
      </c>
      <c r="D970" s="329">
        <v>7.55</v>
      </c>
    </row>
    <row r="971" spans="1:4" ht="30">
      <c r="A971" s="47">
        <v>93241</v>
      </c>
      <c r="B971" s="48" t="s">
        <v>8961</v>
      </c>
      <c r="C971" s="47" t="s">
        <v>57</v>
      </c>
      <c r="D971" s="332">
        <v>2.78</v>
      </c>
    </row>
    <row r="972" spans="1:4" ht="30">
      <c r="A972" s="28">
        <v>93267</v>
      </c>
      <c r="B972" s="26" t="s">
        <v>5846</v>
      </c>
      <c r="C972" s="28" t="s">
        <v>57</v>
      </c>
      <c r="D972" s="329">
        <v>18.48</v>
      </c>
    </row>
    <row r="973" spans="1:4" ht="30">
      <c r="A973" s="47">
        <v>93269</v>
      </c>
      <c r="B973" s="48" t="s">
        <v>5843</v>
      </c>
      <c r="C973" s="47" t="s">
        <v>57</v>
      </c>
      <c r="D973" s="332">
        <v>4.72</v>
      </c>
    </row>
    <row r="974" spans="1:4" ht="30">
      <c r="A974" s="28">
        <v>93270</v>
      </c>
      <c r="B974" s="26" t="s">
        <v>5844</v>
      </c>
      <c r="C974" s="28" t="s">
        <v>57</v>
      </c>
      <c r="D974" s="329">
        <v>23.11</v>
      </c>
    </row>
    <row r="975" spans="1:4" ht="30">
      <c r="A975" s="47">
        <v>93271</v>
      </c>
      <c r="B975" s="48" t="s">
        <v>5845</v>
      </c>
      <c r="C975" s="47" t="s">
        <v>57</v>
      </c>
      <c r="D975" s="332">
        <v>5.39</v>
      </c>
    </row>
    <row r="976" spans="1:4" ht="30">
      <c r="A976" s="28">
        <v>93277</v>
      </c>
      <c r="B976" s="26" t="s">
        <v>5926</v>
      </c>
      <c r="C976" s="28" t="s">
        <v>57</v>
      </c>
      <c r="D976" s="329">
        <v>0.21</v>
      </c>
    </row>
    <row r="977" spans="1:4" ht="30">
      <c r="A977" s="47">
        <v>93278</v>
      </c>
      <c r="B977" s="48" t="s">
        <v>5927</v>
      </c>
      <c r="C977" s="47" t="s">
        <v>57</v>
      </c>
      <c r="D977" s="332">
        <v>7.0000000000000007E-2</v>
      </c>
    </row>
    <row r="978" spans="1:4" ht="30">
      <c r="A978" s="28">
        <v>93279</v>
      </c>
      <c r="B978" s="26" t="s">
        <v>5928</v>
      </c>
      <c r="C978" s="28" t="s">
        <v>57</v>
      </c>
      <c r="D978" s="329">
        <v>0.13</v>
      </c>
    </row>
    <row r="979" spans="1:4" ht="30">
      <c r="A979" s="47">
        <v>93280</v>
      </c>
      <c r="B979" s="48" t="s">
        <v>5929</v>
      </c>
      <c r="C979" s="47" t="s">
        <v>57</v>
      </c>
      <c r="D979" s="332">
        <v>0.44</v>
      </c>
    </row>
    <row r="980" spans="1:4" ht="30">
      <c r="A980" s="28">
        <v>93283</v>
      </c>
      <c r="B980" s="26" t="s">
        <v>5941</v>
      </c>
      <c r="C980" s="28" t="s">
        <v>57</v>
      </c>
      <c r="D980" s="329">
        <v>62.17</v>
      </c>
    </row>
    <row r="981" spans="1:4" ht="30">
      <c r="A981" s="47">
        <v>93284</v>
      </c>
      <c r="B981" s="48" t="s">
        <v>5943</v>
      </c>
      <c r="C981" s="47" t="s">
        <v>57</v>
      </c>
      <c r="D981" s="332">
        <v>15.88</v>
      </c>
    </row>
    <row r="982" spans="1:4" ht="30">
      <c r="A982" s="28">
        <v>93285</v>
      </c>
      <c r="B982" s="26" t="s">
        <v>5944</v>
      </c>
      <c r="C982" s="28" t="s">
        <v>57</v>
      </c>
      <c r="D982" s="329">
        <v>77.72</v>
      </c>
    </row>
    <row r="983" spans="1:4" ht="30">
      <c r="A983" s="47">
        <v>93286</v>
      </c>
      <c r="B983" s="48" t="s">
        <v>5945</v>
      </c>
      <c r="C983" s="47" t="s">
        <v>57</v>
      </c>
      <c r="D983" s="332">
        <v>127.48</v>
      </c>
    </row>
    <row r="984" spans="1:4" ht="30">
      <c r="A984" s="28">
        <v>93296</v>
      </c>
      <c r="B984" s="26" t="s">
        <v>5942</v>
      </c>
      <c r="C984" s="28" t="s">
        <v>57</v>
      </c>
      <c r="D984" s="329">
        <v>3.26</v>
      </c>
    </row>
    <row r="985" spans="1:4" ht="45">
      <c r="A985" s="47">
        <v>93397</v>
      </c>
      <c r="B985" s="48" t="s">
        <v>5953</v>
      </c>
      <c r="C985" s="47" t="s">
        <v>57</v>
      </c>
      <c r="D985" s="332">
        <v>11.02</v>
      </c>
    </row>
    <row r="986" spans="1:4" ht="45">
      <c r="A986" s="28">
        <v>93398</v>
      </c>
      <c r="B986" s="26" t="s">
        <v>5955</v>
      </c>
      <c r="C986" s="28" t="s">
        <v>57</v>
      </c>
      <c r="D986" s="329">
        <v>2.81</v>
      </c>
    </row>
    <row r="987" spans="1:4" ht="45">
      <c r="A987" s="47">
        <v>93399</v>
      </c>
      <c r="B987" s="48" t="s">
        <v>5954</v>
      </c>
      <c r="C987" s="47" t="s">
        <v>57</v>
      </c>
      <c r="D987" s="332">
        <v>0.56999999999999995</v>
      </c>
    </row>
    <row r="988" spans="1:4" ht="45">
      <c r="A988" s="28">
        <v>93400</v>
      </c>
      <c r="B988" s="26" t="s">
        <v>5956</v>
      </c>
      <c r="C988" s="28" t="s">
        <v>57</v>
      </c>
      <c r="D988" s="329">
        <v>13.78</v>
      </c>
    </row>
    <row r="989" spans="1:4" ht="45">
      <c r="A989" s="47">
        <v>93401</v>
      </c>
      <c r="B989" s="48" t="s">
        <v>5957</v>
      </c>
      <c r="C989" s="47" t="s">
        <v>57</v>
      </c>
      <c r="D989" s="332">
        <v>63.02</v>
      </c>
    </row>
    <row r="990" spans="1:4" ht="45">
      <c r="A990" s="28">
        <v>93403</v>
      </c>
      <c r="B990" s="26" t="s">
        <v>5951</v>
      </c>
      <c r="C990" s="28" t="s">
        <v>330</v>
      </c>
      <c r="D990" s="329">
        <v>47.92</v>
      </c>
    </row>
    <row r="991" spans="1:4" ht="60">
      <c r="A991" s="47">
        <v>93404</v>
      </c>
      <c r="B991" s="48" t="s">
        <v>7287</v>
      </c>
      <c r="C991" s="47" t="s">
        <v>57</v>
      </c>
      <c r="D991" s="332">
        <v>5.58</v>
      </c>
    </row>
    <row r="992" spans="1:4" ht="60">
      <c r="A992" s="28">
        <v>93405</v>
      </c>
      <c r="B992" s="26" t="s">
        <v>7288</v>
      </c>
      <c r="C992" s="28" t="s">
        <v>57</v>
      </c>
      <c r="D992" s="329">
        <v>1.05</v>
      </c>
    </row>
    <row r="993" spans="1:4" ht="60">
      <c r="A993" s="47">
        <v>93406</v>
      </c>
      <c r="B993" s="48" t="s">
        <v>7289</v>
      </c>
      <c r="C993" s="47" t="s">
        <v>57</v>
      </c>
      <c r="D993" s="332">
        <v>6.61</v>
      </c>
    </row>
    <row r="994" spans="1:4" ht="60">
      <c r="A994" s="28">
        <v>93407</v>
      </c>
      <c r="B994" s="26" t="s">
        <v>7290</v>
      </c>
      <c r="C994" s="28" t="s">
        <v>57</v>
      </c>
      <c r="D994" s="329">
        <v>27.99</v>
      </c>
    </row>
    <row r="995" spans="1:4" ht="60">
      <c r="A995" s="47">
        <v>93409</v>
      </c>
      <c r="B995" s="48" t="s">
        <v>7286</v>
      </c>
      <c r="C995" s="47" t="s">
        <v>330</v>
      </c>
      <c r="D995" s="332">
        <v>25.3</v>
      </c>
    </row>
    <row r="996" spans="1:4" ht="30">
      <c r="A996" s="28">
        <v>93411</v>
      </c>
      <c r="B996" s="26" t="s">
        <v>5770</v>
      </c>
      <c r="C996" s="28" t="s">
        <v>57</v>
      </c>
      <c r="D996" s="329">
        <v>0.16</v>
      </c>
    </row>
    <row r="997" spans="1:4" ht="30">
      <c r="A997" s="47">
        <v>93412</v>
      </c>
      <c r="B997" s="48" t="s">
        <v>5771</v>
      </c>
      <c r="C997" s="47" t="s">
        <v>57</v>
      </c>
      <c r="D997" s="332">
        <v>0.04</v>
      </c>
    </row>
    <row r="998" spans="1:4" ht="30">
      <c r="A998" s="28">
        <v>93413</v>
      </c>
      <c r="B998" s="26" t="s">
        <v>5772</v>
      </c>
      <c r="C998" s="28" t="s">
        <v>57</v>
      </c>
      <c r="D998" s="329">
        <v>0.12</v>
      </c>
    </row>
    <row r="999" spans="1:4" ht="30">
      <c r="A999" s="47">
        <v>93414</v>
      </c>
      <c r="B999" s="48" t="s">
        <v>5773</v>
      </c>
      <c r="C999" s="47" t="s">
        <v>57</v>
      </c>
      <c r="D999" s="332">
        <v>11.04</v>
      </c>
    </row>
    <row r="1000" spans="1:4" ht="30">
      <c r="A1000" s="28">
        <v>93417</v>
      </c>
      <c r="B1000" s="26" t="s">
        <v>5901</v>
      </c>
      <c r="C1000" s="28" t="s">
        <v>57</v>
      </c>
      <c r="D1000" s="329">
        <v>2.14</v>
      </c>
    </row>
    <row r="1001" spans="1:4">
      <c r="A1001" s="47">
        <v>93418</v>
      </c>
      <c r="B1001" s="48" t="s">
        <v>5902</v>
      </c>
      <c r="C1001" s="47" t="s">
        <v>57</v>
      </c>
      <c r="D1001" s="332">
        <v>0.6</v>
      </c>
    </row>
    <row r="1002" spans="1:4" ht="30">
      <c r="A1002" s="28">
        <v>93419</v>
      </c>
      <c r="B1002" s="26" t="s">
        <v>5903</v>
      </c>
      <c r="C1002" s="28" t="s">
        <v>57</v>
      </c>
      <c r="D1002" s="329">
        <v>1.57</v>
      </c>
    </row>
    <row r="1003" spans="1:4" ht="30">
      <c r="A1003" s="47">
        <v>93420</v>
      </c>
      <c r="B1003" s="48" t="s">
        <v>5904</v>
      </c>
      <c r="C1003" s="47" t="s">
        <v>57</v>
      </c>
      <c r="D1003" s="332">
        <v>39.19</v>
      </c>
    </row>
    <row r="1004" spans="1:4" ht="30">
      <c r="A1004" s="28">
        <v>93423</v>
      </c>
      <c r="B1004" s="26" t="s">
        <v>5892</v>
      </c>
      <c r="C1004" s="28" t="s">
        <v>57</v>
      </c>
      <c r="D1004" s="329">
        <v>3.03</v>
      </c>
    </row>
    <row r="1005" spans="1:4">
      <c r="A1005" s="47">
        <v>93424</v>
      </c>
      <c r="B1005" s="48" t="s">
        <v>5893</v>
      </c>
      <c r="C1005" s="47" t="s">
        <v>57</v>
      </c>
      <c r="D1005" s="332">
        <v>0.85</v>
      </c>
    </row>
    <row r="1006" spans="1:4" ht="30">
      <c r="A1006" s="28">
        <v>93425</v>
      </c>
      <c r="B1006" s="26" t="s">
        <v>5894</v>
      </c>
      <c r="C1006" s="28" t="s">
        <v>57</v>
      </c>
      <c r="D1006" s="329">
        <v>2.2200000000000002</v>
      </c>
    </row>
    <row r="1007" spans="1:4" ht="30">
      <c r="A1007" s="47">
        <v>93426</v>
      </c>
      <c r="B1007" s="48" t="s">
        <v>5895</v>
      </c>
      <c r="C1007" s="47" t="s">
        <v>57</v>
      </c>
      <c r="D1007" s="332">
        <v>93.68</v>
      </c>
    </row>
    <row r="1008" spans="1:4" ht="30">
      <c r="A1008" s="28">
        <v>93429</v>
      </c>
      <c r="B1008" s="26" t="s">
        <v>10660</v>
      </c>
      <c r="C1008" s="28" t="s">
        <v>57</v>
      </c>
      <c r="D1008" s="329">
        <v>93.67</v>
      </c>
    </row>
    <row r="1009" spans="1:4" ht="30">
      <c r="A1009" s="47">
        <v>93430</v>
      </c>
      <c r="B1009" s="48" t="s">
        <v>10661</v>
      </c>
      <c r="C1009" s="47" t="s">
        <v>57</v>
      </c>
      <c r="D1009" s="332">
        <v>28.06</v>
      </c>
    </row>
    <row r="1010" spans="1:4" ht="30">
      <c r="A1010" s="28">
        <v>93431</v>
      </c>
      <c r="B1010" s="26" t="s">
        <v>10662</v>
      </c>
      <c r="C1010" s="28" t="s">
        <v>57</v>
      </c>
      <c r="D1010" s="329">
        <v>117.18</v>
      </c>
    </row>
    <row r="1011" spans="1:4" ht="30">
      <c r="A1011" s="47">
        <v>93432</v>
      </c>
      <c r="B1011" s="48" t="s">
        <v>10663</v>
      </c>
      <c r="C1011" s="47" t="s">
        <v>57</v>
      </c>
      <c r="D1011" s="332">
        <v>1449.6</v>
      </c>
    </row>
    <row r="1012" spans="1:4" ht="30">
      <c r="A1012" s="28">
        <v>93435</v>
      </c>
      <c r="B1012" s="26" t="s">
        <v>10635</v>
      </c>
      <c r="C1012" s="28" t="s">
        <v>57</v>
      </c>
      <c r="D1012" s="329">
        <v>5.91</v>
      </c>
    </row>
    <row r="1013" spans="1:4" ht="30">
      <c r="A1013" s="47">
        <v>93436</v>
      </c>
      <c r="B1013" s="48" t="s">
        <v>10636</v>
      </c>
      <c r="C1013" s="47" t="s">
        <v>57</v>
      </c>
      <c r="D1013" s="332">
        <v>1.77</v>
      </c>
    </row>
    <row r="1014" spans="1:4" ht="30">
      <c r="A1014" s="28">
        <v>93437</v>
      </c>
      <c r="B1014" s="26" t="s">
        <v>10637</v>
      </c>
      <c r="C1014" s="28" t="s">
        <v>57</v>
      </c>
      <c r="D1014" s="329">
        <v>5.75</v>
      </c>
    </row>
    <row r="1015" spans="1:4" ht="30">
      <c r="A1015" s="47">
        <v>93438</v>
      </c>
      <c r="B1015" s="48" t="s">
        <v>10638</v>
      </c>
      <c r="C1015" s="47" t="s">
        <v>57</v>
      </c>
      <c r="D1015" s="332">
        <v>14.22</v>
      </c>
    </row>
    <row r="1016" spans="1:4" ht="30">
      <c r="A1016" s="28">
        <v>95114</v>
      </c>
      <c r="B1016" s="26" t="s">
        <v>7301</v>
      </c>
      <c r="C1016" s="28" t="s">
        <v>57</v>
      </c>
      <c r="D1016" s="329">
        <v>1.24</v>
      </c>
    </row>
    <row r="1017" spans="1:4" ht="30">
      <c r="A1017" s="47">
        <v>95115</v>
      </c>
      <c r="B1017" s="48" t="s">
        <v>7302</v>
      </c>
      <c r="C1017" s="47" t="s">
        <v>57</v>
      </c>
      <c r="D1017" s="332">
        <v>0.35</v>
      </c>
    </row>
    <row r="1018" spans="1:4" ht="30">
      <c r="A1018" s="28">
        <v>95116</v>
      </c>
      <c r="B1018" s="26" t="s">
        <v>10647</v>
      </c>
      <c r="C1018" s="28" t="s">
        <v>57</v>
      </c>
      <c r="D1018" s="329">
        <v>33.409999999999997</v>
      </c>
    </row>
    <row r="1019" spans="1:4" ht="30">
      <c r="A1019" s="47">
        <v>95117</v>
      </c>
      <c r="B1019" s="48" t="s">
        <v>10648</v>
      </c>
      <c r="C1019" s="47" t="s">
        <v>57</v>
      </c>
      <c r="D1019" s="332">
        <v>10.01</v>
      </c>
    </row>
    <row r="1020" spans="1:4" ht="30">
      <c r="A1020" s="28">
        <v>95118</v>
      </c>
      <c r="B1020" s="26" t="s">
        <v>10668</v>
      </c>
      <c r="C1020" s="28" t="s">
        <v>57</v>
      </c>
      <c r="D1020" s="329">
        <v>48.32</v>
      </c>
    </row>
    <row r="1021" spans="1:4" ht="30">
      <c r="A1021" s="47">
        <v>95119</v>
      </c>
      <c r="B1021" s="48" t="s">
        <v>10669</v>
      </c>
      <c r="C1021" s="47" t="s">
        <v>57</v>
      </c>
      <c r="D1021" s="332">
        <v>14.47</v>
      </c>
    </row>
    <row r="1022" spans="1:4" ht="30">
      <c r="A1022" s="28">
        <v>95120</v>
      </c>
      <c r="B1022" s="26" t="s">
        <v>10671</v>
      </c>
      <c r="C1022" s="28" t="s">
        <v>57</v>
      </c>
      <c r="D1022" s="329">
        <v>36.770000000000003</v>
      </c>
    </row>
    <row r="1023" spans="1:4" ht="30">
      <c r="A1023" s="47">
        <v>95123</v>
      </c>
      <c r="B1023" s="48" t="s">
        <v>4792</v>
      </c>
      <c r="C1023" s="47" t="s">
        <v>57</v>
      </c>
      <c r="D1023" s="332">
        <v>11.26</v>
      </c>
    </row>
    <row r="1024" spans="1:4" ht="30">
      <c r="A1024" s="28">
        <v>95124</v>
      </c>
      <c r="B1024" s="26" t="s">
        <v>4788</v>
      </c>
      <c r="C1024" s="28" t="s">
        <v>57</v>
      </c>
      <c r="D1024" s="329">
        <v>3.37</v>
      </c>
    </row>
    <row r="1025" spans="1:4" ht="30">
      <c r="A1025" s="47">
        <v>95125</v>
      </c>
      <c r="B1025" s="48" t="s">
        <v>4793</v>
      </c>
      <c r="C1025" s="47" t="s">
        <v>57</v>
      </c>
      <c r="D1025" s="332">
        <v>10.96</v>
      </c>
    </row>
    <row r="1026" spans="1:4" ht="30">
      <c r="A1026" s="28">
        <v>95126</v>
      </c>
      <c r="B1026" s="26" t="s">
        <v>4794</v>
      </c>
      <c r="C1026" s="28" t="s">
        <v>57</v>
      </c>
      <c r="D1026" s="329">
        <v>58.67</v>
      </c>
    </row>
    <row r="1027" spans="1:4" ht="30">
      <c r="A1027" s="47">
        <v>95129</v>
      </c>
      <c r="B1027" s="48" t="s">
        <v>7273</v>
      </c>
      <c r="C1027" s="47" t="s">
        <v>57</v>
      </c>
      <c r="D1027" s="332">
        <v>40.299999999999997</v>
      </c>
    </row>
    <row r="1028" spans="1:4" ht="30">
      <c r="A1028" s="28">
        <v>95130</v>
      </c>
      <c r="B1028" s="26" t="s">
        <v>7274</v>
      </c>
      <c r="C1028" s="28" t="s">
        <v>57</v>
      </c>
      <c r="D1028" s="329">
        <v>8.5299999999999994</v>
      </c>
    </row>
    <row r="1029" spans="1:4" ht="30">
      <c r="A1029" s="47">
        <v>95131</v>
      </c>
      <c r="B1029" s="48" t="s">
        <v>7275</v>
      </c>
      <c r="C1029" s="47" t="s">
        <v>57</v>
      </c>
      <c r="D1029" s="332">
        <v>47.41</v>
      </c>
    </row>
    <row r="1030" spans="1:4" ht="30">
      <c r="A1030" s="28">
        <v>95132</v>
      </c>
      <c r="B1030" s="26" t="s">
        <v>7276</v>
      </c>
      <c r="C1030" s="28" t="s">
        <v>57</v>
      </c>
      <c r="D1030" s="329">
        <v>17.12</v>
      </c>
    </row>
    <row r="1031" spans="1:4" ht="30">
      <c r="A1031" s="47">
        <v>95136</v>
      </c>
      <c r="B1031" s="48" t="s">
        <v>9122</v>
      </c>
      <c r="C1031" s="47" t="s">
        <v>57</v>
      </c>
      <c r="D1031" s="332">
        <v>0.04</v>
      </c>
    </row>
    <row r="1032" spans="1:4" ht="30">
      <c r="A1032" s="28">
        <v>95137</v>
      </c>
      <c r="B1032" s="26" t="s">
        <v>9123</v>
      </c>
      <c r="C1032" s="28" t="s">
        <v>57</v>
      </c>
      <c r="D1032" s="329">
        <v>0.01</v>
      </c>
    </row>
    <row r="1033" spans="1:4" ht="30">
      <c r="A1033" s="47">
        <v>95138</v>
      </c>
      <c r="B1033" s="48" t="s">
        <v>9124</v>
      </c>
      <c r="C1033" s="47" t="s">
        <v>57</v>
      </c>
      <c r="D1033" s="332">
        <v>0.03</v>
      </c>
    </row>
    <row r="1034" spans="1:4" ht="30">
      <c r="A1034" s="28">
        <v>95208</v>
      </c>
      <c r="B1034" s="26" t="s">
        <v>5850</v>
      </c>
      <c r="C1034" s="28" t="s">
        <v>57</v>
      </c>
      <c r="D1034" s="329">
        <v>20.94</v>
      </c>
    </row>
    <row r="1035" spans="1:4" ht="30">
      <c r="A1035" s="47">
        <v>95209</v>
      </c>
      <c r="B1035" s="48" t="s">
        <v>5851</v>
      </c>
      <c r="C1035" s="47" t="s">
        <v>57</v>
      </c>
      <c r="D1035" s="332">
        <v>5.35</v>
      </c>
    </row>
    <row r="1036" spans="1:4" ht="30">
      <c r="A1036" s="28">
        <v>95210</v>
      </c>
      <c r="B1036" s="26" t="s">
        <v>5852</v>
      </c>
      <c r="C1036" s="28" t="s">
        <v>57</v>
      </c>
      <c r="D1036" s="329">
        <v>26.18</v>
      </c>
    </row>
    <row r="1037" spans="1:4" ht="30">
      <c r="A1037" s="47">
        <v>95211</v>
      </c>
      <c r="B1037" s="48" t="s">
        <v>5853</v>
      </c>
      <c r="C1037" s="47" t="s">
        <v>57</v>
      </c>
      <c r="D1037" s="332">
        <v>5.39</v>
      </c>
    </row>
    <row r="1038" spans="1:4" ht="30">
      <c r="A1038" s="28">
        <v>95214</v>
      </c>
      <c r="B1038" s="26" t="s">
        <v>8468</v>
      </c>
      <c r="C1038" s="28" t="s">
        <v>57</v>
      </c>
      <c r="D1038" s="329">
        <v>0.56999999999999995</v>
      </c>
    </row>
    <row r="1039" spans="1:4" ht="30">
      <c r="A1039" s="47">
        <v>95215</v>
      </c>
      <c r="B1039" s="48" t="s">
        <v>8469</v>
      </c>
      <c r="C1039" s="47" t="s">
        <v>57</v>
      </c>
      <c r="D1039" s="332">
        <v>0.14000000000000001</v>
      </c>
    </row>
    <row r="1040" spans="1:4" ht="30">
      <c r="A1040" s="28">
        <v>95216</v>
      </c>
      <c r="B1040" s="26" t="s">
        <v>8470</v>
      </c>
      <c r="C1040" s="28" t="s">
        <v>57</v>
      </c>
      <c r="D1040" s="329">
        <v>0.68</v>
      </c>
    </row>
    <row r="1041" spans="1:4" ht="30">
      <c r="A1041" s="47">
        <v>95217</v>
      </c>
      <c r="B1041" s="48" t="s">
        <v>8471</v>
      </c>
      <c r="C1041" s="47" t="s">
        <v>57</v>
      </c>
      <c r="D1041" s="332">
        <v>0.36</v>
      </c>
    </row>
    <row r="1042" spans="1:4">
      <c r="A1042" s="28">
        <v>95255</v>
      </c>
      <c r="B1042" s="26" t="s">
        <v>7307</v>
      </c>
      <c r="C1042" s="28" t="s">
        <v>57</v>
      </c>
      <c r="D1042" s="329">
        <v>1.05</v>
      </c>
    </row>
    <row r="1043" spans="1:4">
      <c r="A1043" s="47">
        <v>95256</v>
      </c>
      <c r="B1043" s="48" t="s">
        <v>7308</v>
      </c>
      <c r="C1043" s="47" t="s">
        <v>57</v>
      </c>
      <c r="D1043" s="332">
        <v>0.23</v>
      </c>
    </row>
    <row r="1044" spans="1:4">
      <c r="A1044" s="28">
        <v>95257</v>
      </c>
      <c r="B1044" s="26" t="s">
        <v>7309</v>
      </c>
      <c r="C1044" s="28" t="s">
        <v>57</v>
      </c>
      <c r="D1044" s="329">
        <v>1.1000000000000001</v>
      </c>
    </row>
    <row r="1045" spans="1:4" ht="30">
      <c r="A1045" s="47">
        <v>95260</v>
      </c>
      <c r="B1045" s="48" t="s">
        <v>3668</v>
      </c>
      <c r="C1045" s="47" t="s">
        <v>57</v>
      </c>
      <c r="D1045" s="332">
        <v>0.92</v>
      </c>
    </row>
    <row r="1046" spans="1:4" ht="30">
      <c r="A1046" s="28">
        <v>95261</v>
      </c>
      <c r="B1046" s="26" t="s">
        <v>3669</v>
      </c>
      <c r="C1046" s="28" t="s">
        <v>57</v>
      </c>
      <c r="D1046" s="329">
        <v>0.38</v>
      </c>
    </row>
    <row r="1047" spans="1:4" ht="30">
      <c r="A1047" s="47">
        <v>95262</v>
      </c>
      <c r="B1047" s="48" t="s">
        <v>3670</v>
      </c>
      <c r="C1047" s="47" t="s">
        <v>57</v>
      </c>
      <c r="D1047" s="332">
        <v>1.29</v>
      </c>
    </row>
    <row r="1048" spans="1:4" ht="30">
      <c r="A1048" s="28">
        <v>95263</v>
      </c>
      <c r="B1048" s="26" t="s">
        <v>3671</v>
      </c>
      <c r="C1048" s="28" t="s">
        <v>57</v>
      </c>
      <c r="D1048" s="329">
        <v>2.54</v>
      </c>
    </row>
    <row r="1049" spans="1:4" ht="30">
      <c r="A1049" s="47">
        <v>95266</v>
      </c>
      <c r="B1049" s="48" t="s">
        <v>8705</v>
      </c>
      <c r="C1049" s="47" t="s">
        <v>57</v>
      </c>
      <c r="D1049" s="332">
        <v>0.87</v>
      </c>
    </row>
    <row r="1050" spans="1:4" ht="30">
      <c r="A1050" s="28">
        <v>95267</v>
      </c>
      <c r="B1050" s="26" t="s">
        <v>8706</v>
      </c>
      <c r="C1050" s="28" t="s">
        <v>57</v>
      </c>
      <c r="D1050" s="329">
        <v>0.24</v>
      </c>
    </row>
    <row r="1051" spans="1:4" ht="30">
      <c r="A1051" s="47">
        <v>95268</v>
      </c>
      <c r="B1051" s="48" t="s">
        <v>8707</v>
      </c>
      <c r="C1051" s="47" t="s">
        <v>57</v>
      </c>
      <c r="D1051" s="332">
        <v>0.79</v>
      </c>
    </row>
    <row r="1052" spans="1:4" ht="30">
      <c r="A1052" s="28">
        <v>95269</v>
      </c>
      <c r="B1052" s="26" t="s">
        <v>8708</v>
      </c>
      <c r="C1052" s="28" t="s">
        <v>57</v>
      </c>
      <c r="D1052" s="329">
        <v>4.7300000000000004</v>
      </c>
    </row>
    <row r="1053" spans="1:4" ht="30">
      <c r="A1053" s="47">
        <v>95272</v>
      </c>
      <c r="B1053" s="48" t="s">
        <v>8231</v>
      </c>
      <c r="C1053" s="47" t="s">
        <v>57</v>
      </c>
      <c r="D1053" s="332">
        <v>0.94</v>
      </c>
    </row>
    <row r="1054" spans="1:4" ht="30">
      <c r="A1054" s="28">
        <v>95273</v>
      </c>
      <c r="B1054" s="26" t="s">
        <v>8232</v>
      </c>
      <c r="C1054" s="28" t="s">
        <v>57</v>
      </c>
      <c r="D1054" s="329">
        <v>0.26</v>
      </c>
    </row>
    <row r="1055" spans="1:4" ht="30">
      <c r="A1055" s="47">
        <v>95274</v>
      </c>
      <c r="B1055" s="48" t="s">
        <v>8233</v>
      </c>
      <c r="C1055" s="47" t="s">
        <v>57</v>
      </c>
      <c r="D1055" s="332">
        <v>0.87</v>
      </c>
    </row>
    <row r="1056" spans="1:4" ht="30">
      <c r="A1056" s="28">
        <v>95275</v>
      </c>
      <c r="B1056" s="26" t="s">
        <v>8234</v>
      </c>
      <c r="C1056" s="28" t="s">
        <v>57</v>
      </c>
      <c r="D1056" s="329">
        <v>1.46</v>
      </c>
    </row>
    <row r="1057" spans="1:4" ht="30">
      <c r="A1057" s="47">
        <v>95278</v>
      </c>
      <c r="B1057" s="48" t="s">
        <v>4671</v>
      </c>
      <c r="C1057" s="47" t="s">
        <v>57</v>
      </c>
      <c r="D1057" s="332">
        <v>1.03</v>
      </c>
    </row>
    <row r="1058" spans="1:4" ht="30">
      <c r="A1058" s="28">
        <v>95279</v>
      </c>
      <c r="B1058" s="26" t="s">
        <v>4672</v>
      </c>
      <c r="C1058" s="28" t="s">
        <v>57</v>
      </c>
      <c r="D1058" s="329">
        <v>0.28999999999999998</v>
      </c>
    </row>
    <row r="1059" spans="1:4" ht="30">
      <c r="A1059" s="47">
        <v>95280</v>
      </c>
      <c r="B1059" s="48" t="s">
        <v>4673</v>
      </c>
      <c r="C1059" s="47" t="s">
        <v>57</v>
      </c>
      <c r="D1059" s="332">
        <v>0.67</v>
      </c>
    </row>
    <row r="1060" spans="1:4" ht="30">
      <c r="A1060" s="28">
        <v>95281</v>
      </c>
      <c r="B1060" s="26" t="s">
        <v>4674</v>
      </c>
      <c r="C1060" s="28" t="s">
        <v>57</v>
      </c>
      <c r="D1060" s="329">
        <v>4.7300000000000004</v>
      </c>
    </row>
    <row r="1061" spans="1:4" ht="30">
      <c r="A1061" s="47">
        <v>95617</v>
      </c>
      <c r="B1061" s="48" t="s">
        <v>10886</v>
      </c>
      <c r="C1061" s="47" t="s">
        <v>57</v>
      </c>
      <c r="D1061" s="332">
        <v>0.9</v>
      </c>
    </row>
    <row r="1062" spans="1:4" ht="30">
      <c r="A1062" s="28">
        <v>95618</v>
      </c>
      <c r="B1062" s="26" t="s">
        <v>10887</v>
      </c>
      <c r="C1062" s="28" t="s">
        <v>57</v>
      </c>
      <c r="D1062" s="329">
        <v>0.25</v>
      </c>
    </row>
    <row r="1063" spans="1:4" ht="30">
      <c r="A1063" s="47">
        <v>95619</v>
      </c>
      <c r="B1063" s="48" t="s">
        <v>10888</v>
      </c>
      <c r="C1063" s="47" t="s">
        <v>57</v>
      </c>
      <c r="D1063" s="332">
        <v>0.59</v>
      </c>
    </row>
    <row r="1064" spans="1:4" ht="30">
      <c r="A1064" s="28">
        <v>95627</v>
      </c>
      <c r="B1064" s="26" t="s">
        <v>10889</v>
      </c>
      <c r="C1064" s="28" t="s">
        <v>57</v>
      </c>
      <c r="D1064" s="329">
        <v>21.5</v>
      </c>
    </row>
    <row r="1065" spans="1:4" ht="30">
      <c r="A1065" s="47">
        <v>95628</v>
      </c>
      <c r="B1065" s="48" t="s">
        <v>10890</v>
      </c>
      <c r="C1065" s="47" t="s">
        <v>57</v>
      </c>
      <c r="D1065" s="332">
        <v>5.01</v>
      </c>
    </row>
    <row r="1066" spans="1:4" ht="30">
      <c r="A1066" s="28">
        <v>95629</v>
      </c>
      <c r="B1066" s="26" t="s">
        <v>10891</v>
      </c>
      <c r="C1066" s="28" t="s">
        <v>57</v>
      </c>
      <c r="D1066" s="329">
        <v>23.88</v>
      </c>
    </row>
    <row r="1067" spans="1:4" ht="45">
      <c r="A1067" s="47">
        <v>95630</v>
      </c>
      <c r="B1067" s="48" t="s">
        <v>10892</v>
      </c>
      <c r="C1067" s="47" t="s">
        <v>57</v>
      </c>
      <c r="D1067" s="332">
        <v>56.32</v>
      </c>
    </row>
    <row r="1068" spans="1:4" ht="30">
      <c r="A1068" s="28">
        <v>95698</v>
      </c>
      <c r="B1068" s="26" t="s">
        <v>10893</v>
      </c>
      <c r="C1068" s="28" t="s">
        <v>57</v>
      </c>
      <c r="D1068" s="329">
        <v>3.5</v>
      </c>
    </row>
    <row r="1069" spans="1:4" ht="30">
      <c r="A1069" s="47">
        <v>95699</v>
      </c>
      <c r="B1069" s="48" t="s">
        <v>10894</v>
      </c>
      <c r="C1069" s="47" t="s">
        <v>57</v>
      </c>
      <c r="D1069" s="332">
        <v>0.77</v>
      </c>
    </row>
    <row r="1070" spans="1:4" ht="30">
      <c r="A1070" s="28">
        <v>95700</v>
      </c>
      <c r="B1070" s="26" t="s">
        <v>10895</v>
      </c>
      <c r="C1070" s="28" t="s">
        <v>57</v>
      </c>
      <c r="D1070" s="329">
        <v>3.68</v>
      </c>
    </row>
    <row r="1071" spans="1:4" ht="30">
      <c r="A1071" s="47">
        <v>95701</v>
      </c>
      <c r="B1071" s="48" t="s">
        <v>10896</v>
      </c>
      <c r="C1071" s="47" t="s">
        <v>57</v>
      </c>
      <c r="D1071" s="332">
        <v>1.8</v>
      </c>
    </row>
    <row r="1072" spans="1:4" ht="30">
      <c r="A1072" s="28">
        <v>95704</v>
      </c>
      <c r="B1072" s="26" t="s">
        <v>10897</v>
      </c>
      <c r="C1072" s="28" t="s">
        <v>57</v>
      </c>
      <c r="D1072" s="329">
        <v>29.06</v>
      </c>
    </row>
    <row r="1073" spans="1:4" ht="30">
      <c r="A1073" s="47">
        <v>95705</v>
      </c>
      <c r="B1073" s="48" t="s">
        <v>10898</v>
      </c>
      <c r="C1073" s="47" t="s">
        <v>57</v>
      </c>
      <c r="D1073" s="332">
        <v>6.42</v>
      </c>
    </row>
    <row r="1074" spans="1:4" ht="30">
      <c r="A1074" s="28">
        <v>95706</v>
      </c>
      <c r="B1074" s="26" t="s">
        <v>10899</v>
      </c>
      <c r="C1074" s="28" t="s">
        <v>57</v>
      </c>
      <c r="D1074" s="329">
        <v>30.58</v>
      </c>
    </row>
    <row r="1075" spans="1:4" ht="30">
      <c r="A1075" s="47">
        <v>95707</v>
      </c>
      <c r="B1075" s="48" t="s">
        <v>10900</v>
      </c>
      <c r="C1075" s="47" t="s">
        <v>57</v>
      </c>
      <c r="D1075" s="332">
        <v>20.12</v>
      </c>
    </row>
    <row r="1076" spans="1:4" ht="45">
      <c r="A1076" s="28">
        <v>95710</v>
      </c>
      <c r="B1076" s="26" t="s">
        <v>10901</v>
      </c>
      <c r="C1076" s="28" t="s">
        <v>57</v>
      </c>
      <c r="D1076" s="329">
        <v>29.38</v>
      </c>
    </row>
    <row r="1077" spans="1:4" ht="45">
      <c r="A1077" s="47">
        <v>95711</v>
      </c>
      <c r="B1077" s="48" t="s">
        <v>10902</v>
      </c>
      <c r="C1077" s="47" t="s">
        <v>57</v>
      </c>
      <c r="D1077" s="332">
        <v>6.61</v>
      </c>
    </row>
    <row r="1078" spans="1:4" ht="45">
      <c r="A1078" s="28">
        <v>95712</v>
      </c>
      <c r="B1078" s="26" t="s">
        <v>10903</v>
      </c>
      <c r="C1078" s="28" t="s">
        <v>57</v>
      </c>
      <c r="D1078" s="329">
        <v>41.32</v>
      </c>
    </row>
    <row r="1079" spans="1:4" ht="45">
      <c r="A1079" s="47">
        <v>95713</v>
      </c>
      <c r="B1079" s="48" t="s">
        <v>10904</v>
      </c>
      <c r="C1079" s="47" t="s">
        <v>57</v>
      </c>
      <c r="D1079" s="332">
        <v>69.849999999999994</v>
      </c>
    </row>
    <row r="1080" spans="1:4" ht="45">
      <c r="A1080" s="28">
        <v>95716</v>
      </c>
      <c r="B1080" s="26" t="s">
        <v>10905</v>
      </c>
      <c r="C1080" s="28" t="s">
        <v>57</v>
      </c>
      <c r="D1080" s="329">
        <v>28.29</v>
      </c>
    </row>
    <row r="1081" spans="1:4" ht="45">
      <c r="A1081" s="47">
        <v>95717</v>
      </c>
      <c r="B1081" s="48" t="s">
        <v>10906</v>
      </c>
      <c r="C1081" s="47" t="s">
        <v>57</v>
      </c>
      <c r="D1081" s="332">
        <v>6.36</v>
      </c>
    </row>
    <row r="1082" spans="1:4" ht="45">
      <c r="A1082" s="28">
        <v>95718</v>
      </c>
      <c r="B1082" s="26" t="s">
        <v>10907</v>
      </c>
      <c r="C1082" s="28" t="s">
        <v>57</v>
      </c>
      <c r="D1082" s="329">
        <v>39.78</v>
      </c>
    </row>
    <row r="1083" spans="1:4" ht="45">
      <c r="A1083" s="47">
        <v>95719</v>
      </c>
      <c r="B1083" s="48" t="s">
        <v>10908</v>
      </c>
      <c r="C1083" s="47" t="s">
        <v>57</v>
      </c>
      <c r="D1083" s="332">
        <v>69.849999999999994</v>
      </c>
    </row>
    <row r="1084" spans="1:4">
      <c r="A1084" s="28">
        <v>55960</v>
      </c>
      <c r="B1084" s="26" t="s">
        <v>6046</v>
      </c>
      <c r="C1084" s="28" t="s">
        <v>256</v>
      </c>
      <c r="D1084" s="329">
        <v>3.9</v>
      </c>
    </row>
    <row r="1085" spans="1:4" ht="30">
      <c r="A1085" s="47">
        <v>72085</v>
      </c>
      <c r="B1085" s="48" t="s">
        <v>8600</v>
      </c>
      <c r="C1085" s="47" t="s">
        <v>71</v>
      </c>
      <c r="D1085" s="332">
        <v>1.52</v>
      </c>
    </row>
    <row r="1086" spans="1:4" ht="30">
      <c r="A1086" s="28">
        <v>72086</v>
      </c>
      <c r="B1086" s="26" t="s">
        <v>8596</v>
      </c>
      <c r="C1086" s="28" t="s">
        <v>71</v>
      </c>
      <c r="D1086" s="329">
        <v>4.62</v>
      </c>
    </row>
    <row r="1087" spans="1:4" ht="45">
      <c r="A1087" s="47">
        <v>92259</v>
      </c>
      <c r="B1087" s="48" t="s">
        <v>6070</v>
      </c>
      <c r="C1087" s="47" t="s">
        <v>65</v>
      </c>
      <c r="D1087" s="332">
        <v>242.46</v>
      </c>
    </row>
    <row r="1088" spans="1:4" ht="45">
      <c r="A1088" s="28">
        <v>92260</v>
      </c>
      <c r="B1088" s="26" t="s">
        <v>6071</v>
      </c>
      <c r="C1088" s="28" t="s">
        <v>65</v>
      </c>
      <c r="D1088" s="329">
        <v>282.14</v>
      </c>
    </row>
    <row r="1089" spans="1:4" ht="45">
      <c r="A1089" s="47">
        <v>92261</v>
      </c>
      <c r="B1089" s="48" t="s">
        <v>6072</v>
      </c>
      <c r="C1089" s="47" t="s">
        <v>65</v>
      </c>
      <c r="D1089" s="332">
        <v>320.61</v>
      </c>
    </row>
    <row r="1090" spans="1:4" ht="45">
      <c r="A1090" s="28">
        <v>92262</v>
      </c>
      <c r="B1090" s="26" t="s">
        <v>6069</v>
      </c>
      <c r="C1090" s="28" t="s">
        <v>65</v>
      </c>
      <c r="D1090" s="329">
        <v>382.54</v>
      </c>
    </row>
    <row r="1091" spans="1:4" ht="45">
      <c r="A1091" s="47">
        <v>92539</v>
      </c>
      <c r="B1091" s="48" t="s">
        <v>9823</v>
      </c>
      <c r="C1091" s="47" t="s">
        <v>256</v>
      </c>
      <c r="D1091" s="332">
        <v>35.950000000000003</v>
      </c>
    </row>
    <row r="1092" spans="1:4" ht="45">
      <c r="A1092" s="28">
        <v>92540</v>
      </c>
      <c r="B1092" s="26" t="s">
        <v>9825</v>
      </c>
      <c r="C1092" s="28" t="s">
        <v>256</v>
      </c>
      <c r="D1092" s="329">
        <v>41.77</v>
      </c>
    </row>
    <row r="1093" spans="1:4" ht="30">
      <c r="A1093" s="47">
        <v>92541</v>
      </c>
      <c r="B1093" s="48" t="s">
        <v>9822</v>
      </c>
      <c r="C1093" s="47" t="s">
        <v>256</v>
      </c>
      <c r="D1093" s="332">
        <v>39.04</v>
      </c>
    </row>
    <row r="1094" spans="1:4" ht="45">
      <c r="A1094" s="28">
        <v>92542</v>
      </c>
      <c r="B1094" s="26" t="s">
        <v>9824</v>
      </c>
      <c r="C1094" s="28" t="s">
        <v>256</v>
      </c>
      <c r="D1094" s="329">
        <v>48.39</v>
      </c>
    </row>
    <row r="1095" spans="1:4" ht="45">
      <c r="A1095" s="47">
        <v>92543</v>
      </c>
      <c r="B1095" s="48" t="s">
        <v>9827</v>
      </c>
      <c r="C1095" s="47" t="s">
        <v>256</v>
      </c>
      <c r="D1095" s="332">
        <v>10.18</v>
      </c>
    </row>
    <row r="1096" spans="1:4" ht="30">
      <c r="A1096" s="28">
        <v>92544</v>
      </c>
      <c r="B1096" s="26" t="s">
        <v>9826</v>
      </c>
      <c r="C1096" s="28" t="s">
        <v>256</v>
      </c>
      <c r="D1096" s="329">
        <v>8.59</v>
      </c>
    </row>
    <row r="1097" spans="1:4" ht="30">
      <c r="A1097" s="47">
        <v>92545</v>
      </c>
      <c r="B1097" s="48" t="s">
        <v>5503</v>
      </c>
      <c r="C1097" s="47" t="s">
        <v>65</v>
      </c>
      <c r="D1097" s="332">
        <v>518.70000000000005</v>
      </c>
    </row>
    <row r="1098" spans="1:4" ht="30">
      <c r="A1098" s="28">
        <v>92546</v>
      </c>
      <c r="B1098" s="26" t="s">
        <v>5505</v>
      </c>
      <c r="C1098" s="28" t="s">
        <v>65</v>
      </c>
      <c r="D1098" s="329">
        <v>634.98</v>
      </c>
    </row>
    <row r="1099" spans="1:4" ht="30">
      <c r="A1099" s="47">
        <v>92547</v>
      </c>
      <c r="B1099" s="48" t="s">
        <v>5507</v>
      </c>
      <c r="C1099" s="47" t="s">
        <v>65</v>
      </c>
      <c r="D1099" s="332">
        <v>662.67</v>
      </c>
    </row>
    <row r="1100" spans="1:4" ht="30">
      <c r="A1100" s="28">
        <v>92548</v>
      </c>
      <c r="B1100" s="26" t="s">
        <v>5509</v>
      </c>
      <c r="C1100" s="28" t="s">
        <v>65</v>
      </c>
      <c r="D1100" s="329">
        <v>733.15</v>
      </c>
    </row>
    <row r="1101" spans="1:4" ht="30">
      <c r="A1101" s="47">
        <v>92549</v>
      </c>
      <c r="B1101" s="48" t="s">
        <v>5511</v>
      </c>
      <c r="C1101" s="47" t="s">
        <v>65</v>
      </c>
      <c r="D1101" s="332">
        <v>934.85</v>
      </c>
    </row>
    <row r="1102" spans="1:4" ht="30">
      <c r="A1102" s="28">
        <v>92550</v>
      </c>
      <c r="B1102" s="26" t="s">
        <v>5513</v>
      </c>
      <c r="C1102" s="28" t="s">
        <v>65</v>
      </c>
      <c r="D1102" s="329">
        <v>1084.97</v>
      </c>
    </row>
    <row r="1103" spans="1:4" ht="30">
      <c r="A1103" s="47">
        <v>92551</v>
      </c>
      <c r="B1103" s="48" t="s">
        <v>5515</v>
      </c>
      <c r="C1103" s="47" t="s">
        <v>65</v>
      </c>
      <c r="D1103" s="332">
        <v>1121.6099999999999</v>
      </c>
    </row>
    <row r="1104" spans="1:4" ht="30">
      <c r="A1104" s="28">
        <v>92552</v>
      </c>
      <c r="B1104" s="26" t="s">
        <v>5497</v>
      </c>
      <c r="C1104" s="28" t="s">
        <v>65</v>
      </c>
      <c r="D1104" s="329">
        <v>1225.6300000000001</v>
      </c>
    </row>
    <row r="1105" spans="1:4" ht="30">
      <c r="A1105" s="47">
        <v>92553</v>
      </c>
      <c r="B1105" s="48" t="s">
        <v>5499</v>
      </c>
      <c r="C1105" s="47" t="s">
        <v>65</v>
      </c>
      <c r="D1105" s="332">
        <v>1431.67</v>
      </c>
    </row>
    <row r="1106" spans="1:4" ht="30">
      <c r="A1106" s="28">
        <v>92554</v>
      </c>
      <c r="B1106" s="26" t="s">
        <v>5501</v>
      </c>
      <c r="C1106" s="28" t="s">
        <v>65</v>
      </c>
      <c r="D1106" s="329">
        <v>1473.32</v>
      </c>
    </row>
    <row r="1107" spans="1:4" ht="45">
      <c r="A1107" s="47">
        <v>92555</v>
      </c>
      <c r="B1107" s="48" t="s">
        <v>5504</v>
      </c>
      <c r="C1107" s="47" t="s">
        <v>65</v>
      </c>
      <c r="D1107" s="332">
        <v>513.25</v>
      </c>
    </row>
    <row r="1108" spans="1:4" ht="45">
      <c r="A1108" s="28">
        <v>92556</v>
      </c>
      <c r="B1108" s="26" t="s">
        <v>5506</v>
      </c>
      <c r="C1108" s="28" t="s">
        <v>65</v>
      </c>
      <c r="D1108" s="329">
        <v>625.98</v>
      </c>
    </row>
    <row r="1109" spans="1:4" ht="45">
      <c r="A1109" s="47">
        <v>92557</v>
      </c>
      <c r="B1109" s="48" t="s">
        <v>5508</v>
      </c>
      <c r="C1109" s="47" t="s">
        <v>65</v>
      </c>
      <c r="D1109" s="332">
        <v>653.66999999999996</v>
      </c>
    </row>
    <row r="1110" spans="1:4" ht="45">
      <c r="A1110" s="28">
        <v>92558</v>
      </c>
      <c r="B1110" s="26" t="s">
        <v>5510</v>
      </c>
      <c r="C1110" s="28" t="s">
        <v>65</v>
      </c>
      <c r="D1110" s="329">
        <v>730.04</v>
      </c>
    </row>
    <row r="1111" spans="1:4" ht="45">
      <c r="A1111" s="47">
        <v>92559</v>
      </c>
      <c r="B1111" s="48" t="s">
        <v>5512</v>
      </c>
      <c r="C1111" s="47" t="s">
        <v>65</v>
      </c>
      <c r="D1111" s="332">
        <v>925.26</v>
      </c>
    </row>
    <row r="1112" spans="1:4" ht="45">
      <c r="A1112" s="28">
        <v>92560</v>
      </c>
      <c r="B1112" s="26" t="s">
        <v>5514</v>
      </c>
      <c r="C1112" s="28" t="s">
        <v>65</v>
      </c>
      <c r="D1112" s="329">
        <v>1070.3399999999999</v>
      </c>
    </row>
    <row r="1113" spans="1:4" ht="45">
      <c r="A1113" s="47">
        <v>92561</v>
      </c>
      <c r="B1113" s="48" t="s">
        <v>5516</v>
      </c>
      <c r="C1113" s="47" t="s">
        <v>65</v>
      </c>
      <c r="D1113" s="332">
        <v>1107.6199999999999</v>
      </c>
    </row>
    <row r="1114" spans="1:4" ht="45">
      <c r="A1114" s="28">
        <v>92562</v>
      </c>
      <c r="B1114" s="26" t="s">
        <v>5498</v>
      </c>
      <c r="C1114" s="28" t="s">
        <v>65</v>
      </c>
      <c r="D1114" s="329">
        <v>1202.6400000000001</v>
      </c>
    </row>
    <row r="1115" spans="1:4" ht="45">
      <c r="A1115" s="47">
        <v>92563</v>
      </c>
      <c r="B1115" s="48" t="s">
        <v>5500</v>
      </c>
      <c r="C1115" s="47" t="s">
        <v>65</v>
      </c>
      <c r="D1115" s="332">
        <v>1403.71</v>
      </c>
    </row>
    <row r="1116" spans="1:4" ht="45">
      <c r="A1116" s="28">
        <v>92564</v>
      </c>
      <c r="B1116" s="26" t="s">
        <v>5502</v>
      </c>
      <c r="C1116" s="28" t="s">
        <v>65</v>
      </c>
      <c r="D1116" s="329">
        <v>1439.31</v>
      </c>
    </row>
    <row r="1117" spans="1:4" ht="45">
      <c r="A1117" s="47">
        <v>92565</v>
      </c>
      <c r="B1117" s="48" t="s">
        <v>5474</v>
      </c>
      <c r="C1117" s="47" t="s">
        <v>256</v>
      </c>
      <c r="D1117" s="332">
        <v>18.75</v>
      </c>
    </row>
    <row r="1118" spans="1:4" ht="45">
      <c r="A1118" s="28">
        <v>92566</v>
      </c>
      <c r="B1118" s="26" t="s">
        <v>5475</v>
      </c>
      <c r="C1118" s="28" t="s">
        <v>256</v>
      </c>
      <c r="D1118" s="329">
        <v>10.87</v>
      </c>
    </row>
    <row r="1119" spans="1:4" ht="45">
      <c r="A1119" s="47">
        <v>92567</v>
      </c>
      <c r="B1119" s="48" t="s">
        <v>5476</v>
      </c>
      <c r="C1119" s="47" t="s">
        <v>256</v>
      </c>
      <c r="D1119" s="332">
        <v>16.45</v>
      </c>
    </row>
    <row r="1120" spans="1:4" ht="30">
      <c r="A1120" s="28">
        <v>72089</v>
      </c>
      <c r="B1120" s="26" t="s">
        <v>8602</v>
      </c>
      <c r="C1120" s="28" t="s">
        <v>256</v>
      </c>
      <c r="D1120" s="329">
        <v>8.66</v>
      </c>
    </row>
    <row r="1121" spans="1:4" ht="30">
      <c r="A1121" s="47">
        <v>72091</v>
      </c>
      <c r="B1121" s="48" t="s">
        <v>8603</v>
      </c>
      <c r="C1121" s="47" t="s">
        <v>256</v>
      </c>
      <c r="D1121" s="332">
        <v>28.77</v>
      </c>
    </row>
    <row r="1122" spans="1:4" ht="30">
      <c r="A1122" s="28">
        <v>94189</v>
      </c>
      <c r="B1122" s="26" t="s">
        <v>9600</v>
      </c>
      <c r="C1122" s="28" t="s">
        <v>256</v>
      </c>
      <c r="D1122" s="329">
        <v>31.33</v>
      </c>
    </row>
    <row r="1123" spans="1:4" ht="30">
      <c r="A1123" s="47">
        <v>94192</v>
      </c>
      <c r="B1123" s="48" t="s">
        <v>9601</v>
      </c>
      <c r="C1123" s="47" t="s">
        <v>256</v>
      </c>
      <c r="D1123" s="332">
        <v>32.770000000000003</v>
      </c>
    </row>
    <row r="1124" spans="1:4" ht="30">
      <c r="A1124" s="28">
        <v>94195</v>
      </c>
      <c r="B1124" s="26" t="s">
        <v>9595</v>
      </c>
      <c r="C1124" s="28" t="s">
        <v>256</v>
      </c>
      <c r="D1124" s="329">
        <v>38.14</v>
      </c>
    </row>
    <row r="1125" spans="1:4" ht="30">
      <c r="A1125" s="47">
        <v>94198</v>
      </c>
      <c r="B1125" s="48" t="s">
        <v>9596</v>
      </c>
      <c r="C1125" s="47" t="s">
        <v>256</v>
      </c>
      <c r="D1125" s="332">
        <v>40.049999999999997</v>
      </c>
    </row>
    <row r="1126" spans="1:4" ht="30">
      <c r="A1126" s="28">
        <v>94201</v>
      </c>
      <c r="B1126" s="26" t="s">
        <v>9587</v>
      </c>
      <c r="C1126" s="28" t="s">
        <v>256</v>
      </c>
      <c r="D1126" s="329">
        <v>57.83</v>
      </c>
    </row>
    <row r="1127" spans="1:4" ht="30">
      <c r="A1127" s="47">
        <v>94204</v>
      </c>
      <c r="B1127" s="48" t="s">
        <v>9588</v>
      </c>
      <c r="C1127" s="47" t="s">
        <v>256</v>
      </c>
      <c r="D1127" s="332">
        <v>61.07</v>
      </c>
    </row>
    <row r="1128" spans="1:4">
      <c r="A1128" s="28">
        <v>94224</v>
      </c>
      <c r="B1128" s="26" t="s">
        <v>4926</v>
      </c>
      <c r="C1128" s="28" t="s">
        <v>71</v>
      </c>
      <c r="D1128" s="329">
        <v>14.57</v>
      </c>
    </row>
    <row r="1129" spans="1:4" ht="30">
      <c r="A1129" s="47">
        <v>94225</v>
      </c>
      <c r="B1129" s="48" t="s">
        <v>6166</v>
      </c>
      <c r="C1129" s="47" t="s">
        <v>256</v>
      </c>
      <c r="D1129" s="332">
        <v>206.43</v>
      </c>
    </row>
    <row r="1130" spans="1:4" ht="30">
      <c r="A1130" s="28">
        <v>94226</v>
      </c>
      <c r="B1130" s="26" t="s">
        <v>9074</v>
      </c>
      <c r="C1130" s="28" t="s">
        <v>256</v>
      </c>
      <c r="D1130" s="329">
        <v>10.52</v>
      </c>
    </row>
    <row r="1131" spans="1:4">
      <c r="A1131" s="47">
        <v>94232</v>
      </c>
      <c r="B1131" s="48" t="s">
        <v>1816</v>
      </c>
      <c r="C1131" s="47" t="s">
        <v>65</v>
      </c>
      <c r="D1131" s="332">
        <v>2.79</v>
      </c>
    </row>
    <row r="1132" spans="1:4" ht="30">
      <c r="A1132" s="28">
        <v>94440</v>
      </c>
      <c r="B1132" s="26" t="s">
        <v>9593</v>
      </c>
      <c r="C1132" s="28" t="s">
        <v>256</v>
      </c>
      <c r="D1132" s="329">
        <v>56.6</v>
      </c>
    </row>
    <row r="1133" spans="1:4" ht="30">
      <c r="A1133" s="47">
        <v>94441</v>
      </c>
      <c r="B1133" s="48" t="s">
        <v>9594</v>
      </c>
      <c r="C1133" s="47" t="s">
        <v>256</v>
      </c>
      <c r="D1133" s="332">
        <v>58.51</v>
      </c>
    </row>
    <row r="1134" spans="1:4" ht="30">
      <c r="A1134" s="28">
        <v>94442</v>
      </c>
      <c r="B1134" s="26" t="s">
        <v>9597</v>
      </c>
      <c r="C1134" s="28" t="s">
        <v>256</v>
      </c>
      <c r="D1134" s="329">
        <v>41.38</v>
      </c>
    </row>
    <row r="1135" spans="1:4" ht="30">
      <c r="A1135" s="47">
        <v>94443</v>
      </c>
      <c r="B1135" s="48" t="s">
        <v>9598</v>
      </c>
      <c r="C1135" s="47" t="s">
        <v>256</v>
      </c>
      <c r="D1135" s="332">
        <v>43.28</v>
      </c>
    </row>
    <row r="1136" spans="1:4" ht="30">
      <c r="A1136" s="28">
        <v>94445</v>
      </c>
      <c r="B1136" s="26" t="s">
        <v>9591</v>
      </c>
      <c r="C1136" s="28" t="s">
        <v>256</v>
      </c>
      <c r="D1136" s="329">
        <v>53.14</v>
      </c>
    </row>
    <row r="1137" spans="1:4" ht="30">
      <c r="A1137" s="47">
        <v>94446</v>
      </c>
      <c r="B1137" s="48" t="s">
        <v>9592</v>
      </c>
      <c r="C1137" s="47" t="s">
        <v>256</v>
      </c>
      <c r="D1137" s="332">
        <v>56.38</v>
      </c>
    </row>
    <row r="1138" spans="1:4" ht="30">
      <c r="A1138" s="28">
        <v>94447</v>
      </c>
      <c r="B1138" s="26" t="s">
        <v>9589</v>
      </c>
      <c r="C1138" s="28" t="s">
        <v>256</v>
      </c>
      <c r="D1138" s="329">
        <v>55.5</v>
      </c>
    </row>
    <row r="1139" spans="1:4" ht="30">
      <c r="A1139" s="47">
        <v>94448</v>
      </c>
      <c r="B1139" s="48" t="s">
        <v>9590</v>
      </c>
      <c r="C1139" s="47" t="s">
        <v>256</v>
      </c>
      <c r="D1139" s="332">
        <v>58.74</v>
      </c>
    </row>
    <row r="1140" spans="1:4" ht="45">
      <c r="A1140" s="28">
        <v>94207</v>
      </c>
      <c r="B1140" s="26" t="s">
        <v>9607</v>
      </c>
      <c r="C1140" s="28" t="s">
        <v>256</v>
      </c>
      <c r="D1140" s="329">
        <v>29.88</v>
      </c>
    </row>
    <row r="1141" spans="1:4" ht="45">
      <c r="A1141" s="47">
        <v>94210</v>
      </c>
      <c r="B1141" s="48" t="s">
        <v>9606</v>
      </c>
      <c r="C1141" s="47" t="s">
        <v>256</v>
      </c>
      <c r="D1141" s="332">
        <v>31.81</v>
      </c>
    </row>
    <row r="1142" spans="1:4" ht="30">
      <c r="A1142" s="28">
        <v>94218</v>
      </c>
      <c r="B1142" s="26" t="s">
        <v>9603</v>
      </c>
      <c r="C1142" s="28" t="s">
        <v>256</v>
      </c>
      <c r="D1142" s="329">
        <v>74.25</v>
      </c>
    </row>
    <row r="1143" spans="1:4" ht="30">
      <c r="A1143" s="47" t="s">
        <v>335</v>
      </c>
      <c r="B1143" s="48" t="s">
        <v>5299</v>
      </c>
      <c r="C1143" s="47" t="s">
        <v>256</v>
      </c>
      <c r="D1143" s="332">
        <v>490.07</v>
      </c>
    </row>
    <row r="1144" spans="1:4" ht="30">
      <c r="A1144" s="28" t="s">
        <v>336</v>
      </c>
      <c r="B1144" s="26" t="s">
        <v>5300</v>
      </c>
      <c r="C1144" s="28" t="s">
        <v>256</v>
      </c>
      <c r="D1144" s="329">
        <v>521.12</v>
      </c>
    </row>
    <row r="1145" spans="1:4" ht="30">
      <c r="A1145" s="47" t="s">
        <v>337</v>
      </c>
      <c r="B1145" s="48" t="s">
        <v>5301</v>
      </c>
      <c r="C1145" s="47" t="s">
        <v>256</v>
      </c>
      <c r="D1145" s="332">
        <v>546.70000000000005</v>
      </c>
    </row>
    <row r="1146" spans="1:4" ht="30">
      <c r="A1146" s="28" t="s">
        <v>338</v>
      </c>
      <c r="B1146" s="26" t="s">
        <v>5302</v>
      </c>
      <c r="C1146" s="28" t="s">
        <v>256</v>
      </c>
      <c r="D1146" s="329">
        <v>585.86</v>
      </c>
    </row>
    <row r="1147" spans="1:4" ht="30">
      <c r="A1147" s="47" t="s">
        <v>339</v>
      </c>
      <c r="B1147" s="48" t="s">
        <v>5303</v>
      </c>
      <c r="C1147" s="47" t="s">
        <v>256</v>
      </c>
      <c r="D1147" s="332">
        <v>707.08</v>
      </c>
    </row>
    <row r="1148" spans="1:4" ht="30">
      <c r="A1148" s="28" t="s">
        <v>340</v>
      </c>
      <c r="B1148" s="26" t="s">
        <v>5304</v>
      </c>
      <c r="C1148" s="28" t="s">
        <v>256</v>
      </c>
      <c r="D1148" s="329">
        <v>733.34</v>
      </c>
    </row>
    <row r="1149" spans="1:4">
      <c r="A1149" s="47" t="s">
        <v>341</v>
      </c>
      <c r="B1149" s="48" t="s">
        <v>5305</v>
      </c>
      <c r="C1149" s="47" t="s">
        <v>256</v>
      </c>
      <c r="D1149" s="332">
        <v>237.1</v>
      </c>
    </row>
    <row r="1150" spans="1:4">
      <c r="A1150" s="28" t="s">
        <v>342</v>
      </c>
      <c r="B1150" s="26" t="s">
        <v>5306</v>
      </c>
      <c r="C1150" s="28" t="s">
        <v>256</v>
      </c>
      <c r="D1150" s="329">
        <v>265.51</v>
      </c>
    </row>
    <row r="1151" spans="1:4">
      <c r="A1151" s="47" t="s">
        <v>343</v>
      </c>
      <c r="B1151" s="48" t="s">
        <v>5307</v>
      </c>
      <c r="C1151" s="47" t="s">
        <v>256</v>
      </c>
      <c r="D1151" s="332">
        <v>328.64</v>
      </c>
    </row>
    <row r="1152" spans="1:4">
      <c r="A1152" s="28" t="s">
        <v>344</v>
      </c>
      <c r="B1152" s="26" t="s">
        <v>5308</v>
      </c>
      <c r="C1152" s="28" t="s">
        <v>256</v>
      </c>
      <c r="D1152" s="329">
        <v>341.27</v>
      </c>
    </row>
    <row r="1153" spans="1:4">
      <c r="A1153" s="47">
        <v>75220</v>
      </c>
      <c r="B1153" s="48" t="s">
        <v>345</v>
      </c>
      <c r="C1153" s="47" t="s">
        <v>71</v>
      </c>
      <c r="D1153" s="332">
        <v>41.6</v>
      </c>
    </row>
    <row r="1154" spans="1:4" ht="30">
      <c r="A1154" s="28">
        <v>94213</v>
      </c>
      <c r="B1154" s="26" t="s">
        <v>9599</v>
      </c>
      <c r="C1154" s="28" t="s">
        <v>256</v>
      </c>
      <c r="D1154" s="329">
        <v>32.1</v>
      </c>
    </row>
    <row r="1155" spans="1:4" ht="30">
      <c r="A1155" s="47">
        <v>94216</v>
      </c>
      <c r="B1155" s="48" t="s">
        <v>9604</v>
      </c>
      <c r="C1155" s="47" t="s">
        <v>256</v>
      </c>
      <c r="D1155" s="332">
        <v>91.31</v>
      </c>
    </row>
    <row r="1156" spans="1:4" ht="45">
      <c r="A1156" s="28">
        <v>94219</v>
      </c>
      <c r="B1156" s="26" t="s">
        <v>4235</v>
      </c>
      <c r="C1156" s="28" t="s">
        <v>71</v>
      </c>
      <c r="D1156" s="329">
        <v>26.65</v>
      </c>
    </row>
    <row r="1157" spans="1:4" ht="45">
      <c r="A1157" s="47">
        <v>94220</v>
      </c>
      <c r="B1157" s="48" t="s">
        <v>4236</v>
      </c>
      <c r="C1157" s="47" t="s">
        <v>71</v>
      </c>
      <c r="D1157" s="332">
        <v>33.85</v>
      </c>
    </row>
    <row r="1158" spans="1:4" ht="45">
      <c r="A1158" s="28">
        <v>94221</v>
      </c>
      <c r="B1158" s="26" t="s">
        <v>4240</v>
      </c>
      <c r="C1158" s="28" t="s">
        <v>71</v>
      </c>
      <c r="D1158" s="329">
        <v>22.89</v>
      </c>
    </row>
    <row r="1159" spans="1:4" ht="45">
      <c r="A1159" s="47">
        <v>94222</v>
      </c>
      <c r="B1159" s="48" t="s">
        <v>4242</v>
      </c>
      <c r="C1159" s="47" t="s">
        <v>71</v>
      </c>
      <c r="D1159" s="332">
        <v>30.09</v>
      </c>
    </row>
    <row r="1160" spans="1:4" ht="30">
      <c r="A1160" s="28" t="s">
        <v>346</v>
      </c>
      <c r="B1160" s="26" t="s">
        <v>4247</v>
      </c>
      <c r="C1160" s="28" t="s">
        <v>71</v>
      </c>
      <c r="D1160" s="329">
        <v>38.090000000000003</v>
      </c>
    </row>
    <row r="1161" spans="1:4" ht="30">
      <c r="A1161" s="47">
        <v>94223</v>
      </c>
      <c r="B1161" s="48" t="s">
        <v>4245</v>
      </c>
      <c r="C1161" s="47" t="s">
        <v>71</v>
      </c>
      <c r="D1161" s="332">
        <v>38.81</v>
      </c>
    </row>
    <row r="1162" spans="1:4" ht="30">
      <c r="A1162" s="28">
        <v>94451</v>
      </c>
      <c r="B1162" s="26" t="s">
        <v>4244</v>
      </c>
      <c r="C1162" s="28" t="s">
        <v>71</v>
      </c>
      <c r="D1162" s="329">
        <v>86.9</v>
      </c>
    </row>
    <row r="1163" spans="1:4" ht="45">
      <c r="A1163" s="47">
        <v>94230</v>
      </c>
      <c r="B1163" s="48" t="s">
        <v>3151</v>
      </c>
      <c r="C1163" s="47" t="s">
        <v>71</v>
      </c>
      <c r="D1163" s="332">
        <v>60.39</v>
      </c>
    </row>
    <row r="1164" spans="1:4" ht="30">
      <c r="A1164" s="28">
        <v>94227</v>
      </c>
      <c r="B1164" s="26" t="s">
        <v>3153</v>
      </c>
      <c r="C1164" s="28" t="s">
        <v>71</v>
      </c>
      <c r="D1164" s="329">
        <v>35.82</v>
      </c>
    </row>
    <row r="1165" spans="1:4" ht="30">
      <c r="A1165" s="47">
        <v>94228</v>
      </c>
      <c r="B1165" s="48" t="s">
        <v>3154</v>
      </c>
      <c r="C1165" s="47" t="s">
        <v>71</v>
      </c>
      <c r="D1165" s="332">
        <v>52.22</v>
      </c>
    </row>
    <row r="1166" spans="1:4" ht="30">
      <c r="A1166" s="28">
        <v>94229</v>
      </c>
      <c r="B1166" s="26" t="s">
        <v>3152</v>
      </c>
      <c r="C1166" s="28" t="s">
        <v>71</v>
      </c>
      <c r="D1166" s="329">
        <v>99.52</v>
      </c>
    </row>
    <row r="1167" spans="1:4" ht="30">
      <c r="A1167" s="47">
        <v>94231</v>
      </c>
      <c r="B1167" s="48" t="s">
        <v>8969</v>
      </c>
      <c r="C1167" s="47" t="s">
        <v>71</v>
      </c>
      <c r="D1167" s="332">
        <v>24.8</v>
      </c>
    </row>
    <row r="1168" spans="1:4" ht="30">
      <c r="A1168" s="28">
        <v>94450</v>
      </c>
      <c r="B1168" s="26" t="s">
        <v>8970</v>
      </c>
      <c r="C1168" s="28" t="s">
        <v>71</v>
      </c>
      <c r="D1168" s="329">
        <v>39.409999999999997</v>
      </c>
    </row>
    <row r="1169" spans="1:4" ht="30">
      <c r="A1169" s="47">
        <v>94449</v>
      </c>
      <c r="B1169" s="48" t="s">
        <v>9605</v>
      </c>
      <c r="C1169" s="47" t="s">
        <v>256</v>
      </c>
      <c r="D1169" s="332">
        <v>29.22</v>
      </c>
    </row>
    <row r="1170" spans="1:4" ht="60">
      <c r="A1170" s="28">
        <v>72110</v>
      </c>
      <c r="B1170" s="26" t="s">
        <v>5294</v>
      </c>
      <c r="C1170" s="28" t="s">
        <v>256</v>
      </c>
      <c r="D1170" s="329">
        <v>61.89</v>
      </c>
    </row>
    <row r="1171" spans="1:4" ht="60">
      <c r="A1171" s="47">
        <v>72111</v>
      </c>
      <c r="B1171" s="48" t="s">
        <v>5295</v>
      </c>
      <c r="C1171" s="47" t="s">
        <v>256</v>
      </c>
      <c r="D1171" s="332">
        <v>67.459999999999994</v>
      </c>
    </row>
    <row r="1172" spans="1:4" ht="60">
      <c r="A1172" s="28">
        <v>72112</v>
      </c>
      <c r="B1172" s="26" t="s">
        <v>5296</v>
      </c>
      <c r="C1172" s="28" t="s">
        <v>256</v>
      </c>
      <c r="D1172" s="329">
        <v>73.03</v>
      </c>
    </row>
    <row r="1173" spans="1:4" ht="60">
      <c r="A1173" s="47">
        <v>72113</v>
      </c>
      <c r="B1173" s="48" t="s">
        <v>5297</v>
      </c>
      <c r="C1173" s="47" t="s">
        <v>256</v>
      </c>
      <c r="D1173" s="332">
        <v>82.16</v>
      </c>
    </row>
    <row r="1174" spans="1:4" ht="60">
      <c r="A1174" s="28">
        <v>72114</v>
      </c>
      <c r="B1174" s="26" t="s">
        <v>5298</v>
      </c>
      <c r="C1174" s="28" t="s">
        <v>256</v>
      </c>
      <c r="D1174" s="329">
        <v>91.29</v>
      </c>
    </row>
    <row r="1175" spans="1:4">
      <c r="A1175" s="47" t="s">
        <v>347</v>
      </c>
      <c r="B1175" s="48" t="s">
        <v>5292</v>
      </c>
      <c r="C1175" s="47" t="s">
        <v>90</v>
      </c>
      <c r="D1175" s="332">
        <v>8.2200000000000006</v>
      </c>
    </row>
    <row r="1176" spans="1:4">
      <c r="A1176" s="28" t="s">
        <v>348</v>
      </c>
      <c r="B1176" s="26" t="s">
        <v>5293</v>
      </c>
      <c r="C1176" s="28" t="s">
        <v>90</v>
      </c>
      <c r="D1176" s="329">
        <v>6</v>
      </c>
    </row>
    <row r="1177" spans="1:4" ht="30">
      <c r="A1177" s="47">
        <v>92255</v>
      </c>
      <c r="B1177" s="48" t="s">
        <v>6074</v>
      </c>
      <c r="C1177" s="47" t="s">
        <v>65</v>
      </c>
      <c r="D1177" s="332">
        <v>134.81</v>
      </c>
    </row>
    <row r="1178" spans="1:4" ht="30">
      <c r="A1178" s="28">
        <v>92256</v>
      </c>
      <c r="B1178" s="26" t="s">
        <v>6075</v>
      </c>
      <c r="C1178" s="28" t="s">
        <v>65</v>
      </c>
      <c r="D1178" s="329">
        <v>167.54</v>
      </c>
    </row>
    <row r="1179" spans="1:4" ht="30">
      <c r="A1179" s="47">
        <v>92257</v>
      </c>
      <c r="B1179" s="48" t="s">
        <v>6076</v>
      </c>
      <c r="C1179" s="47" t="s">
        <v>65</v>
      </c>
      <c r="D1179" s="332">
        <v>199.74</v>
      </c>
    </row>
    <row r="1180" spans="1:4" ht="30">
      <c r="A1180" s="28">
        <v>92258</v>
      </c>
      <c r="B1180" s="26" t="s">
        <v>6073</v>
      </c>
      <c r="C1180" s="28" t="s">
        <v>65</v>
      </c>
      <c r="D1180" s="329">
        <v>251.53</v>
      </c>
    </row>
    <row r="1181" spans="1:4" ht="45">
      <c r="A1181" s="47">
        <v>92568</v>
      </c>
      <c r="B1181" s="48" t="s">
        <v>9817</v>
      </c>
      <c r="C1181" s="47" t="s">
        <v>256</v>
      </c>
      <c r="D1181" s="332">
        <v>52.34</v>
      </c>
    </row>
    <row r="1182" spans="1:4" ht="45">
      <c r="A1182" s="28">
        <v>92569</v>
      </c>
      <c r="B1182" s="26" t="s">
        <v>9809</v>
      </c>
      <c r="C1182" s="28" t="s">
        <v>256</v>
      </c>
      <c r="D1182" s="329">
        <v>23.56</v>
      </c>
    </row>
    <row r="1183" spans="1:4" ht="30">
      <c r="A1183" s="47">
        <v>92570</v>
      </c>
      <c r="B1183" s="48" t="s">
        <v>9813</v>
      </c>
      <c r="C1183" s="47" t="s">
        <v>256</v>
      </c>
      <c r="D1183" s="332">
        <v>10.62</v>
      </c>
    </row>
    <row r="1184" spans="1:4" ht="45">
      <c r="A1184" s="28">
        <v>92571</v>
      </c>
      <c r="B1184" s="26" t="s">
        <v>9819</v>
      </c>
      <c r="C1184" s="28" t="s">
        <v>256</v>
      </c>
      <c r="D1184" s="329">
        <v>58.27</v>
      </c>
    </row>
    <row r="1185" spans="1:4" ht="45">
      <c r="A1185" s="47">
        <v>92572</v>
      </c>
      <c r="B1185" s="48" t="s">
        <v>9811</v>
      </c>
      <c r="C1185" s="47" t="s">
        <v>256</v>
      </c>
      <c r="D1185" s="332">
        <v>27.2</v>
      </c>
    </row>
    <row r="1186" spans="1:4" ht="45">
      <c r="A1186" s="28">
        <v>92573</v>
      </c>
      <c r="B1186" s="26" t="s">
        <v>9815</v>
      </c>
      <c r="C1186" s="28" t="s">
        <v>256</v>
      </c>
      <c r="D1186" s="329">
        <v>13.15</v>
      </c>
    </row>
    <row r="1187" spans="1:4" ht="30">
      <c r="A1187" s="47">
        <v>92574</v>
      </c>
      <c r="B1187" s="48" t="s">
        <v>9816</v>
      </c>
      <c r="C1187" s="47" t="s">
        <v>256</v>
      </c>
      <c r="D1187" s="332">
        <v>57.06</v>
      </c>
    </row>
    <row r="1188" spans="1:4" ht="30">
      <c r="A1188" s="28">
        <v>92575</v>
      </c>
      <c r="B1188" s="26" t="s">
        <v>9808</v>
      </c>
      <c r="C1188" s="28" t="s">
        <v>256</v>
      </c>
      <c r="D1188" s="329">
        <v>23.6</v>
      </c>
    </row>
    <row r="1189" spans="1:4" ht="30">
      <c r="A1189" s="47">
        <v>92576</v>
      </c>
      <c r="B1189" s="48" t="s">
        <v>9812</v>
      </c>
      <c r="C1189" s="47" t="s">
        <v>256</v>
      </c>
      <c r="D1189" s="332">
        <v>8.6199999999999992</v>
      </c>
    </row>
    <row r="1190" spans="1:4" ht="30">
      <c r="A1190" s="28">
        <v>92577</v>
      </c>
      <c r="B1190" s="26" t="s">
        <v>9818</v>
      </c>
      <c r="C1190" s="28" t="s">
        <v>256</v>
      </c>
      <c r="D1190" s="329">
        <v>63.2</v>
      </c>
    </row>
    <row r="1191" spans="1:4" ht="30">
      <c r="A1191" s="47">
        <v>92578</v>
      </c>
      <c r="B1191" s="48" t="s">
        <v>9810</v>
      </c>
      <c r="C1191" s="47" t="s">
        <v>256</v>
      </c>
      <c r="D1191" s="332">
        <v>27.03</v>
      </c>
    </row>
    <row r="1192" spans="1:4" ht="30">
      <c r="A1192" s="28">
        <v>92579</v>
      </c>
      <c r="B1192" s="26" t="s">
        <v>9814</v>
      </c>
      <c r="C1192" s="28" t="s">
        <v>256</v>
      </c>
      <c r="D1192" s="329">
        <v>10.65</v>
      </c>
    </row>
    <row r="1193" spans="1:4" ht="45">
      <c r="A1193" s="47">
        <v>92580</v>
      </c>
      <c r="B1193" s="48" t="s">
        <v>9821</v>
      </c>
      <c r="C1193" s="47" t="s">
        <v>256</v>
      </c>
      <c r="D1193" s="332">
        <v>25.16</v>
      </c>
    </row>
    <row r="1194" spans="1:4" ht="30">
      <c r="A1194" s="28">
        <v>92581</v>
      </c>
      <c r="B1194" s="26" t="s">
        <v>9820</v>
      </c>
      <c r="C1194" s="28" t="s">
        <v>256</v>
      </c>
      <c r="D1194" s="329">
        <v>25.99</v>
      </c>
    </row>
    <row r="1195" spans="1:4" ht="30">
      <c r="A1195" s="47">
        <v>92582</v>
      </c>
      <c r="B1195" s="48" t="s">
        <v>5483</v>
      </c>
      <c r="C1195" s="47" t="s">
        <v>65</v>
      </c>
      <c r="D1195" s="332">
        <v>390.04</v>
      </c>
    </row>
    <row r="1196" spans="1:4" ht="30">
      <c r="A1196" s="28">
        <v>92584</v>
      </c>
      <c r="B1196" s="26" t="s">
        <v>5485</v>
      </c>
      <c r="C1196" s="28" t="s">
        <v>65</v>
      </c>
      <c r="D1196" s="329">
        <v>446.25</v>
      </c>
    </row>
    <row r="1197" spans="1:4" ht="30">
      <c r="A1197" s="47">
        <v>92586</v>
      </c>
      <c r="B1197" s="48" t="s">
        <v>5487</v>
      </c>
      <c r="C1197" s="47" t="s">
        <v>65</v>
      </c>
      <c r="D1197" s="332">
        <v>502.45</v>
      </c>
    </row>
    <row r="1198" spans="1:4" ht="30">
      <c r="A1198" s="28">
        <v>92588</v>
      </c>
      <c r="B1198" s="26" t="s">
        <v>5489</v>
      </c>
      <c r="C1198" s="28" t="s">
        <v>65</v>
      </c>
      <c r="D1198" s="329">
        <v>631.49</v>
      </c>
    </row>
    <row r="1199" spans="1:4" ht="30">
      <c r="A1199" s="47">
        <v>92590</v>
      </c>
      <c r="B1199" s="48" t="s">
        <v>5491</v>
      </c>
      <c r="C1199" s="47" t="s">
        <v>65</v>
      </c>
      <c r="D1199" s="332">
        <v>687.7</v>
      </c>
    </row>
    <row r="1200" spans="1:4" ht="30">
      <c r="A1200" s="28">
        <v>92592</v>
      </c>
      <c r="B1200" s="26" t="s">
        <v>5493</v>
      </c>
      <c r="C1200" s="28" t="s">
        <v>65</v>
      </c>
      <c r="D1200" s="329">
        <v>776.1</v>
      </c>
    </row>
    <row r="1201" spans="1:4" ht="45">
      <c r="A1201" s="47">
        <v>92593</v>
      </c>
      <c r="B1201" s="48" t="s">
        <v>1375</v>
      </c>
      <c r="C1201" s="47" t="s">
        <v>90</v>
      </c>
      <c r="D1201" s="332">
        <v>5.89</v>
      </c>
    </row>
    <row r="1202" spans="1:4" ht="30">
      <c r="A1202" s="28">
        <v>92594</v>
      </c>
      <c r="B1202" s="26" t="s">
        <v>5495</v>
      </c>
      <c r="C1202" s="28" t="s">
        <v>65</v>
      </c>
      <c r="D1202" s="329">
        <v>883.37</v>
      </c>
    </row>
    <row r="1203" spans="1:4" ht="30">
      <c r="A1203" s="47">
        <v>92596</v>
      </c>
      <c r="B1203" s="48" t="s">
        <v>5477</v>
      </c>
      <c r="C1203" s="47" t="s">
        <v>65</v>
      </c>
      <c r="D1203" s="332">
        <v>993.22</v>
      </c>
    </row>
    <row r="1204" spans="1:4" ht="30">
      <c r="A1204" s="28">
        <v>92598</v>
      </c>
      <c r="B1204" s="26" t="s">
        <v>5479</v>
      </c>
      <c r="C1204" s="28" t="s">
        <v>65</v>
      </c>
      <c r="D1204" s="329">
        <v>1049.42</v>
      </c>
    </row>
    <row r="1205" spans="1:4" ht="30">
      <c r="A1205" s="47">
        <v>92600</v>
      </c>
      <c r="B1205" s="48" t="s">
        <v>5481</v>
      </c>
      <c r="C1205" s="47" t="s">
        <v>65</v>
      </c>
      <c r="D1205" s="332">
        <v>1116.58</v>
      </c>
    </row>
    <row r="1206" spans="1:4" ht="45">
      <c r="A1206" s="28">
        <v>92602</v>
      </c>
      <c r="B1206" s="26" t="s">
        <v>5484</v>
      </c>
      <c r="C1206" s="28" t="s">
        <v>65</v>
      </c>
      <c r="D1206" s="329">
        <v>390.04</v>
      </c>
    </row>
    <row r="1207" spans="1:4" ht="45">
      <c r="A1207" s="47">
        <v>92604</v>
      </c>
      <c r="B1207" s="48" t="s">
        <v>5486</v>
      </c>
      <c r="C1207" s="47" t="s">
        <v>65</v>
      </c>
      <c r="D1207" s="332">
        <v>435.3</v>
      </c>
    </row>
    <row r="1208" spans="1:4" ht="45">
      <c r="A1208" s="28">
        <v>92606</v>
      </c>
      <c r="B1208" s="26" t="s">
        <v>5488</v>
      </c>
      <c r="C1208" s="28" t="s">
        <v>65</v>
      </c>
      <c r="D1208" s="329">
        <v>491.5</v>
      </c>
    </row>
    <row r="1209" spans="1:4" ht="45">
      <c r="A1209" s="47">
        <v>92608</v>
      </c>
      <c r="B1209" s="48" t="s">
        <v>5490</v>
      </c>
      <c r="C1209" s="47" t="s">
        <v>65</v>
      </c>
      <c r="D1209" s="332">
        <v>609.59</v>
      </c>
    </row>
    <row r="1210" spans="1:4" ht="45">
      <c r="A1210" s="28">
        <v>92610</v>
      </c>
      <c r="B1210" s="26" t="s">
        <v>5492</v>
      </c>
      <c r="C1210" s="28" t="s">
        <v>65</v>
      </c>
      <c r="D1210" s="329">
        <v>665.79</v>
      </c>
    </row>
    <row r="1211" spans="1:4" ht="45">
      <c r="A1211" s="47">
        <v>92612</v>
      </c>
      <c r="B1211" s="48" t="s">
        <v>5494</v>
      </c>
      <c r="C1211" s="47" t="s">
        <v>65</v>
      </c>
      <c r="D1211" s="332">
        <v>754.2</v>
      </c>
    </row>
    <row r="1212" spans="1:4" ht="45">
      <c r="A1212" s="28">
        <v>92614</v>
      </c>
      <c r="B1212" s="26" t="s">
        <v>5496</v>
      </c>
      <c r="C1212" s="28" t="s">
        <v>65</v>
      </c>
      <c r="D1212" s="329">
        <v>839.56</v>
      </c>
    </row>
    <row r="1213" spans="1:4" ht="45">
      <c r="A1213" s="47">
        <v>92616</v>
      </c>
      <c r="B1213" s="48" t="s">
        <v>5478</v>
      </c>
      <c r="C1213" s="47" t="s">
        <v>65</v>
      </c>
      <c r="D1213" s="332">
        <v>960.36</v>
      </c>
    </row>
    <row r="1214" spans="1:4" ht="45">
      <c r="A1214" s="28">
        <v>92618</v>
      </c>
      <c r="B1214" s="26" t="s">
        <v>5480</v>
      </c>
      <c r="C1214" s="28" t="s">
        <v>65</v>
      </c>
      <c r="D1214" s="329">
        <v>1016.57</v>
      </c>
    </row>
    <row r="1215" spans="1:4" ht="45">
      <c r="A1215" s="47">
        <v>92620</v>
      </c>
      <c r="B1215" s="48" t="s">
        <v>5482</v>
      </c>
      <c r="C1215" s="47" t="s">
        <v>65</v>
      </c>
      <c r="D1215" s="332">
        <v>1072.77</v>
      </c>
    </row>
    <row r="1216" spans="1:4" ht="30">
      <c r="A1216" s="28">
        <v>94444</v>
      </c>
      <c r="B1216" s="26" t="s">
        <v>9602</v>
      </c>
      <c r="C1216" s="28" t="s">
        <v>256</v>
      </c>
      <c r="D1216" s="329">
        <v>627.89</v>
      </c>
    </row>
    <row r="1217" spans="1:4">
      <c r="A1217" s="47" t="s">
        <v>349</v>
      </c>
      <c r="B1217" s="48" t="s">
        <v>350</v>
      </c>
      <c r="C1217" s="47" t="s">
        <v>57</v>
      </c>
      <c r="D1217" s="332">
        <v>6.16</v>
      </c>
    </row>
    <row r="1218" spans="1:4">
      <c r="A1218" s="28" t="s">
        <v>351</v>
      </c>
      <c r="B1218" s="26" t="s">
        <v>3156</v>
      </c>
      <c r="C1218" s="28" t="s">
        <v>71</v>
      </c>
      <c r="D1218" s="329">
        <v>21.29</v>
      </c>
    </row>
    <row r="1219" spans="1:4">
      <c r="A1219" s="47" t="s">
        <v>352</v>
      </c>
      <c r="B1219" s="48" t="s">
        <v>3155</v>
      </c>
      <c r="C1219" s="47" t="s">
        <v>71</v>
      </c>
      <c r="D1219" s="332">
        <v>59.51</v>
      </c>
    </row>
    <row r="1220" spans="1:4">
      <c r="A1220" s="28" t="s">
        <v>353</v>
      </c>
      <c r="B1220" s="26" t="s">
        <v>5327</v>
      </c>
      <c r="C1220" s="28" t="s">
        <v>71</v>
      </c>
      <c r="D1220" s="329">
        <v>23.61</v>
      </c>
    </row>
    <row r="1221" spans="1:4">
      <c r="A1221" s="47" t="s">
        <v>354</v>
      </c>
      <c r="B1221" s="48" t="s">
        <v>5333</v>
      </c>
      <c r="C1221" s="47" t="s">
        <v>71</v>
      </c>
      <c r="D1221" s="332">
        <v>20.52</v>
      </c>
    </row>
    <row r="1222" spans="1:4">
      <c r="A1222" s="28" t="s">
        <v>355</v>
      </c>
      <c r="B1222" s="26" t="s">
        <v>5325</v>
      </c>
      <c r="C1222" s="28" t="s">
        <v>256</v>
      </c>
      <c r="D1222" s="329">
        <v>6.08</v>
      </c>
    </row>
    <row r="1223" spans="1:4">
      <c r="A1223" s="47" t="s">
        <v>356</v>
      </c>
      <c r="B1223" s="48" t="s">
        <v>5326</v>
      </c>
      <c r="C1223" s="47" t="s">
        <v>256</v>
      </c>
      <c r="D1223" s="332">
        <v>11.16</v>
      </c>
    </row>
    <row r="1224" spans="1:4">
      <c r="A1224" s="28" t="s">
        <v>357</v>
      </c>
      <c r="B1224" s="26" t="s">
        <v>5329</v>
      </c>
      <c r="C1224" s="28" t="s">
        <v>255</v>
      </c>
      <c r="D1224" s="329">
        <v>102.2</v>
      </c>
    </row>
    <row r="1225" spans="1:4">
      <c r="A1225" s="47" t="s">
        <v>358</v>
      </c>
      <c r="B1225" s="48" t="s">
        <v>5330</v>
      </c>
      <c r="C1225" s="47" t="s">
        <v>255</v>
      </c>
      <c r="D1225" s="332">
        <v>78.900000000000006</v>
      </c>
    </row>
    <row r="1226" spans="1:4">
      <c r="A1226" s="28" t="s">
        <v>359</v>
      </c>
      <c r="B1226" s="26" t="s">
        <v>5331</v>
      </c>
      <c r="C1226" s="28" t="s">
        <v>255</v>
      </c>
      <c r="D1226" s="329">
        <v>48.85</v>
      </c>
    </row>
    <row r="1227" spans="1:4">
      <c r="A1227" s="47" t="s">
        <v>360</v>
      </c>
      <c r="B1227" s="48" t="s">
        <v>3175</v>
      </c>
      <c r="C1227" s="47" t="s">
        <v>255</v>
      </c>
      <c r="D1227" s="332">
        <v>82.34</v>
      </c>
    </row>
    <row r="1228" spans="1:4">
      <c r="A1228" s="28" t="s">
        <v>361</v>
      </c>
      <c r="B1228" s="26" t="s">
        <v>7246</v>
      </c>
      <c r="C1228" s="28" t="s">
        <v>256</v>
      </c>
      <c r="D1228" s="329">
        <v>32.159999999999997</v>
      </c>
    </row>
    <row r="1229" spans="1:4" ht="30">
      <c r="A1229" s="47" t="s">
        <v>362</v>
      </c>
      <c r="B1229" s="48" t="s">
        <v>5334</v>
      </c>
      <c r="C1229" s="47" t="s">
        <v>71</v>
      </c>
      <c r="D1229" s="332">
        <v>53.6</v>
      </c>
    </row>
    <row r="1230" spans="1:4" ht="30">
      <c r="A1230" s="28" t="s">
        <v>363</v>
      </c>
      <c r="B1230" s="26" t="s">
        <v>5335</v>
      </c>
      <c r="C1230" s="28" t="s">
        <v>71</v>
      </c>
      <c r="D1230" s="329">
        <v>39.729999999999997</v>
      </c>
    </row>
    <row r="1231" spans="1:4" ht="30">
      <c r="A1231" s="47" t="s">
        <v>364</v>
      </c>
      <c r="B1231" s="48" t="s">
        <v>5336</v>
      </c>
      <c r="C1231" s="47" t="s">
        <v>71</v>
      </c>
      <c r="D1231" s="332">
        <v>56.66</v>
      </c>
    </row>
    <row r="1232" spans="1:4" ht="30">
      <c r="A1232" s="28" t="s">
        <v>365</v>
      </c>
      <c r="B1232" s="26" t="s">
        <v>10417</v>
      </c>
      <c r="C1232" s="28" t="s">
        <v>71</v>
      </c>
      <c r="D1232" s="329">
        <v>39.130000000000003</v>
      </c>
    </row>
    <row r="1233" spans="1:4">
      <c r="A1233" s="47">
        <v>83651</v>
      </c>
      <c r="B1233" s="48" t="s">
        <v>10416</v>
      </c>
      <c r="C1233" s="47" t="s">
        <v>71</v>
      </c>
      <c r="D1233" s="332">
        <v>28.26</v>
      </c>
    </row>
    <row r="1234" spans="1:4" ht="30">
      <c r="A1234" s="28">
        <v>83656</v>
      </c>
      <c r="B1234" s="26" t="s">
        <v>3649</v>
      </c>
      <c r="C1234" s="28" t="s">
        <v>256</v>
      </c>
      <c r="D1234" s="329">
        <v>33.46</v>
      </c>
    </row>
    <row r="1235" spans="1:4" ht="45">
      <c r="A1235" s="47">
        <v>83658</v>
      </c>
      <c r="B1235" s="48" t="s">
        <v>5434</v>
      </c>
      <c r="C1235" s="47" t="s">
        <v>71</v>
      </c>
      <c r="D1235" s="332">
        <v>139.08000000000001</v>
      </c>
    </row>
    <row r="1236" spans="1:4">
      <c r="A1236" s="28">
        <v>83661</v>
      </c>
      <c r="B1236" s="26" t="s">
        <v>5332</v>
      </c>
      <c r="C1236" s="28" t="s">
        <v>71</v>
      </c>
      <c r="D1236" s="329">
        <v>96.04</v>
      </c>
    </row>
    <row r="1237" spans="1:4">
      <c r="A1237" s="47">
        <v>83662</v>
      </c>
      <c r="B1237" s="48" t="s">
        <v>5324</v>
      </c>
      <c r="C1237" s="47" t="s">
        <v>255</v>
      </c>
      <c r="D1237" s="332">
        <v>83.15</v>
      </c>
    </row>
    <row r="1238" spans="1:4" ht="30">
      <c r="A1238" s="28">
        <v>83664</v>
      </c>
      <c r="B1238" s="26" t="s">
        <v>5328</v>
      </c>
      <c r="C1238" s="28" t="s">
        <v>71</v>
      </c>
      <c r="D1238" s="329">
        <v>51.99</v>
      </c>
    </row>
    <row r="1239" spans="1:4">
      <c r="A1239" s="47">
        <v>83665</v>
      </c>
      <c r="B1239" s="48" t="s">
        <v>5659</v>
      </c>
      <c r="C1239" s="47" t="s">
        <v>256</v>
      </c>
      <c r="D1239" s="332">
        <v>6.89</v>
      </c>
    </row>
    <row r="1240" spans="1:4">
      <c r="A1240" s="28">
        <v>83667</v>
      </c>
      <c r="B1240" s="26" t="s">
        <v>366</v>
      </c>
      <c r="C1240" s="28" t="s">
        <v>255</v>
      </c>
      <c r="D1240" s="329">
        <v>108.39</v>
      </c>
    </row>
    <row r="1241" spans="1:4">
      <c r="A1241" s="47">
        <v>83668</v>
      </c>
      <c r="B1241" s="48" t="s">
        <v>3174</v>
      </c>
      <c r="C1241" s="47" t="s">
        <v>255</v>
      </c>
      <c r="D1241" s="332">
        <v>81.75</v>
      </c>
    </row>
    <row r="1242" spans="1:4">
      <c r="A1242" s="28">
        <v>83669</v>
      </c>
      <c r="B1242" s="26" t="s">
        <v>5665</v>
      </c>
      <c r="C1242" s="28" t="s">
        <v>256</v>
      </c>
      <c r="D1242" s="329">
        <v>9.5399999999999991</v>
      </c>
    </row>
    <row r="1243" spans="1:4">
      <c r="A1243" s="47">
        <v>83670</v>
      </c>
      <c r="B1243" s="48" t="s">
        <v>10438</v>
      </c>
      <c r="C1243" s="47" t="s">
        <v>71</v>
      </c>
      <c r="D1243" s="332">
        <v>37.5</v>
      </c>
    </row>
    <row r="1244" spans="1:4">
      <c r="A1244" s="28">
        <v>83671</v>
      </c>
      <c r="B1244" s="26" t="s">
        <v>10437</v>
      </c>
      <c r="C1244" s="28" t="s">
        <v>71</v>
      </c>
      <c r="D1244" s="329">
        <v>40.35</v>
      </c>
    </row>
    <row r="1245" spans="1:4" ht="30">
      <c r="A1245" s="47">
        <v>83675</v>
      </c>
      <c r="B1245" s="48" t="s">
        <v>10220</v>
      </c>
      <c r="C1245" s="47" t="s">
        <v>71</v>
      </c>
      <c r="D1245" s="332">
        <v>66.739999999999995</v>
      </c>
    </row>
    <row r="1246" spans="1:4" ht="30">
      <c r="A1246" s="28">
        <v>83676</v>
      </c>
      <c r="B1246" s="26" t="s">
        <v>10221</v>
      </c>
      <c r="C1246" s="28" t="s">
        <v>71</v>
      </c>
      <c r="D1246" s="329">
        <v>82.24</v>
      </c>
    </row>
    <row r="1247" spans="1:4" ht="30">
      <c r="A1247" s="47">
        <v>83677</v>
      </c>
      <c r="B1247" s="48" t="s">
        <v>10222</v>
      </c>
      <c r="C1247" s="47" t="s">
        <v>71</v>
      </c>
      <c r="D1247" s="332">
        <v>103.08</v>
      </c>
    </row>
    <row r="1248" spans="1:4" ht="30">
      <c r="A1248" s="28">
        <v>83678</v>
      </c>
      <c r="B1248" s="26" t="s">
        <v>10223</v>
      </c>
      <c r="C1248" s="28" t="s">
        <v>71</v>
      </c>
      <c r="D1248" s="329">
        <v>132.46</v>
      </c>
    </row>
    <row r="1249" spans="1:4" ht="30">
      <c r="A1249" s="47">
        <v>83679</v>
      </c>
      <c r="B1249" s="48" t="s">
        <v>10424</v>
      </c>
      <c r="C1249" s="47" t="s">
        <v>71</v>
      </c>
      <c r="D1249" s="332">
        <v>12.04</v>
      </c>
    </row>
    <row r="1250" spans="1:4" ht="30">
      <c r="A1250" s="28">
        <v>83680</v>
      </c>
      <c r="B1250" s="26" t="s">
        <v>10425</v>
      </c>
      <c r="C1250" s="28" t="s">
        <v>71</v>
      </c>
      <c r="D1250" s="329">
        <v>14.27</v>
      </c>
    </row>
    <row r="1251" spans="1:4" ht="30">
      <c r="A1251" s="47">
        <v>83681</v>
      </c>
      <c r="B1251" s="48" t="s">
        <v>10426</v>
      </c>
      <c r="C1251" s="47" t="s">
        <v>71</v>
      </c>
      <c r="D1251" s="332">
        <v>15.48</v>
      </c>
    </row>
    <row r="1252" spans="1:4">
      <c r="A1252" s="28">
        <v>83682</v>
      </c>
      <c r="B1252" s="26" t="s">
        <v>3176</v>
      </c>
      <c r="C1252" s="28" t="s">
        <v>255</v>
      </c>
      <c r="D1252" s="329">
        <v>82.34</v>
      </c>
    </row>
    <row r="1253" spans="1:4">
      <c r="A1253" s="47">
        <v>83683</v>
      </c>
      <c r="B1253" s="48" t="s">
        <v>367</v>
      </c>
      <c r="C1253" s="47" t="s">
        <v>255</v>
      </c>
      <c r="D1253" s="332">
        <v>90.12</v>
      </c>
    </row>
    <row r="1254" spans="1:4">
      <c r="A1254" s="28">
        <v>83729</v>
      </c>
      <c r="B1254" s="26" t="s">
        <v>5663</v>
      </c>
      <c r="C1254" s="28" t="s">
        <v>256</v>
      </c>
      <c r="D1254" s="329">
        <v>17.82</v>
      </c>
    </row>
    <row r="1255" spans="1:4">
      <c r="A1255" s="47">
        <v>83739</v>
      </c>
      <c r="B1255" s="48" t="s">
        <v>5662</v>
      </c>
      <c r="C1255" s="47" t="s">
        <v>256</v>
      </c>
      <c r="D1255" s="332">
        <v>6.37</v>
      </c>
    </row>
    <row r="1256" spans="1:4">
      <c r="A1256" s="28">
        <v>6454</v>
      </c>
      <c r="B1256" s="26" t="s">
        <v>1258</v>
      </c>
      <c r="C1256" s="28" t="s">
        <v>255</v>
      </c>
      <c r="D1256" s="329">
        <v>125.68</v>
      </c>
    </row>
    <row r="1257" spans="1:4">
      <c r="A1257" s="47">
        <v>73611</v>
      </c>
      <c r="B1257" s="48" t="s">
        <v>368</v>
      </c>
      <c r="C1257" s="47" t="s">
        <v>255</v>
      </c>
      <c r="D1257" s="332">
        <v>310.54000000000002</v>
      </c>
    </row>
    <row r="1258" spans="1:4">
      <c r="A1258" s="28">
        <v>73697</v>
      </c>
      <c r="B1258" s="26" t="s">
        <v>5032</v>
      </c>
      <c r="C1258" s="28" t="s">
        <v>255</v>
      </c>
      <c r="D1258" s="329">
        <v>133.75</v>
      </c>
    </row>
    <row r="1259" spans="1:4">
      <c r="A1259" s="47">
        <v>73698</v>
      </c>
      <c r="B1259" s="48" t="s">
        <v>5031</v>
      </c>
      <c r="C1259" s="47" t="s">
        <v>255</v>
      </c>
      <c r="D1259" s="332">
        <v>178.85</v>
      </c>
    </row>
    <row r="1260" spans="1:4">
      <c r="A1260" s="28" t="s">
        <v>369</v>
      </c>
      <c r="B1260" s="26" t="s">
        <v>370</v>
      </c>
      <c r="C1260" s="28" t="s">
        <v>256</v>
      </c>
      <c r="D1260" s="329">
        <v>95.29</v>
      </c>
    </row>
    <row r="1261" spans="1:4">
      <c r="A1261" s="47" t="s">
        <v>371</v>
      </c>
      <c r="B1261" s="48" t="s">
        <v>372</v>
      </c>
      <c r="C1261" s="47" t="s">
        <v>256</v>
      </c>
      <c r="D1261" s="332">
        <v>240.1</v>
      </c>
    </row>
    <row r="1262" spans="1:4" ht="45">
      <c r="A1262" s="28">
        <v>92743</v>
      </c>
      <c r="B1262" s="26" t="s">
        <v>373</v>
      </c>
      <c r="C1262" s="28" t="s">
        <v>255</v>
      </c>
      <c r="D1262" s="329">
        <v>370.54</v>
      </c>
    </row>
    <row r="1263" spans="1:4" ht="45">
      <c r="A1263" s="47">
        <v>92744</v>
      </c>
      <c r="B1263" s="48" t="s">
        <v>374</v>
      </c>
      <c r="C1263" s="47" t="s">
        <v>255</v>
      </c>
      <c r="D1263" s="332">
        <v>333.3</v>
      </c>
    </row>
    <row r="1264" spans="1:4" ht="45">
      <c r="A1264" s="28">
        <v>92745</v>
      </c>
      <c r="B1264" s="26" t="s">
        <v>375</v>
      </c>
      <c r="C1264" s="28" t="s">
        <v>255</v>
      </c>
      <c r="D1264" s="329">
        <v>454.88</v>
      </c>
    </row>
    <row r="1265" spans="1:4" ht="45">
      <c r="A1265" s="47">
        <v>92746</v>
      </c>
      <c r="B1265" s="48" t="s">
        <v>376</v>
      </c>
      <c r="C1265" s="47" t="s">
        <v>255</v>
      </c>
      <c r="D1265" s="332">
        <v>398.3</v>
      </c>
    </row>
    <row r="1266" spans="1:4" ht="45">
      <c r="A1266" s="28">
        <v>92747</v>
      </c>
      <c r="B1266" s="26" t="s">
        <v>377</v>
      </c>
      <c r="C1266" s="28" t="s">
        <v>255</v>
      </c>
      <c r="D1266" s="329">
        <v>503.06</v>
      </c>
    </row>
    <row r="1267" spans="1:4" ht="45">
      <c r="A1267" s="47">
        <v>92748</v>
      </c>
      <c r="B1267" s="48" t="s">
        <v>378</v>
      </c>
      <c r="C1267" s="47" t="s">
        <v>255</v>
      </c>
      <c r="D1267" s="332">
        <v>435.76</v>
      </c>
    </row>
    <row r="1268" spans="1:4" ht="30">
      <c r="A1268" s="28">
        <v>92749</v>
      </c>
      <c r="B1268" s="26" t="s">
        <v>7648</v>
      </c>
      <c r="C1268" s="28" t="s">
        <v>255</v>
      </c>
      <c r="D1268" s="329">
        <v>508.19</v>
      </c>
    </row>
    <row r="1269" spans="1:4" ht="45">
      <c r="A1269" s="47">
        <v>92750</v>
      </c>
      <c r="B1269" s="48" t="s">
        <v>7647</v>
      </c>
      <c r="C1269" s="47" t="s">
        <v>255</v>
      </c>
      <c r="D1269" s="332">
        <v>849.87</v>
      </c>
    </row>
    <row r="1270" spans="1:4" ht="45">
      <c r="A1270" s="28">
        <v>92751</v>
      </c>
      <c r="B1270" s="26" t="s">
        <v>7645</v>
      </c>
      <c r="C1270" s="28" t="s">
        <v>255</v>
      </c>
      <c r="D1270" s="329">
        <v>1047.8800000000001</v>
      </c>
    </row>
    <row r="1271" spans="1:4" ht="45">
      <c r="A1271" s="47">
        <v>92752</v>
      </c>
      <c r="B1271" s="48" t="s">
        <v>7646</v>
      </c>
      <c r="C1271" s="47" t="s">
        <v>255</v>
      </c>
      <c r="D1271" s="332">
        <v>1244.81</v>
      </c>
    </row>
    <row r="1272" spans="1:4" ht="45">
      <c r="A1272" s="28">
        <v>92753</v>
      </c>
      <c r="B1272" s="26" t="s">
        <v>7650</v>
      </c>
      <c r="C1272" s="28" t="s">
        <v>255</v>
      </c>
      <c r="D1272" s="329">
        <v>340.24</v>
      </c>
    </row>
    <row r="1273" spans="1:4" ht="45">
      <c r="A1273" s="47">
        <v>92754</v>
      </c>
      <c r="B1273" s="48" t="s">
        <v>7649</v>
      </c>
      <c r="C1273" s="47" t="s">
        <v>255</v>
      </c>
      <c r="D1273" s="332">
        <v>309.88</v>
      </c>
    </row>
    <row r="1274" spans="1:4" ht="45">
      <c r="A1274" s="28">
        <v>92755</v>
      </c>
      <c r="B1274" s="26" t="s">
        <v>8457</v>
      </c>
      <c r="C1274" s="28" t="s">
        <v>256</v>
      </c>
      <c r="D1274" s="329">
        <v>133.91999999999999</v>
      </c>
    </row>
    <row r="1275" spans="1:4" ht="45">
      <c r="A1275" s="47">
        <v>92756</v>
      </c>
      <c r="B1275" s="48" t="s">
        <v>8458</v>
      </c>
      <c r="C1275" s="47" t="s">
        <v>256</v>
      </c>
      <c r="D1275" s="332">
        <v>153.01</v>
      </c>
    </row>
    <row r="1276" spans="1:4" ht="45">
      <c r="A1276" s="28">
        <v>92757</v>
      </c>
      <c r="B1276" s="26" t="s">
        <v>8459</v>
      </c>
      <c r="C1276" s="28" t="s">
        <v>256</v>
      </c>
      <c r="D1276" s="329">
        <v>176.1</v>
      </c>
    </row>
    <row r="1277" spans="1:4" ht="45">
      <c r="A1277" s="47">
        <v>92758</v>
      </c>
      <c r="B1277" s="48" t="s">
        <v>8460</v>
      </c>
      <c r="C1277" s="47" t="s">
        <v>255</v>
      </c>
      <c r="D1277" s="332">
        <v>378.71</v>
      </c>
    </row>
    <row r="1278" spans="1:4">
      <c r="A1278" s="28" t="s">
        <v>379</v>
      </c>
      <c r="B1278" s="26" t="s">
        <v>7644</v>
      </c>
      <c r="C1278" s="28" t="s">
        <v>255</v>
      </c>
      <c r="D1278" s="329">
        <v>283.05</v>
      </c>
    </row>
    <row r="1279" spans="1:4">
      <c r="A1279" s="47" t="s">
        <v>380</v>
      </c>
      <c r="B1279" s="48" t="s">
        <v>381</v>
      </c>
      <c r="C1279" s="47" t="s">
        <v>255</v>
      </c>
      <c r="D1279" s="332">
        <v>415.73</v>
      </c>
    </row>
    <row r="1280" spans="1:4">
      <c r="A1280" s="28" t="s">
        <v>382</v>
      </c>
      <c r="B1280" s="26" t="s">
        <v>383</v>
      </c>
      <c r="C1280" s="28" t="s">
        <v>255</v>
      </c>
      <c r="D1280" s="329">
        <v>394.35</v>
      </c>
    </row>
    <row r="1281" spans="1:4" ht="30">
      <c r="A1281" s="47" t="s">
        <v>384</v>
      </c>
      <c r="B1281" s="48" t="s">
        <v>7642</v>
      </c>
      <c r="C1281" s="47" t="s">
        <v>255</v>
      </c>
      <c r="D1281" s="332">
        <v>238.61</v>
      </c>
    </row>
    <row r="1282" spans="1:4" ht="30">
      <c r="A1282" s="28" t="s">
        <v>385</v>
      </c>
      <c r="B1282" s="26" t="s">
        <v>7643</v>
      </c>
      <c r="C1282" s="28" t="s">
        <v>255</v>
      </c>
      <c r="D1282" s="329">
        <v>98.49</v>
      </c>
    </row>
    <row r="1283" spans="1:4" ht="45">
      <c r="A1283" s="47">
        <v>91069</v>
      </c>
      <c r="B1283" s="48" t="s">
        <v>5411</v>
      </c>
      <c r="C1283" s="47" t="s">
        <v>256</v>
      </c>
      <c r="D1283" s="332">
        <v>76.099999999999994</v>
      </c>
    </row>
    <row r="1284" spans="1:4" ht="45">
      <c r="A1284" s="28">
        <v>91070</v>
      </c>
      <c r="B1284" s="26" t="s">
        <v>5395</v>
      </c>
      <c r="C1284" s="28" t="s">
        <v>256</v>
      </c>
      <c r="D1284" s="329">
        <v>84.26</v>
      </c>
    </row>
    <row r="1285" spans="1:4" ht="45">
      <c r="A1285" s="47">
        <v>91071</v>
      </c>
      <c r="B1285" s="48" t="s">
        <v>5407</v>
      </c>
      <c r="C1285" s="47" t="s">
        <v>256</v>
      </c>
      <c r="D1285" s="332">
        <v>108.57</v>
      </c>
    </row>
    <row r="1286" spans="1:4" ht="45">
      <c r="A1286" s="28">
        <v>91072</v>
      </c>
      <c r="B1286" s="26" t="s">
        <v>5391</v>
      </c>
      <c r="C1286" s="28" t="s">
        <v>256</v>
      </c>
      <c r="D1286" s="329">
        <v>116.67</v>
      </c>
    </row>
    <row r="1287" spans="1:4" ht="45">
      <c r="A1287" s="47">
        <v>91073</v>
      </c>
      <c r="B1287" s="48" t="s">
        <v>5410</v>
      </c>
      <c r="C1287" s="47" t="s">
        <v>256</v>
      </c>
      <c r="D1287" s="332">
        <v>88.66</v>
      </c>
    </row>
    <row r="1288" spans="1:4" ht="45">
      <c r="A1288" s="28">
        <v>91074</v>
      </c>
      <c r="B1288" s="26" t="s">
        <v>5394</v>
      </c>
      <c r="C1288" s="28" t="s">
        <v>256</v>
      </c>
      <c r="D1288" s="329">
        <v>98.1</v>
      </c>
    </row>
    <row r="1289" spans="1:4" ht="45">
      <c r="A1289" s="47">
        <v>91075</v>
      </c>
      <c r="B1289" s="48" t="s">
        <v>5406</v>
      </c>
      <c r="C1289" s="47" t="s">
        <v>256</v>
      </c>
      <c r="D1289" s="332">
        <v>123.2</v>
      </c>
    </row>
    <row r="1290" spans="1:4" ht="45">
      <c r="A1290" s="28">
        <v>91076</v>
      </c>
      <c r="B1290" s="26" t="s">
        <v>5390</v>
      </c>
      <c r="C1290" s="28" t="s">
        <v>256</v>
      </c>
      <c r="D1290" s="329">
        <v>132.59</v>
      </c>
    </row>
    <row r="1291" spans="1:4" ht="45">
      <c r="A1291" s="47">
        <v>91077</v>
      </c>
      <c r="B1291" s="48" t="s">
        <v>5403</v>
      </c>
      <c r="C1291" s="47" t="s">
        <v>256</v>
      </c>
      <c r="D1291" s="332">
        <v>97.29</v>
      </c>
    </row>
    <row r="1292" spans="1:4" ht="45">
      <c r="A1292" s="28">
        <v>91078</v>
      </c>
      <c r="B1292" s="26" t="s">
        <v>5387</v>
      </c>
      <c r="C1292" s="28" t="s">
        <v>256</v>
      </c>
      <c r="D1292" s="329">
        <v>114.25</v>
      </c>
    </row>
    <row r="1293" spans="1:4" ht="45">
      <c r="A1293" s="47">
        <v>91079</v>
      </c>
      <c r="B1293" s="48" t="s">
        <v>5399</v>
      </c>
      <c r="C1293" s="47" t="s">
        <v>256</v>
      </c>
      <c r="D1293" s="332">
        <v>101.52</v>
      </c>
    </row>
    <row r="1294" spans="1:4" ht="45">
      <c r="A1294" s="28">
        <v>91080</v>
      </c>
      <c r="B1294" s="26" t="s">
        <v>5383</v>
      </c>
      <c r="C1294" s="28" t="s">
        <v>256</v>
      </c>
      <c r="D1294" s="329">
        <v>118.29</v>
      </c>
    </row>
    <row r="1295" spans="1:4" ht="45">
      <c r="A1295" s="47">
        <v>91081</v>
      </c>
      <c r="B1295" s="48" t="s">
        <v>5402</v>
      </c>
      <c r="C1295" s="47" t="s">
        <v>256</v>
      </c>
      <c r="D1295" s="332">
        <v>111.13</v>
      </c>
    </row>
    <row r="1296" spans="1:4" ht="45">
      <c r="A1296" s="28">
        <v>91082</v>
      </c>
      <c r="B1296" s="26" t="s">
        <v>5386</v>
      </c>
      <c r="C1296" s="28" t="s">
        <v>256</v>
      </c>
      <c r="D1296" s="329">
        <v>129.22</v>
      </c>
    </row>
    <row r="1297" spans="1:4" ht="45">
      <c r="A1297" s="47">
        <v>91083</v>
      </c>
      <c r="B1297" s="48" t="s">
        <v>5398</v>
      </c>
      <c r="C1297" s="47" t="s">
        <v>256</v>
      </c>
      <c r="D1297" s="332">
        <v>118.58</v>
      </c>
    </row>
    <row r="1298" spans="1:4" ht="45">
      <c r="A1298" s="28">
        <v>91084</v>
      </c>
      <c r="B1298" s="26" t="s">
        <v>5382</v>
      </c>
      <c r="C1298" s="28" t="s">
        <v>256</v>
      </c>
      <c r="D1298" s="329">
        <v>136.38999999999999</v>
      </c>
    </row>
    <row r="1299" spans="1:4" ht="45">
      <c r="A1299" s="47">
        <v>91086</v>
      </c>
      <c r="B1299" s="48" t="s">
        <v>5413</v>
      </c>
      <c r="C1299" s="47" t="s">
        <v>256</v>
      </c>
      <c r="D1299" s="332">
        <v>84.91</v>
      </c>
    </row>
    <row r="1300" spans="1:4" ht="45">
      <c r="A1300" s="28">
        <v>91087</v>
      </c>
      <c r="B1300" s="26" t="s">
        <v>5397</v>
      </c>
      <c r="C1300" s="28" t="s">
        <v>256</v>
      </c>
      <c r="D1300" s="329">
        <v>93.34</v>
      </c>
    </row>
    <row r="1301" spans="1:4" ht="45">
      <c r="A1301" s="47">
        <v>91088</v>
      </c>
      <c r="B1301" s="48" t="s">
        <v>5409</v>
      </c>
      <c r="C1301" s="47" t="s">
        <v>256</v>
      </c>
      <c r="D1301" s="332">
        <v>118.32</v>
      </c>
    </row>
    <row r="1302" spans="1:4" ht="45">
      <c r="A1302" s="28">
        <v>91089</v>
      </c>
      <c r="B1302" s="26" t="s">
        <v>5393</v>
      </c>
      <c r="C1302" s="28" t="s">
        <v>256</v>
      </c>
      <c r="D1302" s="329">
        <v>126.81</v>
      </c>
    </row>
    <row r="1303" spans="1:4" ht="45">
      <c r="A1303" s="47">
        <v>91090</v>
      </c>
      <c r="B1303" s="48" t="s">
        <v>5412</v>
      </c>
      <c r="C1303" s="47" t="s">
        <v>256</v>
      </c>
      <c r="D1303" s="332">
        <v>95.94</v>
      </c>
    </row>
    <row r="1304" spans="1:4" ht="45">
      <c r="A1304" s="28">
        <v>91091</v>
      </c>
      <c r="B1304" s="26" t="s">
        <v>5396</v>
      </c>
      <c r="C1304" s="28" t="s">
        <v>256</v>
      </c>
      <c r="D1304" s="329">
        <v>105.81</v>
      </c>
    </row>
    <row r="1305" spans="1:4" ht="45">
      <c r="A1305" s="47">
        <v>91092</v>
      </c>
      <c r="B1305" s="48" t="s">
        <v>5408</v>
      </c>
      <c r="C1305" s="47" t="s">
        <v>256</v>
      </c>
      <c r="D1305" s="332">
        <v>131.04</v>
      </c>
    </row>
    <row r="1306" spans="1:4" ht="45">
      <c r="A1306" s="28">
        <v>91093</v>
      </c>
      <c r="B1306" s="26" t="s">
        <v>5392</v>
      </c>
      <c r="C1306" s="28" t="s">
        <v>256</v>
      </c>
      <c r="D1306" s="329">
        <v>141.1</v>
      </c>
    </row>
    <row r="1307" spans="1:4" ht="45">
      <c r="A1307" s="47">
        <v>91094</v>
      </c>
      <c r="B1307" s="48" t="s">
        <v>5405</v>
      </c>
      <c r="C1307" s="47" t="s">
        <v>256</v>
      </c>
      <c r="D1307" s="332">
        <v>102.74</v>
      </c>
    </row>
    <row r="1308" spans="1:4" ht="45">
      <c r="A1308" s="28">
        <v>91095</v>
      </c>
      <c r="B1308" s="26" t="s">
        <v>5389</v>
      </c>
      <c r="C1308" s="28" t="s">
        <v>256</v>
      </c>
      <c r="D1308" s="329">
        <v>120.02</v>
      </c>
    </row>
    <row r="1309" spans="1:4" ht="45">
      <c r="A1309" s="47">
        <v>91096</v>
      </c>
      <c r="B1309" s="48" t="s">
        <v>5401</v>
      </c>
      <c r="C1309" s="47" t="s">
        <v>256</v>
      </c>
      <c r="D1309" s="332">
        <v>104.42</v>
      </c>
    </row>
    <row r="1310" spans="1:4" ht="45">
      <c r="A1310" s="28">
        <v>91097</v>
      </c>
      <c r="B1310" s="26" t="s">
        <v>5385</v>
      </c>
      <c r="C1310" s="28" t="s">
        <v>256</v>
      </c>
      <c r="D1310" s="329">
        <v>121.53</v>
      </c>
    </row>
    <row r="1311" spans="1:4" ht="45">
      <c r="A1311" s="47">
        <v>91098</v>
      </c>
      <c r="B1311" s="48" t="s">
        <v>5404</v>
      </c>
      <c r="C1311" s="47" t="s">
        <v>256</v>
      </c>
      <c r="D1311" s="332">
        <v>116.54</v>
      </c>
    </row>
    <row r="1312" spans="1:4" ht="45">
      <c r="A1312" s="28">
        <v>91099</v>
      </c>
      <c r="B1312" s="26" t="s">
        <v>5388</v>
      </c>
      <c r="C1312" s="28" t="s">
        <v>256</v>
      </c>
      <c r="D1312" s="329">
        <v>135.05000000000001</v>
      </c>
    </row>
    <row r="1313" spans="1:4" ht="45">
      <c r="A1313" s="47">
        <v>91100</v>
      </c>
      <c r="B1313" s="48" t="s">
        <v>5400</v>
      </c>
      <c r="C1313" s="47" t="s">
        <v>256</v>
      </c>
      <c r="D1313" s="332">
        <v>122.05</v>
      </c>
    </row>
    <row r="1314" spans="1:4" ht="45">
      <c r="A1314" s="28">
        <v>91101</v>
      </c>
      <c r="B1314" s="26" t="s">
        <v>5384</v>
      </c>
      <c r="C1314" s="28" t="s">
        <v>256</v>
      </c>
      <c r="D1314" s="329">
        <v>140.38</v>
      </c>
    </row>
    <row r="1315" spans="1:4" ht="45">
      <c r="A1315" s="47">
        <v>93952</v>
      </c>
      <c r="B1315" s="48" t="s">
        <v>5356</v>
      </c>
      <c r="C1315" s="47" t="s">
        <v>71</v>
      </c>
      <c r="D1315" s="332">
        <v>138.13999999999999</v>
      </c>
    </row>
    <row r="1316" spans="1:4" ht="45">
      <c r="A1316" s="28">
        <v>93953</v>
      </c>
      <c r="B1316" s="26" t="s">
        <v>5346</v>
      </c>
      <c r="C1316" s="28" t="s">
        <v>71</v>
      </c>
      <c r="D1316" s="329">
        <v>128.19</v>
      </c>
    </row>
    <row r="1317" spans="1:4" ht="45">
      <c r="A1317" s="47">
        <v>93954</v>
      </c>
      <c r="B1317" s="48" t="s">
        <v>5348</v>
      </c>
      <c r="C1317" s="47" t="s">
        <v>71</v>
      </c>
      <c r="D1317" s="332">
        <v>122.25</v>
      </c>
    </row>
    <row r="1318" spans="1:4" ht="45">
      <c r="A1318" s="28">
        <v>93955</v>
      </c>
      <c r="B1318" s="26" t="s">
        <v>5352</v>
      </c>
      <c r="C1318" s="28" t="s">
        <v>71</v>
      </c>
      <c r="D1318" s="329">
        <v>118.08</v>
      </c>
    </row>
    <row r="1319" spans="1:4" ht="45">
      <c r="A1319" s="47">
        <v>93956</v>
      </c>
      <c r="B1319" s="48" t="s">
        <v>5340</v>
      </c>
      <c r="C1319" s="47" t="s">
        <v>71</v>
      </c>
      <c r="D1319" s="332">
        <v>114.79</v>
      </c>
    </row>
    <row r="1320" spans="1:4" ht="45">
      <c r="A1320" s="28">
        <v>93957</v>
      </c>
      <c r="B1320" s="26" t="s">
        <v>5357</v>
      </c>
      <c r="C1320" s="28" t="s">
        <v>71</v>
      </c>
      <c r="D1320" s="329">
        <v>143.49</v>
      </c>
    </row>
    <row r="1321" spans="1:4" ht="45">
      <c r="A1321" s="47">
        <v>93958</v>
      </c>
      <c r="B1321" s="48" t="s">
        <v>5347</v>
      </c>
      <c r="C1321" s="47" t="s">
        <v>71</v>
      </c>
      <c r="D1321" s="332">
        <v>133</v>
      </c>
    </row>
    <row r="1322" spans="1:4" ht="45">
      <c r="A1322" s="28">
        <v>93959</v>
      </c>
      <c r="B1322" s="26" t="s">
        <v>5349</v>
      </c>
      <c r="C1322" s="28" t="s">
        <v>71</v>
      </c>
      <c r="D1322" s="329">
        <v>126.8</v>
      </c>
    </row>
    <row r="1323" spans="1:4" ht="45">
      <c r="A1323" s="47">
        <v>93960</v>
      </c>
      <c r="B1323" s="48" t="s">
        <v>5353</v>
      </c>
      <c r="C1323" s="47" t="s">
        <v>71</v>
      </c>
      <c r="D1323" s="332">
        <v>122.46</v>
      </c>
    </row>
    <row r="1324" spans="1:4" ht="45">
      <c r="A1324" s="28">
        <v>93961</v>
      </c>
      <c r="B1324" s="26" t="s">
        <v>5341</v>
      </c>
      <c r="C1324" s="28" t="s">
        <v>71</v>
      </c>
      <c r="D1324" s="329">
        <v>119.07</v>
      </c>
    </row>
    <row r="1325" spans="1:4" ht="45">
      <c r="A1325" s="47">
        <v>93962</v>
      </c>
      <c r="B1325" s="48" t="s">
        <v>5358</v>
      </c>
      <c r="C1325" s="47" t="s">
        <v>71</v>
      </c>
      <c r="D1325" s="332">
        <v>130.11000000000001</v>
      </c>
    </row>
    <row r="1326" spans="1:4" ht="45">
      <c r="A1326" s="28">
        <v>93963</v>
      </c>
      <c r="B1326" s="26" t="s">
        <v>5344</v>
      </c>
      <c r="C1326" s="28" t="s">
        <v>71</v>
      </c>
      <c r="D1326" s="329">
        <v>120.17</v>
      </c>
    </row>
    <row r="1327" spans="1:4" ht="45">
      <c r="A1327" s="47">
        <v>93964</v>
      </c>
      <c r="B1327" s="48" t="s">
        <v>5350</v>
      </c>
      <c r="C1327" s="47" t="s">
        <v>71</v>
      </c>
      <c r="D1327" s="332">
        <v>114.27</v>
      </c>
    </row>
    <row r="1328" spans="1:4" ht="45">
      <c r="A1328" s="28">
        <v>93965</v>
      </c>
      <c r="B1328" s="26" t="s">
        <v>5354</v>
      </c>
      <c r="C1328" s="28" t="s">
        <v>71</v>
      </c>
      <c r="D1328" s="329">
        <v>106.99</v>
      </c>
    </row>
    <row r="1329" spans="1:4" ht="45">
      <c r="A1329" s="47">
        <v>93966</v>
      </c>
      <c r="B1329" s="48" t="s">
        <v>5342</v>
      </c>
      <c r="C1329" s="47" t="s">
        <v>71</v>
      </c>
      <c r="D1329" s="332">
        <v>106.86</v>
      </c>
    </row>
    <row r="1330" spans="1:4" ht="45">
      <c r="A1330" s="28">
        <v>93967</v>
      </c>
      <c r="B1330" s="26" t="s">
        <v>5359</v>
      </c>
      <c r="C1330" s="28" t="s">
        <v>71</v>
      </c>
      <c r="D1330" s="329">
        <v>135.46</v>
      </c>
    </row>
    <row r="1331" spans="1:4" ht="45">
      <c r="A1331" s="47">
        <v>93968</v>
      </c>
      <c r="B1331" s="48" t="s">
        <v>5345</v>
      </c>
      <c r="C1331" s="47" t="s">
        <v>71</v>
      </c>
      <c r="D1331" s="332">
        <v>124.99</v>
      </c>
    </row>
    <row r="1332" spans="1:4" ht="45">
      <c r="A1332" s="28">
        <v>93969</v>
      </c>
      <c r="B1332" s="26" t="s">
        <v>5351</v>
      </c>
      <c r="C1332" s="28" t="s">
        <v>71</v>
      </c>
      <c r="D1332" s="329">
        <v>118.82</v>
      </c>
    </row>
    <row r="1333" spans="1:4" ht="45">
      <c r="A1333" s="47">
        <v>93970</v>
      </c>
      <c r="B1333" s="48" t="s">
        <v>5355</v>
      </c>
      <c r="C1333" s="47" t="s">
        <v>71</v>
      </c>
      <c r="D1333" s="332">
        <v>114.5</v>
      </c>
    </row>
    <row r="1334" spans="1:4" ht="45">
      <c r="A1334" s="28">
        <v>93971</v>
      </c>
      <c r="B1334" s="26" t="s">
        <v>5343</v>
      </c>
      <c r="C1334" s="28" t="s">
        <v>71</v>
      </c>
      <c r="D1334" s="329">
        <v>106.31</v>
      </c>
    </row>
    <row r="1335" spans="1:4" ht="30">
      <c r="A1335" s="47">
        <v>95108</v>
      </c>
      <c r="B1335" s="48" t="s">
        <v>5377</v>
      </c>
      <c r="C1335" s="47" t="s">
        <v>65</v>
      </c>
      <c r="D1335" s="332">
        <v>18.329999999999998</v>
      </c>
    </row>
    <row r="1336" spans="1:4" ht="30">
      <c r="A1336" s="28">
        <v>83690</v>
      </c>
      <c r="B1336" s="26" t="s">
        <v>4787</v>
      </c>
      <c r="C1336" s="28" t="s">
        <v>255</v>
      </c>
      <c r="D1336" s="329">
        <v>394.21</v>
      </c>
    </row>
    <row r="1337" spans="1:4" ht="30">
      <c r="A1337" s="47" t="s">
        <v>386</v>
      </c>
      <c r="B1337" s="48" t="s">
        <v>5835</v>
      </c>
      <c r="C1337" s="47" t="s">
        <v>65</v>
      </c>
      <c r="D1337" s="332">
        <v>282.63</v>
      </c>
    </row>
    <row r="1338" spans="1:4" ht="45">
      <c r="A1338" s="28" t="s">
        <v>387</v>
      </c>
      <c r="B1338" s="26" t="s">
        <v>2608</v>
      </c>
      <c r="C1338" s="28" t="s">
        <v>65</v>
      </c>
      <c r="D1338" s="329">
        <v>474.62</v>
      </c>
    </row>
    <row r="1339" spans="1:4" ht="45">
      <c r="A1339" s="47" t="s">
        <v>388</v>
      </c>
      <c r="B1339" s="48" t="s">
        <v>2614</v>
      </c>
      <c r="C1339" s="47" t="s">
        <v>65</v>
      </c>
      <c r="D1339" s="332">
        <v>776.26</v>
      </c>
    </row>
    <row r="1340" spans="1:4" ht="45">
      <c r="A1340" s="28" t="s">
        <v>389</v>
      </c>
      <c r="B1340" s="26" t="s">
        <v>2615</v>
      </c>
      <c r="C1340" s="28" t="s">
        <v>65</v>
      </c>
      <c r="D1340" s="329">
        <v>1161.31</v>
      </c>
    </row>
    <row r="1341" spans="1:4" ht="45">
      <c r="A1341" s="47" t="s">
        <v>390</v>
      </c>
      <c r="B1341" s="48" t="s">
        <v>2616</v>
      </c>
      <c r="C1341" s="47" t="s">
        <v>65</v>
      </c>
      <c r="D1341" s="332">
        <v>1635.07</v>
      </c>
    </row>
    <row r="1342" spans="1:4" ht="45">
      <c r="A1342" s="28" t="s">
        <v>391</v>
      </c>
      <c r="B1342" s="26" t="s">
        <v>2617</v>
      </c>
      <c r="C1342" s="28" t="s">
        <v>65</v>
      </c>
      <c r="D1342" s="329">
        <v>2201.7800000000002</v>
      </c>
    </row>
    <row r="1343" spans="1:4" ht="45">
      <c r="A1343" s="47" t="s">
        <v>392</v>
      </c>
      <c r="B1343" s="48" t="s">
        <v>2609</v>
      </c>
      <c r="C1343" s="47" t="s">
        <v>65</v>
      </c>
      <c r="D1343" s="332">
        <v>668.7</v>
      </c>
    </row>
    <row r="1344" spans="1:4" ht="45">
      <c r="A1344" s="28" t="s">
        <v>393</v>
      </c>
      <c r="B1344" s="26" t="s">
        <v>2610</v>
      </c>
      <c r="C1344" s="28" t="s">
        <v>65</v>
      </c>
      <c r="D1344" s="329">
        <v>1100.24</v>
      </c>
    </row>
    <row r="1345" spans="1:4" ht="45">
      <c r="A1345" s="47" t="s">
        <v>394</v>
      </c>
      <c r="B1345" s="48" t="s">
        <v>2611</v>
      </c>
      <c r="C1345" s="47" t="s">
        <v>65</v>
      </c>
      <c r="D1345" s="332">
        <v>1649.15</v>
      </c>
    </row>
    <row r="1346" spans="1:4" ht="45">
      <c r="A1346" s="28" t="s">
        <v>395</v>
      </c>
      <c r="B1346" s="26" t="s">
        <v>2612</v>
      </c>
      <c r="C1346" s="28" t="s">
        <v>65</v>
      </c>
      <c r="D1346" s="329">
        <v>2038.4</v>
      </c>
    </row>
    <row r="1347" spans="1:4" ht="45">
      <c r="A1347" s="47" t="s">
        <v>396</v>
      </c>
      <c r="B1347" s="48" t="s">
        <v>2613</v>
      </c>
      <c r="C1347" s="47" t="s">
        <v>65</v>
      </c>
      <c r="D1347" s="332">
        <v>3122.42</v>
      </c>
    </row>
    <row r="1348" spans="1:4" ht="45">
      <c r="A1348" s="28" t="s">
        <v>397</v>
      </c>
      <c r="B1348" s="26" t="s">
        <v>2618</v>
      </c>
      <c r="C1348" s="28" t="s">
        <v>65</v>
      </c>
      <c r="D1348" s="329">
        <v>862.42</v>
      </c>
    </row>
    <row r="1349" spans="1:4" ht="45">
      <c r="A1349" s="47" t="s">
        <v>398</v>
      </c>
      <c r="B1349" s="48" t="s">
        <v>2619</v>
      </c>
      <c r="C1349" s="47" t="s">
        <v>65</v>
      </c>
      <c r="D1349" s="332">
        <v>1423.83</v>
      </c>
    </row>
    <row r="1350" spans="1:4" ht="45">
      <c r="A1350" s="28" t="s">
        <v>399</v>
      </c>
      <c r="B1350" s="26" t="s">
        <v>2620</v>
      </c>
      <c r="C1350" s="28" t="s">
        <v>65</v>
      </c>
      <c r="D1350" s="329">
        <v>2136.69</v>
      </c>
    </row>
    <row r="1351" spans="1:4" ht="45">
      <c r="A1351" s="47" t="s">
        <v>400</v>
      </c>
      <c r="B1351" s="48" t="s">
        <v>2621</v>
      </c>
      <c r="C1351" s="47" t="s">
        <v>65</v>
      </c>
      <c r="D1351" s="332">
        <v>3007.66</v>
      </c>
    </row>
    <row r="1352" spans="1:4" ht="45">
      <c r="A1352" s="28" t="s">
        <v>401</v>
      </c>
      <c r="B1352" s="26" t="s">
        <v>2622</v>
      </c>
      <c r="C1352" s="28" t="s">
        <v>65</v>
      </c>
      <c r="D1352" s="329">
        <v>4043.15</v>
      </c>
    </row>
    <row r="1353" spans="1:4" ht="30">
      <c r="A1353" s="47" t="s">
        <v>402</v>
      </c>
      <c r="B1353" s="48" t="s">
        <v>8198</v>
      </c>
      <c r="C1353" s="47" t="s">
        <v>65</v>
      </c>
      <c r="D1353" s="332">
        <v>287.77999999999997</v>
      </c>
    </row>
    <row r="1354" spans="1:4" ht="30">
      <c r="A1354" s="28" t="s">
        <v>403</v>
      </c>
      <c r="B1354" s="26" t="s">
        <v>8196</v>
      </c>
      <c r="C1354" s="28" t="s">
        <v>65</v>
      </c>
      <c r="D1354" s="329">
        <v>304.39999999999998</v>
      </c>
    </row>
    <row r="1355" spans="1:4" ht="30">
      <c r="A1355" s="47" t="s">
        <v>404</v>
      </c>
      <c r="B1355" s="48" t="s">
        <v>8197</v>
      </c>
      <c r="C1355" s="47" t="s">
        <v>65</v>
      </c>
      <c r="D1355" s="332">
        <v>278.92</v>
      </c>
    </row>
    <row r="1356" spans="1:4" ht="30">
      <c r="A1356" s="28" t="s">
        <v>405</v>
      </c>
      <c r="B1356" s="26" t="s">
        <v>8170</v>
      </c>
      <c r="C1356" s="28" t="s">
        <v>65</v>
      </c>
      <c r="D1356" s="329">
        <v>878.18</v>
      </c>
    </row>
    <row r="1357" spans="1:4" ht="30">
      <c r="A1357" s="47" t="s">
        <v>406</v>
      </c>
      <c r="B1357" s="48" t="s">
        <v>8171</v>
      </c>
      <c r="C1357" s="47" t="s">
        <v>65</v>
      </c>
      <c r="D1357" s="332">
        <v>939.82</v>
      </c>
    </row>
    <row r="1358" spans="1:4" ht="30">
      <c r="A1358" s="28" t="s">
        <v>407</v>
      </c>
      <c r="B1358" s="26" t="s">
        <v>8172</v>
      </c>
      <c r="C1358" s="28" t="s">
        <v>65</v>
      </c>
      <c r="D1358" s="329">
        <v>992.46</v>
      </c>
    </row>
    <row r="1359" spans="1:4" ht="30">
      <c r="A1359" s="47" t="s">
        <v>408</v>
      </c>
      <c r="B1359" s="48" t="s">
        <v>8173</v>
      </c>
      <c r="C1359" s="47" t="s">
        <v>65</v>
      </c>
      <c r="D1359" s="332">
        <v>999.6</v>
      </c>
    </row>
    <row r="1360" spans="1:4" ht="30">
      <c r="A1360" s="28" t="s">
        <v>409</v>
      </c>
      <c r="B1360" s="26" t="s">
        <v>8169</v>
      </c>
      <c r="C1360" s="28" t="s">
        <v>65</v>
      </c>
      <c r="D1360" s="329">
        <v>1048.0899999999999</v>
      </c>
    </row>
    <row r="1361" spans="1:4" ht="30">
      <c r="A1361" s="47" t="s">
        <v>410</v>
      </c>
      <c r="B1361" s="48" t="s">
        <v>8174</v>
      </c>
      <c r="C1361" s="47" t="s">
        <v>65</v>
      </c>
      <c r="D1361" s="332">
        <v>1134.8800000000001</v>
      </c>
    </row>
    <row r="1362" spans="1:4" ht="30">
      <c r="A1362" s="28" t="s">
        <v>411</v>
      </c>
      <c r="B1362" s="26" t="s">
        <v>8175</v>
      </c>
      <c r="C1362" s="28" t="s">
        <v>65</v>
      </c>
      <c r="D1362" s="329">
        <v>1186.5999999999999</v>
      </c>
    </row>
    <row r="1363" spans="1:4" ht="30">
      <c r="A1363" s="47" t="s">
        <v>412</v>
      </c>
      <c r="B1363" s="48" t="s">
        <v>8178</v>
      </c>
      <c r="C1363" s="47" t="s">
        <v>65</v>
      </c>
      <c r="D1363" s="332">
        <v>1322.16</v>
      </c>
    </row>
    <row r="1364" spans="1:4" ht="30">
      <c r="A1364" s="28" t="s">
        <v>413</v>
      </c>
      <c r="B1364" s="26" t="s">
        <v>8180</v>
      </c>
      <c r="C1364" s="28" t="s">
        <v>65</v>
      </c>
      <c r="D1364" s="329">
        <v>1427.75</v>
      </c>
    </row>
    <row r="1365" spans="1:4" ht="30">
      <c r="A1365" s="47" t="s">
        <v>414</v>
      </c>
      <c r="B1365" s="48" t="s">
        <v>8182</v>
      </c>
      <c r="C1365" s="47" t="s">
        <v>65</v>
      </c>
      <c r="D1365" s="332">
        <v>1502.48</v>
      </c>
    </row>
    <row r="1366" spans="1:4" ht="30">
      <c r="A1366" s="28" t="s">
        <v>415</v>
      </c>
      <c r="B1366" s="26" t="s">
        <v>8183</v>
      </c>
      <c r="C1366" s="28" t="s">
        <v>65</v>
      </c>
      <c r="D1366" s="329">
        <v>1624.69</v>
      </c>
    </row>
    <row r="1367" spans="1:4" ht="30">
      <c r="A1367" s="47" t="s">
        <v>416</v>
      </c>
      <c r="B1367" s="48" t="s">
        <v>8184</v>
      </c>
      <c r="C1367" s="47" t="s">
        <v>65</v>
      </c>
      <c r="D1367" s="332">
        <v>1713.86</v>
      </c>
    </row>
    <row r="1368" spans="1:4" ht="30">
      <c r="A1368" s="28" t="s">
        <v>417</v>
      </c>
      <c r="B1368" s="26" t="s">
        <v>8185</v>
      </c>
      <c r="C1368" s="28" t="s">
        <v>65</v>
      </c>
      <c r="D1368" s="329">
        <v>1828.56</v>
      </c>
    </row>
    <row r="1369" spans="1:4" ht="30">
      <c r="A1369" s="47" t="s">
        <v>418</v>
      </c>
      <c r="B1369" s="48" t="s">
        <v>8186</v>
      </c>
      <c r="C1369" s="47" t="s">
        <v>65</v>
      </c>
      <c r="D1369" s="332">
        <v>1933.87</v>
      </c>
    </row>
    <row r="1370" spans="1:4" ht="30">
      <c r="A1370" s="28" t="s">
        <v>419</v>
      </c>
      <c r="B1370" s="26" t="s">
        <v>8187</v>
      </c>
      <c r="C1370" s="28" t="s">
        <v>65</v>
      </c>
      <c r="D1370" s="329">
        <v>2039.87</v>
      </c>
    </row>
    <row r="1371" spans="1:4" ht="30">
      <c r="A1371" s="47" t="s">
        <v>420</v>
      </c>
      <c r="B1371" s="48" t="s">
        <v>8188</v>
      </c>
      <c r="C1371" s="47" t="s">
        <v>65</v>
      </c>
      <c r="D1371" s="332">
        <v>2145.19</v>
      </c>
    </row>
    <row r="1372" spans="1:4" ht="30">
      <c r="A1372" s="28" t="s">
        <v>421</v>
      </c>
      <c r="B1372" s="26" t="s">
        <v>8189</v>
      </c>
      <c r="C1372" s="28" t="s">
        <v>65</v>
      </c>
      <c r="D1372" s="329">
        <v>2258.29</v>
      </c>
    </row>
    <row r="1373" spans="1:4" ht="30">
      <c r="A1373" s="47" t="s">
        <v>422</v>
      </c>
      <c r="B1373" s="48" t="s">
        <v>8190</v>
      </c>
      <c r="C1373" s="47" t="s">
        <v>65</v>
      </c>
      <c r="D1373" s="332">
        <v>2363.61</v>
      </c>
    </row>
    <row r="1374" spans="1:4" ht="30">
      <c r="A1374" s="28" t="s">
        <v>423</v>
      </c>
      <c r="B1374" s="26" t="s">
        <v>8191</v>
      </c>
      <c r="C1374" s="28" t="s">
        <v>65</v>
      </c>
      <c r="D1374" s="329">
        <v>2468.92</v>
      </c>
    </row>
    <row r="1375" spans="1:4" ht="30">
      <c r="A1375" s="47" t="s">
        <v>424</v>
      </c>
      <c r="B1375" s="48" t="s">
        <v>8194</v>
      </c>
      <c r="C1375" s="47" t="s">
        <v>65</v>
      </c>
      <c r="D1375" s="332">
        <v>2714.09</v>
      </c>
    </row>
    <row r="1376" spans="1:4" ht="30">
      <c r="A1376" s="28" t="s">
        <v>425</v>
      </c>
      <c r="B1376" s="26" t="s">
        <v>8192</v>
      </c>
      <c r="C1376" s="28" t="s">
        <v>65</v>
      </c>
      <c r="D1376" s="329">
        <v>2680.51</v>
      </c>
    </row>
    <row r="1377" spans="1:4" ht="30">
      <c r="A1377" s="47" t="s">
        <v>426</v>
      </c>
      <c r="B1377" s="48" t="s">
        <v>8193</v>
      </c>
      <c r="C1377" s="47" t="s">
        <v>65</v>
      </c>
      <c r="D1377" s="332">
        <v>2786.51</v>
      </c>
    </row>
    <row r="1378" spans="1:4" ht="30">
      <c r="A1378" s="28" t="s">
        <v>427</v>
      </c>
      <c r="B1378" s="26" t="s">
        <v>8195</v>
      </c>
      <c r="C1378" s="28" t="s">
        <v>65</v>
      </c>
      <c r="D1378" s="329">
        <v>2891.83</v>
      </c>
    </row>
    <row r="1379" spans="1:4" ht="60">
      <c r="A1379" s="47" t="s">
        <v>428</v>
      </c>
      <c r="B1379" s="48" t="s">
        <v>8213</v>
      </c>
      <c r="C1379" s="47" t="s">
        <v>65</v>
      </c>
      <c r="D1379" s="332">
        <v>1130.31</v>
      </c>
    </row>
    <row r="1380" spans="1:4" ht="60">
      <c r="A1380" s="28" t="s">
        <v>429</v>
      </c>
      <c r="B1380" s="26" t="s">
        <v>8214</v>
      </c>
      <c r="C1380" s="28" t="s">
        <v>65</v>
      </c>
      <c r="D1380" s="329">
        <v>1179.17</v>
      </c>
    </row>
    <row r="1381" spans="1:4" ht="60">
      <c r="A1381" s="47" t="s">
        <v>430</v>
      </c>
      <c r="B1381" s="48" t="s">
        <v>8215</v>
      </c>
      <c r="C1381" s="47" t="s">
        <v>65</v>
      </c>
      <c r="D1381" s="332">
        <v>1277.44</v>
      </c>
    </row>
    <row r="1382" spans="1:4" ht="60">
      <c r="A1382" s="28" t="s">
        <v>431</v>
      </c>
      <c r="B1382" s="26" t="s">
        <v>8216</v>
      </c>
      <c r="C1382" s="28" t="s">
        <v>65</v>
      </c>
      <c r="D1382" s="329">
        <v>1285.67</v>
      </c>
    </row>
    <row r="1383" spans="1:4" ht="60">
      <c r="A1383" s="47" t="s">
        <v>432</v>
      </c>
      <c r="B1383" s="48" t="s">
        <v>8217</v>
      </c>
      <c r="C1383" s="47" t="s">
        <v>65</v>
      </c>
      <c r="D1383" s="332">
        <v>1295.96</v>
      </c>
    </row>
    <row r="1384" spans="1:4" ht="60">
      <c r="A1384" s="28" t="s">
        <v>433</v>
      </c>
      <c r="B1384" s="26" t="s">
        <v>8218</v>
      </c>
      <c r="C1384" s="28" t="s">
        <v>65</v>
      </c>
      <c r="D1384" s="329">
        <v>1402.78</v>
      </c>
    </row>
    <row r="1385" spans="1:4" ht="60">
      <c r="A1385" s="47" t="s">
        <v>434</v>
      </c>
      <c r="B1385" s="48" t="s">
        <v>8210</v>
      </c>
      <c r="C1385" s="47" t="s">
        <v>65</v>
      </c>
      <c r="D1385" s="332">
        <v>1467.42</v>
      </c>
    </row>
    <row r="1386" spans="1:4" ht="60">
      <c r="A1386" s="28" t="s">
        <v>435</v>
      </c>
      <c r="B1386" s="26" t="s">
        <v>8219</v>
      </c>
      <c r="C1386" s="28" t="s">
        <v>65</v>
      </c>
      <c r="D1386" s="329">
        <v>1574.25</v>
      </c>
    </row>
    <row r="1387" spans="1:4" ht="60">
      <c r="A1387" s="47" t="s">
        <v>436</v>
      </c>
      <c r="B1387" s="48" t="s">
        <v>8220</v>
      </c>
      <c r="C1387" s="47" t="s">
        <v>65</v>
      </c>
      <c r="D1387" s="332">
        <v>1681.07</v>
      </c>
    </row>
    <row r="1388" spans="1:4" ht="60">
      <c r="A1388" s="28" t="s">
        <v>437</v>
      </c>
      <c r="B1388" s="26" t="s">
        <v>8221</v>
      </c>
      <c r="C1388" s="28" t="s">
        <v>65</v>
      </c>
      <c r="D1388" s="329">
        <v>1787.89</v>
      </c>
    </row>
    <row r="1389" spans="1:4" ht="60">
      <c r="A1389" s="47" t="s">
        <v>438</v>
      </c>
      <c r="B1389" s="48" t="s">
        <v>8222</v>
      </c>
      <c r="C1389" s="47" t="s">
        <v>65</v>
      </c>
      <c r="D1389" s="332">
        <v>1895.33</v>
      </c>
    </row>
    <row r="1390" spans="1:4" ht="60">
      <c r="A1390" s="28" t="s">
        <v>439</v>
      </c>
      <c r="B1390" s="26" t="s">
        <v>8223</v>
      </c>
      <c r="C1390" s="28" t="s">
        <v>65</v>
      </c>
      <c r="D1390" s="329">
        <v>2002.56</v>
      </c>
    </row>
    <row r="1391" spans="1:4" ht="60">
      <c r="A1391" s="47" t="s">
        <v>440</v>
      </c>
      <c r="B1391" s="48" t="s">
        <v>8224</v>
      </c>
      <c r="C1391" s="47" t="s">
        <v>65</v>
      </c>
      <c r="D1391" s="332">
        <v>2106.6999999999998</v>
      </c>
    </row>
    <row r="1392" spans="1:4" ht="60">
      <c r="A1392" s="28" t="s">
        <v>441</v>
      </c>
      <c r="B1392" s="26" t="s">
        <v>8211</v>
      </c>
      <c r="C1392" s="28" t="s">
        <v>65</v>
      </c>
      <c r="D1392" s="329">
        <v>2209.6799999999998</v>
      </c>
    </row>
    <row r="1393" spans="1:4" ht="60">
      <c r="A1393" s="47" t="s">
        <v>442</v>
      </c>
      <c r="B1393" s="48" t="s">
        <v>8225</v>
      </c>
      <c r="C1393" s="47" t="s">
        <v>65</v>
      </c>
      <c r="D1393" s="332">
        <v>2323.5</v>
      </c>
    </row>
    <row r="1394" spans="1:4" ht="60">
      <c r="A1394" s="28" t="s">
        <v>443</v>
      </c>
      <c r="B1394" s="26" t="s">
        <v>8226</v>
      </c>
      <c r="C1394" s="28" t="s">
        <v>65</v>
      </c>
      <c r="D1394" s="329">
        <v>2394.85</v>
      </c>
    </row>
    <row r="1395" spans="1:4" ht="60">
      <c r="A1395" s="47" t="s">
        <v>444</v>
      </c>
      <c r="B1395" s="48" t="s">
        <v>8212</v>
      </c>
      <c r="C1395" s="47" t="s">
        <v>65</v>
      </c>
      <c r="D1395" s="332">
        <v>607.01</v>
      </c>
    </row>
    <row r="1396" spans="1:4" ht="30">
      <c r="A1396" s="28" t="s">
        <v>445</v>
      </c>
      <c r="B1396" s="26" t="s">
        <v>8176</v>
      </c>
      <c r="C1396" s="28" t="s">
        <v>65</v>
      </c>
      <c r="D1396" s="329">
        <v>1260.25</v>
      </c>
    </row>
    <row r="1397" spans="1:4" ht="30">
      <c r="A1397" s="47" t="s">
        <v>446</v>
      </c>
      <c r="B1397" s="48" t="s">
        <v>8177</v>
      </c>
      <c r="C1397" s="47" t="s">
        <v>65</v>
      </c>
      <c r="D1397" s="332">
        <v>1276.97</v>
      </c>
    </row>
    <row r="1398" spans="1:4" ht="30">
      <c r="A1398" s="28" t="s">
        <v>447</v>
      </c>
      <c r="B1398" s="26" t="s">
        <v>8179</v>
      </c>
      <c r="C1398" s="28" t="s">
        <v>65</v>
      </c>
      <c r="D1398" s="329">
        <v>1392.55</v>
      </c>
    </row>
    <row r="1399" spans="1:4" ht="30">
      <c r="A1399" s="47" t="s">
        <v>448</v>
      </c>
      <c r="B1399" s="48" t="s">
        <v>8181</v>
      </c>
      <c r="C1399" s="47" t="s">
        <v>65</v>
      </c>
      <c r="D1399" s="332">
        <v>1477.57</v>
      </c>
    </row>
    <row r="1400" spans="1:4" ht="30">
      <c r="A1400" s="28" t="s">
        <v>449</v>
      </c>
      <c r="B1400" s="26" t="s">
        <v>8208</v>
      </c>
      <c r="C1400" s="28" t="s">
        <v>65</v>
      </c>
      <c r="D1400" s="329">
        <v>1947.46</v>
      </c>
    </row>
    <row r="1401" spans="1:4" ht="30">
      <c r="A1401" s="47" t="s">
        <v>450</v>
      </c>
      <c r="B1401" s="48" t="s">
        <v>8202</v>
      </c>
      <c r="C1401" s="47" t="s">
        <v>65</v>
      </c>
      <c r="D1401" s="332">
        <v>2228.9899999999998</v>
      </c>
    </row>
    <row r="1402" spans="1:4" ht="30">
      <c r="A1402" s="28" t="s">
        <v>451</v>
      </c>
      <c r="B1402" s="26" t="s">
        <v>8203</v>
      </c>
      <c r="C1402" s="28" t="s">
        <v>65</v>
      </c>
      <c r="D1402" s="329">
        <v>2417.1</v>
      </c>
    </row>
    <row r="1403" spans="1:4" ht="30">
      <c r="A1403" s="47" t="s">
        <v>452</v>
      </c>
      <c r="B1403" s="48" t="s">
        <v>8204</v>
      </c>
      <c r="C1403" s="47" t="s">
        <v>65</v>
      </c>
      <c r="D1403" s="332">
        <v>2763.75</v>
      </c>
    </row>
    <row r="1404" spans="1:4" ht="45">
      <c r="A1404" s="28" t="s">
        <v>453</v>
      </c>
      <c r="B1404" s="26" t="s">
        <v>8209</v>
      </c>
      <c r="C1404" s="28" t="s">
        <v>65</v>
      </c>
      <c r="D1404" s="329">
        <v>3208.25</v>
      </c>
    </row>
    <row r="1405" spans="1:4" ht="30">
      <c r="A1405" s="47" t="s">
        <v>454</v>
      </c>
      <c r="B1405" s="48" t="s">
        <v>8205</v>
      </c>
      <c r="C1405" s="47" t="s">
        <v>65</v>
      </c>
      <c r="D1405" s="332">
        <v>3576.19</v>
      </c>
    </row>
    <row r="1406" spans="1:4" ht="30">
      <c r="A1406" s="28" t="s">
        <v>455</v>
      </c>
      <c r="B1406" s="26" t="s">
        <v>8206</v>
      </c>
      <c r="C1406" s="28" t="s">
        <v>65</v>
      </c>
      <c r="D1406" s="329">
        <v>3889.13</v>
      </c>
    </row>
    <row r="1407" spans="1:4" ht="30">
      <c r="A1407" s="47" t="s">
        <v>456</v>
      </c>
      <c r="B1407" s="48" t="s">
        <v>8207</v>
      </c>
      <c r="C1407" s="47" t="s">
        <v>65</v>
      </c>
      <c r="D1407" s="332">
        <v>4165.46</v>
      </c>
    </row>
    <row r="1408" spans="1:4">
      <c r="A1408" s="28" t="s">
        <v>457</v>
      </c>
      <c r="B1408" s="26" t="s">
        <v>3038</v>
      </c>
      <c r="C1408" s="28" t="s">
        <v>65</v>
      </c>
      <c r="D1408" s="329">
        <v>109.34</v>
      </c>
    </row>
    <row r="1409" spans="1:4" ht="30">
      <c r="A1409" s="47" t="s">
        <v>458</v>
      </c>
      <c r="B1409" s="48" t="s">
        <v>3026</v>
      </c>
      <c r="C1409" s="47" t="s">
        <v>65</v>
      </c>
      <c r="D1409" s="332">
        <v>1207.98</v>
      </c>
    </row>
    <row r="1410" spans="1:4">
      <c r="A1410" s="28" t="s">
        <v>459</v>
      </c>
      <c r="B1410" s="26" t="s">
        <v>3025</v>
      </c>
      <c r="C1410" s="28" t="s">
        <v>65</v>
      </c>
      <c r="D1410" s="329">
        <v>620.09</v>
      </c>
    </row>
    <row r="1411" spans="1:4" ht="30">
      <c r="A1411" s="47" t="s">
        <v>460</v>
      </c>
      <c r="B1411" s="48" t="s">
        <v>8199</v>
      </c>
      <c r="C1411" s="47" t="s">
        <v>65</v>
      </c>
      <c r="D1411" s="332">
        <v>2878.11</v>
      </c>
    </row>
    <row r="1412" spans="1:4" ht="30">
      <c r="A1412" s="28" t="s">
        <v>461</v>
      </c>
      <c r="B1412" s="26" t="s">
        <v>8200</v>
      </c>
      <c r="C1412" s="28" t="s">
        <v>65</v>
      </c>
      <c r="D1412" s="329">
        <v>4573.8500000000004</v>
      </c>
    </row>
    <row r="1413" spans="1:4" ht="30">
      <c r="A1413" s="47" t="s">
        <v>462</v>
      </c>
      <c r="B1413" s="48" t="s">
        <v>8201</v>
      </c>
      <c r="C1413" s="47" t="s">
        <v>65</v>
      </c>
      <c r="D1413" s="332">
        <v>6698.98</v>
      </c>
    </row>
    <row r="1414" spans="1:4" ht="45">
      <c r="A1414" s="28" t="s">
        <v>463</v>
      </c>
      <c r="B1414" s="26" t="s">
        <v>8168</v>
      </c>
      <c r="C1414" s="28" t="s">
        <v>65</v>
      </c>
      <c r="D1414" s="329">
        <v>1189.08</v>
      </c>
    </row>
    <row r="1415" spans="1:4" ht="30">
      <c r="A1415" s="47">
        <v>83621</v>
      </c>
      <c r="B1415" s="48" t="s">
        <v>2328</v>
      </c>
      <c r="C1415" s="47" t="s">
        <v>65</v>
      </c>
      <c r="D1415" s="332">
        <v>76.34</v>
      </c>
    </row>
    <row r="1416" spans="1:4" ht="30">
      <c r="A1416" s="28">
        <v>83659</v>
      </c>
      <c r="B1416" s="26" t="s">
        <v>2607</v>
      </c>
      <c r="C1416" s="28" t="s">
        <v>65</v>
      </c>
      <c r="D1416" s="329">
        <v>609.66</v>
      </c>
    </row>
    <row r="1417" spans="1:4">
      <c r="A1417" s="47">
        <v>83708</v>
      </c>
      <c r="B1417" s="48" t="s">
        <v>8162</v>
      </c>
      <c r="C1417" s="47" t="s">
        <v>65</v>
      </c>
      <c r="D1417" s="332">
        <v>1006.47</v>
      </c>
    </row>
    <row r="1418" spans="1:4">
      <c r="A1418" s="28">
        <v>83709</v>
      </c>
      <c r="B1418" s="26" t="s">
        <v>8163</v>
      </c>
      <c r="C1418" s="28" t="s">
        <v>65</v>
      </c>
      <c r="D1418" s="329">
        <v>1249.83</v>
      </c>
    </row>
    <row r="1419" spans="1:4">
      <c r="A1419" s="47">
        <v>83710</v>
      </c>
      <c r="B1419" s="48" t="s">
        <v>8164</v>
      </c>
      <c r="C1419" s="47" t="s">
        <v>65</v>
      </c>
      <c r="D1419" s="332">
        <v>2638.86</v>
      </c>
    </row>
    <row r="1420" spans="1:4" ht="30">
      <c r="A1420" s="28">
        <v>83711</v>
      </c>
      <c r="B1420" s="26" t="s">
        <v>8165</v>
      </c>
      <c r="C1420" s="28" t="s">
        <v>65</v>
      </c>
      <c r="D1420" s="329">
        <v>3071.89</v>
      </c>
    </row>
    <row r="1421" spans="1:4" ht="30">
      <c r="A1421" s="47">
        <v>83712</v>
      </c>
      <c r="B1421" s="48" t="s">
        <v>8166</v>
      </c>
      <c r="C1421" s="47" t="s">
        <v>65</v>
      </c>
      <c r="D1421" s="332">
        <v>4054.13</v>
      </c>
    </row>
    <row r="1422" spans="1:4" ht="30">
      <c r="A1422" s="28">
        <v>83713</v>
      </c>
      <c r="B1422" s="26" t="s">
        <v>8167</v>
      </c>
      <c r="C1422" s="28" t="s">
        <v>65</v>
      </c>
      <c r="D1422" s="329">
        <v>5000.17</v>
      </c>
    </row>
    <row r="1423" spans="1:4">
      <c r="A1423" s="47">
        <v>83714</v>
      </c>
      <c r="B1423" s="48" t="s">
        <v>1488</v>
      </c>
      <c r="C1423" s="47" t="s">
        <v>71</v>
      </c>
      <c r="D1423" s="332">
        <v>524.71</v>
      </c>
    </row>
    <row r="1424" spans="1:4">
      <c r="A1424" s="28">
        <v>83715</v>
      </c>
      <c r="B1424" s="26" t="s">
        <v>3447</v>
      </c>
      <c r="C1424" s="28" t="s">
        <v>71</v>
      </c>
      <c r="D1424" s="329">
        <v>520.14</v>
      </c>
    </row>
    <row r="1425" spans="1:4" ht="30">
      <c r="A1425" s="47">
        <v>83716</v>
      </c>
      <c r="B1425" s="48" t="s">
        <v>5836</v>
      </c>
      <c r="C1425" s="47" t="s">
        <v>65</v>
      </c>
      <c r="D1425" s="332">
        <v>282.04000000000002</v>
      </c>
    </row>
    <row r="1426" spans="1:4" ht="30">
      <c r="A1426" s="28">
        <v>94263</v>
      </c>
      <c r="B1426" s="26" t="s">
        <v>5914</v>
      </c>
      <c r="C1426" s="28" t="s">
        <v>71</v>
      </c>
      <c r="D1426" s="329">
        <v>18.79</v>
      </c>
    </row>
    <row r="1427" spans="1:4" ht="30">
      <c r="A1427" s="47">
        <v>94264</v>
      </c>
      <c r="B1427" s="48" t="s">
        <v>5912</v>
      </c>
      <c r="C1427" s="47" t="s">
        <v>71</v>
      </c>
      <c r="D1427" s="332">
        <v>20.99</v>
      </c>
    </row>
    <row r="1428" spans="1:4" ht="30">
      <c r="A1428" s="28">
        <v>94265</v>
      </c>
      <c r="B1428" s="26" t="s">
        <v>5915</v>
      </c>
      <c r="C1428" s="28" t="s">
        <v>71</v>
      </c>
      <c r="D1428" s="329">
        <v>24.27</v>
      </c>
    </row>
    <row r="1429" spans="1:4" ht="30">
      <c r="A1429" s="47">
        <v>94266</v>
      </c>
      <c r="B1429" s="48" t="s">
        <v>5913</v>
      </c>
      <c r="C1429" s="47" t="s">
        <v>71</v>
      </c>
      <c r="D1429" s="332">
        <v>26.78</v>
      </c>
    </row>
    <row r="1430" spans="1:4" ht="45">
      <c r="A1430" s="28">
        <v>94267</v>
      </c>
      <c r="B1430" s="26" t="s">
        <v>5919</v>
      </c>
      <c r="C1430" s="28" t="s">
        <v>71</v>
      </c>
      <c r="D1430" s="329">
        <v>28.84</v>
      </c>
    </row>
    <row r="1431" spans="1:4" ht="45">
      <c r="A1431" s="47">
        <v>94268</v>
      </c>
      <c r="B1431" s="48" t="s">
        <v>5916</v>
      </c>
      <c r="C1431" s="47" t="s">
        <v>71</v>
      </c>
      <c r="D1431" s="332">
        <v>31.61</v>
      </c>
    </row>
    <row r="1432" spans="1:4" ht="45">
      <c r="A1432" s="28">
        <v>94269</v>
      </c>
      <c r="B1432" s="26" t="s">
        <v>5920</v>
      </c>
      <c r="C1432" s="28" t="s">
        <v>71</v>
      </c>
      <c r="D1432" s="329">
        <v>40.81</v>
      </c>
    </row>
    <row r="1433" spans="1:4" ht="45">
      <c r="A1433" s="47">
        <v>94270</v>
      </c>
      <c r="B1433" s="48" t="s">
        <v>5917</v>
      </c>
      <c r="C1433" s="47" t="s">
        <v>71</v>
      </c>
      <c r="D1433" s="332">
        <v>44.67</v>
      </c>
    </row>
    <row r="1434" spans="1:4" ht="45">
      <c r="A1434" s="28">
        <v>94271</v>
      </c>
      <c r="B1434" s="26" t="s">
        <v>5921</v>
      </c>
      <c r="C1434" s="28" t="s">
        <v>71</v>
      </c>
      <c r="D1434" s="329">
        <v>49.68</v>
      </c>
    </row>
    <row r="1435" spans="1:4" ht="45">
      <c r="A1435" s="47">
        <v>94272</v>
      </c>
      <c r="B1435" s="48" t="s">
        <v>5918</v>
      </c>
      <c r="C1435" s="47" t="s">
        <v>71</v>
      </c>
      <c r="D1435" s="332">
        <v>54.81</v>
      </c>
    </row>
    <row r="1436" spans="1:4" ht="45">
      <c r="A1436" s="28">
        <v>94273</v>
      </c>
      <c r="B1436" s="26" t="s">
        <v>2208</v>
      </c>
      <c r="C1436" s="28" t="s">
        <v>71</v>
      </c>
      <c r="D1436" s="329">
        <v>34.08</v>
      </c>
    </row>
    <row r="1437" spans="1:4" ht="45">
      <c r="A1437" s="47">
        <v>94274</v>
      </c>
      <c r="B1437" s="48" t="s">
        <v>2206</v>
      </c>
      <c r="C1437" s="47" t="s">
        <v>71</v>
      </c>
      <c r="D1437" s="332">
        <v>36.619999999999997</v>
      </c>
    </row>
    <row r="1438" spans="1:4" ht="45">
      <c r="A1438" s="28">
        <v>94275</v>
      </c>
      <c r="B1438" s="26" t="s">
        <v>2207</v>
      </c>
      <c r="C1438" s="28" t="s">
        <v>71</v>
      </c>
      <c r="D1438" s="329">
        <v>32.74</v>
      </c>
    </row>
    <row r="1439" spans="1:4" ht="45">
      <c r="A1439" s="47">
        <v>94276</v>
      </c>
      <c r="B1439" s="48" t="s">
        <v>2205</v>
      </c>
      <c r="C1439" s="47" t="s">
        <v>71</v>
      </c>
      <c r="D1439" s="332">
        <v>35.28</v>
      </c>
    </row>
    <row r="1440" spans="1:4" ht="30">
      <c r="A1440" s="28">
        <v>94281</v>
      </c>
      <c r="B1440" s="26" t="s">
        <v>5423</v>
      </c>
      <c r="C1440" s="28" t="s">
        <v>71</v>
      </c>
      <c r="D1440" s="329">
        <v>29.64</v>
      </c>
    </row>
    <row r="1441" spans="1:4" ht="30">
      <c r="A1441" s="47">
        <v>94282</v>
      </c>
      <c r="B1441" s="48" t="s">
        <v>5417</v>
      </c>
      <c r="C1441" s="47" t="s">
        <v>71</v>
      </c>
      <c r="D1441" s="332">
        <v>37.369999999999997</v>
      </c>
    </row>
    <row r="1442" spans="1:4" ht="30">
      <c r="A1442" s="28">
        <v>94283</v>
      </c>
      <c r="B1442" s="26" t="s">
        <v>5425</v>
      </c>
      <c r="C1442" s="28" t="s">
        <v>71</v>
      </c>
      <c r="D1442" s="329">
        <v>37.9</v>
      </c>
    </row>
    <row r="1443" spans="1:4" ht="30">
      <c r="A1443" s="47">
        <v>94284</v>
      </c>
      <c r="B1443" s="48" t="s">
        <v>5419</v>
      </c>
      <c r="C1443" s="47" t="s">
        <v>71</v>
      </c>
      <c r="D1443" s="332">
        <v>45.63</v>
      </c>
    </row>
    <row r="1444" spans="1:4" ht="30">
      <c r="A1444" s="28">
        <v>94285</v>
      </c>
      <c r="B1444" s="26" t="s">
        <v>5427</v>
      </c>
      <c r="C1444" s="28" t="s">
        <v>71</v>
      </c>
      <c r="D1444" s="329">
        <v>45.8</v>
      </c>
    </row>
    <row r="1445" spans="1:4" ht="30">
      <c r="A1445" s="47">
        <v>94286</v>
      </c>
      <c r="B1445" s="48" t="s">
        <v>5421</v>
      </c>
      <c r="C1445" s="47" t="s">
        <v>71</v>
      </c>
      <c r="D1445" s="332">
        <v>53.53</v>
      </c>
    </row>
    <row r="1446" spans="1:4" ht="30">
      <c r="A1446" s="28">
        <v>94287</v>
      </c>
      <c r="B1446" s="26" t="s">
        <v>5422</v>
      </c>
      <c r="C1446" s="28" t="s">
        <v>71</v>
      </c>
      <c r="D1446" s="329">
        <v>23.44</v>
      </c>
    </row>
    <row r="1447" spans="1:4" ht="30">
      <c r="A1447" s="47">
        <v>94288</v>
      </c>
      <c r="B1447" s="48" t="s">
        <v>5416</v>
      </c>
      <c r="C1447" s="47" t="s">
        <v>71</v>
      </c>
      <c r="D1447" s="332">
        <v>30.2</v>
      </c>
    </row>
    <row r="1448" spans="1:4" ht="30">
      <c r="A1448" s="28">
        <v>94289</v>
      </c>
      <c r="B1448" s="26" t="s">
        <v>5424</v>
      </c>
      <c r="C1448" s="28" t="s">
        <v>71</v>
      </c>
      <c r="D1448" s="329">
        <v>29.43</v>
      </c>
    </row>
    <row r="1449" spans="1:4" ht="30">
      <c r="A1449" s="47">
        <v>94290</v>
      </c>
      <c r="B1449" s="48" t="s">
        <v>5418</v>
      </c>
      <c r="C1449" s="47" t="s">
        <v>71</v>
      </c>
      <c r="D1449" s="332">
        <v>36.19</v>
      </c>
    </row>
    <row r="1450" spans="1:4" ht="30">
      <c r="A1450" s="28">
        <v>94291</v>
      </c>
      <c r="B1450" s="26" t="s">
        <v>5426</v>
      </c>
      <c r="C1450" s="28" t="s">
        <v>71</v>
      </c>
      <c r="D1450" s="329">
        <v>35.090000000000003</v>
      </c>
    </row>
    <row r="1451" spans="1:4" ht="30">
      <c r="A1451" s="47">
        <v>94292</v>
      </c>
      <c r="B1451" s="48" t="s">
        <v>5420</v>
      </c>
      <c r="C1451" s="47" t="s">
        <v>71</v>
      </c>
      <c r="D1451" s="332">
        <v>41.85</v>
      </c>
    </row>
    <row r="1452" spans="1:4" ht="30">
      <c r="A1452" s="28">
        <v>94293</v>
      </c>
      <c r="B1452" s="26" t="s">
        <v>5428</v>
      </c>
      <c r="C1452" s="28" t="s">
        <v>71</v>
      </c>
      <c r="D1452" s="329">
        <v>89.04</v>
      </c>
    </row>
    <row r="1453" spans="1:4" ht="30">
      <c r="A1453" s="47">
        <v>94294</v>
      </c>
      <c r="B1453" s="48" t="s">
        <v>5337</v>
      </c>
      <c r="C1453" s="47" t="s">
        <v>71</v>
      </c>
      <c r="D1453" s="332">
        <v>5.3</v>
      </c>
    </row>
    <row r="1454" spans="1:4" ht="30">
      <c r="A1454" s="28">
        <v>94037</v>
      </c>
      <c r="B1454" s="26" t="s">
        <v>5229</v>
      </c>
      <c r="C1454" s="28" t="s">
        <v>256</v>
      </c>
      <c r="D1454" s="329">
        <v>13.51</v>
      </c>
    </row>
    <row r="1455" spans="1:4" ht="45">
      <c r="A1455" s="47">
        <v>94038</v>
      </c>
      <c r="B1455" s="48" t="s">
        <v>5227</v>
      </c>
      <c r="C1455" s="47" t="s">
        <v>256</v>
      </c>
      <c r="D1455" s="332">
        <v>18.649999999999999</v>
      </c>
    </row>
    <row r="1456" spans="1:4" ht="30">
      <c r="A1456" s="28">
        <v>94039</v>
      </c>
      <c r="B1456" s="26" t="s">
        <v>5233</v>
      </c>
      <c r="C1456" s="28" t="s">
        <v>256</v>
      </c>
      <c r="D1456" s="329">
        <v>10.65</v>
      </c>
    </row>
    <row r="1457" spans="1:4" ht="45">
      <c r="A1457" s="47">
        <v>94040</v>
      </c>
      <c r="B1457" s="48" t="s">
        <v>5231</v>
      </c>
      <c r="C1457" s="47" t="s">
        <v>256</v>
      </c>
      <c r="D1457" s="332">
        <v>15.82</v>
      </c>
    </row>
    <row r="1458" spans="1:4" ht="30">
      <c r="A1458" s="28">
        <v>94041</v>
      </c>
      <c r="B1458" s="26" t="s">
        <v>5237</v>
      </c>
      <c r="C1458" s="28" t="s">
        <v>256</v>
      </c>
      <c r="D1458" s="329">
        <v>8.17</v>
      </c>
    </row>
    <row r="1459" spans="1:4" ht="45">
      <c r="A1459" s="47">
        <v>94042</v>
      </c>
      <c r="B1459" s="48" t="s">
        <v>5235</v>
      </c>
      <c r="C1459" s="47" t="s">
        <v>256</v>
      </c>
      <c r="D1459" s="332">
        <v>13.47</v>
      </c>
    </row>
    <row r="1460" spans="1:4" ht="30">
      <c r="A1460" s="28">
        <v>94043</v>
      </c>
      <c r="B1460" s="26" t="s">
        <v>5230</v>
      </c>
      <c r="C1460" s="28" t="s">
        <v>256</v>
      </c>
      <c r="D1460" s="329">
        <v>12.7</v>
      </c>
    </row>
    <row r="1461" spans="1:4" ht="45">
      <c r="A1461" s="47">
        <v>94044</v>
      </c>
      <c r="B1461" s="48" t="s">
        <v>5228</v>
      </c>
      <c r="C1461" s="47" t="s">
        <v>256</v>
      </c>
      <c r="D1461" s="332">
        <v>17.87</v>
      </c>
    </row>
    <row r="1462" spans="1:4" ht="30">
      <c r="A1462" s="28">
        <v>94045</v>
      </c>
      <c r="B1462" s="26" t="s">
        <v>5234</v>
      </c>
      <c r="C1462" s="28" t="s">
        <v>256</v>
      </c>
      <c r="D1462" s="329">
        <v>9.8699999999999992</v>
      </c>
    </row>
    <row r="1463" spans="1:4" ht="45">
      <c r="A1463" s="47">
        <v>94046</v>
      </c>
      <c r="B1463" s="48" t="s">
        <v>5232</v>
      </c>
      <c r="C1463" s="47" t="s">
        <v>256</v>
      </c>
      <c r="D1463" s="332">
        <v>15.01</v>
      </c>
    </row>
    <row r="1464" spans="1:4" ht="30">
      <c r="A1464" s="28">
        <v>94047</v>
      </c>
      <c r="B1464" s="26" t="s">
        <v>5238</v>
      </c>
      <c r="C1464" s="28" t="s">
        <v>256</v>
      </c>
      <c r="D1464" s="329">
        <v>7.39</v>
      </c>
    </row>
    <row r="1465" spans="1:4" ht="45">
      <c r="A1465" s="47">
        <v>94048</v>
      </c>
      <c r="B1465" s="48" t="s">
        <v>5236</v>
      </c>
      <c r="C1465" s="47" t="s">
        <v>256</v>
      </c>
      <c r="D1465" s="332">
        <v>12.66</v>
      </c>
    </row>
    <row r="1466" spans="1:4" ht="30">
      <c r="A1466" s="28">
        <v>94049</v>
      </c>
      <c r="B1466" s="26" t="s">
        <v>5217</v>
      </c>
      <c r="C1466" s="28" t="s">
        <v>256</v>
      </c>
      <c r="D1466" s="329">
        <v>21.92</v>
      </c>
    </row>
    <row r="1467" spans="1:4" ht="45">
      <c r="A1467" s="47">
        <v>94050</v>
      </c>
      <c r="B1467" s="48" t="s">
        <v>5215</v>
      </c>
      <c r="C1467" s="47" t="s">
        <v>256</v>
      </c>
      <c r="D1467" s="332">
        <v>28.59</v>
      </c>
    </row>
    <row r="1468" spans="1:4" ht="30">
      <c r="A1468" s="28">
        <v>94051</v>
      </c>
      <c r="B1468" s="26" t="s">
        <v>5221</v>
      </c>
      <c r="C1468" s="28" t="s">
        <v>256</v>
      </c>
      <c r="D1468" s="329">
        <v>17.95</v>
      </c>
    </row>
    <row r="1469" spans="1:4" ht="45">
      <c r="A1469" s="47">
        <v>94052</v>
      </c>
      <c r="B1469" s="48" t="s">
        <v>5219</v>
      </c>
      <c r="C1469" s="47" t="s">
        <v>256</v>
      </c>
      <c r="D1469" s="332">
        <v>24.52</v>
      </c>
    </row>
    <row r="1470" spans="1:4" ht="30">
      <c r="A1470" s="28">
        <v>94053</v>
      </c>
      <c r="B1470" s="26" t="s">
        <v>5225</v>
      </c>
      <c r="C1470" s="28" t="s">
        <v>256</v>
      </c>
      <c r="D1470" s="329">
        <v>15.26</v>
      </c>
    </row>
    <row r="1471" spans="1:4" ht="45">
      <c r="A1471" s="47">
        <v>94054</v>
      </c>
      <c r="B1471" s="48" t="s">
        <v>5223</v>
      </c>
      <c r="C1471" s="47" t="s">
        <v>256</v>
      </c>
      <c r="D1471" s="332">
        <v>21.96</v>
      </c>
    </row>
    <row r="1472" spans="1:4" ht="30">
      <c r="A1472" s="28">
        <v>94055</v>
      </c>
      <c r="B1472" s="26" t="s">
        <v>5218</v>
      </c>
      <c r="C1472" s="28" t="s">
        <v>256</v>
      </c>
      <c r="D1472" s="329">
        <v>20.89</v>
      </c>
    </row>
    <row r="1473" spans="1:4" ht="45">
      <c r="A1473" s="47">
        <v>94056</v>
      </c>
      <c r="B1473" s="48" t="s">
        <v>5216</v>
      </c>
      <c r="C1473" s="47" t="s">
        <v>256</v>
      </c>
      <c r="D1473" s="332">
        <v>27.57</v>
      </c>
    </row>
    <row r="1474" spans="1:4" ht="30">
      <c r="A1474" s="28">
        <v>94057</v>
      </c>
      <c r="B1474" s="26" t="s">
        <v>5222</v>
      </c>
      <c r="C1474" s="28" t="s">
        <v>256</v>
      </c>
      <c r="D1474" s="329">
        <v>16.93</v>
      </c>
    </row>
    <row r="1475" spans="1:4" ht="45">
      <c r="A1475" s="47">
        <v>94058</v>
      </c>
      <c r="B1475" s="48" t="s">
        <v>5220</v>
      </c>
      <c r="C1475" s="47" t="s">
        <v>256</v>
      </c>
      <c r="D1475" s="332">
        <v>23.48</v>
      </c>
    </row>
    <row r="1476" spans="1:4" ht="30">
      <c r="A1476" s="28">
        <v>94059</v>
      </c>
      <c r="B1476" s="26" t="s">
        <v>5226</v>
      </c>
      <c r="C1476" s="28" t="s">
        <v>256</v>
      </c>
      <c r="D1476" s="329">
        <v>14.25</v>
      </c>
    </row>
    <row r="1477" spans="1:4" ht="45">
      <c r="A1477" s="47">
        <v>94060</v>
      </c>
      <c r="B1477" s="48" t="s">
        <v>5224</v>
      </c>
      <c r="C1477" s="47" t="s">
        <v>256</v>
      </c>
      <c r="D1477" s="332">
        <v>20.93</v>
      </c>
    </row>
    <row r="1478" spans="1:4">
      <c r="A1478" s="28" t="s">
        <v>464</v>
      </c>
      <c r="B1478" s="26" t="s">
        <v>5239</v>
      </c>
      <c r="C1478" s="28" t="s">
        <v>256</v>
      </c>
      <c r="D1478" s="329">
        <v>47.65</v>
      </c>
    </row>
    <row r="1479" spans="1:4">
      <c r="A1479" s="47" t="s">
        <v>465</v>
      </c>
      <c r="B1479" s="48" t="s">
        <v>5240</v>
      </c>
      <c r="C1479" s="47" t="s">
        <v>256</v>
      </c>
      <c r="D1479" s="332">
        <v>32.72</v>
      </c>
    </row>
    <row r="1480" spans="1:4">
      <c r="A1480" s="28">
        <v>83770</v>
      </c>
      <c r="B1480" s="26" t="s">
        <v>466</v>
      </c>
      <c r="C1480" s="28" t="s">
        <v>256</v>
      </c>
      <c r="D1480" s="329">
        <v>103.83</v>
      </c>
    </row>
    <row r="1481" spans="1:4" ht="30">
      <c r="A1481" s="57">
        <v>73301</v>
      </c>
      <c r="B1481" s="58" t="s">
        <v>5241</v>
      </c>
      <c r="C1481" s="57" t="s">
        <v>255</v>
      </c>
      <c r="D1481" s="333">
        <v>9.0500000000000007</v>
      </c>
    </row>
    <row r="1482" spans="1:4" ht="30">
      <c r="A1482" s="59">
        <v>83515</v>
      </c>
      <c r="B1482" s="60" t="s">
        <v>5242</v>
      </c>
      <c r="C1482" s="59" t="s">
        <v>255</v>
      </c>
      <c r="D1482" s="330">
        <v>11.74</v>
      </c>
    </row>
    <row r="1483" spans="1:4" ht="30">
      <c r="A1483" s="57">
        <v>83516</v>
      </c>
      <c r="B1483" s="58" t="s">
        <v>5243</v>
      </c>
      <c r="C1483" s="57" t="s">
        <v>255</v>
      </c>
      <c r="D1483" s="333">
        <v>13.55</v>
      </c>
    </row>
    <row r="1484" spans="1:4" ht="30">
      <c r="A1484" s="28">
        <v>72144</v>
      </c>
      <c r="B1484" s="26" t="s">
        <v>8595</v>
      </c>
      <c r="C1484" s="28" t="s">
        <v>65</v>
      </c>
      <c r="D1484" s="329">
        <v>62.17</v>
      </c>
    </row>
    <row r="1485" spans="1:4" ht="30">
      <c r="A1485" s="47" t="s">
        <v>467</v>
      </c>
      <c r="B1485" s="48" t="s">
        <v>8290</v>
      </c>
      <c r="C1485" s="47" t="s">
        <v>65</v>
      </c>
      <c r="D1485" s="332">
        <v>553.04</v>
      </c>
    </row>
    <row r="1486" spans="1:4" ht="30">
      <c r="A1486" s="28" t="s">
        <v>468</v>
      </c>
      <c r="B1486" s="26" t="s">
        <v>8289</v>
      </c>
      <c r="C1486" s="28" t="s">
        <v>65</v>
      </c>
      <c r="D1486" s="329">
        <v>701.45</v>
      </c>
    </row>
    <row r="1487" spans="1:4" ht="30">
      <c r="A1487" s="47">
        <v>84874</v>
      </c>
      <c r="B1487" s="48" t="s">
        <v>1665</v>
      </c>
      <c r="C1487" s="47" t="s">
        <v>65</v>
      </c>
      <c r="D1487" s="332">
        <v>179.35</v>
      </c>
    </row>
    <row r="1488" spans="1:4">
      <c r="A1488" s="28">
        <v>84876</v>
      </c>
      <c r="B1488" s="26" t="s">
        <v>8310</v>
      </c>
      <c r="C1488" s="28" t="s">
        <v>256</v>
      </c>
      <c r="D1488" s="329">
        <v>456.35</v>
      </c>
    </row>
    <row r="1489" spans="1:4" ht="30">
      <c r="A1489" s="47">
        <v>90800</v>
      </c>
      <c r="B1489" s="48" t="s">
        <v>1617</v>
      </c>
      <c r="C1489" s="47" t="s">
        <v>65</v>
      </c>
      <c r="D1489" s="332">
        <v>154.35</v>
      </c>
    </row>
    <row r="1490" spans="1:4" ht="30">
      <c r="A1490" s="28">
        <v>90801</v>
      </c>
      <c r="B1490" s="26" t="s">
        <v>1622</v>
      </c>
      <c r="C1490" s="28" t="s">
        <v>65</v>
      </c>
      <c r="D1490" s="329">
        <v>160.03</v>
      </c>
    </row>
    <row r="1491" spans="1:4" ht="30">
      <c r="A1491" s="47">
        <v>90802</v>
      </c>
      <c r="B1491" s="48" t="s">
        <v>1627</v>
      </c>
      <c r="C1491" s="47" t="s">
        <v>65</v>
      </c>
      <c r="D1491" s="332">
        <v>165.72</v>
      </c>
    </row>
    <row r="1492" spans="1:4" ht="30">
      <c r="A1492" s="28">
        <v>90803</v>
      </c>
      <c r="B1492" s="26" t="s">
        <v>1632</v>
      </c>
      <c r="C1492" s="28" t="s">
        <v>65</v>
      </c>
      <c r="D1492" s="329">
        <v>171.4</v>
      </c>
    </row>
    <row r="1493" spans="1:4" ht="30">
      <c r="A1493" s="47">
        <v>90804</v>
      </c>
      <c r="B1493" s="48" t="s">
        <v>1615</v>
      </c>
      <c r="C1493" s="47" t="s">
        <v>65</v>
      </c>
      <c r="D1493" s="332">
        <v>204.58</v>
      </c>
    </row>
    <row r="1494" spans="1:4" ht="30">
      <c r="A1494" s="28">
        <v>90805</v>
      </c>
      <c r="B1494" s="26" t="s">
        <v>1614</v>
      </c>
      <c r="C1494" s="28" t="s">
        <v>65</v>
      </c>
      <c r="D1494" s="329">
        <v>50.22</v>
      </c>
    </row>
    <row r="1495" spans="1:4" ht="30">
      <c r="A1495" s="47">
        <v>90806</v>
      </c>
      <c r="B1495" s="48" t="s">
        <v>1620</v>
      </c>
      <c r="C1495" s="47" t="s">
        <v>65</v>
      </c>
      <c r="D1495" s="332">
        <v>214.43</v>
      </c>
    </row>
    <row r="1496" spans="1:4" ht="30">
      <c r="A1496" s="28">
        <v>90807</v>
      </c>
      <c r="B1496" s="26" t="s">
        <v>1619</v>
      </c>
      <c r="C1496" s="28" t="s">
        <v>65</v>
      </c>
      <c r="D1496" s="329">
        <v>54.39</v>
      </c>
    </row>
    <row r="1497" spans="1:4" ht="30">
      <c r="A1497" s="47">
        <v>90816</v>
      </c>
      <c r="B1497" s="48" t="s">
        <v>1625</v>
      </c>
      <c r="C1497" s="47" t="s">
        <v>65</v>
      </c>
      <c r="D1497" s="332">
        <v>224.28</v>
      </c>
    </row>
    <row r="1498" spans="1:4" ht="30">
      <c r="A1498" s="28">
        <v>90817</v>
      </c>
      <c r="B1498" s="26" t="s">
        <v>1624</v>
      </c>
      <c r="C1498" s="28" t="s">
        <v>65</v>
      </c>
      <c r="D1498" s="329">
        <v>58.55</v>
      </c>
    </row>
    <row r="1499" spans="1:4" ht="30">
      <c r="A1499" s="47">
        <v>90818</v>
      </c>
      <c r="B1499" s="48" t="s">
        <v>1630</v>
      </c>
      <c r="C1499" s="47" t="s">
        <v>65</v>
      </c>
      <c r="D1499" s="332">
        <v>234.16</v>
      </c>
    </row>
    <row r="1500" spans="1:4" ht="30">
      <c r="A1500" s="28">
        <v>90819</v>
      </c>
      <c r="B1500" s="26" t="s">
        <v>1629</v>
      </c>
      <c r="C1500" s="28" t="s">
        <v>65</v>
      </c>
      <c r="D1500" s="329">
        <v>62.75</v>
      </c>
    </row>
    <row r="1501" spans="1:4" ht="30">
      <c r="A1501" s="47">
        <v>90820</v>
      </c>
      <c r="B1501" s="48" t="s">
        <v>8291</v>
      </c>
      <c r="C1501" s="47" t="s">
        <v>65</v>
      </c>
      <c r="D1501" s="332">
        <v>239.4</v>
      </c>
    </row>
    <row r="1502" spans="1:4" ht="30">
      <c r="A1502" s="28">
        <v>90821</v>
      </c>
      <c r="B1502" s="26" t="s">
        <v>8292</v>
      </c>
      <c r="C1502" s="28" t="s">
        <v>65</v>
      </c>
      <c r="D1502" s="329">
        <v>259.48</v>
      </c>
    </row>
    <row r="1503" spans="1:4" ht="30">
      <c r="A1503" s="47">
        <v>90822</v>
      </c>
      <c r="B1503" s="48" t="s">
        <v>8293</v>
      </c>
      <c r="C1503" s="47" t="s">
        <v>65</v>
      </c>
      <c r="D1503" s="332">
        <v>256.77</v>
      </c>
    </row>
    <row r="1504" spans="1:4" ht="30">
      <c r="A1504" s="28">
        <v>90823</v>
      </c>
      <c r="B1504" s="26" t="s">
        <v>8294</v>
      </c>
      <c r="C1504" s="28" t="s">
        <v>65</v>
      </c>
      <c r="D1504" s="329">
        <v>269.52</v>
      </c>
    </row>
    <row r="1505" spans="1:4" ht="30">
      <c r="A1505" s="47">
        <v>90826</v>
      </c>
      <c r="B1505" s="48" t="s">
        <v>10909</v>
      </c>
      <c r="C1505" s="47" t="s">
        <v>65</v>
      </c>
      <c r="D1505" s="332">
        <v>23.64</v>
      </c>
    </row>
    <row r="1506" spans="1:4" ht="30">
      <c r="A1506" s="28">
        <v>90827</v>
      </c>
      <c r="B1506" s="26" t="s">
        <v>10910</v>
      </c>
      <c r="C1506" s="28" t="s">
        <v>65</v>
      </c>
      <c r="D1506" s="329">
        <v>24.78</v>
      </c>
    </row>
    <row r="1507" spans="1:4" ht="30">
      <c r="A1507" s="47">
        <v>90828</v>
      </c>
      <c r="B1507" s="48" t="s">
        <v>10911</v>
      </c>
      <c r="C1507" s="47" t="s">
        <v>65</v>
      </c>
      <c r="D1507" s="332">
        <v>25.93</v>
      </c>
    </row>
    <row r="1508" spans="1:4" ht="30">
      <c r="A1508" s="28">
        <v>90829</v>
      </c>
      <c r="B1508" s="26" t="s">
        <v>10912</v>
      </c>
      <c r="C1508" s="28" t="s">
        <v>65</v>
      </c>
      <c r="D1508" s="329">
        <v>27.11</v>
      </c>
    </row>
    <row r="1509" spans="1:4" ht="30">
      <c r="A1509" s="47">
        <v>90830</v>
      </c>
      <c r="B1509" s="48" t="s">
        <v>5526</v>
      </c>
      <c r="C1509" s="47" t="s">
        <v>65</v>
      </c>
      <c r="D1509" s="332">
        <v>96.47</v>
      </c>
    </row>
    <row r="1510" spans="1:4" ht="30">
      <c r="A1510" s="28">
        <v>90831</v>
      </c>
      <c r="B1510" s="26" t="s">
        <v>5529</v>
      </c>
      <c r="C1510" s="28" t="s">
        <v>65</v>
      </c>
      <c r="D1510" s="329">
        <v>75.72</v>
      </c>
    </row>
    <row r="1511" spans="1:4" ht="60">
      <c r="A1511" s="47">
        <v>90841</v>
      </c>
      <c r="B1511" s="48" t="s">
        <v>6577</v>
      </c>
      <c r="C1511" s="47" t="s">
        <v>65</v>
      </c>
      <c r="D1511" s="332">
        <v>567</v>
      </c>
    </row>
    <row r="1512" spans="1:4" ht="60">
      <c r="A1512" s="28">
        <v>90842</v>
      </c>
      <c r="B1512" s="26" t="s">
        <v>6579</v>
      </c>
      <c r="C1512" s="28" t="s">
        <v>65</v>
      </c>
      <c r="D1512" s="329">
        <v>606.4</v>
      </c>
    </row>
    <row r="1513" spans="1:4" ht="60">
      <c r="A1513" s="47">
        <v>90843</v>
      </c>
      <c r="B1513" s="48" t="s">
        <v>6581</v>
      </c>
      <c r="C1513" s="47" t="s">
        <v>65</v>
      </c>
      <c r="D1513" s="332">
        <v>629.4</v>
      </c>
    </row>
    <row r="1514" spans="1:4" ht="60">
      <c r="A1514" s="28">
        <v>90844</v>
      </c>
      <c r="B1514" s="26" t="s">
        <v>6583</v>
      </c>
      <c r="C1514" s="28" t="s">
        <v>65</v>
      </c>
      <c r="D1514" s="329">
        <v>654.39</v>
      </c>
    </row>
    <row r="1515" spans="1:4" ht="45">
      <c r="A1515" s="47">
        <v>90847</v>
      </c>
      <c r="B1515" s="48" t="s">
        <v>6578</v>
      </c>
      <c r="C1515" s="47" t="s">
        <v>65</v>
      </c>
      <c r="D1515" s="332">
        <v>491.27</v>
      </c>
    </row>
    <row r="1516" spans="1:4" ht="45">
      <c r="A1516" s="28">
        <v>90848</v>
      </c>
      <c r="B1516" s="26" t="s">
        <v>6580</v>
      </c>
      <c r="C1516" s="28" t="s">
        <v>65</v>
      </c>
      <c r="D1516" s="329">
        <v>523.49</v>
      </c>
    </row>
    <row r="1517" spans="1:4" ht="45">
      <c r="A1517" s="47">
        <v>90849</v>
      </c>
      <c r="B1517" s="48" t="s">
        <v>6582</v>
      </c>
      <c r="C1517" s="47" t="s">
        <v>65</v>
      </c>
      <c r="D1517" s="332">
        <v>532.92999999999995</v>
      </c>
    </row>
    <row r="1518" spans="1:4" ht="45">
      <c r="A1518" s="28">
        <v>90850</v>
      </c>
      <c r="B1518" s="26" t="s">
        <v>6584</v>
      </c>
      <c r="C1518" s="28" t="s">
        <v>65</v>
      </c>
      <c r="D1518" s="329">
        <v>557.91999999999996</v>
      </c>
    </row>
    <row r="1519" spans="1:4" ht="30">
      <c r="A1519" s="47">
        <v>91009</v>
      </c>
      <c r="B1519" s="48" t="s">
        <v>8295</v>
      </c>
      <c r="C1519" s="47" t="s">
        <v>65</v>
      </c>
      <c r="D1519" s="332">
        <v>244.76</v>
      </c>
    </row>
    <row r="1520" spans="1:4" ht="30">
      <c r="A1520" s="28">
        <v>91010</v>
      </c>
      <c r="B1520" s="26" t="s">
        <v>8296</v>
      </c>
      <c r="C1520" s="28" t="s">
        <v>65</v>
      </c>
      <c r="D1520" s="329">
        <v>200.76</v>
      </c>
    </row>
    <row r="1521" spans="1:4" ht="30">
      <c r="A1521" s="47">
        <v>91011</v>
      </c>
      <c r="B1521" s="48" t="s">
        <v>8297</v>
      </c>
      <c r="C1521" s="47" t="s">
        <v>65</v>
      </c>
      <c r="D1521" s="332">
        <v>276.83</v>
      </c>
    </row>
    <row r="1522" spans="1:4" ht="30">
      <c r="A1522" s="28">
        <v>91012</v>
      </c>
      <c r="B1522" s="26" t="s">
        <v>8298</v>
      </c>
      <c r="C1522" s="28" t="s">
        <v>65</v>
      </c>
      <c r="D1522" s="329">
        <v>265.39999999999998</v>
      </c>
    </row>
    <row r="1523" spans="1:4" ht="45">
      <c r="A1523" s="47">
        <v>91013</v>
      </c>
      <c r="B1523" s="48" t="s">
        <v>6593</v>
      </c>
      <c r="C1523" s="47" t="s">
        <v>65</v>
      </c>
      <c r="D1523" s="332">
        <v>496.63</v>
      </c>
    </row>
    <row r="1524" spans="1:4" ht="45">
      <c r="A1524" s="28">
        <v>91014</v>
      </c>
      <c r="B1524" s="26" t="s">
        <v>6594</v>
      </c>
      <c r="C1524" s="28" t="s">
        <v>65</v>
      </c>
      <c r="D1524" s="329">
        <v>464.77</v>
      </c>
    </row>
    <row r="1525" spans="1:4" ht="45">
      <c r="A1525" s="47">
        <v>91015</v>
      </c>
      <c r="B1525" s="48" t="s">
        <v>6595</v>
      </c>
      <c r="C1525" s="47" t="s">
        <v>65</v>
      </c>
      <c r="D1525" s="332">
        <v>553</v>
      </c>
    </row>
    <row r="1526" spans="1:4" ht="45">
      <c r="A1526" s="28">
        <v>91016</v>
      </c>
      <c r="B1526" s="26" t="s">
        <v>6596</v>
      </c>
      <c r="C1526" s="28" t="s">
        <v>65</v>
      </c>
      <c r="D1526" s="329">
        <v>553.79999999999995</v>
      </c>
    </row>
    <row r="1527" spans="1:4" ht="30">
      <c r="A1527" s="47">
        <v>91286</v>
      </c>
      <c r="B1527" s="48" t="s">
        <v>1618</v>
      </c>
      <c r="C1527" s="47" t="s">
        <v>65</v>
      </c>
      <c r="D1527" s="332">
        <v>120.83</v>
      </c>
    </row>
    <row r="1528" spans="1:4" ht="30">
      <c r="A1528" s="28">
        <v>91287</v>
      </c>
      <c r="B1528" s="26" t="s">
        <v>1623</v>
      </c>
      <c r="C1528" s="28" t="s">
        <v>65</v>
      </c>
      <c r="D1528" s="329">
        <v>126.5</v>
      </c>
    </row>
    <row r="1529" spans="1:4" ht="30">
      <c r="A1529" s="47">
        <v>91288</v>
      </c>
      <c r="B1529" s="48" t="s">
        <v>1628</v>
      </c>
      <c r="C1529" s="47" t="s">
        <v>65</v>
      </c>
      <c r="D1529" s="332">
        <v>132.19999999999999</v>
      </c>
    </row>
    <row r="1530" spans="1:4" ht="30">
      <c r="A1530" s="28">
        <v>91290</v>
      </c>
      <c r="B1530" s="26" t="s">
        <v>1633</v>
      </c>
      <c r="C1530" s="28" t="s">
        <v>65</v>
      </c>
      <c r="D1530" s="329">
        <v>137.87</v>
      </c>
    </row>
    <row r="1531" spans="1:4" ht="30">
      <c r="A1531" s="47">
        <v>91291</v>
      </c>
      <c r="B1531" s="48" t="s">
        <v>1616</v>
      </c>
      <c r="C1531" s="47" t="s">
        <v>65</v>
      </c>
      <c r="D1531" s="332">
        <v>171.05</v>
      </c>
    </row>
    <row r="1532" spans="1:4" ht="30">
      <c r="A1532" s="28">
        <v>91292</v>
      </c>
      <c r="B1532" s="26" t="s">
        <v>1621</v>
      </c>
      <c r="C1532" s="28" t="s">
        <v>65</v>
      </c>
      <c r="D1532" s="329">
        <v>180.9</v>
      </c>
    </row>
    <row r="1533" spans="1:4" ht="30">
      <c r="A1533" s="47">
        <v>91293</v>
      </c>
      <c r="B1533" s="48" t="s">
        <v>1626</v>
      </c>
      <c r="C1533" s="47" t="s">
        <v>65</v>
      </c>
      <c r="D1533" s="332">
        <v>190.75</v>
      </c>
    </row>
    <row r="1534" spans="1:4" ht="30">
      <c r="A1534" s="28">
        <v>91294</v>
      </c>
      <c r="B1534" s="26" t="s">
        <v>1631</v>
      </c>
      <c r="C1534" s="28" t="s">
        <v>65</v>
      </c>
      <c r="D1534" s="329">
        <v>200.63</v>
      </c>
    </row>
    <row r="1535" spans="1:4" ht="30">
      <c r="A1535" s="47">
        <v>91295</v>
      </c>
      <c r="B1535" s="48" t="s">
        <v>8286</v>
      </c>
      <c r="C1535" s="47" t="s">
        <v>65</v>
      </c>
      <c r="D1535" s="332">
        <v>230.37</v>
      </c>
    </row>
    <row r="1536" spans="1:4" ht="30">
      <c r="A1536" s="28">
        <v>91296</v>
      </c>
      <c r="B1536" s="26" t="s">
        <v>8287</v>
      </c>
      <c r="C1536" s="28" t="s">
        <v>65</v>
      </c>
      <c r="D1536" s="329">
        <v>243.83</v>
      </c>
    </row>
    <row r="1537" spans="1:4" ht="30">
      <c r="A1537" s="47">
        <v>91297</v>
      </c>
      <c r="B1537" s="48" t="s">
        <v>8288</v>
      </c>
      <c r="C1537" s="47" t="s">
        <v>65</v>
      </c>
      <c r="D1537" s="332">
        <v>278.3</v>
      </c>
    </row>
    <row r="1538" spans="1:4" ht="30">
      <c r="A1538" s="28">
        <v>91298</v>
      </c>
      <c r="B1538" s="26" t="s">
        <v>8300</v>
      </c>
      <c r="C1538" s="28" t="s">
        <v>65</v>
      </c>
      <c r="D1538" s="329">
        <v>352.97</v>
      </c>
    </row>
    <row r="1539" spans="1:4" ht="30">
      <c r="A1539" s="47">
        <v>91299</v>
      </c>
      <c r="B1539" s="48" t="s">
        <v>8301</v>
      </c>
      <c r="C1539" s="47" t="s">
        <v>65</v>
      </c>
      <c r="D1539" s="332">
        <v>550.82000000000005</v>
      </c>
    </row>
    <row r="1540" spans="1:4" ht="30">
      <c r="A1540" s="28">
        <v>91300</v>
      </c>
      <c r="B1540" s="26" t="s">
        <v>10913</v>
      </c>
      <c r="C1540" s="28" t="s">
        <v>65</v>
      </c>
      <c r="D1540" s="329">
        <v>19.739999999999998</v>
      </c>
    </row>
    <row r="1541" spans="1:4" ht="30">
      <c r="A1541" s="47">
        <v>91301</v>
      </c>
      <c r="B1541" s="48" t="s">
        <v>10914</v>
      </c>
      <c r="C1541" s="47" t="s">
        <v>65</v>
      </c>
      <c r="D1541" s="332">
        <v>20.81</v>
      </c>
    </row>
    <row r="1542" spans="1:4" ht="30">
      <c r="A1542" s="28">
        <v>91302</v>
      </c>
      <c r="B1542" s="26" t="s">
        <v>10915</v>
      </c>
      <c r="C1542" s="28" t="s">
        <v>65</v>
      </c>
      <c r="D1542" s="329">
        <v>21.89</v>
      </c>
    </row>
    <row r="1543" spans="1:4" ht="30">
      <c r="A1543" s="47">
        <v>91303</v>
      </c>
      <c r="B1543" s="48" t="s">
        <v>10916</v>
      </c>
      <c r="C1543" s="47" t="s">
        <v>65</v>
      </c>
      <c r="D1543" s="332">
        <v>23</v>
      </c>
    </row>
    <row r="1544" spans="1:4" ht="30">
      <c r="A1544" s="28">
        <v>91304</v>
      </c>
      <c r="B1544" s="26" t="s">
        <v>5527</v>
      </c>
      <c r="C1544" s="28" t="s">
        <v>65</v>
      </c>
      <c r="D1544" s="329">
        <v>71.349999999999994</v>
      </c>
    </row>
    <row r="1545" spans="1:4" ht="30">
      <c r="A1545" s="47">
        <v>91305</v>
      </c>
      <c r="B1545" s="48" t="s">
        <v>5530</v>
      </c>
      <c r="C1545" s="47" t="s">
        <v>65</v>
      </c>
      <c r="D1545" s="332">
        <v>53.78</v>
      </c>
    </row>
    <row r="1546" spans="1:4" ht="30">
      <c r="A1546" s="28">
        <v>91306</v>
      </c>
      <c r="B1546" s="26" t="s">
        <v>469</v>
      </c>
      <c r="C1546" s="28" t="s">
        <v>65</v>
      </c>
      <c r="D1546" s="329">
        <v>82.9</v>
      </c>
    </row>
    <row r="1547" spans="1:4" ht="30">
      <c r="A1547" s="47">
        <v>91307</v>
      </c>
      <c r="B1547" s="48" t="s">
        <v>470</v>
      </c>
      <c r="C1547" s="47" t="s">
        <v>65</v>
      </c>
      <c r="D1547" s="332">
        <v>56.74</v>
      </c>
    </row>
    <row r="1548" spans="1:4" ht="60">
      <c r="A1548" s="28">
        <v>91312</v>
      </c>
      <c r="B1548" s="26" t="s">
        <v>6585</v>
      </c>
      <c r="C1548" s="28" t="s">
        <v>65</v>
      </c>
      <c r="D1548" s="329">
        <v>503.73</v>
      </c>
    </row>
    <row r="1549" spans="1:4" ht="60">
      <c r="A1549" s="47">
        <v>91313</v>
      </c>
      <c r="B1549" s="48" t="s">
        <v>6587</v>
      </c>
      <c r="C1549" s="47" t="s">
        <v>65</v>
      </c>
      <c r="D1549" s="332">
        <v>538.77</v>
      </c>
    </row>
    <row r="1550" spans="1:4" ht="60">
      <c r="A1550" s="28">
        <v>91314</v>
      </c>
      <c r="B1550" s="26" t="s">
        <v>6589</v>
      </c>
      <c r="C1550" s="28" t="s">
        <v>65</v>
      </c>
      <c r="D1550" s="329">
        <v>562.67999999999995</v>
      </c>
    </row>
    <row r="1551" spans="1:4" ht="60">
      <c r="A1551" s="47">
        <v>91315</v>
      </c>
      <c r="B1551" s="48" t="s">
        <v>6591</v>
      </c>
      <c r="C1551" s="47" t="s">
        <v>65</v>
      </c>
      <c r="D1551" s="332">
        <v>587.53</v>
      </c>
    </row>
    <row r="1552" spans="1:4" ht="45">
      <c r="A1552" s="28">
        <v>91318</v>
      </c>
      <c r="B1552" s="26" t="s">
        <v>6586</v>
      </c>
      <c r="C1552" s="28" t="s">
        <v>65</v>
      </c>
      <c r="D1552" s="329">
        <v>449.94</v>
      </c>
    </row>
    <row r="1553" spans="1:4" ht="45">
      <c r="A1553" s="47">
        <v>91319</v>
      </c>
      <c r="B1553" s="48" t="s">
        <v>6588</v>
      </c>
      <c r="C1553" s="47" t="s">
        <v>65</v>
      </c>
      <c r="D1553" s="332">
        <v>482.02</v>
      </c>
    </row>
    <row r="1554" spans="1:4" ht="45">
      <c r="A1554" s="28">
        <v>91320</v>
      </c>
      <c r="B1554" s="26" t="s">
        <v>6590</v>
      </c>
      <c r="C1554" s="28" t="s">
        <v>65</v>
      </c>
      <c r="D1554" s="329">
        <v>491.32</v>
      </c>
    </row>
    <row r="1555" spans="1:4" ht="45">
      <c r="A1555" s="47">
        <v>91321</v>
      </c>
      <c r="B1555" s="48" t="s">
        <v>6592</v>
      </c>
      <c r="C1555" s="47" t="s">
        <v>65</v>
      </c>
      <c r="D1555" s="332">
        <v>516.16999999999996</v>
      </c>
    </row>
    <row r="1556" spans="1:4" ht="45">
      <c r="A1556" s="28">
        <v>91324</v>
      </c>
      <c r="B1556" s="26" t="s">
        <v>6597</v>
      </c>
      <c r="C1556" s="28" t="s">
        <v>65</v>
      </c>
      <c r="D1556" s="329">
        <v>455.3</v>
      </c>
    </row>
    <row r="1557" spans="1:4" ht="45">
      <c r="A1557" s="47">
        <v>91325</v>
      </c>
      <c r="B1557" s="48" t="s">
        <v>6598</v>
      </c>
      <c r="C1557" s="47" t="s">
        <v>65</v>
      </c>
      <c r="D1557" s="332">
        <v>423.3</v>
      </c>
    </row>
    <row r="1558" spans="1:4" ht="45">
      <c r="A1558" s="28">
        <v>91326</v>
      </c>
      <c r="B1558" s="26" t="s">
        <v>6599</v>
      </c>
      <c r="C1558" s="28" t="s">
        <v>65</v>
      </c>
      <c r="D1558" s="329">
        <v>511.39</v>
      </c>
    </row>
    <row r="1559" spans="1:4" ht="45">
      <c r="A1559" s="47">
        <v>91327</v>
      </c>
      <c r="B1559" s="48" t="s">
        <v>6600</v>
      </c>
      <c r="C1559" s="47" t="s">
        <v>65</v>
      </c>
      <c r="D1559" s="332">
        <v>512.04999999999995</v>
      </c>
    </row>
    <row r="1560" spans="1:4" ht="45">
      <c r="A1560" s="28">
        <v>91328</v>
      </c>
      <c r="B1560" s="26" t="s">
        <v>6571</v>
      </c>
      <c r="C1560" s="28" t="s">
        <v>65</v>
      </c>
      <c r="D1560" s="329">
        <v>482.24</v>
      </c>
    </row>
    <row r="1561" spans="1:4" ht="45">
      <c r="A1561" s="47">
        <v>91329</v>
      </c>
      <c r="B1561" s="48" t="s">
        <v>6574</v>
      </c>
      <c r="C1561" s="47" t="s">
        <v>65</v>
      </c>
      <c r="D1561" s="332">
        <v>440.91</v>
      </c>
    </row>
    <row r="1562" spans="1:4" ht="45">
      <c r="A1562" s="28">
        <v>91330</v>
      </c>
      <c r="B1562" s="26" t="s">
        <v>6572</v>
      </c>
      <c r="C1562" s="28" t="s">
        <v>65</v>
      </c>
      <c r="D1562" s="329">
        <v>507.84</v>
      </c>
    </row>
    <row r="1563" spans="1:4" ht="45">
      <c r="A1563" s="47">
        <v>91331</v>
      </c>
      <c r="B1563" s="48" t="s">
        <v>6575</v>
      </c>
      <c r="C1563" s="47" t="s">
        <v>65</v>
      </c>
      <c r="D1563" s="332">
        <v>466.37</v>
      </c>
    </row>
    <row r="1564" spans="1:4" ht="45">
      <c r="A1564" s="28">
        <v>91332</v>
      </c>
      <c r="B1564" s="26" t="s">
        <v>6573</v>
      </c>
      <c r="C1564" s="28" t="s">
        <v>65</v>
      </c>
      <c r="D1564" s="329">
        <v>554.47</v>
      </c>
    </row>
    <row r="1565" spans="1:4" ht="45">
      <c r="A1565" s="47">
        <v>91333</v>
      </c>
      <c r="B1565" s="48" t="s">
        <v>6576</v>
      </c>
      <c r="C1565" s="47" t="s">
        <v>65</v>
      </c>
      <c r="D1565" s="332">
        <v>512.86</v>
      </c>
    </row>
    <row r="1566" spans="1:4" ht="45">
      <c r="A1566" s="28">
        <v>91334</v>
      </c>
      <c r="B1566" s="26" t="s">
        <v>6603</v>
      </c>
      <c r="C1566" s="28" t="s">
        <v>65</v>
      </c>
      <c r="D1566" s="329">
        <v>629.13</v>
      </c>
    </row>
    <row r="1567" spans="1:4" ht="45">
      <c r="A1567" s="47">
        <v>91335</v>
      </c>
      <c r="B1567" s="48" t="s">
        <v>6604</v>
      </c>
      <c r="C1567" s="47" t="s">
        <v>65</v>
      </c>
      <c r="D1567" s="332">
        <v>587.52</v>
      </c>
    </row>
    <row r="1568" spans="1:4" ht="60">
      <c r="A1568" s="28">
        <v>91336</v>
      </c>
      <c r="B1568" s="26" t="s">
        <v>6601</v>
      </c>
      <c r="C1568" s="28" t="s">
        <v>65</v>
      </c>
      <c r="D1568" s="329">
        <v>826.99</v>
      </c>
    </row>
    <row r="1569" spans="1:4" ht="60">
      <c r="A1569" s="47">
        <v>91337</v>
      </c>
      <c r="B1569" s="48" t="s">
        <v>6602</v>
      </c>
      <c r="C1569" s="47" t="s">
        <v>65</v>
      </c>
      <c r="D1569" s="332">
        <v>785.38</v>
      </c>
    </row>
    <row r="1570" spans="1:4" ht="30">
      <c r="A1570" s="28" t="s">
        <v>471</v>
      </c>
      <c r="B1570" s="26" t="s">
        <v>6228</v>
      </c>
      <c r="C1570" s="28" t="s">
        <v>65</v>
      </c>
      <c r="D1570" s="329">
        <v>1272.76</v>
      </c>
    </row>
    <row r="1571" spans="1:4">
      <c r="A1571" s="47">
        <v>84844</v>
      </c>
      <c r="B1571" s="48" t="s">
        <v>6230</v>
      </c>
      <c r="C1571" s="47" t="s">
        <v>256</v>
      </c>
      <c r="D1571" s="332">
        <v>641.08000000000004</v>
      </c>
    </row>
    <row r="1572" spans="1:4">
      <c r="A1572" s="28">
        <v>84845</v>
      </c>
      <c r="B1572" s="26" t="s">
        <v>10917</v>
      </c>
      <c r="C1572" s="28" t="s">
        <v>256</v>
      </c>
      <c r="D1572" s="329">
        <v>543.47</v>
      </c>
    </row>
    <row r="1573" spans="1:4" ht="30">
      <c r="A1573" s="47">
        <v>84846</v>
      </c>
      <c r="B1573" s="48" t="s">
        <v>6232</v>
      </c>
      <c r="C1573" s="47" t="s">
        <v>256</v>
      </c>
      <c r="D1573" s="332">
        <v>754.27</v>
      </c>
    </row>
    <row r="1574" spans="1:4">
      <c r="A1574" s="28">
        <v>84847</v>
      </c>
      <c r="B1574" s="26" t="s">
        <v>6229</v>
      </c>
      <c r="C1574" s="28" t="s">
        <v>256</v>
      </c>
      <c r="D1574" s="329">
        <v>608.22</v>
      </c>
    </row>
    <row r="1575" spans="1:4" ht="30">
      <c r="A1575" s="47">
        <v>84848</v>
      </c>
      <c r="B1575" s="48" t="s">
        <v>6231</v>
      </c>
      <c r="C1575" s="47" t="s">
        <v>256</v>
      </c>
      <c r="D1575" s="332">
        <v>438.86</v>
      </c>
    </row>
    <row r="1576" spans="1:4">
      <c r="A1576" s="28">
        <v>84849</v>
      </c>
      <c r="B1576" s="26" t="s">
        <v>3108</v>
      </c>
      <c r="C1576" s="28" t="s">
        <v>65</v>
      </c>
      <c r="D1576" s="329">
        <v>77.97</v>
      </c>
    </row>
    <row r="1577" spans="1:4" ht="30">
      <c r="A1577" s="47">
        <v>40678</v>
      </c>
      <c r="B1577" s="48" t="s">
        <v>8308</v>
      </c>
      <c r="C1577" s="47" t="s">
        <v>256</v>
      </c>
      <c r="D1577" s="332">
        <v>193.27</v>
      </c>
    </row>
    <row r="1578" spans="1:4">
      <c r="A1578" s="28">
        <v>72140</v>
      </c>
      <c r="B1578" s="26" t="s">
        <v>8283</v>
      </c>
      <c r="C1578" s="28" t="s">
        <v>65</v>
      </c>
      <c r="D1578" s="329">
        <v>239.88</v>
      </c>
    </row>
    <row r="1579" spans="1:4">
      <c r="A1579" s="47" t="s">
        <v>472</v>
      </c>
      <c r="B1579" s="48" t="s">
        <v>8285</v>
      </c>
      <c r="C1579" s="47" t="s">
        <v>256</v>
      </c>
      <c r="D1579" s="332">
        <v>425.75</v>
      </c>
    </row>
    <row r="1580" spans="1:4">
      <c r="A1580" s="28" t="s">
        <v>473</v>
      </c>
      <c r="B1580" s="26" t="s">
        <v>8284</v>
      </c>
      <c r="C1580" s="28" t="s">
        <v>256</v>
      </c>
      <c r="D1580" s="329">
        <v>303.44</v>
      </c>
    </row>
    <row r="1581" spans="1:4">
      <c r="A1581" s="47" t="s">
        <v>474</v>
      </c>
      <c r="B1581" s="48" t="s">
        <v>475</v>
      </c>
      <c r="C1581" s="47" t="s">
        <v>256</v>
      </c>
      <c r="D1581" s="332">
        <v>421.18</v>
      </c>
    </row>
    <row r="1582" spans="1:4">
      <c r="A1582" s="28" t="s">
        <v>476</v>
      </c>
      <c r="B1582" s="26" t="s">
        <v>8282</v>
      </c>
      <c r="C1582" s="28" t="s">
        <v>256</v>
      </c>
      <c r="D1582" s="329">
        <v>400.59</v>
      </c>
    </row>
    <row r="1583" spans="1:4">
      <c r="A1583" s="47" t="s">
        <v>477</v>
      </c>
      <c r="B1583" s="48" t="s">
        <v>1666</v>
      </c>
      <c r="C1583" s="47" t="s">
        <v>65</v>
      </c>
      <c r="D1583" s="332">
        <v>82.73</v>
      </c>
    </row>
    <row r="1584" spans="1:4">
      <c r="A1584" s="28" t="s">
        <v>478</v>
      </c>
      <c r="B1584" s="26" t="s">
        <v>1667</v>
      </c>
      <c r="C1584" s="28" t="s">
        <v>65</v>
      </c>
      <c r="D1584" s="329">
        <v>92.6</v>
      </c>
    </row>
    <row r="1585" spans="1:4">
      <c r="A1585" s="47" t="s">
        <v>479</v>
      </c>
      <c r="B1585" s="48" t="s">
        <v>8275</v>
      </c>
      <c r="C1585" s="47" t="s">
        <v>256</v>
      </c>
      <c r="D1585" s="332">
        <v>537.74</v>
      </c>
    </row>
    <row r="1586" spans="1:4" ht="30">
      <c r="A1586" s="28" t="s">
        <v>480</v>
      </c>
      <c r="B1586" s="26" t="s">
        <v>8274</v>
      </c>
      <c r="C1586" s="28" t="s">
        <v>256</v>
      </c>
      <c r="D1586" s="329">
        <v>453.16</v>
      </c>
    </row>
    <row r="1587" spans="1:4" ht="30">
      <c r="A1587" s="47" t="s">
        <v>481</v>
      </c>
      <c r="B1587" s="48" t="s">
        <v>8273</v>
      </c>
      <c r="C1587" s="47" t="s">
        <v>256</v>
      </c>
      <c r="D1587" s="332">
        <v>314.93</v>
      </c>
    </row>
    <row r="1588" spans="1:4">
      <c r="A1588" s="28">
        <v>84854</v>
      </c>
      <c r="B1588" s="26" t="s">
        <v>2496</v>
      </c>
      <c r="C1588" s="28" t="s">
        <v>71</v>
      </c>
      <c r="D1588" s="329">
        <v>25.63</v>
      </c>
    </row>
    <row r="1589" spans="1:4" ht="30">
      <c r="A1589" s="47">
        <v>94559</v>
      </c>
      <c r="B1589" s="48" t="s">
        <v>6192</v>
      </c>
      <c r="C1589" s="47" t="s">
        <v>256</v>
      </c>
      <c r="D1589" s="332">
        <v>432.66</v>
      </c>
    </row>
    <row r="1590" spans="1:4" ht="30">
      <c r="A1590" s="28">
        <v>94560</v>
      </c>
      <c r="B1590" s="26" t="s">
        <v>6194</v>
      </c>
      <c r="C1590" s="28" t="s">
        <v>256</v>
      </c>
      <c r="D1590" s="329">
        <v>385.15</v>
      </c>
    </row>
    <row r="1591" spans="1:4" ht="30">
      <c r="A1591" s="47">
        <v>94562</v>
      </c>
      <c r="B1591" s="48" t="s">
        <v>6196</v>
      </c>
      <c r="C1591" s="47" t="s">
        <v>256</v>
      </c>
      <c r="D1591" s="332">
        <v>405.3</v>
      </c>
    </row>
    <row r="1592" spans="1:4" ht="30">
      <c r="A1592" s="28">
        <v>94563</v>
      </c>
      <c r="B1592" s="26" t="s">
        <v>6198</v>
      </c>
      <c r="C1592" s="28" t="s">
        <v>256</v>
      </c>
      <c r="D1592" s="329">
        <v>508.58</v>
      </c>
    </row>
    <row r="1593" spans="1:4" ht="30">
      <c r="A1593" s="47">
        <v>94564</v>
      </c>
      <c r="B1593" s="48" t="s">
        <v>6193</v>
      </c>
      <c r="C1593" s="47" t="s">
        <v>256</v>
      </c>
      <c r="D1593" s="332">
        <v>391.57</v>
      </c>
    </row>
    <row r="1594" spans="1:4" ht="30">
      <c r="A1594" s="28">
        <v>94565</v>
      </c>
      <c r="B1594" s="26" t="s">
        <v>6195</v>
      </c>
      <c r="C1594" s="28" t="s">
        <v>256</v>
      </c>
      <c r="D1594" s="329">
        <v>371.74</v>
      </c>
    </row>
    <row r="1595" spans="1:4" ht="30">
      <c r="A1595" s="47">
        <v>94567</v>
      </c>
      <c r="B1595" s="48" t="s">
        <v>6197</v>
      </c>
      <c r="C1595" s="47" t="s">
        <v>256</v>
      </c>
      <c r="D1595" s="332">
        <v>387.44</v>
      </c>
    </row>
    <row r="1596" spans="1:4" ht="30">
      <c r="A1596" s="28">
        <v>94568</v>
      </c>
      <c r="B1596" s="26" t="s">
        <v>6199</v>
      </c>
      <c r="C1596" s="28" t="s">
        <v>256</v>
      </c>
      <c r="D1596" s="329">
        <v>487.51</v>
      </c>
    </row>
    <row r="1597" spans="1:4">
      <c r="A1597" s="47" t="s">
        <v>482</v>
      </c>
      <c r="B1597" s="48" t="s">
        <v>483</v>
      </c>
      <c r="C1597" s="47" t="s">
        <v>256</v>
      </c>
      <c r="D1597" s="332">
        <v>223.08</v>
      </c>
    </row>
    <row r="1598" spans="1:4">
      <c r="A1598" s="28">
        <v>73631</v>
      </c>
      <c r="B1598" s="26" t="s">
        <v>5908</v>
      </c>
      <c r="C1598" s="28" t="s">
        <v>256</v>
      </c>
      <c r="D1598" s="329">
        <v>266.94</v>
      </c>
    </row>
    <row r="1599" spans="1:4">
      <c r="A1599" s="47" t="s">
        <v>484</v>
      </c>
      <c r="B1599" s="48" t="s">
        <v>5905</v>
      </c>
      <c r="C1599" s="47" t="s">
        <v>71</v>
      </c>
      <c r="D1599" s="332">
        <v>265.89</v>
      </c>
    </row>
    <row r="1600" spans="1:4" ht="30">
      <c r="A1600" s="28">
        <v>73665</v>
      </c>
      <c r="B1600" s="26" t="s">
        <v>5102</v>
      </c>
      <c r="C1600" s="28" t="s">
        <v>71</v>
      </c>
      <c r="D1600" s="329">
        <v>51.72</v>
      </c>
    </row>
    <row r="1601" spans="1:4">
      <c r="A1601" s="47">
        <v>73669</v>
      </c>
      <c r="B1601" s="48" t="s">
        <v>4079</v>
      </c>
      <c r="C1601" s="47" t="s">
        <v>71</v>
      </c>
      <c r="D1601" s="332">
        <v>75.209999999999994</v>
      </c>
    </row>
    <row r="1602" spans="1:4">
      <c r="A1602" s="28" t="s">
        <v>485</v>
      </c>
      <c r="B1602" s="26" t="s">
        <v>4083</v>
      </c>
      <c r="C1602" s="28" t="s">
        <v>71</v>
      </c>
      <c r="D1602" s="329">
        <v>53.54</v>
      </c>
    </row>
    <row r="1603" spans="1:4">
      <c r="A1603" s="47" t="s">
        <v>486</v>
      </c>
      <c r="B1603" s="48" t="s">
        <v>4082</v>
      </c>
      <c r="C1603" s="47" t="s">
        <v>71</v>
      </c>
      <c r="D1603" s="332">
        <v>87.96</v>
      </c>
    </row>
    <row r="1604" spans="1:4">
      <c r="A1604" s="28" t="s">
        <v>487</v>
      </c>
      <c r="B1604" s="26" t="s">
        <v>4081</v>
      </c>
      <c r="C1604" s="28" t="s">
        <v>71</v>
      </c>
      <c r="D1604" s="329">
        <v>63.59</v>
      </c>
    </row>
    <row r="1605" spans="1:4">
      <c r="A1605" s="47" t="s">
        <v>488</v>
      </c>
      <c r="B1605" s="48" t="s">
        <v>5103</v>
      </c>
      <c r="C1605" s="47" t="s">
        <v>71</v>
      </c>
      <c r="D1605" s="332">
        <v>197.08</v>
      </c>
    </row>
    <row r="1606" spans="1:4">
      <c r="A1606" s="28">
        <v>84862</v>
      </c>
      <c r="B1606" s="26" t="s">
        <v>5906</v>
      </c>
      <c r="C1606" s="28" t="s">
        <v>71</v>
      </c>
      <c r="D1606" s="329">
        <v>186.4</v>
      </c>
    </row>
    <row r="1607" spans="1:4">
      <c r="A1607" s="47">
        <v>84863</v>
      </c>
      <c r="B1607" s="48" t="s">
        <v>5907</v>
      </c>
      <c r="C1607" s="47" t="s">
        <v>71</v>
      </c>
      <c r="D1607" s="332">
        <v>90.93</v>
      </c>
    </row>
    <row r="1608" spans="1:4" ht="30">
      <c r="A1608" s="28">
        <v>68050</v>
      </c>
      <c r="B1608" s="26" t="s">
        <v>10918</v>
      </c>
      <c r="C1608" s="28" t="s">
        <v>256</v>
      </c>
      <c r="D1608" s="329">
        <v>483.81</v>
      </c>
    </row>
    <row r="1609" spans="1:4">
      <c r="A1609" s="47">
        <v>90838</v>
      </c>
      <c r="B1609" s="48" t="s">
        <v>489</v>
      </c>
      <c r="C1609" s="47" t="s">
        <v>65</v>
      </c>
      <c r="D1609" s="332">
        <v>855.37</v>
      </c>
    </row>
    <row r="1610" spans="1:4" ht="30">
      <c r="A1610" s="28">
        <v>91338</v>
      </c>
      <c r="B1610" s="26" t="s">
        <v>10919</v>
      </c>
      <c r="C1610" s="28" t="s">
        <v>256</v>
      </c>
      <c r="D1610" s="329">
        <v>863.37</v>
      </c>
    </row>
    <row r="1611" spans="1:4" ht="30">
      <c r="A1611" s="47">
        <v>91339</v>
      </c>
      <c r="B1611" s="48" t="s">
        <v>8303</v>
      </c>
      <c r="C1611" s="47" t="s">
        <v>256</v>
      </c>
      <c r="D1611" s="332">
        <v>311.11</v>
      </c>
    </row>
    <row r="1612" spans="1:4" ht="30">
      <c r="A1612" s="28">
        <v>91340</v>
      </c>
      <c r="B1612" s="26" t="s">
        <v>8304</v>
      </c>
      <c r="C1612" s="28" t="s">
        <v>256</v>
      </c>
      <c r="D1612" s="329">
        <v>303.64999999999998</v>
      </c>
    </row>
    <row r="1613" spans="1:4" ht="30">
      <c r="A1613" s="47">
        <v>91341</v>
      </c>
      <c r="B1613" s="48" t="s">
        <v>8307</v>
      </c>
      <c r="C1613" s="47" t="s">
        <v>256</v>
      </c>
      <c r="D1613" s="332">
        <v>649.79</v>
      </c>
    </row>
    <row r="1614" spans="1:4" ht="30">
      <c r="A1614" s="28">
        <v>94805</v>
      </c>
      <c r="B1614" s="26" t="s">
        <v>8276</v>
      </c>
      <c r="C1614" s="28" t="s">
        <v>65</v>
      </c>
      <c r="D1614" s="329">
        <v>924.98</v>
      </c>
    </row>
    <row r="1615" spans="1:4" ht="30">
      <c r="A1615" s="47">
        <v>94806</v>
      </c>
      <c r="B1615" s="48" t="s">
        <v>8305</v>
      </c>
      <c r="C1615" s="47" t="s">
        <v>65</v>
      </c>
      <c r="D1615" s="332">
        <v>372.19</v>
      </c>
    </row>
    <row r="1616" spans="1:4" ht="30">
      <c r="A1616" s="28">
        <v>94807</v>
      </c>
      <c r="B1616" s="26" t="s">
        <v>8306</v>
      </c>
      <c r="C1616" s="28" t="s">
        <v>65</v>
      </c>
      <c r="D1616" s="329">
        <v>444.08</v>
      </c>
    </row>
    <row r="1617" spans="1:4">
      <c r="A1617" s="47" t="s">
        <v>490</v>
      </c>
      <c r="B1617" s="48" t="s">
        <v>5794</v>
      </c>
      <c r="C1617" s="47" t="s">
        <v>71</v>
      </c>
      <c r="D1617" s="332">
        <v>158.29</v>
      </c>
    </row>
    <row r="1618" spans="1:4">
      <c r="A1618" s="28" t="s">
        <v>491</v>
      </c>
      <c r="B1618" s="26" t="s">
        <v>5795</v>
      </c>
      <c r="C1618" s="28" t="s">
        <v>71</v>
      </c>
      <c r="D1618" s="329">
        <v>344.7</v>
      </c>
    </row>
    <row r="1619" spans="1:4">
      <c r="A1619" s="47" t="s">
        <v>492</v>
      </c>
      <c r="B1619" s="48" t="s">
        <v>5796</v>
      </c>
      <c r="C1619" s="47" t="s">
        <v>71</v>
      </c>
      <c r="D1619" s="332">
        <v>404.68</v>
      </c>
    </row>
    <row r="1620" spans="1:4">
      <c r="A1620" s="28">
        <v>85096</v>
      </c>
      <c r="B1620" s="26" t="s">
        <v>5793</v>
      </c>
      <c r="C1620" s="28" t="s">
        <v>256</v>
      </c>
      <c r="D1620" s="329">
        <v>347.2</v>
      </c>
    </row>
    <row r="1621" spans="1:4">
      <c r="A1621" s="47" t="s">
        <v>493</v>
      </c>
      <c r="B1621" s="48" t="s">
        <v>4834</v>
      </c>
      <c r="C1621" s="47" t="s">
        <v>65</v>
      </c>
      <c r="D1621" s="332">
        <v>75.02</v>
      </c>
    </row>
    <row r="1622" spans="1:4" ht="45">
      <c r="A1622" s="28">
        <v>84885</v>
      </c>
      <c r="B1622" s="26" t="s">
        <v>6465</v>
      </c>
      <c r="C1622" s="28" t="s">
        <v>65</v>
      </c>
      <c r="D1622" s="329">
        <v>622.99</v>
      </c>
    </row>
    <row r="1623" spans="1:4">
      <c r="A1623" s="47">
        <v>84886</v>
      </c>
      <c r="B1623" s="48" t="s">
        <v>7441</v>
      </c>
      <c r="C1623" s="47" t="s">
        <v>65</v>
      </c>
      <c r="D1623" s="332">
        <v>1248.19</v>
      </c>
    </row>
    <row r="1624" spans="1:4">
      <c r="A1624" s="28">
        <v>84889</v>
      </c>
      <c r="B1624" s="26" t="s">
        <v>8472</v>
      </c>
      <c r="C1624" s="28" t="s">
        <v>65</v>
      </c>
      <c r="D1624" s="329">
        <v>14.73</v>
      </c>
    </row>
    <row r="1625" spans="1:4">
      <c r="A1625" s="47">
        <v>84891</v>
      </c>
      <c r="B1625" s="48" t="s">
        <v>4204</v>
      </c>
      <c r="C1625" s="47" t="s">
        <v>65</v>
      </c>
      <c r="D1625" s="332">
        <v>154.53</v>
      </c>
    </row>
    <row r="1626" spans="1:4">
      <c r="A1626" s="28" t="s">
        <v>494</v>
      </c>
      <c r="B1626" s="26" t="s">
        <v>495</v>
      </c>
      <c r="C1626" s="28" t="s">
        <v>65</v>
      </c>
      <c r="D1626" s="329">
        <v>28.28</v>
      </c>
    </row>
    <row r="1627" spans="1:4" ht="30">
      <c r="A1627" s="47" t="s">
        <v>496</v>
      </c>
      <c r="B1627" s="48" t="s">
        <v>4829</v>
      </c>
      <c r="C1627" s="47" t="s">
        <v>65</v>
      </c>
      <c r="D1627" s="332">
        <v>21.49</v>
      </c>
    </row>
    <row r="1628" spans="1:4" ht="30">
      <c r="A1628" s="28" t="s">
        <v>497</v>
      </c>
      <c r="B1628" s="26" t="s">
        <v>8264</v>
      </c>
      <c r="C1628" s="28" t="s">
        <v>65</v>
      </c>
      <c r="D1628" s="329">
        <v>122.18</v>
      </c>
    </row>
    <row r="1629" spans="1:4">
      <c r="A1629" s="47">
        <v>84950</v>
      </c>
      <c r="B1629" s="48" t="s">
        <v>5559</v>
      </c>
      <c r="C1629" s="47" t="s">
        <v>65</v>
      </c>
      <c r="D1629" s="332">
        <v>39.909999999999997</v>
      </c>
    </row>
    <row r="1630" spans="1:4">
      <c r="A1630" s="28">
        <v>84952</v>
      </c>
      <c r="B1630" s="26" t="s">
        <v>5558</v>
      </c>
      <c r="C1630" s="28" t="s">
        <v>65</v>
      </c>
      <c r="D1630" s="329">
        <v>30.09</v>
      </c>
    </row>
    <row r="1631" spans="1:4">
      <c r="A1631" s="47">
        <v>72116</v>
      </c>
      <c r="B1631" s="48" t="s">
        <v>498</v>
      </c>
      <c r="C1631" s="47" t="s">
        <v>256</v>
      </c>
      <c r="D1631" s="332">
        <v>69.81</v>
      </c>
    </row>
    <row r="1632" spans="1:4">
      <c r="A1632" s="28">
        <v>72117</v>
      </c>
      <c r="B1632" s="26" t="s">
        <v>499</v>
      </c>
      <c r="C1632" s="28" t="s">
        <v>256</v>
      </c>
      <c r="D1632" s="329">
        <v>89.08</v>
      </c>
    </row>
    <row r="1633" spans="1:4" ht="30">
      <c r="A1633" s="47">
        <v>72118</v>
      </c>
      <c r="B1633" s="48" t="s">
        <v>10835</v>
      </c>
      <c r="C1633" s="47" t="s">
        <v>256</v>
      </c>
      <c r="D1633" s="332">
        <v>92.84</v>
      </c>
    </row>
    <row r="1634" spans="1:4" ht="30">
      <c r="A1634" s="28">
        <v>72119</v>
      </c>
      <c r="B1634" s="26" t="s">
        <v>10836</v>
      </c>
      <c r="C1634" s="28" t="s">
        <v>256</v>
      </c>
      <c r="D1634" s="329">
        <v>115.08</v>
      </c>
    </row>
    <row r="1635" spans="1:4" ht="30">
      <c r="A1635" s="47">
        <v>72120</v>
      </c>
      <c r="B1635" s="48" t="s">
        <v>10834</v>
      </c>
      <c r="C1635" s="47" t="s">
        <v>256</v>
      </c>
      <c r="D1635" s="332">
        <v>143.43</v>
      </c>
    </row>
    <row r="1636" spans="1:4">
      <c r="A1636" s="28">
        <v>72122</v>
      </c>
      <c r="B1636" s="26" t="s">
        <v>500</v>
      </c>
      <c r="C1636" s="28" t="s">
        <v>256</v>
      </c>
      <c r="D1636" s="329">
        <v>76.97</v>
      </c>
    </row>
    <row r="1637" spans="1:4">
      <c r="A1637" s="47">
        <v>72123</v>
      </c>
      <c r="B1637" s="48" t="s">
        <v>501</v>
      </c>
      <c r="C1637" s="47" t="s">
        <v>256</v>
      </c>
      <c r="D1637" s="332">
        <v>199.4</v>
      </c>
    </row>
    <row r="1638" spans="1:4">
      <c r="A1638" s="28" t="s">
        <v>502</v>
      </c>
      <c r="B1638" s="26" t="s">
        <v>8302</v>
      </c>
      <c r="C1638" s="28" t="s">
        <v>65</v>
      </c>
      <c r="D1638" s="329">
        <v>1895.18</v>
      </c>
    </row>
    <row r="1639" spans="1:4">
      <c r="A1639" s="47" t="s">
        <v>503</v>
      </c>
      <c r="B1639" s="48" t="s">
        <v>504</v>
      </c>
      <c r="C1639" s="47" t="s">
        <v>256</v>
      </c>
      <c r="D1639" s="332">
        <v>275.19</v>
      </c>
    </row>
    <row r="1640" spans="1:4" ht="30">
      <c r="A1640" s="28" t="s">
        <v>505</v>
      </c>
      <c r="B1640" s="26" t="s">
        <v>5276</v>
      </c>
      <c r="C1640" s="28" t="s">
        <v>256</v>
      </c>
      <c r="D1640" s="329">
        <v>331.74</v>
      </c>
    </row>
    <row r="1641" spans="1:4">
      <c r="A1641" s="47">
        <v>84957</v>
      </c>
      <c r="B1641" s="48" t="s">
        <v>506</v>
      </c>
      <c r="C1641" s="47" t="s">
        <v>256</v>
      </c>
      <c r="D1641" s="332">
        <v>107.83</v>
      </c>
    </row>
    <row r="1642" spans="1:4">
      <c r="A1642" s="28">
        <v>84959</v>
      </c>
      <c r="B1642" s="26" t="s">
        <v>507</v>
      </c>
      <c r="C1642" s="28" t="s">
        <v>256</v>
      </c>
      <c r="D1642" s="329">
        <v>125.32</v>
      </c>
    </row>
    <row r="1643" spans="1:4">
      <c r="A1643" s="47">
        <v>85001</v>
      </c>
      <c r="B1643" s="48" t="s">
        <v>508</v>
      </c>
      <c r="C1643" s="47" t="s">
        <v>256</v>
      </c>
      <c r="D1643" s="332">
        <v>119.49</v>
      </c>
    </row>
    <row r="1644" spans="1:4">
      <c r="A1644" s="28">
        <v>85002</v>
      </c>
      <c r="B1644" s="26" t="s">
        <v>509</v>
      </c>
      <c r="C1644" s="28" t="s">
        <v>256</v>
      </c>
      <c r="D1644" s="329">
        <v>166.13</v>
      </c>
    </row>
    <row r="1645" spans="1:4">
      <c r="A1645" s="47">
        <v>85004</v>
      </c>
      <c r="B1645" s="48" t="s">
        <v>510</v>
      </c>
      <c r="C1645" s="47" t="s">
        <v>256</v>
      </c>
      <c r="D1645" s="332">
        <v>84.51</v>
      </c>
    </row>
    <row r="1646" spans="1:4">
      <c r="A1646" s="28">
        <v>85005</v>
      </c>
      <c r="B1646" s="26" t="s">
        <v>5277</v>
      </c>
      <c r="C1646" s="28" t="s">
        <v>256</v>
      </c>
      <c r="D1646" s="329">
        <v>245.45</v>
      </c>
    </row>
    <row r="1647" spans="1:4">
      <c r="A1647" s="47">
        <v>68054</v>
      </c>
      <c r="B1647" s="48" t="s">
        <v>8321</v>
      </c>
      <c r="C1647" s="47" t="s">
        <v>256</v>
      </c>
      <c r="D1647" s="332">
        <v>204.29</v>
      </c>
    </row>
    <row r="1648" spans="1:4">
      <c r="A1648" s="28" t="s">
        <v>511</v>
      </c>
      <c r="B1648" s="26" t="s">
        <v>8320</v>
      </c>
      <c r="C1648" s="28" t="s">
        <v>256</v>
      </c>
      <c r="D1648" s="329">
        <v>364.22</v>
      </c>
    </row>
    <row r="1649" spans="1:4" ht="30">
      <c r="A1649" s="47" t="s">
        <v>512</v>
      </c>
      <c r="B1649" s="48" t="s">
        <v>8322</v>
      </c>
      <c r="C1649" s="47" t="s">
        <v>256</v>
      </c>
      <c r="D1649" s="332">
        <v>756.57</v>
      </c>
    </row>
    <row r="1650" spans="1:4" ht="30">
      <c r="A1650" s="28">
        <v>85188</v>
      </c>
      <c r="B1650" s="26" t="s">
        <v>8323</v>
      </c>
      <c r="C1650" s="28" t="s">
        <v>65</v>
      </c>
      <c r="D1650" s="329">
        <v>498.58</v>
      </c>
    </row>
    <row r="1651" spans="1:4" ht="30">
      <c r="A1651" s="47">
        <v>85189</v>
      </c>
      <c r="B1651" s="48" t="s">
        <v>8324</v>
      </c>
      <c r="C1651" s="47" t="s">
        <v>65</v>
      </c>
      <c r="D1651" s="332">
        <v>1023.22</v>
      </c>
    </row>
    <row r="1652" spans="1:4">
      <c r="A1652" s="28">
        <v>85010</v>
      </c>
      <c r="B1652" s="26" t="s">
        <v>3146</v>
      </c>
      <c r="C1652" s="28" t="s">
        <v>256</v>
      </c>
      <c r="D1652" s="329">
        <v>374.83</v>
      </c>
    </row>
    <row r="1653" spans="1:4">
      <c r="A1653" s="47">
        <v>85014</v>
      </c>
      <c r="B1653" s="48" t="s">
        <v>3145</v>
      </c>
      <c r="C1653" s="47" t="s">
        <v>256</v>
      </c>
      <c r="D1653" s="332">
        <v>449.61</v>
      </c>
    </row>
    <row r="1654" spans="1:4" ht="30">
      <c r="A1654" s="28">
        <v>94569</v>
      </c>
      <c r="B1654" s="26" t="s">
        <v>6213</v>
      </c>
      <c r="C1654" s="28" t="s">
        <v>256</v>
      </c>
      <c r="D1654" s="329">
        <v>441.36</v>
      </c>
    </row>
    <row r="1655" spans="1:4" ht="30">
      <c r="A1655" s="47">
        <v>94570</v>
      </c>
      <c r="B1655" s="48" t="s">
        <v>6202</v>
      </c>
      <c r="C1655" s="47" t="s">
        <v>256</v>
      </c>
      <c r="D1655" s="332">
        <v>404.13</v>
      </c>
    </row>
    <row r="1656" spans="1:4" ht="30">
      <c r="A1656" s="28">
        <v>94572</v>
      </c>
      <c r="B1656" s="26" t="s">
        <v>6205</v>
      </c>
      <c r="C1656" s="28" t="s">
        <v>256</v>
      </c>
      <c r="D1656" s="329">
        <v>600.53</v>
      </c>
    </row>
    <row r="1657" spans="1:4" ht="30">
      <c r="A1657" s="47">
        <v>94573</v>
      </c>
      <c r="B1657" s="48" t="s">
        <v>6208</v>
      </c>
      <c r="C1657" s="47" t="s">
        <v>256</v>
      </c>
      <c r="D1657" s="332">
        <v>392.81</v>
      </c>
    </row>
    <row r="1658" spans="1:4" ht="30">
      <c r="A1658" s="28">
        <v>94574</v>
      </c>
      <c r="B1658" s="26" t="s">
        <v>6210</v>
      </c>
      <c r="C1658" s="28" t="s">
        <v>256</v>
      </c>
      <c r="D1658" s="329">
        <v>596.19000000000005</v>
      </c>
    </row>
    <row r="1659" spans="1:4" ht="30">
      <c r="A1659" s="47">
        <v>94575</v>
      </c>
      <c r="B1659" s="48" t="s">
        <v>6214</v>
      </c>
      <c r="C1659" s="47" t="s">
        <v>256</v>
      </c>
      <c r="D1659" s="332">
        <v>474.41</v>
      </c>
    </row>
    <row r="1660" spans="1:4" ht="30">
      <c r="A1660" s="28">
        <v>94576</v>
      </c>
      <c r="B1660" s="26" t="s">
        <v>6203</v>
      </c>
      <c r="C1660" s="28" t="s">
        <v>256</v>
      </c>
      <c r="D1660" s="329">
        <v>413.47</v>
      </c>
    </row>
    <row r="1661" spans="1:4" ht="30">
      <c r="A1661" s="47">
        <v>94578</v>
      </c>
      <c r="B1661" s="48" t="s">
        <v>6206</v>
      </c>
      <c r="C1661" s="47" t="s">
        <v>256</v>
      </c>
      <c r="D1661" s="332">
        <v>610.03</v>
      </c>
    </row>
    <row r="1662" spans="1:4" ht="30">
      <c r="A1662" s="28">
        <v>94579</v>
      </c>
      <c r="B1662" s="26" t="s">
        <v>6209</v>
      </c>
      <c r="C1662" s="28" t="s">
        <v>256</v>
      </c>
      <c r="D1662" s="329">
        <v>402.98</v>
      </c>
    </row>
    <row r="1663" spans="1:4" ht="30">
      <c r="A1663" s="47">
        <v>94580</v>
      </c>
      <c r="B1663" s="48" t="s">
        <v>6211</v>
      </c>
      <c r="C1663" s="47" t="s">
        <v>256</v>
      </c>
      <c r="D1663" s="332">
        <v>606.03</v>
      </c>
    </row>
    <row r="1664" spans="1:4" ht="30">
      <c r="A1664" s="28">
        <v>94581</v>
      </c>
      <c r="B1664" s="26" t="s">
        <v>6212</v>
      </c>
      <c r="C1664" s="28" t="s">
        <v>256</v>
      </c>
      <c r="D1664" s="329">
        <v>471.66</v>
      </c>
    </row>
    <row r="1665" spans="1:4" ht="30">
      <c r="A1665" s="47">
        <v>94582</v>
      </c>
      <c r="B1665" s="48" t="s">
        <v>6201</v>
      </c>
      <c r="C1665" s="47" t="s">
        <v>256</v>
      </c>
      <c r="D1665" s="332">
        <v>412.63</v>
      </c>
    </row>
    <row r="1666" spans="1:4" ht="30">
      <c r="A1666" s="28">
        <v>94584</v>
      </c>
      <c r="B1666" s="26" t="s">
        <v>6204</v>
      </c>
      <c r="C1666" s="28" t="s">
        <v>256</v>
      </c>
      <c r="D1666" s="329">
        <v>614.23</v>
      </c>
    </row>
    <row r="1667" spans="1:4" ht="30">
      <c r="A1667" s="47">
        <v>94585</v>
      </c>
      <c r="B1667" s="48" t="s">
        <v>6207</v>
      </c>
      <c r="C1667" s="47" t="s">
        <v>256</v>
      </c>
      <c r="D1667" s="332">
        <v>401.54</v>
      </c>
    </row>
    <row r="1668" spans="1:4" ht="30">
      <c r="A1668" s="28">
        <v>94586</v>
      </c>
      <c r="B1668" s="26" t="s">
        <v>6200</v>
      </c>
      <c r="C1668" s="28" t="s">
        <v>256</v>
      </c>
      <c r="D1668" s="329">
        <v>611.05999999999995</v>
      </c>
    </row>
    <row r="1669" spans="1:4">
      <c r="A1669" s="47" t="s">
        <v>513</v>
      </c>
      <c r="B1669" s="48" t="s">
        <v>3341</v>
      </c>
      <c r="C1669" s="47" t="s">
        <v>71</v>
      </c>
      <c r="D1669" s="332">
        <v>41.29</v>
      </c>
    </row>
    <row r="1670" spans="1:4">
      <c r="A1670" s="28" t="s">
        <v>514</v>
      </c>
      <c r="B1670" s="26" t="s">
        <v>3340</v>
      </c>
      <c r="C1670" s="28" t="s">
        <v>71</v>
      </c>
      <c r="D1670" s="329">
        <v>30.16</v>
      </c>
    </row>
    <row r="1671" spans="1:4">
      <c r="A1671" s="47">
        <v>85015</v>
      </c>
      <c r="B1671" s="48" t="s">
        <v>515</v>
      </c>
      <c r="C1671" s="47" t="s">
        <v>71</v>
      </c>
      <c r="D1671" s="332">
        <v>17.62</v>
      </c>
    </row>
    <row r="1672" spans="1:4">
      <c r="A1672" s="28">
        <v>85016</v>
      </c>
      <c r="B1672" s="26" t="s">
        <v>516</v>
      </c>
      <c r="C1672" s="28" t="s">
        <v>71</v>
      </c>
      <c r="D1672" s="329">
        <v>21.71</v>
      </c>
    </row>
    <row r="1673" spans="1:4" ht="30">
      <c r="A1673" s="47">
        <v>79475</v>
      </c>
      <c r="B1673" s="48" t="s">
        <v>5107</v>
      </c>
      <c r="C1673" s="47" t="s">
        <v>255</v>
      </c>
      <c r="D1673" s="332">
        <v>478.9</v>
      </c>
    </row>
    <row r="1674" spans="1:4" ht="30">
      <c r="A1674" s="28" t="s">
        <v>517</v>
      </c>
      <c r="B1674" s="26" t="s">
        <v>5284</v>
      </c>
      <c r="C1674" s="28" t="s">
        <v>71</v>
      </c>
      <c r="D1674" s="329">
        <v>36.479999999999997</v>
      </c>
    </row>
    <row r="1675" spans="1:4" ht="45">
      <c r="A1675" s="47">
        <v>89198</v>
      </c>
      <c r="B1675" s="48" t="s">
        <v>10920</v>
      </c>
      <c r="C1675" s="47" t="s">
        <v>71</v>
      </c>
      <c r="D1675" s="332">
        <v>62.69</v>
      </c>
    </row>
    <row r="1676" spans="1:4" ht="45">
      <c r="A1676" s="28">
        <v>89199</v>
      </c>
      <c r="B1676" s="26" t="s">
        <v>10921</v>
      </c>
      <c r="C1676" s="28" t="s">
        <v>71</v>
      </c>
      <c r="D1676" s="329">
        <v>81.87</v>
      </c>
    </row>
    <row r="1677" spans="1:4" ht="45">
      <c r="A1677" s="47">
        <v>89200</v>
      </c>
      <c r="B1677" s="48" t="s">
        <v>10922</v>
      </c>
      <c r="C1677" s="47" t="s">
        <v>71</v>
      </c>
      <c r="D1677" s="332">
        <v>187.19</v>
      </c>
    </row>
    <row r="1678" spans="1:4" ht="45">
      <c r="A1678" s="28">
        <v>89201</v>
      </c>
      <c r="B1678" s="26" t="s">
        <v>10923</v>
      </c>
      <c r="C1678" s="28" t="s">
        <v>71</v>
      </c>
      <c r="D1678" s="329">
        <v>47.93</v>
      </c>
    </row>
    <row r="1679" spans="1:4" ht="45">
      <c r="A1679" s="47">
        <v>89202</v>
      </c>
      <c r="B1679" s="48" t="s">
        <v>10924</v>
      </c>
      <c r="C1679" s="47" t="s">
        <v>71</v>
      </c>
      <c r="D1679" s="332">
        <v>61.35</v>
      </c>
    </row>
    <row r="1680" spans="1:4" ht="45">
      <c r="A1680" s="28">
        <v>89203</v>
      </c>
      <c r="B1680" s="26" t="s">
        <v>10925</v>
      </c>
      <c r="C1680" s="28" t="s">
        <v>71</v>
      </c>
      <c r="D1680" s="329">
        <v>139.04</v>
      </c>
    </row>
    <row r="1681" spans="1:4" ht="45">
      <c r="A1681" s="47">
        <v>89204</v>
      </c>
      <c r="B1681" s="48" t="s">
        <v>10926</v>
      </c>
      <c r="C1681" s="47" t="s">
        <v>71</v>
      </c>
      <c r="D1681" s="332">
        <v>42.64</v>
      </c>
    </row>
    <row r="1682" spans="1:4" ht="45">
      <c r="A1682" s="28">
        <v>89205</v>
      </c>
      <c r="B1682" s="26" t="s">
        <v>10927</v>
      </c>
      <c r="C1682" s="28" t="s">
        <v>71</v>
      </c>
      <c r="D1682" s="329">
        <v>55.2</v>
      </c>
    </row>
    <row r="1683" spans="1:4" ht="45">
      <c r="A1683" s="47">
        <v>89206</v>
      </c>
      <c r="B1683" s="48" t="s">
        <v>10928</v>
      </c>
      <c r="C1683" s="47" t="s">
        <v>71</v>
      </c>
      <c r="D1683" s="332">
        <v>127.73</v>
      </c>
    </row>
    <row r="1684" spans="1:4" ht="45">
      <c r="A1684" s="28">
        <v>90808</v>
      </c>
      <c r="B1684" s="26" t="s">
        <v>10929</v>
      </c>
      <c r="C1684" s="28" t="s">
        <v>71</v>
      </c>
      <c r="D1684" s="329">
        <v>55.81</v>
      </c>
    </row>
    <row r="1685" spans="1:4" ht="45">
      <c r="A1685" s="47">
        <v>90809</v>
      </c>
      <c r="B1685" s="48" t="s">
        <v>10930</v>
      </c>
      <c r="C1685" s="47" t="s">
        <v>71</v>
      </c>
      <c r="D1685" s="332">
        <v>53.86</v>
      </c>
    </row>
    <row r="1686" spans="1:4" ht="45">
      <c r="A1686" s="28">
        <v>90810</v>
      </c>
      <c r="B1686" s="26" t="s">
        <v>10931</v>
      </c>
      <c r="C1686" s="28" t="s">
        <v>71</v>
      </c>
      <c r="D1686" s="329">
        <v>119.27</v>
      </c>
    </row>
    <row r="1687" spans="1:4" ht="45">
      <c r="A1687" s="47">
        <v>90811</v>
      </c>
      <c r="B1687" s="48" t="s">
        <v>10932</v>
      </c>
      <c r="C1687" s="47" t="s">
        <v>71</v>
      </c>
      <c r="D1687" s="332">
        <v>113.42</v>
      </c>
    </row>
    <row r="1688" spans="1:4" ht="45">
      <c r="A1688" s="28">
        <v>90812</v>
      </c>
      <c r="B1688" s="26" t="s">
        <v>10933</v>
      </c>
      <c r="C1688" s="28" t="s">
        <v>71</v>
      </c>
      <c r="D1688" s="329">
        <v>204.9</v>
      </c>
    </row>
    <row r="1689" spans="1:4" ht="45">
      <c r="A1689" s="47">
        <v>90813</v>
      </c>
      <c r="B1689" s="48" t="s">
        <v>10934</v>
      </c>
      <c r="C1689" s="47" t="s">
        <v>71</v>
      </c>
      <c r="D1689" s="332">
        <v>196.87</v>
      </c>
    </row>
    <row r="1690" spans="1:4" ht="45">
      <c r="A1690" s="28">
        <v>90814</v>
      </c>
      <c r="B1690" s="26" t="s">
        <v>10935</v>
      </c>
      <c r="C1690" s="28" t="s">
        <v>71</v>
      </c>
      <c r="D1690" s="329">
        <v>248.16</v>
      </c>
    </row>
    <row r="1691" spans="1:4" ht="45">
      <c r="A1691" s="47">
        <v>90815</v>
      </c>
      <c r="B1691" s="48" t="s">
        <v>10936</v>
      </c>
      <c r="C1691" s="47" t="s">
        <v>71</v>
      </c>
      <c r="D1691" s="332">
        <v>303</v>
      </c>
    </row>
    <row r="1692" spans="1:4" ht="45">
      <c r="A1692" s="28">
        <v>90877</v>
      </c>
      <c r="B1692" s="26" t="s">
        <v>10937</v>
      </c>
      <c r="C1692" s="28" t="s">
        <v>71</v>
      </c>
      <c r="D1692" s="329">
        <v>30.95</v>
      </c>
    </row>
    <row r="1693" spans="1:4" ht="45">
      <c r="A1693" s="47">
        <v>90878</v>
      </c>
      <c r="B1693" s="48" t="s">
        <v>10938</v>
      </c>
      <c r="C1693" s="47" t="s">
        <v>71</v>
      </c>
      <c r="D1693" s="332">
        <v>29.81</v>
      </c>
    </row>
    <row r="1694" spans="1:4" ht="45">
      <c r="A1694" s="28">
        <v>90880</v>
      </c>
      <c r="B1694" s="26" t="s">
        <v>10939</v>
      </c>
      <c r="C1694" s="28" t="s">
        <v>71</v>
      </c>
      <c r="D1694" s="329">
        <v>40.64</v>
      </c>
    </row>
    <row r="1695" spans="1:4" ht="45">
      <c r="A1695" s="47">
        <v>90881</v>
      </c>
      <c r="B1695" s="48" t="s">
        <v>10940</v>
      </c>
      <c r="C1695" s="47" t="s">
        <v>71</v>
      </c>
      <c r="D1695" s="332">
        <v>37.6</v>
      </c>
    </row>
    <row r="1696" spans="1:4" ht="45">
      <c r="A1696" s="28">
        <v>90883</v>
      </c>
      <c r="B1696" s="26" t="s">
        <v>10941</v>
      </c>
      <c r="C1696" s="28" t="s">
        <v>71</v>
      </c>
      <c r="D1696" s="329">
        <v>56.01</v>
      </c>
    </row>
    <row r="1697" spans="1:4" ht="45">
      <c r="A1697" s="47">
        <v>90884</v>
      </c>
      <c r="B1697" s="48" t="s">
        <v>10942</v>
      </c>
      <c r="C1697" s="47" t="s">
        <v>71</v>
      </c>
      <c r="D1697" s="332">
        <v>54.69</v>
      </c>
    </row>
    <row r="1698" spans="1:4" ht="45">
      <c r="A1698" s="28">
        <v>90885</v>
      </c>
      <c r="B1698" s="26" t="s">
        <v>10943</v>
      </c>
      <c r="C1698" s="28" t="s">
        <v>71</v>
      </c>
      <c r="D1698" s="329">
        <v>54.1</v>
      </c>
    </row>
    <row r="1699" spans="1:4" ht="45">
      <c r="A1699" s="47">
        <v>90886</v>
      </c>
      <c r="B1699" s="48" t="s">
        <v>10944</v>
      </c>
      <c r="C1699" s="47" t="s">
        <v>71</v>
      </c>
      <c r="D1699" s="332">
        <v>111.69</v>
      </c>
    </row>
    <row r="1700" spans="1:4" ht="45">
      <c r="A1700" s="28">
        <v>90887</v>
      </c>
      <c r="B1700" s="26" t="s">
        <v>10945</v>
      </c>
      <c r="C1700" s="28" t="s">
        <v>71</v>
      </c>
      <c r="D1700" s="329">
        <v>110.19</v>
      </c>
    </row>
    <row r="1701" spans="1:4" ht="45">
      <c r="A1701" s="47">
        <v>90888</v>
      </c>
      <c r="B1701" s="48" t="s">
        <v>10946</v>
      </c>
      <c r="C1701" s="47" t="s">
        <v>71</v>
      </c>
      <c r="D1701" s="332">
        <v>109.54</v>
      </c>
    </row>
    <row r="1702" spans="1:4" ht="45">
      <c r="A1702" s="28">
        <v>90889</v>
      </c>
      <c r="B1702" s="26" t="s">
        <v>10947</v>
      </c>
      <c r="C1702" s="28" t="s">
        <v>71</v>
      </c>
      <c r="D1702" s="329">
        <v>131.91</v>
      </c>
    </row>
    <row r="1703" spans="1:4" ht="45">
      <c r="A1703" s="47">
        <v>90890</v>
      </c>
      <c r="B1703" s="48" t="s">
        <v>10948</v>
      </c>
      <c r="C1703" s="47" t="s">
        <v>71</v>
      </c>
      <c r="D1703" s="332">
        <v>129.59</v>
      </c>
    </row>
    <row r="1704" spans="1:4" ht="45">
      <c r="A1704" s="28">
        <v>90891</v>
      </c>
      <c r="B1704" s="26" t="s">
        <v>10949</v>
      </c>
      <c r="C1704" s="28" t="s">
        <v>71</v>
      </c>
      <c r="D1704" s="329">
        <v>128.55000000000001</v>
      </c>
    </row>
    <row r="1705" spans="1:4" ht="30">
      <c r="A1705" s="47">
        <v>95601</v>
      </c>
      <c r="B1705" s="48" t="s">
        <v>10950</v>
      </c>
      <c r="C1705" s="47" t="s">
        <v>65</v>
      </c>
      <c r="D1705" s="332">
        <v>15.8</v>
      </c>
    </row>
    <row r="1706" spans="1:4" ht="30">
      <c r="A1706" s="28">
        <v>95602</v>
      </c>
      <c r="B1706" s="26" t="s">
        <v>10951</v>
      </c>
      <c r="C1706" s="28" t="s">
        <v>65</v>
      </c>
      <c r="D1706" s="329">
        <v>20.149999999999999</v>
      </c>
    </row>
    <row r="1707" spans="1:4" ht="30">
      <c r="A1707" s="47">
        <v>95603</v>
      </c>
      <c r="B1707" s="48" t="s">
        <v>10952</v>
      </c>
      <c r="C1707" s="47" t="s">
        <v>65</v>
      </c>
      <c r="D1707" s="332">
        <v>26.45</v>
      </c>
    </row>
    <row r="1708" spans="1:4" ht="30">
      <c r="A1708" s="28">
        <v>95604</v>
      </c>
      <c r="B1708" s="26" t="s">
        <v>10953</v>
      </c>
      <c r="C1708" s="28" t="s">
        <v>65</v>
      </c>
      <c r="D1708" s="329">
        <v>34.82</v>
      </c>
    </row>
    <row r="1709" spans="1:4" ht="30">
      <c r="A1709" s="47">
        <v>95605</v>
      </c>
      <c r="B1709" s="48" t="s">
        <v>10954</v>
      </c>
      <c r="C1709" s="47" t="s">
        <v>65</v>
      </c>
      <c r="D1709" s="332">
        <v>54.58</v>
      </c>
    </row>
    <row r="1710" spans="1:4">
      <c r="A1710" s="28">
        <v>95607</v>
      </c>
      <c r="B1710" s="26" t="s">
        <v>10955</v>
      </c>
      <c r="C1710" s="28" t="s">
        <v>65</v>
      </c>
      <c r="D1710" s="329">
        <v>4.05</v>
      </c>
    </row>
    <row r="1711" spans="1:4">
      <c r="A1711" s="47">
        <v>95608</v>
      </c>
      <c r="B1711" s="48" t="s">
        <v>10956</v>
      </c>
      <c r="C1711" s="47" t="s">
        <v>65</v>
      </c>
      <c r="D1711" s="332">
        <v>4.67</v>
      </c>
    </row>
    <row r="1712" spans="1:4">
      <c r="A1712" s="28">
        <v>95609</v>
      </c>
      <c r="B1712" s="26" t="s">
        <v>10957</v>
      </c>
      <c r="C1712" s="28" t="s">
        <v>65</v>
      </c>
      <c r="D1712" s="329">
        <v>5.21</v>
      </c>
    </row>
    <row r="1713" spans="1:4" ht="30">
      <c r="A1713" s="47">
        <v>83534</v>
      </c>
      <c r="B1713" s="48" t="s">
        <v>6695</v>
      </c>
      <c r="C1713" s="47" t="s">
        <v>255</v>
      </c>
      <c r="D1713" s="332">
        <v>432.64</v>
      </c>
    </row>
    <row r="1714" spans="1:4" ht="30">
      <c r="A1714" s="28">
        <v>95240</v>
      </c>
      <c r="B1714" s="26" t="s">
        <v>6693</v>
      </c>
      <c r="C1714" s="28" t="s">
        <v>256</v>
      </c>
      <c r="D1714" s="329">
        <v>10.72</v>
      </c>
    </row>
    <row r="1715" spans="1:4" ht="30">
      <c r="A1715" s="47">
        <v>95241</v>
      </c>
      <c r="B1715" s="48" t="s">
        <v>6694</v>
      </c>
      <c r="C1715" s="47" t="s">
        <v>256</v>
      </c>
      <c r="D1715" s="332">
        <v>17.87</v>
      </c>
    </row>
    <row r="1716" spans="1:4">
      <c r="A1716" s="28">
        <v>5651</v>
      </c>
      <c r="B1716" s="26" t="s">
        <v>5643</v>
      </c>
      <c r="C1716" s="28" t="s">
        <v>256</v>
      </c>
      <c r="D1716" s="329">
        <v>30.37</v>
      </c>
    </row>
    <row r="1717" spans="1:4">
      <c r="A1717" s="47">
        <v>5970</v>
      </c>
      <c r="B1717" s="48" t="s">
        <v>5644</v>
      </c>
      <c r="C1717" s="47" t="s">
        <v>256</v>
      </c>
      <c r="D1717" s="332">
        <v>52.41</v>
      </c>
    </row>
    <row r="1718" spans="1:4">
      <c r="A1718" s="28" t="s">
        <v>519</v>
      </c>
      <c r="B1718" s="26" t="s">
        <v>5638</v>
      </c>
      <c r="C1718" s="28" t="s">
        <v>256</v>
      </c>
      <c r="D1718" s="329">
        <v>23.98</v>
      </c>
    </row>
    <row r="1719" spans="1:4">
      <c r="A1719" s="47" t="s">
        <v>520</v>
      </c>
      <c r="B1719" s="48" t="s">
        <v>5642</v>
      </c>
      <c r="C1719" s="47" t="s">
        <v>256</v>
      </c>
      <c r="D1719" s="332">
        <v>74.64</v>
      </c>
    </row>
    <row r="1720" spans="1:4">
      <c r="A1720" s="28" t="s">
        <v>521</v>
      </c>
      <c r="B1720" s="26" t="s">
        <v>5640</v>
      </c>
      <c r="C1720" s="28" t="s">
        <v>256</v>
      </c>
      <c r="D1720" s="329">
        <v>38.31</v>
      </c>
    </row>
    <row r="1721" spans="1:4">
      <c r="A1721" s="47" t="s">
        <v>522</v>
      </c>
      <c r="B1721" s="48" t="s">
        <v>5641</v>
      </c>
      <c r="C1721" s="47" t="s">
        <v>256</v>
      </c>
      <c r="D1721" s="332">
        <v>27.8</v>
      </c>
    </row>
    <row r="1722" spans="1:4">
      <c r="A1722" s="28" t="s">
        <v>523</v>
      </c>
      <c r="B1722" s="26" t="s">
        <v>5639</v>
      </c>
      <c r="C1722" s="28" t="s">
        <v>256</v>
      </c>
      <c r="D1722" s="329">
        <v>19.940000000000001</v>
      </c>
    </row>
    <row r="1723" spans="1:4" ht="30">
      <c r="A1723" s="47">
        <v>90996</v>
      </c>
      <c r="B1723" s="48" t="s">
        <v>5645</v>
      </c>
      <c r="C1723" s="47" t="s">
        <v>256</v>
      </c>
      <c r="D1723" s="332">
        <v>10.17</v>
      </c>
    </row>
    <row r="1724" spans="1:4" ht="30">
      <c r="A1724" s="28">
        <v>90997</v>
      </c>
      <c r="B1724" s="26" t="s">
        <v>5646</v>
      </c>
      <c r="C1724" s="28" t="s">
        <v>256</v>
      </c>
      <c r="D1724" s="329">
        <v>13.73</v>
      </c>
    </row>
    <row r="1725" spans="1:4" ht="30">
      <c r="A1725" s="47">
        <v>90998</v>
      </c>
      <c r="B1725" s="48" t="s">
        <v>5647</v>
      </c>
      <c r="C1725" s="47" t="s">
        <v>256</v>
      </c>
      <c r="D1725" s="332">
        <v>16.52</v>
      </c>
    </row>
    <row r="1726" spans="1:4" ht="30">
      <c r="A1726" s="28">
        <v>91000</v>
      </c>
      <c r="B1726" s="26" t="s">
        <v>5648</v>
      </c>
      <c r="C1726" s="28" t="s">
        <v>256</v>
      </c>
      <c r="D1726" s="329">
        <v>12.67</v>
      </c>
    </row>
    <row r="1727" spans="1:4" ht="30">
      <c r="A1727" s="47">
        <v>91002</v>
      </c>
      <c r="B1727" s="48" t="s">
        <v>5650</v>
      </c>
      <c r="C1727" s="47" t="s">
        <v>256</v>
      </c>
      <c r="D1727" s="332">
        <v>11.67</v>
      </c>
    </row>
    <row r="1728" spans="1:4" ht="45">
      <c r="A1728" s="28">
        <v>91003</v>
      </c>
      <c r="B1728" s="26" t="s">
        <v>5649</v>
      </c>
      <c r="C1728" s="28" t="s">
        <v>256</v>
      </c>
      <c r="D1728" s="329">
        <v>13.48</v>
      </c>
    </row>
    <row r="1729" spans="1:4" ht="30">
      <c r="A1729" s="47">
        <v>91004</v>
      </c>
      <c r="B1729" s="48" t="s">
        <v>5651</v>
      </c>
      <c r="C1729" s="47" t="s">
        <v>256</v>
      </c>
      <c r="D1729" s="332">
        <v>10.61</v>
      </c>
    </row>
    <row r="1730" spans="1:4" ht="30">
      <c r="A1730" s="28">
        <v>91005</v>
      </c>
      <c r="B1730" s="26" t="s">
        <v>5652</v>
      </c>
      <c r="C1730" s="28" t="s">
        <v>256</v>
      </c>
      <c r="D1730" s="329">
        <v>12.7</v>
      </c>
    </row>
    <row r="1731" spans="1:4" ht="30">
      <c r="A1731" s="47">
        <v>91006</v>
      </c>
      <c r="B1731" s="48" t="s">
        <v>5653</v>
      </c>
      <c r="C1731" s="47" t="s">
        <v>256</v>
      </c>
      <c r="D1731" s="332">
        <v>9.82</v>
      </c>
    </row>
    <row r="1732" spans="1:4" ht="30">
      <c r="A1732" s="28">
        <v>91007</v>
      </c>
      <c r="B1732" s="26" t="s">
        <v>5655</v>
      </c>
      <c r="C1732" s="28" t="s">
        <v>256</v>
      </c>
      <c r="D1732" s="329">
        <v>8.82</v>
      </c>
    </row>
    <row r="1733" spans="1:4" ht="30">
      <c r="A1733" s="47">
        <v>91008</v>
      </c>
      <c r="B1733" s="48" t="s">
        <v>5654</v>
      </c>
      <c r="C1733" s="47" t="s">
        <v>256</v>
      </c>
      <c r="D1733" s="332">
        <v>10.62</v>
      </c>
    </row>
    <row r="1734" spans="1:4" ht="30">
      <c r="A1734" s="28">
        <v>92263</v>
      </c>
      <c r="B1734" s="26" t="s">
        <v>5468</v>
      </c>
      <c r="C1734" s="28" t="s">
        <v>256</v>
      </c>
      <c r="D1734" s="329">
        <v>74.27</v>
      </c>
    </row>
    <row r="1735" spans="1:4" ht="30">
      <c r="A1735" s="47">
        <v>92264</v>
      </c>
      <c r="B1735" s="48" t="s">
        <v>5467</v>
      </c>
      <c r="C1735" s="47" t="s">
        <v>256</v>
      </c>
      <c r="D1735" s="332">
        <v>94.04</v>
      </c>
    </row>
    <row r="1736" spans="1:4" ht="30">
      <c r="A1736" s="28">
        <v>92265</v>
      </c>
      <c r="B1736" s="26" t="s">
        <v>5472</v>
      </c>
      <c r="C1736" s="28" t="s">
        <v>256</v>
      </c>
      <c r="D1736" s="329">
        <v>53.15</v>
      </c>
    </row>
    <row r="1737" spans="1:4" ht="30">
      <c r="A1737" s="47">
        <v>92266</v>
      </c>
      <c r="B1737" s="48" t="s">
        <v>5471</v>
      </c>
      <c r="C1737" s="47" t="s">
        <v>256</v>
      </c>
      <c r="D1737" s="332">
        <v>70.77</v>
      </c>
    </row>
    <row r="1738" spans="1:4" ht="30">
      <c r="A1738" s="28">
        <v>92267</v>
      </c>
      <c r="B1738" s="26" t="s">
        <v>5465</v>
      </c>
      <c r="C1738" s="28" t="s">
        <v>256</v>
      </c>
      <c r="D1738" s="329">
        <v>18.63</v>
      </c>
    </row>
    <row r="1739" spans="1:4" ht="30">
      <c r="A1739" s="47">
        <v>92268</v>
      </c>
      <c r="B1739" s="48" t="s">
        <v>5464</v>
      </c>
      <c r="C1739" s="47" t="s">
        <v>256</v>
      </c>
      <c r="D1739" s="332">
        <v>34.19</v>
      </c>
    </row>
    <row r="1740" spans="1:4" ht="30">
      <c r="A1740" s="28">
        <v>92269</v>
      </c>
      <c r="B1740" s="26" t="s">
        <v>5469</v>
      </c>
      <c r="C1740" s="28" t="s">
        <v>256</v>
      </c>
      <c r="D1740" s="329">
        <v>63.92</v>
      </c>
    </row>
    <row r="1741" spans="1:4">
      <c r="A1741" s="47">
        <v>92270</v>
      </c>
      <c r="B1741" s="48" t="s">
        <v>5470</v>
      </c>
      <c r="C1741" s="47" t="s">
        <v>256</v>
      </c>
      <c r="D1741" s="332">
        <v>52.99</v>
      </c>
    </row>
    <row r="1742" spans="1:4">
      <c r="A1742" s="28">
        <v>92271</v>
      </c>
      <c r="B1742" s="26" t="s">
        <v>5466</v>
      </c>
      <c r="C1742" s="28" t="s">
        <v>256</v>
      </c>
      <c r="D1742" s="329">
        <v>39.770000000000003</v>
      </c>
    </row>
    <row r="1743" spans="1:4">
      <c r="A1743" s="47">
        <v>92272</v>
      </c>
      <c r="B1743" s="48" t="s">
        <v>524</v>
      </c>
      <c r="C1743" s="47" t="s">
        <v>71</v>
      </c>
      <c r="D1743" s="332">
        <v>20.39</v>
      </c>
    </row>
    <row r="1744" spans="1:4">
      <c r="A1744" s="28">
        <v>92273</v>
      </c>
      <c r="B1744" s="26" t="s">
        <v>525</v>
      </c>
      <c r="C1744" s="28" t="s">
        <v>71</v>
      </c>
      <c r="D1744" s="329">
        <v>9.6</v>
      </c>
    </row>
    <row r="1745" spans="1:4" ht="45">
      <c r="A1745" s="47">
        <v>92408</v>
      </c>
      <c r="B1745" s="48" t="s">
        <v>7541</v>
      </c>
      <c r="C1745" s="47" t="s">
        <v>256</v>
      </c>
      <c r="D1745" s="332">
        <v>131.32</v>
      </c>
    </row>
    <row r="1746" spans="1:4" ht="45">
      <c r="A1746" s="28">
        <v>92409</v>
      </c>
      <c r="B1746" s="26" t="s">
        <v>7522</v>
      </c>
      <c r="C1746" s="28" t="s">
        <v>256</v>
      </c>
      <c r="D1746" s="329">
        <v>123.65</v>
      </c>
    </row>
    <row r="1747" spans="1:4" ht="45">
      <c r="A1747" s="47">
        <v>92410</v>
      </c>
      <c r="B1747" s="48" t="s">
        <v>7542</v>
      </c>
      <c r="C1747" s="47" t="s">
        <v>256</v>
      </c>
      <c r="D1747" s="332">
        <v>92.29</v>
      </c>
    </row>
    <row r="1748" spans="1:4" ht="45">
      <c r="A1748" s="28">
        <v>92411</v>
      </c>
      <c r="B1748" s="26" t="s">
        <v>7523</v>
      </c>
      <c r="C1748" s="28" t="s">
        <v>256</v>
      </c>
      <c r="D1748" s="329">
        <v>85.51</v>
      </c>
    </row>
    <row r="1749" spans="1:4" ht="45">
      <c r="A1749" s="47">
        <v>92412</v>
      </c>
      <c r="B1749" s="48" t="s">
        <v>7543</v>
      </c>
      <c r="C1749" s="47" t="s">
        <v>256</v>
      </c>
      <c r="D1749" s="332">
        <v>62.6</v>
      </c>
    </row>
    <row r="1750" spans="1:4" ht="45">
      <c r="A1750" s="28">
        <v>92413</v>
      </c>
      <c r="B1750" s="26" t="s">
        <v>7524</v>
      </c>
      <c r="C1750" s="28" t="s">
        <v>256</v>
      </c>
      <c r="D1750" s="329">
        <v>57.37</v>
      </c>
    </row>
    <row r="1751" spans="1:4" ht="45">
      <c r="A1751" s="47">
        <v>92414</v>
      </c>
      <c r="B1751" s="48" t="s">
        <v>7537</v>
      </c>
      <c r="C1751" s="47" t="s">
        <v>256</v>
      </c>
      <c r="D1751" s="332">
        <v>74.8</v>
      </c>
    </row>
    <row r="1752" spans="1:4" ht="45">
      <c r="A1752" s="28">
        <v>92415</v>
      </c>
      <c r="B1752" s="26" t="s">
        <v>7518</v>
      </c>
      <c r="C1752" s="28" t="s">
        <v>256</v>
      </c>
      <c r="D1752" s="329">
        <v>68.02</v>
      </c>
    </row>
    <row r="1753" spans="1:4" ht="45">
      <c r="A1753" s="47">
        <v>92416</v>
      </c>
      <c r="B1753" s="48" t="s">
        <v>7529</v>
      </c>
      <c r="C1753" s="47" t="s">
        <v>256</v>
      </c>
      <c r="D1753" s="332">
        <v>88.75</v>
      </c>
    </row>
    <row r="1754" spans="1:4" ht="45">
      <c r="A1754" s="28">
        <v>92417</v>
      </c>
      <c r="B1754" s="26" t="s">
        <v>7510</v>
      </c>
      <c r="C1754" s="28" t="s">
        <v>256</v>
      </c>
      <c r="D1754" s="329">
        <v>81.99</v>
      </c>
    </row>
    <row r="1755" spans="1:4" ht="45">
      <c r="A1755" s="47">
        <v>92418</v>
      </c>
      <c r="B1755" s="48" t="s">
        <v>7538</v>
      </c>
      <c r="C1755" s="47" t="s">
        <v>256</v>
      </c>
      <c r="D1755" s="332">
        <v>48.79</v>
      </c>
    </row>
    <row r="1756" spans="1:4" ht="45">
      <c r="A1756" s="28">
        <v>92419</v>
      </c>
      <c r="B1756" s="26" t="s">
        <v>7519</v>
      </c>
      <c r="C1756" s="28" t="s">
        <v>256</v>
      </c>
      <c r="D1756" s="329">
        <v>43.59</v>
      </c>
    </row>
    <row r="1757" spans="1:4" ht="45">
      <c r="A1757" s="47">
        <v>92420</v>
      </c>
      <c r="B1757" s="48" t="s">
        <v>7530</v>
      </c>
      <c r="C1757" s="47" t="s">
        <v>256</v>
      </c>
      <c r="D1757" s="332">
        <v>59.51</v>
      </c>
    </row>
    <row r="1758" spans="1:4" ht="45">
      <c r="A1758" s="28">
        <v>92421</v>
      </c>
      <c r="B1758" s="26" t="s">
        <v>7511</v>
      </c>
      <c r="C1758" s="28" t="s">
        <v>256</v>
      </c>
      <c r="D1758" s="329">
        <v>54.3</v>
      </c>
    </row>
    <row r="1759" spans="1:4" ht="45">
      <c r="A1759" s="47">
        <v>92422</v>
      </c>
      <c r="B1759" s="48" t="s">
        <v>7539</v>
      </c>
      <c r="C1759" s="47" t="s">
        <v>256</v>
      </c>
      <c r="D1759" s="332">
        <v>40.340000000000003</v>
      </c>
    </row>
    <row r="1760" spans="1:4" ht="45">
      <c r="A1760" s="28">
        <v>92423</v>
      </c>
      <c r="B1760" s="26" t="s">
        <v>7520</v>
      </c>
      <c r="C1760" s="28" t="s">
        <v>256</v>
      </c>
      <c r="D1760" s="329">
        <v>35.83</v>
      </c>
    </row>
    <row r="1761" spans="1:4" ht="45">
      <c r="A1761" s="47">
        <v>92424</v>
      </c>
      <c r="B1761" s="48" t="s">
        <v>7531</v>
      </c>
      <c r="C1761" s="47" t="s">
        <v>256</v>
      </c>
      <c r="D1761" s="332">
        <v>49.68</v>
      </c>
    </row>
    <row r="1762" spans="1:4" ht="45">
      <c r="A1762" s="28">
        <v>92425</v>
      </c>
      <c r="B1762" s="26" t="s">
        <v>7512</v>
      </c>
      <c r="C1762" s="28" t="s">
        <v>256</v>
      </c>
      <c r="D1762" s="329">
        <v>45.15</v>
      </c>
    </row>
    <row r="1763" spans="1:4" ht="45">
      <c r="A1763" s="47">
        <v>92426</v>
      </c>
      <c r="B1763" s="48" t="s">
        <v>7540</v>
      </c>
      <c r="C1763" s="47" t="s">
        <v>256</v>
      </c>
      <c r="D1763" s="332">
        <v>36.090000000000003</v>
      </c>
    </row>
    <row r="1764" spans="1:4" ht="45">
      <c r="A1764" s="28">
        <v>92427</v>
      </c>
      <c r="B1764" s="26" t="s">
        <v>7521</v>
      </c>
      <c r="C1764" s="28" t="s">
        <v>256</v>
      </c>
      <c r="D1764" s="329">
        <v>31.91</v>
      </c>
    </row>
    <row r="1765" spans="1:4" ht="45">
      <c r="A1765" s="47">
        <v>92428</v>
      </c>
      <c r="B1765" s="48" t="s">
        <v>7532</v>
      </c>
      <c r="C1765" s="47" t="s">
        <v>256</v>
      </c>
      <c r="D1765" s="332">
        <v>44.73</v>
      </c>
    </row>
    <row r="1766" spans="1:4" ht="45">
      <c r="A1766" s="28">
        <v>92429</v>
      </c>
      <c r="B1766" s="26" t="s">
        <v>7513</v>
      </c>
      <c r="C1766" s="28" t="s">
        <v>256</v>
      </c>
      <c r="D1766" s="329">
        <v>40.54</v>
      </c>
    </row>
    <row r="1767" spans="1:4" ht="45">
      <c r="A1767" s="47">
        <v>92430</v>
      </c>
      <c r="B1767" s="48" t="s">
        <v>7533</v>
      </c>
      <c r="C1767" s="47" t="s">
        <v>256</v>
      </c>
      <c r="D1767" s="332">
        <v>33.93</v>
      </c>
    </row>
    <row r="1768" spans="1:4" ht="45">
      <c r="A1768" s="28">
        <v>92431</v>
      </c>
      <c r="B1768" s="26" t="s">
        <v>7514</v>
      </c>
      <c r="C1768" s="28" t="s">
        <v>256</v>
      </c>
      <c r="D1768" s="329">
        <v>29.95</v>
      </c>
    </row>
    <row r="1769" spans="1:4" ht="45">
      <c r="A1769" s="47">
        <v>92432</v>
      </c>
      <c r="B1769" s="48" t="s">
        <v>7525</v>
      </c>
      <c r="C1769" s="47" t="s">
        <v>256</v>
      </c>
      <c r="D1769" s="332">
        <v>42.13</v>
      </c>
    </row>
    <row r="1770" spans="1:4" ht="45">
      <c r="A1770" s="28">
        <v>92433</v>
      </c>
      <c r="B1770" s="26" t="s">
        <v>7506</v>
      </c>
      <c r="C1770" s="28" t="s">
        <v>256</v>
      </c>
      <c r="D1770" s="329">
        <v>38.15</v>
      </c>
    </row>
    <row r="1771" spans="1:4" ht="45">
      <c r="A1771" s="47">
        <v>92434</v>
      </c>
      <c r="B1771" s="48" t="s">
        <v>7534</v>
      </c>
      <c r="C1771" s="47" t="s">
        <v>256</v>
      </c>
      <c r="D1771" s="332">
        <v>32.33</v>
      </c>
    </row>
    <row r="1772" spans="1:4" ht="45">
      <c r="A1772" s="28">
        <v>92435</v>
      </c>
      <c r="B1772" s="26" t="s">
        <v>7515</v>
      </c>
      <c r="C1772" s="28" t="s">
        <v>256</v>
      </c>
      <c r="D1772" s="329">
        <v>28.48</v>
      </c>
    </row>
    <row r="1773" spans="1:4" ht="45">
      <c r="A1773" s="47">
        <v>92436</v>
      </c>
      <c r="B1773" s="48" t="s">
        <v>7526</v>
      </c>
      <c r="C1773" s="47" t="s">
        <v>256</v>
      </c>
      <c r="D1773" s="332">
        <v>40.229999999999997</v>
      </c>
    </row>
    <row r="1774" spans="1:4" ht="45">
      <c r="A1774" s="28">
        <v>92437</v>
      </c>
      <c r="B1774" s="26" t="s">
        <v>7507</v>
      </c>
      <c r="C1774" s="28" t="s">
        <v>256</v>
      </c>
      <c r="D1774" s="329">
        <v>36.4</v>
      </c>
    </row>
    <row r="1775" spans="1:4" ht="45">
      <c r="A1775" s="47">
        <v>92438</v>
      </c>
      <c r="B1775" s="48" t="s">
        <v>7535</v>
      </c>
      <c r="C1775" s="47" t="s">
        <v>256</v>
      </c>
      <c r="D1775" s="332">
        <v>31.17</v>
      </c>
    </row>
    <row r="1776" spans="1:4" ht="45">
      <c r="A1776" s="28">
        <v>92439</v>
      </c>
      <c r="B1776" s="26" t="s">
        <v>7516</v>
      </c>
      <c r="C1776" s="28" t="s">
        <v>256</v>
      </c>
      <c r="D1776" s="329">
        <v>27.42</v>
      </c>
    </row>
    <row r="1777" spans="1:4" ht="45">
      <c r="A1777" s="47">
        <v>92440</v>
      </c>
      <c r="B1777" s="48" t="s">
        <v>7527</v>
      </c>
      <c r="C1777" s="47" t="s">
        <v>256</v>
      </c>
      <c r="D1777" s="332">
        <v>38.86</v>
      </c>
    </row>
    <row r="1778" spans="1:4" ht="45">
      <c r="A1778" s="28">
        <v>92441</v>
      </c>
      <c r="B1778" s="26" t="s">
        <v>7508</v>
      </c>
      <c r="C1778" s="28" t="s">
        <v>256</v>
      </c>
      <c r="D1778" s="329">
        <v>35.14</v>
      </c>
    </row>
    <row r="1779" spans="1:4" ht="45">
      <c r="A1779" s="47">
        <v>92442</v>
      </c>
      <c r="B1779" s="48" t="s">
        <v>7536</v>
      </c>
      <c r="C1779" s="47" t="s">
        <v>256</v>
      </c>
      <c r="D1779" s="332">
        <v>28.83</v>
      </c>
    </row>
    <row r="1780" spans="1:4" ht="45">
      <c r="A1780" s="28">
        <v>92443</v>
      </c>
      <c r="B1780" s="26" t="s">
        <v>7517</v>
      </c>
      <c r="C1780" s="28" t="s">
        <v>256</v>
      </c>
      <c r="D1780" s="329">
        <v>25.21</v>
      </c>
    </row>
    <row r="1781" spans="1:4" ht="45">
      <c r="A1781" s="47">
        <v>92444</v>
      </c>
      <c r="B1781" s="48" t="s">
        <v>7528</v>
      </c>
      <c r="C1781" s="47" t="s">
        <v>256</v>
      </c>
      <c r="D1781" s="332">
        <v>36.28</v>
      </c>
    </row>
    <row r="1782" spans="1:4" ht="45">
      <c r="A1782" s="28">
        <v>92445</v>
      </c>
      <c r="B1782" s="26" t="s">
        <v>7509</v>
      </c>
      <c r="C1782" s="28" t="s">
        <v>256</v>
      </c>
      <c r="D1782" s="329">
        <v>32.659999999999997</v>
      </c>
    </row>
    <row r="1783" spans="1:4" ht="30">
      <c r="A1783" s="47">
        <v>92446</v>
      </c>
      <c r="B1783" s="48" t="s">
        <v>7560</v>
      </c>
      <c r="C1783" s="47" t="s">
        <v>256</v>
      </c>
      <c r="D1783" s="332">
        <v>125.2</v>
      </c>
    </row>
    <row r="1784" spans="1:4" ht="30">
      <c r="A1784" s="28">
        <v>92447</v>
      </c>
      <c r="B1784" s="26" t="s">
        <v>7561</v>
      </c>
      <c r="C1784" s="28" t="s">
        <v>256</v>
      </c>
      <c r="D1784" s="329">
        <v>91.65</v>
      </c>
    </row>
    <row r="1785" spans="1:4" ht="30">
      <c r="A1785" s="47">
        <v>92448</v>
      </c>
      <c r="B1785" s="48" t="s">
        <v>7562</v>
      </c>
      <c r="C1785" s="47" t="s">
        <v>256</v>
      </c>
      <c r="D1785" s="332">
        <v>75.77</v>
      </c>
    </row>
    <row r="1786" spans="1:4" ht="30">
      <c r="A1786" s="28">
        <v>92449</v>
      </c>
      <c r="B1786" s="26" t="s">
        <v>7548</v>
      </c>
      <c r="C1786" s="28" t="s">
        <v>256</v>
      </c>
      <c r="D1786" s="329">
        <v>144.46</v>
      </c>
    </row>
    <row r="1787" spans="1:4" ht="30">
      <c r="A1787" s="47">
        <v>92450</v>
      </c>
      <c r="B1787" s="48" t="s">
        <v>7567</v>
      </c>
      <c r="C1787" s="47" t="s">
        <v>256</v>
      </c>
      <c r="D1787" s="332">
        <v>107.08</v>
      </c>
    </row>
    <row r="1788" spans="1:4" ht="30">
      <c r="A1788" s="28">
        <v>92451</v>
      </c>
      <c r="B1788" s="26" t="s">
        <v>7556</v>
      </c>
      <c r="C1788" s="28" t="s">
        <v>256</v>
      </c>
      <c r="D1788" s="329">
        <v>95.52</v>
      </c>
    </row>
    <row r="1789" spans="1:4" ht="30">
      <c r="A1789" s="47">
        <v>92452</v>
      </c>
      <c r="B1789" s="48" t="s">
        <v>7575</v>
      </c>
      <c r="C1789" s="47" t="s">
        <v>256</v>
      </c>
      <c r="D1789" s="332">
        <v>81.93</v>
      </c>
    </row>
    <row r="1790" spans="1:4" ht="30">
      <c r="A1790" s="28">
        <v>92453</v>
      </c>
      <c r="B1790" s="26" t="s">
        <v>7549</v>
      </c>
      <c r="C1790" s="28" t="s">
        <v>256</v>
      </c>
      <c r="D1790" s="329">
        <v>125.98</v>
      </c>
    </row>
    <row r="1791" spans="1:4" ht="30">
      <c r="A1791" s="47">
        <v>92454</v>
      </c>
      <c r="B1791" s="48" t="s">
        <v>7568</v>
      </c>
      <c r="C1791" s="47" t="s">
        <v>256</v>
      </c>
      <c r="D1791" s="332">
        <v>102.9</v>
      </c>
    </row>
    <row r="1792" spans="1:4" ht="30">
      <c r="A1792" s="28">
        <v>92455</v>
      </c>
      <c r="B1792" s="26" t="s">
        <v>7557</v>
      </c>
      <c r="C1792" s="28" t="s">
        <v>256</v>
      </c>
      <c r="D1792" s="329">
        <v>80.069999999999993</v>
      </c>
    </row>
    <row r="1793" spans="1:4" ht="30">
      <c r="A1793" s="47">
        <v>92456</v>
      </c>
      <c r="B1793" s="48" t="s">
        <v>7576</v>
      </c>
      <c r="C1793" s="47" t="s">
        <v>256</v>
      </c>
      <c r="D1793" s="332">
        <v>69.77</v>
      </c>
    </row>
    <row r="1794" spans="1:4" ht="30">
      <c r="A1794" s="28">
        <v>92457</v>
      </c>
      <c r="B1794" s="26" t="s">
        <v>7550</v>
      </c>
      <c r="C1794" s="28" t="s">
        <v>256</v>
      </c>
      <c r="D1794" s="329">
        <v>110.27</v>
      </c>
    </row>
    <row r="1795" spans="1:4" ht="30">
      <c r="A1795" s="47">
        <v>92458</v>
      </c>
      <c r="B1795" s="48" t="s">
        <v>7569</v>
      </c>
      <c r="C1795" s="47" t="s">
        <v>256</v>
      </c>
      <c r="D1795" s="332">
        <v>93.5</v>
      </c>
    </row>
    <row r="1796" spans="1:4" ht="30">
      <c r="A1796" s="28">
        <v>92459</v>
      </c>
      <c r="B1796" s="26" t="s">
        <v>7558</v>
      </c>
      <c r="C1796" s="28" t="s">
        <v>256</v>
      </c>
      <c r="D1796" s="329">
        <v>68.709999999999994</v>
      </c>
    </row>
    <row r="1797" spans="1:4" ht="30">
      <c r="A1797" s="47">
        <v>92460</v>
      </c>
      <c r="B1797" s="48" t="s">
        <v>7577</v>
      </c>
      <c r="C1797" s="47" t="s">
        <v>256</v>
      </c>
      <c r="D1797" s="332">
        <v>57.71</v>
      </c>
    </row>
    <row r="1798" spans="1:4" ht="30">
      <c r="A1798" s="28">
        <v>92461</v>
      </c>
      <c r="B1798" s="26" t="s">
        <v>7551</v>
      </c>
      <c r="C1798" s="28" t="s">
        <v>256</v>
      </c>
      <c r="D1798" s="329">
        <v>102.16</v>
      </c>
    </row>
    <row r="1799" spans="1:4" ht="30">
      <c r="A1799" s="47">
        <v>92462</v>
      </c>
      <c r="B1799" s="48" t="s">
        <v>7570</v>
      </c>
      <c r="C1799" s="47" t="s">
        <v>256</v>
      </c>
      <c r="D1799" s="332">
        <v>87.32</v>
      </c>
    </row>
    <row r="1800" spans="1:4" ht="30">
      <c r="A1800" s="28">
        <v>92463</v>
      </c>
      <c r="B1800" s="26" t="s">
        <v>7559</v>
      </c>
      <c r="C1800" s="28" t="s">
        <v>256</v>
      </c>
      <c r="D1800" s="329">
        <v>62.67</v>
      </c>
    </row>
    <row r="1801" spans="1:4" ht="30">
      <c r="A1801" s="47">
        <v>92464</v>
      </c>
      <c r="B1801" s="48" t="s">
        <v>7578</v>
      </c>
      <c r="C1801" s="47" t="s">
        <v>256</v>
      </c>
      <c r="D1801" s="332">
        <v>54.52</v>
      </c>
    </row>
    <row r="1802" spans="1:4" ht="30">
      <c r="A1802" s="28">
        <v>92465</v>
      </c>
      <c r="B1802" s="26" t="s">
        <v>7544</v>
      </c>
      <c r="C1802" s="28" t="s">
        <v>256</v>
      </c>
      <c r="D1802" s="329">
        <v>81.23</v>
      </c>
    </row>
    <row r="1803" spans="1:4" ht="30">
      <c r="A1803" s="47">
        <v>92466</v>
      </c>
      <c r="B1803" s="48" t="s">
        <v>7563</v>
      </c>
      <c r="C1803" s="47" t="s">
        <v>256</v>
      </c>
      <c r="D1803" s="332">
        <v>83.72</v>
      </c>
    </row>
    <row r="1804" spans="1:4" ht="45">
      <c r="A1804" s="28">
        <v>92467</v>
      </c>
      <c r="B1804" s="26" t="s">
        <v>7552</v>
      </c>
      <c r="C1804" s="28" t="s">
        <v>256</v>
      </c>
      <c r="D1804" s="329">
        <v>51.43</v>
      </c>
    </row>
    <row r="1805" spans="1:4" ht="30">
      <c r="A1805" s="47">
        <v>92468</v>
      </c>
      <c r="B1805" s="48" t="s">
        <v>7571</v>
      </c>
      <c r="C1805" s="47" t="s">
        <v>256</v>
      </c>
      <c r="D1805" s="332">
        <v>51.12</v>
      </c>
    </row>
    <row r="1806" spans="1:4" ht="30">
      <c r="A1806" s="28">
        <v>92469</v>
      </c>
      <c r="B1806" s="26" t="s">
        <v>7545</v>
      </c>
      <c r="C1806" s="28" t="s">
        <v>256</v>
      </c>
      <c r="D1806" s="329">
        <v>73.900000000000006</v>
      </c>
    </row>
    <row r="1807" spans="1:4" ht="30">
      <c r="A1807" s="47">
        <v>92470</v>
      </c>
      <c r="B1807" s="48" t="s">
        <v>7564</v>
      </c>
      <c r="C1807" s="47" t="s">
        <v>256</v>
      </c>
      <c r="D1807" s="332">
        <v>80.02</v>
      </c>
    </row>
    <row r="1808" spans="1:4" ht="45">
      <c r="A1808" s="28">
        <v>92471</v>
      </c>
      <c r="B1808" s="26" t="s">
        <v>7553</v>
      </c>
      <c r="C1808" s="28" t="s">
        <v>256</v>
      </c>
      <c r="D1808" s="329">
        <v>46.86</v>
      </c>
    </row>
    <row r="1809" spans="1:4" ht="30">
      <c r="A1809" s="47">
        <v>92472</v>
      </c>
      <c r="B1809" s="48" t="s">
        <v>7572</v>
      </c>
      <c r="C1809" s="47" t="s">
        <v>256</v>
      </c>
      <c r="D1809" s="332">
        <v>47.91</v>
      </c>
    </row>
    <row r="1810" spans="1:4" ht="30">
      <c r="A1810" s="28">
        <v>92473</v>
      </c>
      <c r="B1810" s="26" t="s">
        <v>7546</v>
      </c>
      <c r="C1810" s="28" t="s">
        <v>256</v>
      </c>
      <c r="D1810" s="329">
        <v>67.930000000000007</v>
      </c>
    </row>
    <row r="1811" spans="1:4" ht="30">
      <c r="A1811" s="47">
        <v>92474</v>
      </c>
      <c r="B1811" s="48" t="s">
        <v>7565</v>
      </c>
      <c r="C1811" s="47" t="s">
        <v>256</v>
      </c>
      <c r="D1811" s="332">
        <v>76.790000000000006</v>
      </c>
    </row>
    <row r="1812" spans="1:4" ht="45">
      <c r="A1812" s="28">
        <v>92475</v>
      </c>
      <c r="B1812" s="26" t="s">
        <v>7554</v>
      </c>
      <c r="C1812" s="28" t="s">
        <v>256</v>
      </c>
      <c r="D1812" s="329">
        <v>43.12</v>
      </c>
    </row>
    <row r="1813" spans="1:4" ht="30">
      <c r="A1813" s="47">
        <v>92476</v>
      </c>
      <c r="B1813" s="48" t="s">
        <v>7573</v>
      </c>
      <c r="C1813" s="47" t="s">
        <v>256</v>
      </c>
      <c r="D1813" s="332">
        <v>45.16</v>
      </c>
    </row>
    <row r="1814" spans="1:4" ht="30">
      <c r="A1814" s="28">
        <v>92477</v>
      </c>
      <c r="B1814" s="26" t="s">
        <v>7547</v>
      </c>
      <c r="C1814" s="28" t="s">
        <v>256</v>
      </c>
      <c r="D1814" s="329">
        <v>55.27</v>
      </c>
    </row>
    <row r="1815" spans="1:4" ht="30">
      <c r="A1815" s="47">
        <v>92478</v>
      </c>
      <c r="B1815" s="48" t="s">
        <v>7566</v>
      </c>
      <c r="C1815" s="47" t="s">
        <v>256</v>
      </c>
      <c r="D1815" s="332">
        <v>70.53</v>
      </c>
    </row>
    <row r="1816" spans="1:4" ht="45">
      <c r="A1816" s="28">
        <v>92479</v>
      </c>
      <c r="B1816" s="26" t="s">
        <v>7555</v>
      </c>
      <c r="C1816" s="28" t="s">
        <v>256</v>
      </c>
      <c r="D1816" s="329">
        <v>35.200000000000003</v>
      </c>
    </row>
    <row r="1817" spans="1:4" ht="30">
      <c r="A1817" s="47">
        <v>92480</v>
      </c>
      <c r="B1817" s="48" t="s">
        <v>7574</v>
      </c>
      <c r="C1817" s="47" t="s">
        <v>256</v>
      </c>
      <c r="D1817" s="332">
        <v>39.75</v>
      </c>
    </row>
    <row r="1818" spans="1:4" ht="30">
      <c r="A1818" s="28">
        <v>92481</v>
      </c>
      <c r="B1818" s="26" t="s">
        <v>7483</v>
      </c>
      <c r="C1818" s="28" t="s">
        <v>256</v>
      </c>
      <c r="D1818" s="329">
        <v>162</v>
      </c>
    </row>
    <row r="1819" spans="1:4" ht="30">
      <c r="A1819" s="47">
        <v>92482</v>
      </c>
      <c r="B1819" s="48" t="s">
        <v>7464</v>
      </c>
      <c r="C1819" s="47" t="s">
        <v>256</v>
      </c>
      <c r="D1819" s="332">
        <v>153.05000000000001</v>
      </c>
    </row>
    <row r="1820" spans="1:4" ht="30">
      <c r="A1820" s="28">
        <v>92483</v>
      </c>
      <c r="B1820" s="26" t="s">
        <v>7484</v>
      </c>
      <c r="C1820" s="28" t="s">
        <v>256</v>
      </c>
      <c r="D1820" s="329">
        <v>124.11</v>
      </c>
    </row>
    <row r="1821" spans="1:4" ht="30">
      <c r="A1821" s="47">
        <v>92484</v>
      </c>
      <c r="B1821" s="48" t="s">
        <v>7465</v>
      </c>
      <c r="C1821" s="47" t="s">
        <v>256</v>
      </c>
      <c r="D1821" s="332">
        <v>116.21</v>
      </c>
    </row>
    <row r="1822" spans="1:4" ht="30">
      <c r="A1822" s="28">
        <v>92485</v>
      </c>
      <c r="B1822" s="26" t="s">
        <v>7485</v>
      </c>
      <c r="C1822" s="28" t="s">
        <v>256</v>
      </c>
      <c r="D1822" s="329">
        <v>89.8</v>
      </c>
    </row>
    <row r="1823" spans="1:4" ht="30">
      <c r="A1823" s="47">
        <v>92486</v>
      </c>
      <c r="B1823" s="48" t="s">
        <v>7466</v>
      </c>
      <c r="C1823" s="47" t="s">
        <v>256</v>
      </c>
      <c r="D1823" s="332">
        <v>83.73</v>
      </c>
    </row>
    <row r="1824" spans="1:4" ht="45">
      <c r="A1824" s="28">
        <v>92487</v>
      </c>
      <c r="B1824" s="26" t="s">
        <v>7500</v>
      </c>
      <c r="C1824" s="28" t="s">
        <v>256</v>
      </c>
      <c r="D1824" s="329">
        <v>41.52</v>
      </c>
    </row>
    <row r="1825" spans="1:4" ht="45">
      <c r="A1825" s="47">
        <v>92488</v>
      </c>
      <c r="B1825" s="48" t="s">
        <v>7490</v>
      </c>
      <c r="C1825" s="47" t="s">
        <v>256</v>
      </c>
      <c r="D1825" s="332">
        <v>39.42</v>
      </c>
    </row>
    <row r="1826" spans="1:4" ht="45">
      <c r="A1826" s="28">
        <v>92489</v>
      </c>
      <c r="B1826" s="26" t="s">
        <v>7505</v>
      </c>
      <c r="C1826" s="28" t="s">
        <v>256</v>
      </c>
      <c r="D1826" s="329">
        <v>31.49</v>
      </c>
    </row>
    <row r="1827" spans="1:4" ht="45">
      <c r="A1827" s="47">
        <v>92490</v>
      </c>
      <c r="B1827" s="48" t="s">
        <v>7495</v>
      </c>
      <c r="C1827" s="47" t="s">
        <v>256</v>
      </c>
      <c r="D1827" s="332">
        <v>29.57</v>
      </c>
    </row>
    <row r="1828" spans="1:4" ht="45">
      <c r="A1828" s="28">
        <v>92491</v>
      </c>
      <c r="B1828" s="26" t="s">
        <v>7496</v>
      </c>
      <c r="C1828" s="28" t="s">
        <v>256</v>
      </c>
      <c r="D1828" s="329">
        <v>39.61</v>
      </c>
    </row>
    <row r="1829" spans="1:4" ht="45">
      <c r="A1829" s="47">
        <v>92492</v>
      </c>
      <c r="B1829" s="48" t="s">
        <v>7486</v>
      </c>
      <c r="C1829" s="47" t="s">
        <v>256</v>
      </c>
      <c r="D1829" s="332">
        <v>37.619999999999997</v>
      </c>
    </row>
    <row r="1830" spans="1:4" ht="45">
      <c r="A1830" s="28">
        <v>92493</v>
      </c>
      <c r="B1830" s="26" t="s">
        <v>7501</v>
      </c>
      <c r="C1830" s="28" t="s">
        <v>256</v>
      </c>
      <c r="D1830" s="329">
        <v>28.33</v>
      </c>
    </row>
    <row r="1831" spans="1:4" ht="45">
      <c r="A1831" s="47">
        <v>92494</v>
      </c>
      <c r="B1831" s="48" t="s">
        <v>7491</v>
      </c>
      <c r="C1831" s="47" t="s">
        <v>256</v>
      </c>
      <c r="D1831" s="332">
        <v>28.07</v>
      </c>
    </row>
    <row r="1832" spans="1:4" ht="45">
      <c r="A1832" s="28">
        <v>92495</v>
      </c>
      <c r="B1832" s="26" t="s">
        <v>7497</v>
      </c>
      <c r="C1832" s="28" t="s">
        <v>256</v>
      </c>
      <c r="D1832" s="329">
        <v>38.32</v>
      </c>
    </row>
    <row r="1833" spans="1:4" ht="45">
      <c r="A1833" s="47">
        <v>92496</v>
      </c>
      <c r="B1833" s="48" t="s">
        <v>7487</v>
      </c>
      <c r="C1833" s="47" t="s">
        <v>256</v>
      </c>
      <c r="D1833" s="332">
        <v>36.4</v>
      </c>
    </row>
    <row r="1834" spans="1:4" ht="45">
      <c r="A1834" s="28">
        <v>92497</v>
      </c>
      <c r="B1834" s="26" t="s">
        <v>7502</v>
      </c>
      <c r="C1834" s="28" t="s">
        <v>256</v>
      </c>
      <c r="D1834" s="329">
        <v>28.86</v>
      </c>
    </row>
    <row r="1835" spans="1:4" ht="45">
      <c r="A1835" s="47">
        <v>92498</v>
      </c>
      <c r="B1835" s="48" t="s">
        <v>7492</v>
      </c>
      <c r="C1835" s="47" t="s">
        <v>256</v>
      </c>
      <c r="D1835" s="332">
        <v>27.07</v>
      </c>
    </row>
    <row r="1836" spans="1:4" ht="45">
      <c r="A1836" s="28">
        <v>92499</v>
      </c>
      <c r="B1836" s="26" t="s">
        <v>7498</v>
      </c>
      <c r="C1836" s="28" t="s">
        <v>256</v>
      </c>
      <c r="D1836" s="329">
        <v>37.53</v>
      </c>
    </row>
    <row r="1837" spans="1:4" ht="45">
      <c r="A1837" s="47">
        <v>92500</v>
      </c>
      <c r="B1837" s="48" t="s">
        <v>7488</v>
      </c>
      <c r="C1837" s="47" t="s">
        <v>256</v>
      </c>
      <c r="D1837" s="332">
        <v>35.659999999999997</v>
      </c>
    </row>
    <row r="1838" spans="1:4" ht="45">
      <c r="A1838" s="28">
        <v>92501</v>
      </c>
      <c r="B1838" s="26" t="s">
        <v>7503</v>
      </c>
      <c r="C1838" s="28" t="s">
        <v>256</v>
      </c>
      <c r="D1838" s="329">
        <v>28.21</v>
      </c>
    </row>
    <row r="1839" spans="1:4" ht="45">
      <c r="A1839" s="47">
        <v>92502</v>
      </c>
      <c r="B1839" s="48" t="s">
        <v>7493</v>
      </c>
      <c r="C1839" s="47" t="s">
        <v>256</v>
      </c>
      <c r="D1839" s="332">
        <v>26.48</v>
      </c>
    </row>
    <row r="1840" spans="1:4" ht="45">
      <c r="A1840" s="28">
        <v>92503</v>
      </c>
      <c r="B1840" s="26" t="s">
        <v>7499</v>
      </c>
      <c r="C1840" s="28" t="s">
        <v>256</v>
      </c>
      <c r="D1840" s="329">
        <v>36.29</v>
      </c>
    </row>
    <row r="1841" spans="1:4" ht="45">
      <c r="A1841" s="47">
        <v>92504</v>
      </c>
      <c r="B1841" s="48" t="s">
        <v>7489</v>
      </c>
      <c r="C1841" s="47" t="s">
        <v>256</v>
      </c>
      <c r="D1841" s="332">
        <v>29.93</v>
      </c>
    </row>
    <row r="1842" spans="1:4" ht="45">
      <c r="A1842" s="28">
        <v>92505</v>
      </c>
      <c r="B1842" s="26" t="s">
        <v>7504</v>
      </c>
      <c r="C1842" s="28" t="s">
        <v>256</v>
      </c>
      <c r="D1842" s="329">
        <v>27.18</v>
      </c>
    </row>
    <row r="1843" spans="1:4" ht="45">
      <c r="A1843" s="47">
        <v>92506</v>
      </c>
      <c r="B1843" s="48" t="s">
        <v>7494</v>
      </c>
      <c r="C1843" s="47" t="s">
        <v>256</v>
      </c>
      <c r="D1843" s="332">
        <v>25.51</v>
      </c>
    </row>
    <row r="1844" spans="1:4" ht="45">
      <c r="A1844" s="28">
        <v>92507</v>
      </c>
      <c r="B1844" s="26" t="s">
        <v>7471</v>
      </c>
      <c r="C1844" s="28" t="s">
        <v>256</v>
      </c>
      <c r="D1844" s="329">
        <v>39.520000000000003</v>
      </c>
    </row>
    <row r="1845" spans="1:4" ht="45">
      <c r="A1845" s="47">
        <v>92508</v>
      </c>
      <c r="B1845" s="48" t="s">
        <v>7452</v>
      </c>
      <c r="C1845" s="47" t="s">
        <v>256</v>
      </c>
      <c r="D1845" s="332">
        <v>37.85</v>
      </c>
    </row>
    <row r="1846" spans="1:4" ht="45">
      <c r="A1846" s="28">
        <v>92509</v>
      </c>
      <c r="B1846" s="26" t="s">
        <v>7479</v>
      </c>
      <c r="C1846" s="28" t="s">
        <v>256</v>
      </c>
      <c r="D1846" s="329">
        <v>27.49</v>
      </c>
    </row>
    <row r="1847" spans="1:4" ht="45">
      <c r="A1847" s="47">
        <v>92510</v>
      </c>
      <c r="B1847" s="48" t="s">
        <v>7460</v>
      </c>
      <c r="C1847" s="47" t="s">
        <v>256</v>
      </c>
      <c r="D1847" s="332">
        <v>25.95</v>
      </c>
    </row>
    <row r="1848" spans="1:4" ht="45">
      <c r="A1848" s="28">
        <v>92511</v>
      </c>
      <c r="B1848" s="26" t="s">
        <v>7472</v>
      </c>
      <c r="C1848" s="28" t="s">
        <v>256</v>
      </c>
      <c r="D1848" s="329">
        <v>31.28</v>
      </c>
    </row>
    <row r="1849" spans="1:4" ht="45">
      <c r="A1849" s="47">
        <v>92512</v>
      </c>
      <c r="B1849" s="48" t="s">
        <v>7453</v>
      </c>
      <c r="C1849" s="47" t="s">
        <v>256</v>
      </c>
      <c r="D1849" s="332">
        <v>30</v>
      </c>
    </row>
    <row r="1850" spans="1:4" ht="45">
      <c r="A1850" s="28">
        <v>92513</v>
      </c>
      <c r="B1850" s="26" t="s">
        <v>7480</v>
      </c>
      <c r="C1850" s="28" t="s">
        <v>256</v>
      </c>
      <c r="D1850" s="329">
        <v>20.52</v>
      </c>
    </row>
    <row r="1851" spans="1:4" ht="45">
      <c r="A1851" s="47">
        <v>92514</v>
      </c>
      <c r="B1851" s="48" t="s">
        <v>7461</v>
      </c>
      <c r="C1851" s="47" t="s">
        <v>256</v>
      </c>
      <c r="D1851" s="332">
        <v>19.34</v>
      </c>
    </row>
    <row r="1852" spans="1:4" ht="45">
      <c r="A1852" s="28">
        <v>92515</v>
      </c>
      <c r="B1852" s="26" t="s">
        <v>7454</v>
      </c>
      <c r="C1852" s="28" t="s">
        <v>256</v>
      </c>
      <c r="D1852" s="329">
        <v>27.01</v>
      </c>
    </row>
    <row r="1853" spans="1:4" ht="45">
      <c r="A1853" s="47">
        <v>92516</v>
      </c>
      <c r="B1853" s="48" t="s">
        <v>7473</v>
      </c>
      <c r="C1853" s="47" t="s">
        <v>256</v>
      </c>
      <c r="D1853" s="332">
        <v>25.9</v>
      </c>
    </row>
    <row r="1854" spans="1:4" ht="45">
      <c r="A1854" s="28">
        <v>92517</v>
      </c>
      <c r="B1854" s="26" t="s">
        <v>7481</v>
      </c>
      <c r="C1854" s="28" t="s">
        <v>256</v>
      </c>
      <c r="D1854" s="329">
        <v>17.25</v>
      </c>
    </row>
    <row r="1855" spans="1:4" ht="45">
      <c r="A1855" s="47">
        <v>92518</v>
      </c>
      <c r="B1855" s="48" t="s">
        <v>7462</v>
      </c>
      <c r="C1855" s="47" t="s">
        <v>256</v>
      </c>
      <c r="D1855" s="332">
        <v>16.22</v>
      </c>
    </row>
    <row r="1856" spans="1:4" ht="45">
      <c r="A1856" s="28">
        <v>92519</v>
      </c>
      <c r="B1856" s="26" t="s">
        <v>7474</v>
      </c>
      <c r="C1856" s="28" t="s">
        <v>256</v>
      </c>
      <c r="D1856" s="329">
        <v>24.84</v>
      </c>
    </row>
    <row r="1857" spans="1:4" ht="45">
      <c r="A1857" s="47">
        <v>92520</v>
      </c>
      <c r="B1857" s="48" t="s">
        <v>7455</v>
      </c>
      <c r="C1857" s="47" t="s">
        <v>256</v>
      </c>
      <c r="D1857" s="332">
        <v>23.82</v>
      </c>
    </row>
    <row r="1858" spans="1:4" ht="45">
      <c r="A1858" s="28">
        <v>92521</v>
      </c>
      <c r="B1858" s="26" t="s">
        <v>7482</v>
      </c>
      <c r="C1858" s="28" t="s">
        <v>256</v>
      </c>
      <c r="D1858" s="329">
        <v>15.58</v>
      </c>
    </row>
    <row r="1859" spans="1:4" ht="45">
      <c r="A1859" s="47">
        <v>92522</v>
      </c>
      <c r="B1859" s="48" t="s">
        <v>7463</v>
      </c>
      <c r="C1859" s="47" t="s">
        <v>256</v>
      </c>
      <c r="D1859" s="332">
        <v>14.62</v>
      </c>
    </row>
    <row r="1860" spans="1:4" ht="45">
      <c r="A1860" s="28">
        <v>92523</v>
      </c>
      <c r="B1860" s="26" t="s">
        <v>7467</v>
      </c>
      <c r="C1860" s="28" t="s">
        <v>256</v>
      </c>
      <c r="D1860" s="329">
        <v>25.08</v>
      </c>
    </row>
    <row r="1861" spans="1:4" ht="45">
      <c r="A1861" s="47">
        <v>92524</v>
      </c>
      <c r="B1861" s="48" t="s">
        <v>7448</v>
      </c>
      <c r="C1861" s="47" t="s">
        <v>256</v>
      </c>
      <c r="D1861" s="332">
        <v>24.1</v>
      </c>
    </row>
    <row r="1862" spans="1:4" ht="45">
      <c r="A1862" s="28">
        <v>92525</v>
      </c>
      <c r="B1862" s="26" t="s">
        <v>7475</v>
      </c>
      <c r="C1862" s="28" t="s">
        <v>256</v>
      </c>
      <c r="D1862" s="329">
        <v>16.12</v>
      </c>
    </row>
    <row r="1863" spans="1:4" ht="45">
      <c r="A1863" s="47">
        <v>92526</v>
      </c>
      <c r="B1863" s="48" t="s">
        <v>7456</v>
      </c>
      <c r="C1863" s="47" t="s">
        <v>256</v>
      </c>
      <c r="D1863" s="332">
        <v>15.19</v>
      </c>
    </row>
    <row r="1864" spans="1:4" ht="45">
      <c r="A1864" s="28">
        <v>92527</v>
      </c>
      <c r="B1864" s="26" t="s">
        <v>7468</v>
      </c>
      <c r="C1864" s="28" t="s">
        <v>256</v>
      </c>
      <c r="D1864" s="329">
        <v>24.11</v>
      </c>
    </row>
    <row r="1865" spans="1:4" ht="45">
      <c r="A1865" s="47">
        <v>92528</v>
      </c>
      <c r="B1865" s="48" t="s">
        <v>7449</v>
      </c>
      <c r="C1865" s="47" t="s">
        <v>256</v>
      </c>
      <c r="D1865" s="332">
        <v>23.17</v>
      </c>
    </row>
    <row r="1866" spans="1:4" ht="45">
      <c r="A1866" s="28">
        <v>92529</v>
      </c>
      <c r="B1866" s="26" t="s">
        <v>7476</v>
      </c>
      <c r="C1866" s="28" t="s">
        <v>256</v>
      </c>
      <c r="D1866" s="329">
        <v>15.33</v>
      </c>
    </row>
    <row r="1867" spans="1:4" ht="45">
      <c r="A1867" s="47">
        <v>92530</v>
      </c>
      <c r="B1867" s="48" t="s">
        <v>7457</v>
      </c>
      <c r="C1867" s="47" t="s">
        <v>256</v>
      </c>
      <c r="D1867" s="332">
        <v>14.44</v>
      </c>
    </row>
    <row r="1868" spans="1:4" ht="45">
      <c r="A1868" s="28">
        <v>92531</v>
      </c>
      <c r="B1868" s="26" t="s">
        <v>7469</v>
      </c>
      <c r="C1868" s="28" t="s">
        <v>256</v>
      </c>
      <c r="D1868" s="329">
        <v>23.38</v>
      </c>
    </row>
    <row r="1869" spans="1:4" ht="45">
      <c r="A1869" s="47">
        <v>92532</v>
      </c>
      <c r="B1869" s="48" t="s">
        <v>7450</v>
      </c>
      <c r="C1869" s="47" t="s">
        <v>256</v>
      </c>
      <c r="D1869" s="332">
        <v>22.45</v>
      </c>
    </row>
    <row r="1870" spans="1:4" ht="45">
      <c r="A1870" s="28">
        <v>92533</v>
      </c>
      <c r="B1870" s="26" t="s">
        <v>7477</v>
      </c>
      <c r="C1870" s="28" t="s">
        <v>256</v>
      </c>
      <c r="D1870" s="329">
        <v>14.74</v>
      </c>
    </row>
    <row r="1871" spans="1:4" ht="45">
      <c r="A1871" s="47">
        <v>92534</v>
      </c>
      <c r="B1871" s="48" t="s">
        <v>7458</v>
      </c>
      <c r="C1871" s="47" t="s">
        <v>256</v>
      </c>
      <c r="D1871" s="332">
        <v>13.9</v>
      </c>
    </row>
    <row r="1872" spans="1:4" ht="45">
      <c r="A1872" s="28">
        <v>92535</v>
      </c>
      <c r="B1872" s="26" t="s">
        <v>7470</v>
      </c>
      <c r="C1872" s="28" t="s">
        <v>256</v>
      </c>
      <c r="D1872" s="329">
        <v>22.08</v>
      </c>
    </row>
    <row r="1873" spans="1:4" ht="45">
      <c r="A1873" s="47">
        <v>92536</v>
      </c>
      <c r="B1873" s="48" t="s">
        <v>7451</v>
      </c>
      <c r="C1873" s="47" t="s">
        <v>256</v>
      </c>
      <c r="D1873" s="332">
        <v>21.19</v>
      </c>
    </row>
    <row r="1874" spans="1:4" ht="45">
      <c r="A1874" s="28">
        <v>92537</v>
      </c>
      <c r="B1874" s="26" t="s">
        <v>7478</v>
      </c>
      <c r="C1874" s="28" t="s">
        <v>256</v>
      </c>
      <c r="D1874" s="329">
        <v>13.63</v>
      </c>
    </row>
    <row r="1875" spans="1:4" ht="45">
      <c r="A1875" s="47">
        <v>92538</v>
      </c>
      <c r="B1875" s="48" t="s">
        <v>7459</v>
      </c>
      <c r="C1875" s="47" t="s">
        <v>256</v>
      </c>
      <c r="D1875" s="332">
        <v>12.8</v>
      </c>
    </row>
    <row r="1876" spans="1:4">
      <c r="A1876" s="28" t="s">
        <v>526</v>
      </c>
      <c r="B1876" s="26" t="s">
        <v>8461</v>
      </c>
      <c r="C1876" s="28" t="s">
        <v>65</v>
      </c>
      <c r="D1876" s="329">
        <v>26.76</v>
      </c>
    </row>
    <row r="1877" spans="1:4">
      <c r="A1877" s="47" t="s">
        <v>527</v>
      </c>
      <c r="B1877" s="48" t="s">
        <v>2106</v>
      </c>
      <c r="C1877" s="47" t="s">
        <v>65</v>
      </c>
      <c r="D1877" s="332">
        <v>553.54999999999995</v>
      </c>
    </row>
    <row r="1878" spans="1:4" ht="30">
      <c r="A1878" s="28" t="s">
        <v>66</v>
      </c>
      <c r="B1878" s="26" t="s">
        <v>2153</v>
      </c>
      <c r="C1878" s="28" t="s">
        <v>90</v>
      </c>
      <c r="D1878" s="329">
        <v>6.65</v>
      </c>
    </row>
    <row r="1879" spans="1:4">
      <c r="A1879" s="47" t="s">
        <v>528</v>
      </c>
      <c r="B1879" s="48" t="s">
        <v>9711</v>
      </c>
      <c r="C1879" s="47" t="s">
        <v>71</v>
      </c>
      <c r="D1879" s="332">
        <v>40.39</v>
      </c>
    </row>
    <row r="1880" spans="1:4">
      <c r="A1880" s="28" t="s">
        <v>529</v>
      </c>
      <c r="B1880" s="26" t="s">
        <v>9712</v>
      </c>
      <c r="C1880" s="28" t="s">
        <v>71</v>
      </c>
      <c r="D1880" s="329">
        <v>46.9</v>
      </c>
    </row>
    <row r="1881" spans="1:4">
      <c r="A1881" s="47" t="s">
        <v>530</v>
      </c>
      <c r="B1881" s="48" t="s">
        <v>9713</v>
      </c>
      <c r="C1881" s="47" t="s">
        <v>71</v>
      </c>
      <c r="D1881" s="332">
        <v>53.41</v>
      </c>
    </row>
    <row r="1882" spans="1:4">
      <c r="A1882" s="28" t="s">
        <v>531</v>
      </c>
      <c r="B1882" s="26" t="s">
        <v>9714</v>
      </c>
      <c r="C1882" s="28" t="s">
        <v>71</v>
      </c>
      <c r="D1882" s="329">
        <v>59.93</v>
      </c>
    </row>
    <row r="1883" spans="1:4" ht="30">
      <c r="A1883" s="47" t="s">
        <v>532</v>
      </c>
      <c r="B1883" s="48" t="s">
        <v>9710</v>
      </c>
      <c r="C1883" s="47" t="s">
        <v>71</v>
      </c>
      <c r="D1883" s="332">
        <v>49.36</v>
      </c>
    </row>
    <row r="1884" spans="1:4" ht="30">
      <c r="A1884" s="28" t="s">
        <v>533</v>
      </c>
      <c r="B1884" s="26" t="s">
        <v>9719</v>
      </c>
      <c r="C1884" s="28" t="s">
        <v>71</v>
      </c>
      <c r="D1884" s="329">
        <v>55.87</v>
      </c>
    </row>
    <row r="1885" spans="1:4" ht="30">
      <c r="A1885" s="47" t="s">
        <v>534</v>
      </c>
      <c r="B1885" s="48" t="s">
        <v>9720</v>
      </c>
      <c r="C1885" s="47" t="s">
        <v>71</v>
      </c>
      <c r="D1885" s="332">
        <v>62.38</v>
      </c>
    </row>
    <row r="1886" spans="1:4" ht="30">
      <c r="A1886" s="28" t="s">
        <v>535</v>
      </c>
      <c r="B1886" s="26" t="s">
        <v>9721</v>
      </c>
      <c r="C1886" s="28" t="s">
        <v>71</v>
      </c>
      <c r="D1886" s="329">
        <v>82.74</v>
      </c>
    </row>
    <row r="1887" spans="1:4" ht="30">
      <c r="A1887" s="47" t="s">
        <v>536</v>
      </c>
      <c r="B1887" s="48" t="s">
        <v>9715</v>
      </c>
      <c r="C1887" s="47" t="s">
        <v>71</v>
      </c>
      <c r="D1887" s="332">
        <v>95.1</v>
      </c>
    </row>
    <row r="1888" spans="1:4" ht="30">
      <c r="A1888" s="28" t="s">
        <v>537</v>
      </c>
      <c r="B1888" s="26" t="s">
        <v>9716</v>
      </c>
      <c r="C1888" s="28" t="s">
        <v>71</v>
      </c>
      <c r="D1888" s="329">
        <v>101.61</v>
      </c>
    </row>
    <row r="1889" spans="1:4" ht="30">
      <c r="A1889" s="47" t="s">
        <v>538</v>
      </c>
      <c r="B1889" s="48" t="s">
        <v>9717</v>
      </c>
      <c r="C1889" s="47" t="s">
        <v>71</v>
      </c>
      <c r="D1889" s="332">
        <v>108.13</v>
      </c>
    </row>
    <row r="1890" spans="1:4" ht="30">
      <c r="A1890" s="28" t="s">
        <v>539</v>
      </c>
      <c r="B1890" s="26" t="s">
        <v>9718</v>
      </c>
      <c r="C1890" s="28" t="s">
        <v>71</v>
      </c>
      <c r="D1890" s="329">
        <v>128.47999999999999</v>
      </c>
    </row>
    <row r="1891" spans="1:4" ht="30">
      <c r="A1891" s="47">
        <v>85662</v>
      </c>
      <c r="B1891" s="48" t="s">
        <v>2154</v>
      </c>
      <c r="C1891" s="47" t="s">
        <v>256</v>
      </c>
      <c r="D1891" s="332">
        <v>9.93</v>
      </c>
    </row>
    <row r="1892" spans="1:4">
      <c r="A1892" s="28">
        <v>89996</v>
      </c>
      <c r="B1892" s="26" t="s">
        <v>2173</v>
      </c>
      <c r="C1892" s="28" t="s">
        <v>90</v>
      </c>
      <c r="D1892" s="329">
        <v>6.01</v>
      </c>
    </row>
    <row r="1893" spans="1:4">
      <c r="A1893" s="47">
        <v>89997</v>
      </c>
      <c r="B1893" s="48" t="s">
        <v>2174</v>
      </c>
      <c r="C1893" s="47" t="s">
        <v>90</v>
      </c>
      <c r="D1893" s="332">
        <v>5.23</v>
      </c>
    </row>
    <row r="1894" spans="1:4">
      <c r="A1894" s="28">
        <v>89998</v>
      </c>
      <c r="B1894" s="26" t="s">
        <v>2107</v>
      </c>
      <c r="C1894" s="28" t="s">
        <v>90</v>
      </c>
      <c r="D1894" s="329">
        <v>5.67</v>
      </c>
    </row>
    <row r="1895" spans="1:4" ht="30">
      <c r="A1895" s="47">
        <v>89999</v>
      </c>
      <c r="B1895" s="48" t="s">
        <v>2141</v>
      </c>
      <c r="C1895" s="47" t="s">
        <v>90</v>
      </c>
      <c r="D1895" s="332">
        <v>9.02</v>
      </c>
    </row>
    <row r="1896" spans="1:4" ht="30">
      <c r="A1896" s="28">
        <v>90000</v>
      </c>
      <c r="B1896" s="26" t="s">
        <v>2140</v>
      </c>
      <c r="C1896" s="28" t="s">
        <v>90</v>
      </c>
      <c r="D1896" s="329">
        <v>6.88</v>
      </c>
    </row>
    <row r="1897" spans="1:4" ht="30">
      <c r="A1897" s="47">
        <v>91593</v>
      </c>
      <c r="B1897" s="48" t="s">
        <v>2149</v>
      </c>
      <c r="C1897" s="47" t="s">
        <v>90</v>
      </c>
      <c r="D1897" s="332">
        <v>6.76</v>
      </c>
    </row>
    <row r="1898" spans="1:4" ht="30">
      <c r="A1898" s="28">
        <v>91594</v>
      </c>
      <c r="B1898" s="26" t="s">
        <v>2150</v>
      </c>
      <c r="C1898" s="28" t="s">
        <v>90</v>
      </c>
      <c r="D1898" s="329">
        <v>7.12</v>
      </c>
    </row>
    <row r="1899" spans="1:4" ht="30">
      <c r="A1899" s="47">
        <v>91595</v>
      </c>
      <c r="B1899" s="48" t="s">
        <v>2151</v>
      </c>
      <c r="C1899" s="47" t="s">
        <v>90</v>
      </c>
      <c r="D1899" s="332">
        <v>7.85</v>
      </c>
    </row>
    <row r="1900" spans="1:4" ht="30">
      <c r="A1900" s="28">
        <v>91596</v>
      </c>
      <c r="B1900" s="26" t="s">
        <v>2145</v>
      </c>
      <c r="C1900" s="28" t="s">
        <v>90</v>
      </c>
      <c r="D1900" s="329">
        <v>6.89</v>
      </c>
    </row>
    <row r="1901" spans="1:4" ht="30">
      <c r="A1901" s="47">
        <v>91597</v>
      </c>
      <c r="B1901" s="48" t="s">
        <v>2143</v>
      </c>
      <c r="C1901" s="47" t="s">
        <v>90</v>
      </c>
      <c r="D1901" s="332">
        <v>4.8099999999999996</v>
      </c>
    </row>
    <row r="1902" spans="1:4" ht="30">
      <c r="A1902" s="28">
        <v>91598</v>
      </c>
      <c r="B1902" s="26" t="s">
        <v>2144</v>
      </c>
      <c r="C1902" s="28" t="s">
        <v>90</v>
      </c>
      <c r="D1902" s="329">
        <v>6.82</v>
      </c>
    </row>
    <row r="1903" spans="1:4" ht="30">
      <c r="A1903" s="47">
        <v>91599</v>
      </c>
      <c r="B1903" s="48" t="s">
        <v>2142</v>
      </c>
      <c r="C1903" s="47" t="s">
        <v>90</v>
      </c>
      <c r="D1903" s="332">
        <v>7.32</v>
      </c>
    </row>
    <row r="1904" spans="1:4" ht="30">
      <c r="A1904" s="28">
        <v>91600</v>
      </c>
      <c r="B1904" s="26" t="s">
        <v>2152</v>
      </c>
      <c r="C1904" s="28" t="s">
        <v>90</v>
      </c>
      <c r="D1904" s="329">
        <v>7.72</v>
      </c>
    </row>
    <row r="1905" spans="1:4" ht="30">
      <c r="A1905" s="47">
        <v>91601</v>
      </c>
      <c r="B1905" s="48" t="s">
        <v>2147</v>
      </c>
      <c r="C1905" s="47" t="s">
        <v>90</v>
      </c>
      <c r="D1905" s="332">
        <v>7.85</v>
      </c>
    </row>
    <row r="1906" spans="1:4" ht="30">
      <c r="A1906" s="28">
        <v>91602</v>
      </c>
      <c r="B1906" s="26" t="s">
        <v>2148</v>
      </c>
      <c r="C1906" s="28" t="s">
        <v>90</v>
      </c>
      <c r="D1906" s="329">
        <v>7.46</v>
      </c>
    </row>
    <row r="1907" spans="1:4" ht="30">
      <c r="A1907" s="47">
        <v>91603</v>
      </c>
      <c r="B1907" s="48" t="s">
        <v>2146</v>
      </c>
      <c r="C1907" s="47" t="s">
        <v>90</v>
      </c>
      <c r="D1907" s="332">
        <v>6.02</v>
      </c>
    </row>
    <row r="1908" spans="1:4" ht="45">
      <c r="A1908" s="28">
        <v>92759</v>
      </c>
      <c r="B1908" s="26" t="s">
        <v>2131</v>
      </c>
      <c r="C1908" s="28" t="s">
        <v>90</v>
      </c>
      <c r="D1908" s="329">
        <v>10.9</v>
      </c>
    </row>
    <row r="1909" spans="1:4" ht="45">
      <c r="A1909" s="47">
        <v>92760</v>
      </c>
      <c r="B1909" s="48" t="s">
        <v>2129</v>
      </c>
      <c r="C1909" s="47" t="s">
        <v>90</v>
      </c>
      <c r="D1909" s="332">
        <v>10.199999999999999</v>
      </c>
    </row>
    <row r="1910" spans="1:4" ht="45">
      <c r="A1910" s="28">
        <v>92761</v>
      </c>
      <c r="B1910" s="26" t="s">
        <v>2130</v>
      </c>
      <c r="C1910" s="28" t="s">
        <v>90</v>
      </c>
      <c r="D1910" s="329">
        <v>10.029999999999999</v>
      </c>
    </row>
    <row r="1911" spans="1:4" ht="45">
      <c r="A1911" s="47">
        <v>92762</v>
      </c>
      <c r="B1911" s="48" t="s">
        <v>2124</v>
      </c>
      <c r="C1911" s="47" t="s">
        <v>90</v>
      </c>
      <c r="D1911" s="332">
        <v>8.2100000000000009</v>
      </c>
    </row>
    <row r="1912" spans="1:4" ht="45">
      <c r="A1912" s="28">
        <v>92763</v>
      </c>
      <c r="B1912" s="26" t="s">
        <v>2125</v>
      </c>
      <c r="C1912" s="28" t="s">
        <v>90</v>
      </c>
      <c r="D1912" s="329">
        <v>6.93</v>
      </c>
    </row>
    <row r="1913" spans="1:4" ht="45">
      <c r="A1913" s="47">
        <v>92764</v>
      </c>
      <c r="B1913" s="48" t="s">
        <v>2126</v>
      </c>
      <c r="C1913" s="47" t="s">
        <v>90</v>
      </c>
      <c r="D1913" s="332">
        <v>5.63</v>
      </c>
    </row>
    <row r="1914" spans="1:4" ht="45">
      <c r="A1914" s="28">
        <v>92765</v>
      </c>
      <c r="B1914" s="26" t="s">
        <v>2127</v>
      </c>
      <c r="C1914" s="28" t="s">
        <v>90</v>
      </c>
      <c r="D1914" s="329">
        <v>5.15</v>
      </c>
    </row>
    <row r="1915" spans="1:4" ht="45">
      <c r="A1915" s="47">
        <v>92766</v>
      </c>
      <c r="B1915" s="48" t="s">
        <v>2128</v>
      </c>
      <c r="C1915" s="47" t="s">
        <v>90</v>
      </c>
      <c r="D1915" s="332">
        <v>5.65</v>
      </c>
    </row>
    <row r="1916" spans="1:4" ht="45">
      <c r="A1916" s="28">
        <v>92767</v>
      </c>
      <c r="B1916" s="26" t="s">
        <v>2122</v>
      </c>
      <c r="C1916" s="28" t="s">
        <v>90</v>
      </c>
      <c r="D1916" s="329">
        <v>9.24</v>
      </c>
    </row>
    <row r="1917" spans="1:4" ht="45">
      <c r="A1917" s="47">
        <v>92768</v>
      </c>
      <c r="B1917" s="48" t="s">
        <v>2123</v>
      </c>
      <c r="C1917" s="47" t="s">
        <v>90</v>
      </c>
      <c r="D1917" s="332">
        <v>8.36</v>
      </c>
    </row>
    <row r="1918" spans="1:4" ht="45">
      <c r="A1918" s="28">
        <v>92769</v>
      </c>
      <c r="B1918" s="26" t="s">
        <v>2120</v>
      </c>
      <c r="C1918" s="28" t="s">
        <v>90</v>
      </c>
      <c r="D1918" s="329">
        <v>7.65</v>
      </c>
    </row>
    <row r="1919" spans="1:4" ht="45">
      <c r="A1919" s="47">
        <v>92770</v>
      </c>
      <c r="B1919" s="48" t="s">
        <v>2121</v>
      </c>
      <c r="C1919" s="47" t="s">
        <v>90</v>
      </c>
      <c r="D1919" s="332">
        <v>7.68</v>
      </c>
    </row>
    <row r="1920" spans="1:4" ht="45">
      <c r="A1920" s="28">
        <v>92771</v>
      </c>
      <c r="B1920" s="26" t="s">
        <v>2116</v>
      </c>
      <c r="C1920" s="28" t="s">
        <v>90</v>
      </c>
      <c r="D1920" s="329">
        <v>6.24</v>
      </c>
    </row>
    <row r="1921" spans="1:4" ht="45">
      <c r="A1921" s="47">
        <v>92772</v>
      </c>
      <c r="B1921" s="48" t="s">
        <v>2117</v>
      </c>
      <c r="C1921" s="47" t="s">
        <v>90</v>
      </c>
      <c r="D1921" s="332">
        <v>5.55</v>
      </c>
    </row>
    <row r="1922" spans="1:4" ht="45">
      <c r="A1922" s="28">
        <v>92773</v>
      </c>
      <c r="B1922" s="26" t="s">
        <v>2118</v>
      </c>
      <c r="C1922" s="28" t="s">
        <v>90</v>
      </c>
      <c r="D1922" s="329">
        <v>5.31</v>
      </c>
    </row>
    <row r="1923" spans="1:4" ht="45">
      <c r="A1923" s="47">
        <v>92774</v>
      </c>
      <c r="B1923" s="48" t="s">
        <v>2119</v>
      </c>
      <c r="C1923" s="47" t="s">
        <v>90</v>
      </c>
      <c r="D1923" s="332">
        <v>4.93</v>
      </c>
    </row>
    <row r="1924" spans="1:4" ht="45">
      <c r="A1924" s="28">
        <v>92775</v>
      </c>
      <c r="B1924" s="26" t="s">
        <v>2139</v>
      </c>
      <c r="C1924" s="28" t="s">
        <v>90</v>
      </c>
      <c r="D1924" s="329">
        <v>12.8</v>
      </c>
    </row>
    <row r="1925" spans="1:4" ht="45">
      <c r="A1925" s="47">
        <v>92776</v>
      </c>
      <c r="B1925" s="48" t="s">
        <v>2137</v>
      </c>
      <c r="C1925" s="47" t="s">
        <v>90</v>
      </c>
      <c r="D1925" s="332">
        <v>11.65</v>
      </c>
    </row>
    <row r="1926" spans="1:4" ht="45">
      <c r="A1926" s="28">
        <v>92777</v>
      </c>
      <c r="B1926" s="26" t="s">
        <v>2138</v>
      </c>
      <c r="C1926" s="28" t="s">
        <v>90</v>
      </c>
      <c r="D1926" s="329">
        <v>11.11</v>
      </c>
    </row>
    <row r="1927" spans="1:4" ht="45">
      <c r="A1927" s="47">
        <v>92778</v>
      </c>
      <c r="B1927" s="48" t="s">
        <v>2132</v>
      </c>
      <c r="C1927" s="47" t="s">
        <v>90</v>
      </c>
      <c r="D1927" s="332">
        <v>9.02</v>
      </c>
    </row>
    <row r="1928" spans="1:4" ht="45">
      <c r="A1928" s="28">
        <v>92779</v>
      </c>
      <c r="B1928" s="26" t="s">
        <v>2133</v>
      </c>
      <c r="C1928" s="28" t="s">
        <v>90</v>
      </c>
      <c r="D1928" s="329">
        <v>7.52</v>
      </c>
    </row>
    <row r="1929" spans="1:4" ht="45">
      <c r="A1929" s="47">
        <v>92780</v>
      </c>
      <c r="B1929" s="48" t="s">
        <v>2134</v>
      </c>
      <c r="C1929" s="47" t="s">
        <v>90</v>
      </c>
      <c r="D1929" s="332">
        <v>6.03</v>
      </c>
    </row>
    <row r="1930" spans="1:4" ht="45">
      <c r="A1930" s="28">
        <v>92781</v>
      </c>
      <c r="B1930" s="26" t="s">
        <v>2135</v>
      </c>
      <c r="C1930" s="28" t="s">
        <v>90</v>
      </c>
      <c r="D1930" s="329">
        <v>5.41</v>
      </c>
    </row>
    <row r="1931" spans="1:4" ht="45">
      <c r="A1931" s="47">
        <v>92782</v>
      </c>
      <c r="B1931" s="48" t="s">
        <v>2136</v>
      </c>
      <c r="C1931" s="47" t="s">
        <v>90</v>
      </c>
      <c r="D1931" s="332">
        <v>5.8</v>
      </c>
    </row>
    <row r="1932" spans="1:4" ht="45">
      <c r="A1932" s="28">
        <v>92783</v>
      </c>
      <c r="B1932" s="26" t="s">
        <v>2114</v>
      </c>
      <c r="C1932" s="28" t="s">
        <v>90</v>
      </c>
      <c r="D1932" s="329">
        <v>10.85</v>
      </c>
    </row>
    <row r="1933" spans="1:4" ht="45">
      <c r="A1933" s="47">
        <v>92784</v>
      </c>
      <c r="B1933" s="48" t="s">
        <v>2115</v>
      </c>
      <c r="C1933" s="47" t="s">
        <v>90</v>
      </c>
      <c r="D1933" s="332">
        <v>9.67</v>
      </c>
    </row>
    <row r="1934" spans="1:4" ht="45">
      <c r="A1934" s="28">
        <v>92785</v>
      </c>
      <c r="B1934" s="26" t="s">
        <v>2112</v>
      </c>
      <c r="C1934" s="28" t="s">
        <v>90</v>
      </c>
      <c r="D1934" s="329">
        <v>8.64</v>
      </c>
    </row>
    <row r="1935" spans="1:4" ht="45">
      <c r="A1935" s="47">
        <v>92786</v>
      </c>
      <c r="B1935" s="48" t="s">
        <v>2113</v>
      </c>
      <c r="C1935" s="47" t="s">
        <v>90</v>
      </c>
      <c r="D1935" s="332">
        <v>8.41</v>
      </c>
    </row>
    <row r="1936" spans="1:4" ht="45">
      <c r="A1936" s="28">
        <v>92787</v>
      </c>
      <c r="B1936" s="26" t="s">
        <v>2108</v>
      </c>
      <c r="C1936" s="28" t="s">
        <v>90</v>
      </c>
      <c r="D1936" s="329">
        <v>6.78</v>
      </c>
    </row>
    <row r="1937" spans="1:4" ht="45">
      <c r="A1937" s="47">
        <v>92788</v>
      </c>
      <c r="B1937" s="48" t="s">
        <v>2109</v>
      </c>
      <c r="C1937" s="47" t="s">
        <v>90</v>
      </c>
      <c r="D1937" s="332">
        <v>5.93</v>
      </c>
    </row>
    <row r="1938" spans="1:4" ht="45">
      <c r="A1938" s="28">
        <v>92789</v>
      </c>
      <c r="B1938" s="26" t="s">
        <v>2110</v>
      </c>
      <c r="C1938" s="28" t="s">
        <v>90</v>
      </c>
      <c r="D1938" s="329">
        <v>5.55</v>
      </c>
    </row>
    <row r="1939" spans="1:4" ht="45">
      <c r="A1939" s="47">
        <v>92790</v>
      </c>
      <c r="B1939" s="48" t="s">
        <v>2111</v>
      </c>
      <c r="C1939" s="47" t="s">
        <v>90</v>
      </c>
      <c r="D1939" s="332">
        <v>5.08</v>
      </c>
    </row>
    <row r="1940" spans="1:4" ht="30">
      <c r="A1940" s="28">
        <v>92791</v>
      </c>
      <c r="B1940" s="26" t="s">
        <v>4113</v>
      </c>
      <c r="C1940" s="28" t="s">
        <v>90</v>
      </c>
      <c r="D1940" s="329">
        <v>8.1999999999999993</v>
      </c>
    </row>
    <row r="1941" spans="1:4" ht="30">
      <c r="A1941" s="47">
        <v>92792</v>
      </c>
      <c r="B1941" s="48" t="s">
        <v>4108</v>
      </c>
      <c r="C1941" s="47" t="s">
        <v>90</v>
      </c>
      <c r="D1941" s="332">
        <v>8.07</v>
      </c>
    </row>
    <row r="1942" spans="1:4" ht="30">
      <c r="A1942" s="28">
        <v>92793</v>
      </c>
      <c r="B1942" s="26" t="s">
        <v>4110</v>
      </c>
      <c r="C1942" s="28" t="s">
        <v>90</v>
      </c>
      <c r="D1942" s="329">
        <v>8.3800000000000008</v>
      </c>
    </row>
    <row r="1943" spans="1:4" ht="30">
      <c r="A1943" s="47">
        <v>92794</v>
      </c>
      <c r="B1943" s="48" t="s">
        <v>4099</v>
      </c>
      <c r="C1943" s="47" t="s">
        <v>90</v>
      </c>
      <c r="D1943" s="332">
        <v>6.92</v>
      </c>
    </row>
    <row r="1944" spans="1:4" ht="30">
      <c r="A1944" s="28">
        <v>92795</v>
      </c>
      <c r="B1944" s="26" t="s">
        <v>4101</v>
      </c>
      <c r="C1944" s="28" t="s">
        <v>90</v>
      </c>
      <c r="D1944" s="329">
        <v>5.93</v>
      </c>
    </row>
    <row r="1945" spans="1:4" ht="30">
      <c r="A1945" s="47">
        <v>92796</v>
      </c>
      <c r="B1945" s="48" t="s">
        <v>4103</v>
      </c>
      <c r="C1945" s="47" t="s">
        <v>90</v>
      </c>
      <c r="D1945" s="332">
        <v>4.8899999999999997</v>
      </c>
    </row>
    <row r="1946" spans="1:4" ht="30">
      <c r="A1946" s="28">
        <v>92797</v>
      </c>
      <c r="B1946" s="26" t="s">
        <v>4105</v>
      </c>
      <c r="C1946" s="28" t="s">
        <v>90</v>
      </c>
      <c r="D1946" s="329">
        <v>4.59</v>
      </c>
    </row>
    <row r="1947" spans="1:4" ht="30">
      <c r="A1947" s="47">
        <v>92798</v>
      </c>
      <c r="B1947" s="48" t="s">
        <v>4107</v>
      </c>
      <c r="C1947" s="47" t="s">
        <v>90</v>
      </c>
      <c r="D1947" s="332">
        <v>5.23</v>
      </c>
    </row>
    <row r="1948" spans="1:4">
      <c r="A1948" s="28">
        <v>92799</v>
      </c>
      <c r="B1948" s="26" t="s">
        <v>4112</v>
      </c>
      <c r="C1948" s="28" t="s">
        <v>90</v>
      </c>
      <c r="D1948" s="329">
        <v>6.73</v>
      </c>
    </row>
    <row r="1949" spans="1:4">
      <c r="A1949" s="47">
        <v>92800</v>
      </c>
      <c r="B1949" s="48" t="s">
        <v>4114</v>
      </c>
      <c r="C1949" s="47" t="s">
        <v>90</v>
      </c>
      <c r="D1949" s="332">
        <v>6.28</v>
      </c>
    </row>
    <row r="1950" spans="1:4">
      <c r="A1950" s="28">
        <v>92801</v>
      </c>
      <c r="B1950" s="26" t="s">
        <v>4109</v>
      </c>
      <c r="C1950" s="28" t="s">
        <v>90</v>
      </c>
      <c r="D1950" s="329">
        <v>6.06</v>
      </c>
    </row>
    <row r="1951" spans="1:4">
      <c r="A1951" s="47">
        <v>92802</v>
      </c>
      <c r="B1951" s="48" t="s">
        <v>4111</v>
      </c>
      <c r="C1951" s="47" t="s">
        <v>90</v>
      </c>
      <c r="D1951" s="332">
        <v>6.48</v>
      </c>
    </row>
    <row r="1952" spans="1:4">
      <c r="A1952" s="28">
        <v>92803</v>
      </c>
      <c r="B1952" s="26" t="s">
        <v>4100</v>
      </c>
      <c r="C1952" s="28" t="s">
        <v>90</v>
      </c>
      <c r="D1952" s="329">
        <v>5.32</v>
      </c>
    </row>
    <row r="1953" spans="1:4">
      <c r="A1953" s="47">
        <v>92804</v>
      </c>
      <c r="B1953" s="48" t="s">
        <v>4102</v>
      </c>
      <c r="C1953" s="47" t="s">
        <v>90</v>
      </c>
      <c r="D1953" s="332">
        <v>4.84</v>
      </c>
    </row>
    <row r="1954" spans="1:4">
      <c r="A1954" s="28">
        <v>92805</v>
      </c>
      <c r="B1954" s="26" t="s">
        <v>4104</v>
      </c>
      <c r="C1954" s="28" t="s">
        <v>90</v>
      </c>
      <c r="D1954" s="329">
        <v>4.78</v>
      </c>
    </row>
    <row r="1955" spans="1:4">
      <c r="A1955" s="47">
        <v>92806</v>
      </c>
      <c r="B1955" s="48" t="s">
        <v>4106</v>
      </c>
      <c r="C1955" s="47" t="s">
        <v>90</v>
      </c>
      <c r="D1955" s="332">
        <v>4.53</v>
      </c>
    </row>
    <row r="1956" spans="1:4">
      <c r="A1956" s="28">
        <v>92875</v>
      </c>
      <c r="B1956" s="26" t="s">
        <v>4097</v>
      </c>
      <c r="C1956" s="28" t="s">
        <v>90</v>
      </c>
      <c r="D1956" s="329">
        <v>8.09</v>
      </c>
    </row>
    <row r="1957" spans="1:4">
      <c r="A1957" s="47">
        <v>92876</v>
      </c>
      <c r="B1957" s="48" t="s">
        <v>4098</v>
      </c>
      <c r="C1957" s="47" t="s">
        <v>90</v>
      </c>
      <c r="D1957" s="332">
        <v>7.72</v>
      </c>
    </row>
    <row r="1958" spans="1:4">
      <c r="A1958" s="28">
        <v>92877</v>
      </c>
      <c r="B1958" s="26" t="s">
        <v>4092</v>
      </c>
      <c r="C1958" s="28" t="s">
        <v>90</v>
      </c>
      <c r="D1958" s="329">
        <v>6.8</v>
      </c>
    </row>
    <row r="1959" spans="1:4">
      <c r="A1959" s="47">
        <v>92878</v>
      </c>
      <c r="B1959" s="48" t="s">
        <v>4093</v>
      </c>
      <c r="C1959" s="47" t="s">
        <v>90</v>
      </c>
      <c r="D1959" s="332">
        <v>6.08</v>
      </c>
    </row>
    <row r="1960" spans="1:4">
      <c r="A1960" s="28">
        <v>92879</v>
      </c>
      <c r="B1960" s="26" t="s">
        <v>4094</v>
      </c>
      <c r="C1960" s="28" t="s">
        <v>90</v>
      </c>
      <c r="D1960" s="329">
        <v>5.03</v>
      </c>
    </row>
    <row r="1961" spans="1:4">
      <c r="A1961" s="47">
        <v>92880</v>
      </c>
      <c r="B1961" s="48" t="s">
        <v>4095</v>
      </c>
      <c r="C1961" s="47" t="s">
        <v>90</v>
      </c>
      <c r="D1961" s="332">
        <v>5.04</v>
      </c>
    </row>
    <row r="1962" spans="1:4">
      <c r="A1962" s="28">
        <v>92881</v>
      </c>
      <c r="B1962" s="26" t="s">
        <v>4096</v>
      </c>
      <c r="C1962" s="28" t="s">
        <v>90</v>
      </c>
      <c r="D1962" s="329">
        <v>4.99</v>
      </c>
    </row>
    <row r="1963" spans="1:4">
      <c r="A1963" s="47">
        <v>92882</v>
      </c>
      <c r="B1963" s="48" t="s">
        <v>2163</v>
      </c>
      <c r="C1963" s="47" t="s">
        <v>90</v>
      </c>
      <c r="D1963" s="332">
        <v>10.210000000000001</v>
      </c>
    </row>
    <row r="1964" spans="1:4">
      <c r="A1964" s="28">
        <v>92883</v>
      </c>
      <c r="B1964" s="26" t="s">
        <v>2164</v>
      </c>
      <c r="C1964" s="28" t="s">
        <v>90</v>
      </c>
      <c r="D1964" s="329">
        <v>9.36</v>
      </c>
    </row>
    <row r="1965" spans="1:4">
      <c r="A1965" s="47">
        <v>92884</v>
      </c>
      <c r="B1965" s="48" t="s">
        <v>2158</v>
      </c>
      <c r="C1965" s="47" t="s">
        <v>90</v>
      </c>
      <c r="D1965" s="332">
        <v>8.08</v>
      </c>
    </row>
    <row r="1966" spans="1:4">
      <c r="A1966" s="28">
        <v>92885</v>
      </c>
      <c r="B1966" s="26" t="s">
        <v>2159</v>
      </c>
      <c r="C1966" s="28" t="s">
        <v>90</v>
      </c>
      <c r="D1966" s="329">
        <v>7.07</v>
      </c>
    </row>
    <row r="1967" spans="1:4">
      <c r="A1967" s="47">
        <v>92886</v>
      </c>
      <c r="B1967" s="48" t="s">
        <v>2160</v>
      </c>
      <c r="C1967" s="47" t="s">
        <v>90</v>
      </c>
      <c r="D1967" s="332">
        <v>5.77</v>
      </c>
    </row>
    <row r="1968" spans="1:4">
      <c r="A1968" s="28">
        <v>92887</v>
      </c>
      <c r="B1968" s="26" t="s">
        <v>2161</v>
      </c>
      <c r="C1968" s="28" t="s">
        <v>90</v>
      </c>
      <c r="D1968" s="329">
        <v>5.6</v>
      </c>
    </row>
    <row r="1969" spans="1:4">
      <c r="A1969" s="47">
        <v>92888</v>
      </c>
      <c r="B1969" s="48" t="s">
        <v>2162</v>
      </c>
      <c r="C1969" s="47" t="s">
        <v>90</v>
      </c>
      <c r="D1969" s="332">
        <v>5.4</v>
      </c>
    </row>
    <row r="1970" spans="1:4" ht="45">
      <c r="A1970" s="28">
        <v>92915</v>
      </c>
      <c r="B1970" s="26" t="s">
        <v>10958</v>
      </c>
      <c r="C1970" s="28" t="s">
        <v>90</v>
      </c>
      <c r="D1970" s="329">
        <v>11.85</v>
      </c>
    </row>
    <row r="1971" spans="1:4" ht="45">
      <c r="A1971" s="47">
        <v>92916</v>
      </c>
      <c r="B1971" s="48" t="s">
        <v>10959</v>
      </c>
      <c r="C1971" s="47" t="s">
        <v>90</v>
      </c>
      <c r="D1971" s="332">
        <v>10.92</v>
      </c>
    </row>
    <row r="1972" spans="1:4" ht="45">
      <c r="A1972" s="28">
        <v>92917</v>
      </c>
      <c r="B1972" s="26" t="s">
        <v>10960</v>
      </c>
      <c r="C1972" s="28" t="s">
        <v>90</v>
      </c>
      <c r="D1972" s="329">
        <v>10.57</v>
      </c>
    </row>
    <row r="1973" spans="1:4" ht="45">
      <c r="A1973" s="47">
        <v>92919</v>
      </c>
      <c r="B1973" s="48" t="s">
        <v>10961</v>
      </c>
      <c r="C1973" s="47" t="s">
        <v>90</v>
      </c>
      <c r="D1973" s="332">
        <v>8.61</v>
      </c>
    </row>
    <row r="1974" spans="1:4" ht="45">
      <c r="A1974" s="28">
        <v>92921</v>
      </c>
      <c r="B1974" s="26" t="s">
        <v>10962</v>
      </c>
      <c r="C1974" s="28" t="s">
        <v>90</v>
      </c>
      <c r="D1974" s="329">
        <v>7.22</v>
      </c>
    </row>
    <row r="1975" spans="1:4" ht="45">
      <c r="A1975" s="47">
        <v>92922</v>
      </c>
      <c r="B1975" s="48" t="s">
        <v>10963</v>
      </c>
      <c r="C1975" s="47" t="s">
        <v>90</v>
      </c>
      <c r="D1975" s="332">
        <v>5.83</v>
      </c>
    </row>
    <row r="1976" spans="1:4" ht="45">
      <c r="A1976" s="28">
        <v>92923</v>
      </c>
      <c r="B1976" s="26" t="s">
        <v>10964</v>
      </c>
      <c r="C1976" s="28" t="s">
        <v>90</v>
      </c>
      <c r="D1976" s="329">
        <v>5.28</v>
      </c>
    </row>
    <row r="1977" spans="1:4" ht="45">
      <c r="A1977" s="47">
        <v>92924</v>
      </c>
      <c r="B1977" s="48" t="s">
        <v>10965</v>
      </c>
      <c r="C1977" s="47" t="s">
        <v>90</v>
      </c>
      <c r="D1977" s="332">
        <v>5.73</v>
      </c>
    </row>
    <row r="1978" spans="1:4" ht="30">
      <c r="A1978" s="28">
        <v>95445</v>
      </c>
      <c r="B1978" s="26" t="s">
        <v>10966</v>
      </c>
      <c r="C1978" s="28" t="s">
        <v>90</v>
      </c>
      <c r="D1978" s="329">
        <v>4.87</v>
      </c>
    </row>
    <row r="1979" spans="1:4" ht="30">
      <c r="A1979" s="47">
        <v>95446</v>
      </c>
      <c r="B1979" s="48" t="s">
        <v>10967</v>
      </c>
      <c r="C1979" s="47" t="s">
        <v>90</v>
      </c>
      <c r="D1979" s="332">
        <v>5</v>
      </c>
    </row>
    <row r="1980" spans="1:4" ht="30">
      <c r="A1980" s="28">
        <v>95576</v>
      </c>
      <c r="B1980" s="26" t="s">
        <v>10968</v>
      </c>
      <c r="C1980" s="28" t="s">
        <v>90</v>
      </c>
      <c r="D1980" s="329">
        <v>10.15</v>
      </c>
    </row>
    <row r="1981" spans="1:4" ht="30">
      <c r="A1981" s="47">
        <v>95577</v>
      </c>
      <c r="B1981" s="48" t="s">
        <v>10969</v>
      </c>
      <c r="C1981" s="47" t="s">
        <v>90</v>
      </c>
      <c r="D1981" s="332">
        <v>8.3800000000000008</v>
      </c>
    </row>
    <row r="1982" spans="1:4" ht="30">
      <c r="A1982" s="28">
        <v>95578</v>
      </c>
      <c r="B1982" s="26" t="s">
        <v>10970</v>
      </c>
      <c r="C1982" s="28" t="s">
        <v>90</v>
      </c>
      <c r="D1982" s="329">
        <v>7.15</v>
      </c>
    </row>
    <row r="1983" spans="1:4" ht="30">
      <c r="A1983" s="47">
        <v>95579</v>
      </c>
      <c r="B1983" s="48" t="s">
        <v>10971</v>
      </c>
      <c r="C1983" s="47" t="s">
        <v>90</v>
      </c>
      <c r="D1983" s="332">
        <v>5.87</v>
      </c>
    </row>
    <row r="1984" spans="1:4" ht="30">
      <c r="A1984" s="28">
        <v>95580</v>
      </c>
      <c r="B1984" s="26" t="s">
        <v>10972</v>
      </c>
      <c r="C1984" s="28" t="s">
        <v>90</v>
      </c>
      <c r="D1984" s="329">
        <v>5.42</v>
      </c>
    </row>
    <row r="1985" spans="1:4" ht="30">
      <c r="A1985" s="47">
        <v>95581</v>
      </c>
      <c r="B1985" s="48" t="s">
        <v>10973</v>
      </c>
      <c r="C1985" s="47" t="s">
        <v>90</v>
      </c>
      <c r="D1985" s="332">
        <v>5.93</v>
      </c>
    </row>
    <row r="1986" spans="1:4" ht="30">
      <c r="A1986" s="28">
        <v>95583</v>
      </c>
      <c r="B1986" s="26" t="s">
        <v>10974</v>
      </c>
      <c r="C1986" s="28" t="s">
        <v>90</v>
      </c>
      <c r="D1986" s="329">
        <v>10.14</v>
      </c>
    </row>
    <row r="1987" spans="1:4" ht="30">
      <c r="A1987" s="47">
        <v>95584</v>
      </c>
      <c r="B1987" s="48" t="s">
        <v>10975</v>
      </c>
      <c r="C1987" s="47" t="s">
        <v>90</v>
      </c>
      <c r="D1987" s="332">
        <v>8.34</v>
      </c>
    </row>
    <row r="1988" spans="1:4" ht="30">
      <c r="A1988" s="28">
        <v>95585</v>
      </c>
      <c r="B1988" s="26" t="s">
        <v>10976</v>
      </c>
      <c r="C1988" s="28" t="s">
        <v>90</v>
      </c>
      <c r="D1988" s="329">
        <v>10.48</v>
      </c>
    </row>
    <row r="1989" spans="1:4" ht="30">
      <c r="A1989" s="47">
        <v>95586</v>
      </c>
      <c r="B1989" s="48" t="s">
        <v>10977</v>
      </c>
      <c r="C1989" s="47" t="s">
        <v>90</v>
      </c>
      <c r="D1989" s="332">
        <v>8.6300000000000008</v>
      </c>
    </row>
    <row r="1990" spans="1:4" ht="30">
      <c r="A1990" s="28">
        <v>95587</v>
      </c>
      <c r="B1990" s="26" t="s">
        <v>10978</v>
      </c>
      <c r="C1990" s="28" t="s">
        <v>90</v>
      </c>
      <c r="D1990" s="329">
        <v>7.36</v>
      </c>
    </row>
    <row r="1991" spans="1:4" ht="30">
      <c r="A1991" s="47">
        <v>95588</v>
      </c>
      <c r="B1991" s="48" t="s">
        <v>10979</v>
      </c>
      <c r="C1991" s="47" t="s">
        <v>90</v>
      </c>
      <c r="D1991" s="332">
        <v>6.04</v>
      </c>
    </row>
    <row r="1992" spans="1:4" ht="30">
      <c r="A1992" s="28">
        <v>95589</v>
      </c>
      <c r="B1992" s="26" t="s">
        <v>10980</v>
      </c>
      <c r="C1992" s="28" t="s">
        <v>90</v>
      </c>
      <c r="D1992" s="329">
        <v>5.55</v>
      </c>
    </row>
    <row r="1993" spans="1:4" ht="30">
      <c r="A1993" s="47">
        <v>95590</v>
      </c>
      <c r="B1993" s="48" t="s">
        <v>10981</v>
      </c>
      <c r="C1993" s="47" t="s">
        <v>90</v>
      </c>
      <c r="D1993" s="332">
        <v>6.05</v>
      </c>
    </row>
    <row r="1994" spans="1:4" ht="30">
      <c r="A1994" s="28">
        <v>95592</v>
      </c>
      <c r="B1994" s="26" t="s">
        <v>10982</v>
      </c>
      <c r="C1994" s="28" t="s">
        <v>90</v>
      </c>
      <c r="D1994" s="329">
        <v>14.48</v>
      </c>
    </row>
    <row r="1995" spans="1:4" ht="30">
      <c r="A1995" s="47">
        <v>95593</v>
      </c>
      <c r="B1995" s="48" t="s">
        <v>10983</v>
      </c>
      <c r="C1995" s="47" t="s">
        <v>90</v>
      </c>
      <c r="D1995" s="332">
        <v>12.04</v>
      </c>
    </row>
    <row r="1996" spans="1:4">
      <c r="A1996" s="28">
        <v>40780</v>
      </c>
      <c r="B1996" s="26" t="s">
        <v>8709</v>
      </c>
      <c r="C1996" s="28" t="s">
        <v>256</v>
      </c>
      <c r="D1996" s="329">
        <v>7.68</v>
      </c>
    </row>
    <row r="1997" spans="1:4">
      <c r="A1997" s="47" t="s">
        <v>540</v>
      </c>
      <c r="B1997" s="48" t="s">
        <v>6684</v>
      </c>
      <c r="C1997" s="47" t="s">
        <v>255</v>
      </c>
      <c r="D1997" s="332">
        <v>81.069999999999993</v>
      </c>
    </row>
    <row r="1998" spans="1:4">
      <c r="A1998" s="28">
        <v>89993</v>
      </c>
      <c r="B1998" s="26" t="s">
        <v>541</v>
      </c>
      <c r="C1998" s="28" t="s">
        <v>255</v>
      </c>
      <c r="D1998" s="329">
        <v>524.72</v>
      </c>
    </row>
    <row r="1999" spans="1:4" ht="30">
      <c r="A1999" s="47">
        <v>89994</v>
      </c>
      <c r="B1999" s="48" t="s">
        <v>5829</v>
      </c>
      <c r="C1999" s="47" t="s">
        <v>255</v>
      </c>
      <c r="D1999" s="332">
        <v>440.19</v>
      </c>
    </row>
    <row r="2000" spans="1:4" ht="30">
      <c r="A2000" s="28">
        <v>89995</v>
      </c>
      <c r="B2000" s="26" t="s">
        <v>5830</v>
      </c>
      <c r="C2000" s="28" t="s">
        <v>255</v>
      </c>
      <c r="D2000" s="329">
        <v>503.1</v>
      </c>
    </row>
    <row r="2001" spans="1:4" ht="30">
      <c r="A2001" s="47">
        <v>90278</v>
      </c>
      <c r="B2001" s="48" t="s">
        <v>5821</v>
      </c>
      <c r="C2001" s="47" t="s">
        <v>255</v>
      </c>
      <c r="D2001" s="332">
        <v>252.12</v>
      </c>
    </row>
    <row r="2002" spans="1:4" ht="30">
      <c r="A2002" s="28">
        <v>90279</v>
      </c>
      <c r="B2002" s="26" t="s">
        <v>5823</v>
      </c>
      <c r="C2002" s="28" t="s">
        <v>255</v>
      </c>
      <c r="D2002" s="329">
        <v>267.22000000000003</v>
      </c>
    </row>
    <row r="2003" spans="1:4" ht="30">
      <c r="A2003" s="47">
        <v>90280</v>
      </c>
      <c r="B2003" s="48" t="s">
        <v>5825</v>
      </c>
      <c r="C2003" s="47" t="s">
        <v>255</v>
      </c>
      <c r="D2003" s="332">
        <v>295.92</v>
      </c>
    </row>
    <row r="2004" spans="1:4" ht="30">
      <c r="A2004" s="28">
        <v>90281</v>
      </c>
      <c r="B2004" s="26" t="s">
        <v>5827</v>
      </c>
      <c r="C2004" s="28" t="s">
        <v>255</v>
      </c>
      <c r="D2004" s="329">
        <v>336.02</v>
      </c>
    </row>
    <row r="2005" spans="1:4" ht="30">
      <c r="A2005" s="47">
        <v>90282</v>
      </c>
      <c r="B2005" s="48" t="s">
        <v>5822</v>
      </c>
      <c r="C2005" s="47" t="s">
        <v>255</v>
      </c>
      <c r="D2005" s="332">
        <v>256.57</v>
      </c>
    </row>
    <row r="2006" spans="1:4" ht="30">
      <c r="A2006" s="28">
        <v>90283</v>
      </c>
      <c r="B2006" s="26" t="s">
        <v>5824</v>
      </c>
      <c r="C2006" s="28" t="s">
        <v>255</v>
      </c>
      <c r="D2006" s="329">
        <v>273.06</v>
      </c>
    </row>
    <row r="2007" spans="1:4" ht="30">
      <c r="A2007" s="47">
        <v>90284</v>
      </c>
      <c r="B2007" s="48" t="s">
        <v>5826</v>
      </c>
      <c r="C2007" s="47" t="s">
        <v>255</v>
      </c>
      <c r="D2007" s="332">
        <v>302.81</v>
      </c>
    </row>
    <row r="2008" spans="1:4" ht="30">
      <c r="A2008" s="28">
        <v>90285</v>
      </c>
      <c r="B2008" s="26" t="s">
        <v>5828</v>
      </c>
      <c r="C2008" s="28" t="s">
        <v>255</v>
      </c>
      <c r="D2008" s="329">
        <v>345.86</v>
      </c>
    </row>
    <row r="2009" spans="1:4" ht="45">
      <c r="A2009" s="47">
        <v>90853</v>
      </c>
      <c r="B2009" s="48" t="s">
        <v>3722</v>
      </c>
      <c r="C2009" s="47" t="s">
        <v>255</v>
      </c>
      <c r="D2009" s="332">
        <v>343.67</v>
      </c>
    </row>
    <row r="2010" spans="1:4" ht="45">
      <c r="A2010" s="28">
        <v>90854</v>
      </c>
      <c r="B2010" s="26" t="s">
        <v>3724</v>
      </c>
      <c r="C2010" s="28" t="s">
        <v>255</v>
      </c>
      <c r="D2010" s="329">
        <v>333.15</v>
      </c>
    </row>
    <row r="2011" spans="1:4" ht="45">
      <c r="A2011" s="47">
        <v>90855</v>
      </c>
      <c r="B2011" s="48" t="s">
        <v>3733</v>
      </c>
      <c r="C2011" s="47" t="s">
        <v>255</v>
      </c>
      <c r="D2011" s="332">
        <v>364.77</v>
      </c>
    </row>
    <row r="2012" spans="1:4" ht="45">
      <c r="A2012" s="28">
        <v>90856</v>
      </c>
      <c r="B2012" s="26" t="s">
        <v>3721</v>
      </c>
      <c r="C2012" s="28" t="s">
        <v>255</v>
      </c>
      <c r="D2012" s="329">
        <v>346.58</v>
      </c>
    </row>
    <row r="2013" spans="1:4" ht="45">
      <c r="A2013" s="47">
        <v>90857</v>
      </c>
      <c r="B2013" s="48" t="s">
        <v>3723</v>
      </c>
      <c r="C2013" s="47" t="s">
        <v>255</v>
      </c>
      <c r="D2013" s="332">
        <v>335.08</v>
      </c>
    </row>
    <row r="2014" spans="1:4" ht="45">
      <c r="A2014" s="28">
        <v>90858</v>
      </c>
      <c r="B2014" s="26" t="s">
        <v>3731</v>
      </c>
      <c r="C2014" s="28" t="s">
        <v>255</v>
      </c>
      <c r="D2014" s="329">
        <v>378.07</v>
      </c>
    </row>
    <row r="2015" spans="1:4" ht="45">
      <c r="A2015" s="47">
        <v>90859</v>
      </c>
      <c r="B2015" s="48" t="s">
        <v>3732</v>
      </c>
      <c r="C2015" s="47" t="s">
        <v>255</v>
      </c>
      <c r="D2015" s="332">
        <v>327.11</v>
      </c>
    </row>
    <row r="2016" spans="1:4" ht="45">
      <c r="A2016" s="28">
        <v>90860</v>
      </c>
      <c r="B2016" s="26" t="s">
        <v>3730</v>
      </c>
      <c r="C2016" s="28" t="s">
        <v>255</v>
      </c>
      <c r="D2016" s="329">
        <v>331.09</v>
      </c>
    </row>
    <row r="2017" spans="1:4" ht="45">
      <c r="A2017" s="47">
        <v>90861</v>
      </c>
      <c r="B2017" s="48" t="s">
        <v>3720</v>
      </c>
      <c r="C2017" s="47" t="s">
        <v>255</v>
      </c>
      <c r="D2017" s="332">
        <v>338.28</v>
      </c>
    </row>
    <row r="2018" spans="1:4" ht="45">
      <c r="A2018" s="28">
        <v>90862</v>
      </c>
      <c r="B2018" s="26" t="s">
        <v>3719</v>
      </c>
      <c r="C2018" s="28" t="s">
        <v>255</v>
      </c>
      <c r="D2018" s="329">
        <v>307.36</v>
      </c>
    </row>
    <row r="2019" spans="1:4" ht="45">
      <c r="A2019" s="47">
        <v>92718</v>
      </c>
      <c r="B2019" s="48" t="s">
        <v>3725</v>
      </c>
      <c r="C2019" s="47" t="s">
        <v>255</v>
      </c>
      <c r="D2019" s="332">
        <v>400.86</v>
      </c>
    </row>
    <row r="2020" spans="1:4" ht="45">
      <c r="A2020" s="28">
        <v>92719</v>
      </c>
      <c r="B2020" s="26" t="s">
        <v>3729</v>
      </c>
      <c r="C2020" s="28" t="s">
        <v>255</v>
      </c>
      <c r="D2020" s="329">
        <v>295.73</v>
      </c>
    </row>
    <row r="2021" spans="1:4" ht="45">
      <c r="A2021" s="47">
        <v>92720</v>
      </c>
      <c r="B2021" s="48" t="s">
        <v>3727</v>
      </c>
      <c r="C2021" s="47" t="s">
        <v>255</v>
      </c>
      <c r="D2021" s="332">
        <v>337.06</v>
      </c>
    </row>
    <row r="2022" spans="1:4" ht="45">
      <c r="A2022" s="28">
        <v>92721</v>
      </c>
      <c r="B2022" s="26" t="s">
        <v>3728</v>
      </c>
      <c r="C2022" s="28" t="s">
        <v>255</v>
      </c>
      <c r="D2022" s="329">
        <v>289.3</v>
      </c>
    </row>
    <row r="2023" spans="1:4" ht="45">
      <c r="A2023" s="47">
        <v>92722</v>
      </c>
      <c r="B2023" s="48" t="s">
        <v>3726</v>
      </c>
      <c r="C2023" s="47" t="s">
        <v>255</v>
      </c>
      <c r="D2023" s="332">
        <v>334.45</v>
      </c>
    </row>
    <row r="2024" spans="1:4" ht="45">
      <c r="A2024" s="28">
        <v>92723</v>
      </c>
      <c r="B2024" s="26" t="s">
        <v>3749</v>
      </c>
      <c r="C2024" s="28" t="s">
        <v>255</v>
      </c>
      <c r="D2024" s="329">
        <v>325.56</v>
      </c>
    </row>
    <row r="2025" spans="1:4" ht="45">
      <c r="A2025" s="47">
        <v>92724</v>
      </c>
      <c r="B2025" s="48" t="s">
        <v>3748</v>
      </c>
      <c r="C2025" s="47" t="s">
        <v>255</v>
      </c>
      <c r="D2025" s="332">
        <v>323.19</v>
      </c>
    </row>
    <row r="2026" spans="1:4" ht="45">
      <c r="A2026" s="28">
        <v>92725</v>
      </c>
      <c r="B2026" s="26" t="s">
        <v>3741</v>
      </c>
      <c r="C2026" s="28" t="s">
        <v>255</v>
      </c>
      <c r="D2026" s="329">
        <v>322.19</v>
      </c>
    </row>
    <row r="2027" spans="1:4" ht="45">
      <c r="A2027" s="47">
        <v>92726</v>
      </c>
      <c r="B2027" s="48" t="s">
        <v>3740</v>
      </c>
      <c r="C2027" s="47" t="s">
        <v>255</v>
      </c>
      <c r="D2027" s="332">
        <v>320.5</v>
      </c>
    </row>
    <row r="2028" spans="1:4" ht="60">
      <c r="A2028" s="28">
        <v>92727</v>
      </c>
      <c r="B2028" s="26" t="s">
        <v>3747</v>
      </c>
      <c r="C2028" s="28" t="s">
        <v>255</v>
      </c>
      <c r="D2028" s="329">
        <v>349.9</v>
      </c>
    </row>
    <row r="2029" spans="1:4" ht="60">
      <c r="A2029" s="47">
        <v>92728</v>
      </c>
      <c r="B2029" s="48" t="s">
        <v>3746</v>
      </c>
      <c r="C2029" s="47" t="s">
        <v>255</v>
      </c>
      <c r="D2029" s="332">
        <v>333.52</v>
      </c>
    </row>
    <row r="2030" spans="1:4" ht="60">
      <c r="A2030" s="28">
        <v>92729</v>
      </c>
      <c r="B2030" s="26" t="s">
        <v>3739</v>
      </c>
      <c r="C2030" s="28" t="s">
        <v>255</v>
      </c>
      <c r="D2030" s="329">
        <v>326.58999999999997</v>
      </c>
    </row>
    <row r="2031" spans="1:4" ht="60">
      <c r="A2031" s="47">
        <v>92730</v>
      </c>
      <c r="B2031" s="48" t="s">
        <v>3738</v>
      </c>
      <c r="C2031" s="47" t="s">
        <v>255</v>
      </c>
      <c r="D2031" s="332">
        <v>315.02999999999997</v>
      </c>
    </row>
    <row r="2032" spans="1:4" ht="60">
      <c r="A2032" s="28">
        <v>92731</v>
      </c>
      <c r="B2032" s="26" t="s">
        <v>3745</v>
      </c>
      <c r="C2032" s="28" t="s">
        <v>255</v>
      </c>
      <c r="D2032" s="329">
        <v>328.02</v>
      </c>
    </row>
    <row r="2033" spans="1:4" ht="60">
      <c r="A2033" s="47">
        <v>92732</v>
      </c>
      <c r="B2033" s="48" t="s">
        <v>3744</v>
      </c>
      <c r="C2033" s="47" t="s">
        <v>255</v>
      </c>
      <c r="D2033" s="332">
        <v>316.86</v>
      </c>
    </row>
    <row r="2034" spans="1:4" ht="60">
      <c r="A2034" s="28">
        <v>92733</v>
      </c>
      <c r="B2034" s="26" t="s">
        <v>3737</v>
      </c>
      <c r="C2034" s="28" t="s">
        <v>255</v>
      </c>
      <c r="D2034" s="329">
        <v>312.11</v>
      </c>
    </row>
    <row r="2035" spans="1:4" ht="60">
      <c r="A2035" s="47">
        <v>92734</v>
      </c>
      <c r="B2035" s="48" t="s">
        <v>3736</v>
      </c>
      <c r="C2035" s="47" t="s">
        <v>255</v>
      </c>
      <c r="D2035" s="332">
        <v>304.24</v>
      </c>
    </row>
    <row r="2036" spans="1:4" ht="60">
      <c r="A2036" s="28">
        <v>92735</v>
      </c>
      <c r="B2036" s="26" t="s">
        <v>3743</v>
      </c>
      <c r="C2036" s="28" t="s">
        <v>255</v>
      </c>
      <c r="D2036" s="329">
        <v>311.24</v>
      </c>
    </row>
    <row r="2037" spans="1:4" ht="60">
      <c r="A2037" s="47">
        <v>92736</v>
      </c>
      <c r="B2037" s="48" t="s">
        <v>3742</v>
      </c>
      <c r="C2037" s="47" t="s">
        <v>255</v>
      </c>
      <c r="D2037" s="332">
        <v>302.29000000000002</v>
      </c>
    </row>
    <row r="2038" spans="1:4" ht="60">
      <c r="A2038" s="28">
        <v>92739</v>
      </c>
      <c r="B2038" s="26" t="s">
        <v>3735</v>
      </c>
      <c r="C2038" s="28" t="s">
        <v>255</v>
      </c>
      <c r="D2038" s="329">
        <v>289.3</v>
      </c>
    </row>
    <row r="2039" spans="1:4" ht="60">
      <c r="A2039" s="47">
        <v>92740</v>
      </c>
      <c r="B2039" s="48" t="s">
        <v>3734</v>
      </c>
      <c r="C2039" s="47" t="s">
        <v>255</v>
      </c>
      <c r="D2039" s="332">
        <v>284.86</v>
      </c>
    </row>
    <row r="2040" spans="1:4" ht="45">
      <c r="A2040" s="28">
        <v>92741</v>
      </c>
      <c r="B2040" s="26" t="s">
        <v>3751</v>
      </c>
      <c r="C2040" s="28" t="s">
        <v>255</v>
      </c>
      <c r="D2040" s="329">
        <v>441.32</v>
      </c>
    </row>
    <row r="2041" spans="1:4" ht="45">
      <c r="A2041" s="47">
        <v>92742</v>
      </c>
      <c r="B2041" s="48" t="s">
        <v>3750</v>
      </c>
      <c r="C2041" s="47" t="s">
        <v>255</v>
      </c>
      <c r="D2041" s="332">
        <v>606.69000000000005</v>
      </c>
    </row>
    <row r="2042" spans="1:4" ht="30">
      <c r="A2042" s="28">
        <v>92873</v>
      </c>
      <c r="B2042" s="26" t="s">
        <v>542</v>
      </c>
      <c r="C2042" s="28" t="s">
        <v>255</v>
      </c>
      <c r="D2042" s="329">
        <v>129.99</v>
      </c>
    </row>
    <row r="2043" spans="1:4" ht="30">
      <c r="A2043" s="47">
        <v>92874</v>
      </c>
      <c r="B2043" s="48" t="s">
        <v>6683</v>
      </c>
      <c r="C2043" s="47" t="s">
        <v>255</v>
      </c>
      <c r="D2043" s="332">
        <v>20.96</v>
      </c>
    </row>
    <row r="2044" spans="1:4" ht="30">
      <c r="A2044" s="28">
        <v>94962</v>
      </c>
      <c r="B2044" s="26" t="s">
        <v>3774</v>
      </c>
      <c r="C2044" s="28" t="s">
        <v>255</v>
      </c>
      <c r="D2044" s="329">
        <v>227.59</v>
      </c>
    </row>
    <row r="2045" spans="1:4" ht="30">
      <c r="A2045" s="47">
        <v>94963</v>
      </c>
      <c r="B2045" s="48" t="s">
        <v>3763</v>
      </c>
      <c r="C2045" s="47" t="s">
        <v>255</v>
      </c>
      <c r="D2045" s="332">
        <v>254.82</v>
      </c>
    </row>
    <row r="2046" spans="1:4" ht="30">
      <c r="A2046" s="28">
        <v>94964</v>
      </c>
      <c r="B2046" s="26" t="s">
        <v>3765</v>
      </c>
      <c r="C2046" s="28" t="s">
        <v>255</v>
      </c>
      <c r="D2046" s="329">
        <v>282.44</v>
      </c>
    </row>
    <row r="2047" spans="1:4" ht="30">
      <c r="A2047" s="47">
        <v>94965</v>
      </c>
      <c r="B2047" s="48" t="s">
        <v>3767</v>
      </c>
      <c r="C2047" s="47" t="s">
        <v>255</v>
      </c>
      <c r="D2047" s="332">
        <v>280.85000000000002</v>
      </c>
    </row>
    <row r="2048" spans="1:4" ht="30">
      <c r="A2048" s="28">
        <v>94966</v>
      </c>
      <c r="B2048" s="26" t="s">
        <v>3769</v>
      </c>
      <c r="C2048" s="28" t="s">
        <v>255</v>
      </c>
      <c r="D2048" s="329">
        <v>290.27</v>
      </c>
    </row>
    <row r="2049" spans="1:4" ht="30">
      <c r="A2049" s="47">
        <v>94967</v>
      </c>
      <c r="B2049" s="48" t="s">
        <v>3771</v>
      </c>
      <c r="C2049" s="47" t="s">
        <v>255</v>
      </c>
      <c r="D2049" s="332">
        <v>333.23</v>
      </c>
    </row>
    <row r="2050" spans="1:4" ht="30">
      <c r="A2050" s="28">
        <v>94968</v>
      </c>
      <c r="B2050" s="26" t="s">
        <v>3775</v>
      </c>
      <c r="C2050" s="28" t="s">
        <v>255</v>
      </c>
      <c r="D2050" s="329">
        <v>231.47</v>
      </c>
    </row>
    <row r="2051" spans="1:4" ht="30">
      <c r="A2051" s="47">
        <v>94969</v>
      </c>
      <c r="B2051" s="48" t="s">
        <v>3764</v>
      </c>
      <c r="C2051" s="47" t="s">
        <v>255</v>
      </c>
      <c r="D2051" s="332">
        <v>245.85</v>
      </c>
    </row>
    <row r="2052" spans="1:4" ht="30">
      <c r="A2052" s="28">
        <v>94970</v>
      </c>
      <c r="B2052" s="26" t="s">
        <v>3766</v>
      </c>
      <c r="C2052" s="28" t="s">
        <v>255</v>
      </c>
      <c r="D2052" s="329">
        <v>268.13</v>
      </c>
    </row>
    <row r="2053" spans="1:4" ht="30">
      <c r="A2053" s="47">
        <v>94971</v>
      </c>
      <c r="B2053" s="48" t="s">
        <v>3768</v>
      </c>
      <c r="C2053" s="47" t="s">
        <v>255</v>
      </c>
      <c r="D2053" s="332">
        <v>284.60000000000002</v>
      </c>
    </row>
    <row r="2054" spans="1:4" ht="30">
      <c r="A2054" s="28">
        <v>94972</v>
      </c>
      <c r="B2054" s="26" t="s">
        <v>3770</v>
      </c>
      <c r="C2054" s="28" t="s">
        <v>255</v>
      </c>
      <c r="D2054" s="329">
        <v>288.58</v>
      </c>
    </row>
    <row r="2055" spans="1:4" ht="30">
      <c r="A2055" s="47">
        <v>94973</v>
      </c>
      <c r="B2055" s="48" t="s">
        <v>3772</v>
      </c>
      <c r="C2055" s="47" t="s">
        <v>255</v>
      </c>
      <c r="D2055" s="332">
        <v>326.27</v>
      </c>
    </row>
    <row r="2056" spans="1:4" ht="30">
      <c r="A2056" s="28">
        <v>94974</v>
      </c>
      <c r="B2056" s="26" t="s">
        <v>3773</v>
      </c>
      <c r="C2056" s="28" t="s">
        <v>255</v>
      </c>
      <c r="D2056" s="329">
        <v>304.01</v>
      </c>
    </row>
    <row r="2057" spans="1:4" ht="30">
      <c r="A2057" s="47">
        <v>94975</v>
      </c>
      <c r="B2057" s="48" t="s">
        <v>3762</v>
      </c>
      <c r="C2057" s="47" t="s">
        <v>255</v>
      </c>
      <c r="D2057" s="332">
        <v>323.87</v>
      </c>
    </row>
    <row r="2058" spans="1:4" ht="45">
      <c r="A2058" s="28" t="s">
        <v>543</v>
      </c>
      <c r="B2058" s="26" t="s">
        <v>6616</v>
      </c>
      <c r="C2058" s="28" t="s">
        <v>256</v>
      </c>
      <c r="D2058" s="329">
        <v>61.04</v>
      </c>
    </row>
    <row r="2059" spans="1:4" ht="45">
      <c r="A2059" s="47" t="s">
        <v>544</v>
      </c>
      <c r="B2059" s="48" t="s">
        <v>6617</v>
      </c>
      <c r="C2059" s="47" t="s">
        <v>256</v>
      </c>
      <c r="D2059" s="332">
        <v>67.23</v>
      </c>
    </row>
    <row r="2060" spans="1:4" ht="45">
      <c r="A2060" s="28" t="s">
        <v>545</v>
      </c>
      <c r="B2060" s="26" t="s">
        <v>6618</v>
      </c>
      <c r="C2060" s="28" t="s">
        <v>256</v>
      </c>
      <c r="D2060" s="329">
        <v>79.61</v>
      </c>
    </row>
    <row r="2061" spans="1:4" ht="45">
      <c r="A2061" s="47" t="s">
        <v>546</v>
      </c>
      <c r="B2061" s="48" t="s">
        <v>6619</v>
      </c>
      <c r="C2061" s="47" t="s">
        <v>256</v>
      </c>
      <c r="D2061" s="332">
        <v>90.87</v>
      </c>
    </row>
    <row r="2062" spans="1:4" ht="45">
      <c r="A2062" s="28" t="s">
        <v>547</v>
      </c>
      <c r="B2062" s="26" t="s">
        <v>6631</v>
      </c>
      <c r="C2062" s="28" t="s">
        <v>256</v>
      </c>
      <c r="D2062" s="329">
        <v>53.7</v>
      </c>
    </row>
    <row r="2063" spans="1:4" ht="45">
      <c r="A2063" s="47" t="s">
        <v>548</v>
      </c>
      <c r="B2063" s="48" t="s">
        <v>6632</v>
      </c>
      <c r="C2063" s="47" t="s">
        <v>256</v>
      </c>
      <c r="D2063" s="332">
        <v>59.28</v>
      </c>
    </row>
    <row r="2064" spans="1:4">
      <c r="A2064" s="28" t="s">
        <v>549</v>
      </c>
      <c r="B2064" s="26" t="s">
        <v>4924</v>
      </c>
      <c r="C2064" s="28" t="s">
        <v>255</v>
      </c>
      <c r="D2064" s="329">
        <v>68.2</v>
      </c>
    </row>
    <row r="2065" spans="1:4">
      <c r="A2065" s="47" t="s">
        <v>550</v>
      </c>
      <c r="B2065" s="48" t="s">
        <v>4925</v>
      </c>
      <c r="C2065" s="47" t="s">
        <v>255</v>
      </c>
      <c r="D2065" s="332">
        <v>89.8</v>
      </c>
    </row>
    <row r="2066" spans="1:4">
      <c r="A2066" s="28" t="s">
        <v>551</v>
      </c>
      <c r="B2066" s="26" t="s">
        <v>1641</v>
      </c>
      <c r="C2066" s="28" t="s">
        <v>256</v>
      </c>
      <c r="D2066" s="329">
        <v>22.58</v>
      </c>
    </row>
    <row r="2067" spans="1:4">
      <c r="A2067" s="47">
        <v>83518</v>
      </c>
      <c r="B2067" s="48" t="s">
        <v>1783</v>
      </c>
      <c r="C2067" s="47" t="s">
        <v>255</v>
      </c>
      <c r="D2067" s="332">
        <v>301.93</v>
      </c>
    </row>
    <row r="2068" spans="1:4">
      <c r="A2068" s="28">
        <v>95467</v>
      </c>
      <c r="B2068" s="26" t="s">
        <v>4923</v>
      </c>
      <c r="C2068" s="28" t="s">
        <v>255</v>
      </c>
      <c r="D2068" s="329">
        <v>309.19</v>
      </c>
    </row>
    <row r="2069" spans="1:4">
      <c r="A2069" s="47">
        <v>68328</v>
      </c>
      <c r="B2069" s="48" t="s">
        <v>6535</v>
      </c>
      <c r="C2069" s="47" t="s">
        <v>256</v>
      </c>
      <c r="D2069" s="332">
        <v>11.75</v>
      </c>
    </row>
    <row r="2070" spans="1:4">
      <c r="A2070" s="28" t="s">
        <v>552</v>
      </c>
      <c r="B2070" s="26" t="s">
        <v>6536</v>
      </c>
      <c r="C2070" s="28" t="s">
        <v>71</v>
      </c>
      <c r="D2070" s="329">
        <v>120.81</v>
      </c>
    </row>
    <row r="2071" spans="1:4" ht="30">
      <c r="A2071" s="47" t="s">
        <v>553</v>
      </c>
      <c r="B2071" s="48" t="s">
        <v>6538</v>
      </c>
      <c r="C2071" s="47" t="s">
        <v>71</v>
      </c>
      <c r="D2071" s="332">
        <v>18.149999999999999</v>
      </c>
    </row>
    <row r="2072" spans="1:4">
      <c r="A2072" s="28">
        <v>79471</v>
      </c>
      <c r="B2072" s="26" t="s">
        <v>8004</v>
      </c>
      <c r="C2072" s="28" t="s">
        <v>90</v>
      </c>
      <c r="D2072" s="329">
        <v>58.22</v>
      </c>
    </row>
    <row r="2073" spans="1:4">
      <c r="A2073" s="47">
        <v>93182</v>
      </c>
      <c r="B2073" s="48" t="s">
        <v>10765</v>
      </c>
      <c r="C2073" s="47" t="s">
        <v>71</v>
      </c>
      <c r="D2073" s="332">
        <v>21.7</v>
      </c>
    </row>
    <row r="2074" spans="1:4">
      <c r="A2074" s="28">
        <v>93183</v>
      </c>
      <c r="B2074" s="26" t="s">
        <v>10766</v>
      </c>
      <c r="C2074" s="28" t="s">
        <v>71</v>
      </c>
      <c r="D2074" s="329">
        <v>28.12</v>
      </c>
    </row>
    <row r="2075" spans="1:4">
      <c r="A2075" s="47">
        <v>93184</v>
      </c>
      <c r="B2075" s="48" t="s">
        <v>10767</v>
      </c>
      <c r="C2075" s="47" t="s">
        <v>71</v>
      </c>
      <c r="D2075" s="332">
        <v>16.34</v>
      </c>
    </row>
    <row r="2076" spans="1:4">
      <c r="A2076" s="28">
        <v>93185</v>
      </c>
      <c r="B2076" s="26" t="s">
        <v>10768</v>
      </c>
      <c r="C2076" s="28" t="s">
        <v>71</v>
      </c>
      <c r="D2076" s="329">
        <v>27.69</v>
      </c>
    </row>
    <row r="2077" spans="1:4" ht="30">
      <c r="A2077" s="47">
        <v>93186</v>
      </c>
      <c r="B2077" s="48" t="s">
        <v>10761</v>
      </c>
      <c r="C2077" s="47" t="s">
        <v>71</v>
      </c>
      <c r="D2077" s="332">
        <v>38.450000000000003</v>
      </c>
    </row>
    <row r="2078" spans="1:4" ht="30">
      <c r="A2078" s="28">
        <v>93187</v>
      </c>
      <c r="B2078" s="26" t="s">
        <v>10762</v>
      </c>
      <c r="C2078" s="28" t="s">
        <v>71</v>
      </c>
      <c r="D2078" s="329">
        <v>44.31</v>
      </c>
    </row>
    <row r="2079" spans="1:4" ht="30">
      <c r="A2079" s="47">
        <v>93188</v>
      </c>
      <c r="B2079" s="48" t="s">
        <v>10763</v>
      </c>
      <c r="C2079" s="47" t="s">
        <v>71</v>
      </c>
      <c r="D2079" s="332">
        <v>37.69</v>
      </c>
    </row>
    <row r="2080" spans="1:4" ht="30">
      <c r="A2080" s="28">
        <v>93189</v>
      </c>
      <c r="B2080" s="26" t="s">
        <v>10764</v>
      </c>
      <c r="C2080" s="28" t="s">
        <v>71</v>
      </c>
      <c r="D2080" s="329">
        <v>44.94</v>
      </c>
    </row>
    <row r="2081" spans="1:4" ht="30">
      <c r="A2081" s="47">
        <v>93190</v>
      </c>
      <c r="B2081" s="48" t="s">
        <v>10757</v>
      </c>
      <c r="C2081" s="47" t="s">
        <v>71</v>
      </c>
      <c r="D2081" s="332">
        <v>28.55</v>
      </c>
    </row>
    <row r="2082" spans="1:4" ht="30">
      <c r="A2082" s="28">
        <v>93191</v>
      </c>
      <c r="B2082" s="26" t="s">
        <v>10758</v>
      </c>
      <c r="C2082" s="28" t="s">
        <v>71</v>
      </c>
      <c r="D2082" s="329">
        <v>30.2</v>
      </c>
    </row>
    <row r="2083" spans="1:4" ht="30">
      <c r="A2083" s="47">
        <v>93192</v>
      </c>
      <c r="B2083" s="48" t="s">
        <v>10759</v>
      </c>
      <c r="C2083" s="47" t="s">
        <v>71</v>
      </c>
      <c r="D2083" s="332">
        <v>32.020000000000003</v>
      </c>
    </row>
    <row r="2084" spans="1:4" ht="30">
      <c r="A2084" s="28">
        <v>93193</v>
      </c>
      <c r="B2084" s="26" t="s">
        <v>10760</v>
      </c>
      <c r="C2084" s="28" t="s">
        <v>71</v>
      </c>
      <c r="D2084" s="329">
        <v>30.88</v>
      </c>
    </row>
    <row r="2085" spans="1:4">
      <c r="A2085" s="47">
        <v>93194</v>
      </c>
      <c r="B2085" s="48" t="s">
        <v>4058</v>
      </c>
      <c r="C2085" s="47" t="s">
        <v>71</v>
      </c>
      <c r="D2085" s="332">
        <v>21.39</v>
      </c>
    </row>
    <row r="2086" spans="1:4" ht="30">
      <c r="A2086" s="28">
        <v>93195</v>
      </c>
      <c r="B2086" s="26" t="s">
        <v>4059</v>
      </c>
      <c r="C2086" s="28" t="s">
        <v>71</v>
      </c>
      <c r="D2086" s="329">
        <v>25.23</v>
      </c>
    </row>
    <row r="2087" spans="1:4" ht="30">
      <c r="A2087" s="47">
        <v>93196</v>
      </c>
      <c r="B2087" s="48" t="s">
        <v>4056</v>
      </c>
      <c r="C2087" s="47" t="s">
        <v>71</v>
      </c>
      <c r="D2087" s="332">
        <v>36.549999999999997</v>
      </c>
    </row>
    <row r="2088" spans="1:4" ht="30">
      <c r="A2088" s="28">
        <v>93197</v>
      </c>
      <c r="B2088" s="26" t="s">
        <v>4057</v>
      </c>
      <c r="C2088" s="28" t="s">
        <v>71</v>
      </c>
      <c r="D2088" s="329">
        <v>40.450000000000003</v>
      </c>
    </row>
    <row r="2089" spans="1:4" ht="30">
      <c r="A2089" s="47">
        <v>93198</v>
      </c>
      <c r="B2089" s="48" t="s">
        <v>4054</v>
      </c>
      <c r="C2089" s="47" t="s">
        <v>71</v>
      </c>
      <c r="D2089" s="332">
        <v>25.39</v>
      </c>
    </row>
    <row r="2090" spans="1:4" ht="30">
      <c r="A2090" s="28">
        <v>93199</v>
      </c>
      <c r="B2090" s="26" t="s">
        <v>4055</v>
      </c>
      <c r="C2090" s="28" t="s">
        <v>71</v>
      </c>
      <c r="D2090" s="329">
        <v>25.02</v>
      </c>
    </row>
    <row r="2091" spans="1:4" ht="30">
      <c r="A2091" s="47">
        <v>93200</v>
      </c>
      <c r="B2091" s="48" t="s">
        <v>554</v>
      </c>
      <c r="C2091" s="47" t="s">
        <v>71</v>
      </c>
      <c r="D2091" s="332">
        <v>1.95</v>
      </c>
    </row>
    <row r="2092" spans="1:4" ht="30">
      <c r="A2092" s="28">
        <v>93201</v>
      </c>
      <c r="B2092" s="26" t="s">
        <v>555</v>
      </c>
      <c r="C2092" s="28" t="s">
        <v>71</v>
      </c>
      <c r="D2092" s="329">
        <v>4</v>
      </c>
    </row>
    <row r="2093" spans="1:4">
      <c r="A2093" s="47">
        <v>93202</v>
      </c>
      <c r="B2093" s="48" t="s">
        <v>5597</v>
      </c>
      <c r="C2093" s="47" t="s">
        <v>71</v>
      </c>
      <c r="D2093" s="332">
        <v>14.98</v>
      </c>
    </row>
    <row r="2094" spans="1:4">
      <c r="A2094" s="28">
        <v>93204</v>
      </c>
      <c r="B2094" s="26" t="s">
        <v>3627</v>
      </c>
      <c r="C2094" s="28" t="s">
        <v>71</v>
      </c>
      <c r="D2094" s="329">
        <v>30.19</v>
      </c>
    </row>
    <row r="2095" spans="1:4" ht="30">
      <c r="A2095" s="47">
        <v>93205</v>
      </c>
      <c r="B2095" s="48" t="s">
        <v>3626</v>
      </c>
      <c r="C2095" s="47" t="s">
        <v>71</v>
      </c>
      <c r="D2095" s="332">
        <v>23.36</v>
      </c>
    </row>
    <row r="2096" spans="1:4" ht="30">
      <c r="A2096" s="28">
        <v>71623</v>
      </c>
      <c r="B2096" s="26" t="s">
        <v>3533</v>
      </c>
      <c r="C2096" s="28" t="s">
        <v>71</v>
      </c>
      <c r="D2096" s="329">
        <v>22.92</v>
      </c>
    </row>
    <row r="2097" spans="1:4">
      <c r="A2097" s="47" t="s">
        <v>556</v>
      </c>
      <c r="B2097" s="48" t="s">
        <v>9084</v>
      </c>
      <c r="C2097" s="47" t="s">
        <v>65</v>
      </c>
      <c r="D2097" s="332">
        <v>13.62</v>
      </c>
    </row>
    <row r="2098" spans="1:4">
      <c r="A2098" s="28">
        <v>83513</v>
      </c>
      <c r="B2098" s="26" t="s">
        <v>5657</v>
      </c>
      <c r="C2098" s="28" t="s">
        <v>90</v>
      </c>
      <c r="D2098" s="329">
        <v>5.43</v>
      </c>
    </row>
    <row r="2099" spans="1:4">
      <c r="A2099" s="47">
        <v>83514</v>
      </c>
      <c r="B2099" s="48" t="s">
        <v>5656</v>
      </c>
      <c r="C2099" s="47" t="s">
        <v>90</v>
      </c>
      <c r="D2099" s="332">
        <v>4.66</v>
      </c>
    </row>
    <row r="2100" spans="1:4">
      <c r="A2100" s="28">
        <v>84153</v>
      </c>
      <c r="B2100" s="26" t="s">
        <v>1884</v>
      </c>
      <c r="C2100" s="28" t="s">
        <v>90</v>
      </c>
      <c r="D2100" s="329">
        <v>40.619999999999997</v>
      </c>
    </row>
    <row r="2101" spans="1:4">
      <c r="A2101" s="47">
        <v>84154</v>
      </c>
      <c r="B2101" s="48" t="s">
        <v>557</v>
      </c>
      <c r="C2101" s="47" t="s">
        <v>1880</v>
      </c>
      <c r="D2101" s="332">
        <v>82.33</v>
      </c>
    </row>
    <row r="2102" spans="1:4">
      <c r="A2102" s="28">
        <v>85233</v>
      </c>
      <c r="B2102" s="26" t="s">
        <v>5100</v>
      </c>
      <c r="C2102" s="28" t="s">
        <v>255</v>
      </c>
      <c r="D2102" s="329">
        <v>2083.6799999999998</v>
      </c>
    </row>
    <row r="2103" spans="1:4" ht="30">
      <c r="A2103" s="47">
        <v>5968</v>
      </c>
      <c r="B2103" s="48" t="s">
        <v>6025</v>
      </c>
      <c r="C2103" s="47" t="s">
        <v>256</v>
      </c>
      <c r="D2103" s="332">
        <v>31.27</v>
      </c>
    </row>
    <row r="2104" spans="1:4" ht="30">
      <c r="A2104" s="28">
        <v>83731</v>
      </c>
      <c r="B2104" s="26" t="s">
        <v>6027</v>
      </c>
      <c r="C2104" s="28" t="s">
        <v>256</v>
      </c>
      <c r="D2104" s="329">
        <v>35.049999999999997</v>
      </c>
    </row>
    <row r="2105" spans="1:4" ht="30">
      <c r="A2105" s="47">
        <v>83732</v>
      </c>
      <c r="B2105" s="48" t="s">
        <v>6026</v>
      </c>
      <c r="C2105" s="47" t="s">
        <v>256</v>
      </c>
      <c r="D2105" s="332">
        <v>25.94</v>
      </c>
    </row>
    <row r="2106" spans="1:4" ht="30">
      <c r="A2106" s="28">
        <v>83733</v>
      </c>
      <c r="B2106" s="26" t="s">
        <v>6024</v>
      </c>
      <c r="C2106" s="28" t="s">
        <v>256</v>
      </c>
      <c r="D2106" s="329">
        <v>30.18</v>
      </c>
    </row>
    <row r="2107" spans="1:4" ht="30">
      <c r="A2107" s="47">
        <v>83735</v>
      </c>
      <c r="B2107" s="48" t="s">
        <v>6030</v>
      </c>
      <c r="C2107" s="47" t="s">
        <v>256</v>
      </c>
      <c r="D2107" s="332">
        <v>52.61</v>
      </c>
    </row>
    <row r="2108" spans="1:4" ht="30">
      <c r="A2108" s="28">
        <v>68053</v>
      </c>
      <c r="B2108" s="26" t="s">
        <v>5664</v>
      </c>
      <c r="C2108" s="28" t="s">
        <v>256</v>
      </c>
      <c r="D2108" s="329">
        <v>4.46</v>
      </c>
    </row>
    <row r="2109" spans="1:4" ht="45">
      <c r="A2109" s="47" t="s">
        <v>558</v>
      </c>
      <c r="B2109" s="48" t="s">
        <v>6036</v>
      </c>
      <c r="C2109" s="47" t="s">
        <v>256</v>
      </c>
      <c r="D2109" s="332">
        <v>64.11</v>
      </c>
    </row>
    <row r="2110" spans="1:4" ht="30">
      <c r="A2110" s="28" t="s">
        <v>559</v>
      </c>
      <c r="B2110" s="26" t="s">
        <v>6033</v>
      </c>
      <c r="C2110" s="28" t="s">
        <v>256</v>
      </c>
      <c r="D2110" s="329">
        <v>37.17</v>
      </c>
    </row>
    <row r="2111" spans="1:4" ht="30">
      <c r="A2111" s="47">
        <v>83737</v>
      </c>
      <c r="B2111" s="48" t="s">
        <v>6034</v>
      </c>
      <c r="C2111" s="47" t="s">
        <v>256</v>
      </c>
      <c r="D2111" s="332">
        <v>49.61</v>
      </c>
    </row>
    <row r="2112" spans="1:4" ht="30">
      <c r="A2112" s="28">
        <v>83738</v>
      </c>
      <c r="B2112" s="26" t="s">
        <v>6035</v>
      </c>
      <c r="C2112" s="28" t="s">
        <v>256</v>
      </c>
      <c r="D2112" s="329">
        <v>58.48</v>
      </c>
    </row>
    <row r="2113" spans="1:4">
      <c r="A2113" s="47">
        <v>83740</v>
      </c>
      <c r="B2113" s="48" t="s">
        <v>6019</v>
      </c>
      <c r="C2113" s="47" t="s">
        <v>256</v>
      </c>
      <c r="D2113" s="332">
        <v>28.23</v>
      </c>
    </row>
    <row r="2114" spans="1:4" ht="30">
      <c r="A2114" s="28" t="s">
        <v>560</v>
      </c>
      <c r="B2114" s="26" t="s">
        <v>6029</v>
      </c>
      <c r="C2114" s="28" t="s">
        <v>256</v>
      </c>
      <c r="D2114" s="329">
        <v>28.39</v>
      </c>
    </row>
    <row r="2115" spans="1:4" ht="30">
      <c r="A2115" s="47" t="s">
        <v>561</v>
      </c>
      <c r="B2115" s="48" t="s">
        <v>6021</v>
      </c>
      <c r="C2115" s="47" t="s">
        <v>256</v>
      </c>
      <c r="D2115" s="332">
        <v>52.84</v>
      </c>
    </row>
    <row r="2116" spans="1:4" ht="30">
      <c r="A2116" s="28">
        <v>6225</v>
      </c>
      <c r="B2116" s="26" t="s">
        <v>6020</v>
      </c>
      <c r="C2116" s="28" t="s">
        <v>256</v>
      </c>
      <c r="D2116" s="329">
        <v>32.04</v>
      </c>
    </row>
    <row r="2117" spans="1:4">
      <c r="A2117" s="47">
        <v>72075</v>
      </c>
      <c r="B2117" s="48" t="s">
        <v>6040</v>
      </c>
      <c r="C2117" s="47" t="s">
        <v>256</v>
      </c>
      <c r="D2117" s="332">
        <v>9.64</v>
      </c>
    </row>
    <row r="2118" spans="1:4" ht="30">
      <c r="A2118" s="28" t="s">
        <v>562</v>
      </c>
      <c r="B2118" s="26" t="s">
        <v>6023</v>
      </c>
      <c r="C2118" s="28" t="s">
        <v>256</v>
      </c>
      <c r="D2118" s="329">
        <v>56.23</v>
      </c>
    </row>
    <row r="2119" spans="1:4" ht="30">
      <c r="A2119" s="47" t="s">
        <v>563</v>
      </c>
      <c r="B2119" s="48" t="s">
        <v>6028</v>
      </c>
      <c r="C2119" s="47" t="s">
        <v>256</v>
      </c>
      <c r="D2119" s="332">
        <v>99.75</v>
      </c>
    </row>
    <row r="2120" spans="1:4">
      <c r="A2120" s="28" t="s">
        <v>564</v>
      </c>
      <c r="B2120" s="119" t="s">
        <v>6041</v>
      </c>
      <c r="C2120" s="28" t="s">
        <v>256</v>
      </c>
      <c r="D2120" s="329">
        <v>71.27</v>
      </c>
    </row>
    <row r="2121" spans="1:4">
      <c r="A2121" s="47" t="s">
        <v>565</v>
      </c>
      <c r="B2121" s="48" t="s">
        <v>6022</v>
      </c>
      <c r="C2121" s="47" t="s">
        <v>256</v>
      </c>
      <c r="D2121" s="332">
        <v>7.31</v>
      </c>
    </row>
    <row r="2122" spans="1:4" ht="30">
      <c r="A2122" s="28">
        <v>83741</v>
      </c>
      <c r="B2122" s="26" t="s">
        <v>6032</v>
      </c>
      <c r="C2122" s="28" t="s">
        <v>256</v>
      </c>
      <c r="D2122" s="329">
        <v>78.7</v>
      </c>
    </row>
    <row r="2123" spans="1:4">
      <c r="A2123" s="47">
        <v>83742</v>
      </c>
      <c r="B2123" s="48" t="s">
        <v>6031</v>
      </c>
      <c r="C2123" s="47" t="s">
        <v>256</v>
      </c>
      <c r="D2123" s="332">
        <v>19.579999999999998</v>
      </c>
    </row>
    <row r="2124" spans="1:4" ht="30">
      <c r="A2124" s="28">
        <v>83743</v>
      </c>
      <c r="B2124" s="26" t="s">
        <v>6537</v>
      </c>
      <c r="C2124" s="28" t="s">
        <v>71</v>
      </c>
      <c r="D2124" s="329">
        <v>15.89</v>
      </c>
    </row>
    <row r="2125" spans="1:4">
      <c r="A2125" s="47" t="s">
        <v>566</v>
      </c>
      <c r="B2125" s="48" t="s">
        <v>6018</v>
      </c>
      <c r="C2125" s="47" t="s">
        <v>256</v>
      </c>
      <c r="D2125" s="332">
        <v>24.87</v>
      </c>
    </row>
    <row r="2126" spans="1:4">
      <c r="A2126" s="28" t="s">
        <v>567</v>
      </c>
      <c r="B2126" s="26" t="s">
        <v>6017</v>
      </c>
      <c r="C2126" s="28" t="s">
        <v>256</v>
      </c>
      <c r="D2126" s="329">
        <v>48.69</v>
      </c>
    </row>
    <row r="2127" spans="1:4" ht="30">
      <c r="A2127" s="47">
        <v>72124</v>
      </c>
      <c r="B2127" s="48" t="s">
        <v>6039</v>
      </c>
      <c r="C2127" s="47" t="s">
        <v>1880</v>
      </c>
      <c r="D2127" s="332">
        <v>107.11</v>
      </c>
    </row>
    <row r="2128" spans="1:4">
      <c r="A2128" s="28" t="s">
        <v>568</v>
      </c>
      <c r="B2128" s="26" t="s">
        <v>6038</v>
      </c>
      <c r="C2128" s="28" t="s">
        <v>71</v>
      </c>
      <c r="D2128" s="329">
        <v>42.97</v>
      </c>
    </row>
    <row r="2129" spans="1:4">
      <c r="A2129" s="47" t="s">
        <v>72</v>
      </c>
      <c r="B2129" s="48" t="s">
        <v>6037</v>
      </c>
      <c r="C2129" s="47" t="s">
        <v>256</v>
      </c>
      <c r="D2129" s="332">
        <v>142.51</v>
      </c>
    </row>
    <row r="2130" spans="1:4" ht="30">
      <c r="A2130" s="28" t="s">
        <v>569</v>
      </c>
      <c r="B2130" s="26" t="s">
        <v>4845</v>
      </c>
      <c r="C2130" s="28" t="s">
        <v>71</v>
      </c>
      <c r="D2130" s="329">
        <v>23.33</v>
      </c>
    </row>
    <row r="2131" spans="1:4" ht="30">
      <c r="A2131" s="47" t="s">
        <v>570</v>
      </c>
      <c r="B2131" s="48" t="s">
        <v>4846</v>
      </c>
      <c r="C2131" s="47" t="s">
        <v>71</v>
      </c>
      <c r="D2131" s="332">
        <v>37.46</v>
      </c>
    </row>
    <row r="2132" spans="1:4" ht="30">
      <c r="A2132" s="28">
        <v>91831</v>
      </c>
      <c r="B2132" s="26" t="s">
        <v>4878</v>
      </c>
      <c r="C2132" s="28" t="s">
        <v>71</v>
      </c>
      <c r="D2132" s="329">
        <v>4.46</v>
      </c>
    </row>
    <row r="2133" spans="1:4" ht="30">
      <c r="A2133" s="47">
        <v>91834</v>
      </c>
      <c r="B2133" s="48" t="s">
        <v>4881</v>
      </c>
      <c r="C2133" s="47" t="s">
        <v>71</v>
      </c>
      <c r="D2133" s="332">
        <v>5.01</v>
      </c>
    </row>
    <row r="2134" spans="1:4" ht="30">
      <c r="A2134" s="28">
        <v>91836</v>
      </c>
      <c r="B2134" s="26" t="s">
        <v>4884</v>
      </c>
      <c r="C2134" s="28" t="s">
        <v>71</v>
      </c>
      <c r="D2134" s="329">
        <v>6.42</v>
      </c>
    </row>
    <row r="2135" spans="1:4" ht="30">
      <c r="A2135" s="47">
        <v>91842</v>
      </c>
      <c r="B2135" s="48" t="s">
        <v>4879</v>
      </c>
      <c r="C2135" s="47" t="s">
        <v>71</v>
      </c>
      <c r="D2135" s="332">
        <v>3.29</v>
      </c>
    </row>
    <row r="2136" spans="1:4" ht="30">
      <c r="A2136" s="28">
        <v>91844</v>
      </c>
      <c r="B2136" s="26" t="s">
        <v>4882</v>
      </c>
      <c r="C2136" s="28" t="s">
        <v>71</v>
      </c>
      <c r="D2136" s="329">
        <v>3.86</v>
      </c>
    </row>
    <row r="2137" spans="1:4" ht="30">
      <c r="A2137" s="47">
        <v>91846</v>
      </c>
      <c r="B2137" s="48" t="s">
        <v>4885</v>
      </c>
      <c r="C2137" s="47" t="s">
        <v>71</v>
      </c>
      <c r="D2137" s="332">
        <v>5.26</v>
      </c>
    </row>
    <row r="2138" spans="1:4" ht="30">
      <c r="A2138" s="28">
        <v>91852</v>
      </c>
      <c r="B2138" s="26" t="s">
        <v>4880</v>
      </c>
      <c r="C2138" s="28" t="s">
        <v>71</v>
      </c>
      <c r="D2138" s="329">
        <v>5.0199999999999996</v>
      </c>
    </row>
    <row r="2139" spans="1:4" ht="30">
      <c r="A2139" s="47">
        <v>91854</v>
      </c>
      <c r="B2139" s="48" t="s">
        <v>4883</v>
      </c>
      <c r="C2139" s="47" t="s">
        <v>71</v>
      </c>
      <c r="D2139" s="332">
        <v>5.57</v>
      </c>
    </row>
    <row r="2140" spans="1:4" ht="30">
      <c r="A2140" s="28">
        <v>91856</v>
      </c>
      <c r="B2140" s="26" t="s">
        <v>4886</v>
      </c>
      <c r="C2140" s="28" t="s">
        <v>71</v>
      </c>
      <c r="D2140" s="329">
        <v>6.91</v>
      </c>
    </row>
    <row r="2141" spans="1:4" ht="30">
      <c r="A2141" s="47">
        <v>91862</v>
      </c>
      <c r="B2141" s="48" t="s">
        <v>4895</v>
      </c>
      <c r="C2141" s="47" t="s">
        <v>71</v>
      </c>
      <c r="D2141" s="332">
        <v>5.3</v>
      </c>
    </row>
    <row r="2142" spans="1:4" ht="30">
      <c r="A2142" s="28">
        <v>91863</v>
      </c>
      <c r="B2142" s="26" t="s">
        <v>4898</v>
      </c>
      <c r="C2142" s="28" t="s">
        <v>71</v>
      </c>
      <c r="D2142" s="329">
        <v>6.21</v>
      </c>
    </row>
    <row r="2143" spans="1:4" ht="30">
      <c r="A2143" s="47">
        <v>91864</v>
      </c>
      <c r="B2143" s="48" t="s">
        <v>4901</v>
      </c>
      <c r="C2143" s="47" t="s">
        <v>71</v>
      </c>
      <c r="D2143" s="332">
        <v>8.0500000000000007</v>
      </c>
    </row>
    <row r="2144" spans="1:4" ht="30">
      <c r="A2144" s="28">
        <v>91865</v>
      </c>
      <c r="B2144" s="26" t="s">
        <v>4904</v>
      </c>
      <c r="C2144" s="28" t="s">
        <v>71</v>
      </c>
      <c r="D2144" s="329">
        <v>9.92</v>
      </c>
    </row>
    <row r="2145" spans="1:4" ht="30">
      <c r="A2145" s="47">
        <v>91866</v>
      </c>
      <c r="B2145" s="48" t="s">
        <v>4896</v>
      </c>
      <c r="C2145" s="47" t="s">
        <v>71</v>
      </c>
      <c r="D2145" s="332">
        <v>4.2300000000000004</v>
      </c>
    </row>
    <row r="2146" spans="1:4" ht="30">
      <c r="A2146" s="28">
        <v>91867</v>
      </c>
      <c r="B2146" s="26" t="s">
        <v>4899</v>
      </c>
      <c r="C2146" s="28" t="s">
        <v>71</v>
      </c>
      <c r="D2146" s="329">
        <v>5.15</v>
      </c>
    </row>
    <row r="2147" spans="1:4" ht="30">
      <c r="A2147" s="47">
        <v>91868</v>
      </c>
      <c r="B2147" s="48" t="s">
        <v>4902</v>
      </c>
      <c r="C2147" s="47" t="s">
        <v>71</v>
      </c>
      <c r="D2147" s="332">
        <v>6.98</v>
      </c>
    </row>
    <row r="2148" spans="1:4" ht="30">
      <c r="A2148" s="28">
        <v>91869</v>
      </c>
      <c r="B2148" s="26" t="s">
        <v>4905</v>
      </c>
      <c r="C2148" s="28" t="s">
        <v>71</v>
      </c>
      <c r="D2148" s="329">
        <v>8.86</v>
      </c>
    </row>
    <row r="2149" spans="1:4" ht="30">
      <c r="A2149" s="47">
        <v>91870</v>
      </c>
      <c r="B2149" s="48" t="s">
        <v>4897</v>
      </c>
      <c r="C2149" s="47" t="s">
        <v>71</v>
      </c>
      <c r="D2149" s="332">
        <v>6.35</v>
      </c>
    </row>
    <row r="2150" spans="1:4" ht="30">
      <c r="A2150" s="28">
        <v>91871</v>
      </c>
      <c r="B2150" s="26" t="s">
        <v>4900</v>
      </c>
      <c r="C2150" s="28" t="s">
        <v>71</v>
      </c>
      <c r="D2150" s="329">
        <v>7.29</v>
      </c>
    </row>
    <row r="2151" spans="1:4" ht="30">
      <c r="A2151" s="47">
        <v>91872</v>
      </c>
      <c r="B2151" s="48" t="s">
        <v>4903</v>
      </c>
      <c r="C2151" s="47" t="s">
        <v>71</v>
      </c>
      <c r="D2151" s="332">
        <v>9.1300000000000008</v>
      </c>
    </row>
    <row r="2152" spans="1:4" ht="30">
      <c r="A2152" s="28">
        <v>91873</v>
      </c>
      <c r="B2152" s="26" t="s">
        <v>4906</v>
      </c>
      <c r="C2152" s="28" t="s">
        <v>71</v>
      </c>
      <c r="D2152" s="329">
        <v>10.97</v>
      </c>
    </row>
    <row r="2153" spans="1:4" ht="30">
      <c r="A2153" s="47">
        <v>93008</v>
      </c>
      <c r="B2153" s="48" t="s">
        <v>4907</v>
      </c>
      <c r="C2153" s="47" t="s">
        <v>71</v>
      </c>
      <c r="D2153" s="332">
        <v>8.25</v>
      </c>
    </row>
    <row r="2154" spans="1:4" ht="30">
      <c r="A2154" s="28">
        <v>93009</v>
      </c>
      <c r="B2154" s="26" t="s">
        <v>4908</v>
      </c>
      <c r="C2154" s="28" t="s">
        <v>71</v>
      </c>
      <c r="D2154" s="329">
        <v>11.77</v>
      </c>
    </row>
    <row r="2155" spans="1:4" ht="30">
      <c r="A2155" s="47">
        <v>93010</v>
      </c>
      <c r="B2155" s="48" t="s">
        <v>4909</v>
      </c>
      <c r="C2155" s="47" t="s">
        <v>71</v>
      </c>
      <c r="D2155" s="332">
        <v>16.09</v>
      </c>
    </row>
    <row r="2156" spans="1:4" ht="30">
      <c r="A2156" s="28">
        <v>93011</v>
      </c>
      <c r="B2156" s="26" t="s">
        <v>4910</v>
      </c>
      <c r="C2156" s="28" t="s">
        <v>71</v>
      </c>
      <c r="D2156" s="329">
        <v>19.47</v>
      </c>
    </row>
    <row r="2157" spans="1:4" ht="30">
      <c r="A2157" s="47">
        <v>93012</v>
      </c>
      <c r="B2157" s="48" t="s">
        <v>4894</v>
      </c>
      <c r="C2157" s="47" t="s">
        <v>71</v>
      </c>
      <c r="D2157" s="332">
        <v>28.9</v>
      </c>
    </row>
    <row r="2158" spans="1:4" ht="30">
      <c r="A2158" s="28">
        <v>95726</v>
      </c>
      <c r="B2158" s="26" t="s">
        <v>10984</v>
      </c>
      <c r="C2158" s="28" t="s">
        <v>71</v>
      </c>
      <c r="D2158" s="329">
        <v>3.61</v>
      </c>
    </row>
    <row r="2159" spans="1:4" ht="30">
      <c r="A2159" s="47">
        <v>95727</v>
      </c>
      <c r="B2159" s="48" t="s">
        <v>10985</v>
      </c>
      <c r="C2159" s="47" t="s">
        <v>71</v>
      </c>
      <c r="D2159" s="332">
        <v>4.0999999999999996</v>
      </c>
    </row>
    <row r="2160" spans="1:4" ht="30">
      <c r="A2160" s="28">
        <v>95728</v>
      </c>
      <c r="B2160" s="26" t="s">
        <v>10986</v>
      </c>
      <c r="C2160" s="28" t="s">
        <v>71</v>
      </c>
      <c r="D2160" s="329">
        <v>5.08</v>
      </c>
    </row>
    <row r="2161" spans="1:4" ht="30">
      <c r="A2161" s="47">
        <v>95729</v>
      </c>
      <c r="B2161" s="48" t="s">
        <v>10987</v>
      </c>
      <c r="C2161" s="47" t="s">
        <v>71</v>
      </c>
      <c r="D2161" s="332">
        <v>4.97</v>
      </c>
    </row>
    <row r="2162" spans="1:4" ht="30">
      <c r="A2162" s="28">
        <v>95730</v>
      </c>
      <c r="B2162" s="26" t="s">
        <v>10988</v>
      </c>
      <c r="C2162" s="28" t="s">
        <v>71</v>
      </c>
      <c r="D2162" s="329">
        <v>5.46</v>
      </c>
    </row>
    <row r="2163" spans="1:4" ht="30">
      <c r="A2163" s="47">
        <v>95731</v>
      </c>
      <c r="B2163" s="48" t="s">
        <v>10989</v>
      </c>
      <c r="C2163" s="47" t="s">
        <v>71</v>
      </c>
      <c r="D2163" s="332">
        <v>6.44</v>
      </c>
    </row>
    <row r="2164" spans="1:4" ht="30">
      <c r="A2164" s="28">
        <v>95745</v>
      </c>
      <c r="B2164" s="26" t="s">
        <v>10990</v>
      </c>
      <c r="C2164" s="28" t="s">
        <v>71</v>
      </c>
      <c r="D2164" s="329">
        <v>9.14</v>
      </c>
    </row>
    <row r="2165" spans="1:4" ht="30">
      <c r="A2165" s="47">
        <v>95746</v>
      </c>
      <c r="B2165" s="48" t="s">
        <v>10991</v>
      </c>
      <c r="C2165" s="47" t="s">
        <v>71</v>
      </c>
      <c r="D2165" s="332">
        <v>11.25</v>
      </c>
    </row>
    <row r="2166" spans="1:4" ht="30">
      <c r="A2166" s="28">
        <v>95747</v>
      </c>
      <c r="B2166" s="26" t="s">
        <v>10992</v>
      </c>
      <c r="C2166" s="28" t="s">
        <v>71</v>
      </c>
      <c r="D2166" s="329">
        <v>18.329999999999998</v>
      </c>
    </row>
    <row r="2167" spans="1:4" ht="30">
      <c r="A2167" s="47">
        <v>95748</v>
      </c>
      <c r="B2167" s="48" t="s">
        <v>10993</v>
      </c>
      <c r="C2167" s="47" t="s">
        <v>71</v>
      </c>
      <c r="D2167" s="332">
        <v>19.46</v>
      </c>
    </row>
    <row r="2168" spans="1:4" ht="30">
      <c r="A2168" s="28">
        <v>95749</v>
      </c>
      <c r="B2168" s="26" t="s">
        <v>10994</v>
      </c>
      <c r="C2168" s="28" t="s">
        <v>71</v>
      </c>
      <c r="D2168" s="329">
        <v>12.12</v>
      </c>
    </row>
    <row r="2169" spans="1:4" ht="30">
      <c r="A2169" s="47">
        <v>95750</v>
      </c>
      <c r="B2169" s="48" t="s">
        <v>10995</v>
      </c>
      <c r="C2169" s="47" t="s">
        <v>71</v>
      </c>
      <c r="D2169" s="332">
        <v>14.23</v>
      </c>
    </row>
    <row r="2170" spans="1:4" ht="30">
      <c r="A2170" s="28">
        <v>95751</v>
      </c>
      <c r="B2170" s="26" t="s">
        <v>10996</v>
      </c>
      <c r="C2170" s="28" t="s">
        <v>71</v>
      </c>
      <c r="D2170" s="329">
        <v>21.31</v>
      </c>
    </row>
    <row r="2171" spans="1:4" ht="30">
      <c r="A2171" s="47">
        <v>95752</v>
      </c>
      <c r="B2171" s="48" t="s">
        <v>10997</v>
      </c>
      <c r="C2171" s="47" t="s">
        <v>71</v>
      </c>
      <c r="D2171" s="332">
        <v>22.44</v>
      </c>
    </row>
    <row r="2172" spans="1:4" ht="30">
      <c r="A2172" s="28">
        <v>72259</v>
      </c>
      <c r="B2172" s="26" t="s">
        <v>9647</v>
      </c>
      <c r="C2172" s="28" t="s">
        <v>65</v>
      </c>
      <c r="D2172" s="329">
        <v>11.86</v>
      </c>
    </row>
    <row r="2173" spans="1:4" ht="30">
      <c r="A2173" s="47">
        <v>72260</v>
      </c>
      <c r="B2173" s="48" t="s">
        <v>9650</v>
      </c>
      <c r="C2173" s="47" t="s">
        <v>65</v>
      </c>
      <c r="D2173" s="332">
        <v>11.82</v>
      </c>
    </row>
    <row r="2174" spans="1:4" ht="30">
      <c r="A2174" s="28">
        <v>72261</v>
      </c>
      <c r="B2174" s="26" t="s">
        <v>9653</v>
      </c>
      <c r="C2174" s="28" t="s">
        <v>65</v>
      </c>
      <c r="D2174" s="329">
        <v>12.48</v>
      </c>
    </row>
    <row r="2175" spans="1:4" ht="30">
      <c r="A2175" s="47">
        <v>72262</v>
      </c>
      <c r="B2175" s="48" t="s">
        <v>9655</v>
      </c>
      <c r="C2175" s="47" t="s">
        <v>65</v>
      </c>
      <c r="D2175" s="332">
        <v>12.48</v>
      </c>
    </row>
    <row r="2176" spans="1:4" ht="30">
      <c r="A2176" s="28">
        <v>72263</v>
      </c>
      <c r="B2176" s="26" t="s">
        <v>9656</v>
      </c>
      <c r="C2176" s="28" t="s">
        <v>65</v>
      </c>
      <c r="D2176" s="329">
        <v>16.760000000000002</v>
      </c>
    </row>
    <row r="2177" spans="1:4" ht="30">
      <c r="A2177" s="47">
        <v>72264</v>
      </c>
      <c r="B2177" s="48" t="s">
        <v>9657</v>
      </c>
      <c r="C2177" s="47" t="s">
        <v>65</v>
      </c>
      <c r="D2177" s="332">
        <v>16.89</v>
      </c>
    </row>
    <row r="2178" spans="1:4" ht="30">
      <c r="A2178" s="28">
        <v>72265</v>
      </c>
      <c r="B2178" s="26" t="s">
        <v>9658</v>
      </c>
      <c r="C2178" s="28" t="s">
        <v>65</v>
      </c>
      <c r="D2178" s="329">
        <v>20.07</v>
      </c>
    </row>
    <row r="2179" spans="1:4" ht="30">
      <c r="A2179" s="47">
        <v>72266</v>
      </c>
      <c r="B2179" s="48" t="s">
        <v>9648</v>
      </c>
      <c r="C2179" s="47" t="s">
        <v>65</v>
      </c>
      <c r="D2179" s="332">
        <v>26.81</v>
      </c>
    </row>
    <row r="2180" spans="1:4" ht="30">
      <c r="A2180" s="28">
        <v>72267</v>
      </c>
      <c r="B2180" s="26" t="s">
        <v>9649</v>
      </c>
      <c r="C2180" s="28" t="s">
        <v>65</v>
      </c>
      <c r="D2180" s="329">
        <v>27.03</v>
      </c>
    </row>
    <row r="2181" spans="1:4" ht="30">
      <c r="A2181" s="47">
        <v>72268</v>
      </c>
      <c r="B2181" s="48" t="s">
        <v>9651</v>
      </c>
      <c r="C2181" s="47" t="s">
        <v>65</v>
      </c>
      <c r="D2181" s="332">
        <v>28.07</v>
      </c>
    </row>
    <row r="2182" spans="1:4" ht="30">
      <c r="A2182" s="28">
        <v>72269</v>
      </c>
      <c r="B2182" s="26" t="s">
        <v>9652</v>
      </c>
      <c r="C2182" s="28" t="s">
        <v>65</v>
      </c>
      <c r="D2182" s="329">
        <v>31.96</v>
      </c>
    </row>
    <row r="2183" spans="1:4" ht="30">
      <c r="A2183" s="47">
        <v>72270</v>
      </c>
      <c r="B2183" s="48" t="s">
        <v>9654</v>
      </c>
      <c r="C2183" s="47" t="s">
        <v>65</v>
      </c>
      <c r="D2183" s="332">
        <v>39.28</v>
      </c>
    </row>
    <row r="2184" spans="1:4" ht="30">
      <c r="A2184" s="28">
        <v>72271</v>
      </c>
      <c r="B2184" s="26" t="s">
        <v>3908</v>
      </c>
      <c r="C2184" s="28" t="s">
        <v>65</v>
      </c>
      <c r="D2184" s="329">
        <v>9.64</v>
      </c>
    </row>
    <row r="2185" spans="1:4" ht="30">
      <c r="A2185" s="47">
        <v>72272</v>
      </c>
      <c r="B2185" s="48" t="s">
        <v>3909</v>
      </c>
      <c r="C2185" s="47" t="s">
        <v>65</v>
      </c>
      <c r="D2185" s="332">
        <v>10.69</v>
      </c>
    </row>
    <row r="2186" spans="1:4">
      <c r="A2186" s="28" t="s">
        <v>571</v>
      </c>
      <c r="B2186" s="26" t="s">
        <v>9640</v>
      </c>
      <c r="C2186" s="28" t="s">
        <v>65</v>
      </c>
      <c r="D2186" s="329">
        <v>27</v>
      </c>
    </row>
    <row r="2187" spans="1:4">
      <c r="A2187" s="47" t="s">
        <v>572</v>
      </c>
      <c r="B2187" s="48" t="s">
        <v>9645</v>
      </c>
      <c r="C2187" s="47" t="s">
        <v>65</v>
      </c>
      <c r="D2187" s="332">
        <v>41.79</v>
      </c>
    </row>
    <row r="2188" spans="1:4" ht="30">
      <c r="A2188" s="28" t="s">
        <v>573</v>
      </c>
      <c r="B2188" s="26" t="s">
        <v>9620</v>
      </c>
      <c r="C2188" s="28" t="s">
        <v>65</v>
      </c>
      <c r="D2188" s="329">
        <v>97.43</v>
      </c>
    </row>
    <row r="2189" spans="1:4" ht="30">
      <c r="A2189" s="47" t="s">
        <v>574</v>
      </c>
      <c r="B2189" s="48" t="s">
        <v>9627</v>
      </c>
      <c r="C2189" s="47" t="s">
        <v>65</v>
      </c>
      <c r="D2189" s="332">
        <v>16.63</v>
      </c>
    </row>
    <row r="2190" spans="1:4" ht="30">
      <c r="A2190" s="28">
        <v>83377</v>
      </c>
      <c r="B2190" s="26" t="s">
        <v>3883</v>
      </c>
      <c r="C2190" s="28" t="s">
        <v>65</v>
      </c>
      <c r="D2190" s="329">
        <v>8.18</v>
      </c>
    </row>
    <row r="2191" spans="1:4" ht="30">
      <c r="A2191" s="47">
        <v>91874</v>
      </c>
      <c r="B2191" s="48" t="s">
        <v>7017</v>
      </c>
      <c r="C2191" s="47" t="s">
        <v>65</v>
      </c>
      <c r="D2191" s="332">
        <v>2.93</v>
      </c>
    </row>
    <row r="2192" spans="1:4" ht="30">
      <c r="A2192" s="28">
        <v>91875</v>
      </c>
      <c r="B2192" s="26" t="s">
        <v>7020</v>
      </c>
      <c r="C2192" s="28" t="s">
        <v>65</v>
      </c>
      <c r="D2192" s="329">
        <v>3.83</v>
      </c>
    </row>
    <row r="2193" spans="1:4" ht="30">
      <c r="A2193" s="47">
        <v>91876</v>
      </c>
      <c r="B2193" s="48" t="s">
        <v>7023</v>
      </c>
      <c r="C2193" s="47" t="s">
        <v>65</v>
      </c>
      <c r="D2193" s="332">
        <v>5.0199999999999996</v>
      </c>
    </row>
    <row r="2194" spans="1:4" ht="30">
      <c r="A2194" s="28">
        <v>91877</v>
      </c>
      <c r="B2194" s="26" t="s">
        <v>7026</v>
      </c>
      <c r="C2194" s="28" t="s">
        <v>65</v>
      </c>
      <c r="D2194" s="329">
        <v>6.54</v>
      </c>
    </row>
    <row r="2195" spans="1:4" ht="30">
      <c r="A2195" s="47">
        <v>91878</v>
      </c>
      <c r="B2195" s="48" t="s">
        <v>7018</v>
      </c>
      <c r="C2195" s="47" t="s">
        <v>65</v>
      </c>
      <c r="D2195" s="332">
        <v>3.85</v>
      </c>
    </row>
    <row r="2196" spans="1:4" ht="30">
      <c r="A2196" s="28">
        <v>91879</v>
      </c>
      <c r="B2196" s="26" t="s">
        <v>7021</v>
      </c>
      <c r="C2196" s="28" t="s">
        <v>65</v>
      </c>
      <c r="D2196" s="329">
        <v>4.72</v>
      </c>
    </row>
    <row r="2197" spans="1:4" ht="30">
      <c r="A2197" s="47">
        <v>91880</v>
      </c>
      <c r="B2197" s="48" t="s">
        <v>7024</v>
      </c>
      <c r="C2197" s="47" t="s">
        <v>65</v>
      </c>
      <c r="D2197" s="332">
        <v>5.95</v>
      </c>
    </row>
    <row r="2198" spans="1:4" ht="30">
      <c r="A2198" s="28">
        <v>91881</v>
      </c>
      <c r="B2198" s="26" t="s">
        <v>7027</v>
      </c>
      <c r="C2198" s="28" t="s">
        <v>65</v>
      </c>
      <c r="D2198" s="329">
        <v>7.46</v>
      </c>
    </row>
    <row r="2199" spans="1:4" ht="30">
      <c r="A2199" s="47">
        <v>91882</v>
      </c>
      <c r="B2199" s="48" t="s">
        <v>7019</v>
      </c>
      <c r="C2199" s="47" t="s">
        <v>65</v>
      </c>
      <c r="D2199" s="332">
        <v>4.84</v>
      </c>
    </row>
    <row r="2200" spans="1:4" ht="30">
      <c r="A2200" s="28">
        <v>91884</v>
      </c>
      <c r="B2200" s="26" t="s">
        <v>7022</v>
      </c>
      <c r="C2200" s="28" t="s">
        <v>65</v>
      </c>
      <c r="D2200" s="329">
        <v>5.49</v>
      </c>
    </row>
    <row r="2201" spans="1:4" ht="30">
      <c r="A2201" s="47">
        <v>91885</v>
      </c>
      <c r="B2201" s="48" t="s">
        <v>7025</v>
      </c>
      <c r="C2201" s="47" t="s">
        <v>65</v>
      </c>
      <c r="D2201" s="332">
        <v>6.39</v>
      </c>
    </row>
    <row r="2202" spans="1:4" ht="30">
      <c r="A2202" s="28">
        <v>91886</v>
      </c>
      <c r="B2202" s="26" t="s">
        <v>7028</v>
      </c>
      <c r="C2202" s="28" t="s">
        <v>65</v>
      </c>
      <c r="D2202" s="329">
        <v>7.55</v>
      </c>
    </row>
    <row r="2203" spans="1:4" ht="30">
      <c r="A2203" s="47">
        <v>91887</v>
      </c>
      <c r="B2203" s="48" t="s">
        <v>4456</v>
      </c>
      <c r="C2203" s="47" t="s">
        <v>65</v>
      </c>
      <c r="D2203" s="332">
        <v>4.96</v>
      </c>
    </row>
    <row r="2204" spans="1:4" ht="30">
      <c r="A2204" s="28">
        <v>91888</v>
      </c>
      <c r="B2204" s="26" t="s">
        <v>4367</v>
      </c>
      <c r="C2204" s="28" t="s">
        <v>65</v>
      </c>
      <c r="D2204" s="329">
        <v>6.53</v>
      </c>
    </row>
    <row r="2205" spans="1:4" ht="30">
      <c r="A2205" s="47">
        <v>91889</v>
      </c>
      <c r="B2205" s="48" t="s">
        <v>10998</v>
      </c>
      <c r="C2205" s="47" t="s">
        <v>65</v>
      </c>
      <c r="D2205" s="332">
        <v>4.8600000000000003</v>
      </c>
    </row>
    <row r="2206" spans="1:4" ht="30">
      <c r="A2206" s="28">
        <v>91890</v>
      </c>
      <c r="B2206" s="26" t="s">
        <v>4459</v>
      </c>
      <c r="C2206" s="28" t="s">
        <v>65</v>
      </c>
      <c r="D2206" s="329">
        <v>6.09</v>
      </c>
    </row>
    <row r="2207" spans="1:4" ht="30">
      <c r="A2207" s="47">
        <v>91892</v>
      </c>
      <c r="B2207" s="48" t="s">
        <v>4381</v>
      </c>
      <c r="C2207" s="47" t="s">
        <v>65</v>
      </c>
      <c r="D2207" s="332">
        <v>6.82</v>
      </c>
    </row>
    <row r="2208" spans="1:4" ht="30">
      <c r="A2208" s="28">
        <v>91893</v>
      </c>
      <c r="B2208" s="26" t="s">
        <v>4462</v>
      </c>
      <c r="C2208" s="28" t="s">
        <v>65</v>
      </c>
      <c r="D2208" s="329">
        <v>8.17</v>
      </c>
    </row>
    <row r="2209" spans="1:4" ht="30">
      <c r="A2209" s="47">
        <v>91894</v>
      </c>
      <c r="B2209" s="48" t="s">
        <v>4370</v>
      </c>
      <c r="C2209" s="47" t="s">
        <v>65</v>
      </c>
      <c r="D2209" s="332">
        <v>9.77</v>
      </c>
    </row>
    <row r="2210" spans="1:4" ht="30">
      <c r="A2210" s="28">
        <v>91896</v>
      </c>
      <c r="B2210" s="26" t="s">
        <v>4465</v>
      </c>
      <c r="C2210" s="28" t="s">
        <v>65</v>
      </c>
      <c r="D2210" s="329">
        <v>10.11</v>
      </c>
    </row>
    <row r="2211" spans="1:4" ht="30">
      <c r="A2211" s="47">
        <v>91897</v>
      </c>
      <c r="B2211" s="48" t="s">
        <v>4373</v>
      </c>
      <c r="C2211" s="47" t="s">
        <v>65</v>
      </c>
      <c r="D2211" s="332">
        <v>14.55</v>
      </c>
    </row>
    <row r="2212" spans="1:4" ht="30">
      <c r="A2212" s="28">
        <v>91898</v>
      </c>
      <c r="B2212" s="26" t="s">
        <v>10999</v>
      </c>
      <c r="C2212" s="28" t="s">
        <v>65</v>
      </c>
      <c r="D2212" s="329">
        <v>10.9</v>
      </c>
    </row>
    <row r="2213" spans="1:4" ht="30">
      <c r="A2213" s="47">
        <v>91899</v>
      </c>
      <c r="B2213" s="48" t="s">
        <v>4457</v>
      </c>
      <c r="C2213" s="47" t="s">
        <v>65</v>
      </c>
      <c r="D2213" s="332">
        <v>6.3</v>
      </c>
    </row>
    <row r="2214" spans="1:4" ht="30">
      <c r="A2214" s="28">
        <v>91900</v>
      </c>
      <c r="B2214" s="26" t="s">
        <v>4368</v>
      </c>
      <c r="C2214" s="28" t="s">
        <v>65</v>
      </c>
      <c r="D2214" s="329">
        <v>7.87</v>
      </c>
    </row>
    <row r="2215" spans="1:4" ht="30">
      <c r="A2215" s="47">
        <v>91901</v>
      </c>
      <c r="B2215" s="48" t="s">
        <v>11000</v>
      </c>
      <c r="C2215" s="47" t="s">
        <v>65</v>
      </c>
      <c r="D2215" s="332">
        <v>6.19</v>
      </c>
    </row>
    <row r="2216" spans="1:4" ht="30">
      <c r="A2216" s="28">
        <v>91902</v>
      </c>
      <c r="B2216" s="26" t="s">
        <v>4460</v>
      </c>
      <c r="C2216" s="28" t="s">
        <v>65</v>
      </c>
      <c r="D2216" s="329">
        <v>7.42</v>
      </c>
    </row>
    <row r="2217" spans="1:4" ht="30">
      <c r="A2217" s="47">
        <v>91904</v>
      </c>
      <c r="B2217" s="48" t="s">
        <v>4382</v>
      </c>
      <c r="C2217" s="47" t="s">
        <v>65</v>
      </c>
      <c r="D2217" s="332">
        <v>8.15</v>
      </c>
    </row>
    <row r="2218" spans="1:4" ht="30">
      <c r="A2218" s="28">
        <v>91905</v>
      </c>
      <c r="B2218" s="26" t="s">
        <v>4463</v>
      </c>
      <c r="C2218" s="28" t="s">
        <v>65</v>
      </c>
      <c r="D2218" s="329">
        <v>9.5</v>
      </c>
    </row>
    <row r="2219" spans="1:4" ht="30">
      <c r="A2219" s="47">
        <v>91906</v>
      </c>
      <c r="B2219" s="48" t="s">
        <v>4371</v>
      </c>
      <c r="C2219" s="47" t="s">
        <v>65</v>
      </c>
      <c r="D2219" s="332">
        <v>11.1</v>
      </c>
    </row>
    <row r="2220" spans="1:4" ht="30">
      <c r="A2220" s="28">
        <v>91908</v>
      </c>
      <c r="B2220" s="26" t="s">
        <v>4466</v>
      </c>
      <c r="C2220" s="28" t="s">
        <v>65</v>
      </c>
      <c r="D2220" s="329">
        <v>11.48</v>
      </c>
    </row>
    <row r="2221" spans="1:4" ht="30">
      <c r="A2221" s="47">
        <v>91909</v>
      </c>
      <c r="B2221" s="48" t="s">
        <v>4374</v>
      </c>
      <c r="C2221" s="47" t="s">
        <v>65</v>
      </c>
      <c r="D2221" s="332">
        <v>15.91</v>
      </c>
    </row>
    <row r="2222" spans="1:4" ht="30">
      <c r="A2222" s="28">
        <v>91910</v>
      </c>
      <c r="B2222" s="26" t="s">
        <v>11001</v>
      </c>
      <c r="C2222" s="28" t="s">
        <v>65</v>
      </c>
      <c r="D2222" s="329">
        <v>12.27</v>
      </c>
    </row>
    <row r="2223" spans="1:4" ht="30">
      <c r="A2223" s="47">
        <v>91911</v>
      </c>
      <c r="B2223" s="48" t="s">
        <v>4458</v>
      </c>
      <c r="C2223" s="47" t="s">
        <v>65</v>
      </c>
      <c r="D2223" s="332">
        <v>7.82</v>
      </c>
    </row>
    <row r="2224" spans="1:4" ht="30">
      <c r="A2224" s="28">
        <v>91912</v>
      </c>
      <c r="B2224" s="26" t="s">
        <v>4369</v>
      </c>
      <c r="C2224" s="28" t="s">
        <v>65</v>
      </c>
      <c r="D2224" s="329">
        <v>9.39</v>
      </c>
    </row>
    <row r="2225" spans="1:4" ht="30">
      <c r="A2225" s="47">
        <v>91913</v>
      </c>
      <c r="B2225" s="48" t="s">
        <v>11002</v>
      </c>
      <c r="C2225" s="47" t="s">
        <v>65</v>
      </c>
      <c r="D2225" s="332">
        <v>7.72</v>
      </c>
    </row>
    <row r="2226" spans="1:4" ht="30">
      <c r="A2226" s="28">
        <v>91914</v>
      </c>
      <c r="B2226" s="26" t="s">
        <v>4461</v>
      </c>
      <c r="C2226" s="28" t="s">
        <v>65</v>
      </c>
      <c r="D2226" s="329">
        <v>8.6</v>
      </c>
    </row>
    <row r="2227" spans="1:4" ht="30">
      <c r="A2227" s="47">
        <v>91916</v>
      </c>
      <c r="B2227" s="48" t="s">
        <v>4383</v>
      </c>
      <c r="C2227" s="47" t="s">
        <v>65</v>
      </c>
      <c r="D2227" s="332">
        <v>9.32</v>
      </c>
    </row>
    <row r="2228" spans="1:4" ht="30">
      <c r="A2228" s="28">
        <v>91917</v>
      </c>
      <c r="B2228" s="26" t="s">
        <v>4464</v>
      </c>
      <c r="C2228" s="28" t="s">
        <v>65</v>
      </c>
      <c r="D2228" s="329">
        <v>10.199999999999999</v>
      </c>
    </row>
    <row r="2229" spans="1:4" ht="30">
      <c r="A2229" s="47">
        <v>91918</v>
      </c>
      <c r="B2229" s="48" t="s">
        <v>4372</v>
      </c>
      <c r="C2229" s="47" t="s">
        <v>65</v>
      </c>
      <c r="D2229" s="332">
        <v>11.8</v>
      </c>
    </row>
    <row r="2230" spans="1:4" ht="30">
      <c r="A2230" s="28">
        <v>91920</v>
      </c>
      <c r="B2230" s="26" t="s">
        <v>4467</v>
      </c>
      <c r="C2230" s="28" t="s">
        <v>65</v>
      </c>
      <c r="D2230" s="329">
        <v>11.64</v>
      </c>
    </row>
    <row r="2231" spans="1:4" ht="30">
      <c r="A2231" s="47">
        <v>91921</v>
      </c>
      <c r="B2231" s="48" t="s">
        <v>4375</v>
      </c>
      <c r="C2231" s="47" t="s">
        <v>65</v>
      </c>
      <c r="D2231" s="332">
        <v>16.07</v>
      </c>
    </row>
    <row r="2232" spans="1:4" ht="30">
      <c r="A2232" s="28">
        <v>91922</v>
      </c>
      <c r="B2232" s="26" t="s">
        <v>11003</v>
      </c>
      <c r="C2232" s="28" t="s">
        <v>65</v>
      </c>
      <c r="D2232" s="329">
        <v>12.43</v>
      </c>
    </row>
    <row r="2233" spans="1:4" ht="30">
      <c r="A2233" s="47">
        <v>93013</v>
      </c>
      <c r="B2233" s="48" t="s">
        <v>7029</v>
      </c>
      <c r="C2233" s="47" t="s">
        <v>65</v>
      </c>
      <c r="D2233" s="332">
        <v>8.42</v>
      </c>
    </row>
    <row r="2234" spans="1:4" ht="30">
      <c r="A2234" s="28">
        <v>93014</v>
      </c>
      <c r="B2234" s="26" t="s">
        <v>7030</v>
      </c>
      <c r="C2234" s="28" t="s">
        <v>65</v>
      </c>
      <c r="D2234" s="329">
        <v>10.08</v>
      </c>
    </row>
    <row r="2235" spans="1:4" ht="30">
      <c r="A2235" s="47">
        <v>93015</v>
      </c>
      <c r="B2235" s="48" t="s">
        <v>7031</v>
      </c>
      <c r="C2235" s="47" t="s">
        <v>65</v>
      </c>
      <c r="D2235" s="332">
        <v>13.99</v>
      </c>
    </row>
    <row r="2236" spans="1:4" ht="30">
      <c r="A2236" s="28">
        <v>93016</v>
      </c>
      <c r="B2236" s="26" t="s">
        <v>7032</v>
      </c>
      <c r="C2236" s="28" t="s">
        <v>65</v>
      </c>
      <c r="D2236" s="329">
        <v>16.510000000000002</v>
      </c>
    </row>
    <row r="2237" spans="1:4" ht="30">
      <c r="A2237" s="47">
        <v>93017</v>
      </c>
      <c r="B2237" s="48" t="s">
        <v>7016</v>
      </c>
      <c r="C2237" s="47" t="s">
        <v>65</v>
      </c>
      <c r="D2237" s="332">
        <v>23.47</v>
      </c>
    </row>
    <row r="2238" spans="1:4" ht="30">
      <c r="A2238" s="28">
        <v>93018</v>
      </c>
      <c r="B2238" s="26" t="s">
        <v>4468</v>
      </c>
      <c r="C2238" s="28" t="s">
        <v>65</v>
      </c>
      <c r="D2238" s="329">
        <v>12.76</v>
      </c>
    </row>
    <row r="2239" spans="1:4" ht="30">
      <c r="A2239" s="47">
        <v>93019</v>
      </c>
      <c r="B2239" s="48" t="s">
        <v>4376</v>
      </c>
      <c r="C2239" s="47" t="s">
        <v>65</v>
      </c>
      <c r="D2239" s="332">
        <v>17.73</v>
      </c>
    </row>
    <row r="2240" spans="1:4" ht="30">
      <c r="A2240" s="28">
        <v>93020</v>
      </c>
      <c r="B2240" s="26" t="s">
        <v>4469</v>
      </c>
      <c r="C2240" s="28" t="s">
        <v>65</v>
      </c>
      <c r="D2240" s="329">
        <v>15.69</v>
      </c>
    </row>
    <row r="2241" spans="1:4" ht="30">
      <c r="A2241" s="47">
        <v>93021</v>
      </c>
      <c r="B2241" s="48" t="s">
        <v>4377</v>
      </c>
      <c r="C2241" s="47" t="s">
        <v>65</v>
      </c>
      <c r="D2241" s="332">
        <v>21.62</v>
      </c>
    </row>
    <row r="2242" spans="1:4" ht="30">
      <c r="A2242" s="28">
        <v>93022</v>
      </c>
      <c r="B2242" s="26" t="s">
        <v>4470</v>
      </c>
      <c r="C2242" s="28" t="s">
        <v>65</v>
      </c>
      <c r="D2242" s="329">
        <v>23.4</v>
      </c>
    </row>
    <row r="2243" spans="1:4" ht="30">
      <c r="A2243" s="47">
        <v>93023</v>
      </c>
      <c r="B2243" s="48" t="s">
        <v>4378</v>
      </c>
      <c r="C2243" s="47" t="s">
        <v>65</v>
      </c>
      <c r="D2243" s="332">
        <v>25.37</v>
      </c>
    </row>
    <row r="2244" spans="1:4" ht="30">
      <c r="A2244" s="28">
        <v>93024</v>
      </c>
      <c r="B2244" s="26" t="s">
        <v>4471</v>
      </c>
      <c r="C2244" s="28" t="s">
        <v>65</v>
      </c>
      <c r="D2244" s="329">
        <v>24.99</v>
      </c>
    </row>
    <row r="2245" spans="1:4" ht="30">
      <c r="A2245" s="47">
        <v>93025</v>
      </c>
      <c r="B2245" s="48" t="s">
        <v>4379</v>
      </c>
      <c r="C2245" s="47" t="s">
        <v>65</v>
      </c>
      <c r="D2245" s="332">
        <v>41.52</v>
      </c>
    </row>
    <row r="2246" spans="1:4" ht="30">
      <c r="A2246" s="28">
        <v>93026</v>
      </c>
      <c r="B2246" s="26" t="s">
        <v>4455</v>
      </c>
      <c r="C2246" s="28" t="s">
        <v>65</v>
      </c>
      <c r="D2246" s="329">
        <v>37.78</v>
      </c>
    </row>
    <row r="2247" spans="1:4" ht="30">
      <c r="A2247" s="47">
        <v>93027</v>
      </c>
      <c r="B2247" s="48" t="s">
        <v>4366</v>
      </c>
      <c r="C2247" s="47" t="s">
        <v>65</v>
      </c>
      <c r="D2247" s="332">
        <v>47.26</v>
      </c>
    </row>
    <row r="2248" spans="1:4">
      <c r="A2248" s="28">
        <v>72250</v>
      </c>
      <c r="B2248" s="26" t="s">
        <v>2907</v>
      </c>
      <c r="C2248" s="28" t="s">
        <v>71</v>
      </c>
      <c r="D2248" s="329">
        <v>7.18</v>
      </c>
    </row>
    <row r="2249" spans="1:4">
      <c r="A2249" s="47">
        <v>72251</v>
      </c>
      <c r="B2249" s="48" t="s">
        <v>2912</v>
      </c>
      <c r="C2249" s="47" t="s">
        <v>71</v>
      </c>
      <c r="D2249" s="332">
        <v>10.5</v>
      </c>
    </row>
    <row r="2250" spans="1:4">
      <c r="A2250" s="28">
        <v>72252</v>
      </c>
      <c r="B2250" s="26" t="s">
        <v>2915</v>
      </c>
      <c r="C2250" s="28" t="s">
        <v>71</v>
      </c>
      <c r="D2250" s="329">
        <v>15.24</v>
      </c>
    </row>
    <row r="2251" spans="1:4">
      <c r="A2251" s="47">
        <v>72253</v>
      </c>
      <c r="B2251" s="48" t="s">
        <v>2918</v>
      </c>
      <c r="C2251" s="47" t="s">
        <v>71</v>
      </c>
      <c r="D2251" s="332">
        <v>20.27</v>
      </c>
    </row>
    <row r="2252" spans="1:4">
      <c r="A2252" s="28">
        <v>72254</v>
      </c>
      <c r="B2252" s="26" t="s">
        <v>2921</v>
      </c>
      <c r="C2252" s="28" t="s">
        <v>71</v>
      </c>
      <c r="D2252" s="329">
        <v>28.79</v>
      </c>
    </row>
    <row r="2253" spans="1:4">
      <c r="A2253" s="47">
        <v>72255</v>
      </c>
      <c r="B2253" s="48" t="s">
        <v>2923</v>
      </c>
      <c r="C2253" s="47" t="s">
        <v>71</v>
      </c>
      <c r="D2253" s="332">
        <v>37.479999999999997</v>
      </c>
    </row>
    <row r="2254" spans="1:4">
      <c r="A2254" s="28">
        <v>72256</v>
      </c>
      <c r="B2254" s="26" t="s">
        <v>2925</v>
      </c>
      <c r="C2254" s="28" t="s">
        <v>71</v>
      </c>
      <c r="D2254" s="329">
        <v>49.02</v>
      </c>
    </row>
    <row r="2255" spans="1:4">
      <c r="A2255" s="47">
        <v>72257</v>
      </c>
      <c r="B2255" s="48" t="s">
        <v>2909</v>
      </c>
      <c r="C2255" s="47" t="s">
        <v>71</v>
      </c>
      <c r="D2255" s="332">
        <v>63.85</v>
      </c>
    </row>
    <row r="2256" spans="1:4" ht="30">
      <c r="A2256" s="28">
        <v>91924</v>
      </c>
      <c r="B2256" s="26" t="s">
        <v>2871</v>
      </c>
      <c r="C2256" s="28" t="s">
        <v>71</v>
      </c>
      <c r="D2256" s="329">
        <v>1.61</v>
      </c>
    </row>
    <row r="2257" spans="1:4" ht="30">
      <c r="A2257" s="47">
        <v>91925</v>
      </c>
      <c r="B2257" s="48" t="s">
        <v>2870</v>
      </c>
      <c r="C2257" s="47" t="s">
        <v>71</v>
      </c>
      <c r="D2257" s="332">
        <v>2.25</v>
      </c>
    </row>
    <row r="2258" spans="1:4" ht="30">
      <c r="A2258" s="28">
        <v>91926</v>
      </c>
      <c r="B2258" s="26" t="s">
        <v>2887</v>
      </c>
      <c r="C2258" s="28" t="s">
        <v>71</v>
      </c>
      <c r="D2258" s="329">
        <v>3.11</v>
      </c>
    </row>
    <row r="2259" spans="1:4" ht="30">
      <c r="A2259" s="47">
        <v>91927</v>
      </c>
      <c r="B2259" s="48" t="s">
        <v>2886</v>
      </c>
      <c r="C2259" s="47" t="s">
        <v>71</v>
      </c>
      <c r="D2259" s="332">
        <v>3</v>
      </c>
    </row>
    <row r="2260" spans="1:4" ht="30">
      <c r="A2260" s="28">
        <v>91928</v>
      </c>
      <c r="B2260" s="26" t="s">
        <v>2897</v>
      </c>
      <c r="C2260" s="28" t="s">
        <v>71</v>
      </c>
      <c r="D2260" s="329">
        <v>4.42</v>
      </c>
    </row>
    <row r="2261" spans="1:4" ht="30">
      <c r="A2261" s="47">
        <v>91929</v>
      </c>
      <c r="B2261" s="48" t="s">
        <v>2896</v>
      </c>
      <c r="C2261" s="47" t="s">
        <v>71</v>
      </c>
      <c r="D2261" s="332">
        <v>4.2</v>
      </c>
    </row>
    <row r="2262" spans="1:4" ht="30">
      <c r="A2262" s="28">
        <v>91930</v>
      </c>
      <c r="B2262" s="26" t="s">
        <v>2901</v>
      </c>
      <c r="C2262" s="28" t="s">
        <v>71</v>
      </c>
      <c r="D2262" s="329">
        <v>5.22</v>
      </c>
    </row>
    <row r="2263" spans="1:4" ht="30">
      <c r="A2263" s="47">
        <v>91931</v>
      </c>
      <c r="B2263" s="48" t="s">
        <v>2900</v>
      </c>
      <c r="C2263" s="47" t="s">
        <v>71</v>
      </c>
      <c r="D2263" s="332">
        <v>5.64</v>
      </c>
    </row>
    <row r="2264" spans="1:4" ht="30">
      <c r="A2264" s="28">
        <v>91932</v>
      </c>
      <c r="B2264" s="26" t="s">
        <v>2874</v>
      </c>
      <c r="C2264" s="28" t="s">
        <v>71</v>
      </c>
      <c r="D2264" s="329">
        <v>8.65</v>
      </c>
    </row>
    <row r="2265" spans="1:4" ht="30">
      <c r="A2265" s="47">
        <v>91933</v>
      </c>
      <c r="B2265" s="48" t="s">
        <v>2872</v>
      </c>
      <c r="C2265" s="47" t="s">
        <v>71</v>
      </c>
      <c r="D2265" s="332">
        <v>8.83</v>
      </c>
    </row>
    <row r="2266" spans="1:4" ht="30">
      <c r="A2266" s="28">
        <v>91934</v>
      </c>
      <c r="B2266" s="26" t="s">
        <v>2882</v>
      </c>
      <c r="C2266" s="28" t="s">
        <v>71</v>
      </c>
      <c r="D2266" s="329">
        <v>16.739999999999998</v>
      </c>
    </row>
    <row r="2267" spans="1:4" ht="30">
      <c r="A2267" s="47">
        <v>91935</v>
      </c>
      <c r="B2267" s="48" t="s">
        <v>2880</v>
      </c>
      <c r="C2267" s="47" t="s">
        <v>71</v>
      </c>
      <c r="D2267" s="332">
        <v>13.43</v>
      </c>
    </row>
    <row r="2268" spans="1:4" ht="30">
      <c r="A2268" s="28">
        <v>92979</v>
      </c>
      <c r="B2268" s="26" t="s">
        <v>2875</v>
      </c>
      <c r="C2268" s="28" t="s">
        <v>71</v>
      </c>
      <c r="D2268" s="329">
        <v>5.65</v>
      </c>
    </row>
    <row r="2269" spans="1:4" ht="30">
      <c r="A2269" s="47">
        <v>92980</v>
      </c>
      <c r="B2269" s="48" t="s">
        <v>2873</v>
      </c>
      <c r="C2269" s="47" t="s">
        <v>71</v>
      </c>
      <c r="D2269" s="332">
        <v>5.8</v>
      </c>
    </row>
    <row r="2270" spans="1:4" ht="30">
      <c r="A2270" s="28">
        <v>92981</v>
      </c>
      <c r="B2270" s="26" t="s">
        <v>2883</v>
      </c>
      <c r="C2270" s="28" t="s">
        <v>71</v>
      </c>
      <c r="D2270" s="329">
        <v>11.71</v>
      </c>
    </row>
    <row r="2271" spans="1:4" ht="30">
      <c r="A2271" s="47">
        <v>92982</v>
      </c>
      <c r="B2271" s="48" t="s">
        <v>2881</v>
      </c>
      <c r="C2271" s="47" t="s">
        <v>71</v>
      </c>
      <c r="D2271" s="332">
        <v>8.85</v>
      </c>
    </row>
    <row r="2272" spans="1:4" ht="30">
      <c r="A2272" s="28">
        <v>92983</v>
      </c>
      <c r="B2272" s="26" t="s">
        <v>2891</v>
      </c>
      <c r="C2272" s="28" t="s">
        <v>71</v>
      </c>
      <c r="D2272" s="329">
        <v>14.67</v>
      </c>
    </row>
    <row r="2273" spans="1:4" ht="30">
      <c r="A2273" s="47">
        <v>92984</v>
      </c>
      <c r="B2273" s="48" t="s">
        <v>2890</v>
      </c>
      <c r="C2273" s="47" t="s">
        <v>71</v>
      </c>
      <c r="D2273" s="332">
        <v>14.72</v>
      </c>
    </row>
    <row r="2274" spans="1:4" ht="30">
      <c r="A2274" s="28">
        <v>92985</v>
      </c>
      <c r="B2274" s="26" t="s">
        <v>2895</v>
      </c>
      <c r="C2274" s="28" t="s">
        <v>71</v>
      </c>
      <c r="D2274" s="329">
        <v>19.48</v>
      </c>
    </row>
    <row r="2275" spans="1:4" ht="30">
      <c r="A2275" s="47">
        <v>92986</v>
      </c>
      <c r="B2275" s="48" t="s">
        <v>2894</v>
      </c>
      <c r="C2275" s="47" t="s">
        <v>71</v>
      </c>
      <c r="D2275" s="332">
        <v>19.79</v>
      </c>
    </row>
    <row r="2276" spans="1:4" ht="30">
      <c r="A2276" s="28">
        <v>92987</v>
      </c>
      <c r="B2276" s="26" t="s">
        <v>2899</v>
      </c>
      <c r="C2276" s="28" t="s">
        <v>71</v>
      </c>
      <c r="D2276" s="329">
        <v>27.09</v>
      </c>
    </row>
    <row r="2277" spans="1:4" ht="30">
      <c r="A2277" s="47">
        <v>92988</v>
      </c>
      <c r="B2277" s="48" t="s">
        <v>2898</v>
      </c>
      <c r="C2277" s="47" t="s">
        <v>71</v>
      </c>
      <c r="D2277" s="332">
        <v>27.66</v>
      </c>
    </row>
    <row r="2278" spans="1:4" ht="30">
      <c r="A2278" s="28">
        <v>92989</v>
      </c>
      <c r="B2278" s="26" t="s">
        <v>2903</v>
      </c>
      <c r="C2278" s="28" t="s">
        <v>71</v>
      </c>
      <c r="D2278" s="329">
        <v>36.93</v>
      </c>
    </row>
    <row r="2279" spans="1:4" ht="30">
      <c r="A2279" s="47">
        <v>92990</v>
      </c>
      <c r="B2279" s="48" t="s">
        <v>2902</v>
      </c>
      <c r="C2279" s="47" t="s">
        <v>71</v>
      </c>
      <c r="D2279" s="332">
        <v>37.81</v>
      </c>
    </row>
    <row r="2280" spans="1:4" ht="30">
      <c r="A2280" s="28">
        <v>92991</v>
      </c>
      <c r="B2280" s="26" t="s">
        <v>2905</v>
      </c>
      <c r="C2280" s="28" t="s">
        <v>71</v>
      </c>
      <c r="D2280" s="329">
        <v>49.57</v>
      </c>
    </row>
    <row r="2281" spans="1:4" ht="30">
      <c r="A2281" s="47">
        <v>92992</v>
      </c>
      <c r="B2281" s="48" t="s">
        <v>2904</v>
      </c>
      <c r="C2281" s="47" t="s">
        <v>71</v>
      </c>
      <c r="D2281" s="332">
        <v>49.86</v>
      </c>
    </row>
    <row r="2282" spans="1:4" ht="30">
      <c r="A2282" s="28">
        <v>92993</v>
      </c>
      <c r="B2282" s="26" t="s">
        <v>2877</v>
      </c>
      <c r="C2282" s="28" t="s">
        <v>71</v>
      </c>
      <c r="D2282" s="329">
        <v>62.68</v>
      </c>
    </row>
    <row r="2283" spans="1:4" ht="30">
      <c r="A2283" s="47">
        <v>92994</v>
      </c>
      <c r="B2283" s="48" t="s">
        <v>2876</v>
      </c>
      <c r="C2283" s="47" t="s">
        <v>71</v>
      </c>
      <c r="D2283" s="332">
        <v>64.430000000000007</v>
      </c>
    </row>
    <row r="2284" spans="1:4" ht="30">
      <c r="A2284" s="28">
        <v>92995</v>
      </c>
      <c r="B2284" s="26" t="s">
        <v>2879</v>
      </c>
      <c r="C2284" s="28" t="s">
        <v>71</v>
      </c>
      <c r="D2284" s="329">
        <v>77.88</v>
      </c>
    </row>
    <row r="2285" spans="1:4" ht="30">
      <c r="A2285" s="47">
        <v>92996</v>
      </c>
      <c r="B2285" s="48" t="s">
        <v>2878</v>
      </c>
      <c r="C2285" s="47" t="s">
        <v>71</v>
      </c>
      <c r="D2285" s="332">
        <v>79.53</v>
      </c>
    </row>
    <row r="2286" spans="1:4" ht="30">
      <c r="A2286" s="28">
        <v>92997</v>
      </c>
      <c r="B2286" s="26" t="s">
        <v>2885</v>
      </c>
      <c r="C2286" s="28" t="s">
        <v>71</v>
      </c>
      <c r="D2286" s="329">
        <v>95.34</v>
      </c>
    </row>
    <row r="2287" spans="1:4" ht="30">
      <c r="A2287" s="47">
        <v>92998</v>
      </c>
      <c r="B2287" s="48" t="s">
        <v>2884</v>
      </c>
      <c r="C2287" s="47" t="s">
        <v>71</v>
      </c>
      <c r="D2287" s="332">
        <v>97.25</v>
      </c>
    </row>
    <row r="2288" spans="1:4" ht="30">
      <c r="A2288" s="28">
        <v>92999</v>
      </c>
      <c r="B2288" s="26" t="s">
        <v>2889</v>
      </c>
      <c r="C2288" s="28" t="s">
        <v>71</v>
      </c>
      <c r="D2288" s="329">
        <v>125.43</v>
      </c>
    </row>
    <row r="2289" spans="1:4" ht="30">
      <c r="A2289" s="47">
        <v>93000</v>
      </c>
      <c r="B2289" s="48" t="s">
        <v>2888</v>
      </c>
      <c r="C2289" s="47" t="s">
        <v>71</v>
      </c>
      <c r="D2289" s="332">
        <v>127.54</v>
      </c>
    </row>
    <row r="2290" spans="1:4" ht="30">
      <c r="A2290" s="28">
        <v>93001</v>
      </c>
      <c r="B2290" s="26" t="s">
        <v>2893</v>
      </c>
      <c r="C2290" s="28" t="s">
        <v>71</v>
      </c>
      <c r="D2290" s="329">
        <v>154.77000000000001</v>
      </c>
    </row>
    <row r="2291" spans="1:4" ht="30">
      <c r="A2291" s="47">
        <v>93002</v>
      </c>
      <c r="B2291" s="48" t="s">
        <v>2892</v>
      </c>
      <c r="C2291" s="47" t="s">
        <v>71</v>
      </c>
      <c r="D2291" s="332">
        <v>159.03</v>
      </c>
    </row>
    <row r="2292" spans="1:4">
      <c r="A2292" s="28">
        <v>83443</v>
      </c>
      <c r="B2292" s="26" t="s">
        <v>3055</v>
      </c>
      <c r="C2292" s="28" t="s">
        <v>65</v>
      </c>
      <c r="D2292" s="329">
        <v>37.979999999999997</v>
      </c>
    </row>
    <row r="2293" spans="1:4">
      <c r="A2293" s="47">
        <v>83446</v>
      </c>
      <c r="B2293" s="48" t="s">
        <v>3056</v>
      </c>
      <c r="C2293" s="47" t="s">
        <v>65</v>
      </c>
      <c r="D2293" s="332">
        <v>124.41</v>
      </c>
    </row>
    <row r="2294" spans="1:4">
      <c r="A2294" s="28">
        <v>83447</v>
      </c>
      <c r="B2294" s="26" t="s">
        <v>3057</v>
      </c>
      <c r="C2294" s="28" t="s">
        <v>65</v>
      </c>
      <c r="D2294" s="329">
        <v>133.77000000000001</v>
      </c>
    </row>
    <row r="2295" spans="1:4">
      <c r="A2295" s="47">
        <v>83448</v>
      </c>
      <c r="B2295" s="48" t="s">
        <v>3090</v>
      </c>
      <c r="C2295" s="47" t="s">
        <v>65</v>
      </c>
      <c r="D2295" s="332">
        <v>202.5</v>
      </c>
    </row>
    <row r="2296" spans="1:4">
      <c r="A2296" s="28">
        <v>83449</v>
      </c>
      <c r="B2296" s="26" t="s">
        <v>3058</v>
      </c>
      <c r="C2296" s="28" t="s">
        <v>65</v>
      </c>
      <c r="D2296" s="329">
        <v>285.08999999999997</v>
      </c>
    </row>
    <row r="2297" spans="1:4">
      <c r="A2297" s="47">
        <v>83450</v>
      </c>
      <c r="B2297" s="48" t="s">
        <v>3059</v>
      </c>
      <c r="C2297" s="47" t="s">
        <v>65</v>
      </c>
      <c r="D2297" s="332">
        <v>339.65</v>
      </c>
    </row>
    <row r="2298" spans="1:4" ht="30">
      <c r="A2298" s="28">
        <v>91936</v>
      </c>
      <c r="B2298" s="26" t="s">
        <v>3110</v>
      </c>
      <c r="C2298" s="28" t="s">
        <v>65</v>
      </c>
      <c r="D2298" s="329">
        <v>6.8</v>
      </c>
    </row>
    <row r="2299" spans="1:4" ht="30">
      <c r="A2299" s="47">
        <v>91937</v>
      </c>
      <c r="B2299" s="48" t="s">
        <v>3109</v>
      </c>
      <c r="C2299" s="47" t="s">
        <v>65</v>
      </c>
      <c r="D2299" s="332">
        <v>6.1</v>
      </c>
    </row>
    <row r="2300" spans="1:4" ht="30">
      <c r="A2300" s="28">
        <v>91939</v>
      </c>
      <c r="B2300" s="26" t="s">
        <v>3120</v>
      </c>
      <c r="C2300" s="28" t="s">
        <v>65</v>
      </c>
      <c r="D2300" s="329">
        <v>17.68</v>
      </c>
    </row>
    <row r="2301" spans="1:4" ht="30">
      <c r="A2301" s="47">
        <v>91940</v>
      </c>
      <c r="B2301" s="48" t="s">
        <v>3124</v>
      </c>
      <c r="C2301" s="47" t="s">
        <v>65</v>
      </c>
      <c r="D2301" s="332">
        <v>9.0500000000000007</v>
      </c>
    </row>
    <row r="2302" spans="1:4" ht="30">
      <c r="A2302" s="28">
        <v>91941</v>
      </c>
      <c r="B2302" s="26" t="s">
        <v>3122</v>
      </c>
      <c r="C2302" s="28" t="s">
        <v>65</v>
      </c>
      <c r="D2302" s="329">
        <v>5.81</v>
      </c>
    </row>
    <row r="2303" spans="1:4" ht="30">
      <c r="A2303" s="47">
        <v>91942</v>
      </c>
      <c r="B2303" s="48" t="s">
        <v>3126</v>
      </c>
      <c r="C2303" s="47" t="s">
        <v>65</v>
      </c>
      <c r="D2303" s="332">
        <v>21.1</v>
      </c>
    </row>
    <row r="2304" spans="1:4" ht="30">
      <c r="A2304" s="28">
        <v>91943</v>
      </c>
      <c r="B2304" s="26" t="s">
        <v>3130</v>
      </c>
      <c r="C2304" s="28" t="s">
        <v>65</v>
      </c>
      <c r="D2304" s="329">
        <v>11.16</v>
      </c>
    </row>
    <row r="2305" spans="1:4" ht="30">
      <c r="A2305" s="47">
        <v>91944</v>
      </c>
      <c r="B2305" s="48" t="s">
        <v>3128</v>
      </c>
      <c r="C2305" s="47" t="s">
        <v>65</v>
      </c>
      <c r="D2305" s="332">
        <v>7.45</v>
      </c>
    </row>
    <row r="2306" spans="1:4" ht="30">
      <c r="A2306" s="28">
        <v>92865</v>
      </c>
      <c r="B2306" s="26" t="s">
        <v>576</v>
      </c>
      <c r="C2306" s="28" t="s">
        <v>65</v>
      </c>
      <c r="D2306" s="329">
        <v>6.37</v>
      </c>
    </row>
    <row r="2307" spans="1:4" ht="30">
      <c r="A2307" s="47">
        <v>92866</v>
      </c>
      <c r="B2307" s="48" t="s">
        <v>577</v>
      </c>
      <c r="C2307" s="47" t="s">
        <v>65</v>
      </c>
      <c r="D2307" s="332">
        <v>5.48</v>
      </c>
    </row>
    <row r="2308" spans="1:4" ht="30">
      <c r="A2308" s="28">
        <v>92867</v>
      </c>
      <c r="B2308" s="26" t="s">
        <v>3119</v>
      </c>
      <c r="C2308" s="28" t="s">
        <v>65</v>
      </c>
      <c r="D2308" s="329">
        <v>17.690000000000001</v>
      </c>
    </row>
    <row r="2309" spans="1:4" ht="30">
      <c r="A2309" s="47">
        <v>92868</v>
      </c>
      <c r="B2309" s="48" t="s">
        <v>3123</v>
      </c>
      <c r="C2309" s="47" t="s">
        <v>65</v>
      </c>
      <c r="D2309" s="332">
        <v>9.0500000000000007</v>
      </c>
    </row>
    <row r="2310" spans="1:4" ht="30">
      <c r="A2310" s="28">
        <v>92869</v>
      </c>
      <c r="B2310" s="26" t="s">
        <v>3121</v>
      </c>
      <c r="C2310" s="28" t="s">
        <v>65</v>
      </c>
      <c r="D2310" s="329">
        <v>5.81</v>
      </c>
    </row>
    <row r="2311" spans="1:4" ht="30">
      <c r="A2311" s="47">
        <v>92870</v>
      </c>
      <c r="B2311" s="48" t="s">
        <v>3125</v>
      </c>
      <c r="C2311" s="47" t="s">
        <v>65</v>
      </c>
      <c r="D2311" s="332">
        <v>21.21</v>
      </c>
    </row>
    <row r="2312" spans="1:4" ht="30">
      <c r="A2312" s="28">
        <v>92871</v>
      </c>
      <c r="B2312" s="26" t="s">
        <v>3129</v>
      </c>
      <c r="C2312" s="28" t="s">
        <v>65</v>
      </c>
      <c r="D2312" s="329">
        <v>11.27</v>
      </c>
    </row>
    <row r="2313" spans="1:4" ht="30">
      <c r="A2313" s="47">
        <v>92872</v>
      </c>
      <c r="B2313" s="48" t="s">
        <v>3127</v>
      </c>
      <c r="C2313" s="47" t="s">
        <v>65</v>
      </c>
      <c r="D2313" s="332">
        <v>7.55</v>
      </c>
    </row>
    <row r="2314" spans="1:4" ht="30">
      <c r="A2314" s="28">
        <v>95777</v>
      </c>
      <c r="B2314" s="26" t="s">
        <v>11004</v>
      </c>
      <c r="C2314" s="28" t="s">
        <v>65</v>
      </c>
      <c r="D2314" s="329">
        <v>17</v>
      </c>
    </row>
    <row r="2315" spans="1:4" ht="30">
      <c r="A2315" s="47">
        <v>95778</v>
      </c>
      <c r="B2315" s="48" t="s">
        <v>11005</v>
      </c>
      <c r="C2315" s="47" t="s">
        <v>65</v>
      </c>
      <c r="D2315" s="332">
        <v>17.350000000000001</v>
      </c>
    </row>
    <row r="2316" spans="1:4" ht="30">
      <c r="A2316" s="28">
        <v>95779</v>
      </c>
      <c r="B2316" s="26" t="s">
        <v>11006</v>
      </c>
      <c r="C2316" s="28" t="s">
        <v>65</v>
      </c>
      <c r="D2316" s="329">
        <v>16.16</v>
      </c>
    </row>
    <row r="2317" spans="1:4" ht="30">
      <c r="A2317" s="47">
        <v>95780</v>
      </c>
      <c r="B2317" s="48" t="s">
        <v>11007</v>
      </c>
      <c r="C2317" s="47" t="s">
        <v>65</v>
      </c>
      <c r="D2317" s="332">
        <v>19.079999999999998</v>
      </c>
    </row>
    <row r="2318" spans="1:4" ht="30">
      <c r="A2318" s="28">
        <v>95781</v>
      </c>
      <c r="B2318" s="26" t="s">
        <v>11008</v>
      </c>
      <c r="C2318" s="28" t="s">
        <v>65</v>
      </c>
      <c r="D2318" s="329">
        <v>19.34</v>
      </c>
    </row>
    <row r="2319" spans="1:4" ht="30">
      <c r="A2319" s="47">
        <v>95782</v>
      </c>
      <c r="B2319" s="48" t="s">
        <v>11009</v>
      </c>
      <c r="C2319" s="47" t="s">
        <v>65</v>
      </c>
      <c r="D2319" s="332">
        <v>20.03</v>
      </c>
    </row>
    <row r="2320" spans="1:4" ht="30">
      <c r="A2320" s="28">
        <v>95785</v>
      </c>
      <c r="B2320" s="26" t="s">
        <v>11010</v>
      </c>
      <c r="C2320" s="28" t="s">
        <v>65</v>
      </c>
      <c r="D2320" s="329">
        <v>22.56</v>
      </c>
    </row>
    <row r="2321" spans="1:4" ht="30">
      <c r="A2321" s="47">
        <v>95787</v>
      </c>
      <c r="B2321" s="48" t="s">
        <v>11011</v>
      </c>
      <c r="C2321" s="47" t="s">
        <v>65</v>
      </c>
      <c r="D2321" s="332">
        <v>17.399999999999999</v>
      </c>
    </row>
    <row r="2322" spans="1:4" ht="30">
      <c r="A2322" s="28">
        <v>95789</v>
      </c>
      <c r="B2322" s="26" t="s">
        <v>11012</v>
      </c>
      <c r="C2322" s="28" t="s">
        <v>65</v>
      </c>
      <c r="D2322" s="329">
        <v>21.05</v>
      </c>
    </row>
    <row r="2323" spans="1:4" ht="30">
      <c r="A2323" s="47">
        <v>95791</v>
      </c>
      <c r="B2323" s="48" t="s">
        <v>11013</v>
      </c>
      <c r="C2323" s="47" t="s">
        <v>65</v>
      </c>
      <c r="D2323" s="332">
        <v>26.48</v>
      </c>
    </row>
    <row r="2324" spans="1:4" ht="30">
      <c r="A2324" s="28">
        <v>95795</v>
      </c>
      <c r="B2324" s="26" t="s">
        <v>11014</v>
      </c>
      <c r="C2324" s="28" t="s">
        <v>65</v>
      </c>
      <c r="D2324" s="329">
        <v>20.100000000000001</v>
      </c>
    </row>
    <row r="2325" spans="1:4" ht="30">
      <c r="A2325" s="47">
        <v>95796</v>
      </c>
      <c r="B2325" s="48" t="s">
        <v>11015</v>
      </c>
      <c r="C2325" s="47" t="s">
        <v>65</v>
      </c>
      <c r="D2325" s="332">
        <v>24.77</v>
      </c>
    </row>
    <row r="2326" spans="1:4" ht="30">
      <c r="A2326" s="28">
        <v>95797</v>
      </c>
      <c r="B2326" s="26" t="s">
        <v>11016</v>
      </c>
      <c r="C2326" s="28" t="s">
        <v>65</v>
      </c>
      <c r="D2326" s="329">
        <v>30.88</v>
      </c>
    </row>
    <row r="2327" spans="1:4" ht="30">
      <c r="A2327" s="47">
        <v>95801</v>
      </c>
      <c r="B2327" s="48" t="s">
        <v>11017</v>
      </c>
      <c r="C2327" s="47" t="s">
        <v>65</v>
      </c>
      <c r="D2327" s="332">
        <v>23.93</v>
      </c>
    </row>
    <row r="2328" spans="1:4" ht="30">
      <c r="A2328" s="28">
        <v>95802</v>
      </c>
      <c r="B2328" s="26" t="s">
        <v>11018</v>
      </c>
      <c r="C2328" s="28" t="s">
        <v>65</v>
      </c>
      <c r="D2328" s="329">
        <v>26.59</v>
      </c>
    </row>
    <row r="2329" spans="1:4" ht="30">
      <c r="A2329" s="47">
        <v>95803</v>
      </c>
      <c r="B2329" s="48" t="s">
        <v>11019</v>
      </c>
      <c r="C2329" s="47" t="s">
        <v>65</v>
      </c>
      <c r="D2329" s="332">
        <v>34.409999999999997</v>
      </c>
    </row>
    <row r="2330" spans="1:4" ht="30">
      <c r="A2330" s="28">
        <v>95804</v>
      </c>
      <c r="B2330" s="26" t="s">
        <v>11020</v>
      </c>
      <c r="C2330" s="28" t="s">
        <v>65</v>
      </c>
      <c r="D2330" s="329">
        <v>12.9</v>
      </c>
    </row>
    <row r="2331" spans="1:4" ht="30">
      <c r="A2331" s="47">
        <v>95805</v>
      </c>
      <c r="B2331" s="48" t="s">
        <v>11021</v>
      </c>
      <c r="C2331" s="47" t="s">
        <v>65</v>
      </c>
      <c r="D2331" s="332">
        <v>13.05</v>
      </c>
    </row>
    <row r="2332" spans="1:4" ht="30">
      <c r="A2332" s="28">
        <v>95806</v>
      </c>
      <c r="B2332" s="26" t="s">
        <v>11022</v>
      </c>
      <c r="C2332" s="28" t="s">
        <v>65</v>
      </c>
      <c r="D2332" s="329">
        <v>13.43</v>
      </c>
    </row>
    <row r="2333" spans="1:4" ht="30">
      <c r="A2333" s="47">
        <v>95807</v>
      </c>
      <c r="B2333" s="48" t="s">
        <v>11023</v>
      </c>
      <c r="C2333" s="47" t="s">
        <v>65</v>
      </c>
      <c r="D2333" s="332">
        <v>14.99</v>
      </c>
    </row>
    <row r="2334" spans="1:4" ht="30">
      <c r="A2334" s="28">
        <v>95808</v>
      </c>
      <c r="B2334" s="26" t="s">
        <v>11024</v>
      </c>
      <c r="C2334" s="28" t="s">
        <v>65</v>
      </c>
      <c r="D2334" s="329">
        <v>15.44</v>
      </c>
    </row>
    <row r="2335" spans="1:4" ht="30">
      <c r="A2335" s="47">
        <v>95809</v>
      </c>
      <c r="B2335" s="48" t="s">
        <v>11025</v>
      </c>
      <c r="C2335" s="47" t="s">
        <v>65</v>
      </c>
      <c r="D2335" s="332">
        <v>16.739999999999998</v>
      </c>
    </row>
    <row r="2336" spans="1:4" ht="30">
      <c r="A2336" s="28">
        <v>95810</v>
      </c>
      <c r="B2336" s="26" t="s">
        <v>11026</v>
      </c>
      <c r="C2336" s="28" t="s">
        <v>65</v>
      </c>
      <c r="D2336" s="329">
        <v>6.62</v>
      </c>
    </row>
    <row r="2337" spans="1:4" ht="30">
      <c r="A2337" s="47">
        <v>95811</v>
      </c>
      <c r="B2337" s="48" t="s">
        <v>11027</v>
      </c>
      <c r="C2337" s="47" t="s">
        <v>65</v>
      </c>
      <c r="D2337" s="332">
        <v>7.07</v>
      </c>
    </row>
    <row r="2338" spans="1:4" ht="30">
      <c r="A2338" s="28">
        <v>95812</v>
      </c>
      <c r="B2338" s="26" t="s">
        <v>11028</v>
      </c>
      <c r="C2338" s="28" t="s">
        <v>65</v>
      </c>
      <c r="D2338" s="329">
        <v>8.36</v>
      </c>
    </row>
    <row r="2339" spans="1:4" ht="30">
      <c r="A2339" s="47">
        <v>95813</v>
      </c>
      <c r="B2339" s="48" t="s">
        <v>11029</v>
      </c>
      <c r="C2339" s="47" t="s">
        <v>65</v>
      </c>
      <c r="D2339" s="332">
        <v>8.32</v>
      </c>
    </row>
    <row r="2340" spans="1:4" ht="30">
      <c r="A2340" s="28">
        <v>95814</v>
      </c>
      <c r="B2340" s="26" t="s">
        <v>11030</v>
      </c>
      <c r="C2340" s="28" t="s">
        <v>65</v>
      </c>
      <c r="D2340" s="329">
        <v>9</v>
      </c>
    </row>
    <row r="2341" spans="1:4" ht="30">
      <c r="A2341" s="47">
        <v>95815</v>
      </c>
      <c r="B2341" s="48" t="s">
        <v>11031</v>
      </c>
      <c r="C2341" s="47" t="s">
        <v>65</v>
      </c>
      <c r="D2341" s="332">
        <v>11.36</v>
      </c>
    </row>
    <row r="2342" spans="1:4" ht="30">
      <c r="A2342" s="28">
        <v>95816</v>
      </c>
      <c r="B2342" s="26" t="s">
        <v>11032</v>
      </c>
      <c r="C2342" s="28" t="s">
        <v>65</v>
      </c>
      <c r="D2342" s="329">
        <v>18.489999999999998</v>
      </c>
    </row>
    <row r="2343" spans="1:4" ht="30">
      <c r="A2343" s="47">
        <v>95817</v>
      </c>
      <c r="B2343" s="48" t="s">
        <v>11033</v>
      </c>
      <c r="C2343" s="47" t="s">
        <v>65</v>
      </c>
      <c r="D2343" s="332">
        <v>19.23</v>
      </c>
    </row>
    <row r="2344" spans="1:4" ht="30">
      <c r="A2344" s="28">
        <v>95818</v>
      </c>
      <c r="B2344" s="26" t="s">
        <v>11034</v>
      </c>
      <c r="C2344" s="28" t="s">
        <v>65</v>
      </c>
      <c r="D2344" s="329">
        <v>22.41</v>
      </c>
    </row>
    <row r="2345" spans="1:4">
      <c r="A2345" s="47">
        <v>68066</v>
      </c>
      <c r="B2345" s="48" t="s">
        <v>3092</v>
      </c>
      <c r="C2345" s="47" t="s">
        <v>65</v>
      </c>
      <c r="D2345" s="332">
        <v>82.62</v>
      </c>
    </row>
    <row r="2346" spans="1:4">
      <c r="A2346" s="28">
        <v>72319</v>
      </c>
      <c r="B2346" s="26" t="s">
        <v>4692</v>
      </c>
      <c r="C2346" s="28" t="s">
        <v>65</v>
      </c>
      <c r="D2346" s="329">
        <v>4259.1099999999997</v>
      </c>
    </row>
    <row r="2347" spans="1:4" ht="30">
      <c r="A2347" s="47">
        <v>72341</v>
      </c>
      <c r="B2347" s="48" t="s">
        <v>3961</v>
      </c>
      <c r="C2347" s="47" t="s">
        <v>65</v>
      </c>
      <c r="D2347" s="332">
        <v>171.35</v>
      </c>
    </row>
    <row r="2348" spans="1:4" ht="30">
      <c r="A2348" s="28">
        <v>72343</v>
      </c>
      <c r="B2348" s="26" t="s">
        <v>3962</v>
      </c>
      <c r="C2348" s="28" t="s">
        <v>65</v>
      </c>
      <c r="D2348" s="329">
        <v>201.74</v>
      </c>
    </row>
    <row r="2349" spans="1:4" ht="30">
      <c r="A2349" s="47">
        <v>72344</v>
      </c>
      <c r="B2349" s="48" t="s">
        <v>3963</v>
      </c>
      <c r="C2349" s="47" t="s">
        <v>65</v>
      </c>
      <c r="D2349" s="332">
        <v>298.27</v>
      </c>
    </row>
    <row r="2350" spans="1:4" ht="30">
      <c r="A2350" s="28">
        <v>72345</v>
      </c>
      <c r="B2350" s="26" t="s">
        <v>3960</v>
      </c>
      <c r="C2350" s="28" t="s">
        <v>65</v>
      </c>
      <c r="D2350" s="329">
        <v>784.93</v>
      </c>
    </row>
    <row r="2351" spans="1:4" ht="30">
      <c r="A2351" s="47" t="s">
        <v>578</v>
      </c>
      <c r="B2351" s="48" t="s">
        <v>8511</v>
      </c>
      <c r="C2351" s="47" t="s">
        <v>65</v>
      </c>
      <c r="D2351" s="332">
        <v>964.15</v>
      </c>
    </row>
    <row r="2352" spans="1:4" ht="30">
      <c r="A2352" s="28" t="s">
        <v>579</v>
      </c>
      <c r="B2352" s="26" t="s">
        <v>4711</v>
      </c>
      <c r="C2352" s="28" t="s">
        <v>65</v>
      </c>
      <c r="D2352" s="329">
        <v>12.37</v>
      </c>
    </row>
    <row r="2353" spans="1:4" ht="30">
      <c r="A2353" s="47" t="s">
        <v>580</v>
      </c>
      <c r="B2353" s="48" t="s">
        <v>4712</v>
      </c>
      <c r="C2353" s="47" t="s">
        <v>65</v>
      </c>
      <c r="D2353" s="332">
        <v>19.32</v>
      </c>
    </row>
    <row r="2354" spans="1:4" ht="30">
      <c r="A2354" s="28" t="s">
        <v>581</v>
      </c>
      <c r="B2354" s="26" t="s">
        <v>4710</v>
      </c>
      <c r="C2354" s="28" t="s">
        <v>65</v>
      </c>
      <c r="D2354" s="329">
        <v>57.71</v>
      </c>
    </row>
    <row r="2355" spans="1:4" ht="30">
      <c r="A2355" s="47" t="s">
        <v>582</v>
      </c>
      <c r="B2355" s="48" t="s">
        <v>4727</v>
      </c>
      <c r="C2355" s="47" t="s">
        <v>65</v>
      </c>
      <c r="D2355" s="332">
        <v>81.510000000000005</v>
      </c>
    </row>
    <row r="2356" spans="1:4" ht="30">
      <c r="A2356" s="28" t="s">
        <v>583</v>
      </c>
      <c r="B2356" s="26" t="s">
        <v>4729</v>
      </c>
      <c r="C2356" s="28" t="s">
        <v>65</v>
      </c>
      <c r="D2356" s="329">
        <v>109.64</v>
      </c>
    </row>
    <row r="2357" spans="1:4" ht="30">
      <c r="A2357" s="47" t="s">
        <v>584</v>
      </c>
      <c r="B2357" s="48" t="s">
        <v>4728</v>
      </c>
      <c r="C2357" s="47" t="s">
        <v>65</v>
      </c>
      <c r="D2357" s="332">
        <v>315.87</v>
      </c>
    </row>
    <row r="2358" spans="1:4" ht="30">
      <c r="A2358" s="28" t="s">
        <v>585</v>
      </c>
      <c r="B2358" s="26" t="s">
        <v>4724</v>
      </c>
      <c r="C2358" s="28" t="s">
        <v>65</v>
      </c>
      <c r="D2358" s="329">
        <v>821.02</v>
      </c>
    </row>
    <row r="2359" spans="1:4" ht="30">
      <c r="A2359" s="47" t="s">
        <v>586</v>
      </c>
      <c r="B2359" s="48" t="s">
        <v>4725</v>
      </c>
      <c r="C2359" s="47" t="s">
        <v>65</v>
      </c>
      <c r="D2359" s="332">
        <v>1123.03</v>
      </c>
    </row>
    <row r="2360" spans="1:4" ht="30">
      <c r="A2360" s="28" t="s">
        <v>587</v>
      </c>
      <c r="B2360" s="26" t="s">
        <v>4726</v>
      </c>
      <c r="C2360" s="28" t="s">
        <v>65</v>
      </c>
      <c r="D2360" s="329">
        <v>1841.4</v>
      </c>
    </row>
    <row r="2361" spans="1:4" ht="30">
      <c r="A2361" s="47" t="s">
        <v>588</v>
      </c>
      <c r="B2361" s="48" t="s">
        <v>4723</v>
      </c>
      <c r="C2361" s="47" t="s">
        <v>65</v>
      </c>
      <c r="D2361" s="332">
        <v>495.38</v>
      </c>
    </row>
    <row r="2362" spans="1:4" ht="45">
      <c r="A2362" s="28" t="s">
        <v>589</v>
      </c>
      <c r="B2362" s="26" t="s">
        <v>8498</v>
      </c>
      <c r="C2362" s="28" t="s">
        <v>65</v>
      </c>
      <c r="D2362" s="329">
        <v>42.06</v>
      </c>
    </row>
    <row r="2363" spans="1:4" ht="45">
      <c r="A2363" s="47" t="s">
        <v>590</v>
      </c>
      <c r="B2363" s="48" t="s">
        <v>8496</v>
      </c>
      <c r="C2363" s="47" t="s">
        <v>65</v>
      </c>
      <c r="D2363" s="332">
        <v>293.05</v>
      </c>
    </row>
    <row r="2364" spans="1:4" ht="45">
      <c r="A2364" s="28" t="s">
        <v>591</v>
      </c>
      <c r="B2364" s="26" t="s">
        <v>8497</v>
      </c>
      <c r="C2364" s="28" t="s">
        <v>65</v>
      </c>
      <c r="D2364" s="329">
        <v>340.68</v>
      </c>
    </row>
    <row r="2365" spans="1:4" ht="45">
      <c r="A2365" s="47" t="s">
        <v>592</v>
      </c>
      <c r="B2365" s="48" t="s">
        <v>8499</v>
      </c>
      <c r="C2365" s="47" t="s">
        <v>65</v>
      </c>
      <c r="D2365" s="332">
        <v>648.04999999999995</v>
      </c>
    </row>
    <row r="2366" spans="1:4" ht="45">
      <c r="A2366" s="28" t="s">
        <v>593</v>
      </c>
      <c r="B2366" s="26" t="s">
        <v>8500</v>
      </c>
      <c r="C2366" s="28" t="s">
        <v>65</v>
      </c>
      <c r="D2366" s="329">
        <v>424.16</v>
      </c>
    </row>
    <row r="2367" spans="1:4" ht="45">
      <c r="A2367" s="47" t="s">
        <v>594</v>
      </c>
      <c r="B2367" s="48" t="s">
        <v>8501</v>
      </c>
      <c r="C2367" s="47" t="s">
        <v>65</v>
      </c>
      <c r="D2367" s="332">
        <v>809.64</v>
      </c>
    </row>
    <row r="2368" spans="1:4">
      <c r="A2368" s="28">
        <v>83372</v>
      </c>
      <c r="B2368" s="26" t="s">
        <v>3054</v>
      </c>
      <c r="C2368" s="28" t="s">
        <v>65</v>
      </c>
      <c r="D2368" s="329">
        <v>453.3</v>
      </c>
    </row>
    <row r="2369" spans="1:4" ht="45">
      <c r="A2369" s="47">
        <v>83463</v>
      </c>
      <c r="B2369" s="48" t="s">
        <v>8502</v>
      </c>
      <c r="C2369" s="47" t="s">
        <v>65</v>
      </c>
      <c r="D2369" s="332">
        <v>216.46</v>
      </c>
    </row>
    <row r="2370" spans="1:4" ht="45">
      <c r="A2370" s="28">
        <v>84402</v>
      </c>
      <c r="B2370" s="26" t="s">
        <v>8503</v>
      </c>
      <c r="C2370" s="28" t="s">
        <v>65</v>
      </c>
      <c r="D2370" s="329">
        <v>47.39</v>
      </c>
    </row>
    <row r="2371" spans="1:4" ht="30">
      <c r="A2371" s="47">
        <v>93653</v>
      </c>
      <c r="B2371" s="48" t="s">
        <v>4700</v>
      </c>
      <c r="C2371" s="47" t="s">
        <v>65</v>
      </c>
      <c r="D2371" s="332">
        <v>9.4499999999999993</v>
      </c>
    </row>
    <row r="2372" spans="1:4" ht="30">
      <c r="A2372" s="28">
        <v>93654</v>
      </c>
      <c r="B2372" s="26" t="s">
        <v>4701</v>
      </c>
      <c r="C2372" s="28" t="s">
        <v>65</v>
      </c>
      <c r="D2372" s="329">
        <v>9.86</v>
      </c>
    </row>
    <row r="2373" spans="1:4" ht="30">
      <c r="A2373" s="47">
        <v>93655</v>
      </c>
      <c r="B2373" s="48" t="s">
        <v>4702</v>
      </c>
      <c r="C2373" s="47" t="s">
        <v>65</v>
      </c>
      <c r="D2373" s="332">
        <v>10.56</v>
      </c>
    </row>
    <row r="2374" spans="1:4" ht="30">
      <c r="A2374" s="28">
        <v>93656</v>
      </c>
      <c r="B2374" s="26" t="s">
        <v>4703</v>
      </c>
      <c r="C2374" s="28" t="s">
        <v>65</v>
      </c>
      <c r="D2374" s="329">
        <v>10.56</v>
      </c>
    </row>
    <row r="2375" spans="1:4" ht="30">
      <c r="A2375" s="47">
        <v>93657</v>
      </c>
      <c r="B2375" s="48" t="s">
        <v>4704</v>
      </c>
      <c r="C2375" s="47" t="s">
        <v>65</v>
      </c>
      <c r="D2375" s="332">
        <v>11.46</v>
      </c>
    </row>
    <row r="2376" spans="1:4" ht="30">
      <c r="A2376" s="28">
        <v>93658</v>
      </c>
      <c r="B2376" s="26" t="s">
        <v>4705</v>
      </c>
      <c r="C2376" s="28" t="s">
        <v>65</v>
      </c>
      <c r="D2376" s="329">
        <v>16.739999999999998</v>
      </c>
    </row>
    <row r="2377" spans="1:4" ht="30">
      <c r="A2377" s="47">
        <v>93659</v>
      </c>
      <c r="B2377" s="48" t="s">
        <v>4706</v>
      </c>
      <c r="C2377" s="47" t="s">
        <v>65</v>
      </c>
      <c r="D2377" s="332">
        <v>18.579999999999998</v>
      </c>
    </row>
    <row r="2378" spans="1:4" ht="30">
      <c r="A2378" s="28">
        <v>93660</v>
      </c>
      <c r="B2378" s="26" t="s">
        <v>4693</v>
      </c>
      <c r="C2378" s="28" t="s">
        <v>65</v>
      </c>
      <c r="D2378" s="329">
        <v>48.44</v>
      </c>
    </row>
    <row r="2379" spans="1:4" ht="30">
      <c r="A2379" s="47">
        <v>93661</v>
      </c>
      <c r="B2379" s="48" t="s">
        <v>4694</v>
      </c>
      <c r="C2379" s="47" t="s">
        <v>65</v>
      </c>
      <c r="D2379" s="332">
        <v>49.23</v>
      </c>
    </row>
    <row r="2380" spans="1:4" ht="30">
      <c r="A2380" s="28">
        <v>93662</v>
      </c>
      <c r="B2380" s="26" t="s">
        <v>4695</v>
      </c>
      <c r="C2380" s="28" t="s">
        <v>65</v>
      </c>
      <c r="D2380" s="329">
        <v>50.7</v>
      </c>
    </row>
    <row r="2381" spans="1:4" ht="30">
      <c r="A2381" s="47">
        <v>93663</v>
      </c>
      <c r="B2381" s="48" t="s">
        <v>4696</v>
      </c>
      <c r="C2381" s="47" t="s">
        <v>65</v>
      </c>
      <c r="D2381" s="332">
        <v>50.7</v>
      </c>
    </row>
    <row r="2382" spans="1:4" ht="30">
      <c r="A2382" s="28">
        <v>93664</v>
      </c>
      <c r="B2382" s="26" t="s">
        <v>4697</v>
      </c>
      <c r="C2382" s="28" t="s">
        <v>65</v>
      </c>
      <c r="D2382" s="329">
        <v>52.47</v>
      </c>
    </row>
    <row r="2383" spans="1:4" ht="30">
      <c r="A2383" s="47">
        <v>93665</v>
      </c>
      <c r="B2383" s="48" t="s">
        <v>4698</v>
      </c>
      <c r="C2383" s="47" t="s">
        <v>65</v>
      </c>
      <c r="D2383" s="332">
        <v>54.67</v>
      </c>
    </row>
    <row r="2384" spans="1:4" ht="30">
      <c r="A2384" s="28">
        <v>93666</v>
      </c>
      <c r="B2384" s="26" t="s">
        <v>4699</v>
      </c>
      <c r="C2384" s="28" t="s">
        <v>65</v>
      </c>
      <c r="D2384" s="329">
        <v>58.37</v>
      </c>
    </row>
    <row r="2385" spans="1:4" ht="30">
      <c r="A2385" s="47">
        <v>93667</v>
      </c>
      <c r="B2385" s="48" t="s">
        <v>4746</v>
      </c>
      <c r="C2385" s="47" t="s">
        <v>65</v>
      </c>
      <c r="D2385" s="332">
        <v>60.2</v>
      </c>
    </row>
    <row r="2386" spans="1:4" ht="30">
      <c r="A2386" s="28">
        <v>93668</v>
      </c>
      <c r="B2386" s="26" t="s">
        <v>4747</v>
      </c>
      <c r="C2386" s="28" t="s">
        <v>65</v>
      </c>
      <c r="D2386" s="329">
        <v>61.4</v>
      </c>
    </row>
    <row r="2387" spans="1:4" ht="30">
      <c r="A2387" s="47">
        <v>93669</v>
      </c>
      <c r="B2387" s="48" t="s">
        <v>4748</v>
      </c>
      <c r="C2387" s="47" t="s">
        <v>65</v>
      </c>
      <c r="D2387" s="332">
        <v>63.57</v>
      </c>
    </row>
    <row r="2388" spans="1:4" ht="30">
      <c r="A2388" s="28">
        <v>93670</v>
      </c>
      <c r="B2388" s="26" t="s">
        <v>4749</v>
      </c>
      <c r="C2388" s="28" t="s">
        <v>65</v>
      </c>
      <c r="D2388" s="329">
        <v>63.57</v>
      </c>
    </row>
    <row r="2389" spans="1:4" ht="30">
      <c r="A2389" s="47">
        <v>93671</v>
      </c>
      <c r="B2389" s="48" t="s">
        <v>4750</v>
      </c>
      <c r="C2389" s="47" t="s">
        <v>65</v>
      </c>
      <c r="D2389" s="332">
        <v>66.239999999999995</v>
      </c>
    </row>
    <row r="2390" spans="1:4" ht="30">
      <c r="A2390" s="28">
        <v>93672</v>
      </c>
      <c r="B2390" s="26" t="s">
        <v>4751</v>
      </c>
      <c r="C2390" s="28" t="s">
        <v>65</v>
      </c>
      <c r="D2390" s="329">
        <v>70.62</v>
      </c>
    </row>
    <row r="2391" spans="1:4" ht="30">
      <c r="A2391" s="47">
        <v>93673</v>
      </c>
      <c r="B2391" s="48" t="s">
        <v>4752</v>
      </c>
      <c r="C2391" s="47" t="s">
        <v>65</v>
      </c>
      <c r="D2391" s="332">
        <v>76.17</v>
      </c>
    </row>
    <row r="2392" spans="1:4" ht="30">
      <c r="A2392" s="28">
        <v>93677</v>
      </c>
      <c r="B2392" s="26" t="s">
        <v>4730</v>
      </c>
      <c r="C2392" s="28" t="s">
        <v>65</v>
      </c>
      <c r="D2392" s="329">
        <v>64.709999999999994</v>
      </c>
    </row>
    <row r="2393" spans="1:4">
      <c r="A2393" s="47">
        <v>72339</v>
      </c>
      <c r="B2393" s="48" t="s">
        <v>9724</v>
      </c>
      <c r="C2393" s="47" t="s">
        <v>65</v>
      </c>
      <c r="D2393" s="332">
        <v>49.09</v>
      </c>
    </row>
    <row r="2394" spans="1:4" ht="30">
      <c r="A2394" s="28">
        <v>83403</v>
      </c>
      <c r="B2394" s="26" t="s">
        <v>6120</v>
      </c>
      <c r="C2394" s="28" t="s">
        <v>65</v>
      </c>
      <c r="D2394" s="329">
        <v>15.59</v>
      </c>
    </row>
    <row r="2395" spans="1:4">
      <c r="A2395" s="47">
        <v>83465</v>
      </c>
      <c r="B2395" s="48" t="s">
        <v>6109</v>
      </c>
      <c r="C2395" s="47" t="s">
        <v>65</v>
      </c>
      <c r="D2395" s="332">
        <v>40.04</v>
      </c>
    </row>
    <row r="2396" spans="1:4" ht="30">
      <c r="A2396" s="28">
        <v>91945</v>
      </c>
      <c r="B2396" s="26" t="s">
        <v>9095</v>
      </c>
      <c r="C2396" s="28" t="s">
        <v>65</v>
      </c>
      <c r="D2396" s="329">
        <v>6.7</v>
      </c>
    </row>
    <row r="2397" spans="1:4" ht="30">
      <c r="A2397" s="47">
        <v>91946</v>
      </c>
      <c r="B2397" s="48" t="s">
        <v>9097</v>
      </c>
      <c r="C2397" s="47" t="s">
        <v>65</v>
      </c>
      <c r="D2397" s="332">
        <v>5.72</v>
      </c>
    </row>
    <row r="2398" spans="1:4" ht="30">
      <c r="A2398" s="28">
        <v>91947</v>
      </c>
      <c r="B2398" s="26" t="s">
        <v>9096</v>
      </c>
      <c r="C2398" s="28" t="s">
        <v>65</v>
      </c>
      <c r="D2398" s="329">
        <v>5.1100000000000003</v>
      </c>
    </row>
    <row r="2399" spans="1:4" ht="30">
      <c r="A2399" s="47">
        <v>91949</v>
      </c>
      <c r="B2399" s="48" t="s">
        <v>9098</v>
      </c>
      <c r="C2399" s="47" t="s">
        <v>65</v>
      </c>
      <c r="D2399" s="332">
        <v>10.51</v>
      </c>
    </row>
    <row r="2400" spans="1:4" ht="30">
      <c r="A2400" s="28">
        <v>91950</v>
      </c>
      <c r="B2400" s="26" t="s">
        <v>9100</v>
      </c>
      <c r="C2400" s="28" t="s">
        <v>65</v>
      </c>
      <c r="D2400" s="329">
        <v>9.33</v>
      </c>
    </row>
    <row r="2401" spans="1:4" ht="30">
      <c r="A2401" s="47">
        <v>91951</v>
      </c>
      <c r="B2401" s="48" t="s">
        <v>9099</v>
      </c>
      <c r="C2401" s="47" t="s">
        <v>65</v>
      </c>
      <c r="D2401" s="332">
        <v>8.61</v>
      </c>
    </row>
    <row r="2402" spans="1:4" ht="30">
      <c r="A2402" s="28">
        <v>91952</v>
      </c>
      <c r="B2402" s="26" t="s">
        <v>6130</v>
      </c>
      <c r="C2402" s="28" t="s">
        <v>65</v>
      </c>
      <c r="D2402" s="329">
        <v>12.75</v>
      </c>
    </row>
    <row r="2403" spans="1:4" ht="30">
      <c r="A2403" s="47">
        <v>91953</v>
      </c>
      <c r="B2403" s="48" t="s">
        <v>6129</v>
      </c>
      <c r="C2403" s="47" t="s">
        <v>65</v>
      </c>
      <c r="D2403" s="332">
        <v>18.47</v>
      </c>
    </row>
    <row r="2404" spans="1:4" ht="30">
      <c r="A2404" s="28">
        <v>91954</v>
      </c>
      <c r="B2404" s="26" t="s">
        <v>6115</v>
      </c>
      <c r="C2404" s="28" t="s">
        <v>65</v>
      </c>
      <c r="D2404" s="329">
        <v>17.09</v>
      </c>
    </row>
    <row r="2405" spans="1:4" ht="30">
      <c r="A2405" s="47">
        <v>91955</v>
      </c>
      <c r="B2405" s="48" t="s">
        <v>6114</v>
      </c>
      <c r="C2405" s="47" t="s">
        <v>65</v>
      </c>
      <c r="D2405" s="332">
        <v>22.81</v>
      </c>
    </row>
    <row r="2406" spans="1:4" ht="30">
      <c r="A2406" s="28">
        <v>91956</v>
      </c>
      <c r="B2406" s="26" t="s">
        <v>6126</v>
      </c>
      <c r="C2406" s="28" t="s">
        <v>65</v>
      </c>
      <c r="D2406" s="329">
        <v>27.9</v>
      </c>
    </row>
    <row r="2407" spans="1:4" ht="30">
      <c r="A2407" s="47">
        <v>91957</v>
      </c>
      <c r="B2407" s="48" t="s">
        <v>6125</v>
      </c>
      <c r="C2407" s="47" t="s">
        <v>65</v>
      </c>
      <c r="D2407" s="332">
        <v>33.630000000000003</v>
      </c>
    </row>
    <row r="2408" spans="1:4" ht="30">
      <c r="A2408" s="28">
        <v>91958</v>
      </c>
      <c r="B2408" s="26" t="s">
        <v>6140</v>
      </c>
      <c r="C2408" s="28" t="s">
        <v>65</v>
      </c>
      <c r="D2408" s="329">
        <v>23.6</v>
      </c>
    </row>
    <row r="2409" spans="1:4" ht="30">
      <c r="A2409" s="47">
        <v>91959</v>
      </c>
      <c r="B2409" s="48" t="s">
        <v>6139</v>
      </c>
      <c r="C2409" s="47" t="s">
        <v>65</v>
      </c>
      <c r="D2409" s="332">
        <v>29.32</v>
      </c>
    </row>
    <row r="2410" spans="1:4" ht="30">
      <c r="A2410" s="28">
        <v>91960</v>
      </c>
      <c r="B2410" s="26" t="s">
        <v>6118</v>
      </c>
      <c r="C2410" s="28" t="s">
        <v>65</v>
      </c>
      <c r="D2410" s="329">
        <v>32.24</v>
      </c>
    </row>
    <row r="2411" spans="1:4" ht="30">
      <c r="A2411" s="47">
        <v>91961</v>
      </c>
      <c r="B2411" s="48" t="s">
        <v>595</v>
      </c>
      <c r="C2411" s="47" t="s">
        <v>65</v>
      </c>
      <c r="D2411" s="332">
        <v>37.96</v>
      </c>
    </row>
    <row r="2412" spans="1:4" ht="30">
      <c r="A2412" s="28">
        <v>91962</v>
      </c>
      <c r="B2412" s="26" t="s">
        <v>6128</v>
      </c>
      <c r="C2412" s="28" t="s">
        <v>65</v>
      </c>
      <c r="D2412" s="329">
        <v>43.09</v>
      </c>
    </row>
    <row r="2413" spans="1:4" ht="30">
      <c r="A2413" s="47">
        <v>91963</v>
      </c>
      <c r="B2413" s="48" t="s">
        <v>6127</v>
      </c>
      <c r="C2413" s="47" t="s">
        <v>65</v>
      </c>
      <c r="D2413" s="332">
        <v>48.81</v>
      </c>
    </row>
    <row r="2414" spans="1:4" ht="30">
      <c r="A2414" s="28">
        <v>91964</v>
      </c>
      <c r="B2414" s="26" t="s">
        <v>6136</v>
      </c>
      <c r="C2414" s="28" t="s">
        <v>65</v>
      </c>
      <c r="D2414" s="329">
        <v>38.76</v>
      </c>
    </row>
    <row r="2415" spans="1:4" ht="30">
      <c r="A2415" s="47">
        <v>91965</v>
      </c>
      <c r="B2415" s="48" t="s">
        <v>6135</v>
      </c>
      <c r="C2415" s="47" t="s">
        <v>65</v>
      </c>
      <c r="D2415" s="332">
        <v>44.48</v>
      </c>
    </row>
    <row r="2416" spans="1:4" ht="30">
      <c r="A2416" s="28">
        <v>91966</v>
      </c>
      <c r="B2416" s="26" t="s">
        <v>6144</v>
      </c>
      <c r="C2416" s="28" t="s">
        <v>65</v>
      </c>
      <c r="D2416" s="329">
        <v>34.450000000000003</v>
      </c>
    </row>
    <row r="2417" spans="1:4" ht="30">
      <c r="A2417" s="47">
        <v>91967</v>
      </c>
      <c r="B2417" s="48" t="s">
        <v>6143</v>
      </c>
      <c r="C2417" s="47" t="s">
        <v>65</v>
      </c>
      <c r="D2417" s="332">
        <v>40.18</v>
      </c>
    </row>
    <row r="2418" spans="1:4" ht="30">
      <c r="A2418" s="28">
        <v>91968</v>
      </c>
      <c r="B2418" s="26" t="s">
        <v>6119</v>
      </c>
      <c r="C2418" s="28" t="s">
        <v>65</v>
      </c>
      <c r="D2418" s="329">
        <v>47.39</v>
      </c>
    </row>
    <row r="2419" spans="1:4" ht="30">
      <c r="A2419" s="47">
        <v>91969</v>
      </c>
      <c r="B2419" s="48" t="s">
        <v>596</v>
      </c>
      <c r="C2419" s="47" t="s">
        <v>65</v>
      </c>
      <c r="D2419" s="332">
        <v>53.11</v>
      </c>
    </row>
    <row r="2420" spans="1:4" ht="30">
      <c r="A2420" s="28">
        <v>91970</v>
      </c>
      <c r="B2420" s="26" t="s">
        <v>6142</v>
      </c>
      <c r="C2420" s="28" t="s">
        <v>65</v>
      </c>
      <c r="D2420" s="329">
        <v>49.83</v>
      </c>
    </row>
    <row r="2421" spans="1:4" ht="30">
      <c r="A2421" s="47">
        <v>91971</v>
      </c>
      <c r="B2421" s="48" t="s">
        <v>6141</v>
      </c>
      <c r="C2421" s="47" t="s">
        <v>65</v>
      </c>
      <c r="D2421" s="332">
        <v>59.16</v>
      </c>
    </row>
    <row r="2422" spans="1:4" ht="30">
      <c r="A2422" s="28">
        <v>91972</v>
      </c>
      <c r="B2422" s="26" t="s">
        <v>6138</v>
      </c>
      <c r="C2422" s="28" t="s">
        <v>65</v>
      </c>
      <c r="D2422" s="329">
        <v>54.16</v>
      </c>
    </row>
    <row r="2423" spans="1:4" ht="30">
      <c r="A2423" s="47">
        <v>91973</v>
      </c>
      <c r="B2423" s="48" t="s">
        <v>6137</v>
      </c>
      <c r="C2423" s="47" t="s">
        <v>65</v>
      </c>
      <c r="D2423" s="332">
        <v>63.49</v>
      </c>
    </row>
    <row r="2424" spans="1:4" ht="30">
      <c r="A2424" s="28">
        <v>91974</v>
      </c>
      <c r="B2424" s="26" t="s">
        <v>6146</v>
      </c>
      <c r="C2424" s="28" t="s">
        <v>65</v>
      </c>
      <c r="D2424" s="329">
        <v>45.5</v>
      </c>
    </row>
    <row r="2425" spans="1:4" ht="30">
      <c r="A2425" s="47">
        <v>91975</v>
      </c>
      <c r="B2425" s="48" t="s">
        <v>6145</v>
      </c>
      <c r="C2425" s="47" t="s">
        <v>65</v>
      </c>
      <c r="D2425" s="332">
        <v>54.83</v>
      </c>
    </row>
    <row r="2426" spans="1:4" ht="30">
      <c r="A2426" s="28">
        <v>91976</v>
      </c>
      <c r="B2426" s="26" t="s">
        <v>6148</v>
      </c>
      <c r="C2426" s="28" t="s">
        <v>65</v>
      </c>
      <c r="D2426" s="329">
        <v>67.260000000000005</v>
      </c>
    </row>
    <row r="2427" spans="1:4" ht="30">
      <c r="A2427" s="47">
        <v>91977</v>
      </c>
      <c r="B2427" s="48" t="s">
        <v>6147</v>
      </c>
      <c r="C2427" s="47" t="s">
        <v>65</v>
      </c>
      <c r="D2427" s="332">
        <v>76.59</v>
      </c>
    </row>
    <row r="2428" spans="1:4" ht="30">
      <c r="A2428" s="28">
        <v>91990</v>
      </c>
      <c r="B2428" s="26" t="s">
        <v>9726</v>
      </c>
      <c r="C2428" s="28" t="s">
        <v>65</v>
      </c>
      <c r="D2428" s="329">
        <v>22.13</v>
      </c>
    </row>
    <row r="2429" spans="1:4" ht="30">
      <c r="A2429" s="47">
        <v>91991</v>
      </c>
      <c r="B2429" s="48" t="s">
        <v>9728</v>
      </c>
      <c r="C2429" s="47" t="s">
        <v>65</v>
      </c>
      <c r="D2429" s="332">
        <v>23.92</v>
      </c>
    </row>
    <row r="2430" spans="1:4" ht="30">
      <c r="A2430" s="28">
        <v>91992</v>
      </c>
      <c r="B2430" s="26" t="s">
        <v>9725</v>
      </c>
      <c r="C2430" s="28" t="s">
        <v>65</v>
      </c>
      <c r="D2430" s="329">
        <v>27.85</v>
      </c>
    </row>
    <row r="2431" spans="1:4" ht="30">
      <c r="A2431" s="47">
        <v>91993</v>
      </c>
      <c r="B2431" s="48" t="s">
        <v>9727</v>
      </c>
      <c r="C2431" s="47" t="s">
        <v>65</v>
      </c>
      <c r="D2431" s="332">
        <v>29.64</v>
      </c>
    </row>
    <row r="2432" spans="1:4" ht="30">
      <c r="A2432" s="28">
        <v>91994</v>
      </c>
      <c r="B2432" s="26" t="s">
        <v>9746</v>
      </c>
      <c r="C2432" s="28" t="s">
        <v>65</v>
      </c>
      <c r="D2432" s="329">
        <v>16.16</v>
      </c>
    </row>
    <row r="2433" spans="1:4" ht="30">
      <c r="A2433" s="47">
        <v>91995</v>
      </c>
      <c r="B2433" s="48" t="s">
        <v>9748</v>
      </c>
      <c r="C2433" s="47" t="s">
        <v>65</v>
      </c>
      <c r="D2433" s="332">
        <v>17.940000000000001</v>
      </c>
    </row>
    <row r="2434" spans="1:4" ht="30">
      <c r="A2434" s="28">
        <v>91996</v>
      </c>
      <c r="B2434" s="26" t="s">
        <v>9745</v>
      </c>
      <c r="C2434" s="28" t="s">
        <v>65</v>
      </c>
      <c r="D2434" s="329">
        <v>21.88</v>
      </c>
    </row>
    <row r="2435" spans="1:4" ht="30">
      <c r="A2435" s="47">
        <v>91997</v>
      </c>
      <c r="B2435" s="48" t="s">
        <v>9747</v>
      </c>
      <c r="C2435" s="47" t="s">
        <v>65</v>
      </c>
      <c r="D2435" s="332">
        <v>23.67</v>
      </c>
    </row>
    <row r="2436" spans="1:4" ht="30">
      <c r="A2436" s="28">
        <v>91998</v>
      </c>
      <c r="B2436" s="26" t="s">
        <v>9730</v>
      </c>
      <c r="C2436" s="28" t="s">
        <v>65</v>
      </c>
      <c r="D2436" s="329">
        <v>13.84</v>
      </c>
    </row>
    <row r="2437" spans="1:4" ht="30">
      <c r="A2437" s="47">
        <v>91999</v>
      </c>
      <c r="B2437" s="48" t="s">
        <v>9732</v>
      </c>
      <c r="C2437" s="47" t="s">
        <v>65</v>
      </c>
      <c r="D2437" s="332">
        <v>15.63</v>
      </c>
    </row>
    <row r="2438" spans="1:4" ht="30">
      <c r="A2438" s="28">
        <v>92000</v>
      </c>
      <c r="B2438" s="26" t="s">
        <v>9729</v>
      </c>
      <c r="C2438" s="28" t="s">
        <v>65</v>
      </c>
      <c r="D2438" s="329">
        <v>19.57</v>
      </c>
    </row>
    <row r="2439" spans="1:4" ht="30">
      <c r="A2439" s="47">
        <v>92001</v>
      </c>
      <c r="B2439" s="48" t="s">
        <v>9731</v>
      </c>
      <c r="C2439" s="47" t="s">
        <v>65</v>
      </c>
      <c r="D2439" s="332">
        <v>21.35</v>
      </c>
    </row>
    <row r="2440" spans="1:4" ht="30">
      <c r="A2440" s="28">
        <v>92002</v>
      </c>
      <c r="B2440" s="26" t="s">
        <v>9750</v>
      </c>
      <c r="C2440" s="28" t="s">
        <v>65</v>
      </c>
      <c r="D2440" s="329">
        <v>30.39</v>
      </c>
    </row>
    <row r="2441" spans="1:4" ht="30">
      <c r="A2441" s="47">
        <v>92003</v>
      </c>
      <c r="B2441" s="48" t="s">
        <v>9752</v>
      </c>
      <c r="C2441" s="47" t="s">
        <v>65</v>
      </c>
      <c r="D2441" s="332">
        <v>33.96</v>
      </c>
    </row>
    <row r="2442" spans="1:4" ht="30">
      <c r="A2442" s="28">
        <v>92004</v>
      </c>
      <c r="B2442" s="26" t="s">
        <v>9749</v>
      </c>
      <c r="C2442" s="28" t="s">
        <v>65</v>
      </c>
      <c r="D2442" s="329">
        <v>36.11</v>
      </c>
    </row>
    <row r="2443" spans="1:4" ht="30">
      <c r="A2443" s="47">
        <v>92005</v>
      </c>
      <c r="B2443" s="48" t="s">
        <v>9751</v>
      </c>
      <c r="C2443" s="47" t="s">
        <v>65</v>
      </c>
      <c r="D2443" s="332">
        <v>39.68</v>
      </c>
    </row>
    <row r="2444" spans="1:4" ht="30">
      <c r="A2444" s="28">
        <v>92006</v>
      </c>
      <c r="B2444" s="26" t="s">
        <v>9734</v>
      </c>
      <c r="C2444" s="28" t="s">
        <v>65</v>
      </c>
      <c r="D2444" s="329">
        <v>25.75</v>
      </c>
    </row>
    <row r="2445" spans="1:4" ht="30">
      <c r="A2445" s="47">
        <v>92007</v>
      </c>
      <c r="B2445" s="48" t="s">
        <v>9736</v>
      </c>
      <c r="C2445" s="47" t="s">
        <v>65</v>
      </c>
      <c r="D2445" s="332">
        <v>29.32</v>
      </c>
    </row>
    <row r="2446" spans="1:4" ht="30">
      <c r="A2446" s="28">
        <v>92008</v>
      </c>
      <c r="B2446" s="26" t="s">
        <v>9733</v>
      </c>
      <c r="C2446" s="28" t="s">
        <v>65</v>
      </c>
      <c r="D2446" s="329">
        <v>31.48</v>
      </c>
    </row>
    <row r="2447" spans="1:4" ht="30">
      <c r="A2447" s="47">
        <v>92009</v>
      </c>
      <c r="B2447" s="48" t="s">
        <v>9735</v>
      </c>
      <c r="C2447" s="47" t="s">
        <v>65</v>
      </c>
      <c r="D2447" s="332">
        <v>35.04</v>
      </c>
    </row>
    <row r="2448" spans="1:4" ht="30">
      <c r="A2448" s="28">
        <v>92010</v>
      </c>
      <c r="B2448" s="26" t="s">
        <v>9754</v>
      </c>
      <c r="C2448" s="28" t="s">
        <v>65</v>
      </c>
      <c r="D2448" s="329">
        <v>44.62</v>
      </c>
    </row>
    <row r="2449" spans="1:4" ht="30">
      <c r="A2449" s="47">
        <v>92011</v>
      </c>
      <c r="B2449" s="48" t="s">
        <v>9756</v>
      </c>
      <c r="C2449" s="47" t="s">
        <v>65</v>
      </c>
      <c r="D2449" s="332">
        <v>49.97</v>
      </c>
    </row>
    <row r="2450" spans="1:4" ht="30">
      <c r="A2450" s="28">
        <v>92012</v>
      </c>
      <c r="B2450" s="26" t="s">
        <v>9753</v>
      </c>
      <c r="C2450" s="28" t="s">
        <v>65</v>
      </c>
      <c r="D2450" s="329">
        <v>50.34</v>
      </c>
    </row>
    <row r="2451" spans="1:4" ht="30">
      <c r="A2451" s="47">
        <v>92013</v>
      </c>
      <c r="B2451" s="48" t="s">
        <v>9755</v>
      </c>
      <c r="C2451" s="47" t="s">
        <v>65</v>
      </c>
      <c r="D2451" s="332">
        <v>55.69</v>
      </c>
    </row>
    <row r="2452" spans="1:4" ht="30">
      <c r="A2452" s="28">
        <v>92014</v>
      </c>
      <c r="B2452" s="26" t="s">
        <v>9738</v>
      </c>
      <c r="C2452" s="28" t="s">
        <v>65</v>
      </c>
      <c r="D2452" s="329">
        <v>37.67</v>
      </c>
    </row>
    <row r="2453" spans="1:4" ht="30">
      <c r="A2453" s="47">
        <v>92015</v>
      </c>
      <c r="B2453" s="48" t="s">
        <v>9740</v>
      </c>
      <c r="C2453" s="47" t="s">
        <v>65</v>
      </c>
      <c r="D2453" s="332">
        <v>43.01</v>
      </c>
    </row>
    <row r="2454" spans="1:4" ht="30">
      <c r="A2454" s="28">
        <v>92016</v>
      </c>
      <c r="B2454" s="26" t="s">
        <v>9737</v>
      </c>
      <c r="C2454" s="28" t="s">
        <v>65</v>
      </c>
      <c r="D2454" s="329">
        <v>43.39</v>
      </c>
    </row>
    <row r="2455" spans="1:4" ht="30">
      <c r="A2455" s="47">
        <v>92017</v>
      </c>
      <c r="B2455" s="48" t="s">
        <v>9739</v>
      </c>
      <c r="C2455" s="47" t="s">
        <v>65</v>
      </c>
      <c r="D2455" s="332">
        <v>48.74</v>
      </c>
    </row>
    <row r="2456" spans="1:4" ht="30">
      <c r="A2456" s="28">
        <v>92018</v>
      </c>
      <c r="B2456" s="26" t="s">
        <v>9742</v>
      </c>
      <c r="C2456" s="28" t="s">
        <v>65</v>
      </c>
      <c r="D2456" s="329">
        <v>49.89</v>
      </c>
    </row>
    <row r="2457" spans="1:4" ht="30">
      <c r="A2457" s="47">
        <v>92019</v>
      </c>
      <c r="B2457" s="48" t="s">
        <v>9741</v>
      </c>
      <c r="C2457" s="47" t="s">
        <v>65</v>
      </c>
      <c r="D2457" s="332">
        <v>59.22</v>
      </c>
    </row>
    <row r="2458" spans="1:4" ht="30">
      <c r="A2458" s="28">
        <v>92020</v>
      </c>
      <c r="B2458" s="26" t="s">
        <v>9744</v>
      </c>
      <c r="C2458" s="28" t="s">
        <v>65</v>
      </c>
      <c r="D2458" s="329">
        <v>73.88</v>
      </c>
    </row>
    <row r="2459" spans="1:4" ht="30">
      <c r="A2459" s="47">
        <v>92021</v>
      </c>
      <c r="B2459" s="48" t="s">
        <v>9743</v>
      </c>
      <c r="C2459" s="47" t="s">
        <v>65</v>
      </c>
      <c r="D2459" s="332">
        <v>83.21</v>
      </c>
    </row>
    <row r="2460" spans="1:4" ht="30">
      <c r="A2460" s="28">
        <v>92022</v>
      </c>
      <c r="B2460" s="26" t="s">
        <v>6122</v>
      </c>
      <c r="C2460" s="28" t="s">
        <v>65</v>
      </c>
      <c r="D2460" s="329">
        <v>26.98</v>
      </c>
    </row>
    <row r="2461" spans="1:4" ht="30">
      <c r="A2461" s="47">
        <v>92023</v>
      </c>
      <c r="B2461" s="48" t="s">
        <v>6121</v>
      </c>
      <c r="C2461" s="47" t="s">
        <v>65</v>
      </c>
      <c r="D2461" s="332">
        <v>32.700000000000003</v>
      </c>
    </row>
    <row r="2462" spans="1:4" ht="30">
      <c r="A2462" s="28">
        <v>92024</v>
      </c>
      <c r="B2462" s="26" t="s">
        <v>6124</v>
      </c>
      <c r="C2462" s="28" t="s">
        <v>65</v>
      </c>
      <c r="D2462" s="329">
        <v>41.24</v>
      </c>
    </row>
    <row r="2463" spans="1:4" ht="30">
      <c r="A2463" s="47">
        <v>92025</v>
      </c>
      <c r="B2463" s="48" t="s">
        <v>6123</v>
      </c>
      <c r="C2463" s="47" t="s">
        <v>65</v>
      </c>
      <c r="D2463" s="332">
        <v>46.96</v>
      </c>
    </row>
    <row r="2464" spans="1:4" ht="30">
      <c r="A2464" s="28">
        <v>92026</v>
      </c>
      <c r="B2464" s="26" t="s">
        <v>6134</v>
      </c>
      <c r="C2464" s="28" t="s">
        <v>65</v>
      </c>
      <c r="D2464" s="329">
        <v>37.83</v>
      </c>
    </row>
    <row r="2465" spans="1:4" ht="30">
      <c r="A2465" s="47">
        <v>92027</v>
      </c>
      <c r="B2465" s="48" t="s">
        <v>6133</v>
      </c>
      <c r="C2465" s="47" t="s">
        <v>65</v>
      </c>
      <c r="D2465" s="332">
        <v>43.55</v>
      </c>
    </row>
    <row r="2466" spans="1:4" ht="30">
      <c r="A2466" s="28">
        <v>92028</v>
      </c>
      <c r="B2466" s="26" t="s">
        <v>6111</v>
      </c>
      <c r="C2466" s="28" t="s">
        <v>65</v>
      </c>
      <c r="D2466" s="329">
        <v>31.31</v>
      </c>
    </row>
    <row r="2467" spans="1:4" ht="30">
      <c r="A2467" s="47">
        <v>92029</v>
      </c>
      <c r="B2467" s="48" t="s">
        <v>6110</v>
      </c>
      <c r="C2467" s="47" t="s">
        <v>65</v>
      </c>
      <c r="D2467" s="332">
        <v>37.04</v>
      </c>
    </row>
    <row r="2468" spans="1:4" ht="30">
      <c r="A2468" s="28">
        <v>92030</v>
      </c>
      <c r="B2468" s="26" t="s">
        <v>6113</v>
      </c>
      <c r="C2468" s="28" t="s">
        <v>65</v>
      </c>
      <c r="D2468" s="329">
        <v>45.54</v>
      </c>
    </row>
    <row r="2469" spans="1:4" ht="30">
      <c r="A2469" s="47">
        <v>92031</v>
      </c>
      <c r="B2469" s="48" t="s">
        <v>6112</v>
      </c>
      <c r="C2469" s="47" t="s">
        <v>65</v>
      </c>
      <c r="D2469" s="332">
        <v>51.27</v>
      </c>
    </row>
    <row r="2470" spans="1:4" ht="30">
      <c r="A2470" s="28">
        <v>92032</v>
      </c>
      <c r="B2470" s="26" t="s">
        <v>6117</v>
      </c>
      <c r="C2470" s="28" t="s">
        <v>65</v>
      </c>
      <c r="D2470" s="329">
        <v>46.47</v>
      </c>
    </row>
    <row r="2471" spans="1:4" ht="30">
      <c r="A2471" s="47">
        <v>92033</v>
      </c>
      <c r="B2471" s="48" t="s">
        <v>6116</v>
      </c>
      <c r="C2471" s="47" t="s">
        <v>65</v>
      </c>
      <c r="D2471" s="332">
        <v>52.19</v>
      </c>
    </row>
    <row r="2472" spans="1:4" ht="45">
      <c r="A2472" s="28">
        <v>92034</v>
      </c>
      <c r="B2472" s="26" t="s">
        <v>6132</v>
      </c>
      <c r="C2472" s="28" t="s">
        <v>65</v>
      </c>
      <c r="D2472" s="329">
        <v>42.17</v>
      </c>
    </row>
    <row r="2473" spans="1:4" ht="45">
      <c r="A2473" s="47">
        <v>92035</v>
      </c>
      <c r="B2473" s="48" t="s">
        <v>6131</v>
      </c>
      <c r="C2473" s="47" t="s">
        <v>65</v>
      </c>
      <c r="D2473" s="332">
        <v>47.89</v>
      </c>
    </row>
    <row r="2474" spans="1:4">
      <c r="A2474" s="28">
        <v>72278</v>
      </c>
      <c r="B2474" s="26" t="s">
        <v>6680</v>
      </c>
      <c r="C2474" s="28" t="s">
        <v>65</v>
      </c>
      <c r="D2474" s="329">
        <v>74.97</v>
      </c>
    </row>
    <row r="2475" spans="1:4">
      <c r="A2475" s="47">
        <v>72280</v>
      </c>
      <c r="B2475" s="48" t="s">
        <v>597</v>
      </c>
      <c r="C2475" s="47" t="s">
        <v>65</v>
      </c>
      <c r="D2475" s="332">
        <v>35.49</v>
      </c>
    </row>
    <row r="2476" spans="1:4" ht="30">
      <c r="A2476" s="28" t="s">
        <v>598</v>
      </c>
      <c r="B2476" s="26" t="s">
        <v>6787</v>
      </c>
      <c r="C2476" s="28" t="s">
        <v>65</v>
      </c>
      <c r="D2476" s="329">
        <v>55.73</v>
      </c>
    </row>
    <row r="2477" spans="1:4" ht="30">
      <c r="A2477" s="47" t="s">
        <v>599</v>
      </c>
      <c r="B2477" s="48" t="s">
        <v>6789</v>
      </c>
      <c r="C2477" s="47" t="s">
        <v>65</v>
      </c>
      <c r="D2477" s="332">
        <v>81.86</v>
      </c>
    </row>
    <row r="2478" spans="1:4" ht="30">
      <c r="A2478" s="28" t="s">
        <v>600</v>
      </c>
      <c r="B2478" s="26" t="s">
        <v>6791</v>
      </c>
      <c r="C2478" s="28" t="s">
        <v>65</v>
      </c>
      <c r="D2478" s="329">
        <v>130.34</v>
      </c>
    </row>
    <row r="2479" spans="1:4" ht="30">
      <c r="A2479" s="47" t="s">
        <v>601</v>
      </c>
      <c r="B2479" s="48" t="s">
        <v>6788</v>
      </c>
      <c r="C2479" s="47" t="s">
        <v>65</v>
      </c>
      <c r="D2479" s="332">
        <v>65.14</v>
      </c>
    </row>
    <row r="2480" spans="1:4" ht="30">
      <c r="A2480" s="28" t="s">
        <v>602</v>
      </c>
      <c r="B2480" s="26" t="s">
        <v>6790</v>
      </c>
      <c r="C2480" s="28" t="s">
        <v>65</v>
      </c>
      <c r="D2480" s="329">
        <v>89.15</v>
      </c>
    </row>
    <row r="2481" spans="1:4" ht="30">
      <c r="A2481" s="47" t="s">
        <v>603</v>
      </c>
      <c r="B2481" s="48" t="s">
        <v>6792</v>
      </c>
      <c r="C2481" s="47" t="s">
        <v>65</v>
      </c>
      <c r="D2481" s="332">
        <v>150.4</v>
      </c>
    </row>
    <row r="2482" spans="1:4" ht="30">
      <c r="A2482" s="28" t="s">
        <v>604</v>
      </c>
      <c r="B2482" s="26" t="s">
        <v>6786</v>
      </c>
      <c r="C2482" s="28" t="s">
        <v>65</v>
      </c>
      <c r="D2482" s="329">
        <v>50</v>
      </c>
    </row>
    <row r="2483" spans="1:4">
      <c r="A2483" s="47" t="s">
        <v>605</v>
      </c>
      <c r="B2483" s="48" t="s">
        <v>6780</v>
      </c>
      <c r="C2483" s="47" t="s">
        <v>65</v>
      </c>
      <c r="D2483" s="332">
        <v>52.98</v>
      </c>
    </row>
    <row r="2484" spans="1:4">
      <c r="A2484" s="28" t="s">
        <v>606</v>
      </c>
      <c r="B2484" s="26" t="s">
        <v>6781</v>
      </c>
      <c r="C2484" s="28" t="s">
        <v>65</v>
      </c>
      <c r="D2484" s="329">
        <v>52.98</v>
      </c>
    </row>
    <row r="2485" spans="1:4" ht="30">
      <c r="A2485" s="47" t="s">
        <v>607</v>
      </c>
      <c r="B2485" s="48" t="s">
        <v>8634</v>
      </c>
      <c r="C2485" s="47" t="s">
        <v>65</v>
      </c>
      <c r="D2485" s="332">
        <v>201.7</v>
      </c>
    </row>
    <row r="2486" spans="1:4">
      <c r="A2486" s="28" t="s">
        <v>608</v>
      </c>
      <c r="B2486" s="26" t="s">
        <v>6793</v>
      </c>
      <c r="C2486" s="28" t="s">
        <v>65</v>
      </c>
      <c r="D2486" s="329">
        <v>26.44</v>
      </c>
    </row>
    <row r="2487" spans="1:4" ht="30">
      <c r="A2487" s="47">
        <v>83391</v>
      </c>
      <c r="B2487" s="48" t="s">
        <v>8574</v>
      </c>
      <c r="C2487" s="47" t="s">
        <v>65</v>
      </c>
      <c r="D2487" s="332">
        <v>36.17</v>
      </c>
    </row>
    <row r="2488" spans="1:4" ht="30">
      <c r="A2488" s="28">
        <v>83392</v>
      </c>
      <c r="B2488" s="26" t="s">
        <v>8572</v>
      </c>
      <c r="C2488" s="28" t="s">
        <v>65</v>
      </c>
      <c r="D2488" s="329">
        <v>24.5</v>
      </c>
    </row>
    <row r="2489" spans="1:4" ht="30">
      <c r="A2489" s="47">
        <v>83393</v>
      </c>
      <c r="B2489" s="48" t="s">
        <v>8573</v>
      </c>
      <c r="C2489" s="47" t="s">
        <v>65</v>
      </c>
      <c r="D2489" s="332">
        <v>26.54</v>
      </c>
    </row>
    <row r="2490" spans="1:4">
      <c r="A2490" s="28">
        <v>83468</v>
      </c>
      <c r="B2490" s="26" t="s">
        <v>6647</v>
      </c>
      <c r="C2490" s="28" t="s">
        <v>65</v>
      </c>
      <c r="D2490" s="329">
        <v>6.66</v>
      </c>
    </row>
    <row r="2491" spans="1:4">
      <c r="A2491" s="47">
        <v>83469</v>
      </c>
      <c r="B2491" s="48" t="s">
        <v>6648</v>
      </c>
      <c r="C2491" s="47" t="s">
        <v>65</v>
      </c>
      <c r="D2491" s="332">
        <v>6.66</v>
      </c>
    </row>
    <row r="2492" spans="1:4">
      <c r="A2492" s="28">
        <v>83470</v>
      </c>
      <c r="B2492" s="26" t="s">
        <v>6659</v>
      </c>
      <c r="C2492" s="28" t="s">
        <v>65</v>
      </c>
      <c r="D2492" s="329">
        <v>72.34</v>
      </c>
    </row>
    <row r="2493" spans="1:4">
      <c r="A2493" s="47">
        <v>93040</v>
      </c>
      <c r="B2493" s="48" t="s">
        <v>6649</v>
      </c>
      <c r="C2493" s="47" t="s">
        <v>65</v>
      </c>
      <c r="D2493" s="332">
        <v>11.61</v>
      </c>
    </row>
    <row r="2494" spans="1:4">
      <c r="A2494" s="28">
        <v>93041</v>
      </c>
      <c r="B2494" s="26" t="s">
        <v>6657</v>
      </c>
      <c r="C2494" s="28" t="s">
        <v>65</v>
      </c>
      <c r="D2494" s="329">
        <v>72.12</v>
      </c>
    </row>
    <row r="2495" spans="1:4" ht="30">
      <c r="A2495" s="47">
        <v>93042</v>
      </c>
      <c r="B2495" s="48" t="s">
        <v>6667</v>
      </c>
      <c r="C2495" s="47" t="s">
        <v>65</v>
      </c>
      <c r="D2495" s="332">
        <v>23.43</v>
      </c>
    </row>
    <row r="2496" spans="1:4" ht="30">
      <c r="A2496" s="28">
        <v>93043</v>
      </c>
      <c r="B2496" s="26" t="s">
        <v>6665</v>
      </c>
      <c r="C2496" s="28" t="s">
        <v>65</v>
      </c>
      <c r="D2496" s="329">
        <v>31.15</v>
      </c>
    </row>
    <row r="2497" spans="1:4" ht="30">
      <c r="A2497" s="47">
        <v>93044</v>
      </c>
      <c r="B2497" s="48" t="s">
        <v>6652</v>
      </c>
      <c r="C2497" s="47" t="s">
        <v>65</v>
      </c>
      <c r="D2497" s="332">
        <v>13.04</v>
      </c>
    </row>
    <row r="2498" spans="1:4">
      <c r="A2498" s="28">
        <v>93045</v>
      </c>
      <c r="B2498" s="26" t="s">
        <v>6655</v>
      </c>
      <c r="C2498" s="28" t="s">
        <v>65</v>
      </c>
      <c r="D2498" s="329">
        <v>40.520000000000003</v>
      </c>
    </row>
    <row r="2499" spans="1:4" ht="30">
      <c r="A2499" s="47">
        <v>9540</v>
      </c>
      <c r="B2499" s="48" t="s">
        <v>5091</v>
      </c>
      <c r="C2499" s="47" t="s">
        <v>65</v>
      </c>
      <c r="D2499" s="332">
        <v>780.12</v>
      </c>
    </row>
    <row r="2500" spans="1:4">
      <c r="A2500" s="28">
        <v>41598</v>
      </c>
      <c r="B2500" s="26" t="s">
        <v>5092</v>
      </c>
      <c r="C2500" s="28" t="s">
        <v>65</v>
      </c>
      <c r="D2500" s="329">
        <v>1252.0999999999999</v>
      </c>
    </row>
    <row r="2501" spans="1:4" ht="30">
      <c r="A2501" s="47">
        <v>72941</v>
      </c>
      <c r="B2501" s="48" t="s">
        <v>1894</v>
      </c>
      <c r="C2501" s="47" t="s">
        <v>65</v>
      </c>
      <c r="D2501" s="332">
        <v>380.45</v>
      </c>
    </row>
    <row r="2502" spans="1:4">
      <c r="A2502" s="28">
        <v>73624</v>
      </c>
      <c r="B2502" s="26" t="s">
        <v>609</v>
      </c>
      <c r="C2502" s="28" t="s">
        <v>65</v>
      </c>
      <c r="D2502" s="329">
        <v>65.03</v>
      </c>
    </row>
    <row r="2503" spans="1:4" ht="30">
      <c r="A2503" s="47" t="s">
        <v>610</v>
      </c>
      <c r="B2503" s="48" t="s">
        <v>5809</v>
      </c>
      <c r="C2503" s="47" t="s">
        <v>65</v>
      </c>
      <c r="D2503" s="332">
        <v>7.83</v>
      </c>
    </row>
    <row r="2504" spans="1:4" ht="30">
      <c r="A2504" s="28" t="s">
        <v>611</v>
      </c>
      <c r="B2504" s="26" t="s">
        <v>1662</v>
      </c>
      <c r="C2504" s="28" t="s">
        <v>65</v>
      </c>
      <c r="D2504" s="329">
        <v>7.51</v>
      </c>
    </row>
    <row r="2505" spans="1:4" ht="30">
      <c r="A2505" s="47" t="s">
        <v>612</v>
      </c>
      <c r="B2505" s="48" t="s">
        <v>6610</v>
      </c>
      <c r="C2505" s="47" t="s">
        <v>65</v>
      </c>
      <c r="D2505" s="332">
        <v>5.48</v>
      </c>
    </row>
    <row r="2506" spans="1:4" ht="30">
      <c r="A2506" s="28" t="s">
        <v>613</v>
      </c>
      <c r="B2506" s="26" t="s">
        <v>1663</v>
      </c>
      <c r="C2506" s="28" t="s">
        <v>65</v>
      </c>
      <c r="D2506" s="329">
        <v>3.62</v>
      </c>
    </row>
    <row r="2507" spans="1:4" ht="30">
      <c r="A2507" s="47" t="s">
        <v>614</v>
      </c>
      <c r="B2507" s="48" t="s">
        <v>1664</v>
      </c>
      <c r="C2507" s="47" t="s">
        <v>65</v>
      </c>
      <c r="D2507" s="332">
        <v>3.32</v>
      </c>
    </row>
    <row r="2508" spans="1:4" ht="30">
      <c r="A2508" s="28" t="s">
        <v>615</v>
      </c>
      <c r="B2508" s="26" t="s">
        <v>7640</v>
      </c>
      <c r="C2508" s="28" t="s">
        <v>65</v>
      </c>
      <c r="D2508" s="329">
        <v>236.49</v>
      </c>
    </row>
    <row r="2509" spans="1:4">
      <c r="A2509" s="47" t="s">
        <v>616</v>
      </c>
      <c r="B2509" s="48" t="s">
        <v>6152</v>
      </c>
      <c r="C2509" s="47" t="s">
        <v>65</v>
      </c>
      <c r="D2509" s="332">
        <v>28.14</v>
      </c>
    </row>
    <row r="2510" spans="1:4" ht="30">
      <c r="A2510" s="28" t="s">
        <v>617</v>
      </c>
      <c r="B2510" s="26" t="s">
        <v>6159</v>
      </c>
      <c r="C2510" s="28" t="s">
        <v>65</v>
      </c>
      <c r="D2510" s="329">
        <v>87.55</v>
      </c>
    </row>
    <row r="2511" spans="1:4" ht="30">
      <c r="A2511" s="47">
        <v>88543</v>
      </c>
      <c r="B2511" s="48" t="s">
        <v>2157</v>
      </c>
      <c r="C2511" s="47" t="s">
        <v>65</v>
      </c>
      <c r="D2511" s="332">
        <v>103.87</v>
      </c>
    </row>
    <row r="2512" spans="1:4" ht="30">
      <c r="A2512" s="28">
        <v>88544</v>
      </c>
      <c r="B2512" s="26" t="s">
        <v>2155</v>
      </c>
      <c r="C2512" s="28" t="s">
        <v>65</v>
      </c>
      <c r="D2512" s="329">
        <v>66.44</v>
      </c>
    </row>
    <row r="2513" spans="1:4" ht="30">
      <c r="A2513" s="47">
        <v>88545</v>
      </c>
      <c r="B2513" s="48" t="s">
        <v>2156</v>
      </c>
      <c r="C2513" s="47" t="s">
        <v>65</v>
      </c>
      <c r="D2513" s="332">
        <v>120.45</v>
      </c>
    </row>
    <row r="2514" spans="1:4" ht="30">
      <c r="A2514" s="28" t="s">
        <v>618</v>
      </c>
      <c r="B2514" s="26" t="s">
        <v>8332</v>
      </c>
      <c r="C2514" s="28" t="s">
        <v>65</v>
      </c>
      <c r="D2514" s="329">
        <v>465.47</v>
      </c>
    </row>
    <row r="2515" spans="1:4" ht="30">
      <c r="A2515" s="47" t="s">
        <v>619</v>
      </c>
      <c r="B2515" s="48" t="s">
        <v>8333</v>
      </c>
      <c r="C2515" s="47" t="s">
        <v>65</v>
      </c>
      <c r="D2515" s="332">
        <v>417.09</v>
      </c>
    </row>
    <row r="2516" spans="1:4" ht="30">
      <c r="A2516" s="28" t="s">
        <v>620</v>
      </c>
      <c r="B2516" s="26" t="s">
        <v>8335</v>
      </c>
      <c r="C2516" s="28" t="s">
        <v>65</v>
      </c>
      <c r="D2516" s="329">
        <v>461.62</v>
      </c>
    </row>
    <row r="2517" spans="1:4" ht="30">
      <c r="A2517" s="47" t="s">
        <v>621</v>
      </c>
      <c r="B2517" s="48" t="s">
        <v>8336</v>
      </c>
      <c r="C2517" s="47" t="s">
        <v>65</v>
      </c>
      <c r="D2517" s="332">
        <v>533.38</v>
      </c>
    </row>
    <row r="2518" spans="1:4" ht="30">
      <c r="A2518" s="28" t="s">
        <v>622</v>
      </c>
      <c r="B2518" s="26" t="s">
        <v>8330</v>
      </c>
      <c r="C2518" s="28" t="s">
        <v>65</v>
      </c>
      <c r="D2518" s="329">
        <v>924.51</v>
      </c>
    </row>
    <row r="2519" spans="1:4" ht="30">
      <c r="A2519" s="47" t="s">
        <v>623</v>
      </c>
      <c r="B2519" s="48" t="s">
        <v>8328</v>
      </c>
      <c r="C2519" s="47" t="s">
        <v>65</v>
      </c>
      <c r="D2519" s="332">
        <v>926.36</v>
      </c>
    </row>
    <row r="2520" spans="1:4" ht="30">
      <c r="A2520" s="28" t="s">
        <v>624</v>
      </c>
      <c r="B2520" s="26" t="s">
        <v>8329</v>
      </c>
      <c r="C2520" s="28" t="s">
        <v>65</v>
      </c>
      <c r="D2520" s="329">
        <v>1092.2</v>
      </c>
    </row>
    <row r="2521" spans="1:4" ht="30">
      <c r="A2521" s="47" t="s">
        <v>625</v>
      </c>
      <c r="B2521" s="48" t="s">
        <v>8331</v>
      </c>
      <c r="C2521" s="47" t="s">
        <v>65</v>
      </c>
      <c r="D2521" s="332">
        <v>1648.05</v>
      </c>
    </row>
    <row r="2522" spans="1:4" ht="30">
      <c r="A2522" s="28" t="s">
        <v>626</v>
      </c>
      <c r="B2522" s="26" t="s">
        <v>8334</v>
      </c>
      <c r="C2522" s="28" t="s">
        <v>65</v>
      </c>
      <c r="D2522" s="329">
        <v>610.99</v>
      </c>
    </row>
    <row r="2523" spans="1:4" ht="30">
      <c r="A2523" s="47" t="s">
        <v>627</v>
      </c>
      <c r="B2523" s="48" t="s">
        <v>8337</v>
      </c>
      <c r="C2523" s="47" t="s">
        <v>65</v>
      </c>
      <c r="D2523" s="332">
        <v>695.39</v>
      </c>
    </row>
    <row r="2524" spans="1:4" ht="30">
      <c r="A2524" s="28" t="s">
        <v>628</v>
      </c>
      <c r="B2524" s="26" t="s">
        <v>8338</v>
      </c>
      <c r="C2524" s="28" t="s">
        <v>65</v>
      </c>
      <c r="D2524" s="329">
        <v>743.93</v>
      </c>
    </row>
    <row r="2525" spans="1:4" ht="30">
      <c r="A2525" s="47" t="s">
        <v>629</v>
      </c>
      <c r="B2525" s="48" t="s">
        <v>8339</v>
      </c>
      <c r="C2525" s="47" t="s">
        <v>65</v>
      </c>
      <c r="D2525" s="332">
        <v>875.92</v>
      </c>
    </row>
    <row r="2526" spans="1:4" ht="30">
      <c r="A2526" s="28" t="s">
        <v>630</v>
      </c>
      <c r="B2526" s="26" t="s">
        <v>8327</v>
      </c>
      <c r="C2526" s="28" t="s">
        <v>65</v>
      </c>
      <c r="D2526" s="329">
        <v>1153.53</v>
      </c>
    </row>
    <row r="2527" spans="1:4" ht="30">
      <c r="A2527" s="47">
        <v>83394</v>
      </c>
      <c r="B2527" s="48" t="s">
        <v>8370</v>
      </c>
      <c r="C2527" s="47" t="s">
        <v>65</v>
      </c>
      <c r="D2527" s="332">
        <v>782.18</v>
      </c>
    </row>
    <row r="2528" spans="1:4" ht="30">
      <c r="A2528" s="28">
        <v>83396</v>
      </c>
      <c r="B2528" s="26" t="s">
        <v>8371</v>
      </c>
      <c r="C2528" s="28" t="s">
        <v>65</v>
      </c>
      <c r="D2528" s="329">
        <v>702.63</v>
      </c>
    </row>
    <row r="2529" spans="1:4" ht="30">
      <c r="A2529" s="47">
        <v>83397</v>
      </c>
      <c r="B2529" s="48" t="s">
        <v>8372</v>
      </c>
      <c r="C2529" s="47" t="s">
        <v>65</v>
      </c>
      <c r="D2529" s="332">
        <v>919.65</v>
      </c>
    </row>
    <row r="2530" spans="1:4" ht="30">
      <c r="A2530" s="28">
        <v>83398</v>
      </c>
      <c r="B2530" s="26" t="s">
        <v>8369</v>
      </c>
      <c r="C2530" s="28" t="s">
        <v>65</v>
      </c>
      <c r="D2530" s="329">
        <v>814.86</v>
      </c>
    </row>
    <row r="2531" spans="1:4" ht="30">
      <c r="A2531" s="47" t="s">
        <v>631</v>
      </c>
      <c r="B2531" s="48" t="s">
        <v>8326</v>
      </c>
      <c r="C2531" s="47" t="s">
        <v>65</v>
      </c>
      <c r="D2531" s="332">
        <v>1259.46</v>
      </c>
    </row>
    <row r="2532" spans="1:4" ht="30">
      <c r="A2532" s="28" t="s">
        <v>632</v>
      </c>
      <c r="B2532" s="26" t="s">
        <v>8350</v>
      </c>
      <c r="C2532" s="28" t="s">
        <v>65</v>
      </c>
      <c r="D2532" s="329">
        <v>1261.1099999999999</v>
      </c>
    </row>
    <row r="2533" spans="1:4" ht="30">
      <c r="A2533" s="47" t="s">
        <v>633</v>
      </c>
      <c r="B2533" s="48" t="s">
        <v>8349</v>
      </c>
      <c r="C2533" s="47" t="s">
        <v>65</v>
      </c>
      <c r="D2533" s="332">
        <v>1300.54</v>
      </c>
    </row>
    <row r="2534" spans="1:4" ht="30">
      <c r="A2534" s="28" t="s">
        <v>634</v>
      </c>
      <c r="B2534" s="26" t="s">
        <v>8351</v>
      </c>
      <c r="C2534" s="28" t="s">
        <v>65</v>
      </c>
      <c r="D2534" s="329">
        <v>1312.83</v>
      </c>
    </row>
    <row r="2535" spans="1:4" ht="30">
      <c r="A2535" s="47" t="s">
        <v>635</v>
      </c>
      <c r="B2535" s="48" t="s">
        <v>3596</v>
      </c>
      <c r="C2535" s="47" t="s">
        <v>65</v>
      </c>
      <c r="D2535" s="332">
        <v>599.96</v>
      </c>
    </row>
    <row r="2536" spans="1:4">
      <c r="A2536" s="28">
        <v>72281</v>
      </c>
      <c r="B2536" s="26" t="s">
        <v>8577</v>
      </c>
      <c r="C2536" s="28" t="s">
        <v>65</v>
      </c>
      <c r="D2536" s="329">
        <v>86.47</v>
      </c>
    </row>
    <row r="2537" spans="1:4">
      <c r="A2537" s="47">
        <v>72282</v>
      </c>
      <c r="B2537" s="48" t="s">
        <v>8578</v>
      </c>
      <c r="C2537" s="47" t="s">
        <v>65</v>
      </c>
      <c r="D2537" s="332">
        <v>116.04</v>
      </c>
    </row>
    <row r="2538" spans="1:4">
      <c r="A2538" s="28" t="s">
        <v>636</v>
      </c>
      <c r="B2538" s="26" t="s">
        <v>6641</v>
      </c>
      <c r="C2538" s="28" t="s">
        <v>65</v>
      </c>
      <c r="D2538" s="329">
        <v>18.86</v>
      </c>
    </row>
    <row r="2539" spans="1:4">
      <c r="A2539" s="47" t="s">
        <v>637</v>
      </c>
      <c r="B2539" s="48" t="s">
        <v>6642</v>
      </c>
      <c r="C2539" s="47" t="s">
        <v>65</v>
      </c>
      <c r="D2539" s="332">
        <v>32.46</v>
      </c>
    </row>
    <row r="2540" spans="1:4">
      <c r="A2540" s="28" t="s">
        <v>638</v>
      </c>
      <c r="B2540" s="26" t="s">
        <v>6643</v>
      </c>
      <c r="C2540" s="28" t="s">
        <v>65</v>
      </c>
      <c r="D2540" s="329">
        <v>43.07</v>
      </c>
    </row>
    <row r="2541" spans="1:4">
      <c r="A2541" s="47" t="s">
        <v>639</v>
      </c>
      <c r="B2541" s="48" t="s">
        <v>6671</v>
      </c>
      <c r="C2541" s="47" t="s">
        <v>65</v>
      </c>
      <c r="D2541" s="332">
        <v>20.83</v>
      </c>
    </row>
    <row r="2542" spans="1:4">
      <c r="A2542" s="28" t="s">
        <v>640</v>
      </c>
      <c r="B2542" s="26" t="s">
        <v>6672</v>
      </c>
      <c r="C2542" s="28" t="s">
        <v>65</v>
      </c>
      <c r="D2542" s="329">
        <v>27.14</v>
      </c>
    </row>
    <row r="2543" spans="1:4">
      <c r="A2543" s="47" t="s">
        <v>641</v>
      </c>
      <c r="B2543" s="48" t="s">
        <v>6673</v>
      </c>
      <c r="C2543" s="47" t="s">
        <v>65</v>
      </c>
      <c r="D2543" s="332">
        <v>48.5</v>
      </c>
    </row>
    <row r="2544" spans="1:4">
      <c r="A2544" s="28" t="s">
        <v>642</v>
      </c>
      <c r="B2544" s="26" t="s">
        <v>6644</v>
      </c>
      <c r="C2544" s="28" t="s">
        <v>65</v>
      </c>
      <c r="D2544" s="329">
        <v>38.72</v>
      </c>
    </row>
    <row r="2545" spans="1:4">
      <c r="A2545" s="47" t="s">
        <v>643</v>
      </c>
      <c r="B2545" s="48" t="s">
        <v>6645</v>
      </c>
      <c r="C2545" s="47" t="s">
        <v>65</v>
      </c>
      <c r="D2545" s="332">
        <v>44.25</v>
      </c>
    </row>
    <row r="2546" spans="1:4">
      <c r="A2546" s="28" t="s">
        <v>644</v>
      </c>
      <c r="B2546" s="26" t="s">
        <v>6646</v>
      </c>
      <c r="C2546" s="28" t="s">
        <v>65</v>
      </c>
      <c r="D2546" s="329">
        <v>51.03</v>
      </c>
    </row>
    <row r="2547" spans="1:4" ht="45">
      <c r="A2547" s="47" t="s">
        <v>645</v>
      </c>
      <c r="B2547" s="48" t="s">
        <v>6767</v>
      </c>
      <c r="C2547" s="47" t="s">
        <v>65</v>
      </c>
      <c r="D2547" s="332">
        <v>105.93</v>
      </c>
    </row>
    <row r="2548" spans="1:4">
      <c r="A2548" s="28" t="s">
        <v>646</v>
      </c>
      <c r="B2548" s="26" t="s">
        <v>8635</v>
      </c>
      <c r="C2548" s="28" t="s">
        <v>65</v>
      </c>
      <c r="D2548" s="329">
        <v>232.82</v>
      </c>
    </row>
    <row r="2549" spans="1:4" ht="30">
      <c r="A2549" s="47">
        <v>83399</v>
      </c>
      <c r="B2549" s="48" t="s">
        <v>8719</v>
      </c>
      <c r="C2549" s="47" t="s">
        <v>65</v>
      </c>
      <c r="D2549" s="332">
        <v>35.520000000000003</v>
      </c>
    </row>
    <row r="2550" spans="1:4" ht="45">
      <c r="A2550" s="28">
        <v>83400</v>
      </c>
      <c r="B2550" s="26" t="s">
        <v>2709</v>
      </c>
      <c r="C2550" s="28" t="s">
        <v>65</v>
      </c>
      <c r="D2550" s="329">
        <v>77.02</v>
      </c>
    </row>
    <row r="2551" spans="1:4" ht="30">
      <c r="A2551" s="47">
        <v>83401</v>
      </c>
      <c r="B2551" s="48" t="s">
        <v>2710</v>
      </c>
      <c r="C2551" s="47" t="s">
        <v>65</v>
      </c>
      <c r="D2551" s="332">
        <v>77.02</v>
      </c>
    </row>
    <row r="2552" spans="1:4" ht="30">
      <c r="A2552" s="28">
        <v>83402</v>
      </c>
      <c r="B2552" s="26" t="s">
        <v>1379</v>
      </c>
      <c r="C2552" s="28" t="s">
        <v>65</v>
      </c>
      <c r="D2552" s="329">
        <v>41.47</v>
      </c>
    </row>
    <row r="2553" spans="1:4" ht="30">
      <c r="A2553" s="47">
        <v>83475</v>
      </c>
      <c r="B2553" s="48" t="s">
        <v>6779</v>
      </c>
      <c r="C2553" s="47" t="s">
        <v>65</v>
      </c>
      <c r="D2553" s="332">
        <v>309.89</v>
      </c>
    </row>
    <row r="2554" spans="1:4" ht="30">
      <c r="A2554" s="28">
        <v>83478</v>
      </c>
      <c r="B2554" s="26" t="s">
        <v>6778</v>
      </c>
      <c r="C2554" s="28" t="s">
        <v>65</v>
      </c>
      <c r="D2554" s="329">
        <v>217.5</v>
      </c>
    </row>
    <row r="2555" spans="1:4" ht="30">
      <c r="A2555" s="47">
        <v>83479</v>
      </c>
      <c r="B2555" s="48" t="s">
        <v>6777</v>
      </c>
      <c r="C2555" s="47" t="s">
        <v>65</v>
      </c>
      <c r="D2555" s="332">
        <v>140.11000000000001</v>
      </c>
    </row>
    <row r="2556" spans="1:4">
      <c r="A2556" s="28">
        <v>83480</v>
      </c>
      <c r="B2556" s="26" t="s">
        <v>8575</v>
      </c>
      <c r="C2556" s="28" t="s">
        <v>65</v>
      </c>
      <c r="D2556" s="329">
        <v>69.86</v>
      </c>
    </row>
    <row r="2557" spans="1:4">
      <c r="A2557" s="47">
        <v>83481</v>
      </c>
      <c r="B2557" s="48" t="s">
        <v>8576</v>
      </c>
      <c r="C2557" s="47" t="s">
        <v>65</v>
      </c>
      <c r="D2557" s="332">
        <v>78.42</v>
      </c>
    </row>
    <row r="2558" spans="1:4" ht="30">
      <c r="A2558" s="28" t="s">
        <v>647</v>
      </c>
      <c r="B2558" s="26" t="s">
        <v>9837</v>
      </c>
      <c r="C2558" s="28" t="s">
        <v>65</v>
      </c>
      <c r="D2558" s="329">
        <v>7357.36</v>
      </c>
    </row>
    <row r="2559" spans="1:4" ht="30">
      <c r="A2559" s="47" t="s">
        <v>648</v>
      </c>
      <c r="B2559" s="48" t="s">
        <v>9829</v>
      </c>
      <c r="C2559" s="47" t="s">
        <v>65</v>
      </c>
      <c r="D2559" s="332">
        <v>9091.7800000000007</v>
      </c>
    </row>
    <row r="2560" spans="1:4" ht="30">
      <c r="A2560" s="28" t="s">
        <v>649</v>
      </c>
      <c r="B2560" s="26" t="s">
        <v>9830</v>
      </c>
      <c r="C2560" s="28" t="s">
        <v>65</v>
      </c>
      <c r="D2560" s="329">
        <v>11462.51</v>
      </c>
    </row>
    <row r="2561" spans="1:4" ht="30">
      <c r="A2561" s="47" t="s">
        <v>650</v>
      </c>
      <c r="B2561" s="48" t="s">
        <v>9831</v>
      </c>
      <c r="C2561" s="47" t="s">
        <v>65</v>
      </c>
      <c r="D2561" s="332">
        <v>16059.9</v>
      </c>
    </row>
    <row r="2562" spans="1:4" ht="30">
      <c r="A2562" s="28" t="s">
        <v>651</v>
      </c>
      <c r="B2562" s="26" t="s">
        <v>9832</v>
      </c>
      <c r="C2562" s="28" t="s">
        <v>65</v>
      </c>
      <c r="D2562" s="329">
        <v>18734.16</v>
      </c>
    </row>
    <row r="2563" spans="1:4" ht="30">
      <c r="A2563" s="47" t="s">
        <v>652</v>
      </c>
      <c r="B2563" s="48" t="s">
        <v>9835</v>
      </c>
      <c r="C2563" s="47" t="s">
        <v>65</v>
      </c>
      <c r="D2563" s="332">
        <v>30513.02</v>
      </c>
    </row>
    <row r="2564" spans="1:4" ht="30">
      <c r="A2564" s="28" t="s">
        <v>653</v>
      </c>
      <c r="B2564" s="26" t="s">
        <v>9833</v>
      </c>
      <c r="C2564" s="28" t="s">
        <v>65</v>
      </c>
      <c r="D2564" s="329">
        <v>5082.5200000000004</v>
      </c>
    </row>
    <row r="2565" spans="1:4" ht="30">
      <c r="A2565" s="47" t="s">
        <v>654</v>
      </c>
      <c r="B2565" s="48" t="s">
        <v>9834</v>
      </c>
      <c r="C2565" s="47" t="s">
        <v>65</v>
      </c>
      <c r="D2565" s="332">
        <v>5687.96</v>
      </c>
    </row>
    <row r="2566" spans="1:4" ht="30">
      <c r="A2566" s="28" t="s">
        <v>655</v>
      </c>
      <c r="B2566" s="26" t="s">
        <v>9836</v>
      </c>
      <c r="C2566" s="28" t="s">
        <v>65</v>
      </c>
      <c r="D2566" s="329">
        <v>41820.199999999997</v>
      </c>
    </row>
    <row r="2567" spans="1:4" ht="30">
      <c r="A2567" s="47" t="s">
        <v>656</v>
      </c>
      <c r="B2567" s="48" t="s">
        <v>9828</v>
      </c>
      <c r="C2567" s="47" t="s">
        <v>65</v>
      </c>
      <c r="D2567" s="332">
        <v>58510.46</v>
      </c>
    </row>
    <row r="2568" spans="1:4" ht="45">
      <c r="A2568" s="28">
        <v>93128</v>
      </c>
      <c r="B2568" s="26" t="s">
        <v>8250</v>
      </c>
      <c r="C2568" s="28" t="s">
        <v>65</v>
      </c>
      <c r="D2568" s="329">
        <v>91.44</v>
      </c>
    </row>
    <row r="2569" spans="1:4" ht="45">
      <c r="A2569" s="47">
        <v>93137</v>
      </c>
      <c r="B2569" s="48" t="s">
        <v>8248</v>
      </c>
      <c r="C2569" s="47" t="s">
        <v>65</v>
      </c>
      <c r="D2569" s="332">
        <v>109.07</v>
      </c>
    </row>
    <row r="2570" spans="1:4" ht="45">
      <c r="A2570" s="28">
        <v>93138</v>
      </c>
      <c r="B2570" s="26" t="s">
        <v>8247</v>
      </c>
      <c r="C2570" s="28" t="s">
        <v>65</v>
      </c>
      <c r="D2570" s="329">
        <v>102.55</v>
      </c>
    </row>
    <row r="2571" spans="1:4" ht="45">
      <c r="A2571" s="47">
        <v>93139</v>
      </c>
      <c r="B2571" s="48" t="s">
        <v>8246</v>
      </c>
      <c r="C2571" s="47" t="s">
        <v>65</v>
      </c>
      <c r="D2571" s="332">
        <v>131.26</v>
      </c>
    </row>
    <row r="2572" spans="1:4" ht="45">
      <c r="A2572" s="28">
        <v>93140</v>
      </c>
      <c r="B2572" s="26" t="s">
        <v>8249</v>
      </c>
      <c r="C2572" s="28" t="s">
        <v>65</v>
      </c>
      <c r="D2572" s="329">
        <v>123.54</v>
      </c>
    </row>
    <row r="2573" spans="1:4" ht="30">
      <c r="A2573" s="47">
        <v>93141</v>
      </c>
      <c r="B2573" s="48" t="s">
        <v>657</v>
      </c>
      <c r="C2573" s="47" t="s">
        <v>65</v>
      </c>
      <c r="D2573" s="332">
        <v>120.54</v>
      </c>
    </row>
    <row r="2574" spans="1:4" ht="30">
      <c r="A2574" s="28">
        <v>93142</v>
      </c>
      <c r="B2574" s="26" t="s">
        <v>8251</v>
      </c>
      <c r="C2574" s="28" t="s">
        <v>65</v>
      </c>
      <c r="D2574" s="329">
        <v>134.77000000000001</v>
      </c>
    </row>
    <row r="2575" spans="1:4" ht="30">
      <c r="A2575" s="47">
        <v>93143</v>
      </c>
      <c r="B2575" s="48" t="s">
        <v>658</v>
      </c>
      <c r="C2575" s="47" t="s">
        <v>65</v>
      </c>
      <c r="D2575" s="332">
        <v>122.32</v>
      </c>
    </row>
    <row r="2576" spans="1:4" ht="45">
      <c r="A2576" s="28">
        <v>93144</v>
      </c>
      <c r="B2576" s="26" t="s">
        <v>8252</v>
      </c>
      <c r="C2576" s="28" t="s">
        <v>65</v>
      </c>
      <c r="D2576" s="329">
        <v>152.37</v>
      </c>
    </row>
    <row r="2577" spans="1:4" ht="45">
      <c r="A2577" s="47">
        <v>93145</v>
      </c>
      <c r="B2577" s="48" t="s">
        <v>8244</v>
      </c>
      <c r="C2577" s="47" t="s">
        <v>65</v>
      </c>
      <c r="D2577" s="332">
        <v>144.91</v>
      </c>
    </row>
    <row r="2578" spans="1:4" ht="45">
      <c r="A2578" s="28">
        <v>93146</v>
      </c>
      <c r="B2578" s="26" t="s">
        <v>8243</v>
      </c>
      <c r="C2578" s="28" t="s">
        <v>65</v>
      </c>
      <c r="D2578" s="329">
        <v>156.03</v>
      </c>
    </row>
    <row r="2579" spans="1:4" ht="45">
      <c r="A2579" s="47">
        <v>93147</v>
      </c>
      <c r="B2579" s="48" t="s">
        <v>8245</v>
      </c>
      <c r="C2579" s="47" t="s">
        <v>65</v>
      </c>
      <c r="D2579" s="332">
        <v>177.05</v>
      </c>
    </row>
    <row r="2580" spans="1:4">
      <c r="A2580" s="28">
        <v>8260</v>
      </c>
      <c r="B2580" s="26" t="s">
        <v>6105</v>
      </c>
      <c r="C2580" s="28" t="s">
        <v>65</v>
      </c>
      <c r="D2580" s="329">
        <v>2511.9299999999998</v>
      </c>
    </row>
    <row r="2581" spans="1:4">
      <c r="A2581" s="47">
        <v>68069</v>
      </c>
      <c r="B2581" s="48" t="s">
        <v>5976</v>
      </c>
      <c r="C2581" s="47" t="s">
        <v>65</v>
      </c>
      <c r="D2581" s="332">
        <v>41.7</v>
      </c>
    </row>
    <row r="2582" spans="1:4">
      <c r="A2582" s="28">
        <v>68070</v>
      </c>
      <c r="B2582" s="26" t="s">
        <v>659</v>
      </c>
      <c r="C2582" s="28" t="s">
        <v>71</v>
      </c>
      <c r="D2582" s="329">
        <v>47.36</v>
      </c>
    </row>
    <row r="2583" spans="1:4">
      <c r="A2583" s="47">
        <v>72315</v>
      </c>
      <c r="B2583" s="48" t="s">
        <v>9621</v>
      </c>
      <c r="C2583" s="47" t="s">
        <v>65</v>
      </c>
      <c r="D2583" s="332">
        <v>23.67</v>
      </c>
    </row>
    <row r="2584" spans="1:4" ht="30">
      <c r="A2584" s="28">
        <v>72927</v>
      </c>
      <c r="B2584" s="26" t="s">
        <v>4072</v>
      </c>
      <c r="C2584" s="28" t="s">
        <v>71</v>
      </c>
      <c r="D2584" s="329">
        <v>29.87</v>
      </c>
    </row>
    <row r="2585" spans="1:4" ht="30">
      <c r="A2585" s="47">
        <v>72928</v>
      </c>
      <c r="B2585" s="48" t="s">
        <v>4073</v>
      </c>
      <c r="C2585" s="47" t="s">
        <v>71</v>
      </c>
      <c r="D2585" s="332">
        <v>33.69</v>
      </c>
    </row>
    <row r="2586" spans="1:4" ht="30">
      <c r="A2586" s="28">
        <v>72929</v>
      </c>
      <c r="B2586" s="26" t="s">
        <v>4074</v>
      </c>
      <c r="C2586" s="28" t="s">
        <v>71</v>
      </c>
      <c r="D2586" s="329">
        <v>38.76</v>
      </c>
    </row>
    <row r="2587" spans="1:4" ht="30">
      <c r="A2587" s="47">
        <v>72930</v>
      </c>
      <c r="B2587" s="48" t="s">
        <v>4075</v>
      </c>
      <c r="C2587" s="47" t="s">
        <v>71</v>
      </c>
      <c r="D2587" s="332">
        <v>47.33</v>
      </c>
    </row>
    <row r="2588" spans="1:4" ht="30">
      <c r="A2588" s="28">
        <v>72931</v>
      </c>
      <c r="B2588" s="26" t="s">
        <v>4076</v>
      </c>
      <c r="C2588" s="28" t="s">
        <v>71</v>
      </c>
      <c r="D2588" s="329">
        <v>56.1</v>
      </c>
    </row>
    <row r="2589" spans="1:4" ht="30">
      <c r="A2589" s="47">
        <v>72932</v>
      </c>
      <c r="B2589" s="48" t="s">
        <v>4077</v>
      </c>
      <c r="C2589" s="47" t="s">
        <v>71</v>
      </c>
      <c r="D2589" s="332">
        <v>67.739999999999995</v>
      </c>
    </row>
    <row r="2590" spans="1:4">
      <c r="A2590" s="28">
        <v>83483</v>
      </c>
      <c r="B2590" s="26" t="s">
        <v>5989</v>
      </c>
      <c r="C2590" s="28" t="s">
        <v>65</v>
      </c>
      <c r="D2590" s="329">
        <v>45.21</v>
      </c>
    </row>
    <row r="2591" spans="1:4">
      <c r="A2591" s="47">
        <v>83484</v>
      </c>
      <c r="B2591" s="48" t="s">
        <v>660</v>
      </c>
      <c r="C2591" s="47" t="s">
        <v>65</v>
      </c>
      <c r="D2591" s="332">
        <v>54.6</v>
      </c>
    </row>
    <row r="2592" spans="1:4" ht="30">
      <c r="A2592" s="28">
        <v>83485</v>
      </c>
      <c r="B2592" s="26" t="s">
        <v>5985</v>
      </c>
      <c r="C2592" s="28" t="s">
        <v>65</v>
      </c>
      <c r="D2592" s="329">
        <v>40.700000000000003</v>
      </c>
    </row>
    <row r="2593" spans="1:4" ht="30">
      <c r="A2593" s="47">
        <v>83638</v>
      </c>
      <c r="B2593" s="48" t="s">
        <v>7343</v>
      </c>
      <c r="C2593" s="47" t="s">
        <v>65</v>
      </c>
      <c r="D2593" s="332">
        <v>329.02</v>
      </c>
    </row>
    <row r="2594" spans="1:4">
      <c r="A2594" s="28">
        <v>83641</v>
      </c>
      <c r="B2594" s="26" t="s">
        <v>7839</v>
      </c>
      <c r="C2594" s="28" t="s">
        <v>65</v>
      </c>
      <c r="D2594" s="329">
        <v>382.64</v>
      </c>
    </row>
    <row r="2595" spans="1:4" ht="30">
      <c r="A2595" s="47">
        <v>9535</v>
      </c>
      <c r="B2595" s="48" t="s">
        <v>3613</v>
      </c>
      <c r="C2595" s="47" t="s">
        <v>65</v>
      </c>
      <c r="D2595" s="332">
        <v>57.75</v>
      </c>
    </row>
    <row r="2596" spans="1:4" ht="30">
      <c r="A2596" s="28">
        <v>72322</v>
      </c>
      <c r="B2596" s="26" t="s">
        <v>3593</v>
      </c>
      <c r="C2596" s="28" t="s">
        <v>65</v>
      </c>
      <c r="D2596" s="329">
        <v>346.46</v>
      </c>
    </row>
    <row r="2597" spans="1:4">
      <c r="A2597" s="47">
        <v>72326</v>
      </c>
      <c r="B2597" s="48" t="s">
        <v>3594</v>
      </c>
      <c r="C2597" s="47" t="s">
        <v>65</v>
      </c>
      <c r="D2597" s="332">
        <v>451.89</v>
      </c>
    </row>
    <row r="2598" spans="1:4" ht="30">
      <c r="A2598" s="28">
        <v>72327</v>
      </c>
      <c r="B2598" s="26" t="s">
        <v>5730</v>
      </c>
      <c r="C2598" s="28" t="s">
        <v>65</v>
      </c>
      <c r="D2598" s="329">
        <v>5.47</v>
      </c>
    </row>
    <row r="2599" spans="1:4" ht="30">
      <c r="A2599" s="47">
        <v>72328</v>
      </c>
      <c r="B2599" s="48" t="s">
        <v>5731</v>
      </c>
      <c r="C2599" s="47" t="s">
        <v>65</v>
      </c>
      <c r="D2599" s="332">
        <v>6.61</v>
      </c>
    </row>
    <row r="2600" spans="1:4">
      <c r="A2600" s="28">
        <v>72330</v>
      </c>
      <c r="B2600" s="26" t="s">
        <v>5732</v>
      </c>
      <c r="C2600" s="28" t="s">
        <v>65</v>
      </c>
      <c r="D2600" s="329">
        <v>31.45</v>
      </c>
    </row>
    <row r="2601" spans="1:4" ht="30">
      <c r="A2601" s="47" t="s">
        <v>661</v>
      </c>
      <c r="B2601" s="48" t="s">
        <v>3578</v>
      </c>
      <c r="C2601" s="47" t="s">
        <v>65</v>
      </c>
      <c r="D2601" s="332">
        <v>297.11</v>
      </c>
    </row>
    <row r="2602" spans="1:4">
      <c r="A2602" s="28" t="s">
        <v>662</v>
      </c>
      <c r="B2602" s="26" t="s">
        <v>3567</v>
      </c>
      <c r="C2602" s="28" t="s">
        <v>65</v>
      </c>
      <c r="D2602" s="329">
        <v>186.58</v>
      </c>
    </row>
    <row r="2603" spans="1:4">
      <c r="A2603" s="47" t="s">
        <v>663</v>
      </c>
      <c r="B2603" s="48" t="s">
        <v>3568</v>
      </c>
      <c r="C2603" s="47" t="s">
        <v>65</v>
      </c>
      <c r="D2603" s="332">
        <v>297.12</v>
      </c>
    </row>
    <row r="2604" spans="1:4">
      <c r="A2604" s="28" t="s">
        <v>664</v>
      </c>
      <c r="B2604" s="26" t="s">
        <v>3566</v>
      </c>
      <c r="C2604" s="28" t="s">
        <v>65</v>
      </c>
      <c r="D2604" s="329">
        <v>668.13</v>
      </c>
    </row>
    <row r="2605" spans="1:4">
      <c r="A2605" s="47">
        <v>83482</v>
      </c>
      <c r="B2605" s="48" t="s">
        <v>5733</v>
      </c>
      <c r="C2605" s="47" t="s">
        <v>65</v>
      </c>
      <c r="D2605" s="332">
        <v>31.45</v>
      </c>
    </row>
    <row r="2606" spans="1:4">
      <c r="A2606" s="28">
        <v>83487</v>
      </c>
      <c r="B2606" s="26" t="s">
        <v>2482</v>
      </c>
      <c r="C2606" s="28" t="s">
        <v>65</v>
      </c>
      <c r="D2606" s="329">
        <v>76.069999999999993</v>
      </c>
    </row>
    <row r="2607" spans="1:4" ht="30">
      <c r="A2607" s="47">
        <v>83488</v>
      </c>
      <c r="B2607" s="48" t="s">
        <v>8990</v>
      </c>
      <c r="C2607" s="47" t="s">
        <v>65</v>
      </c>
      <c r="D2607" s="332">
        <v>2143.89</v>
      </c>
    </row>
    <row r="2608" spans="1:4" ht="30">
      <c r="A2608" s="28">
        <v>83489</v>
      </c>
      <c r="B2608" s="26" t="s">
        <v>8989</v>
      </c>
      <c r="C2608" s="28" t="s">
        <v>65</v>
      </c>
      <c r="D2608" s="329">
        <v>2329.21</v>
      </c>
    </row>
    <row r="2609" spans="1:4">
      <c r="A2609" s="47">
        <v>83490</v>
      </c>
      <c r="B2609" s="48" t="s">
        <v>3574</v>
      </c>
      <c r="C2609" s="47" t="s">
        <v>65</v>
      </c>
      <c r="D2609" s="332">
        <v>184.63</v>
      </c>
    </row>
    <row r="2610" spans="1:4" ht="30">
      <c r="A2610" s="28">
        <v>83491</v>
      </c>
      <c r="B2610" s="26" t="s">
        <v>3579</v>
      </c>
      <c r="C2610" s="28" t="s">
        <v>65</v>
      </c>
      <c r="D2610" s="329">
        <v>727.56</v>
      </c>
    </row>
    <row r="2611" spans="1:4" ht="30">
      <c r="A2611" s="47">
        <v>83492</v>
      </c>
      <c r="B2611" s="48" t="s">
        <v>3580</v>
      </c>
      <c r="C2611" s="47" t="s">
        <v>65</v>
      </c>
      <c r="D2611" s="332">
        <v>706.99</v>
      </c>
    </row>
    <row r="2612" spans="1:4">
      <c r="A2612" s="28">
        <v>83493</v>
      </c>
      <c r="B2612" s="26" t="s">
        <v>5734</v>
      </c>
      <c r="C2612" s="28" t="s">
        <v>65</v>
      </c>
      <c r="D2612" s="329">
        <v>31.45</v>
      </c>
    </row>
    <row r="2613" spans="1:4">
      <c r="A2613" s="47">
        <v>85195</v>
      </c>
      <c r="B2613" s="48" t="s">
        <v>665</v>
      </c>
      <c r="C2613" s="47" t="s">
        <v>65</v>
      </c>
      <c r="D2613" s="332">
        <v>61.43</v>
      </c>
    </row>
    <row r="2614" spans="1:4">
      <c r="A2614" s="28">
        <v>88547</v>
      </c>
      <c r="B2614" s="26" t="s">
        <v>3569</v>
      </c>
      <c r="C2614" s="28" t="s">
        <v>65</v>
      </c>
      <c r="D2614" s="329">
        <v>67.33</v>
      </c>
    </row>
    <row r="2615" spans="1:4" ht="45">
      <c r="A2615" s="47">
        <v>72283</v>
      </c>
      <c r="B2615" s="48" t="s">
        <v>1449</v>
      </c>
      <c r="C2615" s="47" t="s">
        <v>65</v>
      </c>
      <c r="D2615" s="332">
        <v>905.19</v>
      </c>
    </row>
    <row r="2616" spans="1:4" ht="45">
      <c r="A2616" s="28">
        <v>72284</v>
      </c>
      <c r="B2616" s="26" t="s">
        <v>1450</v>
      </c>
      <c r="C2616" s="28" t="s">
        <v>65</v>
      </c>
      <c r="D2616" s="329">
        <v>1036.4100000000001</v>
      </c>
    </row>
    <row r="2617" spans="1:4">
      <c r="A2617" s="47">
        <v>72287</v>
      </c>
      <c r="B2617" s="48" t="s">
        <v>666</v>
      </c>
      <c r="C2617" s="47" t="s">
        <v>65</v>
      </c>
      <c r="D2617" s="332">
        <v>206.8</v>
      </c>
    </row>
    <row r="2618" spans="1:4">
      <c r="A2618" s="28">
        <v>72288</v>
      </c>
      <c r="B2618" s="26" t="s">
        <v>667</v>
      </c>
      <c r="C2618" s="28" t="s">
        <v>65</v>
      </c>
      <c r="D2618" s="329">
        <v>258.81</v>
      </c>
    </row>
    <row r="2619" spans="1:4">
      <c r="A2619" s="47">
        <v>72553</v>
      </c>
      <c r="B2619" s="48" t="s">
        <v>5445</v>
      </c>
      <c r="C2619" s="47" t="s">
        <v>65</v>
      </c>
      <c r="D2619" s="332">
        <v>135.75</v>
      </c>
    </row>
    <row r="2620" spans="1:4">
      <c r="A2620" s="28">
        <v>72554</v>
      </c>
      <c r="B2620" s="26" t="s">
        <v>5437</v>
      </c>
      <c r="C2620" s="28" t="s">
        <v>65</v>
      </c>
      <c r="D2620" s="329">
        <v>458.82</v>
      </c>
    </row>
    <row r="2621" spans="1:4">
      <c r="A2621" s="47" t="s">
        <v>668</v>
      </c>
      <c r="B2621" s="48" t="s">
        <v>5448</v>
      </c>
      <c r="C2621" s="47" t="s">
        <v>65</v>
      </c>
      <c r="D2621" s="332">
        <v>141.18</v>
      </c>
    </row>
    <row r="2622" spans="1:4" ht="30">
      <c r="A2622" s="28" t="s">
        <v>669</v>
      </c>
      <c r="B2622" s="26" t="s">
        <v>5446</v>
      </c>
      <c r="C2622" s="28" t="s">
        <v>65</v>
      </c>
      <c r="D2622" s="329">
        <v>145.5</v>
      </c>
    </row>
    <row r="2623" spans="1:4">
      <c r="A2623" s="47">
        <v>83633</v>
      </c>
      <c r="B2623" s="48" t="s">
        <v>6000</v>
      </c>
      <c r="C2623" s="47" t="s">
        <v>65</v>
      </c>
      <c r="D2623" s="332">
        <v>1715.43</v>
      </c>
    </row>
    <row r="2624" spans="1:4">
      <c r="A2624" s="28">
        <v>83634</v>
      </c>
      <c r="B2624" s="26" t="s">
        <v>5447</v>
      </c>
      <c r="C2624" s="28" t="s">
        <v>65</v>
      </c>
      <c r="D2624" s="329">
        <v>429.64</v>
      </c>
    </row>
    <row r="2625" spans="1:4">
      <c r="A2625" s="47">
        <v>83635</v>
      </c>
      <c r="B2625" s="48" t="s">
        <v>5449</v>
      </c>
      <c r="C2625" s="47" t="s">
        <v>65</v>
      </c>
      <c r="D2625" s="332">
        <v>164.25</v>
      </c>
    </row>
    <row r="2626" spans="1:4">
      <c r="A2626" s="28">
        <v>72337</v>
      </c>
      <c r="B2626" s="26" t="s">
        <v>9757</v>
      </c>
      <c r="C2626" s="28" t="s">
        <v>65</v>
      </c>
      <c r="D2626" s="329">
        <v>19.84</v>
      </c>
    </row>
    <row r="2627" spans="1:4">
      <c r="A2627" s="47">
        <v>73688</v>
      </c>
      <c r="B2627" s="48" t="s">
        <v>3009</v>
      </c>
      <c r="C2627" s="47" t="s">
        <v>71</v>
      </c>
      <c r="D2627" s="332">
        <v>15.45</v>
      </c>
    </row>
    <row r="2628" spans="1:4">
      <c r="A2628" s="28">
        <v>73689</v>
      </c>
      <c r="B2628" s="26" t="s">
        <v>3008</v>
      </c>
      <c r="C2628" s="28" t="s">
        <v>71</v>
      </c>
      <c r="D2628" s="329">
        <v>11.1</v>
      </c>
    </row>
    <row r="2629" spans="1:4">
      <c r="A2629" s="47">
        <v>73690</v>
      </c>
      <c r="B2629" s="48" t="s">
        <v>3007</v>
      </c>
      <c r="C2629" s="47" t="s">
        <v>71</v>
      </c>
      <c r="D2629" s="332">
        <v>7.16</v>
      </c>
    </row>
    <row r="2630" spans="1:4" ht="30">
      <c r="A2630" s="28" t="s">
        <v>670</v>
      </c>
      <c r="B2630" s="26" t="s">
        <v>3094</v>
      </c>
      <c r="C2630" s="28" t="s">
        <v>65</v>
      </c>
      <c r="D2630" s="329">
        <v>158.04</v>
      </c>
    </row>
    <row r="2631" spans="1:4" ht="30">
      <c r="A2631" s="47" t="s">
        <v>671</v>
      </c>
      <c r="B2631" s="48" t="s">
        <v>3095</v>
      </c>
      <c r="C2631" s="47" t="s">
        <v>65</v>
      </c>
      <c r="D2631" s="332">
        <v>288.02999999999997</v>
      </c>
    </row>
    <row r="2632" spans="1:4" ht="30">
      <c r="A2632" s="28" t="s">
        <v>672</v>
      </c>
      <c r="B2632" s="26" t="s">
        <v>3096</v>
      </c>
      <c r="C2632" s="28" t="s">
        <v>65</v>
      </c>
      <c r="D2632" s="329">
        <v>938.48</v>
      </c>
    </row>
    <row r="2633" spans="1:4">
      <c r="A2633" s="47" t="s">
        <v>673</v>
      </c>
      <c r="B2633" s="48" t="s">
        <v>5579</v>
      </c>
      <c r="C2633" s="47" t="s">
        <v>71</v>
      </c>
      <c r="D2633" s="332">
        <v>1.25</v>
      </c>
    </row>
    <row r="2634" spans="1:4" ht="30">
      <c r="A2634" s="28" t="s">
        <v>674</v>
      </c>
      <c r="B2634" s="26" t="s">
        <v>3010</v>
      </c>
      <c r="C2634" s="28" t="s">
        <v>71</v>
      </c>
      <c r="D2634" s="329">
        <v>1.85</v>
      </c>
    </row>
    <row r="2635" spans="1:4">
      <c r="A2635" s="47" t="s">
        <v>675</v>
      </c>
      <c r="B2635" s="48" t="s">
        <v>2996</v>
      </c>
      <c r="C2635" s="47" t="s">
        <v>71</v>
      </c>
      <c r="D2635" s="332">
        <v>5.15</v>
      </c>
    </row>
    <row r="2636" spans="1:4">
      <c r="A2636" s="28" t="s">
        <v>676</v>
      </c>
      <c r="B2636" s="26" t="s">
        <v>2998</v>
      </c>
      <c r="C2636" s="28" t="s">
        <v>71</v>
      </c>
      <c r="D2636" s="329">
        <v>8.66</v>
      </c>
    </row>
    <row r="2637" spans="1:4">
      <c r="A2637" s="47" t="s">
        <v>677</v>
      </c>
      <c r="B2637" s="48" t="s">
        <v>2999</v>
      </c>
      <c r="C2637" s="47" t="s">
        <v>71</v>
      </c>
      <c r="D2637" s="332">
        <v>11.36</v>
      </c>
    </row>
    <row r="2638" spans="1:4">
      <c r="A2638" s="28" t="s">
        <v>678</v>
      </c>
      <c r="B2638" s="26" t="s">
        <v>3000</v>
      </c>
      <c r="C2638" s="28" t="s">
        <v>71</v>
      </c>
      <c r="D2638" s="329">
        <v>18.96</v>
      </c>
    </row>
    <row r="2639" spans="1:4">
      <c r="A2639" s="47" t="s">
        <v>679</v>
      </c>
      <c r="B2639" s="48" t="s">
        <v>3001</v>
      </c>
      <c r="C2639" s="47" t="s">
        <v>71</v>
      </c>
      <c r="D2639" s="332">
        <v>29.73</v>
      </c>
    </row>
    <row r="2640" spans="1:4">
      <c r="A2640" s="28" t="s">
        <v>680</v>
      </c>
      <c r="B2640" s="26" t="s">
        <v>2997</v>
      </c>
      <c r="C2640" s="28" t="s">
        <v>71</v>
      </c>
      <c r="D2640" s="329">
        <v>70.489999999999995</v>
      </c>
    </row>
    <row r="2641" spans="1:4">
      <c r="A2641" s="47" t="s">
        <v>681</v>
      </c>
      <c r="B2641" s="48" t="s">
        <v>2984</v>
      </c>
      <c r="C2641" s="47" t="s">
        <v>71</v>
      </c>
      <c r="D2641" s="332">
        <v>0.9</v>
      </c>
    </row>
    <row r="2642" spans="1:4">
      <c r="A2642" s="28" t="s">
        <v>682</v>
      </c>
      <c r="B2642" s="26" t="s">
        <v>2985</v>
      </c>
      <c r="C2642" s="28" t="s">
        <v>71</v>
      </c>
      <c r="D2642" s="329">
        <v>1.1499999999999999</v>
      </c>
    </row>
    <row r="2643" spans="1:4">
      <c r="A2643" s="47" t="s">
        <v>683</v>
      </c>
      <c r="B2643" s="48" t="s">
        <v>2986</v>
      </c>
      <c r="C2643" s="47" t="s">
        <v>71</v>
      </c>
      <c r="D2643" s="332">
        <v>1.46</v>
      </c>
    </row>
    <row r="2644" spans="1:4">
      <c r="A2644" s="28" t="s">
        <v>684</v>
      </c>
      <c r="B2644" s="26" t="s">
        <v>2987</v>
      </c>
      <c r="C2644" s="28" t="s">
        <v>71</v>
      </c>
      <c r="D2644" s="329">
        <v>1.99</v>
      </c>
    </row>
    <row r="2645" spans="1:4">
      <c r="A2645" s="47" t="s">
        <v>685</v>
      </c>
      <c r="B2645" s="48" t="s">
        <v>2988</v>
      </c>
      <c r="C2645" s="47" t="s">
        <v>71</v>
      </c>
      <c r="D2645" s="332">
        <v>2.67</v>
      </c>
    </row>
    <row r="2646" spans="1:4">
      <c r="A2646" s="28" t="s">
        <v>686</v>
      </c>
      <c r="B2646" s="26" t="s">
        <v>2989</v>
      </c>
      <c r="C2646" s="28" t="s">
        <v>71</v>
      </c>
      <c r="D2646" s="329">
        <v>3.47</v>
      </c>
    </row>
    <row r="2647" spans="1:4" ht="30">
      <c r="A2647" s="47">
        <v>83366</v>
      </c>
      <c r="B2647" s="48" t="s">
        <v>3085</v>
      </c>
      <c r="C2647" s="47" t="s">
        <v>65</v>
      </c>
      <c r="D2647" s="332">
        <v>46.81</v>
      </c>
    </row>
    <row r="2648" spans="1:4" ht="30">
      <c r="A2648" s="28">
        <v>83367</v>
      </c>
      <c r="B2648" s="26" t="s">
        <v>3087</v>
      </c>
      <c r="C2648" s="28" t="s">
        <v>65</v>
      </c>
      <c r="D2648" s="329">
        <v>303.37</v>
      </c>
    </row>
    <row r="2649" spans="1:4" ht="30">
      <c r="A2649" s="47">
        <v>83368</v>
      </c>
      <c r="B2649" s="48" t="s">
        <v>3086</v>
      </c>
      <c r="C2649" s="47" t="s">
        <v>65</v>
      </c>
      <c r="D2649" s="332">
        <v>843.47</v>
      </c>
    </row>
    <row r="2650" spans="1:4" ht="30">
      <c r="A2650" s="28">
        <v>83369</v>
      </c>
      <c r="B2650" s="26" t="s">
        <v>8506</v>
      </c>
      <c r="C2650" s="28" t="s">
        <v>65</v>
      </c>
      <c r="D2650" s="329">
        <v>203.92</v>
      </c>
    </row>
    <row r="2651" spans="1:4" ht="30">
      <c r="A2651" s="47">
        <v>83370</v>
      </c>
      <c r="B2651" s="48" t="s">
        <v>8505</v>
      </c>
      <c r="C2651" s="47" t="s">
        <v>65</v>
      </c>
      <c r="D2651" s="332">
        <v>131.71</v>
      </c>
    </row>
    <row r="2652" spans="1:4" ht="30">
      <c r="A2652" s="28">
        <v>83371</v>
      </c>
      <c r="B2652" s="26" t="s">
        <v>8504</v>
      </c>
      <c r="C2652" s="28" t="s">
        <v>65</v>
      </c>
      <c r="D2652" s="329">
        <v>82.21</v>
      </c>
    </row>
    <row r="2653" spans="1:4">
      <c r="A2653" s="47">
        <v>83639</v>
      </c>
      <c r="B2653" s="48" t="s">
        <v>3002</v>
      </c>
      <c r="C2653" s="47" t="s">
        <v>71</v>
      </c>
      <c r="D2653" s="332">
        <v>36.4</v>
      </c>
    </row>
    <row r="2654" spans="1:4" ht="30">
      <c r="A2654" s="28">
        <v>84676</v>
      </c>
      <c r="B2654" s="26" t="s">
        <v>8507</v>
      </c>
      <c r="C2654" s="28" t="s">
        <v>65</v>
      </c>
      <c r="D2654" s="329">
        <v>282.02999999999997</v>
      </c>
    </row>
    <row r="2655" spans="1:4">
      <c r="A2655" s="47">
        <v>84796</v>
      </c>
      <c r="B2655" s="48" t="s">
        <v>9145</v>
      </c>
      <c r="C2655" s="47" t="s">
        <v>65</v>
      </c>
      <c r="D2655" s="332">
        <v>485.91</v>
      </c>
    </row>
    <row r="2656" spans="1:4">
      <c r="A2656" s="28">
        <v>84798</v>
      </c>
      <c r="B2656" s="26" t="s">
        <v>9144</v>
      </c>
      <c r="C2656" s="28" t="s">
        <v>65</v>
      </c>
      <c r="D2656" s="329">
        <v>215.66</v>
      </c>
    </row>
    <row r="2657" spans="1:4">
      <c r="A2657" s="47">
        <v>83636</v>
      </c>
      <c r="B2657" s="48" t="s">
        <v>4844</v>
      </c>
      <c r="C2657" s="47" t="s">
        <v>256</v>
      </c>
      <c r="D2657" s="332">
        <v>50.96</v>
      </c>
    </row>
    <row r="2658" spans="1:4">
      <c r="A2658" s="28">
        <v>83637</v>
      </c>
      <c r="B2658" s="26" t="s">
        <v>4843</v>
      </c>
      <c r="C2658" s="28" t="s">
        <v>256</v>
      </c>
      <c r="D2658" s="329">
        <v>82.97</v>
      </c>
    </row>
    <row r="2659" spans="1:4" ht="30">
      <c r="A2659" s="47" t="s">
        <v>687</v>
      </c>
      <c r="B2659" s="48" t="s">
        <v>6106</v>
      </c>
      <c r="C2659" s="47" t="s">
        <v>65</v>
      </c>
      <c r="D2659" s="332">
        <v>4781.37</v>
      </c>
    </row>
    <row r="2660" spans="1:4">
      <c r="A2660" s="28">
        <v>85120</v>
      </c>
      <c r="B2660" s="26" t="s">
        <v>7240</v>
      </c>
      <c r="C2660" s="28" t="s">
        <v>65</v>
      </c>
      <c r="D2660" s="329">
        <v>54.19</v>
      </c>
    </row>
    <row r="2661" spans="1:4">
      <c r="A2661" s="47">
        <v>83486</v>
      </c>
      <c r="B2661" s="48" t="s">
        <v>2628</v>
      </c>
      <c r="C2661" s="47" t="s">
        <v>65</v>
      </c>
      <c r="D2661" s="332">
        <v>1139.8800000000001</v>
      </c>
    </row>
    <row r="2662" spans="1:4" ht="45">
      <c r="A2662" s="28">
        <v>83643</v>
      </c>
      <c r="B2662" s="26" t="s">
        <v>2682</v>
      </c>
      <c r="C2662" s="28" t="s">
        <v>65</v>
      </c>
      <c r="D2662" s="329">
        <v>2955.55</v>
      </c>
    </row>
    <row r="2663" spans="1:4">
      <c r="A2663" s="47">
        <v>83644</v>
      </c>
      <c r="B2663" s="48" t="s">
        <v>2667</v>
      </c>
      <c r="C2663" s="47" t="s">
        <v>65</v>
      </c>
      <c r="D2663" s="332">
        <v>4939.32</v>
      </c>
    </row>
    <row r="2664" spans="1:4">
      <c r="A2664" s="28">
        <v>83645</v>
      </c>
      <c r="B2664" s="26" t="s">
        <v>2668</v>
      </c>
      <c r="C2664" s="28" t="s">
        <v>65</v>
      </c>
      <c r="D2664" s="329">
        <v>1549.09</v>
      </c>
    </row>
    <row r="2665" spans="1:4">
      <c r="A2665" s="47">
        <v>83646</v>
      </c>
      <c r="B2665" s="48" t="s">
        <v>2662</v>
      </c>
      <c r="C2665" s="47" t="s">
        <v>65</v>
      </c>
      <c r="D2665" s="332">
        <v>1803.09</v>
      </c>
    </row>
    <row r="2666" spans="1:4">
      <c r="A2666" s="28">
        <v>83647</v>
      </c>
      <c r="B2666" s="26" t="s">
        <v>2666</v>
      </c>
      <c r="C2666" s="28" t="s">
        <v>65</v>
      </c>
      <c r="D2666" s="329">
        <v>1168.97</v>
      </c>
    </row>
    <row r="2667" spans="1:4">
      <c r="A2667" s="47">
        <v>83648</v>
      </c>
      <c r="B2667" s="48" t="s">
        <v>2665</v>
      </c>
      <c r="C2667" s="47" t="s">
        <v>65</v>
      </c>
      <c r="D2667" s="332">
        <v>739.53</v>
      </c>
    </row>
    <row r="2668" spans="1:4">
      <c r="A2668" s="28">
        <v>83649</v>
      </c>
      <c r="B2668" s="26" t="s">
        <v>2664</v>
      </c>
      <c r="C2668" s="28" t="s">
        <v>65</v>
      </c>
      <c r="D2668" s="329">
        <v>4434.71</v>
      </c>
    </row>
    <row r="2669" spans="1:4">
      <c r="A2669" s="47">
        <v>83650</v>
      </c>
      <c r="B2669" s="48" t="s">
        <v>2663</v>
      </c>
      <c r="C2669" s="47" t="s">
        <v>65</v>
      </c>
      <c r="D2669" s="332">
        <v>3674.47</v>
      </c>
    </row>
    <row r="2670" spans="1:4" ht="30">
      <c r="A2670" s="28" t="s">
        <v>688</v>
      </c>
      <c r="B2670" s="26" t="s">
        <v>10241</v>
      </c>
      <c r="C2670" s="28" t="s">
        <v>71</v>
      </c>
      <c r="D2670" s="329">
        <v>54.69</v>
      </c>
    </row>
    <row r="2671" spans="1:4" ht="30">
      <c r="A2671" s="47" t="s">
        <v>689</v>
      </c>
      <c r="B2671" s="48" t="s">
        <v>10242</v>
      </c>
      <c r="C2671" s="47" t="s">
        <v>71</v>
      </c>
      <c r="D2671" s="332">
        <v>174.78</v>
      </c>
    </row>
    <row r="2672" spans="1:4" ht="30">
      <c r="A2672" s="28" t="s">
        <v>690</v>
      </c>
      <c r="B2672" s="26" t="s">
        <v>10243</v>
      </c>
      <c r="C2672" s="28" t="s">
        <v>71</v>
      </c>
      <c r="D2672" s="329">
        <v>255.64</v>
      </c>
    </row>
    <row r="2673" spans="1:4" ht="30">
      <c r="A2673" s="47" t="s">
        <v>691</v>
      </c>
      <c r="B2673" s="48" t="s">
        <v>10263</v>
      </c>
      <c r="C2673" s="47" t="s">
        <v>71</v>
      </c>
      <c r="D2673" s="332">
        <v>225.31</v>
      </c>
    </row>
    <row r="2674" spans="1:4" ht="30">
      <c r="A2674" s="28" t="s">
        <v>692</v>
      </c>
      <c r="B2674" s="26" t="s">
        <v>10264</v>
      </c>
      <c r="C2674" s="28" t="s">
        <v>71</v>
      </c>
      <c r="D2674" s="329">
        <v>360.06</v>
      </c>
    </row>
    <row r="2675" spans="1:4" ht="30">
      <c r="A2675" s="47">
        <v>89355</v>
      </c>
      <c r="B2675" s="48" t="s">
        <v>10532</v>
      </c>
      <c r="C2675" s="47" t="s">
        <v>71</v>
      </c>
      <c r="D2675" s="332">
        <v>12.44</v>
      </c>
    </row>
    <row r="2676" spans="1:4" ht="30">
      <c r="A2676" s="28">
        <v>89356</v>
      </c>
      <c r="B2676" s="26" t="s">
        <v>10536</v>
      </c>
      <c r="C2676" s="28" t="s">
        <v>71</v>
      </c>
      <c r="D2676" s="329">
        <v>14.85</v>
      </c>
    </row>
    <row r="2677" spans="1:4" ht="30">
      <c r="A2677" s="47">
        <v>89357</v>
      </c>
      <c r="B2677" s="48" t="s">
        <v>10540</v>
      </c>
      <c r="C2677" s="47" t="s">
        <v>71</v>
      </c>
      <c r="D2677" s="332">
        <v>21.01</v>
      </c>
    </row>
    <row r="2678" spans="1:4" ht="30">
      <c r="A2678" s="28">
        <v>89401</v>
      </c>
      <c r="B2678" s="26" t="s">
        <v>10531</v>
      </c>
      <c r="C2678" s="28" t="s">
        <v>71</v>
      </c>
      <c r="D2678" s="329">
        <v>5.6</v>
      </c>
    </row>
    <row r="2679" spans="1:4" ht="30">
      <c r="A2679" s="47">
        <v>89402</v>
      </c>
      <c r="B2679" s="48" t="s">
        <v>10535</v>
      </c>
      <c r="C2679" s="47" t="s">
        <v>71</v>
      </c>
      <c r="D2679" s="332">
        <v>6.96</v>
      </c>
    </row>
    <row r="2680" spans="1:4" ht="30">
      <c r="A2680" s="28">
        <v>89403</v>
      </c>
      <c r="B2680" s="26" t="s">
        <v>10539</v>
      </c>
      <c r="C2680" s="28" t="s">
        <v>71</v>
      </c>
      <c r="D2680" s="329">
        <v>11.57</v>
      </c>
    </row>
    <row r="2681" spans="1:4" ht="30">
      <c r="A2681" s="47">
        <v>89446</v>
      </c>
      <c r="B2681" s="48" t="s">
        <v>10534</v>
      </c>
      <c r="C2681" s="47" t="s">
        <v>71</v>
      </c>
      <c r="D2681" s="332">
        <v>3.96</v>
      </c>
    </row>
    <row r="2682" spans="1:4" ht="30">
      <c r="A2682" s="28">
        <v>89447</v>
      </c>
      <c r="B2682" s="26" t="s">
        <v>10538</v>
      </c>
      <c r="C2682" s="28" t="s">
        <v>71</v>
      </c>
      <c r="D2682" s="329">
        <v>8.0500000000000007</v>
      </c>
    </row>
    <row r="2683" spans="1:4" ht="30">
      <c r="A2683" s="47">
        <v>89448</v>
      </c>
      <c r="B2683" s="48" t="s">
        <v>10542</v>
      </c>
      <c r="C2683" s="47" t="s">
        <v>71</v>
      </c>
      <c r="D2683" s="332">
        <v>11.58</v>
      </c>
    </row>
    <row r="2684" spans="1:4" ht="30">
      <c r="A2684" s="28">
        <v>89449</v>
      </c>
      <c r="B2684" s="26" t="s">
        <v>10544</v>
      </c>
      <c r="C2684" s="28" t="s">
        <v>71</v>
      </c>
      <c r="D2684" s="329">
        <v>14.34</v>
      </c>
    </row>
    <row r="2685" spans="1:4" ht="30">
      <c r="A2685" s="47">
        <v>89450</v>
      </c>
      <c r="B2685" s="48" t="s">
        <v>10546</v>
      </c>
      <c r="C2685" s="47" t="s">
        <v>71</v>
      </c>
      <c r="D2685" s="332">
        <v>22</v>
      </c>
    </row>
    <row r="2686" spans="1:4" ht="30">
      <c r="A2686" s="28">
        <v>89451</v>
      </c>
      <c r="B2686" s="26" t="s">
        <v>10548</v>
      </c>
      <c r="C2686" s="28" t="s">
        <v>71</v>
      </c>
      <c r="D2686" s="329">
        <v>30.69</v>
      </c>
    </row>
    <row r="2687" spans="1:4" ht="30">
      <c r="A2687" s="47">
        <v>89452</v>
      </c>
      <c r="B2687" s="48" t="s">
        <v>10550</v>
      </c>
      <c r="C2687" s="47" t="s">
        <v>71</v>
      </c>
      <c r="D2687" s="332">
        <v>38.5</v>
      </c>
    </row>
    <row r="2688" spans="1:4" ht="30">
      <c r="A2688" s="28">
        <v>89508</v>
      </c>
      <c r="B2688" s="26" t="s">
        <v>10496</v>
      </c>
      <c r="C2688" s="28" t="s">
        <v>71</v>
      </c>
      <c r="D2688" s="329">
        <v>11.95</v>
      </c>
    </row>
    <row r="2689" spans="1:4" ht="30">
      <c r="A2689" s="47">
        <v>89509</v>
      </c>
      <c r="B2689" s="48" t="s">
        <v>10497</v>
      </c>
      <c r="C2689" s="47" t="s">
        <v>71</v>
      </c>
      <c r="D2689" s="332">
        <v>16.59</v>
      </c>
    </row>
    <row r="2690" spans="1:4" ht="30">
      <c r="A2690" s="28">
        <v>89511</v>
      </c>
      <c r="B2690" s="26" t="s">
        <v>10499</v>
      </c>
      <c r="C2690" s="28" t="s">
        <v>71</v>
      </c>
      <c r="D2690" s="329">
        <v>24.63</v>
      </c>
    </row>
    <row r="2691" spans="1:4" ht="30">
      <c r="A2691" s="47">
        <v>89512</v>
      </c>
      <c r="B2691" s="48" t="s">
        <v>10494</v>
      </c>
      <c r="C2691" s="47" t="s">
        <v>71</v>
      </c>
      <c r="D2691" s="332">
        <v>38.020000000000003</v>
      </c>
    </row>
    <row r="2692" spans="1:4" ht="30">
      <c r="A2692" s="28">
        <v>89576</v>
      </c>
      <c r="B2692" s="26" t="s">
        <v>10498</v>
      </c>
      <c r="C2692" s="28" t="s">
        <v>71</v>
      </c>
      <c r="D2692" s="329">
        <v>13.48</v>
      </c>
    </row>
    <row r="2693" spans="1:4" ht="30">
      <c r="A2693" s="47">
        <v>89578</v>
      </c>
      <c r="B2693" s="48" t="s">
        <v>10493</v>
      </c>
      <c r="C2693" s="47" t="s">
        <v>71</v>
      </c>
      <c r="D2693" s="332">
        <v>22.74</v>
      </c>
    </row>
    <row r="2694" spans="1:4" ht="30">
      <c r="A2694" s="28">
        <v>89580</v>
      </c>
      <c r="B2694" s="26" t="s">
        <v>10495</v>
      </c>
      <c r="C2694" s="28" t="s">
        <v>71</v>
      </c>
      <c r="D2694" s="329">
        <v>45.06</v>
      </c>
    </row>
    <row r="2695" spans="1:4" ht="30">
      <c r="A2695" s="47">
        <v>89633</v>
      </c>
      <c r="B2695" s="48" t="s">
        <v>10509</v>
      </c>
      <c r="C2695" s="47" t="s">
        <v>71</v>
      </c>
      <c r="D2695" s="332">
        <v>17.36</v>
      </c>
    </row>
    <row r="2696" spans="1:4" ht="30">
      <c r="A2696" s="28">
        <v>89634</v>
      </c>
      <c r="B2696" s="26" t="s">
        <v>10513</v>
      </c>
      <c r="C2696" s="28" t="s">
        <v>71</v>
      </c>
      <c r="D2696" s="329">
        <v>26.66</v>
      </c>
    </row>
    <row r="2697" spans="1:4" ht="30">
      <c r="A2697" s="47">
        <v>89635</v>
      </c>
      <c r="B2697" s="48" t="s">
        <v>10516</v>
      </c>
      <c r="C2697" s="47" t="s">
        <v>71</v>
      </c>
      <c r="D2697" s="332">
        <v>38.409999999999997</v>
      </c>
    </row>
    <row r="2698" spans="1:4" ht="30">
      <c r="A2698" s="28">
        <v>89636</v>
      </c>
      <c r="B2698" s="26" t="s">
        <v>10520</v>
      </c>
      <c r="C2698" s="28" t="s">
        <v>71</v>
      </c>
      <c r="D2698" s="329">
        <v>46.83</v>
      </c>
    </row>
    <row r="2699" spans="1:4" ht="30">
      <c r="A2699" s="47">
        <v>89711</v>
      </c>
      <c r="B2699" s="48" t="s">
        <v>10488</v>
      </c>
      <c r="C2699" s="47" t="s">
        <v>71</v>
      </c>
      <c r="D2699" s="332">
        <v>12.83</v>
      </c>
    </row>
    <row r="2700" spans="1:4" ht="30">
      <c r="A2700" s="28">
        <v>89712</v>
      </c>
      <c r="B2700" s="26" t="s">
        <v>10490</v>
      </c>
      <c r="C2700" s="28" t="s">
        <v>71</v>
      </c>
      <c r="D2700" s="329">
        <v>19.21</v>
      </c>
    </row>
    <row r="2701" spans="1:4" ht="30">
      <c r="A2701" s="47">
        <v>89713</v>
      </c>
      <c r="B2701" s="48" t="s">
        <v>10492</v>
      </c>
      <c r="C2701" s="47" t="s">
        <v>71</v>
      </c>
      <c r="D2701" s="332">
        <v>28.72</v>
      </c>
    </row>
    <row r="2702" spans="1:4" ht="30">
      <c r="A2702" s="28">
        <v>89714</v>
      </c>
      <c r="B2702" s="26" t="s">
        <v>10485</v>
      </c>
      <c r="C2702" s="28" t="s">
        <v>71</v>
      </c>
      <c r="D2702" s="329">
        <v>36.99</v>
      </c>
    </row>
    <row r="2703" spans="1:4" ht="30">
      <c r="A2703" s="47">
        <v>89716</v>
      </c>
      <c r="B2703" s="48" t="s">
        <v>10512</v>
      </c>
      <c r="C2703" s="47" t="s">
        <v>71</v>
      </c>
      <c r="D2703" s="332">
        <v>19.489999999999998</v>
      </c>
    </row>
    <row r="2704" spans="1:4" ht="30">
      <c r="A2704" s="28">
        <v>89717</v>
      </c>
      <c r="B2704" s="26" t="s">
        <v>10515</v>
      </c>
      <c r="C2704" s="28" t="s">
        <v>71</v>
      </c>
      <c r="D2704" s="329">
        <v>29.97</v>
      </c>
    </row>
    <row r="2705" spans="1:4" ht="30">
      <c r="A2705" s="47">
        <v>89770</v>
      </c>
      <c r="B2705" s="48" t="s">
        <v>10518</v>
      </c>
      <c r="C2705" s="47" t="s">
        <v>71</v>
      </c>
      <c r="D2705" s="332">
        <v>33.159999999999997</v>
      </c>
    </row>
    <row r="2706" spans="1:4" ht="30">
      <c r="A2706" s="28">
        <v>89771</v>
      </c>
      <c r="B2706" s="26" t="s">
        <v>10522</v>
      </c>
      <c r="C2706" s="28" t="s">
        <v>71</v>
      </c>
      <c r="D2706" s="329">
        <v>45.33</v>
      </c>
    </row>
    <row r="2707" spans="1:4" ht="30">
      <c r="A2707" s="47">
        <v>89773</v>
      </c>
      <c r="B2707" s="48" t="s">
        <v>10526</v>
      </c>
      <c r="C2707" s="47" t="s">
        <v>71</v>
      </c>
      <c r="D2707" s="332">
        <v>105.62</v>
      </c>
    </row>
    <row r="2708" spans="1:4" ht="30">
      <c r="A2708" s="28">
        <v>89775</v>
      </c>
      <c r="B2708" s="26" t="s">
        <v>10528</v>
      </c>
      <c r="C2708" s="28" t="s">
        <v>71</v>
      </c>
      <c r="D2708" s="329">
        <v>166.88</v>
      </c>
    </row>
    <row r="2709" spans="1:4" ht="30">
      <c r="A2709" s="47">
        <v>89798</v>
      </c>
      <c r="B2709" s="48" t="s">
        <v>10489</v>
      </c>
      <c r="C2709" s="47" t="s">
        <v>71</v>
      </c>
      <c r="D2709" s="332">
        <v>8.1</v>
      </c>
    </row>
    <row r="2710" spans="1:4" ht="30">
      <c r="A2710" s="28">
        <v>89799</v>
      </c>
      <c r="B2710" s="26" t="s">
        <v>10491</v>
      </c>
      <c r="C2710" s="28" t="s">
        <v>71</v>
      </c>
      <c r="D2710" s="329">
        <v>12.72</v>
      </c>
    </row>
    <row r="2711" spans="1:4" ht="30">
      <c r="A2711" s="47">
        <v>89800</v>
      </c>
      <c r="B2711" s="48" t="s">
        <v>10484</v>
      </c>
      <c r="C2711" s="47" t="s">
        <v>71</v>
      </c>
      <c r="D2711" s="332">
        <v>15.9</v>
      </c>
    </row>
    <row r="2712" spans="1:4" ht="30">
      <c r="A2712" s="28">
        <v>89848</v>
      </c>
      <c r="B2712" s="26" t="s">
        <v>10486</v>
      </c>
      <c r="C2712" s="28" t="s">
        <v>71</v>
      </c>
      <c r="D2712" s="329">
        <v>19.57</v>
      </c>
    </row>
    <row r="2713" spans="1:4" ht="30">
      <c r="A2713" s="47">
        <v>89849</v>
      </c>
      <c r="B2713" s="48" t="s">
        <v>10487</v>
      </c>
      <c r="C2713" s="47" t="s">
        <v>71</v>
      </c>
      <c r="D2713" s="332">
        <v>36.07</v>
      </c>
    </row>
    <row r="2714" spans="1:4" ht="30">
      <c r="A2714" s="28">
        <v>89865</v>
      </c>
      <c r="B2714" s="26" t="s">
        <v>10533</v>
      </c>
      <c r="C2714" s="28" t="s">
        <v>71</v>
      </c>
      <c r="D2714" s="329">
        <v>9.2899999999999991</v>
      </c>
    </row>
    <row r="2715" spans="1:4" ht="45">
      <c r="A2715" s="47">
        <v>91784</v>
      </c>
      <c r="B2715" s="48" t="s">
        <v>11035</v>
      </c>
      <c r="C2715" s="47" t="s">
        <v>71</v>
      </c>
      <c r="D2715" s="332">
        <v>29.82</v>
      </c>
    </row>
    <row r="2716" spans="1:4" ht="60">
      <c r="A2716" s="28">
        <v>91785</v>
      </c>
      <c r="B2716" s="26" t="s">
        <v>11036</v>
      </c>
      <c r="C2716" s="28" t="s">
        <v>71</v>
      </c>
      <c r="D2716" s="329">
        <v>29.4</v>
      </c>
    </row>
    <row r="2717" spans="1:4" ht="45">
      <c r="A2717" s="47">
        <v>91786</v>
      </c>
      <c r="B2717" s="48" t="s">
        <v>11037</v>
      </c>
      <c r="C2717" s="47" t="s">
        <v>71</v>
      </c>
      <c r="D2717" s="332">
        <v>20.440000000000001</v>
      </c>
    </row>
    <row r="2718" spans="1:4" ht="45">
      <c r="A2718" s="28">
        <v>91787</v>
      </c>
      <c r="B2718" s="26" t="s">
        <v>11038</v>
      </c>
      <c r="C2718" s="28" t="s">
        <v>71</v>
      </c>
      <c r="D2718" s="329">
        <v>22.82</v>
      </c>
    </row>
    <row r="2719" spans="1:4" ht="45">
      <c r="A2719" s="47">
        <v>91788</v>
      </c>
      <c r="B2719" s="48" t="s">
        <v>11039</v>
      </c>
      <c r="C2719" s="47" t="s">
        <v>71</v>
      </c>
      <c r="D2719" s="332">
        <v>30.66</v>
      </c>
    </row>
    <row r="2720" spans="1:4" ht="60">
      <c r="A2720" s="28">
        <v>91789</v>
      </c>
      <c r="B2720" s="26" t="s">
        <v>11040</v>
      </c>
      <c r="C2720" s="28" t="s">
        <v>71</v>
      </c>
      <c r="D2720" s="329">
        <v>28.24</v>
      </c>
    </row>
    <row r="2721" spans="1:4" ht="60">
      <c r="A2721" s="47">
        <v>91790</v>
      </c>
      <c r="B2721" s="48" t="s">
        <v>11041</v>
      </c>
      <c r="C2721" s="47" t="s">
        <v>71</v>
      </c>
      <c r="D2721" s="332">
        <v>40.729999999999997</v>
      </c>
    </row>
    <row r="2722" spans="1:4" ht="45">
      <c r="A2722" s="28">
        <v>91791</v>
      </c>
      <c r="B2722" s="26" t="s">
        <v>11042</v>
      </c>
      <c r="C2722" s="28" t="s">
        <v>71</v>
      </c>
      <c r="D2722" s="329">
        <v>49.21</v>
      </c>
    </row>
    <row r="2723" spans="1:4" ht="60">
      <c r="A2723" s="47">
        <v>91792</v>
      </c>
      <c r="B2723" s="48" t="s">
        <v>11043</v>
      </c>
      <c r="C2723" s="47" t="s">
        <v>71</v>
      </c>
      <c r="D2723" s="332">
        <v>38.03</v>
      </c>
    </row>
    <row r="2724" spans="1:4" ht="60">
      <c r="A2724" s="28">
        <v>91793</v>
      </c>
      <c r="B2724" s="26" t="s">
        <v>11044</v>
      </c>
      <c r="C2724" s="28" t="s">
        <v>71</v>
      </c>
      <c r="D2724" s="329">
        <v>57.91</v>
      </c>
    </row>
    <row r="2725" spans="1:4" ht="60">
      <c r="A2725" s="47">
        <v>91794</v>
      </c>
      <c r="B2725" s="48" t="s">
        <v>11045</v>
      </c>
      <c r="C2725" s="47" t="s">
        <v>71</v>
      </c>
      <c r="D2725" s="332">
        <v>26.57</v>
      </c>
    </row>
    <row r="2726" spans="1:4" ht="60">
      <c r="A2726" s="28">
        <v>91795</v>
      </c>
      <c r="B2726" s="26" t="s">
        <v>11046</v>
      </c>
      <c r="C2726" s="28" t="s">
        <v>71</v>
      </c>
      <c r="D2726" s="329">
        <v>45.72</v>
      </c>
    </row>
    <row r="2727" spans="1:4" ht="45">
      <c r="A2727" s="47">
        <v>91796</v>
      </c>
      <c r="B2727" s="48" t="s">
        <v>11047</v>
      </c>
      <c r="C2727" s="47" t="s">
        <v>71</v>
      </c>
      <c r="D2727" s="332">
        <v>44.73</v>
      </c>
    </row>
    <row r="2728" spans="1:4" ht="30">
      <c r="A2728" s="28">
        <v>92275</v>
      </c>
      <c r="B2728" s="26" t="s">
        <v>10400</v>
      </c>
      <c r="C2728" s="28" t="s">
        <v>71</v>
      </c>
      <c r="D2728" s="329">
        <v>38.909999999999997</v>
      </c>
    </row>
    <row r="2729" spans="1:4" ht="30">
      <c r="A2729" s="47">
        <v>92276</v>
      </c>
      <c r="B2729" s="48" t="s">
        <v>10403</v>
      </c>
      <c r="C2729" s="47" t="s">
        <v>71</v>
      </c>
      <c r="D2729" s="332">
        <v>49.27</v>
      </c>
    </row>
    <row r="2730" spans="1:4" ht="30">
      <c r="A2730" s="28">
        <v>92277</v>
      </c>
      <c r="B2730" s="26" t="s">
        <v>10406</v>
      </c>
      <c r="C2730" s="28" t="s">
        <v>71</v>
      </c>
      <c r="D2730" s="329">
        <v>71.09</v>
      </c>
    </row>
    <row r="2731" spans="1:4" ht="30">
      <c r="A2731" s="47">
        <v>92278</v>
      </c>
      <c r="B2731" s="48" t="s">
        <v>10407</v>
      </c>
      <c r="C2731" s="47" t="s">
        <v>71</v>
      </c>
      <c r="D2731" s="332">
        <v>95.6</v>
      </c>
    </row>
    <row r="2732" spans="1:4" ht="30">
      <c r="A2732" s="28">
        <v>92279</v>
      </c>
      <c r="B2732" s="26" t="s">
        <v>10408</v>
      </c>
      <c r="C2732" s="28" t="s">
        <v>71</v>
      </c>
      <c r="D2732" s="329">
        <v>138.13999999999999</v>
      </c>
    </row>
    <row r="2733" spans="1:4" ht="30">
      <c r="A2733" s="47">
        <v>92280</v>
      </c>
      <c r="B2733" s="48" t="s">
        <v>10410</v>
      </c>
      <c r="C2733" s="47" t="s">
        <v>71</v>
      </c>
      <c r="D2733" s="332">
        <v>193.97</v>
      </c>
    </row>
    <row r="2734" spans="1:4" ht="30">
      <c r="A2734" s="28">
        <v>92305</v>
      </c>
      <c r="B2734" s="26" t="s">
        <v>10398</v>
      </c>
      <c r="C2734" s="28" t="s">
        <v>71</v>
      </c>
      <c r="D2734" s="329">
        <v>25.58</v>
      </c>
    </row>
    <row r="2735" spans="1:4" ht="30">
      <c r="A2735" s="47">
        <v>92306</v>
      </c>
      <c r="B2735" s="48" t="s">
        <v>10401</v>
      </c>
      <c r="C2735" s="47" t="s">
        <v>71</v>
      </c>
      <c r="D2735" s="332">
        <v>41.85</v>
      </c>
    </row>
    <row r="2736" spans="1:4" ht="30">
      <c r="A2736" s="28">
        <v>92307</v>
      </c>
      <c r="B2736" s="26" t="s">
        <v>10404</v>
      </c>
      <c r="C2736" s="28" t="s">
        <v>71</v>
      </c>
      <c r="D2736" s="329">
        <v>52.43</v>
      </c>
    </row>
    <row r="2737" spans="1:4" ht="30">
      <c r="A2737" s="47">
        <v>92320</v>
      </c>
      <c r="B2737" s="48" t="s">
        <v>10399</v>
      </c>
      <c r="C2737" s="47" t="s">
        <v>71</v>
      </c>
      <c r="D2737" s="332">
        <v>32.049999999999997</v>
      </c>
    </row>
    <row r="2738" spans="1:4" ht="30">
      <c r="A2738" s="28">
        <v>92321</v>
      </c>
      <c r="B2738" s="26" t="s">
        <v>10402</v>
      </c>
      <c r="C2738" s="28" t="s">
        <v>71</v>
      </c>
      <c r="D2738" s="329">
        <v>52.97</v>
      </c>
    </row>
    <row r="2739" spans="1:4" ht="30">
      <c r="A2739" s="47">
        <v>92322</v>
      </c>
      <c r="B2739" s="48" t="s">
        <v>10405</v>
      </c>
      <c r="C2739" s="47" t="s">
        <v>71</v>
      </c>
      <c r="D2739" s="332">
        <v>67.58</v>
      </c>
    </row>
    <row r="2740" spans="1:4" ht="30">
      <c r="A2740" s="28">
        <v>92335</v>
      </c>
      <c r="B2740" s="26" t="s">
        <v>10244</v>
      </c>
      <c r="C2740" s="28" t="s">
        <v>71</v>
      </c>
      <c r="D2740" s="329">
        <v>45.35</v>
      </c>
    </row>
    <row r="2741" spans="1:4" ht="30">
      <c r="A2741" s="47">
        <v>92336</v>
      </c>
      <c r="B2741" s="48" t="s">
        <v>10245</v>
      </c>
      <c r="C2741" s="47" t="s">
        <v>71</v>
      </c>
      <c r="D2741" s="332">
        <v>55.59</v>
      </c>
    </row>
    <row r="2742" spans="1:4" ht="30">
      <c r="A2742" s="28">
        <v>92337</v>
      </c>
      <c r="B2742" s="26" t="s">
        <v>10246</v>
      </c>
      <c r="C2742" s="28" t="s">
        <v>71</v>
      </c>
      <c r="D2742" s="329">
        <v>72.81</v>
      </c>
    </row>
    <row r="2743" spans="1:4" ht="30">
      <c r="A2743" s="47">
        <v>92338</v>
      </c>
      <c r="B2743" s="48" t="s">
        <v>693</v>
      </c>
      <c r="C2743" s="47" t="s">
        <v>71</v>
      </c>
      <c r="D2743" s="332">
        <v>60.28</v>
      </c>
    </row>
    <row r="2744" spans="1:4" ht="30">
      <c r="A2744" s="28">
        <v>92339</v>
      </c>
      <c r="B2744" s="26" t="s">
        <v>10269</v>
      </c>
      <c r="C2744" s="28" t="s">
        <v>71</v>
      </c>
      <c r="D2744" s="329">
        <v>88.56</v>
      </c>
    </row>
    <row r="2745" spans="1:4" ht="30">
      <c r="A2745" s="47">
        <v>92340</v>
      </c>
      <c r="B2745" s="48" t="s">
        <v>694</v>
      </c>
      <c r="C2745" s="47" t="s">
        <v>71</v>
      </c>
      <c r="D2745" s="332">
        <v>86.12</v>
      </c>
    </row>
    <row r="2746" spans="1:4" ht="30">
      <c r="A2746" s="28">
        <v>92341</v>
      </c>
      <c r="B2746" s="26" t="s">
        <v>10254</v>
      </c>
      <c r="C2746" s="28" t="s">
        <v>71</v>
      </c>
      <c r="D2746" s="329">
        <v>51.82</v>
      </c>
    </row>
    <row r="2747" spans="1:4" ht="30">
      <c r="A2747" s="47">
        <v>92342</v>
      </c>
      <c r="B2747" s="48" t="s">
        <v>10257</v>
      </c>
      <c r="C2747" s="47" t="s">
        <v>71</v>
      </c>
      <c r="D2747" s="332">
        <v>62.09</v>
      </c>
    </row>
    <row r="2748" spans="1:4" ht="30">
      <c r="A2748" s="28">
        <v>92343</v>
      </c>
      <c r="B2748" s="26" t="s">
        <v>10260</v>
      </c>
      <c r="C2748" s="28" t="s">
        <v>71</v>
      </c>
      <c r="D2748" s="329">
        <v>79.37</v>
      </c>
    </row>
    <row r="2749" spans="1:4" ht="30">
      <c r="A2749" s="47">
        <v>92361</v>
      </c>
      <c r="B2749" s="48" t="s">
        <v>10267</v>
      </c>
      <c r="C2749" s="47" t="s">
        <v>71</v>
      </c>
      <c r="D2749" s="332">
        <v>47.19</v>
      </c>
    </row>
    <row r="2750" spans="1:4" ht="30">
      <c r="A2750" s="28">
        <v>92362</v>
      </c>
      <c r="B2750" s="26" t="s">
        <v>10270</v>
      </c>
      <c r="C2750" s="28" t="s">
        <v>71</v>
      </c>
      <c r="D2750" s="329">
        <v>74.95</v>
      </c>
    </row>
    <row r="2751" spans="1:4" ht="30">
      <c r="A2751" s="47">
        <v>92363</v>
      </c>
      <c r="B2751" s="48" t="s">
        <v>10272</v>
      </c>
      <c r="C2751" s="47" t="s">
        <v>71</v>
      </c>
      <c r="D2751" s="332">
        <v>72.040000000000006</v>
      </c>
    </row>
    <row r="2752" spans="1:4" ht="45">
      <c r="A2752" s="28">
        <v>92364</v>
      </c>
      <c r="B2752" s="26" t="s">
        <v>10252</v>
      </c>
      <c r="C2752" s="28" t="s">
        <v>71</v>
      </c>
      <c r="D2752" s="329">
        <v>27.67</v>
      </c>
    </row>
    <row r="2753" spans="1:4" ht="45">
      <c r="A2753" s="47">
        <v>92365</v>
      </c>
      <c r="B2753" s="48" t="s">
        <v>10253</v>
      </c>
      <c r="C2753" s="47" t="s">
        <v>71</v>
      </c>
      <c r="D2753" s="332">
        <v>31.76</v>
      </c>
    </row>
    <row r="2754" spans="1:4" ht="45">
      <c r="A2754" s="28">
        <v>92366</v>
      </c>
      <c r="B2754" s="26" t="s">
        <v>10255</v>
      </c>
      <c r="C2754" s="28" t="s">
        <v>71</v>
      </c>
      <c r="D2754" s="329">
        <v>43.83</v>
      </c>
    </row>
    <row r="2755" spans="1:4" ht="45">
      <c r="A2755" s="47">
        <v>92367</v>
      </c>
      <c r="B2755" s="48" t="s">
        <v>10258</v>
      </c>
      <c r="C2755" s="47" t="s">
        <v>71</v>
      </c>
      <c r="D2755" s="332">
        <v>53.74</v>
      </c>
    </row>
    <row r="2756" spans="1:4" ht="45">
      <c r="A2756" s="28">
        <v>92368</v>
      </c>
      <c r="B2756" s="26" t="s">
        <v>10261</v>
      </c>
      <c r="C2756" s="28" t="s">
        <v>71</v>
      </c>
      <c r="D2756" s="329">
        <v>70.680000000000007</v>
      </c>
    </row>
    <row r="2757" spans="1:4" ht="30">
      <c r="A2757" s="47">
        <v>92648</v>
      </c>
      <c r="B2757" s="48" t="s">
        <v>11048</v>
      </c>
      <c r="C2757" s="47" t="s">
        <v>71</v>
      </c>
      <c r="D2757" s="332">
        <v>40.74</v>
      </c>
    </row>
    <row r="2758" spans="1:4" ht="30">
      <c r="A2758" s="28">
        <v>92649</v>
      </c>
      <c r="B2758" s="26" t="s">
        <v>10268</v>
      </c>
      <c r="C2758" s="28" t="s">
        <v>71</v>
      </c>
      <c r="D2758" s="329">
        <v>49.54</v>
      </c>
    </row>
    <row r="2759" spans="1:4" ht="30">
      <c r="A2759" s="47">
        <v>92650</v>
      </c>
      <c r="B2759" s="48" t="s">
        <v>10271</v>
      </c>
      <c r="C2759" s="47" t="s">
        <v>71</v>
      </c>
      <c r="D2759" s="332">
        <v>77.31</v>
      </c>
    </row>
    <row r="2760" spans="1:4" ht="30">
      <c r="A2760" s="28">
        <v>92651</v>
      </c>
      <c r="B2760" s="26" t="s">
        <v>10273</v>
      </c>
      <c r="C2760" s="28" t="s">
        <v>71</v>
      </c>
      <c r="D2760" s="329">
        <v>74.400000000000006</v>
      </c>
    </row>
    <row r="2761" spans="1:4" ht="45">
      <c r="A2761" s="47">
        <v>92652</v>
      </c>
      <c r="B2761" s="48" t="s">
        <v>10247</v>
      </c>
      <c r="C2761" s="47" t="s">
        <v>71</v>
      </c>
      <c r="D2761" s="332">
        <v>30.62</v>
      </c>
    </row>
    <row r="2762" spans="1:4" ht="45">
      <c r="A2762" s="28">
        <v>92653</v>
      </c>
      <c r="B2762" s="26" t="s">
        <v>10248</v>
      </c>
      <c r="C2762" s="28" t="s">
        <v>71</v>
      </c>
      <c r="D2762" s="329">
        <v>34.74</v>
      </c>
    </row>
    <row r="2763" spans="1:4" ht="45">
      <c r="A2763" s="47">
        <v>92654</v>
      </c>
      <c r="B2763" s="48" t="s">
        <v>10249</v>
      </c>
      <c r="C2763" s="47" t="s">
        <v>71</v>
      </c>
      <c r="D2763" s="332">
        <v>46.81</v>
      </c>
    </row>
    <row r="2764" spans="1:4" ht="45">
      <c r="A2764" s="28">
        <v>92655</v>
      </c>
      <c r="B2764" s="26" t="s">
        <v>10250</v>
      </c>
      <c r="C2764" s="28" t="s">
        <v>71</v>
      </c>
      <c r="D2764" s="329">
        <v>56.77</v>
      </c>
    </row>
    <row r="2765" spans="1:4" ht="45">
      <c r="A2765" s="47">
        <v>92656</v>
      </c>
      <c r="B2765" s="48" t="s">
        <v>10251</v>
      </c>
      <c r="C2765" s="47" t="s">
        <v>71</v>
      </c>
      <c r="D2765" s="332">
        <v>73.72</v>
      </c>
    </row>
    <row r="2766" spans="1:4" ht="45">
      <c r="A2766" s="28">
        <v>92687</v>
      </c>
      <c r="B2766" s="26" t="s">
        <v>695</v>
      </c>
      <c r="C2766" s="28" t="s">
        <v>71</v>
      </c>
      <c r="D2766" s="329">
        <v>14.66</v>
      </c>
    </row>
    <row r="2767" spans="1:4" ht="45">
      <c r="A2767" s="47">
        <v>92688</v>
      </c>
      <c r="B2767" s="48" t="s">
        <v>696</v>
      </c>
      <c r="C2767" s="47" t="s">
        <v>71</v>
      </c>
      <c r="D2767" s="332">
        <v>20.92</v>
      </c>
    </row>
    <row r="2768" spans="1:4" ht="30">
      <c r="A2768" s="28">
        <v>92689</v>
      </c>
      <c r="B2768" s="26" t="s">
        <v>10265</v>
      </c>
      <c r="C2768" s="28" t="s">
        <v>71</v>
      </c>
      <c r="D2768" s="329">
        <v>20.81</v>
      </c>
    </row>
    <row r="2769" spans="1:4" ht="30">
      <c r="A2769" s="47">
        <v>92690</v>
      </c>
      <c r="B2769" s="48" t="s">
        <v>10266</v>
      </c>
      <c r="C2769" s="47" t="s">
        <v>71</v>
      </c>
      <c r="D2769" s="332">
        <v>30.29</v>
      </c>
    </row>
    <row r="2770" spans="1:4" ht="45">
      <c r="A2770" s="28">
        <v>94462</v>
      </c>
      <c r="B2770" s="26" t="s">
        <v>10256</v>
      </c>
      <c r="C2770" s="28" t="s">
        <v>71</v>
      </c>
      <c r="D2770" s="329">
        <v>52.01</v>
      </c>
    </row>
    <row r="2771" spans="1:4" ht="45">
      <c r="A2771" s="47">
        <v>94463</v>
      </c>
      <c r="B2771" s="48" t="s">
        <v>10259</v>
      </c>
      <c r="C2771" s="47" t="s">
        <v>71</v>
      </c>
      <c r="D2771" s="332">
        <v>60.3</v>
      </c>
    </row>
    <row r="2772" spans="1:4" ht="45">
      <c r="A2772" s="28">
        <v>94464</v>
      </c>
      <c r="B2772" s="26" t="s">
        <v>10262</v>
      </c>
      <c r="C2772" s="28" t="s">
        <v>71</v>
      </c>
      <c r="D2772" s="329">
        <v>84.32</v>
      </c>
    </row>
    <row r="2773" spans="1:4" ht="45">
      <c r="A2773" s="47">
        <v>94602</v>
      </c>
      <c r="B2773" s="48" t="s">
        <v>10409</v>
      </c>
      <c r="C2773" s="47" t="s">
        <v>71</v>
      </c>
      <c r="D2773" s="332">
        <v>146.84</v>
      </c>
    </row>
    <row r="2774" spans="1:4" ht="45">
      <c r="A2774" s="28">
        <v>94603</v>
      </c>
      <c r="B2774" s="26" t="s">
        <v>10411</v>
      </c>
      <c r="C2774" s="28" t="s">
        <v>71</v>
      </c>
      <c r="D2774" s="329">
        <v>198.41</v>
      </c>
    </row>
    <row r="2775" spans="1:4" ht="45">
      <c r="A2775" s="47">
        <v>94604</v>
      </c>
      <c r="B2775" s="48" t="s">
        <v>10412</v>
      </c>
      <c r="C2775" s="47" t="s">
        <v>71</v>
      </c>
      <c r="D2775" s="332">
        <v>271.95999999999998</v>
      </c>
    </row>
    <row r="2776" spans="1:4" ht="45">
      <c r="A2776" s="28">
        <v>94605</v>
      </c>
      <c r="B2776" s="26" t="s">
        <v>10397</v>
      </c>
      <c r="C2776" s="28" t="s">
        <v>71</v>
      </c>
      <c r="D2776" s="329">
        <v>390.32</v>
      </c>
    </row>
    <row r="2777" spans="1:4" ht="45">
      <c r="A2777" s="47">
        <v>94648</v>
      </c>
      <c r="B2777" s="48" t="s">
        <v>10529</v>
      </c>
      <c r="C2777" s="47" t="s">
        <v>71</v>
      </c>
      <c r="D2777" s="332">
        <v>7.46</v>
      </c>
    </row>
    <row r="2778" spans="1:4" ht="45">
      <c r="A2778" s="28">
        <v>94649</v>
      </c>
      <c r="B2778" s="26" t="s">
        <v>10537</v>
      </c>
      <c r="C2778" s="28" t="s">
        <v>71</v>
      </c>
      <c r="D2778" s="329">
        <v>11.36</v>
      </c>
    </row>
    <row r="2779" spans="1:4" ht="45">
      <c r="A2779" s="47">
        <v>94650</v>
      </c>
      <c r="B2779" s="48" t="s">
        <v>10541</v>
      </c>
      <c r="C2779" s="47" t="s">
        <v>71</v>
      </c>
      <c r="D2779" s="332">
        <v>16.25</v>
      </c>
    </row>
    <row r="2780" spans="1:4" ht="45">
      <c r="A2780" s="28">
        <v>94651</v>
      </c>
      <c r="B2780" s="26" t="s">
        <v>10543</v>
      </c>
      <c r="C2780" s="28" t="s">
        <v>71</v>
      </c>
      <c r="D2780" s="329">
        <v>18.77</v>
      </c>
    </row>
    <row r="2781" spans="1:4" ht="45">
      <c r="A2781" s="47">
        <v>94652</v>
      </c>
      <c r="B2781" s="48" t="s">
        <v>10545</v>
      </c>
      <c r="C2781" s="47" t="s">
        <v>71</v>
      </c>
      <c r="D2781" s="332">
        <v>28.92</v>
      </c>
    </row>
    <row r="2782" spans="1:4" ht="45">
      <c r="A2782" s="28">
        <v>94653</v>
      </c>
      <c r="B2782" s="26" t="s">
        <v>10547</v>
      </c>
      <c r="C2782" s="28" t="s">
        <v>71</v>
      </c>
      <c r="D2782" s="329">
        <v>36.799999999999997</v>
      </c>
    </row>
    <row r="2783" spans="1:4" ht="45">
      <c r="A2783" s="47">
        <v>94654</v>
      </c>
      <c r="B2783" s="48" t="s">
        <v>10549</v>
      </c>
      <c r="C2783" s="47" t="s">
        <v>71</v>
      </c>
      <c r="D2783" s="332">
        <v>49.28</v>
      </c>
    </row>
    <row r="2784" spans="1:4" ht="45">
      <c r="A2784" s="28">
        <v>94655</v>
      </c>
      <c r="B2784" s="26" t="s">
        <v>10530</v>
      </c>
      <c r="C2784" s="28" t="s">
        <v>71</v>
      </c>
      <c r="D2784" s="329">
        <v>71.849999999999994</v>
      </c>
    </row>
    <row r="2785" spans="1:4" ht="45">
      <c r="A2785" s="47">
        <v>94716</v>
      </c>
      <c r="B2785" s="48" t="s">
        <v>10510</v>
      </c>
      <c r="C2785" s="47" t="s">
        <v>71</v>
      </c>
      <c r="D2785" s="332">
        <v>19.61</v>
      </c>
    </row>
    <row r="2786" spans="1:4" ht="45">
      <c r="A2786" s="28">
        <v>94717</v>
      </c>
      <c r="B2786" s="26" t="s">
        <v>10514</v>
      </c>
      <c r="C2786" s="28" t="s">
        <v>71</v>
      </c>
      <c r="D2786" s="329">
        <v>29.19</v>
      </c>
    </row>
    <row r="2787" spans="1:4" ht="45">
      <c r="A2787" s="47">
        <v>94718</v>
      </c>
      <c r="B2787" s="48" t="s">
        <v>10517</v>
      </c>
      <c r="C2787" s="47" t="s">
        <v>71</v>
      </c>
      <c r="D2787" s="332">
        <v>36.03</v>
      </c>
    </row>
    <row r="2788" spans="1:4" ht="45">
      <c r="A2788" s="28">
        <v>94719</v>
      </c>
      <c r="B2788" s="26" t="s">
        <v>10521</v>
      </c>
      <c r="C2788" s="28" t="s">
        <v>71</v>
      </c>
      <c r="D2788" s="329">
        <v>47.54</v>
      </c>
    </row>
    <row r="2789" spans="1:4" ht="45">
      <c r="A2789" s="47">
        <v>94720</v>
      </c>
      <c r="B2789" s="48" t="s">
        <v>10523</v>
      </c>
      <c r="C2789" s="47" t="s">
        <v>71</v>
      </c>
      <c r="D2789" s="332">
        <v>71.510000000000005</v>
      </c>
    </row>
    <row r="2790" spans="1:4" ht="45">
      <c r="A2790" s="28">
        <v>94721</v>
      </c>
      <c r="B2790" s="26" t="s">
        <v>10525</v>
      </c>
      <c r="C2790" s="28" t="s">
        <v>71</v>
      </c>
      <c r="D2790" s="329">
        <v>105.22</v>
      </c>
    </row>
    <row r="2791" spans="1:4" ht="45">
      <c r="A2791" s="47">
        <v>94722</v>
      </c>
      <c r="B2791" s="48" t="s">
        <v>10527</v>
      </c>
      <c r="C2791" s="47" t="s">
        <v>71</v>
      </c>
      <c r="D2791" s="332">
        <v>182.85</v>
      </c>
    </row>
    <row r="2792" spans="1:4" ht="30">
      <c r="A2792" s="28">
        <v>95697</v>
      </c>
      <c r="B2792" s="26" t="s">
        <v>11049</v>
      </c>
      <c r="C2792" s="28" t="s">
        <v>71</v>
      </c>
      <c r="D2792" s="329">
        <v>38.380000000000003</v>
      </c>
    </row>
    <row r="2793" spans="1:4">
      <c r="A2793" s="47">
        <v>72293</v>
      </c>
      <c r="B2793" s="48" t="s">
        <v>697</v>
      </c>
      <c r="C2793" s="47" t="s">
        <v>65</v>
      </c>
      <c r="D2793" s="332">
        <v>5.0599999999999996</v>
      </c>
    </row>
    <row r="2794" spans="1:4">
      <c r="A2794" s="28">
        <v>72294</v>
      </c>
      <c r="B2794" s="26" t="s">
        <v>698</v>
      </c>
      <c r="C2794" s="28" t="s">
        <v>65</v>
      </c>
      <c r="D2794" s="329">
        <v>7.82</v>
      </c>
    </row>
    <row r="2795" spans="1:4">
      <c r="A2795" s="47">
        <v>72295</v>
      </c>
      <c r="B2795" s="48" t="s">
        <v>699</v>
      </c>
      <c r="C2795" s="47" t="s">
        <v>65</v>
      </c>
      <c r="D2795" s="332">
        <v>10.77</v>
      </c>
    </row>
    <row r="2796" spans="1:4">
      <c r="A2796" s="28">
        <v>72306</v>
      </c>
      <c r="B2796" s="26" t="s">
        <v>700</v>
      </c>
      <c r="C2796" s="28" t="s">
        <v>65</v>
      </c>
      <c r="D2796" s="329">
        <v>167.03</v>
      </c>
    </row>
    <row r="2797" spans="1:4">
      <c r="A2797" s="47">
        <v>72307</v>
      </c>
      <c r="B2797" s="48" t="s">
        <v>701</v>
      </c>
      <c r="C2797" s="47" t="s">
        <v>65</v>
      </c>
      <c r="D2797" s="332">
        <v>235.57</v>
      </c>
    </row>
    <row r="2798" spans="1:4">
      <c r="A2798" s="28">
        <v>72313</v>
      </c>
      <c r="B2798" s="26" t="s">
        <v>702</v>
      </c>
      <c r="C2798" s="28" t="s">
        <v>65</v>
      </c>
      <c r="D2798" s="329">
        <v>557.64</v>
      </c>
    </row>
    <row r="2799" spans="1:4">
      <c r="A2799" s="47">
        <v>72482</v>
      </c>
      <c r="B2799" s="48" t="s">
        <v>10551</v>
      </c>
      <c r="C2799" s="47" t="s">
        <v>65</v>
      </c>
      <c r="D2799" s="332">
        <v>237.04</v>
      </c>
    </row>
    <row r="2800" spans="1:4">
      <c r="A2800" s="28">
        <v>72619</v>
      </c>
      <c r="B2800" s="26" t="s">
        <v>6811</v>
      </c>
      <c r="C2800" s="28" t="s">
        <v>65</v>
      </c>
      <c r="D2800" s="329">
        <v>98.99</v>
      </c>
    </row>
    <row r="2801" spans="1:4">
      <c r="A2801" s="47">
        <v>72620</v>
      </c>
      <c r="B2801" s="48" t="s">
        <v>6812</v>
      </c>
      <c r="C2801" s="47" t="s">
        <v>65</v>
      </c>
      <c r="D2801" s="332">
        <v>173.83</v>
      </c>
    </row>
    <row r="2802" spans="1:4">
      <c r="A2802" s="28">
        <v>72621</v>
      </c>
      <c r="B2802" s="26" t="s">
        <v>6813</v>
      </c>
      <c r="C2802" s="28" t="s">
        <v>65</v>
      </c>
      <c r="D2802" s="329">
        <v>280.31</v>
      </c>
    </row>
    <row r="2803" spans="1:4">
      <c r="A2803" s="47">
        <v>72667</v>
      </c>
      <c r="B2803" s="48" t="s">
        <v>7071</v>
      </c>
      <c r="C2803" s="47" t="s">
        <v>65</v>
      </c>
      <c r="D2803" s="332">
        <v>133.01</v>
      </c>
    </row>
    <row r="2804" spans="1:4">
      <c r="A2804" s="28">
        <v>72668</v>
      </c>
      <c r="B2804" s="26" t="s">
        <v>7070</v>
      </c>
      <c r="C2804" s="28" t="s">
        <v>65</v>
      </c>
      <c r="D2804" s="329">
        <v>132.41</v>
      </c>
    </row>
    <row r="2805" spans="1:4">
      <c r="A2805" s="47">
        <v>72669</v>
      </c>
      <c r="B2805" s="48" t="s">
        <v>7072</v>
      </c>
      <c r="C2805" s="47" t="s">
        <v>65</v>
      </c>
      <c r="D2805" s="332">
        <v>135.91</v>
      </c>
    </row>
    <row r="2806" spans="1:4">
      <c r="A2806" s="28">
        <v>72681</v>
      </c>
      <c r="B2806" s="26" t="s">
        <v>7657</v>
      </c>
      <c r="C2806" s="28" t="s">
        <v>65</v>
      </c>
      <c r="D2806" s="329">
        <v>95.21</v>
      </c>
    </row>
    <row r="2807" spans="1:4">
      <c r="A2807" s="47">
        <v>72682</v>
      </c>
      <c r="B2807" s="48" t="s">
        <v>7658</v>
      </c>
      <c r="C2807" s="47" t="s">
        <v>65</v>
      </c>
      <c r="D2807" s="332">
        <v>194.4</v>
      </c>
    </row>
    <row r="2808" spans="1:4">
      <c r="A2808" s="28">
        <v>72683</v>
      </c>
      <c r="B2808" s="26" t="s">
        <v>7659</v>
      </c>
      <c r="C2808" s="28" t="s">
        <v>65</v>
      </c>
      <c r="D2808" s="329">
        <v>314.06</v>
      </c>
    </row>
    <row r="2809" spans="1:4">
      <c r="A2809" s="47">
        <v>72719</v>
      </c>
      <c r="B2809" s="48" t="s">
        <v>9230</v>
      </c>
      <c r="C2809" s="47" t="s">
        <v>65</v>
      </c>
      <c r="D2809" s="332">
        <v>210.07</v>
      </c>
    </row>
    <row r="2810" spans="1:4">
      <c r="A2810" s="28">
        <v>72720</v>
      </c>
      <c r="B2810" s="26" t="s">
        <v>9231</v>
      </c>
      <c r="C2810" s="28" t="s">
        <v>65</v>
      </c>
      <c r="D2810" s="329">
        <v>290.92</v>
      </c>
    </row>
    <row r="2811" spans="1:4">
      <c r="A2811" s="47">
        <v>72721</v>
      </c>
      <c r="B2811" s="48" t="s">
        <v>9232</v>
      </c>
      <c r="C2811" s="47" t="s">
        <v>65</v>
      </c>
      <c r="D2811" s="332">
        <v>638.32000000000005</v>
      </c>
    </row>
    <row r="2812" spans="1:4" ht="30">
      <c r="A2812" s="28">
        <v>89358</v>
      </c>
      <c r="B2812" s="26" t="s">
        <v>6352</v>
      </c>
      <c r="C2812" s="28" t="s">
        <v>65</v>
      </c>
      <c r="D2812" s="329">
        <v>4.97</v>
      </c>
    </row>
    <row r="2813" spans="1:4" ht="30">
      <c r="A2813" s="47">
        <v>89359</v>
      </c>
      <c r="B2813" s="48" t="s">
        <v>6283</v>
      </c>
      <c r="C2813" s="47" t="s">
        <v>65</v>
      </c>
      <c r="D2813" s="332">
        <v>5.17</v>
      </c>
    </row>
    <row r="2814" spans="1:4" ht="30">
      <c r="A2814" s="28">
        <v>89360</v>
      </c>
      <c r="B2814" s="26" t="s">
        <v>4494</v>
      </c>
      <c r="C2814" s="28" t="s">
        <v>65</v>
      </c>
      <c r="D2814" s="329">
        <v>6.26</v>
      </c>
    </row>
    <row r="2815" spans="1:4" ht="30">
      <c r="A2815" s="47">
        <v>89361</v>
      </c>
      <c r="B2815" s="48" t="s">
        <v>4415</v>
      </c>
      <c r="C2815" s="47" t="s">
        <v>65</v>
      </c>
      <c r="D2815" s="332">
        <v>6.18</v>
      </c>
    </row>
    <row r="2816" spans="1:4" ht="30">
      <c r="A2816" s="28">
        <v>89362</v>
      </c>
      <c r="B2816" s="26" t="s">
        <v>6356</v>
      </c>
      <c r="C2816" s="28" t="s">
        <v>65</v>
      </c>
      <c r="D2816" s="329">
        <v>5.95</v>
      </c>
    </row>
    <row r="2817" spans="1:4" ht="30">
      <c r="A2817" s="47">
        <v>89363</v>
      </c>
      <c r="B2817" s="48" t="s">
        <v>6287</v>
      </c>
      <c r="C2817" s="47" t="s">
        <v>65</v>
      </c>
      <c r="D2817" s="332">
        <v>6.41</v>
      </c>
    </row>
    <row r="2818" spans="1:4" ht="30">
      <c r="A2818" s="28">
        <v>89364</v>
      </c>
      <c r="B2818" s="26" t="s">
        <v>4497</v>
      </c>
      <c r="C2818" s="28" t="s">
        <v>65</v>
      </c>
      <c r="D2818" s="329">
        <v>7.8</v>
      </c>
    </row>
    <row r="2819" spans="1:4" ht="30">
      <c r="A2819" s="47">
        <v>89365</v>
      </c>
      <c r="B2819" s="48" t="s">
        <v>4418</v>
      </c>
      <c r="C2819" s="47" t="s">
        <v>65</v>
      </c>
      <c r="D2819" s="332">
        <v>7.32</v>
      </c>
    </row>
    <row r="2820" spans="1:4" ht="30">
      <c r="A2820" s="28">
        <v>89366</v>
      </c>
      <c r="B2820" s="26" t="s">
        <v>6298</v>
      </c>
      <c r="C2820" s="28" t="s">
        <v>65</v>
      </c>
      <c r="D2820" s="329">
        <v>10.66</v>
      </c>
    </row>
    <row r="2821" spans="1:4" ht="30">
      <c r="A2821" s="47">
        <v>89367</v>
      </c>
      <c r="B2821" s="48" t="s">
        <v>6361</v>
      </c>
      <c r="C2821" s="47" t="s">
        <v>65</v>
      </c>
      <c r="D2821" s="332">
        <v>8.02</v>
      </c>
    </row>
    <row r="2822" spans="1:4" ht="30">
      <c r="A2822" s="28">
        <v>89368</v>
      </c>
      <c r="B2822" s="26" t="s">
        <v>6290</v>
      </c>
      <c r="C2822" s="28" t="s">
        <v>65</v>
      </c>
      <c r="D2822" s="329">
        <v>9.27</v>
      </c>
    </row>
    <row r="2823" spans="1:4" ht="30">
      <c r="A2823" s="47">
        <v>89369</v>
      </c>
      <c r="B2823" s="48" t="s">
        <v>4501</v>
      </c>
      <c r="C2823" s="47" t="s">
        <v>65</v>
      </c>
      <c r="D2823" s="332">
        <v>11.43</v>
      </c>
    </row>
    <row r="2824" spans="1:4" ht="30">
      <c r="A2824" s="28">
        <v>89370</v>
      </c>
      <c r="B2824" s="26" t="s">
        <v>4421</v>
      </c>
      <c r="C2824" s="28" t="s">
        <v>65</v>
      </c>
      <c r="D2824" s="329">
        <v>9.67</v>
      </c>
    </row>
    <row r="2825" spans="1:4" ht="30">
      <c r="A2825" s="47">
        <v>89371</v>
      </c>
      <c r="B2825" s="48" t="s">
        <v>7167</v>
      </c>
      <c r="C2825" s="47" t="s">
        <v>65</v>
      </c>
      <c r="D2825" s="332">
        <v>3.97</v>
      </c>
    </row>
    <row r="2826" spans="1:4" ht="30">
      <c r="A2826" s="28">
        <v>89372</v>
      </c>
      <c r="B2826" s="26" t="s">
        <v>6898</v>
      </c>
      <c r="C2826" s="28" t="s">
        <v>65</v>
      </c>
      <c r="D2826" s="329">
        <v>11.55</v>
      </c>
    </row>
    <row r="2827" spans="1:4" ht="30">
      <c r="A2827" s="47">
        <v>89373</v>
      </c>
      <c r="B2827" s="48" t="s">
        <v>6987</v>
      </c>
      <c r="C2827" s="47" t="s">
        <v>65</v>
      </c>
      <c r="D2827" s="332">
        <v>4.5</v>
      </c>
    </row>
    <row r="2828" spans="1:4" ht="30">
      <c r="A2828" s="28">
        <v>89374</v>
      </c>
      <c r="B2828" s="26" t="s">
        <v>6795</v>
      </c>
      <c r="C2828" s="28" t="s">
        <v>65</v>
      </c>
      <c r="D2828" s="329">
        <v>8.32</v>
      </c>
    </row>
    <row r="2829" spans="1:4" ht="30">
      <c r="A2829" s="47">
        <v>89375</v>
      </c>
      <c r="B2829" s="48" t="s">
        <v>10619</v>
      </c>
      <c r="C2829" s="47" t="s">
        <v>65</v>
      </c>
      <c r="D2829" s="332">
        <v>8.16</v>
      </c>
    </row>
    <row r="2830" spans="1:4" ht="45">
      <c r="A2830" s="28">
        <v>89376</v>
      </c>
      <c r="B2830" s="26" t="s">
        <v>1514</v>
      </c>
      <c r="C2830" s="28" t="s">
        <v>65</v>
      </c>
      <c r="D2830" s="329">
        <v>3.97</v>
      </c>
    </row>
    <row r="2831" spans="1:4" ht="30">
      <c r="A2831" s="47">
        <v>89377</v>
      </c>
      <c r="B2831" s="48" t="s">
        <v>4570</v>
      </c>
      <c r="C2831" s="47" t="s">
        <v>65</v>
      </c>
      <c r="D2831" s="332">
        <v>5.87</v>
      </c>
    </row>
    <row r="2832" spans="1:4" ht="30">
      <c r="A2832" s="28">
        <v>89378</v>
      </c>
      <c r="B2832" s="26" t="s">
        <v>7171</v>
      </c>
      <c r="C2832" s="28" t="s">
        <v>65</v>
      </c>
      <c r="D2832" s="329">
        <v>4.6399999999999997</v>
      </c>
    </row>
    <row r="2833" spans="1:4" ht="30">
      <c r="A2833" s="47">
        <v>89379</v>
      </c>
      <c r="B2833" s="48" t="s">
        <v>6901</v>
      </c>
      <c r="C2833" s="47" t="s">
        <v>65</v>
      </c>
      <c r="D2833" s="332">
        <v>15.53</v>
      </c>
    </row>
    <row r="2834" spans="1:4" ht="30">
      <c r="A2834" s="28">
        <v>89380</v>
      </c>
      <c r="B2834" s="26" t="s">
        <v>6990</v>
      </c>
      <c r="C2834" s="28" t="s">
        <v>65</v>
      </c>
      <c r="D2834" s="329">
        <v>6.83</v>
      </c>
    </row>
    <row r="2835" spans="1:4" ht="30">
      <c r="A2835" s="47">
        <v>89381</v>
      </c>
      <c r="B2835" s="48" t="s">
        <v>6798</v>
      </c>
      <c r="C2835" s="47" t="s">
        <v>65</v>
      </c>
      <c r="D2835" s="332">
        <v>10.61</v>
      </c>
    </row>
    <row r="2836" spans="1:4" ht="30">
      <c r="A2836" s="28">
        <v>89382</v>
      </c>
      <c r="B2836" s="26" t="s">
        <v>10622</v>
      </c>
      <c r="C2836" s="28" t="s">
        <v>65</v>
      </c>
      <c r="D2836" s="329">
        <v>9.6300000000000008</v>
      </c>
    </row>
    <row r="2837" spans="1:4" ht="45">
      <c r="A2837" s="47">
        <v>89383</v>
      </c>
      <c r="B2837" s="48" t="s">
        <v>1517</v>
      </c>
      <c r="C2837" s="47" t="s">
        <v>65</v>
      </c>
      <c r="D2837" s="332">
        <v>4.63</v>
      </c>
    </row>
    <row r="2838" spans="1:4" ht="30">
      <c r="A2838" s="28">
        <v>89384</v>
      </c>
      <c r="B2838" s="26" t="s">
        <v>4573</v>
      </c>
      <c r="C2838" s="28" t="s">
        <v>65</v>
      </c>
      <c r="D2838" s="329">
        <v>8.1</v>
      </c>
    </row>
    <row r="2839" spans="1:4" ht="30">
      <c r="A2839" s="47">
        <v>89385</v>
      </c>
      <c r="B2839" s="48" t="s">
        <v>7117</v>
      </c>
      <c r="C2839" s="47" t="s">
        <v>65</v>
      </c>
      <c r="D2839" s="332">
        <v>5.28</v>
      </c>
    </row>
    <row r="2840" spans="1:4" ht="30">
      <c r="A2840" s="28">
        <v>89386</v>
      </c>
      <c r="B2840" s="26" t="s">
        <v>7174</v>
      </c>
      <c r="C2840" s="28" t="s">
        <v>65</v>
      </c>
      <c r="D2840" s="329">
        <v>6.35</v>
      </c>
    </row>
    <row r="2841" spans="1:4" ht="30">
      <c r="A2841" s="47">
        <v>89387</v>
      </c>
      <c r="B2841" s="48" t="s">
        <v>6904</v>
      </c>
      <c r="C2841" s="47" t="s">
        <v>65</v>
      </c>
      <c r="D2841" s="332">
        <v>24.5</v>
      </c>
    </row>
    <row r="2842" spans="1:4" ht="30">
      <c r="A2842" s="28">
        <v>89388</v>
      </c>
      <c r="B2842" s="26" t="s">
        <v>6993</v>
      </c>
      <c r="C2842" s="28" t="s">
        <v>65</v>
      </c>
      <c r="D2842" s="329">
        <v>8.34</v>
      </c>
    </row>
    <row r="2843" spans="1:4" ht="30">
      <c r="A2843" s="47">
        <v>89389</v>
      </c>
      <c r="B2843" s="48" t="s">
        <v>7120</v>
      </c>
      <c r="C2843" s="47" t="s">
        <v>65</v>
      </c>
      <c r="D2843" s="332">
        <v>9.2100000000000009</v>
      </c>
    </row>
    <row r="2844" spans="1:4" ht="30">
      <c r="A2844" s="28">
        <v>89390</v>
      </c>
      <c r="B2844" s="26" t="s">
        <v>10625</v>
      </c>
      <c r="C2844" s="28" t="s">
        <v>65</v>
      </c>
      <c r="D2844" s="329">
        <v>14.44</v>
      </c>
    </row>
    <row r="2845" spans="1:4" ht="45">
      <c r="A2845" s="47">
        <v>89391</v>
      </c>
      <c r="B2845" s="48" t="s">
        <v>1521</v>
      </c>
      <c r="C2845" s="47" t="s">
        <v>65</v>
      </c>
      <c r="D2845" s="332">
        <v>6.23</v>
      </c>
    </row>
    <row r="2846" spans="1:4" ht="30">
      <c r="A2846" s="28">
        <v>89392</v>
      </c>
      <c r="B2846" s="26" t="s">
        <v>4576</v>
      </c>
      <c r="C2846" s="28" t="s">
        <v>65</v>
      </c>
      <c r="D2846" s="329">
        <v>15.69</v>
      </c>
    </row>
    <row r="2847" spans="1:4" ht="30">
      <c r="A2847" s="47">
        <v>89393</v>
      </c>
      <c r="B2847" s="48" t="s">
        <v>9466</v>
      </c>
      <c r="C2847" s="47" t="s">
        <v>65</v>
      </c>
      <c r="D2847" s="332">
        <v>6.92</v>
      </c>
    </row>
    <row r="2848" spans="1:4" ht="30">
      <c r="A2848" s="28">
        <v>89394</v>
      </c>
      <c r="B2848" s="26" t="s">
        <v>9214</v>
      </c>
      <c r="C2848" s="28" t="s">
        <v>65</v>
      </c>
      <c r="D2848" s="329">
        <v>12.9</v>
      </c>
    </row>
    <row r="2849" spans="1:4" ht="30">
      <c r="A2849" s="47">
        <v>89395</v>
      </c>
      <c r="B2849" s="48" t="s">
        <v>9470</v>
      </c>
      <c r="C2849" s="47" t="s">
        <v>65</v>
      </c>
      <c r="D2849" s="332">
        <v>8.3000000000000007</v>
      </c>
    </row>
    <row r="2850" spans="1:4" ht="30">
      <c r="A2850" s="28">
        <v>89396</v>
      </c>
      <c r="B2850" s="26" t="s">
        <v>9217</v>
      </c>
      <c r="C2850" s="28" t="s">
        <v>65</v>
      </c>
      <c r="D2850" s="329">
        <v>14.64</v>
      </c>
    </row>
    <row r="2851" spans="1:4" ht="30">
      <c r="A2851" s="47">
        <v>89397</v>
      </c>
      <c r="B2851" s="48" t="s">
        <v>9307</v>
      </c>
      <c r="C2851" s="47" t="s">
        <v>65</v>
      </c>
      <c r="D2851" s="332">
        <v>9.6300000000000008</v>
      </c>
    </row>
    <row r="2852" spans="1:4" ht="30">
      <c r="A2852" s="28">
        <v>89398</v>
      </c>
      <c r="B2852" s="26" t="s">
        <v>9474</v>
      </c>
      <c r="C2852" s="28" t="s">
        <v>65</v>
      </c>
      <c r="D2852" s="329">
        <v>11.31</v>
      </c>
    </row>
    <row r="2853" spans="1:4" ht="30">
      <c r="A2853" s="47">
        <v>89399</v>
      </c>
      <c r="B2853" s="48" t="s">
        <v>9221</v>
      </c>
      <c r="C2853" s="47" t="s">
        <v>65</v>
      </c>
      <c r="D2853" s="332">
        <v>21.46</v>
      </c>
    </row>
    <row r="2854" spans="1:4" ht="30">
      <c r="A2854" s="28">
        <v>89400</v>
      </c>
      <c r="B2854" s="26" t="s">
        <v>9311</v>
      </c>
      <c r="C2854" s="28" t="s">
        <v>65</v>
      </c>
      <c r="D2854" s="329">
        <v>13.38</v>
      </c>
    </row>
    <row r="2855" spans="1:4" ht="30">
      <c r="A2855" s="47">
        <v>89404</v>
      </c>
      <c r="B2855" s="48" t="s">
        <v>6351</v>
      </c>
      <c r="C2855" s="47" t="s">
        <v>65</v>
      </c>
      <c r="D2855" s="332">
        <v>3.37</v>
      </c>
    </row>
    <row r="2856" spans="1:4" ht="30">
      <c r="A2856" s="28">
        <v>89405</v>
      </c>
      <c r="B2856" s="26" t="s">
        <v>6282</v>
      </c>
      <c r="C2856" s="28" t="s">
        <v>65</v>
      </c>
      <c r="D2856" s="329">
        <v>3.57</v>
      </c>
    </row>
    <row r="2857" spans="1:4" ht="30">
      <c r="A2857" s="47">
        <v>89406</v>
      </c>
      <c r="B2857" s="48" t="s">
        <v>4493</v>
      </c>
      <c r="C2857" s="47" t="s">
        <v>65</v>
      </c>
      <c r="D2857" s="332">
        <v>4.66</v>
      </c>
    </row>
    <row r="2858" spans="1:4" ht="30">
      <c r="A2858" s="28">
        <v>89407</v>
      </c>
      <c r="B2858" s="26" t="s">
        <v>4414</v>
      </c>
      <c r="C2858" s="28" t="s">
        <v>65</v>
      </c>
      <c r="D2858" s="329">
        <v>4.57</v>
      </c>
    </row>
    <row r="2859" spans="1:4" ht="30">
      <c r="A2859" s="47">
        <v>89408</v>
      </c>
      <c r="B2859" s="48" t="s">
        <v>6355</v>
      </c>
      <c r="C2859" s="47" t="s">
        <v>65</v>
      </c>
      <c r="D2859" s="332">
        <v>4.0999999999999996</v>
      </c>
    </row>
    <row r="2860" spans="1:4" ht="30">
      <c r="A2860" s="28">
        <v>89409</v>
      </c>
      <c r="B2860" s="26" t="s">
        <v>6286</v>
      </c>
      <c r="C2860" s="28" t="s">
        <v>65</v>
      </c>
      <c r="D2860" s="329">
        <v>4.5599999999999996</v>
      </c>
    </row>
    <row r="2861" spans="1:4" ht="30">
      <c r="A2861" s="47">
        <v>89410</v>
      </c>
      <c r="B2861" s="48" t="s">
        <v>4496</v>
      </c>
      <c r="C2861" s="47" t="s">
        <v>65</v>
      </c>
      <c r="D2861" s="332">
        <v>5.95</v>
      </c>
    </row>
    <row r="2862" spans="1:4" ht="30">
      <c r="A2862" s="28">
        <v>89411</v>
      </c>
      <c r="B2862" s="26" t="s">
        <v>4417</v>
      </c>
      <c r="C2862" s="28" t="s">
        <v>65</v>
      </c>
      <c r="D2862" s="329">
        <v>5.47</v>
      </c>
    </row>
    <row r="2863" spans="1:4" ht="30">
      <c r="A2863" s="47">
        <v>89412</v>
      </c>
      <c r="B2863" s="48" t="s">
        <v>6357</v>
      </c>
      <c r="C2863" s="47" t="s">
        <v>65</v>
      </c>
      <c r="D2863" s="332">
        <v>5.76</v>
      </c>
    </row>
    <row r="2864" spans="1:4" ht="30">
      <c r="A2864" s="28">
        <v>89413</v>
      </c>
      <c r="B2864" s="26" t="s">
        <v>6360</v>
      </c>
      <c r="C2864" s="28" t="s">
        <v>65</v>
      </c>
      <c r="D2864" s="329">
        <v>5.8</v>
      </c>
    </row>
    <row r="2865" spans="1:4" ht="30">
      <c r="A2865" s="47">
        <v>89414</v>
      </c>
      <c r="B2865" s="48" t="s">
        <v>6289</v>
      </c>
      <c r="C2865" s="47" t="s">
        <v>65</v>
      </c>
      <c r="D2865" s="332">
        <v>7.05</v>
      </c>
    </row>
    <row r="2866" spans="1:4" ht="30">
      <c r="A2866" s="28">
        <v>89415</v>
      </c>
      <c r="B2866" s="26" t="s">
        <v>4500</v>
      </c>
      <c r="C2866" s="28" t="s">
        <v>65</v>
      </c>
      <c r="D2866" s="329">
        <v>9.2100000000000009</v>
      </c>
    </row>
    <row r="2867" spans="1:4" ht="30">
      <c r="A2867" s="47">
        <v>89416</v>
      </c>
      <c r="B2867" s="48" t="s">
        <v>4420</v>
      </c>
      <c r="C2867" s="47" t="s">
        <v>65</v>
      </c>
      <c r="D2867" s="332">
        <v>7.45</v>
      </c>
    </row>
    <row r="2868" spans="1:4" ht="30">
      <c r="A2868" s="28">
        <v>89417</v>
      </c>
      <c r="B2868" s="26" t="s">
        <v>7166</v>
      </c>
      <c r="C2868" s="28" t="s">
        <v>65</v>
      </c>
      <c r="D2868" s="329">
        <v>2.91</v>
      </c>
    </row>
    <row r="2869" spans="1:4" ht="30">
      <c r="A2869" s="47">
        <v>89418</v>
      </c>
      <c r="B2869" s="48" t="s">
        <v>6897</v>
      </c>
      <c r="C2869" s="47" t="s">
        <v>65</v>
      </c>
      <c r="D2869" s="332">
        <v>10.5</v>
      </c>
    </row>
    <row r="2870" spans="1:4" ht="30">
      <c r="A2870" s="28">
        <v>89419</v>
      </c>
      <c r="B2870" s="26" t="s">
        <v>6986</v>
      </c>
      <c r="C2870" s="28" t="s">
        <v>65</v>
      </c>
      <c r="D2870" s="329">
        <v>3.45</v>
      </c>
    </row>
    <row r="2871" spans="1:4" ht="30">
      <c r="A2871" s="47">
        <v>89420</v>
      </c>
      <c r="B2871" s="48" t="s">
        <v>6794</v>
      </c>
      <c r="C2871" s="47" t="s">
        <v>65</v>
      </c>
      <c r="D2871" s="332">
        <v>7.27</v>
      </c>
    </row>
    <row r="2872" spans="1:4" ht="30">
      <c r="A2872" s="28">
        <v>89421</v>
      </c>
      <c r="B2872" s="26" t="s">
        <v>10618</v>
      </c>
      <c r="C2872" s="28" t="s">
        <v>65</v>
      </c>
      <c r="D2872" s="329">
        <v>7.11</v>
      </c>
    </row>
    <row r="2873" spans="1:4" ht="45">
      <c r="A2873" s="47">
        <v>89422</v>
      </c>
      <c r="B2873" s="48" t="s">
        <v>1513</v>
      </c>
      <c r="C2873" s="47" t="s">
        <v>65</v>
      </c>
      <c r="D2873" s="332">
        <v>2.91</v>
      </c>
    </row>
    <row r="2874" spans="1:4" ht="30">
      <c r="A2874" s="28">
        <v>89423</v>
      </c>
      <c r="B2874" s="26" t="s">
        <v>4569</v>
      </c>
      <c r="C2874" s="28" t="s">
        <v>65</v>
      </c>
      <c r="D2874" s="329">
        <v>5.16</v>
      </c>
    </row>
    <row r="2875" spans="1:4" ht="30">
      <c r="A2875" s="47">
        <v>89424</v>
      </c>
      <c r="B2875" s="48" t="s">
        <v>7170</v>
      </c>
      <c r="C2875" s="47" t="s">
        <v>65</v>
      </c>
      <c r="D2875" s="332">
        <v>3.4</v>
      </c>
    </row>
    <row r="2876" spans="1:4" ht="30">
      <c r="A2876" s="28">
        <v>89425</v>
      </c>
      <c r="B2876" s="26" t="s">
        <v>6900</v>
      </c>
      <c r="C2876" s="28" t="s">
        <v>65</v>
      </c>
      <c r="D2876" s="329">
        <v>14.29</v>
      </c>
    </row>
    <row r="2877" spans="1:4" ht="30">
      <c r="A2877" s="47">
        <v>89426</v>
      </c>
      <c r="B2877" s="48" t="s">
        <v>6989</v>
      </c>
      <c r="C2877" s="47" t="s">
        <v>65</v>
      </c>
      <c r="D2877" s="332">
        <v>5.58</v>
      </c>
    </row>
    <row r="2878" spans="1:4" ht="30">
      <c r="A2878" s="28">
        <v>89427</v>
      </c>
      <c r="B2878" s="26" t="s">
        <v>6797</v>
      </c>
      <c r="C2878" s="28" t="s">
        <v>65</v>
      </c>
      <c r="D2878" s="329">
        <v>9.36</v>
      </c>
    </row>
    <row r="2879" spans="1:4" ht="30">
      <c r="A2879" s="47">
        <v>89428</v>
      </c>
      <c r="B2879" s="48" t="s">
        <v>10621</v>
      </c>
      <c r="C2879" s="47" t="s">
        <v>65</v>
      </c>
      <c r="D2879" s="332">
        <v>8.3800000000000008</v>
      </c>
    </row>
    <row r="2880" spans="1:4" ht="45">
      <c r="A2880" s="28">
        <v>89429</v>
      </c>
      <c r="B2880" s="26" t="s">
        <v>1516</v>
      </c>
      <c r="C2880" s="28" t="s">
        <v>65</v>
      </c>
      <c r="D2880" s="329">
        <v>3.39</v>
      </c>
    </row>
    <row r="2881" spans="1:4" ht="30">
      <c r="A2881" s="47">
        <v>89430</v>
      </c>
      <c r="B2881" s="48" t="s">
        <v>4572</v>
      </c>
      <c r="C2881" s="47" t="s">
        <v>65</v>
      </c>
      <c r="D2881" s="332">
        <v>6.86</v>
      </c>
    </row>
    <row r="2882" spans="1:4" ht="30">
      <c r="A2882" s="28">
        <v>89431</v>
      </c>
      <c r="B2882" s="26" t="s">
        <v>7173</v>
      </c>
      <c r="C2882" s="28" t="s">
        <v>65</v>
      </c>
      <c r="D2882" s="329">
        <v>4.8600000000000003</v>
      </c>
    </row>
    <row r="2883" spans="1:4" ht="30">
      <c r="A2883" s="47">
        <v>89432</v>
      </c>
      <c r="B2883" s="48" t="s">
        <v>6903</v>
      </c>
      <c r="C2883" s="47" t="s">
        <v>65</v>
      </c>
      <c r="D2883" s="332">
        <v>23.01</v>
      </c>
    </row>
    <row r="2884" spans="1:4" ht="30">
      <c r="A2884" s="28">
        <v>89433</v>
      </c>
      <c r="B2884" s="26" t="s">
        <v>6992</v>
      </c>
      <c r="C2884" s="28" t="s">
        <v>65</v>
      </c>
      <c r="D2884" s="329">
        <v>6.85</v>
      </c>
    </row>
    <row r="2885" spans="1:4" ht="30">
      <c r="A2885" s="47">
        <v>89434</v>
      </c>
      <c r="B2885" s="48" t="s">
        <v>7119</v>
      </c>
      <c r="C2885" s="47" t="s">
        <v>65</v>
      </c>
      <c r="D2885" s="332">
        <v>7.72</v>
      </c>
    </row>
    <row r="2886" spans="1:4" ht="30">
      <c r="A2886" s="28">
        <v>89435</v>
      </c>
      <c r="B2886" s="26" t="s">
        <v>10624</v>
      </c>
      <c r="C2886" s="28" t="s">
        <v>65</v>
      </c>
      <c r="D2886" s="329">
        <v>12.95</v>
      </c>
    </row>
    <row r="2887" spans="1:4" ht="45">
      <c r="A2887" s="47">
        <v>89436</v>
      </c>
      <c r="B2887" s="48" t="s">
        <v>1520</v>
      </c>
      <c r="C2887" s="47" t="s">
        <v>65</v>
      </c>
      <c r="D2887" s="332">
        <v>4.74</v>
      </c>
    </row>
    <row r="2888" spans="1:4" ht="30">
      <c r="A2888" s="28">
        <v>89437</v>
      </c>
      <c r="B2888" s="26" t="s">
        <v>4575</v>
      </c>
      <c r="C2888" s="28" t="s">
        <v>65</v>
      </c>
      <c r="D2888" s="329">
        <v>14.19</v>
      </c>
    </row>
    <row r="2889" spans="1:4" ht="30">
      <c r="A2889" s="47">
        <v>89438</v>
      </c>
      <c r="B2889" s="48" t="s">
        <v>9465</v>
      </c>
      <c r="C2889" s="47" t="s">
        <v>65</v>
      </c>
      <c r="D2889" s="332">
        <v>4.79</v>
      </c>
    </row>
    <row r="2890" spans="1:4" ht="45">
      <c r="A2890" s="28">
        <v>89439</v>
      </c>
      <c r="B2890" s="26" t="s">
        <v>9382</v>
      </c>
      <c r="C2890" s="28" t="s">
        <v>65</v>
      </c>
      <c r="D2890" s="329">
        <v>5.87</v>
      </c>
    </row>
    <row r="2891" spans="1:4" ht="30">
      <c r="A2891" s="47">
        <v>89440</v>
      </c>
      <c r="B2891" s="48" t="s">
        <v>9469</v>
      </c>
      <c r="C2891" s="47" t="s">
        <v>65</v>
      </c>
      <c r="D2891" s="332">
        <v>5.83</v>
      </c>
    </row>
    <row r="2892" spans="1:4" ht="30">
      <c r="A2892" s="28">
        <v>89441</v>
      </c>
      <c r="B2892" s="26" t="s">
        <v>9216</v>
      </c>
      <c r="C2892" s="28" t="s">
        <v>65</v>
      </c>
      <c r="D2892" s="329">
        <v>12.16</v>
      </c>
    </row>
    <row r="2893" spans="1:4" ht="30">
      <c r="A2893" s="47">
        <v>89442</v>
      </c>
      <c r="B2893" s="48" t="s">
        <v>9306</v>
      </c>
      <c r="C2893" s="47" t="s">
        <v>65</v>
      </c>
      <c r="D2893" s="332">
        <v>7.16</v>
      </c>
    </row>
    <row r="2894" spans="1:4" ht="30">
      <c r="A2894" s="28">
        <v>89443</v>
      </c>
      <c r="B2894" s="26" t="s">
        <v>9473</v>
      </c>
      <c r="C2894" s="28" t="s">
        <v>65</v>
      </c>
      <c r="D2894" s="329">
        <v>8.3699999999999992</v>
      </c>
    </row>
    <row r="2895" spans="1:4" ht="30">
      <c r="A2895" s="47">
        <v>89444</v>
      </c>
      <c r="B2895" s="48" t="s">
        <v>9220</v>
      </c>
      <c r="C2895" s="47" t="s">
        <v>65</v>
      </c>
      <c r="D2895" s="332">
        <v>18.52</v>
      </c>
    </row>
    <row r="2896" spans="1:4" ht="30">
      <c r="A2896" s="28">
        <v>89445</v>
      </c>
      <c r="B2896" s="26" t="s">
        <v>9310</v>
      </c>
      <c r="C2896" s="28" t="s">
        <v>65</v>
      </c>
      <c r="D2896" s="329">
        <v>10.44</v>
      </c>
    </row>
    <row r="2897" spans="1:4" ht="30">
      <c r="A2897" s="47">
        <v>89481</v>
      </c>
      <c r="B2897" s="48" t="s">
        <v>6354</v>
      </c>
      <c r="C2897" s="47" t="s">
        <v>65</v>
      </c>
      <c r="D2897" s="332">
        <v>3.17</v>
      </c>
    </row>
    <row r="2898" spans="1:4" ht="30">
      <c r="A2898" s="28">
        <v>89485</v>
      </c>
      <c r="B2898" s="26" t="s">
        <v>6285</v>
      </c>
      <c r="C2898" s="28" t="s">
        <v>65</v>
      </c>
      <c r="D2898" s="329">
        <v>3.62</v>
      </c>
    </row>
    <row r="2899" spans="1:4" ht="30">
      <c r="A2899" s="47">
        <v>89489</v>
      </c>
      <c r="B2899" s="48" t="s">
        <v>4495</v>
      </c>
      <c r="C2899" s="47" t="s">
        <v>65</v>
      </c>
      <c r="D2899" s="332">
        <v>5.0199999999999996</v>
      </c>
    </row>
    <row r="2900" spans="1:4" ht="30">
      <c r="A2900" s="28">
        <v>89490</v>
      </c>
      <c r="B2900" s="26" t="s">
        <v>4416</v>
      </c>
      <c r="C2900" s="28" t="s">
        <v>65</v>
      </c>
      <c r="D2900" s="329">
        <v>4.53</v>
      </c>
    </row>
    <row r="2901" spans="1:4" ht="30">
      <c r="A2901" s="47">
        <v>89492</v>
      </c>
      <c r="B2901" s="48" t="s">
        <v>6359</v>
      </c>
      <c r="C2901" s="47" t="s">
        <v>65</v>
      </c>
      <c r="D2901" s="332">
        <v>4.74</v>
      </c>
    </row>
    <row r="2902" spans="1:4" ht="30">
      <c r="A2902" s="28">
        <v>89493</v>
      </c>
      <c r="B2902" s="26" t="s">
        <v>6288</v>
      </c>
      <c r="C2902" s="28" t="s">
        <v>65</v>
      </c>
      <c r="D2902" s="329">
        <v>5.99</v>
      </c>
    </row>
    <row r="2903" spans="1:4" ht="30">
      <c r="A2903" s="47">
        <v>89494</v>
      </c>
      <c r="B2903" s="48" t="s">
        <v>4499</v>
      </c>
      <c r="C2903" s="47" t="s">
        <v>65</v>
      </c>
      <c r="D2903" s="332">
        <v>8.15</v>
      </c>
    </row>
    <row r="2904" spans="1:4" ht="30">
      <c r="A2904" s="28">
        <v>89496</v>
      </c>
      <c r="B2904" s="26" t="s">
        <v>4419</v>
      </c>
      <c r="C2904" s="28" t="s">
        <v>65</v>
      </c>
      <c r="D2904" s="329">
        <v>6.39</v>
      </c>
    </row>
    <row r="2905" spans="1:4" ht="30">
      <c r="A2905" s="47">
        <v>89497</v>
      </c>
      <c r="B2905" s="48" t="s">
        <v>6363</v>
      </c>
      <c r="C2905" s="47" t="s">
        <v>65</v>
      </c>
      <c r="D2905" s="332">
        <v>7.69</v>
      </c>
    </row>
    <row r="2906" spans="1:4" ht="30">
      <c r="A2906" s="28">
        <v>89498</v>
      </c>
      <c r="B2906" s="26" t="s">
        <v>6291</v>
      </c>
      <c r="C2906" s="28" t="s">
        <v>65</v>
      </c>
      <c r="D2906" s="329">
        <v>8.0399999999999991</v>
      </c>
    </row>
    <row r="2907" spans="1:4" ht="30">
      <c r="A2907" s="47">
        <v>89499</v>
      </c>
      <c r="B2907" s="48" t="s">
        <v>4503</v>
      </c>
      <c r="C2907" s="47" t="s">
        <v>65</v>
      </c>
      <c r="D2907" s="332">
        <v>12.93</v>
      </c>
    </row>
    <row r="2908" spans="1:4" ht="30">
      <c r="A2908" s="28">
        <v>89500</v>
      </c>
      <c r="B2908" s="26" t="s">
        <v>4422</v>
      </c>
      <c r="C2908" s="28" t="s">
        <v>65</v>
      </c>
      <c r="D2908" s="329">
        <v>8.02</v>
      </c>
    </row>
    <row r="2909" spans="1:4" ht="30">
      <c r="A2909" s="47">
        <v>89501</v>
      </c>
      <c r="B2909" s="48" t="s">
        <v>6365</v>
      </c>
      <c r="C2909" s="47" t="s">
        <v>65</v>
      </c>
      <c r="D2909" s="332">
        <v>9.3800000000000008</v>
      </c>
    </row>
    <row r="2910" spans="1:4" ht="30">
      <c r="A2910" s="28">
        <v>89502</v>
      </c>
      <c r="B2910" s="26" t="s">
        <v>6292</v>
      </c>
      <c r="C2910" s="28" t="s">
        <v>65</v>
      </c>
      <c r="D2910" s="329">
        <v>10.31</v>
      </c>
    </row>
    <row r="2911" spans="1:4" ht="30">
      <c r="A2911" s="47">
        <v>89503</v>
      </c>
      <c r="B2911" s="48" t="s">
        <v>4505</v>
      </c>
      <c r="C2911" s="47" t="s">
        <v>65</v>
      </c>
      <c r="D2911" s="332">
        <v>15.13</v>
      </c>
    </row>
    <row r="2912" spans="1:4" ht="30">
      <c r="A2912" s="28">
        <v>89504</v>
      </c>
      <c r="B2912" s="26" t="s">
        <v>4423</v>
      </c>
      <c r="C2912" s="28" t="s">
        <v>65</v>
      </c>
      <c r="D2912" s="329">
        <v>13.6</v>
      </c>
    </row>
    <row r="2913" spans="1:4" ht="30">
      <c r="A2913" s="47">
        <v>89505</v>
      </c>
      <c r="B2913" s="48" t="s">
        <v>6367</v>
      </c>
      <c r="C2913" s="47" t="s">
        <v>65</v>
      </c>
      <c r="D2913" s="332">
        <v>25.24</v>
      </c>
    </row>
    <row r="2914" spans="1:4" ht="30">
      <c r="A2914" s="28">
        <v>89506</v>
      </c>
      <c r="B2914" s="26" t="s">
        <v>6293</v>
      </c>
      <c r="C2914" s="28" t="s">
        <v>65</v>
      </c>
      <c r="D2914" s="329">
        <v>24.58</v>
      </c>
    </row>
    <row r="2915" spans="1:4" ht="30">
      <c r="A2915" s="47">
        <v>89507</v>
      </c>
      <c r="B2915" s="48" t="s">
        <v>4507</v>
      </c>
      <c r="C2915" s="47" t="s">
        <v>65</v>
      </c>
      <c r="D2915" s="332">
        <v>29.31</v>
      </c>
    </row>
    <row r="2916" spans="1:4" ht="30">
      <c r="A2916" s="28">
        <v>89510</v>
      </c>
      <c r="B2916" s="26" t="s">
        <v>4424</v>
      </c>
      <c r="C2916" s="28" t="s">
        <v>65</v>
      </c>
      <c r="D2916" s="329">
        <v>20.67</v>
      </c>
    </row>
    <row r="2917" spans="1:4" ht="30">
      <c r="A2917" s="47">
        <v>89513</v>
      </c>
      <c r="B2917" s="48" t="s">
        <v>6369</v>
      </c>
      <c r="C2917" s="47" t="s">
        <v>65</v>
      </c>
      <c r="D2917" s="332">
        <v>68.39</v>
      </c>
    </row>
    <row r="2918" spans="1:4" ht="30">
      <c r="A2918" s="28">
        <v>89514</v>
      </c>
      <c r="B2918" s="26" t="s">
        <v>6346</v>
      </c>
      <c r="C2918" s="28" t="s">
        <v>65</v>
      </c>
      <c r="D2918" s="329">
        <v>7.1</v>
      </c>
    </row>
    <row r="2919" spans="1:4" ht="30">
      <c r="A2919" s="47">
        <v>89515</v>
      </c>
      <c r="B2919" s="48" t="s">
        <v>6294</v>
      </c>
      <c r="C2919" s="47" t="s">
        <v>65</v>
      </c>
      <c r="D2919" s="332">
        <v>52.94</v>
      </c>
    </row>
    <row r="2920" spans="1:4" ht="30">
      <c r="A2920" s="28">
        <v>89516</v>
      </c>
      <c r="B2920" s="26" t="s">
        <v>6278</v>
      </c>
      <c r="C2920" s="28" t="s">
        <v>65</v>
      </c>
      <c r="D2920" s="329">
        <v>6.7</v>
      </c>
    </row>
    <row r="2921" spans="1:4" ht="30">
      <c r="A2921" s="47">
        <v>89517</v>
      </c>
      <c r="B2921" s="48" t="s">
        <v>4509</v>
      </c>
      <c r="C2921" s="47" t="s">
        <v>65</v>
      </c>
      <c r="D2921" s="332">
        <v>48.57</v>
      </c>
    </row>
    <row r="2922" spans="1:4" ht="30">
      <c r="A2922" s="28">
        <v>89518</v>
      </c>
      <c r="B2922" s="26" t="s">
        <v>6347</v>
      </c>
      <c r="C2922" s="28" t="s">
        <v>65</v>
      </c>
      <c r="D2922" s="329">
        <v>10.039999999999999</v>
      </c>
    </row>
    <row r="2923" spans="1:4" ht="30">
      <c r="A2923" s="47">
        <v>89519</v>
      </c>
      <c r="B2923" s="48" t="s">
        <v>4425</v>
      </c>
      <c r="C2923" s="47" t="s">
        <v>65</v>
      </c>
      <c r="D2923" s="332">
        <v>37.9</v>
      </c>
    </row>
    <row r="2924" spans="1:4" ht="30">
      <c r="A2924" s="28">
        <v>89520</v>
      </c>
      <c r="B2924" s="26" t="s">
        <v>6279</v>
      </c>
      <c r="C2924" s="28" t="s">
        <v>65</v>
      </c>
      <c r="D2924" s="329">
        <v>9.18</v>
      </c>
    </row>
    <row r="2925" spans="1:4" ht="30">
      <c r="A2925" s="47">
        <v>89521</v>
      </c>
      <c r="B2925" s="48" t="s">
        <v>6371</v>
      </c>
      <c r="C2925" s="47" t="s">
        <v>65</v>
      </c>
      <c r="D2925" s="332">
        <v>77.23</v>
      </c>
    </row>
    <row r="2926" spans="1:4" ht="30">
      <c r="A2926" s="28">
        <v>89522</v>
      </c>
      <c r="B2926" s="26" t="s">
        <v>6349</v>
      </c>
      <c r="C2926" s="28" t="s">
        <v>65</v>
      </c>
      <c r="D2926" s="329">
        <v>21.35</v>
      </c>
    </row>
    <row r="2927" spans="1:4" ht="30">
      <c r="A2927" s="47">
        <v>89523</v>
      </c>
      <c r="B2927" s="48" t="s">
        <v>6295</v>
      </c>
      <c r="C2927" s="47" t="s">
        <v>65</v>
      </c>
      <c r="D2927" s="332">
        <v>60.04</v>
      </c>
    </row>
    <row r="2928" spans="1:4" ht="30">
      <c r="A2928" s="28">
        <v>89524</v>
      </c>
      <c r="B2928" s="26" t="s">
        <v>6281</v>
      </c>
      <c r="C2928" s="28" t="s">
        <v>65</v>
      </c>
      <c r="D2928" s="329">
        <v>20.79</v>
      </c>
    </row>
    <row r="2929" spans="1:4" ht="30">
      <c r="A2929" s="47">
        <v>89525</v>
      </c>
      <c r="B2929" s="48" t="s">
        <v>4511</v>
      </c>
      <c r="C2929" s="47" t="s">
        <v>65</v>
      </c>
      <c r="D2929" s="332">
        <v>57.75</v>
      </c>
    </row>
    <row r="2930" spans="1:4" ht="30">
      <c r="A2930" s="28">
        <v>89526</v>
      </c>
      <c r="B2930" s="26" t="s">
        <v>11050</v>
      </c>
      <c r="C2930" s="28" t="s">
        <v>65</v>
      </c>
      <c r="D2930" s="329">
        <v>23.51</v>
      </c>
    </row>
    <row r="2931" spans="1:4" ht="30">
      <c r="A2931" s="47">
        <v>89527</v>
      </c>
      <c r="B2931" s="48" t="s">
        <v>4426</v>
      </c>
      <c r="C2931" s="47" t="s">
        <v>65</v>
      </c>
      <c r="D2931" s="332">
        <v>44.77</v>
      </c>
    </row>
    <row r="2932" spans="1:4" ht="30">
      <c r="A2932" s="28">
        <v>89528</v>
      </c>
      <c r="B2932" s="26" t="s">
        <v>7169</v>
      </c>
      <c r="C2932" s="28" t="s">
        <v>65</v>
      </c>
      <c r="D2932" s="329">
        <v>2.76</v>
      </c>
    </row>
    <row r="2933" spans="1:4" ht="30">
      <c r="A2933" s="47">
        <v>89529</v>
      </c>
      <c r="B2933" s="48" t="s">
        <v>6344</v>
      </c>
      <c r="C2933" s="47" t="s">
        <v>65</v>
      </c>
      <c r="D2933" s="332">
        <v>33.450000000000003</v>
      </c>
    </row>
    <row r="2934" spans="1:4" ht="30">
      <c r="A2934" s="28">
        <v>89530</v>
      </c>
      <c r="B2934" s="26" t="s">
        <v>6899</v>
      </c>
      <c r="C2934" s="28" t="s">
        <v>65</v>
      </c>
      <c r="D2934" s="329">
        <v>13.66</v>
      </c>
    </row>
    <row r="2935" spans="1:4" ht="30">
      <c r="A2935" s="47">
        <v>89531</v>
      </c>
      <c r="B2935" s="48" t="s">
        <v>6276</v>
      </c>
      <c r="C2935" s="47" t="s">
        <v>65</v>
      </c>
      <c r="D2935" s="332">
        <v>28.28</v>
      </c>
    </row>
    <row r="2936" spans="1:4" ht="30">
      <c r="A2936" s="28">
        <v>89532</v>
      </c>
      <c r="B2936" s="26" t="s">
        <v>6988</v>
      </c>
      <c r="C2936" s="28" t="s">
        <v>65</v>
      </c>
      <c r="D2936" s="329">
        <v>4.95</v>
      </c>
    </row>
    <row r="2937" spans="1:4" ht="30">
      <c r="A2937" s="47">
        <v>89533</v>
      </c>
      <c r="B2937" s="48" t="s">
        <v>11051</v>
      </c>
      <c r="C2937" s="47" t="s">
        <v>65</v>
      </c>
      <c r="D2937" s="332">
        <v>28.28</v>
      </c>
    </row>
    <row r="2938" spans="1:4" ht="30">
      <c r="A2938" s="28">
        <v>89534</v>
      </c>
      <c r="B2938" s="26" t="s">
        <v>7116</v>
      </c>
      <c r="C2938" s="28" t="s">
        <v>65</v>
      </c>
      <c r="D2938" s="329">
        <v>3.4</v>
      </c>
    </row>
    <row r="2939" spans="1:4" ht="30">
      <c r="A2939" s="47">
        <v>89535</v>
      </c>
      <c r="B2939" s="48" t="s">
        <v>11052</v>
      </c>
      <c r="C2939" s="47" t="s">
        <v>65</v>
      </c>
      <c r="D2939" s="332">
        <v>38.57</v>
      </c>
    </row>
    <row r="2940" spans="1:4" ht="30">
      <c r="A2940" s="28">
        <v>89536</v>
      </c>
      <c r="B2940" s="26" t="s">
        <v>10620</v>
      </c>
      <c r="C2940" s="28" t="s">
        <v>65</v>
      </c>
      <c r="D2940" s="329">
        <v>7.75</v>
      </c>
    </row>
    <row r="2941" spans="1:4" ht="30">
      <c r="A2941" s="47">
        <v>89538</v>
      </c>
      <c r="B2941" s="48" t="s">
        <v>1515</v>
      </c>
      <c r="C2941" s="47" t="s">
        <v>65</v>
      </c>
      <c r="D2941" s="332">
        <v>2.76</v>
      </c>
    </row>
    <row r="2942" spans="1:4" ht="30">
      <c r="A2942" s="28">
        <v>89540</v>
      </c>
      <c r="B2942" s="26" t="s">
        <v>4571</v>
      </c>
      <c r="C2942" s="28" t="s">
        <v>65</v>
      </c>
      <c r="D2942" s="329">
        <v>6.23</v>
      </c>
    </row>
    <row r="2943" spans="1:4" ht="30">
      <c r="A2943" s="47">
        <v>89541</v>
      </c>
      <c r="B2943" s="48" t="s">
        <v>7172</v>
      </c>
      <c r="C2943" s="47" t="s">
        <v>65</v>
      </c>
      <c r="D2943" s="332">
        <v>4.16</v>
      </c>
    </row>
    <row r="2944" spans="1:4" ht="30">
      <c r="A2944" s="28">
        <v>89542</v>
      </c>
      <c r="B2944" s="26" t="s">
        <v>6902</v>
      </c>
      <c r="C2944" s="28" t="s">
        <v>65</v>
      </c>
      <c r="D2944" s="329">
        <v>22.32</v>
      </c>
    </row>
    <row r="2945" spans="1:4" ht="30">
      <c r="A2945" s="47">
        <v>89544</v>
      </c>
      <c r="B2945" s="48" t="s">
        <v>7095</v>
      </c>
      <c r="C2945" s="47" t="s">
        <v>65</v>
      </c>
      <c r="D2945" s="332">
        <v>6.87</v>
      </c>
    </row>
    <row r="2946" spans="1:4" ht="30">
      <c r="A2946" s="28">
        <v>89545</v>
      </c>
      <c r="B2946" s="26" t="s">
        <v>7096</v>
      </c>
      <c r="C2946" s="28" t="s">
        <v>65</v>
      </c>
      <c r="D2946" s="329">
        <v>9.4700000000000006</v>
      </c>
    </row>
    <row r="2947" spans="1:4" ht="30">
      <c r="A2947" s="47">
        <v>89546</v>
      </c>
      <c r="B2947" s="48" t="s">
        <v>11053</v>
      </c>
      <c r="C2947" s="47" t="s">
        <v>65</v>
      </c>
      <c r="D2947" s="332">
        <v>7.09</v>
      </c>
    </row>
    <row r="2948" spans="1:4" ht="30">
      <c r="A2948" s="28">
        <v>89547</v>
      </c>
      <c r="B2948" s="26" t="s">
        <v>7098</v>
      </c>
      <c r="C2948" s="28" t="s">
        <v>65</v>
      </c>
      <c r="D2948" s="329">
        <v>13.92</v>
      </c>
    </row>
    <row r="2949" spans="1:4" ht="30">
      <c r="A2949" s="47">
        <v>89548</v>
      </c>
      <c r="B2949" s="48" t="s">
        <v>6896</v>
      </c>
      <c r="C2949" s="47" t="s">
        <v>65</v>
      </c>
      <c r="D2949" s="332">
        <v>15.64</v>
      </c>
    </row>
    <row r="2950" spans="1:4" ht="30">
      <c r="A2950" s="28">
        <v>89549</v>
      </c>
      <c r="B2950" s="26" t="s">
        <v>8627</v>
      </c>
      <c r="C2950" s="28" t="s">
        <v>65</v>
      </c>
      <c r="D2950" s="329">
        <v>11.27</v>
      </c>
    </row>
    <row r="2951" spans="1:4" ht="30">
      <c r="A2951" s="47">
        <v>89550</v>
      </c>
      <c r="B2951" s="48" t="s">
        <v>9261</v>
      </c>
      <c r="C2951" s="47" t="s">
        <v>65</v>
      </c>
      <c r="D2951" s="332">
        <v>33.56</v>
      </c>
    </row>
    <row r="2952" spans="1:4" ht="30">
      <c r="A2952" s="28">
        <v>89551</v>
      </c>
      <c r="B2952" s="26" t="s">
        <v>7118</v>
      </c>
      <c r="C2952" s="28" t="s">
        <v>65</v>
      </c>
      <c r="D2952" s="329">
        <v>7.03</v>
      </c>
    </row>
    <row r="2953" spans="1:4" ht="30">
      <c r="A2953" s="47">
        <v>89552</v>
      </c>
      <c r="B2953" s="48" t="s">
        <v>10623</v>
      </c>
      <c r="C2953" s="47" t="s">
        <v>65</v>
      </c>
      <c r="D2953" s="332">
        <v>12.25</v>
      </c>
    </row>
    <row r="2954" spans="1:4" ht="30">
      <c r="A2954" s="28">
        <v>89553</v>
      </c>
      <c r="B2954" s="26" t="s">
        <v>1519</v>
      </c>
      <c r="C2954" s="28" t="s">
        <v>65</v>
      </c>
      <c r="D2954" s="329">
        <v>4.05</v>
      </c>
    </row>
    <row r="2955" spans="1:4" ht="30">
      <c r="A2955" s="47">
        <v>89554</v>
      </c>
      <c r="B2955" s="48" t="s">
        <v>7093</v>
      </c>
      <c r="C2955" s="47" t="s">
        <v>65</v>
      </c>
      <c r="D2955" s="332">
        <v>17.170000000000002</v>
      </c>
    </row>
    <row r="2956" spans="1:4" ht="30">
      <c r="A2956" s="28">
        <v>89555</v>
      </c>
      <c r="B2956" s="26" t="s">
        <v>4574</v>
      </c>
      <c r="C2956" s="28" t="s">
        <v>65</v>
      </c>
      <c r="D2956" s="329">
        <v>13.5</v>
      </c>
    </row>
    <row r="2957" spans="1:4" ht="30">
      <c r="A2957" s="47">
        <v>89556</v>
      </c>
      <c r="B2957" s="48" t="s">
        <v>6893</v>
      </c>
      <c r="C2957" s="47" t="s">
        <v>65</v>
      </c>
      <c r="D2957" s="332">
        <v>25.53</v>
      </c>
    </row>
    <row r="2958" spans="1:4" ht="30">
      <c r="A2958" s="28">
        <v>89557</v>
      </c>
      <c r="B2958" s="26" t="s">
        <v>8624</v>
      </c>
      <c r="C2958" s="28" t="s">
        <v>65</v>
      </c>
      <c r="D2958" s="329">
        <v>20.13</v>
      </c>
    </row>
    <row r="2959" spans="1:4" ht="30">
      <c r="A2959" s="47">
        <v>89558</v>
      </c>
      <c r="B2959" s="48" t="s">
        <v>7176</v>
      </c>
      <c r="C2959" s="47" t="s">
        <v>65</v>
      </c>
      <c r="D2959" s="332">
        <v>6.79</v>
      </c>
    </row>
    <row r="2960" spans="1:4" ht="30">
      <c r="A2960" s="28">
        <v>89559</v>
      </c>
      <c r="B2960" s="26" t="s">
        <v>9259</v>
      </c>
      <c r="C2960" s="28" t="s">
        <v>65</v>
      </c>
      <c r="D2960" s="329">
        <v>45.18</v>
      </c>
    </row>
    <row r="2961" spans="1:4" ht="30">
      <c r="A2961" s="47">
        <v>89561</v>
      </c>
      <c r="B2961" s="48" t="s">
        <v>6514</v>
      </c>
      <c r="C2961" s="47" t="s">
        <v>65</v>
      </c>
      <c r="D2961" s="332">
        <v>12.09</v>
      </c>
    </row>
    <row r="2962" spans="1:4" ht="30">
      <c r="A2962" s="28">
        <v>89562</v>
      </c>
      <c r="B2962" s="26" t="s">
        <v>6991</v>
      </c>
      <c r="C2962" s="28" t="s">
        <v>65</v>
      </c>
      <c r="D2962" s="329">
        <v>6.77</v>
      </c>
    </row>
    <row r="2963" spans="1:4" ht="30">
      <c r="A2963" s="47">
        <v>89563</v>
      </c>
      <c r="B2963" s="48" t="s">
        <v>6515</v>
      </c>
      <c r="C2963" s="47" t="s">
        <v>65</v>
      </c>
      <c r="D2963" s="332">
        <v>17.510000000000002</v>
      </c>
    </row>
    <row r="2964" spans="1:4" ht="30">
      <c r="A2964" s="28">
        <v>89564</v>
      </c>
      <c r="B2964" s="26" t="s">
        <v>6801</v>
      </c>
      <c r="C2964" s="28" t="s">
        <v>65</v>
      </c>
      <c r="D2964" s="329">
        <v>12.84</v>
      </c>
    </row>
    <row r="2965" spans="1:4" ht="30">
      <c r="A2965" s="47">
        <v>89565</v>
      </c>
      <c r="B2965" s="48" t="s">
        <v>6517</v>
      </c>
      <c r="C2965" s="47" t="s">
        <v>65</v>
      </c>
      <c r="D2965" s="332">
        <v>39.47</v>
      </c>
    </row>
    <row r="2966" spans="1:4" ht="30">
      <c r="A2966" s="28">
        <v>89566</v>
      </c>
      <c r="B2966" s="26" t="s">
        <v>9461</v>
      </c>
      <c r="C2966" s="28" t="s">
        <v>65</v>
      </c>
      <c r="D2966" s="329">
        <v>32.61</v>
      </c>
    </row>
    <row r="2967" spans="1:4" ht="30">
      <c r="A2967" s="47">
        <v>89567</v>
      </c>
      <c r="B2967" s="48" t="s">
        <v>6509</v>
      </c>
      <c r="C2967" s="47" t="s">
        <v>65</v>
      </c>
      <c r="D2967" s="332">
        <v>59.71</v>
      </c>
    </row>
    <row r="2968" spans="1:4" ht="30">
      <c r="A2968" s="28">
        <v>89568</v>
      </c>
      <c r="B2968" s="26" t="s">
        <v>10626</v>
      </c>
      <c r="C2968" s="28" t="s">
        <v>65</v>
      </c>
      <c r="D2968" s="329">
        <v>22.16</v>
      </c>
    </row>
    <row r="2969" spans="1:4" ht="30">
      <c r="A2969" s="47">
        <v>89569</v>
      </c>
      <c r="B2969" s="48" t="s">
        <v>6511</v>
      </c>
      <c r="C2969" s="47" t="s">
        <v>65</v>
      </c>
      <c r="D2969" s="332">
        <v>57.73</v>
      </c>
    </row>
    <row r="2970" spans="1:4" ht="30">
      <c r="A2970" s="28">
        <v>89570</v>
      </c>
      <c r="B2970" s="26" t="s">
        <v>1523</v>
      </c>
      <c r="C2970" s="28" t="s">
        <v>65</v>
      </c>
      <c r="D2970" s="329">
        <v>6.76</v>
      </c>
    </row>
    <row r="2971" spans="1:4" ht="30">
      <c r="A2971" s="47">
        <v>89571</v>
      </c>
      <c r="B2971" s="48" t="s">
        <v>9456</v>
      </c>
      <c r="C2971" s="47" t="s">
        <v>65</v>
      </c>
      <c r="D2971" s="332">
        <v>52.8</v>
      </c>
    </row>
    <row r="2972" spans="1:4" ht="30">
      <c r="A2972" s="28">
        <v>89572</v>
      </c>
      <c r="B2972" s="26" t="s">
        <v>1524</v>
      </c>
      <c r="C2972" s="28" t="s">
        <v>65</v>
      </c>
      <c r="D2972" s="329">
        <v>5.9</v>
      </c>
    </row>
    <row r="2973" spans="1:4" ht="30">
      <c r="A2973" s="47">
        <v>89573</v>
      </c>
      <c r="B2973" s="48" t="s">
        <v>9458</v>
      </c>
      <c r="C2973" s="47" t="s">
        <v>65</v>
      </c>
      <c r="D2973" s="332">
        <v>41.24</v>
      </c>
    </row>
    <row r="2974" spans="1:4" ht="30">
      <c r="A2974" s="28">
        <v>89574</v>
      </c>
      <c r="B2974" s="26" t="s">
        <v>6475</v>
      </c>
      <c r="C2974" s="28" t="s">
        <v>65</v>
      </c>
      <c r="D2974" s="329">
        <v>76.3</v>
      </c>
    </row>
    <row r="2975" spans="1:4" ht="30">
      <c r="A2975" s="47">
        <v>89575</v>
      </c>
      <c r="B2975" s="48" t="s">
        <v>7178</v>
      </c>
      <c r="C2975" s="47" t="s">
        <v>65</v>
      </c>
      <c r="D2975" s="332">
        <v>8.52</v>
      </c>
    </row>
    <row r="2976" spans="1:4" ht="30">
      <c r="A2976" s="28">
        <v>89577</v>
      </c>
      <c r="B2976" s="26" t="s">
        <v>6905</v>
      </c>
      <c r="C2976" s="28" t="s">
        <v>65</v>
      </c>
      <c r="D2976" s="329">
        <v>30.84</v>
      </c>
    </row>
    <row r="2977" spans="1:4" ht="30">
      <c r="A2977" s="47">
        <v>89579</v>
      </c>
      <c r="B2977" s="48" t="s">
        <v>6994</v>
      </c>
      <c r="C2977" s="47" t="s">
        <v>65</v>
      </c>
      <c r="D2977" s="332">
        <v>8.39</v>
      </c>
    </row>
    <row r="2978" spans="1:4" ht="30">
      <c r="A2978" s="28">
        <v>89581</v>
      </c>
      <c r="B2978" s="26" t="s">
        <v>6348</v>
      </c>
      <c r="C2978" s="28" t="s">
        <v>65</v>
      </c>
      <c r="D2978" s="329">
        <v>20.13</v>
      </c>
    </row>
    <row r="2979" spans="1:4" ht="30">
      <c r="A2979" s="47">
        <v>89582</v>
      </c>
      <c r="B2979" s="48" t="s">
        <v>6280</v>
      </c>
      <c r="C2979" s="47" t="s">
        <v>65</v>
      </c>
      <c r="D2979" s="332">
        <v>19.579999999999998</v>
      </c>
    </row>
    <row r="2980" spans="1:4" ht="30">
      <c r="A2980" s="28">
        <v>89583</v>
      </c>
      <c r="B2980" s="26" t="s">
        <v>11054</v>
      </c>
      <c r="C2980" s="28" t="s">
        <v>65</v>
      </c>
      <c r="D2980" s="329">
        <v>22.29</v>
      </c>
    </row>
    <row r="2981" spans="1:4" ht="30">
      <c r="A2981" s="47">
        <v>89584</v>
      </c>
      <c r="B2981" s="48" t="s">
        <v>6343</v>
      </c>
      <c r="C2981" s="47" t="s">
        <v>65</v>
      </c>
      <c r="D2981" s="332">
        <v>32.24</v>
      </c>
    </row>
    <row r="2982" spans="1:4" ht="30">
      <c r="A2982" s="28">
        <v>89585</v>
      </c>
      <c r="B2982" s="26" t="s">
        <v>6275</v>
      </c>
      <c r="C2982" s="28" t="s">
        <v>65</v>
      </c>
      <c r="D2982" s="329">
        <v>27.07</v>
      </c>
    </row>
    <row r="2983" spans="1:4" ht="45">
      <c r="A2983" s="47">
        <v>89586</v>
      </c>
      <c r="B2983" s="48" t="s">
        <v>11055</v>
      </c>
      <c r="C2983" s="47" t="s">
        <v>65</v>
      </c>
      <c r="D2983" s="332">
        <v>27.07</v>
      </c>
    </row>
    <row r="2984" spans="1:4" ht="30">
      <c r="A2984" s="28">
        <v>89587</v>
      </c>
      <c r="B2984" s="26" t="s">
        <v>11056</v>
      </c>
      <c r="C2984" s="28" t="s">
        <v>65</v>
      </c>
      <c r="D2984" s="329">
        <v>37.35</v>
      </c>
    </row>
    <row r="2985" spans="1:4" ht="30">
      <c r="A2985" s="47">
        <v>89590</v>
      </c>
      <c r="B2985" s="48" t="s">
        <v>6345</v>
      </c>
      <c r="C2985" s="47" t="s">
        <v>65</v>
      </c>
      <c r="D2985" s="332">
        <v>101.07</v>
      </c>
    </row>
    <row r="2986" spans="1:4" ht="30">
      <c r="A2986" s="28">
        <v>89591</v>
      </c>
      <c r="B2986" s="26" t="s">
        <v>6277</v>
      </c>
      <c r="C2986" s="28" t="s">
        <v>65</v>
      </c>
      <c r="D2986" s="329">
        <v>81.75</v>
      </c>
    </row>
    <row r="2987" spans="1:4" ht="30">
      <c r="A2987" s="47">
        <v>89592</v>
      </c>
      <c r="B2987" s="48" t="s">
        <v>11057</v>
      </c>
      <c r="C2987" s="47" t="s">
        <v>65</v>
      </c>
      <c r="D2987" s="332">
        <v>241.93</v>
      </c>
    </row>
    <row r="2988" spans="1:4" ht="30">
      <c r="A2988" s="28">
        <v>89593</v>
      </c>
      <c r="B2988" s="26" t="s">
        <v>6802</v>
      </c>
      <c r="C2988" s="28" t="s">
        <v>65</v>
      </c>
      <c r="D2988" s="329">
        <v>21.35</v>
      </c>
    </row>
    <row r="2989" spans="1:4" ht="30">
      <c r="A2989" s="47">
        <v>89594</v>
      </c>
      <c r="B2989" s="48" t="s">
        <v>10627</v>
      </c>
      <c r="C2989" s="47" t="s">
        <v>65</v>
      </c>
      <c r="D2989" s="332">
        <v>26.61</v>
      </c>
    </row>
    <row r="2990" spans="1:4" ht="30">
      <c r="A2990" s="28">
        <v>89595</v>
      </c>
      <c r="B2990" s="26" t="s">
        <v>1527</v>
      </c>
      <c r="C2990" s="28" t="s">
        <v>65</v>
      </c>
      <c r="D2990" s="329">
        <v>10.54</v>
      </c>
    </row>
    <row r="2991" spans="1:4" ht="30">
      <c r="A2991" s="47">
        <v>89596</v>
      </c>
      <c r="B2991" s="48" t="s">
        <v>1526</v>
      </c>
      <c r="C2991" s="47" t="s">
        <v>65</v>
      </c>
      <c r="D2991" s="332">
        <v>7.64</v>
      </c>
    </row>
    <row r="2992" spans="1:4" ht="30">
      <c r="A2992" s="28">
        <v>89597</v>
      </c>
      <c r="B2992" s="26" t="s">
        <v>7180</v>
      </c>
      <c r="C2992" s="28" t="s">
        <v>65</v>
      </c>
      <c r="D2992" s="329">
        <v>17.09</v>
      </c>
    </row>
    <row r="2993" spans="1:4" ht="30">
      <c r="A2993" s="47">
        <v>89598</v>
      </c>
      <c r="B2993" s="48" t="s">
        <v>6906</v>
      </c>
      <c r="C2993" s="47" t="s">
        <v>65</v>
      </c>
      <c r="D2993" s="332">
        <v>40.79</v>
      </c>
    </row>
    <row r="2994" spans="1:4" ht="30">
      <c r="A2994" s="28">
        <v>89599</v>
      </c>
      <c r="B2994" s="26" t="s">
        <v>7097</v>
      </c>
      <c r="C2994" s="28" t="s">
        <v>65</v>
      </c>
      <c r="D2994" s="329">
        <v>13.01</v>
      </c>
    </row>
    <row r="2995" spans="1:4" ht="30">
      <c r="A2995" s="47">
        <v>89600</v>
      </c>
      <c r="B2995" s="48" t="s">
        <v>6895</v>
      </c>
      <c r="C2995" s="47" t="s">
        <v>65</v>
      </c>
      <c r="D2995" s="332">
        <v>14.73</v>
      </c>
    </row>
    <row r="2996" spans="1:4" ht="30">
      <c r="A2996" s="28">
        <v>89605</v>
      </c>
      <c r="B2996" s="26" t="s">
        <v>6995</v>
      </c>
      <c r="C2996" s="28" t="s">
        <v>65</v>
      </c>
      <c r="D2996" s="329">
        <v>15.27</v>
      </c>
    </row>
    <row r="2997" spans="1:4" ht="30">
      <c r="A2997" s="47">
        <v>89609</v>
      </c>
      <c r="B2997" s="48" t="s">
        <v>10628</v>
      </c>
      <c r="C2997" s="47" t="s">
        <v>65</v>
      </c>
      <c r="D2997" s="332">
        <v>57.13</v>
      </c>
    </row>
    <row r="2998" spans="1:4" ht="30">
      <c r="A2998" s="28">
        <v>89610</v>
      </c>
      <c r="B2998" s="26" t="s">
        <v>1529</v>
      </c>
      <c r="C2998" s="28" t="s">
        <v>65</v>
      </c>
      <c r="D2998" s="329">
        <v>14.03</v>
      </c>
    </row>
    <row r="2999" spans="1:4" ht="30">
      <c r="A2999" s="47">
        <v>89611</v>
      </c>
      <c r="B2999" s="48" t="s">
        <v>7182</v>
      </c>
      <c r="C2999" s="47" t="s">
        <v>65</v>
      </c>
      <c r="D2999" s="332">
        <v>25.4</v>
      </c>
    </row>
    <row r="3000" spans="1:4" ht="30">
      <c r="A3000" s="28">
        <v>89612</v>
      </c>
      <c r="B3000" s="26" t="s">
        <v>10629</v>
      </c>
      <c r="C3000" s="28" t="s">
        <v>65</v>
      </c>
      <c r="D3000" s="329">
        <v>115.47</v>
      </c>
    </row>
    <row r="3001" spans="1:4" ht="30">
      <c r="A3001" s="47">
        <v>89613</v>
      </c>
      <c r="B3001" s="48" t="s">
        <v>1531</v>
      </c>
      <c r="C3001" s="47" t="s">
        <v>65</v>
      </c>
      <c r="D3001" s="332">
        <v>22.82</v>
      </c>
    </row>
    <row r="3002" spans="1:4" ht="30">
      <c r="A3002" s="28">
        <v>89614</v>
      </c>
      <c r="B3002" s="26" t="s">
        <v>7184</v>
      </c>
      <c r="C3002" s="28" t="s">
        <v>65</v>
      </c>
      <c r="D3002" s="329">
        <v>49.08</v>
      </c>
    </row>
    <row r="3003" spans="1:4" ht="30">
      <c r="A3003" s="47">
        <v>89615</v>
      </c>
      <c r="B3003" s="48" t="s">
        <v>10630</v>
      </c>
      <c r="C3003" s="47" t="s">
        <v>65</v>
      </c>
      <c r="D3003" s="332">
        <v>168.78</v>
      </c>
    </row>
    <row r="3004" spans="1:4" ht="30">
      <c r="A3004" s="28">
        <v>89616</v>
      </c>
      <c r="B3004" s="26" t="s">
        <v>1533</v>
      </c>
      <c r="C3004" s="28" t="s">
        <v>65</v>
      </c>
      <c r="D3004" s="329">
        <v>31.53</v>
      </c>
    </row>
    <row r="3005" spans="1:4" ht="30">
      <c r="A3005" s="47">
        <v>89617</v>
      </c>
      <c r="B3005" s="48" t="s">
        <v>9468</v>
      </c>
      <c r="C3005" s="47" t="s">
        <v>65</v>
      </c>
      <c r="D3005" s="332">
        <v>4.58</v>
      </c>
    </row>
    <row r="3006" spans="1:4" ht="30">
      <c r="A3006" s="28">
        <v>89618</v>
      </c>
      <c r="B3006" s="26" t="s">
        <v>9215</v>
      </c>
      <c r="C3006" s="28" t="s">
        <v>65</v>
      </c>
      <c r="D3006" s="329">
        <v>10.91</v>
      </c>
    </row>
    <row r="3007" spans="1:4" ht="30">
      <c r="A3007" s="47">
        <v>89619</v>
      </c>
      <c r="B3007" s="48" t="s">
        <v>9305</v>
      </c>
      <c r="C3007" s="47" t="s">
        <v>65</v>
      </c>
      <c r="D3007" s="332">
        <v>5.91</v>
      </c>
    </row>
    <row r="3008" spans="1:4" ht="30">
      <c r="A3008" s="28">
        <v>89620</v>
      </c>
      <c r="B3008" s="26" t="s">
        <v>9472</v>
      </c>
      <c r="C3008" s="28" t="s">
        <v>65</v>
      </c>
      <c r="D3008" s="329">
        <v>6.97</v>
      </c>
    </row>
    <row r="3009" spans="1:4" ht="30">
      <c r="A3009" s="47">
        <v>89621</v>
      </c>
      <c r="B3009" s="48" t="s">
        <v>9219</v>
      </c>
      <c r="C3009" s="47" t="s">
        <v>65</v>
      </c>
      <c r="D3009" s="332">
        <v>17.11</v>
      </c>
    </row>
    <row r="3010" spans="1:4" ht="30">
      <c r="A3010" s="28">
        <v>89622</v>
      </c>
      <c r="B3010" s="26" t="s">
        <v>9309</v>
      </c>
      <c r="C3010" s="28" t="s">
        <v>65</v>
      </c>
      <c r="D3010" s="329">
        <v>9.0399999999999991</v>
      </c>
    </row>
    <row r="3011" spans="1:4" ht="30">
      <c r="A3011" s="47">
        <v>89623</v>
      </c>
      <c r="B3011" s="48" t="s">
        <v>9476</v>
      </c>
      <c r="C3011" s="47" t="s">
        <v>65</v>
      </c>
      <c r="D3011" s="332">
        <v>11.83</v>
      </c>
    </row>
    <row r="3012" spans="1:4" ht="30">
      <c r="A3012" s="28">
        <v>89624</v>
      </c>
      <c r="B3012" s="26" t="s">
        <v>9313</v>
      </c>
      <c r="C3012" s="28" t="s">
        <v>65</v>
      </c>
      <c r="D3012" s="329">
        <v>11.72</v>
      </c>
    </row>
    <row r="3013" spans="1:4" ht="30">
      <c r="A3013" s="47">
        <v>89625</v>
      </c>
      <c r="B3013" s="48" t="s">
        <v>9478</v>
      </c>
      <c r="C3013" s="47" t="s">
        <v>65</v>
      </c>
      <c r="D3013" s="332">
        <v>14.4</v>
      </c>
    </row>
    <row r="3014" spans="1:4" ht="30">
      <c r="A3014" s="28">
        <v>89626</v>
      </c>
      <c r="B3014" s="26" t="s">
        <v>9316</v>
      </c>
      <c r="C3014" s="28" t="s">
        <v>65</v>
      </c>
      <c r="D3014" s="329">
        <v>17.96</v>
      </c>
    </row>
    <row r="3015" spans="1:4" ht="30">
      <c r="A3015" s="47">
        <v>89627</v>
      </c>
      <c r="B3015" s="48" t="s">
        <v>9315</v>
      </c>
      <c r="C3015" s="47" t="s">
        <v>65</v>
      </c>
      <c r="D3015" s="332">
        <v>14.16</v>
      </c>
    </row>
    <row r="3016" spans="1:4" ht="30">
      <c r="A3016" s="28">
        <v>89628</v>
      </c>
      <c r="B3016" s="26" t="s">
        <v>9480</v>
      </c>
      <c r="C3016" s="28" t="s">
        <v>65</v>
      </c>
      <c r="D3016" s="329">
        <v>29.38</v>
      </c>
    </row>
    <row r="3017" spans="1:4" ht="30">
      <c r="A3017" s="47">
        <v>89629</v>
      </c>
      <c r="B3017" s="48" t="s">
        <v>9482</v>
      </c>
      <c r="C3017" s="47" t="s">
        <v>65</v>
      </c>
      <c r="D3017" s="332">
        <v>51.97</v>
      </c>
    </row>
    <row r="3018" spans="1:4" ht="30">
      <c r="A3018" s="28">
        <v>89630</v>
      </c>
      <c r="B3018" s="26" t="s">
        <v>9318</v>
      </c>
      <c r="C3018" s="28" t="s">
        <v>65</v>
      </c>
      <c r="D3018" s="329">
        <v>44.87</v>
      </c>
    </row>
    <row r="3019" spans="1:4" ht="30">
      <c r="A3019" s="47">
        <v>89631</v>
      </c>
      <c r="B3019" s="48" t="s">
        <v>9484</v>
      </c>
      <c r="C3019" s="47" t="s">
        <v>65</v>
      </c>
      <c r="D3019" s="332">
        <v>75.91</v>
      </c>
    </row>
    <row r="3020" spans="1:4" ht="30">
      <c r="A3020" s="28">
        <v>89632</v>
      </c>
      <c r="B3020" s="26" t="s">
        <v>9320</v>
      </c>
      <c r="C3020" s="28" t="s">
        <v>65</v>
      </c>
      <c r="D3020" s="329">
        <v>65.349999999999994</v>
      </c>
    </row>
    <row r="3021" spans="1:4" ht="30">
      <c r="A3021" s="47">
        <v>89637</v>
      </c>
      <c r="B3021" s="48" t="s">
        <v>6299</v>
      </c>
      <c r="C3021" s="47" t="s">
        <v>65</v>
      </c>
      <c r="D3021" s="332">
        <v>6.47</v>
      </c>
    </row>
    <row r="3022" spans="1:4" ht="30">
      <c r="A3022" s="28">
        <v>89638</v>
      </c>
      <c r="B3022" s="26" t="s">
        <v>6239</v>
      </c>
      <c r="C3022" s="28" t="s">
        <v>65</v>
      </c>
      <c r="D3022" s="329">
        <v>7.24</v>
      </c>
    </row>
    <row r="3023" spans="1:4" ht="30">
      <c r="A3023" s="47">
        <v>89639</v>
      </c>
      <c r="B3023" s="48" t="s">
        <v>4472</v>
      </c>
      <c r="C3023" s="47" t="s">
        <v>65</v>
      </c>
      <c r="D3023" s="332">
        <v>7.54</v>
      </c>
    </row>
    <row r="3024" spans="1:4" ht="30">
      <c r="A3024" s="28">
        <v>89641</v>
      </c>
      <c r="B3024" s="26" t="s">
        <v>6302</v>
      </c>
      <c r="C3024" s="28" t="s">
        <v>65</v>
      </c>
      <c r="D3024" s="329">
        <v>9.15</v>
      </c>
    </row>
    <row r="3025" spans="1:4" ht="30">
      <c r="A3025" s="47">
        <v>89642</v>
      </c>
      <c r="B3025" s="48" t="s">
        <v>6241</v>
      </c>
      <c r="C3025" s="47" t="s">
        <v>65</v>
      </c>
      <c r="D3025" s="332">
        <v>10.62</v>
      </c>
    </row>
    <row r="3026" spans="1:4" ht="30">
      <c r="A3026" s="28">
        <v>89643</v>
      </c>
      <c r="B3026" s="26" t="s">
        <v>4475</v>
      </c>
      <c r="C3026" s="28" t="s">
        <v>65</v>
      </c>
      <c r="D3026" s="329">
        <v>11.11</v>
      </c>
    </row>
    <row r="3027" spans="1:4" ht="30">
      <c r="A3027" s="47">
        <v>89645</v>
      </c>
      <c r="B3027" s="48" t="s">
        <v>6394</v>
      </c>
      <c r="C3027" s="47" t="s">
        <v>65</v>
      </c>
      <c r="D3027" s="332">
        <v>20.309999999999999</v>
      </c>
    </row>
    <row r="3028" spans="1:4" ht="30">
      <c r="A3028" s="28">
        <v>89646</v>
      </c>
      <c r="B3028" s="26" t="s">
        <v>6305</v>
      </c>
      <c r="C3028" s="28" t="s">
        <v>65</v>
      </c>
      <c r="D3028" s="329">
        <v>14.45</v>
      </c>
    </row>
    <row r="3029" spans="1:4" ht="30">
      <c r="A3029" s="47">
        <v>89647</v>
      </c>
      <c r="B3029" s="48" t="s">
        <v>6243</v>
      </c>
      <c r="C3029" s="47" t="s">
        <v>65</v>
      </c>
      <c r="D3029" s="332">
        <v>14.11</v>
      </c>
    </row>
    <row r="3030" spans="1:4" ht="30">
      <c r="A3030" s="28">
        <v>89648</v>
      </c>
      <c r="B3030" s="26" t="s">
        <v>4478</v>
      </c>
      <c r="C3030" s="28" t="s">
        <v>65</v>
      </c>
      <c r="D3030" s="329">
        <v>15.69</v>
      </c>
    </row>
    <row r="3031" spans="1:4" ht="30">
      <c r="A3031" s="47">
        <v>89649</v>
      </c>
      <c r="B3031" s="48" t="s">
        <v>6309</v>
      </c>
      <c r="C3031" s="47" t="s">
        <v>65</v>
      </c>
      <c r="D3031" s="332">
        <v>21.53</v>
      </c>
    </row>
    <row r="3032" spans="1:4" ht="30">
      <c r="A3032" s="28">
        <v>89650</v>
      </c>
      <c r="B3032" s="26" t="s">
        <v>6245</v>
      </c>
      <c r="C3032" s="28" t="s">
        <v>65</v>
      </c>
      <c r="D3032" s="329">
        <v>21.53</v>
      </c>
    </row>
    <row r="3033" spans="1:4" ht="30">
      <c r="A3033" s="47">
        <v>89651</v>
      </c>
      <c r="B3033" s="48" t="s">
        <v>7121</v>
      </c>
      <c r="C3033" s="47" t="s">
        <v>65</v>
      </c>
      <c r="D3033" s="332">
        <v>4.42</v>
      </c>
    </row>
    <row r="3034" spans="1:4" ht="30">
      <c r="A3034" s="28">
        <v>89652</v>
      </c>
      <c r="B3034" s="26" t="s">
        <v>6866</v>
      </c>
      <c r="C3034" s="28" t="s">
        <v>65</v>
      </c>
      <c r="D3034" s="329">
        <v>7.79</v>
      </c>
    </row>
    <row r="3035" spans="1:4" ht="30">
      <c r="A3035" s="47">
        <v>89653</v>
      </c>
      <c r="B3035" s="48" t="s">
        <v>7003</v>
      </c>
      <c r="C3035" s="47" t="s">
        <v>65</v>
      </c>
      <c r="D3035" s="332">
        <v>12.98</v>
      </c>
    </row>
    <row r="3036" spans="1:4" ht="30">
      <c r="A3036" s="28">
        <v>89654</v>
      </c>
      <c r="B3036" s="26" t="s">
        <v>10596</v>
      </c>
      <c r="C3036" s="28" t="s">
        <v>65</v>
      </c>
      <c r="D3036" s="329">
        <v>12.64</v>
      </c>
    </row>
    <row r="3037" spans="1:4" ht="30">
      <c r="A3037" s="47">
        <v>89655</v>
      </c>
      <c r="B3037" s="48" t="s">
        <v>3925</v>
      </c>
      <c r="C3037" s="47" t="s">
        <v>65</v>
      </c>
      <c r="D3037" s="332">
        <v>18.98</v>
      </c>
    </row>
    <row r="3038" spans="1:4" ht="30">
      <c r="A3038" s="28">
        <v>89656</v>
      </c>
      <c r="B3038" s="26" t="s">
        <v>1583</v>
      </c>
      <c r="C3038" s="28" t="s">
        <v>65</v>
      </c>
      <c r="D3038" s="329">
        <v>8.33</v>
      </c>
    </row>
    <row r="3039" spans="1:4" ht="30">
      <c r="A3039" s="47">
        <v>89657</v>
      </c>
      <c r="B3039" s="48" t="s">
        <v>4564</v>
      </c>
      <c r="C3039" s="47" t="s">
        <v>65</v>
      </c>
      <c r="D3039" s="332">
        <v>8.5</v>
      </c>
    </row>
    <row r="3040" spans="1:4" ht="30">
      <c r="A3040" s="28">
        <v>89658</v>
      </c>
      <c r="B3040" s="26" t="s">
        <v>7124</v>
      </c>
      <c r="C3040" s="28" t="s">
        <v>65</v>
      </c>
      <c r="D3040" s="329">
        <v>6.09</v>
      </c>
    </row>
    <row r="3041" spans="1:4" ht="30">
      <c r="A3041" s="47">
        <v>89659</v>
      </c>
      <c r="B3041" s="48" t="s">
        <v>6868</v>
      </c>
      <c r="C3041" s="47" t="s">
        <v>65</v>
      </c>
      <c r="D3041" s="332">
        <v>11.25</v>
      </c>
    </row>
    <row r="3042" spans="1:4" ht="30">
      <c r="A3042" s="28">
        <v>89660</v>
      </c>
      <c r="B3042" s="26" t="s">
        <v>7004</v>
      </c>
      <c r="C3042" s="28" t="s">
        <v>65</v>
      </c>
      <c r="D3042" s="329">
        <v>5.64</v>
      </c>
    </row>
    <row r="3043" spans="1:4" ht="30">
      <c r="A3043" s="47">
        <v>89661</v>
      </c>
      <c r="B3043" s="48" t="s">
        <v>10597</v>
      </c>
      <c r="C3043" s="47" t="s">
        <v>65</v>
      </c>
      <c r="D3043" s="332">
        <v>15.18</v>
      </c>
    </row>
    <row r="3044" spans="1:4" ht="30">
      <c r="A3044" s="28">
        <v>89662</v>
      </c>
      <c r="B3044" s="26" t="s">
        <v>3928</v>
      </c>
      <c r="C3044" s="28" t="s">
        <v>65</v>
      </c>
      <c r="D3044" s="329">
        <v>23.6</v>
      </c>
    </row>
    <row r="3045" spans="1:4" ht="30">
      <c r="A3045" s="47">
        <v>89663</v>
      </c>
      <c r="B3045" s="48" t="s">
        <v>1584</v>
      </c>
      <c r="C3045" s="47" t="s">
        <v>65</v>
      </c>
      <c r="D3045" s="332">
        <v>9.5</v>
      </c>
    </row>
    <row r="3046" spans="1:4" ht="30">
      <c r="A3046" s="28">
        <v>89664</v>
      </c>
      <c r="B3046" s="26" t="s">
        <v>4565</v>
      </c>
      <c r="C3046" s="28" t="s">
        <v>65</v>
      </c>
      <c r="D3046" s="329">
        <v>11.25</v>
      </c>
    </row>
    <row r="3047" spans="1:4" ht="30">
      <c r="A3047" s="47">
        <v>89665</v>
      </c>
      <c r="B3047" s="48" t="s">
        <v>8626</v>
      </c>
      <c r="C3047" s="47" t="s">
        <v>65</v>
      </c>
      <c r="D3047" s="332">
        <v>10.36</v>
      </c>
    </row>
    <row r="3048" spans="1:4" ht="30">
      <c r="A3048" s="28">
        <v>89666</v>
      </c>
      <c r="B3048" s="26" t="s">
        <v>2823</v>
      </c>
      <c r="C3048" s="28" t="s">
        <v>65</v>
      </c>
      <c r="D3048" s="329">
        <v>4.87</v>
      </c>
    </row>
    <row r="3049" spans="1:4" ht="30">
      <c r="A3049" s="47">
        <v>89667</v>
      </c>
      <c r="B3049" s="48" t="s">
        <v>9260</v>
      </c>
      <c r="C3049" s="47" t="s">
        <v>65</v>
      </c>
      <c r="D3049" s="332">
        <v>32.65</v>
      </c>
    </row>
    <row r="3050" spans="1:4" ht="30">
      <c r="A3050" s="28">
        <v>89668</v>
      </c>
      <c r="B3050" s="26" t="s">
        <v>3938</v>
      </c>
      <c r="C3050" s="28" t="s">
        <v>65</v>
      </c>
      <c r="D3050" s="329">
        <v>22.36</v>
      </c>
    </row>
    <row r="3051" spans="1:4" ht="30">
      <c r="A3051" s="47">
        <v>89669</v>
      </c>
      <c r="B3051" s="48" t="s">
        <v>7092</v>
      </c>
      <c r="C3051" s="47" t="s">
        <v>65</v>
      </c>
      <c r="D3051" s="332">
        <v>16.41</v>
      </c>
    </row>
    <row r="3052" spans="1:4" ht="30">
      <c r="A3052" s="28">
        <v>89670</v>
      </c>
      <c r="B3052" s="26" t="s">
        <v>7127</v>
      </c>
      <c r="C3052" s="28" t="s">
        <v>65</v>
      </c>
      <c r="D3052" s="329">
        <v>9.14</v>
      </c>
    </row>
    <row r="3053" spans="1:4" ht="30">
      <c r="A3053" s="47">
        <v>89671</v>
      </c>
      <c r="B3053" s="48" t="s">
        <v>6892</v>
      </c>
      <c r="C3053" s="47" t="s">
        <v>65</v>
      </c>
      <c r="D3053" s="332">
        <v>24.78</v>
      </c>
    </row>
    <row r="3054" spans="1:4" ht="30">
      <c r="A3054" s="28">
        <v>89672</v>
      </c>
      <c r="B3054" s="26" t="s">
        <v>6870</v>
      </c>
      <c r="C3054" s="28" t="s">
        <v>65</v>
      </c>
      <c r="D3054" s="329">
        <v>15.05</v>
      </c>
    </row>
    <row r="3055" spans="1:4" ht="30">
      <c r="A3055" s="47">
        <v>89673</v>
      </c>
      <c r="B3055" s="48" t="s">
        <v>8623</v>
      </c>
      <c r="C3055" s="47" t="s">
        <v>65</v>
      </c>
      <c r="D3055" s="332">
        <v>19.37</v>
      </c>
    </row>
    <row r="3056" spans="1:4" ht="30">
      <c r="A3056" s="28">
        <v>89674</v>
      </c>
      <c r="B3056" s="26" t="s">
        <v>10598</v>
      </c>
      <c r="C3056" s="28" t="s">
        <v>65</v>
      </c>
      <c r="D3056" s="329">
        <v>22.59</v>
      </c>
    </row>
    <row r="3057" spans="1:4" ht="30">
      <c r="A3057" s="47">
        <v>89675</v>
      </c>
      <c r="B3057" s="48" t="s">
        <v>9258</v>
      </c>
      <c r="C3057" s="47" t="s">
        <v>65</v>
      </c>
      <c r="D3057" s="332">
        <v>44.42</v>
      </c>
    </row>
    <row r="3058" spans="1:4" ht="30">
      <c r="A3058" s="28">
        <v>89676</v>
      </c>
      <c r="B3058" s="26" t="s">
        <v>3931</v>
      </c>
      <c r="C3058" s="28" t="s">
        <v>65</v>
      </c>
      <c r="D3058" s="329">
        <v>34.89</v>
      </c>
    </row>
    <row r="3059" spans="1:4" ht="30">
      <c r="A3059" s="47">
        <v>89677</v>
      </c>
      <c r="B3059" s="48" t="s">
        <v>7094</v>
      </c>
      <c r="C3059" s="47" t="s">
        <v>65</v>
      </c>
      <c r="D3059" s="332">
        <v>48.63</v>
      </c>
    </row>
    <row r="3060" spans="1:4" ht="30">
      <c r="A3060" s="28">
        <v>89678</v>
      </c>
      <c r="B3060" s="26" t="s">
        <v>2824</v>
      </c>
      <c r="C3060" s="28" t="s">
        <v>65</v>
      </c>
      <c r="D3060" s="329">
        <v>6.51</v>
      </c>
    </row>
    <row r="3061" spans="1:4" ht="30">
      <c r="A3061" s="47">
        <v>89679</v>
      </c>
      <c r="B3061" s="48" t="s">
        <v>6894</v>
      </c>
      <c r="C3061" s="47" t="s">
        <v>65</v>
      </c>
      <c r="D3061" s="332">
        <v>81.900000000000006</v>
      </c>
    </row>
    <row r="3062" spans="1:4" ht="30">
      <c r="A3062" s="28">
        <v>89680</v>
      </c>
      <c r="B3062" s="26" t="s">
        <v>7131</v>
      </c>
      <c r="C3062" s="28" t="s">
        <v>65</v>
      </c>
      <c r="D3062" s="329">
        <v>14.57</v>
      </c>
    </row>
    <row r="3063" spans="1:4" ht="30">
      <c r="A3063" s="47">
        <v>89681</v>
      </c>
      <c r="B3063" s="48" t="s">
        <v>8625</v>
      </c>
      <c r="C3063" s="47" t="s">
        <v>65</v>
      </c>
      <c r="D3063" s="332">
        <v>54.43</v>
      </c>
    </row>
    <row r="3064" spans="1:4" ht="30">
      <c r="A3064" s="28">
        <v>89682</v>
      </c>
      <c r="B3064" s="26" t="s">
        <v>6873</v>
      </c>
      <c r="C3064" s="28" t="s">
        <v>65</v>
      </c>
      <c r="D3064" s="329">
        <v>23.41</v>
      </c>
    </row>
    <row r="3065" spans="1:4" ht="30">
      <c r="A3065" s="47">
        <v>89684</v>
      </c>
      <c r="B3065" s="48" t="s">
        <v>10601</v>
      </c>
      <c r="C3065" s="47" t="s">
        <v>65</v>
      </c>
      <c r="D3065" s="332">
        <v>32.89</v>
      </c>
    </row>
    <row r="3066" spans="1:4" ht="30">
      <c r="A3066" s="28">
        <v>89685</v>
      </c>
      <c r="B3066" s="26" t="s">
        <v>6516</v>
      </c>
      <c r="C3066" s="28" t="s">
        <v>65</v>
      </c>
      <c r="D3066" s="329">
        <v>37.799999999999997</v>
      </c>
    </row>
    <row r="3067" spans="1:4" ht="30">
      <c r="A3067" s="47">
        <v>89686</v>
      </c>
      <c r="B3067" s="48" t="s">
        <v>3935</v>
      </c>
      <c r="C3067" s="47" t="s">
        <v>65</v>
      </c>
      <c r="D3067" s="332">
        <v>126.66</v>
      </c>
    </row>
    <row r="3068" spans="1:4" ht="30">
      <c r="A3068" s="28">
        <v>89687</v>
      </c>
      <c r="B3068" s="26" t="s">
        <v>9462</v>
      </c>
      <c r="C3068" s="28" t="s">
        <v>65</v>
      </c>
      <c r="D3068" s="329">
        <v>30.94</v>
      </c>
    </row>
    <row r="3069" spans="1:4" ht="30">
      <c r="A3069" s="47">
        <v>89689</v>
      </c>
      <c r="B3069" s="48" t="s">
        <v>2827</v>
      </c>
      <c r="C3069" s="47" t="s">
        <v>65</v>
      </c>
      <c r="D3069" s="332">
        <v>25.31</v>
      </c>
    </row>
    <row r="3070" spans="1:4" ht="30">
      <c r="A3070" s="28">
        <v>89690</v>
      </c>
      <c r="B3070" s="26" t="s">
        <v>6508</v>
      </c>
      <c r="C3070" s="28" t="s">
        <v>65</v>
      </c>
      <c r="D3070" s="329">
        <v>58.04</v>
      </c>
    </row>
    <row r="3071" spans="1:4" ht="30">
      <c r="A3071" s="47">
        <v>89691</v>
      </c>
      <c r="B3071" s="48" t="s">
        <v>9393</v>
      </c>
      <c r="C3071" s="47" t="s">
        <v>65</v>
      </c>
      <c r="D3071" s="332">
        <v>8.2899999999999991</v>
      </c>
    </row>
    <row r="3072" spans="1:4" ht="30">
      <c r="A3072" s="28">
        <v>89692</v>
      </c>
      <c r="B3072" s="26" t="s">
        <v>6510</v>
      </c>
      <c r="C3072" s="28" t="s">
        <v>65</v>
      </c>
      <c r="D3072" s="329">
        <v>56.06</v>
      </c>
    </row>
    <row r="3073" spans="1:4" ht="30">
      <c r="A3073" s="47">
        <v>89693</v>
      </c>
      <c r="B3073" s="48" t="s">
        <v>9455</v>
      </c>
      <c r="C3073" s="47" t="s">
        <v>65</v>
      </c>
      <c r="D3073" s="332">
        <v>51.13</v>
      </c>
    </row>
    <row r="3074" spans="1:4" ht="30">
      <c r="A3074" s="28">
        <v>89694</v>
      </c>
      <c r="B3074" s="26" t="s">
        <v>9336</v>
      </c>
      <c r="C3074" s="28" t="s">
        <v>65</v>
      </c>
      <c r="D3074" s="329">
        <v>14.08</v>
      </c>
    </row>
    <row r="3075" spans="1:4" ht="30">
      <c r="A3075" s="47">
        <v>89695</v>
      </c>
      <c r="B3075" s="48" t="s">
        <v>9356</v>
      </c>
      <c r="C3075" s="47" t="s">
        <v>65</v>
      </c>
      <c r="D3075" s="332">
        <v>12.99</v>
      </c>
    </row>
    <row r="3076" spans="1:4" ht="30">
      <c r="A3076" s="28">
        <v>89696</v>
      </c>
      <c r="B3076" s="26" t="s">
        <v>9457</v>
      </c>
      <c r="C3076" s="28" t="s">
        <v>65</v>
      </c>
      <c r="D3076" s="329">
        <v>39.57</v>
      </c>
    </row>
    <row r="3077" spans="1:4" ht="30">
      <c r="A3077" s="47">
        <v>89697</v>
      </c>
      <c r="B3077" s="48" t="s">
        <v>9396</v>
      </c>
      <c r="C3077" s="47" t="s">
        <v>65</v>
      </c>
      <c r="D3077" s="332">
        <v>10.130000000000001</v>
      </c>
    </row>
    <row r="3078" spans="1:4" ht="30">
      <c r="A3078" s="28">
        <v>89698</v>
      </c>
      <c r="B3078" s="26" t="s">
        <v>6513</v>
      </c>
      <c r="C3078" s="28" t="s">
        <v>65</v>
      </c>
      <c r="D3078" s="329">
        <v>161.52000000000001</v>
      </c>
    </row>
    <row r="3079" spans="1:4" ht="30">
      <c r="A3079" s="47">
        <v>89699</v>
      </c>
      <c r="B3079" s="48" t="s">
        <v>6512</v>
      </c>
      <c r="C3079" s="47" t="s">
        <v>65</v>
      </c>
      <c r="D3079" s="332">
        <v>131.41</v>
      </c>
    </row>
    <row r="3080" spans="1:4" ht="30">
      <c r="A3080" s="28">
        <v>89700</v>
      </c>
      <c r="B3080" s="26" t="s">
        <v>9338</v>
      </c>
      <c r="C3080" s="28" t="s">
        <v>65</v>
      </c>
      <c r="D3080" s="329">
        <v>15.08</v>
      </c>
    </row>
    <row r="3081" spans="1:4" ht="30">
      <c r="A3081" s="47">
        <v>89701</v>
      </c>
      <c r="B3081" s="48" t="s">
        <v>9460</v>
      </c>
      <c r="C3081" s="47" t="s">
        <v>65</v>
      </c>
      <c r="D3081" s="332">
        <v>118.35</v>
      </c>
    </row>
    <row r="3082" spans="1:4" ht="30">
      <c r="A3082" s="28">
        <v>89702</v>
      </c>
      <c r="B3082" s="26" t="s">
        <v>9357</v>
      </c>
      <c r="C3082" s="28" t="s">
        <v>65</v>
      </c>
      <c r="D3082" s="329">
        <v>15.08</v>
      </c>
    </row>
    <row r="3083" spans="1:4" ht="30">
      <c r="A3083" s="47">
        <v>89703</v>
      </c>
      <c r="B3083" s="48" t="s">
        <v>9352</v>
      </c>
      <c r="C3083" s="47" t="s">
        <v>65</v>
      </c>
      <c r="D3083" s="332">
        <v>35.200000000000003</v>
      </c>
    </row>
    <row r="3084" spans="1:4" ht="30">
      <c r="A3084" s="28">
        <v>89704</v>
      </c>
      <c r="B3084" s="26" t="s">
        <v>9459</v>
      </c>
      <c r="C3084" s="28" t="s">
        <v>65</v>
      </c>
      <c r="D3084" s="329">
        <v>90.51</v>
      </c>
    </row>
    <row r="3085" spans="1:4" ht="30">
      <c r="A3085" s="47">
        <v>89705</v>
      </c>
      <c r="B3085" s="48" t="s">
        <v>9408</v>
      </c>
      <c r="C3085" s="47" t="s">
        <v>65</v>
      </c>
      <c r="D3085" s="332">
        <v>17.079999999999998</v>
      </c>
    </row>
    <row r="3086" spans="1:4" ht="30">
      <c r="A3086" s="28">
        <v>89706</v>
      </c>
      <c r="B3086" s="26" t="s">
        <v>9410</v>
      </c>
      <c r="C3086" s="28" t="s">
        <v>65</v>
      </c>
      <c r="D3086" s="329">
        <v>38.47</v>
      </c>
    </row>
    <row r="3087" spans="1:4" ht="30">
      <c r="A3087" s="47">
        <v>89715</v>
      </c>
      <c r="B3087" s="48" t="s">
        <v>10511</v>
      </c>
      <c r="C3087" s="47" t="s">
        <v>65</v>
      </c>
      <c r="D3087" s="332">
        <v>19.489999999999998</v>
      </c>
    </row>
    <row r="3088" spans="1:4" ht="30">
      <c r="A3088" s="28">
        <v>89718</v>
      </c>
      <c r="B3088" s="26" t="s">
        <v>10519</v>
      </c>
      <c r="C3088" s="28" t="s">
        <v>71</v>
      </c>
      <c r="D3088" s="329">
        <v>36.9</v>
      </c>
    </row>
    <row r="3089" spans="1:4" ht="30">
      <c r="A3089" s="47">
        <v>89719</v>
      </c>
      <c r="B3089" s="48" t="s">
        <v>6301</v>
      </c>
      <c r="C3089" s="47" t="s">
        <v>65</v>
      </c>
      <c r="D3089" s="332">
        <v>7.45</v>
      </c>
    </row>
    <row r="3090" spans="1:4" ht="30">
      <c r="A3090" s="28">
        <v>89720</v>
      </c>
      <c r="B3090" s="26" t="s">
        <v>6240</v>
      </c>
      <c r="C3090" s="28" t="s">
        <v>65</v>
      </c>
      <c r="D3090" s="329">
        <v>8.92</v>
      </c>
    </row>
    <row r="3091" spans="1:4" ht="30">
      <c r="A3091" s="47">
        <v>89721</v>
      </c>
      <c r="B3091" s="48" t="s">
        <v>4474</v>
      </c>
      <c r="C3091" s="47" t="s">
        <v>65</v>
      </c>
      <c r="D3091" s="332">
        <v>9.41</v>
      </c>
    </row>
    <row r="3092" spans="1:4" ht="30">
      <c r="A3092" s="28">
        <v>89723</v>
      </c>
      <c r="B3092" s="26" t="s">
        <v>6304</v>
      </c>
      <c r="C3092" s="28" t="s">
        <v>65</v>
      </c>
      <c r="D3092" s="329">
        <v>12.48</v>
      </c>
    </row>
    <row r="3093" spans="1:4" ht="45">
      <c r="A3093" s="47">
        <v>89724</v>
      </c>
      <c r="B3093" s="48" t="s">
        <v>6338</v>
      </c>
      <c r="C3093" s="47" t="s">
        <v>65</v>
      </c>
      <c r="D3093" s="332">
        <v>5.45</v>
      </c>
    </row>
    <row r="3094" spans="1:4" ht="30">
      <c r="A3094" s="28">
        <v>89725</v>
      </c>
      <c r="B3094" s="26" t="s">
        <v>6242</v>
      </c>
      <c r="C3094" s="28" t="s">
        <v>65</v>
      </c>
      <c r="D3094" s="329">
        <v>12.13</v>
      </c>
    </row>
    <row r="3095" spans="1:4" ht="45">
      <c r="A3095" s="47">
        <v>89726</v>
      </c>
      <c r="B3095" s="48" t="s">
        <v>6270</v>
      </c>
      <c r="C3095" s="47" t="s">
        <v>65</v>
      </c>
      <c r="D3095" s="332">
        <v>6.21</v>
      </c>
    </row>
    <row r="3096" spans="1:4" ht="30">
      <c r="A3096" s="28">
        <v>89727</v>
      </c>
      <c r="B3096" s="26" t="s">
        <v>4477</v>
      </c>
      <c r="C3096" s="28" t="s">
        <v>65</v>
      </c>
      <c r="D3096" s="329">
        <v>13.71</v>
      </c>
    </row>
    <row r="3097" spans="1:4" ht="45">
      <c r="A3097" s="47">
        <v>89728</v>
      </c>
      <c r="B3097" s="48" t="s">
        <v>4518</v>
      </c>
      <c r="C3097" s="47" t="s">
        <v>65</v>
      </c>
      <c r="D3097" s="332">
        <v>7.71</v>
      </c>
    </row>
    <row r="3098" spans="1:4" ht="30">
      <c r="A3098" s="28">
        <v>89729</v>
      </c>
      <c r="B3098" s="26" t="s">
        <v>6308</v>
      </c>
      <c r="C3098" s="28" t="s">
        <v>65</v>
      </c>
      <c r="D3098" s="329">
        <v>19.190000000000001</v>
      </c>
    </row>
    <row r="3099" spans="1:4" ht="45">
      <c r="A3099" s="47">
        <v>89730</v>
      </c>
      <c r="B3099" s="48" t="s">
        <v>4594</v>
      </c>
      <c r="C3099" s="47" t="s">
        <v>65</v>
      </c>
      <c r="D3099" s="332">
        <v>7.82</v>
      </c>
    </row>
    <row r="3100" spans="1:4" ht="45">
      <c r="A3100" s="28">
        <v>89731</v>
      </c>
      <c r="B3100" s="26" t="s">
        <v>6340</v>
      </c>
      <c r="C3100" s="28" t="s">
        <v>65</v>
      </c>
      <c r="D3100" s="329">
        <v>7.16</v>
      </c>
    </row>
    <row r="3101" spans="1:4" ht="45">
      <c r="A3101" s="47">
        <v>89732</v>
      </c>
      <c r="B3101" s="48" t="s">
        <v>6272</v>
      </c>
      <c r="C3101" s="47" t="s">
        <v>65</v>
      </c>
      <c r="D3101" s="332">
        <v>7.7</v>
      </c>
    </row>
    <row r="3102" spans="1:4" ht="45">
      <c r="A3102" s="28">
        <v>89733</v>
      </c>
      <c r="B3102" s="26" t="s">
        <v>4520</v>
      </c>
      <c r="C3102" s="28" t="s">
        <v>65</v>
      </c>
      <c r="D3102" s="329">
        <v>13.13</v>
      </c>
    </row>
    <row r="3103" spans="1:4" ht="30">
      <c r="A3103" s="47">
        <v>89734</v>
      </c>
      <c r="B3103" s="48" t="s">
        <v>6244</v>
      </c>
      <c r="C3103" s="47" t="s">
        <v>65</v>
      </c>
      <c r="D3103" s="332">
        <v>19.190000000000001</v>
      </c>
    </row>
    <row r="3104" spans="1:4" ht="45">
      <c r="A3104" s="28">
        <v>89735</v>
      </c>
      <c r="B3104" s="26" t="s">
        <v>4596</v>
      </c>
      <c r="C3104" s="28" t="s">
        <v>65</v>
      </c>
      <c r="D3104" s="329">
        <v>13.02</v>
      </c>
    </row>
    <row r="3105" spans="1:4" ht="30">
      <c r="A3105" s="47">
        <v>89736</v>
      </c>
      <c r="B3105" s="48" t="s">
        <v>7123</v>
      </c>
      <c r="C3105" s="47" t="s">
        <v>65</v>
      </c>
      <c r="D3105" s="332">
        <v>4.96</v>
      </c>
    </row>
    <row r="3106" spans="1:4" ht="45">
      <c r="A3106" s="28">
        <v>89737</v>
      </c>
      <c r="B3106" s="26" t="s">
        <v>6342</v>
      </c>
      <c r="C3106" s="28" t="s">
        <v>65</v>
      </c>
      <c r="D3106" s="329">
        <v>12.37</v>
      </c>
    </row>
    <row r="3107" spans="1:4" ht="30">
      <c r="A3107" s="47">
        <v>89738</v>
      </c>
      <c r="B3107" s="48" t="s">
        <v>6867</v>
      </c>
      <c r="C3107" s="47" t="s">
        <v>65</v>
      </c>
      <c r="D3107" s="332">
        <v>10.130000000000001</v>
      </c>
    </row>
    <row r="3108" spans="1:4" ht="45">
      <c r="A3108" s="28">
        <v>89739</v>
      </c>
      <c r="B3108" s="26" t="s">
        <v>6274</v>
      </c>
      <c r="C3108" s="28" t="s">
        <v>65</v>
      </c>
      <c r="D3108" s="329">
        <v>13.15</v>
      </c>
    </row>
    <row r="3109" spans="1:4" ht="30">
      <c r="A3109" s="47">
        <v>89740</v>
      </c>
      <c r="B3109" s="48" t="s">
        <v>7001</v>
      </c>
      <c r="C3109" s="47" t="s">
        <v>65</v>
      </c>
      <c r="D3109" s="332">
        <v>4.5199999999999996</v>
      </c>
    </row>
    <row r="3110" spans="1:4" ht="30">
      <c r="A3110" s="28">
        <v>89741</v>
      </c>
      <c r="B3110" s="26" t="s">
        <v>10591</v>
      </c>
      <c r="C3110" s="28" t="s">
        <v>65</v>
      </c>
      <c r="D3110" s="329">
        <v>14.06</v>
      </c>
    </row>
    <row r="3111" spans="1:4" ht="45">
      <c r="A3111" s="47">
        <v>89742</v>
      </c>
      <c r="B3111" s="48" t="s">
        <v>4522</v>
      </c>
      <c r="C3111" s="47" t="s">
        <v>65</v>
      </c>
      <c r="D3111" s="332">
        <v>23.48</v>
      </c>
    </row>
    <row r="3112" spans="1:4" ht="45">
      <c r="A3112" s="28">
        <v>89743</v>
      </c>
      <c r="B3112" s="26" t="s">
        <v>4598</v>
      </c>
      <c r="C3112" s="28" t="s">
        <v>65</v>
      </c>
      <c r="D3112" s="329">
        <v>31.69</v>
      </c>
    </row>
    <row r="3113" spans="1:4" ht="45">
      <c r="A3113" s="47">
        <v>89744</v>
      </c>
      <c r="B3113" s="48" t="s">
        <v>6335</v>
      </c>
      <c r="C3113" s="47" t="s">
        <v>65</v>
      </c>
      <c r="D3113" s="332">
        <v>16.309999999999999</v>
      </c>
    </row>
    <row r="3114" spans="1:4" ht="30">
      <c r="A3114" s="28">
        <v>89745</v>
      </c>
      <c r="B3114" s="26" t="s">
        <v>3927</v>
      </c>
      <c r="C3114" s="28" t="s">
        <v>65</v>
      </c>
      <c r="D3114" s="329">
        <v>22.47</v>
      </c>
    </row>
    <row r="3115" spans="1:4" ht="45">
      <c r="A3115" s="47">
        <v>89746</v>
      </c>
      <c r="B3115" s="48" t="s">
        <v>6267</v>
      </c>
      <c r="C3115" s="47" t="s">
        <v>65</v>
      </c>
      <c r="D3115" s="332">
        <v>16.37</v>
      </c>
    </row>
    <row r="3116" spans="1:4" ht="30">
      <c r="A3116" s="28">
        <v>89747</v>
      </c>
      <c r="B3116" s="26" t="s">
        <v>1582</v>
      </c>
      <c r="C3116" s="28" t="s">
        <v>65</v>
      </c>
      <c r="D3116" s="329">
        <v>8.3800000000000008</v>
      </c>
    </row>
    <row r="3117" spans="1:4" ht="45">
      <c r="A3117" s="47">
        <v>89748</v>
      </c>
      <c r="B3117" s="48" t="s">
        <v>4516</v>
      </c>
      <c r="C3117" s="47" t="s">
        <v>65</v>
      </c>
      <c r="D3117" s="332">
        <v>26.94</v>
      </c>
    </row>
    <row r="3118" spans="1:4" ht="30">
      <c r="A3118" s="28">
        <v>89749</v>
      </c>
      <c r="B3118" s="26" t="s">
        <v>4563</v>
      </c>
      <c r="C3118" s="28" t="s">
        <v>65</v>
      </c>
      <c r="D3118" s="329">
        <v>10.130000000000001</v>
      </c>
    </row>
    <row r="3119" spans="1:4" ht="45">
      <c r="A3119" s="47">
        <v>89750</v>
      </c>
      <c r="B3119" s="48" t="s">
        <v>4592</v>
      </c>
      <c r="C3119" s="47" t="s">
        <v>65</v>
      </c>
      <c r="D3119" s="332">
        <v>48.49</v>
      </c>
    </row>
    <row r="3120" spans="1:4" ht="30">
      <c r="A3120" s="28">
        <v>89751</v>
      </c>
      <c r="B3120" s="26" t="s">
        <v>2820</v>
      </c>
      <c r="C3120" s="28" t="s">
        <v>65</v>
      </c>
      <c r="D3120" s="329">
        <v>3.75</v>
      </c>
    </row>
    <row r="3121" spans="1:4" ht="45">
      <c r="A3121" s="47">
        <v>89752</v>
      </c>
      <c r="B3121" s="48" t="s">
        <v>7087</v>
      </c>
      <c r="C3121" s="47" t="s">
        <v>65</v>
      </c>
      <c r="D3121" s="332">
        <v>4.63</v>
      </c>
    </row>
    <row r="3122" spans="1:4" ht="45">
      <c r="A3122" s="28">
        <v>89753</v>
      </c>
      <c r="B3122" s="26" t="s">
        <v>7089</v>
      </c>
      <c r="C3122" s="28" t="s">
        <v>65</v>
      </c>
      <c r="D3122" s="329">
        <v>6.75</v>
      </c>
    </row>
    <row r="3123" spans="1:4" ht="45">
      <c r="A3123" s="47">
        <v>89754</v>
      </c>
      <c r="B3123" s="48" t="s">
        <v>6889</v>
      </c>
      <c r="C3123" s="47" t="s">
        <v>65</v>
      </c>
      <c r="D3123" s="332">
        <v>12.9</v>
      </c>
    </row>
    <row r="3124" spans="1:4" ht="30">
      <c r="A3124" s="28">
        <v>89755</v>
      </c>
      <c r="B3124" s="26" t="s">
        <v>7126</v>
      </c>
      <c r="C3124" s="28" t="s">
        <v>65</v>
      </c>
      <c r="D3124" s="329">
        <v>7.83</v>
      </c>
    </row>
    <row r="3125" spans="1:4" ht="30">
      <c r="A3125" s="47">
        <v>89756</v>
      </c>
      <c r="B3125" s="48" t="s">
        <v>6869</v>
      </c>
      <c r="C3125" s="47" t="s">
        <v>65</v>
      </c>
      <c r="D3125" s="332">
        <v>13.75</v>
      </c>
    </row>
    <row r="3126" spans="1:4" ht="30">
      <c r="A3126" s="28">
        <v>89757</v>
      </c>
      <c r="B3126" s="26" t="s">
        <v>10592</v>
      </c>
      <c r="C3126" s="28" t="s">
        <v>65</v>
      </c>
      <c r="D3126" s="329">
        <v>21.28</v>
      </c>
    </row>
    <row r="3127" spans="1:4" ht="30">
      <c r="A3127" s="47">
        <v>89758</v>
      </c>
      <c r="B3127" s="48" t="s">
        <v>3930</v>
      </c>
      <c r="C3127" s="47" t="s">
        <v>65</v>
      </c>
      <c r="D3127" s="332">
        <v>33.58</v>
      </c>
    </row>
    <row r="3128" spans="1:4" ht="30">
      <c r="A3128" s="28">
        <v>89759</v>
      </c>
      <c r="B3128" s="26" t="s">
        <v>2821</v>
      </c>
      <c r="C3128" s="28" t="s">
        <v>65</v>
      </c>
      <c r="D3128" s="329">
        <v>5.21</v>
      </c>
    </row>
    <row r="3129" spans="1:4" ht="30">
      <c r="A3129" s="47">
        <v>89760</v>
      </c>
      <c r="B3129" s="48" t="s">
        <v>7130</v>
      </c>
      <c r="C3129" s="47" t="s">
        <v>65</v>
      </c>
      <c r="D3129" s="332">
        <v>13.02</v>
      </c>
    </row>
    <row r="3130" spans="1:4" ht="30">
      <c r="A3130" s="28">
        <v>89761</v>
      </c>
      <c r="B3130" s="26" t="s">
        <v>6872</v>
      </c>
      <c r="C3130" s="28" t="s">
        <v>65</v>
      </c>
      <c r="D3130" s="329">
        <v>21.86</v>
      </c>
    </row>
    <row r="3131" spans="1:4" ht="30">
      <c r="A3131" s="47">
        <v>89762</v>
      </c>
      <c r="B3131" s="48" t="s">
        <v>10600</v>
      </c>
      <c r="C3131" s="47" t="s">
        <v>65</v>
      </c>
      <c r="D3131" s="332">
        <v>31.34</v>
      </c>
    </row>
    <row r="3132" spans="1:4" ht="30">
      <c r="A3132" s="28">
        <v>89763</v>
      </c>
      <c r="B3132" s="26" t="s">
        <v>3933</v>
      </c>
      <c r="C3132" s="28" t="s">
        <v>65</v>
      </c>
      <c r="D3132" s="329">
        <v>125.11</v>
      </c>
    </row>
    <row r="3133" spans="1:4" ht="30">
      <c r="A3133" s="47">
        <v>89764</v>
      </c>
      <c r="B3133" s="48" t="s">
        <v>2826</v>
      </c>
      <c r="C3133" s="47" t="s">
        <v>65</v>
      </c>
      <c r="D3133" s="332">
        <v>23.76</v>
      </c>
    </row>
    <row r="3134" spans="1:4" ht="30">
      <c r="A3134" s="28">
        <v>89765</v>
      </c>
      <c r="B3134" s="26" t="s">
        <v>9395</v>
      </c>
      <c r="C3134" s="28" t="s">
        <v>65</v>
      </c>
      <c r="D3134" s="329">
        <v>9.5399999999999991</v>
      </c>
    </row>
    <row r="3135" spans="1:4" ht="30">
      <c r="A3135" s="47">
        <v>89766</v>
      </c>
      <c r="B3135" s="48" t="s">
        <v>9337</v>
      </c>
      <c r="C3135" s="47" t="s">
        <v>65</v>
      </c>
      <c r="D3135" s="332">
        <v>14.5</v>
      </c>
    </row>
    <row r="3136" spans="1:4" ht="30">
      <c r="A3136" s="28">
        <v>89767</v>
      </c>
      <c r="B3136" s="26" t="s">
        <v>9355</v>
      </c>
      <c r="C3136" s="28" t="s">
        <v>65</v>
      </c>
      <c r="D3136" s="329">
        <v>14.5</v>
      </c>
    </row>
    <row r="3137" spans="1:4" ht="30">
      <c r="A3137" s="47">
        <v>89768</v>
      </c>
      <c r="B3137" s="48" t="s">
        <v>9398</v>
      </c>
      <c r="C3137" s="47" t="s">
        <v>65</v>
      </c>
      <c r="D3137" s="332">
        <v>14.44</v>
      </c>
    </row>
    <row r="3138" spans="1:4" ht="30">
      <c r="A3138" s="28">
        <v>89769</v>
      </c>
      <c r="B3138" s="26" t="s">
        <v>9409</v>
      </c>
      <c r="C3138" s="28" t="s">
        <v>65</v>
      </c>
      <c r="D3138" s="329">
        <v>35.340000000000003</v>
      </c>
    </row>
    <row r="3139" spans="1:4" ht="30">
      <c r="A3139" s="47">
        <v>89772</v>
      </c>
      <c r="B3139" s="48" t="s">
        <v>10524</v>
      </c>
      <c r="C3139" s="47" t="s">
        <v>71</v>
      </c>
      <c r="D3139" s="332">
        <v>68.89</v>
      </c>
    </row>
    <row r="3140" spans="1:4" ht="45">
      <c r="A3140" s="28">
        <v>89774</v>
      </c>
      <c r="B3140" s="26" t="s">
        <v>7091</v>
      </c>
      <c r="C3140" s="28" t="s">
        <v>65</v>
      </c>
      <c r="D3140" s="329">
        <v>11.35</v>
      </c>
    </row>
    <row r="3141" spans="1:4" ht="45">
      <c r="A3141" s="47">
        <v>89776</v>
      </c>
      <c r="B3141" s="48" t="s">
        <v>6891</v>
      </c>
      <c r="C3141" s="47" t="s">
        <v>65</v>
      </c>
      <c r="D3141" s="332">
        <v>15.68</v>
      </c>
    </row>
    <row r="3142" spans="1:4" ht="30">
      <c r="A3142" s="28">
        <v>89777</v>
      </c>
      <c r="B3142" s="26" t="s">
        <v>6307</v>
      </c>
      <c r="C3142" s="28" t="s">
        <v>65</v>
      </c>
      <c r="D3142" s="329">
        <v>18.13</v>
      </c>
    </row>
    <row r="3143" spans="1:4" ht="45">
      <c r="A3143" s="47">
        <v>89778</v>
      </c>
      <c r="B3143" s="48" t="s">
        <v>7085</v>
      </c>
      <c r="C3143" s="47" t="s">
        <v>65</v>
      </c>
      <c r="D3143" s="332">
        <v>14.12</v>
      </c>
    </row>
    <row r="3144" spans="1:4" ht="45">
      <c r="A3144" s="28">
        <v>89779</v>
      </c>
      <c r="B3144" s="26" t="s">
        <v>6885</v>
      </c>
      <c r="C3144" s="28" t="s">
        <v>65</v>
      </c>
      <c r="D3144" s="329">
        <v>22.79</v>
      </c>
    </row>
    <row r="3145" spans="1:4" ht="30">
      <c r="A3145" s="47">
        <v>89780</v>
      </c>
      <c r="B3145" s="48" t="s">
        <v>11058</v>
      </c>
      <c r="C3145" s="47" t="s">
        <v>65</v>
      </c>
      <c r="D3145" s="332">
        <v>18.13</v>
      </c>
    </row>
    <row r="3146" spans="1:4" ht="30">
      <c r="A3146" s="28">
        <v>89781</v>
      </c>
      <c r="B3146" s="26" t="s">
        <v>6311</v>
      </c>
      <c r="C3146" s="28" t="s">
        <v>65</v>
      </c>
      <c r="D3146" s="329">
        <v>27.25</v>
      </c>
    </row>
    <row r="3147" spans="1:4" ht="30">
      <c r="A3147" s="47">
        <v>89782</v>
      </c>
      <c r="B3147" s="48" t="s">
        <v>9443</v>
      </c>
      <c r="C3147" s="47" t="s">
        <v>65</v>
      </c>
      <c r="D3147" s="332">
        <v>7.9</v>
      </c>
    </row>
    <row r="3148" spans="1:4" ht="45">
      <c r="A3148" s="28">
        <v>89783</v>
      </c>
      <c r="B3148" s="26" t="s">
        <v>6503</v>
      </c>
      <c r="C3148" s="28" t="s">
        <v>65</v>
      </c>
      <c r="D3148" s="329">
        <v>8.2799999999999994</v>
      </c>
    </row>
    <row r="3149" spans="1:4" ht="30">
      <c r="A3149" s="47">
        <v>89784</v>
      </c>
      <c r="B3149" s="48" t="s">
        <v>9445</v>
      </c>
      <c r="C3149" s="47" t="s">
        <v>65</v>
      </c>
      <c r="D3149" s="332">
        <v>13.06</v>
      </c>
    </row>
    <row r="3150" spans="1:4" ht="45">
      <c r="A3150" s="28">
        <v>89785</v>
      </c>
      <c r="B3150" s="26" t="s">
        <v>6505</v>
      </c>
      <c r="C3150" s="28" t="s">
        <v>65</v>
      </c>
      <c r="D3150" s="329">
        <v>13.89</v>
      </c>
    </row>
    <row r="3151" spans="1:4" ht="30">
      <c r="A3151" s="47">
        <v>89786</v>
      </c>
      <c r="B3151" s="48" t="s">
        <v>9447</v>
      </c>
      <c r="C3151" s="47" t="s">
        <v>65</v>
      </c>
      <c r="D3151" s="332">
        <v>21.65</v>
      </c>
    </row>
    <row r="3152" spans="1:4" ht="30">
      <c r="A3152" s="28">
        <v>89787</v>
      </c>
      <c r="B3152" s="26" t="s">
        <v>6246</v>
      </c>
      <c r="C3152" s="28" t="s">
        <v>65</v>
      </c>
      <c r="D3152" s="329">
        <v>27.25</v>
      </c>
    </row>
    <row r="3153" spans="1:4" ht="30">
      <c r="A3153" s="47">
        <v>89788</v>
      </c>
      <c r="B3153" s="48" t="s">
        <v>6313</v>
      </c>
      <c r="C3153" s="47" t="s">
        <v>65</v>
      </c>
      <c r="D3153" s="332">
        <v>53.93</v>
      </c>
    </row>
    <row r="3154" spans="1:4" ht="30">
      <c r="A3154" s="28">
        <v>89789</v>
      </c>
      <c r="B3154" s="26" t="s">
        <v>6247</v>
      </c>
      <c r="C3154" s="28" t="s">
        <v>65</v>
      </c>
      <c r="D3154" s="329">
        <v>54.81</v>
      </c>
    </row>
    <row r="3155" spans="1:4" ht="30">
      <c r="A3155" s="47">
        <v>89790</v>
      </c>
      <c r="B3155" s="48" t="s">
        <v>6315</v>
      </c>
      <c r="C3155" s="47" t="s">
        <v>65</v>
      </c>
      <c r="D3155" s="332">
        <v>134.82</v>
      </c>
    </row>
    <row r="3156" spans="1:4" ht="30">
      <c r="A3156" s="28">
        <v>89791</v>
      </c>
      <c r="B3156" s="26" t="s">
        <v>6248</v>
      </c>
      <c r="C3156" s="28" t="s">
        <v>65</v>
      </c>
      <c r="D3156" s="329">
        <v>138.02000000000001</v>
      </c>
    </row>
    <row r="3157" spans="1:4" ht="30">
      <c r="A3157" s="47">
        <v>89792</v>
      </c>
      <c r="B3157" s="48" t="s">
        <v>6317</v>
      </c>
      <c r="C3157" s="47" t="s">
        <v>65</v>
      </c>
      <c r="D3157" s="332">
        <v>158.15</v>
      </c>
    </row>
    <row r="3158" spans="1:4" ht="30">
      <c r="A3158" s="28">
        <v>89793</v>
      </c>
      <c r="B3158" s="26" t="s">
        <v>6249</v>
      </c>
      <c r="C3158" s="28" t="s">
        <v>65</v>
      </c>
      <c r="D3158" s="329">
        <v>162.46</v>
      </c>
    </row>
    <row r="3159" spans="1:4" ht="30">
      <c r="A3159" s="47">
        <v>89794</v>
      </c>
      <c r="B3159" s="48" t="s">
        <v>7129</v>
      </c>
      <c r="C3159" s="47" t="s">
        <v>65</v>
      </c>
      <c r="D3159" s="332">
        <v>12.32</v>
      </c>
    </row>
    <row r="3160" spans="1:4" ht="45">
      <c r="A3160" s="28">
        <v>89795</v>
      </c>
      <c r="B3160" s="26" t="s">
        <v>6507</v>
      </c>
      <c r="C3160" s="28" t="s">
        <v>65</v>
      </c>
      <c r="D3160" s="329">
        <v>22.81</v>
      </c>
    </row>
    <row r="3161" spans="1:4" ht="30">
      <c r="A3161" s="47">
        <v>89796</v>
      </c>
      <c r="B3161" s="48" t="s">
        <v>9440</v>
      </c>
      <c r="C3161" s="47" t="s">
        <v>65</v>
      </c>
      <c r="D3161" s="332">
        <v>26.83</v>
      </c>
    </row>
    <row r="3162" spans="1:4" ht="45">
      <c r="A3162" s="28">
        <v>89797</v>
      </c>
      <c r="B3162" s="26" t="s">
        <v>6500</v>
      </c>
      <c r="C3162" s="28" t="s">
        <v>65</v>
      </c>
      <c r="D3162" s="329">
        <v>31.2</v>
      </c>
    </row>
    <row r="3163" spans="1:4" ht="45">
      <c r="A3163" s="47">
        <v>89801</v>
      </c>
      <c r="B3163" s="48" t="s">
        <v>6339</v>
      </c>
      <c r="C3163" s="47" t="s">
        <v>65</v>
      </c>
      <c r="D3163" s="332">
        <v>4.43</v>
      </c>
    </row>
    <row r="3164" spans="1:4" ht="45">
      <c r="A3164" s="28">
        <v>89802</v>
      </c>
      <c r="B3164" s="26" t="s">
        <v>6271</v>
      </c>
      <c r="C3164" s="28" t="s">
        <v>65</v>
      </c>
      <c r="D3164" s="329">
        <v>4.96</v>
      </c>
    </row>
    <row r="3165" spans="1:4" ht="45">
      <c r="A3165" s="47">
        <v>89803</v>
      </c>
      <c r="B3165" s="48" t="s">
        <v>4519</v>
      </c>
      <c r="C3165" s="47" t="s">
        <v>65</v>
      </c>
      <c r="D3165" s="332">
        <v>10.4</v>
      </c>
    </row>
    <row r="3166" spans="1:4" ht="45">
      <c r="A3166" s="28">
        <v>89804</v>
      </c>
      <c r="B3166" s="26" t="s">
        <v>4595</v>
      </c>
      <c r="C3166" s="28" t="s">
        <v>65</v>
      </c>
      <c r="D3166" s="329">
        <v>10.29</v>
      </c>
    </row>
    <row r="3167" spans="1:4" ht="45">
      <c r="A3167" s="47">
        <v>89805</v>
      </c>
      <c r="B3167" s="48" t="s">
        <v>6341</v>
      </c>
      <c r="C3167" s="47" t="s">
        <v>65</v>
      </c>
      <c r="D3167" s="332">
        <v>9.0299999999999994</v>
      </c>
    </row>
    <row r="3168" spans="1:4" ht="45">
      <c r="A3168" s="28">
        <v>89806</v>
      </c>
      <c r="B3168" s="26" t="s">
        <v>6273</v>
      </c>
      <c r="C3168" s="28" t="s">
        <v>65</v>
      </c>
      <c r="D3168" s="329">
        <v>9.81</v>
      </c>
    </row>
    <row r="3169" spans="1:4" ht="45">
      <c r="A3169" s="47">
        <v>89807</v>
      </c>
      <c r="B3169" s="48" t="s">
        <v>4521</v>
      </c>
      <c r="C3169" s="47" t="s">
        <v>65</v>
      </c>
      <c r="D3169" s="332">
        <v>20.14</v>
      </c>
    </row>
    <row r="3170" spans="1:4" ht="45">
      <c r="A3170" s="28">
        <v>89808</v>
      </c>
      <c r="B3170" s="26" t="s">
        <v>4597</v>
      </c>
      <c r="C3170" s="28" t="s">
        <v>65</v>
      </c>
      <c r="D3170" s="329">
        <v>28.35</v>
      </c>
    </row>
    <row r="3171" spans="1:4" ht="45">
      <c r="A3171" s="47">
        <v>89809</v>
      </c>
      <c r="B3171" s="48" t="s">
        <v>6334</v>
      </c>
      <c r="C3171" s="47" t="s">
        <v>65</v>
      </c>
      <c r="D3171" s="332">
        <v>12.36</v>
      </c>
    </row>
    <row r="3172" spans="1:4" ht="45">
      <c r="A3172" s="28">
        <v>89810</v>
      </c>
      <c r="B3172" s="26" t="s">
        <v>6266</v>
      </c>
      <c r="C3172" s="28" t="s">
        <v>65</v>
      </c>
      <c r="D3172" s="329">
        <v>12.42</v>
      </c>
    </row>
    <row r="3173" spans="1:4" ht="45">
      <c r="A3173" s="47">
        <v>89811</v>
      </c>
      <c r="B3173" s="48" t="s">
        <v>4515</v>
      </c>
      <c r="C3173" s="47" t="s">
        <v>65</v>
      </c>
      <c r="D3173" s="332">
        <v>22.99</v>
      </c>
    </row>
    <row r="3174" spans="1:4" ht="45">
      <c r="A3174" s="28">
        <v>89812</v>
      </c>
      <c r="B3174" s="26" t="s">
        <v>4591</v>
      </c>
      <c r="C3174" s="28" t="s">
        <v>65</v>
      </c>
      <c r="D3174" s="329">
        <v>44.54</v>
      </c>
    </row>
    <row r="3175" spans="1:4" ht="45">
      <c r="A3175" s="47">
        <v>89813</v>
      </c>
      <c r="B3175" s="48" t="s">
        <v>7088</v>
      </c>
      <c r="C3175" s="47" t="s">
        <v>65</v>
      </c>
      <c r="D3175" s="332">
        <v>5.23</v>
      </c>
    </row>
    <row r="3176" spans="1:4" ht="45">
      <c r="A3176" s="28">
        <v>89814</v>
      </c>
      <c r="B3176" s="26" t="s">
        <v>6888</v>
      </c>
      <c r="C3176" s="28" t="s">
        <v>65</v>
      </c>
      <c r="D3176" s="329">
        <v>11.39</v>
      </c>
    </row>
    <row r="3177" spans="1:4" ht="30">
      <c r="A3177" s="47">
        <v>89815</v>
      </c>
      <c r="B3177" s="48" t="s">
        <v>6871</v>
      </c>
      <c r="C3177" s="47" t="s">
        <v>65</v>
      </c>
      <c r="D3177" s="332">
        <v>21.16</v>
      </c>
    </row>
    <row r="3178" spans="1:4" ht="30">
      <c r="A3178" s="28">
        <v>89816</v>
      </c>
      <c r="B3178" s="26" t="s">
        <v>10599</v>
      </c>
      <c r="C3178" s="28" t="s">
        <v>65</v>
      </c>
      <c r="D3178" s="329">
        <v>30.64</v>
      </c>
    </row>
    <row r="3179" spans="1:4" ht="45">
      <c r="A3179" s="47">
        <v>89817</v>
      </c>
      <c r="B3179" s="48" t="s">
        <v>7090</v>
      </c>
      <c r="C3179" s="47" t="s">
        <v>65</v>
      </c>
      <c r="D3179" s="332">
        <v>9.23</v>
      </c>
    </row>
    <row r="3180" spans="1:4" ht="30">
      <c r="A3180" s="28">
        <v>89818</v>
      </c>
      <c r="B3180" s="26" t="s">
        <v>3934</v>
      </c>
      <c r="C3180" s="28" t="s">
        <v>65</v>
      </c>
      <c r="D3180" s="329">
        <v>124.42</v>
      </c>
    </row>
    <row r="3181" spans="1:4" ht="45">
      <c r="A3181" s="47">
        <v>89819</v>
      </c>
      <c r="B3181" s="48" t="s">
        <v>6890</v>
      </c>
      <c r="C3181" s="47" t="s">
        <v>65</v>
      </c>
      <c r="D3181" s="332">
        <v>13.56</v>
      </c>
    </row>
    <row r="3182" spans="1:4" ht="30">
      <c r="A3182" s="28">
        <v>89820</v>
      </c>
      <c r="B3182" s="26" t="s">
        <v>2825</v>
      </c>
      <c r="C3182" s="28" t="s">
        <v>65</v>
      </c>
      <c r="D3182" s="329">
        <v>23.06</v>
      </c>
    </row>
    <row r="3183" spans="1:4" ht="45">
      <c r="A3183" s="47">
        <v>89821</v>
      </c>
      <c r="B3183" s="48" t="s">
        <v>7084</v>
      </c>
      <c r="C3183" s="47" t="s">
        <v>65</v>
      </c>
      <c r="D3183" s="332">
        <v>11.39</v>
      </c>
    </row>
    <row r="3184" spans="1:4" ht="30">
      <c r="A3184" s="28">
        <v>89822</v>
      </c>
      <c r="B3184" s="26" t="s">
        <v>7133</v>
      </c>
      <c r="C3184" s="28" t="s">
        <v>65</v>
      </c>
      <c r="D3184" s="329">
        <v>16.27</v>
      </c>
    </row>
    <row r="3185" spans="1:4" ht="45">
      <c r="A3185" s="47">
        <v>89823</v>
      </c>
      <c r="B3185" s="48" t="s">
        <v>6884</v>
      </c>
      <c r="C3185" s="47" t="s">
        <v>65</v>
      </c>
      <c r="D3185" s="332">
        <v>20.05</v>
      </c>
    </row>
    <row r="3186" spans="1:4" ht="30">
      <c r="A3186" s="28">
        <v>89824</v>
      </c>
      <c r="B3186" s="26" t="s">
        <v>6874</v>
      </c>
      <c r="C3186" s="28" t="s">
        <v>65</v>
      </c>
      <c r="D3186" s="329">
        <v>28.87</v>
      </c>
    </row>
    <row r="3187" spans="1:4" ht="30">
      <c r="A3187" s="47">
        <v>89825</v>
      </c>
      <c r="B3187" s="48" t="s">
        <v>9444</v>
      </c>
      <c r="C3187" s="47" t="s">
        <v>65</v>
      </c>
      <c r="D3187" s="332">
        <v>9.7200000000000006</v>
      </c>
    </row>
    <row r="3188" spans="1:4" ht="30">
      <c r="A3188" s="28">
        <v>89826</v>
      </c>
      <c r="B3188" s="26" t="s">
        <v>7005</v>
      </c>
      <c r="C3188" s="28" t="s">
        <v>65</v>
      </c>
      <c r="D3188" s="329">
        <v>126.93</v>
      </c>
    </row>
    <row r="3189" spans="1:4" ht="45">
      <c r="A3189" s="47">
        <v>89827</v>
      </c>
      <c r="B3189" s="48" t="s">
        <v>6504</v>
      </c>
      <c r="C3189" s="47" t="s">
        <v>65</v>
      </c>
      <c r="D3189" s="332">
        <v>10.55</v>
      </c>
    </row>
    <row r="3190" spans="1:4" ht="30">
      <c r="A3190" s="28">
        <v>89828</v>
      </c>
      <c r="B3190" s="26" t="s">
        <v>10602</v>
      </c>
      <c r="C3190" s="28" t="s">
        <v>65</v>
      </c>
      <c r="D3190" s="329">
        <v>44.41</v>
      </c>
    </row>
    <row r="3191" spans="1:4" ht="30">
      <c r="A3191" s="47">
        <v>89829</v>
      </c>
      <c r="B3191" s="48" t="s">
        <v>9446</v>
      </c>
      <c r="C3191" s="47" t="s">
        <v>65</v>
      </c>
      <c r="D3191" s="332">
        <v>17.399999999999999</v>
      </c>
    </row>
    <row r="3192" spans="1:4" ht="45">
      <c r="A3192" s="28">
        <v>89830</v>
      </c>
      <c r="B3192" s="26" t="s">
        <v>6506</v>
      </c>
      <c r="C3192" s="28" t="s">
        <v>65</v>
      </c>
      <c r="D3192" s="329">
        <v>18.559999999999999</v>
      </c>
    </row>
    <row r="3193" spans="1:4" ht="30">
      <c r="A3193" s="47">
        <v>89831</v>
      </c>
      <c r="B3193" s="48" t="s">
        <v>3937</v>
      </c>
      <c r="C3193" s="47" t="s">
        <v>65</v>
      </c>
      <c r="D3193" s="332">
        <v>151.94</v>
      </c>
    </row>
    <row r="3194" spans="1:4" ht="30">
      <c r="A3194" s="28">
        <v>89832</v>
      </c>
      <c r="B3194" s="26" t="s">
        <v>2822</v>
      </c>
      <c r="C3194" s="28" t="s">
        <v>65</v>
      </c>
      <c r="D3194" s="329">
        <v>30.3</v>
      </c>
    </row>
    <row r="3195" spans="1:4" ht="30">
      <c r="A3195" s="47">
        <v>89833</v>
      </c>
      <c r="B3195" s="48" t="s">
        <v>9439</v>
      </c>
      <c r="C3195" s="47" t="s">
        <v>65</v>
      </c>
      <c r="D3195" s="332">
        <v>21.67</v>
      </c>
    </row>
    <row r="3196" spans="1:4" ht="45">
      <c r="A3196" s="28">
        <v>89834</v>
      </c>
      <c r="B3196" s="26" t="s">
        <v>6499</v>
      </c>
      <c r="C3196" s="28" t="s">
        <v>65</v>
      </c>
      <c r="D3196" s="329">
        <v>26.04</v>
      </c>
    </row>
    <row r="3197" spans="1:4" ht="30">
      <c r="A3197" s="47">
        <v>89835</v>
      </c>
      <c r="B3197" s="48" t="s">
        <v>7135</v>
      </c>
      <c r="C3197" s="47" t="s">
        <v>65</v>
      </c>
      <c r="D3197" s="332">
        <v>29.63</v>
      </c>
    </row>
    <row r="3198" spans="1:4" ht="30">
      <c r="A3198" s="28">
        <v>89836</v>
      </c>
      <c r="B3198" s="26" t="s">
        <v>7002</v>
      </c>
      <c r="C3198" s="28" t="s">
        <v>65</v>
      </c>
      <c r="D3198" s="329">
        <v>205.39</v>
      </c>
    </row>
    <row r="3199" spans="1:4" ht="30">
      <c r="A3199" s="47">
        <v>89837</v>
      </c>
      <c r="B3199" s="48" t="s">
        <v>10593</v>
      </c>
      <c r="C3199" s="47" t="s">
        <v>65</v>
      </c>
      <c r="D3199" s="332">
        <v>101.75</v>
      </c>
    </row>
    <row r="3200" spans="1:4" ht="30">
      <c r="A3200" s="28">
        <v>89838</v>
      </c>
      <c r="B3200" s="26" t="s">
        <v>7137</v>
      </c>
      <c r="C3200" s="28" t="s">
        <v>65</v>
      </c>
      <c r="D3200" s="329">
        <v>110.99</v>
      </c>
    </row>
    <row r="3201" spans="1:4" ht="30">
      <c r="A3201" s="47">
        <v>89839</v>
      </c>
      <c r="B3201" s="48" t="s">
        <v>10594</v>
      </c>
      <c r="C3201" s="47" t="s">
        <v>65</v>
      </c>
      <c r="D3201" s="332">
        <v>147.43</v>
      </c>
    </row>
    <row r="3202" spans="1:4" ht="30">
      <c r="A3202" s="28">
        <v>89840</v>
      </c>
      <c r="B3202" s="26" t="s">
        <v>7139</v>
      </c>
      <c r="C3202" s="28" t="s">
        <v>65</v>
      </c>
      <c r="D3202" s="329">
        <v>127.37</v>
      </c>
    </row>
    <row r="3203" spans="1:4" ht="30">
      <c r="A3203" s="47">
        <v>89841</v>
      </c>
      <c r="B3203" s="48" t="s">
        <v>10595</v>
      </c>
      <c r="C3203" s="47" t="s">
        <v>65</v>
      </c>
      <c r="D3203" s="332">
        <v>216.47</v>
      </c>
    </row>
    <row r="3204" spans="1:4" ht="30">
      <c r="A3204" s="28">
        <v>89842</v>
      </c>
      <c r="B3204" s="26" t="s">
        <v>9400</v>
      </c>
      <c r="C3204" s="28" t="s">
        <v>65</v>
      </c>
      <c r="D3204" s="329">
        <v>33.94</v>
      </c>
    </row>
    <row r="3205" spans="1:4" ht="30">
      <c r="A3205" s="47">
        <v>89844</v>
      </c>
      <c r="B3205" s="48" t="s">
        <v>9392</v>
      </c>
      <c r="C3205" s="47" t="s">
        <v>65</v>
      </c>
      <c r="D3205" s="332">
        <v>43.36</v>
      </c>
    </row>
    <row r="3206" spans="1:4" ht="30">
      <c r="A3206" s="28">
        <v>89845</v>
      </c>
      <c r="B3206" s="26" t="s">
        <v>9402</v>
      </c>
      <c r="C3206" s="28" t="s">
        <v>65</v>
      </c>
      <c r="D3206" s="329">
        <v>67.77</v>
      </c>
    </row>
    <row r="3207" spans="1:4" ht="30">
      <c r="A3207" s="47">
        <v>89846</v>
      </c>
      <c r="B3207" s="48" t="s">
        <v>9405</v>
      </c>
      <c r="C3207" s="47" t="s">
        <v>65</v>
      </c>
      <c r="D3207" s="332">
        <v>154.19</v>
      </c>
    </row>
    <row r="3208" spans="1:4" ht="30">
      <c r="A3208" s="28">
        <v>89847</v>
      </c>
      <c r="B3208" s="26" t="s">
        <v>9407</v>
      </c>
      <c r="C3208" s="28" t="s">
        <v>65</v>
      </c>
      <c r="D3208" s="329">
        <v>189.09</v>
      </c>
    </row>
    <row r="3209" spans="1:4" ht="30">
      <c r="A3209" s="47">
        <v>89850</v>
      </c>
      <c r="B3209" s="48" t="s">
        <v>6336</v>
      </c>
      <c r="C3209" s="47" t="s">
        <v>65</v>
      </c>
      <c r="D3209" s="332">
        <v>16</v>
      </c>
    </row>
    <row r="3210" spans="1:4" ht="30">
      <c r="A3210" s="28">
        <v>89851</v>
      </c>
      <c r="B3210" s="26" t="s">
        <v>6268</v>
      </c>
      <c r="C3210" s="28" t="s">
        <v>65</v>
      </c>
      <c r="D3210" s="329">
        <v>16.07</v>
      </c>
    </row>
    <row r="3211" spans="1:4" ht="45">
      <c r="A3211" s="47">
        <v>89852</v>
      </c>
      <c r="B3211" s="48" t="s">
        <v>4517</v>
      </c>
      <c r="C3211" s="47" t="s">
        <v>65</v>
      </c>
      <c r="D3211" s="332">
        <v>26.63</v>
      </c>
    </row>
    <row r="3212" spans="1:4" ht="45">
      <c r="A3212" s="28">
        <v>89853</v>
      </c>
      <c r="B3212" s="26" t="s">
        <v>4593</v>
      </c>
      <c r="C3212" s="28" t="s">
        <v>65</v>
      </c>
      <c r="D3212" s="329">
        <v>48.19</v>
      </c>
    </row>
    <row r="3213" spans="1:4" ht="30">
      <c r="A3213" s="47">
        <v>89854</v>
      </c>
      <c r="B3213" s="48" t="s">
        <v>6337</v>
      </c>
      <c r="C3213" s="47" t="s">
        <v>65</v>
      </c>
      <c r="D3213" s="332">
        <v>47.86</v>
      </c>
    </row>
    <row r="3214" spans="1:4" ht="30">
      <c r="A3214" s="28">
        <v>89855</v>
      </c>
      <c r="B3214" s="26" t="s">
        <v>6269</v>
      </c>
      <c r="C3214" s="28" t="s">
        <v>65</v>
      </c>
      <c r="D3214" s="329">
        <v>51.15</v>
      </c>
    </row>
    <row r="3215" spans="1:4" ht="30">
      <c r="A3215" s="47">
        <v>89856</v>
      </c>
      <c r="B3215" s="48" t="s">
        <v>7086</v>
      </c>
      <c r="C3215" s="47" t="s">
        <v>65</v>
      </c>
      <c r="D3215" s="332">
        <v>13.82</v>
      </c>
    </row>
    <row r="3216" spans="1:4" ht="30">
      <c r="A3216" s="28">
        <v>89857</v>
      </c>
      <c r="B3216" s="26" t="s">
        <v>6886</v>
      </c>
      <c r="C3216" s="28" t="s">
        <v>65</v>
      </c>
      <c r="D3216" s="329">
        <v>22.48</v>
      </c>
    </row>
    <row r="3217" spans="1:4" ht="30">
      <c r="A3217" s="47">
        <v>89859</v>
      </c>
      <c r="B3217" s="48" t="s">
        <v>6887</v>
      </c>
      <c r="C3217" s="47" t="s">
        <v>65</v>
      </c>
      <c r="D3217" s="332">
        <v>33.42</v>
      </c>
    </row>
    <row r="3218" spans="1:4" ht="30">
      <c r="A3218" s="28">
        <v>89860</v>
      </c>
      <c r="B3218" s="26" t="s">
        <v>9441</v>
      </c>
      <c r="C3218" s="28" t="s">
        <v>65</v>
      </c>
      <c r="D3218" s="329">
        <v>26.52</v>
      </c>
    </row>
    <row r="3219" spans="1:4" ht="45">
      <c r="A3219" s="47">
        <v>89861</v>
      </c>
      <c r="B3219" s="48" t="s">
        <v>6501</v>
      </c>
      <c r="C3219" s="47" t="s">
        <v>65</v>
      </c>
      <c r="D3219" s="332">
        <v>30.9</v>
      </c>
    </row>
    <row r="3220" spans="1:4" ht="30">
      <c r="A3220" s="28">
        <v>89862</v>
      </c>
      <c r="B3220" s="26" t="s">
        <v>9442</v>
      </c>
      <c r="C3220" s="28" t="s">
        <v>65</v>
      </c>
      <c r="D3220" s="329">
        <v>78.010000000000005</v>
      </c>
    </row>
    <row r="3221" spans="1:4" ht="45">
      <c r="A3221" s="47">
        <v>89863</v>
      </c>
      <c r="B3221" s="48" t="s">
        <v>6502</v>
      </c>
      <c r="C3221" s="47" t="s">
        <v>65</v>
      </c>
      <c r="D3221" s="332">
        <v>128.44999999999999</v>
      </c>
    </row>
    <row r="3222" spans="1:4" ht="30">
      <c r="A3222" s="28">
        <v>89866</v>
      </c>
      <c r="B3222" s="26" t="s">
        <v>6353</v>
      </c>
      <c r="C3222" s="28" t="s">
        <v>65</v>
      </c>
      <c r="D3222" s="329">
        <v>3.49</v>
      </c>
    </row>
    <row r="3223" spans="1:4" ht="30">
      <c r="A3223" s="47">
        <v>89867</v>
      </c>
      <c r="B3223" s="48" t="s">
        <v>6284</v>
      </c>
      <c r="C3223" s="47" t="s">
        <v>65</v>
      </c>
      <c r="D3223" s="332">
        <v>3.94</v>
      </c>
    </row>
    <row r="3224" spans="1:4" ht="30">
      <c r="A3224" s="28">
        <v>89868</v>
      </c>
      <c r="B3224" s="26" t="s">
        <v>7168</v>
      </c>
      <c r="C3224" s="28" t="s">
        <v>65</v>
      </c>
      <c r="D3224" s="329">
        <v>2.78</v>
      </c>
    </row>
    <row r="3225" spans="1:4" ht="30">
      <c r="A3225" s="47">
        <v>89869</v>
      </c>
      <c r="B3225" s="48" t="s">
        <v>9467</v>
      </c>
      <c r="C3225" s="47" t="s">
        <v>65</v>
      </c>
      <c r="D3225" s="332">
        <v>5.59</v>
      </c>
    </row>
    <row r="3226" spans="1:4" ht="30">
      <c r="A3226" s="28">
        <v>89979</v>
      </c>
      <c r="B3226" s="26" t="s">
        <v>6800</v>
      </c>
      <c r="C3226" s="28" t="s">
        <v>65</v>
      </c>
      <c r="D3226" s="329">
        <v>20.260000000000002</v>
      </c>
    </row>
    <row r="3227" spans="1:4" ht="30">
      <c r="A3227" s="47">
        <v>89980</v>
      </c>
      <c r="B3227" s="48" t="s">
        <v>6796</v>
      </c>
      <c r="C3227" s="47" t="s">
        <v>65</v>
      </c>
      <c r="D3227" s="332">
        <v>8.73</v>
      </c>
    </row>
    <row r="3228" spans="1:4" ht="30">
      <c r="A3228" s="28">
        <v>89981</v>
      </c>
      <c r="B3228" s="26" t="s">
        <v>7115</v>
      </c>
      <c r="C3228" s="28" t="s">
        <v>65</v>
      </c>
      <c r="D3228" s="329">
        <v>18.07</v>
      </c>
    </row>
    <row r="3229" spans="1:4" ht="30">
      <c r="A3229" s="47">
        <v>90373</v>
      </c>
      <c r="B3229" s="48" t="s">
        <v>6297</v>
      </c>
      <c r="C3229" s="47" t="s">
        <v>65</v>
      </c>
      <c r="D3229" s="332">
        <v>9.81</v>
      </c>
    </row>
    <row r="3230" spans="1:4" ht="30">
      <c r="A3230" s="28">
        <v>90374</v>
      </c>
      <c r="B3230" s="26" t="s">
        <v>9218</v>
      </c>
      <c r="C3230" s="28" t="s">
        <v>65</v>
      </c>
      <c r="D3230" s="329">
        <v>14.85</v>
      </c>
    </row>
    <row r="3231" spans="1:4" ht="30">
      <c r="A3231" s="47">
        <v>90375</v>
      </c>
      <c r="B3231" s="48" t="s">
        <v>2829</v>
      </c>
      <c r="C3231" s="47" t="s">
        <v>65</v>
      </c>
      <c r="D3231" s="332">
        <v>6.39</v>
      </c>
    </row>
    <row r="3232" spans="1:4" ht="30">
      <c r="A3232" s="28">
        <v>92287</v>
      </c>
      <c r="B3232" s="26" t="s">
        <v>4175</v>
      </c>
      <c r="C3232" s="28" t="s">
        <v>65</v>
      </c>
      <c r="D3232" s="329">
        <v>12.02</v>
      </c>
    </row>
    <row r="3233" spans="1:4" ht="30">
      <c r="A3233" s="47">
        <v>92288</v>
      </c>
      <c r="B3233" s="48" t="s">
        <v>4178</v>
      </c>
      <c r="C3233" s="47" t="s">
        <v>65</v>
      </c>
      <c r="D3233" s="332">
        <v>18.649999999999999</v>
      </c>
    </row>
    <row r="3234" spans="1:4" ht="30">
      <c r="A3234" s="28">
        <v>92289</v>
      </c>
      <c r="B3234" s="26" t="s">
        <v>4181</v>
      </c>
      <c r="C3234" s="28" t="s">
        <v>65</v>
      </c>
      <c r="D3234" s="329">
        <v>32.99</v>
      </c>
    </row>
    <row r="3235" spans="1:4" ht="30">
      <c r="A3235" s="47">
        <v>92290</v>
      </c>
      <c r="B3235" s="48" t="s">
        <v>4182</v>
      </c>
      <c r="C3235" s="47" t="s">
        <v>65</v>
      </c>
      <c r="D3235" s="332">
        <v>49.31</v>
      </c>
    </row>
    <row r="3236" spans="1:4" ht="30">
      <c r="A3236" s="28">
        <v>92291</v>
      </c>
      <c r="B3236" s="26" t="s">
        <v>4183</v>
      </c>
      <c r="C3236" s="28" t="s">
        <v>65</v>
      </c>
      <c r="D3236" s="329">
        <v>75.87</v>
      </c>
    </row>
    <row r="3237" spans="1:4" ht="30">
      <c r="A3237" s="47">
        <v>92292</v>
      </c>
      <c r="B3237" s="48" t="s">
        <v>4184</v>
      </c>
      <c r="C3237" s="47" t="s">
        <v>65</v>
      </c>
      <c r="D3237" s="332">
        <v>242.84</v>
      </c>
    </row>
    <row r="3238" spans="1:4" ht="30">
      <c r="A3238" s="28">
        <v>92293</v>
      </c>
      <c r="B3238" s="26" t="s">
        <v>6827</v>
      </c>
      <c r="C3238" s="28" t="s">
        <v>65</v>
      </c>
      <c r="D3238" s="329">
        <v>6.64</v>
      </c>
    </row>
    <row r="3239" spans="1:4" ht="30">
      <c r="A3239" s="47">
        <v>92294</v>
      </c>
      <c r="B3239" s="48" t="s">
        <v>6830</v>
      </c>
      <c r="C3239" s="47" t="s">
        <v>65</v>
      </c>
      <c r="D3239" s="332">
        <v>11.09</v>
      </c>
    </row>
    <row r="3240" spans="1:4" ht="30">
      <c r="A3240" s="28">
        <v>92295</v>
      </c>
      <c r="B3240" s="26" t="s">
        <v>6833</v>
      </c>
      <c r="C3240" s="28" t="s">
        <v>65</v>
      </c>
      <c r="D3240" s="329">
        <v>21.06</v>
      </c>
    </row>
    <row r="3241" spans="1:4" ht="30">
      <c r="A3241" s="47">
        <v>92296</v>
      </c>
      <c r="B3241" s="48" t="s">
        <v>6834</v>
      </c>
      <c r="C3241" s="47" t="s">
        <v>65</v>
      </c>
      <c r="D3241" s="332">
        <v>27.09</v>
      </c>
    </row>
    <row r="3242" spans="1:4" ht="30">
      <c r="A3242" s="28">
        <v>92297</v>
      </c>
      <c r="B3242" s="26" t="s">
        <v>6835</v>
      </c>
      <c r="C3242" s="28" t="s">
        <v>65</v>
      </c>
      <c r="D3242" s="329">
        <v>42.26</v>
      </c>
    </row>
    <row r="3243" spans="1:4" ht="30">
      <c r="A3243" s="47">
        <v>92298</v>
      </c>
      <c r="B3243" s="48" t="s">
        <v>6837</v>
      </c>
      <c r="C3243" s="47" t="s">
        <v>65</v>
      </c>
      <c r="D3243" s="332">
        <v>123.7</v>
      </c>
    </row>
    <row r="3244" spans="1:4" ht="30">
      <c r="A3244" s="28">
        <v>92299</v>
      </c>
      <c r="B3244" s="26" t="s">
        <v>9244</v>
      </c>
      <c r="C3244" s="28" t="s">
        <v>65</v>
      </c>
      <c r="D3244" s="329">
        <v>15.74</v>
      </c>
    </row>
    <row r="3245" spans="1:4" ht="30">
      <c r="A3245" s="47">
        <v>92300</v>
      </c>
      <c r="B3245" s="48" t="s">
        <v>9247</v>
      </c>
      <c r="C3245" s="47" t="s">
        <v>65</v>
      </c>
      <c r="D3245" s="332">
        <v>23.55</v>
      </c>
    </row>
    <row r="3246" spans="1:4" ht="30">
      <c r="A3246" s="28">
        <v>92301</v>
      </c>
      <c r="B3246" s="26" t="s">
        <v>9250</v>
      </c>
      <c r="C3246" s="28" t="s">
        <v>65</v>
      </c>
      <c r="D3246" s="329">
        <v>46.8</v>
      </c>
    </row>
    <row r="3247" spans="1:4" ht="30">
      <c r="A3247" s="47">
        <v>92302</v>
      </c>
      <c r="B3247" s="48" t="s">
        <v>9251</v>
      </c>
      <c r="C3247" s="47" t="s">
        <v>65</v>
      </c>
      <c r="D3247" s="332">
        <v>60.51</v>
      </c>
    </row>
    <row r="3248" spans="1:4" ht="30">
      <c r="A3248" s="28">
        <v>92303</v>
      </c>
      <c r="B3248" s="26" t="s">
        <v>9252</v>
      </c>
      <c r="C3248" s="28" t="s">
        <v>65</v>
      </c>
      <c r="D3248" s="329">
        <v>112.35</v>
      </c>
    </row>
    <row r="3249" spans="1:4" ht="30">
      <c r="A3249" s="47">
        <v>92304</v>
      </c>
      <c r="B3249" s="48" t="s">
        <v>9253</v>
      </c>
      <c r="C3249" s="47" t="s">
        <v>65</v>
      </c>
      <c r="D3249" s="332">
        <v>298.58999999999997</v>
      </c>
    </row>
    <row r="3250" spans="1:4" ht="30">
      <c r="A3250" s="28">
        <v>92311</v>
      </c>
      <c r="B3250" s="26" t="s">
        <v>4173</v>
      </c>
      <c r="C3250" s="28" t="s">
        <v>65</v>
      </c>
      <c r="D3250" s="329">
        <v>8.76</v>
      </c>
    </row>
    <row r="3251" spans="1:4" ht="30">
      <c r="A3251" s="47">
        <v>92312</v>
      </c>
      <c r="B3251" s="48" t="s">
        <v>4176</v>
      </c>
      <c r="C3251" s="47" t="s">
        <v>65</v>
      </c>
      <c r="D3251" s="332">
        <v>14.21</v>
      </c>
    </row>
    <row r="3252" spans="1:4" ht="30">
      <c r="A3252" s="28">
        <v>92313</v>
      </c>
      <c r="B3252" s="26" t="s">
        <v>4179</v>
      </c>
      <c r="C3252" s="28" t="s">
        <v>65</v>
      </c>
      <c r="D3252" s="329">
        <v>20.82</v>
      </c>
    </row>
    <row r="3253" spans="1:4" ht="30">
      <c r="A3253" s="47">
        <v>92314</v>
      </c>
      <c r="B3253" s="48" t="s">
        <v>6825</v>
      </c>
      <c r="C3253" s="47" t="s">
        <v>65</v>
      </c>
      <c r="D3253" s="332">
        <v>5.55</v>
      </c>
    </row>
    <row r="3254" spans="1:4" ht="30">
      <c r="A3254" s="28">
        <v>92315</v>
      </c>
      <c r="B3254" s="26" t="s">
        <v>6828</v>
      </c>
      <c r="C3254" s="28" t="s">
        <v>65</v>
      </c>
      <c r="D3254" s="329">
        <v>8.1300000000000008</v>
      </c>
    </row>
    <row r="3255" spans="1:4" ht="30">
      <c r="A3255" s="47">
        <v>92316</v>
      </c>
      <c r="B3255" s="48" t="s">
        <v>6831</v>
      </c>
      <c r="C3255" s="47" t="s">
        <v>65</v>
      </c>
      <c r="D3255" s="332">
        <v>12.58</v>
      </c>
    </row>
    <row r="3256" spans="1:4" ht="30">
      <c r="A3256" s="28">
        <v>92317</v>
      </c>
      <c r="B3256" s="26" t="s">
        <v>9242</v>
      </c>
      <c r="C3256" s="28" t="s">
        <v>65</v>
      </c>
      <c r="D3256" s="329">
        <v>11.84</v>
      </c>
    </row>
    <row r="3257" spans="1:4" ht="30">
      <c r="A3257" s="47">
        <v>92318</v>
      </c>
      <c r="B3257" s="48" t="s">
        <v>9245</v>
      </c>
      <c r="C3257" s="47" t="s">
        <v>65</v>
      </c>
      <c r="D3257" s="332">
        <v>18.66</v>
      </c>
    </row>
    <row r="3258" spans="1:4" ht="30">
      <c r="A3258" s="28">
        <v>92319</v>
      </c>
      <c r="B3258" s="26" t="s">
        <v>9248</v>
      </c>
      <c r="C3258" s="28" t="s">
        <v>65</v>
      </c>
      <c r="D3258" s="329">
        <v>26.48</v>
      </c>
    </row>
    <row r="3259" spans="1:4" ht="30">
      <c r="A3259" s="47">
        <v>92326</v>
      </c>
      <c r="B3259" s="48" t="s">
        <v>4174</v>
      </c>
      <c r="C3259" s="47" t="s">
        <v>65</v>
      </c>
      <c r="D3259" s="332">
        <v>8.92</v>
      </c>
    </row>
    <row r="3260" spans="1:4" ht="30">
      <c r="A3260" s="28">
        <v>92327</v>
      </c>
      <c r="B3260" s="26" t="s">
        <v>4177</v>
      </c>
      <c r="C3260" s="28" t="s">
        <v>65</v>
      </c>
      <c r="D3260" s="329">
        <v>16.239999999999998</v>
      </c>
    </row>
    <row r="3261" spans="1:4" ht="30">
      <c r="A3261" s="47">
        <v>92328</v>
      </c>
      <c r="B3261" s="48" t="s">
        <v>4180</v>
      </c>
      <c r="C3261" s="47" t="s">
        <v>65</v>
      </c>
      <c r="D3261" s="332">
        <v>24.41</v>
      </c>
    </row>
    <row r="3262" spans="1:4" ht="30">
      <c r="A3262" s="28">
        <v>92329</v>
      </c>
      <c r="B3262" s="26" t="s">
        <v>6826</v>
      </c>
      <c r="C3262" s="28" t="s">
        <v>65</v>
      </c>
      <c r="D3262" s="329">
        <v>5.69</v>
      </c>
    </row>
    <row r="3263" spans="1:4" ht="30">
      <c r="A3263" s="47">
        <v>92330</v>
      </c>
      <c r="B3263" s="48" t="s">
        <v>6829</v>
      </c>
      <c r="C3263" s="47" t="s">
        <v>65</v>
      </c>
      <c r="D3263" s="332">
        <v>9.4600000000000009</v>
      </c>
    </row>
    <row r="3264" spans="1:4" ht="30">
      <c r="A3264" s="28">
        <v>92331</v>
      </c>
      <c r="B3264" s="26" t="s">
        <v>6832</v>
      </c>
      <c r="C3264" s="28" t="s">
        <v>65</v>
      </c>
      <c r="D3264" s="329">
        <v>14.98</v>
      </c>
    </row>
    <row r="3265" spans="1:4" ht="30">
      <c r="A3265" s="47">
        <v>92332</v>
      </c>
      <c r="B3265" s="48" t="s">
        <v>9243</v>
      </c>
      <c r="C3265" s="47" t="s">
        <v>65</v>
      </c>
      <c r="D3265" s="332">
        <v>12.05</v>
      </c>
    </row>
    <row r="3266" spans="1:4" ht="30">
      <c r="A3266" s="28">
        <v>92333</v>
      </c>
      <c r="B3266" s="26" t="s">
        <v>9246</v>
      </c>
      <c r="C3266" s="28" t="s">
        <v>65</v>
      </c>
      <c r="D3266" s="329">
        <v>21.33</v>
      </c>
    </row>
    <row r="3267" spans="1:4" ht="30">
      <c r="A3267" s="47">
        <v>92334</v>
      </c>
      <c r="B3267" s="48" t="s">
        <v>9249</v>
      </c>
      <c r="C3267" s="47" t="s">
        <v>65</v>
      </c>
      <c r="D3267" s="332">
        <v>31.24</v>
      </c>
    </row>
    <row r="3268" spans="1:4" ht="30">
      <c r="A3268" s="28">
        <v>92344</v>
      </c>
      <c r="B3268" s="26" t="s">
        <v>703</v>
      </c>
      <c r="C3268" s="28" t="s">
        <v>65</v>
      </c>
      <c r="D3268" s="329">
        <v>40.15</v>
      </c>
    </row>
    <row r="3269" spans="1:4" ht="30">
      <c r="A3269" s="47">
        <v>92345</v>
      </c>
      <c r="B3269" s="48" t="s">
        <v>7153</v>
      </c>
      <c r="C3269" s="47" t="s">
        <v>65</v>
      </c>
      <c r="D3269" s="332">
        <v>40.14</v>
      </c>
    </row>
    <row r="3270" spans="1:4" ht="30">
      <c r="A3270" s="28">
        <v>92346</v>
      </c>
      <c r="B3270" s="26" t="s">
        <v>7702</v>
      </c>
      <c r="C3270" s="28" t="s">
        <v>65</v>
      </c>
      <c r="D3270" s="329">
        <v>52.69</v>
      </c>
    </row>
    <row r="3271" spans="1:4" ht="30">
      <c r="A3271" s="47">
        <v>92347</v>
      </c>
      <c r="B3271" s="48" t="s">
        <v>7155</v>
      </c>
      <c r="C3271" s="47" t="s">
        <v>65</v>
      </c>
      <c r="D3271" s="332">
        <v>58.59</v>
      </c>
    </row>
    <row r="3272" spans="1:4" ht="30">
      <c r="A3272" s="28">
        <v>92348</v>
      </c>
      <c r="B3272" s="26" t="s">
        <v>704</v>
      </c>
      <c r="C3272" s="28" t="s">
        <v>65</v>
      </c>
      <c r="D3272" s="329">
        <v>73.84</v>
      </c>
    </row>
    <row r="3273" spans="1:4" ht="30">
      <c r="A3273" s="47">
        <v>92349</v>
      </c>
      <c r="B3273" s="48" t="s">
        <v>7157</v>
      </c>
      <c r="C3273" s="47" t="s">
        <v>65</v>
      </c>
      <c r="D3273" s="332">
        <v>79.09</v>
      </c>
    </row>
    <row r="3274" spans="1:4" ht="30">
      <c r="A3274" s="28">
        <v>92350</v>
      </c>
      <c r="B3274" s="26" t="s">
        <v>705</v>
      </c>
      <c r="C3274" s="28" t="s">
        <v>65</v>
      </c>
      <c r="D3274" s="329">
        <v>59.72</v>
      </c>
    </row>
    <row r="3275" spans="1:4" ht="30">
      <c r="A3275" s="47">
        <v>92351</v>
      </c>
      <c r="B3275" s="48" t="s">
        <v>706</v>
      </c>
      <c r="C3275" s="47" t="s">
        <v>65</v>
      </c>
      <c r="D3275" s="332">
        <v>58.41</v>
      </c>
    </row>
    <row r="3276" spans="1:4" ht="30">
      <c r="A3276" s="28">
        <v>92352</v>
      </c>
      <c r="B3276" s="26" t="s">
        <v>6264</v>
      </c>
      <c r="C3276" s="28" t="s">
        <v>65</v>
      </c>
      <c r="D3276" s="329">
        <v>90.36</v>
      </c>
    </row>
    <row r="3277" spans="1:4" ht="30">
      <c r="A3277" s="47">
        <v>92353</v>
      </c>
      <c r="B3277" s="48" t="s">
        <v>6332</v>
      </c>
      <c r="C3277" s="47" t="s">
        <v>65</v>
      </c>
      <c r="D3277" s="332">
        <v>84.58</v>
      </c>
    </row>
    <row r="3278" spans="1:4" ht="30">
      <c r="A3278" s="28">
        <v>92354</v>
      </c>
      <c r="B3278" s="26" t="s">
        <v>707</v>
      </c>
      <c r="C3278" s="28" t="s">
        <v>65</v>
      </c>
      <c r="D3278" s="329">
        <v>119.79</v>
      </c>
    </row>
    <row r="3279" spans="1:4" ht="30">
      <c r="A3279" s="47">
        <v>92355</v>
      </c>
      <c r="B3279" s="48" t="s">
        <v>708</v>
      </c>
      <c r="C3279" s="47" t="s">
        <v>65</v>
      </c>
      <c r="D3279" s="332">
        <v>108.65</v>
      </c>
    </row>
    <row r="3280" spans="1:4" ht="30">
      <c r="A3280" s="28">
        <v>92356</v>
      </c>
      <c r="B3280" s="26" t="s">
        <v>709</v>
      </c>
      <c r="C3280" s="28" t="s">
        <v>65</v>
      </c>
      <c r="D3280" s="329">
        <v>77.849999999999994</v>
      </c>
    </row>
    <row r="3281" spans="1:4" ht="30">
      <c r="A3281" s="47">
        <v>92357</v>
      </c>
      <c r="B3281" s="48" t="s">
        <v>710</v>
      </c>
      <c r="C3281" s="47" t="s">
        <v>65</v>
      </c>
      <c r="D3281" s="332">
        <v>115.68</v>
      </c>
    </row>
    <row r="3282" spans="1:4" ht="30">
      <c r="A3282" s="28">
        <v>92358</v>
      </c>
      <c r="B3282" s="26" t="s">
        <v>711</v>
      </c>
      <c r="C3282" s="28" t="s">
        <v>65</v>
      </c>
      <c r="D3282" s="329">
        <v>143.80000000000001</v>
      </c>
    </row>
    <row r="3283" spans="1:4" ht="30">
      <c r="A3283" s="47">
        <v>92369</v>
      </c>
      <c r="B3283" s="48" t="s">
        <v>7698</v>
      </c>
      <c r="C3283" s="47" t="s">
        <v>65</v>
      </c>
      <c r="D3283" s="332">
        <v>21.71</v>
      </c>
    </row>
    <row r="3284" spans="1:4" ht="30">
      <c r="A3284" s="28">
        <v>92370</v>
      </c>
      <c r="B3284" s="26" t="s">
        <v>7150</v>
      </c>
      <c r="C3284" s="28" t="s">
        <v>65</v>
      </c>
      <c r="D3284" s="329">
        <v>22.78</v>
      </c>
    </row>
    <row r="3285" spans="1:4" ht="30">
      <c r="A3285" s="47">
        <v>92371</v>
      </c>
      <c r="B3285" s="48" t="s">
        <v>7699</v>
      </c>
      <c r="C3285" s="47" t="s">
        <v>65</v>
      </c>
      <c r="D3285" s="332">
        <v>26.22</v>
      </c>
    </row>
    <row r="3286" spans="1:4" ht="30">
      <c r="A3286" s="28">
        <v>92372</v>
      </c>
      <c r="B3286" s="26" t="s">
        <v>7151</v>
      </c>
      <c r="C3286" s="28" t="s">
        <v>65</v>
      </c>
      <c r="D3286" s="329">
        <v>27.21</v>
      </c>
    </row>
    <row r="3287" spans="1:4" ht="30">
      <c r="A3287" s="47">
        <v>92373</v>
      </c>
      <c r="B3287" s="48" t="s">
        <v>7700</v>
      </c>
      <c r="C3287" s="47" t="s">
        <v>65</v>
      </c>
      <c r="D3287" s="332">
        <v>30.96</v>
      </c>
    </row>
    <row r="3288" spans="1:4" ht="30">
      <c r="A3288" s="28">
        <v>92374</v>
      </c>
      <c r="B3288" s="26" t="s">
        <v>7152</v>
      </c>
      <c r="C3288" s="28" t="s">
        <v>65</v>
      </c>
      <c r="D3288" s="329">
        <v>31.15</v>
      </c>
    </row>
    <row r="3289" spans="1:4" ht="30">
      <c r="A3289" s="47">
        <v>92375</v>
      </c>
      <c r="B3289" s="48" t="s">
        <v>7701</v>
      </c>
      <c r="C3289" s="47" t="s">
        <v>65</v>
      </c>
      <c r="D3289" s="332">
        <v>40.119999999999997</v>
      </c>
    </row>
    <row r="3290" spans="1:4" ht="30">
      <c r="A3290" s="28">
        <v>92376</v>
      </c>
      <c r="B3290" s="26" t="s">
        <v>7154</v>
      </c>
      <c r="C3290" s="28" t="s">
        <v>65</v>
      </c>
      <c r="D3290" s="329">
        <v>40.11</v>
      </c>
    </row>
    <row r="3291" spans="1:4" ht="30">
      <c r="A3291" s="47">
        <v>92377</v>
      </c>
      <c r="B3291" s="48" t="s">
        <v>7703</v>
      </c>
      <c r="C3291" s="47" t="s">
        <v>65</v>
      </c>
      <c r="D3291" s="332">
        <v>53.72</v>
      </c>
    </row>
    <row r="3292" spans="1:4" ht="30">
      <c r="A3292" s="28">
        <v>92378</v>
      </c>
      <c r="B3292" s="26" t="s">
        <v>7156</v>
      </c>
      <c r="C3292" s="28" t="s">
        <v>65</v>
      </c>
      <c r="D3292" s="329">
        <v>59.62</v>
      </c>
    </row>
    <row r="3293" spans="1:4" ht="30">
      <c r="A3293" s="47">
        <v>92379</v>
      </c>
      <c r="B3293" s="48" t="s">
        <v>7704</v>
      </c>
      <c r="C3293" s="47" t="s">
        <v>65</v>
      </c>
      <c r="D3293" s="332">
        <v>75.959999999999994</v>
      </c>
    </row>
    <row r="3294" spans="1:4" ht="30">
      <c r="A3294" s="28">
        <v>92380</v>
      </c>
      <c r="B3294" s="26" t="s">
        <v>7158</v>
      </c>
      <c r="C3294" s="28" t="s">
        <v>65</v>
      </c>
      <c r="D3294" s="329">
        <v>81.22</v>
      </c>
    </row>
    <row r="3295" spans="1:4" ht="45">
      <c r="A3295" s="47">
        <v>92381</v>
      </c>
      <c r="B3295" s="48" t="s">
        <v>6260</v>
      </c>
      <c r="C3295" s="47" t="s">
        <v>65</v>
      </c>
      <c r="D3295" s="332">
        <v>32.869999999999997</v>
      </c>
    </row>
    <row r="3296" spans="1:4" ht="45">
      <c r="A3296" s="28">
        <v>92382</v>
      </c>
      <c r="B3296" s="26" t="s">
        <v>6328</v>
      </c>
      <c r="C3296" s="28" t="s">
        <v>65</v>
      </c>
      <c r="D3296" s="329">
        <v>31.46</v>
      </c>
    </row>
    <row r="3297" spans="1:4" ht="45">
      <c r="A3297" s="47">
        <v>92383</v>
      </c>
      <c r="B3297" s="48" t="s">
        <v>6261</v>
      </c>
      <c r="C3297" s="47" t="s">
        <v>65</v>
      </c>
      <c r="D3297" s="332">
        <v>41.35</v>
      </c>
    </row>
    <row r="3298" spans="1:4" ht="45">
      <c r="A3298" s="28">
        <v>92384</v>
      </c>
      <c r="B3298" s="26" t="s">
        <v>6329</v>
      </c>
      <c r="C3298" s="28" t="s">
        <v>65</v>
      </c>
      <c r="D3298" s="329">
        <v>38.549999999999997</v>
      </c>
    </row>
    <row r="3299" spans="1:4" ht="45">
      <c r="A3299" s="47">
        <v>92385</v>
      </c>
      <c r="B3299" s="48" t="s">
        <v>6262</v>
      </c>
      <c r="C3299" s="47" t="s">
        <v>65</v>
      </c>
      <c r="D3299" s="332">
        <v>47.38</v>
      </c>
    </row>
    <row r="3300" spans="1:4" ht="45">
      <c r="A3300" s="28">
        <v>92386</v>
      </c>
      <c r="B3300" s="26" t="s">
        <v>6330</v>
      </c>
      <c r="C3300" s="28" t="s">
        <v>65</v>
      </c>
      <c r="D3300" s="329">
        <v>45.45</v>
      </c>
    </row>
    <row r="3301" spans="1:4" ht="45">
      <c r="A3301" s="47">
        <v>92387</v>
      </c>
      <c r="B3301" s="48" t="s">
        <v>6263</v>
      </c>
      <c r="C3301" s="47" t="s">
        <v>65</v>
      </c>
      <c r="D3301" s="332">
        <v>59.66</v>
      </c>
    </row>
    <row r="3302" spans="1:4" ht="45">
      <c r="A3302" s="28">
        <v>92388</v>
      </c>
      <c r="B3302" s="26" t="s">
        <v>6331</v>
      </c>
      <c r="C3302" s="28" t="s">
        <v>65</v>
      </c>
      <c r="D3302" s="329">
        <v>58.34</v>
      </c>
    </row>
    <row r="3303" spans="1:4" ht="45">
      <c r="A3303" s="47">
        <v>92389</v>
      </c>
      <c r="B3303" s="48" t="s">
        <v>6265</v>
      </c>
      <c r="C3303" s="47" t="s">
        <v>65</v>
      </c>
      <c r="D3303" s="332">
        <v>91.94</v>
      </c>
    </row>
    <row r="3304" spans="1:4" ht="45">
      <c r="A3304" s="28">
        <v>92390</v>
      </c>
      <c r="B3304" s="26" t="s">
        <v>6333</v>
      </c>
      <c r="C3304" s="28" t="s">
        <v>65</v>
      </c>
      <c r="D3304" s="329">
        <v>86.16</v>
      </c>
    </row>
    <row r="3305" spans="1:4" ht="45">
      <c r="A3305" s="47">
        <v>92635</v>
      </c>
      <c r="B3305" s="48" t="s">
        <v>6258</v>
      </c>
      <c r="C3305" s="47" t="s">
        <v>65</v>
      </c>
      <c r="D3305" s="332">
        <v>122.98</v>
      </c>
    </row>
    <row r="3306" spans="1:4" ht="45">
      <c r="A3306" s="28">
        <v>92636</v>
      </c>
      <c r="B3306" s="26" t="s">
        <v>6326</v>
      </c>
      <c r="C3306" s="28" t="s">
        <v>65</v>
      </c>
      <c r="D3306" s="329">
        <v>111.84</v>
      </c>
    </row>
    <row r="3307" spans="1:4" ht="30">
      <c r="A3307" s="47">
        <v>92637</v>
      </c>
      <c r="B3307" s="48" t="s">
        <v>9413</v>
      </c>
      <c r="C3307" s="47" t="s">
        <v>65</v>
      </c>
      <c r="D3307" s="332">
        <v>42.48</v>
      </c>
    </row>
    <row r="3308" spans="1:4" ht="30">
      <c r="A3308" s="28">
        <v>92638</v>
      </c>
      <c r="B3308" s="26" t="s">
        <v>9415</v>
      </c>
      <c r="C3308" s="28" t="s">
        <v>65</v>
      </c>
      <c r="D3308" s="329">
        <v>51.75</v>
      </c>
    </row>
    <row r="3309" spans="1:4" ht="30">
      <c r="A3309" s="47">
        <v>92639</v>
      </c>
      <c r="B3309" s="48" t="s">
        <v>9417</v>
      </c>
      <c r="C3309" s="47" t="s">
        <v>65</v>
      </c>
      <c r="D3309" s="332">
        <v>59.85</v>
      </c>
    </row>
    <row r="3310" spans="1:4" ht="30">
      <c r="A3310" s="28">
        <v>92640</v>
      </c>
      <c r="B3310" s="26" t="s">
        <v>9419</v>
      </c>
      <c r="C3310" s="28" t="s">
        <v>65</v>
      </c>
      <c r="D3310" s="329">
        <v>77.760000000000005</v>
      </c>
    </row>
    <row r="3311" spans="1:4" ht="30">
      <c r="A3311" s="47">
        <v>92642</v>
      </c>
      <c r="B3311" s="48" t="s">
        <v>9422</v>
      </c>
      <c r="C3311" s="47" t="s">
        <v>65</v>
      </c>
      <c r="D3311" s="332">
        <v>117.74</v>
      </c>
    </row>
    <row r="3312" spans="1:4" ht="30">
      <c r="A3312" s="28">
        <v>92644</v>
      </c>
      <c r="B3312" s="26" t="s">
        <v>9425</v>
      </c>
      <c r="C3312" s="28" t="s">
        <v>65</v>
      </c>
      <c r="D3312" s="329">
        <v>148.05000000000001</v>
      </c>
    </row>
    <row r="3313" spans="1:4" ht="30">
      <c r="A3313" s="47">
        <v>92657</v>
      </c>
      <c r="B3313" s="48" t="s">
        <v>7689</v>
      </c>
      <c r="C3313" s="47" t="s">
        <v>65</v>
      </c>
      <c r="D3313" s="332">
        <v>15.97</v>
      </c>
    </row>
    <row r="3314" spans="1:4" ht="30">
      <c r="A3314" s="28">
        <v>92658</v>
      </c>
      <c r="B3314" s="26" t="s">
        <v>7141</v>
      </c>
      <c r="C3314" s="28" t="s">
        <v>65</v>
      </c>
      <c r="D3314" s="329">
        <v>17.04</v>
      </c>
    </row>
    <row r="3315" spans="1:4" ht="30">
      <c r="A3315" s="47">
        <v>92659</v>
      </c>
      <c r="B3315" s="48" t="s">
        <v>7690</v>
      </c>
      <c r="C3315" s="47" t="s">
        <v>65</v>
      </c>
      <c r="D3315" s="332">
        <v>19.690000000000001</v>
      </c>
    </row>
    <row r="3316" spans="1:4" ht="30">
      <c r="A3316" s="28">
        <v>92660</v>
      </c>
      <c r="B3316" s="26" t="s">
        <v>7142</v>
      </c>
      <c r="C3316" s="28" t="s">
        <v>65</v>
      </c>
      <c r="D3316" s="329">
        <v>20.68</v>
      </c>
    </row>
    <row r="3317" spans="1:4" ht="30">
      <c r="A3317" s="47">
        <v>92661</v>
      </c>
      <c r="B3317" s="48" t="s">
        <v>7691</v>
      </c>
      <c r="C3317" s="47" t="s">
        <v>65</v>
      </c>
      <c r="D3317" s="332">
        <v>23.52</v>
      </c>
    </row>
    <row r="3318" spans="1:4" ht="30">
      <c r="A3318" s="28">
        <v>92662</v>
      </c>
      <c r="B3318" s="26" t="s">
        <v>7143</v>
      </c>
      <c r="C3318" s="28" t="s">
        <v>65</v>
      </c>
      <c r="D3318" s="329">
        <v>23.71</v>
      </c>
    </row>
    <row r="3319" spans="1:4" ht="30">
      <c r="A3319" s="47">
        <v>92663</v>
      </c>
      <c r="B3319" s="48" t="s">
        <v>7692</v>
      </c>
      <c r="C3319" s="47" t="s">
        <v>65</v>
      </c>
      <c r="D3319" s="332">
        <v>31.56</v>
      </c>
    </row>
    <row r="3320" spans="1:4" ht="30">
      <c r="A3320" s="28">
        <v>92664</v>
      </c>
      <c r="B3320" s="26" t="s">
        <v>7144</v>
      </c>
      <c r="C3320" s="28" t="s">
        <v>65</v>
      </c>
      <c r="D3320" s="329">
        <v>31.55</v>
      </c>
    </row>
    <row r="3321" spans="1:4" ht="30">
      <c r="A3321" s="47">
        <v>92665</v>
      </c>
      <c r="B3321" s="48" t="s">
        <v>7694</v>
      </c>
      <c r="C3321" s="47" t="s">
        <v>65</v>
      </c>
      <c r="D3321" s="332">
        <v>43.46</v>
      </c>
    </row>
    <row r="3322" spans="1:4" ht="30">
      <c r="A3322" s="28">
        <v>92666</v>
      </c>
      <c r="B3322" s="26" t="s">
        <v>7146</v>
      </c>
      <c r="C3322" s="28" t="s">
        <v>65</v>
      </c>
      <c r="D3322" s="329">
        <v>49.36</v>
      </c>
    </row>
    <row r="3323" spans="1:4" ht="30">
      <c r="A3323" s="47">
        <v>92667</v>
      </c>
      <c r="B3323" s="48" t="s">
        <v>7696</v>
      </c>
      <c r="C3323" s="47" t="s">
        <v>65</v>
      </c>
      <c r="D3323" s="332">
        <v>64.03</v>
      </c>
    </row>
    <row r="3324" spans="1:4" ht="30">
      <c r="A3324" s="28">
        <v>92668</v>
      </c>
      <c r="B3324" s="26" t="s">
        <v>7148</v>
      </c>
      <c r="C3324" s="28" t="s">
        <v>65</v>
      </c>
      <c r="D3324" s="329">
        <v>69.28</v>
      </c>
    </row>
    <row r="3325" spans="1:4" ht="45">
      <c r="A3325" s="47">
        <v>92669</v>
      </c>
      <c r="B3325" s="48" t="s">
        <v>6253</v>
      </c>
      <c r="C3325" s="47" t="s">
        <v>65</v>
      </c>
      <c r="D3325" s="332">
        <v>24.25</v>
      </c>
    </row>
    <row r="3326" spans="1:4" ht="45">
      <c r="A3326" s="28">
        <v>92670</v>
      </c>
      <c r="B3326" s="26" t="s">
        <v>6321</v>
      </c>
      <c r="C3326" s="28" t="s">
        <v>65</v>
      </c>
      <c r="D3326" s="329">
        <v>22.84</v>
      </c>
    </row>
    <row r="3327" spans="1:4" ht="45">
      <c r="A3327" s="47">
        <v>92671</v>
      </c>
      <c r="B3327" s="48" t="s">
        <v>6254</v>
      </c>
      <c r="C3327" s="47" t="s">
        <v>65</v>
      </c>
      <c r="D3327" s="332">
        <v>31.57</v>
      </c>
    </row>
    <row r="3328" spans="1:4" ht="45">
      <c r="A3328" s="28">
        <v>92672</v>
      </c>
      <c r="B3328" s="26" t="s">
        <v>6322</v>
      </c>
      <c r="C3328" s="28" t="s">
        <v>65</v>
      </c>
      <c r="D3328" s="329">
        <v>28.77</v>
      </c>
    </row>
    <row r="3329" spans="1:4" ht="45">
      <c r="A3329" s="47">
        <v>92673</v>
      </c>
      <c r="B3329" s="48" t="s">
        <v>6255</v>
      </c>
      <c r="C3329" s="47" t="s">
        <v>65</v>
      </c>
      <c r="D3329" s="332">
        <v>36.24</v>
      </c>
    </row>
    <row r="3330" spans="1:4" ht="45">
      <c r="A3330" s="28">
        <v>92674</v>
      </c>
      <c r="B3330" s="26" t="s">
        <v>6323</v>
      </c>
      <c r="C3330" s="28" t="s">
        <v>65</v>
      </c>
      <c r="D3330" s="329">
        <v>34.31</v>
      </c>
    </row>
    <row r="3331" spans="1:4" ht="45">
      <c r="A3331" s="47">
        <v>92675</v>
      </c>
      <c r="B3331" s="48" t="s">
        <v>6256</v>
      </c>
      <c r="C3331" s="47" t="s">
        <v>65</v>
      </c>
      <c r="D3331" s="332">
        <v>46.85</v>
      </c>
    </row>
    <row r="3332" spans="1:4" ht="45">
      <c r="A3332" s="28">
        <v>92676</v>
      </c>
      <c r="B3332" s="26" t="s">
        <v>6324</v>
      </c>
      <c r="C3332" s="28" t="s">
        <v>65</v>
      </c>
      <c r="D3332" s="329">
        <v>45.53</v>
      </c>
    </row>
    <row r="3333" spans="1:4" ht="45">
      <c r="A3333" s="47">
        <v>92677</v>
      </c>
      <c r="B3333" s="48" t="s">
        <v>6257</v>
      </c>
      <c r="C3333" s="47" t="s">
        <v>65</v>
      </c>
      <c r="D3333" s="332">
        <v>76.569999999999993</v>
      </c>
    </row>
    <row r="3334" spans="1:4" ht="45">
      <c r="A3334" s="28">
        <v>92678</v>
      </c>
      <c r="B3334" s="26" t="s">
        <v>6325</v>
      </c>
      <c r="C3334" s="28" t="s">
        <v>65</v>
      </c>
      <c r="D3334" s="329">
        <v>70.790000000000006</v>
      </c>
    </row>
    <row r="3335" spans="1:4" ht="45">
      <c r="A3335" s="47">
        <v>92679</v>
      </c>
      <c r="B3335" s="48" t="s">
        <v>6259</v>
      </c>
      <c r="C3335" s="47" t="s">
        <v>65</v>
      </c>
      <c r="D3335" s="332">
        <v>105.1</v>
      </c>
    </row>
    <row r="3336" spans="1:4" ht="45">
      <c r="A3336" s="28">
        <v>92680</v>
      </c>
      <c r="B3336" s="26" t="s">
        <v>6327</v>
      </c>
      <c r="C3336" s="28" t="s">
        <v>65</v>
      </c>
      <c r="D3336" s="329">
        <v>93.96</v>
      </c>
    </row>
    <row r="3337" spans="1:4" ht="30">
      <c r="A3337" s="47">
        <v>92681</v>
      </c>
      <c r="B3337" s="48" t="s">
        <v>9414</v>
      </c>
      <c r="C3337" s="47" t="s">
        <v>65</v>
      </c>
      <c r="D3337" s="332">
        <v>30.97</v>
      </c>
    </row>
    <row r="3338" spans="1:4" ht="30">
      <c r="A3338" s="28">
        <v>92682</v>
      </c>
      <c r="B3338" s="26" t="s">
        <v>9416</v>
      </c>
      <c r="C3338" s="28" t="s">
        <v>65</v>
      </c>
      <c r="D3338" s="329">
        <v>38.659999999999997</v>
      </c>
    </row>
    <row r="3339" spans="1:4" ht="30">
      <c r="A3339" s="47">
        <v>92683</v>
      </c>
      <c r="B3339" s="48" t="s">
        <v>9418</v>
      </c>
      <c r="C3339" s="47" t="s">
        <v>65</v>
      </c>
      <c r="D3339" s="332">
        <v>45.01</v>
      </c>
    </row>
    <row r="3340" spans="1:4" ht="30">
      <c r="A3340" s="28">
        <v>92684</v>
      </c>
      <c r="B3340" s="26" t="s">
        <v>9420</v>
      </c>
      <c r="C3340" s="28" t="s">
        <v>65</v>
      </c>
      <c r="D3340" s="329">
        <v>60.66</v>
      </c>
    </row>
    <row r="3341" spans="1:4" ht="30">
      <c r="A3341" s="47">
        <v>92685</v>
      </c>
      <c r="B3341" s="48" t="s">
        <v>9423</v>
      </c>
      <c r="C3341" s="47" t="s">
        <v>65</v>
      </c>
      <c r="D3341" s="332">
        <v>97.28</v>
      </c>
    </row>
    <row r="3342" spans="1:4" ht="30">
      <c r="A3342" s="28">
        <v>92686</v>
      </c>
      <c r="B3342" s="26" t="s">
        <v>9426</v>
      </c>
      <c r="C3342" s="28" t="s">
        <v>65</v>
      </c>
      <c r="D3342" s="329">
        <v>124.18</v>
      </c>
    </row>
    <row r="3343" spans="1:4" ht="30">
      <c r="A3343" s="47">
        <v>92692</v>
      </c>
      <c r="B3343" s="48" t="s">
        <v>7687</v>
      </c>
      <c r="C3343" s="47" t="s">
        <v>65</v>
      </c>
      <c r="D3343" s="332">
        <v>8.6199999999999992</v>
      </c>
    </row>
    <row r="3344" spans="1:4" ht="30">
      <c r="A3344" s="28">
        <v>92693</v>
      </c>
      <c r="B3344" s="26" t="s">
        <v>712</v>
      </c>
      <c r="C3344" s="28" t="s">
        <v>65</v>
      </c>
      <c r="D3344" s="329">
        <v>8.86</v>
      </c>
    </row>
    <row r="3345" spans="1:4" ht="30">
      <c r="A3345" s="47">
        <v>92694</v>
      </c>
      <c r="B3345" s="48" t="s">
        <v>7688</v>
      </c>
      <c r="C3345" s="47" t="s">
        <v>65</v>
      </c>
      <c r="D3345" s="332">
        <v>13.69</v>
      </c>
    </row>
    <row r="3346" spans="1:4" ht="30">
      <c r="A3346" s="28">
        <v>92695</v>
      </c>
      <c r="B3346" s="26" t="s">
        <v>713</v>
      </c>
      <c r="C3346" s="28" t="s">
        <v>65</v>
      </c>
      <c r="D3346" s="329">
        <v>13.93</v>
      </c>
    </row>
    <row r="3347" spans="1:4" ht="30">
      <c r="A3347" s="47">
        <v>92696</v>
      </c>
      <c r="B3347" s="48" t="s">
        <v>714</v>
      </c>
      <c r="C3347" s="47" t="s">
        <v>65</v>
      </c>
      <c r="D3347" s="332">
        <v>21.47</v>
      </c>
    </row>
    <row r="3348" spans="1:4" ht="30">
      <c r="A3348" s="28">
        <v>92697</v>
      </c>
      <c r="B3348" s="26" t="s">
        <v>7140</v>
      </c>
      <c r="C3348" s="28" t="s">
        <v>65</v>
      </c>
      <c r="D3348" s="329">
        <v>22.53</v>
      </c>
    </row>
    <row r="3349" spans="1:4" ht="30">
      <c r="A3349" s="47">
        <v>92698</v>
      </c>
      <c r="B3349" s="48" t="s">
        <v>6250</v>
      </c>
      <c r="C3349" s="47" t="s">
        <v>65</v>
      </c>
      <c r="D3349" s="332">
        <v>12.74</v>
      </c>
    </row>
    <row r="3350" spans="1:4" ht="30">
      <c r="A3350" s="28">
        <v>92699</v>
      </c>
      <c r="B3350" s="26" t="s">
        <v>6318</v>
      </c>
      <c r="C3350" s="28" t="s">
        <v>65</v>
      </c>
      <c r="D3350" s="329">
        <v>11.97</v>
      </c>
    </row>
    <row r="3351" spans="1:4" ht="30">
      <c r="A3351" s="47">
        <v>92700</v>
      </c>
      <c r="B3351" s="48" t="s">
        <v>6251</v>
      </c>
      <c r="C3351" s="47" t="s">
        <v>65</v>
      </c>
      <c r="D3351" s="332">
        <v>20.79</v>
      </c>
    </row>
    <row r="3352" spans="1:4" ht="30">
      <c r="A3352" s="28">
        <v>92701</v>
      </c>
      <c r="B3352" s="26" t="s">
        <v>6319</v>
      </c>
      <c r="C3352" s="28" t="s">
        <v>65</v>
      </c>
      <c r="D3352" s="329">
        <v>19.649999999999999</v>
      </c>
    </row>
    <row r="3353" spans="1:4" ht="30">
      <c r="A3353" s="47">
        <v>92702</v>
      </c>
      <c r="B3353" s="48" t="s">
        <v>6252</v>
      </c>
      <c r="C3353" s="47" t="s">
        <v>65</v>
      </c>
      <c r="D3353" s="332">
        <v>32.54</v>
      </c>
    </row>
    <row r="3354" spans="1:4" ht="30">
      <c r="A3354" s="28">
        <v>92703</v>
      </c>
      <c r="B3354" s="26" t="s">
        <v>6320</v>
      </c>
      <c r="C3354" s="28" t="s">
        <v>65</v>
      </c>
      <c r="D3354" s="329">
        <v>31.13</v>
      </c>
    </row>
    <row r="3355" spans="1:4" ht="30">
      <c r="A3355" s="47">
        <v>92704</v>
      </c>
      <c r="B3355" s="48" t="s">
        <v>9411</v>
      </c>
      <c r="C3355" s="47" t="s">
        <v>65</v>
      </c>
      <c r="D3355" s="332">
        <v>16.12</v>
      </c>
    </row>
    <row r="3356" spans="1:4" ht="30">
      <c r="A3356" s="28">
        <v>92705</v>
      </c>
      <c r="B3356" s="26" t="s">
        <v>9412</v>
      </c>
      <c r="C3356" s="28" t="s">
        <v>65</v>
      </c>
      <c r="D3356" s="329">
        <v>25.96</v>
      </c>
    </row>
    <row r="3357" spans="1:4" ht="30">
      <c r="A3357" s="47">
        <v>92706</v>
      </c>
      <c r="B3357" s="48" t="s">
        <v>715</v>
      </c>
      <c r="C3357" s="47" t="s">
        <v>65</v>
      </c>
      <c r="D3357" s="332">
        <v>42.02</v>
      </c>
    </row>
    <row r="3358" spans="1:4" ht="30">
      <c r="A3358" s="28">
        <v>92889</v>
      </c>
      <c r="B3358" s="26" t="s">
        <v>716</v>
      </c>
      <c r="C3358" s="28" t="s">
        <v>65</v>
      </c>
      <c r="D3358" s="329">
        <v>78.489999999999995</v>
      </c>
    </row>
    <row r="3359" spans="1:4" ht="30">
      <c r="A3359" s="47">
        <v>92890</v>
      </c>
      <c r="B3359" s="48" t="s">
        <v>10615</v>
      </c>
      <c r="C3359" s="47" t="s">
        <v>65</v>
      </c>
      <c r="D3359" s="332">
        <v>118.61</v>
      </c>
    </row>
    <row r="3360" spans="1:4" ht="30">
      <c r="A3360" s="28">
        <v>92891</v>
      </c>
      <c r="B3360" s="26" t="s">
        <v>717</v>
      </c>
      <c r="C3360" s="28" t="s">
        <v>65</v>
      </c>
      <c r="D3360" s="329">
        <v>173.57</v>
      </c>
    </row>
    <row r="3361" spans="1:4" ht="30">
      <c r="A3361" s="47">
        <v>92892</v>
      </c>
      <c r="B3361" s="48" t="s">
        <v>10611</v>
      </c>
      <c r="C3361" s="47" t="s">
        <v>65</v>
      </c>
      <c r="D3361" s="332">
        <v>34.19</v>
      </c>
    </row>
    <row r="3362" spans="1:4" ht="30">
      <c r="A3362" s="28">
        <v>92893</v>
      </c>
      <c r="B3362" s="26" t="s">
        <v>10612</v>
      </c>
      <c r="C3362" s="28" t="s">
        <v>65</v>
      </c>
      <c r="D3362" s="329">
        <v>48.42</v>
      </c>
    </row>
    <row r="3363" spans="1:4" ht="30">
      <c r="A3363" s="47">
        <v>92894</v>
      </c>
      <c r="B3363" s="48" t="s">
        <v>10613</v>
      </c>
      <c r="C3363" s="47" t="s">
        <v>65</v>
      </c>
      <c r="D3363" s="332">
        <v>57.77</v>
      </c>
    </row>
    <row r="3364" spans="1:4" ht="30">
      <c r="A3364" s="28">
        <v>92895</v>
      </c>
      <c r="B3364" s="26" t="s">
        <v>10614</v>
      </c>
      <c r="C3364" s="28" t="s">
        <v>65</v>
      </c>
      <c r="D3364" s="329">
        <v>78.459999999999994</v>
      </c>
    </row>
    <row r="3365" spans="1:4" ht="30">
      <c r="A3365" s="47">
        <v>92896</v>
      </c>
      <c r="B3365" s="48" t="s">
        <v>10616</v>
      </c>
      <c r="C3365" s="47" t="s">
        <v>65</v>
      </c>
      <c r="D3365" s="332">
        <v>119.64</v>
      </c>
    </row>
    <row r="3366" spans="1:4" ht="30">
      <c r="A3366" s="28">
        <v>92897</v>
      </c>
      <c r="B3366" s="26" t="s">
        <v>10617</v>
      </c>
      <c r="C3366" s="28" t="s">
        <v>65</v>
      </c>
      <c r="D3366" s="329">
        <v>175.7</v>
      </c>
    </row>
    <row r="3367" spans="1:4" ht="30">
      <c r="A3367" s="47">
        <v>92898</v>
      </c>
      <c r="B3367" s="48" t="s">
        <v>10605</v>
      </c>
      <c r="C3367" s="47" t="s">
        <v>65</v>
      </c>
      <c r="D3367" s="332">
        <v>28.45</v>
      </c>
    </row>
    <row r="3368" spans="1:4" ht="30">
      <c r="A3368" s="28">
        <v>92899</v>
      </c>
      <c r="B3368" s="26" t="s">
        <v>10606</v>
      </c>
      <c r="C3368" s="28" t="s">
        <v>65</v>
      </c>
      <c r="D3368" s="329">
        <v>41.89</v>
      </c>
    </row>
    <row r="3369" spans="1:4" ht="30">
      <c r="A3369" s="47">
        <v>92900</v>
      </c>
      <c r="B3369" s="48" t="s">
        <v>10607</v>
      </c>
      <c r="C3369" s="47" t="s">
        <v>65</v>
      </c>
      <c r="D3369" s="332">
        <v>50.33</v>
      </c>
    </row>
    <row r="3370" spans="1:4" ht="30">
      <c r="A3370" s="28">
        <v>92901</v>
      </c>
      <c r="B3370" s="26" t="s">
        <v>10608</v>
      </c>
      <c r="C3370" s="28" t="s">
        <v>65</v>
      </c>
      <c r="D3370" s="329">
        <v>69.89</v>
      </c>
    </row>
    <row r="3371" spans="1:4" ht="30">
      <c r="A3371" s="47">
        <v>92902</v>
      </c>
      <c r="B3371" s="48" t="s">
        <v>10609</v>
      </c>
      <c r="C3371" s="47" t="s">
        <v>65</v>
      </c>
      <c r="D3371" s="332">
        <v>109.38</v>
      </c>
    </row>
    <row r="3372" spans="1:4" ht="30">
      <c r="A3372" s="28">
        <v>92903</v>
      </c>
      <c r="B3372" s="26" t="s">
        <v>10610</v>
      </c>
      <c r="C3372" s="28" t="s">
        <v>65</v>
      </c>
      <c r="D3372" s="329">
        <v>163.76</v>
      </c>
    </row>
    <row r="3373" spans="1:4" ht="30">
      <c r="A3373" s="47">
        <v>92904</v>
      </c>
      <c r="B3373" s="48" t="s">
        <v>10603</v>
      </c>
      <c r="C3373" s="47" t="s">
        <v>65</v>
      </c>
      <c r="D3373" s="332">
        <v>19.329999999999998</v>
      </c>
    </row>
    <row r="3374" spans="1:4" ht="30">
      <c r="A3374" s="28">
        <v>92905</v>
      </c>
      <c r="B3374" s="26" t="s">
        <v>10604</v>
      </c>
      <c r="C3374" s="28" t="s">
        <v>65</v>
      </c>
      <c r="D3374" s="329">
        <v>27.67</v>
      </c>
    </row>
    <row r="3375" spans="1:4" ht="30">
      <c r="A3375" s="47">
        <v>92906</v>
      </c>
      <c r="B3375" s="48" t="s">
        <v>718</v>
      </c>
      <c r="C3375" s="47" t="s">
        <v>65</v>
      </c>
      <c r="D3375" s="332">
        <v>33.94</v>
      </c>
    </row>
    <row r="3376" spans="1:4" ht="30">
      <c r="A3376" s="28">
        <v>92907</v>
      </c>
      <c r="B3376" s="26" t="s">
        <v>719</v>
      </c>
      <c r="C3376" s="28" t="s">
        <v>65</v>
      </c>
      <c r="D3376" s="329">
        <v>42.37</v>
      </c>
    </row>
    <row r="3377" spans="1:4" ht="30">
      <c r="A3377" s="47">
        <v>92908</v>
      </c>
      <c r="B3377" s="48" t="s">
        <v>720</v>
      </c>
      <c r="C3377" s="47" t="s">
        <v>65</v>
      </c>
      <c r="D3377" s="332">
        <v>42.37</v>
      </c>
    </row>
    <row r="3378" spans="1:4" ht="30">
      <c r="A3378" s="28">
        <v>92909</v>
      </c>
      <c r="B3378" s="26" t="s">
        <v>6970</v>
      </c>
      <c r="C3378" s="28" t="s">
        <v>65</v>
      </c>
      <c r="D3378" s="329">
        <v>42.37</v>
      </c>
    </row>
    <row r="3379" spans="1:4" ht="30">
      <c r="A3379" s="47">
        <v>92910</v>
      </c>
      <c r="B3379" s="48" t="s">
        <v>6977</v>
      </c>
      <c r="C3379" s="47" t="s">
        <v>65</v>
      </c>
      <c r="D3379" s="332">
        <v>61.09</v>
      </c>
    </row>
    <row r="3380" spans="1:4" ht="30">
      <c r="A3380" s="28">
        <v>92911</v>
      </c>
      <c r="B3380" s="26" t="s">
        <v>721</v>
      </c>
      <c r="C3380" s="28" t="s">
        <v>65</v>
      </c>
      <c r="D3380" s="329">
        <v>61.09</v>
      </c>
    </row>
    <row r="3381" spans="1:4" ht="30">
      <c r="A3381" s="47">
        <v>92912</v>
      </c>
      <c r="B3381" s="48" t="s">
        <v>722</v>
      </c>
      <c r="C3381" s="47" t="s">
        <v>65</v>
      </c>
      <c r="D3381" s="332">
        <v>81.67</v>
      </c>
    </row>
    <row r="3382" spans="1:4" ht="30">
      <c r="A3382" s="28">
        <v>92913</v>
      </c>
      <c r="B3382" s="26" t="s">
        <v>723</v>
      </c>
      <c r="C3382" s="28" t="s">
        <v>65</v>
      </c>
      <c r="D3382" s="329">
        <v>83.45</v>
      </c>
    </row>
    <row r="3383" spans="1:4" ht="30">
      <c r="A3383" s="47">
        <v>92914</v>
      </c>
      <c r="B3383" s="48" t="s">
        <v>6980</v>
      </c>
      <c r="C3383" s="47" t="s">
        <v>65</v>
      </c>
      <c r="D3383" s="332">
        <v>83.45</v>
      </c>
    </row>
    <row r="3384" spans="1:4" ht="45">
      <c r="A3384" s="28">
        <v>92918</v>
      </c>
      <c r="B3384" s="26" t="s">
        <v>6955</v>
      </c>
      <c r="C3384" s="28" t="s">
        <v>65</v>
      </c>
      <c r="D3384" s="329">
        <v>22.69</v>
      </c>
    </row>
    <row r="3385" spans="1:4" ht="45">
      <c r="A3385" s="47">
        <v>92920</v>
      </c>
      <c r="B3385" s="48" t="s">
        <v>6957</v>
      </c>
      <c r="C3385" s="47" t="s">
        <v>65</v>
      </c>
      <c r="D3385" s="332">
        <v>22.84</v>
      </c>
    </row>
    <row r="3386" spans="1:4" ht="45">
      <c r="A3386" s="28">
        <v>92925</v>
      </c>
      <c r="B3386" s="26" t="s">
        <v>6952</v>
      </c>
      <c r="C3386" s="28" t="s">
        <v>65</v>
      </c>
      <c r="D3386" s="329">
        <v>28</v>
      </c>
    </row>
    <row r="3387" spans="1:4" ht="45">
      <c r="A3387" s="47">
        <v>92926</v>
      </c>
      <c r="B3387" s="48" t="s">
        <v>6953</v>
      </c>
      <c r="C3387" s="47" t="s">
        <v>65</v>
      </c>
      <c r="D3387" s="332">
        <v>27.99</v>
      </c>
    </row>
    <row r="3388" spans="1:4" ht="45">
      <c r="A3388" s="28">
        <v>92927</v>
      </c>
      <c r="B3388" s="26" t="s">
        <v>6954</v>
      </c>
      <c r="C3388" s="28" t="s">
        <v>65</v>
      </c>
      <c r="D3388" s="329">
        <v>27.99</v>
      </c>
    </row>
    <row r="3389" spans="1:4" ht="45">
      <c r="A3389" s="47">
        <v>92928</v>
      </c>
      <c r="B3389" s="48" t="s">
        <v>6961</v>
      </c>
      <c r="C3389" s="47" t="s">
        <v>65</v>
      </c>
      <c r="D3389" s="332">
        <v>31.97</v>
      </c>
    </row>
    <row r="3390" spans="1:4" ht="45">
      <c r="A3390" s="28">
        <v>92929</v>
      </c>
      <c r="B3390" s="26" t="s">
        <v>6959</v>
      </c>
      <c r="C3390" s="28" t="s">
        <v>65</v>
      </c>
      <c r="D3390" s="329">
        <v>31.97</v>
      </c>
    </row>
    <row r="3391" spans="1:4" ht="45">
      <c r="A3391" s="47">
        <v>92930</v>
      </c>
      <c r="B3391" s="48" t="s">
        <v>6963</v>
      </c>
      <c r="C3391" s="47" t="s">
        <v>65</v>
      </c>
      <c r="D3391" s="332">
        <v>31.97</v>
      </c>
    </row>
    <row r="3392" spans="1:4" s="27" customFormat="1" ht="45">
      <c r="A3392" s="28">
        <v>92931</v>
      </c>
      <c r="B3392" s="26" t="s">
        <v>6973</v>
      </c>
      <c r="C3392" s="28" t="s">
        <v>65</v>
      </c>
      <c r="D3392" s="329">
        <v>42.34</v>
      </c>
    </row>
    <row r="3393" spans="1:4" s="27" customFormat="1" ht="45">
      <c r="A3393" s="47">
        <v>92932</v>
      </c>
      <c r="B3393" s="48" t="s">
        <v>6975</v>
      </c>
      <c r="C3393" s="47" t="s">
        <v>65</v>
      </c>
      <c r="D3393" s="332">
        <v>42.34</v>
      </c>
    </row>
    <row r="3394" spans="1:4" ht="30">
      <c r="A3394" s="28">
        <v>92933</v>
      </c>
      <c r="B3394" s="26" t="s">
        <v>6971</v>
      </c>
      <c r="C3394" s="28" t="s">
        <v>65</v>
      </c>
      <c r="D3394" s="329">
        <v>42.34</v>
      </c>
    </row>
    <row r="3395" spans="1:4" s="27" customFormat="1" ht="45">
      <c r="A3395" s="47">
        <v>92934</v>
      </c>
      <c r="B3395" s="48" t="s">
        <v>6978</v>
      </c>
      <c r="C3395" s="47" t="s">
        <v>65</v>
      </c>
      <c r="D3395" s="332">
        <v>62.12</v>
      </c>
    </row>
    <row r="3396" spans="1:4" ht="45">
      <c r="A3396" s="28">
        <v>92935</v>
      </c>
      <c r="B3396" s="26" t="s">
        <v>6979</v>
      </c>
      <c r="C3396" s="28" t="s">
        <v>65</v>
      </c>
      <c r="D3396" s="329">
        <v>62.12</v>
      </c>
    </row>
    <row r="3397" spans="1:4" ht="45">
      <c r="A3397" s="47">
        <v>92936</v>
      </c>
      <c r="B3397" s="48" t="s">
        <v>6983</v>
      </c>
      <c r="C3397" s="47" t="s">
        <v>65</v>
      </c>
      <c r="D3397" s="332">
        <v>85.57</v>
      </c>
    </row>
    <row r="3398" spans="1:4" ht="30">
      <c r="A3398" s="28">
        <v>92937</v>
      </c>
      <c r="B3398" s="26" t="s">
        <v>6981</v>
      </c>
      <c r="C3398" s="28" t="s">
        <v>65</v>
      </c>
      <c r="D3398" s="329">
        <v>85.57</v>
      </c>
    </row>
    <row r="3399" spans="1:4" ht="45">
      <c r="A3399" s="47">
        <v>92938</v>
      </c>
      <c r="B3399" s="48" t="s">
        <v>6956</v>
      </c>
      <c r="C3399" s="47" t="s">
        <v>65</v>
      </c>
      <c r="D3399" s="332">
        <v>16.95</v>
      </c>
    </row>
    <row r="3400" spans="1:4" ht="45">
      <c r="A3400" s="28">
        <v>92939</v>
      </c>
      <c r="B3400" s="26" t="s">
        <v>6958</v>
      </c>
      <c r="C3400" s="28" t="s">
        <v>65</v>
      </c>
      <c r="D3400" s="329">
        <v>17.100000000000001</v>
      </c>
    </row>
    <row r="3401" spans="1:4" ht="45">
      <c r="A3401" s="47">
        <v>92940</v>
      </c>
      <c r="B3401" s="48" t="s">
        <v>6965</v>
      </c>
      <c r="C3401" s="47" t="s">
        <v>65</v>
      </c>
      <c r="D3401" s="332">
        <v>21.47</v>
      </c>
    </row>
    <row r="3402" spans="1:4" ht="45">
      <c r="A3402" s="28">
        <v>92941</v>
      </c>
      <c r="B3402" s="26" t="s">
        <v>6966</v>
      </c>
      <c r="C3402" s="28" t="s">
        <v>65</v>
      </c>
      <c r="D3402" s="329">
        <v>21.46</v>
      </c>
    </row>
    <row r="3403" spans="1:4" ht="45">
      <c r="A3403" s="47">
        <v>92942</v>
      </c>
      <c r="B3403" s="48" t="s">
        <v>6967</v>
      </c>
      <c r="C3403" s="47" t="s">
        <v>65</v>
      </c>
      <c r="D3403" s="332">
        <v>21.46</v>
      </c>
    </row>
    <row r="3404" spans="1:4" ht="45">
      <c r="A3404" s="28">
        <v>92943</v>
      </c>
      <c r="B3404" s="26" t="s">
        <v>6962</v>
      </c>
      <c r="C3404" s="28" t="s">
        <v>65</v>
      </c>
      <c r="D3404" s="329">
        <v>24.53</v>
      </c>
    </row>
    <row r="3405" spans="1:4" ht="45">
      <c r="A3405" s="47">
        <v>92944</v>
      </c>
      <c r="B3405" s="48" t="s">
        <v>6960</v>
      </c>
      <c r="C3405" s="47" t="s">
        <v>65</v>
      </c>
      <c r="D3405" s="332">
        <v>24.53</v>
      </c>
    </row>
    <row r="3406" spans="1:4" ht="45">
      <c r="A3406" s="28">
        <v>92945</v>
      </c>
      <c r="B3406" s="26" t="s">
        <v>6964</v>
      </c>
      <c r="C3406" s="28" t="s">
        <v>65</v>
      </c>
      <c r="D3406" s="329">
        <v>24.53</v>
      </c>
    </row>
    <row r="3407" spans="1:4" ht="45">
      <c r="A3407" s="47">
        <v>92946</v>
      </c>
      <c r="B3407" s="48" t="s">
        <v>6974</v>
      </c>
      <c r="C3407" s="47" t="s">
        <v>65</v>
      </c>
      <c r="D3407" s="332">
        <v>33.78</v>
      </c>
    </row>
    <row r="3408" spans="1:4" ht="45">
      <c r="A3408" s="28">
        <v>92947</v>
      </c>
      <c r="B3408" s="26" t="s">
        <v>6976</v>
      </c>
      <c r="C3408" s="28" t="s">
        <v>65</v>
      </c>
      <c r="D3408" s="329">
        <v>33.78</v>
      </c>
    </row>
    <row r="3409" spans="1:4" ht="30">
      <c r="A3409" s="47">
        <v>92948</v>
      </c>
      <c r="B3409" s="48" t="s">
        <v>6972</v>
      </c>
      <c r="C3409" s="47" t="s">
        <v>65</v>
      </c>
      <c r="D3409" s="332">
        <v>33.78</v>
      </c>
    </row>
    <row r="3410" spans="1:4" ht="45">
      <c r="A3410" s="28">
        <v>92949</v>
      </c>
      <c r="B3410" s="26" t="s">
        <v>6968</v>
      </c>
      <c r="C3410" s="28" t="s">
        <v>65</v>
      </c>
      <c r="D3410" s="329">
        <v>51.86</v>
      </c>
    </row>
    <row r="3411" spans="1:4" ht="45">
      <c r="A3411" s="47">
        <v>92950</v>
      </c>
      <c r="B3411" s="48" t="s">
        <v>6969</v>
      </c>
      <c r="C3411" s="47" t="s">
        <v>65</v>
      </c>
      <c r="D3411" s="332">
        <v>51.86</v>
      </c>
    </row>
    <row r="3412" spans="1:4" ht="45">
      <c r="A3412" s="28">
        <v>92951</v>
      </c>
      <c r="B3412" s="26" t="s">
        <v>6984</v>
      </c>
      <c r="C3412" s="28" t="s">
        <v>65</v>
      </c>
      <c r="D3412" s="329">
        <v>73.64</v>
      </c>
    </row>
    <row r="3413" spans="1:4" ht="30">
      <c r="A3413" s="47">
        <v>92952</v>
      </c>
      <c r="B3413" s="48" t="s">
        <v>6982</v>
      </c>
      <c r="C3413" s="47" t="s">
        <v>65</v>
      </c>
      <c r="D3413" s="332">
        <v>73.64</v>
      </c>
    </row>
    <row r="3414" spans="1:4" ht="30">
      <c r="A3414" s="28">
        <v>92953</v>
      </c>
      <c r="B3414" s="26" t="s">
        <v>724</v>
      </c>
      <c r="C3414" s="28" t="s">
        <v>65</v>
      </c>
      <c r="D3414" s="329">
        <v>14.69</v>
      </c>
    </row>
    <row r="3415" spans="1:4" ht="30">
      <c r="A3415" s="47">
        <v>93050</v>
      </c>
      <c r="B3415" s="48" t="s">
        <v>7042</v>
      </c>
      <c r="C3415" s="47" t="s">
        <v>65</v>
      </c>
      <c r="D3415" s="332">
        <v>7.56</v>
      </c>
    </row>
    <row r="3416" spans="1:4" ht="30">
      <c r="A3416" s="28">
        <v>93051</v>
      </c>
      <c r="B3416" s="26" t="s">
        <v>2805</v>
      </c>
      <c r="C3416" s="28" t="s">
        <v>65</v>
      </c>
      <c r="D3416" s="329">
        <v>6.93</v>
      </c>
    </row>
    <row r="3417" spans="1:4" ht="30">
      <c r="A3417" s="47">
        <v>93052</v>
      </c>
      <c r="B3417" s="48" t="s">
        <v>6553</v>
      </c>
      <c r="C3417" s="47" t="s">
        <v>65</v>
      </c>
      <c r="D3417" s="332">
        <v>361.31</v>
      </c>
    </row>
    <row r="3418" spans="1:4" ht="30">
      <c r="A3418" s="28">
        <v>93054</v>
      </c>
      <c r="B3418" s="26" t="s">
        <v>3886</v>
      </c>
      <c r="C3418" s="28" t="s">
        <v>65</v>
      </c>
      <c r="D3418" s="329">
        <v>14.93</v>
      </c>
    </row>
    <row r="3419" spans="1:4" ht="30">
      <c r="A3419" s="47">
        <v>93055</v>
      </c>
      <c r="B3419" s="48" t="s">
        <v>4557</v>
      </c>
      <c r="C3419" s="47" t="s">
        <v>65</v>
      </c>
      <c r="D3419" s="332">
        <v>30.99</v>
      </c>
    </row>
    <row r="3420" spans="1:4" ht="30">
      <c r="A3420" s="28">
        <v>93056</v>
      </c>
      <c r="B3420" s="26" t="s">
        <v>7045</v>
      </c>
      <c r="C3420" s="28" t="s">
        <v>65</v>
      </c>
      <c r="D3420" s="329">
        <v>11.09</v>
      </c>
    </row>
    <row r="3421" spans="1:4" ht="30">
      <c r="A3421" s="47">
        <v>93057</v>
      </c>
      <c r="B3421" s="48" t="s">
        <v>2808</v>
      </c>
      <c r="C3421" s="47" t="s">
        <v>65</v>
      </c>
      <c r="D3421" s="332">
        <v>9.59</v>
      </c>
    </row>
    <row r="3422" spans="1:4" ht="30">
      <c r="A3422" s="28">
        <v>93058</v>
      </c>
      <c r="B3422" s="26" t="s">
        <v>6555</v>
      </c>
      <c r="C3422" s="28" t="s">
        <v>65</v>
      </c>
      <c r="D3422" s="329">
        <v>397.17</v>
      </c>
    </row>
    <row r="3423" spans="1:4" ht="30">
      <c r="A3423" s="47">
        <v>93059</v>
      </c>
      <c r="B3423" s="48" t="s">
        <v>3888</v>
      </c>
      <c r="C3423" s="47" t="s">
        <v>65</v>
      </c>
      <c r="D3423" s="332">
        <v>20.5</v>
      </c>
    </row>
    <row r="3424" spans="1:4" ht="30">
      <c r="A3424" s="28">
        <v>93060</v>
      </c>
      <c r="B3424" s="26" t="s">
        <v>4554</v>
      </c>
      <c r="C3424" s="28" t="s">
        <v>65</v>
      </c>
      <c r="D3424" s="329">
        <v>54.17</v>
      </c>
    </row>
    <row r="3425" spans="1:4" ht="30">
      <c r="A3425" s="47">
        <v>93061</v>
      </c>
      <c r="B3425" s="48" t="s">
        <v>7048</v>
      </c>
      <c r="C3425" s="47" t="s">
        <v>65</v>
      </c>
      <c r="D3425" s="332">
        <v>21.15</v>
      </c>
    </row>
    <row r="3426" spans="1:4" ht="30">
      <c r="A3426" s="28">
        <v>93062</v>
      </c>
      <c r="B3426" s="26" t="s">
        <v>2811</v>
      </c>
      <c r="C3426" s="28" t="s">
        <v>65</v>
      </c>
      <c r="D3426" s="329">
        <v>18.23</v>
      </c>
    </row>
    <row r="3427" spans="1:4" ht="30">
      <c r="A3427" s="47">
        <v>93063</v>
      </c>
      <c r="B3427" s="48" t="s">
        <v>6546</v>
      </c>
      <c r="C3427" s="47" t="s">
        <v>65</v>
      </c>
      <c r="D3427" s="332">
        <v>454.77</v>
      </c>
    </row>
    <row r="3428" spans="1:4" ht="30">
      <c r="A3428" s="28">
        <v>93064</v>
      </c>
      <c r="B3428" s="26" t="s">
        <v>7049</v>
      </c>
      <c r="C3428" s="28" t="s">
        <v>65</v>
      </c>
      <c r="D3428" s="329">
        <v>31.87</v>
      </c>
    </row>
    <row r="3429" spans="1:4" ht="30">
      <c r="A3429" s="47">
        <v>93065</v>
      </c>
      <c r="B3429" s="48" t="s">
        <v>2812</v>
      </c>
      <c r="C3429" s="47" t="s">
        <v>65</v>
      </c>
      <c r="D3429" s="332">
        <v>29.71</v>
      </c>
    </row>
    <row r="3430" spans="1:4" ht="30">
      <c r="A3430" s="28">
        <v>93066</v>
      </c>
      <c r="B3430" s="26" t="s">
        <v>6547</v>
      </c>
      <c r="C3430" s="28" t="s">
        <v>65</v>
      </c>
      <c r="D3430" s="329">
        <v>569.83000000000004</v>
      </c>
    </row>
    <row r="3431" spans="1:4" ht="30">
      <c r="A3431" s="47">
        <v>93067</v>
      </c>
      <c r="B3431" s="48" t="s">
        <v>7050</v>
      </c>
      <c r="C3431" s="47" t="s">
        <v>65</v>
      </c>
      <c r="D3431" s="332">
        <v>47.46</v>
      </c>
    </row>
    <row r="3432" spans="1:4" ht="30">
      <c r="A3432" s="28">
        <v>93068</v>
      </c>
      <c r="B3432" s="26" t="s">
        <v>2813</v>
      </c>
      <c r="C3432" s="28" t="s">
        <v>65</v>
      </c>
      <c r="D3432" s="329">
        <v>41.15</v>
      </c>
    </row>
    <row r="3433" spans="1:4" ht="30">
      <c r="A3433" s="47">
        <v>93069</v>
      </c>
      <c r="B3433" s="48" t="s">
        <v>6548</v>
      </c>
      <c r="C3433" s="47" t="s">
        <v>65</v>
      </c>
      <c r="D3433" s="332">
        <v>789.71</v>
      </c>
    </row>
    <row r="3434" spans="1:4" ht="30">
      <c r="A3434" s="28">
        <v>93070</v>
      </c>
      <c r="B3434" s="26" t="s">
        <v>7051</v>
      </c>
      <c r="C3434" s="28" t="s">
        <v>65</v>
      </c>
      <c r="D3434" s="329">
        <v>123.7</v>
      </c>
    </row>
    <row r="3435" spans="1:4" ht="30">
      <c r="A3435" s="47">
        <v>93071</v>
      </c>
      <c r="B3435" s="48" t="s">
        <v>2814</v>
      </c>
      <c r="C3435" s="47" t="s">
        <v>65</v>
      </c>
      <c r="D3435" s="332">
        <v>114.6</v>
      </c>
    </row>
    <row r="3436" spans="1:4" ht="30">
      <c r="A3436" s="28">
        <v>93072</v>
      </c>
      <c r="B3436" s="26" t="s">
        <v>6549</v>
      </c>
      <c r="C3436" s="28" t="s">
        <v>65</v>
      </c>
      <c r="D3436" s="329">
        <v>1042.18</v>
      </c>
    </row>
    <row r="3437" spans="1:4" ht="30">
      <c r="A3437" s="47">
        <v>93073</v>
      </c>
      <c r="B3437" s="48" t="s">
        <v>9344</v>
      </c>
      <c r="C3437" s="47" t="s">
        <v>65</v>
      </c>
      <c r="D3437" s="332">
        <v>56.93</v>
      </c>
    </row>
    <row r="3438" spans="1:4" ht="30">
      <c r="A3438" s="28">
        <v>93074</v>
      </c>
      <c r="B3438" s="26" t="s">
        <v>4577</v>
      </c>
      <c r="C3438" s="28" t="s">
        <v>65</v>
      </c>
      <c r="D3438" s="329">
        <v>8.73</v>
      </c>
    </row>
    <row r="3439" spans="1:4" ht="45">
      <c r="A3439" s="47">
        <v>93075</v>
      </c>
      <c r="B3439" s="48" t="s">
        <v>4185</v>
      </c>
      <c r="C3439" s="47" t="s">
        <v>65</v>
      </c>
      <c r="D3439" s="332">
        <v>14.74</v>
      </c>
    </row>
    <row r="3440" spans="1:4" ht="30">
      <c r="A3440" s="28">
        <v>93076</v>
      </c>
      <c r="B3440" s="26" t="s">
        <v>4580</v>
      </c>
      <c r="C3440" s="28" t="s">
        <v>65</v>
      </c>
      <c r="D3440" s="329">
        <v>14.01</v>
      </c>
    </row>
    <row r="3441" spans="1:4" ht="45">
      <c r="A3441" s="47">
        <v>93077</v>
      </c>
      <c r="B3441" s="48" t="s">
        <v>4188</v>
      </c>
      <c r="C3441" s="47" t="s">
        <v>65</v>
      </c>
      <c r="D3441" s="332">
        <v>20.76</v>
      </c>
    </row>
    <row r="3442" spans="1:4" ht="45">
      <c r="A3442" s="28">
        <v>93078</v>
      </c>
      <c r="B3442" s="26" t="s">
        <v>4191</v>
      </c>
      <c r="C3442" s="28" t="s">
        <v>65</v>
      </c>
      <c r="D3442" s="329">
        <v>22.53</v>
      </c>
    </row>
    <row r="3443" spans="1:4" ht="30">
      <c r="A3443" s="47">
        <v>93079</v>
      </c>
      <c r="B3443" s="48" t="s">
        <v>4583</v>
      </c>
      <c r="C3443" s="47" t="s">
        <v>65</v>
      </c>
      <c r="D3443" s="332">
        <v>19.59</v>
      </c>
    </row>
    <row r="3444" spans="1:4" ht="30">
      <c r="A3444" s="28">
        <v>93080</v>
      </c>
      <c r="B3444" s="26" t="s">
        <v>7040</v>
      </c>
      <c r="C3444" s="28" t="s">
        <v>65</v>
      </c>
      <c r="D3444" s="329">
        <v>5.57</v>
      </c>
    </row>
    <row r="3445" spans="1:4" ht="30">
      <c r="A3445" s="47">
        <v>93081</v>
      </c>
      <c r="B3445" s="48" t="s">
        <v>3890</v>
      </c>
      <c r="C3445" s="47" t="s">
        <v>65</v>
      </c>
      <c r="D3445" s="332">
        <v>13.2</v>
      </c>
    </row>
    <row r="3446" spans="1:4" ht="30">
      <c r="A3446" s="28">
        <v>93082</v>
      </c>
      <c r="B3446" s="26" t="s">
        <v>4560</v>
      </c>
      <c r="C3446" s="28" t="s">
        <v>65</v>
      </c>
      <c r="D3446" s="329">
        <v>16.23</v>
      </c>
    </row>
    <row r="3447" spans="1:4" ht="30">
      <c r="A3447" s="47">
        <v>93083</v>
      </c>
      <c r="B3447" s="48" t="s">
        <v>6551</v>
      </c>
      <c r="C3447" s="47" t="s">
        <v>65</v>
      </c>
      <c r="D3447" s="332">
        <v>312.63</v>
      </c>
    </row>
    <row r="3448" spans="1:4" ht="30">
      <c r="A3448" s="28">
        <v>93084</v>
      </c>
      <c r="B3448" s="26" t="s">
        <v>7043</v>
      </c>
      <c r="C3448" s="28" t="s">
        <v>65</v>
      </c>
      <c r="D3448" s="329">
        <v>9.0500000000000007</v>
      </c>
    </row>
    <row r="3449" spans="1:4" ht="30">
      <c r="A3449" s="47">
        <v>93085</v>
      </c>
      <c r="B3449" s="48" t="s">
        <v>2806</v>
      </c>
      <c r="C3449" s="47" t="s">
        <v>65</v>
      </c>
      <c r="D3449" s="332">
        <v>8.42</v>
      </c>
    </row>
    <row r="3450" spans="1:4" ht="30">
      <c r="A3450" s="28">
        <v>93086</v>
      </c>
      <c r="B3450" s="26" t="s">
        <v>6554</v>
      </c>
      <c r="C3450" s="28" t="s">
        <v>65</v>
      </c>
      <c r="D3450" s="329">
        <v>362.8</v>
      </c>
    </row>
    <row r="3451" spans="1:4" ht="30">
      <c r="A3451" s="47">
        <v>93087</v>
      </c>
      <c r="B3451" s="48" t="s">
        <v>3891</v>
      </c>
      <c r="C3451" s="47" t="s">
        <v>65</v>
      </c>
      <c r="D3451" s="332">
        <v>14.07</v>
      </c>
    </row>
    <row r="3452" spans="1:4" ht="30">
      <c r="A3452" s="28">
        <v>93088</v>
      </c>
      <c r="B3452" s="26" t="s">
        <v>3892</v>
      </c>
      <c r="C3452" s="28" t="s">
        <v>65</v>
      </c>
      <c r="D3452" s="329">
        <v>16.43</v>
      </c>
    </row>
    <row r="3453" spans="1:4" ht="45">
      <c r="A3453" s="47">
        <v>93089</v>
      </c>
      <c r="B3453" s="48" t="s">
        <v>4558</v>
      </c>
      <c r="C3453" s="47" t="s">
        <v>65</v>
      </c>
      <c r="D3453" s="332">
        <v>32.479999999999997</v>
      </c>
    </row>
    <row r="3454" spans="1:4" ht="30">
      <c r="A3454" s="28">
        <v>93090</v>
      </c>
      <c r="B3454" s="26" t="s">
        <v>7046</v>
      </c>
      <c r="C3454" s="28" t="s">
        <v>65</v>
      </c>
      <c r="D3454" s="329">
        <v>12.58</v>
      </c>
    </row>
    <row r="3455" spans="1:4" ht="30">
      <c r="A3455" s="47">
        <v>93091</v>
      </c>
      <c r="B3455" s="48" t="s">
        <v>2809</v>
      </c>
      <c r="C3455" s="47" t="s">
        <v>65</v>
      </c>
      <c r="D3455" s="332">
        <v>11.08</v>
      </c>
    </row>
    <row r="3456" spans="1:4" ht="30">
      <c r="A3456" s="28">
        <v>93092</v>
      </c>
      <c r="B3456" s="26" t="s">
        <v>6556</v>
      </c>
      <c r="C3456" s="28" t="s">
        <v>65</v>
      </c>
      <c r="D3456" s="329">
        <v>398.66</v>
      </c>
    </row>
    <row r="3457" spans="1:4" ht="30">
      <c r="A3457" s="47">
        <v>93093</v>
      </c>
      <c r="B3457" s="48" t="s">
        <v>3893</v>
      </c>
      <c r="C3457" s="47" t="s">
        <v>65</v>
      </c>
      <c r="D3457" s="332">
        <v>21.99</v>
      </c>
    </row>
    <row r="3458" spans="1:4" ht="45">
      <c r="A3458" s="28">
        <v>93094</v>
      </c>
      <c r="B3458" s="26" t="s">
        <v>4559</v>
      </c>
      <c r="C3458" s="28" t="s">
        <v>65</v>
      </c>
      <c r="D3458" s="329">
        <v>55.66</v>
      </c>
    </row>
    <row r="3459" spans="1:4" ht="45">
      <c r="A3459" s="47">
        <v>93095</v>
      </c>
      <c r="B3459" s="48" t="s">
        <v>9342</v>
      </c>
      <c r="C3459" s="47" t="s">
        <v>65</v>
      </c>
      <c r="D3459" s="332">
        <v>42.16</v>
      </c>
    </row>
    <row r="3460" spans="1:4" ht="45">
      <c r="A3460" s="28">
        <v>93096</v>
      </c>
      <c r="B3460" s="26" t="s">
        <v>9341</v>
      </c>
      <c r="C3460" s="28" t="s">
        <v>65</v>
      </c>
      <c r="D3460" s="329">
        <v>59.85</v>
      </c>
    </row>
    <row r="3461" spans="1:4" ht="30">
      <c r="A3461" s="47">
        <v>93097</v>
      </c>
      <c r="B3461" s="48" t="s">
        <v>4578</v>
      </c>
      <c r="C3461" s="47" t="s">
        <v>65</v>
      </c>
      <c r="D3461" s="332">
        <v>8.9</v>
      </c>
    </row>
    <row r="3462" spans="1:4" ht="45">
      <c r="A3462" s="28">
        <v>93098</v>
      </c>
      <c r="B3462" s="26" t="s">
        <v>4186</v>
      </c>
      <c r="C3462" s="28" t="s">
        <v>65</v>
      </c>
      <c r="D3462" s="329">
        <v>14.91</v>
      </c>
    </row>
    <row r="3463" spans="1:4" ht="30">
      <c r="A3463" s="47">
        <v>93099</v>
      </c>
      <c r="B3463" s="48" t="s">
        <v>4581</v>
      </c>
      <c r="C3463" s="47" t="s">
        <v>65</v>
      </c>
      <c r="D3463" s="332">
        <v>16.04</v>
      </c>
    </row>
    <row r="3464" spans="1:4" ht="45">
      <c r="A3464" s="28">
        <v>93100</v>
      </c>
      <c r="B3464" s="26" t="s">
        <v>4189</v>
      </c>
      <c r="C3464" s="28" t="s">
        <v>65</v>
      </c>
      <c r="D3464" s="329">
        <v>22.79</v>
      </c>
    </row>
    <row r="3465" spans="1:4" ht="45">
      <c r="A3465" s="47">
        <v>93101</v>
      </c>
      <c r="B3465" s="48" t="s">
        <v>4192</v>
      </c>
      <c r="C3465" s="47" t="s">
        <v>65</v>
      </c>
      <c r="D3465" s="332">
        <v>24.56</v>
      </c>
    </row>
    <row r="3466" spans="1:4" ht="30">
      <c r="A3466" s="28">
        <v>93102</v>
      </c>
      <c r="B3466" s="26" t="s">
        <v>4584</v>
      </c>
      <c r="C3466" s="28" t="s">
        <v>65</v>
      </c>
      <c r="D3466" s="329">
        <v>21.66</v>
      </c>
    </row>
    <row r="3467" spans="1:4" ht="30">
      <c r="A3467" s="47">
        <v>93103</v>
      </c>
      <c r="B3467" s="48" t="s">
        <v>7041</v>
      </c>
      <c r="C3467" s="47" t="s">
        <v>65</v>
      </c>
      <c r="D3467" s="332">
        <v>5.71</v>
      </c>
    </row>
    <row r="3468" spans="1:4" ht="30">
      <c r="A3468" s="28">
        <v>93104</v>
      </c>
      <c r="B3468" s="26" t="s">
        <v>3884</v>
      </c>
      <c r="C3468" s="28" t="s">
        <v>65</v>
      </c>
      <c r="D3468" s="329">
        <v>13.33</v>
      </c>
    </row>
    <row r="3469" spans="1:4" ht="30">
      <c r="A3469" s="47">
        <v>93105</v>
      </c>
      <c r="B3469" s="48" t="s">
        <v>4556</v>
      </c>
      <c r="C3469" s="47" t="s">
        <v>65</v>
      </c>
      <c r="D3469" s="332">
        <v>16.37</v>
      </c>
    </row>
    <row r="3470" spans="1:4" ht="30">
      <c r="A3470" s="28">
        <v>93106</v>
      </c>
      <c r="B3470" s="26" t="s">
        <v>6552</v>
      </c>
      <c r="C3470" s="28" t="s">
        <v>65</v>
      </c>
      <c r="D3470" s="329">
        <v>312.76</v>
      </c>
    </row>
    <row r="3471" spans="1:4" ht="30">
      <c r="A3471" s="47">
        <v>93107</v>
      </c>
      <c r="B3471" s="48" t="s">
        <v>7044</v>
      </c>
      <c r="C3471" s="47" t="s">
        <v>65</v>
      </c>
      <c r="D3471" s="332">
        <v>10.38</v>
      </c>
    </row>
    <row r="3472" spans="1:4" ht="30">
      <c r="A3472" s="28">
        <v>93108</v>
      </c>
      <c r="B3472" s="26" t="s">
        <v>2807</v>
      </c>
      <c r="C3472" s="28" t="s">
        <v>65</v>
      </c>
      <c r="D3472" s="329">
        <v>9.75</v>
      </c>
    </row>
    <row r="3473" spans="1:4" ht="30">
      <c r="A3473" s="47">
        <v>93109</v>
      </c>
      <c r="B3473" s="48" t="s">
        <v>6550</v>
      </c>
      <c r="C3473" s="47" t="s">
        <v>65</v>
      </c>
      <c r="D3473" s="332">
        <v>364.13</v>
      </c>
    </row>
    <row r="3474" spans="1:4" ht="30">
      <c r="A3474" s="28">
        <v>93110</v>
      </c>
      <c r="B3474" s="26" t="s">
        <v>3885</v>
      </c>
      <c r="C3474" s="28" t="s">
        <v>65</v>
      </c>
      <c r="D3474" s="329">
        <v>15.4</v>
      </c>
    </row>
    <row r="3475" spans="1:4" ht="30">
      <c r="A3475" s="47">
        <v>93111</v>
      </c>
      <c r="B3475" s="48" t="s">
        <v>3887</v>
      </c>
      <c r="C3475" s="47" t="s">
        <v>65</v>
      </c>
      <c r="D3475" s="332">
        <v>17.75</v>
      </c>
    </row>
    <row r="3476" spans="1:4" ht="30">
      <c r="A3476" s="28">
        <v>93112</v>
      </c>
      <c r="B3476" s="26" t="s">
        <v>4553</v>
      </c>
      <c r="C3476" s="28" t="s">
        <v>65</v>
      </c>
      <c r="D3476" s="329">
        <v>33.799999999999997</v>
      </c>
    </row>
    <row r="3477" spans="1:4" ht="30">
      <c r="A3477" s="47">
        <v>93113</v>
      </c>
      <c r="B3477" s="48" t="s">
        <v>7047</v>
      </c>
      <c r="C3477" s="47" t="s">
        <v>65</v>
      </c>
      <c r="D3477" s="332">
        <v>14.98</v>
      </c>
    </row>
    <row r="3478" spans="1:4" ht="30">
      <c r="A3478" s="28">
        <v>93114</v>
      </c>
      <c r="B3478" s="26" t="s">
        <v>3889</v>
      </c>
      <c r="C3478" s="28" t="s">
        <v>65</v>
      </c>
      <c r="D3478" s="329">
        <v>24.38</v>
      </c>
    </row>
    <row r="3479" spans="1:4" ht="30">
      <c r="A3479" s="47">
        <v>93115</v>
      </c>
      <c r="B3479" s="48" t="s">
        <v>4555</v>
      </c>
      <c r="C3479" s="47" t="s">
        <v>65</v>
      </c>
      <c r="D3479" s="332">
        <v>58.05</v>
      </c>
    </row>
    <row r="3480" spans="1:4" ht="30">
      <c r="A3480" s="28">
        <v>93116</v>
      </c>
      <c r="B3480" s="26" t="s">
        <v>6557</v>
      </c>
      <c r="C3480" s="28" t="s">
        <v>65</v>
      </c>
      <c r="D3480" s="329">
        <v>401.05</v>
      </c>
    </row>
    <row r="3481" spans="1:4" ht="45">
      <c r="A3481" s="47">
        <v>93117</v>
      </c>
      <c r="B3481" s="48" t="s">
        <v>9343</v>
      </c>
      <c r="C3481" s="47" t="s">
        <v>65</v>
      </c>
      <c r="D3481" s="332">
        <v>42.37</v>
      </c>
    </row>
    <row r="3482" spans="1:4" ht="45">
      <c r="A3482" s="28">
        <v>93118</v>
      </c>
      <c r="B3482" s="26" t="s">
        <v>9345</v>
      </c>
      <c r="C3482" s="28" t="s">
        <v>65</v>
      </c>
      <c r="D3482" s="329">
        <v>62.52</v>
      </c>
    </row>
    <row r="3483" spans="1:4" ht="30">
      <c r="A3483" s="47">
        <v>93119</v>
      </c>
      <c r="B3483" s="48" t="s">
        <v>4579</v>
      </c>
      <c r="C3483" s="47" t="s">
        <v>65</v>
      </c>
      <c r="D3483" s="332">
        <v>11.82</v>
      </c>
    </row>
    <row r="3484" spans="1:4" ht="30">
      <c r="A3484" s="28">
        <v>93120</v>
      </c>
      <c r="B3484" s="26" t="s">
        <v>4187</v>
      </c>
      <c r="C3484" s="28" t="s">
        <v>65</v>
      </c>
      <c r="D3484" s="329">
        <v>18.57</v>
      </c>
    </row>
    <row r="3485" spans="1:4" ht="30">
      <c r="A3485" s="47">
        <v>93121</v>
      </c>
      <c r="B3485" s="48" t="s">
        <v>4190</v>
      </c>
      <c r="C3485" s="47" t="s">
        <v>65</v>
      </c>
      <c r="D3485" s="332">
        <v>20.34</v>
      </c>
    </row>
    <row r="3486" spans="1:4" ht="30">
      <c r="A3486" s="28">
        <v>93122</v>
      </c>
      <c r="B3486" s="26" t="s">
        <v>4582</v>
      </c>
      <c r="C3486" s="28" t="s">
        <v>65</v>
      </c>
      <c r="D3486" s="329">
        <v>17.41</v>
      </c>
    </row>
    <row r="3487" spans="1:4" ht="30">
      <c r="A3487" s="47">
        <v>93123</v>
      </c>
      <c r="B3487" s="48" t="s">
        <v>4585</v>
      </c>
      <c r="C3487" s="47" t="s">
        <v>65</v>
      </c>
      <c r="D3487" s="332">
        <v>39.03</v>
      </c>
    </row>
    <row r="3488" spans="1:4" ht="30">
      <c r="A3488" s="28">
        <v>93124</v>
      </c>
      <c r="B3488" s="26" t="s">
        <v>4589</v>
      </c>
      <c r="C3488" s="28" t="s">
        <v>65</v>
      </c>
      <c r="D3488" s="329">
        <v>60.66</v>
      </c>
    </row>
    <row r="3489" spans="1:4" ht="30">
      <c r="A3489" s="47">
        <v>93125</v>
      </c>
      <c r="B3489" s="48" t="s">
        <v>4586</v>
      </c>
      <c r="C3489" s="47" t="s">
        <v>65</v>
      </c>
      <c r="D3489" s="332">
        <v>88.43</v>
      </c>
    </row>
    <row r="3490" spans="1:4" ht="30">
      <c r="A3490" s="28">
        <v>93126</v>
      </c>
      <c r="B3490" s="26" t="s">
        <v>4590</v>
      </c>
      <c r="C3490" s="28" t="s">
        <v>65</v>
      </c>
      <c r="D3490" s="329">
        <v>199.15</v>
      </c>
    </row>
    <row r="3491" spans="1:4" ht="30">
      <c r="A3491" s="47">
        <v>93133</v>
      </c>
      <c r="B3491" s="48" t="s">
        <v>2810</v>
      </c>
      <c r="C3491" s="47" t="s">
        <v>65</v>
      </c>
      <c r="D3491" s="332">
        <v>789.89</v>
      </c>
    </row>
    <row r="3492" spans="1:4" ht="45">
      <c r="A3492" s="28">
        <v>94465</v>
      </c>
      <c r="B3492" s="26" t="s">
        <v>7145</v>
      </c>
      <c r="C3492" s="28" t="s">
        <v>65</v>
      </c>
      <c r="D3492" s="329">
        <v>31.1</v>
      </c>
    </row>
    <row r="3493" spans="1:4" ht="45">
      <c r="A3493" s="47">
        <v>94466</v>
      </c>
      <c r="B3493" s="48" t="s">
        <v>7693</v>
      </c>
      <c r="C3493" s="47" t="s">
        <v>65</v>
      </c>
      <c r="D3493" s="332">
        <v>31.12</v>
      </c>
    </row>
    <row r="3494" spans="1:4" ht="45">
      <c r="A3494" s="28">
        <v>94467</v>
      </c>
      <c r="B3494" s="26" t="s">
        <v>7147</v>
      </c>
      <c r="C3494" s="28" t="s">
        <v>65</v>
      </c>
      <c r="D3494" s="329">
        <v>47.74</v>
      </c>
    </row>
    <row r="3495" spans="1:4" ht="45">
      <c r="A3495" s="47">
        <v>94468</v>
      </c>
      <c r="B3495" s="48" t="s">
        <v>7695</v>
      </c>
      <c r="C3495" s="47" t="s">
        <v>65</v>
      </c>
      <c r="D3495" s="332">
        <v>41.83</v>
      </c>
    </row>
    <row r="3496" spans="1:4" ht="45">
      <c r="A3496" s="28">
        <v>94469</v>
      </c>
      <c r="B3496" s="26" t="s">
        <v>7149</v>
      </c>
      <c r="C3496" s="28" t="s">
        <v>65</v>
      </c>
      <c r="D3496" s="329">
        <v>69.209999999999994</v>
      </c>
    </row>
    <row r="3497" spans="1:4" ht="45">
      <c r="A3497" s="47">
        <v>94470</v>
      </c>
      <c r="B3497" s="48" t="s">
        <v>7697</v>
      </c>
      <c r="C3497" s="47" t="s">
        <v>65</v>
      </c>
      <c r="D3497" s="332">
        <v>63.96</v>
      </c>
    </row>
    <row r="3498" spans="1:4" ht="45">
      <c r="A3498" s="28">
        <v>94471</v>
      </c>
      <c r="B3498" s="26" t="s">
        <v>4153</v>
      </c>
      <c r="C3498" s="28" t="s">
        <v>65</v>
      </c>
      <c r="D3498" s="329">
        <v>44.87</v>
      </c>
    </row>
    <row r="3499" spans="1:4" ht="45">
      <c r="A3499" s="47">
        <v>94472</v>
      </c>
      <c r="B3499" s="48" t="s">
        <v>4126</v>
      </c>
      <c r="C3499" s="47" t="s">
        <v>65</v>
      </c>
      <c r="D3499" s="332">
        <v>46.19</v>
      </c>
    </row>
    <row r="3500" spans="1:4" ht="45">
      <c r="A3500" s="28">
        <v>94473</v>
      </c>
      <c r="B3500" s="26" t="s">
        <v>4154</v>
      </c>
      <c r="C3500" s="28" t="s">
        <v>65</v>
      </c>
      <c r="D3500" s="329">
        <v>68.38</v>
      </c>
    </row>
    <row r="3501" spans="1:4" ht="45">
      <c r="A3501" s="47">
        <v>94474</v>
      </c>
      <c r="B3501" s="48" t="s">
        <v>4127</v>
      </c>
      <c r="C3501" s="47" t="s">
        <v>65</v>
      </c>
      <c r="D3501" s="332">
        <v>74.16</v>
      </c>
    </row>
    <row r="3502" spans="1:4" ht="45">
      <c r="A3502" s="28">
        <v>94475</v>
      </c>
      <c r="B3502" s="26" t="s">
        <v>4155</v>
      </c>
      <c r="C3502" s="28" t="s">
        <v>65</v>
      </c>
      <c r="D3502" s="329">
        <v>93.86</v>
      </c>
    </row>
    <row r="3503" spans="1:4" ht="45">
      <c r="A3503" s="47">
        <v>94476</v>
      </c>
      <c r="B3503" s="48" t="s">
        <v>4128</v>
      </c>
      <c r="C3503" s="47" t="s">
        <v>65</v>
      </c>
      <c r="D3503" s="332">
        <v>104.99</v>
      </c>
    </row>
    <row r="3504" spans="1:4" ht="45">
      <c r="A3504" s="28">
        <v>94477</v>
      </c>
      <c r="B3504" s="26" t="s">
        <v>9421</v>
      </c>
      <c r="C3504" s="28" t="s">
        <v>65</v>
      </c>
      <c r="D3504" s="329">
        <v>59.73</v>
      </c>
    </row>
    <row r="3505" spans="1:4" ht="45">
      <c r="A3505" s="47">
        <v>94478</v>
      </c>
      <c r="B3505" s="48" t="s">
        <v>9424</v>
      </c>
      <c r="C3505" s="47" t="s">
        <v>65</v>
      </c>
      <c r="D3505" s="332">
        <v>93.99</v>
      </c>
    </row>
    <row r="3506" spans="1:4" ht="45">
      <c r="A3506" s="28">
        <v>94479</v>
      </c>
      <c r="B3506" s="26" t="s">
        <v>9427</v>
      </c>
      <c r="C3506" s="28" t="s">
        <v>65</v>
      </c>
      <c r="D3506" s="329">
        <v>123.99</v>
      </c>
    </row>
    <row r="3507" spans="1:4" ht="45">
      <c r="A3507" s="47">
        <v>94606</v>
      </c>
      <c r="B3507" s="48" t="s">
        <v>6836</v>
      </c>
      <c r="C3507" s="47" t="s">
        <v>65</v>
      </c>
      <c r="D3507" s="332">
        <v>51.22</v>
      </c>
    </row>
    <row r="3508" spans="1:4" ht="45">
      <c r="A3508" s="28">
        <v>94608</v>
      </c>
      <c r="B3508" s="26" t="s">
        <v>6838</v>
      </c>
      <c r="C3508" s="28" t="s">
        <v>65</v>
      </c>
      <c r="D3508" s="329">
        <v>131.28</v>
      </c>
    </row>
    <row r="3509" spans="1:4" ht="45">
      <c r="A3509" s="47">
        <v>94610</v>
      </c>
      <c r="B3509" s="48" t="s">
        <v>6839</v>
      </c>
      <c r="C3509" s="47" t="s">
        <v>65</v>
      </c>
      <c r="D3509" s="332">
        <v>194.95</v>
      </c>
    </row>
    <row r="3510" spans="1:4" ht="45">
      <c r="A3510" s="28">
        <v>94612</v>
      </c>
      <c r="B3510" s="26" t="s">
        <v>6824</v>
      </c>
      <c r="C3510" s="28" t="s">
        <v>65</v>
      </c>
      <c r="D3510" s="329">
        <v>275.77</v>
      </c>
    </row>
    <row r="3511" spans="1:4" ht="45">
      <c r="A3511" s="47">
        <v>94614</v>
      </c>
      <c r="B3511" s="48" t="s">
        <v>4194</v>
      </c>
      <c r="C3511" s="47" t="s">
        <v>65</v>
      </c>
      <c r="D3511" s="332">
        <v>89.26</v>
      </c>
    </row>
    <row r="3512" spans="1:4" ht="45">
      <c r="A3512" s="28">
        <v>94615</v>
      </c>
      <c r="B3512" s="26" t="s">
        <v>4587</v>
      </c>
      <c r="C3512" s="28" t="s">
        <v>65</v>
      </c>
      <c r="D3512" s="329">
        <v>101.83</v>
      </c>
    </row>
    <row r="3513" spans="1:4" ht="45">
      <c r="A3513" s="47">
        <v>94616</v>
      </c>
      <c r="B3513" s="48" t="s">
        <v>4195</v>
      </c>
      <c r="C3513" s="47" t="s">
        <v>65</v>
      </c>
      <c r="D3513" s="332">
        <v>254.43</v>
      </c>
    </row>
    <row r="3514" spans="1:4" ht="45">
      <c r="A3514" s="28">
        <v>94617</v>
      </c>
      <c r="B3514" s="26" t="s">
        <v>4588</v>
      </c>
      <c r="C3514" s="28" t="s">
        <v>65</v>
      </c>
      <c r="D3514" s="329">
        <v>210.74</v>
      </c>
    </row>
    <row r="3515" spans="1:4" ht="45">
      <c r="A3515" s="47">
        <v>94618</v>
      </c>
      <c r="B3515" s="48" t="s">
        <v>4196</v>
      </c>
      <c r="C3515" s="47" t="s">
        <v>65</v>
      </c>
      <c r="D3515" s="332">
        <v>247.97</v>
      </c>
    </row>
    <row r="3516" spans="1:4" ht="45">
      <c r="A3516" s="28">
        <v>94620</v>
      </c>
      <c r="B3516" s="26" t="s">
        <v>4193</v>
      </c>
      <c r="C3516" s="28" t="s">
        <v>65</v>
      </c>
      <c r="D3516" s="329">
        <v>574.82000000000005</v>
      </c>
    </row>
    <row r="3517" spans="1:4" ht="45">
      <c r="A3517" s="47">
        <v>94622</v>
      </c>
      <c r="B3517" s="48" t="s">
        <v>9347</v>
      </c>
      <c r="C3517" s="47" t="s">
        <v>65</v>
      </c>
      <c r="D3517" s="332">
        <v>130.34</v>
      </c>
    </row>
    <row r="3518" spans="1:4" ht="45">
      <c r="A3518" s="28">
        <v>94623</v>
      </c>
      <c r="B3518" s="26" t="s">
        <v>9348</v>
      </c>
      <c r="C3518" s="28" t="s">
        <v>65</v>
      </c>
      <c r="D3518" s="329">
        <v>314.06</v>
      </c>
    </row>
    <row r="3519" spans="1:4" ht="45">
      <c r="A3519" s="47">
        <v>94624</v>
      </c>
      <c r="B3519" s="48" t="s">
        <v>9349</v>
      </c>
      <c r="C3519" s="47" t="s">
        <v>65</v>
      </c>
      <c r="D3519" s="332">
        <v>478.17</v>
      </c>
    </row>
    <row r="3520" spans="1:4" ht="45">
      <c r="A3520" s="28">
        <v>94625</v>
      </c>
      <c r="B3520" s="26" t="s">
        <v>9346</v>
      </c>
      <c r="C3520" s="28" t="s">
        <v>65</v>
      </c>
      <c r="D3520" s="329">
        <v>1003.88</v>
      </c>
    </row>
    <row r="3521" spans="1:4" ht="45">
      <c r="A3521" s="47">
        <v>94656</v>
      </c>
      <c r="B3521" s="48" t="s">
        <v>1511</v>
      </c>
      <c r="C3521" s="47" t="s">
        <v>65</v>
      </c>
      <c r="D3521" s="332">
        <v>4.3600000000000003</v>
      </c>
    </row>
    <row r="3522" spans="1:4" ht="45">
      <c r="A3522" s="28">
        <v>94657</v>
      </c>
      <c r="B3522" s="26" t="s">
        <v>7067</v>
      </c>
      <c r="C3522" s="28" t="s">
        <v>65</v>
      </c>
      <c r="D3522" s="329">
        <v>4.37</v>
      </c>
    </row>
    <row r="3523" spans="1:4" ht="45">
      <c r="A3523" s="47">
        <v>94658</v>
      </c>
      <c r="B3523" s="48" t="s">
        <v>1518</v>
      </c>
      <c r="C3523" s="47" t="s">
        <v>65</v>
      </c>
      <c r="D3523" s="332">
        <v>5.13</v>
      </c>
    </row>
    <row r="3524" spans="1:4" ht="45">
      <c r="A3524" s="28">
        <v>94659</v>
      </c>
      <c r="B3524" s="26" t="s">
        <v>7068</v>
      </c>
      <c r="C3524" s="28" t="s">
        <v>65</v>
      </c>
      <c r="D3524" s="329">
        <v>5.24</v>
      </c>
    </row>
    <row r="3525" spans="1:4" ht="45">
      <c r="A3525" s="47">
        <v>94660</v>
      </c>
      <c r="B3525" s="48" t="s">
        <v>1522</v>
      </c>
      <c r="C3525" s="47" t="s">
        <v>65</v>
      </c>
      <c r="D3525" s="332">
        <v>8.31</v>
      </c>
    </row>
    <row r="3526" spans="1:4" ht="45">
      <c r="A3526" s="28">
        <v>94661</v>
      </c>
      <c r="B3526" s="26" t="s">
        <v>7175</v>
      </c>
      <c r="C3526" s="28" t="s">
        <v>65</v>
      </c>
      <c r="D3526" s="329">
        <v>9.1999999999999993</v>
      </c>
    </row>
    <row r="3527" spans="1:4" ht="45">
      <c r="A3527" s="47">
        <v>94662</v>
      </c>
      <c r="B3527" s="48" t="s">
        <v>1525</v>
      </c>
      <c r="C3527" s="47" t="s">
        <v>65</v>
      </c>
      <c r="D3527" s="332">
        <v>8.9499999999999993</v>
      </c>
    </row>
    <row r="3528" spans="1:4" ht="45">
      <c r="A3528" s="28">
        <v>94663</v>
      </c>
      <c r="B3528" s="26" t="s">
        <v>7177</v>
      </c>
      <c r="C3528" s="28" t="s">
        <v>65</v>
      </c>
      <c r="D3528" s="329">
        <v>9.83</v>
      </c>
    </row>
    <row r="3529" spans="1:4" ht="45">
      <c r="A3529" s="47">
        <v>94664</v>
      </c>
      <c r="B3529" s="48" t="s">
        <v>1528</v>
      </c>
      <c r="C3529" s="47" t="s">
        <v>65</v>
      </c>
      <c r="D3529" s="332">
        <v>18.87</v>
      </c>
    </row>
    <row r="3530" spans="1:4" ht="45">
      <c r="A3530" s="28">
        <v>94665</v>
      </c>
      <c r="B3530" s="26" t="s">
        <v>7179</v>
      </c>
      <c r="C3530" s="28" t="s">
        <v>65</v>
      </c>
      <c r="D3530" s="329">
        <v>21.93</v>
      </c>
    </row>
    <row r="3531" spans="1:4" ht="45">
      <c r="A3531" s="47">
        <v>94666</v>
      </c>
      <c r="B3531" s="48" t="s">
        <v>1530</v>
      </c>
      <c r="C3531" s="47" t="s">
        <v>65</v>
      </c>
      <c r="D3531" s="332">
        <v>25.19</v>
      </c>
    </row>
    <row r="3532" spans="1:4" ht="45">
      <c r="A3532" s="28">
        <v>94667</v>
      </c>
      <c r="B3532" s="26" t="s">
        <v>7181</v>
      </c>
      <c r="C3532" s="28" t="s">
        <v>65</v>
      </c>
      <c r="D3532" s="329">
        <v>27.77</v>
      </c>
    </row>
    <row r="3533" spans="1:4" ht="45">
      <c r="A3533" s="47">
        <v>94668</v>
      </c>
      <c r="B3533" s="48" t="s">
        <v>1532</v>
      </c>
      <c r="C3533" s="47" t="s">
        <v>65</v>
      </c>
      <c r="D3533" s="332">
        <v>40.93</v>
      </c>
    </row>
    <row r="3534" spans="1:4" ht="45">
      <c r="A3534" s="28">
        <v>94669</v>
      </c>
      <c r="B3534" s="26" t="s">
        <v>7183</v>
      </c>
      <c r="C3534" s="28" t="s">
        <v>65</v>
      </c>
      <c r="D3534" s="329">
        <v>58.48</v>
      </c>
    </row>
    <row r="3535" spans="1:4" ht="45">
      <c r="A3535" s="47">
        <v>94670</v>
      </c>
      <c r="B3535" s="48" t="s">
        <v>1512</v>
      </c>
      <c r="C3535" s="47" t="s">
        <v>65</v>
      </c>
      <c r="D3535" s="332">
        <v>54.74</v>
      </c>
    </row>
    <row r="3536" spans="1:4" ht="45">
      <c r="A3536" s="28">
        <v>94671</v>
      </c>
      <c r="B3536" s="26" t="s">
        <v>7165</v>
      </c>
      <c r="C3536" s="28" t="s">
        <v>65</v>
      </c>
      <c r="D3536" s="329">
        <v>86.66</v>
      </c>
    </row>
    <row r="3537" spans="1:4" ht="45">
      <c r="A3537" s="47">
        <v>94672</v>
      </c>
      <c r="B3537" s="48" t="s">
        <v>6296</v>
      </c>
      <c r="C3537" s="47" t="s">
        <v>65</v>
      </c>
      <c r="D3537" s="332">
        <v>7.05</v>
      </c>
    </row>
    <row r="3538" spans="1:4" ht="45">
      <c r="A3538" s="28">
        <v>94673</v>
      </c>
      <c r="B3538" s="26" t="s">
        <v>4491</v>
      </c>
      <c r="C3538" s="28" t="s">
        <v>65</v>
      </c>
      <c r="D3538" s="329">
        <v>7.24</v>
      </c>
    </row>
    <row r="3539" spans="1:4" ht="45">
      <c r="A3539" s="47">
        <v>94674</v>
      </c>
      <c r="B3539" s="48" t="s">
        <v>6358</v>
      </c>
      <c r="C3539" s="47" t="s">
        <v>65</v>
      </c>
      <c r="D3539" s="332">
        <v>6.31</v>
      </c>
    </row>
    <row r="3540" spans="1:4" ht="45">
      <c r="A3540" s="28">
        <v>94675</v>
      </c>
      <c r="B3540" s="26" t="s">
        <v>4498</v>
      </c>
      <c r="C3540" s="28" t="s">
        <v>65</v>
      </c>
      <c r="D3540" s="329">
        <v>9.7200000000000006</v>
      </c>
    </row>
    <row r="3541" spans="1:4" ht="45">
      <c r="A3541" s="47">
        <v>94676</v>
      </c>
      <c r="B3541" s="48" t="s">
        <v>6362</v>
      </c>
      <c r="C3541" s="47" t="s">
        <v>65</v>
      </c>
      <c r="D3541" s="332">
        <v>10.93</v>
      </c>
    </row>
    <row r="3542" spans="1:4" ht="45">
      <c r="A3542" s="28">
        <v>94677</v>
      </c>
      <c r="B3542" s="26" t="s">
        <v>4502</v>
      </c>
      <c r="C3542" s="28" t="s">
        <v>65</v>
      </c>
      <c r="D3542" s="329">
        <v>16.170000000000002</v>
      </c>
    </row>
    <row r="3543" spans="1:4" ht="45">
      <c r="A3543" s="47">
        <v>94678</v>
      </c>
      <c r="B3543" s="48" t="s">
        <v>6364</v>
      </c>
      <c r="C3543" s="47" t="s">
        <v>65</v>
      </c>
      <c r="D3543" s="332">
        <v>11.34</v>
      </c>
    </row>
    <row r="3544" spans="1:4" ht="45">
      <c r="A3544" s="28">
        <v>94679</v>
      </c>
      <c r="B3544" s="26" t="s">
        <v>4504</v>
      </c>
      <c r="C3544" s="28" t="s">
        <v>65</v>
      </c>
      <c r="D3544" s="329">
        <v>17.09</v>
      </c>
    </row>
    <row r="3545" spans="1:4" ht="45">
      <c r="A3545" s="47">
        <v>94680</v>
      </c>
      <c r="B3545" s="48" t="s">
        <v>6366</v>
      </c>
      <c r="C3545" s="47" t="s">
        <v>65</v>
      </c>
      <c r="D3545" s="332">
        <v>31.59</v>
      </c>
    </row>
    <row r="3546" spans="1:4" ht="45">
      <c r="A3546" s="28">
        <v>94681</v>
      </c>
      <c r="B3546" s="26" t="s">
        <v>4506</v>
      </c>
      <c r="C3546" s="28" t="s">
        <v>65</v>
      </c>
      <c r="D3546" s="329">
        <v>35.65</v>
      </c>
    </row>
    <row r="3547" spans="1:4" ht="45">
      <c r="A3547" s="47">
        <v>94682</v>
      </c>
      <c r="B3547" s="48" t="s">
        <v>6368</v>
      </c>
      <c r="C3547" s="47" t="s">
        <v>65</v>
      </c>
      <c r="D3547" s="332">
        <v>71.95</v>
      </c>
    </row>
    <row r="3548" spans="1:4" ht="45">
      <c r="A3548" s="28">
        <v>94683</v>
      </c>
      <c r="B3548" s="26" t="s">
        <v>4508</v>
      </c>
      <c r="C3548" s="28" t="s">
        <v>65</v>
      </c>
      <c r="D3548" s="329">
        <v>52.14</v>
      </c>
    </row>
    <row r="3549" spans="1:4" ht="45">
      <c r="A3549" s="47">
        <v>94684</v>
      </c>
      <c r="B3549" s="48" t="s">
        <v>6370</v>
      </c>
      <c r="C3549" s="47" t="s">
        <v>65</v>
      </c>
      <c r="D3549" s="332">
        <v>89.78</v>
      </c>
    </row>
    <row r="3550" spans="1:4" ht="45">
      <c r="A3550" s="28">
        <v>94685</v>
      </c>
      <c r="B3550" s="26" t="s">
        <v>4510</v>
      </c>
      <c r="C3550" s="28" t="s">
        <v>65</v>
      </c>
      <c r="D3550" s="329">
        <v>70.3</v>
      </c>
    </row>
    <row r="3551" spans="1:4" ht="45">
      <c r="A3551" s="47">
        <v>94686</v>
      </c>
      <c r="B3551" s="48" t="s">
        <v>6350</v>
      </c>
      <c r="C3551" s="47" t="s">
        <v>65</v>
      </c>
      <c r="D3551" s="332">
        <v>178.01</v>
      </c>
    </row>
    <row r="3552" spans="1:4" ht="45">
      <c r="A3552" s="28">
        <v>94687</v>
      </c>
      <c r="B3552" s="26" t="s">
        <v>4492</v>
      </c>
      <c r="C3552" s="28" t="s">
        <v>65</v>
      </c>
      <c r="D3552" s="329">
        <v>122.42</v>
      </c>
    </row>
    <row r="3553" spans="1:4" ht="45">
      <c r="A3553" s="47">
        <v>94688</v>
      </c>
      <c r="B3553" s="48" t="s">
        <v>9463</v>
      </c>
      <c r="C3553" s="47" t="s">
        <v>65</v>
      </c>
      <c r="D3553" s="332">
        <v>7.51</v>
      </c>
    </row>
    <row r="3554" spans="1:4" ht="45">
      <c r="A3554" s="28">
        <v>94689</v>
      </c>
      <c r="B3554" s="26" t="s">
        <v>9213</v>
      </c>
      <c r="C3554" s="28" t="s">
        <v>65</v>
      </c>
      <c r="D3554" s="329">
        <v>9.2899999999999991</v>
      </c>
    </row>
    <row r="3555" spans="1:4" ht="45">
      <c r="A3555" s="47">
        <v>94690</v>
      </c>
      <c r="B3555" s="48" t="s">
        <v>9471</v>
      </c>
      <c r="C3555" s="47" t="s">
        <v>65</v>
      </c>
      <c r="D3555" s="332">
        <v>8.9499999999999993</v>
      </c>
    </row>
    <row r="3556" spans="1:4" ht="45">
      <c r="A3556" s="28">
        <v>94691</v>
      </c>
      <c r="B3556" s="26" t="s">
        <v>9308</v>
      </c>
      <c r="C3556" s="28" t="s">
        <v>65</v>
      </c>
      <c r="D3556" s="329">
        <v>11.02</v>
      </c>
    </row>
    <row r="3557" spans="1:4" ht="45">
      <c r="A3557" s="47">
        <v>94692</v>
      </c>
      <c r="B3557" s="48" t="s">
        <v>9475</v>
      </c>
      <c r="C3557" s="47" t="s">
        <v>65</v>
      </c>
      <c r="D3557" s="332">
        <v>16.25</v>
      </c>
    </row>
    <row r="3558" spans="1:4" ht="45">
      <c r="A3558" s="28">
        <v>94693</v>
      </c>
      <c r="B3558" s="26" t="s">
        <v>9312</v>
      </c>
      <c r="C3558" s="28" t="s">
        <v>65</v>
      </c>
      <c r="D3558" s="329">
        <v>16.14</v>
      </c>
    </row>
    <row r="3559" spans="1:4" ht="45">
      <c r="A3559" s="47">
        <v>94694</v>
      </c>
      <c r="B3559" s="48" t="s">
        <v>9477</v>
      </c>
      <c r="C3559" s="47" t="s">
        <v>65</v>
      </c>
      <c r="D3559" s="332">
        <v>17.059999999999999</v>
      </c>
    </row>
    <row r="3560" spans="1:4" ht="45">
      <c r="A3560" s="28">
        <v>94695</v>
      </c>
      <c r="B3560" s="26" t="s">
        <v>9314</v>
      </c>
      <c r="C3560" s="28" t="s">
        <v>65</v>
      </c>
      <c r="D3560" s="329">
        <v>20.62</v>
      </c>
    </row>
    <row r="3561" spans="1:4" ht="45">
      <c r="A3561" s="47">
        <v>94696</v>
      </c>
      <c r="B3561" s="48" t="s">
        <v>9479</v>
      </c>
      <c r="C3561" s="47" t="s">
        <v>65</v>
      </c>
      <c r="D3561" s="332">
        <v>38.270000000000003</v>
      </c>
    </row>
    <row r="3562" spans="1:4" ht="45">
      <c r="A3562" s="28">
        <v>94697</v>
      </c>
      <c r="B3562" s="26" t="s">
        <v>9481</v>
      </c>
      <c r="C3562" s="28" t="s">
        <v>65</v>
      </c>
      <c r="D3562" s="329">
        <v>56.77</v>
      </c>
    </row>
    <row r="3563" spans="1:4" ht="45">
      <c r="A3563" s="47">
        <v>94698</v>
      </c>
      <c r="B3563" s="48" t="s">
        <v>9317</v>
      </c>
      <c r="C3563" s="47" t="s">
        <v>65</v>
      </c>
      <c r="D3563" s="332">
        <v>49.67</v>
      </c>
    </row>
    <row r="3564" spans="1:4" ht="45">
      <c r="A3564" s="28">
        <v>94699</v>
      </c>
      <c r="B3564" s="26" t="s">
        <v>9483</v>
      </c>
      <c r="C3564" s="28" t="s">
        <v>65</v>
      </c>
      <c r="D3564" s="329">
        <v>93.13</v>
      </c>
    </row>
    <row r="3565" spans="1:4" ht="45">
      <c r="A3565" s="47">
        <v>94700</v>
      </c>
      <c r="B3565" s="48" t="s">
        <v>9319</v>
      </c>
      <c r="C3565" s="47" t="s">
        <v>65</v>
      </c>
      <c r="D3565" s="332">
        <v>82.58</v>
      </c>
    </row>
    <row r="3566" spans="1:4" ht="45">
      <c r="A3566" s="28">
        <v>94701</v>
      </c>
      <c r="B3566" s="26" t="s">
        <v>9464</v>
      </c>
      <c r="C3566" s="28" t="s">
        <v>65</v>
      </c>
      <c r="D3566" s="329">
        <v>145.94999999999999</v>
      </c>
    </row>
    <row r="3567" spans="1:4" ht="45">
      <c r="A3567" s="47">
        <v>94702</v>
      </c>
      <c r="B3567" s="48" t="s">
        <v>9304</v>
      </c>
      <c r="C3567" s="47" t="s">
        <v>65</v>
      </c>
      <c r="D3567" s="332">
        <v>116.27</v>
      </c>
    </row>
    <row r="3568" spans="1:4" ht="45">
      <c r="A3568" s="28">
        <v>94703</v>
      </c>
      <c r="B3568" s="26" t="s">
        <v>1490</v>
      </c>
      <c r="C3568" s="28" t="s">
        <v>65</v>
      </c>
      <c r="D3568" s="329">
        <v>17.809999999999999</v>
      </c>
    </row>
    <row r="3569" spans="1:4" ht="45">
      <c r="A3569" s="47">
        <v>94704</v>
      </c>
      <c r="B3569" s="48" t="s">
        <v>1491</v>
      </c>
      <c r="C3569" s="47" t="s">
        <v>65</v>
      </c>
      <c r="D3569" s="332">
        <v>21.02</v>
      </c>
    </row>
    <row r="3570" spans="1:4" ht="45">
      <c r="A3570" s="28">
        <v>94705</v>
      </c>
      <c r="B3570" s="26" t="s">
        <v>1492</v>
      </c>
      <c r="C3570" s="28" t="s">
        <v>65</v>
      </c>
      <c r="D3570" s="329">
        <v>30.7</v>
      </c>
    </row>
    <row r="3571" spans="1:4" ht="45">
      <c r="A3571" s="47">
        <v>94706</v>
      </c>
      <c r="B3571" s="48" t="s">
        <v>1493</v>
      </c>
      <c r="C3571" s="47" t="s">
        <v>65</v>
      </c>
      <c r="D3571" s="332">
        <v>40.380000000000003</v>
      </c>
    </row>
    <row r="3572" spans="1:4" ht="45">
      <c r="A3572" s="28">
        <v>94707</v>
      </c>
      <c r="B3572" s="26" t="s">
        <v>1494</v>
      </c>
      <c r="C3572" s="28" t="s">
        <v>65</v>
      </c>
      <c r="D3572" s="329">
        <v>46.67</v>
      </c>
    </row>
    <row r="3573" spans="1:4" ht="45">
      <c r="A3573" s="47">
        <v>94708</v>
      </c>
      <c r="B3573" s="48" t="s">
        <v>1503</v>
      </c>
      <c r="C3573" s="47" t="s">
        <v>65</v>
      </c>
      <c r="D3573" s="332">
        <v>18.82</v>
      </c>
    </row>
    <row r="3574" spans="1:4" ht="45">
      <c r="A3574" s="28">
        <v>94709</v>
      </c>
      <c r="B3574" s="26" t="s">
        <v>1505</v>
      </c>
      <c r="C3574" s="28" t="s">
        <v>65</v>
      </c>
      <c r="D3574" s="329">
        <v>22.4</v>
      </c>
    </row>
    <row r="3575" spans="1:4" ht="45">
      <c r="A3575" s="47">
        <v>94710</v>
      </c>
      <c r="B3575" s="48" t="s">
        <v>1506</v>
      </c>
      <c r="C3575" s="47" t="s">
        <v>65</v>
      </c>
      <c r="D3575" s="332">
        <v>29.16</v>
      </c>
    </row>
    <row r="3576" spans="1:4" ht="45">
      <c r="A3576" s="28">
        <v>94711</v>
      </c>
      <c r="B3576" s="26" t="s">
        <v>1507</v>
      </c>
      <c r="C3576" s="28" t="s">
        <v>65</v>
      </c>
      <c r="D3576" s="329">
        <v>39.01</v>
      </c>
    </row>
    <row r="3577" spans="1:4" ht="45">
      <c r="A3577" s="47">
        <v>94712</v>
      </c>
      <c r="B3577" s="48" t="s">
        <v>1508</v>
      </c>
      <c r="C3577" s="47" t="s">
        <v>65</v>
      </c>
      <c r="D3577" s="332">
        <v>50.54</v>
      </c>
    </row>
    <row r="3578" spans="1:4" ht="45">
      <c r="A3578" s="28">
        <v>94713</v>
      </c>
      <c r="B3578" s="26" t="s">
        <v>1509</v>
      </c>
      <c r="C3578" s="28" t="s">
        <v>65</v>
      </c>
      <c r="D3578" s="329">
        <v>152.93</v>
      </c>
    </row>
    <row r="3579" spans="1:4" ht="45">
      <c r="A3579" s="47">
        <v>94714</v>
      </c>
      <c r="B3579" s="48" t="s">
        <v>1510</v>
      </c>
      <c r="C3579" s="47" t="s">
        <v>65</v>
      </c>
      <c r="D3579" s="332">
        <v>200.75</v>
      </c>
    </row>
    <row r="3580" spans="1:4" ht="45">
      <c r="A3580" s="28">
        <v>94715</v>
      </c>
      <c r="B3580" s="26" t="s">
        <v>1504</v>
      </c>
      <c r="C3580" s="28" t="s">
        <v>65</v>
      </c>
      <c r="D3580" s="329">
        <v>280.77</v>
      </c>
    </row>
    <row r="3581" spans="1:4" ht="45">
      <c r="A3581" s="47">
        <v>94724</v>
      </c>
      <c r="B3581" s="48" t="s">
        <v>3926</v>
      </c>
      <c r="C3581" s="47" t="s">
        <v>65</v>
      </c>
      <c r="D3581" s="332">
        <v>21.06</v>
      </c>
    </row>
    <row r="3582" spans="1:4" ht="45">
      <c r="A3582" s="28">
        <v>94725</v>
      </c>
      <c r="B3582" s="26" t="s">
        <v>7122</v>
      </c>
      <c r="C3582" s="28" t="s">
        <v>65</v>
      </c>
      <c r="D3582" s="329">
        <v>4.79</v>
      </c>
    </row>
    <row r="3583" spans="1:4" ht="45">
      <c r="A3583" s="47">
        <v>94726</v>
      </c>
      <c r="B3583" s="48" t="s">
        <v>3929</v>
      </c>
      <c r="C3583" s="47" t="s">
        <v>65</v>
      </c>
      <c r="D3583" s="332">
        <v>32.700000000000003</v>
      </c>
    </row>
    <row r="3584" spans="1:4" ht="45">
      <c r="A3584" s="28">
        <v>94727</v>
      </c>
      <c r="B3584" s="26" t="s">
        <v>7125</v>
      </c>
      <c r="C3584" s="28" t="s">
        <v>65</v>
      </c>
      <c r="D3584" s="329">
        <v>6.95</v>
      </c>
    </row>
    <row r="3585" spans="1:4" ht="45">
      <c r="A3585" s="47">
        <v>94728</v>
      </c>
      <c r="B3585" s="48" t="s">
        <v>3932</v>
      </c>
      <c r="C3585" s="47" t="s">
        <v>65</v>
      </c>
      <c r="D3585" s="332">
        <v>124.51</v>
      </c>
    </row>
    <row r="3586" spans="1:4" ht="45">
      <c r="A3586" s="28">
        <v>94729</v>
      </c>
      <c r="B3586" s="26" t="s">
        <v>7128</v>
      </c>
      <c r="C3586" s="28" t="s">
        <v>65</v>
      </c>
      <c r="D3586" s="329">
        <v>12.41</v>
      </c>
    </row>
    <row r="3587" spans="1:4" ht="45">
      <c r="A3587" s="47">
        <v>94730</v>
      </c>
      <c r="B3587" s="48" t="s">
        <v>3936</v>
      </c>
      <c r="C3587" s="47" t="s">
        <v>65</v>
      </c>
      <c r="D3587" s="332">
        <v>151.34</v>
      </c>
    </row>
    <row r="3588" spans="1:4" ht="45">
      <c r="A3588" s="28">
        <v>94731</v>
      </c>
      <c r="B3588" s="26" t="s">
        <v>7132</v>
      </c>
      <c r="C3588" s="28" t="s">
        <v>65</v>
      </c>
      <c r="D3588" s="329">
        <v>15.68</v>
      </c>
    </row>
    <row r="3589" spans="1:4" ht="45">
      <c r="A3589" s="47">
        <v>94733</v>
      </c>
      <c r="B3589" s="48" t="s">
        <v>7134</v>
      </c>
      <c r="C3589" s="47" t="s">
        <v>65</v>
      </c>
      <c r="D3589" s="332">
        <v>30.48</v>
      </c>
    </row>
    <row r="3590" spans="1:4" ht="45">
      <c r="A3590" s="28">
        <v>94737</v>
      </c>
      <c r="B3590" s="26" t="s">
        <v>7138</v>
      </c>
      <c r="C3590" s="28" t="s">
        <v>65</v>
      </c>
      <c r="D3590" s="329">
        <v>129.07</v>
      </c>
    </row>
    <row r="3591" spans="1:4" ht="45">
      <c r="A3591" s="47">
        <v>94740</v>
      </c>
      <c r="B3591" s="48" t="s">
        <v>6300</v>
      </c>
      <c r="C3591" s="47" t="s">
        <v>65</v>
      </c>
      <c r="D3591" s="332">
        <v>7.58</v>
      </c>
    </row>
    <row r="3592" spans="1:4" ht="45">
      <c r="A3592" s="28">
        <v>94741</v>
      </c>
      <c r="B3592" s="26" t="s">
        <v>4473</v>
      </c>
      <c r="C3592" s="28" t="s">
        <v>65</v>
      </c>
      <c r="D3592" s="329">
        <v>9.5500000000000007</v>
      </c>
    </row>
    <row r="3593" spans="1:4" ht="45">
      <c r="A3593" s="47">
        <v>94742</v>
      </c>
      <c r="B3593" s="48" t="s">
        <v>6303</v>
      </c>
      <c r="C3593" s="47" t="s">
        <v>65</v>
      </c>
      <c r="D3593" s="332">
        <v>11.75</v>
      </c>
    </row>
    <row r="3594" spans="1:4" ht="45">
      <c r="A3594" s="28">
        <v>94743</v>
      </c>
      <c r="B3594" s="26" t="s">
        <v>4476</v>
      </c>
      <c r="C3594" s="28" t="s">
        <v>65</v>
      </c>
      <c r="D3594" s="329">
        <v>12.99</v>
      </c>
    </row>
    <row r="3595" spans="1:4" ht="45">
      <c r="A3595" s="47">
        <v>94744</v>
      </c>
      <c r="B3595" s="48" t="s">
        <v>6306</v>
      </c>
      <c r="C3595" s="47" t="s">
        <v>65</v>
      </c>
      <c r="D3595" s="332">
        <v>18.89</v>
      </c>
    </row>
    <row r="3596" spans="1:4" ht="45">
      <c r="A3596" s="28">
        <v>94746</v>
      </c>
      <c r="B3596" s="26" t="s">
        <v>6310</v>
      </c>
      <c r="C3596" s="28" t="s">
        <v>65</v>
      </c>
      <c r="D3596" s="329">
        <v>27.17</v>
      </c>
    </row>
    <row r="3597" spans="1:4" ht="45">
      <c r="A3597" s="47">
        <v>94748</v>
      </c>
      <c r="B3597" s="48" t="s">
        <v>6312</v>
      </c>
      <c r="C3597" s="47" t="s">
        <v>65</v>
      </c>
      <c r="D3597" s="332">
        <v>56.19</v>
      </c>
    </row>
    <row r="3598" spans="1:4" ht="45">
      <c r="A3598" s="28">
        <v>94750</v>
      </c>
      <c r="B3598" s="26" t="s">
        <v>6314</v>
      </c>
      <c r="C3598" s="28" t="s">
        <v>65</v>
      </c>
      <c r="D3598" s="329">
        <v>134.55000000000001</v>
      </c>
    </row>
    <row r="3599" spans="1:4" ht="45">
      <c r="A3599" s="47">
        <v>94752</v>
      </c>
      <c r="B3599" s="48" t="s">
        <v>6316</v>
      </c>
      <c r="C3599" s="47" t="s">
        <v>65</v>
      </c>
      <c r="D3599" s="332">
        <v>163.25</v>
      </c>
    </row>
    <row r="3600" spans="1:4" ht="45">
      <c r="A3600" s="28">
        <v>94756</v>
      </c>
      <c r="B3600" s="26" t="s">
        <v>9394</v>
      </c>
      <c r="C3600" s="28" t="s">
        <v>65</v>
      </c>
      <c r="D3600" s="329">
        <v>9.56</v>
      </c>
    </row>
    <row r="3601" spans="1:4" ht="45">
      <c r="A3601" s="47">
        <v>94757</v>
      </c>
      <c r="B3601" s="48" t="s">
        <v>9397</v>
      </c>
      <c r="C3601" s="47" t="s">
        <v>65</v>
      </c>
      <c r="D3601" s="332">
        <v>13.28</v>
      </c>
    </row>
    <row r="3602" spans="1:4" ht="45">
      <c r="A3602" s="28">
        <v>94758</v>
      </c>
      <c r="B3602" s="26" t="s">
        <v>9399</v>
      </c>
      <c r="C3602" s="28" t="s">
        <v>65</v>
      </c>
      <c r="D3602" s="329">
        <v>34.68</v>
      </c>
    </row>
    <row r="3603" spans="1:4" ht="45">
      <c r="A3603" s="47">
        <v>94759</v>
      </c>
      <c r="B3603" s="48" t="s">
        <v>9401</v>
      </c>
      <c r="C3603" s="47" t="s">
        <v>65</v>
      </c>
      <c r="D3603" s="332">
        <v>42.94</v>
      </c>
    </row>
    <row r="3604" spans="1:4" ht="45">
      <c r="A3604" s="28">
        <v>94760</v>
      </c>
      <c r="B3604" s="26" t="s">
        <v>9403</v>
      </c>
      <c r="C3604" s="28" t="s">
        <v>65</v>
      </c>
      <c r="D3604" s="329">
        <v>70.45</v>
      </c>
    </row>
    <row r="3605" spans="1:4" ht="45">
      <c r="A3605" s="47">
        <v>94761</v>
      </c>
      <c r="B3605" s="48" t="s">
        <v>9404</v>
      </c>
      <c r="C3605" s="47" t="s">
        <v>65</v>
      </c>
      <c r="D3605" s="332">
        <v>153.27000000000001</v>
      </c>
    </row>
    <row r="3606" spans="1:4" ht="45">
      <c r="A3606" s="28">
        <v>94762</v>
      </c>
      <c r="B3606" s="26" t="s">
        <v>9406</v>
      </c>
      <c r="C3606" s="28" t="s">
        <v>65</v>
      </c>
      <c r="D3606" s="329">
        <v>195.1</v>
      </c>
    </row>
    <row r="3607" spans="1:4" ht="45">
      <c r="A3607" s="47">
        <v>94783</v>
      </c>
      <c r="B3607" s="48" t="s">
        <v>1489</v>
      </c>
      <c r="C3607" s="47" t="s">
        <v>65</v>
      </c>
      <c r="D3607" s="332">
        <v>15</v>
      </c>
    </row>
    <row r="3608" spans="1:4" ht="45">
      <c r="A3608" s="28">
        <v>94785</v>
      </c>
      <c r="B3608" s="26" t="s">
        <v>1497</v>
      </c>
      <c r="C3608" s="28" t="s">
        <v>65</v>
      </c>
      <c r="D3608" s="329">
        <v>27.24</v>
      </c>
    </row>
    <row r="3609" spans="1:4" ht="45">
      <c r="A3609" s="47">
        <v>94786</v>
      </c>
      <c r="B3609" s="48" t="s">
        <v>1498</v>
      </c>
      <c r="C3609" s="47" t="s">
        <v>65</v>
      </c>
      <c r="D3609" s="332">
        <v>36.229999999999997</v>
      </c>
    </row>
    <row r="3610" spans="1:4" ht="45">
      <c r="A3610" s="28">
        <v>94787</v>
      </c>
      <c r="B3610" s="26" t="s">
        <v>1499</v>
      </c>
      <c r="C3610" s="28" t="s">
        <v>65</v>
      </c>
      <c r="D3610" s="329">
        <v>47.12</v>
      </c>
    </row>
    <row r="3611" spans="1:4" ht="45">
      <c r="A3611" s="47">
        <v>94788</v>
      </c>
      <c r="B3611" s="48" t="s">
        <v>1500</v>
      </c>
      <c r="C3611" s="47" t="s">
        <v>65</v>
      </c>
      <c r="D3611" s="332">
        <v>62.6</v>
      </c>
    </row>
    <row r="3612" spans="1:4" ht="45">
      <c r="A3612" s="28">
        <v>94789</v>
      </c>
      <c r="B3612" s="26" t="s">
        <v>1501</v>
      </c>
      <c r="C3612" s="28" t="s">
        <v>65</v>
      </c>
      <c r="D3612" s="329">
        <v>199.84</v>
      </c>
    </row>
    <row r="3613" spans="1:4" ht="45">
      <c r="A3613" s="47">
        <v>94790</v>
      </c>
      <c r="B3613" s="48" t="s">
        <v>1502</v>
      </c>
      <c r="C3613" s="47" t="s">
        <v>65</v>
      </c>
      <c r="D3613" s="332">
        <v>263.93</v>
      </c>
    </row>
    <row r="3614" spans="1:4" ht="45">
      <c r="A3614" s="28">
        <v>94791</v>
      </c>
      <c r="B3614" s="26" t="s">
        <v>1496</v>
      </c>
      <c r="C3614" s="28" t="s">
        <v>65</v>
      </c>
      <c r="D3614" s="329">
        <v>394.6</v>
      </c>
    </row>
    <row r="3615" spans="1:4" ht="45">
      <c r="A3615" s="47">
        <v>94863</v>
      </c>
      <c r="B3615" s="48" t="s">
        <v>7136</v>
      </c>
      <c r="C3615" s="47" t="s">
        <v>65</v>
      </c>
      <c r="D3615" s="332">
        <v>110.49</v>
      </c>
    </row>
    <row r="3616" spans="1:4" ht="45">
      <c r="A3616" s="28">
        <v>95141</v>
      </c>
      <c r="B3616" s="26" t="s">
        <v>1495</v>
      </c>
      <c r="C3616" s="28" t="s">
        <v>65</v>
      </c>
      <c r="D3616" s="329">
        <v>24.05</v>
      </c>
    </row>
    <row r="3617" spans="1:4" ht="30">
      <c r="A3617" s="47">
        <v>95237</v>
      </c>
      <c r="B3617" s="48" t="s">
        <v>6799</v>
      </c>
      <c r="C3617" s="47" t="s">
        <v>65</v>
      </c>
      <c r="D3617" s="332">
        <v>18.760000000000002</v>
      </c>
    </row>
    <row r="3618" spans="1:4" ht="30">
      <c r="A3618" s="28">
        <v>95693</v>
      </c>
      <c r="B3618" s="26" t="s">
        <v>11059</v>
      </c>
      <c r="C3618" s="28" t="s">
        <v>65</v>
      </c>
      <c r="D3618" s="329">
        <v>40.619999999999997</v>
      </c>
    </row>
    <row r="3619" spans="1:4" ht="30">
      <c r="A3619" s="47">
        <v>95694</v>
      </c>
      <c r="B3619" s="48" t="s">
        <v>11060</v>
      </c>
      <c r="C3619" s="47" t="s">
        <v>65</v>
      </c>
      <c r="D3619" s="332">
        <v>52.7</v>
      </c>
    </row>
    <row r="3620" spans="1:4" ht="30">
      <c r="A3620" s="28">
        <v>95695</v>
      </c>
      <c r="B3620" s="26" t="s">
        <v>11061</v>
      </c>
      <c r="C3620" s="28" t="s">
        <v>65</v>
      </c>
      <c r="D3620" s="329">
        <v>51.49</v>
      </c>
    </row>
    <row r="3621" spans="1:4" ht="30">
      <c r="A3621" s="47">
        <v>95696</v>
      </c>
      <c r="B3621" s="48" t="s">
        <v>11062</v>
      </c>
      <c r="C3621" s="47" t="s">
        <v>65</v>
      </c>
      <c r="D3621" s="332">
        <v>26.05</v>
      </c>
    </row>
    <row r="3622" spans="1:4">
      <c r="A3622" s="28">
        <v>6171</v>
      </c>
      <c r="B3622" s="26" t="s">
        <v>725</v>
      </c>
      <c r="C3622" s="28" t="s">
        <v>65</v>
      </c>
      <c r="D3622" s="329">
        <v>21.59</v>
      </c>
    </row>
    <row r="3623" spans="1:4">
      <c r="A3623" s="47">
        <v>72289</v>
      </c>
      <c r="B3623" s="48" t="s">
        <v>726</v>
      </c>
      <c r="C3623" s="47" t="s">
        <v>65</v>
      </c>
      <c r="D3623" s="332">
        <v>292.67</v>
      </c>
    </row>
    <row r="3624" spans="1:4">
      <c r="A3624" s="28">
        <v>72290</v>
      </c>
      <c r="B3624" s="26" t="s">
        <v>727</v>
      </c>
      <c r="C3624" s="28" t="s">
        <v>65</v>
      </c>
      <c r="D3624" s="329">
        <v>330.5</v>
      </c>
    </row>
    <row r="3625" spans="1:4" ht="30">
      <c r="A3625" s="47" t="s">
        <v>728</v>
      </c>
      <c r="B3625" s="48" t="s">
        <v>3041</v>
      </c>
      <c r="C3625" s="47" t="s">
        <v>65</v>
      </c>
      <c r="D3625" s="332">
        <v>195.16</v>
      </c>
    </row>
    <row r="3626" spans="1:4" ht="30">
      <c r="A3626" s="28" t="s">
        <v>729</v>
      </c>
      <c r="B3626" s="26" t="s">
        <v>3043</v>
      </c>
      <c r="C3626" s="28" t="s">
        <v>65</v>
      </c>
      <c r="D3626" s="329">
        <v>121.38</v>
      </c>
    </row>
    <row r="3627" spans="1:4" ht="60">
      <c r="A3627" s="47" t="s">
        <v>730</v>
      </c>
      <c r="B3627" s="48" t="s">
        <v>3048</v>
      </c>
      <c r="C3627" s="47" t="s">
        <v>65</v>
      </c>
      <c r="D3627" s="332">
        <v>121.16</v>
      </c>
    </row>
    <row r="3628" spans="1:4" ht="30">
      <c r="A3628" s="28" t="s">
        <v>731</v>
      </c>
      <c r="B3628" s="26" t="s">
        <v>3050</v>
      </c>
      <c r="C3628" s="28" t="s">
        <v>65</v>
      </c>
      <c r="D3628" s="329">
        <v>193.5</v>
      </c>
    </row>
    <row r="3629" spans="1:4" ht="45">
      <c r="A3629" s="47" t="s">
        <v>732</v>
      </c>
      <c r="B3629" s="48" t="s">
        <v>3049</v>
      </c>
      <c r="C3629" s="47" t="s">
        <v>65</v>
      </c>
      <c r="D3629" s="332">
        <v>225.4</v>
      </c>
    </row>
    <row r="3630" spans="1:4">
      <c r="A3630" s="28">
        <v>88503</v>
      </c>
      <c r="B3630" s="26" t="s">
        <v>3027</v>
      </c>
      <c r="C3630" s="28" t="s">
        <v>65</v>
      </c>
      <c r="D3630" s="329">
        <v>679.93</v>
      </c>
    </row>
    <row r="3631" spans="1:4">
      <c r="A3631" s="47">
        <v>88504</v>
      </c>
      <c r="B3631" s="48" t="s">
        <v>3028</v>
      </c>
      <c r="C3631" s="47" t="s">
        <v>65</v>
      </c>
      <c r="D3631" s="332">
        <v>545.08000000000004</v>
      </c>
    </row>
    <row r="3632" spans="1:4" ht="30">
      <c r="A3632" s="28">
        <v>89482</v>
      </c>
      <c r="B3632" s="26" t="s">
        <v>3139</v>
      </c>
      <c r="C3632" s="28" t="s">
        <v>65</v>
      </c>
      <c r="D3632" s="329">
        <v>16.32</v>
      </c>
    </row>
    <row r="3633" spans="1:4" ht="30">
      <c r="A3633" s="47">
        <v>89491</v>
      </c>
      <c r="B3633" s="48" t="s">
        <v>3141</v>
      </c>
      <c r="C3633" s="47" t="s">
        <v>65</v>
      </c>
      <c r="D3633" s="332">
        <v>38.880000000000003</v>
      </c>
    </row>
    <row r="3634" spans="1:4" ht="30">
      <c r="A3634" s="28">
        <v>89495</v>
      </c>
      <c r="B3634" s="26" t="s">
        <v>8532</v>
      </c>
      <c r="C3634" s="28" t="s">
        <v>65</v>
      </c>
      <c r="D3634" s="329">
        <v>6.33</v>
      </c>
    </row>
    <row r="3635" spans="1:4" ht="30">
      <c r="A3635" s="47">
        <v>89707</v>
      </c>
      <c r="B3635" s="48" t="s">
        <v>3140</v>
      </c>
      <c r="C3635" s="47" t="s">
        <v>65</v>
      </c>
      <c r="D3635" s="332">
        <v>19.96</v>
      </c>
    </row>
    <row r="3636" spans="1:4" ht="30">
      <c r="A3636" s="28">
        <v>89708</v>
      </c>
      <c r="B3636" s="26" t="s">
        <v>3142</v>
      </c>
      <c r="C3636" s="28" t="s">
        <v>65</v>
      </c>
      <c r="D3636" s="329">
        <v>43.86</v>
      </c>
    </row>
    <row r="3637" spans="1:4" ht="30">
      <c r="A3637" s="47">
        <v>89709</v>
      </c>
      <c r="B3637" s="48" t="s">
        <v>8533</v>
      </c>
      <c r="C3637" s="47" t="s">
        <v>65</v>
      </c>
      <c r="D3637" s="332">
        <v>7.4</v>
      </c>
    </row>
    <row r="3638" spans="1:4" ht="30">
      <c r="A3638" s="28">
        <v>89710</v>
      </c>
      <c r="B3638" s="26" t="s">
        <v>8528</v>
      </c>
      <c r="C3638" s="28" t="s">
        <v>65</v>
      </c>
      <c r="D3638" s="329">
        <v>7.26</v>
      </c>
    </row>
    <row r="3639" spans="1:4" ht="45">
      <c r="A3639" s="47">
        <v>72739</v>
      </c>
      <c r="B3639" s="48" t="s">
        <v>10741</v>
      </c>
      <c r="C3639" s="47" t="s">
        <v>65</v>
      </c>
      <c r="D3639" s="332">
        <v>382</v>
      </c>
    </row>
    <row r="3640" spans="1:4" ht="45">
      <c r="A3640" s="28" t="s">
        <v>733</v>
      </c>
      <c r="B3640" s="26" t="s">
        <v>7386</v>
      </c>
      <c r="C3640" s="28" t="s">
        <v>65</v>
      </c>
      <c r="D3640" s="329">
        <v>410.83</v>
      </c>
    </row>
    <row r="3641" spans="1:4" ht="30">
      <c r="A3641" s="47">
        <v>86872</v>
      </c>
      <c r="B3641" s="48" t="s">
        <v>9186</v>
      </c>
      <c r="C3641" s="47" t="s">
        <v>65</v>
      </c>
      <c r="D3641" s="332">
        <v>495.32</v>
      </c>
    </row>
    <row r="3642" spans="1:4" ht="30">
      <c r="A3642" s="28">
        <v>86874</v>
      </c>
      <c r="B3642" s="26" t="s">
        <v>9190</v>
      </c>
      <c r="C3642" s="28" t="s">
        <v>65</v>
      </c>
      <c r="D3642" s="329">
        <v>301.56</v>
      </c>
    </row>
    <row r="3643" spans="1:4" ht="30">
      <c r="A3643" s="47">
        <v>86875</v>
      </c>
      <c r="B3643" s="48" t="s">
        <v>9194</v>
      </c>
      <c r="C3643" s="47" t="s">
        <v>65</v>
      </c>
      <c r="D3643" s="332">
        <v>282.44</v>
      </c>
    </row>
    <row r="3644" spans="1:4" ht="30">
      <c r="A3644" s="28">
        <v>86876</v>
      </c>
      <c r="B3644" s="26" t="s">
        <v>9197</v>
      </c>
      <c r="C3644" s="28" t="s">
        <v>65</v>
      </c>
      <c r="D3644" s="329">
        <v>156.07</v>
      </c>
    </row>
    <row r="3645" spans="1:4" ht="30">
      <c r="A3645" s="47">
        <v>86877</v>
      </c>
      <c r="B3645" s="48" t="s">
        <v>10723</v>
      </c>
      <c r="C3645" s="47" t="s">
        <v>65</v>
      </c>
      <c r="D3645" s="332">
        <v>22.08</v>
      </c>
    </row>
    <row r="3646" spans="1:4" ht="30">
      <c r="A3646" s="28">
        <v>86878</v>
      </c>
      <c r="B3646" s="26" t="s">
        <v>10727</v>
      </c>
      <c r="C3646" s="28" t="s">
        <v>65</v>
      </c>
      <c r="D3646" s="329">
        <v>40.19</v>
      </c>
    </row>
    <row r="3647" spans="1:4" ht="30">
      <c r="A3647" s="47">
        <v>86879</v>
      </c>
      <c r="B3647" s="48" t="s">
        <v>10728</v>
      </c>
      <c r="C3647" s="47" t="s">
        <v>65</v>
      </c>
      <c r="D3647" s="332">
        <v>4.71</v>
      </c>
    </row>
    <row r="3648" spans="1:4" ht="30">
      <c r="A3648" s="28">
        <v>86880</v>
      </c>
      <c r="B3648" s="26" t="s">
        <v>10734</v>
      </c>
      <c r="C3648" s="28" t="s">
        <v>65</v>
      </c>
      <c r="D3648" s="329">
        <v>13</v>
      </c>
    </row>
    <row r="3649" spans="1:4" ht="30">
      <c r="A3649" s="47">
        <v>86881</v>
      </c>
      <c r="B3649" s="48" t="s">
        <v>9025</v>
      </c>
      <c r="C3649" s="47" t="s">
        <v>65</v>
      </c>
      <c r="D3649" s="332">
        <v>112.99</v>
      </c>
    </row>
    <row r="3650" spans="1:4" ht="30">
      <c r="A3650" s="28">
        <v>86882</v>
      </c>
      <c r="B3650" s="26" t="s">
        <v>9026</v>
      </c>
      <c r="C3650" s="28" t="s">
        <v>65</v>
      </c>
      <c r="D3650" s="329">
        <v>13.47</v>
      </c>
    </row>
    <row r="3651" spans="1:4">
      <c r="A3651" s="47">
        <v>86883</v>
      </c>
      <c r="B3651" s="48" t="s">
        <v>9024</v>
      </c>
      <c r="C3651" s="47" t="s">
        <v>65</v>
      </c>
      <c r="D3651" s="332">
        <v>7.69</v>
      </c>
    </row>
    <row r="3652" spans="1:4" ht="30">
      <c r="A3652" s="28">
        <v>86884</v>
      </c>
      <c r="B3652" s="26" t="s">
        <v>5013</v>
      </c>
      <c r="C3652" s="28" t="s">
        <v>65</v>
      </c>
      <c r="D3652" s="329">
        <v>5.79</v>
      </c>
    </row>
    <row r="3653" spans="1:4" ht="30">
      <c r="A3653" s="47">
        <v>86885</v>
      </c>
      <c r="B3653" s="48" t="s">
        <v>5014</v>
      </c>
      <c r="C3653" s="47" t="s">
        <v>65</v>
      </c>
      <c r="D3653" s="332">
        <v>7.48</v>
      </c>
    </row>
    <row r="3654" spans="1:4">
      <c r="A3654" s="28">
        <v>86886</v>
      </c>
      <c r="B3654" s="26" t="s">
        <v>5011</v>
      </c>
      <c r="C3654" s="28" t="s">
        <v>65</v>
      </c>
      <c r="D3654" s="329">
        <v>27.75</v>
      </c>
    </row>
    <row r="3655" spans="1:4">
      <c r="A3655" s="47">
        <v>86887</v>
      </c>
      <c r="B3655" s="48" t="s">
        <v>5012</v>
      </c>
      <c r="C3655" s="47" t="s">
        <v>65</v>
      </c>
      <c r="D3655" s="332">
        <v>30.08</v>
      </c>
    </row>
    <row r="3656" spans="1:4" ht="30">
      <c r="A3656" s="28">
        <v>86888</v>
      </c>
      <c r="B3656" s="26" t="s">
        <v>11063</v>
      </c>
      <c r="C3656" s="28" t="s">
        <v>65</v>
      </c>
      <c r="D3656" s="329">
        <v>315.35000000000002</v>
      </c>
    </row>
    <row r="3657" spans="1:4" ht="30">
      <c r="A3657" s="47">
        <v>86889</v>
      </c>
      <c r="B3657" s="48" t="s">
        <v>2405</v>
      </c>
      <c r="C3657" s="47" t="s">
        <v>65</v>
      </c>
      <c r="D3657" s="332">
        <v>294.81</v>
      </c>
    </row>
    <row r="3658" spans="1:4" ht="30">
      <c r="A3658" s="28">
        <v>86893</v>
      </c>
      <c r="B3658" s="26" t="s">
        <v>2407</v>
      </c>
      <c r="C3658" s="28" t="s">
        <v>65</v>
      </c>
      <c r="D3658" s="329">
        <v>310.69</v>
      </c>
    </row>
    <row r="3659" spans="1:4" ht="30">
      <c r="A3659" s="47">
        <v>86894</v>
      </c>
      <c r="B3659" s="48" t="s">
        <v>2408</v>
      </c>
      <c r="C3659" s="47" t="s">
        <v>65</v>
      </c>
      <c r="D3659" s="332">
        <v>214.3</v>
      </c>
    </row>
    <row r="3660" spans="1:4" ht="30">
      <c r="A3660" s="28">
        <v>86895</v>
      </c>
      <c r="B3660" s="26" t="s">
        <v>2404</v>
      </c>
      <c r="C3660" s="28" t="s">
        <v>65</v>
      </c>
      <c r="D3660" s="329">
        <v>164.35</v>
      </c>
    </row>
    <row r="3661" spans="1:4" ht="30">
      <c r="A3661" s="47">
        <v>86899</v>
      </c>
      <c r="B3661" s="48" t="s">
        <v>2406</v>
      </c>
      <c r="C3661" s="47" t="s">
        <v>65</v>
      </c>
      <c r="D3661" s="332">
        <v>170.3</v>
      </c>
    </row>
    <row r="3662" spans="1:4">
      <c r="A3662" s="28">
        <v>86900</v>
      </c>
      <c r="B3662" s="26" t="s">
        <v>4224</v>
      </c>
      <c r="C3662" s="28" t="s">
        <v>65</v>
      </c>
      <c r="D3662" s="329">
        <v>117.75</v>
      </c>
    </row>
    <row r="3663" spans="1:4" ht="30">
      <c r="A3663" s="47">
        <v>86901</v>
      </c>
      <c r="B3663" s="48" t="s">
        <v>4227</v>
      </c>
      <c r="C3663" s="47" t="s">
        <v>65</v>
      </c>
      <c r="D3663" s="332">
        <v>97.87</v>
      </c>
    </row>
    <row r="3664" spans="1:4" ht="30">
      <c r="A3664" s="28">
        <v>86902</v>
      </c>
      <c r="B3664" s="26" t="s">
        <v>6707</v>
      </c>
      <c r="C3664" s="28" t="s">
        <v>65</v>
      </c>
      <c r="D3664" s="329">
        <v>140.88999999999999</v>
      </c>
    </row>
    <row r="3665" spans="1:4" ht="30">
      <c r="A3665" s="47">
        <v>86903</v>
      </c>
      <c r="B3665" s="48" t="s">
        <v>6709</v>
      </c>
      <c r="C3665" s="47" t="s">
        <v>65</v>
      </c>
      <c r="D3665" s="332">
        <v>199.09</v>
      </c>
    </row>
    <row r="3666" spans="1:4" ht="30">
      <c r="A3666" s="28">
        <v>86904</v>
      </c>
      <c r="B3666" s="26" t="s">
        <v>6713</v>
      </c>
      <c r="C3666" s="28" t="s">
        <v>65</v>
      </c>
      <c r="D3666" s="329">
        <v>80.58</v>
      </c>
    </row>
    <row r="3667" spans="1:4" ht="30">
      <c r="A3667" s="47">
        <v>86905</v>
      </c>
      <c r="B3667" s="48" t="s">
        <v>1885</v>
      </c>
      <c r="C3667" s="47" t="s">
        <v>65</v>
      </c>
      <c r="D3667" s="332">
        <v>184.29</v>
      </c>
    </row>
    <row r="3668" spans="1:4" ht="30">
      <c r="A3668" s="28">
        <v>86906</v>
      </c>
      <c r="B3668" s="26" t="s">
        <v>9770</v>
      </c>
      <c r="C3668" s="28" t="s">
        <v>65</v>
      </c>
      <c r="D3668" s="329">
        <v>43.12</v>
      </c>
    </row>
    <row r="3669" spans="1:4" ht="30">
      <c r="A3669" s="47">
        <v>86908</v>
      </c>
      <c r="B3669" s="48" t="s">
        <v>1886</v>
      </c>
      <c r="C3669" s="47" t="s">
        <v>65</v>
      </c>
      <c r="D3669" s="332">
        <v>221.47</v>
      </c>
    </row>
    <row r="3670" spans="1:4" ht="30">
      <c r="A3670" s="28">
        <v>86909</v>
      </c>
      <c r="B3670" s="26" t="s">
        <v>9779</v>
      </c>
      <c r="C3670" s="28" t="s">
        <v>65</v>
      </c>
      <c r="D3670" s="329">
        <v>86.2</v>
      </c>
    </row>
    <row r="3671" spans="1:4" ht="30">
      <c r="A3671" s="47">
        <v>86910</v>
      </c>
      <c r="B3671" s="48" t="s">
        <v>9780</v>
      </c>
      <c r="C3671" s="47" t="s">
        <v>65</v>
      </c>
      <c r="D3671" s="332">
        <v>82.45</v>
      </c>
    </row>
    <row r="3672" spans="1:4" ht="30">
      <c r="A3672" s="28">
        <v>86911</v>
      </c>
      <c r="B3672" s="26" t="s">
        <v>734</v>
      </c>
      <c r="C3672" s="28" t="s">
        <v>65</v>
      </c>
      <c r="D3672" s="329">
        <v>36.53</v>
      </c>
    </row>
    <row r="3673" spans="1:4" ht="30">
      <c r="A3673" s="47">
        <v>86912</v>
      </c>
      <c r="B3673" s="48" t="s">
        <v>9776</v>
      </c>
      <c r="C3673" s="47" t="s">
        <v>65</v>
      </c>
      <c r="D3673" s="332">
        <v>36.53</v>
      </c>
    </row>
    <row r="3674" spans="1:4" ht="30">
      <c r="A3674" s="28">
        <v>86913</v>
      </c>
      <c r="B3674" s="26" t="s">
        <v>9760</v>
      </c>
      <c r="C3674" s="28" t="s">
        <v>65</v>
      </c>
      <c r="D3674" s="329">
        <v>16.16</v>
      </c>
    </row>
    <row r="3675" spans="1:4" ht="30">
      <c r="A3675" s="47">
        <v>86914</v>
      </c>
      <c r="B3675" s="48" t="s">
        <v>735</v>
      </c>
      <c r="C3675" s="47" t="s">
        <v>65</v>
      </c>
      <c r="D3675" s="332">
        <v>33.14</v>
      </c>
    </row>
    <row r="3676" spans="1:4" ht="30">
      <c r="A3676" s="28">
        <v>86915</v>
      </c>
      <c r="B3676" s="26" t="s">
        <v>9769</v>
      </c>
      <c r="C3676" s="28" t="s">
        <v>65</v>
      </c>
      <c r="D3676" s="329">
        <v>72.650000000000006</v>
      </c>
    </row>
    <row r="3677" spans="1:4">
      <c r="A3677" s="47">
        <v>86916</v>
      </c>
      <c r="B3677" s="48" t="s">
        <v>9801</v>
      </c>
      <c r="C3677" s="47" t="s">
        <v>65</v>
      </c>
      <c r="D3677" s="332">
        <v>22.33</v>
      </c>
    </row>
    <row r="3678" spans="1:4" ht="45">
      <c r="A3678" s="28">
        <v>86919</v>
      </c>
      <c r="B3678" s="26" t="s">
        <v>9187</v>
      </c>
      <c r="C3678" s="28" t="s">
        <v>65</v>
      </c>
      <c r="D3678" s="329">
        <v>558.25</v>
      </c>
    </row>
    <row r="3679" spans="1:4" ht="45">
      <c r="A3679" s="47">
        <v>86920</v>
      </c>
      <c r="B3679" s="48" t="s">
        <v>9188</v>
      </c>
      <c r="C3679" s="47" t="s">
        <v>65</v>
      </c>
      <c r="D3679" s="332">
        <v>523.89</v>
      </c>
    </row>
    <row r="3680" spans="1:4" ht="45">
      <c r="A3680" s="28">
        <v>86921</v>
      </c>
      <c r="B3680" s="26" t="s">
        <v>9189</v>
      </c>
      <c r="C3680" s="28" t="s">
        <v>65</v>
      </c>
      <c r="D3680" s="329">
        <v>530.05999999999995</v>
      </c>
    </row>
    <row r="3681" spans="1:4" ht="45">
      <c r="A3681" s="47">
        <v>86922</v>
      </c>
      <c r="B3681" s="48" t="s">
        <v>9191</v>
      </c>
      <c r="C3681" s="47" t="s">
        <v>65</v>
      </c>
      <c r="D3681" s="332">
        <v>469.8</v>
      </c>
    </row>
    <row r="3682" spans="1:4" ht="45">
      <c r="A3682" s="28">
        <v>86923</v>
      </c>
      <c r="B3682" s="26" t="s">
        <v>9192</v>
      </c>
      <c r="C3682" s="28" t="s">
        <v>65</v>
      </c>
      <c r="D3682" s="329">
        <v>335.91</v>
      </c>
    </row>
    <row r="3683" spans="1:4" ht="45">
      <c r="A3683" s="47">
        <v>86924</v>
      </c>
      <c r="B3683" s="48" t="s">
        <v>9193</v>
      </c>
      <c r="C3683" s="47" t="s">
        <v>65</v>
      </c>
      <c r="D3683" s="332">
        <v>342.08</v>
      </c>
    </row>
    <row r="3684" spans="1:4" ht="45">
      <c r="A3684" s="28">
        <v>86925</v>
      </c>
      <c r="B3684" s="26" t="s">
        <v>9195</v>
      </c>
      <c r="C3684" s="28" t="s">
        <v>65</v>
      </c>
      <c r="D3684" s="329">
        <v>311.01</v>
      </c>
    </row>
    <row r="3685" spans="1:4" ht="45">
      <c r="A3685" s="47">
        <v>86926</v>
      </c>
      <c r="B3685" s="48" t="s">
        <v>9196</v>
      </c>
      <c r="C3685" s="47" t="s">
        <v>65</v>
      </c>
      <c r="D3685" s="332">
        <v>317.18</v>
      </c>
    </row>
    <row r="3686" spans="1:4" ht="45">
      <c r="A3686" s="28">
        <v>86927</v>
      </c>
      <c r="B3686" s="26" t="s">
        <v>9200</v>
      </c>
      <c r="C3686" s="28" t="s">
        <v>65</v>
      </c>
      <c r="D3686" s="329">
        <v>190.43</v>
      </c>
    </row>
    <row r="3687" spans="1:4" ht="45">
      <c r="A3687" s="47">
        <v>86928</v>
      </c>
      <c r="B3687" s="48" t="s">
        <v>9201</v>
      </c>
      <c r="C3687" s="47" t="s">
        <v>65</v>
      </c>
      <c r="D3687" s="332">
        <v>196.59</v>
      </c>
    </row>
    <row r="3688" spans="1:4" ht="45">
      <c r="A3688" s="28">
        <v>86929</v>
      </c>
      <c r="B3688" s="26" t="s">
        <v>9198</v>
      </c>
      <c r="C3688" s="28" t="s">
        <v>65</v>
      </c>
      <c r="D3688" s="329">
        <v>184.65</v>
      </c>
    </row>
    <row r="3689" spans="1:4" ht="45">
      <c r="A3689" s="47">
        <v>86930</v>
      </c>
      <c r="B3689" s="48" t="s">
        <v>9199</v>
      </c>
      <c r="C3689" s="47" t="s">
        <v>65</v>
      </c>
      <c r="D3689" s="332">
        <v>190.81</v>
      </c>
    </row>
    <row r="3690" spans="1:4" ht="30">
      <c r="A3690" s="28">
        <v>86931</v>
      </c>
      <c r="B3690" s="26" t="s">
        <v>11064</v>
      </c>
      <c r="C3690" s="28" t="s">
        <v>65</v>
      </c>
      <c r="D3690" s="329">
        <v>322.83</v>
      </c>
    </row>
    <row r="3691" spans="1:4" ht="45">
      <c r="A3691" s="47">
        <v>86932</v>
      </c>
      <c r="B3691" s="48" t="s">
        <v>10742</v>
      </c>
      <c r="C3691" s="47" t="s">
        <v>65</v>
      </c>
      <c r="D3691" s="332">
        <v>345.43</v>
      </c>
    </row>
    <row r="3692" spans="1:4" ht="60">
      <c r="A3692" s="28">
        <v>86933</v>
      </c>
      <c r="B3692" s="26" t="s">
        <v>2410</v>
      </c>
      <c r="C3692" s="28" t="s">
        <v>65</v>
      </c>
      <c r="D3692" s="329">
        <v>277.31</v>
      </c>
    </row>
    <row r="3693" spans="1:4" ht="60">
      <c r="A3693" s="47">
        <v>86934</v>
      </c>
      <c r="B3693" s="48" t="s">
        <v>2409</v>
      </c>
      <c r="C3693" s="47" t="s">
        <v>65</v>
      </c>
      <c r="D3693" s="332">
        <v>271.52999999999997</v>
      </c>
    </row>
    <row r="3694" spans="1:4" ht="30">
      <c r="A3694" s="28">
        <v>86935</v>
      </c>
      <c r="B3694" s="26" t="s">
        <v>4226</v>
      </c>
      <c r="C3694" s="28" t="s">
        <v>65</v>
      </c>
      <c r="D3694" s="329">
        <v>165.64</v>
      </c>
    </row>
    <row r="3695" spans="1:4" ht="30">
      <c r="A3695" s="47">
        <v>86936</v>
      </c>
      <c r="B3695" s="48" t="s">
        <v>4225</v>
      </c>
      <c r="C3695" s="47" t="s">
        <v>65</v>
      </c>
      <c r="D3695" s="332">
        <v>270.94</v>
      </c>
    </row>
    <row r="3696" spans="1:4" ht="45">
      <c r="A3696" s="28">
        <v>86937</v>
      </c>
      <c r="B3696" s="26" t="s">
        <v>4229</v>
      </c>
      <c r="C3696" s="28" t="s">
        <v>65</v>
      </c>
      <c r="D3696" s="329">
        <v>127.65</v>
      </c>
    </row>
    <row r="3697" spans="1:4" ht="45">
      <c r="A3697" s="47">
        <v>86938</v>
      </c>
      <c r="B3697" s="48" t="s">
        <v>4228</v>
      </c>
      <c r="C3697" s="47" t="s">
        <v>65</v>
      </c>
      <c r="D3697" s="332">
        <v>232.95</v>
      </c>
    </row>
    <row r="3698" spans="1:4" ht="45">
      <c r="A3698" s="28">
        <v>86939</v>
      </c>
      <c r="B3698" s="26" t="s">
        <v>6708</v>
      </c>
      <c r="C3698" s="28" t="s">
        <v>65</v>
      </c>
      <c r="D3698" s="329">
        <v>202.21</v>
      </c>
    </row>
    <row r="3699" spans="1:4" ht="60">
      <c r="A3699" s="47">
        <v>86940</v>
      </c>
      <c r="B3699" s="48" t="s">
        <v>6710</v>
      </c>
      <c r="C3699" s="47" t="s">
        <v>65</v>
      </c>
      <c r="D3699" s="332">
        <v>578.63</v>
      </c>
    </row>
    <row r="3700" spans="1:4" ht="60">
      <c r="A3700" s="28">
        <v>86941</v>
      </c>
      <c r="B3700" s="26" t="s">
        <v>6711</v>
      </c>
      <c r="C3700" s="28" t="s">
        <v>65</v>
      </c>
      <c r="D3700" s="329">
        <v>436.91</v>
      </c>
    </row>
    <row r="3701" spans="1:4" ht="60">
      <c r="A3701" s="47">
        <v>86942</v>
      </c>
      <c r="B3701" s="48" t="s">
        <v>6715</v>
      </c>
      <c r="C3701" s="47" t="s">
        <v>65</v>
      </c>
      <c r="D3701" s="332">
        <v>147.68</v>
      </c>
    </row>
    <row r="3702" spans="1:4" ht="60">
      <c r="A3702" s="28">
        <v>86943</v>
      </c>
      <c r="B3702" s="26" t="s">
        <v>6714</v>
      </c>
      <c r="C3702" s="28" t="s">
        <v>65</v>
      </c>
      <c r="D3702" s="329">
        <v>141.9</v>
      </c>
    </row>
    <row r="3703" spans="1:4" ht="60">
      <c r="A3703" s="47">
        <v>86947</v>
      </c>
      <c r="B3703" s="48" t="s">
        <v>2415</v>
      </c>
      <c r="C3703" s="47" t="s">
        <v>65</v>
      </c>
      <c r="D3703" s="332">
        <v>647.72</v>
      </c>
    </row>
    <row r="3704" spans="1:4" ht="30">
      <c r="A3704" s="28">
        <v>88571</v>
      </c>
      <c r="B3704" s="26" t="s">
        <v>8979</v>
      </c>
      <c r="C3704" s="28" t="s">
        <v>65</v>
      </c>
      <c r="D3704" s="329">
        <v>32.08</v>
      </c>
    </row>
    <row r="3705" spans="1:4" ht="60">
      <c r="A3705" s="47">
        <v>93396</v>
      </c>
      <c r="B3705" s="48" t="s">
        <v>2414</v>
      </c>
      <c r="C3705" s="47" t="s">
        <v>65</v>
      </c>
      <c r="D3705" s="332">
        <v>340.92</v>
      </c>
    </row>
    <row r="3706" spans="1:4" ht="60">
      <c r="A3706" s="28">
        <v>93441</v>
      </c>
      <c r="B3706" s="26" t="s">
        <v>2403</v>
      </c>
      <c r="C3706" s="28" t="s">
        <v>65</v>
      </c>
      <c r="D3706" s="329">
        <v>502.78</v>
      </c>
    </row>
    <row r="3707" spans="1:4" ht="60">
      <c r="A3707" s="47">
        <v>93442</v>
      </c>
      <c r="B3707" s="48" t="s">
        <v>2416</v>
      </c>
      <c r="C3707" s="47" t="s">
        <v>65</v>
      </c>
      <c r="D3707" s="332">
        <v>673.63</v>
      </c>
    </row>
    <row r="3708" spans="1:4" ht="30">
      <c r="A3708" s="28">
        <v>95469</v>
      </c>
      <c r="B3708" s="26" t="s">
        <v>11065</v>
      </c>
      <c r="C3708" s="28" t="s">
        <v>65</v>
      </c>
      <c r="D3708" s="329">
        <v>146.96</v>
      </c>
    </row>
    <row r="3709" spans="1:4" ht="30">
      <c r="A3709" s="47">
        <v>95470</v>
      </c>
      <c r="B3709" s="48" t="s">
        <v>11066</v>
      </c>
      <c r="C3709" s="47" t="s">
        <v>65</v>
      </c>
      <c r="D3709" s="332">
        <v>151.87</v>
      </c>
    </row>
    <row r="3710" spans="1:4" ht="30">
      <c r="A3710" s="28">
        <v>95471</v>
      </c>
      <c r="B3710" s="26" t="s">
        <v>11067</v>
      </c>
      <c r="C3710" s="28" t="s">
        <v>65</v>
      </c>
      <c r="D3710" s="329">
        <v>549.36</v>
      </c>
    </row>
    <row r="3711" spans="1:4" ht="45">
      <c r="A3711" s="47">
        <v>95472</v>
      </c>
      <c r="B3711" s="48" t="s">
        <v>11068</v>
      </c>
      <c r="C3711" s="47" t="s">
        <v>65</v>
      </c>
      <c r="D3711" s="332">
        <v>554.26</v>
      </c>
    </row>
    <row r="3712" spans="1:4">
      <c r="A3712" s="28">
        <v>95542</v>
      </c>
      <c r="B3712" s="26" t="s">
        <v>11069</v>
      </c>
      <c r="C3712" s="28" t="s">
        <v>65</v>
      </c>
      <c r="D3712" s="329">
        <v>16.27</v>
      </c>
    </row>
    <row r="3713" spans="1:4">
      <c r="A3713" s="47">
        <v>95543</v>
      </c>
      <c r="B3713" s="48" t="s">
        <v>11070</v>
      </c>
      <c r="C3713" s="47" t="s">
        <v>65</v>
      </c>
      <c r="D3713" s="332">
        <v>26.68</v>
      </c>
    </row>
    <row r="3714" spans="1:4">
      <c r="A3714" s="28">
        <v>95544</v>
      </c>
      <c r="B3714" s="26" t="s">
        <v>11071</v>
      </c>
      <c r="C3714" s="28" t="s">
        <v>65</v>
      </c>
      <c r="D3714" s="329">
        <v>20.36</v>
      </c>
    </row>
    <row r="3715" spans="1:4">
      <c r="A3715" s="47">
        <v>95545</v>
      </c>
      <c r="B3715" s="48" t="s">
        <v>11072</v>
      </c>
      <c r="C3715" s="47" t="s">
        <v>65</v>
      </c>
      <c r="D3715" s="332">
        <v>19.920000000000002</v>
      </c>
    </row>
    <row r="3716" spans="1:4" ht="30">
      <c r="A3716" s="28">
        <v>95546</v>
      </c>
      <c r="B3716" s="26" t="s">
        <v>11073</v>
      </c>
      <c r="C3716" s="28" t="s">
        <v>65</v>
      </c>
      <c r="D3716" s="329">
        <v>62.73</v>
      </c>
    </row>
    <row r="3717" spans="1:4" ht="30">
      <c r="A3717" s="47">
        <v>95547</v>
      </c>
      <c r="B3717" s="48" t="s">
        <v>11074</v>
      </c>
      <c r="C3717" s="47" t="s">
        <v>65</v>
      </c>
      <c r="D3717" s="332">
        <v>51.04</v>
      </c>
    </row>
    <row r="3718" spans="1:4">
      <c r="A3718" s="28">
        <v>6087</v>
      </c>
      <c r="B3718" s="26" t="s">
        <v>9128</v>
      </c>
      <c r="C3718" s="28" t="s">
        <v>65</v>
      </c>
      <c r="D3718" s="329">
        <v>21.47</v>
      </c>
    </row>
    <row r="3719" spans="1:4" ht="30">
      <c r="A3719" s="47" t="s">
        <v>736</v>
      </c>
      <c r="B3719" s="48" t="s">
        <v>9082</v>
      </c>
      <c r="C3719" s="47" t="s">
        <v>65</v>
      </c>
      <c r="D3719" s="332">
        <v>1398.74</v>
      </c>
    </row>
    <row r="3720" spans="1:4" ht="30">
      <c r="A3720" s="28" t="s">
        <v>737</v>
      </c>
      <c r="B3720" s="26" t="s">
        <v>9083</v>
      </c>
      <c r="C3720" s="28" t="s">
        <v>65</v>
      </c>
      <c r="D3720" s="329">
        <v>1778.87</v>
      </c>
    </row>
    <row r="3721" spans="1:4" ht="45">
      <c r="A3721" s="47">
        <v>95463</v>
      </c>
      <c r="B3721" s="48" t="s">
        <v>11075</v>
      </c>
      <c r="C3721" s="47" t="s">
        <v>65</v>
      </c>
      <c r="D3721" s="332">
        <v>1264.48</v>
      </c>
    </row>
    <row r="3722" spans="1:4" ht="45">
      <c r="A3722" s="28">
        <v>89957</v>
      </c>
      <c r="B3722" s="26" t="s">
        <v>8241</v>
      </c>
      <c r="C3722" s="28" t="s">
        <v>65</v>
      </c>
      <c r="D3722" s="329">
        <v>93.04</v>
      </c>
    </row>
    <row r="3723" spans="1:4" ht="45">
      <c r="A3723" s="47">
        <v>89959</v>
      </c>
      <c r="B3723" s="48" t="s">
        <v>8242</v>
      </c>
      <c r="C3723" s="47" t="s">
        <v>65</v>
      </c>
      <c r="D3723" s="332">
        <v>162.65</v>
      </c>
    </row>
    <row r="3724" spans="1:4" ht="30">
      <c r="A3724" s="28">
        <v>40729</v>
      </c>
      <c r="B3724" s="26" t="s">
        <v>10722</v>
      </c>
      <c r="C3724" s="28" t="s">
        <v>65</v>
      </c>
      <c r="D3724" s="329">
        <v>172</v>
      </c>
    </row>
    <row r="3725" spans="1:4">
      <c r="A3725" s="47" t="s">
        <v>738</v>
      </c>
      <c r="B3725" s="48" t="s">
        <v>739</v>
      </c>
      <c r="C3725" s="47" t="s">
        <v>65</v>
      </c>
      <c r="D3725" s="332">
        <v>38.72</v>
      </c>
    </row>
    <row r="3726" spans="1:4">
      <c r="A3726" s="28" t="s">
        <v>740</v>
      </c>
      <c r="B3726" s="26" t="s">
        <v>741</v>
      </c>
      <c r="C3726" s="28" t="s">
        <v>65</v>
      </c>
      <c r="D3726" s="329">
        <v>40.75</v>
      </c>
    </row>
    <row r="3727" spans="1:4">
      <c r="A3727" s="47" t="s">
        <v>742</v>
      </c>
      <c r="B3727" s="48" t="s">
        <v>10711</v>
      </c>
      <c r="C3727" s="47" t="s">
        <v>65</v>
      </c>
      <c r="D3727" s="332">
        <v>52.59</v>
      </c>
    </row>
    <row r="3728" spans="1:4">
      <c r="A3728" s="28" t="s">
        <v>743</v>
      </c>
      <c r="B3728" s="26" t="s">
        <v>10712</v>
      </c>
      <c r="C3728" s="28" t="s">
        <v>65</v>
      </c>
      <c r="D3728" s="329">
        <v>60.89</v>
      </c>
    </row>
    <row r="3729" spans="1:4">
      <c r="A3729" s="47" t="s">
        <v>744</v>
      </c>
      <c r="B3729" s="48" t="s">
        <v>745</v>
      </c>
      <c r="C3729" s="47" t="s">
        <v>65</v>
      </c>
      <c r="D3729" s="332">
        <v>79.53</v>
      </c>
    </row>
    <row r="3730" spans="1:4">
      <c r="A3730" s="28" t="s">
        <v>746</v>
      </c>
      <c r="B3730" s="26" t="s">
        <v>747</v>
      </c>
      <c r="C3730" s="28" t="s">
        <v>65</v>
      </c>
      <c r="D3730" s="329">
        <v>152.91</v>
      </c>
    </row>
    <row r="3731" spans="1:4">
      <c r="A3731" s="47" t="s">
        <v>748</v>
      </c>
      <c r="B3731" s="48" t="s">
        <v>749</v>
      </c>
      <c r="C3731" s="47" t="s">
        <v>65</v>
      </c>
      <c r="D3731" s="332">
        <v>253.95</v>
      </c>
    </row>
    <row r="3732" spans="1:4">
      <c r="A3732" s="28" t="s">
        <v>750</v>
      </c>
      <c r="B3732" s="26" t="s">
        <v>10696</v>
      </c>
      <c r="C3732" s="28" t="s">
        <v>65</v>
      </c>
      <c r="D3732" s="329">
        <v>50.75</v>
      </c>
    </row>
    <row r="3733" spans="1:4">
      <c r="A3733" s="47" t="s">
        <v>751</v>
      </c>
      <c r="B3733" s="48" t="s">
        <v>10697</v>
      </c>
      <c r="C3733" s="47" t="s">
        <v>65</v>
      </c>
      <c r="D3733" s="332">
        <v>63</v>
      </c>
    </row>
    <row r="3734" spans="1:4">
      <c r="A3734" s="28" t="s">
        <v>752</v>
      </c>
      <c r="B3734" s="26" t="s">
        <v>10698</v>
      </c>
      <c r="C3734" s="28" t="s">
        <v>65</v>
      </c>
      <c r="D3734" s="329">
        <v>85.57</v>
      </c>
    </row>
    <row r="3735" spans="1:4">
      <c r="A3735" s="47" t="s">
        <v>753</v>
      </c>
      <c r="B3735" s="48" t="s">
        <v>10699</v>
      </c>
      <c r="C3735" s="47" t="s">
        <v>65</v>
      </c>
      <c r="D3735" s="332">
        <v>96.53</v>
      </c>
    </row>
    <row r="3736" spans="1:4">
      <c r="A3736" s="28" t="s">
        <v>754</v>
      </c>
      <c r="B3736" s="26" t="s">
        <v>755</v>
      </c>
      <c r="C3736" s="28" t="s">
        <v>65</v>
      </c>
      <c r="D3736" s="329">
        <v>127.19</v>
      </c>
    </row>
    <row r="3737" spans="1:4">
      <c r="A3737" s="47" t="s">
        <v>756</v>
      </c>
      <c r="B3737" s="48" t="s">
        <v>10700</v>
      </c>
      <c r="C3737" s="47" t="s">
        <v>65</v>
      </c>
      <c r="D3737" s="332">
        <v>181.59</v>
      </c>
    </row>
    <row r="3738" spans="1:4">
      <c r="A3738" s="28" t="s">
        <v>757</v>
      </c>
      <c r="B3738" s="26" t="s">
        <v>758</v>
      </c>
      <c r="C3738" s="28" t="s">
        <v>65</v>
      </c>
      <c r="D3738" s="329">
        <v>234.45</v>
      </c>
    </row>
    <row r="3739" spans="1:4">
      <c r="A3739" s="47" t="s">
        <v>759</v>
      </c>
      <c r="B3739" s="48" t="s">
        <v>10695</v>
      </c>
      <c r="C3739" s="47" t="s">
        <v>65</v>
      </c>
      <c r="D3739" s="332">
        <v>356.54</v>
      </c>
    </row>
    <row r="3740" spans="1:4">
      <c r="A3740" s="28" t="s">
        <v>760</v>
      </c>
      <c r="B3740" s="26" t="s">
        <v>761</v>
      </c>
      <c r="C3740" s="28" t="s">
        <v>65</v>
      </c>
      <c r="D3740" s="329">
        <v>38.200000000000003</v>
      </c>
    </row>
    <row r="3741" spans="1:4">
      <c r="A3741" s="47" t="s">
        <v>762</v>
      </c>
      <c r="B3741" s="48" t="s">
        <v>763</v>
      </c>
      <c r="C3741" s="47" t="s">
        <v>65</v>
      </c>
      <c r="D3741" s="332">
        <v>40.46</v>
      </c>
    </row>
    <row r="3742" spans="1:4">
      <c r="A3742" s="28" t="s">
        <v>764</v>
      </c>
      <c r="B3742" s="26" t="s">
        <v>765</v>
      </c>
      <c r="C3742" s="28" t="s">
        <v>65</v>
      </c>
      <c r="D3742" s="329">
        <v>59.6</v>
      </c>
    </row>
    <row r="3743" spans="1:4">
      <c r="A3743" s="47" t="s">
        <v>766</v>
      </c>
      <c r="B3743" s="48" t="s">
        <v>767</v>
      </c>
      <c r="C3743" s="47" t="s">
        <v>65</v>
      </c>
      <c r="D3743" s="332">
        <v>79.91</v>
      </c>
    </row>
    <row r="3744" spans="1:4">
      <c r="A3744" s="28" t="s">
        <v>768</v>
      </c>
      <c r="B3744" s="26" t="s">
        <v>769</v>
      </c>
      <c r="C3744" s="28" t="s">
        <v>65</v>
      </c>
      <c r="D3744" s="329">
        <v>135.22</v>
      </c>
    </row>
    <row r="3745" spans="1:4">
      <c r="A3745" s="47" t="s">
        <v>770</v>
      </c>
      <c r="B3745" s="48" t="s">
        <v>771</v>
      </c>
      <c r="C3745" s="47" t="s">
        <v>65</v>
      </c>
      <c r="D3745" s="332">
        <v>169.31</v>
      </c>
    </row>
    <row r="3746" spans="1:4">
      <c r="A3746" s="28" t="s">
        <v>772</v>
      </c>
      <c r="B3746" s="26" t="s">
        <v>773</v>
      </c>
      <c r="C3746" s="28" t="s">
        <v>65</v>
      </c>
      <c r="D3746" s="329">
        <v>285.97000000000003</v>
      </c>
    </row>
    <row r="3747" spans="1:4">
      <c r="A3747" s="47" t="s">
        <v>774</v>
      </c>
      <c r="B3747" s="48" t="s">
        <v>8637</v>
      </c>
      <c r="C3747" s="47" t="s">
        <v>65</v>
      </c>
      <c r="D3747" s="332">
        <v>99.57</v>
      </c>
    </row>
    <row r="3748" spans="1:4" ht="30">
      <c r="A3748" s="28" t="s">
        <v>775</v>
      </c>
      <c r="B3748" s="26" t="s">
        <v>10737</v>
      </c>
      <c r="C3748" s="28" t="s">
        <v>65</v>
      </c>
      <c r="D3748" s="329">
        <v>121.98</v>
      </c>
    </row>
    <row r="3749" spans="1:4">
      <c r="A3749" s="47" t="s">
        <v>776</v>
      </c>
      <c r="B3749" s="48" t="s">
        <v>10736</v>
      </c>
      <c r="C3749" s="47" t="s">
        <v>65</v>
      </c>
      <c r="D3749" s="332">
        <v>55.5</v>
      </c>
    </row>
    <row r="3750" spans="1:4" ht="30">
      <c r="A3750" s="28" t="s">
        <v>777</v>
      </c>
      <c r="B3750" s="26" t="s">
        <v>8699</v>
      </c>
      <c r="C3750" s="28" t="s">
        <v>65</v>
      </c>
      <c r="D3750" s="329">
        <v>188.79</v>
      </c>
    </row>
    <row r="3751" spans="1:4" ht="30">
      <c r="A3751" s="47">
        <v>85117</v>
      </c>
      <c r="B3751" s="48" t="s">
        <v>10710</v>
      </c>
      <c r="C3751" s="47" t="s">
        <v>65</v>
      </c>
      <c r="D3751" s="332">
        <v>25.58</v>
      </c>
    </row>
    <row r="3752" spans="1:4" ht="30">
      <c r="A3752" s="28">
        <v>89349</v>
      </c>
      <c r="B3752" s="26" t="s">
        <v>8672</v>
      </c>
      <c r="C3752" s="28" t="s">
        <v>65</v>
      </c>
      <c r="D3752" s="329">
        <v>22.94</v>
      </c>
    </row>
    <row r="3753" spans="1:4" ht="30">
      <c r="A3753" s="47">
        <v>89351</v>
      </c>
      <c r="B3753" s="48" t="s">
        <v>8674</v>
      </c>
      <c r="C3753" s="47" t="s">
        <v>65</v>
      </c>
      <c r="D3753" s="332">
        <v>26.19</v>
      </c>
    </row>
    <row r="3754" spans="1:4" ht="30">
      <c r="A3754" s="28">
        <v>89352</v>
      </c>
      <c r="B3754" s="26" t="s">
        <v>778</v>
      </c>
      <c r="C3754" s="28" t="s">
        <v>65</v>
      </c>
      <c r="D3754" s="329">
        <v>29.82</v>
      </c>
    </row>
    <row r="3755" spans="1:4" ht="30">
      <c r="A3755" s="47">
        <v>89353</v>
      </c>
      <c r="B3755" s="48" t="s">
        <v>779</v>
      </c>
      <c r="C3755" s="47" t="s">
        <v>65</v>
      </c>
      <c r="D3755" s="332">
        <v>31.12</v>
      </c>
    </row>
    <row r="3756" spans="1:4" ht="30">
      <c r="A3756" s="28">
        <v>89354</v>
      </c>
      <c r="B3756" s="26" t="s">
        <v>11076</v>
      </c>
      <c r="C3756" s="28" t="s">
        <v>65</v>
      </c>
      <c r="D3756" s="329">
        <v>209.38</v>
      </c>
    </row>
    <row r="3757" spans="1:4" ht="30">
      <c r="A3757" s="47">
        <v>89969</v>
      </c>
      <c r="B3757" s="48" t="s">
        <v>6607</v>
      </c>
      <c r="C3757" s="47" t="s">
        <v>65</v>
      </c>
      <c r="D3757" s="332">
        <v>34.19</v>
      </c>
    </row>
    <row r="3758" spans="1:4" ht="30">
      <c r="A3758" s="28">
        <v>89970</v>
      </c>
      <c r="B3758" s="26" t="s">
        <v>6608</v>
      </c>
      <c r="C3758" s="28" t="s">
        <v>65</v>
      </c>
      <c r="D3758" s="329">
        <v>36.11</v>
      </c>
    </row>
    <row r="3759" spans="1:4" ht="30">
      <c r="A3759" s="47">
        <v>89971</v>
      </c>
      <c r="B3759" s="48" t="s">
        <v>6605</v>
      </c>
      <c r="C3759" s="47" t="s">
        <v>65</v>
      </c>
      <c r="D3759" s="332">
        <v>37.770000000000003</v>
      </c>
    </row>
    <row r="3760" spans="1:4" ht="30">
      <c r="A3760" s="28">
        <v>89972</v>
      </c>
      <c r="B3760" s="26" t="s">
        <v>6606</v>
      </c>
      <c r="C3760" s="28" t="s">
        <v>65</v>
      </c>
      <c r="D3760" s="329">
        <v>40.39</v>
      </c>
    </row>
    <row r="3761" spans="1:4" ht="45">
      <c r="A3761" s="47">
        <v>89973</v>
      </c>
      <c r="B3761" s="48" t="s">
        <v>6570</v>
      </c>
      <c r="C3761" s="47" t="s">
        <v>65</v>
      </c>
      <c r="D3761" s="332">
        <v>364.91</v>
      </c>
    </row>
    <row r="3762" spans="1:4" ht="30">
      <c r="A3762" s="28">
        <v>89974</v>
      </c>
      <c r="B3762" s="26" t="s">
        <v>6609</v>
      </c>
      <c r="C3762" s="28" t="s">
        <v>65</v>
      </c>
      <c r="D3762" s="329">
        <v>220.75</v>
      </c>
    </row>
    <row r="3763" spans="1:4" ht="30">
      <c r="A3763" s="47">
        <v>89984</v>
      </c>
      <c r="B3763" s="48" t="s">
        <v>8671</v>
      </c>
      <c r="C3763" s="47" t="s">
        <v>65</v>
      </c>
      <c r="D3763" s="332">
        <v>63.73</v>
      </c>
    </row>
    <row r="3764" spans="1:4" ht="30">
      <c r="A3764" s="28">
        <v>89985</v>
      </c>
      <c r="B3764" s="26" t="s">
        <v>8673</v>
      </c>
      <c r="C3764" s="28" t="s">
        <v>65</v>
      </c>
      <c r="D3764" s="329">
        <v>65.599999999999994</v>
      </c>
    </row>
    <row r="3765" spans="1:4" ht="30">
      <c r="A3765" s="47">
        <v>89986</v>
      </c>
      <c r="B3765" s="48" t="s">
        <v>8664</v>
      </c>
      <c r="C3765" s="47" t="s">
        <v>65</v>
      </c>
      <c r="D3765" s="332">
        <v>62.15</v>
      </c>
    </row>
    <row r="3766" spans="1:4" ht="30">
      <c r="A3766" s="28">
        <v>89987</v>
      </c>
      <c r="B3766" s="26" t="s">
        <v>8668</v>
      </c>
      <c r="C3766" s="28" t="s">
        <v>65</v>
      </c>
      <c r="D3766" s="329">
        <v>69.05</v>
      </c>
    </row>
    <row r="3767" spans="1:4" ht="30">
      <c r="A3767" s="47">
        <v>90371</v>
      </c>
      <c r="B3767" s="48" t="s">
        <v>8652</v>
      </c>
      <c r="C3767" s="47" t="s">
        <v>65</v>
      </c>
      <c r="D3767" s="332">
        <v>22.38</v>
      </c>
    </row>
    <row r="3768" spans="1:4" ht="45">
      <c r="A3768" s="28">
        <v>94489</v>
      </c>
      <c r="B3768" s="26" t="s">
        <v>8653</v>
      </c>
      <c r="C3768" s="28" t="s">
        <v>65</v>
      </c>
      <c r="D3768" s="329">
        <v>19.7</v>
      </c>
    </row>
    <row r="3769" spans="1:4" ht="45">
      <c r="A3769" s="47">
        <v>94490</v>
      </c>
      <c r="B3769" s="48" t="s">
        <v>8654</v>
      </c>
      <c r="C3769" s="47" t="s">
        <v>65</v>
      </c>
      <c r="D3769" s="332">
        <v>32.56</v>
      </c>
    </row>
    <row r="3770" spans="1:4" ht="45">
      <c r="A3770" s="28">
        <v>94491</v>
      </c>
      <c r="B3770" s="26" t="s">
        <v>8655</v>
      </c>
      <c r="C3770" s="28" t="s">
        <v>65</v>
      </c>
      <c r="D3770" s="329">
        <v>44.83</v>
      </c>
    </row>
    <row r="3771" spans="1:4" ht="45">
      <c r="A3771" s="47">
        <v>94492</v>
      </c>
      <c r="B3771" s="48" t="s">
        <v>8656</v>
      </c>
      <c r="C3771" s="47" t="s">
        <v>65</v>
      </c>
      <c r="D3771" s="332">
        <v>45.97</v>
      </c>
    </row>
    <row r="3772" spans="1:4" ht="45">
      <c r="A3772" s="28">
        <v>94493</v>
      </c>
      <c r="B3772" s="26" t="s">
        <v>8657</v>
      </c>
      <c r="C3772" s="28" t="s">
        <v>65</v>
      </c>
      <c r="D3772" s="329">
        <v>83.92</v>
      </c>
    </row>
    <row r="3773" spans="1:4" ht="45">
      <c r="A3773" s="47">
        <v>94494</v>
      </c>
      <c r="B3773" s="48" t="s">
        <v>8669</v>
      </c>
      <c r="C3773" s="47" t="s">
        <v>65</v>
      </c>
      <c r="D3773" s="332">
        <v>48.52</v>
      </c>
    </row>
    <row r="3774" spans="1:4" ht="45">
      <c r="A3774" s="28">
        <v>94495</v>
      </c>
      <c r="B3774" s="26" t="s">
        <v>8663</v>
      </c>
      <c r="C3774" s="28" t="s">
        <v>65</v>
      </c>
      <c r="D3774" s="329">
        <v>62.92</v>
      </c>
    </row>
    <row r="3775" spans="1:4" ht="45">
      <c r="A3775" s="47">
        <v>94496</v>
      </c>
      <c r="B3775" s="48" t="s">
        <v>8661</v>
      </c>
      <c r="C3775" s="47" t="s">
        <v>65</v>
      </c>
      <c r="D3775" s="332">
        <v>77.73</v>
      </c>
    </row>
    <row r="3776" spans="1:4" ht="45">
      <c r="A3776" s="28">
        <v>94497</v>
      </c>
      <c r="B3776" s="26" t="s">
        <v>8659</v>
      </c>
      <c r="C3776" s="28" t="s">
        <v>65</v>
      </c>
      <c r="D3776" s="329">
        <v>91.79</v>
      </c>
    </row>
    <row r="3777" spans="1:4" ht="45">
      <c r="A3777" s="47">
        <v>94498</v>
      </c>
      <c r="B3777" s="48" t="s">
        <v>8666</v>
      </c>
      <c r="C3777" s="47" t="s">
        <v>65</v>
      </c>
      <c r="D3777" s="332">
        <v>119.46</v>
      </c>
    </row>
    <row r="3778" spans="1:4" ht="45">
      <c r="A3778" s="28">
        <v>94499</v>
      </c>
      <c r="B3778" s="26" t="s">
        <v>8665</v>
      </c>
      <c r="C3778" s="28" t="s">
        <v>65</v>
      </c>
      <c r="D3778" s="329">
        <v>220.62</v>
      </c>
    </row>
    <row r="3779" spans="1:4" ht="45">
      <c r="A3779" s="47">
        <v>94500</v>
      </c>
      <c r="B3779" s="48" t="s">
        <v>8667</v>
      </c>
      <c r="C3779" s="47" t="s">
        <v>65</v>
      </c>
      <c r="D3779" s="332">
        <v>387.58</v>
      </c>
    </row>
    <row r="3780" spans="1:4" ht="45">
      <c r="A3780" s="28">
        <v>94501</v>
      </c>
      <c r="B3780" s="26" t="s">
        <v>8670</v>
      </c>
      <c r="C3780" s="28" t="s">
        <v>65</v>
      </c>
      <c r="D3780" s="329">
        <v>641.94000000000005</v>
      </c>
    </row>
    <row r="3781" spans="1:4" ht="45">
      <c r="A3781" s="47">
        <v>94792</v>
      </c>
      <c r="B3781" s="48" t="s">
        <v>8662</v>
      </c>
      <c r="C3781" s="47" t="s">
        <v>65</v>
      </c>
      <c r="D3781" s="332">
        <v>97.99</v>
      </c>
    </row>
    <row r="3782" spans="1:4" ht="45">
      <c r="A3782" s="28">
        <v>94793</v>
      </c>
      <c r="B3782" s="26" t="s">
        <v>8660</v>
      </c>
      <c r="C3782" s="28" t="s">
        <v>65</v>
      </c>
      <c r="D3782" s="329">
        <v>127.56</v>
      </c>
    </row>
    <row r="3783" spans="1:4" ht="45">
      <c r="A3783" s="47">
        <v>94794</v>
      </c>
      <c r="B3783" s="48" t="s">
        <v>8658</v>
      </c>
      <c r="C3783" s="47" t="s">
        <v>65</v>
      </c>
      <c r="D3783" s="332">
        <v>132.31</v>
      </c>
    </row>
    <row r="3784" spans="1:4" ht="30">
      <c r="A3784" s="28">
        <v>94795</v>
      </c>
      <c r="B3784" s="26" t="s">
        <v>9791</v>
      </c>
      <c r="C3784" s="28" t="s">
        <v>65</v>
      </c>
      <c r="D3784" s="329">
        <v>47.56</v>
      </c>
    </row>
    <row r="3785" spans="1:4" ht="30">
      <c r="A3785" s="47">
        <v>94796</v>
      </c>
      <c r="B3785" s="48" t="s">
        <v>9793</v>
      </c>
      <c r="C3785" s="47" t="s">
        <v>65</v>
      </c>
      <c r="D3785" s="332">
        <v>72.11</v>
      </c>
    </row>
    <row r="3786" spans="1:4" ht="30">
      <c r="A3786" s="28">
        <v>94797</v>
      </c>
      <c r="B3786" s="26" t="s">
        <v>9790</v>
      </c>
      <c r="C3786" s="28" t="s">
        <v>65</v>
      </c>
      <c r="D3786" s="329">
        <v>83.12</v>
      </c>
    </row>
    <row r="3787" spans="1:4" ht="30">
      <c r="A3787" s="47">
        <v>94798</v>
      </c>
      <c r="B3787" s="48" t="s">
        <v>9789</v>
      </c>
      <c r="C3787" s="47" t="s">
        <v>65</v>
      </c>
      <c r="D3787" s="332">
        <v>77.95</v>
      </c>
    </row>
    <row r="3788" spans="1:4" ht="30">
      <c r="A3788" s="28">
        <v>94799</v>
      </c>
      <c r="B3788" s="26" t="s">
        <v>9788</v>
      </c>
      <c r="C3788" s="28" t="s">
        <v>65</v>
      </c>
      <c r="D3788" s="329">
        <v>133.91</v>
      </c>
    </row>
    <row r="3789" spans="1:4" ht="30">
      <c r="A3789" s="47">
        <v>94800</v>
      </c>
      <c r="B3789" s="48" t="s">
        <v>9792</v>
      </c>
      <c r="C3789" s="47" t="s">
        <v>65</v>
      </c>
      <c r="D3789" s="332">
        <v>155.69</v>
      </c>
    </row>
    <row r="3790" spans="1:4" ht="45">
      <c r="A3790" s="28">
        <v>95248</v>
      </c>
      <c r="B3790" s="26" t="s">
        <v>10684</v>
      </c>
      <c r="C3790" s="28" t="s">
        <v>65</v>
      </c>
      <c r="D3790" s="329">
        <v>59.01</v>
      </c>
    </row>
    <row r="3791" spans="1:4" ht="45">
      <c r="A3791" s="47">
        <v>95249</v>
      </c>
      <c r="B3791" s="48" t="s">
        <v>10686</v>
      </c>
      <c r="C3791" s="47" t="s">
        <v>65</v>
      </c>
      <c r="D3791" s="332">
        <v>64.47</v>
      </c>
    </row>
    <row r="3792" spans="1:4" ht="45">
      <c r="A3792" s="28">
        <v>95250</v>
      </c>
      <c r="B3792" s="26" t="s">
        <v>10683</v>
      </c>
      <c r="C3792" s="28" t="s">
        <v>65</v>
      </c>
      <c r="D3792" s="329">
        <v>78.77</v>
      </c>
    </row>
    <row r="3793" spans="1:4" ht="45">
      <c r="A3793" s="47">
        <v>95251</v>
      </c>
      <c r="B3793" s="48" t="s">
        <v>10682</v>
      </c>
      <c r="C3793" s="47" t="s">
        <v>65</v>
      </c>
      <c r="D3793" s="332">
        <v>106.36</v>
      </c>
    </row>
    <row r="3794" spans="1:4" ht="45">
      <c r="A3794" s="28">
        <v>95252</v>
      </c>
      <c r="B3794" s="26" t="s">
        <v>10681</v>
      </c>
      <c r="C3794" s="28" t="s">
        <v>65</v>
      </c>
      <c r="D3794" s="329">
        <v>123.21</v>
      </c>
    </row>
    <row r="3795" spans="1:4" ht="45">
      <c r="A3795" s="47">
        <v>95253</v>
      </c>
      <c r="B3795" s="48" t="s">
        <v>10685</v>
      </c>
      <c r="C3795" s="47" t="s">
        <v>65</v>
      </c>
      <c r="D3795" s="332">
        <v>177.98</v>
      </c>
    </row>
    <row r="3796" spans="1:4" ht="30">
      <c r="A3796" s="28">
        <v>95634</v>
      </c>
      <c r="B3796" s="26" t="s">
        <v>11077</v>
      </c>
      <c r="C3796" s="28" t="s">
        <v>65</v>
      </c>
      <c r="D3796" s="329">
        <v>105.77</v>
      </c>
    </row>
    <row r="3797" spans="1:4" ht="30">
      <c r="A3797" s="47">
        <v>95635</v>
      </c>
      <c r="B3797" s="48" t="s">
        <v>11078</v>
      </c>
      <c r="C3797" s="47" t="s">
        <v>65</v>
      </c>
      <c r="D3797" s="332">
        <v>111.65</v>
      </c>
    </row>
    <row r="3798" spans="1:4" ht="30">
      <c r="A3798" s="28">
        <v>95637</v>
      </c>
      <c r="B3798" s="26" t="s">
        <v>11079</v>
      </c>
      <c r="C3798" s="28" t="s">
        <v>65</v>
      </c>
      <c r="D3798" s="329">
        <v>345.62</v>
      </c>
    </row>
    <row r="3799" spans="1:4" ht="30">
      <c r="A3799" s="47">
        <v>95638</v>
      </c>
      <c r="B3799" s="48" t="s">
        <v>11080</v>
      </c>
      <c r="C3799" s="47" t="s">
        <v>65</v>
      </c>
      <c r="D3799" s="332">
        <v>420.18</v>
      </c>
    </row>
    <row r="3800" spans="1:4" ht="30">
      <c r="A3800" s="28">
        <v>95639</v>
      </c>
      <c r="B3800" s="26" t="s">
        <v>11081</v>
      </c>
      <c r="C3800" s="28" t="s">
        <v>65</v>
      </c>
      <c r="D3800" s="329">
        <v>534.21</v>
      </c>
    </row>
    <row r="3801" spans="1:4" ht="30">
      <c r="A3801" s="47">
        <v>95641</v>
      </c>
      <c r="B3801" s="48" t="s">
        <v>11082</v>
      </c>
      <c r="C3801" s="47" t="s">
        <v>65</v>
      </c>
      <c r="D3801" s="332">
        <v>212.24</v>
      </c>
    </row>
    <row r="3802" spans="1:4" ht="30">
      <c r="A3802" s="28">
        <v>95642</v>
      </c>
      <c r="B3802" s="26" t="s">
        <v>11083</v>
      </c>
      <c r="C3802" s="28" t="s">
        <v>65</v>
      </c>
      <c r="D3802" s="329">
        <v>313.44</v>
      </c>
    </row>
    <row r="3803" spans="1:4" ht="30">
      <c r="A3803" s="47">
        <v>95643</v>
      </c>
      <c r="B3803" s="48" t="s">
        <v>11084</v>
      </c>
      <c r="C3803" s="47" t="s">
        <v>65</v>
      </c>
      <c r="D3803" s="332">
        <v>410.12</v>
      </c>
    </row>
    <row r="3804" spans="1:4" ht="30">
      <c r="A3804" s="28">
        <v>95644</v>
      </c>
      <c r="B3804" s="26" t="s">
        <v>11085</v>
      </c>
      <c r="C3804" s="28" t="s">
        <v>65</v>
      </c>
      <c r="D3804" s="329">
        <v>155.32</v>
      </c>
    </row>
    <row r="3805" spans="1:4" ht="30">
      <c r="A3805" s="47">
        <v>95645</v>
      </c>
      <c r="B3805" s="48" t="s">
        <v>11086</v>
      </c>
      <c r="C3805" s="47" t="s">
        <v>65</v>
      </c>
      <c r="D3805" s="332">
        <v>284.07</v>
      </c>
    </row>
    <row r="3806" spans="1:4" ht="30">
      <c r="A3806" s="28">
        <v>95646</v>
      </c>
      <c r="B3806" s="26" t="s">
        <v>11087</v>
      </c>
      <c r="C3806" s="28" t="s">
        <v>65</v>
      </c>
      <c r="D3806" s="329">
        <v>423.01</v>
      </c>
    </row>
    <row r="3807" spans="1:4" ht="30">
      <c r="A3807" s="47">
        <v>95647</v>
      </c>
      <c r="B3807" s="48" t="s">
        <v>11088</v>
      </c>
      <c r="C3807" s="47" t="s">
        <v>65</v>
      </c>
      <c r="D3807" s="332">
        <v>554.75</v>
      </c>
    </row>
    <row r="3808" spans="1:4">
      <c r="A3808" s="28">
        <v>95673</v>
      </c>
      <c r="B3808" s="26" t="s">
        <v>11089</v>
      </c>
      <c r="C3808" s="28" t="s">
        <v>65</v>
      </c>
      <c r="D3808" s="329">
        <v>109.21</v>
      </c>
    </row>
    <row r="3809" spans="1:4">
      <c r="A3809" s="47">
        <v>95674</v>
      </c>
      <c r="B3809" s="48" t="s">
        <v>11090</v>
      </c>
      <c r="C3809" s="47" t="s">
        <v>65</v>
      </c>
      <c r="D3809" s="332">
        <v>116.22</v>
      </c>
    </row>
    <row r="3810" spans="1:4">
      <c r="A3810" s="28">
        <v>95675</v>
      </c>
      <c r="B3810" s="26" t="s">
        <v>11091</v>
      </c>
      <c r="C3810" s="28" t="s">
        <v>65</v>
      </c>
      <c r="D3810" s="329">
        <v>142.22999999999999</v>
      </c>
    </row>
    <row r="3811" spans="1:4" ht="30">
      <c r="A3811" s="47">
        <v>95676</v>
      </c>
      <c r="B3811" s="48" t="s">
        <v>11092</v>
      </c>
      <c r="C3811" s="47" t="s">
        <v>65</v>
      </c>
      <c r="D3811" s="332">
        <v>78.930000000000007</v>
      </c>
    </row>
    <row r="3812" spans="1:4">
      <c r="A3812" s="28">
        <v>72285</v>
      </c>
      <c r="B3812" s="26" t="s">
        <v>780</v>
      </c>
      <c r="C3812" s="28" t="s">
        <v>65</v>
      </c>
      <c r="D3812" s="329">
        <v>67.349999999999994</v>
      </c>
    </row>
    <row r="3813" spans="1:4">
      <c r="A3813" s="47">
        <v>72286</v>
      </c>
      <c r="B3813" s="48" t="s">
        <v>781</v>
      </c>
      <c r="C3813" s="47" t="s">
        <v>65</v>
      </c>
      <c r="D3813" s="332">
        <v>132.66</v>
      </c>
    </row>
    <row r="3814" spans="1:4">
      <c r="A3814" s="28">
        <v>90436</v>
      </c>
      <c r="B3814" s="26" t="s">
        <v>5715</v>
      </c>
      <c r="C3814" s="28" t="s">
        <v>65</v>
      </c>
      <c r="D3814" s="329">
        <v>9.33</v>
      </c>
    </row>
    <row r="3815" spans="1:4" ht="30">
      <c r="A3815" s="47">
        <v>90437</v>
      </c>
      <c r="B3815" s="48" t="s">
        <v>5713</v>
      </c>
      <c r="C3815" s="47" t="s">
        <v>65</v>
      </c>
      <c r="D3815" s="332">
        <v>22.68</v>
      </c>
    </row>
    <row r="3816" spans="1:4">
      <c r="A3816" s="28">
        <v>90438</v>
      </c>
      <c r="B3816" s="26" t="s">
        <v>5714</v>
      </c>
      <c r="C3816" s="28" t="s">
        <v>65</v>
      </c>
      <c r="D3816" s="329">
        <v>32.51</v>
      </c>
    </row>
    <row r="3817" spans="1:4">
      <c r="A3817" s="47">
        <v>90439</v>
      </c>
      <c r="B3817" s="48" t="s">
        <v>5718</v>
      </c>
      <c r="C3817" s="47" t="s">
        <v>65</v>
      </c>
      <c r="D3817" s="332">
        <v>45.02</v>
      </c>
    </row>
    <row r="3818" spans="1:4" ht="30">
      <c r="A3818" s="28">
        <v>90440</v>
      </c>
      <c r="B3818" s="26" t="s">
        <v>5716</v>
      </c>
      <c r="C3818" s="28" t="s">
        <v>65</v>
      </c>
      <c r="D3818" s="329">
        <v>72.099999999999994</v>
      </c>
    </row>
    <row r="3819" spans="1:4">
      <c r="A3819" s="47">
        <v>90441</v>
      </c>
      <c r="B3819" s="48" t="s">
        <v>5717</v>
      </c>
      <c r="C3819" s="47" t="s">
        <v>65</v>
      </c>
      <c r="D3819" s="332">
        <v>92.08</v>
      </c>
    </row>
    <row r="3820" spans="1:4" ht="30">
      <c r="A3820" s="28">
        <v>90443</v>
      </c>
      <c r="B3820" s="26" t="s">
        <v>8536</v>
      </c>
      <c r="C3820" s="28" t="s">
        <v>71</v>
      </c>
      <c r="D3820" s="329">
        <v>8.48</v>
      </c>
    </row>
    <row r="3821" spans="1:4" ht="30">
      <c r="A3821" s="47">
        <v>90444</v>
      </c>
      <c r="B3821" s="48" t="s">
        <v>8539</v>
      </c>
      <c r="C3821" s="47" t="s">
        <v>71</v>
      </c>
      <c r="D3821" s="332">
        <v>19.32</v>
      </c>
    </row>
    <row r="3822" spans="1:4" ht="30">
      <c r="A3822" s="28">
        <v>90445</v>
      </c>
      <c r="B3822" s="26" t="s">
        <v>8537</v>
      </c>
      <c r="C3822" s="28" t="s">
        <v>71</v>
      </c>
      <c r="D3822" s="329">
        <v>20.63</v>
      </c>
    </row>
    <row r="3823" spans="1:4" ht="30">
      <c r="A3823" s="47">
        <v>90446</v>
      </c>
      <c r="B3823" s="48" t="s">
        <v>8538</v>
      </c>
      <c r="C3823" s="47" t="s">
        <v>71</v>
      </c>
      <c r="D3823" s="332">
        <v>22.41</v>
      </c>
    </row>
    <row r="3824" spans="1:4" ht="30">
      <c r="A3824" s="28">
        <v>90447</v>
      </c>
      <c r="B3824" s="26" t="s">
        <v>8534</v>
      </c>
      <c r="C3824" s="28" t="s">
        <v>71</v>
      </c>
      <c r="D3824" s="329">
        <v>4.17</v>
      </c>
    </row>
    <row r="3825" spans="1:4" ht="30">
      <c r="A3825" s="47">
        <v>90451</v>
      </c>
      <c r="B3825" s="48" t="s">
        <v>11093</v>
      </c>
      <c r="C3825" s="47" t="s">
        <v>65</v>
      </c>
      <c r="D3825" s="332">
        <v>2.86</v>
      </c>
    </row>
    <row r="3826" spans="1:4" ht="30">
      <c r="A3826" s="28">
        <v>90452</v>
      </c>
      <c r="B3826" s="26" t="s">
        <v>11094</v>
      </c>
      <c r="C3826" s="28" t="s">
        <v>65</v>
      </c>
      <c r="D3826" s="329">
        <v>12.35</v>
      </c>
    </row>
    <row r="3827" spans="1:4" ht="30">
      <c r="A3827" s="47">
        <v>90453</v>
      </c>
      <c r="B3827" s="48" t="s">
        <v>7848</v>
      </c>
      <c r="C3827" s="47" t="s">
        <v>65</v>
      </c>
      <c r="D3827" s="332">
        <v>1.8</v>
      </c>
    </row>
    <row r="3828" spans="1:4" ht="30">
      <c r="A3828" s="28">
        <v>90454</v>
      </c>
      <c r="B3828" s="26" t="s">
        <v>7847</v>
      </c>
      <c r="C3828" s="28" t="s">
        <v>65</v>
      </c>
      <c r="D3828" s="329">
        <v>3.14</v>
      </c>
    </row>
    <row r="3829" spans="1:4">
      <c r="A3829" s="47">
        <v>90455</v>
      </c>
      <c r="B3829" s="48" t="s">
        <v>7846</v>
      </c>
      <c r="C3829" s="47" t="s">
        <v>65</v>
      </c>
      <c r="D3829" s="332">
        <v>4.18</v>
      </c>
    </row>
    <row r="3830" spans="1:4">
      <c r="A3830" s="28">
        <v>90456</v>
      </c>
      <c r="B3830" s="26" t="s">
        <v>8513</v>
      </c>
      <c r="C3830" s="28" t="s">
        <v>65</v>
      </c>
      <c r="D3830" s="329">
        <v>2.72</v>
      </c>
    </row>
    <row r="3831" spans="1:4" ht="30">
      <c r="A3831" s="47">
        <v>90457</v>
      </c>
      <c r="B3831" s="48" t="s">
        <v>8515</v>
      </c>
      <c r="C3831" s="47" t="s">
        <v>65</v>
      </c>
      <c r="D3831" s="332">
        <v>6.21</v>
      </c>
    </row>
    <row r="3832" spans="1:4" ht="30">
      <c r="A3832" s="28">
        <v>90458</v>
      </c>
      <c r="B3832" s="26" t="s">
        <v>8514</v>
      </c>
      <c r="C3832" s="28" t="s">
        <v>65</v>
      </c>
      <c r="D3832" s="329">
        <v>17.62</v>
      </c>
    </row>
    <row r="3833" spans="1:4" ht="30">
      <c r="A3833" s="47">
        <v>90459</v>
      </c>
      <c r="B3833" s="48" t="s">
        <v>8512</v>
      </c>
      <c r="C3833" s="47" t="s">
        <v>65</v>
      </c>
      <c r="D3833" s="332">
        <v>24.86</v>
      </c>
    </row>
    <row r="3834" spans="1:4" ht="30">
      <c r="A3834" s="28">
        <v>90466</v>
      </c>
      <c r="B3834" s="26" t="s">
        <v>3602</v>
      </c>
      <c r="C3834" s="28" t="s">
        <v>71</v>
      </c>
      <c r="D3834" s="329">
        <v>8.41</v>
      </c>
    </row>
    <row r="3835" spans="1:4" ht="30">
      <c r="A3835" s="47">
        <v>90467</v>
      </c>
      <c r="B3835" s="48" t="s">
        <v>3601</v>
      </c>
      <c r="C3835" s="47" t="s">
        <v>71</v>
      </c>
      <c r="D3835" s="332">
        <v>13.29</v>
      </c>
    </row>
    <row r="3836" spans="1:4" ht="30">
      <c r="A3836" s="28">
        <v>90468</v>
      </c>
      <c r="B3836" s="26" t="s">
        <v>3605</v>
      </c>
      <c r="C3836" s="28" t="s">
        <v>71</v>
      </c>
      <c r="D3836" s="329">
        <v>3.66</v>
      </c>
    </row>
    <row r="3837" spans="1:4" ht="30">
      <c r="A3837" s="47">
        <v>90469</v>
      </c>
      <c r="B3837" s="48" t="s">
        <v>3603</v>
      </c>
      <c r="C3837" s="47" t="s">
        <v>71</v>
      </c>
      <c r="D3837" s="332">
        <v>5.85</v>
      </c>
    </row>
    <row r="3838" spans="1:4" ht="30">
      <c r="A3838" s="28">
        <v>90470</v>
      </c>
      <c r="B3838" s="26" t="s">
        <v>3604</v>
      </c>
      <c r="C3838" s="28" t="s">
        <v>71</v>
      </c>
      <c r="D3838" s="329">
        <v>8.02</v>
      </c>
    </row>
    <row r="3839" spans="1:4" ht="30">
      <c r="A3839" s="47">
        <v>91166</v>
      </c>
      <c r="B3839" s="48" t="s">
        <v>5598</v>
      </c>
      <c r="C3839" s="47" t="s">
        <v>71</v>
      </c>
      <c r="D3839" s="332">
        <v>2.2200000000000002</v>
      </c>
    </row>
    <row r="3840" spans="1:4" ht="30">
      <c r="A3840" s="28">
        <v>91167</v>
      </c>
      <c r="B3840" s="26" t="s">
        <v>5604</v>
      </c>
      <c r="C3840" s="28" t="s">
        <v>71</v>
      </c>
      <c r="D3840" s="329">
        <v>6.63</v>
      </c>
    </row>
    <row r="3841" spans="1:4" ht="45">
      <c r="A3841" s="47">
        <v>91168</v>
      </c>
      <c r="B3841" s="48" t="s">
        <v>5600</v>
      </c>
      <c r="C3841" s="47" t="s">
        <v>71</v>
      </c>
      <c r="D3841" s="332">
        <v>4.9800000000000004</v>
      </c>
    </row>
    <row r="3842" spans="1:4" ht="30">
      <c r="A3842" s="28">
        <v>91169</v>
      </c>
      <c r="B3842" s="26" t="s">
        <v>5602</v>
      </c>
      <c r="C3842" s="28" t="s">
        <v>71</v>
      </c>
      <c r="D3842" s="329">
        <v>5.92</v>
      </c>
    </row>
    <row r="3843" spans="1:4" ht="45">
      <c r="A3843" s="47">
        <v>91170</v>
      </c>
      <c r="B3843" s="48" t="s">
        <v>5610</v>
      </c>
      <c r="C3843" s="47" t="s">
        <v>71</v>
      </c>
      <c r="D3843" s="332">
        <v>1.71</v>
      </c>
    </row>
    <row r="3844" spans="1:4" ht="45">
      <c r="A3844" s="28">
        <v>91171</v>
      </c>
      <c r="B3844" s="26" t="s">
        <v>5606</v>
      </c>
      <c r="C3844" s="28" t="s">
        <v>71</v>
      </c>
      <c r="D3844" s="329">
        <v>2.12</v>
      </c>
    </row>
    <row r="3845" spans="1:4" ht="45">
      <c r="A3845" s="47">
        <v>91172</v>
      </c>
      <c r="B3845" s="48" t="s">
        <v>5608</v>
      </c>
      <c r="C3845" s="47" t="s">
        <v>71</v>
      </c>
      <c r="D3845" s="332">
        <v>3.13</v>
      </c>
    </row>
    <row r="3846" spans="1:4" ht="45">
      <c r="A3846" s="28">
        <v>91173</v>
      </c>
      <c r="B3846" s="26" t="s">
        <v>5613</v>
      </c>
      <c r="C3846" s="28" t="s">
        <v>71</v>
      </c>
      <c r="D3846" s="329">
        <v>0.87</v>
      </c>
    </row>
    <row r="3847" spans="1:4" ht="45">
      <c r="A3847" s="47">
        <v>91174</v>
      </c>
      <c r="B3847" s="48" t="s">
        <v>5611</v>
      </c>
      <c r="C3847" s="47" t="s">
        <v>71</v>
      </c>
      <c r="D3847" s="332">
        <v>1.68</v>
      </c>
    </row>
    <row r="3848" spans="1:4" ht="30">
      <c r="A3848" s="28">
        <v>91175</v>
      </c>
      <c r="B3848" s="26" t="s">
        <v>5612</v>
      </c>
      <c r="C3848" s="28" t="s">
        <v>71</v>
      </c>
      <c r="D3848" s="329">
        <v>2.75</v>
      </c>
    </row>
    <row r="3849" spans="1:4" ht="30">
      <c r="A3849" s="47">
        <v>91182</v>
      </c>
      <c r="B3849" s="48" t="s">
        <v>5603</v>
      </c>
      <c r="C3849" s="47" t="s">
        <v>71</v>
      </c>
      <c r="D3849" s="332">
        <v>17.989999999999998</v>
      </c>
    </row>
    <row r="3850" spans="1:4" ht="45">
      <c r="A3850" s="28">
        <v>91183</v>
      </c>
      <c r="B3850" s="26" t="s">
        <v>5599</v>
      </c>
      <c r="C3850" s="28" t="s">
        <v>71</v>
      </c>
      <c r="D3850" s="329">
        <v>8.9499999999999993</v>
      </c>
    </row>
    <row r="3851" spans="1:4" ht="30">
      <c r="A3851" s="47">
        <v>91184</v>
      </c>
      <c r="B3851" s="48" t="s">
        <v>5601</v>
      </c>
      <c r="C3851" s="47" t="s">
        <v>71</v>
      </c>
      <c r="D3851" s="332">
        <v>8.3800000000000008</v>
      </c>
    </row>
    <row r="3852" spans="1:4" ht="45">
      <c r="A3852" s="28">
        <v>91185</v>
      </c>
      <c r="B3852" s="26" t="s">
        <v>5609</v>
      </c>
      <c r="C3852" s="28" t="s">
        <v>71</v>
      </c>
      <c r="D3852" s="329">
        <v>4.62</v>
      </c>
    </row>
    <row r="3853" spans="1:4" ht="45">
      <c r="A3853" s="47">
        <v>91186</v>
      </c>
      <c r="B3853" s="48" t="s">
        <v>5605</v>
      </c>
      <c r="C3853" s="47" t="s">
        <v>71</v>
      </c>
      <c r="D3853" s="332">
        <v>3.83</v>
      </c>
    </row>
    <row r="3854" spans="1:4" ht="45">
      <c r="A3854" s="28">
        <v>91187</v>
      </c>
      <c r="B3854" s="26" t="s">
        <v>5607</v>
      </c>
      <c r="C3854" s="28" t="s">
        <v>71</v>
      </c>
      <c r="D3854" s="329">
        <v>4.42</v>
      </c>
    </row>
    <row r="3855" spans="1:4" ht="30">
      <c r="A3855" s="47">
        <v>91188</v>
      </c>
      <c r="B3855" s="48" t="s">
        <v>3606</v>
      </c>
      <c r="C3855" s="47" t="s">
        <v>65</v>
      </c>
      <c r="D3855" s="332">
        <v>4.4000000000000004</v>
      </c>
    </row>
    <row r="3856" spans="1:4" ht="30">
      <c r="A3856" s="28">
        <v>91189</v>
      </c>
      <c r="B3856" s="26" t="s">
        <v>3607</v>
      </c>
      <c r="C3856" s="28" t="s">
        <v>65</v>
      </c>
      <c r="D3856" s="329">
        <v>28.21</v>
      </c>
    </row>
    <row r="3857" spans="1:4" ht="30">
      <c r="A3857" s="47">
        <v>91190</v>
      </c>
      <c r="B3857" s="48" t="s">
        <v>3609</v>
      </c>
      <c r="C3857" s="47" t="s">
        <v>65</v>
      </c>
      <c r="D3857" s="332">
        <v>3.26</v>
      </c>
    </row>
    <row r="3858" spans="1:4" ht="30">
      <c r="A3858" s="28">
        <v>91191</v>
      </c>
      <c r="B3858" s="26" t="s">
        <v>3610</v>
      </c>
      <c r="C3858" s="28" t="s">
        <v>65</v>
      </c>
      <c r="D3858" s="329">
        <v>3.46</v>
      </c>
    </row>
    <row r="3859" spans="1:4" ht="30">
      <c r="A3859" s="47">
        <v>91192</v>
      </c>
      <c r="B3859" s="48" t="s">
        <v>3608</v>
      </c>
      <c r="C3859" s="47" t="s">
        <v>65</v>
      </c>
      <c r="D3859" s="332">
        <v>3.84</v>
      </c>
    </row>
    <row r="3860" spans="1:4" ht="30">
      <c r="A3860" s="28">
        <v>91222</v>
      </c>
      <c r="B3860" s="26" t="s">
        <v>8535</v>
      </c>
      <c r="C3860" s="28" t="s">
        <v>71</v>
      </c>
      <c r="D3860" s="329">
        <v>9.14</v>
      </c>
    </row>
    <row r="3861" spans="1:4" ht="45">
      <c r="A3861" s="47">
        <v>94480</v>
      </c>
      <c r="B3861" s="48" t="s">
        <v>3950</v>
      </c>
      <c r="C3861" s="47" t="s">
        <v>65</v>
      </c>
      <c r="D3861" s="332">
        <v>1560.31</v>
      </c>
    </row>
    <row r="3862" spans="1:4" ht="45">
      <c r="A3862" s="28">
        <v>94481</v>
      </c>
      <c r="B3862" s="26" t="s">
        <v>3949</v>
      </c>
      <c r="C3862" s="28" t="s">
        <v>65</v>
      </c>
      <c r="D3862" s="329">
        <v>1107.5999999999999</v>
      </c>
    </row>
    <row r="3863" spans="1:4" ht="45">
      <c r="A3863" s="47">
        <v>94482</v>
      </c>
      <c r="B3863" s="48" t="s">
        <v>3948</v>
      </c>
      <c r="C3863" s="47" t="s">
        <v>65</v>
      </c>
      <c r="D3863" s="332">
        <v>882.72</v>
      </c>
    </row>
    <row r="3864" spans="1:4" ht="45">
      <c r="A3864" s="28">
        <v>94483</v>
      </c>
      <c r="B3864" s="26" t="s">
        <v>3947</v>
      </c>
      <c r="C3864" s="28" t="s">
        <v>65</v>
      </c>
      <c r="D3864" s="329">
        <v>745.57</v>
      </c>
    </row>
    <row r="3865" spans="1:4">
      <c r="A3865" s="47">
        <v>95541</v>
      </c>
      <c r="B3865" s="48" t="s">
        <v>11095</v>
      </c>
      <c r="C3865" s="47" t="s">
        <v>65</v>
      </c>
      <c r="D3865" s="332">
        <v>3.02</v>
      </c>
    </row>
    <row r="3866" spans="1:4" ht="30">
      <c r="A3866" s="28">
        <v>95573</v>
      </c>
      <c r="B3866" s="26" t="s">
        <v>11096</v>
      </c>
      <c r="C3866" s="28" t="s">
        <v>65</v>
      </c>
      <c r="D3866" s="329">
        <v>29.03</v>
      </c>
    </row>
    <row r="3867" spans="1:4" ht="30">
      <c r="A3867" s="47">
        <v>95574</v>
      </c>
      <c r="B3867" s="48" t="s">
        <v>11097</v>
      </c>
      <c r="C3867" s="47" t="s">
        <v>65</v>
      </c>
      <c r="D3867" s="332">
        <v>21.94</v>
      </c>
    </row>
    <row r="3868" spans="1:4">
      <c r="A3868" s="28" t="s">
        <v>782</v>
      </c>
      <c r="B3868" s="26" t="s">
        <v>6051</v>
      </c>
      <c r="C3868" s="28" t="s">
        <v>65</v>
      </c>
      <c r="D3868" s="329">
        <v>417.85</v>
      </c>
    </row>
    <row r="3869" spans="1:4">
      <c r="A3869" s="47" t="s">
        <v>783</v>
      </c>
      <c r="B3869" s="48" t="s">
        <v>6052</v>
      </c>
      <c r="C3869" s="47" t="s">
        <v>65</v>
      </c>
      <c r="D3869" s="332">
        <v>543.20000000000005</v>
      </c>
    </row>
    <row r="3870" spans="1:4">
      <c r="A3870" s="28" t="s">
        <v>784</v>
      </c>
      <c r="B3870" s="26" t="s">
        <v>6057</v>
      </c>
      <c r="C3870" s="28" t="s">
        <v>65</v>
      </c>
      <c r="D3870" s="329">
        <v>157.13999999999999</v>
      </c>
    </row>
    <row r="3871" spans="1:4">
      <c r="A3871" s="47" t="s">
        <v>785</v>
      </c>
      <c r="B3871" s="48" t="s">
        <v>6058</v>
      </c>
      <c r="C3871" s="47" t="s">
        <v>65</v>
      </c>
      <c r="D3871" s="332">
        <v>251.43</v>
      </c>
    </row>
    <row r="3872" spans="1:4">
      <c r="A3872" s="28" t="s">
        <v>786</v>
      </c>
      <c r="B3872" s="26" t="s">
        <v>6059</v>
      </c>
      <c r="C3872" s="28" t="s">
        <v>65</v>
      </c>
      <c r="D3872" s="329">
        <v>502.86</v>
      </c>
    </row>
    <row r="3873" spans="1:4">
      <c r="A3873" s="47" t="s">
        <v>787</v>
      </c>
      <c r="B3873" s="48" t="s">
        <v>6060</v>
      </c>
      <c r="C3873" s="47" t="s">
        <v>65</v>
      </c>
      <c r="D3873" s="332">
        <v>754.29</v>
      </c>
    </row>
    <row r="3874" spans="1:4">
      <c r="A3874" s="28" t="s">
        <v>788</v>
      </c>
      <c r="B3874" s="26" t="s">
        <v>6066</v>
      </c>
      <c r="C3874" s="28" t="s">
        <v>65</v>
      </c>
      <c r="D3874" s="329">
        <v>1067.97</v>
      </c>
    </row>
    <row r="3875" spans="1:4">
      <c r="A3875" s="47" t="s">
        <v>789</v>
      </c>
      <c r="B3875" s="48" t="s">
        <v>6064</v>
      </c>
      <c r="C3875" s="47" t="s">
        <v>65</v>
      </c>
      <c r="D3875" s="332">
        <v>1452.45</v>
      </c>
    </row>
    <row r="3876" spans="1:4">
      <c r="A3876" s="28" t="s">
        <v>790</v>
      </c>
      <c r="B3876" s="26" t="s">
        <v>6065</v>
      </c>
      <c r="C3876" s="28" t="s">
        <v>65</v>
      </c>
      <c r="D3876" s="329">
        <v>1623.32</v>
      </c>
    </row>
    <row r="3877" spans="1:4">
      <c r="A3877" s="47" t="s">
        <v>791</v>
      </c>
      <c r="B3877" s="48" t="s">
        <v>6053</v>
      </c>
      <c r="C3877" s="47" t="s">
        <v>65</v>
      </c>
      <c r="D3877" s="332">
        <v>427.19</v>
      </c>
    </row>
    <row r="3878" spans="1:4">
      <c r="A3878" s="28" t="s">
        <v>792</v>
      </c>
      <c r="B3878" s="26" t="s">
        <v>6055</v>
      </c>
      <c r="C3878" s="28" t="s">
        <v>65</v>
      </c>
      <c r="D3878" s="329">
        <v>555.34</v>
      </c>
    </row>
    <row r="3879" spans="1:4">
      <c r="A3879" s="47" t="s">
        <v>793</v>
      </c>
      <c r="B3879" s="48" t="s">
        <v>6056</v>
      </c>
      <c r="C3879" s="47" t="s">
        <v>65</v>
      </c>
      <c r="D3879" s="332">
        <v>854.38</v>
      </c>
    </row>
    <row r="3880" spans="1:4">
      <c r="A3880" s="28" t="s">
        <v>794</v>
      </c>
      <c r="B3880" s="26" t="s">
        <v>6054</v>
      </c>
      <c r="C3880" s="28" t="s">
        <v>65</v>
      </c>
      <c r="D3880" s="329">
        <v>1367.01</v>
      </c>
    </row>
    <row r="3881" spans="1:4">
      <c r="A3881" s="47" t="s">
        <v>795</v>
      </c>
      <c r="B3881" s="48" t="s">
        <v>6061</v>
      </c>
      <c r="C3881" s="47" t="s">
        <v>65</v>
      </c>
      <c r="D3881" s="332">
        <v>157.13999999999999</v>
      </c>
    </row>
    <row r="3882" spans="1:4">
      <c r="A3882" s="28" t="s">
        <v>796</v>
      </c>
      <c r="B3882" s="26" t="s">
        <v>6063</v>
      </c>
      <c r="C3882" s="28" t="s">
        <v>65</v>
      </c>
      <c r="D3882" s="329">
        <v>314.29000000000002</v>
      </c>
    </row>
    <row r="3883" spans="1:4">
      <c r="A3883" s="47" t="s">
        <v>797</v>
      </c>
      <c r="B3883" s="48" t="s">
        <v>6062</v>
      </c>
      <c r="C3883" s="47" t="s">
        <v>65</v>
      </c>
      <c r="D3883" s="332">
        <v>628.58000000000004</v>
      </c>
    </row>
    <row r="3884" spans="1:4">
      <c r="A3884" s="28">
        <v>73612</v>
      </c>
      <c r="B3884" s="26" t="s">
        <v>6050</v>
      </c>
      <c r="C3884" s="28" t="s">
        <v>65</v>
      </c>
      <c r="D3884" s="329">
        <v>342.73</v>
      </c>
    </row>
    <row r="3885" spans="1:4">
      <c r="A3885" s="47">
        <v>73660</v>
      </c>
      <c r="B3885" s="48" t="s">
        <v>798</v>
      </c>
      <c r="C3885" s="47" t="s">
        <v>256</v>
      </c>
      <c r="D3885" s="332">
        <v>54.18</v>
      </c>
    </row>
    <row r="3886" spans="1:4">
      <c r="A3886" s="28">
        <v>73661</v>
      </c>
      <c r="B3886" s="26" t="s">
        <v>5660</v>
      </c>
      <c r="C3886" s="28" t="s">
        <v>65</v>
      </c>
      <c r="D3886" s="329">
        <v>1880.59</v>
      </c>
    </row>
    <row r="3887" spans="1:4">
      <c r="A3887" s="47">
        <v>73693</v>
      </c>
      <c r="B3887" s="48" t="s">
        <v>6725</v>
      </c>
      <c r="C3887" s="47" t="s">
        <v>256</v>
      </c>
      <c r="D3887" s="332">
        <v>16.68</v>
      </c>
    </row>
    <row r="3888" spans="1:4">
      <c r="A3888" s="28">
        <v>73694</v>
      </c>
      <c r="B3888" s="26" t="s">
        <v>6049</v>
      </c>
      <c r="C3888" s="28" t="s">
        <v>65</v>
      </c>
      <c r="D3888" s="329">
        <v>116.81</v>
      </c>
    </row>
    <row r="3889" spans="1:4">
      <c r="A3889" s="47">
        <v>73695</v>
      </c>
      <c r="B3889" s="48" t="s">
        <v>6048</v>
      </c>
      <c r="C3889" s="47" t="s">
        <v>65</v>
      </c>
      <c r="D3889" s="332">
        <v>60.07</v>
      </c>
    </row>
    <row r="3890" spans="1:4">
      <c r="A3890" s="28" t="s">
        <v>799</v>
      </c>
      <c r="B3890" s="26" t="s">
        <v>6068</v>
      </c>
      <c r="C3890" s="28" t="s">
        <v>65</v>
      </c>
      <c r="D3890" s="329">
        <v>342.73</v>
      </c>
    </row>
    <row r="3891" spans="1:4">
      <c r="A3891" s="47" t="s">
        <v>800</v>
      </c>
      <c r="B3891" s="48" t="s">
        <v>10776</v>
      </c>
      <c r="C3891" s="47" t="s">
        <v>256</v>
      </c>
      <c r="D3891" s="332">
        <v>713.12</v>
      </c>
    </row>
    <row r="3892" spans="1:4">
      <c r="A3892" s="28" t="s">
        <v>801</v>
      </c>
      <c r="B3892" s="26" t="s">
        <v>6727</v>
      </c>
      <c r="C3892" s="28" t="s">
        <v>255</v>
      </c>
      <c r="D3892" s="329">
        <v>59.88</v>
      </c>
    </row>
    <row r="3893" spans="1:4">
      <c r="A3893" s="47" t="s">
        <v>802</v>
      </c>
      <c r="B3893" s="48" t="s">
        <v>6728</v>
      </c>
      <c r="C3893" s="47" t="s">
        <v>255</v>
      </c>
      <c r="D3893" s="332">
        <v>126.59</v>
      </c>
    </row>
    <row r="3894" spans="1:4">
      <c r="A3894" s="28" t="s">
        <v>803</v>
      </c>
      <c r="B3894" s="26" t="s">
        <v>6724</v>
      </c>
      <c r="C3894" s="28" t="s">
        <v>255</v>
      </c>
      <c r="D3894" s="329">
        <v>59.88</v>
      </c>
    </row>
    <row r="3895" spans="1:4">
      <c r="A3895" s="47" t="s">
        <v>804</v>
      </c>
      <c r="B3895" s="48" t="s">
        <v>6726</v>
      </c>
      <c r="C3895" s="47" t="s">
        <v>255</v>
      </c>
      <c r="D3895" s="332">
        <v>65.58</v>
      </c>
    </row>
    <row r="3896" spans="1:4">
      <c r="A3896" s="28" t="s">
        <v>805</v>
      </c>
      <c r="B3896" s="26" t="s">
        <v>6723</v>
      </c>
      <c r="C3896" s="28" t="s">
        <v>255</v>
      </c>
      <c r="D3896" s="329">
        <v>59.88</v>
      </c>
    </row>
    <row r="3897" spans="1:4">
      <c r="A3897" s="47" t="s">
        <v>806</v>
      </c>
      <c r="B3897" s="48" t="s">
        <v>807</v>
      </c>
      <c r="C3897" s="47" t="s">
        <v>65</v>
      </c>
      <c r="D3897" s="332">
        <v>68.849999999999994</v>
      </c>
    </row>
    <row r="3898" spans="1:4">
      <c r="A3898" s="28" t="s">
        <v>808</v>
      </c>
      <c r="B3898" s="26" t="s">
        <v>6567</v>
      </c>
      <c r="C3898" s="28" t="s">
        <v>65</v>
      </c>
      <c r="D3898" s="329">
        <v>63.44</v>
      </c>
    </row>
    <row r="3899" spans="1:4" ht="30">
      <c r="A3899" s="47" t="s">
        <v>809</v>
      </c>
      <c r="B3899" s="48" t="s">
        <v>810</v>
      </c>
      <c r="C3899" s="47" t="s">
        <v>71</v>
      </c>
      <c r="D3899" s="332">
        <v>18.66</v>
      </c>
    </row>
    <row r="3900" spans="1:4">
      <c r="A3900" s="28">
        <v>83878</v>
      </c>
      <c r="B3900" s="26" t="s">
        <v>6733</v>
      </c>
      <c r="C3900" s="28" t="s">
        <v>65</v>
      </c>
      <c r="D3900" s="329">
        <v>41.54</v>
      </c>
    </row>
    <row r="3901" spans="1:4">
      <c r="A3901" s="47">
        <v>83879</v>
      </c>
      <c r="B3901" s="48" t="s">
        <v>6734</v>
      </c>
      <c r="C3901" s="47" t="s">
        <v>65</v>
      </c>
      <c r="D3901" s="332">
        <v>48.26</v>
      </c>
    </row>
    <row r="3902" spans="1:4" ht="45">
      <c r="A3902" s="28">
        <v>73658</v>
      </c>
      <c r="B3902" s="26" t="s">
        <v>6735</v>
      </c>
      <c r="C3902" s="28" t="s">
        <v>65</v>
      </c>
      <c r="D3902" s="329">
        <v>434.88</v>
      </c>
    </row>
    <row r="3903" spans="1:4" ht="60">
      <c r="A3903" s="47">
        <v>93350</v>
      </c>
      <c r="B3903" s="48" t="s">
        <v>3650</v>
      </c>
      <c r="C3903" s="47" t="s">
        <v>65</v>
      </c>
      <c r="D3903" s="332">
        <v>611.73</v>
      </c>
    </row>
    <row r="3904" spans="1:4" ht="60">
      <c r="A3904" s="28">
        <v>93351</v>
      </c>
      <c r="B3904" s="26" t="s">
        <v>3656</v>
      </c>
      <c r="C3904" s="28" t="s">
        <v>65</v>
      </c>
      <c r="D3904" s="329">
        <v>502.81</v>
      </c>
    </row>
    <row r="3905" spans="1:4" ht="60">
      <c r="A3905" s="47">
        <v>93352</v>
      </c>
      <c r="B3905" s="48" t="s">
        <v>3654</v>
      </c>
      <c r="C3905" s="47" t="s">
        <v>65</v>
      </c>
      <c r="D3905" s="332">
        <v>391.8</v>
      </c>
    </row>
    <row r="3906" spans="1:4" ht="60">
      <c r="A3906" s="28">
        <v>93353</v>
      </c>
      <c r="B3906" s="26" t="s">
        <v>3652</v>
      </c>
      <c r="C3906" s="28" t="s">
        <v>65</v>
      </c>
      <c r="D3906" s="329">
        <v>286.17</v>
      </c>
    </row>
    <row r="3907" spans="1:4" ht="60">
      <c r="A3907" s="47">
        <v>93354</v>
      </c>
      <c r="B3907" s="48" t="s">
        <v>3651</v>
      </c>
      <c r="C3907" s="47" t="s">
        <v>65</v>
      </c>
      <c r="D3907" s="332">
        <v>470.53</v>
      </c>
    </row>
    <row r="3908" spans="1:4" ht="60">
      <c r="A3908" s="28">
        <v>93355</v>
      </c>
      <c r="B3908" s="26" t="s">
        <v>3657</v>
      </c>
      <c r="C3908" s="28" t="s">
        <v>65</v>
      </c>
      <c r="D3908" s="329">
        <v>391.55</v>
      </c>
    </row>
    <row r="3909" spans="1:4" ht="60">
      <c r="A3909" s="47">
        <v>93356</v>
      </c>
      <c r="B3909" s="48" t="s">
        <v>3655</v>
      </c>
      <c r="C3909" s="47" t="s">
        <v>65</v>
      </c>
      <c r="D3909" s="332">
        <v>309.63</v>
      </c>
    </row>
    <row r="3910" spans="1:4" ht="60">
      <c r="A3910" s="28">
        <v>93357</v>
      </c>
      <c r="B3910" s="26" t="s">
        <v>3653</v>
      </c>
      <c r="C3910" s="28" t="s">
        <v>65</v>
      </c>
      <c r="D3910" s="329">
        <v>232.23</v>
      </c>
    </row>
    <row r="3911" spans="1:4" ht="45">
      <c r="A3911" s="47" t="s">
        <v>811</v>
      </c>
      <c r="B3911" s="48" t="s">
        <v>5140</v>
      </c>
      <c r="C3911" s="47" t="s">
        <v>255</v>
      </c>
      <c r="D3911" s="332">
        <v>35.14</v>
      </c>
    </row>
    <row r="3912" spans="1:4">
      <c r="A3912" s="28">
        <v>83335</v>
      </c>
      <c r="B3912" s="26" t="s">
        <v>5141</v>
      </c>
      <c r="C3912" s="28" t="s">
        <v>255</v>
      </c>
      <c r="D3912" s="329">
        <v>46.64</v>
      </c>
    </row>
    <row r="3913" spans="1:4">
      <c r="A3913" s="47">
        <v>88548</v>
      </c>
      <c r="B3913" s="48" t="s">
        <v>4838</v>
      </c>
      <c r="C3913" s="47" t="s">
        <v>255</v>
      </c>
      <c r="D3913" s="332">
        <v>31.7</v>
      </c>
    </row>
    <row r="3914" spans="1:4">
      <c r="A3914" s="28" t="s">
        <v>812</v>
      </c>
      <c r="B3914" s="26" t="s">
        <v>813</v>
      </c>
      <c r="C3914" s="28" t="s">
        <v>256</v>
      </c>
      <c r="D3914" s="329">
        <v>0.42</v>
      </c>
    </row>
    <row r="3915" spans="1:4">
      <c r="A3915" s="47" t="s">
        <v>814</v>
      </c>
      <c r="B3915" s="48" t="s">
        <v>815</v>
      </c>
      <c r="C3915" s="47" t="s">
        <v>255</v>
      </c>
      <c r="D3915" s="332">
        <v>2.2200000000000002</v>
      </c>
    </row>
    <row r="3916" spans="1:4" ht="30">
      <c r="A3916" s="28" t="s">
        <v>816</v>
      </c>
      <c r="B3916" s="26" t="s">
        <v>5104</v>
      </c>
      <c r="C3916" s="28" t="s">
        <v>255</v>
      </c>
      <c r="D3916" s="329">
        <v>3.64</v>
      </c>
    </row>
    <row r="3917" spans="1:4">
      <c r="A3917" s="47" t="s">
        <v>827</v>
      </c>
      <c r="B3917" s="48" t="s">
        <v>5257</v>
      </c>
      <c r="C3917" s="47" t="s">
        <v>256</v>
      </c>
      <c r="D3917" s="332">
        <v>0.23</v>
      </c>
    </row>
    <row r="3918" spans="1:4" ht="30">
      <c r="A3918" s="28" t="s">
        <v>817</v>
      </c>
      <c r="B3918" s="26" t="s">
        <v>5186</v>
      </c>
      <c r="C3918" s="28" t="s">
        <v>255</v>
      </c>
      <c r="D3918" s="329">
        <v>5.13</v>
      </c>
    </row>
    <row r="3919" spans="1:4" ht="30">
      <c r="A3919" s="47" t="s">
        <v>818</v>
      </c>
      <c r="B3919" s="48" t="s">
        <v>5105</v>
      </c>
      <c r="C3919" s="47" t="s">
        <v>255</v>
      </c>
      <c r="D3919" s="332">
        <v>1.92</v>
      </c>
    </row>
    <row r="3920" spans="1:4" ht="30">
      <c r="A3920" s="28" t="s">
        <v>819</v>
      </c>
      <c r="B3920" s="26" t="s">
        <v>5106</v>
      </c>
      <c r="C3920" s="28" t="s">
        <v>255</v>
      </c>
      <c r="D3920" s="329">
        <v>3.71</v>
      </c>
    </row>
    <row r="3921" spans="1:4" ht="30">
      <c r="A3921" s="47" t="s">
        <v>820</v>
      </c>
      <c r="B3921" s="48" t="s">
        <v>5111</v>
      </c>
      <c r="C3921" s="47" t="s">
        <v>255</v>
      </c>
      <c r="D3921" s="332">
        <v>1.85</v>
      </c>
    </row>
    <row r="3922" spans="1:4">
      <c r="A3922" s="28">
        <v>79472</v>
      </c>
      <c r="B3922" s="26" t="s">
        <v>8710</v>
      </c>
      <c r="C3922" s="28" t="s">
        <v>256</v>
      </c>
      <c r="D3922" s="329">
        <v>0.52</v>
      </c>
    </row>
    <row r="3923" spans="1:4">
      <c r="A3923" s="47">
        <v>79473</v>
      </c>
      <c r="B3923" s="48" t="s">
        <v>821</v>
      </c>
      <c r="C3923" s="47" t="s">
        <v>255</v>
      </c>
      <c r="D3923" s="332">
        <v>6.79</v>
      </c>
    </row>
    <row r="3924" spans="1:4" ht="30">
      <c r="A3924" s="28">
        <v>79480</v>
      </c>
      <c r="B3924" s="26" t="s">
        <v>5110</v>
      </c>
      <c r="C3924" s="28" t="s">
        <v>255</v>
      </c>
      <c r="D3924" s="329">
        <v>2.88</v>
      </c>
    </row>
    <row r="3925" spans="1:4" ht="30">
      <c r="A3925" s="47">
        <v>83336</v>
      </c>
      <c r="B3925" s="48" t="s">
        <v>5116</v>
      </c>
      <c r="C3925" s="47" t="s">
        <v>255</v>
      </c>
      <c r="D3925" s="332">
        <v>4.38</v>
      </c>
    </row>
    <row r="3926" spans="1:4" ht="30">
      <c r="A3926" s="28">
        <v>83338</v>
      </c>
      <c r="B3926" s="26" t="s">
        <v>5117</v>
      </c>
      <c r="C3926" s="28" t="s">
        <v>255</v>
      </c>
      <c r="D3926" s="329">
        <v>2.6</v>
      </c>
    </row>
    <row r="3927" spans="1:4" ht="60">
      <c r="A3927" s="47">
        <v>89885</v>
      </c>
      <c r="B3927" s="48" t="s">
        <v>5146</v>
      </c>
      <c r="C3927" s="47" t="s">
        <v>255</v>
      </c>
      <c r="D3927" s="332">
        <v>7.48</v>
      </c>
    </row>
    <row r="3928" spans="1:4" ht="60">
      <c r="A3928" s="28">
        <v>89886</v>
      </c>
      <c r="B3928" s="26" t="s">
        <v>5147</v>
      </c>
      <c r="C3928" s="28" t="s">
        <v>255</v>
      </c>
      <c r="D3928" s="329">
        <v>7.51</v>
      </c>
    </row>
    <row r="3929" spans="1:4" ht="60">
      <c r="A3929" s="47">
        <v>89887</v>
      </c>
      <c r="B3929" s="48" t="s">
        <v>5148</v>
      </c>
      <c r="C3929" s="47" t="s">
        <v>255</v>
      </c>
      <c r="D3929" s="332">
        <v>7.71</v>
      </c>
    </row>
    <row r="3930" spans="1:4" ht="60">
      <c r="A3930" s="28">
        <v>89888</v>
      </c>
      <c r="B3930" s="26" t="s">
        <v>5149</v>
      </c>
      <c r="C3930" s="28" t="s">
        <v>255</v>
      </c>
      <c r="D3930" s="329">
        <v>7.64</v>
      </c>
    </row>
    <row r="3931" spans="1:4" ht="60">
      <c r="A3931" s="47">
        <v>89889</v>
      </c>
      <c r="B3931" s="48" t="s">
        <v>5150</v>
      </c>
      <c r="C3931" s="47" t="s">
        <v>255</v>
      </c>
      <c r="D3931" s="332">
        <v>7.86</v>
      </c>
    </row>
    <row r="3932" spans="1:4" ht="60">
      <c r="A3932" s="28">
        <v>89890</v>
      </c>
      <c r="B3932" s="26" t="s">
        <v>5153</v>
      </c>
      <c r="C3932" s="28" t="s">
        <v>255</v>
      </c>
      <c r="D3932" s="329">
        <v>10.59</v>
      </c>
    </row>
    <row r="3933" spans="1:4" ht="60">
      <c r="A3933" s="47">
        <v>89891</v>
      </c>
      <c r="B3933" s="48" t="s">
        <v>5154</v>
      </c>
      <c r="C3933" s="47" t="s">
        <v>255</v>
      </c>
      <c r="D3933" s="332">
        <v>10.77</v>
      </c>
    </row>
    <row r="3934" spans="1:4" ht="60">
      <c r="A3934" s="28">
        <v>89892</v>
      </c>
      <c r="B3934" s="26" t="s">
        <v>5155</v>
      </c>
      <c r="C3934" s="28" t="s">
        <v>255</v>
      </c>
      <c r="D3934" s="329">
        <v>10</v>
      </c>
    </row>
    <row r="3935" spans="1:4" ht="60">
      <c r="A3935" s="47">
        <v>89893</v>
      </c>
      <c r="B3935" s="48" t="s">
        <v>5158</v>
      </c>
      <c r="C3935" s="47" t="s">
        <v>255</v>
      </c>
      <c r="D3935" s="332">
        <v>12.9</v>
      </c>
    </row>
    <row r="3936" spans="1:4" ht="60">
      <c r="A3936" s="28">
        <v>89894</v>
      </c>
      <c r="B3936" s="26" t="s">
        <v>5161</v>
      </c>
      <c r="C3936" s="28" t="s">
        <v>255</v>
      </c>
      <c r="D3936" s="329">
        <v>14.44</v>
      </c>
    </row>
    <row r="3937" spans="1:4" ht="60">
      <c r="A3937" s="47">
        <v>89895</v>
      </c>
      <c r="B3937" s="48" t="s">
        <v>5163</v>
      </c>
      <c r="C3937" s="47" t="s">
        <v>255</v>
      </c>
      <c r="D3937" s="332">
        <v>17.29</v>
      </c>
    </row>
    <row r="3938" spans="1:4" ht="60">
      <c r="A3938" s="28">
        <v>89903</v>
      </c>
      <c r="B3938" s="26" t="s">
        <v>5142</v>
      </c>
      <c r="C3938" s="28" t="s">
        <v>255</v>
      </c>
      <c r="D3938" s="329">
        <v>6.36</v>
      </c>
    </row>
    <row r="3939" spans="1:4" ht="60">
      <c r="A3939" s="47">
        <v>89904</v>
      </c>
      <c r="B3939" s="48" t="s">
        <v>5143</v>
      </c>
      <c r="C3939" s="47" t="s">
        <v>255</v>
      </c>
      <c r="D3939" s="332">
        <v>6.39</v>
      </c>
    </row>
    <row r="3940" spans="1:4" ht="60">
      <c r="A3940" s="28">
        <v>89905</v>
      </c>
      <c r="B3940" s="26" t="s">
        <v>5144</v>
      </c>
      <c r="C3940" s="28" t="s">
        <v>255</v>
      </c>
      <c r="D3940" s="329">
        <v>6.56</v>
      </c>
    </row>
    <row r="3941" spans="1:4" ht="60">
      <c r="A3941" s="47">
        <v>89906</v>
      </c>
      <c r="B3941" s="48" t="s">
        <v>5145</v>
      </c>
      <c r="C3941" s="47" t="s">
        <v>255</v>
      </c>
      <c r="D3941" s="332">
        <v>6.51</v>
      </c>
    </row>
    <row r="3942" spans="1:4" ht="60">
      <c r="A3942" s="28">
        <v>89907</v>
      </c>
      <c r="B3942" s="26" t="s">
        <v>5151</v>
      </c>
      <c r="C3942" s="28" t="s">
        <v>255</v>
      </c>
      <c r="D3942" s="329">
        <v>7.5</v>
      </c>
    </row>
    <row r="3943" spans="1:4" ht="60">
      <c r="A3943" s="47">
        <v>89908</v>
      </c>
      <c r="B3943" s="48" t="s">
        <v>5156</v>
      </c>
      <c r="C3943" s="47" t="s">
        <v>255</v>
      </c>
      <c r="D3943" s="332">
        <v>9.9700000000000006</v>
      </c>
    </row>
    <row r="3944" spans="1:4" ht="60">
      <c r="A3944" s="28">
        <v>89909</v>
      </c>
      <c r="B3944" s="26" t="s">
        <v>5157</v>
      </c>
      <c r="C3944" s="28" t="s">
        <v>255</v>
      </c>
      <c r="D3944" s="329">
        <v>10.119999999999999</v>
      </c>
    </row>
    <row r="3945" spans="1:4" ht="60">
      <c r="A3945" s="47">
        <v>89910</v>
      </c>
      <c r="B3945" s="48" t="s">
        <v>5152</v>
      </c>
      <c r="C3945" s="47" t="s">
        <v>255</v>
      </c>
      <c r="D3945" s="332">
        <v>8.68</v>
      </c>
    </row>
    <row r="3946" spans="1:4" ht="60">
      <c r="A3946" s="28">
        <v>89911</v>
      </c>
      <c r="B3946" s="26" t="s">
        <v>5159</v>
      </c>
      <c r="C3946" s="28" t="s">
        <v>255</v>
      </c>
      <c r="D3946" s="329">
        <v>12.06</v>
      </c>
    </row>
    <row r="3947" spans="1:4" ht="60">
      <c r="A3947" s="47">
        <v>89912</v>
      </c>
      <c r="B3947" s="48" t="s">
        <v>5160</v>
      </c>
      <c r="C3947" s="47" t="s">
        <v>255</v>
      </c>
      <c r="D3947" s="332">
        <v>12.71</v>
      </c>
    </row>
    <row r="3948" spans="1:4" ht="60">
      <c r="A3948" s="28">
        <v>89913</v>
      </c>
      <c r="B3948" s="26" t="s">
        <v>5162</v>
      </c>
      <c r="C3948" s="28" t="s">
        <v>255</v>
      </c>
      <c r="D3948" s="329">
        <v>15.29</v>
      </c>
    </row>
    <row r="3949" spans="1:4" ht="60">
      <c r="A3949" s="47">
        <v>89921</v>
      </c>
      <c r="B3949" s="48" t="s">
        <v>5164</v>
      </c>
      <c r="C3949" s="47" t="s">
        <v>255</v>
      </c>
      <c r="D3949" s="332">
        <v>5.97</v>
      </c>
    </row>
    <row r="3950" spans="1:4" ht="60">
      <c r="A3950" s="28">
        <v>89922</v>
      </c>
      <c r="B3950" s="26" t="s">
        <v>5165</v>
      </c>
      <c r="C3950" s="28" t="s">
        <v>255</v>
      </c>
      <c r="D3950" s="329">
        <v>6</v>
      </c>
    </row>
    <row r="3951" spans="1:4" ht="60">
      <c r="A3951" s="47">
        <v>89923</v>
      </c>
      <c r="B3951" s="48" t="s">
        <v>5166</v>
      </c>
      <c r="C3951" s="47" t="s">
        <v>255</v>
      </c>
      <c r="D3951" s="332">
        <v>6.2</v>
      </c>
    </row>
    <row r="3952" spans="1:4" ht="60">
      <c r="A3952" s="28">
        <v>89924</v>
      </c>
      <c r="B3952" s="26" t="s">
        <v>5167</v>
      </c>
      <c r="C3952" s="28" t="s">
        <v>255</v>
      </c>
      <c r="D3952" s="329">
        <v>6.14</v>
      </c>
    </row>
    <row r="3953" spans="1:4" ht="60">
      <c r="A3953" s="47">
        <v>89925</v>
      </c>
      <c r="B3953" s="48" t="s">
        <v>5168</v>
      </c>
      <c r="C3953" s="47" t="s">
        <v>255</v>
      </c>
      <c r="D3953" s="332">
        <v>6.35</v>
      </c>
    </row>
    <row r="3954" spans="1:4" ht="60">
      <c r="A3954" s="28">
        <v>89926</v>
      </c>
      <c r="B3954" s="26" t="s">
        <v>5175</v>
      </c>
      <c r="C3954" s="28" t="s">
        <v>255</v>
      </c>
      <c r="D3954" s="329">
        <v>9.43</v>
      </c>
    </row>
    <row r="3955" spans="1:4" ht="60">
      <c r="A3955" s="47">
        <v>89927</v>
      </c>
      <c r="B3955" s="48" t="s">
        <v>5176</v>
      </c>
      <c r="C3955" s="47" t="s">
        <v>255</v>
      </c>
      <c r="D3955" s="332">
        <v>9.61</v>
      </c>
    </row>
    <row r="3956" spans="1:4" ht="60">
      <c r="A3956" s="28">
        <v>89928</v>
      </c>
      <c r="B3956" s="26" t="s">
        <v>5177</v>
      </c>
      <c r="C3956" s="28" t="s">
        <v>255</v>
      </c>
      <c r="D3956" s="329">
        <v>8.8699999999999992</v>
      </c>
    </row>
    <row r="3957" spans="1:4" ht="60">
      <c r="A3957" s="47">
        <v>89929</v>
      </c>
      <c r="B3957" s="48" t="s">
        <v>5181</v>
      </c>
      <c r="C3957" s="47" t="s">
        <v>255</v>
      </c>
      <c r="D3957" s="332">
        <v>12.12</v>
      </c>
    </row>
    <row r="3958" spans="1:4" ht="60">
      <c r="A3958" s="28">
        <v>89930</v>
      </c>
      <c r="B3958" s="26" t="s">
        <v>5182</v>
      </c>
      <c r="C3958" s="28" t="s">
        <v>255</v>
      </c>
      <c r="D3958" s="329">
        <v>12.81</v>
      </c>
    </row>
    <row r="3959" spans="1:4" ht="60">
      <c r="A3959" s="47">
        <v>89931</v>
      </c>
      <c r="B3959" s="48" t="s">
        <v>5185</v>
      </c>
      <c r="C3959" s="47" t="s">
        <v>255</v>
      </c>
      <c r="D3959" s="332">
        <v>16.03</v>
      </c>
    </row>
    <row r="3960" spans="1:4" ht="60">
      <c r="A3960" s="28">
        <v>89939</v>
      </c>
      <c r="B3960" s="26" t="s">
        <v>5169</v>
      </c>
      <c r="C3960" s="28" t="s">
        <v>255</v>
      </c>
      <c r="D3960" s="329">
        <v>5.58</v>
      </c>
    </row>
    <row r="3961" spans="1:4" ht="60">
      <c r="A3961" s="47">
        <v>89940</v>
      </c>
      <c r="B3961" s="48" t="s">
        <v>5170</v>
      </c>
      <c r="C3961" s="47" t="s">
        <v>255</v>
      </c>
      <c r="D3961" s="332">
        <v>5.59</v>
      </c>
    </row>
    <row r="3962" spans="1:4" ht="60">
      <c r="A3962" s="28">
        <v>89941</v>
      </c>
      <c r="B3962" s="26" t="s">
        <v>5171</v>
      </c>
      <c r="C3962" s="28" t="s">
        <v>255</v>
      </c>
      <c r="D3962" s="329">
        <v>5.78</v>
      </c>
    </row>
    <row r="3963" spans="1:4" ht="60">
      <c r="A3963" s="47">
        <v>89942</v>
      </c>
      <c r="B3963" s="48" t="s">
        <v>5172</v>
      </c>
      <c r="C3963" s="47" t="s">
        <v>255</v>
      </c>
      <c r="D3963" s="332">
        <v>5.72</v>
      </c>
    </row>
    <row r="3964" spans="1:4" ht="60">
      <c r="A3964" s="28">
        <v>89943</v>
      </c>
      <c r="B3964" s="26" t="s">
        <v>5173</v>
      </c>
      <c r="C3964" s="28" t="s">
        <v>255</v>
      </c>
      <c r="D3964" s="329">
        <v>5.91</v>
      </c>
    </row>
    <row r="3965" spans="1:4" ht="60">
      <c r="A3965" s="47">
        <v>89944</v>
      </c>
      <c r="B3965" s="48" t="s">
        <v>5178</v>
      </c>
      <c r="C3965" s="47" t="s">
        <v>255</v>
      </c>
      <c r="D3965" s="332">
        <v>8.69</v>
      </c>
    </row>
    <row r="3966" spans="1:4" ht="60">
      <c r="A3966" s="28">
        <v>89945</v>
      </c>
      <c r="B3966" s="26" t="s">
        <v>5179</v>
      </c>
      <c r="C3966" s="28" t="s">
        <v>255</v>
      </c>
      <c r="D3966" s="329">
        <v>8.85</v>
      </c>
    </row>
    <row r="3967" spans="1:4" ht="60">
      <c r="A3967" s="47">
        <v>89946</v>
      </c>
      <c r="B3967" s="48" t="s">
        <v>5174</v>
      </c>
      <c r="C3967" s="47" t="s">
        <v>255</v>
      </c>
      <c r="D3967" s="332">
        <v>7.63</v>
      </c>
    </row>
    <row r="3968" spans="1:4" ht="60">
      <c r="A3968" s="28">
        <v>89947</v>
      </c>
      <c r="B3968" s="26" t="s">
        <v>5180</v>
      </c>
      <c r="C3968" s="28" t="s">
        <v>255</v>
      </c>
      <c r="D3968" s="329">
        <v>10.55</v>
      </c>
    </row>
    <row r="3969" spans="1:4" ht="60">
      <c r="A3969" s="47">
        <v>89948</v>
      </c>
      <c r="B3969" s="48" t="s">
        <v>5183</v>
      </c>
      <c r="C3969" s="47" t="s">
        <v>255</v>
      </c>
      <c r="D3969" s="332">
        <v>11.73</v>
      </c>
    </row>
    <row r="3970" spans="1:4" ht="60">
      <c r="A3970" s="28">
        <v>89949</v>
      </c>
      <c r="B3970" s="26" t="s">
        <v>5184</v>
      </c>
      <c r="C3970" s="28" t="s">
        <v>255</v>
      </c>
      <c r="D3970" s="329">
        <v>14.06</v>
      </c>
    </row>
    <row r="3971" spans="1:4" ht="30">
      <c r="A3971" s="47">
        <v>72915</v>
      </c>
      <c r="B3971" s="48" t="s">
        <v>5114</v>
      </c>
      <c r="C3971" s="47" t="s">
        <v>255</v>
      </c>
      <c r="D3971" s="332">
        <v>10.78</v>
      </c>
    </row>
    <row r="3972" spans="1:4" ht="30">
      <c r="A3972" s="28">
        <v>72917</v>
      </c>
      <c r="B3972" s="26" t="s">
        <v>5112</v>
      </c>
      <c r="C3972" s="28" t="s">
        <v>255</v>
      </c>
      <c r="D3972" s="329">
        <v>12.31</v>
      </c>
    </row>
    <row r="3973" spans="1:4" ht="30">
      <c r="A3973" s="47">
        <v>72918</v>
      </c>
      <c r="B3973" s="48" t="s">
        <v>5113</v>
      </c>
      <c r="C3973" s="47" t="s">
        <v>255</v>
      </c>
      <c r="D3973" s="332">
        <v>14.37</v>
      </c>
    </row>
    <row r="3974" spans="1:4" ht="30">
      <c r="A3974" s="28" t="s">
        <v>822</v>
      </c>
      <c r="B3974" s="26" t="s">
        <v>5108</v>
      </c>
      <c r="C3974" s="28" t="s">
        <v>255</v>
      </c>
      <c r="D3974" s="329">
        <v>116.93</v>
      </c>
    </row>
    <row r="3975" spans="1:4">
      <c r="A3975" s="47" t="s">
        <v>823</v>
      </c>
      <c r="B3975" s="48" t="s">
        <v>5109</v>
      </c>
      <c r="C3975" s="47" t="s">
        <v>255</v>
      </c>
      <c r="D3975" s="332">
        <v>175.39</v>
      </c>
    </row>
    <row r="3976" spans="1:4" ht="30">
      <c r="A3976" s="28" t="s">
        <v>824</v>
      </c>
      <c r="B3976" s="26" t="s">
        <v>7298</v>
      </c>
      <c r="C3976" s="28" t="s">
        <v>255</v>
      </c>
      <c r="D3976" s="329">
        <v>28.06</v>
      </c>
    </row>
    <row r="3977" spans="1:4" ht="30">
      <c r="A3977" s="47" t="s">
        <v>825</v>
      </c>
      <c r="B3977" s="48" t="s">
        <v>7297</v>
      </c>
      <c r="C3977" s="47" t="s">
        <v>255</v>
      </c>
      <c r="D3977" s="332">
        <v>25.25</v>
      </c>
    </row>
    <row r="3978" spans="1:4" ht="30">
      <c r="A3978" s="28">
        <v>83343</v>
      </c>
      <c r="B3978" s="26" t="s">
        <v>5115</v>
      </c>
      <c r="C3978" s="28" t="s">
        <v>255</v>
      </c>
      <c r="D3978" s="329">
        <v>13.67</v>
      </c>
    </row>
    <row r="3979" spans="1:4" ht="60">
      <c r="A3979" s="47">
        <v>90082</v>
      </c>
      <c r="B3979" s="48" t="s">
        <v>5118</v>
      </c>
      <c r="C3979" s="47" t="s">
        <v>255</v>
      </c>
      <c r="D3979" s="332">
        <v>13.64</v>
      </c>
    </row>
    <row r="3980" spans="1:4" ht="60">
      <c r="A3980" s="28">
        <v>90084</v>
      </c>
      <c r="B3980" s="26" t="s">
        <v>5125</v>
      </c>
      <c r="C3980" s="28" t="s">
        <v>255</v>
      </c>
      <c r="D3980" s="329">
        <v>12</v>
      </c>
    </row>
    <row r="3981" spans="1:4" ht="60">
      <c r="A3981" s="47">
        <v>90085</v>
      </c>
      <c r="B3981" s="48" t="s">
        <v>5123</v>
      </c>
      <c r="C3981" s="47" t="s">
        <v>255</v>
      </c>
      <c r="D3981" s="332">
        <v>8.6199999999999992</v>
      </c>
    </row>
    <row r="3982" spans="1:4" ht="60">
      <c r="A3982" s="28">
        <v>90086</v>
      </c>
      <c r="B3982" s="26" t="s">
        <v>5131</v>
      </c>
      <c r="C3982" s="28" t="s">
        <v>255</v>
      </c>
      <c r="D3982" s="329">
        <v>9.27</v>
      </c>
    </row>
    <row r="3983" spans="1:4" ht="60">
      <c r="A3983" s="47">
        <v>90087</v>
      </c>
      <c r="B3983" s="48" t="s">
        <v>5122</v>
      </c>
      <c r="C3983" s="47" t="s">
        <v>255</v>
      </c>
      <c r="D3983" s="332">
        <v>5.34</v>
      </c>
    </row>
    <row r="3984" spans="1:4" ht="60">
      <c r="A3984" s="28">
        <v>90088</v>
      </c>
      <c r="B3984" s="26" t="s">
        <v>5135</v>
      </c>
      <c r="C3984" s="28" t="s">
        <v>255</v>
      </c>
      <c r="D3984" s="329">
        <v>6.18</v>
      </c>
    </row>
    <row r="3985" spans="1:4" ht="60">
      <c r="A3985" s="47">
        <v>90090</v>
      </c>
      <c r="B3985" s="48" t="s">
        <v>5134</v>
      </c>
      <c r="C3985" s="47" t="s">
        <v>255</v>
      </c>
      <c r="D3985" s="332">
        <v>4.38</v>
      </c>
    </row>
    <row r="3986" spans="1:4" ht="60">
      <c r="A3986" s="28">
        <v>90091</v>
      </c>
      <c r="B3986" s="26" t="s">
        <v>5121</v>
      </c>
      <c r="C3986" s="28" t="s">
        <v>255</v>
      </c>
      <c r="D3986" s="329">
        <v>5.86</v>
      </c>
    </row>
    <row r="3987" spans="1:4" ht="60">
      <c r="A3987" s="47">
        <v>90092</v>
      </c>
      <c r="B3987" s="48" t="s">
        <v>5128</v>
      </c>
      <c r="C3987" s="47" t="s">
        <v>255</v>
      </c>
      <c r="D3987" s="332">
        <v>5.2</v>
      </c>
    </row>
    <row r="3988" spans="1:4" ht="60">
      <c r="A3988" s="28">
        <v>90093</v>
      </c>
      <c r="B3988" s="26" t="s">
        <v>5124</v>
      </c>
      <c r="C3988" s="28" t="s">
        <v>255</v>
      </c>
      <c r="D3988" s="329">
        <v>3.64</v>
      </c>
    </row>
    <row r="3989" spans="1:4" ht="60">
      <c r="A3989" s="47">
        <v>90094</v>
      </c>
      <c r="B3989" s="48" t="s">
        <v>5129</v>
      </c>
      <c r="C3989" s="47" t="s">
        <v>255</v>
      </c>
      <c r="D3989" s="332">
        <v>3.89</v>
      </c>
    </row>
    <row r="3990" spans="1:4" ht="60">
      <c r="A3990" s="28">
        <v>90095</v>
      </c>
      <c r="B3990" s="26" t="s">
        <v>5130</v>
      </c>
      <c r="C3990" s="28" t="s">
        <v>255</v>
      </c>
      <c r="D3990" s="329">
        <v>2.3199999999999998</v>
      </c>
    </row>
    <row r="3991" spans="1:4" ht="60">
      <c r="A3991" s="47">
        <v>90096</v>
      </c>
      <c r="B3991" s="48" t="s">
        <v>5133</v>
      </c>
      <c r="C3991" s="47" t="s">
        <v>255</v>
      </c>
      <c r="D3991" s="332">
        <v>2.62</v>
      </c>
    </row>
    <row r="3992" spans="1:4" ht="60">
      <c r="A3992" s="28">
        <v>90098</v>
      </c>
      <c r="B3992" s="26" t="s">
        <v>5132</v>
      </c>
      <c r="C3992" s="28" t="s">
        <v>255</v>
      </c>
      <c r="D3992" s="329">
        <v>1.78</v>
      </c>
    </row>
    <row r="3993" spans="1:4" ht="60">
      <c r="A3993" s="47">
        <v>90099</v>
      </c>
      <c r="B3993" s="48" t="s">
        <v>5120</v>
      </c>
      <c r="C3993" s="47" t="s">
        <v>255</v>
      </c>
      <c r="D3993" s="332">
        <v>17.510000000000002</v>
      </c>
    </row>
    <row r="3994" spans="1:4" ht="60">
      <c r="A3994" s="28">
        <v>90100</v>
      </c>
      <c r="B3994" s="26" t="s">
        <v>5119</v>
      </c>
      <c r="C3994" s="28" t="s">
        <v>255</v>
      </c>
      <c r="D3994" s="329">
        <v>14.93</v>
      </c>
    </row>
    <row r="3995" spans="1:4" ht="60">
      <c r="A3995" s="47">
        <v>90101</v>
      </c>
      <c r="B3995" s="48" t="s">
        <v>5127</v>
      </c>
      <c r="C3995" s="47" t="s">
        <v>255</v>
      </c>
      <c r="D3995" s="332">
        <v>14.74</v>
      </c>
    </row>
    <row r="3996" spans="1:4" ht="60">
      <c r="A3996" s="28">
        <v>90102</v>
      </c>
      <c r="B3996" s="26" t="s">
        <v>5126</v>
      </c>
      <c r="C3996" s="28" t="s">
        <v>255</v>
      </c>
      <c r="D3996" s="329">
        <v>13.53</v>
      </c>
    </row>
    <row r="3997" spans="1:4" ht="60">
      <c r="A3997" s="47">
        <v>90105</v>
      </c>
      <c r="B3997" s="48" t="s">
        <v>5137</v>
      </c>
      <c r="C3997" s="47" t="s">
        <v>255</v>
      </c>
      <c r="D3997" s="332">
        <v>13.35</v>
      </c>
    </row>
    <row r="3998" spans="1:4" ht="60">
      <c r="A3998" s="28">
        <v>90106</v>
      </c>
      <c r="B3998" s="26" t="s">
        <v>5136</v>
      </c>
      <c r="C3998" s="28" t="s">
        <v>255</v>
      </c>
      <c r="D3998" s="329">
        <v>11.43</v>
      </c>
    </row>
    <row r="3999" spans="1:4" ht="75">
      <c r="A3999" s="47">
        <v>90107</v>
      </c>
      <c r="B3999" s="48" t="s">
        <v>5139</v>
      </c>
      <c r="C3999" s="47" t="s">
        <v>255</v>
      </c>
      <c r="D3999" s="332">
        <v>11.26</v>
      </c>
    </row>
    <row r="4000" spans="1:4" ht="75">
      <c r="A4000" s="28">
        <v>90108</v>
      </c>
      <c r="B4000" s="26" t="s">
        <v>5138</v>
      </c>
      <c r="C4000" s="28" t="s">
        <v>255</v>
      </c>
      <c r="D4000" s="329">
        <v>10.25</v>
      </c>
    </row>
    <row r="4001" spans="1:4">
      <c r="A4001" s="47">
        <v>93358</v>
      </c>
      <c r="B4001" s="48" t="s">
        <v>826</v>
      </c>
      <c r="C4001" s="47" t="s">
        <v>255</v>
      </c>
      <c r="D4001" s="332">
        <v>46.25</v>
      </c>
    </row>
    <row r="4002" spans="1:4">
      <c r="A4002" s="28">
        <v>79482</v>
      </c>
      <c r="B4002" s="26" t="s">
        <v>2341</v>
      </c>
      <c r="C4002" s="28" t="s">
        <v>255</v>
      </c>
      <c r="D4002" s="329">
        <v>74.63</v>
      </c>
    </row>
    <row r="4003" spans="1:4" ht="45">
      <c r="A4003" s="47">
        <v>94304</v>
      </c>
      <c r="B4003" s="48" t="s">
        <v>2351</v>
      </c>
      <c r="C4003" s="47" t="s">
        <v>255</v>
      </c>
      <c r="D4003" s="332">
        <v>23.29</v>
      </c>
    </row>
    <row r="4004" spans="1:4" ht="45">
      <c r="A4004" s="28">
        <v>94305</v>
      </c>
      <c r="B4004" s="26" t="s">
        <v>2345</v>
      </c>
      <c r="C4004" s="28" t="s">
        <v>255</v>
      </c>
      <c r="D4004" s="329">
        <v>20.83</v>
      </c>
    </row>
    <row r="4005" spans="1:4" ht="45">
      <c r="A4005" s="47">
        <v>94306</v>
      </c>
      <c r="B4005" s="48" t="s">
        <v>2353</v>
      </c>
      <c r="C4005" s="47" t="s">
        <v>255</v>
      </c>
      <c r="D4005" s="332">
        <v>17.73</v>
      </c>
    </row>
    <row r="4006" spans="1:4" ht="45">
      <c r="A4006" s="28">
        <v>94307</v>
      </c>
      <c r="B4006" s="26" t="s">
        <v>2347</v>
      </c>
      <c r="C4006" s="28" t="s">
        <v>255</v>
      </c>
      <c r="D4006" s="329">
        <v>18.46</v>
      </c>
    </row>
    <row r="4007" spans="1:4" ht="45">
      <c r="A4007" s="47">
        <v>94308</v>
      </c>
      <c r="B4007" s="48" t="s">
        <v>2355</v>
      </c>
      <c r="C4007" s="47" t="s">
        <v>255</v>
      </c>
      <c r="D4007" s="332">
        <v>16.440000000000001</v>
      </c>
    </row>
    <row r="4008" spans="1:4" ht="45">
      <c r="A4008" s="28">
        <v>94309</v>
      </c>
      <c r="B4008" s="26" t="s">
        <v>2349</v>
      </c>
      <c r="C4008" s="28" t="s">
        <v>255</v>
      </c>
      <c r="D4008" s="329">
        <v>17.39</v>
      </c>
    </row>
    <row r="4009" spans="1:4" ht="45">
      <c r="A4009" s="47">
        <v>94310</v>
      </c>
      <c r="B4009" s="48" t="s">
        <v>2357</v>
      </c>
      <c r="C4009" s="47" t="s">
        <v>255</v>
      </c>
      <c r="D4009" s="332">
        <v>15.78</v>
      </c>
    </row>
    <row r="4010" spans="1:4" ht="45">
      <c r="A4010" s="28">
        <v>94315</v>
      </c>
      <c r="B4010" s="26" t="s">
        <v>2359</v>
      </c>
      <c r="C4010" s="28" t="s">
        <v>255</v>
      </c>
      <c r="D4010" s="329">
        <v>26.71</v>
      </c>
    </row>
    <row r="4011" spans="1:4" ht="45">
      <c r="A4011" s="47">
        <v>94316</v>
      </c>
      <c r="B4011" s="48" t="s">
        <v>2363</v>
      </c>
      <c r="C4011" s="47" t="s">
        <v>255</v>
      </c>
      <c r="D4011" s="332">
        <v>21.39</v>
      </c>
    </row>
    <row r="4012" spans="1:4" ht="45">
      <c r="A4012" s="28">
        <v>94317</v>
      </c>
      <c r="B4012" s="26" t="s">
        <v>2361</v>
      </c>
      <c r="C4012" s="28" t="s">
        <v>255</v>
      </c>
      <c r="D4012" s="329">
        <v>19.04</v>
      </c>
    </row>
    <row r="4013" spans="1:4" ht="45">
      <c r="A4013" s="47">
        <v>94318</v>
      </c>
      <c r="B4013" s="48" t="s">
        <v>2365</v>
      </c>
      <c r="C4013" s="47" t="s">
        <v>255</v>
      </c>
      <c r="D4013" s="332">
        <v>16.03</v>
      </c>
    </row>
    <row r="4014" spans="1:4" ht="30">
      <c r="A4014" s="28">
        <v>94319</v>
      </c>
      <c r="B4014" s="26" t="s">
        <v>2343</v>
      </c>
      <c r="C4014" s="28" t="s">
        <v>255</v>
      </c>
      <c r="D4014" s="329">
        <v>26.44</v>
      </c>
    </row>
    <row r="4015" spans="1:4" ht="45">
      <c r="A4015" s="47">
        <v>94327</v>
      </c>
      <c r="B4015" s="48" t="s">
        <v>2350</v>
      </c>
      <c r="C4015" s="47" t="s">
        <v>255</v>
      </c>
      <c r="D4015" s="332">
        <v>70.87</v>
      </c>
    </row>
    <row r="4016" spans="1:4" ht="45">
      <c r="A4016" s="28">
        <v>94328</v>
      </c>
      <c r="B4016" s="26" t="s">
        <v>2344</v>
      </c>
      <c r="C4016" s="28" t="s">
        <v>255</v>
      </c>
      <c r="D4016" s="329">
        <v>68.42</v>
      </c>
    </row>
    <row r="4017" spans="1:4" ht="45">
      <c r="A4017" s="47">
        <v>94329</v>
      </c>
      <c r="B4017" s="48" t="s">
        <v>2352</v>
      </c>
      <c r="C4017" s="47" t="s">
        <v>255</v>
      </c>
      <c r="D4017" s="332">
        <v>65.319999999999993</v>
      </c>
    </row>
    <row r="4018" spans="1:4" ht="45">
      <c r="A4018" s="28">
        <v>94330</v>
      </c>
      <c r="B4018" s="26" t="s">
        <v>2346</v>
      </c>
      <c r="C4018" s="28" t="s">
        <v>255</v>
      </c>
      <c r="D4018" s="329">
        <v>66.040000000000006</v>
      </c>
    </row>
    <row r="4019" spans="1:4" ht="45">
      <c r="A4019" s="47">
        <v>94331</v>
      </c>
      <c r="B4019" s="48" t="s">
        <v>2354</v>
      </c>
      <c r="C4019" s="47" t="s">
        <v>255</v>
      </c>
      <c r="D4019" s="332">
        <v>64.02</v>
      </c>
    </row>
    <row r="4020" spans="1:4" ht="45">
      <c r="A4020" s="28">
        <v>94332</v>
      </c>
      <c r="B4020" s="26" t="s">
        <v>2348</v>
      </c>
      <c r="C4020" s="28" t="s">
        <v>255</v>
      </c>
      <c r="D4020" s="329">
        <v>64.97</v>
      </c>
    </row>
    <row r="4021" spans="1:4" ht="45">
      <c r="A4021" s="47">
        <v>94333</v>
      </c>
      <c r="B4021" s="48" t="s">
        <v>2356</v>
      </c>
      <c r="C4021" s="47" t="s">
        <v>255</v>
      </c>
      <c r="D4021" s="332">
        <v>63.36</v>
      </c>
    </row>
    <row r="4022" spans="1:4" ht="45">
      <c r="A4022" s="28">
        <v>94338</v>
      </c>
      <c r="B4022" s="26" t="s">
        <v>2358</v>
      </c>
      <c r="C4022" s="28" t="s">
        <v>255</v>
      </c>
      <c r="D4022" s="329">
        <v>74.3</v>
      </c>
    </row>
    <row r="4023" spans="1:4" ht="45">
      <c r="A4023" s="47">
        <v>94339</v>
      </c>
      <c r="B4023" s="48" t="s">
        <v>2362</v>
      </c>
      <c r="C4023" s="47" t="s">
        <v>255</v>
      </c>
      <c r="D4023" s="332">
        <v>68.97</v>
      </c>
    </row>
    <row r="4024" spans="1:4" ht="45">
      <c r="A4024" s="28">
        <v>94340</v>
      </c>
      <c r="B4024" s="26" t="s">
        <v>2360</v>
      </c>
      <c r="C4024" s="28" t="s">
        <v>255</v>
      </c>
      <c r="D4024" s="329">
        <v>66.63</v>
      </c>
    </row>
    <row r="4025" spans="1:4" ht="45">
      <c r="A4025" s="47">
        <v>94341</v>
      </c>
      <c r="B4025" s="48" t="s">
        <v>2364</v>
      </c>
      <c r="C4025" s="47" t="s">
        <v>255</v>
      </c>
      <c r="D4025" s="332">
        <v>63.61</v>
      </c>
    </row>
    <row r="4026" spans="1:4" ht="30">
      <c r="A4026" s="28">
        <v>94342</v>
      </c>
      <c r="B4026" s="26" t="s">
        <v>2342</v>
      </c>
      <c r="C4026" s="28" t="s">
        <v>255</v>
      </c>
      <c r="D4026" s="329">
        <v>74.02</v>
      </c>
    </row>
    <row r="4027" spans="1:4">
      <c r="A4027" s="47">
        <v>55835</v>
      </c>
      <c r="B4027" s="48" t="s">
        <v>8544</v>
      </c>
      <c r="C4027" s="47" t="s">
        <v>255</v>
      </c>
      <c r="D4027" s="332">
        <v>40.92</v>
      </c>
    </row>
    <row r="4028" spans="1:4">
      <c r="A4028" s="28" t="s">
        <v>828</v>
      </c>
      <c r="B4028" s="26" t="s">
        <v>829</v>
      </c>
      <c r="C4028" s="28" t="s">
        <v>255</v>
      </c>
      <c r="D4028" s="329">
        <v>35.07</v>
      </c>
    </row>
    <row r="4029" spans="1:4">
      <c r="A4029" s="47">
        <v>83346</v>
      </c>
      <c r="B4029" s="48" t="s">
        <v>830</v>
      </c>
      <c r="C4029" s="47" t="s">
        <v>255</v>
      </c>
      <c r="D4029" s="332">
        <v>0.79</v>
      </c>
    </row>
    <row r="4030" spans="1:4" ht="60">
      <c r="A4030" s="28">
        <v>93360</v>
      </c>
      <c r="B4030" s="26" t="s">
        <v>8552</v>
      </c>
      <c r="C4030" s="28" t="s">
        <v>255</v>
      </c>
      <c r="D4030" s="329">
        <v>14.85</v>
      </c>
    </row>
    <row r="4031" spans="1:4" ht="60">
      <c r="A4031" s="47">
        <v>93361</v>
      </c>
      <c r="B4031" s="48" t="s">
        <v>8546</v>
      </c>
      <c r="C4031" s="47" t="s">
        <v>255</v>
      </c>
      <c r="D4031" s="332">
        <v>12.48</v>
      </c>
    </row>
    <row r="4032" spans="1:4" ht="60">
      <c r="A4032" s="28">
        <v>93362</v>
      </c>
      <c r="B4032" s="26" t="s">
        <v>8554</v>
      </c>
      <c r="C4032" s="28" t="s">
        <v>255</v>
      </c>
      <c r="D4032" s="329">
        <v>9.31</v>
      </c>
    </row>
    <row r="4033" spans="1:4" ht="60">
      <c r="A4033" s="47">
        <v>93363</v>
      </c>
      <c r="B4033" s="48" t="s">
        <v>8548</v>
      </c>
      <c r="C4033" s="47" t="s">
        <v>255</v>
      </c>
      <c r="D4033" s="332">
        <v>10.02</v>
      </c>
    </row>
    <row r="4034" spans="1:4" ht="60">
      <c r="A4034" s="28">
        <v>93364</v>
      </c>
      <c r="B4034" s="26" t="s">
        <v>8556</v>
      </c>
      <c r="C4034" s="28" t="s">
        <v>255</v>
      </c>
      <c r="D4034" s="329">
        <v>8</v>
      </c>
    </row>
    <row r="4035" spans="1:4" ht="60">
      <c r="A4035" s="47">
        <v>93365</v>
      </c>
      <c r="B4035" s="48" t="s">
        <v>8550</v>
      </c>
      <c r="C4035" s="47" t="s">
        <v>255</v>
      </c>
      <c r="D4035" s="332">
        <v>8.8800000000000008</v>
      </c>
    </row>
    <row r="4036" spans="1:4" ht="60">
      <c r="A4036" s="28">
        <v>93366</v>
      </c>
      <c r="B4036" s="26" t="s">
        <v>8558</v>
      </c>
      <c r="C4036" s="28" t="s">
        <v>255</v>
      </c>
      <c r="D4036" s="329">
        <v>7.35</v>
      </c>
    </row>
    <row r="4037" spans="1:4" ht="60">
      <c r="A4037" s="47">
        <v>93367</v>
      </c>
      <c r="B4037" s="48" t="s">
        <v>8553</v>
      </c>
      <c r="C4037" s="47" t="s">
        <v>255</v>
      </c>
      <c r="D4037" s="332">
        <v>13.78</v>
      </c>
    </row>
    <row r="4038" spans="1:4" ht="60">
      <c r="A4038" s="28">
        <v>93368</v>
      </c>
      <c r="B4038" s="26" t="s">
        <v>8547</v>
      </c>
      <c r="C4038" s="28" t="s">
        <v>255</v>
      </c>
      <c r="D4038" s="329">
        <v>11.32</v>
      </c>
    </row>
    <row r="4039" spans="1:4" ht="60">
      <c r="A4039" s="47">
        <v>93369</v>
      </c>
      <c r="B4039" s="48" t="s">
        <v>8555</v>
      </c>
      <c r="C4039" s="47" t="s">
        <v>255</v>
      </c>
      <c r="D4039" s="332">
        <v>8.2200000000000006</v>
      </c>
    </row>
    <row r="4040" spans="1:4" ht="60">
      <c r="A4040" s="28">
        <v>93370</v>
      </c>
      <c r="B4040" s="26" t="s">
        <v>8549</v>
      </c>
      <c r="C4040" s="28" t="s">
        <v>255</v>
      </c>
      <c r="D4040" s="329">
        <v>8.94</v>
      </c>
    </row>
    <row r="4041" spans="1:4" ht="60">
      <c r="A4041" s="47">
        <v>93371</v>
      </c>
      <c r="B4041" s="48" t="s">
        <v>8557</v>
      </c>
      <c r="C4041" s="47" t="s">
        <v>255</v>
      </c>
      <c r="D4041" s="332">
        <v>6.93</v>
      </c>
    </row>
    <row r="4042" spans="1:4" ht="60">
      <c r="A4042" s="28">
        <v>93372</v>
      </c>
      <c r="B4042" s="26" t="s">
        <v>8551</v>
      </c>
      <c r="C4042" s="28" t="s">
        <v>255</v>
      </c>
      <c r="D4042" s="329">
        <v>7.88</v>
      </c>
    </row>
    <row r="4043" spans="1:4" ht="60">
      <c r="A4043" s="47">
        <v>93373</v>
      </c>
      <c r="B4043" s="48" t="s">
        <v>8559</v>
      </c>
      <c r="C4043" s="47" t="s">
        <v>255</v>
      </c>
      <c r="D4043" s="332">
        <v>6.27</v>
      </c>
    </row>
    <row r="4044" spans="1:4" ht="60">
      <c r="A4044" s="28">
        <v>93374</v>
      </c>
      <c r="B4044" s="26" t="s">
        <v>8560</v>
      </c>
      <c r="C4044" s="28" t="s">
        <v>255</v>
      </c>
      <c r="D4044" s="329">
        <v>18.489999999999998</v>
      </c>
    </row>
    <row r="4045" spans="1:4" ht="60">
      <c r="A4045" s="47">
        <v>93375</v>
      </c>
      <c r="B4045" s="48" t="s">
        <v>8564</v>
      </c>
      <c r="C4045" s="47" t="s">
        <v>255</v>
      </c>
      <c r="D4045" s="332">
        <v>12.87</v>
      </c>
    </row>
    <row r="4046" spans="1:4" ht="60">
      <c r="A4046" s="28">
        <v>93376</v>
      </c>
      <c r="B4046" s="26" t="s">
        <v>8562</v>
      </c>
      <c r="C4046" s="28" t="s">
        <v>255</v>
      </c>
      <c r="D4046" s="329">
        <v>10.3</v>
      </c>
    </row>
    <row r="4047" spans="1:4" ht="60">
      <c r="A4047" s="47">
        <v>93377</v>
      </c>
      <c r="B4047" s="48" t="s">
        <v>8566</v>
      </c>
      <c r="C4047" s="47" t="s">
        <v>255</v>
      </c>
      <c r="D4047" s="332">
        <v>7.05</v>
      </c>
    </row>
    <row r="4048" spans="1:4" ht="60">
      <c r="A4048" s="28">
        <v>93378</v>
      </c>
      <c r="B4048" s="26" t="s">
        <v>8561</v>
      </c>
      <c r="C4048" s="28" t="s">
        <v>255</v>
      </c>
      <c r="D4048" s="329">
        <v>17.2</v>
      </c>
    </row>
    <row r="4049" spans="1:4" ht="60">
      <c r="A4049" s="47">
        <v>93379</v>
      </c>
      <c r="B4049" s="48" t="s">
        <v>8565</v>
      </c>
      <c r="C4049" s="47" t="s">
        <v>255</v>
      </c>
      <c r="D4049" s="332">
        <v>11.88</v>
      </c>
    </row>
    <row r="4050" spans="1:4" ht="60">
      <c r="A4050" s="28">
        <v>93380</v>
      </c>
      <c r="B4050" s="26" t="s">
        <v>8563</v>
      </c>
      <c r="C4050" s="28" t="s">
        <v>255</v>
      </c>
      <c r="D4050" s="329">
        <v>9.5299999999999994</v>
      </c>
    </row>
    <row r="4051" spans="1:4" ht="60">
      <c r="A4051" s="47">
        <v>93381</v>
      </c>
      <c r="B4051" s="48" t="s">
        <v>8567</v>
      </c>
      <c r="C4051" s="47" t="s">
        <v>255</v>
      </c>
      <c r="D4051" s="332">
        <v>6.52</v>
      </c>
    </row>
    <row r="4052" spans="1:4">
      <c r="A4052" s="28">
        <v>93382</v>
      </c>
      <c r="B4052" s="26" t="s">
        <v>8545</v>
      </c>
      <c r="C4052" s="28" t="s">
        <v>255</v>
      </c>
      <c r="D4052" s="329">
        <v>16.93</v>
      </c>
    </row>
    <row r="4053" spans="1:4">
      <c r="A4053" s="47">
        <v>72838</v>
      </c>
      <c r="B4053" s="48" t="s">
        <v>9895</v>
      </c>
      <c r="C4053" s="47" t="s">
        <v>9874</v>
      </c>
      <c r="D4053" s="332">
        <v>0.78</v>
      </c>
    </row>
    <row r="4054" spans="1:4" ht="30">
      <c r="A4054" s="28">
        <v>72839</v>
      </c>
      <c r="B4054" s="26" t="s">
        <v>9894</v>
      </c>
      <c r="C4054" s="28" t="s">
        <v>9874</v>
      </c>
      <c r="D4054" s="329">
        <v>0.63</v>
      </c>
    </row>
    <row r="4055" spans="1:4">
      <c r="A4055" s="47">
        <v>72840</v>
      </c>
      <c r="B4055" s="48" t="s">
        <v>9896</v>
      </c>
      <c r="C4055" s="47" t="s">
        <v>9874</v>
      </c>
      <c r="D4055" s="332">
        <v>0.52</v>
      </c>
    </row>
    <row r="4056" spans="1:4">
      <c r="A4056" s="28">
        <v>72841</v>
      </c>
      <c r="B4056" s="26" t="s">
        <v>9892</v>
      </c>
      <c r="C4056" s="28" t="s">
        <v>9874</v>
      </c>
      <c r="D4056" s="329">
        <v>0.96</v>
      </c>
    </row>
    <row r="4057" spans="1:4" ht="30">
      <c r="A4057" s="47">
        <v>72842</v>
      </c>
      <c r="B4057" s="48" t="s">
        <v>9891</v>
      </c>
      <c r="C4057" s="47" t="s">
        <v>9874</v>
      </c>
      <c r="D4057" s="332">
        <v>0.78</v>
      </c>
    </row>
    <row r="4058" spans="1:4">
      <c r="A4058" s="28">
        <v>72843</v>
      </c>
      <c r="B4058" s="26" t="s">
        <v>9893</v>
      </c>
      <c r="C4058" s="28" t="s">
        <v>9874</v>
      </c>
      <c r="D4058" s="329">
        <v>0.65</v>
      </c>
    </row>
    <row r="4059" spans="1:4" ht="30">
      <c r="A4059" s="47">
        <v>72844</v>
      </c>
      <c r="B4059" s="48" t="s">
        <v>3395</v>
      </c>
      <c r="C4059" s="47" t="s">
        <v>152</v>
      </c>
      <c r="D4059" s="332">
        <v>0.67</v>
      </c>
    </row>
    <row r="4060" spans="1:4" ht="30">
      <c r="A4060" s="28">
        <v>72845</v>
      </c>
      <c r="B4060" s="26" t="s">
        <v>3398</v>
      </c>
      <c r="C4060" s="28" t="s">
        <v>152</v>
      </c>
      <c r="D4060" s="329">
        <v>4.0599999999999996</v>
      </c>
    </row>
    <row r="4061" spans="1:4" ht="30">
      <c r="A4061" s="47">
        <v>72846</v>
      </c>
      <c r="B4061" s="48" t="s">
        <v>3404</v>
      </c>
      <c r="C4061" s="47" t="s">
        <v>152</v>
      </c>
      <c r="D4061" s="332">
        <v>3.35</v>
      </c>
    </row>
    <row r="4062" spans="1:4" ht="30">
      <c r="A4062" s="28">
        <v>72847</v>
      </c>
      <c r="B4062" s="26" t="s">
        <v>3403</v>
      </c>
      <c r="C4062" s="28" t="s">
        <v>152</v>
      </c>
      <c r="D4062" s="329">
        <v>7.23</v>
      </c>
    </row>
    <row r="4063" spans="1:4" ht="30">
      <c r="A4063" s="47">
        <v>72848</v>
      </c>
      <c r="B4063" s="48" t="s">
        <v>3396</v>
      </c>
      <c r="C4063" s="47" t="s">
        <v>152</v>
      </c>
      <c r="D4063" s="332">
        <v>1.8</v>
      </c>
    </row>
    <row r="4064" spans="1:4" ht="30">
      <c r="A4064" s="28">
        <v>72849</v>
      </c>
      <c r="B4064" s="26" t="s">
        <v>3406</v>
      </c>
      <c r="C4064" s="28" t="s">
        <v>152</v>
      </c>
      <c r="D4064" s="329">
        <v>2.31</v>
      </c>
    </row>
    <row r="4065" spans="1:4" ht="30">
      <c r="A4065" s="47">
        <v>72850</v>
      </c>
      <c r="B4065" s="48" t="s">
        <v>3402</v>
      </c>
      <c r="C4065" s="47" t="s">
        <v>152</v>
      </c>
      <c r="D4065" s="332">
        <v>9.8699999999999992</v>
      </c>
    </row>
    <row r="4066" spans="1:4">
      <c r="A4066" s="28">
        <v>72882</v>
      </c>
      <c r="B4066" s="26" t="s">
        <v>9895</v>
      </c>
      <c r="C4066" s="28" t="s">
        <v>9853</v>
      </c>
      <c r="D4066" s="329">
        <v>1.17</v>
      </c>
    </row>
    <row r="4067" spans="1:4" ht="30">
      <c r="A4067" s="47">
        <v>72883</v>
      </c>
      <c r="B4067" s="48" t="s">
        <v>9894</v>
      </c>
      <c r="C4067" s="47" t="s">
        <v>9853</v>
      </c>
      <c r="D4067" s="332">
        <v>0.93</v>
      </c>
    </row>
    <row r="4068" spans="1:4">
      <c r="A4068" s="28">
        <v>72884</v>
      </c>
      <c r="B4068" s="26" t="s">
        <v>9896</v>
      </c>
      <c r="C4068" s="28" t="s">
        <v>9853</v>
      </c>
      <c r="D4068" s="329">
        <v>0.78</v>
      </c>
    </row>
    <row r="4069" spans="1:4">
      <c r="A4069" s="47">
        <v>72885</v>
      </c>
      <c r="B4069" s="48" t="s">
        <v>9892</v>
      </c>
      <c r="C4069" s="47" t="s">
        <v>9853</v>
      </c>
      <c r="D4069" s="332">
        <v>1.44</v>
      </c>
    </row>
    <row r="4070" spans="1:4" ht="30">
      <c r="A4070" s="28">
        <v>72886</v>
      </c>
      <c r="B4070" s="26" t="s">
        <v>9891</v>
      </c>
      <c r="C4070" s="28" t="s">
        <v>9853</v>
      </c>
      <c r="D4070" s="329">
        <v>1.1499999999999999</v>
      </c>
    </row>
    <row r="4071" spans="1:4">
      <c r="A4071" s="47">
        <v>72887</v>
      </c>
      <c r="B4071" s="48" t="s">
        <v>9893</v>
      </c>
      <c r="C4071" s="47" t="s">
        <v>9853</v>
      </c>
      <c r="D4071" s="332">
        <v>0.96</v>
      </c>
    </row>
    <row r="4072" spans="1:4" ht="30">
      <c r="A4072" s="28">
        <v>72888</v>
      </c>
      <c r="B4072" s="26" t="s">
        <v>3395</v>
      </c>
      <c r="C4072" s="28" t="s">
        <v>255</v>
      </c>
      <c r="D4072" s="329">
        <v>1.01</v>
      </c>
    </row>
    <row r="4073" spans="1:4" ht="30">
      <c r="A4073" s="47">
        <v>72890</v>
      </c>
      <c r="B4073" s="48" t="s">
        <v>3399</v>
      </c>
      <c r="C4073" s="47" t="s">
        <v>255</v>
      </c>
      <c r="D4073" s="332">
        <v>6.1</v>
      </c>
    </row>
    <row r="4074" spans="1:4" ht="30">
      <c r="A4074" s="28">
        <v>72891</v>
      </c>
      <c r="B4074" s="26" t="s">
        <v>3405</v>
      </c>
      <c r="C4074" s="28" t="s">
        <v>255</v>
      </c>
      <c r="D4074" s="329">
        <v>5.03</v>
      </c>
    </row>
    <row r="4075" spans="1:4" ht="30">
      <c r="A4075" s="47">
        <v>72892</v>
      </c>
      <c r="B4075" s="48" t="s">
        <v>3400</v>
      </c>
      <c r="C4075" s="47" t="s">
        <v>255</v>
      </c>
      <c r="D4075" s="332">
        <v>10.84</v>
      </c>
    </row>
    <row r="4076" spans="1:4" ht="30">
      <c r="A4076" s="28">
        <v>72893</v>
      </c>
      <c r="B4076" s="26" t="s">
        <v>3397</v>
      </c>
      <c r="C4076" s="28" t="s">
        <v>255</v>
      </c>
      <c r="D4076" s="329">
        <v>2.7</v>
      </c>
    </row>
    <row r="4077" spans="1:4" ht="30">
      <c r="A4077" s="47">
        <v>72894</v>
      </c>
      <c r="B4077" s="48" t="s">
        <v>3407</v>
      </c>
      <c r="C4077" s="47" t="s">
        <v>255</v>
      </c>
      <c r="D4077" s="332">
        <v>3.47</v>
      </c>
    </row>
    <row r="4078" spans="1:4" ht="30">
      <c r="A4078" s="28">
        <v>72895</v>
      </c>
      <c r="B4078" s="26" t="s">
        <v>3401</v>
      </c>
      <c r="C4078" s="28" t="s">
        <v>255</v>
      </c>
      <c r="D4078" s="329">
        <v>18.29</v>
      </c>
    </row>
    <row r="4079" spans="1:4">
      <c r="A4079" s="47">
        <v>72897</v>
      </c>
      <c r="B4079" s="48" t="s">
        <v>3394</v>
      </c>
      <c r="C4079" s="47" t="s">
        <v>255</v>
      </c>
      <c r="D4079" s="332">
        <v>20.28</v>
      </c>
    </row>
    <row r="4080" spans="1:4">
      <c r="A4080" s="28">
        <v>72898</v>
      </c>
      <c r="B4080" s="26" t="s">
        <v>3393</v>
      </c>
      <c r="C4080" s="28" t="s">
        <v>255</v>
      </c>
      <c r="D4080" s="329">
        <v>1.01</v>
      </c>
    </row>
    <row r="4081" spans="1:4" ht="30">
      <c r="A4081" s="47">
        <v>72899</v>
      </c>
      <c r="B4081" s="48" t="s">
        <v>9898</v>
      </c>
      <c r="C4081" s="47" t="s">
        <v>255</v>
      </c>
      <c r="D4081" s="332">
        <v>4.72</v>
      </c>
    </row>
    <row r="4082" spans="1:4" ht="30">
      <c r="A4082" s="28">
        <v>72900</v>
      </c>
      <c r="B4082" s="26" t="s">
        <v>9897</v>
      </c>
      <c r="C4082" s="28" t="s">
        <v>255</v>
      </c>
      <c r="D4082" s="329">
        <v>5.2</v>
      </c>
    </row>
    <row r="4083" spans="1:4" ht="45">
      <c r="A4083" s="47" t="s">
        <v>831</v>
      </c>
      <c r="B4083" s="48" t="s">
        <v>3392</v>
      </c>
      <c r="C4083" s="47" t="s">
        <v>255</v>
      </c>
      <c r="D4083" s="332">
        <v>1.7</v>
      </c>
    </row>
    <row r="4084" spans="1:4" ht="30">
      <c r="A4084" s="28" t="s">
        <v>832</v>
      </c>
      <c r="B4084" s="26" t="s">
        <v>4992</v>
      </c>
      <c r="C4084" s="28" t="s">
        <v>255</v>
      </c>
      <c r="D4084" s="329">
        <v>3.49</v>
      </c>
    </row>
    <row r="4085" spans="1:4">
      <c r="A4085" s="47">
        <v>83356</v>
      </c>
      <c r="B4085" s="48" t="s">
        <v>833</v>
      </c>
      <c r="C4085" s="47" t="s">
        <v>9853</v>
      </c>
      <c r="D4085" s="332">
        <v>0.69</v>
      </c>
    </row>
    <row r="4086" spans="1:4">
      <c r="A4086" s="28">
        <v>83358</v>
      </c>
      <c r="B4086" s="26" t="s">
        <v>9903</v>
      </c>
      <c r="C4086" s="28" t="s">
        <v>9853</v>
      </c>
      <c r="D4086" s="329">
        <v>1.43</v>
      </c>
    </row>
    <row r="4087" spans="1:4" ht="30">
      <c r="A4087" s="47">
        <v>95285</v>
      </c>
      <c r="B4087" s="48" t="s">
        <v>9859</v>
      </c>
      <c r="C4087" s="47" t="s">
        <v>255</v>
      </c>
      <c r="D4087" s="332">
        <v>3.29</v>
      </c>
    </row>
    <row r="4088" spans="1:4" ht="30">
      <c r="A4088" s="28">
        <v>95286</v>
      </c>
      <c r="B4088" s="26" t="s">
        <v>9855</v>
      </c>
      <c r="C4088" s="28" t="s">
        <v>255</v>
      </c>
      <c r="D4088" s="329">
        <v>3.38</v>
      </c>
    </row>
    <row r="4089" spans="1:4" ht="30">
      <c r="A4089" s="47">
        <v>95287</v>
      </c>
      <c r="B4089" s="48" t="s">
        <v>9856</v>
      </c>
      <c r="C4089" s="47" t="s">
        <v>255</v>
      </c>
      <c r="D4089" s="332">
        <v>3.47</v>
      </c>
    </row>
    <row r="4090" spans="1:4" ht="30">
      <c r="A4090" s="28">
        <v>95288</v>
      </c>
      <c r="B4090" s="26" t="s">
        <v>9857</v>
      </c>
      <c r="C4090" s="28" t="s">
        <v>255</v>
      </c>
      <c r="D4090" s="329">
        <v>3.57</v>
      </c>
    </row>
    <row r="4091" spans="1:4" ht="30">
      <c r="A4091" s="47">
        <v>95289</v>
      </c>
      <c r="B4091" s="48" t="s">
        <v>9858</v>
      </c>
      <c r="C4091" s="47" t="s">
        <v>255</v>
      </c>
      <c r="D4091" s="332">
        <v>3.67</v>
      </c>
    </row>
    <row r="4092" spans="1:4">
      <c r="A4092" s="28">
        <v>95290</v>
      </c>
      <c r="B4092" s="26" t="s">
        <v>9854</v>
      </c>
      <c r="C4092" s="28" t="s">
        <v>9853</v>
      </c>
      <c r="D4092" s="329">
        <v>1.6</v>
      </c>
    </row>
    <row r="4093" spans="1:4" ht="30">
      <c r="A4093" s="47">
        <v>95291</v>
      </c>
      <c r="B4093" s="48" t="s">
        <v>9865</v>
      </c>
      <c r="C4093" s="47" t="s">
        <v>255</v>
      </c>
      <c r="D4093" s="332">
        <v>2.93</v>
      </c>
    </row>
    <row r="4094" spans="1:4" ht="30">
      <c r="A4094" s="28">
        <v>95292</v>
      </c>
      <c r="B4094" s="26" t="s">
        <v>9863</v>
      </c>
      <c r="C4094" s="28" t="s">
        <v>255</v>
      </c>
      <c r="D4094" s="329">
        <v>3</v>
      </c>
    </row>
    <row r="4095" spans="1:4" ht="30">
      <c r="A4095" s="47">
        <v>95293</v>
      </c>
      <c r="B4095" s="48" t="s">
        <v>9864</v>
      </c>
      <c r="C4095" s="47" t="s">
        <v>255</v>
      </c>
      <c r="D4095" s="332">
        <v>3.09</v>
      </c>
    </row>
    <row r="4096" spans="1:4" ht="30">
      <c r="A4096" s="28">
        <v>95294</v>
      </c>
      <c r="B4096" s="26" t="s">
        <v>9862</v>
      </c>
      <c r="C4096" s="28" t="s">
        <v>255</v>
      </c>
      <c r="D4096" s="329">
        <v>3.26</v>
      </c>
    </row>
    <row r="4097" spans="1:4" ht="30">
      <c r="A4097" s="47">
        <v>95295</v>
      </c>
      <c r="B4097" s="48" t="s">
        <v>9861</v>
      </c>
      <c r="C4097" s="47" t="s">
        <v>255</v>
      </c>
      <c r="D4097" s="332">
        <v>3.18</v>
      </c>
    </row>
    <row r="4098" spans="1:4" ht="30">
      <c r="A4098" s="28">
        <v>95296</v>
      </c>
      <c r="B4098" s="26" t="s">
        <v>9860</v>
      </c>
      <c r="C4098" s="28" t="s">
        <v>9853</v>
      </c>
      <c r="D4098" s="329">
        <v>1.43</v>
      </c>
    </row>
    <row r="4099" spans="1:4" ht="30">
      <c r="A4099" s="47">
        <v>95297</v>
      </c>
      <c r="B4099" s="48" t="s">
        <v>9867</v>
      </c>
      <c r="C4099" s="47" t="s">
        <v>255</v>
      </c>
      <c r="D4099" s="332">
        <v>2.63</v>
      </c>
    </row>
    <row r="4100" spans="1:4" ht="30">
      <c r="A4100" s="28">
        <v>95298</v>
      </c>
      <c r="B4100" s="26" t="s">
        <v>9868</v>
      </c>
      <c r="C4100" s="28" t="s">
        <v>255</v>
      </c>
      <c r="D4100" s="329">
        <v>2.7</v>
      </c>
    </row>
    <row r="4101" spans="1:4" ht="30">
      <c r="A4101" s="47">
        <v>95299</v>
      </c>
      <c r="B4101" s="48" t="s">
        <v>9869</v>
      </c>
      <c r="C4101" s="47" t="s">
        <v>255</v>
      </c>
      <c r="D4101" s="332">
        <v>2.77</v>
      </c>
    </row>
    <row r="4102" spans="1:4" ht="30">
      <c r="A4102" s="28">
        <v>95300</v>
      </c>
      <c r="B4102" s="26" t="s">
        <v>9870</v>
      </c>
      <c r="C4102" s="28" t="s">
        <v>255</v>
      </c>
      <c r="D4102" s="329">
        <v>2.86</v>
      </c>
    </row>
    <row r="4103" spans="1:4" ht="30">
      <c r="A4103" s="47">
        <v>95301</v>
      </c>
      <c r="B4103" s="48" t="s">
        <v>9871</v>
      </c>
      <c r="C4103" s="47" t="s">
        <v>255</v>
      </c>
      <c r="D4103" s="332">
        <v>2.93</v>
      </c>
    </row>
    <row r="4104" spans="1:4" ht="30">
      <c r="A4104" s="28">
        <v>95302</v>
      </c>
      <c r="B4104" s="26" t="s">
        <v>9866</v>
      </c>
      <c r="C4104" s="28" t="s">
        <v>9853</v>
      </c>
      <c r="D4104" s="329">
        <v>1.28</v>
      </c>
    </row>
    <row r="4105" spans="1:4" ht="30">
      <c r="A4105" s="47">
        <v>95303</v>
      </c>
      <c r="B4105" s="48" t="s">
        <v>9852</v>
      </c>
      <c r="C4105" s="47" t="s">
        <v>9853</v>
      </c>
      <c r="D4105" s="332">
        <v>0.88</v>
      </c>
    </row>
    <row r="4106" spans="1:4" ht="30">
      <c r="A4106" s="28">
        <v>94097</v>
      </c>
      <c r="B4106" s="26" t="s">
        <v>8424</v>
      </c>
      <c r="C4106" s="28" t="s">
        <v>256</v>
      </c>
      <c r="D4106" s="329">
        <v>3.79</v>
      </c>
    </row>
    <row r="4107" spans="1:4" ht="30">
      <c r="A4107" s="47">
        <v>94098</v>
      </c>
      <c r="B4107" s="48" t="s">
        <v>8422</v>
      </c>
      <c r="C4107" s="47" t="s">
        <v>256</v>
      </c>
      <c r="D4107" s="332">
        <v>4.3</v>
      </c>
    </row>
    <row r="4108" spans="1:4" ht="30">
      <c r="A4108" s="28">
        <v>94099</v>
      </c>
      <c r="B4108" s="26" t="s">
        <v>8423</v>
      </c>
      <c r="C4108" s="28" t="s">
        <v>256</v>
      </c>
      <c r="D4108" s="329">
        <v>1.87</v>
      </c>
    </row>
    <row r="4109" spans="1:4" ht="30">
      <c r="A4109" s="47">
        <v>94100</v>
      </c>
      <c r="B4109" s="48" t="s">
        <v>8421</v>
      </c>
      <c r="C4109" s="47" t="s">
        <v>256</v>
      </c>
      <c r="D4109" s="332">
        <v>2.38</v>
      </c>
    </row>
    <row r="4110" spans="1:4" ht="45">
      <c r="A4110" s="28">
        <v>94102</v>
      </c>
      <c r="B4110" s="26" t="s">
        <v>6697</v>
      </c>
      <c r="C4110" s="28" t="s">
        <v>255</v>
      </c>
      <c r="D4110" s="329">
        <v>152.76</v>
      </c>
    </row>
    <row r="4111" spans="1:4" ht="45">
      <c r="A4111" s="47">
        <v>94103</v>
      </c>
      <c r="B4111" s="48" t="s">
        <v>6701</v>
      </c>
      <c r="C4111" s="47" t="s">
        <v>255</v>
      </c>
      <c r="D4111" s="332">
        <v>157.37</v>
      </c>
    </row>
    <row r="4112" spans="1:4" ht="30">
      <c r="A4112" s="28">
        <v>94104</v>
      </c>
      <c r="B4112" s="26" t="s">
        <v>6696</v>
      </c>
      <c r="C4112" s="28" t="s">
        <v>255</v>
      </c>
      <c r="D4112" s="329">
        <v>155.66</v>
      </c>
    </row>
    <row r="4113" spans="1:4" ht="30">
      <c r="A4113" s="47">
        <v>94105</v>
      </c>
      <c r="B4113" s="48" t="s">
        <v>6700</v>
      </c>
      <c r="C4113" s="47" t="s">
        <v>255</v>
      </c>
      <c r="D4113" s="332">
        <v>160.28</v>
      </c>
    </row>
    <row r="4114" spans="1:4" ht="45">
      <c r="A4114" s="28">
        <v>94106</v>
      </c>
      <c r="B4114" s="26" t="s">
        <v>6686</v>
      </c>
      <c r="C4114" s="28" t="s">
        <v>255</v>
      </c>
      <c r="D4114" s="329">
        <v>138.16999999999999</v>
      </c>
    </row>
    <row r="4115" spans="1:4" ht="45">
      <c r="A4115" s="47">
        <v>94107</v>
      </c>
      <c r="B4115" s="48" t="s">
        <v>6690</v>
      </c>
      <c r="C4115" s="47" t="s">
        <v>255</v>
      </c>
      <c r="D4115" s="332">
        <v>142.79</v>
      </c>
    </row>
    <row r="4116" spans="1:4" ht="30">
      <c r="A4116" s="28">
        <v>94108</v>
      </c>
      <c r="B4116" s="26" t="s">
        <v>6685</v>
      </c>
      <c r="C4116" s="28" t="s">
        <v>255</v>
      </c>
      <c r="D4116" s="329">
        <v>141.08000000000001</v>
      </c>
    </row>
    <row r="4117" spans="1:4" ht="30">
      <c r="A4117" s="47">
        <v>94110</v>
      </c>
      <c r="B4117" s="48" t="s">
        <v>6689</v>
      </c>
      <c r="C4117" s="47" t="s">
        <v>255</v>
      </c>
      <c r="D4117" s="332">
        <v>145.69</v>
      </c>
    </row>
    <row r="4118" spans="1:4" ht="45">
      <c r="A4118" s="28">
        <v>94111</v>
      </c>
      <c r="B4118" s="26" t="s">
        <v>6699</v>
      </c>
      <c r="C4118" s="28" t="s">
        <v>255</v>
      </c>
      <c r="D4118" s="329">
        <v>147.9</v>
      </c>
    </row>
    <row r="4119" spans="1:4" ht="45">
      <c r="A4119" s="47">
        <v>94112</v>
      </c>
      <c r="B4119" s="48" t="s">
        <v>6703</v>
      </c>
      <c r="C4119" s="47" t="s">
        <v>255</v>
      </c>
      <c r="D4119" s="332">
        <v>151.37</v>
      </c>
    </row>
    <row r="4120" spans="1:4" ht="45">
      <c r="A4120" s="28">
        <v>94113</v>
      </c>
      <c r="B4120" s="26" t="s">
        <v>6698</v>
      </c>
      <c r="C4120" s="28" t="s">
        <v>255</v>
      </c>
      <c r="D4120" s="329">
        <v>153.94</v>
      </c>
    </row>
    <row r="4121" spans="1:4" ht="45">
      <c r="A4121" s="47">
        <v>94114</v>
      </c>
      <c r="B4121" s="48" t="s">
        <v>6702</v>
      </c>
      <c r="C4121" s="47" t="s">
        <v>255</v>
      </c>
      <c r="D4121" s="332">
        <v>158.19999999999999</v>
      </c>
    </row>
    <row r="4122" spans="1:4" ht="45">
      <c r="A4122" s="28">
        <v>94115</v>
      </c>
      <c r="B4122" s="26" t="s">
        <v>6688</v>
      </c>
      <c r="C4122" s="28" t="s">
        <v>255</v>
      </c>
      <c r="D4122" s="329">
        <v>119.99</v>
      </c>
    </row>
    <row r="4123" spans="1:4" ht="45">
      <c r="A4123" s="47">
        <v>94116</v>
      </c>
      <c r="B4123" s="48" t="s">
        <v>6692</v>
      </c>
      <c r="C4123" s="47" t="s">
        <v>255</v>
      </c>
      <c r="D4123" s="332">
        <v>119.38</v>
      </c>
    </row>
    <row r="4124" spans="1:4" ht="45">
      <c r="A4124" s="28">
        <v>94117</v>
      </c>
      <c r="B4124" s="26" t="s">
        <v>6687</v>
      </c>
      <c r="C4124" s="28" t="s">
        <v>255</v>
      </c>
      <c r="D4124" s="329">
        <v>125.61</v>
      </c>
    </row>
    <row r="4125" spans="1:4" ht="45">
      <c r="A4125" s="47">
        <v>94118</v>
      </c>
      <c r="B4125" s="48" t="s">
        <v>6691</v>
      </c>
      <c r="C4125" s="47" t="s">
        <v>255</v>
      </c>
      <c r="D4125" s="332">
        <v>125.97</v>
      </c>
    </row>
    <row r="4126" spans="1:4">
      <c r="A4126" s="28">
        <v>6514</v>
      </c>
      <c r="B4126" s="26" t="s">
        <v>5661</v>
      </c>
      <c r="C4126" s="28" t="s">
        <v>255</v>
      </c>
      <c r="D4126" s="329">
        <v>78.69</v>
      </c>
    </row>
    <row r="4127" spans="1:4">
      <c r="A4127" s="47">
        <v>88549</v>
      </c>
      <c r="B4127" s="48" t="s">
        <v>5658</v>
      </c>
      <c r="C4127" s="47" t="s">
        <v>255</v>
      </c>
      <c r="D4127" s="332">
        <v>62.38</v>
      </c>
    </row>
    <row r="4128" spans="1:4">
      <c r="A4128" s="28">
        <v>41721</v>
      </c>
      <c r="B4128" s="26" t="s">
        <v>3660</v>
      </c>
      <c r="C4128" s="28" t="s">
        <v>255</v>
      </c>
      <c r="D4128" s="329">
        <v>2.95</v>
      </c>
    </row>
    <row r="4129" spans="1:4">
      <c r="A4129" s="47">
        <v>41722</v>
      </c>
      <c r="B4129" s="48" t="s">
        <v>3659</v>
      </c>
      <c r="C4129" s="47" t="s">
        <v>255</v>
      </c>
      <c r="D4129" s="332">
        <v>4.4800000000000004</v>
      </c>
    </row>
    <row r="4130" spans="1:4">
      <c r="A4130" s="28" t="s">
        <v>834</v>
      </c>
      <c r="B4130" s="26" t="s">
        <v>3662</v>
      </c>
      <c r="C4130" s="28" t="s">
        <v>255</v>
      </c>
      <c r="D4130" s="329">
        <v>3.68</v>
      </c>
    </row>
    <row r="4131" spans="1:4" ht="30">
      <c r="A4131" s="47" t="s">
        <v>835</v>
      </c>
      <c r="B4131" s="48" t="s">
        <v>3661</v>
      </c>
      <c r="C4131" s="47" t="s">
        <v>255</v>
      </c>
      <c r="D4131" s="332">
        <v>5.13</v>
      </c>
    </row>
    <row r="4132" spans="1:4">
      <c r="A4132" s="28" t="s">
        <v>836</v>
      </c>
      <c r="B4132" s="26" t="s">
        <v>5255</v>
      </c>
      <c r="C4132" s="28" t="s">
        <v>255</v>
      </c>
      <c r="D4132" s="329">
        <v>2.09</v>
      </c>
    </row>
    <row r="4133" spans="1:4" ht="30">
      <c r="A4133" s="47">
        <v>83344</v>
      </c>
      <c r="B4133" s="48" t="s">
        <v>5256</v>
      </c>
      <c r="C4133" s="47" t="s">
        <v>255</v>
      </c>
      <c r="D4133" s="332">
        <v>0.96</v>
      </c>
    </row>
    <row r="4134" spans="1:4">
      <c r="A4134" s="28">
        <v>95606</v>
      </c>
      <c r="B4134" s="26" t="s">
        <v>11098</v>
      </c>
      <c r="C4134" s="28" t="s">
        <v>255</v>
      </c>
      <c r="D4134" s="329">
        <v>1.1000000000000001</v>
      </c>
    </row>
    <row r="4135" spans="1:4" ht="30">
      <c r="A4135" s="47">
        <v>72131</v>
      </c>
      <c r="B4135" s="48" t="s">
        <v>1781</v>
      </c>
      <c r="C4135" s="47" t="s">
        <v>256</v>
      </c>
      <c r="D4135" s="332">
        <v>99.39</v>
      </c>
    </row>
    <row r="4136" spans="1:4" ht="30">
      <c r="A4136" s="28">
        <v>72132</v>
      </c>
      <c r="B4136" s="26" t="s">
        <v>1782</v>
      </c>
      <c r="C4136" s="28" t="s">
        <v>256</v>
      </c>
      <c r="D4136" s="329">
        <v>51.06</v>
      </c>
    </row>
    <row r="4137" spans="1:4" ht="30">
      <c r="A4137" s="47">
        <v>72133</v>
      </c>
      <c r="B4137" s="48" t="s">
        <v>1780</v>
      </c>
      <c r="C4137" s="47" t="s">
        <v>256</v>
      </c>
      <c r="D4137" s="332">
        <v>175.82</v>
      </c>
    </row>
    <row r="4138" spans="1:4" ht="45">
      <c r="A4138" s="28">
        <v>87471</v>
      </c>
      <c r="B4138" s="26" t="s">
        <v>1754</v>
      </c>
      <c r="C4138" s="28" t="s">
        <v>256</v>
      </c>
      <c r="D4138" s="329">
        <v>32.9</v>
      </c>
    </row>
    <row r="4139" spans="1:4" ht="45">
      <c r="A4139" s="47">
        <v>87472</v>
      </c>
      <c r="B4139" s="48" t="s">
        <v>1755</v>
      </c>
      <c r="C4139" s="47" t="s">
        <v>256</v>
      </c>
      <c r="D4139" s="332">
        <v>33.61</v>
      </c>
    </row>
    <row r="4140" spans="1:4" ht="45">
      <c r="A4140" s="28">
        <v>87473</v>
      </c>
      <c r="B4140" s="26" t="s">
        <v>1738</v>
      </c>
      <c r="C4140" s="28" t="s">
        <v>256</v>
      </c>
      <c r="D4140" s="329">
        <v>45.49</v>
      </c>
    </row>
    <row r="4141" spans="1:4" ht="45">
      <c r="A4141" s="47">
        <v>87474</v>
      </c>
      <c r="B4141" s="48" t="s">
        <v>1739</v>
      </c>
      <c r="C4141" s="47" t="s">
        <v>256</v>
      </c>
      <c r="D4141" s="332">
        <v>46.29</v>
      </c>
    </row>
    <row r="4142" spans="1:4" ht="45">
      <c r="A4142" s="28">
        <v>87475</v>
      </c>
      <c r="B4142" s="26" t="s">
        <v>1746</v>
      </c>
      <c r="C4142" s="28" t="s">
        <v>256</v>
      </c>
      <c r="D4142" s="329">
        <v>53.4</v>
      </c>
    </row>
    <row r="4143" spans="1:4" ht="45">
      <c r="A4143" s="47">
        <v>87476</v>
      </c>
      <c r="B4143" s="48" t="s">
        <v>1747</v>
      </c>
      <c r="C4143" s="47" t="s">
        <v>256</v>
      </c>
      <c r="D4143" s="332">
        <v>54.33</v>
      </c>
    </row>
    <row r="4144" spans="1:4" ht="45">
      <c r="A4144" s="28">
        <v>87477</v>
      </c>
      <c r="B4144" s="26" t="s">
        <v>1750</v>
      </c>
      <c r="C4144" s="28" t="s">
        <v>256</v>
      </c>
      <c r="D4144" s="329">
        <v>29.71</v>
      </c>
    </row>
    <row r="4145" spans="1:4" ht="45">
      <c r="A4145" s="47">
        <v>87478</v>
      </c>
      <c r="B4145" s="48" t="s">
        <v>1751</v>
      </c>
      <c r="C4145" s="47" t="s">
        <v>256</v>
      </c>
      <c r="D4145" s="332">
        <v>30.41</v>
      </c>
    </row>
    <row r="4146" spans="1:4" ht="45">
      <c r="A4146" s="28">
        <v>87479</v>
      </c>
      <c r="B4146" s="26" t="s">
        <v>1734</v>
      </c>
      <c r="C4146" s="28" t="s">
        <v>256</v>
      </c>
      <c r="D4146" s="329">
        <v>41.78</v>
      </c>
    </row>
    <row r="4147" spans="1:4" ht="45">
      <c r="A4147" s="47">
        <v>87480</v>
      </c>
      <c r="B4147" s="48" t="s">
        <v>1735</v>
      </c>
      <c r="C4147" s="47" t="s">
        <v>256</v>
      </c>
      <c r="D4147" s="332">
        <v>42.57</v>
      </c>
    </row>
    <row r="4148" spans="1:4" ht="45">
      <c r="A4148" s="28">
        <v>87481</v>
      </c>
      <c r="B4148" s="26" t="s">
        <v>1742</v>
      </c>
      <c r="C4148" s="28" t="s">
        <v>256</v>
      </c>
      <c r="D4148" s="329">
        <v>49.71</v>
      </c>
    </row>
    <row r="4149" spans="1:4" ht="45">
      <c r="A4149" s="47">
        <v>87482</v>
      </c>
      <c r="B4149" s="48" t="s">
        <v>1743</v>
      </c>
      <c r="C4149" s="47" t="s">
        <v>256</v>
      </c>
      <c r="D4149" s="332">
        <v>50.64</v>
      </c>
    </row>
    <row r="4150" spans="1:4" ht="45">
      <c r="A4150" s="28">
        <v>87483</v>
      </c>
      <c r="B4150" s="26" t="s">
        <v>1752</v>
      </c>
      <c r="C4150" s="28" t="s">
        <v>256</v>
      </c>
      <c r="D4150" s="329">
        <v>37.71</v>
      </c>
    </row>
    <row r="4151" spans="1:4" ht="45">
      <c r="A4151" s="47">
        <v>87484</v>
      </c>
      <c r="B4151" s="48" t="s">
        <v>1753</v>
      </c>
      <c r="C4151" s="47" t="s">
        <v>256</v>
      </c>
      <c r="D4151" s="332">
        <v>38.409999999999997</v>
      </c>
    </row>
    <row r="4152" spans="1:4" ht="45">
      <c r="A4152" s="28">
        <v>87485</v>
      </c>
      <c r="B4152" s="26" t="s">
        <v>1736</v>
      </c>
      <c r="C4152" s="28" t="s">
        <v>256</v>
      </c>
      <c r="D4152" s="329">
        <v>50.39</v>
      </c>
    </row>
    <row r="4153" spans="1:4" ht="45">
      <c r="A4153" s="47">
        <v>87487</v>
      </c>
      <c r="B4153" s="48" t="s">
        <v>1744</v>
      </c>
      <c r="C4153" s="47" t="s">
        <v>256</v>
      </c>
      <c r="D4153" s="332">
        <v>58.15</v>
      </c>
    </row>
    <row r="4154" spans="1:4" ht="45">
      <c r="A4154" s="28">
        <v>87488</v>
      </c>
      <c r="B4154" s="26" t="s">
        <v>1745</v>
      </c>
      <c r="C4154" s="28" t="s">
        <v>256</v>
      </c>
      <c r="D4154" s="329">
        <v>59.08</v>
      </c>
    </row>
    <row r="4155" spans="1:4" ht="45">
      <c r="A4155" s="47">
        <v>87489</v>
      </c>
      <c r="B4155" s="48" t="s">
        <v>1748</v>
      </c>
      <c r="C4155" s="47" t="s">
        <v>256</v>
      </c>
      <c r="D4155" s="332">
        <v>32.479999999999997</v>
      </c>
    </row>
    <row r="4156" spans="1:4" ht="45">
      <c r="A4156" s="28">
        <v>87490</v>
      </c>
      <c r="B4156" s="26" t="s">
        <v>1749</v>
      </c>
      <c r="C4156" s="28" t="s">
        <v>256</v>
      </c>
      <c r="D4156" s="329">
        <v>33.18</v>
      </c>
    </row>
    <row r="4157" spans="1:4" ht="45">
      <c r="A4157" s="47">
        <v>87491</v>
      </c>
      <c r="B4157" s="48" t="s">
        <v>1732</v>
      </c>
      <c r="C4157" s="47" t="s">
        <v>256</v>
      </c>
      <c r="D4157" s="332">
        <v>44.64</v>
      </c>
    </row>
    <row r="4158" spans="1:4" ht="45">
      <c r="A4158" s="28">
        <v>87492</v>
      </c>
      <c r="B4158" s="26" t="s">
        <v>1733</v>
      </c>
      <c r="C4158" s="28" t="s">
        <v>256</v>
      </c>
      <c r="D4158" s="329">
        <v>45.43</v>
      </c>
    </row>
    <row r="4159" spans="1:4" ht="45">
      <c r="A4159" s="47">
        <v>87493</v>
      </c>
      <c r="B4159" s="48" t="s">
        <v>1740</v>
      </c>
      <c r="C4159" s="47" t="s">
        <v>256</v>
      </c>
      <c r="D4159" s="332">
        <v>52.64</v>
      </c>
    </row>
    <row r="4160" spans="1:4" ht="45">
      <c r="A4160" s="28">
        <v>87494</v>
      </c>
      <c r="B4160" s="26" t="s">
        <v>1741</v>
      </c>
      <c r="C4160" s="28" t="s">
        <v>256</v>
      </c>
      <c r="D4160" s="329">
        <v>53.57</v>
      </c>
    </row>
    <row r="4161" spans="1:4" ht="45">
      <c r="A4161" s="47">
        <v>87495</v>
      </c>
      <c r="B4161" s="48" t="s">
        <v>1730</v>
      </c>
      <c r="C4161" s="47" t="s">
        <v>256</v>
      </c>
      <c r="D4161" s="332">
        <v>55.53</v>
      </c>
    </row>
    <row r="4162" spans="1:4" ht="45">
      <c r="A4162" s="28">
        <v>87496</v>
      </c>
      <c r="B4162" s="26" t="s">
        <v>1731</v>
      </c>
      <c r="C4162" s="28" t="s">
        <v>256</v>
      </c>
      <c r="D4162" s="329">
        <v>56.19</v>
      </c>
    </row>
    <row r="4163" spans="1:4" ht="45">
      <c r="A4163" s="47">
        <v>87497</v>
      </c>
      <c r="B4163" s="48" t="s">
        <v>11099</v>
      </c>
      <c r="C4163" s="47" t="s">
        <v>256</v>
      </c>
      <c r="D4163" s="332">
        <v>53.94</v>
      </c>
    </row>
    <row r="4164" spans="1:4" ht="45">
      <c r="A4164" s="28">
        <v>87498</v>
      </c>
      <c r="B4164" s="26" t="s">
        <v>11100</v>
      </c>
      <c r="C4164" s="28" t="s">
        <v>256</v>
      </c>
      <c r="D4164" s="329">
        <v>54.78</v>
      </c>
    </row>
    <row r="4165" spans="1:4" ht="45">
      <c r="A4165" s="47">
        <v>87499</v>
      </c>
      <c r="B4165" s="48" t="s">
        <v>1722</v>
      </c>
      <c r="C4165" s="47" t="s">
        <v>256</v>
      </c>
      <c r="D4165" s="332">
        <v>78.83</v>
      </c>
    </row>
    <row r="4166" spans="1:4" ht="45">
      <c r="A4166" s="28">
        <v>87500</v>
      </c>
      <c r="B4166" s="26" t="s">
        <v>1723</v>
      </c>
      <c r="C4166" s="28" t="s">
        <v>256</v>
      </c>
      <c r="D4166" s="329">
        <v>79.540000000000006</v>
      </c>
    </row>
    <row r="4167" spans="1:4" ht="45">
      <c r="A4167" s="47">
        <v>87501</v>
      </c>
      <c r="B4167" s="48" t="s">
        <v>11101</v>
      </c>
      <c r="C4167" s="47" t="s">
        <v>256</v>
      </c>
      <c r="D4167" s="332">
        <v>104.15</v>
      </c>
    </row>
    <row r="4168" spans="1:4" ht="45">
      <c r="A4168" s="28">
        <v>87502</v>
      </c>
      <c r="B4168" s="26" t="s">
        <v>11102</v>
      </c>
      <c r="C4168" s="28" t="s">
        <v>256</v>
      </c>
      <c r="D4168" s="329">
        <v>105.06</v>
      </c>
    </row>
    <row r="4169" spans="1:4" ht="45">
      <c r="A4169" s="47">
        <v>87503</v>
      </c>
      <c r="B4169" s="48" t="s">
        <v>1726</v>
      </c>
      <c r="C4169" s="47" t="s">
        <v>256</v>
      </c>
      <c r="D4169" s="332">
        <v>47.57</v>
      </c>
    </row>
    <row r="4170" spans="1:4" ht="45">
      <c r="A4170" s="28">
        <v>87504</v>
      </c>
      <c r="B4170" s="26" t="s">
        <v>1727</v>
      </c>
      <c r="C4170" s="28" t="s">
        <v>256</v>
      </c>
      <c r="D4170" s="329">
        <v>48.23</v>
      </c>
    </row>
    <row r="4171" spans="1:4" ht="45">
      <c r="A4171" s="47">
        <v>87505</v>
      </c>
      <c r="B4171" s="48" t="s">
        <v>11103</v>
      </c>
      <c r="C4171" s="47" t="s">
        <v>256</v>
      </c>
      <c r="D4171" s="332">
        <v>45.96</v>
      </c>
    </row>
    <row r="4172" spans="1:4" ht="45">
      <c r="A4172" s="28">
        <v>87506</v>
      </c>
      <c r="B4172" s="26" t="s">
        <v>11104</v>
      </c>
      <c r="C4172" s="28" t="s">
        <v>256</v>
      </c>
      <c r="D4172" s="329">
        <v>46.81</v>
      </c>
    </row>
    <row r="4173" spans="1:4" ht="45">
      <c r="A4173" s="47">
        <v>87507</v>
      </c>
      <c r="B4173" s="48" t="s">
        <v>1718</v>
      </c>
      <c r="C4173" s="47" t="s">
        <v>256</v>
      </c>
      <c r="D4173" s="332">
        <v>70.819999999999993</v>
      </c>
    </row>
    <row r="4174" spans="1:4" ht="45">
      <c r="A4174" s="28">
        <v>87508</v>
      </c>
      <c r="B4174" s="26" t="s">
        <v>1719</v>
      </c>
      <c r="C4174" s="28" t="s">
        <v>256</v>
      </c>
      <c r="D4174" s="329">
        <v>71.540000000000006</v>
      </c>
    </row>
    <row r="4175" spans="1:4" ht="60">
      <c r="A4175" s="47">
        <v>87509</v>
      </c>
      <c r="B4175" s="48" t="s">
        <v>11105</v>
      </c>
      <c r="C4175" s="47" t="s">
        <v>256</v>
      </c>
      <c r="D4175" s="332">
        <v>94.77</v>
      </c>
    </row>
    <row r="4176" spans="1:4" ht="45">
      <c r="A4176" s="28">
        <v>87510</v>
      </c>
      <c r="B4176" s="26" t="s">
        <v>11106</v>
      </c>
      <c r="C4176" s="28" t="s">
        <v>256</v>
      </c>
      <c r="D4176" s="329">
        <v>95.68</v>
      </c>
    </row>
    <row r="4177" spans="1:4" ht="45">
      <c r="A4177" s="47">
        <v>87511</v>
      </c>
      <c r="B4177" s="48" t="s">
        <v>1728</v>
      </c>
      <c r="C4177" s="47" t="s">
        <v>256</v>
      </c>
      <c r="D4177" s="332">
        <v>62.27</v>
      </c>
    </row>
    <row r="4178" spans="1:4" ht="45">
      <c r="A4178" s="28">
        <v>87512</v>
      </c>
      <c r="B4178" s="26" t="s">
        <v>1729</v>
      </c>
      <c r="C4178" s="28" t="s">
        <v>256</v>
      </c>
      <c r="D4178" s="329">
        <v>62.93</v>
      </c>
    </row>
    <row r="4179" spans="1:4" ht="45">
      <c r="A4179" s="47">
        <v>87513</v>
      </c>
      <c r="B4179" s="48" t="s">
        <v>11107</v>
      </c>
      <c r="C4179" s="47" t="s">
        <v>256</v>
      </c>
      <c r="D4179" s="332">
        <v>60.95</v>
      </c>
    </row>
    <row r="4180" spans="1:4" ht="45">
      <c r="A4180" s="28">
        <v>87514</v>
      </c>
      <c r="B4180" s="26" t="s">
        <v>11108</v>
      </c>
      <c r="C4180" s="28" t="s">
        <v>256</v>
      </c>
      <c r="D4180" s="329">
        <v>61.79</v>
      </c>
    </row>
    <row r="4181" spans="1:4" ht="45">
      <c r="A4181" s="47">
        <v>87515</v>
      </c>
      <c r="B4181" s="48" t="s">
        <v>1720</v>
      </c>
      <c r="C4181" s="47" t="s">
        <v>256</v>
      </c>
      <c r="D4181" s="332">
        <v>85.56</v>
      </c>
    </row>
    <row r="4182" spans="1:4" ht="45">
      <c r="A4182" s="28">
        <v>87516</v>
      </c>
      <c r="B4182" s="26" t="s">
        <v>1721</v>
      </c>
      <c r="C4182" s="28" t="s">
        <v>256</v>
      </c>
      <c r="D4182" s="329">
        <v>86.27</v>
      </c>
    </row>
    <row r="4183" spans="1:4" ht="45">
      <c r="A4183" s="47">
        <v>87517</v>
      </c>
      <c r="B4183" s="48" t="s">
        <v>11109</v>
      </c>
      <c r="C4183" s="47" t="s">
        <v>256</v>
      </c>
      <c r="D4183" s="332">
        <v>111.18</v>
      </c>
    </row>
    <row r="4184" spans="1:4" ht="45">
      <c r="A4184" s="28">
        <v>87518</v>
      </c>
      <c r="B4184" s="26" t="s">
        <v>11110</v>
      </c>
      <c r="C4184" s="28" t="s">
        <v>256</v>
      </c>
      <c r="D4184" s="329">
        <v>112.09</v>
      </c>
    </row>
    <row r="4185" spans="1:4" ht="45">
      <c r="A4185" s="47">
        <v>87519</v>
      </c>
      <c r="B4185" s="48" t="s">
        <v>1724</v>
      </c>
      <c r="C4185" s="47" t="s">
        <v>256</v>
      </c>
      <c r="D4185" s="332">
        <v>51.82</v>
      </c>
    </row>
    <row r="4186" spans="1:4" ht="45">
      <c r="A4186" s="28">
        <v>87520</v>
      </c>
      <c r="B4186" s="26" t="s">
        <v>1725</v>
      </c>
      <c r="C4186" s="28" t="s">
        <v>256</v>
      </c>
      <c r="D4186" s="329">
        <v>52.48</v>
      </c>
    </row>
    <row r="4187" spans="1:4" ht="45">
      <c r="A4187" s="47">
        <v>87521</v>
      </c>
      <c r="B4187" s="48" t="s">
        <v>11111</v>
      </c>
      <c r="C4187" s="47" t="s">
        <v>256</v>
      </c>
      <c r="D4187" s="332">
        <v>50.26</v>
      </c>
    </row>
    <row r="4188" spans="1:4" ht="45">
      <c r="A4188" s="28">
        <v>87522</v>
      </c>
      <c r="B4188" s="26" t="s">
        <v>11112</v>
      </c>
      <c r="C4188" s="28" t="s">
        <v>256</v>
      </c>
      <c r="D4188" s="329">
        <v>51.1</v>
      </c>
    </row>
    <row r="4189" spans="1:4" ht="45">
      <c r="A4189" s="47">
        <v>87523</v>
      </c>
      <c r="B4189" s="48" t="s">
        <v>1716</v>
      </c>
      <c r="C4189" s="47" t="s">
        <v>256</v>
      </c>
      <c r="D4189" s="332">
        <v>74.83</v>
      </c>
    </row>
    <row r="4190" spans="1:4" ht="45">
      <c r="A4190" s="28">
        <v>87524</v>
      </c>
      <c r="B4190" s="26" t="s">
        <v>1717</v>
      </c>
      <c r="C4190" s="28" t="s">
        <v>256</v>
      </c>
      <c r="D4190" s="329">
        <v>75.55</v>
      </c>
    </row>
    <row r="4191" spans="1:4" ht="60">
      <c r="A4191" s="47">
        <v>87525</v>
      </c>
      <c r="B4191" s="48" t="s">
        <v>11113</v>
      </c>
      <c r="C4191" s="47" t="s">
        <v>256</v>
      </c>
      <c r="D4191" s="332">
        <v>99.09</v>
      </c>
    </row>
    <row r="4192" spans="1:4" ht="45">
      <c r="A4192" s="28">
        <v>87526</v>
      </c>
      <c r="B4192" s="26" t="s">
        <v>11114</v>
      </c>
      <c r="C4192" s="28" t="s">
        <v>256</v>
      </c>
      <c r="D4192" s="329">
        <v>100</v>
      </c>
    </row>
    <row r="4193" spans="1:4" ht="45">
      <c r="A4193" s="47">
        <v>89043</v>
      </c>
      <c r="B4193" s="48" t="s">
        <v>1358</v>
      </c>
      <c r="C4193" s="47" t="s">
        <v>256</v>
      </c>
      <c r="D4193" s="332">
        <v>52.86</v>
      </c>
    </row>
    <row r="4194" spans="1:4" ht="45">
      <c r="A4194" s="28">
        <v>89168</v>
      </c>
      <c r="B4194" s="26" t="s">
        <v>1359</v>
      </c>
      <c r="C4194" s="28" t="s">
        <v>256</v>
      </c>
      <c r="D4194" s="329">
        <v>54.41</v>
      </c>
    </row>
    <row r="4195" spans="1:4" ht="60">
      <c r="A4195" s="47">
        <v>89977</v>
      </c>
      <c r="B4195" s="48" t="s">
        <v>11115</v>
      </c>
      <c r="C4195" s="47" t="s">
        <v>256</v>
      </c>
      <c r="D4195" s="332">
        <v>102.38</v>
      </c>
    </row>
    <row r="4196" spans="1:4" ht="45">
      <c r="A4196" s="28">
        <v>90112</v>
      </c>
      <c r="B4196" s="26" t="s">
        <v>1737</v>
      </c>
      <c r="C4196" s="28" t="s">
        <v>256</v>
      </c>
      <c r="D4196" s="329">
        <v>51.19</v>
      </c>
    </row>
    <row r="4197" spans="1:4" ht="30">
      <c r="A4197" s="47">
        <v>95474</v>
      </c>
      <c r="B4197" s="48" t="s">
        <v>1715</v>
      </c>
      <c r="C4197" s="47" t="s">
        <v>255</v>
      </c>
      <c r="D4197" s="332">
        <v>519.44000000000005</v>
      </c>
    </row>
    <row r="4198" spans="1:4" ht="45">
      <c r="A4198" s="28">
        <v>89282</v>
      </c>
      <c r="B4198" s="26" t="s">
        <v>1814</v>
      </c>
      <c r="C4198" s="28" t="s">
        <v>256</v>
      </c>
      <c r="D4198" s="329">
        <v>42.03</v>
      </c>
    </row>
    <row r="4199" spans="1:4" ht="45">
      <c r="A4199" s="47">
        <v>89283</v>
      </c>
      <c r="B4199" s="48" t="s">
        <v>1815</v>
      </c>
      <c r="C4199" s="47" t="s">
        <v>256</v>
      </c>
      <c r="D4199" s="332">
        <v>43.47</v>
      </c>
    </row>
    <row r="4200" spans="1:4" ht="45">
      <c r="A4200" s="28">
        <v>89284</v>
      </c>
      <c r="B4200" s="26" t="s">
        <v>1806</v>
      </c>
      <c r="C4200" s="28" t="s">
        <v>256</v>
      </c>
      <c r="D4200" s="329">
        <v>38.33</v>
      </c>
    </row>
    <row r="4201" spans="1:4" ht="45">
      <c r="A4201" s="47">
        <v>89285</v>
      </c>
      <c r="B4201" s="48" t="s">
        <v>1807</v>
      </c>
      <c r="C4201" s="47" t="s">
        <v>256</v>
      </c>
      <c r="D4201" s="332">
        <v>39.76</v>
      </c>
    </row>
    <row r="4202" spans="1:4" ht="45">
      <c r="A4202" s="28">
        <v>89286</v>
      </c>
      <c r="B4202" s="26" t="s">
        <v>1810</v>
      </c>
      <c r="C4202" s="28" t="s">
        <v>256</v>
      </c>
      <c r="D4202" s="329">
        <v>45.54</v>
      </c>
    </row>
    <row r="4203" spans="1:4" ht="45">
      <c r="A4203" s="47">
        <v>89287</v>
      </c>
      <c r="B4203" s="48" t="s">
        <v>1811</v>
      </c>
      <c r="C4203" s="47" t="s">
        <v>256</v>
      </c>
      <c r="D4203" s="332">
        <v>46.97</v>
      </c>
    </row>
    <row r="4204" spans="1:4" ht="45">
      <c r="A4204" s="28">
        <v>89288</v>
      </c>
      <c r="B4204" s="26" t="s">
        <v>1802</v>
      </c>
      <c r="C4204" s="28" t="s">
        <v>256</v>
      </c>
      <c r="D4204" s="329">
        <v>40.43</v>
      </c>
    </row>
    <row r="4205" spans="1:4" ht="45">
      <c r="A4205" s="47">
        <v>89289</v>
      </c>
      <c r="B4205" s="48" t="s">
        <v>1803</v>
      </c>
      <c r="C4205" s="47" t="s">
        <v>256</v>
      </c>
      <c r="D4205" s="332">
        <v>41.86</v>
      </c>
    </row>
    <row r="4206" spans="1:4" ht="45">
      <c r="A4206" s="28">
        <v>89290</v>
      </c>
      <c r="B4206" s="26" t="s">
        <v>1798</v>
      </c>
      <c r="C4206" s="28" t="s">
        <v>256</v>
      </c>
      <c r="D4206" s="329">
        <v>48.98</v>
      </c>
    </row>
    <row r="4207" spans="1:4" ht="45">
      <c r="A4207" s="47">
        <v>89291</v>
      </c>
      <c r="B4207" s="48" t="s">
        <v>1799</v>
      </c>
      <c r="C4207" s="47" t="s">
        <v>256</v>
      </c>
      <c r="D4207" s="332">
        <v>50.57</v>
      </c>
    </row>
    <row r="4208" spans="1:4" ht="45">
      <c r="A4208" s="28">
        <v>89292</v>
      </c>
      <c r="B4208" s="26" t="s">
        <v>1790</v>
      </c>
      <c r="C4208" s="28" t="s">
        <v>256</v>
      </c>
      <c r="D4208" s="329">
        <v>45.32</v>
      </c>
    </row>
    <row r="4209" spans="1:4" ht="45">
      <c r="A4209" s="47">
        <v>89293</v>
      </c>
      <c r="B4209" s="48" t="s">
        <v>1791</v>
      </c>
      <c r="C4209" s="47" t="s">
        <v>256</v>
      </c>
      <c r="D4209" s="332">
        <v>46.91</v>
      </c>
    </row>
    <row r="4210" spans="1:4" ht="45">
      <c r="A4210" s="28">
        <v>89294</v>
      </c>
      <c r="B4210" s="26" t="s">
        <v>1794</v>
      </c>
      <c r="C4210" s="28" t="s">
        <v>256</v>
      </c>
      <c r="D4210" s="329">
        <v>53.7</v>
      </c>
    </row>
    <row r="4211" spans="1:4" ht="45">
      <c r="A4211" s="47">
        <v>89295</v>
      </c>
      <c r="B4211" s="48" t="s">
        <v>1795</v>
      </c>
      <c r="C4211" s="47" t="s">
        <v>256</v>
      </c>
      <c r="D4211" s="332">
        <v>55.29</v>
      </c>
    </row>
    <row r="4212" spans="1:4" ht="45">
      <c r="A4212" s="28">
        <v>89296</v>
      </c>
      <c r="B4212" s="26" t="s">
        <v>1786</v>
      </c>
      <c r="C4212" s="28" t="s">
        <v>256</v>
      </c>
      <c r="D4212" s="329">
        <v>48.05</v>
      </c>
    </row>
    <row r="4213" spans="1:4" ht="45">
      <c r="A4213" s="47">
        <v>89297</v>
      </c>
      <c r="B4213" s="48" t="s">
        <v>1787</v>
      </c>
      <c r="C4213" s="47" t="s">
        <v>256</v>
      </c>
      <c r="D4213" s="332">
        <v>49.63</v>
      </c>
    </row>
    <row r="4214" spans="1:4" ht="45">
      <c r="A4214" s="28">
        <v>89298</v>
      </c>
      <c r="B4214" s="26" t="s">
        <v>1812</v>
      </c>
      <c r="C4214" s="28" t="s">
        <v>256</v>
      </c>
      <c r="D4214" s="329">
        <v>50.06</v>
      </c>
    </row>
    <row r="4215" spans="1:4" ht="45">
      <c r="A4215" s="47">
        <v>89299</v>
      </c>
      <c r="B4215" s="48" t="s">
        <v>1813</v>
      </c>
      <c r="C4215" s="47" t="s">
        <v>256</v>
      </c>
      <c r="D4215" s="332">
        <v>52.09</v>
      </c>
    </row>
    <row r="4216" spans="1:4" ht="45">
      <c r="A4216" s="28">
        <v>89300</v>
      </c>
      <c r="B4216" s="26" t="s">
        <v>1804</v>
      </c>
      <c r="C4216" s="28" t="s">
        <v>256</v>
      </c>
      <c r="D4216" s="329">
        <v>46.36</v>
      </c>
    </row>
    <row r="4217" spans="1:4" ht="45">
      <c r="A4217" s="47">
        <v>89301</v>
      </c>
      <c r="B4217" s="48" t="s">
        <v>1805</v>
      </c>
      <c r="C4217" s="47" t="s">
        <v>256</v>
      </c>
      <c r="D4217" s="332">
        <v>48.38</v>
      </c>
    </row>
    <row r="4218" spans="1:4" ht="45">
      <c r="A4218" s="28">
        <v>89302</v>
      </c>
      <c r="B4218" s="26" t="s">
        <v>1808</v>
      </c>
      <c r="C4218" s="28" t="s">
        <v>256</v>
      </c>
      <c r="D4218" s="329">
        <v>55.95</v>
      </c>
    </row>
    <row r="4219" spans="1:4" ht="45">
      <c r="A4219" s="47">
        <v>89303</v>
      </c>
      <c r="B4219" s="48" t="s">
        <v>1809</v>
      </c>
      <c r="C4219" s="47" t="s">
        <v>256</v>
      </c>
      <c r="D4219" s="332">
        <v>57.98</v>
      </c>
    </row>
    <row r="4220" spans="1:4" ht="45">
      <c r="A4220" s="28">
        <v>89304</v>
      </c>
      <c r="B4220" s="26" t="s">
        <v>1800</v>
      </c>
      <c r="C4220" s="28" t="s">
        <v>256</v>
      </c>
      <c r="D4220" s="329">
        <v>49.94</v>
      </c>
    </row>
    <row r="4221" spans="1:4" ht="45">
      <c r="A4221" s="47">
        <v>89305</v>
      </c>
      <c r="B4221" s="48" t="s">
        <v>1801</v>
      </c>
      <c r="C4221" s="47" t="s">
        <v>256</v>
      </c>
      <c r="D4221" s="332">
        <v>51.96</v>
      </c>
    </row>
    <row r="4222" spans="1:4" ht="45">
      <c r="A4222" s="28">
        <v>89306</v>
      </c>
      <c r="B4222" s="26" t="s">
        <v>1796</v>
      </c>
      <c r="C4222" s="28" t="s">
        <v>256</v>
      </c>
      <c r="D4222" s="329">
        <v>57.18</v>
      </c>
    </row>
    <row r="4223" spans="1:4" ht="45">
      <c r="A4223" s="47">
        <v>89307</v>
      </c>
      <c r="B4223" s="48" t="s">
        <v>1797</v>
      </c>
      <c r="C4223" s="47" t="s">
        <v>256</v>
      </c>
      <c r="D4223" s="332">
        <v>59.43</v>
      </c>
    </row>
    <row r="4224" spans="1:4" ht="45">
      <c r="A4224" s="28">
        <v>89308</v>
      </c>
      <c r="B4224" s="26" t="s">
        <v>1788</v>
      </c>
      <c r="C4224" s="28" t="s">
        <v>256</v>
      </c>
      <c r="D4224" s="329">
        <v>53.52</v>
      </c>
    </row>
    <row r="4225" spans="1:4" ht="45">
      <c r="A4225" s="47">
        <v>89309</v>
      </c>
      <c r="B4225" s="48" t="s">
        <v>1789</v>
      </c>
      <c r="C4225" s="47" t="s">
        <v>256</v>
      </c>
      <c r="D4225" s="332">
        <v>55.77</v>
      </c>
    </row>
    <row r="4226" spans="1:4" ht="45">
      <c r="A4226" s="28">
        <v>89310</v>
      </c>
      <c r="B4226" s="26" t="s">
        <v>1792</v>
      </c>
      <c r="C4226" s="28" t="s">
        <v>256</v>
      </c>
      <c r="D4226" s="329">
        <v>64.239999999999995</v>
      </c>
    </row>
    <row r="4227" spans="1:4" ht="45">
      <c r="A4227" s="47">
        <v>89311</v>
      </c>
      <c r="B4227" s="48" t="s">
        <v>1793</v>
      </c>
      <c r="C4227" s="47" t="s">
        <v>256</v>
      </c>
      <c r="D4227" s="332">
        <v>66.489999999999995</v>
      </c>
    </row>
    <row r="4228" spans="1:4" ht="45">
      <c r="A4228" s="28">
        <v>89312</v>
      </c>
      <c r="B4228" s="26" t="s">
        <v>1784</v>
      </c>
      <c r="C4228" s="28" t="s">
        <v>256</v>
      </c>
      <c r="D4228" s="329">
        <v>57.72</v>
      </c>
    </row>
    <row r="4229" spans="1:4" ht="45">
      <c r="A4229" s="47">
        <v>89313</v>
      </c>
      <c r="B4229" s="48" t="s">
        <v>1785</v>
      </c>
      <c r="C4229" s="47" t="s">
        <v>256</v>
      </c>
      <c r="D4229" s="332">
        <v>59.98</v>
      </c>
    </row>
    <row r="4230" spans="1:4" ht="30">
      <c r="A4230" s="28">
        <v>95465</v>
      </c>
      <c r="B4230" s="26" t="s">
        <v>3629</v>
      </c>
      <c r="C4230" s="28" t="s">
        <v>256</v>
      </c>
      <c r="D4230" s="329">
        <v>107.4</v>
      </c>
    </row>
    <row r="4231" spans="1:4" ht="45">
      <c r="A4231" s="47">
        <v>87447</v>
      </c>
      <c r="B4231" s="48" t="s">
        <v>1778</v>
      </c>
      <c r="C4231" s="47" t="s">
        <v>256</v>
      </c>
      <c r="D4231" s="332">
        <v>45.35</v>
      </c>
    </row>
    <row r="4232" spans="1:4" ht="45">
      <c r="A4232" s="28">
        <v>87448</v>
      </c>
      <c r="B4232" s="26" t="s">
        <v>1779</v>
      </c>
      <c r="C4232" s="28" t="s">
        <v>256</v>
      </c>
      <c r="D4232" s="329">
        <v>45.62</v>
      </c>
    </row>
    <row r="4233" spans="1:4" ht="45">
      <c r="A4233" s="47">
        <v>87449</v>
      </c>
      <c r="B4233" s="48" t="s">
        <v>1762</v>
      </c>
      <c r="C4233" s="47" t="s">
        <v>256</v>
      </c>
      <c r="D4233" s="332">
        <v>57.45</v>
      </c>
    </row>
    <row r="4234" spans="1:4" ht="45">
      <c r="A4234" s="28">
        <v>87450</v>
      </c>
      <c r="B4234" s="26" t="s">
        <v>1763</v>
      </c>
      <c r="C4234" s="28" t="s">
        <v>256</v>
      </c>
      <c r="D4234" s="329">
        <v>58.14</v>
      </c>
    </row>
    <row r="4235" spans="1:4" ht="45">
      <c r="A4235" s="47">
        <v>87451</v>
      </c>
      <c r="B4235" s="48" t="s">
        <v>1770</v>
      </c>
      <c r="C4235" s="47" t="s">
        <v>256</v>
      </c>
      <c r="D4235" s="332">
        <v>70.069999999999993</v>
      </c>
    </row>
    <row r="4236" spans="1:4" ht="45">
      <c r="A4236" s="28">
        <v>87452</v>
      </c>
      <c r="B4236" s="26" t="s">
        <v>1771</v>
      </c>
      <c r="C4236" s="28" t="s">
        <v>256</v>
      </c>
      <c r="D4236" s="329">
        <v>70.48</v>
      </c>
    </row>
    <row r="4237" spans="1:4" ht="45">
      <c r="A4237" s="47">
        <v>87453</v>
      </c>
      <c r="B4237" s="48" t="s">
        <v>1774</v>
      </c>
      <c r="C4237" s="47" t="s">
        <v>256</v>
      </c>
      <c r="D4237" s="332">
        <v>42.39</v>
      </c>
    </row>
    <row r="4238" spans="1:4" ht="45">
      <c r="A4238" s="28">
        <v>87454</v>
      </c>
      <c r="B4238" s="26" t="s">
        <v>1775</v>
      </c>
      <c r="C4238" s="28" t="s">
        <v>256</v>
      </c>
      <c r="D4238" s="329">
        <v>42.98</v>
      </c>
    </row>
    <row r="4239" spans="1:4" ht="45">
      <c r="A4239" s="47">
        <v>87455</v>
      </c>
      <c r="B4239" s="48" t="s">
        <v>1758</v>
      </c>
      <c r="C4239" s="47" t="s">
        <v>256</v>
      </c>
      <c r="D4239" s="332">
        <v>53.64</v>
      </c>
    </row>
    <row r="4240" spans="1:4" ht="45">
      <c r="A4240" s="28">
        <v>87456</v>
      </c>
      <c r="B4240" s="26" t="s">
        <v>1759</v>
      </c>
      <c r="C4240" s="28" t="s">
        <v>256</v>
      </c>
      <c r="D4240" s="329">
        <v>54.65</v>
      </c>
    </row>
    <row r="4241" spans="1:4" ht="45">
      <c r="A4241" s="47">
        <v>87457</v>
      </c>
      <c r="B4241" s="48" t="s">
        <v>1766</v>
      </c>
      <c r="C4241" s="47" t="s">
        <v>256</v>
      </c>
      <c r="D4241" s="332">
        <v>65.73</v>
      </c>
    </row>
    <row r="4242" spans="1:4" ht="45">
      <c r="A4242" s="28">
        <v>87458</v>
      </c>
      <c r="B4242" s="26" t="s">
        <v>1767</v>
      </c>
      <c r="C4242" s="28" t="s">
        <v>256</v>
      </c>
      <c r="D4242" s="329">
        <v>66.599999999999994</v>
      </c>
    </row>
    <row r="4243" spans="1:4" ht="45">
      <c r="A4243" s="47">
        <v>87459</v>
      </c>
      <c r="B4243" s="48" t="s">
        <v>1776</v>
      </c>
      <c r="C4243" s="47" t="s">
        <v>256</v>
      </c>
      <c r="D4243" s="332">
        <v>50.07</v>
      </c>
    </row>
    <row r="4244" spans="1:4" ht="45">
      <c r="A4244" s="28">
        <v>87460</v>
      </c>
      <c r="B4244" s="26" t="s">
        <v>1777</v>
      </c>
      <c r="C4244" s="28" t="s">
        <v>256</v>
      </c>
      <c r="D4244" s="329">
        <v>50.66</v>
      </c>
    </row>
    <row r="4245" spans="1:4" ht="45">
      <c r="A4245" s="47">
        <v>87461</v>
      </c>
      <c r="B4245" s="48" t="s">
        <v>1760</v>
      </c>
      <c r="C4245" s="47" t="s">
        <v>256</v>
      </c>
      <c r="D4245" s="332">
        <v>62.2</v>
      </c>
    </row>
    <row r="4246" spans="1:4" ht="45">
      <c r="A4246" s="28">
        <v>87462</v>
      </c>
      <c r="B4246" s="26" t="s">
        <v>1761</v>
      </c>
      <c r="C4246" s="28" t="s">
        <v>256</v>
      </c>
      <c r="D4246" s="329">
        <v>62.89</v>
      </c>
    </row>
    <row r="4247" spans="1:4" ht="45">
      <c r="A4247" s="47">
        <v>87463</v>
      </c>
      <c r="B4247" s="48" t="s">
        <v>1768</v>
      </c>
      <c r="C4247" s="47" t="s">
        <v>256</v>
      </c>
      <c r="D4247" s="332">
        <v>74.42</v>
      </c>
    </row>
    <row r="4248" spans="1:4" ht="45">
      <c r="A4248" s="28">
        <v>87464</v>
      </c>
      <c r="B4248" s="26" t="s">
        <v>1769</v>
      </c>
      <c r="C4248" s="28" t="s">
        <v>256</v>
      </c>
      <c r="D4248" s="329">
        <v>75.290000000000006</v>
      </c>
    </row>
    <row r="4249" spans="1:4" ht="45">
      <c r="A4249" s="47">
        <v>87465</v>
      </c>
      <c r="B4249" s="48" t="s">
        <v>1772</v>
      </c>
      <c r="C4249" s="47" t="s">
        <v>256</v>
      </c>
      <c r="D4249" s="332">
        <v>45.06</v>
      </c>
    </row>
    <row r="4250" spans="1:4" ht="45">
      <c r="A4250" s="28">
        <v>87466</v>
      </c>
      <c r="B4250" s="26" t="s">
        <v>1773</v>
      </c>
      <c r="C4250" s="28" t="s">
        <v>256</v>
      </c>
      <c r="D4250" s="329">
        <v>45.66</v>
      </c>
    </row>
    <row r="4251" spans="1:4" ht="45">
      <c r="A4251" s="47">
        <v>87467</v>
      </c>
      <c r="B4251" s="48" t="s">
        <v>1756</v>
      </c>
      <c r="C4251" s="47" t="s">
        <v>256</v>
      </c>
      <c r="D4251" s="332">
        <v>56.67</v>
      </c>
    </row>
    <row r="4252" spans="1:4" ht="45">
      <c r="A4252" s="28">
        <v>87468</v>
      </c>
      <c r="B4252" s="26" t="s">
        <v>1757</v>
      </c>
      <c r="C4252" s="28" t="s">
        <v>256</v>
      </c>
      <c r="D4252" s="329">
        <v>57.36</v>
      </c>
    </row>
    <row r="4253" spans="1:4" ht="45">
      <c r="A4253" s="47">
        <v>87469</v>
      </c>
      <c r="B4253" s="48" t="s">
        <v>1764</v>
      </c>
      <c r="C4253" s="47" t="s">
        <v>256</v>
      </c>
      <c r="D4253" s="332">
        <v>68.91</v>
      </c>
    </row>
    <row r="4254" spans="1:4" ht="45">
      <c r="A4254" s="28">
        <v>87470</v>
      </c>
      <c r="B4254" s="26" t="s">
        <v>1765</v>
      </c>
      <c r="C4254" s="28" t="s">
        <v>256</v>
      </c>
      <c r="D4254" s="329">
        <v>69.78</v>
      </c>
    </row>
    <row r="4255" spans="1:4" ht="45">
      <c r="A4255" s="47">
        <v>89044</v>
      </c>
      <c r="B4255" s="48" t="s">
        <v>1361</v>
      </c>
      <c r="C4255" s="47" t="s">
        <v>256</v>
      </c>
      <c r="D4255" s="332">
        <v>45.18</v>
      </c>
    </row>
    <row r="4256" spans="1:4" ht="45">
      <c r="A4256" s="28">
        <v>89169</v>
      </c>
      <c r="B4256" s="26" t="s">
        <v>1362</v>
      </c>
      <c r="C4256" s="28" t="s">
        <v>256</v>
      </c>
      <c r="D4256" s="329">
        <v>45.82</v>
      </c>
    </row>
    <row r="4257" spans="1:4" ht="45">
      <c r="A4257" s="47">
        <v>89978</v>
      </c>
      <c r="B4257" s="48" t="s">
        <v>1360</v>
      </c>
      <c r="C4257" s="47" t="s">
        <v>256</v>
      </c>
      <c r="D4257" s="332">
        <v>57.6</v>
      </c>
    </row>
    <row r="4258" spans="1:4" ht="30">
      <c r="A4258" s="28" t="s">
        <v>837</v>
      </c>
      <c r="B4258" s="26" t="s">
        <v>3632</v>
      </c>
      <c r="C4258" s="28" t="s">
        <v>256</v>
      </c>
      <c r="D4258" s="329">
        <v>107.96</v>
      </c>
    </row>
    <row r="4259" spans="1:4" ht="30">
      <c r="A4259" s="47" t="s">
        <v>838</v>
      </c>
      <c r="B4259" s="48" t="s">
        <v>3631</v>
      </c>
      <c r="C4259" s="47" t="s">
        <v>256</v>
      </c>
      <c r="D4259" s="332">
        <v>108.1</v>
      </c>
    </row>
    <row r="4260" spans="1:4" ht="30">
      <c r="A4260" s="28" t="s">
        <v>839</v>
      </c>
      <c r="B4260" s="26" t="s">
        <v>3630</v>
      </c>
      <c r="C4260" s="28" t="s">
        <v>256</v>
      </c>
      <c r="D4260" s="329">
        <v>192.85</v>
      </c>
    </row>
    <row r="4261" spans="1:4" ht="45">
      <c r="A4261" s="47">
        <v>89453</v>
      </c>
      <c r="B4261" s="48" t="s">
        <v>1714</v>
      </c>
      <c r="C4261" s="47" t="s">
        <v>256</v>
      </c>
      <c r="D4261" s="332">
        <v>53.02</v>
      </c>
    </row>
    <row r="4262" spans="1:4" ht="45">
      <c r="A4262" s="28">
        <v>89454</v>
      </c>
      <c r="B4262" s="26" t="s">
        <v>1710</v>
      </c>
      <c r="C4262" s="28" t="s">
        <v>256</v>
      </c>
      <c r="D4262" s="329">
        <v>50.73</v>
      </c>
    </row>
    <row r="4263" spans="1:4" ht="45">
      <c r="A4263" s="47">
        <v>89455</v>
      </c>
      <c r="B4263" s="48" t="s">
        <v>1706</v>
      </c>
      <c r="C4263" s="47" t="s">
        <v>256</v>
      </c>
      <c r="D4263" s="332">
        <v>65.599999999999994</v>
      </c>
    </row>
    <row r="4264" spans="1:4" ht="45">
      <c r="A4264" s="28">
        <v>89456</v>
      </c>
      <c r="B4264" s="26" t="s">
        <v>1702</v>
      </c>
      <c r="C4264" s="28" t="s">
        <v>256</v>
      </c>
      <c r="D4264" s="329">
        <v>62.81</v>
      </c>
    </row>
    <row r="4265" spans="1:4" ht="45">
      <c r="A4265" s="47">
        <v>89457</v>
      </c>
      <c r="B4265" s="48" t="s">
        <v>1712</v>
      </c>
      <c r="C4265" s="47" t="s">
        <v>256</v>
      </c>
      <c r="D4265" s="332">
        <v>56.25</v>
      </c>
    </row>
    <row r="4266" spans="1:4" ht="45">
      <c r="A4266" s="28">
        <v>89458</v>
      </c>
      <c r="B4266" s="26" t="s">
        <v>1708</v>
      </c>
      <c r="C4266" s="28" t="s">
        <v>256</v>
      </c>
      <c r="D4266" s="329">
        <v>52.53</v>
      </c>
    </row>
    <row r="4267" spans="1:4" ht="45">
      <c r="A4267" s="47">
        <v>89459</v>
      </c>
      <c r="B4267" s="48" t="s">
        <v>1704</v>
      </c>
      <c r="C4267" s="47" t="s">
        <v>256</v>
      </c>
      <c r="D4267" s="332">
        <v>70.16</v>
      </c>
    </row>
    <row r="4268" spans="1:4" ht="45">
      <c r="A4268" s="28">
        <v>89460</v>
      </c>
      <c r="B4268" s="26" t="s">
        <v>1700</v>
      </c>
      <c r="C4268" s="28" t="s">
        <v>256</v>
      </c>
      <c r="D4268" s="329">
        <v>65.56</v>
      </c>
    </row>
    <row r="4269" spans="1:4" ht="45">
      <c r="A4269" s="47">
        <v>89462</v>
      </c>
      <c r="B4269" s="48" t="s">
        <v>1698</v>
      </c>
      <c r="C4269" s="47" t="s">
        <v>256</v>
      </c>
      <c r="D4269" s="332">
        <v>61.04</v>
      </c>
    </row>
    <row r="4270" spans="1:4" ht="45">
      <c r="A4270" s="28">
        <v>89463</v>
      </c>
      <c r="B4270" s="26" t="s">
        <v>1694</v>
      </c>
      <c r="C4270" s="28" t="s">
        <v>256</v>
      </c>
      <c r="D4270" s="329">
        <v>59</v>
      </c>
    </row>
    <row r="4271" spans="1:4" ht="45">
      <c r="A4271" s="47">
        <v>89464</v>
      </c>
      <c r="B4271" s="48" t="s">
        <v>1690</v>
      </c>
      <c r="C4271" s="47" t="s">
        <v>256</v>
      </c>
      <c r="D4271" s="332">
        <v>81.87</v>
      </c>
    </row>
    <row r="4272" spans="1:4" ht="45">
      <c r="A4272" s="28">
        <v>89465</v>
      </c>
      <c r="B4272" s="26" t="s">
        <v>1686</v>
      </c>
      <c r="C4272" s="28" t="s">
        <v>256</v>
      </c>
      <c r="D4272" s="329">
        <v>79.41</v>
      </c>
    </row>
    <row r="4273" spans="1:4" ht="45">
      <c r="A4273" s="47">
        <v>89466</v>
      </c>
      <c r="B4273" s="48" t="s">
        <v>1696</v>
      </c>
      <c r="C4273" s="47" t="s">
        <v>256</v>
      </c>
      <c r="D4273" s="332">
        <v>64.33</v>
      </c>
    </row>
    <row r="4274" spans="1:4" ht="45">
      <c r="A4274" s="28">
        <v>89467</v>
      </c>
      <c r="B4274" s="26" t="s">
        <v>1692</v>
      </c>
      <c r="C4274" s="28" t="s">
        <v>256</v>
      </c>
      <c r="D4274" s="329">
        <v>60.76</v>
      </c>
    </row>
    <row r="4275" spans="1:4" ht="45">
      <c r="A4275" s="47">
        <v>89468</v>
      </c>
      <c r="B4275" s="48" t="s">
        <v>1688</v>
      </c>
      <c r="C4275" s="47" t="s">
        <v>256</v>
      </c>
      <c r="D4275" s="332">
        <v>85.96</v>
      </c>
    </row>
    <row r="4276" spans="1:4" ht="45">
      <c r="A4276" s="28">
        <v>89469</v>
      </c>
      <c r="B4276" s="26" t="s">
        <v>1684</v>
      </c>
      <c r="C4276" s="28" t="s">
        <v>256</v>
      </c>
      <c r="D4276" s="329">
        <v>81.56</v>
      </c>
    </row>
    <row r="4277" spans="1:4" ht="45">
      <c r="A4277" s="47">
        <v>89470</v>
      </c>
      <c r="B4277" s="48" t="s">
        <v>1713</v>
      </c>
      <c r="C4277" s="47" t="s">
        <v>256</v>
      </c>
      <c r="D4277" s="332">
        <v>62.57</v>
      </c>
    </row>
    <row r="4278" spans="1:4" ht="45">
      <c r="A4278" s="28">
        <v>89471</v>
      </c>
      <c r="B4278" s="26" t="s">
        <v>1709</v>
      </c>
      <c r="C4278" s="28" t="s">
        <v>256</v>
      </c>
      <c r="D4278" s="329">
        <v>60.27</v>
      </c>
    </row>
    <row r="4279" spans="1:4" ht="45">
      <c r="A4279" s="47">
        <v>89472</v>
      </c>
      <c r="B4279" s="48" t="s">
        <v>1705</v>
      </c>
      <c r="C4279" s="47" t="s">
        <v>256</v>
      </c>
      <c r="D4279" s="332">
        <v>74.89</v>
      </c>
    </row>
    <row r="4280" spans="1:4" ht="45">
      <c r="A4280" s="28">
        <v>89473</v>
      </c>
      <c r="B4280" s="26" t="s">
        <v>1701</v>
      </c>
      <c r="C4280" s="28" t="s">
        <v>256</v>
      </c>
      <c r="D4280" s="329">
        <v>72.28</v>
      </c>
    </row>
    <row r="4281" spans="1:4" ht="45">
      <c r="A4281" s="47">
        <v>89474</v>
      </c>
      <c r="B4281" s="48" t="s">
        <v>1711</v>
      </c>
      <c r="C4281" s="47" t="s">
        <v>256</v>
      </c>
      <c r="D4281" s="332">
        <v>68.41</v>
      </c>
    </row>
    <row r="4282" spans="1:4" ht="45">
      <c r="A4282" s="28">
        <v>89475</v>
      </c>
      <c r="B4282" s="26" t="s">
        <v>1707</v>
      </c>
      <c r="C4282" s="28" t="s">
        <v>256</v>
      </c>
      <c r="D4282" s="329">
        <v>63.51</v>
      </c>
    </row>
    <row r="4283" spans="1:4" ht="45">
      <c r="A4283" s="47">
        <v>89476</v>
      </c>
      <c r="B4283" s="48" t="s">
        <v>1703</v>
      </c>
      <c r="C4283" s="47" t="s">
        <v>256</v>
      </c>
      <c r="D4283" s="332">
        <v>82.24</v>
      </c>
    </row>
    <row r="4284" spans="1:4" ht="45">
      <c r="A4284" s="28">
        <v>89477</v>
      </c>
      <c r="B4284" s="26" t="s">
        <v>1699</v>
      </c>
      <c r="C4284" s="28" t="s">
        <v>256</v>
      </c>
      <c r="D4284" s="329">
        <v>76.62</v>
      </c>
    </row>
    <row r="4285" spans="1:4" ht="45">
      <c r="A4285" s="47">
        <v>89478</v>
      </c>
      <c r="B4285" s="48" t="s">
        <v>1697</v>
      </c>
      <c r="C4285" s="47" t="s">
        <v>256</v>
      </c>
      <c r="D4285" s="332">
        <v>70.78</v>
      </c>
    </row>
    <row r="4286" spans="1:4" ht="45">
      <c r="A4286" s="28">
        <v>89479</v>
      </c>
      <c r="B4286" s="26" t="s">
        <v>1693</v>
      </c>
      <c r="C4286" s="28" t="s">
        <v>256</v>
      </c>
      <c r="D4286" s="329">
        <v>68.739999999999995</v>
      </c>
    </row>
    <row r="4287" spans="1:4" ht="45">
      <c r="A4287" s="47">
        <v>89480</v>
      </c>
      <c r="B4287" s="48" t="s">
        <v>1689</v>
      </c>
      <c r="C4287" s="47" t="s">
        <v>256</v>
      </c>
      <c r="D4287" s="332">
        <v>91.35</v>
      </c>
    </row>
    <row r="4288" spans="1:4" ht="45">
      <c r="A4288" s="28">
        <v>89483</v>
      </c>
      <c r="B4288" s="26" t="s">
        <v>1685</v>
      </c>
      <c r="C4288" s="28" t="s">
        <v>256</v>
      </c>
      <c r="D4288" s="329">
        <v>89.06</v>
      </c>
    </row>
    <row r="4289" spans="1:4" ht="45">
      <c r="A4289" s="47">
        <v>89484</v>
      </c>
      <c r="B4289" s="48" t="s">
        <v>1695</v>
      </c>
      <c r="C4289" s="47" t="s">
        <v>256</v>
      </c>
      <c r="D4289" s="332">
        <v>76.69</v>
      </c>
    </row>
    <row r="4290" spans="1:4" ht="45">
      <c r="A4290" s="28">
        <v>89486</v>
      </c>
      <c r="B4290" s="26" t="s">
        <v>1691</v>
      </c>
      <c r="C4290" s="28" t="s">
        <v>256</v>
      </c>
      <c r="D4290" s="329">
        <v>72.09</v>
      </c>
    </row>
    <row r="4291" spans="1:4" ht="45">
      <c r="A4291" s="47">
        <v>89487</v>
      </c>
      <c r="B4291" s="48" t="s">
        <v>1687</v>
      </c>
      <c r="C4291" s="47" t="s">
        <v>256</v>
      </c>
      <c r="D4291" s="332">
        <v>98.23</v>
      </c>
    </row>
    <row r="4292" spans="1:4" ht="45">
      <c r="A4292" s="28">
        <v>89488</v>
      </c>
      <c r="B4292" s="26" t="s">
        <v>1683</v>
      </c>
      <c r="C4292" s="28" t="s">
        <v>256</v>
      </c>
      <c r="D4292" s="329">
        <v>92.8</v>
      </c>
    </row>
    <row r="4293" spans="1:4" ht="45">
      <c r="A4293" s="47">
        <v>91815</v>
      </c>
      <c r="B4293" s="48" t="s">
        <v>1357</v>
      </c>
      <c r="C4293" s="47" t="s">
        <v>256</v>
      </c>
      <c r="D4293" s="332">
        <v>53.05</v>
      </c>
    </row>
    <row r="4294" spans="1:4" ht="45">
      <c r="A4294" s="28">
        <v>91816</v>
      </c>
      <c r="B4294" s="26" t="s">
        <v>3678</v>
      </c>
      <c r="C4294" s="28" t="s">
        <v>256</v>
      </c>
      <c r="D4294" s="329">
        <v>61.19</v>
      </c>
    </row>
    <row r="4295" spans="1:4" ht="45">
      <c r="A4295" s="47">
        <v>72139</v>
      </c>
      <c r="B4295" s="48" t="s">
        <v>2592</v>
      </c>
      <c r="C4295" s="47" t="s">
        <v>256</v>
      </c>
      <c r="D4295" s="332">
        <v>480.3</v>
      </c>
    </row>
    <row r="4296" spans="1:4" ht="45">
      <c r="A4296" s="28">
        <v>72175</v>
      </c>
      <c r="B4296" s="26" t="s">
        <v>2594</v>
      </c>
      <c r="C4296" s="28" t="s">
        <v>256</v>
      </c>
      <c r="D4296" s="329">
        <v>484.3</v>
      </c>
    </row>
    <row r="4297" spans="1:4" ht="45">
      <c r="A4297" s="47">
        <v>72176</v>
      </c>
      <c r="B4297" s="48" t="s">
        <v>2593</v>
      </c>
      <c r="C4297" s="47" t="s">
        <v>256</v>
      </c>
      <c r="D4297" s="332">
        <v>488.11</v>
      </c>
    </row>
    <row r="4298" spans="1:4">
      <c r="A4298" s="28">
        <v>72178</v>
      </c>
      <c r="B4298" s="26" t="s">
        <v>8745</v>
      </c>
      <c r="C4298" s="28" t="s">
        <v>256</v>
      </c>
      <c r="D4298" s="329">
        <v>19.88</v>
      </c>
    </row>
    <row r="4299" spans="1:4" ht="30">
      <c r="A4299" s="47">
        <v>72179</v>
      </c>
      <c r="B4299" s="48" t="s">
        <v>8599</v>
      </c>
      <c r="C4299" s="47" t="s">
        <v>256</v>
      </c>
      <c r="D4299" s="332">
        <v>42.05</v>
      </c>
    </row>
    <row r="4300" spans="1:4" ht="30">
      <c r="A4300" s="28">
        <v>72180</v>
      </c>
      <c r="B4300" s="26" t="s">
        <v>8593</v>
      </c>
      <c r="C4300" s="28" t="s">
        <v>256</v>
      </c>
      <c r="D4300" s="329">
        <v>11.97</v>
      </c>
    </row>
    <row r="4301" spans="1:4" ht="30">
      <c r="A4301" s="47">
        <v>72181</v>
      </c>
      <c r="B4301" s="48" t="s">
        <v>8594</v>
      </c>
      <c r="C4301" s="47" t="s">
        <v>256</v>
      </c>
      <c r="D4301" s="332">
        <v>24.27</v>
      </c>
    </row>
    <row r="4302" spans="1:4" ht="30">
      <c r="A4302" s="28" t="s">
        <v>840</v>
      </c>
      <c r="B4302" s="26" t="s">
        <v>4823</v>
      </c>
      <c r="C4302" s="28" t="s">
        <v>256</v>
      </c>
      <c r="D4302" s="329">
        <v>227.91</v>
      </c>
    </row>
    <row r="4303" spans="1:4" ht="30">
      <c r="A4303" s="47" t="s">
        <v>841</v>
      </c>
      <c r="B4303" s="48" t="s">
        <v>4820</v>
      </c>
      <c r="C4303" s="47" t="s">
        <v>256</v>
      </c>
      <c r="D4303" s="332">
        <v>163.13999999999999</v>
      </c>
    </row>
    <row r="4304" spans="1:4" ht="45">
      <c r="A4304" s="28" t="s">
        <v>842</v>
      </c>
      <c r="B4304" s="26" t="s">
        <v>4821</v>
      </c>
      <c r="C4304" s="28" t="s">
        <v>256</v>
      </c>
      <c r="D4304" s="329">
        <v>365.7</v>
      </c>
    </row>
    <row r="4305" spans="1:4" ht="30">
      <c r="A4305" s="47">
        <v>79627</v>
      </c>
      <c r="B4305" s="48" t="s">
        <v>4819</v>
      </c>
      <c r="C4305" s="47" t="s">
        <v>256</v>
      </c>
      <c r="D4305" s="332">
        <v>448.7</v>
      </c>
    </row>
    <row r="4306" spans="1:4" ht="30">
      <c r="A4306" s="28" t="s">
        <v>843</v>
      </c>
      <c r="B4306" s="26" t="s">
        <v>1681</v>
      </c>
      <c r="C4306" s="28" t="s">
        <v>256</v>
      </c>
      <c r="D4306" s="329">
        <v>62.18</v>
      </c>
    </row>
    <row r="4307" spans="1:4" ht="30">
      <c r="A4307" s="47" t="s">
        <v>844</v>
      </c>
      <c r="B4307" s="48" t="s">
        <v>1682</v>
      </c>
      <c r="C4307" s="47" t="s">
        <v>256</v>
      </c>
      <c r="D4307" s="332">
        <v>127.45</v>
      </c>
    </row>
    <row r="4308" spans="1:4" ht="45">
      <c r="A4308" s="28" t="s">
        <v>845</v>
      </c>
      <c r="B4308" s="26" t="s">
        <v>8543</v>
      </c>
      <c r="C4308" s="28" t="s">
        <v>256</v>
      </c>
      <c r="D4308" s="329">
        <v>38.36</v>
      </c>
    </row>
    <row r="4309" spans="1:4" ht="45">
      <c r="A4309" s="47" t="s">
        <v>846</v>
      </c>
      <c r="B4309" s="48" t="s">
        <v>8542</v>
      </c>
      <c r="C4309" s="47" t="s">
        <v>256</v>
      </c>
      <c r="D4309" s="332">
        <v>32.83</v>
      </c>
    </row>
    <row r="4310" spans="1:4" ht="30">
      <c r="A4310" s="28">
        <v>83694</v>
      </c>
      <c r="B4310" s="26" t="s">
        <v>8605</v>
      </c>
      <c r="C4310" s="28" t="s">
        <v>256</v>
      </c>
      <c r="D4310" s="329">
        <v>13.59</v>
      </c>
    </row>
    <row r="4311" spans="1:4">
      <c r="A4311" s="47" t="s">
        <v>847</v>
      </c>
      <c r="B4311" s="48" t="s">
        <v>8713</v>
      </c>
      <c r="C4311" s="47" t="s">
        <v>256</v>
      </c>
      <c r="D4311" s="332">
        <v>17.52</v>
      </c>
    </row>
    <row r="4312" spans="1:4">
      <c r="A4312" s="28">
        <v>83771</v>
      </c>
      <c r="B4312" s="26" t="s">
        <v>8606</v>
      </c>
      <c r="C4312" s="28" t="s">
        <v>255</v>
      </c>
      <c r="D4312" s="329">
        <v>7.18</v>
      </c>
    </row>
    <row r="4313" spans="1:4" ht="30">
      <c r="A4313" s="47">
        <v>92970</v>
      </c>
      <c r="B4313" s="48" t="s">
        <v>4657</v>
      </c>
      <c r="C4313" s="47" t="s">
        <v>256</v>
      </c>
      <c r="D4313" s="332">
        <v>11.75</v>
      </c>
    </row>
    <row r="4314" spans="1:4" ht="30">
      <c r="A4314" s="28">
        <v>41879</v>
      </c>
      <c r="B4314" s="26" t="s">
        <v>3939</v>
      </c>
      <c r="C4314" s="28" t="s">
        <v>256</v>
      </c>
      <c r="D4314" s="329">
        <v>0.13</v>
      </c>
    </row>
    <row r="4315" spans="1:4">
      <c r="A4315" s="47">
        <v>72910</v>
      </c>
      <c r="B4315" s="48" t="s">
        <v>2472</v>
      </c>
      <c r="C4315" s="47" t="s">
        <v>255</v>
      </c>
      <c r="D4315" s="332">
        <v>9.2100000000000009</v>
      </c>
    </row>
    <row r="4316" spans="1:4" ht="30">
      <c r="A4316" s="28">
        <v>72911</v>
      </c>
      <c r="B4316" s="26" t="s">
        <v>2479</v>
      </c>
      <c r="C4316" s="28" t="s">
        <v>255</v>
      </c>
      <c r="D4316" s="329">
        <v>10.039999999999999</v>
      </c>
    </row>
    <row r="4317" spans="1:4" ht="30">
      <c r="A4317" s="47">
        <v>72912</v>
      </c>
      <c r="B4317" s="48" t="s">
        <v>2473</v>
      </c>
      <c r="C4317" s="47" t="s">
        <v>255</v>
      </c>
      <c r="D4317" s="332">
        <v>24.89</v>
      </c>
    </row>
    <row r="4318" spans="1:4" ht="30">
      <c r="A4318" s="28">
        <v>72913</v>
      </c>
      <c r="B4318" s="26" t="s">
        <v>2475</v>
      </c>
      <c r="C4318" s="28" t="s">
        <v>255</v>
      </c>
      <c r="D4318" s="329">
        <v>38.4</v>
      </c>
    </row>
    <row r="4319" spans="1:4" ht="30">
      <c r="A4319" s="47">
        <v>72914</v>
      </c>
      <c r="B4319" s="48" t="s">
        <v>2478</v>
      </c>
      <c r="C4319" s="47" t="s">
        <v>255</v>
      </c>
      <c r="D4319" s="332">
        <v>54.37</v>
      </c>
    </row>
    <row r="4320" spans="1:4" ht="30">
      <c r="A4320" s="28">
        <v>72916</v>
      </c>
      <c r="B4320" s="26" t="s">
        <v>2474</v>
      </c>
      <c r="C4320" s="28" t="s">
        <v>255</v>
      </c>
      <c r="D4320" s="329">
        <v>27.1</v>
      </c>
    </row>
    <row r="4321" spans="1:4" ht="30">
      <c r="A4321" s="47">
        <v>72919</v>
      </c>
      <c r="B4321" s="48" t="s">
        <v>2476</v>
      </c>
      <c r="C4321" s="47" t="s">
        <v>255</v>
      </c>
      <c r="D4321" s="332">
        <v>39.07</v>
      </c>
    </row>
    <row r="4322" spans="1:4" ht="30">
      <c r="A4322" s="28">
        <v>72922</v>
      </c>
      <c r="B4322" s="26" t="s">
        <v>2477</v>
      </c>
      <c r="C4322" s="28" t="s">
        <v>255</v>
      </c>
      <c r="D4322" s="329">
        <v>53.35</v>
      </c>
    </row>
    <row r="4323" spans="1:4" ht="30">
      <c r="A4323" s="47">
        <v>72923</v>
      </c>
      <c r="B4323" s="48" t="s">
        <v>2470</v>
      </c>
      <c r="C4323" s="47" t="s">
        <v>255</v>
      </c>
      <c r="D4323" s="332">
        <v>51.71</v>
      </c>
    </row>
    <row r="4324" spans="1:4" ht="30">
      <c r="A4324" s="28">
        <v>72924</v>
      </c>
      <c r="B4324" s="26" t="s">
        <v>2471</v>
      </c>
      <c r="C4324" s="28" t="s">
        <v>255</v>
      </c>
      <c r="D4324" s="329">
        <v>44.59</v>
      </c>
    </row>
    <row r="4325" spans="1:4">
      <c r="A4325" s="47">
        <v>72961</v>
      </c>
      <c r="B4325" s="48" t="s">
        <v>8711</v>
      </c>
      <c r="C4325" s="47" t="s">
        <v>256</v>
      </c>
      <c r="D4325" s="332">
        <v>1.32</v>
      </c>
    </row>
    <row r="4326" spans="1:4">
      <c r="A4326" s="28">
        <v>73710</v>
      </c>
      <c r="B4326" s="26" t="s">
        <v>2486</v>
      </c>
      <c r="C4326" s="28" t="s">
        <v>255</v>
      </c>
      <c r="D4326" s="329">
        <v>85.05</v>
      </c>
    </row>
    <row r="4327" spans="1:4">
      <c r="A4327" s="47">
        <v>73711</v>
      </c>
      <c r="B4327" s="48" t="s">
        <v>2485</v>
      </c>
      <c r="C4327" s="47" t="s">
        <v>255</v>
      </c>
      <c r="D4327" s="332">
        <v>75.790000000000006</v>
      </c>
    </row>
    <row r="4328" spans="1:4">
      <c r="A4328" s="28" t="s">
        <v>848</v>
      </c>
      <c r="B4328" s="26" t="s">
        <v>2487</v>
      </c>
      <c r="C4328" s="28" t="s">
        <v>255</v>
      </c>
      <c r="D4328" s="329">
        <v>98.82</v>
      </c>
    </row>
    <row r="4329" spans="1:4" ht="30">
      <c r="A4329" s="47">
        <v>83772</v>
      </c>
      <c r="B4329" s="48" t="s">
        <v>2488</v>
      </c>
      <c r="C4329" s="47" t="s">
        <v>255</v>
      </c>
      <c r="D4329" s="332">
        <v>12.46</v>
      </c>
    </row>
    <row r="4330" spans="1:4" ht="30">
      <c r="A4330" s="28">
        <v>72799</v>
      </c>
      <c r="B4330" s="26" t="s">
        <v>7862</v>
      </c>
      <c r="C4330" s="28" t="s">
        <v>256</v>
      </c>
      <c r="D4330" s="329">
        <v>136.01</v>
      </c>
    </row>
    <row r="4331" spans="1:4">
      <c r="A4331" s="47">
        <v>72942</v>
      </c>
      <c r="B4331" s="48" t="s">
        <v>8013</v>
      </c>
      <c r="C4331" s="47" t="s">
        <v>256</v>
      </c>
      <c r="D4331" s="332">
        <v>1.39</v>
      </c>
    </row>
    <row r="4332" spans="1:4">
      <c r="A4332" s="28">
        <v>72943</v>
      </c>
      <c r="B4332" s="26" t="s">
        <v>8014</v>
      </c>
      <c r="C4332" s="28" t="s">
        <v>256</v>
      </c>
      <c r="D4332" s="329">
        <v>1.41</v>
      </c>
    </row>
    <row r="4333" spans="1:4">
      <c r="A4333" s="47">
        <v>72945</v>
      </c>
      <c r="B4333" s="48" t="s">
        <v>6045</v>
      </c>
      <c r="C4333" s="47" t="s">
        <v>256</v>
      </c>
      <c r="D4333" s="332">
        <v>5.1100000000000003</v>
      </c>
    </row>
    <row r="4334" spans="1:4">
      <c r="A4334" s="28">
        <v>72956</v>
      </c>
      <c r="B4334" s="26" t="s">
        <v>10063</v>
      </c>
      <c r="C4334" s="28" t="s">
        <v>256</v>
      </c>
      <c r="D4334" s="329">
        <v>5.3</v>
      </c>
    </row>
    <row r="4335" spans="1:4">
      <c r="A4335" s="47">
        <v>72958</v>
      </c>
      <c r="B4335" s="48" t="s">
        <v>10062</v>
      </c>
      <c r="C4335" s="47" t="s">
        <v>256</v>
      </c>
      <c r="D4335" s="332">
        <v>9.33</v>
      </c>
    </row>
    <row r="4336" spans="1:4">
      <c r="A4336" s="28">
        <v>72960</v>
      </c>
      <c r="B4336" s="26" t="s">
        <v>10064</v>
      </c>
      <c r="C4336" s="28" t="s">
        <v>256</v>
      </c>
      <c r="D4336" s="329">
        <v>12.33</v>
      </c>
    </row>
    <row r="4337" spans="1:4">
      <c r="A4337" s="47">
        <v>72972</v>
      </c>
      <c r="B4337" s="48" t="s">
        <v>3982</v>
      </c>
      <c r="C4337" s="47" t="s">
        <v>256</v>
      </c>
      <c r="D4337" s="332">
        <v>0.62</v>
      </c>
    </row>
    <row r="4338" spans="1:4">
      <c r="A4338" s="28">
        <v>72973</v>
      </c>
      <c r="B4338" s="26" t="s">
        <v>4115</v>
      </c>
      <c r="C4338" s="28" t="s">
        <v>71</v>
      </c>
      <c r="D4338" s="329">
        <v>1.1599999999999999</v>
      </c>
    </row>
    <row r="4339" spans="1:4">
      <c r="A4339" s="47">
        <v>72974</v>
      </c>
      <c r="B4339" s="48" t="s">
        <v>4116</v>
      </c>
      <c r="C4339" s="47" t="s">
        <v>256</v>
      </c>
      <c r="D4339" s="332">
        <v>3.89</v>
      </c>
    </row>
    <row r="4340" spans="1:4">
      <c r="A4340" s="28">
        <v>72975</v>
      </c>
      <c r="B4340" s="26" t="s">
        <v>4681</v>
      </c>
      <c r="C4340" s="28" t="s">
        <v>256</v>
      </c>
      <c r="D4340" s="329">
        <v>0.43</v>
      </c>
    </row>
    <row r="4341" spans="1:4" ht="30">
      <c r="A4341" s="47">
        <v>72978</v>
      </c>
      <c r="B4341" s="48" t="s">
        <v>5450</v>
      </c>
      <c r="C4341" s="47" t="s">
        <v>71</v>
      </c>
      <c r="D4341" s="332">
        <v>3.89</v>
      </c>
    </row>
    <row r="4342" spans="1:4" ht="30">
      <c r="A4342" s="28">
        <v>72979</v>
      </c>
      <c r="B4342" s="26" t="s">
        <v>5451</v>
      </c>
      <c r="C4342" s="28" t="s">
        <v>256</v>
      </c>
      <c r="D4342" s="329">
        <v>7.45</v>
      </c>
    </row>
    <row r="4343" spans="1:4" ht="45">
      <c r="A4343" s="47" t="s">
        <v>849</v>
      </c>
      <c r="B4343" s="48" t="s">
        <v>3387</v>
      </c>
      <c r="C4343" s="47" t="s">
        <v>256</v>
      </c>
      <c r="D4343" s="332">
        <v>2.96</v>
      </c>
    </row>
    <row r="4344" spans="1:4" ht="30">
      <c r="A4344" s="28" t="s">
        <v>850</v>
      </c>
      <c r="B4344" s="26" t="s">
        <v>1974</v>
      </c>
      <c r="C4344" s="28" t="s">
        <v>255</v>
      </c>
      <c r="D4344" s="329">
        <v>627.4</v>
      </c>
    </row>
    <row r="4345" spans="1:4" ht="30">
      <c r="A4345" s="47" t="s">
        <v>851</v>
      </c>
      <c r="B4345" s="48" t="s">
        <v>1973</v>
      </c>
      <c r="C4345" s="47" t="s">
        <v>255</v>
      </c>
      <c r="D4345" s="332">
        <v>489.16</v>
      </c>
    </row>
    <row r="4346" spans="1:4" ht="30">
      <c r="A4346" s="28">
        <v>92391</v>
      </c>
      <c r="B4346" s="26" t="s">
        <v>5372</v>
      </c>
      <c r="C4346" s="28" t="s">
        <v>256</v>
      </c>
      <c r="D4346" s="329">
        <v>43.55</v>
      </c>
    </row>
    <row r="4347" spans="1:4" ht="30">
      <c r="A4347" s="47">
        <v>92392</v>
      </c>
      <c r="B4347" s="48" t="s">
        <v>5373</v>
      </c>
      <c r="C4347" s="47" t="s">
        <v>256</v>
      </c>
      <c r="D4347" s="332">
        <v>48.49</v>
      </c>
    </row>
    <row r="4348" spans="1:4" ht="30">
      <c r="A4348" s="28">
        <v>92393</v>
      </c>
      <c r="B4348" s="26" t="s">
        <v>5375</v>
      </c>
      <c r="C4348" s="28" t="s">
        <v>256</v>
      </c>
      <c r="D4348" s="329">
        <v>49.7</v>
      </c>
    </row>
    <row r="4349" spans="1:4" ht="30">
      <c r="A4349" s="47">
        <v>92394</v>
      </c>
      <c r="B4349" s="48" t="s">
        <v>5376</v>
      </c>
      <c r="C4349" s="47" t="s">
        <v>256</v>
      </c>
      <c r="D4349" s="332">
        <v>59.15</v>
      </c>
    </row>
    <row r="4350" spans="1:4" ht="30">
      <c r="A4350" s="28">
        <v>92395</v>
      </c>
      <c r="B4350" s="26" t="s">
        <v>5374</v>
      </c>
      <c r="C4350" s="28" t="s">
        <v>256</v>
      </c>
      <c r="D4350" s="329">
        <v>74.33</v>
      </c>
    </row>
    <row r="4351" spans="1:4" ht="30">
      <c r="A4351" s="47">
        <v>92396</v>
      </c>
      <c r="B4351" s="48" t="s">
        <v>5363</v>
      </c>
      <c r="C4351" s="47" t="s">
        <v>256</v>
      </c>
      <c r="D4351" s="332">
        <v>57.68</v>
      </c>
    </row>
    <row r="4352" spans="1:4" ht="30">
      <c r="A4352" s="28">
        <v>92397</v>
      </c>
      <c r="B4352" s="26" t="s">
        <v>5369</v>
      </c>
      <c r="C4352" s="28" t="s">
        <v>256</v>
      </c>
      <c r="D4352" s="329">
        <v>48.3</v>
      </c>
    </row>
    <row r="4353" spans="1:4" ht="30">
      <c r="A4353" s="47">
        <v>92398</v>
      </c>
      <c r="B4353" s="48" t="s">
        <v>5370</v>
      </c>
      <c r="C4353" s="47" t="s">
        <v>256</v>
      </c>
      <c r="D4353" s="332">
        <v>58.52</v>
      </c>
    </row>
    <row r="4354" spans="1:4" ht="30">
      <c r="A4354" s="28">
        <v>92399</v>
      </c>
      <c r="B4354" s="26" t="s">
        <v>5432</v>
      </c>
      <c r="C4354" s="28" t="s">
        <v>256</v>
      </c>
      <c r="D4354" s="329">
        <v>59.61</v>
      </c>
    </row>
    <row r="4355" spans="1:4" ht="30">
      <c r="A4355" s="47">
        <v>92400</v>
      </c>
      <c r="B4355" s="48" t="s">
        <v>5371</v>
      </c>
      <c r="C4355" s="47" t="s">
        <v>256</v>
      </c>
      <c r="D4355" s="332">
        <v>64.900000000000006</v>
      </c>
    </row>
    <row r="4356" spans="1:4" ht="30">
      <c r="A4356" s="28">
        <v>92401</v>
      </c>
      <c r="B4356" s="26" t="s">
        <v>5433</v>
      </c>
      <c r="C4356" s="28" t="s">
        <v>256</v>
      </c>
      <c r="D4356" s="329">
        <v>66.02</v>
      </c>
    </row>
    <row r="4357" spans="1:4" ht="30">
      <c r="A4357" s="47">
        <v>92402</v>
      </c>
      <c r="B4357" s="48" t="s">
        <v>5361</v>
      </c>
      <c r="C4357" s="47" t="s">
        <v>256</v>
      </c>
      <c r="D4357" s="332">
        <v>58.97</v>
      </c>
    </row>
    <row r="4358" spans="1:4" ht="30">
      <c r="A4358" s="28">
        <v>92403</v>
      </c>
      <c r="B4358" s="26" t="s">
        <v>5365</v>
      </c>
      <c r="C4358" s="28" t="s">
        <v>256</v>
      </c>
      <c r="D4358" s="329">
        <v>49.48</v>
      </c>
    </row>
    <row r="4359" spans="1:4" ht="30">
      <c r="A4359" s="47">
        <v>92404</v>
      </c>
      <c r="B4359" s="48" t="s">
        <v>5366</v>
      </c>
      <c r="C4359" s="47" t="s">
        <v>256</v>
      </c>
      <c r="D4359" s="332">
        <v>60.94</v>
      </c>
    </row>
    <row r="4360" spans="1:4" ht="30">
      <c r="A4360" s="28">
        <v>92405</v>
      </c>
      <c r="B4360" s="26" t="s">
        <v>5430</v>
      </c>
      <c r="C4360" s="28" t="s">
        <v>256</v>
      </c>
      <c r="D4360" s="329">
        <v>62.01</v>
      </c>
    </row>
    <row r="4361" spans="1:4" ht="30">
      <c r="A4361" s="47">
        <v>92406</v>
      </c>
      <c r="B4361" s="48" t="s">
        <v>5364</v>
      </c>
      <c r="C4361" s="47" t="s">
        <v>256</v>
      </c>
      <c r="D4361" s="332">
        <v>68.08</v>
      </c>
    </row>
    <row r="4362" spans="1:4" ht="30">
      <c r="A4362" s="28">
        <v>92407</v>
      </c>
      <c r="B4362" s="26" t="s">
        <v>5429</v>
      </c>
      <c r="C4362" s="28" t="s">
        <v>256</v>
      </c>
      <c r="D4362" s="329">
        <v>69.2</v>
      </c>
    </row>
    <row r="4363" spans="1:4" ht="30">
      <c r="A4363" s="47">
        <v>93679</v>
      </c>
      <c r="B4363" s="48" t="s">
        <v>5362</v>
      </c>
      <c r="C4363" s="47" t="s">
        <v>256</v>
      </c>
      <c r="D4363" s="332">
        <v>67.89</v>
      </c>
    </row>
    <row r="4364" spans="1:4" ht="30">
      <c r="A4364" s="28">
        <v>93680</v>
      </c>
      <c r="B4364" s="26" t="s">
        <v>5367</v>
      </c>
      <c r="C4364" s="28" t="s">
        <v>256</v>
      </c>
      <c r="D4364" s="329">
        <v>58.07</v>
      </c>
    </row>
    <row r="4365" spans="1:4" ht="30">
      <c r="A4365" s="47">
        <v>93681</v>
      </c>
      <c r="B4365" s="48" t="s">
        <v>5368</v>
      </c>
      <c r="C4365" s="47" t="s">
        <v>256</v>
      </c>
      <c r="D4365" s="332">
        <v>69.02</v>
      </c>
    </row>
    <row r="4366" spans="1:4" ht="30">
      <c r="A4366" s="28">
        <v>93682</v>
      </c>
      <c r="B4366" s="26" t="s">
        <v>5431</v>
      </c>
      <c r="C4366" s="28" t="s">
        <v>256</v>
      </c>
      <c r="D4366" s="329">
        <v>70.209999999999994</v>
      </c>
    </row>
    <row r="4367" spans="1:4" ht="30">
      <c r="A4367" s="47">
        <v>72947</v>
      </c>
      <c r="B4367" s="48" t="s">
        <v>9040</v>
      </c>
      <c r="C4367" s="47" t="s">
        <v>256</v>
      </c>
      <c r="D4367" s="332">
        <v>20.34</v>
      </c>
    </row>
    <row r="4368" spans="1:4">
      <c r="A4368" s="28">
        <v>83693</v>
      </c>
      <c r="B4368" s="26" t="s">
        <v>3019</v>
      </c>
      <c r="C4368" s="28" t="s">
        <v>256</v>
      </c>
      <c r="D4368" s="329">
        <v>2.79</v>
      </c>
    </row>
    <row r="4369" spans="1:4" ht="45">
      <c r="A4369" s="47" t="s">
        <v>852</v>
      </c>
      <c r="B4369" s="48" t="s">
        <v>2467</v>
      </c>
      <c r="C4369" s="47" t="s">
        <v>71</v>
      </c>
      <c r="D4369" s="332">
        <v>473.1</v>
      </c>
    </row>
    <row r="4370" spans="1:4" ht="30">
      <c r="A4370" s="28" t="s">
        <v>853</v>
      </c>
      <c r="B4370" s="26" t="s">
        <v>2466</v>
      </c>
      <c r="C4370" s="28" t="s">
        <v>71</v>
      </c>
      <c r="D4370" s="329">
        <v>409.35</v>
      </c>
    </row>
    <row r="4371" spans="1:4" ht="30">
      <c r="A4371" s="47" t="s">
        <v>854</v>
      </c>
      <c r="B4371" s="48" t="s">
        <v>8031</v>
      </c>
      <c r="C4371" s="47" t="s">
        <v>256</v>
      </c>
      <c r="D4371" s="332">
        <v>3.93</v>
      </c>
    </row>
    <row r="4372" spans="1:4">
      <c r="A4372" s="28">
        <v>72962</v>
      </c>
      <c r="B4372" s="26" t="s">
        <v>855</v>
      </c>
      <c r="C4372" s="28" t="s">
        <v>152</v>
      </c>
      <c r="D4372" s="329">
        <v>205.71</v>
      </c>
    </row>
    <row r="4373" spans="1:4">
      <c r="A4373" s="47">
        <v>72963</v>
      </c>
      <c r="B4373" s="48" t="s">
        <v>856</v>
      </c>
      <c r="C4373" s="47" t="s">
        <v>152</v>
      </c>
      <c r="D4373" s="332">
        <v>172.08</v>
      </c>
    </row>
    <row r="4374" spans="1:4" ht="30">
      <c r="A4374" s="28">
        <v>72964</v>
      </c>
      <c r="B4374" s="26" t="s">
        <v>3760</v>
      </c>
      <c r="C4374" s="28" t="s">
        <v>152</v>
      </c>
      <c r="D4374" s="329">
        <v>181.9</v>
      </c>
    </row>
    <row r="4375" spans="1:4" ht="30">
      <c r="A4375" s="47">
        <v>72965</v>
      </c>
      <c r="B4375" s="48" t="s">
        <v>5473</v>
      </c>
      <c r="C4375" s="47" t="s">
        <v>152</v>
      </c>
      <c r="D4375" s="332">
        <v>217.99</v>
      </c>
    </row>
    <row r="4376" spans="1:4" ht="30">
      <c r="A4376" s="28" t="s">
        <v>857</v>
      </c>
      <c r="B4376" s="26" t="s">
        <v>8417</v>
      </c>
      <c r="C4376" s="28" t="s">
        <v>255</v>
      </c>
      <c r="D4376" s="329">
        <v>328.49</v>
      </c>
    </row>
    <row r="4377" spans="1:4" ht="30">
      <c r="A4377" s="47">
        <v>73445</v>
      </c>
      <c r="B4377" s="48" t="s">
        <v>3020</v>
      </c>
      <c r="C4377" s="47" t="s">
        <v>256</v>
      </c>
      <c r="D4377" s="332">
        <v>6.8</v>
      </c>
    </row>
    <row r="4378" spans="1:4">
      <c r="A4378" s="28">
        <v>73446</v>
      </c>
      <c r="B4378" s="26" t="s">
        <v>8016</v>
      </c>
      <c r="C4378" s="28" t="s">
        <v>256</v>
      </c>
      <c r="D4378" s="329">
        <v>15.07</v>
      </c>
    </row>
    <row r="4379" spans="1:4">
      <c r="A4379" s="47" t="s">
        <v>858</v>
      </c>
      <c r="B4379" s="48" t="s">
        <v>4921</v>
      </c>
      <c r="C4379" s="47" t="s">
        <v>256</v>
      </c>
      <c r="D4379" s="332">
        <v>13.74</v>
      </c>
    </row>
    <row r="4380" spans="1:4">
      <c r="A4380" s="28" t="s">
        <v>859</v>
      </c>
      <c r="B4380" s="26" t="s">
        <v>4920</v>
      </c>
      <c r="C4380" s="28" t="s">
        <v>256</v>
      </c>
      <c r="D4380" s="329">
        <v>17.27</v>
      </c>
    </row>
    <row r="4381" spans="1:4">
      <c r="A4381" s="47">
        <v>79462</v>
      </c>
      <c r="B4381" s="48" t="s">
        <v>4922</v>
      </c>
      <c r="C4381" s="47" t="s">
        <v>256</v>
      </c>
      <c r="D4381" s="332">
        <v>45.94</v>
      </c>
    </row>
    <row r="4382" spans="1:4" ht="30">
      <c r="A4382" s="28" t="s">
        <v>860</v>
      </c>
      <c r="B4382" s="26" t="s">
        <v>8015</v>
      </c>
      <c r="C4382" s="28" t="s">
        <v>256</v>
      </c>
      <c r="D4382" s="329">
        <v>9.17</v>
      </c>
    </row>
    <row r="4383" spans="1:4">
      <c r="A4383" s="47">
        <v>84651</v>
      </c>
      <c r="B4383" s="48" t="s">
        <v>8007</v>
      </c>
      <c r="C4383" s="47" t="s">
        <v>256</v>
      </c>
      <c r="D4383" s="332">
        <v>7.53</v>
      </c>
    </row>
    <row r="4384" spans="1:4" ht="30">
      <c r="A4384" s="28">
        <v>88411</v>
      </c>
      <c r="B4384" s="26" t="s">
        <v>1910</v>
      </c>
      <c r="C4384" s="28" t="s">
        <v>256</v>
      </c>
      <c r="D4384" s="329">
        <v>1.8</v>
      </c>
    </row>
    <row r="4385" spans="1:4" ht="30">
      <c r="A4385" s="47">
        <v>88412</v>
      </c>
      <c r="B4385" s="48" t="s">
        <v>1909</v>
      </c>
      <c r="C4385" s="47" t="s">
        <v>256</v>
      </c>
      <c r="D4385" s="332">
        <v>1.36</v>
      </c>
    </row>
    <row r="4386" spans="1:4" ht="30">
      <c r="A4386" s="28">
        <v>88413</v>
      </c>
      <c r="B4386" s="26" t="s">
        <v>861</v>
      </c>
      <c r="C4386" s="28" t="s">
        <v>256</v>
      </c>
      <c r="D4386" s="329">
        <v>2.68</v>
      </c>
    </row>
    <row r="4387" spans="1:4" ht="30">
      <c r="A4387" s="47">
        <v>88414</v>
      </c>
      <c r="B4387" s="48" t="s">
        <v>862</v>
      </c>
      <c r="C4387" s="47" t="s">
        <v>256</v>
      </c>
      <c r="D4387" s="332">
        <v>2.97</v>
      </c>
    </row>
    <row r="4388" spans="1:4" ht="30">
      <c r="A4388" s="28">
        <v>88415</v>
      </c>
      <c r="B4388" s="26" t="s">
        <v>1911</v>
      </c>
      <c r="C4388" s="28" t="s">
        <v>256</v>
      </c>
      <c r="D4388" s="329">
        <v>1.94</v>
      </c>
    </row>
    <row r="4389" spans="1:4" ht="30">
      <c r="A4389" s="47">
        <v>88416</v>
      </c>
      <c r="B4389" s="48" t="s">
        <v>1936</v>
      </c>
      <c r="C4389" s="47" t="s">
        <v>256</v>
      </c>
      <c r="D4389" s="332">
        <v>13.42</v>
      </c>
    </row>
    <row r="4390" spans="1:4" ht="45">
      <c r="A4390" s="28">
        <v>88417</v>
      </c>
      <c r="B4390" s="26" t="s">
        <v>1934</v>
      </c>
      <c r="C4390" s="28" t="s">
        <v>256</v>
      </c>
      <c r="D4390" s="329">
        <v>11.86</v>
      </c>
    </row>
    <row r="4391" spans="1:4" ht="30">
      <c r="A4391" s="47">
        <v>88420</v>
      </c>
      <c r="B4391" s="48" t="s">
        <v>1938</v>
      </c>
      <c r="C4391" s="47" t="s">
        <v>256</v>
      </c>
      <c r="D4391" s="332">
        <v>16.57</v>
      </c>
    </row>
    <row r="4392" spans="1:4" ht="30">
      <c r="A4392" s="28">
        <v>88421</v>
      </c>
      <c r="B4392" s="26" t="s">
        <v>1940</v>
      </c>
      <c r="C4392" s="28" t="s">
        <v>256</v>
      </c>
      <c r="D4392" s="329">
        <v>17.57</v>
      </c>
    </row>
    <row r="4393" spans="1:4" ht="30">
      <c r="A4393" s="47">
        <v>88423</v>
      </c>
      <c r="B4393" s="48" t="s">
        <v>863</v>
      </c>
      <c r="C4393" s="47" t="s">
        <v>256</v>
      </c>
      <c r="D4393" s="332">
        <v>13.91</v>
      </c>
    </row>
    <row r="4394" spans="1:4" ht="30">
      <c r="A4394" s="28">
        <v>88424</v>
      </c>
      <c r="B4394" s="26" t="s">
        <v>1935</v>
      </c>
      <c r="C4394" s="28" t="s">
        <v>256</v>
      </c>
      <c r="D4394" s="329">
        <v>15.56</v>
      </c>
    </row>
    <row r="4395" spans="1:4" ht="45">
      <c r="A4395" s="47">
        <v>88426</v>
      </c>
      <c r="B4395" s="48" t="s">
        <v>1933</v>
      </c>
      <c r="C4395" s="47" t="s">
        <v>256</v>
      </c>
      <c r="D4395" s="332">
        <v>12.87</v>
      </c>
    </row>
    <row r="4396" spans="1:4" ht="30">
      <c r="A4396" s="28">
        <v>88428</v>
      </c>
      <c r="B4396" s="26" t="s">
        <v>1937</v>
      </c>
      <c r="C4396" s="28" t="s">
        <v>256</v>
      </c>
      <c r="D4396" s="329">
        <v>20.98</v>
      </c>
    </row>
    <row r="4397" spans="1:4" ht="30">
      <c r="A4397" s="47">
        <v>88429</v>
      </c>
      <c r="B4397" s="48" t="s">
        <v>1939</v>
      </c>
      <c r="C4397" s="47" t="s">
        <v>256</v>
      </c>
      <c r="D4397" s="332">
        <v>22.71</v>
      </c>
    </row>
    <row r="4398" spans="1:4" ht="30">
      <c r="A4398" s="28">
        <v>88431</v>
      </c>
      <c r="B4398" s="26" t="s">
        <v>864</v>
      </c>
      <c r="C4398" s="28" t="s">
        <v>256</v>
      </c>
      <c r="D4398" s="329">
        <v>16.41</v>
      </c>
    </row>
    <row r="4399" spans="1:4" ht="30">
      <c r="A4399" s="47">
        <v>88432</v>
      </c>
      <c r="B4399" s="48" t="s">
        <v>1932</v>
      </c>
      <c r="C4399" s="47" t="s">
        <v>256</v>
      </c>
      <c r="D4399" s="332">
        <v>11.57</v>
      </c>
    </row>
    <row r="4400" spans="1:4">
      <c r="A4400" s="28">
        <v>88482</v>
      </c>
      <c r="B4400" s="26" t="s">
        <v>865</v>
      </c>
      <c r="C4400" s="28" t="s">
        <v>256</v>
      </c>
      <c r="D4400" s="329">
        <v>2.42</v>
      </c>
    </row>
    <row r="4401" spans="1:4">
      <c r="A4401" s="47">
        <v>88483</v>
      </c>
      <c r="B4401" s="48" t="s">
        <v>866</v>
      </c>
      <c r="C4401" s="47" t="s">
        <v>256</v>
      </c>
      <c r="D4401" s="332">
        <v>2.23</v>
      </c>
    </row>
    <row r="4402" spans="1:4">
      <c r="A4402" s="28">
        <v>88484</v>
      </c>
      <c r="B4402" s="26" t="s">
        <v>867</v>
      </c>
      <c r="C4402" s="28" t="s">
        <v>256</v>
      </c>
      <c r="D4402" s="329">
        <v>1.95</v>
      </c>
    </row>
    <row r="4403" spans="1:4">
      <c r="A4403" s="47">
        <v>88485</v>
      </c>
      <c r="B4403" s="48" t="s">
        <v>868</v>
      </c>
      <c r="C4403" s="47" t="s">
        <v>256</v>
      </c>
      <c r="D4403" s="332">
        <v>1.69</v>
      </c>
    </row>
    <row r="4404" spans="1:4" ht="30">
      <c r="A4404" s="28">
        <v>88486</v>
      </c>
      <c r="B4404" s="26" t="s">
        <v>869</v>
      </c>
      <c r="C4404" s="28" t="s">
        <v>256</v>
      </c>
      <c r="D4404" s="329">
        <v>8.56</v>
      </c>
    </row>
    <row r="4405" spans="1:4" ht="30">
      <c r="A4405" s="47">
        <v>88487</v>
      </c>
      <c r="B4405" s="48" t="s">
        <v>1931</v>
      </c>
      <c r="C4405" s="47" t="s">
        <v>256</v>
      </c>
      <c r="D4405" s="332">
        <v>7.73</v>
      </c>
    </row>
    <row r="4406" spans="1:4" ht="30">
      <c r="A4406" s="28">
        <v>88488</v>
      </c>
      <c r="B4406" s="26" t="s">
        <v>1930</v>
      </c>
      <c r="C4406" s="28" t="s">
        <v>256</v>
      </c>
      <c r="D4406" s="329">
        <v>10.9</v>
      </c>
    </row>
    <row r="4407" spans="1:4" ht="30">
      <c r="A4407" s="47">
        <v>88489</v>
      </c>
      <c r="B4407" s="48" t="s">
        <v>870</v>
      </c>
      <c r="C4407" s="47" t="s">
        <v>256</v>
      </c>
      <c r="D4407" s="332">
        <v>9.7100000000000009</v>
      </c>
    </row>
    <row r="4408" spans="1:4" ht="30">
      <c r="A4408" s="28">
        <v>88490</v>
      </c>
      <c r="B4408" s="26" t="s">
        <v>1944</v>
      </c>
      <c r="C4408" s="28" t="s">
        <v>256</v>
      </c>
      <c r="D4408" s="329">
        <v>7.41</v>
      </c>
    </row>
    <row r="4409" spans="1:4" ht="30">
      <c r="A4409" s="47">
        <v>88491</v>
      </c>
      <c r="B4409" s="48" t="s">
        <v>1943</v>
      </c>
      <c r="C4409" s="47" t="s">
        <v>256</v>
      </c>
      <c r="D4409" s="332">
        <v>7.21</v>
      </c>
    </row>
    <row r="4410" spans="1:4" ht="30">
      <c r="A4410" s="28">
        <v>88492</v>
      </c>
      <c r="B4410" s="26" t="s">
        <v>1942</v>
      </c>
      <c r="C4410" s="28" t="s">
        <v>256</v>
      </c>
      <c r="D4410" s="329">
        <v>8.68</v>
      </c>
    </row>
    <row r="4411" spans="1:4" ht="30">
      <c r="A4411" s="47">
        <v>88493</v>
      </c>
      <c r="B4411" s="48" t="s">
        <v>1941</v>
      </c>
      <c r="C4411" s="47" t="s">
        <v>256</v>
      </c>
      <c r="D4411" s="332">
        <v>8.3800000000000008</v>
      </c>
    </row>
    <row r="4412" spans="1:4">
      <c r="A4412" s="28">
        <v>88494</v>
      </c>
      <c r="B4412" s="26" t="s">
        <v>871</v>
      </c>
      <c r="C4412" s="28" t="s">
        <v>256</v>
      </c>
      <c r="D4412" s="329">
        <v>12.84</v>
      </c>
    </row>
    <row r="4413" spans="1:4">
      <c r="A4413" s="47">
        <v>88495</v>
      </c>
      <c r="B4413" s="48" t="s">
        <v>872</v>
      </c>
      <c r="C4413" s="47" t="s">
        <v>256</v>
      </c>
      <c r="D4413" s="332">
        <v>7.16</v>
      </c>
    </row>
    <row r="4414" spans="1:4">
      <c r="A4414" s="28">
        <v>88496</v>
      </c>
      <c r="B4414" s="26" t="s">
        <v>873</v>
      </c>
      <c r="C4414" s="28" t="s">
        <v>256</v>
      </c>
      <c r="D4414" s="329">
        <v>17.47</v>
      </c>
    </row>
    <row r="4415" spans="1:4">
      <c r="A4415" s="47">
        <v>88497</v>
      </c>
      <c r="B4415" s="48" t="s">
        <v>1908</v>
      </c>
      <c r="C4415" s="47" t="s">
        <v>256</v>
      </c>
      <c r="D4415" s="332">
        <v>9.8800000000000008</v>
      </c>
    </row>
    <row r="4416" spans="1:4">
      <c r="A4416" s="28">
        <v>95305</v>
      </c>
      <c r="B4416" s="26" t="s">
        <v>9665</v>
      </c>
      <c r="C4416" s="28" t="s">
        <v>256</v>
      </c>
      <c r="D4416" s="329">
        <v>10.1</v>
      </c>
    </row>
    <row r="4417" spans="1:4">
      <c r="A4417" s="47">
        <v>95306</v>
      </c>
      <c r="B4417" s="48" t="s">
        <v>9666</v>
      </c>
      <c r="C4417" s="47" t="s">
        <v>256</v>
      </c>
      <c r="D4417" s="332">
        <v>11.61</v>
      </c>
    </row>
    <row r="4418" spans="1:4" ht="30">
      <c r="A4418" s="28">
        <v>95622</v>
      </c>
      <c r="B4418" s="26" t="s">
        <v>11116</v>
      </c>
      <c r="C4418" s="28" t="s">
        <v>256</v>
      </c>
      <c r="D4418" s="329">
        <v>9.57</v>
      </c>
    </row>
    <row r="4419" spans="1:4" ht="30">
      <c r="A4419" s="47">
        <v>95623</v>
      </c>
      <c r="B4419" s="48" t="s">
        <v>11117</v>
      </c>
      <c r="C4419" s="47" t="s">
        <v>256</v>
      </c>
      <c r="D4419" s="332">
        <v>7.45</v>
      </c>
    </row>
    <row r="4420" spans="1:4" ht="30">
      <c r="A4420" s="28">
        <v>95624</v>
      </c>
      <c r="B4420" s="26" t="s">
        <v>11118</v>
      </c>
      <c r="C4420" s="28" t="s">
        <v>256</v>
      </c>
      <c r="D4420" s="329">
        <v>13.9</v>
      </c>
    </row>
    <row r="4421" spans="1:4" ht="30">
      <c r="A4421" s="47">
        <v>95625</v>
      </c>
      <c r="B4421" s="48" t="s">
        <v>11119</v>
      </c>
      <c r="C4421" s="47" t="s">
        <v>256</v>
      </c>
      <c r="D4421" s="332">
        <v>15.27</v>
      </c>
    </row>
    <row r="4422" spans="1:4" ht="30">
      <c r="A4422" s="28">
        <v>95626</v>
      </c>
      <c r="B4422" s="26" t="s">
        <v>11120</v>
      </c>
      <c r="C4422" s="28" t="s">
        <v>256</v>
      </c>
      <c r="D4422" s="329">
        <v>10.27</v>
      </c>
    </row>
    <row r="4423" spans="1:4">
      <c r="A4423" s="47">
        <v>79460</v>
      </c>
      <c r="B4423" s="48" t="s">
        <v>8019</v>
      </c>
      <c r="C4423" s="47" t="s">
        <v>256</v>
      </c>
      <c r="D4423" s="332">
        <v>31.7</v>
      </c>
    </row>
    <row r="4424" spans="1:4">
      <c r="A4424" s="28">
        <v>79465</v>
      </c>
      <c r="B4424" s="26" t="s">
        <v>8006</v>
      </c>
      <c r="C4424" s="28" t="s">
        <v>256</v>
      </c>
      <c r="D4424" s="329">
        <v>30.88</v>
      </c>
    </row>
    <row r="4425" spans="1:4">
      <c r="A4425" s="47" t="s">
        <v>874</v>
      </c>
      <c r="B4425" s="48" t="s">
        <v>8020</v>
      </c>
      <c r="C4425" s="47" t="s">
        <v>256</v>
      </c>
      <c r="D4425" s="332">
        <v>44.28</v>
      </c>
    </row>
    <row r="4426" spans="1:4">
      <c r="A4426" s="28">
        <v>84647</v>
      </c>
      <c r="B4426" s="26" t="s">
        <v>8018</v>
      </c>
      <c r="C4426" s="28" t="s">
        <v>256</v>
      </c>
      <c r="D4426" s="329">
        <v>104.87</v>
      </c>
    </row>
    <row r="4427" spans="1:4">
      <c r="A4427" s="47">
        <v>84656</v>
      </c>
      <c r="B4427" s="48" t="s">
        <v>10061</v>
      </c>
      <c r="C4427" s="47" t="s">
        <v>256</v>
      </c>
      <c r="D4427" s="332">
        <v>25.55</v>
      </c>
    </row>
    <row r="4428" spans="1:4">
      <c r="A4428" s="28">
        <v>84677</v>
      </c>
      <c r="B4428" s="26" t="s">
        <v>10771</v>
      </c>
      <c r="C4428" s="28" t="s">
        <v>256</v>
      </c>
      <c r="D4428" s="329">
        <v>8.73</v>
      </c>
    </row>
    <row r="4429" spans="1:4">
      <c r="A4429" s="47">
        <v>84678</v>
      </c>
      <c r="B4429" s="48" t="s">
        <v>10769</v>
      </c>
      <c r="C4429" s="47" t="s">
        <v>256</v>
      </c>
      <c r="D4429" s="332">
        <v>14.86</v>
      </c>
    </row>
    <row r="4430" spans="1:4">
      <c r="A4430" s="28">
        <v>6082</v>
      </c>
      <c r="B4430" s="26" t="s">
        <v>8017</v>
      </c>
      <c r="C4430" s="28" t="s">
        <v>256</v>
      </c>
      <c r="D4430" s="329">
        <v>12.9</v>
      </c>
    </row>
    <row r="4431" spans="1:4">
      <c r="A4431" s="47">
        <v>40905</v>
      </c>
      <c r="B4431" s="48" t="s">
        <v>10775</v>
      </c>
      <c r="C4431" s="47" t="s">
        <v>256</v>
      </c>
      <c r="D4431" s="332">
        <v>16.63</v>
      </c>
    </row>
    <row r="4432" spans="1:4">
      <c r="A4432" s="28" t="s">
        <v>875</v>
      </c>
      <c r="B4432" s="26" t="s">
        <v>8021</v>
      </c>
      <c r="C4432" s="28" t="s">
        <v>256</v>
      </c>
      <c r="D4432" s="329">
        <v>12.49</v>
      </c>
    </row>
    <row r="4433" spans="1:4" ht="30">
      <c r="A4433" s="47" t="s">
        <v>876</v>
      </c>
      <c r="B4433" s="48" t="s">
        <v>8028</v>
      </c>
      <c r="C4433" s="47" t="s">
        <v>256</v>
      </c>
      <c r="D4433" s="332">
        <v>18.25</v>
      </c>
    </row>
    <row r="4434" spans="1:4" ht="30">
      <c r="A4434" s="28" t="s">
        <v>877</v>
      </c>
      <c r="B4434" s="26" t="s">
        <v>8022</v>
      </c>
      <c r="C4434" s="28" t="s">
        <v>256</v>
      </c>
      <c r="D4434" s="329">
        <v>17.96</v>
      </c>
    </row>
    <row r="4435" spans="1:4" ht="30">
      <c r="A4435" s="47" t="s">
        <v>878</v>
      </c>
      <c r="B4435" s="48" t="s">
        <v>8026</v>
      </c>
      <c r="C4435" s="47" t="s">
        <v>256</v>
      </c>
      <c r="D4435" s="332">
        <v>17.88</v>
      </c>
    </row>
    <row r="4436" spans="1:4">
      <c r="A4436" s="28">
        <v>79463</v>
      </c>
      <c r="B4436" s="26" t="s">
        <v>7997</v>
      </c>
      <c r="C4436" s="28" t="s">
        <v>256</v>
      </c>
      <c r="D4436" s="329">
        <v>10.52</v>
      </c>
    </row>
    <row r="4437" spans="1:4">
      <c r="A4437" s="47">
        <v>79464</v>
      </c>
      <c r="B4437" s="48" t="s">
        <v>7998</v>
      </c>
      <c r="C4437" s="47" t="s">
        <v>256</v>
      </c>
      <c r="D4437" s="332">
        <v>14.07</v>
      </c>
    </row>
    <row r="4438" spans="1:4">
      <c r="A4438" s="28">
        <v>79466</v>
      </c>
      <c r="B4438" s="26" t="s">
        <v>8012</v>
      </c>
      <c r="C4438" s="28" t="s">
        <v>256</v>
      </c>
      <c r="D4438" s="329">
        <v>15.33</v>
      </c>
    </row>
    <row r="4439" spans="1:4">
      <c r="A4439" s="47" t="s">
        <v>879</v>
      </c>
      <c r="B4439" s="48" t="s">
        <v>7999</v>
      </c>
      <c r="C4439" s="47" t="s">
        <v>256</v>
      </c>
      <c r="D4439" s="332">
        <v>17.43</v>
      </c>
    </row>
    <row r="4440" spans="1:4">
      <c r="A4440" s="28">
        <v>84645</v>
      </c>
      <c r="B4440" s="26" t="s">
        <v>10774</v>
      </c>
      <c r="C4440" s="28" t="s">
        <v>256</v>
      </c>
      <c r="D4440" s="329">
        <v>14.12</v>
      </c>
    </row>
    <row r="4441" spans="1:4">
      <c r="A4441" s="47">
        <v>84657</v>
      </c>
      <c r="B4441" s="48" t="s">
        <v>5711</v>
      </c>
      <c r="C4441" s="47" t="s">
        <v>256</v>
      </c>
      <c r="D4441" s="332">
        <v>7.92</v>
      </c>
    </row>
    <row r="4442" spans="1:4">
      <c r="A4442" s="28">
        <v>84659</v>
      </c>
      <c r="B4442" s="26" t="s">
        <v>8027</v>
      </c>
      <c r="C4442" s="28" t="s">
        <v>256</v>
      </c>
      <c r="D4442" s="329">
        <v>11.44</v>
      </c>
    </row>
    <row r="4443" spans="1:4">
      <c r="A4443" s="47">
        <v>84664</v>
      </c>
      <c r="B4443" s="48" t="s">
        <v>8033</v>
      </c>
      <c r="C4443" s="47" t="s">
        <v>256</v>
      </c>
      <c r="D4443" s="332">
        <v>3.15</v>
      </c>
    </row>
    <row r="4444" spans="1:4">
      <c r="A4444" s="28">
        <v>84679</v>
      </c>
      <c r="B4444" s="26" t="s">
        <v>8034</v>
      </c>
      <c r="C4444" s="28" t="s">
        <v>256</v>
      </c>
      <c r="D4444" s="329">
        <v>14.54</v>
      </c>
    </row>
    <row r="4445" spans="1:4">
      <c r="A4445" s="47">
        <v>95464</v>
      </c>
      <c r="B4445" s="48" t="s">
        <v>8037</v>
      </c>
      <c r="C4445" s="47" t="s">
        <v>256</v>
      </c>
      <c r="D4445" s="332">
        <v>16.690000000000001</v>
      </c>
    </row>
    <row r="4446" spans="1:4">
      <c r="A4446" s="28">
        <v>73656</v>
      </c>
      <c r="B4446" s="26" t="s">
        <v>6238</v>
      </c>
      <c r="C4446" s="28" t="s">
        <v>256</v>
      </c>
      <c r="D4446" s="329">
        <v>14.14</v>
      </c>
    </row>
    <row r="4447" spans="1:4" ht="30">
      <c r="A4447" s="47" t="s">
        <v>880</v>
      </c>
      <c r="B4447" s="48" t="s">
        <v>8011</v>
      </c>
      <c r="C4447" s="47" t="s">
        <v>256</v>
      </c>
      <c r="D4447" s="332">
        <v>26.17</v>
      </c>
    </row>
    <row r="4448" spans="1:4" ht="30">
      <c r="A4448" s="28" t="s">
        <v>881</v>
      </c>
      <c r="B4448" s="26" t="s">
        <v>5709</v>
      </c>
      <c r="C4448" s="28" t="s">
        <v>256</v>
      </c>
      <c r="D4448" s="329">
        <v>7.12</v>
      </c>
    </row>
    <row r="4449" spans="1:4">
      <c r="A4449" s="47" t="s">
        <v>882</v>
      </c>
      <c r="B4449" s="48" t="s">
        <v>8024</v>
      </c>
      <c r="C4449" s="47" t="s">
        <v>256</v>
      </c>
      <c r="D4449" s="332">
        <v>19.12</v>
      </c>
    </row>
    <row r="4450" spans="1:4">
      <c r="A4450" s="28" t="s">
        <v>883</v>
      </c>
      <c r="B4450" s="26" t="s">
        <v>8023</v>
      </c>
      <c r="C4450" s="28" t="s">
        <v>256</v>
      </c>
      <c r="D4450" s="329">
        <v>19.2</v>
      </c>
    </row>
    <row r="4451" spans="1:4">
      <c r="A4451" s="47" t="s">
        <v>884</v>
      </c>
      <c r="B4451" s="48" t="s">
        <v>8029</v>
      </c>
      <c r="C4451" s="47" t="s">
        <v>256</v>
      </c>
      <c r="D4451" s="332">
        <v>19.48</v>
      </c>
    </row>
    <row r="4452" spans="1:4">
      <c r="A4452" s="28" t="s">
        <v>885</v>
      </c>
      <c r="B4452" s="26" t="s">
        <v>5705</v>
      </c>
      <c r="C4452" s="28" t="s">
        <v>256</v>
      </c>
      <c r="D4452" s="329">
        <v>14.5</v>
      </c>
    </row>
    <row r="4453" spans="1:4">
      <c r="A4453" s="47" t="s">
        <v>886</v>
      </c>
      <c r="B4453" s="48" t="s">
        <v>5706</v>
      </c>
      <c r="C4453" s="47" t="s">
        <v>256</v>
      </c>
      <c r="D4453" s="332">
        <v>9.51</v>
      </c>
    </row>
    <row r="4454" spans="1:4" ht="30">
      <c r="A4454" s="28" t="s">
        <v>887</v>
      </c>
      <c r="B4454" s="26" t="s">
        <v>8030</v>
      </c>
      <c r="C4454" s="28" t="s">
        <v>256</v>
      </c>
      <c r="D4454" s="329">
        <v>13.07</v>
      </c>
    </row>
    <row r="4455" spans="1:4" ht="30">
      <c r="A4455" s="47" t="s">
        <v>888</v>
      </c>
      <c r="B4455" s="48" t="s">
        <v>7996</v>
      </c>
      <c r="C4455" s="47" t="s">
        <v>256</v>
      </c>
      <c r="D4455" s="332">
        <v>12.2</v>
      </c>
    </row>
    <row r="4456" spans="1:4" ht="30">
      <c r="A4456" s="28" t="s">
        <v>889</v>
      </c>
      <c r="B4456" s="26" t="s">
        <v>8036</v>
      </c>
      <c r="C4456" s="28" t="s">
        <v>65</v>
      </c>
      <c r="D4456" s="329">
        <v>15.62</v>
      </c>
    </row>
    <row r="4457" spans="1:4">
      <c r="A4457" s="47" t="s">
        <v>890</v>
      </c>
      <c r="B4457" s="48" t="s">
        <v>8009</v>
      </c>
      <c r="C4457" s="47" t="s">
        <v>256</v>
      </c>
      <c r="D4457" s="332">
        <v>24.29</v>
      </c>
    </row>
    <row r="4458" spans="1:4" ht="30">
      <c r="A4458" s="28">
        <v>84660</v>
      </c>
      <c r="B4458" s="26" t="s">
        <v>5710</v>
      </c>
      <c r="C4458" s="28" t="s">
        <v>256</v>
      </c>
      <c r="D4458" s="329">
        <v>5.0599999999999996</v>
      </c>
    </row>
    <row r="4459" spans="1:4" ht="30">
      <c r="A4459" s="47">
        <v>84661</v>
      </c>
      <c r="B4459" s="48" t="s">
        <v>8010</v>
      </c>
      <c r="C4459" s="47" t="s">
        <v>256</v>
      </c>
      <c r="D4459" s="332">
        <v>12.31</v>
      </c>
    </row>
    <row r="4460" spans="1:4" ht="30">
      <c r="A4460" s="28">
        <v>84662</v>
      </c>
      <c r="B4460" s="26" t="s">
        <v>8008</v>
      </c>
      <c r="C4460" s="28" t="s">
        <v>256</v>
      </c>
      <c r="D4460" s="329">
        <v>19.41</v>
      </c>
    </row>
    <row r="4461" spans="1:4" ht="30">
      <c r="A4461" s="47">
        <v>95468</v>
      </c>
      <c r="B4461" s="48" t="s">
        <v>8025</v>
      </c>
      <c r="C4461" s="47" t="s">
        <v>256</v>
      </c>
      <c r="D4461" s="332">
        <v>28.4</v>
      </c>
    </row>
    <row r="4462" spans="1:4" ht="30">
      <c r="A4462" s="28">
        <v>41595</v>
      </c>
      <c r="B4462" s="26" t="s">
        <v>8000</v>
      </c>
      <c r="C4462" s="28" t="s">
        <v>71</v>
      </c>
      <c r="D4462" s="329">
        <v>7.99</v>
      </c>
    </row>
    <row r="4463" spans="1:4">
      <c r="A4463" s="47" t="s">
        <v>891</v>
      </c>
      <c r="B4463" s="48" t="s">
        <v>8032</v>
      </c>
      <c r="C4463" s="47" t="s">
        <v>256</v>
      </c>
      <c r="D4463" s="332">
        <v>15.65</v>
      </c>
    </row>
    <row r="4464" spans="1:4">
      <c r="A4464" s="28" t="s">
        <v>892</v>
      </c>
      <c r="B4464" s="26" t="s">
        <v>8001</v>
      </c>
      <c r="C4464" s="28" t="s">
        <v>256</v>
      </c>
      <c r="D4464" s="329">
        <v>10.77</v>
      </c>
    </row>
    <row r="4465" spans="1:4" ht="30">
      <c r="A4465" s="47">
        <v>79467</v>
      </c>
      <c r="B4465" s="48" t="s">
        <v>8005</v>
      </c>
      <c r="C4465" s="47" t="s">
        <v>893</v>
      </c>
      <c r="D4465" s="332">
        <v>9.81</v>
      </c>
    </row>
    <row r="4466" spans="1:4">
      <c r="A4466" s="28" t="s">
        <v>894</v>
      </c>
      <c r="B4466" s="26" t="s">
        <v>8002</v>
      </c>
      <c r="C4466" s="28" t="s">
        <v>256</v>
      </c>
      <c r="D4466" s="329">
        <v>15.14</v>
      </c>
    </row>
    <row r="4467" spans="1:4" ht="30">
      <c r="A4467" s="47">
        <v>84663</v>
      </c>
      <c r="B4467" s="48" t="s">
        <v>1907</v>
      </c>
      <c r="C4467" s="47" t="s">
        <v>256</v>
      </c>
      <c r="D4467" s="332">
        <v>18.34</v>
      </c>
    </row>
    <row r="4468" spans="1:4">
      <c r="A4468" s="28">
        <v>84665</v>
      </c>
      <c r="B4468" s="26" t="s">
        <v>8003</v>
      </c>
      <c r="C4468" s="28" t="s">
        <v>256</v>
      </c>
      <c r="D4468" s="329">
        <v>15.75</v>
      </c>
    </row>
    <row r="4469" spans="1:4">
      <c r="A4469" s="47">
        <v>84666</v>
      </c>
      <c r="B4469" s="48" t="s">
        <v>895</v>
      </c>
      <c r="C4469" s="47" t="s">
        <v>256</v>
      </c>
      <c r="D4469" s="332">
        <v>16.36</v>
      </c>
    </row>
    <row r="4470" spans="1:4">
      <c r="A4470" s="28">
        <v>75889</v>
      </c>
      <c r="B4470" s="26" t="s">
        <v>8035</v>
      </c>
      <c r="C4470" s="28" t="s">
        <v>256</v>
      </c>
      <c r="D4470" s="329">
        <v>13.92</v>
      </c>
    </row>
    <row r="4471" spans="1:4" ht="30">
      <c r="A4471" s="47">
        <v>73465</v>
      </c>
      <c r="B4471" s="48" t="s">
        <v>8038</v>
      </c>
      <c r="C4471" s="47" t="s">
        <v>256</v>
      </c>
      <c r="D4471" s="332">
        <v>27.51</v>
      </c>
    </row>
    <row r="4472" spans="1:4" ht="45">
      <c r="A4472" s="28">
        <v>73676</v>
      </c>
      <c r="B4472" s="26" t="s">
        <v>8043</v>
      </c>
      <c r="C4472" s="28" t="s">
        <v>256</v>
      </c>
      <c r="D4472" s="329">
        <v>43.21</v>
      </c>
    </row>
    <row r="4473" spans="1:4" ht="30">
      <c r="A4473" s="47" t="s">
        <v>896</v>
      </c>
      <c r="B4473" s="48" t="s">
        <v>8042</v>
      </c>
      <c r="C4473" s="47" t="s">
        <v>256</v>
      </c>
      <c r="D4473" s="332">
        <v>41.39</v>
      </c>
    </row>
    <row r="4474" spans="1:4" ht="30">
      <c r="A4474" s="28" t="s">
        <v>897</v>
      </c>
      <c r="B4474" s="26" t="s">
        <v>8053</v>
      </c>
      <c r="C4474" s="28" t="s">
        <v>256</v>
      </c>
      <c r="D4474" s="329">
        <v>36.979999999999997</v>
      </c>
    </row>
    <row r="4475" spans="1:4" ht="30">
      <c r="A4475" s="47" t="s">
        <v>898</v>
      </c>
      <c r="B4475" s="48" t="s">
        <v>8039</v>
      </c>
      <c r="C4475" s="47" t="s">
        <v>256</v>
      </c>
      <c r="D4475" s="332">
        <v>35.869999999999997</v>
      </c>
    </row>
    <row r="4476" spans="1:4" ht="30">
      <c r="A4476" s="28" t="s">
        <v>899</v>
      </c>
      <c r="B4476" s="26" t="s">
        <v>8052</v>
      </c>
      <c r="C4476" s="28" t="s">
        <v>256</v>
      </c>
      <c r="D4476" s="329">
        <v>35.29</v>
      </c>
    </row>
    <row r="4477" spans="1:4" ht="30">
      <c r="A4477" s="47" t="s">
        <v>900</v>
      </c>
      <c r="B4477" s="48" t="s">
        <v>8041</v>
      </c>
      <c r="C4477" s="47" t="s">
        <v>256</v>
      </c>
      <c r="D4477" s="332">
        <v>39.549999999999997</v>
      </c>
    </row>
    <row r="4478" spans="1:4" ht="30">
      <c r="A4478" s="28" t="s">
        <v>901</v>
      </c>
      <c r="B4478" s="26" t="s">
        <v>8056</v>
      </c>
      <c r="C4478" s="28" t="s">
        <v>256</v>
      </c>
      <c r="D4478" s="329">
        <v>31.01</v>
      </c>
    </row>
    <row r="4479" spans="1:4" ht="30">
      <c r="A4479" s="47" t="s">
        <v>902</v>
      </c>
      <c r="B4479" s="48" t="s">
        <v>8060</v>
      </c>
      <c r="C4479" s="47" t="s">
        <v>256</v>
      </c>
      <c r="D4479" s="332">
        <v>47.19</v>
      </c>
    </row>
    <row r="4480" spans="1:4" ht="30">
      <c r="A4480" s="28" t="s">
        <v>903</v>
      </c>
      <c r="B4480" s="26" t="s">
        <v>8050</v>
      </c>
      <c r="C4480" s="28" t="s">
        <v>256</v>
      </c>
      <c r="D4480" s="329">
        <v>35.869999999999997</v>
      </c>
    </row>
    <row r="4481" spans="1:4" ht="30">
      <c r="A4481" s="47" t="s">
        <v>904</v>
      </c>
      <c r="B4481" s="48" t="s">
        <v>8045</v>
      </c>
      <c r="C4481" s="47" t="s">
        <v>256</v>
      </c>
      <c r="D4481" s="332">
        <v>30.45</v>
      </c>
    </row>
    <row r="4482" spans="1:4" ht="30">
      <c r="A4482" s="28" t="s">
        <v>905</v>
      </c>
      <c r="B4482" s="26" t="s">
        <v>8059</v>
      </c>
      <c r="C4482" s="28" t="s">
        <v>256</v>
      </c>
      <c r="D4482" s="329">
        <v>35.11</v>
      </c>
    </row>
    <row r="4483" spans="1:4" ht="30">
      <c r="A4483" s="47" t="s">
        <v>906</v>
      </c>
      <c r="B4483" s="48" t="s">
        <v>8046</v>
      </c>
      <c r="C4483" s="47" t="s">
        <v>256</v>
      </c>
      <c r="D4483" s="332">
        <v>34.03</v>
      </c>
    </row>
    <row r="4484" spans="1:4" ht="30">
      <c r="A4484" s="28" t="s">
        <v>907</v>
      </c>
      <c r="B4484" s="26" t="s">
        <v>8049</v>
      </c>
      <c r="C4484" s="28" t="s">
        <v>256</v>
      </c>
      <c r="D4484" s="329">
        <v>40.71</v>
      </c>
    </row>
    <row r="4485" spans="1:4" ht="30">
      <c r="A4485" s="47" t="s">
        <v>908</v>
      </c>
      <c r="B4485" s="48" t="s">
        <v>8047</v>
      </c>
      <c r="C4485" s="47" t="s">
        <v>256</v>
      </c>
      <c r="D4485" s="332">
        <v>35.47</v>
      </c>
    </row>
    <row r="4486" spans="1:4" ht="30">
      <c r="A4486" s="28" t="s">
        <v>909</v>
      </c>
      <c r="B4486" s="26" t="s">
        <v>8058</v>
      </c>
      <c r="C4486" s="28" t="s">
        <v>256</v>
      </c>
      <c r="D4486" s="329">
        <v>46.79</v>
      </c>
    </row>
    <row r="4487" spans="1:4" ht="30">
      <c r="A4487" s="47" t="s">
        <v>910</v>
      </c>
      <c r="B4487" s="48" t="s">
        <v>8040</v>
      </c>
      <c r="C4487" s="47" t="s">
        <v>256</v>
      </c>
      <c r="D4487" s="332">
        <v>36.29</v>
      </c>
    </row>
    <row r="4488" spans="1:4" ht="30">
      <c r="A4488" s="28" t="s">
        <v>911</v>
      </c>
      <c r="B4488" s="26" t="s">
        <v>8054</v>
      </c>
      <c r="C4488" s="28" t="s">
        <v>256</v>
      </c>
      <c r="D4488" s="329">
        <v>29.31</v>
      </c>
    </row>
    <row r="4489" spans="1:4" ht="30">
      <c r="A4489" s="47" t="s">
        <v>912</v>
      </c>
      <c r="B4489" s="48" t="s">
        <v>8057</v>
      </c>
      <c r="C4489" s="47" t="s">
        <v>256</v>
      </c>
      <c r="D4489" s="332">
        <v>36.090000000000003</v>
      </c>
    </row>
    <row r="4490" spans="1:4" ht="30">
      <c r="A4490" s="28" t="s">
        <v>913</v>
      </c>
      <c r="B4490" s="26" t="s">
        <v>8055</v>
      </c>
      <c r="C4490" s="28" t="s">
        <v>256</v>
      </c>
      <c r="D4490" s="329">
        <v>32.700000000000003</v>
      </c>
    </row>
    <row r="4491" spans="1:4" ht="30">
      <c r="A4491" s="47">
        <v>84172</v>
      </c>
      <c r="B4491" s="48" t="s">
        <v>8044</v>
      </c>
      <c r="C4491" s="47" t="s">
        <v>256</v>
      </c>
      <c r="D4491" s="332">
        <v>43.37</v>
      </c>
    </row>
    <row r="4492" spans="1:4" ht="30">
      <c r="A4492" s="28">
        <v>84173</v>
      </c>
      <c r="B4492" s="26" t="s">
        <v>8051</v>
      </c>
      <c r="C4492" s="28" t="s">
        <v>256</v>
      </c>
      <c r="D4492" s="329">
        <v>37.9</v>
      </c>
    </row>
    <row r="4493" spans="1:4" ht="45">
      <c r="A4493" s="47">
        <v>84174</v>
      </c>
      <c r="B4493" s="48" t="s">
        <v>8048</v>
      </c>
      <c r="C4493" s="47" t="s">
        <v>256</v>
      </c>
      <c r="D4493" s="332">
        <v>54.4</v>
      </c>
    </row>
    <row r="4494" spans="1:4" ht="30">
      <c r="A4494" s="28">
        <v>72191</v>
      </c>
      <c r="B4494" s="26" t="s">
        <v>8601</v>
      </c>
      <c r="C4494" s="28" t="s">
        <v>256</v>
      </c>
      <c r="D4494" s="329">
        <v>60.48</v>
      </c>
    </row>
    <row r="4495" spans="1:4" ht="30">
      <c r="A4495" s="47">
        <v>72192</v>
      </c>
      <c r="B4495" s="48" t="s">
        <v>8597</v>
      </c>
      <c r="C4495" s="47" t="s">
        <v>256</v>
      </c>
      <c r="D4495" s="332">
        <v>16.3</v>
      </c>
    </row>
    <row r="4496" spans="1:4" ht="30">
      <c r="A4496" s="28">
        <v>72193</v>
      </c>
      <c r="B4496" s="26" t="s">
        <v>8598</v>
      </c>
      <c r="C4496" s="28" t="s">
        <v>256</v>
      </c>
      <c r="D4496" s="329">
        <v>44.56</v>
      </c>
    </row>
    <row r="4497" spans="1:4" ht="30">
      <c r="A4497" s="47">
        <v>73655</v>
      </c>
      <c r="B4497" s="48" t="s">
        <v>8083</v>
      </c>
      <c r="C4497" s="47" t="s">
        <v>256</v>
      </c>
      <c r="D4497" s="332">
        <v>115.26</v>
      </c>
    </row>
    <row r="4498" spans="1:4" ht="30">
      <c r="A4498" s="28" t="s">
        <v>914</v>
      </c>
      <c r="B4498" s="26" t="s">
        <v>8084</v>
      </c>
      <c r="C4498" s="28" t="s">
        <v>256</v>
      </c>
      <c r="D4498" s="329">
        <v>156.85</v>
      </c>
    </row>
    <row r="4499" spans="1:4">
      <c r="A4499" s="47">
        <v>84181</v>
      </c>
      <c r="B4499" s="48" t="s">
        <v>915</v>
      </c>
      <c r="C4499" s="47" t="s">
        <v>256</v>
      </c>
      <c r="D4499" s="332">
        <v>132.75</v>
      </c>
    </row>
    <row r="4500" spans="1:4" ht="30">
      <c r="A4500" s="28">
        <v>87246</v>
      </c>
      <c r="B4500" s="26" t="s">
        <v>8804</v>
      </c>
      <c r="C4500" s="28" t="s">
        <v>256</v>
      </c>
      <c r="D4500" s="329">
        <v>34.39</v>
      </c>
    </row>
    <row r="4501" spans="1:4" ht="30">
      <c r="A4501" s="47">
        <v>87247</v>
      </c>
      <c r="B4501" s="48" t="s">
        <v>8802</v>
      </c>
      <c r="C4501" s="47" t="s">
        <v>256</v>
      </c>
      <c r="D4501" s="332">
        <v>30.07</v>
      </c>
    </row>
    <row r="4502" spans="1:4" ht="30">
      <c r="A4502" s="28">
        <v>87248</v>
      </c>
      <c r="B4502" s="26" t="s">
        <v>8803</v>
      </c>
      <c r="C4502" s="28" t="s">
        <v>256</v>
      </c>
      <c r="D4502" s="329">
        <v>26.53</v>
      </c>
    </row>
    <row r="4503" spans="1:4" ht="30">
      <c r="A4503" s="47">
        <v>87249</v>
      </c>
      <c r="B4503" s="48" t="s">
        <v>8807</v>
      </c>
      <c r="C4503" s="47" t="s">
        <v>256</v>
      </c>
      <c r="D4503" s="332">
        <v>38.58</v>
      </c>
    </row>
    <row r="4504" spans="1:4" ht="30">
      <c r="A4504" s="28">
        <v>87250</v>
      </c>
      <c r="B4504" s="26" t="s">
        <v>8805</v>
      </c>
      <c r="C4504" s="28" t="s">
        <v>256</v>
      </c>
      <c r="D4504" s="329">
        <v>31.76</v>
      </c>
    </row>
    <row r="4505" spans="1:4" ht="30">
      <c r="A4505" s="47">
        <v>87251</v>
      </c>
      <c r="B4505" s="48" t="s">
        <v>8806</v>
      </c>
      <c r="C4505" s="47" t="s">
        <v>256</v>
      </c>
      <c r="D4505" s="332">
        <v>27.31</v>
      </c>
    </row>
    <row r="4506" spans="1:4" ht="30">
      <c r="A4506" s="28">
        <v>87255</v>
      </c>
      <c r="B4506" s="26" t="s">
        <v>8810</v>
      </c>
      <c r="C4506" s="28" t="s">
        <v>256</v>
      </c>
      <c r="D4506" s="329">
        <v>61.7</v>
      </c>
    </row>
    <row r="4507" spans="1:4" ht="30">
      <c r="A4507" s="47">
        <v>87256</v>
      </c>
      <c r="B4507" s="48" t="s">
        <v>8808</v>
      </c>
      <c r="C4507" s="47" t="s">
        <v>256</v>
      </c>
      <c r="D4507" s="332">
        <v>53.54</v>
      </c>
    </row>
    <row r="4508" spans="1:4" ht="30">
      <c r="A4508" s="28">
        <v>87257</v>
      </c>
      <c r="B4508" s="26" t="s">
        <v>8809</v>
      </c>
      <c r="C4508" s="28" t="s">
        <v>256</v>
      </c>
      <c r="D4508" s="329">
        <v>48.33</v>
      </c>
    </row>
    <row r="4509" spans="1:4" ht="30">
      <c r="A4509" s="47">
        <v>87258</v>
      </c>
      <c r="B4509" s="48" t="s">
        <v>8816</v>
      </c>
      <c r="C4509" s="47" t="s">
        <v>256</v>
      </c>
      <c r="D4509" s="332">
        <v>82.8</v>
      </c>
    </row>
    <row r="4510" spans="1:4" ht="30">
      <c r="A4510" s="28">
        <v>87259</v>
      </c>
      <c r="B4510" s="26" t="s">
        <v>8814</v>
      </c>
      <c r="C4510" s="28" t="s">
        <v>256</v>
      </c>
      <c r="D4510" s="329">
        <v>75.069999999999993</v>
      </c>
    </row>
    <row r="4511" spans="1:4" ht="30">
      <c r="A4511" s="47">
        <v>87260</v>
      </c>
      <c r="B4511" s="48" t="s">
        <v>8815</v>
      </c>
      <c r="C4511" s="47" t="s">
        <v>256</v>
      </c>
      <c r="D4511" s="332">
        <v>70.48</v>
      </c>
    </row>
    <row r="4512" spans="1:4" ht="30">
      <c r="A4512" s="28">
        <v>87261</v>
      </c>
      <c r="B4512" s="26" t="s">
        <v>8819</v>
      </c>
      <c r="C4512" s="28" t="s">
        <v>256</v>
      </c>
      <c r="D4512" s="329">
        <v>94.78</v>
      </c>
    </row>
    <row r="4513" spans="1:4" ht="30">
      <c r="A4513" s="47">
        <v>87262</v>
      </c>
      <c r="B4513" s="48" t="s">
        <v>8817</v>
      </c>
      <c r="C4513" s="47" t="s">
        <v>256</v>
      </c>
      <c r="D4513" s="332">
        <v>85.83</v>
      </c>
    </row>
    <row r="4514" spans="1:4" ht="30">
      <c r="A4514" s="28">
        <v>87263</v>
      </c>
      <c r="B4514" s="26" t="s">
        <v>8818</v>
      </c>
      <c r="C4514" s="28" t="s">
        <v>256</v>
      </c>
      <c r="D4514" s="329">
        <v>80.42</v>
      </c>
    </row>
    <row r="4515" spans="1:4" ht="45">
      <c r="A4515" s="47">
        <v>89046</v>
      </c>
      <c r="B4515" s="48" t="s">
        <v>1373</v>
      </c>
      <c r="C4515" s="47" t="s">
        <v>256</v>
      </c>
      <c r="D4515" s="332">
        <v>29.88</v>
      </c>
    </row>
    <row r="4516" spans="1:4" ht="45">
      <c r="A4516" s="28">
        <v>89171</v>
      </c>
      <c r="B4516" s="26" t="s">
        <v>1374</v>
      </c>
      <c r="C4516" s="28" t="s">
        <v>256</v>
      </c>
      <c r="D4516" s="329">
        <v>28.15</v>
      </c>
    </row>
    <row r="4517" spans="1:4" ht="30">
      <c r="A4517" s="47">
        <v>93389</v>
      </c>
      <c r="B4517" s="48" t="s">
        <v>8813</v>
      </c>
      <c r="C4517" s="47" t="s">
        <v>256</v>
      </c>
      <c r="D4517" s="332">
        <v>29.88</v>
      </c>
    </row>
    <row r="4518" spans="1:4" ht="30">
      <c r="A4518" s="28">
        <v>93390</v>
      </c>
      <c r="B4518" s="26" t="s">
        <v>8811</v>
      </c>
      <c r="C4518" s="28" t="s">
        <v>256</v>
      </c>
      <c r="D4518" s="329">
        <v>25.65</v>
      </c>
    </row>
    <row r="4519" spans="1:4" ht="30">
      <c r="A4519" s="47">
        <v>93391</v>
      </c>
      <c r="B4519" s="48" t="s">
        <v>8812</v>
      </c>
      <c r="C4519" s="47" t="s">
        <v>256</v>
      </c>
      <c r="D4519" s="332">
        <v>22.11</v>
      </c>
    </row>
    <row r="4520" spans="1:4" ht="30">
      <c r="A4520" s="28" t="s">
        <v>916</v>
      </c>
      <c r="B4520" s="26" t="s">
        <v>917</v>
      </c>
      <c r="C4520" s="28" t="s">
        <v>256</v>
      </c>
      <c r="D4520" s="329">
        <v>158.13999999999999</v>
      </c>
    </row>
    <row r="4521" spans="1:4" ht="30">
      <c r="A4521" s="47" t="s">
        <v>918</v>
      </c>
      <c r="B4521" s="48" t="s">
        <v>8080</v>
      </c>
      <c r="C4521" s="47" t="s">
        <v>256</v>
      </c>
      <c r="D4521" s="332">
        <v>33.42</v>
      </c>
    </row>
    <row r="4522" spans="1:4" ht="30">
      <c r="A4522" s="28">
        <v>84183</v>
      </c>
      <c r="B4522" s="26" t="s">
        <v>919</v>
      </c>
      <c r="C4522" s="28" t="s">
        <v>256</v>
      </c>
      <c r="D4522" s="329">
        <v>114.32</v>
      </c>
    </row>
    <row r="4523" spans="1:4">
      <c r="A4523" s="47">
        <v>72185</v>
      </c>
      <c r="B4523" s="48" t="s">
        <v>8097</v>
      </c>
      <c r="C4523" s="47" t="s">
        <v>256</v>
      </c>
      <c r="D4523" s="332">
        <v>65.069999999999993</v>
      </c>
    </row>
    <row r="4524" spans="1:4">
      <c r="A4524" s="28">
        <v>72186</v>
      </c>
      <c r="B4524" s="26" t="s">
        <v>8098</v>
      </c>
      <c r="C4524" s="28" t="s">
        <v>256</v>
      </c>
      <c r="D4524" s="329">
        <v>103.37</v>
      </c>
    </row>
    <row r="4525" spans="1:4" ht="30">
      <c r="A4525" s="47">
        <v>72187</v>
      </c>
      <c r="B4525" s="48" t="s">
        <v>920</v>
      </c>
      <c r="C4525" s="47" t="s">
        <v>256</v>
      </c>
      <c r="D4525" s="332">
        <v>142.15</v>
      </c>
    </row>
    <row r="4526" spans="1:4" ht="30">
      <c r="A4526" s="28">
        <v>72188</v>
      </c>
      <c r="B4526" s="26" t="s">
        <v>8066</v>
      </c>
      <c r="C4526" s="28" t="s">
        <v>256</v>
      </c>
      <c r="D4526" s="329">
        <v>142.15</v>
      </c>
    </row>
    <row r="4527" spans="1:4">
      <c r="A4527" s="47" t="s">
        <v>921</v>
      </c>
      <c r="B4527" s="48" t="s">
        <v>922</v>
      </c>
      <c r="C4527" s="47" t="s">
        <v>256</v>
      </c>
      <c r="D4527" s="332">
        <v>129.75</v>
      </c>
    </row>
    <row r="4528" spans="1:4">
      <c r="A4528" s="28">
        <v>84186</v>
      </c>
      <c r="B4528" s="26" t="s">
        <v>923</v>
      </c>
      <c r="C4528" s="28" t="s">
        <v>256</v>
      </c>
      <c r="D4528" s="329">
        <v>56.84</v>
      </c>
    </row>
    <row r="4529" spans="1:4">
      <c r="A4529" s="47">
        <v>84187</v>
      </c>
      <c r="B4529" s="48" t="s">
        <v>924</v>
      </c>
      <c r="C4529" s="47" t="s">
        <v>256</v>
      </c>
      <c r="D4529" s="332">
        <v>11.91</v>
      </c>
    </row>
    <row r="4530" spans="1:4">
      <c r="A4530" s="28">
        <v>84188</v>
      </c>
      <c r="B4530" s="26" t="s">
        <v>9664</v>
      </c>
      <c r="C4530" s="28" t="s">
        <v>71</v>
      </c>
      <c r="D4530" s="329">
        <v>15.47</v>
      </c>
    </row>
    <row r="4531" spans="1:4" ht="30">
      <c r="A4531" s="47">
        <v>72136</v>
      </c>
      <c r="B4531" s="48" t="s">
        <v>8087</v>
      </c>
      <c r="C4531" s="47" t="s">
        <v>256</v>
      </c>
      <c r="D4531" s="332">
        <v>63.88</v>
      </c>
    </row>
    <row r="4532" spans="1:4" ht="30">
      <c r="A4532" s="28">
        <v>72137</v>
      </c>
      <c r="B4532" s="26" t="s">
        <v>8086</v>
      </c>
      <c r="C4532" s="28" t="s">
        <v>256</v>
      </c>
      <c r="D4532" s="329">
        <v>75.31</v>
      </c>
    </row>
    <row r="4533" spans="1:4">
      <c r="A4533" s="47">
        <v>72815</v>
      </c>
      <c r="B4533" s="48" t="s">
        <v>1906</v>
      </c>
      <c r="C4533" s="47" t="s">
        <v>256</v>
      </c>
      <c r="D4533" s="332">
        <v>41.66</v>
      </c>
    </row>
    <row r="4534" spans="1:4" ht="30">
      <c r="A4534" s="28">
        <v>84191</v>
      </c>
      <c r="B4534" s="26" t="s">
        <v>8076</v>
      </c>
      <c r="C4534" s="28" t="s">
        <v>256</v>
      </c>
      <c r="D4534" s="329">
        <v>58.25</v>
      </c>
    </row>
    <row r="4535" spans="1:4" ht="30">
      <c r="A4535" s="47">
        <v>72138</v>
      </c>
      <c r="B4535" s="48" t="s">
        <v>8078</v>
      </c>
      <c r="C4535" s="47" t="s">
        <v>256</v>
      </c>
      <c r="D4535" s="332">
        <v>197.9</v>
      </c>
    </row>
    <row r="4536" spans="1:4" ht="30">
      <c r="A4536" s="28">
        <v>84190</v>
      </c>
      <c r="B4536" s="26" t="s">
        <v>8085</v>
      </c>
      <c r="C4536" s="28" t="s">
        <v>256</v>
      </c>
      <c r="D4536" s="329">
        <v>177.98</v>
      </c>
    </row>
    <row r="4537" spans="1:4">
      <c r="A4537" s="47">
        <v>84195</v>
      </c>
      <c r="B4537" s="48" t="s">
        <v>8090</v>
      </c>
      <c r="C4537" s="47" t="s">
        <v>256</v>
      </c>
      <c r="D4537" s="332">
        <v>196.53</v>
      </c>
    </row>
    <row r="4538" spans="1:4" ht="30">
      <c r="A4538" s="28" t="s">
        <v>925</v>
      </c>
      <c r="B4538" s="26" t="s">
        <v>9052</v>
      </c>
      <c r="C4538" s="28" t="s">
        <v>71</v>
      </c>
      <c r="D4538" s="329">
        <v>20.3</v>
      </c>
    </row>
    <row r="4539" spans="1:4" ht="30">
      <c r="A4539" s="47">
        <v>84161</v>
      </c>
      <c r="B4539" s="48" t="s">
        <v>9053</v>
      </c>
      <c r="C4539" s="47" t="s">
        <v>71</v>
      </c>
      <c r="D4539" s="332">
        <v>40.229999999999997</v>
      </c>
    </row>
    <row r="4540" spans="1:4">
      <c r="A4540" s="28" t="s">
        <v>926</v>
      </c>
      <c r="B4540" s="26" t="s">
        <v>8871</v>
      </c>
      <c r="C4540" s="28" t="s">
        <v>71</v>
      </c>
      <c r="D4540" s="329">
        <v>15.71</v>
      </c>
    </row>
    <row r="4541" spans="1:4">
      <c r="A4541" s="47">
        <v>84162</v>
      </c>
      <c r="B4541" s="48" t="s">
        <v>8870</v>
      </c>
      <c r="C4541" s="47" t="s">
        <v>71</v>
      </c>
      <c r="D4541" s="332">
        <v>15.97</v>
      </c>
    </row>
    <row r="4542" spans="1:4" ht="30">
      <c r="A4542" s="28">
        <v>88648</v>
      </c>
      <c r="B4542" s="26" t="s">
        <v>8864</v>
      </c>
      <c r="C4542" s="28" t="s">
        <v>71</v>
      </c>
      <c r="D4542" s="329">
        <v>4.09</v>
      </c>
    </row>
    <row r="4543" spans="1:4" ht="30">
      <c r="A4543" s="47">
        <v>88649</v>
      </c>
      <c r="B4543" s="48" t="s">
        <v>8865</v>
      </c>
      <c r="C4543" s="47" t="s">
        <v>71</v>
      </c>
      <c r="D4543" s="332">
        <v>4.5999999999999996</v>
      </c>
    </row>
    <row r="4544" spans="1:4" ht="30">
      <c r="A4544" s="28">
        <v>88650</v>
      </c>
      <c r="B4544" s="26" t="s">
        <v>8866</v>
      </c>
      <c r="C4544" s="28" t="s">
        <v>71</v>
      </c>
      <c r="D4544" s="329">
        <v>8.7200000000000006</v>
      </c>
    </row>
    <row r="4545" spans="1:4">
      <c r="A4545" s="47" t="s">
        <v>927</v>
      </c>
      <c r="B4545" s="48" t="s">
        <v>8874</v>
      </c>
      <c r="C4545" s="47" t="s">
        <v>71</v>
      </c>
      <c r="D4545" s="332">
        <v>19.36</v>
      </c>
    </row>
    <row r="4546" spans="1:4" ht="30">
      <c r="A4546" s="28">
        <v>84167</v>
      </c>
      <c r="B4546" s="26" t="s">
        <v>8872</v>
      </c>
      <c r="C4546" s="28" t="s">
        <v>71</v>
      </c>
      <c r="D4546" s="329">
        <v>28.05</v>
      </c>
    </row>
    <row r="4547" spans="1:4" ht="30">
      <c r="A4547" s="47">
        <v>84168</v>
      </c>
      <c r="B4547" s="48" t="s">
        <v>8869</v>
      </c>
      <c r="C4547" s="47" t="s">
        <v>71</v>
      </c>
      <c r="D4547" s="332">
        <v>14.82</v>
      </c>
    </row>
    <row r="4548" spans="1:4" ht="30">
      <c r="A4548" s="28">
        <v>68325</v>
      </c>
      <c r="B4548" s="26" t="s">
        <v>8074</v>
      </c>
      <c r="C4548" s="28" t="s">
        <v>256</v>
      </c>
      <c r="D4548" s="329">
        <v>37.1</v>
      </c>
    </row>
    <row r="4549" spans="1:4" ht="30">
      <c r="A4549" s="47">
        <v>68333</v>
      </c>
      <c r="B4549" s="48" t="s">
        <v>8073</v>
      </c>
      <c r="C4549" s="47" t="s">
        <v>256</v>
      </c>
      <c r="D4549" s="332">
        <v>37.43</v>
      </c>
    </row>
    <row r="4550" spans="1:4" ht="30">
      <c r="A4550" s="28">
        <v>72183</v>
      </c>
      <c r="B4550" s="26" t="s">
        <v>8075</v>
      </c>
      <c r="C4550" s="28" t="s">
        <v>256</v>
      </c>
      <c r="D4550" s="329">
        <v>63.79</v>
      </c>
    </row>
    <row r="4551" spans="1:4">
      <c r="A4551" s="47">
        <v>84175</v>
      </c>
      <c r="B4551" s="48" t="s">
        <v>6525</v>
      </c>
      <c r="C4551" s="47" t="s">
        <v>71</v>
      </c>
      <c r="D4551" s="332">
        <v>9.5500000000000007</v>
      </c>
    </row>
    <row r="4552" spans="1:4" ht="30">
      <c r="A4552" s="28">
        <v>84176</v>
      </c>
      <c r="B4552" s="26" t="s">
        <v>928</v>
      </c>
      <c r="C4552" s="28" t="s">
        <v>71</v>
      </c>
      <c r="D4552" s="329">
        <v>17.38</v>
      </c>
    </row>
    <row r="4553" spans="1:4">
      <c r="A4553" s="47">
        <v>84177</v>
      </c>
      <c r="B4553" s="48" t="s">
        <v>929</v>
      </c>
      <c r="C4553" s="47" t="s">
        <v>71</v>
      </c>
      <c r="D4553" s="332">
        <v>10.49</v>
      </c>
    </row>
    <row r="4554" spans="1:4" ht="30">
      <c r="A4554" s="28">
        <v>94990</v>
      </c>
      <c r="B4554" s="26" t="s">
        <v>11121</v>
      </c>
      <c r="C4554" s="28" t="s">
        <v>255</v>
      </c>
      <c r="D4554" s="329">
        <v>477.48</v>
      </c>
    </row>
    <row r="4555" spans="1:4" ht="30">
      <c r="A4555" s="47">
        <v>94991</v>
      </c>
      <c r="B4555" s="48" t="s">
        <v>11122</v>
      </c>
      <c r="C4555" s="47" t="s">
        <v>255</v>
      </c>
      <c r="D4555" s="332">
        <v>372.5</v>
      </c>
    </row>
    <row r="4556" spans="1:4" ht="45">
      <c r="A4556" s="28">
        <v>94992</v>
      </c>
      <c r="B4556" s="26" t="s">
        <v>11123</v>
      </c>
      <c r="C4556" s="28" t="s">
        <v>256</v>
      </c>
      <c r="D4556" s="329">
        <v>50.86</v>
      </c>
    </row>
    <row r="4557" spans="1:4" ht="30">
      <c r="A4557" s="47">
        <v>94993</v>
      </c>
      <c r="B4557" s="48" t="s">
        <v>11124</v>
      </c>
      <c r="C4557" s="47" t="s">
        <v>256</v>
      </c>
      <c r="D4557" s="332">
        <v>44.56</v>
      </c>
    </row>
    <row r="4558" spans="1:4" ht="45">
      <c r="A4558" s="28">
        <v>94994</v>
      </c>
      <c r="B4558" s="26" t="s">
        <v>11125</v>
      </c>
      <c r="C4558" s="28" t="s">
        <v>256</v>
      </c>
      <c r="D4558" s="329">
        <v>61.67</v>
      </c>
    </row>
    <row r="4559" spans="1:4" ht="30">
      <c r="A4559" s="47">
        <v>94995</v>
      </c>
      <c r="B4559" s="48" t="s">
        <v>11126</v>
      </c>
      <c r="C4559" s="47" t="s">
        <v>256</v>
      </c>
      <c r="D4559" s="332">
        <v>53.27</v>
      </c>
    </row>
    <row r="4560" spans="1:4" ht="45">
      <c r="A4560" s="28">
        <v>94996</v>
      </c>
      <c r="B4560" s="26" t="s">
        <v>11127</v>
      </c>
      <c r="C4560" s="28" t="s">
        <v>256</v>
      </c>
      <c r="D4560" s="329">
        <v>71.39</v>
      </c>
    </row>
    <row r="4561" spans="1:4" ht="30">
      <c r="A4561" s="47">
        <v>94997</v>
      </c>
      <c r="B4561" s="48" t="s">
        <v>11128</v>
      </c>
      <c r="C4561" s="47" t="s">
        <v>256</v>
      </c>
      <c r="D4561" s="332">
        <v>60.89</v>
      </c>
    </row>
    <row r="4562" spans="1:4" ht="45">
      <c r="A4562" s="28">
        <v>94998</v>
      </c>
      <c r="B4562" s="26" t="s">
        <v>11129</v>
      </c>
      <c r="C4562" s="28" t="s">
        <v>256</v>
      </c>
      <c r="D4562" s="329">
        <v>81.13</v>
      </c>
    </row>
    <row r="4563" spans="1:4" ht="30">
      <c r="A4563" s="47">
        <v>94999</v>
      </c>
      <c r="B4563" s="48" t="s">
        <v>11130</v>
      </c>
      <c r="C4563" s="47" t="s">
        <v>256</v>
      </c>
      <c r="D4563" s="332">
        <v>68.53</v>
      </c>
    </row>
    <row r="4564" spans="1:4" ht="45">
      <c r="A4564" s="28">
        <v>87620</v>
      </c>
      <c r="B4564" s="26" t="s">
        <v>4048</v>
      </c>
      <c r="C4564" s="28" t="s">
        <v>256</v>
      </c>
      <c r="D4564" s="329">
        <v>21.57</v>
      </c>
    </row>
    <row r="4565" spans="1:4" ht="30">
      <c r="A4565" s="47">
        <v>87622</v>
      </c>
      <c r="B4565" s="48" t="s">
        <v>4038</v>
      </c>
      <c r="C4565" s="47" t="s">
        <v>256</v>
      </c>
      <c r="D4565" s="332">
        <v>23.65</v>
      </c>
    </row>
    <row r="4566" spans="1:4" ht="30">
      <c r="A4566" s="28">
        <v>87623</v>
      </c>
      <c r="B4566" s="26" t="s">
        <v>4028</v>
      </c>
      <c r="C4566" s="28" t="s">
        <v>256</v>
      </c>
      <c r="D4566" s="329">
        <v>45.53</v>
      </c>
    </row>
    <row r="4567" spans="1:4" ht="30">
      <c r="A4567" s="47">
        <v>87624</v>
      </c>
      <c r="B4567" s="48" t="s">
        <v>4018</v>
      </c>
      <c r="C4567" s="47" t="s">
        <v>256</v>
      </c>
      <c r="D4567" s="332">
        <v>49.55</v>
      </c>
    </row>
    <row r="4568" spans="1:4" ht="45">
      <c r="A4568" s="28">
        <v>87630</v>
      </c>
      <c r="B4568" s="26" t="s">
        <v>4049</v>
      </c>
      <c r="C4568" s="28" t="s">
        <v>256</v>
      </c>
      <c r="D4568" s="329">
        <v>26.82</v>
      </c>
    </row>
    <row r="4569" spans="1:4" ht="30">
      <c r="A4569" s="47">
        <v>87632</v>
      </c>
      <c r="B4569" s="48" t="s">
        <v>4039</v>
      </c>
      <c r="C4569" s="47" t="s">
        <v>256</v>
      </c>
      <c r="D4569" s="332">
        <v>29.71</v>
      </c>
    </row>
    <row r="4570" spans="1:4" ht="30">
      <c r="A4570" s="28">
        <v>87633</v>
      </c>
      <c r="B4570" s="26" t="s">
        <v>4029</v>
      </c>
      <c r="C4570" s="28" t="s">
        <v>256</v>
      </c>
      <c r="D4570" s="329">
        <v>60.14</v>
      </c>
    </row>
    <row r="4571" spans="1:4" ht="30">
      <c r="A4571" s="47">
        <v>87634</v>
      </c>
      <c r="B4571" s="48" t="s">
        <v>4019</v>
      </c>
      <c r="C4571" s="47" t="s">
        <v>256</v>
      </c>
      <c r="D4571" s="332">
        <v>65.72</v>
      </c>
    </row>
    <row r="4572" spans="1:4" ht="45">
      <c r="A4572" s="28">
        <v>87640</v>
      </c>
      <c r="B4572" s="26" t="s">
        <v>4050</v>
      </c>
      <c r="C4572" s="28" t="s">
        <v>256</v>
      </c>
      <c r="D4572" s="329">
        <v>31.06</v>
      </c>
    </row>
    <row r="4573" spans="1:4" ht="30">
      <c r="A4573" s="47">
        <v>87642</v>
      </c>
      <c r="B4573" s="48" t="s">
        <v>4040</v>
      </c>
      <c r="C4573" s="47" t="s">
        <v>256</v>
      </c>
      <c r="D4573" s="332">
        <v>34.619999999999997</v>
      </c>
    </row>
    <row r="4574" spans="1:4" ht="30">
      <c r="A4574" s="28">
        <v>87643</v>
      </c>
      <c r="B4574" s="26" t="s">
        <v>4030</v>
      </c>
      <c r="C4574" s="28" t="s">
        <v>256</v>
      </c>
      <c r="D4574" s="329">
        <v>72.03</v>
      </c>
    </row>
    <row r="4575" spans="1:4" ht="30">
      <c r="A4575" s="47">
        <v>87644</v>
      </c>
      <c r="B4575" s="48" t="s">
        <v>4020</v>
      </c>
      <c r="C4575" s="47" t="s">
        <v>256</v>
      </c>
      <c r="D4575" s="332">
        <v>78.900000000000006</v>
      </c>
    </row>
    <row r="4576" spans="1:4" ht="45">
      <c r="A4576" s="28">
        <v>87680</v>
      </c>
      <c r="B4576" s="26" t="s">
        <v>4051</v>
      </c>
      <c r="C4576" s="28" t="s">
        <v>256</v>
      </c>
      <c r="D4576" s="329">
        <v>25.62</v>
      </c>
    </row>
    <row r="4577" spans="1:4" ht="30">
      <c r="A4577" s="47">
        <v>87682</v>
      </c>
      <c r="B4577" s="48" t="s">
        <v>4041</v>
      </c>
      <c r="C4577" s="47" t="s">
        <v>256</v>
      </c>
      <c r="D4577" s="332">
        <v>29.18</v>
      </c>
    </row>
    <row r="4578" spans="1:4" ht="30">
      <c r="A4578" s="28">
        <v>87683</v>
      </c>
      <c r="B4578" s="26" t="s">
        <v>4031</v>
      </c>
      <c r="C4578" s="28" t="s">
        <v>256</v>
      </c>
      <c r="D4578" s="329">
        <v>66.59</v>
      </c>
    </row>
    <row r="4579" spans="1:4" ht="30">
      <c r="A4579" s="47">
        <v>87684</v>
      </c>
      <c r="B4579" s="48" t="s">
        <v>4021</v>
      </c>
      <c r="C4579" s="47" t="s">
        <v>256</v>
      </c>
      <c r="D4579" s="332">
        <v>73.459999999999994</v>
      </c>
    </row>
    <row r="4580" spans="1:4" ht="45">
      <c r="A4580" s="28">
        <v>87690</v>
      </c>
      <c r="B4580" s="26" t="s">
        <v>4052</v>
      </c>
      <c r="C4580" s="28" t="s">
        <v>256</v>
      </c>
      <c r="D4580" s="329">
        <v>29.75</v>
      </c>
    </row>
    <row r="4581" spans="1:4" ht="30">
      <c r="A4581" s="47">
        <v>87692</v>
      </c>
      <c r="B4581" s="48" t="s">
        <v>4042</v>
      </c>
      <c r="C4581" s="47" t="s">
        <v>256</v>
      </c>
      <c r="D4581" s="332">
        <v>33.82</v>
      </c>
    </row>
    <row r="4582" spans="1:4" ht="30">
      <c r="A4582" s="28">
        <v>87693</v>
      </c>
      <c r="B4582" s="26" t="s">
        <v>4032</v>
      </c>
      <c r="C4582" s="28" t="s">
        <v>256</v>
      </c>
      <c r="D4582" s="329">
        <v>76.67</v>
      </c>
    </row>
    <row r="4583" spans="1:4" ht="30">
      <c r="A4583" s="47">
        <v>87694</v>
      </c>
      <c r="B4583" s="48" t="s">
        <v>4022</v>
      </c>
      <c r="C4583" s="47" t="s">
        <v>256</v>
      </c>
      <c r="D4583" s="332">
        <v>84.54</v>
      </c>
    </row>
    <row r="4584" spans="1:4" ht="45">
      <c r="A4584" s="28">
        <v>87700</v>
      </c>
      <c r="B4584" s="26" t="s">
        <v>4053</v>
      </c>
      <c r="C4584" s="28" t="s">
        <v>256</v>
      </c>
      <c r="D4584" s="329">
        <v>32.15</v>
      </c>
    </row>
    <row r="4585" spans="1:4" ht="30">
      <c r="A4585" s="47">
        <v>87702</v>
      </c>
      <c r="B4585" s="48" t="s">
        <v>4043</v>
      </c>
      <c r="C4585" s="47" t="s">
        <v>256</v>
      </c>
      <c r="D4585" s="332">
        <v>36.58</v>
      </c>
    </row>
    <row r="4586" spans="1:4" ht="30">
      <c r="A4586" s="28">
        <v>87703</v>
      </c>
      <c r="B4586" s="26" t="s">
        <v>4033</v>
      </c>
      <c r="C4586" s="28" t="s">
        <v>256</v>
      </c>
      <c r="D4586" s="329">
        <v>83.24</v>
      </c>
    </row>
    <row r="4587" spans="1:4" ht="30">
      <c r="A4587" s="47">
        <v>87704</v>
      </c>
      <c r="B4587" s="48" t="s">
        <v>4023</v>
      </c>
      <c r="C4587" s="47" t="s">
        <v>256</v>
      </c>
      <c r="D4587" s="332">
        <v>91.8</v>
      </c>
    </row>
    <row r="4588" spans="1:4" ht="45">
      <c r="A4588" s="28">
        <v>87735</v>
      </c>
      <c r="B4588" s="26" t="s">
        <v>4046</v>
      </c>
      <c r="C4588" s="28" t="s">
        <v>256</v>
      </c>
      <c r="D4588" s="329">
        <v>28.37</v>
      </c>
    </row>
    <row r="4589" spans="1:4" ht="30">
      <c r="A4589" s="47">
        <v>87737</v>
      </c>
      <c r="B4589" s="48" t="s">
        <v>4036</v>
      </c>
      <c r="C4589" s="47" t="s">
        <v>256</v>
      </c>
      <c r="D4589" s="332">
        <v>30.45</v>
      </c>
    </row>
    <row r="4590" spans="1:4" ht="30">
      <c r="A4590" s="28">
        <v>87738</v>
      </c>
      <c r="B4590" s="26" t="s">
        <v>4026</v>
      </c>
      <c r="C4590" s="28" t="s">
        <v>256</v>
      </c>
      <c r="D4590" s="329">
        <v>52.33</v>
      </c>
    </row>
    <row r="4591" spans="1:4" ht="30">
      <c r="A4591" s="47">
        <v>87739</v>
      </c>
      <c r="B4591" s="48" t="s">
        <v>4016</v>
      </c>
      <c r="C4591" s="47" t="s">
        <v>256</v>
      </c>
      <c r="D4591" s="332">
        <v>56.35</v>
      </c>
    </row>
    <row r="4592" spans="1:4" ht="45">
      <c r="A4592" s="28">
        <v>87745</v>
      </c>
      <c r="B4592" s="26" t="s">
        <v>4047</v>
      </c>
      <c r="C4592" s="28" t="s">
        <v>256</v>
      </c>
      <c r="D4592" s="329">
        <v>33.630000000000003</v>
      </c>
    </row>
    <row r="4593" spans="1:4" ht="30">
      <c r="A4593" s="47">
        <v>87747</v>
      </c>
      <c r="B4593" s="48" t="s">
        <v>4037</v>
      </c>
      <c r="C4593" s="47" t="s">
        <v>256</v>
      </c>
      <c r="D4593" s="332">
        <v>36.51</v>
      </c>
    </row>
    <row r="4594" spans="1:4" ht="30">
      <c r="A4594" s="28">
        <v>87748</v>
      </c>
      <c r="B4594" s="26" t="s">
        <v>4027</v>
      </c>
      <c r="C4594" s="28" t="s">
        <v>256</v>
      </c>
      <c r="D4594" s="329">
        <v>66.94</v>
      </c>
    </row>
    <row r="4595" spans="1:4" ht="30">
      <c r="A4595" s="47">
        <v>87749</v>
      </c>
      <c r="B4595" s="48" t="s">
        <v>4017</v>
      </c>
      <c r="C4595" s="47" t="s">
        <v>256</v>
      </c>
      <c r="D4595" s="332">
        <v>72.52</v>
      </c>
    </row>
    <row r="4596" spans="1:4" ht="45">
      <c r="A4596" s="28">
        <v>87755</v>
      </c>
      <c r="B4596" s="26" t="s">
        <v>4044</v>
      </c>
      <c r="C4596" s="28" t="s">
        <v>256</v>
      </c>
      <c r="D4596" s="329">
        <v>30.66</v>
      </c>
    </row>
    <row r="4597" spans="1:4" ht="30">
      <c r="A4597" s="47">
        <v>87757</v>
      </c>
      <c r="B4597" s="48" t="s">
        <v>4034</v>
      </c>
      <c r="C4597" s="47" t="s">
        <v>256</v>
      </c>
      <c r="D4597" s="332">
        <v>33.549999999999997</v>
      </c>
    </row>
    <row r="4598" spans="1:4" ht="30">
      <c r="A4598" s="28">
        <v>87758</v>
      </c>
      <c r="B4598" s="26" t="s">
        <v>4024</v>
      </c>
      <c r="C4598" s="28" t="s">
        <v>256</v>
      </c>
      <c r="D4598" s="329">
        <v>63.98</v>
      </c>
    </row>
    <row r="4599" spans="1:4" ht="30">
      <c r="A4599" s="47">
        <v>87759</v>
      </c>
      <c r="B4599" s="48" t="s">
        <v>4014</v>
      </c>
      <c r="C4599" s="47" t="s">
        <v>256</v>
      </c>
      <c r="D4599" s="332">
        <v>69.56</v>
      </c>
    </row>
    <row r="4600" spans="1:4" ht="45">
      <c r="A4600" s="28">
        <v>87765</v>
      </c>
      <c r="B4600" s="26" t="s">
        <v>4045</v>
      </c>
      <c r="C4600" s="28" t="s">
        <v>256</v>
      </c>
      <c r="D4600" s="329">
        <v>34.9</v>
      </c>
    </row>
    <row r="4601" spans="1:4" ht="30">
      <c r="A4601" s="47">
        <v>87767</v>
      </c>
      <c r="B4601" s="48" t="s">
        <v>4035</v>
      </c>
      <c r="C4601" s="47" t="s">
        <v>256</v>
      </c>
      <c r="D4601" s="332">
        <v>38.450000000000003</v>
      </c>
    </row>
    <row r="4602" spans="1:4" ht="30">
      <c r="A4602" s="28">
        <v>87768</v>
      </c>
      <c r="B4602" s="26" t="s">
        <v>4025</v>
      </c>
      <c r="C4602" s="28" t="s">
        <v>256</v>
      </c>
      <c r="D4602" s="329">
        <v>75.87</v>
      </c>
    </row>
    <row r="4603" spans="1:4" ht="30">
      <c r="A4603" s="47">
        <v>87769</v>
      </c>
      <c r="B4603" s="48" t="s">
        <v>4015</v>
      </c>
      <c r="C4603" s="47" t="s">
        <v>256</v>
      </c>
      <c r="D4603" s="332">
        <v>82.74</v>
      </c>
    </row>
    <row r="4604" spans="1:4" ht="30">
      <c r="A4604" s="28">
        <v>88470</v>
      </c>
      <c r="B4604" s="26" t="s">
        <v>4011</v>
      </c>
      <c r="C4604" s="28" t="s">
        <v>256</v>
      </c>
      <c r="D4604" s="329">
        <v>17.239999999999998</v>
      </c>
    </row>
    <row r="4605" spans="1:4" ht="30">
      <c r="A4605" s="47">
        <v>88471</v>
      </c>
      <c r="B4605" s="48" t="s">
        <v>4012</v>
      </c>
      <c r="C4605" s="47" t="s">
        <v>256</v>
      </c>
      <c r="D4605" s="332">
        <v>21.31</v>
      </c>
    </row>
    <row r="4606" spans="1:4" ht="30">
      <c r="A4606" s="28">
        <v>88472</v>
      </c>
      <c r="B4606" s="26" t="s">
        <v>4013</v>
      </c>
      <c r="C4606" s="28" t="s">
        <v>256</v>
      </c>
      <c r="D4606" s="329">
        <v>24.49</v>
      </c>
    </row>
    <row r="4607" spans="1:4" ht="30">
      <c r="A4607" s="47">
        <v>88476</v>
      </c>
      <c r="B4607" s="48" t="s">
        <v>4008</v>
      </c>
      <c r="C4607" s="47" t="s">
        <v>256</v>
      </c>
      <c r="D4607" s="332">
        <v>14.14</v>
      </c>
    </row>
    <row r="4608" spans="1:4" ht="30">
      <c r="A4608" s="28">
        <v>88477</v>
      </c>
      <c r="B4608" s="26" t="s">
        <v>4009</v>
      </c>
      <c r="C4608" s="28" t="s">
        <v>256</v>
      </c>
      <c r="D4608" s="329">
        <v>19.350000000000001</v>
      </c>
    </row>
    <row r="4609" spans="1:4" ht="30">
      <c r="A4609" s="47">
        <v>88478</v>
      </c>
      <c r="B4609" s="48" t="s">
        <v>4010</v>
      </c>
      <c r="C4609" s="47" t="s">
        <v>256</v>
      </c>
      <c r="D4609" s="332">
        <v>23.59</v>
      </c>
    </row>
    <row r="4610" spans="1:4" ht="60">
      <c r="A4610" s="28">
        <v>89047</v>
      </c>
      <c r="B4610" s="26" t="s">
        <v>1368</v>
      </c>
      <c r="C4610" s="28" t="s">
        <v>256</v>
      </c>
      <c r="D4610" s="329">
        <v>30.99</v>
      </c>
    </row>
    <row r="4611" spans="1:4" ht="45">
      <c r="A4611" s="47">
        <v>90900</v>
      </c>
      <c r="B4611" s="48" t="s">
        <v>4005</v>
      </c>
      <c r="C4611" s="47" t="s">
        <v>256</v>
      </c>
      <c r="D4611" s="332">
        <v>48.3</v>
      </c>
    </row>
    <row r="4612" spans="1:4" ht="30">
      <c r="A4612" s="28">
        <v>90902</v>
      </c>
      <c r="B4612" s="26" t="s">
        <v>3999</v>
      </c>
      <c r="C4612" s="28" t="s">
        <v>256</v>
      </c>
      <c r="D4612" s="329">
        <v>52.37</v>
      </c>
    </row>
    <row r="4613" spans="1:4" ht="30">
      <c r="A4613" s="47">
        <v>90903</v>
      </c>
      <c r="B4613" s="48" t="s">
        <v>3993</v>
      </c>
      <c r="C4613" s="47" t="s">
        <v>256</v>
      </c>
      <c r="D4613" s="332">
        <v>95.23</v>
      </c>
    </row>
    <row r="4614" spans="1:4" ht="30">
      <c r="A4614" s="28">
        <v>90904</v>
      </c>
      <c r="B4614" s="26" t="s">
        <v>3987</v>
      </c>
      <c r="C4614" s="28" t="s">
        <v>256</v>
      </c>
      <c r="D4614" s="329">
        <v>103.09</v>
      </c>
    </row>
    <row r="4615" spans="1:4" ht="45">
      <c r="A4615" s="47">
        <v>90910</v>
      </c>
      <c r="B4615" s="48" t="s">
        <v>4006</v>
      </c>
      <c r="C4615" s="47" t="s">
        <v>256</v>
      </c>
      <c r="D4615" s="332">
        <v>51.31</v>
      </c>
    </row>
    <row r="4616" spans="1:4" ht="30">
      <c r="A4616" s="28">
        <v>90912</v>
      </c>
      <c r="B4616" s="26" t="s">
        <v>4000</v>
      </c>
      <c r="C4616" s="28" t="s">
        <v>256</v>
      </c>
      <c r="D4616" s="329">
        <v>55.74</v>
      </c>
    </row>
    <row r="4617" spans="1:4" ht="30">
      <c r="A4617" s="47">
        <v>90913</v>
      </c>
      <c r="B4617" s="48" t="s">
        <v>3994</v>
      </c>
      <c r="C4617" s="47" t="s">
        <v>256</v>
      </c>
      <c r="D4617" s="332">
        <v>102.41</v>
      </c>
    </row>
    <row r="4618" spans="1:4" ht="30">
      <c r="A4618" s="28">
        <v>90914</v>
      </c>
      <c r="B4618" s="26" t="s">
        <v>3988</v>
      </c>
      <c r="C4618" s="28" t="s">
        <v>256</v>
      </c>
      <c r="D4618" s="329">
        <v>110.97</v>
      </c>
    </row>
    <row r="4619" spans="1:4" ht="45">
      <c r="A4619" s="47">
        <v>90920</v>
      </c>
      <c r="B4619" s="48" t="s">
        <v>4007</v>
      </c>
      <c r="C4619" s="47" t="s">
        <v>256</v>
      </c>
      <c r="D4619" s="332">
        <v>56.87</v>
      </c>
    </row>
    <row r="4620" spans="1:4" ht="30">
      <c r="A4620" s="28">
        <v>90922</v>
      </c>
      <c r="B4620" s="26" t="s">
        <v>4001</v>
      </c>
      <c r="C4620" s="28" t="s">
        <v>256</v>
      </c>
      <c r="D4620" s="329">
        <v>61.96</v>
      </c>
    </row>
    <row r="4621" spans="1:4" ht="30">
      <c r="A4621" s="47">
        <v>90923</v>
      </c>
      <c r="B4621" s="48" t="s">
        <v>3995</v>
      </c>
      <c r="C4621" s="47" t="s">
        <v>256</v>
      </c>
      <c r="D4621" s="332">
        <v>115.61</v>
      </c>
    </row>
    <row r="4622" spans="1:4" ht="30">
      <c r="A4622" s="28">
        <v>90924</v>
      </c>
      <c r="B4622" s="26" t="s">
        <v>3989</v>
      </c>
      <c r="C4622" s="28" t="s">
        <v>256</v>
      </c>
      <c r="D4622" s="329">
        <v>125.46</v>
      </c>
    </row>
    <row r="4623" spans="1:4" ht="45">
      <c r="A4623" s="47">
        <v>90930</v>
      </c>
      <c r="B4623" s="48" t="s">
        <v>4002</v>
      </c>
      <c r="C4623" s="47" t="s">
        <v>256</v>
      </c>
      <c r="D4623" s="332">
        <v>44.04</v>
      </c>
    </row>
    <row r="4624" spans="1:4" ht="30">
      <c r="A4624" s="28">
        <v>90932</v>
      </c>
      <c r="B4624" s="26" t="s">
        <v>3996</v>
      </c>
      <c r="C4624" s="28" t="s">
        <v>256</v>
      </c>
      <c r="D4624" s="329">
        <v>48.11</v>
      </c>
    </row>
    <row r="4625" spans="1:4" ht="30">
      <c r="A4625" s="47">
        <v>90933</v>
      </c>
      <c r="B4625" s="48" t="s">
        <v>3990</v>
      </c>
      <c r="C4625" s="47" t="s">
        <v>256</v>
      </c>
      <c r="D4625" s="332">
        <v>90.97</v>
      </c>
    </row>
    <row r="4626" spans="1:4" ht="30">
      <c r="A4626" s="28">
        <v>90934</v>
      </c>
      <c r="B4626" s="26" t="s">
        <v>3984</v>
      </c>
      <c r="C4626" s="28" t="s">
        <v>256</v>
      </c>
      <c r="D4626" s="329">
        <v>98.83</v>
      </c>
    </row>
    <row r="4627" spans="1:4" ht="45">
      <c r="A4627" s="47">
        <v>90940</v>
      </c>
      <c r="B4627" s="48" t="s">
        <v>4003</v>
      </c>
      <c r="C4627" s="47" t="s">
        <v>256</v>
      </c>
      <c r="D4627" s="332">
        <v>47.07</v>
      </c>
    </row>
    <row r="4628" spans="1:4" ht="30">
      <c r="A4628" s="28">
        <v>90942</v>
      </c>
      <c r="B4628" s="26" t="s">
        <v>3997</v>
      </c>
      <c r="C4628" s="28" t="s">
        <v>256</v>
      </c>
      <c r="D4628" s="329">
        <v>51.5</v>
      </c>
    </row>
    <row r="4629" spans="1:4" ht="30">
      <c r="A4629" s="47">
        <v>90943</v>
      </c>
      <c r="B4629" s="48" t="s">
        <v>3991</v>
      </c>
      <c r="C4629" s="47" t="s">
        <v>256</v>
      </c>
      <c r="D4629" s="332">
        <v>98.17</v>
      </c>
    </row>
    <row r="4630" spans="1:4" ht="30">
      <c r="A4630" s="28">
        <v>90944</v>
      </c>
      <c r="B4630" s="26" t="s">
        <v>3985</v>
      </c>
      <c r="C4630" s="28" t="s">
        <v>256</v>
      </c>
      <c r="D4630" s="329">
        <v>106.73</v>
      </c>
    </row>
    <row r="4631" spans="1:4" ht="45">
      <c r="A4631" s="47">
        <v>90950</v>
      </c>
      <c r="B4631" s="48" t="s">
        <v>4004</v>
      </c>
      <c r="C4631" s="47" t="s">
        <v>256</v>
      </c>
      <c r="D4631" s="332">
        <v>52.6</v>
      </c>
    </row>
    <row r="4632" spans="1:4" ht="30">
      <c r="A4632" s="28">
        <v>90952</v>
      </c>
      <c r="B4632" s="26" t="s">
        <v>3998</v>
      </c>
      <c r="C4632" s="28" t="s">
        <v>256</v>
      </c>
      <c r="D4632" s="329">
        <v>57.7</v>
      </c>
    </row>
    <row r="4633" spans="1:4" ht="30">
      <c r="A4633" s="47">
        <v>90953</v>
      </c>
      <c r="B4633" s="48" t="s">
        <v>3992</v>
      </c>
      <c r="C4633" s="47" t="s">
        <v>256</v>
      </c>
      <c r="D4633" s="332">
        <v>111.35</v>
      </c>
    </row>
    <row r="4634" spans="1:4" ht="30">
      <c r="A4634" s="28">
        <v>90954</v>
      </c>
      <c r="B4634" s="26" t="s">
        <v>3986</v>
      </c>
      <c r="C4634" s="28" t="s">
        <v>256</v>
      </c>
      <c r="D4634" s="329">
        <v>121.2</v>
      </c>
    </row>
    <row r="4635" spans="1:4" ht="60">
      <c r="A4635" s="47">
        <v>94438</v>
      </c>
      <c r="B4635" s="48" t="s">
        <v>1365</v>
      </c>
      <c r="C4635" s="47" t="s">
        <v>256</v>
      </c>
      <c r="D4635" s="332">
        <v>28.8</v>
      </c>
    </row>
    <row r="4636" spans="1:4" ht="60">
      <c r="A4636" s="28">
        <v>94439</v>
      </c>
      <c r="B4636" s="26" t="s">
        <v>1367</v>
      </c>
      <c r="C4636" s="28" t="s">
        <v>256</v>
      </c>
      <c r="D4636" s="329">
        <v>32.200000000000003</v>
      </c>
    </row>
    <row r="4637" spans="1:4" ht="45">
      <c r="A4637" s="47">
        <v>94779</v>
      </c>
      <c r="B4637" s="48" t="s">
        <v>1364</v>
      </c>
      <c r="C4637" s="47" t="s">
        <v>256</v>
      </c>
      <c r="D4637" s="332">
        <v>28.02</v>
      </c>
    </row>
    <row r="4638" spans="1:4" ht="60">
      <c r="A4638" s="28">
        <v>94782</v>
      </c>
      <c r="B4638" s="26" t="s">
        <v>1366</v>
      </c>
      <c r="C4638" s="28" t="s">
        <v>256</v>
      </c>
      <c r="D4638" s="329">
        <v>31.79</v>
      </c>
    </row>
    <row r="4639" spans="1:4">
      <c r="A4639" s="47">
        <v>72189</v>
      </c>
      <c r="B4639" s="48" t="s">
        <v>8878</v>
      </c>
      <c r="C4639" s="47" t="s">
        <v>71</v>
      </c>
      <c r="D4639" s="332">
        <v>20.45</v>
      </c>
    </row>
    <row r="4640" spans="1:4">
      <c r="A4640" s="28">
        <v>72190</v>
      </c>
      <c r="B4640" s="26" t="s">
        <v>8863</v>
      </c>
      <c r="C4640" s="28" t="s">
        <v>71</v>
      </c>
      <c r="D4640" s="329">
        <v>24.34</v>
      </c>
    </row>
    <row r="4641" spans="1:4" ht="45">
      <c r="A4641" s="47">
        <v>87871</v>
      </c>
      <c r="B4641" s="48" t="s">
        <v>3563</v>
      </c>
      <c r="C4641" s="47" t="s">
        <v>256</v>
      </c>
      <c r="D4641" s="332">
        <v>13.71</v>
      </c>
    </row>
    <row r="4642" spans="1:4" ht="45">
      <c r="A4642" s="28">
        <v>87872</v>
      </c>
      <c r="B4642" s="26" t="s">
        <v>3562</v>
      </c>
      <c r="C4642" s="28" t="s">
        <v>256</v>
      </c>
      <c r="D4642" s="329">
        <v>13.24</v>
      </c>
    </row>
    <row r="4643" spans="1:4" ht="45">
      <c r="A4643" s="47">
        <v>87873</v>
      </c>
      <c r="B4643" s="48" t="s">
        <v>3555</v>
      </c>
      <c r="C4643" s="47" t="s">
        <v>256</v>
      </c>
      <c r="D4643" s="332">
        <v>3.53</v>
      </c>
    </row>
    <row r="4644" spans="1:4" ht="45">
      <c r="A4644" s="28">
        <v>87874</v>
      </c>
      <c r="B4644" s="26" t="s">
        <v>3554</v>
      </c>
      <c r="C4644" s="28" t="s">
        <v>256</v>
      </c>
      <c r="D4644" s="329">
        <v>3.44</v>
      </c>
    </row>
    <row r="4645" spans="1:4" ht="45">
      <c r="A4645" s="47">
        <v>87876</v>
      </c>
      <c r="B4645" s="48" t="s">
        <v>3553</v>
      </c>
      <c r="C4645" s="47" t="s">
        <v>256</v>
      </c>
      <c r="D4645" s="332">
        <v>7.36</v>
      </c>
    </row>
    <row r="4646" spans="1:4" ht="45">
      <c r="A4646" s="28">
        <v>87877</v>
      </c>
      <c r="B4646" s="26" t="s">
        <v>3552</v>
      </c>
      <c r="C4646" s="28" t="s">
        <v>256</v>
      </c>
      <c r="D4646" s="329">
        <v>7.14</v>
      </c>
    </row>
    <row r="4647" spans="1:4" ht="30">
      <c r="A4647" s="47">
        <v>87878</v>
      </c>
      <c r="B4647" s="48" t="s">
        <v>3551</v>
      </c>
      <c r="C4647" s="47" t="s">
        <v>256</v>
      </c>
      <c r="D4647" s="332">
        <v>2.82</v>
      </c>
    </row>
    <row r="4648" spans="1:4" ht="30">
      <c r="A4648" s="28">
        <v>87879</v>
      </c>
      <c r="B4648" s="26" t="s">
        <v>3550</v>
      </c>
      <c r="C4648" s="28" t="s">
        <v>256</v>
      </c>
      <c r="D4648" s="329">
        <v>2.52</v>
      </c>
    </row>
    <row r="4649" spans="1:4" ht="30">
      <c r="A4649" s="47">
        <v>87881</v>
      </c>
      <c r="B4649" s="48" t="s">
        <v>3561</v>
      </c>
      <c r="C4649" s="47" t="s">
        <v>256</v>
      </c>
      <c r="D4649" s="332">
        <v>3.45</v>
      </c>
    </row>
    <row r="4650" spans="1:4" ht="30">
      <c r="A4650" s="28">
        <v>87882</v>
      </c>
      <c r="B4650" s="26" t="s">
        <v>3560</v>
      </c>
      <c r="C4650" s="28" t="s">
        <v>256</v>
      </c>
      <c r="D4650" s="329">
        <v>3.37</v>
      </c>
    </row>
    <row r="4651" spans="1:4" ht="30">
      <c r="A4651" s="47">
        <v>87884</v>
      </c>
      <c r="B4651" s="48" t="s">
        <v>3559</v>
      </c>
      <c r="C4651" s="47" t="s">
        <v>256</v>
      </c>
      <c r="D4651" s="332">
        <v>7.29</v>
      </c>
    </row>
    <row r="4652" spans="1:4" ht="30">
      <c r="A4652" s="28">
        <v>87885</v>
      </c>
      <c r="B4652" s="26" t="s">
        <v>3558</v>
      </c>
      <c r="C4652" s="28" t="s">
        <v>256</v>
      </c>
      <c r="D4652" s="329">
        <v>7.07</v>
      </c>
    </row>
    <row r="4653" spans="1:4" ht="30">
      <c r="A4653" s="47">
        <v>87886</v>
      </c>
      <c r="B4653" s="48" t="s">
        <v>3557</v>
      </c>
      <c r="C4653" s="47" t="s">
        <v>256</v>
      </c>
      <c r="D4653" s="332">
        <v>18.079999999999998</v>
      </c>
    </row>
    <row r="4654" spans="1:4" ht="30">
      <c r="A4654" s="28">
        <v>87887</v>
      </c>
      <c r="B4654" s="26" t="s">
        <v>3556</v>
      </c>
      <c r="C4654" s="28" t="s">
        <v>256</v>
      </c>
      <c r="D4654" s="329">
        <v>17.61</v>
      </c>
    </row>
    <row r="4655" spans="1:4" ht="45">
      <c r="A4655" s="47">
        <v>87888</v>
      </c>
      <c r="B4655" s="48" t="s">
        <v>3549</v>
      </c>
      <c r="C4655" s="47" t="s">
        <v>256</v>
      </c>
      <c r="D4655" s="332">
        <v>4.42</v>
      </c>
    </row>
    <row r="4656" spans="1:4" ht="45">
      <c r="A4656" s="28">
        <v>87889</v>
      </c>
      <c r="B4656" s="26" t="s">
        <v>3548</v>
      </c>
      <c r="C4656" s="28" t="s">
        <v>256</v>
      </c>
      <c r="D4656" s="329">
        <v>4.33</v>
      </c>
    </row>
    <row r="4657" spans="1:4" ht="45">
      <c r="A4657" s="47">
        <v>87891</v>
      </c>
      <c r="B4657" s="48" t="s">
        <v>3547</v>
      </c>
      <c r="C4657" s="47" t="s">
        <v>256</v>
      </c>
      <c r="D4657" s="332">
        <v>8.25</v>
      </c>
    </row>
    <row r="4658" spans="1:4" ht="45">
      <c r="A4658" s="28">
        <v>87892</v>
      </c>
      <c r="B4658" s="26" t="s">
        <v>3546</v>
      </c>
      <c r="C4658" s="28" t="s">
        <v>256</v>
      </c>
      <c r="D4658" s="329">
        <v>8.0399999999999991</v>
      </c>
    </row>
    <row r="4659" spans="1:4" ht="45">
      <c r="A4659" s="47">
        <v>87893</v>
      </c>
      <c r="B4659" s="48" t="s">
        <v>3543</v>
      </c>
      <c r="C4659" s="47" t="s">
        <v>256</v>
      </c>
      <c r="D4659" s="332">
        <v>4.37</v>
      </c>
    </row>
    <row r="4660" spans="1:4" ht="45">
      <c r="A4660" s="28">
        <v>87894</v>
      </c>
      <c r="B4660" s="26" t="s">
        <v>3542</v>
      </c>
      <c r="C4660" s="28" t="s">
        <v>256</v>
      </c>
      <c r="D4660" s="329">
        <v>4.07</v>
      </c>
    </row>
    <row r="4661" spans="1:4" ht="45">
      <c r="A4661" s="47">
        <v>87896</v>
      </c>
      <c r="B4661" s="48" t="s">
        <v>3545</v>
      </c>
      <c r="C4661" s="47" t="s">
        <v>256</v>
      </c>
      <c r="D4661" s="332">
        <v>3.99</v>
      </c>
    </row>
    <row r="4662" spans="1:4" ht="45">
      <c r="A4662" s="28">
        <v>87897</v>
      </c>
      <c r="B4662" s="26" t="s">
        <v>3544</v>
      </c>
      <c r="C4662" s="28" t="s">
        <v>256</v>
      </c>
      <c r="D4662" s="329">
        <v>3.69</v>
      </c>
    </row>
    <row r="4663" spans="1:4" ht="45">
      <c r="A4663" s="47">
        <v>87899</v>
      </c>
      <c r="B4663" s="48" t="s">
        <v>3541</v>
      </c>
      <c r="C4663" s="47" t="s">
        <v>256</v>
      </c>
      <c r="D4663" s="332">
        <v>5.22</v>
      </c>
    </row>
    <row r="4664" spans="1:4" ht="45">
      <c r="A4664" s="28">
        <v>87900</v>
      </c>
      <c r="B4664" s="26" t="s">
        <v>3540</v>
      </c>
      <c r="C4664" s="28" t="s">
        <v>256</v>
      </c>
      <c r="D4664" s="329">
        <v>5.13</v>
      </c>
    </row>
    <row r="4665" spans="1:4" ht="45">
      <c r="A4665" s="47">
        <v>87902</v>
      </c>
      <c r="B4665" s="48" t="s">
        <v>3539</v>
      </c>
      <c r="C4665" s="47" t="s">
        <v>256</v>
      </c>
      <c r="D4665" s="332">
        <v>9.0500000000000007</v>
      </c>
    </row>
    <row r="4666" spans="1:4" ht="45">
      <c r="A4666" s="28">
        <v>87903</v>
      </c>
      <c r="B4666" s="26" t="s">
        <v>3538</v>
      </c>
      <c r="C4666" s="28" t="s">
        <v>256</v>
      </c>
      <c r="D4666" s="329">
        <v>8.84</v>
      </c>
    </row>
    <row r="4667" spans="1:4" ht="45">
      <c r="A4667" s="47">
        <v>87904</v>
      </c>
      <c r="B4667" s="48" t="s">
        <v>3535</v>
      </c>
      <c r="C4667" s="47" t="s">
        <v>256</v>
      </c>
      <c r="D4667" s="332">
        <v>5.7</v>
      </c>
    </row>
    <row r="4668" spans="1:4" ht="45">
      <c r="A4668" s="28">
        <v>87905</v>
      </c>
      <c r="B4668" s="26" t="s">
        <v>3534</v>
      </c>
      <c r="C4668" s="28" t="s">
        <v>256</v>
      </c>
      <c r="D4668" s="329">
        <v>5.4</v>
      </c>
    </row>
    <row r="4669" spans="1:4" ht="45">
      <c r="A4669" s="47">
        <v>87907</v>
      </c>
      <c r="B4669" s="48" t="s">
        <v>3537</v>
      </c>
      <c r="C4669" s="47" t="s">
        <v>256</v>
      </c>
      <c r="D4669" s="332">
        <v>5.16</v>
      </c>
    </row>
    <row r="4670" spans="1:4" ht="45">
      <c r="A4670" s="28">
        <v>87908</v>
      </c>
      <c r="B4670" s="26" t="s">
        <v>3536</v>
      </c>
      <c r="C4670" s="28" t="s">
        <v>256</v>
      </c>
      <c r="D4670" s="329">
        <v>4.8600000000000003</v>
      </c>
    </row>
    <row r="4671" spans="1:4" ht="45">
      <c r="A4671" s="47">
        <v>87910</v>
      </c>
      <c r="B4671" s="48" t="s">
        <v>3565</v>
      </c>
      <c r="C4671" s="47" t="s">
        <v>256</v>
      </c>
      <c r="D4671" s="332">
        <v>17.79</v>
      </c>
    </row>
    <row r="4672" spans="1:4" ht="45">
      <c r="A4672" s="28">
        <v>87911</v>
      </c>
      <c r="B4672" s="26" t="s">
        <v>3564</v>
      </c>
      <c r="C4672" s="28" t="s">
        <v>256</v>
      </c>
      <c r="D4672" s="329">
        <v>17.32</v>
      </c>
    </row>
    <row r="4673" spans="1:4" ht="30">
      <c r="A4673" s="47">
        <v>5991</v>
      </c>
      <c r="B4673" s="48" t="s">
        <v>2459</v>
      </c>
      <c r="C4673" s="47" t="s">
        <v>256</v>
      </c>
      <c r="D4673" s="332">
        <v>34.04</v>
      </c>
    </row>
    <row r="4674" spans="1:4" ht="30">
      <c r="A4674" s="28">
        <v>84023</v>
      </c>
      <c r="B4674" s="26" t="s">
        <v>2463</v>
      </c>
      <c r="C4674" s="28" t="s">
        <v>256</v>
      </c>
      <c r="D4674" s="329">
        <v>31.6</v>
      </c>
    </row>
    <row r="4675" spans="1:4" ht="30">
      <c r="A4675" s="47">
        <v>84024</v>
      </c>
      <c r="B4675" s="48" t="s">
        <v>2462</v>
      </c>
      <c r="C4675" s="47" t="s">
        <v>256</v>
      </c>
      <c r="D4675" s="332">
        <v>29.76</v>
      </c>
    </row>
    <row r="4676" spans="1:4" ht="30">
      <c r="A4676" s="28">
        <v>84026</v>
      </c>
      <c r="B4676" s="26" t="s">
        <v>2465</v>
      </c>
      <c r="C4676" s="28" t="s">
        <v>256</v>
      </c>
      <c r="D4676" s="329">
        <v>37.46</v>
      </c>
    </row>
    <row r="4677" spans="1:4" ht="30">
      <c r="A4677" s="47">
        <v>84027</v>
      </c>
      <c r="B4677" s="48" t="s">
        <v>2461</v>
      </c>
      <c r="C4677" s="47" t="s">
        <v>256</v>
      </c>
      <c r="D4677" s="332">
        <v>25.07</v>
      </c>
    </row>
    <row r="4678" spans="1:4" ht="30">
      <c r="A4678" s="28">
        <v>84028</v>
      </c>
      <c r="B4678" s="26" t="s">
        <v>2464</v>
      </c>
      <c r="C4678" s="28" t="s">
        <v>256</v>
      </c>
      <c r="D4678" s="329">
        <v>42.02</v>
      </c>
    </row>
    <row r="4679" spans="1:4" ht="30">
      <c r="A4679" s="47">
        <v>84072</v>
      </c>
      <c r="B4679" s="48" t="s">
        <v>2460</v>
      </c>
      <c r="C4679" s="47" t="s">
        <v>256</v>
      </c>
      <c r="D4679" s="332">
        <v>25.51</v>
      </c>
    </row>
    <row r="4680" spans="1:4" ht="30">
      <c r="A4680" s="28">
        <v>87411</v>
      </c>
      <c r="B4680" s="26" t="s">
        <v>1920</v>
      </c>
      <c r="C4680" s="28" t="s">
        <v>256</v>
      </c>
      <c r="D4680" s="329">
        <v>8.83</v>
      </c>
    </row>
    <row r="4681" spans="1:4" ht="30">
      <c r="A4681" s="47">
        <v>87412</v>
      </c>
      <c r="B4681" s="48" t="s">
        <v>1918</v>
      </c>
      <c r="C4681" s="47" t="s">
        <v>256</v>
      </c>
      <c r="D4681" s="332">
        <v>12.91</v>
      </c>
    </row>
    <row r="4682" spans="1:4" ht="30">
      <c r="A4682" s="28">
        <v>87413</v>
      </c>
      <c r="B4682" s="26" t="s">
        <v>1922</v>
      </c>
      <c r="C4682" s="28" t="s">
        <v>256</v>
      </c>
      <c r="D4682" s="329">
        <v>15.24</v>
      </c>
    </row>
    <row r="4683" spans="1:4" ht="30">
      <c r="A4683" s="47">
        <v>87414</v>
      </c>
      <c r="B4683" s="48" t="s">
        <v>1921</v>
      </c>
      <c r="C4683" s="47" t="s">
        <v>256</v>
      </c>
      <c r="D4683" s="332">
        <v>12.9</v>
      </c>
    </row>
    <row r="4684" spans="1:4" ht="30">
      <c r="A4684" s="28">
        <v>87415</v>
      </c>
      <c r="B4684" s="26" t="s">
        <v>1919</v>
      </c>
      <c r="C4684" s="28" t="s">
        <v>256</v>
      </c>
      <c r="D4684" s="329">
        <v>16.86</v>
      </c>
    </row>
    <row r="4685" spans="1:4" ht="30">
      <c r="A4685" s="47">
        <v>87416</v>
      </c>
      <c r="B4685" s="48" t="s">
        <v>1923</v>
      </c>
      <c r="C4685" s="47" t="s">
        <v>256</v>
      </c>
      <c r="D4685" s="332">
        <v>19.34</v>
      </c>
    </row>
    <row r="4686" spans="1:4" ht="30">
      <c r="A4686" s="28">
        <v>87417</v>
      </c>
      <c r="B4686" s="26" t="s">
        <v>1914</v>
      </c>
      <c r="C4686" s="28" t="s">
        <v>256</v>
      </c>
      <c r="D4686" s="329">
        <v>9.4</v>
      </c>
    </row>
    <row r="4687" spans="1:4" ht="30">
      <c r="A4687" s="47">
        <v>87418</v>
      </c>
      <c r="B4687" s="48" t="s">
        <v>1912</v>
      </c>
      <c r="C4687" s="47" t="s">
        <v>256</v>
      </c>
      <c r="D4687" s="332">
        <v>9.7100000000000009</v>
      </c>
    </row>
    <row r="4688" spans="1:4" ht="30">
      <c r="A4688" s="28">
        <v>87419</v>
      </c>
      <c r="B4688" s="26" t="s">
        <v>1916</v>
      </c>
      <c r="C4688" s="28" t="s">
        <v>256</v>
      </c>
      <c r="D4688" s="329">
        <v>10.59</v>
      </c>
    </row>
    <row r="4689" spans="1:4" ht="30">
      <c r="A4689" s="47">
        <v>87420</v>
      </c>
      <c r="B4689" s="48" t="s">
        <v>1915</v>
      </c>
      <c r="C4689" s="47" t="s">
        <v>256</v>
      </c>
      <c r="D4689" s="332">
        <v>13.93</v>
      </c>
    </row>
    <row r="4690" spans="1:4" ht="30">
      <c r="A4690" s="28">
        <v>87421</v>
      </c>
      <c r="B4690" s="26" t="s">
        <v>1913</v>
      </c>
      <c r="C4690" s="28" t="s">
        <v>256</v>
      </c>
      <c r="D4690" s="329">
        <v>14.23</v>
      </c>
    </row>
    <row r="4691" spans="1:4" ht="30">
      <c r="A4691" s="47">
        <v>87422</v>
      </c>
      <c r="B4691" s="48" t="s">
        <v>1917</v>
      </c>
      <c r="C4691" s="47" t="s">
        <v>256</v>
      </c>
      <c r="D4691" s="332">
        <v>15.11</v>
      </c>
    </row>
    <row r="4692" spans="1:4" ht="30">
      <c r="A4692" s="28">
        <v>87423</v>
      </c>
      <c r="B4692" s="26" t="s">
        <v>1926</v>
      </c>
      <c r="C4692" s="28" t="s">
        <v>256</v>
      </c>
      <c r="D4692" s="329">
        <v>18.89</v>
      </c>
    </row>
    <row r="4693" spans="1:4" ht="30">
      <c r="A4693" s="47">
        <v>87424</v>
      </c>
      <c r="B4693" s="48" t="s">
        <v>1924</v>
      </c>
      <c r="C4693" s="47" t="s">
        <v>256</v>
      </c>
      <c r="D4693" s="332">
        <v>19.34</v>
      </c>
    </row>
    <row r="4694" spans="1:4" ht="30">
      <c r="A4694" s="28">
        <v>87425</v>
      </c>
      <c r="B4694" s="26" t="s">
        <v>1928</v>
      </c>
      <c r="C4694" s="28" t="s">
        <v>256</v>
      </c>
      <c r="D4694" s="329">
        <v>20.07</v>
      </c>
    </row>
    <row r="4695" spans="1:4" ht="30">
      <c r="A4695" s="47">
        <v>87426</v>
      </c>
      <c r="B4695" s="48" t="s">
        <v>1927</v>
      </c>
      <c r="C4695" s="47" t="s">
        <v>256</v>
      </c>
      <c r="D4695" s="332">
        <v>22.03</v>
      </c>
    </row>
    <row r="4696" spans="1:4" ht="30">
      <c r="A4696" s="28">
        <v>87427</v>
      </c>
      <c r="B4696" s="26" t="s">
        <v>1925</v>
      </c>
      <c r="C4696" s="28" t="s">
        <v>256</v>
      </c>
      <c r="D4696" s="329">
        <v>22.49</v>
      </c>
    </row>
    <row r="4697" spans="1:4" ht="30">
      <c r="A4697" s="47">
        <v>87428</v>
      </c>
      <c r="B4697" s="48" t="s">
        <v>1929</v>
      </c>
      <c r="C4697" s="47" t="s">
        <v>256</v>
      </c>
      <c r="D4697" s="332">
        <v>23.21</v>
      </c>
    </row>
    <row r="4698" spans="1:4" ht="45">
      <c r="A4698" s="28">
        <v>87429</v>
      </c>
      <c r="B4698" s="26" t="s">
        <v>1900</v>
      </c>
      <c r="C4698" s="28" t="s">
        <v>256</v>
      </c>
      <c r="D4698" s="329">
        <v>10.73</v>
      </c>
    </row>
    <row r="4699" spans="1:4" ht="45">
      <c r="A4699" s="47">
        <v>87430</v>
      </c>
      <c r="B4699" s="48" t="s">
        <v>1896</v>
      </c>
      <c r="C4699" s="47" t="s">
        <v>256</v>
      </c>
      <c r="D4699" s="332">
        <v>11.04</v>
      </c>
    </row>
    <row r="4700" spans="1:4" ht="45">
      <c r="A4700" s="28">
        <v>87431</v>
      </c>
      <c r="B4700" s="26" t="s">
        <v>1904</v>
      </c>
      <c r="C4700" s="28" t="s">
        <v>256</v>
      </c>
      <c r="D4700" s="329">
        <v>11.19</v>
      </c>
    </row>
    <row r="4701" spans="1:4" ht="45">
      <c r="A4701" s="47">
        <v>87432</v>
      </c>
      <c r="B4701" s="48" t="s">
        <v>1901</v>
      </c>
      <c r="C4701" s="47" t="s">
        <v>256</v>
      </c>
      <c r="D4701" s="332">
        <v>15.25</v>
      </c>
    </row>
    <row r="4702" spans="1:4" ht="45">
      <c r="A4702" s="28">
        <v>87433</v>
      </c>
      <c r="B4702" s="26" t="s">
        <v>1897</v>
      </c>
      <c r="C4702" s="28" t="s">
        <v>256</v>
      </c>
      <c r="D4702" s="329">
        <v>15.86</v>
      </c>
    </row>
    <row r="4703" spans="1:4" ht="45">
      <c r="A4703" s="47">
        <v>87434</v>
      </c>
      <c r="B4703" s="48" t="s">
        <v>1905</v>
      </c>
      <c r="C4703" s="47" t="s">
        <v>256</v>
      </c>
      <c r="D4703" s="332">
        <v>16.28</v>
      </c>
    </row>
    <row r="4704" spans="1:4" ht="45">
      <c r="A4704" s="28">
        <v>87435</v>
      </c>
      <c r="B4704" s="26" t="s">
        <v>1902</v>
      </c>
      <c r="C4704" s="28" t="s">
        <v>256</v>
      </c>
      <c r="D4704" s="329">
        <v>17.16</v>
      </c>
    </row>
    <row r="4705" spans="1:4" ht="45">
      <c r="A4705" s="47">
        <v>87436</v>
      </c>
      <c r="B4705" s="48" t="s">
        <v>1898</v>
      </c>
      <c r="C4705" s="47" t="s">
        <v>256</v>
      </c>
      <c r="D4705" s="332">
        <v>18.190000000000001</v>
      </c>
    </row>
    <row r="4706" spans="1:4" ht="45">
      <c r="A4706" s="28">
        <v>87437</v>
      </c>
      <c r="B4706" s="26" t="s">
        <v>930</v>
      </c>
      <c r="C4706" s="28" t="s">
        <v>256</v>
      </c>
      <c r="D4706" s="329">
        <v>18.91</v>
      </c>
    </row>
    <row r="4707" spans="1:4" ht="45">
      <c r="A4707" s="47">
        <v>87438</v>
      </c>
      <c r="B4707" s="48" t="s">
        <v>1903</v>
      </c>
      <c r="C4707" s="47" t="s">
        <v>256</v>
      </c>
      <c r="D4707" s="332">
        <v>21.07</v>
      </c>
    </row>
    <row r="4708" spans="1:4" ht="45">
      <c r="A4708" s="28">
        <v>87439</v>
      </c>
      <c r="B4708" s="26" t="s">
        <v>1899</v>
      </c>
      <c r="C4708" s="28" t="s">
        <v>256</v>
      </c>
      <c r="D4708" s="329">
        <v>22.36</v>
      </c>
    </row>
    <row r="4709" spans="1:4" ht="45">
      <c r="A4709" s="47">
        <v>87440</v>
      </c>
      <c r="B4709" s="48" t="s">
        <v>931</v>
      </c>
      <c r="C4709" s="47" t="s">
        <v>256</v>
      </c>
      <c r="D4709" s="332">
        <v>22.97</v>
      </c>
    </row>
    <row r="4710" spans="1:4" ht="60">
      <c r="A4710" s="28">
        <v>87527</v>
      </c>
      <c r="B4710" s="26" t="s">
        <v>4986</v>
      </c>
      <c r="C4710" s="28" t="s">
        <v>256</v>
      </c>
      <c r="D4710" s="329">
        <v>24.88</v>
      </c>
    </row>
    <row r="4711" spans="1:4" ht="60">
      <c r="A4711" s="47">
        <v>87528</v>
      </c>
      <c r="B4711" s="48" t="s">
        <v>4980</v>
      </c>
      <c r="C4711" s="47" t="s">
        <v>256</v>
      </c>
      <c r="D4711" s="332">
        <v>27.42</v>
      </c>
    </row>
    <row r="4712" spans="1:4" ht="45">
      <c r="A4712" s="28">
        <v>87529</v>
      </c>
      <c r="B4712" s="26" t="s">
        <v>7340</v>
      </c>
      <c r="C4712" s="28" t="s">
        <v>256</v>
      </c>
      <c r="D4712" s="329">
        <v>22.57</v>
      </c>
    </row>
    <row r="4713" spans="1:4" ht="45">
      <c r="A4713" s="47">
        <v>87530</v>
      </c>
      <c r="B4713" s="48" t="s">
        <v>7336</v>
      </c>
      <c r="C4713" s="47" t="s">
        <v>256</v>
      </c>
      <c r="D4713" s="332">
        <v>25.1</v>
      </c>
    </row>
    <row r="4714" spans="1:4" ht="60">
      <c r="A4714" s="28">
        <v>87531</v>
      </c>
      <c r="B4714" s="26" t="s">
        <v>4983</v>
      </c>
      <c r="C4714" s="28" t="s">
        <v>256</v>
      </c>
      <c r="D4714" s="329">
        <v>21.74</v>
      </c>
    </row>
    <row r="4715" spans="1:4" ht="60">
      <c r="A4715" s="47">
        <v>87532</v>
      </c>
      <c r="B4715" s="48" t="s">
        <v>4975</v>
      </c>
      <c r="C4715" s="47" t="s">
        <v>256</v>
      </c>
      <c r="D4715" s="332">
        <v>24.28</v>
      </c>
    </row>
    <row r="4716" spans="1:4" ht="60">
      <c r="A4716" s="28">
        <v>87535</v>
      </c>
      <c r="B4716" s="26" t="s">
        <v>4981</v>
      </c>
      <c r="C4716" s="28" t="s">
        <v>256</v>
      </c>
      <c r="D4716" s="329">
        <v>19.420000000000002</v>
      </c>
    </row>
    <row r="4717" spans="1:4" ht="60">
      <c r="A4717" s="47">
        <v>87536</v>
      </c>
      <c r="B4717" s="48" t="s">
        <v>4976</v>
      </c>
      <c r="C4717" s="47" t="s">
        <v>256</v>
      </c>
      <c r="D4717" s="332">
        <v>21.96</v>
      </c>
    </row>
    <row r="4718" spans="1:4" ht="60">
      <c r="A4718" s="28">
        <v>87537</v>
      </c>
      <c r="B4718" s="26" t="s">
        <v>4974</v>
      </c>
      <c r="C4718" s="28" t="s">
        <v>256</v>
      </c>
      <c r="D4718" s="329">
        <v>43.36</v>
      </c>
    </row>
    <row r="4719" spans="1:4" ht="60">
      <c r="A4719" s="47">
        <v>87538</v>
      </c>
      <c r="B4719" s="48" t="s">
        <v>7334</v>
      </c>
      <c r="C4719" s="47" t="s">
        <v>256</v>
      </c>
      <c r="D4719" s="332">
        <v>41.34</v>
      </c>
    </row>
    <row r="4720" spans="1:4" ht="60">
      <c r="A4720" s="28">
        <v>87539</v>
      </c>
      <c r="B4720" s="26" t="s">
        <v>4970</v>
      </c>
      <c r="C4720" s="28" t="s">
        <v>256</v>
      </c>
      <c r="D4720" s="329">
        <v>40.619999999999997</v>
      </c>
    </row>
    <row r="4721" spans="1:4" ht="60">
      <c r="A4721" s="47">
        <v>87541</v>
      </c>
      <c r="B4721" s="48" t="s">
        <v>4972</v>
      </c>
      <c r="C4721" s="47" t="s">
        <v>256</v>
      </c>
      <c r="D4721" s="332">
        <v>38.61</v>
      </c>
    </row>
    <row r="4722" spans="1:4" ht="60">
      <c r="A4722" s="28">
        <v>87543</v>
      </c>
      <c r="B4722" s="26" t="s">
        <v>7332</v>
      </c>
      <c r="C4722" s="28" t="s">
        <v>256</v>
      </c>
      <c r="D4722" s="329">
        <v>13.72</v>
      </c>
    </row>
    <row r="4723" spans="1:4" ht="60">
      <c r="A4723" s="47">
        <v>87545</v>
      </c>
      <c r="B4723" s="48" t="s">
        <v>4985</v>
      </c>
      <c r="C4723" s="47" t="s">
        <v>256</v>
      </c>
      <c r="D4723" s="332">
        <v>16.86</v>
      </c>
    </row>
    <row r="4724" spans="1:4" ht="60">
      <c r="A4724" s="28">
        <v>87546</v>
      </c>
      <c r="B4724" s="26" t="s">
        <v>4979</v>
      </c>
      <c r="C4724" s="28" t="s">
        <v>256</v>
      </c>
      <c r="D4724" s="329">
        <v>18.3</v>
      </c>
    </row>
    <row r="4725" spans="1:4" ht="45">
      <c r="A4725" s="47">
        <v>87547</v>
      </c>
      <c r="B4725" s="48" t="s">
        <v>7339</v>
      </c>
      <c r="C4725" s="47" t="s">
        <v>256</v>
      </c>
      <c r="D4725" s="332">
        <v>14.55</v>
      </c>
    </row>
    <row r="4726" spans="1:4" ht="45">
      <c r="A4726" s="28">
        <v>87548</v>
      </c>
      <c r="B4726" s="26" t="s">
        <v>7335</v>
      </c>
      <c r="C4726" s="28" t="s">
        <v>256</v>
      </c>
      <c r="D4726" s="329">
        <v>15.99</v>
      </c>
    </row>
    <row r="4727" spans="1:4" ht="60">
      <c r="A4727" s="47">
        <v>87549</v>
      </c>
      <c r="B4727" s="48" t="s">
        <v>4982</v>
      </c>
      <c r="C4727" s="47" t="s">
        <v>256</v>
      </c>
      <c r="D4727" s="332">
        <v>13.72</v>
      </c>
    </row>
    <row r="4728" spans="1:4" ht="60">
      <c r="A4728" s="28">
        <v>87550</v>
      </c>
      <c r="B4728" s="26" t="s">
        <v>4977</v>
      </c>
      <c r="C4728" s="28" t="s">
        <v>256</v>
      </c>
      <c r="D4728" s="329">
        <v>15.15</v>
      </c>
    </row>
    <row r="4729" spans="1:4" ht="60">
      <c r="A4729" s="47">
        <v>87553</v>
      </c>
      <c r="B4729" s="48" t="s">
        <v>4984</v>
      </c>
      <c r="C4729" s="47" t="s">
        <v>256</v>
      </c>
      <c r="D4729" s="332">
        <v>11.4</v>
      </c>
    </row>
    <row r="4730" spans="1:4" ht="60">
      <c r="A4730" s="28">
        <v>87554</v>
      </c>
      <c r="B4730" s="26" t="s">
        <v>4978</v>
      </c>
      <c r="C4730" s="28" t="s">
        <v>256</v>
      </c>
      <c r="D4730" s="329">
        <v>12.84</v>
      </c>
    </row>
    <row r="4731" spans="1:4" ht="60">
      <c r="A4731" s="47">
        <v>87555</v>
      </c>
      <c r="B4731" s="48" t="s">
        <v>4973</v>
      </c>
      <c r="C4731" s="47" t="s">
        <v>256</v>
      </c>
      <c r="D4731" s="332">
        <v>26.64</v>
      </c>
    </row>
    <row r="4732" spans="1:4" ht="60">
      <c r="A4732" s="28">
        <v>87556</v>
      </c>
      <c r="B4732" s="26" t="s">
        <v>7333</v>
      </c>
      <c r="C4732" s="28" t="s">
        <v>256</v>
      </c>
      <c r="D4732" s="329">
        <v>24.64</v>
      </c>
    </row>
    <row r="4733" spans="1:4" ht="60">
      <c r="A4733" s="47">
        <v>87557</v>
      </c>
      <c r="B4733" s="48" t="s">
        <v>4969</v>
      </c>
      <c r="C4733" s="47" t="s">
        <v>256</v>
      </c>
      <c r="D4733" s="332">
        <v>23.91</v>
      </c>
    </row>
    <row r="4734" spans="1:4" ht="60">
      <c r="A4734" s="28">
        <v>87559</v>
      </c>
      <c r="B4734" s="26" t="s">
        <v>4971</v>
      </c>
      <c r="C4734" s="28" t="s">
        <v>256</v>
      </c>
      <c r="D4734" s="329">
        <v>21.9</v>
      </c>
    </row>
    <row r="4735" spans="1:4" ht="60">
      <c r="A4735" s="47">
        <v>87561</v>
      </c>
      <c r="B4735" s="48" t="s">
        <v>7331</v>
      </c>
      <c r="C4735" s="47" t="s">
        <v>256</v>
      </c>
      <c r="D4735" s="332">
        <v>24.09</v>
      </c>
    </row>
    <row r="4736" spans="1:4" ht="45">
      <c r="A4736" s="28">
        <v>87775</v>
      </c>
      <c r="B4736" s="26" t="s">
        <v>4959</v>
      </c>
      <c r="C4736" s="28" t="s">
        <v>256</v>
      </c>
      <c r="D4736" s="329">
        <v>34.31</v>
      </c>
    </row>
    <row r="4737" spans="1:4" ht="45">
      <c r="A4737" s="47">
        <v>87777</v>
      </c>
      <c r="B4737" s="48" t="s">
        <v>4945</v>
      </c>
      <c r="C4737" s="47" t="s">
        <v>256</v>
      </c>
      <c r="D4737" s="332">
        <v>36.43</v>
      </c>
    </row>
    <row r="4738" spans="1:4" ht="45">
      <c r="A4738" s="28">
        <v>87778</v>
      </c>
      <c r="B4738" s="26" t="s">
        <v>4931</v>
      </c>
      <c r="C4738" s="28" t="s">
        <v>256</v>
      </c>
      <c r="D4738" s="329">
        <v>48</v>
      </c>
    </row>
    <row r="4739" spans="1:4" ht="45">
      <c r="A4739" s="47">
        <v>87779</v>
      </c>
      <c r="B4739" s="48" t="s">
        <v>4960</v>
      </c>
      <c r="C4739" s="47" t="s">
        <v>256</v>
      </c>
      <c r="D4739" s="332">
        <v>40.200000000000003</v>
      </c>
    </row>
    <row r="4740" spans="1:4" ht="45">
      <c r="A4740" s="28">
        <v>87781</v>
      </c>
      <c r="B4740" s="26" t="s">
        <v>4946</v>
      </c>
      <c r="C4740" s="28" t="s">
        <v>256</v>
      </c>
      <c r="D4740" s="329">
        <v>43.04</v>
      </c>
    </row>
    <row r="4741" spans="1:4" ht="45">
      <c r="A4741" s="47">
        <v>87783</v>
      </c>
      <c r="B4741" s="48" t="s">
        <v>4932</v>
      </c>
      <c r="C4741" s="47" t="s">
        <v>256</v>
      </c>
      <c r="D4741" s="332">
        <v>59.81</v>
      </c>
    </row>
    <row r="4742" spans="1:4" ht="45">
      <c r="A4742" s="28">
        <v>87784</v>
      </c>
      <c r="B4742" s="26" t="s">
        <v>4961</v>
      </c>
      <c r="C4742" s="28" t="s">
        <v>256</v>
      </c>
      <c r="D4742" s="329">
        <v>46.08</v>
      </c>
    </row>
    <row r="4743" spans="1:4" ht="45">
      <c r="A4743" s="47">
        <v>87786</v>
      </c>
      <c r="B4743" s="48" t="s">
        <v>4947</v>
      </c>
      <c r="C4743" s="47" t="s">
        <v>256</v>
      </c>
      <c r="D4743" s="332">
        <v>49.64</v>
      </c>
    </row>
    <row r="4744" spans="1:4" ht="45">
      <c r="A4744" s="28">
        <v>87787</v>
      </c>
      <c r="B4744" s="26" t="s">
        <v>4933</v>
      </c>
      <c r="C4744" s="28" t="s">
        <v>256</v>
      </c>
      <c r="D4744" s="329">
        <v>71.63</v>
      </c>
    </row>
    <row r="4745" spans="1:4" ht="45">
      <c r="A4745" s="47">
        <v>87788</v>
      </c>
      <c r="B4745" s="48" t="s">
        <v>4962</v>
      </c>
      <c r="C4745" s="47" t="s">
        <v>256</v>
      </c>
      <c r="D4745" s="332">
        <v>58.99</v>
      </c>
    </row>
    <row r="4746" spans="1:4" ht="45">
      <c r="A4746" s="28">
        <v>87790</v>
      </c>
      <c r="B4746" s="26" t="s">
        <v>4948</v>
      </c>
      <c r="C4746" s="28" t="s">
        <v>256</v>
      </c>
      <c r="D4746" s="329">
        <v>62.91</v>
      </c>
    </row>
    <row r="4747" spans="1:4" ht="60">
      <c r="A4747" s="47">
        <v>87791</v>
      </c>
      <c r="B4747" s="48" t="s">
        <v>4934</v>
      </c>
      <c r="C4747" s="47" t="s">
        <v>256</v>
      </c>
      <c r="D4747" s="332">
        <v>84.9</v>
      </c>
    </row>
    <row r="4748" spans="1:4" ht="45">
      <c r="A4748" s="28">
        <v>87792</v>
      </c>
      <c r="B4748" s="26" t="s">
        <v>4955</v>
      </c>
      <c r="C4748" s="28" t="s">
        <v>256</v>
      </c>
      <c r="D4748" s="329">
        <v>22.97</v>
      </c>
    </row>
    <row r="4749" spans="1:4" ht="45">
      <c r="A4749" s="47">
        <v>87794</v>
      </c>
      <c r="B4749" s="48" t="s">
        <v>4941</v>
      </c>
      <c r="C4749" s="47" t="s">
        <v>256</v>
      </c>
      <c r="D4749" s="332">
        <v>24.95</v>
      </c>
    </row>
    <row r="4750" spans="1:4" ht="45">
      <c r="A4750" s="28">
        <v>87795</v>
      </c>
      <c r="B4750" s="26" t="s">
        <v>4927</v>
      </c>
      <c r="C4750" s="28" t="s">
        <v>256</v>
      </c>
      <c r="D4750" s="329">
        <v>35.5</v>
      </c>
    </row>
    <row r="4751" spans="1:4" ht="45">
      <c r="A4751" s="47">
        <v>87797</v>
      </c>
      <c r="B4751" s="48" t="s">
        <v>4956</v>
      </c>
      <c r="C4751" s="47" t="s">
        <v>256</v>
      </c>
      <c r="D4751" s="332">
        <v>28.62</v>
      </c>
    </row>
    <row r="4752" spans="1:4" ht="45">
      <c r="A4752" s="28">
        <v>87799</v>
      </c>
      <c r="B4752" s="26" t="s">
        <v>4942</v>
      </c>
      <c r="C4752" s="28" t="s">
        <v>256</v>
      </c>
      <c r="D4752" s="329">
        <v>31.28</v>
      </c>
    </row>
    <row r="4753" spans="1:4" ht="45">
      <c r="A4753" s="47">
        <v>87800</v>
      </c>
      <c r="B4753" s="48" t="s">
        <v>4928</v>
      </c>
      <c r="C4753" s="47" t="s">
        <v>256</v>
      </c>
      <c r="D4753" s="332">
        <v>46.69</v>
      </c>
    </row>
    <row r="4754" spans="1:4" ht="45">
      <c r="A4754" s="28">
        <v>87801</v>
      </c>
      <c r="B4754" s="26" t="s">
        <v>4957</v>
      </c>
      <c r="C4754" s="28" t="s">
        <v>256</v>
      </c>
      <c r="D4754" s="329">
        <v>34.270000000000003</v>
      </c>
    </row>
    <row r="4755" spans="1:4" ht="45">
      <c r="A4755" s="47">
        <v>87803</v>
      </c>
      <c r="B4755" s="48" t="s">
        <v>4943</v>
      </c>
      <c r="C4755" s="47" t="s">
        <v>256</v>
      </c>
      <c r="D4755" s="332">
        <v>37.6</v>
      </c>
    </row>
    <row r="4756" spans="1:4" ht="45">
      <c r="A4756" s="28">
        <v>87804</v>
      </c>
      <c r="B4756" s="26" t="s">
        <v>4929</v>
      </c>
      <c r="C4756" s="28" t="s">
        <v>256</v>
      </c>
      <c r="D4756" s="329">
        <v>57.88</v>
      </c>
    </row>
    <row r="4757" spans="1:4" ht="45">
      <c r="A4757" s="47">
        <v>87805</v>
      </c>
      <c r="B4757" s="48" t="s">
        <v>4958</v>
      </c>
      <c r="C4757" s="47" t="s">
        <v>256</v>
      </c>
      <c r="D4757" s="332">
        <v>39.380000000000003</v>
      </c>
    </row>
    <row r="4758" spans="1:4" ht="45">
      <c r="A4758" s="28">
        <v>87807</v>
      </c>
      <c r="B4758" s="26" t="s">
        <v>4944</v>
      </c>
      <c r="C4758" s="28" t="s">
        <v>256</v>
      </c>
      <c r="D4758" s="329">
        <v>43.04</v>
      </c>
    </row>
    <row r="4759" spans="1:4" ht="60">
      <c r="A4759" s="47">
        <v>87808</v>
      </c>
      <c r="B4759" s="48" t="s">
        <v>4930</v>
      </c>
      <c r="C4759" s="47" t="s">
        <v>256</v>
      </c>
      <c r="D4759" s="332">
        <v>63.19</v>
      </c>
    </row>
    <row r="4760" spans="1:4" ht="60">
      <c r="A4760" s="28">
        <v>87809</v>
      </c>
      <c r="B4760" s="26" t="s">
        <v>4963</v>
      </c>
      <c r="C4760" s="28" t="s">
        <v>256</v>
      </c>
      <c r="D4760" s="329">
        <v>54.06</v>
      </c>
    </row>
    <row r="4761" spans="1:4" ht="45">
      <c r="A4761" s="47">
        <v>87811</v>
      </c>
      <c r="B4761" s="48" t="s">
        <v>4949</v>
      </c>
      <c r="C4761" s="47" t="s">
        <v>256</v>
      </c>
      <c r="D4761" s="332">
        <v>56.04</v>
      </c>
    </row>
    <row r="4762" spans="1:4" ht="45">
      <c r="A4762" s="28">
        <v>87812</v>
      </c>
      <c r="B4762" s="26" t="s">
        <v>4936</v>
      </c>
      <c r="C4762" s="28" t="s">
        <v>256</v>
      </c>
      <c r="D4762" s="329">
        <v>66.3</v>
      </c>
    </row>
    <row r="4763" spans="1:4" ht="60">
      <c r="A4763" s="47">
        <v>87813</v>
      </c>
      <c r="B4763" s="48" t="s">
        <v>4964</v>
      </c>
      <c r="C4763" s="47" t="s">
        <v>256</v>
      </c>
      <c r="D4763" s="332">
        <v>59.71</v>
      </c>
    </row>
    <row r="4764" spans="1:4" ht="45">
      <c r="A4764" s="28">
        <v>87815</v>
      </c>
      <c r="B4764" s="26" t="s">
        <v>4950</v>
      </c>
      <c r="C4764" s="28" t="s">
        <v>256</v>
      </c>
      <c r="D4764" s="329">
        <v>62.36</v>
      </c>
    </row>
    <row r="4765" spans="1:4" ht="45">
      <c r="A4765" s="47">
        <v>87816</v>
      </c>
      <c r="B4765" s="48" t="s">
        <v>4937</v>
      </c>
      <c r="C4765" s="47" t="s">
        <v>256</v>
      </c>
      <c r="D4765" s="332">
        <v>77.489999999999995</v>
      </c>
    </row>
    <row r="4766" spans="1:4" ht="60">
      <c r="A4766" s="28">
        <v>87817</v>
      </c>
      <c r="B4766" s="26" t="s">
        <v>4965</v>
      </c>
      <c r="C4766" s="28" t="s">
        <v>256</v>
      </c>
      <c r="D4766" s="329">
        <v>65.08</v>
      </c>
    </row>
    <row r="4767" spans="1:4" ht="45">
      <c r="A4767" s="47">
        <v>87819</v>
      </c>
      <c r="B4767" s="48" t="s">
        <v>4951</v>
      </c>
      <c r="C4767" s="47" t="s">
        <v>256</v>
      </c>
      <c r="D4767" s="332">
        <v>68.400000000000006</v>
      </c>
    </row>
    <row r="4768" spans="1:4" ht="45">
      <c r="A4768" s="28">
        <v>87820</v>
      </c>
      <c r="B4768" s="26" t="s">
        <v>4938</v>
      </c>
      <c r="C4768" s="28" t="s">
        <v>256</v>
      </c>
      <c r="D4768" s="329">
        <v>88.68</v>
      </c>
    </row>
    <row r="4769" spans="1:4" ht="60">
      <c r="A4769" s="47">
        <v>87821</v>
      </c>
      <c r="B4769" s="48" t="s">
        <v>4966</v>
      </c>
      <c r="C4769" s="47" t="s">
        <v>256</v>
      </c>
      <c r="D4769" s="332">
        <v>93.28</v>
      </c>
    </row>
    <row r="4770" spans="1:4" ht="45">
      <c r="A4770" s="28">
        <v>87823</v>
      </c>
      <c r="B4770" s="26" t="s">
        <v>4952</v>
      </c>
      <c r="C4770" s="28" t="s">
        <v>256</v>
      </c>
      <c r="D4770" s="329">
        <v>96.94</v>
      </c>
    </row>
    <row r="4771" spans="1:4" ht="60">
      <c r="A4771" s="47">
        <v>87824</v>
      </c>
      <c r="B4771" s="48" t="s">
        <v>4939</v>
      </c>
      <c r="C4771" s="47" t="s">
        <v>256</v>
      </c>
      <c r="D4771" s="332">
        <v>116.81</v>
      </c>
    </row>
    <row r="4772" spans="1:4" ht="60">
      <c r="A4772" s="28">
        <v>87825</v>
      </c>
      <c r="B4772" s="26" t="s">
        <v>4967</v>
      </c>
      <c r="C4772" s="28" t="s">
        <v>256</v>
      </c>
      <c r="D4772" s="329">
        <v>43.17</v>
      </c>
    </row>
    <row r="4773" spans="1:4" ht="45">
      <c r="A4773" s="47">
        <v>87827</v>
      </c>
      <c r="B4773" s="48" t="s">
        <v>4953</v>
      </c>
      <c r="C4773" s="47" t="s">
        <v>256</v>
      </c>
      <c r="D4773" s="332">
        <v>45.59</v>
      </c>
    </row>
    <row r="4774" spans="1:4" ht="45">
      <c r="A4774" s="28">
        <v>87828</v>
      </c>
      <c r="B4774" s="26" t="s">
        <v>4940</v>
      </c>
      <c r="C4774" s="28" t="s">
        <v>256</v>
      </c>
      <c r="D4774" s="329">
        <v>59.35</v>
      </c>
    </row>
    <row r="4775" spans="1:4" ht="60">
      <c r="A4775" s="47">
        <v>87829</v>
      </c>
      <c r="B4775" s="48" t="s">
        <v>4968</v>
      </c>
      <c r="C4775" s="47" t="s">
        <v>256</v>
      </c>
      <c r="D4775" s="332">
        <v>49.56</v>
      </c>
    </row>
    <row r="4776" spans="1:4" ht="45">
      <c r="A4776" s="28">
        <v>87831</v>
      </c>
      <c r="B4776" s="26" t="s">
        <v>4954</v>
      </c>
      <c r="C4776" s="28" t="s">
        <v>256</v>
      </c>
      <c r="D4776" s="329">
        <v>52.8</v>
      </c>
    </row>
    <row r="4777" spans="1:4" ht="60">
      <c r="A4777" s="47">
        <v>87832</v>
      </c>
      <c r="B4777" s="48" t="s">
        <v>4935</v>
      </c>
      <c r="C4777" s="47" t="s">
        <v>256</v>
      </c>
      <c r="D4777" s="332">
        <v>72.5</v>
      </c>
    </row>
    <row r="4778" spans="1:4" ht="45">
      <c r="A4778" s="28">
        <v>87834</v>
      </c>
      <c r="B4778" s="26" t="s">
        <v>8837</v>
      </c>
      <c r="C4778" s="28" t="s">
        <v>256</v>
      </c>
      <c r="D4778" s="329">
        <v>116.88</v>
      </c>
    </row>
    <row r="4779" spans="1:4" ht="45">
      <c r="A4779" s="47">
        <v>87835</v>
      </c>
      <c r="B4779" s="48" t="s">
        <v>8835</v>
      </c>
      <c r="C4779" s="47" t="s">
        <v>256</v>
      </c>
      <c r="D4779" s="332">
        <v>78.069999999999993</v>
      </c>
    </row>
    <row r="4780" spans="1:4" ht="45">
      <c r="A4780" s="28">
        <v>87836</v>
      </c>
      <c r="B4780" s="26" t="s">
        <v>8825</v>
      </c>
      <c r="C4780" s="28" t="s">
        <v>256</v>
      </c>
      <c r="D4780" s="329">
        <v>111.87</v>
      </c>
    </row>
    <row r="4781" spans="1:4" ht="45">
      <c r="A4781" s="47">
        <v>87837</v>
      </c>
      <c r="B4781" s="48" t="s">
        <v>8823</v>
      </c>
      <c r="C4781" s="47" t="s">
        <v>256</v>
      </c>
      <c r="D4781" s="332">
        <v>73.67</v>
      </c>
    </row>
    <row r="4782" spans="1:4" ht="45">
      <c r="A4782" s="28">
        <v>87838</v>
      </c>
      <c r="B4782" s="26" t="s">
        <v>8841</v>
      </c>
      <c r="C4782" s="28" t="s">
        <v>256</v>
      </c>
      <c r="D4782" s="329">
        <v>123.53</v>
      </c>
    </row>
    <row r="4783" spans="1:4" ht="45">
      <c r="A4783" s="47">
        <v>87839</v>
      </c>
      <c r="B4783" s="48" t="s">
        <v>8839</v>
      </c>
      <c r="C4783" s="47" t="s">
        <v>256</v>
      </c>
      <c r="D4783" s="332">
        <v>81.99</v>
      </c>
    </row>
    <row r="4784" spans="1:4" ht="45">
      <c r="A4784" s="28">
        <v>87840</v>
      </c>
      <c r="B4784" s="26" t="s">
        <v>8829</v>
      </c>
      <c r="C4784" s="28" t="s">
        <v>256</v>
      </c>
      <c r="D4784" s="329">
        <v>117.45</v>
      </c>
    </row>
    <row r="4785" spans="1:4" ht="45">
      <c r="A4785" s="47">
        <v>87841</v>
      </c>
      <c r="B4785" s="48" t="s">
        <v>8827</v>
      </c>
      <c r="C4785" s="47" t="s">
        <v>256</v>
      </c>
      <c r="D4785" s="332">
        <v>76.510000000000005</v>
      </c>
    </row>
    <row r="4786" spans="1:4" ht="45">
      <c r="A4786" s="28">
        <v>87842</v>
      </c>
      <c r="B4786" s="26" t="s">
        <v>8845</v>
      </c>
      <c r="C4786" s="28" t="s">
        <v>256</v>
      </c>
      <c r="D4786" s="329">
        <v>116.04</v>
      </c>
    </row>
    <row r="4787" spans="1:4" ht="45">
      <c r="A4787" s="47">
        <v>87843</v>
      </c>
      <c r="B4787" s="48" t="s">
        <v>8843</v>
      </c>
      <c r="C4787" s="47" t="s">
        <v>256</v>
      </c>
      <c r="D4787" s="332">
        <v>86.01</v>
      </c>
    </row>
    <row r="4788" spans="1:4" ht="45">
      <c r="A4788" s="28">
        <v>87844</v>
      </c>
      <c r="B4788" s="26" t="s">
        <v>8833</v>
      </c>
      <c r="C4788" s="28" t="s">
        <v>256</v>
      </c>
      <c r="D4788" s="329">
        <v>107.12</v>
      </c>
    </row>
    <row r="4789" spans="1:4" ht="45">
      <c r="A4789" s="47">
        <v>87845</v>
      </c>
      <c r="B4789" s="48" t="s">
        <v>8831</v>
      </c>
      <c r="C4789" s="47" t="s">
        <v>256</v>
      </c>
      <c r="D4789" s="332">
        <v>77.72</v>
      </c>
    </row>
    <row r="4790" spans="1:4" ht="45">
      <c r="A4790" s="28">
        <v>87846</v>
      </c>
      <c r="B4790" s="26" t="s">
        <v>8838</v>
      </c>
      <c r="C4790" s="28" t="s">
        <v>256</v>
      </c>
      <c r="D4790" s="329">
        <v>126.27</v>
      </c>
    </row>
    <row r="4791" spans="1:4" ht="45">
      <c r="A4791" s="47">
        <v>87847</v>
      </c>
      <c r="B4791" s="48" t="s">
        <v>8836</v>
      </c>
      <c r="C4791" s="47" t="s">
        <v>256</v>
      </c>
      <c r="D4791" s="332">
        <v>87.46</v>
      </c>
    </row>
    <row r="4792" spans="1:4" ht="45">
      <c r="A4792" s="28">
        <v>87848</v>
      </c>
      <c r="B4792" s="26" t="s">
        <v>8826</v>
      </c>
      <c r="C4792" s="28" t="s">
        <v>256</v>
      </c>
      <c r="D4792" s="329">
        <v>120.46</v>
      </c>
    </row>
    <row r="4793" spans="1:4" ht="45">
      <c r="A4793" s="47">
        <v>87849</v>
      </c>
      <c r="B4793" s="48" t="s">
        <v>8824</v>
      </c>
      <c r="C4793" s="47" t="s">
        <v>256</v>
      </c>
      <c r="D4793" s="332">
        <v>82.26</v>
      </c>
    </row>
    <row r="4794" spans="1:4" ht="45">
      <c r="A4794" s="28">
        <v>87850</v>
      </c>
      <c r="B4794" s="26" t="s">
        <v>8842</v>
      </c>
      <c r="C4794" s="28" t="s">
        <v>256</v>
      </c>
      <c r="D4794" s="329">
        <v>132.94</v>
      </c>
    </row>
    <row r="4795" spans="1:4" ht="45">
      <c r="A4795" s="47">
        <v>87851</v>
      </c>
      <c r="B4795" s="48" t="s">
        <v>8840</v>
      </c>
      <c r="C4795" s="47" t="s">
        <v>256</v>
      </c>
      <c r="D4795" s="332">
        <v>91.4</v>
      </c>
    </row>
    <row r="4796" spans="1:4" ht="45">
      <c r="A4796" s="28">
        <v>87852</v>
      </c>
      <c r="B4796" s="26" t="s">
        <v>8830</v>
      </c>
      <c r="C4796" s="28" t="s">
        <v>256</v>
      </c>
      <c r="D4796" s="329">
        <v>126.02</v>
      </c>
    </row>
    <row r="4797" spans="1:4" ht="45">
      <c r="A4797" s="47">
        <v>87853</v>
      </c>
      <c r="B4797" s="48" t="s">
        <v>8828</v>
      </c>
      <c r="C4797" s="47" t="s">
        <v>256</v>
      </c>
      <c r="D4797" s="332">
        <v>85.08</v>
      </c>
    </row>
    <row r="4798" spans="1:4" ht="45">
      <c r="A4798" s="28">
        <v>87854</v>
      </c>
      <c r="B4798" s="26" t="s">
        <v>8846</v>
      </c>
      <c r="C4798" s="28" t="s">
        <v>256</v>
      </c>
      <c r="D4798" s="329">
        <v>125.44</v>
      </c>
    </row>
    <row r="4799" spans="1:4" ht="45">
      <c r="A4799" s="47">
        <v>87855</v>
      </c>
      <c r="B4799" s="48" t="s">
        <v>8844</v>
      </c>
      <c r="C4799" s="47" t="s">
        <v>256</v>
      </c>
      <c r="D4799" s="332">
        <v>95.42</v>
      </c>
    </row>
    <row r="4800" spans="1:4" ht="45">
      <c r="A4800" s="28">
        <v>87856</v>
      </c>
      <c r="B4800" s="26" t="s">
        <v>8834</v>
      </c>
      <c r="C4800" s="28" t="s">
        <v>256</v>
      </c>
      <c r="D4800" s="329">
        <v>115.71</v>
      </c>
    </row>
    <row r="4801" spans="1:4" ht="45">
      <c r="A4801" s="47">
        <v>87857</v>
      </c>
      <c r="B4801" s="48" t="s">
        <v>8832</v>
      </c>
      <c r="C4801" s="47" t="s">
        <v>256</v>
      </c>
      <c r="D4801" s="332">
        <v>86.29</v>
      </c>
    </row>
    <row r="4802" spans="1:4" ht="30">
      <c r="A4802" s="28">
        <v>87858</v>
      </c>
      <c r="B4802" s="26" t="s">
        <v>8847</v>
      </c>
      <c r="C4802" s="28" t="s">
        <v>256</v>
      </c>
      <c r="D4802" s="329">
        <v>83.49</v>
      </c>
    </row>
    <row r="4803" spans="1:4" ht="30">
      <c r="A4803" s="47">
        <v>87859</v>
      </c>
      <c r="B4803" s="48" t="s">
        <v>8848</v>
      </c>
      <c r="C4803" s="47" t="s">
        <v>256</v>
      </c>
      <c r="D4803" s="332">
        <v>96.64</v>
      </c>
    </row>
    <row r="4804" spans="1:4" ht="60">
      <c r="A4804" s="28">
        <v>89048</v>
      </c>
      <c r="B4804" s="26" t="s">
        <v>1370</v>
      </c>
      <c r="C4804" s="28" t="s">
        <v>256</v>
      </c>
      <c r="D4804" s="329">
        <v>23.07</v>
      </c>
    </row>
    <row r="4805" spans="1:4" ht="45">
      <c r="A4805" s="47">
        <v>89049</v>
      </c>
      <c r="B4805" s="48" t="s">
        <v>1363</v>
      </c>
      <c r="C4805" s="47" t="s">
        <v>256</v>
      </c>
      <c r="D4805" s="332">
        <v>12.57</v>
      </c>
    </row>
    <row r="4806" spans="1:4" ht="60">
      <c r="A4806" s="28">
        <v>89173</v>
      </c>
      <c r="B4806" s="26" t="s">
        <v>1369</v>
      </c>
      <c r="C4806" s="28" t="s">
        <v>256</v>
      </c>
      <c r="D4806" s="329">
        <v>22.7</v>
      </c>
    </row>
    <row r="4807" spans="1:4" ht="45">
      <c r="A4807" s="47">
        <v>90406</v>
      </c>
      <c r="B4807" s="48" t="s">
        <v>7342</v>
      </c>
      <c r="C4807" s="47" t="s">
        <v>256</v>
      </c>
      <c r="D4807" s="332">
        <v>29.33</v>
      </c>
    </row>
    <row r="4808" spans="1:4" ht="45">
      <c r="A4808" s="28">
        <v>90407</v>
      </c>
      <c r="B4808" s="26" t="s">
        <v>7338</v>
      </c>
      <c r="C4808" s="28" t="s">
        <v>256</v>
      </c>
      <c r="D4808" s="329">
        <v>31.87</v>
      </c>
    </row>
    <row r="4809" spans="1:4" ht="45">
      <c r="A4809" s="47">
        <v>90408</v>
      </c>
      <c r="B4809" s="48" t="s">
        <v>7341</v>
      </c>
      <c r="C4809" s="47" t="s">
        <v>256</v>
      </c>
      <c r="D4809" s="332">
        <v>21.11</v>
      </c>
    </row>
    <row r="4810" spans="1:4" ht="45">
      <c r="A4810" s="28">
        <v>90409</v>
      </c>
      <c r="B4810" s="26" t="s">
        <v>7337</v>
      </c>
      <c r="C4810" s="28" t="s">
        <v>256</v>
      </c>
      <c r="D4810" s="329">
        <v>22.55</v>
      </c>
    </row>
    <row r="4811" spans="1:4">
      <c r="A4811" s="47">
        <v>5998</v>
      </c>
      <c r="B4811" s="48" t="s">
        <v>932</v>
      </c>
      <c r="C4811" s="47" t="s">
        <v>256</v>
      </c>
      <c r="D4811" s="332">
        <v>0.66</v>
      </c>
    </row>
    <row r="4812" spans="1:4" ht="30">
      <c r="A4812" s="28" t="s">
        <v>933</v>
      </c>
      <c r="B4812" s="26" t="s">
        <v>6161</v>
      </c>
      <c r="C4812" s="28" t="s">
        <v>256</v>
      </c>
      <c r="D4812" s="329">
        <v>57.43</v>
      </c>
    </row>
    <row r="4813" spans="1:4">
      <c r="A4813" s="47">
        <v>84084</v>
      </c>
      <c r="B4813" s="48" t="s">
        <v>1895</v>
      </c>
      <c r="C4813" s="47" t="s">
        <v>256</v>
      </c>
      <c r="D4813" s="332">
        <v>4.67</v>
      </c>
    </row>
    <row r="4814" spans="1:4" ht="45">
      <c r="A4814" s="28">
        <v>87242</v>
      </c>
      <c r="B4814" s="26" t="s">
        <v>8782</v>
      </c>
      <c r="C4814" s="28" t="s">
        <v>256</v>
      </c>
      <c r="D4814" s="329">
        <v>154.13999999999999</v>
      </c>
    </row>
    <row r="4815" spans="1:4" ht="45">
      <c r="A4815" s="47">
        <v>87243</v>
      </c>
      <c r="B4815" s="48" t="s">
        <v>8783</v>
      </c>
      <c r="C4815" s="47" t="s">
        <v>256</v>
      </c>
      <c r="D4815" s="332">
        <v>141.84</v>
      </c>
    </row>
    <row r="4816" spans="1:4" ht="45">
      <c r="A4816" s="28">
        <v>87244</v>
      </c>
      <c r="B4816" s="26" t="s">
        <v>8784</v>
      </c>
      <c r="C4816" s="28" t="s">
        <v>256</v>
      </c>
      <c r="D4816" s="329">
        <v>149.4</v>
      </c>
    </row>
    <row r="4817" spans="1:4" ht="45">
      <c r="A4817" s="47">
        <v>87245</v>
      </c>
      <c r="B4817" s="48" t="s">
        <v>8785</v>
      </c>
      <c r="C4817" s="47" t="s">
        <v>256</v>
      </c>
      <c r="D4817" s="332">
        <v>178.92</v>
      </c>
    </row>
    <row r="4818" spans="1:4" ht="45">
      <c r="A4818" s="28">
        <v>87264</v>
      </c>
      <c r="B4818" s="26" t="s">
        <v>8789</v>
      </c>
      <c r="C4818" s="28" t="s">
        <v>256</v>
      </c>
      <c r="D4818" s="329">
        <v>42.21</v>
      </c>
    </row>
    <row r="4819" spans="1:4" ht="45">
      <c r="A4819" s="47">
        <v>87265</v>
      </c>
      <c r="B4819" s="48" t="s">
        <v>8787</v>
      </c>
      <c r="C4819" s="47" t="s">
        <v>256</v>
      </c>
      <c r="D4819" s="332">
        <v>37.36</v>
      </c>
    </row>
    <row r="4820" spans="1:4" ht="45">
      <c r="A4820" s="28">
        <v>87266</v>
      </c>
      <c r="B4820" s="26" t="s">
        <v>8788</v>
      </c>
      <c r="C4820" s="28" t="s">
        <v>256</v>
      </c>
      <c r="D4820" s="329">
        <v>43.92</v>
      </c>
    </row>
    <row r="4821" spans="1:4" ht="45">
      <c r="A4821" s="47">
        <v>87267</v>
      </c>
      <c r="B4821" s="48" t="s">
        <v>8786</v>
      </c>
      <c r="C4821" s="47" t="s">
        <v>256</v>
      </c>
      <c r="D4821" s="332">
        <v>41.78</v>
      </c>
    </row>
    <row r="4822" spans="1:4" ht="45">
      <c r="A4822" s="28">
        <v>87268</v>
      </c>
      <c r="B4822" s="26" t="s">
        <v>8793</v>
      </c>
      <c r="C4822" s="28" t="s">
        <v>256</v>
      </c>
      <c r="D4822" s="329">
        <v>45.12</v>
      </c>
    </row>
    <row r="4823" spans="1:4" ht="45">
      <c r="A4823" s="47">
        <v>87269</v>
      </c>
      <c r="B4823" s="48" t="s">
        <v>8791</v>
      </c>
      <c r="C4823" s="47" t="s">
        <v>256</v>
      </c>
      <c r="D4823" s="332">
        <v>39.840000000000003</v>
      </c>
    </row>
    <row r="4824" spans="1:4" ht="45">
      <c r="A4824" s="28">
        <v>87270</v>
      </c>
      <c r="B4824" s="26" t="s">
        <v>8792</v>
      </c>
      <c r="C4824" s="28" t="s">
        <v>256</v>
      </c>
      <c r="D4824" s="329">
        <v>46.56</v>
      </c>
    </row>
    <row r="4825" spans="1:4" ht="45">
      <c r="A4825" s="47">
        <v>87271</v>
      </c>
      <c r="B4825" s="48" t="s">
        <v>8790</v>
      </c>
      <c r="C4825" s="47" t="s">
        <v>256</v>
      </c>
      <c r="D4825" s="332">
        <v>44.05</v>
      </c>
    </row>
    <row r="4826" spans="1:4" ht="45">
      <c r="A4826" s="28">
        <v>87272</v>
      </c>
      <c r="B4826" s="26" t="s">
        <v>8797</v>
      </c>
      <c r="C4826" s="28" t="s">
        <v>256</v>
      </c>
      <c r="D4826" s="329">
        <v>47.92</v>
      </c>
    </row>
    <row r="4827" spans="1:4" ht="45">
      <c r="A4827" s="47">
        <v>87273</v>
      </c>
      <c r="B4827" s="48" t="s">
        <v>8795</v>
      </c>
      <c r="C4827" s="47" t="s">
        <v>256</v>
      </c>
      <c r="D4827" s="332">
        <v>41.47</v>
      </c>
    </row>
    <row r="4828" spans="1:4" ht="45">
      <c r="A4828" s="28">
        <v>87274</v>
      </c>
      <c r="B4828" s="26" t="s">
        <v>8796</v>
      </c>
      <c r="C4828" s="28" t="s">
        <v>256</v>
      </c>
      <c r="D4828" s="329">
        <v>48.94</v>
      </c>
    </row>
    <row r="4829" spans="1:4" ht="45">
      <c r="A4829" s="47">
        <v>87275</v>
      </c>
      <c r="B4829" s="48" t="s">
        <v>8794</v>
      </c>
      <c r="C4829" s="47" t="s">
        <v>256</v>
      </c>
      <c r="D4829" s="332">
        <v>46.76</v>
      </c>
    </row>
    <row r="4830" spans="1:4" ht="45">
      <c r="A4830" s="28">
        <v>88786</v>
      </c>
      <c r="B4830" s="26" t="s">
        <v>8778</v>
      </c>
      <c r="C4830" s="28" t="s">
        <v>256</v>
      </c>
      <c r="D4830" s="329">
        <v>171.9</v>
      </c>
    </row>
    <row r="4831" spans="1:4" ht="45">
      <c r="A4831" s="47">
        <v>88787</v>
      </c>
      <c r="B4831" s="48" t="s">
        <v>8779</v>
      </c>
      <c r="C4831" s="47" t="s">
        <v>256</v>
      </c>
      <c r="D4831" s="332">
        <v>158.82</v>
      </c>
    </row>
    <row r="4832" spans="1:4" ht="45">
      <c r="A4832" s="28">
        <v>88788</v>
      </c>
      <c r="B4832" s="26" t="s">
        <v>8780</v>
      </c>
      <c r="C4832" s="28" t="s">
        <v>256</v>
      </c>
      <c r="D4832" s="329">
        <v>166.38</v>
      </c>
    </row>
    <row r="4833" spans="1:4" ht="45">
      <c r="A4833" s="47">
        <v>88789</v>
      </c>
      <c r="B4833" s="48" t="s">
        <v>8781</v>
      </c>
      <c r="C4833" s="47" t="s">
        <v>256</v>
      </c>
      <c r="D4833" s="332">
        <v>198.59</v>
      </c>
    </row>
    <row r="4834" spans="1:4" ht="60">
      <c r="A4834" s="28">
        <v>89045</v>
      </c>
      <c r="B4834" s="26" t="s">
        <v>1371</v>
      </c>
      <c r="C4834" s="28" t="s">
        <v>256</v>
      </c>
      <c r="D4834" s="329">
        <v>42.1</v>
      </c>
    </row>
    <row r="4835" spans="1:4" ht="60">
      <c r="A4835" s="47">
        <v>89170</v>
      </c>
      <c r="B4835" s="48" t="s">
        <v>1372</v>
      </c>
      <c r="C4835" s="47" t="s">
        <v>256</v>
      </c>
      <c r="D4835" s="332">
        <v>40.880000000000003</v>
      </c>
    </row>
    <row r="4836" spans="1:4" ht="45">
      <c r="A4836" s="28">
        <v>93392</v>
      </c>
      <c r="B4836" s="26" t="s">
        <v>8801</v>
      </c>
      <c r="C4836" s="28" t="s">
        <v>256</v>
      </c>
      <c r="D4836" s="329">
        <v>32.840000000000003</v>
      </c>
    </row>
    <row r="4837" spans="1:4" ht="45">
      <c r="A4837" s="47">
        <v>93393</v>
      </c>
      <c r="B4837" s="48" t="s">
        <v>8799</v>
      </c>
      <c r="C4837" s="47" t="s">
        <v>256</v>
      </c>
      <c r="D4837" s="332">
        <v>28.08</v>
      </c>
    </row>
    <row r="4838" spans="1:4" ht="45">
      <c r="A4838" s="28">
        <v>93394</v>
      </c>
      <c r="B4838" s="26" t="s">
        <v>8800</v>
      </c>
      <c r="C4838" s="28" t="s">
        <v>256</v>
      </c>
      <c r="D4838" s="329">
        <v>34.549999999999997</v>
      </c>
    </row>
    <row r="4839" spans="1:4" ht="45">
      <c r="A4839" s="47">
        <v>93395</v>
      </c>
      <c r="B4839" s="48" t="s">
        <v>8798</v>
      </c>
      <c r="C4839" s="47" t="s">
        <v>256</v>
      </c>
      <c r="D4839" s="332">
        <v>32.409999999999997</v>
      </c>
    </row>
    <row r="4840" spans="1:4" ht="30">
      <c r="A4840" s="28">
        <v>84088</v>
      </c>
      <c r="B4840" s="26" t="s">
        <v>7894</v>
      </c>
      <c r="C4840" s="28" t="s">
        <v>71</v>
      </c>
      <c r="D4840" s="329">
        <v>55.26</v>
      </c>
    </row>
    <row r="4841" spans="1:4" ht="30">
      <c r="A4841" s="47">
        <v>84089</v>
      </c>
      <c r="B4841" s="48" t="s">
        <v>7895</v>
      </c>
      <c r="C4841" s="47" t="s">
        <v>71</v>
      </c>
      <c r="D4841" s="332">
        <v>78.39</v>
      </c>
    </row>
    <row r="4842" spans="1:4">
      <c r="A4842" s="28">
        <v>40675</v>
      </c>
      <c r="B4842" s="26" t="s">
        <v>934</v>
      </c>
      <c r="C4842" s="28" t="s">
        <v>71</v>
      </c>
      <c r="D4842" s="329">
        <v>3.39</v>
      </c>
    </row>
    <row r="4843" spans="1:4" ht="30">
      <c r="A4843" s="47">
        <v>9536</v>
      </c>
      <c r="B4843" s="48" t="s">
        <v>5671</v>
      </c>
      <c r="C4843" s="47" t="s">
        <v>256</v>
      </c>
      <c r="D4843" s="332">
        <v>136.68</v>
      </c>
    </row>
    <row r="4844" spans="1:4" ht="30">
      <c r="A4844" s="28" t="s">
        <v>935</v>
      </c>
      <c r="B4844" s="26" t="s">
        <v>5673</v>
      </c>
      <c r="C4844" s="28" t="s">
        <v>256</v>
      </c>
      <c r="D4844" s="329">
        <v>85.35</v>
      </c>
    </row>
    <row r="4845" spans="1:4" ht="30">
      <c r="A4845" s="47">
        <v>84090</v>
      </c>
      <c r="B4845" s="48" t="s">
        <v>5669</v>
      </c>
      <c r="C4845" s="47" t="s">
        <v>256</v>
      </c>
      <c r="D4845" s="332">
        <v>105.5</v>
      </c>
    </row>
    <row r="4846" spans="1:4">
      <c r="A4846" s="28">
        <v>84091</v>
      </c>
      <c r="B4846" s="26" t="s">
        <v>2468</v>
      </c>
      <c r="C4846" s="28" t="s">
        <v>256</v>
      </c>
      <c r="D4846" s="329">
        <v>36.57</v>
      </c>
    </row>
    <row r="4847" spans="1:4">
      <c r="A4847" s="47">
        <v>84093</v>
      </c>
      <c r="B4847" s="48" t="s">
        <v>9101</v>
      </c>
      <c r="C4847" s="47" t="s">
        <v>71</v>
      </c>
      <c r="D4847" s="332">
        <v>19.55</v>
      </c>
    </row>
    <row r="4848" spans="1:4">
      <c r="A4848" s="28">
        <v>84094</v>
      </c>
      <c r="B4848" s="26" t="s">
        <v>936</v>
      </c>
      <c r="C4848" s="28" t="s">
        <v>71</v>
      </c>
      <c r="D4848" s="329">
        <v>8.4600000000000009</v>
      </c>
    </row>
    <row r="4849" spans="1:4">
      <c r="A4849" s="47">
        <v>84095</v>
      </c>
      <c r="B4849" s="48" t="s">
        <v>937</v>
      </c>
      <c r="C4849" s="47" t="s">
        <v>71</v>
      </c>
      <c r="D4849" s="332">
        <v>15.3</v>
      </c>
    </row>
    <row r="4850" spans="1:4">
      <c r="A4850" s="28">
        <v>84096</v>
      </c>
      <c r="B4850" s="26" t="s">
        <v>8879</v>
      </c>
      <c r="C4850" s="28" t="s">
        <v>71</v>
      </c>
      <c r="D4850" s="329">
        <v>13.52</v>
      </c>
    </row>
    <row r="4851" spans="1:4">
      <c r="A4851" s="47">
        <v>72197</v>
      </c>
      <c r="B4851" s="48" t="s">
        <v>938</v>
      </c>
      <c r="C4851" s="47" t="s">
        <v>71</v>
      </c>
      <c r="D4851" s="332">
        <v>21.79</v>
      </c>
    </row>
    <row r="4852" spans="1:4" ht="45">
      <c r="A4852" s="28" t="s">
        <v>939</v>
      </c>
      <c r="B4852" s="26" t="s">
        <v>5678</v>
      </c>
      <c r="C4852" s="28" t="s">
        <v>256</v>
      </c>
      <c r="D4852" s="329">
        <v>56.71</v>
      </c>
    </row>
    <row r="4853" spans="1:4">
      <c r="A4853" s="47" t="s">
        <v>940</v>
      </c>
      <c r="B4853" s="48" t="s">
        <v>5667</v>
      </c>
      <c r="C4853" s="47" t="s">
        <v>256</v>
      </c>
      <c r="D4853" s="332">
        <v>24.49</v>
      </c>
    </row>
    <row r="4854" spans="1:4" ht="30">
      <c r="A4854" s="28">
        <v>72200</v>
      </c>
      <c r="B4854" s="26" t="s">
        <v>8852</v>
      </c>
      <c r="C4854" s="28" t="s">
        <v>256</v>
      </c>
      <c r="D4854" s="329">
        <v>71.680000000000007</v>
      </c>
    </row>
    <row r="4855" spans="1:4">
      <c r="A4855" s="47" t="s">
        <v>941</v>
      </c>
      <c r="B4855" s="48" t="s">
        <v>4080</v>
      </c>
      <c r="C4855" s="47" t="s">
        <v>71</v>
      </c>
      <c r="D4855" s="332">
        <v>76.16</v>
      </c>
    </row>
    <row r="4856" spans="1:4" ht="30">
      <c r="A4856" s="28">
        <v>72201</v>
      </c>
      <c r="B4856" s="26" t="s">
        <v>8604</v>
      </c>
      <c r="C4856" s="28" t="s">
        <v>256</v>
      </c>
      <c r="D4856" s="329">
        <v>8.4700000000000006</v>
      </c>
    </row>
    <row r="4857" spans="1:4" ht="45">
      <c r="A4857" s="47">
        <v>72198</v>
      </c>
      <c r="B4857" s="48" t="s">
        <v>6164</v>
      </c>
      <c r="C4857" s="47" t="s">
        <v>256</v>
      </c>
      <c r="D4857" s="332">
        <v>90.24</v>
      </c>
    </row>
    <row r="4858" spans="1:4">
      <c r="A4858" s="28" t="s">
        <v>942</v>
      </c>
      <c r="B4858" s="26" t="s">
        <v>6165</v>
      </c>
      <c r="C4858" s="28" t="s">
        <v>256</v>
      </c>
      <c r="D4858" s="329">
        <v>51.08</v>
      </c>
    </row>
    <row r="4859" spans="1:4" ht="30">
      <c r="A4859" s="47">
        <v>84098</v>
      </c>
      <c r="B4859" s="48" t="s">
        <v>6160</v>
      </c>
      <c r="C4859" s="47" t="s">
        <v>256</v>
      </c>
      <c r="D4859" s="332">
        <v>56.65</v>
      </c>
    </row>
    <row r="4860" spans="1:4" ht="30">
      <c r="A4860" s="28">
        <v>83730</v>
      </c>
      <c r="B4860" s="26" t="s">
        <v>8739</v>
      </c>
      <c r="C4860" s="28" t="s">
        <v>256</v>
      </c>
      <c r="D4860" s="329">
        <v>187.39</v>
      </c>
    </row>
    <row r="4861" spans="1:4" ht="30">
      <c r="A4861" s="47">
        <v>83736</v>
      </c>
      <c r="B4861" s="48" t="s">
        <v>8740</v>
      </c>
      <c r="C4861" s="47" t="s">
        <v>256</v>
      </c>
      <c r="D4861" s="332">
        <v>170.14</v>
      </c>
    </row>
    <row r="4862" spans="1:4" ht="30">
      <c r="A4862" s="28">
        <v>91514</v>
      </c>
      <c r="B4862" s="26" t="s">
        <v>5314</v>
      </c>
      <c r="C4862" s="28" t="s">
        <v>256</v>
      </c>
      <c r="D4862" s="329">
        <v>4.34</v>
      </c>
    </row>
    <row r="4863" spans="1:4" ht="30">
      <c r="A4863" s="47">
        <v>91515</v>
      </c>
      <c r="B4863" s="48" t="s">
        <v>5312</v>
      </c>
      <c r="C4863" s="47" t="s">
        <v>256</v>
      </c>
      <c r="D4863" s="332">
        <v>5.74</v>
      </c>
    </row>
    <row r="4864" spans="1:4" ht="30">
      <c r="A4864" s="28">
        <v>91516</v>
      </c>
      <c r="B4864" s="26" t="s">
        <v>5316</v>
      </c>
      <c r="C4864" s="28" t="s">
        <v>256</v>
      </c>
      <c r="D4864" s="329">
        <v>8.3800000000000008</v>
      </c>
    </row>
    <row r="4865" spans="1:4" ht="30">
      <c r="A4865" s="47">
        <v>91517</v>
      </c>
      <c r="B4865" s="48" t="s">
        <v>5315</v>
      </c>
      <c r="C4865" s="47" t="s">
        <v>256</v>
      </c>
      <c r="D4865" s="332">
        <v>9.33</v>
      </c>
    </row>
    <row r="4866" spans="1:4" ht="30">
      <c r="A4866" s="28">
        <v>91519</v>
      </c>
      <c r="B4866" s="26" t="s">
        <v>5313</v>
      </c>
      <c r="C4866" s="28" t="s">
        <v>256</v>
      </c>
      <c r="D4866" s="329">
        <v>10.71</v>
      </c>
    </row>
    <row r="4867" spans="1:4" ht="30">
      <c r="A4867" s="47">
        <v>91520</v>
      </c>
      <c r="B4867" s="48" t="s">
        <v>5311</v>
      </c>
      <c r="C4867" s="47" t="s">
        <v>256</v>
      </c>
      <c r="D4867" s="332">
        <v>1.58</v>
      </c>
    </row>
    <row r="4868" spans="1:4" ht="30">
      <c r="A4868" s="28">
        <v>91522</v>
      </c>
      <c r="B4868" s="26" t="s">
        <v>943</v>
      </c>
      <c r="C4868" s="28" t="s">
        <v>256</v>
      </c>
      <c r="D4868" s="329">
        <v>1.89</v>
      </c>
    </row>
    <row r="4869" spans="1:4" ht="30">
      <c r="A4869" s="47">
        <v>91525</v>
      </c>
      <c r="B4869" s="48" t="s">
        <v>5310</v>
      </c>
      <c r="C4869" s="47" t="s">
        <v>256</v>
      </c>
      <c r="D4869" s="332">
        <v>3.5</v>
      </c>
    </row>
    <row r="4870" spans="1:4">
      <c r="A4870" s="28">
        <v>72817</v>
      </c>
      <c r="B4870" s="26" t="s">
        <v>2423</v>
      </c>
      <c r="C4870" s="28" t="s">
        <v>71</v>
      </c>
      <c r="D4870" s="329">
        <v>148.30000000000001</v>
      </c>
    </row>
    <row r="4871" spans="1:4">
      <c r="A4871" s="47">
        <v>73618</v>
      </c>
      <c r="B4871" s="48" t="s">
        <v>6763</v>
      </c>
      <c r="C4871" s="47" t="s">
        <v>256</v>
      </c>
      <c r="D4871" s="332">
        <v>6.64</v>
      </c>
    </row>
    <row r="4872" spans="1:4">
      <c r="A4872" s="28">
        <v>73674</v>
      </c>
      <c r="B4872" s="26" t="s">
        <v>1821</v>
      </c>
      <c r="C4872" s="28" t="s">
        <v>256</v>
      </c>
      <c r="D4872" s="329">
        <v>20.52</v>
      </c>
    </row>
    <row r="4873" spans="1:4" ht="30">
      <c r="A4873" s="47" t="s">
        <v>944</v>
      </c>
      <c r="B4873" s="48" t="s">
        <v>8456</v>
      </c>
      <c r="C4873" s="47" t="s">
        <v>256</v>
      </c>
      <c r="D4873" s="332">
        <v>19.690000000000001</v>
      </c>
    </row>
    <row r="4874" spans="1:4">
      <c r="A4874" s="28">
        <v>84111</v>
      </c>
      <c r="B4874" s="26" t="s">
        <v>945</v>
      </c>
      <c r="C4874" s="28" t="s">
        <v>256</v>
      </c>
      <c r="D4874" s="329">
        <v>2.78</v>
      </c>
    </row>
    <row r="4875" spans="1:4" ht="30">
      <c r="A4875" s="47">
        <v>84112</v>
      </c>
      <c r="B4875" s="48" t="s">
        <v>1823</v>
      </c>
      <c r="C4875" s="47" t="s">
        <v>256</v>
      </c>
      <c r="D4875" s="332">
        <v>8.31</v>
      </c>
    </row>
    <row r="4876" spans="1:4">
      <c r="A4876" s="28">
        <v>95135</v>
      </c>
      <c r="B4876" s="26" t="s">
        <v>6761</v>
      </c>
      <c r="C4876" s="28" t="s">
        <v>1820</v>
      </c>
      <c r="D4876" s="329">
        <v>15.84</v>
      </c>
    </row>
    <row r="4877" spans="1:4" ht="30">
      <c r="A4877" s="47">
        <v>73548</v>
      </c>
      <c r="B4877" s="48" t="s">
        <v>2048</v>
      </c>
      <c r="C4877" s="47" t="s">
        <v>255</v>
      </c>
      <c r="D4877" s="332">
        <v>455.44</v>
      </c>
    </row>
    <row r="4878" spans="1:4" ht="30">
      <c r="A4878" s="28">
        <v>73549</v>
      </c>
      <c r="B4878" s="26" t="s">
        <v>2071</v>
      </c>
      <c r="C4878" s="28" t="s">
        <v>255</v>
      </c>
      <c r="D4878" s="329">
        <v>439.97</v>
      </c>
    </row>
    <row r="4879" spans="1:4" ht="45">
      <c r="A4879" s="47">
        <v>87280</v>
      </c>
      <c r="B4879" s="48" t="s">
        <v>2099</v>
      </c>
      <c r="C4879" s="47" t="s">
        <v>255</v>
      </c>
      <c r="D4879" s="332">
        <v>270.07</v>
      </c>
    </row>
    <row r="4880" spans="1:4" ht="45">
      <c r="A4880" s="28">
        <v>87281</v>
      </c>
      <c r="B4880" s="26" t="s">
        <v>2100</v>
      </c>
      <c r="C4880" s="28" t="s">
        <v>255</v>
      </c>
      <c r="D4880" s="329">
        <v>269.22000000000003</v>
      </c>
    </row>
    <row r="4881" spans="1:4" ht="45">
      <c r="A4881" s="47">
        <v>87283</v>
      </c>
      <c r="B4881" s="48" t="s">
        <v>2089</v>
      </c>
      <c r="C4881" s="47" t="s">
        <v>255</v>
      </c>
      <c r="D4881" s="332">
        <v>288.01</v>
      </c>
    </row>
    <row r="4882" spans="1:4" ht="45">
      <c r="A4882" s="28">
        <v>87284</v>
      </c>
      <c r="B4882" s="26" t="s">
        <v>2090</v>
      </c>
      <c r="C4882" s="28" t="s">
        <v>255</v>
      </c>
      <c r="D4882" s="329">
        <v>276.52999999999997</v>
      </c>
    </row>
    <row r="4883" spans="1:4" ht="45">
      <c r="A4883" s="47">
        <v>87286</v>
      </c>
      <c r="B4883" s="48" t="s">
        <v>2016</v>
      </c>
      <c r="C4883" s="47" t="s">
        <v>255</v>
      </c>
      <c r="D4883" s="332">
        <v>285.47000000000003</v>
      </c>
    </row>
    <row r="4884" spans="1:4" ht="45">
      <c r="A4884" s="28">
        <v>87287</v>
      </c>
      <c r="B4884" s="26" t="s">
        <v>2017</v>
      </c>
      <c r="C4884" s="28" t="s">
        <v>255</v>
      </c>
      <c r="D4884" s="329">
        <v>333.75</v>
      </c>
    </row>
    <row r="4885" spans="1:4" ht="45">
      <c r="A4885" s="47">
        <v>87289</v>
      </c>
      <c r="B4885" s="48" t="s">
        <v>2011</v>
      </c>
      <c r="C4885" s="47" t="s">
        <v>255</v>
      </c>
      <c r="D4885" s="332">
        <v>323.26</v>
      </c>
    </row>
    <row r="4886" spans="1:4" ht="45">
      <c r="A4886" s="28">
        <v>87290</v>
      </c>
      <c r="B4886" s="26" t="s">
        <v>2012</v>
      </c>
      <c r="C4886" s="28" t="s">
        <v>255</v>
      </c>
      <c r="D4886" s="329">
        <v>321.94</v>
      </c>
    </row>
    <row r="4887" spans="1:4" ht="45">
      <c r="A4887" s="47">
        <v>87292</v>
      </c>
      <c r="B4887" s="48" t="s">
        <v>2021</v>
      </c>
      <c r="C4887" s="47" t="s">
        <v>255</v>
      </c>
      <c r="D4887" s="332">
        <v>336.8</v>
      </c>
    </row>
    <row r="4888" spans="1:4" ht="45">
      <c r="A4888" s="28">
        <v>87294</v>
      </c>
      <c r="B4888" s="26" t="s">
        <v>2026</v>
      </c>
      <c r="C4888" s="28" t="s">
        <v>255</v>
      </c>
      <c r="D4888" s="329">
        <v>322.73</v>
      </c>
    </row>
    <row r="4889" spans="1:4" ht="45">
      <c r="A4889" s="47">
        <v>87295</v>
      </c>
      <c r="B4889" s="48" t="s">
        <v>2049</v>
      </c>
      <c r="C4889" s="47" t="s">
        <v>255</v>
      </c>
      <c r="D4889" s="332">
        <v>326.57</v>
      </c>
    </row>
    <row r="4890" spans="1:4" ht="45">
      <c r="A4890" s="28">
        <v>87296</v>
      </c>
      <c r="B4890" s="26" t="s">
        <v>2050</v>
      </c>
      <c r="C4890" s="28" t="s">
        <v>255</v>
      </c>
      <c r="D4890" s="329">
        <v>315.47000000000003</v>
      </c>
    </row>
    <row r="4891" spans="1:4" ht="30">
      <c r="A4891" s="47">
        <v>87298</v>
      </c>
      <c r="B4891" s="48" t="s">
        <v>2041</v>
      </c>
      <c r="C4891" s="47" t="s">
        <v>255</v>
      </c>
      <c r="D4891" s="332">
        <v>398.63</v>
      </c>
    </row>
    <row r="4892" spans="1:4" ht="30">
      <c r="A4892" s="28">
        <v>87299</v>
      </c>
      <c r="B4892" s="26" t="s">
        <v>2042</v>
      </c>
      <c r="C4892" s="28" t="s">
        <v>255</v>
      </c>
      <c r="D4892" s="329">
        <v>390.33</v>
      </c>
    </row>
    <row r="4893" spans="1:4" ht="30">
      <c r="A4893" s="47">
        <v>87301</v>
      </c>
      <c r="B4893" s="48" t="s">
        <v>2064</v>
      </c>
      <c r="C4893" s="47" t="s">
        <v>255</v>
      </c>
      <c r="D4893" s="332">
        <v>359.49</v>
      </c>
    </row>
    <row r="4894" spans="1:4" ht="30">
      <c r="A4894" s="28">
        <v>87302</v>
      </c>
      <c r="B4894" s="26" t="s">
        <v>2065</v>
      </c>
      <c r="C4894" s="28" t="s">
        <v>255</v>
      </c>
      <c r="D4894" s="329">
        <v>353.04</v>
      </c>
    </row>
    <row r="4895" spans="1:4" ht="30">
      <c r="A4895" s="47">
        <v>87304</v>
      </c>
      <c r="B4895" s="48" t="s">
        <v>2083</v>
      </c>
      <c r="C4895" s="47" t="s">
        <v>255</v>
      </c>
      <c r="D4895" s="332">
        <v>336.07</v>
      </c>
    </row>
    <row r="4896" spans="1:4" ht="30">
      <c r="A4896" s="28">
        <v>87305</v>
      </c>
      <c r="B4896" s="26" t="s">
        <v>2084</v>
      </c>
      <c r="C4896" s="28" t="s">
        <v>255</v>
      </c>
      <c r="D4896" s="329">
        <v>329.78</v>
      </c>
    </row>
    <row r="4897" spans="1:4" ht="30">
      <c r="A4897" s="47">
        <v>87307</v>
      </c>
      <c r="B4897" s="48" t="s">
        <v>2094</v>
      </c>
      <c r="C4897" s="47" t="s">
        <v>255</v>
      </c>
      <c r="D4897" s="332">
        <v>316</v>
      </c>
    </row>
    <row r="4898" spans="1:4" ht="30">
      <c r="A4898" s="28">
        <v>87308</v>
      </c>
      <c r="B4898" s="26" t="s">
        <v>2095</v>
      </c>
      <c r="C4898" s="28" t="s">
        <v>255</v>
      </c>
      <c r="D4898" s="329">
        <v>310.57</v>
      </c>
    </row>
    <row r="4899" spans="1:4" ht="30">
      <c r="A4899" s="47">
        <v>87310</v>
      </c>
      <c r="B4899" s="48" t="s">
        <v>2078</v>
      </c>
      <c r="C4899" s="47" t="s">
        <v>255</v>
      </c>
      <c r="D4899" s="332">
        <v>253.36</v>
      </c>
    </row>
    <row r="4900" spans="1:4" ht="30">
      <c r="A4900" s="28">
        <v>87311</v>
      </c>
      <c r="B4900" s="26" t="s">
        <v>2079</v>
      </c>
      <c r="C4900" s="28" t="s">
        <v>255</v>
      </c>
      <c r="D4900" s="329">
        <v>249.88</v>
      </c>
    </row>
    <row r="4901" spans="1:4" ht="30">
      <c r="A4901" s="47">
        <v>87313</v>
      </c>
      <c r="B4901" s="48" t="s">
        <v>2035</v>
      </c>
      <c r="C4901" s="47" t="s">
        <v>255</v>
      </c>
      <c r="D4901" s="332">
        <v>300.22000000000003</v>
      </c>
    </row>
    <row r="4902" spans="1:4" ht="30">
      <c r="A4902" s="28">
        <v>87314</v>
      </c>
      <c r="B4902" s="26" t="s">
        <v>2036</v>
      </c>
      <c r="C4902" s="28" t="s">
        <v>255</v>
      </c>
      <c r="D4902" s="329">
        <v>297.54000000000002</v>
      </c>
    </row>
    <row r="4903" spans="1:4" ht="30">
      <c r="A4903" s="47">
        <v>87316</v>
      </c>
      <c r="B4903" s="48" t="s">
        <v>2058</v>
      </c>
      <c r="C4903" s="47" t="s">
        <v>255</v>
      </c>
      <c r="D4903" s="332">
        <v>275.20999999999998</v>
      </c>
    </row>
    <row r="4904" spans="1:4" ht="30">
      <c r="A4904" s="28">
        <v>87317</v>
      </c>
      <c r="B4904" s="26" t="s">
        <v>2059</v>
      </c>
      <c r="C4904" s="28" t="s">
        <v>255</v>
      </c>
      <c r="D4904" s="329">
        <v>269.48</v>
      </c>
    </row>
    <row r="4905" spans="1:4" ht="30">
      <c r="A4905" s="47">
        <v>87319</v>
      </c>
      <c r="B4905" s="48" t="s">
        <v>2073</v>
      </c>
      <c r="C4905" s="47" t="s">
        <v>255</v>
      </c>
      <c r="D4905" s="332">
        <v>1772.94</v>
      </c>
    </row>
    <row r="4906" spans="1:4" ht="30">
      <c r="A4906" s="28">
        <v>87320</v>
      </c>
      <c r="B4906" s="26" t="s">
        <v>2074</v>
      </c>
      <c r="C4906" s="28" t="s">
        <v>255</v>
      </c>
      <c r="D4906" s="329">
        <v>1776.64</v>
      </c>
    </row>
    <row r="4907" spans="1:4" ht="30">
      <c r="A4907" s="47">
        <v>87322</v>
      </c>
      <c r="B4907" s="48" t="s">
        <v>2029</v>
      </c>
      <c r="C4907" s="47" t="s">
        <v>255</v>
      </c>
      <c r="D4907" s="332">
        <v>1824.42</v>
      </c>
    </row>
    <row r="4908" spans="1:4" ht="30">
      <c r="A4908" s="28">
        <v>87323</v>
      </c>
      <c r="B4908" s="26" t="s">
        <v>2030</v>
      </c>
      <c r="C4908" s="28" t="s">
        <v>255</v>
      </c>
      <c r="D4908" s="329">
        <v>1816.05</v>
      </c>
    </row>
    <row r="4909" spans="1:4" ht="30">
      <c r="A4909" s="47">
        <v>87325</v>
      </c>
      <c r="B4909" s="48" t="s">
        <v>2053</v>
      </c>
      <c r="C4909" s="47" t="s">
        <v>255</v>
      </c>
      <c r="D4909" s="332">
        <v>1792.23</v>
      </c>
    </row>
    <row r="4910" spans="1:4" ht="30">
      <c r="A4910" s="28">
        <v>87326</v>
      </c>
      <c r="B4910" s="26" t="s">
        <v>2054</v>
      </c>
      <c r="C4910" s="28" t="s">
        <v>255</v>
      </c>
      <c r="D4910" s="329">
        <v>1790.27</v>
      </c>
    </row>
    <row r="4911" spans="1:4" ht="45">
      <c r="A4911" s="47">
        <v>87327</v>
      </c>
      <c r="B4911" s="48" t="s">
        <v>2101</v>
      </c>
      <c r="C4911" s="47" t="s">
        <v>255</v>
      </c>
      <c r="D4911" s="332">
        <v>282.89999999999998</v>
      </c>
    </row>
    <row r="4912" spans="1:4" ht="45">
      <c r="A4912" s="28">
        <v>87328</v>
      </c>
      <c r="B4912" s="26" t="s">
        <v>2102</v>
      </c>
      <c r="C4912" s="28" t="s">
        <v>255</v>
      </c>
      <c r="D4912" s="329">
        <v>257.87</v>
      </c>
    </row>
    <row r="4913" spans="1:4" ht="45">
      <c r="A4913" s="47">
        <v>87329</v>
      </c>
      <c r="B4913" s="48" t="s">
        <v>2091</v>
      </c>
      <c r="C4913" s="47" t="s">
        <v>255</v>
      </c>
      <c r="D4913" s="332">
        <v>301.83</v>
      </c>
    </row>
    <row r="4914" spans="1:4" ht="45">
      <c r="A4914" s="28">
        <v>87330</v>
      </c>
      <c r="B4914" s="26" t="s">
        <v>2092</v>
      </c>
      <c r="C4914" s="28" t="s">
        <v>255</v>
      </c>
      <c r="D4914" s="329">
        <v>274.54000000000002</v>
      </c>
    </row>
    <row r="4915" spans="1:4" ht="45">
      <c r="A4915" s="47">
        <v>87331</v>
      </c>
      <c r="B4915" s="48" t="s">
        <v>2018</v>
      </c>
      <c r="C4915" s="47" t="s">
        <v>255</v>
      </c>
      <c r="D4915" s="332">
        <v>346.73</v>
      </c>
    </row>
    <row r="4916" spans="1:4" ht="45">
      <c r="A4916" s="28">
        <v>87332</v>
      </c>
      <c r="B4916" s="26" t="s">
        <v>2019</v>
      </c>
      <c r="C4916" s="28" t="s">
        <v>255</v>
      </c>
      <c r="D4916" s="329">
        <v>319.73</v>
      </c>
    </row>
    <row r="4917" spans="1:4" ht="45">
      <c r="A4917" s="47">
        <v>87333</v>
      </c>
      <c r="B4917" s="48" t="s">
        <v>2013</v>
      </c>
      <c r="C4917" s="47" t="s">
        <v>255</v>
      </c>
      <c r="D4917" s="332">
        <v>326.79000000000002</v>
      </c>
    </row>
    <row r="4918" spans="1:4" ht="45">
      <c r="A4918" s="28">
        <v>87334</v>
      </c>
      <c r="B4918" s="26" t="s">
        <v>2014</v>
      </c>
      <c r="C4918" s="28" t="s">
        <v>255</v>
      </c>
      <c r="D4918" s="329">
        <v>307.14</v>
      </c>
    </row>
    <row r="4919" spans="1:4" ht="45">
      <c r="A4919" s="47">
        <v>87335</v>
      </c>
      <c r="B4919" s="48" t="s">
        <v>2022</v>
      </c>
      <c r="C4919" s="47" t="s">
        <v>255</v>
      </c>
      <c r="D4919" s="332">
        <v>332.98</v>
      </c>
    </row>
    <row r="4920" spans="1:4" ht="45">
      <c r="A4920" s="28">
        <v>87336</v>
      </c>
      <c r="B4920" s="26" t="s">
        <v>2023</v>
      </c>
      <c r="C4920" s="28" t="s">
        <v>255</v>
      </c>
      <c r="D4920" s="329">
        <v>318.97000000000003</v>
      </c>
    </row>
    <row r="4921" spans="1:4" ht="45">
      <c r="A4921" s="47">
        <v>87337</v>
      </c>
      <c r="B4921" s="48" t="s">
        <v>2027</v>
      </c>
      <c r="C4921" s="47" t="s">
        <v>255</v>
      </c>
      <c r="D4921" s="332">
        <v>318.62</v>
      </c>
    </row>
    <row r="4922" spans="1:4" ht="45">
      <c r="A4922" s="28">
        <v>87338</v>
      </c>
      <c r="B4922" s="26" t="s">
        <v>2051</v>
      </c>
      <c r="C4922" s="28" t="s">
        <v>255</v>
      </c>
      <c r="D4922" s="329">
        <v>310.79000000000002</v>
      </c>
    </row>
    <row r="4923" spans="1:4" ht="30">
      <c r="A4923" s="47">
        <v>87339</v>
      </c>
      <c r="B4923" s="48" t="s">
        <v>2043</v>
      </c>
      <c r="C4923" s="47" t="s">
        <v>255</v>
      </c>
      <c r="D4923" s="332">
        <v>450.79</v>
      </c>
    </row>
    <row r="4924" spans="1:4" ht="30">
      <c r="A4924" s="28">
        <v>87340</v>
      </c>
      <c r="B4924" s="26" t="s">
        <v>2044</v>
      </c>
      <c r="C4924" s="28" t="s">
        <v>255</v>
      </c>
      <c r="D4924" s="329">
        <v>389.6</v>
      </c>
    </row>
    <row r="4925" spans="1:4" ht="30">
      <c r="A4925" s="47">
        <v>87341</v>
      </c>
      <c r="B4925" s="48" t="s">
        <v>2045</v>
      </c>
      <c r="C4925" s="47" t="s">
        <v>255</v>
      </c>
      <c r="D4925" s="332">
        <v>378.53</v>
      </c>
    </row>
    <row r="4926" spans="1:4" ht="30">
      <c r="A4926" s="28">
        <v>87342</v>
      </c>
      <c r="B4926" s="26" t="s">
        <v>2066</v>
      </c>
      <c r="C4926" s="28" t="s">
        <v>255</v>
      </c>
      <c r="D4926" s="329">
        <v>396.3</v>
      </c>
    </row>
    <row r="4927" spans="1:4" ht="30">
      <c r="A4927" s="47">
        <v>87343</v>
      </c>
      <c r="B4927" s="48" t="s">
        <v>2067</v>
      </c>
      <c r="C4927" s="47" t="s">
        <v>255</v>
      </c>
      <c r="D4927" s="332">
        <v>356.82</v>
      </c>
    </row>
    <row r="4928" spans="1:4" ht="30">
      <c r="A4928" s="28">
        <v>87344</v>
      </c>
      <c r="B4928" s="26" t="s">
        <v>2068</v>
      </c>
      <c r="C4928" s="28" t="s">
        <v>255</v>
      </c>
      <c r="D4928" s="329">
        <v>341.27</v>
      </c>
    </row>
    <row r="4929" spans="1:4" ht="30">
      <c r="A4929" s="47">
        <v>87345</v>
      </c>
      <c r="B4929" s="48" t="s">
        <v>2085</v>
      </c>
      <c r="C4929" s="47" t="s">
        <v>255</v>
      </c>
      <c r="D4929" s="332">
        <v>354.07</v>
      </c>
    </row>
    <row r="4930" spans="1:4" ht="30">
      <c r="A4930" s="28">
        <v>87346</v>
      </c>
      <c r="B4930" s="26" t="s">
        <v>2086</v>
      </c>
      <c r="C4930" s="28" t="s">
        <v>255</v>
      </c>
      <c r="D4930" s="329">
        <v>327.25</v>
      </c>
    </row>
    <row r="4931" spans="1:4" ht="30">
      <c r="A4931" s="47">
        <v>87347</v>
      </c>
      <c r="B4931" s="48" t="s">
        <v>2087</v>
      </c>
      <c r="C4931" s="47" t="s">
        <v>255</v>
      </c>
      <c r="D4931" s="332">
        <v>318.98</v>
      </c>
    </row>
    <row r="4932" spans="1:4" ht="30">
      <c r="A4932" s="28">
        <v>87348</v>
      </c>
      <c r="B4932" s="26" t="s">
        <v>2096</v>
      </c>
      <c r="C4932" s="28" t="s">
        <v>255</v>
      </c>
      <c r="D4932" s="329">
        <v>332.49</v>
      </c>
    </row>
    <row r="4933" spans="1:4" ht="30">
      <c r="A4933" s="47">
        <v>87349</v>
      </c>
      <c r="B4933" s="48" t="s">
        <v>2097</v>
      </c>
      <c r="C4933" s="47" t="s">
        <v>255</v>
      </c>
      <c r="D4933" s="332">
        <v>298.62</v>
      </c>
    </row>
    <row r="4934" spans="1:4" ht="30">
      <c r="A4934" s="28">
        <v>87350</v>
      </c>
      <c r="B4934" s="26" t="s">
        <v>2080</v>
      </c>
      <c r="C4934" s="28" t="s">
        <v>255</v>
      </c>
      <c r="D4934" s="329">
        <v>274.02</v>
      </c>
    </row>
    <row r="4935" spans="1:4" ht="30">
      <c r="A4935" s="47">
        <v>87351</v>
      </c>
      <c r="B4935" s="48" t="s">
        <v>2081</v>
      </c>
      <c r="C4935" s="47" t="s">
        <v>255</v>
      </c>
      <c r="D4935" s="332">
        <v>248.57</v>
      </c>
    </row>
    <row r="4936" spans="1:4" ht="30">
      <c r="A4936" s="28">
        <v>87352</v>
      </c>
      <c r="B4936" s="26" t="s">
        <v>2037</v>
      </c>
      <c r="C4936" s="28" t="s">
        <v>255</v>
      </c>
      <c r="D4936" s="329">
        <v>338.83</v>
      </c>
    </row>
    <row r="4937" spans="1:4" ht="30">
      <c r="A4937" s="47">
        <v>87353</v>
      </c>
      <c r="B4937" s="48" t="s">
        <v>2038</v>
      </c>
      <c r="C4937" s="47" t="s">
        <v>255</v>
      </c>
      <c r="D4937" s="332">
        <v>303.17</v>
      </c>
    </row>
    <row r="4938" spans="1:4" ht="30">
      <c r="A4938" s="28">
        <v>87354</v>
      </c>
      <c r="B4938" s="26" t="s">
        <v>2039</v>
      </c>
      <c r="C4938" s="28" t="s">
        <v>255</v>
      </c>
      <c r="D4938" s="329">
        <v>287.27999999999997</v>
      </c>
    </row>
    <row r="4939" spans="1:4" ht="30">
      <c r="A4939" s="47">
        <v>87355</v>
      </c>
      <c r="B4939" s="48" t="s">
        <v>2060</v>
      </c>
      <c r="C4939" s="47" t="s">
        <v>255</v>
      </c>
      <c r="D4939" s="332">
        <v>297.5</v>
      </c>
    </row>
    <row r="4940" spans="1:4" ht="30">
      <c r="A4940" s="28">
        <v>87356</v>
      </c>
      <c r="B4940" s="26" t="s">
        <v>2061</v>
      </c>
      <c r="C4940" s="28" t="s">
        <v>255</v>
      </c>
      <c r="D4940" s="329">
        <v>268.67</v>
      </c>
    </row>
    <row r="4941" spans="1:4" ht="30">
      <c r="A4941" s="47">
        <v>87357</v>
      </c>
      <c r="B4941" s="48" t="s">
        <v>2062</v>
      </c>
      <c r="C4941" s="47" t="s">
        <v>255</v>
      </c>
      <c r="D4941" s="332">
        <v>262.38</v>
      </c>
    </row>
    <row r="4942" spans="1:4" ht="45">
      <c r="A4942" s="28">
        <v>87358</v>
      </c>
      <c r="B4942" s="26" t="s">
        <v>2075</v>
      </c>
      <c r="C4942" s="28" t="s">
        <v>255</v>
      </c>
      <c r="D4942" s="329">
        <v>1747.59</v>
      </c>
    </row>
    <row r="4943" spans="1:4" ht="45">
      <c r="A4943" s="47">
        <v>87359</v>
      </c>
      <c r="B4943" s="48" t="s">
        <v>2076</v>
      </c>
      <c r="C4943" s="47" t="s">
        <v>255</v>
      </c>
      <c r="D4943" s="332">
        <v>1737.12</v>
      </c>
    </row>
    <row r="4944" spans="1:4" ht="45">
      <c r="A4944" s="28">
        <v>87360</v>
      </c>
      <c r="B4944" s="26" t="s">
        <v>2031</v>
      </c>
      <c r="C4944" s="28" t="s">
        <v>255</v>
      </c>
      <c r="D4944" s="329">
        <v>1805.32</v>
      </c>
    </row>
    <row r="4945" spans="1:4" ht="45">
      <c r="A4945" s="47">
        <v>87361</v>
      </c>
      <c r="B4945" s="48" t="s">
        <v>2032</v>
      </c>
      <c r="C4945" s="47" t="s">
        <v>255</v>
      </c>
      <c r="D4945" s="332">
        <v>1787.15</v>
      </c>
    </row>
    <row r="4946" spans="1:4" ht="45">
      <c r="A4946" s="28">
        <v>87362</v>
      </c>
      <c r="B4946" s="26" t="s">
        <v>2033</v>
      </c>
      <c r="C4946" s="28" t="s">
        <v>255</v>
      </c>
      <c r="D4946" s="329">
        <v>1784.61</v>
      </c>
    </row>
    <row r="4947" spans="1:4" ht="45">
      <c r="A4947" s="47">
        <v>87363</v>
      </c>
      <c r="B4947" s="48" t="s">
        <v>2055</v>
      </c>
      <c r="C4947" s="47" t="s">
        <v>255</v>
      </c>
      <c r="D4947" s="332">
        <v>1780.14</v>
      </c>
    </row>
    <row r="4948" spans="1:4" ht="45">
      <c r="A4948" s="28">
        <v>87364</v>
      </c>
      <c r="B4948" s="26" t="s">
        <v>2056</v>
      </c>
      <c r="C4948" s="28" t="s">
        <v>255</v>
      </c>
      <c r="D4948" s="329">
        <v>1754.55</v>
      </c>
    </row>
    <row r="4949" spans="1:4" ht="45">
      <c r="A4949" s="47">
        <v>87365</v>
      </c>
      <c r="B4949" s="48" t="s">
        <v>2098</v>
      </c>
      <c r="C4949" s="47" t="s">
        <v>255</v>
      </c>
      <c r="D4949" s="332">
        <v>337.61</v>
      </c>
    </row>
    <row r="4950" spans="1:4" ht="45">
      <c r="A4950" s="28">
        <v>87366</v>
      </c>
      <c r="B4950" s="26" t="s">
        <v>2088</v>
      </c>
      <c r="C4950" s="28" t="s">
        <v>255</v>
      </c>
      <c r="D4950" s="329">
        <v>350.38</v>
      </c>
    </row>
    <row r="4951" spans="1:4" ht="30">
      <c r="A4951" s="47">
        <v>87367</v>
      </c>
      <c r="B4951" s="48" t="s">
        <v>2015</v>
      </c>
      <c r="C4951" s="47" t="s">
        <v>255</v>
      </c>
      <c r="D4951" s="332">
        <v>398.11</v>
      </c>
    </row>
    <row r="4952" spans="1:4" ht="30">
      <c r="A4952" s="28">
        <v>87368</v>
      </c>
      <c r="B4952" s="26" t="s">
        <v>2010</v>
      </c>
      <c r="C4952" s="28" t="s">
        <v>255</v>
      </c>
      <c r="D4952" s="329">
        <v>394.07</v>
      </c>
    </row>
    <row r="4953" spans="1:4" ht="30">
      <c r="A4953" s="47">
        <v>87369</v>
      </c>
      <c r="B4953" s="48" t="s">
        <v>2020</v>
      </c>
      <c r="C4953" s="47" t="s">
        <v>255</v>
      </c>
      <c r="D4953" s="332">
        <v>404.26</v>
      </c>
    </row>
    <row r="4954" spans="1:4" ht="30">
      <c r="A4954" s="28">
        <v>87370</v>
      </c>
      <c r="B4954" s="26" t="s">
        <v>2024</v>
      </c>
      <c r="C4954" s="28" t="s">
        <v>255</v>
      </c>
      <c r="D4954" s="329">
        <v>390.81</v>
      </c>
    </row>
    <row r="4955" spans="1:4" ht="30">
      <c r="A4955" s="47">
        <v>87371</v>
      </c>
      <c r="B4955" s="48" t="s">
        <v>946</v>
      </c>
      <c r="C4955" s="47" t="s">
        <v>255</v>
      </c>
      <c r="D4955" s="332">
        <v>386.9</v>
      </c>
    </row>
    <row r="4956" spans="1:4" ht="30">
      <c r="A4956" s="28">
        <v>87372</v>
      </c>
      <c r="B4956" s="26" t="s">
        <v>2040</v>
      </c>
      <c r="C4956" s="28" t="s">
        <v>255</v>
      </c>
      <c r="D4956" s="329">
        <v>464.14</v>
      </c>
    </row>
    <row r="4957" spans="1:4" ht="30">
      <c r="A4957" s="47">
        <v>87373</v>
      </c>
      <c r="B4957" s="48" t="s">
        <v>2063</v>
      </c>
      <c r="C4957" s="47" t="s">
        <v>255</v>
      </c>
      <c r="D4957" s="332">
        <v>426.54</v>
      </c>
    </row>
    <row r="4958" spans="1:4" ht="30">
      <c r="A4958" s="28">
        <v>87374</v>
      </c>
      <c r="B4958" s="26" t="s">
        <v>2082</v>
      </c>
      <c r="C4958" s="28" t="s">
        <v>255</v>
      </c>
      <c r="D4958" s="329">
        <v>401.34</v>
      </c>
    </row>
    <row r="4959" spans="1:4" ht="30">
      <c r="A4959" s="47">
        <v>87375</v>
      </c>
      <c r="B4959" s="48" t="s">
        <v>2093</v>
      </c>
      <c r="C4959" s="47" t="s">
        <v>255</v>
      </c>
      <c r="D4959" s="332">
        <v>380.07</v>
      </c>
    </row>
    <row r="4960" spans="1:4" ht="30">
      <c r="A4960" s="28">
        <v>87376</v>
      </c>
      <c r="B4960" s="26" t="s">
        <v>2077</v>
      </c>
      <c r="C4960" s="28" t="s">
        <v>255</v>
      </c>
      <c r="D4960" s="329">
        <v>326.55</v>
      </c>
    </row>
    <row r="4961" spans="1:4" ht="30">
      <c r="A4961" s="47">
        <v>87377</v>
      </c>
      <c r="B4961" s="48" t="s">
        <v>2034</v>
      </c>
      <c r="C4961" s="47" t="s">
        <v>255</v>
      </c>
      <c r="D4961" s="332">
        <v>371.92</v>
      </c>
    </row>
    <row r="4962" spans="1:4" ht="30">
      <c r="A4962" s="28">
        <v>87378</v>
      </c>
      <c r="B4962" s="26" t="s">
        <v>2057</v>
      </c>
      <c r="C4962" s="28" t="s">
        <v>255</v>
      </c>
      <c r="D4962" s="329">
        <v>344.65</v>
      </c>
    </row>
    <row r="4963" spans="1:4" ht="30">
      <c r="A4963" s="47">
        <v>87379</v>
      </c>
      <c r="B4963" s="48" t="s">
        <v>2072</v>
      </c>
      <c r="C4963" s="47" t="s">
        <v>255</v>
      </c>
      <c r="D4963" s="332">
        <v>1831.56</v>
      </c>
    </row>
    <row r="4964" spans="1:4" ht="30">
      <c r="A4964" s="28">
        <v>87380</v>
      </c>
      <c r="B4964" s="26" t="s">
        <v>2028</v>
      </c>
      <c r="C4964" s="28" t="s">
        <v>255</v>
      </c>
      <c r="D4964" s="329">
        <v>1878.1</v>
      </c>
    </row>
    <row r="4965" spans="1:4" ht="30">
      <c r="A4965" s="47">
        <v>87381</v>
      </c>
      <c r="B4965" s="48" t="s">
        <v>2052</v>
      </c>
      <c r="C4965" s="47" t="s">
        <v>255</v>
      </c>
      <c r="D4965" s="332">
        <v>1850.83</v>
      </c>
    </row>
    <row r="4966" spans="1:4" ht="30">
      <c r="A4966" s="28">
        <v>87382</v>
      </c>
      <c r="B4966" s="26" t="s">
        <v>1984</v>
      </c>
      <c r="C4966" s="28" t="s">
        <v>255</v>
      </c>
      <c r="D4966" s="329">
        <v>874.89</v>
      </c>
    </row>
    <row r="4967" spans="1:4" ht="30">
      <c r="A4967" s="47">
        <v>87383</v>
      </c>
      <c r="B4967" s="48" t="s">
        <v>1985</v>
      </c>
      <c r="C4967" s="47" t="s">
        <v>255</v>
      </c>
      <c r="D4967" s="332">
        <v>872.3</v>
      </c>
    </row>
    <row r="4968" spans="1:4" ht="30">
      <c r="A4968" s="28">
        <v>87384</v>
      </c>
      <c r="B4968" s="26" t="s">
        <v>1986</v>
      </c>
      <c r="C4968" s="28" t="s">
        <v>255</v>
      </c>
      <c r="D4968" s="329">
        <v>868.43</v>
      </c>
    </row>
    <row r="4969" spans="1:4" ht="30">
      <c r="A4969" s="47">
        <v>87385</v>
      </c>
      <c r="B4969" s="48" t="s">
        <v>2005</v>
      </c>
      <c r="C4969" s="47" t="s">
        <v>255</v>
      </c>
      <c r="D4969" s="332">
        <v>1136.06</v>
      </c>
    </row>
    <row r="4970" spans="1:4" ht="30">
      <c r="A4970" s="28">
        <v>87386</v>
      </c>
      <c r="B4970" s="26" t="s">
        <v>2006</v>
      </c>
      <c r="C4970" s="28" t="s">
        <v>255</v>
      </c>
      <c r="D4970" s="329">
        <v>1132.51</v>
      </c>
    </row>
    <row r="4971" spans="1:4" ht="30">
      <c r="A4971" s="47">
        <v>87387</v>
      </c>
      <c r="B4971" s="48" t="s">
        <v>2007</v>
      </c>
      <c r="C4971" s="47" t="s">
        <v>255</v>
      </c>
      <c r="D4971" s="332">
        <v>1130.8699999999999</v>
      </c>
    </row>
    <row r="4972" spans="1:4" ht="30">
      <c r="A4972" s="28">
        <v>87388</v>
      </c>
      <c r="B4972" s="26" t="s">
        <v>2000</v>
      </c>
      <c r="C4972" s="28" t="s">
        <v>255</v>
      </c>
      <c r="D4972" s="329">
        <v>2653.25</v>
      </c>
    </row>
    <row r="4973" spans="1:4" ht="30">
      <c r="A4973" s="47">
        <v>87389</v>
      </c>
      <c r="B4973" s="48" t="s">
        <v>2001</v>
      </c>
      <c r="C4973" s="47" t="s">
        <v>255</v>
      </c>
      <c r="D4973" s="332">
        <v>2664.92</v>
      </c>
    </row>
    <row r="4974" spans="1:4" ht="30">
      <c r="A4974" s="28">
        <v>87390</v>
      </c>
      <c r="B4974" s="26" t="s">
        <v>2002</v>
      </c>
      <c r="C4974" s="28" t="s">
        <v>255</v>
      </c>
      <c r="D4974" s="329">
        <v>2671.93</v>
      </c>
    </row>
    <row r="4975" spans="1:4" ht="30">
      <c r="A4975" s="47">
        <v>87391</v>
      </c>
      <c r="B4975" s="48" t="s">
        <v>1992</v>
      </c>
      <c r="C4975" s="47" t="s">
        <v>255</v>
      </c>
      <c r="D4975" s="332">
        <v>4210.93</v>
      </c>
    </row>
    <row r="4976" spans="1:4" ht="30">
      <c r="A4976" s="28">
        <v>87393</v>
      </c>
      <c r="B4976" s="26" t="s">
        <v>1993</v>
      </c>
      <c r="C4976" s="28" t="s">
        <v>255</v>
      </c>
      <c r="D4976" s="329">
        <v>4262.51</v>
      </c>
    </row>
    <row r="4977" spans="1:4" ht="30">
      <c r="A4977" s="47">
        <v>87394</v>
      </c>
      <c r="B4977" s="48" t="s">
        <v>1994</v>
      </c>
      <c r="C4977" s="47" t="s">
        <v>255</v>
      </c>
      <c r="D4977" s="332">
        <v>4284.09</v>
      </c>
    </row>
    <row r="4978" spans="1:4" ht="30">
      <c r="A4978" s="28">
        <v>87395</v>
      </c>
      <c r="B4978" s="26" t="s">
        <v>1988</v>
      </c>
      <c r="C4978" s="28" t="s">
        <v>255</v>
      </c>
      <c r="D4978" s="329">
        <v>3307.14</v>
      </c>
    </row>
    <row r="4979" spans="1:4" ht="30">
      <c r="A4979" s="47">
        <v>87396</v>
      </c>
      <c r="B4979" s="48" t="s">
        <v>1989</v>
      </c>
      <c r="C4979" s="47" t="s">
        <v>255</v>
      </c>
      <c r="D4979" s="332">
        <v>3345.97</v>
      </c>
    </row>
    <row r="4980" spans="1:4" ht="30">
      <c r="A4980" s="28">
        <v>87397</v>
      </c>
      <c r="B4980" s="26" t="s">
        <v>1990</v>
      </c>
      <c r="C4980" s="28" t="s">
        <v>255</v>
      </c>
      <c r="D4980" s="329">
        <v>3358.7</v>
      </c>
    </row>
    <row r="4981" spans="1:4" ht="30">
      <c r="A4981" s="47">
        <v>87398</v>
      </c>
      <c r="B4981" s="48" t="s">
        <v>1987</v>
      </c>
      <c r="C4981" s="47" t="s">
        <v>255</v>
      </c>
      <c r="D4981" s="332">
        <v>991.09</v>
      </c>
    </row>
    <row r="4982" spans="1:4">
      <c r="A4982" s="28">
        <v>87399</v>
      </c>
      <c r="B4982" s="26" t="s">
        <v>947</v>
      </c>
      <c r="C4982" s="28" t="s">
        <v>255</v>
      </c>
      <c r="D4982" s="329">
        <v>1262.04</v>
      </c>
    </row>
    <row r="4983" spans="1:4">
      <c r="A4983" s="47">
        <v>87401</v>
      </c>
      <c r="B4983" s="48" t="s">
        <v>1995</v>
      </c>
      <c r="C4983" s="47" t="s">
        <v>255</v>
      </c>
      <c r="D4983" s="332">
        <v>4404.47</v>
      </c>
    </row>
    <row r="4984" spans="1:4">
      <c r="A4984" s="28">
        <v>87402</v>
      </c>
      <c r="B4984" s="26" t="s">
        <v>1991</v>
      </c>
      <c r="C4984" s="28" t="s">
        <v>255</v>
      </c>
      <c r="D4984" s="329">
        <v>3493.19</v>
      </c>
    </row>
    <row r="4985" spans="1:4" ht="30">
      <c r="A4985" s="47">
        <v>87404</v>
      </c>
      <c r="B4985" s="48" t="s">
        <v>1998</v>
      </c>
      <c r="C4985" s="47" t="s">
        <v>255</v>
      </c>
      <c r="D4985" s="332">
        <v>2752.19</v>
      </c>
    </row>
    <row r="4986" spans="1:4" ht="30">
      <c r="A4986" s="28">
        <v>87405</v>
      </c>
      <c r="B4986" s="26" t="s">
        <v>1999</v>
      </c>
      <c r="C4986" s="28" t="s">
        <v>255</v>
      </c>
      <c r="D4986" s="329">
        <v>2757.13</v>
      </c>
    </row>
    <row r="4987" spans="1:4" ht="30">
      <c r="A4987" s="47">
        <v>87407</v>
      </c>
      <c r="B4987" s="48" t="s">
        <v>1996</v>
      </c>
      <c r="C4987" s="47" t="s">
        <v>255</v>
      </c>
      <c r="D4987" s="332">
        <v>890.82</v>
      </c>
    </row>
    <row r="4988" spans="1:4" ht="30">
      <c r="A4988" s="28">
        <v>87408</v>
      </c>
      <c r="B4988" s="26" t="s">
        <v>1997</v>
      </c>
      <c r="C4988" s="28" t="s">
        <v>255</v>
      </c>
      <c r="D4988" s="329">
        <v>882.75</v>
      </c>
    </row>
    <row r="4989" spans="1:4" ht="30">
      <c r="A4989" s="47">
        <v>87410</v>
      </c>
      <c r="B4989" s="48" t="s">
        <v>1981</v>
      </c>
      <c r="C4989" s="47" t="s">
        <v>255</v>
      </c>
      <c r="D4989" s="332">
        <v>505.32</v>
      </c>
    </row>
    <row r="4990" spans="1:4" ht="30">
      <c r="A4990" s="28">
        <v>88626</v>
      </c>
      <c r="B4990" s="26" t="s">
        <v>2009</v>
      </c>
      <c r="C4990" s="28" t="s">
        <v>255</v>
      </c>
      <c r="D4990" s="329">
        <v>307.68</v>
      </c>
    </row>
    <row r="4991" spans="1:4" ht="30">
      <c r="A4991" s="47">
        <v>88627</v>
      </c>
      <c r="B4991" s="48" t="s">
        <v>2008</v>
      </c>
      <c r="C4991" s="47" t="s">
        <v>255</v>
      </c>
      <c r="D4991" s="332">
        <v>361.67</v>
      </c>
    </row>
    <row r="4992" spans="1:4" ht="30">
      <c r="A4992" s="28">
        <v>88628</v>
      </c>
      <c r="B4992" s="26" t="s">
        <v>2047</v>
      </c>
      <c r="C4992" s="28" t="s">
        <v>255</v>
      </c>
      <c r="D4992" s="329">
        <v>310.99</v>
      </c>
    </row>
    <row r="4993" spans="1:4">
      <c r="A4993" s="47">
        <v>88629</v>
      </c>
      <c r="B4993" s="48" t="s">
        <v>2046</v>
      </c>
      <c r="C4993" s="47" t="s">
        <v>255</v>
      </c>
      <c r="D4993" s="332">
        <v>367.96</v>
      </c>
    </row>
    <row r="4994" spans="1:4" ht="30">
      <c r="A4994" s="28">
        <v>88630</v>
      </c>
      <c r="B4994" s="26" t="s">
        <v>2070</v>
      </c>
      <c r="C4994" s="28" t="s">
        <v>255</v>
      </c>
      <c r="D4994" s="329">
        <v>279.86</v>
      </c>
    </row>
    <row r="4995" spans="1:4">
      <c r="A4995" s="47">
        <v>88631</v>
      </c>
      <c r="B4995" s="48" t="s">
        <v>2069</v>
      </c>
      <c r="C4995" s="47" t="s">
        <v>255</v>
      </c>
      <c r="D4995" s="332">
        <v>338.73</v>
      </c>
    </row>
    <row r="4996" spans="1:4" ht="45">
      <c r="A4996" s="28">
        <v>88715</v>
      </c>
      <c r="B4996" s="26" t="s">
        <v>2025</v>
      </c>
      <c r="C4996" s="28" t="s">
        <v>255</v>
      </c>
      <c r="D4996" s="329">
        <v>321.31</v>
      </c>
    </row>
    <row r="4997" spans="1:4" ht="30">
      <c r="A4997" s="47">
        <v>95563</v>
      </c>
      <c r="B4997" s="48" t="s">
        <v>11131</v>
      </c>
      <c r="C4997" s="47" t="s">
        <v>255</v>
      </c>
      <c r="D4997" s="332">
        <v>475.47</v>
      </c>
    </row>
    <row r="4998" spans="1:4">
      <c r="A4998" s="28">
        <v>88036</v>
      </c>
      <c r="B4998" s="26" t="s">
        <v>948</v>
      </c>
      <c r="C4998" s="28" t="s">
        <v>255</v>
      </c>
      <c r="D4998" s="329">
        <v>20.28</v>
      </c>
    </row>
    <row r="4999" spans="1:4">
      <c r="A4999" s="47">
        <v>88037</v>
      </c>
      <c r="B4999" s="48" t="s">
        <v>949</v>
      </c>
      <c r="C4999" s="47" t="s">
        <v>255</v>
      </c>
      <c r="D4999" s="332">
        <v>28.41</v>
      </c>
    </row>
    <row r="5000" spans="1:4">
      <c r="A5000" s="28">
        <v>88038</v>
      </c>
      <c r="B5000" s="26" t="s">
        <v>950</v>
      </c>
      <c r="C5000" s="28" t="s">
        <v>255</v>
      </c>
      <c r="D5000" s="329">
        <v>38.58</v>
      </c>
    </row>
    <row r="5001" spans="1:4">
      <c r="A5001" s="47">
        <v>88039</v>
      </c>
      <c r="B5001" s="48" t="s">
        <v>951</v>
      </c>
      <c r="C5001" s="47" t="s">
        <v>255</v>
      </c>
      <c r="D5001" s="332">
        <v>48.75</v>
      </c>
    </row>
    <row r="5002" spans="1:4">
      <c r="A5002" s="28">
        <v>88040</v>
      </c>
      <c r="B5002" s="26" t="s">
        <v>10001</v>
      </c>
      <c r="C5002" s="28" t="s">
        <v>255</v>
      </c>
      <c r="D5002" s="329">
        <v>10</v>
      </c>
    </row>
    <row r="5003" spans="1:4">
      <c r="A5003" s="47">
        <v>88041</v>
      </c>
      <c r="B5003" s="48" t="s">
        <v>10002</v>
      </c>
      <c r="C5003" s="47" t="s">
        <v>255</v>
      </c>
      <c r="D5003" s="332">
        <v>15.49</v>
      </c>
    </row>
    <row r="5004" spans="1:4">
      <c r="A5004" s="28">
        <v>88042</v>
      </c>
      <c r="B5004" s="26" t="s">
        <v>10003</v>
      </c>
      <c r="C5004" s="28" t="s">
        <v>255</v>
      </c>
      <c r="D5004" s="329">
        <v>22.36</v>
      </c>
    </row>
    <row r="5005" spans="1:4">
      <c r="A5005" s="47">
        <v>88043</v>
      </c>
      <c r="B5005" s="48" t="s">
        <v>10000</v>
      </c>
      <c r="C5005" s="47" t="s">
        <v>255</v>
      </c>
      <c r="D5005" s="332">
        <v>29.23</v>
      </c>
    </row>
    <row r="5006" spans="1:4" ht="30">
      <c r="A5006" s="28">
        <v>88044</v>
      </c>
      <c r="B5006" s="26" t="s">
        <v>9990</v>
      </c>
      <c r="C5006" s="28" t="s">
        <v>65</v>
      </c>
      <c r="D5006" s="329">
        <v>0.42</v>
      </c>
    </row>
    <row r="5007" spans="1:4" ht="30">
      <c r="A5007" s="47">
        <v>88045</v>
      </c>
      <c r="B5007" s="48" t="s">
        <v>9973</v>
      </c>
      <c r="C5007" s="47" t="s">
        <v>65</v>
      </c>
      <c r="D5007" s="332">
        <v>0.21</v>
      </c>
    </row>
    <row r="5008" spans="1:4" ht="30">
      <c r="A5008" s="28">
        <v>88046</v>
      </c>
      <c r="B5008" s="26" t="s">
        <v>9987</v>
      </c>
      <c r="C5008" s="28" t="s">
        <v>65</v>
      </c>
      <c r="D5008" s="329">
        <v>0.18</v>
      </c>
    </row>
    <row r="5009" spans="1:4" ht="30">
      <c r="A5009" s="47">
        <v>88047</v>
      </c>
      <c r="B5009" s="48" t="s">
        <v>9966</v>
      </c>
      <c r="C5009" s="47" t="s">
        <v>65</v>
      </c>
      <c r="D5009" s="332">
        <v>0.06</v>
      </c>
    </row>
    <row r="5010" spans="1:4" ht="30">
      <c r="A5010" s="28">
        <v>88048</v>
      </c>
      <c r="B5010" s="26" t="s">
        <v>9988</v>
      </c>
      <c r="C5010" s="28" t="s">
        <v>65</v>
      </c>
      <c r="D5010" s="329">
        <v>0.24</v>
      </c>
    </row>
    <row r="5011" spans="1:4" ht="30">
      <c r="A5011" s="47">
        <v>88049</v>
      </c>
      <c r="B5011" s="48" t="s">
        <v>9967</v>
      </c>
      <c r="C5011" s="47" t="s">
        <v>65</v>
      </c>
      <c r="D5011" s="332">
        <v>0.08</v>
      </c>
    </row>
    <row r="5012" spans="1:4" ht="30">
      <c r="A5012" s="28">
        <v>88050</v>
      </c>
      <c r="B5012" s="26" t="s">
        <v>9989</v>
      </c>
      <c r="C5012" s="28" t="s">
        <v>65</v>
      </c>
      <c r="D5012" s="329">
        <v>0.31</v>
      </c>
    </row>
    <row r="5013" spans="1:4" ht="30">
      <c r="A5013" s="47">
        <v>88051</v>
      </c>
      <c r="B5013" s="48" t="s">
        <v>9968</v>
      </c>
      <c r="C5013" s="47" t="s">
        <v>65</v>
      </c>
      <c r="D5013" s="332">
        <v>0.09</v>
      </c>
    </row>
    <row r="5014" spans="1:4" ht="30">
      <c r="A5014" s="28">
        <v>88052</v>
      </c>
      <c r="B5014" s="26" t="s">
        <v>9986</v>
      </c>
      <c r="C5014" s="28" t="s">
        <v>65</v>
      </c>
      <c r="D5014" s="329">
        <v>0.38</v>
      </c>
    </row>
    <row r="5015" spans="1:4" ht="30">
      <c r="A5015" s="47">
        <v>88053</v>
      </c>
      <c r="B5015" s="48" t="s">
        <v>9965</v>
      </c>
      <c r="C5015" s="47" t="s">
        <v>65</v>
      </c>
      <c r="D5015" s="332">
        <v>0.11</v>
      </c>
    </row>
    <row r="5016" spans="1:4" ht="30">
      <c r="A5016" s="28">
        <v>88054</v>
      </c>
      <c r="B5016" s="26" t="s">
        <v>9983</v>
      </c>
      <c r="C5016" s="28" t="s">
        <v>65</v>
      </c>
      <c r="D5016" s="329">
        <v>7.0000000000000007E-2</v>
      </c>
    </row>
    <row r="5017" spans="1:4" ht="30">
      <c r="A5017" s="47">
        <v>88055</v>
      </c>
      <c r="B5017" s="48" t="s">
        <v>9962</v>
      </c>
      <c r="C5017" s="47" t="s">
        <v>65</v>
      </c>
      <c r="D5017" s="332">
        <v>0.01</v>
      </c>
    </row>
    <row r="5018" spans="1:4" ht="30">
      <c r="A5018" s="28">
        <v>88056</v>
      </c>
      <c r="B5018" s="26" t="s">
        <v>9984</v>
      </c>
      <c r="C5018" s="28" t="s">
        <v>65</v>
      </c>
      <c r="D5018" s="329">
        <v>0.12</v>
      </c>
    </row>
    <row r="5019" spans="1:4" ht="30">
      <c r="A5019" s="47">
        <v>88057</v>
      </c>
      <c r="B5019" s="48" t="s">
        <v>9963</v>
      </c>
      <c r="C5019" s="47" t="s">
        <v>65</v>
      </c>
      <c r="D5019" s="332">
        <v>0.03</v>
      </c>
    </row>
    <row r="5020" spans="1:4" ht="30">
      <c r="A5020" s="28">
        <v>88058</v>
      </c>
      <c r="B5020" s="26" t="s">
        <v>9985</v>
      </c>
      <c r="C5020" s="28" t="s">
        <v>65</v>
      </c>
      <c r="D5020" s="329">
        <v>0.18</v>
      </c>
    </row>
    <row r="5021" spans="1:4" ht="30">
      <c r="A5021" s="47">
        <v>88059</v>
      </c>
      <c r="B5021" s="48" t="s">
        <v>9964</v>
      </c>
      <c r="C5021" s="47" t="s">
        <v>65</v>
      </c>
      <c r="D5021" s="332">
        <v>0.04</v>
      </c>
    </row>
    <row r="5022" spans="1:4" ht="30">
      <c r="A5022" s="28">
        <v>88060</v>
      </c>
      <c r="B5022" s="26" t="s">
        <v>9982</v>
      </c>
      <c r="C5022" s="28" t="s">
        <v>65</v>
      </c>
      <c r="D5022" s="329">
        <v>0.24</v>
      </c>
    </row>
    <row r="5023" spans="1:4" ht="30">
      <c r="A5023" s="47">
        <v>88061</v>
      </c>
      <c r="B5023" s="48" t="s">
        <v>9961</v>
      </c>
      <c r="C5023" s="47" t="s">
        <v>65</v>
      </c>
      <c r="D5023" s="332">
        <v>0.06</v>
      </c>
    </row>
    <row r="5024" spans="1:4">
      <c r="A5024" s="28">
        <v>88074</v>
      </c>
      <c r="B5024" s="26" t="s">
        <v>952</v>
      </c>
      <c r="C5024" s="28" t="s">
        <v>256</v>
      </c>
      <c r="D5024" s="329">
        <v>0.6</v>
      </c>
    </row>
    <row r="5025" spans="1:4" ht="30">
      <c r="A5025" s="47">
        <v>88075</v>
      </c>
      <c r="B5025" s="48" t="s">
        <v>10009</v>
      </c>
      <c r="C5025" s="47" t="s">
        <v>256</v>
      </c>
      <c r="D5025" s="332">
        <v>0.41</v>
      </c>
    </row>
    <row r="5026" spans="1:4" ht="30">
      <c r="A5026" s="28">
        <v>88076</v>
      </c>
      <c r="B5026" s="26" t="s">
        <v>10010</v>
      </c>
      <c r="C5026" s="28" t="s">
        <v>256</v>
      </c>
      <c r="D5026" s="329">
        <v>0.47</v>
      </c>
    </row>
    <row r="5027" spans="1:4" ht="30">
      <c r="A5027" s="47">
        <v>88077</v>
      </c>
      <c r="B5027" s="48" t="s">
        <v>10011</v>
      </c>
      <c r="C5027" s="47" t="s">
        <v>256</v>
      </c>
      <c r="D5027" s="332">
        <v>0.54</v>
      </c>
    </row>
    <row r="5028" spans="1:4" ht="30">
      <c r="A5028" s="28">
        <v>88078</v>
      </c>
      <c r="B5028" s="26" t="s">
        <v>10008</v>
      </c>
      <c r="C5028" s="28" t="s">
        <v>256</v>
      </c>
      <c r="D5028" s="329">
        <v>0.62</v>
      </c>
    </row>
    <row r="5029" spans="1:4" ht="30">
      <c r="A5029" s="47">
        <v>88079</v>
      </c>
      <c r="B5029" s="48" t="s">
        <v>10005</v>
      </c>
      <c r="C5029" s="47" t="s">
        <v>256</v>
      </c>
      <c r="D5029" s="332">
        <v>0.1</v>
      </c>
    </row>
    <row r="5030" spans="1:4" ht="30">
      <c r="A5030" s="28">
        <v>88080</v>
      </c>
      <c r="B5030" s="26" t="s">
        <v>10006</v>
      </c>
      <c r="C5030" s="28" t="s">
        <v>256</v>
      </c>
      <c r="D5030" s="329">
        <v>0.17</v>
      </c>
    </row>
    <row r="5031" spans="1:4" ht="30">
      <c r="A5031" s="47">
        <v>88081</v>
      </c>
      <c r="B5031" s="48" t="s">
        <v>10007</v>
      </c>
      <c r="C5031" s="47" t="s">
        <v>256</v>
      </c>
      <c r="D5031" s="332">
        <v>0.26</v>
      </c>
    </row>
    <row r="5032" spans="1:4" ht="30">
      <c r="A5032" s="28">
        <v>88082</v>
      </c>
      <c r="B5032" s="26" t="s">
        <v>10004</v>
      </c>
      <c r="C5032" s="28" t="s">
        <v>256</v>
      </c>
      <c r="D5032" s="329">
        <v>0.35</v>
      </c>
    </row>
    <row r="5033" spans="1:4" ht="30">
      <c r="A5033" s="47">
        <v>88083</v>
      </c>
      <c r="B5033" s="48" t="s">
        <v>953</v>
      </c>
      <c r="C5033" s="47" t="s">
        <v>256</v>
      </c>
      <c r="D5033" s="332">
        <v>0.08</v>
      </c>
    </row>
    <row r="5034" spans="1:4" ht="30">
      <c r="A5034" s="28">
        <v>88084</v>
      </c>
      <c r="B5034" s="26" t="s">
        <v>954</v>
      </c>
      <c r="C5034" s="28" t="s">
        <v>256</v>
      </c>
      <c r="D5034" s="329">
        <v>0.13</v>
      </c>
    </row>
    <row r="5035" spans="1:4" ht="30">
      <c r="A5035" s="47">
        <v>88085</v>
      </c>
      <c r="B5035" s="48" t="s">
        <v>955</v>
      </c>
      <c r="C5035" s="47" t="s">
        <v>256</v>
      </c>
      <c r="D5035" s="332">
        <v>0.18</v>
      </c>
    </row>
    <row r="5036" spans="1:4" ht="30">
      <c r="A5036" s="28">
        <v>88086</v>
      </c>
      <c r="B5036" s="26" t="s">
        <v>10012</v>
      </c>
      <c r="C5036" s="28" t="s">
        <v>256</v>
      </c>
      <c r="D5036" s="329">
        <v>0.25</v>
      </c>
    </row>
    <row r="5037" spans="1:4">
      <c r="A5037" s="47">
        <v>88087</v>
      </c>
      <c r="B5037" s="48" t="s">
        <v>9999</v>
      </c>
      <c r="C5037" s="47" t="s">
        <v>91</v>
      </c>
      <c r="D5037" s="332">
        <v>0.04</v>
      </c>
    </row>
    <row r="5038" spans="1:4" ht="30">
      <c r="A5038" s="28">
        <v>88099</v>
      </c>
      <c r="B5038" s="26" t="s">
        <v>10055</v>
      </c>
      <c r="C5038" s="28" t="s">
        <v>65</v>
      </c>
      <c r="D5038" s="329">
        <v>0.17</v>
      </c>
    </row>
    <row r="5039" spans="1:4" ht="30">
      <c r="A5039" s="47">
        <v>88100</v>
      </c>
      <c r="B5039" s="48" t="s">
        <v>10054</v>
      </c>
      <c r="C5039" s="47" t="s">
        <v>65</v>
      </c>
      <c r="D5039" s="332">
        <v>0.08</v>
      </c>
    </row>
    <row r="5040" spans="1:4">
      <c r="A5040" s="28">
        <v>88101</v>
      </c>
      <c r="B5040" s="26" t="s">
        <v>956</v>
      </c>
      <c r="C5040" s="28" t="s">
        <v>256</v>
      </c>
      <c r="D5040" s="329">
        <v>0.26</v>
      </c>
    </row>
    <row r="5041" spans="1:4">
      <c r="A5041" s="47">
        <v>88102</v>
      </c>
      <c r="B5041" s="48" t="s">
        <v>10056</v>
      </c>
      <c r="C5041" s="47" t="s">
        <v>91</v>
      </c>
      <c r="D5041" s="332">
        <v>0.01</v>
      </c>
    </row>
    <row r="5042" spans="1:4">
      <c r="A5042" s="28">
        <v>88103</v>
      </c>
      <c r="B5042" s="26" t="s">
        <v>10057</v>
      </c>
      <c r="C5042" s="28" t="s">
        <v>91</v>
      </c>
      <c r="D5042" s="329">
        <v>0.03</v>
      </c>
    </row>
    <row r="5043" spans="1:4">
      <c r="A5043" s="47">
        <v>89176</v>
      </c>
      <c r="B5043" s="48" t="s">
        <v>10024</v>
      </c>
      <c r="C5043" s="47" t="s">
        <v>152</v>
      </c>
      <c r="D5043" s="332">
        <v>5.84</v>
      </c>
    </row>
    <row r="5044" spans="1:4">
      <c r="A5044" s="28">
        <v>89177</v>
      </c>
      <c r="B5044" s="26" t="s">
        <v>10019</v>
      </c>
      <c r="C5044" s="28" t="s">
        <v>152</v>
      </c>
      <c r="D5044" s="329">
        <v>8.18</v>
      </c>
    </row>
    <row r="5045" spans="1:4">
      <c r="A5045" s="47">
        <v>89178</v>
      </c>
      <c r="B5045" s="48" t="s">
        <v>10014</v>
      </c>
      <c r="C5045" s="47" t="s">
        <v>152</v>
      </c>
      <c r="D5045" s="332">
        <v>9.35</v>
      </c>
    </row>
    <row r="5046" spans="1:4">
      <c r="A5046" s="28">
        <v>89179</v>
      </c>
      <c r="B5046" s="26" t="s">
        <v>10025</v>
      </c>
      <c r="C5046" s="28" t="s">
        <v>152</v>
      </c>
      <c r="D5046" s="329">
        <v>9.35</v>
      </c>
    </row>
    <row r="5047" spans="1:4">
      <c r="A5047" s="47">
        <v>89180</v>
      </c>
      <c r="B5047" s="48" t="s">
        <v>10020</v>
      </c>
      <c r="C5047" s="47" t="s">
        <v>152</v>
      </c>
      <c r="D5047" s="332">
        <v>10.52</v>
      </c>
    </row>
    <row r="5048" spans="1:4">
      <c r="A5048" s="28">
        <v>89181</v>
      </c>
      <c r="B5048" s="26" t="s">
        <v>10015</v>
      </c>
      <c r="C5048" s="28" t="s">
        <v>152</v>
      </c>
      <c r="D5048" s="329">
        <v>12.86</v>
      </c>
    </row>
    <row r="5049" spans="1:4">
      <c r="A5049" s="47">
        <v>89182</v>
      </c>
      <c r="B5049" s="48" t="s">
        <v>10026</v>
      </c>
      <c r="C5049" s="47" t="s">
        <v>152</v>
      </c>
      <c r="D5049" s="332">
        <v>12.86</v>
      </c>
    </row>
    <row r="5050" spans="1:4">
      <c r="A5050" s="28">
        <v>89183</v>
      </c>
      <c r="B5050" s="26" t="s">
        <v>10021</v>
      </c>
      <c r="C5050" s="28" t="s">
        <v>152</v>
      </c>
      <c r="D5050" s="329">
        <v>14.03</v>
      </c>
    </row>
    <row r="5051" spans="1:4">
      <c r="A5051" s="47">
        <v>89184</v>
      </c>
      <c r="B5051" s="48" t="s">
        <v>10016</v>
      </c>
      <c r="C5051" s="47" t="s">
        <v>152</v>
      </c>
      <c r="D5051" s="332">
        <v>16.37</v>
      </c>
    </row>
    <row r="5052" spans="1:4">
      <c r="A5052" s="28">
        <v>89185</v>
      </c>
      <c r="B5052" s="26" t="s">
        <v>10023</v>
      </c>
      <c r="C5052" s="28" t="s">
        <v>152</v>
      </c>
      <c r="D5052" s="329">
        <v>16.37</v>
      </c>
    </row>
    <row r="5053" spans="1:4">
      <c r="A5053" s="47">
        <v>89186</v>
      </c>
      <c r="B5053" s="48" t="s">
        <v>10018</v>
      </c>
      <c r="C5053" s="47" t="s">
        <v>152</v>
      </c>
      <c r="D5053" s="332">
        <v>17.53</v>
      </c>
    </row>
    <row r="5054" spans="1:4">
      <c r="A5054" s="28">
        <v>89187</v>
      </c>
      <c r="B5054" s="26" t="s">
        <v>10013</v>
      </c>
      <c r="C5054" s="28" t="s">
        <v>152</v>
      </c>
      <c r="D5054" s="329">
        <v>19.87</v>
      </c>
    </row>
    <row r="5055" spans="1:4">
      <c r="A5055" s="47">
        <v>89188</v>
      </c>
      <c r="B5055" s="48" t="s">
        <v>9992</v>
      </c>
      <c r="C5055" s="47" t="s">
        <v>96</v>
      </c>
      <c r="D5055" s="332">
        <v>0.28999999999999998</v>
      </c>
    </row>
    <row r="5056" spans="1:4">
      <c r="A5056" s="28">
        <v>89189</v>
      </c>
      <c r="B5056" s="26" t="s">
        <v>9993</v>
      </c>
      <c r="C5056" s="28" t="s">
        <v>96</v>
      </c>
      <c r="D5056" s="329">
        <v>0.37</v>
      </c>
    </row>
    <row r="5057" spans="1:4">
      <c r="A5057" s="47">
        <v>89190</v>
      </c>
      <c r="B5057" s="48" t="s">
        <v>9994</v>
      </c>
      <c r="C5057" s="47" t="s">
        <v>96</v>
      </c>
      <c r="D5057" s="332">
        <v>0.5</v>
      </c>
    </row>
    <row r="5058" spans="1:4">
      <c r="A5058" s="28">
        <v>89191</v>
      </c>
      <c r="B5058" s="26" t="s">
        <v>9991</v>
      </c>
      <c r="C5058" s="28" t="s">
        <v>96</v>
      </c>
      <c r="D5058" s="329">
        <v>0.61</v>
      </c>
    </row>
    <row r="5059" spans="1:4">
      <c r="A5059" s="47">
        <v>89192</v>
      </c>
      <c r="B5059" s="48" t="s">
        <v>10027</v>
      </c>
      <c r="C5059" s="47" t="s">
        <v>152</v>
      </c>
      <c r="D5059" s="332">
        <v>17.53</v>
      </c>
    </row>
    <row r="5060" spans="1:4">
      <c r="A5060" s="28">
        <v>89193</v>
      </c>
      <c r="B5060" s="26" t="s">
        <v>10022</v>
      </c>
      <c r="C5060" s="28" t="s">
        <v>152</v>
      </c>
      <c r="D5060" s="329">
        <v>29.23</v>
      </c>
    </row>
    <row r="5061" spans="1:4">
      <c r="A5061" s="47">
        <v>89194</v>
      </c>
      <c r="B5061" s="48" t="s">
        <v>10017</v>
      </c>
      <c r="C5061" s="47" t="s">
        <v>152</v>
      </c>
      <c r="D5061" s="332">
        <v>43.26</v>
      </c>
    </row>
    <row r="5062" spans="1:4">
      <c r="A5062" s="28">
        <v>89195</v>
      </c>
      <c r="B5062" s="26" t="s">
        <v>10060</v>
      </c>
      <c r="C5062" s="28" t="s">
        <v>152</v>
      </c>
      <c r="D5062" s="329">
        <v>7.01</v>
      </c>
    </row>
    <row r="5063" spans="1:4">
      <c r="A5063" s="47">
        <v>89196</v>
      </c>
      <c r="B5063" s="48" t="s">
        <v>10059</v>
      </c>
      <c r="C5063" s="47" t="s">
        <v>152</v>
      </c>
      <c r="D5063" s="332">
        <v>11.69</v>
      </c>
    </row>
    <row r="5064" spans="1:4">
      <c r="A5064" s="28">
        <v>89197</v>
      </c>
      <c r="B5064" s="26" t="s">
        <v>10058</v>
      </c>
      <c r="C5064" s="28" t="s">
        <v>152</v>
      </c>
      <c r="D5064" s="329">
        <v>17.53</v>
      </c>
    </row>
    <row r="5065" spans="1:4" ht="30">
      <c r="A5065" s="47">
        <v>91104</v>
      </c>
      <c r="B5065" s="48" t="s">
        <v>10047</v>
      </c>
      <c r="C5065" s="47" t="s">
        <v>71</v>
      </c>
      <c r="D5065" s="332">
        <v>0.04</v>
      </c>
    </row>
    <row r="5066" spans="1:4" ht="30">
      <c r="A5066" s="28">
        <v>91105</v>
      </c>
      <c r="B5066" s="26" t="s">
        <v>10046</v>
      </c>
      <c r="C5066" s="28" t="s">
        <v>71</v>
      </c>
      <c r="D5066" s="329">
        <v>0.11</v>
      </c>
    </row>
    <row r="5067" spans="1:4" ht="45">
      <c r="A5067" s="47">
        <v>91106</v>
      </c>
      <c r="B5067" s="48" t="s">
        <v>10045</v>
      </c>
      <c r="C5067" s="47" t="s">
        <v>71</v>
      </c>
      <c r="D5067" s="332">
        <v>0.04</v>
      </c>
    </row>
    <row r="5068" spans="1:4" ht="45">
      <c r="A5068" s="28">
        <v>91107</v>
      </c>
      <c r="B5068" s="26" t="s">
        <v>10044</v>
      </c>
      <c r="C5068" s="28" t="s">
        <v>71</v>
      </c>
      <c r="D5068" s="329">
        <v>0.05</v>
      </c>
    </row>
    <row r="5069" spans="1:4" ht="45">
      <c r="A5069" s="47">
        <v>91108</v>
      </c>
      <c r="B5069" s="48" t="s">
        <v>10043</v>
      </c>
      <c r="C5069" s="47" t="s">
        <v>71</v>
      </c>
      <c r="D5069" s="332">
        <v>0.11</v>
      </c>
    </row>
    <row r="5070" spans="1:4" ht="30">
      <c r="A5070" s="28">
        <v>91109</v>
      </c>
      <c r="B5070" s="26" t="s">
        <v>10039</v>
      </c>
      <c r="C5070" s="28" t="s">
        <v>71</v>
      </c>
      <c r="D5070" s="329">
        <v>0.09</v>
      </c>
    </row>
    <row r="5071" spans="1:4" ht="30">
      <c r="A5071" s="47">
        <v>91110</v>
      </c>
      <c r="B5071" s="48" t="s">
        <v>10037</v>
      </c>
      <c r="C5071" s="47" t="s">
        <v>71</v>
      </c>
      <c r="D5071" s="332">
        <v>0.11</v>
      </c>
    </row>
    <row r="5072" spans="1:4" ht="30">
      <c r="A5072" s="28">
        <v>91111</v>
      </c>
      <c r="B5072" s="26" t="s">
        <v>10038</v>
      </c>
      <c r="C5072" s="28" t="s">
        <v>71</v>
      </c>
      <c r="D5072" s="329">
        <v>0.15</v>
      </c>
    </row>
    <row r="5073" spans="1:4" ht="30">
      <c r="A5073" s="47">
        <v>91112</v>
      </c>
      <c r="B5073" s="48" t="s">
        <v>10042</v>
      </c>
      <c r="C5073" s="47" t="s">
        <v>71</v>
      </c>
      <c r="D5073" s="332">
        <v>0.08</v>
      </c>
    </row>
    <row r="5074" spans="1:4" ht="30">
      <c r="A5074" s="28">
        <v>91113</v>
      </c>
      <c r="B5074" s="26" t="s">
        <v>10040</v>
      </c>
      <c r="C5074" s="28" t="s">
        <v>71</v>
      </c>
      <c r="D5074" s="329">
        <v>0.17</v>
      </c>
    </row>
    <row r="5075" spans="1:4" ht="30">
      <c r="A5075" s="47">
        <v>91114</v>
      </c>
      <c r="B5075" s="48" t="s">
        <v>10041</v>
      </c>
      <c r="C5075" s="47" t="s">
        <v>71</v>
      </c>
      <c r="D5075" s="332">
        <v>0.32</v>
      </c>
    </row>
    <row r="5076" spans="1:4" ht="30">
      <c r="A5076" s="28">
        <v>91115</v>
      </c>
      <c r="B5076" s="26" t="s">
        <v>10036</v>
      </c>
      <c r="C5076" s="28" t="s">
        <v>71</v>
      </c>
      <c r="D5076" s="329">
        <v>0.05</v>
      </c>
    </row>
    <row r="5077" spans="1:4" ht="30">
      <c r="A5077" s="47">
        <v>91116</v>
      </c>
      <c r="B5077" s="48" t="s">
        <v>10034</v>
      </c>
      <c r="C5077" s="47" t="s">
        <v>71</v>
      </c>
      <c r="D5077" s="332">
        <v>0.09</v>
      </c>
    </row>
    <row r="5078" spans="1:4" ht="30">
      <c r="A5078" s="28">
        <v>91117</v>
      </c>
      <c r="B5078" s="26" t="s">
        <v>10035</v>
      </c>
      <c r="C5078" s="28" t="s">
        <v>71</v>
      </c>
      <c r="D5078" s="329">
        <v>0.13</v>
      </c>
    </row>
    <row r="5079" spans="1:4" ht="30">
      <c r="A5079" s="47">
        <v>91118</v>
      </c>
      <c r="B5079" s="48" t="s">
        <v>10033</v>
      </c>
      <c r="C5079" s="47" t="s">
        <v>71</v>
      </c>
      <c r="D5079" s="332">
        <v>0.11</v>
      </c>
    </row>
    <row r="5080" spans="1:4" ht="45">
      <c r="A5080" s="28">
        <v>91119</v>
      </c>
      <c r="B5080" s="26" t="s">
        <v>10029</v>
      </c>
      <c r="C5080" s="28" t="s">
        <v>71</v>
      </c>
      <c r="D5080" s="329">
        <v>0.21</v>
      </c>
    </row>
    <row r="5081" spans="1:4" ht="45">
      <c r="A5081" s="47">
        <v>91120</v>
      </c>
      <c r="B5081" s="48" t="s">
        <v>10030</v>
      </c>
      <c r="C5081" s="47" t="s">
        <v>71</v>
      </c>
      <c r="D5081" s="332">
        <v>0.32</v>
      </c>
    </row>
    <row r="5082" spans="1:4" ht="45">
      <c r="A5082" s="28">
        <v>91121</v>
      </c>
      <c r="B5082" s="26" t="s">
        <v>10031</v>
      </c>
      <c r="C5082" s="28" t="s">
        <v>71</v>
      </c>
      <c r="D5082" s="329">
        <v>0.53</v>
      </c>
    </row>
    <row r="5083" spans="1:4" ht="45">
      <c r="A5083" s="47">
        <v>91122</v>
      </c>
      <c r="B5083" s="48" t="s">
        <v>10032</v>
      </c>
      <c r="C5083" s="47" t="s">
        <v>71</v>
      </c>
      <c r="D5083" s="332">
        <v>0.75</v>
      </c>
    </row>
    <row r="5084" spans="1:4" ht="45">
      <c r="A5084" s="28">
        <v>91123</v>
      </c>
      <c r="B5084" s="26" t="s">
        <v>10028</v>
      </c>
      <c r="C5084" s="28" t="s">
        <v>71</v>
      </c>
      <c r="D5084" s="329">
        <v>0.97</v>
      </c>
    </row>
    <row r="5085" spans="1:4">
      <c r="A5085" s="47">
        <v>91124</v>
      </c>
      <c r="B5085" s="48" t="s">
        <v>957</v>
      </c>
      <c r="C5085" s="47" t="s">
        <v>255</v>
      </c>
      <c r="D5085" s="332">
        <v>49.69</v>
      </c>
    </row>
    <row r="5086" spans="1:4">
      <c r="A5086" s="28">
        <v>91125</v>
      </c>
      <c r="B5086" s="26" t="s">
        <v>958</v>
      </c>
      <c r="C5086" s="28" t="s">
        <v>90</v>
      </c>
      <c r="D5086" s="329">
        <v>0.05</v>
      </c>
    </row>
    <row r="5087" spans="1:4">
      <c r="A5087" s="47">
        <v>91128</v>
      </c>
      <c r="B5087" s="48" t="s">
        <v>9996</v>
      </c>
      <c r="C5087" s="47" t="s">
        <v>96</v>
      </c>
      <c r="D5087" s="332">
        <v>0.15</v>
      </c>
    </row>
    <row r="5088" spans="1:4">
      <c r="A5088" s="28">
        <v>91129</v>
      </c>
      <c r="B5088" s="26" t="s">
        <v>9997</v>
      </c>
      <c r="C5088" s="28" t="s">
        <v>96</v>
      </c>
      <c r="D5088" s="329">
        <v>0.24</v>
      </c>
    </row>
    <row r="5089" spans="1:4">
      <c r="A5089" s="47">
        <v>91130</v>
      </c>
      <c r="B5089" s="48" t="s">
        <v>9998</v>
      </c>
      <c r="C5089" s="47" t="s">
        <v>96</v>
      </c>
      <c r="D5089" s="332">
        <v>0.32</v>
      </c>
    </row>
    <row r="5090" spans="1:4">
      <c r="A5090" s="28">
        <v>91132</v>
      </c>
      <c r="B5090" s="26" t="s">
        <v>9995</v>
      </c>
      <c r="C5090" s="28" t="s">
        <v>96</v>
      </c>
      <c r="D5090" s="329">
        <v>0.45</v>
      </c>
    </row>
    <row r="5091" spans="1:4" ht="30">
      <c r="A5091" s="47">
        <v>91134</v>
      </c>
      <c r="B5091" s="48" t="s">
        <v>959</v>
      </c>
      <c r="C5091" s="47" t="s">
        <v>152</v>
      </c>
      <c r="D5091" s="332">
        <v>2.68</v>
      </c>
    </row>
    <row r="5092" spans="1:4" ht="30">
      <c r="A5092" s="28">
        <v>91135</v>
      </c>
      <c r="B5092" s="26" t="s">
        <v>960</v>
      </c>
      <c r="C5092" s="28" t="s">
        <v>152</v>
      </c>
      <c r="D5092" s="329">
        <v>4.72</v>
      </c>
    </row>
    <row r="5093" spans="1:4" ht="30">
      <c r="A5093" s="47">
        <v>91136</v>
      </c>
      <c r="B5093" s="48" t="s">
        <v>961</v>
      </c>
      <c r="C5093" s="47" t="s">
        <v>152</v>
      </c>
      <c r="D5093" s="332">
        <v>6.76</v>
      </c>
    </row>
    <row r="5094" spans="1:4" ht="30">
      <c r="A5094" s="28">
        <v>91137</v>
      </c>
      <c r="B5094" s="26" t="s">
        <v>962</v>
      </c>
      <c r="C5094" s="28" t="s">
        <v>152</v>
      </c>
      <c r="D5094" s="329">
        <v>8.8000000000000007</v>
      </c>
    </row>
    <row r="5095" spans="1:4" ht="30">
      <c r="A5095" s="47">
        <v>91138</v>
      </c>
      <c r="B5095" s="48" t="s">
        <v>9979</v>
      </c>
      <c r="C5095" s="47" t="s">
        <v>135</v>
      </c>
      <c r="D5095" s="332">
        <v>88.05</v>
      </c>
    </row>
    <row r="5096" spans="1:4" ht="30">
      <c r="A5096" s="28">
        <v>91139</v>
      </c>
      <c r="B5096" s="26" t="s">
        <v>9975</v>
      </c>
      <c r="C5096" s="28" t="s">
        <v>135</v>
      </c>
      <c r="D5096" s="329">
        <v>47.22</v>
      </c>
    </row>
    <row r="5097" spans="1:4" ht="30">
      <c r="A5097" s="47">
        <v>91140</v>
      </c>
      <c r="B5097" s="48" t="s">
        <v>9970</v>
      </c>
      <c r="C5097" s="47" t="s">
        <v>135</v>
      </c>
      <c r="D5097" s="332">
        <v>20.41</v>
      </c>
    </row>
    <row r="5098" spans="1:4" ht="30">
      <c r="A5098" s="28">
        <v>91141</v>
      </c>
      <c r="B5098" s="26" t="s">
        <v>9980</v>
      </c>
      <c r="C5098" s="28" t="s">
        <v>135</v>
      </c>
      <c r="D5098" s="329">
        <v>135.28</v>
      </c>
    </row>
    <row r="5099" spans="1:4" ht="30">
      <c r="A5099" s="47">
        <v>91142</v>
      </c>
      <c r="B5099" s="48" t="s">
        <v>9976</v>
      </c>
      <c r="C5099" s="47" t="s">
        <v>135</v>
      </c>
      <c r="D5099" s="332">
        <v>88.05</v>
      </c>
    </row>
    <row r="5100" spans="1:4" ht="30">
      <c r="A5100" s="28">
        <v>91143</v>
      </c>
      <c r="B5100" s="26" t="s">
        <v>9971</v>
      </c>
      <c r="C5100" s="28" t="s">
        <v>135</v>
      </c>
      <c r="D5100" s="329">
        <v>20.41</v>
      </c>
    </row>
    <row r="5101" spans="1:4" ht="30">
      <c r="A5101" s="47">
        <v>91144</v>
      </c>
      <c r="B5101" s="48" t="s">
        <v>9981</v>
      </c>
      <c r="C5101" s="47" t="s">
        <v>135</v>
      </c>
      <c r="D5101" s="332">
        <v>182.51</v>
      </c>
    </row>
    <row r="5102" spans="1:4" ht="30">
      <c r="A5102" s="28">
        <v>91145</v>
      </c>
      <c r="B5102" s="26" t="s">
        <v>9977</v>
      </c>
      <c r="C5102" s="28" t="s">
        <v>135</v>
      </c>
      <c r="D5102" s="329">
        <v>135.28</v>
      </c>
    </row>
    <row r="5103" spans="1:4" ht="30">
      <c r="A5103" s="47">
        <v>91146</v>
      </c>
      <c r="B5103" s="48" t="s">
        <v>9972</v>
      </c>
      <c r="C5103" s="47" t="s">
        <v>135</v>
      </c>
      <c r="D5103" s="332">
        <v>26.81</v>
      </c>
    </row>
    <row r="5104" spans="1:4" ht="30">
      <c r="A5104" s="28">
        <v>91147</v>
      </c>
      <c r="B5104" s="26" t="s">
        <v>9978</v>
      </c>
      <c r="C5104" s="28" t="s">
        <v>135</v>
      </c>
      <c r="D5104" s="329">
        <v>250.15</v>
      </c>
    </row>
    <row r="5105" spans="1:4" ht="30">
      <c r="A5105" s="47">
        <v>91148</v>
      </c>
      <c r="B5105" s="48" t="s">
        <v>9974</v>
      </c>
      <c r="C5105" s="47" t="s">
        <v>135</v>
      </c>
      <c r="D5105" s="332">
        <v>162.09</v>
      </c>
    </row>
    <row r="5106" spans="1:4" ht="30">
      <c r="A5106" s="28">
        <v>91149</v>
      </c>
      <c r="B5106" s="26" t="s">
        <v>9969</v>
      </c>
      <c r="C5106" s="28" t="s">
        <v>135</v>
      </c>
      <c r="D5106" s="329">
        <v>40.83</v>
      </c>
    </row>
    <row r="5107" spans="1:4">
      <c r="A5107" s="47">
        <v>92121</v>
      </c>
      <c r="B5107" s="48" t="s">
        <v>963</v>
      </c>
      <c r="C5107" s="47" t="s">
        <v>255</v>
      </c>
      <c r="D5107" s="332">
        <v>17.54</v>
      </c>
    </row>
    <row r="5108" spans="1:4">
      <c r="A5108" s="28">
        <v>92122</v>
      </c>
      <c r="B5108" s="26" t="s">
        <v>964</v>
      </c>
      <c r="C5108" s="28" t="s">
        <v>255</v>
      </c>
      <c r="D5108" s="329">
        <v>28.04</v>
      </c>
    </row>
    <row r="5109" spans="1:4">
      <c r="A5109" s="47">
        <v>92123</v>
      </c>
      <c r="B5109" s="48" t="s">
        <v>965</v>
      </c>
      <c r="C5109" s="47" t="s">
        <v>255</v>
      </c>
      <c r="D5109" s="332">
        <v>27.44</v>
      </c>
    </row>
    <row r="5110" spans="1:4">
      <c r="A5110" s="28">
        <v>94926</v>
      </c>
      <c r="B5110" s="26" t="s">
        <v>9953</v>
      </c>
      <c r="C5110" s="28" t="s">
        <v>256</v>
      </c>
      <c r="D5110" s="329">
        <v>0.84</v>
      </c>
    </row>
    <row r="5111" spans="1:4">
      <c r="A5111" s="47">
        <v>94927</v>
      </c>
      <c r="B5111" s="48" t="s">
        <v>10050</v>
      </c>
      <c r="C5111" s="47" t="s">
        <v>256</v>
      </c>
      <c r="D5111" s="332">
        <v>0.43</v>
      </c>
    </row>
    <row r="5112" spans="1:4" ht="30">
      <c r="A5112" s="28">
        <v>94928</v>
      </c>
      <c r="B5112" s="26" t="s">
        <v>9954</v>
      </c>
      <c r="C5112" s="28" t="s">
        <v>65</v>
      </c>
      <c r="D5112" s="329">
        <v>1.33</v>
      </c>
    </row>
    <row r="5113" spans="1:4" ht="30">
      <c r="A5113" s="47">
        <v>94929</v>
      </c>
      <c r="B5113" s="48" t="s">
        <v>9955</v>
      </c>
      <c r="C5113" s="47" t="s">
        <v>65</v>
      </c>
      <c r="D5113" s="332">
        <v>2.35</v>
      </c>
    </row>
    <row r="5114" spans="1:4" ht="30">
      <c r="A5114" s="28">
        <v>94930</v>
      </c>
      <c r="B5114" s="26" t="s">
        <v>10051</v>
      </c>
      <c r="C5114" s="28" t="s">
        <v>65</v>
      </c>
      <c r="D5114" s="329">
        <v>0.69</v>
      </c>
    </row>
    <row r="5115" spans="1:4" ht="30">
      <c r="A5115" s="47">
        <v>94931</v>
      </c>
      <c r="B5115" s="48" t="s">
        <v>10052</v>
      </c>
      <c r="C5115" s="47" t="s">
        <v>65</v>
      </c>
      <c r="D5115" s="332">
        <v>1.22</v>
      </c>
    </row>
    <row r="5116" spans="1:4" ht="30">
      <c r="A5116" s="28">
        <v>94932</v>
      </c>
      <c r="B5116" s="26" t="s">
        <v>9949</v>
      </c>
      <c r="C5116" s="28" t="s">
        <v>65</v>
      </c>
      <c r="D5116" s="329">
        <v>2.4900000000000002</v>
      </c>
    </row>
    <row r="5117" spans="1:4" ht="45">
      <c r="A5117" s="47">
        <v>94934</v>
      </c>
      <c r="B5117" s="48" t="s">
        <v>10049</v>
      </c>
      <c r="C5117" s="47" t="s">
        <v>65</v>
      </c>
      <c r="D5117" s="332">
        <v>0.86</v>
      </c>
    </row>
    <row r="5118" spans="1:4" ht="45">
      <c r="A5118" s="28">
        <v>94935</v>
      </c>
      <c r="B5118" s="26" t="s">
        <v>9940</v>
      </c>
      <c r="C5118" s="28" t="s">
        <v>65</v>
      </c>
      <c r="D5118" s="329">
        <v>1.35</v>
      </c>
    </row>
    <row r="5119" spans="1:4" ht="45">
      <c r="A5119" s="47">
        <v>94936</v>
      </c>
      <c r="B5119" s="48" t="s">
        <v>9943</v>
      </c>
      <c r="C5119" s="47" t="s">
        <v>65</v>
      </c>
      <c r="D5119" s="332">
        <v>2.16</v>
      </c>
    </row>
    <row r="5120" spans="1:4" ht="45">
      <c r="A5120" s="28">
        <v>94937</v>
      </c>
      <c r="B5120" s="26" t="s">
        <v>9946</v>
      </c>
      <c r="C5120" s="28" t="s">
        <v>65</v>
      </c>
      <c r="D5120" s="329">
        <v>3.19</v>
      </c>
    </row>
    <row r="5121" spans="1:4" ht="45">
      <c r="A5121" s="47">
        <v>94938</v>
      </c>
      <c r="B5121" s="48" t="s">
        <v>9933</v>
      </c>
      <c r="C5121" s="47" t="s">
        <v>65</v>
      </c>
      <c r="D5121" s="332">
        <v>4.21</v>
      </c>
    </row>
    <row r="5122" spans="1:4">
      <c r="A5122" s="28">
        <v>94939</v>
      </c>
      <c r="B5122" s="26" t="s">
        <v>9960</v>
      </c>
      <c r="C5122" s="28" t="s">
        <v>256</v>
      </c>
      <c r="D5122" s="329">
        <v>1.31</v>
      </c>
    </row>
    <row r="5123" spans="1:4">
      <c r="A5123" s="47">
        <v>94940</v>
      </c>
      <c r="B5123" s="48" t="s">
        <v>10053</v>
      </c>
      <c r="C5123" s="47" t="s">
        <v>256</v>
      </c>
      <c r="D5123" s="332">
        <v>0.68</v>
      </c>
    </row>
    <row r="5124" spans="1:4">
      <c r="A5124" s="28">
        <v>94941</v>
      </c>
      <c r="B5124" s="26" t="s">
        <v>9956</v>
      </c>
      <c r="C5124" s="28" t="s">
        <v>90</v>
      </c>
      <c r="D5124" s="329">
        <v>0.04</v>
      </c>
    </row>
    <row r="5125" spans="1:4">
      <c r="A5125" s="47">
        <v>94942</v>
      </c>
      <c r="B5125" s="48" t="s">
        <v>9952</v>
      </c>
      <c r="C5125" s="47" t="s">
        <v>256</v>
      </c>
      <c r="D5125" s="332">
        <v>0.53</v>
      </c>
    </row>
    <row r="5126" spans="1:4" ht="30">
      <c r="A5126" s="28">
        <v>94943</v>
      </c>
      <c r="B5126" s="26" t="s">
        <v>9959</v>
      </c>
      <c r="C5126" s="28" t="s">
        <v>256</v>
      </c>
      <c r="D5126" s="329">
        <v>0.28000000000000003</v>
      </c>
    </row>
    <row r="5127" spans="1:4" ht="30">
      <c r="A5127" s="47">
        <v>94944</v>
      </c>
      <c r="B5127" s="48" t="s">
        <v>9958</v>
      </c>
      <c r="C5127" s="47" t="s">
        <v>256</v>
      </c>
      <c r="D5127" s="332">
        <v>0.73</v>
      </c>
    </row>
    <row r="5128" spans="1:4" ht="45">
      <c r="A5128" s="28">
        <v>94945</v>
      </c>
      <c r="B5128" s="26" t="s">
        <v>9938</v>
      </c>
      <c r="C5128" s="28" t="s">
        <v>256</v>
      </c>
      <c r="D5128" s="329">
        <v>0.25</v>
      </c>
    </row>
    <row r="5129" spans="1:4" ht="30">
      <c r="A5129" s="47">
        <v>94946</v>
      </c>
      <c r="B5129" s="48" t="s">
        <v>9948</v>
      </c>
      <c r="C5129" s="47" t="s">
        <v>65</v>
      </c>
      <c r="D5129" s="332">
        <v>0.75</v>
      </c>
    </row>
    <row r="5130" spans="1:4" ht="30">
      <c r="A5130" s="28">
        <v>94947</v>
      </c>
      <c r="B5130" s="26" t="s">
        <v>10048</v>
      </c>
      <c r="C5130" s="28" t="s">
        <v>65</v>
      </c>
      <c r="D5130" s="329">
        <v>0.55000000000000004</v>
      </c>
    </row>
    <row r="5131" spans="1:4" ht="30">
      <c r="A5131" s="47">
        <v>94948</v>
      </c>
      <c r="B5131" s="48" t="s">
        <v>9939</v>
      </c>
      <c r="C5131" s="47" t="s">
        <v>65</v>
      </c>
      <c r="D5131" s="332">
        <v>0.39</v>
      </c>
    </row>
    <row r="5132" spans="1:4" ht="30">
      <c r="A5132" s="28">
        <v>94949</v>
      </c>
      <c r="B5132" s="26" t="s">
        <v>9942</v>
      </c>
      <c r="C5132" s="28" t="s">
        <v>65</v>
      </c>
      <c r="D5132" s="329">
        <v>0.6</v>
      </c>
    </row>
    <row r="5133" spans="1:4" ht="30">
      <c r="A5133" s="47">
        <v>94950</v>
      </c>
      <c r="B5133" s="48" t="s">
        <v>9945</v>
      </c>
      <c r="C5133" s="47" t="s">
        <v>65</v>
      </c>
      <c r="D5133" s="332">
        <v>0.86</v>
      </c>
    </row>
    <row r="5134" spans="1:4" ht="30">
      <c r="A5134" s="28">
        <v>94951</v>
      </c>
      <c r="B5134" s="26" t="s">
        <v>9932</v>
      </c>
      <c r="C5134" s="28" t="s">
        <v>65</v>
      </c>
      <c r="D5134" s="329">
        <v>1.1100000000000001</v>
      </c>
    </row>
    <row r="5135" spans="1:4" ht="30">
      <c r="A5135" s="47">
        <v>94952</v>
      </c>
      <c r="B5135" s="48" t="s">
        <v>9936</v>
      </c>
      <c r="C5135" s="47" t="s">
        <v>65</v>
      </c>
      <c r="D5135" s="332">
        <v>0.32</v>
      </c>
    </row>
    <row r="5136" spans="1:4" ht="30">
      <c r="A5136" s="28">
        <v>94953</v>
      </c>
      <c r="B5136" s="26" t="s">
        <v>9957</v>
      </c>
      <c r="C5136" s="28" t="s">
        <v>256</v>
      </c>
      <c r="D5136" s="329">
        <v>3.39</v>
      </c>
    </row>
    <row r="5137" spans="1:4" ht="30">
      <c r="A5137" s="47">
        <v>94954</v>
      </c>
      <c r="B5137" s="48" t="s">
        <v>9941</v>
      </c>
      <c r="C5137" s="47" t="s">
        <v>256</v>
      </c>
      <c r="D5137" s="332">
        <v>0.55000000000000004</v>
      </c>
    </row>
    <row r="5138" spans="1:4" ht="30">
      <c r="A5138" s="28">
        <v>94955</v>
      </c>
      <c r="B5138" s="26" t="s">
        <v>9944</v>
      </c>
      <c r="C5138" s="28" t="s">
        <v>256</v>
      </c>
      <c r="D5138" s="329">
        <v>0.82</v>
      </c>
    </row>
    <row r="5139" spans="1:4" ht="30">
      <c r="A5139" s="47">
        <v>94956</v>
      </c>
      <c r="B5139" s="48" t="s">
        <v>9947</v>
      </c>
      <c r="C5139" s="47" t="s">
        <v>256</v>
      </c>
      <c r="D5139" s="332">
        <v>1.1599999999999999</v>
      </c>
    </row>
    <row r="5140" spans="1:4" ht="30">
      <c r="A5140" s="28">
        <v>94957</v>
      </c>
      <c r="B5140" s="26" t="s">
        <v>9935</v>
      </c>
      <c r="C5140" s="28" t="s">
        <v>256</v>
      </c>
      <c r="D5140" s="329">
        <v>1.5</v>
      </c>
    </row>
    <row r="5141" spans="1:4" ht="30">
      <c r="A5141" s="47">
        <v>94958</v>
      </c>
      <c r="B5141" s="48" t="s">
        <v>9937</v>
      </c>
      <c r="C5141" s="47" t="s">
        <v>256</v>
      </c>
      <c r="D5141" s="332">
        <v>0.56999999999999995</v>
      </c>
    </row>
    <row r="5142" spans="1:4">
      <c r="A5142" s="28">
        <v>94959</v>
      </c>
      <c r="B5142" s="26" t="s">
        <v>9950</v>
      </c>
      <c r="C5142" s="28" t="s">
        <v>71</v>
      </c>
      <c r="D5142" s="329">
        <v>0.93</v>
      </c>
    </row>
    <row r="5143" spans="1:4" ht="30">
      <c r="A5143" s="47">
        <v>94960</v>
      </c>
      <c r="B5143" s="48" t="s">
        <v>9934</v>
      </c>
      <c r="C5143" s="47" t="s">
        <v>71</v>
      </c>
      <c r="D5143" s="332">
        <v>0.76</v>
      </c>
    </row>
    <row r="5144" spans="1:4">
      <c r="A5144" s="28">
        <v>94961</v>
      </c>
      <c r="B5144" s="26" t="s">
        <v>9951</v>
      </c>
      <c r="C5144" s="28" t="s">
        <v>71</v>
      </c>
      <c r="D5144" s="329">
        <v>0.35</v>
      </c>
    </row>
    <row r="5145" spans="1:4">
      <c r="A5145" s="47">
        <v>9537</v>
      </c>
      <c r="B5145" s="48" t="s">
        <v>966</v>
      </c>
      <c r="C5145" s="47" t="s">
        <v>256</v>
      </c>
      <c r="D5145" s="332">
        <v>1.81</v>
      </c>
    </row>
    <row r="5146" spans="1:4">
      <c r="A5146" s="28" t="s">
        <v>967</v>
      </c>
      <c r="B5146" s="26" t="s">
        <v>6741</v>
      </c>
      <c r="C5146" s="28" t="s">
        <v>256</v>
      </c>
      <c r="D5146" s="329">
        <v>1.21</v>
      </c>
    </row>
    <row r="5147" spans="1:4">
      <c r="A5147" s="47" t="s">
        <v>968</v>
      </c>
      <c r="B5147" s="48" t="s">
        <v>6745</v>
      </c>
      <c r="C5147" s="47" t="s">
        <v>256</v>
      </c>
      <c r="D5147" s="332">
        <v>6.2</v>
      </c>
    </row>
    <row r="5148" spans="1:4">
      <c r="A5148" s="28" t="s">
        <v>969</v>
      </c>
      <c r="B5148" s="26" t="s">
        <v>970</v>
      </c>
      <c r="C5148" s="28" t="s">
        <v>256</v>
      </c>
      <c r="D5148" s="329">
        <v>4.5</v>
      </c>
    </row>
    <row r="5149" spans="1:4">
      <c r="A5149" s="47" t="s">
        <v>971</v>
      </c>
      <c r="B5149" s="48" t="s">
        <v>972</v>
      </c>
      <c r="C5149" s="47" t="s">
        <v>256</v>
      </c>
      <c r="D5149" s="332">
        <v>8.6300000000000008</v>
      </c>
    </row>
    <row r="5150" spans="1:4">
      <c r="A5150" s="28" t="s">
        <v>973</v>
      </c>
      <c r="B5150" s="26" t="s">
        <v>974</v>
      </c>
      <c r="C5150" s="28" t="s">
        <v>256</v>
      </c>
      <c r="D5150" s="329">
        <v>17.89</v>
      </c>
    </row>
    <row r="5151" spans="1:4">
      <c r="A5151" s="47" t="s">
        <v>975</v>
      </c>
      <c r="B5151" s="48" t="s">
        <v>6743</v>
      </c>
      <c r="C5151" s="47" t="s">
        <v>256</v>
      </c>
      <c r="D5151" s="332">
        <v>15.34</v>
      </c>
    </row>
    <row r="5152" spans="1:4">
      <c r="A5152" s="28" t="s">
        <v>976</v>
      </c>
      <c r="B5152" s="26" t="s">
        <v>6744</v>
      </c>
      <c r="C5152" s="28" t="s">
        <v>256</v>
      </c>
      <c r="D5152" s="329">
        <v>10.06</v>
      </c>
    </row>
    <row r="5153" spans="1:4">
      <c r="A5153" s="47" t="s">
        <v>977</v>
      </c>
      <c r="B5153" s="48" t="s">
        <v>978</v>
      </c>
      <c r="C5153" s="47" t="s">
        <v>256</v>
      </c>
      <c r="D5153" s="332">
        <v>2.92</v>
      </c>
    </row>
    <row r="5154" spans="1:4">
      <c r="A5154" s="28" t="s">
        <v>979</v>
      </c>
      <c r="B5154" s="26" t="s">
        <v>980</v>
      </c>
      <c r="C5154" s="28" t="s">
        <v>65</v>
      </c>
      <c r="D5154" s="329">
        <v>18.989999999999998</v>
      </c>
    </row>
    <row r="5155" spans="1:4">
      <c r="A5155" s="47">
        <v>84117</v>
      </c>
      <c r="B5155" s="48" t="s">
        <v>8540</v>
      </c>
      <c r="C5155" s="47" t="s">
        <v>256</v>
      </c>
      <c r="D5155" s="332">
        <v>15.27</v>
      </c>
    </row>
    <row r="5156" spans="1:4">
      <c r="A5156" s="28">
        <v>84120</v>
      </c>
      <c r="B5156" s="26" t="s">
        <v>5007</v>
      </c>
      <c r="C5156" s="28" t="s">
        <v>256</v>
      </c>
      <c r="D5156" s="329">
        <v>11.79</v>
      </c>
    </row>
    <row r="5157" spans="1:4">
      <c r="A5157" s="47">
        <v>84123</v>
      </c>
      <c r="B5157" s="48" t="s">
        <v>6755</v>
      </c>
      <c r="C5157" s="47" t="s">
        <v>256</v>
      </c>
      <c r="D5157" s="332">
        <v>4.55</v>
      </c>
    </row>
    <row r="5158" spans="1:4">
      <c r="A5158" s="28">
        <v>84125</v>
      </c>
      <c r="B5158" s="26" t="s">
        <v>6740</v>
      </c>
      <c r="C5158" s="28" t="s">
        <v>256</v>
      </c>
      <c r="D5158" s="329">
        <v>5.69</v>
      </c>
    </row>
    <row r="5159" spans="1:4">
      <c r="A5159" s="47" t="s">
        <v>981</v>
      </c>
      <c r="B5159" s="48" t="s">
        <v>7933</v>
      </c>
      <c r="C5159" s="47" t="s">
        <v>71</v>
      </c>
      <c r="D5159" s="332">
        <v>45.36</v>
      </c>
    </row>
    <row r="5160" spans="1:4">
      <c r="A5160" s="28" t="s">
        <v>982</v>
      </c>
      <c r="B5160" s="26" t="s">
        <v>7932</v>
      </c>
      <c r="C5160" s="28" t="s">
        <v>71</v>
      </c>
      <c r="D5160" s="329">
        <v>85.97</v>
      </c>
    </row>
    <row r="5161" spans="1:4">
      <c r="A5161" s="47">
        <v>84127</v>
      </c>
      <c r="B5161" s="48" t="s">
        <v>8822</v>
      </c>
      <c r="C5161" s="47" t="s">
        <v>71</v>
      </c>
      <c r="D5161" s="332">
        <v>243.47</v>
      </c>
    </row>
    <row r="5162" spans="1:4">
      <c r="A5162" s="28">
        <v>40841</v>
      </c>
      <c r="B5162" s="26" t="s">
        <v>1444</v>
      </c>
      <c r="C5162" s="28" t="s">
        <v>65</v>
      </c>
      <c r="D5162" s="329">
        <v>89.62</v>
      </c>
    </row>
    <row r="5163" spans="1:4" ht="30">
      <c r="A5163" s="47">
        <v>6391</v>
      </c>
      <c r="B5163" s="48" t="s">
        <v>9048</v>
      </c>
      <c r="C5163" s="47" t="s">
        <v>71</v>
      </c>
      <c r="D5163" s="332">
        <v>115.15</v>
      </c>
    </row>
    <row r="5164" spans="1:4" ht="30">
      <c r="A5164" s="28">
        <v>84132</v>
      </c>
      <c r="B5164" s="26" t="s">
        <v>9046</v>
      </c>
      <c r="C5164" s="28" t="s">
        <v>71</v>
      </c>
      <c r="D5164" s="329">
        <v>182.51</v>
      </c>
    </row>
    <row r="5165" spans="1:4" ht="30">
      <c r="A5165" s="47">
        <v>84133</v>
      </c>
      <c r="B5165" s="48" t="s">
        <v>9045</v>
      </c>
      <c r="C5165" s="47" t="s">
        <v>71</v>
      </c>
      <c r="D5165" s="332">
        <v>253.58</v>
      </c>
    </row>
    <row r="5166" spans="1:4" ht="30">
      <c r="A5166" s="28">
        <v>71516</v>
      </c>
      <c r="B5166" s="26" t="s">
        <v>3946</v>
      </c>
      <c r="C5166" s="28" t="s">
        <v>65</v>
      </c>
      <c r="D5166" s="329">
        <v>580.38</v>
      </c>
    </row>
    <row r="5167" spans="1:4">
      <c r="A5167" s="47">
        <v>73361</v>
      </c>
      <c r="B5167" s="48" t="s">
        <v>3761</v>
      </c>
      <c r="C5167" s="47" t="s">
        <v>255</v>
      </c>
      <c r="D5167" s="332">
        <v>301.93</v>
      </c>
    </row>
    <row r="5168" spans="1:4">
      <c r="A5168" s="28">
        <v>73503</v>
      </c>
      <c r="B5168" s="26" t="s">
        <v>9921</v>
      </c>
      <c r="C5168" s="28" t="s">
        <v>71</v>
      </c>
      <c r="D5168" s="329">
        <v>7.32</v>
      </c>
    </row>
    <row r="5169" spans="1:4">
      <c r="A5169" s="47">
        <v>73504</v>
      </c>
      <c r="B5169" s="48" t="s">
        <v>9931</v>
      </c>
      <c r="C5169" s="47" t="s">
        <v>71</v>
      </c>
      <c r="D5169" s="332">
        <v>6.18</v>
      </c>
    </row>
    <row r="5170" spans="1:4">
      <c r="A5170" s="28">
        <v>73505</v>
      </c>
      <c r="B5170" s="26" t="s">
        <v>9930</v>
      </c>
      <c r="C5170" s="28" t="s">
        <v>71</v>
      </c>
      <c r="D5170" s="329">
        <v>5.12</v>
      </c>
    </row>
    <row r="5171" spans="1:4">
      <c r="A5171" s="47">
        <v>73506</v>
      </c>
      <c r="B5171" s="48" t="s">
        <v>9929</v>
      </c>
      <c r="C5171" s="47" t="s">
        <v>71</v>
      </c>
      <c r="D5171" s="332">
        <v>4.1500000000000004</v>
      </c>
    </row>
    <row r="5172" spans="1:4">
      <c r="A5172" s="28">
        <v>73507</v>
      </c>
      <c r="B5172" s="26" t="s">
        <v>9928</v>
      </c>
      <c r="C5172" s="28" t="s">
        <v>71</v>
      </c>
      <c r="D5172" s="329">
        <v>3.25</v>
      </c>
    </row>
    <row r="5173" spans="1:4">
      <c r="A5173" s="47">
        <v>73508</v>
      </c>
      <c r="B5173" s="48" t="s">
        <v>9927</v>
      </c>
      <c r="C5173" s="47" t="s">
        <v>71</v>
      </c>
      <c r="D5173" s="332">
        <v>2.4700000000000002</v>
      </c>
    </row>
    <row r="5174" spans="1:4">
      <c r="A5174" s="28">
        <v>73509</v>
      </c>
      <c r="B5174" s="26" t="s">
        <v>9926</v>
      </c>
      <c r="C5174" s="28" t="s">
        <v>71</v>
      </c>
      <c r="D5174" s="329">
        <v>1.79</v>
      </c>
    </row>
    <row r="5175" spans="1:4">
      <c r="A5175" s="47">
        <v>73510</v>
      </c>
      <c r="B5175" s="48" t="s">
        <v>9907</v>
      </c>
      <c r="C5175" s="47" t="s">
        <v>71</v>
      </c>
      <c r="D5175" s="332">
        <v>18.850000000000001</v>
      </c>
    </row>
    <row r="5176" spans="1:4">
      <c r="A5176" s="28">
        <v>73511</v>
      </c>
      <c r="B5176" s="26" t="s">
        <v>9906</v>
      </c>
      <c r="C5176" s="28" t="s">
        <v>71</v>
      </c>
      <c r="D5176" s="329">
        <v>16.260000000000002</v>
      </c>
    </row>
    <row r="5177" spans="1:4">
      <c r="A5177" s="47">
        <v>73512</v>
      </c>
      <c r="B5177" s="48" t="s">
        <v>9905</v>
      </c>
      <c r="C5177" s="47" t="s">
        <v>71</v>
      </c>
      <c r="D5177" s="332">
        <v>14.12</v>
      </c>
    </row>
    <row r="5178" spans="1:4">
      <c r="A5178" s="28">
        <v>73513</v>
      </c>
      <c r="B5178" s="26" t="s">
        <v>9920</v>
      </c>
      <c r="C5178" s="28" t="s">
        <v>71</v>
      </c>
      <c r="D5178" s="329">
        <v>11.91</v>
      </c>
    </row>
    <row r="5179" spans="1:4">
      <c r="A5179" s="47">
        <v>73514</v>
      </c>
      <c r="B5179" s="48" t="s">
        <v>9919</v>
      </c>
      <c r="C5179" s="47" t="s">
        <v>71</v>
      </c>
      <c r="D5179" s="332">
        <v>9.8800000000000008</v>
      </c>
    </row>
    <row r="5180" spans="1:4">
      <c r="A5180" s="28">
        <v>73515</v>
      </c>
      <c r="B5180" s="26" t="s">
        <v>9917</v>
      </c>
      <c r="C5180" s="28" t="s">
        <v>71</v>
      </c>
      <c r="D5180" s="329">
        <v>8</v>
      </c>
    </row>
    <row r="5181" spans="1:4">
      <c r="A5181" s="47">
        <v>73516</v>
      </c>
      <c r="B5181" s="48" t="s">
        <v>9916</v>
      </c>
      <c r="C5181" s="47" t="s">
        <v>71</v>
      </c>
      <c r="D5181" s="332">
        <v>6.3</v>
      </c>
    </row>
    <row r="5182" spans="1:4">
      <c r="A5182" s="28">
        <v>73517</v>
      </c>
      <c r="B5182" s="26" t="s">
        <v>9915</v>
      </c>
      <c r="C5182" s="28" t="s">
        <v>71</v>
      </c>
      <c r="D5182" s="329">
        <v>4.76</v>
      </c>
    </row>
    <row r="5183" spans="1:4">
      <c r="A5183" s="47">
        <v>73518</v>
      </c>
      <c r="B5183" s="48" t="s">
        <v>9914</v>
      </c>
      <c r="C5183" s="47" t="s">
        <v>71</v>
      </c>
      <c r="D5183" s="332">
        <v>4.13</v>
      </c>
    </row>
    <row r="5184" spans="1:4">
      <c r="A5184" s="28">
        <v>73519</v>
      </c>
      <c r="B5184" s="26" t="s">
        <v>9913</v>
      </c>
      <c r="C5184" s="28" t="s">
        <v>71</v>
      </c>
      <c r="D5184" s="329">
        <v>3.46</v>
      </c>
    </row>
    <row r="5185" spans="1:4">
      <c r="A5185" s="47">
        <v>73520</v>
      </c>
      <c r="B5185" s="48" t="s">
        <v>9912</v>
      </c>
      <c r="C5185" s="47" t="s">
        <v>71</v>
      </c>
      <c r="D5185" s="332">
        <v>2.91</v>
      </c>
    </row>
    <row r="5186" spans="1:4">
      <c r="A5186" s="28">
        <v>73521</v>
      </c>
      <c r="B5186" s="26" t="s">
        <v>9911</v>
      </c>
      <c r="C5186" s="28" t="s">
        <v>71</v>
      </c>
      <c r="D5186" s="329">
        <v>2.34</v>
      </c>
    </row>
    <row r="5187" spans="1:4">
      <c r="A5187" s="47">
        <v>73522</v>
      </c>
      <c r="B5187" s="48" t="s">
        <v>9910</v>
      </c>
      <c r="C5187" s="47" t="s">
        <v>71</v>
      </c>
      <c r="D5187" s="332">
        <v>1.85</v>
      </c>
    </row>
    <row r="5188" spans="1:4">
      <c r="A5188" s="28">
        <v>73523</v>
      </c>
      <c r="B5188" s="26" t="s">
        <v>9909</v>
      </c>
      <c r="C5188" s="28" t="s">
        <v>71</v>
      </c>
      <c r="D5188" s="329">
        <v>1.39</v>
      </c>
    </row>
    <row r="5189" spans="1:4">
      <c r="A5189" s="47">
        <v>73524</v>
      </c>
      <c r="B5189" s="48" t="s">
        <v>9908</v>
      </c>
      <c r="C5189" s="47" t="s">
        <v>71</v>
      </c>
      <c r="D5189" s="332">
        <v>1.0900000000000001</v>
      </c>
    </row>
    <row r="5190" spans="1:4">
      <c r="A5190" s="28">
        <v>73587</v>
      </c>
      <c r="B5190" s="26" t="s">
        <v>9925</v>
      </c>
      <c r="C5190" s="28" t="s">
        <v>71</v>
      </c>
      <c r="D5190" s="329">
        <v>1.25</v>
      </c>
    </row>
    <row r="5191" spans="1:4">
      <c r="A5191" s="47">
        <v>73588</v>
      </c>
      <c r="B5191" s="48" t="s">
        <v>9924</v>
      </c>
      <c r="C5191" s="47" t="s">
        <v>71</v>
      </c>
      <c r="D5191" s="332">
        <v>0.84</v>
      </c>
    </row>
    <row r="5192" spans="1:4">
      <c r="A5192" s="28">
        <v>73589</v>
      </c>
      <c r="B5192" s="26" t="s">
        <v>9923</v>
      </c>
      <c r="C5192" s="28" t="s">
        <v>71</v>
      </c>
      <c r="D5192" s="329">
        <v>0.57999999999999996</v>
      </c>
    </row>
    <row r="5193" spans="1:4">
      <c r="A5193" s="47">
        <v>73590</v>
      </c>
      <c r="B5193" s="48" t="s">
        <v>9922</v>
      </c>
      <c r="C5193" s="47" t="s">
        <v>71</v>
      </c>
      <c r="D5193" s="332">
        <v>0.36</v>
      </c>
    </row>
    <row r="5194" spans="1:4">
      <c r="A5194" s="28">
        <v>73597</v>
      </c>
      <c r="B5194" s="26" t="s">
        <v>9904</v>
      </c>
      <c r="C5194" s="28" t="s">
        <v>71</v>
      </c>
      <c r="D5194" s="329">
        <v>0.84</v>
      </c>
    </row>
    <row r="5195" spans="1:4">
      <c r="A5195" s="47">
        <v>73598</v>
      </c>
      <c r="B5195" s="48" t="s">
        <v>9918</v>
      </c>
      <c r="C5195" s="47" t="s">
        <v>71</v>
      </c>
      <c r="D5195" s="332">
        <v>0.57999999999999996</v>
      </c>
    </row>
    <row r="5196" spans="1:4" ht="45">
      <c r="A5196" s="28">
        <v>73714</v>
      </c>
      <c r="B5196" s="26" t="s">
        <v>3118</v>
      </c>
      <c r="C5196" s="28" t="s">
        <v>65</v>
      </c>
      <c r="D5196" s="329">
        <v>1170.7</v>
      </c>
    </row>
    <row r="5197" spans="1:4" ht="30">
      <c r="A5197" s="47">
        <v>86957</v>
      </c>
      <c r="B5197" s="48" t="s">
        <v>7268</v>
      </c>
      <c r="C5197" s="47" t="s">
        <v>65</v>
      </c>
      <c r="D5197" s="332">
        <v>24.09</v>
      </c>
    </row>
    <row r="5198" spans="1:4" ht="30">
      <c r="A5198" s="28">
        <v>86958</v>
      </c>
      <c r="B5198" s="26" t="s">
        <v>7267</v>
      </c>
      <c r="C5198" s="28" t="s">
        <v>65</v>
      </c>
      <c r="D5198" s="329">
        <v>21.25</v>
      </c>
    </row>
    <row r="5199" spans="1:4">
      <c r="A5199" s="47" t="s">
        <v>983</v>
      </c>
      <c r="B5199" s="48" t="s">
        <v>8122</v>
      </c>
      <c r="C5199" s="47" t="s">
        <v>65</v>
      </c>
      <c r="D5199" s="332">
        <v>81.81</v>
      </c>
    </row>
    <row r="5200" spans="1:4" ht="30">
      <c r="A5200" s="28">
        <v>73672</v>
      </c>
      <c r="B5200" s="26" t="s">
        <v>4677</v>
      </c>
      <c r="C5200" s="28" t="s">
        <v>256</v>
      </c>
      <c r="D5200" s="329">
        <v>0.44</v>
      </c>
    </row>
    <row r="5201" spans="1:4" ht="30">
      <c r="A5201" s="47" t="s">
        <v>984</v>
      </c>
      <c r="B5201" s="48" t="s">
        <v>6742</v>
      </c>
      <c r="C5201" s="47" t="s">
        <v>256</v>
      </c>
      <c r="D5201" s="332">
        <v>0.56000000000000005</v>
      </c>
    </row>
    <row r="5202" spans="1:4" ht="30">
      <c r="A5202" s="28" t="s">
        <v>985</v>
      </c>
      <c r="B5202" s="26" t="s">
        <v>4678</v>
      </c>
      <c r="C5202" s="28" t="s">
        <v>256</v>
      </c>
      <c r="D5202" s="329">
        <v>0.15</v>
      </c>
    </row>
    <row r="5203" spans="1:4">
      <c r="A5203" s="47" t="s">
        <v>986</v>
      </c>
      <c r="B5203" s="48" t="s">
        <v>987</v>
      </c>
      <c r="C5203" s="47" t="s">
        <v>256</v>
      </c>
      <c r="D5203" s="332">
        <v>0.93</v>
      </c>
    </row>
    <row r="5204" spans="1:4">
      <c r="A5204" s="28">
        <v>85331</v>
      </c>
      <c r="B5204" s="26" t="s">
        <v>988</v>
      </c>
      <c r="C5204" s="28" t="s">
        <v>256</v>
      </c>
      <c r="D5204" s="329">
        <v>0.9</v>
      </c>
    </row>
    <row r="5205" spans="1:4">
      <c r="A5205" s="47">
        <v>85422</v>
      </c>
      <c r="B5205" s="48" t="s">
        <v>989</v>
      </c>
      <c r="C5205" s="47" t="s">
        <v>256</v>
      </c>
      <c r="D5205" s="332">
        <v>4.67</v>
      </c>
    </row>
    <row r="5206" spans="1:4" ht="30">
      <c r="A5206" s="28">
        <v>73683</v>
      </c>
      <c r="B5206" s="26" t="s">
        <v>6067</v>
      </c>
      <c r="C5206" s="28" t="s">
        <v>65</v>
      </c>
      <c r="D5206" s="329">
        <v>46.62</v>
      </c>
    </row>
    <row r="5207" spans="1:4" ht="30">
      <c r="A5207" s="47" t="s">
        <v>990</v>
      </c>
      <c r="B5207" s="48" t="s">
        <v>9208</v>
      </c>
      <c r="C5207" s="47" t="s">
        <v>256</v>
      </c>
      <c r="D5207" s="332">
        <v>43.59</v>
      </c>
    </row>
    <row r="5208" spans="1:4">
      <c r="A5208" s="28" t="s">
        <v>991</v>
      </c>
      <c r="B5208" s="26" t="s">
        <v>9039</v>
      </c>
      <c r="C5208" s="28" t="s">
        <v>71</v>
      </c>
      <c r="D5208" s="329">
        <v>2.0699999999999998</v>
      </c>
    </row>
    <row r="5209" spans="1:4">
      <c r="A5209" s="47" t="s">
        <v>992</v>
      </c>
      <c r="B5209" s="48" t="s">
        <v>7844</v>
      </c>
      <c r="C5209" s="47" t="s">
        <v>256</v>
      </c>
      <c r="D5209" s="332">
        <v>43.48</v>
      </c>
    </row>
    <row r="5210" spans="1:4">
      <c r="A5210" s="28" t="s">
        <v>993</v>
      </c>
      <c r="B5210" s="26" t="s">
        <v>7845</v>
      </c>
      <c r="C5210" s="28" t="s">
        <v>256</v>
      </c>
      <c r="D5210" s="329">
        <v>41.94</v>
      </c>
    </row>
    <row r="5211" spans="1:4" ht="30">
      <c r="A5211" s="47">
        <v>84126</v>
      </c>
      <c r="B5211" s="48" t="s">
        <v>3451</v>
      </c>
      <c r="C5211" s="47" t="s">
        <v>256</v>
      </c>
      <c r="D5211" s="332">
        <v>29.11</v>
      </c>
    </row>
    <row r="5212" spans="1:4">
      <c r="A5212" s="28">
        <v>72214</v>
      </c>
      <c r="B5212" s="26" t="s">
        <v>4652</v>
      </c>
      <c r="C5212" s="28" t="s">
        <v>255</v>
      </c>
      <c r="D5212" s="329">
        <v>46.77</v>
      </c>
    </row>
    <row r="5213" spans="1:4">
      <c r="A5213" s="47">
        <v>72215</v>
      </c>
      <c r="B5213" s="48" t="s">
        <v>4649</v>
      </c>
      <c r="C5213" s="47" t="s">
        <v>255</v>
      </c>
      <c r="D5213" s="332">
        <v>29.23</v>
      </c>
    </row>
    <row r="5214" spans="1:4">
      <c r="A5214" s="28">
        <v>72216</v>
      </c>
      <c r="B5214" s="26" t="s">
        <v>4662</v>
      </c>
      <c r="C5214" s="28" t="s">
        <v>255</v>
      </c>
      <c r="D5214" s="329">
        <v>152.01</v>
      </c>
    </row>
    <row r="5215" spans="1:4">
      <c r="A5215" s="47">
        <v>72220</v>
      </c>
      <c r="B5215" s="48" t="s">
        <v>994</v>
      </c>
      <c r="C5215" s="47" t="s">
        <v>256</v>
      </c>
      <c r="D5215" s="332">
        <v>11.69</v>
      </c>
    </row>
    <row r="5216" spans="1:4">
      <c r="A5216" s="28">
        <v>72221</v>
      </c>
      <c r="B5216" s="26" t="s">
        <v>8751</v>
      </c>
      <c r="C5216" s="28" t="s">
        <v>256</v>
      </c>
      <c r="D5216" s="329">
        <v>11.69</v>
      </c>
    </row>
    <row r="5217" spans="1:4">
      <c r="A5217" s="47">
        <v>72224</v>
      </c>
      <c r="B5217" s="48" t="s">
        <v>4661</v>
      </c>
      <c r="C5217" s="47" t="s">
        <v>256</v>
      </c>
      <c r="D5217" s="332">
        <v>7.01</v>
      </c>
    </row>
    <row r="5218" spans="1:4" ht="30">
      <c r="A5218" s="28">
        <v>72226</v>
      </c>
      <c r="B5218" s="26" t="s">
        <v>8748</v>
      </c>
      <c r="C5218" s="28" t="s">
        <v>256</v>
      </c>
      <c r="D5218" s="329">
        <v>8.4700000000000006</v>
      </c>
    </row>
    <row r="5219" spans="1:4" ht="30">
      <c r="A5219" s="47">
        <v>72228</v>
      </c>
      <c r="B5219" s="48" t="s">
        <v>8747</v>
      </c>
      <c r="C5219" s="47" t="s">
        <v>256</v>
      </c>
      <c r="D5219" s="332">
        <v>14.13</v>
      </c>
    </row>
    <row r="5220" spans="1:4">
      <c r="A5220" s="28">
        <v>72237</v>
      </c>
      <c r="B5220" s="26" t="s">
        <v>995</v>
      </c>
      <c r="C5220" s="28" t="s">
        <v>256</v>
      </c>
      <c r="D5220" s="329">
        <v>11.3</v>
      </c>
    </row>
    <row r="5221" spans="1:4">
      <c r="A5221" s="47">
        <v>72238</v>
      </c>
      <c r="B5221" s="48" t="s">
        <v>8749</v>
      </c>
      <c r="C5221" s="47" t="s">
        <v>256</v>
      </c>
      <c r="D5221" s="332">
        <v>5.65</v>
      </c>
    </row>
    <row r="5222" spans="1:4" ht="43.5" customHeight="1">
      <c r="A5222" s="28">
        <v>73616</v>
      </c>
      <c r="B5222" s="26" t="s">
        <v>4653</v>
      </c>
      <c r="C5222" s="28" t="s">
        <v>255</v>
      </c>
      <c r="D5222" s="329">
        <v>173.88</v>
      </c>
    </row>
    <row r="5223" spans="1:4">
      <c r="A5223" s="47" t="s">
        <v>996</v>
      </c>
      <c r="B5223" s="48" t="s">
        <v>4658</v>
      </c>
      <c r="C5223" s="47" t="s">
        <v>256</v>
      </c>
      <c r="D5223" s="332">
        <v>17.53</v>
      </c>
    </row>
    <row r="5224" spans="1:4">
      <c r="A5224" s="28" t="s">
        <v>997</v>
      </c>
      <c r="B5224" s="26" t="s">
        <v>4660</v>
      </c>
      <c r="C5224" s="28" t="s">
        <v>256</v>
      </c>
      <c r="D5224" s="329">
        <v>5.84</v>
      </c>
    </row>
    <row r="5225" spans="1:4">
      <c r="A5225" s="47" t="s">
        <v>998</v>
      </c>
      <c r="B5225" s="48" t="s">
        <v>8729</v>
      </c>
      <c r="C5225" s="47" t="s">
        <v>256</v>
      </c>
      <c r="D5225" s="332">
        <v>29.36</v>
      </c>
    </row>
    <row r="5226" spans="1:4">
      <c r="A5226" s="28" t="s">
        <v>999</v>
      </c>
      <c r="B5226" s="26" t="s">
        <v>4651</v>
      </c>
      <c r="C5226" s="28" t="s">
        <v>255</v>
      </c>
      <c r="D5226" s="329">
        <v>53.5</v>
      </c>
    </row>
    <row r="5227" spans="1:4">
      <c r="A5227" s="47" t="s">
        <v>1000</v>
      </c>
      <c r="B5227" s="48" t="s">
        <v>4650</v>
      </c>
      <c r="C5227" s="47" t="s">
        <v>255</v>
      </c>
      <c r="D5227" s="332">
        <v>66.87</v>
      </c>
    </row>
    <row r="5228" spans="1:4" ht="30">
      <c r="A5228" s="28">
        <v>84152</v>
      </c>
      <c r="B5228" s="26" t="s">
        <v>4663</v>
      </c>
      <c r="C5228" s="28" t="s">
        <v>255</v>
      </c>
      <c r="D5228" s="329">
        <v>227.38</v>
      </c>
    </row>
    <row r="5229" spans="1:4">
      <c r="A5229" s="47">
        <v>85332</v>
      </c>
      <c r="B5229" s="48" t="s">
        <v>8743</v>
      </c>
      <c r="C5229" s="47" t="s">
        <v>65</v>
      </c>
      <c r="D5229" s="332">
        <v>4.24</v>
      </c>
    </row>
    <row r="5230" spans="1:4">
      <c r="A5230" s="28">
        <v>85333</v>
      </c>
      <c r="B5230" s="26" t="s">
        <v>8744</v>
      </c>
      <c r="C5230" s="28" t="s">
        <v>65</v>
      </c>
      <c r="D5230" s="329">
        <v>14.24</v>
      </c>
    </row>
    <row r="5231" spans="1:4">
      <c r="A5231" s="47">
        <v>85334</v>
      </c>
      <c r="B5231" s="48" t="s">
        <v>8746</v>
      </c>
      <c r="C5231" s="47" t="s">
        <v>256</v>
      </c>
      <c r="D5231" s="332">
        <v>11.69</v>
      </c>
    </row>
    <row r="5232" spans="1:4">
      <c r="A5232" s="28">
        <v>85335</v>
      </c>
      <c r="B5232" s="26" t="s">
        <v>8750</v>
      </c>
      <c r="C5232" s="28" t="s">
        <v>71</v>
      </c>
      <c r="D5232" s="329">
        <v>5.98</v>
      </c>
    </row>
    <row r="5233" spans="1:4" ht="30">
      <c r="A5233" s="47">
        <v>85336</v>
      </c>
      <c r="B5233" s="48" t="s">
        <v>8752</v>
      </c>
      <c r="C5233" s="47" t="s">
        <v>71</v>
      </c>
      <c r="D5233" s="332">
        <v>4.1900000000000004</v>
      </c>
    </row>
    <row r="5234" spans="1:4">
      <c r="A5234" s="28">
        <v>85362</v>
      </c>
      <c r="B5234" s="26" t="s">
        <v>4654</v>
      </c>
      <c r="C5234" s="28" t="s">
        <v>256</v>
      </c>
      <c r="D5234" s="329">
        <v>9.35</v>
      </c>
    </row>
    <row r="5235" spans="1:4">
      <c r="A5235" s="47">
        <v>85364</v>
      </c>
      <c r="B5235" s="48" t="s">
        <v>4664</v>
      </c>
      <c r="C5235" s="47" t="s">
        <v>255</v>
      </c>
      <c r="D5235" s="332">
        <v>173.88</v>
      </c>
    </row>
    <row r="5236" spans="1:4">
      <c r="A5236" s="28">
        <v>85366</v>
      </c>
      <c r="B5236" s="26" t="s">
        <v>4666</v>
      </c>
      <c r="C5236" s="28" t="s">
        <v>256</v>
      </c>
      <c r="D5236" s="329">
        <v>15.2</v>
      </c>
    </row>
    <row r="5237" spans="1:4" ht="43.5" customHeight="1">
      <c r="A5237" s="47">
        <v>85369</v>
      </c>
      <c r="B5237" s="48" t="s">
        <v>8727</v>
      </c>
      <c r="C5237" s="47" t="s">
        <v>256</v>
      </c>
      <c r="D5237" s="332">
        <v>26.73</v>
      </c>
    </row>
    <row r="5238" spans="1:4" ht="30">
      <c r="A5238" s="28">
        <v>85370</v>
      </c>
      <c r="B5238" s="26" t="s">
        <v>4665</v>
      </c>
      <c r="C5238" s="28" t="s">
        <v>255</v>
      </c>
      <c r="D5238" s="329">
        <v>179.49</v>
      </c>
    </row>
    <row r="5239" spans="1:4">
      <c r="A5239" s="47">
        <v>85371</v>
      </c>
      <c r="B5239" s="48" t="s">
        <v>8730</v>
      </c>
      <c r="C5239" s="47" t="s">
        <v>256</v>
      </c>
      <c r="D5239" s="332">
        <v>2.2000000000000002</v>
      </c>
    </row>
    <row r="5240" spans="1:4">
      <c r="A5240" s="28">
        <v>85372</v>
      </c>
      <c r="B5240" s="26" t="s">
        <v>4656</v>
      </c>
      <c r="C5240" s="28" t="s">
        <v>256</v>
      </c>
      <c r="D5240" s="329">
        <v>1.75</v>
      </c>
    </row>
    <row r="5241" spans="1:4">
      <c r="A5241" s="47">
        <v>85374</v>
      </c>
      <c r="B5241" s="48" t="s">
        <v>8724</v>
      </c>
      <c r="C5241" s="47" t="s">
        <v>65</v>
      </c>
      <c r="D5241" s="332">
        <v>7.79</v>
      </c>
    </row>
    <row r="5242" spans="1:4" ht="29.25" customHeight="1">
      <c r="A5242" s="28">
        <v>85375</v>
      </c>
      <c r="B5242" s="26" t="s">
        <v>8722</v>
      </c>
      <c r="C5242" s="28" t="s">
        <v>256</v>
      </c>
      <c r="D5242" s="329">
        <v>9.36</v>
      </c>
    </row>
    <row r="5243" spans="1:4">
      <c r="A5243" s="47">
        <v>85376</v>
      </c>
      <c r="B5243" s="48" t="s">
        <v>4659</v>
      </c>
      <c r="C5243" s="47" t="s">
        <v>256</v>
      </c>
      <c r="D5243" s="332">
        <v>4.01</v>
      </c>
    </row>
    <row r="5244" spans="1:4">
      <c r="A5244" s="28">
        <v>85383</v>
      </c>
      <c r="B5244" s="26" t="s">
        <v>8723</v>
      </c>
      <c r="C5244" s="28" t="s">
        <v>71</v>
      </c>
      <c r="D5244" s="329">
        <v>2.33</v>
      </c>
    </row>
    <row r="5245" spans="1:4">
      <c r="A5245" s="47">
        <v>85389</v>
      </c>
      <c r="B5245" s="48" t="s">
        <v>8735</v>
      </c>
      <c r="C5245" s="47" t="s">
        <v>71</v>
      </c>
      <c r="D5245" s="332">
        <v>61.23</v>
      </c>
    </row>
    <row r="5246" spans="1:4" ht="29.25" customHeight="1">
      <c r="A5246" s="28">
        <v>85390</v>
      </c>
      <c r="B5246" s="26" t="s">
        <v>8736</v>
      </c>
      <c r="C5246" s="28" t="s">
        <v>71</v>
      </c>
      <c r="D5246" s="329">
        <v>30.47</v>
      </c>
    </row>
    <row r="5247" spans="1:4">
      <c r="A5247" s="47">
        <v>85392</v>
      </c>
      <c r="B5247" s="48" t="s">
        <v>8737</v>
      </c>
      <c r="C5247" s="47" t="s">
        <v>71</v>
      </c>
      <c r="D5247" s="332">
        <v>149.53</v>
      </c>
    </row>
    <row r="5248" spans="1:4">
      <c r="A5248" s="28">
        <v>85406</v>
      </c>
      <c r="B5248" s="26" t="s">
        <v>8721</v>
      </c>
      <c r="C5248" s="28" t="s">
        <v>256</v>
      </c>
      <c r="D5248" s="329">
        <v>33.43</v>
      </c>
    </row>
    <row r="5249" spans="1:4">
      <c r="A5249" s="47">
        <v>85407</v>
      </c>
      <c r="B5249" s="48" t="s">
        <v>8726</v>
      </c>
      <c r="C5249" s="47" t="s">
        <v>71</v>
      </c>
      <c r="D5249" s="332">
        <v>8.34</v>
      </c>
    </row>
    <row r="5250" spans="1:4">
      <c r="A5250" s="28">
        <v>85408</v>
      </c>
      <c r="B5250" s="26" t="s">
        <v>8728</v>
      </c>
      <c r="C5250" s="28" t="s">
        <v>256</v>
      </c>
      <c r="D5250" s="329">
        <v>24.07</v>
      </c>
    </row>
    <row r="5251" spans="1:4" ht="43.5" customHeight="1">
      <c r="A5251" s="47">
        <v>85409</v>
      </c>
      <c r="B5251" s="48" t="s">
        <v>8731</v>
      </c>
      <c r="C5251" s="47" t="s">
        <v>256</v>
      </c>
      <c r="D5251" s="332">
        <v>4.93</v>
      </c>
    </row>
    <row r="5252" spans="1:4">
      <c r="A5252" s="28">
        <v>85411</v>
      </c>
      <c r="B5252" s="26" t="s">
        <v>8732</v>
      </c>
      <c r="C5252" s="28" t="s">
        <v>71</v>
      </c>
      <c r="D5252" s="329">
        <v>2.52</v>
      </c>
    </row>
    <row r="5253" spans="1:4">
      <c r="A5253" s="47">
        <v>85415</v>
      </c>
      <c r="B5253" s="48" t="s">
        <v>8725</v>
      </c>
      <c r="C5253" s="47" t="s">
        <v>65</v>
      </c>
      <c r="D5253" s="332">
        <v>7.59</v>
      </c>
    </row>
    <row r="5254" spans="1:4">
      <c r="A5254" s="28">
        <v>85416</v>
      </c>
      <c r="B5254" s="26" t="s">
        <v>8733</v>
      </c>
      <c r="C5254" s="28" t="s">
        <v>65</v>
      </c>
      <c r="D5254" s="329">
        <v>11.11</v>
      </c>
    </row>
    <row r="5255" spans="1:4">
      <c r="A5255" s="47">
        <v>85417</v>
      </c>
      <c r="B5255" s="48" t="s">
        <v>8753</v>
      </c>
      <c r="C5255" s="47" t="s">
        <v>71</v>
      </c>
      <c r="D5255" s="332">
        <v>3.04</v>
      </c>
    </row>
    <row r="5256" spans="1:4">
      <c r="A5256" s="28">
        <v>85418</v>
      </c>
      <c r="B5256" s="26" t="s">
        <v>8755</v>
      </c>
      <c r="C5256" s="28" t="s">
        <v>71</v>
      </c>
      <c r="D5256" s="329">
        <v>6.07</v>
      </c>
    </row>
    <row r="5257" spans="1:4">
      <c r="A5257" s="47">
        <v>85419</v>
      </c>
      <c r="B5257" s="48" t="s">
        <v>8754</v>
      </c>
      <c r="C5257" s="47" t="s">
        <v>71</v>
      </c>
      <c r="D5257" s="332">
        <v>3.78</v>
      </c>
    </row>
    <row r="5258" spans="1:4">
      <c r="A5258" s="28">
        <v>85420</v>
      </c>
      <c r="B5258" s="26" t="s">
        <v>8756</v>
      </c>
      <c r="C5258" s="28" t="s">
        <v>71</v>
      </c>
      <c r="D5258" s="329">
        <v>9.1</v>
      </c>
    </row>
    <row r="5259" spans="1:4">
      <c r="A5259" s="47">
        <v>85421</v>
      </c>
      <c r="B5259" s="48" t="s">
        <v>8734</v>
      </c>
      <c r="C5259" s="47" t="s">
        <v>256</v>
      </c>
      <c r="D5259" s="332">
        <v>9.82</v>
      </c>
    </row>
    <row r="5260" spans="1:4">
      <c r="A5260" s="28">
        <v>89263</v>
      </c>
      <c r="B5260" s="26" t="s">
        <v>4655</v>
      </c>
      <c r="C5260" s="28" t="s">
        <v>256</v>
      </c>
      <c r="D5260" s="329">
        <v>22.55</v>
      </c>
    </row>
    <row r="5261" spans="1:4">
      <c r="A5261" s="47">
        <v>85423</v>
      </c>
      <c r="B5261" s="48" t="s">
        <v>6162</v>
      </c>
      <c r="C5261" s="47" t="s">
        <v>256</v>
      </c>
      <c r="D5261" s="332">
        <v>6.5</v>
      </c>
    </row>
    <row r="5262" spans="1:4" ht="30">
      <c r="A5262" s="28">
        <v>85424</v>
      </c>
      <c r="B5262" s="26" t="s">
        <v>6163</v>
      </c>
      <c r="C5262" s="28" t="s">
        <v>256</v>
      </c>
      <c r="D5262" s="329">
        <v>18.36</v>
      </c>
    </row>
    <row r="5263" spans="1:4">
      <c r="A5263" s="47">
        <v>72742</v>
      </c>
      <c r="B5263" s="48" t="s">
        <v>5062</v>
      </c>
      <c r="C5263" s="47" t="s">
        <v>65</v>
      </c>
      <c r="D5263" s="332">
        <v>661.9</v>
      </c>
    </row>
    <row r="5264" spans="1:4">
      <c r="A5264" s="28">
        <v>72743</v>
      </c>
      <c r="B5264" s="26" t="s">
        <v>5061</v>
      </c>
      <c r="C5264" s="28" t="s">
        <v>65</v>
      </c>
      <c r="D5264" s="329">
        <v>330.95</v>
      </c>
    </row>
    <row r="5265" spans="1:4">
      <c r="A5265" s="47" t="s">
        <v>1001</v>
      </c>
      <c r="B5265" s="48" t="s">
        <v>5077</v>
      </c>
      <c r="C5265" s="47" t="s">
        <v>256</v>
      </c>
      <c r="D5265" s="332">
        <v>0.06</v>
      </c>
    </row>
    <row r="5266" spans="1:4">
      <c r="A5266" s="28" t="s">
        <v>1002</v>
      </c>
      <c r="B5266" s="26" t="s">
        <v>5087</v>
      </c>
      <c r="C5266" s="28" t="s">
        <v>256</v>
      </c>
      <c r="D5266" s="329">
        <v>0.16</v>
      </c>
    </row>
    <row r="5267" spans="1:4">
      <c r="A5267" s="47" t="s">
        <v>1003</v>
      </c>
      <c r="B5267" s="48" t="s">
        <v>5088</v>
      </c>
      <c r="C5267" s="47" t="s">
        <v>256</v>
      </c>
      <c r="D5267" s="332">
        <v>0.17</v>
      </c>
    </row>
    <row r="5268" spans="1:4">
      <c r="A5268" s="28" t="s">
        <v>1004</v>
      </c>
      <c r="B5268" s="26" t="s">
        <v>5085</v>
      </c>
      <c r="C5268" s="28" t="s">
        <v>256</v>
      </c>
      <c r="D5268" s="329">
        <v>0.21</v>
      </c>
    </row>
    <row r="5269" spans="1:4">
      <c r="A5269" s="47" t="s">
        <v>1005</v>
      </c>
      <c r="B5269" s="48" t="s">
        <v>5086</v>
      </c>
      <c r="C5269" s="47" t="s">
        <v>256</v>
      </c>
      <c r="D5269" s="332">
        <v>0.28999999999999998</v>
      </c>
    </row>
    <row r="5270" spans="1:4">
      <c r="A5270" s="28" t="s">
        <v>1006</v>
      </c>
      <c r="B5270" s="26" t="s">
        <v>5089</v>
      </c>
      <c r="C5270" s="28" t="s">
        <v>256</v>
      </c>
      <c r="D5270" s="329">
        <v>0.28999999999999998</v>
      </c>
    </row>
    <row r="5271" spans="1:4">
      <c r="A5271" s="47" t="s">
        <v>1007</v>
      </c>
      <c r="B5271" s="48" t="s">
        <v>5090</v>
      </c>
      <c r="C5271" s="47" t="s">
        <v>256</v>
      </c>
      <c r="D5271" s="332">
        <v>0.32</v>
      </c>
    </row>
    <row r="5272" spans="1:4">
      <c r="A5272" s="28" t="s">
        <v>1008</v>
      </c>
      <c r="B5272" s="26" t="s">
        <v>5078</v>
      </c>
      <c r="C5272" s="28" t="s">
        <v>255</v>
      </c>
      <c r="D5272" s="329">
        <v>1.47</v>
      </c>
    </row>
    <row r="5273" spans="1:4">
      <c r="A5273" s="47" t="s">
        <v>1009</v>
      </c>
      <c r="B5273" s="48" t="s">
        <v>5079</v>
      </c>
      <c r="C5273" s="47" t="s">
        <v>255</v>
      </c>
      <c r="D5273" s="332">
        <v>1.46</v>
      </c>
    </row>
    <row r="5274" spans="1:4">
      <c r="A5274" s="28" t="s">
        <v>1010</v>
      </c>
      <c r="B5274" s="26" t="s">
        <v>5081</v>
      </c>
      <c r="C5274" s="28" t="s">
        <v>255</v>
      </c>
      <c r="D5274" s="329">
        <v>1.1299999999999999</v>
      </c>
    </row>
    <row r="5275" spans="1:4">
      <c r="A5275" s="47" t="s">
        <v>1011</v>
      </c>
      <c r="B5275" s="48" t="s">
        <v>1012</v>
      </c>
      <c r="C5275" s="47" t="s">
        <v>152</v>
      </c>
      <c r="D5275" s="332">
        <v>37.340000000000003</v>
      </c>
    </row>
    <row r="5276" spans="1:4">
      <c r="A5276" s="28" t="s">
        <v>1013</v>
      </c>
      <c r="B5276" s="26" t="s">
        <v>5076</v>
      </c>
      <c r="C5276" s="28" t="s">
        <v>152</v>
      </c>
      <c r="D5276" s="329">
        <v>52.16</v>
      </c>
    </row>
    <row r="5277" spans="1:4">
      <c r="A5277" s="47" t="s">
        <v>1014</v>
      </c>
      <c r="B5277" s="48" t="s">
        <v>1015</v>
      </c>
      <c r="C5277" s="47" t="s">
        <v>255</v>
      </c>
      <c r="D5277" s="332">
        <v>26.35</v>
      </c>
    </row>
    <row r="5278" spans="1:4">
      <c r="A5278" s="28" t="s">
        <v>1016</v>
      </c>
      <c r="B5278" s="26" t="s">
        <v>1017</v>
      </c>
      <c r="C5278" s="28" t="s">
        <v>255</v>
      </c>
      <c r="D5278" s="329">
        <v>22.74</v>
      </c>
    </row>
    <row r="5279" spans="1:4">
      <c r="A5279" s="47" t="s">
        <v>1018</v>
      </c>
      <c r="B5279" s="48" t="s">
        <v>1019</v>
      </c>
      <c r="C5279" s="47" t="s">
        <v>255</v>
      </c>
      <c r="D5279" s="332">
        <v>0.62</v>
      </c>
    </row>
    <row r="5280" spans="1:4">
      <c r="A5280" s="28" t="s">
        <v>1020</v>
      </c>
      <c r="B5280" s="26" t="s">
        <v>1021</v>
      </c>
      <c r="C5280" s="28" t="s">
        <v>255</v>
      </c>
      <c r="D5280" s="329">
        <v>1.98</v>
      </c>
    </row>
    <row r="5281" spans="1:4" ht="29.25" customHeight="1">
      <c r="A5281" s="47" t="s">
        <v>1022</v>
      </c>
      <c r="B5281" s="48" t="s">
        <v>5083</v>
      </c>
      <c r="C5281" s="47" t="s">
        <v>256</v>
      </c>
      <c r="D5281" s="332">
        <v>0.93</v>
      </c>
    </row>
    <row r="5282" spans="1:4">
      <c r="A5282" s="28" t="s">
        <v>1023</v>
      </c>
      <c r="B5282" s="26" t="s">
        <v>5082</v>
      </c>
      <c r="C5282" s="28" t="s">
        <v>255</v>
      </c>
      <c r="D5282" s="329">
        <v>1.66</v>
      </c>
    </row>
    <row r="5283" spans="1:4">
      <c r="A5283" s="47" t="s">
        <v>1024</v>
      </c>
      <c r="B5283" s="48" t="s">
        <v>5084</v>
      </c>
      <c r="C5283" s="47" t="s">
        <v>255</v>
      </c>
      <c r="D5283" s="332">
        <v>1.66</v>
      </c>
    </row>
    <row r="5284" spans="1:4">
      <c r="A5284" s="28" t="s">
        <v>1025</v>
      </c>
      <c r="B5284" s="26" t="s">
        <v>1026</v>
      </c>
      <c r="C5284" s="28" t="s">
        <v>255</v>
      </c>
      <c r="D5284" s="329">
        <v>1.78</v>
      </c>
    </row>
    <row r="5285" spans="1:4">
      <c r="A5285" s="47" t="s">
        <v>1027</v>
      </c>
      <c r="B5285" s="48" t="s">
        <v>1028</v>
      </c>
      <c r="C5285" s="47" t="s">
        <v>255</v>
      </c>
      <c r="D5285" s="332">
        <v>1.66</v>
      </c>
    </row>
    <row r="5286" spans="1:4">
      <c r="A5286" s="28" t="s">
        <v>1029</v>
      </c>
      <c r="B5286" s="26" t="s">
        <v>1030</v>
      </c>
      <c r="C5286" s="28" t="s">
        <v>255</v>
      </c>
      <c r="D5286" s="329">
        <v>1.81</v>
      </c>
    </row>
    <row r="5287" spans="1:4">
      <c r="A5287" s="47" t="s">
        <v>1031</v>
      </c>
      <c r="B5287" s="48" t="s">
        <v>5060</v>
      </c>
      <c r="C5287" s="47" t="s">
        <v>65</v>
      </c>
      <c r="D5287" s="332">
        <v>140.65</v>
      </c>
    </row>
    <row r="5288" spans="1:4">
      <c r="A5288" s="28" t="s">
        <v>1032</v>
      </c>
      <c r="B5288" s="26" t="s">
        <v>5075</v>
      </c>
      <c r="C5288" s="28" t="s">
        <v>65</v>
      </c>
      <c r="D5288" s="329">
        <v>182.02</v>
      </c>
    </row>
    <row r="5289" spans="1:4">
      <c r="A5289" s="47" t="s">
        <v>1033</v>
      </c>
      <c r="B5289" s="48" t="s">
        <v>5047</v>
      </c>
      <c r="C5289" s="47" t="s">
        <v>65</v>
      </c>
      <c r="D5289" s="332">
        <v>165.47</v>
      </c>
    </row>
    <row r="5290" spans="1:4">
      <c r="A5290" s="28" t="s">
        <v>1034</v>
      </c>
      <c r="B5290" s="26" t="s">
        <v>5048</v>
      </c>
      <c r="C5290" s="28" t="s">
        <v>65</v>
      </c>
      <c r="D5290" s="329">
        <v>182.02</v>
      </c>
    </row>
    <row r="5291" spans="1:4">
      <c r="A5291" s="47" t="s">
        <v>1035</v>
      </c>
      <c r="B5291" s="48" t="s">
        <v>5051</v>
      </c>
      <c r="C5291" s="47" t="s">
        <v>65</v>
      </c>
      <c r="D5291" s="332">
        <v>144.79</v>
      </c>
    </row>
    <row r="5292" spans="1:4">
      <c r="A5292" s="28" t="s">
        <v>1036</v>
      </c>
      <c r="B5292" s="26" t="s">
        <v>1037</v>
      </c>
      <c r="C5292" s="28" t="s">
        <v>65</v>
      </c>
      <c r="D5292" s="329">
        <v>132.38</v>
      </c>
    </row>
    <row r="5293" spans="1:4">
      <c r="A5293" s="47" t="s">
        <v>1038</v>
      </c>
      <c r="B5293" s="48" t="s">
        <v>5053</v>
      </c>
      <c r="C5293" s="47" t="s">
        <v>65</v>
      </c>
      <c r="D5293" s="332">
        <v>157.19999999999999</v>
      </c>
    </row>
    <row r="5294" spans="1:4">
      <c r="A5294" s="28" t="s">
        <v>1039</v>
      </c>
      <c r="B5294" s="26" t="s">
        <v>1040</v>
      </c>
      <c r="C5294" s="28" t="s">
        <v>65</v>
      </c>
      <c r="D5294" s="329">
        <v>82.73</v>
      </c>
    </row>
    <row r="5295" spans="1:4">
      <c r="A5295" s="47" t="s">
        <v>1041</v>
      </c>
      <c r="B5295" s="48" t="s">
        <v>1042</v>
      </c>
      <c r="C5295" s="47" t="s">
        <v>65</v>
      </c>
      <c r="D5295" s="332">
        <v>74.459999999999994</v>
      </c>
    </row>
    <row r="5296" spans="1:4">
      <c r="A5296" s="28" t="s">
        <v>1043</v>
      </c>
      <c r="B5296" s="26" t="s">
        <v>5039</v>
      </c>
      <c r="C5296" s="28" t="s">
        <v>65</v>
      </c>
      <c r="D5296" s="329">
        <v>157.19999999999999</v>
      </c>
    </row>
    <row r="5297" spans="1:4" ht="30">
      <c r="A5297" s="47" t="s">
        <v>1044</v>
      </c>
      <c r="B5297" s="48" t="s">
        <v>5037</v>
      </c>
      <c r="C5297" s="47" t="s">
        <v>65</v>
      </c>
      <c r="D5297" s="332">
        <v>239.94</v>
      </c>
    </row>
    <row r="5298" spans="1:4" ht="30">
      <c r="A5298" s="28" t="s">
        <v>1045</v>
      </c>
      <c r="B5298" s="26" t="s">
        <v>5038</v>
      </c>
      <c r="C5298" s="28" t="s">
        <v>65</v>
      </c>
      <c r="D5298" s="329">
        <v>314.39999999999998</v>
      </c>
    </row>
    <row r="5299" spans="1:4">
      <c r="A5299" s="47" t="s">
        <v>1046</v>
      </c>
      <c r="B5299" s="48" t="s">
        <v>5040</v>
      </c>
      <c r="C5299" s="47" t="s">
        <v>65</v>
      </c>
      <c r="D5299" s="332">
        <v>165.47</v>
      </c>
    </row>
    <row r="5300" spans="1:4">
      <c r="A5300" s="28" t="s">
        <v>1047</v>
      </c>
      <c r="B5300" s="26" t="s">
        <v>5059</v>
      </c>
      <c r="C5300" s="28" t="s">
        <v>65</v>
      </c>
      <c r="D5300" s="329">
        <v>57.91</v>
      </c>
    </row>
    <row r="5301" spans="1:4">
      <c r="A5301" s="47" t="s">
        <v>1048</v>
      </c>
      <c r="B5301" s="48" t="s">
        <v>5058</v>
      </c>
      <c r="C5301" s="47" t="s">
        <v>65</v>
      </c>
      <c r="D5301" s="332">
        <v>66.19</v>
      </c>
    </row>
    <row r="5302" spans="1:4">
      <c r="A5302" s="28" t="s">
        <v>1049</v>
      </c>
      <c r="B5302" s="26" t="s">
        <v>1050</v>
      </c>
      <c r="C5302" s="28" t="s">
        <v>65</v>
      </c>
      <c r="D5302" s="329">
        <v>74.459999999999994</v>
      </c>
    </row>
    <row r="5303" spans="1:4">
      <c r="A5303" s="47" t="s">
        <v>1051</v>
      </c>
      <c r="B5303" s="48" t="s">
        <v>5033</v>
      </c>
      <c r="C5303" s="47" t="s">
        <v>65</v>
      </c>
      <c r="D5303" s="332">
        <v>347.5</v>
      </c>
    </row>
    <row r="5304" spans="1:4">
      <c r="A5304" s="28" t="s">
        <v>1052</v>
      </c>
      <c r="B5304" s="26" t="s">
        <v>5057</v>
      </c>
      <c r="C5304" s="28" t="s">
        <v>65</v>
      </c>
      <c r="D5304" s="329">
        <v>91.01</v>
      </c>
    </row>
    <row r="5305" spans="1:4" ht="30">
      <c r="A5305" s="47" t="s">
        <v>1053</v>
      </c>
      <c r="B5305" s="48" t="s">
        <v>5055</v>
      </c>
      <c r="C5305" s="47" t="s">
        <v>65</v>
      </c>
      <c r="D5305" s="332">
        <v>190.29</v>
      </c>
    </row>
    <row r="5306" spans="1:4" ht="30">
      <c r="A5306" s="28" t="s">
        <v>1054</v>
      </c>
      <c r="B5306" s="26" t="s">
        <v>5054</v>
      </c>
      <c r="C5306" s="28" t="s">
        <v>65</v>
      </c>
      <c r="D5306" s="329">
        <v>215.12</v>
      </c>
    </row>
    <row r="5307" spans="1:4" ht="30">
      <c r="A5307" s="47" t="s">
        <v>1055</v>
      </c>
      <c r="B5307" s="48" t="s">
        <v>5056</v>
      </c>
      <c r="C5307" s="47" t="s">
        <v>65</v>
      </c>
      <c r="D5307" s="332">
        <v>231.66</v>
      </c>
    </row>
    <row r="5308" spans="1:4">
      <c r="A5308" s="28" t="s">
        <v>1056</v>
      </c>
      <c r="B5308" s="26" t="s">
        <v>5071</v>
      </c>
      <c r="C5308" s="28" t="s">
        <v>65</v>
      </c>
      <c r="D5308" s="329">
        <v>49.64</v>
      </c>
    </row>
    <row r="5309" spans="1:4">
      <c r="A5309" s="47" t="s">
        <v>1057</v>
      </c>
      <c r="B5309" s="48" t="s">
        <v>5072</v>
      </c>
      <c r="C5309" s="47" t="s">
        <v>65</v>
      </c>
      <c r="D5309" s="332">
        <v>49.64</v>
      </c>
    </row>
    <row r="5310" spans="1:4" ht="15.75" customHeight="1">
      <c r="A5310" s="28" t="s">
        <v>1058</v>
      </c>
      <c r="B5310" s="26" t="s">
        <v>5070</v>
      </c>
      <c r="C5310" s="28" t="s">
        <v>65</v>
      </c>
      <c r="D5310" s="329">
        <v>66.19</v>
      </c>
    </row>
    <row r="5311" spans="1:4">
      <c r="A5311" s="47" t="s">
        <v>1059</v>
      </c>
      <c r="B5311" s="48" t="s">
        <v>1060</v>
      </c>
      <c r="C5311" s="47" t="s">
        <v>65</v>
      </c>
      <c r="D5311" s="332">
        <v>132.38</v>
      </c>
    </row>
    <row r="5312" spans="1:4">
      <c r="A5312" s="28" t="s">
        <v>1061</v>
      </c>
      <c r="B5312" s="26" t="s">
        <v>5046</v>
      </c>
      <c r="C5312" s="28" t="s">
        <v>65</v>
      </c>
      <c r="D5312" s="329">
        <v>215.12</v>
      </c>
    </row>
    <row r="5313" spans="1:4">
      <c r="A5313" s="47" t="s">
        <v>1062</v>
      </c>
      <c r="B5313" s="48" t="s">
        <v>5043</v>
      </c>
      <c r="C5313" s="47" t="s">
        <v>65</v>
      </c>
      <c r="D5313" s="332">
        <v>57.91</v>
      </c>
    </row>
    <row r="5314" spans="1:4">
      <c r="A5314" s="28" t="s">
        <v>1063</v>
      </c>
      <c r="B5314" s="26" t="s">
        <v>5069</v>
      </c>
      <c r="C5314" s="28" t="s">
        <v>65</v>
      </c>
      <c r="D5314" s="329">
        <v>206.84</v>
      </c>
    </row>
    <row r="5315" spans="1:4">
      <c r="A5315" s="47" t="s">
        <v>1064</v>
      </c>
      <c r="B5315" s="48" t="s">
        <v>5052</v>
      </c>
      <c r="C5315" s="47" t="s">
        <v>65</v>
      </c>
      <c r="D5315" s="332">
        <v>148.91999999999999</v>
      </c>
    </row>
    <row r="5316" spans="1:4">
      <c r="A5316" s="28" t="s">
        <v>67</v>
      </c>
      <c r="B5316" s="26" t="s">
        <v>5066</v>
      </c>
      <c r="C5316" s="28" t="s">
        <v>65</v>
      </c>
      <c r="D5316" s="329">
        <v>148.91999999999999</v>
      </c>
    </row>
    <row r="5317" spans="1:4">
      <c r="A5317" s="47" t="s">
        <v>1065</v>
      </c>
      <c r="B5317" s="48" t="s">
        <v>5068</v>
      </c>
      <c r="C5317" s="47" t="s">
        <v>65</v>
      </c>
      <c r="D5317" s="332">
        <v>148.91999999999999</v>
      </c>
    </row>
    <row r="5318" spans="1:4">
      <c r="A5318" s="28" t="s">
        <v>1066</v>
      </c>
      <c r="B5318" s="26" t="s">
        <v>5067</v>
      </c>
      <c r="C5318" s="28" t="s">
        <v>65</v>
      </c>
      <c r="D5318" s="329">
        <v>165.47</v>
      </c>
    </row>
    <row r="5319" spans="1:4">
      <c r="A5319" s="47" t="s">
        <v>1067</v>
      </c>
      <c r="B5319" s="48" t="s">
        <v>5065</v>
      </c>
      <c r="C5319" s="47" t="s">
        <v>65</v>
      </c>
      <c r="D5319" s="332">
        <v>1067.32</v>
      </c>
    </row>
    <row r="5320" spans="1:4">
      <c r="A5320" s="28" t="s">
        <v>1068</v>
      </c>
      <c r="B5320" s="26" t="s">
        <v>5064</v>
      </c>
      <c r="C5320" s="28" t="s">
        <v>65</v>
      </c>
      <c r="D5320" s="329">
        <v>223.39</v>
      </c>
    </row>
    <row r="5321" spans="1:4">
      <c r="A5321" s="47" t="s">
        <v>1069</v>
      </c>
      <c r="B5321" s="48" t="s">
        <v>1070</v>
      </c>
      <c r="C5321" s="47" t="s">
        <v>65</v>
      </c>
      <c r="D5321" s="332">
        <v>124.1</v>
      </c>
    </row>
    <row r="5322" spans="1:4">
      <c r="A5322" s="28" t="s">
        <v>1071</v>
      </c>
      <c r="B5322" s="26" t="s">
        <v>5034</v>
      </c>
      <c r="C5322" s="28" t="s">
        <v>65</v>
      </c>
      <c r="D5322" s="329">
        <v>99.28</v>
      </c>
    </row>
    <row r="5323" spans="1:4">
      <c r="A5323" s="47" t="s">
        <v>1072</v>
      </c>
      <c r="B5323" s="48" t="s">
        <v>5035</v>
      </c>
      <c r="C5323" s="47" t="s">
        <v>65</v>
      </c>
      <c r="D5323" s="332">
        <v>82.73</v>
      </c>
    </row>
    <row r="5324" spans="1:4">
      <c r="A5324" s="28" t="s">
        <v>1073</v>
      </c>
      <c r="B5324" s="26" t="s">
        <v>1074</v>
      </c>
      <c r="C5324" s="28" t="s">
        <v>65</v>
      </c>
      <c r="D5324" s="329">
        <v>119.97</v>
      </c>
    </row>
    <row r="5325" spans="1:4">
      <c r="A5325" s="47" t="s">
        <v>1075</v>
      </c>
      <c r="B5325" s="48" t="s">
        <v>8420</v>
      </c>
      <c r="C5325" s="47" t="s">
        <v>65</v>
      </c>
      <c r="D5325" s="332">
        <v>91.01</v>
      </c>
    </row>
    <row r="5326" spans="1:4">
      <c r="A5326" s="28" t="s">
        <v>1076</v>
      </c>
      <c r="B5326" s="26" t="s">
        <v>1077</v>
      </c>
      <c r="C5326" s="28" t="s">
        <v>65</v>
      </c>
      <c r="D5326" s="329">
        <v>289.58</v>
      </c>
    </row>
    <row r="5327" spans="1:4">
      <c r="A5327" s="47" t="s">
        <v>1078</v>
      </c>
      <c r="B5327" s="48" t="s">
        <v>5050</v>
      </c>
      <c r="C5327" s="47" t="s">
        <v>65</v>
      </c>
      <c r="D5327" s="332">
        <v>82.73</v>
      </c>
    </row>
    <row r="5328" spans="1:4">
      <c r="A5328" s="28" t="s">
        <v>1079</v>
      </c>
      <c r="B5328" s="26" t="s">
        <v>1080</v>
      </c>
      <c r="C5328" s="28" t="s">
        <v>65</v>
      </c>
      <c r="D5328" s="329">
        <v>74.459999999999994</v>
      </c>
    </row>
    <row r="5329" spans="1:4">
      <c r="A5329" s="47" t="s">
        <v>1081</v>
      </c>
      <c r="B5329" s="48" t="s">
        <v>1082</v>
      </c>
      <c r="C5329" s="47" t="s">
        <v>65</v>
      </c>
      <c r="D5329" s="332">
        <v>82.73</v>
      </c>
    </row>
    <row r="5330" spans="1:4">
      <c r="A5330" s="28" t="s">
        <v>1083</v>
      </c>
      <c r="B5330" s="26" t="s">
        <v>5041</v>
      </c>
      <c r="C5330" s="28" t="s">
        <v>65</v>
      </c>
      <c r="D5330" s="329">
        <v>66.19</v>
      </c>
    </row>
    <row r="5331" spans="1:4">
      <c r="A5331" s="47" t="s">
        <v>1084</v>
      </c>
      <c r="B5331" s="48" t="s">
        <v>5074</v>
      </c>
      <c r="C5331" s="47" t="s">
        <v>65</v>
      </c>
      <c r="D5331" s="332">
        <v>165.47</v>
      </c>
    </row>
    <row r="5332" spans="1:4">
      <c r="A5332" s="28" t="s">
        <v>1085</v>
      </c>
      <c r="B5332" s="26" t="s">
        <v>5063</v>
      </c>
      <c r="C5332" s="28" t="s">
        <v>65</v>
      </c>
      <c r="D5332" s="329">
        <v>82.73</v>
      </c>
    </row>
    <row r="5333" spans="1:4">
      <c r="A5333" s="47" t="s">
        <v>1086</v>
      </c>
      <c r="B5333" s="48" t="s">
        <v>5036</v>
      </c>
      <c r="C5333" s="47" t="s">
        <v>65</v>
      </c>
      <c r="D5333" s="332">
        <v>62.05</v>
      </c>
    </row>
    <row r="5334" spans="1:4">
      <c r="A5334" s="28" t="s">
        <v>1087</v>
      </c>
      <c r="B5334" s="26" t="s">
        <v>5045</v>
      </c>
      <c r="C5334" s="28" t="s">
        <v>65</v>
      </c>
      <c r="D5334" s="329">
        <v>165.47</v>
      </c>
    </row>
    <row r="5335" spans="1:4">
      <c r="A5335" s="47" t="s">
        <v>1088</v>
      </c>
      <c r="B5335" s="48" t="s">
        <v>5049</v>
      </c>
      <c r="C5335" s="47" t="s">
        <v>65</v>
      </c>
      <c r="D5335" s="332">
        <v>41.36</v>
      </c>
    </row>
    <row r="5336" spans="1:4">
      <c r="A5336" s="28" t="s">
        <v>1089</v>
      </c>
      <c r="B5336" s="26" t="s">
        <v>1090</v>
      </c>
      <c r="C5336" s="28" t="s">
        <v>65</v>
      </c>
      <c r="D5336" s="329">
        <v>91.01</v>
      </c>
    </row>
    <row r="5337" spans="1:4">
      <c r="A5337" s="47" t="s">
        <v>1091</v>
      </c>
      <c r="B5337" s="48" t="s">
        <v>1092</v>
      </c>
      <c r="C5337" s="47" t="s">
        <v>65</v>
      </c>
      <c r="D5337" s="332">
        <v>82.73</v>
      </c>
    </row>
    <row r="5338" spans="1:4">
      <c r="A5338" s="28" t="s">
        <v>1093</v>
      </c>
      <c r="B5338" s="26" t="s">
        <v>5044</v>
      </c>
      <c r="C5338" s="28" t="s">
        <v>65</v>
      </c>
      <c r="D5338" s="329">
        <v>74.459999999999994</v>
      </c>
    </row>
    <row r="5339" spans="1:4">
      <c r="A5339" s="47" t="s">
        <v>1094</v>
      </c>
      <c r="B5339" s="48" t="s">
        <v>1095</v>
      </c>
      <c r="C5339" s="47" t="s">
        <v>65</v>
      </c>
      <c r="D5339" s="332">
        <v>74.459999999999994</v>
      </c>
    </row>
    <row r="5340" spans="1:4">
      <c r="A5340" s="28" t="s">
        <v>1096</v>
      </c>
      <c r="B5340" s="26" t="s">
        <v>5073</v>
      </c>
      <c r="C5340" s="28" t="s">
        <v>65</v>
      </c>
      <c r="D5340" s="329">
        <v>206.84</v>
      </c>
    </row>
    <row r="5341" spans="1:4">
      <c r="A5341" s="47" t="s">
        <v>1097</v>
      </c>
      <c r="B5341" s="48" t="s">
        <v>1098</v>
      </c>
      <c r="C5341" s="47" t="s">
        <v>65</v>
      </c>
      <c r="D5341" s="332">
        <v>67.98</v>
      </c>
    </row>
    <row r="5342" spans="1:4">
      <c r="A5342" s="28" t="s">
        <v>1099</v>
      </c>
      <c r="B5342" s="26" t="s">
        <v>5042</v>
      </c>
      <c r="C5342" s="28" t="s">
        <v>65</v>
      </c>
      <c r="D5342" s="329">
        <v>67.98</v>
      </c>
    </row>
    <row r="5343" spans="1:4">
      <c r="A5343" s="47" t="s">
        <v>1100</v>
      </c>
      <c r="B5343" s="48" t="s">
        <v>1101</v>
      </c>
      <c r="C5343" s="47" t="s">
        <v>65</v>
      </c>
      <c r="D5343" s="332">
        <v>67.98</v>
      </c>
    </row>
    <row r="5344" spans="1:4">
      <c r="A5344" s="28">
        <v>74259</v>
      </c>
      <c r="B5344" s="26" t="s">
        <v>5080</v>
      </c>
      <c r="C5344" s="28" t="s">
        <v>256</v>
      </c>
      <c r="D5344" s="329">
        <v>0.04</v>
      </c>
    </row>
    <row r="5345" spans="1:4" ht="30">
      <c r="A5345" s="47">
        <v>72733</v>
      </c>
      <c r="B5345" s="48" t="s">
        <v>7434</v>
      </c>
      <c r="C5345" s="47" t="s">
        <v>65</v>
      </c>
      <c r="D5345" s="332">
        <v>784.91</v>
      </c>
    </row>
    <row r="5346" spans="1:4">
      <c r="A5346" s="28">
        <v>72871</v>
      </c>
      <c r="B5346" s="26" t="s">
        <v>7435</v>
      </c>
      <c r="C5346" s="28" t="s">
        <v>65</v>
      </c>
      <c r="D5346" s="329">
        <v>377.24</v>
      </c>
    </row>
    <row r="5347" spans="1:4" ht="30">
      <c r="A5347" s="47">
        <v>72872</v>
      </c>
      <c r="B5347" s="48" t="s">
        <v>7436</v>
      </c>
      <c r="C5347" s="47" t="s">
        <v>65</v>
      </c>
      <c r="D5347" s="332">
        <v>581.08000000000004</v>
      </c>
    </row>
    <row r="5348" spans="1:4">
      <c r="A5348" s="28">
        <v>73610</v>
      </c>
      <c r="B5348" s="26" t="s">
        <v>1102</v>
      </c>
      <c r="C5348" s="28" t="s">
        <v>71</v>
      </c>
      <c r="D5348" s="329">
        <v>0.91</v>
      </c>
    </row>
    <row r="5349" spans="1:4">
      <c r="A5349" s="47">
        <v>73679</v>
      </c>
      <c r="B5349" s="48" t="s">
        <v>6760</v>
      </c>
      <c r="C5349" s="47" t="s">
        <v>71</v>
      </c>
      <c r="D5349" s="332">
        <v>1.76</v>
      </c>
    </row>
    <row r="5350" spans="1:4">
      <c r="A5350" s="28">
        <v>73686</v>
      </c>
      <c r="B5350" s="26" t="s">
        <v>6759</v>
      </c>
      <c r="C5350" s="28" t="s">
        <v>256</v>
      </c>
      <c r="D5350" s="329">
        <v>17.25</v>
      </c>
    </row>
    <row r="5351" spans="1:4" ht="30">
      <c r="A5351" s="47" t="s">
        <v>1103</v>
      </c>
      <c r="B5351" s="48" t="s">
        <v>6756</v>
      </c>
      <c r="C5351" s="47" t="s">
        <v>256</v>
      </c>
      <c r="D5351" s="332">
        <v>8.7100000000000009</v>
      </c>
    </row>
    <row r="5352" spans="1:4" ht="30">
      <c r="A5352" s="28" t="s">
        <v>1104</v>
      </c>
      <c r="B5352" s="26" t="s">
        <v>6757</v>
      </c>
      <c r="C5352" s="28" t="s">
        <v>256</v>
      </c>
      <c r="D5352" s="329">
        <v>3.53</v>
      </c>
    </row>
    <row r="5353" spans="1:4" ht="30">
      <c r="A5353" s="47" t="s">
        <v>1105</v>
      </c>
      <c r="B5353" s="48" t="s">
        <v>6758</v>
      </c>
      <c r="C5353" s="47" t="s">
        <v>256</v>
      </c>
      <c r="D5353" s="332">
        <v>4.53</v>
      </c>
    </row>
    <row r="5354" spans="1:4" ht="30">
      <c r="A5354" s="28">
        <v>85323</v>
      </c>
      <c r="B5354" s="26" t="s">
        <v>6762</v>
      </c>
      <c r="C5354" s="28" t="s">
        <v>71</v>
      </c>
      <c r="D5354" s="329">
        <v>1.37</v>
      </c>
    </row>
    <row r="5355" spans="1:4">
      <c r="A5355" s="47">
        <v>73677</v>
      </c>
      <c r="B5355" s="48" t="s">
        <v>1106</v>
      </c>
      <c r="C5355" s="47" t="s">
        <v>65</v>
      </c>
      <c r="D5355" s="332">
        <v>9.01</v>
      </c>
    </row>
    <row r="5356" spans="1:4" ht="30">
      <c r="A5356" s="28">
        <v>73678</v>
      </c>
      <c r="B5356" s="26" t="s">
        <v>3015</v>
      </c>
      <c r="C5356" s="28" t="s">
        <v>71</v>
      </c>
      <c r="D5356" s="329">
        <v>2.88</v>
      </c>
    </row>
    <row r="5357" spans="1:4">
      <c r="A5357" s="47">
        <v>73682</v>
      </c>
      <c r="B5357" s="48" t="s">
        <v>1107</v>
      </c>
      <c r="C5357" s="47" t="s">
        <v>71</v>
      </c>
      <c r="D5357" s="332">
        <v>1.24</v>
      </c>
    </row>
    <row r="5358" spans="1:4" ht="45">
      <c r="A5358" s="28" t="s">
        <v>1108</v>
      </c>
      <c r="B5358" s="26" t="s">
        <v>6732</v>
      </c>
      <c r="C5358" s="28" t="s">
        <v>71</v>
      </c>
      <c r="D5358" s="329">
        <v>1.36</v>
      </c>
    </row>
    <row r="5359" spans="1:4" ht="30">
      <c r="A5359" s="47">
        <v>78472</v>
      </c>
      <c r="B5359" s="48" t="s">
        <v>9023</v>
      </c>
      <c r="C5359" s="47" t="s">
        <v>256</v>
      </c>
      <c r="D5359" s="332">
        <v>0.33</v>
      </c>
    </row>
    <row r="5360" spans="1:4" ht="30">
      <c r="A5360" s="28">
        <v>93588</v>
      </c>
      <c r="B5360" s="26" t="s">
        <v>9872</v>
      </c>
      <c r="C5360" s="28" t="s">
        <v>9853</v>
      </c>
      <c r="D5360" s="329">
        <v>1.35</v>
      </c>
    </row>
    <row r="5361" spans="1:4" ht="30">
      <c r="A5361" s="47">
        <v>93589</v>
      </c>
      <c r="B5361" s="48" t="s">
        <v>9875</v>
      </c>
      <c r="C5361" s="47" t="s">
        <v>9853</v>
      </c>
      <c r="D5361" s="332">
        <v>0.92</v>
      </c>
    </row>
    <row r="5362" spans="1:4" ht="30">
      <c r="A5362" s="28">
        <v>93590</v>
      </c>
      <c r="B5362" s="26" t="s">
        <v>9877</v>
      </c>
      <c r="C5362" s="28" t="s">
        <v>9853</v>
      </c>
      <c r="D5362" s="329">
        <v>0.72</v>
      </c>
    </row>
    <row r="5363" spans="1:4" ht="30">
      <c r="A5363" s="47">
        <v>93591</v>
      </c>
      <c r="B5363" s="48" t="s">
        <v>9879</v>
      </c>
      <c r="C5363" s="47" t="s">
        <v>9853</v>
      </c>
      <c r="D5363" s="332">
        <v>1.17</v>
      </c>
    </row>
    <row r="5364" spans="1:4" ht="30">
      <c r="A5364" s="28">
        <v>93592</v>
      </c>
      <c r="B5364" s="26" t="s">
        <v>9881</v>
      </c>
      <c r="C5364" s="28" t="s">
        <v>9853</v>
      </c>
      <c r="D5364" s="329">
        <v>0.8</v>
      </c>
    </row>
    <row r="5365" spans="1:4" ht="30">
      <c r="A5365" s="47">
        <v>93593</v>
      </c>
      <c r="B5365" s="48" t="s">
        <v>9883</v>
      </c>
      <c r="C5365" s="47" t="s">
        <v>9853</v>
      </c>
      <c r="D5365" s="332">
        <v>0.62</v>
      </c>
    </row>
    <row r="5366" spans="1:4" ht="30">
      <c r="A5366" s="28">
        <v>93594</v>
      </c>
      <c r="B5366" s="26" t="s">
        <v>9873</v>
      </c>
      <c r="C5366" s="28" t="s">
        <v>9874</v>
      </c>
      <c r="D5366" s="329">
        <v>0.9</v>
      </c>
    </row>
    <row r="5367" spans="1:4" ht="30">
      <c r="A5367" s="47">
        <v>93595</v>
      </c>
      <c r="B5367" s="48" t="s">
        <v>9876</v>
      </c>
      <c r="C5367" s="47" t="s">
        <v>9874</v>
      </c>
      <c r="D5367" s="332">
        <v>0.61</v>
      </c>
    </row>
    <row r="5368" spans="1:4" ht="30">
      <c r="A5368" s="28">
        <v>93596</v>
      </c>
      <c r="B5368" s="26" t="s">
        <v>9878</v>
      </c>
      <c r="C5368" s="28" t="s">
        <v>9874</v>
      </c>
      <c r="D5368" s="329">
        <v>0.48</v>
      </c>
    </row>
    <row r="5369" spans="1:4" ht="30">
      <c r="A5369" s="47">
        <v>93597</v>
      </c>
      <c r="B5369" s="48" t="s">
        <v>9880</v>
      </c>
      <c r="C5369" s="47" t="s">
        <v>9874</v>
      </c>
      <c r="D5369" s="332">
        <v>0.78</v>
      </c>
    </row>
    <row r="5370" spans="1:4" ht="30">
      <c r="A5370" s="28">
        <v>93598</v>
      </c>
      <c r="B5370" s="26" t="s">
        <v>9882</v>
      </c>
      <c r="C5370" s="28" t="s">
        <v>9874</v>
      </c>
      <c r="D5370" s="329">
        <v>0.53</v>
      </c>
    </row>
    <row r="5371" spans="1:4" ht="30">
      <c r="A5371" s="47">
        <v>93599</v>
      </c>
      <c r="B5371" s="48" t="s">
        <v>9884</v>
      </c>
      <c r="C5371" s="47" t="s">
        <v>9874</v>
      </c>
      <c r="D5371" s="332">
        <v>0.41</v>
      </c>
    </row>
    <row r="5372" spans="1:4" ht="30">
      <c r="A5372" s="28">
        <v>95425</v>
      </c>
      <c r="B5372" s="26" t="s">
        <v>9885</v>
      </c>
      <c r="C5372" s="28" t="s">
        <v>9853</v>
      </c>
      <c r="D5372" s="329">
        <v>0.99</v>
      </c>
    </row>
    <row r="5373" spans="1:4" ht="30">
      <c r="A5373" s="47">
        <v>95426</v>
      </c>
      <c r="B5373" s="48" t="s">
        <v>9887</v>
      </c>
      <c r="C5373" s="47" t="s">
        <v>9853</v>
      </c>
      <c r="D5373" s="332">
        <v>0.68</v>
      </c>
    </row>
    <row r="5374" spans="1:4" ht="30">
      <c r="A5374" s="28">
        <v>95427</v>
      </c>
      <c r="B5374" s="26" t="s">
        <v>9889</v>
      </c>
      <c r="C5374" s="28" t="s">
        <v>9853</v>
      </c>
      <c r="D5374" s="329">
        <v>0.53</v>
      </c>
    </row>
    <row r="5375" spans="1:4" ht="30">
      <c r="A5375" s="47">
        <v>95428</v>
      </c>
      <c r="B5375" s="48" t="s">
        <v>9886</v>
      </c>
      <c r="C5375" s="47" t="s">
        <v>9874</v>
      </c>
      <c r="D5375" s="332">
        <v>0.66</v>
      </c>
    </row>
    <row r="5376" spans="1:4" ht="30">
      <c r="A5376" s="28">
        <v>95429</v>
      </c>
      <c r="B5376" s="26" t="s">
        <v>9888</v>
      </c>
      <c r="C5376" s="28" t="s">
        <v>9874</v>
      </c>
      <c r="D5376" s="329">
        <v>0.45</v>
      </c>
    </row>
    <row r="5377" spans="1:4" ht="30">
      <c r="A5377" s="47">
        <v>95430</v>
      </c>
      <c r="B5377" s="48" t="s">
        <v>9890</v>
      </c>
      <c r="C5377" s="47" t="s">
        <v>9874</v>
      </c>
      <c r="D5377" s="332">
        <v>0.35</v>
      </c>
    </row>
    <row r="5378" spans="1:4" ht="45">
      <c r="A5378" s="28">
        <v>93176</v>
      </c>
      <c r="B5378" s="26" t="s">
        <v>9902</v>
      </c>
      <c r="C5378" s="28" t="s">
        <v>9874</v>
      </c>
      <c r="D5378" s="329">
        <v>0.39</v>
      </c>
    </row>
    <row r="5379" spans="1:4" ht="45">
      <c r="A5379" s="47">
        <v>93177</v>
      </c>
      <c r="B5379" s="48" t="s">
        <v>9900</v>
      </c>
      <c r="C5379" s="47" t="s">
        <v>9874</v>
      </c>
      <c r="D5379" s="332">
        <v>1.38</v>
      </c>
    </row>
    <row r="5380" spans="1:4" ht="45">
      <c r="A5380" s="28">
        <v>93178</v>
      </c>
      <c r="B5380" s="26" t="s">
        <v>9901</v>
      </c>
      <c r="C5380" s="28" t="s">
        <v>9874</v>
      </c>
      <c r="D5380" s="329">
        <v>0.45</v>
      </c>
    </row>
    <row r="5381" spans="1:4" ht="45">
      <c r="A5381" s="47">
        <v>93179</v>
      </c>
      <c r="B5381" s="48" t="s">
        <v>9899</v>
      </c>
      <c r="C5381" s="47" t="s">
        <v>9874</v>
      </c>
      <c r="D5381" s="332">
        <v>1.53</v>
      </c>
    </row>
    <row r="5382" spans="1:4" ht="30">
      <c r="A5382" s="28" t="s">
        <v>1109</v>
      </c>
      <c r="B5382" s="26" t="s">
        <v>8316</v>
      </c>
      <c r="C5382" s="28" t="s">
        <v>71</v>
      </c>
      <c r="D5382" s="329">
        <v>24.35</v>
      </c>
    </row>
    <row r="5383" spans="1:4" ht="30">
      <c r="A5383" s="47" t="s">
        <v>1110</v>
      </c>
      <c r="B5383" s="48" t="s">
        <v>3444</v>
      </c>
      <c r="C5383" s="47" t="s">
        <v>71</v>
      </c>
      <c r="D5383" s="332">
        <v>24.35</v>
      </c>
    </row>
    <row r="5384" spans="1:4">
      <c r="A5384" s="28" t="s">
        <v>1111</v>
      </c>
      <c r="B5384" s="26" t="s">
        <v>1112</v>
      </c>
      <c r="C5384" s="28" t="s">
        <v>71</v>
      </c>
      <c r="D5384" s="329">
        <v>132.93</v>
      </c>
    </row>
    <row r="5385" spans="1:4" ht="30">
      <c r="A5385" s="47" t="s">
        <v>1113</v>
      </c>
      <c r="B5385" s="48" t="s">
        <v>3442</v>
      </c>
      <c r="C5385" s="47" t="s">
        <v>71</v>
      </c>
      <c r="D5385" s="332">
        <v>37.06</v>
      </c>
    </row>
    <row r="5386" spans="1:4" ht="30">
      <c r="A5386" s="28" t="s">
        <v>1114</v>
      </c>
      <c r="B5386" s="26" t="s">
        <v>3445</v>
      </c>
      <c r="C5386" s="28" t="s">
        <v>71</v>
      </c>
      <c r="D5386" s="329">
        <v>15.96</v>
      </c>
    </row>
    <row r="5387" spans="1:4" ht="30">
      <c r="A5387" s="47" t="s">
        <v>1115</v>
      </c>
      <c r="B5387" s="48" t="s">
        <v>3446</v>
      </c>
      <c r="C5387" s="47" t="s">
        <v>71</v>
      </c>
      <c r="D5387" s="332">
        <v>25.11</v>
      </c>
    </row>
    <row r="5388" spans="1:4" ht="30">
      <c r="A5388" s="28" t="s">
        <v>1116</v>
      </c>
      <c r="B5388" s="26" t="s">
        <v>3443</v>
      </c>
      <c r="C5388" s="28" t="s">
        <v>71</v>
      </c>
      <c r="D5388" s="329">
        <v>45.6</v>
      </c>
    </row>
    <row r="5389" spans="1:4" ht="30">
      <c r="A5389" s="47" t="s">
        <v>1117</v>
      </c>
      <c r="B5389" s="48" t="s">
        <v>3440</v>
      </c>
      <c r="C5389" s="47" t="s">
        <v>71</v>
      </c>
      <c r="D5389" s="332">
        <v>44.67</v>
      </c>
    </row>
    <row r="5390" spans="1:4" ht="30">
      <c r="A5390" s="28" t="s">
        <v>1118</v>
      </c>
      <c r="B5390" s="26" t="s">
        <v>3441</v>
      </c>
      <c r="C5390" s="28" t="s">
        <v>71</v>
      </c>
      <c r="D5390" s="329">
        <v>42.92</v>
      </c>
    </row>
    <row r="5391" spans="1:4" ht="30">
      <c r="A5391" s="47">
        <v>85171</v>
      </c>
      <c r="B5391" s="48" t="s">
        <v>8607</v>
      </c>
      <c r="C5391" s="47" t="s">
        <v>71</v>
      </c>
      <c r="D5391" s="332">
        <v>2.9</v>
      </c>
    </row>
    <row r="5392" spans="1:4" ht="45">
      <c r="A5392" s="28" t="s">
        <v>1119</v>
      </c>
      <c r="B5392" s="26" t="s">
        <v>1654</v>
      </c>
      <c r="C5392" s="28" t="s">
        <v>256</v>
      </c>
      <c r="D5392" s="329">
        <v>153.32</v>
      </c>
    </row>
    <row r="5393" spans="1:4" ht="45">
      <c r="A5393" s="47" t="s">
        <v>1120</v>
      </c>
      <c r="B5393" s="48" t="s">
        <v>1655</v>
      </c>
      <c r="C5393" s="47" t="s">
        <v>256</v>
      </c>
      <c r="D5393" s="332">
        <v>93.15</v>
      </c>
    </row>
    <row r="5394" spans="1:4" ht="30">
      <c r="A5394" s="28">
        <v>85172</v>
      </c>
      <c r="B5394" s="26" t="s">
        <v>1653</v>
      </c>
      <c r="C5394" s="28" t="s">
        <v>71</v>
      </c>
      <c r="D5394" s="329">
        <v>78.930000000000007</v>
      </c>
    </row>
    <row r="5395" spans="1:4">
      <c r="A5395" s="47" t="s">
        <v>1121</v>
      </c>
      <c r="B5395" s="48" t="s">
        <v>5791</v>
      </c>
      <c r="C5395" s="47" t="s">
        <v>65</v>
      </c>
      <c r="D5395" s="332">
        <v>92.68</v>
      </c>
    </row>
    <row r="5396" spans="1:4">
      <c r="A5396" s="28" t="s">
        <v>1122</v>
      </c>
      <c r="B5396" s="26" t="s">
        <v>8134</v>
      </c>
      <c r="C5396" s="28" t="s">
        <v>65</v>
      </c>
      <c r="D5396" s="329">
        <v>75.09</v>
      </c>
    </row>
    <row r="5397" spans="1:4">
      <c r="A5397" s="47" t="s">
        <v>1123</v>
      </c>
      <c r="B5397" s="48" t="s">
        <v>8133</v>
      </c>
      <c r="C5397" s="47" t="s">
        <v>65</v>
      </c>
      <c r="D5397" s="332">
        <v>95.94</v>
      </c>
    </row>
    <row r="5398" spans="1:4">
      <c r="A5398" s="28" t="s">
        <v>1124</v>
      </c>
      <c r="B5398" s="26" t="s">
        <v>1125</v>
      </c>
      <c r="C5398" s="28" t="s">
        <v>65</v>
      </c>
      <c r="D5398" s="329">
        <v>0.32</v>
      </c>
    </row>
    <row r="5399" spans="1:4">
      <c r="A5399" s="47">
        <v>85178</v>
      </c>
      <c r="B5399" s="48" t="s">
        <v>1126</v>
      </c>
      <c r="C5399" s="47" t="s">
        <v>65</v>
      </c>
      <c r="D5399" s="332">
        <v>41.97</v>
      </c>
    </row>
    <row r="5400" spans="1:4">
      <c r="A5400" s="28" t="s">
        <v>1127</v>
      </c>
      <c r="B5400" s="26" t="s">
        <v>1128</v>
      </c>
      <c r="C5400" s="28" t="s">
        <v>256</v>
      </c>
      <c r="D5400" s="329">
        <v>7.55</v>
      </c>
    </row>
    <row r="5401" spans="1:4">
      <c r="A5401" s="47">
        <v>85179</v>
      </c>
      <c r="B5401" s="48" t="s">
        <v>8135</v>
      </c>
      <c r="C5401" s="47" t="s">
        <v>256</v>
      </c>
      <c r="D5401" s="332">
        <v>9.08</v>
      </c>
    </row>
    <row r="5402" spans="1:4">
      <c r="A5402" s="28">
        <v>85180</v>
      </c>
      <c r="B5402" s="26" t="s">
        <v>1129</v>
      </c>
      <c r="C5402" s="28" t="s">
        <v>256</v>
      </c>
      <c r="D5402" s="329">
        <v>9.08</v>
      </c>
    </row>
    <row r="5403" spans="1:4" ht="30">
      <c r="A5403" s="47">
        <v>85182</v>
      </c>
      <c r="B5403" s="48" t="s">
        <v>8855</v>
      </c>
      <c r="C5403" s="47" t="s">
        <v>256</v>
      </c>
      <c r="D5403" s="332">
        <v>1.87</v>
      </c>
    </row>
    <row r="5404" spans="1:4">
      <c r="A5404" s="28">
        <v>85183</v>
      </c>
      <c r="B5404" s="26" t="s">
        <v>1130</v>
      </c>
      <c r="C5404" s="28" t="s">
        <v>256</v>
      </c>
      <c r="D5404" s="329">
        <v>1.75</v>
      </c>
    </row>
    <row r="5405" spans="1:4">
      <c r="A5405" s="47">
        <v>85184</v>
      </c>
      <c r="B5405" s="48" t="s">
        <v>1131</v>
      </c>
      <c r="C5405" s="47" t="s">
        <v>256</v>
      </c>
      <c r="D5405" s="332">
        <v>2.92</v>
      </c>
    </row>
    <row r="5406" spans="1:4">
      <c r="A5406" s="28">
        <v>85185</v>
      </c>
      <c r="B5406" s="26" t="s">
        <v>1132</v>
      </c>
      <c r="C5406" s="28" t="s">
        <v>256</v>
      </c>
      <c r="D5406" s="329">
        <v>3.38</v>
      </c>
    </row>
    <row r="5407" spans="1:4" ht="30">
      <c r="A5407" s="47">
        <v>85186</v>
      </c>
      <c r="B5407" s="48" t="s">
        <v>8227</v>
      </c>
      <c r="C5407" s="47" t="s">
        <v>65</v>
      </c>
      <c r="D5407" s="332">
        <v>71.42</v>
      </c>
    </row>
    <row r="5408" spans="1:4">
      <c r="A5408" s="28">
        <v>88236</v>
      </c>
      <c r="B5408" s="26" t="s">
        <v>5561</v>
      </c>
      <c r="C5408" s="28" t="s">
        <v>57</v>
      </c>
      <c r="D5408" s="329">
        <v>0.51</v>
      </c>
    </row>
    <row r="5409" spans="1:4">
      <c r="A5409" s="47">
        <v>88237</v>
      </c>
      <c r="B5409" s="48" t="s">
        <v>5094</v>
      </c>
      <c r="C5409" s="47" t="s">
        <v>57</v>
      </c>
      <c r="D5409" s="332">
        <v>0.85</v>
      </c>
    </row>
    <row r="5410" spans="1:4">
      <c r="A5410" s="28">
        <v>88238</v>
      </c>
      <c r="B5410" s="26" t="s">
        <v>1133</v>
      </c>
      <c r="C5410" s="28" t="s">
        <v>57</v>
      </c>
      <c r="D5410" s="329">
        <v>13.52</v>
      </c>
    </row>
    <row r="5411" spans="1:4">
      <c r="A5411" s="47">
        <v>88239</v>
      </c>
      <c r="B5411" s="48" t="s">
        <v>1134</v>
      </c>
      <c r="C5411" s="47" t="s">
        <v>57</v>
      </c>
      <c r="D5411" s="332">
        <v>13.54</v>
      </c>
    </row>
    <row r="5412" spans="1:4">
      <c r="A5412" s="28">
        <v>88240</v>
      </c>
      <c r="B5412" s="26" t="s">
        <v>1135</v>
      </c>
      <c r="C5412" s="28" t="s">
        <v>57</v>
      </c>
      <c r="D5412" s="329">
        <v>13.48</v>
      </c>
    </row>
    <row r="5413" spans="1:4">
      <c r="A5413" s="47">
        <v>88241</v>
      </c>
      <c r="B5413" s="48" t="s">
        <v>1136</v>
      </c>
      <c r="C5413" s="47" t="s">
        <v>57</v>
      </c>
      <c r="D5413" s="332">
        <v>12.31</v>
      </c>
    </row>
    <row r="5414" spans="1:4">
      <c r="A5414" s="28">
        <v>88242</v>
      </c>
      <c r="B5414" s="26" t="s">
        <v>1137</v>
      </c>
      <c r="C5414" s="28" t="s">
        <v>57</v>
      </c>
      <c r="D5414" s="329">
        <v>13.24</v>
      </c>
    </row>
    <row r="5415" spans="1:4">
      <c r="A5415" s="47">
        <v>88243</v>
      </c>
      <c r="B5415" s="48" t="s">
        <v>1138</v>
      </c>
      <c r="C5415" s="47" t="s">
        <v>57</v>
      </c>
      <c r="D5415" s="332">
        <v>12.31</v>
      </c>
    </row>
    <row r="5416" spans="1:4">
      <c r="A5416" s="28">
        <v>88245</v>
      </c>
      <c r="B5416" s="26" t="s">
        <v>1139</v>
      </c>
      <c r="C5416" s="28" t="s">
        <v>57</v>
      </c>
      <c r="D5416" s="329">
        <v>16.72</v>
      </c>
    </row>
    <row r="5417" spans="1:4">
      <c r="A5417" s="47">
        <v>88246</v>
      </c>
      <c r="B5417" s="48" t="s">
        <v>1140</v>
      </c>
      <c r="C5417" s="47" t="s">
        <v>57</v>
      </c>
      <c r="D5417" s="332">
        <v>22.58</v>
      </c>
    </row>
    <row r="5418" spans="1:4">
      <c r="A5418" s="28">
        <v>88247</v>
      </c>
      <c r="B5418" s="26" t="s">
        <v>1141</v>
      </c>
      <c r="C5418" s="28" t="s">
        <v>57</v>
      </c>
      <c r="D5418" s="329">
        <v>14.77</v>
      </c>
    </row>
    <row r="5419" spans="1:4">
      <c r="A5419" s="47">
        <v>88248</v>
      </c>
      <c r="B5419" s="48" t="s">
        <v>2372</v>
      </c>
      <c r="C5419" s="47" t="s">
        <v>57</v>
      </c>
      <c r="D5419" s="332">
        <v>13.57</v>
      </c>
    </row>
    <row r="5420" spans="1:4">
      <c r="A5420" s="28">
        <v>88249</v>
      </c>
      <c r="B5420" s="26" t="s">
        <v>1142</v>
      </c>
      <c r="C5420" s="28" t="s">
        <v>57</v>
      </c>
      <c r="D5420" s="329">
        <v>14.75</v>
      </c>
    </row>
    <row r="5421" spans="1:4">
      <c r="A5421" s="47">
        <v>88250</v>
      </c>
      <c r="B5421" s="48" t="s">
        <v>1143</v>
      </c>
      <c r="C5421" s="47" t="s">
        <v>57</v>
      </c>
      <c r="D5421" s="332">
        <v>18.899999999999999</v>
      </c>
    </row>
    <row r="5422" spans="1:4">
      <c r="A5422" s="28">
        <v>88251</v>
      </c>
      <c r="B5422" s="26" t="s">
        <v>1144</v>
      </c>
      <c r="C5422" s="28" t="s">
        <v>57</v>
      </c>
      <c r="D5422" s="329">
        <v>13</v>
      </c>
    </row>
    <row r="5423" spans="1:4">
      <c r="A5423" s="47">
        <v>88252</v>
      </c>
      <c r="B5423" s="48" t="s">
        <v>1145</v>
      </c>
      <c r="C5423" s="47" t="s">
        <v>57</v>
      </c>
      <c r="D5423" s="332">
        <v>13.47</v>
      </c>
    </row>
    <row r="5424" spans="1:4">
      <c r="A5424" s="28">
        <v>88253</v>
      </c>
      <c r="B5424" s="26" t="s">
        <v>1146</v>
      </c>
      <c r="C5424" s="28" t="s">
        <v>57</v>
      </c>
      <c r="D5424" s="329">
        <v>13.49</v>
      </c>
    </row>
    <row r="5425" spans="1:4">
      <c r="A5425" s="47">
        <v>88255</v>
      </c>
      <c r="B5425" s="48" t="s">
        <v>1147</v>
      </c>
      <c r="C5425" s="47" t="s">
        <v>57</v>
      </c>
      <c r="D5425" s="332">
        <v>24.73</v>
      </c>
    </row>
    <row r="5426" spans="1:4">
      <c r="A5426" s="28">
        <v>88256</v>
      </c>
      <c r="B5426" s="26" t="s">
        <v>1148</v>
      </c>
      <c r="C5426" s="28" t="s">
        <v>57</v>
      </c>
      <c r="D5426" s="329">
        <v>15.58</v>
      </c>
    </row>
    <row r="5427" spans="1:4">
      <c r="A5427" s="47">
        <v>88257</v>
      </c>
      <c r="B5427" s="48" t="s">
        <v>1149</v>
      </c>
      <c r="C5427" s="47" t="s">
        <v>57</v>
      </c>
      <c r="D5427" s="332">
        <v>18.53</v>
      </c>
    </row>
    <row r="5428" spans="1:4">
      <c r="A5428" s="28">
        <v>88258</v>
      </c>
      <c r="B5428" s="26" t="s">
        <v>1150</v>
      </c>
      <c r="C5428" s="28" t="s">
        <v>57</v>
      </c>
      <c r="D5428" s="329">
        <v>25.33</v>
      </c>
    </row>
    <row r="5429" spans="1:4">
      <c r="A5429" s="47">
        <v>88259</v>
      </c>
      <c r="B5429" s="48" t="s">
        <v>3148</v>
      </c>
      <c r="C5429" s="47" t="s">
        <v>57</v>
      </c>
      <c r="D5429" s="332">
        <v>15.94</v>
      </c>
    </row>
    <row r="5430" spans="1:4">
      <c r="A5430" s="28">
        <v>88260</v>
      </c>
      <c r="B5430" s="26" t="s">
        <v>1151</v>
      </c>
      <c r="C5430" s="28" t="s">
        <v>57</v>
      </c>
      <c r="D5430" s="329">
        <v>17.170000000000002</v>
      </c>
    </row>
    <row r="5431" spans="1:4">
      <c r="A5431" s="47">
        <v>88261</v>
      </c>
      <c r="B5431" s="48" t="s">
        <v>1152</v>
      </c>
      <c r="C5431" s="47" t="s">
        <v>57</v>
      </c>
      <c r="D5431" s="332">
        <v>16.559999999999999</v>
      </c>
    </row>
    <row r="5432" spans="1:4">
      <c r="A5432" s="28">
        <v>88262</v>
      </c>
      <c r="B5432" s="26" t="s">
        <v>1153</v>
      </c>
      <c r="C5432" s="28" t="s">
        <v>57</v>
      </c>
      <c r="D5432" s="329">
        <v>16.72</v>
      </c>
    </row>
    <row r="5433" spans="1:4">
      <c r="A5433" s="47">
        <v>88263</v>
      </c>
      <c r="B5433" s="48" t="s">
        <v>3437</v>
      </c>
      <c r="C5433" s="47" t="s">
        <v>57</v>
      </c>
      <c r="D5433" s="332">
        <v>19.940000000000001</v>
      </c>
    </row>
    <row r="5434" spans="1:4">
      <c r="A5434" s="28">
        <v>88264</v>
      </c>
      <c r="B5434" s="26" t="s">
        <v>1154</v>
      </c>
      <c r="C5434" s="28" t="s">
        <v>57</v>
      </c>
      <c r="D5434" s="329">
        <v>16.98</v>
      </c>
    </row>
    <row r="5435" spans="1:4">
      <c r="A5435" s="47">
        <v>88265</v>
      </c>
      <c r="B5435" s="48" t="s">
        <v>1155</v>
      </c>
      <c r="C5435" s="47" t="s">
        <v>57</v>
      </c>
      <c r="D5435" s="332">
        <v>20.77</v>
      </c>
    </row>
    <row r="5436" spans="1:4">
      <c r="A5436" s="28">
        <v>88266</v>
      </c>
      <c r="B5436" s="26" t="s">
        <v>1156</v>
      </c>
      <c r="C5436" s="28" t="s">
        <v>57</v>
      </c>
      <c r="D5436" s="329">
        <v>23.9</v>
      </c>
    </row>
    <row r="5437" spans="1:4">
      <c r="A5437" s="47">
        <v>88267</v>
      </c>
      <c r="B5437" s="48" t="s">
        <v>1157</v>
      </c>
      <c r="C5437" s="47" t="s">
        <v>57</v>
      </c>
      <c r="D5437" s="332">
        <v>16.78</v>
      </c>
    </row>
    <row r="5438" spans="1:4">
      <c r="A5438" s="28">
        <v>88268</v>
      </c>
      <c r="B5438" s="26" t="s">
        <v>1158</v>
      </c>
      <c r="C5438" s="28" t="s">
        <v>57</v>
      </c>
      <c r="D5438" s="329">
        <v>15.2</v>
      </c>
    </row>
    <row r="5439" spans="1:4">
      <c r="A5439" s="47">
        <v>88269</v>
      </c>
      <c r="B5439" s="48" t="s">
        <v>1159</v>
      </c>
      <c r="C5439" s="47" t="s">
        <v>57</v>
      </c>
      <c r="D5439" s="332">
        <v>15.2</v>
      </c>
    </row>
    <row r="5440" spans="1:4">
      <c r="A5440" s="28">
        <v>88270</v>
      </c>
      <c r="B5440" s="26" t="s">
        <v>1160</v>
      </c>
      <c r="C5440" s="28" t="s">
        <v>57</v>
      </c>
      <c r="D5440" s="329">
        <v>17.489999999999998</v>
      </c>
    </row>
    <row r="5441" spans="1:4">
      <c r="A5441" s="47">
        <v>88272</v>
      </c>
      <c r="B5441" s="48" t="s">
        <v>1161</v>
      </c>
      <c r="C5441" s="47" t="s">
        <v>57</v>
      </c>
      <c r="D5441" s="332">
        <v>32.369999999999997</v>
      </c>
    </row>
    <row r="5442" spans="1:4">
      <c r="A5442" s="28">
        <v>88273</v>
      </c>
      <c r="B5442" s="26" t="s">
        <v>1162</v>
      </c>
      <c r="C5442" s="28" t="s">
        <v>57</v>
      </c>
      <c r="D5442" s="329">
        <v>15.44</v>
      </c>
    </row>
    <row r="5443" spans="1:4">
      <c r="A5443" s="47">
        <v>88274</v>
      </c>
      <c r="B5443" s="48" t="s">
        <v>1163</v>
      </c>
      <c r="C5443" s="47" t="s">
        <v>57</v>
      </c>
      <c r="D5443" s="332">
        <v>16</v>
      </c>
    </row>
    <row r="5444" spans="1:4">
      <c r="A5444" s="28">
        <v>88275</v>
      </c>
      <c r="B5444" s="26" t="s">
        <v>7353</v>
      </c>
      <c r="C5444" s="28" t="s">
        <v>57</v>
      </c>
      <c r="D5444" s="329">
        <v>32.15</v>
      </c>
    </row>
    <row r="5445" spans="1:4">
      <c r="A5445" s="47">
        <v>88277</v>
      </c>
      <c r="B5445" s="48" t="s">
        <v>7442</v>
      </c>
      <c r="C5445" s="47" t="s">
        <v>57</v>
      </c>
      <c r="D5445" s="332">
        <v>22.58</v>
      </c>
    </row>
    <row r="5446" spans="1:4">
      <c r="A5446" s="28">
        <v>88278</v>
      </c>
      <c r="B5446" s="26" t="s">
        <v>1164</v>
      </c>
      <c r="C5446" s="28" t="s">
        <v>57</v>
      </c>
      <c r="D5446" s="329">
        <v>19.05</v>
      </c>
    </row>
    <row r="5447" spans="1:4">
      <c r="A5447" s="47">
        <v>88279</v>
      </c>
      <c r="B5447" s="48" t="s">
        <v>7447</v>
      </c>
      <c r="C5447" s="47" t="s">
        <v>57</v>
      </c>
      <c r="D5447" s="332">
        <v>21.68</v>
      </c>
    </row>
    <row r="5448" spans="1:4">
      <c r="A5448" s="28">
        <v>88281</v>
      </c>
      <c r="B5448" s="26" t="s">
        <v>1165</v>
      </c>
      <c r="C5448" s="28" t="s">
        <v>57</v>
      </c>
      <c r="D5448" s="329">
        <v>30.55</v>
      </c>
    </row>
    <row r="5449" spans="1:4">
      <c r="A5449" s="47">
        <v>88282</v>
      </c>
      <c r="B5449" s="48" t="s">
        <v>1166</v>
      </c>
      <c r="C5449" s="47" t="s">
        <v>57</v>
      </c>
      <c r="D5449" s="332">
        <v>30.55</v>
      </c>
    </row>
    <row r="5450" spans="1:4">
      <c r="A5450" s="28">
        <v>88283</v>
      </c>
      <c r="B5450" s="26" t="s">
        <v>1167</v>
      </c>
      <c r="C5450" s="28" t="s">
        <v>57</v>
      </c>
      <c r="D5450" s="329">
        <v>30.56</v>
      </c>
    </row>
    <row r="5451" spans="1:4">
      <c r="A5451" s="47">
        <v>88284</v>
      </c>
      <c r="B5451" s="48" t="s">
        <v>7617</v>
      </c>
      <c r="C5451" s="47" t="s">
        <v>57</v>
      </c>
      <c r="D5451" s="332">
        <v>28.42</v>
      </c>
    </row>
    <row r="5452" spans="1:4">
      <c r="A5452" s="28">
        <v>88285</v>
      </c>
      <c r="B5452" s="26" t="s">
        <v>1168</v>
      </c>
      <c r="C5452" s="28" t="s">
        <v>57</v>
      </c>
      <c r="D5452" s="329">
        <v>30.56</v>
      </c>
    </row>
    <row r="5453" spans="1:4">
      <c r="A5453" s="47">
        <v>88286</v>
      </c>
      <c r="B5453" s="48" t="s">
        <v>1169</v>
      </c>
      <c r="C5453" s="47" t="s">
        <v>57</v>
      </c>
      <c r="D5453" s="332">
        <v>33.5</v>
      </c>
    </row>
    <row r="5454" spans="1:4">
      <c r="A5454" s="28">
        <v>88288</v>
      </c>
      <c r="B5454" s="26" t="s">
        <v>1170</v>
      </c>
      <c r="C5454" s="28" t="s">
        <v>57</v>
      </c>
      <c r="D5454" s="329">
        <v>14.27</v>
      </c>
    </row>
    <row r="5455" spans="1:4">
      <c r="A5455" s="47">
        <v>88290</v>
      </c>
      <c r="B5455" s="48" t="s">
        <v>1171</v>
      </c>
      <c r="C5455" s="47" t="s">
        <v>57</v>
      </c>
      <c r="D5455" s="332">
        <v>31.47</v>
      </c>
    </row>
    <row r="5456" spans="1:4">
      <c r="A5456" s="28">
        <v>88291</v>
      </c>
      <c r="B5456" s="26" t="s">
        <v>1172</v>
      </c>
      <c r="C5456" s="28" t="s">
        <v>57</v>
      </c>
      <c r="D5456" s="329">
        <v>33.090000000000003</v>
      </c>
    </row>
    <row r="5457" spans="1:4">
      <c r="A5457" s="47">
        <v>88292</v>
      </c>
      <c r="B5457" s="48" t="s">
        <v>1173</v>
      </c>
      <c r="C5457" s="47" t="s">
        <v>57</v>
      </c>
      <c r="D5457" s="332">
        <v>18.75</v>
      </c>
    </row>
    <row r="5458" spans="1:4">
      <c r="A5458" s="28">
        <v>88293</v>
      </c>
      <c r="B5458" s="26" t="s">
        <v>1174</v>
      </c>
      <c r="C5458" s="28" t="s">
        <v>57</v>
      </c>
      <c r="D5458" s="329">
        <v>34.19</v>
      </c>
    </row>
    <row r="5459" spans="1:4">
      <c r="A5459" s="47">
        <v>88294</v>
      </c>
      <c r="B5459" s="48" t="s">
        <v>1175</v>
      </c>
      <c r="C5459" s="47" t="s">
        <v>57</v>
      </c>
      <c r="D5459" s="332">
        <v>36.65</v>
      </c>
    </row>
    <row r="5460" spans="1:4">
      <c r="A5460" s="28">
        <v>88295</v>
      </c>
      <c r="B5460" s="26" t="s">
        <v>1176</v>
      </c>
      <c r="C5460" s="28" t="s">
        <v>57</v>
      </c>
      <c r="D5460" s="329">
        <v>17.66</v>
      </c>
    </row>
    <row r="5461" spans="1:4">
      <c r="A5461" s="47">
        <v>88296</v>
      </c>
      <c r="B5461" s="48" t="s">
        <v>1177</v>
      </c>
      <c r="C5461" s="47" t="s">
        <v>57</v>
      </c>
      <c r="D5461" s="332">
        <v>42.08</v>
      </c>
    </row>
    <row r="5462" spans="1:4">
      <c r="A5462" s="28">
        <v>88297</v>
      </c>
      <c r="B5462" s="26" t="s">
        <v>1178</v>
      </c>
      <c r="C5462" s="28" t="s">
        <v>57</v>
      </c>
      <c r="D5462" s="329">
        <v>31.27</v>
      </c>
    </row>
    <row r="5463" spans="1:4">
      <c r="A5463" s="47">
        <v>88298</v>
      </c>
      <c r="B5463" s="48" t="s">
        <v>1179</v>
      </c>
      <c r="C5463" s="47" t="s">
        <v>57</v>
      </c>
      <c r="D5463" s="332">
        <v>17.649999999999999</v>
      </c>
    </row>
    <row r="5464" spans="1:4">
      <c r="A5464" s="28">
        <v>88299</v>
      </c>
      <c r="B5464" s="26" t="s">
        <v>7733</v>
      </c>
      <c r="C5464" s="28" t="s">
        <v>57</v>
      </c>
      <c r="D5464" s="329">
        <v>46.96</v>
      </c>
    </row>
    <row r="5465" spans="1:4">
      <c r="A5465" s="47">
        <v>88300</v>
      </c>
      <c r="B5465" s="48" t="s">
        <v>1180</v>
      </c>
      <c r="C5465" s="47" t="s">
        <v>57</v>
      </c>
      <c r="D5465" s="332">
        <v>46.96</v>
      </c>
    </row>
    <row r="5466" spans="1:4">
      <c r="A5466" s="28">
        <v>88301</v>
      </c>
      <c r="B5466" s="26" t="s">
        <v>1181</v>
      </c>
      <c r="C5466" s="28" t="s">
        <v>57</v>
      </c>
      <c r="D5466" s="329">
        <v>34.549999999999997</v>
      </c>
    </row>
    <row r="5467" spans="1:4">
      <c r="A5467" s="47">
        <v>88302</v>
      </c>
      <c r="B5467" s="48" t="s">
        <v>1182</v>
      </c>
      <c r="C5467" s="47" t="s">
        <v>57</v>
      </c>
      <c r="D5467" s="332">
        <v>34.19</v>
      </c>
    </row>
    <row r="5468" spans="1:4">
      <c r="A5468" s="28">
        <v>88303</v>
      </c>
      <c r="B5468" s="26" t="s">
        <v>1183</v>
      </c>
      <c r="C5468" s="28" t="s">
        <v>57</v>
      </c>
      <c r="D5468" s="329">
        <v>30.23</v>
      </c>
    </row>
    <row r="5469" spans="1:4">
      <c r="A5469" s="47">
        <v>88304</v>
      </c>
      <c r="B5469" s="48" t="s">
        <v>7741</v>
      </c>
      <c r="C5469" s="47" t="s">
        <v>57</v>
      </c>
      <c r="D5469" s="332">
        <v>31.47</v>
      </c>
    </row>
    <row r="5470" spans="1:4">
      <c r="A5470" s="28">
        <v>88306</v>
      </c>
      <c r="B5470" s="26" t="s">
        <v>1184</v>
      </c>
      <c r="C5470" s="28" t="s">
        <v>57</v>
      </c>
      <c r="D5470" s="329">
        <v>18.649999999999999</v>
      </c>
    </row>
    <row r="5471" spans="1:4">
      <c r="A5471" s="47">
        <v>88307</v>
      </c>
      <c r="B5471" s="48" t="s">
        <v>1185</v>
      </c>
      <c r="C5471" s="47" t="s">
        <v>57</v>
      </c>
      <c r="D5471" s="332">
        <v>21.39</v>
      </c>
    </row>
    <row r="5472" spans="1:4">
      <c r="A5472" s="28">
        <v>88308</v>
      </c>
      <c r="B5472" s="26" t="s">
        <v>1186</v>
      </c>
      <c r="C5472" s="28" t="s">
        <v>57</v>
      </c>
      <c r="D5472" s="329">
        <v>19.420000000000002</v>
      </c>
    </row>
    <row r="5473" spans="1:4">
      <c r="A5473" s="47">
        <v>88309</v>
      </c>
      <c r="B5473" s="48" t="s">
        <v>1187</v>
      </c>
      <c r="C5473" s="47" t="s">
        <v>57</v>
      </c>
      <c r="D5473" s="332">
        <v>16.82</v>
      </c>
    </row>
    <row r="5474" spans="1:4">
      <c r="A5474" s="28">
        <v>88310</v>
      </c>
      <c r="B5474" s="26" t="s">
        <v>1188</v>
      </c>
      <c r="C5474" s="28" t="s">
        <v>57</v>
      </c>
      <c r="D5474" s="329">
        <v>16.75</v>
      </c>
    </row>
    <row r="5475" spans="1:4">
      <c r="A5475" s="47">
        <v>88311</v>
      </c>
      <c r="B5475" s="48" t="s">
        <v>1189</v>
      </c>
      <c r="C5475" s="47" t="s">
        <v>57</v>
      </c>
      <c r="D5475" s="332">
        <v>17.489999999999998</v>
      </c>
    </row>
    <row r="5476" spans="1:4">
      <c r="A5476" s="28">
        <v>88312</v>
      </c>
      <c r="B5476" s="26" t="s">
        <v>1190</v>
      </c>
      <c r="C5476" s="28" t="s">
        <v>57</v>
      </c>
      <c r="D5476" s="329">
        <v>19.21</v>
      </c>
    </row>
    <row r="5477" spans="1:4">
      <c r="A5477" s="47">
        <v>88313</v>
      </c>
      <c r="B5477" s="48" t="s">
        <v>1191</v>
      </c>
      <c r="C5477" s="47" t="s">
        <v>57</v>
      </c>
      <c r="D5477" s="332">
        <v>36.19</v>
      </c>
    </row>
    <row r="5478" spans="1:4">
      <c r="A5478" s="28">
        <v>88314</v>
      </c>
      <c r="B5478" s="26" t="s">
        <v>1192</v>
      </c>
      <c r="C5478" s="28" t="s">
        <v>57</v>
      </c>
      <c r="D5478" s="329">
        <v>14.06</v>
      </c>
    </row>
    <row r="5479" spans="1:4">
      <c r="A5479" s="47">
        <v>88315</v>
      </c>
      <c r="B5479" s="48" t="s">
        <v>1193</v>
      </c>
      <c r="C5479" s="47" t="s">
        <v>57</v>
      </c>
      <c r="D5479" s="332">
        <v>16.010000000000002</v>
      </c>
    </row>
    <row r="5480" spans="1:4">
      <c r="A5480" s="28">
        <v>88316</v>
      </c>
      <c r="B5480" s="26" t="s">
        <v>1194</v>
      </c>
      <c r="C5480" s="28" t="s">
        <v>57</v>
      </c>
      <c r="D5480" s="329">
        <v>11.69</v>
      </c>
    </row>
    <row r="5481" spans="1:4">
      <c r="A5481" s="47">
        <v>88317</v>
      </c>
      <c r="B5481" s="48" t="s">
        <v>1195</v>
      </c>
      <c r="C5481" s="47" t="s">
        <v>57</v>
      </c>
      <c r="D5481" s="332">
        <v>16.72</v>
      </c>
    </row>
    <row r="5482" spans="1:4">
      <c r="A5482" s="28">
        <v>88318</v>
      </c>
      <c r="B5482" s="26" t="s">
        <v>9050</v>
      </c>
      <c r="C5482" s="28" t="s">
        <v>57</v>
      </c>
      <c r="D5482" s="329">
        <v>17.899999999999999</v>
      </c>
    </row>
    <row r="5483" spans="1:4">
      <c r="A5483" s="47">
        <v>88319</v>
      </c>
      <c r="B5483" s="48" t="s">
        <v>9489</v>
      </c>
      <c r="C5483" s="47" t="s">
        <v>57</v>
      </c>
      <c r="D5483" s="332">
        <v>63.31</v>
      </c>
    </row>
    <row r="5484" spans="1:4" ht="29.25" customHeight="1">
      <c r="A5484" s="28">
        <v>88320</v>
      </c>
      <c r="B5484" s="26" t="s">
        <v>1196</v>
      </c>
      <c r="C5484" s="28" t="s">
        <v>57</v>
      </c>
      <c r="D5484" s="329">
        <v>14.41</v>
      </c>
    </row>
    <row r="5485" spans="1:4" ht="29.25" customHeight="1">
      <c r="A5485" s="47">
        <v>88321</v>
      </c>
      <c r="B5485" s="48" t="s">
        <v>1197</v>
      </c>
      <c r="C5485" s="47" t="s">
        <v>57</v>
      </c>
      <c r="D5485" s="332">
        <v>53.22</v>
      </c>
    </row>
    <row r="5486" spans="1:4">
      <c r="A5486" s="28">
        <v>88322</v>
      </c>
      <c r="B5486" s="26" t="s">
        <v>1198</v>
      </c>
      <c r="C5486" s="28" t="s">
        <v>57</v>
      </c>
      <c r="D5486" s="329">
        <v>63.31</v>
      </c>
    </row>
    <row r="5487" spans="1:4">
      <c r="A5487" s="47">
        <v>88323</v>
      </c>
      <c r="B5487" s="48" t="s">
        <v>1199</v>
      </c>
      <c r="C5487" s="47" t="s">
        <v>57</v>
      </c>
      <c r="D5487" s="332">
        <v>14.98</v>
      </c>
    </row>
    <row r="5488" spans="1:4">
      <c r="A5488" s="28">
        <v>88324</v>
      </c>
      <c r="B5488" s="26" t="s">
        <v>1200</v>
      </c>
      <c r="C5488" s="28" t="s">
        <v>57</v>
      </c>
      <c r="D5488" s="329">
        <v>33.32</v>
      </c>
    </row>
    <row r="5489" spans="1:4">
      <c r="A5489" s="47">
        <v>88325</v>
      </c>
      <c r="B5489" s="48" t="s">
        <v>1201</v>
      </c>
      <c r="C5489" s="47" t="s">
        <v>57</v>
      </c>
      <c r="D5489" s="332">
        <v>14.98</v>
      </c>
    </row>
    <row r="5490" spans="1:4">
      <c r="A5490" s="28">
        <v>88326</v>
      </c>
      <c r="B5490" s="26" t="s">
        <v>1202</v>
      </c>
      <c r="C5490" s="28" t="s">
        <v>57</v>
      </c>
      <c r="D5490" s="329">
        <v>22.15</v>
      </c>
    </row>
    <row r="5491" spans="1:4">
      <c r="A5491" s="47">
        <v>88377</v>
      </c>
      <c r="B5491" s="48" t="s">
        <v>7719</v>
      </c>
      <c r="C5491" s="47" t="s">
        <v>57</v>
      </c>
      <c r="D5491" s="332">
        <v>11.87</v>
      </c>
    </row>
    <row r="5492" spans="1:4">
      <c r="A5492" s="28">
        <v>88441</v>
      </c>
      <c r="B5492" s="26" t="s">
        <v>1203</v>
      </c>
      <c r="C5492" s="28" t="s">
        <v>57</v>
      </c>
      <c r="D5492" s="329">
        <v>13.55</v>
      </c>
    </row>
    <row r="5493" spans="1:4">
      <c r="A5493" s="47">
        <v>88597</v>
      </c>
      <c r="B5493" s="48" t="s">
        <v>1204</v>
      </c>
      <c r="C5493" s="47" t="s">
        <v>57</v>
      </c>
      <c r="D5493" s="332">
        <v>24.09</v>
      </c>
    </row>
    <row r="5494" spans="1:4">
      <c r="A5494" s="28">
        <v>90766</v>
      </c>
      <c r="B5494" s="26" t="s">
        <v>1205</v>
      </c>
      <c r="C5494" s="28" t="s">
        <v>57</v>
      </c>
      <c r="D5494" s="329">
        <v>22.08</v>
      </c>
    </row>
    <row r="5495" spans="1:4">
      <c r="A5495" s="47">
        <v>90767</v>
      </c>
      <c r="B5495" s="48" t="s">
        <v>1206</v>
      </c>
      <c r="C5495" s="47" t="s">
        <v>57</v>
      </c>
      <c r="D5495" s="332">
        <v>21.24</v>
      </c>
    </row>
    <row r="5496" spans="1:4">
      <c r="A5496" s="28">
        <v>90768</v>
      </c>
      <c r="B5496" s="26" t="s">
        <v>2176</v>
      </c>
      <c r="C5496" s="28" t="s">
        <v>57</v>
      </c>
      <c r="D5496" s="329">
        <v>61.56</v>
      </c>
    </row>
    <row r="5497" spans="1:4">
      <c r="A5497" s="47">
        <v>90769</v>
      </c>
      <c r="B5497" s="48" t="s">
        <v>1207</v>
      </c>
      <c r="C5497" s="47" t="s">
        <v>57</v>
      </c>
      <c r="D5497" s="332">
        <v>70.569999999999993</v>
      </c>
    </row>
    <row r="5498" spans="1:4">
      <c r="A5498" s="28">
        <v>90770</v>
      </c>
      <c r="B5498" s="26" t="s">
        <v>2177</v>
      </c>
      <c r="C5498" s="28" t="s">
        <v>57</v>
      </c>
      <c r="D5498" s="329">
        <v>83.53</v>
      </c>
    </row>
    <row r="5499" spans="1:4">
      <c r="A5499" s="47">
        <v>90771</v>
      </c>
      <c r="B5499" s="48" t="s">
        <v>1208</v>
      </c>
      <c r="C5499" s="47" t="s">
        <v>57</v>
      </c>
      <c r="D5499" s="332">
        <v>20.03</v>
      </c>
    </row>
    <row r="5500" spans="1:4">
      <c r="A5500" s="28">
        <v>90772</v>
      </c>
      <c r="B5500" s="26" t="s">
        <v>2375</v>
      </c>
      <c r="C5500" s="28" t="s">
        <v>57</v>
      </c>
      <c r="D5500" s="329">
        <v>13.94</v>
      </c>
    </row>
    <row r="5501" spans="1:4">
      <c r="A5501" s="47">
        <v>90773</v>
      </c>
      <c r="B5501" s="48" t="s">
        <v>1209</v>
      </c>
      <c r="C5501" s="47" t="s">
        <v>57</v>
      </c>
      <c r="D5501" s="332">
        <v>20.25</v>
      </c>
    </row>
    <row r="5502" spans="1:4">
      <c r="A5502" s="28">
        <v>90775</v>
      </c>
      <c r="B5502" s="26" t="s">
        <v>1210</v>
      </c>
      <c r="C5502" s="28" t="s">
        <v>57</v>
      </c>
      <c r="D5502" s="329">
        <v>32.700000000000003</v>
      </c>
    </row>
    <row r="5503" spans="1:4">
      <c r="A5503" s="47">
        <v>90776</v>
      </c>
      <c r="B5503" s="48" t="s">
        <v>1211</v>
      </c>
      <c r="C5503" s="47" t="s">
        <v>57</v>
      </c>
      <c r="D5503" s="332">
        <v>26.79</v>
      </c>
    </row>
    <row r="5504" spans="1:4">
      <c r="A5504" s="28">
        <v>90777</v>
      </c>
      <c r="B5504" s="26" t="s">
        <v>5019</v>
      </c>
      <c r="C5504" s="28" t="s">
        <v>57</v>
      </c>
      <c r="D5504" s="329">
        <v>65.44</v>
      </c>
    </row>
    <row r="5505" spans="1:4">
      <c r="A5505" s="47">
        <v>90778</v>
      </c>
      <c r="B5505" s="48" t="s">
        <v>1212</v>
      </c>
      <c r="C5505" s="47" t="s">
        <v>57</v>
      </c>
      <c r="D5505" s="332">
        <v>82.3</v>
      </c>
    </row>
    <row r="5506" spans="1:4">
      <c r="A5506" s="28">
        <v>90779</v>
      </c>
      <c r="B5506" s="26" t="s">
        <v>5022</v>
      </c>
      <c r="C5506" s="28" t="s">
        <v>57</v>
      </c>
      <c r="D5506" s="329">
        <v>107.97</v>
      </c>
    </row>
    <row r="5507" spans="1:4">
      <c r="A5507" s="47">
        <v>90780</v>
      </c>
      <c r="B5507" s="48" t="s">
        <v>1213</v>
      </c>
      <c r="C5507" s="47" t="s">
        <v>57</v>
      </c>
      <c r="D5507" s="332">
        <v>40.89</v>
      </c>
    </row>
    <row r="5508" spans="1:4">
      <c r="A5508" s="28">
        <v>90781</v>
      </c>
      <c r="B5508" s="26" t="s">
        <v>9759</v>
      </c>
      <c r="C5508" s="28" t="s">
        <v>57</v>
      </c>
      <c r="D5508" s="329">
        <v>15.36</v>
      </c>
    </row>
    <row r="5509" spans="1:4">
      <c r="A5509" s="47">
        <v>91677</v>
      </c>
      <c r="B5509" s="48" t="s">
        <v>1214</v>
      </c>
      <c r="C5509" s="47" t="s">
        <v>57</v>
      </c>
      <c r="D5509" s="332">
        <v>76.66</v>
      </c>
    </row>
    <row r="5510" spans="1:4">
      <c r="A5510" s="28">
        <v>91678</v>
      </c>
      <c r="B5510" s="26" t="s">
        <v>5030</v>
      </c>
      <c r="C5510" s="28" t="s">
        <v>57</v>
      </c>
      <c r="D5510" s="329">
        <v>64.66</v>
      </c>
    </row>
    <row r="5511" spans="1:4">
      <c r="A5511" s="47">
        <v>93556</v>
      </c>
      <c r="B5511" s="48" t="s">
        <v>5562</v>
      </c>
      <c r="C5511" s="47" t="s">
        <v>1643</v>
      </c>
      <c r="D5511" s="332">
        <v>96.54</v>
      </c>
    </row>
    <row r="5512" spans="1:4">
      <c r="A5512" s="28">
        <v>93557</v>
      </c>
      <c r="B5512" s="26" t="s">
        <v>5095</v>
      </c>
      <c r="C5512" s="28" t="s">
        <v>1643</v>
      </c>
      <c r="D5512" s="329">
        <v>160.72</v>
      </c>
    </row>
    <row r="5513" spans="1:4">
      <c r="A5513" s="47">
        <v>93558</v>
      </c>
      <c r="B5513" s="48" t="s">
        <v>7612</v>
      </c>
      <c r="C5513" s="47" t="s">
        <v>1643</v>
      </c>
      <c r="D5513" s="332">
        <v>5408.7</v>
      </c>
    </row>
    <row r="5514" spans="1:4">
      <c r="A5514" s="28">
        <v>93559</v>
      </c>
      <c r="B5514" s="26" t="s">
        <v>1204</v>
      </c>
      <c r="C5514" s="28" t="s">
        <v>1643</v>
      </c>
      <c r="D5514" s="329">
        <v>4269.24</v>
      </c>
    </row>
    <row r="5515" spans="1:4">
      <c r="A5515" s="47">
        <v>93560</v>
      </c>
      <c r="B5515" s="48" t="s">
        <v>1209</v>
      </c>
      <c r="C5515" s="47" t="s">
        <v>1643</v>
      </c>
      <c r="D5515" s="332">
        <v>3593.6</v>
      </c>
    </row>
    <row r="5516" spans="1:4">
      <c r="A5516" s="28">
        <v>93561</v>
      </c>
      <c r="B5516" s="26" t="s">
        <v>1210</v>
      </c>
      <c r="C5516" s="28" t="s">
        <v>1643</v>
      </c>
      <c r="D5516" s="329">
        <v>6026.65</v>
      </c>
    </row>
    <row r="5517" spans="1:4">
      <c r="A5517" s="47">
        <v>93562</v>
      </c>
      <c r="B5517" s="48" t="s">
        <v>1208</v>
      </c>
      <c r="C5517" s="47" t="s">
        <v>1643</v>
      </c>
      <c r="D5517" s="332">
        <v>3554.92</v>
      </c>
    </row>
    <row r="5518" spans="1:4">
      <c r="A5518" s="28">
        <v>93563</v>
      </c>
      <c r="B5518" s="26" t="s">
        <v>1205</v>
      </c>
      <c r="C5518" s="28" t="s">
        <v>1643</v>
      </c>
      <c r="D5518" s="329">
        <v>3916.93</v>
      </c>
    </row>
    <row r="5519" spans="1:4">
      <c r="A5519" s="47">
        <v>93564</v>
      </c>
      <c r="B5519" s="48" t="s">
        <v>1206</v>
      </c>
      <c r="C5519" s="47" t="s">
        <v>1643</v>
      </c>
      <c r="D5519" s="332">
        <v>3758.96</v>
      </c>
    </row>
    <row r="5520" spans="1:4">
      <c r="A5520" s="28">
        <v>93565</v>
      </c>
      <c r="B5520" s="26" t="s">
        <v>5019</v>
      </c>
      <c r="C5520" s="28" t="s">
        <v>1643</v>
      </c>
      <c r="D5520" s="329">
        <v>11496.86</v>
      </c>
    </row>
    <row r="5521" spans="1:4">
      <c r="A5521" s="47">
        <v>93566</v>
      </c>
      <c r="B5521" s="48" t="s">
        <v>2375</v>
      </c>
      <c r="C5521" s="47" t="s">
        <v>1643</v>
      </c>
      <c r="D5521" s="332">
        <v>2483.4899999999998</v>
      </c>
    </row>
    <row r="5522" spans="1:4">
      <c r="A5522" s="28">
        <v>93567</v>
      </c>
      <c r="B5522" s="26" t="s">
        <v>1212</v>
      </c>
      <c r="C5522" s="28" t="s">
        <v>1643</v>
      </c>
      <c r="D5522" s="329">
        <v>14457.71</v>
      </c>
    </row>
    <row r="5523" spans="1:4">
      <c r="A5523" s="47">
        <v>93568</v>
      </c>
      <c r="B5523" s="48" t="s">
        <v>5022</v>
      </c>
      <c r="C5523" s="47" t="s">
        <v>1643</v>
      </c>
      <c r="D5523" s="332">
        <v>18965.46</v>
      </c>
    </row>
    <row r="5524" spans="1:4">
      <c r="A5524" s="28">
        <v>93569</v>
      </c>
      <c r="B5524" s="26" t="s">
        <v>2180</v>
      </c>
      <c r="C5524" s="28" t="s">
        <v>1643</v>
      </c>
      <c r="D5524" s="329">
        <v>10828.02</v>
      </c>
    </row>
    <row r="5525" spans="1:4">
      <c r="A5525" s="47">
        <v>93570</v>
      </c>
      <c r="B5525" s="48" t="s">
        <v>2182</v>
      </c>
      <c r="C5525" s="47" t="s">
        <v>1643</v>
      </c>
      <c r="D5525" s="332">
        <v>12412.91</v>
      </c>
    </row>
    <row r="5526" spans="1:4">
      <c r="A5526" s="28">
        <v>93571</v>
      </c>
      <c r="B5526" s="26" t="s">
        <v>2185</v>
      </c>
      <c r="C5526" s="28" t="s">
        <v>1643</v>
      </c>
      <c r="D5526" s="329">
        <v>14690.47</v>
      </c>
    </row>
    <row r="5527" spans="1:4">
      <c r="A5527" s="47">
        <v>93572</v>
      </c>
      <c r="B5527" s="48" t="s">
        <v>5006</v>
      </c>
      <c r="C5527" s="47" t="s">
        <v>1643</v>
      </c>
      <c r="D5527" s="332">
        <v>4732.59</v>
      </c>
    </row>
    <row r="5528" spans="1:4">
      <c r="A5528" s="28">
        <v>94295</v>
      </c>
      <c r="B5528" s="26" t="s">
        <v>1213</v>
      </c>
      <c r="C5528" s="28" t="s">
        <v>1643</v>
      </c>
      <c r="D5528" s="329">
        <v>7177.56</v>
      </c>
    </row>
    <row r="5529" spans="1:4">
      <c r="A5529" s="47">
        <v>94296</v>
      </c>
      <c r="B5529" s="48" t="s">
        <v>9759</v>
      </c>
      <c r="C5529" s="47" t="s">
        <v>1643</v>
      </c>
      <c r="D5529" s="332">
        <v>2733.63</v>
      </c>
    </row>
    <row r="5530" spans="1:4">
      <c r="A5530" s="28">
        <v>95308</v>
      </c>
      <c r="B5530" s="26" t="s">
        <v>4249</v>
      </c>
      <c r="C5530" s="28" t="s">
        <v>57</v>
      </c>
      <c r="D5530" s="329">
        <v>0.08</v>
      </c>
    </row>
    <row r="5531" spans="1:4">
      <c r="A5531" s="47">
        <v>95309</v>
      </c>
      <c r="B5531" s="48" t="s">
        <v>4250</v>
      </c>
      <c r="C5531" s="47" t="s">
        <v>57</v>
      </c>
      <c r="D5531" s="332">
        <v>0.11</v>
      </c>
    </row>
    <row r="5532" spans="1:4">
      <c r="A5532" s="28">
        <v>95310</v>
      </c>
      <c r="B5532" s="26" t="s">
        <v>4251</v>
      </c>
      <c r="C5532" s="28" t="s">
        <v>57</v>
      </c>
      <c r="D5532" s="329">
        <v>0.08</v>
      </c>
    </row>
    <row r="5533" spans="1:4">
      <c r="A5533" s="47">
        <v>95311</v>
      </c>
      <c r="B5533" s="48" t="s">
        <v>4252</v>
      </c>
      <c r="C5533" s="47" t="s">
        <v>57</v>
      </c>
      <c r="D5533" s="332">
        <v>7.0000000000000007E-2</v>
      </c>
    </row>
    <row r="5534" spans="1:4">
      <c r="A5534" s="28">
        <v>95312</v>
      </c>
      <c r="B5534" s="26" t="s">
        <v>4253</v>
      </c>
      <c r="C5534" s="28" t="s">
        <v>57</v>
      </c>
      <c r="D5534" s="329">
        <v>0.11</v>
      </c>
    </row>
    <row r="5535" spans="1:4">
      <c r="A5535" s="47">
        <v>95313</v>
      </c>
      <c r="B5535" s="48" t="s">
        <v>4254</v>
      </c>
      <c r="C5535" s="47" t="s">
        <v>57</v>
      </c>
      <c r="D5535" s="332">
        <v>7.0000000000000007E-2</v>
      </c>
    </row>
    <row r="5536" spans="1:4">
      <c r="A5536" s="28">
        <v>95314</v>
      </c>
      <c r="B5536" s="26" t="s">
        <v>4259</v>
      </c>
      <c r="C5536" s="28" t="s">
        <v>57</v>
      </c>
      <c r="D5536" s="329">
        <v>0.11</v>
      </c>
    </row>
    <row r="5537" spans="1:4">
      <c r="A5537" s="47">
        <v>95315</v>
      </c>
      <c r="B5537" s="48" t="s">
        <v>4266</v>
      </c>
      <c r="C5537" s="47" t="s">
        <v>57</v>
      </c>
      <c r="D5537" s="332">
        <v>0.22</v>
      </c>
    </row>
    <row r="5538" spans="1:4">
      <c r="A5538" s="28">
        <v>95316</v>
      </c>
      <c r="B5538" s="26" t="s">
        <v>4269</v>
      </c>
      <c r="C5538" s="28" t="s">
        <v>57</v>
      </c>
      <c r="D5538" s="329">
        <v>0.31</v>
      </c>
    </row>
    <row r="5539" spans="1:4">
      <c r="A5539" s="47">
        <v>95317</v>
      </c>
      <c r="B5539" s="48" t="s">
        <v>4270</v>
      </c>
      <c r="C5539" s="47" t="s">
        <v>57</v>
      </c>
      <c r="D5539" s="332">
        <v>0.13</v>
      </c>
    </row>
    <row r="5540" spans="1:4">
      <c r="A5540" s="28">
        <v>95318</v>
      </c>
      <c r="B5540" s="26" t="s">
        <v>4273</v>
      </c>
      <c r="C5540" s="28" t="s">
        <v>57</v>
      </c>
      <c r="D5540" s="329">
        <v>7.0000000000000007E-2</v>
      </c>
    </row>
    <row r="5541" spans="1:4">
      <c r="A5541" s="47">
        <v>95319</v>
      </c>
      <c r="B5541" s="48" t="s">
        <v>4274</v>
      </c>
      <c r="C5541" s="47" t="s">
        <v>57</v>
      </c>
      <c r="D5541" s="332">
        <v>0.13</v>
      </c>
    </row>
    <row r="5542" spans="1:4">
      <c r="A5542" s="28">
        <v>95320</v>
      </c>
      <c r="B5542" s="26" t="s">
        <v>4275</v>
      </c>
      <c r="C5542" s="28" t="s">
        <v>57</v>
      </c>
      <c r="D5542" s="329">
        <v>0.08</v>
      </c>
    </row>
    <row r="5543" spans="1:4">
      <c r="A5543" s="47">
        <v>95321</v>
      </c>
      <c r="B5543" s="48" t="s">
        <v>4276</v>
      </c>
      <c r="C5543" s="47" t="s">
        <v>57</v>
      </c>
      <c r="D5543" s="332">
        <v>0.08</v>
      </c>
    </row>
    <row r="5544" spans="1:4">
      <c r="A5544" s="28">
        <v>95322</v>
      </c>
      <c r="B5544" s="26" t="s">
        <v>4277</v>
      </c>
      <c r="C5544" s="28" t="s">
        <v>57</v>
      </c>
      <c r="D5544" s="329">
        <v>0.06</v>
      </c>
    </row>
    <row r="5545" spans="1:4">
      <c r="A5545" s="47">
        <v>95323</v>
      </c>
      <c r="B5545" s="48" t="s">
        <v>4278</v>
      </c>
      <c r="C5545" s="47" t="s">
        <v>57</v>
      </c>
      <c r="D5545" s="332">
        <v>0.13</v>
      </c>
    </row>
    <row r="5546" spans="1:4">
      <c r="A5546" s="28">
        <v>95324</v>
      </c>
      <c r="B5546" s="26" t="s">
        <v>4279</v>
      </c>
      <c r="C5546" s="28" t="s">
        <v>57</v>
      </c>
      <c r="D5546" s="329">
        <v>0.13</v>
      </c>
    </row>
    <row r="5547" spans="1:4">
      <c r="A5547" s="47">
        <v>95325</v>
      </c>
      <c r="B5547" s="48" t="s">
        <v>4280</v>
      </c>
      <c r="C5547" s="47" t="s">
        <v>57</v>
      </c>
      <c r="D5547" s="332">
        <v>0.2</v>
      </c>
    </row>
    <row r="5548" spans="1:4">
      <c r="A5548" s="28">
        <v>95326</v>
      </c>
      <c r="B5548" s="26" t="s">
        <v>4281</v>
      </c>
      <c r="C5548" s="28" t="s">
        <v>57</v>
      </c>
      <c r="D5548" s="329">
        <v>0.08</v>
      </c>
    </row>
    <row r="5549" spans="1:4">
      <c r="A5549" s="47">
        <v>95327</v>
      </c>
      <c r="B5549" s="48" t="s">
        <v>4282</v>
      </c>
      <c r="C5549" s="47" t="s">
        <v>57</v>
      </c>
      <c r="D5549" s="332">
        <v>0.14000000000000001</v>
      </c>
    </row>
    <row r="5550" spans="1:4">
      <c r="A5550" s="28">
        <v>95328</v>
      </c>
      <c r="B5550" s="26" t="s">
        <v>4283</v>
      </c>
      <c r="C5550" s="28" t="s">
        <v>57</v>
      </c>
      <c r="D5550" s="329">
        <v>0.12</v>
      </c>
    </row>
    <row r="5551" spans="1:4">
      <c r="A5551" s="47">
        <v>95329</v>
      </c>
      <c r="B5551" s="48" t="s">
        <v>4284</v>
      </c>
      <c r="C5551" s="47" t="s">
        <v>57</v>
      </c>
      <c r="D5551" s="332">
        <v>0.14000000000000001</v>
      </c>
    </row>
    <row r="5552" spans="1:4">
      <c r="A5552" s="28">
        <v>95330</v>
      </c>
      <c r="B5552" s="26" t="s">
        <v>4285</v>
      </c>
      <c r="C5552" s="28" t="s">
        <v>57</v>
      </c>
      <c r="D5552" s="329">
        <v>0.11</v>
      </c>
    </row>
    <row r="5553" spans="1:4">
      <c r="A5553" s="47">
        <v>95331</v>
      </c>
      <c r="B5553" s="48" t="s">
        <v>4286</v>
      </c>
      <c r="C5553" s="47" t="s">
        <v>57</v>
      </c>
      <c r="D5553" s="332">
        <v>0.14000000000000001</v>
      </c>
    </row>
    <row r="5554" spans="1:4">
      <c r="A5554" s="28">
        <v>95332</v>
      </c>
      <c r="B5554" s="26" t="s">
        <v>4294</v>
      </c>
      <c r="C5554" s="28" t="s">
        <v>57</v>
      </c>
      <c r="D5554" s="329">
        <v>0.38</v>
      </c>
    </row>
    <row r="5555" spans="1:4">
      <c r="A5555" s="47">
        <v>95333</v>
      </c>
      <c r="B5555" s="48" t="s">
        <v>4293</v>
      </c>
      <c r="C5555" s="47" t="s">
        <v>57</v>
      </c>
      <c r="D5555" s="332">
        <v>0.49</v>
      </c>
    </row>
    <row r="5556" spans="1:4">
      <c r="A5556" s="28">
        <v>95334</v>
      </c>
      <c r="B5556" s="26" t="s">
        <v>4295</v>
      </c>
      <c r="C5556" s="28" t="s">
        <v>57</v>
      </c>
      <c r="D5556" s="329">
        <v>0.48</v>
      </c>
    </row>
    <row r="5557" spans="1:4">
      <c r="A5557" s="47">
        <v>95335</v>
      </c>
      <c r="B5557" s="48" t="s">
        <v>4296</v>
      </c>
      <c r="C5557" s="47" t="s">
        <v>57</v>
      </c>
      <c r="D5557" s="332">
        <v>0.18</v>
      </c>
    </row>
    <row r="5558" spans="1:4">
      <c r="A5558" s="28">
        <v>95336</v>
      </c>
      <c r="B5558" s="26" t="s">
        <v>4306</v>
      </c>
      <c r="C5558" s="28" t="s">
        <v>57</v>
      </c>
      <c r="D5558" s="329">
        <v>0.1</v>
      </c>
    </row>
    <row r="5559" spans="1:4">
      <c r="A5559" s="47">
        <v>95337</v>
      </c>
      <c r="B5559" s="48" t="s">
        <v>4307</v>
      </c>
      <c r="C5559" s="47" t="s">
        <v>57</v>
      </c>
      <c r="D5559" s="332">
        <v>0.1</v>
      </c>
    </row>
    <row r="5560" spans="1:4">
      <c r="A5560" s="28">
        <v>95338</v>
      </c>
      <c r="B5560" s="26" t="s">
        <v>4308</v>
      </c>
      <c r="C5560" s="28" t="s">
        <v>57</v>
      </c>
      <c r="D5560" s="329">
        <v>0.22</v>
      </c>
    </row>
    <row r="5561" spans="1:4">
      <c r="A5561" s="47">
        <v>95339</v>
      </c>
      <c r="B5561" s="48" t="s">
        <v>4310</v>
      </c>
      <c r="C5561" s="47" t="s">
        <v>57</v>
      </c>
      <c r="D5561" s="332">
        <v>0.4</v>
      </c>
    </row>
    <row r="5562" spans="1:4">
      <c r="A5562" s="28">
        <v>95340</v>
      </c>
      <c r="B5562" s="26" t="s">
        <v>4311</v>
      </c>
      <c r="C5562" s="28" t="s">
        <v>57</v>
      </c>
      <c r="D5562" s="329">
        <v>0.13</v>
      </c>
    </row>
    <row r="5563" spans="1:4">
      <c r="A5563" s="47">
        <v>95341</v>
      </c>
      <c r="B5563" s="48" t="s">
        <v>4312</v>
      </c>
      <c r="C5563" s="47" t="s">
        <v>57</v>
      </c>
      <c r="D5563" s="332">
        <v>0.14000000000000001</v>
      </c>
    </row>
    <row r="5564" spans="1:4">
      <c r="A5564" s="28">
        <v>95342</v>
      </c>
      <c r="B5564" s="26" t="s">
        <v>4313</v>
      </c>
      <c r="C5564" s="28" t="s">
        <v>57</v>
      </c>
      <c r="D5564" s="329">
        <v>0.18</v>
      </c>
    </row>
    <row r="5565" spans="1:4">
      <c r="A5565" s="47">
        <v>95343</v>
      </c>
      <c r="B5565" s="48" t="s">
        <v>4316</v>
      </c>
      <c r="C5565" s="47" t="s">
        <v>57</v>
      </c>
      <c r="D5565" s="332">
        <v>0.22</v>
      </c>
    </row>
    <row r="5566" spans="1:4">
      <c r="A5566" s="28">
        <v>95344</v>
      </c>
      <c r="B5566" s="26" t="s">
        <v>4317</v>
      </c>
      <c r="C5566" s="28" t="s">
        <v>57</v>
      </c>
      <c r="D5566" s="329">
        <v>0.14000000000000001</v>
      </c>
    </row>
    <row r="5567" spans="1:4">
      <c r="A5567" s="47">
        <v>95345</v>
      </c>
      <c r="B5567" s="48" t="s">
        <v>4318</v>
      </c>
      <c r="C5567" s="47" t="s">
        <v>57</v>
      </c>
      <c r="D5567" s="332">
        <v>0.43</v>
      </c>
    </row>
    <row r="5568" spans="1:4">
      <c r="A5568" s="28">
        <v>95346</v>
      </c>
      <c r="B5568" s="26" t="s">
        <v>4319</v>
      </c>
      <c r="C5568" s="28" t="s">
        <v>57</v>
      </c>
      <c r="D5568" s="329">
        <v>0.11</v>
      </c>
    </row>
    <row r="5569" spans="1:4">
      <c r="A5569" s="47">
        <v>95347</v>
      </c>
      <c r="B5569" s="48" t="s">
        <v>4321</v>
      </c>
      <c r="C5569" s="47" t="s">
        <v>57</v>
      </c>
      <c r="D5569" s="332">
        <v>0.11</v>
      </c>
    </row>
    <row r="5570" spans="1:4">
      <c r="A5570" s="28">
        <v>95348</v>
      </c>
      <c r="B5570" s="26" t="s">
        <v>4320</v>
      </c>
      <c r="C5570" s="28" t="s">
        <v>57</v>
      </c>
      <c r="D5570" s="329">
        <v>0.11</v>
      </c>
    </row>
    <row r="5571" spans="1:4">
      <c r="A5571" s="47">
        <v>95349</v>
      </c>
      <c r="B5571" s="48" t="s">
        <v>4324</v>
      </c>
      <c r="C5571" s="47" t="s">
        <v>57</v>
      </c>
      <c r="D5571" s="332">
        <v>0.1</v>
      </c>
    </row>
    <row r="5572" spans="1:4">
      <c r="A5572" s="28">
        <v>95350</v>
      </c>
      <c r="B5572" s="26" t="s">
        <v>4323</v>
      </c>
      <c r="C5572" s="28" t="s">
        <v>57</v>
      </c>
      <c r="D5572" s="329">
        <v>0.11</v>
      </c>
    </row>
    <row r="5573" spans="1:4">
      <c r="A5573" s="47">
        <v>95351</v>
      </c>
      <c r="B5573" s="48" t="s">
        <v>4325</v>
      </c>
      <c r="C5573" s="47" t="s">
        <v>57</v>
      </c>
      <c r="D5573" s="332">
        <v>0.4</v>
      </c>
    </row>
    <row r="5574" spans="1:4">
      <c r="A5574" s="28">
        <v>95352</v>
      </c>
      <c r="B5574" s="26" t="s">
        <v>4326</v>
      </c>
      <c r="C5574" s="28" t="s">
        <v>57</v>
      </c>
      <c r="D5574" s="329">
        <v>0.06</v>
      </c>
    </row>
    <row r="5575" spans="1:4">
      <c r="A5575" s="47">
        <v>95353</v>
      </c>
      <c r="B5575" s="48" t="s">
        <v>4327</v>
      </c>
      <c r="C5575" s="47" t="s">
        <v>57</v>
      </c>
      <c r="D5575" s="332">
        <v>0.18</v>
      </c>
    </row>
    <row r="5576" spans="1:4">
      <c r="A5576" s="28">
        <v>95354</v>
      </c>
      <c r="B5576" s="26" t="s">
        <v>4328</v>
      </c>
      <c r="C5576" s="28" t="s">
        <v>57</v>
      </c>
      <c r="D5576" s="329">
        <v>0.19</v>
      </c>
    </row>
    <row r="5577" spans="1:4">
      <c r="A5577" s="47">
        <v>95355</v>
      </c>
      <c r="B5577" s="48" t="s">
        <v>4330</v>
      </c>
      <c r="C5577" s="47" t="s">
        <v>57</v>
      </c>
      <c r="D5577" s="332">
        <v>0.1</v>
      </c>
    </row>
    <row r="5578" spans="1:4">
      <c r="A5578" s="28">
        <v>95356</v>
      </c>
      <c r="B5578" s="26" t="s">
        <v>4331</v>
      </c>
      <c r="C5578" s="28" t="s">
        <v>57</v>
      </c>
      <c r="D5578" s="329">
        <v>0.2</v>
      </c>
    </row>
    <row r="5579" spans="1:4">
      <c r="A5579" s="47">
        <v>95357</v>
      </c>
      <c r="B5579" s="48" t="s">
        <v>4332</v>
      </c>
      <c r="C5579" s="47" t="s">
        <v>57</v>
      </c>
      <c r="D5579" s="332">
        <v>0.3</v>
      </c>
    </row>
    <row r="5580" spans="1:4">
      <c r="A5580" s="28">
        <v>95358</v>
      </c>
      <c r="B5580" s="26" t="s">
        <v>4333</v>
      </c>
      <c r="C5580" s="28" t="s">
        <v>57</v>
      </c>
      <c r="D5580" s="329">
        <v>0.18</v>
      </c>
    </row>
    <row r="5581" spans="1:4">
      <c r="A5581" s="47">
        <v>95359</v>
      </c>
      <c r="B5581" s="48" t="s">
        <v>4334</v>
      </c>
      <c r="C5581" s="47" t="s">
        <v>57</v>
      </c>
      <c r="D5581" s="332">
        <v>0.5</v>
      </c>
    </row>
    <row r="5582" spans="1:4">
      <c r="A5582" s="28">
        <v>95360</v>
      </c>
      <c r="B5582" s="26" t="s">
        <v>4335</v>
      </c>
      <c r="C5582" s="28" t="s">
        <v>57</v>
      </c>
      <c r="D5582" s="329">
        <v>0.25</v>
      </c>
    </row>
    <row r="5583" spans="1:4">
      <c r="A5583" s="47">
        <v>95361</v>
      </c>
      <c r="B5583" s="48" t="s">
        <v>4336</v>
      </c>
      <c r="C5583" s="47" t="s">
        <v>57</v>
      </c>
      <c r="D5583" s="332">
        <v>0.09</v>
      </c>
    </row>
    <row r="5584" spans="1:4">
      <c r="A5584" s="28">
        <v>95362</v>
      </c>
      <c r="B5584" s="26" t="s">
        <v>4337</v>
      </c>
      <c r="C5584" s="28" t="s">
        <v>57</v>
      </c>
      <c r="D5584" s="329">
        <v>0.28999999999999998</v>
      </c>
    </row>
    <row r="5585" spans="1:4" ht="57.75" customHeight="1">
      <c r="A5585" s="47">
        <v>95363</v>
      </c>
      <c r="B5585" s="48" t="s">
        <v>4338</v>
      </c>
      <c r="C5585" s="47" t="s">
        <v>57</v>
      </c>
      <c r="D5585" s="332">
        <v>0.28999999999999998</v>
      </c>
    </row>
    <row r="5586" spans="1:4">
      <c r="A5586" s="28">
        <v>95364</v>
      </c>
      <c r="B5586" s="26" t="s">
        <v>4339</v>
      </c>
      <c r="C5586" s="28" t="s">
        <v>57</v>
      </c>
      <c r="D5586" s="329">
        <v>0.2</v>
      </c>
    </row>
    <row r="5587" spans="1:4">
      <c r="A5587" s="47">
        <v>95365</v>
      </c>
      <c r="B5587" s="48" t="s">
        <v>4340</v>
      </c>
      <c r="C5587" s="47" t="s">
        <v>57</v>
      </c>
      <c r="D5587" s="332">
        <v>0.2</v>
      </c>
    </row>
    <row r="5588" spans="1:4">
      <c r="A5588" s="28">
        <v>95366</v>
      </c>
      <c r="B5588" s="26" t="s">
        <v>4341</v>
      </c>
      <c r="C5588" s="28" t="s">
        <v>57</v>
      </c>
      <c r="D5588" s="329">
        <v>0.17</v>
      </c>
    </row>
    <row r="5589" spans="1:4">
      <c r="A5589" s="47">
        <v>95367</v>
      </c>
      <c r="B5589" s="48" t="s">
        <v>4342</v>
      </c>
      <c r="C5589" s="47" t="s">
        <v>57</v>
      </c>
      <c r="D5589" s="332">
        <v>0.18</v>
      </c>
    </row>
    <row r="5590" spans="1:4">
      <c r="A5590" s="28">
        <v>95368</v>
      </c>
      <c r="B5590" s="26" t="s">
        <v>4343</v>
      </c>
      <c r="C5590" s="28" t="s">
        <v>57</v>
      </c>
      <c r="D5590" s="329">
        <v>0.14000000000000001</v>
      </c>
    </row>
    <row r="5591" spans="1:4">
      <c r="A5591" s="47">
        <v>95369</v>
      </c>
      <c r="B5591" s="48" t="s">
        <v>4344</v>
      </c>
      <c r="C5591" s="47" t="s">
        <v>57</v>
      </c>
      <c r="D5591" s="332">
        <v>0.12</v>
      </c>
    </row>
    <row r="5592" spans="1:4">
      <c r="A5592" s="28">
        <v>95370</v>
      </c>
      <c r="B5592" s="26" t="s">
        <v>4345</v>
      </c>
      <c r="C5592" s="28" t="s">
        <v>57</v>
      </c>
      <c r="D5592" s="329">
        <v>0.18</v>
      </c>
    </row>
    <row r="5593" spans="1:4" ht="43.5" customHeight="1">
      <c r="A5593" s="47">
        <v>95371</v>
      </c>
      <c r="B5593" s="48" t="s">
        <v>4346</v>
      </c>
      <c r="C5593" s="47" t="s">
        <v>57</v>
      </c>
      <c r="D5593" s="332">
        <v>0.21</v>
      </c>
    </row>
    <row r="5594" spans="1:4">
      <c r="A5594" s="28">
        <v>95372</v>
      </c>
      <c r="B5594" s="26" t="s">
        <v>4349</v>
      </c>
      <c r="C5594" s="28" t="s">
        <v>57</v>
      </c>
      <c r="D5594" s="329">
        <v>0.15</v>
      </c>
    </row>
    <row r="5595" spans="1:4" ht="43.5" customHeight="1">
      <c r="A5595" s="47">
        <v>95373</v>
      </c>
      <c r="B5595" s="48" t="s">
        <v>4347</v>
      </c>
      <c r="C5595" s="47" t="s">
        <v>57</v>
      </c>
      <c r="D5595" s="332">
        <v>0.16</v>
      </c>
    </row>
    <row r="5596" spans="1:4">
      <c r="A5596" s="28">
        <v>95374</v>
      </c>
      <c r="B5596" s="26" t="s">
        <v>4348</v>
      </c>
      <c r="C5596" s="28" t="s">
        <v>57</v>
      </c>
      <c r="D5596" s="329">
        <v>0.18</v>
      </c>
    </row>
    <row r="5597" spans="1:4">
      <c r="A5597" s="47">
        <v>95375</v>
      </c>
      <c r="B5597" s="48" t="s">
        <v>4350</v>
      </c>
      <c r="C5597" s="47" t="s">
        <v>57</v>
      </c>
      <c r="D5597" s="332">
        <v>0.54</v>
      </c>
    </row>
    <row r="5598" spans="1:4">
      <c r="A5598" s="28">
        <v>95376</v>
      </c>
      <c r="B5598" s="26" t="s">
        <v>4351</v>
      </c>
      <c r="C5598" s="28" t="s">
        <v>57</v>
      </c>
      <c r="D5598" s="329">
        <v>0.04</v>
      </c>
    </row>
    <row r="5599" spans="1:4">
      <c r="A5599" s="47">
        <v>95377</v>
      </c>
      <c r="B5599" s="48" t="s">
        <v>4352</v>
      </c>
      <c r="C5599" s="47" t="s">
        <v>57</v>
      </c>
      <c r="D5599" s="332">
        <v>0.11</v>
      </c>
    </row>
    <row r="5600" spans="1:4">
      <c r="A5600" s="28">
        <v>95378</v>
      </c>
      <c r="B5600" s="26" t="s">
        <v>4353</v>
      </c>
      <c r="C5600" s="28" t="s">
        <v>57</v>
      </c>
      <c r="D5600" s="329">
        <v>0.13</v>
      </c>
    </row>
    <row r="5601" spans="1:4">
      <c r="A5601" s="47">
        <v>95379</v>
      </c>
      <c r="B5601" s="48" t="s">
        <v>4355</v>
      </c>
      <c r="C5601" s="47" t="s">
        <v>57</v>
      </c>
      <c r="D5601" s="332">
        <v>0.11</v>
      </c>
    </row>
    <row r="5602" spans="1:4">
      <c r="A5602" s="28">
        <v>95380</v>
      </c>
      <c r="B5602" s="26" t="s">
        <v>4354</v>
      </c>
      <c r="C5602" s="28" t="s">
        <v>57</v>
      </c>
      <c r="D5602" s="329">
        <v>0.12</v>
      </c>
    </row>
    <row r="5603" spans="1:4">
      <c r="A5603" s="47">
        <v>95381</v>
      </c>
      <c r="B5603" s="48" t="s">
        <v>4356</v>
      </c>
      <c r="C5603" s="47" t="s">
        <v>57</v>
      </c>
      <c r="D5603" s="332">
        <v>0.54</v>
      </c>
    </row>
    <row r="5604" spans="1:4">
      <c r="A5604" s="28">
        <v>95382</v>
      </c>
      <c r="B5604" s="26" t="s">
        <v>4357</v>
      </c>
      <c r="C5604" s="28" t="s">
        <v>57</v>
      </c>
      <c r="D5604" s="329">
        <v>0.09</v>
      </c>
    </row>
    <row r="5605" spans="1:4">
      <c r="A5605" s="47">
        <v>95383</v>
      </c>
      <c r="B5605" s="48" t="s">
        <v>4358</v>
      </c>
      <c r="C5605" s="47" t="s">
        <v>57</v>
      </c>
      <c r="D5605" s="332">
        <v>0.32</v>
      </c>
    </row>
    <row r="5606" spans="1:4">
      <c r="A5606" s="28">
        <v>95384</v>
      </c>
      <c r="B5606" s="26" t="s">
        <v>4359</v>
      </c>
      <c r="C5606" s="28" t="s">
        <v>57</v>
      </c>
      <c r="D5606" s="329">
        <v>0.54</v>
      </c>
    </row>
    <row r="5607" spans="1:4">
      <c r="A5607" s="47">
        <v>95385</v>
      </c>
      <c r="B5607" s="48" t="s">
        <v>4360</v>
      </c>
      <c r="C5607" s="47" t="s">
        <v>57</v>
      </c>
      <c r="D5607" s="332">
        <v>0.1</v>
      </c>
    </row>
    <row r="5608" spans="1:4">
      <c r="A5608" s="28">
        <v>95386</v>
      </c>
      <c r="B5608" s="26" t="s">
        <v>4363</v>
      </c>
      <c r="C5608" s="28" t="s">
        <v>57</v>
      </c>
      <c r="D5608" s="329">
        <v>0.27</v>
      </c>
    </row>
    <row r="5609" spans="1:4">
      <c r="A5609" s="47">
        <v>95387</v>
      </c>
      <c r="B5609" s="48" t="s">
        <v>4364</v>
      </c>
      <c r="C5609" s="47" t="s">
        <v>57</v>
      </c>
      <c r="D5609" s="332">
        <v>0.13</v>
      </c>
    </row>
    <row r="5610" spans="1:4">
      <c r="A5610" s="28">
        <v>95388</v>
      </c>
      <c r="B5610" s="26" t="s">
        <v>4365</v>
      </c>
      <c r="C5610" s="28" t="s">
        <v>57</v>
      </c>
      <c r="D5610" s="329">
        <v>0.08</v>
      </c>
    </row>
    <row r="5611" spans="1:4">
      <c r="A5611" s="47">
        <v>95389</v>
      </c>
      <c r="B5611" s="48" t="s">
        <v>4329</v>
      </c>
      <c r="C5611" s="47" t="s">
        <v>57</v>
      </c>
      <c r="D5611" s="332">
        <v>0.05</v>
      </c>
    </row>
    <row r="5612" spans="1:4">
      <c r="A5612" s="28">
        <v>95390</v>
      </c>
      <c r="B5612" s="26" t="s">
        <v>4309</v>
      </c>
      <c r="C5612" s="28" t="s">
        <v>57</v>
      </c>
      <c r="D5612" s="329">
        <v>0.03</v>
      </c>
    </row>
    <row r="5613" spans="1:4">
      <c r="A5613" s="47">
        <v>95391</v>
      </c>
      <c r="B5613" s="48" t="s">
        <v>4289</v>
      </c>
      <c r="C5613" s="47" t="s">
        <v>57</v>
      </c>
      <c r="D5613" s="332">
        <v>0.08</v>
      </c>
    </row>
    <row r="5614" spans="1:4">
      <c r="A5614" s="28">
        <v>95392</v>
      </c>
      <c r="B5614" s="26" t="s">
        <v>4255</v>
      </c>
      <c r="C5614" s="28" t="s">
        <v>57</v>
      </c>
      <c r="D5614" s="329">
        <v>7.0000000000000007E-2</v>
      </c>
    </row>
    <row r="5615" spans="1:4">
      <c r="A5615" s="47">
        <v>95393</v>
      </c>
      <c r="B5615" s="48" t="s">
        <v>4257</v>
      </c>
      <c r="C5615" s="47" t="s">
        <v>57</v>
      </c>
      <c r="D5615" s="332">
        <v>0.31</v>
      </c>
    </row>
    <row r="5616" spans="1:4">
      <c r="A5616" s="28">
        <v>95394</v>
      </c>
      <c r="B5616" s="26" t="s">
        <v>4260</v>
      </c>
      <c r="C5616" s="28" t="s">
        <v>57</v>
      </c>
      <c r="D5616" s="329">
        <v>0.4</v>
      </c>
    </row>
    <row r="5617" spans="1:4">
      <c r="A5617" s="47">
        <v>95395</v>
      </c>
      <c r="B5617" s="48" t="s">
        <v>4261</v>
      </c>
      <c r="C5617" s="47" t="s">
        <v>57</v>
      </c>
      <c r="D5617" s="332">
        <v>0.46</v>
      </c>
    </row>
    <row r="5618" spans="1:4">
      <c r="A5618" s="28">
        <v>95396</v>
      </c>
      <c r="B5618" s="26" t="s">
        <v>4262</v>
      </c>
      <c r="C5618" s="28" t="s">
        <v>57</v>
      </c>
      <c r="D5618" s="329">
        <v>0.55000000000000004</v>
      </c>
    </row>
    <row r="5619" spans="1:4">
      <c r="A5619" s="47">
        <v>95397</v>
      </c>
      <c r="B5619" s="48" t="s">
        <v>4267</v>
      </c>
      <c r="C5619" s="47" t="s">
        <v>57</v>
      </c>
      <c r="D5619" s="332">
        <v>7.0000000000000007E-2</v>
      </c>
    </row>
    <row r="5620" spans="1:4">
      <c r="A5620" s="28">
        <v>95398</v>
      </c>
      <c r="B5620" s="26" t="s">
        <v>4271</v>
      </c>
      <c r="C5620" s="28" t="s">
        <v>57</v>
      </c>
      <c r="D5620" s="329">
        <v>0.04</v>
      </c>
    </row>
    <row r="5621" spans="1:4" ht="43.5" customHeight="1">
      <c r="A5621" s="47">
        <v>95399</v>
      </c>
      <c r="B5621" s="48" t="s">
        <v>4287</v>
      </c>
      <c r="C5621" s="47" t="s">
        <v>57</v>
      </c>
      <c r="D5621" s="332">
        <v>7.0000000000000007E-2</v>
      </c>
    </row>
    <row r="5622" spans="1:4">
      <c r="A5622" s="28">
        <v>95400</v>
      </c>
      <c r="B5622" s="26" t="s">
        <v>4291</v>
      </c>
      <c r="C5622" s="28" t="s">
        <v>57</v>
      </c>
      <c r="D5622" s="329">
        <v>0.13</v>
      </c>
    </row>
    <row r="5623" spans="1:4">
      <c r="A5623" s="47">
        <v>95401</v>
      </c>
      <c r="B5623" s="48" t="s">
        <v>4298</v>
      </c>
      <c r="C5623" s="47" t="s">
        <v>57</v>
      </c>
      <c r="D5623" s="332">
        <v>0.4</v>
      </c>
    </row>
    <row r="5624" spans="1:4">
      <c r="A5624" s="28">
        <v>95402</v>
      </c>
      <c r="B5624" s="26" t="s">
        <v>4299</v>
      </c>
      <c r="C5624" s="28" t="s">
        <v>57</v>
      </c>
      <c r="D5624" s="329">
        <v>0.76</v>
      </c>
    </row>
    <row r="5625" spans="1:4">
      <c r="A5625" s="47">
        <v>95403</v>
      </c>
      <c r="B5625" s="48" t="s">
        <v>4301</v>
      </c>
      <c r="C5625" s="47" t="s">
        <v>57</v>
      </c>
      <c r="D5625" s="332">
        <v>0.96</v>
      </c>
    </row>
    <row r="5626" spans="1:4">
      <c r="A5626" s="28">
        <v>95404</v>
      </c>
      <c r="B5626" s="26" t="s">
        <v>4303</v>
      </c>
      <c r="C5626" s="28" t="s">
        <v>57</v>
      </c>
      <c r="D5626" s="329">
        <v>1.26</v>
      </c>
    </row>
    <row r="5627" spans="1:4">
      <c r="A5627" s="47">
        <v>95405</v>
      </c>
      <c r="B5627" s="48" t="s">
        <v>4314</v>
      </c>
      <c r="C5627" s="47" t="s">
        <v>57</v>
      </c>
      <c r="D5627" s="332">
        <v>0.67</v>
      </c>
    </row>
    <row r="5628" spans="1:4">
      <c r="A5628" s="28">
        <v>95406</v>
      </c>
      <c r="B5628" s="26" t="s">
        <v>4361</v>
      </c>
      <c r="C5628" s="28" t="s">
        <v>57</v>
      </c>
      <c r="D5628" s="329">
        <v>0.08</v>
      </c>
    </row>
    <row r="5629" spans="1:4">
      <c r="A5629" s="47">
        <v>95407</v>
      </c>
      <c r="B5629" s="48" t="s">
        <v>4305</v>
      </c>
      <c r="C5629" s="47" t="s">
        <v>57</v>
      </c>
      <c r="D5629" s="332">
        <v>2.0299999999999998</v>
      </c>
    </row>
    <row r="5630" spans="1:4">
      <c r="A5630" s="28">
        <v>95408</v>
      </c>
      <c r="B5630" s="26" t="s">
        <v>4322</v>
      </c>
      <c r="C5630" s="28" t="s">
        <v>1643</v>
      </c>
      <c r="D5630" s="329">
        <v>15.26</v>
      </c>
    </row>
    <row r="5631" spans="1:4">
      <c r="A5631" s="47">
        <v>95409</v>
      </c>
      <c r="B5631" s="48" t="s">
        <v>4290</v>
      </c>
      <c r="C5631" s="47" t="s">
        <v>1643</v>
      </c>
      <c r="D5631" s="332">
        <v>11.74</v>
      </c>
    </row>
    <row r="5632" spans="1:4">
      <c r="A5632" s="28">
        <v>95410</v>
      </c>
      <c r="B5632" s="26" t="s">
        <v>4288</v>
      </c>
      <c r="C5632" s="28" t="s">
        <v>1643</v>
      </c>
      <c r="D5632" s="329">
        <v>9.65</v>
      </c>
    </row>
    <row r="5633" spans="1:4">
      <c r="A5633" s="47">
        <v>95411</v>
      </c>
      <c r="B5633" s="48" t="s">
        <v>4292</v>
      </c>
      <c r="C5633" s="47" t="s">
        <v>1643</v>
      </c>
      <c r="D5633" s="332">
        <v>17.55</v>
      </c>
    </row>
    <row r="5634" spans="1:4">
      <c r="A5634" s="28">
        <v>95412</v>
      </c>
      <c r="B5634" s="26" t="s">
        <v>4268</v>
      </c>
      <c r="C5634" s="28" t="s">
        <v>1643</v>
      </c>
      <c r="D5634" s="329">
        <v>9.5299999999999994</v>
      </c>
    </row>
    <row r="5635" spans="1:4">
      <c r="A5635" s="47">
        <v>95413</v>
      </c>
      <c r="B5635" s="48" t="s">
        <v>4256</v>
      </c>
      <c r="C5635" s="47" t="s">
        <v>1643</v>
      </c>
      <c r="D5635" s="332">
        <v>10.63</v>
      </c>
    </row>
    <row r="5636" spans="1:4">
      <c r="A5636" s="28">
        <v>95414</v>
      </c>
      <c r="B5636" s="26" t="s">
        <v>4258</v>
      </c>
      <c r="C5636" s="28" t="s">
        <v>1643</v>
      </c>
      <c r="D5636" s="329">
        <v>42.11</v>
      </c>
    </row>
    <row r="5637" spans="1:4">
      <c r="A5637" s="47">
        <v>95415</v>
      </c>
      <c r="B5637" s="48" t="s">
        <v>4300</v>
      </c>
      <c r="C5637" s="47" t="s">
        <v>1643</v>
      </c>
      <c r="D5637" s="332">
        <v>102.91</v>
      </c>
    </row>
    <row r="5638" spans="1:4">
      <c r="A5638" s="28">
        <v>95416</v>
      </c>
      <c r="B5638" s="26" t="s">
        <v>4272</v>
      </c>
      <c r="C5638" s="28" t="s">
        <v>1643</v>
      </c>
      <c r="D5638" s="329">
        <v>6.22</v>
      </c>
    </row>
    <row r="5639" spans="1:4">
      <c r="A5639" s="47">
        <v>95417</v>
      </c>
      <c r="B5639" s="48" t="s">
        <v>4302</v>
      </c>
      <c r="C5639" s="47" t="s">
        <v>1643</v>
      </c>
      <c r="D5639" s="332">
        <v>129.61000000000001</v>
      </c>
    </row>
    <row r="5640" spans="1:4">
      <c r="A5640" s="28">
        <v>95418</v>
      </c>
      <c r="B5640" s="26" t="s">
        <v>4304</v>
      </c>
      <c r="C5640" s="28" t="s">
        <v>1643</v>
      </c>
      <c r="D5640" s="329">
        <v>170.26</v>
      </c>
    </row>
    <row r="5641" spans="1:4">
      <c r="A5641" s="47">
        <v>95419</v>
      </c>
      <c r="B5641" s="48" t="s">
        <v>4263</v>
      </c>
      <c r="C5641" s="47" t="s">
        <v>1643</v>
      </c>
      <c r="D5641" s="332">
        <v>54.51</v>
      </c>
    </row>
    <row r="5642" spans="1:4">
      <c r="A5642" s="28">
        <v>95420</v>
      </c>
      <c r="B5642" s="26" t="s">
        <v>4264</v>
      </c>
      <c r="C5642" s="28" t="s">
        <v>1643</v>
      </c>
      <c r="D5642" s="329">
        <v>62.55</v>
      </c>
    </row>
    <row r="5643" spans="1:4">
      <c r="A5643" s="47">
        <v>95421</v>
      </c>
      <c r="B5643" s="48" t="s">
        <v>4265</v>
      </c>
      <c r="C5643" s="47" t="s">
        <v>1643</v>
      </c>
      <c r="D5643" s="332">
        <v>74.11</v>
      </c>
    </row>
    <row r="5644" spans="1:4">
      <c r="A5644" s="28">
        <v>95422</v>
      </c>
      <c r="B5644" s="26" t="s">
        <v>4297</v>
      </c>
      <c r="C5644" s="28" t="s">
        <v>1643</v>
      </c>
      <c r="D5644" s="329">
        <v>54.61</v>
      </c>
    </row>
    <row r="5645" spans="1:4">
      <c r="A5645" s="47">
        <v>95423</v>
      </c>
      <c r="B5645" s="48" t="s">
        <v>4315</v>
      </c>
      <c r="C5645" s="47" t="s">
        <v>1643</v>
      </c>
      <c r="D5645" s="332">
        <v>91.02</v>
      </c>
    </row>
    <row r="5646" spans="1:4" ht="15.75" thickBot="1">
      <c r="A5646" s="28">
        <v>95424</v>
      </c>
      <c r="B5646" s="26" t="s">
        <v>4362</v>
      </c>
      <c r="C5646" s="28" t="s">
        <v>1643</v>
      </c>
      <c r="D5646" s="329">
        <v>11.45</v>
      </c>
    </row>
    <row r="5647" spans="1:4" ht="16.5" thickBot="1">
      <c r="A5647" s="45" t="s">
        <v>86</v>
      </c>
      <c r="B5647" s="46" t="s">
        <v>11132</v>
      </c>
      <c r="C5647" s="45" t="s">
        <v>25</v>
      </c>
      <c r="D5647" s="331" t="s">
        <v>10856</v>
      </c>
    </row>
    <row r="5648" spans="1:4" ht="30">
      <c r="A5648" s="28">
        <v>55</v>
      </c>
      <c r="B5648" s="26" t="s">
        <v>1534</v>
      </c>
      <c r="C5648" s="28" t="s">
        <v>65</v>
      </c>
      <c r="D5648" s="329">
        <v>2.08</v>
      </c>
    </row>
    <row r="5649" spans="1:4" ht="30">
      <c r="A5649" s="47">
        <v>61</v>
      </c>
      <c r="B5649" s="48" t="s">
        <v>1535</v>
      </c>
      <c r="C5649" s="47" t="s">
        <v>65</v>
      </c>
      <c r="D5649" s="332">
        <v>1.96</v>
      </c>
    </row>
    <row r="5650" spans="1:4" ht="30">
      <c r="A5650" s="28">
        <v>62</v>
      </c>
      <c r="B5650" s="26" t="s">
        <v>1536</v>
      </c>
      <c r="C5650" s="28" t="s">
        <v>65</v>
      </c>
      <c r="D5650" s="329">
        <v>4.07</v>
      </c>
    </row>
    <row r="5651" spans="1:4">
      <c r="A5651" s="47">
        <v>10963</v>
      </c>
      <c r="B5651" s="48" t="s">
        <v>7910</v>
      </c>
      <c r="C5651" s="47" t="s">
        <v>71</v>
      </c>
      <c r="D5651" s="332">
        <v>137.16999999999999</v>
      </c>
    </row>
    <row r="5652" spans="1:4">
      <c r="A5652" s="28">
        <v>7304</v>
      </c>
      <c r="B5652" s="26" t="s">
        <v>9695</v>
      </c>
      <c r="C5652" s="28" t="s">
        <v>91</v>
      </c>
      <c r="D5652" s="329">
        <v>40.869999999999997</v>
      </c>
    </row>
    <row r="5653" spans="1:4" ht="43.5" customHeight="1">
      <c r="A5653" s="47">
        <v>26032</v>
      </c>
      <c r="B5653" s="48" t="s">
        <v>1376</v>
      </c>
      <c r="C5653" s="47" t="s">
        <v>91</v>
      </c>
      <c r="D5653" s="332">
        <v>29.14</v>
      </c>
    </row>
    <row r="5654" spans="1:4">
      <c r="A5654" s="28">
        <v>159</v>
      </c>
      <c r="B5654" s="26" t="s">
        <v>1278</v>
      </c>
      <c r="C5654" s="28" t="s">
        <v>255</v>
      </c>
      <c r="D5654" s="329">
        <v>196.2</v>
      </c>
    </row>
    <row r="5655" spans="1:4" ht="30">
      <c r="A5655" s="47">
        <v>3332</v>
      </c>
      <c r="B5655" s="48" t="s">
        <v>1279</v>
      </c>
      <c r="C5655" s="47" t="s">
        <v>57</v>
      </c>
      <c r="D5655" s="332">
        <v>1.35</v>
      </c>
    </row>
    <row r="5656" spans="1:4" ht="30">
      <c r="A5656" s="28">
        <v>11077</v>
      </c>
      <c r="B5656" s="26" t="s">
        <v>11133</v>
      </c>
      <c r="C5656" s="28" t="s">
        <v>255</v>
      </c>
      <c r="D5656" s="329">
        <v>1187.18</v>
      </c>
    </row>
    <row r="5657" spans="1:4" ht="30">
      <c r="A5657" s="47">
        <v>11078</v>
      </c>
      <c r="B5657" s="48" t="s">
        <v>11134</v>
      </c>
      <c r="C5657" s="47" t="s">
        <v>255</v>
      </c>
      <c r="D5657" s="332">
        <v>1187.18</v>
      </c>
    </row>
    <row r="5658" spans="1:4">
      <c r="A5658" s="28">
        <v>4757</v>
      </c>
      <c r="B5658" s="26" t="s">
        <v>1280</v>
      </c>
      <c r="C5658" s="28" t="s">
        <v>57</v>
      </c>
      <c r="D5658" s="329">
        <v>29.84</v>
      </c>
    </row>
    <row r="5659" spans="1:4" ht="43.5" customHeight="1">
      <c r="A5659" s="47">
        <v>641</v>
      </c>
      <c r="B5659" s="48" t="s">
        <v>1281</v>
      </c>
      <c r="C5659" s="47" t="s">
        <v>57</v>
      </c>
      <c r="D5659" s="332">
        <v>109.42</v>
      </c>
    </row>
    <row r="5660" spans="1:4" ht="30">
      <c r="A5660" s="28">
        <v>10532</v>
      </c>
      <c r="B5660" s="26" t="s">
        <v>1283</v>
      </c>
      <c r="C5660" s="28" t="s">
        <v>57</v>
      </c>
      <c r="D5660" s="329">
        <v>0.81</v>
      </c>
    </row>
    <row r="5661" spans="1:4" ht="57.75" customHeight="1">
      <c r="A5661" s="47">
        <v>10531</v>
      </c>
      <c r="B5661" s="48" t="s">
        <v>1282</v>
      </c>
      <c r="C5661" s="47" t="s">
        <v>57</v>
      </c>
      <c r="D5661" s="332">
        <v>0.84</v>
      </c>
    </row>
    <row r="5662" spans="1:4" ht="30">
      <c r="A5662" s="28">
        <v>1004</v>
      </c>
      <c r="B5662" s="26" t="s">
        <v>1284</v>
      </c>
      <c r="C5662" s="28" t="s">
        <v>71</v>
      </c>
      <c r="D5662" s="329">
        <v>10.98</v>
      </c>
    </row>
    <row r="5663" spans="1:4" ht="30">
      <c r="A5663" s="47">
        <v>11246</v>
      </c>
      <c r="B5663" s="48" t="s">
        <v>1285</v>
      </c>
      <c r="C5663" s="47" t="s">
        <v>65</v>
      </c>
      <c r="D5663" s="332">
        <v>7.11</v>
      </c>
    </row>
    <row r="5664" spans="1:4" ht="30">
      <c r="A5664" s="28">
        <v>1072</v>
      </c>
      <c r="B5664" s="26" t="s">
        <v>1286</v>
      </c>
      <c r="C5664" s="28" t="s">
        <v>65</v>
      </c>
      <c r="D5664" s="329">
        <v>41.57</v>
      </c>
    </row>
    <row r="5665" spans="1:4" ht="30">
      <c r="A5665" s="47">
        <v>12075</v>
      </c>
      <c r="B5665" s="48" t="s">
        <v>1287</v>
      </c>
      <c r="C5665" s="47" t="s">
        <v>65</v>
      </c>
      <c r="D5665" s="332">
        <v>281.2</v>
      </c>
    </row>
    <row r="5666" spans="1:4" ht="30">
      <c r="A5666" s="28">
        <v>13441</v>
      </c>
      <c r="B5666" s="26" t="s">
        <v>1288</v>
      </c>
      <c r="C5666" s="28" t="s">
        <v>65</v>
      </c>
      <c r="D5666" s="329">
        <v>76059.42</v>
      </c>
    </row>
    <row r="5667" spans="1:4">
      <c r="A5667" s="47">
        <v>11</v>
      </c>
      <c r="B5667" s="48" t="s">
        <v>1289</v>
      </c>
      <c r="C5667" s="47" t="s">
        <v>90</v>
      </c>
      <c r="D5667" s="332">
        <v>23.01</v>
      </c>
    </row>
    <row r="5668" spans="1:4">
      <c r="A5668" s="28">
        <v>12080</v>
      </c>
      <c r="B5668" s="26" t="s">
        <v>1290</v>
      </c>
      <c r="C5668" s="28" t="s">
        <v>65</v>
      </c>
      <c r="D5668" s="329">
        <v>42.31</v>
      </c>
    </row>
    <row r="5669" spans="1:4" ht="30">
      <c r="A5669" s="47">
        <v>12340</v>
      </c>
      <c r="B5669" s="48" t="s">
        <v>1291</v>
      </c>
      <c r="C5669" s="47" t="s">
        <v>65</v>
      </c>
      <c r="D5669" s="332">
        <v>2218.06</v>
      </c>
    </row>
    <row r="5670" spans="1:4" ht="45">
      <c r="A5670" s="28">
        <v>12341</v>
      </c>
      <c r="B5670" s="26" t="s">
        <v>1292</v>
      </c>
      <c r="C5670" s="28" t="s">
        <v>65</v>
      </c>
      <c r="D5670" s="329">
        <v>2032.73</v>
      </c>
    </row>
    <row r="5671" spans="1:4">
      <c r="A5671" s="47">
        <v>12011</v>
      </c>
      <c r="B5671" s="48" t="s">
        <v>1293</v>
      </c>
      <c r="C5671" s="47" t="s">
        <v>65</v>
      </c>
      <c r="D5671" s="332">
        <v>7.62</v>
      </c>
    </row>
    <row r="5672" spans="1:4">
      <c r="A5672" s="28">
        <v>12017</v>
      </c>
      <c r="B5672" s="26" t="s">
        <v>1294</v>
      </c>
      <c r="C5672" s="28" t="s">
        <v>65</v>
      </c>
      <c r="D5672" s="329">
        <v>5.15</v>
      </c>
    </row>
    <row r="5673" spans="1:4">
      <c r="A5673" s="47">
        <v>12021</v>
      </c>
      <c r="B5673" s="48" t="s">
        <v>1295</v>
      </c>
      <c r="C5673" s="47" t="s">
        <v>65</v>
      </c>
      <c r="D5673" s="332">
        <v>5.19</v>
      </c>
    </row>
    <row r="5674" spans="1:4">
      <c r="A5674" s="28">
        <v>12026</v>
      </c>
      <c r="B5674" s="26" t="s">
        <v>1296</v>
      </c>
      <c r="C5674" s="28" t="s">
        <v>65</v>
      </c>
      <c r="D5674" s="329">
        <v>12.58</v>
      </c>
    </row>
    <row r="5675" spans="1:4">
      <c r="A5675" s="47">
        <v>12024</v>
      </c>
      <c r="B5675" s="48" t="s">
        <v>1297</v>
      </c>
      <c r="C5675" s="47" t="s">
        <v>65</v>
      </c>
      <c r="D5675" s="332">
        <v>14.84</v>
      </c>
    </row>
    <row r="5676" spans="1:4">
      <c r="A5676" s="28">
        <v>12029</v>
      </c>
      <c r="B5676" s="26" t="s">
        <v>1298</v>
      </c>
      <c r="C5676" s="28" t="s">
        <v>65</v>
      </c>
      <c r="D5676" s="329">
        <v>12.87</v>
      </c>
    </row>
    <row r="5677" spans="1:4">
      <c r="A5677" s="47">
        <v>4266</v>
      </c>
      <c r="B5677" s="48" t="s">
        <v>1299</v>
      </c>
      <c r="C5677" s="47" t="s">
        <v>256</v>
      </c>
      <c r="D5677" s="332">
        <v>16.05</v>
      </c>
    </row>
    <row r="5678" spans="1:4">
      <c r="A5678" s="28">
        <v>1881</v>
      </c>
      <c r="B5678" s="26" t="s">
        <v>1300</v>
      </c>
      <c r="C5678" s="28" t="s">
        <v>65</v>
      </c>
      <c r="D5678" s="329">
        <v>7.06</v>
      </c>
    </row>
    <row r="5679" spans="1:4">
      <c r="A5679" s="47">
        <v>1890</v>
      </c>
      <c r="B5679" s="48" t="s">
        <v>1301</v>
      </c>
      <c r="C5679" s="47" t="s">
        <v>65</v>
      </c>
      <c r="D5679" s="332">
        <v>6.16</v>
      </c>
    </row>
    <row r="5680" spans="1:4">
      <c r="A5680" s="28">
        <v>1886</v>
      </c>
      <c r="B5680" s="26" t="s">
        <v>1302</v>
      </c>
      <c r="C5680" s="28" t="s">
        <v>65</v>
      </c>
      <c r="D5680" s="329">
        <v>2.56</v>
      </c>
    </row>
    <row r="5681" spans="1:4">
      <c r="A5681" s="47">
        <v>1882</v>
      </c>
      <c r="B5681" s="48" t="s">
        <v>1303</v>
      </c>
      <c r="C5681" s="47" t="s">
        <v>65</v>
      </c>
      <c r="D5681" s="332">
        <v>10.66</v>
      </c>
    </row>
    <row r="5682" spans="1:4">
      <c r="A5682" s="28">
        <v>1889</v>
      </c>
      <c r="B5682" s="26" t="s">
        <v>1304</v>
      </c>
      <c r="C5682" s="28" t="s">
        <v>65</v>
      </c>
      <c r="D5682" s="329">
        <v>9.33</v>
      </c>
    </row>
    <row r="5683" spans="1:4">
      <c r="A5683" s="47">
        <v>1888</v>
      </c>
      <c r="B5683" s="48" t="s">
        <v>1305</v>
      </c>
      <c r="C5683" s="47" t="s">
        <v>65</v>
      </c>
      <c r="D5683" s="332">
        <v>25.23</v>
      </c>
    </row>
    <row r="5684" spans="1:4">
      <c r="A5684" s="28">
        <v>1883</v>
      </c>
      <c r="B5684" s="26" t="s">
        <v>1306</v>
      </c>
      <c r="C5684" s="28" t="s">
        <v>65</v>
      </c>
      <c r="D5684" s="329">
        <v>26.96</v>
      </c>
    </row>
    <row r="5685" spans="1:4" ht="30">
      <c r="A5685" s="47">
        <v>1880</v>
      </c>
      <c r="B5685" s="48" t="s">
        <v>11135</v>
      </c>
      <c r="C5685" s="47" t="s">
        <v>65</v>
      </c>
      <c r="D5685" s="332">
        <v>3.13</v>
      </c>
    </row>
    <row r="5686" spans="1:4" ht="30">
      <c r="A5686" s="28">
        <v>2404</v>
      </c>
      <c r="B5686" s="26" t="s">
        <v>1307</v>
      </c>
      <c r="C5686" s="28" t="s">
        <v>256</v>
      </c>
      <c r="D5686" s="329">
        <v>65</v>
      </c>
    </row>
    <row r="5687" spans="1:4" ht="30">
      <c r="A5687" s="47">
        <v>663</v>
      </c>
      <c r="B5687" s="48" t="s">
        <v>11136</v>
      </c>
      <c r="C5687" s="47" t="s">
        <v>65</v>
      </c>
      <c r="D5687" s="332">
        <v>9.3800000000000008</v>
      </c>
    </row>
    <row r="5688" spans="1:4">
      <c r="A5688" s="28">
        <v>7331</v>
      </c>
      <c r="B5688" s="26" t="s">
        <v>1308</v>
      </c>
      <c r="C5688" s="28" t="s">
        <v>90</v>
      </c>
      <c r="D5688" s="329">
        <v>14.36</v>
      </c>
    </row>
    <row r="5689" spans="1:4" ht="30">
      <c r="A5689" s="47">
        <v>2720</v>
      </c>
      <c r="B5689" s="48" t="s">
        <v>1309</v>
      </c>
      <c r="C5689" s="47" t="s">
        <v>57</v>
      </c>
      <c r="D5689" s="332">
        <v>199.65</v>
      </c>
    </row>
    <row r="5690" spans="1:4" ht="45">
      <c r="A5690" s="28">
        <v>2722</v>
      </c>
      <c r="B5690" s="26" t="s">
        <v>1310</v>
      </c>
      <c r="C5690" s="28" t="s">
        <v>57</v>
      </c>
      <c r="D5690" s="329">
        <v>226.87</v>
      </c>
    </row>
    <row r="5691" spans="1:4" ht="45">
      <c r="A5691" s="47">
        <v>2719</v>
      </c>
      <c r="B5691" s="48" t="s">
        <v>1311</v>
      </c>
      <c r="C5691" s="47" t="s">
        <v>57</v>
      </c>
      <c r="D5691" s="332">
        <v>169.16</v>
      </c>
    </row>
    <row r="5692" spans="1:4" ht="30">
      <c r="A5692" s="28">
        <v>11614</v>
      </c>
      <c r="B5692" s="26" t="s">
        <v>1312</v>
      </c>
      <c r="C5692" s="28" t="s">
        <v>256</v>
      </c>
      <c r="D5692" s="329">
        <v>49.17</v>
      </c>
    </row>
    <row r="5693" spans="1:4">
      <c r="A5693" s="47">
        <v>11607</v>
      </c>
      <c r="B5693" s="48" t="s">
        <v>1313</v>
      </c>
      <c r="C5693" s="47" t="s">
        <v>71</v>
      </c>
      <c r="D5693" s="332">
        <v>8.31</v>
      </c>
    </row>
    <row r="5694" spans="1:4" ht="30">
      <c r="A5694" s="28">
        <v>3118</v>
      </c>
      <c r="B5694" s="26" t="s">
        <v>1314</v>
      </c>
      <c r="C5694" s="28" t="s">
        <v>65</v>
      </c>
      <c r="D5694" s="329">
        <v>1.56</v>
      </c>
    </row>
    <row r="5695" spans="1:4" ht="30">
      <c r="A5695" s="47">
        <v>3291</v>
      </c>
      <c r="B5695" s="48" t="s">
        <v>1315</v>
      </c>
      <c r="C5695" s="47" t="s">
        <v>57</v>
      </c>
      <c r="D5695" s="332">
        <v>0.79</v>
      </c>
    </row>
    <row r="5696" spans="1:4" ht="45">
      <c r="A5696" s="28">
        <v>3372</v>
      </c>
      <c r="B5696" s="26" t="s">
        <v>1316</v>
      </c>
      <c r="C5696" s="28" t="s">
        <v>57</v>
      </c>
      <c r="D5696" s="329">
        <v>117</v>
      </c>
    </row>
    <row r="5697" spans="1:4">
      <c r="A5697" s="47">
        <v>12771</v>
      </c>
      <c r="B5697" s="48" t="s">
        <v>1317</v>
      </c>
      <c r="C5697" s="47" t="s">
        <v>65</v>
      </c>
      <c r="D5697" s="332">
        <v>118.35</v>
      </c>
    </row>
    <row r="5698" spans="1:4" ht="30">
      <c r="A5698" s="28">
        <v>158</v>
      </c>
      <c r="B5698" s="26" t="s">
        <v>1318</v>
      </c>
      <c r="C5698" s="28" t="s">
        <v>91</v>
      </c>
      <c r="D5698" s="329">
        <v>27.12</v>
      </c>
    </row>
    <row r="5699" spans="1:4" ht="30">
      <c r="A5699" s="47">
        <v>12127</v>
      </c>
      <c r="B5699" s="48" t="s">
        <v>1319</v>
      </c>
      <c r="C5699" s="47" t="s">
        <v>65</v>
      </c>
      <c r="D5699" s="332">
        <v>23.2</v>
      </c>
    </row>
    <row r="5700" spans="1:4" ht="30">
      <c r="A5700" s="28">
        <v>12113</v>
      </c>
      <c r="B5700" s="26" t="s">
        <v>1320</v>
      </c>
      <c r="C5700" s="28" t="s">
        <v>65</v>
      </c>
      <c r="D5700" s="329">
        <v>8.0399999999999991</v>
      </c>
    </row>
    <row r="5701" spans="1:4" ht="30">
      <c r="A5701" s="47">
        <v>598</v>
      </c>
      <c r="B5701" s="48" t="s">
        <v>1321</v>
      </c>
      <c r="C5701" s="47" t="s">
        <v>256</v>
      </c>
      <c r="D5701" s="332">
        <v>488.18</v>
      </c>
    </row>
    <row r="5702" spans="1:4" ht="30">
      <c r="A5702" s="28">
        <v>3430</v>
      </c>
      <c r="B5702" s="26" t="s">
        <v>1322</v>
      </c>
      <c r="C5702" s="28" t="s">
        <v>256</v>
      </c>
      <c r="D5702" s="329">
        <v>511.19</v>
      </c>
    </row>
    <row r="5703" spans="1:4" ht="30">
      <c r="A5703" s="47">
        <v>3431</v>
      </c>
      <c r="B5703" s="48" t="s">
        <v>1323</v>
      </c>
      <c r="C5703" s="47" t="s">
        <v>65</v>
      </c>
      <c r="D5703" s="332">
        <v>1036.98</v>
      </c>
    </row>
    <row r="5704" spans="1:4" ht="30">
      <c r="A5704" s="28">
        <v>3434</v>
      </c>
      <c r="B5704" s="26" t="s">
        <v>1324</v>
      </c>
      <c r="C5704" s="28" t="s">
        <v>256</v>
      </c>
      <c r="D5704" s="329">
        <v>657.24</v>
      </c>
    </row>
    <row r="5705" spans="1:4" ht="30">
      <c r="A5705" s="47">
        <v>3422</v>
      </c>
      <c r="B5705" s="48" t="s">
        <v>1325</v>
      </c>
      <c r="C5705" s="47" t="s">
        <v>256</v>
      </c>
      <c r="D5705" s="332">
        <v>544.04999999999995</v>
      </c>
    </row>
    <row r="5706" spans="1:4">
      <c r="A5706" s="28">
        <v>3806</v>
      </c>
      <c r="B5706" s="26" t="s">
        <v>1326</v>
      </c>
      <c r="C5706" s="28" t="s">
        <v>65</v>
      </c>
      <c r="D5706" s="329">
        <v>114.7</v>
      </c>
    </row>
    <row r="5707" spans="1:4" ht="30">
      <c r="A5707" s="47">
        <v>3784</v>
      </c>
      <c r="B5707" s="48" t="s">
        <v>1327</v>
      </c>
      <c r="C5707" s="47" t="s">
        <v>65</v>
      </c>
      <c r="D5707" s="332">
        <v>111.68</v>
      </c>
    </row>
    <row r="5708" spans="1:4" ht="30">
      <c r="A5708" s="28">
        <v>3785</v>
      </c>
      <c r="B5708" s="26" t="s">
        <v>1328</v>
      </c>
      <c r="C5708" s="28" t="s">
        <v>65</v>
      </c>
      <c r="D5708" s="329">
        <v>95.92</v>
      </c>
    </row>
    <row r="5709" spans="1:4" ht="30">
      <c r="A5709" s="47">
        <v>13382</v>
      </c>
      <c r="B5709" s="48" t="s">
        <v>1329</v>
      </c>
      <c r="C5709" s="47" t="s">
        <v>65</v>
      </c>
      <c r="D5709" s="332">
        <v>154.52000000000001</v>
      </c>
    </row>
    <row r="5710" spans="1:4" ht="30">
      <c r="A5710" s="28">
        <v>20198</v>
      </c>
      <c r="B5710" s="26" t="s">
        <v>1330</v>
      </c>
      <c r="C5710" s="28" t="s">
        <v>255</v>
      </c>
      <c r="D5710" s="329">
        <v>825</v>
      </c>
    </row>
    <row r="5711" spans="1:4" ht="57.75" customHeight="1">
      <c r="A5711" s="47">
        <v>3335</v>
      </c>
      <c r="B5711" s="48" t="s">
        <v>11137</v>
      </c>
      <c r="C5711" s="47" t="s">
        <v>57</v>
      </c>
      <c r="D5711" s="332">
        <v>1.61</v>
      </c>
    </row>
    <row r="5712" spans="1:4" ht="30">
      <c r="A5712" s="28">
        <v>4046</v>
      </c>
      <c r="B5712" s="26" t="s">
        <v>11138</v>
      </c>
      <c r="C5712" s="28" t="s">
        <v>65</v>
      </c>
      <c r="D5712" s="329">
        <v>7185</v>
      </c>
    </row>
    <row r="5713" spans="1:4">
      <c r="A5713" s="47">
        <v>7321</v>
      </c>
      <c r="B5713" s="48" t="s">
        <v>1331</v>
      </c>
      <c r="C5713" s="47" t="s">
        <v>237</v>
      </c>
      <c r="D5713" s="332">
        <v>31.41</v>
      </c>
    </row>
    <row r="5714" spans="1:4">
      <c r="A5714" s="28">
        <v>21139</v>
      </c>
      <c r="B5714" s="26" t="s">
        <v>1332</v>
      </c>
      <c r="C5714" s="28" t="s">
        <v>71</v>
      </c>
      <c r="D5714" s="329">
        <v>5.5</v>
      </c>
    </row>
    <row r="5715" spans="1:4" ht="30">
      <c r="A5715" s="47">
        <v>4466</v>
      </c>
      <c r="B5715" s="48" t="s">
        <v>1333</v>
      </c>
      <c r="C5715" s="47" t="s">
        <v>71</v>
      </c>
      <c r="D5715" s="332">
        <v>15.6</v>
      </c>
    </row>
    <row r="5716" spans="1:4" ht="30">
      <c r="A5716" s="28">
        <v>4419</v>
      </c>
      <c r="B5716" s="26" t="s">
        <v>1334</v>
      </c>
      <c r="C5716" s="28" t="s">
        <v>65</v>
      </c>
      <c r="D5716" s="329">
        <v>0.7</v>
      </c>
    </row>
    <row r="5717" spans="1:4" ht="43.5" customHeight="1">
      <c r="A5717" s="47">
        <v>1374</v>
      </c>
      <c r="B5717" s="48" t="s">
        <v>1335</v>
      </c>
      <c r="C5717" s="47" t="s">
        <v>90</v>
      </c>
      <c r="D5717" s="332">
        <v>4.1100000000000003</v>
      </c>
    </row>
    <row r="5718" spans="1:4" ht="30">
      <c r="A5718" s="28">
        <v>11152</v>
      </c>
      <c r="B5718" s="26" t="s">
        <v>1336</v>
      </c>
      <c r="C5718" s="28" t="s">
        <v>256</v>
      </c>
      <c r="D5718" s="329">
        <v>263.64999999999998</v>
      </c>
    </row>
    <row r="5719" spans="1:4" ht="43.5" customHeight="1">
      <c r="A5719" s="47">
        <v>11153</v>
      </c>
      <c r="B5719" s="48" t="s">
        <v>1337</v>
      </c>
      <c r="C5719" s="47" t="s">
        <v>256</v>
      </c>
      <c r="D5719" s="332">
        <v>271.10000000000002</v>
      </c>
    </row>
    <row r="5720" spans="1:4" ht="30">
      <c r="A5720" s="28">
        <v>4929</v>
      </c>
      <c r="B5720" s="26" t="s">
        <v>1338</v>
      </c>
      <c r="C5720" s="28" t="s">
        <v>256</v>
      </c>
      <c r="D5720" s="329">
        <v>229.44</v>
      </c>
    </row>
    <row r="5721" spans="1:4" ht="43.5" customHeight="1">
      <c r="A5721" s="47">
        <v>4931</v>
      </c>
      <c r="B5721" s="48" t="s">
        <v>1339</v>
      </c>
      <c r="C5721" s="47" t="s">
        <v>65</v>
      </c>
      <c r="D5721" s="332">
        <v>207.19</v>
      </c>
    </row>
    <row r="5722" spans="1:4" ht="43.5" customHeight="1">
      <c r="A5722" s="28">
        <v>4939</v>
      </c>
      <c r="B5722" s="26" t="s">
        <v>1340</v>
      </c>
      <c r="C5722" s="28" t="s">
        <v>256</v>
      </c>
      <c r="D5722" s="329">
        <v>230.34</v>
      </c>
    </row>
    <row r="5723" spans="1:4" ht="30">
      <c r="A5723" s="47">
        <v>5097</v>
      </c>
      <c r="B5723" s="48" t="s">
        <v>1341</v>
      </c>
      <c r="C5723" s="47" t="s">
        <v>65</v>
      </c>
      <c r="D5723" s="332">
        <v>297.12</v>
      </c>
    </row>
    <row r="5724" spans="1:4" ht="30">
      <c r="A5724" s="28">
        <v>13400</v>
      </c>
      <c r="B5724" s="26" t="s">
        <v>1342</v>
      </c>
      <c r="C5724" s="28" t="s">
        <v>65</v>
      </c>
      <c r="D5724" s="329">
        <v>15.63</v>
      </c>
    </row>
    <row r="5725" spans="1:4" ht="45">
      <c r="A5725" s="47">
        <v>12035</v>
      </c>
      <c r="B5725" s="48" t="s">
        <v>1343</v>
      </c>
      <c r="C5725" s="47" t="s">
        <v>65</v>
      </c>
      <c r="D5725" s="332">
        <v>10.31</v>
      </c>
    </row>
    <row r="5726" spans="1:4" ht="30">
      <c r="A5726" s="28">
        <v>116</v>
      </c>
      <c r="B5726" s="26" t="s">
        <v>1344</v>
      </c>
      <c r="C5726" s="28" t="s">
        <v>90</v>
      </c>
      <c r="D5726" s="329">
        <v>4.25</v>
      </c>
    </row>
    <row r="5727" spans="1:4" ht="30">
      <c r="A5727" s="47">
        <v>1111</v>
      </c>
      <c r="B5727" s="48" t="s">
        <v>11139</v>
      </c>
      <c r="C5727" s="47" t="s">
        <v>71</v>
      </c>
      <c r="D5727" s="332">
        <v>19.86</v>
      </c>
    </row>
    <row r="5728" spans="1:4" ht="30">
      <c r="A5728" s="28">
        <v>12732</v>
      </c>
      <c r="B5728" s="26" t="s">
        <v>1345</v>
      </c>
      <c r="C5728" s="28" t="s">
        <v>65</v>
      </c>
      <c r="D5728" s="329">
        <v>80.08</v>
      </c>
    </row>
    <row r="5729" spans="1:4" ht="30">
      <c r="A5729" s="47">
        <v>10483</v>
      </c>
      <c r="B5729" s="48" t="s">
        <v>1346</v>
      </c>
      <c r="C5729" s="47" t="s">
        <v>91</v>
      </c>
      <c r="D5729" s="332">
        <v>24.55</v>
      </c>
    </row>
    <row r="5730" spans="1:4" ht="30">
      <c r="A5730" s="28">
        <v>4126</v>
      </c>
      <c r="B5730" s="26" t="s">
        <v>1347</v>
      </c>
      <c r="C5730" s="28" t="s">
        <v>65</v>
      </c>
      <c r="D5730" s="329">
        <v>138.27000000000001</v>
      </c>
    </row>
    <row r="5731" spans="1:4" ht="30">
      <c r="A5731" s="47">
        <v>7300</v>
      </c>
      <c r="B5731" s="48" t="s">
        <v>1348</v>
      </c>
      <c r="C5731" s="47" t="s">
        <v>182</v>
      </c>
      <c r="D5731" s="332">
        <v>73.489999999999995</v>
      </c>
    </row>
    <row r="5732" spans="1:4">
      <c r="A5732" s="28">
        <v>7337</v>
      </c>
      <c r="B5732" s="26" t="s">
        <v>1349</v>
      </c>
      <c r="C5732" s="28" t="s">
        <v>91</v>
      </c>
      <c r="D5732" s="329">
        <v>52.14</v>
      </c>
    </row>
    <row r="5733" spans="1:4">
      <c r="A5733" s="47">
        <v>11625</v>
      </c>
      <c r="B5733" s="48" t="s">
        <v>1350</v>
      </c>
      <c r="C5733" s="47" t="s">
        <v>90</v>
      </c>
      <c r="D5733" s="332">
        <v>7.19</v>
      </c>
    </row>
    <row r="5734" spans="1:4" ht="30">
      <c r="A5734" s="28">
        <v>7527</v>
      </c>
      <c r="B5734" s="26" t="s">
        <v>1351</v>
      </c>
      <c r="C5734" s="28" t="s">
        <v>65</v>
      </c>
      <c r="D5734" s="329">
        <v>11.9</v>
      </c>
    </row>
    <row r="5735" spans="1:4" ht="30">
      <c r="A5735" s="47">
        <v>21149</v>
      </c>
      <c r="B5735" s="48" t="s">
        <v>1352</v>
      </c>
      <c r="C5735" s="47" t="s">
        <v>71</v>
      </c>
      <c r="D5735" s="332">
        <v>62.09</v>
      </c>
    </row>
    <row r="5736" spans="1:4" ht="30">
      <c r="A5736" s="28">
        <v>1160</v>
      </c>
      <c r="B5736" s="26" t="s">
        <v>1353</v>
      </c>
      <c r="C5736" s="28" t="s">
        <v>57</v>
      </c>
      <c r="D5736" s="329">
        <v>13.16</v>
      </c>
    </row>
    <row r="5737" spans="1:4">
      <c r="A5737" s="47">
        <v>10480</v>
      </c>
      <c r="B5737" s="48" t="s">
        <v>1354</v>
      </c>
      <c r="C5737" s="47" t="s">
        <v>91</v>
      </c>
      <c r="D5737" s="332">
        <v>27.28</v>
      </c>
    </row>
    <row r="5738" spans="1:4">
      <c r="A5738" s="28">
        <v>10472</v>
      </c>
      <c r="B5738" s="26" t="s">
        <v>1355</v>
      </c>
      <c r="C5738" s="28" t="s">
        <v>182</v>
      </c>
      <c r="D5738" s="329">
        <v>69.790000000000006</v>
      </c>
    </row>
    <row r="5739" spans="1:4">
      <c r="A5739" s="47">
        <v>10508</v>
      </c>
      <c r="B5739" s="48" t="s">
        <v>1356</v>
      </c>
      <c r="C5739" s="47" t="s">
        <v>57</v>
      </c>
      <c r="D5739" s="332">
        <v>15.71</v>
      </c>
    </row>
    <row r="5740" spans="1:4" ht="30">
      <c r="A5740" s="28">
        <v>2803</v>
      </c>
      <c r="B5740" s="26" t="s">
        <v>11140</v>
      </c>
      <c r="C5740" s="28" t="s">
        <v>71</v>
      </c>
      <c r="D5740" s="329">
        <v>283.8</v>
      </c>
    </row>
    <row r="5741" spans="1:4" ht="30">
      <c r="A5741" s="47">
        <v>2801</v>
      </c>
      <c r="B5741" s="48" t="s">
        <v>11141</v>
      </c>
      <c r="C5741" s="47" t="s">
        <v>71</v>
      </c>
      <c r="D5741" s="332">
        <v>293.79000000000002</v>
      </c>
    </row>
    <row r="5742" spans="1:4" ht="30">
      <c r="A5742" s="28">
        <v>2806</v>
      </c>
      <c r="B5742" s="26" t="s">
        <v>11142</v>
      </c>
      <c r="C5742" s="28" t="s">
        <v>71</v>
      </c>
      <c r="D5742" s="329">
        <v>303.8</v>
      </c>
    </row>
    <row r="5743" spans="1:4" ht="30">
      <c r="A5743" s="47">
        <v>11421</v>
      </c>
      <c r="B5743" s="48" t="s">
        <v>11143</v>
      </c>
      <c r="C5743" s="47" t="s">
        <v>90</v>
      </c>
      <c r="D5743" s="332">
        <v>4.8</v>
      </c>
    </row>
    <row r="5744" spans="1:4" ht="30">
      <c r="A5744" s="28">
        <v>38605</v>
      </c>
      <c r="B5744" s="26" t="s">
        <v>1378</v>
      </c>
      <c r="C5744" s="28" t="s">
        <v>65</v>
      </c>
      <c r="D5744" s="329">
        <v>60.41</v>
      </c>
    </row>
    <row r="5745" spans="1:4">
      <c r="A5745" s="47">
        <v>11270</v>
      </c>
      <c r="B5745" s="48" t="s">
        <v>1380</v>
      </c>
      <c r="C5745" s="47" t="s">
        <v>65</v>
      </c>
      <c r="D5745" s="332">
        <v>1.1499999999999999</v>
      </c>
    </row>
    <row r="5746" spans="1:4" ht="30">
      <c r="A5746" s="28">
        <v>412</v>
      </c>
      <c r="B5746" s="26" t="s">
        <v>1381</v>
      </c>
      <c r="C5746" s="28" t="s">
        <v>65</v>
      </c>
      <c r="D5746" s="329">
        <v>0.56000000000000005</v>
      </c>
    </row>
    <row r="5747" spans="1:4">
      <c r="A5747" s="47">
        <v>414</v>
      </c>
      <c r="B5747" s="48" t="s">
        <v>1382</v>
      </c>
      <c r="C5747" s="47" t="s">
        <v>65</v>
      </c>
      <c r="D5747" s="332">
        <v>0.03</v>
      </c>
    </row>
    <row r="5748" spans="1:4">
      <c r="A5748" s="28">
        <v>410</v>
      </c>
      <c r="B5748" s="26" t="s">
        <v>1383</v>
      </c>
      <c r="C5748" s="28" t="s">
        <v>65</v>
      </c>
      <c r="D5748" s="329">
        <v>0.08</v>
      </c>
    </row>
    <row r="5749" spans="1:4">
      <c r="A5749" s="47">
        <v>411</v>
      </c>
      <c r="B5749" s="48" t="s">
        <v>1384</v>
      </c>
      <c r="C5749" s="47" t="s">
        <v>65</v>
      </c>
      <c r="D5749" s="332">
        <v>0.11</v>
      </c>
    </row>
    <row r="5750" spans="1:4">
      <c r="A5750" s="28">
        <v>408</v>
      </c>
      <c r="B5750" s="26" t="s">
        <v>1385</v>
      </c>
      <c r="C5750" s="28" t="s">
        <v>65</v>
      </c>
      <c r="D5750" s="329">
        <v>0.54</v>
      </c>
    </row>
    <row r="5751" spans="1:4" ht="30">
      <c r="A5751" s="47">
        <v>39131</v>
      </c>
      <c r="B5751" s="48" t="s">
        <v>1386</v>
      </c>
      <c r="C5751" s="47" t="s">
        <v>65</v>
      </c>
      <c r="D5751" s="332">
        <v>1.31</v>
      </c>
    </row>
    <row r="5752" spans="1:4" ht="30">
      <c r="A5752" s="28">
        <v>394</v>
      </c>
      <c r="B5752" s="26" t="s">
        <v>1387</v>
      </c>
      <c r="C5752" s="28" t="s">
        <v>65</v>
      </c>
      <c r="D5752" s="329">
        <v>1.32</v>
      </c>
    </row>
    <row r="5753" spans="1:4" ht="30">
      <c r="A5753" s="47">
        <v>39130</v>
      </c>
      <c r="B5753" s="48" t="s">
        <v>1388</v>
      </c>
      <c r="C5753" s="47" t="s">
        <v>65</v>
      </c>
      <c r="D5753" s="332">
        <v>1.19</v>
      </c>
    </row>
    <row r="5754" spans="1:4" ht="30">
      <c r="A5754" s="28">
        <v>395</v>
      </c>
      <c r="B5754" s="26" t="s">
        <v>1389</v>
      </c>
      <c r="C5754" s="28" t="s">
        <v>65</v>
      </c>
      <c r="D5754" s="329">
        <v>1.27</v>
      </c>
    </row>
    <row r="5755" spans="1:4" ht="30">
      <c r="A5755" s="47">
        <v>39127</v>
      </c>
      <c r="B5755" s="48" t="s">
        <v>1392</v>
      </c>
      <c r="C5755" s="47" t="s">
        <v>65</v>
      </c>
      <c r="D5755" s="332">
        <v>0.63</v>
      </c>
    </row>
    <row r="5756" spans="1:4" ht="30">
      <c r="A5756" s="28">
        <v>392</v>
      </c>
      <c r="B5756" s="26" t="s">
        <v>1393</v>
      </c>
      <c r="C5756" s="28" t="s">
        <v>65</v>
      </c>
      <c r="D5756" s="329">
        <v>0.64</v>
      </c>
    </row>
    <row r="5757" spans="1:4" ht="30">
      <c r="A5757" s="47">
        <v>39129</v>
      </c>
      <c r="B5757" s="48" t="s">
        <v>1390</v>
      </c>
      <c r="C5757" s="47" t="s">
        <v>65</v>
      </c>
      <c r="D5757" s="332">
        <v>0.73</v>
      </c>
    </row>
    <row r="5758" spans="1:4" ht="30">
      <c r="A5758" s="28">
        <v>393</v>
      </c>
      <c r="B5758" s="26" t="s">
        <v>1391</v>
      </c>
      <c r="C5758" s="28" t="s">
        <v>65</v>
      </c>
      <c r="D5758" s="329">
        <v>0.77</v>
      </c>
    </row>
    <row r="5759" spans="1:4" ht="30">
      <c r="A5759" s="47">
        <v>39133</v>
      </c>
      <c r="B5759" s="48" t="s">
        <v>1394</v>
      </c>
      <c r="C5759" s="47" t="s">
        <v>65</v>
      </c>
      <c r="D5759" s="332">
        <v>1.72</v>
      </c>
    </row>
    <row r="5760" spans="1:4" ht="30">
      <c r="A5760" s="28">
        <v>397</v>
      </c>
      <c r="B5760" s="26" t="s">
        <v>1395</v>
      </c>
      <c r="C5760" s="28" t="s">
        <v>65</v>
      </c>
      <c r="D5760" s="329">
        <v>1.9</v>
      </c>
    </row>
    <row r="5761" spans="1:4" ht="30">
      <c r="A5761" s="47">
        <v>39132</v>
      </c>
      <c r="B5761" s="48" t="s">
        <v>1396</v>
      </c>
      <c r="C5761" s="47" t="s">
        <v>65</v>
      </c>
      <c r="D5761" s="332">
        <v>1.37</v>
      </c>
    </row>
    <row r="5762" spans="1:4" ht="30">
      <c r="A5762" s="28">
        <v>396</v>
      </c>
      <c r="B5762" s="26" t="s">
        <v>1397</v>
      </c>
      <c r="C5762" s="28" t="s">
        <v>65</v>
      </c>
      <c r="D5762" s="329">
        <v>1.47</v>
      </c>
    </row>
    <row r="5763" spans="1:4" ht="30">
      <c r="A5763" s="47">
        <v>39135</v>
      </c>
      <c r="B5763" s="48" t="s">
        <v>1398</v>
      </c>
      <c r="C5763" s="47" t="s">
        <v>65</v>
      </c>
      <c r="D5763" s="332">
        <v>2.75</v>
      </c>
    </row>
    <row r="5764" spans="1:4" ht="30">
      <c r="A5764" s="28">
        <v>39128</v>
      </c>
      <c r="B5764" s="26" t="s">
        <v>1401</v>
      </c>
      <c r="C5764" s="28" t="s">
        <v>65</v>
      </c>
      <c r="D5764" s="329">
        <v>0.68</v>
      </c>
    </row>
    <row r="5765" spans="1:4" ht="30">
      <c r="A5765" s="47">
        <v>400</v>
      </c>
      <c r="B5765" s="48" t="s">
        <v>1402</v>
      </c>
      <c r="C5765" s="47" t="s">
        <v>65</v>
      </c>
      <c r="D5765" s="332">
        <v>0.67</v>
      </c>
    </row>
    <row r="5766" spans="1:4" ht="30">
      <c r="A5766" s="28">
        <v>39125</v>
      </c>
      <c r="B5766" s="26" t="s">
        <v>1403</v>
      </c>
      <c r="C5766" s="28" t="s">
        <v>65</v>
      </c>
      <c r="D5766" s="329">
        <v>0.68</v>
      </c>
    </row>
    <row r="5767" spans="1:4" ht="30">
      <c r="A5767" s="47">
        <v>39134</v>
      </c>
      <c r="B5767" s="48" t="s">
        <v>1399</v>
      </c>
      <c r="C5767" s="47" t="s">
        <v>65</v>
      </c>
      <c r="D5767" s="332">
        <v>2.29</v>
      </c>
    </row>
    <row r="5768" spans="1:4" ht="30">
      <c r="A5768" s="28">
        <v>398</v>
      </c>
      <c r="B5768" s="26" t="s">
        <v>1400</v>
      </c>
      <c r="C5768" s="28" t="s">
        <v>65</v>
      </c>
      <c r="D5768" s="329">
        <v>2.11</v>
      </c>
    </row>
    <row r="5769" spans="1:4" ht="43.5" customHeight="1">
      <c r="A5769" s="47">
        <v>39126</v>
      </c>
      <c r="B5769" s="48" t="s">
        <v>1404</v>
      </c>
      <c r="C5769" s="47" t="s">
        <v>65</v>
      </c>
      <c r="D5769" s="332">
        <v>3.09</v>
      </c>
    </row>
    <row r="5770" spans="1:4" ht="30">
      <c r="A5770" s="28">
        <v>399</v>
      </c>
      <c r="B5770" s="26" t="s">
        <v>1405</v>
      </c>
      <c r="C5770" s="28" t="s">
        <v>65</v>
      </c>
      <c r="D5770" s="329">
        <v>2.72</v>
      </c>
    </row>
    <row r="5771" spans="1:4" ht="43.5" customHeight="1">
      <c r="A5771" s="47">
        <v>39150</v>
      </c>
      <c r="B5771" s="48" t="s">
        <v>1406</v>
      </c>
      <c r="C5771" s="47" t="s">
        <v>65</v>
      </c>
      <c r="D5771" s="332">
        <v>1.24</v>
      </c>
    </row>
    <row r="5772" spans="1:4">
      <c r="A5772" s="28">
        <v>39149</v>
      </c>
      <c r="B5772" s="26" t="s">
        <v>1407</v>
      </c>
      <c r="C5772" s="28" t="s">
        <v>65</v>
      </c>
      <c r="D5772" s="329">
        <v>1.03</v>
      </c>
    </row>
    <row r="5773" spans="1:4" ht="43.5" customHeight="1">
      <c r="A5773" s="47">
        <v>39146</v>
      </c>
      <c r="B5773" s="48" t="s">
        <v>1409</v>
      </c>
      <c r="C5773" s="47" t="s">
        <v>65</v>
      </c>
      <c r="D5773" s="332">
        <v>0.73</v>
      </c>
    </row>
    <row r="5774" spans="1:4">
      <c r="A5774" s="28">
        <v>39148</v>
      </c>
      <c r="B5774" s="26" t="s">
        <v>1408</v>
      </c>
      <c r="C5774" s="28" t="s">
        <v>65</v>
      </c>
      <c r="D5774" s="329">
        <v>0.8</v>
      </c>
    </row>
    <row r="5775" spans="1:4">
      <c r="A5775" s="47">
        <v>39152</v>
      </c>
      <c r="B5775" s="48" t="s">
        <v>1410</v>
      </c>
      <c r="C5775" s="47" t="s">
        <v>65</v>
      </c>
      <c r="D5775" s="332">
        <v>2.0099999999999998</v>
      </c>
    </row>
    <row r="5776" spans="1:4" ht="43.5" customHeight="1">
      <c r="A5776" s="28">
        <v>39151</v>
      </c>
      <c r="B5776" s="26" t="s">
        <v>1411</v>
      </c>
      <c r="C5776" s="28" t="s">
        <v>65</v>
      </c>
      <c r="D5776" s="329">
        <v>1.39</v>
      </c>
    </row>
    <row r="5777" spans="1:4">
      <c r="A5777" s="47">
        <v>39154</v>
      </c>
      <c r="B5777" s="48" t="s">
        <v>1412</v>
      </c>
      <c r="C5777" s="47" t="s">
        <v>65</v>
      </c>
      <c r="D5777" s="332">
        <v>2.75</v>
      </c>
    </row>
    <row r="5778" spans="1:4" ht="57.75" customHeight="1">
      <c r="A5778" s="28">
        <v>39147</v>
      </c>
      <c r="B5778" s="26" t="s">
        <v>1414</v>
      </c>
      <c r="C5778" s="28" t="s">
        <v>65</v>
      </c>
      <c r="D5778" s="329">
        <v>0.66</v>
      </c>
    </row>
    <row r="5779" spans="1:4">
      <c r="A5779" s="47">
        <v>39153</v>
      </c>
      <c r="B5779" s="48" t="s">
        <v>1413</v>
      </c>
      <c r="C5779" s="47" t="s">
        <v>65</v>
      </c>
      <c r="D5779" s="332">
        <v>2.21</v>
      </c>
    </row>
    <row r="5780" spans="1:4">
      <c r="A5780" s="28">
        <v>39155</v>
      </c>
      <c r="B5780" s="26" t="s">
        <v>1415</v>
      </c>
      <c r="C5780" s="28" t="s">
        <v>65</v>
      </c>
      <c r="D5780" s="329">
        <v>3.03</v>
      </c>
    </row>
    <row r="5781" spans="1:4">
      <c r="A5781" s="47">
        <v>39156</v>
      </c>
      <c r="B5781" s="48" t="s">
        <v>1416</v>
      </c>
      <c r="C5781" s="47" t="s">
        <v>65</v>
      </c>
      <c r="D5781" s="332">
        <v>3.68</v>
      </c>
    </row>
    <row r="5782" spans="1:4">
      <c r="A5782" s="28">
        <v>39157</v>
      </c>
      <c r="B5782" s="26" t="s">
        <v>1417</v>
      </c>
      <c r="C5782" s="28" t="s">
        <v>65</v>
      </c>
      <c r="D5782" s="329">
        <v>4.75</v>
      </c>
    </row>
    <row r="5783" spans="1:4">
      <c r="A5783" s="47">
        <v>39158</v>
      </c>
      <c r="B5783" s="48" t="s">
        <v>1418</v>
      </c>
      <c r="C5783" s="47" t="s">
        <v>65</v>
      </c>
      <c r="D5783" s="332">
        <v>7.32</v>
      </c>
    </row>
    <row r="5784" spans="1:4">
      <c r="A5784" s="28">
        <v>39141</v>
      </c>
      <c r="B5784" s="26" t="s">
        <v>1419</v>
      </c>
      <c r="C5784" s="28" t="s">
        <v>65</v>
      </c>
      <c r="D5784" s="329">
        <v>0.53</v>
      </c>
    </row>
    <row r="5785" spans="1:4">
      <c r="A5785" s="47">
        <v>39140</v>
      </c>
      <c r="B5785" s="48" t="s">
        <v>1420</v>
      </c>
      <c r="C5785" s="47" t="s">
        <v>65</v>
      </c>
      <c r="D5785" s="332">
        <v>0.48</v>
      </c>
    </row>
    <row r="5786" spans="1:4">
      <c r="A5786" s="28">
        <v>39137</v>
      </c>
      <c r="B5786" s="26" t="s">
        <v>1422</v>
      </c>
      <c r="C5786" s="28" t="s">
        <v>65</v>
      </c>
      <c r="D5786" s="329">
        <v>0.27</v>
      </c>
    </row>
    <row r="5787" spans="1:4">
      <c r="A5787" s="47">
        <v>39139</v>
      </c>
      <c r="B5787" s="48" t="s">
        <v>1421</v>
      </c>
      <c r="C5787" s="47" t="s">
        <v>65</v>
      </c>
      <c r="D5787" s="332">
        <v>0.4</v>
      </c>
    </row>
    <row r="5788" spans="1:4">
      <c r="A5788" s="28">
        <v>39143</v>
      </c>
      <c r="B5788" s="26" t="s">
        <v>1423</v>
      </c>
      <c r="C5788" s="28" t="s">
        <v>65</v>
      </c>
      <c r="D5788" s="329">
        <v>1.0900000000000001</v>
      </c>
    </row>
    <row r="5789" spans="1:4">
      <c r="A5789" s="47">
        <v>39142</v>
      </c>
      <c r="B5789" s="48" t="s">
        <v>1424</v>
      </c>
      <c r="C5789" s="47" t="s">
        <v>65</v>
      </c>
      <c r="D5789" s="332">
        <v>0.78</v>
      </c>
    </row>
    <row r="5790" spans="1:4">
      <c r="A5790" s="28">
        <v>39138</v>
      </c>
      <c r="B5790" s="26" t="s">
        <v>1426</v>
      </c>
      <c r="C5790" s="28" t="s">
        <v>65</v>
      </c>
      <c r="D5790" s="329">
        <v>0.28999999999999998</v>
      </c>
    </row>
    <row r="5791" spans="1:4">
      <c r="A5791" s="47">
        <v>39136</v>
      </c>
      <c r="B5791" s="48" t="s">
        <v>1427</v>
      </c>
      <c r="C5791" s="47" t="s">
        <v>65</v>
      </c>
      <c r="D5791" s="332">
        <v>0.19</v>
      </c>
    </row>
    <row r="5792" spans="1:4">
      <c r="A5792" s="28">
        <v>39144</v>
      </c>
      <c r="B5792" s="26" t="s">
        <v>1425</v>
      </c>
      <c r="C5792" s="28" t="s">
        <v>65</v>
      </c>
      <c r="D5792" s="329">
        <v>1.27</v>
      </c>
    </row>
    <row r="5793" spans="1:4">
      <c r="A5793" s="47">
        <v>39145</v>
      </c>
      <c r="B5793" s="48" t="s">
        <v>1428</v>
      </c>
      <c r="C5793" s="47" t="s">
        <v>65</v>
      </c>
      <c r="D5793" s="332">
        <v>2.1</v>
      </c>
    </row>
    <row r="5794" spans="1:4" ht="30">
      <c r="A5794" s="28">
        <v>39163</v>
      </c>
      <c r="B5794" s="26" t="s">
        <v>1429</v>
      </c>
      <c r="C5794" s="28" t="s">
        <v>65</v>
      </c>
      <c r="D5794" s="329">
        <v>13.33</v>
      </c>
    </row>
    <row r="5795" spans="1:4" ht="30">
      <c r="A5795" s="47">
        <v>39162</v>
      </c>
      <c r="B5795" s="48" t="s">
        <v>1430</v>
      </c>
      <c r="C5795" s="47" t="s">
        <v>65</v>
      </c>
      <c r="D5795" s="332">
        <v>12.76</v>
      </c>
    </row>
    <row r="5796" spans="1:4" ht="30">
      <c r="A5796" s="28">
        <v>39159</v>
      </c>
      <c r="B5796" s="26" t="s">
        <v>1432</v>
      </c>
      <c r="C5796" s="28" t="s">
        <v>65</v>
      </c>
      <c r="D5796" s="329">
        <v>9.34</v>
      </c>
    </row>
    <row r="5797" spans="1:4" ht="30">
      <c r="A5797" s="47">
        <v>39161</v>
      </c>
      <c r="B5797" s="48" t="s">
        <v>1431</v>
      </c>
      <c r="C5797" s="47" t="s">
        <v>65</v>
      </c>
      <c r="D5797" s="332">
        <v>10.06</v>
      </c>
    </row>
    <row r="5798" spans="1:4" ht="30">
      <c r="A5798" s="28">
        <v>39172</v>
      </c>
      <c r="B5798" s="26" t="s">
        <v>1433</v>
      </c>
      <c r="C5798" s="28" t="s">
        <v>65</v>
      </c>
      <c r="D5798" s="329">
        <v>50.42</v>
      </c>
    </row>
    <row r="5799" spans="1:4" ht="30">
      <c r="A5799" s="47">
        <v>39173</v>
      </c>
      <c r="B5799" s="48" t="s">
        <v>1434</v>
      </c>
      <c r="C5799" s="47" t="s">
        <v>65</v>
      </c>
      <c r="D5799" s="332">
        <v>55.59</v>
      </c>
    </row>
    <row r="5800" spans="1:4" ht="30">
      <c r="A5800" s="28">
        <v>39165</v>
      </c>
      <c r="B5800" s="26" t="s">
        <v>1435</v>
      </c>
      <c r="C5800" s="28" t="s">
        <v>65</v>
      </c>
      <c r="D5800" s="329">
        <v>19.170000000000002</v>
      </c>
    </row>
    <row r="5801" spans="1:4" ht="30">
      <c r="A5801" s="47">
        <v>39164</v>
      </c>
      <c r="B5801" s="48" t="s">
        <v>1436</v>
      </c>
      <c r="C5801" s="47" t="s">
        <v>65</v>
      </c>
      <c r="D5801" s="332">
        <v>13.45</v>
      </c>
    </row>
    <row r="5802" spans="1:4" ht="30">
      <c r="A5802" s="28">
        <v>39167</v>
      </c>
      <c r="B5802" s="26" t="s">
        <v>1437</v>
      </c>
      <c r="C5802" s="28" t="s">
        <v>65</v>
      </c>
      <c r="D5802" s="329">
        <v>23.25</v>
      </c>
    </row>
    <row r="5803" spans="1:4" ht="30">
      <c r="A5803" s="47">
        <v>39160</v>
      </c>
      <c r="B5803" s="48" t="s">
        <v>1439</v>
      </c>
      <c r="C5803" s="47" t="s">
        <v>65</v>
      </c>
      <c r="D5803" s="332">
        <v>9.82</v>
      </c>
    </row>
    <row r="5804" spans="1:4" ht="30">
      <c r="A5804" s="28">
        <v>39166</v>
      </c>
      <c r="B5804" s="26" t="s">
        <v>1438</v>
      </c>
      <c r="C5804" s="28" t="s">
        <v>65</v>
      </c>
      <c r="D5804" s="329">
        <v>22.13</v>
      </c>
    </row>
    <row r="5805" spans="1:4" ht="30">
      <c r="A5805" s="47">
        <v>39168</v>
      </c>
      <c r="B5805" s="48" t="s">
        <v>1440</v>
      </c>
      <c r="C5805" s="47" t="s">
        <v>65</v>
      </c>
      <c r="D5805" s="332">
        <v>21.88</v>
      </c>
    </row>
    <row r="5806" spans="1:4" ht="30">
      <c r="A5806" s="28">
        <v>39169</v>
      </c>
      <c r="B5806" s="26" t="s">
        <v>1441</v>
      </c>
      <c r="C5806" s="28" t="s">
        <v>65</v>
      </c>
      <c r="D5806" s="329">
        <v>39.6</v>
      </c>
    </row>
    <row r="5807" spans="1:4" ht="30">
      <c r="A5807" s="47">
        <v>39170</v>
      </c>
      <c r="B5807" s="48" t="s">
        <v>1442</v>
      </c>
      <c r="C5807" s="47" t="s">
        <v>65</v>
      </c>
      <c r="D5807" s="332">
        <v>42.5</v>
      </c>
    </row>
    <row r="5808" spans="1:4" ht="30">
      <c r="A5808" s="28">
        <v>39171</v>
      </c>
      <c r="B5808" s="26" t="s">
        <v>1443</v>
      </c>
      <c r="C5808" s="28" t="s">
        <v>65</v>
      </c>
      <c r="D5808" s="329">
        <v>47.62</v>
      </c>
    </row>
    <row r="5809" spans="1:4" ht="30">
      <c r="A5809" s="47">
        <v>12615</v>
      </c>
      <c r="B5809" s="48" t="s">
        <v>1445</v>
      </c>
      <c r="C5809" s="47" t="s">
        <v>65</v>
      </c>
      <c r="D5809" s="332">
        <v>3.53</v>
      </c>
    </row>
    <row r="5810" spans="1:4" ht="30">
      <c r="A5810" s="28">
        <v>11927</v>
      </c>
      <c r="B5810" s="26" t="s">
        <v>1446</v>
      </c>
      <c r="C5810" s="28" t="s">
        <v>65</v>
      </c>
      <c r="D5810" s="329">
        <v>3.43</v>
      </c>
    </row>
    <row r="5811" spans="1:4" ht="30">
      <c r="A5811" s="47">
        <v>11928</v>
      </c>
      <c r="B5811" s="48" t="s">
        <v>1447</v>
      </c>
      <c r="C5811" s="47" t="s">
        <v>65</v>
      </c>
      <c r="D5811" s="332">
        <v>3.94</v>
      </c>
    </row>
    <row r="5812" spans="1:4" ht="30">
      <c r="A5812" s="28">
        <v>11929</v>
      </c>
      <c r="B5812" s="26" t="s">
        <v>1448</v>
      </c>
      <c r="C5812" s="28" t="s">
        <v>65</v>
      </c>
      <c r="D5812" s="329">
        <v>6.09</v>
      </c>
    </row>
    <row r="5813" spans="1:4">
      <c r="A5813" s="47">
        <v>36801</v>
      </c>
      <c r="B5813" s="48" t="s">
        <v>1451</v>
      </c>
      <c r="C5813" s="47" t="s">
        <v>65</v>
      </c>
      <c r="D5813" s="332">
        <v>18.510000000000002</v>
      </c>
    </row>
    <row r="5814" spans="1:4">
      <c r="A5814" s="28">
        <v>36246</v>
      </c>
      <c r="B5814" s="26" t="s">
        <v>1452</v>
      </c>
      <c r="C5814" s="28" t="s">
        <v>71</v>
      </c>
      <c r="D5814" s="329">
        <v>1.72</v>
      </c>
    </row>
    <row r="5815" spans="1:4">
      <c r="A5815" s="47">
        <v>37600</v>
      </c>
      <c r="B5815" s="48" t="s">
        <v>1453</v>
      </c>
      <c r="C5815" s="47" t="s">
        <v>65</v>
      </c>
      <c r="D5815" s="332">
        <v>51.99</v>
      </c>
    </row>
    <row r="5816" spans="1:4">
      <c r="A5816" s="28">
        <v>37599</v>
      </c>
      <c r="B5816" s="26" t="s">
        <v>1454</v>
      </c>
      <c r="C5816" s="28" t="s">
        <v>65</v>
      </c>
      <c r="D5816" s="329">
        <v>48.39</v>
      </c>
    </row>
    <row r="5817" spans="1:4">
      <c r="A5817" s="47">
        <v>1</v>
      </c>
      <c r="B5817" s="48" t="s">
        <v>89</v>
      </c>
      <c r="C5817" s="47" t="s">
        <v>90</v>
      </c>
      <c r="D5817" s="332">
        <v>33.299999999999997</v>
      </c>
    </row>
    <row r="5818" spans="1:4">
      <c r="A5818" s="28">
        <v>3</v>
      </c>
      <c r="B5818" s="26" t="s">
        <v>1455</v>
      </c>
      <c r="C5818" s="28" t="s">
        <v>91</v>
      </c>
      <c r="D5818" s="329">
        <v>3.64</v>
      </c>
    </row>
    <row r="5819" spans="1:4">
      <c r="A5819" s="47">
        <v>34457</v>
      </c>
      <c r="B5819" s="48" t="s">
        <v>1456</v>
      </c>
      <c r="C5819" s="47" t="s">
        <v>90</v>
      </c>
      <c r="D5819" s="332">
        <v>4.95</v>
      </c>
    </row>
    <row r="5820" spans="1:4">
      <c r="A5820" s="28">
        <v>34341</v>
      </c>
      <c r="B5820" s="26" t="s">
        <v>1464</v>
      </c>
      <c r="C5820" s="28" t="s">
        <v>90</v>
      </c>
      <c r="D5820" s="329">
        <v>4.0999999999999996</v>
      </c>
    </row>
    <row r="5821" spans="1:4">
      <c r="A5821" s="47">
        <v>26</v>
      </c>
      <c r="B5821" s="48" t="s">
        <v>1457</v>
      </c>
      <c r="C5821" s="47" t="s">
        <v>90</v>
      </c>
      <c r="D5821" s="332">
        <v>4.32</v>
      </c>
    </row>
    <row r="5822" spans="1:4">
      <c r="A5822" s="28">
        <v>20</v>
      </c>
      <c r="B5822" s="26" t="s">
        <v>1458</v>
      </c>
      <c r="C5822" s="28" t="s">
        <v>90</v>
      </c>
      <c r="D5822" s="329">
        <v>4.3499999999999996</v>
      </c>
    </row>
    <row r="5823" spans="1:4">
      <c r="A5823" s="47">
        <v>21</v>
      </c>
      <c r="B5823" s="48" t="s">
        <v>1459</v>
      </c>
      <c r="C5823" s="47" t="s">
        <v>90</v>
      </c>
      <c r="D5823" s="332">
        <v>4.3499999999999996</v>
      </c>
    </row>
    <row r="5824" spans="1:4">
      <c r="A5824" s="28">
        <v>24</v>
      </c>
      <c r="B5824" s="26" t="s">
        <v>1460</v>
      </c>
      <c r="C5824" s="28" t="s">
        <v>90</v>
      </c>
      <c r="D5824" s="329">
        <v>4.3499999999999996</v>
      </c>
    </row>
    <row r="5825" spans="1:4">
      <c r="A5825" s="47">
        <v>25</v>
      </c>
      <c r="B5825" s="48" t="s">
        <v>1461</v>
      </c>
      <c r="C5825" s="47" t="s">
        <v>90</v>
      </c>
      <c r="D5825" s="332">
        <v>4.3499999999999996</v>
      </c>
    </row>
    <row r="5826" spans="1:4">
      <c r="A5826" s="28">
        <v>22</v>
      </c>
      <c r="B5826" s="26" t="s">
        <v>1462</v>
      </c>
      <c r="C5826" s="28" t="s">
        <v>90</v>
      </c>
      <c r="D5826" s="329">
        <v>4.66</v>
      </c>
    </row>
    <row r="5827" spans="1:4">
      <c r="A5827" s="47">
        <v>23</v>
      </c>
      <c r="B5827" s="48" t="s">
        <v>1463</v>
      </c>
      <c r="C5827" s="47" t="s">
        <v>90</v>
      </c>
      <c r="D5827" s="332">
        <v>4.6100000000000003</v>
      </c>
    </row>
    <row r="5828" spans="1:4">
      <c r="A5828" s="28">
        <v>34439</v>
      </c>
      <c r="B5828" s="26" t="s">
        <v>1465</v>
      </c>
      <c r="C5828" s="28" t="s">
        <v>90</v>
      </c>
      <c r="D5828" s="329">
        <v>4.99</v>
      </c>
    </row>
    <row r="5829" spans="1:4">
      <c r="A5829" s="47">
        <v>34</v>
      </c>
      <c r="B5829" s="48" t="s">
        <v>1466</v>
      </c>
      <c r="C5829" s="47" t="s">
        <v>90</v>
      </c>
      <c r="D5829" s="332">
        <v>4.4400000000000004</v>
      </c>
    </row>
    <row r="5830" spans="1:4" ht="29.25" customHeight="1">
      <c r="A5830" s="28">
        <v>34441</v>
      </c>
      <c r="B5830" s="26" t="s">
        <v>1467</v>
      </c>
      <c r="C5830" s="28" t="s">
        <v>90</v>
      </c>
      <c r="D5830" s="329">
        <v>4.7300000000000004</v>
      </c>
    </row>
    <row r="5831" spans="1:4">
      <c r="A5831" s="47">
        <v>31</v>
      </c>
      <c r="B5831" s="48" t="s">
        <v>1468</v>
      </c>
      <c r="C5831" s="47" t="s">
        <v>90</v>
      </c>
      <c r="D5831" s="332">
        <v>4.22</v>
      </c>
    </row>
    <row r="5832" spans="1:4">
      <c r="A5832" s="28">
        <v>34443</v>
      </c>
      <c r="B5832" s="26" t="s">
        <v>1469</v>
      </c>
      <c r="C5832" s="28" t="s">
        <v>90</v>
      </c>
      <c r="D5832" s="329">
        <v>4.7300000000000004</v>
      </c>
    </row>
    <row r="5833" spans="1:4">
      <c r="A5833" s="47">
        <v>27</v>
      </c>
      <c r="B5833" s="48" t="s">
        <v>1470</v>
      </c>
      <c r="C5833" s="47" t="s">
        <v>90</v>
      </c>
      <c r="D5833" s="332">
        <v>4.22</v>
      </c>
    </row>
    <row r="5834" spans="1:4">
      <c r="A5834" s="28">
        <v>34446</v>
      </c>
      <c r="B5834" s="26" t="s">
        <v>1471</v>
      </c>
      <c r="C5834" s="28" t="s">
        <v>90</v>
      </c>
      <c r="D5834" s="329">
        <v>4.7300000000000004</v>
      </c>
    </row>
    <row r="5835" spans="1:4">
      <c r="A5835" s="47">
        <v>29</v>
      </c>
      <c r="B5835" s="48" t="s">
        <v>1472</v>
      </c>
      <c r="C5835" s="47" t="s">
        <v>90</v>
      </c>
      <c r="D5835" s="332">
        <v>3.94</v>
      </c>
    </row>
    <row r="5836" spans="1:4">
      <c r="A5836" s="28">
        <v>28</v>
      </c>
      <c r="B5836" s="26" t="s">
        <v>1473</v>
      </c>
      <c r="C5836" s="28" t="s">
        <v>90</v>
      </c>
      <c r="D5836" s="329">
        <v>4.5599999999999996</v>
      </c>
    </row>
    <row r="5837" spans="1:4">
      <c r="A5837" s="47">
        <v>34449</v>
      </c>
      <c r="B5837" s="48" t="s">
        <v>1474</v>
      </c>
      <c r="C5837" s="47" t="s">
        <v>90</v>
      </c>
      <c r="D5837" s="332">
        <v>5.21</v>
      </c>
    </row>
    <row r="5838" spans="1:4">
      <c r="A5838" s="28">
        <v>32</v>
      </c>
      <c r="B5838" s="26" t="s">
        <v>1475</v>
      </c>
      <c r="C5838" s="28" t="s">
        <v>90</v>
      </c>
      <c r="D5838" s="329">
        <v>4.6399999999999997</v>
      </c>
    </row>
    <row r="5839" spans="1:4">
      <c r="A5839" s="47">
        <v>33</v>
      </c>
      <c r="B5839" s="48" t="s">
        <v>1476</v>
      </c>
      <c r="C5839" s="47" t="s">
        <v>90</v>
      </c>
      <c r="D5839" s="332">
        <v>5.21</v>
      </c>
    </row>
    <row r="5840" spans="1:4">
      <c r="A5840" s="28">
        <v>34343</v>
      </c>
      <c r="B5840" s="26" t="s">
        <v>1485</v>
      </c>
      <c r="C5840" s="28" t="s">
        <v>90</v>
      </c>
      <c r="D5840" s="329">
        <v>5.01</v>
      </c>
    </row>
    <row r="5841" spans="1:4">
      <c r="A5841" s="47">
        <v>34452</v>
      </c>
      <c r="B5841" s="48" t="s">
        <v>1477</v>
      </c>
      <c r="C5841" s="47" t="s">
        <v>90</v>
      </c>
      <c r="D5841" s="332">
        <v>4.6100000000000003</v>
      </c>
    </row>
    <row r="5842" spans="1:4">
      <c r="A5842" s="28">
        <v>36</v>
      </c>
      <c r="B5842" s="26" t="s">
        <v>1478</v>
      </c>
      <c r="C5842" s="28" t="s">
        <v>90</v>
      </c>
      <c r="D5842" s="329">
        <v>4.4000000000000004</v>
      </c>
    </row>
    <row r="5843" spans="1:4">
      <c r="A5843" s="47">
        <v>34456</v>
      </c>
      <c r="B5843" s="48" t="s">
        <v>1479</v>
      </c>
      <c r="C5843" s="47" t="s">
        <v>90</v>
      </c>
      <c r="D5843" s="332">
        <v>4.6100000000000003</v>
      </c>
    </row>
    <row r="5844" spans="1:4">
      <c r="A5844" s="28">
        <v>39</v>
      </c>
      <c r="B5844" s="26" t="s">
        <v>1480</v>
      </c>
      <c r="C5844" s="28" t="s">
        <v>90</v>
      </c>
      <c r="D5844" s="329">
        <v>4.4000000000000004</v>
      </c>
    </row>
    <row r="5845" spans="1:4">
      <c r="A5845" s="47">
        <v>40</v>
      </c>
      <c r="B5845" s="48" t="s">
        <v>1481</v>
      </c>
      <c r="C5845" s="47" t="s">
        <v>90</v>
      </c>
      <c r="D5845" s="332">
        <v>4.49</v>
      </c>
    </row>
    <row r="5846" spans="1:4">
      <c r="A5846" s="28">
        <v>34460</v>
      </c>
      <c r="B5846" s="26" t="s">
        <v>1482</v>
      </c>
      <c r="C5846" s="28" t="s">
        <v>90</v>
      </c>
      <c r="D5846" s="329">
        <v>5.05</v>
      </c>
    </row>
    <row r="5847" spans="1:4">
      <c r="A5847" s="47">
        <v>42</v>
      </c>
      <c r="B5847" s="48" t="s">
        <v>1483</v>
      </c>
      <c r="C5847" s="47" t="s">
        <v>90</v>
      </c>
      <c r="D5847" s="332">
        <v>4.57</v>
      </c>
    </row>
    <row r="5848" spans="1:4">
      <c r="A5848" s="28">
        <v>38</v>
      </c>
      <c r="B5848" s="26" t="s">
        <v>1484</v>
      </c>
      <c r="C5848" s="28" t="s">
        <v>90</v>
      </c>
      <c r="D5848" s="329">
        <v>5.08</v>
      </c>
    </row>
    <row r="5849" spans="1:4">
      <c r="A5849" s="47">
        <v>34344</v>
      </c>
      <c r="B5849" s="48" t="s">
        <v>1486</v>
      </c>
      <c r="C5849" s="47" t="s">
        <v>90</v>
      </c>
      <c r="D5849" s="332">
        <v>6.91</v>
      </c>
    </row>
    <row r="5850" spans="1:4" ht="30">
      <c r="A5850" s="28">
        <v>20063</v>
      </c>
      <c r="B5850" s="26" t="s">
        <v>1487</v>
      </c>
      <c r="C5850" s="28" t="s">
        <v>65</v>
      </c>
      <c r="D5850" s="329">
        <v>3.51</v>
      </c>
    </row>
    <row r="5851" spans="1:4" ht="30">
      <c r="A5851" s="47">
        <v>77</v>
      </c>
      <c r="B5851" s="48" t="s">
        <v>1537</v>
      </c>
      <c r="C5851" s="47" t="s">
        <v>65</v>
      </c>
      <c r="D5851" s="332">
        <v>3.82</v>
      </c>
    </row>
    <row r="5852" spans="1:4">
      <c r="A5852" s="28">
        <v>76</v>
      </c>
      <c r="B5852" s="26" t="s">
        <v>1538</v>
      </c>
      <c r="C5852" s="28" t="s">
        <v>65</v>
      </c>
      <c r="D5852" s="329">
        <v>0.74</v>
      </c>
    </row>
    <row r="5853" spans="1:4">
      <c r="A5853" s="47">
        <v>67</v>
      </c>
      <c r="B5853" s="48" t="s">
        <v>1540</v>
      </c>
      <c r="C5853" s="47" t="s">
        <v>65</v>
      </c>
      <c r="D5853" s="332">
        <v>8.32</v>
      </c>
    </row>
    <row r="5854" spans="1:4">
      <c r="A5854" s="28">
        <v>71</v>
      </c>
      <c r="B5854" s="26" t="s">
        <v>1539</v>
      </c>
      <c r="C5854" s="28" t="s">
        <v>65</v>
      </c>
      <c r="D5854" s="329">
        <v>14.64</v>
      </c>
    </row>
    <row r="5855" spans="1:4">
      <c r="A5855" s="47">
        <v>73</v>
      </c>
      <c r="B5855" s="48" t="s">
        <v>1541</v>
      </c>
      <c r="C5855" s="47" t="s">
        <v>65</v>
      </c>
      <c r="D5855" s="332">
        <v>10.53</v>
      </c>
    </row>
    <row r="5856" spans="1:4">
      <c r="A5856" s="28">
        <v>103</v>
      </c>
      <c r="B5856" s="26" t="s">
        <v>1542</v>
      </c>
      <c r="C5856" s="28" t="s">
        <v>65</v>
      </c>
      <c r="D5856" s="329">
        <v>36.4</v>
      </c>
    </row>
    <row r="5857" spans="1:4">
      <c r="A5857" s="47">
        <v>107</v>
      </c>
      <c r="B5857" s="48" t="s">
        <v>1543</v>
      </c>
      <c r="C5857" s="47" t="s">
        <v>65</v>
      </c>
      <c r="D5857" s="332">
        <v>0.69</v>
      </c>
    </row>
    <row r="5858" spans="1:4">
      <c r="A5858" s="28">
        <v>65</v>
      </c>
      <c r="B5858" s="26" t="s">
        <v>1544</v>
      </c>
      <c r="C5858" s="28" t="s">
        <v>65</v>
      </c>
      <c r="D5858" s="329">
        <v>0.78</v>
      </c>
    </row>
    <row r="5859" spans="1:4">
      <c r="A5859" s="47">
        <v>108</v>
      </c>
      <c r="B5859" s="48" t="s">
        <v>1545</v>
      </c>
      <c r="C5859" s="47" t="s">
        <v>65</v>
      </c>
      <c r="D5859" s="332">
        <v>1.54</v>
      </c>
    </row>
    <row r="5860" spans="1:4">
      <c r="A5860" s="28">
        <v>110</v>
      </c>
      <c r="B5860" s="26" t="s">
        <v>1546</v>
      </c>
      <c r="C5860" s="28" t="s">
        <v>65</v>
      </c>
      <c r="D5860" s="329">
        <v>3.64</v>
      </c>
    </row>
    <row r="5861" spans="1:4">
      <c r="A5861" s="47">
        <v>109</v>
      </c>
      <c r="B5861" s="48" t="s">
        <v>1547</v>
      </c>
      <c r="C5861" s="47" t="s">
        <v>65</v>
      </c>
      <c r="D5861" s="332">
        <v>2.78</v>
      </c>
    </row>
    <row r="5862" spans="1:4">
      <c r="A5862" s="28">
        <v>111</v>
      </c>
      <c r="B5862" s="26" t="s">
        <v>1548</v>
      </c>
      <c r="C5862" s="28" t="s">
        <v>65</v>
      </c>
      <c r="D5862" s="329">
        <v>6.33</v>
      </c>
    </row>
    <row r="5863" spans="1:4" ht="57.75" customHeight="1">
      <c r="A5863" s="47">
        <v>112</v>
      </c>
      <c r="B5863" s="48" t="s">
        <v>1549</v>
      </c>
      <c r="C5863" s="47" t="s">
        <v>65</v>
      </c>
      <c r="D5863" s="332">
        <v>3.42</v>
      </c>
    </row>
    <row r="5864" spans="1:4">
      <c r="A5864" s="28">
        <v>113</v>
      </c>
      <c r="B5864" s="26" t="s">
        <v>1550</v>
      </c>
      <c r="C5864" s="28" t="s">
        <v>65</v>
      </c>
      <c r="D5864" s="329">
        <v>8.7100000000000009</v>
      </c>
    </row>
    <row r="5865" spans="1:4">
      <c r="A5865" s="47">
        <v>104</v>
      </c>
      <c r="B5865" s="48" t="s">
        <v>1551</v>
      </c>
      <c r="C5865" s="47" t="s">
        <v>65</v>
      </c>
      <c r="D5865" s="332">
        <v>15.04</v>
      </c>
    </row>
    <row r="5866" spans="1:4">
      <c r="A5866" s="28">
        <v>102</v>
      </c>
      <c r="B5866" s="26" t="s">
        <v>1552</v>
      </c>
      <c r="C5866" s="28" t="s">
        <v>65</v>
      </c>
      <c r="D5866" s="329">
        <v>22.6</v>
      </c>
    </row>
    <row r="5867" spans="1:4" ht="30">
      <c r="A5867" s="47">
        <v>95</v>
      </c>
      <c r="B5867" s="48" t="s">
        <v>1553</v>
      </c>
      <c r="C5867" s="47" t="s">
        <v>65</v>
      </c>
      <c r="D5867" s="332">
        <v>9.5500000000000007</v>
      </c>
    </row>
    <row r="5868" spans="1:4" ht="30">
      <c r="A5868" s="28">
        <v>96</v>
      </c>
      <c r="B5868" s="26" t="s">
        <v>1554</v>
      </c>
      <c r="C5868" s="28" t="s">
        <v>65</v>
      </c>
      <c r="D5868" s="329">
        <v>12.36</v>
      </c>
    </row>
    <row r="5869" spans="1:4" ht="30">
      <c r="A5869" s="47">
        <v>97</v>
      </c>
      <c r="B5869" s="48" t="s">
        <v>1555</v>
      </c>
      <c r="C5869" s="47" t="s">
        <v>65</v>
      </c>
      <c r="D5869" s="332">
        <v>15.57</v>
      </c>
    </row>
    <row r="5870" spans="1:4" ht="30">
      <c r="A5870" s="28">
        <v>98</v>
      </c>
      <c r="B5870" s="26" t="s">
        <v>1556</v>
      </c>
      <c r="C5870" s="28" t="s">
        <v>65</v>
      </c>
      <c r="D5870" s="329">
        <v>25.25</v>
      </c>
    </row>
    <row r="5871" spans="1:4" ht="30">
      <c r="A5871" s="47">
        <v>99</v>
      </c>
      <c r="B5871" s="48" t="s">
        <v>1557</v>
      </c>
      <c r="C5871" s="47" t="s">
        <v>65</v>
      </c>
      <c r="D5871" s="332">
        <v>29.12</v>
      </c>
    </row>
    <row r="5872" spans="1:4" ht="30">
      <c r="A5872" s="28">
        <v>100</v>
      </c>
      <c r="B5872" s="26" t="s">
        <v>1558</v>
      </c>
      <c r="C5872" s="28" t="s">
        <v>65</v>
      </c>
      <c r="D5872" s="329">
        <v>35.409999999999997</v>
      </c>
    </row>
    <row r="5873" spans="1:4">
      <c r="A5873" s="47">
        <v>75</v>
      </c>
      <c r="B5873" s="48" t="s">
        <v>1559</v>
      </c>
      <c r="C5873" s="47" t="s">
        <v>65</v>
      </c>
      <c r="D5873" s="332">
        <v>265.64</v>
      </c>
    </row>
    <row r="5874" spans="1:4">
      <c r="A5874" s="28">
        <v>114</v>
      </c>
      <c r="B5874" s="26" t="s">
        <v>1560</v>
      </c>
      <c r="C5874" s="28" t="s">
        <v>65</v>
      </c>
      <c r="D5874" s="329">
        <v>10.48</v>
      </c>
    </row>
    <row r="5875" spans="1:4">
      <c r="A5875" s="47">
        <v>68</v>
      </c>
      <c r="B5875" s="48" t="s">
        <v>1561</v>
      </c>
      <c r="C5875" s="47" t="s">
        <v>65</v>
      </c>
      <c r="D5875" s="332">
        <v>14.05</v>
      </c>
    </row>
    <row r="5876" spans="1:4">
      <c r="A5876" s="28">
        <v>86</v>
      </c>
      <c r="B5876" s="26" t="s">
        <v>1562</v>
      </c>
      <c r="C5876" s="28" t="s">
        <v>65</v>
      </c>
      <c r="D5876" s="329">
        <v>20.81</v>
      </c>
    </row>
    <row r="5877" spans="1:4">
      <c r="A5877" s="47">
        <v>66</v>
      </c>
      <c r="B5877" s="48" t="s">
        <v>1563</v>
      </c>
      <c r="C5877" s="47" t="s">
        <v>65</v>
      </c>
      <c r="D5877" s="332">
        <v>23.88</v>
      </c>
    </row>
    <row r="5878" spans="1:4">
      <c r="A5878" s="28">
        <v>69</v>
      </c>
      <c r="B5878" s="26" t="s">
        <v>1564</v>
      </c>
      <c r="C5878" s="28" t="s">
        <v>65</v>
      </c>
      <c r="D5878" s="329">
        <v>35.409999999999997</v>
      </c>
    </row>
    <row r="5879" spans="1:4">
      <c r="A5879" s="47">
        <v>83</v>
      </c>
      <c r="B5879" s="48" t="s">
        <v>1565</v>
      </c>
      <c r="C5879" s="47" t="s">
        <v>65</v>
      </c>
      <c r="D5879" s="332">
        <v>137.79</v>
      </c>
    </row>
    <row r="5880" spans="1:4">
      <c r="A5880" s="28">
        <v>74</v>
      </c>
      <c r="B5880" s="26" t="s">
        <v>1566</v>
      </c>
      <c r="C5880" s="28" t="s">
        <v>65</v>
      </c>
      <c r="D5880" s="329">
        <v>185.62</v>
      </c>
    </row>
    <row r="5881" spans="1:4" ht="30">
      <c r="A5881" s="47">
        <v>106</v>
      </c>
      <c r="B5881" s="48" t="s">
        <v>1567</v>
      </c>
      <c r="C5881" s="47" t="s">
        <v>65</v>
      </c>
      <c r="D5881" s="332">
        <v>379.47</v>
      </c>
    </row>
    <row r="5882" spans="1:4" ht="30">
      <c r="A5882" s="28">
        <v>87</v>
      </c>
      <c r="B5882" s="26" t="s">
        <v>1568</v>
      </c>
      <c r="C5882" s="28" t="s">
        <v>65</v>
      </c>
      <c r="D5882" s="329">
        <v>15.71</v>
      </c>
    </row>
    <row r="5883" spans="1:4">
      <c r="A5883" s="47">
        <v>88</v>
      </c>
      <c r="B5883" s="48" t="s">
        <v>1569</v>
      </c>
      <c r="C5883" s="47" t="s">
        <v>65</v>
      </c>
      <c r="D5883" s="332">
        <v>18.89</v>
      </c>
    </row>
    <row r="5884" spans="1:4" ht="30">
      <c r="A5884" s="28">
        <v>89</v>
      </c>
      <c r="B5884" s="26" t="s">
        <v>1570</v>
      </c>
      <c r="C5884" s="28" t="s">
        <v>65</v>
      </c>
      <c r="D5884" s="329">
        <v>27.89</v>
      </c>
    </row>
    <row r="5885" spans="1:4" ht="30">
      <c r="A5885" s="47">
        <v>90</v>
      </c>
      <c r="B5885" s="48" t="s">
        <v>1571</v>
      </c>
      <c r="C5885" s="47" t="s">
        <v>65</v>
      </c>
      <c r="D5885" s="332">
        <v>31.98</v>
      </c>
    </row>
    <row r="5886" spans="1:4">
      <c r="A5886" s="28">
        <v>81</v>
      </c>
      <c r="B5886" s="26" t="s">
        <v>1572</v>
      </c>
      <c r="C5886" s="28" t="s">
        <v>65</v>
      </c>
      <c r="D5886" s="329">
        <v>47.46</v>
      </c>
    </row>
    <row r="5887" spans="1:4" ht="30">
      <c r="A5887" s="47">
        <v>82</v>
      </c>
      <c r="B5887" s="48" t="s">
        <v>1573</v>
      </c>
      <c r="C5887" s="47" t="s">
        <v>65</v>
      </c>
      <c r="D5887" s="332">
        <v>184.71</v>
      </c>
    </row>
    <row r="5888" spans="1:4">
      <c r="A5888" s="28">
        <v>105</v>
      </c>
      <c r="B5888" s="26" t="s">
        <v>1574</v>
      </c>
      <c r="C5888" s="28" t="s">
        <v>65</v>
      </c>
      <c r="D5888" s="329">
        <v>248.8</v>
      </c>
    </row>
    <row r="5889" spans="1:4">
      <c r="A5889" s="47">
        <v>60</v>
      </c>
      <c r="B5889" s="48" t="s">
        <v>1575</v>
      </c>
      <c r="C5889" s="47" t="s">
        <v>65</v>
      </c>
      <c r="D5889" s="332">
        <v>2.7</v>
      </c>
    </row>
    <row r="5890" spans="1:4" ht="30">
      <c r="A5890" s="28">
        <v>72</v>
      </c>
      <c r="B5890" s="26" t="s">
        <v>1576</v>
      </c>
      <c r="C5890" s="28" t="s">
        <v>65</v>
      </c>
      <c r="D5890" s="329">
        <v>24.63</v>
      </c>
    </row>
    <row r="5891" spans="1:4" ht="30">
      <c r="A5891" s="47">
        <v>70</v>
      </c>
      <c r="B5891" s="48" t="s">
        <v>1577</v>
      </c>
      <c r="C5891" s="47" t="s">
        <v>65</v>
      </c>
      <c r="D5891" s="332">
        <v>24.96</v>
      </c>
    </row>
    <row r="5892" spans="1:4">
      <c r="A5892" s="28">
        <v>85</v>
      </c>
      <c r="B5892" s="26" t="s">
        <v>1578</v>
      </c>
      <c r="C5892" s="28" t="s">
        <v>65</v>
      </c>
      <c r="D5892" s="329">
        <v>35.880000000000003</v>
      </c>
    </row>
    <row r="5893" spans="1:4">
      <c r="A5893" s="47">
        <v>84</v>
      </c>
      <c r="B5893" s="48" t="s">
        <v>1579</v>
      </c>
      <c r="C5893" s="47" t="s">
        <v>65</v>
      </c>
      <c r="D5893" s="332">
        <v>1.36</v>
      </c>
    </row>
    <row r="5894" spans="1:4">
      <c r="A5894" s="28">
        <v>37997</v>
      </c>
      <c r="B5894" s="26" t="s">
        <v>1580</v>
      </c>
      <c r="C5894" s="28" t="s">
        <v>65</v>
      </c>
      <c r="D5894" s="329">
        <v>5.31</v>
      </c>
    </row>
    <row r="5895" spans="1:4">
      <c r="A5895" s="47">
        <v>37998</v>
      </c>
      <c r="B5895" s="48" t="s">
        <v>1581</v>
      </c>
      <c r="C5895" s="47" t="s">
        <v>65</v>
      </c>
      <c r="D5895" s="332">
        <v>5.5</v>
      </c>
    </row>
    <row r="5896" spans="1:4" ht="30">
      <c r="A5896" s="28">
        <v>10899</v>
      </c>
      <c r="B5896" s="26" t="s">
        <v>1585</v>
      </c>
      <c r="C5896" s="28" t="s">
        <v>65</v>
      </c>
      <c r="D5896" s="329">
        <v>57.33</v>
      </c>
    </row>
    <row r="5897" spans="1:4" ht="30">
      <c r="A5897" s="47">
        <v>10900</v>
      </c>
      <c r="B5897" s="48" t="s">
        <v>1586</v>
      </c>
      <c r="C5897" s="47" t="s">
        <v>65</v>
      </c>
      <c r="D5897" s="332">
        <v>44.86</v>
      </c>
    </row>
    <row r="5898" spans="1:4">
      <c r="A5898" s="28">
        <v>20075</v>
      </c>
      <c r="B5898" s="26" t="s">
        <v>1587</v>
      </c>
      <c r="C5898" s="28" t="s">
        <v>65</v>
      </c>
      <c r="D5898" s="329">
        <v>46.38</v>
      </c>
    </row>
    <row r="5899" spans="1:4">
      <c r="A5899" s="47">
        <v>46</v>
      </c>
      <c r="B5899" s="48" t="s">
        <v>1588</v>
      </c>
      <c r="C5899" s="47" t="s">
        <v>65</v>
      </c>
      <c r="D5899" s="332">
        <v>41.14</v>
      </c>
    </row>
    <row r="5900" spans="1:4">
      <c r="A5900" s="28">
        <v>51</v>
      </c>
      <c r="B5900" s="26" t="s">
        <v>1589</v>
      </c>
      <c r="C5900" s="28" t="s">
        <v>65</v>
      </c>
      <c r="D5900" s="329">
        <v>93.47</v>
      </c>
    </row>
    <row r="5901" spans="1:4">
      <c r="A5901" s="47">
        <v>12863</v>
      </c>
      <c r="B5901" s="48" t="s">
        <v>1590</v>
      </c>
      <c r="C5901" s="47" t="s">
        <v>65</v>
      </c>
      <c r="D5901" s="332">
        <v>26.89</v>
      </c>
    </row>
    <row r="5902" spans="1:4">
      <c r="A5902" s="28">
        <v>50</v>
      </c>
      <c r="B5902" s="26" t="s">
        <v>1591</v>
      </c>
      <c r="C5902" s="28" t="s">
        <v>65</v>
      </c>
      <c r="D5902" s="329">
        <v>59.21</v>
      </c>
    </row>
    <row r="5903" spans="1:4">
      <c r="A5903" s="47">
        <v>20076</v>
      </c>
      <c r="B5903" s="48" t="s">
        <v>1592</v>
      </c>
      <c r="C5903" s="47" t="s">
        <v>65</v>
      </c>
      <c r="D5903" s="332">
        <v>86.37</v>
      </c>
    </row>
    <row r="5904" spans="1:4">
      <c r="A5904" s="28">
        <v>20074</v>
      </c>
      <c r="B5904" s="26" t="s">
        <v>1593</v>
      </c>
      <c r="C5904" s="28" t="s">
        <v>65</v>
      </c>
      <c r="D5904" s="329">
        <v>25.52</v>
      </c>
    </row>
    <row r="5905" spans="1:4">
      <c r="A5905" s="47">
        <v>47</v>
      </c>
      <c r="B5905" s="48" t="s">
        <v>1594</v>
      </c>
      <c r="C5905" s="47" t="s">
        <v>65</v>
      </c>
      <c r="D5905" s="332">
        <v>49.19</v>
      </c>
    </row>
    <row r="5906" spans="1:4">
      <c r="A5906" s="28">
        <v>48</v>
      </c>
      <c r="B5906" s="26" t="s">
        <v>1595</v>
      </c>
      <c r="C5906" s="28" t="s">
        <v>65</v>
      </c>
      <c r="D5906" s="329">
        <v>19.2</v>
      </c>
    </row>
    <row r="5907" spans="1:4">
      <c r="A5907" s="47">
        <v>52</v>
      </c>
      <c r="B5907" s="48" t="s">
        <v>1596</v>
      </c>
      <c r="C5907" s="47" t="s">
        <v>65</v>
      </c>
      <c r="D5907" s="332">
        <v>9.58</v>
      </c>
    </row>
    <row r="5908" spans="1:4">
      <c r="A5908" s="28">
        <v>43</v>
      </c>
      <c r="B5908" s="26" t="s">
        <v>1597</v>
      </c>
      <c r="C5908" s="28" t="s">
        <v>65</v>
      </c>
      <c r="D5908" s="329">
        <v>25.22</v>
      </c>
    </row>
    <row r="5909" spans="1:4">
      <c r="A5909" s="47">
        <v>4791</v>
      </c>
      <c r="B5909" s="48" t="s">
        <v>1598</v>
      </c>
      <c r="C5909" s="47" t="s">
        <v>90</v>
      </c>
      <c r="D5909" s="332">
        <v>17.68</v>
      </c>
    </row>
    <row r="5910" spans="1:4" ht="30">
      <c r="A5910" s="28">
        <v>157</v>
      </c>
      <c r="B5910" s="26" t="s">
        <v>1599</v>
      </c>
      <c r="C5910" s="28" t="s">
        <v>90</v>
      </c>
      <c r="D5910" s="329">
        <v>98.25</v>
      </c>
    </row>
    <row r="5911" spans="1:4">
      <c r="A5911" s="47">
        <v>156</v>
      </c>
      <c r="B5911" s="48" t="s">
        <v>92</v>
      </c>
      <c r="C5911" s="47" t="s">
        <v>90</v>
      </c>
      <c r="D5911" s="332">
        <v>43.85</v>
      </c>
    </row>
    <row r="5912" spans="1:4">
      <c r="A5912" s="28">
        <v>131</v>
      </c>
      <c r="B5912" s="26" t="s">
        <v>1600</v>
      </c>
      <c r="C5912" s="28" t="s">
        <v>90</v>
      </c>
      <c r="D5912" s="329">
        <v>42.1</v>
      </c>
    </row>
    <row r="5913" spans="1:4" ht="30">
      <c r="A5913" s="47">
        <v>39719</v>
      </c>
      <c r="B5913" s="48" t="s">
        <v>1601</v>
      </c>
      <c r="C5913" s="47" t="s">
        <v>91</v>
      </c>
      <c r="D5913" s="332">
        <v>70.39</v>
      </c>
    </row>
    <row r="5914" spans="1:4">
      <c r="A5914" s="28">
        <v>21114</v>
      </c>
      <c r="B5914" s="26" t="s">
        <v>1602</v>
      </c>
      <c r="C5914" s="28" t="s">
        <v>65</v>
      </c>
      <c r="D5914" s="329">
        <v>15.08</v>
      </c>
    </row>
    <row r="5915" spans="1:4">
      <c r="A5915" s="47">
        <v>117</v>
      </c>
      <c r="B5915" s="48" t="s">
        <v>1603</v>
      </c>
      <c r="C5915" s="47" t="s">
        <v>65</v>
      </c>
      <c r="D5915" s="332">
        <v>2.4</v>
      </c>
    </row>
    <row r="5916" spans="1:4">
      <c r="A5916" s="28">
        <v>119</v>
      </c>
      <c r="B5916" s="26" t="s">
        <v>1604</v>
      </c>
      <c r="C5916" s="28" t="s">
        <v>65</v>
      </c>
      <c r="D5916" s="329">
        <v>5.95</v>
      </c>
    </row>
    <row r="5917" spans="1:4" ht="57.75" customHeight="1">
      <c r="A5917" s="47">
        <v>20080</v>
      </c>
      <c r="B5917" s="48" t="s">
        <v>1605</v>
      </c>
      <c r="C5917" s="47" t="s">
        <v>65</v>
      </c>
      <c r="D5917" s="332">
        <v>17.059999999999999</v>
      </c>
    </row>
    <row r="5918" spans="1:4">
      <c r="A5918" s="28">
        <v>122</v>
      </c>
      <c r="B5918" s="26" t="s">
        <v>1606</v>
      </c>
      <c r="C5918" s="28" t="s">
        <v>65</v>
      </c>
      <c r="D5918" s="329">
        <v>53.75</v>
      </c>
    </row>
    <row r="5919" spans="1:4">
      <c r="A5919" s="47">
        <v>3410</v>
      </c>
      <c r="B5919" s="48" t="s">
        <v>1607</v>
      </c>
      <c r="C5919" s="47" t="s">
        <v>90</v>
      </c>
      <c r="D5919" s="332">
        <v>18.77</v>
      </c>
    </row>
    <row r="5920" spans="1:4">
      <c r="A5920" s="28">
        <v>124</v>
      </c>
      <c r="B5920" s="26" t="s">
        <v>93</v>
      </c>
      <c r="C5920" s="28" t="s">
        <v>91</v>
      </c>
      <c r="D5920" s="329">
        <v>10.94</v>
      </c>
    </row>
    <row r="5921" spans="1:4">
      <c r="A5921" s="47">
        <v>7334</v>
      </c>
      <c r="B5921" s="48" t="s">
        <v>1608</v>
      </c>
      <c r="C5921" s="47" t="s">
        <v>91</v>
      </c>
      <c r="D5921" s="332">
        <v>8.3699999999999992</v>
      </c>
    </row>
    <row r="5922" spans="1:4" ht="30">
      <c r="A5922" s="28">
        <v>7325</v>
      </c>
      <c r="B5922" s="26" t="s">
        <v>1609</v>
      </c>
      <c r="C5922" s="28" t="s">
        <v>90</v>
      </c>
      <c r="D5922" s="329">
        <v>5.0599999999999996</v>
      </c>
    </row>
    <row r="5923" spans="1:4" ht="30">
      <c r="A5923" s="47">
        <v>123</v>
      </c>
      <c r="B5923" s="48" t="s">
        <v>1610</v>
      </c>
      <c r="C5923" s="47" t="s">
        <v>91</v>
      </c>
      <c r="D5923" s="332">
        <v>4.8600000000000003</v>
      </c>
    </row>
    <row r="5924" spans="1:4">
      <c r="A5924" s="28">
        <v>127</v>
      </c>
      <c r="B5924" s="26" t="s">
        <v>1611</v>
      </c>
      <c r="C5924" s="28" t="s">
        <v>91</v>
      </c>
      <c r="D5924" s="329">
        <v>11.41</v>
      </c>
    </row>
    <row r="5925" spans="1:4">
      <c r="A5925" s="47">
        <v>133</v>
      </c>
      <c r="B5925" s="48" t="s">
        <v>94</v>
      </c>
      <c r="C5925" s="47" t="s">
        <v>91</v>
      </c>
      <c r="D5925" s="332">
        <v>4.9000000000000004</v>
      </c>
    </row>
    <row r="5926" spans="1:4" ht="30">
      <c r="A5926" s="28">
        <v>37538</v>
      </c>
      <c r="B5926" s="26" t="s">
        <v>95</v>
      </c>
      <c r="C5926" s="28" t="s">
        <v>96</v>
      </c>
      <c r="D5926" s="329">
        <v>121.68</v>
      </c>
    </row>
    <row r="5927" spans="1:4">
      <c r="A5927" s="47">
        <v>132</v>
      </c>
      <c r="B5927" s="48" t="s">
        <v>1612</v>
      </c>
      <c r="C5927" s="47" t="s">
        <v>91</v>
      </c>
      <c r="D5927" s="332">
        <v>5.39</v>
      </c>
    </row>
    <row r="5928" spans="1:4">
      <c r="A5928" s="28">
        <v>13408</v>
      </c>
      <c r="B5928" s="26" t="s">
        <v>1613</v>
      </c>
      <c r="C5928" s="28" t="s">
        <v>97</v>
      </c>
      <c r="D5928" s="329">
        <v>1916.86</v>
      </c>
    </row>
    <row r="5929" spans="1:4" ht="30">
      <c r="A5929" s="47">
        <v>37476</v>
      </c>
      <c r="B5929" s="48" t="s">
        <v>1634</v>
      </c>
      <c r="C5929" s="47" t="s">
        <v>65</v>
      </c>
      <c r="D5929" s="332">
        <v>1388.55</v>
      </c>
    </row>
    <row r="5930" spans="1:4" ht="30">
      <c r="A5930" s="28">
        <v>37478</v>
      </c>
      <c r="B5930" s="26" t="s">
        <v>1635</v>
      </c>
      <c r="C5930" s="28" t="s">
        <v>65</v>
      </c>
      <c r="D5930" s="329">
        <v>1964.43</v>
      </c>
    </row>
    <row r="5931" spans="1:4" ht="30">
      <c r="A5931" s="47">
        <v>37477</v>
      </c>
      <c r="B5931" s="48" t="s">
        <v>1636</v>
      </c>
      <c r="C5931" s="47" t="s">
        <v>65</v>
      </c>
      <c r="D5931" s="332">
        <v>2403.77</v>
      </c>
    </row>
    <row r="5932" spans="1:4" ht="30">
      <c r="A5932" s="28">
        <v>37479</v>
      </c>
      <c r="B5932" s="26" t="s">
        <v>1637</v>
      </c>
      <c r="C5932" s="28" t="s">
        <v>65</v>
      </c>
      <c r="D5932" s="329">
        <v>3005.64</v>
      </c>
    </row>
    <row r="5933" spans="1:4">
      <c r="A5933" s="47">
        <v>4319</v>
      </c>
      <c r="B5933" s="48" t="s">
        <v>1638</v>
      </c>
      <c r="C5933" s="47" t="s">
        <v>65</v>
      </c>
      <c r="D5933" s="332">
        <v>0.93</v>
      </c>
    </row>
    <row r="5934" spans="1:4" ht="30">
      <c r="A5934" s="28">
        <v>40596</v>
      </c>
      <c r="B5934" s="26" t="s">
        <v>1639</v>
      </c>
      <c r="C5934" s="28" t="s">
        <v>255</v>
      </c>
      <c r="D5934" s="329">
        <v>25.25</v>
      </c>
    </row>
    <row r="5935" spans="1:4">
      <c r="A5935" s="47">
        <v>13003</v>
      </c>
      <c r="B5935" s="48" t="s">
        <v>1640</v>
      </c>
      <c r="C5935" s="47" t="s">
        <v>91</v>
      </c>
      <c r="D5935" s="332">
        <v>1.8</v>
      </c>
    </row>
    <row r="5936" spans="1:4">
      <c r="A5936" s="28">
        <v>6114</v>
      </c>
      <c r="B5936" s="26" t="s">
        <v>98</v>
      </c>
      <c r="C5936" s="28" t="s">
        <v>57</v>
      </c>
      <c r="D5936" s="329">
        <v>9.57</v>
      </c>
    </row>
    <row r="5937" spans="1:4">
      <c r="A5937" s="47">
        <v>40912</v>
      </c>
      <c r="B5937" s="48" t="s">
        <v>1642</v>
      </c>
      <c r="C5937" s="47" t="s">
        <v>1643</v>
      </c>
      <c r="D5937" s="332">
        <v>1686.84</v>
      </c>
    </row>
    <row r="5938" spans="1:4">
      <c r="A5938" s="28">
        <v>247</v>
      </c>
      <c r="B5938" s="26" t="s">
        <v>1644</v>
      </c>
      <c r="C5938" s="28" t="s">
        <v>57</v>
      </c>
      <c r="D5938" s="329">
        <v>10.59</v>
      </c>
    </row>
    <row r="5939" spans="1:4">
      <c r="A5939" s="47">
        <v>40919</v>
      </c>
      <c r="B5939" s="48" t="s">
        <v>1645</v>
      </c>
      <c r="C5939" s="47" t="s">
        <v>1643</v>
      </c>
      <c r="D5939" s="332">
        <v>1608.79</v>
      </c>
    </row>
    <row r="5940" spans="1:4">
      <c r="A5940" s="28">
        <v>25958</v>
      </c>
      <c r="B5940" s="26" t="s">
        <v>11144</v>
      </c>
      <c r="C5940" s="28" t="s">
        <v>57</v>
      </c>
      <c r="D5940" s="329">
        <v>9.5299999999999994</v>
      </c>
    </row>
    <row r="5941" spans="1:4">
      <c r="A5941" s="47">
        <v>40984</v>
      </c>
      <c r="B5941" s="48" t="s">
        <v>1646</v>
      </c>
      <c r="C5941" s="47" t="s">
        <v>1643</v>
      </c>
      <c r="D5941" s="332">
        <v>1680.7</v>
      </c>
    </row>
    <row r="5942" spans="1:4">
      <c r="A5942" s="28">
        <v>248</v>
      </c>
      <c r="B5942" s="26" t="s">
        <v>1647</v>
      </c>
      <c r="C5942" s="28" t="s">
        <v>57</v>
      </c>
      <c r="D5942" s="329">
        <v>8.3800000000000008</v>
      </c>
    </row>
    <row r="5943" spans="1:4">
      <c r="A5943" s="47">
        <v>41086</v>
      </c>
      <c r="B5943" s="48" t="s">
        <v>1648</v>
      </c>
      <c r="C5943" s="47" t="s">
        <v>1643</v>
      </c>
      <c r="D5943" s="332">
        <v>1476.68</v>
      </c>
    </row>
    <row r="5944" spans="1:4">
      <c r="A5944" s="28">
        <v>6127</v>
      </c>
      <c r="B5944" s="26" t="s">
        <v>99</v>
      </c>
      <c r="C5944" s="28" t="s">
        <v>57</v>
      </c>
      <c r="D5944" s="329">
        <v>9.2899999999999991</v>
      </c>
    </row>
    <row r="5945" spans="1:4">
      <c r="A5945" s="47">
        <v>34466</v>
      </c>
      <c r="B5945" s="48" t="s">
        <v>100</v>
      </c>
      <c r="C5945" s="47" t="s">
        <v>57</v>
      </c>
      <c r="D5945" s="332">
        <v>9.61</v>
      </c>
    </row>
    <row r="5946" spans="1:4">
      <c r="A5946" s="28">
        <v>41083</v>
      </c>
      <c r="B5946" s="26" t="s">
        <v>1649</v>
      </c>
      <c r="C5946" s="28" t="s">
        <v>1643</v>
      </c>
      <c r="D5946" s="329">
        <v>1690.75</v>
      </c>
    </row>
    <row r="5947" spans="1:4">
      <c r="A5947" s="47">
        <v>252</v>
      </c>
      <c r="B5947" s="48" t="s">
        <v>1650</v>
      </c>
      <c r="C5947" s="47" t="s">
        <v>57</v>
      </c>
      <c r="D5947" s="332">
        <v>9.0399999999999991</v>
      </c>
    </row>
    <row r="5948" spans="1:4">
      <c r="A5948" s="28">
        <v>40909</v>
      </c>
      <c r="B5948" s="26" t="s">
        <v>1651</v>
      </c>
      <c r="C5948" s="28" t="s">
        <v>1643</v>
      </c>
      <c r="D5948" s="329">
        <v>1595.58</v>
      </c>
    </row>
    <row r="5949" spans="1:4">
      <c r="A5949" s="47">
        <v>242</v>
      </c>
      <c r="B5949" s="48" t="s">
        <v>101</v>
      </c>
      <c r="C5949" s="47" t="s">
        <v>57</v>
      </c>
      <c r="D5949" s="332">
        <v>8.3800000000000008</v>
      </c>
    </row>
    <row r="5950" spans="1:4">
      <c r="A5950" s="28">
        <v>41085</v>
      </c>
      <c r="B5950" s="26" t="s">
        <v>1652</v>
      </c>
      <c r="C5950" s="28" t="s">
        <v>1643</v>
      </c>
      <c r="D5950" s="329">
        <v>1476.68</v>
      </c>
    </row>
    <row r="5951" spans="1:4" ht="30">
      <c r="A5951" s="47">
        <v>427</v>
      </c>
      <c r="B5951" s="48" t="s">
        <v>1656</v>
      </c>
      <c r="C5951" s="47" t="s">
        <v>65</v>
      </c>
      <c r="D5951" s="332">
        <v>3.51</v>
      </c>
    </row>
    <row r="5952" spans="1:4" ht="30">
      <c r="A5952" s="28">
        <v>417</v>
      </c>
      <c r="B5952" s="26" t="s">
        <v>11145</v>
      </c>
      <c r="C5952" s="28" t="s">
        <v>65</v>
      </c>
      <c r="D5952" s="329">
        <v>1.65</v>
      </c>
    </row>
    <row r="5953" spans="1:4" ht="30">
      <c r="A5953" s="47">
        <v>418</v>
      </c>
      <c r="B5953" s="48" t="s">
        <v>1657</v>
      </c>
      <c r="C5953" s="47" t="s">
        <v>65</v>
      </c>
      <c r="D5953" s="332">
        <v>1.65</v>
      </c>
    </row>
    <row r="5954" spans="1:4" ht="30">
      <c r="A5954" s="28">
        <v>11273</v>
      </c>
      <c r="B5954" s="26" t="s">
        <v>1658</v>
      </c>
      <c r="C5954" s="28" t="s">
        <v>65</v>
      </c>
      <c r="D5954" s="329">
        <v>5.14</v>
      </c>
    </row>
    <row r="5955" spans="1:4" ht="29.25" customHeight="1">
      <c r="A5955" s="47">
        <v>11272</v>
      </c>
      <c r="B5955" s="48" t="s">
        <v>1659</v>
      </c>
      <c r="C5955" s="47" t="s">
        <v>65</v>
      </c>
      <c r="D5955" s="332">
        <v>3.1</v>
      </c>
    </row>
    <row r="5956" spans="1:4" ht="30">
      <c r="A5956" s="28">
        <v>11275</v>
      </c>
      <c r="B5956" s="26" t="s">
        <v>1660</v>
      </c>
      <c r="C5956" s="28" t="s">
        <v>65</v>
      </c>
      <c r="D5956" s="329">
        <v>1.24</v>
      </c>
    </row>
    <row r="5957" spans="1:4" ht="30">
      <c r="A5957" s="47">
        <v>11274</v>
      </c>
      <c r="B5957" s="48" t="s">
        <v>1661</v>
      </c>
      <c r="C5957" s="47" t="s">
        <v>65</v>
      </c>
      <c r="D5957" s="332">
        <v>0.95</v>
      </c>
    </row>
    <row r="5958" spans="1:4">
      <c r="A5958" s="28">
        <v>38954</v>
      </c>
      <c r="B5958" s="26" t="s">
        <v>1668</v>
      </c>
      <c r="C5958" s="28" t="s">
        <v>65</v>
      </c>
      <c r="D5958" s="329">
        <v>28.15</v>
      </c>
    </row>
    <row r="5959" spans="1:4">
      <c r="A5959" s="47">
        <v>38956</v>
      </c>
      <c r="B5959" s="48" t="s">
        <v>1669</v>
      </c>
      <c r="C5959" s="47" t="s">
        <v>65</v>
      </c>
      <c r="D5959" s="332">
        <v>659.76</v>
      </c>
    </row>
    <row r="5960" spans="1:4">
      <c r="A5960" s="28">
        <v>38470</v>
      </c>
      <c r="B5960" s="26" t="s">
        <v>1670</v>
      </c>
      <c r="C5960" s="28" t="s">
        <v>65</v>
      </c>
      <c r="D5960" s="329">
        <v>26.65</v>
      </c>
    </row>
    <row r="5961" spans="1:4">
      <c r="A5961" s="47">
        <v>38547</v>
      </c>
      <c r="B5961" s="48" t="s">
        <v>1671</v>
      </c>
      <c r="C5961" s="47" t="s">
        <v>65</v>
      </c>
      <c r="D5961" s="332">
        <v>72.72</v>
      </c>
    </row>
    <row r="5962" spans="1:4">
      <c r="A5962" s="28">
        <v>38469</v>
      </c>
      <c r="B5962" s="26" t="s">
        <v>1674</v>
      </c>
      <c r="C5962" s="28" t="s">
        <v>65</v>
      </c>
      <c r="D5962" s="329">
        <v>78.19</v>
      </c>
    </row>
    <row r="5963" spans="1:4">
      <c r="A5963" s="47">
        <v>38467</v>
      </c>
      <c r="B5963" s="48" t="s">
        <v>1672</v>
      </c>
      <c r="C5963" s="47" t="s">
        <v>65</v>
      </c>
      <c r="D5963" s="332">
        <v>44</v>
      </c>
    </row>
    <row r="5964" spans="1:4">
      <c r="A5964" s="28">
        <v>38468</v>
      </c>
      <c r="B5964" s="26" t="s">
        <v>1673</v>
      </c>
      <c r="C5964" s="28" t="s">
        <v>65</v>
      </c>
      <c r="D5964" s="329">
        <v>48.41</v>
      </c>
    </row>
    <row r="5965" spans="1:4">
      <c r="A5965" s="47">
        <v>38471</v>
      </c>
      <c r="B5965" s="48" t="s">
        <v>1675</v>
      </c>
      <c r="C5965" s="47" t="s">
        <v>65</v>
      </c>
      <c r="D5965" s="332">
        <v>62.87</v>
      </c>
    </row>
    <row r="5966" spans="1:4">
      <c r="A5966" s="28">
        <v>37370</v>
      </c>
      <c r="B5966" s="26" t="s">
        <v>1676</v>
      </c>
      <c r="C5966" s="28" t="s">
        <v>57</v>
      </c>
      <c r="D5966" s="329">
        <v>1.43</v>
      </c>
    </row>
    <row r="5967" spans="1:4">
      <c r="A5967" s="47">
        <v>40862</v>
      </c>
      <c r="B5967" s="48" t="s">
        <v>1677</v>
      </c>
      <c r="C5967" s="47" t="s">
        <v>1643</v>
      </c>
      <c r="D5967" s="332">
        <v>269.12</v>
      </c>
    </row>
    <row r="5968" spans="1:4" ht="30">
      <c r="A5968" s="28">
        <v>10658</v>
      </c>
      <c r="B5968" s="26" t="s">
        <v>1678</v>
      </c>
      <c r="C5968" s="28" t="s">
        <v>65</v>
      </c>
      <c r="D5968" s="329">
        <v>13561.29</v>
      </c>
    </row>
    <row r="5969" spans="1:4">
      <c r="A5969" s="47">
        <v>253</v>
      </c>
      <c r="B5969" s="48" t="s">
        <v>102</v>
      </c>
      <c r="C5969" s="47" t="s">
        <v>57</v>
      </c>
      <c r="D5969" s="332">
        <v>19.47</v>
      </c>
    </row>
    <row r="5970" spans="1:4">
      <c r="A5970" s="28">
        <v>40809</v>
      </c>
      <c r="B5970" s="26" t="s">
        <v>103</v>
      </c>
      <c r="C5970" s="28" t="s">
        <v>1643</v>
      </c>
      <c r="D5970" s="329">
        <v>3429.29</v>
      </c>
    </row>
    <row r="5971" spans="1:4">
      <c r="A5971" s="47">
        <v>583</v>
      </c>
      <c r="B5971" s="48" t="s">
        <v>1680</v>
      </c>
      <c r="C5971" s="47" t="s">
        <v>90</v>
      </c>
      <c r="D5971" s="332">
        <v>31.56</v>
      </c>
    </row>
    <row r="5972" spans="1:4" ht="30">
      <c r="A5972" s="28">
        <v>20193</v>
      </c>
      <c r="B5972" s="26" t="s">
        <v>1817</v>
      </c>
      <c r="C5972" s="28" t="s">
        <v>1818</v>
      </c>
      <c r="D5972" s="329">
        <v>3.33</v>
      </c>
    </row>
    <row r="5973" spans="1:4" ht="30">
      <c r="A5973" s="47">
        <v>10527</v>
      </c>
      <c r="B5973" s="48" t="s">
        <v>1819</v>
      </c>
      <c r="C5973" s="47" t="s">
        <v>1820</v>
      </c>
      <c r="D5973" s="332">
        <v>10</v>
      </c>
    </row>
    <row r="5974" spans="1:4" ht="45">
      <c r="A5974" s="28">
        <v>41805</v>
      </c>
      <c r="B5974" s="26" t="s">
        <v>1822</v>
      </c>
      <c r="C5974" s="28" t="s">
        <v>1643</v>
      </c>
      <c r="D5974" s="329">
        <v>500</v>
      </c>
    </row>
    <row r="5975" spans="1:4">
      <c r="A5975" s="47">
        <v>38957</v>
      </c>
      <c r="B5975" s="48" t="s">
        <v>1824</v>
      </c>
      <c r="C5975" s="47" t="s">
        <v>131</v>
      </c>
      <c r="D5975" s="332">
        <v>51.75</v>
      </c>
    </row>
    <row r="5976" spans="1:4">
      <c r="A5976" s="28">
        <v>299</v>
      </c>
      <c r="B5976" s="26" t="s">
        <v>1825</v>
      </c>
      <c r="C5976" s="28" t="s">
        <v>65</v>
      </c>
      <c r="D5976" s="329">
        <v>1.67</v>
      </c>
    </row>
    <row r="5977" spans="1:4">
      <c r="A5977" s="47">
        <v>298</v>
      </c>
      <c r="B5977" s="48" t="s">
        <v>1826</v>
      </c>
      <c r="C5977" s="47" t="s">
        <v>65</v>
      </c>
      <c r="D5977" s="332">
        <v>1.68</v>
      </c>
    </row>
    <row r="5978" spans="1:4">
      <c r="A5978" s="28">
        <v>295</v>
      </c>
      <c r="B5978" s="26" t="s">
        <v>1827</v>
      </c>
      <c r="C5978" s="28" t="s">
        <v>65</v>
      </c>
      <c r="D5978" s="329">
        <v>1</v>
      </c>
    </row>
    <row r="5979" spans="1:4">
      <c r="A5979" s="47">
        <v>296</v>
      </c>
      <c r="B5979" s="48" t="s">
        <v>1828</v>
      </c>
      <c r="C5979" s="47" t="s">
        <v>65</v>
      </c>
      <c r="D5979" s="332">
        <v>1.04</v>
      </c>
    </row>
    <row r="5980" spans="1:4">
      <c r="A5980" s="28">
        <v>297</v>
      </c>
      <c r="B5980" s="26" t="s">
        <v>1829</v>
      </c>
      <c r="C5980" s="28" t="s">
        <v>65</v>
      </c>
      <c r="D5980" s="329">
        <v>1.46</v>
      </c>
    </row>
    <row r="5981" spans="1:4">
      <c r="A5981" s="47">
        <v>301</v>
      </c>
      <c r="B5981" s="48" t="s">
        <v>1830</v>
      </c>
      <c r="C5981" s="47" t="s">
        <v>65</v>
      </c>
      <c r="D5981" s="332">
        <v>1.84</v>
      </c>
    </row>
    <row r="5982" spans="1:4">
      <c r="A5982" s="28">
        <v>300</v>
      </c>
      <c r="B5982" s="26" t="s">
        <v>1831</v>
      </c>
      <c r="C5982" s="28" t="s">
        <v>65</v>
      </c>
      <c r="D5982" s="329">
        <v>7.73</v>
      </c>
    </row>
    <row r="5983" spans="1:4">
      <c r="A5983" s="47">
        <v>20084</v>
      </c>
      <c r="B5983" s="48" t="s">
        <v>1832</v>
      </c>
      <c r="C5983" s="47" t="s">
        <v>65</v>
      </c>
      <c r="D5983" s="332">
        <v>1</v>
      </c>
    </row>
    <row r="5984" spans="1:4">
      <c r="A5984" s="28">
        <v>20085</v>
      </c>
      <c r="B5984" s="26" t="s">
        <v>1833</v>
      </c>
      <c r="C5984" s="28" t="s">
        <v>65</v>
      </c>
      <c r="D5984" s="329">
        <v>0.92</v>
      </c>
    </row>
    <row r="5985" spans="1:4">
      <c r="A5985" s="47">
        <v>311</v>
      </c>
      <c r="B5985" s="48" t="s">
        <v>1834</v>
      </c>
      <c r="C5985" s="47" t="s">
        <v>65</v>
      </c>
      <c r="D5985" s="332">
        <v>5.98</v>
      </c>
    </row>
    <row r="5986" spans="1:4">
      <c r="A5986" s="28">
        <v>318</v>
      </c>
      <c r="B5986" s="26" t="s">
        <v>1835</v>
      </c>
      <c r="C5986" s="28" t="s">
        <v>65</v>
      </c>
      <c r="D5986" s="329">
        <v>10.48</v>
      </c>
    </row>
    <row r="5987" spans="1:4">
      <c r="A5987" s="47">
        <v>319</v>
      </c>
      <c r="B5987" s="48" t="s">
        <v>1836</v>
      </c>
      <c r="C5987" s="47" t="s">
        <v>65</v>
      </c>
      <c r="D5987" s="332">
        <v>19.79</v>
      </c>
    </row>
    <row r="5988" spans="1:4">
      <c r="A5988" s="28">
        <v>320</v>
      </c>
      <c r="B5988" s="26" t="s">
        <v>1837</v>
      </c>
      <c r="C5988" s="28" t="s">
        <v>65</v>
      </c>
      <c r="D5988" s="329">
        <v>62.92</v>
      </c>
    </row>
    <row r="5989" spans="1:4">
      <c r="A5989" s="47">
        <v>314</v>
      </c>
      <c r="B5989" s="48" t="s">
        <v>1838</v>
      </c>
      <c r="C5989" s="47" t="s">
        <v>65</v>
      </c>
      <c r="D5989" s="332">
        <v>96.64</v>
      </c>
    </row>
    <row r="5990" spans="1:4">
      <c r="A5990" s="28">
        <v>303</v>
      </c>
      <c r="B5990" s="26" t="s">
        <v>1839</v>
      </c>
      <c r="C5990" s="28" t="s">
        <v>65</v>
      </c>
      <c r="D5990" s="329">
        <v>2.5</v>
      </c>
    </row>
    <row r="5991" spans="1:4">
      <c r="A5991" s="47">
        <v>304</v>
      </c>
      <c r="B5991" s="48" t="s">
        <v>1840</v>
      </c>
      <c r="C5991" s="47" t="s">
        <v>65</v>
      </c>
      <c r="D5991" s="332">
        <v>3.82</v>
      </c>
    </row>
    <row r="5992" spans="1:4">
      <c r="A5992" s="28">
        <v>305</v>
      </c>
      <c r="B5992" s="26" t="s">
        <v>1841</v>
      </c>
      <c r="C5992" s="28" t="s">
        <v>65</v>
      </c>
      <c r="D5992" s="329">
        <v>6.54</v>
      </c>
    </row>
    <row r="5993" spans="1:4">
      <c r="A5993" s="47">
        <v>306</v>
      </c>
      <c r="B5993" s="48" t="s">
        <v>1842</v>
      </c>
      <c r="C5993" s="47" t="s">
        <v>65</v>
      </c>
      <c r="D5993" s="332">
        <v>7.86</v>
      </c>
    </row>
    <row r="5994" spans="1:4">
      <c r="A5994" s="28">
        <v>307</v>
      </c>
      <c r="B5994" s="26" t="s">
        <v>1843</v>
      </c>
      <c r="C5994" s="28" t="s">
        <v>65</v>
      </c>
      <c r="D5994" s="329">
        <v>15.51</v>
      </c>
    </row>
    <row r="5995" spans="1:4">
      <c r="A5995" s="47">
        <v>309</v>
      </c>
      <c r="B5995" s="48" t="s">
        <v>1844</v>
      </c>
      <c r="C5995" s="47" t="s">
        <v>65</v>
      </c>
      <c r="D5995" s="332">
        <v>31.8</v>
      </c>
    </row>
    <row r="5996" spans="1:4">
      <c r="A5996" s="28">
        <v>310</v>
      </c>
      <c r="B5996" s="26" t="s">
        <v>1845</v>
      </c>
      <c r="C5996" s="28" t="s">
        <v>65</v>
      </c>
      <c r="D5996" s="329">
        <v>40.33</v>
      </c>
    </row>
    <row r="5997" spans="1:4">
      <c r="A5997" s="47">
        <v>328</v>
      </c>
      <c r="B5997" s="48" t="s">
        <v>1847</v>
      </c>
      <c r="C5997" s="47" t="s">
        <v>65</v>
      </c>
      <c r="D5997" s="332">
        <v>4.8099999999999996</v>
      </c>
    </row>
    <row r="5998" spans="1:4">
      <c r="A5998" s="28">
        <v>325</v>
      </c>
      <c r="B5998" s="26" t="s">
        <v>1848</v>
      </c>
      <c r="C5998" s="28" t="s">
        <v>65</v>
      </c>
      <c r="D5998" s="329">
        <v>1.86</v>
      </c>
    </row>
    <row r="5999" spans="1:4">
      <c r="A5999" s="47">
        <v>20326</v>
      </c>
      <c r="B5999" s="48" t="s">
        <v>1849</v>
      </c>
      <c r="C5999" s="47" t="s">
        <v>65</v>
      </c>
      <c r="D5999" s="332">
        <v>4.99</v>
      </c>
    </row>
    <row r="6000" spans="1:4">
      <c r="A6000" s="28">
        <v>329</v>
      </c>
      <c r="B6000" s="26" t="s">
        <v>1850</v>
      </c>
      <c r="C6000" s="28" t="s">
        <v>65</v>
      </c>
      <c r="D6000" s="329">
        <v>6.15</v>
      </c>
    </row>
    <row r="6001" spans="1:4">
      <c r="A6001" s="47">
        <v>308</v>
      </c>
      <c r="B6001" s="48" t="s">
        <v>1846</v>
      </c>
      <c r="C6001" s="47" t="s">
        <v>65</v>
      </c>
      <c r="D6001" s="332">
        <v>20.72</v>
      </c>
    </row>
    <row r="6002" spans="1:4">
      <c r="A6002" s="28">
        <v>39642</v>
      </c>
      <c r="B6002" s="26" t="s">
        <v>1851</v>
      </c>
      <c r="C6002" s="28" t="s">
        <v>65</v>
      </c>
      <c r="D6002" s="329">
        <v>1.25</v>
      </c>
    </row>
    <row r="6003" spans="1:4">
      <c r="A6003" s="47">
        <v>39641</v>
      </c>
      <c r="B6003" s="48" t="s">
        <v>1852</v>
      </c>
      <c r="C6003" s="47" t="s">
        <v>65</v>
      </c>
      <c r="D6003" s="332">
        <v>0.87</v>
      </c>
    </row>
    <row r="6004" spans="1:4">
      <c r="A6004" s="28">
        <v>39643</v>
      </c>
      <c r="B6004" s="26" t="s">
        <v>1853</v>
      </c>
      <c r="C6004" s="28" t="s">
        <v>65</v>
      </c>
      <c r="D6004" s="329">
        <v>3.49</v>
      </c>
    </row>
    <row r="6005" spans="1:4">
      <c r="A6005" s="47">
        <v>39644</v>
      </c>
      <c r="B6005" s="48" t="s">
        <v>1854</v>
      </c>
      <c r="C6005" s="47" t="s">
        <v>65</v>
      </c>
      <c r="D6005" s="332">
        <v>4.51</v>
      </c>
    </row>
    <row r="6006" spans="1:4">
      <c r="A6006" s="28">
        <v>39645</v>
      </c>
      <c r="B6006" s="26" t="s">
        <v>1855</v>
      </c>
      <c r="C6006" s="28" t="s">
        <v>65</v>
      </c>
      <c r="D6006" s="329">
        <v>5.83</v>
      </c>
    </row>
    <row r="6007" spans="1:4">
      <c r="A6007" s="47">
        <v>12548</v>
      </c>
      <c r="B6007" s="48" t="s">
        <v>1856</v>
      </c>
      <c r="C6007" s="47" t="s">
        <v>65</v>
      </c>
      <c r="D6007" s="332">
        <v>69.44</v>
      </c>
    </row>
    <row r="6008" spans="1:4">
      <c r="A6008" s="28">
        <v>13113</v>
      </c>
      <c r="B6008" s="26" t="s">
        <v>1857</v>
      </c>
      <c r="C6008" s="28" t="s">
        <v>65</v>
      </c>
      <c r="D6008" s="329">
        <v>28.46</v>
      </c>
    </row>
    <row r="6009" spans="1:4">
      <c r="A6009" s="47">
        <v>13114</v>
      </c>
      <c r="B6009" s="48" t="s">
        <v>1858</v>
      </c>
      <c r="C6009" s="47" t="s">
        <v>65</v>
      </c>
      <c r="D6009" s="332">
        <v>34.65</v>
      </c>
    </row>
    <row r="6010" spans="1:4">
      <c r="A6010" s="28">
        <v>12530</v>
      </c>
      <c r="B6010" s="26" t="s">
        <v>1859</v>
      </c>
      <c r="C6010" s="28" t="s">
        <v>65</v>
      </c>
      <c r="D6010" s="329">
        <v>42.22</v>
      </c>
    </row>
    <row r="6011" spans="1:4">
      <c r="A6011" s="47">
        <v>12531</v>
      </c>
      <c r="B6011" s="48" t="s">
        <v>1860</v>
      </c>
      <c r="C6011" s="47" t="s">
        <v>65</v>
      </c>
      <c r="D6011" s="332">
        <v>47.22</v>
      </c>
    </row>
    <row r="6012" spans="1:4">
      <c r="A6012" s="28">
        <v>12532</v>
      </c>
      <c r="B6012" s="26" t="s">
        <v>1861</v>
      </c>
      <c r="C6012" s="28" t="s">
        <v>65</v>
      </c>
      <c r="D6012" s="329">
        <v>57.75</v>
      </c>
    </row>
    <row r="6013" spans="1:4">
      <c r="A6013" s="47">
        <v>12533</v>
      </c>
      <c r="B6013" s="48" t="s">
        <v>1862</v>
      </c>
      <c r="C6013" s="47" t="s">
        <v>65</v>
      </c>
      <c r="D6013" s="332">
        <v>68.89</v>
      </c>
    </row>
    <row r="6014" spans="1:4">
      <c r="A6014" s="28">
        <v>12544</v>
      </c>
      <c r="B6014" s="26" t="s">
        <v>1863</v>
      </c>
      <c r="C6014" s="28" t="s">
        <v>65</v>
      </c>
      <c r="D6014" s="329">
        <v>84.15</v>
      </c>
    </row>
    <row r="6015" spans="1:4">
      <c r="A6015" s="47">
        <v>12546</v>
      </c>
      <c r="B6015" s="48" t="s">
        <v>1864</v>
      </c>
      <c r="C6015" s="47" t="s">
        <v>65</v>
      </c>
      <c r="D6015" s="332">
        <v>97.81</v>
      </c>
    </row>
    <row r="6016" spans="1:4">
      <c r="A6016" s="28">
        <v>12547</v>
      </c>
      <c r="B6016" s="26" t="s">
        <v>1865</v>
      </c>
      <c r="C6016" s="28" t="s">
        <v>65</v>
      </c>
      <c r="D6016" s="329">
        <v>110.85</v>
      </c>
    </row>
    <row r="6017" spans="1:4">
      <c r="A6017" s="47">
        <v>12551</v>
      </c>
      <c r="B6017" s="48" t="s">
        <v>1866</v>
      </c>
      <c r="C6017" s="47" t="s">
        <v>65</v>
      </c>
      <c r="D6017" s="332">
        <v>93.58</v>
      </c>
    </row>
    <row r="6018" spans="1:4">
      <c r="A6018" s="28">
        <v>12563</v>
      </c>
      <c r="B6018" s="26" t="s">
        <v>1867</v>
      </c>
      <c r="C6018" s="28" t="s">
        <v>65</v>
      </c>
      <c r="D6018" s="329">
        <v>173.25</v>
      </c>
    </row>
    <row r="6019" spans="1:4" ht="29.25" customHeight="1">
      <c r="A6019" s="47">
        <v>12565</v>
      </c>
      <c r="B6019" s="48" t="s">
        <v>1868</v>
      </c>
      <c r="C6019" s="47" t="s">
        <v>65</v>
      </c>
      <c r="D6019" s="332">
        <v>272.64</v>
      </c>
    </row>
    <row r="6020" spans="1:4">
      <c r="A6020" s="28">
        <v>12567</v>
      </c>
      <c r="B6020" s="26" t="s">
        <v>1869</v>
      </c>
      <c r="C6020" s="28" t="s">
        <v>65</v>
      </c>
      <c r="D6020" s="329">
        <v>354.76</v>
      </c>
    </row>
    <row r="6021" spans="1:4">
      <c r="A6021" s="47">
        <v>12568</v>
      </c>
      <c r="B6021" s="48" t="s">
        <v>1870</v>
      </c>
      <c r="C6021" s="47" t="s">
        <v>65</v>
      </c>
      <c r="D6021" s="332">
        <v>585.78</v>
      </c>
    </row>
    <row r="6022" spans="1:4">
      <c r="A6022" s="28">
        <v>11789</v>
      </c>
      <c r="B6022" s="26" t="s">
        <v>1871</v>
      </c>
      <c r="C6022" s="28" t="s">
        <v>65</v>
      </c>
      <c r="D6022" s="329">
        <v>0.46</v>
      </c>
    </row>
    <row r="6023" spans="1:4" ht="29.25" customHeight="1">
      <c r="A6023" s="47">
        <v>20975</v>
      </c>
      <c r="B6023" s="48" t="s">
        <v>1872</v>
      </c>
      <c r="C6023" s="47" t="s">
        <v>65</v>
      </c>
      <c r="D6023" s="332">
        <v>8.99</v>
      </c>
    </row>
    <row r="6024" spans="1:4" ht="30">
      <c r="A6024" s="28">
        <v>20976</v>
      </c>
      <c r="B6024" s="26" t="s">
        <v>1873</v>
      </c>
      <c r="C6024" s="28" t="s">
        <v>65</v>
      </c>
      <c r="D6024" s="329">
        <v>13.58</v>
      </c>
    </row>
    <row r="6025" spans="1:4">
      <c r="A6025" s="47">
        <v>40340</v>
      </c>
      <c r="B6025" s="48" t="s">
        <v>1874</v>
      </c>
      <c r="C6025" s="47" t="s">
        <v>65</v>
      </c>
      <c r="D6025" s="332">
        <v>48.72</v>
      </c>
    </row>
    <row r="6026" spans="1:4">
      <c r="A6026" s="28">
        <v>40341</v>
      </c>
      <c r="B6026" s="26" t="s">
        <v>1875</v>
      </c>
      <c r="C6026" s="28" t="s">
        <v>65</v>
      </c>
      <c r="D6026" s="329">
        <v>57.69</v>
      </c>
    </row>
    <row r="6027" spans="1:4">
      <c r="A6027" s="47">
        <v>40342</v>
      </c>
      <c r="B6027" s="48" t="s">
        <v>1876</v>
      </c>
      <c r="C6027" s="47" t="s">
        <v>65</v>
      </c>
      <c r="D6027" s="332">
        <v>73.14</v>
      </c>
    </row>
    <row r="6028" spans="1:4">
      <c r="A6028" s="28">
        <v>40343</v>
      </c>
      <c r="B6028" s="26" t="s">
        <v>1877</v>
      </c>
      <c r="C6028" s="28" t="s">
        <v>65</v>
      </c>
      <c r="D6028" s="329">
        <v>89.73</v>
      </c>
    </row>
    <row r="6029" spans="1:4">
      <c r="A6029" s="47">
        <v>40344</v>
      </c>
      <c r="B6029" s="48" t="s">
        <v>1878</v>
      </c>
      <c r="C6029" s="47" t="s">
        <v>65</v>
      </c>
      <c r="D6029" s="332">
        <v>94.88</v>
      </c>
    </row>
    <row r="6030" spans="1:4">
      <c r="A6030" s="28">
        <v>40345</v>
      </c>
      <c r="B6030" s="26" t="s">
        <v>11146</v>
      </c>
      <c r="C6030" s="28" t="s">
        <v>65</v>
      </c>
      <c r="D6030" s="329">
        <v>118.46</v>
      </c>
    </row>
    <row r="6031" spans="1:4">
      <c r="A6031" s="47">
        <v>40346</v>
      </c>
      <c r="B6031" s="48" t="s">
        <v>11147</v>
      </c>
      <c r="C6031" s="47" t="s">
        <v>65</v>
      </c>
      <c r="D6031" s="332">
        <v>111.44</v>
      </c>
    </row>
    <row r="6032" spans="1:4">
      <c r="A6032" s="28">
        <v>40347</v>
      </c>
      <c r="B6032" s="26" t="s">
        <v>1879</v>
      </c>
      <c r="C6032" s="28" t="s">
        <v>65</v>
      </c>
      <c r="D6032" s="329">
        <v>137.79</v>
      </c>
    </row>
    <row r="6033" spans="1:4" ht="30">
      <c r="A6033" s="47">
        <v>13761</v>
      </c>
      <c r="B6033" s="48" t="s">
        <v>1881</v>
      </c>
      <c r="C6033" s="47" t="s">
        <v>65</v>
      </c>
      <c r="D6033" s="332">
        <v>2490</v>
      </c>
    </row>
    <row r="6034" spans="1:4" ht="45">
      <c r="A6034" s="28">
        <v>12888</v>
      </c>
      <c r="B6034" s="26" t="s">
        <v>1882</v>
      </c>
      <c r="C6034" s="28" t="s">
        <v>1880</v>
      </c>
      <c r="D6034" s="329">
        <v>78.17</v>
      </c>
    </row>
    <row r="6035" spans="1:4" ht="30">
      <c r="A6035" s="47">
        <v>12889</v>
      </c>
      <c r="B6035" s="48" t="s">
        <v>1883</v>
      </c>
      <c r="C6035" s="47" t="s">
        <v>1880</v>
      </c>
      <c r="D6035" s="332">
        <v>51.05</v>
      </c>
    </row>
    <row r="6036" spans="1:4" ht="30">
      <c r="A6036" s="28">
        <v>4814</v>
      </c>
      <c r="B6036" s="26" t="s">
        <v>1893</v>
      </c>
      <c r="C6036" s="28" t="s">
        <v>65</v>
      </c>
      <c r="D6036" s="329">
        <v>332.81</v>
      </c>
    </row>
    <row r="6037" spans="1:4">
      <c r="A6037" s="47">
        <v>25967</v>
      </c>
      <c r="B6037" s="48" t="s">
        <v>1945</v>
      </c>
      <c r="C6037" s="47" t="s">
        <v>65</v>
      </c>
      <c r="D6037" s="332">
        <v>993.45</v>
      </c>
    </row>
    <row r="6038" spans="1:4">
      <c r="A6038" s="28">
        <v>6122</v>
      </c>
      <c r="B6038" s="26" t="s">
        <v>106</v>
      </c>
      <c r="C6038" s="28" t="s">
        <v>57</v>
      </c>
      <c r="D6038" s="329">
        <v>18.39</v>
      </c>
    </row>
    <row r="6039" spans="1:4">
      <c r="A6039" s="47">
        <v>40810</v>
      </c>
      <c r="B6039" s="48" t="s">
        <v>107</v>
      </c>
      <c r="C6039" s="47" t="s">
        <v>1643</v>
      </c>
      <c r="D6039" s="332">
        <v>3239.83</v>
      </c>
    </row>
    <row r="6040" spans="1:4" ht="30">
      <c r="A6040" s="28">
        <v>40271</v>
      </c>
      <c r="B6040" s="26" t="s">
        <v>1946</v>
      </c>
      <c r="C6040" s="28" t="s">
        <v>1643</v>
      </c>
      <c r="D6040" s="329">
        <v>6.5</v>
      </c>
    </row>
    <row r="6041" spans="1:4">
      <c r="A6041" s="47">
        <v>21100</v>
      </c>
      <c r="B6041" s="48" t="s">
        <v>1947</v>
      </c>
      <c r="C6041" s="47" t="s">
        <v>65</v>
      </c>
      <c r="D6041" s="332">
        <v>2322.81</v>
      </c>
    </row>
    <row r="6042" spans="1:4" ht="30">
      <c r="A6042" s="28">
        <v>11816</v>
      </c>
      <c r="B6042" s="26" t="s">
        <v>1948</v>
      </c>
      <c r="C6042" s="28" t="s">
        <v>65</v>
      </c>
      <c r="D6042" s="329">
        <v>2476.8000000000002</v>
      </c>
    </row>
    <row r="6043" spans="1:4" ht="30">
      <c r="A6043" s="47">
        <v>11814</v>
      </c>
      <c r="B6043" s="48" t="s">
        <v>1949</v>
      </c>
      <c r="C6043" s="47" t="s">
        <v>65</v>
      </c>
      <c r="D6043" s="332">
        <v>5391.37</v>
      </c>
    </row>
    <row r="6044" spans="1:4" ht="45">
      <c r="A6044" s="28">
        <v>14186</v>
      </c>
      <c r="B6044" s="26" t="s">
        <v>1950</v>
      </c>
      <c r="C6044" s="28" t="s">
        <v>65</v>
      </c>
      <c r="D6044" s="329">
        <v>6769.59</v>
      </c>
    </row>
    <row r="6045" spans="1:4" ht="30">
      <c r="A6045" s="47">
        <v>14185</v>
      </c>
      <c r="B6045" s="48" t="s">
        <v>1951</v>
      </c>
      <c r="C6045" s="47" t="s">
        <v>65</v>
      </c>
      <c r="D6045" s="332">
        <v>8769.26</v>
      </c>
    </row>
    <row r="6046" spans="1:4" ht="30">
      <c r="A6046" s="28">
        <v>11811</v>
      </c>
      <c r="B6046" s="26" t="s">
        <v>1952</v>
      </c>
      <c r="C6046" s="28" t="s">
        <v>65</v>
      </c>
      <c r="D6046" s="329">
        <v>3353.03</v>
      </c>
    </row>
    <row r="6047" spans="1:4">
      <c r="A6047" s="47">
        <v>26038</v>
      </c>
      <c r="B6047" s="48" t="s">
        <v>1953</v>
      </c>
      <c r="C6047" s="47" t="s">
        <v>65</v>
      </c>
      <c r="D6047" s="332">
        <v>178304.23</v>
      </c>
    </row>
    <row r="6048" spans="1:4" ht="30">
      <c r="A6048" s="28">
        <v>34482</v>
      </c>
      <c r="B6048" s="26" t="s">
        <v>1954</v>
      </c>
      <c r="C6048" s="28" t="s">
        <v>65</v>
      </c>
      <c r="D6048" s="329">
        <v>3480.59</v>
      </c>
    </row>
    <row r="6049" spans="1:4" ht="30">
      <c r="A6049" s="47">
        <v>34469</v>
      </c>
      <c r="B6049" s="48" t="s">
        <v>1955</v>
      </c>
      <c r="C6049" s="47" t="s">
        <v>65</v>
      </c>
      <c r="D6049" s="332">
        <v>5384.04</v>
      </c>
    </row>
    <row r="6050" spans="1:4" ht="30">
      <c r="A6050" s="28">
        <v>34472</v>
      </c>
      <c r="B6050" s="26" t="s">
        <v>1956</v>
      </c>
      <c r="C6050" s="28" t="s">
        <v>65</v>
      </c>
      <c r="D6050" s="329">
        <v>1656.5</v>
      </c>
    </row>
    <row r="6051" spans="1:4" ht="30">
      <c r="A6051" s="47">
        <v>34476</v>
      </c>
      <c r="B6051" s="48" t="s">
        <v>1957</v>
      </c>
      <c r="C6051" s="47" t="s">
        <v>65</v>
      </c>
      <c r="D6051" s="332">
        <v>2808</v>
      </c>
    </row>
    <row r="6052" spans="1:4" ht="30">
      <c r="A6052" s="28">
        <v>34477</v>
      </c>
      <c r="B6052" s="26" t="s">
        <v>1958</v>
      </c>
      <c r="C6052" s="28" t="s">
        <v>65</v>
      </c>
      <c r="D6052" s="329">
        <v>3726.76</v>
      </c>
    </row>
    <row r="6053" spans="1:4">
      <c r="A6053" s="47">
        <v>39847</v>
      </c>
      <c r="B6053" s="48" t="s">
        <v>11148</v>
      </c>
      <c r="C6053" s="47" t="s">
        <v>65</v>
      </c>
      <c r="D6053" s="332">
        <v>1416.18</v>
      </c>
    </row>
    <row r="6054" spans="1:4">
      <c r="A6054" s="28">
        <v>39844</v>
      </c>
      <c r="B6054" s="26" t="s">
        <v>11149</v>
      </c>
      <c r="C6054" s="28" t="s">
        <v>65</v>
      </c>
      <c r="D6054" s="329">
        <v>2090</v>
      </c>
    </row>
    <row r="6055" spans="1:4" ht="43.5" customHeight="1">
      <c r="A6055" s="47">
        <v>39845</v>
      </c>
      <c r="B6055" s="48" t="s">
        <v>11150</v>
      </c>
      <c r="C6055" s="47" t="s">
        <v>65</v>
      </c>
      <c r="D6055" s="332">
        <v>1209.6600000000001</v>
      </c>
    </row>
    <row r="6056" spans="1:4">
      <c r="A6056" s="28">
        <v>39846</v>
      </c>
      <c r="B6056" s="26" t="s">
        <v>11151</v>
      </c>
      <c r="C6056" s="28" t="s">
        <v>65</v>
      </c>
      <c r="D6056" s="329">
        <v>1276.94</v>
      </c>
    </row>
    <row r="6057" spans="1:4">
      <c r="A6057" s="47">
        <v>39838</v>
      </c>
      <c r="B6057" s="48" t="s">
        <v>11152</v>
      </c>
      <c r="C6057" s="47" t="s">
        <v>65</v>
      </c>
      <c r="D6057" s="332">
        <v>3539.26</v>
      </c>
    </row>
    <row r="6058" spans="1:4">
      <c r="A6058" s="28">
        <v>39839</v>
      </c>
      <c r="B6058" s="26" t="s">
        <v>11153</v>
      </c>
      <c r="C6058" s="28" t="s">
        <v>65</v>
      </c>
      <c r="D6058" s="329">
        <v>3697.73</v>
      </c>
    </row>
    <row r="6059" spans="1:4">
      <c r="A6059" s="47">
        <v>39840</v>
      </c>
      <c r="B6059" s="48" t="s">
        <v>11154</v>
      </c>
      <c r="C6059" s="47" t="s">
        <v>65</v>
      </c>
      <c r="D6059" s="332">
        <v>4712.2299999999996</v>
      </c>
    </row>
    <row r="6060" spans="1:4">
      <c r="A6060" s="28">
        <v>39841</v>
      </c>
      <c r="B6060" s="26" t="s">
        <v>11155</v>
      </c>
      <c r="C6060" s="28" t="s">
        <v>65</v>
      </c>
      <c r="D6060" s="329">
        <v>5010.6099999999997</v>
      </c>
    </row>
    <row r="6061" spans="1:4">
      <c r="A6061" s="47">
        <v>39842</v>
      </c>
      <c r="B6061" s="48" t="s">
        <v>11156</v>
      </c>
      <c r="C6061" s="47" t="s">
        <v>65</v>
      </c>
      <c r="D6061" s="332">
        <v>6365.35</v>
      </c>
    </row>
    <row r="6062" spans="1:4">
      <c r="A6062" s="28">
        <v>39843</v>
      </c>
      <c r="B6062" s="26" t="s">
        <v>11157</v>
      </c>
      <c r="C6062" s="28" t="s">
        <v>65</v>
      </c>
      <c r="D6062" s="329">
        <v>7026.63</v>
      </c>
    </row>
    <row r="6063" spans="1:4">
      <c r="A6063" s="47">
        <v>39580</v>
      </c>
      <c r="B6063" s="48" t="s">
        <v>11158</v>
      </c>
      <c r="C6063" s="47" t="s">
        <v>65</v>
      </c>
      <c r="D6063" s="332">
        <v>60755.85</v>
      </c>
    </row>
    <row r="6064" spans="1:4">
      <c r="A6064" s="28">
        <v>39577</v>
      </c>
      <c r="B6064" s="26" t="s">
        <v>11159</v>
      </c>
      <c r="C6064" s="28" t="s">
        <v>65</v>
      </c>
      <c r="D6064" s="329">
        <v>26148</v>
      </c>
    </row>
    <row r="6065" spans="1:4">
      <c r="A6065" s="47">
        <v>39578</v>
      </c>
      <c r="B6065" s="48" t="s">
        <v>11160</v>
      </c>
      <c r="C6065" s="47" t="s">
        <v>65</v>
      </c>
      <c r="D6065" s="332">
        <v>31615.56</v>
      </c>
    </row>
    <row r="6066" spans="1:4">
      <c r="A6066" s="28">
        <v>39579</v>
      </c>
      <c r="B6066" s="26" t="s">
        <v>11161</v>
      </c>
      <c r="C6066" s="28" t="s">
        <v>65</v>
      </c>
      <c r="D6066" s="329">
        <v>39300.15</v>
      </c>
    </row>
    <row r="6067" spans="1:4">
      <c r="A6067" s="47">
        <v>39557</v>
      </c>
      <c r="B6067" s="48" t="s">
        <v>11162</v>
      </c>
      <c r="C6067" s="47" t="s">
        <v>65</v>
      </c>
      <c r="D6067" s="332">
        <v>5643.2</v>
      </c>
    </row>
    <row r="6068" spans="1:4">
      <c r="A6068" s="28">
        <v>39558</v>
      </c>
      <c r="B6068" s="26" t="s">
        <v>11163</v>
      </c>
      <c r="C6068" s="28" t="s">
        <v>65</v>
      </c>
      <c r="D6068" s="329">
        <v>5679.85</v>
      </c>
    </row>
    <row r="6069" spans="1:4">
      <c r="A6069" s="47">
        <v>39559</v>
      </c>
      <c r="B6069" s="48" t="s">
        <v>11164</v>
      </c>
      <c r="C6069" s="47" t="s">
        <v>65</v>
      </c>
      <c r="D6069" s="332">
        <v>5894.16</v>
      </c>
    </row>
    <row r="6070" spans="1:4">
      <c r="A6070" s="28">
        <v>39560</v>
      </c>
      <c r="B6070" s="26" t="s">
        <v>11165</v>
      </c>
      <c r="C6070" s="28" t="s">
        <v>65</v>
      </c>
      <c r="D6070" s="329">
        <v>6778</v>
      </c>
    </row>
    <row r="6071" spans="1:4">
      <c r="A6071" s="47">
        <v>39561</v>
      </c>
      <c r="B6071" s="48" t="s">
        <v>11166</v>
      </c>
      <c r="C6071" s="47" t="s">
        <v>65</v>
      </c>
      <c r="D6071" s="332">
        <v>7871.73</v>
      </c>
    </row>
    <row r="6072" spans="1:4">
      <c r="A6072" s="28">
        <v>39556</v>
      </c>
      <c r="B6072" s="26" t="s">
        <v>11167</v>
      </c>
      <c r="C6072" s="28" t="s">
        <v>65</v>
      </c>
      <c r="D6072" s="329">
        <v>5198.33</v>
      </c>
    </row>
    <row r="6073" spans="1:4">
      <c r="A6073" s="47">
        <v>39555</v>
      </c>
      <c r="B6073" s="48" t="s">
        <v>11168</v>
      </c>
      <c r="C6073" s="47" t="s">
        <v>65</v>
      </c>
      <c r="D6073" s="332">
        <v>1629.96</v>
      </c>
    </row>
    <row r="6074" spans="1:4">
      <c r="A6074" s="28">
        <v>39548</v>
      </c>
      <c r="B6074" s="26" t="s">
        <v>11169</v>
      </c>
      <c r="C6074" s="28" t="s">
        <v>65</v>
      </c>
      <c r="D6074" s="329">
        <v>2357.65</v>
      </c>
    </row>
    <row r="6075" spans="1:4">
      <c r="A6075" s="47">
        <v>39554</v>
      </c>
      <c r="B6075" s="48" t="s">
        <v>11170</v>
      </c>
      <c r="C6075" s="47" t="s">
        <v>65</v>
      </c>
      <c r="D6075" s="332">
        <v>2926.41</v>
      </c>
    </row>
    <row r="6076" spans="1:4" ht="43.5" customHeight="1">
      <c r="A6076" s="28">
        <v>39550</v>
      </c>
      <c r="B6076" s="26" t="s">
        <v>11171</v>
      </c>
      <c r="C6076" s="28" t="s">
        <v>65</v>
      </c>
      <c r="D6076" s="329">
        <v>1141.24</v>
      </c>
    </row>
    <row r="6077" spans="1:4">
      <c r="A6077" s="47">
        <v>39551</v>
      </c>
      <c r="B6077" s="48" t="s">
        <v>11172</v>
      </c>
      <c r="C6077" s="47" t="s">
        <v>65</v>
      </c>
      <c r="D6077" s="332">
        <v>1429.12</v>
      </c>
    </row>
    <row r="6078" spans="1:4">
      <c r="A6078" s="28">
        <v>39826</v>
      </c>
      <c r="B6078" s="26" t="s">
        <v>11173</v>
      </c>
      <c r="C6078" s="28" t="s">
        <v>65</v>
      </c>
      <c r="D6078" s="329">
        <v>3867.38</v>
      </c>
    </row>
    <row r="6079" spans="1:4">
      <c r="A6079" s="47">
        <v>10700</v>
      </c>
      <c r="B6079" s="48" t="s">
        <v>1959</v>
      </c>
      <c r="C6079" s="47" t="s">
        <v>65</v>
      </c>
      <c r="D6079" s="332">
        <v>10379.540000000001</v>
      </c>
    </row>
    <row r="6080" spans="1:4">
      <c r="A6080" s="28">
        <v>346</v>
      </c>
      <c r="B6080" s="26" t="s">
        <v>1960</v>
      </c>
      <c r="C6080" s="28" t="s">
        <v>90</v>
      </c>
      <c r="D6080" s="329">
        <v>10.49</v>
      </c>
    </row>
    <row r="6081" spans="1:4">
      <c r="A6081" s="47">
        <v>3312</v>
      </c>
      <c r="B6081" s="48" t="s">
        <v>1961</v>
      </c>
      <c r="C6081" s="47" t="s">
        <v>90</v>
      </c>
      <c r="D6081" s="332">
        <v>12.93</v>
      </c>
    </row>
    <row r="6082" spans="1:4">
      <c r="A6082" s="28">
        <v>339</v>
      </c>
      <c r="B6082" s="26" t="s">
        <v>108</v>
      </c>
      <c r="C6082" s="28" t="s">
        <v>71</v>
      </c>
      <c r="D6082" s="329">
        <v>0.51</v>
      </c>
    </row>
    <row r="6083" spans="1:4">
      <c r="A6083" s="47">
        <v>34346</v>
      </c>
      <c r="B6083" s="48" t="s">
        <v>109</v>
      </c>
      <c r="C6083" s="47" t="s">
        <v>71</v>
      </c>
      <c r="D6083" s="332">
        <v>0.66</v>
      </c>
    </row>
    <row r="6084" spans="1:4">
      <c r="A6084" s="28">
        <v>338</v>
      </c>
      <c r="B6084" s="26" t="s">
        <v>1962</v>
      </c>
      <c r="C6084" s="28" t="s">
        <v>90</v>
      </c>
      <c r="D6084" s="329">
        <v>13.21</v>
      </c>
    </row>
    <row r="6085" spans="1:4">
      <c r="A6085" s="47">
        <v>340</v>
      </c>
      <c r="B6085" s="48" t="s">
        <v>1963</v>
      </c>
      <c r="C6085" s="47" t="s">
        <v>71</v>
      </c>
      <c r="D6085" s="332">
        <v>0.7</v>
      </c>
    </row>
    <row r="6086" spans="1:4">
      <c r="A6086" s="28">
        <v>334</v>
      </c>
      <c r="B6086" s="26" t="s">
        <v>1964</v>
      </c>
      <c r="C6086" s="28" t="s">
        <v>90</v>
      </c>
      <c r="D6086" s="329">
        <v>9.49</v>
      </c>
    </row>
    <row r="6087" spans="1:4">
      <c r="A6087" s="47">
        <v>335</v>
      </c>
      <c r="B6087" s="48" t="s">
        <v>1965</v>
      </c>
      <c r="C6087" s="47" t="s">
        <v>90</v>
      </c>
      <c r="D6087" s="332">
        <v>8.6999999999999993</v>
      </c>
    </row>
    <row r="6088" spans="1:4">
      <c r="A6088" s="28">
        <v>342</v>
      </c>
      <c r="B6088" s="26" t="s">
        <v>1966</v>
      </c>
      <c r="C6088" s="28" t="s">
        <v>90</v>
      </c>
      <c r="D6088" s="329">
        <v>9.83</v>
      </c>
    </row>
    <row r="6089" spans="1:4">
      <c r="A6089" s="47">
        <v>333</v>
      </c>
      <c r="B6089" s="48" t="s">
        <v>1968</v>
      </c>
      <c r="C6089" s="47" t="s">
        <v>90</v>
      </c>
      <c r="D6089" s="332">
        <v>10.06</v>
      </c>
    </row>
    <row r="6090" spans="1:4">
      <c r="A6090" s="28">
        <v>343</v>
      </c>
      <c r="B6090" s="26" t="s">
        <v>1967</v>
      </c>
      <c r="C6090" s="28" t="s">
        <v>71</v>
      </c>
      <c r="D6090" s="329">
        <v>0.27</v>
      </c>
    </row>
    <row r="6091" spans="1:4">
      <c r="A6091" s="47">
        <v>344</v>
      </c>
      <c r="B6091" s="48" t="s">
        <v>110</v>
      </c>
      <c r="C6091" s="47" t="s">
        <v>90</v>
      </c>
      <c r="D6091" s="332">
        <v>10.88</v>
      </c>
    </row>
    <row r="6092" spans="1:4">
      <c r="A6092" s="28">
        <v>345</v>
      </c>
      <c r="B6092" s="26" t="s">
        <v>111</v>
      </c>
      <c r="C6092" s="28" t="s">
        <v>90</v>
      </c>
      <c r="D6092" s="329">
        <v>13.3</v>
      </c>
    </row>
    <row r="6093" spans="1:4">
      <c r="A6093" s="47">
        <v>341</v>
      </c>
      <c r="B6093" s="48" t="s">
        <v>111</v>
      </c>
      <c r="C6093" s="47" t="s">
        <v>71</v>
      </c>
      <c r="D6093" s="332">
        <v>0.13</v>
      </c>
    </row>
    <row r="6094" spans="1:4">
      <c r="A6094" s="28">
        <v>11107</v>
      </c>
      <c r="B6094" s="26" t="s">
        <v>1969</v>
      </c>
      <c r="C6094" s="28" t="s">
        <v>90</v>
      </c>
      <c r="D6094" s="329">
        <v>8.64</v>
      </c>
    </row>
    <row r="6095" spans="1:4">
      <c r="A6095" s="47">
        <v>3313</v>
      </c>
      <c r="B6095" s="48" t="s">
        <v>1970</v>
      </c>
      <c r="C6095" s="47" t="s">
        <v>90</v>
      </c>
      <c r="D6095" s="332">
        <v>16.649999999999999</v>
      </c>
    </row>
    <row r="6096" spans="1:4">
      <c r="A6096" s="28">
        <v>34562</v>
      </c>
      <c r="B6096" s="26" t="s">
        <v>1971</v>
      </c>
      <c r="C6096" s="28" t="s">
        <v>90</v>
      </c>
      <c r="D6096" s="329">
        <v>9.2100000000000009</v>
      </c>
    </row>
    <row r="6097" spans="1:4">
      <c r="A6097" s="47">
        <v>337</v>
      </c>
      <c r="B6097" s="48" t="s">
        <v>1972</v>
      </c>
      <c r="C6097" s="47" t="s">
        <v>90</v>
      </c>
      <c r="D6097" s="332">
        <v>8.9</v>
      </c>
    </row>
    <row r="6098" spans="1:4">
      <c r="A6098" s="28">
        <v>369</v>
      </c>
      <c r="B6098" s="26" t="s">
        <v>112</v>
      </c>
      <c r="C6098" s="28" t="s">
        <v>255</v>
      </c>
      <c r="D6098" s="329">
        <v>64.7</v>
      </c>
    </row>
    <row r="6099" spans="1:4">
      <c r="A6099" s="47">
        <v>366</v>
      </c>
      <c r="B6099" s="48" t="s">
        <v>1975</v>
      </c>
      <c r="C6099" s="47" t="s">
        <v>255</v>
      </c>
      <c r="D6099" s="332">
        <v>67.5</v>
      </c>
    </row>
    <row r="6100" spans="1:4">
      <c r="A6100" s="28">
        <v>367</v>
      </c>
      <c r="B6100" s="26" t="s">
        <v>1976</v>
      </c>
      <c r="C6100" s="28" t="s">
        <v>255</v>
      </c>
      <c r="D6100" s="329">
        <v>72.5</v>
      </c>
    </row>
    <row r="6101" spans="1:4">
      <c r="A6101" s="47">
        <v>370</v>
      </c>
      <c r="B6101" s="48" t="s">
        <v>1977</v>
      </c>
      <c r="C6101" s="47" t="s">
        <v>255</v>
      </c>
      <c r="D6101" s="332">
        <v>72.5</v>
      </c>
    </row>
    <row r="6102" spans="1:4" ht="30">
      <c r="A6102" s="28">
        <v>368</v>
      </c>
      <c r="B6102" s="26" t="s">
        <v>1978</v>
      </c>
      <c r="C6102" s="28" t="s">
        <v>255</v>
      </c>
      <c r="D6102" s="329">
        <v>54.37</v>
      </c>
    </row>
    <row r="6103" spans="1:4" ht="30">
      <c r="A6103" s="47">
        <v>11075</v>
      </c>
      <c r="B6103" s="48" t="s">
        <v>1979</v>
      </c>
      <c r="C6103" s="47" t="s">
        <v>255</v>
      </c>
      <c r="D6103" s="332">
        <v>1187.18</v>
      </c>
    </row>
    <row r="6104" spans="1:4" ht="30">
      <c r="A6104" s="28">
        <v>11076</v>
      </c>
      <c r="B6104" s="26" t="s">
        <v>1980</v>
      </c>
      <c r="C6104" s="28" t="s">
        <v>255</v>
      </c>
      <c r="D6104" s="329">
        <v>90.62</v>
      </c>
    </row>
    <row r="6105" spans="1:4">
      <c r="A6105" s="47">
        <v>1381</v>
      </c>
      <c r="B6105" s="48" t="s">
        <v>1982</v>
      </c>
      <c r="C6105" s="47" t="s">
        <v>90</v>
      </c>
      <c r="D6105" s="332">
        <v>0.48</v>
      </c>
    </row>
    <row r="6106" spans="1:4">
      <c r="A6106" s="28">
        <v>34353</v>
      </c>
      <c r="B6106" s="26" t="s">
        <v>1983</v>
      </c>
      <c r="C6106" s="28" t="s">
        <v>90</v>
      </c>
      <c r="D6106" s="329">
        <v>0.97</v>
      </c>
    </row>
    <row r="6107" spans="1:4">
      <c r="A6107" s="47">
        <v>37595</v>
      </c>
      <c r="B6107" s="48" t="s">
        <v>113</v>
      </c>
      <c r="C6107" s="47" t="s">
        <v>90</v>
      </c>
      <c r="D6107" s="332">
        <v>1.48</v>
      </c>
    </row>
    <row r="6108" spans="1:4">
      <c r="A6108" s="28">
        <v>37596</v>
      </c>
      <c r="B6108" s="26" t="s">
        <v>114</v>
      </c>
      <c r="C6108" s="28" t="s">
        <v>90</v>
      </c>
      <c r="D6108" s="329">
        <v>2.19</v>
      </c>
    </row>
    <row r="6109" spans="1:4" ht="30">
      <c r="A6109" s="47">
        <v>371</v>
      </c>
      <c r="B6109" s="48" t="s">
        <v>115</v>
      </c>
      <c r="C6109" s="47" t="s">
        <v>90</v>
      </c>
      <c r="D6109" s="332">
        <v>0.44</v>
      </c>
    </row>
    <row r="6110" spans="1:4">
      <c r="A6110" s="28">
        <v>37553</v>
      </c>
      <c r="B6110" s="26" t="s">
        <v>116</v>
      </c>
      <c r="C6110" s="28" t="s">
        <v>90</v>
      </c>
      <c r="D6110" s="329">
        <v>1.64</v>
      </c>
    </row>
    <row r="6111" spans="1:4">
      <c r="A6111" s="47">
        <v>37552</v>
      </c>
      <c r="B6111" s="48" t="s">
        <v>117</v>
      </c>
      <c r="C6111" s="47" t="s">
        <v>90</v>
      </c>
      <c r="D6111" s="332">
        <v>2.1</v>
      </c>
    </row>
    <row r="6112" spans="1:4">
      <c r="A6112" s="28">
        <v>36880</v>
      </c>
      <c r="B6112" s="26" t="s">
        <v>118</v>
      </c>
      <c r="C6112" s="28" t="s">
        <v>90</v>
      </c>
      <c r="D6112" s="329">
        <v>1.48</v>
      </c>
    </row>
    <row r="6113" spans="1:4">
      <c r="A6113" s="47">
        <v>34355</v>
      </c>
      <c r="B6113" s="48" t="s">
        <v>119</v>
      </c>
      <c r="C6113" s="47" t="s">
        <v>90</v>
      </c>
      <c r="D6113" s="332">
        <v>1.35</v>
      </c>
    </row>
    <row r="6114" spans="1:4">
      <c r="A6114" s="28">
        <v>130</v>
      </c>
      <c r="B6114" s="26" t="s">
        <v>2003</v>
      </c>
      <c r="C6114" s="28" t="s">
        <v>90</v>
      </c>
      <c r="D6114" s="329">
        <v>3.92</v>
      </c>
    </row>
    <row r="6115" spans="1:4" ht="30">
      <c r="A6115" s="47">
        <v>135</v>
      </c>
      <c r="B6115" s="48" t="s">
        <v>2004</v>
      </c>
      <c r="C6115" s="47" t="s">
        <v>90</v>
      </c>
      <c r="D6115" s="332">
        <v>5.0599999999999996</v>
      </c>
    </row>
    <row r="6116" spans="1:4">
      <c r="A6116" s="28">
        <v>36886</v>
      </c>
      <c r="B6116" s="26" t="s">
        <v>120</v>
      </c>
      <c r="C6116" s="28" t="s">
        <v>90</v>
      </c>
      <c r="D6116" s="329">
        <v>0.47</v>
      </c>
    </row>
    <row r="6117" spans="1:4">
      <c r="A6117" s="47">
        <v>374</v>
      </c>
      <c r="B6117" s="48" t="s">
        <v>121</v>
      </c>
      <c r="C6117" s="47" t="s">
        <v>90</v>
      </c>
      <c r="D6117" s="332">
        <v>0.38</v>
      </c>
    </row>
    <row r="6118" spans="1:4" ht="30">
      <c r="A6118" s="28">
        <v>38546</v>
      </c>
      <c r="B6118" s="26" t="s">
        <v>2103</v>
      </c>
      <c r="C6118" s="28" t="s">
        <v>255</v>
      </c>
      <c r="D6118" s="329">
        <v>325.08</v>
      </c>
    </row>
    <row r="6119" spans="1:4">
      <c r="A6119" s="47">
        <v>34549</v>
      </c>
      <c r="B6119" s="48" t="s">
        <v>122</v>
      </c>
      <c r="C6119" s="47" t="s">
        <v>255</v>
      </c>
      <c r="D6119" s="332">
        <v>194.1</v>
      </c>
    </row>
    <row r="6120" spans="1:4">
      <c r="A6120" s="28">
        <v>6081</v>
      </c>
      <c r="B6120" s="26" t="s">
        <v>2104</v>
      </c>
      <c r="C6120" s="28" t="s">
        <v>255</v>
      </c>
      <c r="D6120" s="329">
        <v>27.49</v>
      </c>
    </row>
    <row r="6121" spans="1:4">
      <c r="A6121" s="47">
        <v>6077</v>
      </c>
      <c r="B6121" s="48" t="s">
        <v>2105</v>
      </c>
      <c r="C6121" s="47" t="s">
        <v>255</v>
      </c>
      <c r="D6121" s="332">
        <v>15.85</v>
      </c>
    </row>
    <row r="6122" spans="1:4">
      <c r="A6122" s="28">
        <v>6079</v>
      </c>
      <c r="B6122" s="26" t="s">
        <v>123</v>
      </c>
      <c r="C6122" s="28" t="s">
        <v>255</v>
      </c>
      <c r="D6122" s="329">
        <v>9.0500000000000007</v>
      </c>
    </row>
    <row r="6123" spans="1:4" ht="30">
      <c r="A6123" s="47">
        <v>1091</v>
      </c>
      <c r="B6123" s="48" t="s">
        <v>2165</v>
      </c>
      <c r="C6123" s="47" t="s">
        <v>65</v>
      </c>
      <c r="D6123" s="332">
        <v>13.99</v>
      </c>
    </row>
    <row r="6124" spans="1:4" ht="30">
      <c r="A6124" s="28">
        <v>1094</v>
      </c>
      <c r="B6124" s="26" t="s">
        <v>2166</v>
      </c>
      <c r="C6124" s="28" t="s">
        <v>65</v>
      </c>
      <c r="D6124" s="329">
        <v>9.7899999999999991</v>
      </c>
    </row>
    <row r="6125" spans="1:4" ht="30">
      <c r="A6125" s="47">
        <v>1095</v>
      </c>
      <c r="B6125" s="48" t="s">
        <v>2167</v>
      </c>
      <c r="C6125" s="47" t="s">
        <v>65</v>
      </c>
      <c r="D6125" s="332">
        <v>20.8</v>
      </c>
    </row>
    <row r="6126" spans="1:4" ht="30">
      <c r="A6126" s="28">
        <v>1092</v>
      </c>
      <c r="B6126" s="26" t="s">
        <v>2168</v>
      </c>
      <c r="C6126" s="28" t="s">
        <v>65</v>
      </c>
      <c r="D6126" s="329">
        <v>16.100000000000001</v>
      </c>
    </row>
    <row r="6127" spans="1:4" ht="30">
      <c r="A6127" s="47">
        <v>1093</v>
      </c>
      <c r="B6127" s="48" t="s">
        <v>2169</v>
      </c>
      <c r="C6127" s="47" t="s">
        <v>65</v>
      </c>
      <c r="D6127" s="332">
        <v>37.6</v>
      </c>
    </row>
    <row r="6128" spans="1:4" ht="30">
      <c r="A6128" s="28">
        <v>1090</v>
      </c>
      <c r="B6128" s="26" t="s">
        <v>2170</v>
      </c>
      <c r="C6128" s="28" t="s">
        <v>65</v>
      </c>
      <c r="D6128" s="329">
        <v>26.92</v>
      </c>
    </row>
    <row r="6129" spans="1:4" ht="30">
      <c r="A6129" s="47">
        <v>1096</v>
      </c>
      <c r="B6129" s="48" t="s">
        <v>2171</v>
      </c>
      <c r="C6129" s="47" t="s">
        <v>65</v>
      </c>
      <c r="D6129" s="332">
        <v>48.44</v>
      </c>
    </row>
    <row r="6130" spans="1:4" ht="30">
      <c r="A6130" s="28">
        <v>1097</v>
      </c>
      <c r="B6130" s="26" t="s">
        <v>2172</v>
      </c>
      <c r="C6130" s="28" t="s">
        <v>65</v>
      </c>
      <c r="D6130" s="329">
        <v>41.12</v>
      </c>
    </row>
    <row r="6131" spans="1:4">
      <c r="A6131" s="47">
        <v>378</v>
      </c>
      <c r="B6131" s="48" t="s">
        <v>124</v>
      </c>
      <c r="C6131" s="47" t="s">
        <v>57</v>
      </c>
      <c r="D6131" s="332">
        <v>12.75</v>
      </c>
    </row>
    <row r="6132" spans="1:4">
      <c r="A6132" s="28">
        <v>40911</v>
      </c>
      <c r="B6132" s="26" t="s">
        <v>2175</v>
      </c>
      <c r="C6132" s="28" t="s">
        <v>1643</v>
      </c>
      <c r="D6132" s="329">
        <v>2245.17</v>
      </c>
    </row>
    <row r="6133" spans="1:4">
      <c r="A6133" s="47">
        <v>33939</v>
      </c>
      <c r="B6133" s="48" t="s">
        <v>2178</v>
      </c>
      <c r="C6133" s="47" t="s">
        <v>57</v>
      </c>
      <c r="D6133" s="332">
        <v>60.69</v>
      </c>
    </row>
    <row r="6134" spans="1:4">
      <c r="A6134" s="28">
        <v>40815</v>
      </c>
      <c r="B6134" s="26" t="s">
        <v>2179</v>
      </c>
      <c r="C6134" s="28" t="s">
        <v>1643</v>
      </c>
      <c r="D6134" s="329">
        <v>10688.57</v>
      </c>
    </row>
    <row r="6135" spans="1:4">
      <c r="A6135" s="47">
        <v>34760</v>
      </c>
      <c r="B6135" s="48" t="s">
        <v>125</v>
      </c>
      <c r="C6135" s="47" t="s">
        <v>57</v>
      </c>
      <c r="D6135" s="332">
        <v>60.69</v>
      </c>
    </row>
    <row r="6136" spans="1:4">
      <c r="A6136" s="28">
        <v>40935</v>
      </c>
      <c r="B6136" s="26" t="s">
        <v>2181</v>
      </c>
      <c r="C6136" s="28" t="s">
        <v>1643</v>
      </c>
      <c r="D6136" s="329">
        <v>10688.57</v>
      </c>
    </row>
    <row r="6137" spans="1:4">
      <c r="A6137" s="47">
        <v>33952</v>
      </c>
      <c r="B6137" s="48" t="s">
        <v>126</v>
      </c>
      <c r="C6137" s="47" t="s">
        <v>57</v>
      </c>
      <c r="D6137" s="332">
        <v>69.66</v>
      </c>
    </row>
    <row r="6138" spans="1:4">
      <c r="A6138" s="28">
        <v>40816</v>
      </c>
      <c r="B6138" s="26" t="s">
        <v>127</v>
      </c>
      <c r="C6138" s="28" t="s">
        <v>1643</v>
      </c>
      <c r="D6138" s="329">
        <v>12265.42</v>
      </c>
    </row>
    <row r="6139" spans="1:4">
      <c r="A6139" s="47">
        <v>33953</v>
      </c>
      <c r="B6139" s="48" t="s">
        <v>2183</v>
      </c>
      <c r="C6139" s="47" t="s">
        <v>57</v>
      </c>
      <c r="D6139" s="332">
        <v>82.53</v>
      </c>
    </row>
    <row r="6140" spans="1:4">
      <c r="A6140" s="28">
        <v>40817</v>
      </c>
      <c r="B6140" s="26" t="s">
        <v>2184</v>
      </c>
      <c r="C6140" s="28" t="s">
        <v>1643</v>
      </c>
      <c r="D6140" s="329">
        <v>14531.43</v>
      </c>
    </row>
    <row r="6141" spans="1:4" ht="30">
      <c r="A6141" s="47">
        <v>13348</v>
      </c>
      <c r="B6141" s="48" t="s">
        <v>2186</v>
      </c>
      <c r="C6141" s="47" t="s">
        <v>65</v>
      </c>
      <c r="D6141" s="332">
        <v>0.57999999999999996</v>
      </c>
    </row>
    <row r="6142" spans="1:4">
      <c r="A6142" s="28">
        <v>39211</v>
      </c>
      <c r="B6142" s="26" t="s">
        <v>2187</v>
      </c>
      <c r="C6142" s="28" t="s">
        <v>65</v>
      </c>
      <c r="D6142" s="329">
        <v>0.77</v>
      </c>
    </row>
    <row r="6143" spans="1:4">
      <c r="A6143" s="47">
        <v>39212</v>
      </c>
      <c r="B6143" s="48" t="s">
        <v>2188</v>
      </c>
      <c r="C6143" s="47" t="s">
        <v>65</v>
      </c>
      <c r="D6143" s="332">
        <v>0.86</v>
      </c>
    </row>
    <row r="6144" spans="1:4">
      <c r="A6144" s="28">
        <v>39208</v>
      </c>
      <c r="B6144" s="26" t="s">
        <v>2190</v>
      </c>
      <c r="C6144" s="28" t="s">
        <v>65</v>
      </c>
      <c r="D6144" s="329">
        <v>0.23</v>
      </c>
    </row>
    <row r="6145" spans="1:4">
      <c r="A6145" s="47">
        <v>39210</v>
      </c>
      <c r="B6145" s="48" t="s">
        <v>2189</v>
      </c>
      <c r="C6145" s="47" t="s">
        <v>65</v>
      </c>
      <c r="D6145" s="332">
        <v>0.43</v>
      </c>
    </row>
    <row r="6146" spans="1:4">
      <c r="A6146" s="28">
        <v>39214</v>
      </c>
      <c r="B6146" s="26" t="s">
        <v>2191</v>
      </c>
      <c r="C6146" s="28" t="s">
        <v>65</v>
      </c>
      <c r="D6146" s="329">
        <v>1.59</v>
      </c>
    </row>
    <row r="6147" spans="1:4">
      <c r="A6147" s="47">
        <v>39213</v>
      </c>
      <c r="B6147" s="48" t="s">
        <v>2192</v>
      </c>
      <c r="C6147" s="47" t="s">
        <v>65</v>
      </c>
      <c r="D6147" s="332">
        <v>1.1200000000000001</v>
      </c>
    </row>
    <row r="6148" spans="1:4">
      <c r="A6148" s="28">
        <v>39209</v>
      </c>
      <c r="B6148" s="26" t="s">
        <v>2194</v>
      </c>
      <c r="C6148" s="28" t="s">
        <v>65</v>
      </c>
      <c r="D6148" s="329">
        <v>0.28000000000000003</v>
      </c>
    </row>
    <row r="6149" spans="1:4">
      <c r="A6149" s="47">
        <v>39207</v>
      </c>
      <c r="B6149" s="48" t="s">
        <v>2195</v>
      </c>
      <c r="C6149" s="47" t="s">
        <v>65</v>
      </c>
      <c r="D6149" s="332">
        <v>0.43</v>
      </c>
    </row>
    <row r="6150" spans="1:4">
      <c r="A6150" s="28">
        <v>39215</v>
      </c>
      <c r="B6150" s="26" t="s">
        <v>2193</v>
      </c>
      <c r="C6150" s="28" t="s">
        <v>65</v>
      </c>
      <c r="D6150" s="329">
        <v>2.9</v>
      </c>
    </row>
    <row r="6151" spans="1:4">
      <c r="A6151" s="47">
        <v>39216</v>
      </c>
      <c r="B6151" s="48" t="s">
        <v>2196</v>
      </c>
      <c r="C6151" s="47" t="s">
        <v>65</v>
      </c>
      <c r="D6151" s="332">
        <v>4.05</v>
      </c>
    </row>
    <row r="6152" spans="1:4" ht="30">
      <c r="A6152" s="28">
        <v>379</v>
      </c>
      <c r="B6152" s="26" t="s">
        <v>2197</v>
      </c>
      <c r="C6152" s="28" t="s">
        <v>65</v>
      </c>
      <c r="D6152" s="329">
        <v>0.51</v>
      </c>
    </row>
    <row r="6153" spans="1:4" ht="30">
      <c r="A6153" s="47">
        <v>11267</v>
      </c>
      <c r="B6153" s="48" t="s">
        <v>2198</v>
      </c>
      <c r="C6153" s="47" t="s">
        <v>65</v>
      </c>
      <c r="D6153" s="332">
        <v>5.1100000000000003</v>
      </c>
    </row>
    <row r="6154" spans="1:4">
      <c r="A6154" s="28">
        <v>41901</v>
      </c>
      <c r="B6154" s="26" t="s">
        <v>2199</v>
      </c>
      <c r="C6154" s="28" t="s">
        <v>90</v>
      </c>
      <c r="D6154" s="329">
        <v>3.33</v>
      </c>
    </row>
    <row r="6155" spans="1:4" ht="30">
      <c r="A6155" s="47">
        <v>510</v>
      </c>
      <c r="B6155" s="48" t="s">
        <v>2200</v>
      </c>
      <c r="C6155" s="47" t="s">
        <v>90</v>
      </c>
      <c r="D6155" s="332">
        <v>6.06</v>
      </c>
    </row>
    <row r="6156" spans="1:4" ht="30">
      <c r="A6156" s="28">
        <v>516</v>
      </c>
      <c r="B6156" s="26" t="s">
        <v>2201</v>
      </c>
      <c r="C6156" s="28" t="s">
        <v>90</v>
      </c>
      <c r="D6156" s="329">
        <v>6.46</v>
      </c>
    </row>
    <row r="6157" spans="1:4" ht="30">
      <c r="A6157" s="47">
        <v>509</v>
      </c>
      <c r="B6157" s="48" t="s">
        <v>2202</v>
      </c>
      <c r="C6157" s="47" t="s">
        <v>90</v>
      </c>
      <c r="D6157" s="332">
        <v>6.6</v>
      </c>
    </row>
    <row r="6158" spans="1:4">
      <c r="A6158" s="28">
        <v>40331</v>
      </c>
      <c r="B6158" s="26" t="s">
        <v>2203</v>
      </c>
      <c r="C6158" s="28" t="s">
        <v>57</v>
      </c>
      <c r="D6158" s="329">
        <v>18.489999999999998</v>
      </c>
    </row>
    <row r="6159" spans="1:4">
      <c r="A6159" s="47">
        <v>40930</v>
      </c>
      <c r="B6159" s="48" t="s">
        <v>2204</v>
      </c>
      <c r="C6159" s="47" t="s">
        <v>1643</v>
      </c>
      <c r="D6159" s="332">
        <v>3258.5</v>
      </c>
    </row>
    <row r="6160" spans="1:4">
      <c r="A6160" s="28">
        <v>11761</v>
      </c>
      <c r="B6160" s="26" t="s">
        <v>2339</v>
      </c>
      <c r="C6160" s="28" t="s">
        <v>65</v>
      </c>
      <c r="D6160" s="329">
        <v>47.81</v>
      </c>
    </row>
    <row r="6161" spans="1:4">
      <c r="A6161" s="47">
        <v>377</v>
      </c>
      <c r="B6161" s="48" t="s">
        <v>2340</v>
      </c>
      <c r="C6161" s="47" t="s">
        <v>65</v>
      </c>
      <c r="D6161" s="332">
        <v>22.47</v>
      </c>
    </row>
    <row r="6162" spans="1:4">
      <c r="A6162" s="28">
        <v>7588</v>
      </c>
      <c r="B6162" s="26" t="s">
        <v>2366</v>
      </c>
      <c r="C6162" s="28" t="s">
        <v>65</v>
      </c>
      <c r="D6162" s="329">
        <v>35.58</v>
      </c>
    </row>
    <row r="6163" spans="1:4">
      <c r="A6163" s="47">
        <v>34392</v>
      </c>
      <c r="B6163" s="48" t="s">
        <v>2367</v>
      </c>
      <c r="C6163" s="47" t="s">
        <v>57</v>
      </c>
      <c r="D6163" s="332">
        <v>14.62</v>
      </c>
    </row>
    <row r="6164" spans="1:4">
      <c r="A6164" s="28">
        <v>40908</v>
      </c>
      <c r="B6164" s="26" t="s">
        <v>2368</v>
      </c>
      <c r="C6164" s="28" t="s">
        <v>1643</v>
      </c>
      <c r="D6164" s="329">
        <v>2576.4699999999998</v>
      </c>
    </row>
    <row r="6165" spans="1:4">
      <c r="A6165" s="47">
        <v>34551</v>
      </c>
      <c r="B6165" s="48" t="s">
        <v>128</v>
      </c>
      <c r="C6165" s="47" t="s">
        <v>57</v>
      </c>
      <c r="D6165" s="332">
        <v>8.6999999999999993</v>
      </c>
    </row>
    <row r="6166" spans="1:4">
      <c r="A6166" s="28">
        <v>41078</v>
      </c>
      <c r="B6166" s="26" t="s">
        <v>2369</v>
      </c>
      <c r="C6166" s="28" t="s">
        <v>1643</v>
      </c>
      <c r="D6166" s="329">
        <v>1533.83</v>
      </c>
    </row>
    <row r="6167" spans="1:4">
      <c r="A6167" s="47">
        <v>6117</v>
      </c>
      <c r="B6167" s="48" t="s">
        <v>11174</v>
      </c>
      <c r="C6167" s="47" t="s">
        <v>57</v>
      </c>
      <c r="D6167" s="332">
        <v>9.57</v>
      </c>
    </row>
    <row r="6168" spans="1:4">
      <c r="A6168" s="28">
        <v>2359</v>
      </c>
      <c r="B6168" s="26" t="s">
        <v>129</v>
      </c>
      <c r="C6168" s="28" t="s">
        <v>57</v>
      </c>
      <c r="D6168" s="329">
        <v>17.47</v>
      </c>
    </row>
    <row r="6169" spans="1:4">
      <c r="A6169" s="47">
        <v>246</v>
      </c>
      <c r="B6169" s="48" t="s">
        <v>2370</v>
      </c>
      <c r="C6169" s="47" t="s">
        <v>57</v>
      </c>
      <c r="D6169" s="332">
        <v>9.57</v>
      </c>
    </row>
    <row r="6170" spans="1:4">
      <c r="A6170" s="28">
        <v>40927</v>
      </c>
      <c r="B6170" s="26" t="s">
        <v>2371</v>
      </c>
      <c r="C6170" s="28" t="s">
        <v>1643</v>
      </c>
      <c r="D6170" s="329">
        <v>1686.82</v>
      </c>
    </row>
    <row r="6171" spans="1:4">
      <c r="A6171" s="47">
        <v>2350</v>
      </c>
      <c r="B6171" s="48" t="s">
        <v>2373</v>
      </c>
      <c r="C6171" s="47" t="s">
        <v>57</v>
      </c>
      <c r="D6171" s="332">
        <v>11.4</v>
      </c>
    </row>
    <row r="6172" spans="1:4">
      <c r="A6172" s="28">
        <v>40812</v>
      </c>
      <c r="B6172" s="26" t="s">
        <v>2374</v>
      </c>
      <c r="C6172" s="28" t="s">
        <v>1643</v>
      </c>
      <c r="D6172" s="329">
        <v>2008.28</v>
      </c>
    </row>
    <row r="6173" spans="1:4">
      <c r="A6173" s="47">
        <v>245</v>
      </c>
      <c r="B6173" s="48" t="s">
        <v>2376</v>
      </c>
      <c r="C6173" s="47" t="s">
        <v>57</v>
      </c>
      <c r="D6173" s="332">
        <v>10.84</v>
      </c>
    </row>
    <row r="6174" spans="1:4">
      <c r="A6174" s="28">
        <v>41090</v>
      </c>
      <c r="B6174" s="26" t="s">
        <v>2377</v>
      </c>
      <c r="C6174" s="28" t="s">
        <v>1643</v>
      </c>
      <c r="D6174" s="329">
        <v>1906.71</v>
      </c>
    </row>
    <row r="6175" spans="1:4">
      <c r="A6175" s="47">
        <v>251</v>
      </c>
      <c r="B6175" s="48" t="s">
        <v>2378</v>
      </c>
      <c r="C6175" s="47" t="s">
        <v>57</v>
      </c>
      <c r="D6175" s="332">
        <v>14.9</v>
      </c>
    </row>
    <row r="6176" spans="1:4">
      <c r="A6176" s="28">
        <v>40975</v>
      </c>
      <c r="B6176" s="26" t="s">
        <v>2379</v>
      </c>
      <c r="C6176" s="28" t="s">
        <v>1643</v>
      </c>
      <c r="D6176" s="329">
        <v>2626.23</v>
      </c>
    </row>
    <row r="6177" spans="1:4">
      <c r="A6177" s="47">
        <v>41072</v>
      </c>
      <c r="B6177" s="48" t="s">
        <v>2380</v>
      </c>
      <c r="C6177" s="47" t="s">
        <v>1643</v>
      </c>
      <c r="D6177" s="332">
        <v>1634.46</v>
      </c>
    </row>
    <row r="6178" spans="1:4">
      <c r="A6178" s="28">
        <v>6121</v>
      </c>
      <c r="B6178" s="26" t="s">
        <v>2381</v>
      </c>
      <c r="C6178" s="28" t="s">
        <v>57</v>
      </c>
      <c r="D6178" s="329">
        <v>9.52</v>
      </c>
    </row>
    <row r="6179" spans="1:4">
      <c r="A6179" s="47">
        <v>41071</v>
      </c>
      <c r="B6179" s="48" t="s">
        <v>2382</v>
      </c>
      <c r="C6179" s="47" t="s">
        <v>1643</v>
      </c>
      <c r="D6179" s="332">
        <v>1677.58</v>
      </c>
    </row>
    <row r="6180" spans="1:4">
      <c r="A6180" s="28">
        <v>244</v>
      </c>
      <c r="B6180" s="26" t="s">
        <v>2383</v>
      </c>
      <c r="C6180" s="28" t="s">
        <v>57</v>
      </c>
      <c r="D6180" s="329">
        <v>9.57</v>
      </c>
    </row>
    <row r="6181" spans="1:4">
      <c r="A6181" s="47">
        <v>41093</v>
      </c>
      <c r="B6181" s="48" t="s">
        <v>2384</v>
      </c>
      <c r="C6181" s="47" t="s">
        <v>1643</v>
      </c>
      <c r="D6181" s="332">
        <v>1686.82</v>
      </c>
    </row>
    <row r="6182" spans="1:4" ht="43.5" customHeight="1">
      <c r="A6182" s="28">
        <v>532</v>
      </c>
      <c r="B6182" s="26" t="s">
        <v>2385</v>
      </c>
      <c r="C6182" s="28" t="s">
        <v>57</v>
      </c>
      <c r="D6182" s="329">
        <v>20.74</v>
      </c>
    </row>
    <row r="6183" spans="1:4">
      <c r="A6183" s="47">
        <v>40931</v>
      </c>
      <c r="B6183" s="48" t="s">
        <v>2386</v>
      </c>
      <c r="C6183" s="47" t="s">
        <v>1643</v>
      </c>
      <c r="D6183" s="332">
        <v>3651.94</v>
      </c>
    </row>
    <row r="6184" spans="1:4">
      <c r="A6184" s="28">
        <v>36150</v>
      </c>
      <c r="B6184" s="26" t="s">
        <v>2387</v>
      </c>
      <c r="C6184" s="28" t="s">
        <v>65</v>
      </c>
      <c r="D6184" s="329">
        <v>29.34</v>
      </c>
    </row>
    <row r="6185" spans="1:4">
      <c r="A6185" s="47">
        <v>41069</v>
      </c>
      <c r="B6185" s="48" t="s">
        <v>2388</v>
      </c>
      <c r="C6185" s="47" t="s">
        <v>1643</v>
      </c>
      <c r="D6185" s="332">
        <v>2041.53</v>
      </c>
    </row>
    <row r="6186" spans="1:4">
      <c r="A6186" s="28">
        <v>4760</v>
      </c>
      <c r="B6186" s="26" t="s">
        <v>130</v>
      </c>
      <c r="C6186" s="28" t="s">
        <v>57</v>
      </c>
      <c r="D6186" s="329">
        <v>11.59</v>
      </c>
    </row>
    <row r="6187" spans="1:4">
      <c r="A6187" s="47">
        <v>10422</v>
      </c>
      <c r="B6187" s="48" t="s">
        <v>2389</v>
      </c>
      <c r="C6187" s="47" t="s">
        <v>65</v>
      </c>
      <c r="D6187" s="332">
        <v>269.43</v>
      </c>
    </row>
    <row r="6188" spans="1:4">
      <c r="A6188" s="28">
        <v>10420</v>
      </c>
      <c r="B6188" s="26" t="s">
        <v>2390</v>
      </c>
      <c r="C6188" s="28" t="s">
        <v>65</v>
      </c>
      <c r="D6188" s="329">
        <v>101.05</v>
      </c>
    </row>
    <row r="6189" spans="1:4">
      <c r="A6189" s="47">
        <v>10421</v>
      </c>
      <c r="B6189" s="48" t="s">
        <v>2391</v>
      </c>
      <c r="C6189" s="47" t="s">
        <v>65</v>
      </c>
      <c r="D6189" s="332">
        <v>135.24</v>
      </c>
    </row>
    <row r="6190" spans="1:4" ht="30">
      <c r="A6190" s="28">
        <v>36519</v>
      </c>
      <c r="B6190" s="26" t="s">
        <v>2392</v>
      </c>
      <c r="C6190" s="28" t="s">
        <v>65</v>
      </c>
      <c r="D6190" s="329">
        <v>393.43</v>
      </c>
    </row>
    <row r="6191" spans="1:4" ht="30">
      <c r="A6191" s="47">
        <v>36520</v>
      </c>
      <c r="B6191" s="48" t="s">
        <v>2393</v>
      </c>
      <c r="C6191" s="47" t="s">
        <v>65</v>
      </c>
      <c r="D6191" s="332">
        <v>503.44</v>
      </c>
    </row>
    <row r="6192" spans="1:4">
      <c r="A6192" s="28">
        <v>11784</v>
      </c>
      <c r="B6192" s="26" t="s">
        <v>2394</v>
      </c>
      <c r="C6192" s="28" t="s">
        <v>65</v>
      </c>
      <c r="D6192" s="329">
        <v>378.11</v>
      </c>
    </row>
    <row r="6193" spans="1:4">
      <c r="A6193" s="47">
        <v>10</v>
      </c>
      <c r="B6193" s="48" t="s">
        <v>2395</v>
      </c>
      <c r="C6193" s="47" t="s">
        <v>65</v>
      </c>
      <c r="D6193" s="332">
        <v>6.33</v>
      </c>
    </row>
    <row r="6194" spans="1:4">
      <c r="A6194" s="28">
        <v>4815</v>
      </c>
      <c r="B6194" s="26" t="s">
        <v>2396</v>
      </c>
      <c r="C6194" s="28" t="s">
        <v>65</v>
      </c>
      <c r="D6194" s="329">
        <v>4.1399999999999997</v>
      </c>
    </row>
    <row r="6195" spans="1:4" ht="30">
      <c r="A6195" s="47">
        <v>1746</v>
      </c>
      <c r="B6195" s="48" t="s">
        <v>2397</v>
      </c>
      <c r="C6195" s="47" t="s">
        <v>65</v>
      </c>
      <c r="D6195" s="332">
        <v>136.63</v>
      </c>
    </row>
    <row r="6196" spans="1:4" ht="30">
      <c r="A6196" s="28">
        <v>1748</v>
      </c>
      <c r="B6196" s="26" t="s">
        <v>2398</v>
      </c>
      <c r="C6196" s="28" t="s">
        <v>65</v>
      </c>
      <c r="D6196" s="329">
        <v>181.68</v>
      </c>
    </row>
    <row r="6197" spans="1:4" ht="30">
      <c r="A6197" s="47">
        <v>1749</v>
      </c>
      <c r="B6197" s="48" t="s">
        <v>2399</v>
      </c>
      <c r="C6197" s="47" t="s">
        <v>65</v>
      </c>
      <c r="D6197" s="332">
        <v>263.23</v>
      </c>
    </row>
    <row r="6198" spans="1:4" ht="30">
      <c r="A6198" s="28">
        <v>37412</v>
      </c>
      <c r="B6198" s="26" t="s">
        <v>2400</v>
      </c>
      <c r="C6198" s="28" t="s">
        <v>65</v>
      </c>
      <c r="D6198" s="329">
        <v>133.55000000000001</v>
      </c>
    </row>
    <row r="6199" spans="1:4" ht="30">
      <c r="A6199" s="47">
        <v>1745</v>
      </c>
      <c r="B6199" s="48" t="s">
        <v>2401</v>
      </c>
      <c r="C6199" s="47" t="s">
        <v>65</v>
      </c>
      <c r="D6199" s="332">
        <v>158.81</v>
      </c>
    </row>
    <row r="6200" spans="1:4" ht="30">
      <c r="A6200" s="28">
        <v>1750</v>
      </c>
      <c r="B6200" s="26" t="s">
        <v>2402</v>
      </c>
      <c r="C6200" s="28" t="s">
        <v>65</v>
      </c>
      <c r="D6200" s="329">
        <v>371.12</v>
      </c>
    </row>
    <row r="6201" spans="1:4">
      <c r="A6201" s="47">
        <v>541</v>
      </c>
      <c r="B6201" s="48" t="s">
        <v>2411</v>
      </c>
      <c r="C6201" s="47" t="s">
        <v>65</v>
      </c>
      <c r="D6201" s="332">
        <v>132.44999999999999</v>
      </c>
    </row>
    <row r="6202" spans="1:4">
      <c r="A6202" s="28">
        <v>542</v>
      </c>
      <c r="B6202" s="26" t="s">
        <v>2412</v>
      </c>
      <c r="C6202" s="28" t="s">
        <v>65</v>
      </c>
      <c r="D6202" s="329">
        <v>166.02</v>
      </c>
    </row>
    <row r="6203" spans="1:4">
      <c r="A6203" s="47">
        <v>540</v>
      </c>
      <c r="B6203" s="48" t="s">
        <v>2413</v>
      </c>
      <c r="C6203" s="47" t="s">
        <v>65</v>
      </c>
      <c r="D6203" s="332">
        <v>374.14</v>
      </c>
    </row>
    <row r="6204" spans="1:4">
      <c r="A6204" s="28">
        <v>11692</v>
      </c>
      <c r="B6204" s="26" t="s">
        <v>2417</v>
      </c>
      <c r="C6204" s="28" t="s">
        <v>256</v>
      </c>
      <c r="D6204" s="329">
        <v>204.48</v>
      </c>
    </row>
    <row r="6205" spans="1:4" ht="30">
      <c r="A6205" s="47">
        <v>11687</v>
      </c>
      <c r="B6205" s="48" t="s">
        <v>2418</v>
      </c>
      <c r="C6205" s="47" t="s">
        <v>71</v>
      </c>
      <c r="D6205" s="332">
        <v>591.32000000000005</v>
      </c>
    </row>
    <row r="6206" spans="1:4" ht="30">
      <c r="A6206" s="28">
        <v>11689</v>
      </c>
      <c r="B6206" s="26" t="s">
        <v>2419</v>
      </c>
      <c r="C6206" s="28" t="s">
        <v>71</v>
      </c>
      <c r="D6206" s="329">
        <v>740.89</v>
      </c>
    </row>
    <row r="6207" spans="1:4">
      <c r="A6207" s="47">
        <v>11693</v>
      </c>
      <c r="B6207" s="48" t="s">
        <v>2420</v>
      </c>
      <c r="C6207" s="47" t="s">
        <v>256</v>
      </c>
      <c r="D6207" s="332">
        <v>146.86000000000001</v>
      </c>
    </row>
    <row r="6208" spans="1:4">
      <c r="A6208" s="28">
        <v>36215</v>
      </c>
      <c r="B6208" s="26" t="s">
        <v>2421</v>
      </c>
      <c r="C6208" s="28" t="s">
        <v>65</v>
      </c>
      <c r="D6208" s="329">
        <v>540.35</v>
      </c>
    </row>
    <row r="6209" spans="1:4" ht="43.5" customHeight="1">
      <c r="A6209" s="47">
        <v>38381</v>
      </c>
      <c r="B6209" s="48" t="s">
        <v>2422</v>
      </c>
      <c r="C6209" s="47" t="s">
        <v>65</v>
      </c>
      <c r="D6209" s="332">
        <v>6.57</v>
      </c>
    </row>
    <row r="6210" spans="1:4">
      <c r="A6210" s="28">
        <v>39621</v>
      </c>
      <c r="B6210" s="26" t="s">
        <v>2424</v>
      </c>
      <c r="C6210" s="28" t="s">
        <v>131</v>
      </c>
      <c r="D6210" s="329">
        <v>1341.76</v>
      </c>
    </row>
    <row r="6211" spans="1:4" ht="43.5" customHeight="1">
      <c r="A6211" s="47">
        <v>39624</v>
      </c>
      <c r="B6211" s="48" t="s">
        <v>2425</v>
      </c>
      <c r="C6211" s="47" t="s">
        <v>131</v>
      </c>
      <c r="D6211" s="332">
        <v>1357.78</v>
      </c>
    </row>
    <row r="6212" spans="1:4">
      <c r="A6212" s="28">
        <v>39615</v>
      </c>
      <c r="B6212" s="26" t="s">
        <v>2426</v>
      </c>
      <c r="C6212" s="28" t="s">
        <v>65</v>
      </c>
      <c r="D6212" s="329">
        <v>468.11</v>
      </c>
    </row>
    <row r="6213" spans="1:4">
      <c r="A6213" s="47">
        <v>39620</v>
      </c>
      <c r="B6213" s="48" t="s">
        <v>2427</v>
      </c>
      <c r="C6213" s="47" t="s">
        <v>65</v>
      </c>
      <c r="D6213" s="332">
        <v>715.6</v>
      </c>
    </row>
    <row r="6214" spans="1:4">
      <c r="A6214" s="28">
        <v>39623</v>
      </c>
      <c r="B6214" s="26" t="s">
        <v>2428</v>
      </c>
      <c r="C6214" s="28" t="s">
        <v>65</v>
      </c>
      <c r="D6214" s="329">
        <v>692.94</v>
      </c>
    </row>
    <row r="6215" spans="1:4" ht="30">
      <c r="A6215" s="47">
        <v>40286</v>
      </c>
      <c r="B6215" s="48" t="s">
        <v>2429</v>
      </c>
      <c r="C6215" s="47" t="s">
        <v>1643</v>
      </c>
      <c r="D6215" s="332">
        <v>2</v>
      </c>
    </row>
    <row r="6216" spans="1:4" ht="30">
      <c r="A6216" s="28">
        <v>40288</v>
      </c>
      <c r="B6216" s="26" t="s">
        <v>2430</v>
      </c>
      <c r="C6216" s="28" t="s">
        <v>1643</v>
      </c>
      <c r="D6216" s="329">
        <v>2.5</v>
      </c>
    </row>
    <row r="6217" spans="1:4" ht="30">
      <c r="A6217" s="47">
        <v>40289</v>
      </c>
      <c r="B6217" s="48" t="s">
        <v>2431</v>
      </c>
      <c r="C6217" s="47" t="s">
        <v>1643</v>
      </c>
      <c r="D6217" s="332">
        <v>2.5</v>
      </c>
    </row>
    <row r="6218" spans="1:4">
      <c r="A6218" s="28">
        <v>36214</v>
      </c>
      <c r="B6218" s="26" t="s">
        <v>2432</v>
      </c>
      <c r="C6218" s="28" t="s">
        <v>65</v>
      </c>
      <c r="D6218" s="329">
        <v>174.11</v>
      </c>
    </row>
    <row r="6219" spans="1:4">
      <c r="A6219" s="47">
        <v>36207</v>
      </c>
      <c r="B6219" s="48" t="s">
        <v>2433</v>
      </c>
      <c r="C6219" s="47" t="s">
        <v>65</v>
      </c>
      <c r="D6219" s="332">
        <v>239.34</v>
      </c>
    </row>
    <row r="6220" spans="1:4">
      <c r="A6220" s="28">
        <v>36209</v>
      </c>
      <c r="B6220" s="26" t="s">
        <v>2434</v>
      </c>
      <c r="C6220" s="28" t="s">
        <v>65</v>
      </c>
      <c r="D6220" s="329">
        <v>274.68</v>
      </c>
    </row>
    <row r="6221" spans="1:4" ht="30">
      <c r="A6221" s="47">
        <v>36210</v>
      </c>
      <c r="B6221" s="48" t="s">
        <v>2435</v>
      </c>
      <c r="C6221" s="47" t="s">
        <v>65</v>
      </c>
      <c r="D6221" s="332">
        <v>297.19</v>
      </c>
    </row>
    <row r="6222" spans="1:4">
      <c r="A6222" s="28">
        <v>36212</v>
      </c>
      <c r="B6222" s="26" t="s">
        <v>2436</v>
      </c>
      <c r="C6222" s="28" t="s">
        <v>65</v>
      </c>
      <c r="D6222" s="329">
        <v>292.99</v>
      </c>
    </row>
    <row r="6223" spans="1:4" ht="30">
      <c r="A6223" s="47">
        <v>36211</v>
      </c>
      <c r="B6223" s="48" t="s">
        <v>11175</v>
      </c>
      <c r="C6223" s="47" t="s">
        <v>65</v>
      </c>
      <c r="D6223" s="332">
        <v>275.58</v>
      </c>
    </row>
    <row r="6224" spans="1:4" ht="30">
      <c r="A6224" s="28">
        <v>36204</v>
      </c>
      <c r="B6224" s="26" t="s">
        <v>2437</v>
      </c>
      <c r="C6224" s="28" t="s">
        <v>65</v>
      </c>
      <c r="D6224" s="329">
        <v>105.37</v>
      </c>
    </row>
    <row r="6225" spans="1:4" ht="30">
      <c r="A6225" s="47">
        <v>36205</v>
      </c>
      <c r="B6225" s="48" t="s">
        <v>2438</v>
      </c>
      <c r="C6225" s="47" t="s">
        <v>65</v>
      </c>
      <c r="D6225" s="332">
        <v>117.02</v>
      </c>
    </row>
    <row r="6226" spans="1:4" ht="30">
      <c r="A6226" s="28">
        <v>36081</v>
      </c>
      <c r="B6226" s="26" t="s">
        <v>2439</v>
      </c>
      <c r="C6226" s="28" t="s">
        <v>65</v>
      </c>
      <c r="D6226" s="329">
        <v>124.78</v>
      </c>
    </row>
    <row r="6227" spans="1:4" ht="30">
      <c r="A6227" s="47">
        <v>36206</v>
      </c>
      <c r="B6227" s="48" t="s">
        <v>2440</v>
      </c>
      <c r="C6227" s="47" t="s">
        <v>65</v>
      </c>
      <c r="D6227" s="332">
        <v>130.72</v>
      </c>
    </row>
    <row r="6228" spans="1:4">
      <c r="A6228" s="28">
        <v>36218</v>
      </c>
      <c r="B6228" s="26" t="s">
        <v>2441</v>
      </c>
      <c r="C6228" s="28" t="s">
        <v>65</v>
      </c>
      <c r="D6228" s="329">
        <v>107.79</v>
      </c>
    </row>
    <row r="6229" spans="1:4">
      <c r="A6229" s="47">
        <v>36220</v>
      </c>
      <c r="B6229" s="48" t="s">
        <v>2442</v>
      </c>
      <c r="C6229" s="47" t="s">
        <v>65</v>
      </c>
      <c r="D6229" s="332">
        <v>123.6</v>
      </c>
    </row>
    <row r="6230" spans="1:4">
      <c r="A6230" s="28">
        <v>36080</v>
      </c>
      <c r="B6230" s="26" t="s">
        <v>2443</v>
      </c>
      <c r="C6230" s="28" t="s">
        <v>65</v>
      </c>
      <c r="D6230" s="329">
        <v>133.69999999999999</v>
      </c>
    </row>
    <row r="6231" spans="1:4">
      <c r="A6231" s="47">
        <v>36223</v>
      </c>
      <c r="B6231" s="48" t="s">
        <v>2444</v>
      </c>
      <c r="C6231" s="47" t="s">
        <v>65</v>
      </c>
      <c r="D6231" s="332">
        <v>140</v>
      </c>
    </row>
    <row r="6232" spans="1:4">
      <c r="A6232" s="28">
        <v>546</v>
      </c>
      <c r="B6232" s="26" t="s">
        <v>11176</v>
      </c>
      <c r="C6232" s="28" t="s">
        <v>90</v>
      </c>
      <c r="D6232" s="329">
        <v>4.01</v>
      </c>
    </row>
    <row r="6233" spans="1:4">
      <c r="A6233" s="47">
        <v>557</v>
      </c>
      <c r="B6233" s="48" t="s">
        <v>2445</v>
      </c>
      <c r="C6233" s="47" t="s">
        <v>71</v>
      </c>
      <c r="D6233" s="332">
        <v>15.39</v>
      </c>
    </row>
    <row r="6234" spans="1:4">
      <c r="A6234" s="28">
        <v>552</v>
      </c>
      <c r="B6234" s="26" t="s">
        <v>2446</v>
      </c>
      <c r="C6234" s="28" t="s">
        <v>71</v>
      </c>
      <c r="D6234" s="329">
        <v>7.57</v>
      </c>
    </row>
    <row r="6235" spans="1:4">
      <c r="A6235" s="47">
        <v>561</v>
      </c>
      <c r="B6235" s="48" t="s">
        <v>2447</v>
      </c>
      <c r="C6235" s="47" t="s">
        <v>90</v>
      </c>
      <c r="D6235" s="332">
        <v>3.97</v>
      </c>
    </row>
    <row r="6236" spans="1:4">
      <c r="A6236" s="28">
        <v>555</v>
      </c>
      <c r="B6236" s="26" t="s">
        <v>2448</v>
      </c>
      <c r="C6236" s="28" t="s">
        <v>71</v>
      </c>
      <c r="D6236" s="329">
        <v>4.6399999999999997</v>
      </c>
    </row>
    <row r="6237" spans="1:4">
      <c r="A6237" s="47">
        <v>565</v>
      </c>
      <c r="B6237" s="48" t="s">
        <v>2449</v>
      </c>
      <c r="C6237" s="47" t="s">
        <v>71</v>
      </c>
      <c r="D6237" s="332">
        <v>7.09</v>
      </c>
    </row>
    <row r="6238" spans="1:4">
      <c r="A6238" s="28">
        <v>556</v>
      </c>
      <c r="B6238" s="26" t="s">
        <v>2451</v>
      </c>
      <c r="C6238" s="28" t="s">
        <v>90</v>
      </c>
      <c r="D6238" s="329">
        <v>4.01</v>
      </c>
    </row>
    <row r="6239" spans="1:4">
      <c r="A6239" s="47">
        <v>549</v>
      </c>
      <c r="B6239" s="48" t="s">
        <v>2452</v>
      </c>
      <c r="C6239" s="47" t="s">
        <v>71</v>
      </c>
      <c r="D6239" s="332">
        <v>20.29</v>
      </c>
    </row>
    <row r="6240" spans="1:4">
      <c r="A6240" s="28">
        <v>559</v>
      </c>
      <c r="B6240" s="26" t="s">
        <v>2453</v>
      </c>
      <c r="C6240" s="28" t="s">
        <v>71</v>
      </c>
      <c r="D6240" s="329">
        <v>10.14</v>
      </c>
    </row>
    <row r="6241" spans="1:4" ht="43.5" customHeight="1">
      <c r="A6241" s="47">
        <v>558</v>
      </c>
      <c r="B6241" s="48" t="s">
        <v>2453</v>
      </c>
      <c r="C6241" s="47" t="s">
        <v>90</v>
      </c>
      <c r="D6241" s="332">
        <v>4.01</v>
      </c>
    </row>
    <row r="6242" spans="1:4">
      <c r="A6242" s="28">
        <v>551</v>
      </c>
      <c r="B6242" s="26" t="s">
        <v>2450</v>
      </c>
      <c r="C6242" s="28" t="s">
        <v>71</v>
      </c>
      <c r="D6242" s="329">
        <v>39.64</v>
      </c>
    </row>
    <row r="6243" spans="1:4">
      <c r="A6243" s="47">
        <v>547</v>
      </c>
      <c r="B6243" s="48" t="s">
        <v>2454</v>
      </c>
      <c r="C6243" s="47" t="s">
        <v>71</v>
      </c>
      <c r="D6243" s="332">
        <v>15.19</v>
      </c>
    </row>
    <row r="6244" spans="1:4">
      <c r="A6244" s="28">
        <v>560</v>
      </c>
      <c r="B6244" s="26" t="s">
        <v>2455</v>
      </c>
      <c r="C6244" s="28" t="s">
        <v>71</v>
      </c>
      <c r="D6244" s="329">
        <v>12.84</v>
      </c>
    </row>
    <row r="6245" spans="1:4">
      <c r="A6245" s="47">
        <v>554</v>
      </c>
      <c r="B6245" s="48" t="s">
        <v>11177</v>
      </c>
      <c r="C6245" s="47" t="s">
        <v>90</v>
      </c>
      <c r="D6245" s="332">
        <v>4.01</v>
      </c>
    </row>
    <row r="6246" spans="1:4">
      <c r="A6246" s="28">
        <v>566</v>
      </c>
      <c r="B6246" s="26" t="s">
        <v>2456</v>
      </c>
      <c r="C6246" s="28" t="s">
        <v>71</v>
      </c>
      <c r="D6246" s="329">
        <v>2.06</v>
      </c>
    </row>
    <row r="6247" spans="1:4">
      <c r="A6247" s="47">
        <v>550</v>
      </c>
      <c r="B6247" s="48" t="s">
        <v>2457</v>
      </c>
      <c r="C6247" s="47" t="s">
        <v>90</v>
      </c>
      <c r="D6247" s="332">
        <v>4.01</v>
      </c>
    </row>
    <row r="6248" spans="1:4">
      <c r="A6248" s="28">
        <v>563</v>
      </c>
      <c r="B6248" s="26" t="s">
        <v>2458</v>
      </c>
      <c r="C6248" s="28" t="s">
        <v>71</v>
      </c>
      <c r="D6248" s="329">
        <v>11.53</v>
      </c>
    </row>
    <row r="6249" spans="1:4">
      <c r="A6249" s="47">
        <v>581</v>
      </c>
      <c r="B6249" s="48" t="s">
        <v>2469</v>
      </c>
      <c r="C6249" s="47" t="s">
        <v>256</v>
      </c>
      <c r="D6249" s="332">
        <v>392.76</v>
      </c>
    </row>
    <row r="6250" spans="1:4">
      <c r="A6250" s="28">
        <v>38127</v>
      </c>
      <c r="B6250" s="26" t="s">
        <v>132</v>
      </c>
      <c r="C6250" s="28" t="s">
        <v>65</v>
      </c>
      <c r="D6250" s="329">
        <v>324.3</v>
      </c>
    </row>
    <row r="6251" spans="1:4">
      <c r="A6251" s="47">
        <v>13373</v>
      </c>
      <c r="B6251" s="48" t="s">
        <v>2480</v>
      </c>
      <c r="C6251" s="47" t="s">
        <v>65</v>
      </c>
      <c r="D6251" s="332">
        <v>21.15</v>
      </c>
    </row>
    <row r="6252" spans="1:4">
      <c r="A6252" s="28">
        <v>13374</v>
      </c>
      <c r="B6252" s="26" t="s">
        <v>2481</v>
      </c>
      <c r="C6252" s="28" t="s">
        <v>65</v>
      </c>
      <c r="D6252" s="329">
        <v>60.19</v>
      </c>
    </row>
    <row r="6253" spans="1:4">
      <c r="A6253" s="47">
        <v>38060</v>
      </c>
      <c r="B6253" s="48" t="s">
        <v>2483</v>
      </c>
      <c r="C6253" s="47" t="s">
        <v>65</v>
      </c>
      <c r="D6253" s="332">
        <v>49.46</v>
      </c>
    </row>
    <row r="6254" spans="1:4">
      <c r="A6254" s="28">
        <v>10956</v>
      </c>
      <c r="B6254" s="26" t="s">
        <v>2484</v>
      </c>
      <c r="C6254" s="28" t="s">
        <v>65</v>
      </c>
      <c r="D6254" s="329">
        <v>51.38</v>
      </c>
    </row>
    <row r="6255" spans="1:4">
      <c r="A6255" s="47">
        <v>37597</v>
      </c>
      <c r="B6255" s="48" t="s">
        <v>2495</v>
      </c>
      <c r="C6255" s="47" t="s">
        <v>65</v>
      </c>
      <c r="D6255" s="332">
        <v>294531.25</v>
      </c>
    </row>
    <row r="6256" spans="1:4" ht="45">
      <c r="A6256" s="28">
        <v>183</v>
      </c>
      <c r="B6256" s="26" t="s">
        <v>11178</v>
      </c>
      <c r="C6256" s="28" t="s">
        <v>133</v>
      </c>
      <c r="D6256" s="329">
        <v>98.88</v>
      </c>
    </row>
    <row r="6257" spans="1:4" ht="30">
      <c r="A6257" s="47">
        <v>184</v>
      </c>
      <c r="B6257" s="48" t="s">
        <v>11179</v>
      </c>
      <c r="C6257" s="47" t="s">
        <v>133</v>
      </c>
      <c r="D6257" s="332">
        <v>65.349999999999994</v>
      </c>
    </row>
    <row r="6258" spans="1:4" ht="45">
      <c r="A6258" s="28">
        <v>39020</v>
      </c>
      <c r="B6258" s="26" t="s">
        <v>2497</v>
      </c>
      <c r="C6258" s="28" t="s">
        <v>71</v>
      </c>
      <c r="D6258" s="329">
        <v>18.309999999999999</v>
      </c>
    </row>
    <row r="6259" spans="1:4" ht="45">
      <c r="A6259" s="47">
        <v>195</v>
      </c>
      <c r="B6259" s="48" t="s">
        <v>11180</v>
      </c>
      <c r="C6259" s="47" t="s">
        <v>133</v>
      </c>
      <c r="D6259" s="332">
        <v>80.319999999999993</v>
      </c>
    </row>
    <row r="6260" spans="1:4" ht="30">
      <c r="A6260" s="28">
        <v>194</v>
      </c>
      <c r="B6260" s="26" t="s">
        <v>11181</v>
      </c>
      <c r="C6260" s="28" t="s">
        <v>133</v>
      </c>
      <c r="D6260" s="329">
        <v>43.66</v>
      </c>
    </row>
    <row r="6261" spans="1:4" ht="30">
      <c r="A6261" s="47">
        <v>20001</v>
      </c>
      <c r="B6261" s="48" t="s">
        <v>2498</v>
      </c>
      <c r="C6261" s="47" t="s">
        <v>133</v>
      </c>
      <c r="D6261" s="332">
        <v>80.040000000000006</v>
      </c>
    </row>
    <row r="6262" spans="1:4" ht="45">
      <c r="A6262" s="28">
        <v>181</v>
      </c>
      <c r="B6262" s="26" t="s">
        <v>11182</v>
      </c>
      <c r="C6262" s="28" t="s">
        <v>133</v>
      </c>
      <c r="D6262" s="329">
        <v>108.29</v>
      </c>
    </row>
    <row r="6263" spans="1:4" ht="30">
      <c r="A6263" s="47">
        <v>37549</v>
      </c>
      <c r="B6263" s="48" t="s">
        <v>2499</v>
      </c>
      <c r="C6263" s="47" t="s">
        <v>65</v>
      </c>
      <c r="D6263" s="332">
        <v>2384.73</v>
      </c>
    </row>
    <row r="6264" spans="1:4" ht="30">
      <c r="A6264" s="28">
        <v>10535</v>
      </c>
      <c r="B6264" s="26" t="s">
        <v>2500</v>
      </c>
      <c r="C6264" s="28" t="s">
        <v>65</v>
      </c>
      <c r="D6264" s="329">
        <v>3324.25</v>
      </c>
    </row>
    <row r="6265" spans="1:4" ht="30">
      <c r="A6265" s="47">
        <v>10537</v>
      </c>
      <c r="B6265" s="48" t="s">
        <v>2501</v>
      </c>
      <c r="C6265" s="47" t="s">
        <v>65</v>
      </c>
      <c r="D6265" s="332">
        <v>4533.37</v>
      </c>
    </row>
    <row r="6266" spans="1:4" ht="57.75" customHeight="1">
      <c r="A6266" s="28">
        <v>13891</v>
      </c>
      <c r="B6266" s="26" t="s">
        <v>2508</v>
      </c>
      <c r="C6266" s="28" t="s">
        <v>65</v>
      </c>
      <c r="D6266" s="329">
        <v>4158.12</v>
      </c>
    </row>
    <row r="6267" spans="1:4" ht="30">
      <c r="A6267" s="47">
        <v>25975</v>
      </c>
      <c r="B6267" s="48" t="s">
        <v>2515</v>
      </c>
      <c r="C6267" s="47" t="s">
        <v>65</v>
      </c>
      <c r="D6267" s="332">
        <v>18086.169999999998</v>
      </c>
    </row>
    <row r="6268" spans="1:4" ht="30">
      <c r="A6268" s="28">
        <v>36396</v>
      </c>
      <c r="B6268" s="26" t="s">
        <v>2534</v>
      </c>
      <c r="C6268" s="28" t="s">
        <v>65</v>
      </c>
      <c r="D6268" s="329">
        <v>3803.16</v>
      </c>
    </row>
    <row r="6269" spans="1:4" ht="30">
      <c r="A6269" s="47">
        <v>36397</v>
      </c>
      <c r="B6269" s="48" t="s">
        <v>2535</v>
      </c>
      <c r="C6269" s="47" t="s">
        <v>65</v>
      </c>
      <c r="D6269" s="332">
        <v>13522.37</v>
      </c>
    </row>
    <row r="6270" spans="1:4" ht="43.5" customHeight="1">
      <c r="A6270" s="28">
        <v>36398</v>
      </c>
      <c r="B6270" s="26" t="s">
        <v>2536</v>
      </c>
      <c r="C6270" s="28" t="s">
        <v>65</v>
      </c>
      <c r="D6270" s="329">
        <v>16435.310000000001</v>
      </c>
    </row>
    <row r="6271" spans="1:4" ht="43.5" customHeight="1">
      <c r="A6271" s="47">
        <v>647</v>
      </c>
      <c r="B6271" s="48" t="s">
        <v>134</v>
      </c>
      <c r="C6271" s="47" t="s">
        <v>57</v>
      </c>
      <c r="D6271" s="332">
        <v>14.46</v>
      </c>
    </row>
    <row r="6272" spans="1:4">
      <c r="A6272" s="28">
        <v>40920</v>
      </c>
      <c r="B6272" s="26" t="s">
        <v>2537</v>
      </c>
      <c r="C6272" s="28" t="s">
        <v>1643</v>
      </c>
      <c r="D6272" s="329">
        <v>2548.11</v>
      </c>
    </row>
    <row r="6273" spans="1:4">
      <c r="A6273" s="47">
        <v>7266</v>
      </c>
      <c r="B6273" s="48" t="s">
        <v>2542</v>
      </c>
      <c r="C6273" s="47" t="s">
        <v>135</v>
      </c>
      <c r="D6273" s="332">
        <v>444.58</v>
      </c>
    </row>
    <row r="6274" spans="1:4">
      <c r="A6274" s="28">
        <v>7270</v>
      </c>
      <c r="B6274" s="26" t="s">
        <v>2538</v>
      </c>
      <c r="C6274" s="28" t="s">
        <v>65</v>
      </c>
      <c r="D6274" s="329">
        <v>0.42</v>
      </c>
    </row>
    <row r="6275" spans="1:4">
      <c r="A6275" s="47">
        <v>7269</v>
      </c>
      <c r="B6275" s="48" t="s">
        <v>2539</v>
      </c>
      <c r="C6275" s="47" t="s">
        <v>65</v>
      </c>
      <c r="D6275" s="332">
        <v>0.3</v>
      </c>
    </row>
    <row r="6276" spans="1:4">
      <c r="A6276" s="28">
        <v>7271</v>
      </c>
      <c r="B6276" s="26" t="s">
        <v>2540</v>
      </c>
      <c r="C6276" s="28" t="s">
        <v>65</v>
      </c>
      <c r="D6276" s="329">
        <v>0.44</v>
      </c>
    </row>
    <row r="6277" spans="1:4">
      <c r="A6277" s="47">
        <v>7268</v>
      </c>
      <c r="B6277" s="48" t="s">
        <v>2541</v>
      </c>
      <c r="C6277" s="47" t="s">
        <v>65</v>
      </c>
      <c r="D6277" s="332">
        <v>0.63</v>
      </c>
    </row>
    <row r="6278" spans="1:4">
      <c r="A6278" s="28">
        <v>7267</v>
      </c>
      <c r="B6278" s="26" t="s">
        <v>2543</v>
      </c>
      <c r="C6278" s="28" t="s">
        <v>65</v>
      </c>
      <c r="D6278" s="329">
        <v>0.3</v>
      </c>
    </row>
    <row r="6279" spans="1:4" ht="30">
      <c r="A6279" s="47">
        <v>38783</v>
      </c>
      <c r="B6279" s="48" t="s">
        <v>2544</v>
      </c>
      <c r="C6279" s="47" t="s">
        <v>65</v>
      </c>
      <c r="D6279" s="332">
        <v>0.55000000000000004</v>
      </c>
    </row>
    <row r="6280" spans="1:4" ht="30">
      <c r="A6280" s="28">
        <v>37593</v>
      </c>
      <c r="B6280" s="26" t="s">
        <v>2545</v>
      </c>
      <c r="C6280" s="28" t="s">
        <v>65</v>
      </c>
      <c r="D6280" s="329">
        <v>1.45</v>
      </c>
    </row>
    <row r="6281" spans="1:4" ht="30">
      <c r="A6281" s="47">
        <v>37594</v>
      </c>
      <c r="B6281" s="48" t="s">
        <v>11183</v>
      </c>
      <c r="C6281" s="47" t="s">
        <v>65</v>
      </c>
      <c r="D6281" s="332">
        <v>1.77</v>
      </c>
    </row>
    <row r="6282" spans="1:4" ht="57.75" customHeight="1">
      <c r="A6282" s="28">
        <v>37592</v>
      </c>
      <c r="B6282" s="26" t="s">
        <v>2546</v>
      </c>
      <c r="C6282" s="28" t="s">
        <v>65</v>
      </c>
      <c r="D6282" s="329">
        <v>1.08</v>
      </c>
    </row>
    <row r="6283" spans="1:4">
      <c r="A6283" s="47">
        <v>34556</v>
      </c>
      <c r="B6283" s="48" t="s">
        <v>2547</v>
      </c>
      <c r="C6283" s="47" t="s">
        <v>65</v>
      </c>
      <c r="D6283" s="332">
        <v>2.69</v>
      </c>
    </row>
    <row r="6284" spans="1:4">
      <c r="A6284" s="28">
        <v>37873</v>
      </c>
      <c r="B6284" s="26" t="s">
        <v>2548</v>
      </c>
      <c r="C6284" s="28" t="s">
        <v>65</v>
      </c>
      <c r="D6284" s="329">
        <v>2.93</v>
      </c>
    </row>
    <row r="6285" spans="1:4">
      <c r="A6285" s="47">
        <v>34564</v>
      </c>
      <c r="B6285" s="48" t="s">
        <v>2549</v>
      </c>
      <c r="C6285" s="47" t="s">
        <v>65</v>
      </c>
      <c r="D6285" s="332">
        <v>3.35</v>
      </c>
    </row>
    <row r="6286" spans="1:4">
      <c r="A6286" s="28">
        <v>34565</v>
      </c>
      <c r="B6286" s="26" t="s">
        <v>2550</v>
      </c>
      <c r="C6286" s="28" t="s">
        <v>65</v>
      </c>
      <c r="D6286" s="329">
        <v>3.87</v>
      </c>
    </row>
    <row r="6287" spans="1:4">
      <c r="A6287" s="47">
        <v>38590</v>
      </c>
      <c r="B6287" s="48" t="s">
        <v>2551</v>
      </c>
      <c r="C6287" s="47" t="s">
        <v>65</v>
      </c>
      <c r="D6287" s="332">
        <v>2.25</v>
      </c>
    </row>
    <row r="6288" spans="1:4">
      <c r="A6288" s="28">
        <v>34566</v>
      </c>
      <c r="B6288" s="26" t="s">
        <v>2552</v>
      </c>
      <c r="C6288" s="28" t="s">
        <v>65</v>
      </c>
      <c r="D6288" s="329">
        <v>2.1</v>
      </c>
    </row>
    <row r="6289" spans="1:4" ht="57.75" customHeight="1">
      <c r="A6289" s="47">
        <v>34567</v>
      </c>
      <c r="B6289" s="48" t="s">
        <v>2553</v>
      </c>
      <c r="C6289" s="47" t="s">
        <v>65</v>
      </c>
      <c r="D6289" s="332">
        <v>2.36</v>
      </c>
    </row>
    <row r="6290" spans="1:4">
      <c r="A6290" s="28">
        <v>38591</v>
      </c>
      <c r="B6290" s="26" t="s">
        <v>2554</v>
      </c>
      <c r="C6290" s="28" t="s">
        <v>65</v>
      </c>
      <c r="D6290" s="329">
        <v>2.5499999999999998</v>
      </c>
    </row>
    <row r="6291" spans="1:4">
      <c r="A6291" s="47">
        <v>34568</v>
      </c>
      <c r="B6291" s="48" t="s">
        <v>2555</v>
      </c>
      <c r="C6291" s="47" t="s">
        <v>65</v>
      </c>
      <c r="D6291" s="332">
        <v>3.08</v>
      </c>
    </row>
    <row r="6292" spans="1:4" ht="57.75" customHeight="1">
      <c r="A6292" s="28">
        <v>34569</v>
      </c>
      <c r="B6292" s="26" t="s">
        <v>2556</v>
      </c>
      <c r="C6292" s="28" t="s">
        <v>65</v>
      </c>
      <c r="D6292" s="329">
        <v>3.15</v>
      </c>
    </row>
    <row r="6293" spans="1:4">
      <c r="A6293" s="47">
        <v>34570</v>
      </c>
      <c r="B6293" s="48" t="s">
        <v>2557</v>
      </c>
      <c r="C6293" s="47" t="s">
        <v>65</v>
      </c>
      <c r="D6293" s="332">
        <v>3.37</v>
      </c>
    </row>
    <row r="6294" spans="1:4">
      <c r="A6294" s="28">
        <v>25070</v>
      </c>
      <c r="B6294" s="26" t="s">
        <v>2558</v>
      </c>
      <c r="C6294" s="28" t="s">
        <v>65</v>
      </c>
      <c r="D6294" s="329">
        <v>2.58</v>
      </c>
    </row>
    <row r="6295" spans="1:4">
      <c r="A6295" s="47">
        <v>34571</v>
      </c>
      <c r="B6295" s="48" t="s">
        <v>2559</v>
      </c>
      <c r="C6295" s="47" t="s">
        <v>65</v>
      </c>
      <c r="D6295" s="332">
        <v>2.62</v>
      </c>
    </row>
    <row r="6296" spans="1:4">
      <c r="A6296" s="28">
        <v>34573</v>
      </c>
      <c r="B6296" s="26" t="s">
        <v>2560</v>
      </c>
      <c r="C6296" s="28" t="s">
        <v>65</v>
      </c>
      <c r="D6296" s="329">
        <v>2.77</v>
      </c>
    </row>
    <row r="6297" spans="1:4" ht="57.75" customHeight="1">
      <c r="A6297" s="47">
        <v>37107</v>
      </c>
      <c r="B6297" s="48" t="s">
        <v>2561</v>
      </c>
      <c r="C6297" s="47" t="s">
        <v>65</v>
      </c>
      <c r="D6297" s="332">
        <v>4.09</v>
      </c>
    </row>
    <row r="6298" spans="1:4" ht="57.75" customHeight="1">
      <c r="A6298" s="28">
        <v>34576</v>
      </c>
      <c r="B6298" s="26" t="s">
        <v>2562</v>
      </c>
      <c r="C6298" s="28" t="s">
        <v>65</v>
      </c>
      <c r="D6298" s="329">
        <v>3.83</v>
      </c>
    </row>
    <row r="6299" spans="1:4">
      <c r="A6299" s="47">
        <v>34577</v>
      </c>
      <c r="B6299" s="48" t="s">
        <v>2563</v>
      </c>
      <c r="C6299" s="47" t="s">
        <v>65</v>
      </c>
      <c r="D6299" s="332">
        <v>4.09</v>
      </c>
    </row>
    <row r="6300" spans="1:4">
      <c r="A6300" s="28">
        <v>34578</v>
      </c>
      <c r="B6300" s="26" t="s">
        <v>2564</v>
      </c>
      <c r="C6300" s="28" t="s">
        <v>65</v>
      </c>
      <c r="D6300" s="329">
        <v>4.54</v>
      </c>
    </row>
    <row r="6301" spans="1:4">
      <c r="A6301" s="47">
        <v>34579</v>
      </c>
      <c r="B6301" s="48" t="s">
        <v>2565</v>
      </c>
      <c r="C6301" s="47" t="s">
        <v>65</v>
      </c>
      <c r="D6301" s="332">
        <v>5.81</v>
      </c>
    </row>
    <row r="6302" spans="1:4">
      <c r="A6302" s="28">
        <v>25067</v>
      </c>
      <c r="B6302" s="26" t="s">
        <v>2566</v>
      </c>
      <c r="C6302" s="28" t="s">
        <v>65</v>
      </c>
      <c r="D6302" s="329">
        <v>3.35</v>
      </c>
    </row>
    <row r="6303" spans="1:4">
      <c r="A6303" s="47">
        <v>34580</v>
      </c>
      <c r="B6303" s="48" t="s">
        <v>2567</v>
      </c>
      <c r="C6303" s="47" t="s">
        <v>65</v>
      </c>
      <c r="D6303" s="332">
        <v>3.65</v>
      </c>
    </row>
    <row r="6304" spans="1:4">
      <c r="A6304" s="28">
        <v>25071</v>
      </c>
      <c r="B6304" s="26" t="s">
        <v>2568</v>
      </c>
      <c r="C6304" s="28" t="s">
        <v>65</v>
      </c>
      <c r="D6304" s="329">
        <v>1.76</v>
      </c>
    </row>
    <row r="6305" spans="1:4">
      <c r="A6305" s="47">
        <v>38395</v>
      </c>
      <c r="B6305" s="48" t="s">
        <v>2569</v>
      </c>
      <c r="C6305" s="47" t="s">
        <v>65</v>
      </c>
      <c r="D6305" s="332">
        <v>5.49</v>
      </c>
    </row>
    <row r="6306" spans="1:4">
      <c r="A6306" s="28">
        <v>34583</v>
      </c>
      <c r="B6306" s="26" t="s">
        <v>2570</v>
      </c>
      <c r="C6306" s="28" t="s">
        <v>256</v>
      </c>
      <c r="D6306" s="329">
        <v>41.33</v>
      </c>
    </row>
    <row r="6307" spans="1:4">
      <c r="A6307" s="47">
        <v>34584</v>
      </c>
      <c r="B6307" s="48" t="s">
        <v>2571</v>
      </c>
      <c r="C6307" s="47" t="s">
        <v>256</v>
      </c>
      <c r="D6307" s="332">
        <v>23.13</v>
      </c>
    </row>
    <row r="6308" spans="1:4" ht="30">
      <c r="A6308" s="28">
        <v>709</v>
      </c>
      <c r="B6308" s="26" t="s">
        <v>2572</v>
      </c>
      <c r="C6308" s="28" t="s">
        <v>256</v>
      </c>
      <c r="D6308" s="329">
        <v>410.25</v>
      </c>
    </row>
    <row r="6309" spans="1:4">
      <c r="A6309" s="47">
        <v>715</v>
      </c>
      <c r="B6309" s="48" t="s">
        <v>2573</v>
      </c>
      <c r="C6309" s="47" t="s">
        <v>65</v>
      </c>
      <c r="D6309" s="332">
        <v>14.33</v>
      </c>
    </row>
    <row r="6310" spans="1:4">
      <c r="A6310" s="28">
        <v>718</v>
      </c>
      <c r="B6310" s="26" t="s">
        <v>2574</v>
      </c>
      <c r="C6310" s="28" t="s">
        <v>65</v>
      </c>
      <c r="D6310" s="329">
        <v>21.35</v>
      </c>
    </row>
    <row r="6311" spans="1:4">
      <c r="A6311" s="47">
        <v>10610</v>
      </c>
      <c r="B6311" s="48" t="s">
        <v>2575</v>
      </c>
      <c r="C6311" s="47" t="s">
        <v>65</v>
      </c>
      <c r="D6311" s="332">
        <v>1.2</v>
      </c>
    </row>
    <row r="6312" spans="1:4">
      <c r="A6312" s="28">
        <v>34585</v>
      </c>
      <c r="B6312" s="26" t="s">
        <v>2576</v>
      </c>
      <c r="C6312" s="28" t="s">
        <v>65</v>
      </c>
      <c r="D6312" s="329">
        <v>1.22</v>
      </c>
    </row>
    <row r="6313" spans="1:4">
      <c r="A6313" s="47">
        <v>34586</v>
      </c>
      <c r="B6313" s="48" t="s">
        <v>2577</v>
      </c>
      <c r="C6313" s="47" t="s">
        <v>65</v>
      </c>
      <c r="D6313" s="332">
        <v>1.23</v>
      </c>
    </row>
    <row r="6314" spans="1:4">
      <c r="A6314" s="28">
        <v>38603</v>
      </c>
      <c r="B6314" s="26" t="s">
        <v>2578</v>
      </c>
      <c r="C6314" s="28" t="s">
        <v>65</v>
      </c>
      <c r="D6314" s="329">
        <v>1.43</v>
      </c>
    </row>
    <row r="6315" spans="1:4">
      <c r="A6315" s="47">
        <v>34587</v>
      </c>
      <c r="B6315" s="48" t="s">
        <v>2579</v>
      </c>
      <c r="C6315" s="47" t="s">
        <v>65</v>
      </c>
      <c r="D6315" s="332">
        <v>1.51</v>
      </c>
    </row>
    <row r="6316" spans="1:4">
      <c r="A6316" s="28">
        <v>34588</v>
      </c>
      <c r="B6316" s="26" t="s">
        <v>2580</v>
      </c>
      <c r="C6316" s="28" t="s">
        <v>65</v>
      </c>
      <c r="D6316" s="329">
        <v>1.59</v>
      </c>
    </row>
    <row r="6317" spans="1:4">
      <c r="A6317" s="47">
        <v>34590</v>
      </c>
      <c r="B6317" s="48" t="s">
        <v>2581</v>
      </c>
      <c r="C6317" s="47" t="s">
        <v>65</v>
      </c>
      <c r="D6317" s="332">
        <v>1.71</v>
      </c>
    </row>
    <row r="6318" spans="1:4">
      <c r="A6318" s="28">
        <v>34591</v>
      </c>
      <c r="B6318" s="26" t="s">
        <v>2582</v>
      </c>
      <c r="C6318" s="28" t="s">
        <v>65</v>
      </c>
      <c r="D6318" s="329">
        <v>2.14</v>
      </c>
    </row>
    <row r="6319" spans="1:4">
      <c r="A6319" s="47">
        <v>37103</v>
      </c>
      <c r="B6319" s="48" t="s">
        <v>11184</v>
      </c>
      <c r="C6319" s="47" t="s">
        <v>65</v>
      </c>
      <c r="D6319" s="332">
        <v>2.19</v>
      </c>
    </row>
    <row r="6320" spans="1:4">
      <c r="A6320" s="28">
        <v>34555</v>
      </c>
      <c r="B6320" s="26" t="s">
        <v>11185</v>
      </c>
      <c r="C6320" s="28" t="s">
        <v>65</v>
      </c>
      <c r="D6320" s="329">
        <v>2.75</v>
      </c>
    </row>
    <row r="6321" spans="1:4">
      <c r="A6321" s="47">
        <v>34599</v>
      </c>
      <c r="B6321" s="48" t="s">
        <v>11186</v>
      </c>
      <c r="C6321" s="47" t="s">
        <v>65</v>
      </c>
      <c r="D6321" s="332">
        <v>1.97</v>
      </c>
    </row>
    <row r="6322" spans="1:4">
      <c r="A6322" s="28">
        <v>674</v>
      </c>
      <c r="B6322" s="26" t="s">
        <v>2587</v>
      </c>
      <c r="C6322" s="28" t="s">
        <v>256</v>
      </c>
      <c r="D6322" s="329">
        <v>52.26</v>
      </c>
    </row>
    <row r="6323" spans="1:4">
      <c r="A6323" s="47">
        <v>34600</v>
      </c>
      <c r="B6323" s="48" t="s">
        <v>2588</v>
      </c>
      <c r="C6323" s="47" t="s">
        <v>256</v>
      </c>
      <c r="D6323" s="332">
        <v>84.92</v>
      </c>
    </row>
    <row r="6324" spans="1:4">
      <c r="A6324" s="28">
        <v>652</v>
      </c>
      <c r="B6324" s="26" t="s">
        <v>2589</v>
      </c>
      <c r="C6324" s="28" t="s">
        <v>256</v>
      </c>
      <c r="D6324" s="329">
        <v>108.15</v>
      </c>
    </row>
    <row r="6325" spans="1:4">
      <c r="A6325" s="47">
        <v>34592</v>
      </c>
      <c r="B6325" s="48" t="s">
        <v>2583</v>
      </c>
      <c r="C6325" s="47" t="s">
        <v>65</v>
      </c>
      <c r="D6325" s="332">
        <v>1.87</v>
      </c>
    </row>
    <row r="6326" spans="1:4">
      <c r="A6326" s="28">
        <v>651</v>
      </c>
      <c r="B6326" s="26" t="s">
        <v>2584</v>
      </c>
      <c r="C6326" s="28" t="s">
        <v>65</v>
      </c>
      <c r="D6326" s="329">
        <v>2.14</v>
      </c>
    </row>
    <row r="6327" spans="1:4">
      <c r="A6327" s="47">
        <v>654</v>
      </c>
      <c r="B6327" s="48" t="s">
        <v>2585</v>
      </c>
      <c r="C6327" s="47" t="s">
        <v>65</v>
      </c>
      <c r="D6327" s="332">
        <v>2.76</v>
      </c>
    </row>
    <row r="6328" spans="1:4">
      <c r="A6328" s="28">
        <v>650</v>
      </c>
      <c r="B6328" s="26" t="s">
        <v>2586</v>
      </c>
      <c r="C6328" s="28" t="s">
        <v>65</v>
      </c>
      <c r="D6328" s="329">
        <v>1.82</v>
      </c>
    </row>
    <row r="6329" spans="1:4">
      <c r="A6329" s="47">
        <v>716</v>
      </c>
      <c r="B6329" s="48" t="s">
        <v>2590</v>
      </c>
      <c r="C6329" s="47" t="s">
        <v>65</v>
      </c>
      <c r="D6329" s="332">
        <v>14.49</v>
      </c>
    </row>
    <row r="6330" spans="1:4">
      <c r="A6330" s="28">
        <v>11981</v>
      </c>
      <c r="B6330" s="26" t="s">
        <v>2591</v>
      </c>
      <c r="C6330" s="28" t="s">
        <v>65</v>
      </c>
      <c r="D6330" s="329">
        <v>14.64</v>
      </c>
    </row>
    <row r="6331" spans="1:4" ht="30">
      <c r="A6331" s="47">
        <v>695</v>
      </c>
      <c r="B6331" s="48" t="s">
        <v>2595</v>
      </c>
      <c r="C6331" s="47" t="s">
        <v>256</v>
      </c>
      <c r="D6331" s="332">
        <v>37.549999999999997</v>
      </c>
    </row>
    <row r="6332" spans="1:4" ht="45">
      <c r="A6332" s="28">
        <v>36156</v>
      </c>
      <c r="B6332" s="26" t="s">
        <v>2596</v>
      </c>
      <c r="C6332" s="28" t="s">
        <v>256</v>
      </c>
      <c r="D6332" s="329">
        <v>48.69</v>
      </c>
    </row>
    <row r="6333" spans="1:4" ht="45">
      <c r="A6333" s="47">
        <v>36155</v>
      </c>
      <c r="B6333" s="48" t="s">
        <v>2597</v>
      </c>
      <c r="C6333" s="47" t="s">
        <v>256</v>
      </c>
      <c r="D6333" s="332">
        <v>38.950000000000003</v>
      </c>
    </row>
    <row r="6334" spans="1:4" ht="45">
      <c r="A6334" s="28">
        <v>36154</v>
      </c>
      <c r="B6334" s="26" t="s">
        <v>2598</v>
      </c>
      <c r="C6334" s="28" t="s">
        <v>256</v>
      </c>
      <c r="D6334" s="329">
        <v>56.73</v>
      </c>
    </row>
    <row r="6335" spans="1:4" ht="45">
      <c r="A6335" s="47">
        <v>36196</v>
      </c>
      <c r="B6335" s="48" t="s">
        <v>2599</v>
      </c>
      <c r="C6335" s="47" t="s">
        <v>256</v>
      </c>
      <c r="D6335" s="332">
        <v>46.26</v>
      </c>
    </row>
    <row r="6336" spans="1:4" ht="30">
      <c r="A6336" s="28">
        <v>679</v>
      </c>
      <c r="B6336" s="26" t="s">
        <v>2600</v>
      </c>
      <c r="C6336" s="28" t="s">
        <v>256</v>
      </c>
      <c r="D6336" s="329">
        <v>60.38</v>
      </c>
    </row>
    <row r="6337" spans="1:4" ht="29.25" customHeight="1">
      <c r="A6337" s="47">
        <v>711</v>
      </c>
      <c r="B6337" s="48" t="s">
        <v>2601</v>
      </c>
      <c r="C6337" s="47" t="s">
        <v>256</v>
      </c>
      <c r="D6337" s="332">
        <v>40.659999999999997</v>
      </c>
    </row>
    <row r="6338" spans="1:4" ht="30">
      <c r="A6338" s="28">
        <v>712</v>
      </c>
      <c r="B6338" s="26" t="s">
        <v>2602</v>
      </c>
      <c r="C6338" s="28" t="s">
        <v>256</v>
      </c>
      <c r="D6338" s="329">
        <v>48.2</v>
      </c>
    </row>
    <row r="6339" spans="1:4" ht="30">
      <c r="A6339" s="47">
        <v>36191</v>
      </c>
      <c r="B6339" s="48" t="s">
        <v>2602</v>
      </c>
      <c r="C6339" s="47" t="s">
        <v>65</v>
      </c>
      <c r="D6339" s="332">
        <v>2.83</v>
      </c>
    </row>
    <row r="6340" spans="1:4" ht="30">
      <c r="A6340" s="28">
        <v>36169</v>
      </c>
      <c r="B6340" s="26" t="s">
        <v>2603</v>
      </c>
      <c r="C6340" s="28" t="s">
        <v>256</v>
      </c>
      <c r="D6340" s="329">
        <v>47.17</v>
      </c>
    </row>
    <row r="6341" spans="1:4" ht="30">
      <c r="A6341" s="47">
        <v>36172</v>
      </c>
      <c r="B6341" s="48" t="s">
        <v>2604</v>
      </c>
      <c r="C6341" s="47" t="s">
        <v>256</v>
      </c>
      <c r="D6341" s="332">
        <v>38.950000000000003</v>
      </c>
    </row>
    <row r="6342" spans="1:4" ht="30">
      <c r="A6342" s="28">
        <v>36174</v>
      </c>
      <c r="B6342" s="26" t="s">
        <v>2605</v>
      </c>
      <c r="C6342" s="28" t="s">
        <v>256</v>
      </c>
      <c r="D6342" s="329">
        <v>58.43</v>
      </c>
    </row>
    <row r="6343" spans="1:4" ht="30">
      <c r="A6343" s="47">
        <v>36170</v>
      </c>
      <c r="B6343" s="48" t="s">
        <v>2606</v>
      </c>
      <c r="C6343" s="47" t="s">
        <v>256</v>
      </c>
      <c r="D6343" s="332">
        <v>47.47</v>
      </c>
    </row>
    <row r="6344" spans="1:4" ht="30">
      <c r="A6344" s="28">
        <v>12614</v>
      </c>
      <c r="B6344" s="26" t="s">
        <v>2623</v>
      </c>
      <c r="C6344" s="28" t="s">
        <v>65</v>
      </c>
      <c r="D6344" s="329">
        <v>16.420000000000002</v>
      </c>
    </row>
    <row r="6345" spans="1:4">
      <c r="A6345" s="47">
        <v>6140</v>
      </c>
      <c r="B6345" s="48" t="s">
        <v>2624</v>
      </c>
      <c r="C6345" s="47" t="s">
        <v>65</v>
      </c>
      <c r="D6345" s="332">
        <v>2.25</v>
      </c>
    </row>
    <row r="6346" spans="1:4">
      <c r="A6346" s="28">
        <v>38399</v>
      </c>
      <c r="B6346" s="26" t="s">
        <v>2625</v>
      </c>
      <c r="C6346" s="28" t="s">
        <v>65</v>
      </c>
      <c r="D6346" s="329">
        <v>122.89</v>
      </c>
    </row>
    <row r="6347" spans="1:4" ht="45">
      <c r="A6347" s="47">
        <v>735</v>
      </c>
      <c r="B6347" s="48" t="s">
        <v>2626</v>
      </c>
      <c r="C6347" s="47" t="s">
        <v>65</v>
      </c>
      <c r="D6347" s="332">
        <v>1595.68</v>
      </c>
    </row>
    <row r="6348" spans="1:4" ht="45">
      <c r="A6348" s="28">
        <v>736</v>
      </c>
      <c r="B6348" s="26" t="s">
        <v>2627</v>
      </c>
      <c r="C6348" s="28" t="s">
        <v>65</v>
      </c>
      <c r="D6348" s="329">
        <v>1341.68</v>
      </c>
    </row>
    <row r="6349" spans="1:4" ht="30">
      <c r="A6349" s="47">
        <v>729</v>
      </c>
      <c r="B6349" s="48" t="s">
        <v>2629</v>
      </c>
      <c r="C6349" s="47" t="s">
        <v>65</v>
      </c>
      <c r="D6349" s="332">
        <v>546.75</v>
      </c>
    </row>
    <row r="6350" spans="1:4" ht="45">
      <c r="A6350" s="28">
        <v>39925</v>
      </c>
      <c r="B6350" s="26" t="s">
        <v>2636</v>
      </c>
      <c r="C6350" s="28" t="s">
        <v>65</v>
      </c>
      <c r="D6350" s="329">
        <v>7900.48</v>
      </c>
    </row>
    <row r="6351" spans="1:4" ht="30">
      <c r="A6351" s="47">
        <v>731</v>
      </c>
      <c r="B6351" s="48" t="s">
        <v>2637</v>
      </c>
      <c r="C6351" s="47" t="s">
        <v>65</v>
      </c>
      <c r="D6351" s="332">
        <v>532.12</v>
      </c>
    </row>
    <row r="6352" spans="1:4" ht="45">
      <c r="A6352" s="28">
        <v>10575</v>
      </c>
      <c r="B6352" s="26" t="s">
        <v>2638</v>
      </c>
      <c r="C6352" s="28" t="s">
        <v>65</v>
      </c>
      <c r="D6352" s="329">
        <v>830.41</v>
      </c>
    </row>
    <row r="6353" spans="1:4" ht="45">
      <c r="A6353" s="47">
        <v>733</v>
      </c>
      <c r="B6353" s="48" t="s">
        <v>2639</v>
      </c>
      <c r="C6353" s="47" t="s">
        <v>65</v>
      </c>
      <c r="D6353" s="332">
        <v>909.2</v>
      </c>
    </row>
    <row r="6354" spans="1:4" ht="30">
      <c r="A6354" s="28">
        <v>732</v>
      </c>
      <c r="B6354" s="26" t="s">
        <v>2640</v>
      </c>
      <c r="C6354" s="28" t="s">
        <v>65</v>
      </c>
      <c r="D6354" s="329">
        <v>896.98</v>
      </c>
    </row>
    <row r="6355" spans="1:4" ht="45">
      <c r="A6355" s="47">
        <v>737</v>
      </c>
      <c r="B6355" s="48" t="s">
        <v>2641</v>
      </c>
      <c r="C6355" s="47" t="s">
        <v>65</v>
      </c>
      <c r="D6355" s="332">
        <v>5030.01</v>
      </c>
    </row>
    <row r="6356" spans="1:4" ht="30">
      <c r="A6356" s="28">
        <v>738</v>
      </c>
      <c r="B6356" s="26" t="s">
        <v>2642</v>
      </c>
      <c r="C6356" s="28" t="s">
        <v>65</v>
      </c>
      <c r="D6356" s="329">
        <v>2332.38</v>
      </c>
    </row>
    <row r="6357" spans="1:4" ht="45">
      <c r="A6357" s="47">
        <v>740</v>
      </c>
      <c r="B6357" s="48" t="s">
        <v>2643</v>
      </c>
      <c r="C6357" s="47" t="s">
        <v>65</v>
      </c>
      <c r="D6357" s="332">
        <v>4731.91</v>
      </c>
    </row>
    <row r="6358" spans="1:4" ht="45">
      <c r="A6358" s="28">
        <v>734</v>
      </c>
      <c r="B6358" s="26" t="s">
        <v>2644</v>
      </c>
      <c r="C6358" s="28" t="s">
        <v>65</v>
      </c>
      <c r="D6358" s="329">
        <v>961.56</v>
      </c>
    </row>
    <row r="6359" spans="1:4">
      <c r="A6359" s="47">
        <v>39008</v>
      </c>
      <c r="B6359" s="48" t="s">
        <v>2645</v>
      </c>
      <c r="C6359" s="47" t="s">
        <v>65</v>
      </c>
      <c r="D6359" s="332">
        <v>40523.620000000003</v>
      </c>
    </row>
    <row r="6360" spans="1:4">
      <c r="A6360" s="28">
        <v>39009</v>
      </c>
      <c r="B6360" s="26" t="s">
        <v>2652</v>
      </c>
      <c r="C6360" s="28" t="s">
        <v>65</v>
      </c>
      <c r="D6360" s="329">
        <v>43416.04</v>
      </c>
    </row>
    <row r="6361" spans="1:4" ht="30">
      <c r="A6361" s="47">
        <v>39010</v>
      </c>
      <c r="B6361" s="48" t="s">
        <v>2659</v>
      </c>
      <c r="C6361" s="47" t="s">
        <v>65</v>
      </c>
      <c r="D6361" s="332">
        <v>115431.41</v>
      </c>
    </row>
    <row r="6362" spans="1:4">
      <c r="A6362" s="28">
        <v>40295</v>
      </c>
      <c r="B6362" s="26" t="s">
        <v>2660</v>
      </c>
      <c r="C6362" s="28" t="s">
        <v>57</v>
      </c>
      <c r="D6362" s="329">
        <v>2.4500000000000002</v>
      </c>
    </row>
    <row r="6363" spans="1:4">
      <c r="A6363" s="47">
        <v>745</v>
      </c>
      <c r="B6363" s="48" t="s">
        <v>2661</v>
      </c>
      <c r="C6363" s="47" t="s">
        <v>57</v>
      </c>
      <c r="D6363" s="332">
        <v>2.59</v>
      </c>
    </row>
    <row r="6364" spans="1:4" ht="45">
      <c r="A6364" s="28">
        <v>10587</v>
      </c>
      <c r="B6364" s="26" t="s">
        <v>2669</v>
      </c>
      <c r="C6364" s="28" t="s">
        <v>65</v>
      </c>
      <c r="D6364" s="329">
        <v>2194.04</v>
      </c>
    </row>
    <row r="6365" spans="1:4" ht="45">
      <c r="A6365" s="47">
        <v>759</v>
      </c>
      <c r="B6365" s="48" t="s">
        <v>2670</v>
      </c>
      <c r="C6365" s="47" t="s">
        <v>65</v>
      </c>
      <c r="D6365" s="332">
        <v>3154.59</v>
      </c>
    </row>
    <row r="6366" spans="1:4" ht="45">
      <c r="A6366" s="28">
        <v>761</v>
      </c>
      <c r="B6366" s="26" t="s">
        <v>2671</v>
      </c>
      <c r="C6366" s="28" t="s">
        <v>65</v>
      </c>
      <c r="D6366" s="329">
        <v>5347.3</v>
      </c>
    </row>
    <row r="6367" spans="1:4" ht="45">
      <c r="A6367" s="47">
        <v>750</v>
      </c>
      <c r="B6367" s="48" t="s">
        <v>2672</v>
      </c>
      <c r="C6367" s="47" t="s">
        <v>65</v>
      </c>
      <c r="D6367" s="332">
        <v>5076.84</v>
      </c>
    </row>
    <row r="6368" spans="1:4" ht="45">
      <c r="A6368" s="28">
        <v>755</v>
      </c>
      <c r="B6368" s="26" t="s">
        <v>2673</v>
      </c>
      <c r="C6368" s="28" t="s">
        <v>65</v>
      </c>
      <c r="D6368" s="329">
        <v>20832.89</v>
      </c>
    </row>
    <row r="6369" spans="1:4" ht="45">
      <c r="A6369" s="47">
        <v>749</v>
      </c>
      <c r="B6369" s="48" t="s">
        <v>2674</v>
      </c>
      <c r="C6369" s="47" t="s">
        <v>65</v>
      </c>
      <c r="D6369" s="332">
        <v>7661.95</v>
      </c>
    </row>
    <row r="6370" spans="1:4" ht="45">
      <c r="A6370" s="28">
        <v>756</v>
      </c>
      <c r="B6370" s="26" t="s">
        <v>2675</v>
      </c>
      <c r="C6370" s="28" t="s">
        <v>65</v>
      </c>
      <c r="D6370" s="329">
        <v>22721.06</v>
      </c>
    </row>
    <row r="6371" spans="1:4" ht="43.5" customHeight="1">
      <c r="A6371" s="47">
        <v>4084</v>
      </c>
      <c r="B6371" s="48" t="s">
        <v>2683</v>
      </c>
      <c r="C6371" s="47" t="s">
        <v>57</v>
      </c>
      <c r="D6371" s="332">
        <v>2.48</v>
      </c>
    </row>
    <row r="6372" spans="1:4" ht="45">
      <c r="A6372" s="28">
        <v>743</v>
      </c>
      <c r="B6372" s="26" t="s">
        <v>2684</v>
      </c>
      <c r="C6372" s="28" t="s">
        <v>57</v>
      </c>
      <c r="D6372" s="329">
        <v>2.48</v>
      </c>
    </row>
    <row r="6373" spans="1:4" ht="45">
      <c r="A6373" s="47">
        <v>40293</v>
      </c>
      <c r="B6373" s="48" t="s">
        <v>2685</v>
      </c>
      <c r="C6373" s="47" t="s">
        <v>57</v>
      </c>
      <c r="D6373" s="332">
        <v>2.97</v>
      </c>
    </row>
    <row r="6374" spans="1:4" ht="45">
      <c r="A6374" s="28">
        <v>40294</v>
      </c>
      <c r="B6374" s="26" t="s">
        <v>2686</v>
      </c>
      <c r="C6374" s="28" t="s">
        <v>57</v>
      </c>
      <c r="D6374" s="329">
        <v>2.48</v>
      </c>
    </row>
    <row r="6375" spans="1:4" ht="45">
      <c r="A6375" s="47">
        <v>4085</v>
      </c>
      <c r="B6375" s="48" t="s">
        <v>2687</v>
      </c>
      <c r="C6375" s="47" t="s">
        <v>57</v>
      </c>
      <c r="D6375" s="332">
        <v>3.47</v>
      </c>
    </row>
    <row r="6376" spans="1:4" ht="30">
      <c r="A6376" s="28">
        <v>757</v>
      </c>
      <c r="B6376" s="26" t="s">
        <v>2688</v>
      </c>
      <c r="C6376" s="28" t="s">
        <v>65</v>
      </c>
      <c r="D6376" s="329">
        <v>10316.81</v>
      </c>
    </row>
    <row r="6377" spans="1:4" ht="45">
      <c r="A6377" s="47">
        <v>10588</v>
      </c>
      <c r="B6377" s="48" t="s">
        <v>2689</v>
      </c>
      <c r="C6377" s="47" t="s">
        <v>65</v>
      </c>
      <c r="D6377" s="332">
        <v>2277.69</v>
      </c>
    </row>
    <row r="6378" spans="1:4" ht="45">
      <c r="A6378" s="28">
        <v>10592</v>
      </c>
      <c r="B6378" s="26" t="s">
        <v>2690</v>
      </c>
      <c r="C6378" s="28" t="s">
        <v>65</v>
      </c>
      <c r="D6378" s="329">
        <v>2751.15</v>
      </c>
    </row>
    <row r="6379" spans="1:4" ht="45">
      <c r="A6379" s="47">
        <v>10589</v>
      </c>
      <c r="B6379" s="48" t="s">
        <v>11187</v>
      </c>
      <c r="C6379" s="47" t="s">
        <v>65</v>
      </c>
      <c r="D6379" s="332">
        <v>3695.99</v>
      </c>
    </row>
    <row r="6380" spans="1:4" ht="45">
      <c r="A6380" s="28">
        <v>760</v>
      </c>
      <c r="B6380" s="26" t="s">
        <v>2691</v>
      </c>
      <c r="C6380" s="28" t="s">
        <v>65</v>
      </c>
      <c r="D6380" s="329">
        <v>20633.62</v>
      </c>
    </row>
    <row r="6381" spans="1:4" ht="45">
      <c r="A6381" s="47">
        <v>751</v>
      </c>
      <c r="B6381" s="48" t="s">
        <v>2692</v>
      </c>
      <c r="C6381" s="47" t="s">
        <v>65</v>
      </c>
      <c r="D6381" s="332">
        <v>3249.79</v>
      </c>
    </row>
    <row r="6382" spans="1:4" ht="45">
      <c r="A6382" s="28">
        <v>754</v>
      </c>
      <c r="B6382" s="26" t="s">
        <v>2693</v>
      </c>
      <c r="C6382" s="28" t="s">
        <v>65</v>
      </c>
      <c r="D6382" s="329">
        <v>5158.3999999999996</v>
      </c>
    </row>
    <row r="6383" spans="1:4">
      <c r="A6383" s="47">
        <v>14013</v>
      </c>
      <c r="B6383" s="48" t="s">
        <v>2694</v>
      </c>
      <c r="C6383" s="47" t="s">
        <v>65</v>
      </c>
      <c r="D6383" s="332">
        <v>135921.79999999999</v>
      </c>
    </row>
    <row r="6384" spans="1:4" ht="30">
      <c r="A6384" s="28">
        <v>39917</v>
      </c>
      <c r="B6384" s="26" t="s">
        <v>2695</v>
      </c>
      <c r="C6384" s="28" t="s">
        <v>65</v>
      </c>
      <c r="D6384" s="329">
        <v>62247.199999999997</v>
      </c>
    </row>
    <row r="6385" spans="1:4">
      <c r="A6385" s="47">
        <v>5081</v>
      </c>
      <c r="B6385" s="48" t="s">
        <v>2702</v>
      </c>
      <c r="C6385" s="47" t="s">
        <v>131</v>
      </c>
      <c r="D6385" s="332">
        <v>16.21</v>
      </c>
    </row>
    <row r="6386" spans="1:4">
      <c r="A6386" s="28">
        <v>38167</v>
      </c>
      <c r="B6386" s="26" t="s">
        <v>2703</v>
      </c>
      <c r="C6386" s="28" t="s">
        <v>131</v>
      </c>
      <c r="D6386" s="329">
        <v>13.97</v>
      </c>
    </row>
    <row r="6387" spans="1:4">
      <c r="A6387" s="47">
        <v>36145</v>
      </c>
      <c r="B6387" s="48" t="s">
        <v>2704</v>
      </c>
      <c r="C6387" s="47" t="s">
        <v>131</v>
      </c>
      <c r="D6387" s="332">
        <v>28.45</v>
      </c>
    </row>
    <row r="6388" spans="1:4">
      <c r="A6388" s="28">
        <v>12893</v>
      </c>
      <c r="B6388" s="26" t="s">
        <v>2705</v>
      </c>
      <c r="C6388" s="28" t="s">
        <v>131</v>
      </c>
      <c r="D6388" s="329">
        <v>47.42</v>
      </c>
    </row>
    <row r="6389" spans="1:4">
      <c r="A6389" s="47">
        <v>11685</v>
      </c>
      <c r="B6389" s="48" t="s">
        <v>2706</v>
      </c>
      <c r="C6389" s="47" t="s">
        <v>65</v>
      </c>
      <c r="D6389" s="332">
        <v>17.420000000000002</v>
      </c>
    </row>
    <row r="6390" spans="1:4">
      <c r="A6390" s="28">
        <v>11679</v>
      </c>
      <c r="B6390" s="26" t="s">
        <v>2707</v>
      </c>
      <c r="C6390" s="28" t="s">
        <v>65</v>
      </c>
      <c r="D6390" s="329">
        <v>5.08</v>
      </c>
    </row>
    <row r="6391" spans="1:4">
      <c r="A6391" s="47">
        <v>11680</v>
      </c>
      <c r="B6391" s="48" t="s">
        <v>2708</v>
      </c>
      <c r="C6391" s="47" t="s">
        <v>65</v>
      </c>
      <c r="D6391" s="332">
        <v>4.1900000000000004</v>
      </c>
    </row>
    <row r="6392" spans="1:4">
      <c r="A6392" s="28">
        <v>2512</v>
      </c>
      <c r="B6392" s="26" t="s">
        <v>2711</v>
      </c>
      <c r="C6392" s="28" t="s">
        <v>65</v>
      </c>
      <c r="D6392" s="329">
        <v>15.45</v>
      </c>
    </row>
    <row r="6393" spans="1:4">
      <c r="A6393" s="47">
        <v>38389</v>
      </c>
      <c r="B6393" s="48" t="s">
        <v>2712</v>
      </c>
      <c r="C6393" s="47" t="s">
        <v>65</v>
      </c>
      <c r="D6393" s="332">
        <v>7.14</v>
      </c>
    </row>
    <row r="6394" spans="1:4" ht="57.75" customHeight="1">
      <c r="A6394" s="28">
        <v>4374</v>
      </c>
      <c r="B6394" s="26" t="s">
        <v>2713</v>
      </c>
      <c r="C6394" s="28" t="s">
        <v>65</v>
      </c>
      <c r="D6394" s="329">
        <v>0.18</v>
      </c>
    </row>
    <row r="6395" spans="1:4" ht="30">
      <c r="A6395" s="47">
        <v>7568</v>
      </c>
      <c r="B6395" s="48" t="s">
        <v>2714</v>
      </c>
      <c r="C6395" s="47" t="s">
        <v>65</v>
      </c>
      <c r="D6395" s="332">
        <v>0.3</v>
      </c>
    </row>
    <row r="6396" spans="1:4" ht="30">
      <c r="A6396" s="28">
        <v>7584</v>
      </c>
      <c r="B6396" s="26" t="s">
        <v>2715</v>
      </c>
      <c r="C6396" s="28" t="s">
        <v>65</v>
      </c>
      <c r="D6396" s="329">
        <v>0.46</v>
      </c>
    </row>
    <row r="6397" spans="1:4">
      <c r="A6397" s="47">
        <v>11945</v>
      </c>
      <c r="B6397" s="48" t="s">
        <v>2716</v>
      </c>
      <c r="C6397" s="47" t="s">
        <v>65</v>
      </c>
      <c r="D6397" s="332">
        <v>0.03</v>
      </c>
    </row>
    <row r="6398" spans="1:4">
      <c r="A6398" s="28">
        <v>11946</v>
      </c>
      <c r="B6398" s="26" t="s">
        <v>2717</v>
      </c>
      <c r="C6398" s="28" t="s">
        <v>65</v>
      </c>
      <c r="D6398" s="329">
        <v>0.03</v>
      </c>
    </row>
    <row r="6399" spans="1:4" ht="57.75" customHeight="1">
      <c r="A6399" s="47">
        <v>4375</v>
      </c>
      <c r="B6399" s="48" t="s">
        <v>2718</v>
      </c>
      <c r="C6399" s="47" t="s">
        <v>65</v>
      </c>
      <c r="D6399" s="332">
        <v>0.05</v>
      </c>
    </row>
    <row r="6400" spans="1:4" ht="30">
      <c r="A6400" s="28">
        <v>11950</v>
      </c>
      <c r="B6400" s="26" t="s">
        <v>2719</v>
      </c>
      <c r="C6400" s="28" t="s">
        <v>65</v>
      </c>
      <c r="D6400" s="329">
        <v>0.1</v>
      </c>
    </row>
    <row r="6401" spans="1:4">
      <c r="A6401" s="47">
        <v>4376</v>
      </c>
      <c r="B6401" s="48" t="s">
        <v>2720</v>
      </c>
      <c r="C6401" s="47" t="s">
        <v>65</v>
      </c>
      <c r="D6401" s="332">
        <v>0.09</v>
      </c>
    </row>
    <row r="6402" spans="1:4" ht="30">
      <c r="A6402" s="28">
        <v>7583</v>
      </c>
      <c r="B6402" s="26" t="s">
        <v>2721</v>
      </c>
      <c r="C6402" s="28" t="s">
        <v>65</v>
      </c>
      <c r="D6402" s="329">
        <v>0.2</v>
      </c>
    </row>
    <row r="6403" spans="1:4" ht="30">
      <c r="A6403" s="47">
        <v>4350</v>
      </c>
      <c r="B6403" s="48" t="s">
        <v>2722</v>
      </c>
      <c r="C6403" s="47" t="s">
        <v>65</v>
      </c>
      <c r="D6403" s="332">
        <v>0.28000000000000003</v>
      </c>
    </row>
    <row r="6404" spans="1:4">
      <c r="A6404" s="28">
        <v>39886</v>
      </c>
      <c r="B6404" s="26" t="s">
        <v>2723</v>
      </c>
      <c r="C6404" s="28" t="s">
        <v>65</v>
      </c>
      <c r="D6404" s="329">
        <v>4.12</v>
      </c>
    </row>
    <row r="6405" spans="1:4">
      <c r="A6405" s="47">
        <v>39887</v>
      </c>
      <c r="B6405" s="48" t="s">
        <v>2724</v>
      </c>
      <c r="C6405" s="47" t="s">
        <v>65</v>
      </c>
      <c r="D6405" s="332">
        <v>6.18</v>
      </c>
    </row>
    <row r="6406" spans="1:4">
      <c r="A6406" s="28">
        <v>39888</v>
      </c>
      <c r="B6406" s="26" t="s">
        <v>2725</v>
      </c>
      <c r="C6406" s="28" t="s">
        <v>65</v>
      </c>
      <c r="D6406" s="329">
        <v>14.14</v>
      </c>
    </row>
    <row r="6407" spans="1:4">
      <c r="A6407" s="47">
        <v>39890</v>
      </c>
      <c r="B6407" s="48" t="s">
        <v>2726</v>
      </c>
      <c r="C6407" s="47" t="s">
        <v>65</v>
      </c>
      <c r="D6407" s="332">
        <v>24.14</v>
      </c>
    </row>
    <row r="6408" spans="1:4">
      <c r="A6408" s="28">
        <v>39891</v>
      </c>
      <c r="B6408" s="26" t="s">
        <v>2727</v>
      </c>
      <c r="C6408" s="28" t="s">
        <v>65</v>
      </c>
      <c r="D6408" s="329">
        <v>34.04</v>
      </c>
    </row>
    <row r="6409" spans="1:4">
      <c r="A6409" s="47">
        <v>39892</v>
      </c>
      <c r="B6409" s="48" t="s">
        <v>2728</v>
      </c>
      <c r="C6409" s="47" t="s">
        <v>65</v>
      </c>
      <c r="D6409" s="332">
        <v>106.1</v>
      </c>
    </row>
    <row r="6410" spans="1:4">
      <c r="A6410" s="28">
        <v>790</v>
      </c>
      <c r="B6410" s="26" t="s">
        <v>2729</v>
      </c>
      <c r="C6410" s="28" t="s">
        <v>65</v>
      </c>
      <c r="D6410" s="329">
        <v>11.89</v>
      </c>
    </row>
    <row r="6411" spans="1:4">
      <c r="A6411" s="47">
        <v>766</v>
      </c>
      <c r="B6411" s="48" t="s">
        <v>2731</v>
      </c>
      <c r="C6411" s="47" t="s">
        <v>65</v>
      </c>
      <c r="D6411" s="332">
        <v>11.89</v>
      </c>
    </row>
    <row r="6412" spans="1:4">
      <c r="A6412" s="28">
        <v>791</v>
      </c>
      <c r="B6412" s="26" t="s">
        <v>2730</v>
      </c>
      <c r="C6412" s="28" t="s">
        <v>65</v>
      </c>
      <c r="D6412" s="329">
        <v>11.89</v>
      </c>
    </row>
    <row r="6413" spans="1:4">
      <c r="A6413" s="47">
        <v>767</v>
      </c>
      <c r="B6413" s="48" t="s">
        <v>2732</v>
      </c>
      <c r="C6413" s="47" t="s">
        <v>65</v>
      </c>
      <c r="D6413" s="332">
        <v>11.89</v>
      </c>
    </row>
    <row r="6414" spans="1:4">
      <c r="A6414" s="28">
        <v>768</v>
      </c>
      <c r="B6414" s="26" t="s">
        <v>2734</v>
      </c>
      <c r="C6414" s="28" t="s">
        <v>65</v>
      </c>
      <c r="D6414" s="329">
        <v>9.34</v>
      </c>
    </row>
    <row r="6415" spans="1:4">
      <c r="A6415" s="47">
        <v>789</v>
      </c>
      <c r="B6415" s="48" t="s">
        <v>2733</v>
      </c>
      <c r="C6415" s="47" t="s">
        <v>65</v>
      </c>
      <c r="D6415" s="332">
        <v>9.14</v>
      </c>
    </row>
    <row r="6416" spans="1:4">
      <c r="A6416" s="28">
        <v>769</v>
      </c>
      <c r="B6416" s="26" t="s">
        <v>2735</v>
      </c>
      <c r="C6416" s="28" t="s">
        <v>65</v>
      </c>
      <c r="D6416" s="329">
        <v>9.34</v>
      </c>
    </row>
    <row r="6417" spans="1:4">
      <c r="A6417" s="47">
        <v>770</v>
      </c>
      <c r="B6417" s="48" t="s">
        <v>2738</v>
      </c>
      <c r="C6417" s="47" t="s">
        <v>65</v>
      </c>
      <c r="D6417" s="332">
        <v>3.29</v>
      </c>
    </row>
    <row r="6418" spans="1:4">
      <c r="A6418" s="28">
        <v>12394</v>
      </c>
      <c r="B6418" s="26" t="s">
        <v>2739</v>
      </c>
      <c r="C6418" s="28" t="s">
        <v>65</v>
      </c>
      <c r="D6418" s="329">
        <v>3.29</v>
      </c>
    </row>
    <row r="6419" spans="1:4">
      <c r="A6419" s="47">
        <v>764</v>
      </c>
      <c r="B6419" s="48" t="s">
        <v>2736</v>
      </c>
      <c r="C6419" s="47" t="s">
        <v>65</v>
      </c>
      <c r="D6419" s="332">
        <v>5.75</v>
      </c>
    </row>
    <row r="6420" spans="1:4">
      <c r="A6420" s="28">
        <v>765</v>
      </c>
      <c r="B6420" s="26" t="s">
        <v>2737</v>
      </c>
      <c r="C6420" s="28" t="s">
        <v>65</v>
      </c>
      <c r="D6420" s="329">
        <v>5.75</v>
      </c>
    </row>
    <row r="6421" spans="1:4">
      <c r="A6421" s="47">
        <v>787</v>
      </c>
      <c r="B6421" s="48" t="s">
        <v>2740</v>
      </c>
      <c r="C6421" s="47" t="s">
        <v>65</v>
      </c>
      <c r="D6421" s="332">
        <v>25.68</v>
      </c>
    </row>
    <row r="6422" spans="1:4">
      <c r="A6422" s="28">
        <v>774</v>
      </c>
      <c r="B6422" s="26" t="s">
        <v>2741</v>
      </c>
      <c r="C6422" s="28" t="s">
        <v>65</v>
      </c>
      <c r="D6422" s="329">
        <v>25.68</v>
      </c>
    </row>
    <row r="6423" spans="1:4">
      <c r="A6423" s="47">
        <v>773</v>
      </c>
      <c r="B6423" s="48" t="s">
        <v>2742</v>
      </c>
      <c r="C6423" s="47" t="s">
        <v>65</v>
      </c>
      <c r="D6423" s="332">
        <v>25.68</v>
      </c>
    </row>
    <row r="6424" spans="1:4">
      <c r="A6424" s="28">
        <v>775</v>
      </c>
      <c r="B6424" s="26" t="s">
        <v>2743</v>
      </c>
      <c r="C6424" s="28" t="s">
        <v>65</v>
      </c>
      <c r="D6424" s="329">
        <v>25.68</v>
      </c>
    </row>
    <row r="6425" spans="1:4">
      <c r="A6425" s="47">
        <v>788</v>
      </c>
      <c r="B6425" s="48" t="s">
        <v>2744</v>
      </c>
      <c r="C6425" s="47" t="s">
        <v>65</v>
      </c>
      <c r="D6425" s="332">
        <v>15.96</v>
      </c>
    </row>
    <row r="6426" spans="1:4">
      <c r="A6426" s="28">
        <v>772</v>
      </c>
      <c r="B6426" s="26" t="s">
        <v>2745</v>
      </c>
      <c r="C6426" s="28" t="s">
        <v>65</v>
      </c>
      <c r="D6426" s="329">
        <v>15.96</v>
      </c>
    </row>
    <row r="6427" spans="1:4">
      <c r="A6427" s="47">
        <v>771</v>
      </c>
      <c r="B6427" s="48" t="s">
        <v>2746</v>
      </c>
      <c r="C6427" s="47" t="s">
        <v>65</v>
      </c>
      <c r="D6427" s="332">
        <v>15.96</v>
      </c>
    </row>
    <row r="6428" spans="1:4">
      <c r="A6428" s="28">
        <v>779</v>
      </c>
      <c r="B6428" s="26" t="s">
        <v>2751</v>
      </c>
      <c r="C6428" s="28" t="s">
        <v>65</v>
      </c>
      <c r="D6428" s="329">
        <v>3.97</v>
      </c>
    </row>
    <row r="6429" spans="1:4">
      <c r="A6429" s="47">
        <v>776</v>
      </c>
      <c r="B6429" s="48" t="s">
        <v>2747</v>
      </c>
      <c r="C6429" s="47" t="s">
        <v>65</v>
      </c>
      <c r="D6429" s="332">
        <v>37.86</v>
      </c>
    </row>
    <row r="6430" spans="1:4">
      <c r="A6430" s="28">
        <v>777</v>
      </c>
      <c r="B6430" s="26" t="s">
        <v>2748</v>
      </c>
      <c r="C6430" s="28" t="s">
        <v>65</v>
      </c>
      <c r="D6430" s="329">
        <v>36.81</v>
      </c>
    </row>
    <row r="6431" spans="1:4">
      <c r="A6431" s="47">
        <v>780</v>
      </c>
      <c r="B6431" s="48" t="s">
        <v>2749</v>
      </c>
      <c r="C6431" s="47" t="s">
        <v>65</v>
      </c>
      <c r="D6431" s="332">
        <v>36.99</v>
      </c>
    </row>
    <row r="6432" spans="1:4">
      <c r="A6432" s="28">
        <v>778</v>
      </c>
      <c r="B6432" s="26" t="s">
        <v>2750</v>
      </c>
      <c r="C6432" s="28" t="s">
        <v>65</v>
      </c>
      <c r="D6432" s="329">
        <v>37.86</v>
      </c>
    </row>
    <row r="6433" spans="1:4">
      <c r="A6433" s="47">
        <v>781</v>
      </c>
      <c r="B6433" s="48" t="s">
        <v>2752</v>
      </c>
      <c r="C6433" s="47" t="s">
        <v>65</v>
      </c>
      <c r="D6433" s="332">
        <v>69.95</v>
      </c>
    </row>
    <row r="6434" spans="1:4">
      <c r="A6434" s="28">
        <v>786</v>
      </c>
      <c r="B6434" s="26" t="s">
        <v>2753</v>
      </c>
      <c r="C6434" s="28" t="s">
        <v>65</v>
      </c>
      <c r="D6434" s="329">
        <v>69.95</v>
      </c>
    </row>
    <row r="6435" spans="1:4">
      <c r="A6435" s="47">
        <v>782</v>
      </c>
      <c r="B6435" s="48" t="s">
        <v>2754</v>
      </c>
      <c r="C6435" s="47" t="s">
        <v>65</v>
      </c>
      <c r="D6435" s="332">
        <v>69.95</v>
      </c>
    </row>
    <row r="6436" spans="1:4">
      <c r="A6436" s="28">
        <v>783</v>
      </c>
      <c r="B6436" s="26" t="s">
        <v>2755</v>
      </c>
      <c r="C6436" s="28" t="s">
        <v>65</v>
      </c>
      <c r="D6436" s="329">
        <v>191.46</v>
      </c>
    </row>
    <row r="6437" spans="1:4">
      <c r="A6437" s="47">
        <v>785</v>
      </c>
      <c r="B6437" s="48" t="s">
        <v>2756</v>
      </c>
      <c r="C6437" s="47" t="s">
        <v>65</v>
      </c>
      <c r="D6437" s="332">
        <v>202.3</v>
      </c>
    </row>
    <row r="6438" spans="1:4" ht="43.5" customHeight="1">
      <c r="A6438" s="28">
        <v>784</v>
      </c>
      <c r="B6438" s="26" t="s">
        <v>2757</v>
      </c>
      <c r="C6438" s="28" t="s">
        <v>65</v>
      </c>
      <c r="D6438" s="329">
        <v>217.02</v>
      </c>
    </row>
    <row r="6439" spans="1:4" ht="30">
      <c r="A6439" s="47">
        <v>831</v>
      </c>
      <c r="B6439" s="48" t="s">
        <v>2758</v>
      </c>
      <c r="C6439" s="47" t="s">
        <v>65</v>
      </c>
      <c r="D6439" s="332">
        <v>57.18</v>
      </c>
    </row>
    <row r="6440" spans="1:4">
      <c r="A6440" s="28">
        <v>828</v>
      </c>
      <c r="B6440" s="26" t="s">
        <v>2759</v>
      </c>
      <c r="C6440" s="28" t="s">
        <v>65</v>
      </c>
      <c r="D6440" s="329">
        <v>0.41</v>
      </c>
    </row>
    <row r="6441" spans="1:4">
      <c r="A6441" s="47">
        <v>829</v>
      </c>
      <c r="B6441" s="48" t="s">
        <v>2760</v>
      </c>
      <c r="C6441" s="47" t="s">
        <v>65</v>
      </c>
      <c r="D6441" s="332">
        <v>0.8</v>
      </c>
    </row>
    <row r="6442" spans="1:4">
      <c r="A6442" s="28">
        <v>812</v>
      </c>
      <c r="B6442" s="26" t="s">
        <v>2761</v>
      </c>
      <c r="C6442" s="28" t="s">
        <v>65</v>
      </c>
      <c r="D6442" s="329">
        <v>1.7</v>
      </c>
    </row>
    <row r="6443" spans="1:4">
      <c r="A6443" s="47">
        <v>819</v>
      </c>
      <c r="B6443" s="48" t="s">
        <v>2762</v>
      </c>
      <c r="C6443" s="47" t="s">
        <v>65</v>
      </c>
      <c r="D6443" s="332">
        <v>3.01</v>
      </c>
    </row>
    <row r="6444" spans="1:4">
      <c r="A6444" s="28">
        <v>818</v>
      </c>
      <c r="B6444" s="26" t="s">
        <v>2763</v>
      </c>
      <c r="C6444" s="28" t="s">
        <v>65</v>
      </c>
      <c r="D6444" s="329">
        <v>5.64</v>
      </c>
    </row>
    <row r="6445" spans="1:4">
      <c r="A6445" s="47">
        <v>823</v>
      </c>
      <c r="B6445" s="48" t="s">
        <v>2764</v>
      </c>
      <c r="C6445" s="47" t="s">
        <v>65</v>
      </c>
      <c r="D6445" s="332">
        <v>13.93</v>
      </c>
    </row>
    <row r="6446" spans="1:4">
      <c r="A6446" s="28">
        <v>830</v>
      </c>
      <c r="B6446" s="26" t="s">
        <v>2765</v>
      </c>
      <c r="C6446" s="28" t="s">
        <v>65</v>
      </c>
      <c r="D6446" s="329">
        <v>14.45</v>
      </c>
    </row>
    <row r="6447" spans="1:4" ht="30">
      <c r="A6447" s="47">
        <v>826</v>
      </c>
      <c r="B6447" s="48" t="s">
        <v>2767</v>
      </c>
      <c r="C6447" s="47" t="s">
        <v>65</v>
      </c>
      <c r="D6447" s="332">
        <v>24.38</v>
      </c>
    </row>
    <row r="6448" spans="1:4" ht="30">
      <c r="A6448" s="28">
        <v>827</v>
      </c>
      <c r="B6448" s="26" t="s">
        <v>2768</v>
      </c>
      <c r="C6448" s="28" t="s">
        <v>65</v>
      </c>
      <c r="D6448" s="329">
        <v>28.18</v>
      </c>
    </row>
    <row r="6449" spans="1:4">
      <c r="A6449" s="47">
        <v>832</v>
      </c>
      <c r="B6449" s="48" t="s">
        <v>2769</v>
      </c>
      <c r="C6449" s="47" t="s">
        <v>65</v>
      </c>
      <c r="D6449" s="332">
        <v>1.8</v>
      </c>
    </row>
    <row r="6450" spans="1:4">
      <c r="A6450" s="28">
        <v>833</v>
      </c>
      <c r="B6450" s="26" t="s">
        <v>2770</v>
      </c>
      <c r="C6450" s="28" t="s">
        <v>65</v>
      </c>
      <c r="D6450" s="329">
        <v>2.64</v>
      </c>
    </row>
    <row r="6451" spans="1:4">
      <c r="A6451" s="47">
        <v>834</v>
      </c>
      <c r="B6451" s="48" t="s">
        <v>2771</v>
      </c>
      <c r="C6451" s="47" t="s">
        <v>65</v>
      </c>
      <c r="D6451" s="332">
        <v>2.91</v>
      </c>
    </row>
    <row r="6452" spans="1:4">
      <c r="A6452" s="28">
        <v>825</v>
      </c>
      <c r="B6452" s="26" t="s">
        <v>2772</v>
      </c>
      <c r="C6452" s="28" t="s">
        <v>65</v>
      </c>
      <c r="D6452" s="329">
        <v>3.12</v>
      </c>
    </row>
    <row r="6453" spans="1:4">
      <c r="A6453" s="47">
        <v>813</v>
      </c>
      <c r="B6453" s="48" t="s">
        <v>2773</v>
      </c>
      <c r="C6453" s="47" t="s">
        <v>65</v>
      </c>
      <c r="D6453" s="332">
        <v>3.81</v>
      </c>
    </row>
    <row r="6454" spans="1:4">
      <c r="A6454" s="28">
        <v>820</v>
      </c>
      <c r="B6454" s="26" t="s">
        <v>2774</v>
      </c>
      <c r="C6454" s="28" t="s">
        <v>65</v>
      </c>
      <c r="D6454" s="329">
        <v>4.17</v>
      </c>
    </row>
    <row r="6455" spans="1:4">
      <c r="A6455" s="47">
        <v>816</v>
      </c>
      <c r="B6455" s="48" t="s">
        <v>2775</v>
      </c>
      <c r="C6455" s="47" t="s">
        <v>65</v>
      </c>
      <c r="D6455" s="332">
        <v>7.14</v>
      </c>
    </row>
    <row r="6456" spans="1:4">
      <c r="A6456" s="28">
        <v>814</v>
      </c>
      <c r="B6456" s="26" t="s">
        <v>2776</v>
      </c>
      <c r="C6456" s="28" t="s">
        <v>65</v>
      </c>
      <c r="D6456" s="329">
        <v>8.9</v>
      </c>
    </row>
    <row r="6457" spans="1:4">
      <c r="A6457" s="47">
        <v>815</v>
      </c>
      <c r="B6457" s="48" t="s">
        <v>2777</v>
      </c>
      <c r="C6457" s="47" t="s">
        <v>65</v>
      </c>
      <c r="D6457" s="332">
        <v>9.14</v>
      </c>
    </row>
    <row r="6458" spans="1:4">
      <c r="A6458" s="28">
        <v>822</v>
      </c>
      <c r="B6458" s="26" t="s">
        <v>2778</v>
      </c>
      <c r="C6458" s="28" t="s">
        <v>65</v>
      </c>
      <c r="D6458" s="329">
        <v>10.57</v>
      </c>
    </row>
    <row r="6459" spans="1:4">
      <c r="A6459" s="47">
        <v>821</v>
      </c>
      <c r="B6459" s="48" t="s">
        <v>2779</v>
      </c>
      <c r="C6459" s="47" t="s">
        <v>65</v>
      </c>
      <c r="D6459" s="332">
        <v>12.65</v>
      </c>
    </row>
    <row r="6460" spans="1:4">
      <c r="A6460" s="28">
        <v>817</v>
      </c>
      <c r="B6460" s="26" t="s">
        <v>2780</v>
      </c>
      <c r="C6460" s="28" t="s">
        <v>65</v>
      </c>
      <c r="D6460" s="329">
        <v>17.29</v>
      </c>
    </row>
    <row r="6461" spans="1:4">
      <c r="A6461" s="47">
        <v>20086</v>
      </c>
      <c r="B6461" s="48" t="s">
        <v>2766</v>
      </c>
      <c r="C6461" s="47" t="s">
        <v>65</v>
      </c>
      <c r="D6461" s="332">
        <v>2.38</v>
      </c>
    </row>
    <row r="6462" spans="1:4">
      <c r="A6462" s="28">
        <v>39191</v>
      </c>
      <c r="B6462" s="26" t="s">
        <v>2781</v>
      </c>
      <c r="C6462" s="28" t="s">
        <v>65</v>
      </c>
      <c r="D6462" s="329">
        <v>9.0500000000000007</v>
      </c>
    </row>
    <row r="6463" spans="1:4">
      <c r="A6463" s="47">
        <v>39190</v>
      </c>
      <c r="B6463" s="48" t="s">
        <v>2782</v>
      </c>
      <c r="C6463" s="47" t="s">
        <v>65</v>
      </c>
      <c r="D6463" s="332">
        <v>9.4600000000000009</v>
      </c>
    </row>
    <row r="6464" spans="1:4">
      <c r="A6464" s="28">
        <v>39189</v>
      </c>
      <c r="B6464" s="26" t="s">
        <v>2783</v>
      </c>
      <c r="C6464" s="28" t="s">
        <v>65</v>
      </c>
      <c r="D6464" s="329">
        <v>10.01</v>
      </c>
    </row>
    <row r="6465" spans="1:4">
      <c r="A6465" s="47">
        <v>39186</v>
      </c>
      <c r="B6465" s="48" t="s">
        <v>2785</v>
      </c>
      <c r="C6465" s="47" t="s">
        <v>65</v>
      </c>
      <c r="D6465" s="332">
        <v>8.9600000000000009</v>
      </c>
    </row>
    <row r="6466" spans="1:4">
      <c r="A6466" s="28">
        <v>39188</v>
      </c>
      <c r="B6466" s="26" t="s">
        <v>2784</v>
      </c>
      <c r="C6466" s="28" t="s">
        <v>65</v>
      </c>
      <c r="D6466" s="329">
        <v>7.37</v>
      </c>
    </row>
    <row r="6467" spans="1:4">
      <c r="A6467" s="47">
        <v>39187</v>
      </c>
      <c r="B6467" s="48" t="s">
        <v>2786</v>
      </c>
      <c r="C6467" s="47" t="s">
        <v>65</v>
      </c>
      <c r="D6467" s="332">
        <v>7.72</v>
      </c>
    </row>
    <row r="6468" spans="1:4">
      <c r="A6468" s="28">
        <v>39184</v>
      </c>
      <c r="B6468" s="26" t="s">
        <v>2787</v>
      </c>
      <c r="C6468" s="28" t="s">
        <v>65</v>
      </c>
      <c r="D6468" s="329">
        <v>2.9</v>
      </c>
    </row>
    <row r="6469" spans="1:4">
      <c r="A6469" s="47">
        <v>39185</v>
      </c>
      <c r="B6469" s="48" t="s">
        <v>2788</v>
      </c>
      <c r="C6469" s="47" t="s">
        <v>65</v>
      </c>
      <c r="D6469" s="332">
        <v>2.65</v>
      </c>
    </row>
    <row r="6470" spans="1:4">
      <c r="A6470" s="28">
        <v>39198</v>
      </c>
      <c r="B6470" s="26" t="s">
        <v>2789</v>
      </c>
      <c r="C6470" s="28" t="s">
        <v>65</v>
      </c>
      <c r="D6470" s="329">
        <v>29.71</v>
      </c>
    </row>
    <row r="6471" spans="1:4">
      <c r="A6471" s="47">
        <v>39197</v>
      </c>
      <c r="B6471" s="48" t="s">
        <v>2790</v>
      </c>
      <c r="C6471" s="47" t="s">
        <v>65</v>
      </c>
      <c r="D6471" s="332">
        <v>31.04</v>
      </c>
    </row>
    <row r="6472" spans="1:4">
      <c r="A6472" s="28">
        <v>39196</v>
      </c>
      <c r="B6472" s="26" t="s">
        <v>2791</v>
      </c>
      <c r="C6472" s="28" t="s">
        <v>65</v>
      </c>
      <c r="D6472" s="329">
        <v>32.01</v>
      </c>
    </row>
    <row r="6473" spans="1:4">
      <c r="A6473" s="47">
        <v>39199</v>
      </c>
      <c r="B6473" s="48" t="s">
        <v>2792</v>
      </c>
      <c r="C6473" s="47" t="s">
        <v>65</v>
      </c>
      <c r="D6473" s="332">
        <v>28.59</v>
      </c>
    </row>
    <row r="6474" spans="1:4">
      <c r="A6474" s="28">
        <v>39195</v>
      </c>
      <c r="B6474" s="26" t="s">
        <v>2793</v>
      </c>
      <c r="C6474" s="28" t="s">
        <v>65</v>
      </c>
      <c r="D6474" s="329">
        <v>16.5</v>
      </c>
    </row>
    <row r="6475" spans="1:4">
      <c r="A6475" s="47">
        <v>39194</v>
      </c>
      <c r="B6475" s="48" t="s">
        <v>2794</v>
      </c>
      <c r="C6475" s="47" t="s">
        <v>65</v>
      </c>
      <c r="D6475" s="332">
        <v>17.66</v>
      </c>
    </row>
    <row r="6476" spans="1:4">
      <c r="A6476" s="28">
        <v>39193</v>
      </c>
      <c r="B6476" s="26" t="s">
        <v>2795</v>
      </c>
      <c r="C6476" s="28" t="s">
        <v>65</v>
      </c>
      <c r="D6476" s="329">
        <v>19.36</v>
      </c>
    </row>
    <row r="6477" spans="1:4">
      <c r="A6477" s="47">
        <v>39192</v>
      </c>
      <c r="B6477" s="48" t="s">
        <v>2796</v>
      </c>
      <c r="C6477" s="47" t="s">
        <v>65</v>
      </c>
      <c r="D6477" s="332">
        <v>20.13</v>
      </c>
    </row>
    <row r="6478" spans="1:4">
      <c r="A6478" s="28">
        <v>39920</v>
      </c>
      <c r="B6478" s="26" t="s">
        <v>2801</v>
      </c>
      <c r="C6478" s="28" t="s">
        <v>65</v>
      </c>
      <c r="D6478" s="329">
        <v>2.4300000000000002</v>
      </c>
    </row>
    <row r="6479" spans="1:4">
      <c r="A6479" s="47">
        <v>39201</v>
      </c>
      <c r="B6479" s="48" t="s">
        <v>2797</v>
      </c>
      <c r="C6479" s="47" t="s">
        <v>65</v>
      </c>
      <c r="D6479" s="332">
        <v>35.520000000000003</v>
      </c>
    </row>
    <row r="6480" spans="1:4">
      <c r="A6480" s="28">
        <v>39200</v>
      </c>
      <c r="B6480" s="26" t="s">
        <v>2798</v>
      </c>
      <c r="C6480" s="28" t="s">
        <v>65</v>
      </c>
      <c r="D6480" s="329">
        <v>35.81</v>
      </c>
    </row>
    <row r="6481" spans="1:4">
      <c r="A6481" s="47">
        <v>39203</v>
      </c>
      <c r="B6481" s="48" t="s">
        <v>2799</v>
      </c>
      <c r="C6481" s="47" t="s">
        <v>65</v>
      </c>
      <c r="D6481" s="332">
        <v>28.91</v>
      </c>
    </row>
    <row r="6482" spans="1:4">
      <c r="A6482" s="28">
        <v>39202</v>
      </c>
      <c r="B6482" s="26" t="s">
        <v>2800</v>
      </c>
      <c r="C6482" s="28" t="s">
        <v>65</v>
      </c>
      <c r="D6482" s="329">
        <v>33.97</v>
      </c>
    </row>
    <row r="6483" spans="1:4">
      <c r="A6483" s="47">
        <v>39205</v>
      </c>
      <c r="B6483" s="48" t="s">
        <v>2802</v>
      </c>
      <c r="C6483" s="47" t="s">
        <v>65</v>
      </c>
      <c r="D6483" s="332">
        <v>56.67</v>
      </c>
    </row>
    <row r="6484" spans="1:4">
      <c r="A6484" s="28">
        <v>39204</v>
      </c>
      <c r="B6484" s="26" t="s">
        <v>2803</v>
      </c>
      <c r="C6484" s="28" t="s">
        <v>65</v>
      </c>
      <c r="D6484" s="329">
        <v>58.04</v>
      </c>
    </row>
    <row r="6485" spans="1:4">
      <c r="A6485" s="47">
        <v>39206</v>
      </c>
      <c r="B6485" s="48" t="s">
        <v>2804</v>
      </c>
      <c r="C6485" s="47" t="s">
        <v>65</v>
      </c>
      <c r="D6485" s="332">
        <v>55.06</v>
      </c>
    </row>
    <row r="6486" spans="1:4">
      <c r="A6486" s="28">
        <v>792</v>
      </c>
      <c r="B6486" s="26" t="s">
        <v>2815</v>
      </c>
      <c r="C6486" s="28" t="s">
        <v>65</v>
      </c>
      <c r="D6486" s="329">
        <v>2.57</v>
      </c>
    </row>
    <row r="6487" spans="1:4">
      <c r="A6487" s="47">
        <v>38001</v>
      </c>
      <c r="B6487" s="48" t="s">
        <v>2816</v>
      </c>
      <c r="C6487" s="47" t="s">
        <v>65</v>
      </c>
      <c r="D6487" s="332">
        <v>0.87</v>
      </c>
    </row>
    <row r="6488" spans="1:4">
      <c r="A6488" s="28">
        <v>38002</v>
      </c>
      <c r="B6488" s="26" t="s">
        <v>2817</v>
      </c>
      <c r="C6488" s="28" t="s">
        <v>65</v>
      </c>
      <c r="D6488" s="329">
        <v>1.62</v>
      </c>
    </row>
    <row r="6489" spans="1:4">
      <c r="A6489" s="47">
        <v>38003</v>
      </c>
      <c r="B6489" s="48" t="s">
        <v>2818</v>
      </c>
      <c r="C6489" s="47" t="s">
        <v>65</v>
      </c>
      <c r="D6489" s="332">
        <v>19.45</v>
      </c>
    </row>
    <row r="6490" spans="1:4">
      <c r="A6490" s="28">
        <v>38004</v>
      </c>
      <c r="B6490" s="26" t="s">
        <v>2819</v>
      </c>
      <c r="C6490" s="28" t="s">
        <v>65</v>
      </c>
      <c r="D6490" s="329">
        <v>26</v>
      </c>
    </row>
    <row r="6491" spans="1:4">
      <c r="A6491" s="47">
        <v>38418</v>
      </c>
      <c r="B6491" s="48" t="s">
        <v>2828</v>
      </c>
      <c r="C6491" s="47" t="s">
        <v>65</v>
      </c>
      <c r="D6491" s="332">
        <v>4.4000000000000004</v>
      </c>
    </row>
    <row r="6492" spans="1:4">
      <c r="A6492" s="28">
        <v>39178</v>
      </c>
      <c r="B6492" s="26" t="s">
        <v>2830</v>
      </c>
      <c r="C6492" s="28" t="s">
        <v>65</v>
      </c>
      <c r="D6492" s="329">
        <v>0.98</v>
      </c>
    </row>
    <row r="6493" spans="1:4">
      <c r="A6493" s="47">
        <v>39177</v>
      </c>
      <c r="B6493" s="48" t="s">
        <v>2831</v>
      </c>
      <c r="C6493" s="47" t="s">
        <v>65</v>
      </c>
      <c r="D6493" s="332">
        <v>0.88</v>
      </c>
    </row>
    <row r="6494" spans="1:4">
      <c r="A6494" s="28">
        <v>39174</v>
      </c>
      <c r="B6494" s="26" t="s">
        <v>2833</v>
      </c>
      <c r="C6494" s="28" t="s">
        <v>65</v>
      </c>
      <c r="D6494" s="329">
        <v>0.44</v>
      </c>
    </row>
    <row r="6495" spans="1:4">
      <c r="A6495" s="47">
        <v>39176</v>
      </c>
      <c r="B6495" s="48" t="s">
        <v>2832</v>
      </c>
      <c r="C6495" s="47" t="s">
        <v>65</v>
      </c>
      <c r="D6495" s="332">
        <v>0.57999999999999996</v>
      </c>
    </row>
    <row r="6496" spans="1:4">
      <c r="A6496" s="28">
        <v>39180</v>
      </c>
      <c r="B6496" s="26" t="s">
        <v>2834</v>
      </c>
      <c r="C6496" s="28" t="s">
        <v>65</v>
      </c>
      <c r="D6496" s="329">
        <v>2.66</v>
      </c>
    </row>
    <row r="6497" spans="1:4">
      <c r="A6497" s="47">
        <v>39179</v>
      </c>
      <c r="B6497" s="48" t="s">
        <v>2835</v>
      </c>
      <c r="C6497" s="47" t="s">
        <v>65</v>
      </c>
      <c r="D6497" s="332">
        <v>2.35</v>
      </c>
    </row>
    <row r="6498" spans="1:4">
      <c r="A6498" s="28">
        <v>39175</v>
      </c>
      <c r="B6498" s="26" t="s">
        <v>2837</v>
      </c>
      <c r="C6498" s="28" t="s">
        <v>65</v>
      </c>
      <c r="D6498" s="329">
        <v>0.54</v>
      </c>
    </row>
    <row r="6499" spans="1:4">
      <c r="A6499" s="47">
        <v>39217</v>
      </c>
      <c r="B6499" s="48" t="s">
        <v>2838</v>
      </c>
      <c r="C6499" s="47" t="s">
        <v>65</v>
      </c>
      <c r="D6499" s="332">
        <v>0.41</v>
      </c>
    </row>
    <row r="6500" spans="1:4">
      <c r="A6500" s="28">
        <v>39181</v>
      </c>
      <c r="B6500" s="26" t="s">
        <v>2836</v>
      </c>
      <c r="C6500" s="28" t="s">
        <v>65</v>
      </c>
      <c r="D6500" s="329">
        <v>3.56</v>
      </c>
    </row>
    <row r="6501" spans="1:4">
      <c r="A6501" s="47">
        <v>39182</v>
      </c>
      <c r="B6501" s="48" t="s">
        <v>2839</v>
      </c>
      <c r="C6501" s="47" t="s">
        <v>65</v>
      </c>
      <c r="D6501" s="332">
        <v>5.01</v>
      </c>
    </row>
    <row r="6502" spans="1:4">
      <c r="A6502" s="28">
        <v>797</v>
      </c>
      <c r="B6502" s="26" t="s">
        <v>2840</v>
      </c>
      <c r="C6502" s="28" t="s">
        <v>65</v>
      </c>
      <c r="D6502" s="329">
        <v>5.99</v>
      </c>
    </row>
    <row r="6503" spans="1:4">
      <c r="A6503" s="47">
        <v>798</v>
      </c>
      <c r="B6503" s="48" t="s">
        <v>2841</v>
      </c>
      <c r="C6503" s="47" t="s">
        <v>65</v>
      </c>
      <c r="D6503" s="332">
        <v>0.88</v>
      </c>
    </row>
    <row r="6504" spans="1:4">
      <c r="A6504" s="28">
        <v>796</v>
      </c>
      <c r="B6504" s="26" t="s">
        <v>2842</v>
      </c>
      <c r="C6504" s="28" t="s">
        <v>65</v>
      </c>
      <c r="D6504" s="329">
        <v>5.9</v>
      </c>
    </row>
    <row r="6505" spans="1:4">
      <c r="A6505" s="47">
        <v>799</v>
      </c>
      <c r="B6505" s="48" t="s">
        <v>2843</v>
      </c>
      <c r="C6505" s="47" t="s">
        <v>65</v>
      </c>
      <c r="D6505" s="332">
        <v>2.71</v>
      </c>
    </row>
    <row r="6506" spans="1:4">
      <c r="A6506" s="28">
        <v>804</v>
      </c>
      <c r="B6506" s="26" t="s">
        <v>2844</v>
      </c>
      <c r="C6506" s="28" t="s">
        <v>65</v>
      </c>
      <c r="D6506" s="329">
        <v>8.3699999999999992</v>
      </c>
    </row>
    <row r="6507" spans="1:4">
      <c r="A6507" s="47">
        <v>793</v>
      </c>
      <c r="B6507" s="48" t="s">
        <v>2845</v>
      </c>
      <c r="C6507" s="47" t="s">
        <v>65</v>
      </c>
      <c r="D6507" s="332">
        <v>4.1399999999999997</v>
      </c>
    </row>
    <row r="6508" spans="1:4">
      <c r="A6508" s="28">
        <v>801</v>
      </c>
      <c r="B6508" s="26" t="s">
        <v>2846</v>
      </c>
      <c r="C6508" s="28" t="s">
        <v>65</v>
      </c>
      <c r="D6508" s="329">
        <v>2.8</v>
      </c>
    </row>
    <row r="6509" spans="1:4">
      <c r="A6509" s="47">
        <v>794</v>
      </c>
      <c r="B6509" s="48" t="s">
        <v>2847</v>
      </c>
      <c r="C6509" s="47" t="s">
        <v>65</v>
      </c>
      <c r="D6509" s="332">
        <v>2.93</v>
      </c>
    </row>
    <row r="6510" spans="1:4">
      <c r="A6510" s="28">
        <v>802</v>
      </c>
      <c r="B6510" s="26" t="s">
        <v>2848</v>
      </c>
      <c r="C6510" s="28" t="s">
        <v>65</v>
      </c>
      <c r="D6510" s="329">
        <v>8.83</v>
      </c>
    </row>
    <row r="6511" spans="1:4">
      <c r="A6511" s="47">
        <v>803</v>
      </c>
      <c r="B6511" s="48" t="s">
        <v>2849</v>
      </c>
      <c r="C6511" s="47" t="s">
        <v>65</v>
      </c>
      <c r="D6511" s="332">
        <v>9.2100000000000009</v>
      </c>
    </row>
    <row r="6512" spans="1:4" ht="30">
      <c r="A6512" s="28">
        <v>12616</v>
      </c>
      <c r="B6512" s="26" t="s">
        <v>11188</v>
      </c>
      <c r="C6512" s="28" t="s">
        <v>65</v>
      </c>
      <c r="D6512" s="329">
        <v>4.87</v>
      </c>
    </row>
    <row r="6513" spans="1:4" ht="30">
      <c r="A6513" s="47">
        <v>12617</v>
      </c>
      <c r="B6513" s="48" t="s">
        <v>2850</v>
      </c>
      <c r="C6513" s="47" t="s">
        <v>65</v>
      </c>
      <c r="D6513" s="332">
        <v>4.87</v>
      </c>
    </row>
    <row r="6514" spans="1:4" ht="45">
      <c r="A6514" s="28">
        <v>1049</v>
      </c>
      <c r="B6514" s="26" t="s">
        <v>2851</v>
      </c>
      <c r="C6514" s="28" t="s">
        <v>65</v>
      </c>
      <c r="D6514" s="329">
        <v>4.1900000000000004</v>
      </c>
    </row>
    <row r="6515" spans="1:4" ht="45">
      <c r="A6515" s="47">
        <v>1099</v>
      </c>
      <c r="B6515" s="48" t="s">
        <v>2852</v>
      </c>
      <c r="C6515" s="47" t="s">
        <v>65</v>
      </c>
      <c r="D6515" s="332">
        <v>3.21</v>
      </c>
    </row>
    <row r="6516" spans="1:4" ht="45">
      <c r="A6516" s="28">
        <v>39678</v>
      </c>
      <c r="B6516" s="26" t="s">
        <v>2854</v>
      </c>
      <c r="C6516" s="28" t="s">
        <v>65</v>
      </c>
      <c r="D6516" s="329">
        <v>1.29</v>
      </c>
    </row>
    <row r="6517" spans="1:4" ht="45">
      <c r="A6517" s="47">
        <v>1050</v>
      </c>
      <c r="B6517" s="48" t="s">
        <v>2853</v>
      </c>
      <c r="C6517" s="47" t="s">
        <v>65</v>
      </c>
      <c r="D6517" s="332">
        <v>2.19</v>
      </c>
    </row>
    <row r="6518" spans="1:4" ht="45">
      <c r="A6518" s="28">
        <v>1101</v>
      </c>
      <c r="B6518" s="26" t="s">
        <v>2855</v>
      </c>
      <c r="C6518" s="28" t="s">
        <v>65</v>
      </c>
      <c r="D6518" s="329">
        <v>13.85</v>
      </c>
    </row>
    <row r="6519" spans="1:4" ht="45">
      <c r="A6519" s="47">
        <v>1100</v>
      </c>
      <c r="B6519" s="48" t="s">
        <v>2856</v>
      </c>
      <c r="C6519" s="47" t="s">
        <v>65</v>
      </c>
      <c r="D6519" s="332">
        <v>7.14</v>
      </c>
    </row>
    <row r="6520" spans="1:4" ht="45">
      <c r="A6520" s="28">
        <v>39679</v>
      </c>
      <c r="B6520" s="26" t="s">
        <v>2857</v>
      </c>
      <c r="C6520" s="28" t="s">
        <v>65</v>
      </c>
      <c r="D6520" s="329">
        <v>27.6</v>
      </c>
    </row>
    <row r="6521" spans="1:4" ht="45">
      <c r="A6521" s="47">
        <v>1098</v>
      </c>
      <c r="B6521" s="48" t="s">
        <v>2859</v>
      </c>
      <c r="C6521" s="47" t="s">
        <v>65</v>
      </c>
      <c r="D6521" s="332">
        <v>1.71</v>
      </c>
    </row>
    <row r="6522" spans="1:4" ht="45">
      <c r="A6522" s="28">
        <v>1102</v>
      </c>
      <c r="B6522" s="26" t="s">
        <v>2858</v>
      </c>
      <c r="C6522" s="28" t="s">
        <v>65</v>
      </c>
      <c r="D6522" s="329">
        <v>20.65</v>
      </c>
    </row>
    <row r="6523" spans="1:4" ht="45">
      <c r="A6523" s="47">
        <v>1051</v>
      </c>
      <c r="B6523" s="48" t="s">
        <v>2860</v>
      </c>
      <c r="C6523" s="47" t="s">
        <v>65</v>
      </c>
      <c r="D6523" s="332">
        <v>30.01</v>
      </c>
    </row>
    <row r="6524" spans="1:4" ht="43.5" customHeight="1">
      <c r="A6524" s="28">
        <v>37399</v>
      </c>
      <c r="B6524" s="26" t="s">
        <v>136</v>
      </c>
      <c r="C6524" s="28" t="s">
        <v>65</v>
      </c>
      <c r="D6524" s="329">
        <v>11.48</v>
      </c>
    </row>
    <row r="6525" spans="1:4">
      <c r="A6525" s="47">
        <v>38391</v>
      </c>
      <c r="B6525" s="48" t="s">
        <v>2861</v>
      </c>
      <c r="C6525" s="47" t="s">
        <v>65</v>
      </c>
      <c r="D6525" s="332">
        <v>7.06</v>
      </c>
    </row>
    <row r="6526" spans="1:4">
      <c r="A6526" s="28">
        <v>25004</v>
      </c>
      <c r="B6526" s="26" t="s">
        <v>2862</v>
      </c>
      <c r="C6526" s="28" t="s">
        <v>90</v>
      </c>
      <c r="D6526" s="329">
        <v>20.440000000000001</v>
      </c>
    </row>
    <row r="6527" spans="1:4">
      <c r="A6527" s="47">
        <v>25002</v>
      </c>
      <c r="B6527" s="48" t="s">
        <v>2863</v>
      </c>
      <c r="C6527" s="47" t="s">
        <v>90</v>
      </c>
      <c r="D6527" s="332">
        <v>20.61</v>
      </c>
    </row>
    <row r="6528" spans="1:4">
      <c r="A6528" s="28">
        <v>37409</v>
      </c>
      <c r="B6528" s="26" t="s">
        <v>2864</v>
      </c>
      <c r="C6528" s="28" t="s">
        <v>90</v>
      </c>
      <c r="D6528" s="329">
        <v>20.27</v>
      </c>
    </row>
    <row r="6529" spans="1:4">
      <c r="A6529" s="47">
        <v>841</v>
      </c>
      <c r="B6529" s="48" t="s">
        <v>2865</v>
      </c>
      <c r="C6529" s="47" t="s">
        <v>90</v>
      </c>
      <c r="D6529" s="332">
        <v>20.94</v>
      </c>
    </row>
    <row r="6530" spans="1:4">
      <c r="A6530" s="28">
        <v>25005</v>
      </c>
      <c r="B6530" s="26" t="s">
        <v>2866</v>
      </c>
      <c r="C6530" s="28" t="s">
        <v>90</v>
      </c>
      <c r="D6530" s="329">
        <v>22.96</v>
      </c>
    </row>
    <row r="6531" spans="1:4">
      <c r="A6531" s="47">
        <v>25003</v>
      </c>
      <c r="B6531" s="48" t="s">
        <v>2867</v>
      </c>
      <c r="C6531" s="47" t="s">
        <v>90</v>
      </c>
      <c r="D6531" s="332">
        <v>24.52</v>
      </c>
    </row>
    <row r="6532" spans="1:4">
      <c r="A6532" s="28">
        <v>37410</v>
      </c>
      <c r="B6532" s="26" t="s">
        <v>2868</v>
      </c>
      <c r="C6532" s="28" t="s">
        <v>90</v>
      </c>
      <c r="D6532" s="329">
        <v>22.96</v>
      </c>
    </row>
    <row r="6533" spans="1:4">
      <c r="A6533" s="47">
        <v>842</v>
      </c>
      <c r="B6533" s="48" t="s">
        <v>2869</v>
      </c>
      <c r="C6533" s="47" t="s">
        <v>90</v>
      </c>
      <c r="D6533" s="332">
        <v>25.83</v>
      </c>
    </row>
    <row r="6534" spans="1:4">
      <c r="A6534" s="28">
        <v>862</v>
      </c>
      <c r="B6534" s="26" t="s">
        <v>2906</v>
      </c>
      <c r="C6534" s="28" t="s">
        <v>71</v>
      </c>
      <c r="D6534" s="329">
        <v>3.92</v>
      </c>
    </row>
    <row r="6535" spans="1:4">
      <c r="A6535" s="47">
        <v>866</v>
      </c>
      <c r="B6535" s="48" t="s">
        <v>2908</v>
      </c>
      <c r="C6535" s="47" t="s">
        <v>71</v>
      </c>
      <c r="D6535" s="332">
        <v>48.28</v>
      </c>
    </row>
    <row r="6536" spans="1:4">
      <c r="A6536" s="28">
        <v>892</v>
      </c>
      <c r="B6536" s="26" t="s">
        <v>2910</v>
      </c>
      <c r="C6536" s="28" t="s">
        <v>71</v>
      </c>
      <c r="D6536" s="329">
        <v>61.39</v>
      </c>
    </row>
    <row r="6537" spans="1:4">
      <c r="A6537" s="47">
        <v>857</v>
      </c>
      <c r="B6537" s="48" t="s">
        <v>2911</v>
      </c>
      <c r="C6537" s="47" t="s">
        <v>71</v>
      </c>
      <c r="D6537" s="332">
        <v>6.25</v>
      </c>
    </row>
    <row r="6538" spans="1:4">
      <c r="A6538" s="28">
        <v>37404</v>
      </c>
      <c r="B6538" s="26" t="s">
        <v>2913</v>
      </c>
      <c r="C6538" s="28" t="s">
        <v>71</v>
      </c>
      <c r="D6538" s="329">
        <v>73.819999999999993</v>
      </c>
    </row>
    <row r="6539" spans="1:4">
      <c r="A6539" s="47">
        <v>868</v>
      </c>
      <c r="B6539" s="48" t="s">
        <v>2914</v>
      </c>
      <c r="C6539" s="47" t="s">
        <v>71</v>
      </c>
      <c r="D6539" s="332">
        <v>9.65</v>
      </c>
    </row>
    <row r="6540" spans="1:4">
      <c r="A6540" s="28">
        <v>870</v>
      </c>
      <c r="B6540" s="26" t="s">
        <v>2916</v>
      </c>
      <c r="C6540" s="28" t="s">
        <v>71</v>
      </c>
      <c r="D6540" s="329">
        <v>127.21</v>
      </c>
    </row>
    <row r="6541" spans="1:4">
      <c r="A6541" s="47">
        <v>863</v>
      </c>
      <c r="B6541" s="48" t="s">
        <v>2917</v>
      </c>
      <c r="C6541" s="47" t="s">
        <v>71</v>
      </c>
      <c r="D6541" s="332">
        <v>13.33</v>
      </c>
    </row>
    <row r="6542" spans="1:4">
      <c r="A6542" s="28">
        <v>867</v>
      </c>
      <c r="B6542" s="26" t="s">
        <v>2919</v>
      </c>
      <c r="C6542" s="28" t="s">
        <v>71</v>
      </c>
      <c r="D6542" s="329">
        <v>18.57</v>
      </c>
    </row>
    <row r="6543" spans="1:4">
      <c r="A6543" s="47">
        <v>891</v>
      </c>
      <c r="B6543" s="48" t="s">
        <v>2920</v>
      </c>
      <c r="C6543" s="47" t="s">
        <v>71</v>
      </c>
      <c r="D6543" s="332">
        <v>213.64</v>
      </c>
    </row>
    <row r="6544" spans="1:4">
      <c r="A6544" s="28">
        <v>864</v>
      </c>
      <c r="B6544" s="26" t="s">
        <v>2922</v>
      </c>
      <c r="C6544" s="28" t="s">
        <v>71</v>
      </c>
      <c r="D6544" s="329">
        <v>26.16</v>
      </c>
    </row>
    <row r="6545" spans="1:4">
      <c r="A6545" s="47">
        <v>865</v>
      </c>
      <c r="B6545" s="48" t="s">
        <v>2924</v>
      </c>
      <c r="C6545" s="47" t="s">
        <v>71</v>
      </c>
      <c r="D6545" s="332">
        <v>36.85</v>
      </c>
    </row>
    <row r="6546" spans="1:4" ht="30">
      <c r="A6546" s="28">
        <v>1006</v>
      </c>
      <c r="B6546" s="26" t="s">
        <v>11189</v>
      </c>
      <c r="C6546" s="28" t="s">
        <v>71</v>
      </c>
      <c r="D6546" s="329">
        <v>56.98</v>
      </c>
    </row>
    <row r="6547" spans="1:4" ht="30">
      <c r="A6547" s="47">
        <v>948</v>
      </c>
      <c r="B6547" s="48" t="s">
        <v>2926</v>
      </c>
      <c r="C6547" s="47" t="s">
        <v>71</v>
      </c>
      <c r="D6547" s="332">
        <v>18.989999999999998</v>
      </c>
    </row>
    <row r="6548" spans="1:4" ht="30">
      <c r="A6548" s="28">
        <v>947</v>
      </c>
      <c r="B6548" s="26" t="s">
        <v>2927</v>
      </c>
      <c r="C6548" s="28" t="s">
        <v>71</v>
      </c>
      <c r="D6548" s="329">
        <v>19.309999999999999</v>
      </c>
    </row>
    <row r="6549" spans="1:4">
      <c r="A6549" s="47">
        <v>911</v>
      </c>
      <c r="B6549" s="48" t="s">
        <v>2928</v>
      </c>
      <c r="C6549" s="47" t="s">
        <v>71</v>
      </c>
      <c r="D6549" s="332">
        <v>28.09</v>
      </c>
    </row>
    <row r="6550" spans="1:4" ht="30">
      <c r="A6550" s="28">
        <v>925</v>
      </c>
      <c r="B6550" s="26" t="s">
        <v>2929</v>
      </c>
      <c r="C6550" s="28" t="s">
        <v>71</v>
      </c>
      <c r="D6550" s="329">
        <v>25.96</v>
      </c>
    </row>
    <row r="6551" spans="1:4">
      <c r="A6551" s="47">
        <v>954</v>
      </c>
      <c r="B6551" s="48" t="s">
        <v>2930</v>
      </c>
      <c r="C6551" s="47" t="s">
        <v>71</v>
      </c>
      <c r="D6551" s="332">
        <v>28.68</v>
      </c>
    </row>
    <row r="6552" spans="1:4" ht="30">
      <c r="A6552" s="28">
        <v>901</v>
      </c>
      <c r="B6552" s="26" t="s">
        <v>2931</v>
      </c>
      <c r="C6552" s="28" t="s">
        <v>71</v>
      </c>
      <c r="D6552" s="329">
        <v>30.7</v>
      </c>
    </row>
    <row r="6553" spans="1:4" ht="30">
      <c r="A6553" s="47">
        <v>926</v>
      </c>
      <c r="B6553" s="48" t="s">
        <v>2932</v>
      </c>
      <c r="C6553" s="47" t="s">
        <v>71</v>
      </c>
      <c r="D6553" s="332">
        <v>32.44</v>
      </c>
    </row>
    <row r="6554" spans="1:4">
      <c r="A6554" s="28">
        <v>912</v>
      </c>
      <c r="B6554" s="26" t="s">
        <v>2933</v>
      </c>
      <c r="C6554" s="28" t="s">
        <v>71</v>
      </c>
      <c r="D6554" s="329">
        <v>32.64</v>
      </c>
    </row>
    <row r="6555" spans="1:4" ht="30">
      <c r="A6555" s="47">
        <v>955</v>
      </c>
      <c r="B6555" s="48" t="s">
        <v>2934</v>
      </c>
      <c r="C6555" s="47" t="s">
        <v>71</v>
      </c>
      <c r="D6555" s="332">
        <v>38.96</v>
      </c>
    </row>
    <row r="6556" spans="1:4" ht="30">
      <c r="A6556" s="28">
        <v>946</v>
      </c>
      <c r="B6556" s="26" t="s">
        <v>2935</v>
      </c>
      <c r="C6556" s="28" t="s">
        <v>71</v>
      </c>
      <c r="D6556" s="329">
        <v>43.8</v>
      </c>
    </row>
    <row r="6557" spans="1:4">
      <c r="A6557" s="47">
        <v>953</v>
      </c>
      <c r="B6557" s="48" t="s">
        <v>2936</v>
      </c>
      <c r="C6557" s="47" t="s">
        <v>71</v>
      </c>
      <c r="D6557" s="332">
        <v>39.86</v>
      </c>
    </row>
    <row r="6558" spans="1:4" ht="30">
      <c r="A6558" s="28">
        <v>902</v>
      </c>
      <c r="B6558" s="26" t="s">
        <v>2937</v>
      </c>
      <c r="C6558" s="28" t="s">
        <v>71</v>
      </c>
      <c r="D6558" s="329">
        <v>48.46</v>
      </c>
    </row>
    <row r="6559" spans="1:4" ht="30">
      <c r="A6559" s="47">
        <v>927</v>
      </c>
      <c r="B6559" s="48" t="s">
        <v>2938</v>
      </c>
      <c r="C6559" s="47" t="s">
        <v>71</v>
      </c>
      <c r="D6559" s="332">
        <v>46.97</v>
      </c>
    </row>
    <row r="6560" spans="1:4">
      <c r="A6560" s="28">
        <v>913</v>
      </c>
      <c r="B6560" s="26" t="s">
        <v>2939</v>
      </c>
      <c r="C6560" s="28" t="s">
        <v>71</v>
      </c>
      <c r="D6560" s="329">
        <v>52.42</v>
      </c>
    </row>
    <row r="6561" spans="1:4" ht="30">
      <c r="A6561" s="47">
        <v>903</v>
      </c>
      <c r="B6561" s="48" t="s">
        <v>2940</v>
      </c>
      <c r="C6561" s="47" t="s">
        <v>71</v>
      </c>
      <c r="D6561" s="332">
        <v>59.33</v>
      </c>
    </row>
    <row r="6562" spans="1:4" ht="43.5" customHeight="1">
      <c r="A6562" s="28">
        <v>945</v>
      </c>
      <c r="B6562" s="26" t="s">
        <v>2941</v>
      </c>
      <c r="C6562" s="28" t="s">
        <v>71</v>
      </c>
      <c r="D6562" s="329">
        <v>62.76</v>
      </c>
    </row>
    <row r="6563" spans="1:4">
      <c r="A6563" s="47">
        <v>914</v>
      </c>
      <c r="B6563" s="48" t="s">
        <v>2942</v>
      </c>
      <c r="C6563" s="47" t="s">
        <v>71</v>
      </c>
      <c r="D6563" s="332">
        <v>64.290000000000006</v>
      </c>
    </row>
    <row r="6564" spans="1:4" ht="45">
      <c r="A6564" s="28">
        <v>993</v>
      </c>
      <c r="B6564" s="26" t="s">
        <v>11190</v>
      </c>
      <c r="C6564" s="28" t="s">
        <v>71</v>
      </c>
      <c r="D6564" s="329">
        <v>1.22</v>
      </c>
    </row>
    <row r="6565" spans="1:4" ht="30">
      <c r="A6565" s="47">
        <v>1020</v>
      </c>
      <c r="B6565" s="48" t="s">
        <v>11191</v>
      </c>
      <c r="C6565" s="47" t="s">
        <v>71</v>
      </c>
      <c r="D6565" s="332">
        <v>5.34</v>
      </c>
    </row>
    <row r="6566" spans="1:4" ht="43.5" customHeight="1">
      <c r="A6566" s="28">
        <v>1017</v>
      </c>
      <c r="B6566" s="26" t="s">
        <v>2959</v>
      </c>
      <c r="C6566" s="28" t="s">
        <v>71</v>
      </c>
      <c r="D6566" s="329">
        <v>58.7</v>
      </c>
    </row>
    <row r="6567" spans="1:4" ht="43.5" customHeight="1">
      <c r="A6567" s="47">
        <v>999</v>
      </c>
      <c r="B6567" s="48" t="s">
        <v>11192</v>
      </c>
      <c r="C6567" s="47" t="s">
        <v>71</v>
      </c>
      <c r="D6567" s="332">
        <v>72.73</v>
      </c>
    </row>
    <row r="6568" spans="1:4" ht="30">
      <c r="A6568" s="28">
        <v>995</v>
      </c>
      <c r="B6568" s="26" t="s">
        <v>2960</v>
      </c>
      <c r="C6568" s="28" t="s">
        <v>71</v>
      </c>
      <c r="D6568" s="329">
        <v>8.19</v>
      </c>
    </row>
    <row r="6569" spans="1:4" ht="45">
      <c r="A6569" s="47">
        <v>1000</v>
      </c>
      <c r="B6569" s="48" t="s">
        <v>2961</v>
      </c>
      <c r="C6569" s="47" t="s">
        <v>71</v>
      </c>
      <c r="D6569" s="332">
        <v>89.16</v>
      </c>
    </row>
    <row r="6570" spans="1:4" ht="43.5" customHeight="1">
      <c r="A6570" s="28">
        <v>1022</v>
      </c>
      <c r="B6570" s="26" t="s">
        <v>11193</v>
      </c>
      <c r="C6570" s="28" t="s">
        <v>71</v>
      </c>
      <c r="D6570" s="329">
        <v>1.7</v>
      </c>
    </row>
    <row r="6571" spans="1:4" ht="45">
      <c r="A6571" s="47">
        <v>1015</v>
      </c>
      <c r="B6571" s="48" t="s">
        <v>11194</v>
      </c>
      <c r="C6571" s="47" t="s">
        <v>71</v>
      </c>
      <c r="D6571" s="332">
        <v>117.4</v>
      </c>
    </row>
    <row r="6572" spans="1:4" ht="30">
      <c r="A6572" s="28">
        <v>996</v>
      </c>
      <c r="B6572" s="26" t="s">
        <v>2962</v>
      </c>
      <c r="C6572" s="28" t="s">
        <v>71</v>
      </c>
      <c r="D6572" s="329">
        <v>12.47</v>
      </c>
    </row>
    <row r="6573" spans="1:4" ht="45">
      <c r="A6573" s="47">
        <v>1001</v>
      </c>
      <c r="B6573" s="48" t="s">
        <v>11195</v>
      </c>
      <c r="C6573" s="47" t="s">
        <v>71</v>
      </c>
      <c r="D6573" s="332">
        <v>146.91999999999999</v>
      </c>
    </row>
    <row r="6574" spans="1:4" ht="30">
      <c r="A6574" s="28">
        <v>1019</v>
      </c>
      <c r="B6574" s="26" t="s">
        <v>2963</v>
      </c>
      <c r="C6574" s="28" t="s">
        <v>71</v>
      </c>
      <c r="D6574" s="329">
        <v>17.190000000000001</v>
      </c>
    </row>
    <row r="6575" spans="1:4" ht="30">
      <c r="A6575" s="47">
        <v>1021</v>
      </c>
      <c r="B6575" s="48" t="s">
        <v>2964</v>
      </c>
      <c r="C6575" s="47" t="s">
        <v>71</v>
      </c>
      <c r="D6575" s="332">
        <v>2.44</v>
      </c>
    </row>
    <row r="6576" spans="1:4" ht="45">
      <c r="A6576" s="28">
        <v>39249</v>
      </c>
      <c r="B6576" s="26" t="s">
        <v>11196</v>
      </c>
      <c r="C6576" s="28" t="s">
        <v>71</v>
      </c>
      <c r="D6576" s="329">
        <v>191.66</v>
      </c>
    </row>
    <row r="6577" spans="1:4" ht="30">
      <c r="A6577" s="47">
        <v>1018</v>
      </c>
      <c r="B6577" s="48" t="s">
        <v>11197</v>
      </c>
      <c r="C6577" s="47" t="s">
        <v>71</v>
      </c>
      <c r="D6577" s="332">
        <v>24.5</v>
      </c>
    </row>
    <row r="6578" spans="1:4" ht="45">
      <c r="A6578" s="28">
        <v>39250</v>
      </c>
      <c r="B6578" s="26" t="s">
        <v>11198</v>
      </c>
      <c r="C6578" s="28" t="s">
        <v>71</v>
      </c>
      <c r="D6578" s="329">
        <v>246.21</v>
      </c>
    </row>
    <row r="6579" spans="1:4" ht="30">
      <c r="A6579" s="47">
        <v>994</v>
      </c>
      <c r="B6579" s="48" t="s">
        <v>2965</v>
      </c>
      <c r="C6579" s="47" t="s">
        <v>71</v>
      </c>
      <c r="D6579" s="332">
        <v>3.33</v>
      </c>
    </row>
    <row r="6580" spans="1:4" ht="30">
      <c r="A6580" s="28">
        <v>977</v>
      </c>
      <c r="B6580" s="26" t="s">
        <v>11199</v>
      </c>
      <c r="C6580" s="28" t="s">
        <v>71</v>
      </c>
      <c r="D6580" s="329">
        <v>33.94</v>
      </c>
    </row>
    <row r="6581" spans="1:4" ht="30">
      <c r="A6581" s="47">
        <v>998</v>
      </c>
      <c r="B6581" s="48" t="s">
        <v>11200</v>
      </c>
      <c r="C6581" s="47" t="s">
        <v>71</v>
      </c>
      <c r="D6581" s="332">
        <v>45.09</v>
      </c>
    </row>
    <row r="6582" spans="1:4" ht="30">
      <c r="A6582" s="28">
        <v>39251</v>
      </c>
      <c r="B6582" s="26" t="s">
        <v>2943</v>
      </c>
      <c r="C6582" s="28" t="s">
        <v>71</v>
      </c>
      <c r="D6582" s="329">
        <v>0.32</v>
      </c>
    </row>
    <row r="6583" spans="1:4" ht="30">
      <c r="A6583" s="47">
        <v>1011</v>
      </c>
      <c r="B6583" s="48" t="s">
        <v>2944</v>
      </c>
      <c r="C6583" s="47" t="s">
        <v>71</v>
      </c>
      <c r="D6583" s="332">
        <v>0.45</v>
      </c>
    </row>
    <row r="6584" spans="1:4" ht="30">
      <c r="A6584" s="28">
        <v>39252</v>
      </c>
      <c r="B6584" s="26" t="s">
        <v>2945</v>
      </c>
      <c r="C6584" s="28" t="s">
        <v>71</v>
      </c>
      <c r="D6584" s="329">
        <v>0.54</v>
      </c>
    </row>
    <row r="6585" spans="1:4" ht="30">
      <c r="A6585" s="47">
        <v>1013</v>
      </c>
      <c r="B6585" s="48" t="s">
        <v>2946</v>
      </c>
      <c r="C6585" s="47" t="s">
        <v>71</v>
      </c>
      <c r="D6585" s="332">
        <v>0.72</v>
      </c>
    </row>
    <row r="6586" spans="1:4" ht="30">
      <c r="A6586" s="28">
        <v>980</v>
      </c>
      <c r="B6586" s="26" t="s">
        <v>2947</v>
      </c>
      <c r="C6586" s="28" t="s">
        <v>71</v>
      </c>
      <c r="D6586" s="329">
        <v>4.9000000000000004</v>
      </c>
    </row>
    <row r="6587" spans="1:4" ht="30">
      <c r="A6587" s="47">
        <v>39237</v>
      </c>
      <c r="B6587" s="48" t="s">
        <v>2948</v>
      </c>
      <c r="C6587" s="47" t="s">
        <v>71</v>
      </c>
      <c r="D6587" s="332">
        <v>58.08</v>
      </c>
    </row>
    <row r="6588" spans="1:4" ht="30">
      <c r="A6588" s="28">
        <v>979</v>
      </c>
      <c r="B6588" s="26" t="s">
        <v>2949</v>
      </c>
      <c r="C6588" s="28" t="s">
        <v>71</v>
      </c>
      <c r="D6588" s="329">
        <v>7.55</v>
      </c>
    </row>
    <row r="6589" spans="1:4" ht="30">
      <c r="A6589" s="47">
        <v>39239</v>
      </c>
      <c r="B6589" s="48" t="s">
        <v>11201</v>
      </c>
      <c r="C6589" s="47" t="s">
        <v>71</v>
      </c>
      <c r="D6589" s="332">
        <v>88.25</v>
      </c>
    </row>
    <row r="6590" spans="1:4" ht="30">
      <c r="A6590" s="28">
        <v>1014</v>
      </c>
      <c r="B6590" s="26" t="s">
        <v>2950</v>
      </c>
      <c r="C6590" s="28" t="s">
        <v>71</v>
      </c>
      <c r="D6590" s="329">
        <v>1.1399999999999999</v>
      </c>
    </row>
    <row r="6591" spans="1:4" ht="30">
      <c r="A6591" s="47">
        <v>39240</v>
      </c>
      <c r="B6591" s="48" t="s">
        <v>2951</v>
      </c>
      <c r="C6591" s="47" t="s">
        <v>71</v>
      </c>
      <c r="D6591" s="332">
        <v>116.65</v>
      </c>
    </row>
    <row r="6592" spans="1:4" ht="30">
      <c r="A6592" s="28">
        <v>39232</v>
      </c>
      <c r="B6592" s="26" t="s">
        <v>2952</v>
      </c>
      <c r="C6592" s="28" t="s">
        <v>71</v>
      </c>
      <c r="D6592" s="329">
        <v>12.11</v>
      </c>
    </row>
    <row r="6593" spans="1:4" ht="30">
      <c r="A6593" s="47">
        <v>39233</v>
      </c>
      <c r="B6593" s="48" t="s">
        <v>2953</v>
      </c>
      <c r="C6593" s="47" t="s">
        <v>71</v>
      </c>
      <c r="D6593" s="332">
        <v>16.649999999999999</v>
      </c>
    </row>
    <row r="6594" spans="1:4" ht="30">
      <c r="A6594" s="28">
        <v>981</v>
      </c>
      <c r="B6594" s="26" t="s">
        <v>2954</v>
      </c>
      <c r="C6594" s="28" t="s">
        <v>71</v>
      </c>
      <c r="D6594" s="329">
        <v>2.04</v>
      </c>
    </row>
    <row r="6595" spans="1:4" ht="30">
      <c r="A6595" s="47">
        <v>39234</v>
      </c>
      <c r="B6595" s="48" t="s">
        <v>2955</v>
      </c>
      <c r="C6595" s="47" t="s">
        <v>71</v>
      </c>
      <c r="D6595" s="332">
        <v>24.44</v>
      </c>
    </row>
    <row r="6596" spans="1:4" ht="30">
      <c r="A6596" s="28">
        <v>982</v>
      </c>
      <c r="B6596" s="26" t="s">
        <v>2956</v>
      </c>
      <c r="C6596" s="28" t="s">
        <v>71</v>
      </c>
      <c r="D6596" s="329">
        <v>2.86</v>
      </c>
    </row>
    <row r="6597" spans="1:4" ht="30">
      <c r="A6597" s="47">
        <v>39235</v>
      </c>
      <c r="B6597" s="48" t="s">
        <v>2957</v>
      </c>
      <c r="C6597" s="47" t="s">
        <v>71</v>
      </c>
      <c r="D6597" s="332">
        <v>34.369999999999997</v>
      </c>
    </row>
    <row r="6598" spans="1:4" ht="30">
      <c r="A6598" s="28">
        <v>39236</v>
      </c>
      <c r="B6598" s="26" t="s">
        <v>2958</v>
      </c>
      <c r="C6598" s="28" t="s">
        <v>71</v>
      </c>
      <c r="D6598" s="329">
        <v>45.06</v>
      </c>
    </row>
    <row r="6599" spans="1:4" ht="45">
      <c r="A6599" s="47">
        <v>876</v>
      </c>
      <c r="B6599" s="48" t="s">
        <v>11202</v>
      </c>
      <c r="C6599" s="47" t="s">
        <v>71</v>
      </c>
      <c r="D6599" s="332">
        <v>116.32</v>
      </c>
    </row>
    <row r="6600" spans="1:4" ht="45">
      <c r="A6600" s="28">
        <v>877</v>
      </c>
      <c r="B6600" s="26" t="s">
        <v>11203</v>
      </c>
      <c r="C6600" s="28" t="s">
        <v>71</v>
      </c>
      <c r="D6600" s="329">
        <v>136.74</v>
      </c>
    </row>
    <row r="6601" spans="1:4" ht="45">
      <c r="A6601" s="47">
        <v>882</v>
      </c>
      <c r="B6601" s="48" t="s">
        <v>11204</v>
      </c>
      <c r="C6601" s="47" t="s">
        <v>71</v>
      </c>
      <c r="D6601" s="332">
        <v>149.01</v>
      </c>
    </row>
    <row r="6602" spans="1:4" ht="45">
      <c r="A6602" s="28">
        <v>878</v>
      </c>
      <c r="B6602" s="26" t="s">
        <v>11205</v>
      </c>
      <c r="C6602" s="28" t="s">
        <v>71</v>
      </c>
      <c r="D6602" s="329">
        <v>185.25</v>
      </c>
    </row>
    <row r="6603" spans="1:4" ht="45">
      <c r="A6603" s="47">
        <v>879</v>
      </c>
      <c r="B6603" s="48" t="s">
        <v>11206</v>
      </c>
      <c r="C6603" s="47" t="s">
        <v>71</v>
      </c>
      <c r="D6603" s="332">
        <v>218.35</v>
      </c>
    </row>
    <row r="6604" spans="1:4" ht="45">
      <c r="A6604" s="28">
        <v>880</v>
      </c>
      <c r="B6604" s="26" t="s">
        <v>11207</v>
      </c>
      <c r="C6604" s="28" t="s">
        <v>71</v>
      </c>
      <c r="D6604" s="329">
        <v>256.91000000000003</v>
      </c>
    </row>
    <row r="6605" spans="1:4" ht="29.25" customHeight="1">
      <c r="A6605" s="47">
        <v>873</v>
      </c>
      <c r="B6605" s="48" t="s">
        <v>11208</v>
      </c>
      <c r="C6605" s="47" t="s">
        <v>71</v>
      </c>
      <c r="D6605" s="332">
        <v>78.12</v>
      </c>
    </row>
    <row r="6606" spans="1:4" ht="45">
      <c r="A6606" s="28">
        <v>881</v>
      </c>
      <c r="B6606" s="26" t="s">
        <v>11209</v>
      </c>
      <c r="C6606" s="28" t="s">
        <v>71</v>
      </c>
      <c r="D6606" s="329">
        <v>351.16</v>
      </c>
    </row>
    <row r="6607" spans="1:4" ht="45">
      <c r="A6607" s="47">
        <v>874</v>
      </c>
      <c r="B6607" s="48" t="s">
        <v>11210</v>
      </c>
      <c r="C6607" s="47" t="s">
        <v>71</v>
      </c>
      <c r="D6607" s="332">
        <v>92.71</v>
      </c>
    </row>
    <row r="6608" spans="1:4" ht="45">
      <c r="A6608" s="28">
        <v>875</v>
      </c>
      <c r="B6608" s="26" t="s">
        <v>11211</v>
      </c>
      <c r="C6608" s="28" t="s">
        <v>71</v>
      </c>
      <c r="D6608" s="329">
        <v>110.61</v>
      </c>
    </row>
    <row r="6609" spans="1:4" ht="30">
      <c r="A6609" s="47">
        <v>983</v>
      </c>
      <c r="B6609" s="48" t="s">
        <v>11212</v>
      </c>
      <c r="C6609" s="47" t="s">
        <v>71</v>
      </c>
      <c r="D6609" s="332">
        <v>0.69</v>
      </c>
    </row>
    <row r="6610" spans="1:4" ht="30">
      <c r="A6610" s="28">
        <v>985</v>
      </c>
      <c r="B6610" s="26" t="s">
        <v>11213</v>
      </c>
      <c r="C6610" s="28" t="s">
        <v>71</v>
      </c>
      <c r="D6610" s="329">
        <v>5.19</v>
      </c>
    </row>
    <row r="6611" spans="1:4" ht="30">
      <c r="A6611" s="47">
        <v>990</v>
      </c>
      <c r="B6611" s="48" t="s">
        <v>11214</v>
      </c>
      <c r="C6611" s="47" t="s">
        <v>71</v>
      </c>
      <c r="D6611" s="332">
        <v>71.099999999999994</v>
      </c>
    </row>
    <row r="6612" spans="1:4" ht="30">
      <c r="A6612" s="28">
        <v>39241</v>
      </c>
      <c r="B6612" s="26" t="s">
        <v>11215</v>
      </c>
      <c r="C6612" s="28" t="s">
        <v>71</v>
      </c>
      <c r="D6612" s="329">
        <v>8.1300000000000008</v>
      </c>
    </row>
    <row r="6613" spans="1:4" ht="30">
      <c r="A6613" s="47">
        <v>1005</v>
      </c>
      <c r="B6613" s="48" t="s">
        <v>11216</v>
      </c>
      <c r="C6613" s="47" t="s">
        <v>71</v>
      </c>
      <c r="D6613" s="332">
        <v>87.27</v>
      </c>
    </row>
    <row r="6614" spans="1:4" ht="30">
      <c r="A6614" s="28">
        <v>984</v>
      </c>
      <c r="B6614" s="26" t="s">
        <v>11217</v>
      </c>
      <c r="C6614" s="28" t="s">
        <v>71</v>
      </c>
      <c r="D6614" s="329">
        <v>1.79</v>
      </c>
    </row>
    <row r="6615" spans="1:4" ht="30">
      <c r="A6615" s="47">
        <v>991</v>
      </c>
      <c r="B6615" s="48" t="s">
        <v>11218</v>
      </c>
      <c r="C6615" s="47" t="s">
        <v>71</v>
      </c>
      <c r="D6615" s="332">
        <v>115.32</v>
      </c>
    </row>
    <row r="6616" spans="1:4" ht="30">
      <c r="A6616" s="28">
        <v>986</v>
      </c>
      <c r="B6616" s="26" t="s">
        <v>11219</v>
      </c>
      <c r="C6616" s="28" t="s">
        <v>71</v>
      </c>
      <c r="D6616" s="329">
        <v>12.42</v>
      </c>
    </row>
    <row r="6617" spans="1:4" ht="30">
      <c r="A6617" s="47">
        <v>1024</v>
      </c>
      <c r="B6617" s="48" t="s">
        <v>11220</v>
      </c>
      <c r="C6617" s="47" t="s">
        <v>71</v>
      </c>
      <c r="D6617" s="332">
        <v>142.72999999999999</v>
      </c>
    </row>
    <row r="6618" spans="1:4" ht="30">
      <c r="A6618" s="28">
        <v>987</v>
      </c>
      <c r="B6618" s="26" t="s">
        <v>11221</v>
      </c>
      <c r="C6618" s="28" t="s">
        <v>71</v>
      </c>
      <c r="D6618" s="329">
        <v>16.88</v>
      </c>
    </row>
    <row r="6619" spans="1:4" ht="30">
      <c r="A6619" s="47">
        <v>1003</v>
      </c>
      <c r="B6619" s="48" t="s">
        <v>11222</v>
      </c>
      <c r="C6619" s="47" t="s">
        <v>71</v>
      </c>
      <c r="D6619" s="332">
        <v>2.62</v>
      </c>
    </row>
    <row r="6620" spans="1:4" ht="30">
      <c r="A6620" s="28">
        <v>992</v>
      </c>
      <c r="B6620" s="26" t="s">
        <v>11223</v>
      </c>
      <c r="C6620" s="28" t="s">
        <v>71</v>
      </c>
      <c r="D6620" s="329">
        <v>184.66</v>
      </c>
    </row>
    <row r="6621" spans="1:4" ht="30">
      <c r="A6621" s="47">
        <v>1007</v>
      </c>
      <c r="B6621" s="48" t="s">
        <v>11224</v>
      </c>
      <c r="C6621" s="47" t="s">
        <v>71</v>
      </c>
      <c r="D6621" s="332">
        <v>23.95</v>
      </c>
    </row>
    <row r="6622" spans="1:4" ht="30">
      <c r="A6622" s="28">
        <v>39242</v>
      </c>
      <c r="B6622" s="26" t="s">
        <v>11225</v>
      </c>
      <c r="C6622" s="28" t="s">
        <v>71</v>
      </c>
      <c r="D6622" s="329">
        <v>228.8</v>
      </c>
    </row>
    <row r="6623" spans="1:4" ht="30">
      <c r="A6623" s="47">
        <v>1008</v>
      </c>
      <c r="B6623" s="48" t="s">
        <v>11226</v>
      </c>
      <c r="C6623" s="47" t="s">
        <v>71</v>
      </c>
      <c r="D6623" s="332">
        <v>2.98</v>
      </c>
    </row>
    <row r="6624" spans="1:4" ht="30">
      <c r="A6624" s="28">
        <v>988</v>
      </c>
      <c r="B6624" s="26" t="s">
        <v>11227</v>
      </c>
      <c r="C6624" s="28" t="s">
        <v>71</v>
      </c>
      <c r="D6624" s="329">
        <v>33.08</v>
      </c>
    </row>
    <row r="6625" spans="1:4" ht="30">
      <c r="A6625" s="47">
        <v>989</v>
      </c>
      <c r="B6625" s="48" t="s">
        <v>11228</v>
      </c>
      <c r="C6625" s="47" t="s">
        <v>71</v>
      </c>
      <c r="D6625" s="332">
        <v>44.81</v>
      </c>
    </row>
    <row r="6626" spans="1:4">
      <c r="A6626" s="28">
        <v>34602</v>
      </c>
      <c r="B6626" s="26" t="s">
        <v>2966</v>
      </c>
      <c r="C6626" s="28" t="s">
        <v>71</v>
      </c>
      <c r="D6626" s="329">
        <v>1.79</v>
      </c>
    </row>
    <row r="6627" spans="1:4">
      <c r="A6627" s="47">
        <v>34603</v>
      </c>
      <c r="B6627" s="48" t="s">
        <v>2967</v>
      </c>
      <c r="C6627" s="47" t="s">
        <v>71</v>
      </c>
      <c r="D6627" s="332">
        <v>8.6</v>
      </c>
    </row>
    <row r="6628" spans="1:4">
      <c r="A6628" s="28">
        <v>34607</v>
      </c>
      <c r="B6628" s="26" t="s">
        <v>2968</v>
      </c>
      <c r="C6628" s="28" t="s">
        <v>71</v>
      </c>
      <c r="D6628" s="329">
        <v>3.83</v>
      </c>
    </row>
    <row r="6629" spans="1:4">
      <c r="A6629" s="47">
        <v>34609</v>
      </c>
      <c r="B6629" s="48" t="s">
        <v>2969</v>
      </c>
      <c r="C6629" s="47" t="s">
        <v>71</v>
      </c>
      <c r="D6629" s="332">
        <v>5.75</v>
      </c>
    </row>
    <row r="6630" spans="1:4">
      <c r="A6630" s="28">
        <v>34618</v>
      </c>
      <c r="B6630" s="26" t="s">
        <v>2970</v>
      </c>
      <c r="C6630" s="28" t="s">
        <v>71</v>
      </c>
      <c r="D6630" s="329">
        <v>2.37</v>
      </c>
    </row>
    <row r="6631" spans="1:4">
      <c r="A6631" s="47">
        <v>34620</v>
      </c>
      <c r="B6631" s="48" t="s">
        <v>2971</v>
      </c>
      <c r="C6631" s="47" t="s">
        <v>71</v>
      </c>
      <c r="D6631" s="332">
        <v>11.87</v>
      </c>
    </row>
    <row r="6632" spans="1:4">
      <c r="A6632" s="28">
        <v>34621</v>
      </c>
      <c r="B6632" s="26" t="s">
        <v>2972</v>
      </c>
      <c r="C6632" s="28" t="s">
        <v>71</v>
      </c>
      <c r="D6632" s="329">
        <v>5.5</v>
      </c>
    </row>
    <row r="6633" spans="1:4">
      <c r="A6633" s="47">
        <v>34622</v>
      </c>
      <c r="B6633" s="48" t="s">
        <v>2973</v>
      </c>
      <c r="C6633" s="47" t="s">
        <v>71</v>
      </c>
      <c r="D6633" s="332">
        <v>7.8</v>
      </c>
    </row>
    <row r="6634" spans="1:4">
      <c r="A6634" s="28">
        <v>34624</v>
      </c>
      <c r="B6634" s="26" t="s">
        <v>2974</v>
      </c>
      <c r="C6634" s="28" t="s">
        <v>71</v>
      </c>
      <c r="D6634" s="329">
        <v>3.03</v>
      </c>
    </row>
    <row r="6635" spans="1:4">
      <c r="A6635" s="47">
        <v>34626</v>
      </c>
      <c r="B6635" s="48" t="s">
        <v>2975</v>
      </c>
      <c r="C6635" s="47" t="s">
        <v>71</v>
      </c>
      <c r="D6635" s="332">
        <v>16.32</v>
      </c>
    </row>
    <row r="6636" spans="1:4">
      <c r="A6636" s="28">
        <v>34627</v>
      </c>
      <c r="B6636" s="26" t="s">
        <v>2976</v>
      </c>
      <c r="C6636" s="28" t="s">
        <v>71</v>
      </c>
      <c r="D6636" s="329">
        <v>7.03</v>
      </c>
    </row>
    <row r="6637" spans="1:4">
      <c r="A6637" s="47">
        <v>34629</v>
      </c>
      <c r="B6637" s="48" t="s">
        <v>2977</v>
      </c>
      <c r="C6637" s="47" t="s">
        <v>71</v>
      </c>
      <c r="D6637" s="332">
        <v>10.29</v>
      </c>
    </row>
    <row r="6638" spans="1:4" ht="30">
      <c r="A6638" s="28">
        <v>39257</v>
      </c>
      <c r="B6638" s="26" t="s">
        <v>11229</v>
      </c>
      <c r="C6638" s="28" t="s">
        <v>71</v>
      </c>
      <c r="D6638" s="329">
        <v>3.13</v>
      </c>
    </row>
    <row r="6639" spans="1:4" ht="30">
      <c r="A6639" s="47">
        <v>39261</v>
      </c>
      <c r="B6639" s="48" t="s">
        <v>11230</v>
      </c>
      <c r="C6639" s="47" t="s">
        <v>71</v>
      </c>
      <c r="D6639" s="332">
        <v>16.670000000000002</v>
      </c>
    </row>
    <row r="6640" spans="1:4" ht="30">
      <c r="A6640" s="28">
        <v>39268</v>
      </c>
      <c r="B6640" s="26" t="s">
        <v>11231</v>
      </c>
      <c r="C6640" s="28" t="s">
        <v>71</v>
      </c>
      <c r="D6640" s="329">
        <v>192.32</v>
      </c>
    </row>
    <row r="6641" spans="1:4" ht="30">
      <c r="A6641" s="47">
        <v>39262</v>
      </c>
      <c r="B6641" s="48" t="s">
        <v>11232</v>
      </c>
      <c r="C6641" s="47" t="s">
        <v>71</v>
      </c>
      <c r="D6641" s="332">
        <v>26.06</v>
      </c>
    </row>
    <row r="6642" spans="1:4" ht="30">
      <c r="A6642" s="28">
        <v>39263</v>
      </c>
      <c r="B6642" s="26" t="s">
        <v>11233</v>
      </c>
      <c r="C6642" s="28" t="s">
        <v>71</v>
      </c>
      <c r="D6642" s="329">
        <v>40.32</v>
      </c>
    </row>
    <row r="6643" spans="1:4" ht="30">
      <c r="A6643" s="47">
        <v>39264</v>
      </c>
      <c r="B6643" s="48" t="s">
        <v>11234</v>
      </c>
      <c r="C6643" s="47" t="s">
        <v>71</v>
      </c>
      <c r="D6643" s="332">
        <v>54.6</v>
      </c>
    </row>
    <row r="6644" spans="1:4" ht="30">
      <c r="A6644" s="28">
        <v>39259</v>
      </c>
      <c r="B6644" s="26" t="s">
        <v>11235</v>
      </c>
      <c r="C6644" s="28" t="s">
        <v>71</v>
      </c>
      <c r="D6644" s="329">
        <v>7.06</v>
      </c>
    </row>
    <row r="6645" spans="1:4" ht="30">
      <c r="A6645" s="47">
        <v>39265</v>
      </c>
      <c r="B6645" s="48" t="s">
        <v>11236</v>
      </c>
      <c r="C6645" s="47" t="s">
        <v>71</v>
      </c>
      <c r="D6645" s="332">
        <v>80.430000000000007</v>
      </c>
    </row>
    <row r="6646" spans="1:4" ht="30">
      <c r="A6646" s="28">
        <v>39260</v>
      </c>
      <c r="B6646" s="26" t="s">
        <v>11237</v>
      </c>
      <c r="C6646" s="28" t="s">
        <v>71</v>
      </c>
      <c r="D6646" s="329">
        <v>10.050000000000001</v>
      </c>
    </row>
    <row r="6647" spans="1:4" ht="30">
      <c r="A6647" s="47">
        <v>39266</v>
      </c>
      <c r="B6647" s="48" t="s">
        <v>11238</v>
      </c>
      <c r="C6647" s="47" t="s">
        <v>71</v>
      </c>
      <c r="D6647" s="332">
        <v>112.86</v>
      </c>
    </row>
    <row r="6648" spans="1:4" ht="30">
      <c r="A6648" s="28">
        <v>39267</v>
      </c>
      <c r="B6648" s="26" t="s">
        <v>11239</v>
      </c>
      <c r="C6648" s="28" t="s">
        <v>71</v>
      </c>
      <c r="D6648" s="329">
        <v>147.94</v>
      </c>
    </row>
    <row r="6649" spans="1:4">
      <c r="A6649" s="47">
        <v>11901</v>
      </c>
      <c r="B6649" s="48" t="s">
        <v>2978</v>
      </c>
      <c r="C6649" s="47" t="s">
        <v>71</v>
      </c>
      <c r="D6649" s="332">
        <v>0.33</v>
      </c>
    </row>
    <row r="6650" spans="1:4">
      <c r="A6650" s="28">
        <v>11902</v>
      </c>
      <c r="B6650" s="26" t="s">
        <v>2979</v>
      </c>
      <c r="C6650" s="28" t="s">
        <v>71</v>
      </c>
      <c r="D6650" s="329">
        <v>0.56999999999999995</v>
      </c>
    </row>
    <row r="6651" spans="1:4">
      <c r="A6651" s="47">
        <v>11903</v>
      </c>
      <c r="B6651" s="48" t="s">
        <v>2980</v>
      </c>
      <c r="C6651" s="47" t="s">
        <v>71</v>
      </c>
      <c r="D6651" s="332">
        <v>0.88</v>
      </c>
    </row>
    <row r="6652" spans="1:4">
      <c r="A6652" s="28">
        <v>11904</v>
      </c>
      <c r="B6652" s="26" t="s">
        <v>2981</v>
      </c>
      <c r="C6652" s="28" t="s">
        <v>71</v>
      </c>
      <c r="D6652" s="329">
        <v>1.1299999999999999</v>
      </c>
    </row>
    <row r="6653" spans="1:4">
      <c r="A6653" s="47">
        <v>11905</v>
      </c>
      <c r="B6653" s="48" t="s">
        <v>2982</v>
      </c>
      <c r="C6653" s="47" t="s">
        <v>71</v>
      </c>
      <c r="D6653" s="332">
        <v>1.52</v>
      </c>
    </row>
    <row r="6654" spans="1:4">
      <c r="A6654" s="28">
        <v>11906</v>
      </c>
      <c r="B6654" s="26" t="s">
        <v>2983</v>
      </c>
      <c r="C6654" s="28" t="s">
        <v>71</v>
      </c>
      <c r="D6654" s="329">
        <v>1.75</v>
      </c>
    </row>
    <row r="6655" spans="1:4">
      <c r="A6655" s="47">
        <v>11919</v>
      </c>
      <c r="B6655" s="48" t="s">
        <v>2990</v>
      </c>
      <c r="C6655" s="47" t="s">
        <v>71</v>
      </c>
      <c r="D6655" s="332">
        <v>3.43</v>
      </c>
    </row>
    <row r="6656" spans="1:4">
      <c r="A6656" s="28">
        <v>11920</v>
      </c>
      <c r="B6656" s="26" t="s">
        <v>2991</v>
      </c>
      <c r="C6656" s="28" t="s">
        <v>71</v>
      </c>
      <c r="D6656" s="329">
        <v>6.66</v>
      </c>
    </row>
    <row r="6657" spans="1:4">
      <c r="A6657" s="47">
        <v>11924</v>
      </c>
      <c r="B6657" s="48" t="s">
        <v>2992</v>
      </c>
      <c r="C6657" s="47" t="s">
        <v>71</v>
      </c>
      <c r="D6657" s="332">
        <v>64.760000000000005</v>
      </c>
    </row>
    <row r="6658" spans="1:4" ht="29.25" customHeight="1">
      <c r="A6658" s="28">
        <v>11921</v>
      </c>
      <c r="B6658" s="26" t="s">
        <v>2993</v>
      </c>
      <c r="C6658" s="28" t="s">
        <v>71</v>
      </c>
      <c r="D6658" s="329">
        <v>9.06</v>
      </c>
    </row>
    <row r="6659" spans="1:4">
      <c r="A6659" s="47">
        <v>11922</v>
      </c>
      <c r="B6659" s="48" t="s">
        <v>2994</v>
      </c>
      <c r="C6659" s="47" t="s">
        <v>71</v>
      </c>
      <c r="D6659" s="332">
        <v>16.09</v>
      </c>
    </row>
    <row r="6660" spans="1:4">
      <c r="A6660" s="28">
        <v>11923</v>
      </c>
      <c r="B6660" s="26" t="s">
        <v>2995</v>
      </c>
      <c r="C6660" s="28" t="s">
        <v>71</v>
      </c>
      <c r="D6660" s="329">
        <v>26.29</v>
      </c>
    </row>
    <row r="6661" spans="1:4">
      <c r="A6661" s="47">
        <v>11916</v>
      </c>
      <c r="B6661" s="48" t="s">
        <v>3003</v>
      </c>
      <c r="C6661" s="47" t="s">
        <v>71</v>
      </c>
      <c r="D6661" s="332">
        <v>4.46</v>
      </c>
    </row>
    <row r="6662" spans="1:4">
      <c r="A6662" s="28">
        <v>11914</v>
      </c>
      <c r="B6662" s="26" t="s">
        <v>3004</v>
      </c>
      <c r="C6662" s="28" t="s">
        <v>71</v>
      </c>
      <c r="D6662" s="329">
        <v>32.39</v>
      </c>
    </row>
    <row r="6663" spans="1:4">
      <c r="A6663" s="47">
        <v>11917</v>
      </c>
      <c r="B6663" s="48" t="s">
        <v>3005</v>
      </c>
      <c r="C6663" s="47" t="s">
        <v>71</v>
      </c>
      <c r="D6663" s="332">
        <v>7.76</v>
      </c>
    </row>
    <row r="6664" spans="1:4">
      <c r="A6664" s="28">
        <v>11918</v>
      </c>
      <c r="B6664" s="26" t="s">
        <v>3006</v>
      </c>
      <c r="C6664" s="28" t="s">
        <v>71</v>
      </c>
      <c r="D6664" s="329">
        <v>10.53</v>
      </c>
    </row>
    <row r="6665" spans="1:4" ht="30">
      <c r="A6665" s="47">
        <v>37734</v>
      </c>
      <c r="B6665" s="48" t="s">
        <v>3011</v>
      </c>
      <c r="C6665" s="47" t="s">
        <v>65</v>
      </c>
      <c r="D6665" s="332">
        <v>33678.14</v>
      </c>
    </row>
    <row r="6666" spans="1:4" ht="30">
      <c r="A6666" s="28">
        <v>37733</v>
      </c>
      <c r="B6666" s="26" t="s">
        <v>3012</v>
      </c>
      <c r="C6666" s="28" t="s">
        <v>65</v>
      </c>
      <c r="D6666" s="329">
        <v>25251.74</v>
      </c>
    </row>
    <row r="6667" spans="1:4" ht="30">
      <c r="A6667" s="47">
        <v>37735</v>
      </c>
      <c r="B6667" s="48" t="s">
        <v>3013</v>
      </c>
      <c r="C6667" s="47" t="s">
        <v>65</v>
      </c>
      <c r="D6667" s="332">
        <v>30428.35</v>
      </c>
    </row>
    <row r="6668" spans="1:4">
      <c r="A6668" s="28">
        <v>2354</v>
      </c>
      <c r="B6668" s="26" t="s">
        <v>3014</v>
      </c>
      <c r="C6668" s="28" t="s">
        <v>57</v>
      </c>
      <c r="D6668" s="329">
        <v>21.91</v>
      </c>
    </row>
    <row r="6669" spans="1:4" ht="30">
      <c r="A6669" s="47">
        <v>41758</v>
      </c>
      <c r="B6669" s="48" t="s">
        <v>3016</v>
      </c>
      <c r="C6669" s="47" t="s">
        <v>65</v>
      </c>
      <c r="D6669" s="332">
        <v>112.61</v>
      </c>
    </row>
    <row r="6670" spans="1:4" ht="30">
      <c r="A6670" s="28">
        <v>5090</v>
      </c>
      <c r="B6670" s="26" t="s">
        <v>3018</v>
      </c>
      <c r="C6670" s="28" t="s">
        <v>65</v>
      </c>
      <c r="D6670" s="329">
        <v>12.9</v>
      </c>
    </row>
    <row r="6671" spans="1:4" ht="30">
      <c r="A6671" s="47">
        <v>5085</v>
      </c>
      <c r="B6671" s="48" t="s">
        <v>3017</v>
      </c>
      <c r="C6671" s="47" t="s">
        <v>65</v>
      </c>
      <c r="D6671" s="332">
        <v>14.38</v>
      </c>
    </row>
    <row r="6672" spans="1:4">
      <c r="A6672" s="28">
        <v>38374</v>
      </c>
      <c r="B6672" s="26" t="s">
        <v>137</v>
      </c>
      <c r="C6672" s="28" t="s">
        <v>65</v>
      </c>
      <c r="D6672" s="329">
        <v>713.28</v>
      </c>
    </row>
    <row r="6673" spans="1:4" ht="30">
      <c r="A6673" s="47">
        <v>20212</v>
      </c>
      <c r="B6673" s="48" t="s">
        <v>3021</v>
      </c>
      <c r="C6673" s="47" t="s">
        <v>71</v>
      </c>
      <c r="D6673" s="332">
        <v>6.5</v>
      </c>
    </row>
    <row r="6674" spans="1:4" ht="30">
      <c r="A6674" s="28">
        <v>4430</v>
      </c>
      <c r="B6674" s="26" t="s">
        <v>3022</v>
      </c>
      <c r="C6674" s="28" t="s">
        <v>71</v>
      </c>
      <c r="D6674" s="329">
        <v>5.62</v>
      </c>
    </row>
    <row r="6675" spans="1:4" ht="30">
      <c r="A6675" s="47">
        <v>4400</v>
      </c>
      <c r="B6675" s="48" t="s">
        <v>3023</v>
      </c>
      <c r="C6675" s="47" t="s">
        <v>71</v>
      </c>
      <c r="D6675" s="332">
        <v>7.1</v>
      </c>
    </row>
    <row r="6676" spans="1:4">
      <c r="A6676" s="28">
        <v>4496</v>
      </c>
      <c r="B6676" s="26" t="s">
        <v>3024</v>
      </c>
      <c r="C6676" s="28" t="s">
        <v>71</v>
      </c>
      <c r="D6676" s="329">
        <v>1.48</v>
      </c>
    </row>
    <row r="6677" spans="1:4">
      <c r="A6677" s="47">
        <v>11871</v>
      </c>
      <c r="B6677" s="48" t="s">
        <v>138</v>
      </c>
      <c r="C6677" s="47" t="s">
        <v>65</v>
      </c>
      <c r="D6677" s="332">
        <v>307.01</v>
      </c>
    </row>
    <row r="6678" spans="1:4">
      <c r="A6678" s="28">
        <v>34636</v>
      </c>
      <c r="B6678" s="26" t="s">
        <v>3029</v>
      </c>
      <c r="C6678" s="28" t="s">
        <v>65</v>
      </c>
      <c r="D6678" s="329">
        <v>316.67</v>
      </c>
    </row>
    <row r="6679" spans="1:4">
      <c r="A6679" s="47">
        <v>34639</v>
      </c>
      <c r="B6679" s="48" t="s">
        <v>3030</v>
      </c>
      <c r="C6679" s="47" t="s">
        <v>65</v>
      </c>
      <c r="D6679" s="332">
        <v>643.15</v>
      </c>
    </row>
    <row r="6680" spans="1:4">
      <c r="A6680" s="28">
        <v>34640</v>
      </c>
      <c r="B6680" s="26" t="s">
        <v>3031</v>
      </c>
      <c r="C6680" s="28" t="s">
        <v>65</v>
      </c>
      <c r="D6680" s="329">
        <v>722.43</v>
      </c>
    </row>
    <row r="6681" spans="1:4">
      <c r="A6681" s="47">
        <v>34637</v>
      </c>
      <c r="B6681" s="48" t="s">
        <v>139</v>
      </c>
      <c r="C6681" s="47" t="s">
        <v>65</v>
      </c>
      <c r="D6681" s="332">
        <v>181.81</v>
      </c>
    </row>
    <row r="6682" spans="1:4">
      <c r="A6682" s="28">
        <v>34638</v>
      </c>
      <c r="B6682" s="26" t="s">
        <v>140</v>
      </c>
      <c r="C6682" s="28" t="s">
        <v>65</v>
      </c>
      <c r="D6682" s="329">
        <v>311.79000000000002</v>
      </c>
    </row>
    <row r="6683" spans="1:4">
      <c r="A6683" s="47">
        <v>11868</v>
      </c>
      <c r="B6683" s="48" t="s">
        <v>3032</v>
      </c>
      <c r="C6683" s="47" t="s">
        <v>65</v>
      </c>
      <c r="D6683" s="332">
        <v>421.94</v>
      </c>
    </row>
    <row r="6684" spans="1:4">
      <c r="A6684" s="28">
        <v>37106</v>
      </c>
      <c r="B6684" s="26" t="s">
        <v>3033</v>
      </c>
      <c r="C6684" s="28" t="s">
        <v>65</v>
      </c>
      <c r="D6684" s="329">
        <v>4075.49</v>
      </c>
    </row>
    <row r="6685" spans="1:4">
      <c r="A6685" s="47">
        <v>11869</v>
      </c>
      <c r="B6685" s="48" t="s">
        <v>3034</v>
      </c>
      <c r="C6685" s="47" t="s">
        <v>65</v>
      </c>
      <c r="D6685" s="332">
        <v>684.59</v>
      </c>
    </row>
    <row r="6686" spans="1:4">
      <c r="A6686" s="28">
        <v>37104</v>
      </c>
      <c r="B6686" s="26" t="s">
        <v>3035</v>
      </c>
      <c r="C6686" s="28" t="s">
        <v>65</v>
      </c>
      <c r="D6686" s="329">
        <v>882.48</v>
      </c>
    </row>
    <row r="6687" spans="1:4">
      <c r="A6687" s="47">
        <v>37105</v>
      </c>
      <c r="B6687" s="48" t="s">
        <v>3036</v>
      </c>
      <c r="C6687" s="47" t="s">
        <v>65</v>
      </c>
      <c r="D6687" s="332">
        <v>1965.43</v>
      </c>
    </row>
    <row r="6688" spans="1:4" ht="30">
      <c r="A6688" s="28">
        <v>11638</v>
      </c>
      <c r="B6688" s="26" t="s">
        <v>3037</v>
      </c>
      <c r="C6688" s="28" t="s">
        <v>65</v>
      </c>
      <c r="D6688" s="329">
        <v>97.24</v>
      </c>
    </row>
    <row r="6689" spans="1:4" ht="30">
      <c r="A6689" s="47">
        <v>1030</v>
      </c>
      <c r="B6689" s="48" t="s">
        <v>3039</v>
      </c>
      <c r="C6689" s="47" t="s">
        <v>65</v>
      </c>
      <c r="D6689" s="332">
        <v>25.9</v>
      </c>
    </row>
    <row r="6690" spans="1:4" ht="30">
      <c r="A6690" s="28">
        <v>11694</v>
      </c>
      <c r="B6690" s="26" t="s">
        <v>3040</v>
      </c>
      <c r="C6690" s="28" t="s">
        <v>65</v>
      </c>
      <c r="D6690" s="329">
        <v>572.52</v>
      </c>
    </row>
    <row r="6691" spans="1:4" ht="30">
      <c r="A6691" s="47">
        <v>35277</v>
      </c>
      <c r="B6691" s="48" t="s">
        <v>3042</v>
      </c>
      <c r="C6691" s="47" t="s">
        <v>65</v>
      </c>
      <c r="D6691" s="332">
        <v>295.89999999999998</v>
      </c>
    </row>
    <row r="6692" spans="1:4" ht="45">
      <c r="A6692" s="28">
        <v>10521</v>
      </c>
      <c r="B6692" s="26" t="s">
        <v>3044</v>
      </c>
      <c r="C6692" s="28" t="s">
        <v>65</v>
      </c>
      <c r="D6692" s="329">
        <v>186.71</v>
      </c>
    </row>
    <row r="6693" spans="1:4" ht="45">
      <c r="A6693" s="47">
        <v>10885</v>
      </c>
      <c r="B6693" s="48" t="s">
        <v>3045</v>
      </c>
      <c r="C6693" s="47" t="s">
        <v>65</v>
      </c>
      <c r="D6693" s="332">
        <v>236.17</v>
      </c>
    </row>
    <row r="6694" spans="1:4" ht="45">
      <c r="A6694" s="28">
        <v>20962</v>
      </c>
      <c r="B6694" s="26" t="s">
        <v>3046</v>
      </c>
      <c r="C6694" s="28" t="s">
        <v>65</v>
      </c>
      <c r="D6694" s="329">
        <v>195.61</v>
      </c>
    </row>
    <row r="6695" spans="1:4" ht="45">
      <c r="A6695" s="47">
        <v>20963</v>
      </c>
      <c r="B6695" s="48" t="s">
        <v>3047</v>
      </c>
      <c r="C6695" s="47" t="s">
        <v>65</v>
      </c>
      <c r="D6695" s="332">
        <v>238.95</v>
      </c>
    </row>
    <row r="6696" spans="1:4">
      <c r="A6696" s="28">
        <v>2555</v>
      </c>
      <c r="B6696" s="26" t="s">
        <v>3051</v>
      </c>
      <c r="C6696" s="28" t="s">
        <v>65</v>
      </c>
      <c r="D6696" s="329">
        <v>0.94</v>
      </c>
    </row>
    <row r="6697" spans="1:4">
      <c r="A6697" s="47">
        <v>2556</v>
      </c>
      <c r="B6697" s="48" t="s">
        <v>3052</v>
      </c>
      <c r="C6697" s="47" t="s">
        <v>65</v>
      </c>
      <c r="D6697" s="332">
        <v>0.87</v>
      </c>
    </row>
    <row r="6698" spans="1:4">
      <c r="A6698" s="28">
        <v>2557</v>
      </c>
      <c r="B6698" s="26" t="s">
        <v>3053</v>
      </c>
      <c r="C6698" s="28" t="s">
        <v>65</v>
      </c>
      <c r="D6698" s="329">
        <v>1.84</v>
      </c>
    </row>
    <row r="6699" spans="1:4" ht="30">
      <c r="A6699" s="47">
        <v>20254</v>
      </c>
      <c r="B6699" s="48" t="s">
        <v>3060</v>
      </c>
      <c r="C6699" s="47" t="s">
        <v>65</v>
      </c>
      <c r="D6699" s="332">
        <v>10.15</v>
      </c>
    </row>
    <row r="6700" spans="1:4" ht="30">
      <c r="A6700" s="28">
        <v>39771</v>
      </c>
      <c r="B6700" s="26" t="s">
        <v>3061</v>
      </c>
      <c r="C6700" s="28" t="s">
        <v>65</v>
      </c>
      <c r="D6700" s="329">
        <v>16.809999999999999</v>
      </c>
    </row>
    <row r="6701" spans="1:4" ht="30">
      <c r="A6701" s="47">
        <v>20255</v>
      </c>
      <c r="B6701" s="48" t="s">
        <v>3062</v>
      </c>
      <c r="C6701" s="47" t="s">
        <v>65</v>
      </c>
      <c r="D6701" s="332">
        <v>27.78</v>
      </c>
    </row>
    <row r="6702" spans="1:4" ht="30">
      <c r="A6702" s="28">
        <v>39772</v>
      </c>
      <c r="B6702" s="26" t="s">
        <v>3063</v>
      </c>
      <c r="C6702" s="28" t="s">
        <v>65</v>
      </c>
      <c r="D6702" s="329">
        <v>33.299999999999997</v>
      </c>
    </row>
    <row r="6703" spans="1:4" ht="30">
      <c r="A6703" s="47">
        <v>20253</v>
      </c>
      <c r="B6703" s="48" t="s">
        <v>3064</v>
      </c>
      <c r="C6703" s="47" t="s">
        <v>65</v>
      </c>
      <c r="D6703" s="332">
        <v>58.05</v>
      </c>
    </row>
    <row r="6704" spans="1:4" ht="30">
      <c r="A6704" s="28">
        <v>39773</v>
      </c>
      <c r="B6704" s="26" t="s">
        <v>3065</v>
      </c>
      <c r="C6704" s="28" t="s">
        <v>65</v>
      </c>
      <c r="D6704" s="329">
        <v>60.3</v>
      </c>
    </row>
    <row r="6705" spans="1:4" ht="30">
      <c r="A6705" s="47">
        <v>39774</v>
      </c>
      <c r="B6705" s="48" t="s">
        <v>3066</v>
      </c>
      <c r="C6705" s="47" t="s">
        <v>65</v>
      </c>
      <c r="D6705" s="332">
        <v>78.349999999999994</v>
      </c>
    </row>
    <row r="6706" spans="1:4" ht="30">
      <c r="A6706" s="28">
        <v>39775</v>
      </c>
      <c r="B6706" s="26" t="s">
        <v>3067</v>
      </c>
      <c r="C6706" s="28" t="s">
        <v>65</v>
      </c>
      <c r="D6706" s="329">
        <v>137.22</v>
      </c>
    </row>
    <row r="6707" spans="1:4" ht="30">
      <c r="A6707" s="47">
        <v>39776</v>
      </c>
      <c r="B6707" s="48" t="s">
        <v>3068</v>
      </c>
      <c r="C6707" s="47" t="s">
        <v>65</v>
      </c>
      <c r="D6707" s="332">
        <v>168.88</v>
      </c>
    </row>
    <row r="6708" spans="1:4" ht="30">
      <c r="A6708" s="28">
        <v>39777</v>
      </c>
      <c r="B6708" s="26" t="s">
        <v>3069</v>
      </c>
      <c r="C6708" s="28" t="s">
        <v>65</v>
      </c>
      <c r="D6708" s="329">
        <v>202.66</v>
      </c>
    </row>
    <row r="6709" spans="1:4" ht="30">
      <c r="A6709" s="47">
        <v>11250</v>
      </c>
      <c r="B6709" s="48" t="s">
        <v>3070</v>
      </c>
      <c r="C6709" s="47" t="s">
        <v>65</v>
      </c>
      <c r="D6709" s="332">
        <v>30.09</v>
      </c>
    </row>
    <row r="6710" spans="1:4" ht="30">
      <c r="A6710" s="28">
        <v>39766</v>
      </c>
      <c r="B6710" s="26" t="s">
        <v>3071</v>
      </c>
      <c r="C6710" s="28" t="s">
        <v>65</v>
      </c>
      <c r="D6710" s="329">
        <v>36.729999999999997</v>
      </c>
    </row>
    <row r="6711" spans="1:4" ht="30">
      <c r="A6711" s="47">
        <v>11251</v>
      </c>
      <c r="B6711" s="48" t="s">
        <v>3072</v>
      </c>
      <c r="C6711" s="47" t="s">
        <v>65</v>
      </c>
      <c r="D6711" s="332">
        <v>63.33</v>
      </c>
    </row>
    <row r="6712" spans="1:4" ht="30">
      <c r="A6712" s="28">
        <v>39767</v>
      </c>
      <c r="B6712" s="26" t="s">
        <v>3073</v>
      </c>
      <c r="C6712" s="28" t="s">
        <v>65</v>
      </c>
      <c r="D6712" s="329">
        <v>83.38</v>
      </c>
    </row>
    <row r="6713" spans="1:4" ht="30">
      <c r="A6713" s="47">
        <v>11253</v>
      </c>
      <c r="B6713" s="48" t="s">
        <v>3074</v>
      </c>
      <c r="C6713" s="47" t="s">
        <v>65</v>
      </c>
      <c r="D6713" s="332">
        <v>124.55</v>
      </c>
    </row>
    <row r="6714" spans="1:4" ht="30">
      <c r="A6714" s="28">
        <v>11254</v>
      </c>
      <c r="B6714" s="26" t="s">
        <v>3075</v>
      </c>
      <c r="C6714" s="28" t="s">
        <v>65</v>
      </c>
      <c r="D6714" s="329">
        <v>133.81</v>
      </c>
    </row>
    <row r="6715" spans="1:4" ht="30">
      <c r="A6715" s="47">
        <v>11255</v>
      </c>
      <c r="B6715" s="48" t="s">
        <v>3076</v>
      </c>
      <c r="C6715" s="47" t="s">
        <v>65</v>
      </c>
      <c r="D6715" s="332">
        <v>202.66</v>
      </c>
    </row>
    <row r="6716" spans="1:4" ht="30">
      <c r="A6716" s="28">
        <v>11256</v>
      </c>
      <c r="B6716" s="26" t="s">
        <v>3077</v>
      </c>
      <c r="C6716" s="28" t="s">
        <v>65</v>
      </c>
      <c r="D6716" s="329">
        <v>231.91</v>
      </c>
    </row>
    <row r="6717" spans="1:4" ht="30">
      <c r="A6717" s="47">
        <v>14055</v>
      </c>
      <c r="B6717" s="48" t="s">
        <v>3078</v>
      </c>
      <c r="C6717" s="47" t="s">
        <v>65</v>
      </c>
      <c r="D6717" s="332">
        <v>411.41</v>
      </c>
    </row>
    <row r="6718" spans="1:4" ht="30">
      <c r="A6718" s="28">
        <v>39768</v>
      </c>
      <c r="B6718" s="26" t="s">
        <v>3079</v>
      </c>
      <c r="C6718" s="28" t="s">
        <v>65</v>
      </c>
      <c r="D6718" s="329">
        <v>438.98</v>
      </c>
    </row>
    <row r="6719" spans="1:4" ht="30">
      <c r="A6719" s="47">
        <v>11247</v>
      </c>
      <c r="B6719" s="48" t="s">
        <v>3080</v>
      </c>
      <c r="C6719" s="47" t="s">
        <v>65</v>
      </c>
      <c r="D6719" s="332">
        <v>589.39</v>
      </c>
    </row>
    <row r="6720" spans="1:4" ht="30">
      <c r="A6720" s="28">
        <v>39769</v>
      </c>
      <c r="B6720" s="26" t="s">
        <v>3081</v>
      </c>
      <c r="C6720" s="28" t="s">
        <v>65</v>
      </c>
      <c r="D6720" s="329">
        <v>714.52</v>
      </c>
    </row>
    <row r="6721" spans="1:4" ht="30">
      <c r="A6721" s="47">
        <v>11249</v>
      </c>
      <c r="B6721" s="48" t="s">
        <v>3082</v>
      </c>
      <c r="C6721" s="47" t="s">
        <v>65</v>
      </c>
      <c r="D6721" s="332">
        <v>1926.51</v>
      </c>
    </row>
    <row r="6722" spans="1:4" ht="30">
      <c r="A6722" s="28">
        <v>39770</v>
      </c>
      <c r="B6722" s="26" t="s">
        <v>3083</v>
      </c>
      <c r="C6722" s="28" t="s">
        <v>65</v>
      </c>
      <c r="D6722" s="329">
        <v>2505.04</v>
      </c>
    </row>
    <row r="6723" spans="1:4">
      <c r="A6723" s="47">
        <v>10569</v>
      </c>
      <c r="B6723" s="48" t="s">
        <v>3084</v>
      </c>
      <c r="C6723" s="47" t="s">
        <v>65</v>
      </c>
      <c r="D6723" s="332">
        <v>1.83</v>
      </c>
    </row>
    <row r="6724" spans="1:4">
      <c r="A6724" s="28">
        <v>1872</v>
      </c>
      <c r="B6724" s="26" t="s">
        <v>3088</v>
      </c>
      <c r="C6724" s="28" t="s">
        <v>65</v>
      </c>
      <c r="D6724" s="329">
        <v>0.87</v>
      </c>
    </row>
    <row r="6725" spans="1:4">
      <c r="A6725" s="47">
        <v>1873</v>
      </c>
      <c r="B6725" s="48" t="s">
        <v>3089</v>
      </c>
      <c r="C6725" s="47" t="s">
        <v>65</v>
      </c>
      <c r="D6725" s="332">
        <v>1.73</v>
      </c>
    </row>
    <row r="6726" spans="1:4" ht="30">
      <c r="A6726" s="28">
        <v>39693</v>
      </c>
      <c r="B6726" s="26" t="s">
        <v>3091</v>
      </c>
      <c r="C6726" s="28" t="s">
        <v>65</v>
      </c>
      <c r="D6726" s="329">
        <v>1099.3800000000001</v>
      </c>
    </row>
    <row r="6727" spans="1:4" ht="30">
      <c r="A6727" s="47">
        <v>39692</v>
      </c>
      <c r="B6727" s="48" t="s">
        <v>3093</v>
      </c>
      <c r="C6727" s="47" t="s">
        <v>65</v>
      </c>
      <c r="D6727" s="332">
        <v>185.06</v>
      </c>
    </row>
    <row r="6728" spans="1:4" ht="30">
      <c r="A6728" s="28">
        <v>39681</v>
      </c>
      <c r="B6728" s="26" t="s">
        <v>11240</v>
      </c>
      <c r="C6728" s="28" t="s">
        <v>65</v>
      </c>
      <c r="D6728" s="329">
        <v>104.5</v>
      </c>
    </row>
    <row r="6729" spans="1:4" ht="30">
      <c r="A6729" s="47">
        <v>39680</v>
      </c>
      <c r="B6729" s="48" t="s">
        <v>11241</v>
      </c>
      <c r="C6729" s="47" t="s">
        <v>65</v>
      </c>
      <c r="D6729" s="332">
        <v>53.83</v>
      </c>
    </row>
    <row r="6730" spans="1:4" ht="30">
      <c r="A6730" s="28">
        <v>39682</v>
      </c>
      <c r="B6730" s="26" t="s">
        <v>11242</v>
      </c>
      <c r="C6730" s="28" t="s">
        <v>65</v>
      </c>
      <c r="D6730" s="329">
        <v>105.55</v>
      </c>
    </row>
    <row r="6731" spans="1:4" ht="30">
      <c r="A6731" s="47">
        <v>39684</v>
      </c>
      <c r="B6731" s="48" t="s">
        <v>3097</v>
      </c>
      <c r="C6731" s="47" t="s">
        <v>65</v>
      </c>
      <c r="D6731" s="332">
        <v>32.950000000000003</v>
      </c>
    </row>
    <row r="6732" spans="1:4" ht="30">
      <c r="A6732" s="28">
        <v>39685</v>
      </c>
      <c r="B6732" s="26" t="s">
        <v>3098</v>
      </c>
      <c r="C6732" s="28" t="s">
        <v>65</v>
      </c>
      <c r="D6732" s="329">
        <v>89.54</v>
      </c>
    </row>
    <row r="6733" spans="1:4" ht="30">
      <c r="A6733" s="47">
        <v>39687</v>
      </c>
      <c r="B6733" s="48" t="s">
        <v>3099</v>
      </c>
      <c r="C6733" s="47" t="s">
        <v>65</v>
      </c>
      <c r="D6733" s="332">
        <v>168.8</v>
      </c>
    </row>
    <row r="6734" spans="1:4">
      <c r="A6734" s="28">
        <v>3280</v>
      </c>
      <c r="B6734" s="26" t="s">
        <v>3100</v>
      </c>
      <c r="C6734" s="28" t="s">
        <v>65</v>
      </c>
      <c r="D6734" s="329">
        <v>137.97999999999999</v>
      </c>
    </row>
    <row r="6735" spans="1:4">
      <c r="A6735" s="47">
        <v>11881</v>
      </c>
      <c r="B6735" s="48" t="s">
        <v>3101</v>
      </c>
      <c r="C6735" s="47" t="s">
        <v>65</v>
      </c>
      <c r="D6735" s="332">
        <v>64.08</v>
      </c>
    </row>
    <row r="6736" spans="1:4">
      <c r="A6736" s="28">
        <v>34641</v>
      </c>
      <c r="B6736" s="26" t="s">
        <v>3102</v>
      </c>
      <c r="C6736" s="28" t="s">
        <v>65</v>
      </c>
      <c r="D6736" s="329">
        <v>51.68</v>
      </c>
    </row>
    <row r="6737" spans="1:4">
      <c r="A6737" s="47">
        <v>34643</v>
      </c>
      <c r="B6737" s="48" t="s">
        <v>3103</v>
      </c>
      <c r="C6737" s="47" t="s">
        <v>65</v>
      </c>
      <c r="D6737" s="332">
        <v>9.57</v>
      </c>
    </row>
    <row r="6738" spans="1:4">
      <c r="A6738" s="28">
        <v>3278</v>
      </c>
      <c r="B6738" s="26" t="s">
        <v>3104</v>
      </c>
      <c r="C6738" s="28" t="s">
        <v>65</v>
      </c>
      <c r="D6738" s="329">
        <v>72.349999999999994</v>
      </c>
    </row>
    <row r="6739" spans="1:4" ht="30">
      <c r="A6739" s="47">
        <v>3279</v>
      </c>
      <c r="B6739" s="48" t="s">
        <v>3105</v>
      </c>
      <c r="C6739" s="47" t="s">
        <v>65</v>
      </c>
      <c r="D6739" s="332">
        <v>119.38</v>
      </c>
    </row>
    <row r="6740" spans="1:4" ht="30">
      <c r="A6740" s="28">
        <v>1062</v>
      </c>
      <c r="B6740" s="26" t="s">
        <v>3106</v>
      </c>
      <c r="C6740" s="28" t="s">
        <v>65</v>
      </c>
      <c r="D6740" s="329">
        <v>95</v>
      </c>
    </row>
    <row r="6741" spans="1:4" ht="30">
      <c r="A6741" s="47">
        <v>39686</v>
      </c>
      <c r="B6741" s="48" t="s">
        <v>3107</v>
      </c>
      <c r="C6741" s="47" t="s">
        <v>65</v>
      </c>
      <c r="D6741" s="332">
        <v>162.04</v>
      </c>
    </row>
    <row r="6742" spans="1:4" ht="30">
      <c r="A6742" s="28">
        <v>39683</v>
      </c>
      <c r="B6742" s="26" t="s">
        <v>11243</v>
      </c>
      <c r="C6742" s="28" t="s">
        <v>65</v>
      </c>
      <c r="D6742" s="329">
        <v>32.950000000000003</v>
      </c>
    </row>
    <row r="6743" spans="1:4" ht="30">
      <c r="A6743" s="47">
        <v>1871</v>
      </c>
      <c r="B6743" s="48" t="s">
        <v>3111</v>
      </c>
      <c r="C6743" s="47" t="s">
        <v>65</v>
      </c>
      <c r="D6743" s="332">
        <v>1.56</v>
      </c>
    </row>
    <row r="6744" spans="1:4" ht="30">
      <c r="A6744" s="28">
        <v>12001</v>
      </c>
      <c r="B6744" s="26" t="s">
        <v>3112</v>
      </c>
      <c r="C6744" s="28" t="s">
        <v>65</v>
      </c>
      <c r="D6744" s="329">
        <v>2.2599999999999998</v>
      </c>
    </row>
    <row r="6745" spans="1:4">
      <c r="A6745" s="47">
        <v>11882</v>
      </c>
      <c r="B6745" s="48" t="s">
        <v>3113</v>
      </c>
      <c r="C6745" s="47" t="s">
        <v>65</v>
      </c>
      <c r="D6745" s="332">
        <v>72.349999999999994</v>
      </c>
    </row>
    <row r="6746" spans="1:4" ht="30">
      <c r="A6746" s="28">
        <v>39689</v>
      </c>
      <c r="B6746" s="26" t="s">
        <v>3114</v>
      </c>
      <c r="C6746" s="28" t="s">
        <v>65</v>
      </c>
      <c r="D6746" s="329">
        <v>2111.11</v>
      </c>
    </row>
    <row r="6747" spans="1:4" ht="30">
      <c r="A6747" s="47">
        <v>39688</v>
      </c>
      <c r="B6747" s="48" t="s">
        <v>11244</v>
      </c>
      <c r="C6747" s="47" t="s">
        <v>65</v>
      </c>
      <c r="D6747" s="332">
        <v>305.05</v>
      </c>
    </row>
    <row r="6748" spans="1:4" ht="30">
      <c r="A6748" s="28">
        <v>1068</v>
      </c>
      <c r="B6748" s="26" t="s">
        <v>3115</v>
      </c>
      <c r="C6748" s="28" t="s">
        <v>65</v>
      </c>
      <c r="D6748" s="329">
        <v>1274.05</v>
      </c>
    </row>
    <row r="6749" spans="1:4" ht="30">
      <c r="A6749" s="47">
        <v>39690</v>
      </c>
      <c r="B6749" s="48" t="s">
        <v>3116</v>
      </c>
      <c r="C6749" s="47" t="s">
        <v>65</v>
      </c>
      <c r="D6749" s="332">
        <v>2865.83</v>
      </c>
    </row>
    <row r="6750" spans="1:4" ht="30">
      <c r="A6750" s="28">
        <v>39691</v>
      </c>
      <c r="B6750" s="26" t="s">
        <v>3117</v>
      </c>
      <c r="C6750" s="28" t="s">
        <v>65</v>
      </c>
      <c r="D6750" s="329">
        <v>3203.61</v>
      </c>
    </row>
    <row r="6751" spans="1:4">
      <c r="A6751" s="47">
        <v>11713</v>
      </c>
      <c r="B6751" s="48" t="s">
        <v>3131</v>
      </c>
      <c r="C6751" s="47" t="s">
        <v>65</v>
      </c>
      <c r="D6751" s="332">
        <v>20.78</v>
      </c>
    </row>
    <row r="6752" spans="1:4">
      <c r="A6752" s="28">
        <v>11716</v>
      </c>
      <c r="B6752" s="26" t="s">
        <v>3132</v>
      </c>
      <c r="C6752" s="28" t="s">
        <v>65</v>
      </c>
      <c r="D6752" s="329">
        <v>8.8699999999999992</v>
      </c>
    </row>
    <row r="6753" spans="1:4">
      <c r="A6753" s="47">
        <v>5103</v>
      </c>
      <c r="B6753" s="48" t="s">
        <v>3133</v>
      </c>
      <c r="C6753" s="47" t="s">
        <v>65</v>
      </c>
      <c r="D6753" s="332">
        <v>9</v>
      </c>
    </row>
    <row r="6754" spans="1:4">
      <c r="A6754" s="28">
        <v>11712</v>
      </c>
      <c r="B6754" s="26" t="s">
        <v>3134</v>
      </c>
      <c r="C6754" s="28" t="s">
        <v>65</v>
      </c>
      <c r="D6754" s="329">
        <v>20.96</v>
      </c>
    </row>
    <row r="6755" spans="1:4">
      <c r="A6755" s="47">
        <v>11717</v>
      </c>
      <c r="B6755" s="48" t="s">
        <v>3135</v>
      </c>
      <c r="C6755" s="47" t="s">
        <v>65</v>
      </c>
      <c r="D6755" s="332">
        <v>22.77</v>
      </c>
    </row>
    <row r="6756" spans="1:4">
      <c r="A6756" s="28">
        <v>11714</v>
      </c>
      <c r="B6756" s="26" t="s">
        <v>3136</v>
      </c>
      <c r="C6756" s="28" t="s">
        <v>65</v>
      </c>
      <c r="D6756" s="329">
        <v>28.33</v>
      </c>
    </row>
    <row r="6757" spans="1:4">
      <c r="A6757" s="47">
        <v>11715</v>
      </c>
      <c r="B6757" s="48" t="s">
        <v>3137</v>
      </c>
      <c r="C6757" s="47" t="s">
        <v>65</v>
      </c>
      <c r="D6757" s="332">
        <v>32.6</v>
      </c>
    </row>
    <row r="6758" spans="1:4" ht="30">
      <c r="A6758" s="28">
        <v>11880</v>
      </c>
      <c r="B6758" s="26" t="s">
        <v>3138</v>
      </c>
      <c r="C6758" s="28" t="s">
        <v>65</v>
      </c>
      <c r="D6758" s="329">
        <v>58.61</v>
      </c>
    </row>
    <row r="6759" spans="1:4">
      <c r="A6759" s="47">
        <v>599</v>
      </c>
      <c r="B6759" s="48" t="s">
        <v>3144</v>
      </c>
      <c r="C6759" s="47" t="s">
        <v>256</v>
      </c>
      <c r="D6759" s="332">
        <v>340.77</v>
      </c>
    </row>
    <row r="6760" spans="1:4">
      <c r="A6760" s="28">
        <v>34380</v>
      </c>
      <c r="B6760" s="26" t="s">
        <v>3143</v>
      </c>
      <c r="C6760" s="28" t="s">
        <v>65</v>
      </c>
      <c r="D6760" s="329">
        <v>183.68</v>
      </c>
    </row>
    <row r="6761" spans="1:4">
      <c r="A6761" s="47">
        <v>1106</v>
      </c>
      <c r="B6761" s="48" t="s">
        <v>141</v>
      </c>
      <c r="C6761" s="47" t="s">
        <v>90</v>
      </c>
      <c r="D6761" s="332">
        <v>0.55000000000000004</v>
      </c>
    </row>
    <row r="6762" spans="1:4">
      <c r="A6762" s="28">
        <v>11161</v>
      </c>
      <c r="B6762" s="26" t="s">
        <v>142</v>
      </c>
      <c r="C6762" s="28" t="s">
        <v>90</v>
      </c>
      <c r="D6762" s="329">
        <v>0.91</v>
      </c>
    </row>
    <row r="6763" spans="1:4">
      <c r="A6763" s="47">
        <v>1107</v>
      </c>
      <c r="B6763" s="48" t="s">
        <v>143</v>
      </c>
      <c r="C6763" s="47" t="s">
        <v>90</v>
      </c>
      <c r="D6763" s="332">
        <v>0.63</v>
      </c>
    </row>
    <row r="6764" spans="1:4">
      <c r="A6764" s="28">
        <v>4758</v>
      </c>
      <c r="B6764" s="26" t="s">
        <v>144</v>
      </c>
      <c r="C6764" s="28" t="s">
        <v>57</v>
      </c>
      <c r="D6764" s="329">
        <v>11.95</v>
      </c>
    </row>
    <row r="6765" spans="1:4">
      <c r="A6765" s="47">
        <v>41080</v>
      </c>
      <c r="B6765" s="48" t="s">
        <v>3147</v>
      </c>
      <c r="C6765" s="47" t="s">
        <v>1643</v>
      </c>
      <c r="D6765" s="332">
        <v>2103.46</v>
      </c>
    </row>
    <row r="6766" spans="1:4">
      <c r="A6766" s="28">
        <v>25963</v>
      </c>
      <c r="B6766" s="26" t="s">
        <v>3149</v>
      </c>
      <c r="C6766" s="28" t="s">
        <v>90</v>
      </c>
      <c r="D6766" s="329">
        <v>0.06</v>
      </c>
    </row>
    <row r="6767" spans="1:4">
      <c r="A6767" s="47">
        <v>4759</v>
      </c>
      <c r="B6767" s="48" t="s">
        <v>145</v>
      </c>
      <c r="C6767" s="47" t="s">
        <v>57</v>
      </c>
      <c r="D6767" s="332">
        <v>13.2</v>
      </c>
    </row>
    <row r="6768" spans="1:4">
      <c r="A6768" s="28">
        <v>41068</v>
      </c>
      <c r="B6768" s="26" t="s">
        <v>3150</v>
      </c>
      <c r="C6768" s="28" t="s">
        <v>1643</v>
      </c>
      <c r="D6768" s="329">
        <v>2067.67</v>
      </c>
    </row>
    <row r="6769" spans="1:4">
      <c r="A6769" s="47">
        <v>1108</v>
      </c>
      <c r="B6769" s="48" t="s">
        <v>3157</v>
      </c>
      <c r="C6769" s="47" t="s">
        <v>71</v>
      </c>
      <c r="D6769" s="332">
        <v>20.03</v>
      </c>
    </row>
    <row r="6770" spans="1:4">
      <c r="A6770" s="28">
        <v>1117</v>
      </c>
      <c r="B6770" s="26" t="s">
        <v>3158</v>
      </c>
      <c r="C6770" s="28" t="s">
        <v>71</v>
      </c>
      <c r="D6770" s="329">
        <v>23.26</v>
      </c>
    </row>
    <row r="6771" spans="1:4">
      <c r="A6771" s="47">
        <v>1118</v>
      </c>
      <c r="B6771" s="48" t="s">
        <v>3159</v>
      </c>
      <c r="C6771" s="47" t="s">
        <v>71</v>
      </c>
      <c r="D6771" s="332">
        <v>29.9</v>
      </c>
    </row>
    <row r="6772" spans="1:4">
      <c r="A6772" s="28">
        <v>1110</v>
      </c>
      <c r="B6772" s="26" t="s">
        <v>3160</v>
      </c>
      <c r="C6772" s="28" t="s">
        <v>71</v>
      </c>
      <c r="D6772" s="329">
        <v>29.9</v>
      </c>
    </row>
    <row r="6773" spans="1:4" ht="30">
      <c r="A6773" s="47">
        <v>12618</v>
      </c>
      <c r="B6773" s="48" t="s">
        <v>3161</v>
      </c>
      <c r="C6773" s="47" t="s">
        <v>65</v>
      </c>
      <c r="D6773" s="332">
        <v>39.18</v>
      </c>
    </row>
    <row r="6774" spans="1:4" ht="30">
      <c r="A6774" s="28">
        <v>40871</v>
      </c>
      <c r="B6774" s="26" t="s">
        <v>3162</v>
      </c>
      <c r="C6774" s="28" t="s">
        <v>71</v>
      </c>
      <c r="D6774" s="329">
        <v>58.49</v>
      </c>
    </row>
    <row r="6775" spans="1:4" ht="30">
      <c r="A6775" s="47">
        <v>40869</v>
      </c>
      <c r="B6775" s="48" t="s">
        <v>3163</v>
      </c>
      <c r="C6775" s="47" t="s">
        <v>71</v>
      </c>
      <c r="D6775" s="332">
        <v>20.85</v>
      </c>
    </row>
    <row r="6776" spans="1:4" ht="30">
      <c r="A6776" s="28">
        <v>40870</v>
      </c>
      <c r="B6776" s="26" t="s">
        <v>3164</v>
      </c>
      <c r="C6776" s="28" t="s">
        <v>71</v>
      </c>
      <c r="D6776" s="329">
        <v>30.59</v>
      </c>
    </row>
    <row r="6777" spans="1:4">
      <c r="A6777" s="47">
        <v>1109</v>
      </c>
      <c r="B6777" s="48" t="s">
        <v>3165</v>
      </c>
      <c r="C6777" s="47" t="s">
        <v>71</v>
      </c>
      <c r="D6777" s="332">
        <v>19.93</v>
      </c>
    </row>
    <row r="6778" spans="1:4">
      <c r="A6778" s="28">
        <v>1119</v>
      </c>
      <c r="B6778" s="26" t="s">
        <v>3166</v>
      </c>
      <c r="C6778" s="28" t="s">
        <v>71</v>
      </c>
      <c r="D6778" s="329">
        <v>14.95</v>
      </c>
    </row>
    <row r="6779" spans="1:4">
      <c r="A6779" s="47">
        <v>13115</v>
      </c>
      <c r="B6779" s="48" t="s">
        <v>3167</v>
      </c>
      <c r="C6779" s="47" t="s">
        <v>71</v>
      </c>
      <c r="D6779" s="332">
        <v>12.41</v>
      </c>
    </row>
    <row r="6780" spans="1:4">
      <c r="A6780" s="28">
        <v>10541</v>
      </c>
      <c r="B6780" s="26" t="s">
        <v>3168</v>
      </c>
      <c r="C6780" s="28" t="s">
        <v>71</v>
      </c>
      <c r="D6780" s="329">
        <v>14.41</v>
      </c>
    </row>
    <row r="6781" spans="1:4">
      <c r="A6781" s="47">
        <v>10543</v>
      </c>
      <c r="B6781" s="48" t="s">
        <v>3169</v>
      </c>
      <c r="C6781" s="47" t="s">
        <v>71</v>
      </c>
      <c r="D6781" s="332">
        <v>27.97</v>
      </c>
    </row>
    <row r="6782" spans="1:4">
      <c r="A6782" s="28">
        <v>10544</v>
      </c>
      <c r="B6782" s="26" t="s">
        <v>3170</v>
      </c>
      <c r="C6782" s="28" t="s">
        <v>71</v>
      </c>
      <c r="D6782" s="329">
        <v>33.64</v>
      </c>
    </row>
    <row r="6783" spans="1:4">
      <c r="A6783" s="47">
        <v>10545</v>
      </c>
      <c r="B6783" s="48" t="s">
        <v>3171</v>
      </c>
      <c r="C6783" s="47" t="s">
        <v>71</v>
      </c>
      <c r="D6783" s="332">
        <v>51.6</v>
      </c>
    </row>
    <row r="6784" spans="1:4">
      <c r="A6784" s="28">
        <v>10542</v>
      </c>
      <c r="B6784" s="26" t="s">
        <v>3172</v>
      </c>
      <c r="C6784" s="28" t="s">
        <v>71</v>
      </c>
      <c r="D6784" s="329">
        <v>19.86</v>
      </c>
    </row>
    <row r="6785" spans="1:4">
      <c r="A6785" s="47">
        <v>38958</v>
      </c>
      <c r="B6785" s="48" t="s">
        <v>3173</v>
      </c>
      <c r="C6785" s="47" t="s">
        <v>65</v>
      </c>
      <c r="D6785" s="332">
        <v>30.78</v>
      </c>
    </row>
    <row r="6786" spans="1:4" ht="30">
      <c r="A6786" s="28">
        <v>25010</v>
      </c>
      <c r="B6786" s="26" t="s">
        <v>3226</v>
      </c>
      <c r="C6786" s="28" t="s">
        <v>65</v>
      </c>
      <c r="D6786" s="329">
        <v>1084693.8700000001</v>
      </c>
    </row>
    <row r="6787" spans="1:4" ht="30">
      <c r="A6787" s="47">
        <v>25011</v>
      </c>
      <c r="B6787" s="48" t="s">
        <v>3227</v>
      </c>
      <c r="C6787" s="47" t="s">
        <v>65</v>
      </c>
      <c r="D6787" s="332">
        <v>1774260.19</v>
      </c>
    </row>
    <row r="6788" spans="1:4" ht="30">
      <c r="A6788" s="28">
        <v>37745</v>
      </c>
      <c r="B6788" s="26" t="s">
        <v>3258</v>
      </c>
      <c r="C6788" s="28" t="s">
        <v>65</v>
      </c>
      <c r="D6788" s="329">
        <v>174500</v>
      </c>
    </row>
    <row r="6789" spans="1:4" ht="30">
      <c r="A6789" s="47">
        <v>37754</v>
      </c>
      <c r="B6789" s="48" t="s">
        <v>3266</v>
      </c>
      <c r="C6789" s="47" t="s">
        <v>65</v>
      </c>
      <c r="D6789" s="332">
        <v>182231.01</v>
      </c>
    </row>
    <row r="6790" spans="1:4" ht="30">
      <c r="A6790" s="28">
        <v>37748</v>
      </c>
      <c r="B6790" s="26" t="s">
        <v>3267</v>
      </c>
      <c r="C6790" s="28" t="s">
        <v>65</v>
      </c>
      <c r="D6790" s="329">
        <v>185516.69</v>
      </c>
    </row>
    <row r="6791" spans="1:4" ht="45">
      <c r="A6791" s="47">
        <v>37761</v>
      </c>
      <c r="B6791" s="48" t="s">
        <v>3280</v>
      </c>
      <c r="C6791" s="47" t="s">
        <v>65</v>
      </c>
      <c r="D6791" s="332">
        <v>153515.81</v>
      </c>
    </row>
    <row r="6792" spans="1:4" ht="30">
      <c r="A6792" s="28">
        <v>37757</v>
      </c>
      <c r="B6792" s="26" t="s">
        <v>3275</v>
      </c>
      <c r="C6792" s="28" t="s">
        <v>65</v>
      </c>
      <c r="D6792" s="329">
        <v>213707.27</v>
      </c>
    </row>
    <row r="6793" spans="1:4" ht="30">
      <c r="A6793" s="47">
        <v>37759</v>
      </c>
      <c r="B6793" s="48" t="s">
        <v>3276</v>
      </c>
      <c r="C6793" s="47" t="s">
        <v>65</v>
      </c>
      <c r="D6793" s="332">
        <v>214535.6</v>
      </c>
    </row>
    <row r="6794" spans="1:4" ht="30">
      <c r="A6794" s="28">
        <v>37766</v>
      </c>
      <c r="B6794" s="26" t="s">
        <v>3277</v>
      </c>
      <c r="C6794" s="28" t="s">
        <v>65</v>
      </c>
      <c r="D6794" s="329">
        <v>214535.58</v>
      </c>
    </row>
    <row r="6795" spans="1:4" ht="30">
      <c r="A6795" s="47">
        <v>37752</v>
      </c>
      <c r="B6795" s="48" t="s">
        <v>3278</v>
      </c>
      <c r="C6795" s="47" t="s">
        <v>65</v>
      </c>
      <c r="D6795" s="332">
        <v>194545.4</v>
      </c>
    </row>
    <row r="6796" spans="1:4" ht="30">
      <c r="A6796" s="28">
        <v>37760</v>
      </c>
      <c r="B6796" s="26" t="s">
        <v>3279</v>
      </c>
      <c r="C6796" s="28" t="s">
        <v>65</v>
      </c>
      <c r="D6796" s="329">
        <v>204871.82</v>
      </c>
    </row>
    <row r="6797" spans="1:4" ht="30">
      <c r="A6797" s="47">
        <v>37765</v>
      </c>
      <c r="B6797" s="48" t="s">
        <v>3281</v>
      </c>
      <c r="C6797" s="47" t="s">
        <v>65</v>
      </c>
      <c r="D6797" s="332">
        <v>143023.74</v>
      </c>
    </row>
    <row r="6798" spans="1:4" ht="30">
      <c r="A6798" s="28">
        <v>37746</v>
      </c>
      <c r="B6798" s="26" t="s">
        <v>3282</v>
      </c>
      <c r="C6798" s="28" t="s">
        <v>65</v>
      </c>
      <c r="D6798" s="329">
        <v>156801.49</v>
      </c>
    </row>
    <row r="6799" spans="1:4" ht="30">
      <c r="A6799" s="47">
        <v>37750</v>
      </c>
      <c r="B6799" s="48" t="s">
        <v>3283</v>
      </c>
      <c r="C6799" s="47" t="s">
        <v>65</v>
      </c>
      <c r="D6799" s="332">
        <v>156249.28</v>
      </c>
    </row>
    <row r="6800" spans="1:4" ht="30">
      <c r="A6800" s="28">
        <v>37753</v>
      </c>
      <c r="B6800" s="26" t="s">
        <v>3284</v>
      </c>
      <c r="C6800" s="28" t="s">
        <v>65</v>
      </c>
      <c r="D6800" s="329">
        <v>155697.06</v>
      </c>
    </row>
    <row r="6801" spans="1:4" ht="30">
      <c r="A6801" s="47">
        <v>37756</v>
      </c>
      <c r="B6801" s="48" t="s">
        <v>3285</v>
      </c>
      <c r="C6801" s="47" t="s">
        <v>65</v>
      </c>
      <c r="D6801" s="332">
        <v>153515.81</v>
      </c>
    </row>
    <row r="6802" spans="1:4" ht="45">
      <c r="A6802" s="28">
        <v>37755</v>
      </c>
      <c r="B6802" s="26" t="s">
        <v>3293</v>
      </c>
      <c r="C6802" s="28" t="s">
        <v>65</v>
      </c>
      <c r="D6802" s="329">
        <v>223094.93</v>
      </c>
    </row>
    <row r="6803" spans="1:4" ht="45">
      <c r="A6803" s="47">
        <v>37758</v>
      </c>
      <c r="B6803" s="48" t="s">
        <v>3294</v>
      </c>
      <c r="C6803" s="47" t="s">
        <v>65</v>
      </c>
      <c r="D6803" s="332">
        <v>251810.13</v>
      </c>
    </row>
    <row r="6804" spans="1:4" ht="45">
      <c r="A6804" s="28">
        <v>37747</v>
      </c>
      <c r="B6804" s="26" t="s">
        <v>3295</v>
      </c>
      <c r="C6804" s="28" t="s">
        <v>65</v>
      </c>
      <c r="D6804" s="329">
        <v>226573.88</v>
      </c>
    </row>
    <row r="6805" spans="1:4" ht="45">
      <c r="A6805" s="47">
        <v>37767</v>
      </c>
      <c r="B6805" s="48" t="s">
        <v>3296</v>
      </c>
      <c r="C6805" s="47" t="s">
        <v>65</v>
      </c>
      <c r="D6805" s="332">
        <v>239109.18</v>
      </c>
    </row>
    <row r="6806" spans="1:4" ht="45">
      <c r="A6806" s="28">
        <v>37751</v>
      </c>
      <c r="B6806" s="26" t="s">
        <v>3297</v>
      </c>
      <c r="C6806" s="28" t="s">
        <v>65</v>
      </c>
      <c r="D6806" s="329">
        <v>239109.18</v>
      </c>
    </row>
    <row r="6807" spans="1:4" ht="45">
      <c r="A6807" s="47">
        <v>37749</v>
      </c>
      <c r="B6807" s="48" t="s">
        <v>3298</v>
      </c>
      <c r="C6807" s="47" t="s">
        <v>65</v>
      </c>
      <c r="D6807" s="332">
        <v>236348.1</v>
      </c>
    </row>
    <row r="6808" spans="1:4" ht="30">
      <c r="A6808" s="28">
        <v>13617</v>
      </c>
      <c r="B6808" s="26" t="s">
        <v>3299</v>
      </c>
      <c r="C6808" s="28" t="s">
        <v>65</v>
      </c>
      <c r="D6808" s="329">
        <v>45142.32</v>
      </c>
    </row>
    <row r="6809" spans="1:4">
      <c r="A6809" s="47">
        <v>1159</v>
      </c>
      <c r="B6809" s="48" t="s">
        <v>3307</v>
      </c>
      <c r="C6809" s="47" t="s">
        <v>65</v>
      </c>
      <c r="D6809" s="332">
        <v>117849.29</v>
      </c>
    </row>
    <row r="6810" spans="1:4">
      <c r="A6810" s="28">
        <v>12114</v>
      </c>
      <c r="B6810" s="26" t="s">
        <v>11245</v>
      </c>
      <c r="C6810" s="28" t="s">
        <v>65</v>
      </c>
      <c r="D6810" s="329">
        <v>110.6</v>
      </c>
    </row>
    <row r="6811" spans="1:4">
      <c r="A6811" s="47">
        <v>38106</v>
      </c>
      <c r="B6811" s="48" t="s">
        <v>11246</v>
      </c>
      <c r="C6811" s="47" t="s">
        <v>65</v>
      </c>
      <c r="D6811" s="332">
        <v>15.03</v>
      </c>
    </row>
    <row r="6812" spans="1:4" ht="30">
      <c r="A6812" s="28">
        <v>38085</v>
      </c>
      <c r="B6812" s="26" t="s">
        <v>11247</v>
      </c>
      <c r="C6812" s="28" t="s">
        <v>65</v>
      </c>
      <c r="D6812" s="329">
        <v>17.75</v>
      </c>
    </row>
    <row r="6813" spans="1:4">
      <c r="A6813" s="47">
        <v>38599</v>
      </c>
      <c r="B6813" s="48" t="s">
        <v>3318</v>
      </c>
      <c r="C6813" s="47" t="s">
        <v>65</v>
      </c>
      <c r="D6813" s="332">
        <v>3.45</v>
      </c>
    </row>
    <row r="6814" spans="1:4">
      <c r="A6814" s="28">
        <v>38596</v>
      </c>
      <c r="B6814" s="26" t="s">
        <v>3319</v>
      </c>
      <c r="C6814" s="28" t="s">
        <v>65</v>
      </c>
      <c r="D6814" s="329">
        <v>2.36</v>
      </c>
    </row>
    <row r="6815" spans="1:4">
      <c r="A6815" s="47">
        <v>38600</v>
      </c>
      <c r="B6815" s="48" t="s">
        <v>3320</v>
      </c>
      <c r="C6815" s="47" t="s">
        <v>65</v>
      </c>
      <c r="D6815" s="332">
        <v>4.0599999999999996</v>
      </c>
    </row>
    <row r="6816" spans="1:4">
      <c r="A6816" s="28">
        <v>38597</v>
      </c>
      <c r="B6816" s="26" t="s">
        <v>3321</v>
      </c>
      <c r="C6816" s="28" t="s">
        <v>65</v>
      </c>
      <c r="D6816" s="329">
        <v>2.88</v>
      </c>
    </row>
    <row r="6817" spans="1:4">
      <c r="A6817" s="47">
        <v>659</v>
      </c>
      <c r="B6817" s="48" t="s">
        <v>3315</v>
      </c>
      <c r="C6817" s="47" t="s">
        <v>65</v>
      </c>
      <c r="D6817" s="332">
        <v>1.4</v>
      </c>
    </row>
    <row r="6818" spans="1:4">
      <c r="A6818" s="28">
        <v>660</v>
      </c>
      <c r="B6818" s="26" t="s">
        <v>3316</v>
      </c>
      <c r="C6818" s="28" t="s">
        <v>65</v>
      </c>
      <c r="D6818" s="329">
        <v>2.0499999999999998</v>
      </c>
    </row>
    <row r="6819" spans="1:4">
      <c r="A6819" s="47">
        <v>658</v>
      </c>
      <c r="B6819" s="48" t="s">
        <v>3317</v>
      </c>
      <c r="C6819" s="47" t="s">
        <v>65</v>
      </c>
      <c r="D6819" s="332">
        <v>1.1299999999999999</v>
      </c>
    </row>
    <row r="6820" spans="1:4">
      <c r="A6820" s="28">
        <v>38548</v>
      </c>
      <c r="B6820" s="26" t="s">
        <v>3322</v>
      </c>
      <c r="C6820" s="28" t="s">
        <v>65</v>
      </c>
      <c r="D6820" s="329">
        <v>0.93</v>
      </c>
    </row>
    <row r="6821" spans="1:4">
      <c r="A6821" s="47">
        <v>34647</v>
      </c>
      <c r="B6821" s="48" t="s">
        <v>3323</v>
      </c>
      <c r="C6821" s="47" t="s">
        <v>65</v>
      </c>
      <c r="D6821" s="332">
        <v>1.61</v>
      </c>
    </row>
    <row r="6822" spans="1:4">
      <c r="A6822" s="28">
        <v>34649</v>
      </c>
      <c r="B6822" s="26" t="s">
        <v>3324</v>
      </c>
      <c r="C6822" s="28" t="s">
        <v>65</v>
      </c>
      <c r="D6822" s="329">
        <v>1.66</v>
      </c>
    </row>
    <row r="6823" spans="1:4">
      <c r="A6823" s="47">
        <v>34652</v>
      </c>
      <c r="B6823" s="48" t="s">
        <v>3325</v>
      </c>
      <c r="C6823" s="47" t="s">
        <v>65</v>
      </c>
      <c r="D6823" s="332">
        <v>2.27</v>
      </c>
    </row>
    <row r="6824" spans="1:4">
      <c r="A6824" s="28">
        <v>34655</v>
      </c>
      <c r="B6824" s="26" t="s">
        <v>3326</v>
      </c>
      <c r="C6824" s="28" t="s">
        <v>65</v>
      </c>
      <c r="D6824" s="329">
        <v>2.19</v>
      </c>
    </row>
    <row r="6825" spans="1:4">
      <c r="A6825" s="47">
        <v>40607</v>
      </c>
      <c r="B6825" s="48" t="s">
        <v>3327</v>
      </c>
      <c r="C6825" s="47" t="s">
        <v>65</v>
      </c>
      <c r="D6825" s="332">
        <v>3.35</v>
      </c>
    </row>
    <row r="6826" spans="1:4">
      <c r="A6826" s="28">
        <v>585</v>
      </c>
      <c r="B6826" s="26" t="s">
        <v>3328</v>
      </c>
      <c r="C6826" s="28" t="s">
        <v>90</v>
      </c>
      <c r="D6826" s="329">
        <v>25.61</v>
      </c>
    </row>
    <row r="6827" spans="1:4">
      <c r="A6827" s="47">
        <v>10952</v>
      </c>
      <c r="B6827" s="48" t="s">
        <v>3329</v>
      </c>
      <c r="C6827" s="47" t="s">
        <v>90</v>
      </c>
      <c r="D6827" s="332">
        <v>2.98</v>
      </c>
    </row>
    <row r="6828" spans="1:4">
      <c r="A6828" s="28">
        <v>10953</v>
      </c>
      <c r="B6828" s="26" t="s">
        <v>3330</v>
      </c>
      <c r="C6828" s="28" t="s">
        <v>90</v>
      </c>
      <c r="D6828" s="329">
        <v>2.98</v>
      </c>
    </row>
    <row r="6829" spans="1:4">
      <c r="A6829" s="47">
        <v>4777</v>
      </c>
      <c r="B6829" s="48" t="s">
        <v>11248</v>
      </c>
      <c r="C6829" s="47" t="s">
        <v>90</v>
      </c>
      <c r="D6829" s="332">
        <v>2.99</v>
      </c>
    </row>
    <row r="6830" spans="1:4">
      <c r="A6830" s="28">
        <v>587</v>
      </c>
      <c r="B6830" s="26" t="s">
        <v>3331</v>
      </c>
      <c r="C6830" s="28" t="s">
        <v>90</v>
      </c>
      <c r="D6830" s="329">
        <v>27.45</v>
      </c>
    </row>
    <row r="6831" spans="1:4">
      <c r="A6831" s="47">
        <v>590</v>
      </c>
      <c r="B6831" s="48" t="s">
        <v>3332</v>
      </c>
      <c r="C6831" s="47" t="s">
        <v>90</v>
      </c>
      <c r="D6831" s="332">
        <v>26.53</v>
      </c>
    </row>
    <row r="6832" spans="1:4">
      <c r="A6832" s="28">
        <v>592</v>
      </c>
      <c r="B6832" s="26" t="s">
        <v>3333</v>
      </c>
      <c r="C6832" s="28" t="s">
        <v>90</v>
      </c>
      <c r="D6832" s="329">
        <v>27.45</v>
      </c>
    </row>
    <row r="6833" spans="1:4">
      <c r="A6833" s="47">
        <v>586</v>
      </c>
      <c r="B6833" s="48" t="s">
        <v>3334</v>
      </c>
      <c r="C6833" s="47" t="s">
        <v>71</v>
      </c>
      <c r="D6833" s="332">
        <v>16.14</v>
      </c>
    </row>
    <row r="6834" spans="1:4">
      <c r="A6834" s="28">
        <v>591</v>
      </c>
      <c r="B6834" s="26" t="s">
        <v>3335</v>
      </c>
      <c r="C6834" s="28" t="s">
        <v>90</v>
      </c>
      <c r="D6834" s="329">
        <v>25.61</v>
      </c>
    </row>
    <row r="6835" spans="1:4">
      <c r="A6835" s="47">
        <v>588</v>
      </c>
      <c r="B6835" s="48" t="s">
        <v>3336</v>
      </c>
      <c r="C6835" s="47" t="s">
        <v>71</v>
      </c>
      <c r="D6835" s="332">
        <v>25.52</v>
      </c>
    </row>
    <row r="6836" spans="1:4">
      <c r="A6836" s="28">
        <v>589</v>
      </c>
      <c r="B6836" s="26" t="s">
        <v>3337</v>
      </c>
      <c r="C6836" s="28" t="s">
        <v>71</v>
      </c>
      <c r="D6836" s="329">
        <v>43.15</v>
      </c>
    </row>
    <row r="6837" spans="1:4">
      <c r="A6837" s="47">
        <v>584</v>
      </c>
      <c r="B6837" s="48" t="s">
        <v>3338</v>
      </c>
      <c r="C6837" s="47" t="s">
        <v>71</v>
      </c>
      <c r="D6837" s="332">
        <v>27.26</v>
      </c>
    </row>
    <row r="6838" spans="1:4">
      <c r="A6838" s="28">
        <v>4912</v>
      </c>
      <c r="B6838" s="26" t="s">
        <v>3339</v>
      </c>
      <c r="C6838" s="28" t="s">
        <v>90</v>
      </c>
      <c r="D6838" s="329">
        <v>3.47</v>
      </c>
    </row>
    <row r="6839" spans="1:4">
      <c r="A6839" s="47">
        <v>574</v>
      </c>
      <c r="B6839" s="48" t="s">
        <v>3342</v>
      </c>
      <c r="C6839" s="47" t="s">
        <v>71</v>
      </c>
      <c r="D6839" s="332">
        <v>14.26</v>
      </c>
    </row>
    <row r="6840" spans="1:4">
      <c r="A6840" s="28">
        <v>567</v>
      </c>
      <c r="B6840" s="26" t="s">
        <v>3343</v>
      </c>
      <c r="C6840" s="28" t="s">
        <v>71</v>
      </c>
      <c r="D6840" s="329">
        <v>5.28</v>
      </c>
    </row>
    <row r="6841" spans="1:4">
      <c r="A6841" s="47">
        <v>568</v>
      </c>
      <c r="B6841" s="48" t="s">
        <v>3344</v>
      </c>
      <c r="C6841" s="47" t="s">
        <v>71</v>
      </c>
      <c r="D6841" s="332">
        <v>31.99</v>
      </c>
    </row>
    <row r="6842" spans="1:4">
      <c r="A6842" s="28">
        <v>569</v>
      </c>
      <c r="B6842" s="26" t="s">
        <v>3345</v>
      </c>
      <c r="C6842" s="28" t="s">
        <v>90</v>
      </c>
      <c r="D6842" s="329">
        <v>4.45</v>
      </c>
    </row>
    <row r="6843" spans="1:4">
      <c r="A6843" s="47">
        <v>1165</v>
      </c>
      <c r="B6843" s="48" t="s">
        <v>3346</v>
      </c>
      <c r="C6843" s="47" t="s">
        <v>65</v>
      </c>
      <c r="D6843" s="332">
        <v>11.02</v>
      </c>
    </row>
    <row r="6844" spans="1:4">
      <c r="A6844" s="28">
        <v>1164</v>
      </c>
      <c r="B6844" s="26" t="s">
        <v>3347</v>
      </c>
      <c r="C6844" s="28" t="s">
        <v>65</v>
      </c>
      <c r="D6844" s="329">
        <v>8.93</v>
      </c>
    </row>
    <row r="6845" spans="1:4">
      <c r="A6845" s="47">
        <v>1162</v>
      </c>
      <c r="B6845" s="48" t="s">
        <v>3349</v>
      </c>
      <c r="C6845" s="47" t="s">
        <v>65</v>
      </c>
      <c r="D6845" s="332">
        <v>3.1</v>
      </c>
    </row>
    <row r="6846" spans="1:4" ht="57.75" customHeight="1">
      <c r="A6846" s="28">
        <v>12395</v>
      </c>
      <c r="B6846" s="26" t="s">
        <v>3350</v>
      </c>
      <c r="C6846" s="28" t="s">
        <v>65</v>
      </c>
      <c r="D6846" s="329">
        <v>3.01</v>
      </c>
    </row>
    <row r="6847" spans="1:4">
      <c r="A6847" s="47">
        <v>1170</v>
      </c>
      <c r="B6847" s="48" t="s">
        <v>3348</v>
      </c>
      <c r="C6847" s="47" t="s">
        <v>65</v>
      </c>
      <c r="D6847" s="332">
        <v>5.85</v>
      </c>
    </row>
    <row r="6848" spans="1:4">
      <c r="A6848" s="28">
        <v>1169</v>
      </c>
      <c r="B6848" s="26" t="s">
        <v>3351</v>
      </c>
      <c r="C6848" s="28" t="s">
        <v>65</v>
      </c>
      <c r="D6848" s="329">
        <v>28.72</v>
      </c>
    </row>
    <row r="6849" spans="1:4">
      <c r="A6849" s="47">
        <v>1166</v>
      </c>
      <c r="B6849" s="48" t="s">
        <v>3352</v>
      </c>
      <c r="C6849" s="47" t="s">
        <v>65</v>
      </c>
      <c r="D6849" s="332">
        <v>15.92</v>
      </c>
    </row>
    <row r="6850" spans="1:4">
      <c r="A6850" s="28">
        <v>1163</v>
      </c>
      <c r="B6850" s="26" t="s">
        <v>3354</v>
      </c>
      <c r="C6850" s="28" t="s">
        <v>65</v>
      </c>
      <c r="D6850" s="329">
        <v>4.01</v>
      </c>
    </row>
    <row r="6851" spans="1:4">
      <c r="A6851" s="47">
        <v>12396</v>
      </c>
      <c r="B6851" s="48" t="s">
        <v>3355</v>
      </c>
      <c r="C6851" s="47" t="s">
        <v>65</v>
      </c>
      <c r="D6851" s="332">
        <v>3.01</v>
      </c>
    </row>
    <row r="6852" spans="1:4">
      <c r="A6852" s="28">
        <v>1168</v>
      </c>
      <c r="B6852" s="26" t="s">
        <v>3353</v>
      </c>
      <c r="C6852" s="28" t="s">
        <v>65</v>
      </c>
      <c r="D6852" s="329">
        <v>40.950000000000003</v>
      </c>
    </row>
    <row r="6853" spans="1:4">
      <c r="A6853" s="47">
        <v>1167</v>
      </c>
      <c r="B6853" s="48" t="s">
        <v>3356</v>
      </c>
      <c r="C6853" s="47" t="s">
        <v>65</v>
      </c>
      <c r="D6853" s="332">
        <v>68.489999999999995</v>
      </c>
    </row>
    <row r="6854" spans="1:4">
      <c r="A6854" s="28">
        <v>1210</v>
      </c>
      <c r="B6854" s="26" t="s">
        <v>3357</v>
      </c>
      <c r="C6854" s="28" t="s">
        <v>65</v>
      </c>
      <c r="D6854" s="329">
        <v>6.48</v>
      </c>
    </row>
    <row r="6855" spans="1:4">
      <c r="A6855" s="47">
        <v>1203</v>
      </c>
      <c r="B6855" s="48" t="s">
        <v>3358</v>
      </c>
      <c r="C6855" s="47" t="s">
        <v>65</v>
      </c>
      <c r="D6855" s="332">
        <v>4.9400000000000004</v>
      </c>
    </row>
    <row r="6856" spans="1:4">
      <c r="A6856" s="28">
        <v>1197</v>
      </c>
      <c r="B6856" s="26" t="s">
        <v>3360</v>
      </c>
      <c r="C6856" s="28" t="s">
        <v>65</v>
      </c>
      <c r="D6856" s="329">
        <v>0.94</v>
      </c>
    </row>
    <row r="6857" spans="1:4">
      <c r="A6857" s="47">
        <v>1202</v>
      </c>
      <c r="B6857" s="48" t="s">
        <v>3359</v>
      </c>
      <c r="C6857" s="47" t="s">
        <v>65</v>
      </c>
      <c r="D6857" s="332">
        <v>2.52</v>
      </c>
    </row>
    <row r="6858" spans="1:4">
      <c r="A6858" s="28">
        <v>1188</v>
      </c>
      <c r="B6858" s="26" t="s">
        <v>3361</v>
      </c>
      <c r="C6858" s="28" t="s">
        <v>65</v>
      </c>
      <c r="D6858" s="329">
        <v>16.38</v>
      </c>
    </row>
    <row r="6859" spans="1:4">
      <c r="A6859" s="47">
        <v>1211</v>
      </c>
      <c r="B6859" s="48" t="s">
        <v>3362</v>
      </c>
      <c r="C6859" s="47" t="s">
        <v>65</v>
      </c>
      <c r="D6859" s="332">
        <v>9.07</v>
      </c>
    </row>
    <row r="6860" spans="1:4">
      <c r="A6860" s="28">
        <v>1198</v>
      </c>
      <c r="B6860" s="26" t="s">
        <v>3364</v>
      </c>
      <c r="C6860" s="28" t="s">
        <v>65</v>
      </c>
      <c r="D6860" s="329">
        <v>1.44</v>
      </c>
    </row>
    <row r="6861" spans="1:4">
      <c r="A6861" s="47">
        <v>1199</v>
      </c>
      <c r="B6861" s="48" t="s">
        <v>3363</v>
      </c>
      <c r="C6861" s="47" t="s">
        <v>65</v>
      </c>
      <c r="D6861" s="332">
        <v>25.38</v>
      </c>
    </row>
    <row r="6862" spans="1:4">
      <c r="A6862" s="28">
        <v>1187</v>
      </c>
      <c r="B6862" s="26" t="s">
        <v>3365</v>
      </c>
      <c r="C6862" s="28" t="s">
        <v>65</v>
      </c>
      <c r="D6862" s="329">
        <v>47.99</v>
      </c>
    </row>
    <row r="6863" spans="1:4">
      <c r="A6863" s="47">
        <v>20088</v>
      </c>
      <c r="B6863" s="48" t="s">
        <v>3366</v>
      </c>
      <c r="C6863" s="47" t="s">
        <v>65</v>
      </c>
      <c r="D6863" s="332">
        <v>12.67</v>
      </c>
    </row>
    <row r="6864" spans="1:4">
      <c r="A6864" s="28">
        <v>20089</v>
      </c>
      <c r="B6864" s="26" t="s">
        <v>3367</v>
      </c>
      <c r="C6864" s="28" t="s">
        <v>65</v>
      </c>
      <c r="D6864" s="329">
        <v>63.09</v>
      </c>
    </row>
    <row r="6865" spans="1:4">
      <c r="A6865" s="47">
        <v>20087</v>
      </c>
      <c r="B6865" s="48" t="s">
        <v>3368</v>
      </c>
      <c r="C6865" s="47" t="s">
        <v>65</v>
      </c>
      <c r="D6865" s="332">
        <v>8.5500000000000007</v>
      </c>
    </row>
    <row r="6866" spans="1:4">
      <c r="A6866" s="28">
        <v>1200</v>
      </c>
      <c r="B6866" s="26" t="s">
        <v>3378</v>
      </c>
      <c r="C6866" s="28" t="s">
        <v>65</v>
      </c>
      <c r="D6866" s="329">
        <v>5.86</v>
      </c>
    </row>
    <row r="6867" spans="1:4">
      <c r="A6867" s="47">
        <v>12909</v>
      </c>
      <c r="B6867" s="48" t="s">
        <v>3379</v>
      </c>
      <c r="C6867" s="47" t="s">
        <v>65</v>
      </c>
      <c r="D6867" s="332">
        <v>2.6</v>
      </c>
    </row>
    <row r="6868" spans="1:4">
      <c r="A6868" s="28">
        <v>12910</v>
      </c>
      <c r="B6868" s="26" t="s">
        <v>3380</v>
      </c>
      <c r="C6868" s="28" t="s">
        <v>65</v>
      </c>
      <c r="D6868" s="329">
        <v>4.43</v>
      </c>
    </row>
    <row r="6869" spans="1:4">
      <c r="A6869" s="47">
        <v>1184</v>
      </c>
      <c r="B6869" s="48" t="s">
        <v>3369</v>
      </c>
      <c r="C6869" s="47" t="s">
        <v>65</v>
      </c>
      <c r="D6869" s="332">
        <v>53.02</v>
      </c>
    </row>
    <row r="6870" spans="1:4">
      <c r="A6870" s="28">
        <v>1191</v>
      </c>
      <c r="B6870" s="26" t="s">
        <v>3370</v>
      </c>
      <c r="C6870" s="28" t="s">
        <v>65</v>
      </c>
      <c r="D6870" s="329">
        <v>0.86</v>
      </c>
    </row>
    <row r="6871" spans="1:4">
      <c r="A6871" s="47">
        <v>1185</v>
      </c>
      <c r="B6871" s="48" t="s">
        <v>3371</v>
      </c>
      <c r="C6871" s="47" t="s">
        <v>65</v>
      </c>
      <c r="D6871" s="332">
        <v>0.92</v>
      </c>
    </row>
    <row r="6872" spans="1:4">
      <c r="A6872" s="28">
        <v>1189</v>
      </c>
      <c r="B6872" s="26" t="s">
        <v>3372</v>
      </c>
      <c r="C6872" s="28" t="s">
        <v>65</v>
      </c>
      <c r="D6872" s="329">
        <v>1.31</v>
      </c>
    </row>
    <row r="6873" spans="1:4">
      <c r="A6873" s="47">
        <v>1193</v>
      </c>
      <c r="B6873" s="48" t="s">
        <v>3373</v>
      </c>
      <c r="C6873" s="47" t="s">
        <v>65</v>
      </c>
      <c r="D6873" s="332">
        <v>2.6</v>
      </c>
    </row>
    <row r="6874" spans="1:4">
      <c r="A6874" s="28">
        <v>1194</v>
      </c>
      <c r="B6874" s="26" t="s">
        <v>3374</v>
      </c>
      <c r="C6874" s="28" t="s">
        <v>65</v>
      </c>
      <c r="D6874" s="329">
        <v>4.8099999999999996</v>
      </c>
    </row>
    <row r="6875" spans="1:4">
      <c r="A6875" s="47">
        <v>1195</v>
      </c>
      <c r="B6875" s="48" t="s">
        <v>3375</v>
      </c>
      <c r="C6875" s="47" t="s">
        <v>65</v>
      </c>
      <c r="D6875" s="332">
        <v>7.35</v>
      </c>
    </row>
    <row r="6876" spans="1:4">
      <c r="A6876" s="28">
        <v>1204</v>
      </c>
      <c r="B6876" s="26" t="s">
        <v>3376</v>
      </c>
      <c r="C6876" s="28" t="s">
        <v>65</v>
      </c>
      <c r="D6876" s="329">
        <v>13.58</v>
      </c>
    </row>
    <row r="6877" spans="1:4">
      <c r="A6877" s="47">
        <v>1205</v>
      </c>
      <c r="B6877" s="48" t="s">
        <v>3377</v>
      </c>
      <c r="C6877" s="47" t="s">
        <v>65</v>
      </c>
      <c r="D6877" s="332">
        <v>30.61</v>
      </c>
    </row>
    <row r="6878" spans="1:4">
      <c r="A6878" s="28">
        <v>1207</v>
      </c>
      <c r="B6878" s="26" t="s">
        <v>3381</v>
      </c>
      <c r="C6878" s="28" t="s">
        <v>65</v>
      </c>
      <c r="D6878" s="329">
        <v>20.83</v>
      </c>
    </row>
    <row r="6879" spans="1:4">
      <c r="A6879" s="47">
        <v>1206</v>
      </c>
      <c r="B6879" s="48" t="s">
        <v>3382</v>
      </c>
      <c r="C6879" s="47" t="s">
        <v>65</v>
      </c>
      <c r="D6879" s="332">
        <v>5</v>
      </c>
    </row>
    <row r="6880" spans="1:4">
      <c r="A6880" s="28">
        <v>1183</v>
      </c>
      <c r="B6880" s="26" t="s">
        <v>3383</v>
      </c>
      <c r="C6880" s="28" t="s">
        <v>65</v>
      </c>
      <c r="D6880" s="329">
        <v>11.18</v>
      </c>
    </row>
    <row r="6881" spans="1:4" ht="29.25" customHeight="1">
      <c r="A6881" s="47">
        <v>26047</v>
      </c>
      <c r="B6881" s="48" t="s">
        <v>3384</v>
      </c>
      <c r="C6881" s="47" t="s">
        <v>65</v>
      </c>
      <c r="D6881" s="332">
        <v>89.82</v>
      </c>
    </row>
    <row r="6882" spans="1:4" ht="29.25" customHeight="1">
      <c r="A6882" s="28">
        <v>26048</v>
      </c>
      <c r="B6882" s="26" t="s">
        <v>3385</v>
      </c>
      <c r="C6882" s="28" t="s">
        <v>65</v>
      </c>
      <c r="D6882" s="329">
        <v>133.83000000000001</v>
      </c>
    </row>
    <row r="6883" spans="1:4" ht="29.25" customHeight="1">
      <c r="A6883" s="47">
        <v>12894</v>
      </c>
      <c r="B6883" s="48" t="s">
        <v>3386</v>
      </c>
      <c r="C6883" s="47" t="s">
        <v>65</v>
      </c>
      <c r="D6883" s="332">
        <v>12.84</v>
      </c>
    </row>
    <row r="6884" spans="1:4" ht="30">
      <c r="A6884" s="28">
        <v>12895</v>
      </c>
      <c r="B6884" s="26" t="s">
        <v>3388</v>
      </c>
      <c r="C6884" s="28" t="s">
        <v>65</v>
      </c>
      <c r="D6884" s="329">
        <v>9.8800000000000008</v>
      </c>
    </row>
    <row r="6885" spans="1:4" ht="30">
      <c r="A6885" s="47">
        <v>1631</v>
      </c>
      <c r="B6885" s="48" t="s">
        <v>3389</v>
      </c>
      <c r="C6885" s="47" t="s">
        <v>65</v>
      </c>
      <c r="D6885" s="332">
        <v>74.989999999999995</v>
      </c>
    </row>
    <row r="6886" spans="1:4" ht="30">
      <c r="A6886" s="28">
        <v>1633</v>
      </c>
      <c r="B6886" s="26" t="s">
        <v>3390</v>
      </c>
      <c r="C6886" s="28" t="s">
        <v>65</v>
      </c>
      <c r="D6886" s="329">
        <v>127.42</v>
      </c>
    </row>
    <row r="6887" spans="1:4">
      <c r="A6887" s="47">
        <v>10818</v>
      </c>
      <c r="B6887" s="48" t="s">
        <v>3391</v>
      </c>
      <c r="C6887" s="47" t="s">
        <v>90</v>
      </c>
      <c r="D6887" s="332">
        <v>17.57</v>
      </c>
    </row>
    <row r="6888" spans="1:4" ht="30">
      <c r="A6888" s="28">
        <v>10710</v>
      </c>
      <c r="B6888" s="26" t="s">
        <v>3408</v>
      </c>
      <c r="C6888" s="28" t="s">
        <v>256</v>
      </c>
      <c r="D6888" s="329">
        <v>70</v>
      </c>
    </row>
    <row r="6889" spans="1:4" ht="30">
      <c r="A6889" s="47">
        <v>10709</v>
      </c>
      <c r="B6889" s="48" t="s">
        <v>3409</v>
      </c>
      <c r="C6889" s="47" t="s">
        <v>256</v>
      </c>
      <c r="D6889" s="332">
        <v>85.99</v>
      </c>
    </row>
    <row r="6890" spans="1:4" ht="30">
      <c r="A6890" s="28">
        <v>39636</v>
      </c>
      <c r="B6890" s="26" t="s">
        <v>3410</v>
      </c>
      <c r="C6890" s="28" t="s">
        <v>256</v>
      </c>
      <c r="D6890" s="329">
        <v>87.81</v>
      </c>
    </row>
    <row r="6891" spans="1:4" ht="30">
      <c r="A6891" s="47">
        <v>10708</v>
      </c>
      <c r="B6891" s="48" t="s">
        <v>3411</v>
      </c>
      <c r="C6891" s="47" t="s">
        <v>256</v>
      </c>
      <c r="D6891" s="332">
        <v>27.09</v>
      </c>
    </row>
    <row r="6892" spans="1:4" ht="30">
      <c r="A6892" s="28">
        <v>39635</v>
      </c>
      <c r="B6892" s="26" t="s">
        <v>3412</v>
      </c>
      <c r="C6892" s="28" t="s">
        <v>256</v>
      </c>
      <c r="D6892" s="329">
        <v>46.13</v>
      </c>
    </row>
    <row r="6893" spans="1:4">
      <c r="A6893" s="47">
        <v>40913</v>
      </c>
      <c r="B6893" s="48" t="s">
        <v>3413</v>
      </c>
      <c r="C6893" s="47" t="s">
        <v>1643</v>
      </c>
      <c r="D6893" s="332">
        <v>1380.66</v>
      </c>
    </row>
    <row r="6894" spans="1:4">
      <c r="A6894" s="28">
        <v>1214</v>
      </c>
      <c r="B6894" s="26" t="s">
        <v>3414</v>
      </c>
      <c r="C6894" s="28" t="s">
        <v>57</v>
      </c>
      <c r="D6894" s="329">
        <v>12.56</v>
      </c>
    </row>
    <row r="6895" spans="1:4">
      <c r="A6895" s="47">
        <v>40915</v>
      </c>
      <c r="B6895" s="48" t="s">
        <v>3415</v>
      </c>
      <c r="C6895" s="47" t="s">
        <v>1643</v>
      </c>
      <c r="D6895" s="332">
        <v>2212.31</v>
      </c>
    </row>
    <row r="6896" spans="1:4">
      <c r="A6896" s="28">
        <v>1213</v>
      </c>
      <c r="B6896" s="26" t="s">
        <v>146</v>
      </c>
      <c r="C6896" s="28" t="s">
        <v>57</v>
      </c>
      <c r="D6896" s="329">
        <v>12.75</v>
      </c>
    </row>
    <row r="6897" spans="1:4">
      <c r="A6897" s="47">
        <v>40914</v>
      </c>
      <c r="B6897" s="48" t="s">
        <v>3416</v>
      </c>
      <c r="C6897" s="47" t="s">
        <v>1643</v>
      </c>
      <c r="D6897" s="332">
        <v>2245.17</v>
      </c>
    </row>
    <row r="6898" spans="1:4" ht="30">
      <c r="A6898" s="28">
        <v>5091</v>
      </c>
      <c r="B6898" s="26" t="s">
        <v>3417</v>
      </c>
      <c r="C6898" s="28" t="s">
        <v>65</v>
      </c>
      <c r="D6898" s="329">
        <v>12.59</v>
      </c>
    </row>
    <row r="6899" spans="1:4" ht="30">
      <c r="A6899" s="47">
        <v>14615</v>
      </c>
      <c r="B6899" s="48" t="s">
        <v>3418</v>
      </c>
      <c r="C6899" s="47" t="s">
        <v>65</v>
      </c>
      <c r="D6899" s="332">
        <v>2948.1</v>
      </c>
    </row>
    <row r="6900" spans="1:4">
      <c r="A6900" s="28">
        <v>2711</v>
      </c>
      <c r="B6900" s="26" t="s">
        <v>3419</v>
      </c>
      <c r="C6900" s="28" t="s">
        <v>65</v>
      </c>
      <c r="D6900" s="329">
        <v>99.45</v>
      </c>
    </row>
    <row r="6901" spans="1:4" ht="45">
      <c r="A6901" s="47">
        <v>37727</v>
      </c>
      <c r="B6901" s="48" t="s">
        <v>3420</v>
      </c>
      <c r="C6901" s="47" t="s">
        <v>65</v>
      </c>
      <c r="D6901" s="332">
        <v>7850</v>
      </c>
    </row>
    <row r="6902" spans="1:4" ht="30">
      <c r="A6902" s="28">
        <v>37728</v>
      </c>
      <c r="B6902" s="26" t="s">
        <v>3421</v>
      </c>
      <c r="C6902" s="28" t="s">
        <v>65</v>
      </c>
      <c r="D6902" s="329">
        <v>10649.65</v>
      </c>
    </row>
    <row r="6903" spans="1:4" ht="45">
      <c r="A6903" s="47">
        <v>37729</v>
      </c>
      <c r="B6903" s="48" t="s">
        <v>3422</v>
      </c>
      <c r="C6903" s="47" t="s">
        <v>65</v>
      </c>
      <c r="D6903" s="332">
        <v>11527.97</v>
      </c>
    </row>
    <row r="6904" spans="1:4" ht="30">
      <c r="A6904" s="28">
        <v>37730</v>
      </c>
      <c r="B6904" s="26" t="s">
        <v>11249</v>
      </c>
      <c r="C6904" s="28" t="s">
        <v>65</v>
      </c>
      <c r="D6904" s="329">
        <v>12406.29</v>
      </c>
    </row>
    <row r="6905" spans="1:4" ht="45">
      <c r="A6905" s="47">
        <v>37731</v>
      </c>
      <c r="B6905" s="48" t="s">
        <v>3423</v>
      </c>
      <c r="C6905" s="47" t="s">
        <v>65</v>
      </c>
      <c r="D6905" s="332">
        <v>13284.61</v>
      </c>
    </row>
    <row r="6906" spans="1:4" ht="30">
      <c r="A6906" s="28">
        <v>37732</v>
      </c>
      <c r="B6906" s="26" t="s">
        <v>3424</v>
      </c>
      <c r="C6906" s="28" t="s">
        <v>65</v>
      </c>
      <c r="D6906" s="329">
        <v>15151.04</v>
      </c>
    </row>
    <row r="6907" spans="1:4" ht="30">
      <c r="A6907" s="47">
        <v>10560</v>
      </c>
      <c r="B6907" s="48" t="s">
        <v>3425</v>
      </c>
      <c r="C6907" s="47" t="s">
        <v>255</v>
      </c>
      <c r="D6907" s="332">
        <v>1444.73</v>
      </c>
    </row>
    <row r="6908" spans="1:4">
      <c r="A6908" s="28">
        <v>4743</v>
      </c>
      <c r="B6908" s="26" t="s">
        <v>147</v>
      </c>
      <c r="C6908" s="28" t="s">
        <v>255</v>
      </c>
      <c r="D6908" s="329">
        <v>22.38</v>
      </c>
    </row>
    <row r="6909" spans="1:4">
      <c r="A6909" s="47">
        <v>4744</v>
      </c>
      <c r="B6909" s="48" t="s">
        <v>148</v>
      </c>
      <c r="C6909" s="47" t="s">
        <v>255</v>
      </c>
      <c r="D6909" s="332">
        <v>29.26</v>
      </c>
    </row>
    <row r="6910" spans="1:4">
      <c r="A6910" s="28">
        <v>4745</v>
      </c>
      <c r="B6910" s="26" t="s">
        <v>149</v>
      </c>
      <c r="C6910" s="28" t="s">
        <v>255</v>
      </c>
      <c r="D6910" s="329">
        <v>39.200000000000003</v>
      </c>
    </row>
    <row r="6911" spans="1:4">
      <c r="A6911" s="47">
        <v>38398</v>
      </c>
      <c r="B6911" s="48" t="s">
        <v>3426</v>
      </c>
      <c r="C6911" s="47" t="s">
        <v>65</v>
      </c>
      <c r="D6911" s="332">
        <v>29.33</v>
      </c>
    </row>
    <row r="6912" spans="1:4" ht="45">
      <c r="A6912" s="28">
        <v>36496</v>
      </c>
      <c r="B6912" s="26" t="s">
        <v>3427</v>
      </c>
      <c r="C6912" s="28" t="s">
        <v>65</v>
      </c>
      <c r="D6912" s="329">
        <v>7485.18</v>
      </c>
    </row>
    <row r="6913" spans="1:4" ht="45">
      <c r="A6913" s="47">
        <v>10630</v>
      </c>
      <c r="B6913" s="48" t="s">
        <v>3432</v>
      </c>
      <c r="C6913" s="47" t="s">
        <v>65</v>
      </c>
      <c r="D6913" s="332">
        <v>293877.53000000003</v>
      </c>
    </row>
    <row r="6914" spans="1:4" ht="45">
      <c r="A6914" s="28">
        <v>10609</v>
      </c>
      <c r="B6914" s="26" t="s">
        <v>3433</v>
      </c>
      <c r="C6914" s="28" t="s">
        <v>65</v>
      </c>
      <c r="D6914" s="329">
        <v>334693.87</v>
      </c>
    </row>
    <row r="6915" spans="1:4" ht="45">
      <c r="A6915" s="47">
        <v>37762</v>
      </c>
      <c r="B6915" s="48" t="s">
        <v>3428</v>
      </c>
      <c r="C6915" s="47" t="s">
        <v>65</v>
      </c>
      <c r="D6915" s="332">
        <v>252040.79</v>
      </c>
    </row>
    <row r="6916" spans="1:4" ht="45">
      <c r="A6916" s="28">
        <v>37763</v>
      </c>
      <c r="B6916" s="26" t="s">
        <v>3429</v>
      </c>
      <c r="C6916" s="28" t="s">
        <v>65</v>
      </c>
      <c r="D6916" s="329">
        <v>255102.03</v>
      </c>
    </row>
    <row r="6917" spans="1:4" ht="30">
      <c r="A6917" s="47">
        <v>13456</v>
      </c>
      <c r="B6917" s="48" t="s">
        <v>3430</v>
      </c>
      <c r="C6917" s="47" t="s">
        <v>65</v>
      </c>
      <c r="D6917" s="332">
        <v>255102.03</v>
      </c>
    </row>
    <row r="6918" spans="1:4" ht="30">
      <c r="A6918" s="28">
        <v>1283</v>
      </c>
      <c r="B6918" s="26" t="s">
        <v>3431</v>
      </c>
      <c r="C6918" s="28" t="s">
        <v>65</v>
      </c>
      <c r="D6918" s="329">
        <v>290000</v>
      </c>
    </row>
    <row r="6919" spans="1:4" ht="45">
      <c r="A6919" s="47">
        <v>13215</v>
      </c>
      <c r="B6919" s="48" t="s">
        <v>3434</v>
      </c>
      <c r="C6919" s="47" t="s">
        <v>65</v>
      </c>
      <c r="D6919" s="332">
        <v>355612.23</v>
      </c>
    </row>
    <row r="6920" spans="1:4">
      <c r="A6920" s="28">
        <v>4235</v>
      </c>
      <c r="B6920" s="26" t="s">
        <v>3435</v>
      </c>
      <c r="C6920" s="28" t="s">
        <v>57</v>
      </c>
      <c r="D6920" s="329">
        <v>15.94</v>
      </c>
    </row>
    <row r="6921" spans="1:4">
      <c r="A6921" s="47">
        <v>40976</v>
      </c>
      <c r="B6921" s="48" t="s">
        <v>3436</v>
      </c>
      <c r="C6921" s="47" t="s">
        <v>1643</v>
      </c>
      <c r="D6921" s="332">
        <v>2807.97</v>
      </c>
    </row>
    <row r="6922" spans="1:4" ht="30">
      <c r="A6922" s="28">
        <v>39960</v>
      </c>
      <c r="B6922" s="26" t="s">
        <v>3438</v>
      </c>
      <c r="C6922" s="28" t="s">
        <v>65</v>
      </c>
      <c r="D6922" s="329">
        <v>0.55000000000000004</v>
      </c>
    </row>
    <row r="6923" spans="1:4">
      <c r="A6923" s="47">
        <v>38647</v>
      </c>
      <c r="B6923" s="48" t="s">
        <v>3439</v>
      </c>
      <c r="C6923" s="47" t="s">
        <v>91</v>
      </c>
      <c r="D6923" s="332">
        <v>5.3</v>
      </c>
    </row>
    <row r="6924" spans="1:4">
      <c r="A6924" s="28">
        <v>1336</v>
      </c>
      <c r="B6924" s="26" t="s">
        <v>3448</v>
      </c>
      <c r="C6924" s="28" t="s">
        <v>256</v>
      </c>
      <c r="D6924" s="329">
        <v>842.53</v>
      </c>
    </row>
    <row r="6925" spans="1:4" ht="30">
      <c r="A6925" s="47">
        <v>12760</v>
      </c>
      <c r="B6925" s="48" t="s">
        <v>3449</v>
      </c>
      <c r="C6925" s="47" t="s">
        <v>256</v>
      </c>
      <c r="D6925" s="332">
        <v>794.5</v>
      </c>
    </row>
    <row r="6926" spans="1:4" ht="30">
      <c r="A6926" s="28">
        <v>12759</v>
      </c>
      <c r="B6926" s="26" t="s">
        <v>3450</v>
      </c>
      <c r="C6926" s="28" t="s">
        <v>256</v>
      </c>
      <c r="D6926" s="329">
        <v>529.66</v>
      </c>
    </row>
    <row r="6927" spans="1:4" ht="30">
      <c r="A6927" s="47">
        <v>40424</v>
      </c>
      <c r="B6927" s="48" t="s">
        <v>11250</v>
      </c>
      <c r="C6927" s="47" t="s">
        <v>90</v>
      </c>
      <c r="D6927" s="332">
        <v>4.8</v>
      </c>
    </row>
    <row r="6928" spans="1:4">
      <c r="A6928" s="28">
        <v>1325</v>
      </c>
      <c r="B6928" s="26" t="s">
        <v>3452</v>
      </c>
      <c r="C6928" s="28" t="s">
        <v>90</v>
      </c>
      <c r="D6928" s="329">
        <v>5.86</v>
      </c>
    </row>
    <row r="6929" spans="1:4">
      <c r="A6929" s="47">
        <v>1327</v>
      </c>
      <c r="B6929" s="48" t="s">
        <v>3453</v>
      </c>
      <c r="C6929" s="47" t="s">
        <v>90</v>
      </c>
      <c r="D6929" s="332">
        <v>5.25</v>
      </c>
    </row>
    <row r="6930" spans="1:4">
      <c r="A6930" s="28">
        <v>1328</v>
      </c>
      <c r="B6930" s="26" t="s">
        <v>3454</v>
      </c>
      <c r="C6930" s="28" t="s">
        <v>90</v>
      </c>
      <c r="D6930" s="329">
        <v>5.49</v>
      </c>
    </row>
    <row r="6931" spans="1:4">
      <c r="A6931" s="47">
        <v>1321</v>
      </c>
      <c r="B6931" s="48" t="s">
        <v>3455</v>
      </c>
      <c r="C6931" s="47" t="s">
        <v>90</v>
      </c>
      <c r="D6931" s="332">
        <v>5.88</v>
      </c>
    </row>
    <row r="6932" spans="1:4">
      <c r="A6932" s="28">
        <v>1318</v>
      </c>
      <c r="B6932" s="26" t="s">
        <v>3456</v>
      </c>
      <c r="C6932" s="28" t="s">
        <v>90</v>
      </c>
      <c r="D6932" s="329">
        <v>5.65</v>
      </c>
    </row>
    <row r="6933" spans="1:4">
      <c r="A6933" s="47">
        <v>1322</v>
      </c>
      <c r="B6933" s="48" t="s">
        <v>3457</v>
      </c>
      <c r="C6933" s="47" t="s">
        <v>90</v>
      </c>
      <c r="D6933" s="332">
        <v>6.23</v>
      </c>
    </row>
    <row r="6934" spans="1:4">
      <c r="A6934" s="28">
        <v>1323</v>
      </c>
      <c r="B6934" s="26" t="s">
        <v>3458</v>
      </c>
      <c r="C6934" s="28" t="s">
        <v>90</v>
      </c>
      <c r="D6934" s="329">
        <v>6.1</v>
      </c>
    </row>
    <row r="6935" spans="1:4">
      <c r="A6935" s="47">
        <v>1319</v>
      </c>
      <c r="B6935" s="48" t="s">
        <v>3459</v>
      </c>
      <c r="C6935" s="47" t="s">
        <v>90</v>
      </c>
      <c r="D6935" s="332">
        <v>5.39</v>
      </c>
    </row>
    <row r="6936" spans="1:4">
      <c r="A6936" s="28">
        <v>11026</v>
      </c>
      <c r="B6936" s="26" t="s">
        <v>3460</v>
      </c>
      <c r="C6936" s="28" t="s">
        <v>90</v>
      </c>
      <c r="D6936" s="329">
        <v>7.22</v>
      </c>
    </row>
    <row r="6937" spans="1:4">
      <c r="A6937" s="47">
        <v>11027</v>
      </c>
      <c r="B6937" s="48" t="s">
        <v>3461</v>
      </c>
      <c r="C6937" s="47" t="s">
        <v>90</v>
      </c>
      <c r="D6937" s="332">
        <v>7.67</v>
      </c>
    </row>
    <row r="6938" spans="1:4">
      <c r="A6938" s="28">
        <v>11046</v>
      </c>
      <c r="B6938" s="26" t="s">
        <v>3462</v>
      </c>
      <c r="C6938" s="28" t="s">
        <v>90</v>
      </c>
      <c r="D6938" s="329">
        <v>7.45</v>
      </c>
    </row>
    <row r="6939" spans="1:4">
      <c r="A6939" s="47">
        <v>11049</v>
      </c>
      <c r="B6939" s="48" t="s">
        <v>3463</v>
      </c>
      <c r="C6939" s="47" t="s">
        <v>90</v>
      </c>
      <c r="D6939" s="332">
        <v>6.94</v>
      </c>
    </row>
    <row r="6940" spans="1:4">
      <c r="A6940" s="28">
        <v>11051</v>
      </c>
      <c r="B6940" s="26" t="s">
        <v>3464</v>
      </c>
      <c r="C6940" s="28" t="s">
        <v>90</v>
      </c>
      <c r="D6940" s="329">
        <v>7.45</v>
      </c>
    </row>
    <row r="6941" spans="1:4">
      <c r="A6941" s="47">
        <v>1333</v>
      </c>
      <c r="B6941" s="48" t="s">
        <v>3465</v>
      </c>
      <c r="C6941" s="47" t="s">
        <v>90</v>
      </c>
      <c r="D6941" s="332">
        <v>5.42</v>
      </c>
    </row>
    <row r="6942" spans="1:4">
      <c r="A6942" s="28">
        <v>1330</v>
      </c>
      <c r="B6942" s="26" t="s">
        <v>3466</v>
      </c>
      <c r="C6942" s="28" t="s">
        <v>90</v>
      </c>
      <c r="D6942" s="329">
        <v>5.56</v>
      </c>
    </row>
    <row r="6943" spans="1:4">
      <c r="A6943" s="47">
        <v>10957</v>
      </c>
      <c r="B6943" s="48" t="s">
        <v>3467</v>
      </c>
      <c r="C6943" s="47" t="s">
        <v>90</v>
      </c>
      <c r="D6943" s="332">
        <v>6.94</v>
      </c>
    </row>
    <row r="6944" spans="1:4">
      <c r="A6944" s="28">
        <v>1332</v>
      </c>
      <c r="B6944" s="26" t="s">
        <v>3468</v>
      </c>
      <c r="C6944" s="28" t="s">
        <v>90</v>
      </c>
      <c r="D6944" s="329">
        <v>5.78</v>
      </c>
    </row>
    <row r="6945" spans="1:4">
      <c r="A6945" s="47">
        <v>1334</v>
      </c>
      <c r="B6945" s="48" t="s">
        <v>3469</v>
      </c>
      <c r="C6945" s="47" t="s">
        <v>90</v>
      </c>
      <c r="D6945" s="332">
        <v>6.4</v>
      </c>
    </row>
    <row r="6946" spans="1:4">
      <c r="A6946" s="28">
        <v>1335</v>
      </c>
      <c r="B6946" s="26" t="s">
        <v>3470</v>
      </c>
      <c r="C6946" s="28" t="s">
        <v>90</v>
      </c>
      <c r="D6946" s="329">
        <v>6.49</v>
      </c>
    </row>
    <row r="6947" spans="1:4">
      <c r="A6947" s="47">
        <v>40425</v>
      </c>
      <c r="B6947" s="48" t="s">
        <v>11251</v>
      </c>
      <c r="C6947" s="47" t="s">
        <v>90</v>
      </c>
      <c r="D6947" s="332">
        <v>4.83</v>
      </c>
    </row>
    <row r="6948" spans="1:4">
      <c r="A6948" s="28">
        <v>1337</v>
      </c>
      <c r="B6948" s="26" t="s">
        <v>3471</v>
      </c>
      <c r="C6948" s="28" t="s">
        <v>90</v>
      </c>
      <c r="D6948" s="329">
        <v>6.84</v>
      </c>
    </row>
    <row r="6949" spans="1:4" ht="43.5" customHeight="1">
      <c r="A6949" s="47">
        <v>11122</v>
      </c>
      <c r="B6949" s="48" t="s">
        <v>3472</v>
      </c>
      <c r="C6949" s="47" t="s">
        <v>90</v>
      </c>
      <c r="D6949" s="332">
        <v>20</v>
      </c>
    </row>
    <row r="6950" spans="1:4" ht="43.5" customHeight="1">
      <c r="A6950" s="28">
        <v>11123</v>
      </c>
      <c r="B6950" s="26" t="s">
        <v>3473</v>
      </c>
      <c r="C6950" s="28" t="s">
        <v>90</v>
      </c>
      <c r="D6950" s="329">
        <v>20</v>
      </c>
    </row>
    <row r="6951" spans="1:4" ht="43.5" customHeight="1">
      <c r="A6951" s="47">
        <v>11125</v>
      </c>
      <c r="B6951" s="48" t="s">
        <v>3474</v>
      </c>
      <c r="C6951" s="47" t="s">
        <v>90</v>
      </c>
      <c r="D6951" s="332">
        <v>20</v>
      </c>
    </row>
    <row r="6952" spans="1:4" ht="43.5" customHeight="1">
      <c r="A6952" s="28">
        <v>39416</v>
      </c>
      <c r="B6952" s="26" t="s">
        <v>3475</v>
      </c>
      <c r="C6952" s="28" t="s">
        <v>256</v>
      </c>
      <c r="D6952" s="329">
        <v>18.190000000000001</v>
      </c>
    </row>
    <row r="6953" spans="1:4" ht="30">
      <c r="A6953" s="47">
        <v>39417</v>
      </c>
      <c r="B6953" s="48" t="s">
        <v>3476</v>
      </c>
      <c r="C6953" s="47" t="s">
        <v>256</v>
      </c>
      <c r="D6953" s="332">
        <v>19.07</v>
      </c>
    </row>
    <row r="6954" spans="1:4" ht="30">
      <c r="A6954" s="28">
        <v>39414</v>
      </c>
      <c r="B6954" s="26" t="s">
        <v>3477</v>
      </c>
      <c r="C6954" s="28" t="s">
        <v>256</v>
      </c>
      <c r="D6954" s="329">
        <v>17.079999999999998</v>
      </c>
    </row>
    <row r="6955" spans="1:4" ht="30">
      <c r="A6955" s="47">
        <v>39415</v>
      </c>
      <c r="B6955" s="48" t="s">
        <v>3478</v>
      </c>
      <c r="C6955" s="47" t="s">
        <v>256</v>
      </c>
      <c r="D6955" s="332">
        <v>18.100000000000001</v>
      </c>
    </row>
    <row r="6956" spans="1:4" ht="30">
      <c r="A6956" s="28">
        <v>39412</v>
      </c>
      <c r="B6956" s="26" t="s">
        <v>3479</v>
      </c>
      <c r="C6956" s="28" t="s">
        <v>256</v>
      </c>
      <c r="D6956" s="329">
        <v>12.86</v>
      </c>
    </row>
    <row r="6957" spans="1:4" ht="30">
      <c r="A6957" s="47">
        <v>39413</v>
      </c>
      <c r="B6957" s="48" t="s">
        <v>3480</v>
      </c>
      <c r="C6957" s="47" t="s">
        <v>256</v>
      </c>
      <c r="D6957" s="332">
        <v>12.74</v>
      </c>
    </row>
    <row r="6958" spans="1:4">
      <c r="A6958" s="28">
        <v>1338</v>
      </c>
      <c r="B6958" s="26" t="s">
        <v>3481</v>
      </c>
      <c r="C6958" s="28" t="s">
        <v>256</v>
      </c>
      <c r="D6958" s="329">
        <v>19.21</v>
      </c>
    </row>
    <row r="6959" spans="1:4">
      <c r="A6959" s="47">
        <v>1340</v>
      </c>
      <c r="B6959" s="48" t="s">
        <v>3482</v>
      </c>
      <c r="C6959" s="47" t="s">
        <v>256</v>
      </c>
      <c r="D6959" s="332">
        <v>22.21</v>
      </c>
    </row>
    <row r="6960" spans="1:4">
      <c r="A6960" s="28">
        <v>1341</v>
      </c>
      <c r="B6960" s="26" t="s">
        <v>3483</v>
      </c>
      <c r="C6960" s="28" t="s">
        <v>256</v>
      </c>
      <c r="D6960" s="329">
        <v>21.39</v>
      </c>
    </row>
    <row r="6961" spans="1:4" ht="30">
      <c r="A6961" s="47">
        <v>1364</v>
      </c>
      <c r="B6961" s="48" t="s">
        <v>3484</v>
      </c>
      <c r="C6961" s="47" t="s">
        <v>256</v>
      </c>
      <c r="D6961" s="332">
        <v>25.75</v>
      </c>
    </row>
    <row r="6962" spans="1:4" ht="30">
      <c r="A6962" s="28">
        <v>1361</v>
      </c>
      <c r="B6962" s="26" t="s">
        <v>3485</v>
      </c>
      <c r="C6962" s="28" t="s">
        <v>65</v>
      </c>
      <c r="D6962" s="329">
        <v>107.39</v>
      </c>
    </row>
    <row r="6963" spans="1:4" ht="30">
      <c r="A6963" s="47">
        <v>1362</v>
      </c>
      <c r="B6963" s="48" t="s">
        <v>3486</v>
      </c>
      <c r="C6963" s="47" t="s">
        <v>256</v>
      </c>
      <c r="D6963" s="332">
        <v>35.85</v>
      </c>
    </row>
    <row r="6964" spans="1:4" ht="30">
      <c r="A6964" s="28">
        <v>11131</v>
      </c>
      <c r="B6964" s="26" t="s">
        <v>3487</v>
      </c>
      <c r="C6964" s="28" t="s">
        <v>256</v>
      </c>
      <c r="D6964" s="329">
        <v>45.88</v>
      </c>
    </row>
    <row r="6965" spans="1:4" ht="30">
      <c r="A6965" s="47">
        <v>11132</v>
      </c>
      <c r="B6965" s="48" t="s">
        <v>3488</v>
      </c>
      <c r="C6965" s="47" t="s">
        <v>256</v>
      </c>
      <c r="D6965" s="332">
        <v>54.24</v>
      </c>
    </row>
    <row r="6966" spans="1:4" ht="30">
      <c r="A6966" s="28">
        <v>1363</v>
      </c>
      <c r="B6966" s="26" t="s">
        <v>3489</v>
      </c>
      <c r="C6966" s="28" t="s">
        <v>256</v>
      </c>
      <c r="D6966" s="329">
        <v>18.239999999999998</v>
      </c>
    </row>
    <row r="6967" spans="1:4" ht="30">
      <c r="A6967" s="47">
        <v>11130</v>
      </c>
      <c r="B6967" s="48" t="s">
        <v>3490</v>
      </c>
      <c r="C6967" s="47" t="s">
        <v>256</v>
      </c>
      <c r="D6967" s="332">
        <v>23.1</v>
      </c>
    </row>
    <row r="6968" spans="1:4" ht="30">
      <c r="A6968" s="28">
        <v>11134</v>
      </c>
      <c r="B6968" s="26" t="s">
        <v>3491</v>
      </c>
      <c r="C6968" s="28" t="s">
        <v>256</v>
      </c>
      <c r="D6968" s="329">
        <v>26.27</v>
      </c>
    </row>
    <row r="6969" spans="1:4" ht="30">
      <c r="A6969" s="47">
        <v>11135</v>
      </c>
      <c r="B6969" s="48" t="s">
        <v>3492</v>
      </c>
      <c r="C6969" s="47" t="s">
        <v>256</v>
      </c>
      <c r="D6969" s="332">
        <v>32.020000000000003</v>
      </c>
    </row>
    <row r="6970" spans="1:4" ht="30">
      <c r="A6970" s="28">
        <v>11136</v>
      </c>
      <c r="B6970" s="26" t="s">
        <v>3493</v>
      </c>
      <c r="C6970" s="28" t="s">
        <v>256</v>
      </c>
      <c r="D6970" s="329">
        <v>34.64</v>
      </c>
    </row>
    <row r="6971" spans="1:4" ht="30">
      <c r="A6971" s="47">
        <v>34743</v>
      </c>
      <c r="B6971" s="48" t="s">
        <v>3494</v>
      </c>
      <c r="C6971" s="47" t="s">
        <v>256</v>
      </c>
      <c r="D6971" s="332">
        <v>44.09</v>
      </c>
    </row>
    <row r="6972" spans="1:4" ht="30">
      <c r="A6972" s="28">
        <v>11137</v>
      </c>
      <c r="B6972" s="26" t="s">
        <v>3495</v>
      </c>
      <c r="C6972" s="28" t="s">
        <v>256</v>
      </c>
      <c r="D6972" s="329">
        <v>49.17</v>
      </c>
    </row>
    <row r="6973" spans="1:4" ht="30">
      <c r="A6973" s="47">
        <v>34745</v>
      </c>
      <c r="B6973" s="48" t="s">
        <v>3496</v>
      </c>
      <c r="C6973" s="47" t="s">
        <v>256</v>
      </c>
      <c r="D6973" s="332">
        <v>56.04</v>
      </c>
    </row>
    <row r="6974" spans="1:4" ht="30">
      <c r="A6974" s="28">
        <v>34746</v>
      </c>
      <c r="B6974" s="26" t="s">
        <v>3497</v>
      </c>
      <c r="C6974" s="28" t="s">
        <v>256</v>
      </c>
      <c r="D6974" s="329">
        <v>14.43</v>
      </c>
    </row>
    <row r="6975" spans="1:4" ht="30">
      <c r="A6975" s="47">
        <v>1360</v>
      </c>
      <c r="B6975" s="48" t="s">
        <v>3498</v>
      </c>
      <c r="C6975" s="47" t="s">
        <v>256</v>
      </c>
      <c r="D6975" s="332">
        <v>17.82</v>
      </c>
    </row>
    <row r="6976" spans="1:4" ht="30">
      <c r="A6976" s="28">
        <v>1346</v>
      </c>
      <c r="B6976" s="26" t="s">
        <v>11252</v>
      </c>
      <c r="C6976" s="28" t="s">
        <v>256</v>
      </c>
      <c r="D6976" s="329">
        <v>19.71</v>
      </c>
    </row>
    <row r="6977" spans="1:4" ht="30">
      <c r="A6977" s="47">
        <v>1345</v>
      </c>
      <c r="B6977" s="48" t="s">
        <v>11253</v>
      </c>
      <c r="C6977" s="47" t="s">
        <v>256</v>
      </c>
      <c r="D6977" s="332">
        <v>31.93</v>
      </c>
    </row>
    <row r="6978" spans="1:4" ht="30">
      <c r="A6978" s="28">
        <v>1344</v>
      </c>
      <c r="B6978" s="26" t="s">
        <v>11254</v>
      </c>
      <c r="C6978" s="28" t="s">
        <v>65</v>
      </c>
      <c r="D6978" s="329">
        <v>34.340000000000003</v>
      </c>
    </row>
    <row r="6979" spans="1:4" ht="30">
      <c r="A6979" s="47">
        <v>1342</v>
      </c>
      <c r="B6979" s="48" t="s">
        <v>3500</v>
      </c>
      <c r="C6979" s="47" t="s">
        <v>65</v>
      </c>
      <c r="D6979" s="332">
        <v>60.7</v>
      </c>
    </row>
    <row r="6980" spans="1:4" ht="30">
      <c r="A6980" s="28">
        <v>1347</v>
      </c>
      <c r="B6980" s="26" t="s">
        <v>3499</v>
      </c>
      <c r="C6980" s="28" t="s">
        <v>256</v>
      </c>
      <c r="D6980" s="329">
        <v>23.55</v>
      </c>
    </row>
    <row r="6981" spans="1:4" ht="30">
      <c r="A6981" s="47">
        <v>1349</v>
      </c>
      <c r="B6981" s="48" t="s">
        <v>3501</v>
      </c>
      <c r="C6981" s="47" t="s">
        <v>65</v>
      </c>
      <c r="D6981" s="332">
        <v>86.57</v>
      </c>
    </row>
    <row r="6982" spans="1:4" ht="30">
      <c r="A6982" s="28">
        <v>1350</v>
      </c>
      <c r="B6982" s="26" t="s">
        <v>3502</v>
      </c>
      <c r="C6982" s="28" t="s">
        <v>65</v>
      </c>
      <c r="D6982" s="329">
        <v>25.21</v>
      </c>
    </row>
    <row r="6983" spans="1:4" ht="30">
      <c r="A6983" s="47">
        <v>1357</v>
      </c>
      <c r="B6983" s="48" t="s">
        <v>3503</v>
      </c>
      <c r="C6983" s="47" t="s">
        <v>65</v>
      </c>
      <c r="D6983" s="332">
        <v>32.11</v>
      </c>
    </row>
    <row r="6984" spans="1:4" ht="30">
      <c r="A6984" s="28">
        <v>1355</v>
      </c>
      <c r="B6984" s="26" t="s">
        <v>3504</v>
      </c>
      <c r="C6984" s="28" t="s">
        <v>256</v>
      </c>
      <c r="D6984" s="329">
        <v>14.78</v>
      </c>
    </row>
    <row r="6985" spans="1:4" ht="30">
      <c r="A6985" s="47">
        <v>1358</v>
      </c>
      <c r="B6985" s="48" t="s">
        <v>3505</v>
      </c>
      <c r="C6985" s="47" t="s">
        <v>256</v>
      </c>
      <c r="D6985" s="332">
        <v>17.12</v>
      </c>
    </row>
    <row r="6986" spans="1:4" ht="30">
      <c r="A6986" s="28">
        <v>1359</v>
      </c>
      <c r="B6986" s="26" t="s">
        <v>3506</v>
      </c>
      <c r="C6986" s="28" t="s">
        <v>65</v>
      </c>
      <c r="D6986" s="329">
        <v>49.61</v>
      </c>
    </row>
    <row r="6987" spans="1:4" ht="30">
      <c r="A6987" s="47">
        <v>1351</v>
      </c>
      <c r="B6987" s="48" t="s">
        <v>3507</v>
      </c>
      <c r="C6987" s="47" t="s">
        <v>65</v>
      </c>
      <c r="D6987" s="332">
        <v>15.98</v>
      </c>
    </row>
    <row r="6988" spans="1:4">
      <c r="A6988" s="28">
        <v>34659</v>
      </c>
      <c r="B6988" s="26" t="s">
        <v>3508</v>
      </c>
      <c r="C6988" s="28" t="s">
        <v>256</v>
      </c>
      <c r="D6988" s="329">
        <v>24.44</v>
      </c>
    </row>
    <row r="6989" spans="1:4">
      <c r="A6989" s="47">
        <v>34514</v>
      </c>
      <c r="B6989" s="48" t="s">
        <v>3509</v>
      </c>
      <c r="C6989" s="47" t="s">
        <v>256</v>
      </c>
      <c r="D6989" s="332">
        <v>27.07</v>
      </c>
    </row>
    <row r="6990" spans="1:4">
      <c r="A6990" s="28">
        <v>34660</v>
      </c>
      <c r="B6990" s="26" t="s">
        <v>3510</v>
      </c>
      <c r="C6990" s="28" t="s">
        <v>256</v>
      </c>
      <c r="D6990" s="329">
        <v>34.35</v>
      </c>
    </row>
    <row r="6991" spans="1:4">
      <c r="A6991" s="47">
        <v>34661</v>
      </c>
      <c r="B6991" s="48" t="s">
        <v>3511</v>
      </c>
      <c r="C6991" s="47" t="s">
        <v>256</v>
      </c>
      <c r="D6991" s="332">
        <v>49.34</v>
      </c>
    </row>
    <row r="6992" spans="1:4">
      <c r="A6992" s="28">
        <v>34667</v>
      </c>
      <c r="B6992" s="26" t="s">
        <v>3512</v>
      </c>
      <c r="C6992" s="28" t="s">
        <v>256</v>
      </c>
      <c r="D6992" s="329">
        <v>17.86</v>
      </c>
    </row>
    <row r="6993" spans="1:4">
      <c r="A6993" s="47">
        <v>34668</v>
      </c>
      <c r="B6993" s="48" t="s">
        <v>3513</v>
      </c>
      <c r="C6993" s="47" t="s">
        <v>256</v>
      </c>
      <c r="D6993" s="332">
        <v>23.35</v>
      </c>
    </row>
    <row r="6994" spans="1:4">
      <c r="A6994" s="28">
        <v>34741</v>
      </c>
      <c r="B6994" s="26" t="s">
        <v>3514</v>
      </c>
      <c r="C6994" s="28" t="s">
        <v>256</v>
      </c>
      <c r="D6994" s="329">
        <v>25.69</v>
      </c>
    </row>
    <row r="6995" spans="1:4">
      <c r="A6995" s="47">
        <v>34664</v>
      </c>
      <c r="B6995" s="48" t="s">
        <v>3515</v>
      </c>
      <c r="C6995" s="47" t="s">
        <v>256</v>
      </c>
      <c r="D6995" s="332">
        <v>28.03</v>
      </c>
    </row>
    <row r="6996" spans="1:4">
      <c r="A6996" s="28">
        <v>34665</v>
      </c>
      <c r="B6996" s="26" t="s">
        <v>3516</v>
      </c>
      <c r="C6996" s="28" t="s">
        <v>256</v>
      </c>
      <c r="D6996" s="329">
        <v>34.799999999999997</v>
      </c>
    </row>
    <row r="6997" spans="1:4">
      <c r="A6997" s="47">
        <v>34666</v>
      </c>
      <c r="B6997" s="48" t="s">
        <v>3517</v>
      </c>
      <c r="C6997" s="47" t="s">
        <v>256</v>
      </c>
      <c r="D6997" s="332">
        <v>52.57</v>
      </c>
    </row>
    <row r="6998" spans="1:4">
      <c r="A6998" s="28">
        <v>34669</v>
      </c>
      <c r="B6998" s="26" t="s">
        <v>3518</v>
      </c>
      <c r="C6998" s="28" t="s">
        <v>256</v>
      </c>
      <c r="D6998" s="329">
        <v>19.27</v>
      </c>
    </row>
    <row r="6999" spans="1:4">
      <c r="A6999" s="47">
        <v>34670</v>
      </c>
      <c r="B6999" s="48" t="s">
        <v>3519</v>
      </c>
      <c r="C6999" s="47" t="s">
        <v>256</v>
      </c>
      <c r="D6999" s="332">
        <v>23.57</v>
      </c>
    </row>
    <row r="7000" spans="1:4">
      <c r="A7000" s="28">
        <v>34671</v>
      </c>
      <c r="B7000" s="26" t="s">
        <v>3520</v>
      </c>
      <c r="C7000" s="28" t="s">
        <v>256</v>
      </c>
      <c r="D7000" s="329">
        <v>19.670000000000002</v>
      </c>
    </row>
    <row r="7001" spans="1:4">
      <c r="A7001" s="47">
        <v>34672</v>
      </c>
      <c r="B7001" s="48" t="s">
        <v>3521</v>
      </c>
      <c r="C7001" s="47" t="s">
        <v>256</v>
      </c>
      <c r="D7001" s="332">
        <v>20.75</v>
      </c>
    </row>
    <row r="7002" spans="1:4">
      <c r="A7002" s="28">
        <v>34673</v>
      </c>
      <c r="B7002" s="26" t="s">
        <v>3522</v>
      </c>
      <c r="C7002" s="28" t="s">
        <v>256</v>
      </c>
      <c r="D7002" s="329">
        <v>25.32</v>
      </c>
    </row>
    <row r="7003" spans="1:4">
      <c r="A7003" s="47">
        <v>34674</v>
      </c>
      <c r="B7003" s="48" t="s">
        <v>3523</v>
      </c>
      <c r="C7003" s="47" t="s">
        <v>256</v>
      </c>
      <c r="D7003" s="332">
        <v>33.659999999999997</v>
      </c>
    </row>
    <row r="7004" spans="1:4">
      <c r="A7004" s="28">
        <v>34675</v>
      </c>
      <c r="B7004" s="26" t="s">
        <v>3524</v>
      </c>
      <c r="C7004" s="28" t="s">
        <v>256</v>
      </c>
      <c r="D7004" s="329">
        <v>41.04</v>
      </c>
    </row>
    <row r="7005" spans="1:4">
      <c r="A7005" s="47">
        <v>34676</v>
      </c>
      <c r="B7005" s="48" t="s">
        <v>3525</v>
      </c>
      <c r="C7005" s="47" t="s">
        <v>256</v>
      </c>
      <c r="D7005" s="332">
        <v>11.81</v>
      </c>
    </row>
    <row r="7006" spans="1:4">
      <c r="A7006" s="28">
        <v>34677</v>
      </c>
      <c r="B7006" s="26" t="s">
        <v>3526</v>
      </c>
      <c r="C7006" s="28" t="s">
        <v>256</v>
      </c>
      <c r="D7006" s="329">
        <v>15.88</v>
      </c>
    </row>
    <row r="7007" spans="1:4">
      <c r="A7007" s="47">
        <v>11047</v>
      </c>
      <c r="B7007" s="48" t="s">
        <v>3527</v>
      </c>
      <c r="C7007" s="47" t="s">
        <v>90</v>
      </c>
      <c r="D7007" s="332">
        <v>6.94</v>
      </c>
    </row>
    <row r="7008" spans="1:4">
      <c r="A7008" s="28">
        <v>11061</v>
      </c>
      <c r="B7008" s="26" t="s">
        <v>3528</v>
      </c>
      <c r="C7008" s="28" t="s">
        <v>90</v>
      </c>
      <c r="D7008" s="329">
        <v>8.3699999999999992</v>
      </c>
    </row>
    <row r="7009" spans="1:4" ht="30">
      <c r="A7009" s="47">
        <v>40623</v>
      </c>
      <c r="B7009" s="48" t="s">
        <v>11255</v>
      </c>
      <c r="C7009" s="47" t="s">
        <v>131</v>
      </c>
      <c r="D7009" s="332">
        <v>30.5</v>
      </c>
    </row>
    <row r="7010" spans="1:4" ht="30">
      <c r="A7010" s="28">
        <v>11584</v>
      </c>
      <c r="B7010" s="26" t="s">
        <v>11256</v>
      </c>
      <c r="C7010" s="28" t="s">
        <v>65</v>
      </c>
      <c r="D7010" s="329">
        <v>51.97</v>
      </c>
    </row>
    <row r="7011" spans="1:4">
      <c r="A7011" s="47">
        <v>11112</v>
      </c>
      <c r="B7011" s="48" t="s">
        <v>3529</v>
      </c>
      <c r="C7011" s="47" t="s">
        <v>90</v>
      </c>
      <c r="D7011" s="332">
        <v>20</v>
      </c>
    </row>
    <row r="7012" spans="1:4">
      <c r="A7012" s="28">
        <v>11115</v>
      </c>
      <c r="B7012" s="26" t="s">
        <v>3530</v>
      </c>
      <c r="C7012" s="28" t="s">
        <v>71</v>
      </c>
      <c r="D7012" s="329">
        <v>9.25</v>
      </c>
    </row>
    <row r="7013" spans="1:4" ht="43.5" customHeight="1">
      <c r="A7013" s="47">
        <v>11113</v>
      </c>
      <c r="B7013" s="48" t="s">
        <v>3531</v>
      </c>
      <c r="C7013" s="47" t="s">
        <v>90</v>
      </c>
      <c r="D7013" s="332">
        <v>20</v>
      </c>
    </row>
    <row r="7014" spans="1:4">
      <c r="A7014" s="28">
        <v>11114</v>
      </c>
      <c r="B7014" s="26" t="s">
        <v>3532</v>
      </c>
      <c r="C7014" s="28" t="s">
        <v>71</v>
      </c>
      <c r="D7014" s="329">
        <v>15.38</v>
      </c>
    </row>
    <row r="7015" spans="1:4" ht="30">
      <c r="A7015" s="47">
        <v>20971</v>
      </c>
      <c r="B7015" s="48" t="s">
        <v>3570</v>
      </c>
      <c r="C7015" s="47" t="s">
        <v>65</v>
      </c>
      <c r="D7015" s="332">
        <v>12.46</v>
      </c>
    </row>
    <row r="7016" spans="1:4">
      <c r="A7016" s="28">
        <v>12081</v>
      </c>
      <c r="B7016" s="26" t="s">
        <v>3571</v>
      </c>
      <c r="C7016" s="28" t="s">
        <v>65</v>
      </c>
      <c r="D7016" s="329">
        <v>175.11</v>
      </c>
    </row>
    <row r="7017" spans="1:4">
      <c r="A7017" s="47">
        <v>13709</v>
      </c>
      <c r="B7017" s="48" t="s">
        <v>3572</v>
      </c>
      <c r="C7017" s="47" t="s">
        <v>65</v>
      </c>
      <c r="D7017" s="332">
        <v>614.34</v>
      </c>
    </row>
    <row r="7018" spans="1:4" ht="30">
      <c r="A7018" s="28">
        <v>12083</v>
      </c>
      <c r="B7018" s="26" t="s">
        <v>3573</v>
      </c>
      <c r="C7018" s="28" t="s">
        <v>65</v>
      </c>
      <c r="D7018" s="329">
        <v>656.66</v>
      </c>
    </row>
    <row r="7019" spans="1:4" ht="30">
      <c r="A7019" s="47">
        <v>12082</v>
      </c>
      <c r="B7019" s="48" t="s">
        <v>3575</v>
      </c>
      <c r="C7019" s="47" t="s">
        <v>65</v>
      </c>
      <c r="D7019" s="332">
        <v>285.64</v>
      </c>
    </row>
    <row r="7020" spans="1:4">
      <c r="A7020" s="28">
        <v>5047</v>
      </c>
      <c r="B7020" s="26" t="s">
        <v>3576</v>
      </c>
      <c r="C7020" s="28" t="s">
        <v>65</v>
      </c>
      <c r="D7020" s="329">
        <v>268.42</v>
      </c>
    </row>
    <row r="7021" spans="1:4">
      <c r="A7021" s="47">
        <v>5048</v>
      </c>
      <c r="B7021" s="48" t="s">
        <v>3577</v>
      </c>
      <c r="C7021" s="47" t="s">
        <v>65</v>
      </c>
      <c r="D7021" s="332">
        <v>361.63</v>
      </c>
    </row>
    <row r="7022" spans="1:4">
      <c r="A7022" s="28">
        <v>38472</v>
      </c>
      <c r="B7022" s="26" t="s">
        <v>3581</v>
      </c>
      <c r="C7022" s="28" t="s">
        <v>65</v>
      </c>
      <c r="D7022" s="329">
        <v>75.77</v>
      </c>
    </row>
    <row r="7023" spans="1:4" ht="30">
      <c r="A7023" s="47">
        <v>13354</v>
      </c>
      <c r="B7023" s="48" t="s">
        <v>3582</v>
      </c>
      <c r="C7023" s="47" t="s">
        <v>65</v>
      </c>
      <c r="D7023" s="332">
        <v>532.62</v>
      </c>
    </row>
    <row r="7024" spans="1:4">
      <c r="A7024" s="28">
        <v>14058</v>
      </c>
      <c r="B7024" s="26" t="s">
        <v>3583</v>
      </c>
      <c r="C7024" s="28" t="s">
        <v>65</v>
      </c>
      <c r="D7024" s="329">
        <v>675.23</v>
      </c>
    </row>
    <row r="7025" spans="1:4">
      <c r="A7025" s="47">
        <v>14056</v>
      </c>
      <c r="B7025" s="48" t="s">
        <v>3584</v>
      </c>
      <c r="C7025" s="47" t="s">
        <v>65</v>
      </c>
      <c r="D7025" s="332">
        <v>4472.34</v>
      </c>
    </row>
    <row r="7026" spans="1:4">
      <c r="A7026" s="28">
        <v>14057</v>
      </c>
      <c r="B7026" s="26" t="s">
        <v>3585</v>
      </c>
      <c r="C7026" s="28" t="s">
        <v>65</v>
      </c>
      <c r="D7026" s="329">
        <v>695.8</v>
      </c>
    </row>
    <row r="7027" spans="1:4">
      <c r="A7027" s="47">
        <v>13708</v>
      </c>
      <c r="B7027" s="48" t="s">
        <v>3586</v>
      </c>
      <c r="C7027" s="47" t="s">
        <v>65</v>
      </c>
      <c r="D7027" s="332">
        <v>735.2</v>
      </c>
    </row>
    <row r="7028" spans="1:4" ht="30">
      <c r="A7028" s="28">
        <v>13369</v>
      </c>
      <c r="B7028" s="26" t="s">
        <v>3587</v>
      </c>
      <c r="C7028" s="28" t="s">
        <v>65</v>
      </c>
      <c r="D7028" s="329">
        <v>247.67</v>
      </c>
    </row>
    <row r="7029" spans="1:4" ht="30">
      <c r="A7029" s="47">
        <v>13370</v>
      </c>
      <c r="B7029" s="48" t="s">
        <v>3588</v>
      </c>
      <c r="C7029" s="47" t="s">
        <v>65</v>
      </c>
      <c r="D7029" s="332">
        <v>304.20999999999998</v>
      </c>
    </row>
    <row r="7030" spans="1:4" ht="30">
      <c r="A7030" s="28">
        <v>2399</v>
      </c>
      <c r="B7030" s="26" t="s">
        <v>3592</v>
      </c>
      <c r="C7030" s="28" t="s">
        <v>65</v>
      </c>
      <c r="D7030" s="329">
        <v>1875.86</v>
      </c>
    </row>
    <row r="7031" spans="1:4" ht="30">
      <c r="A7031" s="47">
        <v>14281</v>
      </c>
      <c r="B7031" s="48" t="s">
        <v>3589</v>
      </c>
      <c r="C7031" s="47" t="s">
        <v>65</v>
      </c>
      <c r="D7031" s="332">
        <v>1025.1199999999999</v>
      </c>
    </row>
    <row r="7032" spans="1:4" ht="30">
      <c r="A7032" s="28">
        <v>14282</v>
      </c>
      <c r="B7032" s="26" t="s">
        <v>3590</v>
      </c>
      <c r="C7032" s="28" t="s">
        <v>65</v>
      </c>
      <c r="D7032" s="329">
        <v>1313.32</v>
      </c>
    </row>
    <row r="7033" spans="1:4" ht="30">
      <c r="A7033" s="47">
        <v>14283</v>
      </c>
      <c r="B7033" s="48" t="s">
        <v>3591</v>
      </c>
      <c r="C7033" s="47" t="s">
        <v>65</v>
      </c>
      <c r="D7033" s="332">
        <v>1765.69</v>
      </c>
    </row>
    <row r="7034" spans="1:4">
      <c r="A7034" s="28">
        <v>14386</v>
      </c>
      <c r="B7034" s="26" t="s">
        <v>150</v>
      </c>
      <c r="C7034" s="28" t="s">
        <v>65</v>
      </c>
      <c r="D7034" s="329">
        <v>2041.12</v>
      </c>
    </row>
    <row r="7035" spans="1:4" ht="30">
      <c r="A7035" s="47">
        <v>14385</v>
      </c>
      <c r="B7035" s="48" t="s">
        <v>151</v>
      </c>
      <c r="C7035" s="47" t="s">
        <v>65</v>
      </c>
      <c r="D7035" s="332">
        <v>583.69000000000005</v>
      </c>
    </row>
    <row r="7036" spans="1:4">
      <c r="A7036" s="28">
        <v>13279</v>
      </c>
      <c r="B7036" s="26" t="s">
        <v>3595</v>
      </c>
      <c r="C7036" s="28" t="s">
        <v>90</v>
      </c>
      <c r="D7036" s="329">
        <v>5.53</v>
      </c>
    </row>
    <row r="7037" spans="1:4">
      <c r="A7037" s="47">
        <v>11977</v>
      </c>
      <c r="B7037" s="48" t="s">
        <v>3598</v>
      </c>
      <c r="C7037" s="47" t="s">
        <v>65</v>
      </c>
      <c r="D7037" s="332">
        <v>4.75</v>
      </c>
    </row>
    <row r="7038" spans="1:4">
      <c r="A7038" s="28">
        <v>11975</v>
      </c>
      <c r="B7038" s="26" t="s">
        <v>3599</v>
      </c>
      <c r="C7038" s="28" t="s">
        <v>65</v>
      </c>
      <c r="D7038" s="329">
        <v>10.42</v>
      </c>
    </row>
    <row r="7039" spans="1:4" ht="30">
      <c r="A7039" s="47">
        <v>39746</v>
      </c>
      <c r="B7039" s="48" t="s">
        <v>3597</v>
      </c>
      <c r="C7039" s="47" t="s">
        <v>65</v>
      </c>
      <c r="D7039" s="332">
        <v>116.01</v>
      </c>
    </row>
    <row r="7040" spans="1:4">
      <c r="A7040" s="28">
        <v>11976</v>
      </c>
      <c r="B7040" s="26" t="s">
        <v>3600</v>
      </c>
      <c r="C7040" s="28" t="s">
        <v>65</v>
      </c>
      <c r="D7040" s="329">
        <v>3.5</v>
      </c>
    </row>
    <row r="7041" spans="1:4" ht="30">
      <c r="A7041" s="47">
        <v>1368</v>
      </c>
      <c r="B7041" s="48" t="s">
        <v>3611</v>
      </c>
      <c r="C7041" s="47" t="s">
        <v>65</v>
      </c>
      <c r="D7041" s="332">
        <v>46.49</v>
      </c>
    </row>
    <row r="7042" spans="1:4">
      <c r="A7042" s="28">
        <v>1367</v>
      </c>
      <c r="B7042" s="26" t="s">
        <v>3612</v>
      </c>
      <c r="C7042" s="28" t="s">
        <v>65</v>
      </c>
      <c r="D7042" s="329">
        <v>150.38</v>
      </c>
    </row>
    <row r="7043" spans="1:4">
      <c r="A7043" s="47">
        <v>7608</v>
      </c>
      <c r="B7043" s="48" t="s">
        <v>3614</v>
      </c>
      <c r="C7043" s="47" t="s">
        <v>65</v>
      </c>
      <c r="D7043" s="332">
        <v>3.6</v>
      </c>
    </row>
    <row r="7044" spans="1:4" ht="30">
      <c r="A7044" s="28">
        <v>41900</v>
      </c>
      <c r="B7044" s="26" t="s">
        <v>3615</v>
      </c>
      <c r="C7044" s="28" t="s">
        <v>90</v>
      </c>
      <c r="D7044" s="329">
        <v>2.04</v>
      </c>
    </row>
    <row r="7045" spans="1:4" ht="30">
      <c r="A7045" s="47">
        <v>41899</v>
      </c>
      <c r="B7045" s="48" t="s">
        <v>3616</v>
      </c>
      <c r="C7045" s="47" t="s">
        <v>152</v>
      </c>
      <c r="D7045" s="332">
        <v>2151.5500000000002</v>
      </c>
    </row>
    <row r="7046" spans="1:4">
      <c r="A7046" s="28">
        <v>1380</v>
      </c>
      <c r="B7046" s="26" t="s">
        <v>153</v>
      </c>
      <c r="C7046" s="28" t="s">
        <v>90</v>
      </c>
      <c r="D7046" s="329">
        <v>2.46</v>
      </c>
    </row>
    <row r="7047" spans="1:4">
      <c r="A7047" s="47">
        <v>1375</v>
      </c>
      <c r="B7047" s="48" t="s">
        <v>3617</v>
      </c>
      <c r="C7047" s="47" t="s">
        <v>90</v>
      </c>
      <c r="D7047" s="332">
        <v>10.23</v>
      </c>
    </row>
    <row r="7048" spans="1:4">
      <c r="A7048" s="28">
        <v>1379</v>
      </c>
      <c r="B7048" s="26" t="s">
        <v>3618</v>
      </c>
      <c r="C7048" s="28" t="s">
        <v>90</v>
      </c>
      <c r="D7048" s="329">
        <v>0.42</v>
      </c>
    </row>
    <row r="7049" spans="1:4">
      <c r="A7049" s="47">
        <v>10511</v>
      </c>
      <c r="B7049" s="48" t="s">
        <v>3619</v>
      </c>
      <c r="C7049" s="47" t="s">
        <v>154</v>
      </c>
      <c r="D7049" s="332">
        <v>21</v>
      </c>
    </row>
    <row r="7050" spans="1:4">
      <c r="A7050" s="28">
        <v>13284</v>
      </c>
      <c r="B7050" s="26" t="s">
        <v>3620</v>
      </c>
      <c r="C7050" s="28" t="s">
        <v>90</v>
      </c>
      <c r="D7050" s="329">
        <v>0.35</v>
      </c>
    </row>
    <row r="7051" spans="1:4">
      <c r="A7051" s="47">
        <v>25974</v>
      </c>
      <c r="B7051" s="48" t="s">
        <v>3621</v>
      </c>
      <c r="C7051" s="47" t="s">
        <v>90</v>
      </c>
      <c r="D7051" s="332">
        <v>1.4</v>
      </c>
    </row>
    <row r="7052" spans="1:4">
      <c r="A7052" s="28">
        <v>1382</v>
      </c>
      <c r="B7052" s="26" t="s">
        <v>3622</v>
      </c>
      <c r="C7052" s="28" t="s">
        <v>154</v>
      </c>
      <c r="D7052" s="329">
        <v>20.23</v>
      </c>
    </row>
    <row r="7053" spans="1:4">
      <c r="A7053" s="47">
        <v>34753</v>
      </c>
      <c r="B7053" s="48" t="s">
        <v>3623</v>
      </c>
      <c r="C7053" s="47" t="s">
        <v>90</v>
      </c>
      <c r="D7053" s="332">
        <v>0.4</v>
      </c>
    </row>
    <row r="7054" spans="1:4" ht="30">
      <c r="A7054" s="28">
        <v>420</v>
      </c>
      <c r="B7054" s="26" t="s">
        <v>3624</v>
      </c>
      <c r="C7054" s="28" t="s">
        <v>65</v>
      </c>
      <c r="D7054" s="329">
        <v>14.6</v>
      </c>
    </row>
    <row r="7055" spans="1:4" ht="30">
      <c r="A7055" s="47">
        <v>12327</v>
      </c>
      <c r="B7055" s="48" t="s">
        <v>3625</v>
      </c>
      <c r="C7055" s="47" t="s">
        <v>65</v>
      </c>
      <c r="D7055" s="332">
        <v>17.39</v>
      </c>
    </row>
    <row r="7056" spans="1:4" ht="30">
      <c r="A7056" s="28">
        <v>36148</v>
      </c>
      <c r="B7056" s="26" t="s">
        <v>3628</v>
      </c>
      <c r="C7056" s="28" t="s">
        <v>65</v>
      </c>
      <c r="D7056" s="329">
        <v>47.42</v>
      </c>
    </row>
    <row r="7057" spans="1:4">
      <c r="A7057" s="47">
        <v>12329</v>
      </c>
      <c r="B7057" s="48" t="s">
        <v>3633</v>
      </c>
      <c r="C7057" s="47" t="s">
        <v>90</v>
      </c>
      <c r="D7057" s="332">
        <v>57.32</v>
      </c>
    </row>
    <row r="7058" spans="1:4">
      <c r="A7058" s="28">
        <v>1339</v>
      </c>
      <c r="B7058" s="26" t="s">
        <v>3634</v>
      </c>
      <c r="C7058" s="28" t="s">
        <v>90</v>
      </c>
      <c r="D7058" s="329">
        <v>19.260000000000002</v>
      </c>
    </row>
    <row r="7059" spans="1:4">
      <c r="A7059" s="47">
        <v>11849</v>
      </c>
      <c r="B7059" s="48" t="s">
        <v>3635</v>
      </c>
      <c r="C7059" s="47" t="s">
        <v>91</v>
      </c>
      <c r="D7059" s="332">
        <v>12.14</v>
      </c>
    </row>
    <row r="7060" spans="1:4" ht="30">
      <c r="A7060" s="28">
        <v>37418</v>
      </c>
      <c r="B7060" s="26" t="s">
        <v>3636</v>
      </c>
      <c r="C7060" s="28" t="s">
        <v>65</v>
      </c>
      <c r="D7060" s="329">
        <v>8.27</v>
      </c>
    </row>
    <row r="7061" spans="1:4" ht="30">
      <c r="A7061" s="47">
        <v>37419</v>
      </c>
      <c r="B7061" s="48" t="s">
        <v>3637</v>
      </c>
      <c r="C7061" s="47" t="s">
        <v>65</v>
      </c>
      <c r="D7061" s="332">
        <v>8.5</v>
      </c>
    </row>
    <row r="7062" spans="1:4" ht="30">
      <c r="A7062" s="28">
        <v>1427</v>
      </c>
      <c r="B7062" s="26" t="s">
        <v>11257</v>
      </c>
      <c r="C7062" s="28" t="s">
        <v>65</v>
      </c>
      <c r="D7062" s="329">
        <v>18.23</v>
      </c>
    </row>
    <row r="7063" spans="1:4" ht="30">
      <c r="A7063" s="47">
        <v>1436</v>
      </c>
      <c r="B7063" s="48" t="s">
        <v>3638</v>
      </c>
      <c r="C7063" s="47" t="s">
        <v>65</v>
      </c>
      <c r="D7063" s="332">
        <v>18.23</v>
      </c>
    </row>
    <row r="7064" spans="1:4" ht="30">
      <c r="A7064" s="28">
        <v>1402</v>
      </c>
      <c r="B7064" s="26" t="s">
        <v>11258</v>
      </c>
      <c r="C7064" s="28" t="s">
        <v>65</v>
      </c>
      <c r="D7064" s="329">
        <v>9.6199999999999992</v>
      </c>
    </row>
    <row r="7065" spans="1:4" ht="30">
      <c r="A7065" s="47">
        <v>1423</v>
      </c>
      <c r="B7065" s="48" t="s">
        <v>3639</v>
      </c>
      <c r="C7065" s="47" t="s">
        <v>65</v>
      </c>
      <c r="D7065" s="332">
        <v>9.6199999999999992</v>
      </c>
    </row>
    <row r="7066" spans="1:4" ht="30">
      <c r="A7066" s="28">
        <v>1420</v>
      </c>
      <c r="B7066" s="26" t="s">
        <v>11259</v>
      </c>
      <c r="C7066" s="28" t="s">
        <v>65</v>
      </c>
      <c r="D7066" s="329">
        <v>9.98</v>
      </c>
    </row>
    <row r="7067" spans="1:4" ht="30">
      <c r="A7067" s="47">
        <v>1421</v>
      </c>
      <c r="B7067" s="48" t="s">
        <v>3640</v>
      </c>
      <c r="C7067" s="47" t="s">
        <v>65</v>
      </c>
      <c r="D7067" s="332">
        <v>9.98</v>
      </c>
    </row>
    <row r="7068" spans="1:4" ht="30">
      <c r="A7068" s="28">
        <v>1419</v>
      </c>
      <c r="B7068" s="26" t="s">
        <v>11260</v>
      </c>
      <c r="C7068" s="28" t="s">
        <v>65</v>
      </c>
      <c r="D7068" s="329">
        <v>10.82</v>
      </c>
    </row>
    <row r="7069" spans="1:4" ht="30">
      <c r="A7069" s="47">
        <v>1439</v>
      </c>
      <c r="B7069" s="48" t="s">
        <v>3641</v>
      </c>
      <c r="C7069" s="47" t="s">
        <v>65</v>
      </c>
      <c r="D7069" s="332">
        <v>10.82</v>
      </c>
    </row>
    <row r="7070" spans="1:4" ht="30">
      <c r="A7070" s="28">
        <v>1414</v>
      </c>
      <c r="B7070" s="26" t="s">
        <v>11261</v>
      </c>
      <c r="C7070" s="28" t="s">
        <v>65</v>
      </c>
      <c r="D7070" s="329">
        <v>12.14</v>
      </c>
    </row>
    <row r="7071" spans="1:4" ht="30">
      <c r="A7071" s="47">
        <v>1415</v>
      </c>
      <c r="B7071" s="48" t="s">
        <v>3642</v>
      </c>
      <c r="C7071" s="47" t="s">
        <v>65</v>
      </c>
      <c r="D7071" s="332">
        <v>12.14</v>
      </c>
    </row>
    <row r="7072" spans="1:4" ht="30">
      <c r="A7072" s="28">
        <v>1413</v>
      </c>
      <c r="B7072" s="26" t="s">
        <v>11262</v>
      </c>
      <c r="C7072" s="28" t="s">
        <v>65</v>
      </c>
      <c r="D7072" s="329">
        <v>14.69</v>
      </c>
    </row>
    <row r="7073" spans="1:4" ht="30">
      <c r="A7073" s="47">
        <v>1417</v>
      </c>
      <c r="B7073" s="48" t="s">
        <v>3643</v>
      </c>
      <c r="C7073" s="47" t="s">
        <v>65</v>
      </c>
      <c r="D7073" s="332">
        <v>14.69</v>
      </c>
    </row>
    <row r="7074" spans="1:4" ht="30">
      <c r="A7074" s="28">
        <v>1412</v>
      </c>
      <c r="B7074" s="26" t="s">
        <v>11263</v>
      </c>
      <c r="C7074" s="28" t="s">
        <v>65</v>
      </c>
      <c r="D7074" s="329">
        <v>15.24</v>
      </c>
    </row>
    <row r="7075" spans="1:4" ht="43.5" customHeight="1">
      <c r="A7075" s="47">
        <v>1416</v>
      </c>
      <c r="B7075" s="48" t="s">
        <v>3644</v>
      </c>
      <c r="C7075" s="47" t="s">
        <v>65</v>
      </c>
      <c r="D7075" s="332">
        <v>15.24</v>
      </c>
    </row>
    <row r="7076" spans="1:4" ht="30">
      <c r="A7076" s="28">
        <v>1411</v>
      </c>
      <c r="B7076" s="26" t="s">
        <v>11264</v>
      </c>
      <c r="C7076" s="28" t="s">
        <v>65</v>
      </c>
      <c r="D7076" s="329">
        <v>27.7</v>
      </c>
    </row>
    <row r="7077" spans="1:4" ht="30">
      <c r="A7077" s="47">
        <v>20093</v>
      </c>
      <c r="B7077" s="48" t="s">
        <v>3645</v>
      </c>
      <c r="C7077" s="47" t="s">
        <v>65</v>
      </c>
      <c r="D7077" s="332">
        <v>27.7</v>
      </c>
    </row>
    <row r="7078" spans="1:4" ht="30">
      <c r="A7078" s="28">
        <v>1406</v>
      </c>
      <c r="B7078" s="26" t="s">
        <v>11265</v>
      </c>
      <c r="C7078" s="28" t="s">
        <v>65</v>
      </c>
      <c r="D7078" s="329">
        <v>18.41</v>
      </c>
    </row>
    <row r="7079" spans="1:4" ht="57.75" customHeight="1">
      <c r="A7079" s="47">
        <v>1435</v>
      </c>
      <c r="B7079" s="48" t="s">
        <v>3646</v>
      </c>
      <c r="C7079" s="47" t="s">
        <v>65</v>
      </c>
      <c r="D7079" s="332">
        <v>18.41</v>
      </c>
    </row>
    <row r="7080" spans="1:4" ht="30">
      <c r="A7080" s="28">
        <v>1407</v>
      </c>
      <c r="B7080" s="26" t="s">
        <v>11266</v>
      </c>
      <c r="C7080" s="28" t="s">
        <v>65</v>
      </c>
      <c r="D7080" s="329">
        <v>22.94</v>
      </c>
    </row>
    <row r="7081" spans="1:4" ht="30">
      <c r="A7081" s="47">
        <v>1418</v>
      </c>
      <c r="B7081" s="48" t="s">
        <v>3647</v>
      </c>
      <c r="C7081" s="47" t="s">
        <v>65</v>
      </c>
      <c r="D7081" s="332">
        <v>22.94</v>
      </c>
    </row>
    <row r="7082" spans="1:4" ht="30">
      <c r="A7082" s="28">
        <v>1404</v>
      </c>
      <c r="B7082" s="26" t="s">
        <v>11267</v>
      </c>
      <c r="C7082" s="28" t="s">
        <v>65</v>
      </c>
      <c r="D7082" s="329">
        <v>24.32</v>
      </c>
    </row>
    <row r="7083" spans="1:4" ht="30">
      <c r="A7083" s="47">
        <v>1410</v>
      </c>
      <c r="B7083" s="48" t="s">
        <v>3648</v>
      </c>
      <c r="C7083" s="47" t="s">
        <v>65</v>
      </c>
      <c r="D7083" s="332">
        <v>24.32</v>
      </c>
    </row>
    <row r="7084" spans="1:4">
      <c r="A7084" s="28">
        <v>38375</v>
      </c>
      <c r="B7084" s="26" t="s">
        <v>3658</v>
      </c>
      <c r="C7084" s="28" t="s">
        <v>65</v>
      </c>
      <c r="D7084" s="329">
        <v>14.13</v>
      </c>
    </row>
    <row r="7085" spans="1:4" ht="60">
      <c r="A7085" s="47">
        <v>1442</v>
      </c>
      <c r="B7085" s="48" t="s">
        <v>3663</v>
      </c>
      <c r="C7085" s="47" t="s">
        <v>65</v>
      </c>
      <c r="D7085" s="332">
        <v>9176.77</v>
      </c>
    </row>
    <row r="7086" spans="1:4" ht="30">
      <c r="A7086" s="28">
        <v>11281</v>
      </c>
      <c r="B7086" s="26" t="s">
        <v>3664</v>
      </c>
      <c r="C7086" s="28" t="s">
        <v>65</v>
      </c>
      <c r="D7086" s="329">
        <v>10931.33</v>
      </c>
    </row>
    <row r="7087" spans="1:4" ht="30">
      <c r="A7087" s="47">
        <v>13458</v>
      </c>
      <c r="B7087" s="48" t="s">
        <v>3665</v>
      </c>
      <c r="C7087" s="47" t="s">
        <v>65</v>
      </c>
      <c r="D7087" s="332">
        <v>13545.34</v>
      </c>
    </row>
    <row r="7088" spans="1:4" ht="30">
      <c r="A7088" s="28">
        <v>36524</v>
      </c>
      <c r="B7088" s="26" t="s">
        <v>3679</v>
      </c>
      <c r="C7088" s="28" t="s">
        <v>65</v>
      </c>
      <c r="D7088" s="329">
        <v>62325.8</v>
      </c>
    </row>
    <row r="7089" spans="1:4" ht="30">
      <c r="A7089" s="47">
        <v>36526</v>
      </c>
      <c r="B7089" s="48" t="s">
        <v>3680</v>
      </c>
      <c r="C7089" s="47" t="s">
        <v>65</v>
      </c>
      <c r="D7089" s="332">
        <v>50224.66</v>
      </c>
    </row>
    <row r="7090" spans="1:4" ht="30">
      <c r="A7090" s="28">
        <v>36523</v>
      </c>
      <c r="B7090" s="26" t="s">
        <v>3681</v>
      </c>
      <c r="C7090" s="28" t="s">
        <v>65</v>
      </c>
      <c r="D7090" s="329">
        <v>107524.23</v>
      </c>
    </row>
    <row r="7091" spans="1:4" ht="30">
      <c r="A7091" s="47">
        <v>36527</v>
      </c>
      <c r="B7091" s="48" t="s">
        <v>3682</v>
      </c>
      <c r="C7091" s="47" t="s">
        <v>65</v>
      </c>
      <c r="D7091" s="332">
        <v>116793.46</v>
      </c>
    </row>
    <row r="7092" spans="1:4" ht="30">
      <c r="A7092" s="28">
        <v>13803</v>
      </c>
      <c r="B7092" s="26" t="s">
        <v>3683</v>
      </c>
      <c r="C7092" s="28" t="s">
        <v>65</v>
      </c>
      <c r="D7092" s="329">
        <v>42231.5</v>
      </c>
    </row>
    <row r="7093" spans="1:4" ht="30">
      <c r="A7093" s="47">
        <v>38642</v>
      </c>
      <c r="B7093" s="48" t="s">
        <v>3684</v>
      </c>
      <c r="C7093" s="47" t="s">
        <v>65</v>
      </c>
      <c r="D7093" s="332">
        <v>27192.51</v>
      </c>
    </row>
    <row r="7094" spans="1:4" ht="30">
      <c r="A7094" s="28">
        <v>36522</v>
      </c>
      <c r="B7094" s="26" t="s">
        <v>3685</v>
      </c>
      <c r="C7094" s="28" t="s">
        <v>65</v>
      </c>
      <c r="D7094" s="329">
        <v>31624.57</v>
      </c>
    </row>
    <row r="7095" spans="1:4" ht="30">
      <c r="A7095" s="47">
        <v>36525</v>
      </c>
      <c r="B7095" s="48" t="s">
        <v>3698</v>
      </c>
      <c r="C7095" s="47" t="s">
        <v>65</v>
      </c>
      <c r="D7095" s="332">
        <v>42352.68</v>
      </c>
    </row>
    <row r="7096" spans="1:4" ht="30">
      <c r="A7096" s="28">
        <v>34348</v>
      </c>
      <c r="B7096" s="26" t="s">
        <v>3717</v>
      </c>
      <c r="C7096" s="28" t="s">
        <v>71</v>
      </c>
      <c r="D7096" s="329">
        <v>22.65</v>
      </c>
    </row>
    <row r="7097" spans="1:4" ht="30">
      <c r="A7097" s="47">
        <v>34347</v>
      </c>
      <c r="B7097" s="48" t="s">
        <v>3718</v>
      </c>
      <c r="C7097" s="47" t="s">
        <v>71</v>
      </c>
      <c r="D7097" s="332">
        <v>11.7</v>
      </c>
    </row>
    <row r="7098" spans="1:4" ht="30">
      <c r="A7098" s="28">
        <v>11146</v>
      </c>
      <c r="B7098" s="26" t="s">
        <v>3752</v>
      </c>
      <c r="C7098" s="28" t="s">
        <v>255</v>
      </c>
      <c r="D7098" s="329">
        <v>260.52</v>
      </c>
    </row>
    <row r="7099" spans="1:4" ht="30">
      <c r="A7099" s="47">
        <v>11147</v>
      </c>
      <c r="B7099" s="48" t="s">
        <v>3753</v>
      </c>
      <c r="C7099" s="47" t="s">
        <v>255</v>
      </c>
      <c r="D7099" s="332">
        <v>270.17</v>
      </c>
    </row>
    <row r="7100" spans="1:4" ht="30">
      <c r="A7100" s="28">
        <v>34872</v>
      </c>
      <c r="B7100" s="26" t="s">
        <v>3754</v>
      </c>
      <c r="C7100" s="28" t="s">
        <v>255</v>
      </c>
      <c r="D7100" s="329">
        <v>279.82</v>
      </c>
    </row>
    <row r="7101" spans="1:4" ht="30">
      <c r="A7101" s="47">
        <v>34491</v>
      </c>
      <c r="B7101" s="48" t="s">
        <v>3755</v>
      </c>
      <c r="C7101" s="47" t="s">
        <v>255</v>
      </c>
      <c r="D7101" s="332">
        <v>285.48</v>
      </c>
    </row>
    <row r="7102" spans="1:4" ht="30">
      <c r="A7102" s="28">
        <v>34770</v>
      </c>
      <c r="B7102" s="26" t="s">
        <v>3756</v>
      </c>
      <c r="C7102" s="28" t="s">
        <v>152</v>
      </c>
      <c r="D7102" s="329">
        <v>218.1</v>
      </c>
    </row>
    <row r="7103" spans="1:4" ht="30">
      <c r="A7103" s="47">
        <v>34759</v>
      </c>
      <c r="B7103" s="48" t="s">
        <v>3757</v>
      </c>
      <c r="C7103" s="47" t="s">
        <v>255</v>
      </c>
      <c r="D7103" s="332">
        <v>544.67999999999995</v>
      </c>
    </row>
    <row r="7104" spans="1:4" ht="30">
      <c r="A7104" s="28">
        <v>1518</v>
      </c>
      <c r="B7104" s="26" t="s">
        <v>3758</v>
      </c>
      <c r="C7104" s="28" t="s">
        <v>152</v>
      </c>
      <c r="D7104" s="329">
        <v>245</v>
      </c>
    </row>
    <row r="7105" spans="1:4" ht="30">
      <c r="A7105" s="47">
        <v>1520</v>
      </c>
      <c r="B7105" s="48" t="s">
        <v>3759</v>
      </c>
      <c r="C7105" s="47" t="s">
        <v>255</v>
      </c>
      <c r="D7105" s="332">
        <v>610.54</v>
      </c>
    </row>
    <row r="7106" spans="1:4" ht="30">
      <c r="A7106" s="28">
        <v>34492</v>
      </c>
      <c r="B7106" s="26" t="s">
        <v>3776</v>
      </c>
      <c r="C7106" s="28" t="s">
        <v>255</v>
      </c>
      <c r="D7106" s="329">
        <v>236.4</v>
      </c>
    </row>
    <row r="7107" spans="1:4" ht="30">
      <c r="A7107" s="47">
        <v>1524</v>
      </c>
      <c r="B7107" s="48" t="s">
        <v>3777</v>
      </c>
      <c r="C7107" s="47" t="s">
        <v>255</v>
      </c>
      <c r="D7107" s="332">
        <v>275</v>
      </c>
    </row>
    <row r="7108" spans="1:4" ht="30">
      <c r="A7108" s="28">
        <v>38404</v>
      </c>
      <c r="B7108" s="26" t="s">
        <v>3778</v>
      </c>
      <c r="C7108" s="28" t="s">
        <v>255</v>
      </c>
      <c r="D7108" s="329">
        <v>290.25</v>
      </c>
    </row>
    <row r="7109" spans="1:4" ht="30">
      <c r="A7109" s="47">
        <v>39849</v>
      </c>
      <c r="B7109" s="48" t="s">
        <v>3779</v>
      </c>
      <c r="C7109" s="47" t="s">
        <v>255</v>
      </c>
      <c r="D7109" s="332">
        <v>289.63</v>
      </c>
    </row>
    <row r="7110" spans="1:4" ht="30">
      <c r="A7110" s="28">
        <v>38464</v>
      </c>
      <c r="B7110" s="26" t="s">
        <v>3780</v>
      </c>
      <c r="C7110" s="28" t="s">
        <v>255</v>
      </c>
      <c r="D7110" s="329">
        <v>350.62</v>
      </c>
    </row>
    <row r="7111" spans="1:4" ht="30">
      <c r="A7111" s="47">
        <v>34493</v>
      </c>
      <c r="B7111" s="48" t="s">
        <v>3781</v>
      </c>
      <c r="C7111" s="47" t="s">
        <v>255</v>
      </c>
      <c r="D7111" s="332">
        <v>245.57</v>
      </c>
    </row>
    <row r="7112" spans="1:4" ht="30">
      <c r="A7112" s="28">
        <v>1527</v>
      </c>
      <c r="B7112" s="26" t="s">
        <v>3782</v>
      </c>
      <c r="C7112" s="28" t="s">
        <v>255</v>
      </c>
      <c r="D7112" s="329">
        <v>286.57</v>
      </c>
    </row>
    <row r="7113" spans="1:4" ht="30">
      <c r="A7113" s="47">
        <v>38405</v>
      </c>
      <c r="B7113" s="48" t="s">
        <v>3783</v>
      </c>
      <c r="C7113" s="47" t="s">
        <v>255</v>
      </c>
      <c r="D7113" s="332">
        <v>307.67</v>
      </c>
    </row>
    <row r="7114" spans="1:4" ht="30">
      <c r="A7114" s="28">
        <v>38408</v>
      </c>
      <c r="B7114" s="26" t="s">
        <v>3784</v>
      </c>
      <c r="C7114" s="28" t="s">
        <v>255</v>
      </c>
      <c r="D7114" s="329">
        <v>319.93</v>
      </c>
    </row>
    <row r="7115" spans="1:4" ht="30">
      <c r="A7115" s="47">
        <v>34494</v>
      </c>
      <c r="B7115" s="48" t="s">
        <v>3785</v>
      </c>
      <c r="C7115" s="47" t="s">
        <v>255</v>
      </c>
      <c r="D7115" s="332">
        <v>256.47000000000003</v>
      </c>
    </row>
    <row r="7116" spans="1:4" ht="30">
      <c r="A7116" s="28">
        <v>1525</v>
      </c>
      <c r="B7116" s="26" t="s">
        <v>3786</v>
      </c>
      <c r="C7116" s="28" t="s">
        <v>255</v>
      </c>
      <c r="D7116" s="329">
        <v>296.22000000000003</v>
      </c>
    </row>
    <row r="7117" spans="1:4" ht="30">
      <c r="A7117" s="47">
        <v>38406</v>
      </c>
      <c r="B7117" s="48" t="s">
        <v>3787</v>
      </c>
      <c r="C7117" s="47" t="s">
        <v>255</v>
      </c>
      <c r="D7117" s="332">
        <v>323.26</v>
      </c>
    </row>
    <row r="7118" spans="1:4" ht="30">
      <c r="A7118" s="28">
        <v>38409</v>
      </c>
      <c r="B7118" s="26" t="s">
        <v>3788</v>
      </c>
      <c r="C7118" s="28" t="s">
        <v>255</v>
      </c>
      <c r="D7118" s="329">
        <v>344.85</v>
      </c>
    </row>
    <row r="7119" spans="1:4" ht="30">
      <c r="A7119" s="47">
        <v>34495</v>
      </c>
      <c r="B7119" s="48" t="s">
        <v>3789</v>
      </c>
      <c r="C7119" s="47" t="s">
        <v>255</v>
      </c>
      <c r="D7119" s="332">
        <v>267.42</v>
      </c>
    </row>
    <row r="7120" spans="1:4" ht="30">
      <c r="A7120" s="28">
        <v>11145</v>
      </c>
      <c r="B7120" s="26" t="s">
        <v>3790</v>
      </c>
      <c r="C7120" s="28" t="s">
        <v>255</v>
      </c>
      <c r="D7120" s="329">
        <v>306.83999999999997</v>
      </c>
    </row>
    <row r="7121" spans="1:4" ht="30">
      <c r="A7121" s="47">
        <v>34496</v>
      </c>
      <c r="B7121" s="48" t="s">
        <v>3791</v>
      </c>
      <c r="C7121" s="47" t="s">
        <v>255</v>
      </c>
      <c r="D7121" s="332">
        <v>279.33999999999997</v>
      </c>
    </row>
    <row r="7122" spans="1:4" ht="30">
      <c r="A7122" s="28">
        <v>34479</v>
      </c>
      <c r="B7122" s="26" t="s">
        <v>3792</v>
      </c>
      <c r="C7122" s="28" t="s">
        <v>255</v>
      </c>
      <c r="D7122" s="329">
        <v>318.42</v>
      </c>
    </row>
    <row r="7123" spans="1:4" ht="30">
      <c r="A7123" s="47">
        <v>34481</v>
      </c>
      <c r="B7123" s="48" t="s">
        <v>3793</v>
      </c>
      <c r="C7123" s="47" t="s">
        <v>255</v>
      </c>
      <c r="D7123" s="332">
        <v>357.98</v>
      </c>
    </row>
    <row r="7124" spans="1:4" ht="30">
      <c r="A7124" s="28">
        <v>34483</v>
      </c>
      <c r="B7124" s="26" t="s">
        <v>3794</v>
      </c>
      <c r="C7124" s="28" t="s">
        <v>255</v>
      </c>
      <c r="D7124" s="329">
        <v>424.56</v>
      </c>
    </row>
    <row r="7125" spans="1:4" ht="30">
      <c r="A7125" s="47">
        <v>34485</v>
      </c>
      <c r="B7125" s="48" t="s">
        <v>3795</v>
      </c>
      <c r="C7125" s="47" t="s">
        <v>255</v>
      </c>
      <c r="D7125" s="332">
        <v>545.16999999999996</v>
      </c>
    </row>
    <row r="7126" spans="1:4" ht="30">
      <c r="A7126" s="28">
        <v>34497</v>
      </c>
      <c r="B7126" s="26" t="s">
        <v>3796</v>
      </c>
      <c r="C7126" s="28" t="s">
        <v>255</v>
      </c>
      <c r="D7126" s="329">
        <v>752.63</v>
      </c>
    </row>
    <row r="7127" spans="1:4" ht="30">
      <c r="A7127" s="47">
        <v>14041</v>
      </c>
      <c r="B7127" s="48" t="s">
        <v>3797</v>
      </c>
      <c r="C7127" s="47" t="s">
        <v>255</v>
      </c>
      <c r="D7127" s="332">
        <v>235.88</v>
      </c>
    </row>
    <row r="7128" spans="1:4" ht="30">
      <c r="A7128" s="28">
        <v>1523</v>
      </c>
      <c r="B7128" s="26" t="s">
        <v>3798</v>
      </c>
      <c r="C7128" s="28" t="s">
        <v>255</v>
      </c>
      <c r="D7128" s="329">
        <v>238.13</v>
      </c>
    </row>
    <row r="7129" spans="1:4">
      <c r="A7129" s="47">
        <v>14052</v>
      </c>
      <c r="B7129" s="48" t="s">
        <v>3800</v>
      </c>
      <c r="C7129" s="47" t="s">
        <v>65</v>
      </c>
      <c r="D7129" s="332">
        <v>5.8</v>
      </c>
    </row>
    <row r="7130" spans="1:4">
      <c r="A7130" s="28">
        <v>14054</v>
      </c>
      <c r="B7130" s="26" t="s">
        <v>3799</v>
      </c>
      <c r="C7130" s="28" t="s">
        <v>65</v>
      </c>
      <c r="D7130" s="329">
        <v>7.54</v>
      </c>
    </row>
    <row r="7131" spans="1:4">
      <c r="A7131" s="47">
        <v>14053</v>
      </c>
      <c r="B7131" s="48" t="s">
        <v>3801</v>
      </c>
      <c r="C7131" s="47" t="s">
        <v>65</v>
      </c>
      <c r="D7131" s="332">
        <v>5.88</v>
      </c>
    </row>
    <row r="7132" spans="1:4">
      <c r="A7132" s="28">
        <v>2558</v>
      </c>
      <c r="B7132" s="26" t="s">
        <v>3803</v>
      </c>
      <c r="C7132" s="28" t="s">
        <v>65</v>
      </c>
      <c r="D7132" s="329">
        <v>4.43</v>
      </c>
    </row>
    <row r="7133" spans="1:4" ht="29.25" customHeight="1">
      <c r="A7133" s="47">
        <v>2560</v>
      </c>
      <c r="B7133" s="48" t="s">
        <v>3802</v>
      </c>
      <c r="C7133" s="47" t="s">
        <v>65</v>
      </c>
      <c r="D7133" s="332">
        <v>7.8</v>
      </c>
    </row>
    <row r="7134" spans="1:4">
      <c r="A7134" s="28">
        <v>2559</v>
      </c>
      <c r="B7134" s="26" t="s">
        <v>3804</v>
      </c>
      <c r="C7134" s="28" t="s">
        <v>65</v>
      </c>
      <c r="D7134" s="329">
        <v>6.24</v>
      </c>
    </row>
    <row r="7135" spans="1:4">
      <c r="A7135" s="47">
        <v>2592</v>
      </c>
      <c r="B7135" s="48" t="s">
        <v>3805</v>
      </c>
      <c r="C7135" s="47" t="s">
        <v>65</v>
      </c>
      <c r="D7135" s="332">
        <v>103.44</v>
      </c>
    </row>
    <row r="7136" spans="1:4" ht="30">
      <c r="A7136" s="28">
        <v>2566</v>
      </c>
      <c r="B7136" s="26" t="s">
        <v>3806</v>
      </c>
      <c r="C7136" s="28" t="s">
        <v>65</v>
      </c>
      <c r="D7136" s="329">
        <v>10.41</v>
      </c>
    </row>
    <row r="7137" spans="1:4" ht="30">
      <c r="A7137" s="47">
        <v>2589</v>
      </c>
      <c r="B7137" s="48" t="s">
        <v>3807</v>
      </c>
      <c r="C7137" s="47" t="s">
        <v>65</v>
      </c>
      <c r="D7137" s="332">
        <v>13.83</v>
      </c>
    </row>
    <row r="7138" spans="1:4">
      <c r="A7138" s="28">
        <v>2591</v>
      </c>
      <c r="B7138" s="26" t="s">
        <v>3809</v>
      </c>
      <c r="C7138" s="28" t="s">
        <v>65</v>
      </c>
      <c r="D7138" s="329">
        <v>5.04</v>
      </c>
    </row>
    <row r="7139" spans="1:4">
      <c r="A7139" s="47">
        <v>2590</v>
      </c>
      <c r="B7139" s="48" t="s">
        <v>3808</v>
      </c>
      <c r="C7139" s="47" t="s">
        <v>65</v>
      </c>
      <c r="D7139" s="332">
        <v>8.49</v>
      </c>
    </row>
    <row r="7140" spans="1:4" ht="29.25" customHeight="1">
      <c r="A7140" s="28">
        <v>2567</v>
      </c>
      <c r="B7140" s="26" t="s">
        <v>3810</v>
      </c>
      <c r="C7140" s="28" t="s">
        <v>65</v>
      </c>
      <c r="D7140" s="329">
        <v>20.29</v>
      </c>
    </row>
    <row r="7141" spans="1:4">
      <c r="A7141" s="47">
        <v>2565</v>
      </c>
      <c r="B7141" s="48" t="s">
        <v>3812</v>
      </c>
      <c r="C7141" s="47" t="s">
        <v>65</v>
      </c>
      <c r="D7141" s="332">
        <v>5.05</v>
      </c>
    </row>
    <row r="7142" spans="1:4">
      <c r="A7142" s="28">
        <v>2568</v>
      </c>
      <c r="B7142" s="26" t="s">
        <v>3811</v>
      </c>
      <c r="C7142" s="28" t="s">
        <v>65</v>
      </c>
      <c r="D7142" s="329">
        <v>56.36</v>
      </c>
    </row>
    <row r="7143" spans="1:4">
      <c r="A7143" s="47">
        <v>2594</v>
      </c>
      <c r="B7143" s="48" t="s">
        <v>3813</v>
      </c>
      <c r="C7143" s="47" t="s">
        <v>65</v>
      </c>
      <c r="D7143" s="332">
        <v>93.89</v>
      </c>
    </row>
    <row r="7144" spans="1:4" ht="30">
      <c r="A7144" s="28">
        <v>2587</v>
      </c>
      <c r="B7144" s="26" t="s">
        <v>3814</v>
      </c>
      <c r="C7144" s="28" t="s">
        <v>65</v>
      </c>
      <c r="D7144" s="329">
        <v>16</v>
      </c>
    </row>
    <row r="7145" spans="1:4" ht="30">
      <c r="A7145" s="47">
        <v>2588</v>
      </c>
      <c r="B7145" s="48" t="s">
        <v>3815</v>
      </c>
      <c r="C7145" s="47" t="s">
        <v>65</v>
      </c>
      <c r="D7145" s="332">
        <v>12.71</v>
      </c>
    </row>
    <row r="7146" spans="1:4" ht="30">
      <c r="A7146" s="28">
        <v>2569</v>
      </c>
      <c r="B7146" s="26" t="s">
        <v>3817</v>
      </c>
      <c r="C7146" s="28" t="s">
        <v>65</v>
      </c>
      <c r="D7146" s="329">
        <v>4.8899999999999997</v>
      </c>
    </row>
    <row r="7147" spans="1:4">
      <c r="A7147" s="47">
        <v>2570</v>
      </c>
      <c r="B7147" s="48" t="s">
        <v>3816</v>
      </c>
      <c r="C7147" s="47" t="s">
        <v>65</v>
      </c>
      <c r="D7147" s="332">
        <v>8.2100000000000009</v>
      </c>
    </row>
    <row r="7148" spans="1:4">
      <c r="A7148" s="28">
        <v>2571</v>
      </c>
      <c r="B7148" s="26" t="s">
        <v>3818</v>
      </c>
      <c r="C7148" s="28" t="s">
        <v>65</v>
      </c>
      <c r="D7148" s="329">
        <v>24.37</v>
      </c>
    </row>
    <row r="7149" spans="1:4" ht="30">
      <c r="A7149" s="47">
        <v>2593</v>
      </c>
      <c r="B7149" s="48" t="s">
        <v>3820</v>
      </c>
      <c r="C7149" s="47" t="s">
        <v>65</v>
      </c>
      <c r="D7149" s="332">
        <v>5.22</v>
      </c>
    </row>
    <row r="7150" spans="1:4">
      <c r="A7150" s="28">
        <v>2572</v>
      </c>
      <c r="B7150" s="26" t="s">
        <v>3819</v>
      </c>
      <c r="C7150" s="28" t="s">
        <v>65</v>
      </c>
      <c r="D7150" s="329">
        <v>72.069999999999993</v>
      </c>
    </row>
    <row r="7151" spans="1:4" ht="29.25" customHeight="1">
      <c r="A7151" s="47">
        <v>2595</v>
      </c>
      <c r="B7151" s="48" t="s">
        <v>3821</v>
      </c>
      <c r="C7151" s="47" t="s">
        <v>65</v>
      </c>
      <c r="D7151" s="332">
        <v>112.45</v>
      </c>
    </row>
    <row r="7152" spans="1:4" ht="30">
      <c r="A7152" s="28">
        <v>2576</v>
      </c>
      <c r="B7152" s="26" t="s">
        <v>3822</v>
      </c>
      <c r="C7152" s="28" t="s">
        <v>65</v>
      </c>
      <c r="D7152" s="329">
        <v>19.170000000000002</v>
      </c>
    </row>
    <row r="7153" spans="1:4" ht="30">
      <c r="A7153" s="47">
        <v>2575</v>
      </c>
      <c r="B7153" s="48" t="s">
        <v>3823</v>
      </c>
      <c r="C7153" s="47" t="s">
        <v>65</v>
      </c>
      <c r="D7153" s="332">
        <v>14.41</v>
      </c>
    </row>
    <row r="7154" spans="1:4">
      <c r="A7154" s="28">
        <v>2573</v>
      </c>
      <c r="B7154" s="26" t="s">
        <v>3825</v>
      </c>
      <c r="C7154" s="28" t="s">
        <v>65</v>
      </c>
      <c r="D7154" s="329">
        <v>5.98</v>
      </c>
    </row>
    <row r="7155" spans="1:4">
      <c r="A7155" s="47">
        <v>2586</v>
      </c>
      <c r="B7155" s="48" t="s">
        <v>3824</v>
      </c>
      <c r="C7155" s="47" t="s">
        <v>65</v>
      </c>
      <c r="D7155" s="332">
        <v>9.6999999999999993</v>
      </c>
    </row>
    <row r="7156" spans="1:4">
      <c r="A7156" s="28">
        <v>2577</v>
      </c>
      <c r="B7156" s="26" t="s">
        <v>3826</v>
      </c>
      <c r="C7156" s="28" t="s">
        <v>65</v>
      </c>
      <c r="D7156" s="329">
        <v>25.97</v>
      </c>
    </row>
    <row r="7157" spans="1:4">
      <c r="A7157" s="47">
        <v>2574</v>
      </c>
      <c r="B7157" s="48" t="s">
        <v>3828</v>
      </c>
      <c r="C7157" s="47" t="s">
        <v>65</v>
      </c>
      <c r="D7157" s="332">
        <v>6.02</v>
      </c>
    </row>
    <row r="7158" spans="1:4">
      <c r="A7158" s="28">
        <v>2578</v>
      </c>
      <c r="B7158" s="26" t="s">
        <v>3827</v>
      </c>
      <c r="C7158" s="28" t="s">
        <v>65</v>
      </c>
      <c r="D7158" s="329">
        <v>81.09</v>
      </c>
    </row>
    <row r="7159" spans="1:4">
      <c r="A7159" s="47">
        <v>2585</v>
      </c>
      <c r="B7159" s="48" t="s">
        <v>3829</v>
      </c>
      <c r="C7159" s="47" t="s">
        <v>65</v>
      </c>
      <c r="D7159" s="332">
        <v>111.28</v>
      </c>
    </row>
    <row r="7160" spans="1:4">
      <c r="A7160" s="28">
        <v>12008</v>
      </c>
      <c r="B7160" s="26" t="s">
        <v>3830</v>
      </c>
      <c r="C7160" s="28" t="s">
        <v>65</v>
      </c>
      <c r="D7160" s="329">
        <v>59.7</v>
      </c>
    </row>
    <row r="7161" spans="1:4" ht="30">
      <c r="A7161" s="47">
        <v>2582</v>
      </c>
      <c r="B7161" s="48" t="s">
        <v>3831</v>
      </c>
      <c r="C7161" s="47" t="s">
        <v>65</v>
      </c>
      <c r="D7161" s="332">
        <v>17.78</v>
      </c>
    </row>
    <row r="7162" spans="1:4" ht="30">
      <c r="A7162" s="28">
        <v>2597</v>
      </c>
      <c r="B7162" s="26" t="s">
        <v>3832</v>
      </c>
      <c r="C7162" s="28" t="s">
        <v>65</v>
      </c>
      <c r="D7162" s="329">
        <v>15.24</v>
      </c>
    </row>
    <row r="7163" spans="1:4">
      <c r="A7163" s="47">
        <v>2579</v>
      </c>
      <c r="B7163" s="48" t="s">
        <v>3834</v>
      </c>
      <c r="C7163" s="47" t="s">
        <v>65</v>
      </c>
      <c r="D7163" s="332">
        <v>7.25</v>
      </c>
    </row>
    <row r="7164" spans="1:4">
      <c r="A7164" s="28">
        <v>2581</v>
      </c>
      <c r="B7164" s="26" t="s">
        <v>3833</v>
      </c>
      <c r="C7164" s="28" t="s">
        <v>65</v>
      </c>
      <c r="D7164" s="329">
        <v>9.2799999999999994</v>
      </c>
    </row>
    <row r="7165" spans="1:4">
      <c r="A7165" s="47">
        <v>2596</v>
      </c>
      <c r="B7165" s="48" t="s">
        <v>3835</v>
      </c>
      <c r="C7165" s="47" t="s">
        <v>65</v>
      </c>
      <c r="D7165" s="332">
        <v>27.45</v>
      </c>
    </row>
    <row r="7166" spans="1:4">
      <c r="A7166" s="28">
        <v>2580</v>
      </c>
      <c r="B7166" s="26" t="s">
        <v>3837</v>
      </c>
      <c r="C7166" s="28" t="s">
        <v>65</v>
      </c>
      <c r="D7166" s="329">
        <v>7.95</v>
      </c>
    </row>
    <row r="7167" spans="1:4">
      <c r="A7167" s="47">
        <v>2583</v>
      </c>
      <c r="B7167" s="48" t="s">
        <v>3836</v>
      </c>
      <c r="C7167" s="47" t="s">
        <v>65</v>
      </c>
      <c r="D7167" s="332">
        <v>66.78</v>
      </c>
    </row>
    <row r="7168" spans="1:4">
      <c r="A7168" s="28">
        <v>2584</v>
      </c>
      <c r="B7168" s="26" t="s">
        <v>3838</v>
      </c>
      <c r="C7168" s="28" t="s">
        <v>65</v>
      </c>
      <c r="D7168" s="329">
        <v>111.17</v>
      </c>
    </row>
    <row r="7169" spans="1:4">
      <c r="A7169" s="47">
        <v>12010</v>
      </c>
      <c r="B7169" s="48" t="s">
        <v>3840</v>
      </c>
      <c r="C7169" s="47" t="s">
        <v>65</v>
      </c>
      <c r="D7169" s="332">
        <v>3.67</v>
      </c>
    </row>
    <row r="7170" spans="1:4">
      <c r="A7170" s="28">
        <v>39329</v>
      </c>
      <c r="B7170" s="26" t="s">
        <v>3839</v>
      </c>
      <c r="C7170" s="28" t="s">
        <v>65</v>
      </c>
      <c r="D7170" s="329">
        <v>3.84</v>
      </c>
    </row>
    <row r="7171" spans="1:4">
      <c r="A7171" s="47">
        <v>39330</v>
      </c>
      <c r="B7171" s="48" t="s">
        <v>3842</v>
      </c>
      <c r="C7171" s="47" t="s">
        <v>65</v>
      </c>
      <c r="D7171" s="332">
        <v>4.04</v>
      </c>
    </row>
    <row r="7172" spans="1:4">
      <c r="A7172" s="28">
        <v>39332</v>
      </c>
      <c r="B7172" s="26" t="s">
        <v>3841</v>
      </c>
      <c r="C7172" s="28" t="s">
        <v>65</v>
      </c>
      <c r="D7172" s="329">
        <v>4.51</v>
      </c>
    </row>
    <row r="7173" spans="1:4">
      <c r="A7173" s="47">
        <v>39331</v>
      </c>
      <c r="B7173" s="48" t="s">
        <v>3843</v>
      </c>
      <c r="C7173" s="47" t="s">
        <v>65</v>
      </c>
      <c r="D7173" s="332">
        <v>3.59</v>
      </c>
    </row>
    <row r="7174" spans="1:4">
      <c r="A7174" s="28">
        <v>39333</v>
      </c>
      <c r="B7174" s="26" t="s">
        <v>3845</v>
      </c>
      <c r="C7174" s="28" t="s">
        <v>65</v>
      </c>
      <c r="D7174" s="329">
        <v>3.5</v>
      </c>
    </row>
    <row r="7175" spans="1:4">
      <c r="A7175" s="47">
        <v>39335</v>
      </c>
      <c r="B7175" s="48" t="s">
        <v>3844</v>
      </c>
      <c r="C7175" s="47" t="s">
        <v>65</v>
      </c>
      <c r="D7175" s="332">
        <v>4.05</v>
      </c>
    </row>
    <row r="7176" spans="1:4">
      <c r="A7176" s="28">
        <v>39334</v>
      </c>
      <c r="B7176" s="26" t="s">
        <v>3846</v>
      </c>
      <c r="C7176" s="28" t="s">
        <v>65</v>
      </c>
      <c r="D7176" s="329">
        <v>3.22</v>
      </c>
    </row>
    <row r="7177" spans="1:4">
      <c r="A7177" s="47">
        <v>12016</v>
      </c>
      <c r="B7177" s="48" t="s">
        <v>3848</v>
      </c>
      <c r="C7177" s="47" t="s">
        <v>65</v>
      </c>
      <c r="D7177" s="332">
        <v>4.04</v>
      </c>
    </row>
    <row r="7178" spans="1:4">
      <c r="A7178" s="28">
        <v>12015</v>
      </c>
      <c r="B7178" s="26" t="s">
        <v>3847</v>
      </c>
      <c r="C7178" s="28" t="s">
        <v>65</v>
      </c>
      <c r="D7178" s="329">
        <v>4.71</v>
      </c>
    </row>
    <row r="7179" spans="1:4">
      <c r="A7179" s="47">
        <v>12020</v>
      </c>
      <c r="B7179" s="48" t="s">
        <v>3850</v>
      </c>
      <c r="C7179" s="47" t="s">
        <v>65</v>
      </c>
      <c r="D7179" s="332">
        <v>4.04</v>
      </c>
    </row>
    <row r="7180" spans="1:4">
      <c r="A7180" s="28">
        <v>12019</v>
      </c>
      <c r="B7180" s="26" t="s">
        <v>3849</v>
      </c>
      <c r="C7180" s="28" t="s">
        <v>65</v>
      </c>
      <c r="D7180" s="329">
        <v>4.71</v>
      </c>
    </row>
    <row r="7181" spans="1:4">
      <c r="A7181" s="47">
        <v>39336</v>
      </c>
      <c r="B7181" s="48" t="s">
        <v>3852</v>
      </c>
      <c r="C7181" s="47" t="s">
        <v>65</v>
      </c>
      <c r="D7181" s="332">
        <v>4.04</v>
      </c>
    </row>
    <row r="7182" spans="1:4">
      <c r="A7182" s="28">
        <v>39338</v>
      </c>
      <c r="B7182" s="26" t="s">
        <v>3851</v>
      </c>
      <c r="C7182" s="28" t="s">
        <v>65</v>
      </c>
      <c r="D7182" s="329">
        <v>4.51</v>
      </c>
    </row>
    <row r="7183" spans="1:4">
      <c r="A7183" s="47">
        <v>39337</v>
      </c>
      <c r="B7183" s="48" t="s">
        <v>3853</v>
      </c>
      <c r="C7183" s="47" t="s">
        <v>65</v>
      </c>
      <c r="D7183" s="332">
        <v>3.59</v>
      </c>
    </row>
    <row r="7184" spans="1:4">
      <c r="A7184" s="28">
        <v>39341</v>
      </c>
      <c r="B7184" s="26" t="s">
        <v>3854</v>
      </c>
      <c r="C7184" s="28" t="s">
        <v>65</v>
      </c>
      <c r="D7184" s="329">
        <v>5.88</v>
      </c>
    </row>
    <row r="7185" spans="1:4">
      <c r="A7185" s="47">
        <v>39340</v>
      </c>
      <c r="B7185" s="48" t="s">
        <v>3855</v>
      </c>
      <c r="C7185" s="47" t="s">
        <v>65</v>
      </c>
      <c r="D7185" s="332">
        <v>4.32</v>
      </c>
    </row>
    <row r="7186" spans="1:4">
      <c r="A7186" s="28">
        <v>12025</v>
      </c>
      <c r="B7186" s="26" t="s">
        <v>3857</v>
      </c>
      <c r="C7186" s="28" t="s">
        <v>65</v>
      </c>
      <c r="D7186" s="329">
        <v>4.46</v>
      </c>
    </row>
    <row r="7187" spans="1:4">
      <c r="A7187" s="47">
        <v>39342</v>
      </c>
      <c r="B7187" s="48" t="s">
        <v>3856</v>
      </c>
      <c r="C7187" s="47" t="s">
        <v>65</v>
      </c>
      <c r="D7187" s="332">
        <v>5.88</v>
      </c>
    </row>
    <row r="7188" spans="1:4">
      <c r="A7188" s="28">
        <v>39343</v>
      </c>
      <c r="B7188" s="26" t="s">
        <v>3859</v>
      </c>
      <c r="C7188" s="28" t="s">
        <v>65</v>
      </c>
      <c r="D7188" s="329">
        <v>4.97</v>
      </c>
    </row>
    <row r="7189" spans="1:4">
      <c r="A7189" s="47">
        <v>39345</v>
      </c>
      <c r="B7189" s="48" t="s">
        <v>3858</v>
      </c>
      <c r="C7189" s="47" t="s">
        <v>65</v>
      </c>
      <c r="D7189" s="332">
        <v>6.73</v>
      </c>
    </row>
    <row r="7190" spans="1:4">
      <c r="A7190" s="28">
        <v>39344</v>
      </c>
      <c r="B7190" s="26" t="s">
        <v>3860</v>
      </c>
      <c r="C7190" s="28" t="s">
        <v>65</v>
      </c>
      <c r="D7190" s="329">
        <v>4.8</v>
      </c>
    </row>
    <row r="7191" spans="1:4" ht="30">
      <c r="A7191" s="47">
        <v>12623</v>
      </c>
      <c r="B7191" s="48" t="s">
        <v>3861</v>
      </c>
      <c r="C7191" s="47" t="s">
        <v>71</v>
      </c>
      <c r="D7191" s="332">
        <v>10.199999999999999</v>
      </c>
    </row>
    <row r="7192" spans="1:4">
      <c r="A7192" s="28">
        <v>34498</v>
      </c>
      <c r="B7192" s="26" t="s">
        <v>3862</v>
      </c>
      <c r="C7192" s="28" t="s">
        <v>65</v>
      </c>
      <c r="D7192" s="329">
        <v>61.22</v>
      </c>
    </row>
    <row r="7193" spans="1:4">
      <c r="A7193" s="47">
        <v>13244</v>
      </c>
      <c r="B7193" s="48" t="s">
        <v>3863</v>
      </c>
      <c r="C7193" s="47" t="s">
        <v>65</v>
      </c>
      <c r="D7193" s="332">
        <v>25.77</v>
      </c>
    </row>
    <row r="7194" spans="1:4">
      <c r="A7194" s="28">
        <v>39862</v>
      </c>
      <c r="B7194" s="26" t="s">
        <v>3864</v>
      </c>
      <c r="C7194" s="28" t="s">
        <v>65</v>
      </c>
      <c r="D7194" s="329">
        <v>9.6300000000000008</v>
      </c>
    </row>
    <row r="7195" spans="1:4">
      <c r="A7195" s="47">
        <v>39863</v>
      </c>
      <c r="B7195" s="48" t="s">
        <v>3865</v>
      </c>
      <c r="C7195" s="47" t="s">
        <v>65</v>
      </c>
      <c r="D7195" s="332">
        <v>9.77</v>
      </c>
    </row>
    <row r="7196" spans="1:4">
      <c r="A7196" s="28">
        <v>39864</v>
      </c>
      <c r="B7196" s="26" t="s">
        <v>3866</v>
      </c>
      <c r="C7196" s="28" t="s">
        <v>65</v>
      </c>
      <c r="D7196" s="329">
        <v>12.12</v>
      </c>
    </row>
    <row r="7197" spans="1:4">
      <c r="A7197" s="47">
        <v>39865</v>
      </c>
      <c r="B7197" s="48" t="s">
        <v>3867</v>
      </c>
      <c r="C7197" s="47" t="s">
        <v>65</v>
      </c>
      <c r="D7197" s="332">
        <v>17.09</v>
      </c>
    </row>
    <row r="7198" spans="1:4" ht="30">
      <c r="A7198" s="28">
        <v>2517</v>
      </c>
      <c r="B7198" s="26" t="s">
        <v>3868</v>
      </c>
      <c r="C7198" s="28" t="s">
        <v>65</v>
      </c>
      <c r="D7198" s="329">
        <v>11.07</v>
      </c>
    </row>
    <row r="7199" spans="1:4" ht="30">
      <c r="A7199" s="47">
        <v>2522</v>
      </c>
      <c r="B7199" s="48" t="s">
        <v>3869</v>
      </c>
      <c r="C7199" s="47" t="s">
        <v>65</v>
      </c>
      <c r="D7199" s="332">
        <v>7.16</v>
      </c>
    </row>
    <row r="7200" spans="1:4" ht="30">
      <c r="A7200" s="28">
        <v>2548</v>
      </c>
      <c r="B7200" s="26" t="s">
        <v>3871</v>
      </c>
      <c r="C7200" s="28" t="s">
        <v>65</v>
      </c>
      <c r="D7200" s="329">
        <v>4.4000000000000004</v>
      </c>
    </row>
    <row r="7201" spans="1:4" ht="30">
      <c r="A7201" s="47">
        <v>2516</v>
      </c>
      <c r="B7201" s="48" t="s">
        <v>3870</v>
      </c>
      <c r="C7201" s="47" t="s">
        <v>65</v>
      </c>
      <c r="D7201" s="332">
        <v>5.74</v>
      </c>
    </row>
    <row r="7202" spans="1:4" ht="30">
      <c r="A7202" s="28">
        <v>2518</v>
      </c>
      <c r="B7202" s="26" t="s">
        <v>3872</v>
      </c>
      <c r="C7202" s="28" t="s">
        <v>65</v>
      </c>
      <c r="D7202" s="329">
        <v>52.72</v>
      </c>
    </row>
    <row r="7203" spans="1:4" ht="30">
      <c r="A7203" s="47">
        <v>2521</v>
      </c>
      <c r="B7203" s="48" t="s">
        <v>3873</v>
      </c>
      <c r="C7203" s="47" t="s">
        <v>65</v>
      </c>
      <c r="D7203" s="332">
        <v>22.44</v>
      </c>
    </row>
    <row r="7204" spans="1:4" ht="30">
      <c r="A7204" s="28">
        <v>2515</v>
      </c>
      <c r="B7204" s="26" t="s">
        <v>3875</v>
      </c>
      <c r="C7204" s="28" t="s">
        <v>65</v>
      </c>
      <c r="D7204" s="329">
        <v>4.78</v>
      </c>
    </row>
    <row r="7205" spans="1:4" ht="30">
      <c r="A7205" s="47">
        <v>2519</v>
      </c>
      <c r="B7205" s="48" t="s">
        <v>3874</v>
      </c>
      <c r="C7205" s="47" t="s">
        <v>65</v>
      </c>
      <c r="D7205" s="332">
        <v>63.57</v>
      </c>
    </row>
    <row r="7206" spans="1:4" ht="30">
      <c r="A7206" s="28">
        <v>2520</v>
      </c>
      <c r="B7206" s="26" t="s">
        <v>3876</v>
      </c>
      <c r="C7206" s="28" t="s">
        <v>65</v>
      </c>
      <c r="D7206" s="329">
        <v>117</v>
      </c>
    </row>
    <row r="7207" spans="1:4" ht="30">
      <c r="A7207" s="47">
        <v>1602</v>
      </c>
      <c r="B7207" s="48" t="s">
        <v>3877</v>
      </c>
      <c r="C7207" s="47" t="s">
        <v>65</v>
      </c>
      <c r="D7207" s="332">
        <v>20.98</v>
      </c>
    </row>
    <row r="7208" spans="1:4" ht="30">
      <c r="A7208" s="28">
        <v>1601</v>
      </c>
      <c r="B7208" s="26" t="s">
        <v>3878</v>
      </c>
      <c r="C7208" s="28" t="s">
        <v>65</v>
      </c>
      <c r="D7208" s="329">
        <v>18.7</v>
      </c>
    </row>
    <row r="7209" spans="1:4" ht="30">
      <c r="A7209" s="47">
        <v>1598</v>
      </c>
      <c r="B7209" s="48" t="s">
        <v>3879</v>
      </c>
      <c r="C7209" s="47" t="s">
        <v>65</v>
      </c>
      <c r="D7209" s="332">
        <v>5.53</v>
      </c>
    </row>
    <row r="7210" spans="1:4" ht="45">
      <c r="A7210" s="28">
        <v>1600</v>
      </c>
      <c r="B7210" s="26" t="s">
        <v>11268</v>
      </c>
      <c r="C7210" s="28" t="s">
        <v>65</v>
      </c>
      <c r="D7210" s="329">
        <v>8.17</v>
      </c>
    </row>
    <row r="7211" spans="1:4" ht="30">
      <c r="A7211" s="47">
        <v>1603</v>
      </c>
      <c r="B7211" s="48" t="s">
        <v>3880</v>
      </c>
      <c r="C7211" s="47" t="s">
        <v>65</v>
      </c>
      <c r="D7211" s="332">
        <v>31.68</v>
      </c>
    </row>
    <row r="7212" spans="1:4" ht="30">
      <c r="A7212" s="28">
        <v>1599</v>
      </c>
      <c r="B7212" s="26" t="s">
        <v>3881</v>
      </c>
      <c r="C7212" s="28" t="s">
        <v>65</v>
      </c>
      <c r="D7212" s="329">
        <v>6.42</v>
      </c>
    </row>
    <row r="7213" spans="1:4" ht="30">
      <c r="A7213" s="47">
        <v>1597</v>
      </c>
      <c r="B7213" s="48" t="s">
        <v>3882</v>
      </c>
      <c r="C7213" s="47" t="s">
        <v>65</v>
      </c>
      <c r="D7213" s="332">
        <v>5.2</v>
      </c>
    </row>
    <row r="7214" spans="1:4" ht="30">
      <c r="A7214" s="28">
        <v>11821</v>
      </c>
      <c r="B7214" s="26" t="s">
        <v>3894</v>
      </c>
      <c r="C7214" s="28" t="s">
        <v>65</v>
      </c>
      <c r="D7214" s="329">
        <v>4.2699999999999996</v>
      </c>
    </row>
    <row r="7215" spans="1:4" ht="30">
      <c r="A7215" s="47">
        <v>1562</v>
      </c>
      <c r="B7215" s="48" t="s">
        <v>3895</v>
      </c>
      <c r="C7215" s="47" t="s">
        <v>65</v>
      </c>
      <c r="D7215" s="332">
        <v>7</v>
      </c>
    </row>
    <row r="7216" spans="1:4" ht="30">
      <c r="A7216" s="28">
        <v>1563</v>
      </c>
      <c r="B7216" s="26" t="s">
        <v>3896</v>
      </c>
      <c r="C7216" s="28" t="s">
        <v>65</v>
      </c>
      <c r="D7216" s="329">
        <v>9.39</v>
      </c>
    </row>
    <row r="7217" spans="1:4">
      <c r="A7217" s="47">
        <v>11856</v>
      </c>
      <c r="B7217" s="48" t="s">
        <v>3897</v>
      </c>
      <c r="C7217" s="47" t="s">
        <v>65</v>
      </c>
      <c r="D7217" s="332">
        <v>2.8</v>
      </c>
    </row>
    <row r="7218" spans="1:4">
      <c r="A7218" s="28">
        <v>11857</v>
      </c>
      <c r="B7218" s="26" t="s">
        <v>3898</v>
      </c>
      <c r="C7218" s="28" t="s">
        <v>65</v>
      </c>
      <c r="D7218" s="329">
        <v>14.73</v>
      </c>
    </row>
    <row r="7219" spans="1:4">
      <c r="A7219" s="47">
        <v>11858</v>
      </c>
      <c r="B7219" s="48" t="s">
        <v>3899</v>
      </c>
      <c r="C7219" s="47" t="s">
        <v>65</v>
      </c>
      <c r="D7219" s="332">
        <v>18.29</v>
      </c>
    </row>
    <row r="7220" spans="1:4">
      <c r="A7220" s="28">
        <v>1539</v>
      </c>
      <c r="B7220" s="26" t="s">
        <v>3900</v>
      </c>
      <c r="C7220" s="28" t="s">
        <v>65</v>
      </c>
      <c r="D7220" s="329">
        <v>3.29</v>
      </c>
    </row>
    <row r="7221" spans="1:4">
      <c r="A7221" s="47">
        <v>11859</v>
      </c>
      <c r="B7221" s="48" t="s">
        <v>3901</v>
      </c>
      <c r="C7221" s="47" t="s">
        <v>65</v>
      </c>
      <c r="D7221" s="332">
        <v>24.88</v>
      </c>
    </row>
    <row r="7222" spans="1:4">
      <c r="A7222" s="28">
        <v>1550</v>
      </c>
      <c r="B7222" s="26" t="s">
        <v>3902</v>
      </c>
      <c r="C7222" s="28" t="s">
        <v>65</v>
      </c>
      <c r="D7222" s="329">
        <v>3.47</v>
      </c>
    </row>
    <row r="7223" spans="1:4">
      <c r="A7223" s="47">
        <v>11854</v>
      </c>
      <c r="B7223" s="48" t="s">
        <v>3903</v>
      </c>
      <c r="C7223" s="47" t="s">
        <v>65</v>
      </c>
      <c r="D7223" s="332">
        <v>4.33</v>
      </c>
    </row>
    <row r="7224" spans="1:4">
      <c r="A7224" s="28">
        <v>11862</v>
      </c>
      <c r="B7224" s="26" t="s">
        <v>3904</v>
      </c>
      <c r="C7224" s="28" t="s">
        <v>65</v>
      </c>
      <c r="D7224" s="329">
        <v>6.08</v>
      </c>
    </row>
    <row r="7225" spans="1:4">
      <c r="A7225" s="47">
        <v>11863</v>
      </c>
      <c r="B7225" s="48" t="s">
        <v>3905</v>
      </c>
      <c r="C7225" s="47" t="s">
        <v>65</v>
      </c>
      <c r="D7225" s="332">
        <v>2.4500000000000002</v>
      </c>
    </row>
    <row r="7226" spans="1:4">
      <c r="A7226" s="28">
        <v>11855</v>
      </c>
      <c r="B7226" s="26" t="s">
        <v>3906</v>
      </c>
      <c r="C7226" s="28" t="s">
        <v>65</v>
      </c>
      <c r="D7226" s="329">
        <v>9.08</v>
      </c>
    </row>
    <row r="7227" spans="1:4">
      <c r="A7227" s="47">
        <v>11864</v>
      </c>
      <c r="B7227" s="48" t="s">
        <v>3907</v>
      </c>
      <c r="C7227" s="47" t="s">
        <v>65</v>
      </c>
      <c r="D7227" s="332">
        <v>13.73</v>
      </c>
    </row>
    <row r="7228" spans="1:4" ht="30">
      <c r="A7228" s="28">
        <v>2527</v>
      </c>
      <c r="B7228" s="26" t="s">
        <v>3910</v>
      </c>
      <c r="C7228" s="28" t="s">
        <v>65</v>
      </c>
      <c r="D7228" s="329">
        <v>3.96</v>
      </c>
    </row>
    <row r="7229" spans="1:4" ht="30">
      <c r="A7229" s="47">
        <v>2526</v>
      </c>
      <c r="B7229" s="48" t="s">
        <v>3911</v>
      </c>
      <c r="C7229" s="47" t="s">
        <v>65</v>
      </c>
      <c r="D7229" s="332">
        <v>2.54</v>
      </c>
    </row>
    <row r="7230" spans="1:4" ht="30">
      <c r="A7230" s="28">
        <v>2487</v>
      </c>
      <c r="B7230" s="26" t="s">
        <v>3913</v>
      </c>
      <c r="C7230" s="28" t="s">
        <v>65</v>
      </c>
      <c r="D7230" s="329">
        <v>0.86</v>
      </c>
    </row>
    <row r="7231" spans="1:4" ht="30">
      <c r="A7231" s="47">
        <v>2483</v>
      </c>
      <c r="B7231" s="48" t="s">
        <v>3912</v>
      </c>
      <c r="C7231" s="47" t="s">
        <v>65</v>
      </c>
      <c r="D7231" s="332">
        <v>1.8</v>
      </c>
    </row>
    <row r="7232" spans="1:4" ht="30">
      <c r="A7232" s="28">
        <v>2528</v>
      </c>
      <c r="B7232" s="26" t="s">
        <v>3914</v>
      </c>
      <c r="C7232" s="28" t="s">
        <v>65</v>
      </c>
      <c r="D7232" s="329">
        <v>9.9700000000000006</v>
      </c>
    </row>
    <row r="7233" spans="1:4" ht="30">
      <c r="A7233" s="47">
        <v>2489</v>
      </c>
      <c r="B7233" s="48" t="s">
        <v>3915</v>
      </c>
      <c r="C7233" s="47" t="s">
        <v>65</v>
      </c>
      <c r="D7233" s="332">
        <v>4.3899999999999997</v>
      </c>
    </row>
    <row r="7234" spans="1:4" ht="30">
      <c r="A7234" s="28">
        <v>2488</v>
      </c>
      <c r="B7234" s="26" t="s">
        <v>3917</v>
      </c>
      <c r="C7234" s="28" t="s">
        <v>65</v>
      </c>
      <c r="D7234" s="329">
        <v>1.01</v>
      </c>
    </row>
    <row r="7235" spans="1:4" ht="30">
      <c r="A7235" s="47">
        <v>2484</v>
      </c>
      <c r="B7235" s="48" t="s">
        <v>3916</v>
      </c>
      <c r="C7235" s="47" t="s">
        <v>65</v>
      </c>
      <c r="D7235" s="332">
        <v>14.49</v>
      </c>
    </row>
    <row r="7236" spans="1:4" ht="29.25" customHeight="1">
      <c r="A7236" s="28">
        <v>2485</v>
      </c>
      <c r="B7236" s="26" t="s">
        <v>3918</v>
      </c>
      <c r="C7236" s="28" t="s">
        <v>65</v>
      </c>
      <c r="D7236" s="329">
        <v>22.71</v>
      </c>
    </row>
    <row r="7237" spans="1:4">
      <c r="A7237" s="47">
        <v>38005</v>
      </c>
      <c r="B7237" s="48" t="s">
        <v>3919</v>
      </c>
      <c r="C7237" s="47" t="s">
        <v>65</v>
      </c>
      <c r="D7237" s="332">
        <v>15.97</v>
      </c>
    </row>
    <row r="7238" spans="1:4" ht="57.75" customHeight="1">
      <c r="A7238" s="28">
        <v>38006</v>
      </c>
      <c r="B7238" s="26" t="s">
        <v>3920</v>
      </c>
      <c r="C7238" s="28" t="s">
        <v>65</v>
      </c>
      <c r="D7238" s="329">
        <v>19.600000000000001</v>
      </c>
    </row>
    <row r="7239" spans="1:4">
      <c r="A7239" s="47">
        <v>38428</v>
      </c>
      <c r="B7239" s="48" t="s">
        <v>3921</v>
      </c>
      <c r="C7239" s="47" t="s">
        <v>65</v>
      </c>
      <c r="D7239" s="332">
        <v>18.36</v>
      </c>
    </row>
    <row r="7240" spans="1:4">
      <c r="A7240" s="28">
        <v>38007</v>
      </c>
      <c r="B7240" s="26" t="s">
        <v>3922</v>
      </c>
      <c r="C7240" s="28" t="s">
        <v>65</v>
      </c>
      <c r="D7240" s="329">
        <v>29.99</v>
      </c>
    </row>
    <row r="7241" spans="1:4">
      <c r="A7241" s="47">
        <v>38008</v>
      </c>
      <c r="B7241" s="48" t="s">
        <v>3923</v>
      </c>
      <c r="C7241" s="47" t="s">
        <v>65</v>
      </c>
      <c r="D7241" s="332">
        <v>120.8</v>
      </c>
    </row>
    <row r="7242" spans="1:4">
      <c r="A7242" s="28">
        <v>38009</v>
      </c>
      <c r="B7242" s="26" t="s">
        <v>3924</v>
      </c>
      <c r="C7242" s="28" t="s">
        <v>65</v>
      </c>
      <c r="D7242" s="329">
        <v>147.63999999999999</v>
      </c>
    </row>
    <row r="7243" spans="1:4" ht="30">
      <c r="A7243" s="47">
        <v>1607</v>
      </c>
      <c r="B7243" s="48" t="s">
        <v>3940</v>
      </c>
      <c r="C7243" s="47" t="s">
        <v>105</v>
      </c>
      <c r="D7243" s="332">
        <v>0.13</v>
      </c>
    </row>
    <row r="7244" spans="1:4" ht="30">
      <c r="A7244" s="28">
        <v>11467</v>
      </c>
      <c r="B7244" s="26" t="s">
        <v>3941</v>
      </c>
      <c r="C7244" s="28" t="s">
        <v>65</v>
      </c>
      <c r="D7244" s="329">
        <v>15.95</v>
      </c>
    </row>
    <row r="7245" spans="1:4" ht="30">
      <c r="A7245" s="47">
        <v>38169</v>
      </c>
      <c r="B7245" s="48" t="s">
        <v>3942</v>
      </c>
      <c r="C7245" s="47" t="s">
        <v>105</v>
      </c>
      <c r="D7245" s="332">
        <v>50.98</v>
      </c>
    </row>
    <row r="7246" spans="1:4" ht="30">
      <c r="A7246" s="28">
        <v>12612</v>
      </c>
      <c r="B7246" s="26" t="s">
        <v>3943</v>
      </c>
      <c r="C7246" s="28" t="s">
        <v>65</v>
      </c>
      <c r="D7246" s="329">
        <v>4.3499999999999996</v>
      </c>
    </row>
    <row r="7247" spans="1:4" ht="30">
      <c r="A7247" s="47">
        <v>6142</v>
      </c>
      <c r="B7247" s="48" t="s">
        <v>3944</v>
      </c>
      <c r="C7247" s="47" t="s">
        <v>65</v>
      </c>
      <c r="D7247" s="332">
        <v>4.9000000000000004</v>
      </c>
    </row>
    <row r="7248" spans="1:4" ht="30">
      <c r="A7248" s="28">
        <v>11686</v>
      </c>
      <c r="B7248" s="26" t="s">
        <v>3945</v>
      </c>
      <c r="C7248" s="28" t="s">
        <v>65</v>
      </c>
      <c r="D7248" s="329">
        <v>6.8</v>
      </c>
    </row>
    <row r="7249" spans="1:4" ht="30">
      <c r="A7249" s="47">
        <v>37598</v>
      </c>
      <c r="B7249" s="48" t="s">
        <v>3951</v>
      </c>
      <c r="C7249" s="47" t="s">
        <v>65</v>
      </c>
      <c r="D7249" s="332">
        <v>18.899999999999999</v>
      </c>
    </row>
    <row r="7250" spans="1:4" ht="45">
      <c r="A7250" s="28">
        <v>25398</v>
      </c>
      <c r="B7250" s="26" t="s">
        <v>3952</v>
      </c>
      <c r="C7250" s="28" t="s">
        <v>65</v>
      </c>
      <c r="D7250" s="329">
        <v>2617.77</v>
      </c>
    </row>
    <row r="7251" spans="1:4" ht="45">
      <c r="A7251" s="47">
        <v>25399</v>
      </c>
      <c r="B7251" s="48" t="s">
        <v>3953</v>
      </c>
      <c r="C7251" s="47" t="s">
        <v>65</v>
      </c>
      <c r="D7251" s="332">
        <v>1589.21</v>
      </c>
    </row>
    <row r="7252" spans="1:4" ht="60">
      <c r="A7252" s="28">
        <v>1383</v>
      </c>
      <c r="B7252" s="26" t="s">
        <v>3954</v>
      </c>
      <c r="C7252" s="28" t="s">
        <v>57</v>
      </c>
      <c r="D7252" s="329">
        <v>2.7</v>
      </c>
    </row>
    <row r="7253" spans="1:4" ht="30">
      <c r="A7253" s="47">
        <v>10667</v>
      </c>
      <c r="B7253" s="48" t="s">
        <v>11269</v>
      </c>
      <c r="C7253" s="47" t="s">
        <v>65</v>
      </c>
      <c r="D7253" s="332">
        <v>8755</v>
      </c>
    </row>
    <row r="7254" spans="1:4" ht="30">
      <c r="A7254" s="28">
        <v>10775</v>
      </c>
      <c r="B7254" s="26" t="s">
        <v>3955</v>
      </c>
      <c r="C7254" s="28" t="s">
        <v>1643</v>
      </c>
      <c r="D7254" s="329">
        <v>515</v>
      </c>
    </row>
    <row r="7255" spans="1:4" ht="30">
      <c r="A7255" s="47">
        <v>10776</v>
      </c>
      <c r="B7255" s="48" t="s">
        <v>3956</v>
      </c>
      <c r="C7255" s="47" t="s">
        <v>1643</v>
      </c>
      <c r="D7255" s="332">
        <v>402.34</v>
      </c>
    </row>
    <row r="7256" spans="1:4" ht="30">
      <c r="A7256" s="28">
        <v>10779</v>
      </c>
      <c r="B7256" s="26" t="s">
        <v>3957</v>
      </c>
      <c r="C7256" s="28" t="s">
        <v>1643</v>
      </c>
      <c r="D7256" s="329">
        <v>643.75</v>
      </c>
    </row>
    <row r="7257" spans="1:4" ht="30">
      <c r="A7257" s="47">
        <v>10777</v>
      </c>
      <c r="B7257" s="48" t="s">
        <v>3958</v>
      </c>
      <c r="C7257" s="47" t="s">
        <v>1643</v>
      </c>
      <c r="D7257" s="332">
        <v>584.73</v>
      </c>
    </row>
    <row r="7258" spans="1:4" ht="30">
      <c r="A7258" s="28">
        <v>10778</v>
      </c>
      <c r="B7258" s="26" t="s">
        <v>3959</v>
      </c>
      <c r="C7258" s="28" t="s">
        <v>1643</v>
      </c>
      <c r="D7258" s="329">
        <v>643.75</v>
      </c>
    </row>
    <row r="7259" spans="1:4" ht="30">
      <c r="A7259" s="47">
        <v>1613</v>
      </c>
      <c r="B7259" s="48" t="s">
        <v>3964</v>
      </c>
      <c r="C7259" s="47" t="s">
        <v>65</v>
      </c>
      <c r="D7259" s="332">
        <v>752.71</v>
      </c>
    </row>
    <row r="7260" spans="1:4" ht="30">
      <c r="A7260" s="28">
        <v>1626</v>
      </c>
      <c r="B7260" s="26" t="s">
        <v>3965</v>
      </c>
      <c r="C7260" s="28" t="s">
        <v>65</v>
      </c>
      <c r="D7260" s="329">
        <v>1125.78</v>
      </c>
    </row>
    <row r="7261" spans="1:4" ht="30">
      <c r="A7261" s="47">
        <v>1625</v>
      </c>
      <c r="B7261" s="48" t="s">
        <v>3966</v>
      </c>
      <c r="C7261" s="47" t="s">
        <v>65</v>
      </c>
      <c r="D7261" s="332">
        <v>78.63</v>
      </c>
    </row>
    <row r="7262" spans="1:4" ht="30">
      <c r="A7262" s="28">
        <v>1622</v>
      </c>
      <c r="B7262" s="26" t="s">
        <v>3967</v>
      </c>
      <c r="C7262" s="28" t="s">
        <v>65</v>
      </c>
      <c r="D7262" s="329">
        <v>2540.42</v>
      </c>
    </row>
    <row r="7263" spans="1:4" ht="30">
      <c r="A7263" s="47">
        <v>1620</v>
      </c>
      <c r="B7263" s="48" t="s">
        <v>3968</v>
      </c>
      <c r="C7263" s="47" t="s">
        <v>65</v>
      </c>
      <c r="D7263" s="332">
        <v>165.64</v>
      </c>
    </row>
    <row r="7264" spans="1:4" ht="30">
      <c r="A7264" s="28">
        <v>1629</v>
      </c>
      <c r="B7264" s="26" t="s">
        <v>3969</v>
      </c>
      <c r="C7264" s="28" t="s">
        <v>65</v>
      </c>
      <c r="D7264" s="329">
        <v>6182.78</v>
      </c>
    </row>
    <row r="7265" spans="1:4" ht="30">
      <c r="A7265" s="47">
        <v>1627</v>
      </c>
      <c r="B7265" s="48" t="s">
        <v>3970</v>
      </c>
      <c r="C7265" s="47" t="s">
        <v>65</v>
      </c>
      <c r="D7265" s="332">
        <v>316.61</v>
      </c>
    </row>
    <row r="7266" spans="1:4" ht="30">
      <c r="A7266" s="28">
        <v>1623</v>
      </c>
      <c r="B7266" s="26" t="s">
        <v>3971</v>
      </c>
      <c r="C7266" s="28" t="s">
        <v>65</v>
      </c>
      <c r="D7266" s="329">
        <v>64.12</v>
      </c>
    </row>
    <row r="7267" spans="1:4" ht="30">
      <c r="A7267" s="47">
        <v>1619</v>
      </c>
      <c r="B7267" s="48" t="s">
        <v>3972</v>
      </c>
      <c r="C7267" s="47" t="s">
        <v>65</v>
      </c>
      <c r="D7267" s="332">
        <v>88.21</v>
      </c>
    </row>
    <row r="7268" spans="1:4" ht="30">
      <c r="A7268" s="28">
        <v>1630</v>
      </c>
      <c r="B7268" s="26" t="s">
        <v>3973</v>
      </c>
      <c r="C7268" s="28" t="s">
        <v>65</v>
      </c>
      <c r="D7268" s="329">
        <v>1942.2</v>
      </c>
    </row>
    <row r="7269" spans="1:4" ht="30">
      <c r="A7269" s="47">
        <v>1616</v>
      </c>
      <c r="B7269" s="48" t="s">
        <v>3974</v>
      </c>
      <c r="C7269" s="47" t="s">
        <v>65</v>
      </c>
      <c r="D7269" s="332">
        <v>2987.14</v>
      </c>
    </row>
    <row r="7270" spans="1:4" ht="30">
      <c r="A7270" s="28">
        <v>1614</v>
      </c>
      <c r="B7270" s="26" t="s">
        <v>3975</v>
      </c>
      <c r="C7270" s="28" t="s">
        <v>65</v>
      </c>
      <c r="D7270" s="329">
        <v>136.52000000000001</v>
      </c>
    </row>
    <row r="7271" spans="1:4" ht="30">
      <c r="A7271" s="47">
        <v>1617</v>
      </c>
      <c r="B7271" s="48" t="s">
        <v>3976</v>
      </c>
      <c r="C7271" s="47" t="s">
        <v>65</v>
      </c>
      <c r="D7271" s="332">
        <v>3566</v>
      </c>
    </row>
    <row r="7272" spans="1:4" ht="30">
      <c r="A7272" s="28">
        <v>1621</v>
      </c>
      <c r="B7272" s="26" t="s">
        <v>3977</v>
      </c>
      <c r="C7272" s="28" t="s">
        <v>65</v>
      </c>
      <c r="D7272" s="329">
        <v>244.16</v>
      </c>
    </row>
    <row r="7273" spans="1:4" ht="30">
      <c r="A7273" s="47">
        <v>1624</v>
      </c>
      <c r="B7273" s="48" t="s">
        <v>3978</v>
      </c>
      <c r="C7273" s="47" t="s">
        <v>65</v>
      </c>
      <c r="D7273" s="332">
        <v>8765.41</v>
      </c>
    </row>
    <row r="7274" spans="1:4" ht="30">
      <c r="A7274" s="28">
        <v>1615</v>
      </c>
      <c r="B7274" s="26" t="s">
        <v>3979</v>
      </c>
      <c r="C7274" s="28" t="s">
        <v>65</v>
      </c>
      <c r="D7274" s="329">
        <v>458.51</v>
      </c>
    </row>
    <row r="7275" spans="1:4" ht="30">
      <c r="A7275" s="47">
        <v>1612</v>
      </c>
      <c r="B7275" s="48" t="s">
        <v>3980</v>
      </c>
      <c r="C7275" s="47" t="s">
        <v>65</v>
      </c>
      <c r="D7275" s="332">
        <v>60.39</v>
      </c>
    </row>
    <row r="7276" spans="1:4" ht="30">
      <c r="A7276" s="28">
        <v>1618</v>
      </c>
      <c r="B7276" s="26" t="s">
        <v>3981</v>
      </c>
      <c r="C7276" s="28" t="s">
        <v>65</v>
      </c>
      <c r="D7276" s="329">
        <v>630.05999999999995</v>
      </c>
    </row>
    <row r="7277" spans="1:4">
      <c r="A7277" s="47">
        <v>14211</v>
      </c>
      <c r="B7277" s="48" t="s">
        <v>3983</v>
      </c>
      <c r="C7277" s="47" t="s">
        <v>65</v>
      </c>
      <c r="D7277" s="332">
        <v>36.549999999999997</v>
      </c>
    </row>
    <row r="7278" spans="1:4">
      <c r="A7278" s="28">
        <v>40934</v>
      </c>
      <c r="B7278" s="26" t="s">
        <v>4060</v>
      </c>
      <c r="C7278" s="28" t="s">
        <v>1643</v>
      </c>
      <c r="D7278" s="329">
        <v>24362.86</v>
      </c>
    </row>
    <row r="7279" spans="1:4">
      <c r="A7279" s="47">
        <v>34500</v>
      </c>
      <c r="B7279" s="48" t="s">
        <v>4061</v>
      </c>
      <c r="C7279" s="47" t="s">
        <v>57</v>
      </c>
      <c r="D7279" s="332">
        <v>138.36000000000001</v>
      </c>
    </row>
    <row r="7280" spans="1:4">
      <c r="A7280" s="28">
        <v>5328</v>
      </c>
      <c r="B7280" s="26" t="s">
        <v>4062</v>
      </c>
      <c r="C7280" s="28" t="s">
        <v>65</v>
      </c>
      <c r="D7280" s="329">
        <v>3.3</v>
      </c>
    </row>
    <row r="7281" spans="1:4">
      <c r="A7281" s="47">
        <v>38200</v>
      </c>
      <c r="B7281" s="48" t="s">
        <v>4063</v>
      </c>
      <c r="C7281" s="47" t="s">
        <v>155</v>
      </c>
      <c r="D7281" s="332">
        <v>421.7</v>
      </c>
    </row>
    <row r="7282" spans="1:4" ht="30">
      <c r="A7282" s="28">
        <v>39269</v>
      </c>
      <c r="B7282" s="26" t="s">
        <v>4064</v>
      </c>
      <c r="C7282" s="28" t="s">
        <v>71</v>
      </c>
      <c r="D7282" s="329">
        <v>0.69</v>
      </c>
    </row>
    <row r="7283" spans="1:4" ht="30">
      <c r="A7283" s="47">
        <v>11889</v>
      </c>
      <c r="B7283" s="48" t="s">
        <v>4065</v>
      </c>
      <c r="C7283" s="47" t="s">
        <v>71</v>
      </c>
      <c r="D7283" s="332">
        <v>0.96</v>
      </c>
    </row>
    <row r="7284" spans="1:4" ht="30">
      <c r="A7284" s="28">
        <v>39270</v>
      </c>
      <c r="B7284" s="26" t="s">
        <v>4066</v>
      </c>
      <c r="C7284" s="28" t="s">
        <v>71</v>
      </c>
      <c r="D7284" s="329">
        <v>1.1399999999999999</v>
      </c>
    </row>
    <row r="7285" spans="1:4" ht="30">
      <c r="A7285" s="47">
        <v>11890</v>
      </c>
      <c r="B7285" s="48" t="s">
        <v>4067</v>
      </c>
      <c r="C7285" s="47" t="s">
        <v>71</v>
      </c>
      <c r="D7285" s="332">
        <v>1.49</v>
      </c>
    </row>
    <row r="7286" spans="1:4" ht="30">
      <c r="A7286" s="28">
        <v>11891</v>
      </c>
      <c r="B7286" s="26" t="s">
        <v>4068</v>
      </c>
      <c r="C7286" s="28" t="s">
        <v>71</v>
      </c>
      <c r="D7286" s="329">
        <v>2.4500000000000002</v>
      </c>
    </row>
    <row r="7287" spans="1:4" ht="30">
      <c r="A7287" s="47">
        <v>11892</v>
      </c>
      <c r="B7287" s="48" t="s">
        <v>4069</v>
      </c>
      <c r="C7287" s="47" t="s">
        <v>71</v>
      </c>
      <c r="D7287" s="332">
        <v>3.78</v>
      </c>
    </row>
    <row r="7288" spans="1:4">
      <c r="A7288" s="28">
        <v>37601</v>
      </c>
      <c r="B7288" s="26" t="s">
        <v>4070</v>
      </c>
      <c r="C7288" s="28" t="s">
        <v>71</v>
      </c>
      <c r="D7288" s="329">
        <v>4.2</v>
      </c>
    </row>
    <row r="7289" spans="1:4">
      <c r="A7289" s="47">
        <v>1634</v>
      </c>
      <c r="B7289" s="48" t="s">
        <v>4071</v>
      </c>
      <c r="C7289" s="47" t="s">
        <v>71</v>
      </c>
      <c r="D7289" s="332">
        <v>4.33</v>
      </c>
    </row>
    <row r="7290" spans="1:4" ht="30">
      <c r="A7290" s="28">
        <v>5086</v>
      </c>
      <c r="B7290" s="26" t="s">
        <v>4078</v>
      </c>
      <c r="C7290" s="28" t="s">
        <v>90</v>
      </c>
      <c r="D7290" s="329">
        <v>21.1</v>
      </c>
    </row>
    <row r="7291" spans="1:4" ht="30">
      <c r="A7291" s="47">
        <v>11280</v>
      </c>
      <c r="B7291" s="48" t="s">
        <v>4084</v>
      </c>
      <c r="C7291" s="47" t="s">
        <v>65</v>
      </c>
      <c r="D7291" s="332">
        <v>7957.76</v>
      </c>
    </row>
    <row r="7292" spans="1:4" ht="30">
      <c r="A7292" s="28">
        <v>40519</v>
      </c>
      <c r="B7292" s="26" t="s">
        <v>4085</v>
      </c>
      <c r="C7292" s="28" t="s">
        <v>65</v>
      </c>
      <c r="D7292" s="329">
        <v>65601.070000000007</v>
      </c>
    </row>
    <row r="7293" spans="1:4">
      <c r="A7293" s="47">
        <v>39869</v>
      </c>
      <c r="B7293" s="48" t="s">
        <v>4161</v>
      </c>
      <c r="C7293" s="47" t="s">
        <v>65</v>
      </c>
      <c r="D7293" s="332">
        <v>9.57</v>
      </c>
    </row>
    <row r="7294" spans="1:4">
      <c r="A7294" s="28">
        <v>39870</v>
      </c>
      <c r="B7294" s="26" t="s">
        <v>4162</v>
      </c>
      <c r="C7294" s="28" t="s">
        <v>65</v>
      </c>
      <c r="D7294" s="329">
        <v>14.63</v>
      </c>
    </row>
    <row r="7295" spans="1:4">
      <c r="A7295" s="47">
        <v>39871</v>
      </c>
      <c r="B7295" s="48" t="s">
        <v>4163</v>
      </c>
      <c r="C7295" s="47" t="s">
        <v>65</v>
      </c>
      <c r="D7295" s="332">
        <v>16.41</v>
      </c>
    </row>
    <row r="7296" spans="1:4">
      <c r="A7296" s="28">
        <v>12722</v>
      </c>
      <c r="B7296" s="26" t="s">
        <v>4164</v>
      </c>
      <c r="C7296" s="28" t="s">
        <v>65</v>
      </c>
      <c r="D7296" s="329">
        <v>549.04</v>
      </c>
    </row>
    <row r="7297" spans="1:4">
      <c r="A7297" s="47">
        <v>12714</v>
      </c>
      <c r="B7297" s="48" t="s">
        <v>4165</v>
      </c>
      <c r="C7297" s="47" t="s">
        <v>65</v>
      </c>
      <c r="D7297" s="332">
        <v>3.58</v>
      </c>
    </row>
    <row r="7298" spans="1:4">
      <c r="A7298" s="28">
        <v>12715</v>
      </c>
      <c r="B7298" s="26" t="s">
        <v>4166</v>
      </c>
      <c r="C7298" s="28" t="s">
        <v>65</v>
      </c>
      <c r="D7298" s="329">
        <v>8.09</v>
      </c>
    </row>
    <row r="7299" spans="1:4">
      <c r="A7299" s="47">
        <v>12716</v>
      </c>
      <c r="B7299" s="48" t="s">
        <v>4167</v>
      </c>
      <c r="C7299" s="47" t="s">
        <v>65</v>
      </c>
      <c r="D7299" s="332">
        <v>13.89</v>
      </c>
    </row>
    <row r="7300" spans="1:4">
      <c r="A7300" s="28">
        <v>12717</v>
      </c>
      <c r="B7300" s="26" t="s">
        <v>4168</v>
      </c>
      <c r="C7300" s="28" t="s">
        <v>65</v>
      </c>
      <c r="D7300" s="329">
        <v>27.31</v>
      </c>
    </row>
    <row r="7301" spans="1:4">
      <c r="A7301" s="47">
        <v>12718</v>
      </c>
      <c r="B7301" s="48" t="s">
        <v>4169</v>
      </c>
      <c r="C7301" s="47" t="s">
        <v>65</v>
      </c>
      <c r="D7301" s="332">
        <v>41.92</v>
      </c>
    </row>
    <row r="7302" spans="1:4">
      <c r="A7302" s="28">
        <v>12719</v>
      </c>
      <c r="B7302" s="26" t="s">
        <v>4170</v>
      </c>
      <c r="C7302" s="28" t="s">
        <v>65</v>
      </c>
      <c r="D7302" s="329">
        <v>66.540000000000006</v>
      </c>
    </row>
    <row r="7303" spans="1:4">
      <c r="A7303" s="47">
        <v>12720</v>
      </c>
      <c r="B7303" s="48" t="s">
        <v>4171</v>
      </c>
      <c r="C7303" s="47" t="s">
        <v>65</v>
      </c>
      <c r="D7303" s="332">
        <v>231.71</v>
      </c>
    </row>
    <row r="7304" spans="1:4">
      <c r="A7304" s="28">
        <v>12721</v>
      </c>
      <c r="B7304" s="26" t="s">
        <v>4172</v>
      </c>
      <c r="C7304" s="28" t="s">
        <v>65</v>
      </c>
      <c r="D7304" s="329">
        <v>222.19</v>
      </c>
    </row>
    <row r="7305" spans="1:4">
      <c r="A7305" s="47">
        <v>3468</v>
      </c>
      <c r="B7305" s="48" t="s">
        <v>11270</v>
      </c>
      <c r="C7305" s="47" t="s">
        <v>65</v>
      </c>
      <c r="D7305" s="332">
        <v>24.39</v>
      </c>
    </row>
    <row r="7306" spans="1:4" ht="30">
      <c r="A7306" s="28">
        <v>3465</v>
      </c>
      <c r="B7306" s="26" t="s">
        <v>11271</v>
      </c>
      <c r="C7306" s="28" t="s">
        <v>65</v>
      </c>
      <c r="D7306" s="329">
        <v>24.38</v>
      </c>
    </row>
    <row r="7307" spans="1:4">
      <c r="A7307" s="47">
        <v>12403</v>
      </c>
      <c r="B7307" s="48" t="s">
        <v>11272</v>
      </c>
      <c r="C7307" s="47" t="s">
        <v>65</v>
      </c>
      <c r="D7307" s="332">
        <v>17.38</v>
      </c>
    </row>
    <row r="7308" spans="1:4">
      <c r="A7308" s="28">
        <v>3463</v>
      </c>
      <c r="B7308" s="26" t="s">
        <v>11273</v>
      </c>
      <c r="C7308" s="28" t="s">
        <v>65</v>
      </c>
      <c r="D7308" s="329">
        <v>10.15</v>
      </c>
    </row>
    <row r="7309" spans="1:4">
      <c r="A7309" s="47">
        <v>3464</v>
      </c>
      <c r="B7309" s="48" t="s">
        <v>11274</v>
      </c>
      <c r="C7309" s="47" t="s">
        <v>65</v>
      </c>
      <c r="D7309" s="332">
        <v>10.15</v>
      </c>
    </row>
    <row r="7310" spans="1:4">
      <c r="A7310" s="28">
        <v>3466</v>
      </c>
      <c r="B7310" s="26" t="s">
        <v>11275</v>
      </c>
      <c r="C7310" s="28" t="s">
        <v>65</v>
      </c>
      <c r="D7310" s="329">
        <v>61.93</v>
      </c>
    </row>
    <row r="7311" spans="1:4">
      <c r="A7311" s="47">
        <v>3467</v>
      </c>
      <c r="B7311" s="48" t="s">
        <v>11276</v>
      </c>
      <c r="C7311" s="47" t="s">
        <v>65</v>
      </c>
      <c r="D7311" s="332">
        <v>34.97</v>
      </c>
    </row>
    <row r="7312" spans="1:4">
      <c r="A7312" s="28">
        <v>3462</v>
      </c>
      <c r="B7312" s="26" t="s">
        <v>11277</v>
      </c>
      <c r="C7312" s="28" t="s">
        <v>65</v>
      </c>
      <c r="D7312" s="329">
        <v>6.7</v>
      </c>
    </row>
    <row r="7313" spans="1:4">
      <c r="A7313" s="47">
        <v>3446</v>
      </c>
      <c r="B7313" s="48" t="s">
        <v>4117</v>
      </c>
      <c r="C7313" s="47" t="s">
        <v>65</v>
      </c>
      <c r="D7313" s="332">
        <v>20.62</v>
      </c>
    </row>
    <row r="7314" spans="1:4">
      <c r="A7314" s="28">
        <v>3445</v>
      </c>
      <c r="B7314" s="26" t="s">
        <v>4118</v>
      </c>
      <c r="C7314" s="28" t="s">
        <v>65</v>
      </c>
      <c r="D7314" s="329">
        <v>16.829999999999998</v>
      </c>
    </row>
    <row r="7315" spans="1:4">
      <c r="A7315" s="47">
        <v>3441</v>
      </c>
      <c r="B7315" s="48" t="s">
        <v>4120</v>
      </c>
      <c r="C7315" s="47" t="s">
        <v>65</v>
      </c>
      <c r="D7315" s="332">
        <v>4.75</v>
      </c>
    </row>
    <row r="7316" spans="1:4">
      <c r="A7316" s="28">
        <v>3444</v>
      </c>
      <c r="B7316" s="26" t="s">
        <v>4119</v>
      </c>
      <c r="C7316" s="28" t="s">
        <v>65</v>
      </c>
      <c r="D7316" s="329">
        <v>10.36</v>
      </c>
    </row>
    <row r="7317" spans="1:4" ht="57.75" customHeight="1">
      <c r="A7317" s="47">
        <v>12402</v>
      </c>
      <c r="B7317" s="48" t="s">
        <v>4121</v>
      </c>
      <c r="C7317" s="47" t="s">
        <v>65</v>
      </c>
      <c r="D7317" s="332">
        <v>57.96</v>
      </c>
    </row>
    <row r="7318" spans="1:4" ht="57.75" customHeight="1">
      <c r="A7318" s="28">
        <v>3447</v>
      </c>
      <c r="B7318" s="26" t="s">
        <v>4122</v>
      </c>
      <c r="C7318" s="28" t="s">
        <v>65</v>
      </c>
      <c r="D7318" s="329">
        <v>29.99</v>
      </c>
    </row>
    <row r="7319" spans="1:4" ht="57.75" customHeight="1">
      <c r="A7319" s="47">
        <v>3442</v>
      </c>
      <c r="B7319" s="48" t="s">
        <v>4124</v>
      </c>
      <c r="C7319" s="47" t="s">
        <v>65</v>
      </c>
      <c r="D7319" s="332">
        <v>7.1</v>
      </c>
    </row>
    <row r="7320" spans="1:4" ht="57.75" customHeight="1">
      <c r="A7320" s="28">
        <v>3448</v>
      </c>
      <c r="B7320" s="26" t="s">
        <v>4123</v>
      </c>
      <c r="C7320" s="28" t="s">
        <v>65</v>
      </c>
      <c r="D7320" s="329">
        <v>84.74</v>
      </c>
    </row>
    <row r="7321" spans="1:4" ht="57.75" customHeight="1">
      <c r="A7321" s="47">
        <v>3449</v>
      </c>
      <c r="B7321" s="48" t="s">
        <v>4125</v>
      </c>
      <c r="C7321" s="47" t="s">
        <v>65</v>
      </c>
      <c r="D7321" s="332">
        <v>148.47999999999999</v>
      </c>
    </row>
    <row r="7322" spans="1:4" ht="57.75" customHeight="1">
      <c r="A7322" s="28">
        <v>37438</v>
      </c>
      <c r="B7322" s="26" t="s">
        <v>4129</v>
      </c>
      <c r="C7322" s="28" t="s">
        <v>65</v>
      </c>
      <c r="D7322" s="329">
        <v>128.62</v>
      </c>
    </row>
    <row r="7323" spans="1:4" ht="57.75" customHeight="1">
      <c r="A7323" s="47">
        <v>37439</v>
      </c>
      <c r="B7323" s="48" t="s">
        <v>4130</v>
      </c>
      <c r="C7323" s="47" t="s">
        <v>65</v>
      </c>
      <c r="D7323" s="332">
        <v>840.92</v>
      </c>
    </row>
    <row r="7324" spans="1:4" ht="57.75" customHeight="1">
      <c r="A7324" s="28">
        <v>37435</v>
      </c>
      <c r="B7324" s="26" t="s">
        <v>4131</v>
      </c>
      <c r="C7324" s="28" t="s">
        <v>65</v>
      </c>
      <c r="D7324" s="329">
        <v>15.11</v>
      </c>
    </row>
    <row r="7325" spans="1:4" ht="57.75" customHeight="1">
      <c r="A7325" s="47">
        <v>37436</v>
      </c>
      <c r="B7325" s="48" t="s">
        <v>4132</v>
      </c>
      <c r="C7325" s="47" t="s">
        <v>65</v>
      </c>
      <c r="D7325" s="332">
        <v>17.84</v>
      </c>
    </row>
    <row r="7326" spans="1:4" ht="57.75" customHeight="1">
      <c r="A7326" s="28">
        <v>37437</v>
      </c>
      <c r="B7326" s="26" t="s">
        <v>4133</v>
      </c>
      <c r="C7326" s="28" t="s">
        <v>65</v>
      </c>
      <c r="D7326" s="329">
        <v>25.8</v>
      </c>
    </row>
    <row r="7327" spans="1:4" ht="57.75" customHeight="1">
      <c r="A7327" s="47">
        <v>3473</v>
      </c>
      <c r="B7327" s="48" t="s">
        <v>4134</v>
      </c>
      <c r="C7327" s="47" t="s">
        <v>65</v>
      </c>
      <c r="D7327" s="332">
        <v>23.31</v>
      </c>
    </row>
    <row r="7328" spans="1:4" ht="57.75" customHeight="1">
      <c r="A7328" s="28">
        <v>3474</v>
      </c>
      <c r="B7328" s="26" t="s">
        <v>4135</v>
      </c>
      <c r="C7328" s="28" t="s">
        <v>65</v>
      </c>
      <c r="D7328" s="329">
        <v>19.22</v>
      </c>
    </row>
    <row r="7329" spans="1:4" ht="57.75" customHeight="1">
      <c r="A7329" s="47">
        <v>3450</v>
      </c>
      <c r="B7329" s="48" t="s">
        <v>4137</v>
      </c>
      <c r="C7329" s="47" t="s">
        <v>65</v>
      </c>
      <c r="D7329" s="332">
        <v>5.57</v>
      </c>
    </row>
    <row r="7330" spans="1:4" ht="57.75" customHeight="1">
      <c r="A7330" s="28">
        <v>3443</v>
      </c>
      <c r="B7330" s="26" t="s">
        <v>4136</v>
      </c>
      <c r="C7330" s="28" t="s">
        <v>65</v>
      </c>
      <c r="D7330" s="329">
        <v>11.95</v>
      </c>
    </row>
    <row r="7331" spans="1:4" ht="57.75" customHeight="1">
      <c r="A7331" s="47">
        <v>3453</v>
      </c>
      <c r="B7331" s="48" t="s">
        <v>4138</v>
      </c>
      <c r="C7331" s="47" t="s">
        <v>65</v>
      </c>
      <c r="D7331" s="332">
        <v>68.05</v>
      </c>
    </row>
    <row r="7332" spans="1:4" ht="57.75" customHeight="1">
      <c r="A7332" s="28">
        <v>3452</v>
      </c>
      <c r="B7332" s="26" t="s">
        <v>4139</v>
      </c>
      <c r="C7332" s="28" t="s">
        <v>65</v>
      </c>
      <c r="D7332" s="329">
        <v>33.590000000000003</v>
      </c>
    </row>
    <row r="7333" spans="1:4" ht="57.75" customHeight="1">
      <c r="A7333" s="47">
        <v>3451</v>
      </c>
      <c r="B7333" s="48" t="s">
        <v>4141</v>
      </c>
      <c r="C7333" s="47" t="s">
        <v>65</v>
      </c>
      <c r="D7333" s="332">
        <v>6.66</v>
      </c>
    </row>
    <row r="7334" spans="1:4" ht="57.75" customHeight="1">
      <c r="A7334" s="28">
        <v>3454</v>
      </c>
      <c r="B7334" s="26" t="s">
        <v>4140</v>
      </c>
      <c r="C7334" s="28" t="s">
        <v>65</v>
      </c>
      <c r="D7334" s="329">
        <v>103.5</v>
      </c>
    </row>
    <row r="7335" spans="1:4" ht="57.75" customHeight="1">
      <c r="A7335" s="47">
        <v>3458</v>
      </c>
      <c r="B7335" s="48" t="s">
        <v>4142</v>
      </c>
      <c r="C7335" s="47" t="s">
        <v>65</v>
      </c>
      <c r="D7335" s="332">
        <v>18.68</v>
      </c>
    </row>
    <row r="7336" spans="1:4" ht="57.75" customHeight="1">
      <c r="A7336" s="28">
        <v>3457</v>
      </c>
      <c r="B7336" s="26" t="s">
        <v>4143</v>
      </c>
      <c r="C7336" s="28" t="s">
        <v>65</v>
      </c>
      <c r="D7336" s="329">
        <v>14.03</v>
      </c>
    </row>
    <row r="7337" spans="1:4">
      <c r="A7337" s="47">
        <v>3455</v>
      </c>
      <c r="B7337" s="48" t="s">
        <v>4145</v>
      </c>
      <c r="C7337" s="47" t="s">
        <v>65</v>
      </c>
      <c r="D7337" s="332">
        <v>3.98</v>
      </c>
    </row>
    <row r="7338" spans="1:4">
      <c r="A7338" s="28">
        <v>3472</v>
      </c>
      <c r="B7338" s="26" t="s">
        <v>4144</v>
      </c>
      <c r="C7338" s="28" t="s">
        <v>65</v>
      </c>
      <c r="D7338" s="329">
        <v>8.9499999999999993</v>
      </c>
    </row>
    <row r="7339" spans="1:4">
      <c r="A7339" s="47">
        <v>3470</v>
      </c>
      <c r="B7339" s="48" t="s">
        <v>4146</v>
      </c>
      <c r="C7339" s="47" t="s">
        <v>65</v>
      </c>
      <c r="D7339" s="332">
        <v>52.18</v>
      </c>
    </row>
    <row r="7340" spans="1:4">
      <c r="A7340" s="28">
        <v>3471</v>
      </c>
      <c r="B7340" s="26" t="s">
        <v>4147</v>
      </c>
      <c r="C7340" s="28" t="s">
        <v>65</v>
      </c>
      <c r="D7340" s="329">
        <v>28.67</v>
      </c>
    </row>
    <row r="7341" spans="1:4">
      <c r="A7341" s="47">
        <v>3456</v>
      </c>
      <c r="B7341" s="48" t="s">
        <v>4149</v>
      </c>
      <c r="C7341" s="47" t="s">
        <v>65</v>
      </c>
      <c r="D7341" s="332">
        <v>5.96</v>
      </c>
    </row>
    <row r="7342" spans="1:4">
      <c r="A7342" s="28">
        <v>3459</v>
      </c>
      <c r="B7342" s="26" t="s">
        <v>4148</v>
      </c>
      <c r="C7342" s="28" t="s">
        <v>65</v>
      </c>
      <c r="D7342" s="329">
        <v>73.599999999999994</v>
      </c>
    </row>
    <row r="7343" spans="1:4">
      <c r="A7343" s="47">
        <v>3469</v>
      </c>
      <c r="B7343" s="48" t="s">
        <v>4150</v>
      </c>
      <c r="C7343" s="47" t="s">
        <v>65</v>
      </c>
      <c r="D7343" s="332">
        <v>139.97</v>
      </c>
    </row>
    <row r="7344" spans="1:4">
      <c r="A7344" s="28">
        <v>3460</v>
      </c>
      <c r="B7344" s="26" t="s">
        <v>4151</v>
      </c>
      <c r="C7344" s="28" t="s">
        <v>65</v>
      </c>
      <c r="D7344" s="329">
        <v>204.24</v>
      </c>
    </row>
    <row r="7345" spans="1:4">
      <c r="A7345" s="47">
        <v>3461</v>
      </c>
      <c r="B7345" s="48" t="s">
        <v>4152</v>
      </c>
      <c r="C7345" s="47" t="s">
        <v>65</v>
      </c>
      <c r="D7345" s="332">
        <v>522.03</v>
      </c>
    </row>
    <row r="7346" spans="1:4">
      <c r="A7346" s="28">
        <v>37433</v>
      </c>
      <c r="B7346" s="26" t="s">
        <v>4156</v>
      </c>
      <c r="C7346" s="28" t="s">
        <v>65</v>
      </c>
      <c r="D7346" s="329">
        <v>128.62</v>
      </c>
    </row>
    <row r="7347" spans="1:4">
      <c r="A7347" s="47">
        <v>37430</v>
      </c>
      <c r="B7347" s="48" t="s">
        <v>4157</v>
      </c>
      <c r="C7347" s="47" t="s">
        <v>65</v>
      </c>
      <c r="D7347" s="332">
        <v>16.12</v>
      </c>
    </row>
    <row r="7348" spans="1:4">
      <c r="A7348" s="28">
        <v>37434</v>
      </c>
      <c r="B7348" s="26" t="s">
        <v>4158</v>
      </c>
      <c r="C7348" s="28" t="s">
        <v>65</v>
      </c>
      <c r="D7348" s="329">
        <v>1199.26</v>
      </c>
    </row>
    <row r="7349" spans="1:4">
      <c r="A7349" s="47">
        <v>37431</v>
      </c>
      <c r="B7349" s="48" t="s">
        <v>4159</v>
      </c>
      <c r="C7349" s="47" t="s">
        <v>65</v>
      </c>
      <c r="D7349" s="332">
        <v>21.86</v>
      </c>
    </row>
    <row r="7350" spans="1:4">
      <c r="A7350" s="28">
        <v>37432</v>
      </c>
      <c r="B7350" s="26" t="s">
        <v>4160</v>
      </c>
      <c r="C7350" s="28" t="s">
        <v>65</v>
      </c>
      <c r="D7350" s="329">
        <v>40.33</v>
      </c>
    </row>
    <row r="7351" spans="1:4" ht="30">
      <c r="A7351" s="47">
        <v>37413</v>
      </c>
      <c r="B7351" s="48" t="s">
        <v>4199</v>
      </c>
      <c r="C7351" s="47" t="s">
        <v>65</v>
      </c>
      <c r="D7351" s="332">
        <v>1.89</v>
      </c>
    </row>
    <row r="7352" spans="1:4" ht="30">
      <c r="A7352" s="28">
        <v>37414</v>
      </c>
      <c r="B7352" s="26" t="s">
        <v>4200</v>
      </c>
      <c r="C7352" s="28" t="s">
        <v>65</v>
      </c>
      <c r="D7352" s="329">
        <v>2.15</v>
      </c>
    </row>
    <row r="7353" spans="1:4" ht="30">
      <c r="A7353" s="47">
        <v>37415</v>
      </c>
      <c r="B7353" s="48" t="s">
        <v>4201</v>
      </c>
      <c r="C7353" s="47" t="s">
        <v>65</v>
      </c>
      <c r="D7353" s="332">
        <v>3.91</v>
      </c>
    </row>
    <row r="7354" spans="1:4" ht="30">
      <c r="A7354" s="28">
        <v>37416</v>
      </c>
      <c r="B7354" s="26" t="s">
        <v>4197</v>
      </c>
      <c r="C7354" s="28" t="s">
        <v>65</v>
      </c>
      <c r="D7354" s="329">
        <v>1.77</v>
      </c>
    </row>
    <row r="7355" spans="1:4" ht="30">
      <c r="A7355" s="47">
        <v>37417</v>
      </c>
      <c r="B7355" s="48" t="s">
        <v>4198</v>
      </c>
      <c r="C7355" s="47" t="s">
        <v>65</v>
      </c>
      <c r="D7355" s="332">
        <v>2.5499999999999998</v>
      </c>
    </row>
    <row r="7356" spans="1:4" ht="30">
      <c r="A7356" s="28">
        <v>3112</v>
      </c>
      <c r="B7356" s="26" t="s">
        <v>4202</v>
      </c>
      <c r="C7356" s="28" t="s">
        <v>105</v>
      </c>
      <c r="D7356" s="329">
        <v>42.64</v>
      </c>
    </row>
    <row r="7357" spans="1:4" ht="30">
      <c r="A7357" s="47">
        <v>3113</v>
      </c>
      <c r="B7357" s="48" t="s">
        <v>4203</v>
      </c>
      <c r="C7357" s="47" t="s">
        <v>105</v>
      </c>
      <c r="D7357" s="332">
        <v>49.13</v>
      </c>
    </row>
    <row r="7358" spans="1:4" ht="30">
      <c r="A7358" s="28">
        <v>3114</v>
      </c>
      <c r="B7358" s="26" t="s">
        <v>4205</v>
      </c>
      <c r="C7358" s="28" t="s">
        <v>65</v>
      </c>
      <c r="D7358" s="329">
        <v>22.19</v>
      </c>
    </row>
    <row r="7359" spans="1:4">
      <c r="A7359" s="47">
        <v>34519</v>
      </c>
      <c r="B7359" s="48" t="s">
        <v>4206</v>
      </c>
      <c r="C7359" s="47" t="s">
        <v>65</v>
      </c>
      <c r="D7359" s="332">
        <v>57.92</v>
      </c>
    </row>
    <row r="7360" spans="1:4" ht="30">
      <c r="A7360" s="28">
        <v>10510</v>
      </c>
      <c r="B7360" s="26" t="s">
        <v>4207</v>
      </c>
      <c r="C7360" s="28" t="s">
        <v>65</v>
      </c>
      <c r="D7360" s="329">
        <v>78.739999999999995</v>
      </c>
    </row>
    <row r="7361" spans="1:4">
      <c r="A7361" s="47">
        <v>1649</v>
      </c>
      <c r="B7361" s="48" t="s">
        <v>4208</v>
      </c>
      <c r="C7361" s="47" t="s">
        <v>65</v>
      </c>
      <c r="D7361" s="332">
        <v>44.07</v>
      </c>
    </row>
    <row r="7362" spans="1:4">
      <c r="A7362" s="28">
        <v>1653</v>
      </c>
      <c r="B7362" s="26" t="s">
        <v>4209</v>
      </c>
      <c r="C7362" s="28" t="s">
        <v>65</v>
      </c>
      <c r="D7362" s="329">
        <v>34.520000000000003</v>
      </c>
    </row>
    <row r="7363" spans="1:4">
      <c r="A7363" s="47">
        <v>1647</v>
      </c>
      <c r="B7363" s="48" t="s">
        <v>4211</v>
      </c>
      <c r="C7363" s="47" t="s">
        <v>65</v>
      </c>
      <c r="D7363" s="332">
        <v>12.36</v>
      </c>
    </row>
    <row r="7364" spans="1:4">
      <c r="A7364" s="28">
        <v>1648</v>
      </c>
      <c r="B7364" s="26" t="s">
        <v>4210</v>
      </c>
      <c r="C7364" s="28" t="s">
        <v>65</v>
      </c>
      <c r="D7364" s="329">
        <v>23.73</v>
      </c>
    </row>
    <row r="7365" spans="1:4">
      <c r="A7365" s="47">
        <v>1651</v>
      </c>
      <c r="B7365" s="48" t="s">
        <v>4212</v>
      </c>
      <c r="C7365" s="47" t="s">
        <v>65</v>
      </c>
      <c r="D7365" s="332">
        <v>110.11</v>
      </c>
    </row>
    <row r="7366" spans="1:4">
      <c r="A7366" s="28">
        <v>1650</v>
      </c>
      <c r="B7366" s="26" t="s">
        <v>4213</v>
      </c>
      <c r="C7366" s="28" t="s">
        <v>65</v>
      </c>
      <c r="D7366" s="329">
        <v>60.86</v>
      </c>
    </row>
    <row r="7367" spans="1:4">
      <c r="A7367" s="47">
        <v>1654</v>
      </c>
      <c r="B7367" s="48" t="s">
        <v>4215</v>
      </c>
      <c r="C7367" s="47" t="s">
        <v>65</v>
      </c>
      <c r="D7367" s="332">
        <v>16.96</v>
      </c>
    </row>
    <row r="7368" spans="1:4">
      <c r="A7368" s="28">
        <v>1652</v>
      </c>
      <c r="B7368" s="26" t="s">
        <v>4214</v>
      </c>
      <c r="C7368" s="28" t="s">
        <v>65</v>
      </c>
      <c r="D7368" s="329">
        <v>158.04</v>
      </c>
    </row>
    <row r="7369" spans="1:4">
      <c r="A7369" s="47">
        <v>1727</v>
      </c>
      <c r="B7369" s="48" t="s">
        <v>4216</v>
      </c>
      <c r="C7369" s="47" t="s">
        <v>65</v>
      </c>
      <c r="D7369" s="332">
        <v>61.81</v>
      </c>
    </row>
    <row r="7370" spans="1:4">
      <c r="A7370" s="28">
        <v>40339</v>
      </c>
      <c r="B7370" s="26" t="s">
        <v>4217</v>
      </c>
      <c r="C7370" s="28" t="s">
        <v>1643</v>
      </c>
      <c r="D7370" s="329">
        <v>2.5</v>
      </c>
    </row>
    <row r="7371" spans="1:4">
      <c r="A7371" s="47">
        <v>12920</v>
      </c>
      <c r="B7371" s="48" t="s">
        <v>4218</v>
      </c>
      <c r="C7371" s="47" t="s">
        <v>65</v>
      </c>
      <c r="D7371" s="332">
        <v>81.680000000000007</v>
      </c>
    </row>
    <row r="7372" spans="1:4">
      <c r="A7372" s="28">
        <v>1725</v>
      </c>
      <c r="B7372" s="26" t="s">
        <v>4219</v>
      </c>
      <c r="C7372" s="28" t="s">
        <v>65</v>
      </c>
      <c r="D7372" s="329">
        <v>17.829999999999998</v>
      </c>
    </row>
    <row r="7373" spans="1:4">
      <c r="A7373" s="47">
        <v>12943</v>
      </c>
      <c r="B7373" s="48" t="s">
        <v>4220</v>
      </c>
      <c r="C7373" s="47" t="s">
        <v>65</v>
      </c>
      <c r="D7373" s="332">
        <v>44</v>
      </c>
    </row>
    <row r="7374" spans="1:4">
      <c r="A7374" s="28">
        <v>1747</v>
      </c>
      <c r="B7374" s="26" t="s">
        <v>4223</v>
      </c>
      <c r="C7374" s="28" t="s">
        <v>65</v>
      </c>
      <c r="D7374" s="329">
        <v>108.98</v>
      </c>
    </row>
    <row r="7375" spans="1:4">
      <c r="A7375" s="47">
        <v>1744</v>
      </c>
      <c r="B7375" s="48" t="s">
        <v>4221</v>
      </c>
      <c r="C7375" s="47" t="s">
        <v>65</v>
      </c>
      <c r="D7375" s="332">
        <v>75.489999999999995</v>
      </c>
    </row>
    <row r="7376" spans="1:4">
      <c r="A7376" s="28">
        <v>1743</v>
      </c>
      <c r="B7376" s="26" t="s">
        <v>4222</v>
      </c>
      <c r="C7376" s="28" t="s">
        <v>65</v>
      </c>
      <c r="D7376" s="329">
        <v>99.13</v>
      </c>
    </row>
    <row r="7377" spans="1:4">
      <c r="A7377" s="47">
        <v>7241</v>
      </c>
      <c r="B7377" s="48" t="s">
        <v>4230</v>
      </c>
      <c r="C7377" s="47" t="s">
        <v>256</v>
      </c>
      <c r="D7377" s="332">
        <v>46.54</v>
      </c>
    </row>
    <row r="7378" spans="1:4" ht="30">
      <c r="A7378" s="28">
        <v>11014</v>
      </c>
      <c r="B7378" s="26" t="s">
        <v>4231</v>
      </c>
      <c r="C7378" s="28" t="s">
        <v>65</v>
      </c>
      <c r="D7378" s="329">
        <v>10.76</v>
      </c>
    </row>
    <row r="7379" spans="1:4" ht="30">
      <c r="A7379" s="47">
        <v>39640</v>
      </c>
      <c r="B7379" s="48" t="s">
        <v>4232</v>
      </c>
      <c r="C7379" s="47" t="s">
        <v>65</v>
      </c>
      <c r="D7379" s="332">
        <v>5.23</v>
      </c>
    </row>
    <row r="7380" spans="1:4" ht="30">
      <c r="A7380" s="28">
        <v>11013</v>
      </c>
      <c r="B7380" s="26" t="s">
        <v>11278</v>
      </c>
      <c r="C7380" s="28" t="s">
        <v>65</v>
      </c>
      <c r="D7380" s="329">
        <v>10.76</v>
      </c>
    </row>
    <row r="7381" spans="1:4" ht="30">
      <c r="A7381" s="47">
        <v>11017</v>
      </c>
      <c r="B7381" s="48" t="s">
        <v>4233</v>
      </c>
      <c r="C7381" s="47" t="s">
        <v>65</v>
      </c>
      <c r="D7381" s="332">
        <v>4.59</v>
      </c>
    </row>
    <row r="7382" spans="1:4" ht="30">
      <c r="A7382" s="28">
        <v>20236</v>
      </c>
      <c r="B7382" s="26" t="s">
        <v>4234</v>
      </c>
      <c r="C7382" s="28" t="s">
        <v>65</v>
      </c>
      <c r="D7382" s="329">
        <v>20.23</v>
      </c>
    </row>
    <row r="7383" spans="1:4" ht="30">
      <c r="A7383" s="47">
        <v>7215</v>
      </c>
      <c r="B7383" s="48" t="s">
        <v>4237</v>
      </c>
      <c r="C7383" s="47" t="s">
        <v>65</v>
      </c>
      <c r="D7383" s="332">
        <v>17.32</v>
      </c>
    </row>
    <row r="7384" spans="1:4" ht="30">
      <c r="A7384" s="28">
        <v>7216</v>
      </c>
      <c r="B7384" s="26" t="s">
        <v>4238</v>
      </c>
      <c r="C7384" s="28" t="s">
        <v>65</v>
      </c>
      <c r="D7384" s="329">
        <v>72.41</v>
      </c>
    </row>
    <row r="7385" spans="1:4" ht="30">
      <c r="A7385" s="47">
        <v>20235</v>
      </c>
      <c r="B7385" s="48" t="s">
        <v>4239</v>
      </c>
      <c r="C7385" s="47" t="s">
        <v>65</v>
      </c>
      <c r="D7385" s="332">
        <v>36.61</v>
      </c>
    </row>
    <row r="7386" spans="1:4" ht="30">
      <c r="A7386" s="28">
        <v>7181</v>
      </c>
      <c r="B7386" s="26" t="s">
        <v>4241</v>
      </c>
      <c r="C7386" s="28" t="s">
        <v>65</v>
      </c>
      <c r="D7386" s="329">
        <v>4.66</v>
      </c>
    </row>
    <row r="7387" spans="1:4" ht="30">
      <c r="A7387" s="47">
        <v>40866</v>
      </c>
      <c r="B7387" s="48" t="s">
        <v>4243</v>
      </c>
      <c r="C7387" s="47" t="s">
        <v>65</v>
      </c>
      <c r="D7387" s="332">
        <v>7.06</v>
      </c>
    </row>
    <row r="7388" spans="1:4" ht="30">
      <c r="A7388" s="28">
        <v>7214</v>
      </c>
      <c r="B7388" s="26" t="s">
        <v>4246</v>
      </c>
      <c r="C7388" s="28" t="s">
        <v>65</v>
      </c>
      <c r="D7388" s="329">
        <v>24.81</v>
      </c>
    </row>
    <row r="7389" spans="1:4" ht="30">
      <c r="A7389" s="47">
        <v>7219</v>
      </c>
      <c r="B7389" s="48" t="s">
        <v>4248</v>
      </c>
      <c r="C7389" s="47" t="s">
        <v>65</v>
      </c>
      <c r="D7389" s="332">
        <v>25.68</v>
      </c>
    </row>
    <row r="7390" spans="1:4">
      <c r="A7390" s="28">
        <v>37972</v>
      </c>
      <c r="B7390" s="26" t="s">
        <v>4512</v>
      </c>
      <c r="C7390" s="28" t="s">
        <v>65</v>
      </c>
      <c r="D7390" s="329">
        <v>5.72</v>
      </c>
    </row>
    <row r="7391" spans="1:4">
      <c r="A7391" s="47">
        <v>37973</v>
      </c>
      <c r="B7391" s="48" t="s">
        <v>4513</v>
      </c>
      <c r="C7391" s="47" t="s">
        <v>65</v>
      </c>
      <c r="D7391" s="332">
        <v>9.15</v>
      </c>
    </row>
    <row r="7392" spans="1:4">
      <c r="A7392" s="28">
        <v>37971</v>
      </c>
      <c r="B7392" s="26" t="s">
        <v>4514</v>
      </c>
      <c r="C7392" s="28" t="s">
        <v>65</v>
      </c>
      <c r="D7392" s="329">
        <v>3.43</v>
      </c>
    </row>
    <row r="7393" spans="1:4" ht="30">
      <c r="A7393" s="47">
        <v>20094</v>
      </c>
      <c r="B7393" s="48" t="s">
        <v>4523</v>
      </c>
      <c r="C7393" s="47" t="s">
        <v>65</v>
      </c>
      <c r="D7393" s="332">
        <v>9.83</v>
      </c>
    </row>
    <row r="7394" spans="1:4" ht="30">
      <c r="A7394" s="28">
        <v>20095</v>
      </c>
      <c r="B7394" s="26" t="s">
        <v>4524</v>
      </c>
      <c r="C7394" s="28" t="s">
        <v>65</v>
      </c>
      <c r="D7394" s="329">
        <v>16.649999999999999</v>
      </c>
    </row>
    <row r="7395" spans="1:4">
      <c r="A7395" s="47">
        <v>1954</v>
      </c>
      <c r="B7395" s="48" t="s">
        <v>4525</v>
      </c>
      <c r="C7395" s="47" t="s">
        <v>65</v>
      </c>
      <c r="D7395" s="332">
        <v>90.83</v>
      </c>
    </row>
    <row r="7396" spans="1:4">
      <c r="A7396" s="28">
        <v>1926</v>
      </c>
      <c r="B7396" s="26" t="s">
        <v>4526</v>
      </c>
      <c r="C7396" s="28" t="s">
        <v>65</v>
      </c>
      <c r="D7396" s="329">
        <v>1.6</v>
      </c>
    </row>
    <row r="7397" spans="1:4">
      <c r="A7397" s="47">
        <v>1927</v>
      </c>
      <c r="B7397" s="48" t="s">
        <v>4527</v>
      </c>
      <c r="C7397" s="47" t="s">
        <v>65</v>
      </c>
      <c r="D7397" s="332">
        <v>1.94</v>
      </c>
    </row>
    <row r="7398" spans="1:4">
      <c r="A7398" s="28">
        <v>1923</v>
      </c>
      <c r="B7398" s="26" t="s">
        <v>4528</v>
      </c>
      <c r="C7398" s="28" t="s">
        <v>65</v>
      </c>
      <c r="D7398" s="329">
        <v>3.15</v>
      </c>
    </row>
    <row r="7399" spans="1:4">
      <c r="A7399" s="47">
        <v>1929</v>
      </c>
      <c r="B7399" s="48" t="s">
        <v>4529</v>
      </c>
      <c r="C7399" s="47" t="s">
        <v>65</v>
      </c>
      <c r="D7399" s="332">
        <v>3.99</v>
      </c>
    </row>
    <row r="7400" spans="1:4">
      <c r="A7400" s="28">
        <v>1930</v>
      </c>
      <c r="B7400" s="26" t="s">
        <v>4530</v>
      </c>
      <c r="C7400" s="28" t="s">
        <v>65</v>
      </c>
      <c r="D7400" s="329">
        <v>8.2899999999999991</v>
      </c>
    </row>
    <row r="7401" spans="1:4">
      <c r="A7401" s="47">
        <v>1924</v>
      </c>
      <c r="B7401" s="48" t="s">
        <v>4531</v>
      </c>
      <c r="C7401" s="47" t="s">
        <v>65</v>
      </c>
      <c r="D7401" s="332">
        <v>14.05</v>
      </c>
    </row>
    <row r="7402" spans="1:4">
      <c r="A7402" s="28">
        <v>1922</v>
      </c>
      <c r="B7402" s="26" t="s">
        <v>4532</v>
      </c>
      <c r="C7402" s="28" t="s">
        <v>65</v>
      </c>
      <c r="D7402" s="329">
        <v>28.5</v>
      </c>
    </row>
    <row r="7403" spans="1:4" ht="43.5" customHeight="1">
      <c r="A7403" s="47">
        <v>1953</v>
      </c>
      <c r="B7403" s="48" t="s">
        <v>4533</v>
      </c>
      <c r="C7403" s="47" t="s">
        <v>65</v>
      </c>
      <c r="D7403" s="332">
        <v>34.04</v>
      </c>
    </row>
    <row r="7404" spans="1:4" ht="43.5" customHeight="1">
      <c r="A7404" s="28">
        <v>1962</v>
      </c>
      <c r="B7404" s="26" t="s">
        <v>4534</v>
      </c>
      <c r="C7404" s="28" t="s">
        <v>65</v>
      </c>
      <c r="D7404" s="329">
        <v>99.14</v>
      </c>
    </row>
    <row r="7405" spans="1:4">
      <c r="A7405" s="47">
        <v>1955</v>
      </c>
      <c r="B7405" s="48" t="s">
        <v>4535</v>
      </c>
      <c r="C7405" s="47" t="s">
        <v>65</v>
      </c>
      <c r="D7405" s="332">
        <v>1.68</v>
      </c>
    </row>
    <row r="7406" spans="1:4">
      <c r="A7406" s="28">
        <v>1956</v>
      </c>
      <c r="B7406" s="26" t="s">
        <v>4536</v>
      </c>
      <c r="C7406" s="28" t="s">
        <v>65</v>
      </c>
      <c r="D7406" s="329">
        <v>2.4300000000000002</v>
      </c>
    </row>
    <row r="7407" spans="1:4">
      <c r="A7407" s="47">
        <v>1957</v>
      </c>
      <c r="B7407" s="48" t="s">
        <v>4537</v>
      </c>
      <c r="C7407" s="47" t="s">
        <v>65</v>
      </c>
      <c r="D7407" s="332">
        <v>4.91</v>
      </c>
    </row>
    <row r="7408" spans="1:4">
      <c r="A7408" s="28">
        <v>1958</v>
      </c>
      <c r="B7408" s="26" t="s">
        <v>4538</v>
      </c>
      <c r="C7408" s="28" t="s">
        <v>65</v>
      </c>
      <c r="D7408" s="329">
        <v>8.9</v>
      </c>
    </row>
    <row r="7409" spans="1:4">
      <c r="A7409" s="47">
        <v>1959</v>
      </c>
      <c r="B7409" s="48" t="s">
        <v>4539</v>
      </c>
      <c r="C7409" s="47" t="s">
        <v>65</v>
      </c>
      <c r="D7409" s="332">
        <v>9.82</v>
      </c>
    </row>
    <row r="7410" spans="1:4">
      <c r="A7410" s="28">
        <v>1925</v>
      </c>
      <c r="B7410" s="26" t="s">
        <v>4540</v>
      </c>
      <c r="C7410" s="28" t="s">
        <v>65</v>
      </c>
      <c r="D7410" s="329">
        <v>22.69</v>
      </c>
    </row>
    <row r="7411" spans="1:4">
      <c r="A7411" s="47">
        <v>1960</v>
      </c>
      <c r="B7411" s="48" t="s">
        <v>4541</v>
      </c>
      <c r="C7411" s="47" t="s">
        <v>65</v>
      </c>
      <c r="D7411" s="332">
        <v>39.17</v>
      </c>
    </row>
    <row r="7412" spans="1:4">
      <c r="A7412" s="28">
        <v>1961</v>
      </c>
      <c r="B7412" s="26" t="s">
        <v>4542</v>
      </c>
      <c r="C7412" s="28" t="s">
        <v>65</v>
      </c>
      <c r="D7412" s="329">
        <v>47.03</v>
      </c>
    </row>
    <row r="7413" spans="1:4">
      <c r="A7413" s="47">
        <v>38426</v>
      </c>
      <c r="B7413" s="48" t="s">
        <v>4543</v>
      </c>
      <c r="C7413" s="47" t="s">
        <v>65</v>
      </c>
      <c r="D7413" s="332">
        <v>26.69</v>
      </c>
    </row>
    <row r="7414" spans="1:4">
      <c r="A7414" s="28">
        <v>38427</v>
      </c>
      <c r="B7414" s="26" t="s">
        <v>4544</v>
      </c>
      <c r="C7414" s="28" t="s">
        <v>65</v>
      </c>
      <c r="D7414" s="329">
        <v>54.78</v>
      </c>
    </row>
    <row r="7415" spans="1:4">
      <c r="A7415" s="47">
        <v>38425</v>
      </c>
      <c r="B7415" s="48" t="s">
        <v>4545</v>
      </c>
      <c r="C7415" s="47" t="s">
        <v>65</v>
      </c>
      <c r="D7415" s="332">
        <v>13.91</v>
      </c>
    </row>
    <row r="7416" spans="1:4">
      <c r="A7416" s="28">
        <v>38423</v>
      </c>
      <c r="B7416" s="26" t="s">
        <v>4546</v>
      </c>
      <c r="C7416" s="28" t="s">
        <v>65</v>
      </c>
      <c r="D7416" s="329">
        <v>45.71</v>
      </c>
    </row>
    <row r="7417" spans="1:4">
      <c r="A7417" s="47">
        <v>38424</v>
      </c>
      <c r="B7417" s="48" t="s">
        <v>4547</v>
      </c>
      <c r="C7417" s="47" t="s">
        <v>65</v>
      </c>
      <c r="D7417" s="332">
        <v>68.48</v>
      </c>
    </row>
    <row r="7418" spans="1:4">
      <c r="A7418" s="28">
        <v>38421</v>
      </c>
      <c r="B7418" s="26" t="s">
        <v>4548</v>
      </c>
      <c r="C7418" s="28" t="s">
        <v>65</v>
      </c>
      <c r="D7418" s="329">
        <v>25.96</v>
      </c>
    </row>
    <row r="7419" spans="1:4">
      <c r="A7419" s="47">
        <v>38422</v>
      </c>
      <c r="B7419" s="48" t="s">
        <v>4549</v>
      </c>
      <c r="C7419" s="47" t="s">
        <v>65</v>
      </c>
      <c r="D7419" s="332">
        <v>29.23</v>
      </c>
    </row>
    <row r="7420" spans="1:4" ht="30">
      <c r="A7420" s="28">
        <v>39866</v>
      </c>
      <c r="B7420" s="26" t="s">
        <v>4550</v>
      </c>
      <c r="C7420" s="28" t="s">
        <v>65</v>
      </c>
      <c r="D7420" s="329">
        <v>12.67</v>
      </c>
    </row>
    <row r="7421" spans="1:4" ht="30">
      <c r="A7421" s="47">
        <v>39867</v>
      </c>
      <c r="B7421" s="48" t="s">
        <v>4551</v>
      </c>
      <c r="C7421" s="47" t="s">
        <v>65</v>
      </c>
      <c r="D7421" s="332">
        <v>28.17</v>
      </c>
    </row>
    <row r="7422" spans="1:4" ht="30">
      <c r="A7422" s="28">
        <v>39868</v>
      </c>
      <c r="B7422" s="26" t="s">
        <v>4552</v>
      </c>
      <c r="C7422" s="28" t="s">
        <v>65</v>
      </c>
      <c r="D7422" s="329">
        <v>50.76</v>
      </c>
    </row>
    <row r="7423" spans="1:4">
      <c r="A7423" s="47">
        <v>37999</v>
      </c>
      <c r="B7423" s="48" t="s">
        <v>4561</v>
      </c>
      <c r="C7423" s="47" t="s">
        <v>65</v>
      </c>
      <c r="D7423" s="332">
        <v>5.48</v>
      </c>
    </row>
    <row r="7424" spans="1:4">
      <c r="A7424" s="28">
        <v>38000</v>
      </c>
      <c r="B7424" s="26" t="s">
        <v>4562</v>
      </c>
      <c r="C7424" s="28" t="s">
        <v>65</v>
      </c>
      <c r="D7424" s="329">
        <v>7.25</v>
      </c>
    </row>
    <row r="7425" spans="1:4">
      <c r="A7425" s="47">
        <v>38129</v>
      </c>
      <c r="B7425" s="48" t="s">
        <v>4566</v>
      </c>
      <c r="C7425" s="47" t="s">
        <v>65</v>
      </c>
      <c r="D7425" s="332">
        <v>2.6</v>
      </c>
    </row>
    <row r="7426" spans="1:4">
      <c r="A7426" s="28">
        <v>38025</v>
      </c>
      <c r="B7426" s="26" t="s">
        <v>4567</v>
      </c>
      <c r="C7426" s="28" t="s">
        <v>65</v>
      </c>
      <c r="D7426" s="329">
        <v>4.25</v>
      </c>
    </row>
    <row r="7427" spans="1:4">
      <c r="A7427" s="47">
        <v>38026</v>
      </c>
      <c r="B7427" s="48" t="s">
        <v>4568</v>
      </c>
      <c r="C7427" s="47" t="s">
        <v>65</v>
      </c>
      <c r="D7427" s="332">
        <v>10.99</v>
      </c>
    </row>
    <row r="7428" spans="1:4" ht="30">
      <c r="A7428" s="28">
        <v>2628</v>
      </c>
      <c r="B7428" s="26" t="s">
        <v>11279</v>
      </c>
      <c r="C7428" s="28" t="s">
        <v>65</v>
      </c>
      <c r="D7428" s="329">
        <v>108.02</v>
      </c>
    </row>
    <row r="7429" spans="1:4" ht="30">
      <c r="A7429" s="47">
        <v>2622</v>
      </c>
      <c r="B7429" s="48" t="s">
        <v>11280</v>
      </c>
      <c r="C7429" s="47" t="s">
        <v>65</v>
      </c>
      <c r="D7429" s="332">
        <v>2.56</v>
      </c>
    </row>
    <row r="7430" spans="1:4" ht="30">
      <c r="A7430" s="28">
        <v>2623</v>
      </c>
      <c r="B7430" s="26" t="s">
        <v>11281</v>
      </c>
      <c r="C7430" s="28" t="s">
        <v>65</v>
      </c>
      <c r="D7430" s="329">
        <v>3.08</v>
      </c>
    </row>
    <row r="7431" spans="1:4" ht="30">
      <c r="A7431" s="47">
        <v>2624</v>
      </c>
      <c r="B7431" s="48" t="s">
        <v>11282</v>
      </c>
      <c r="C7431" s="47" t="s">
        <v>65</v>
      </c>
      <c r="D7431" s="332">
        <v>4.91</v>
      </c>
    </row>
    <row r="7432" spans="1:4" ht="30">
      <c r="A7432" s="28">
        <v>2625</v>
      </c>
      <c r="B7432" s="26" t="s">
        <v>11283</v>
      </c>
      <c r="C7432" s="28" t="s">
        <v>65</v>
      </c>
      <c r="D7432" s="329">
        <v>10.36</v>
      </c>
    </row>
    <row r="7433" spans="1:4" ht="30">
      <c r="A7433" s="47">
        <v>2626</v>
      </c>
      <c r="B7433" s="48" t="s">
        <v>11284</v>
      </c>
      <c r="C7433" s="47" t="s">
        <v>65</v>
      </c>
      <c r="D7433" s="332">
        <v>15.18</v>
      </c>
    </row>
    <row r="7434" spans="1:4" ht="30">
      <c r="A7434" s="28">
        <v>2630</v>
      </c>
      <c r="B7434" s="26" t="s">
        <v>11285</v>
      </c>
      <c r="C7434" s="28" t="s">
        <v>65</v>
      </c>
      <c r="D7434" s="329">
        <v>23.1</v>
      </c>
    </row>
    <row r="7435" spans="1:4" ht="30">
      <c r="A7435" s="47">
        <v>2627</v>
      </c>
      <c r="B7435" s="48" t="s">
        <v>11286</v>
      </c>
      <c r="C7435" s="47" t="s">
        <v>65</v>
      </c>
      <c r="D7435" s="332">
        <v>40.68</v>
      </c>
    </row>
    <row r="7436" spans="1:4" ht="30">
      <c r="A7436" s="28">
        <v>2629</v>
      </c>
      <c r="B7436" s="26" t="s">
        <v>11287</v>
      </c>
      <c r="C7436" s="28" t="s">
        <v>65</v>
      </c>
      <c r="D7436" s="329">
        <v>55.03</v>
      </c>
    </row>
    <row r="7437" spans="1:4" ht="30">
      <c r="A7437" s="47">
        <v>2615</v>
      </c>
      <c r="B7437" s="48" t="s">
        <v>11288</v>
      </c>
      <c r="C7437" s="47" t="s">
        <v>65</v>
      </c>
      <c r="D7437" s="332">
        <v>71.75</v>
      </c>
    </row>
    <row r="7438" spans="1:4" ht="30">
      <c r="A7438" s="28">
        <v>2635</v>
      </c>
      <c r="B7438" s="26" t="s">
        <v>11289</v>
      </c>
      <c r="C7438" s="28" t="s">
        <v>65</v>
      </c>
      <c r="D7438" s="329">
        <v>2.14</v>
      </c>
    </row>
    <row r="7439" spans="1:4" ht="30">
      <c r="A7439" s="47">
        <v>2609</v>
      </c>
      <c r="B7439" s="48" t="s">
        <v>11290</v>
      </c>
      <c r="C7439" s="47" t="s">
        <v>65</v>
      </c>
      <c r="D7439" s="332">
        <v>2.41</v>
      </c>
    </row>
    <row r="7440" spans="1:4" ht="30">
      <c r="A7440" s="28">
        <v>2634</v>
      </c>
      <c r="B7440" s="26" t="s">
        <v>11291</v>
      </c>
      <c r="C7440" s="28" t="s">
        <v>65</v>
      </c>
      <c r="D7440" s="329">
        <v>3.16</v>
      </c>
    </row>
    <row r="7441" spans="1:4" ht="30">
      <c r="A7441" s="47">
        <v>2611</v>
      </c>
      <c r="B7441" s="48" t="s">
        <v>11292</v>
      </c>
      <c r="C7441" s="47" t="s">
        <v>65</v>
      </c>
      <c r="D7441" s="332">
        <v>8.92</v>
      </c>
    </row>
    <row r="7442" spans="1:4" ht="30">
      <c r="A7442" s="28">
        <v>2612</v>
      </c>
      <c r="B7442" s="26" t="s">
        <v>11293</v>
      </c>
      <c r="C7442" s="28" t="s">
        <v>65</v>
      </c>
      <c r="D7442" s="329">
        <v>12.97</v>
      </c>
    </row>
    <row r="7443" spans="1:4" ht="30">
      <c r="A7443" s="47">
        <v>2613</v>
      </c>
      <c r="B7443" s="48" t="s">
        <v>11294</v>
      </c>
      <c r="C7443" s="47" t="s">
        <v>65</v>
      </c>
      <c r="D7443" s="332">
        <v>31.32</v>
      </c>
    </row>
    <row r="7444" spans="1:4" ht="30">
      <c r="A7444" s="28">
        <v>2614</v>
      </c>
      <c r="B7444" s="26" t="s">
        <v>11295</v>
      </c>
      <c r="C7444" s="28" t="s">
        <v>65</v>
      </c>
      <c r="D7444" s="329">
        <v>43.55</v>
      </c>
    </row>
    <row r="7445" spans="1:4" ht="30">
      <c r="A7445" s="47">
        <v>2621</v>
      </c>
      <c r="B7445" s="48" t="s">
        <v>11296</v>
      </c>
      <c r="C7445" s="47" t="s">
        <v>65</v>
      </c>
      <c r="D7445" s="332">
        <v>76.319999999999993</v>
      </c>
    </row>
    <row r="7446" spans="1:4" ht="30">
      <c r="A7446" s="28">
        <v>2616</v>
      </c>
      <c r="B7446" s="26" t="s">
        <v>11297</v>
      </c>
      <c r="C7446" s="28" t="s">
        <v>65</v>
      </c>
      <c r="D7446" s="329">
        <v>2.16</v>
      </c>
    </row>
    <row r="7447" spans="1:4" ht="30">
      <c r="A7447" s="47">
        <v>2633</v>
      </c>
      <c r="B7447" s="48" t="s">
        <v>11298</v>
      </c>
      <c r="C7447" s="47" t="s">
        <v>65</v>
      </c>
      <c r="D7447" s="332">
        <v>2.44</v>
      </c>
    </row>
    <row r="7448" spans="1:4" ht="30">
      <c r="A7448" s="28">
        <v>2617</v>
      </c>
      <c r="B7448" s="26" t="s">
        <v>11299</v>
      </c>
      <c r="C7448" s="28" t="s">
        <v>65</v>
      </c>
      <c r="D7448" s="329">
        <v>3.32</v>
      </c>
    </row>
    <row r="7449" spans="1:4" ht="30">
      <c r="A7449" s="47">
        <v>2618</v>
      </c>
      <c r="B7449" s="48" t="s">
        <v>11300</v>
      </c>
      <c r="C7449" s="47" t="s">
        <v>65</v>
      </c>
      <c r="D7449" s="332">
        <v>7.56</v>
      </c>
    </row>
    <row r="7450" spans="1:4" ht="30">
      <c r="A7450" s="28">
        <v>2632</v>
      </c>
      <c r="B7450" s="26" t="s">
        <v>11301</v>
      </c>
      <c r="C7450" s="28" t="s">
        <v>65</v>
      </c>
      <c r="D7450" s="329">
        <v>9.2200000000000006</v>
      </c>
    </row>
    <row r="7451" spans="1:4" ht="30">
      <c r="A7451" s="47">
        <v>2631</v>
      </c>
      <c r="B7451" s="48" t="s">
        <v>11302</v>
      </c>
      <c r="C7451" s="47" t="s">
        <v>65</v>
      </c>
      <c r="D7451" s="332">
        <v>13.53</v>
      </c>
    </row>
    <row r="7452" spans="1:4" ht="30">
      <c r="A7452" s="28">
        <v>2619</v>
      </c>
      <c r="B7452" s="26" t="s">
        <v>11303</v>
      </c>
      <c r="C7452" s="28" t="s">
        <v>65</v>
      </c>
      <c r="D7452" s="329">
        <v>34.270000000000003</v>
      </c>
    </row>
    <row r="7453" spans="1:4" ht="30">
      <c r="A7453" s="47">
        <v>2620</v>
      </c>
      <c r="B7453" s="48" t="s">
        <v>11304</v>
      </c>
      <c r="C7453" s="47" t="s">
        <v>65</v>
      </c>
      <c r="D7453" s="332">
        <v>45</v>
      </c>
    </row>
    <row r="7454" spans="1:4">
      <c r="A7454" s="28">
        <v>1932</v>
      </c>
      <c r="B7454" s="26" t="s">
        <v>4606</v>
      </c>
      <c r="C7454" s="28" t="s">
        <v>65</v>
      </c>
      <c r="D7454" s="329">
        <v>7.75</v>
      </c>
    </row>
    <row r="7455" spans="1:4">
      <c r="A7455" s="47">
        <v>1933</v>
      </c>
      <c r="B7455" s="48" t="s">
        <v>4608</v>
      </c>
      <c r="C7455" s="47" t="s">
        <v>65</v>
      </c>
      <c r="D7455" s="332">
        <v>3.41</v>
      </c>
    </row>
    <row r="7456" spans="1:4">
      <c r="A7456" s="28">
        <v>1951</v>
      </c>
      <c r="B7456" s="26" t="s">
        <v>4609</v>
      </c>
      <c r="C7456" s="28" t="s">
        <v>65</v>
      </c>
      <c r="D7456" s="329">
        <v>15.65</v>
      </c>
    </row>
    <row r="7457" spans="1:4">
      <c r="A7457" s="47">
        <v>1966</v>
      </c>
      <c r="B7457" s="48" t="s">
        <v>4607</v>
      </c>
      <c r="C7457" s="47" t="s">
        <v>65</v>
      </c>
      <c r="D7457" s="332">
        <v>16.600000000000001</v>
      </c>
    </row>
    <row r="7458" spans="1:4">
      <c r="A7458" s="28">
        <v>1952</v>
      </c>
      <c r="B7458" s="26" t="s">
        <v>4610</v>
      </c>
      <c r="C7458" s="28" t="s">
        <v>65</v>
      </c>
      <c r="D7458" s="329">
        <v>102.07</v>
      </c>
    </row>
    <row r="7459" spans="1:4">
      <c r="A7459" s="47">
        <v>20104</v>
      </c>
      <c r="B7459" s="48" t="s">
        <v>4611</v>
      </c>
      <c r="C7459" s="47" t="s">
        <v>65</v>
      </c>
      <c r="D7459" s="332">
        <v>387.92</v>
      </c>
    </row>
    <row r="7460" spans="1:4">
      <c r="A7460" s="28">
        <v>20105</v>
      </c>
      <c r="B7460" s="26" t="s">
        <v>4612</v>
      </c>
      <c r="C7460" s="28" t="s">
        <v>65</v>
      </c>
      <c r="D7460" s="329">
        <v>604.24</v>
      </c>
    </row>
    <row r="7461" spans="1:4">
      <c r="A7461" s="47">
        <v>1965</v>
      </c>
      <c r="B7461" s="48" t="s">
        <v>4613</v>
      </c>
      <c r="C7461" s="47" t="s">
        <v>65</v>
      </c>
      <c r="D7461" s="332">
        <v>30.46</v>
      </c>
    </row>
    <row r="7462" spans="1:4">
      <c r="A7462" s="28">
        <v>10765</v>
      </c>
      <c r="B7462" s="26" t="s">
        <v>4614</v>
      </c>
      <c r="C7462" s="28" t="s">
        <v>65</v>
      </c>
      <c r="D7462" s="329">
        <v>7.71</v>
      </c>
    </row>
    <row r="7463" spans="1:4">
      <c r="A7463" s="47">
        <v>10767</v>
      </c>
      <c r="B7463" s="48" t="s">
        <v>4615</v>
      </c>
      <c r="C7463" s="47" t="s">
        <v>65</v>
      </c>
      <c r="D7463" s="332">
        <v>21.21</v>
      </c>
    </row>
    <row r="7464" spans="1:4">
      <c r="A7464" s="28">
        <v>1970</v>
      </c>
      <c r="B7464" s="26" t="s">
        <v>4616</v>
      </c>
      <c r="C7464" s="28" t="s">
        <v>65</v>
      </c>
      <c r="D7464" s="329">
        <v>38.15</v>
      </c>
    </row>
    <row r="7465" spans="1:4">
      <c r="A7465" s="47">
        <v>1967</v>
      </c>
      <c r="B7465" s="48" t="s">
        <v>4617</v>
      </c>
      <c r="C7465" s="47" t="s">
        <v>65</v>
      </c>
      <c r="D7465" s="332">
        <v>3.52</v>
      </c>
    </row>
    <row r="7466" spans="1:4">
      <c r="A7466" s="28">
        <v>1968</v>
      </c>
      <c r="B7466" s="26" t="s">
        <v>4618</v>
      </c>
      <c r="C7466" s="28" t="s">
        <v>65</v>
      </c>
      <c r="D7466" s="329">
        <v>7.64</v>
      </c>
    </row>
    <row r="7467" spans="1:4">
      <c r="A7467" s="47">
        <v>1969</v>
      </c>
      <c r="B7467" s="48" t="s">
        <v>4619</v>
      </c>
      <c r="C7467" s="47" t="s">
        <v>65</v>
      </c>
      <c r="D7467" s="332">
        <v>23.87</v>
      </c>
    </row>
    <row r="7468" spans="1:4">
      <c r="A7468" s="28">
        <v>1839</v>
      </c>
      <c r="B7468" s="26" t="s">
        <v>4621</v>
      </c>
      <c r="C7468" s="28" t="s">
        <v>65</v>
      </c>
      <c r="D7468" s="329">
        <v>46.22</v>
      </c>
    </row>
    <row r="7469" spans="1:4">
      <c r="A7469" s="47">
        <v>1835</v>
      </c>
      <c r="B7469" s="48" t="s">
        <v>4622</v>
      </c>
      <c r="C7469" s="47" t="s">
        <v>65</v>
      </c>
      <c r="D7469" s="332">
        <v>11.32</v>
      </c>
    </row>
    <row r="7470" spans="1:4">
      <c r="A7470" s="28">
        <v>1823</v>
      </c>
      <c r="B7470" s="26" t="s">
        <v>4623</v>
      </c>
      <c r="C7470" s="28" t="s">
        <v>65</v>
      </c>
      <c r="D7470" s="329">
        <v>26.43</v>
      </c>
    </row>
    <row r="7471" spans="1:4">
      <c r="A7471" s="47">
        <v>1827</v>
      </c>
      <c r="B7471" s="48" t="s">
        <v>4624</v>
      </c>
      <c r="C7471" s="47" t="s">
        <v>65</v>
      </c>
      <c r="D7471" s="332">
        <v>47.55</v>
      </c>
    </row>
    <row r="7472" spans="1:4">
      <c r="A7472" s="28">
        <v>1831</v>
      </c>
      <c r="B7472" s="26" t="s">
        <v>4625</v>
      </c>
      <c r="C7472" s="28" t="s">
        <v>65</v>
      </c>
      <c r="D7472" s="329">
        <v>11.76</v>
      </c>
    </row>
    <row r="7473" spans="1:4">
      <c r="A7473" s="47">
        <v>1825</v>
      </c>
      <c r="B7473" s="48" t="s">
        <v>4626</v>
      </c>
      <c r="C7473" s="47" t="s">
        <v>65</v>
      </c>
      <c r="D7473" s="332">
        <v>26.38</v>
      </c>
    </row>
    <row r="7474" spans="1:4">
      <c r="A7474" s="28">
        <v>1828</v>
      </c>
      <c r="B7474" s="26" t="s">
        <v>4627</v>
      </c>
      <c r="C7474" s="28" t="s">
        <v>65</v>
      </c>
      <c r="D7474" s="329">
        <v>53.87</v>
      </c>
    </row>
    <row r="7475" spans="1:4">
      <c r="A7475" s="47">
        <v>1845</v>
      </c>
      <c r="B7475" s="48" t="s">
        <v>4628</v>
      </c>
      <c r="C7475" s="47" t="s">
        <v>65</v>
      </c>
      <c r="D7475" s="332">
        <v>12.88</v>
      </c>
    </row>
    <row r="7476" spans="1:4">
      <c r="A7476" s="28">
        <v>1824</v>
      </c>
      <c r="B7476" s="26" t="s">
        <v>4629</v>
      </c>
      <c r="C7476" s="28" t="s">
        <v>65</v>
      </c>
      <c r="D7476" s="329">
        <v>30.06</v>
      </c>
    </row>
    <row r="7477" spans="1:4">
      <c r="A7477" s="47">
        <v>1941</v>
      </c>
      <c r="B7477" s="48" t="s">
        <v>4600</v>
      </c>
      <c r="C7477" s="47" t="s">
        <v>65</v>
      </c>
      <c r="D7477" s="332">
        <v>13.59</v>
      </c>
    </row>
    <row r="7478" spans="1:4">
      <c r="A7478" s="28">
        <v>1940</v>
      </c>
      <c r="B7478" s="26" t="s">
        <v>4601</v>
      </c>
      <c r="C7478" s="28" t="s">
        <v>65</v>
      </c>
      <c r="D7478" s="329">
        <v>13.54</v>
      </c>
    </row>
    <row r="7479" spans="1:4">
      <c r="A7479" s="47">
        <v>1937</v>
      </c>
      <c r="B7479" s="48" t="s">
        <v>4603</v>
      </c>
      <c r="C7479" s="47" t="s">
        <v>65</v>
      </c>
      <c r="D7479" s="332">
        <v>2.33</v>
      </c>
    </row>
    <row r="7480" spans="1:4">
      <c r="A7480" s="28">
        <v>1939</v>
      </c>
      <c r="B7480" s="26" t="s">
        <v>4602</v>
      </c>
      <c r="C7480" s="28" t="s">
        <v>65</v>
      </c>
      <c r="D7480" s="329">
        <v>5.34</v>
      </c>
    </row>
    <row r="7481" spans="1:4">
      <c r="A7481" s="47">
        <v>1942</v>
      </c>
      <c r="B7481" s="48" t="s">
        <v>4604</v>
      </c>
      <c r="C7481" s="47" t="s">
        <v>65</v>
      </c>
      <c r="D7481" s="332">
        <v>25.72</v>
      </c>
    </row>
    <row r="7482" spans="1:4">
      <c r="A7482" s="28">
        <v>1938</v>
      </c>
      <c r="B7482" s="26" t="s">
        <v>4605</v>
      </c>
      <c r="C7482" s="28" t="s">
        <v>65</v>
      </c>
      <c r="D7482" s="329">
        <v>2.94</v>
      </c>
    </row>
    <row r="7483" spans="1:4">
      <c r="A7483" s="47">
        <v>1858</v>
      </c>
      <c r="B7483" s="48" t="s">
        <v>4631</v>
      </c>
      <c r="C7483" s="47" t="s">
        <v>65</v>
      </c>
      <c r="D7483" s="332">
        <v>18.809999999999999</v>
      </c>
    </row>
    <row r="7484" spans="1:4">
      <c r="A7484" s="28">
        <v>1857</v>
      </c>
      <c r="B7484" s="26" t="s">
        <v>4632</v>
      </c>
      <c r="C7484" s="28" t="s">
        <v>65</v>
      </c>
      <c r="D7484" s="329">
        <v>46.01</v>
      </c>
    </row>
    <row r="7485" spans="1:4">
      <c r="A7485" s="47">
        <v>1844</v>
      </c>
      <c r="B7485" s="48" t="s">
        <v>4633</v>
      </c>
      <c r="C7485" s="47" t="s">
        <v>65</v>
      </c>
      <c r="D7485" s="332">
        <v>80.66</v>
      </c>
    </row>
    <row r="7486" spans="1:4">
      <c r="A7486" s="28">
        <v>1836</v>
      </c>
      <c r="B7486" s="26" t="s">
        <v>4634</v>
      </c>
      <c r="C7486" s="28" t="s">
        <v>65</v>
      </c>
      <c r="D7486" s="329">
        <v>177.69</v>
      </c>
    </row>
    <row r="7487" spans="1:4">
      <c r="A7487" s="47">
        <v>1837</v>
      </c>
      <c r="B7487" s="48" t="s">
        <v>4635</v>
      </c>
      <c r="C7487" s="47" t="s">
        <v>65</v>
      </c>
      <c r="D7487" s="332">
        <v>292.29000000000002</v>
      </c>
    </row>
    <row r="7488" spans="1:4">
      <c r="A7488" s="28">
        <v>1860</v>
      </c>
      <c r="B7488" s="26" t="s">
        <v>4636</v>
      </c>
      <c r="C7488" s="28" t="s">
        <v>65</v>
      </c>
      <c r="D7488" s="329">
        <v>575.61</v>
      </c>
    </row>
    <row r="7489" spans="1:4">
      <c r="A7489" s="47">
        <v>1862</v>
      </c>
      <c r="B7489" s="48" t="s">
        <v>4637</v>
      </c>
      <c r="C7489" s="47" t="s">
        <v>65</v>
      </c>
      <c r="D7489" s="332">
        <v>924.8</v>
      </c>
    </row>
    <row r="7490" spans="1:4">
      <c r="A7490" s="28">
        <v>1863</v>
      </c>
      <c r="B7490" s="26" t="s">
        <v>4638</v>
      </c>
      <c r="C7490" s="28" t="s">
        <v>65</v>
      </c>
      <c r="D7490" s="329">
        <v>18.079999999999998</v>
      </c>
    </row>
    <row r="7491" spans="1:4">
      <c r="A7491" s="47">
        <v>1864</v>
      </c>
      <c r="B7491" s="48" t="s">
        <v>4639</v>
      </c>
      <c r="C7491" s="47" t="s">
        <v>65</v>
      </c>
      <c r="D7491" s="332">
        <v>47.36</v>
      </c>
    </row>
    <row r="7492" spans="1:4">
      <c r="A7492" s="28">
        <v>1865</v>
      </c>
      <c r="B7492" s="26" t="s">
        <v>4640</v>
      </c>
      <c r="C7492" s="28" t="s">
        <v>65</v>
      </c>
      <c r="D7492" s="329">
        <v>81.23</v>
      </c>
    </row>
    <row r="7493" spans="1:4">
      <c r="A7493" s="47">
        <v>1866</v>
      </c>
      <c r="B7493" s="48" t="s">
        <v>4641</v>
      </c>
      <c r="C7493" s="47" t="s">
        <v>65</v>
      </c>
      <c r="D7493" s="332">
        <v>222.22</v>
      </c>
    </row>
    <row r="7494" spans="1:4">
      <c r="A7494" s="28">
        <v>1853</v>
      </c>
      <c r="B7494" s="26" t="s">
        <v>4642</v>
      </c>
      <c r="C7494" s="28" t="s">
        <v>65</v>
      </c>
      <c r="D7494" s="329">
        <v>328.53</v>
      </c>
    </row>
    <row r="7495" spans="1:4">
      <c r="A7495" s="47">
        <v>1867</v>
      </c>
      <c r="B7495" s="48" t="s">
        <v>4643</v>
      </c>
      <c r="C7495" s="47" t="s">
        <v>65</v>
      </c>
      <c r="D7495" s="332">
        <v>727.3</v>
      </c>
    </row>
    <row r="7496" spans="1:4">
      <c r="A7496" s="28">
        <v>1868</v>
      </c>
      <c r="B7496" s="26" t="s">
        <v>4644</v>
      </c>
      <c r="C7496" s="28" t="s">
        <v>65</v>
      </c>
      <c r="D7496" s="329">
        <v>1049.51</v>
      </c>
    </row>
    <row r="7497" spans="1:4">
      <c r="A7497" s="47">
        <v>1859</v>
      </c>
      <c r="B7497" s="48" t="s">
        <v>4645</v>
      </c>
      <c r="C7497" s="47" t="s">
        <v>65</v>
      </c>
      <c r="D7497" s="332">
        <v>1373.58</v>
      </c>
    </row>
    <row r="7498" spans="1:4" ht="30">
      <c r="A7498" s="28">
        <v>20097</v>
      </c>
      <c r="B7498" s="26" t="s">
        <v>4646</v>
      </c>
      <c r="C7498" s="28" t="s">
        <v>65</v>
      </c>
      <c r="D7498" s="329">
        <v>31.57</v>
      </c>
    </row>
    <row r="7499" spans="1:4" ht="30">
      <c r="A7499" s="47">
        <v>20098</v>
      </c>
      <c r="B7499" s="48" t="s">
        <v>4647</v>
      </c>
      <c r="C7499" s="47" t="s">
        <v>65</v>
      </c>
      <c r="D7499" s="332">
        <v>227.66</v>
      </c>
    </row>
    <row r="7500" spans="1:4" ht="30">
      <c r="A7500" s="28">
        <v>20096</v>
      </c>
      <c r="B7500" s="26" t="s">
        <v>4648</v>
      </c>
      <c r="C7500" s="28" t="s">
        <v>65</v>
      </c>
      <c r="D7500" s="329">
        <v>18.2</v>
      </c>
    </row>
    <row r="7501" spans="1:4">
      <c r="A7501" s="47">
        <v>1964</v>
      </c>
      <c r="B7501" s="48" t="s">
        <v>4630</v>
      </c>
      <c r="C7501" s="47" t="s">
        <v>65</v>
      </c>
      <c r="D7501" s="332">
        <v>23.22</v>
      </c>
    </row>
    <row r="7502" spans="1:4">
      <c r="A7502" s="28">
        <v>39274</v>
      </c>
      <c r="B7502" s="26" t="s">
        <v>4380</v>
      </c>
      <c r="C7502" s="28" t="s">
        <v>65</v>
      </c>
      <c r="D7502" s="329">
        <v>0.93</v>
      </c>
    </row>
    <row r="7503" spans="1:4">
      <c r="A7503" s="47">
        <v>12033</v>
      </c>
      <c r="B7503" s="48" t="s">
        <v>4384</v>
      </c>
      <c r="C7503" s="47" t="s">
        <v>65</v>
      </c>
      <c r="D7503" s="332">
        <v>3.83</v>
      </c>
    </row>
    <row r="7504" spans="1:4">
      <c r="A7504" s="28">
        <v>40408</v>
      </c>
      <c r="B7504" s="26" t="s">
        <v>4385</v>
      </c>
      <c r="C7504" s="28" t="s">
        <v>65</v>
      </c>
      <c r="D7504" s="329">
        <v>2.52</v>
      </c>
    </row>
    <row r="7505" spans="1:4">
      <c r="A7505" s="47">
        <v>40409</v>
      </c>
      <c r="B7505" s="48" t="s">
        <v>4387</v>
      </c>
      <c r="C7505" s="47" t="s">
        <v>65</v>
      </c>
      <c r="D7505" s="332">
        <v>0.89</v>
      </c>
    </row>
    <row r="7506" spans="1:4">
      <c r="A7506" s="28">
        <v>39276</v>
      </c>
      <c r="B7506" s="26" t="s">
        <v>4386</v>
      </c>
      <c r="C7506" s="28" t="s">
        <v>65</v>
      </c>
      <c r="D7506" s="329">
        <v>2.27</v>
      </c>
    </row>
    <row r="7507" spans="1:4">
      <c r="A7507" s="47">
        <v>39277</v>
      </c>
      <c r="B7507" s="48" t="s">
        <v>4388</v>
      </c>
      <c r="C7507" s="47" t="s">
        <v>65</v>
      </c>
      <c r="D7507" s="332">
        <v>6.13</v>
      </c>
    </row>
    <row r="7508" spans="1:4">
      <c r="A7508" s="28">
        <v>12034</v>
      </c>
      <c r="B7508" s="26" t="s">
        <v>4389</v>
      </c>
      <c r="C7508" s="28" t="s">
        <v>65</v>
      </c>
      <c r="D7508" s="329">
        <v>1.73</v>
      </c>
    </row>
    <row r="7509" spans="1:4">
      <c r="A7509" s="47">
        <v>39879</v>
      </c>
      <c r="B7509" s="48" t="s">
        <v>4390</v>
      </c>
      <c r="C7509" s="47" t="s">
        <v>65</v>
      </c>
      <c r="D7509" s="332">
        <v>3.56</v>
      </c>
    </row>
    <row r="7510" spans="1:4">
      <c r="A7510" s="28">
        <v>39880</v>
      </c>
      <c r="B7510" s="26" t="s">
        <v>4391</v>
      </c>
      <c r="C7510" s="28" t="s">
        <v>65</v>
      </c>
      <c r="D7510" s="329">
        <v>7.89</v>
      </c>
    </row>
    <row r="7511" spans="1:4">
      <c r="A7511" s="47">
        <v>39881</v>
      </c>
      <c r="B7511" s="48" t="s">
        <v>4392</v>
      </c>
      <c r="C7511" s="47" t="s">
        <v>65</v>
      </c>
      <c r="D7511" s="332">
        <v>12.66</v>
      </c>
    </row>
    <row r="7512" spans="1:4">
      <c r="A7512" s="28">
        <v>39882</v>
      </c>
      <c r="B7512" s="26" t="s">
        <v>4393</v>
      </c>
      <c r="C7512" s="28" t="s">
        <v>65</v>
      </c>
      <c r="D7512" s="329">
        <v>33.35</v>
      </c>
    </row>
    <row r="7513" spans="1:4">
      <c r="A7513" s="47">
        <v>39883</v>
      </c>
      <c r="B7513" s="48" t="s">
        <v>4394</v>
      </c>
      <c r="C7513" s="47" t="s">
        <v>65</v>
      </c>
      <c r="D7513" s="332">
        <v>53.26</v>
      </c>
    </row>
    <row r="7514" spans="1:4">
      <c r="A7514" s="28">
        <v>39884</v>
      </c>
      <c r="B7514" s="26" t="s">
        <v>4395</v>
      </c>
      <c r="C7514" s="28" t="s">
        <v>65</v>
      </c>
      <c r="D7514" s="329">
        <v>79.11</v>
      </c>
    </row>
    <row r="7515" spans="1:4">
      <c r="A7515" s="47">
        <v>39885</v>
      </c>
      <c r="B7515" s="48" t="s">
        <v>4396</v>
      </c>
      <c r="C7515" s="47" t="s">
        <v>65</v>
      </c>
      <c r="D7515" s="332">
        <v>188.02</v>
      </c>
    </row>
    <row r="7516" spans="1:4">
      <c r="A7516" s="28">
        <v>1777</v>
      </c>
      <c r="B7516" s="26" t="s">
        <v>4397</v>
      </c>
      <c r="C7516" s="28" t="s">
        <v>65</v>
      </c>
      <c r="D7516" s="329">
        <v>47.52</v>
      </c>
    </row>
    <row r="7517" spans="1:4">
      <c r="A7517" s="47">
        <v>1819</v>
      </c>
      <c r="B7517" s="48" t="s">
        <v>4398</v>
      </c>
      <c r="C7517" s="47" t="s">
        <v>65</v>
      </c>
      <c r="D7517" s="332">
        <v>34.57</v>
      </c>
    </row>
    <row r="7518" spans="1:4">
      <c r="A7518" s="28">
        <v>1775</v>
      </c>
      <c r="B7518" s="26" t="s">
        <v>4400</v>
      </c>
      <c r="C7518" s="28" t="s">
        <v>65</v>
      </c>
      <c r="D7518" s="329">
        <v>10.34</v>
      </c>
    </row>
    <row r="7519" spans="1:4">
      <c r="A7519" s="47">
        <v>1776</v>
      </c>
      <c r="B7519" s="48" t="s">
        <v>4399</v>
      </c>
      <c r="C7519" s="47" t="s">
        <v>65</v>
      </c>
      <c r="D7519" s="332">
        <v>28.12</v>
      </c>
    </row>
    <row r="7520" spans="1:4" ht="57.75" customHeight="1">
      <c r="A7520" s="28">
        <v>1778</v>
      </c>
      <c r="B7520" s="26" t="s">
        <v>4401</v>
      </c>
      <c r="C7520" s="28" t="s">
        <v>65</v>
      </c>
      <c r="D7520" s="329">
        <v>115.02</v>
      </c>
    </row>
    <row r="7521" spans="1:4" ht="57.75" customHeight="1">
      <c r="A7521" s="47">
        <v>1818</v>
      </c>
      <c r="B7521" s="48" t="s">
        <v>4402</v>
      </c>
      <c r="C7521" s="47" t="s">
        <v>65</v>
      </c>
      <c r="D7521" s="332">
        <v>76.349999999999994</v>
      </c>
    </row>
    <row r="7522" spans="1:4">
      <c r="A7522" s="28">
        <v>1820</v>
      </c>
      <c r="B7522" s="26" t="s">
        <v>4404</v>
      </c>
      <c r="C7522" s="28" t="s">
        <v>65</v>
      </c>
      <c r="D7522" s="329">
        <v>14.93</v>
      </c>
    </row>
    <row r="7523" spans="1:4">
      <c r="A7523" s="47">
        <v>1779</v>
      </c>
      <c r="B7523" s="48" t="s">
        <v>4403</v>
      </c>
      <c r="C7523" s="47" t="s">
        <v>65</v>
      </c>
      <c r="D7523" s="332">
        <v>167.28</v>
      </c>
    </row>
    <row r="7524" spans="1:4">
      <c r="A7524" s="28">
        <v>1780</v>
      </c>
      <c r="B7524" s="26" t="s">
        <v>4405</v>
      </c>
      <c r="C7524" s="28" t="s">
        <v>65</v>
      </c>
      <c r="D7524" s="329">
        <v>344.85</v>
      </c>
    </row>
    <row r="7525" spans="1:4">
      <c r="A7525" s="47">
        <v>1783</v>
      </c>
      <c r="B7525" s="48" t="s">
        <v>4406</v>
      </c>
      <c r="C7525" s="47" t="s">
        <v>65</v>
      </c>
      <c r="D7525" s="332">
        <v>36.46</v>
      </c>
    </row>
    <row r="7526" spans="1:4">
      <c r="A7526" s="28">
        <v>1782</v>
      </c>
      <c r="B7526" s="26" t="s">
        <v>4407</v>
      </c>
      <c r="C7526" s="28" t="s">
        <v>65</v>
      </c>
      <c r="D7526" s="329">
        <v>28.83</v>
      </c>
    </row>
    <row r="7527" spans="1:4">
      <c r="A7527" s="47">
        <v>1817</v>
      </c>
      <c r="B7527" s="48" t="s">
        <v>4409</v>
      </c>
      <c r="C7527" s="47" t="s">
        <v>65</v>
      </c>
      <c r="D7527" s="332">
        <v>8.59</v>
      </c>
    </row>
    <row r="7528" spans="1:4">
      <c r="A7528" s="28">
        <v>1781</v>
      </c>
      <c r="B7528" s="26" t="s">
        <v>4408</v>
      </c>
      <c r="C7528" s="28" t="s">
        <v>65</v>
      </c>
      <c r="D7528" s="329">
        <v>18.78</v>
      </c>
    </row>
    <row r="7529" spans="1:4">
      <c r="A7529" s="47">
        <v>1784</v>
      </c>
      <c r="B7529" s="48" t="s">
        <v>4410</v>
      </c>
      <c r="C7529" s="47" t="s">
        <v>65</v>
      </c>
      <c r="D7529" s="332">
        <v>102.96</v>
      </c>
    </row>
    <row r="7530" spans="1:4">
      <c r="A7530" s="28">
        <v>1810</v>
      </c>
      <c r="B7530" s="26" t="s">
        <v>4411</v>
      </c>
      <c r="C7530" s="28" t="s">
        <v>65</v>
      </c>
      <c r="D7530" s="329">
        <v>57.1</v>
      </c>
    </row>
    <row r="7531" spans="1:4">
      <c r="A7531" s="47">
        <v>1811</v>
      </c>
      <c r="B7531" s="48" t="s">
        <v>4413</v>
      </c>
      <c r="C7531" s="47" t="s">
        <v>65</v>
      </c>
      <c r="D7531" s="332">
        <v>12.35</v>
      </c>
    </row>
    <row r="7532" spans="1:4">
      <c r="A7532" s="28">
        <v>1812</v>
      </c>
      <c r="B7532" s="26" t="s">
        <v>4412</v>
      </c>
      <c r="C7532" s="28" t="s">
        <v>65</v>
      </c>
      <c r="D7532" s="329">
        <v>144.16</v>
      </c>
    </row>
    <row r="7533" spans="1:4">
      <c r="A7533" s="47">
        <v>34359</v>
      </c>
      <c r="B7533" s="48" t="s">
        <v>4427</v>
      </c>
      <c r="C7533" s="47" t="s">
        <v>65</v>
      </c>
      <c r="D7533" s="332">
        <v>8.14</v>
      </c>
    </row>
    <row r="7534" spans="1:4">
      <c r="A7534" s="28">
        <v>1789</v>
      </c>
      <c r="B7534" s="26" t="s">
        <v>11305</v>
      </c>
      <c r="C7534" s="28" t="s">
        <v>65</v>
      </c>
      <c r="D7534" s="329">
        <v>45.6</v>
      </c>
    </row>
    <row r="7535" spans="1:4">
      <c r="A7535" s="47">
        <v>1788</v>
      </c>
      <c r="B7535" s="48" t="s">
        <v>4428</v>
      </c>
      <c r="C7535" s="47" t="s">
        <v>65</v>
      </c>
      <c r="D7535" s="332">
        <v>36.549999999999997</v>
      </c>
    </row>
    <row r="7536" spans="1:4">
      <c r="A7536" s="28">
        <v>1786</v>
      </c>
      <c r="B7536" s="26" t="s">
        <v>4430</v>
      </c>
      <c r="C7536" s="28" t="s">
        <v>65</v>
      </c>
      <c r="D7536" s="329">
        <v>9.07</v>
      </c>
    </row>
    <row r="7537" spans="1:4">
      <c r="A7537" s="47">
        <v>1787</v>
      </c>
      <c r="B7537" s="48" t="s">
        <v>4429</v>
      </c>
      <c r="C7537" s="47" t="s">
        <v>65</v>
      </c>
      <c r="D7537" s="332">
        <v>21.73</v>
      </c>
    </row>
    <row r="7538" spans="1:4">
      <c r="A7538" s="28">
        <v>1791</v>
      </c>
      <c r="B7538" s="26" t="s">
        <v>4431</v>
      </c>
      <c r="C7538" s="28" t="s">
        <v>65</v>
      </c>
      <c r="D7538" s="329">
        <v>131.80000000000001</v>
      </c>
    </row>
    <row r="7539" spans="1:4">
      <c r="A7539" s="47">
        <v>1790</v>
      </c>
      <c r="B7539" s="48" t="s">
        <v>4432</v>
      </c>
      <c r="C7539" s="47" t="s">
        <v>65</v>
      </c>
      <c r="D7539" s="332">
        <v>75.95</v>
      </c>
    </row>
    <row r="7540" spans="1:4">
      <c r="A7540" s="28">
        <v>1813</v>
      </c>
      <c r="B7540" s="26" t="s">
        <v>4434</v>
      </c>
      <c r="C7540" s="28" t="s">
        <v>65</v>
      </c>
      <c r="D7540" s="329">
        <v>14.4</v>
      </c>
    </row>
    <row r="7541" spans="1:4">
      <c r="A7541" s="47">
        <v>1792</v>
      </c>
      <c r="B7541" s="48" t="s">
        <v>4433</v>
      </c>
      <c r="C7541" s="47" t="s">
        <v>65</v>
      </c>
      <c r="D7541" s="332">
        <v>177.91</v>
      </c>
    </row>
    <row r="7542" spans="1:4">
      <c r="A7542" s="28">
        <v>1793</v>
      </c>
      <c r="B7542" s="26" t="s">
        <v>4435</v>
      </c>
      <c r="C7542" s="28" t="s">
        <v>65</v>
      </c>
      <c r="D7542" s="329">
        <v>359.51</v>
      </c>
    </row>
    <row r="7543" spans="1:4">
      <c r="A7543" s="47">
        <v>1809</v>
      </c>
      <c r="B7543" s="48" t="s">
        <v>4446</v>
      </c>
      <c r="C7543" s="47" t="s">
        <v>65</v>
      </c>
      <c r="D7543" s="332">
        <v>42.75</v>
      </c>
    </row>
    <row r="7544" spans="1:4">
      <c r="A7544" s="28">
        <v>1814</v>
      </c>
      <c r="B7544" s="26" t="s">
        <v>4447</v>
      </c>
      <c r="C7544" s="28" t="s">
        <v>65</v>
      </c>
      <c r="D7544" s="329">
        <v>35.119999999999997</v>
      </c>
    </row>
    <row r="7545" spans="1:4">
      <c r="A7545" s="47">
        <v>1803</v>
      </c>
      <c r="B7545" s="48" t="s">
        <v>4449</v>
      </c>
      <c r="C7545" s="47" t="s">
        <v>65</v>
      </c>
      <c r="D7545" s="332">
        <v>8.8699999999999992</v>
      </c>
    </row>
    <row r="7546" spans="1:4">
      <c r="A7546" s="28">
        <v>1805</v>
      </c>
      <c r="B7546" s="26" t="s">
        <v>4448</v>
      </c>
      <c r="C7546" s="28" t="s">
        <v>65</v>
      </c>
      <c r="D7546" s="329">
        <v>20.38</v>
      </c>
    </row>
    <row r="7547" spans="1:4">
      <c r="A7547" s="47">
        <v>1821</v>
      </c>
      <c r="B7547" s="48" t="s">
        <v>4450</v>
      </c>
      <c r="C7547" s="47" t="s">
        <v>65</v>
      </c>
      <c r="D7547" s="332">
        <v>120.42</v>
      </c>
    </row>
    <row r="7548" spans="1:4">
      <c r="A7548" s="28">
        <v>1806</v>
      </c>
      <c r="B7548" s="26" t="s">
        <v>4451</v>
      </c>
      <c r="C7548" s="28" t="s">
        <v>65</v>
      </c>
      <c r="D7548" s="329">
        <v>71.67</v>
      </c>
    </row>
    <row r="7549" spans="1:4">
      <c r="A7549" s="47">
        <v>1804</v>
      </c>
      <c r="B7549" s="48" t="s">
        <v>4453</v>
      </c>
      <c r="C7549" s="47" t="s">
        <v>65</v>
      </c>
      <c r="D7549" s="332">
        <v>12.63</v>
      </c>
    </row>
    <row r="7550" spans="1:4">
      <c r="A7550" s="28">
        <v>1807</v>
      </c>
      <c r="B7550" s="26" t="s">
        <v>4452</v>
      </c>
      <c r="C7550" s="28" t="s">
        <v>65</v>
      </c>
      <c r="D7550" s="329">
        <v>172.22</v>
      </c>
    </row>
    <row r="7551" spans="1:4">
      <c r="A7551" s="47">
        <v>1808</v>
      </c>
      <c r="B7551" s="48" t="s">
        <v>4454</v>
      </c>
      <c r="C7551" s="47" t="s">
        <v>65</v>
      </c>
      <c r="D7551" s="332">
        <v>345.28</v>
      </c>
    </row>
    <row r="7552" spans="1:4">
      <c r="A7552" s="28">
        <v>1797</v>
      </c>
      <c r="B7552" s="26" t="s">
        <v>4436</v>
      </c>
      <c r="C7552" s="28" t="s">
        <v>65</v>
      </c>
      <c r="D7552" s="329">
        <v>51.78</v>
      </c>
    </row>
    <row r="7553" spans="1:4">
      <c r="A7553" s="47">
        <v>1796</v>
      </c>
      <c r="B7553" s="48" t="s">
        <v>4437</v>
      </c>
      <c r="C7553" s="47" t="s">
        <v>65</v>
      </c>
      <c r="D7553" s="332">
        <v>39.72</v>
      </c>
    </row>
    <row r="7554" spans="1:4">
      <c r="A7554" s="28">
        <v>1794</v>
      </c>
      <c r="B7554" s="26" t="s">
        <v>4439</v>
      </c>
      <c r="C7554" s="28" t="s">
        <v>65</v>
      </c>
      <c r="D7554" s="329">
        <v>9.48</v>
      </c>
    </row>
    <row r="7555" spans="1:4">
      <c r="A7555" s="47">
        <v>1816</v>
      </c>
      <c r="B7555" s="48" t="s">
        <v>4438</v>
      </c>
      <c r="C7555" s="47" t="s">
        <v>65</v>
      </c>
      <c r="D7555" s="332">
        <v>21.38</v>
      </c>
    </row>
    <row r="7556" spans="1:4">
      <c r="A7556" s="28">
        <v>1815</v>
      </c>
      <c r="B7556" s="26" t="s">
        <v>4440</v>
      </c>
      <c r="C7556" s="28" t="s">
        <v>65</v>
      </c>
      <c r="D7556" s="329">
        <v>164.19</v>
      </c>
    </row>
    <row r="7557" spans="1:4">
      <c r="A7557" s="47">
        <v>1798</v>
      </c>
      <c r="B7557" s="48" t="s">
        <v>4441</v>
      </c>
      <c r="C7557" s="47" t="s">
        <v>65</v>
      </c>
      <c r="D7557" s="332">
        <v>73.47</v>
      </c>
    </row>
    <row r="7558" spans="1:4">
      <c r="A7558" s="28">
        <v>1795</v>
      </c>
      <c r="B7558" s="26" t="s">
        <v>4443</v>
      </c>
      <c r="C7558" s="28" t="s">
        <v>65</v>
      </c>
      <c r="D7558" s="329">
        <v>13.13</v>
      </c>
    </row>
    <row r="7559" spans="1:4">
      <c r="A7559" s="47">
        <v>1799</v>
      </c>
      <c r="B7559" s="48" t="s">
        <v>4442</v>
      </c>
      <c r="C7559" s="47" t="s">
        <v>65</v>
      </c>
      <c r="D7559" s="332">
        <v>213.84</v>
      </c>
    </row>
    <row r="7560" spans="1:4">
      <c r="A7560" s="28">
        <v>1800</v>
      </c>
      <c r="B7560" s="26" t="s">
        <v>4444</v>
      </c>
      <c r="C7560" s="28" t="s">
        <v>65</v>
      </c>
      <c r="D7560" s="329">
        <v>408.27</v>
      </c>
    </row>
    <row r="7561" spans="1:4">
      <c r="A7561" s="47">
        <v>1802</v>
      </c>
      <c r="B7561" s="48" t="s">
        <v>4445</v>
      </c>
      <c r="C7561" s="47" t="s">
        <v>65</v>
      </c>
      <c r="D7561" s="332">
        <v>1021.24</v>
      </c>
    </row>
    <row r="7562" spans="1:4">
      <c r="A7562" s="28">
        <v>39271</v>
      </c>
      <c r="B7562" s="26" t="s">
        <v>4480</v>
      </c>
      <c r="C7562" s="28" t="s">
        <v>65</v>
      </c>
      <c r="D7562" s="329">
        <v>0.77</v>
      </c>
    </row>
    <row r="7563" spans="1:4">
      <c r="A7563" s="47">
        <v>39273</v>
      </c>
      <c r="B7563" s="48" t="s">
        <v>4479</v>
      </c>
      <c r="C7563" s="47" t="s">
        <v>65</v>
      </c>
      <c r="D7563" s="332">
        <v>1.31</v>
      </c>
    </row>
    <row r="7564" spans="1:4">
      <c r="A7564" s="28">
        <v>39272</v>
      </c>
      <c r="B7564" s="26" t="s">
        <v>4481</v>
      </c>
      <c r="C7564" s="28" t="s">
        <v>65</v>
      </c>
      <c r="D7564" s="329">
        <v>0.95</v>
      </c>
    </row>
    <row r="7565" spans="1:4">
      <c r="A7565" s="47">
        <v>1875</v>
      </c>
      <c r="B7565" s="48" t="s">
        <v>4482</v>
      </c>
      <c r="C7565" s="47" t="s">
        <v>65</v>
      </c>
      <c r="D7565" s="332">
        <v>2.09</v>
      </c>
    </row>
    <row r="7566" spans="1:4">
      <c r="A7566" s="28">
        <v>1874</v>
      </c>
      <c r="B7566" s="26" t="s">
        <v>4483</v>
      </c>
      <c r="C7566" s="28" t="s">
        <v>65</v>
      </c>
      <c r="D7566" s="329">
        <v>1.73</v>
      </c>
    </row>
    <row r="7567" spans="1:4">
      <c r="A7567" s="47">
        <v>1870</v>
      </c>
      <c r="B7567" s="48" t="s">
        <v>4485</v>
      </c>
      <c r="C7567" s="47" t="s">
        <v>65</v>
      </c>
      <c r="D7567" s="332">
        <v>1</v>
      </c>
    </row>
    <row r="7568" spans="1:4">
      <c r="A7568" s="28">
        <v>1884</v>
      </c>
      <c r="B7568" s="26" t="s">
        <v>4484</v>
      </c>
      <c r="C7568" s="28" t="s">
        <v>65</v>
      </c>
      <c r="D7568" s="329">
        <v>1.53</v>
      </c>
    </row>
    <row r="7569" spans="1:4">
      <c r="A7569" s="47">
        <v>1887</v>
      </c>
      <c r="B7569" s="48" t="s">
        <v>4486</v>
      </c>
      <c r="C7569" s="47" t="s">
        <v>65</v>
      </c>
      <c r="D7569" s="332">
        <v>8.69</v>
      </c>
    </row>
    <row r="7570" spans="1:4">
      <c r="A7570" s="28">
        <v>1876</v>
      </c>
      <c r="B7570" s="26" t="s">
        <v>4487</v>
      </c>
      <c r="C7570" s="28" t="s">
        <v>65</v>
      </c>
      <c r="D7570" s="329">
        <v>3.4</v>
      </c>
    </row>
    <row r="7571" spans="1:4">
      <c r="A7571" s="47">
        <v>1879</v>
      </c>
      <c r="B7571" s="48" t="s">
        <v>4489</v>
      </c>
      <c r="C7571" s="47" t="s">
        <v>65</v>
      </c>
      <c r="D7571" s="332">
        <v>1.01</v>
      </c>
    </row>
    <row r="7572" spans="1:4">
      <c r="A7572" s="28">
        <v>1877</v>
      </c>
      <c r="B7572" s="26" t="s">
        <v>4488</v>
      </c>
      <c r="C7572" s="28" t="s">
        <v>65</v>
      </c>
      <c r="D7572" s="329">
        <v>8.6999999999999993</v>
      </c>
    </row>
    <row r="7573" spans="1:4">
      <c r="A7573" s="47">
        <v>1878</v>
      </c>
      <c r="B7573" s="48" t="s">
        <v>4490</v>
      </c>
      <c r="C7573" s="47" t="s">
        <v>65</v>
      </c>
      <c r="D7573" s="332">
        <v>17.489999999999998</v>
      </c>
    </row>
    <row r="7574" spans="1:4">
      <c r="A7574" s="28">
        <v>25968</v>
      </c>
      <c r="B7574" s="26" t="s">
        <v>156</v>
      </c>
      <c r="C7574" s="28" t="s">
        <v>65</v>
      </c>
      <c r="D7574" s="329">
        <v>22.46</v>
      </c>
    </row>
    <row r="7575" spans="1:4" ht="30">
      <c r="A7575" s="47">
        <v>38369</v>
      </c>
      <c r="B7575" s="48" t="s">
        <v>4667</v>
      </c>
      <c r="C7575" s="47" t="s">
        <v>65</v>
      </c>
      <c r="D7575" s="332">
        <v>9.9499999999999993</v>
      </c>
    </row>
    <row r="7576" spans="1:4">
      <c r="A7576" s="28">
        <v>38370</v>
      </c>
      <c r="B7576" s="26" t="s">
        <v>4668</v>
      </c>
      <c r="C7576" s="28" t="s">
        <v>65</v>
      </c>
      <c r="D7576" s="329">
        <v>9.9499999999999993</v>
      </c>
    </row>
    <row r="7577" spans="1:4">
      <c r="A7577" s="47">
        <v>38372</v>
      </c>
      <c r="B7577" s="48" t="s">
        <v>4675</v>
      </c>
      <c r="C7577" s="47" t="s">
        <v>65</v>
      </c>
      <c r="D7577" s="332">
        <v>13.31</v>
      </c>
    </row>
    <row r="7578" spans="1:4">
      <c r="A7578" s="28">
        <v>2357</v>
      </c>
      <c r="B7578" s="26" t="s">
        <v>157</v>
      </c>
      <c r="C7578" s="28" t="s">
        <v>57</v>
      </c>
      <c r="D7578" s="329">
        <v>17.68</v>
      </c>
    </row>
    <row r="7579" spans="1:4">
      <c r="A7579" s="47">
        <v>40806</v>
      </c>
      <c r="B7579" s="48" t="s">
        <v>158</v>
      </c>
      <c r="C7579" s="47" t="s">
        <v>1643</v>
      </c>
      <c r="D7579" s="332">
        <v>3114.96</v>
      </c>
    </row>
    <row r="7580" spans="1:4">
      <c r="A7580" s="28">
        <v>2355</v>
      </c>
      <c r="B7580" s="26" t="s">
        <v>159</v>
      </c>
      <c r="C7580" s="28" t="s">
        <v>57</v>
      </c>
      <c r="D7580" s="329">
        <v>21.51</v>
      </c>
    </row>
    <row r="7581" spans="1:4">
      <c r="A7581" s="47">
        <v>40805</v>
      </c>
      <c r="B7581" s="48" t="s">
        <v>160</v>
      </c>
      <c r="C7581" s="47" t="s">
        <v>1643</v>
      </c>
      <c r="D7581" s="332">
        <v>3788.51</v>
      </c>
    </row>
    <row r="7582" spans="1:4">
      <c r="A7582" s="28">
        <v>2358</v>
      </c>
      <c r="B7582" s="26" t="s">
        <v>161</v>
      </c>
      <c r="C7582" s="28" t="s">
        <v>57</v>
      </c>
      <c r="D7582" s="329">
        <v>32.15</v>
      </c>
    </row>
    <row r="7583" spans="1:4">
      <c r="A7583" s="47">
        <v>40807</v>
      </c>
      <c r="B7583" s="48" t="s">
        <v>162</v>
      </c>
      <c r="C7583" s="47" t="s">
        <v>1643</v>
      </c>
      <c r="D7583" s="332">
        <v>5663.07</v>
      </c>
    </row>
    <row r="7584" spans="1:4">
      <c r="A7584" s="28">
        <v>40808</v>
      </c>
      <c r="B7584" s="26" t="s">
        <v>4676</v>
      </c>
      <c r="C7584" s="28" t="s">
        <v>1643</v>
      </c>
      <c r="D7584" s="329">
        <v>3076.41</v>
      </c>
    </row>
    <row r="7585" spans="1:4">
      <c r="A7585" s="47">
        <v>39397</v>
      </c>
      <c r="B7585" s="48" t="s">
        <v>4679</v>
      </c>
      <c r="C7585" s="47" t="s">
        <v>91</v>
      </c>
      <c r="D7585" s="332">
        <v>12.76</v>
      </c>
    </row>
    <row r="7586" spans="1:4" ht="30">
      <c r="A7586" s="28">
        <v>2692</v>
      </c>
      <c r="B7586" s="26" t="s">
        <v>4680</v>
      </c>
      <c r="C7586" s="28" t="s">
        <v>91</v>
      </c>
      <c r="D7586" s="329">
        <v>6.04</v>
      </c>
    </row>
    <row r="7587" spans="1:4">
      <c r="A7587" s="47">
        <v>6</v>
      </c>
      <c r="B7587" s="48" t="s">
        <v>4682</v>
      </c>
      <c r="C7587" s="47" t="s">
        <v>91</v>
      </c>
      <c r="D7587" s="332">
        <v>2.5499999999999998</v>
      </c>
    </row>
    <row r="7588" spans="1:4">
      <c r="A7588" s="28">
        <v>5330</v>
      </c>
      <c r="B7588" s="26" t="s">
        <v>4683</v>
      </c>
      <c r="C7588" s="28" t="s">
        <v>91</v>
      </c>
      <c r="D7588" s="329">
        <v>27.95</v>
      </c>
    </row>
    <row r="7589" spans="1:4">
      <c r="A7589" s="47">
        <v>26017</v>
      </c>
      <c r="B7589" s="48" t="s">
        <v>4684</v>
      </c>
      <c r="C7589" s="47" t="s">
        <v>65</v>
      </c>
      <c r="D7589" s="332">
        <v>26.76</v>
      </c>
    </row>
    <row r="7590" spans="1:4" ht="30">
      <c r="A7590" s="28">
        <v>25931</v>
      </c>
      <c r="B7590" s="26" t="s">
        <v>4685</v>
      </c>
      <c r="C7590" s="28" t="s">
        <v>65</v>
      </c>
      <c r="D7590" s="329">
        <v>85.07</v>
      </c>
    </row>
    <row r="7591" spans="1:4" ht="30">
      <c r="A7591" s="47">
        <v>38140</v>
      </c>
      <c r="B7591" s="48" t="s">
        <v>4686</v>
      </c>
      <c r="C7591" s="47" t="s">
        <v>65</v>
      </c>
      <c r="D7591" s="332">
        <v>20.63</v>
      </c>
    </row>
    <row r="7592" spans="1:4" ht="30">
      <c r="A7592" s="28">
        <v>13887</v>
      </c>
      <c r="B7592" s="26" t="s">
        <v>4687</v>
      </c>
      <c r="C7592" s="28" t="s">
        <v>65</v>
      </c>
      <c r="D7592" s="329">
        <v>488.43</v>
      </c>
    </row>
    <row r="7593" spans="1:4">
      <c r="A7593" s="47">
        <v>26018</v>
      </c>
      <c r="B7593" s="48" t="s">
        <v>4688</v>
      </c>
      <c r="C7593" s="47" t="s">
        <v>65</v>
      </c>
      <c r="D7593" s="332">
        <v>21.74</v>
      </c>
    </row>
    <row r="7594" spans="1:4" ht="30">
      <c r="A7594" s="28">
        <v>26019</v>
      </c>
      <c r="B7594" s="26" t="s">
        <v>4689</v>
      </c>
      <c r="C7594" s="28" t="s">
        <v>65</v>
      </c>
      <c r="D7594" s="329">
        <v>20.53</v>
      </c>
    </row>
    <row r="7595" spans="1:4">
      <c r="A7595" s="47">
        <v>26020</v>
      </c>
      <c r="B7595" s="48" t="s">
        <v>4690</v>
      </c>
      <c r="C7595" s="47" t="s">
        <v>65</v>
      </c>
      <c r="D7595" s="332">
        <v>5.35</v>
      </c>
    </row>
    <row r="7596" spans="1:4">
      <c r="A7596" s="28">
        <v>34544</v>
      </c>
      <c r="B7596" s="26" t="s">
        <v>4691</v>
      </c>
      <c r="C7596" s="28" t="s">
        <v>65</v>
      </c>
      <c r="D7596" s="329">
        <v>1309.92</v>
      </c>
    </row>
    <row r="7597" spans="1:4" ht="30">
      <c r="A7597" s="47">
        <v>34729</v>
      </c>
      <c r="B7597" s="48" t="s">
        <v>4707</v>
      </c>
      <c r="C7597" s="47" t="s">
        <v>65</v>
      </c>
      <c r="D7597" s="332">
        <v>1030.45</v>
      </c>
    </row>
    <row r="7598" spans="1:4" ht="30">
      <c r="A7598" s="28">
        <v>34734</v>
      </c>
      <c r="B7598" s="26" t="s">
        <v>4708</v>
      </c>
      <c r="C7598" s="28" t="s">
        <v>65</v>
      </c>
      <c r="D7598" s="329">
        <v>1595.47</v>
      </c>
    </row>
    <row r="7599" spans="1:4" ht="30">
      <c r="A7599" s="47">
        <v>34738</v>
      </c>
      <c r="B7599" s="48" t="s">
        <v>4709</v>
      </c>
      <c r="C7599" s="47" t="s">
        <v>65</v>
      </c>
      <c r="D7599" s="332">
        <v>3727.53</v>
      </c>
    </row>
    <row r="7600" spans="1:4">
      <c r="A7600" s="28">
        <v>2391</v>
      </c>
      <c r="B7600" s="26" t="s">
        <v>4713</v>
      </c>
      <c r="C7600" s="28" t="s">
        <v>65</v>
      </c>
      <c r="D7600" s="329">
        <v>303.17</v>
      </c>
    </row>
    <row r="7601" spans="1:4">
      <c r="A7601" s="47">
        <v>2374</v>
      </c>
      <c r="B7601" s="48" t="s">
        <v>4714</v>
      </c>
      <c r="C7601" s="47" t="s">
        <v>65</v>
      </c>
      <c r="D7601" s="332">
        <v>343.94</v>
      </c>
    </row>
    <row r="7602" spans="1:4">
      <c r="A7602" s="28">
        <v>2377</v>
      </c>
      <c r="B7602" s="26" t="s">
        <v>4715</v>
      </c>
      <c r="C7602" s="28" t="s">
        <v>65</v>
      </c>
      <c r="D7602" s="329">
        <v>482.68</v>
      </c>
    </row>
    <row r="7603" spans="1:4">
      <c r="A7603" s="47">
        <v>2393</v>
      </c>
      <c r="B7603" s="48" t="s">
        <v>4716</v>
      </c>
      <c r="C7603" s="47" t="s">
        <v>65</v>
      </c>
      <c r="D7603" s="332">
        <v>808.31</v>
      </c>
    </row>
    <row r="7604" spans="1:4">
      <c r="A7604" s="28">
        <v>34705</v>
      </c>
      <c r="B7604" s="26" t="s">
        <v>4717</v>
      </c>
      <c r="C7604" s="28" t="s">
        <v>65</v>
      </c>
      <c r="D7604" s="329">
        <v>706.99</v>
      </c>
    </row>
    <row r="7605" spans="1:4">
      <c r="A7605" s="47">
        <v>34707</v>
      </c>
      <c r="B7605" s="48" t="s">
        <v>4718</v>
      </c>
      <c r="C7605" s="47" t="s">
        <v>65</v>
      </c>
      <c r="D7605" s="332">
        <v>1310.06</v>
      </c>
    </row>
    <row r="7606" spans="1:4">
      <c r="A7606" s="28">
        <v>2378</v>
      </c>
      <c r="B7606" s="26" t="s">
        <v>4719</v>
      </c>
      <c r="C7606" s="28" t="s">
        <v>65</v>
      </c>
      <c r="D7606" s="329">
        <v>1110.33</v>
      </c>
    </row>
    <row r="7607" spans="1:4">
      <c r="A7607" s="47">
        <v>2379</v>
      </c>
      <c r="B7607" s="48" t="s">
        <v>4720</v>
      </c>
      <c r="C7607" s="47" t="s">
        <v>65</v>
      </c>
      <c r="D7607" s="332">
        <v>1110.33</v>
      </c>
    </row>
    <row r="7608" spans="1:4">
      <c r="A7608" s="28">
        <v>2376</v>
      </c>
      <c r="B7608" s="26" t="s">
        <v>4721</v>
      </c>
      <c r="C7608" s="28" t="s">
        <v>65</v>
      </c>
      <c r="D7608" s="329">
        <v>1828.7</v>
      </c>
    </row>
    <row r="7609" spans="1:4">
      <c r="A7609" s="47">
        <v>2394</v>
      </c>
      <c r="B7609" s="48" t="s">
        <v>4722</v>
      </c>
      <c r="C7609" s="47" t="s">
        <v>65</v>
      </c>
      <c r="D7609" s="332">
        <v>3909.43</v>
      </c>
    </row>
    <row r="7610" spans="1:4">
      <c r="A7610" s="28">
        <v>34686</v>
      </c>
      <c r="B7610" s="26" t="s">
        <v>4731</v>
      </c>
      <c r="C7610" s="28" t="s">
        <v>65</v>
      </c>
      <c r="D7610" s="329">
        <v>11.73</v>
      </c>
    </row>
    <row r="7611" spans="1:4">
      <c r="A7611" s="47">
        <v>34616</v>
      </c>
      <c r="B7611" s="48" t="s">
        <v>4734</v>
      </c>
      <c r="C7611" s="47" t="s">
        <v>65</v>
      </c>
      <c r="D7611" s="332">
        <v>45.36</v>
      </c>
    </row>
    <row r="7612" spans="1:4">
      <c r="A7612" s="28">
        <v>34623</v>
      </c>
      <c r="B7612" s="26" t="s">
        <v>4732</v>
      </c>
      <c r="C7612" s="28" t="s">
        <v>65</v>
      </c>
      <c r="D7612" s="329">
        <v>44.67</v>
      </c>
    </row>
    <row r="7613" spans="1:4">
      <c r="A7613" s="47">
        <v>34628</v>
      </c>
      <c r="B7613" s="48" t="s">
        <v>4733</v>
      </c>
      <c r="C7613" s="47" t="s">
        <v>65</v>
      </c>
      <c r="D7613" s="332">
        <v>63.98</v>
      </c>
    </row>
    <row r="7614" spans="1:4">
      <c r="A7614" s="28">
        <v>34653</v>
      </c>
      <c r="B7614" s="26" t="s">
        <v>4735</v>
      </c>
      <c r="C7614" s="28" t="s">
        <v>65</v>
      </c>
      <c r="D7614" s="329">
        <v>7.91</v>
      </c>
    </row>
    <row r="7615" spans="1:4">
      <c r="A7615" s="47">
        <v>34688</v>
      </c>
      <c r="B7615" s="48" t="s">
        <v>4736</v>
      </c>
      <c r="C7615" s="47" t="s">
        <v>65</v>
      </c>
      <c r="D7615" s="332">
        <v>14.34</v>
      </c>
    </row>
    <row r="7616" spans="1:4">
      <c r="A7616" s="28">
        <v>34709</v>
      </c>
      <c r="B7616" s="26" t="s">
        <v>4738</v>
      </c>
      <c r="C7616" s="28" t="s">
        <v>65</v>
      </c>
      <c r="D7616" s="329">
        <v>55.58</v>
      </c>
    </row>
    <row r="7617" spans="1:4">
      <c r="A7617" s="47">
        <v>34714</v>
      </c>
      <c r="B7617" s="48" t="s">
        <v>4737</v>
      </c>
      <c r="C7617" s="47" t="s">
        <v>65</v>
      </c>
      <c r="D7617" s="332">
        <v>66.38</v>
      </c>
    </row>
    <row r="7618" spans="1:4">
      <c r="A7618" s="28">
        <v>2388</v>
      </c>
      <c r="B7618" s="26" t="s">
        <v>4739</v>
      </c>
      <c r="C7618" s="28" t="s">
        <v>65</v>
      </c>
      <c r="D7618" s="329">
        <v>55.16</v>
      </c>
    </row>
    <row r="7619" spans="1:4">
      <c r="A7619" s="47">
        <v>34606</v>
      </c>
      <c r="B7619" s="48" t="s">
        <v>4740</v>
      </c>
      <c r="C7619" s="47" t="s">
        <v>65</v>
      </c>
      <c r="D7619" s="332">
        <v>84.62</v>
      </c>
    </row>
    <row r="7620" spans="1:4">
      <c r="A7620" s="28">
        <v>34689</v>
      </c>
      <c r="B7620" s="26" t="s">
        <v>4743</v>
      </c>
      <c r="C7620" s="28" t="s">
        <v>65</v>
      </c>
      <c r="D7620" s="329">
        <v>26.94</v>
      </c>
    </row>
    <row r="7621" spans="1:4">
      <c r="A7621" s="47">
        <v>2370</v>
      </c>
      <c r="B7621" s="48" t="s">
        <v>4741</v>
      </c>
      <c r="C7621" s="47" t="s">
        <v>65</v>
      </c>
      <c r="D7621" s="332">
        <v>10.25</v>
      </c>
    </row>
    <row r="7622" spans="1:4">
      <c r="A7622" s="28">
        <v>2386</v>
      </c>
      <c r="B7622" s="26" t="s">
        <v>4742</v>
      </c>
      <c r="C7622" s="28" t="s">
        <v>65</v>
      </c>
      <c r="D7622" s="329">
        <v>17.190000000000001</v>
      </c>
    </row>
    <row r="7623" spans="1:4">
      <c r="A7623" s="47">
        <v>2392</v>
      </c>
      <c r="B7623" s="48" t="s">
        <v>4744</v>
      </c>
      <c r="C7623" s="47" t="s">
        <v>65</v>
      </c>
      <c r="D7623" s="332">
        <v>68.8</v>
      </c>
    </row>
    <row r="7624" spans="1:4">
      <c r="A7624" s="28">
        <v>2373</v>
      </c>
      <c r="B7624" s="26" t="s">
        <v>4745</v>
      </c>
      <c r="C7624" s="28" t="s">
        <v>65</v>
      </c>
      <c r="D7624" s="329">
        <v>96.94</v>
      </c>
    </row>
    <row r="7625" spans="1:4" ht="30">
      <c r="A7625" s="47">
        <v>39465</v>
      </c>
      <c r="B7625" s="48" t="s">
        <v>4753</v>
      </c>
      <c r="C7625" s="47" t="s">
        <v>65</v>
      </c>
      <c r="D7625" s="332">
        <v>59.22</v>
      </c>
    </row>
    <row r="7626" spans="1:4" ht="30">
      <c r="A7626" s="28">
        <v>39466</v>
      </c>
      <c r="B7626" s="26" t="s">
        <v>4754</v>
      </c>
      <c r="C7626" s="28" t="s">
        <v>65</v>
      </c>
      <c r="D7626" s="329">
        <v>66.62</v>
      </c>
    </row>
    <row r="7627" spans="1:4" ht="30">
      <c r="A7627" s="47">
        <v>39467</v>
      </c>
      <c r="B7627" s="48" t="s">
        <v>4755</v>
      </c>
      <c r="C7627" s="47" t="s">
        <v>65</v>
      </c>
      <c r="D7627" s="332">
        <v>85.22</v>
      </c>
    </row>
    <row r="7628" spans="1:4" ht="30">
      <c r="A7628" s="28">
        <v>39468</v>
      </c>
      <c r="B7628" s="26" t="s">
        <v>4756</v>
      </c>
      <c r="C7628" s="28" t="s">
        <v>65</v>
      </c>
      <c r="D7628" s="329">
        <v>151.47</v>
      </c>
    </row>
    <row r="7629" spans="1:4" ht="30">
      <c r="A7629" s="47">
        <v>39469</v>
      </c>
      <c r="B7629" s="48" t="s">
        <v>4757</v>
      </c>
      <c r="C7629" s="47" t="s">
        <v>65</v>
      </c>
      <c r="D7629" s="332">
        <v>61.7</v>
      </c>
    </row>
    <row r="7630" spans="1:4" ht="30">
      <c r="A7630" s="28">
        <v>39470</v>
      </c>
      <c r="B7630" s="26" t="s">
        <v>4758</v>
      </c>
      <c r="C7630" s="28" t="s">
        <v>65</v>
      </c>
      <c r="D7630" s="329">
        <v>75.81</v>
      </c>
    </row>
    <row r="7631" spans="1:4" ht="30">
      <c r="A7631" s="47">
        <v>39471</v>
      </c>
      <c r="B7631" s="48" t="s">
        <v>4759</v>
      </c>
      <c r="C7631" s="47" t="s">
        <v>65</v>
      </c>
      <c r="D7631" s="332">
        <v>91.11</v>
      </c>
    </row>
    <row r="7632" spans="1:4" ht="30">
      <c r="A7632" s="28">
        <v>39472</v>
      </c>
      <c r="B7632" s="26" t="s">
        <v>4760</v>
      </c>
      <c r="C7632" s="28" t="s">
        <v>65</v>
      </c>
      <c r="D7632" s="329">
        <v>158.30000000000001</v>
      </c>
    </row>
    <row r="7633" spans="1:4" ht="30">
      <c r="A7633" s="47">
        <v>39473</v>
      </c>
      <c r="B7633" s="48" t="s">
        <v>11306</v>
      </c>
      <c r="C7633" s="47" t="s">
        <v>65</v>
      </c>
      <c r="D7633" s="332">
        <v>102.26</v>
      </c>
    </row>
    <row r="7634" spans="1:4" ht="30">
      <c r="A7634" s="28">
        <v>39474</v>
      </c>
      <c r="B7634" s="26" t="s">
        <v>4761</v>
      </c>
      <c r="C7634" s="28" t="s">
        <v>65</v>
      </c>
      <c r="D7634" s="329">
        <v>109.02</v>
      </c>
    </row>
    <row r="7635" spans="1:4" ht="30">
      <c r="A7635" s="47">
        <v>39475</v>
      </c>
      <c r="B7635" s="48" t="s">
        <v>4762</v>
      </c>
      <c r="C7635" s="47" t="s">
        <v>65</v>
      </c>
      <c r="D7635" s="332">
        <v>123.69</v>
      </c>
    </row>
    <row r="7636" spans="1:4" ht="30">
      <c r="A7636" s="28">
        <v>39476</v>
      </c>
      <c r="B7636" s="26" t="s">
        <v>4763</v>
      </c>
      <c r="C7636" s="28" t="s">
        <v>65</v>
      </c>
      <c r="D7636" s="329">
        <v>232.84</v>
      </c>
    </row>
    <row r="7637" spans="1:4" ht="30">
      <c r="A7637" s="47">
        <v>39477</v>
      </c>
      <c r="B7637" s="48" t="s">
        <v>4764</v>
      </c>
      <c r="C7637" s="47" t="s">
        <v>65</v>
      </c>
      <c r="D7637" s="332">
        <v>114.08</v>
      </c>
    </row>
    <row r="7638" spans="1:4" ht="30">
      <c r="A7638" s="28">
        <v>39478</v>
      </c>
      <c r="B7638" s="26" t="s">
        <v>4765</v>
      </c>
      <c r="C7638" s="28" t="s">
        <v>65</v>
      </c>
      <c r="D7638" s="329">
        <v>117.61</v>
      </c>
    </row>
    <row r="7639" spans="1:4" ht="30">
      <c r="A7639" s="47">
        <v>39479</v>
      </c>
      <c r="B7639" s="48" t="s">
        <v>4766</v>
      </c>
      <c r="C7639" s="47" t="s">
        <v>65</v>
      </c>
      <c r="D7639" s="332">
        <v>138.58000000000001</v>
      </c>
    </row>
    <row r="7640" spans="1:4" ht="30">
      <c r="A7640" s="28">
        <v>39480</v>
      </c>
      <c r="B7640" s="26" t="s">
        <v>4767</v>
      </c>
      <c r="C7640" s="28" t="s">
        <v>65</v>
      </c>
      <c r="D7640" s="329">
        <v>285.95</v>
      </c>
    </row>
    <row r="7641" spans="1:4">
      <c r="A7641" s="47">
        <v>39459</v>
      </c>
      <c r="B7641" s="48" t="s">
        <v>4768</v>
      </c>
      <c r="C7641" s="47" t="s">
        <v>65</v>
      </c>
      <c r="D7641" s="332">
        <v>242.7</v>
      </c>
    </row>
    <row r="7642" spans="1:4">
      <c r="A7642" s="28">
        <v>39445</v>
      </c>
      <c r="B7642" s="26" t="s">
        <v>4769</v>
      </c>
      <c r="C7642" s="28" t="s">
        <v>65</v>
      </c>
      <c r="D7642" s="329">
        <v>121.86</v>
      </c>
    </row>
    <row r="7643" spans="1:4">
      <c r="A7643" s="47">
        <v>39446</v>
      </c>
      <c r="B7643" s="48" t="s">
        <v>4770</v>
      </c>
      <c r="C7643" s="47" t="s">
        <v>65</v>
      </c>
      <c r="D7643" s="332">
        <v>124.03</v>
      </c>
    </row>
    <row r="7644" spans="1:4">
      <c r="A7644" s="28">
        <v>39447</v>
      </c>
      <c r="B7644" s="26" t="s">
        <v>4771</v>
      </c>
      <c r="C7644" s="28" t="s">
        <v>65</v>
      </c>
      <c r="D7644" s="329">
        <v>132.63</v>
      </c>
    </row>
    <row r="7645" spans="1:4">
      <c r="A7645" s="47">
        <v>39448</v>
      </c>
      <c r="B7645" s="48" t="s">
        <v>4772</v>
      </c>
      <c r="C7645" s="47" t="s">
        <v>65</v>
      </c>
      <c r="D7645" s="332">
        <v>226.16</v>
      </c>
    </row>
    <row r="7646" spans="1:4">
      <c r="A7646" s="28">
        <v>39450</v>
      </c>
      <c r="B7646" s="26" t="s">
        <v>4773</v>
      </c>
      <c r="C7646" s="28" t="s">
        <v>65</v>
      </c>
      <c r="D7646" s="329">
        <v>137.97999999999999</v>
      </c>
    </row>
    <row r="7647" spans="1:4">
      <c r="A7647" s="47">
        <v>39451</v>
      </c>
      <c r="B7647" s="48" t="s">
        <v>4774</v>
      </c>
      <c r="C7647" s="47" t="s">
        <v>65</v>
      </c>
      <c r="D7647" s="332">
        <v>150.5</v>
      </c>
    </row>
    <row r="7648" spans="1:4">
      <c r="A7648" s="28">
        <v>39452</v>
      </c>
      <c r="B7648" s="26" t="s">
        <v>4775</v>
      </c>
      <c r="C7648" s="28" t="s">
        <v>65</v>
      </c>
      <c r="D7648" s="329">
        <v>151.4</v>
      </c>
    </row>
    <row r="7649" spans="1:4">
      <c r="A7649" s="47">
        <v>39523</v>
      </c>
      <c r="B7649" s="48" t="s">
        <v>4776</v>
      </c>
      <c r="C7649" s="47" t="s">
        <v>65</v>
      </c>
      <c r="D7649" s="332">
        <v>253.36</v>
      </c>
    </row>
    <row r="7650" spans="1:4">
      <c r="A7650" s="28">
        <v>39449</v>
      </c>
      <c r="B7650" s="26" t="s">
        <v>4777</v>
      </c>
      <c r="C7650" s="28" t="s">
        <v>65</v>
      </c>
      <c r="D7650" s="329">
        <v>280.58</v>
      </c>
    </row>
    <row r="7651" spans="1:4">
      <c r="A7651" s="47">
        <v>39455</v>
      </c>
      <c r="B7651" s="48" t="s">
        <v>4778</v>
      </c>
      <c r="C7651" s="47" t="s">
        <v>65</v>
      </c>
      <c r="D7651" s="332">
        <v>138.84</v>
      </c>
    </row>
    <row r="7652" spans="1:4">
      <c r="A7652" s="28">
        <v>39456</v>
      </c>
      <c r="B7652" s="26" t="s">
        <v>4779</v>
      </c>
      <c r="C7652" s="28" t="s">
        <v>65</v>
      </c>
      <c r="D7652" s="329">
        <v>138.94</v>
      </c>
    </row>
    <row r="7653" spans="1:4">
      <c r="A7653" s="47">
        <v>39457</v>
      </c>
      <c r="B7653" s="48" t="s">
        <v>4780</v>
      </c>
      <c r="C7653" s="47" t="s">
        <v>65</v>
      </c>
      <c r="D7653" s="332">
        <v>151.47</v>
      </c>
    </row>
    <row r="7654" spans="1:4">
      <c r="A7654" s="28">
        <v>39458</v>
      </c>
      <c r="B7654" s="26" t="s">
        <v>4781</v>
      </c>
      <c r="C7654" s="28" t="s">
        <v>65</v>
      </c>
      <c r="D7654" s="329">
        <v>282.64999999999998</v>
      </c>
    </row>
    <row r="7655" spans="1:4">
      <c r="A7655" s="47">
        <v>39464</v>
      </c>
      <c r="B7655" s="48" t="s">
        <v>4782</v>
      </c>
      <c r="C7655" s="47" t="s">
        <v>65</v>
      </c>
      <c r="D7655" s="332">
        <v>454.53</v>
      </c>
    </row>
    <row r="7656" spans="1:4">
      <c r="A7656" s="28">
        <v>39460</v>
      </c>
      <c r="B7656" s="26" t="s">
        <v>4783</v>
      </c>
      <c r="C7656" s="28" t="s">
        <v>65</v>
      </c>
      <c r="D7656" s="329">
        <v>172.39</v>
      </c>
    </row>
    <row r="7657" spans="1:4">
      <c r="A7657" s="47">
        <v>39461</v>
      </c>
      <c r="B7657" s="48" t="s">
        <v>4784</v>
      </c>
      <c r="C7657" s="47" t="s">
        <v>65</v>
      </c>
      <c r="D7657" s="332">
        <v>202</v>
      </c>
    </row>
    <row r="7658" spans="1:4">
      <c r="A7658" s="28">
        <v>39462</v>
      </c>
      <c r="B7658" s="26" t="s">
        <v>4785</v>
      </c>
      <c r="C7658" s="28" t="s">
        <v>65</v>
      </c>
      <c r="D7658" s="329">
        <v>194.68</v>
      </c>
    </row>
    <row r="7659" spans="1:4">
      <c r="A7659" s="47">
        <v>39463</v>
      </c>
      <c r="B7659" s="48" t="s">
        <v>4786</v>
      </c>
      <c r="C7659" s="47" t="s">
        <v>65</v>
      </c>
      <c r="D7659" s="332">
        <v>451</v>
      </c>
    </row>
    <row r="7660" spans="1:4">
      <c r="A7660" s="28">
        <v>26039</v>
      </c>
      <c r="B7660" s="26" t="s">
        <v>4789</v>
      </c>
      <c r="C7660" s="28" t="s">
        <v>65</v>
      </c>
      <c r="D7660" s="329">
        <v>219233.16</v>
      </c>
    </row>
    <row r="7661" spans="1:4" ht="30">
      <c r="A7661" s="47">
        <v>2401</v>
      </c>
      <c r="B7661" s="48" t="s">
        <v>4800</v>
      </c>
      <c r="C7661" s="47" t="s">
        <v>65</v>
      </c>
      <c r="D7661" s="332">
        <v>50426.05</v>
      </c>
    </row>
    <row r="7662" spans="1:4" ht="30">
      <c r="A7662" s="28">
        <v>2414</v>
      </c>
      <c r="B7662" s="26" t="s">
        <v>4801</v>
      </c>
      <c r="C7662" s="28" t="s">
        <v>256</v>
      </c>
      <c r="D7662" s="329">
        <v>73.349999999999994</v>
      </c>
    </row>
    <row r="7663" spans="1:4" ht="30">
      <c r="A7663" s="47">
        <v>2413</v>
      </c>
      <c r="B7663" s="48" t="s">
        <v>4802</v>
      </c>
      <c r="C7663" s="47" t="s">
        <v>256</v>
      </c>
      <c r="D7663" s="332">
        <v>70.569999999999993</v>
      </c>
    </row>
    <row r="7664" spans="1:4" ht="30">
      <c r="A7664" s="28">
        <v>2405</v>
      </c>
      <c r="B7664" s="26" t="s">
        <v>4803</v>
      </c>
      <c r="C7664" s="28" t="s">
        <v>256</v>
      </c>
      <c r="D7664" s="329">
        <v>82.14</v>
      </c>
    </row>
    <row r="7665" spans="1:4" ht="30">
      <c r="A7665" s="47">
        <v>13361</v>
      </c>
      <c r="B7665" s="48" t="s">
        <v>4804</v>
      </c>
      <c r="C7665" s="47" t="s">
        <v>256</v>
      </c>
      <c r="D7665" s="332">
        <v>68.709999999999994</v>
      </c>
    </row>
    <row r="7666" spans="1:4" ht="30">
      <c r="A7666" s="28">
        <v>11987</v>
      </c>
      <c r="B7666" s="26" t="s">
        <v>4805</v>
      </c>
      <c r="C7666" s="28" t="s">
        <v>256</v>
      </c>
      <c r="D7666" s="329">
        <v>183.85</v>
      </c>
    </row>
    <row r="7667" spans="1:4" ht="30">
      <c r="A7667" s="47">
        <v>2416</v>
      </c>
      <c r="B7667" s="48" t="s">
        <v>4806</v>
      </c>
      <c r="C7667" s="47" t="s">
        <v>256</v>
      </c>
      <c r="D7667" s="332">
        <v>81.34</v>
      </c>
    </row>
    <row r="7668" spans="1:4" ht="30">
      <c r="A7668" s="28">
        <v>2412</v>
      </c>
      <c r="B7668" s="26" t="s">
        <v>4807</v>
      </c>
      <c r="C7668" s="28" t="s">
        <v>256</v>
      </c>
      <c r="D7668" s="329">
        <v>78.55</v>
      </c>
    </row>
    <row r="7669" spans="1:4" ht="30">
      <c r="A7669" s="47">
        <v>2411</v>
      </c>
      <c r="B7669" s="48" t="s">
        <v>4808</v>
      </c>
      <c r="C7669" s="47" t="s">
        <v>256</v>
      </c>
      <c r="D7669" s="332">
        <v>68.709999999999994</v>
      </c>
    </row>
    <row r="7670" spans="1:4" ht="30">
      <c r="A7670" s="28">
        <v>2406</v>
      </c>
      <c r="B7670" s="26" t="s">
        <v>4809</v>
      </c>
      <c r="C7670" s="28" t="s">
        <v>256</v>
      </c>
      <c r="D7670" s="329">
        <v>66.849999999999994</v>
      </c>
    </row>
    <row r="7671" spans="1:4" ht="30">
      <c r="A7671" s="47">
        <v>10571</v>
      </c>
      <c r="B7671" s="48" t="s">
        <v>4810</v>
      </c>
      <c r="C7671" s="47" t="s">
        <v>256</v>
      </c>
      <c r="D7671" s="332">
        <v>163.41999999999999</v>
      </c>
    </row>
    <row r="7672" spans="1:4" ht="30">
      <c r="A7672" s="28">
        <v>11985</v>
      </c>
      <c r="B7672" s="26" t="s">
        <v>4811</v>
      </c>
      <c r="C7672" s="28" t="s">
        <v>256</v>
      </c>
      <c r="D7672" s="329">
        <v>157.85</v>
      </c>
    </row>
    <row r="7673" spans="1:4" ht="30">
      <c r="A7673" s="47">
        <v>2410</v>
      </c>
      <c r="B7673" s="48" t="s">
        <v>4812</v>
      </c>
      <c r="C7673" s="47" t="s">
        <v>256</v>
      </c>
      <c r="D7673" s="332">
        <v>69.64</v>
      </c>
    </row>
    <row r="7674" spans="1:4" ht="30">
      <c r="A7674" s="28">
        <v>2417</v>
      </c>
      <c r="B7674" s="26" t="s">
        <v>4813</v>
      </c>
      <c r="C7674" s="28" t="s">
        <v>256</v>
      </c>
      <c r="D7674" s="329">
        <v>74.28</v>
      </c>
    </row>
    <row r="7675" spans="1:4" ht="30">
      <c r="A7675" s="47">
        <v>2415</v>
      </c>
      <c r="B7675" s="48" t="s">
        <v>4814</v>
      </c>
      <c r="C7675" s="47" t="s">
        <v>256</v>
      </c>
      <c r="D7675" s="332">
        <v>59.42</v>
      </c>
    </row>
    <row r="7676" spans="1:4" ht="30">
      <c r="A7676" s="28">
        <v>13360</v>
      </c>
      <c r="B7676" s="26" t="s">
        <v>4815</v>
      </c>
      <c r="C7676" s="28" t="s">
        <v>256</v>
      </c>
      <c r="D7676" s="329">
        <v>59.42</v>
      </c>
    </row>
    <row r="7677" spans="1:4" ht="30">
      <c r="A7677" s="47">
        <v>11983</v>
      </c>
      <c r="B7677" s="48" t="s">
        <v>4816</v>
      </c>
      <c r="C7677" s="47" t="s">
        <v>256</v>
      </c>
      <c r="D7677" s="332">
        <v>144.85</v>
      </c>
    </row>
    <row r="7678" spans="1:4" ht="30">
      <c r="A7678" s="28">
        <v>11986</v>
      </c>
      <c r="B7678" s="26" t="s">
        <v>4817</v>
      </c>
      <c r="C7678" s="28" t="s">
        <v>256</v>
      </c>
      <c r="D7678" s="329">
        <v>176.42</v>
      </c>
    </row>
    <row r="7679" spans="1:4">
      <c r="A7679" s="47">
        <v>25976</v>
      </c>
      <c r="B7679" s="48" t="s">
        <v>4818</v>
      </c>
      <c r="C7679" s="47" t="s">
        <v>256</v>
      </c>
      <c r="D7679" s="332">
        <v>342.13</v>
      </c>
    </row>
    <row r="7680" spans="1:4">
      <c r="A7680" s="28">
        <v>10629</v>
      </c>
      <c r="B7680" s="26" t="s">
        <v>4822</v>
      </c>
      <c r="C7680" s="28" t="s">
        <v>256</v>
      </c>
      <c r="D7680" s="329">
        <v>259.13</v>
      </c>
    </row>
    <row r="7681" spans="1:4">
      <c r="A7681" s="47">
        <v>10698</v>
      </c>
      <c r="B7681" s="48" t="s">
        <v>4824</v>
      </c>
      <c r="C7681" s="47" t="s">
        <v>256</v>
      </c>
      <c r="D7681" s="332">
        <v>66.95</v>
      </c>
    </row>
    <row r="7682" spans="1:4" ht="30">
      <c r="A7682" s="28">
        <v>40521</v>
      </c>
      <c r="B7682" s="26" t="s">
        <v>11307</v>
      </c>
      <c r="C7682" s="28" t="s">
        <v>65</v>
      </c>
      <c r="D7682" s="329">
        <v>69526.58</v>
      </c>
    </row>
    <row r="7683" spans="1:4" ht="30">
      <c r="A7683" s="47">
        <v>2432</v>
      </c>
      <c r="B7683" s="48" t="s">
        <v>4825</v>
      </c>
      <c r="C7683" s="47" t="s">
        <v>65</v>
      </c>
      <c r="D7683" s="332">
        <v>21.4</v>
      </c>
    </row>
    <row r="7684" spans="1:4" ht="30">
      <c r="A7684" s="28">
        <v>2418</v>
      </c>
      <c r="B7684" s="26" t="s">
        <v>4826</v>
      </c>
      <c r="C7684" s="28" t="s">
        <v>65</v>
      </c>
      <c r="D7684" s="329">
        <v>9.93</v>
      </c>
    </row>
    <row r="7685" spans="1:4" ht="30">
      <c r="A7685" s="47">
        <v>2433</v>
      </c>
      <c r="B7685" s="48" t="s">
        <v>4827</v>
      </c>
      <c r="C7685" s="47" t="s">
        <v>65</v>
      </c>
      <c r="D7685" s="332">
        <v>7.25</v>
      </c>
    </row>
    <row r="7686" spans="1:4" ht="30">
      <c r="A7686" s="28">
        <v>2420</v>
      </c>
      <c r="B7686" s="26" t="s">
        <v>4828</v>
      </c>
      <c r="C7686" s="28" t="s">
        <v>65</v>
      </c>
      <c r="D7686" s="329">
        <v>12.45</v>
      </c>
    </row>
    <row r="7687" spans="1:4" ht="30">
      <c r="A7687" s="47">
        <v>2421</v>
      </c>
      <c r="B7687" s="48" t="s">
        <v>4830</v>
      </c>
      <c r="C7687" s="47" t="s">
        <v>65</v>
      </c>
      <c r="D7687" s="332">
        <v>27.17</v>
      </c>
    </row>
    <row r="7688" spans="1:4" ht="30">
      <c r="A7688" s="28">
        <v>11447</v>
      </c>
      <c r="B7688" s="26" t="s">
        <v>4831</v>
      </c>
      <c r="C7688" s="28" t="s">
        <v>65</v>
      </c>
      <c r="D7688" s="329">
        <v>24.61</v>
      </c>
    </row>
    <row r="7689" spans="1:4">
      <c r="A7689" s="47">
        <v>2429</v>
      </c>
      <c r="B7689" s="48" t="s">
        <v>4832</v>
      </c>
      <c r="C7689" s="47" t="s">
        <v>65</v>
      </c>
      <c r="D7689" s="332">
        <v>62.29</v>
      </c>
    </row>
    <row r="7690" spans="1:4">
      <c r="A7690" s="28">
        <v>11449</v>
      </c>
      <c r="B7690" s="26" t="s">
        <v>4833</v>
      </c>
      <c r="C7690" s="28" t="s">
        <v>65</v>
      </c>
      <c r="D7690" s="329">
        <v>67.11</v>
      </c>
    </row>
    <row r="7691" spans="1:4" ht="30">
      <c r="A7691" s="47">
        <v>11451</v>
      </c>
      <c r="B7691" s="48" t="s">
        <v>4835</v>
      </c>
      <c r="C7691" s="47" t="s">
        <v>65</v>
      </c>
      <c r="D7691" s="332">
        <v>65.98</v>
      </c>
    </row>
    <row r="7692" spans="1:4">
      <c r="A7692" s="28">
        <v>11116</v>
      </c>
      <c r="B7692" s="26" t="s">
        <v>4836</v>
      </c>
      <c r="C7692" s="28" t="s">
        <v>65</v>
      </c>
      <c r="D7692" s="329">
        <v>280.12</v>
      </c>
    </row>
    <row r="7693" spans="1:4">
      <c r="A7693" s="47">
        <v>38411</v>
      </c>
      <c r="B7693" s="48" t="s">
        <v>4837</v>
      </c>
      <c r="C7693" s="47" t="s">
        <v>65</v>
      </c>
      <c r="D7693" s="332">
        <v>1101.3499999999999</v>
      </c>
    </row>
    <row r="7694" spans="1:4">
      <c r="A7694" s="28">
        <v>1370</v>
      </c>
      <c r="B7694" s="26" t="s">
        <v>4839</v>
      </c>
      <c r="C7694" s="28" t="s">
        <v>65</v>
      </c>
      <c r="D7694" s="329">
        <v>63.3</v>
      </c>
    </row>
    <row r="7695" spans="1:4">
      <c r="A7695" s="47">
        <v>38189</v>
      </c>
      <c r="B7695" s="48" t="s">
        <v>4840</v>
      </c>
      <c r="C7695" s="47" t="s">
        <v>65</v>
      </c>
      <c r="D7695" s="332">
        <v>159.12</v>
      </c>
    </row>
    <row r="7696" spans="1:4">
      <c r="A7696" s="28">
        <v>38190</v>
      </c>
      <c r="B7696" s="26" t="s">
        <v>4841</v>
      </c>
      <c r="C7696" s="28" t="s">
        <v>65</v>
      </c>
      <c r="D7696" s="329">
        <v>357.81</v>
      </c>
    </row>
    <row r="7697" spans="1:4" ht="30">
      <c r="A7697" s="47">
        <v>36516</v>
      </c>
      <c r="B7697" s="48" t="s">
        <v>4842</v>
      </c>
      <c r="C7697" s="47" t="s">
        <v>65</v>
      </c>
      <c r="D7697" s="332">
        <v>61252.32</v>
      </c>
    </row>
    <row r="7698" spans="1:4">
      <c r="A7698" s="28">
        <v>34777</v>
      </c>
      <c r="B7698" s="26" t="s">
        <v>4847</v>
      </c>
      <c r="C7698" s="28" t="s">
        <v>65</v>
      </c>
      <c r="D7698" s="329">
        <v>1.31</v>
      </c>
    </row>
    <row r="7699" spans="1:4">
      <c r="A7699" s="47">
        <v>7273</v>
      </c>
      <c r="B7699" s="48" t="s">
        <v>4848</v>
      </c>
      <c r="C7699" s="47" t="s">
        <v>65</v>
      </c>
      <c r="D7699" s="332">
        <v>2.15</v>
      </c>
    </row>
    <row r="7700" spans="1:4">
      <c r="A7700" s="28">
        <v>7272</v>
      </c>
      <c r="B7700" s="26" t="s">
        <v>4849</v>
      </c>
      <c r="C7700" s="28" t="s">
        <v>65</v>
      </c>
      <c r="D7700" s="329">
        <v>3</v>
      </c>
    </row>
    <row r="7701" spans="1:4">
      <c r="A7701" s="47">
        <v>10605</v>
      </c>
      <c r="B7701" s="48" t="s">
        <v>4850</v>
      </c>
      <c r="C7701" s="47" t="s">
        <v>65</v>
      </c>
      <c r="D7701" s="332">
        <v>1.99</v>
      </c>
    </row>
    <row r="7702" spans="1:4">
      <c r="A7702" s="28">
        <v>10604</v>
      </c>
      <c r="B7702" s="26" t="s">
        <v>4851</v>
      </c>
      <c r="C7702" s="28" t="s">
        <v>65</v>
      </c>
      <c r="D7702" s="329">
        <v>3.98</v>
      </c>
    </row>
    <row r="7703" spans="1:4">
      <c r="A7703" s="47">
        <v>672</v>
      </c>
      <c r="B7703" s="48" t="s">
        <v>4852</v>
      </c>
      <c r="C7703" s="47" t="s">
        <v>65</v>
      </c>
      <c r="D7703" s="332">
        <v>4.01</v>
      </c>
    </row>
    <row r="7704" spans="1:4">
      <c r="A7704" s="28">
        <v>668</v>
      </c>
      <c r="B7704" s="26" t="s">
        <v>4853</v>
      </c>
      <c r="C7704" s="28" t="s">
        <v>65</v>
      </c>
      <c r="D7704" s="329">
        <v>6.33</v>
      </c>
    </row>
    <row r="7705" spans="1:4">
      <c r="A7705" s="47">
        <v>10578</v>
      </c>
      <c r="B7705" s="48" t="s">
        <v>4854</v>
      </c>
      <c r="C7705" s="47" t="s">
        <v>65</v>
      </c>
      <c r="D7705" s="332">
        <v>11.03</v>
      </c>
    </row>
    <row r="7706" spans="1:4">
      <c r="A7706" s="28">
        <v>666</v>
      </c>
      <c r="B7706" s="26" t="s">
        <v>4855</v>
      </c>
      <c r="C7706" s="28" t="s">
        <v>65</v>
      </c>
      <c r="D7706" s="329">
        <v>10.95</v>
      </c>
    </row>
    <row r="7707" spans="1:4">
      <c r="A7707" s="47">
        <v>665</v>
      </c>
      <c r="B7707" s="48" t="s">
        <v>4856</v>
      </c>
      <c r="C7707" s="47" t="s">
        <v>65</v>
      </c>
      <c r="D7707" s="332">
        <v>20.52</v>
      </c>
    </row>
    <row r="7708" spans="1:4">
      <c r="A7708" s="28">
        <v>10577</v>
      </c>
      <c r="B7708" s="26" t="s">
        <v>4857</v>
      </c>
      <c r="C7708" s="28" t="s">
        <v>65</v>
      </c>
      <c r="D7708" s="329">
        <v>16.059999999999999</v>
      </c>
    </row>
    <row r="7709" spans="1:4">
      <c r="A7709" s="47">
        <v>10583</v>
      </c>
      <c r="B7709" s="48" t="s">
        <v>4858</v>
      </c>
      <c r="C7709" s="47" t="s">
        <v>65</v>
      </c>
      <c r="D7709" s="332">
        <v>9</v>
      </c>
    </row>
    <row r="7710" spans="1:4">
      <c r="A7710" s="28">
        <v>10579</v>
      </c>
      <c r="B7710" s="26" t="s">
        <v>4859</v>
      </c>
      <c r="C7710" s="28" t="s">
        <v>65</v>
      </c>
      <c r="D7710" s="329">
        <v>14.69</v>
      </c>
    </row>
    <row r="7711" spans="1:4">
      <c r="A7711" s="47">
        <v>10582</v>
      </c>
      <c r="B7711" s="48" t="s">
        <v>4860</v>
      </c>
      <c r="C7711" s="47" t="s">
        <v>65</v>
      </c>
      <c r="D7711" s="332">
        <v>5.14</v>
      </c>
    </row>
    <row r="7712" spans="1:4">
      <c r="A7712" s="28">
        <v>2436</v>
      </c>
      <c r="B7712" s="26" t="s">
        <v>163</v>
      </c>
      <c r="C7712" s="28" t="s">
        <v>57</v>
      </c>
      <c r="D7712" s="329">
        <v>12.75</v>
      </c>
    </row>
    <row r="7713" spans="1:4">
      <c r="A7713" s="47">
        <v>40918</v>
      </c>
      <c r="B7713" s="48" t="s">
        <v>4861</v>
      </c>
      <c r="C7713" s="47" t="s">
        <v>1643</v>
      </c>
      <c r="D7713" s="332">
        <v>2245.17</v>
      </c>
    </row>
    <row r="7714" spans="1:4">
      <c r="A7714" s="28">
        <v>40923</v>
      </c>
      <c r="B7714" s="26" t="s">
        <v>4862</v>
      </c>
      <c r="C7714" s="28" t="s">
        <v>1643</v>
      </c>
      <c r="D7714" s="329">
        <v>2892.56</v>
      </c>
    </row>
    <row r="7715" spans="1:4">
      <c r="A7715" s="47">
        <v>2439</v>
      </c>
      <c r="B7715" s="48" t="s">
        <v>164</v>
      </c>
      <c r="C7715" s="47" t="s">
        <v>57</v>
      </c>
      <c r="D7715" s="332">
        <v>16.43</v>
      </c>
    </row>
    <row r="7716" spans="1:4">
      <c r="A7716" s="28">
        <v>10998</v>
      </c>
      <c r="B7716" s="26" t="s">
        <v>11308</v>
      </c>
      <c r="C7716" s="28" t="s">
        <v>90</v>
      </c>
      <c r="D7716" s="329">
        <v>19.91</v>
      </c>
    </row>
    <row r="7717" spans="1:4">
      <c r="A7717" s="47">
        <v>11002</v>
      </c>
      <c r="B7717" s="48" t="s">
        <v>11309</v>
      </c>
      <c r="C7717" s="47" t="s">
        <v>90</v>
      </c>
      <c r="D7717" s="332">
        <v>18.239999999999998</v>
      </c>
    </row>
    <row r="7718" spans="1:4">
      <c r="A7718" s="28">
        <v>10999</v>
      </c>
      <c r="B7718" s="26" t="s">
        <v>11310</v>
      </c>
      <c r="C7718" s="28" t="s">
        <v>90</v>
      </c>
      <c r="D7718" s="329">
        <v>17.53</v>
      </c>
    </row>
    <row r="7719" spans="1:4">
      <c r="A7719" s="47">
        <v>10997</v>
      </c>
      <c r="B7719" s="48" t="s">
        <v>11311</v>
      </c>
      <c r="C7719" s="47" t="s">
        <v>90</v>
      </c>
      <c r="D7719" s="332">
        <v>19</v>
      </c>
    </row>
    <row r="7720" spans="1:4">
      <c r="A7720" s="28">
        <v>2685</v>
      </c>
      <c r="B7720" s="26" t="s">
        <v>4863</v>
      </c>
      <c r="C7720" s="28" t="s">
        <v>71</v>
      </c>
      <c r="D7720" s="329">
        <v>2.91</v>
      </c>
    </row>
    <row r="7721" spans="1:4">
      <c r="A7721" s="47">
        <v>2680</v>
      </c>
      <c r="B7721" s="48" t="s">
        <v>4864</v>
      </c>
      <c r="C7721" s="47" t="s">
        <v>71</v>
      </c>
      <c r="D7721" s="332">
        <v>4.2699999999999996</v>
      </c>
    </row>
    <row r="7722" spans="1:4">
      <c r="A7722" s="28">
        <v>2684</v>
      </c>
      <c r="B7722" s="26" t="s">
        <v>4865</v>
      </c>
      <c r="C7722" s="28" t="s">
        <v>71</v>
      </c>
      <c r="D7722" s="329">
        <v>3.88</v>
      </c>
    </row>
    <row r="7723" spans="1:4">
      <c r="A7723" s="47">
        <v>2673</v>
      </c>
      <c r="B7723" s="48" t="s">
        <v>4866</v>
      </c>
      <c r="C7723" s="47" t="s">
        <v>71</v>
      </c>
      <c r="D7723" s="332">
        <v>1.5</v>
      </c>
    </row>
    <row r="7724" spans="1:4">
      <c r="A7724" s="28">
        <v>2681</v>
      </c>
      <c r="B7724" s="26" t="s">
        <v>4867</v>
      </c>
      <c r="C7724" s="28" t="s">
        <v>71</v>
      </c>
      <c r="D7724" s="329">
        <v>6.98</v>
      </c>
    </row>
    <row r="7725" spans="1:4">
      <c r="A7725" s="47">
        <v>2682</v>
      </c>
      <c r="B7725" s="48" t="s">
        <v>4868</v>
      </c>
      <c r="C7725" s="47" t="s">
        <v>71</v>
      </c>
      <c r="D7725" s="332">
        <v>10.18</v>
      </c>
    </row>
    <row r="7726" spans="1:4">
      <c r="A7726" s="28">
        <v>2686</v>
      </c>
      <c r="B7726" s="26" t="s">
        <v>4869</v>
      </c>
      <c r="C7726" s="28" t="s">
        <v>71</v>
      </c>
      <c r="D7726" s="329">
        <v>12.77</v>
      </c>
    </row>
    <row r="7727" spans="1:4">
      <c r="A7727" s="47">
        <v>2674</v>
      </c>
      <c r="B7727" s="48" t="s">
        <v>4870</v>
      </c>
      <c r="C7727" s="47" t="s">
        <v>71</v>
      </c>
      <c r="D7727" s="332">
        <v>1.86</v>
      </c>
    </row>
    <row r="7728" spans="1:4">
      <c r="A7728" s="28">
        <v>2683</v>
      </c>
      <c r="B7728" s="26" t="s">
        <v>4871</v>
      </c>
      <c r="C7728" s="28" t="s">
        <v>71</v>
      </c>
      <c r="D7728" s="329">
        <v>20.12</v>
      </c>
    </row>
    <row r="7729" spans="1:4">
      <c r="A7729" s="47">
        <v>2676</v>
      </c>
      <c r="B7729" s="48" t="s">
        <v>4872</v>
      </c>
      <c r="C7729" s="47" t="s">
        <v>71</v>
      </c>
      <c r="D7729" s="332">
        <v>0.87</v>
      </c>
    </row>
    <row r="7730" spans="1:4">
      <c r="A7730" s="28">
        <v>2678</v>
      </c>
      <c r="B7730" s="26" t="s">
        <v>4873</v>
      </c>
      <c r="C7730" s="28" t="s">
        <v>71</v>
      </c>
      <c r="D7730" s="329">
        <v>1.0900000000000001</v>
      </c>
    </row>
    <row r="7731" spans="1:4">
      <c r="A7731" s="47">
        <v>2679</v>
      </c>
      <c r="B7731" s="48" t="s">
        <v>4874</v>
      </c>
      <c r="C7731" s="47" t="s">
        <v>71</v>
      </c>
      <c r="D7731" s="332">
        <v>1.68</v>
      </c>
    </row>
    <row r="7732" spans="1:4">
      <c r="A7732" s="28">
        <v>12070</v>
      </c>
      <c r="B7732" s="26" t="s">
        <v>4875</v>
      </c>
      <c r="C7732" s="28" t="s">
        <v>71</v>
      </c>
      <c r="D7732" s="329">
        <v>2.34</v>
      </c>
    </row>
    <row r="7733" spans="1:4">
      <c r="A7733" s="47">
        <v>2675</v>
      </c>
      <c r="B7733" s="48" t="s">
        <v>4876</v>
      </c>
      <c r="C7733" s="47" t="s">
        <v>71</v>
      </c>
      <c r="D7733" s="332">
        <v>3.04</v>
      </c>
    </row>
    <row r="7734" spans="1:4">
      <c r="A7734" s="28">
        <v>12067</v>
      </c>
      <c r="B7734" s="26" t="s">
        <v>4877</v>
      </c>
      <c r="C7734" s="28" t="s">
        <v>71</v>
      </c>
      <c r="D7734" s="329">
        <v>4.13</v>
      </c>
    </row>
    <row r="7735" spans="1:4" ht="30">
      <c r="A7735" s="47">
        <v>21137</v>
      </c>
      <c r="B7735" s="48" t="s">
        <v>11312</v>
      </c>
      <c r="C7735" s="47" t="s">
        <v>71</v>
      </c>
      <c r="D7735" s="332">
        <v>5.1100000000000003</v>
      </c>
    </row>
    <row r="7736" spans="1:4" ht="30">
      <c r="A7736" s="28">
        <v>2504</v>
      </c>
      <c r="B7736" s="26" t="s">
        <v>11313</v>
      </c>
      <c r="C7736" s="28" t="s">
        <v>71</v>
      </c>
      <c r="D7736" s="329">
        <v>5.54</v>
      </c>
    </row>
    <row r="7737" spans="1:4" ht="30">
      <c r="A7737" s="47">
        <v>2501</v>
      </c>
      <c r="B7737" s="48" t="s">
        <v>11314</v>
      </c>
      <c r="C7737" s="47" t="s">
        <v>71</v>
      </c>
      <c r="D7737" s="332">
        <v>7.27</v>
      </c>
    </row>
    <row r="7738" spans="1:4" ht="30">
      <c r="A7738" s="28">
        <v>2502</v>
      </c>
      <c r="B7738" s="26" t="s">
        <v>11315</v>
      </c>
      <c r="C7738" s="28" t="s">
        <v>71</v>
      </c>
      <c r="D7738" s="329">
        <v>10.97</v>
      </c>
    </row>
    <row r="7739" spans="1:4" ht="30">
      <c r="A7739" s="47">
        <v>2503</v>
      </c>
      <c r="B7739" s="48" t="s">
        <v>11316</v>
      </c>
      <c r="C7739" s="47" t="s">
        <v>71</v>
      </c>
      <c r="D7739" s="332">
        <v>14.13</v>
      </c>
    </row>
    <row r="7740" spans="1:4" ht="30">
      <c r="A7740" s="28">
        <v>2500</v>
      </c>
      <c r="B7740" s="26" t="s">
        <v>11317</v>
      </c>
      <c r="C7740" s="28" t="s">
        <v>71</v>
      </c>
      <c r="D7740" s="329">
        <v>18.82</v>
      </c>
    </row>
    <row r="7741" spans="1:4" ht="43.5" customHeight="1">
      <c r="A7741" s="47">
        <v>2505</v>
      </c>
      <c r="B7741" s="48" t="s">
        <v>11318</v>
      </c>
      <c r="C7741" s="47" t="s">
        <v>71</v>
      </c>
      <c r="D7741" s="332">
        <v>29.33</v>
      </c>
    </row>
    <row r="7742" spans="1:4">
      <c r="A7742" s="28">
        <v>12056</v>
      </c>
      <c r="B7742" s="26" t="s">
        <v>11319</v>
      </c>
      <c r="C7742" s="28" t="s">
        <v>71</v>
      </c>
      <c r="D7742" s="329">
        <v>11.85</v>
      </c>
    </row>
    <row r="7743" spans="1:4">
      <c r="A7743" s="47">
        <v>12057</v>
      </c>
      <c r="B7743" s="48" t="s">
        <v>11320</v>
      </c>
      <c r="C7743" s="47" t="s">
        <v>71</v>
      </c>
      <c r="D7743" s="332">
        <v>10.06</v>
      </c>
    </row>
    <row r="7744" spans="1:4">
      <c r="A7744" s="28">
        <v>12059</v>
      </c>
      <c r="B7744" s="26" t="s">
        <v>11321</v>
      </c>
      <c r="C7744" s="28" t="s">
        <v>71</v>
      </c>
      <c r="D7744" s="329">
        <v>3.53</v>
      </c>
    </row>
    <row r="7745" spans="1:4">
      <c r="A7745" s="47">
        <v>12058</v>
      </c>
      <c r="B7745" s="48" t="s">
        <v>11322</v>
      </c>
      <c r="C7745" s="47" t="s">
        <v>71</v>
      </c>
      <c r="D7745" s="332">
        <v>6.27</v>
      </c>
    </row>
    <row r="7746" spans="1:4">
      <c r="A7746" s="28">
        <v>12060</v>
      </c>
      <c r="B7746" s="26" t="s">
        <v>11323</v>
      </c>
      <c r="C7746" s="28" t="s">
        <v>71</v>
      </c>
      <c r="D7746" s="329">
        <v>26.15</v>
      </c>
    </row>
    <row r="7747" spans="1:4">
      <c r="A7747" s="47">
        <v>12061</v>
      </c>
      <c r="B7747" s="48" t="s">
        <v>11324</v>
      </c>
      <c r="C7747" s="47" t="s">
        <v>71</v>
      </c>
      <c r="D7747" s="332">
        <v>15.97</v>
      </c>
    </row>
    <row r="7748" spans="1:4">
      <c r="A7748" s="28">
        <v>12062</v>
      </c>
      <c r="B7748" s="26" t="s">
        <v>11325</v>
      </c>
      <c r="C7748" s="28" t="s">
        <v>71</v>
      </c>
      <c r="D7748" s="329">
        <v>29.45</v>
      </c>
    </row>
    <row r="7749" spans="1:4" ht="30">
      <c r="A7749" s="47">
        <v>21129</v>
      </c>
      <c r="B7749" s="48" t="s">
        <v>11326</v>
      </c>
      <c r="C7749" s="47" t="s">
        <v>71</v>
      </c>
      <c r="D7749" s="332">
        <v>4.21</v>
      </c>
    </row>
    <row r="7750" spans="1:4" ht="30">
      <c r="A7750" s="28">
        <v>21136</v>
      </c>
      <c r="B7750" s="26" t="s">
        <v>11327</v>
      </c>
      <c r="C7750" s="28" t="s">
        <v>71</v>
      </c>
      <c r="D7750" s="329">
        <v>6.46</v>
      </c>
    </row>
    <row r="7751" spans="1:4" ht="30">
      <c r="A7751" s="47">
        <v>21128</v>
      </c>
      <c r="B7751" s="48" t="s">
        <v>11328</v>
      </c>
      <c r="C7751" s="47" t="s">
        <v>71</v>
      </c>
      <c r="D7751" s="332">
        <v>5</v>
      </c>
    </row>
    <row r="7752" spans="1:4" ht="30">
      <c r="A7752" s="28">
        <v>21132</v>
      </c>
      <c r="B7752" s="26" t="s">
        <v>11329</v>
      </c>
      <c r="C7752" s="28" t="s">
        <v>71</v>
      </c>
      <c r="D7752" s="329">
        <v>54.3</v>
      </c>
    </row>
    <row r="7753" spans="1:4" ht="30">
      <c r="A7753" s="47">
        <v>21130</v>
      </c>
      <c r="B7753" s="48" t="s">
        <v>11330</v>
      </c>
      <c r="C7753" s="47" t="s">
        <v>71</v>
      </c>
      <c r="D7753" s="332">
        <v>12.62</v>
      </c>
    </row>
    <row r="7754" spans="1:4" ht="30">
      <c r="A7754" s="28">
        <v>21135</v>
      </c>
      <c r="B7754" s="26" t="s">
        <v>11331</v>
      </c>
      <c r="C7754" s="28" t="s">
        <v>71</v>
      </c>
      <c r="D7754" s="329">
        <v>12.43</v>
      </c>
    </row>
    <row r="7755" spans="1:4" ht="30">
      <c r="A7755" s="47">
        <v>21131</v>
      </c>
      <c r="B7755" s="48" t="s">
        <v>11332</v>
      </c>
      <c r="C7755" s="47" t="s">
        <v>71</v>
      </c>
      <c r="D7755" s="332">
        <v>30.91</v>
      </c>
    </row>
    <row r="7756" spans="1:4" ht="30">
      <c r="A7756" s="28">
        <v>21134</v>
      </c>
      <c r="B7756" s="26" t="s">
        <v>11333</v>
      </c>
      <c r="C7756" s="28" t="s">
        <v>71</v>
      </c>
      <c r="D7756" s="329">
        <v>18.149999999999999</v>
      </c>
    </row>
    <row r="7757" spans="1:4" ht="30">
      <c r="A7757" s="47">
        <v>21133</v>
      </c>
      <c r="B7757" s="48" t="s">
        <v>11334</v>
      </c>
      <c r="C7757" s="47" t="s">
        <v>71</v>
      </c>
      <c r="D7757" s="332">
        <v>36.28</v>
      </c>
    </row>
    <row r="7758" spans="1:4">
      <c r="A7758" s="28">
        <v>2687</v>
      </c>
      <c r="B7758" s="26" t="s">
        <v>4887</v>
      </c>
      <c r="C7758" s="28" t="s">
        <v>71</v>
      </c>
      <c r="D7758" s="329">
        <v>0.76</v>
      </c>
    </row>
    <row r="7759" spans="1:4">
      <c r="A7759" s="47">
        <v>2689</v>
      </c>
      <c r="B7759" s="48" t="s">
        <v>4888</v>
      </c>
      <c r="C7759" s="47" t="s">
        <v>71</v>
      </c>
      <c r="D7759" s="332">
        <v>0.9</v>
      </c>
    </row>
    <row r="7760" spans="1:4">
      <c r="A7760" s="28">
        <v>2688</v>
      </c>
      <c r="B7760" s="26" t="s">
        <v>4889</v>
      </c>
      <c r="C7760" s="28" t="s">
        <v>71</v>
      </c>
      <c r="D7760" s="329">
        <v>0.98</v>
      </c>
    </row>
    <row r="7761" spans="1:4">
      <c r="A7761" s="47">
        <v>2690</v>
      </c>
      <c r="B7761" s="48" t="s">
        <v>4890</v>
      </c>
      <c r="C7761" s="47" t="s">
        <v>71</v>
      </c>
      <c r="D7761" s="332">
        <v>1.68</v>
      </c>
    </row>
    <row r="7762" spans="1:4" ht="30">
      <c r="A7762" s="28">
        <v>39243</v>
      </c>
      <c r="B7762" s="26" t="s">
        <v>4891</v>
      </c>
      <c r="C7762" s="28" t="s">
        <v>71</v>
      </c>
      <c r="D7762" s="329">
        <v>1.1000000000000001</v>
      </c>
    </row>
    <row r="7763" spans="1:4" ht="30">
      <c r="A7763" s="47">
        <v>39244</v>
      </c>
      <c r="B7763" s="48" t="s">
        <v>4892</v>
      </c>
      <c r="C7763" s="47" t="s">
        <v>71</v>
      </c>
      <c r="D7763" s="332">
        <v>1.49</v>
      </c>
    </row>
    <row r="7764" spans="1:4" ht="30">
      <c r="A7764" s="28">
        <v>39245</v>
      </c>
      <c r="B7764" s="26" t="s">
        <v>4893</v>
      </c>
      <c r="C7764" s="28" t="s">
        <v>71</v>
      </c>
      <c r="D7764" s="329">
        <v>2.88</v>
      </c>
    </row>
    <row r="7765" spans="1:4">
      <c r="A7765" s="47">
        <v>2446</v>
      </c>
      <c r="B7765" s="48" t="s">
        <v>165</v>
      </c>
      <c r="C7765" s="47" t="s">
        <v>71</v>
      </c>
      <c r="D7765" s="332">
        <v>7.45</v>
      </c>
    </row>
    <row r="7766" spans="1:4">
      <c r="A7766" s="28">
        <v>2442</v>
      </c>
      <c r="B7766" s="26" t="s">
        <v>166</v>
      </c>
      <c r="C7766" s="28" t="s">
        <v>71</v>
      </c>
      <c r="D7766" s="329">
        <v>12.05</v>
      </c>
    </row>
    <row r="7767" spans="1:4" ht="30">
      <c r="A7767" s="47">
        <v>39254</v>
      </c>
      <c r="B7767" s="48" t="s">
        <v>4912</v>
      </c>
      <c r="C7767" s="47" t="s">
        <v>71</v>
      </c>
      <c r="D7767" s="332">
        <v>4.3</v>
      </c>
    </row>
    <row r="7768" spans="1:4" ht="30">
      <c r="A7768" s="28">
        <v>39255</v>
      </c>
      <c r="B7768" s="26" t="s">
        <v>4911</v>
      </c>
      <c r="C7768" s="28" t="s">
        <v>71</v>
      </c>
      <c r="D7768" s="329">
        <v>7.97</v>
      </c>
    </row>
    <row r="7769" spans="1:4" ht="30">
      <c r="A7769" s="47">
        <v>39253</v>
      </c>
      <c r="B7769" s="48" t="s">
        <v>4913</v>
      </c>
      <c r="C7769" s="47" t="s">
        <v>71</v>
      </c>
      <c r="D7769" s="332">
        <v>5.49</v>
      </c>
    </row>
    <row r="7770" spans="1:4">
      <c r="A7770" s="28">
        <v>2438</v>
      </c>
      <c r="B7770" s="26" t="s">
        <v>4914</v>
      </c>
      <c r="C7770" s="28" t="s">
        <v>57</v>
      </c>
      <c r="D7770" s="329">
        <v>19.55</v>
      </c>
    </row>
    <row r="7771" spans="1:4">
      <c r="A7771" s="47">
        <v>40922</v>
      </c>
      <c r="B7771" s="48" t="s">
        <v>4915</v>
      </c>
      <c r="C7771" s="47" t="s">
        <v>1643</v>
      </c>
      <c r="D7771" s="332">
        <v>3444.33</v>
      </c>
    </row>
    <row r="7772" spans="1:4" ht="45">
      <c r="A7772" s="28">
        <v>3355</v>
      </c>
      <c r="B7772" s="26" t="s">
        <v>4916</v>
      </c>
      <c r="C7772" s="28" t="s">
        <v>57</v>
      </c>
      <c r="D7772" s="329">
        <v>30.6</v>
      </c>
    </row>
    <row r="7773" spans="1:4" ht="45">
      <c r="A7773" s="47">
        <v>36486</v>
      </c>
      <c r="B7773" s="48" t="s">
        <v>4917</v>
      </c>
      <c r="C7773" s="47" t="s">
        <v>65</v>
      </c>
      <c r="D7773" s="332">
        <v>32646.5</v>
      </c>
    </row>
    <row r="7774" spans="1:4" ht="45">
      <c r="A7774" s="28">
        <v>37777</v>
      </c>
      <c r="B7774" s="26" t="s">
        <v>4918</v>
      </c>
      <c r="C7774" s="28" t="s">
        <v>65</v>
      </c>
      <c r="D7774" s="329">
        <v>153699.1</v>
      </c>
    </row>
    <row r="7775" spans="1:4" ht="45">
      <c r="A7775" s="47">
        <v>39814</v>
      </c>
      <c r="B7775" s="48" t="s">
        <v>4919</v>
      </c>
      <c r="C7775" s="47" t="s">
        <v>57</v>
      </c>
      <c r="D7775" s="332">
        <v>57.37</v>
      </c>
    </row>
    <row r="7776" spans="1:4" ht="30">
      <c r="A7776" s="28">
        <v>12624</v>
      </c>
      <c r="B7776" s="26" t="s">
        <v>4987</v>
      </c>
      <c r="C7776" s="28" t="s">
        <v>65</v>
      </c>
      <c r="D7776" s="329">
        <v>9.8000000000000007</v>
      </c>
    </row>
    <row r="7777" spans="1:4" ht="45">
      <c r="A7777" s="47">
        <v>10638</v>
      </c>
      <c r="B7777" s="48" t="s">
        <v>4988</v>
      </c>
      <c r="C7777" s="47" t="s">
        <v>65</v>
      </c>
      <c r="D7777" s="332">
        <v>310828.56</v>
      </c>
    </row>
    <row r="7778" spans="1:4" ht="45">
      <c r="A7778" s="28">
        <v>10635</v>
      </c>
      <c r="B7778" s="26" t="s">
        <v>4989</v>
      </c>
      <c r="C7778" s="28" t="s">
        <v>65</v>
      </c>
      <c r="D7778" s="329">
        <v>107438.16</v>
      </c>
    </row>
    <row r="7779" spans="1:4" ht="45">
      <c r="A7779" s="47">
        <v>10634</v>
      </c>
      <c r="B7779" s="48" t="s">
        <v>4990</v>
      </c>
      <c r="C7779" s="47" t="s">
        <v>65</v>
      </c>
      <c r="D7779" s="332">
        <v>92000</v>
      </c>
    </row>
    <row r="7780" spans="1:4" ht="45">
      <c r="A7780" s="28">
        <v>10636</v>
      </c>
      <c r="B7780" s="26" t="s">
        <v>4991</v>
      </c>
      <c r="C7780" s="28" t="s">
        <v>65</v>
      </c>
      <c r="D7780" s="329">
        <v>202606.53</v>
      </c>
    </row>
    <row r="7781" spans="1:4" ht="30">
      <c r="A7781" s="47">
        <v>10637</v>
      </c>
      <c r="B7781" s="48" t="s">
        <v>11335</v>
      </c>
      <c r="C7781" s="47" t="s">
        <v>65</v>
      </c>
      <c r="D7781" s="332">
        <v>211928.56</v>
      </c>
    </row>
    <row r="7782" spans="1:4">
      <c r="A7782" s="28">
        <v>517</v>
      </c>
      <c r="B7782" s="26" t="s">
        <v>4993</v>
      </c>
      <c r="C7782" s="28" t="s">
        <v>91</v>
      </c>
      <c r="D7782" s="329">
        <v>5.9</v>
      </c>
    </row>
    <row r="7783" spans="1:4" ht="30">
      <c r="A7783" s="47">
        <v>41904</v>
      </c>
      <c r="B7783" s="48" t="s">
        <v>4994</v>
      </c>
      <c r="C7783" s="47" t="s">
        <v>152</v>
      </c>
      <c r="D7783" s="332">
        <v>1604.66</v>
      </c>
    </row>
    <row r="7784" spans="1:4" ht="30">
      <c r="A7784" s="28">
        <v>41902</v>
      </c>
      <c r="B7784" s="26" t="s">
        <v>4995</v>
      </c>
      <c r="C7784" s="28" t="s">
        <v>90</v>
      </c>
      <c r="D7784" s="329">
        <v>1.56</v>
      </c>
    </row>
    <row r="7785" spans="1:4" ht="30">
      <c r="A7785" s="47">
        <v>41905</v>
      </c>
      <c r="B7785" s="48" t="s">
        <v>4996</v>
      </c>
      <c r="C7785" s="47" t="s">
        <v>152</v>
      </c>
      <c r="D7785" s="332">
        <v>1.72</v>
      </c>
    </row>
    <row r="7786" spans="1:4" ht="30">
      <c r="A7786" s="28">
        <v>41903</v>
      </c>
      <c r="B7786" s="26" t="s">
        <v>4997</v>
      </c>
      <c r="C7786" s="28" t="s">
        <v>90</v>
      </c>
      <c r="D7786" s="329">
        <v>1.76</v>
      </c>
    </row>
    <row r="7787" spans="1:4" ht="30">
      <c r="A7787" s="47">
        <v>37534</v>
      </c>
      <c r="B7787" s="48" t="s">
        <v>4998</v>
      </c>
      <c r="C7787" s="47" t="s">
        <v>90</v>
      </c>
      <c r="D7787" s="332">
        <v>13.48</v>
      </c>
    </row>
    <row r="7788" spans="1:4" ht="30">
      <c r="A7788" s="28">
        <v>37535</v>
      </c>
      <c r="B7788" s="26" t="s">
        <v>4999</v>
      </c>
      <c r="C7788" s="28" t="s">
        <v>90</v>
      </c>
      <c r="D7788" s="329">
        <v>13.48</v>
      </c>
    </row>
    <row r="7789" spans="1:4" ht="30">
      <c r="A7789" s="47">
        <v>37533</v>
      </c>
      <c r="B7789" s="48" t="s">
        <v>5000</v>
      </c>
      <c r="C7789" s="47" t="s">
        <v>90</v>
      </c>
      <c r="D7789" s="332">
        <v>13.48</v>
      </c>
    </row>
    <row r="7790" spans="1:4" ht="30">
      <c r="A7790" s="28">
        <v>37537</v>
      </c>
      <c r="B7790" s="26" t="s">
        <v>5001</v>
      </c>
      <c r="C7790" s="28" t="s">
        <v>90</v>
      </c>
      <c r="D7790" s="329">
        <v>10.199999999999999</v>
      </c>
    </row>
    <row r="7791" spans="1:4" ht="30">
      <c r="A7791" s="47">
        <v>37536</v>
      </c>
      <c r="B7791" s="48" t="s">
        <v>5002</v>
      </c>
      <c r="C7791" s="47" t="s">
        <v>90</v>
      </c>
      <c r="D7791" s="332">
        <v>10.199999999999999</v>
      </c>
    </row>
    <row r="7792" spans="1:4" ht="30">
      <c r="A7792" s="28">
        <v>37532</v>
      </c>
      <c r="B7792" s="26" t="s">
        <v>5003</v>
      </c>
      <c r="C7792" s="28" t="s">
        <v>90</v>
      </c>
      <c r="D7792" s="329">
        <v>10.199999999999999</v>
      </c>
    </row>
    <row r="7793" spans="1:4">
      <c r="A7793" s="47">
        <v>2696</v>
      </c>
      <c r="B7793" s="48" t="s">
        <v>5004</v>
      </c>
      <c r="C7793" s="47" t="s">
        <v>57</v>
      </c>
      <c r="D7793" s="332">
        <v>12.75</v>
      </c>
    </row>
    <row r="7794" spans="1:4">
      <c r="A7794" s="28">
        <v>40928</v>
      </c>
      <c r="B7794" s="26" t="s">
        <v>5005</v>
      </c>
      <c r="C7794" s="28" t="s">
        <v>1643</v>
      </c>
      <c r="D7794" s="329">
        <v>2245.17</v>
      </c>
    </row>
    <row r="7795" spans="1:4">
      <c r="A7795" s="47">
        <v>4083</v>
      </c>
      <c r="B7795" s="48" t="s">
        <v>167</v>
      </c>
      <c r="C7795" s="47" t="s">
        <v>57</v>
      </c>
      <c r="D7795" s="332">
        <v>23.85</v>
      </c>
    </row>
    <row r="7796" spans="1:4">
      <c r="A7796" s="28">
        <v>40818</v>
      </c>
      <c r="B7796" s="26" t="s">
        <v>168</v>
      </c>
      <c r="C7796" s="28" t="s">
        <v>1643</v>
      </c>
      <c r="D7796" s="329">
        <v>4200.96</v>
      </c>
    </row>
    <row r="7797" spans="1:4">
      <c r="A7797" s="47">
        <v>2705</v>
      </c>
      <c r="B7797" s="48" t="s">
        <v>5008</v>
      </c>
      <c r="C7797" s="47" t="s">
        <v>169</v>
      </c>
      <c r="D7797" s="332">
        <v>0.56999999999999995</v>
      </c>
    </row>
    <row r="7798" spans="1:4">
      <c r="A7798" s="28">
        <v>11683</v>
      </c>
      <c r="B7798" s="26" t="s">
        <v>5009</v>
      </c>
      <c r="C7798" s="28" t="s">
        <v>65</v>
      </c>
      <c r="D7798" s="329">
        <v>24.59</v>
      </c>
    </row>
    <row r="7799" spans="1:4">
      <c r="A7799" s="47">
        <v>11684</v>
      </c>
      <c r="B7799" s="48" t="s">
        <v>5010</v>
      </c>
      <c r="C7799" s="47" t="s">
        <v>65</v>
      </c>
      <c r="D7799" s="332">
        <v>26.92</v>
      </c>
    </row>
    <row r="7800" spans="1:4">
      <c r="A7800" s="28">
        <v>6141</v>
      </c>
      <c r="B7800" s="26" t="s">
        <v>5015</v>
      </c>
      <c r="C7800" s="28" t="s">
        <v>65</v>
      </c>
      <c r="D7800" s="329">
        <v>2.63</v>
      </c>
    </row>
    <row r="7801" spans="1:4">
      <c r="A7801" s="47">
        <v>11681</v>
      </c>
      <c r="B7801" s="48" t="s">
        <v>5016</v>
      </c>
      <c r="C7801" s="47" t="s">
        <v>65</v>
      </c>
      <c r="D7801" s="332">
        <v>4.32</v>
      </c>
    </row>
    <row r="7802" spans="1:4">
      <c r="A7802" s="28">
        <v>2706</v>
      </c>
      <c r="B7802" s="26" t="s">
        <v>5017</v>
      </c>
      <c r="C7802" s="28" t="s">
        <v>57</v>
      </c>
      <c r="D7802" s="329">
        <v>64.22</v>
      </c>
    </row>
    <row r="7803" spans="1:4">
      <c r="A7803" s="47">
        <v>40811</v>
      </c>
      <c r="B7803" s="48" t="s">
        <v>5018</v>
      </c>
      <c r="C7803" s="47" t="s">
        <v>1643</v>
      </c>
      <c r="D7803" s="332">
        <v>11309.01</v>
      </c>
    </row>
    <row r="7804" spans="1:4">
      <c r="A7804" s="28">
        <v>2707</v>
      </c>
      <c r="B7804" s="26" t="s">
        <v>170</v>
      </c>
      <c r="C7804" s="28" t="s">
        <v>57</v>
      </c>
      <c r="D7804" s="329">
        <v>80.900000000000006</v>
      </c>
    </row>
    <row r="7805" spans="1:4">
      <c r="A7805" s="47">
        <v>40813</v>
      </c>
      <c r="B7805" s="48" t="s">
        <v>171</v>
      </c>
      <c r="C7805" s="47" t="s">
        <v>1643</v>
      </c>
      <c r="D7805" s="332">
        <v>14243.17</v>
      </c>
    </row>
    <row r="7806" spans="1:4">
      <c r="A7806" s="28">
        <v>2708</v>
      </c>
      <c r="B7806" s="26" t="s">
        <v>5020</v>
      </c>
      <c r="C7806" s="28" t="s">
        <v>57</v>
      </c>
      <c r="D7806" s="329">
        <v>106.25</v>
      </c>
    </row>
    <row r="7807" spans="1:4">
      <c r="A7807" s="47">
        <v>40814</v>
      </c>
      <c r="B7807" s="48" t="s">
        <v>5021</v>
      </c>
      <c r="C7807" s="47" t="s">
        <v>1643</v>
      </c>
      <c r="D7807" s="332">
        <v>18710.259999999998</v>
      </c>
    </row>
    <row r="7808" spans="1:4">
      <c r="A7808" s="28">
        <v>34779</v>
      </c>
      <c r="B7808" s="26" t="s">
        <v>5023</v>
      </c>
      <c r="C7808" s="28" t="s">
        <v>57</v>
      </c>
      <c r="D7808" s="329">
        <v>64.22</v>
      </c>
    </row>
    <row r="7809" spans="1:4">
      <c r="A7809" s="47">
        <v>40936</v>
      </c>
      <c r="B7809" s="48" t="s">
        <v>5024</v>
      </c>
      <c r="C7809" s="47" t="s">
        <v>1643</v>
      </c>
      <c r="D7809" s="332">
        <v>11309.01</v>
      </c>
    </row>
    <row r="7810" spans="1:4">
      <c r="A7810" s="28">
        <v>34780</v>
      </c>
      <c r="B7810" s="26" t="s">
        <v>172</v>
      </c>
      <c r="C7810" s="28" t="s">
        <v>57</v>
      </c>
      <c r="D7810" s="329">
        <v>81.17</v>
      </c>
    </row>
    <row r="7811" spans="1:4">
      <c r="A7811" s="47">
        <v>40937</v>
      </c>
      <c r="B7811" s="48" t="s">
        <v>5025</v>
      </c>
      <c r="C7811" s="47" t="s">
        <v>1643</v>
      </c>
      <c r="D7811" s="332">
        <v>14290.9</v>
      </c>
    </row>
    <row r="7812" spans="1:4">
      <c r="A7812" s="28">
        <v>34782</v>
      </c>
      <c r="B7812" s="26" t="s">
        <v>5026</v>
      </c>
      <c r="C7812" s="28" t="s">
        <v>57</v>
      </c>
      <c r="D7812" s="329">
        <v>106.25</v>
      </c>
    </row>
    <row r="7813" spans="1:4">
      <c r="A7813" s="47">
        <v>40938</v>
      </c>
      <c r="B7813" s="48" t="s">
        <v>5027</v>
      </c>
      <c r="C7813" s="47" t="s">
        <v>1643</v>
      </c>
      <c r="D7813" s="332">
        <v>18710.259999999998</v>
      </c>
    </row>
    <row r="7814" spans="1:4">
      <c r="A7814" s="28">
        <v>34783</v>
      </c>
      <c r="B7814" s="26" t="s">
        <v>173</v>
      </c>
      <c r="C7814" s="28" t="s">
        <v>57</v>
      </c>
      <c r="D7814" s="329">
        <v>74.16</v>
      </c>
    </row>
    <row r="7815" spans="1:4">
      <c r="A7815" s="47">
        <v>40939</v>
      </c>
      <c r="B7815" s="48" t="s">
        <v>5028</v>
      </c>
      <c r="C7815" s="47" t="s">
        <v>1643</v>
      </c>
      <c r="D7815" s="332">
        <v>13059.58</v>
      </c>
    </row>
    <row r="7816" spans="1:4">
      <c r="A7816" s="28">
        <v>34785</v>
      </c>
      <c r="B7816" s="26" t="s">
        <v>174</v>
      </c>
      <c r="C7816" s="28" t="s">
        <v>57</v>
      </c>
      <c r="D7816" s="329">
        <v>64.22</v>
      </c>
    </row>
    <row r="7817" spans="1:4" ht="18.75" customHeight="1">
      <c r="A7817" s="47">
        <v>40940</v>
      </c>
      <c r="B7817" s="48" t="s">
        <v>5029</v>
      </c>
      <c r="C7817" s="47" t="s">
        <v>1643</v>
      </c>
      <c r="D7817" s="332">
        <v>11307.09</v>
      </c>
    </row>
    <row r="7818" spans="1:4">
      <c r="A7818" s="28">
        <v>38403</v>
      </c>
      <c r="B7818" s="26" t="s">
        <v>5093</v>
      </c>
      <c r="C7818" s="28" t="s">
        <v>65</v>
      </c>
      <c r="D7818" s="329">
        <v>24.63</v>
      </c>
    </row>
    <row r="7819" spans="1:4" ht="45">
      <c r="A7819" s="47">
        <v>37774</v>
      </c>
      <c r="B7819" s="48" t="s">
        <v>5096</v>
      </c>
      <c r="C7819" s="47" t="s">
        <v>65</v>
      </c>
      <c r="D7819" s="332">
        <v>134097.39000000001</v>
      </c>
    </row>
    <row r="7820" spans="1:4" ht="45">
      <c r="A7820" s="28">
        <v>38630</v>
      </c>
      <c r="B7820" s="26" t="s">
        <v>5097</v>
      </c>
      <c r="C7820" s="28" t="s">
        <v>65</v>
      </c>
      <c r="D7820" s="329">
        <v>803398.43</v>
      </c>
    </row>
    <row r="7821" spans="1:4" ht="60">
      <c r="A7821" s="47">
        <v>38629</v>
      </c>
      <c r="B7821" s="48" t="s">
        <v>5098</v>
      </c>
      <c r="C7821" s="47" t="s">
        <v>65</v>
      </c>
      <c r="D7821" s="332">
        <v>1195898.43</v>
      </c>
    </row>
    <row r="7822" spans="1:4">
      <c r="A7822" s="28">
        <v>38476</v>
      </c>
      <c r="B7822" s="26" t="s">
        <v>5099</v>
      </c>
      <c r="C7822" s="28" t="s">
        <v>65</v>
      </c>
      <c r="D7822" s="329">
        <v>185.16</v>
      </c>
    </row>
    <row r="7823" spans="1:4">
      <c r="A7823" s="47">
        <v>38477</v>
      </c>
      <c r="B7823" s="48" t="s">
        <v>5101</v>
      </c>
      <c r="C7823" s="47" t="s">
        <v>65</v>
      </c>
      <c r="D7823" s="332">
        <v>524.37</v>
      </c>
    </row>
    <row r="7824" spans="1:4" ht="30">
      <c r="A7824" s="28">
        <v>40635</v>
      </c>
      <c r="B7824" s="26" t="s">
        <v>5187</v>
      </c>
      <c r="C7824" s="28" t="s">
        <v>65</v>
      </c>
      <c r="D7824" s="329">
        <v>459216.18</v>
      </c>
    </row>
    <row r="7825" spans="1:4" ht="30">
      <c r="A7825" s="47">
        <v>36483</v>
      </c>
      <c r="B7825" s="48" t="s">
        <v>5188</v>
      </c>
      <c r="C7825" s="47" t="s">
        <v>65</v>
      </c>
      <c r="D7825" s="332">
        <v>416123.41</v>
      </c>
    </row>
    <row r="7826" spans="1:4" ht="30">
      <c r="A7826" s="28">
        <v>14525</v>
      </c>
      <c r="B7826" s="26" t="s">
        <v>5189</v>
      </c>
      <c r="C7826" s="28" t="s">
        <v>65</v>
      </c>
      <c r="D7826" s="329">
        <v>435705.69</v>
      </c>
    </row>
    <row r="7827" spans="1:4" ht="30">
      <c r="A7827" s="47">
        <v>36482</v>
      </c>
      <c r="B7827" s="48" t="s">
        <v>5190</v>
      </c>
      <c r="C7827" s="47" t="s">
        <v>65</v>
      </c>
      <c r="D7827" s="332">
        <v>373678.32</v>
      </c>
    </row>
    <row r="7828" spans="1:4" ht="30">
      <c r="A7828" s="28">
        <v>36408</v>
      </c>
      <c r="B7828" s="26" t="s">
        <v>5191</v>
      </c>
      <c r="C7828" s="28" t="s">
        <v>65</v>
      </c>
      <c r="D7828" s="329">
        <v>446475.94</v>
      </c>
    </row>
    <row r="7829" spans="1:4" ht="30">
      <c r="A7829" s="47">
        <v>2723</v>
      </c>
      <c r="B7829" s="48" t="s">
        <v>5192</v>
      </c>
      <c r="C7829" s="47" t="s">
        <v>65</v>
      </c>
      <c r="D7829" s="332">
        <v>342689.87</v>
      </c>
    </row>
    <row r="7830" spans="1:4" ht="30">
      <c r="A7830" s="28">
        <v>36481</v>
      </c>
      <c r="B7830" s="26" t="s">
        <v>5193</v>
      </c>
      <c r="C7830" s="28" t="s">
        <v>65</v>
      </c>
      <c r="D7830" s="329">
        <v>408780.06</v>
      </c>
    </row>
    <row r="7831" spans="1:4" ht="30">
      <c r="A7831" s="47">
        <v>10685</v>
      </c>
      <c r="B7831" s="48" t="s">
        <v>5206</v>
      </c>
      <c r="C7831" s="47" t="s">
        <v>65</v>
      </c>
      <c r="D7831" s="332">
        <v>391645.57</v>
      </c>
    </row>
    <row r="7832" spans="1:4" ht="45">
      <c r="A7832" s="28">
        <v>40636</v>
      </c>
      <c r="B7832" s="26" t="s">
        <v>11336</v>
      </c>
      <c r="C7832" s="28" t="s">
        <v>65</v>
      </c>
      <c r="D7832" s="329">
        <v>442081.68</v>
      </c>
    </row>
    <row r="7833" spans="1:4" ht="45">
      <c r="A7833" s="47">
        <v>10749</v>
      </c>
      <c r="B7833" s="48" t="s">
        <v>5213</v>
      </c>
      <c r="C7833" s="47" t="s">
        <v>1643</v>
      </c>
      <c r="D7833" s="332">
        <v>4.58</v>
      </c>
    </row>
    <row r="7834" spans="1:4">
      <c r="A7834" s="28">
        <v>4111</v>
      </c>
      <c r="B7834" s="26" t="s">
        <v>5214</v>
      </c>
      <c r="C7834" s="28" t="s">
        <v>65</v>
      </c>
      <c r="D7834" s="329">
        <v>29.12</v>
      </c>
    </row>
    <row r="7835" spans="1:4" ht="30">
      <c r="A7835" s="47">
        <v>26021</v>
      </c>
      <c r="B7835" s="48" t="s">
        <v>5244</v>
      </c>
      <c r="C7835" s="47" t="s">
        <v>65</v>
      </c>
      <c r="D7835" s="332">
        <v>49.42</v>
      </c>
    </row>
    <row r="7836" spans="1:4">
      <c r="A7836" s="28">
        <v>12</v>
      </c>
      <c r="B7836" s="26" t="s">
        <v>5245</v>
      </c>
      <c r="C7836" s="28" t="s">
        <v>65</v>
      </c>
      <c r="D7836" s="329">
        <v>6.2</v>
      </c>
    </row>
    <row r="7837" spans="1:4" ht="30">
      <c r="A7837" s="47">
        <v>37554</v>
      </c>
      <c r="B7837" s="48" t="s">
        <v>5246</v>
      </c>
      <c r="C7837" s="47" t="s">
        <v>65</v>
      </c>
      <c r="D7837" s="332">
        <v>153.69</v>
      </c>
    </row>
    <row r="7838" spans="1:4" ht="30">
      <c r="A7838" s="28">
        <v>37555</v>
      </c>
      <c r="B7838" s="26" t="s">
        <v>5247</v>
      </c>
      <c r="C7838" s="28" t="s">
        <v>65</v>
      </c>
      <c r="D7838" s="329">
        <v>186.95</v>
      </c>
    </row>
    <row r="7839" spans="1:4" ht="30">
      <c r="A7839" s="47">
        <v>10902</v>
      </c>
      <c r="B7839" s="48" t="s">
        <v>5248</v>
      </c>
      <c r="C7839" s="47" t="s">
        <v>65</v>
      </c>
      <c r="D7839" s="332">
        <v>46.91</v>
      </c>
    </row>
    <row r="7840" spans="1:4" ht="30">
      <c r="A7840" s="28">
        <v>20965</v>
      </c>
      <c r="B7840" s="26" t="s">
        <v>5249</v>
      </c>
      <c r="C7840" s="28" t="s">
        <v>65</v>
      </c>
      <c r="D7840" s="329">
        <v>47.35</v>
      </c>
    </row>
    <row r="7841" spans="1:4" ht="30">
      <c r="A7841" s="47">
        <v>20966</v>
      </c>
      <c r="B7841" s="48" t="s">
        <v>5250</v>
      </c>
      <c r="C7841" s="47" t="s">
        <v>65</v>
      </c>
      <c r="D7841" s="332">
        <v>50.98</v>
      </c>
    </row>
    <row r="7842" spans="1:4" ht="30">
      <c r="A7842" s="28">
        <v>10903</v>
      </c>
      <c r="B7842" s="26" t="s">
        <v>5251</v>
      </c>
      <c r="C7842" s="28" t="s">
        <v>65</v>
      </c>
      <c r="D7842" s="329">
        <v>77.27</v>
      </c>
    </row>
    <row r="7843" spans="1:4" ht="30">
      <c r="A7843" s="47">
        <v>20967</v>
      </c>
      <c r="B7843" s="48" t="s">
        <v>5252</v>
      </c>
      <c r="C7843" s="47" t="s">
        <v>65</v>
      </c>
      <c r="D7843" s="332">
        <v>77.27</v>
      </c>
    </row>
    <row r="7844" spans="1:4" ht="30">
      <c r="A7844" s="28">
        <v>20968</v>
      </c>
      <c r="B7844" s="26" t="s">
        <v>5253</v>
      </c>
      <c r="C7844" s="28" t="s">
        <v>65</v>
      </c>
      <c r="D7844" s="329">
        <v>84.75</v>
      </c>
    </row>
    <row r="7845" spans="1:4" ht="30">
      <c r="A7845" s="47">
        <v>11359</v>
      </c>
      <c r="B7845" s="48" t="s">
        <v>11337</v>
      </c>
      <c r="C7845" s="47" t="s">
        <v>65</v>
      </c>
      <c r="D7845" s="332">
        <v>576</v>
      </c>
    </row>
    <row r="7846" spans="1:4">
      <c r="A7846" s="28">
        <v>40215</v>
      </c>
      <c r="B7846" s="26" t="s">
        <v>5254</v>
      </c>
      <c r="C7846" s="28" t="s">
        <v>65</v>
      </c>
      <c r="D7846" s="329">
        <v>0.11</v>
      </c>
    </row>
    <row r="7847" spans="1:4" ht="30">
      <c r="A7847" s="47">
        <v>20219</v>
      </c>
      <c r="B7847" s="48" t="s">
        <v>5264</v>
      </c>
      <c r="C7847" s="47" t="s">
        <v>65</v>
      </c>
      <c r="D7847" s="332">
        <v>65000</v>
      </c>
    </row>
    <row r="7848" spans="1:4" ht="45">
      <c r="A7848" s="28">
        <v>36484</v>
      </c>
      <c r="B7848" s="26" t="s">
        <v>5265</v>
      </c>
      <c r="C7848" s="28" t="s">
        <v>65</v>
      </c>
      <c r="D7848" s="329">
        <v>137983.16</v>
      </c>
    </row>
    <row r="7849" spans="1:4">
      <c r="A7849" s="47">
        <v>38367</v>
      </c>
      <c r="B7849" s="48" t="s">
        <v>5273</v>
      </c>
      <c r="C7849" s="47" t="s">
        <v>65</v>
      </c>
      <c r="D7849" s="332">
        <v>9.94</v>
      </c>
    </row>
    <row r="7850" spans="1:4">
      <c r="A7850" s="28">
        <v>38368</v>
      </c>
      <c r="B7850" s="26" t="s">
        <v>5274</v>
      </c>
      <c r="C7850" s="28" t="s">
        <v>65</v>
      </c>
      <c r="D7850" s="329">
        <v>5.18</v>
      </c>
    </row>
    <row r="7851" spans="1:4">
      <c r="A7851" s="47">
        <v>38091</v>
      </c>
      <c r="B7851" s="48" t="s">
        <v>11338</v>
      </c>
      <c r="C7851" s="47" t="s">
        <v>65</v>
      </c>
      <c r="D7851" s="332">
        <v>1.98</v>
      </c>
    </row>
    <row r="7852" spans="1:4">
      <c r="A7852" s="28">
        <v>38095</v>
      </c>
      <c r="B7852" s="26" t="s">
        <v>11339</v>
      </c>
      <c r="C7852" s="28" t="s">
        <v>65</v>
      </c>
      <c r="D7852" s="329">
        <v>4.1900000000000004</v>
      </c>
    </row>
    <row r="7853" spans="1:4">
      <c r="A7853" s="47">
        <v>38092</v>
      </c>
      <c r="B7853" s="48" t="s">
        <v>11340</v>
      </c>
      <c r="C7853" s="47" t="s">
        <v>65</v>
      </c>
      <c r="D7853" s="332">
        <v>1.87</v>
      </c>
    </row>
    <row r="7854" spans="1:4">
      <c r="A7854" s="28">
        <v>38093</v>
      </c>
      <c r="B7854" s="26" t="s">
        <v>11341</v>
      </c>
      <c r="C7854" s="28" t="s">
        <v>65</v>
      </c>
      <c r="D7854" s="329">
        <v>1.94</v>
      </c>
    </row>
    <row r="7855" spans="1:4">
      <c r="A7855" s="47">
        <v>38096</v>
      </c>
      <c r="B7855" s="48" t="s">
        <v>11342</v>
      </c>
      <c r="C7855" s="47" t="s">
        <v>65</v>
      </c>
      <c r="D7855" s="332">
        <v>4.5</v>
      </c>
    </row>
    <row r="7856" spans="1:4">
      <c r="A7856" s="28">
        <v>38094</v>
      </c>
      <c r="B7856" s="26" t="s">
        <v>11343</v>
      </c>
      <c r="C7856" s="28" t="s">
        <v>65</v>
      </c>
      <c r="D7856" s="329">
        <v>2.37</v>
      </c>
    </row>
    <row r="7857" spans="1:4">
      <c r="A7857" s="47">
        <v>38097</v>
      </c>
      <c r="B7857" s="48" t="s">
        <v>11344</v>
      </c>
      <c r="C7857" s="47" t="s">
        <v>65</v>
      </c>
      <c r="D7857" s="332">
        <v>4.82</v>
      </c>
    </row>
    <row r="7858" spans="1:4">
      <c r="A7858" s="28">
        <v>38098</v>
      </c>
      <c r="B7858" s="26" t="s">
        <v>11345</v>
      </c>
      <c r="C7858" s="28" t="s">
        <v>65</v>
      </c>
      <c r="D7858" s="329">
        <v>4.82</v>
      </c>
    </row>
    <row r="7859" spans="1:4">
      <c r="A7859" s="47">
        <v>11186</v>
      </c>
      <c r="B7859" s="48" t="s">
        <v>5275</v>
      </c>
      <c r="C7859" s="47" t="s">
        <v>256</v>
      </c>
      <c r="D7859" s="332">
        <v>200.55</v>
      </c>
    </row>
    <row r="7860" spans="1:4" ht="30">
      <c r="A7860" s="28">
        <v>11558</v>
      </c>
      <c r="B7860" s="26" t="s">
        <v>5278</v>
      </c>
      <c r="C7860" s="28" t="s">
        <v>131</v>
      </c>
      <c r="D7860" s="329">
        <v>9.24</v>
      </c>
    </row>
    <row r="7861" spans="1:4" ht="30">
      <c r="A7861" s="47">
        <v>11557</v>
      </c>
      <c r="B7861" s="48" t="s">
        <v>5279</v>
      </c>
      <c r="C7861" s="47" t="s">
        <v>131</v>
      </c>
      <c r="D7861" s="332">
        <v>23.41</v>
      </c>
    </row>
    <row r="7862" spans="1:4">
      <c r="A7862" s="28">
        <v>2759</v>
      </c>
      <c r="B7862" s="26" t="s">
        <v>5280</v>
      </c>
      <c r="C7862" s="28" t="s">
        <v>65</v>
      </c>
      <c r="D7862" s="329">
        <v>4.8</v>
      </c>
    </row>
    <row r="7863" spans="1:4">
      <c r="A7863" s="47">
        <v>38124</v>
      </c>
      <c r="B7863" s="48" t="s">
        <v>5281</v>
      </c>
      <c r="C7863" s="47" t="s">
        <v>65</v>
      </c>
      <c r="D7863" s="332">
        <v>24.19</v>
      </c>
    </row>
    <row r="7864" spans="1:4">
      <c r="A7864" s="28">
        <v>38380</v>
      </c>
      <c r="B7864" s="26" t="s">
        <v>5282</v>
      </c>
      <c r="C7864" s="28" t="s">
        <v>65</v>
      </c>
      <c r="D7864" s="329">
        <v>15.8</v>
      </c>
    </row>
    <row r="7865" spans="1:4" ht="29.25" customHeight="1">
      <c r="A7865" s="47">
        <v>20059</v>
      </c>
      <c r="B7865" s="48" t="s">
        <v>11346</v>
      </c>
      <c r="C7865" s="47" t="s">
        <v>65</v>
      </c>
      <c r="D7865" s="332">
        <v>13.9</v>
      </c>
    </row>
    <row r="7866" spans="1:4" ht="30">
      <c r="A7866" s="28">
        <v>20060</v>
      </c>
      <c r="B7866" s="26" t="s">
        <v>5283</v>
      </c>
      <c r="C7866" s="28" t="s">
        <v>65</v>
      </c>
      <c r="D7866" s="329">
        <v>13.9</v>
      </c>
    </row>
    <row r="7867" spans="1:4" ht="45">
      <c r="A7867" s="47">
        <v>39222</v>
      </c>
      <c r="B7867" s="48" t="s">
        <v>5285</v>
      </c>
      <c r="C7867" s="47" t="s">
        <v>71</v>
      </c>
      <c r="D7867" s="332">
        <v>24.32</v>
      </c>
    </row>
    <row r="7868" spans="1:4" ht="45">
      <c r="A7868" s="28">
        <v>38538</v>
      </c>
      <c r="B7868" s="26" t="s">
        <v>11347</v>
      </c>
      <c r="C7868" s="28" t="s">
        <v>71</v>
      </c>
      <c r="D7868" s="329">
        <v>30</v>
      </c>
    </row>
    <row r="7869" spans="1:4" ht="45">
      <c r="A7869" s="47">
        <v>39223</v>
      </c>
      <c r="B7869" s="48" t="s">
        <v>5286</v>
      </c>
      <c r="C7869" s="47" t="s">
        <v>71</v>
      </c>
      <c r="D7869" s="332">
        <v>39.68</v>
      </c>
    </row>
    <row r="7870" spans="1:4" ht="45">
      <c r="A7870" s="28">
        <v>38539</v>
      </c>
      <c r="B7870" s="26" t="s">
        <v>5287</v>
      </c>
      <c r="C7870" s="28" t="s">
        <v>71</v>
      </c>
      <c r="D7870" s="329">
        <v>40.79</v>
      </c>
    </row>
    <row r="7871" spans="1:4" ht="45">
      <c r="A7871" s="47">
        <v>39224</v>
      </c>
      <c r="B7871" s="48" t="s">
        <v>5288</v>
      </c>
      <c r="C7871" s="47" t="s">
        <v>71</v>
      </c>
      <c r="D7871" s="332">
        <v>61.45</v>
      </c>
    </row>
    <row r="7872" spans="1:4" ht="30">
      <c r="A7872" s="28">
        <v>38540</v>
      </c>
      <c r="B7872" s="26" t="s">
        <v>5289</v>
      </c>
      <c r="C7872" s="28" t="s">
        <v>71</v>
      </c>
      <c r="D7872" s="329">
        <v>104.55</v>
      </c>
    </row>
    <row r="7873" spans="1:4" ht="29.25" customHeight="1">
      <c r="A7873" s="47">
        <v>38384</v>
      </c>
      <c r="B7873" s="48" t="s">
        <v>5290</v>
      </c>
      <c r="C7873" s="47" t="s">
        <v>65</v>
      </c>
      <c r="D7873" s="332">
        <v>13.42</v>
      </c>
    </row>
    <row r="7874" spans="1:4" ht="29.25" customHeight="1">
      <c r="A7874" s="28">
        <v>13</v>
      </c>
      <c r="B7874" s="26" t="s">
        <v>175</v>
      </c>
      <c r="C7874" s="28" t="s">
        <v>90</v>
      </c>
      <c r="D7874" s="329">
        <v>9.5399999999999991</v>
      </c>
    </row>
    <row r="7875" spans="1:4">
      <c r="A7875" s="47">
        <v>2762</v>
      </c>
      <c r="B7875" s="48" t="s">
        <v>176</v>
      </c>
      <c r="C7875" s="47" t="s">
        <v>71</v>
      </c>
      <c r="D7875" s="332">
        <v>6</v>
      </c>
    </row>
    <row r="7876" spans="1:4" ht="30">
      <c r="A7876" s="28">
        <v>21142</v>
      </c>
      <c r="B7876" s="26" t="s">
        <v>5291</v>
      </c>
      <c r="C7876" s="28" t="s">
        <v>65</v>
      </c>
      <c r="D7876" s="329">
        <v>17.2</v>
      </c>
    </row>
    <row r="7877" spans="1:4">
      <c r="A7877" s="47">
        <v>12865</v>
      </c>
      <c r="B7877" s="48" t="s">
        <v>177</v>
      </c>
      <c r="C7877" s="47" t="s">
        <v>57</v>
      </c>
      <c r="D7877" s="332">
        <v>11.23</v>
      </c>
    </row>
    <row r="7878" spans="1:4">
      <c r="A7878" s="28">
        <v>41074</v>
      </c>
      <c r="B7878" s="26" t="s">
        <v>5309</v>
      </c>
      <c r="C7878" s="28" t="s">
        <v>1643</v>
      </c>
      <c r="D7878" s="329">
        <v>1980.69</v>
      </c>
    </row>
    <row r="7879" spans="1:4">
      <c r="A7879" s="47">
        <v>4223</v>
      </c>
      <c r="B7879" s="48" t="s">
        <v>178</v>
      </c>
      <c r="C7879" s="47" t="s">
        <v>91</v>
      </c>
      <c r="D7879" s="332">
        <v>2.91</v>
      </c>
    </row>
    <row r="7880" spans="1:4">
      <c r="A7880" s="28">
        <v>37372</v>
      </c>
      <c r="B7880" s="26" t="s">
        <v>5317</v>
      </c>
      <c r="C7880" s="28" t="s">
        <v>57</v>
      </c>
      <c r="D7880" s="329">
        <v>0.34</v>
      </c>
    </row>
    <row r="7881" spans="1:4">
      <c r="A7881" s="47">
        <v>40863</v>
      </c>
      <c r="B7881" s="48" t="s">
        <v>5318</v>
      </c>
      <c r="C7881" s="47" t="s">
        <v>1643</v>
      </c>
      <c r="D7881" s="332">
        <v>63.93</v>
      </c>
    </row>
    <row r="7882" spans="1:4">
      <c r="A7882" s="28">
        <v>38475</v>
      </c>
      <c r="B7882" s="26" t="s">
        <v>5435</v>
      </c>
      <c r="C7882" s="28" t="s">
        <v>65</v>
      </c>
      <c r="D7882" s="329">
        <v>20.09</v>
      </c>
    </row>
    <row r="7883" spans="1:4">
      <c r="A7883" s="47">
        <v>38474</v>
      </c>
      <c r="B7883" s="48" t="s">
        <v>5436</v>
      </c>
      <c r="C7883" s="47" t="s">
        <v>65</v>
      </c>
      <c r="D7883" s="332">
        <v>24.84</v>
      </c>
    </row>
    <row r="7884" spans="1:4">
      <c r="A7884" s="28">
        <v>10886</v>
      </c>
      <c r="B7884" s="26" t="s">
        <v>5438</v>
      </c>
      <c r="C7884" s="28" t="s">
        <v>65</v>
      </c>
      <c r="D7884" s="329">
        <v>131.25</v>
      </c>
    </row>
    <row r="7885" spans="1:4">
      <c r="A7885" s="47">
        <v>10888</v>
      </c>
      <c r="B7885" s="48" t="s">
        <v>5439</v>
      </c>
      <c r="C7885" s="47" t="s">
        <v>65</v>
      </c>
      <c r="D7885" s="332">
        <v>415.38</v>
      </c>
    </row>
    <row r="7886" spans="1:4">
      <c r="A7886" s="28">
        <v>10889</v>
      </c>
      <c r="B7886" s="26" t="s">
        <v>5440</v>
      </c>
      <c r="C7886" s="28" t="s">
        <v>65</v>
      </c>
      <c r="D7886" s="329">
        <v>450</v>
      </c>
    </row>
    <row r="7887" spans="1:4" ht="30">
      <c r="A7887" s="47">
        <v>10890</v>
      </c>
      <c r="B7887" s="48" t="s">
        <v>5441</v>
      </c>
      <c r="C7887" s="47" t="s">
        <v>65</v>
      </c>
      <c r="D7887" s="332">
        <v>207.69</v>
      </c>
    </row>
    <row r="7888" spans="1:4" ht="30">
      <c r="A7888" s="28">
        <v>10891</v>
      </c>
      <c r="B7888" s="26" t="s">
        <v>5442</v>
      </c>
      <c r="C7888" s="28" t="s">
        <v>65</v>
      </c>
      <c r="D7888" s="329">
        <v>126.92</v>
      </c>
    </row>
    <row r="7889" spans="1:4" ht="30">
      <c r="A7889" s="47">
        <v>10892</v>
      </c>
      <c r="B7889" s="48" t="s">
        <v>5443</v>
      </c>
      <c r="C7889" s="47" t="s">
        <v>65</v>
      </c>
      <c r="D7889" s="332">
        <v>150</v>
      </c>
    </row>
    <row r="7890" spans="1:4" ht="30">
      <c r="A7890" s="28">
        <v>20977</v>
      </c>
      <c r="B7890" s="26" t="s">
        <v>5444</v>
      </c>
      <c r="C7890" s="28" t="s">
        <v>65</v>
      </c>
      <c r="D7890" s="329">
        <v>178.84</v>
      </c>
    </row>
    <row r="7891" spans="1:4">
      <c r="A7891" s="47">
        <v>3073</v>
      </c>
      <c r="B7891" s="48" t="s">
        <v>5452</v>
      </c>
      <c r="C7891" s="47" t="s">
        <v>65</v>
      </c>
      <c r="D7891" s="332">
        <v>101.39</v>
      </c>
    </row>
    <row r="7892" spans="1:4">
      <c r="A7892" s="28">
        <v>3068</v>
      </c>
      <c r="B7892" s="26" t="s">
        <v>5453</v>
      </c>
      <c r="C7892" s="28" t="s">
        <v>65</v>
      </c>
      <c r="D7892" s="329">
        <v>47.73</v>
      </c>
    </row>
    <row r="7893" spans="1:4">
      <c r="A7893" s="47">
        <v>3074</v>
      </c>
      <c r="B7893" s="48" t="s">
        <v>5454</v>
      </c>
      <c r="C7893" s="47" t="s">
        <v>65</v>
      </c>
      <c r="D7893" s="332">
        <v>80.7</v>
      </c>
    </row>
    <row r="7894" spans="1:4">
      <c r="A7894" s="28">
        <v>3076</v>
      </c>
      <c r="B7894" s="26" t="s">
        <v>5455</v>
      </c>
      <c r="C7894" s="28" t="s">
        <v>65</v>
      </c>
      <c r="D7894" s="329">
        <v>90.88</v>
      </c>
    </row>
    <row r="7895" spans="1:4">
      <c r="A7895" s="47">
        <v>3072</v>
      </c>
      <c r="B7895" s="48" t="s">
        <v>5456</v>
      </c>
      <c r="C7895" s="47" t="s">
        <v>65</v>
      </c>
      <c r="D7895" s="332">
        <v>40.33</v>
      </c>
    </row>
    <row r="7896" spans="1:4">
      <c r="A7896" s="28">
        <v>3075</v>
      </c>
      <c r="B7896" s="26" t="s">
        <v>5457</v>
      </c>
      <c r="C7896" s="28" t="s">
        <v>65</v>
      </c>
      <c r="D7896" s="329">
        <v>72.739999999999995</v>
      </c>
    </row>
    <row r="7897" spans="1:4" ht="30">
      <c r="A7897" s="47">
        <v>10780</v>
      </c>
      <c r="B7897" s="48" t="s">
        <v>5458</v>
      </c>
      <c r="C7897" s="47" t="s">
        <v>65</v>
      </c>
      <c r="D7897" s="332">
        <v>4.38</v>
      </c>
    </row>
    <row r="7898" spans="1:4" ht="30">
      <c r="A7898" s="28">
        <v>10781</v>
      </c>
      <c r="B7898" s="26" t="s">
        <v>5459</v>
      </c>
      <c r="C7898" s="28" t="s">
        <v>65</v>
      </c>
      <c r="D7898" s="329">
        <v>5.44</v>
      </c>
    </row>
    <row r="7899" spans="1:4" ht="30">
      <c r="A7899" s="47">
        <v>20106</v>
      </c>
      <c r="B7899" s="48" t="s">
        <v>5460</v>
      </c>
      <c r="C7899" s="47" t="s">
        <v>65</v>
      </c>
      <c r="D7899" s="332">
        <v>2.58</v>
      </c>
    </row>
    <row r="7900" spans="1:4" ht="30">
      <c r="A7900" s="28">
        <v>20107</v>
      </c>
      <c r="B7900" s="26" t="s">
        <v>5461</v>
      </c>
      <c r="C7900" s="28" t="s">
        <v>65</v>
      </c>
      <c r="D7900" s="329">
        <v>2.77</v>
      </c>
    </row>
    <row r="7901" spans="1:4" ht="30">
      <c r="A7901" s="47">
        <v>20108</v>
      </c>
      <c r="B7901" s="48" t="s">
        <v>5462</v>
      </c>
      <c r="C7901" s="47" t="s">
        <v>65</v>
      </c>
      <c r="D7901" s="332">
        <v>2.4700000000000002</v>
      </c>
    </row>
    <row r="7902" spans="1:4" ht="30">
      <c r="A7902" s="28">
        <v>20109</v>
      </c>
      <c r="B7902" s="26" t="s">
        <v>5463</v>
      </c>
      <c r="C7902" s="28" t="s">
        <v>65</v>
      </c>
      <c r="D7902" s="329">
        <v>3.9</v>
      </c>
    </row>
    <row r="7903" spans="1:4">
      <c r="A7903" s="47">
        <v>34795</v>
      </c>
      <c r="B7903" s="48" t="s">
        <v>5517</v>
      </c>
      <c r="C7903" s="47" t="s">
        <v>256</v>
      </c>
      <c r="D7903" s="332">
        <v>176.48</v>
      </c>
    </row>
    <row r="7904" spans="1:4">
      <c r="A7904" s="28">
        <v>34796</v>
      </c>
      <c r="B7904" s="26" t="s">
        <v>5518</v>
      </c>
      <c r="C7904" s="28" t="s">
        <v>71</v>
      </c>
      <c r="D7904" s="329">
        <v>7.74</v>
      </c>
    </row>
    <row r="7905" spans="1:4" ht="30">
      <c r="A7905" s="47">
        <v>11474</v>
      </c>
      <c r="B7905" s="48" t="s">
        <v>5519</v>
      </c>
      <c r="C7905" s="47" t="s">
        <v>65</v>
      </c>
      <c r="D7905" s="332">
        <v>34.58</v>
      </c>
    </row>
    <row r="7906" spans="1:4" ht="30">
      <c r="A7906" s="28">
        <v>11470</v>
      </c>
      <c r="B7906" s="26" t="s">
        <v>5520</v>
      </c>
      <c r="C7906" s="28" t="s">
        <v>65</v>
      </c>
      <c r="D7906" s="329">
        <v>22.66</v>
      </c>
    </row>
    <row r="7907" spans="1:4" ht="30">
      <c r="A7907" s="47">
        <v>11480</v>
      </c>
      <c r="B7907" s="48" t="s">
        <v>5521</v>
      </c>
      <c r="C7907" s="47" t="s">
        <v>105</v>
      </c>
      <c r="D7907" s="332">
        <v>56.56</v>
      </c>
    </row>
    <row r="7908" spans="1:4" ht="30">
      <c r="A7908" s="28">
        <v>38154</v>
      </c>
      <c r="B7908" s="26" t="s">
        <v>5522</v>
      </c>
      <c r="C7908" s="28" t="s">
        <v>105</v>
      </c>
      <c r="D7908" s="329">
        <v>35.409999999999997</v>
      </c>
    </row>
    <row r="7909" spans="1:4" ht="30">
      <c r="A7909" s="47">
        <v>11482</v>
      </c>
      <c r="B7909" s="48" t="s">
        <v>5523</v>
      </c>
      <c r="C7909" s="47" t="s">
        <v>105</v>
      </c>
      <c r="D7909" s="332">
        <v>51.38</v>
      </c>
    </row>
    <row r="7910" spans="1:4" ht="30">
      <c r="A7910" s="28">
        <v>3084</v>
      </c>
      <c r="B7910" s="26" t="s">
        <v>5524</v>
      </c>
      <c r="C7910" s="28" t="s">
        <v>105</v>
      </c>
      <c r="D7910" s="329">
        <v>66.05</v>
      </c>
    </row>
    <row r="7911" spans="1:4">
      <c r="A7911" s="47">
        <v>3103</v>
      </c>
      <c r="B7911" s="48" t="s">
        <v>5525</v>
      </c>
      <c r="C7911" s="47" t="s">
        <v>65</v>
      </c>
      <c r="D7911" s="332">
        <v>59.04</v>
      </c>
    </row>
    <row r="7912" spans="1:4" ht="30">
      <c r="A7912" s="28">
        <v>11481</v>
      </c>
      <c r="B7912" s="26" t="s">
        <v>5528</v>
      </c>
      <c r="C7912" s="28" t="s">
        <v>65</v>
      </c>
      <c r="D7912" s="329">
        <v>17.809999999999999</v>
      </c>
    </row>
    <row r="7913" spans="1:4" ht="45">
      <c r="A7913" s="47">
        <v>3097</v>
      </c>
      <c r="B7913" s="48" t="s">
        <v>5531</v>
      </c>
      <c r="C7913" s="47" t="s">
        <v>105</v>
      </c>
      <c r="D7913" s="332">
        <v>36.590000000000003</v>
      </c>
    </row>
    <row r="7914" spans="1:4" ht="45">
      <c r="A7914" s="28">
        <v>38153</v>
      </c>
      <c r="B7914" s="26" t="s">
        <v>5532</v>
      </c>
      <c r="C7914" s="28" t="s">
        <v>105</v>
      </c>
      <c r="D7914" s="329">
        <v>33.56</v>
      </c>
    </row>
    <row r="7915" spans="1:4" ht="45">
      <c r="A7915" s="47">
        <v>3099</v>
      </c>
      <c r="B7915" s="48" t="s">
        <v>5533</v>
      </c>
      <c r="C7915" s="47" t="s">
        <v>105</v>
      </c>
      <c r="D7915" s="332">
        <v>58.53</v>
      </c>
    </row>
    <row r="7916" spans="1:4" ht="45">
      <c r="A7916" s="28">
        <v>3080</v>
      </c>
      <c r="B7916" s="26" t="s">
        <v>5534</v>
      </c>
      <c r="C7916" s="28" t="s">
        <v>105</v>
      </c>
      <c r="D7916" s="329">
        <v>48.9</v>
      </c>
    </row>
    <row r="7917" spans="1:4" ht="45">
      <c r="A7917" s="47">
        <v>3081</v>
      </c>
      <c r="B7917" s="48" t="s">
        <v>5535</v>
      </c>
      <c r="C7917" s="47" t="s">
        <v>105</v>
      </c>
      <c r="D7917" s="332">
        <v>74.010000000000005</v>
      </c>
    </row>
    <row r="7918" spans="1:4" ht="45">
      <c r="A7918" s="28">
        <v>38151</v>
      </c>
      <c r="B7918" s="26" t="s">
        <v>5536</v>
      </c>
      <c r="C7918" s="28" t="s">
        <v>105</v>
      </c>
      <c r="D7918" s="329">
        <v>46.33</v>
      </c>
    </row>
    <row r="7919" spans="1:4" ht="30">
      <c r="A7919" s="47">
        <v>11479</v>
      </c>
      <c r="B7919" s="48" t="s">
        <v>5537</v>
      </c>
      <c r="C7919" s="47" t="s">
        <v>65</v>
      </c>
      <c r="D7919" s="332">
        <v>26.94</v>
      </c>
    </row>
    <row r="7920" spans="1:4" ht="45">
      <c r="A7920" s="28">
        <v>38152</v>
      </c>
      <c r="B7920" s="26" t="s">
        <v>5538</v>
      </c>
      <c r="C7920" s="28" t="s">
        <v>105</v>
      </c>
      <c r="D7920" s="329">
        <v>67.05</v>
      </c>
    </row>
    <row r="7921" spans="1:4" ht="30">
      <c r="A7921" s="47">
        <v>11478</v>
      </c>
      <c r="B7921" s="48" t="s">
        <v>5539</v>
      </c>
      <c r="C7921" s="47" t="s">
        <v>65</v>
      </c>
      <c r="D7921" s="332">
        <v>47.26</v>
      </c>
    </row>
    <row r="7922" spans="1:4" ht="45">
      <c r="A7922" s="28">
        <v>3090</v>
      </c>
      <c r="B7922" s="26" t="s">
        <v>5540</v>
      </c>
      <c r="C7922" s="28" t="s">
        <v>105</v>
      </c>
      <c r="D7922" s="329">
        <v>39.54</v>
      </c>
    </row>
    <row r="7923" spans="1:4" ht="45">
      <c r="A7923" s="47">
        <v>3093</v>
      </c>
      <c r="B7923" s="48" t="s">
        <v>5541</v>
      </c>
      <c r="C7923" s="47" t="s">
        <v>105</v>
      </c>
      <c r="D7923" s="332">
        <v>65.709999999999994</v>
      </c>
    </row>
    <row r="7924" spans="1:4" ht="30">
      <c r="A7924" s="28">
        <v>11476</v>
      </c>
      <c r="B7924" s="26" t="s">
        <v>5542</v>
      </c>
      <c r="C7924" s="28" t="s">
        <v>65</v>
      </c>
      <c r="D7924" s="329">
        <v>28.32</v>
      </c>
    </row>
    <row r="7925" spans="1:4" ht="29.25" customHeight="1">
      <c r="A7925" s="47">
        <v>3082</v>
      </c>
      <c r="B7925" s="48" t="s">
        <v>5543</v>
      </c>
      <c r="C7925" s="47" t="s">
        <v>105</v>
      </c>
      <c r="D7925" s="332">
        <v>45.74</v>
      </c>
    </row>
    <row r="7926" spans="1:4" ht="45">
      <c r="A7926" s="28">
        <v>11484</v>
      </c>
      <c r="B7926" s="26" t="s">
        <v>5544</v>
      </c>
      <c r="C7926" s="28" t="s">
        <v>65</v>
      </c>
      <c r="D7926" s="329">
        <v>32.630000000000003</v>
      </c>
    </row>
    <row r="7927" spans="1:4" ht="30">
      <c r="A7927" s="47">
        <v>38155</v>
      </c>
      <c r="B7927" s="48" t="s">
        <v>5545</v>
      </c>
      <c r="C7927" s="47" t="s">
        <v>65</v>
      </c>
      <c r="D7927" s="332">
        <v>44.48</v>
      </c>
    </row>
    <row r="7928" spans="1:4" ht="30">
      <c r="A7928" s="28">
        <v>11468</v>
      </c>
      <c r="B7928" s="26" t="s">
        <v>5546</v>
      </c>
      <c r="C7928" s="28" t="s">
        <v>65</v>
      </c>
      <c r="D7928" s="329">
        <v>9.98</v>
      </c>
    </row>
    <row r="7929" spans="1:4" ht="30">
      <c r="A7929" s="47">
        <v>11469</v>
      </c>
      <c r="B7929" s="48" t="s">
        <v>5547</v>
      </c>
      <c r="C7929" s="47" t="s">
        <v>65</v>
      </c>
      <c r="D7929" s="332">
        <v>11.92</v>
      </c>
    </row>
    <row r="7930" spans="1:4" ht="30">
      <c r="A7930" s="28">
        <v>11477</v>
      </c>
      <c r="B7930" s="26" t="s">
        <v>5548</v>
      </c>
      <c r="C7930" s="28" t="s">
        <v>105</v>
      </c>
      <c r="D7930" s="329">
        <v>54.18</v>
      </c>
    </row>
    <row r="7931" spans="1:4" ht="45">
      <c r="A7931" s="47">
        <v>40311</v>
      </c>
      <c r="B7931" s="48" t="s">
        <v>5549</v>
      </c>
      <c r="C7931" s="47" t="s">
        <v>105</v>
      </c>
      <c r="D7931" s="332">
        <v>52.33</v>
      </c>
    </row>
    <row r="7932" spans="1:4" ht="30">
      <c r="A7932" s="28">
        <v>38165</v>
      </c>
      <c r="B7932" s="26" t="s">
        <v>5552</v>
      </c>
      <c r="C7932" s="28" t="s">
        <v>105</v>
      </c>
      <c r="D7932" s="329">
        <v>44.48</v>
      </c>
    </row>
    <row r="7933" spans="1:4" ht="30">
      <c r="A7933" s="47">
        <v>3096</v>
      </c>
      <c r="B7933" s="48" t="s">
        <v>5553</v>
      </c>
      <c r="C7933" s="47" t="s">
        <v>105</v>
      </c>
      <c r="D7933" s="332">
        <v>30.08</v>
      </c>
    </row>
    <row r="7934" spans="1:4" ht="30">
      <c r="A7934" s="28">
        <v>11456</v>
      </c>
      <c r="B7934" s="26" t="s">
        <v>11348</v>
      </c>
      <c r="C7934" s="28" t="s">
        <v>65</v>
      </c>
      <c r="D7934" s="329">
        <v>9.85</v>
      </c>
    </row>
    <row r="7935" spans="1:4" ht="30">
      <c r="A7935" s="47">
        <v>3119</v>
      </c>
      <c r="B7935" s="48" t="s">
        <v>11349</v>
      </c>
      <c r="C7935" s="47" t="s">
        <v>65</v>
      </c>
      <c r="D7935" s="332">
        <v>1.46</v>
      </c>
    </row>
    <row r="7936" spans="1:4" ht="30">
      <c r="A7936" s="28">
        <v>3122</v>
      </c>
      <c r="B7936" s="26" t="s">
        <v>11350</v>
      </c>
      <c r="C7936" s="28" t="s">
        <v>65</v>
      </c>
      <c r="D7936" s="329">
        <v>2.06</v>
      </c>
    </row>
    <row r="7937" spans="1:4" ht="30">
      <c r="A7937" s="47">
        <v>3121</v>
      </c>
      <c r="B7937" s="48" t="s">
        <v>11351</v>
      </c>
      <c r="C7937" s="47" t="s">
        <v>65</v>
      </c>
      <c r="D7937" s="332">
        <v>3.19</v>
      </c>
    </row>
    <row r="7938" spans="1:4" ht="30">
      <c r="A7938" s="28">
        <v>3120</v>
      </c>
      <c r="B7938" s="26" t="s">
        <v>11352</v>
      </c>
      <c r="C7938" s="28" t="s">
        <v>65</v>
      </c>
      <c r="D7938" s="329">
        <v>5.04</v>
      </c>
    </row>
    <row r="7939" spans="1:4" ht="30">
      <c r="A7939" s="47">
        <v>11455</v>
      </c>
      <c r="B7939" s="48" t="s">
        <v>11353</v>
      </c>
      <c r="C7939" s="47" t="s">
        <v>65</v>
      </c>
      <c r="D7939" s="332">
        <v>7.06</v>
      </c>
    </row>
    <row r="7940" spans="1:4" ht="30">
      <c r="A7940" s="28">
        <v>3111</v>
      </c>
      <c r="B7940" s="26" t="s">
        <v>5554</v>
      </c>
      <c r="C7940" s="28" t="s">
        <v>65</v>
      </c>
      <c r="D7940" s="329">
        <v>16.899999999999999</v>
      </c>
    </row>
    <row r="7941" spans="1:4" ht="30">
      <c r="A7941" s="47">
        <v>3108</v>
      </c>
      <c r="B7941" s="48" t="s">
        <v>5555</v>
      </c>
      <c r="C7941" s="47" t="s">
        <v>65</v>
      </c>
      <c r="D7941" s="332">
        <v>17.739999999999998</v>
      </c>
    </row>
    <row r="7942" spans="1:4" ht="30">
      <c r="A7942" s="28">
        <v>3105</v>
      </c>
      <c r="B7942" s="26" t="s">
        <v>11354</v>
      </c>
      <c r="C7942" s="28" t="s">
        <v>65</v>
      </c>
      <c r="D7942" s="329">
        <v>27.56</v>
      </c>
    </row>
    <row r="7943" spans="1:4" ht="30">
      <c r="A7943" s="47">
        <v>38178</v>
      </c>
      <c r="B7943" s="48" t="s">
        <v>5556</v>
      </c>
      <c r="C7943" s="47" t="s">
        <v>65</v>
      </c>
      <c r="D7943" s="332">
        <v>18.010000000000002</v>
      </c>
    </row>
    <row r="7944" spans="1:4" ht="30">
      <c r="A7944" s="28">
        <v>11458</v>
      </c>
      <c r="B7944" s="26" t="s">
        <v>5557</v>
      </c>
      <c r="C7944" s="28" t="s">
        <v>65</v>
      </c>
      <c r="D7944" s="329">
        <v>15.78</v>
      </c>
    </row>
    <row r="7945" spans="1:4" ht="30">
      <c r="A7945" s="47">
        <v>40868</v>
      </c>
      <c r="B7945" s="48" t="s">
        <v>5560</v>
      </c>
      <c r="C7945" s="47" t="s">
        <v>256</v>
      </c>
      <c r="D7945" s="332">
        <v>198.98</v>
      </c>
    </row>
    <row r="7946" spans="1:4" ht="30">
      <c r="A7946" s="28">
        <v>11461</v>
      </c>
      <c r="B7946" s="26" t="s">
        <v>11355</v>
      </c>
      <c r="C7946" s="28" t="s">
        <v>65</v>
      </c>
      <c r="D7946" s="329">
        <v>4</v>
      </c>
    </row>
    <row r="7947" spans="1:4" ht="30">
      <c r="A7947" s="47">
        <v>3106</v>
      </c>
      <c r="B7947" s="48" t="s">
        <v>11356</v>
      </c>
      <c r="C7947" s="47" t="s">
        <v>65</v>
      </c>
      <c r="D7947" s="332">
        <v>3.04</v>
      </c>
    </row>
    <row r="7948" spans="1:4" ht="30">
      <c r="A7948" s="28">
        <v>3107</v>
      </c>
      <c r="B7948" s="26" t="s">
        <v>5563</v>
      </c>
      <c r="C7948" s="28" t="s">
        <v>65</v>
      </c>
      <c r="D7948" s="329">
        <v>2.56</v>
      </c>
    </row>
    <row r="7949" spans="1:4">
      <c r="A7949" s="47">
        <v>25951</v>
      </c>
      <c r="B7949" s="48" t="s">
        <v>179</v>
      </c>
      <c r="C7949" s="47" t="s">
        <v>90</v>
      </c>
      <c r="D7949" s="332">
        <v>2.14</v>
      </c>
    </row>
    <row r="7950" spans="1:4">
      <c r="A7950" s="28">
        <v>3123</v>
      </c>
      <c r="B7950" s="26" t="s">
        <v>5564</v>
      </c>
      <c r="C7950" s="28" t="s">
        <v>90</v>
      </c>
      <c r="D7950" s="329">
        <v>2</v>
      </c>
    </row>
    <row r="7951" spans="1:4">
      <c r="A7951" s="47">
        <v>38125</v>
      </c>
      <c r="B7951" s="48" t="s">
        <v>5565</v>
      </c>
      <c r="C7951" s="47" t="s">
        <v>90</v>
      </c>
      <c r="D7951" s="332">
        <v>1.02</v>
      </c>
    </row>
    <row r="7952" spans="1:4" ht="30">
      <c r="A7952" s="28">
        <v>39014</v>
      </c>
      <c r="B7952" s="26" t="s">
        <v>5566</v>
      </c>
      <c r="C7952" s="28" t="s">
        <v>90</v>
      </c>
      <c r="D7952" s="329">
        <v>8.8699999999999992</v>
      </c>
    </row>
    <row r="7953" spans="1:4" ht="30">
      <c r="A7953" s="47">
        <v>11894</v>
      </c>
      <c r="B7953" s="48" t="s">
        <v>5567</v>
      </c>
      <c r="C7953" s="47" t="s">
        <v>65</v>
      </c>
      <c r="D7953" s="332">
        <v>625.33000000000004</v>
      </c>
    </row>
    <row r="7954" spans="1:4" ht="30">
      <c r="A7954" s="28">
        <v>39365</v>
      </c>
      <c r="B7954" s="26" t="s">
        <v>5568</v>
      </c>
      <c r="C7954" s="28" t="s">
        <v>65</v>
      </c>
      <c r="D7954" s="329">
        <v>851.33</v>
      </c>
    </row>
    <row r="7955" spans="1:4" ht="30">
      <c r="A7955" s="47">
        <v>39366</v>
      </c>
      <c r="B7955" s="48" t="s">
        <v>5569</v>
      </c>
      <c r="C7955" s="47" t="s">
        <v>65</v>
      </c>
      <c r="D7955" s="332">
        <v>2179.7600000000002</v>
      </c>
    </row>
    <row r="7956" spans="1:4" ht="30">
      <c r="A7956" s="28">
        <v>39367</v>
      </c>
      <c r="B7956" s="26" t="s">
        <v>5570</v>
      </c>
      <c r="C7956" s="28" t="s">
        <v>65</v>
      </c>
      <c r="D7956" s="329">
        <v>2979.33</v>
      </c>
    </row>
    <row r="7957" spans="1:4">
      <c r="A7957" s="47">
        <v>37394</v>
      </c>
      <c r="B7957" s="48" t="s">
        <v>5571</v>
      </c>
      <c r="C7957" s="47" t="s">
        <v>180</v>
      </c>
      <c r="D7957" s="332">
        <v>49.43</v>
      </c>
    </row>
    <row r="7958" spans="1:4">
      <c r="A7958" s="28">
        <v>14146</v>
      </c>
      <c r="B7958" s="26" t="s">
        <v>5572</v>
      </c>
      <c r="C7958" s="28" t="s">
        <v>180</v>
      </c>
      <c r="D7958" s="329">
        <v>79.5</v>
      </c>
    </row>
    <row r="7959" spans="1:4">
      <c r="A7959" s="47">
        <v>38134</v>
      </c>
      <c r="B7959" s="48" t="s">
        <v>5573</v>
      </c>
      <c r="C7959" s="47" t="s">
        <v>90</v>
      </c>
      <c r="D7959" s="332">
        <v>40.61</v>
      </c>
    </row>
    <row r="7960" spans="1:4">
      <c r="A7960" s="28">
        <v>38132</v>
      </c>
      <c r="B7960" s="26" t="s">
        <v>5574</v>
      </c>
      <c r="C7960" s="28" t="s">
        <v>90</v>
      </c>
      <c r="D7960" s="329">
        <v>41.42</v>
      </c>
    </row>
    <row r="7961" spans="1:4">
      <c r="A7961" s="47">
        <v>38133</v>
      </c>
      <c r="B7961" s="48" t="s">
        <v>5575</v>
      </c>
      <c r="C7961" s="47" t="s">
        <v>90</v>
      </c>
      <c r="D7961" s="332">
        <v>40.07</v>
      </c>
    </row>
    <row r="7962" spans="1:4" ht="30">
      <c r="A7962" s="28">
        <v>938</v>
      </c>
      <c r="B7962" s="26" t="s">
        <v>11357</v>
      </c>
      <c r="C7962" s="28" t="s">
        <v>71</v>
      </c>
      <c r="D7962" s="329">
        <v>0.73</v>
      </c>
    </row>
    <row r="7963" spans="1:4" ht="30">
      <c r="A7963" s="47">
        <v>937</v>
      </c>
      <c r="B7963" s="48" t="s">
        <v>11358</v>
      </c>
      <c r="C7963" s="47" t="s">
        <v>71</v>
      </c>
      <c r="D7963" s="332">
        <v>4.55</v>
      </c>
    </row>
    <row r="7964" spans="1:4" ht="30">
      <c r="A7964" s="28">
        <v>939</v>
      </c>
      <c r="B7964" s="26" t="s">
        <v>5576</v>
      </c>
      <c r="C7964" s="28" t="s">
        <v>71</v>
      </c>
      <c r="D7964" s="329">
        <v>1.18</v>
      </c>
    </row>
    <row r="7965" spans="1:4" ht="30">
      <c r="A7965" s="47">
        <v>944</v>
      </c>
      <c r="B7965" s="48" t="s">
        <v>5577</v>
      </c>
      <c r="C7965" s="47" t="s">
        <v>71</v>
      </c>
      <c r="D7965" s="332">
        <v>2.0099999999999998</v>
      </c>
    </row>
    <row r="7966" spans="1:4" ht="30">
      <c r="A7966" s="28">
        <v>940</v>
      </c>
      <c r="B7966" s="26" t="s">
        <v>5578</v>
      </c>
      <c r="C7966" s="28" t="s">
        <v>71</v>
      </c>
      <c r="D7966" s="329">
        <v>2.78</v>
      </c>
    </row>
    <row r="7967" spans="1:4" ht="30">
      <c r="A7967" s="47">
        <v>936</v>
      </c>
      <c r="B7967" s="48" t="s">
        <v>11359</v>
      </c>
      <c r="C7967" s="47" t="s">
        <v>71</v>
      </c>
      <c r="D7967" s="332">
        <v>0.7</v>
      </c>
    </row>
    <row r="7968" spans="1:4" ht="30">
      <c r="A7968" s="28">
        <v>935</v>
      </c>
      <c r="B7968" s="26" t="s">
        <v>11360</v>
      </c>
      <c r="C7968" s="28" t="s">
        <v>71</v>
      </c>
      <c r="D7968" s="329">
        <v>0.53</v>
      </c>
    </row>
    <row r="7969" spans="1:4">
      <c r="A7969" s="47">
        <v>406</v>
      </c>
      <c r="B7969" s="48" t="s">
        <v>5580</v>
      </c>
      <c r="C7969" s="47" t="s">
        <v>65</v>
      </c>
      <c r="D7969" s="332">
        <v>47.09</v>
      </c>
    </row>
    <row r="7970" spans="1:4" ht="30">
      <c r="A7970" s="28">
        <v>40878</v>
      </c>
      <c r="B7970" s="26" t="s">
        <v>5581</v>
      </c>
      <c r="C7970" s="28" t="s">
        <v>71</v>
      </c>
      <c r="D7970" s="329">
        <v>0.2</v>
      </c>
    </row>
    <row r="7971" spans="1:4" ht="30">
      <c r="A7971" s="47">
        <v>39634</v>
      </c>
      <c r="B7971" s="48" t="s">
        <v>5582</v>
      </c>
      <c r="C7971" s="47" t="s">
        <v>71</v>
      </c>
      <c r="D7971" s="332">
        <v>5.84</v>
      </c>
    </row>
    <row r="7972" spans="1:4">
      <c r="A7972" s="28">
        <v>12815</v>
      </c>
      <c r="B7972" s="26" t="s">
        <v>5583</v>
      </c>
      <c r="C7972" s="28" t="s">
        <v>65</v>
      </c>
      <c r="D7972" s="329">
        <v>5.9</v>
      </c>
    </row>
    <row r="7973" spans="1:4">
      <c r="A7973" s="47">
        <v>407</v>
      </c>
      <c r="B7973" s="48" t="s">
        <v>5584</v>
      </c>
      <c r="C7973" s="47" t="s">
        <v>90</v>
      </c>
      <c r="D7973" s="332">
        <v>43.92</v>
      </c>
    </row>
    <row r="7974" spans="1:4" ht="30">
      <c r="A7974" s="28">
        <v>39431</v>
      </c>
      <c r="B7974" s="26" t="s">
        <v>5585</v>
      </c>
      <c r="C7974" s="28" t="s">
        <v>71</v>
      </c>
      <c r="D7974" s="329">
        <v>0.14000000000000001</v>
      </c>
    </row>
    <row r="7975" spans="1:4" ht="30">
      <c r="A7975" s="47">
        <v>39432</v>
      </c>
      <c r="B7975" s="48" t="s">
        <v>5586</v>
      </c>
      <c r="C7975" s="47" t="s">
        <v>71</v>
      </c>
      <c r="D7975" s="332">
        <v>1.88</v>
      </c>
    </row>
    <row r="7976" spans="1:4">
      <c r="A7976" s="28">
        <v>20111</v>
      </c>
      <c r="B7976" s="26" t="s">
        <v>5587</v>
      </c>
      <c r="C7976" s="28" t="s">
        <v>65</v>
      </c>
      <c r="D7976" s="329">
        <v>7.58</v>
      </c>
    </row>
    <row r="7977" spans="1:4">
      <c r="A7977" s="47">
        <v>21127</v>
      </c>
      <c r="B7977" s="48" t="s">
        <v>5588</v>
      </c>
      <c r="C7977" s="47" t="s">
        <v>65</v>
      </c>
      <c r="D7977" s="332">
        <v>2.86</v>
      </c>
    </row>
    <row r="7978" spans="1:4">
      <c r="A7978" s="28">
        <v>404</v>
      </c>
      <c r="B7978" s="26" t="s">
        <v>5589</v>
      </c>
      <c r="C7978" s="28" t="s">
        <v>71</v>
      </c>
      <c r="D7978" s="329">
        <v>1.03</v>
      </c>
    </row>
    <row r="7979" spans="1:4">
      <c r="A7979" s="47">
        <v>14151</v>
      </c>
      <c r="B7979" s="48" t="s">
        <v>5590</v>
      </c>
      <c r="C7979" s="47" t="s">
        <v>65</v>
      </c>
      <c r="D7979" s="332">
        <v>57.14</v>
      </c>
    </row>
    <row r="7980" spans="1:4">
      <c r="A7980" s="28">
        <v>14153</v>
      </c>
      <c r="B7980" s="26" t="s">
        <v>5591</v>
      </c>
      <c r="C7980" s="28" t="s">
        <v>65</v>
      </c>
      <c r="D7980" s="329">
        <v>64.59</v>
      </c>
    </row>
    <row r="7981" spans="1:4">
      <c r="A7981" s="47">
        <v>14152</v>
      </c>
      <c r="B7981" s="48" t="s">
        <v>5592</v>
      </c>
      <c r="C7981" s="47" t="s">
        <v>65</v>
      </c>
      <c r="D7981" s="332">
        <v>49.58</v>
      </c>
    </row>
    <row r="7982" spans="1:4">
      <c r="A7982" s="28">
        <v>14154</v>
      </c>
      <c r="B7982" s="26" t="s">
        <v>5593</v>
      </c>
      <c r="C7982" s="28" t="s">
        <v>65</v>
      </c>
      <c r="D7982" s="329">
        <v>173.55</v>
      </c>
    </row>
    <row r="7983" spans="1:4">
      <c r="A7983" s="47">
        <v>3146</v>
      </c>
      <c r="B7983" s="48" t="s">
        <v>5594</v>
      </c>
      <c r="C7983" s="47" t="s">
        <v>65</v>
      </c>
      <c r="D7983" s="332">
        <v>3</v>
      </c>
    </row>
    <row r="7984" spans="1:4">
      <c r="A7984" s="28">
        <v>3143</v>
      </c>
      <c r="B7984" s="26" t="s">
        <v>5595</v>
      </c>
      <c r="C7984" s="28" t="s">
        <v>65</v>
      </c>
      <c r="D7984" s="329">
        <v>6.82</v>
      </c>
    </row>
    <row r="7985" spans="1:4">
      <c r="A7985" s="47">
        <v>3148</v>
      </c>
      <c r="B7985" s="48" t="s">
        <v>5596</v>
      </c>
      <c r="C7985" s="47" t="s">
        <v>65</v>
      </c>
      <c r="D7985" s="332">
        <v>11.06</v>
      </c>
    </row>
    <row r="7986" spans="1:4" ht="30">
      <c r="A7986" s="28">
        <v>4310</v>
      </c>
      <c r="B7986" s="26" t="s">
        <v>5614</v>
      </c>
      <c r="C7986" s="28" t="s">
        <v>65</v>
      </c>
      <c r="D7986" s="329">
        <v>1.64</v>
      </c>
    </row>
    <row r="7987" spans="1:4">
      <c r="A7987" s="47">
        <v>4311</v>
      </c>
      <c r="B7987" s="48" t="s">
        <v>181</v>
      </c>
      <c r="C7987" s="47" t="s">
        <v>65</v>
      </c>
      <c r="D7987" s="332">
        <v>1.1499999999999999</v>
      </c>
    </row>
    <row r="7988" spans="1:4">
      <c r="A7988" s="28">
        <v>4312</v>
      </c>
      <c r="B7988" s="26" t="s">
        <v>5615</v>
      </c>
      <c r="C7988" s="28" t="s">
        <v>65</v>
      </c>
      <c r="D7988" s="329">
        <v>1.62</v>
      </c>
    </row>
    <row r="7989" spans="1:4">
      <c r="A7989" s="47">
        <v>11162</v>
      </c>
      <c r="B7989" s="48" t="s">
        <v>5616</v>
      </c>
      <c r="C7989" s="47" t="s">
        <v>65</v>
      </c>
      <c r="D7989" s="332">
        <v>1.17</v>
      </c>
    </row>
    <row r="7990" spans="1:4">
      <c r="A7990" s="28">
        <v>13261</v>
      </c>
      <c r="B7990" s="26" t="s">
        <v>5617</v>
      </c>
      <c r="C7990" s="28" t="s">
        <v>65</v>
      </c>
      <c r="D7990" s="329">
        <v>1.46</v>
      </c>
    </row>
    <row r="7991" spans="1:4">
      <c r="A7991" s="47">
        <v>3255</v>
      </c>
      <c r="B7991" s="48" t="s">
        <v>5618</v>
      </c>
      <c r="C7991" s="47" t="s">
        <v>65</v>
      </c>
      <c r="D7991" s="332">
        <v>4.68</v>
      </c>
    </row>
    <row r="7992" spans="1:4">
      <c r="A7992" s="28">
        <v>3254</v>
      </c>
      <c r="B7992" s="26" t="s">
        <v>5619</v>
      </c>
      <c r="C7992" s="28" t="s">
        <v>65</v>
      </c>
      <c r="D7992" s="329">
        <v>83.59</v>
      </c>
    </row>
    <row r="7993" spans="1:4">
      <c r="A7993" s="47">
        <v>3253</v>
      </c>
      <c r="B7993" s="48" t="s">
        <v>5620</v>
      </c>
      <c r="C7993" s="47" t="s">
        <v>65</v>
      </c>
      <c r="D7993" s="332">
        <v>104.26</v>
      </c>
    </row>
    <row r="7994" spans="1:4">
      <c r="A7994" s="28">
        <v>3259</v>
      </c>
      <c r="B7994" s="26" t="s">
        <v>5621</v>
      </c>
      <c r="C7994" s="28" t="s">
        <v>65</v>
      </c>
      <c r="D7994" s="329">
        <v>8.7200000000000006</v>
      </c>
    </row>
    <row r="7995" spans="1:4">
      <c r="A7995" s="47">
        <v>3258</v>
      </c>
      <c r="B7995" s="48" t="s">
        <v>5622</v>
      </c>
      <c r="C7995" s="47" t="s">
        <v>65</v>
      </c>
      <c r="D7995" s="332">
        <v>6.61</v>
      </c>
    </row>
    <row r="7996" spans="1:4" ht="43.5" customHeight="1">
      <c r="A7996" s="28">
        <v>3251</v>
      </c>
      <c r="B7996" s="26" t="s">
        <v>5624</v>
      </c>
      <c r="C7996" s="28" t="s">
        <v>65</v>
      </c>
      <c r="D7996" s="329">
        <v>3.53</v>
      </c>
    </row>
    <row r="7997" spans="1:4" ht="43.5" customHeight="1">
      <c r="A7997" s="47">
        <v>3256</v>
      </c>
      <c r="B7997" s="48" t="s">
        <v>5623</v>
      </c>
      <c r="C7997" s="47" t="s">
        <v>65</v>
      </c>
      <c r="D7997" s="332">
        <v>6.05</v>
      </c>
    </row>
    <row r="7998" spans="1:4" ht="43.5" customHeight="1">
      <c r="A7998" s="28">
        <v>3261</v>
      </c>
      <c r="B7998" s="26" t="s">
        <v>5625</v>
      </c>
      <c r="C7998" s="28" t="s">
        <v>65</v>
      </c>
      <c r="D7998" s="329">
        <v>72.17</v>
      </c>
    </row>
    <row r="7999" spans="1:4">
      <c r="A7999" s="47">
        <v>3260</v>
      </c>
      <c r="B7999" s="48" t="s">
        <v>5626</v>
      </c>
      <c r="C7999" s="47" t="s">
        <v>65</v>
      </c>
      <c r="D7999" s="332">
        <v>11.64</v>
      </c>
    </row>
    <row r="8000" spans="1:4" ht="43.5" customHeight="1">
      <c r="A8000" s="28">
        <v>3272</v>
      </c>
      <c r="B8000" s="26" t="s">
        <v>5627</v>
      </c>
      <c r="C8000" s="28" t="s">
        <v>65</v>
      </c>
      <c r="D8000" s="329">
        <v>30.38</v>
      </c>
    </row>
    <row r="8001" spans="1:4">
      <c r="A8001" s="47">
        <v>3265</v>
      </c>
      <c r="B8001" s="48" t="s">
        <v>5628</v>
      </c>
      <c r="C8001" s="47" t="s">
        <v>65</v>
      </c>
      <c r="D8001" s="332">
        <v>24.14</v>
      </c>
    </row>
    <row r="8002" spans="1:4">
      <c r="A8002" s="28">
        <v>3262</v>
      </c>
      <c r="B8002" s="26" t="s">
        <v>5630</v>
      </c>
      <c r="C8002" s="28" t="s">
        <v>65</v>
      </c>
      <c r="D8002" s="329">
        <v>10.56</v>
      </c>
    </row>
    <row r="8003" spans="1:4">
      <c r="A8003" s="47">
        <v>3264</v>
      </c>
      <c r="B8003" s="48" t="s">
        <v>5629</v>
      </c>
      <c r="C8003" s="47" t="s">
        <v>65</v>
      </c>
      <c r="D8003" s="332">
        <v>17.36</v>
      </c>
    </row>
    <row r="8004" spans="1:4">
      <c r="A8004" s="28">
        <v>3267</v>
      </c>
      <c r="B8004" s="26" t="s">
        <v>5631</v>
      </c>
      <c r="C8004" s="28" t="s">
        <v>65</v>
      </c>
      <c r="D8004" s="329">
        <v>56.69</v>
      </c>
    </row>
    <row r="8005" spans="1:4">
      <c r="A8005" s="47">
        <v>3266</v>
      </c>
      <c r="B8005" s="48" t="s">
        <v>5632</v>
      </c>
      <c r="C8005" s="47" t="s">
        <v>65</v>
      </c>
      <c r="D8005" s="332">
        <v>36.07</v>
      </c>
    </row>
    <row r="8006" spans="1:4">
      <c r="A8006" s="28">
        <v>3263</v>
      </c>
      <c r="B8006" s="26" t="s">
        <v>5634</v>
      </c>
      <c r="C8006" s="28" t="s">
        <v>65</v>
      </c>
      <c r="D8006" s="329">
        <v>14.43</v>
      </c>
    </row>
    <row r="8007" spans="1:4">
      <c r="A8007" s="47">
        <v>3268</v>
      </c>
      <c r="B8007" s="48" t="s">
        <v>5633</v>
      </c>
      <c r="C8007" s="47" t="s">
        <v>65</v>
      </c>
      <c r="D8007" s="332">
        <v>76.650000000000006</v>
      </c>
    </row>
    <row r="8008" spans="1:4" ht="43.5" customHeight="1">
      <c r="A8008" s="28">
        <v>3271</v>
      </c>
      <c r="B8008" s="26" t="s">
        <v>5635</v>
      </c>
      <c r="C8008" s="28" t="s">
        <v>65</v>
      </c>
      <c r="D8008" s="329">
        <v>113.32</v>
      </c>
    </row>
    <row r="8009" spans="1:4" ht="43.5" customHeight="1">
      <c r="A8009" s="47">
        <v>3270</v>
      </c>
      <c r="B8009" s="48" t="s">
        <v>5636</v>
      </c>
      <c r="C8009" s="47" t="s">
        <v>65</v>
      </c>
      <c r="D8009" s="332">
        <v>190.39</v>
      </c>
    </row>
    <row r="8010" spans="1:4" ht="43.5" customHeight="1">
      <c r="A8010" s="28">
        <v>40290</v>
      </c>
      <c r="B8010" s="26" t="s">
        <v>5637</v>
      </c>
      <c r="C8010" s="28" t="s">
        <v>1643</v>
      </c>
      <c r="D8010" s="329">
        <v>6.6</v>
      </c>
    </row>
    <row r="8011" spans="1:4" ht="43.5" customHeight="1">
      <c r="A8011" s="47">
        <v>3275</v>
      </c>
      <c r="B8011" s="48" t="s">
        <v>5666</v>
      </c>
      <c r="C8011" s="47" t="s">
        <v>256</v>
      </c>
      <c r="D8011" s="332">
        <v>51.3</v>
      </c>
    </row>
    <row r="8012" spans="1:4" ht="43.5" customHeight="1">
      <c r="A8012" s="28">
        <v>3286</v>
      </c>
      <c r="B8012" s="26" t="s">
        <v>5668</v>
      </c>
      <c r="C8012" s="28" t="s">
        <v>256</v>
      </c>
      <c r="D8012" s="329">
        <v>59.55</v>
      </c>
    </row>
    <row r="8013" spans="1:4" ht="43.5" customHeight="1">
      <c r="A8013" s="47">
        <v>3287</v>
      </c>
      <c r="B8013" s="48" t="s">
        <v>5670</v>
      </c>
      <c r="C8013" s="47" t="s">
        <v>256</v>
      </c>
      <c r="D8013" s="332">
        <v>90</v>
      </c>
    </row>
    <row r="8014" spans="1:4" ht="43.5" customHeight="1">
      <c r="A8014" s="28">
        <v>3283</v>
      </c>
      <c r="B8014" s="26" t="s">
        <v>5672</v>
      </c>
      <c r="C8014" s="28" t="s">
        <v>256</v>
      </c>
      <c r="D8014" s="329">
        <v>18.899999999999999</v>
      </c>
    </row>
    <row r="8015" spans="1:4" ht="43.5" customHeight="1">
      <c r="A8015" s="47">
        <v>11587</v>
      </c>
      <c r="B8015" s="48" t="s">
        <v>5674</v>
      </c>
      <c r="C8015" s="47" t="s">
        <v>256</v>
      </c>
      <c r="D8015" s="332">
        <v>35.18</v>
      </c>
    </row>
    <row r="8016" spans="1:4" ht="30">
      <c r="A8016" s="28">
        <v>36225</v>
      </c>
      <c r="B8016" s="26" t="s">
        <v>5675</v>
      </c>
      <c r="C8016" s="28" t="s">
        <v>256</v>
      </c>
      <c r="D8016" s="329">
        <v>14.29</v>
      </c>
    </row>
    <row r="8017" spans="1:4" ht="30">
      <c r="A8017" s="47">
        <v>36230</v>
      </c>
      <c r="B8017" s="48" t="s">
        <v>5676</v>
      </c>
      <c r="C8017" s="47" t="s">
        <v>256</v>
      </c>
      <c r="D8017" s="332">
        <v>10.5</v>
      </c>
    </row>
    <row r="8018" spans="1:4" ht="30">
      <c r="A8018" s="28">
        <v>36238</v>
      </c>
      <c r="B8018" s="26" t="s">
        <v>5677</v>
      </c>
      <c r="C8018" s="28" t="s">
        <v>256</v>
      </c>
      <c r="D8018" s="329">
        <v>10.26</v>
      </c>
    </row>
    <row r="8019" spans="1:4">
      <c r="A8019" s="47">
        <v>11887</v>
      </c>
      <c r="B8019" s="48" t="s">
        <v>5679</v>
      </c>
      <c r="C8019" s="47" t="s">
        <v>65</v>
      </c>
      <c r="D8019" s="332">
        <v>2945.79</v>
      </c>
    </row>
    <row r="8020" spans="1:4">
      <c r="A8020" s="28">
        <v>11883</v>
      </c>
      <c r="B8020" s="26" t="s">
        <v>5680</v>
      </c>
      <c r="C8020" s="28" t="s">
        <v>65</v>
      </c>
      <c r="D8020" s="329">
        <v>4330.82</v>
      </c>
    </row>
    <row r="8021" spans="1:4">
      <c r="A8021" s="47">
        <v>11884</v>
      </c>
      <c r="B8021" s="48" t="s">
        <v>5681</v>
      </c>
      <c r="C8021" s="47" t="s">
        <v>65</v>
      </c>
      <c r="D8021" s="332">
        <v>4646.59</v>
      </c>
    </row>
    <row r="8022" spans="1:4">
      <c r="A8022" s="28">
        <v>11885</v>
      </c>
      <c r="B8022" s="26" t="s">
        <v>5682</v>
      </c>
      <c r="C8022" s="28" t="s">
        <v>65</v>
      </c>
      <c r="D8022" s="329">
        <v>4315.32</v>
      </c>
    </row>
    <row r="8023" spans="1:4">
      <c r="A8023" s="47">
        <v>11886</v>
      </c>
      <c r="B8023" s="48" t="s">
        <v>5683</v>
      </c>
      <c r="C8023" s="47" t="s">
        <v>65</v>
      </c>
      <c r="D8023" s="332">
        <v>1670.31</v>
      </c>
    </row>
    <row r="8024" spans="1:4">
      <c r="A8024" s="28">
        <v>11888</v>
      </c>
      <c r="B8024" s="26" t="s">
        <v>5684</v>
      </c>
      <c r="C8024" s="28" t="s">
        <v>65</v>
      </c>
      <c r="D8024" s="329">
        <v>3922.55</v>
      </c>
    </row>
    <row r="8025" spans="1:4">
      <c r="A8025" s="47">
        <v>3277</v>
      </c>
      <c r="B8025" s="48" t="s">
        <v>5685</v>
      </c>
      <c r="C8025" s="47" t="s">
        <v>65</v>
      </c>
      <c r="D8025" s="332">
        <v>661.51</v>
      </c>
    </row>
    <row r="8026" spans="1:4">
      <c r="A8026" s="28">
        <v>3281</v>
      </c>
      <c r="B8026" s="26" t="s">
        <v>5686</v>
      </c>
      <c r="C8026" s="28" t="s">
        <v>65</v>
      </c>
      <c r="D8026" s="329">
        <v>547.80999999999995</v>
      </c>
    </row>
    <row r="8027" spans="1:4" ht="45">
      <c r="A8027" s="47">
        <v>39363</v>
      </c>
      <c r="B8027" s="48" t="s">
        <v>5687</v>
      </c>
      <c r="C8027" s="47" t="s">
        <v>65</v>
      </c>
      <c r="D8027" s="332">
        <v>3467.8</v>
      </c>
    </row>
    <row r="8028" spans="1:4" ht="45">
      <c r="A8028" s="28">
        <v>39361</v>
      </c>
      <c r="B8028" s="26" t="s">
        <v>5688</v>
      </c>
      <c r="C8028" s="28" t="s">
        <v>65</v>
      </c>
      <c r="D8028" s="329">
        <v>891.72</v>
      </c>
    </row>
    <row r="8029" spans="1:4" ht="45">
      <c r="A8029" s="47">
        <v>39362</v>
      </c>
      <c r="B8029" s="48" t="s">
        <v>5689</v>
      </c>
      <c r="C8029" s="47" t="s">
        <v>65</v>
      </c>
      <c r="D8029" s="332">
        <v>2744.05</v>
      </c>
    </row>
    <row r="8030" spans="1:4" ht="45">
      <c r="A8030" s="28">
        <v>39364</v>
      </c>
      <c r="B8030" s="26" t="s">
        <v>5690</v>
      </c>
      <c r="C8030" s="28" t="s">
        <v>65</v>
      </c>
      <c r="D8030" s="329">
        <v>7926.41</v>
      </c>
    </row>
    <row r="8031" spans="1:4" ht="30">
      <c r="A8031" s="47">
        <v>14576</v>
      </c>
      <c r="B8031" s="48" t="s">
        <v>5691</v>
      </c>
      <c r="C8031" s="47" t="s">
        <v>65</v>
      </c>
      <c r="D8031" s="332">
        <v>2458289.81</v>
      </c>
    </row>
    <row r="8032" spans="1:4" ht="30">
      <c r="A8032" s="28">
        <v>13877</v>
      </c>
      <c r="B8032" s="26" t="s">
        <v>5692</v>
      </c>
      <c r="C8032" s="28" t="s">
        <v>65</v>
      </c>
      <c r="D8032" s="329">
        <v>1052357.2</v>
      </c>
    </row>
    <row r="8033" spans="1:4">
      <c r="A8033" s="47">
        <v>7307</v>
      </c>
      <c r="B8033" s="48" t="s">
        <v>5707</v>
      </c>
      <c r="C8033" s="47" t="s">
        <v>91</v>
      </c>
      <c r="D8033" s="332">
        <v>17.87</v>
      </c>
    </row>
    <row r="8034" spans="1:4">
      <c r="A8034" s="28">
        <v>38122</v>
      </c>
      <c r="B8034" s="26" t="s">
        <v>5708</v>
      </c>
      <c r="C8034" s="28" t="s">
        <v>91</v>
      </c>
      <c r="D8034" s="329">
        <v>9.2200000000000006</v>
      </c>
    </row>
    <row r="8035" spans="1:4">
      <c r="A8035" s="47">
        <v>6086</v>
      </c>
      <c r="B8035" s="48" t="s">
        <v>5712</v>
      </c>
      <c r="C8035" s="47" t="s">
        <v>182</v>
      </c>
      <c r="D8035" s="332">
        <v>66.42</v>
      </c>
    </row>
    <row r="8036" spans="1:4" ht="30">
      <c r="A8036" s="28">
        <v>38633</v>
      </c>
      <c r="B8036" s="26" t="s">
        <v>5719</v>
      </c>
      <c r="C8036" s="28" t="s">
        <v>65</v>
      </c>
      <c r="D8036" s="329">
        <v>9.06</v>
      </c>
    </row>
    <row r="8037" spans="1:4" ht="30">
      <c r="A8037" s="47">
        <v>12344</v>
      </c>
      <c r="B8037" s="48" t="s">
        <v>5720</v>
      </c>
      <c r="C8037" s="47" t="s">
        <v>65</v>
      </c>
      <c r="D8037" s="332">
        <v>2.0699999999999998</v>
      </c>
    </row>
    <row r="8038" spans="1:4" ht="30">
      <c r="A8038" s="28">
        <v>12343</v>
      </c>
      <c r="B8038" s="26" t="s">
        <v>5721</v>
      </c>
      <c r="C8038" s="28" t="s">
        <v>65</v>
      </c>
      <c r="D8038" s="329">
        <v>3.22</v>
      </c>
    </row>
    <row r="8039" spans="1:4" ht="30">
      <c r="A8039" s="47">
        <v>3293</v>
      </c>
      <c r="B8039" s="48" t="s">
        <v>5722</v>
      </c>
      <c r="C8039" s="47" t="s">
        <v>65</v>
      </c>
      <c r="D8039" s="332">
        <v>11.45</v>
      </c>
    </row>
    <row r="8040" spans="1:4" ht="30">
      <c r="A8040" s="28">
        <v>3295</v>
      </c>
      <c r="B8040" s="26" t="s">
        <v>11361</v>
      </c>
      <c r="C8040" s="28" t="s">
        <v>65</v>
      </c>
      <c r="D8040" s="329">
        <v>11.24</v>
      </c>
    </row>
    <row r="8041" spans="1:4" ht="30">
      <c r="A8041" s="47">
        <v>3302</v>
      </c>
      <c r="B8041" s="48" t="s">
        <v>5723</v>
      </c>
      <c r="C8041" s="47" t="s">
        <v>65</v>
      </c>
      <c r="D8041" s="332">
        <v>11.75</v>
      </c>
    </row>
    <row r="8042" spans="1:4" ht="30">
      <c r="A8042" s="28">
        <v>3297</v>
      </c>
      <c r="B8042" s="26" t="s">
        <v>5724</v>
      </c>
      <c r="C8042" s="28" t="s">
        <v>65</v>
      </c>
      <c r="D8042" s="329">
        <v>12.55</v>
      </c>
    </row>
    <row r="8043" spans="1:4" ht="30">
      <c r="A8043" s="47">
        <v>3294</v>
      </c>
      <c r="B8043" s="48" t="s">
        <v>5725</v>
      </c>
      <c r="C8043" s="47" t="s">
        <v>65</v>
      </c>
      <c r="D8043" s="332">
        <v>12.74</v>
      </c>
    </row>
    <row r="8044" spans="1:4" ht="30">
      <c r="A8044" s="28">
        <v>3292</v>
      </c>
      <c r="B8044" s="26" t="s">
        <v>5726</v>
      </c>
      <c r="C8044" s="28" t="s">
        <v>65</v>
      </c>
      <c r="D8044" s="329">
        <v>11.97</v>
      </c>
    </row>
    <row r="8045" spans="1:4" ht="30">
      <c r="A8045" s="47">
        <v>3298</v>
      </c>
      <c r="B8045" s="48" t="s">
        <v>11362</v>
      </c>
      <c r="C8045" s="47" t="s">
        <v>65</v>
      </c>
      <c r="D8045" s="332">
        <v>28.05</v>
      </c>
    </row>
    <row r="8046" spans="1:4" ht="30">
      <c r="A8046" s="28">
        <v>3301</v>
      </c>
      <c r="B8046" s="26" t="s">
        <v>5727</v>
      </c>
      <c r="C8046" s="28" t="s">
        <v>65</v>
      </c>
      <c r="D8046" s="329">
        <v>28.26</v>
      </c>
    </row>
    <row r="8047" spans="1:4" ht="30">
      <c r="A8047" s="47">
        <v>3299</v>
      </c>
      <c r="B8047" s="48" t="s">
        <v>5728</v>
      </c>
      <c r="C8047" s="47" t="s">
        <v>65</v>
      </c>
      <c r="D8047" s="332">
        <v>11.38</v>
      </c>
    </row>
    <row r="8048" spans="1:4" ht="30">
      <c r="A8048" s="28">
        <v>3296</v>
      </c>
      <c r="B8048" s="26" t="s">
        <v>5729</v>
      </c>
      <c r="C8048" s="28" t="s">
        <v>65</v>
      </c>
      <c r="D8048" s="329">
        <v>11.24</v>
      </c>
    </row>
    <row r="8049" spans="1:4" ht="30">
      <c r="A8049" s="47">
        <v>11596</v>
      </c>
      <c r="B8049" s="48" t="s">
        <v>5735</v>
      </c>
      <c r="C8049" s="47" t="s">
        <v>65</v>
      </c>
      <c r="D8049" s="332">
        <v>261.83</v>
      </c>
    </row>
    <row r="8050" spans="1:4" ht="30">
      <c r="A8050" s="28">
        <v>34802</v>
      </c>
      <c r="B8050" s="26" t="s">
        <v>5736</v>
      </c>
      <c r="C8050" s="28" t="s">
        <v>65</v>
      </c>
      <c r="D8050" s="329">
        <v>719.07</v>
      </c>
    </row>
    <row r="8051" spans="1:4" ht="30">
      <c r="A8051" s="47">
        <v>11588</v>
      </c>
      <c r="B8051" s="48" t="s">
        <v>5737</v>
      </c>
      <c r="C8051" s="47" t="s">
        <v>65</v>
      </c>
      <c r="D8051" s="332">
        <v>775.76</v>
      </c>
    </row>
    <row r="8052" spans="1:4" ht="30">
      <c r="A8052" s="28">
        <v>34383</v>
      </c>
      <c r="B8052" s="26" t="s">
        <v>5738</v>
      </c>
      <c r="C8052" s="28" t="s">
        <v>65</v>
      </c>
      <c r="D8052" s="329">
        <v>853.39</v>
      </c>
    </row>
    <row r="8053" spans="1:4" ht="30">
      <c r="A8053" s="47">
        <v>40451</v>
      </c>
      <c r="B8053" s="48" t="s">
        <v>11363</v>
      </c>
      <c r="C8053" s="47" t="s">
        <v>256</v>
      </c>
      <c r="D8053" s="332">
        <v>68.98</v>
      </c>
    </row>
    <row r="8054" spans="1:4" ht="30">
      <c r="A8054" s="28">
        <v>40453</v>
      </c>
      <c r="B8054" s="26" t="s">
        <v>11364</v>
      </c>
      <c r="C8054" s="28" t="s">
        <v>256</v>
      </c>
      <c r="D8054" s="329">
        <v>74.64</v>
      </c>
    </row>
    <row r="8055" spans="1:4" ht="30">
      <c r="A8055" s="47">
        <v>40452</v>
      </c>
      <c r="B8055" s="48" t="s">
        <v>11365</v>
      </c>
      <c r="C8055" s="47" t="s">
        <v>256</v>
      </c>
      <c r="D8055" s="332">
        <v>81.87</v>
      </c>
    </row>
    <row r="8056" spans="1:4" ht="30">
      <c r="A8056" s="28">
        <v>11591</v>
      </c>
      <c r="B8056" s="26" t="s">
        <v>5739</v>
      </c>
      <c r="C8056" s="28" t="s">
        <v>65</v>
      </c>
      <c r="D8056" s="329">
        <v>755.9</v>
      </c>
    </row>
    <row r="8057" spans="1:4" ht="30">
      <c r="A8057" s="47">
        <v>11590</v>
      </c>
      <c r="B8057" s="48" t="s">
        <v>5740</v>
      </c>
      <c r="C8057" s="47" t="s">
        <v>65</v>
      </c>
      <c r="D8057" s="332">
        <v>787.74</v>
      </c>
    </row>
    <row r="8058" spans="1:4" ht="30">
      <c r="A8058" s="28">
        <v>3310</v>
      </c>
      <c r="B8058" s="26" t="s">
        <v>5741</v>
      </c>
      <c r="C8058" s="28" t="s">
        <v>255</v>
      </c>
      <c r="D8058" s="329">
        <v>328.22</v>
      </c>
    </row>
    <row r="8059" spans="1:4" ht="30">
      <c r="A8059" s="47">
        <v>11594</v>
      </c>
      <c r="B8059" s="48" t="s">
        <v>5742</v>
      </c>
      <c r="C8059" s="47" t="s">
        <v>65</v>
      </c>
      <c r="D8059" s="332">
        <v>247.25</v>
      </c>
    </row>
    <row r="8060" spans="1:4">
      <c r="A8060" s="28">
        <v>3311</v>
      </c>
      <c r="B8060" s="26" t="s">
        <v>5743</v>
      </c>
      <c r="C8060" s="28" t="s">
        <v>255</v>
      </c>
      <c r="D8060" s="329">
        <v>247.25</v>
      </c>
    </row>
    <row r="8061" spans="1:4">
      <c r="A8061" s="47">
        <v>11599</v>
      </c>
      <c r="B8061" s="48" t="s">
        <v>5744</v>
      </c>
      <c r="C8061" s="47" t="s">
        <v>65</v>
      </c>
      <c r="D8061" s="332">
        <v>328.82</v>
      </c>
    </row>
    <row r="8062" spans="1:4" ht="30">
      <c r="A8062" s="28">
        <v>11593</v>
      </c>
      <c r="B8062" s="26" t="s">
        <v>5745</v>
      </c>
      <c r="C8062" s="28" t="s">
        <v>65</v>
      </c>
      <c r="D8062" s="329">
        <v>460.99</v>
      </c>
    </row>
    <row r="8063" spans="1:4">
      <c r="A8063" s="47">
        <v>3314</v>
      </c>
      <c r="B8063" s="48" t="s">
        <v>5746</v>
      </c>
      <c r="C8063" s="47" t="s">
        <v>255</v>
      </c>
      <c r="D8063" s="332">
        <v>329.7</v>
      </c>
    </row>
    <row r="8064" spans="1:4" ht="30">
      <c r="A8064" s="28">
        <v>11597</v>
      </c>
      <c r="B8064" s="26" t="s">
        <v>5747</v>
      </c>
      <c r="C8064" s="28" t="s">
        <v>65</v>
      </c>
      <c r="D8064" s="329">
        <v>383.4</v>
      </c>
    </row>
    <row r="8065" spans="1:4">
      <c r="A8065" s="47">
        <v>3309</v>
      </c>
      <c r="B8065" s="48" t="s">
        <v>5748</v>
      </c>
      <c r="C8065" s="47" t="s">
        <v>255</v>
      </c>
      <c r="D8065" s="332">
        <v>261.83</v>
      </c>
    </row>
    <row r="8066" spans="1:4" ht="30">
      <c r="A8066" s="28">
        <v>34612</v>
      </c>
      <c r="B8066" s="26" t="s">
        <v>5751</v>
      </c>
      <c r="C8066" s="28" t="s">
        <v>65</v>
      </c>
      <c r="D8066" s="329">
        <v>474.2</v>
      </c>
    </row>
    <row r="8067" spans="1:4" ht="30">
      <c r="A8067" s="47">
        <v>34635</v>
      </c>
      <c r="B8067" s="48" t="s">
        <v>5752</v>
      </c>
      <c r="C8067" s="47" t="s">
        <v>65</v>
      </c>
      <c r="D8067" s="332">
        <v>609.79999999999995</v>
      </c>
    </row>
    <row r="8068" spans="1:4" ht="30">
      <c r="A8068" s="28">
        <v>34633</v>
      </c>
      <c r="B8068" s="26" t="s">
        <v>5753</v>
      </c>
      <c r="C8068" s="28" t="s">
        <v>65</v>
      </c>
      <c r="D8068" s="329">
        <v>672.16</v>
      </c>
    </row>
    <row r="8069" spans="1:4" ht="43.5" customHeight="1">
      <c r="A8069" s="47">
        <v>40440</v>
      </c>
      <c r="B8069" s="48" t="s">
        <v>5749</v>
      </c>
      <c r="C8069" s="47" t="s">
        <v>255</v>
      </c>
      <c r="D8069" s="332">
        <v>343.41</v>
      </c>
    </row>
    <row r="8070" spans="1:4" ht="30">
      <c r="A8070" s="28">
        <v>40441</v>
      </c>
      <c r="B8070" s="26" t="s">
        <v>5750</v>
      </c>
      <c r="C8070" s="28" t="s">
        <v>255</v>
      </c>
      <c r="D8070" s="329">
        <v>219.25</v>
      </c>
    </row>
    <row r="8071" spans="1:4" ht="45">
      <c r="A8071" s="47">
        <v>34630</v>
      </c>
      <c r="B8071" s="48" t="s">
        <v>5754</v>
      </c>
      <c r="C8071" s="47" t="s">
        <v>65</v>
      </c>
      <c r="D8071" s="332">
        <v>612.30999999999995</v>
      </c>
    </row>
    <row r="8072" spans="1:4" ht="30">
      <c r="A8072" s="28">
        <v>40449</v>
      </c>
      <c r="B8072" s="26" t="s">
        <v>11366</v>
      </c>
      <c r="C8072" s="28" t="s">
        <v>255</v>
      </c>
      <c r="D8072" s="329">
        <v>184.32</v>
      </c>
    </row>
    <row r="8073" spans="1:4" ht="30">
      <c r="A8073" s="47">
        <v>34800</v>
      </c>
      <c r="B8073" s="48" t="s">
        <v>11367</v>
      </c>
      <c r="C8073" s="47" t="s">
        <v>255</v>
      </c>
      <c r="D8073" s="332">
        <v>230.49</v>
      </c>
    </row>
    <row r="8074" spans="1:4" ht="30">
      <c r="A8074" s="28">
        <v>11592</v>
      </c>
      <c r="B8074" s="26" t="s">
        <v>5755</v>
      </c>
      <c r="C8074" s="28" t="s">
        <v>65</v>
      </c>
      <c r="D8074" s="329">
        <v>329.7</v>
      </c>
    </row>
    <row r="8075" spans="1:4" ht="30">
      <c r="A8075" s="47">
        <v>40438</v>
      </c>
      <c r="B8075" s="48" t="s">
        <v>11368</v>
      </c>
      <c r="C8075" s="47" t="s">
        <v>255</v>
      </c>
      <c r="D8075" s="332">
        <v>153.56</v>
      </c>
    </row>
    <row r="8076" spans="1:4" ht="30">
      <c r="A8076" s="28">
        <v>40439</v>
      </c>
      <c r="B8076" s="26" t="s">
        <v>11369</v>
      </c>
      <c r="C8076" s="28" t="s">
        <v>255</v>
      </c>
      <c r="D8076" s="329">
        <v>261.82</v>
      </c>
    </row>
    <row r="8077" spans="1:4" ht="30">
      <c r="A8077" s="47">
        <v>40436</v>
      </c>
      <c r="B8077" s="48" t="s">
        <v>11370</v>
      </c>
      <c r="C8077" s="47" t="s">
        <v>255</v>
      </c>
      <c r="D8077" s="332">
        <v>191.47</v>
      </c>
    </row>
    <row r="8078" spans="1:4" ht="30">
      <c r="A8078" s="28">
        <v>4315</v>
      </c>
      <c r="B8078" s="26" t="s">
        <v>5756</v>
      </c>
      <c r="C8078" s="28" t="s">
        <v>65</v>
      </c>
      <c r="D8078" s="329">
        <v>1.19</v>
      </c>
    </row>
    <row r="8079" spans="1:4">
      <c r="A8079" s="47">
        <v>40874</v>
      </c>
      <c r="B8079" s="48" t="s">
        <v>5757</v>
      </c>
      <c r="C8079" s="47" t="s">
        <v>65</v>
      </c>
      <c r="D8079" s="332">
        <v>1.88</v>
      </c>
    </row>
    <row r="8080" spans="1:4">
      <c r="A8080" s="28">
        <v>402</v>
      </c>
      <c r="B8080" s="26" t="s">
        <v>5758</v>
      </c>
      <c r="C8080" s="28" t="s">
        <v>65</v>
      </c>
      <c r="D8080" s="329">
        <v>6.5</v>
      </c>
    </row>
    <row r="8081" spans="1:4">
      <c r="A8081" s="47">
        <v>4226</v>
      </c>
      <c r="B8081" s="48" t="s">
        <v>5759</v>
      </c>
      <c r="C8081" s="47" t="s">
        <v>90</v>
      </c>
      <c r="D8081" s="332">
        <v>4.42</v>
      </c>
    </row>
    <row r="8082" spans="1:4">
      <c r="A8082" s="28">
        <v>4222</v>
      </c>
      <c r="B8082" s="26" t="s">
        <v>183</v>
      </c>
      <c r="C8082" s="28" t="s">
        <v>91</v>
      </c>
      <c r="D8082" s="329">
        <v>3.85</v>
      </c>
    </row>
    <row r="8083" spans="1:4" ht="45">
      <c r="A8083" s="47">
        <v>34804</v>
      </c>
      <c r="B8083" s="48" t="s">
        <v>5760</v>
      </c>
      <c r="C8083" s="47" t="s">
        <v>256</v>
      </c>
      <c r="D8083" s="332">
        <v>27.83</v>
      </c>
    </row>
    <row r="8084" spans="1:4" ht="30">
      <c r="A8084" s="28">
        <v>4013</v>
      </c>
      <c r="B8084" s="26" t="s">
        <v>5761</v>
      </c>
      <c r="C8084" s="28" t="s">
        <v>256</v>
      </c>
      <c r="D8084" s="329">
        <v>4.22</v>
      </c>
    </row>
    <row r="8085" spans="1:4" ht="29.25" customHeight="1">
      <c r="A8085" s="47">
        <v>4011</v>
      </c>
      <c r="B8085" s="48" t="s">
        <v>5762</v>
      </c>
      <c r="C8085" s="47" t="s">
        <v>256</v>
      </c>
      <c r="D8085" s="332">
        <v>5.57</v>
      </c>
    </row>
    <row r="8086" spans="1:4" ht="29.25" customHeight="1">
      <c r="A8086" s="28">
        <v>4021</v>
      </c>
      <c r="B8086" s="26" t="s">
        <v>5763</v>
      </c>
      <c r="C8086" s="28" t="s">
        <v>256</v>
      </c>
      <c r="D8086" s="329">
        <v>6.05</v>
      </c>
    </row>
    <row r="8087" spans="1:4" ht="30">
      <c r="A8087" s="47">
        <v>4019</v>
      </c>
      <c r="B8087" s="48" t="s">
        <v>5764</v>
      </c>
      <c r="C8087" s="47" t="s">
        <v>256</v>
      </c>
      <c r="D8087" s="332">
        <v>8.5</v>
      </c>
    </row>
    <row r="8088" spans="1:4" ht="30">
      <c r="A8088" s="28">
        <v>4012</v>
      </c>
      <c r="B8088" s="26" t="s">
        <v>5765</v>
      </c>
      <c r="C8088" s="28" t="s">
        <v>256</v>
      </c>
      <c r="D8088" s="329">
        <v>10.41</v>
      </c>
    </row>
    <row r="8089" spans="1:4" ht="30">
      <c r="A8089" s="47">
        <v>4020</v>
      </c>
      <c r="B8089" s="48" t="s">
        <v>5766</v>
      </c>
      <c r="C8089" s="47" t="s">
        <v>256</v>
      </c>
      <c r="D8089" s="332">
        <v>13.24</v>
      </c>
    </row>
    <row r="8090" spans="1:4" ht="30">
      <c r="A8090" s="28">
        <v>4018</v>
      </c>
      <c r="B8090" s="26" t="s">
        <v>5767</v>
      </c>
      <c r="C8090" s="28" t="s">
        <v>256</v>
      </c>
      <c r="D8090" s="329">
        <v>16.18</v>
      </c>
    </row>
    <row r="8091" spans="1:4" ht="30">
      <c r="A8091" s="47">
        <v>36498</v>
      </c>
      <c r="B8091" s="48" t="s">
        <v>5774</v>
      </c>
      <c r="C8091" s="47" t="s">
        <v>65</v>
      </c>
      <c r="D8091" s="332">
        <v>3374.69</v>
      </c>
    </row>
    <row r="8092" spans="1:4">
      <c r="A8092" s="28">
        <v>12872</v>
      </c>
      <c r="B8092" s="26" t="s">
        <v>184</v>
      </c>
      <c r="C8092" s="28" t="s">
        <v>57</v>
      </c>
      <c r="D8092" s="329">
        <v>11.23</v>
      </c>
    </row>
    <row r="8093" spans="1:4">
      <c r="A8093" s="47">
        <v>41075</v>
      </c>
      <c r="B8093" s="48" t="s">
        <v>5775</v>
      </c>
      <c r="C8093" s="47" t="s">
        <v>1643</v>
      </c>
      <c r="D8093" s="332">
        <v>1980.69</v>
      </c>
    </row>
    <row r="8094" spans="1:4">
      <c r="A8094" s="28">
        <v>3315</v>
      </c>
      <c r="B8094" s="26" t="s">
        <v>11371</v>
      </c>
      <c r="C8094" s="28" t="s">
        <v>90</v>
      </c>
      <c r="D8094" s="329">
        <v>0.37</v>
      </c>
    </row>
    <row r="8095" spans="1:4">
      <c r="A8095" s="47">
        <v>36870</v>
      </c>
      <c r="B8095" s="48" t="s">
        <v>185</v>
      </c>
      <c r="C8095" s="47" t="s">
        <v>90</v>
      </c>
      <c r="D8095" s="332">
        <v>0.36</v>
      </c>
    </row>
    <row r="8096" spans="1:4" ht="30">
      <c r="A8096" s="28">
        <v>5092</v>
      </c>
      <c r="B8096" s="26" t="s">
        <v>5776</v>
      </c>
      <c r="C8096" s="28" t="s">
        <v>131</v>
      </c>
      <c r="D8096" s="329">
        <v>11.32</v>
      </c>
    </row>
    <row r="8097" spans="1:4">
      <c r="A8097" s="47">
        <v>11462</v>
      </c>
      <c r="B8097" s="48" t="s">
        <v>5777</v>
      </c>
      <c r="C8097" s="47" t="s">
        <v>131</v>
      </c>
      <c r="D8097" s="332">
        <v>11.57</v>
      </c>
    </row>
    <row r="8098" spans="1:4" ht="30">
      <c r="A8098" s="28">
        <v>36529</v>
      </c>
      <c r="B8098" s="26" t="s">
        <v>5788</v>
      </c>
      <c r="C8098" s="28" t="s">
        <v>65</v>
      </c>
      <c r="D8098" s="329">
        <v>28596.93</v>
      </c>
    </row>
    <row r="8099" spans="1:4">
      <c r="A8099" s="47">
        <v>36528</v>
      </c>
      <c r="B8099" s="48" t="s">
        <v>5789</v>
      </c>
      <c r="C8099" s="47" t="s">
        <v>65</v>
      </c>
      <c r="D8099" s="332">
        <v>16243.05</v>
      </c>
    </row>
    <row r="8100" spans="1:4" ht="30">
      <c r="A8100" s="28">
        <v>3318</v>
      </c>
      <c r="B8100" s="26" t="s">
        <v>5790</v>
      </c>
      <c r="C8100" s="28" t="s">
        <v>65</v>
      </c>
      <c r="D8100" s="329">
        <v>22420</v>
      </c>
    </row>
    <row r="8101" spans="1:4" ht="45">
      <c r="A8101" s="47">
        <v>38968</v>
      </c>
      <c r="B8101" s="48" t="s">
        <v>5792</v>
      </c>
      <c r="C8101" s="47" t="s">
        <v>256</v>
      </c>
      <c r="D8101" s="332">
        <v>239.51</v>
      </c>
    </row>
    <row r="8102" spans="1:4">
      <c r="A8102" s="28">
        <v>3324</v>
      </c>
      <c r="B8102" s="26" t="s">
        <v>186</v>
      </c>
      <c r="C8102" s="28" t="s">
        <v>256</v>
      </c>
      <c r="D8102" s="329">
        <v>3.82</v>
      </c>
    </row>
    <row r="8103" spans="1:4">
      <c r="A8103" s="47">
        <v>3322</v>
      </c>
      <c r="B8103" s="48" t="s">
        <v>11372</v>
      </c>
      <c r="C8103" s="47" t="s">
        <v>256</v>
      </c>
      <c r="D8103" s="332">
        <v>5.35</v>
      </c>
    </row>
    <row r="8104" spans="1:4">
      <c r="A8104" s="28">
        <v>3323</v>
      </c>
      <c r="B8104" s="26" t="s">
        <v>5797</v>
      </c>
      <c r="C8104" s="28" t="s">
        <v>256</v>
      </c>
      <c r="D8104" s="329">
        <v>5.35</v>
      </c>
    </row>
    <row r="8105" spans="1:4">
      <c r="A8105" s="47">
        <v>5076</v>
      </c>
      <c r="B8105" s="48" t="s">
        <v>5799</v>
      </c>
      <c r="C8105" s="47" t="s">
        <v>90</v>
      </c>
      <c r="D8105" s="332">
        <v>8.58</v>
      </c>
    </row>
    <row r="8106" spans="1:4">
      <c r="A8106" s="28">
        <v>5077</v>
      </c>
      <c r="B8106" s="26" t="s">
        <v>5800</v>
      </c>
      <c r="C8106" s="28" t="s">
        <v>90</v>
      </c>
      <c r="D8106" s="329">
        <v>9.48</v>
      </c>
    </row>
    <row r="8107" spans="1:4">
      <c r="A8107" s="47">
        <v>38466</v>
      </c>
      <c r="B8107" s="48" t="s">
        <v>5801</v>
      </c>
      <c r="C8107" s="47" t="s">
        <v>65</v>
      </c>
      <c r="D8107" s="332">
        <v>16.13</v>
      </c>
    </row>
    <row r="8108" spans="1:4" ht="30">
      <c r="A8108" s="28">
        <v>11837</v>
      </c>
      <c r="B8108" s="26" t="s">
        <v>5802</v>
      </c>
      <c r="C8108" s="28" t="s">
        <v>65</v>
      </c>
      <c r="D8108" s="329">
        <v>28.54</v>
      </c>
    </row>
    <row r="8109" spans="1:4" ht="30">
      <c r="A8109" s="47">
        <v>38055</v>
      </c>
      <c r="B8109" s="48" t="s">
        <v>5804</v>
      </c>
      <c r="C8109" s="47" t="s">
        <v>65</v>
      </c>
      <c r="D8109" s="332">
        <v>2.59</v>
      </c>
    </row>
    <row r="8110" spans="1:4" ht="30">
      <c r="A8110" s="28">
        <v>415</v>
      </c>
      <c r="B8110" s="26" t="s">
        <v>5803</v>
      </c>
      <c r="C8110" s="28" t="s">
        <v>65</v>
      </c>
      <c r="D8110" s="329">
        <v>11.7</v>
      </c>
    </row>
    <row r="8111" spans="1:4" ht="30">
      <c r="A8111" s="47">
        <v>416</v>
      </c>
      <c r="B8111" s="48" t="s">
        <v>5805</v>
      </c>
      <c r="C8111" s="47" t="s">
        <v>65</v>
      </c>
      <c r="D8111" s="332">
        <v>4.28</v>
      </c>
    </row>
    <row r="8112" spans="1:4" ht="30">
      <c r="A8112" s="28">
        <v>425</v>
      </c>
      <c r="B8112" s="26" t="s">
        <v>5806</v>
      </c>
      <c r="C8112" s="28" t="s">
        <v>65</v>
      </c>
      <c r="D8112" s="329">
        <v>2.65</v>
      </c>
    </row>
    <row r="8113" spans="1:4" ht="30">
      <c r="A8113" s="47">
        <v>426</v>
      </c>
      <c r="B8113" s="48" t="s">
        <v>5807</v>
      </c>
      <c r="C8113" s="47" t="s">
        <v>65</v>
      </c>
      <c r="D8113" s="332">
        <v>14.62</v>
      </c>
    </row>
    <row r="8114" spans="1:4" ht="30">
      <c r="A8114" s="28">
        <v>38056</v>
      </c>
      <c r="B8114" s="26" t="s">
        <v>5808</v>
      </c>
      <c r="C8114" s="28" t="s">
        <v>65</v>
      </c>
      <c r="D8114" s="329">
        <v>14.28</v>
      </c>
    </row>
    <row r="8115" spans="1:4">
      <c r="A8115" s="47">
        <v>1564</v>
      </c>
      <c r="B8115" s="48" t="s">
        <v>5810</v>
      </c>
      <c r="C8115" s="47" t="s">
        <v>65</v>
      </c>
      <c r="D8115" s="332">
        <v>5.45</v>
      </c>
    </row>
    <row r="8116" spans="1:4">
      <c r="A8116" s="28">
        <v>11032</v>
      </c>
      <c r="B8116" s="26" t="s">
        <v>5811</v>
      </c>
      <c r="C8116" s="28" t="s">
        <v>65</v>
      </c>
      <c r="D8116" s="329">
        <v>6.72</v>
      </c>
    </row>
    <row r="8117" spans="1:4">
      <c r="A8117" s="47">
        <v>40875</v>
      </c>
      <c r="B8117" s="48" t="s">
        <v>5798</v>
      </c>
      <c r="C8117" s="47" t="s">
        <v>135</v>
      </c>
      <c r="D8117" s="332">
        <v>2.66</v>
      </c>
    </row>
    <row r="8118" spans="1:4" ht="30">
      <c r="A8118" s="28">
        <v>36786</v>
      </c>
      <c r="B8118" s="26" t="s">
        <v>11373</v>
      </c>
      <c r="C8118" s="28" t="s">
        <v>187</v>
      </c>
      <c r="D8118" s="329">
        <v>84.52</v>
      </c>
    </row>
    <row r="8119" spans="1:4" ht="30">
      <c r="A8119" s="47">
        <v>36787</v>
      </c>
      <c r="B8119" s="48" t="s">
        <v>5812</v>
      </c>
      <c r="C8119" s="47" t="s">
        <v>187</v>
      </c>
      <c r="D8119" s="332">
        <v>84.52</v>
      </c>
    </row>
    <row r="8120" spans="1:4" ht="30">
      <c r="A8120" s="28">
        <v>36785</v>
      </c>
      <c r="B8120" s="26" t="s">
        <v>5813</v>
      </c>
      <c r="C8120" s="28" t="s">
        <v>187</v>
      </c>
      <c r="D8120" s="329">
        <v>73.45</v>
      </c>
    </row>
    <row r="8121" spans="1:4" ht="30">
      <c r="A8121" s="47">
        <v>36782</v>
      </c>
      <c r="B8121" s="48" t="s">
        <v>11374</v>
      </c>
      <c r="C8121" s="47" t="s">
        <v>187</v>
      </c>
      <c r="D8121" s="332">
        <v>87.67</v>
      </c>
    </row>
    <row r="8122" spans="1:4" ht="30">
      <c r="A8122" s="28">
        <v>36784</v>
      </c>
      <c r="B8122" s="26" t="s">
        <v>5814</v>
      </c>
      <c r="C8122" s="28" t="s">
        <v>187</v>
      </c>
      <c r="D8122" s="329">
        <v>84.52</v>
      </c>
    </row>
    <row r="8123" spans="1:4" ht="30">
      <c r="A8123" s="47">
        <v>25930</v>
      </c>
      <c r="B8123" s="48" t="s">
        <v>5815</v>
      </c>
      <c r="C8123" s="47" t="s">
        <v>187</v>
      </c>
      <c r="D8123" s="332">
        <v>98.75</v>
      </c>
    </row>
    <row r="8124" spans="1:4" ht="57.75" customHeight="1">
      <c r="A8124" s="28">
        <v>4824</v>
      </c>
      <c r="B8124" s="26" t="s">
        <v>5816</v>
      </c>
      <c r="C8124" s="28" t="s">
        <v>90</v>
      </c>
      <c r="D8124" s="329">
        <v>0.24</v>
      </c>
    </row>
    <row r="8125" spans="1:4">
      <c r="A8125" s="47">
        <v>10840</v>
      </c>
      <c r="B8125" s="48" t="s">
        <v>5817</v>
      </c>
      <c r="C8125" s="47" t="s">
        <v>256</v>
      </c>
      <c r="D8125" s="332">
        <v>176.25</v>
      </c>
    </row>
    <row r="8126" spans="1:4">
      <c r="A8126" s="28">
        <v>11795</v>
      </c>
      <c r="B8126" s="26" t="s">
        <v>188</v>
      </c>
      <c r="C8126" s="28" t="s">
        <v>256</v>
      </c>
      <c r="D8126" s="329">
        <v>188.69</v>
      </c>
    </row>
    <row r="8127" spans="1:4">
      <c r="A8127" s="47">
        <v>10841</v>
      </c>
      <c r="B8127" s="48" t="s">
        <v>5818</v>
      </c>
      <c r="C8127" s="47" t="s">
        <v>256</v>
      </c>
      <c r="D8127" s="332">
        <v>144.31</v>
      </c>
    </row>
    <row r="8128" spans="1:4">
      <c r="A8128" s="28">
        <v>10842</v>
      </c>
      <c r="B8128" s="26" t="s">
        <v>5819</v>
      </c>
      <c r="C8128" s="28" t="s">
        <v>256</v>
      </c>
      <c r="D8128" s="329">
        <v>202.16</v>
      </c>
    </row>
    <row r="8129" spans="1:4" ht="57.75" customHeight="1">
      <c r="A8129" s="47">
        <v>134</v>
      </c>
      <c r="B8129" s="48" t="s">
        <v>5820</v>
      </c>
      <c r="C8129" s="47" t="s">
        <v>90</v>
      </c>
      <c r="D8129" s="332">
        <v>1.56</v>
      </c>
    </row>
    <row r="8130" spans="1:4">
      <c r="A8130" s="28">
        <v>4229</v>
      </c>
      <c r="B8130" s="26" t="s">
        <v>189</v>
      </c>
      <c r="C8130" s="28" t="s">
        <v>90</v>
      </c>
      <c r="D8130" s="329">
        <v>14.68</v>
      </c>
    </row>
    <row r="8131" spans="1:4">
      <c r="A8131" s="47">
        <v>37402</v>
      </c>
      <c r="B8131" s="48" t="s">
        <v>5831</v>
      </c>
      <c r="C8131" s="47" t="s">
        <v>65</v>
      </c>
      <c r="D8131" s="332">
        <v>38.25</v>
      </c>
    </row>
    <row r="8132" spans="1:4">
      <c r="A8132" s="28">
        <v>11244</v>
      </c>
      <c r="B8132" s="26" t="s">
        <v>5837</v>
      </c>
      <c r="C8132" s="28" t="s">
        <v>65</v>
      </c>
      <c r="D8132" s="329">
        <v>148.71</v>
      </c>
    </row>
    <row r="8133" spans="1:4" ht="30">
      <c r="A8133" s="47">
        <v>11245</v>
      </c>
      <c r="B8133" s="48" t="s">
        <v>5838</v>
      </c>
      <c r="C8133" s="47" t="s">
        <v>65</v>
      </c>
      <c r="D8133" s="332">
        <v>205.69</v>
      </c>
    </row>
    <row r="8134" spans="1:4">
      <c r="A8134" s="28">
        <v>11235</v>
      </c>
      <c r="B8134" s="26" t="s">
        <v>5839</v>
      </c>
      <c r="C8134" s="28" t="s">
        <v>65</v>
      </c>
      <c r="D8134" s="329">
        <v>113.48</v>
      </c>
    </row>
    <row r="8135" spans="1:4">
      <c r="A8135" s="47">
        <v>11236</v>
      </c>
      <c r="B8135" s="48" t="s">
        <v>5840</v>
      </c>
      <c r="C8135" s="47" t="s">
        <v>65</v>
      </c>
      <c r="D8135" s="332">
        <v>144.22</v>
      </c>
    </row>
    <row r="8136" spans="1:4">
      <c r="A8136" s="28">
        <v>11731</v>
      </c>
      <c r="B8136" s="26" t="s">
        <v>5841</v>
      </c>
      <c r="C8136" s="28" t="s">
        <v>65</v>
      </c>
      <c r="D8136" s="329">
        <v>3.37</v>
      </c>
    </row>
    <row r="8137" spans="1:4">
      <c r="A8137" s="47">
        <v>11732</v>
      </c>
      <c r="B8137" s="48" t="s">
        <v>5842</v>
      </c>
      <c r="C8137" s="47" t="s">
        <v>65</v>
      </c>
      <c r="D8137" s="332">
        <v>17.16</v>
      </c>
    </row>
    <row r="8138" spans="1:4">
      <c r="A8138" s="28">
        <v>36494</v>
      </c>
      <c r="B8138" s="26" t="s">
        <v>5847</v>
      </c>
      <c r="C8138" s="28" t="s">
        <v>65</v>
      </c>
      <c r="D8138" s="329">
        <v>334953.12</v>
      </c>
    </row>
    <row r="8139" spans="1:4">
      <c r="A8139" s="47">
        <v>36493</v>
      </c>
      <c r="B8139" s="48" t="s">
        <v>5854</v>
      </c>
      <c r="C8139" s="47" t="s">
        <v>65</v>
      </c>
      <c r="D8139" s="332">
        <v>379488.28</v>
      </c>
    </row>
    <row r="8140" spans="1:4">
      <c r="A8140" s="28">
        <v>36492</v>
      </c>
      <c r="B8140" s="26" t="s">
        <v>5855</v>
      </c>
      <c r="C8140" s="28" t="s">
        <v>65</v>
      </c>
      <c r="D8140" s="329">
        <v>704945.31</v>
      </c>
    </row>
    <row r="8141" spans="1:4" ht="30">
      <c r="A8141" s="47">
        <v>13333</v>
      </c>
      <c r="B8141" s="48" t="s">
        <v>5858</v>
      </c>
      <c r="C8141" s="47" t="s">
        <v>65</v>
      </c>
      <c r="D8141" s="332">
        <v>93452.99</v>
      </c>
    </row>
    <row r="8142" spans="1:4" ht="30">
      <c r="A8142" s="28">
        <v>13533</v>
      </c>
      <c r="B8142" s="26" t="s">
        <v>5859</v>
      </c>
      <c r="C8142" s="28" t="s">
        <v>65</v>
      </c>
      <c r="D8142" s="329">
        <v>83536.59</v>
      </c>
    </row>
    <row r="8143" spans="1:4" ht="30">
      <c r="A8143" s="47">
        <v>3346</v>
      </c>
      <c r="B8143" s="48" t="s">
        <v>5866</v>
      </c>
      <c r="C8143" s="47" t="s">
        <v>57</v>
      </c>
      <c r="D8143" s="332">
        <v>12.38</v>
      </c>
    </row>
    <row r="8144" spans="1:4" ht="30">
      <c r="A8144" s="28">
        <v>36499</v>
      </c>
      <c r="B8144" s="26" t="s">
        <v>5867</v>
      </c>
      <c r="C8144" s="28" t="s">
        <v>65</v>
      </c>
      <c r="D8144" s="329">
        <v>1822.33</v>
      </c>
    </row>
    <row r="8145" spans="1:4" ht="30">
      <c r="A8145" s="47">
        <v>3348</v>
      </c>
      <c r="B8145" s="48" t="s">
        <v>5868</v>
      </c>
      <c r="C8145" s="47" t="s">
        <v>57</v>
      </c>
      <c r="D8145" s="332">
        <v>14.81</v>
      </c>
    </row>
    <row r="8146" spans="1:4" ht="30">
      <c r="A8146" s="28">
        <v>3345</v>
      </c>
      <c r="B8146" s="26" t="s">
        <v>5869</v>
      </c>
      <c r="C8146" s="28" t="s">
        <v>57</v>
      </c>
      <c r="D8146" s="329">
        <v>9.57</v>
      </c>
    </row>
    <row r="8147" spans="1:4">
      <c r="A8147" s="47">
        <v>39833</v>
      </c>
      <c r="B8147" s="48" t="s">
        <v>5870</v>
      </c>
      <c r="C8147" s="47" t="s">
        <v>57</v>
      </c>
      <c r="D8147" s="332">
        <v>20.28</v>
      </c>
    </row>
    <row r="8148" spans="1:4">
      <c r="A8148" s="28">
        <v>39834</v>
      </c>
      <c r="B8148" s="26" t="s">
        <v>5871</v>
      </c>
      <c r="C8148" s="28" t="s">
        <v>57</v>
      </c>
      <c r="D8148" s="329">
        <v>34.81</v>
      </c>
    </row>
    <row r="8149" spans="1:4">
      <c r="A8149" s="47">
        <v>39835</v>
      </c>
      <c r="B8149" s="48" t="s">
        <v>5872</v>
      </c>
      <c r="C8149" s="47" t="s">
        <v>57</v>
      </c>
      <c r="D8149" s="332">
        <v>42.44</v>
      </c>
    </row>
    <row r="8150" spans="1:4" ht="30">
      <c r="A8150" s="28">
        <v>39585</v>
      </c>
      <c r="B8150" s="26" t="s">
        <v>5873</v>
      </c>
      <c r="C8150" s="28" t="s">
        <v>65</v>
      </c>
      <c r="D8150" s="329">
        <v>60342.59</v>
      </c>
    </row>
    <row r="8151" spans="1:4" ht="30">
      <c r="A8151" s="47">
        <v>39586</v>
      </c>
      <c r="B8151" s="48" t="s">
        <v>5874</v>
      </c>
      <c r="C8151" s="47" t="s">
        <v>65</v>
      </c>
      <c r="D8151" s="332">
        <v>70777.77</v>
      </c>
    </row>
    <row r="8152" spans="1:4" ht="30">
      <c r="A8152" s="28">
        <v>39587</v>
      </c>
      <c r="B8152" s="26" t="s">
        <v>5875</v>
      </c>
      <c r="C8152" s="28" t="s">
        <v>65</v>
      </c>
      <c r="D8152" s="329">
        <v>86203.7</v>
      </c>
    </row>
    <row r="8153" spans="1:4" ht="30">
      <c r="A8153" s="47">
        <v>39588</v>
      </c>
      <c r="B8153" s="48" t="s">
        <v>5876</v>
      </c>
      <c r="C8153" s="47" t="s">
        <v>65</v>
      </c>
      <c r="D8153" s="332">
        <v>99814.81</v>
      </c>
    </row>
    <row r="8154" spans="1:4" ht="30">
      <c r="A8154" s="28">
        <v>39584</v>
      </c>
      <c r="B8154" s="26" t="s">
        <v>5877</v>
      </c>
      <c r="C8154" s="28" t="s">
        <v>65</v>
      </c>
      <c r="D8154" s="329">
        <v>53736.66</v>
      </c>
    </row>
    <row r="8155" spans="1:4" ht="30">
      <c r="A8155" s="47">
        <v>39590</v>
      </c>
      <c r="B8155" s="48" t="s">
        <v>5878</v>
      </c>
      <c r="C8155" s="47" t="s">
        <v>65</v>
      </c>
      <c r="D8155" s="332">
        <v>52448.14</v>
      </c>
    </row>
    <row r="8156" spans="1:4" ht="30">
      <c r="A8156" s="28">
        <v>39592</v>
      </c>
      <c r="B8156" s="26" t="s">
        <v>5879</v>
      </c>
      <c r="C8156" s="28" t="s">
        <v>65</v>
      </c>
      <c r="D8156" s="329">
        <v>75369.25</v>
      </c>
    </row>
    <row r="8157" spans="1:4" ht="30">
      <c r="A8157" s="47">
        <v>39593</v>
      </c>
      <c r="B8157" s="48" t="s">
        <v>5880</v>
      </c>
      <c r="C8157" s="47" t="s">
        <v>65</v>
      </c>
      <c r="D8157" s="332">
        <v>86203.7</v>
      </c>
    </row>
    <row r="8158" spans="1:4" ht="30">
      <c r="A8158" s="28">
        <v>14254</v>
      </c>
      <c r="B8158" s="26" t="s">
        <v>5881</v>
      </c>
      <c r="C8158" s="28" t="s">
        <v>65</v>
      </c>
      <c r="D8158" s="329">
        <v>49000</v>
      </c>
    </row>
    <row r="8159" spans="1:4">
      <c r="A8159" s="47">
        <v>25987</v>
      </c>
      <c r="B8159" s="48" t="s">
        <v>5882</v>
      </c>
      <c r="C8159" s="47" t="s">
        <v>65</v>
      </c>
      <c r="D8159" s="332">
        <v>40918.910000000003</v>
      </c>
    </row>
    <row r="8160" spans="1:4">
      <c r="A8160" s="28">
        <v>25019</v>
      </c>
      <c r="B8160" s="26" t="s">
        <v>5883</v>
      </c>
      <c r="C8160" s="28" t="s">
        <v>65</v>
      </c>
      <c r="D8160" s="329">
        <v>70139.58</v>
      </c>
    </row>
    <row r="8161" spans="1:4">
      <c r="A8161" s="47">
        <v>36501</v>
      </c>
      <c r="B8161" s="48" t="s">
        <v>5896</v>
      </c>
      <c r="C8161" s="47" t="s">
        <v>65</v>
      </c>
      <c r="D8161" s="332">
        <v>62448.4</v>
      </c>
    </row>
    <row r="8162" spans="1:4">
      <c r="A8162" s="28">
        <v>25986</v>
      </c>
      <c r="B8162" s="26" t="s">
        <v>5897</v>
      </c>
      <c r="C8162" s="28" t="s">
        <v>65</v>
      </c>
      <c r="D8162" s="329">
        <v>75074.94</v>
      </c>
    </row>
    <row r="8163" spans="1:4">
      <c r="A8163" s="47">
        <v>36500</v>
      </c>
      <c r="B8163" s="48" t="s">
        <v>5898</v>
      </c>
      <c r="C8163" s="47" t="s">
        <v>65</v>
      </c>
      <c r="D8163" s="332">
        <v>44130.58</v>
      </c>
    </row>
    <row r="8164" spans="1:4" ht="30">
      <c r="A8164" s="28">
        <v>20017</v>
      </c>
      <c r="B8164" s="26" t="s">
        <v>5909</v>
      </c>
      <c r="C8164" s="28" t="s">
        <v>71</v>
      </c>
      <c r="D8164" s="329">
        <v>2.99</v>
      </c>
    </row>
    <row r="8165" spans="1:4" ht="30">
      <c r="A8165" s="47">
        <v>20007</v>
      </c>
      <c r="B8165" s="48" t="s">
        <v>5910</v>
      </c>
      <c r="C8165" s="47" t="s">
        <v>71</v>
      </c>
      <c r="D8165" s="332">
        <v>2.29</v>
      </c>
    </row>
    <row r="8166" spans="1:4" ht="30">
      <c r="A8166" s="28">
        <v>40555</v>
      </c>
      <c r="B8166" s="26" t="s">
        <v>5911</v>
      </c>
      <c r="C8166" s="28" t="s">
        <v>71</v>
      </c>
      <c r="D8166" s="329">
        <v>19.12</v>
      </c>
    </row>
    <row r="8167" spans="1:4" ht="30">
      <c r="A8167" s="47">
        <v>40527</v>
      </c>
      <c r="B8167" s="48" t="s">
        <v>5923</v>
      </c>
      <c r="C8167" s="47" t="s">
        <v>65</v>
      </c>
      <c r="D8167" s="332">
        <v>1924.26</v>
      </c>
    </row>
    <row r="8168" spans="1:4" ht="30">
      <c r="A8168" s="28">
        <v>36497</v>
      </c>
      <c r="B8168" s="26" t="s">
        <v>5922</v>
      </c>
      <c r="C8168" s="28" t="s">
        <v>65</v>
      </c>
      <c r="D8168" s="329">
        <v>2196.75</v>
      </c>
    </row>
    <row r="8169" spans="1:4" ht="30">
      <c r="A8169" s="47">
        <v>36487</v>
      </c>
      <c r="B8169" s="48" t="s">
        <v>5930</v>
      </c>
      <c r="C8169" s="47" t="s">
        <v>65</v>
      </c>
      <c r="D8169" s="332">
        <v>3824.87</v>
      </c>
    </row>
    <row r="8170" spans="1:4" ht="30">
      <c r="A8170" s="28">
        <v>25952</v>
      </c>
      <c r="B8170" s="26" t="s">
        <v>5938</v>
      </c>
      <c r="C8170" s="28" t="s">
        <v>65</v>
      </c>
      <c r="D8170" s="329">
        <v>585717.03</v>
      </c>
    </row>
    <row r="8171" spans="1:4" ht="30">
      <c r="A8171" s="47">
        <v>25954</v>
      </c>
      <c r="B8171" s="48" t="s">
        <v>5946</v>
      </c>
      <c r="C8171" s="47" t="s">
        <v>65</v>
      </c>
      <c r="D8171" s="332">
        <v>1126378.8999999999</v>
      </c>
    </row>
    <row r="8172" spans="1:4" ht="30">
      <c r="A8172" s="28">
        <v>25953</v>
      </c>
      <c r="B8172" s="26" t="s">
        <v>5947</v>
      </c>
      <c r="C8172" s="28" t="s">
        <v>65</v>
      </c>
      <c r="D8172" s="329">
        <v>1914844.13</v>
      </c>
    </row>
    <row r="8173" spans="1:4" ht="45">
      <c r="A8173" s="47">
        <v>37776</v>
      </c>
      <c r="B8173" s="48" t="s">
        <v>5948</v>
      </c>
      <c r="C8173" s="47" t="s">
        <v>65</v>
      </c>
      <c r="D8173" s="332">
        <v>117355.47</v>
      </c>
    </row>
    <row r="8174" spans="1:4" ht="45">
      <c r="A8174" s="28">
        <v>37775</v>
      </c>
      <c r="B8174" s="26" t="s">
        <v>5949</v>
      </c>
      <c r="C8174" s="28" t="s">
        <v>65</v>
      </c>
      <c r="D8174" s="329">
        <v>184843.75</v>
      </c>
    </row>
    <row r="8175" spans="1:4" ht="45">
      <c r="A8175" s="47">
        <v>36491</v>
      </c>
      <c r="B8175" s="48" t="s">
        <v>5950</v>
      </c>
      <c r="C8175" s="47" t="s">
        <v>65</v>
      </c>
      <c r="D8175" s="332">
        <v>684531.25</v>
      </c>
    </row>
    <row r="8176" spans="1:4" ht="45">
      <c r="A8176" s="28">
        <v>10712</v>
      </c>
      <c r="B8176" s="26" t="s">
        <v>5958</v>
      </c>
      <c r="C8176" s="28" t="s">
        <v>65</v>
      </c>
      <c r="D8176" s="329">
        <v>46210.93</v>
      </c>
    </row>
    <row r="8177" spans="1:4" ht="45">
      <c r="A8177" s="47">
        <v>3363</v>
      </c>
      <c r="B8177" s="48" t="s">
        <v>5966</v>
      </c>
      <c r="C8177" s="47" t="s">
        <v>65</v>
      </c>
      <c r="D8177" s="332">
        <v>65000</v>
      </c>
    </row>
    <row r="8178" spans="1:4" ht="45">
      <c r="A8178" s="28">
        <v>3365</v>
      </c>
      <c r="B8178" s="26" t="s">
        <v>5974</v>
      </c>
      <c r="C8178" s="28" t="s">
        <v>65</v>
      </c>
      <c r="D8178" s="329">
        <v>151937.5</v>
      </c>
    </row>
    <row r="8179" spans="1:4">
      <c r="A8179" s="47">
        <v>7569</v>
      </c>
      <c r="B8179" s="48" t="s">
        <v>5975</v>
      </c>
      <c r="C8179" s="47" t="s">
        <v>65</v>
      </c>
      <c r="D8179" s="332">
        <v>30.36</v>
      </c>
    </row>
    <row r="8180" spans="1:4">
      <c r="A8180" s="28">
        <v>34349</v>
      </c>
      <c r="B8180" s="26" t="s">
        <v>5977</v>
      </c>
      <c r="C8180" s="28" t="s">
        <v>65</v>
      </c>
      <c r="D8180" s="329">
        <v>9.06</v>
      </c>
    </row>
    <row r="8181" spans="1:4" ht="30">
      <c r="A8181" s="47">
        <v>3383</v>
      </c>
      <c r="B8181" s="48" t="s">
        <v>5978</v>
      </c>
      <c r="C8181" s="47" t="s">
        <v>65</v>
      </c>
      <c r="D8181" s="332">
        <v>21.52</v>
      </c>
    </row>
    <row r="8182" spans="1:4" ht="30">
      <c r="A8182" s="28">
        <v>38057</v>
      </c>
      <c r="B8182" s="26" t="s">
        <v>5981</v>
      </c>
      <c r="C8182" s="28" t="s">
        <v>65</v>
      </c>
      <c r="D8182" s="329">
        <v>30.95</v>
      </c>
    </row>
    <row r="8183" spans="1:4" ht="30">
      <c r="A8183" s="47">
        <v>3373</v>
      </c>
      <c r="B8183" s="48" t="s">
        <v>5982</v>
      </c>
      <c r="C8183" s="47" t="s">
        <v>65</v>
      </c>
      <c r="D8183" s="332">
        <v>24.56</v>
      </c>
    </row>
    <row r="8184" spans="1:4" ht="30">
      <c r="A8184" s="28">
        <v>38059</v>
      </c>
      <c r="B8184" s="26" t="s">
        <v>5979</v>
      </c>
      <c r="C8184" s="28" t="s">
        <v>65</v>
      </c>
      <c r="D8184" s="329">
        <v>153.52000000000001</v>
      </c>
    </row>
    <row r="8185" spans="1:4" ht="30">
      <c r="A8185" s="47">
        <v>38058</v>
      </c>
      <c r="B8185" s="48" t="s">
        <v>5980</v>
      </c>
      <c r="C8185" s="47" t="s">
        <v>65</v>
      </c>
      <c r="D8185" s="332">
        <v>133.33000000000001</v>
      </c>
    </row>
    <row r="8186" spans="1:4" ht="30">
      <c r="A8186" s="28">
        <v>3376</v>
      </c>
      <c r="B8186" s="26" t="s">
        <v>5983</v>
      </c>
      <c r="C8186" s="28" t="s">
        <v>65</v>
      </c>
      <c r="D8186" s="329">
        <v>41.9</v>
      </c>
    </row>
    <row r="8187" spans="1:4" ht="30">
      <c r="A8187" s="47">
        <v>3378</v>
      </c>
      <c r="B8187" s="48" t="s">
        <v>5984</v>
      </c>
      <c r="C8187" s="47" t="s">
        <v>65</v>
      </c>
      <c r="D8187" s="332">
        <v>41.42</v>
      </c>
    </row>
    <row r="8188" spans="1:4" ht="30">
      <c r="A8188" s="28">
        <v>3380</v>
      </c>
      <c r="B8188" s="26" t="s">
        <v>5986</v>
      </c>
      <c r="C8188" s="28" t="s">
        <v>65</v>
      </c>
      <c r="D8188" s="329">
        <v>29</v>
      </c>
    </row>
    <row r="8189" spans="1:4" ht="30">
      <c r="A8189" s="47">
        <v>3379</v>
      </c>
      <c r="B8189" s="48" t="s">
        <v>5987</v>
      </c>
      <c r="C8189" s="47" t="s">
        <v>65</v>
      </c>
      <c r="D8189" s="332">
        <v>27.99</v>
      </c>
    </row>
    <row r="8190" spans="1:4" ht="30">
      <c r="A8190" s="28">
        <v>11991</v>
      </c>
      <c r="B8190" s="26" t="s">
        <v>5988</v>
      </c>
      <c r="C8190" s="28" t="s">
        <v>65</v>
      </c>
      <c r="D8190" s="329">
        <v>32.5</v>
      </c>
    </row>
    <row r="8191" spans="1:4">
      <c r="A8191" s="47">
        <v>20062</v>
      </c>
      <c r="B8191" s="48" t="s">
        <v>5990</v>
      </c>
      <c r="C8191" s="47" t="s">
        <v>65</v>
      </c>
      <c r="D8191" s="332">
        <v>12.17</v>
      </c>
    </row>
    <row r="8192" spans="1:4" ht="30">
      <c r="A8192" s="28">
        <v>11029</v>
      </c>
      <c r="B8192" s="26" t="s">
        <v>5991</v>
      </c>
      <c r="C8192" s="28" t="s">
        <v>105</v>
      </c>
      <c r="D8192" s="329">
        <v>1.03</v>
      </c>
    </row>
    <row r="8193" spans="1:4" ht="30">
      <c r="A8193" s="47">
        <v>4316</v>
      </c>
      <c r="B8193" s="48" t="s">
        <v>5992</v>
      </c>
      <c r="C8193" s="47" t="s">
        <v>65</v>
      </c>
      <c r="D8193" s="332">
        <v>1.04</v>
      </c>
    </row>
    <row r="8194" spans="1:4" ht="30">
      <c r="A8194" s="28">
        <v>4313</v>
      </c>
      <c r="B8194" s="26" t="s">
        <v>5993</v>
      </c>
      <c r="C8194" s="28" t="s">
        <v>105</v>
      </c>
      <c r="D8194" s="329">
        <v>1.49</v>
      </c>
    </row>
    <row r="8195" spans="1:4" ht="30">
      <c r="A8195" s="47">
        <v>4317</v>
      </c>
      <c r="B8195" s="48" t="s">
        <v>5994</v>
      </c>
      <c r="C8195" s="47" t="s">
        <v>65</v>
      </c>
      <c r="D8195" s="332">
        <v>1.7</v>
      </c>
    </row>
    <row r="8196" spans="1:4" ht="30">
      <c r="A8196" s="28">
        <v>4314</v>
      </c>
      <c r="B8196" s="26" t="s">
        <v>5995</v>
      </c>
      <c r="C8196" s="28" t="s">
        <v>105</v>
      </c>
      <c r="D8196" s="329">
        <v>1.99</v>
      </c>
    </row>
    <row r="8197" spans="1:4">
      <c r="A8197" s="47">
        <v>10815</v>
      </c>
      <c r="B8197" s="48" t="s">
        <v>5996</v>
      </c>
      <c r="C8197" s="47" t="s">
        <v>91</v>
      </c>
      <c r="D8197" s="332">
        <v>27.89</v>
      </c>
    </row>
    <row r="8198" spans="1:4">
      <c r="A8198" s="28">
        <v>10561</v>
      </c>
      <c r="B8198" s="26" t="s">
        <v>5997</v>
      </c>
      <c r="C8198" s="28" t="s">
        <v>90</v>
      </c>
      <c r="D8198" s="329">
        <v>0.35</v>
      </c>
    </row>
    <row r="8199" spans="1:4" ht="45">
      <c r="A8199" s="47">
        <v>10921</v>
      </c>
      <c r="B8199" s="48" t="s">
        <v>5998</v>
      </c>
      <c r="C8199" s="47" t="s">
        <v>65</v>
      </c>
      <c r="D8199" s="332">
        <v>2980</v>
      </c>
    </row>
    <row r="8200" spans="1:4" ht="45">
      <c r="A8200" s="28">
        <v>10922</v>
      </c>
      <c r="B8200" s="26" t="s">
        <v>5999</v>
      </c>
      <c r="C8200" s="28" t="s">
        <v>65</v>
      </c>
      <c r="D8200" s="329">
        <v>2699.2</v>
      </c>
    </row>
    <row r="8201" spans="1:4">
      <c r="A8201" s="47">
        <v>10923</v>
      </c>
      <c r="B8201" s="48" t="s">
        <v>6001</v>
      </c>
      <c r="C8201" s="47" t="s">
        <v>65</v>
      </c>
      <c r="D8201" s="332">
        <v>1595.35</v>
      </c>
    </row>
    <row r="8202" spans="1:4">
      <c r="A8202" s="28">
        <v>10924</v>
      </c>
      <c r="B8202" s="26" t="s">
        <v>6002</v>
      </c>
      <c r="C8202" s="28" t="s">
        <v>65</v>
      </c>
      <c r="D8202" s="329">
        <v>1680.21</v>
      </c>
    </row>
    <row r="8203" spans="1:4" ht="30">
      <c r="A8203" s="47">
        <v>37772</v>
      </c>
      <c r="B8203" s="48" t="s">
        <v>6003</v>
      </c>
      <c r="C8203" s="47" t="s">
        <v>65</v>
      </c>
      <c r="D8203" s="332">
        <v>81389.539999999994</v>
      </c>
    </row>
    <row r="8204" spans="1:4" ht="45">
      <c r="A8204" s="28">
        <v>37771</v>
      </c>
      <c r="B8204" s="26" t="s">
        <v>6004</v>
      </c>
      <c r="C8204" s="28" t="s">
        <v>65</v>
      </c>
      <c r="D8204" s="329">
        <v>86585.51</v>
      </c>
    </row>
    <row r="8205" spans="1:4">
      <c r="A8205" s="47">
        <v>12770</v>
      </c>
      <c r="B8205" s="48" t="s">
        <v>6005</v>
      </c>
      <c r="C8205" s="47" t="s">
        <v>65</v>
      </c>
      <c r="D8205" s="332">
        <v>497.2</v>
      </c>
    </row>
    <row r="8206" spans="1:4">
      <c r="A8206" s="28">
        <v>12772</v>
      </c>
      <c r="B8206" s="26" t="s">
        <v>6006</v>
      </c>
      <c r="C8206" s="28" t="s">
        <v>65</v>
      </c>
      <c r="D8206" s="329">
        <v>826.34</v>
      </c>
    </row>
    <row r="8207" spans="1:4">
      <c r="A8207" s="47">
        <v>12768</v>
      </c>
      <c r="B8207" s="48" t="s">
        <v>6007</v>
      </c>
      <c r="C8207" s="47" t="s">
        <v>65</v>
      </c>
      <c r="D8207" s="332">
        <v>1162.48</v>
      </c>
    </row>
    <row r="8208" spans="1:4">
      <c r="A8208" s="28">
        <v>12775</v>
      </c>
      <c r="B8208" s="26" t="s">
        <v>6008</v>
      </c>
      <c r="C8208" s="28" t="s">
        <v>65</v>
      </c>
      <c r="D8208" s="329">
        <v>364.15</v>
      </c>
    </row>
    <row r="8209" spans="1:4">
      <c r="A8209" s="47">
        <v>12769</v>
      </c>
      <c r="B8209" s="48" t="s">
        <v>6009</v>
      </c>
      <c r="C8209" s="47" t="s">
        <v>65</v>
      </c>
      <c r="D8209" s="332">
        <v>95.24</v>
      </c>
    </row>
    <row r="8210" spans="1:4">
      <c r="A8210" s="28">
        <v>12773</v>
      </c>
      <c r="B8210" s="26" t="s">
        <v>6010</v>
      </c>
      <c r="C8210" s="28" t="s">
        <v>65</v>
      </c>
      <c r="D8210" s="329">
        <v>102.24</v>
      </c>
    </row>
    <row r="8211" spans="1:4">
      <c r="A8211" s="47">
        <v>12774</v>
      </c>
      <c r="B8211" s="48" t="s">
        <v>6011</v>
      </c>
      <c r="C8211" s="47" t="s">
        <v>65</v>
      </c>
      <c r="D8211" s="332">
        <v>126.05</v>
      </c>
    </row>
    <row r="8212" spans="1:4">
      <c r="A8212" s="28">
        <v>12776</v>
      </c>
      <c r="B8212" s="26" t="s">
        <v>6012</v>
      </c>
      <c r="C8212" s="28" t="s">
        <v>65</v>
      </c>
      <c r="D8212" s="329">
        <v>1876.78</v>
      </c>
    </row>
    <row r="8213" spans="1:4">
      <c r="A8213" s="47">
        <v>12777</v>
      </c>
      <c r="B8213" s="48" t="s">
        <v>6013</v>
      </c>
      <c r="C8213" s="47" t="s">
        <v>65</v>
      </c>
      <c r="D8213" s="332">
        <v>2451.02</v>
      </c>
    </row>
    <row r="8214" spans="1:4" ht="30">
      <c r="A8214" s="28">
        <v>3391</v>
      </c>
      <c r="B8214" s="26" t="s">
        <v>6014</v>
      </c>
      <c r="C8214" s="28" t="s">
        <v>65</v>
      </c>
      <c r="D8214" s="329">
        <v>37.82</v>
      </c>
    </row>
    <row r="8215" spans="1:4" ht="30">
      <c r="A8215" s="47">
        <v>3389</v>
      </c>
      <c r="B8215" s="48" t="s">
        <v>6015</v>
      </c>
      <c r="C8215" s="47" t="s">
        <v>65</v>
      </c>
      <c r="D8215" s="332">
        <v>19.62</v>
      </c>
    </row>
    <row r="8216" spans="1:4" ht="30">
      <c r="A8216" s="28">
        <v>3390</v>
      </c>
      <c r="B8216" s="26" t="s">
        <v>6016</v>
      </c>
      <c r="C8216" s="28" t="s">
        <v>65</v>
      </c>
      <c r="D8216" s="329">
        <v>22.08</v>
      </c>
    </row>
    <row r="8217" spans="1:4">
      <c r="A8217" s="47">
        <v>12873</v>
      </c>
      <c r="B8217" s="48" t="s">
        <v>190</v>
      </c>
      <c r="C8217" s="47" t="s">
        <v>57</v>
      </c>
      <c r="D8217" s="332">
        <v>13.41</v>
      </c>
    </row>
    <row r="8218" spans="1:4">
      <c r="A8218" s="28">
        <v>41076</v>
      </c>
      <c r="B8218" s="26" t="s">
        <v>6042</v>
      </c>
      <c r="C8218" s="28" t="s">
        <v>1643</v>
      </c>
      <c r="D8218" s="329">
        <v>2361.08</v>
      </c>
    </row>
    <row r="8219" spans="1:4">
      <c r="A8219" s="47">
        <v>1371</v>
      </c>
      <c r="B8219" s="48" t="s">
        <v>6043</v>
      </c>
      <c r="C8219" s="47" t="s">
        <v>90</v>
      </c>
      <c r="D8219" s="332">
        <v>5.1100000000000003</v>
      </c>
    </row>
    <row r="8220" spans="1:4">
      <c r="A8220" s="28">
        <v>140</v>
      </c>
      <c r="B8220" s="26" t="s">
        <v>6044</v>
      </c>
      <c r="C8220" s="28" t="s">
        <v>90</v>
      </c>
      <c r="D8220" s="329">
        <v>15.43</v>
      </c>
    </row>
    <row r="8221" spans="1:4">
      <c r="A8221" s="47">
        <v>151</v>
      </c>
      <c r="B8221" s="48" t="s">
        <v>191</v>
      </c>
      <c r="C8221" s="47" t="s">
        <v>91</v>
      </c>
      <c r="D8221" s="332">
        <v>19.41</v>
      </c>
    </row>
    <row r="8222" spans="1:4">
      <c r="A8222" s="28">
        <v>7340</v>
      </c>
      <c r="B8222" s="26" t="s">
        <v>6047</v>
      </c>
      <c r="C8222" s="28" t="s">
        <v>91</v>
      </c>
      <c r="D8222" s="329">
        <v>15.63</v>
      </c>
    </row>
    <row r="8223" spans="1:4">
      <c r="A8223" s="47">
        <v>2701</v>
      </c>
      <c r="B8223" s="48" t="s">
        <v>6107</v>
      </c>
      <c r="C8223" s="47" t="s">
        <v>57</v>
      </c>
      <c r="D8223" s="332">
        <v>18.489999999999998</v>
      </c>
    </row>
    <row r="8224" spans="1:4">
      <c r="A8224" s="28">
        <v>40929</v>
      </c>
      <c r="B8224" s="26" t="s">
        <v>6108</v>
      </c>
      <c r="C8224" s="28" t="s">
        <v>1643</v>
      </c>
      <c r="D8224" s="329">
        <v>3258.5</v>
      </c>
    </row>
    <row r="8225" spans="1:4">
      <c r="A8225" s="47">
        <v>38114</v>
      </c>
      <c r="B8225" s="48" t="s">
        <v>11375</v>
      </c>
      <c r="C8225" s="47" t="s">
        <v>65</v>
      </c>
      <c r="D8225" s="332">
        <v>14.53</v>
      </c>
    </row>
    <row r="8226" spans="1:4" ht="30">
      <c r="A8226" s="28">
        <v>38064</v>
      </c>
      <c r="B8226" s="26" t="s">
        <v>11376</v>
      </c>
      <c r="C8226" s="28" t="s">
        <v>65</v>
      </c>
      <c r="D8226" s="329">
        <v>16.25</v>
      </c>
    </row>
    <row r="8227" spans="1:4">
      <c r="A8227" s="47">
        <v>38115</v>
      </c>
      <c r="B8227" s="48" t="s">
        <v>11377</v>
      </c>
      <c r="C8227" s="47" t="s">
        <v>65</v>
      </c>
      <c r="D8227" s="332">
        <v>15.51</v>
      </c>
    </row>
    <row r="8228" spans="1:4" ht="30">
      <c r="A8228" s="28">
        <v>38065</v>
      </c>
      <c r="B8228" s="26" t="s">
        <v>11378</v>
      </c>
      <c r="C8228" s="28" t="s">
        <v>65</v>
      </c>
      <c r="D8228" s="329">
        <v>23.05</v>
      </c>
    </row>
    <row r="8229" spans="1:4" ht="30">
      <c r="A8229" s="47">
        <v>38078</v>
      </c>
      <c r="B8229" s="48" t="s">
        <v>11379</v>
      </c>
      <c r="C8229" s="47" t="s">
        <v>65</v>
      </c>
      <c r="D8229" s="332">
        <v>13.45</v>
      </c>
    </row>
    <row r="8230" spans="1:4">
      <c r="A8230" s="28">
        <v>38113</v>
      </c>
      <c r="B8230" s="26" t="s">
        <v>11380</v>
      </c>
      <c r="C8230" s="28" t="s">
        <v>65</v>
      </c>
      <c r="D8230" s="329">
        <v>7.3</v>
      </c>
    </row>
    <row r="8231" spans="1:4" ht="30">
      <c r="A8231" s="47">
        <v>38063</v>
      </c>
      <c r="B8231" s="48" t="s">
        <v>11381</v>
      </c>
      <c r="C8231" s="47" t="s">
        <v>65</v>
      </c>
      <c r="D8231" s="332">
        <v>7.84</v>
      </c>
    </row>
    <row r="8232" spans="1:4" ht="30">
      <c r="A8232" s="28">
        <v>38080</v>
      </c>
      <c r="B8232" s="26" t="s">
        <v>6149</v>
      </c>
      <c r="C8232" s="28" t="s">
        <v>65</v>
      </c>
      <c r="D8232" s="329">
        <v>23.35</v>
      </c>
    </row>
    <row r="8233" spans="1:4" ht="30">
      <c r="A8233" s="47">
        <v>38069</v>
      </c>
      <c r="B8233" s="48" t="s">
        <v>11382</v>
      </c>
      <c r="C8233" s="47" t="s">
        <v>65</v>
      </c>
      <c r="D8233" s="332">
        <v>12.77</v>
      </c>
    </row>
    <row r="8234" spans="1:4" ht="30">
      <c r="A8234" s="28">
        <v>38077</v>
      </c>
      <c r="B8234" s="26" t="s">
        <v>11383</v>
      </c>
      <c r="C8234" s="28" t="s">
        <v>65</v>
      </c>
      <c r="D8234" s="329">
        <v>12.48</v>
      </c>
    </row>
    <row r="8235" spans="1:4" ht="30">
      <c r="A8235" s="47">
        <v>38073</v>
      </c>
      <c r="B8235" s="48" t="s">
        <v>11384</v>
      </c>
      <c r="C8235" s="47" t="s">
        <v>65</v>
      </c>
      <c r="D8235" s="332">
        <v>19.010000000000002</v>
      </c>
    </row>
    <row r="8236" spans="1:4">
      <c r="A8236" s="28">
        <v>38112</v>
      </c>
      <c r="B8236" s="26" t="s">
        <v>11385</v>
      </c>
      <c r="C8236" s="28" t="s">
        <v>65</v>
      </c>
      <c r="D8236" s="329">
        <v>5.61</v>
      </c>
    </row>
    <row r="8237" spans="1:4" ht="30">
      <c r="A8237" s="47">
        <v>38062</v>
      </c>
      <c r="B8237" s="48" t="s">
        <v>11386</v>
      </c>
      <c r="C8237" s="47" t="s">
        <v>65</v>
      </c>
      <c r="D8237" s="332">
        <v>5.75</v>
      </c>
    </row>
    <row r="8238" spans="1:4" ht="30">
      <c r="A8238" s="28">
        <v>12128</v>
      </c>
      <c r="B8238" s="26" t="s">
        <v>11387</v>
      </c>
      <c r="C8238" s="28" t="s">
        <v>65</v>
      </c>
      <c r="D8238" s="329">
        <v>7.69</v>
      </c>
    </row>
    <row r="8239" spans="1:4" ht="30">
      <c r="A8239" s="47">
        <v>12129</v>
      </c>
      <c r="B8239" s="48" t="s">
        <v>11388</v>
      </c>
      <c r="C8239" s="47" t="s">
        <v>65</v>
      </c>
      <c r="D8239" s="332">
        <v>10.17</v>
      </c>
    </row>
    <row r="8240" spans="1:4" ht="30">
      <c r="A8240" s="28">
        <v>38412</v>
      </c>
      <c r="B8240" s="26" t="s">
        <v>6150</v>
      </c>
      <c r="C8240" s="28" t="s">
        <v>65</v>
      </c>
      <c r="D8240" s="329">
        <v>869.02</v>
      </c>
    </row>
    <row r="8241" spans="1:4">
      <c r="A8241" s="47">
        <v>10814</v>
      </c>
      <c r="B8241" s="48" t="s">
        <v>6151</v>
      </c>
      <c r="C8241" s="47" t="s">
        <v>90</v>
      </c>
      <c r="D8241" s="332">
        <v>12.91</v>
      </c>
    </row>
    <row r="8242" spans="1:4" ht="30">
      <c r="A8242" s="28">
        <v>3405</v>
      </c>
      <c r="B8242" s="26" t="s">
        <v>6153</v>
      </c>
      <c r="C8242" s="28" t="s">
        <v>65</v>
      </c>
      <c r="D8242" s="329">
        <v>73.209999999999994</v>
      </c>
    </row>
    <row r="8243" spans="1:4">
      <c r="A8243" s="47">
        <v>3394</v>
      </c>
      <c r="B8243" s="48" t="s">
        <v>6154</v>
      </c>
      <c r="C8243" s="47" t="s">
        <v>65</v>
      </c>
      <c r="D8243" s="332">
        <v>386.47</v>
      </c>
    </row>
    <row r="8244" spans="1:4">
      <c r="A8244" s="28">
        <v>3393</v>
      </c>
      <c r="B8244" s="26" t="s">
        <v>6155</v>
      </c>
      <c r="C8244" s="28" t="s">
        <v>65</v>
      </c>
      <c r="D8244" s="329">
        <v>658</v>
      </c>
    </row>
    <row r="8245" spans="1:4">
      <c r="A8245" s="47">
        <v>3406</v>
      </c>
      <c r="B8245" s="48" t="s">
        <v>6156</v>
      </c>
      <c r="C8245" s="47" t="s">
        <v>65</v>
      </c>
      <c r="D8245" s="332">
        <v>22.41</v>
      </c>
    </row>
    <row r="8246" spans="1:4">
      <c r="A8246" s="28">
        <v>3395</v>
      </c>
      <c r="B8246" s="26" t="s">
        <v>6157</v>
      </c>
      <c r="C8246" s="28" t="s">
        <v>65</v>
      </c>
      <c r="D8246" s="329">
        <v>94.53</v>
      </c>
    </row>
    <row r="8247" spans="1:4" ht="30">
      <c r="A8247" s="47">
        <v>3398</v>
      </c>
      <c r="B8247" s="48" t="s">
        <v>6158</v>
      </c>
      <c r="C8247" s="47" t="s">
        <v>65</v>
      </c>
      <c r="D8247" s="332">
        <v>4.49</v>
      </c>
    </row>
    <row r="8248" spans="1:4" ht="30">
      <c r="A8248" s="28">
        <v>34364</v>
      </c>
      <c r="B8248" s="26" t="s">
        <v>6167</v>
      </c>
      <c r="C8248" s="28" t="s">
        <v>65</v>
      </c>
      <c r="D8248" s="329">
        <v>655.17999999999995</v>
      </c>
    </row>
    <row r="8249" spans="1:4">
      <c r="A8249" s="47">
        <v>34379</v>
      </c>
      <c r="B8249" s="48" t="s">
        <v>6168</v>
      </c>
      <c r="C8249" s="47" t="s">
        <v>65</v>
      </c>
      <c r="D8249" s="332">
        <v>367.94</v>
      </c>
    </row>
    <row r="8250" spans="1:4">
      <c r="A8250" s="28">
        <v>34378</v>
      </c>
      <c r="B8250" s="26" t="s">
        <v>6169</v>
      </c>
      <c r="C8250" s="28" t="s">
        <v>65</v>
      </c>
      <c r="D8250" s="329">
        <v>310.52</v>
      </c>
    </row>
    <row r="8251" spans="1:4">
      <c r="A8251" s="47">
        <v>34377</v>
      </c>
      <c r="B8251" s="48" t="s">
        <v>6170</v>
      </c>
      <c r="C8251" s="47" t="s">
        <v>65</v>
      </c>
      <c r="D8251" s="332">
        <v>212.08</v>
      </c>
    </row>
    <row r="8252" spans="1:4" ht="30">
      <c r="A8252" s="28">
        <v>34367</v>
      </c>
      <c r="B8252" s="26" t="s">
        <v>6171</v>
      </c>
      <c r="C8252" s="28" t="s">
        <v>65</v>
      </c>
      <c r="D8252" s="329">
        <v>549.34</v>
      </c>
    </row>
    <row r="8253" spans="1:4" ht="30">
      <c r="A8253" s="47">
        <v>34369</v>
      </c>
      <c r="B8253" s="48" t="s">
        <v>6172</v>
      </c>
      <c r="C8253" s="47" t="s">
        <v>65</v>
      </c>
      <c r="D8253" s="332">
        <v>705.58</v>
      </c>
    </row>
    <row r="8254" spans="1:4" ht="30">
      <c r="A8254" s="28">
        <v>34370</v>
      </c>
      <c r="B8254" s="26" t="s">
        <v>6173</v>
      </c>
      <c r="C8254" s="28" t="s">
        <v>65</v>
      </c>
      <c r="D8254" s="329">
        <v>831.58</v>
      </c>
    </row>
    <row r="8255" spans="1:4" ht="30">
      <c r="A8255" s="47">
        <v>34362</v>
      </c>
      <c r="B8255" s="48" t="s">
        <v>6174</v>
      </c>
      <c r="C8255" s="47" t="s">
        <v>65</v>
      </c>
      <c r="D8255" s="332">
        <v>554.39</v>
      </c>
    </row>
    <row r="8256" spans="1:4" ht="30">
      <c r="A8256" s="28">
        <v>34371</v>
      </c>
      <c r="B8256" s="26" t="s">
        <v>6175</v>
      </c>
      <c r="C8256" s="28" t="s">
        <v>65</v>
      </c>
      <c r="D8256" s="329">
        <v>944.96</v>
      </c>
    </row>
    <row r="8257" spans="1:4" ht="30">
      <c r="A8257" s="47">
        <v>34372</v>
      </c>
      <c r="B8257" s="48" t="s">
        <v>6176</v>
      </c>
      <c r="C8257" s="47" t="s">
        <v>65</v>
      </c>
      <c r="D8257" s="332">
        <v>1014.44</v>
      </c>
    </row>
    <row r="8258" spans="1:4" ht="30">
      <c r="A8258" s="28">
        <v>34363</v>
      </c>
      <c r="B8258" s="26" t="s">
        <v>6177</v>
      </c>
      <c r="C8258" s="28" t="s">
        <v>65</v>
      </c>
      <c r="D8258" s="329">
        <v>655.17999999999995</v>
      </c>
    </row>
    <row r="8259" spans="1:4" ht="30">
      <c r="A8259" s="47">
        <v>34373</v>
      </c>
      <c r="B8259" s="48" t="s">
        <v>6178</v>
      </c>
      <c r="C8259" s="47" t="s">
        <v>65</v>
      </c>
      <c r="D8259" s="332">
        <v>1207.25</v>
      </c>
    </row>
    <row r="8260" spans="1:4" ht="30">
      <c r="A8260" s="28">
        <v>34365</v>
      </c>
      <c r="B8260" s="26" t="s">
        <v>6179</v>
      </c>
      <c r="C8260" s="28" t="s">
        <v>65</v>
      </c>
      <c r="D8260" s="329">
        <v>774.22</v>
      </c>
    </row>
    <row r="8261" spans="1:4">
      <c r="A8261" s="47">
        <v>34381</v>
      </c>
      <c r="B8261" s="48" t="s">
        <v>6180</v>
      </c>
      <c r="C8261" s="47" t="s">
        <v>65</v>
      </c>
      <c r="D8261" s="332">
        <v>266.10000000000002</v>
      </c>
    </row>
    <row r="8262" spans="1:4" ht="30">
      <c r="A8262" s="28">
        <v>601</v>
      </c>
      <c r="B8262" s="26" t="s">
        <v>6181</v>
      </c>
      <c r="C8262" s="28" t="s">
        <v>256</v>
      </c>
      <c r="D8262" s="329">
        <v>386.88</v>
      </c>
    </row>
    <row r="8263" spans="1:4" ht="45">
      <c r="A8263" s="47">
        <v>40662</v>
      </c>
      <c r="B8263" s="48" t="s">
        <v>11389</v>
      </c>
      <c r="C8263" s="47" t="s">
        <v>65</v>
      </c>
      <c r="D8263" s="332">
        <v>110.77</v>
      </c>
    </row>
    <row r="8264" spans="1:4" ht="45">
      <c r="A8264" s="28">
        <v>3437</v>
      </c>
      <c r="B8264" s="26" t="s">
        <v>11390</v>
      </c>
      <c r="C8264" s="28" t="s">
        <v>256</v>
      </c>
      <c r="D8264" s="329">
        <v>307.7</v>
      </c>
    </row>
    <row r="8265" spans="1:4">
      <c r="A8265" s="47">
        <v>11183</v>
      </c>
      <c r="B8265" s="48" t="s">
        <v>6182</v>
      </c>
      <c r="C8265" s="47" t="s">
        <v>65</v>
      </c>
      <c r="D8265" s="332">
        <v>249.15</v>
      </c>
    </row>
    <row r="8266" spans="1:4">
      <c r="A8266" s="28">
        <v>11190</v>
      </c>
      <c r="B8266" s="26" t="s">
        <v>6183</v>
      </c>
      <c r="C8266" s="28" t="s">
        <v>65</v>
      </c>
      <c r="D8266" s="329">
        <v>115.58</v>
      </c>
    </row>
    <row r="8267" spans="1:4">
      <c r="A8267" s="47">
        <v>616</v>
      </c>
      <c r="B8267" s="48" t="s">
        <v>6184</v>
      </c>
      <c r="C8267" s="47" t="s">
        <v>65</v>
      </c>
      <c r="D8267" s="332">
        <v>135.93</v>
      </c>
    </row>
    <row r="8268" spans="1:4">
      <c r="A8268" s="28">
        <v>615</v>
      </c>
      <c r="B8268" s="26" t="s">
        <v>6184</v>
      </c>
      <c r="C8268" s="28" t="s">
        <v>256</v>
      </c>
      <c r="D8268" s="329">
        <v>283.19</v>
      </c>
    </row>
    <row r="8269" spans="1:4">
      <c r="A8269" s="47">
        <v>11192</v>
      </c>
      <c r="B8269" s="48" t="s">
        <v>6185</v>
      </c>
      <c r="C8269" s="47" t="s">
        <v>65</v>
      </c>
      <c r="D8269" s="332">
        <v>212.66</v>
      </c>
    </row>
    <row r="8270" spans="1:4">
      <c r="A8270" s="28">
        <v>11231</v>
      </c>
      <c r="B8270" s="26" t="s">
        <v>6185</v>
      </c>
      <c r="C8270" s="28" t="s">
        <v>256</v>
      </c>
      <c r="D8270" s="329">
        <v>332.28</v>
      </c>
    </row>
    <row r="8271" spans="1:4" ht="30">
      <c r="A8271" s="47">
        <v>11226</v>
      </c>
      <c r="B8271" s="48" t="s">
        <v>6186</v>
      </c>
      <c r="C8271" s="47" t="s">
        <v>65</v>
      </c>
      <c r="D8271" s="332">
        <v>324.79000000000002</v>
      </c>
    </row>
    <row r="8272" spans="1:4" ht="60">
      <c r="A8272" s="28">
        <v>3428</v>
      </c>
      <c r="B8272" s="26" t="s">
        <v>6190</v>
      </c>
      <c r="C8272" s="28" t="s">
        <v>256</v>
      </c>
      <c r="D8272" s="329">
        <v>456.42</v>
      </c>
    </row>
    <row r="8273" spans="1:4" ht="60">
      <c r="A8273" s="47">
        <v>3429</v>
      </c>
      <c r="B8273" s="48" t="s">
        <v>6191</v>
      </c>
      <c r="C8273" s="47" t="s">
        <v>256</v>
      </c>
      <c r="D8273" s="332">
        <v>260.77</v>
      </c>
    </row>
    <row r="8274" spans="1:4" ht="30">
      <c r="A8274" s="28">
        <v>597</v>
      </c>
      <c r="B8274" s="26" t="s">
        <v>6215</v>
      </c>
      <c r="C8274" s="28" t="s">
        <v>256</v>
      </c>
      <c r="D8274" s="329">
        <v>383.72</v>
      </c>
    </row>
    <row r="8275" spans="1:4" ht="30">
      <c r="A8275" s="47">
        <v>11199</v>
      </c>
      <c r="B8275" s="48" t="s">
        <v>6216</v>
      </c>
      <c r="C8275" s="47" t="s">
        <v>65</v>
      </c>
      <c r="D8275" s="332">
        <v>638.32000000000005</v>
      </c>
    </row>
    <row r="8276" spans="1:4" ht="30">
      <c r="A8276" s="28">
        <v>34801</v>
      </c>
      <c r="B8276" s="26" t="s">
        <v>6217</v>
      </c>
      <c r="C8276" s="28" t="s">
        <v>65</v>
      </c>
      <c r="D8276" s="329">
        <v>800.74</v>
      </c>
    </row>
    <row r="8277" spans="1:4" ht="30">
      <c r="A8277" s="47">
        <v>34799</v>
      </c>
      <c r="B8277" s="48" t="s">
        <v>6218</v>
      </c>
      <c r="C8277" s="47" t="s">
        <v>65</v>
      </c>
      <c r="D8277" s="332">
        <v>987.47</v>
      </c>
    </row>
    <row r="8278" spans="1:4" ht="30">
      <c r="A8278" s="28">
        <v>622</v>
      </c>
      <c r="B8278" s="26" t="s">
        <v>6219</v>
      </c>
      <c r="C8278" s="28" t="s">
        <v>65</v>
      </c>
      <c r="D8278" s="329">
        <v>444.56</v>
      </c>
    </row>
    <row r="8279" spans="1:4" ht="30">
      <c r="A8279" s="47">
        <v>34805</v>
      </c>
      <c r="B8279" s="48" t="s">
        <v>6220</v>
      </c>
      <c r="C8279" s="47" t="s">
        <v>256</v>
      </c>
      <c r="D8279" s="332">
        <v>332.72</v>
      </c>
    </row>
    <row r="8280" spans="1:4" ht="30">
      <c r="A8280" s="28">
        <v>34803</v>
      </c>
      <c r="B8280" s="26" t="s">
        <v>6221</v>
      </c>
      <c r="C8280" s="28" t="s">
        <v>65</v>
      </c>
      <c r="D8280" s="329">
        <v>402.33</v>
      </c>
    </row>
    <row r="8281" spans="1:4" ht="30">
      <c r="A8281" s="47">
        <v>606</v>
      </c>
      <c r="B8281" s="48" t="s">
        <v>6222</v>
      </c>
      <c r="C8281" s="47" t="s">
        <v>256</v>
      </c>
      <c r="D8281" s="332">
        <v>444.85</v>
      </c>
    </row>
    <row r="8282" spans="1:4" ht="30">
      <c r="A8282" s="28">
        <v>11227</v>
      </c>
      <c r="B8282" s="26" t="s">
        <v>6223</v>
      </c>
      <c r="C8282" s="28" t="s">
        <v>65</v>
      </c>
      <c r="D8282" s="329">
        <v>471.17</v>
      </c>
    </row>
    <row r="8283" spans="1:4" ht="30">
      <c r="A8283" s="47">
        <v>11193</v>
      </c>
      <c r="B8283" s="48" t="s">
        <v>6224</v>
      </c>
      <c r="C8283" s="47" t="s">
        <v>256</v>
      </c>
      <c r="D8283" s="332">
        <v>451.04</v>
      </c>
    </row>
    <row r="8284" spans="1:4" ht="30">
      <c r="A8284" s="28">
        <v>11194</v>
      </c>
      <c r="B8284" s="26" t="s">
        <v>6225</v>
      </c>
      <c r="C8284" s="28" t="s">
        <v>256</v>
      </c>
      <c r="D8284" s="329">
        <v>406.1</v>
      </c>
    </row>
    <row r="8285" spans="1:4" ht="45">
      <c r="A8285" s="47">
        <v>605</v>
      </c>
      <c r="B8285" s="48" t="s">
        <v>6227</v>
      </c>
      <c r="C8285" s="47" t="s">
        <v>256</v>
      </c>
      <c r="D8285" s="332">
        <v>510.02</v>
      </c>
    </row>
    <row r="8286" spans="1:4" ht="45">
      <c r="A8286" s="28">
        <v>11197</v>
      </c>
      <c r="B8286" s="26" t="s">
        <v>6226</v>
      </c>
      <c r="C8286" s="28" t="s">
        <v>65</v>
      </c>
      <c r="D8286" s="329">
        <v>617.70000000000005</v>
      </c>
    </row>
    <row r="8287" spans="1:4" ht="60">
      <c r="A8287" s="47">
        <v>40659</v>
      </c>
      <c r="B8287" s="48" t="s">
        <v>6187</v>
      </c>
      <c r="C8287" s="47" t="s">
        <v>256</v>
      </c>
      <c r="D8287" s="332">
        <v>435.35</v>
      </c>
    </row>
    <row r="8288" spans="1:4" ht="60">
      <c r="A8288" s="28">
        <v>40660</v>
      </c>
      <c r="B8288" s="26" t="s">
        <v>6188</v>
      </c>
      <c r="C8288" s="28" t="s">
        <v>256</v>
      </c>
      <c r="D8288" s="329">
        <v>551.75</v>
      </c>
    </row>
    <row r="8289" spans="1:4" ht="60">
      <c r="A8289" s="47">
        <v>40661</v>
      </c>
      <c r="B8289" s="48" t="s">
        <v>6189</v>
      </c>
      <c r="C8289" s="47" t="s">
        <v>256</v>
      </c>
      <c r="D8289" s="332">
        <v>339.23</v>
      </c>
    </row>
    <row r="8290" spans="1:4" ht="60">
      <c r="A8290" s="28">
        <v>3421</v>
      </c>
      <c r="B8290" s="26" t="s">
        <v>6233</v>
      </c>
      <c r="C8290" s="28" t="s">
        <v>256</v>
      </c>
      <c r="D8290" s="329">
        <v>341.83</v>
      </c>
    </row>
    <row r="8291" spans="1:4" ht="45">
      <c r="A8291" s="47">
        <v>3423</v>
      </c>
      <c r="B8291" s="48" t="s">
        <v>11391</v>
      </c>
      <c r="C8291" s="47" t="s">
        <v>256</v>
      </c>
      <c r="D8291" s="332">
        <v>482.06</v>
      </c>
    </row>
    <row r="8292" spans="1:4" ht="30">
      <c r="A8292" s="28">
        <v>34797</v>
      </c>
      <c r="B8292" s="26" t="s">
        <v>6234</v>
      </c>
      <c r="C8292" s="28" t="s">
        <v>65</v>
      </c>
      <c r="D8292" s="329">
        <v>251.75</v>
      </c>
    </row>
    <row r="8293" spans="1:4" ht="30">
      <c r="A8293" s="47">
        <v>624</v>
      </c>
      <c r="B8293" s="48" t="s">
        <v>6235</v>
      </c>
      <c r="C8293" s="47" t="s">
        <v>256</v>
      </c>
      <c r="D8293" s="332">
        <v>524.48</v>
      </c>
    </row>
    <row r="8294" spans="1:4" ht="30">
      <c r="A8294" s="28">
        <v>623</v>
      </c>
      <c r="B8294" s="26" t="s">
        <v>6236</v>
      </c>
      <c r="C8294" s="28" t="s">
        <v>256</v>
      </c>
      <c r="D8294" s="329">
        <v>196.94</v>
      </c>
    </row>
    <row r="8295" spans="1:4">
      <c r="A8295" s="47">
        <v>25964</v>
      </c>
      <c r="B8295" s="48" t="s">
        <v>192</v>
      </c>
      <c r="C8295" s="47" t="s">
        <v>57</v>
      </c>
      <c r="D8295" s="332">
        <v>9.67</v>
      </c>
    </row>
    <row r="8296" spans="1:4">
      <c r="A8296" s="28">
        <v>41077</v>
      </c>
      <c r="B8296" s="26" t="s">
        <v>6237</v>
      </c>
      <c r="C8296" s="28" t="s">
        <v>1643</v>
      </c>
      <c r="D8296" s="329">
        <v>1701.65</v>
      </c>
    </row>
    <row r="8297" spans="1:4">
      <c r="A8297" s="47">
        <v>20159</v>
      </c>
      <c r="B8297" s="48" t="s">
        <v>6372</v>
      </c>
      <c r="C8297" s="47" t="s">
        <v>65</v>
      </c>
      <c r="D8297" s="332">
        <v>30.27</v>
      </c>
    </row>
    <row r="8298" spans="1:4">
      <c r="A8298" s="28">
        <v>37963</v>
      </c>
      <c r="B8298" s="26" t="s">
        <v>6373</v>
      </c>
      <c r="C8298" s="28" t="s">
        <v>65</v>
      </c>
      <c r="D8298" s="329">
        <v>3.13</v>
      </c>
    </row>
    <row r="8299" spans="1:4">
      <c r="A8299" s="47">
        <v>37964</v>
      </c>
      <c r="B8299" s="48" t="s">
        <v>6374</v>
      </c>
      <c r="C8299" s="47" t="s">
        <v>65</v>
      </c>
      <c r="D8299" s="332">
        <v>5.23</v>
      </c>
    </row>
    <row r="8300" spans="1:4">
      <c r="A8300" s="28">
        <v>37965</v>
      </c>
      <c r="B8300" s="26" t="s">
        <v>6375</v>
      </c>
      <c r="C8300" s="28" t="s">
        <v>65</v>
      </c>
      <c r="D8300" s="329">
        <v>7.57</v>
      </c>
    </row>
    <row r="8301" spans="1:4">
      <c r="A8301" s="47">
        <v>37966</v>
      </c>
      <c r="B8301" s="48" t="s">
        <v>6376</v>
      </c>
      <c r="C8301" s="47" t="s">
        <v>65</v>
      </c>
      <c r="D8301" s="332">
        <v>13.72</v>
      </c>
    </row>
    <row r="8302" spans="1:4">
      <c r="A8302" s="28">
        <v>37967</v>
      </c>
      <c r="B8302" s="26" t="s">
        <v>6377</v>
      </c>
      <c r="C8302" s="28" t="s">
        <v>65</v>
      </c>
      <c r="D8302" s="329">
        <v>22.01</v>
      </c>
    </row>
    <row r="8303" spans="1:4">
      <c r="A8303" s="47">
        <v>37968</v>
      </c>
      <c r="B8303" s="48" t="s">
        <v>6378</v>
      </c>
      <c r="C8303" s="47" t="s">
        <v>65</v>
      </c>
      <c r="D8303" s="332">
        <v>48.27</v>
      </c>
    </row>
    <row r="8304" spans="1:4">
      <c r="A8304" s="28">
        <v>37969</v>
      </c>
      <c r="B8304" s="26" t="s">
        <v>6379</v>
      </c>
      <c r="C8304" s="28" t="s">
        <v>65</v>
      </c>
      <c r="D8304" s="329">
        <v>128.96</v>
      </c>
    </row>
    <row r="8305" spans="1:4">
      <c r="A8305" s="47">
        <v>37970</v>
      </c>
      <c r="B8305" s="48" t="s">
        <v>6380</v>
      </c>
      <c r="C8305" s="47" t="s">
        <v>65</v>
      </c>
      <c r="D8305" s="332">
        <v>150.44</v>
      </c>
    </row>
    <row r="8306" spans="1:4">
      <c r="A8306" s="28">
        <v>21118</v>
      </c>
      <c r="B8306" s="26" t="s">
        <v>6381</v>
      </c>
      <c r="C8306" s="28" t="s">
        <v>65</v>
      </c>
      <c r="D8306" s="329">
        <v>2.37</v>
      </c>
    </row>
    <row r="8307" spans="1:4">
      <c r="A8307" s="47">
        <v>37956</v>
      </c>
      <c r="B8307" s="48" t="s">
        <v>6382</v>
      </c>
      <c r="C8307" s="47" t="s">
        <v>65</v>
      </c>
      <c r="D8307" s="332">
        <v>3.75</v>
      </c>
    </row>
    <row r="8308" spans="1:4">
      <c r="A8308" s="28">
        <v>37957</v>
      </c>
      <c r="B8308" s="26" t="s">
        <v>6383</v>
      </c>
      <c r="C8308" s="28" t="s">
        <v>65</v>
      </c>
      <c r="D8308" s="329">
        <v>7.92</v>
      </c>
    </row>
    <row r="8309" spans="1:4">
      <c r="A8309" s="47">
        <v>37958</v>
      </c>
      <c r="B8309" s="48" t="s">
        <v>6384</v>
      </c>
      <c r="C8309" s="47" t="s">
        <v>65</v>
      </c>
      <c r="D8309" s="332">
        <v>13.72</v>
      </c>
    </row>
    <row r="8310" spans="1:4">
      <c r="A8310" s="28">
        <v>37959</v>
      </c>
      <c r="B8310" s="26" t="s">
        <v>6385</v>
      </c>
      <c r="C8310" s="28" t="s">
        <v>65</v>
      </c>
      <c r="D8310" s="329">
        <v>22.01</v>
      </c>
    </row>
    <row r="8311" spans="1:4">
      <c r="A8311" s="47">
        <v>37960</v>
      </c>
      <c r="B8311" s="48" t="s">
        <v>6386</v>
      </c>
      <c r="C8311" s="47" t="s">
        <v>65</v>
      </c>
      <c r="D8311" s="332">
        <v>47.4</v>
      </c>
    </row>
    <row r="8312" spans="1:4">
      <c r="A8312" s="28">
        <v>37961</v>
      </c>
      <c r="B8312" s="26" t="s">
        <v>6387</v>
      </c>
      <c r="C8312" s="28" t="s">
        <v>65</v>
      </c>
      <c r="D8312" s="329">
        <v>125.75</v>
      </c>
    </row>
    <row r="8313" spans="1:4">
      <c r="A8313" s="47">
        <v>37962</v>
      </c>
      <c r="B8313" s="48" t="s">
        <v>6388</v>
      </c>
      <c r="C8313" s="47" t="s">
        <v>65</v>
      </c>
      <c r="D8313" s="332">
        <v>146.12</v>
      </c>
    </row>
    <row r="8314" spans="1:4">
      <c r="A8314" s="28">
        <v>3533</v>
      </c>
      <c r="B8314" s="26" t="s">
        <v>6389</v>
      </c>
      <c r="C8314" s="28" t="s">
        <v>65</v>
      </c>
      <c r="D8314" s="329">
        <v>1.74</v>
      </c>
    </row>
    <row r="8315" spans="1:4">
      <c r="A8315" s="47">
        <v>3538</v>
      </c>
      <c r="B8315" s="48" t="s">
        <v>6390</v>
      </c>
      <c r="C8315" s="47" t="s">
        <v>65</v>
      </c>
      <c r="D8315" s="332">
        <v>2.39</v>
      </c>
    </row>
    <row r="8316" spans="1:4" ht="30">
      <c r="A8316" s="28">
        <v>3497</v>
      </c>
      <c r="B8316" s="26" t="s">
        <v>6391</v>
      </c>
      <c r="C8316" s="28" t="s">
        <v>65</v>
      </c>
      <c r="D8316" s="329">
        <v>10.57</v>
      </c>
    </row>
    <row r="8317" spans="1:4">
      <c r="A8317" s="47">
        <v>3498</v>
      </c>
      <c r="B8317" s="48" t="s">
        <v>6392</v>
      </c>
      <c r="C8317" s="47" t="s">
        <v>65</v>
      </c>
      <c r="D8317" s="332">
        <v>3.35</v>
      </c>
    </row>
    <row r="8318" spans="1:4">
      <c r="A8318" s="28">
        <v>3496</v>
      </c>
      <c r="B8318" s="26" t="s">
        <v>6393</v>
      </c>
      <c r="C8318" s="28" t="s">
        <v>65</v>
      </c>
      <c r="D8318" s="329">
        <v>2.08</v>
      </c>
    </row>
    <row r="8319" spans="1:4">
      <c r="A8319" s="47">
        <v>38430</v>
      </c>
      <c r="B8319" s="48" t="s">
        <v>6395</v>
      </c>
      <c r="C8319" s="47" t="s">
        <v>65</v>
      </c>
      <c r="D8319" s="332">
        <v>16.2</v>
      </c>
    </row>
    <row r="8320" spans="1:4">
      <c r="A8320" s="28">
        <v>38449</v>
      </c>
      <c r="B8320" s="26" t="s">
        <v>6396</v>
      </c>
      <c r="C8320" s="28" t="s">
        <v>65</v>
      </c>
      <c r="D8320" s="329">
        <v>29.81</v>
      </c>
    </row>
    <row r="8321" spans="1:4" ht="30">
      <c r="A8321" s="47">
        <v>10836</v>
      </c>
      <c r="B8321" s="48" t="s">
        <v>6397</v>
      </c>
      <c r="C8321" s="47" t="s">
        <v>65</v>
      </c>
      <c r="D8321" s="332">
        <v>13.34</v>
      </c>
    </row>
    <row r="8322" spans="1:4">
      <c r="A8322" s="28">
        <v>20128</v>
      </c>
      <c r="B8322" s="26" t="s">
        <v>6398</v>
      </c>
      <c r="C8322" s="28" t="s">
        <v>65</v>
      </c>
      <c r="D8322" s="329">
        <v>33.21</v>
      </c>
    </row>
    <row r="8323" spans="1:4">
      <c r="A8323" s="47">
        <v>20131</v>
      </c>
      <c r="B8323" s="48" t="s">
        <v>6399</v>
      </c>
      <c r="C8323" s="47" t="s">
        <v>65</v>
      </c>
      <c r="D8323" s="332">
        <v>29.92</v>
      </c>
    </row>
    <row r="8324" spans="1:4">
      <c r="A8324" s="28">
        <v>3521</v>
      </c>
      <c r="B8324" s="26" t="s">
        <v>6400</v>
      </c>
      <c r="C8324" s="28" t="s">
        <v>65</v>
      </c>
      <c r="D8324" s="329">
        <v>1.27</v>
      </c>
    </row>
    <row r="8325" spans="1:4">
      <c r="A8325" s="47">
        <v>3531</v>
      </c>
      <c r="B8325" s="48" t="s">
        <v>6401</v>
      </c>
      <c r="C8325" s="47" t="s">
        <v>65</v>
      </c>
      <c r="D8325" s="332">
        <v>1.38</v>
      </c>
    </row>
    <row r="8326" spans="1:4">
      <c r="A8326" s="28">
        <v>3522</v>
      </c>
      <c r="B8326" s="26" t="s">
        <v>6402</v>
      </c>
      <c r="C8326" s="28" t="s">
        <v>65</v>
      </c>
      <c r="D8326" s="329">
        <v>2.2400000000000002</v>
      </c>
    </row>
    <row r="8327" spans="1:4">
      <c r="A8327" s="47">
        <v>3527</v>
      </c>
      <c r="B8327" s="48" t="s">
        <v>6403</v>
      </c>
      <c r="C8327" s="47" t="s">
        <v>65</v>
      </c>
      <c r="D8327" s="332">
        <v>7.07</v>
      </c>
    </row>
    <row r="8328" spans="1:4" ht="30">
      <c r="A8328" s="28">
        <v>10835</v>
      </c>
      <c r="B8328" s="26" t="s">
        <v>6412</v>
      </c>
      <c r="C8328" s="28" t="s">
        <v>65</v>
      </c>
      <c r="D8328" s="329">
        <v>2.97</v>
      </c>
    </row>
    <row r="8329" spans="1:4">
      <c r="A8329" s="47">
        <v>3475</v>
      </c>
      <c r="B8329" s="48" t="s">
        <v>6414</v>
      </c>
      <c r="C8329" s="47" t="s">
        <v>65</v>
      </c>
      <c r="D8329" s="332">
        <v>2.2200000000000002</v>
      </c>
    </row>
    <row r="8330" spans="1:4">
      <c r="A8330" s="28">
        <v>3485</v>
      </c>
      <c r="B8330" s="26" t="s">
        <v>6413</v>
      </c>
      <c r="C8330" s="28" t="s">
        <v>65</v>
      </c>
      <c r="D8330" s="329">
        <v>6.79</v>
      </c>
    </row>
    <row r="8331" spans="1:4">
      <c r="A8331" s="47">
        <v>3534</v>
      </c>
      <c r="B8331" s="48" t="s">
        <v>6415</v>
      </c>
      <c r="C8331" s="47" t="s">
        <v>65</v>
      </c>
      <c r="D8331" s="332">
        <v>2.88</v>
      </c>
    </row>
    <row r="8332" spans="1:4">
      <c r="A8332" s="28">
        <v>3543</v>
      </c>
      <c r="B8332" s="26" t="s">
        <v>6417</v>
      </c>
      <c r="C8332" s="28" t="s">
        <v>65</v>
      </c>
      <c r="D8332" s="329">
        <v>1.44</v>
      </c>
    </row>
    <row r="8333" spans="1:4">
      <c r="A8333" s="47">
        <v>3482</v>
      </c>
      <c r="B8333" s="48" t="s">
        <v>6416</v>
      </c>
      <c r="C8333" s="47" t="s">
        <v>65</v>
      </c>
      <c r="D8333" s="332">
        <v>3.46</v>
      </c>
    </row>
    <row r="8334" spans="1:4">
      <c r="A8334" s="28">
        <v>3505</v>
      </c>
      <c r="B8334" s="26" t="s">
        <v>6418</v>
      </c>
      <c r="C8334" s="28" t="s">
        <v>65</v>
      </c>
      <c r="D8334" s="329">
        <v>2.0699999999999998</v>
      </c>
    </row>
    <row r="8335" spans="1:4">
      <c r="A8335" s="47">
        <v>3516</v>
      </c>
      <c r="B8335" s="48" t="s">
        <v>6427</v>
      </c>
      <c r="C8335" s="47" t="s">
        <v>65</v>
      </c>
      <c r="D8335" s="332">
        <v>1.91</v>
      </c>
    </row>
    <row r="8336" spans="1:4">
      <c r="A8336" s="28">
        <v>3517</v>
      </c>
      <c r="B8336" s="26" t="s">
        <v>6428</v>
      </c>
      <c r="C8336" s="28" t="s">
        <v>65</v>
      </c>
      <c r="D8336" s="329">
        <v>1.1599999999999999</v>
      </c>
    </row>
    <row r="8337" spans="1:4" ht="30">
      <c r="A8337" s="47">
        <v>3515</v>
      </c>
      <c r="B8337" s="48" t="s">
        <v>6429</v>
      </c>
      <c r="C8337" s="47" t="s">
        <v>65</v>
      </c>
      <c r="D8337" s="332">
        <v>4.32</v>
      </c>
    </row>
    <row r="8338" spans="1:4" ht="30">
      <c r="A8338" s="28">
        <v>20147</v>
      </c>
      <c r="B8338" s="26" t="s">
        <v>6430</v>
      </c>
      <c r="C8338" s="28" t="s">
        <v>65</v>
      </c>
      <c r="D8338" s="329">
        <v>4.43</v>
      </c>
    </row>
    <row r="8339" spans="1:4" ht="30">
      <c r="A8339" s="47">
        <v>3524</v>
      </c>
      <c r="B8339" s="48" t="s">
        <v>6431</v>
      </c>
      <c r="C8339" s="47" t="s">
        <v>65</v>
      </c>
      <c r="D8339" s="332">
        <v>5.28</v>
      </c>
    </row>
    <row r="8340" spans="1:4" ht="30">
      <c r="A8340" s="28">
        <v>3532</v>
      </c>
      <c r="B8340" s="26" t="s">
        <v>6432</v>
      </c>
      <c r="C8340" s="28" t="s">
        <v>65</v>
      </c>
      <c r="D8340" s="329">
        <v>9.84</v>
      </c>
    </row>
    <row r="8341" spans="1:4">
      <c r="A8341" s="47">
        <v>3528</v>
      </c>
      <c r="B8341" s="48" t="s">
        <v>6433</v>
      </c>
      <c r="C8341" s="47" t="s">
        <v>65</v>
      </c>
      <c r="D8341" s="332">
        <v>6.03</v>
      </c>
    </row>
    <row r="8342" spans="1:4">
      <c r="A8342" s="28">
        <v>37952</v>
      </c>
      <c r="B8342" s="26" t="s">
        <v>6434</v>
      </c>
      <c r="C8342" s="28" t="s">
        <v>65</v>
      </c>
      <c r="D8342" s="329">
        <v>37.229999999999997</v>
      </c>
    </row>
    <row r="8343" spans="1:4">
      <c r="A8343" s="47">
        <v>37951</v>
      </c>
      <c r="B8343" s="48" t="s">
        <v>6435</v>
      </c>
      <c r="C8343" s="47" t="s">
        <v>65</v>
      </c>
      <c r="D8343" s="332">
        <v>1.61</v>
      </c>
    </row>
    <row r="8344" spans="1:4">
      <c r="A8344" s="28">
        <v>3518</v>
      </c>
      <c r="B8344" s="26" t="s">
        <v>6436</v>
      </c>
      <c r="C8344" s="28" t="s">
        <v>65</v>
      </c>
      <c r="D8344" s="329">
        <v>2.3199999999999998</v>
      </c>
    </row>
    <row r="8345" spans="1:4">
      <c r="A8345" s="47">
        <v>3519</v>
      </c>
      <c r="B8345" s="48" t="s">
        <v>6437</v>
      </c>
      <c r="C8345" s="47" t="s">
        <v>65</v>
      </c>
      <c r="D8345" s="332">
        <v>5.33</v>
      </c>
    </row>
    <row r="8346" spans="1:4">
      <c r="A8346" s="28">
        <v>3520</v>
      </c>
      <c r="B8346" s="26" t="s">
        <v>6438</v>
      </c>
      <c r="C8346" s="28" t="s">
        <v>65</v>
      </c>
      <c r="D8346" s="329">
        <v>5.97</v>
      </c>
    </row>
    <row r="8347" spans="1:4">
      <c r="A8347" s="47">
        <v>37950</v>
      </c>
      <c r="B8347" s="48" t="s">
        <v>6439</v>
      </c>
      <c r="C8347" s="47" t="s">
        <v>65</v>
      </c>
      <c r="D8347" s="332">
        <v>35.909999999999997</v>
      </c>
    </row>
    <row r="8348" spans="1:4">
      <c r="A8348" s="28">
        <v>37949</v>
      </c>
      <c r="B8348" s="26" t="s">
        <v>6440</v>
      </c>
      <c r="C8348" s="28" t="s">
        <v>65</v>
      </c>
      <c r="D8348" s="329">
        <v>1.31</v>
      </c>
    </row>
    <row r="8349" spans="1:4">
      <c r="A8349" s="47">
        <v>3526</v>
      </c>
      <c r="B8349" s="48" t="s">
        <v>6441</v>
      </c>
      <c r="C8349" s="47" t="s">
        <v>65</v>
      </c>
      <c r="D8349" s="332">
        <v>1.78</v>
      </c>
    </row>
    <row r="8350" spans="1:4">
      <c r="A8350" s="28">
        <v>3509</v>
      </c>
      <c r="B8350" s="26" t="s">
        <v>6442</v>
      </c>
      <c r="C8350" s="28" t="s">
        <v>65</v>
      </c>
      <c r="D8350" s="329">
        <v>4.54</v>
      </c>
    </row>
    <row r="8351" spans="1:4">
      <c r="A8351" s="47">
        <v>3530</v>
      </c>
      <c r="B8351" s="48" t="s">
        <v>6419</v>
      </c>
      <c r="C8351" s="47" t="s">
        <v>65</v>
      </c>
      <c r="D8351" s="332">
        <v>154.74</v>
      </c>
    </row>
    <row r="8352" spans="1:4">
      <c r="A8352" s="28">
        <v>3542</v>
      </c>
      <c r="B8352" s="26" t="s">
        <v>6420</v>
      </c>
      <c r="C8352" s="28" t="s">
        <v>65</v>
      </c>
      <c r="D8352" s="329">
        <v>0.39</v>
      </c>
    </row>
    <row r="8353" spans="1:4">
      <c r="A8353" s="47">
        <v>3529</v>
      </c>
      <c r="B8353" s="48" t="s">
        <v>6421</v>
      </c>
      <c r="C8353" s="47" t="s">
        <v>65</v>
      </c>
      <c r="D8353" s="332">
        <v>0.57999999999999996</v>
      </c>
    </row>
    <row r="8354" spans="1:4">
      <c r="A8354" s="28">
        <v>3536</v>
      </c>
      <c r="B8354" s="26" t="s">
        <v>6422</v>
      </c>
      <c r="C8354" s="28" t="s">
        <v>65</v>
      </c>
      <c r="D8354" s="329">
        <v>1.5</v>
      </c>
    </row>
    <row r="8355" spans="1:4">
      <c r="A8355" s="47">
        <v>3535</v>
      </c>
      <c r="B8355" s="48" t="s">
        <v>6423</v>
      </c>
      <c r="C8355" s="47" t="s">
        <v>65</v>
      </c>
      <c r="D8355" s="332">
        <v>3.66</v>
      </c>
    </row>
    <row r="8356" spans="1:4">
      <c r="A8356" s="28">
        <v>3540</v>
      </c>
      <c r="B8356" s="26" t="s">
        <v>6424</v>
      </c>
      <c r="C8356" s="28" t="s">
        <v>65</v>
      </c>
      <c r="D8356" s="329">
        <v>4.07</v>
      </c>
    </row>
    <row r="8357" spans="1:4">
      <c r="A8357" s="47">
        <v>3539</v>
      </c>
      <c r="B8357" s="48" t="s">
        <v>6425</v>
      </c>
      <c r="C8357" s="47" t="s">
        <v>65</v>
      </c>
      <c r="D8357" s="332">
        <v>18.63</v>
      </c>
    </row>
    <row r="8358" spans="1:4" ht="29.25" customHeight="1">
      <c r="A8358" s="28">
        <v>3513</v>
      </c>
      <c r="B8358" s="26" t="s">
        <v>6426</v>
      </c>
      <c r="C8358" s="28" t="s">
        <v>65</v>
      </c>
      <c r="D8358" s="329">
        <v>66.510000000000005</v>
      </c>
    </row>
    <row r="8359" spans="1:4">
      <c r="A8359" s="47">
        <v>3492</v>
      </c>
      <c r="B8359" s="48" t="s">
        <v>6404</v>
      </c>
      <c r="C8359" s="47" t="s">
        <v>65</v>
      </c>
      <c r="D8359" s="332">
        <v>9.73</v>
      </c>
    </row>
    <row r="8360" spans="1:4">
      <c r="A8360" s="28">
        <v>3491</v>
      </c>
      <c r="B8360" s="26" t="s">
        <v>6405</v>
      </c>
      <c r="C8360" s="28" t="s">
        <v>65</v>
      </c>
      <c r="D8360" s="329">
        <v>8.08</v>
      </c>
    </row>
    <row r="8361" spans="1:4">
      <c r="A8361" s="47">
        <v>3493</v>
      </c>
      <c r="B8361" s="48" t="s">
        <v>6406</v>
      </c>
      <c r="C8361" s="47" t="s">
        <v>65</v>
      </c>
      <c r="D8361" s="332">
        <v>18.88</v>
      </c>
    </row>
    <row r="8362" spans="1:4">
      <c r="A8362" s="28">
        <v>12628</v>
      </c>
      <c r="B8362" s="26" t="s">
        <v>6407</v>
      </c>
      <c r="C8362" s="28" t="s">
        <v>65</v>
      </c>
      <c r="D8362" s="329">
        <v>6.16</v>
      </c>
    </row>
    <row r="8363" spans="1:4">
      <c r="A8363" s="47">
        <v>12629</v>
      </c>
      <c r="B8363" s="48" t="s">
        <v>6408</v>
      </c>
      <c r="C8363" s="47" t="s">
        <v>65</v>
      </c>
      <c r="D8363" s="332">
        <v>6.69</v>
      </c>
    </row>
    <row r="8364" spans="1:4">
      <c r="A8364" s="28">
        <v>3481</v>
      </c>
      <c r="B8364" s="26" t="s">
        <v>6409</v>
      </c>
      <c r="C8364" s="28" t="s">
        <v>65</v>
      </c>
      <c r="D8364" s="329">
        <v>9.85</v>
      </c>
    </row>
    <row r="8365" spans="1:4">
      <c r="A8365" s="47">
        <v>3510</v>
      </c>
      <c r="B8365" s="48" t="s">
        <v>6410</v>
      </c>
      <c r="C8365" s="47" t="s">
        <v>65</v>
      </c>
      <c r="D8365" s="332">
        <v>8.64</v>
      </c>
    </row>
    <row r="8366" spans="1:4">
      <c r="A8366" s="28">
        <v>3508</v>
      </c>
      <c r="B8366" s="26" t="s">
        <v>6411</v>
      </c>
      <c r="C8366" s="28" t="s">
        <v>65</v>
      </c>
      <c r="D8366" s="329">
        <v>19.68</v>
      </c>
    </row>
    <row r="8367" spans="1:4">
      <c r="A8367" s="47">
        <v>3489</v>
      </c>
      <c r="B8367" s="48" t="s">
        <v>6443</v>
      </c>
      <c r="C8367" s="47" t="s">
        <v>65</v>
      </c>
      <c r="D8367" s="332">
        <v>9.66</v>
      </c>
    </row>
    <row r="8368" spans="1:4">
      <c r="A8368" s="28">
        <v>20151</v>
      </c>
      <c r="B8368" s="26" t="s">
        <v>6444</v>
      </c>
      <c r="C8368" s="28" t="s">
        <v>65</v>
      </c>
      <c r="D8368" s="329">
        <v>21.28</v>
      </c>
    </row>
    <row r="8369" spans="1:4">
      <c r="A8369" s="47">
        <v>20152</v>
      </c>
      <c r="B8369" s="48" t="s">
        <v>6445</v>
      </c>
      <c r="C8369" s="47" t="s">
        <v>65</v>
      </c>
      <c r="D8369" s="332">
        <v>67.48</v>
      </c>
    </row>
    <row r="8370" spans="1:4">
      <c r="A8370" s="28">
        <v>20148</v>
      </c>
      <c r="B8370" s="26" t="s">
        <v>6446</v>
      </c>
      <c r="C8370" s="28" t="s">
        <v>65</v>
      </c>
      <c r="D8370" s="329">
        <v>3.92</v>
      </c>
    </row>
    <row r="8371" spans="1:4">
      <c r="A8371" s="47">
        <v>20149</v>
      </c>
      <c r="B8371" s="48" t="s">
        <v>6447</v>
      </c>
      <c r="C8371" s="47" t="s">
        <v>65</v>
      </c>
      <c r="D8371" s="332">
        <v>5.89</v>
      </c>
    </row>
    <row r="8372" spans="1:4">
      <c r="A8372" s="28">
        <v>20150</v>
      </c>
      <c r="B8372" s="26" t="s">
        <v>6448</v>
      </c>
      <c r="C8372" s="28" t="s">
        <v>65</v>
      </c>
      <c r="D8372" s="329">
        <v>15.48</v>
      </c>
    </row>
    <row r="8373" spans="1:4">
      <c r="A8373" s="47">
        <v>20157</v>
      </c>
      <c r="B8373" s="48" t="s">
        <v>6449</v>
      </c>
      <c r="C8373" s="47" t="s">
        <v>65</v>
      </c>
      <c r="D8373" s="332">
        <v>26.46</v>
      </c>
    </row>
    <row r="8374" spans="1:4">
      <c r="A8374" s="28">
        <v>20158</v>
      </c>
      <c r="B8374" s="26" t="s">
        <v>6450</v>
      </c>
      <c r="C8374" s="28" t="s">
        <v>65</v>
      </c>
      <c r="D8374" s="329">
        <v>86.8</v>
      </c>
    </row>
    <row r="8375" spans="1:4">
      <c r="A8375" s="47">
        <v>20154</v>
      </c>
      <c r="B8375" s="48" t="s">
        <v>6451</v>
      </c>
      <c r="C8375" s="47" t="s">
        <v>65</v>
      </c>
      <c r="D8375" s="332">
        <v>4.3099999999999996</v>
      </c>
    </row>
    <row r="8376" spans="1:4">
      <c r="A8376" s="28">
        <v>20155</v>
      </c>
      <c r="B8376" s="26" t="s">
        <v>6452</v>
      </c>
      <c r="C8376" s="28" t="s">
        <v>65</v>
      </c>
      <c r="D8376" s="329">
        <v>6.75</v>
      </c>
    </row>
    <row r="8377" spans="1:4">
      <c r="A8377" s="47">
        <v>20156</v>
      </c>
      <c r="B8377" s="48" t="s">
        <v>6453</v>
      </c>
      <c r="C8377" s="47" t="s">
        <v>65</v>
      </c>
      <c r="D8377" s="332">
        <v>16.04</v>
      </c>
    </row>
    <row r="8378" spans="1:4">
      <c r="A8378" s="28">
        <v>3512</v>
      </c>
      <c r="B8378" s="26" t="s">
        <v>6454</v>
      </c>
      <c r="C8378" s="28" t="s">
        <v>65</v>
      </c>
      <c r="D8378" s="329">
        <v>141.47</v>
      </c>
    </row>
    <row r="8379" spans="1:4">
      <c r="A8379" s="47">
        <v>3499</v>
      </c>
      <c r="B8379" s="48" t="s">
        <v>6455</v>
      </c>
      <c r="C8379" s="47" t="s">
        <v>65</v>
      </c>
      <c r="D8379" s="332">
        <v>0.59</v>
      </c>
    </row>
    <row r="8380" spans="1:4">
      <c r="A8380" s="28">
        <v>3500</v>
      </c>
      <c r="B8380" s="26" t="s">
        <v>6456</v>
      </c>
      <c r="C8380" s="28" t="s">
        <v>65</v>
      </c>
      <c r="D8380" s="329">
        <v>1.03</v>
      </c>
    </row>
    <row r="8381" spans="1:4">
      <c r="A8381" s="47">
        <v>3501</v>
      </c>
      <c r="B8381" s="48" t="s">
        <v>6457</v>
      </c>
      <c r="C8381" s="47" t="s">
        <v>65</v>
      </c>
      <c r="D8381" s="332">
        <v>2.76</v>
      </c>
    </row>
    <row r="8382" spans="1:4">
      <c r="A8382" s="28">
        <v>3502</v>
      </c>
      <c r="B8382" s="26" t="s">
        <v>6458</v>
      </c>
      <c r="C8382" s="28" t="s">
        <v>65</v>
      </c>
      <c r="D8382" s="329">
        <v>4.01</v>
      </c>
    </row>
    <row r="8383" spans="1:4">
      <c r="A8383" s="47">
        <v>3503</v>
      </c>
      <c r="B8383" s="48" t="s">
        <v>6459</v>
      </c>
      <c r="C8383" s="47" t="s">
        <v>65</v>
      </c>
      <c r="D8383" s="332">
        <v>5</v>
      </c>
    </row>
    <row r="8384" spans="1:4">
      <c r="A8384" s="28">
        <v>3477</v>
      </c>
      <c r="B8384" s="26" t="s">
        <v>6460</v>
      </c>
      <c r="C8384" s="28" t="s">
        <v>65</v>
      </c>
      <c r="D8384" s="329">
        <v>17.97</v>
      </c>
    </row>
    <row r="8385" spans="1:4">
      <c r="A8385" s="47">
        <v>3478</v>
      </c>
      <c r="B8385" s="48" t="s">
        <v>6461</v>
      </c>
      <c r="C8385" s="47" t="s">
        <v>65</v>
      </c>
      <c r="D8385" s="332">
        <v>43.55</v>
      </c>
    </row>
    <row r="8386" spans="1:4">
      <c r="A8386" s="28">
        <v>3525</v>
      </c>
      <c r="B8386" s="26" t="s">
        <v>6462</v>
      </c>
      <c r="C8386" s="28" t="s">
        <v>65</v>
      </c>
      <c r="D8386" s="329">
        <v>49.32</v>
      </c>
    </row>
    <row r="8387" spans="1:4">
      <c r="A8387" s="47">
        <v>3511</v>
      </c>
      <c r="B8387" s="48" t="s">
        <v>6463</v>
      </c>
      <c r="C8387" s="47" t="s">
        <v>65</v>
      </c>
      <c r="D8387" s="332">
        <v>58.99</v>
      </c>
    </row>
    <row r="8388" spans="1:4" ht="45">
      <c r="A8388" s="28">
        <v>3104</v>
      </c>
      <c r="B8388" s="26" t="s">
        <v>6464</v>
      </c>
      <c r="C8388" s="28" t="s">
        <v>105</v>
      </c>
      <c r="D8388" s="329">
        <v>413.33</v>
      </c>
    </row>
    <row r="8389" spans="1:4" ht="30">
      <c r="A8389" s="47">
        <v>12032</v>
      </c>
      <c r="B8389" s="48" t="s">
        <v>6466</v>
      </c>
      <c r="C8389" s="47" t="s">
        <v>133</v>
      </c>
      <c r="D8389" s="332">
        <v>35.22</v>
      </c>
    </row>
    <row r="8390" spans="1:4" ht="30">
      <c r="A8390" s="28">
        <v>12030</v>
      </c>
      <c r="B8390" s="26" t="s">
        <v>6467</v>
      </c>
      <c r="C8390" s="28" t="s">
        <v>133</v>
      </c>
      <c r="D8390" s="329">
        <v>33.1</v>
      </c>
    </row>
    <row r="8391" spans="1:4" ht="30">
      <c r="A8391" s="47">
        <v>10908</v>
      </c>
      <c r="B8391" s="48" t="s">
        <v>6469</v>
      </c>
      <c r="C8391" s="47" t="s">
        <v>65</v>
      </c>
      <c r="D8391" s="332">
        <v>11.1</v>
      </c>
    </row>
    <row r="8392" spans="1:4" ht="30">
      <c r="A8392" s="28">
        <v>10909</v>
      </c>
      <c r="B8392" s="26" t="s">
        <v>6470</v>
      </c>
      <c r="C8392" s="28" t="s">
        <v>65</v>
      </c>
      <c r="D8392" s="329">
        <v>13.48</v>
      </c>
    </row>
    <row r="8393" spans="1:4" ht="30">
      <c r="A8393" s="47">
        <v>3669</v>
      </c>
      <c r="B8393" s="48" t="s">
        <v>6471</v>
      </c>
      <c r="C8393" s="47" t="s">
        <v>65</v>
      </c>
      <c r="D8393" s="332">
        <v>8.1199999999999992</v>
      </c>
    </row>
    <row r="8394" spans="1:4" ht="30">
      <c r="A8394" s="28">
        <v>20138</v>
      </c>
      <c r="B8394" s="26" t="s">
        <v>6472</v>
      </c>
      <c r="C8394" s="28" t="s">
        <v>65</v>
      </c>
      <c r="D8394" s="329">
        <v>66.510000000000005</v>
      </c>
    </row>
    <row r="8395" spans="1:4">
      <c r="A8395" s="47">
        <v>20139</v>
      </c>
      <c r="B8395" s="48" t="s">
        <v>6473</v>
      </c>
      <c r="C8395" s="47" t="s">
        <v>65</v>
      </c>
      <c r="D8395" s="332">
        <v>60.32</v>
      </c>
    </row>
    <row r="8396" spans="1:4" ht="30">
      <c r="A8396" s="28">
        <v>3668</v>
      </c>
      <c r="B8396" s="26" t="s">
        <v>6474</v>
      </c>
      <c r="C8396" s="28" t="s">
        <v>65</v>
      </c>
      <c r="D8396" s="329">
        <v>26.72</v>
      </c>
    </row>
    <row r="8397" spans="1:4" ht="30">
      <c r="A8397" s="47">
        <v>3656</v>
      </c>
      <c r="B8397" s="48" t="s">
        <v>11392</v>
      </c>
      <c r="C8397" s="47" t="s">
        <v>65</v>
      </c>
      <c r="D8397" s="332">
        <v>13.48</v>
      </c>
    </row>
    <row r="8398" spans="1:4">
      <c r="A8398" s="28">
        <v>10911</v>
      </c>
      <c r="B8398" s="26" t="s">
        <v>6476</v>
      </c>
      <c r="C8398" s="28" t="s">
        <v>65</v>
      </c>
      <c r="D8398" s="329">
        <v>12.78</v>
      </c>
    </row>
    <row r="8399" spans="1:4">
      <c r="A8399" s="47">
        <v>3654</v>
      </c>
      <c r="B8399" s="48" t="s">
        <v>6478</v>
      </c>
      <c r="C8399" s="47" t="s">
        <v>65</v>
      </c>
      <c r="D8399" s="332">
        <v>8.39</v>
      </c>
    </row>
    <row r="8400" spans="1:4">
      <c r="A8400" s="28">
        <v>3663</v>
      </c>
      <c r="B8400" s="26" t="s">
        <v>6477</v>
      </c>
      <c r="C8400" s="28" t="s">
        <v>65</v>
      </c>
      <c r="D8400" s="329">
        <v>16.899999999999999</v>
      </c>
    </row>
    <row r="8401" spans="1:4">
      <c r="A8401" s="47">
        <v>3664</v>
      </c>
      <c r="B8401" s="48" t="s">
        <v>6479</v>
      </c>
      <c r="C8401" s="47" t="s">
        <v>65</v>
      </c>
      <c r="D8401" s="332">
        <v>9.67</v>
      </c>
    </row>
    <row r="8402" spans="1:4">
      <c r="A8402" s="28">
        <v>3655</v>
      </c>
      <c r="B8402" s="26" t="s">
        <v>6480</v>
      </c>
      <c r="C8402" s="28" t="s">
        <v>65</v>
      </c>
      <c r="D8402" s="329">
        <v>30.18</v>
      </c>
    </row>
    <row r="8403" spans="1:4">
      <c r="A8403" s="47">
        <v>3657</v>
      </c>
      <c r="B8403" s="48" t="s">
        <v>6481</v>
      </c>
      <c r="C8403" s="47" t="s">
        <v>65</v>
      </c>
      <c r="D8403" s="332">
        <v>22.22</v>
      </c>
    </row>
    <row r="8404" spans="1:4">
      <c r="A8404" s="28">
        <v>3665</v>
      </c>
      <c r="B8404" s="26" t="s">
        <v>6482</v>
      </c>
      <c r="C8404" s="28" t="s">
        <v>65</v>
      </c>
      <c r="D8404" s="329">
        <v>45.41</v>
      </c>
    </row>
    <row r="8405" spans="1:4" ht="43.5" customHeight="1">
      <c r="A8405" s="47">
        <v>12625</v>
      </c>
      <c r="B8405" s="48" t="s">
        <v>6483</v>
      </c>
      <c r="C8405" s="47" t="s">
        <v>65</v>
      </c>
      <c r="D8405" s="332">
        <v>8.4600000000000009</v>
      </c>
    </row>
    <row r="8406" spans="1:4" ht="43.5" customHeight="1">
      <c r="A8406" s="28">
        <v>20136</v>
      </c>
      <c r="B8406" s="26" t="s">
        <v>6484</v>
      </c>
      <c r="C8406" s="28" t="s">
        <v>65</v>
      </c>
      <c r="D8406" s="329">
        <v>99.25</v>
      </c>
    </row>
    <row r="8407" spans="1:4">
      <c r="A8407" s="47">
        <v>20144</v>
      </c>
      <c r="B8407" s="48" t="s">
        <v>6485</v>
      </c>
      <c r="C8407" s="47" t="s">
        <v>65</v>
      </c>
      <c r="D8407" s="332">
        <v>48.61</v>
      </c>
    </row>
    <row r="8408" spans="1:4">
      <c r="A8408" s="28">
        <v>20143</v>
      </c>
      <c r="B8408" s="26" t="s">
        <v>6486</v>
      </c>
      <c r="C8408" s="28" t="s">
        <v>65</v>
      </c>
      <c r="D8408" s="329">
        <v>46.78</v>
      </c>
    </row>
    <row r="8409" spans="1:4">
      <c r="A8409" s="47">
        <v>20145</v>
      </c>
      <c r="B8409" s="48" t="s">
        <v>6487</v>
      </c>
      <c r="C8409" s="47" t="s">
        <v>65</v>
      </c>
      <c r="D8409" s="332">
        <v>112.1</v>
      </c>
    </row>
    <row r="8410" spans="1:4">
      <c r="A8410" s="28">
        <v>20146</v>
      </c>
      <c r="B8410" s="26" t="s">
        <v>6488</v>
      </c>
      <c r="C8410" s="28" t="s">
        <v>65</v>
      </c>
      <c r="D8410" s="329">
        <v>136.32</v>
      </c>
    </row>
    <row r="8411" spans="1:4" ht="43.5" customHeight="1">
      <c r="A8411" s="47">
        <v>20140</v>
      </c>
      <c r="B8411" s="48" t="s">
        <v>6489</v>
      </c>
      <c r="C8411" s="47" t="s">
        <v>65</v>
      </c>
      <c r="D8411" s="332">
        <v>8.07</v>
      </c>
    </row>
    <row r="8412" spans="1:4" ht="43.5" customHeight="1">
      <c r="A8412" s="28">
        <v>20141</v>
      </c>
      <c r="B8412" s="26" t="s">
        <v>6490</v>
      </c>
      <c r="C8412" s="28" t="s">
        <v>65</v>
      </c>
      <c r="D8412" s="329">
        <v>12.13</v>
      </c>
    </row>
    <row r="8413" spans="1:4">
      <c r="A8413" s="47">
        <v>20142</v>
      </c>
      <c r="B8413" s="48" t="s">
        <v>6491</v>
      </c>
      <c r="C8413" s="47" t="s">
        <v>65</v>
      </c>
      <c r="D8413" s="332">
        <v>30.83</v>
      </c>
    </row>
    <row r="8414" spans="1:4">
      <c r="A8414" s="28">
        <v>3659</v>
      </c>
      <c r="B8414" s="26" t="s">
        <v>6494</v>
      </c>
      <c r="C8414" s="28" t="s">
        <v>65</v>
      </c>
      <c r="D8414" s="329">
        <v>11.33</v>
      </c>
    </row>
    <row r="8415" spans="1:4">
      <c r="A8415" s="47">
        <v>3660</v>
      </c>
      <c r="B8415" s="48" t="s">
        <v>6495</v>
      </c>
      <c r="C8415" s="47" t="s">
        <v>65</v>
      </c>
      <c r="D8415" s="332">
        <v>15.47</v>
      </c>
    </row>
    <row r="8416" spans="1:4">
      <c r="A8416" s="28">
        <v>3662</v>
      </c>
      <c r="B8416" s="26" t="s">
        <v>6496</v>
      </c>
      <c r="C8416" s="28" t="s">
        <v>65</v>
      </c>
      <c r="D8416" s="329">
        <v>5.86</v>
      </c>
    </row>
    <row r="8417" spans="1:4" ht="43.5" customHeight="1">
      <c r="A8417" s="47">
        <v>3661</v>
      </c>
      <c r="B8417" s="48" t="s">
        <v>6497</v>
      </c>
      <c r="C8417" s="47" t="s">
        <v>65</v>
      </c>
      <c r="D8417" s="332">
        <v>8.6999999999999993</v>
      </c>
    </row>
    <row r="8418" spans="1:4" ht="43.5" customHeight="1">
      <c r="A8418" s="28">
        <v>3658</v>
      </c>
      <c r="B8418" s="26" t="s">
        <v>6498</v>
      </c>
      <c r="C8418" s="28" t="s">
        <v>65</v>
      </c>
      <c r="D8418" s="329">
        <v>11.1</v>
      </c>
    </row>
    <row r="8419" spans="1:4">
      <c r="A8419" s="47">
        <v>3670</v>
      </c>
      <c r="B8419" s="48" t="s">
        <v>6492</v>
      </c>
      <c r="C8419" s="47" t="s">
        <v>65</v>
      </c>
      <c r="D8419" s="332">
        <v>15.69</v>
      </c>
    </row>
    <row r="8420" spans="1:4">
      <c r="A8420" s="28">
        <v>3666</v>
      </c>
      <c r="B8420" s="26" t="s">
        <v>6493</v>
      </c>
      <c r="C8420" s="28" t="s">
        <v>65</v>
      </c>
      <c r="D8420" s="329">
        <v>2.46</v>
      </c>
    </row>
    <row r="8421" spans="1:4">
      <c r="A8421" s="47">
        <v>14157</v>
      </c>
      <c r="B8421" s="48" t="s">
        <v>6468</v>
      </c>
      <c r="C8421" s="47" t="s">
        <v>65</v>
      </c>
      <c r="D8421" s="332">
        <v>1.47</v>
      </c>
    </row>
    <row r="8422" spans="1:4">
      <c r="A8422" s="28">
        <v>10865</v>
      </c>
      <c r="B8422" s="26" t="s">
        <v>6518</v>
      </c>
      <c r="C8422" s="28" t="s">
        <v>65</v>
      </c>
      <c r="D8422" s="329">
        <v>11.73</v>
      </c>
    </row>
    <row r="8423" spans="1:4" ht="30">
      <c r="A8423" s="47">
        <v>3653</v>
      </c>
      <c r="B8423" s="48" t="s">
        <v>6519</v>
      </c>
      <c r="C8423" s="47" t="s">
        <v>65</v>
      </c>
      <c r="D8423" s="332">
        <v>23.69</v>
      </c>
    </row>
    <row r="8424" spans="1:4" ht="30">
      <c r="A8424" s="28">
        <v>3649</v>
      </c>
      <c r="B8424" s="26" t="s">
        <v>6520</v>
      </c>
      <c r="C8424" s="28" t="s">
        <v>65</v>
      </c>
      <c r="D8424" s="329">
        <v>60.66</v>
      </c>
    </row>
    <row r="8425" spans="1:4" ht="30">
      <c r="A8425" s="47">
        <v>3651</v>
      </c>
      <c r="B8425" s="48" t="s">
        <v>6521</v>
      </c>
      <c r="C8425" s="47" t="s">
        <v>65</v>
      </c>
      <c r="D8425" s="332">
        <v>91.35</v>
      </c>
    </row>
    <row r="8426" spans="1:4" ht="30">
      <c r="A8426" s="28">
        <v>3650</v>
      </c>
      <c r="B8426" s="26" t="s">
        <v>6522</v>
      </c>
      <c r="C8426" s="28" t="s">
        <v>65</v>
      </c>
      <c r="D8426" s="329">
        <v>127.25</v>
      </c>
    </row>
    <row r="8427" spans="1:4" ht="30">
      <c r="A8427" s="47">
        <v>3645</v>
      </c>
      <c r="B8427" s="48" t="s">
        <v>11393</v>
      </c>
      <c r="C8427" s="47" t="s">
        <v>65</v>
      </c>
      <c r="D8427" s="332">
        <v>277.60000000000002</v>
      </c>
    </row>
    <row r="8428" spans="1:4" ht="30">
      <c r="A8428" s="28">
        <v>3646</v>
      </c>
      <c r="B8428" s="26" t="s">
        <v>6523</v>
      </c>
      <c r="C8428" s="28" t="s">
        <v>65</v>
      </c>
      <c r="D8428" s="329">
        <v>451.97</v>
      </c>
    </row>
    <row r="8429" spans="1:4" ht="30">
      <c r="A8429" s="47">
        <v>3647</v>
      </c>
      <c r="B8429" s="48" t="s">
        <v>6524</v>
      </c>
      <c r="C8429" s="47" t="s">
        <v>65</v>
      </c>
      <c r="D8429" s="332">
        <v>518.99</v>
      </c>
    </row>
    <row r="8430" spans="1:4">
      <c r="A8430" s="28">
        <v>39875</v>
      </c>
      <c r="B8430" s="26" t="s">
        <v>6539</v>
      </c>
      <c r="C8430" s="28" t="s">
        <v>65</v>
      </c>
      <c r="D8430" s="329">
        <v>450.68</v>
      </c>
    </row>
    <row r="8431" spans="1:4">
      <c r="A8431" s="47">
        <v>39876</v>
      </c>
      <c r="B8431" s="48" t="s">
        <v>6540</v>
      </c>
      <c r="C8431" s="47" t="s">
        <v>65</v>
      </c>
      <c r="D8431" s="332">
        <v>564.25</v>
      </c>
    </row>
    <row r="8432" spans="1:4">
      <c r="A8432" s="28">
        <v>39877</v>
      </c>
      <c r="B8432" s="26" t="s">
        <v>6541</v>
      </c>
      <c r="C8432" s="28" t="s">
        <v>65</v>
      </c>
      <c r="D8432" s="329">
        <v>782.6</v>
      </c>
    </row>
    <row r="8433" spans="1:4">
      <c r="A8433" s="47">
        <v>39878</v>
      </c>
      <c r="B8433" s="48" t="s">
        <v>6542</v>
      </c>
      <c r="C8433" s="47" t="s">
        <v>65</v>
      </c>
      <c r="D8433" s="332">
        <v>1033.68</v>
      </c>
    </row>
    <row r="8434" spans="1:4">
      <c r="A8434" s="28">
        <v>39872</v>
      </c>
      <c r="B8434" s="26" t="s">
        <v>6543</v>
      </c>
      <c r="C8434" s="28" t="s">
        <v>65</v>
      </c>
      <c r="D8434" s="329">
        <v>309.07</v>
      </c>
    </row>
    <row r="8435" spans="1:4">
      <c r="A8435" s="47">
        <v>39873</v>
      </c>
      <c r="B8435" s="48" t="s">
        <v>6544</v>
      </c>
      <c r="C8435" s="47" t="s">
        <v>65</v>
      </c>
      <c r="D8435" s="332">
        <v>358.5</v>
      </c>
    </row>
    <row r="8436" spans="1:4">
      <c r="A8436" s="28">
        <v>39874</v>
      </c>
      <c r="B8436" s="26" t="s">
        <v>6545</v>
      </c>
      <c r="C8436" s="28" t="s">
        <v>65</v>
      </c>
      <c r="D8436" s="329">
        <v>393.76</v>
      </c>
    </row>
    <row r="8437" spans="1:4">
      <c r="A8437" s="47">
        <v>3674</v>
      </c>
      <c r="B8437" s="48" t="s">
        <v>6558</v>
      </c>
      <c r="C8437" s="47" t="s">
        <v>71</v>
      </c>
      <c r="D8437" s="332">
        <v>75.150000000000006</v>
      </c>
    </row>
    <row r="8438" spans="1:4">
      <c r="A8438" s="28">
        <v>3681</v>
      </c>
      <c r="B8438" s="26" t="s">
        <v>6559</v>
      </c>
      <c r="C8438" s="28" t="s">
        <v>71</v>
      </c>
      <c r="D8438" s="329">
        <v>111.81</v>
      </c>
    </row>
    <row r="8439" spans="1:4">
      <c r="A8439" s="47">
        <v>3676</v>
      </c>
      <c r="B8439" s="48" t="s">
        <v>6560</v>
      </c>
      <c r="C8439" s="47" t="s">
        <v>71</v>
      </c>
      <c r="D8439" s="332">
        <v>420.79</v>
      </c>
    </row>
    <row r="8440" spans="1:4">
      <c r="A8440" s="28">
        <v>3679</v>
      </c>
      <c r="B8440" s="26" t="s">
        <v>6561</v>
      </c>
      <c r="C8440" s="28" t="s">
        <v>71</v>
      </c>
      <c r="D8440" s="329">
        <v>348.13</v>
      </c>
    </row>
    <row r="8441" spans="1:4" ht="30">
      <c r="A8441" s="47">
        <v>3672</v>
      </c>
      <c r="B8441" s="48" t="s">
        <v>6562</v>
      </c>
      <c r="C8441" s="47" t="s">
        <v>71</v>
      </c>
      <c r="D8441" s="332">
        <v>1.18</v>
      </c>
    </row>
    <row r="8442" spans="1:4">
      <c r="A8442" s="28">
        <v>3671</v>
      </c>
      <c r="B8442" s="26" t="s">
        <v>6563</v>
      </c>
      <c r="C8442" s="28" t="s">
        <v>71</v>
      </c>
      <c r="D8442" s="329">
        <v>1.1200000000000001</v>
      </c>
    </row>
    <row r="8443" spans="1:4">
      <c r="A8443" s="47">
        <v>3673</v>
      </c>
      <c r="B8443" s="48" t="s">
        <v>6564</v>
      </c>
      <c r="C8443" s="47" t="s">
        <v>71</v>
      </c>
      <c r="D8443" s="332">
        <v>1.76</v>
      </c>
    </row>
    <row r="8444" spans="1:4" ht="43.5" customHeight="1">
      <c r="A8444" s="28">
        <v>38394</v>
      </c>
      <c r="B8444" s="26" t="s">
        <v>6565</v>
      </c>
      <c r="C8444" s="28" t="s">
        <v>65</v>
      </c>
      <c r="D8444" s="329">
        <v>211.75</v>
      </c>
    </row>
    <row r="8445" spans="1:4">
      <c r="A8445" s="47">
        <v>3729</v>
      </c>
      <c r="B8445" s="48" t="s">
        <v>6566</v>
      </c>
      <c r="C8445" s="47" t="s">
        <v>65</v>
      </c>
      <c r="D8445" s="332">
        <v>53.64</v>
      </c>
    </row>
    <row r="8446" spans="1:4">
      <c r="A8446" s="28">
        <v>63</v>
      </c>
      <c r="B8446" s="26" t="s">
        <v>193</v>
      </c>
      <c r="C8446" s="28" t="s">
        <v>65</v>
      </c>
      <c r="D8446" s="329">
        <v>50.8</v>
      </c>
    </row>
    <row r="8447" spans="1:4">
      <c r="A8447" s="47">
        <v>39398</v>
      </c>
      <c r="B8447" s="48" t="s">
        <v>6568</v>
      </c>
      <c r="C8447" s="47" t="s">
        <v>65</v>
      </c>
      <c r="D8447" s="332">
        <v>44.55</v>
      </c>
    </row>
    <row r="8448" spans="1:4" ht="30">
      <c r="A8448" s="28">
        <v>13343</v>
      </c>
      <c r="B8448" s="26" t="s">
        <v>6569</v>
      </c>
      <c r="C8448" s="28" t="s">
        <v>65</v>
      </c>
      <c r="D8448" s="329">
        <v>19.78</v>
      </c>
    </row>
    <row r="8449" spans="1:4" ht="30">
      <c r="A8449" s="47">
        <v>12118</v>
      </c>
      <c r="B8449" s="48" t="s">
        <v>11394</v>
      </c>
      <c r="C8449" s="47" t="s">
        <v>65</v>
      </c>
      <c r="D8449" s="332">
        <v>18.46</v>
      </c>
    </row>
    <row r="8450" spans="1:4" ht="43.5" customHeight="1">
      <c r="A8450" s="28">
        <v>39482</v>
      </c>
      <c r="B8450" s="26" t="s">
        <v>11395</v>
      </c>
      <c r="C8450" s="28" t="s">
        <v>65</v>
      </c>
      <c r="D8450" s="329">
        <v>288.88</v>
      </c>
    </row>
    <row r="8451" spans="1:4" ht="45">
      <c r="A8451" s="47">
        <v>39486</v>
      </c>
      <c r="B8451" s="48" t="s">
        <v>11396</v>
      </c>
      <c r="C8451" s="47" t="s">
        <v>65</v>
      </c>
      <c r="D8451" s="332">
        <v>254.52</v>
      </c>
    </row>
    <row r="8452" spans="1:4" ht="45">
      <c r="A8452" s="28">
        <v>39483</v>
      </c>
      <c r="B8452" s="26" t="s">
        <v>11397</v>
      </c>
      <c r="C8452" s="28" t="s">
        <v>65</v>
      </c>
      <c r="D8452" s="329">
        <v>275.52999999999997</v>
      </c>
    </row>
    <row r="8453" spans="1:4" ht="45">
      <c r="A8453" s="47">
        <v>39487</v>
      </c>
      <c r="B8453" s="48" t="s">
        <v>11398</v>
      </c>
      <c r="C8453" s="47" t="s">
        <v>65</v>
      </c>
      <c r="D8453" s="332">
        <v>257.14</v>
      </c>
    </row>
    <row r="8454" spans="1:4" ht="45">
      <c r="A8454" s="28">
        <v>39484</v>
      </c>
      <c r="B8454" s="26" t="s">
        <v>11399</v>
      </c>
      <c r="C8454" s="28" t="s">
        <v>65</v>
      </c>
      <c r="D8454" s="329">
        <v>278.14999999999998</v>
      </c>
    </row>
    <row r="8455" spans="1:4" ht="43.5" customHeight="1">
      <c r="A8455" s="47">
        <v>39488</v>
      </c>
      <c r="B8455" s="48" t="s">
        <v>11400</v>
      </c>
      <c r="C8455" s="47" t="s">
        <v>65</v>
      </c>
      <c r="D8455" s="332">
        <v>259.77</v>
      </c>
    </row>
    <row r="8456" spans="1:4" ht="45">
      <c r="A8456" s="28">
        <v>39485</v>
      </c>
      <c r="B8456" s="26" t="s">
        <v>11401</v>
      </c>
      <c r="C8456" s="28" t="s">
        <v>65</v>
      </c>
      <c r="D8456" s="329">
        <v>291.3</v>
      </c>
    </row>
    <row r="8457" spans="1:4" ht="45">
      <c r="A8457" s="47">
        <v>39489</v>
      </c>
      <c r="B8457" s="48" t="s">
        <v>11402</v>
      </c>
      <c r="C8457" s="47" t="s">
        <v>65</v>
      </c>
      <c r="D8457" s="332">
        <v>272.92</v>
      </c>
    </row>
    <row r="8458" spans="1:4" ht="45">
      <c r="A8458" s="28">
        <v>39494</v>
      </c>
      <c r="B8458" s="26" t="s">
        <v>11403</v>
      </c>
      <c r="C8458" s="28" t="s">
        <v>65</v>
      </c>
      <c r="D8458" s="329">
        <v>278.38</v>
      </c>
    </row>
    <row r="8459" spans="1:4" ht="45">
      <c r="A8459" s="47">
        <v>39490</v>
      </c>
      <c r="B8459" s="48" t="s">
        <v>11404</v>
      </c>
      <c r="C8459" s="47" t="s">
        <v>65</v>
      </c>
      <c r="D8459" s="332">
        <v>315.57</v>
      </c>
    </row>
    <row r="8460" spans="1:4" ht="45">
      <c r="A8460" s="28">
        <v>39495</v>
      </c>
      <c r="B8460" s="26" t="s">
        <v>11405</v>
      </c>
      <c r="C8460" s="28" t="s">
        <v>65</v>
      </c>
      <c r="D8460" s="329">
        <v>288.88</v>
      </c>
    </row>
    <row r="8461" spans="1:4" ht="45">
      <c r="A8461" s="47">
        <v>39491</v>
      </c>
      <c r="B8461" s="48" t="s">
        <v>11406</v>
      </c>
      <c r="C8461" s="47" t="s">
        <v>65</v>
      </c>
      <c r="D8461" s="332">
        <v>325.64999999999998</v>
      </c>
    </row>
    <row r="8462" spans="1:4" ht="45">
      <c r="A8462" s="28">
        <v>39496</v>
      </c>
      <c r="B8462" s="26" t="s">
        <v>11407</v>
      </c>
      <c r="C8462" s="28" t="s">
        <v>65</v>
      </c>
      <c r="D8462" s="329">
        <v>299.27999999999997</v>
      </c>
    </row>
    <row r="8463" spans="1:4" ht="45">
      <c r="A8463" s="47">
        <v>39492</v>
      </c>
      <c r="B8463" s="48" t="s">
        <v>11408</v>
      </c>
      <c r="C8463" s="47" t="s">
        <v>65</v>
      </c>
      <c r="D8463" s="332">
        <v>327.64999999999998</v>
      </c>
    </row>
    <row r="8464" spans="1:4" ht="60">
      <c r="A8464" s="28">
        <v>39497</v>
      </c>
      <c r="B8464" s="26" t="s">
        <v>11409</v>
      </c>
      <c r="C8464" s="28" t="s">
        <v>65</v>
      </c>
      <c r="D8464" s="329">
        <v>309.79000000000002</v>
      </c>
    </row>
    <row r="8465" spans="1:4" ht="45">
      <c r="A8465" s="47">
        <v>39493</v>
      </c>
      <c r="B8465" s="48" t="s">
        <v>11410</v>
      </c>
      <c r="C8465" s="47" t="s">
        <v>65</v>
      </c>
      <c r="D8465" s="332">
        <v>346.66</v>
      </c>
    </row>
    <row r="8466" spans="1:4" ht="45">
      <c r="A8466" s="28">
        <v>39500</v>
      </c>
      <c r="B8466" s="26" t="s">
        <v>11411</v>
      </c>
      <c r="C8466" s="28" t="s">
        <v>65</v>
      </c>
      <c r="D8466" s="329">
        <v>347.8</v>
      </c>
    </row>
    <row r="8467" spans="1:4" ht="60">
      <c r="A8467" s="47">
        <v>39498</v>
      </c>
      <c r="B8467" s="48" t="s">
        <v>11412</v>
      </c>
      <c r="C8467" s="47" t="s">
        <v>65</v>
      </c>
      <c r="D8467" s="332">
        <v>386.74</v>
      </c>
    </row>
    <row r="8468" spans="1:4" ht="45">
      <c r="A8468" s="28">
        <v>39501</v>
      </c>
      <c r="B8468" s="26" t="s">
        <v>11413</v>
      </c>
      <c r="C8468" s="28" t="s">
        <v>65</v>
      </c>
      <c r="D8468" s="329">
        <v>356.85</v>
      </c>
    </row>
    <row r="8469" spans="1:4" ht="60">
      <c r="A8469" s="47">
        <v>39499</v>
      </c>
      <c r="B8469" s="48" t="s">
        <v>11414</v>
      </c>
      <c r="C8469" s="47" t="s">
        <v>65</v>
      </c>
      <c r="D8469" s="332">
        <v>419.54</v>
      </c>
    </row>
    <row r="8470" spans="1:4">
      <c r="A8470" s="28">
        <v>3731</v>
      </c>
      <c r="B8470" s="26" t="s">
        <v>6611</v>
      </c>
      <c r="C8470" s="28" t="s">
        <v>256</v>
      </c>
      <c r="D8470" s="329">
        <v>46.6</v>
      </c>
    </row>
    <row r="8471" spans="1:4" ht="30">
      <c r="A8471" s="47">
        <v>3733</v>
      </c>
      <c r="B8471" s="48" t="s">
        <v>6612</v>
      </c>
      <c r="C8471" s="47" t="s">
        <v>256</v>
      </c>
      <c r="D8471" s="332">
        <v>50.2</v>
      </c>
    </row>
    <row r="8472" spans="1:4">
      <c r="A8472" s="28">
        <v>38137</v>
      </c>
      <c r="B8472" s="26" t="s">
        <v>6613</v>
      </c>
      <c r="C8472" s="28" t="s">
        <v>256</v>
      </c>
      <c r="D8472" s="329">
        <v>46.87</v>
      </c>
    </row>
    <row r="8473" spans="1:4">
      <c r="A8473" s="47">
        <v>38135</v>
      </c>
      <c r="B8473" s="48" t="s">
        <v>11415</v>
      </c>
      <c r="C8473" s="47" t="s">
        <v>256</v>
      </c>
      <c r="D8473" s="332">
        <v>59.42</v>
      </c>
    </row>
    <row r="8474" spans="1:4">
      <c r="A8474" s="28">
        <v>38136</v>
      </c>
      <c r="B8474" s="26" t="s">
        <v>6614</v>
      </c>
      <c r="C8474" s="28" t="s">
        <v>256</v>
      </c>
      <c r="D8474" s="329">
        <v>59.42</v>
      </c>
    </row>
    <row r="8475" spans="1:4">
      <c r="A8475" s="47">
        <v>38138</v>
      </c>
      <c r="B8475" s="48" t="s">
        <v>6615</v>
      </c>
      <c r="C8475" s="47" t="s">
        <v>256</v>
      </c>
      <c r="D8475" s="332">
        <v>46.03</v>
      </c>
    </row>
    <row r="8476" spans="1:4" ht="30">
      <c r="A8476" s="28">
        <v>3736</v>
      </c>
      <c r="B8476" s="26" t="s">
        <v>6621</v>
      </c>
      <c r="C8476" s="28" t="s">
        <v>256</v>
      </c>
      <c r="D8476" s="329">
        <v>23.5</v>
      </c>
    </row>
    <row r="8477" spans="1:4" ht="30">
      <c r="A8477" s="47">
        <v>3741</v>
      </c>
      <c r="B8477" s="48" t="s">
        <v>6622</v>
      </c>
      <c r="C8477" s="47" t="s">
        <v>256</v>
      </c>
      <c r="D8477" s="332">
        <v>24.49</v>
      </c>
    </row>
    <row r="8478" spans="1:4" ht="30">
      <c r="A8478" s="28">
        <v>3745</v>
      </c>
      <c r="B8478" s="26" t="s">
        <v>6620</v>
      </c>
      <c r="C8478" s="28" t="s">
        <v>256</v>
      </c>
      <c r="D8478" s="329">
        <v>26.41</v>
      </c>
    </row>
    <row r="8479" spans="1:4" ht="30">
      <c r="A8479" s="47">
        <v>3743</v>
      </c>
      <c r="B8479" s="48" t="s">
        <v>6624</v>
      </c>
      <c r="C8479" s="47" t="s">
        <v>256</v>
      </c>
      <c r="D8479" s="332">
        <v>24.41</v>
      </c>
    </row>
    <row r="8480" spans="1:4" ht="30">
      <c r="A8480" s="28">
        <v>3744</v>
      </c>
      <c r="B8480" s="26" t="s">
        <v>6625</v>
      </c>
      <c r="C8480" s="28" t="s">
        <v>256</v>
      </c>
      <c r="D8480" s="329">
        <v>26.87</v>
      </c>
    </row>
    <row r="8481" spans="1:4" ht="30">
      <c r="A8481" s="47">
        <v>3739</v>
      </c>
      <c r="B8481" s="48" t="s">
        <v>6626</v>
      </c>
      <c r="C8481" s="47" t="s">
        <v>256</v>
      </c>
      <c r="D8481" s="332">
        <v>28.23</v>
      </c>
    </row>
    <row r="8482" spans="1:4" ht="30">
      <c r="A8482" s="28">
        <v>3737</v>
      </c>
      <c r="B8482" s="26" t="s">
        <v>6627</v>
      </c>
      <c r="C8482" s="28" t="s">
        <v>256</v>
      </c>
      <c r="D8482" s="329">
        <v>29.6</v>
      </c>
    </row>
    <row r="8483" spans="1:4" ht="30">
      <c r="A8483" s="47">
        <v>3738</v>
      </c>
      <c r="B8483" s="48" t="s">
        <v>6628</v>
      </c>
      <c r="C8483" s="47" t="s">
        <v>256</v>
      </c>
      <c r="D8483" s="332">
        <v>34.15</v>
      </c>
    </row>
    <row r="8484" spans="1:4" ht="30">
      <c r="A8484" s="28">
        <v>3747</v>
      </c>
      <c r="B8484" s="26" t="s">
        <v>6623</v>
      </c>
      <c r="C8484" s="28" t="s">
        <v>256</v>
      </c>
      <c r="D8484" s="329">
        <v>26.87</v>
      </c>
    </row>
    <row r="8485" spans="1:4" ht="30">
      <c r="A8485" s="47">
        <v>11649</v>
      </c>
      <c r="B8485" s="48" t="s">
        <v>6629</v>
      </c>
      <c r="C8485" s="47" t="s">
        <v>65</v>
      </c>
      <c r="D8485" s="332">
        <v>194.92</v>
      </c>
    </row>
    <row r="8486" spans="1:4" ht="30">
      <c r="A8486" s="28">
        <v>11650</v>
      </c>
      <c r="B8486" s="26" t="s">
        <v>6630</v>
      </c>
      <c r="C8486" s="28" t="s">
        <v>65</v>
      </c>
      <c r="D8486" s="329">
        <v>332.23</v>
      </c>
    </row>
    <row r="8487" spans="1:4" ht="30">
      <c r="A8487" s="47">
        <v>3742</v>
      </c>
      <c r="B8487" s="48" t="s">
        <v>6633</v>
      </c>
      <c r="C8487" s="47" t="s">
        <v>256</v>
      </c>
      <c r="D8487" s="332">
        <v>35.43</v>
      </c>
    </row>
    <row r="8488" spans="1:4" ht="43.5" customHeight="1">
      <c r="A8488" s="28">
        <v>3746</v>
      </c>
      <c r="B8488" s="26" t="s">
        <v>6634</v>
      </c>
      <c r="C8488" s="28" t="s">
        <v>256</v>
      </c>
      <c r="D8488" s="329">
        <v>41.37</v>
      </c>
    </row>
    <row r="8489" spans="1:4">
      <c r="A8489" s="47">
        <v>13250</v>
      </c>
      <c r="B8489" s="48" t="s">
        <v>6635</v>
      </c>
      <c r="C8489" s="47" t="s">
        <v>65</v>
      </c>
      <c r="D8489" s="332">
        <v>0.52</v>
      </c>
    </row>
    <row r="8490" spans="1:4" ht="43.5" customHeight="1">
      <c r="A8490" s="28">
        <v>11641</v>
      </c>
      <c r="B8490" s="26" t="s">
        <v>6636</v>
      </c>
      <c r="C8490" s="28" t="s">
        <v>256</v>
      </c>
      <c r="D8490" s="329">
        <v>8.7100000000000009</v>
      </c>
    </row>
    <row r="8491" spans="1:4">
      <c r="A8491" s="47">
        <v>21106</v>
      </c>
      <c r="B8491" s="48" t="s">
        <v>6637</v>
      </c>
      <c r="C8491" s="47" t="s">
        <v>90</v>
      </c>
      <c r="D8491" s="332">
        <v>24.27</v>
      </c>
    </row>
    <row r="8492" spans="1:4">
      <c r="A8492" s="28">
        <v>3755</v>
      </c>
      <c r="B8492" s="26" t="s">
        <v>6638</v>
      </c>
      <c r="C8492" s="28" t="s">
        <v>65</v>
      </c>
      <c r="D8492" s="329">
        <v>18.29</v>
      </c>
    </row>
    <row r="8493" spans="1:4">
      <c r="A8493" s="47">
        <v>3750</v>
      </c>
      <c r="B8493" s="48" t="s">
        <v>6639</v>
      </c>
      <c r="C8493" s="47" t="s">
        <v>65</v>
      </c>
      <c r="D8493" s="332">
        <v>24.59</v>
      </c>
    </row>
    <row r="8494" spans="1:4">
      <c r="A8494" s="28">
        <v>3756</v>
      </c>
      <c r="B8494" s="26" t="s">
        <v>6640</v>
      </c>
      <c r="C8494" s="28" t="s">
        <v>65</v>
      </c>
      <c r="D8494" s="329">
        <v>45.95</v>
      </c>
    </row>
    <row r="8495" spans="1:4">
      <c r="A8495" s="47">
        <v>39377</v>
      </c>
      <c r="B8495" s="48" t="s">
        <v>6654</v>
      </c>
      <c r="C8495" s="47" t="s">
        <v>65</v>
      </c>
      <c r="D8495" s="332">
        <v>136.12</v>
      </c>
    </row>
    <row r="8496" spans="1:4">
      <c r="A8496" s="28">
        <v>38191</v>
      </c>
      <c r="B8496" s="26" t="s">
        <v>6650</v>
      </c>
      <c r="C8496" s="28" t="s">
        <v>65</v>
      </c>
      <c r="D8496" s="329">
        <v>10.130000000000001</v>
      </c>
    </row>
    <row r="8497" spans="1:4">
      <c r="A8497" s="47">
        <v>39381</v>
      </c>
      <c r="B8497" s="48" t="s">
        <v>6651</v>
      </c>
      <c r="C8497" s="47" t="s">
        <v>65</v>
      </c>
      <c r="D8497" s="332">
        <v>9.4499999999999993</v>
      </c>
    </row>
    <row r="8498" spans="1:4">
      <c r="A8498" s="28">
        <v>38780</v>
      </c>
      <c r="B8498" s="26" t="s">
        <v>6653</v>
      </c>
      <c r="C8498" s="28" t="s">
        <v>65</v>
      </c>
      <c r="D8498" s="329">
        <v>11.56</v>
      </c>
    </row>
    <row r="8499" spans="1:4">
      <c r="A8499" s="47">
        <v>38781</v>
      </c>
      <c r="B8499" s="48" t="s">
        <v>6656</v>
      </c>
      <c r="C8499" s="47" t="s">
        <v>65</v>
      </c>
      <c r="D8499" s="332">
        <v>39.04</v>
      </c>
    </row>
    <row r="8500" spans="1:4">
      <c r="A8500" s="28">
        <v>38192</v>
      </c>
      <c r="B8500" s="26" t="s">
        <v>6658</v>
      </c>
      <c r="C8500" s="28" t="s">
        <v>65</v>
      </c>
      <c r="D8500" s="329">
        <v>70.64</v>
      </c>
    </row>
    <row r="8501" spans="1:4">
      <c r="A8501" s="47">
        <v>3754</v>
      </c>
      <c r="B8501" s="48" t="s">
        <v>6660</v>
      </c>
      <c r="C8501" s="47" t="s">
        <v>65</v>
      </c>
      <c r="D8501" s="332">
        <v>6.18</v>
      </c>
    </row>
    <row r="8502" spans="1:4" ht="43.5" customHeight="1">
      <c r="A8502" s="28">
        <v>3753</v>
      </c>
      <c r="B8502" s="26" t="s">
        <v>11416</v>
      </c>
      <c r="C8502" s="28" t="s">
        <v>65</v>
      </c>
      <c r="D8502" s="329">
        <v>6.18</v>
      </c>
    </row>
    <row r="8503" spans="1:4">
      <c r="A8503" s="47">
        <v>38782</v>
      </c>
      <c r="B8503" s="48" t="s">
        <v>6661</v>
      </c>
      <c r="C8503" s="47" t="s">
        <v>65</v>
      </c>
      <c r="D8503" s="332">
        <v>8.0500000000000007</v>
      </c>
    </row>
    <row r="8504" spans="1:4" ht="43.5" customHeight="1">
      <c r="A8504" s="28">
        <v>38778</v>
      </c>
      <c r="B8504" s="26" t="s">
        <v>6662</v>
      </c>
      <c r="C8504" s="28" t="s">
        <v>65</v>
      </c>
      <c r="D8504" s="329">
        <v>6.04</v>
      </c>
    </row>
    <row r="8505" spans="1:4">
      <c r="A8505" s="47">
        <v>38779</v>
      </c>
      <c r="B8505" s="48" t="s">
        <v>6663</v>
      </c>
      <c r="C8505" s="47" t="s">
        <v>65</v>
      </c>
      <c r="D8505" s="332">
        <v>6.4</v>
      </c>
    </row>
    <row r="8506" spans="1:4">
      <c r="A8506" s="28">
        <v>39388</v>
      </c>
      <c r="B8506" s="26" t="s">
        <v>6668</v>
      </c>
      <c r="C8506" s="28" t="s">
        <v>65</v>
      </c>
      <c r="D8506" s="329">
        <v>31.21</v>
      </c>
    </row>
    <row r="8507" spans="1:4">
      <c r="A8507" s="47">
        <v>39387</v>
      </c>
      <c r="B8507" s="48" t="s">
        <v>6669</v>
      </c>
      <c r="C8507" s="47" t="s">
        <v>65</v>
      </c>
      <c r="D8507" s="332">
        <v>52.64</v>
      </c>
    </row>
    <row r="8508" spans="1:4">
      <c r="A8508" s="28">
        <v>39386</v>
      </c>
      <c r="B8508" s="26" t="s">
        <v>6670</v>
      </c>
      <c r="C8508" s="28" t="s">
        <v>65</v>
      </c>
      <c r="D8508" s="329">
        <v>34.81</v>
      </c>
    </row>
    <row r="8509" spans="1:4">
      <c r="A8509" s="47">
        <v>38194</v>
      </c>
      <c r="B8509" s="48" t="s">
        <v>6664</v>
      </c>
      <c r="C8509" s="47" t="s">
        <v>65</v>
      </c>
      <c r="D8509" s="332">
        <v>29.68</v>
      </c>
    </row>
    <row r="8510" spans="1:4">
      <c r="A8510" s="28">
        <v>38193</v>
      </c>
      <c r="B8510" s="26" t="s">
        <v>6666</v>
      </c>
      <c r="C8510" s="28" t="s">
        <v>65</v>
      </c>
      <c r="D8510" s="329">
        <v>21.95</v>
      </c>
    </row>
    <row r="8511" spans="1:4">
      <c r="A8511" s="47">
        <v>12216</v>
      </c>
      <c r="B8511" s="48" t="s">
        <v>6674</v>
      </c>
      <c r="C8511" s="47" t="s">
        <v>65</v>
      </c>
      <c r="D8511" s="332">
        <v>35.33</v>
      </c>
    </row>
    <row r="8512" spans="1:4">
      <c r="A8512" s="28">
        <v>3757</v>
      </c>
      <c r="B8512" s="26" t="s">
        <v>6675</v>
      </c>
      <c r="C8512" s="28" t="s">
        <v>65</v>
      </c>
      <c r="D8512" s="329">
        <v>40.85</v>
      </c>
    </row>
    <row r="8513" spans="1:4">
      <c r="A8513" s="47">
        <v>3758</v>
      </c>
      <c r="B8513" s="48" t="s">
        <v>6676</v>
      </c>
      <c r="C8513" s="47" t="s">
        <v>65</v>
      </c>
      <c r="D8513" s="332">
        <v>47.63</v>
      </c>
    </row>
    <row r="8514" spans="1:4">
      <c r="A8514" s="28">
        <v>12214</v>
      </c>
      <c r="B8514" s="26" t="s">
        <v>6677</v>
      </c>
      <c r="C8514" s="28" t="s">
        <v>65</v>
      </c>
      <c r="D8514" s="329">
        <v>16.309999999999999</v>
      </c>
    </row>
    <row r="8515" spans="1:4">
      <c r="A8515" s="47">
        <v>3749</v>
      </c>
      <c r="B8515" s="48" t="s">
        <v>6678</v>
      </c>
      <c r="C8515" s="47" t="s">
        <v>65</v>
      </c>
      <c r="D8515" s="332">
        <v>29.07</v>
      </c>
    </row>
    <row r="8516" spans="1:4">
      <c r="A8516" s="28">
        <v>3751</v>
      </c>
      <c r="B8516" s="26" t="s">
        <v>6679</v>
      </c>
      <c r="C8516" s="28" t="s">
        <v>65</v>
      </c>
      <c r="D8516" s="329">
        <v>39.67</v>
      </c>
    </row>
    <row r="8517" spans="1:4">
      <c r="A8517" s="47">
        <v>39376</v>
      </c>
      <c r="B8517" s="48" t="s">
        <v>6681</v>
      </c>
      <c r="C8517" s="47" t="s">
        <v>65</v>
      </c>
      <c r="D8517" s="332">
        <v>33.44</v>
      </c>
    </row>
    <row r="8518" spans="1:4">
      <c r="A8518" s="28">
        <v>3752</v>
      </c>
      <c r="B8518" s="26" t="s">
        <v>6682</v>
      </c>
      <c r="C8518" s="28" t="s">
        <v>65</v>
      </c>
      <c r="D8518" s="329">
        <v>65.44</v>
      </c>
    </row>
    <row r="8519" spans="1:4" ht="30">
      <c r="A8519" s="47">
        <v>746</v>
      </c>
      <c r="B8519" s="48" t="s">
        <v>11417</v>
      </c>
      <c r="C8519" s="47" t="s">
        <v>65</v>
      </c>
      <c r="D8519" s="332">
        <v>1785</v>
      </c>
    </row>
    <row r="8520" spans="1:4">
      <c r="A8520" s="28">
        <v>36521</v>
      </c>
      <c r="B8520" s="26" t="s">
        <v>6704</v>
      </c>
      <c r="C8520" s="28" t="s">
        <v>65</v>
      </c>
      <c r="D8520" s="329">
        <v>101.85</v>
      </c>
    </row>
    <row r="8521" spans="1:4">
      <c r="A8521" s="47">
        <v>36794</v>
      </c>
      <c r="B8521" s="48" t="s">
        <v>6705</v>
      </c>
      <c r="C8521" s="47" t="s">
        <v>65</v>
      </c>
      <c r="D8521" s="332">
        <v>103.82</v>
      </c>
    </row>
    <row r="8522" spans="1:4">
      <c r="A8522" s="28">
        <v>10426</v>
      </c>
      <c r="B8522" s="26" t="s">
        <v>6706</v>
      </c>
      <c r="C8522" s="28" t="s">
        <v>65</v>
      </c>
      <c r="D8522" s="329">
        <v>149.54</v>
      </c>
    </row>
    <row r="8523" spans="1:4">
      <c r="A8523" s="47">
        <v>10425</v>
      </c>
      <c r="B8523" s="48" t="s">
        <v>6712</v>
      </c>
      <c r="C8523" s="47" t="s">
        <v>65</v>
      </c>
      <c r="D8523" s="332">
        <v>65.94</v>
      </c>
    </row>
    <row r="8524" spans="1:4">
      <c r="A8524" s="28">
        <v>10431</v>
      </c>
      <c r="B8524" s="26" t="s">
        <v>6716</v>
      </c>
      <c r="C8524" s="28" t="s">
        <v>65</v>
      </c>
      <c r="D8524" s="329">
        <v>164.05</v>
      </c>
    </row>
    <row r="8525" spans="1:4">
      <c r="A8525" s="47">
        <v>10429</v>
      </c>
      <c r="B8525" s="48" t="s">
        <v>6717</v>
      </c>
      <c r="C8525" s="47" t="s">
        <v>65</v>
      </c>
      <c r="D8525" s="332">
        <v>78.650000000000006</v>
      </c>
    </row>
    <row r="8526" spans="1:4">
      <c r="A8526" s="28">
        <v>20269</v>
      </c>
      <c r="B8526" s="26" t="s">
        <v>6718</v>
      </c>
      <c r="C8526" s="28" t="s">
        <v>65</v>
      </c>
      <c r="D8526" s="329">
        <v>64.819999999999993</v>
      </c>
    </row>
    <row r="8527" spans="1:4">
      <c r="A8527" s="47">
        <v>20270</v>
      </c>
      <c r="B8527" s="48" t="s">
        <v>6719</v>
      </c>
      <c r="C8527" s="47" t="s">
        <v>65</v>
      </c>
      <c r="D8527" s="332">
        <v>70.58</v>
      </c>
    </row>
    <row r="8528" spans="1:4">
      <c r="A8528" s="28">
        <v>11696</v>
      </c>
      <c r="B8528" s="26" t="s">
        <v>6720</v>
      </c>
      <c r="C8528" s="28" t="s">
        <v>65</v>
      </c>
      <c r="D8528" s="329">
        <v>103.12</v>
      </c>
    </row>
    <row r="8529" spans="1:4">
      <c r="A8529" s="47">
        <v>10427</v>
      </c>
      <c r="B8529" s="48" t="s">
        <v>6721</v>
      </c>
      <c r="C8529" s="47" t="s">
        <v>65</v>
      </c>
      <c r="D8529" s="332">
        <v>184.89</v>
      </c>
    </row>
    <row r="8530" spans="1:4">
      <c r="A8530" s="28">
        <v>10428</v>
      </c>
      <c r="B8530" s="26" t="s">
        <v>6722</v>
      </c>
      <c r="C8530" s="28" t="s">
        <v>65</v>
      </c>
      <c r="D8530" s="329">
        <v>187.65</v>
      </c>
    </row>
    <row r="8531" spans="1:4">
      <c r="A8531" s="47">
        <v>40932</v>
      </c>
      <c r="B8531" s="48" t="s">
        <v>6729</v>
      </c>
      <c r="C8531" s="47" t="s">
        <v>1643</v>
      </c>
      <c r="D8531" s="332">
        <v>3856.13</v>
      </c>
    </row>
    <row r="8532" spans="1:4">
      <c r="A8532" s="28">
        <v>10853</v>
      </c>
      <c r="B8532" s="26" t="s">
        <v>6730</v>
      </c>
      <c r="C8532" s="28" t="s">
        <v>65</v>
      </c>
      <c r="D8532" s="329">
        <v>55.65</v>
      </c>
    </row>
    <row r="8533" spans="1:4">
      <c r="A8533" s="47">
        <v>5093</v>
      </c>
      <c r="B8533" s="48" t="s">
        <v>6731</v>
      </c>
      <c r="C8533" s="47" t="s">
        <v>131</v>
      </c>
      <c r="D8533" s="332">
        <v>11.19</v>
      </c>
    </row>
    <row r="8534" spans="1:4" ht="30">
      <c r="A8534" s="28">
        <v>37768</v>
      </c>
      <c r="B8534" s="26" t="s">
        <v>6736</v>
      </c>
      <c r="C8534" s="28" t="s">
        <v>65</v>
      </c>
      <c r="D8534" s="329">
        <v>70000</v>
      </c>
    </row>
    <row r="8535" spans="1:4" ht="30">
      <c r="A8535" s="47">
        <v>37773</v>
      </c>
      <c r="B8535" s="48" t="s">
        <v>6737</v>
      </c>
      <c r="C8535" s="47" t="s">
        <v>65</v>
      </c>
      <c r="D8535" s="332">
        <v>59441.8</v>
      </c>
    </row>
    <row r="8536" spans="1:4" ht="30">
      <c r="A8536" s="28">
        <v>37769</v>
      </c>
      <c r="B8536" s="26" t="s">
        <v>6738</v>
      </c>
      <c r="C8536" s="28" t="s">
        <v>65</v>
      </c>
      <c r="D8536" s="329">
        <v>99513.06</v>
      </c>
    </row>
    <row r="8537" spans="1:4" ht="30">
      <c r="A8537" s="47">
        <v>37770</v>
      </c>
      <c r="B8537" s="48" t="s">
        <v>6739</v>
      </c>
      <c r="C8537" s="47" t="s">
        <v>65</v>
      </c>
      <c r="D8537" s="332">
        <v>168889.54</v>
      </c>
    </row>
    <row r="8538" spans="1:4">
      <c r="A8538" s="28">
        <v>38382</v>
      </c>
      <c r="B8538" s="26" t="s">
        <v>6746</v>
      </c>
      <c r="C8538" s="28" t="s">
        <v>65</v>
      </c>
      <c r="D8538" s="329">
        <v>7.7</v>
      </c>
    </row>
    <row r="8539" spans="1:4">
      <c r="A8539" s="47">
        <v>6091</v>
      </c>
      <c r="B8539" s="48" t="s">
        <v>6747</v>
      </c>
      <c r="C8539" s="47" t="s">
        <v>91</v>
      </c>
      <c r="D8539" s="332">
        <v>14.8</v>
      </c>
    </row>
    <row r="8540" spans="1:4">
      <c r="A8540" s="28">
        <v>38383</v>
      </c>
      <c r="B8540" s="26" t="s">
        <v>6748</v>
      </c>
      <c r="C8540" s="28" t="s">
        <v>65</v>
      </c>
      <c r="D8540" s="329">
        <v>1.44</v>
      </c>
    </row>
    <row r="8541" spans="1:4">
      <c r="A8541" s="47">
        <v>3768</v>
      </c>
      <c r="B8541" s="48" t="s">
        <v>6749</v>
      </c>
      <c r="C8541" s="47" t="s">
        <v>65</v>
      </c>
      <c r="D8541" s="332">
        <v>2.4700000000000002</v>
      </c>
    </row>
    <row r="8542" spans="1:4">
      <c r="A8542" s="28">
        <v>3767</v>
      </c>
      <c r="B8542" s="26" t="s">
        <v>6750</v>
      </c>
      <c r="C8542" s="28" t="s">
        <v>65</v>
      </c>
      <c r="D8542" s="329">
        <v>0.57999999999999996</v>
      </c>
    </row>
    <row r="8543" spans="1:4" ht="30">
      <c r="A8543" s="47">
        <v>13192</v>
      </c>
      <c r="B8543" s="48" t="s">
        <v>6751</v>
      </c>
      <c r="C8543" s="47" t="s">
        <v>65</v>
      </c>
      <c r="D8543" s="332">
        <v>3590.71</v>
      </c>
    </row>
    <row r="8544" spans="1:4" ht="30">
      <c r="A8544" s="28">
        <v>38413</v>
      </c>
      <c r="B8544" s="26" t="s">
        <v>6752</v>
      </c>
      <c r="C8544" s="28" t="s">
        <v>65</v>
      </c>
      <c r="D8544" s="329">
        <v>593.85</v>
      </c>
    </row>
    <row r="8545" spans="1:4">
      <c r="A8545" s="47">
        <v>38371</v>
      </c>
      <c r="B8545" s="48" t="s">
        <v>6753</v>
      </c>
      <c r="C8545" s="47" t="s">
        <v>65</v>
      </c>
      <c r="D8545" s="332">
        <v>17.41</v>
      </c>
    </row>
    <row r="8546" spans="1:4">
      <c r="A8546" s="28">
        <v>38373</v>
      </c>
      <c r="B8546" s="26" t="s">
        <v>6754</v>
      </c>
      <c r="C8546" s="28" t="s">
        <v>65</v>
      </c>
      <c r="D8546" s="329">
        <v>13.09</v>
      </c>
    </row>
    <row r="8547" spans="1:4" ht="30">
      <c r="A8547" s="47">
        <v>40287</v>
      </c>
      <c r="B8547" s="48" t="s">
        <v>11418</v>
      </c>
      <c r="C8547" s="47" t="s">
        <v>1643</v>
      </c>
      <c r="D8547" s="332">
        <v>2.5</v>
      </c>
    </row>
    <row r="8548" spans="1:4">
      <c r="A8548" s="28">
        <v>3777</v>
      </c>
      <c r="B8548" s="26" t="s">
        <v>6764</v>
      </c>
      <c r="C8548" s="28" t="s">
        <v>256</v>
      </c>
      <c r="D8548" s="329">
        <v>0.88</v>
      </c>
    </row>
    <row r="8549" spans="1:4">
      <c r="A8549" s="47">
        <v>3779</v>
      </c>
      <c r="B8549" s="48" t="s">
        <v>6765</v>
      </c>
      <c r="C8549" s="47" t="s">
        <v>71</v>
      </c>
      <c r="D8549" s="332">
        <v>7.33</v>
      </c>
    </row>
    <row r="8550" spans="1:4">
      <c r="A8550" s="28">
        <v>3798</v>
      </c>
      <c r="B8550" s="26" t="s">
        <v>6766</v>
      </c>
      <c r="C8550" s="28" t="s">
        <v>65</v>
      </c>
      <c r="D8550" s="329">
        <v>33.11</v>
      </c>
    </row>
    <row r="8551" spans="1:4" ht="30">
      <c r="A8551" s="47">
        <v>3788</v>
      </c>
      <c r="B8551" s="48" t="s">
        <v>6768</v>
      </c>
      <c r="C8551" s="47" t="s">
        <v>65</v>
      </c>
      <c r="D8551" s="332">
        <v>35.65</v>
      </c>
    </row>
    <row r="8552" spans="1:4" ht="30">
      <c r="A8552" s="28">
        <v>3811</v>
      </c>
      <c r="B8552" s="26" t="s">
        <v>6769</v>
      </c>
      <c r="C8552" s="28" t="s">
        <v>65</v>
      </c>
      <c r="D8552" s="329">
        <v>57.48</v>
      </c>
    </row>
    <row r="8553" spans="1:4" ht="30">
      <c r="A8553" s="47">
        <v>3799</v>
      </c>
      <c r="B8553" s="48" t="s">
        <v>6770</v>
      </c>
      <c r="C8553" s="47" t="s">
        <v>65</v>
      </c>
      <c r="D8553" s="332">
        <v>60.47</v>
      </c>
    </row>
    <row r="8554" spans="1:4" ht="30">
      <c r="A8554" s="28">
        <v>12230</v>
      </c>
      <c r="B8554" s="26" t="s">
        <v>6771</v>
      </c>
      <c r="C8554" s="28" t="s">
        <v>65</v>
      </c>
      <c r="D8554" s="329">
        <v>7.6</v>
      </c>
    </row>
    <row r="8555" spans="1:4" ht="30">
      <c r="A8555" s="47">
        <v>12231</v>
      </c>
      <c r="B8555" s="48" t="s">
        <v>6772</v>
      </c>
      <c r="C8555" s="47" t="s">
        <v>65</v>
      </c>
      <c r="D8555" s="332">
        <v>10.86</v>
      </c>
    </row>
    <row r="8556" spans="1:4" ht="30">
      <c r="A8556" s="28">
        <v>12232</v>
      </c>
      <c r="B8556" s="26" t="s">
        <v>6773</v>
      </c>
      <c r="C8556" s="28" t="s">
        <v>65</v>
      </c>
      <c r="D8556" s="329">
        <v>7.13</v>
      </c>
    </row>
    <row r="8557" spans="1:4" ht="30">
      <c r="A8557" s="47">
        <v>12239</v>
      </c>
      <c r="B8557" s="48" t="s">
        <v>6774</v>
      </c>
      <c r="C8557" s="47" t="s">
        <v>65</v>
      </c>
      <c r="D8557" s="332">
        <v>13.85</v>
      </c>
    </row>
    <row r="8558" spans="1:4">
      <c r="A8558" s="28">
        <v>12271</v>
      </c>
      <c r="B8558" s="26" t="s">
        <v>6775</v>
      </c>
      <c r="C8558" s="28" t="s">
        <v>65</v>
      </c>
      <c r="D8558" s="329">
        <v>145.01</v>
      </c>
    </row>
    <row r="8559" spans="1:4">
      <c r="A8559" s="47">
        <v>12245</v>
      </c>
      <c r="B8559" s="48" t="s">
        <v>6776</v>
      </c>
      <c r="C8559" s="47" t="s">
        <v>65</v>
      </c>
      <c r="D8559" s="332">
        <v>62.9</v>
      </c>
    </row>
    <row r="8560" spans="1:4" ht="30">
      <c r="A8560" s="28">
        <v>3780</v>
      </c>
      <c r="B8560" s="26" t="s">
        <v>6782</v>
      </c>
      <c r="C8560" s="28" t="s">
        <v>65</v>
      </c>
      <c r="D8560" s="329">
        <v>40.770000000000003</v>
      </c>
    </row>
    <row r="8561" spans="1:4">
      <c r="A8561" s="47">
        <v>12266</v>
      </c>
      <c r="B8561" s="48" t="s">
        <v>6783</v>
      </c>
      <c r="C8561" s="47" t="s">
        <v>65</v>
      </c>
      <c r="D8561" s="332">
        <v>10.38</v>
      </c>
    </row>
    <row r="8562" spans="1:4" ht="30">
      <c r="A8562" s="28">
        <v>3803</v>
      </c>
      <c r="B8562" s="26" t="s">
        <v>6784</v>
      </c>
      <c r="C8562" s="28" t="s">
        <v>65</v>
      </c>
      <c r="D8562" s="329">
        <v>21.39</v>
      </c>
    </row>
    <row r="8563" spans="1:4">
      <c r="A8563" s="47">
        <v>12267</v>
      </c>
      <c r="B8563" s="48" t="s">
        <v>6785</v>
      </c>
      <c r="C8563" s="47" t="s">
        <v>65</v>
      </c>
      <c r="D8563" s="332">
        <v>83.2</v>
      </c>
    </row>
    <row r="8564" spans="1:4">
      <c r="A8564" s="28">
        <v>21119</v>
      </c>
      <c r="B8564" s="26" t="s">
        <v>6803</v>
      </c>
      <c r="C8564" s="28" t="s">
        <v>65</v>
      </c>
      <c r="D8564" s="329">
        <v>1.4</v>
      </c>
    </row>
    <row r="8565" spans="1:4">
      <c r="A8565" s="47">
        <v>37974</v>
      </c>
      <c r="B8565" s="48" t="s">
        <v>6804</v>
      </c>
      <c r="C8565" s="47" t="s">
        <v>65</v>
      </c>
      <c r="D8565" s="332">
        <v>2.09</v>
      </c>
    </row>
    <row r="8566" spans="1:4">
      <c r="A8566" s="28">
        <v>37975</v>
      </c>
      <c r="B8566" s="26" t="s">
        <v>6805</v>
      </c>
      <c r="C8566" s="28" t="s">
        <v>65</v>
      </c>
      <c r="D8566" s="329">
        <v>4.24</v>
      </c>
    </row>
    <row r="8567" spans="1:4">
      <c r="A8567" s="47">
        <v>37976</v>
      </c>
      <c r="B8567" s="48" t="s">
        <v>6806</v>
      </c>
      <c r="C8567" s="47" t="s">
        <v>65</v>
      </c>
      <c r="D8567" s="332">
        <v>8.7100000000000009</v>
      </c>
    </row>
    <row r="8568" spans="1:4">
      <c r="A8568" s="28">
        <v>37977</v>
      </c>
      <c r="B8568" s="26" t="s">
        <v>6807</v>
      </c>
      <c r="C8568" s="28" t="s">
        <v>65</v>
      </c>
      <c r="D8568" s="329">
        <v>11.97</v>
      </c>
    </row>
    <row r="8569" spans="1:4">
      <c r="A8569" s="47">
        <v>37978</v>
      </c>
      <c r="B8569" s="48" t="s">
        <v>6808</v>
      </c>
      <c r="C8569" s="47" t="s">
        <v>65</v>
      </c>
      <c r="D8569" s="332">
        <v>24.27</v>
      </c>
    </row>
    <row r="8570" spans="1:4">
      <c r="A8570" s="28">
        <v>37979</v>
      </c>
      <c r="B8570" s="26" t="s">
        <v>6809</v>
      </c>
      <c r="C8570" s="28" t="s">
        <v>65</v>
      </c>
      <c r="D8570" s="329">
        <v>104.28</v>
      </c>
    </row>
    <row r="8571" spans="1:4">
      <c r="A8571" s="47">
        <v>37980</v>
      </c>
      <c r="B8571" s="48" t="s">
        <v>6810</v>
      </c>
      <c r="C8571" s="47" t="s">
        <v>65</v>
      </c>
      <c r="D8571" s="332">
        <v>117.19</v>
      </c>
    </row>
    <row r="8572" spans="1:4" ht="30">
      <c r="A8572" s="28">
        <v>36147</v>
      </c>
      <c r="B8572" s="26" t="s">
        <v>6814</v>
      </c>
      <c r="C8572" s="28" t="s">
        <v>131</v>
      </c>
      <c r="D8572" s="329">
        <v>255.65</v>
      </c>
    </row>
    <row r="8573" spans="1:4">
      <c r="A8573" s="47">
        <v>12731</v>
      </c>
      <c r="B8573" s="48" t="s">
        <v>6815</v>
      </c>
      <c r="C8573" s="47" t="s">
        <v>65</v>
      </c>
      <c r="D8573" s="332">
        <v>257.2</v>
      </c>
    </row>
    <row r="8574" spans="1:4">
      <c r="A8574" s="28">
        <v>12723</v>
      </c>
      <c r="B8574" s="26" t="s">
        <v>6816</v>
      </c>
      <c r="C8574" s="28" t="s">
        <v>65</v>
      </c>
      <c r="D8574" s="329">
        <v>1.99</v>
      </c>
    </row>
    <row r="8575" spans="1:4">
      <c r="A8575" s="47">
        <v>12724</v>
      </c>
      <c r="B8575" s="48" t="s">
        <v>6817</v>
      </c>
      <c r="C8575" s="47" t="s">
        <v>65</v>
      </c>
      <c r="D8575" s="332">
        <v>3.83</v>
      </c>
    </row>
    <row r="8576" spans="1:4">
      <c r="A8576" s="28">
        <v>12725</v>
      </c>
      <c r="B8576" s="26" t="s">
        <v>6818</v>
      </c>
      <c r="C8576" s="28" t="s">
        <v>65</v>
      </c>
      <c r="D8576" s="329">
        <v>7.68</v>
      </c>
    </row>
    <row r="8577" spans="1:4">
      <c r="A8577" s="47">
        <v>12726</v>
      </c>
      <c r="B8577" s="48" t="s">
        <v>6819</v>
      </c>
      <c r="C8577" s="47" t="s">
        <v>65</v>
      </c>
      <c r="D8577" s="332">
        <v>16.97</v>
      </c>
    </row>
    <row r="8578" spans="1:4">
      <c r="A8578" s="28">
        <v>12727</v>
      </c>
      <c r="B8578" s="26" t="s">
        <v>6820</v>
      </c>
      <c r="C8578" s="28" t="s">
        <v>65</v>
      </c>
      <c r="D8578" s="329">
        <v>21.52</v>
      </c>
    </row>
    <row r="8579" spans="1:4">
      <c r="A8579" s="47">
        <v>12728</v>
      </c>
      <c r="B8579" s="48" t="s">
        <v>6821</v>
      </c>
      <c r="C8579" s="47" t="s">
        <v>65</v>
      </c>
      <c r="D8579" s="332">
        <v>35.15</v>
      </c>
    </row>
    <row r="8580" spans="1:4">
      <c r="A8580" s="28">
        <v>12729</v>
      </c>
      <c r="B8580" s="26" t="s">
        <v>6822</v>
      </c>
      <c r="C8580" s="28" t="s">
        <v>65</v>
      </c>
      <c r="D8580" s="329">
        <v>115.2</v>
      </c>
    </row>
    <row r="8581" spans="1:4">
      <c r="A8581" s="47">
        <v>12730</v>
      </c>
      <c r="B8581" s="48" t="s">
        <v>6823</v>
      </c>
      <c r="C8581" s="47" t="s">
        <v>65</v>
      </c>
      <c r="D8581" s="332">
        <v>176.38</v>
      </c>
    </row>
    <row r="8582" spans="1:4">
      <c r="A8582" s="28">
        <v>3840</v>
      </c>
      <c r="B8582" s="26" t="s">
        <v>6840</v>
      </c>
      <c r="C8582" s="28" t="s">
        <v>65</v>
      </c>
      <c r="D8582" s="329">
        <v>19.760000000000002</v>
      </c>
    </row>
    <row r="8583" spans="1:4">
      <c r="A8583" s="47">
        <v>3838</v>
      </c>
      <c r="B8583" s="48" t="s">
        <v>6841</v>
      </c>
      <c r="C8583" s="47" t="s">
        <v>65</v>
      </c>
      <c r="D8583" s="332">
        <v>47.11</v>
      </c>
    </row>
    <row r="8584" spans="1:4">
      <c r="A8584" s="28">
        <v>3844</v>
      </c>
      <c r="B8584" s="26" t="s">
        <v>6842</v>
      </c>
      <c r="C8584" s="28" t="s">
        <v>65</v>
      </c>
      <c r="D8584" s="329">
        <v>133.22</v>
      </c>
    </row>
    <row r="8585" spans="1:4">
      <c r="A8585" s="47">
        <v>3839</v>
      </c>
      <c r="B8585" s="48" t="s">
        <v>6843</v>
      </c>
      <c r="C8585" s="47" t="s">
        <v>65</v>
      </c>
      <c r="D8585" s="332">
        <v>163.57</v>
      </c>
    </row>
    <row r="8586" spans="1:4">
      <c r="A8586" s="28">
        <v>3843</v>
      </c>
      <c r="B8586" s="26" t="s">
        <v>6844</v>
      </c>
      <c r="C8586" s="28" t="s">
        <v>65</v>
      </c>
      <c r="D8586" s="329">
        <v>278.95999999999998</v>
      </c>
    </row>
    <row r="8587" spans="1:4">
      <c r="A8587" s="47">
        <v>3900</v>
      </c>
      <c r="B8587" s="48" t="s">
        <v>6845</v>
      </c>
      <c r="C8587" s="47" t="s">
        <v>65</v>
      </c>
      <c r="D8587" s="332">
        <v>30.95</v>
      </c>
    </row>
    <row r="8588" spans="1:4">
      <c r="A8588" s="28">
        <v>3846</v>
      </c>
      <c r="B8588" s="26" t="s">
        <v>6846</v>
      </c>
      <c r="C8588" s="28" t="s">
        <v>65</v>
      </c>
      <c r="D8588" s="329">
        <v>9.64</v>
      </c>
    </row>
    <row r="8589" spans="1:4">
      <c r="A8589" s="47">
        <v>3886</v>
      </c>
      <c r="B8589" s="48" t="s">
        <v>6847</v>
      </c>
      <c r="C8589" s="47" t="s">
        <v>65</v>
      </c>
      <c r="D8589" s="332">
        <v>13.56</v>
      </c>
    </row>
    <row r="8590" spans="1:4">
      <c r="A8590" s="28">
        <v>3854</v>
      </c>
      <c r="B8590" s="26" t="s">
        <v>6848</v>
      </c>
      <c r="C8590" s="28" t="s">
        <v>65</v>
      </c>
      <c r="D8590" s="329">
        <v>8.2799999999999994</v>
      </c>
    </row>
    <row r="8591" spans="1:4">
      <c r="A8591" s="47">
        <v>3873</v>
      </c>
      <c r="B8591" s="48" t="s">
        <v>6849</v>
      </c>
      <c r="C8591" s="47" t="s">
        <v>65</v>
      </c>
      <c r="D8591" s="332">
        <v>11.67</v>
      </c>
    </row>
    <row r="8592" spans="1:4">
      <c r="A8592" s="28">
        <v>38021</v>
      </c>
      <c r="B8592" s="26" t="s">
        <v>6850</v>
      </c>
      <c r="C8592" s="28" t="s">
        <v>65</v>
      </c>
      <c r="D8592" s="329">
        <v>19.809999999999999</v>
      </c>
    </row>
    <row r="8593" spans="1:4">
      <c r="A8593" s="47">
        <v>3847</v>
      </c>
      <c r="B8593" s="48" t="s">
        <v>6851</v>
      </c>
      <c r="C8593" s="47" t="s">
        <v>65</v>
      </c>
      <c r="D8593" s="332">
        <v>26.62</v>
      </c>
    </row>
    <row r="8594" spans="1:4">
      <c r="A8594" s="28">
        <v>38022</v>
      </c>
      <c r="B8594" s="26" t="s">
        <v>6852</v>
      </c>
      <c r="C8594" s="28" t="s">
        <v>65</v>
      </c>
      <c r="D8594" s="329">
        <v>35.479999999999997</v>
      </c>
    </row>
    <row r="8595" spans="1:4">
      <c r="A8595" s="47">
        <v>3833</v>
      </c>
      <c r="B8595" s="48" t="s">
        <v>6853</v>
      </c>
      <c r="C8595" s="47" t="s">
        <v>65</v>
      </c>
      <c r="D8595" s="332">
        <v>8.93</v>
      </c>
    </row>
    <row r="8596" spans="1:4">
      <c r="A8596" s="28">
        <v>3834</v>
      </c>
      <c r="B8596" s="26" t="s">
        <v>6854</v>
      </c>
      <c r="C8596" s="28" t="s">
        <v>65</v>
      </c>
      <c r="D8596" s="329">
        <v>14.44</v>
      </c>
    </row>
    <row r="8597" spans="1:4">
      <c r="A8597" s="47">
        <v>3835</v>
      </c>
      <c r="B8597" s="48" t="s">
        <v>6855</v>
      </c>
      <c r="C8597" s="47" t="s">
        <v>65</v>
      </c>
      <c r="D8597" s="332">
        <v>20.059999999999999</v>
      </c>
    </row>
    <row r="8598" spans="1:4">
      <c r="A8598" s="28">
        <v>3836</v>
      </c>
      <c r="B8598" s="26" t="s">
        <v>6856</v>
      </c>
      <c r="C8598" s="28" t="s">
        <v>65</v>
      </c>
      <c r="D8598" s="329">
        <v>51.86</v>
      </c>
    </row>
    <row r="8599" spans="1:4">
      <c r="A8599" s="47">
        <v>3830</v>
      </c>
      <c r="B8599" s="48" t="s">
        <v>6857</v>
      </c>
      <c r="C8599" s="47" t="s">
        <v>65</v>
      </c>
      <c r="D8599" s="332">
        <v>85.38</v>
      </c>
    </row>
    <row r="8600" spans="1:4">
      <c r="A8600" s="28">
        <v>3831</v>
      </c>
      <c r="B8600" s="26" t="s">
        <v>6858</v>
      </c>
      <c r="C8600" s="28" t="s">
        <v>65</v>
      </c>
      <c r="D8600" s="329">
        <v>132.27000000000001</v>
      </c>
    </row>
    <row r="8601" spans="1:4">
      <c r="A8601" s="47">
        <v>3841</v>
      </c>
      <c r="B8601" s="48" t="s">
        <v>6859</v>
      </c>
      <c r="C8601" s="47" t="s">
        <v>65</v>
      </c>
      <c r="D8601" s="332">
        <v>258.45</v>
      </c>
    </row>
    <row r="8602" spans="1:4">
      <c r="A8602" s="28">
        <v>3842</v>
      </c>
      <c r="B8602" s="26" t="s">
        <v>6860</v>
      </c>
      <c r="C8602" s="28" t="s">
        <v>65</v>
      </c>
      <c r="D8602" s="329">
        <v>349.51</v>
      </c>
    </row>
    <row r="8603" spans="1:4">
      <c r="A8603" s="47">
        <v>37981</v>
      </c>
      <c r="B8603" s="48" t="s">
        <v>6861</v>
      </c>
      <c r="C8603" s="47" t="s">
        <v>65</v>
      </c>
      <c r="D8603" s="332">
        <v>4.78</v>
      </c>
    </row>
    <row r="8604" spans="1:4">
      <c r="A8604" s="28">
        <v>37982</v>
      </c>
      <c r="B8604" s="26" t="s">
        <v>6862</v>
      </c>
      <c r="C8604" s="28" t="s">
        <v>65</v>
      </c>
      <c r="D8604" s="329">
        <v>7.25</v>
      </c>
    </row>
    <row r="8605" spans="1:4">
      <c r="A8605" s="47">
        <v>37983</v>
      </c>
      <c r="B8605" s="48" t="s">
        <v>6863</v>
      </c>
      <c r="C8605" s="47" t="s">
        <v>65</v>
      </c>
      <c r="D8605" s="332">
        <v>10.16</v>
      </c>
    </row>
    <row r="8606" spans="1:4">
      <c r="A8606" s="28">
        <v>37984</v>
      </c>
      <c r="B8606" s="26" t="s">
        <v>6864</v>
      </c>
      <c r="C8606" s="28" t="s">
        <v>65</v>
      </c>
      <c r="D8606" s="329">
        <v>17.55</v>
      </c>
    </row>
    <row r="8607" spans="1:4">
      <c r="A8607" s="47">
        <v>37985</v>
      </c>
      <c r="B8607" s="48" t="s">
        <v>6865</v>
      </c>
      <c r="C8607" s="47" t="s">
        <v>65</v>
      </c>
      <c r="D8607" s="332">
        <v>24.57</v>
      </c>
    </row>
    <row r="8608" spans="1:4">
      <c r="A8608" s="28">
        <v>3826</v>
      </c>
      <c r="B8608" s="26" t="s">
        <v>6875</v>
      </c>
      <c r="C8608" s="28" t="s">
        <v>65</v>
      </c>
      <c r="D8608" s="329">
        <v>29.56</v>
      </c>
    </row>
    <row r="8609" spans="1:4">
      <c r="A8609" s="47">
        <v>3825</v>
      </c>
      <c r="B8609" s="48" t="s">
        <v>6876</v>
      </c>
      <c r="C8609" s="47" t="s">
        <v>65</v>
      </c>
      <c r="D8609" s="332">
        <v>7.7</v>
      </c>
    </row>
    <row r="8610" spans="1:4">
      <c r="A8610" s="28">
        <v>3827</v>
      </c>
      <c r="B8610" s="26" t="s">
        <v>6877</v>
      </c>
      <c r="C8610" s="28" t="s">
        <v>65</v>
      </c>
      <c r="D8610" s="329">
        <v>16.3</v>
      </c>
    </row>
    <row r="8611" spans="1:4">
      <c r="A8611" s="47">
        <v>20165</v>
      </c>
      <c r="B8611" s="48" t="s">
        <v>6878</v>
      </c>
      <c r="C8611" s="47" t="s">
        <v>65</v>
      </c>
      <c r="D8611" s="332">
        <v>19.91</v>
      </c>
    </row>
    <row r="8612" spans="1:4">
      <c r="A8612" s="28">
        <v>20166</v>
      </c>
      <c r="B8612" s="26" t="s">
        <v>6879</v>
      </c>
      <c r="C8612" s="28" t="s">
        <v>65</v>
      </c>
      <c r="D8612" s="329">
        <v>69.45</v>
      </c>
    </row>
    <row r="8613" spans="1:4">
      <c r="A8613" s="47">
        <v>20164</v>
      </c>
      <c r="B8613" s="48" t="s">
        <v>6880</v>
      </c>
      <c r="C8613" s="47" t="s">
        <v>65</v>
      </c>
      <c r="D8613" s="332">
        <v>11.24</v>
      </c>
    </row>
    <row r="8614" spans="1:4">
      <c r="A8614" s="28">
        <v>3893</v>
      </c>
      <c r="B8614" s="26" t="s">
        <v>6881</v>
      </c>
      <c r="C8614" s="28" t="s">
        <v>65</v>
      </c>
      <c r="D8614" s="329">
        <v>14.88</v>
      </c>
    </row>
    <row r="8615" spans="1:4">
      <c r="A8615" s="47">
        <v>3848</v>
      </c>
      <c r="B8615" s="48" t="s">
        <v>6882</v>
      </c>
      <c r="C8615" s="47" t="s">
        <v>65</v>
      </c>
      <c r="D8615" s="332">
        <v>9.0399999999999991</v>
      </c>
    </row>
    <row r="8616" spans="1:4">
      <c r="A8616" s="28">
        <v>3895</v>
      </c>
      <c r="B8616" s="26" t="s">
        <v>6883</v>
      </c>
      <c r="C8616" s="28" t="s">
        <v>65</v>
      </c>
      <c r="D8616" s="329">
        <v>9.68</v>
      </c>
    </row>
    <row r="8617" spans="1:4">
      <c r="A8617" s="47">
        <v>12404</v>
      </c>
      <c r="B8617" s="48" t="s">
        <v>6907</v>
      </c>
      <c r="C8617" s="47" t="s">
        <v>65</v>
      </c>
      <c r="D8617" s="332">
        <v>6.39</v>
      </c>
    </row>
    <row r="8618" spans="1:4">
      <c r="A8618" s="28">
        <v>3939</v>
      </c>
      <c r="B8618" s="26" t="s">
        <v>6908</v>
      </c>
      <c r="C8618" s="28" t="s">
        <v>65</v>
      </c>
      <c r="D8618" s="329">
        <v>13.18</v>
      </c>
    </row>
    <row r="8619" spans="1:4">
      <c r="A8619" s="47">
        <v>3911</v>
      </c>
      <c r="B8619" s="48" t="s">
        <v>6909</v>
      </c>
      <c r="C8619" s="47" t="s">
        <v>65</v>
      </c>
      <c r="D8619" s="332">
        <v>10.76</v>
      </c>
    </row>
    <row r="8620" spans="1:4">
      <c r="A8620" s="28">
        <v>3908</v>
      </c>
      <c r="B8620" s="26" t="s">
        <v>6911</v>
      </c>
      <c r="C8620" s="28" t="s">
        <v>65</v>
      </c>
      <c r="D8620" s="329">
        <v>3.48</v>
      </c>
    </row>
    <row r="8621" spans="1:4">
      <c r="A8621" s="47">
        <v>3910</v>
      </c>
      <c r="B8621" s="48" t="s">
        <v>6910</v>
      </c>
      <c r="C8621" s="47" t="s">
        <v>65</v>
      </c>
      <c r="D8621" s="332">
        <v>7.7</v>
      </c>
    </row>
    <row r="8622" spans="1:4">
      <c r="A8622" s="28">
        <v>3913</v>
      </c>
      <c r="B8622" s="26" t="s">
        <v>6912</v>
      </c>
      <c r="C8622" s="28" t="s">
        <v>65</v>
      </c>
      <c r="D8622" s="329">
        <v>36.82</v>
      </c>
    </row>
    <row r="8623" spans="1:4">
      <c r="A8623" s="47">
        <v>3912</v>
      </c>
      <c r="B8623" s="48" t="s">
        <v>6913</v>
      </c>
      <c r="C8623" s="47" t="s">
        <v>65</v>
      </c>
      <c r="D8623" s="332">
        <v>20.18</v>
      </c>
    </row>
    <row r="8624" spans="1:4">
      <c r="A8624" s="28">
        <v>3909</v>
      </c>
      <c r="B8624" s="26" t="s">
        <v>6915</v>
      </c>
      <c r="C8624" s="28" t="s">
        <v>65</v>
      </c>
      <c r="D8624" s="329">
        <v>4.7300000000000004</v>
      </c>
    </row>
    <row r="8625" spans="1:4">
      <c r="A8625" s="47">
        <v>3914</v>
      </c>
      <c r="B8625" s="48" t="s">
        <v>6914</v>
      </c>
      <c r="C8625" s="47" t="s">
        <v>65</v>
      </c>
      <c r="D8625" s="332">
        <v>55.55</v>
      </c>
    </row>
    <row r="8626" spans="1:4">
      <c r="A8626" s="28">
        <v>3915</v>
      </c>
      <c r="B8626" s="26" t="s">
        <v>6916</v>
      </c>
      <c r="C8626" s="28" t="s">
        <v>65</v>
      </c>
      <c r="D8626" s="329">
        <v>87.6</v>
      </c>
    </row>
    <row r="8627" spans="1:4">
      <c r="A8627" s="47">
        <v>3916</v>
      </c>
      <c r="B8627" s="48" t="s">
        <v>6917</v>
      </c>
      <c r="C8627" s="47" t="s">
        <v>65</v>
      </c>
      <c r="D8627" s="332">
        <v>159.59</v>
      </c>
    </row>
    <row r="8628" spans="1:4">
      <c r="A8628" s="28">
        <v>3917</v>
      </c>
      <c r="B8628" s="26" t="s">
        <v>6918</v>
      </c>
      <c r="C8628" s="28" t="s">
        <v>65</v>
      </c>
      <c r="D8628" s="329">
        <v>263.22000000000003</v>
      </c>
    </row>
    <row r="8629" spans="1:4">
      <c r="A8629" s="47">
        <v>1904</v>
      </c>
      <c r="B8629" s="48" t="s">
        <v>6919</v>
      </c>
      <c r="C8629" s="47" t="s">
        <v>65</v>
      </c>
      <c r="D8629" s="332">
        <v>0.34</v>
      </c>
    </row>
    <row r="8630" spans="1:4">
      <c r="A8630" s="28">
        <v>1899</v>
      </c>
      <c r="B8630" s="26" t="s">
        <v>6920</v>
      </c>
      <c r="C8630" s="28" t="s">
        <v>65</v>
      </c>
      <c r="D8630" s="329">
        <v>0.39</v>
      </c>
    </row>
    <row r="8631" spans="1:4">
      <c r="A8631" s="47">
        <v>1900</v>
      </c>
      <c r="B8631" s="48" t="s">
        <v>6921</v>
      </c>
      <c r="C8631" s="47" t="s">
        <v>65</v>
      </c>
      <c r="D8631" s="332">
        <v>0.63</v>
      </c>
    </row>
    <row r="8632" spans="1:4">
      <c r="A8632" s="28">
        <v>12407</v>
      </c>
      <c r="B8632" s="26" t="s">
        <v>6922</v>
      </c>
      <c r="C8632" s="28" t="s">
        <v>65</v>
      </c>
      <c r="D8632" s="329">
        <v>19.920000000000002</v>
      </c>
    </row>
    <row r="8633" spans="1:4">
      <c r="A8633" s="47">
        <v>12408</v>
      </c>
      <c r="B8633" s="48" t="s">
        <v>6923</v>
      </c>
      <c r="C8633" s="47" t="s">
        <v>65</v>
      </c>
      <c r="D8633" s="332">
        <v>11.24</v>
      </c>
    </row>
    <row r="8634" spans="1:4">
      <c r="A8634" s="28">
        <v>12409</v>
      </c>
      <c r="B8634" s="26" t="s">
        <v>11419</v>
      </c>
      <c r="C8634" s="28" t="s">
        <v>65</v>
      </c>
      <c r="D8634" s="329">
        <v>11.24</v>
      </c>
    </row>
    <row r="8635" spans="1:4" ht="30">
      <c r="A8635" s="47">
        <v>12410</v>
      </c>
      <c r="B8635" s="48" t="s">
        <v>6924</v>
      </c>
      <c r="C8635" s="47" t="s">
        <v>65</v>
      </c>
      <c r="D8635" s="332">
        <v>7.75</v>
      </c>
    </row>
    <row r="8636" spans="1:4">
      <c r="A8636" s="28">
        <v>3936</v>
      </c>
      <c r="B8636" s="26" t="s">
        <v>6925</v>
      </c>
      <c r="C8636" s="28" t="s">
        <v>65</v>
      </c>
      <c r="D8636" s="329">
        <v>14</v>
      </c>
    </row>
    <row r="8637" spans="1:4">
      <c r="A8637" s="47">
        <v>3922</v>
      </c>
      <c r="B8637" s="48" t="s">
        <v>6927</v>
      </c>
      <c r="C8637" s="47" t="s">
        <v>65</v>
      </c>
      <c r="D8637" s="332">
        <v>12.88</v>
      </c>
    </row>
    <row r="8638" spans="1:4">
      <c r="A8638" s="28">
        <v>3924</v>
      </c>
      <c r="B8638" s="26" t="s">
        <v>6926</v>
      </c>
      <c r="C8638" s="28" t="s">
        <v>65</v>
      </c>
      <c r="D8638" s="329">
        <v>14</v>
      </c>
    </row>
    <row r="8639" spans="1:4">
      <c r="A8639" s="47">
        <v>3923</v>
      </c>
      <c r="B8639" s="48" t="s">
        <v>6928</v>
      </c>
      <c r="C8639" s="47" t="s">
        <v>65</v>
      </c>
      <c r="D8639" s="332">
        <v>14</v>
      </c>
    </row>
    <row r="8640" spans="1:4">
      <c r="A8640" s="28">
        <v>3937</v>
      </c>
      <c r="B8640" s="26" t="s">
        <v>6930</v>
      </c>
      <c r="C8640" s="28" t="s">
        <v>65</v>
      </c>
      <c r="D8640" s="329">
        <v>11.55</v>
      </c>
    </row>
    <row r="8641" spans="1:4">
      <c r="A8641" s="47">
        <v>3921</v>
      </c>
      <c r="B8641" s="48" t="s">
        <v>6929</v>
      </c>
      <c r="C8641" s="47" t="s">
        <v>65</v>
      </c>
      <c r="D8641" s="332">
        <v>11.55</v>
      </c>
    </row>
    <row r="8642" spans="1:4">
      <c r="A8642" s="28">
        <v>3920</v>
      </c>
      <c r="B8642" s="26" t="s">
        <v>6931</v>
      </c>
      <c r="C8642" s="28" t="s">
        <v>65</v>
      </c>
      <c r="D8642" s="329">
        <v>11.55</v>
      </c>
    </row>
    <row r="8643" spans="1:4">
      <c r="A8643" s="47">
        <v>3938</v>
      </c>
      <c r="B8643" s="48" t="s">
        <v>6932</v>
      </c>
      <c r="C8643" s="47" t="s">
        <v>65</v>
      </c>
      <c r="D8643" s="332">
        <v>7.61</v>
      </c>
    </row>
    <row r="8644" spans="1:4">
      <c r="A8644" s="28">
        <v>3919</v>
      </c>
      <c r="B8644" s="26" t="s">
        <v>6933</v>
      </c>
      <c r="C8644" s="28" t="s">
        <v>65</v>
      </c>
      <c r="D8644" s="329">
        <v>7.76</v>
      </c>
    </row>
    <row r="8645" spans="1:4">
      <c r="A8645" s="47">
        <v>3927</v>
      </c>
      <c r="B8645" s="48" t="s">
        <v>6934</v>
      </c>
      <c r="C8645" s="47" t="s">
        <v>65</v>
      </c>
      <c r="D8645" s="332">
        <v>39.31</v>
      </c>
    </row>
    <row r="8646" spans="1:4">
      <c r="A8646" s="28">
        <v>3928</v>
      </c>
      <c r="B8646" s="26" t="s">
        <v>6935</v>
      </c>
      <c r="C8646" s="28" t="s">
        <v>65</v>
      </c>
      <c r="D8646" s="329">
        <v>39.31</v>
      </c>
    </row>
    <row r="8647" spans="1:4">
      <c r="A8647" s="47">
        <v>3926</v>
      </c>
      <c r="B8647" s="48" t="s">
        <v>6936</v>
      </c>
      <c r="C8647" s="47" t="s">
        <v>65</v>
      </c>
      <c r="D8647" s="332">
        <v>22.41</v>
      </c>
    </row>
    <row r="8648" spans="1:4">
      <c r="A8648" s="28">
        <v>3935</v>
      </c>
      <c r="B8648" s="26" t="s">
        <v>6937</v>
      </c>
      <c r="C8648" s="28" t="s">
        <v>65</v>
      </c>
      <c r="D8648" s="329">
        <v>22.41</v>
      </c>
    </row>
    <row r="8649" spans="1:4">
      <c r="A8649" s="47">
        <v>3925</v>
      </c>
      <c r="B8649" s="48" t="s">
        <v>6938</v>
      </c>
      <c r="C8649" s="47" t="s">
        <v>65</v>
      </c>
      <c r="D8649" s="332">
        <v>22.41</v>
      </c>
    </row>
    <row r="8650" spans="1:4">
      <c r="A8650" s="28">
        <v>12406</v>
      </c>
      <c r="B8650" s="26" t="s">
        <v>6942</v>
      </c>
      <c r="C8650" s="28" t="s">
        <v>65</v>
      </c>
      <c r="D8650" s="329">
        <v>5.5</v>
      </c>
    </row>
    <row r="8651" spans="1:4">
      <c r="A8651" s="47">
        <v>3929</v>
      </c>
      <c r="B8651" s="48" t="s">
        <v>6939</v>
      </c>
      <c r="C8651" s="47" t="s">
        <v>65</v>
      </c>
      <c r="D8651" s="332">
        <v>59.9</v>
      </c>
    </row>
    <row r="8652" spans="1:4">
      <c r="A8652" s="28">
        <v>3931</v>
      </c>
      <c r="B8652" s="26" t="s">
        <v>6940</v>
      </c>
      <c r="C8652" s="28" t="s">
        <v>65</v>
      </c>
      <c r="D8652" s="329">
        <v>59.9</v>
      </c>
    </row>
    <row r="8653" spans="1:4">
      <c r="A8653" s="47">
        <v>3930</v>
      </c>
      <c r="B8653" s="48" t="s">
        <v>6941</v>
      </c>
      <c r="C8653" s="47" t="s">
        <v>65</v>
      </c>
      <c r="D8653" s="332">
        <v>59.9</v>
      </c>
    </row>
    <row r="8654" spans="1:4">
      <c r="A8654" s="28">
        <v>3932</v>
      </c>
      <c r="B8654" s="26" t="s">
        <v>6943</v>
      </c>
      <c r="C8654" s="28" t="s">
        <v>65</v>
      </c>
      <c r="D8654" s="329">
        <v>103.44</v>
      </c>
    </row>
    <row r="8655" spans="1:4">
      <c r="A8655" s="47">
        <v>3933</v>
      </c>
      <c r="B8655" s="48" t="s">
        <v>6944</v>
      </c>
      <c r="C8655" s="47" t="s">
        <v>65</v>
      </c>
      <c r="D8655" s="332">
        <v>103.44</v>
      </c>
    </row>
    <row r="8656" spans="1:4">
      <c r="A8656" s="28">
        <v>3934</v>
      </c>
      <c r="B8656" s="26" t="s">
        <v>6945</v>
      </c>
      <c r="C8656" s="28" t="s">
        <v>65</v>
      </c>
      <c r="D8656" s="329">
        <v>103.44</v>
      </c>
    </row>
    <row r="8657" spans="1:4">
      <c r="A8657" s="47">
        <v>3907</v>
      </c>
      <c r="B8657" s="48" t="s">
        <v>6946</v>
      </c>
      <c r="C8657" s="47" t="s">
        <v>65</v>
      </c>
      <c r="D8657" s="332">
        <v>3.48</v>
      </c>
    </row>
    <row r="8658" spans="1:4">
      <c r="A8658" s="28">
        <v>3889</v>
      </c>
      <c r="B8658" s="26" t="s">
        <v>6947</v>
      </c>
      <c r="C8658" s="28" t="s">
        <v>65</v>
      </c>
      <c r="D8658" s="329">
        <v>2.5</v>
      </c>
    </row>
    <row r="8659" spans="1:4">
      <c r="A8659" s="47">
        <v>3868</v>
      </c>
      <c r="B8659" s="48" t="s">
        <v>6948</v>
      </c>
      <c r="C8659" s="47" t="s">
        <v>65</v>
      </c>
      <c r="D8659" s="332">
        <v>1.23</v>
      </c>
    </row>
    <row r="8660" spans="1:4">
      <c r="A8660" s="28">
        <v>3869</v>
      </c>
      <c r="B8660" s="26" t="s">
        <v>6949</v>
      </c>
      <c r="C8660" s="28" t="s">
        <v>65</v>
      </c>
      <c r="D8660" s="329">
        <v>2.97</v>
      </c>
    </row>
    <row r="8661" spans="1:4">
      <c r="A8661" s="47">
        <v>3872</v>
      </c>
      <c r="B8661" s="48" t="s">
        <v>6950</v>
      </c>
      <c r="C8661" s="47" t="s">
        <v>65</v>
      </c>
      <c r="D8661" s="332">
        <v>3.65</v>
      </c>
    </row>
    <row r="8662" spans="1:4">
      <c r="A8662" s="28">
        <v>3850</v>
      </c>
      <c r="B8662" s="26" t="s">
        <v>6951</v>
      </c>
      <c r="C8662" s="28" t="s">
        <v>65</v>
      </c>
      <c r="D8662" s="329">
        <v>9.9499999999999993</v>
      </c>
    </row>
    <row r="8663" spans="1:4">
      <c r="A8663" s="47">
        <v>38023</v>
      </c>
      <c r="B8663" s="48" t="s">
        <v>6985</v>
      </c>
      <c r="C8663" s="47" t="s">
        <v>65</v>
      </c>
      <c r="D8663" s="332">
        <v>4.18</v>
      </c>
    </row>
    <row r="8664" spans="1:4">
      <c r="A8664" s="28">
        <v>37986</v>
      </c>
      <c r="B8664" s="26" t="s">
        <v>6996</v>
      </c>
      <c r="C8664" s="28" t="s">
        <v>65</v>
      </c>
      <c r="D8664" s="329">
        <v>1.64</v>
      </c>
    </row>
    <row r="8665" spans="1:4">
      <c r="A8665" s="47">
        <v>37987</v>
      </c>
      <c r="B8665" s="48" t="s">
        <v>6999</v>
      </c>
      <c r="C8665" s="47" t="s">
        <v>65</v>
      </c>
      <c r="D8665" s="332">
        <v>122.64</v>
      </c>
    </row>
    <row r="8666" spans="1:4">
      <c r="A8666" s="28">
        <v>37988</v>
      </c>
      <c r="B8666" s="26" t="s">
        <v>7000</v>
      </c>
      <c r="C8666" s="28" t="s">
        <v>65</v>
      </c>
      <c r="D8666" s="329">
        <v>200.04</v>
      </c>
    </row>
    <row r="8667" spans="1:4">
      <c r="A8667" s="47">
        <v>21120</v>
      </c>
      <c r="B8667" s="48" t="s">
        <v>6997</v>
      </c>
      <c r="C8667" s="47" t="s">
        <v>65</v>
      </c>
      <c r="D8667" s="332">
        <v>9.9700000000000006</v>
      </c>
    </row>
    <row r="8668" spans="1:4">
      <c r="A8668" s="28">
        <v>39318</v>
      </c>
      <c r="B8668" s="26" t="s">
        <v>6998</v>
      </c>
      <c r="C8668" s="28" t="s">
        <v>65</v>
      </c>
      <c r="D8668" s="329">
        <v>8.2200000000000006</v>
      </c>
    </row>
    <row r="8669" spans="1:4">
      <c r="A8669" s="47">
        <v>20162</v>
      </c>
      <c r="B8669" s="48" t="s">
        <v>7006</v>
      </c>
      <c r="C8669" s="47" t="s">
        <v>65</v>
      </c>
      <c r="D8669" s="332">
        <v>17.22</v>
      </c>
    </row>
    <row r="8670" spans="1:4">
      <c r="A8670" s="28">
        <v>1893</v>
      </c>
      <c r="B8670" s="26" t="s">
        <v>7007</v>
      </c>
      <c r="C8670" s="28" t="s">
        <v>65</v>
      </c>
      <c r="D8670" s="329">
        <v>1.31</v>
      </c>
    </row>
    <row r="8671" spans="1:4">
      <c r="A8671" s="47">
        <v>1902</v>
      </c>
      <c r="B8671" s="48" t="s">
        <v>7008</v>
      </c>
      <c r="C8671" s="47" t="s">
        <v>65</v>
      </c>
      <c r="D8671" s="332">
        <v>0.95</v>
      </c>
    </row>
    <row r="8672" spans="1:4">
      <c r="A8672" s="28">
        <v>1901</v>
      </c>
      <c r="B8672" s="26" t="s">
        <v>7010</v>
      </c>
      <c r="C8672" s="28" t="s">
        <v>65</v>
      </c>
      <c r="D8672" s="329">
        <v>0.28999999999999998</v>
      </c>
    </row>
    <row r="8673" spans="1:4">
      <c r="A8673" s="47">
        <v>1892</v>
      </c>
      <c r="B8673" s="48" t="s">
        <v>7009</v>
      </c>
      <c r="C8673" s="47" t="s">
        <v>65</v>
      </c>
      <c r="D8673" s="332">
        <v>0.61</v>
      </c>
    </row>
    <row r="8674" spans="1:4">
      <c r="A8674" s="28">
        <v>1907</v>
      </c>
      <c r="B8674" s="26" t="s">
        <v>7011</v>
      </c>
      <c r="C8674" s="28" t="s">
        <v>65</v>
      </c>
      <c r="D8674" s="329">
        <v>4.21</v>
      </c>
    </row>
    <row r="8675" spans="1:4">
      <c r="A8675" s="47">
        <v>1894</v>
      </c>
      <c r="B8675" s="48" t="s">
        <v>7012</v>
      </c>
      <c r="C8675" s="47" t="s">
        <v>65</v>
      </c>
      <c r="D8675" s="332">
        <v>1.89</v>
      </c>
    </row>
    <row r="8676" spans="1:4">
      <c r="A8676" s="28">
        <v>1891</v>
      </c>
      <c r="B8676" s="26" t="s">
        <v>7014</v>
      </c>
      <c r="C8676" s="28" t="s">
        <v>65</v>
      </c>
      <c r="D8676" s="329">
        <v>0.44</v>
      </c>
    </row>
    <row r="8677" spans="1:4">
      <c r="A8677" s="47">
        <v>1896</v>
      </c>
      <c r="B8677" s="48" t="s">
        <v>7013</v>
      </c>
      <c r="C8677" s="47" t="s">
        <v>65</v>
      </c>
      <c r="D8677" s="332">
        <v>5.65</v>
      </c>
    </row>
    <row r="8678" spans="1:4">
      <c r="A8678" s="28">
        <v>1895</v>
      </c>
      <c r="B8678" s="26" t="s">
        <v>7015</v>
      </c>
      <c r="C8678" s="28" t="s">
        <v>65</v>
      </c>
      <c r="D8678" s="329">
        <v>9.94</v>
      </c>
    </row>
    <row r="8679" spans="1:4" ht="30">
      <c r="A8679" s="47">
        <v>2641</v>
      </c>
      <c r="B8679" s="48" t="s">
        <v>11420</v>
      </c>
      <c r="C8679" s="47" t="s">
        <v>65</v>
      </c>
      <c r="D8679" s="332">
        <v>13.43</v>
      </c>
    </row>
    <row r="8680" spans="1:4" ht="30">
      <c r="A8680" s="28">
        <v>2636</v>
      </c>
      <c r="B8680" s="26" t="s">
        <v>11421</v>
      </c>
      <c r="C8680" s="28" t="s">
        <v>65</v>
      </c>
      <c r="D8680" s="329">
        <v>0.86</v>
      </c>
    </row>
    <row r="8681" spans="1:4" ht="30">
      <c r="A8681" s="47">
        <v>2637</v>
      </c>
      <c r="B8681" s="48" t="s">
        <v>11422</v>
      </c>
      <c r="C8681" s="47" t="s">
        <v>65</v>
      </c>
      <c r="D8681" s="332">
        <v>0.92</v>
      </c>
    </row>
    <row r="8682" spans="1:4" ht="43.5" customHeight="1">
      <c r="A8682" s="28">
        <v>2638</v>
      </c>
      <c r="B8682" s="26" t="s">
        <v>11423</v>
      </c>
      <c r="C8682" s="28" t="s">
        <v>65</v>
      </c>
      <c r="D8682" s="329">
        <v>1.07</v>
      </c>
    </row>
    <row r="8683" spans="1:4" ht="30">
      <c r="A8683" s="47">
        <v>2639</v>
      </c>
      <c r="B8683" s="48" t="s">
        <v>11424</v>
      </c>
      <c r="C8683" s="47" t="s">
        <v>65</v>
      </c>
      <c r="D8683" s="332">
        <v>1.9</v>
      </c>
    </row>
    <row r="8684" spans="1:4" ht="30">
      <c r="A8684" s="28">
        <v>2644</v>
      </c>
      <c r="B8684" s="26" t="s">
        <v>11425</v>
      </c>
      <c r="C8684" s="28" t="s">
        <v>65</v>
      </c>
      <c r="D8684" s="329">
        <v>2.75</v>
      </c>
    </row>
    <row r="8685" spans="1:4" ht="30">
      <c r="A8685" s="47">
        <v>2643</v>
      </c>
      <c r="B8685" s="48" t="s">
        <v>11426</v>
      </c>
      <c r="C8685" s="47" t="s">
        <v>65</v>
      </c>
      <c r="D8685" s="332">
        <v>3.83</v>
      </c>
    </row>
    <row r="8686" spans="1:4" ht="30">
      <c r="A8686" s="28">
        <v>2640</v>
      </c>
      <c r="B8686" s="26" t="s">
        <v>11427</v>
      </c>
      <c r="C8686" s="28" t="s">
        <v>65</v>
      </c>
      <c r="D8686" s="329">
        <v>5.59</v>
      </c>
    </row>
    <row r="8687" spans="1:4" ht="30">
      <c r="A8687" s="47">
        <v>2642</v>
      </c>
      <c r="B8687" s="48" t="s">
        <v>11428</v>
      </c>
      <c r="C8687" s="47" t="s">
        <v>65</v>
      </c>
      <c r="D8687" s="332">
        <v>8.51</v>
      </c>
    </row>
    <row r="8688" spans="1:4">
      <c r="A8688" s="28">
        <v>39855</v>
      </c>
      <c r="B8688" s="26" t="s">
        <v>7033</v>
      </c>
      <c r="C8688" s="28" t="s">
        <v>65</v>
      </c>
      <c r="D8688" s="329">
        <v>2.0099999999999998</v>
      </c>
    </row>
    <row r="8689" spans="1:4">
      <c r="A8689" s="47">
        <v>39856</v>
      </c>
      <c r="B8689" s="48" t="s">
        <v>7034</v>
      </c>
      <c r="C8689" s="47" t="s">
        <v>65</v>
      </c>
      <c r="D8689" s="332">
        <v>4.75</v>
      </c>
    </row>
    <row r="8690" spans="1:4">
      <c r="A8690" s="28">
        <v>39857</v>
      </c>
      <c r="B8690" s="26" t="s">
        <v>7035</v>
      </c>
      <c r="C8690" s="28" t="s">
        <v>65</v>
      </c>
      <c r="D8690" s="329">
        <v>7.68</v>
      </c>
    </row>
    <row r="8691" spans="1:4">
      <c r="A8691" s="47">
        <v>39858</v>
      </c>
      <c r="B8691" s="48" t="s">
        <v>7036</v>
      </c>
      <c r="C8691" s="47" t="s">
        <v>65</v>
      </c>
      <c r="D8691" s="332">
        <v>17.059999999999999</v>
      </c>
    </row>
    <row r="8692" spans="1:4">
      <c r="A8692" s="28">
        <v>39859</v>
      </c>
      <c r="B8692" s="26" t="s">
        <v>7037</v>
      </c>
      <c r="C8692" s="28" t="s">
        <v>65</v>
      </c>
      <c r="D8692" s="329">
        <v>26.29</v>
      </c>
    </row>
    <row r="8693" spans="1:4">
      <c r="A8693" s="47">
        <v>39860</v>
      </c>
      <c r="B8693" s="48" t="s">
        <v>7038</v>
      </c>
      <c r="C8693" s="47" t="s">
        <v>65</v>
      </c>
      <c r="D8693" s="332">
        <v>40.35</v>
      </c>
    </row>
    <row r="8694" spans="1:4">
      <c r="A8694" s="28">
        <v>39861</v>
      </c>
      <c r="B8694" s="26" t="s">
        <v>7039</v>
      </c>
      <c r="C8694" s="28" t="s">
        <v>65</v>
      </c>
      <c r="D8694" s="329">
        <v>115.2</v>
      </c>
    </row>
    <row r="8695" spans="1:4">
      <c r="A8695" s="47">
        <v>3867</v>
      </c>
      <c r="B8695" s="48" t="s">
        <v>7052</v>
      </c>
      <c r="C8695" s="47" t="s">
        <v>65</v>
      </c>
      <c r="D8695" s="332">
        <v>68.319999999999993</v>
      </c>
    </row>
    <row r="8696" spans="1:4">
      <c r="A8696" s="28">
        <v>3861</v>
      </c>
      <c r="B8696" s="26" t="s">
        <v>7053</v>
      </c>
      <c r="C8696" s="28" t="s">
        <v>65</v>
      </c>
      <c r="D8696" s="329">
        <v>0.7</v>
      </c>
    </row>
    <row r="8697" spans="1:4">
      <c r="A8697" s="47">
        <v>3904</v>
      </c>
      <c r="B8697" s="48" t="s">
        <v>7054</v>
      </c>
      <c r="C8697" s="47" t="s">
        <v>65</v>
      </c>
      <c r="D8697" s="332">
        <v>0.78</v>
      </c>
    </row>
    <row r="8698" spans="1:4">
      <c r="A8698" s="28">
        <v>3903</v>
      </c>
      <c r="B8698" s="26" t="s">
        <v>7055</v>
      </c>
      <c r="C8698" s="28" t="s">
        <v>65</v>
      </c>
      <c r="D8698" s="329">
        <v>1.65</v>
      </c>
    </row>
    <row r="8699" spans="1:4">
      <c r="A8699" s="47">
        <v>3862</v>
      </c>
      <c r="B8699" s="48" t="s">
        <v>7056</v>
      </c>
      <c r="C8699" s="47" t="s">
        <v>65</v>
      </c>
      <c r="D8699" s="332">
        <v>3.67</v>
      </c>
    </row>
    <row r="8700" spans="1:4">
      <c r="A8700" s="28">
        <v>3863</v>
      </c>
      <c r="B8700" s="26" t="s">
        <v>7057</v>
      </c>
      <c r="C8700" s="28" t="s">
        <v>65</v>
      </c>
      <c r="D8700" s="329">
        <v>4.3099999999999996</v>
      </c>
    </row>
    <row r="8701" spans="1:4" ht="43.5" customHeight="1">
      <c r="A8701" s="47">
        <v>3864</v>
      </c>
      <c r="B8701" s="48" t="s">
        <v>7058</v>
      </c>
      <c r="C8701" s="47" t="s">
        <v>65</v>
      </c>
      <c r="D8701" s="332">
        <v>11.78</v>
      </c>
    </row>
    <row r="8702" spans="1:4" ht="43.5" customHeight="1">
      <c r="A8702" s="28">
        <v>3865</v>
      </c>
      <c r="B8702" s="26" t="s">
        <v>7059</v>
      </c>
      <c r="C8702" s="28" t="s">
        <v>65</v>
      </c>
      <c r="D8702" s="329">
        <v>17.62</v>
      </c>
    </row>
    <row r="8703" spans="1:4" ht="43.5" customHeight="1">
      <c r="A8703" s="47">
        <v>3866</v>
      </c>
      <c r="B8703" s="48" t="s">
        <v>7060</v>
      </c>
      <c r="C8703" s="47" t="s">
        <v>65</v>
      </c>
      <c r="D8703" s="332">
        <v>40.15</v>
      </c>
    </row>
    <row r="8704" spans="1:4">
      <c r="A8704" s="28">
        <v>3902</v>
      </c>
      <c r="B8704" s="26" t="s">
        <v>7061</v>
      </c>
      <c r="C8704" s="28" t="s">
        <v>65</v>
      </c>
      <c r="D8704" s="329">
        <v>22.65</v>
      </c>
    </row>
    <row r="8705" spans="1:4">
      <c r="A8705" s="47">
        <v>3878</v>
      </c>
      <c r="B8705" s="48" t="s">
        <v>7062</v>
      </c>
      <c r="C8705" s="47" t="s">
        <v>65</v>
      </c>
      <c r="D8705" s="332">
        <v>7.15</v>
      </c>
    </row>
    <row r="8706" spans="1:4">
      <c r="A8706" s="28">
        <v>3877</v>
      </c>
      <c r="B8706" s="26" t="s">
        <v>7063</v>
      </c>
      <c r="C8706" s="28" t="s">
        <v>65</v>
      </c>
      <c r="D8706" s="329">
        <v>6.51</v>
      </c>
    </row>
    <row r="8707" spans="1:4">
      <c r="A8707" s="47">
        <v>3879</v>
      </c>
      <c r="B8707" s="48" t="s">
        <v>7064</v>
      </c>
      <c r="C8707" s="47" t="s">
        <v>65</v>
      </c>
      <c r="D8707" s="332">
        <v>14.41</v>
      </c>
    </row>
    <row r="8708" spans="1:4">
      <c r="A8708" s="28">
        <v>3880</v>
      </c>
      <c r="B8708" s="26" t="s">
        <v>7065</v>
      </c>
      <c r="C8708" s="28" t="s">
        <v>65</v>
      </c>
      <c r="D8708" s="329">
        <v>32.57</v>
      </c>
    </row>
    <row r="8709" spans="1:4">
      <c r="A8709" s="47">
        <v>3901</v>
      </c>
      <c r="B8709" s="48" t="s">
        <v>7066</v>
      </c>
      <c r="C8709" s="47" t="s">
        <v>65</v>
      </c>
      <c r="D8709" s="332">
        <v>41.59</v>
      </c>
    </row>
    <row r="8710" spans="1:4" ht="43.5" customHeight="1">
      <c r="A8710" s="28">
        <v>12892</v>
      </c>
      <c r="B8710" s="26" t="s">
        <v>7069</v>
      </c>
      <c r="C8710" s="28" t="s">
        <v>131</v>
      </c>
      <c r="D8710" s="329">
        <v>8.89</v>
      </c>
    </row>
    <row r="8711" spans="1:4" ht="43.5" customHeight="1">
      <c r="A8711" s="47">
        <v>3883</v>
      </c>
      <c r="B8711" s="48" t="s">
        <v>7074</v>
      </c>
      <c r="C8711" s="47" t="s">
        <v>65</v>
      </c>
      <c r="D8711" s="332">
        <v>1.25</v>
      </c>
    </row>
    <row r="8712" spans="1:4" ht="43.5" customHeight="1">
      <c r="A8712" s="28">
        <v>3876</v>
      </c>
      <c r="B8712" s="26" t="s">
        <v>7073</v>
      </c>
      <c r="C8712" s="28" t="s">
        <v>65</v>
      </c>
      <c r="D8712" s="329">
        <v>3.24</v>
      </c>
    </row>
    <row r="8713" spans="1:4">
      <c r="A8713" s="47">
        <v>3884</v>
      </c>
      <c r="B8713" s="48" t="s">
        <v>7075</v>
      </c>
      <c r="C8713" s="47" t="s">
        <v>65</v>
      </c>
      <c r="D8713" s="332">
        <v>1.86</v>
      </c>
    </row>
    <row r="8714" spans="1:4">
      <c r="A8714" s="28">
        <v>3837</v>
      </c>
      <c r="B8714" s="26" t="s">
        <v>7076</v>
      </c>
      <c r="C8714" s="28" t="s">
        <v>65</v>
      </c>
      <c r="D8714" s="329">
        <v>31.83</v>
      </c>
    </row>
    <row r="8715" spans="1:4">
      <c r="A8715" s="47">
        <v>3845</v>
      </c>
      <c r="B8715" s="48" t="s">
        <v>7077</v>
      </c>
      <c r="C8715" s="47" t="s">
        <v>65</v>
      </c>
      <c r="D8715" s="332">
        <v>9.27</v>
      </c>
    </row>
    <row r="8716" spans="1:4">
      <c r="A8716" s="28">
        <v>11045</v>
      </c>
      <c r="B8716" s="26" t="s">
        <v>7078</v>
      </c>
      <c r="C8716" s="28" t="s">
        <v>65</v>
      </c>
      <c r="D8716" s="329">
        <v>19.309999999999999</v>
      </c>
    </row>
    <row r="8717" spans="1:4">
      <c r="A8717" s="47">
        <v>20170</v>
      </c>
      <c r="B8717" s="48" t="s">
        <v>7079</v>
      </c>
      <c r="C8717" s="47" t="s">
        <v>65</v>
      </c>
      <c r="D8717" s="332">
        <v>11.54</v>
      </c>
    </row>
    <row r="8718" spans="1:4">
      <c r="A8718" s="28">
        <v>20171</v>
      </c>
      <c r="B8718" s="26" t="s">
        <v>7080</v>
      </c>
      <c r="C8718" s="28" t="s">
        <v>65</v>
      </c>
      <c r="D8718" s="329">
        <v>36.18</v>
      </c>
    </row>
    <row r="8719" spans="1:4">
      <c r="A8719" s="47">
        <v>20167</v>
      </c>
      <c r="B8719" s="48" t="s">
        <v>7081</v>
      </c>
      <c r="C8719" s="47" t="s">
        <v>65</v>
      </c>
      <c r="D8719" s="332">
        <v>4.54</v>
      </c>
    </row>
    <row r="8720" spans="1:4">
      <c r="A8720" s="28">
        <v>20168</v>
      </c>
      <c r="B8720" s="26" t="s">
        <v>7082</v>
      </c>
      <c r="C8720" s="28" t="s">
        <v>65</v>
      </c>
      <c r="D8720" s="329">
        <v>6.78</v>
      </c>
    </row>
    <row r="8721" spans="1:4">
      <c r="A8721" s="47">
        <v>20169</v>
      </c>
      <c r="B8721" s="48" t="s">
        <v>7083</v>
      </c>
      <c r="C8721" s="47" t="s">
        <v>65</v>
      </c>
      <c r="D8721" s="332">
        <v>9.52</v>
      </c>
    </row>
    <row r="8722" spans="1:4">
      <c r="A8722" s="28">
        <v>3899</v>
      </c>
      <c r="B8722" s="26" t="s">
        <v>7099</v>
      </c>
      <c r="C8722" s="28" t="s">
        <v>65</v>
      </c>
      <c r="D8722" s="329">
        <v>6.22</v>
      </c>
    </row>
    <row r="8723" spans="1:4">
      <c r="A8723" s="47">
        <v>38676</v>
      </c>
      <c r="B8723" s="48" t="s">
        <v>7100</v>
      </c>
      <c r="C8723" s="47" t="s">
        <v>65</v>
      </c>
      <c r="D8723" s="332">
        <v>27.26</v>
      </c>
    </row>
    <row r="8724" spans="1:4">
      <c r="A8724" s="28">
        <v>38677</v>
      </c>
      <c r="B8724" s="26" t="s">
        <v>7101</v>
      </c>
      <c r="C8724" s="28" t="s">
        <v>65</v>
      </c>
      <c r="D8724" s="329">
        <v>31.23</v>
      </c>
    </row>
    <row r="8725" spans="1:4">
      <c r="A8725" s="47">
        <v>3897</v>
      </c>
      <c r="B8725" s="48" t="s">
        <v>7102</v>
      </c>
      <c r="C8725" s="47" t="s">
        <v>65</v>
      </c>
      <c r="D8725" s="332">
        <v>1.27</v>
      </c>
    </row>
    <row r="8726" spans="1:4">
      <c r="A8726" s="28">
        <v>3875</v>
      </c>
      <c r="B8726" s="26" t="s">
        <v>7103</v>
      </c>
      <c r="C8726" s="28" t="s">
        <v>65</v>
      </c>
      <c r="D8726" s="329">
        <v>2.88</v>
      </c>
    </row>
    <row r="8727" spans="1:4">
      <c r="A8727" s="47">
        <v>3898</v>
      </c>
      <c r="B8727" s="48" t="s">
        <v>7104</v>
      </c>
      <c r="C8727" s="47" t="s">
        <v>65</v>
      </c>
      <c r="D8727" s="332">
        <v>5.35</v>
      </c>
    </row>
    <row r="8728" spans="1:4">
      <c r="A8728" s="28">
        <v>3855</v>
      </c>
      <c r="B8728" s="26" t="s">
        <v>7105</v>
      </c>
      <c r="C8728" s="28" t="s">
        <v>65</v>
      </c>
      <c r="D8728" s="329">
        <v>5.05</v>
      </c>
    </row>
    <row r="8729" spans="1:4">
      <c r="A8729" s="47">
        <v>3874</v>
      </c>
      <c r="B8729" s="48" t="s">
        <v>7106</v>
      </c>
      <c r="C8729" s="47" t="s">
        <v>65</v>
      </c>
      <c r="D8729" s="332">
        <v>5.39</v>
      </c>
    </row>
    <row r="8730" spans="1:4">
      <c r="A8730" s="28">
        <v>3870</v>
      </c>
      <c r="B8730" s="26" t="s">
        <v>7107</v>
      </c>
      <c r="C8730" s="28" t="s">
        <v>65</v>
      </c>
      <c r="D8730" s="329">
        <v>6.75</v>
      </c>
    </row>
    <row r="8731" spans="1:4">
      <c r="A8731" s="47">
        <v>38678</v>
      </c>
      <c r="B8731" s="48" t="s">
        <v>7108</v>
      </c>
      <c r="C8731" s="47" t="s">
        <v>65</v>
      </c>
      <c r="D8731" s="332">
        <v>15.56</v>
      </c>
    </row>
    <row r="8732" spans="1:4">
      <c r="A8732" s="28">
        <v>3859</v>
      </c>
      <c r="B8732" s="26" t="s">
        <v>7109</v>
      </c>
      <c r="C8732" s="28" t="s">
        <v>65</v>
      </c>
      <c r="D8732" s="329">
        <v>1.23</v>
      </c>
    </row>
    <row r="8733" spans="1:4">
      <c r="A8733" s="47">
        <v>3856</v>
      </c>
      <c r="B8733" s="48" t="s">
        <v>7110</v>
      </c>
      <c r="C8733" s="47" t="s">
        <v>65</v>
      </c>
      <c r="D8733" s="332">
        <v>1.86</v>
      </c>
    </row>
    <row r="8734" spans="1:4">
      <c r="A8734" s="28">
        <v>3906</v>
      </c>
      <c r="B8734" s="26" t="s">
        <v>7111</v>
      </c>
      <c r="C8734" s="28" t="s">
        <v>65</v>
      </c>
      <c r="D8734" s="329">
        <v>1.42</v>
      </c>
    </row>
    <row r="8735" spans="1:4">
      <c r="A8735" s="47">
        <v>3860</v>
      </c>
      <c r="B8735" s="48" t="s">
        <v>7112</v>
      </c>
      <c r="C8735" s="47" t="s">
        <v>65</v>
      </c>
      <c r="D8735" s="332">
        <v>4.5199999999999996</v>
      </c>
    </row>
    <row r="8736" spans="1:4">
      <c r="A8736" s="28">
        <v>3905</v>
      </c>
      <c r="B8736" s="26" t="s">
        <v>7113</v>
      </c>
      <c r="C8736" s="28" t="s">
        <v>65</v>
      </c>
      <c r="D8736" s="329">
        <v>9.7200000000000006</v>
      </c>
    </row>
    <row r="8737" spans="1:4">
      <c r="A8737" s="47">
        <v>3871</v>
      </c>
      <c r="B8737" s="48" t="s">
        <v>7114</v>
      </c>
      <c r="C8737" s="47" t="s">
        <v>65</v>
      </c>
      <c r="D8737" s="332">
        <v>17.13</v>
      </c>
    </row>
    <row r="8738" spans="1:4">
      <c r="A8738" s="28">
        <v>37429</v>
      </c>
      <c r="B8738" s="26" t="s">
        <v>7159</v>
      </c>
      <c r="C8738" s="28" t="s">
        <v>65</v>
      </c>
      <c r="D8738" s="329">
        <v>1476.53</v>
      </c>
    </row>
    <row r="8739" spans="1:4">
      <c r="A8739" s="47">
        <v>37426</v>
      </c>
      <c r="B8739" s="48" t="s">
        <v>7160</v>
      </c>
      <c r="C8739" s="47" t="s">
        <v>65</v>
      </c>
      <c r="D8739" s="332">
        <v>14.2</v>
      </c>
    </row>
    <row r="8740" spans="1:4">
      <c r="A8740" s="28">
        <v>37427</v>
      </c>
      <c r="B8740" s="26" t="s">
        <v>7161</v>
      </c>
      <c r="C8740" s="28" t="s">
        <v>65</v>
      </c>
      <c r="D8740" s="329">
        <v>33.880000000000003</v>
      </c>
    </row>
    <row r="8741" spans="1:4">
      <c r="A8741" s="47">
        <v>37424</v>
      </c>
      <c r="B8741" s="48" t="s">
        <v>7162</v>
      </c>
      <c r="C8741" s="47" t="s">
        <v>65</v>
      </c>
      <c r="D8741" s="332">
        <v>6.52</v>
      </c>
    </row>
    <row r="8742" spans="1:4">
      <c r="A8742" s="28">
        <v>37428</v>
      </c>
      <c r="B8742" s="26" t="s">
        <v>7163</v>
      </c>
      <c r="C8742" s="28" t="s">
        <v>65</v>
      </c>
      <c r="D8742" s="329">
        <v>116.76</v>
      </c>
    </row>
    <row r="8743" spans="1:4">
      <c r="A8743" s="47">
        <v>37425</v>
      </c>
      <c r="B8743" s="48" t="s">
        <v>7164</v>
      </c>
      <c r="C8743" s="47" t="s">
        <v>65</v>
      </c>
      <c r="D8743" s="332">
        <v>7.03</v>
      </c>
    </row>
    <row r="8744" spans="1:4" ht="30">
      <c r="A8744" s="28">
        <v>11519</v>
      </c>
      <c r="B8744" s="26" t="s">
        <v>7185</v>
      </c>
      <c r="C8744" s="28" t="s">
        <v>131</v>
      </c>
      <c r="D8744" s="329">
        <v>31</v>
      </c>
    </row>
    <row r="8745" spans="1:4" ht="30">
      <c r="A8745" s="47">
        <v>11520</v>
      </c>
      <c r="B8745" s="48" t="s">
        <v>7186</v>
      </c>
      <c r="C8745" s="47" t="s">
        <v>131</v>
      </c>
      <c r="D8745" s="332">
        <v>12.29</v>
      </c>
    </row>
    <row r="8746" spans="1:4" ht="30">
      <c r="A8746" s="28">
        <v>11518</v>
      </c>
      <c r="B8746" s="26" t="s">
        <v>7187</v>
      </c>
      <c r="C8746" s="28" t="s">
        <v>131</v>
      </c>
      <c r="D8746" s="329">
        <v>35.78</v>
      </c>
    </row>
    <row r="8747" spans="1:4">
      <c r="A8747" s="47">
        <v>38473</v>
      </c>
      <c r="B8747" s="48" t="s">
        <v>7188</v>
      </c>
      <c r="C8747" s="47" t="s">
        <v>65</v>
      </c>
      <c r="D8747" s="332">
        <v>83.6</v>
      </c>
    </row>
    <row r="8748" spans="1:4">
      <c r="A8748" s="28">
        <v>4244</v>
      </c>
      <c r="B8748" s="26" t="s">
        <v>7189</v>
      </c>
      <c r="C8748" s="28" t="s">
        <v>57</v>
      </c>
      <c r="D8748" s="329">
        <v>28.1</v>
      </c>
    </row>
    <row r="8749" spans="1:4">
      <c r="A8749" s="47">
        <v>40977</v>
      </c>
      <c r="B8749" s="48" t="s">
        <v>7190</v>
      </c>
      <c r="C8749" s="47" t="s">
        <v>1643</v>
      </c>
      <c r="D8749" s="332">
        <v>4949.3500000000004</v>
      </c>
    </row>
    <row r="8750" spans="1:4">
      <c r="A8750" s="28">
        <v>4006</v>
      </c>
      <c r="B8750" s="26" t="s">
        <v>7193</v>
      </c>
      <c r="C8750" s="28" t="s">
        <v>255</v>
      </c>
      <c r="D8750" s="329">
        <v>384.92</v>
      </c>
    </row>
    <row r="8751" spans="1:4" ht="30">
      <c r="A8751" s="47">
        <v>2742</v>
      </c>
      <c r="B8751" s="48" t="s">
        <v>7194</v>
      </c>
      <c r="C8751" s="47" t="s">
        <v>71</v>
      </c>
      <c r="D8751" s="332">
        <v>1.8</v>
      </c>
    </row>
    <row r="8752" spans="1:4" ht="30">
      <c r="A8752" s="28">
        <v>2748</v>
      </c>
      <c r="B8752" s="26" t="s">
        <v>7195</v>
      </c>
      <c r="C8752" s="28" t="s">
        <v>71</v>
      </c>
      <c r="D8752" s="329">
        <v>5.29</v>
      </c>
    </row>
    <row r="8753" spans="1:4" ht="30">
      <c r="A8753" s="47">
        <v>2736</v>
      </c>
      <c r="B8753" s="48" t="s">
        <v>7196</v>
      </c>
      <c r="C8753" s="47" t="s">
        <v>71</v>
      </c>
      <c r="D8753" s="332">
        <v>7.38</v>
      </c>
    </row>
    <row r="8754" spans="1:4" ht="30">
      <c r="A8754" s="28">
        <v>2745</v>
      </c>
      <c r="B8754" s="26" t="s">
        <v>7197</v>
      </c>
      <c r="C8754" s="28" t="s">
        <v>71</v>
      </c>
      <c r="D8754" s="329">
        <v>1.49</v>
      </c>
    </row>
    <row r="8755" spans="1:4" ht="30">
      <c r="A8755" s="47">
        <v>2751</v>
      </c>
      <c r="B8755" s="48" t="s">
        <v>7198</v>
      </c>
      <c r="C8755" s="47" t="s">
        <v>71</v>
      </c>
      <c r="D8755" s="332">
        <v>1.91</v>
      </c>
    </row>
    <row r="8756" spans="1:4" ht="30">
      <c r="A8756" s="28">
        <v>14439</v>
      </c>
      <c r="B8756" s="26" t="s">
        <v>7199</v>
      </c>
      <c r="C8756" s="28" t="s">
        <v>71</v>
      </c>
      <c r="D8756" s="329">
        <v>1.69</v>
      </c>
    </row>
    <row r="8757" spans="1:4" ht="30">
      <c r="A8757" s="47">
        <v>2731</v>
      </c>
      <c r="B8757" s="48" t="s">
        <v>7200</v>
      </c>
      <c r="C8757" s="47" t="s">
        <v>71</v>
      </c>
      <c r="D8757" s="332">
        <v>60.27</v>
      </c>
    </row>
    <row r="8758" spans="1:4" ht="30">
      <c r="A8758" s="28">
        <v>21138</v>
      </c>
      <c r="B8758" s="26" t="s">
        <v>7201</v>
      </c>
      <c r="C8758" s="28" t="s">
        <v>71</v>
      </c>
      <c r="D8758" s="329">
        <v>6.54</v>
      </c>
    </row>
    <row r="8759" spans="1:4" ht="30">
      <c r="A8759" s="47">
        <v>2747</v>
      </c>
      <c r="B8759" s="48" t="s">
        <v>7202</v>
      </c>
      <c r="C8759" s="47" t="s">
        <v>71</v>
      </c>
      <c r="D8759" s="332">
        <v>16.16</v>
      </c>
    </row>
    <row r="8760" spans="1:4" ht="30">
      <c r="A8760" s="28">
        <v>4115</v>
      </c>
      <c r="B8760" s="26" t="s">
        <v>7203</v>
      </c>
      <c r="C8760" s="28" t="s">
        <v>71</v>
      </c>
      <c r="D8760" s="329">
        <v>12.65</v>
      </c>
    </row>
    <row r="8761" spans="1:4" ht="30">
      <c r="A8761" s="47">
        <v>2729</v>
      </c>
      <c r="B8761" s="48" t="s">
        <v>7204</v>
      </c>
      <c r="C8761" s="47" t="s">
        <v>65</v>
      </c>
      <c r="D8761" s="332">
        <v>15.24</v>
      </c>
    </row>
    <row r="8762" spans="1:4" ht="30">
      <c r="A8762" s="28">
        <v>4119</v>
      </c>
      <c r="B8762" s="26" t="s">
        <v>7205</v>
      </c>
      <c r="C8762" s="28" t="s">
        <v>71</v>
      </c>
      <c r="D8762" s="329">
        <v>25.46</v>
      </c>
    </row>
    <row r="8763" spans="1:4" ht="30">
      <c r="A8763" s="47">
        <v>2794</v>
      </c>
      <c r="B8763" s="48" t="s">
        <v>7206</v>
      </c>
      <c r="C8763" s="47" t="s">
        <v>71</v>
      </c>
      <c r="D8763" s="332">
        <v>62.85</v>
      </c>
    </row>
    <row r="8764" spans="1:4" ht="30">
      <c r="A8764" s="28">
        <v>2788</v>
      </c>
      <c r="B8764" s="26" t="s">
        <v>7207</v>
      </c>
      <c r="C8764" s="28" t="s">
        <v>71</v>
      </c>
      <c r="D8764" s="329">
        <v>127.08</v>
      </c>
    </row>
    <row r="8765" spans="1:4" ht="30">
      <c r="A8765" s="47">
        <v>3989</v>
      </c>
      <c r="B8765" s="48" t="s">
        <v>7208</v>
      </c>
      <c r="C8765" s="47" t="s">
        <v>255</v>
      </c>
      <c r="D8765" s="332">
        <v>1439.54</v>
      </c>
    </row>
    <row r="8766" spans="1:4" ht="30">
      <c r="A8766" s="28">
        <v>3997</v>
      </c>
      <c r="B8766" s="26" t="s">
        <v>7209</v>
      </c>
      <c r="C8766" s="28" t="s">
        <v>255</v>
      </c>
      <c r="D8766" s="329">
        <v>1685.65</v>
      </c>
    </row>
    <row r="8767" spans="1:4">
      <c r="A8767" s="47">
        <v>4004</v>
      </c>
      <c r="B8767" s="48" t="s">
        <v>7191</v>
      </c>
      <c r="C8767" s="47" t="s">
        <v>255</v>
      </c>
      <c r="D8767" s="332">
        <v>1300</v>
      </c>
    </row>
    <row r="8768" spans="1:4">
      <c r="A8768" s="28">
        <v>11836</v>
      </c>
      <c r="B8768" s="26" t="s">
        <v>7192</v>
      </c>
      <c r="C8768" s="28" t="s">
        <v>255</v>
      </c>
      <c r="D8768" s="329">
        <v>1539.47</v>
      </c>
    </row>
    <row r="8769" spans="1:4">
      <c r="A8769" s="47">
        <v>36151</v>
      </c>
      <c r="B8769" s="48" t="s">
        <v>7210</v>
      </c>
      <c r="C8769" s="47" t="s">
        <v>65</v>
      </c>
      <c r="D8769" s="332">
        <v>19.760000000000002</v>
      </c>
    </row>
    <row r="8770" spans="1:4">
      <c r="A8770" s="28">
        <v>37457</v>
      </c>
      <c r="B8770" s="26" t="s">
        <v>7211</v>
      </c>
      <c r="C8770" s="28" t="s">
        <v>71</v>
      </c>
      <c r="D8770" s="329">
        <v>1.45</v>
      </c>
    </row>
    <row r="8771" spans="1:4">
      <c r="A8771" s="47">
        <v>37456</v>
      </c>
      <c r="B8771" s="48" t="s">
        <v>7212</v>
      </c>
      <c r="C8771" s="47" t="s">
        <v>71</v>
      </c>
      <c r="D8771" s="332">
        <v>0.76</v>
      </c>
    </row>
    <row r="8772" spans="1:4" ht="30">
      <c r="A8772" s="28">
        <v>37461</v>
      </c>
      <c r="B8772" s="26" t="s">
        <v>7213</v>
      </c>
      <c r="C8772" s="28" t="s">
        <v>71</v>
      </c>
      <c r="D8772" s="329">
        <v>5.38</v>
      </c>
    </row>
    <row r="8773" spans="1:4" ht="30">
      <c r="A8773" s="47">
        <v>37460</v>
      </c>
      <c r="B8773" s="48" t="s">
        <v>11429</v>
      </c>
      <c r="C8773" s="47" t="s">
        <v>71</v>
      </c>
      <c r="D8773" s="332">
        <v>7.35</v>
      </c>
    </row>
    <row r="8774" spans="1:4">
      <c r="A8774" s="28">
        <v>37458</v>
      </c>
      <c r="B8774" s="26" t="s">
        <v>7214</v>
      </c>
      <c r="C8774" s="28" t="s">
        <v>71</v>
      </c>
      <c r="D8774" s="329">
        <v>2.15</v>
      </c>
    </row>
    <row r="8775" spans="1:4">
      <c r="A8775" s="47">
        <v>37454</v>
      </c>
      <c r="B8775" s="48" t="s">
        <v>7215</v>
      </c>
      <c r="C8775" s="47" t="s">
        <v>71</v>
      </c>
      <c r="D8775" s="332">
        <v>0.56000000000000005</v>
      </c>
    </row>
    <row r="8776" spans="1:4">
      <c r="A8776" s="28">
        <v>37455</v>
      </c>
      <c r="B8776" s="26" t="s">
        <v>7216</v>
      </c>
      <c r="C8776" s="28" t="s">
        <v>71</v>
      </c>
      <c r="D8776" s="329">
        <v>0.95</v>
      </c>
    </row>
    <row r="8777" spans="1:4">
      <c r="A8777" s="47">
        <v>37459</v>
      </c>
      <c r="B8777" s="48" t="s">
        <v>7217</v>
      </c>
      <c r="C8777" s="47" t="s">
        <v>71</v>
      </c>
      <c r="D8777" s="332">
        <v>3.02</v>
      </c>
    </row>
    <row r="8778" spans="1:4" ht="30">
      <c r="A8778" s="28">
        <v>21029</v>
      </c>
      <c r="B8778" s="26" t="s">
        <v>7218</v>
      </c>
      <c r="C8778" s="28" t="s">
        <v>65</v>
      </c>
      <c r="D8778" s="329">
        <v>290.19</v>
      </c>
    </row>
    <row r="8779" spans="1:4" ht="30">
      <c r="A8779" s="47">
        <v>21030</v>
      </c>
      <c r="B8779" s="48" t="s">
        <v>7219</v>
      </c>
      <c r="C8779" s="47" t="s">
        <v>65</v>
      </c>
      <c r="D8779" s="332">
        <v>357.7</v>
      </c>
    </row>
    <row r="8780" spans="1:4" ht="30">
      <c r="A8780" s="28">
        <v>21031</v>
      </c>
      <c r="B8780" s="26" t="s">
        <v>7220</v>
      </c>
      <c r="C8780" s="28" t="s">
        <v>65</v>
      </c>
      <c r="D8780" s="329">
        <v>445.34</v>
      </c>
    </row>
    <row r="8781" spans="1:4" ht="30">
      <c r="A8781" s="47">
        <v>21032</v>
      </c>
      <c r="B8781" s="48" t="s">
        <v>7221</v>
      </c>
      <c r="C8781" s="47" t="s">
        <v>65</v>
      </c>
      <c r="D8781" s="332">
        <v>475.5</v>
      </c>
    </row>
    <row r="8782" spans="1:4" ht="30">
      <c r="A8782" s="28">
        <v>37527</v>
      </c>
      <c r="B8782" s="26" t="s">
        <v>7222</v>
      </c>
      <c r="C8782" s="28" t="s">
        <v>65</v>
      </c>
      <c r="D8782" s="329">
        <v>429.53</v>
      </c>
    </row>
    <row r="8783" spans="1:4" ht="30">
      <c r="A8783" s="47">
        <v>37528</v>
      </c>
      <c r="B8783" s="48" t="s">
        <v>7223</v>
      </c>
      <c r="C8783" s="47" t="s">
        <v>65</v>
      </c>
      <c r="D8783" s="332">
        <v>512.14</v>
      </c>
    </row>
    <row r="8784" spans="1:4" ht="30">
      <c r="A8784" s="28">
        <v>37529</v>
      </c>
      <c r="B8784" s="26" t="s">
        <v>7224</v>
      </c>
      <c r="C8784" s="28" t="s">
        <v>65</v>
      </c>
      <c r="D8784" s="329">
        <v>517.16999999999996</v>
      </c>
    </row>
    <row r="8785" spans="1:4" ht="30">
      <c r="A8785" s="47">
        <v>37530</v>
      </c>
      <c r="B8785" s="48" t="s">
        <v>7225</v>
      </c>
      <c r="C8785" s="47" t="s">
        <v>65</v>
      </c>
      <c r="D8785" s="332">
        <v>675.19</v>
      </c>
    </row>
    <row r="8786" spans="1:4" ht="30">
      <c r="A8786" s="28">
        <v>21034</v>
      </c>
      <c r="B8786" s="26" t="s">
        <v>7226</v>
      </c>
      <c r="C8786" s="28" t="s">
        <v>65</v>
      </c>
      <c r="D8786" s="329">
        <v>576.07000000000005</v>
      </c>
    </row>
    <row r="8787" spans="1:4" ht="30">
      <c r="A8787" s="47">
        <v>37531</v>
      </c>
      <c r="B8787" s="48" t="s">
        <v>7227</v>
      </c>
      <c r="C8787" s="47" t="s">
        <v>65</v>
      </c>
      <c r="D8787" s="332">
        <v>725.47</v>
      </c>
    </row>
    <row r="8788" spans="1:4" ht="30">
      <c r="A8788" s="28">
        <v>21036</v>
      </c>
      <c r="B8788" s="26" t="s">
        <v>7228</v>
      </c>
      <c r="C8788" s="28" t="s">
        <v>65</v>
      </c>
      <c r="D8788" s="329">
        <v>882.06</v>
      </c>
    </row>
    <row r="8789" spans="1:4" ht="30">
      <c r="A8789" s="47">
        <v>21037</v>
      </c>
      <c r="B8789" s="48" t="s">
        <v>7229</v>
      </c>
      <c r="C8789" s="47" t="s">
        <v>65</v>
      </c>
      <c r="D8789" s="332">
        <v>1005.6</v>
      </c>
    </row>
    <row r="8790" spans="1:4" ht="30">
      <c r="A8790" s="28">
        <v>20185</v>
      </c>
      <c r="B8790" s="26" t="s">
        <v>7230</v>
      </c>
      <c r="C8790" s="28" t="s">
        <v>71</v>
      </c>
      <c r="D8790" s="329">
        <v>8.75</v>
      </c>
    </row>
    <row r="8791" spans="1:4">
      <c r="A8791" s="47">
        <v>20260</v>
      </c>
      <c r="B8791" s="48" t="s">
        <v>7231</v>
      </c>
      <c r="C8791" s="47" t="s">
        <v>65</v>
      </c>
      <c r="D8791" s="332">
        <v>8.4700000000000006</v>
      </c>
    </row>
    <row r="8792" spans="1:4" ht="30">
      <c r="A8792" s="28">
        <v>37523</v>
      </c>
      <c r="B8792" s="26" t="s">
        <v>7232</v>
      </c>
      <c r="C8792" s="28" t="s">
        <v>65</v>
      </c>
      <c r="D8792" s="329">
        <v>421798.01</v>
      </c>
    </row>
    <row r="8793" spans="1:4" ht="30">
      <c r="A8793" s="47">
        <v>37515</v>
      </c>
      <c r="B8793" s="48" t="s">
        <v>7239</v>
      </c>
      <c r="C8793" s="47" t="s">
        <v>65</v>
      </c>
      <c r="D8793" s="332">
        <v>375000</v>
      </c>
    </row>
    <row r="8794" spans="1:4" ht="45">
      <c r="A8794" s="28">
        <v>12899</v>
      </c>
      <c r="B8794" s="26" t="s">
        <v>7241</v>
      </c>
      <c r="C8794" s="28" t="s">
        <v>65</v>
      </c>
      <c r="D8794" s="329">
        <v>34.39</v>
      </c>
    </row>
    <row r="8795" spans="1:4" ht="30">
      <c r="A8795" s="47">
        <v>40877</v>
      </c>
      <c r="B8795" s="48" t="s">
        <v>7243</v>
      </c>
      <c r="C8795" s="47" t="s">
        <v>256</v>
      </c>
      <c r="D8795" s="332">
        <v>4.6100000000000003</v>
      </c>
    </row>
    <row r="8796" spans="1:4">
      <c r="A8796" s="28">
        <v>39699</v>
      </c>
      <c r="B8796" s="26" t="s">
        <v>7244</v>
      </c>
      <c r="C8796" s="28" t="s">
        <v>256</v>
      </c>
      <c r="D8796" s="329">
        <v>8.9700000000000006</v>
      </c>
    </row>
    <row r="8797" spans="1:4">
      <c r="A8797" s="47">
        <v>39956</v>
      </c>
      <c r="B8797" s="48" t="s">
        <v>7245</v>
      </c>
      <c r="C8797" s="47" t="s">
        <v>256</v>
      </c>
      <c r="D8797" s="332">
        <v>2.67</v>
      </c>
    </row>
    <row r="8798" spans="1:4" ht="30">
      <c r="A8798" s="28">
        <v>11621</v>
      </c>
      <c r="B8798" s="26" t="s">
        <v>7247</v>
      </c>
      <c r="C8798" s="28" t="s">
        <v>256</v>
      </c>
      <c r="D8798" s="329">
        <v>28.39</v>
      </c>
    </row>
    <row r="8799" spans="1:4" ht="30">
      <c r="A8799" s="47">
        <v>4014</v>
      </c>
      <c r="B8799" s="48" t="s">
        <v>7250</v>
      </c>
      <c r="C8799" s="47" t="s">
        <v>256</v>
      </c>
      <c r="D8799" s="332">
        <v>25.75</v>
      </c>
    </row>
    <row r="8800" spans="1:4" ht="30">
      <c r="A8800" s="28">
        <v>4015</v>
      </c>
      <c r="B8800" s="26" t="s">
        <v>7248</v>
      </c>
      <c r="C8800" s="28" t="s">
        <v>256</v>
      </c>
      <c r="D8800" s="329">
        <v>29.75</v>
      </c>
    </row>
    <row r="8801" spans="1:4" ht="30">
      <c r="A8801" s="47">
        <v>4017</v>
      </c>
      <c r="B8801" s="48" t="s">
        <v>7249</v>
      </c>
      <c r="C8801" s="47" t="s">
        <v>256</v>
      </c>
      <c r="D8801" s="332">
        <v>32.130000000000003</v>
      </c>
    </row>
    <row r="8802" spans="1:4" ht="30">
      <c r="A8802" s="28">
        <v>4016</v>
      </c>
      <c r="B8802" s="26" t="s">
        <v>7251</v>
      </c>
      <c r="C8802" s="28" t="s">
        <v>256</v>
      </c>
      <c r="D8802" s="329">
        <v>19.34</v>
      </c>
    </row>
    <row r="8803" spans="1:4" ht="45">
      <c r="A8803" s="47">
        <v>626</v>
      </c>
      <c r="B8803" s="48" t="s">
        <v>7252</v>
      </c>
      <c r="C8803" s="47" t="s">
        <v>90</v>
      </c>
      <c r="D8803" s="332">
        <v>10.34</v>
      </c>
    </row>
    <row r="8804" spans="1:4">
      <c r="A8804" s="28">
        <v>25860</v>
      </c>
      <c r="B8804" s="26" t="s">
        <v>7253</v>
      </c>
      <c r="C8804" s="28" t="s">
        <v>256</v>
      </c>
      <c r="D8804" s="329">
        <v>7.45</v>
      </c>
    </row>
    <row r="8805" spans="1:4">
      <c r="A8805" s="47">
        <v>25861</v>
      </c>
      <c r="B8805" s="48" t="s">
        <v>7254</v>
      </c>
      <c r="C8805" s="47" t="s">
        <v>256</v>
      </c>
      <c r="D8805" s="332">
        <v>11.24</v>
      </c>
    </row>
    <row r="8806" spans="1:4">
      <c r="A8806" s="28">
        <v>25862</v>
      </c>
      <c r="B8806" s="26" t="s">
        <v>7255</v>
      </c>
      <c r="C8806" s="28" t="s">
        <v>256</v>
      </c>
      <c r="D8806" s="329">
        <v>11.93</v>
      </c>
    </row>
    <row r="8807" spans="1:4">
      <c r="A8807" s="47">
        <v>25863</v>
      </c>
      <c r="B8807" s="48" t="s">
        <v>7256</v>
      </c>
      <c r="C8807" s="47" t="s">
        <v>256</v>
      </c>
      <c r="D8807" s="332">
        <v>14.92</v>
      </c>
    </row>
    <row r="8808" spans="1:4">
      <c r="A8808" s="28">
        <v>25864</v>
      </c>
      <c r="B8808" s="26" t="s">
        <v>7257</v>
      </c>
      <c r="C8808" s="28" t="s">
        <v>256</v>
      </c>
      <c r="D8808" s="329">
        <v>22.37</v>
      </c>
    </row>
    <row r="8809" spans="1:4">
      <c r="A8809" s="47">
        <v>25865</v>
      </c>
      <c r="B8809" s="48" t="s">
        <v>7258</v>
      </c>
      <c r="C8809" s="47" t="s">
        <v>256</v>
      </c>
      <c r="D8809" s="332">
        <v>29.97</v>
      </c>
    </row>
    <row r="8810" spans="1:4">
      <c r="A8810" s="28">
        <v>25866</v>
      </c>
      <c r="B8810" s="26" t="s">
        <v>7259</v>
      </c>
      <c r="C8810" s="28" t="s">
        <v>256</v>
      </c>
      <c r="D8810" s="329">
        <v>37.21</v>
      </c>
    </row>
    <row r="8811" spans="1:4" ht="30">
      <c r="A8811" s="47">
        <v>25868</v>
      </c>
      <c r="B8811" s="48" t="s">
        <v>7260</v>
      </c>
      <c r="C8811" s="47" t="s">
        <v>256</v>
      </c>
      <c r="D8811" s="332">
        <v>8.3000000000000007</v>
      </c>
    </row>
    <row r="8812" spans="1:4" ht="30">
      <c r="A8812" s="28">
        <v>25869</v>
      </c>
      <c r="B8812" s="26" t="s">
        <v>7261</v>
      </c>
      <c r="C8812" s="28" t="s">
        <v>256</v>
      </c>
      <c r="D8812" s="329">
        <v>11.72</v>
      </c>
    </row>
    <row r="8813" spans="1:4" ht="30">
      <c r="A8813" s="47">
        <v>25870</v>
      </c>
      <c r="B8813" s="48" t="s">
        <v>7262</v>
      </c>
      <c r="C8813" s="47" t="s">
        <v>256</v>
      </c>
      <c r="D8813" s="332">
        <v>13.29</v>
      </c>
    </row>
    <row r="8814" spans="1:4" ht="30">
      <c r="A8814" s="28">
        <v>25871</v>
      </c>
      <c r="B8814" s="26" t="s">
        <v>7263</v>
      </c>
      <c r="C8814" s="28" t="s">
        <v>256</v>
      </c>
      <c r="D8814" s="329">
        <v>16.32</v>
      </c>
    </row>
    <row r="8815" spans="1:4" ht="30">
      <c r="A8815" s="47">
        <v>25867</v>
      </c>
      <c r="B8815" s="48" t="s">
        <v>7264</v>
      </c>
      <c r="C8815" s="47" t="s">
        <v>256</v>
      </c>
      <c r="D8815" s="332">
        <v>24.16</v>
      </c>
    </row>
    <row r="8816" spans="1:4" ht="30">
      <c r="A8816" s="28">
        <v>25872</v>
      </c>
      <c r="B8816" s="26" t="s">
        <v>7265</v>
      </c>
      <c r="C8816" s="28" t="s">
        <v>256</v>
      </c>
      <c r="D8816" s="329">
        <v>32.65</v>
      </c>
    </row>
    <row r="8817" spans="1:4" ht="30">
      <c r="A8817" s="47">
        <v>25873</v>
      </c>
      <c r="B8817" s="48" t="s">
        <v>7266</v>
      </c>
      <c r="C8817" s="47" t="s">
        <v>256</v>
      </c>
      <c r="D8817" s="332">
        <v>40.72</v>
      </c>
    </row>
    <row r="8818" spans="1:4" ht="30">
      <c r="A8818" s="28">
        <v>12898</v>
      </c>
      <c r="B8818" s="26" t="s">
        <v>7242</v>
      </c>
      <c r="C8818" s="28" t="s">
        <v>65</v>
      </c>
      <c r="D8818" s="329">
        <v>80.5</v>
      </c>
    </row>
    <row r="8819" spans="1:4" ht="30">
      <c r="A8819" s="47">
        <v>14535</v>
      </c>
      <c r="B8819" s="48" t="s">
        <v>7269</v>
      </c>
      <c r="C8819" s="47" t="s">
        <v>65</v>
      </c>
      <c r="D8819" s="332">
        <v>67183.08</v>
      </c>
    </row>
    <row r="8820" spans="1:4" ht="30">
      <c r="A8820" s="28">
        <v>40637</v>
      </c>
      <c r="B8820" s="26" t="s">
        <v>7270</v>
      </c>
      <c r="C8820" s="28" t="s">
        <v>65</v>
      </c>
      <c r="D8820" s="329">
        <v>444393.8</v>
      </c>
    </row>
    <row r="8821" spans="1:4">
      <c r="A8821" s="47">
        <v>10764</v>
      </c>
      <c r="B8821" s="48" t="s">
        <v>7277</v>
      </c>
      <c r="C8821" s="47" t="s">
        <v>57</v>
      </c>
      <c r="D8821" s="332">
        <v>3.62</v>
      </c>
    </row>
    <row r="8822" spans="1:4" ht="30">
      <c r="A8822" s="28">
        <v>13836</v>
      </c>
      <c r="B8822" s="26" t="s">
        <v>7278</v>
      </c>
      <c r="C8822" s="28" t="s">
        <v>65</v>
      </c>
      <c r="D8822" s="329">
        <v>52194.67</v>
      </c>
    </row>
    <row r="8823" spans="1:4" ht="45">
      <c r="A8823" s="47">
        <v>14534</v>
      </c>
      <c r="B8823" s="48" t="s">
        <v>7291</v>
      </c>
      <c r="C8823" s="47" t="s">
        <v>65</v>
      </c>
      <c r="D8823" s="332">
        <v>21850.07</v>
      </c>
    </row>
    <row r="8824" spans="1:4" ht="30">
      <c r="A8824" s="28">
        <v>14619</v>
      </c>
      <c r="B8824" s="26" t="s">
        <v>7292</v>
      </c>
      <c r="C8824" s="28" t="s">
        <v>65</v>
      </c>
      <c r="D8824" s="329">
        <v>2155.9899999999998</v>
      </c>
    </row>
    <row r="8825" spans="1:4" ht="30">
      <c r="A8825" s="47">
        <v>40638</v>
      </c>
      <c r="B8825" s="48" t="s">
        <v>11430</v>
      </c>
      <c r="C8825" s="47" t="s">
        <v>65</v>
      </c>
      <c r="D8825" s="332">
        <v>116134.91</v>
      </c>
    </row>
    <row r="8826" spans="1:4" ht="60">
      <c r="A8826" s="28">
        <v>39813</v>
      </c>
      <c r="B8826" s="26" t="s">
        <v>7293</v>
      </c>
      <c r="C8826" s="28" t="s">
        <v>65</v>
      </c>
      <c r="D8826" s="329">
        <v>12491</v>
      </c>
    </row>
    <row r="8827" spans="1:4">
      <c r="A8827" s="47">
        <v>12868</v>
      </c>
      <c r="B8827" s="48" t="s">
        <v>194</v>
      </c>
      <c r="C8827" s="47" t="s">
        <v>57</v>
      </c>
      <c r="D8827" s="332">
        <v>11.44</v>
      </c>
    </row>
    <row r="8828" spans="1:4">
      <c r="A8828" s="28">
        <v>40916</v>
      </c>
      <c r="B8828" s="26" t="s">
        <v>7294</v>
      </c>
      <c r="C8828" s="28" t="s">
        <v>1643</v>
      </c>
      <c r="D8828" s="329">
        <v>2017.32</v>
      </c>
    </row>
    <row r="8829" spans="1:4" ht="43.5" customHeight="1">
      <c r="A8829" s="47">
        <v>4755</v>
      </c>
      <c r="B8829" s="48" t="s">
        <v>7295</v>
      </c>
      <c r="C8829" s="47" t="s">
        <v>57</v>
      </c>
      <c r="D8829" s="332">
        <v>12.01</v>
      </c>
    </row>
    <row r="8830" spans="1:4">
      <c r="A8830" s="28">
        <v>41067</v>
      </c>
      <c r="B8830" s="26" t="s">
        <v>7296</v>
      </c>
      <c r="C8830" s="28" t="s">
        <v>1643</v>
      </c>
      <c r="D8830" s="329">
        <v>2114.81</v>
      </c>
    </row>
    <row r="8831" spans="1:4">
      <c r="A8831" s="47">
        <v>38463</v>
      </c>
      <c r="B8831" s="48" t="s">
        <v>7304</v>
      </c>
      <c r="C8831" s="47" t="s">
        <v>65</v>
      </c>
      <c r="D8831" s="332">
        <v>20.309999999999999</v>
      </c>
    </row>
    <row r="8832" spans="1:4" ht="30">
      <c r="A8832" s="28">
        <v>40703</v>
      </c>
      <c r="B8832" s="26" t="s">
        <v>11431</v>
      </c>
      <c r="C8832" s="28" t="s">
        <v>65</v>
      </c>
      <c r="D8832" s="329">
        <v>7185</v>
      </c>
    </row>
    <row r="8833" spans="1:4">
      <c r="A8833" s="47">
        <v>14531</v>
      </c>
      <c r="B8833" s="48" t="s">
        <v>7310</v>
      </c>
      <c r="C8833" s="47" t="s">
        <v>65</v>
      </c>
      <c r="D8833" s="332">
        <v>13395.54</v>
      </c>
    </row>
    <row r="8834" spans="1:4" ht="43.5" customHeight="1">
      <c r="A8834" s="28">
        <v>36533</v>
      </c>
      <c r="B8834" s="26" t="s">
        <v>7311</v>
      </c>
      <c r="C8834" s="28" t="s">
        <v>65</v>
      </c>
      <c r="D8834" s="329">
        <v>15414.85</v>
      </c>
    </row>
    <row r="8835" spans="1:4">
      <c r="A8835" s="47">
        <v>11616</v>
      </c>
      <c r="B8835" s="48" t="s">
        <v>7312</v>
      </c>
      <c r="C8835" s="47" t="s">
        <v>65</v>
      </c>
      <c r="D8835" s="332">
        <v>14559.09</v>
      </c>
    </row>
    <row r="8836" spans="1:4">
      <c r="A8836" s="28">
        <v>41898</v>
      </c>
      <c r="B8836" s="26" t="s">
        <v>11432</v>
      </c>
      <c r="C8836" s="28" t="s">
        <v>65</v>
      </c>
      <c r="D8836" s="329">
        <v>16380.96</v>
      </c>
    </row>
    <row r="8837" spans="1:4" ht="30">
      <c r="A8837" s="47">
        <v>13447</v>
      </c>
      <c r="B8837" s="48" t="s">
        <v>7313</v>
      </c>
      <c r="C8837" s="47" t="s">
        <v>65</v>
      </c>
      <c r="D8837" s="332">
        <v>30142.1</v>
      </c>
    </row>
    <row r="8838" spans="1:4">
      <c r="A8838" s="28">
        <v>14529</v>
      </c>
      <c r="B8838" s="26" t="s">
        <v>7314</v>
      </c>
      <c r="C8838" s="28" t="s">
        <v>65</v>
      </c>
      <c r="D8838" s="329">
        <v>16857.71</v>
      </c>
    </row>
    <row r="8839" spans="1:4">
      <c r="A8839" s="47">
        <v>10747</v>
      </c>
      <c r="B8839" s="48" t="s">
        <v>7320</v>
      </c>
      <c r="C8839" s="47" t="s">
        <v>65</v>
      </c>
      <c r="D8839" s="332">
        <v>16539.990000000002</v>
      </c>
    </row>
    <row r="8840" spans="1:4" ht="30">
      <c r="A8840" s="28">
        <v>36141</v>
      </c>
      <c r="B8840" s="26" t="s">
        <v>7321</v>
      </c>
      <c r="C8840" s="28" t="s">
        <v>65</v>
      </c>
      <c r="D8840" s="329">
        <v>26.67</v>
      </c>
    </row>
    <row r="8841" spans="1:4">
      <c r="A8841" s="47">
        <v>4053</v>
      </c>
      <c r="B8841" s="48" t="s">
        <v>7322</v>
      </c>
      <c r="C8841" s="47" t="s">
        <v>182</v>
      </c>
      <c r="D8841" s="332">
        <v>51.19</v>
      </c>
    </row>
    <row r="8842" spans="1:4">
      <c r="A8842" s="28">
        <v>4052</v>
      </c>
      <c r="B8842" s="26" t="s">
        <v>7323</v>
      </c>
      <c r="C8842" s="28" t="s">
        <v>96</v>
      </c>
      <c r="D8842" s="329">
        <v>104.42</v>
      </c>
    </row>
    <row r="8843" spans="1:4">
      <c r="A8843" s="47">
        <v>4056</v>
      </c>
      <c r="B8843" s="48" t="s">
        <v>7324</v>
      </c>
      <c r="C8843" s="47" t="s">
        <v>182</v>
      </c>
      <c r="D8843" s="332">
        <v>26.92</v>
      </c>
    </row>
    <row r="8844" spans="1:4">
      <c r="A8844" s="28">
        <v>4051</v>
      </c>
      <c r="B8844" s="26" t="s">
        <v>195</v>
      </c>
      <c r="C8844" s="28" t="s">
        <v>96</v>
      </c>
      <c r="D8844" s="329">
        <v>67.2</v>
      </c>
    </row>
    <row r="8845" spans="1:4">
      <c r="A8845" s="47">
        <v>4048</v>
      </c>
      <c r="B8845" s="48" t="s">
        <v>195</v>
      </c>
      <c r="C8845" s="47" t="s">
        <v>91</v>
      </c>
      <c r="D8845" s="332">
        <v>3.73</v>
      </c>
    </row>
    <row r="8846" spans="1:4">
      <c r="A8846" s="28">
        <v>4047</v>
      </c>
      <c r="B8846" s="26" t="s">
        <v>195</v>
      </c>
      <c r="C8846" s="28" t="s">
        <v>182</v>
      </c>
      <c r="D8846" s="329">
        <v>13.44</v>
      </c>
    </row>
    <row r="8847" spans="1:4" ht="30">
      <c r="A8847" s="47">
        <v>39434</v>
      </c>
      <c r="B8847" s="48" t="s">
        <v>7325</v>
      </c>
      <c r="C8847" s="47" t="s">
        <v>90</v>
      </c>
      <c r="D8847" s="332">
        <v>2.5299999999999998</v>
      </c>
    </row>
    <row r="8848" spans="1:4" ht="30">
      <c r="A8848" s="28">
        <v>39433</v>
      </c>
      <c r="B8848" s="26" t="s">
        <v>7326</v>
      </c>
      <c r="C8848" s="28" t="s">
        <v>90</v>
      </c>
      <c r="D8848" s="329">
        <v>1.81</v>
      </c>
    </row>
    <row r="8849" spans="1:4">
      <c r="A8849" s="47">
        <v>4049</v>
      </c>
      <c r="B8849" s="48" t="s">
        <v>7327</v>
      </c>
      <c r="C8849" s="47" t="s">
        <v>91</v>
      </c>
      <c r="D8849" s="332">
        <v>42.1</v>
      </c>
    </row>
    <row r="8850" spans="1:4">
      <c r="A8850" s="28">
        <v>38120</v>
      </c>
      <c r="B8850" s="26" t="s">
        <v>7328</v>
      </c>
      <c r="C8850" s="28" t="s">
        <v>90</v>
      </c>
      <c r="D8850" s="329">
        <v>73.58</v>
      </c>
    </row>
    <row r="8851" spans="1:4">
      <c r="A8851" s="47">
        <v>38877</v>
      </c>
      <c r="B8851" s="48" t="s">
        <v>7329</v>
      </c>
      <c r="C8851" s="47" t="s">
        <v>90</v>
      </c>
      <c r="D8851" s="332">
        <v>5.39</v>
      </c>
    </row>
    <row r="8852" spans="1:4">
      <c r="A8852" s="28">
        <v>10498</v>
      </c>
      <c r="B8852" s="26" t="s">
        <v>196</v>
      </c>
      <c r="C8852" s="28" t="s">
        <v>90</v>
      </c>
      <c r="D8852" s="329">
        <v>4.4400000000000004</v>
      </c>
    </row>
    <row r="8853" spans="1:4">
      <c r="A8853" s="47">
        <v>4823</v>
      </c>
      <c r="B8853" s="48" t="s">
        <v>7330</v>
      </c>
      <c r="C8853" s="47" t="s">
        <v>90</v>
      </c>
      <c r="D8853" s="332">
        <v>30.89</v>
      </c>
    </row>
    <row r="8854" spans="1:4">
      <c r="A8854" s="28">
        <v>12357</v>
      </c>
      <c r="B8854" s="26" t="s">
        <v>7344</v>
      </c>
      <c r="C8854" s="28" t="s">
        <v>65</v>
      </c>
      <c r="D8854" s="329">
        <v>113.35</v>
      </c>
    </row>
    <row r="8855" spans="1:4">
      <c r="A8855" s="47">
        <v>12358</v>
      </c>
      <c r="B8855" s="48" t="s">
        <v>7345</v>
      </c>
      <c r="C8855" s="47" t="s">
        <v>65</v>
      </c>
      <c r="D8855" s="332">
        <v>127.5</v>
      </c>
    </row>
    <row r="8856" spans="1:4" ht="30">
      <c r="A8856" s="28">
        <v>11079</v>
      </c>
      <c r="B8856" s="26" t="s">
        <v>11433</v>
      </c>
      <c r="C8856" s="28" t="s">
        <v>255</v>
      </c>
      <c r="D8856" s="329">
        <v>602.34</v>
      </c>
    </row>
    <row r="8857" spans="1:4" ht="30">
      <c r="A8857" s="47">
        <v>11080</v>
      </c>
      <c r="B8857" s="48" t="s">
        <v>7346</v>
      </c>
      <c r="C8857" s="47" t="s">
        <v>255</v>
      </c>
      <c r="D8857" s="332">
        <v>602.34</v>
      </c>
    </row>
    <row r="8858" spans="1:4" ht="30">
      <c r="A8858" s="28">
        <v>11081</v>
      </c>
      <c r="B8858" s="26" t="s">
        <v>7347</v>
      </c>
      <c r="C8858" s="28" t="s">
        <v>255</v>
      </c>
      <c r="D8858" s="329">
        <v>602.34</v>
      </c>
    </row>
    <row r="8859" spans="1:4" ht="30">
      <c r="A8859" s="47">
        <v>11082</v>
      </c>
      <c r="B8859" s="48" t="s">
        <v>7348</v>
      </c>
      <c r="C8859" s="47" t="s">
        <v>255</v>
      </c>
      <c r="D8859" s="332">
        <v>614.53</v>
      </c>
    </row>
    <row r="8860" spans="1:4" ht="30">
      <c r="A8860" s="28">
        <v>11083</v>
      </c>
      <c r="B8860" s="26" t="s">
        <v>7349</v>
      </c>
      <c r="C8860" s="28" t="s">
        <v>255</v>
      </c>
      <c r="D8860" s="329">
        <v>602.34</v>
      </c>
    </row>
    <row r="8861" spans="1:4" ht="30">
      <c r="A8861" s="47">
        <v>11084</v>
      </c>
      <c r="B8861" s="48" t="s">
        <v>7350</v>
      </c>
      <c r="C8861" s="47" t="s">
        <v>255</v>
      </c>
      <c r="D8861" s="332">
        <v>602.34</v>
      </c>
    </row>
    <row r="8862" spans="1:4">
      <c r="A8862" s="28">
        <v>4058</v>
      </c>
      <c r="B8862" s="26" t="s">
        <v>7351</v>
      </c>
      <c r="C8862" s="28" t="s">
        <v>57</v>
      </c>
      <c r="D8862" s="329">
        <v>28.1</v>
      </c>
    </row>
    <row r="8863" spans="1:4">
      <c r="A8863" s="47">
        <v>40974</v>
      </c>
      <c r="B8863" s="48" t="s">
        <v>7352</v>
      </c>
      <c r="C8863" s="47" t="s">
        <v>1643</v>
      </c>
      <c r="D8863" s="332">
        <v>4949.3500000000004</v>
      </c>
    </row>
    <row r="8864" spans="1:4">
      <c r="A8864" s="28">
        <v>34794</v>
      </c>
      <c r="B8864" s="26" t="s">
        <v>7354</v>
      </c>
      <c r="C8864" s="28" t="s">
        <v>57</v>
      </c>
      <c r="D8864" s="329">
        <v>12.33</v>
      </c>
    </row>
    <row r="8865" spans="1:4">
      <c r="A8865" s="47">
        <v>40925</v>
      </c>
      <c r="B8865" s="48" t="s">
        <v>7355</v>
      </c>
      <c r="C8865" s="47" t="s">
        <v>1643</v>
      </c>
      <c r="D8865" s="332">
        <v>2170.46</v>
      </c>
    </row>
    <row r="8866" spans="1:4">
      <c r="A8866" s="28">
        <v>13741</v>
      </c>
      <c r="B8866" s="26" t="s">
        <v>7356</v>
      </c>
      <c r="C8866" s="28" t="s">
        <v>65</v>
      </c>
      <c r="D8866" s="329">
        <v>1896.24</v>
      </c>
    </row>
    <row r="8867" spans="1:4" ht="30">
      <c r="A8867" s="47">
        <v>3288</v>
      </c>
      <c r="B8867" s="48" t="s">
        <v>7357</v>
      </c>
      <c r="C8867" s="47" t="s">
        <v>71</v>
      </c>
      <c r="D8867" s="332">
        <v>4.5</v>
      </c>
    </row>
    <row r="8868" spans="1:4" ht="30">
      <c r="A8868" s="28">
        <v>13587</v>
      </c>
      <c r="B8868" s="26" t="s">
        <v>7358</v>
      </c>
      <c r="C8868" s="28" t="s">
        <v>71</v>
      </c>
      <c r="D8868" s="329">
        <v>2.71</v>
      </c>
    </row>
    <row r="8869" spans="1:4">
      <c r="A8869" s="47">
        <v>38598</v>
      </c>
      <c r="B8869" s="48" t="s">
        <v>7359</v>
      </c>
      <c r="C8869" s="47" t="s">
        <v>65</v>
      </c>
      <c r="D8869" s="332">
        <v>2.2599999999999998</v>
      </c>
    </row>
    <row r="8870" spans="1:4">
      <c r="A8870" s="28">
        <v>38595</v>
      </c>
      <c r="B8870" s="26" t="s">
        <v>7360</v>
      </c>
      <c r="C8870" s="28" t="s">
        <v>65</v>
      </c>
      <c r="D8870" s="329">
        <v>1.56</v>
      </c>
    </row>
    <row r="8871" spans="1:4">
      <c r="A8871" s="47">
        <v>38592</v>
      </c>
      <c r="B8871" s="48" t="s">
        <v>7361</v>
      </c>
      <c r="C8871" s="47" t="s">
        <v>65</v>
      </c>
      <c r="D8871" s="332">
        <v>2.04</v>
      </c>
    </row>
    <row r="8872" spans="1:4">
      <c r="A8872" s="28">
        <v>38588</v>
      </c>
      <c r="B8872" s="26" t="s">
        <v>7362</v>
      </c>
      <c r="C8872" s="28" t="s">
        <v>65</v>
      </c>
      <c r="D8872" s="329">
        <v>1.29</v>
      </c>
    </row>
    <row r="8873" spans="1:4">
      <c r="A8873" s="47">
        <v>38593</v>
      </c>
      <c r="B8873" s="48" t="s">
        <v>7363</v>
      </c>
      <c r="C8873" s="47" t="s">
        <v>65</v>
      </c>
      <c r="D8873" s="332">
        <v>2.19</v>
      </c>
    </row>
    <row r="8874" spans="1:4">
      <c r="A8874" s="28">
        <v>38589</v>
      </c>
      <c r="B8874" s="26" t="s">
        <v>7364</v>
      </c>
      <c r="C8874" s="28" t="s">
        <v>65</v>
      </c>
      <c r="D8874" s="329">
        <v>1.57</v>
      </c>
    </row>
    <row r="8875" spans="1:4">
      <c r="A8875" s="47">
        <v>38594</v>
      </c>
      <c r="B8875" s="48" t="s">
        <v>7365</v>
      </c>
      <c r="C8875" s="47" t="s">
        <v>65</v>
      </c>
      <c r="D8875" s="332">
        <v>3.25</v>
      </c>
    </row>
    <row r="8876" spans="1:4">
      <c r="A8876" s="28">
        <v>34787</v>
      </c>
      <c r="B8876" s="26" t="s">
        <v>7366</v>
      </c>
      <c r="C8876" s="28" t="s">
        <v>65</v>
      </c>
      <c r="D8876" s="329">
        <v>0.75</v>
      </c>
    </row>
    <row r="8877" spans="1:4">
      <c r="A8877" s="47">
        <v>34788</v>
      </c>
      <c r="B8877" s="48" t="s">
        <v>7367</v>
      </c>
      <c r="C8877" s="47" t="s">
        <v>65</v>
      </c>
      <c r="D8877" s="332">
        <v>0.76</v>
      </c>
    </row>
    <row r="8878" spans="1:4">
      <c r="A8878" s="28">
        <v>34784</v>
      </c>
      <c r="B8878" s="26" t="s">
        <v>7368</v>
      </c>
      <c r="C8878" s="28" t="s">
        <v>65</v>
      </c>
      <c r="D8878" s="329">
        <v>0.83</v>
      </c>
    </row>
    <row r="8879" spans="1:4">
      <c r="A8879" s="47">
        <v>34781</v>
      </c>
      <c r="B8879" s="48" t="s">
        <v>7369</v>
      </c>
      <c r="C8879" s="47" t="s">
        <v>65</v>
      </c>
      <c r="D8879" s="332">
        <v>0.94</v>
      </c>
    </row>
    <row r="8880" spans="1:4">
      <c r="A8880" s="28">
        <v>34773</v>
      </c>
      <c r="B8880" s="26" t="s">
        <v>7373</v>
      </c>
      <c r="C8880" s="28" t="s">
        <v>65</v>
      </c>
      <c r="D8880" s="329">
        <v>1.63</v>
      </c>
    </row>
    <row r="8881" spans="1:4">
      <c r="A8881" s="47">
        <v>34769</v>
      </c>
      <c r="B8881" s="48" t="s">
        <v>7374</v>
      </c>
      <c r="C8881" s="47" t="s">
        <v>65</v>
      </c>
      <c r="D8881" s="332">
        <v>1.88</v>
      </c>
    </row>
    <row r="8882" spans="1:4">
      <c r="A8882" s="28">
        <v>34763</v>
      </c>
      <c r="B8882" s="26" t="s">
        <v>7375</v>
      </c>
      <c r="C8882" s="28" t="s">
        <v>65</v>
      </c>
      <c r="D8882" s="329">
        <v>1.0900000000000001</v>
      </c>
    </row>
    <row r="8883" spans="1:4">
      <c r="A8883" s="47">
        <v>34774</v>
      </c>
      <c r="B8883" s="48" t="s">
        <v>7370</v>
      </c>
      <c r="C8883" s="47" t="s">
        <v>65</v>
      </c>
      <c r="D8883" s="332">
        <v>1.46</v>
      </c>
    </row>
    <row r="8884" spans="1:4">
      <c r="A8884" s="28">
        <v>34771</v>
      </c>
      <c r="B8884" s="26" t="s">
        <v>7371</v>
      </c>
      <c r="C8884" s="28" t="s">
        <v>65</v>
      </c>
      <c r="D8884" s="329">
        <v>1.67</v>
      </c>
    </row>
    <row r="8885" spans="1:4">
      <c r="A8885" s="47">
        <v>34764</v>
      </c>
      <c r="B8885" s="48" t="s">
        <v>7372</v>
      </c>
      <c r="C8885" s="47" t="s">
        <v>65</v>
      </c>
      <c r="D8885" s="332">
        <v>1.02</v>
      </c>
    </row>
    <row r="8886" spans="1:4">
      <c r="A8886" s="28">
        <v>4062</v>
      </c>
      <c r="B8886" s="26" t="s">
        <v>7376</v>
      </c>
      <c r="C8886" s="28" t="s">
        <v>65</v>
      </c>
      <c r="D8886" s="329">
        <v>17.73</v>
      </c>
    </row>
    <row r="8887" spans="1:4">
      <c r="A8887" s="47">
        <v>4059</v>
      </c>
      <c r="B8887" s="48" t="s">
        <v>7377</v>
      </c>
      <c r="C8887" s="47" t="s">
        <v>71</v>
      </c>
      <c r="D8887" s="332">
        <v>21.5</v>
      </c>
    </row>
    <row r="8888" spans="1:4">
      <c r="A8888" s="28">
        <v>4061</v>
      </c>
      <c r="B8888" s="26" t="s">
        <v>7378</v>
      </c>
      <c r="C8888" s="28" t="s">
        <v>65</v>
      </c>
      <c r="D8888" s="329">
        <v>17.2</v>
      </c>
    </row>
    <row r="8889" spans="1:4" ht="30">
      <c r="A8889" s="47">
        <v>10608</v>
      </c>
      <c r="B8889" s="48" t="s">
        <v>7379</v>
      </c>
      <c r="C8889" s="47" t="s">
        <v>65</v>
      </c>
      <c r="D8889" s="332">
        <v>7466.67</v>
      </c>
    </row>
    <row r="8890" spans="1:4">
      <c r="A8890" s="28">
        <v>4069</v>
      </c>
      <c r="B8890" s="26" t="s">
        <v>197</v>
      </c>
      <c r="C8890" s="28" t="s">
        <v>57</v>
      </c>
      <c r="D8890" s="329">
        <v>39.76</v>
      </c>
    </row>
    <row r="8891" spans="1:4">
      <c r="A8891" s="47">
        <v>40819</v>
      </c>
      <c r="B8891" s="48" t="s">
        <v>198</v>
      </c>
      <c r="C8891" s="47" t="s">
        <v>1643</v>
      </c>
      <c r="D8891" s="332">
        <v>7001.6</v>
      </c>
    </row>
    <row r="8892" spans="1:4">
      <c r="A8892" s="28">
        <v>34361</v>
      </c>
      <c r="B8892" s="26" t="s">
        <v>199</v>
      </c>
      <c r="C8892" s="28" t="s">
        <v>90</v>
      </c>
      <c r="D8892" s="329">
        <v>1.81</v>
      </c>
    </row>
    <row r="8893" spans="1:4" ht="30">
      <c r="A8893" s="47">
        <v>36512</v>
      </c>
      <c r="B8893" s="48" t="s">
        <v>7382</v>
      </c>
      <c r="C8893" s="47" t="s">
        <v>65</v>
      </c>
      <c r="D8893" s="332">
        <v>9052.32</v>
      </c>
    </row>
    <row r="8894" spans="1:4" ht="30">
      <c r="A8894" s="28">
        <v>25972</v>
      </c>
      <c r="B8894" s="26" t="s">
        <v>7380</v>
      </c>
      <c r="C8894" s="28" t="s">
        <v>90</v>
      </c>
      <c r="D8894" s="329">
        <v>5.82</v>
      </c>
    </row>
    <row r="8895" spans="1:4" ht="30">
      <c r="A8895" s="47">
        <v>25973</v>
      </c>
      <c r="B8895" s="48" t="s">
        <v>7381</v>
      </c>
      <c r="C8895" s="47" t="s">
        <v>90</v>
      </c>
      <c r="D8895" s="332">
        <v>5.82</v>
      </c>
    </row>
    <row r="8896" spans="1:4">
      <c r="A8896" s="28">
        <v>11697</v>
      </c>
      <c r="B8896" s="26" t="s">
        <v>7383</v>
      </c>
      <c r="C8896" s="28" t="s">
        <v>65</v>
      </c>
      <c r="D8896" s="329">
        <v>380.77</v>
      </c>
    </row>
    <row r="8897" spans="1:4">
      <c r="A8897" s="47">
        <v>11698</v>
      </c>
      <c r="B8897" s="48" t="s">
        <v>7384</v>
      </c>
      <c r="C8897" s="47" t="s">
        <v>65</v>
      </c>
      <c r="D8897" s="332">
        <v>454.24</v>
      </c>
    </row>
    <row r="8898" spans="1:4">
      <c r="A8898" s="28">
        <v>11699</v>
      </c>
      <c r="B8898" s="26" t="s">
        <v>7385</v>
      </c>
      <c r="C8898" s="28" t="s">
        <v>65</v>
      </c>
      <c r="D8898" s="329">
        <v>502.04</v>
      </c>
    </row>
    <row r="8899" spans="1:4">
      <c r="A8899" s="47">
        <v>10432</v>
      </c>
      <c r="B8899" s="48" t="s">
        <v>7387</v>
      </c>
      <c r="C8899" s="47" t="s">
        <v>65</v>
      </c>
      <c r="D8899" s="332">
        <v>229.72</v>
      </c>
    </row>
    <row r="8900" spans="1:4">
      <c r="A8900" s="28">
        <v>10430</v>
      </c>
      <c r="B8900" s="26" t="s">
        <v>7388</v>
      </c>
      <c r="C8900" s="28" t="s">
        <v>65</v>
      </c>
      <c r="D8900" s="329">
        <v>247.4</v>
      </c>
    </row>
    <row r="8901" spans="1:4" ht="30">
      <c r="A8901" s="47">
        <v>37514</v>
      </c>
      <c r="B8901" s="48" t="s">
        <v>7389</v>
      </c>
      <c r="C8901" s="47" t="s">
        <v>65</v>
      </c>
      <c r="D8901" s="332">
        <v>138397.42000000001</v>
      </c>
    </row>
    <row r="8902" spans="1:4" ht="30">
      <c r="A8902" s="28">
        <v>37519</v>
      </c>
      <c r="B8902" s="26" t="s">
        <v>7390</v>
      </c>
      <c r="C8902" s="28" t="s">
        <v>65</v>
      </c>
      <c r="D8902" s="329">
        <v>213587.82</v>
      </c>
    </row>
    <row r="8903" spans="1:4" ht="30">
      <c r="A8903" s="47">
        <v>37520</v>
      </c>
      <c r="B8903" s="48" t="s">
        <v>7397</v>
      </c>
      <c r="C8903" s="47" t="s">
        <v>65</v>
      </c>
      <c r="D8903" s="332">
        <v>210086.38</v>
      </c>
    </row>
    <row r="8904" spans="1:4" ht="30">
      <c r="A8904" s="28">
        <v>37521</v>
      </c>
      <c r="B8904" s="26" t="s">
        <v>7398</v>
      </c>
      <c r="C8904" s="28" t="s">
        <v>65</v>
      </c>
      <c r="D8904" s="329">
        <v>256305.39</v>
      </c>
    </row>
    <row r="8905" spans="1:4" ht="30">
      <c r="A8905" s="47">
        <v>37522</v>
      </c>
      <c r="B8905" s="48" t="s">
        <v>7399</v>
      </c>
      <c r="C8905" s="47" t="s">
        <v>65</v>
      </c>
      <c r="D8905" s="332">
        <v>264016.53000000003</v>
      </c>
    </row>
    <row r="8906" spans="1:4" ht="30">
      <c r="A8906" s="28">
        <v>21109</v>
      </c>
      <c r="B8906" s="26" t="s">
        <v>7400</v>
      </c>
      <c r="C8906" s="28" t="s">
        <v>65</v>
      </c>
      <c r="D8906" s="329">
        <v>51</v>
      </c>
    </row>
    <row r="8907" spans="1:4">
      <c r="A8907" s="47">
        <v>36800</v>
      </c>
      <c r="B8907" s="48" t="s">
        <v>7401</v>
      </c>
      <c r="C8907" s="47" t="s">
        <v>65</v>
      </c>
      <c r="D8907" s="332">
        <v>71.260000000000005</v>
      </c>
    </row>
    <row r="8908" spans="1:4">
      <c r="A8908" s="28">
        <v>11769</v>
      </c>
      <c r="B8908" s="26" t="s">
        <v>7402</v>
      </c>
      <c r="C8908" s="28" t="s">
        <v>65</v>
      </c>
      <c r="D8908" s="329">
        <v>174.63</v>
      </c>
    </row>
    <row r="8909" spans="1:4">
      <c r="A8909" s="47">
        <v>36793</v>
      </c>
      <c r="B8909" s="48" t="s">
        <v>7403</v>
      </c>
      <c r="C8909" s="47" t="s">
        <v>65</v>
      </c>
      <c r="D8909" s="332">
        <v>282.74</v>
      </c>
    </row>
    <row r="8910" spans="1:4" ht="30">
      <c r="A8910" s="28">
        <v>37546</v>
      </c>
      <c r="B8910" s="26" t="s">
        <v>7410</v>
      </c>
      <c r="C8910" s="28" t="s">
        <v>65</v>
      </c>
      <c r="D8910" s="329">
        <v>8330.4699999999993</v>
      </c>
    </row>
    <row r="8911" spans="1:4" ht="30">
      <c r="A8911" s="47">
        <v>37544</v>
      </c>
      <c r="B8911" s="48" t="s">
        <v>7417</v>
      </c>
      <c r="C8911" s="47" t="s">
        <v>65</v>
      </c>
      <c r="D8911" s="332">
        <v>8810.8700000000008</v>
      </c>
    </row>
    <row r="8912" spans="1:4" ht="30">
      <c r="A8912" s="28">
        <v>37545</v>
      </c>
      <c r="B8912" s="26" t="s">
        <v>7424</v>
      </c>
      <c r="C8912" s="28" t="s">
        <v>65</v>
      </c>
      <c r="D8912" s="329">
        <v>10483.75</v>
      </c>
    </row>
    <row r="8913" spans="1:4">
      <c r="A8913" s="47">
        <v>11771</v>
      </c>
      <c r="B8913" s="48" t="s">
        <v>7425</v>
      </c>
      <c r="C8913" s="47" t="s">
        <v>65</v>
      </c>
      <c r="D8913" s="332">
        <v>216.61</v>
      </c>
    </row>
    <row r="8914" spans="1:4" ht="45">
      <c r="A8914" s="28">
        <v>39919</v>
      </c>
      <c r="B8914" s="26" t="s">
        <v>7426</v>
      </c>
      <c r="C8914" s="28" t="s">
        <v>65</v>
      </c>
      <c r="D8914" s="329">
        <v>41698.61</v>
      </c>
    </row>
    <row r="8915" spans="1:4" ht="30">
      <c r="A8915" s="47">
        <v>38385</v>
      </c>
      <c r="B8915" s="48" t="s">
        <v>7433</v>
      </c>
      <c r="C8915" s="47" t="s">
        <v>65</v>
      </c>
      <c r="D8915" s="332">
        <v>31.58</v>
      </c>
    </row>
    <row r="8916" spans="1:4">
      <c r="A8916" s="28">
        <v>37587</v>
      </c>
      <c r="B8916" s="26" t="s">
        <v>200</v>
      </c>
      <c r="C8916" s="28" t="s">
        <v>65</v>
      </c>
      <c r="D8916" s="329">
        <v>197.02</v>
      </c>
    </row>
    <row r="8917" spans="1:4">
      <c r="A8917" s="47">
        <v>11571</v>
      </c>
      <c r="B8917" s="48" t="s">
        <v>7437</v>
      </c>
      <c r="C8917" s="47" t="s">
        <v>65</v>
      </c>
      <c r="D8917" s="332">
        <v>150.85</v>
      </c>
    </row>
    <row r="8918" spans="1:4">
      <c r="A8918" s="28">
        <v>11561</v>
      </c>
      <c r="B8918" s="26" t="s">
        <v>7438</v>
      </c>
      <c r="C8918" s="28" t="s">
        <v>65</v>
      </c>
      <c r="D8918" s="329">
        <v>116.67</v>
      </c>
    </row>
    <row r="8919" spans="1:4">
      <c r="A8919" s="47">
        <v>11560</v>
      </c>
      <c r="B8919" s="48" t="s">
        <v>7439</v>
      </c>
      <c r="C8919" s="47" t="s">
        <v>65</v>
      </c>
      <c r="D8919" s="332">
        <v>99.3</v>
      </c>
    </row>
    <row r="8920" spans="1:4">
      <c r="A8920" s="28">
        <v>11499</v>
      </c>
      <c r="B8920" s="26" t="s">
        <v>7440</v>
      </c>
      <c r="C8920" s="28" t="s">
        <v>65</v>
      </c>
      <c r="D8920" s="329">
        <v>1233.45</v>
      </c>
    </row>
    <row r="8921" spans="1:4">
      <c r="A8921" s="47">
        <v>40924</v>
      </c>
      <c r="B8921" s="48" t="s">
        <v>7443</v>
      </c>
      <c r="C8921" s="47" t="s">
        <v>1643</v>
      </c>
      <c r="D8921" s="332">
        <v>1956.09</v>
      </c>
    </row>
    <row r="8922" spans="1:4">
      <c r="A8922" s="28">
        <v>25957</v>
      </c>
      <c r="B8922" s="26" t="s">
        <v>7444</v>
      </c>
      <c r="C8922" s="28" t="s">
        <v>57</v>
      </c>
      <c r="D8922" s="329">
        <v>15.05</v>
      </c>
    </row>
    <row r="8923" spans="1:4">
      <c r="A8923" s="47">
        <v>40983</v>
      </c>
      <c r="B8923" s="48" t="s">
        <v>7445</v>
      </c>
      <c r="C8923" s="47" t="s">
        <v>1643</v>
      </c>
      <c r="D8923" s="332">
        <v>2652.02</v>
      </c>
    </row>
    <row r="8924" spans="1:4">
      <c r="A8924" s="28">
        <v>40921</v>
      </c>
      <c r="B8924" s="26" t="s">
        <v>7446</v>
      </c>
      <c r="C8924" s="28" t="s">
        <v>1643</v>
      </c>
      <c r="D8924" s="329">
        <v>3063.03</v>
      </c>
    </row>
    <row r="8925" spans="1:4">
      <c r="A8925" s="47">
        <v>34761</v>
      </c>
      <c r="B8925" s="48" t="s">
        <v>201</v>
      </c>
      <c r="C8925" s="47" t="s">
        <v>57</v>
      </c>
      <c r="D8925" s="332">
        <v>11.1</v>
      </c>
    </row>
    <row r="8926" spans="1:4">
      <c r="A8926" s="28">
        <v>2437</v>
      </c>
      <c r="B8926" s="26" t="s">
        <v>11434</v>
      </c>
      <c r="C8926" s="28" t="s">
        <v>57</v>
      </c>
      <c r="D8926" s="329">
        <v>17.39</v>
      </c>
    </row>
    <row r="8927" spans="1:4" ht="30">
      <c r="A8927" s="47">
        <v>40534</v>
      </c>
      <c r="B8927" s="48" t="s">
        <v>7579</v>
      </c>
      <c r="C8927" s="47" t="s">
        <v>65</v>
      </c>
      <c r="D8927" s="332">
        <v>159.05000000000001</v>
      </c>
    </row>
    <row r="8928" spans="1:4" ht="30">
      <c r="A8928" s="28">
        <v>14252</v>
      </c>
      <c r="B8928" s="26" t="s">
        <v>7580</v>
      </c>
      <c r="C8928" s="28" t="s">
        <v>65</v>
      </c>
      <c r="D8928" s="329">
        <v>1809.17</v>
      </c>
    </row>
    <row r="8929" spans="1:4" ht="30">
      <c r="A8929" s="47">
        <v>730</v>
      </c>
      <c r="B8929" s="48" t="s">
        <v>7581</v>
      </c>
      <c r="C8929" s="47" t="s">
        <v>65</v>
      </c>
      <c r="D8929" s="332">
        <v>4833.76</v>
      </c>
    </row>
    <row r="8930" spans="1:4" ht="30">
      <c r="A8930" s="28">
        <v>723</v>
      </c>
      <c r="B8930" s="26" t="s">
        <v>7582</v>
      </c>
      <c r="C8930" s="28" t="s">
        <v>65</v>
      </c>
      <c r="D8930" s="329">
        <v>2402.5500000000002</v>
      </c>
    </row>
    <row r="8931" spans="1:4" ht="30">
      <c r="A8931" s="47">
        <v>36502</v>
      </c>
      <c r="B8931" s="48" t="s">
        <v>7589</v>
      </c>
      <c r="C8931" s="47" t="s">
        <v>65</v>
      </c>
      <c r="D8931" s="332">
        <v>2258.11</v>
      </c>
    </row>
    <row r="8932" spans="1:4" ht="30">
      <c r="A8932" s="28">
        <v>36503</v>
      </c>
      <c r="B8932" s="26" t="s">
        <v>7596</v>
      </c>
      <c r="C8932" s="28" t="s">
        <v>65</v>
      </c>
      <c r="D8932" s="329">
        <v>2784.52</v>
      </c>
    </row>
    <row r="8933" spans="1:4" ht="30">
      <c r="A8933" s="47">
        <v>4087</v>
      </c>
      <c r="B8933" s="48" t="s">
        <v>7597</v>
      </c>
      <c r="C8933" s="47" t="s">
        <v>65</v>
      </c>
      <c r="D8933" s="332">
        <v>10782</v>
      </c>
    </row>
    <row r="8934" spans="1:4" ht="43.5" customHeight="1">
      <c r="A8934" s="28">
        <v>13227</v>
      </c>
      <c r="B8934" s="26" t="s">
        <v>7598</v>
      </c>
      <c r="C8934" s="28" t="s">
        <v>65</v>
      </c>
      <c r="D8934" s="329">
        <v>548304.75</v>
      </c>
    </row>
    <row r="8935" spans="1:4">
      <c r="A8935" s="47">
        <v>10597</v>
      </c>
      <c r="B8935" s="48" t="s">
        <v>7599</v>
      </c>
      <c r="C8935" s="47" t="s">
        <v>65</v>
      </c>
      <c r="D8935" s="332">
        <v>737808.75</v>
      </c>
    </row>
    <row r="8936" spans="1:4" ht="30">
      <c r="A8936" s="28">
        <v>4090</v>
      </c>
      <c r="B8936" s="26" t="s">
        <v>11435</v>
      </c>
      <c r="C8936" s="28" t="s">
        <v>65</v>
      </c>
      <c r="D8936" s="329">
        <v>525000</v>
      </c>
    </row>
    <row r="8937" spans="1:4" ht="43.5" customHeight="1">
      <c r="A8937" s="47">
        <v>39628</v>
      </c>
      <c r="B8937" s="48" t="s">
        <v>7606</v>
      </c>
      <c r="C8937" s="47" t="s">
        <v>65</v>
      </c>
      <c r="D8937" s="332">
        <v>2456.7600000000002</v>
      </c>
    </row>
    <row r="8938" spans="1:4" ht="43.5" customHeight="1">
      <c r="A8938" s="28">
        <v>39404</v>
      </c>
      <c r="B8938" s="26" t="s">
        <v>7607</v>
      </c>
      <c r="C8938" s="28" t="s">
        <v>65</v>
      </c>
      <c r="D8938" s="329">
        <v>1218.23</v>
      </c>
    </row>
    <row r="8939" spans="1:4">
      <c r="A8939" s="47">
        <v>39402</v>
      </c>
      <c r="B8939" s="48" t="s">
        <v>7608</v>
      </c>
      <c r="C8939" s="47" t="s">
        <v>65</v>
      </c>
      <c r="D8939" s="332">
        <v>1003.59</v>
      </c>
    </row>
    <row r="8940" spans="1:4" ht="43.5" customHeight="1">
      <c r="A8940" s="28">
        <v>39403</v>
      </c>
      <c r="B8940" s="26" t="s">
        <v>7609</v>
      </c>
      <c r="C8940" s="28" t="s">
        <v>65</v>
      </c>
      <c r="D8940" s="329">
        <v>981.76</v>
      </c>
    </row>
    <row r="8941" spans="1:4" ht="43.5" customHeight="1">
      <c r="A8941" s="47">
        <v>4093</v>
      </c>
      <c r="B8941" s="48" t="s">
        <v>7610</v>
      </c>
      <c r="C8941" s="47" t="s">
        <v>57</v>
      </c>
      <c r="D8941" s="332">
        <v>27.93</v>
      </c>
    </row>
    <row r="8942" spans="1:4">
      <c r="A8942" s="28">
        <v>10512</v>
      </c>
      <c r="B8942" s="26" t="s">
        <v>7611</v>
      </c>
      <c r="C8942" s="28" t="s">
        <v>1643</v>
      </c>
      <c r="D8942" s="329">
        <v>4924.46</v>
      </c>
    </row>
    <row r="8943" spans="1:4">
      <c r="A8943" s="47">
        <v>20020</v>
      </c>
      <c r="B8943" s="48" t="s">
        <v>11436</v>
      </c>
      <c r="C8943" s="47" t="s">
        <v>57</v>
      </c>
      <c r="D8943" s="332">
        <v>27.93</v>
      </c>
    </row>
    <row r="8944" spans="1:4">
      <c r="A8944" s="28">
        <v>4094</v>
      </c>
      <c r="B8944" s="26" t="s">
        <v>11437</v>
      </c>
      <c r="C8944" s="28" t="s">
        <v>57</v>
      </c>
      <c r="D8944" s="329">
        <v>27.95</v>
      </c>
    </row>
    <row r="8945" spans="1:4">
      <c r="A8945" s="47">
        <v>41038</v>
      </c>
      <c r="B8945" s="48" t="s">
        <v>7613</v>
      </c>
      <c r="C8945" s="47" t="s">
        <v>1643</v>
      </c>
      <c r="D8945" s="332">
        <v>4921.1400000000003</v>
      </c>
    </row>
    <row r="8946" spans="1:4">
      <c r="A8946" s="28">
        <v>40988</v>
      </c>
      <c r="B8946" s="26" t="s">
        <v>7614</v>
      </c>
      <c r="C8946" s="28" t="s">
        <v>1643</v>
      </c>
      <c r="D8946" s="329">
        <v>4923.97</v>
      </c>
    </row>
    <row r="8947" spans="1:4">
      <c r="A8947" s="47">
        <v>40990</v>
      </c>
      <c r="B8947" s="48" t="s">
        <v>7615</v>
      </c>
      <c r="C8947" s="47" t="s">
        <v>1643</v>
      </c>
      <c r="D8947" s="332">
        <v>4547.29</v>
      </c>
    </row>
    <row r="8948" spans="1:4">
      <c r="A8948" s="28">
        <v>40994</v>
      </c>
      <c r="B8948" s="26" t="s">
        <v>7616</v>
      </c>
      <c r="C8948" s="28" t="s">
        <v>1643</v>
      </c>
      <c r="D8948" s="329">
        <v>4923.97</v>
      </c>
    </row>
    <row r="8949" spans="1:4">
      <c r="A8949" s="47">
        <v>4095</v>
      </c>
      <c r="B8949" s="48" t="s">
        <v>202</v>
      </c>
      <c r="C8949" s="47" t="s">
        <v>57</v>
      </c>
      <c r="D8949" s="332">
        <v>25.84</v>
      </c>
    </row>
    <row r="8950" spans="1:4">
      <c r="A8950" s="28">
        <v>4097</v>
      </c>
      <c r="B8950" s="26" t="s">
        <v>203</v>
      </c>
      <c r="C8950" s="28" t="s">
        <v>57</v>
      </c>
      <c r="D8950" s="329">
        <v>27.95</v>
      </c>
    </row>
    <row r="8951" spans="1:4">
      <c r="A8951" s="47">
        <v>40992</v>
      </c>
      <c r="B8951" s="48" t="s">
        <v>7618</v>
      </c>
      <c r="C8951" s="47" t="s">
        <v>1643</v>
      </c>
      <c r="D8951" s="332">
        <v>5390.19</v>
      </c>
    </row>
    <row r="8952" spans="1:4">
      <c r="A8952" s="28">
        <v>4096</v>
      </c>
      <c r="B8952" s="26" t="s">
        <v>7619</v>
      </c>
      <c r="C8952" s="28" t="s">
        <v>57</v>
      </c>
      <c r="D8952" s="329">
        <v>30.6</v>
      </c>
    </row>
    <row r="8953" spans="1:4">
      <c r="A8953" s="47">
        <v>13955</v>
      </c>
      <c r="B8953" s="48" t="s">
        <v>7620</v>
      </c>
      <c r="C8953" s="47" t="s">
        <v>65</v>
      </c>
      <c r="D8953" s="332">
        <v>2116.9499999999998</v>
      </c>
    </row>
    <row r="8954" spans="1:4" ht="30">
      <c r="A8954" s="28">
        <v>4114</v>
      </c>
      <c r="B8954" s="26" t="s">
        <v>7621</v>
      </c>
      <c r="C8954" s="28" t="s">
        <v>65</v>
      </c>
      <c r="D8954" s="329">
        <v>36.74</v>
      </c>
    </row>
    <row r="8955" spans="1:4">
      <c r="A8955" s="47">
        <v>36797</v>
      </c>
      <c r="B8955" s="48" t="s">
        <v>7622</v>
      </c>
      <c r="C8955" s="47" t="s">
        <v>65</v>
      </c>
      <c r="D8955" s="332">
        <v>32.119999999999997</v>
      </c>
    </row>
    <row r="8956" spans="1:4">
      <c r="A8956" s="28">
        <v>4107</v>
      </c>
      <c r="B8956" s="26" t="s">
        <v>7623</v>
      </c>
      <c r="C8956" s="28" t="s">
        <v>65</v>
      </c>
      <c r="D8956" s="329">
        <v>30.93</v>
      </c>
    </row>
    <row r="8957" spans="1:4">
      <c r="A8957" s="47">
        <v>36799</v>
      </c>
      <c r="B8957" s="48" t="s">
        <v>7626</v>
      </c>
      <c r="C8957" s="47" t="s">
        <v>65</v>
      </c>
      <c r="D8957" s="332">
        <v>29.53</v>
      </c>
    </row>
    <row r="8958" spans="1:4">
      <c r="A8958" s="28">
        <v>4108</v>
      </c>
      <c r="B8958" s="26" t="s">
        <v>7624</v>
      </c>
      <c r="C8958" s="28" t="s">
        <v>65</v>
      </c>
      <c r="D8958" s="329">
        <v>24.87</v>
      </c>
    </row>
    <row r="8959" spans="1:4">
      <c r="A8959" s="47">
        <v>4102</v>
      </c>
      <c r="B8959" s="48" t="s">
        <v>7625</v>
      </c>
      <c r="C8959" s="47" t="s">
        <v>65</v>
      </c>
      <c r="D8959" s="332">
        <v>37</v>
      </c>
    </row>
    <row r="8960" spans="1:4" ht="30">
      <c r="A8960" s="28">
        <v>10826</v>
      </c>
      <c r="B8960" s="26" t="s">
        <v>7627</v>
      </c>
      <c r="C8960" s="28" t="s">
        <v>65</v>
      </c>
      <c r="D8960" s="329">
        <v>26.72</v>
      </c>
    </row>
    <row r="8961" spans="1:4" ht="30">
      <c r="A8961" s="47">
        <v>365</v>
      </c>
      <c r="B8961" s="48" t="s">
        <v>7628</v>
      </c>
      <c r="C8961" s="47" t="s">
        <v>65</v>
      </c>
      <c r="D8961" s="332">
        <v>16.559999999999999</v>
      </c>
    </row>
    <row r="8962" spans="1:4">
      <c r="A8962" s="28">
        <v>38639</v>
      </c>
      <c r="B8962" s="26" t="s">
        <v>7629</v>
      </c>
      <c r="C8962" s="28" t="s">
        <v>65</v>
      </c>
      <c r="D8962" s="329">
        <v>64.13</v>
      </c>
    </row>
    <row r="8963" spans="1:4">
      <c r="A8963" s="47">
        <v>38640</v>
      </c>
      <c r="B8963" s="48" t="s">
        <v>7630</v>
      </c>
      <c r="C8963" s="47" t="s">
        <v>65</v>
      </c>
      <c r="D8963" s="332">
        <v>0.96</v>
      </c>
    </row>
    <row r="8964" spans="1:4" ht="30">
      <c r="A8964" s="28">
        <v>358</v>
      </c>
      <c r="B8964" s="26" t="s">
        <v>7631</v>
      </c>
      <c r="C8964" s="28" t="s">
        <v>65</v>
      </c>
      <c r="D8964" s="329">
        <v>19.77</v>
      </c>
    </row>
    <row r="8965" spans="1:4" ht="30">
      <c r="A8965" s="47">
        <v>359</v>
      </c>
      <c r="B8965" s="48" t="s">
        <v>7632</v>
      </c>
      <c r="C8965" s="47" t="s">
        <v>65</v>
      </c>
      <c r="D8965" s="332">
        <v>40.619999999999997</v>
      </c>
    </row>
    <row r="8966" spans="1:4">
      <c r="A8966" s="28">
        <v>38641</v>
      </c>
      <c r="B8966" s="26" t="s">
        <v>7633</v>
      </c>
      <c r="C8966" s="28" t="s">
        <v>65</v>
      </c>
      <c r="D8966" s="329">
        <v>40.08</v>
      </c>
    </row>
    <row r="8967" spans="1:4" ht="43.5" customHeight="1">
      <c r="A8967" s="47">
        <v>360</v>
      </c>
      <c r="B8967" s="48" t="s">
        <v>7634</v>
      </c>
      <c r="C8967" s="47" t="s">
        <v>65</v>
      </c>
      <c r="D8967" s="332">
        <v>0.93</v>
      </c>
    </row>
    <row r="8968" spans="1:4" ht="30">
      <c r="A8968" s="28">
        <v>4127</v>
      </c>
      <c r="B8968" s="26" t="s">
        <v>7635</v>
      </c>
      <c r="C8968" s="28" t="s">
        <v>65</v>
      </c>
      <c r="D8968" s="329">
        <v>138.82</v>
      </c>
    </row>
    <row r="8969" spans="1:4" ht="30">
      <c r="A8969" s="47">
        <v>4135</v>
      </c>
      <c r="B8969" s="48" t="s">
        <v>7636</v>
      </c>
      <c r="C8969" s="47" t="s">
        <v>65</v>
      </c>
      <c r="D8969" s="332">
        <v>209.36</v>
      </c>
    </row>
    <row r="8970" spans="1:4" ht="30">
      <c r="A8970" s="28">
        <v>4145</v>
      </c>
      <c r="B8970" s="26" t="s">
        <v>7637</v>
      </c>
      <c r="C8970" s="28" t="s">
        <v>65</v>
      </c>
      <c r="D8970" s="329">
        <v>165.7</v>
      </c>
    </row>
    <row r="8971" spans="1:4" ht="43.5" customHeight="1">
      <c r="A8971" s="47">
        <v>4154</v>
      </c>
      <c r="B8971" s="48" t="s">
        <v>7638</v>
      </c>
      <c r="C8971" s="47" t="s">
        <v>65</v>
      </c>
      <c r="D8971" s="332">
        <v>169.61</v>
      </c>
    </row>
    <row r="8972" spans="1:4" ht="30">
      <c r="A8972" s="28">
        <v>4168</v>
      </c>
      <c r="B8972" s="26" t="s">
        <v>7639</v>
      </c>
      <c r="C8972" s="28" t="s">
        <v>65</v>
      </c>
      <c r="D8972" s="329">
        <v>179.13</v>
      </c>
    </row>
    <row r="8973" spans="1:4" ht="30">
      <c r="A8973" s="47">
        <v>4161</v>
      </c>
      <c r="B8973" s="48" t="s">
        <v>7641</v>
      </c>
      <c r="C8973" s="47" t="s">
        <v>65</v>
      </c>
      <c r="D8973" s="332">
        <v>172.41</v>
      </c>
    </row>
    <row r="8974" spans="1:4">
      <c r="A8974" s="28">
        <v>4214</v>
      </c>
      <c r="B8974" s="26" t="s">
        <v>7651</v>
      </c>
      <c r="C8974" s="28" t="s">
        <v>65</v>
      </c>
      <c r="D8974" s="329">
        <v>4.83</v>
      </c>
    </row>
    <row r="8975" spans="1:4">
      <c r="A8975" s="47">
        <v>4215</v>
      </c>
      <c r="B8975" s="48" t="s">
        <v>7652</v>
      </c>
      <c r="C8975" s="47" t="s">
        <v>65</v>
      </c>
      <c r="D8975" s="332">
        <v>4.01</v>
      </c>
    </row>
    <row r="8976" spans="1:4">
      <c r="A8976" s="28">
        <v>4210</v>
      </c>
      <c r="B8976" s="26" t="s">
        <v>7654</v>
      </c>
      <c r="C8976" s="28" t="s">
        <v>65</v>
      </c>
      <c r="D8976" s="329">
        <v>0.61</v>
      </c>
    </row>
    <row r="8977" spans="1:4">
      <c r="A8977" s="47">
        <v>4212</v>
      </c>
      <c r="B8977" s="48" t="s">
        <v>7653</v>
      </c>
      <c r="C8977" s="47" t="s">
        <v>65</v>
      </c>
      <c r="D8977" s="332">
        <v>1.61</v>
      </c>
    </row>
    <row r="8978" spans="1:4">
      <c r="A8978" s="28">
        <v>4213</v>
      </c>
      <c r="B8978" s="26" t="s">
        <v>7655</v>
      </c>
      <c r="C8978" s="28" t="s">
        <v>65</v>
      </c>
      <c r="D8978" s="329">
        <v>8.73</v>
      </c>
    </row>
    <row r="8979" spans="1:4">
      <c r="A8979" s="47">
        <v>4211</v>
      </c>
      <c r="B8979" s="48" t="s">
        <v>7656</v>
      </c>
      <c r="C8979" s="47" t="s">
        <v>65</v>
      </c>
      <c r="D8979" s="332">
        <v>0.91</v>
      </c>
    </row>
    <row r="8980" spans="1:4">
      <c r="A8980" s="28">
        <v>4209</v>
      </c>
      <c r="B8980" s="26" t="s">
        <v>7660</v>
      </c>
      <c r="C8980" s="28" t="s">
        <v>65</v>
      </c>
      <c r="D8980" s="329">
        <v>12.99</v>
      </c>
    </row>
    <row r="8981" spans="1:4">
      <c r="A8981" s="47">
        <v>4180</v>
      </c>
      <c r="B8981" s="48" t="s">
        <v>7661</v>
      </c>
      <c r="C8981" s="47" t="s">
        <v>65</v>
      </c>
      <c r="D8981" s="332">
        <v>9.7799999999999994</v>
      </c>
    </row>
    <row r="8982" spans="1:4">
      <c r="A8982" s="28">
        <v>4177</v>
      </c>
      <c r="B8982" s="26" t="s">
        <v>7663</v>
      </c>
      <c r="C8982" s="28" t="s">
        <v>65</v>
      </c>
      <c r="D8982" s="329">
        <v>3.24</v>
      </c>
    </row>
    <row r="8983" spans="1:4">
      <c r="A8983" s="47">
        <v>4179</v>
      </c>
      <c r="B8983" s="48" t="s">
        <v>7662</v>
      </c>
      <c r="C8983" s="47" t="s">
        <v>65</v>
      </c>
      <c r="D8983" s="332">
        <v>6.64</v>
      </c>
    </row>
    <row r="8984" spans="1:4">
      <c r="A8984" s="28">
        <v>4208</v>
      </c>
      <c r="B8984" s="26" t="s">
        <v>7664</v>
      </c>
      <c r="C8984" s="28" t="s">
        <v>65</v>
      </c>
      <c r="D8984" s="329">
        <v>30.92</v>
      </c>
    </row>
    <row r="8985" spans="1:4">
      <c r="A8985" s="47">
        <v>4181</v>
      </c>
      <c r="B8985" s="48" t="s">
        <v>7665</v>
      </c>
      <c r="C8985" s="47" t="s">
        <v>65</v>
      </c>
      <c r="D8985" s="332">
        <v>20.2</v>
      </c>
    </row>
    <row r="8986" spans="1:4">
      <c r="A8986" s="28">
        <v>4178</v>
      </c>
      <c r="B8986" s="26" t="s">
        <v>7667</v>
      </c>
      <c r="C8986" s="28" t="s">
        <v>65</v>
      </c>
      <c r="D8986" s="329">
        <v>4.5</v>
      </c>
    </row>
    <row r="8987" spans="1:4">
      <c r="A8987" s="47">
        <v>4182</v>
      </c>
      <c r="B8987" s="48" t="s">
        <v>7666</v>
      </c>
      <c r="C8987" s="47" t="s">
        <v>65</v>
      </c>
      <c r="D8987" s="332">
        <v>50.29</v>
      </c>
    </row>
    <row r="8988" spans="1:4">
      <c r="A8988" s="28">
        <v>4183</v>
      </c>
      <c r="B8988" s="26" t="s">
        <v>7668</v>
      </c>
      <c r="C8988" s="28" t="s">
        <v>65</v>
      </c>
      <c r="D8988" s="329">
        <v>80.97</v>
      </c>
    </row>
    <row r="8989" spans="1:4">
      <c r="A8989" s="47">
        <v>4184</v>
      </c>
      <c r="B8989" s="48" t="s">
        <v>7669</v>
      </c>
      <c r="C8989" s="47" t="s">
        <v>65</v>
      </c>
      <c r="D8989" s="332">
        <v>178.73</v>
      </c>
    </row>
    <row r="8990" spans="1:4">
      <c r="A8990" s="28">
        <v>4185</v>
      </c>
      <c r="B8990" s="26" t="s">
        <v>7670</v>
      </c>
      <c r="C8990" s="28" t="s">
        <v>65</v>
      </c>
      <c r="D8990" s="329">
        <v>296.97000000000003</v>
      </c>
    </row>
    <row r="8991" spans="1:4">
      <c r="A8991" s="47">
        <v>4205</v>
      </c>
      <c r="B8991" s="48" t="s">
        <v>7671</v>
      </c>
      <c r="C8991" s="47" t="s">
        <v>65</v>
      </c>
      <c r="D8991" s="332">
        <v>17.149999999999999</v>
      </c>
    </row>
    <row r="8992" spans="1:4">
      <c r="A8992" s="28">
        <v>4192</v>
      </c>
      <c r="B8992" s="26" t="s">
        <v>7672</v>
      </c>
      <c r="C8992" s="28" t="s">
        <v>65</v>
      </c>
      <c r="D8992" s="329">
        <v>17.149999999999999</v>
      </c>
    </row>
    <row r="8993" spans="1:4">
      <c r="A8993" s="47">
        <v>4191</v>
      </c>
      <c r="B8993" s="48" t="s">
        <v>7673</v>
      </c>
      <c r="C8993" s="47" t="s">
        <v>65</v>
      </c>
      <c r="D8993" s="332">
        <v>17.149999999999999</v>
      </c>
    </row>
    <row r="8994" spans="1:4">
      <c r="A8994" s="28">
        <v>4207</v>
      </c>
      <c r="B8994" s="26" t="s">
        <v>7675</v>
      </c>
      <c r="C8994" s="28" t="s">
        <v>65</v>
      </c>
      <c r="D8994" s="329">
        <v>13.8</v>
      </c>
    </row>
    <row r="8995" spans="1:4">
      <c r="A8995" s="47">
        <v>4206</v>
      </c>
      <c r="B8995" s="48" t="s">
        <v>7674</v>
      </c>
      <c r="C8995" s="47" t="s">
        <v>65</v>
      </c>
      <c r="D8995" s="332">
        <v>13.4</v>
      </c>
    </row>
    <row r="8996" spans="1:4">
      <c r="A8996" s="28">
        <v>4190</v>
      </c>
      <c r="B8996" s="26" t="s">
        <v>7676</v>
      </c>
      <c r="C8996" s="28" t="s">
        <v>65</v>
      </c>
      <c r="D8996" s="329">
        <v>13.4</v>
      </c>
    </row>
    <row r="8997" spans="1:4">
      <c r="A8997" s="47">
        <v>4186</v>
      </c>
      <c r="B8997" s="48" t="s">
        <v>7679</v>
      </c>
      <c r="C8997" s="47" t="s">
        <v>65</v>
      </c>
      <c r="D8997" s="332">
        <v>3.96</v>
      </c>
    </row>
    <row r="8998" spans="1:4">
      <c r="A8998" s="28">
        <v>4188</v>
      </c>
      <c r="B8998" s="26" t="s">
        <v>7677</v>
      </c>
      <c r="C8998" s="28" t="s">
        <v>65</v>
      </c>
      <c r="D8998" s="329">
        <v>8.08</v>
      </c>
    </row>
    <row r="8999" spans="1:4">
      <c r="A8999" s="47">
        <v>4189</v>
      </c>
      <c r="B8999" s="48" t="s">
        <v>7678</v>
      </c>
      <c r="C8999" s="47" t="s">
        <v>65</v>
      </c>
      <c r="D8999" s="332">
        <v>8.08</v>
      </c>
    </row>
    <row r="9000" spans="1:4">
      <c r="A9000" s="28">
        <v>4197</v>
      </c>
      <c r="B9000" s="26" t="s">
        <v>7680</v>
      </c>
      <c r="C9000" s="28" t="s">
        <v>65</v>
      </c>
      <c r="D9000" s="329">
        <v>42.82</v>
      </c>
    </row>
    <row r="9001" spans="1:4">
      <c r="A9001" s="47">
        <v>4194</v>
      </c>
      <c r="B9001" s="48" t="s">
        <v>7681</v>
      </c>
      <c r="C9001" s="47" t="s">
        <v>65</v>
      </c>
      <c r="D9001" s="332">
        <v>25.87</v>
      </c>
    </row>
    <row r="9002" spans="1:4">
      <c r="A9002" s="28">
        <v>4193</v>
      </c>
      <c r="B9002" s="26" t="s">
        <v>7682</v>
      </c>
      <c r="C9002" s="28" t="s">
        <v>65</v>
      </c>
      <c r="D9002" s="329">
        <v>25.87</v>
      </c>
    </row>
    <row r="9003" spans="1:4">
      <c r="A9003" s="47">
        <v>4204</v>
      </c>
      <c r="B9003" s="48" t="s">
        <v>7683</v>
      </c>
      <c r="C9003" s="47" t="s">
        <v>65</v>
      </c>
      <c r="D9003" s="332">
        <v>25.87</v>
      </c>
    </row>
    <row r="9004" spans="1:4">
      <c r="A9004" s="28">
        <v>4187</v>
      </c>
      <c r="B9004" s="26" t="s">
        <v>7686</v>
      </c>
      <c r="C9004" s="28" t="s">
        <v>65</v>
      </c>
      <c r="D9004" s="329">
        <v>5.15</v>
      </c>
    </row>
    <row r="9005" spans="1:4">
      <c r="A9005" s="47">
        <v>4202</v>
      </c>
      <c r="B9005" s="48" t="s">
        <v>7684</v>
      </c>
      <c r="C9005" s="47" t="s">
        <v>65</v>
      </c>
      <c r="D9005" s="332">
        <v>78.209999999999994</v>
      </c>
    </row>
    <row r="9006" spans="1:4">
      <c r="A9006" s="28">
        <v>4203</v>
      </c>
      <c r="B9006" s="26" t="s">
        <v>7685</v>
      </c>
      <c r="C9006" s="28" t="s">
        <v>65</v>
      </c>
      <c r="D9006" s="329">
        <v>69.069999999999993</v>
      </c>
    </row>
    <row r="9007" spans="1:4">
      <c r="A9007" s="47">
        <v>7252</v>
      </c>
      <c r="B9007" s="48" t="s">
        <v>7705</v>
      </c>
      <c r="C9007" s="47" t="s">
        <v>57</v>
      </c>
      <c r="D9007" s="332">
        <v>1.8</v>
      </c>
    </row>
    <row r="9008" spans="1:4">
      <c r="A9008" s="28">
        <v>7595</v>
      </c>
      <c r="B9008" s="26" t="s">
        <v>204</v>
      </c>
      <c r="C9008" s="28" t="s">
        <v>57</v>
      </c>
      <c r="D9008" s="329">
        <v>10.35</v>
      </c>
    </row>
    <row r="9009" spans="1:4">
      <c r="A9009" s="47">
        <v>41094</v>
      </c>
      <c r="B9009" s="48" t="s">
        <v>7706</v>
      </c>
      <c r="C9009" s="47" t="s">
        <v>1643</v>
      </c>
      <c r="D9009" s="332">
        <v>1823.29</v>
      </c>
    </row>
    <row r="9010" spans="1:4" ht="30">
      <c r="A9010" s="28">
        <v>38175</v>
      </c>
      <c r="B9010" s="26" t="s">
        <v>7707</v>
      </c>
      <c r="C9010" s="28" t="s">
        <v>65</v>
      </c>
      <c r="D9010" s="329">
        <v>2.0099999999999998</v>
      </c>
    </row>
    <row r="9011" spans="1:4" ht="30">
      <c r="A9011" s="47">
        <v>38176</v>
      </c>
      <c r="B9011" s="48" t="s">
        <v>7708</v>
      </c>
      <c r="C9011" s="47" t="s">
        <v>65</v>
      </c>
      <c r="D9011" s="332">
        <v>5.45</v>
      </c>
    </row>
    <row r="9012" spans="1:4" ht="30">
      <c r="A9012" s="28">
        <v>36152</v>
      </c>
      <c r="B9012" s="26" t="s">
        <v>7709</v>
      </c>
      <c r="C9012" s="28" t="s">
        <v>65</v>
      </c>
      <c r="D9012" s="329">
        <v>3.85</v>
      </c>
    </row>
    <row r="9013" spans="1:4">
      <c r="A9013" s="47">
        <v>11138</v>
      </c>
      <c r="B9013" s="48" t="s">
        <v>7710</v>
      </c>
      <c r="C9013" s="47" t="s">
        <v>91</v>
      </c>
      <c r="D9013" s="332">
        <v>1.94</v>
      </c>
    </row>
    <row r="9014" spans="1:4">
      <c r="A9014" s="28">
        <v>5333</v>
      </c>
      <c r="B9014" s="26" t="s">
        <v>7711</v>
      </c>
      <c r="C9014" s="28" t="s">
        <v>91</v>
      </c>
      <c r="D9014" s="329">
        <v>14.36</v>
      </c>
    </row>
    <row r="9015" spans="1:4" ht="57.75" customHeight="1">
      <c r="A9015" s="47">
        <v>4221</v>
      </c>
      <c r="B9015" s="48" t="s">
        <v>7712</v>
      </c>
      <c r="C9015" s="47" t="s">
        <v>91</v>
      </c>
      <c r="D9015" s="332">
        <v>3.02</v>
      </c>
    </row>
    <row r="9016" spans="1:4" ht="30">
      <c r="A9016" s="28">
        <v>4227</v>
      </c>
      <c r="B9016" s="26" t="s">
        <v>7713</v>
      </c>
      <c r="C9016" s="28" t="s">
        <v>91</v>
      </c>
      <c r="D9016" s="329">
        <v>10</v>
      </c>
    </row>
    <row r="9017" spans="1:4" ht="30">
      <c r="A9017" s="47">
        <v>38170</v>
      </c>
      <c r="B9017" s="48" t="s">
        <v>7714</v>
      </c>
      <c r="C9017" s="47" t="s">
        <v>65</v>
      </c>
      <c r="D9017" s="332">
        <v>9.19</v>
      </c>
    </row>
    <row r="9018" spans="1:4" ht="57.75" customHeight="1">
      <c r="A9018" s="28">
        <v>4242</v>
      </c>
      <c r="B9018" s="26" t="s">
        <v>205</v>
      </c>
      <c r="C9018" s="28" t="s">
        <v>57</v>
      </c>
      <c r="D9018" s="329">
        <v>27.93</v>
      </c>
    </row>
    <row r="9019" spans="1:4">
      <c r="A9019" s="47">
        <v>40980</v>
      </c>
      <c r="B9019" s="48" t="s">
        <v>7715</v>
      </c>
      <c r="C9019" s="47" t="s">
        <v>1643</v>
      </c>
      <c r="D9019" s="332">
        <v>3157.07</v>
      </c>
    </row>
    <row r="9020" spans="1:4">
      <c r="A9020" s="28">
        <v>4243</v>
      </c>
      <c r="B9020" s="26" t="s">
        <v>7716</v>
      </c>
      <c r="C9020" s="28" t="s">
        <v>57</v>
      </c>
      <c r="D9020" s="329">
        <v>29.56</v>
      </c>
    </row>
    <row r="9021" spans="1:4">
      <c r="A9021" s="47">
        <v>41031</v>
      </c>
      <c r="B9021" s="48" t="s">
        <v>7717</v>
      </c>
      <c r="C9021" s="47" t="s">
        <v>1643</v>
      </c>
      <c r="D9021" s="332">
        <v>5204.6400000000003</v>
      </c>
    </row>
    <row r="9022" spans="1:4" ht="57.75" customHeight="1">
      <c r="A9022" s="28">
        <v>37623</v>
      </c>
      <c r="B9022" s="26" t="s">
        <v>7718</v>
      </c>
      <c r="C9022" s="28" t="s">
        <v>57</v>
      </c>
      <c r="D9022" s="329">
        <v>8.48</v>
      </c>
    </row>
    <row r="9023" spans="1:4">
      <c r="A9023" s="47">
        <v>4250</v>
      </c>
      <c r="B9023" s="48" t="s">
        <v>7720</v>
      </c>
      <c r="C9023" s="47" t="s">
        <v>57</v>
      </c>
      <c r="D9023" s="332">
        <v>15.3</v>
      </c>
    </row>
    <row r="9024" spans="1:4" ht="57.75" customHeight="1">
      <c r="A9024" s="28">
        <v>40978</v>
      </c>
      <c r="B9024" s="26" t="s">
        <v>7721</v>
      </c>
      <c r="C9024" s="28" t="s">
        <v>1643</v>
      </c>
      <c r="D9024" s="329">
        <v>2695.12</v>
      </c>
    </row>
    <row r="9025" spans="1:4">
      <c r="A9025" s="47">
        <v>25960</v>
      </c>
      <c r="B9025" s="48" t="s">
        <v>7722</v>
      </c>
      <c r="C9025" s="47" t="s">
        <v>57</v>
      </c>
      <c r="D9025" s="332">
        <v>30.63</v>
      </c>
    </row>
    <row r="9026" spans="1:4">
      <c r="A9026" s="28">
        <v>41043</v>
      </c>
      <c r="B9026" s="26" t="s">
        <v>7723</v>
      </c>
      <c r="C9026" s="28" t="s">
        <v>1643</v>
      </c>
      <c r="D9026" s="329">
        <v>5396.34</v>
      </c>
    </row>
    <row r="9027" spans="1:4">
      <c r="A9027" s="47">
        <v>4234</v>
      </c>
      <c r="B9027" s="48" t="s">
        <v>206</v>
      </c>
      <c r="C9027" s="47" t="s">
        <v>57</v>
      </c>
      <c r="D9027" s="332">
        <v>33</v>
      </c>
    </row>
    <row r="9028" spans="1:4">
      <c r="A9028" s="28">
        <v>40987</v>
      </c>
      <c r="B9028" s="26" t="s">
        <v>7724</v>
      </c>
      <c r="C9028" s="28" t="s">
        <v>1643</v>
      </c>
      <c r="D9028" s="329">
        <v>5810.83</v>
      </c>
    </row>
    <row r="9029" spans="1:4">
      <c r="A9029" s="47">
        <v>4253</v>
      </c>
      <c r="B9029" s="48" t="s">
        <v>207</v>
      </c>
      <c r="C9029" s="47" t="s">
        <v>57</v>
      </c>
      <c r="D9029" s="332">
        <v>14.12</v>
      </c>
    </row>
    <row r="9030" spans="1:4">
      <c r="A9030" s="28">
        <v>40981</v>
      </c>
      <c r="B9030" s="26" t="s">
        <v>7725</v>
      </c>
      <c r="C9030" s="28" t="s">
        <v>1643</v>
      </c>
      <c r="D9030" s="329">
        <v>2489.08</v>
      </c>
    </row>
    <row r="9031" spans="1:4">
      <c r="A9031" s="47">
        <v>4254</v>
      </c>
      <c r="B9031" s="48" t="s">
        <v>208</v>
      </c>
      <c r="C9031" s="47" t="s">
        <v>57</v>
      </c>
      <c r="D9031" s="332">
        <v>38.229999999999997</v>
      </c>
    </row>
    <row r="9032" spans="1:4">
      <c r="A9032" s="28">
        <v>41036</v>
      </c>
      <c r="B9032" s="26" t="s">
        <v>7726</v>
      </c>
      <c r="C9032" s="28" t="s">
        <v>1643</v>
      </c>
      <c r="D9032" s="329">
        <v>6733.33</v>
      </c>
    </row>
    <row r="9033" spans="1:4">
      <c r="A9033" s="47">
        <v>4251</v>
      </c>
      <c r="B9033" s="48" t="s">
        <v>7727</v>
      </c>
      <c r="C9033" s="47" t="s">
        <v>57</v>
      </c>
      <c r="D9033" s="332">
        <v>15.16</v>
      </c>
    </row>
    <row r="9034" spans="1:4">
      <c r="A9034" s="28">
        <v>40979</v>
      </c>
      <c r="B9034" s="26" t="s">
        <v>7728</v>
      </c>
      <c r="C9034" s="28" t="s">
        <v>1643</v>
      </c>
      <c r="D9034" s="329">
        <v>2671.19</v>
      </c>
    </row>
    <row r="9035" spans="1:4">
      <c r="A9035" s="47">
        <v>4230</v>
      </c>
      <c r="B9035" s="48" t="s">
        <v>11438</v>
      </c>
      <c r="C9035" s="47" t="s">
        <v>57</v>
      </c>
      <c r="D9035" s="332">
        <v>27.67</v>
      </c>
    </row>
    <row r="9036" spans="1:4">
      <c r="A9036" s="28">
        <v>40998</v>
      </c>
      <c r="B9036" s="26" t="s">
        <v>7729</v>
      </c>
      <c r="C9036" s="28" t="s">
        <v>1643</v>
      </c>
      <c r="D9036" s="329">
        <v>4872.5600000000004</v>
      </c>
    </row>
    <row r="9037" spans="1:4">
      <c r="A9037" s="47">
        <v>4257</v>
      </c>
      <c r="B9037" s="48" t="s">
        <v>209</v>
      </c>
      <c r="C9037" s="47" t="s">
        <v>57</v>
      </c>
      <c r="D9037" s="332">
        <v>14.22</v>
      </c>
    </row>
    <row r="9038" spans="1:4">
      <c r="A9038" s="28">
        <v>40982</v>
      </c>
      <c r="B9038" s="26" t="s">
        <v>7730</v>
      </c>
      <c r="C9038" s="28" t="s">
        <v>1643</v>
      </c>
      <c r="D9038" s="329">
        <v>2502.58</v>
      </c>
    </row>
    <row r="9039" spans="1:4">
      <c r="A9039" s="47">
        <v>41029</v>
      </c>
      <c r="B9039" s="48" t="s">
        <v>7731</v>
      </c>
      <c r="C9039" s="47" t="s">
        <v>1643</v>
      </c>
      <c r="D9039" s="332">
        <v>4921.1400000000003</v>
      </c>
    </row>
    <row r="9040" spans="1:4">
      <c r="A9040" s="28">
        <v>41026</v>
      </c>
      <c r="B9040" s="26" t="s">
        <v>7732</v>
      </c>
      <c r="C9040" s="28" t="s">
        <v>1643</v>
      </c>
      <c r="D9040" s="329">
        <v>7629.57</v>
      </c>
    </row>
    <row r="9041" spans="1:4">
      <c r="A9041" s="47">
        <v>4240</v>
      </c>
      <c r="B9041" s="48" t="s">
        <v>11439</v>
      </c>
      <c r="C9041" s="47" t="s">
        <v>57</v>
      </c>
      <c r="D9041" s="332">
        <v>43.33</v>
      </c>
    </row>
    <row r="9042" spans="1:4">
      <c r="A9042" s="28">
        <v>4239</v>
      </c>
      <c r="B9042" s="26" t="s">
        <v>210</v>
      </c>
      <c r="C9042" s="28" t="s">
        <v>57</v>
      </c>
      <c r="D9042" s="329">
        <v>43.33</v>
      </c>
    </row>
    <row r="9043" spans="1:4">
      <c r="A9043" s="47">
        <v>41024</v>
      </c>
      <c r="B9043" s="48" t="s">
        <v>7734</v>
      </c>
      <c r="C9043" s="47" t="s">
        <v>1643</v>
      </c>
      <c r="D9043" s="332">
        <v>7629.57</v>
      </c>
    </row>
    <row r="9044" spans="1:4">
      <c r="A9044" s="28">
        <v>4248</v>
      </c>
      <c r="B9044" s="26" t="s">
        <v>7735</v>
      </c>
      <c r="C9044" s="28" t="s">
        <v>57</v>
      </c>
      <c r="D9044" s="329">
        <v>31.01</v>
      </c>
    </row>
    <row r="9045" spans="1:4" ht="29.25" customHeight="1">
      <c r="A9045" s="47">
        <v>41033</v>
      </c>
      <c r="B9045" s="48" t="s">
        <v>7736</v>
      </c>
      <c r="C9045" s="47" t="s">
        <v>1643</v>
      </c>
      <c r="D9045" s="332">
        <v>5460.01</v>
      </c>
    </row>
    <row r="9046" spans="1:4">
      <c r="A9046" s="28">
        <v>25959</v>
      </c>
      <c r="B9046" s="26" t="s">
        <v>211</v>
      </c>
      <c r="C9046" s="28" t="s">
        <v>57</v>
      </c>
      <c r="D9046" s="329">
        <v>30.63</v>
      </c>
    </row>
    <row r="9047" spans="1:4">
      <c r="A9047" s="47">
        <v>41040</v>
      </c>
      <c r="B9047" s="48" t="s">
        <v>7737</v>
      </c>
      <c r="C9047" s="47" t="s">
        <v>1643</v>
      </c>
      <c r="D9047" s="332">
        <v>5396.34</v>
      </c>
    </row>
    <row r="9048" spans="1:4">
      <c r="A9048" s="28">
        <v>4238</v>
      </c>
      <c r="B9048" s="26" t="s">
        <v>212</v>
      </c>
      <c r="C9048" s="28" t="s">
        <v>57</v>
      </c>
      <c r="D9048" s="329">
        <v>26.72</v>
      </c>
    </row>
    <row r="9049" spans="1:4">
      <c r="A9049" s="47">
        <v>41012</v>
      </c>
      <c r="B9049" s="48" t="s">
        <v>7738</v>
      </c>
      <c r="C9049" s="47" t="s">
        <v>1643</v>
      </c>
      <c r="D9049" s="332">
        <v>4704.05</v>
      </c>
    </row>
    <row r="9050" spans="1:4">
      <c r="A9050" s="28">
        <v>4237</v>
      </c>
      <c r="B9050" s="26" t="s">
        <v>11440</v>
      </c>
      <c r="C9050" s="28" t="s">
        <v>57</v>
      </c>
      <c r="D9050" s="329">
        <v>29.2</v>
      </c>
    </row>
    <row r="9051" spans="1:4">
      <c r="A9051" s="47">
        <v>41002</v>
      </c>
      <c r="B9051" s="48" t="s">
        <v>7739</v>
      </c>
      <c r="C9051" s="47" t="s">
        <v>1643</v>
      </c>
      <c r="D9051" s="332">
        <v>5141.38</v>
      </c>
    </row>
    <row r="9052" spans="1:4">
      <c r="A9052" s="28">
        <v>4233</v>
      </c>
      <c r="B9052" s="26" t="s">
        <v>213</v>
      </c>
      <c r="C9052" s="28" t="s">
        <v>57</v>
      </c>
      <c r="D9052" s="329">
        <v>27.93</v>
      </c>
    </row>
    <row r="9053" spans="1:4">
      <c r="A9053" s="47">
        <v>41001</v>
      </c>
      <c r="B9053" s="48" t="s">
        <v>7740</v>
      </c>
      <c r="C9053" s="47" t="s">
        <v>1643</v>
      </c>
      <c r="D9053" s="332">
        <v>4921.1499999999996</v>
      </c>
    </row>
    <row r="9054" spans="1:4">
      <c r="A9054" s="28">
        <v>4252</v>
      </c>
      <c r="B9054" s="26" t="s">
        <v>214</v>
      </c>
      <c r="C9054" s="28" t="s">
        <v>57</v>
      </c>
      <c r="D9054" s="329">
        <v>17.940000000000001</v>
      </c>
    </row>
    <row r="9055" spans="1:4">
      <c r="A9055" s="47">
        <v>2</v>
      </c>
      <c r="B9055" s="48" t="s">
        <v>7742</v>
      </c>
      <c r="C9055" s="47" t="s">
        <v>255</v>
      </c>
      <c r="D9055" s="332">
        <v>7.29</v>
      </c>
    </row>
    <row r="9056" spans="1:4" ht="45">
      <c r="A9056" s="28">
        <v>36517</v>
      </c>
      <c r="B9056" s="26" t="s">
        <v>11441</v>
      </c>
      <c r="C9056" s="28" t="s">
        <v>65</v>
      </c>
      <c r="D9056" s="329">
        <v>331931.14</v>
      </c>
    </row>
    <row r="9057" spans="1:4" ht="30">
      <c r="A9057" s="47">
        <v>4262</v>
      </c>
      <c r="B9057" s="48" t="s">
        <v>7756</v>
      </c>
      <c r="C9057" s="47" t="s">
        <v>65</v>
      </c>
      <c r="D9057" s="332">
        <v>373796.33</v>
      </c>
    </row>
    <row r="9058" spans="1:4" ht="30">
      <c r="A9058" s="28">
        <v>4263</v>
      </c>
      <c r="B9058" s="26" t="s">
        <v>7757</v>
      </c>
      <c r="C9058" s="28" t="s">
        <v>65</v>
      </c>
      <c r="D9058" s="329">
        <v>518330.88</v>
      </c>
    </row>
    <row r="9059" spans="1:4" ht="30">
      <c r="A9059" s="47">
        <v>36518</v>
      </c>
      <c r="B9059" s="48" t="s">
        <v>7758</v>
      </c>
      <c r="C9059" s="47" t="s">
        <v>65</v>
      </c>
      <c r="D9059" s="332">
        <v>590099.78</v>
      </c>
    </row>
    <row r="9060" spans="1:4" ht="30">
      <c r="A9060" s="28">
        <v>14221</v>
      </c>
      <c r="B9060" s="26" t="s">
        <v>7743</v>
      </c>
      <c r="C9060" s="28" t="s">
        <v>65</v>
      </c>
      <c r="D9060" s="329">
        <v>344391</v>
      </c>
    </row>
    <row r="9061" spans="1:4">
      <c r="A9061" s="47">
        <v>38402</v>
      </c>
      <c r="B9061" s="48" t="s">
        <v>7759</v>
      </c>
      <c r="C9061" s="47" t="s">
        <v>65</v>
      </c>
      <c r="D9061" s="332">
        <v>6</v>
      </c>
    </row>
    <row r="9062" spans="1:4">
      <c r="A9062" s="28">
        <v>3412</v>
      </c>
      <c r="B9062" s="26" t="s">
        <v>7760</v>
      </c>
      <c r="C9062" s="28" t="s">
        <v>256</v>
      </c>
      <c r="D9062" s="329">
        <v>13.11</v>
      </c>
    </row>
    <row r="9063" spans="1:4">
      <c r="A9063" s="47">
        <v>3413</v>
      </c>
      <c r="B9063" s="48" t="s">
        <v>7761</v>
      </c>
      <c r="C9063" s="47" t="s">
        <v>256</v>
      </c>
      <c r="D9063" s="332">
        <v>29.52</v>
      </c>
    </row>
    <row r="9064" spans="1:4">
      <c r="A9064" s="28">
        <v>39744</v>
      </c>
      <c r="B9064" s="26" t="s">
        <v>7762</v>
      </c>
      <c r="C9064" s="28" t="s">
        <v>256</v>
      </c>
      <c r="D9064" s="329">
        <v>22.92</v>
      </c>
    </row>
    <row r="9065" spans="1:4">
      <c r="A9065" s="47">
        <v>39745</v>
      </c>
      <c r="B9065" s="48" t="s">
        <v>7763</v>
      </c>
      <c r="C9065" s="47" t="s">
        <v>256</v>
      </c>
      <c r="D9065" s="332">
        <v>48.38</v>
      </c>
    </row>
    <row r="9066" spans="1:4" ht="30">
      <c r="A9066" s="28">
        <v>39637</v>
      </c>
      <c r="B9066" s="26" t="s">
        <v>7764</v>
      </c>
      <c r="C9066" s="28" t="s">
        <v>256</v>
      </c>
      <c r="D9066" s="329">
        <v>58.47</v>
      </c>
    </row>
    <row r="9067" spans="1:4" ht="30">
      <c r="A9067" s="47">
        <v>39638</v>
      </c>
      <c r="B9067" s="48" t="s">
        <v>7765</v>
      </c>
      <c r="C9067" s="47" t="s">
        <v>256</v>
      </c>
      <c r="D9067" s="332">
        <v>108.87</v>
      </c>
    </row>
    <row r="9068" spans="1:4" ht="30">
      <c r="A9068" s="28">
        <v>39639</v>
      </c>
      <c r="B9068" s="26" t="s">
        <v>7766</v>
      </c>
      <c r="C9068" s="28" t="s">
        <v>256</v>
      </c>
      <c r="D9068" s="329">
        <v>143.54</v>
      </c>
    </row>
    <row r="9069" spans="1:4" ht="45">
      <c r="A9069" s="47">
        <v>39517</v>
      </c>
      <c r="B9069" s="48" t="s">
        <v>7767</v>
      </c>
      <c r="C9069" s="47" t="s">
        <v>256</v>
      </c>
      <c r="D9069" s="332">
        <v>109.73</v>
      </c>
    </row>
    <row r="9070" spans="1:4" ht="45">
      <c r="A9070" s="28">
        <v>39518</v>
      </c>
      <c r="B9070" s="26" t="s">
        <v>7768</v>
      </c>
      <c r="C9070" s="28" t="s">
        <v>256</v>
      </c>
      <c r="D9070" s="329">
        <v>129.79</v>
      </c>
    </row>
    <row r="9071" spans="1:4">
      <c r="A9071" s="47">
        <v>11851</v>
      </c>
      <c r="B9071" s="48" t="s">
        <v>7769</v>
      </c>
      <c r="C9071" s="47" t="s">
        <v>215</v>
      </c>
      <c r="D9071" s="332">
        <v>0.04</v>
      </c>
    </row>
    <row r="9072" spans="1:4">
      <c r="A9072" s="28">
        <v>40571</v>
      </c>
      <c r="B9072" s="26" t="s">
        <v>7770</v>
      </c>
      <c r="C9072" s="28" t="s">
        <v>215</v>
      </c>
      <c r="D9072" s="329">
        <v>0.4</v>
      </c>
    </row>
    <row r="9073" spans="1:4">
      <c r="A9073" s="47">
        <v>11703</v>
      </c>
      <c r="B9073" s="48" t="s">
        <v>216</v>
      </c>
      <c r="C9073" s="47" t="s">
        <v>65</v>
      </c>
      <c r="D9073" s="332">
        <v>17.329999999999998</v>
      </c>
    </row>
    <row r="9074" spans="1:4">
      <c r="A9074" s="28">
        <v>37400</v>
      </c>
      <c r="B9074" s="26" t="s">
        <v>7771</v>
      </c>
      <c r="C9074" s="28" t="s">
        <v>65</v>
      </c>
      <c r="D9074" s="329">
        <v>46.84</v>
      </c>
    </row>
    <row r="9075" spans="1:4" ht="30">
      <c r="A9075" s="47">
        <v>25400</v>
      </c>
      <c r="B9075" s="48" t="s">
        <v>7772</v>
      </c>
      <c r="C9075" s="47" t="s">
        <v>65</v>
      </c>
      <c r="D9075" s="332">
        <v>1058.93</v>
      </c>
    </row>
    <row r="9076" spans="1:4" ht="30">
      <c r="A9076" s="28">
        <v>4272</v>
      </c>
      <c r="B9076" s="26" t="s">
        <v>7840</v>
      </c>
      <c r="C9076" s="28" t="s">
        <v>65</v>
      </c>
      <c r="D9076" s="329">
        <v>65.08</v>
      </c>
    </row>
    <row r="9077" spans="1:4" ht="30">
      <c r="A9077" s="47">
        <v>4276</v>
      </c>
      <c r="B9077" s="48" t="s">
        <v>7841</v>
      </c>
      <c r="C9077" s="47" t="s">
        <v>65</v>
      </c>
      <c r="D9077" s="332">
        <v>192.08</v>
      </c>
    </row>
    <row r="9078" spans="1:4" ht="30">
      <c r="A9078" s="28">
        <v>4273</v>
      </c>
      <c r="B9078" s="26" t="s">
        <v>7842</v>
      </c>
      <c r="C9078" s="28" t="s">
        <v>65</v>
      </c>
      <c r="D9078" s="329">
        <v>319.08</v>
      </c>
    </row>
    <row r="9079" spans="1:4" ht="30">
      <c r="A9079" s="47">
        <v>4274</v>
      </c>
      <c r="B9079" s="48" t="s">
        <v>7843</v>
      </c>
      <c r="C9079" s="47" t="s">
        <v>65</v>
      </c>
      <c r="D9079" s="332">
        <v>73.989999999999995</v>
      </c>
    </row>
    <row r="9080" spans="1:4" ht="45">
      <c r="A9080" s="28">
        <v>39438</v>
      </c>
      <c r="B9080" s="26" t="s">
        <v>7773</v>
      </c>
      <c r="C9080" s="28" t="s">
        <v>65</v>
      </c>
      <c r="D9080" s="329">
        <v>0.11</v>
      </c>
    </row>
    <row r="9081" spans="1:4">
      <c r="A9081" s="47">
        <v>11963</v>
      </c>
      <c r="B9081" s="48" t="s">
        <v>7774</v>
      </c>
      <c r="C9081" s="47" t="s">
        <v>65</v>
      </c>
      <c r="D9081" s="332">
        <v>4.1900000000000004</v>
      </c>
    </row>
    <row r="9082" spans="1:4">
      <c r="A9082" s="28">
        <v>11964</v>
      </c>
      <c r="B9082" s="26" t="s">
        <v>7775</v>
      </c>
      <c r="C9082" s="28" t="s">
        <v>65</v>
      </c>
      <c r="D9082" s="329">
        <v>1.06</v>
      </c>
    </row>
    <row r="9083" spans="1:4" ht="30">
      <c r="A9083" s="47">
        <v>4379</v>
      </c>
      <c r="B9083" s="48" t="s">
        <v>7776</v>
      </c>
      <c r="C9083" s="47" t="s">
        <v>65</v>
      </c>
      <c r="D9083" s="332">
        <v>0.02</v>
      </c>
    </row>
    <row r="9084" spans="1:4" ht="30">
      <c r="A9084" s="28">
        <v>4377</v>
      </c>
      <c r="B9084" s="26" t="s">
        <v>7777</v>
      </c>
      <c r="C9084" s="28" t="s">
        <v>65</v>
      </c>
      <c r="D9084" s="329">
        <v>0.08</v>
      </c>
    </row>
    <row r="9085" spans="1:4" ht="30">
      <c r="A9085" s="47">
        <v>4356</v>
      </c>
      <c r="B9085" s="48" t="s">
        <v>7778</v>
      </c>
      <c r="C9085" s="47" t="s">
        <v>65</v>
      </c>
      <c r="D9085" s="332">
        <v>0.11</v>
      </c>
    </row>
    <row r="9086" spans="1:4" ht="30">
      <c r="A9086" s="28">
        <v>13246</v>
      </c>
      <c r="B9086" s="26" t="s">
        <v>7779</v>
      </c>
      <c r="C9086" s="28" t="s">
        <v>65</v>
      </c>
      <c r="D9086" s="329">
        <v>0.2</v>
      </c>
    </row>
    <row r="9087" spans="1:4" ht="30">
      <c r="A9087" s="47">
        <v>4346</v>
      </c>
      <c r="B9087" s="48" t="s">
        <v>7780</v>
      </c>
      <c r="C9087" s="47" t="s">
        <v>65</v>
      </c>
      <c r="D9087" s="332">
        <v>4.49</v>
      </c>
    </row>
    <row r="9088" spans="1:4" ht="30">
      <c r="A9088" s="28">
        <v>11955</v>
      </c>
      <c r="B9088" s="26" t="s">
        <v>7781</v>
      </c>
      <c r="C9088" s="28" t="s">
        <v>65</v>
      </c>
      <c r="D9088" s="329">
        <v>1.97</v>
      </c>
    </row>
    <row r="9089" spans="1:4" ht="30">
      <c r="A9089" s="47">
        <v>11960</v>
      </c>
      <c r="B9089" s="48" t="s">
        <v>7782</v>
      </c>
      <c r="C9089" s="47" t="s">
        <v>65</v>
      </c>
      <c r="D9089" s="332">
        <v>0.06</v>
      </c>
    </row>
    <row r="9090" spans="1:4" ht="30">
      <c r="A9090" s="28">
        <v>4333</v>
      </c>
      <c r="B9090" s="26" t="s">
        <v>7783</v>
      </c>
      <c r="C9090" s="28" t="s">
        <v>65</v>
      </c>
      <c r="D9090" s="329">
        <v>0.11</v>
      </c>
    </row>
    <row r="9091" spans="1:4" ht="30">
      <c r="A9091" s="47">
        <v>4358</v>
      </c>
      <c r="B9091" s="48" t="s">
        <v>7784</v>
      </c>
      <c r="C9091" s="47" t="s">
        <v>65</v>
      </c>
      <c r="D9091" s="332">
        <v>0.9</v>
      </c>
    </row>
    <row r="9092" spans="1:4" ht="30">
      <c r="A9092" s="28">
        <v>39435</v>
      </c>
      <c r="B9092" s="26" t="s">
        <v>7785</v>
      </c>
      <c r="C9092" s="28" t="s">
        <v>65</v>
      </c>
      <c r="D9092" s="329">
        <v>0.04</v>
      </c>
    </row>
    <row r="9093" spans="1:4" ht="30">
      <c r="A9093" s="47">
        <v>39436</v>
      </c>
      <c r="B9093" s="48" t="s">
        <v>7786</v>
      </c>
      <c r="C9093" s="47" t="s">
        <v>65</v>
      </c>
      <c r="D9093" s="332">
        <v>7.0000000000000007E-2</v>
      </c>
    </row>
    <row r="9094" spans="1:4" ht="30">
      <c r="A9094" s="28">
        <v>39437</v>
      </c>
      <c r="B9094" s="26" t="s">
        <v>7787</v>
      </c>
      <c r="C9094" s="28" t="s">
        <v>65</v>
      </c>
      <c r="D9094" s="329">
        <v>0.1</v>
      </c>
    </row>
    <row r="9095" spans="1:4" ht="30">
      <c r="A9095" s="47">
        <v>39439</v>
      </c>
      <c r="B9095" s="48" t="s">
        <v>7788</v>
      </c>
      <c r="C9095" s="47" t="s">
        <v>65</v>
      </c>
      <c r="D9095" s="332">
        <v>7.0000000000000007E-2</v>
      </c>
    </row>
    <row r="9096" spans="1:4" ht="30">
      <c r="A9096" s="28">
        <v>39440</v>
      </c>
      <c r="B9096" s="26" t="s">
        <v>7789</v>
      </c>
      <c r="C9096" s="28" t="s">
        <v>65</v>
      </c>
      <c r="D9096" s="329">
        <v>0.09</v>
      </c>
    </row>
    <row r="9097" spans="1:4" ht="30">
      <c r="A9097" s="47">
        <v>39441</v>
      </c>
      <c r="B9097" s="48" t="s">
        <v>7790</v>
      </c>
      <c r="C9097" s="47" t="s">
        <v>65</v>
      </c>
      <c r="D9097" s="332">
        <v>0.11</v>
      </c>
    </row>
    <row r="9098" spans="1:4" ht="30">
      <c r="A9098" s="28">
        <v>39442</v>
      </c>
      <c r="B9098" s="26" t="s">
        <v>7791</v>
      </c>
      <c r="C9098" s="28" t="s">
        <v>65</v>
      </c>
      <c r="D9098" s="329">
        <v>0.08</v>
      </c>
    </row>
    <row r="9099" spans="1:4" ht="30">
      <c r="A9099" s="47">
        <v>39443</v>
      </c>
      <c r="B9099" s="48" t="s">
        <v>7792</v>
      </c>
      <c r="C9099" s="47" t="s">
        <v>65</v>
      </c>
      <c r="D9099" s="332">
        <v>0.1</v>
      </c>
    </row>
    <row r="9100" spans="1:4" ht="30">
      <c r="A9100" s="28">
        <v>4329</v>
      </c>
      <c r="B9100" s="26" t="s">
        <v>7793</v>
      </c>
      <c r="C9100" s="28" t="s">
        <v>65</v>
      </c>
      <c r="D9100" s="329">
        <v>0.96</v>
      </c>
    </row>
    <row r="9101" spans="1:4" ht="30">
      <c r="A9101" s="47">
        <v>4383</v>
      </c>
      <c r="B9101" s="48" t="s">
        <v>7796</v>
      </c>
      <c r="C9101" s="47" t="s">
        <v>65</v>
      </c>
      <c r="D9101" s="332">
        <v>2.06</v>
      </c>
    </row>
    <row r="9102" spans="1:4" ht="30">
      <c r="A9102" s="28">
        <v>4344</v>
      </c>
      <c r="B9102" s="26" t="s">
        <v>11442</v>
      </c>
      <c r="C9102" s="28" t="s">
        <v>65</v>
      </c>
      <c r="D9102" s="329">
        <v>1.92</v>
      </c>
    </row>
    <row r="9103" spans="1:4" ht="30">
      <c r="A9103" s="47">
        <v>436</v>
      </c>
      <c r="B9103" s="48" t="s">
        <v>7794</v>
      </c>
      <c r="C9103" s="47" t="s">
        <v>65</v>
      </c>
      <c r="D9103" s="332">
        <v>4.33</v>
      </c>
    </row>
    <row r="9104" spans="1:4" ht="30">
      <c r="A9104" s="28">
        <v>442</v>
      </c>
      <c r="B9104" s="26" t="s">
        <v>7795</v>
      </c>
      <c r="C9104" s="28" t="s">
        <v>65</v>
      </c>
      <c r="D9104" s="329">
        <v>2.56</v>
      </c>
    </row>
    <row r="9105" spans="1:4">
      <c r="A9105" s="47">
        <v>11953</v>
      </c>
      <c r="B9105" s="48" t="s">
        <v>7800</v>
      </c>
      <c r="C9105" s="47" t="s">
        <v>65</v>
      </c>
      <c r="D9105" s="332">
        <v>1.44</v>
      </c>
    </row>
    <row r="9106" spans="1:4" ht="30">
      <c r="A9106" s="28">
        <v>4335</v>
      </c>
      <c r="B9106" s="26" t="s">
        <v>7797</v>
      </c>
      <c r="C9106" s="28" t="s">
        <v>65</v>
      </c>
      <c r="D9106" s="329">
        <v>6.11</v>
      </c>
    </row>
    <row r="9107" spans="1:4" ht="30">
      <c r="A9107" s="47">
        <v>4334</v>
      </c>
      <c r="B9107" s="48" t="s">
        <v>7798</v>
      </c>
      <c r="C9107" s="47" t="s">
        <v>65</v>
      </c>
      <c r="D9107" s="332">
        <v>8.3800000000000008</v>
      </c>
    </row>
    <row r="9108" spans="1:4">
      <c r="A9108" s="28">
        <v>4343</v>
      </c>
      <c r="B9108" s="26" t="s">
        <v>7799</v>
      </c>
      <c r="C9108" s="28" t="s">
        <v>65</v>
      </c>
      <c r="D9108" s="329">
        <v>2.06</v>
      </c>
    </row>
    <row r="9109" spans="1:4" ht="30">
      <c r="A9109" s="47">
        <v>430</v>
      </c>
      <c r="B9109" s="48" t="s">
        <v>7801</v>
      </c>
      <c r="C9109" s="47" t="s">
        <v>65</v>
      </c>
      <c r="D9109" s="332">
        <v>3.88</v>
      </c>
    </row>
    <row r="9110" spans="1:4" ht="30">
      <c r="A9110" s="28">
        <v>441</v>
      </c>
      <c r="B9110" s="26" t="s">
        <v>7802</v>
      </c>
      <c r="C9110" s="28" t="s">
        <v>65</v>
      </c>
      <c r="D9110" s="329">
        <v>4.2699999999999996</v>
      </c>
    </row>
    <row r="9111" spans="1:4" ht="30">
      <c r="A9111" s="47">
        <v>431</v>
      </c>
      <c r="B9111" s="48" t="s">
        <v>7803</v>
      </c>
      <c r="C9111" s="47" t="s">
        <v>65</v>
      </c>
      <c r="D9111" s="332">
        <v>5.15</v>
      </c>
    </row>
    <row r="9112" spans="1:4" ht="30">
      <c r="A9112" s="28">
        <v>432</v>
      </c>
      <c r="B9112" s="26" t="s">
        <v>7804</v>
      </c>
      <c r="C9112" s="28" t="s">
        <v>65</v>
      </c>
      <c r="D9112" s="329">
        <v>5.69</v>
      </c>
    </row>
    <row r="9113" spans="1:4" ht="30">
      <c r="A9113" s="47">
        <v>429</v>
      </c>
      <c r="B9113" s="48" t="s">
        <v>7805</v>
      </c>
      <c r="C9113" s="47" t="s">
        <v>65</v>
      </c>
      <c r="D9113" s="332">
        <v>7.66</v>
      </c>
    </row>
    <row r="9114" spans="1:4" ht="30">
      <c r="A9114" s="28">
        <v>439</v>
      </c>
      <c r="B9114" s="26" t="s">
        <v>7806</v>
      </c>
      <c r="C9114" s="28" t="s">
        <v>65</v>
      </c>
      <c r="D9114" s="329">
        <v>6.53</v>
      </c>
    </row>
    <row r="9115" spans="1:4" ht="30">
      <c r="A9115" s="47">
        <v>433</v>
      </c>
      <c r="B9115" s="48" t="s">
        <v>7807</v>
      </c>
      <c r="C9115" s="47" t="s">
        <v>65</v>
      </c>
      <c r="D9115" s="332">
        <v>7.63</v>
      </c>
    </row>
    <row r="9116" spans="1:4" ht="30">
      <c r="A9116" s="28">
        <v>437</v>
      </c>
      <c r="B9116" s="26" t="s">
        <v>7808</v>
      </c>
      <c r="C9116" s="28" t="s">
        <v>65</v>
      </c>
      <c r="D9116" s="329">
        <v>10.130000000000001</v>
      </c>
    </row>
    <row r="9117" spans="1:4" ht="30">
      <c r="A9117" s="47">
        <v>11790</v>
      </c>
      <c r="B9117" s="48" t="s">
        <v>7809</v>
      </c>
      <c r="C9117" s="47" t="s">
        <v>65</v>
      </c>
      <c r="D9117" s="332">
        <v>11.49</v>
      </c>
    </row>
    <row r="9118" spans="1:4" ht="30">
      <c r="A9118" s="28">
        <v>428</v>
      </c>
      <c r="B9118" s="26" t="s">
        <v>7810</v>
      </c>
      <c r="C9118" s="28" t="s">
        <v>65</v>
      </c>
      <c r="D9118" s="329">
        <v>12.5</v>
      </c>
    </row>
    <row r="9119" spans="1:4" ht="43.5" customHeight="1">
      <c r="A9119" s="47">
        <v>4384</v>
      </c>
      <c r="B9119" s="48" t="s">
        <v>7811</v>
      </c>
      <c r="C9119" s="47" t="s">
        <v>65</v>
      </c>
      <c r="D9119" s="332">
        <v>9.9700000000000006</v>
      </c>
    </row>
    <row r="9120" spans="1:4" ht="30">
      <c r="A9120" s="28">
        <v>4351</v>
      </c>
      <c r="B9120" s="26" t="s">
        <v>7812</v>
      </c>
      <c r="C9120" s="28" t="s">
        <v>65</v>
      </c>
      <c r="D9120" s="329">
        <v>1.84</v>
      </c>
    </row>
    <row r="9121" spans="1:4">
      <c r="A9121" s="47">
        <v>11054</v>
      </c>
      <c r="B9121" s="48" t="s">
        <v>7813</v>
      </c>
      <c r="C9121" s="47" t="s">
        <v>65</v>
      </c>
      <c r="D9121" s="332">
        <v>0.02</v>
      </c>
    </row>
    <row r="9122" spans="1:4">
      <c r="A9122" s="28">
        <v>11055</v>
      </c>
      <c r="B9122" s="26" t="s">
        <v>7814</v>
      </c>
      <c r="C9122" s="28" t="s">
        <v>65</v>
      </c>
      <c r="D9122" s="329">
        <v>0.04</v>
      </c>
    </row>
    <row r="9123" spans="1:4">
      <c r="A9123" s="47">
        <v>11056</v>
      </c>
      <c r="B9123" s="48" t="s">
        <v>7815</v>
      </c>
      <c r="C9123" s="47" t="s">
        <v>65</v>
      </c>
      <c r="D9123" s="332">
        <v>0.04</v>
      </c>
    </row>
    <row r="9124" spans="1:4">
      <c r="A9124" s="28">
        <v>11057</v>
      </c>
      <c r="B9124" s="26" t="s">
        <v>7816</v>
      </c>
      <c r="C9124" s="28" t="s">
        <v>65</v>
      </c>
      <c r="D9124" s="329">
        <v>0.09</v>
      </c>
    </row>
    <row r="9125" spans="1:4">
      <c r="A9125" s="47">
        <v>11059</v>
      </c>
      <c r="B9125" s="48" t="s">
        <v>7817</v>
      </c>
      <c r="C9125" s="47" t="s">
        <v>65</v>
      </c>
      <c r="D9125" s="332">
        <v>0.17</v>
      </c>
    </row>
    <row r="9126" spans="1:4">
      <c r="A9126" s="28">
        <v>11058</v>
      </c>
      <c r="B9126" s="26" t="s">
        <v>7818</v>
      </c>
      <c r="C9126" s="28" t="s">
        <v>65</v>
      </c>
      <c r="D9126" s="329">
        <v>0.23</v>
      </c>
    </row>
    <row r="9127" spans="1:4">
      <c r="A9127" s="47">
        <v>4354</v>
      </c>
      <c r="B9127" s="48" t="s">
        <v>7819</v>
      </c>
      <c r="C9127" s="47" t="s">
        <v>65</v>
      </c>
      <c r="D9127" s="332">
        <v>0.99</v>
      </c>
    </row>
    <row r="9128" spans="1:4">
      <c r="A9128" s="28">
        <v>4380</v>
      </c>
      <c r="B9128" s="26" t="s">
        <v>7822</v>
      </c>
      <c r="C9128" s="28" t="s">
        <v>65</v>
      </c>
      <c r="D9128" s="329">
        <v>0.77</v>
      </c>
    </row>
    <row r="9129" spans="1:4" ht="30">
      <c r="A9129" s="47">
        <v>4299</v>
      </c>
      <c r="B9129" s="48" t="s">
        <v>7823</v>
      </c>
      <c r="C9129" s="47" t="s">
        <v>65</v>
      </c>
      <c r="D9129" s="332">
        <v>0.73</v>
      </c>
    </row>
    <row r="9130" spans="1:4" ht="30">
      <c r="A9130" s="28">
        <v>4304</v>
      </c>
      <c r="B9130" s="26" t="s">
        <v>7824</v>
      </c>
      <c r="C9130" s="28" t="s">
        <v>65</v>
      </c>
      <c r="D9130" s="329">
        <v>0.99</v>
      </c>
    </row>
    <row r="9131" spans="1:4" ht="30">
      <c r="A9131" s="47">
        <v>4305</v>
      </c>
      <c r="B9131" s="48" t="s">
        <v>7825</v>
      </c>
      <c r="C9131" s="47" t="s">
        <v>65</v>
      </c>
      <c r="D9131" s="332">
        <v>1.1499999999999999</v>
      </c>
    </row>
    <row r="9132" spans="1:4" ht="30">
      <c r="A9132" s="28">
        <v>4306</v>
      </c>
      <c r="B9132" s="26" t="s">
        <v>7826</v>
      </c>
      <c r="C9132" s="28" t="s">
        <v>65</v>
      </c>
      <c r="D9132" s="329">
        <v>1.34</v>
      </c>
    </row>
    <row r="9133" spans="1:4" ht="30">
      <c r="A9133" s="47">
        <v>4308</v>
      </c>
      <c r="B9133" s="48" t="s">
        <v>7827</v>
      </c>
      <c r="C9133" s="47" t="s">
        <v>65</v>
      </c>
      <c r="D9133" s="332">
        <v>2.78</v>
      </c>
    </row>
    <row r="9134" spans="1:4" ht="30">
      <c r="A9134" s="28">
        <v>4302</v>
      </c>
      <c r="B9134" s="26" t="s">
        <v>7828</v>
      </c>
      <c r="C9134" s="28" t="s">
        <v>65</v>
      </c>
      <c r="D9134" s="329">
        <v>2.08</v>
      </c>
    </row>
    <row r="9135" spans="1:4" ht="30">
      <c r="A9135" s="47">
        <v>4300</v>
      </c>
      <c r="B9135" s="48" t="s">
        <v>7829</v>
      </c>
      <c r="C9135" s="47" t="s">
        <v>65</v>
      </c>
      <c r="D9135" s="332">
        <v>0.49</v>
      </c>
    </row>
    <row r="9136" spans="1:4" ht="30">
      <c r="A9136" s="28">
        <v>4301</v>
      </c>
      <c r="B9136" s="26" t="s">
        <v>7830</v>
      </c>
      <c r="C9136" s="28" t="s">
        <v>65</v>
      </c>
      <c r="D9136" s="329">
        <v>0.6</v>
      </c>
    </row>
    <row r="9137" spans="1:4" ht="30">
      <c r="A9137" s="47">
        <v>4320</v>
      </c>
      <c r="B9137" s="48" t="s">
        <v>7820</v>
      </c>
      <c r="C9137" s="47" t="s">
        <v>65</v>
      </c>
      <c r="D9137" s="332">
        <v>1.84</v>
      </c>
    </row>
    <row r="9138" spans="1:4" ht="30">
      <c r="A9138" s="28">
        <v>4318</v>
      </c>
      <c r="B9138" s="26" t="s">
        <v>7821</v>
      </c>
      <c r="C9138" s="28" t="s">
        <v>65</v>
      </c>
      <c r="D9138" s="329">
        <v>0.89</v>
      </c>
    </row>
    <row r="9139" spans="1:4">
      <c r="A9139" s="47">
        <v>40547</v>
      </c>
      <c r="B9139" s="48" t="s">
        <v>11443</v>
      </c>
      <c r="C9139" s="47" t="s">
        <v>180</v>
      </c>
      <c r="D9139" s="332">
        <v>12.12</v>
      </c>
    </row>
    <row r="9140" spans="1:4" ht="30">
      <c r="A9140" s="28">
        <v>11962</v>
      </c>
      <c r="B9140" s="26" t="s">
        <v>7831</v>
      </c>
      <c r="C9140" s="28" t="s">
        <v>65</v>
      </c>
      <c r="D9140" s="329">
        <v>0.1</v>
      </c>
    </row>
    <row r="9141" spans="1:4">
      <c r="A9141" s="47">
        <v>4332</v>
      </c>
      <c r="B9141" s="48" t="s">
        <v>7832</v>
      </c>
      <c r="C9141" s="47" t="s">
        <v>65</v>
      </c>
      <c r="D9141" s="332">
        <v>0.48</v>
      </c>
    </row>
    <row r="9142" spans="1:4" ht="30">
      <c r="A9142" s="28">
        <v>4331</v>
      </c>
      <c r="B9142" s="26" t="s">
        <v>7833</v>
      </c>
      <c r="C9142" s="28" t="s">
        <v>65</v>
      </c>
      <c r="D9142" s="329">
        <v>1.81</v>
      </c>
    </row>
    <row r="9143" spans="1:4" ht="30">
      <c r="A9143" s="47">
        <v>4336</v>
      </c>
      <c r="B9143" s="48" t="s">
        <v>7834</v>
      </c>
      <c r="C9143" s="47" t="s">
        <v>65</v>
      </c>
      <c r="D9143" s="332">
        <v>2.3199999999999998</v>
      </c>
    </row>
    <row r="9144" spans="1:4" ht="30">
      <c r="A9144" s="28">
        <v>13294</v>
      </c>
      <c r="B9144" s="26" t="s">
        <v>7835</v>
      </c>
      <c r="C9144" s="28" t="s">
        <v>65</v>
      </c>
      <c r="D9144" s="329">
        <v>0.66</v>
      </c>
    </row>
    <row r="9145" spans="1:4" ht="30">
      <c r="A9145" s="47">
        <v>11948</v>
      </c>
      <c r="B9145" s="48" t="s">
        <v>7836</v>
      </c>
      <c r="C9145" s="47" t="s">
        <v>65</v>
      </c>
      <c r="D9145" s="332">
        <v>0.3</v>
      </c>
    </row>
    <row r="9146" spans="1:4" ht="30">
      <c r="A9146" s="28">
        <v>4382</v>
      </c>
      <c r="B9146" s="26" t="s">
        <v>7837</v>
      </c>
      <c r="C9146" s="28" t="s">
        <v>65</v>
      </c>
      <c r="D9146" s="329">
        <v>0.5</v>
      </c>
    </row>
    <row r="9147" spans="1:4" ht="30">
      <c r="A9147" s="47">
        <v>40839</v>
      </c>
      <c r="B9147" s="48" t="s">
        <v>11444</v>
      </c>
      <c r="C9147" s="47" t="s">
        <v>180</v>
      </c>
      <c r="D9147" s="332">
        <v>50.21</v>
      </c>
    </row>
    <row r="9148" spans="1:4">
      <c r="A9148" s="28">
        <v>40552</v>
      </c>
      <c r="B9148" s="26" t="s">
        <v>11445</v>
      </c>
      <c r="C9148" s="28" t="s">
        <v>180</v>
      </c>
      <c r="D9148" s="329">
        <v>20.77</v>
      </c>
    </row>
    <row r="9149" spans="1:4">
      <c r="A9149" s="47">
        <v>40549</v>
      </c>
      <c r="B9149" s="48" t="s">
        <v>11446</v>
      </c>
      <c r="C9149" s="47" t="s">
        <v>180</v>
      </c>
      <c r="D9149" s="332">
        <v>82.25</v>
      </c>
    </row>
    <row r="9150" spans="1:4" ht="30">
      <c r="A9150" s="28">
        <v>4386</v>
      </c>
      <c r="B9150" s="26" t="s">
        <v>7838</v>
      </c>
      <c r="C9150" s="28" t="s">
        <v>256</v>
      </c>
      <c r="D9150" s="329">
        <v>127.9</v>
      </c>
    </row>
    <row r="9151" spans="1:4" ht="30">
      <c r="A9151" s="47">
        <v>4385</v>
      </c>
      <c r="B9151" s="48" t="s">
        <v>7838</v>
      </c>
      <c r="C9151" s="47" t="s">
        <v>135</v>
      </c>
      <c r="D9151" s="332">
        <v>3025</v>
      </c>
    </row>
    <row r="9152" spans="1:4">
      <c r="A9152" s="28">
        <v>38397</v>
      </c>
      <c r="B9152" s="26" t="s">
        <v>7849</v>
      </c>
      <c r="C9152" s="28" t="s">
        <v>90</v>
      </c>
      <c r="D9152" s="329">
        <v>3.69</v>
      </c>
    </row>
    <row r="9153" spans="1:4" ht="30">
      <c r="A9153" s="47">
        <v>20078</v>
      </c>
      <c r="B9153" s="48" t="s">
        <v>7850</v>
      </c>
      <c r="C9153" s="47" t="s">
        <v>65</v>
      </c>
      <c r="D9153" s="332">
        <v>19.68</v>
      </c>
    </row>
    <row r="9154" spans="1:4" ht="30">
      <c r="A9154" s="28">
        <v>20079</v>
      </c>
      <c r="B9154" s="26" t="s">
        <v>7851</v>
      </c>
      <c r="C9154" s="28" t="s">
        <v>65</v>
      </c>
      <c r="D9154" s="329">
        <v>122.74</v>
      </c>
    </row>
    <row r="9155" spans="1:4">
      <c r="A9155" s="47">
        <v>39897</v>
      </c>
      <c r="B9155" s="48" t="s">
        <v>7852</v>
      </c>
      <c r="C9155" s="47" t="s">
        <v>217</v>
      </c>
      <c r="D9155" s="332">
        <v>36.99</v>
      </c>
    </row>
    <row r="9156" spans="1:4">
      <c r="A9156" s="28">
        <v>118</v>
      </c>
      <c r="B9156" s="26" t="s">
        <v>7853</v>
      </c>
      <c r="C9156" s="28" t="s">
        <v>65</v>
      </c>
      <c r="D9156" s="329">
        <v>74.39</v>
      </c>
    </row>
    <row r="9157" spans="1:4" ht="43.5" customHeight="1">
      <c r="A9157" s="47">
        <v>4396</v>
      </c>
      <c r="B9157" s="48" t="s">
        <v>7854</v>
      </c>
      <c r="C9157" s="47" t="s">
        <v>256</v>
      </c>
      <c r="D9157" s="332">
        <v>105.66</v>
      </c>
    </row>
    <row r="9158" spans="1:4">
      <c r="A9158" s="28">
        <v>36881</v>
      </c>
      <c r="B9158" s="26" t="s">
        <v>7855</v>
      </c>
      <c r="C9158" s="28" t="s">
        <v>256</v>
      </c>
      <c r="D9158" s="329">
        <v>94.41</v>
      </c>
    </row>
    <row r="9159" spans="1:4">
      <c r="A9159" s="47">
        <v>36882</v>
      </c>
      <c r="B9159" s="48" t="s">
        <v>7856</v>
      </c>
      <c r="C9159" s="47" t="s">
        <v>256</v>
      </c>
      <c r="D9159" s="332">
        <v>110.15</v>
      </c>
    </row>
    <row r="9160" spans="1:4" ht="30">
      <c r="A9160" s="28">
        <v>4397</v>
      </c>
      <c r="B9160" s="26" t="s">
        <v>7857</v>
      </c>
      <c r="C9160" s="28" t="s">
        <v>256</v>
      </c>
      <c r="D9160" s="329">
        <v>171.34</v>
      </c>
    </row>
    <row r="9161" spans="1:4" ht="30">
      <c r="A9161" s="47">
        <v>34754</v>
      </c>
      <c r="B9161" s="48" t="s">
        <v>7858</v>
      </c>
      <c r="C9161" s="47" t="s">
        <v>256</v>
      </c>
      <c r="D9161" s="332">
        <v>317.26</v>
      </c>
    </row>
    <row r="9162" spans="1:4" ht="45">
      <c r="A9162" s="28">
        <v>25962</v>
      </c>
      <c r="B9162" s="26" t="s">
        <v>7859</v>
      </c>
      <c r="C9162" s="28" t="s">
        <v>256</v>
      </c>
      <c r="D9162" s="329">
        <v>200.94</v>
      </c>
    </row>
    <row r="9163" spans="1:4" ht="30">
      <c r="A9163" s="47">
        <v>34752</v>
      </c>
      <c r="B9163" s="48" t="s">
        <v>7860</v>
      </c>
      <c r="C9163" s="47" t="s">
        <v>256</v>
      </c>
      <c r="D9163" s="332">
        <v>353.85</v>
      </c>
    </row>
    <row r="9164" spans="1:4">
      <c r="A9164" s="28">
        <v>4751</v>
      </c>
      <c r="B9164" s="26" t="s">
        <v>218</v>
      </c>
      <c r="C9164" s="28" t="s">
        <v>57</v>
      </c>
      <c r="D9164" s="329">
        <v>15.39</v>
      </c>
    </row>
    <row r="9165" spans="1:4">
      <c r="A9165" s="47">
        <v>41066</v>
      </c>
      <c r="B9165" s="48" t="s">
        <v>7861</v>
      </c>
      <c r="C9165" s="47" t="s">
        <v>1643</v>
      </c>
      <c r="D9165" s="332">
        <v>2710.24</v>
      </c>
    </row>
    <row r="9166" spans="1:4" ht="30">
      <c r="A9166" s="28">
        <v>20209</v>
      </c>
      <c r="B9166" s="26" t="s">
        <v>7868</v>
      </c>
      <c r="C9166" s="28" t="s">
        <v>71</v>
      </c>
      <c r="D9166" s="329">
        <v>6.85</v>
      </c>
    </row>
    <row r="9167" spans="1:4" ht="30">
      <c r="A9167" s="47">
        <v>4433</v>
      </c>
      <c r="B9167" s="48" t="s">
        <v>7869</v>
      </c>
      <c r="C9167" s="47" t="s">
        <v>71</v>
      </c>
      <c r="D9167" s="332">
        <v>6.81</v>
      </c>
    </row>
    <row r="9168" spans="1:4">
      <c r="A9168" s="28">
        <v>4491</v>
      </c>
      <c r="B9168" s="26" t="s">
        <v>7870</v>
      </c>
      <c r="C9168" s="28" t="s">
        <v>71</v>
      </c>
      <c r="D9168" s="329">
        <v>5.4</v>
      </c>
    </row>
    <row r="9169" spans="1:4">
      <c r="A9169" s="47">
        <v>4505</v>
      </c>
      <c r="B9169" s="48" t="s">
        <v>7871</v>
      </c>
      <c r="C9169" s="47" t="s">
        <v>71</v>
      </c>
      <c r="D9169" s="332">
        <v>2.13</v>
      </c>
    </row>
    <row r="9170" spans="1:4">
      <c r="A9170" s="28">
        <v>4517</v>
      </c>
      <c r="B9170" s="26" t="s">
        <v>7872</v>
      </c>
      <c r="C9170" s="28" t="s">
        <v>71</v>
      </c>
      <c r="D9170" s="329">
        <v>0.66</v>
      </c>
    </row>
    <row r="9171" spans="1:4">
      <c r="A9171" s="47">
        <v>4448</v>
      </c>
      <c r="B9171" s="48" t="s">
        <v>7873</v>
      </c>
      <c r="C9171" s="47" t="s">
        <v>71</v>
      </c>
      <c r="D9171" s="332">
        <v>9.8699999999999992</v>
      </c>
    </row>
    <row r="9172" spans="1:4">
      <c r="A9172" s="28">
        <v>6194</v>
      </c>
      <c r="B9172" s="26" t="s">
        <v>7863</v>
      </c>
      <c r="C9172" s="28" t="s">
        <v>71</v>
      </c>
      <c r="D9172" s="329">
        <v>5</v>
      </c>
    </row>
    <row r="9173" spans="1:4">
      <c r="A9173" s="47">
        <v>4509</v>
      </c>
      <c r="B9173" s="48" t="s">
        <v>7864</v>
      </c>
      <c r="C9173" s="47" t="s">
        <v>71</v>
      </c>
      <c r="D9173" s="332">
        <v>2.77</v>
      </c>
    </row>
    <row r="9174" spans="1:4">
      <c r="A9174" s="28">
        <v>4513</v>
      </c>
      <c r="B9174" s="26" t="s">
        <v>7865</v>
      </c>
      <c r="C9174" s="28" t="s">
        <v>71</v>
      </c>
      <c r="D9174" s="329">
        <v>0.96</v>
      </c>
    </row>
    <row r="9175" spans="1:4">
      <c r="A9175" s="47">
        <v>4512</v>
      </c>
      <c r="B9175" s="48" t="s">
        <v>7866</v>
      </c>
      <c r="C9175" s="47" t="s">
        <v>71</v>
      </c>
      <c r="D9175" s="332">
        <v>1.71</v>
      </c>
    </row>
    <row r="9176" spans="1:4">
      <c r="A9176" s="28">
        <v>4500</v>
      </c>
      <c r="B9176" s="26" t="s">
        <v>7867</v>
      </c>
      <c r="C9176" s="28" t="s">
        <v>71</v>
      </c>
      <c r="D9176" s="329">
        <v>8.3800000000000008</v>
      </c>
    </row>
    <row r="9177" spans="1:4">
      <c r="A9177" s="47">
        <v>10731</v>
      </c>
      <c r="B9177" s="48" t="s">
        <v>7874</v>
      </c>
      <c r="C9177" s="47" t="s">
        <v>256</v>
      </c>
      <c r="D9177" s="332">
        <v>21</v>
      </c>
    </row>
    <row r="9178" spans="1:4">
      <c r="A9178" s="28">
        <v>4704</v>
      </c>
      <c r="B9178" s="26" t="s">
        <v>7875</v>
      </c>
      <c r="C9178" s="28" t="s">
        <v>256</v>
      </c>
      <c r="D9178" s="329">
        <v>18.95</v>
      </c>
    </row>
    <row r="9179" spans="1:4">
      <c r="A9179" s="47">
        <v>10730</v>
      </c>
      <c r="B9179" s="48" t="s">
        <v>7876</v>
      </c>
      <c r="C9179" s="47" t="s">
        <v>256</v>
      </c>
      <c r="D9179" s="332">
        <v>20.3</v>
      </c>
    </row>
    <row r="9180" spans="1:4">
      <c r="A9180" s="28">
        <v>4729</v>
      </c>
      <c r="B9180" s="26" t="s">
        <v>7877</v>
      </c>
      <c r="C9180" s="28" t="s">
        <v>255</v>
      </c>
      <c r="D9180" s="329">
        <v>56.38</v>
      </c>
    </row>
    <row r="9181" spans="1:4" ht="30">
      <c r="A9181" s="47">
        <v>4720</v>
      </c>
      <c r="B9181" s="48" t="s">
        <v>7878</v>
      </c>
      <c r="C9181" s="47" t="s">
        <v>255</v>
      </c>
      <c r="D9181" s="332">
        <v>61.64</v>
      </c>
    </row>
    <row r="9182" spans="1:4">
      <c r="A9182" s="28">
        <v>4721</v>
      </c>
      <c r="B9182" s="26" t="s">
        <v>7879</v>
      </c>
      <c r="C9182" s="28" t="s">
        <v>255</v>
      </c>
      <c r="D9182" s="329">
        <v>48.28</v>
      </c>
    </row>
    <row r="9183" spans="1:4">
      <c r="A9183" s="47">
        <v>4718</v>
      </c>
      <c r="B9183" s="48" t="s">
        <v>7880</v>
      </c>
      <c r="C9183" s="47" t="s">
        <v>255</v>
      </c>
      <c r="D9183" s="332">
        <v>48.28</v>
      </c>
    </row>
    <row r="9184" spans="1:4">
      <c r="A9184" s="28">
        <v>4722</v>
      </c>
      <c r="B9184" s="26" t="s">
        <v>7881</v>
      </c>
      <c r="C9184" s="28" t="s">
        <v>255</v>
      </c>
      <c r="D9184" s="329">
        <v>48.28</v>
      </c>
    </row>
    <row r="9185" spans="1:4">
      <c r="A9185" s="47">
        <v>4723</v>
      </c>
      <c r="B9185" s="48" t="s">
        <v>7882</v>
      </c>
      <c r="C9185" s="47" t="s">
        <v>255</v>
      </c>
      <c r="D9185" s="332">
        <v>52.67</v>
      </c>
    </row>
    <row r="9186" spans="1:4">
      <c r="A9186" s="28">
        <v>4727</v>
      </c>
      <c r="B9186" s="26" t="s">
        <v>7883</v>
      </c>
      <c r="C9186" s="28" t="s">
        <v>255</v>
      </c>
      <c r="D9186" s="329">
        <v>54.13</v>
      </c>
    </row>
    <row r="9187" spans="1:4" ht="30">
      <c r="A9187" s="47">
        <v>4748</v>
      </c>
      <c r="B9187" s="48" t="s">
        <v>7884</v>
      </c>
      <c r="C9187" s="47" t="s">
        <v>255</v>
      </c>
      <c r="D9187" s="332">
        <v>52.23</v>
      </c>
    </row>
    <row r="9188" spans="1:4" ht="30">
      <c r="A9188" s="28">
        <v>4730</v>
      </c>
      <c r="B9188" s="26" t="s">
        <v>7885</v>
      </c>
      <c r="C9188" s="28" t="s">
        <v>255</v>
      </c>
      <c r="D9188" s="329">
        <v>50.47</v>
      </c>
    </row>
    <row r="9189" spans="1:4" ht="45">
      <c r="A9189" s="47">
        <v>13186</v>
      </c>
      <c r="B9189" s="48" t="s">
        <v>7886</v>
      </c>
      <c r="C9189" s="47" t="s">
        <v>255</v>
      </c>
      <c r="D9189" s="332">
        <v>179.91</v>
      </c>
    </row>
    <row r="9190" spans="1:4" ht="30">
      <c r="A9190" s="28">
        <v>10737</v>
      </c>
      <c r="B9190" s="26" t="s">
        <v>7887</v>
      </c>
      <c r="C9190" s="28" t="s">
        <v>256</v>
      </c>
      <c r="D9190" s="329">
        <v>65.989999999999995</v>
      </c>
    </row>
    <row r="9191" spans="1:4" ht="30">
      <c r="A9191" s="47">
        <v>10734</v>
      </c>
      <c r="B9191" s="48" t="s">
        <v>7888</v>
      </c>
      <c r="C9191" s="47" t="s">
        <v>256</v>
      </c>
      <c r="D9191" s="332">
        <v>39.25</v>
      </c>
    </row>
    <row r="9192" spans="1:4">
      <c r="A9192" s="28">
        <v>4717</v>
      </c>
      <c r="B9192" s="26" t="s">
        <v>7889</v>
      </c>
      <c r="C9192" s="28" t="s">
        <v>256</v>
      </c>
      <c r="D9192" s="329">
        <v>76.14</v>
      </c>
    </row>
    <row r="9193" spans="1:4">
      <c r="A9193" s="47">
        <v>4708</v>
      </c>
      <c r="B9193" s="48" t="s">
        <v>11447</v>
      </c>
      <c r="C9193" s="47" t="s">
        <v>256</v>
      </c>
      <c r="D9193" s="332">
        <v>76.14</v>
      </c>
    </row>
    <row r="9194" spans="1:4" ht="45">
      <c r="A9194" s="28">
        <v>4712</v>
      </c>
      <c r="B9194" s="26" t="s">
        <v>7890</v>
      </c>
      <c r="C9194" s="28" t="s">
        <v>256</v>
      </c>
      <c r="D9194" s="329">
        <v>37.22</v>
      </c>
    </row>
    <row r="9195" spans="1:4" ht="45">
      <c r="A9195" s="47">
        <v>4710</v>
      </c>
      <c r="B9195" s="48" t="s">
        <v>7891</v>
      </c>
      <c r="C9195" s="47" t="s">
        <v>256</v>
      </c>
      <c r="D9195" s="332">
        <v>119.38</v>
      </c>
    </row>
    <row r="9196" spans="1:4" ht="30">
      <c r="A9196" s="28">
        <v>4746</v>
      </c>
      <c r="B9196" s="26" t="s">
        <v>7892</v>
      </c>
      <c r="C9196" s="28" t="s">
        <v>255</v>
      </c>
      <c r="D9196" s="329">
        <v>46.82</v>
      </c>
    </row>
    <row r="9197" spans="1:4">
      <c r="A9197" s="47">
        <v>4750</v>
      </c>
      <c r="B9197" s="48" t="s">
        <v>219</v>
      </c>
      <c r="C9197" s="47" t="s">
        <v>57</v>
      </c>
      <c r="D9197" s="332">
        <v>12.75</v>
      </c>
    </row>
    <row r="9198" spans="1:4">
      <c r="A9198" s="28">
        <v>41065</v>
      </c>
      <c r="B9198" s="26" t="s">
        <v>7893</v>
      </c>
      <c r="C9198" s="28" t="s">
        <v>1643</v>
      </c>
      <c r="D9198" s="329">
        <v>2245.17</v>
      </c>
    </row>
    <row r="9199" spans="1:4" ht="30">
      <c r="A9199" s="47">
        <v>34747</v>
      </c>
      <c r="B9199" s="48" t="s">
        <v>7896</v>
      </c>
      <c r="C9199" s="47" t="s">
        <v>71</v>
      </c>
      <c r="D9199" s="332">
        <v>40.14</v>
      </c>
    </row>
    <row r="9200" spans="1:4">
      <c r="A9200" s="28">
        <v>4826</v>
      </c>
      <c r="B9200" s="26" t="s">
        <v>7897</v>
      </c>
      <c r="C9200" s="28" t="s">
        <v>71</v>
      </c>
      <c r="D9200" s="329">
        <v>43.16</v>
      </c>
    </row>
    <row r="9201" spans="1:4">
      <c r="A9201" s="47">
        <v>10855</v>
      </c>
      <c r="B9201" s="48" t="s">
        <v>7898</v>
      </c>
      <c r="C9201" s="47" t="s">
        <v>71</v>
      </c>
      <c r="D9201" s="332">
        <v>29.41</v>
      </c>
    </row>
    <row r="9202" spans="1:4" ht="30">
      <c r="A9202" s="28">
        <v>4825</v>
      </c>
      <c r="B9202" s="26" t="s">
        <v>7899</v>
      </c>
      <c r="C9202" s="28" t="s">
        <v>71</v>
      </c>
      <c r="D9202" s="329">
        <v>59.75</v>
      </c>
    </row>
    <row r="9203" spans="1:4">
      <c r="A9203" s="47">
        <v>34744</v>
      </c>
      <c r="B9203" s="48" t="s">
        <v>7900</v>
      </c>
      <c r="C9203" s="47" t="s">
        <v>256</v>
      </c>
      <c r="D9203" s="332">
        <v>21.62</v>
      </c>
    </row>
    <row r="9204" spans="1:4" ht="30">
      <c r="A9204" s="28">
        <v>39430</v>
      </c>
      <c r="B9204" s="26" t="s">
        <v>11448</v>
      </c>
      <c r="C9204" s="28" t="s">
        <v>65</v>
      </c>
      <c r="D9204" s="329">
        <v>0.3</v>
      </c>
    </row>
    <row r="9205" spans="1:4" ht="29.25" customHeight="1">
      <c r="A9205" s="47">
        <v>39573</v>
      </c>
      <c r="B9205" s="48" t="s">
        <v>11449</v>
      </c>
      <c r="C9205" s="47" t="s">
        <v>65</v>
      </c>
      <c r="D9205" s="332">
        <v>0.28999999999999998</v>
      </c>
    </row>
    <row r="9206" spans="1:4" ht="30">
      <c r="A9206" s="28">
        <v>38410</v>
      </c>
      <c r="B9206" s="26" t="s">
        <v>7901</v>
      </c>
      <c r="C9206" s="28" t="s">
        <v>65</v>
      </c>
      <c r="D9206" s="329">
        <v>9754.86</v>
      </c>
    </row>
    <row r="9207" spans="1:4">
      <c r="A9207" s="47">
        <v>4765</v>
      </c>
      <c r="B9207" s="48" t="s">
        <v>7908</v>
      </c>
      <c r="C9207" s="47" t="s">
        <v>71</v>
      </c>
      <c r="D9207" s="332">
        <v>50.23</v>
      </c>
    </row>
    <row r="9208" spans="1:4">
      <c r="A9208" s="28">
        <v>4766</v>
      </c>
      <c r="B9208" s="26" t="s">
        <v>7909</v>
      </c>
      <c r="C9208" s="28" t="s">
        <v>90</v>
      </c>
      <c r="D9208" s="329">
        <v>4</v>
      </c>
    </row>
    <row r="9209" spans="1:4">
      <c r="A9209" s="47">
        <v>4767</v>
      </c>
      <c r="B9209" s="48" t="s">
        <v>7909</v>
      </c>
      <c r="C9209" s="47" t="s">
        <v>71</v>
      </c>
      <c r="D9209" s="332">
        <v>86.55</v>
      </c>
    </row>
    <row r="9210" spans="1:4">
      <c r="A9210" s="28">
        <v>10962</v>
      </c>
      <c r="B9210" s="26" t="s">
        <v>7911</v>
      </c>
      <c r="C9210" s="28" t="s">
        <v>90</v>
      </c>
      <c r="D9210" s="329">
        <v>4.26</v>
      </c>
    </row>
    <row r="9211" spans="1:4">
      <c r="A9211" s="47">
        <v>34742</v>
      </c>
      <c r="B9211" s="48" t="s">
        <v>7912</v>
      </c>
      <c r="C9211" s="47" t="s">
        <v>90</v>
      </c>
      <c r="D9211" s="332">
        <v>3.99</v>
      </c>
    </row>
    <row r="9212" spans="1:4">
      <c r="A9212" s="28">
        <v>4773</v>
      </c>
      <c r="B9212" s="26" t="s">
        <v>7913</v>
      </c>
      <c r="C9212" s="28" t="s">
        <v>71</v>
      </c>
      <c r="D9212" s="329">
        <v>173.15</v>
      </c>
    </row>
    <row r="9213" spans="1:4">
      <c r="A9213" s="47">
        <v>34740</v>
      </c>
      <c r="B9213" s="48" t="s">
        <v>7914</v>
      </c>
      <c r="C9213" s="47" t="s">
        <v>90</v>
      </c>
      <c r="D9213" s="332">
        <v>3.99</v>
      </c>
    </row>
    <row r="9214" spans="1:4">
      <c r="A9214" s="28">
        <v>4776</v>
      </c>
      <c r="B9214" s="26" t="s">
        <v>7915</v>
      </c>
      <c r="C9214" s="28" t="s">
        <v>71</v>
      </c>
      <c r="D9214" s="329">
        <v>268.45</v>
      </c>
    </row>
    <row r="9215" spans="1:4">
      <c r="A9215" s="47">
        <v>4774</v>
      </c>
      <c r="B9215" s="48" t="s">
        <v>7915</v>
      </c>
      <c r="C9215" s="47" t="s">
        <v>90</v>
      </c>
      <c r="D9215" s="332">
        <v>4</v>
      </c>
    </row>
    <row r="9216" spans="1:4">
      <c r="A9216" s="28">
        <v>40313</v>
      </c>
      <c r="B9216" s="26" t="s">
        <v>7916</v>
      </c>
      <c r="C9216" s="28" t="s">
        <v>90</v>
      </c>
      <c r="D9216" s="329">
        <v>3.99</v>
      </c>
    </row>
    <row r="9217" spans="1:4">
      <c r="A9217" s="47">
        <v>13340</v>
      </c>
      <c r="B9217" s="48" t="s">
        <v>7917</v>
      </c>
      <c r="C9217" s="47" t="s">
        <v>71</v>
      </c>
      <c r="D9217" s="332">
        <v>16.920000000000002</v>
      </c>
    </row>
    <row r="9218" spans="1:4">
      <c r="A9218" s="28">
        <v>10965</v>
      </c>
      <c r="B9218" s="26" t="s">
        <v>7918</v>
      </c>
      <c r="C9218" s="28" t="s">
        <v>71</v>
      </c>
      <c r="D9218" s="329">
        <v>36.1</v>
      </c>
    </row>
    <row r="9219" spans="1:4">
      <c r="A9219" s="47">
        <v>10966</v>
      </c>
      <c r="B9219" s="48" t="s">
        <v>7919</v>
      </c>
      <c r="C9219" s="47" t="s">
        <v>90</v>
      </c>
      <c r="D9219" s="332">
        <v>4.03</v>
      </c>
    </row>
    <row r="9220" spans="1:4">
      <c r="A9220" s="28">
        <v>40537</v>
      </c>
      <c r="B9220" s="26" t="s">
        <v>7920</v>
      </c>
      <c r="C9220" s="28" t="s">
        <v>90</v>
      </c>
      <c r="D9220" s="329">
        <v>4.41</v>
      </c>
    </row>
    <row r="9221" spans="1:4">
      <c r="A9221" s="47">
        <v>40536</v>
      </c>
      <c r="B9221" s="48" t="s">
        <v>7921</v>
      </c>
      <c r="C9221" s="47" t="s">
        <v>90</v>
      </c>
      <c r="D9221" s="332">
        <v>4.41</v>
      </c>
    </row>
    <row r="9222" spans="1:4">
      <c r="A9222" s="28">
        <v>40535</v>
      </c>
      <c r="B9222" s="26" t="s">
        <v>7922</v>
      </c>
      <c r="C9222" s="28" t="s">
        <v>90</v>
      </c>
      <c r="D9222" s="329">
        <v>4.41</v>
      </c>
    </row>
    <row r="9223" spans="1:4" ht="30">
      <c r="A9223" s="47">
        <v>39427</v>
      </c>
      <c r="B9223" s="48" t="s">
        <v>11450</v>
      </c>
      <c r="C9223" s="47" t="s">
        <v>71</v>
      </c>
      <c r="D9223" s="332">
        <v>0.8</v>
      </c>
    </row>
    <row r="9224" spans="1:4">
      <c r="A9224" s="28">
        <v>39424</v>
      </c>
      <c r="B9224" s="26" t="s">
        <v>11451</v>
      </c>
      <c r="C9224" s="28" t="s">
        <v>71</v>
      </c>
      <c r="D9224" s="329">
        <v>0.47</v>
      </c>
    </row>
    <row r="9225" spans="1:4" ht="30">
      <c r="A9225" s="47">
        <v>39425</v>
      </c>
      <c r="B9225" s="48" t="s">
        <v>11452</v>
      </c>
      <c r="C9225" s="47" t="s">
        <v>71</v>
      </c>
      <c r="D9225" s="332">
        <v>0.47</v>
      </c>
    </row>
    <row r="9226" spans="1:4">
      <c r="A9226" s="28">
        <v>40664</v>
      </c>
      <c r="B9226" s="26" t="s">
        <v>7923</v>
      </c>
      <c r="C9226" s="28" t="s">
        <v>90</v>
      </c>
      <c r="D9226" s="329">
        <v>3.78</v>
      </c>
    </row>
    <row r="9227" spans="1:4">
      <c r="A9227" s="47">
        <v>34360</v>
      </c>
      <c r="B9227" s="48" t="s">
        <v>7924</v>
      </c>
      <c r="C9227" s="47" t="s">
        <v>90</v>
      </c>
      <c r="D9227" s="332">
        <v>32.020000000000003</v>
      </c>
    </row>
    <row r="9228" spans="1:4">
      <c r="A9228" s="28">
        <v>20259</v>
      </c>
      <c r="B9228" s="26" t="s">
        <v>7925</v>
      </c>
      <c r="C9228" s="28" t="s">
        <v>71</v>
      </c>
      <c r="D9228" s="329">
        <v>11.2</v>
      </c>
    </row>
    <row r="9229" spans="1:4" ht="30">
      <c r="A9229" s="47">
        <v>14077</v>
      </c>
      <c r="B9229" s="48" t="s">
        <v>7926</v>
      </c>
      <c r="C9229" s="47" t="s">
        <v>71</v>
      </c>
      <c r="D9229" s="332">
        <v>171.42</v>
      </c>
    </row>
    <row r="9230" spans="1:4" ht="30">
      <c r="A9230" s="28">
        <v>3678</v>
      </c>
      <c r="B9230" s="26" t="s">
        <v>7927</v>
      </c>
      <c r="C9230" s="28" t="s">
        <v>71</v>
      </c>
      <c r="D9230" s="329">
        <v>77.48</v>
      </c>
    </row>
    <row r="9231" spans="1:4" ht="30">
      <c r="A9231" s="47">
        <v>39418</v>
      </c>
      <c r="B9231" s="48" t="s">
        <v>11453</v>
      </c>
      <c r="C9231" s="47" t="s">
        <v>71</v>
      </c>
      <c r="D9231" s="332">
        <v>0.89</v>
      </c>
    </row>
    <row r="9232" spans="1:4" ht="30">
      <c r="A9232" s="28">
        <v>39419</v>
      </c>
      <c r="B9232" s="26" t="s">
        <v>11454</v>
      </c>
      <c r="C9232" s="28" t="s">
        <v>71</v>
      </c>
      <c r="D9232" s="329">
        <v>1.0900000000000001</v>
      </c>
    </row>
    <row r="9233" spans="1:4" ht="30">
      <c r="A9233" s="47">
        <v>39420</v>
      </c>
      <c r="B9233" s="48" t="s">
        <v>11455</v>
      </c>
      <c r="C9233" s="47" t="s">
        <v>71</v>
      </c>
      <c r="D9233" s="332">
        <v>1.2</v>
      </c>
    </row>
    <row r="9234" spans="1:4" ht="30">
      <c r="A9234" s="28">
        <v>39571</v>
      </c>
      <c r="B9234" s="26" t="s">
        <v>11456</v>
      </c>
      <c r="C9234" s="28" t="s">
        <v>71</v>
      </c>
      <c r="D9234" s="329">
        <v>0.72</v>
      </c>
    </row>
    <row r="9235" spans="1:4" ht="30">
      <c r="A9235" s="47">
        <v>39421</v>
      </c>
      <c r="B9235" s="48" t="s">
        <v>11457</v>
      </c>
      <c r="C9235" s="47" t="s">
        <v>71</v>
      </c>
      <c r="D9235" s="332">
        <v>1.06</v>
      </c>
    </row>
    <row r="9236" spans="1:4" ht="30">
      <c r="A9236" s="28">
        <v>39422</v>
      </c>
      <c r="B9236" s="26" t="s">
        <v>11458</v>
      </c>
      <c r="C9236" s="28" t="s">
        <v>71</v>
      </c>
      <c r="D9236" s="329">
        <v>1.24</v>
      </c>
    </row>
    <row r="9237" spans="1:4" ht="30">
      <c r="A9237" s="47">
        <v>39423</v>
      </c>
      <c r="B9237" s="48" t="s">
        <v>11459</v>
      </c>
      <c r="C9237" s="47" t="s">
        <v>71</v>
      </c>
      <c r="D9237" s="332">
        <v>1.44</v>
      </c>
    </row>
    <row r="9238" spans="1:4" ht="30">
      <c r="A9238" s="28">
        <v>39429</v>
      </c>
      <c r="B9238" s="26" t="s">
        <v>11460</v>
      </c>
      <c r="C9238" s="28" t="s">
        <v>71</v>
      </c>
      <c r="D9238" s="329">
        <v>1.02</v>
      </c>
    </row>
    <row r="9239" spans="1:4" ht="30">
      <c r="A9239" s="47">
        <v>39428</v>
      </c>
      <c r="B9239" s="48" t="s">
        <v>11461</v>
      </c>
      <c r="C9239" s="47" t="s">
        <v>71</v>
      </c>
      <c r="D9239" s="332">
        <v>0.78</v>
      </c>
    </row>
    <row r="9240" spans="1:4" ht="30">
      <c r="A9240" s="28">
        <v>39572</v>
      </c>
      <c r="B9240" s="26" t="s">
        <v>11462</v>
      </c>
      <c r="C9240" s="28" t="s">
        <v>71</v>
      </c>
      <c r="D9240" s="329">
        <v>0.67</v>
      </c>
    </row>
    <row r="9241" spans="1:4" ht="30">
      <c r="A9241" s="47">
        <v>39570</v>
      </c>
      <c r="B9241" s="48" t="s">
        <v>11463</v>
      </c>
      <c r="C9241" s="47" t="s">
        <v>71</v>
      </c>
      <c r="D9241" s="332">
        <v>0.71</v>
      </c>
    </row>
    <row r="9242" spans="1:4" ht="30">
      <c r="A9242" s="28">
        <v>39569</v>
      </c>
      <c r="B9242" s="26" t="s">
        <v>11464</v>
      </c>
      <c r="C9242" s="28" t="s">
        <v>71</v>
      </c>
      <c r="D9242" s="329">
        <v>0.7</v>
      </c>
    </row>
    <row r="9243" spans="1:4" ht="30">
      <c r="A9243" s="47">
        <v>11552</v>
      </c>
      <c r="B9243" s="48" t="s">
        <v>7928</v>
      </c>
      <c r="C9243" s="47" t="s">
        <v>71</v>
      </c>
      <c r="D9243" s="332">
        <v>6.94</v>
      </c>
    </row>
    <row r="9244" spans="1:4" ht="30">
      <c r="A9244" s="28">
        <v>40598</v>
      </c>
      <c r="B9244" s="26" t="s">
        <v>7929</v>
      </c>
      <c r="C9244" s="28" t="s">
        <v>90</v>
      </c>
      <c r="D9244" s="329">
        <v>4.41</v>
      </c>
    </row>
    <row r="9245" spans="1:4">
      <c r="A9245" s="47">
        <v>39958</v>
      </c>
      <c r="B9245" s="48" t="s">
        <v>7930</v>
      </c>
      <c r="C9245" s="47" t="s">
        <v>71</v>
      </c>
      <c r="D9245" s="332">
        <v>17.329999999999998</v>
      </c>
    </row>
    <row r="9246" spans="1:4">
      <c r="A9246" s="28">
        <v>39029</v>
      </c>
      <c r="B9246" s="26" t="s">
        <v>11465</v>
      </c>
      <c r="C9246" s="28" t="s">
        <v>71</v>
      </c>
      <c r="D9246" s="329">
        <v>2.2799999999999998</v>
      </c>
    </row>
    <row r="9247" spans="1:4">
      <c r="A9247" s="47">
        <v>39957</v>
      </c>
      <c r="B9247" s="48" t="s">
        <v>7931</v>
      </c>
      <c r="C9247" s="47" t="s">
        <v>71</v>
      </c>
      <c r="D9247" s="332">
        <v>9.58</v>
      </c>
    </row>
    <row r="9248" spans="1:4">
      <c r="A9248" s="28">
        <v>39028</v>
      </c>
      <c r="B9248" s="26" t="s">
        <v>11466</v>
      </c>
      <c r="C9248" s="28" t="s">
        <v>71</v>
      </c>
      <c r="D9248" s="329">
        <v>1.33</v>
      </c>
    </row>
    <row r="9249" spans="1:4">
      <c r="A9249" s="47">
        <v>39328</v>
      </c>
      <c r="B9249" s="48" t="s">
        <v>11467</v>
      </c>
      <c r="C9249" s="47" t="s">
        <v>71</v>
      </c>
      <c r="D9249" s="332">
        <v>0.73</v>
      </c>
    </row>
    <row r="9250" spans="1:4" ht="45">
      <c r="A9250" s="28">
        <v>38541</v>
      </c>
      <c r="B9250" s="26" t="s">
        <v>7946</v>
      </c>
      <c r="C9250" s="28" t="s">
        <v>65</v>
      </c>
      <c r="D9250" s="329">
        <v>1922155.21</v>
      </c>
    </row>
    <row r="9251" spans="1:4" ht="45">
      <c r="A9251" s="47">
        <v>38542</v>
      </c>
      <c r="B9251" s="48" t="s">
        <v>7947</v>
      </c>
      <c r="C9251" s="47" t="s">
        <v>65</v>
      </c>
      <c r="D9251" s="332">
        <v>2988874.06</v>
      </c>
    </row>
    <row r="9252" spans="1:4" ht="45">
      <c r="A9252" s="28">
        <v>38543</v>
      </c>
      <c r="B9252" s="26" t="s">
        <v>7948</v>
      </c>
      <c r="C9252" s="28" t="s">
        <v>65</v>
      </c>
      <c r="D9252" s="329">
        <v>731758.84</v>
      </c>
    </row>
    <row r="9253" spans="1:4" ht="30">
      <c r="A9253" s="47">
        <v>40406</v>
      </c>
      <c r="B9253" s="48" t="s">
        <v>7956</v>
      </c>
      <c r="C9253" s="47" t="s">
        <v>65</v>
      </c>
      <c r="D9253" s="332">
        <v>48385.47</v>
      </c>
    </row>
    <row r="9254" spans="1:4" ht="30">
      <c r="A9254" s="28">
        <v>40789</v>
      </c>
      <c r="B9254" s="26" t="s">
        <v>7963</v>
      </c>
      <c r="C9254" s="28" t="s">
        <v>65</v>
      </c>
      <c r="D9254" s="329">
        <v>6972.84</v>
      </c>
    </row>
    <row r="9255" spans="1:4" ht="30">
      <c r="A9255" s="47">
        <v>40791</v>
      </c>
      <c r="B9255" s="48" t="s">
        <v>11468</v>
      </c>
      <c r="C9255" s="47" t="s">
        <v>65</v>
      </c>
      <c r="D9255" s="332">
        <v>21828.03</v>
      </c>
    </row>
    <row r="9256" spans="1:4" ht="30">
      <c r="A9256" s="28">
        <v>39947</v>
      </c>
      <c r="B9256" s="26" t="s">
        <v>7964</v>
      </c>
      <c r="C9256" s="28" t="s">
        <v>65</v>
      </c>
      <c r="D9256" s="329">
        <v>28740</v>
      </c>
    </row>
    <row r="9257" spans="1:4">
      <c r="A9257" s="47">
        <v>4778</v>
      </c>
      <c r="B9257" s="48" t="s">
        <v>7965</v>
      </c>
      <c r="C9257" s="47" t="s">
        <v>57</v>
      </c>
      <c r="D9257" s="332">
        <v>5.5</v>
      </c>
    </row>
    <row r="9258" spans="1:4">
      <c r="A9258" s="28">
        <v>4780</v>
      </c>
      <c r="B9258" s="26" t="s">
        <v>7966</v>
      </c>
      <c r="C9258" s="28" t="s">
        <v>57</v>
      </c>
      <c r="D9258" s="329">
        <v>5.96</v>
      </c>
    </row>
    <row r="9259" spans="1:4" ht="30">
      <c r="A9259" s="47">
        <v>11651</v>
      </c>
      <c r="B9259" s="48" t="s">
        <v>7967</v>
      </c>
      <c r="C9259" s="47" t="s">
        <v>65</v>
      </c>
      <c r="D9259" s="332">
        <v>11938.06</v>
      </c>
    </row>
    <row r="9260" spans="1:4" ht="30">
      <c r="A9260" s="28">
        <v>40435</v>
      </c>
      <c r="B9260" s="26" t="s">
        <v>7975</v>
      </c>
      <c r="C9260" s="28" t="s">
        <v>65</v>
      </c>
      <c r="D9260" s="329">
        <v>401436.7</v>
      </c>
    </row>
    <row r="9261" spans="1:4" ht="30">
      <c r="A9261" s="47">
        <v>39012</v>
      </c>
      <c r="B9261" s="48" t="s">
        <v>7968</v>
      </c>
      <c r="C9261" s="47" t="s">
        <v>65</v>
      </c>
      <c r="D9261" s="332">
        <v>418843.7</v>
      </c>
    </row>
    <row r="9262" spans="1:4">
      <c r="A9262" s="28">
        <v>5327</v>
      </c>
      <c r="B9262" s="26" t="s">
        <v>7976</v>
      </c>
      <c r="C9262" s="28" t="s">
        <v>90</v>
      </c>
      <c r="D9262" s="329">
        <v>22.78</v>
      </c>
    </row>
    <row r="9263" spans="1:4" ht="30">
      <c r="A9263" s="47">
        <v>35274</v>
      </c>
      <c r="B9263" s="48" t="s">
        <v>7977</v>
      </c>
      <c r="C9263" s="47" t="s">
        <v>71</v>
      </c>
      <c r="D9263" s="332">
        <v>20.94</v>
      </c>
    </row>
    <row r="9264" spans="1:4" ht="30">
      <c r="A9264" s="28">
        <v>35275</v>
      </c>
      <c r="B9264" s="26" t="s">
        <v>7978</v>
      </c>
      <c r="C9264" s="28" t="s">
        <v>71</v>
      </c>
      <c r="D9264" s="329">
        <v>44.72</v>
      </c>
    </row>
    <row r="9265" spans="1:4" ht="30">
      <c r="A9265" s="47">
        <v>35276</v>
      </c>
      <c r="B9265" s="48" t="s">
        <v>7979</v>
      </c>
      <c r="C9265" s="47" t="s">
        <v>71</v>
      </c>
      <c r="D9265" s="332">
        <v>73.13</v>
      </c>
    </row>
    <row r="9266" spans="1:4">
      <c r="A9266" s="28">
        <v>38386</v>
      </c>
      <c r="B9266" s="26" t="s">
        <v>7980</v>
      </c>
      <c r="C9266" s="28" t="s">
        <v>65</v>
      </c>
      <c r="D9266" s="329">
        <v>3.39</v>
      </c>
    </row>
    <row r="9267" spans="1:4">
      <c r="A9267" s="47">
        <v>38387</v>
      </c>
      <c r="B9267" s="48" t="s">
        <v>7981</v>
      </c>
      <c r="C9267" s="47" t="s">
        <v>65</v>
      </c>
      <c r="D9267" s="332">
        <v>7.93</v>
      </c>
    </row>
    <row r="9268" spans="1:4">
      <c r="A9268" s="28">
        <v>38388</v>
      </c>
      <c r="B9268" s="26" t="s">
        <v>7982</v>
      </c>
      <c r="C9268" s="28" t="s">
        <v>65</v>
      </c>
      <c r="D9268" s="329">
        <v>10.72</v>
      </c>
    </row>
    <row r="9269" spans="1:4" ht="30">
      <c r="A9269" s="47">
        <v>11091</v>
      </c>
      <c r="B9269" s="48" t="s">
        <v>11469</v>
      </c>
      <c r="C9269" s="47" t="s">
        <v>65</v>
      </c>
      <c r="D9269" s="332">
        <v>0.89</v>
      </c>
    </row>
    <row r="9270" spans="1:4">
      <c r="A9270" s="28">
        <v>11092</v>
      </c>
      <c r="B9270" s="26" t="s">
        <v>7983</v>
      </c>
      <c r="C9270" s="28" t="s">
        <v>65</v>
      </c>
      <c r="D9270" s="329">
        <v>0.89</v>
      </c>
    </row>
    <row r="9271" spans="1:4" ht="30">
      <c r="A9271" s="47">
        <v>37586</v>
      </c>
      <c r="B9271" s="48" t="s">
        <v>7984</v>
      </c>
      <c r="C9271" s="47" t="s">
        <v>180</v>
      </c>
      <c r="D9271" s="332">
        <v>54.6</v>
      </c>
    </row>
    <row r="9272" spans="1:4">
      <c r="A9272" s="28">
        <v>37395</v>
      </c>
      <c r="B9272" s="26" t="s">
        <v>7985</v>
      </c>
      <c r="C9272" s="28" t="s">
        <v>180</v>
      </c>
      <c r="D9272" s="329">
        <v>46.95</v>
      </c>
    </row>
    <row r="9273" spans="1:4" ht="30">
      <c r="A9273" s="47">
        <v>14147</v>
      </c>
      <c r="B9273" s="48" t="s">
        <v>7986</v>
      </c>
      <c r="C9273" s="47" t="s">
        <v>180</v>
      </c>
      <c r="D9273" s="332">
        <v>62.28</v>
      </c>
    </row>
    <row r="9274" spans="1:4">
      <c r="A9274" s="28">
        <v>37396</v>
      </c>
      <c r="B9274" s="26" t="s">
        <v>7987</v>
      </c>
      <c r="C9274" s="28" t="s">
        <v>180</v>
      </c>
      <c r="D9274" s="329">
        <v>38.42</v>
      </c>
    </row>
    <row r="9275" spans="1:4">
      <c r="A9275" s="47">
        <v>37397</v>
      </c>
      <c r="B9275" s="48" t="s">
        <v>7988</v>
      </c>
      <c r="C9275" s="47" t="s">
        <v>180</v>
      </c>
      <c r="D9275" s="332">
        <v>40.24</v>
      </c>
    </row>
    <row r="9276" spans="1:4" ht="30">
      <c r="A9276" s="28">
        <v>11559</v>
      </c>
      <c r="B9276" s="26" t="s">
        <v>7989</v>
      </c>
      <c r="C9276" s="28" t="s">
        <v>65</v>
      </c>
      <c r="D9276" s="329">
        <v>3.19</v>
      </c>
    </row>
    <row r="9277" spans="1:4" ht="30">
      <c r="A9277" s="47">
        <v>444</v>
      </c>
      <c r="B9277" s="48" t="s">
        <v>7990</v>
      </c>
      <c r="C9277" s="47" t="s">
        <v>65</v>
      </c>
      <c r="D9277" s="332">
        <v>12.88</v>
      </c>
    </row>
    <row r="9278" spans="1:4" ht="30">
      <c r="A9278" s="28">
        <v>445</v>
      </c>
      <c r="B9278" s="26" t="s">
        <v>7991</v>
      </c>
      <c r="C9278" s="28" t="s">
        <v>65</v>
      </c>
      <c r="D9278" s="329">
        <v>17.63</v>
      </c>
    </row>
    <row r="9279" spans="1:4">
      <c r="A9279" s="47">
        <v>4783</v>
      </c>
      <c r="B9279" s="48" t="s">
        <v>220</v>
      </c>
      <c r="C9279" s="47" t="s">
        <v>57</v>
      </c>
      <c r="D9279" s="332">
        <v>12.75</v>
      </c>
    </row>
    <row r="9280" spans="1:4">
      <c r="A9280" s="28">
        <v>41079</v>
      </c>
      <c r="B9280" s="26" t="s">
        <v>7992</v>
      </c>
      <c r="C9280" s="28" t="s">
        <v>1643</v>
      </c>
      <c r="D9280" s="329">
        <v>2245.17</v>
      </c>
    </row>
    <row r="9281" spans="1:4">
      <c r="A9281" s="47">
        <v>12874</v>
      </c>
      <c r="B9281" s="48" t="s">
        <v>221</v>
      </c>
      <c r="C9281" s="47" t="s">
        <v>57</v>
      </c>
      <c r="D9281" s="332">
        <v>13.48</v>
      </c>
    </row>
    <row r="9282" spans="1:4">
      <c r="A9282" s="28">
        <v>41082</v>
      </c>
      <c r="B9282" s="26" t="s">
        <v>7993</v>
      </c>
      <c r="C9282" s="28" t="s">
        <v>1643</v>
      </c>
      <c r="D9282" s="329">
        <v>2373.13</v>
      </c>
    </row>
    <row r="9283" spans="1:4">
      <c r="A9283" s="47">
        <v>4785</v>
      </c>
      <c r="B9283" s="48" t="s">
        <v>7994</v>
      </c>
      <c r="C9283" s="47" t="s">
        <v>57</v>
      </c>
      <c r="D9283" s="332">
        <v>15.18</v>
      </c>
    </row>
    <row r="9284" spans="1:4">
      <c r="A9284" s="28">
        <v>41081</v>
      </c>
      <c r="B9284" s="26" t="s">
        <v>7995</v>
      </c>
      <c r="C9284" s="28" t="s">
        <v>1643</v>
      </c>
      <c r="D9284" s="329">
        <v>2673.64</v>
      </c>
    </row>
    <row r="9285" spans="1:4">
      <c r="A9285" s="47">
        <v>4801</v>
      </c>
      <c r="B9285" s="48" t="s">
        <v>8061</v>
      </c>
      <c r="C9285" s="47" t="s">
        <v>256</v>
      </c>
      <c r="D9285" s="332">
        <v>42.78</v>
      </c>
    </row>
    <row r="9286" spans="1:4" ht="30">
      <c r="A9286" s="28">
        <v>4794</v>
      </c>
      <c r="B9286" s="26" t="s">
        <v>8062</v>
      </c>
      <c r="C9286" s="28" t="s">
        <v>256</v>
      </c>
      <c r="D9286" s="329">
        <v>194.86</v>
      </c>
    </row>
    <row r="9287" spans="1:4" ht="30">
      <c r="A9287" s="47">
        <v>4796</v>
      </c>
      <c r="B9287" s="48" t="s">
        <v>11470</v>
      </c>
      <c r="C9287" s="47" t="s">
        <v>256</v>
      </c>
      <c r="D9287" s="332">
        <v>118.36</v>
      </c>
    </row>
    <row r="9288" spans="1:4">
      <c r="A9288" s="28">
        <v>4800</v>
      </c>
      <c r="B9288" s="26" t="s">
        <v>8063</v>
      </c>
      <c r="C9288" s="28" t="s">
        <v>256</v>
      </c>
      <c r="D9288" s="329">
        <v>32.549999999999997</v>
      </c>
    </row>
    <row r="9289" spans="1:4" ht="30">
      <c r="A9289" s="47">
        <v>4795</v>
      </c>
      <c r="B9289" s="48" t="s">
        <v>8064</v>
      </c>
      <c r="C9289" s="47" t="s">
        <v>256</v>
      </c>
      <c r="D9289" s="332">
        <v>189.69</v>
      </c>
    </row>
    <row r="9290" spans="1:4" ht="30">
      <c r="A9290" s="28">
        <v>4797</v>
      </c>
      <c r="B9290" s="26" t="s">
        <v>8065</v>
      </c>
      <c r="C9290" s="28" t="s">
        <v>256</v>
      </c>
      <c r="D9290" s="329">
        <v>118.36</v>
      </c>
    </row>
    <row r="9291" spans="1:4" ht="30">
      <c r="A9291" s="47">
        <v>40581</v>
      </c>
      <c r="B9291" s="48" t="s">
        <v>8067</v>
      </c>
      <c r="C9291" s="47" t="s">
        <v>256</v>
      </c>
      <c r="D9291" s="332">
        <v>36.17</v>
      </c>
    </row>
    <row r="9292" spans="1:4" ht="30">
      <c r="A9292" s="28">
        <v>40582</v>
      </c>
      <c r="B9292" s="26" t="s">
        <v>8068</v>
      </c>
      <c r="C9292" s="28" t="s">
        <v>256</v>
      </c>
      <c r="D9292" s="329">
        <v>40.69</v>
      </c>
    </row>
    <row r="9293" spans="1:4" ht="45">
      <c r="A9293" s="47">
        <v>39694</v>
      </c>
      <c r="B9293" s="48" t="s">
        <v>8069</v>
      </c>
      <c r="C9293" s="47" t="s">
        <v>256</v>
      </c>
      <c r="D9293" s="332">
        <v>164.92</v>
      </c>
    </row>
    <row r="9294" spans="1:4" ht="30">
      <c r="A9294" s="28">
        <v>1292</v>
      </c>
      <c r="B9294" s="26" t="s">
        <v>8070</v>
      </c>
      <c r="C9294" s="28" t="s">
        <v>256</v>
      </c>
      <c r="D9294" s="329">
        <v>34.450000000000003</v>
      </c>
    </row>
    <row r="9295" spans="1:4" ht="30">
      <c r="A9295" s="47">
        <v>1287</v>
      </c>
      <c r="B9295" s="48" t="s">
        <v>8071</v>
      </c>
      <c r="C9295" s="47" t="s">
        <v>256</v>
      </c>
      <c r="D9295" s="332">
        <v>16.899999999999999</v>
      </c>
    </row>
    <row r="9296" spans="1:4" ht="30">
      <c r="A9296" s="28">
        <v>1297</v>
      </c>
      <c r="B9296" s="26" t="s">
        <v>8072</v>
      </c>
      <c r="C9296" s="28" t="s">
        <v>256</v>
      </c>
      <c r="D9296" s="329">
        <v>14.01</v>
      </c>
    </row>
    <row r="9297" spans="1:4" ht="30">
      <c r="A9297" s="47">
        <v>4786</v>
      </c>
      <c r="B9297" s="48" t="s">
        <v>8077</v>
      </c>
      <c r="C9297" s="47" t="s">
        <v>256</v>
      </c>
      <c r="D9297" s="332">
        <v>35</v>
      </c>
    </row>
    <row r="9298" spans="1:4">
      <c r="A9298" s="28">
        <v>25980</v>
      </c>
      <c r="B9298" s="26" t="s">
        <v>8079</v>
      </c>
      <c r="C9298" s="28" t="s">
        <v>256</v>
      </c>
      <c r="D9298" s="329">
        <v>171.06</v>
      </c>
    </row>
    <row r="9299" spans="1:4">
      <c r="A9299" s="47">
        <v>25981</v>
      </c>
      <c r="B9299" s="48" t="s">
        <v>222</v>
      </c>
      <c r="C9299" s="47" t="s">
        <v>256</v>
      </c>
      <c r="D9299" s="332">
        <v>206.31</v>
      </c>
    </row>
    <row r="9300" spans="1:4">
      <c r="A9300" s="28">
        <v>21108</v>
      </c>
      <c r="B9300" s="26" t="s">
        <v>8081</v>
      </c>
      <c r="C9300" s="28" t="s">
        <v>256</v>
      </c>
      <c r="D9300" s="329">
        <v>45.91</v>
      </c>
    </row>
    <row r="9301" spans="1:4">
      <c r="A9301" s="47">
        <v>38180</v>
      </c>
      <c r="B9301" s="48" t="s">
        <v>8082</v>
      </c>
      <c r="C9301" s="47" t="s">
        <v>256</v>
      </c>
      <c r="D9301" s="332">
        <v>95.29</v>
      </c>
    </row>
    <row r="9302" spans="1:4" ht="30">
      <c r="A9302" s="28">
        <v>40588</v>
      </c>
      <c r="B9302" s="26" t="s">
        <v>8088</v>
      </c>
      <c r="C9302" s="28" t="s">
        <v>256</v>
      </c>
      <c r="D9302" s="329">
        <v>51.71</v>
      </c>
    </row>
    <row r="9303" spans="1:4" ht="45">
      <c r="A9303" s="47">
        <v>40585</v>
      </c>
      <c r="B9303" s="48" t="s">
        <v>8089</v>
      </c>
      <c r="C9303" s="47" t="s">
        <v>256</v>
      </c>
      <c r="D9303" s="332">
        <v>49.73</v>
      </c>
    </row>
    <row r="9304" spans="1:4">
      <c r="A9304" s="28">
        <v>36178</v>
      </c>
      <c r="B9304" s="26" t="s">
        <v>8091</v>
      </c>
      <c r="C9304" s="28" t="s">
        <v>65</v>
      </c>
      <c r="D9304" s="329">
        <v>4.8499999999999996</v>
      </c>
    </row>
    <row r="9305" spans="1:4">
      <c r="A9305" s="47">
        <v>38195</v>
      </c>
      <c r="B9305" s="48" t="s">
        <v>8092</v>
      </c>
      <c r="C9305" s="47" t="s">
        <v>256</v>
      </c>
      <c r="D9305" s="332">
        <v>54.23</v>
      </c>
    </row>
    <row r="9306" spans="1:4" ht="30">
      <c r="A9306" s="28">
        <v>38181</v>
      </c>
      <c r="B9306" s="26" t="s">
        <v>11471</v>
      </c>
      <c r="C9306" s="28" t="s">
        <v>256</v>
      </c>
      <c r="D9306" s="329">
        <v>130.09</v>
      </c>
    </row>
    <row r="9307" spans="1:4">
      <c r="A9307" s="47">
        <v>38188</v>
      </c>
      <c r="B9307" s="48" t="s">
        <v>8093</v>
      </c>
      <c r="C9307" s="47" t="s">
        <v>256</v>
      </c>
      <c r="D9307" s="332">
        <v>322.12</v>
      </c>
    </row>
    <row r="9308" spans="1:4">
      <c r="A9308" s="28">
        <v>38187</v>
      </c>
      <c r="B9308" s="26" t="s">
        <v>8094</v>
      </c>
      <c r="C9308" s="28" t="s">
        <v>256</v>
      </c>
      <c r="D9308" s="329">
        <v>286.77999999999997</v>
      </c>
    </row>
    <row r="9309" spans="1:4">
      <c r="A9309" s="47">
        <v>38183</v>
      </c>
      <c r="B9309" s="48" t="s">
        <v>8095</v>
      </c>
      <c r="C9309" s="47" t="s">
        <v>256</v>
      </c>
      <c r="D9309" s="332">
        <v>130.09</v>
      </c>
    </row>
    <row r="9310" spans="1:4">
      <c r="A9310" s="28">
        <v>38184</v>
      </c>
      <c r="B9310" s="26" t="s">
        <v>8096</v>
      </c>
      <c r="C9310" s="28" t="s">
        <v>256</v>
      </c>
      <c r="D9310" s="329">
        <v>123.91</v>
      </c>
    </row>
    <row r="9311" spans="1:4" ht="30">
      <c r="A9311" s="47">
        <v>38182</v>
      </c>
      <c r="B9311" s="48" t="s">
        <v>11472</v>
      </c>
      <c r="C9311" s="47" t="s">
        <v>256</v>
      </c>
      <c r="D9311" s="332">
        <v>123.91</v>
      </c>
    </row>
    <row r="9312" spans="1:4" ht="30">
      <c r="A9312" s="28">
        <v>38186</v>
      </c>
      <c r="B9312" s="26" t="s">
        <v>11473</v>
      </c>
      <c r="C9312" s="28" t="s">
        <v>256</v>
      </c>
      <c r="D9312" s="329">
        <v>322.10000000000002</v>
      </c>
    </row>
    <row r="9313" spans="1:4" ht="30">
      <c r="A9313" s="47">
        <v>38185</v>
      </c>
      <c r="B9313" s="48" t="s">
        <v>11474</v>
      </c>
      <c r="C9313" s="47" t="s">
        <v>256</v>
      </c>
      <c r="D9313" s="332">
        <v>286.77999999999997</v>
      </c>
    </row>
    <row r="9314" spans="1:4" ht="30">
      <c r="A9314" s="28">
        <v>4822</v>
      </c>
      <c r="B9314" s="26" t="s">
        <v>8099</v>
      </c>
      <c r="C9314" s="28" t="s">
        <v>256</v>
      </c>
      <c r="D9314" s="329">
        <v>165.39</v>
      </c>
    </row>
    <row r="9315" spans="1:4" ht="30">
      <c r="A9315" s="47">
        <v>4818</v>
      </c>
      <c r="B9315" s="48" t="s">
        <v>8100</v>
      </c>
      <c r="C9315" s="47" t="s">
        <v>256</v>
      </c>
      <c r="D9315" s="332">
        <v>170</v>
      </c>
    </row>
    <row r="9316" spans="1:4" ht="45">
      <c r="A9316" s="28">
        <v>39567</v>
      </c>
      <c r="B9316" s="26" t="s">
        <v>8101</v>
      </c>
      <c r="C9316" s="28" t="s">
        <v>256</v>
      </c>
      <c r="D9316" s="329">
        <v>30.15</v>
      </c>
    </row>
    <row r="9317" spans="1:4" ht="45">
      <c r="A9317" s="47">
        <v>39566</v>
      </c>
      <c r="B9317" s="48" t="s">
        <v>8102</v>
      </c>
      <c r="C9317" s="47" t="s">
        <v>256</v>
      </c>
      <c r="D9317" s="332">
        <v>34.82</v>
      </c>
    </row>
    <row r="9318" spans="1:4">
      <c r="A9318" s="28">
        <v>11062</v>
      </c>
      <c r="B9318" s="26" t="s">
        <v>8103</v>
      </c>
      <c r="C9318" s="28" t="s">
        <v>256</v>
      </c>
      <c r="D9318" s="329">
        <v>41.81</v>
      </c>
    </row>
    <row r="9319" spans="1:4">
      <c r="A9319" s="47">
        <v>11063</v>
      </c>
      <c r="B9319" s="48" t="s">
        <v>8104</v>
      </c>
      <c r="C9319" s="47" t="s">
        <v>256</v>
      </c>
      <c r="D9319" s="332">
        <v>40.479999999999997</v>
      </c>
    </row>
    <row r="9320" spans="1:4">
      <c r="A9320" s="28">
        <v>13521</v>
      </c>
      <c r="B9320" s="26" t="s">
        <v>8105</v>
      </c>
      <c r="C9320" s="28" t="s">
        <v>65</v>
      </c>
      <c r="D9320" s="329">
        <v>76.72</v>
      </c>
    </row>
    <row r="9321" spans="1:4" ht="30">
      <c r="A9321" s="47">
        <v>10851</v>
      </c>
      <c r="B9321" s="48" t="s">
        <v>8106</v>
      </c>
      <c r="C9321" s="47" t="s">
        <v>65</v>
      </c>
      <c r="D9321" s="332">
        <v>27.59</v>
      </c>
    </row>
    <row r="9322" spans="1:4" ht="30">
      <c r="A9322" s="28">
        <v>4812</v>
      </c>
      <c r="B9322" s="26" t="s">
        <v>8107</v>
      </c>
      <c r="C9322" s="28" t="s">
        <v>256</v>
      </c>
      <c r="D9322" s="329">
        <v>8.33</v>
      </c>
    </row>
    <row r="9323" spans="1:4">
      <c r="A9323" s="47">
        <v>10849</v>
      </c>
      <c r="B9323" s="48" t="s">
        <v>8108</v>
      </c>
      <c r="C9323" s="47" t="s">
        <v>65</v>
      </c>
      <c r="D9323" s="332">
        <v>1116.01</v>
      </c>
    </row>
    <row r="9324" spans="1:4">
      <c r="A9324" s="28">
        <v>10848</v>
      </c>
      <c r="B9324" s="26" t="s">
        <v>8109</v>
      </c>
      <c r="C9324" s="28" t="s">
        <v>65</v>
      </c>
      <c r="D9324" s="329">
        <v>700.99</v>
      </c>
    </row>
    <row r="9325" spans="1:4" ht="30">
      <c r="A9325" s="47">
        <v>4813</v>
      </c>
      <c r="B9325" s="48" t="s">
        <v>8110</v>
      </c>
      <c r="C9325" s="47" t="s">
        <v>256</v>
      </c>
      <c r="D9325" s="332">
        <v>232.5</v>
      </c>
    </row>
    <row r="9326" spans="1:4" ht="45">
      <c r="A9326" s="28">
        <v>37560</v>
      </c>
      <c r="B9326" s="26" t="s">
        <v>8112</v>
      </c>
      <c r="C9326" s="28" t="s">
        <v>65</v>
      </c>
      <c r="D9326" s="329">
        <v>39.369999999999997</v>
      </c>
    </row>
    <row r="9327" spans="1:4" ht="45">
      <c r="A9327" s="47">
        <v>37557</v>
      </c>
      <c r="B9327" s="48" t="s">
        <v>8113</v>
      </c>
      <c r="C9327" s="47" t="s">
        <v>65</v>
      </c>
      <c r="D9327" s="332">
        <v>11.95</v>
      </c>
    </row>
    <row r="9328" spans="1:4" ht="45">
      <c r="A9328" s="28">
        <v>37556</v>
      </c>
      <c r="B9328" s="26" t="s">
        <v>8114</v>
      </c>
      <c r="C9328" s="28" t="s">
        <v>65</v>
      </c>
      <c r="D9328" s="329">
        <v>23.13</v>
      </c>
    </row>
    <row r="9329" spans="1:4" ht="45">
      <c r="A9329" s="47">
        <v>37559</v>
      </c>
      <c r="B9329" s="48" t="s">
        <v>8115</v>
      </c>
      <c r="C9329" s="47" t="s">
        <v>65</v>
      </c>
      <c r="D9329" s="332">
        <v>28.37</v>
      </c>
    </row>
    <row r="9330" spans="1:4" ht="45">
      <c r="A9330" s="28">
        <v>37539</v>
      </c>
      <c r="B9330" s="26" t="s">
        <v>8116</v>
      </c>
      <c r="C9330" s="28" t="s">
        <v>65</v>
      </c>
      <c r="D9330" s="329">
        <v>20</v>
      </c>
    </row>
    <row r="9331" spans="1:4" ht="45">
      <c r="A9331" s="47">
        <v>37558</v>
      </c>
      <c r="B9331" s="48" t="s">
        <v>8117</v>
      </c>
      <c r="C9331" s="47" t="s">
        <v>65</v>
      </c>
      <c r="D9331" s="332">
        <v>37.29</v>
      </c>
    </row>
    <row r="9332" spans="1:4">
      <c r="A9332" s="28">
        <v>34723</v>
      </c>
      <c r="B9332" s="26" t="s">
        <v>8118</v>
      </c>
      <c r="C9332" s="28" t="s">
        <v>256</v>
      </c>
      <c r="D9332" s="329">
        <v>537.08000000000004</v>
      </c>
    </row>
    <row r="9333" spans="1:4">
      <c r="A9333" s="47">
        <v>34721</v>
      </c>
      <c r="B9333" s="48" t="s">
        <v>8119</v>
      </c>
      <c r="C9333" s="47" t="s">
        <v>256</v>
      </c>
      <c r="D9333" s="332">
        <v>669.6</v>
      </c>
    </row>
    <row r="9334" spans="1:4">
      <c r="A9334" s="28">
        <v>4309</v>
      </c>
      <c r="B9334" s="26" t="s">
        <v>8120</v>
      </c>
      <c r="C9334" s="28" t="s">
        <v>65</v>
      </c>
      <c r="D9334" s="329">
        <v>3.99</v>
      </c>
    </row>
    <row r="9335" spans="1:4">
      <c r="A9335" s="47">
        <v>4307</v>
      </c>
      <c r="B9335" s="48" t="s">
        <v>8121</v>
      </c>
      <c r="C9335" s="47" t="s">
        <v>65</v>
      </c>
      <c r="D9335" s="332">
        <v>6.83</v>
      </c>
    </row>
    <row r="9336" spans="1:4">
      <c r="A9336" s="28">
        <v>10850</v>
      </c>
      <c r="B9336" s="26" t="s">
        <v>8123</v>
      </c>
      <c r="C9336" s="28" t="s">
        <v>65</v>
      </c>
      <c r="D9336" s="329">
        <v>34.869999999999997</v>
      </c>
    </row>
    <row r="9337" spans="1:4" ht="30">
      <c r="A9337" s="47">
        <v>13457</v>
      </c>
      <c r="B9337" s="48" t="s">
        <v>8130</v>
      </c>
      <c r="C9337" s="47" t="s">
        <v>65</v>
      </c>
      <c r="D9337" s="332">
        <v>7921.25</v>
      </c>
    </row>
    <row r="9338" spans="1:4">
      <c r="A9338" s="28">
        <v>4792</v>
      </c>
      <c r="B9338" s="26" t="s">
        <v>8131</v>
      </c>
      <c r="C9338" s="28" t="s">
        <v>256</v>
      </c>
      <c r="D9338" s="329">
        <v>91.47</v>
      </c>
    </row>
    <row r="9339" spans="1:4" ht="30">
      <c r="A9339" s="47">
        <v>4790</v>
      </c>
      <c r="B9339" s="48" t="s">
        <v>8132</v>
      </c>
      <c r="C9339" s="47" t="s">
        <v>256</v>
      </c>
      <c r="D9339" s="332">
        <v>55</v>
      </c>
    </row>
    <row r="9340" spans="1:4">
      <c r="A9340" s="28">
        <v>7552</v>
      </c>
      <c r="B9340" s="26" t="s">
        <v>11475</v>
      </c>
      <c r="C9340" s="28" t="s">
        <v>65</v>
      </c>
      <c r="D9340" s="329">
        <v>12.5</v>
      </c>
    </row>
    <row r="9341" spans="1:4">
      <c r="A9341" s="47">
        <v>4893</v>
      </c>
      <c r="B9341" s="48" t="s">
        <v>11476</v>
      </c>
      <c r="C9341" s="47" t="s">
        <v>65</v>
      </c>
      <c r="D9341" s="332">
        <v>8.1</v>
      </c>
    </row>
    <row r="9342" spans="1:4">
      <c r="A9342" s="28">
        <v>4894</v>
      </c>
      <c r="B9342" s="26" t="s">
        <v>11477</v>
      </c>
      <c r="C9342" s="28" t="s">
        <v>65</v>
      </c>
      <c r="D9342" s="329">
        <v>6.95</v>
      </c>
    </row>
    <row r="9343" spans="1:4">
      <c r="A9343" s="47">
        <v>4888</v>
      </c>
      <c r="B9343" s="48" t="s">
        <v>11478</v>
      </c>
      <c r="C9343" s="47" t="s">
        <v>65</v>
      </c>
      <c r="D9343" s="332">
        <v>2.36</v>
      </c>
    </row>
    <row r="9344" spans="1:4">
      <c r="A9344" s="28">
        <v>4890</v>
      </c>
      <c r="B9344" s="26" t="s">
        <v>11479</v>
      </c>
      <c r="C9344" s="28" t="s">
        <v>65</v>
      </c>
      <c r="D9344" s="329">
        <v>4.45</v>
      </c>
    </row>
    <row r="9345" spans="1:4">
      <c r="A9345" s="47">
        <v>12411</v>
      </c>
      <c r="B9345" s="48" t="s">
        <v>11480</v>
      </c>
      <c r="C9345" s="47" t="s">
        <v>65</v>
      </c>
      <c r="D9345" s="332">
        <v>23.95</v>
      </c>
    </row>
    <row r="9346" spans="1:4">
      <c r="A9346" s="28">
        <v>4891</v>
      </c>
      <c r="B9346" s="26" t="s">
        <v>11481</v>
      </c>
      <c r="C9346" s="28" t="s">
        <v>65</v>
      </c>
      <c r="D9346" s="329">
        <v>11.97</v>
      </c>
    </row>
    <row r="9347" spans="1:4">
      <c r="A9347" s="47">
        <v>4889</v>
      </c>
      <c r="B9347" s="48" t="s">
        <v>11482</v>
      </c>
      <c r="C9347" s="47" t="s">
        <v>65</v>
      </c>
      <c r="D9347" s="332">
        <v>3.2</v>
      </c>
    </row>
    <row r="9348" spans="1:4">
      <c r="A9348" s="28">
        <v>4892</v>
      </c>
      <c r="B9348" s="26" t="s">
        <v>11483</v>
      </c>
      <c r="C9348" s="28" t="s">
        <v>65</v>
      </c>
      <c r="D9348" s="329">
        <v>33.54</v>
      </c>
    </row>
    <row r="9349" spans="1:4">
      <c r="A9349" s="47">
        <v>12412</v>
      </c>
      <c r="B9349" s="48" t="s">
        <v>11484</v>
      </c>
      <c r="C9349" s="47" t="s">
        <v>65</v>
      </c>
      <c r="D9349" s="332">
        <v>62.34</v>
      </c>
    </row>
    <row r="9350" spans="1:4">
      <c r="A9350" s="28">
        <v>11073</v>
      </c>
      <c r="B9350" s="26" t="s">
        <v>8136</v>
      </c>
      <c r="C9350" s="28" t="s">
        <v>65</v>
      </c>
      <c r="D9350" s="329">
        <v>7.01</v>
      </c>
    </row>
    <row r="9351" spans="1:4">
      <c r="A9351" s="47">
        <v>11071</v>
      </c>
      <c r="B9351" s="48" t="s">
        <v>223</v>
      </c>
      <c r="C9351" s="47" t="s">
        <v>65</v>
      </c>
      <c r="D9351" s="332">
        <v>8.36</v>
      </c>
    </row>
    <row r="9352" spans="1:4">
      <c r="A9352" s="28">
        <v>11072</v>
      </c>
      <c r="B9352" s="26" t="s">
        <v>224</v>
      </c>
      <c r="C9352" s="28" t="s">
        <v>65</v>
      </c>
      <c r="D9352" s="329">
        <v>3.06</v>
      </c>
    </row>
    <row r="9353" spans="1:4">
      <c r="A9353" s="47">
        <v>4895</v>
      </c>
      <c r="B9353" s="48" t="s">
        <v>8137</v>
      </c>
      <c r="C9353" s="47" t="s">
        <v>65</v>
      </c>
      <c r="D9353" s="332">
        <v>0.51</v>
      </c>
    </row>
    <row r="9354" spans="1:4">
      <c r="A9354" s="28">
        <v>4907</v>
      </c>
      <c r="B9354" s="26" t="s">
        <v>8138</v>
      </c>
      <c r="C9354" s="28" t="s">
        <v>65</v>
      </c>
      <c r="D9354" s="329">
        <v>16.41</v>
      </c>
    </row>
    <row r="9355" spans="1:4">
      <c r="A9355" s="47">
        <v>4904</v>
      </c>
      <c r="B9355" s="48" t="s">
        <v>8139</v>
      </c>
      <c r="C9355" s="47" t="s">
        <v>65</v>
      </c>
      <c r="D9355" s="332">
        <v>132.46</v>
      </c>
    </row>
    <row r="9356" spans="1:4">
      <c r="A9356" s="28">
        <v>4905</v>
      </c>
      <c r="B9356" s="26" t="s">
        <v>8140</v>
      </c>
      <c r="C9356" s="28" t="s">
        <v>65</v>
      </c>
      <c r="D9356" s="329">
        <v>216.03</v>
      </c>
    </row>
    <row r="9357" spans="1:4">
      <c r="A9357" s="47">
        <v>4902</v>
      </c>
      <c r="B9357" s="48" t="s">
        <v>8141</v>
      </c>
      <c r="C9357" s="47" t="s">
        <v>65</v>
      </c>
      <c r="D9357" s="332">
        <v>37.15</v>
      </c>
    </row>
    <row r="9358" spans="1:4">
      <c r="A9358" s="28">
        <v>4908</v>
      </c>
      <c r="B9358" s="26" t="s">
        <v>8142</v>
      </c>
      <c r="C9358" s="28" t="s">
        <v>65</v>
      </c>
      <c r="D9358" s="329">
        <v>53.47</v>
      </c>
    </row>
    <row r="9359" spans="1:4">
      <c r="A9359" s="47">
        <v>4909</v>
      </c>
      <c r="B9359" s="48" t="s">
        <v>8143</v>
      </c>
      <c r="C9359" s="47" t="s">
        <v>65</v>
      </c>
      <c r="D9359" s="332">
        <v>98.01</v>
      </c>
    </row>
    <row r="9360" spans="1:4">
      <c r="A9360" s="28">
        <v>4903</v>
      </c>
      <c r="B9360" s="26" t="s">
        <v>8144</v>
      </c>
      <c r="C9360" s="28" t="s">
        <v>65</v>
      </c>
      <c r="D9360" s="329">
        <v>192.77</v>
      </c>
    </row>
    <row r="9361" spans="1:4">
      <c r="A9361" s="47">
        <v>4897</v>
      </c>
      <c r="B9361" s="48" t="s">
        <v>8145</v>
      </c>
      <c r="C9361" s="47" t="s">
        <v>65</v>
      </c>
      <c r="D9361" s="332">
        <v>1.34</v>
      </c>
    </row>
    <row r="9362" spans="1:4">
      <c r="A9362" s="28">
        <v>4896</v>
      </c>
      <c r="B9362" s="26" t="s">
        <v>8146</v>
      </c>
      <c r="C9362" s="28" t="s">
        <v>65</v>
      </c>
      <c r="D9362" s="329">
        <v>0.56999999999999995</v>
      </c>
    </row>
    <row r="9363" spans="1:4">
      <c r="A9363" s="47">
        <v>4900</v>
      </c>
      <c r="B9363" s="48" t="s">
        <v>8147</v>
      </c>
      <c r="C9363" s="47" t="s">
        <v>65</v>
      </c>
      <c r="D9363" s="332">
        <v>3.88</v>
      </c>
    </row>
    <row r="9364" spans="1:4">
      <c r="A9364" s="28">
        <v>4898</v>
      </c>
      <c r="B9364" s="26" t="s">
        <v>8148</v>
      </c>
      <c r="C9364" s="28" t="s">
        <v>65</v>
      </c>
      <c r="D9364" s="329">
        <v>1.69</v>
      </c>
    </row>
    <row r="9365" spans="1:4">
      <c r="A9365" s="47">
        <v>4899</v>
      </c>
      <c r="B9365" s="48" t="s">
        <v>8149</v>
      </c>
      <c r="C9365" s="47" t="s">
        <v>65</v>
      </c>
      <c r="D9365" s="332">
        <v>5.29</v>
      </c>
    </row>
    <row r="9366" spans="1:4">
      <c r="A9366" s="28">
        <v>13946</v>
      </c>
      <c r="B9366" s="26" t="s">
        <v>8153</v>
      </c>
      <c r="C9366" s="28" t="s">
        <v>65</v>
      </c>
      <c r="D9366" s="329">
        <v>348.7</v>
      </c>
    </row>
    <row r="9367" spans="1:4" ht="30">
      <c r="A9367" s="47">
        <v>13942</v>
      </c>
      <c r="B9367" s="48" t="s">
        <v>8154</v>
      </c>
      <c r="C9367" s="47" t="s">
        <v>65</v>
      </c>
      <c r="D9367" s="332">
        <v>398.31</v>
      </c>
    </row>
    <row r="9368" spans="1:4">
      <c r="A9368" s="28">
        <v>36505</v>
      </c>
      <c r="B9368" s="26" t="s">
        <v>8155</v>
      </c>
      <c r="C9368" s="28" t="s">
        <v>65</v>
      </c>
      <c r="D9368" s="329">
        <v>1394.65</v>
      </c>
    </row>
    <row r="9369" spans="1:4">
      <c r="A9369" s="47">
        <v>36507</v>
      </c>
      <c r="B9369" s="48" t="s">
        <v>8156</v>
      </c>
      <c r="C9369" s="47" t="s">
        <v>65</v>
      </c>
      <c r="D9369" s="332">
        <v>1897.71</v>
      </c>
    </row>
    <row r="9370" spans="1:4">
      <c r="A9370" s="28">
        <v>36506</v>
      </c>
      <c r="B9370" s="26" t="s">
        <v>8157</v>
      </c>
      <c r="C9370" s="28" t="s">
        <v>65</v>
      </c>
      <c r="D9370" s="329">
        <v>2133.41</v>
      </c>
    </row>
    <row r="9371" spans="1:4">
      <c r="A9371" s="47">
        <v>13940</v>
      </c>
      <c r="B9371" s="48" t="s">
        <v>8150</v>
      </c>
      <c r="C9371" s="47" t="s">
        <v>65</v>
      </c>
      <c r="D9371" s="332">
        <v>2419.39</v>
      </c>
    </row>
    <row r="9372" spans="1:4">
      <c r="A9372" s="28">
        <v>13950</v>
      </c>
      <c r="B9372" s="26" t="s">
        <v>8151</v>
      </c>
      <c r="C9372" s="28" t="s">
        <v>65</v>
      </c>
      <c r="D9372" s="329">
        <v>850</v>
      </c>
    </row>
    <row r="9373" spans="1:4">
      <c r="A9373" s="47">
        <v>36504</v>
      </c>
      <c r="B9373" s="48" t="s">
        <v>8152</v>
      </c>
      <c r="C9373" s="47" t="s">
        <v>65</v>
      </c>
      <c r="D9373" s="332">
        <v>1533.67</v>
      </c>
    </row>
    <row r="9374" spans="1:4">
      <c r="A9374" s="28">
        <v>11096</v>
      </c>
      <c r="B9374" s="26" t="s">
        <v>8158</v>
      </c>
      <c r="C9374" s="28" t="s">
        <v>90</v>
      </c>
      <c r="D9374" s="329">
        <v>0.24</v>
      </c>
    </row>
    <row r="9375" spans="1:4">
      <c r="A9375" s="47">
        <v>4741</v>
      </c>
      <c r="B9375" s="48" t="s">
        <v>8159</v>
      </c>
      <c r="C9375" s="47" t="s">
        <v>255</v>
      </c>
      <c r="D9375" s="332">
        <v>46.09</v>
      </c>
    </row>
    <row r="9376" spans="1:4">
      <c r="A9376" s="28">
        <v>4752</v>
      </c>
      <c r="B9376" s="26" t="s">
        <v>8160</v>
      </c>
      <c r="C9376" s="28" t="s">
        <v>57</v>
      </c>
      <c r="D9376" s="329">
        <v>31.79</v>
      </c>
    </row>
    <row r="9377" spans="1:4">
      <c r="A9377" s="47">
        <v>41091</v>
      </c>
      <c r="B9377" s="48" t="s">
        <v>8161</v>
      </c>
      <c r="C9377" s="47" t="s">
        <v>1643</v>
      </c>
      <c r="D9377" s="332">
        <v>5599.24</v>
      </c>
    </row>
    <row r="9378" spans="1:4" ht="30">
      <c r="A9378" s="28">
        <v>13954</v>
      </c>
      <c r="B9378" s="26" t="s">
        <v>8228</v>
      </c>
      <c r="C9378" s="28" t="s">
        <v>65</v>
      </c>
      <c r="D9378" s="329">
        <v>12473.59</v>
      </c>
    </row>
    <row r="9379" spans="1:4">
      <c r="A9379" s="47">
        <v>3411</v>
      </c>
      <c r="B9379" s="48" t="s">
        <v>8235</v>
      </c>
      <c r="C9379" s="47" t="s">
        <v>90</v>
      </c>
      <c r="D9379" s="332">
        <v>36.81</v>
      </c>
    </row>
    <row r="9380" spans="1:4">
      <c r="A9380" s="28">
        <v>39995</v>
      </c>
      <c r="B9380" s="26" t="s">
        <v>225</v>
      </c>
      <c r="C9380" s="28" t="s">
        <v>255</v>
      </c>
      <c r="D9380" s="329">
        <v>283.22000000000003</v>
      </c>
    </row>
    <row r="9381" spans="1:4" ht="30">
      <c r="A9381" s="47">
        <v>11615</v>
      </c>
      <c r="B9381" s="48" t="s">
        <v>8236</v>
      </c>
      <c r="C9381" s="47" t="s">
        <v>256</v>
      </c>
      <c r="D9381" s="332">
        <v>2.4</v>
      </c>
    </row>
    <row r="9382" spans="1:4" ht="30">
      <c r="A9382" s="28">
        <v>3408</v>
      </c>
      <c r="B9382" s="26" t="s">
        <v>8237</v>
      </c>
      <c r="C9382" s="28" t="s">
        <v>256</v>
      </c>
      <c r="D9382" s="329">
        <v>6.38</v>
      </c>
    </row>
    <row r="9383" spans="1:4" ht="30">
      <c r="A9383" s="47">
        <v>3409</v>
      </c>
      <c r="B9383" s="48" t="s">
        <v>8238</v>
      </c>
      <c r="C9383" s="47" t="s">
        <v>256</v>
      </c>
      <c r="D9383" s="332">
        <v>15.95</v>
      </c>
    </row>
    <row r="9384" spans="1:4">
      <c r="A9384" s="28">
        <v>11427</v>
      </c>
      <c r="B9384" s="26" t="s">
        <v>8239</v>
      </c>
      <c r="C9384" s="28" t="s">
        <v>90</v>
      </c>
      <c r="D9384" s="329">
        <v>67.989999999999995</v>
      </c>
    </row>
    <row r="9385" spans="1:4" ht="30">
      <c r="A9385" s="47">
        <v>26022</v>
      </c>
      <c r="B9385" s="48" t="s">
        <v>8240</v>
      </c>
      <c r="C9385" s="47" t="s">
        <v>65</v>
      </c>
      <c r="D9385" s="332">
        <v>137.26</v>
      </c>
    </row>
    <row r="9386" spans="1:4">
      <c r="A9386" s="28">
        <v>421</v>
      </c>
      <c r="B9386" s="26" t="s">
        <v>8253</v>
      </c>
      <c r="C9386" s="28" t="s">
        <v>65</v>
      </c>
      <c r="D9386" s="329">
        <v>7.55</v>
      </c>
    </row>
    <row r="9387" spans="1:4">
      <c r="A9387" s="47">
        <v>12362</v>
      </c>
      <c r="B9387" s="48" t="s">
        <v>8254</v>
      </c>
      <c r="C9387" s="47" t="s">
        <v>65</v>
      </c>
      <c r="D9387" s="332">
        <v>6.99</v>
      </c>
    </row>
    <row r="9388" spans="1:4">
      <c r="A9388" s="28">
        <v>14148</v>
      </c>
      <c r="B9388" s="26" t="s">
        <v>8255</v>
      </c>
      <c r="C9388" s="28" t="s">
        <v>65</v>
      </c>
      <c r="D9388" s="329">
        <v>1.06</v>
      </c>
    </row>
    <row r="9389" spans="1:4">
      <c r="A9389" s="47">
        <v>4341</v>
      </c>
      <c r="B9389" s="48" t="s">
        <v>8256</v>
      </c>
      <c r="C9389" s="47" t="s">
        <v>65</v>
      </c>
      <c r="D9389" s="332">
        <v>0.45</v>
      </c>
    </row>
    <row r="9390" spans="1:4">
      <c r="A9390" s="28">
        <v>4337</v>
      </c>
      <c r="B9390" s="26" t="s">
        <v>8257</v>
      </c>
      <c r="C9390" s="28" t="s">
        <v>65</v>
      </c>
      <c r="D9390" s="329">
        <v>1.1299999999999999</v>
      </c>
    </row>
    <row r="9391" spans="1:4">
      <c r="A9391" s="47">
        <v>4339</v>
      </c>
      <c r="B9391" s="48" t="s">
        <v>8259</v>
      </c>
      <c r="C9391" s="47" t="s">
        <v>65</v>
      </c>
      <c r="D9391" s="332">
        <v>0.24</v>
      </c>
    </row>
    <row r="9392" spans="1:4">
      <c r="A9392" s="28">
        <v>39997</v>
      </c>
      <c r="B9392" s="26" t="s">
        <v>8260</v>
      </c>
      <c r="C9392" s="28" t="s">
        <v>65</v>
      </c>
      <c r="D9392" s="329">
        <v>0.13</v>
      </c>
    </row>
    <row r="9393" spans="1:4">
      <c r="A9393" s="47">
        <v>11971</v>
      </c>
      <c r="B9393" s="48" t="s">
        <v>8258</v>
      </c>
      <c r="C9393" s="47" t="s">
        <v>65</v>
      </c>
      <c r="D9393" s="332">
        <v>1.87</v>
      </c>
    </row>
    <row r="9394" spans="1:4" ht="43.5" customHeight="1">
      <c r="A9394" s="28">
        <v>4342</v>
      </c>
      <c r="B9394" s="26" t="s">
        <v>8261</v>
      </c>
      <c r="C9394" s="28" t="s">
        <v>65</v>
      </c>
      <c r="D9394" s="329">
        <v>0.1</v>
      </c>
    </row>
    <row r="9395" spans="1:4">
      <c r="A9395" s="47">
        <v>4330</v>
      </c>
      <c r="B9395" s="48" t="s">
        <v>8262</v>
      </c>
      <c r="C9395" s="47" t="s">
        <v>65</v>
      </c>
      <c r="D9395" s="332">
        <v>0.06</v>
      </c>
    </row>
    <row r="9396" spans="1:4">
      <c r="A9396" s="28">
        <v>4340</v>
      </c>
      <c r="B9396" s="26" t="s">
        <v>8263</v>
      </c>
      <c r="C9396" s="28" t="s">
        <v>65</v>
      </c>
      <c r="D9396" s="329">
        <v>0.52</v>
      </c>
    </row>
    <row r="9397" spans="1:4">
      <c r="A9397" s="47">
        <v>5088</v>
      </c>
      <c r="B9397" s="48" t="s">
        <v>11485</v>
      </c>
      <c r="C9397" s="47" t="s">
        <v>65</v>
      </c>
      <c r="D9397" s="332">
        <v>2.04</v>
      </c>
    </row>
    <row r="9398" spans="1:4" ht="30">
      <c r="A9398" s="28">
        <v>11154</v>
      </c>
      <c r="B9398" s="26" t="s">
        <v>8265</v>
      </c>
      <c r="C9398" s="28" t="s">
        <v>65</v>
      </c>
      <c r="D9398" s="329">
        <v>761.31</v>
      </c>
    </row>
    <row r="9399" spans="1:4" ht="45">
      <c r="A9399" s="47">
        <v>39021</v>
      </c>
      <c r="B9399" s="48" t="s">
        <v>8266</v>
      </c>
      <c r="C9399" s="47" t="s">
        <v>65</v>
      </c>
      <c r="D9399" s="332">
        <v>299.10000000000002</v>
      </c>
    </row>
    <row r="9400" spans="1:4" ht="30">
      <c r="A9400" s="28">
        <v>39022</v>
      </c>
      <c r="B9400" s="26" t="s">
        <v>8267</v>
      </c>
      <c r="C9400" s="28" t="s">
        <v>65</v>
      </c>
      <c r="D9400" s="329">
        <v>369.9</v>
      </c>
    </row>
    <row r="9401" spans="1:4" ht="29.25" customHeight="1">
      <c r="A9401" s="47">
        <v>39024</v>
      </c>
      <c r="B9401" s="48" t="s">
        <v>8268</v>
      </c>
      <c r="C9401" s="47" t="s">
        <v>65</v>
      </c>
      <c r="D9401" s="332">
        <v>857.98</v>
      </c>
    </row>
    <row r="9402" spans="1:4" ht="30">
      <c r="A9402" s="28">
        <v>4914</v>
      </c>
      <c r="B9402" s="26" t="s">
        <v>8269</v>
      </c>
      <c r="C9402" s="28" t="s">
        <v>256</v>
      </c>
      <c r="D9402" s="329">
        <v>695.67</v>
      </c>
    </row>
    <row r="9403" spans="1:4" ht="30">
      <c r="A9403" s="47">
        <v>4917</v>
      </c>
      <c r="B9403" s="48" t="s">
        <v>8270</v>
      </c>
      <c r="C9403" s="47" t="s">
        <v>256</v>
      </c>
      <c r="D9403" s="332">
        <v>480.44</v>
      </c>
    </row>
    <row r="9404" spans="1:4" ht="30">
      <c r="A9404" s="28">
        <v>39025</v>
      </c>
      <c r="B9404" s="26" t="s">
        <v>8271</v>
      </c>
      <c r="C9404" s="28" t="s">
        <v>65</v>
      </c>
      <c r="D9404" s="329">
        <v>879.77</v>
      </c>
    </row>
    <row r="9405" spans="1:4" ht="30">
      <c r="A9405" s="47">
        <v>4930</v>
      </c>
      <c r="B9405" s="48" t="s">
        <v>8272</v>
      </c>
      <c r="C9405" s="47" t="s">
        <v>256</v>
      </c>
      <c r="D9405" s="332">
        <v>351.75</v>
      </c>
    </row>
    <row r="9406" spans="1:4" ht="45">
      <c r="A9406" s="28">
        <v>4922</v>
      </c>
      <c r="B9406" s="26" t="s">
        <v>8277</v>
      </c>
      <c r="C9406" s="28" t="s">
        <v>256</v>
      </c>
      <c r="D9406" s="329">
        <v>445.65</v>
      </c>
    </row>
    <row r="9407" spans="1:4" ht="30">
      <c r="A9407" s="47">
        <v>4911</v>
      </c>
      <c r="B9407" s="48" t="s">
        <v>8278</v>
      </c>
      <c r="C9407" s="47" t="s">
        <v>256</v>
      </c>
      <c r="D9407" s="332">
        <v>235.4</v>
      </c>
    </row>
    <row r="9408" spans="1:4" ht="30">
      <c r="A9408" s="28">
        <v>37518</v>
      </c>
      <c r="B9408" s="26" t="s">
        <v>8279</v>
      </c>
      <c r="C9408" s="28" t="s">
        <v>256</v>
      </c>
      <c r="D9408" s="329">
        <v>300.51</v>
      </c>
    </row>
    <row r="9409" spans="1:4" ht="30">
      <c r="A9409" s="47">
        <v>4910</v>
      </c>
      <c r="B9409" s="48" t="s">
        <v>8280</v>
      </c>
      <c r="C9409" s="47" t="s">
        <v>256</v>
      </c>
      <c r="D9409" s="332">
        <v>235.4</v>
      </c>
    </row>
    <row r="9410" spans="1:4" ht="30">
      <c r="A9410" s="28">
        <v>4943</v>
      </c>
      <c r="B9410" s="26" t="s">
        <v>8281</v>
      </c>
      <c r="C9410" s="28" t="s">
        <v>256</v>
      </c>
      <c r="D9410" s="329">
        <v>373.63</v>
      </c>
    </row>
    <row r="9411" spans="1:4">
      <c r="A9411" s="47">
        <v>4977</v>
      </c>
      <c r="B9411" s="48" t="s">
        <v>8299</v>
      </c>
      <c r="C9411" s="47" t="s">
        <v>256</v>
      </c>
      <c r="D9411" s="332">
        <v>197.25</v>
      </c>
    </row>
    <row r="9412" spans="1:4" ht="30">
      <c r="A9412" s="28">
        <v>11364</v>
      </c>
      <c r="B9412" s="26" t="s">
        <v>11486</v>
      </c>
      <c r="C9412" s="28" t="s">
        <v>65</v>
      </c>
      <c r="D9412" s="329">
        <v>78.34</v>
      </c>
    </row>
    <row r="9413" spans="1:4" ht="30">
      <c r="A9413" s="47">
        <v>11365</v>
      </c>
      <c r="B9413" s="48" t="s">
        <v>11487</v>
      </c>
      <c r="C9413" s="47" t="s">
        <v>65</v>
      </c>
      <c r="D9413" s="332">
        <v>84.37</v>
      </c>
    </row>
    <row r="9414" spans="1:4" ht="30">
      <c r="A9414" s="28">
        <v>11366</v>
      </c>
      <c r="B9414" s="26" t="s">
        <v>11488</v>
      </c>
      <c r="C9414" s="28" t="s">
        <v>65</v>
      </c>
      <c r="D9414" s="329">
        <v>89.29</v>
      </c>
    </row>
    <row r="9415" spans="1:4" ht="30">
      <c r="A9415" s="47">
        <v>11367</v>
      </c>
      <c r="B9415" s="48" t="s">
        <v>11489</v>
      </c>
      <c r="C9415" s="47" t="s">
        <v>256</v>
      </c>
      <c r="D9415" s="332">
        <v>68.78</v>
      </c>
    </row>
    <row r="9416" spans="1:4" ht="30">
      <c r="A9416" s="28">
        <v>4989</v>
      </c>
      <c r="B9416" s="26" t="s">
        <v>11490</v>
      </c>
      <c r="C9416" s="28" t="s">
        <v>65</v>
      </c>
      <c r="D9416" s="329">
        <v>178.48</v>
      </c>
    </row>
    <row r="9417" spans="1:4" ht="30">
      <c r="A9417" s="47">
        <v>4982</v>
      </c>
      <c r="B9417" s="48" t="s">
        <v>11491</v>
      </c>
      <c r="C9417" s="47" t="s">
        <v>65</v>
      </c>
      <c r="D9417" s="332">
        <v>154.94</v>
      </c>
    </row>
    <row r="9418" spans="1:4" ht="30">
      <c r="A9418" s="28">
        <v>20322</v>
      </c>
      <c r="B9418" s="26" t="s">
        <v>11492</v>
      </c>
      <c r="C9418" s="28" t="s">
        <v>65</v>
      </c>
      <c r="D9418" s="329">
        <v>136.56</v>
      </c>
    </row>
    <row r="9419" spans="1:4" ht="30">
      <c r="A9419" s="47">
        <v>10553</v>
      </c>
      <c r="B9419" s="48" t="s">
        <v>11493</v>
      </c>
      <c r="C9419" s="47" t="s">
        <v>65</v>
      </c>
      <c r="D9419" s="332">
        <v>145.6</v>
      </c>
    </row>
    <row r="9420" spans="1:4" ht="30">
      <c r="A9420" s="28">
        <v>5020</v>
      </c>
      <c r="B9420" s="26" t="s">
        <v>11494</v>
      </c>
      <c r="C9420" s="28" t="s">
        <v>65</v>
      </c>
      <c r="D9420" s="329">
        <v>150.94999999999999</v>
      </c>
    </row>
    <row r="9421" spans="1:4" ht="30">
      <c r="A9421" s="47">
        <v>4962</v>
      </c>
      <c r="B9421" s="48" t="s">
        <v>11495</v>
      </c>
      <c r="C9421" s="47" t="s">
        <v>65</v>
      </c>
      <c r="D9421" s="332">
        <v>147.07</v>
      </c>
    </row>
    <row r="9422" spans="1:4" ht="30">
      <c r="A9422" s="28">
        <v>4981</v>
      </c>
      <c r="B9422" s="26" t="s">
        <v>11496</v>
      </c>
      <c r="C9422" s="28" t="s">
        <v>65</v>
      </c>
      <c r="D9422" s="329">
        <v>104</v>
      </c>
    </row>
    <row r="9423" spans="1:4" ht="30">
      <c r="A9423" s="47">
        <v>10554</v>
      </c>
      <c r="B9423" s="48" t="s">
        <v>11497</v>
      </c>
      <c r="C9423" s="47" t="s">
        <v>65</v>
      </c>
      <c r="D9423" s="332">
        <v>162.72</v>
      </c>
    </row>
    <row r="9424" spans="1:4" ht="30">
      <c r="A9424" s="28">
        <v>4964</v>
      </c>
      <c r="B9424" s="26" t="s">
        <v>11498</v>
      </c>
      <c r="C9424" s="28" t="s">
        <v>65</v>
      </c>
      <c r="D9424" s="329">
        <v>178.58</v>
      </c>
    </row>
    <row r="9425" spans="1:4" ht="30">
      <c r="A9425" s="47">
        <v>4992</v>
      </c>
      <c r="B9425" s="48" t="s">
        <v>11499</v>
      </c>
      <c r="C9425" s="47" t="s">
        <v>65</v>
      </c>
      <c r="D9425" s="332">
        <v>177.11</v>
      </c>
    </row>
    <row r="9426" spans="1:4" ht="30">
      <c r="A9426" s="28">
        <v>10555</v>
      </c>
      <c r="B9426" s="26" t="s">
        <v>11500</v>
      </c>
      <c r="C9426" s="28" t="s">
        <v>65</v>
      </c>
      <c r="D9426" s="329">
        <v>157.05000000000001</v>
      </c>
    </row>
    <row r="9427" spans="1:4" ht="30">
      <c r="A9427" s="47">
        <v>4987</v>
      </c>
      <c r="B9427" s="48" t="s">
        <v>11501</v>
      </c>
      <c r="C9427" s="47" t="s">
        <v>65</v>
      </c>
      <c r="D9427" s="332">
        <v>162.72</v>
      </c>
    </row>
    <row r="9428" spans="1:4" ht="30">
      <c r="A9428" s="28">
        <v>10556</v>
      </c>
      <c r="B9428" s="26" t="s">
        <v>11502</v>
      </c>
      <c r="C9428" s="28" t="s">
        <v>65</v>
      </c>
      <c r="D9428" s="329">
        <v>166.84</v>
      </c>
    </row>
    <row r="9429" spans="1:4" ht="30">
      <c r="A9429" s="47">
        <v>4958</v>
      </c>
      <c r="B9429" s="48" t="s">
        <v>11503</v>
      </c>
      <c r="C9429" s="47" t="s">
        <v>256</v>
      </c>
      <c r="D9429" s="332">
        <v>95.35</v>
      </c>
    </row>
    <row r="9430" spans="1:4" ht="30">
      <c r="A9430" s="28">
        <v>39502</v>
      </c>
      <c r="B9430" s="26" t="s">
        <v>11504</v>
      </c>
      <c r="C9430" s="28" t="s">
        <v>65</v>
      </c>
      <c r="D9430" s="329">
        <v>231.11</v>
      </c>
    </row>
    <row r="9431" spans="1:4" ht="30">
      <c r="A9431" s="47">
        <v>39504</v>
      </c>
      <c r="B9431" s="48" t="s">
        <v>11505</v>
      </c>
      <c r="C9431" s="47" t="s">
        <v>65</v>
      </c>
      <c r="D9431" s="332">
        <v>163.87</v>
      </c>
    </row>
    <row r="9432" spans="1:4" ht="30">
      <c r="A9432" s="28">
        <v>39503</v>
      </c>
      <c r="B9432" s="26" t="s">
        <v>11506</v>
      </c>
      <c r="C9432" s="28" t="s">
        <v>65</v>
      </c>
      <c r="D9432" s="329">
        <v>251.07</v>
      </c>
    </row>
    <row r="9433" spans="1:4" ht="30">
      <c r="A9433" s="47">
        <v>39505</v>
      </c>
      <c r="B9433" s="48" t="s">
        <v>11507</v>
      </c>
      <c r="C9433" s="47" t="s">
        <v>65</v>
      </c>
      <c r="D9433" s="332">
        <v>178.58</v>
      </c>
    </row>
    <row r="9434" spans="1:4">
      <c r="A9434" s="28">
        <v>25969</v>
      </c>
      <c r="B9434" s="26" t="s">
        <v>226</v>
      </c>
      <c r="C9434" s="28" t="s">
        <v>65</v>
      </c>
      <c r="D9434" s="329">
        <v>211.48</v>
      </c>
    </row>
    <row r="9435" spans="1:4" ht="30">
      <c r="A9435" s="47">
        <v>4944</v>
      </c>
      <c r="B9435" s="48" t="s">
        <v>8309</v>
      </c>
      <c r="C9435" s="47" t="s">
        <v>256</v>
      </c>
      <c r="D9435" s="332">
        <v>458.21</v>
      </c>
    </row>
    <row r="9436" spans="1:4">
      <c r="A9436" s="28">
        <v>4969</v>
      </c>
      <c r="B9436" s="26" t="s">
        <v>8311</v>
      </c>
      <c r="C9436" s="28" t="s">
        <v>256</v>
      </c>
      <c r="D9436" s="329">
        <v>253.24</v>
      </c>
    </row>
    <row r="9437" spans="1:4">
      <c r="A9437" s="47">
        <v>5002</v>
      </c>
      <c r="B9437" s="48" t="s">
        <v>8312</v>
      </c>
      <c r="C9437" s="47" t="s">
        <v>256</v>
      </c>
      <c r="D9437" s="332">
        <v>256.17</v>
      </c>
    </row>
    <row r="9438" spans="1:4" ht="45">
      <c r="A9438" s="28">
        <v>5028</v>
      </c>
      <c r="B9438" s="26" t="s">
        <v>11508</v>
      </c>
      <c r="C9438" s="28" t="s">
        <v>256</v>
      </c>
      <c r="D9438" s="329">
        <v>302.27</v>
      </c>
    </row>
    <row r="9439" spans="1:4">
      <c r="A9439" s="47">
        <v>4998</v>
      </c>
      <c r="B9439" s="48" t="s">
        <v>8313</v>
      </c>
      <c r="C9439" s="47" t="s">
        <v>256</v>
      </c>
      <c r="D9439" s="332">
        <v>260.52</v>
      </c>
    </row>
    <row r="9440" spans="1:4">
      <c r="A9440" s="28">
        <v>21102</v>
      </c>
      <c r="B9440" s="26" t="s">
        <v>227</v>
      </c>
      <c r="C9440" s="28" t="s">
        <v>65</v>
      </c>
      <c r="D9440" s="329">
        <v>20.62</v>
      </c>
    </row>
    <row r="9441" spans="1:4">
      <c r="A9441" s="47">
        <v>21101</v>
      </c>
      <c r="B9441" s="48" t="s">
        <v>228</v>
      </c>
      <c r="C9441" s="47" t="s">
        <v>65</v>
      </c>
      <c r="D9441" s="332">
        <v>13.24</v>
      </c>
    </row>
    <row r="9442" spans="1:4" ht="30">
      <c r="A9442" s="28">
        <v>34713</v>
      </c>
      <c r="B9442" s="26" t="s">
        <v>8314</v>
      </c>
      <c r="C9442" s="28" t="s">
        <v>256</v>
      </c>
      <c r="D9442" s="329">
        <v>126.55</v>
      </c>
    </row>
    <row r="9443" spans="1:4" ht="30">
      <c r="A9443" s="47">
        <v>4947</v>
      </c>
      <c r="B9443" s="48" t="s">
        <v>11509</v>
      </c>
      <c r="C9443" s="47" t="s">
        <v>256</v>
      </c>
      <c r="D9443" s="332">
        <v>335.57</v>
      </c>
    </row>
    <row r="9444" spans="1:4" ht="30">
      <c r="A9444" s="28">
        <v>37563</v>
      </c>
      <c r="B9444" s="26" t="s">
        <v>8315</v>
      </c>
      <c r="C9444" s="28" t="s">
        <v>256</v>
      </c>
      <c r="D9444" s="329">
        <v>347.09</v>
      </c>
    </row>
    <row r="9445" spans="1:4" ht="30">
      <c r="A9445" s="47">
        <v>4948</v>
      </c>
      <c r="B9445" s="48" t="s">
        <v>8317</v>
      </c>
      <c r="C9445" s="47" t="s">
        <v>256</v>
      </c>
      <c r="D9445" s="332">
        <v>315</v>
      </c>
    </row>
    <row r="9446" spans="1:4" ht="45">
      <c r="A9446" s="28">
        <v>37561</v>
      </c>
      <c r="B9446" s="26" t="s">
        <v>8318</v>
      </c>
      <c r="C9446" s="28" t="s">
        <v>256</v>
      </c>
      <c r="D9446" s="329">
        <v>504.22</v>
      </c>
    </row>
    <row r="9447" spans="1:4" ht="30">
      <c r="A9447" s="47">
        <v>37562</v>
      </c>
      <c r="B9447" s="48" t="s">
        <v>8319</v>
      </c>
      <c r="C9447" s="47" t="s">
        <v>256</v>
      </c>
      <c r="D9447" s="332">
        <v>323.39999999999998</v>
      </c>
    </row>
    <row r="9448" spans="1:4" ht="30">
      <c r="A9448" s="28">
        <v>37585</v>
      </c>
      <c r="B9448" s="26" t="s">
        <v>8325</v>
      </c>
      <c r="C9448" s="28" t="s">
        <v>65</v>
      </c>
      <c r="D9448" s="329">
        <v>239.55</v>
      </c>
    </row>
    <row r="9449" spans="1:4" ht="30">
      <c r="A9449" s="47">
        <v>14164</v>
      </c>
      <c r="B9449" s="48" t="s">
        <v>8340</v>
      </c>
      <c r="C9449" s="47" t="s">
        <v>65</v>
      </c>
      <c r="D9449" s="332">
        <v>1181.6199999999999</v>
      </c>
    </row>
    <row r="9450" spans="1:4" ht="30">
      <c r="A9450" s="28">
        <v>14163</v>
      </c>
      <c r="B9450" s="26" t="s">
        <v>8341</v>
      </c>
      <c r="C9450" s="28" t="s">
        <v>65</v>
      </c>
      <c r="D9450" s="329">
        <v>1342.99</v>
      </c>
    </row>
    <row r="9451" spans="1:4" ht="30">
      <c r="A9451" s="47">
        <v>5051</v>
      </c>
      <c r="B9451" s="48" t="s">
        <v>8342</v>
      </c>
      <c r="C9451" s="47" t="s">
        <v>65</v>
      </c>
      <c r="D9451" s="332">
        <v>1142.19</v>
      </c>
    </row>
    <row r="9452" spans="1:4" ht="30">
      <c r="A9452" s="28">
        <v>14162</v>
      </c>
      <c r="B9452" s="26" t="s">
        <v>8344</v>
      </c>
      <c r="C9452" s="28" t="s">
        <v>65</v>
      </c>
      <c r="D9452" s="329">
        <v>1140.53</v>
      </c>
    </row>
    <row r="9453" spans="1:4" ht="30">
      <c r="A9453" s="47">
        <v>5052</v>
      </c>
      <c r="B9453" s="48" t="s">
        <v>8343</v>
      </c>
      <c r="C9453" s="47" t="s">
        <v>65</v>
      </c>
      <c r="D9453" s="332">
        <v>851</v>
      </c>
    </row>
    <row r="9454" spans="1:4" ht="30">
      <c r="A9454" s="28">
        <v>14166</v>
      </c>
      <c r="B9454" s="26" t="s">
        <v>8345</v>
      </c>
      <c r="C9454" s="28" t="s">
        <v>65</v>
      </c>
      <c r="D9454" s="329">
        <v>861.8</v>
      </c>
    </row>
    <row r="9455" spans="1:4" ht="30">
      <c r="A9455" s="47">
        <v>14165</v>
      </c>
      <c r="B9455" s="48" t="s">
        <v>8346</v>
      </c>
      <c r="C9455" s="47" t="s">
        <v>65</v>
      </c>
      <c r="D9455" s="332">
        <v>1193.9100000000001</v>
      </c>
    </row>
    <row r="9456" spans="1:4" ht="30">
      <c r="A9456" s="28">
        <v>5050</v>
      </c>
      <c r="B9456" s="26" t="s">
        <v>8347</v>
      </c>
      <c r="C9456" s="28" t="s">
        <v>65</v>
      </c>
      <c r="D9456" s="329">
        <v>293.85000000000002</v>
      </c>
    </row>
    <row r="9457" spans="1:4" ht="30">
      <c r="A9457" s="47">
        <v>12378</v>
      </c>
      <c r="B9457" s="48" t="s">
        <v>8348</v>
      </c>
      <c r="C9457" s="47" t="s">
        <v>65</v>
      </c>
      <c r="D9457" s="332">
        <v>698.46</v>
      </c>
    </row>
    <row r="9458" spans="1:4">
      <c r="A9458" s="28">
        <v>5040</v>
      </c>
      <c r="B9458" s="26" t="s">
        <v>8352</v>
      </c>
      <c r="C9458" s="28" t="s">
        <v>65</v>
      </c>
      <c r="D9458" s="329">
        <v>167.73</v>
      </c>
    </row>
    <row r="9459" spans="1:4">
      <c r="A9459" s="47">
        <v>5054</v>
      </c>
      <c r="B9459" s="48" t="s">
        <v>8353</v>
      </c>
      <c r="C9459" s="47" t="s">
        <v>65</v>
      </c>
      <c r="D9459" s="332">
        <v>244.68</v>
      </c>
    </row>
    <row r="9460" spans="1:4">
      <c r="A9460" s="28">
        <v>12366</v>
      </c>
      <c r="B9460" s="26" t="s">
        <v>8354</v>
      </c>
      <c r="C9460" s="28" t="s">
        <v>65</v>
      </c>
      <c r="D9460" s="329">
        <v>435.62</v>
      </c>
    </row>
    <row r="9461" spans="1:4">
      <c r="A9461" s="47">
        <v>5045</v>
      </c>
      <c r="B9461" s="48" t="s">
        <v>8355</v>
      </c>
      <c r="C9461" s="47" t="s">
        <v>65</v>
      </c>
      <c r="D9461" s="332">
        <v>606.62</v>
      </c>
    </row>
    <row r="9462" spans="1:4">
      <c r="A9462" s="28">
        <v>12367</v>
      </c>
      <c r="B9462" s="26" t="s">
        <v>8356</v>
      </c>
      <c r="C9462" s="28" t="s">
        <v>65</v>
      </c>
      <c r="D9462" s="329">
        <v>1857.16</v>
      </c>
    </row>
    <row r="9463" spans="1:4">
      <c r="A9463" s="47">
        <v>12368</v>
      </c>
      <c r="B9463" s="48" t="s">
        <v>8357</v>
      </c>
      <c r="C9463" s="47" t="s">
        <v>65</v>
      </c>
      <c r="D9463" s="332">
        <v>3674.55</v>
      </c>
    </row>
    <row r="9464" spans="1:4">
      <c r="A9464" s="28">
        <v>5042</v>
      </c>
      <c r="B9464" s="26" t="s">
        <v>8358</v>
      </c>
      <c r="C9464" s="28" t="s">
        <v>65</v>
      </c>
      <c r="D9464" s="329">
        <v>316.44</v>
      </c>
    </row>
    <row r="9465" spans="1:4">
      <c r="A9465" s="47">
        <v>5044</v>
      </c>
      <c r="B9465" s="48" t="s">
        <v>8359</v>
      </c>
      <c r="C9465" s="47" t="s">
        <v>65</v>
      </c>
      <c r="D9465" s="332">
        <v>427.97</v>
      </c>
    </row>
    <row r="9466" spans="1:4">
      <c r="A9466" s="28">
        <v>5055</v>
      </c>
      <c r="B9466" s="26" t="s">
        <v>8360</v>
      </c>
      <c r="C9466" s="28" t="s">
        <v>65</v>
      </c>
      <c r="D9466" s="329">
        <v>608.47</v>
      </c>
    </row>
    <row r="9467" spans="1:4">
      <c r="A9467" s="47">
        <v>5041</v>
      </c>
      <c r="B9467" s="48" t="s">
        <v>8361</v>
      </c>
      <c r="C9467" s="47" t="s">
        <v>65</v>
      </c>
      <c r="D9467" s="332">
        <v>224.79</v>
      </c>
    </row>
    <row r="9468" spans="1:4">
      <c r="A9468" s="28">
        <v>5043</v>
      </c>
      <c r="B9468" s="26" t="s">
        <v>8362</v>
      </c>
      <c r="C9468" s="28" t="s">
        <v>65</v>
      </c>
      <c r="D9468" s="329">
        <v>388.2</v>
      </c>
    </row>
    <row r="9469" spans="1:4">
      <c r="A9469" s="47">
        <v>5053</v>
      </c>
      <c r="B9469" s="48" t="s">
        <v>8363</v>
      </c>
      <c r="C9469" s="47" t="s">
        <v>65</v>
      </c>
      <c r="D9469" s="332">
        <v>473.59</v>
      </c>
    </row>
    <row r="9470" spans="1:4">
      <c r="A9470" s="28">
        <v>5035</v>
      </c>
      <c r="B9470" s="26" t="s">
        <v>8364</v>
      </c>
      <c r="C9470" s="28" t="s">
        <v>65</v>
      </c>
      <c r="D9470" s="329">
        <v>774.3</v>
      </c>
    </row>
    <row r="9471" spans="1:4">
      <c r="A9471" s="47">
        <v>5036</v>
      </c>
      <c r="B9471" s="48" t="s">
        <v>8365</v>
      </c>
      <c r="C9471" s="47" t="s">
        <v>65</v>
      </c>
      <c r="D9471" s="332">
        <v>1292.57</v>
      </c>
    </row>
    <row r="9472" spans="1:4">
      <c r="A9472" s="28">
        <v>5059</v>
      </c>
      <c r="B9472" s="26" t="s">
        <v>8366</v>
      </c>
      <c r="C9472" s="28" t="s">
        <v>65</v>
      </c>
      <c r="D9472" s="329">
        <v>605.58000000000004</v>
      </c>
    </row>
    <row r="9473" spans="1:4">
      <c r="A9473" s="47">
        <v>5034</v>
      </c>
      <c r="B9473" s="48" t="s">
        <v>8367</v>
      </c>
      <c r="C9473" s="47" t="s">
        <v>65</v>
      </c>
      <c r="D9473" s="332">
        <v>835.64</v>
      </c>
    </row>
    <row r="9474" spans="1:4">
      <c r="A9474" s="28">
        <v>5056</v>
      </c>
      <c r="B9474" s="26" t="s">
        <v>8368</v>
      </c>
      <c r="C9474" s="28" t="s">
        <v>65</v>
      </c>
      <c r="D9474" s="329">
        <v>649.30999999999995</v>
      </c>
    </row>
    <row r="9475" spans="1:4">
      <c r="A9475" s="47">
        <v>5057</v>
      </c>
      <c r="B9475" s="48" t="s">
        <v>8378</v>
      </c>
      <c r="C9475" s="47" t="s">
        <v>65</v>
      </c>
      <c r="D9475" s="332">
        <v>520.74</v>
      </c>
    </row>
    <row r="9476" spans="1:4">
      <c r="A9476" s="28">
        <v>5033</v>
      </c>
      <c r="B9476" s="26" t="s">
        <v>8379</v>
      </c>
      <c r="C9476" s="28" t="s">
        <v>65</v>
      </c>
      <c r="D9476" s="329">
        <v>432.3</v>
      </c>
    </row>
    <row r="9477" spans="1:4">
      <c r="A9477" s="47">
        <v>5037</v>
      </c>
      <c r="B9477" s="48" t="s">
        <v>8380</v>
      </c>
      <c r="C9477" s="47" t="s">
        <v>65</v>
      </c>
      <c r="D9477" s="332">
        <v>219.32</v>
      </c>
    </row>
    <row r="9478" spans="1:4">
      <c r="A9478" s="28">
        <v>5038</v>
      </c>
      <c r="B9478" s="26" t="s">
        <v>8381</v>
      </c>
      <c r="C9478" s="28" t="s">
        <v>65</v>
      </c>
      <c r="D9478" s="329">
        <v>352.32</v>
      </c>
    </row>
    <row r="9479" spans="1:4">
      <c r="A9479" s="47">
        <v>12374</v>
      </c>
      <c r="B9479" s="48" t="s">
        <v>8373</v>
      </c>
      <c r="C9479" s="47" t="s">
        <v>65</v>
      </c>
      <c r="D9479" s="332">
        <v>216.15</v>
      </c>
    </row>
    <row r="9480" spans="1:4">
      <c r="A9480" s="28">
        <v>12372</v>
      </c>
      <c r="B9480" s="26" t="s">
        <v>8374</v>
      </c>
      <c r="C9480" s="28" t="s">
        <v>65</v>
      </c>
      <c r="D9480" s="329">
        <v>464.29</v>
      </c>
    </row>
    <row r="9481" spans="1:4">
      <c r="A9481" s="47">
        <v>13335</v>
      </c>
      <c r="B9481" s="48" t="s">
        <v>8375</v>
      </c>
      <c r="C9481" s="47" t="s">
        <v>65</v>
      </c>
      <c r="D9481" s="332">
        <v>279.60000000000002</v>
      </c>
    </row>
    <row r="9482" spans="1:4">
      <c r="A9482" s="28">
        <v>13339</v>
      </c>
      <c r="B9482" s="26" t="s">
        <v>8376</v>
      </c>
      <c r="C9482" s="28" t="s">
        <v>65</v>
      </c>
      <c r="D9482" s="329">
        <v>690.21</v>
      </c>
    </row>
    <row r="9483" spans="1:4">
      <c r="A9483" s="47">
        <v>12373</v>
      </c>
      <c r="B9483" s="48" t="s">
        <v>8377</v>
      </c>
      <c r="C9483" s="47" t="s">
        <v>65</v>
      </c>
      <c r="D9483" s="332">
        <v>722.8</v>
      </c>
    </row>
    <row r="9484" spans="1:4">
      <c r="A9484" s="28">
        <v>34712</v>
      </c>
      <c r="B9484" s="26" t="s">
        <v>8382</v>
      </c>
      <c r="C9484" s="28" t="s">
        <v>65</v>
      </c>
      <c r="D9484" s="329">
        <v>527.4</v>
      </c>
    </row>
    <row r="9485" spans="1:4">
      <c r="A9485" s="47">
        <v>34711</v>
      </c>
      <c r="B9485" s="48" t="s">
        <v>8383</v>
      </c>
      <c r="C9485" s="47" t="s">
        <v>65</v>
      </c>
      <c r="D9485" s="332">
        <v>691.68</v>
      </c>
    </row>
    <row r="9486" spans="1:4">
      <c r="A9486" s="28">
        <v>34706</v>
      </c>
      <c r="B9486" s="26" t="s">
        <v>8384</v>
      </c>
      <c r="C9486" s="28" t="s">
        <v>65</v>
      </c>
      <c r="D9486" s="329">
        <v>1185.3599999999999</v>
      </c>
    </row>
    <row r="9487" spans="1:4">
      <c r="A9487" s="47">
        <v>34703</v>
      </c>
      <c r="B9487" s="48" t="s">
        <v>8385</v>
      </c>
      <c r="C9487" s="47" t="s">
        <v>65</v>
      </c>
      <c r="D9487" s="332">
        <v>1988.58</v>
      </c>
    </row>
    <row r="9488" spans="1:4">
      <c r="A9488" s="28">
        <v>12388</v>
      </c>
      <c r="B9488" s="26" t="s">
        <v>8386</v>
      </c>
      <c r="C9488" s="28" t="s">
        <v>65</v>
      </c>
      <c r="D9488" s="329">
        <v>173.93</v>
      </c>
    </row>
    <row r="9489" spans="1:4">
      <c r="A9489" s="47">
        <v>34695</v>
      </c>
      <c r="B9489" s="48" t="s">
        <v>8387</v>
      </c>
      <c r="C9489" s="47" t="s">
        <v>65</v>
      </c>
      <c r="D9489" s="332">
        <v>497.14</v>
      </c>
    </row>
    <row r="9490" spans="1:4">
      <c r="A9490" s="28">
        <v>34692</v>
      </c>
      <c r="B9490" s="26" t="s">
        <v>8388</v>
      </c>
      <c r="C9490" s="28" t="s">
        <v>65</v>
      </c>
      <c r="D9490" s="329">
        <v>1193.1400000000001</v>
      </c>
    </row>
    <row r="9491" spans="1:4">
      <c r="A9491" s="47">
        <v>26028</v>
      </c>
      <c r="B9491" s="48" t="s">
        <v>229</v>
      </c>
      <c r="C9491" s="47" t="s">
        <v>152</v>
      </c>
      <c r="D9491" s="332">
        <v>266.64</v>
      </c>
    </row>
    <row r="9492" spans="1:4" ht="30">
      <c r="A9492" s="28">
        <v>11844</v>
      </c>
      <c r="B9492" s="26" t="s">
        <v>8389</v>
      </c>
      <c r="C9492" s="28" t="s">
        <v>71</v>
      </c>
      <c r="D9492" s="329">
        <v>20.83</v>
      </c>
    </row>
    <row r="9493" spans="1:4" ht="30">
      <c r="A9493" s="47">
        <v>4465</v>
      </c>
      <c r="B9493" s="48" t="s">
        <v>8390</v>
      </c>
      <c r="C9493" s="47" t="s">
        <v>71</v>
      </c>
      <c r="D9493" s="332">
        <v>27.25</v>
      </c>
    </row>
    <row r="9494" spans="1:4" ht="30">
      <c r="A9494" s="28">
        <v>35273</v>
      </c>
      <c r="B9494" s="26" t="s">
        <v>8391</v>
      </c>
      <c r="C9494" s="28" t="s">
        <v>71</v>
      </c>
      <c r="D9494" s="329">
        <v>30.11</v>
      </c>
    </row>
    <row r="9495" spans="1:4" ht="30">
      <c r="A9495" s="47">
        <v>4470</v>
      </c>
      <c r="B9495" s="48" t="s">
        <v>8392</v>
      </c>
      <c r="C9495" s="47" t="s">
        <v>71</v>
      </c>
      <c r="D9495" s="332">
        <v>44.99</v>
      </c>
    </row>
    <row r="9496" spans="1:4" ht="30">
      <c r="A9496" s="28">
        <v>20204</v>
      </c>
      <c r="B9496" s="26" t="s">
        <v>8393</v>
      </c>
      <c r="C9496" s="28" t="s">
        <v>71</v>
      </c>
      <c r="D9496" s="329">
        <v>29.42</v>
      </c>
    </row>
    <row r="9497" spans="1:4" ht="30">
      <c r="A9497" s="47">
        <v>20208</v>
      </c>
      <c r="B9497" s="48" t="s">
        <v>8394</v>
      </c>
      <c r="C9497" s="47" t="s">
        <v>71</v>
      </c>
      <c r="D9497" s="332">
        <v>34.54</v>
      </c>
    </row>
    <row r="9498" spans="1:4" ht="30">
      <c r="A9498" s="28">
        <v>4437</v>
      </c>
      <c r="B9498" s="26" t="s">
        <v>8395</v>
      </c>
      <c r="C9498" s="28" t="s">
        <v>71</v>
      </c>
      <c r="D9498" s="329">
        <v>32.58</v>
      </c>
    </row>
    <row r="9499" spans="1:4" ht="30">
      <c r="A9499" s="47">
        <v>14580</v>
      </c>
      <c r="B9499" s="48" t="s">
        <v>8396</v>
      </c>
      <c r="C9499" s="47" t="s">
        <v>71</v>
      </c>
      <c r="D9499" s="332">
        <v>35.479999999999997</v>
      </c>
    </row>
    <row r="9500" spans="1:4">
      <c r="A9500" s="28">
        <v>40304</v>
      </c>
      <c r="B9500" s="26" t="s">
        <v>8415</v>
      </c>
      <c r="C9500" s="28" t="s">
        <v>90</v>
      </c>
      <c r="D9500" s="329">
        <v>10.48</v>
      </c>
    </row>
    <row r="9501" spans="1:4">
      <c r="A9501" s="47">
        <v>5065</v>
      </c>
      <c r="B9501" s="48" t="s">
        <v>8397</v>
      </c>
      <c r="C9501" s="47" t="s">
        <v>90</v>
      </c>
      <c r="D9501" s="332">
        <v>16.149999999999999</v>
      </c>
    </row>
    <row r="9502" spans="1:4">
      <c r="A9502" s="28">
        <v>5072</v>
      </c>
      <c r="B9502" s="26" t="s">
        <v>8398</v>
      </c>
      <c r="C9502" s="28" t="s">
        <v>90</v>
      </c>
      <c r="D9502" s="329">
        <v>14.94</v>
      </c>
    </row>
    <row r="9503" spans="1:4">
      <c r="A9503" s="47">
        <v>5066</v>
      </c>
      <c r="B9503" s="48" t="s">
        <v>8399</v>
      </c>
      <c r="C9503" s="47" t="s">
        <v>90</v>
      </c>
      <c r="D9503" s="332">
        <v>11.19</v>
      </c>
    </row>
    <row r="9504" spans="1:4">
      <c r="A9504" s="28">
        <v>5063</v>
      </c>
      <c r="B9504" s="26" t="s">
        <v>8400</v>
      </c>
      <c r="C9504" s="28" t="s">
        <v>90</v>
      </c>
      <c r="D9504" s="329">
        <v>10.130000000000001</v>
      </c>
    </row>
    <row r="9505" spans="1:4">
      <c r="A9505" s="47">
        <v>20247</v>
      </c>
      <c r="B9505" s="48" t="s">
        <v>8401</v>
      </c>
      <c r="C9505" s="47" t="s">
        <v>90</v>
      </c>
      <c r="D9505" s="332">
        <v>9.4</v>
      </c>
    </row>
    <row r="9506" spans="1:4">
      <c r="A9506" s="28">
        <v>5074</v>
      </c>
      <c r="B9506" s="26" t="s">
        <v>8402</v>
      </c>
      <c r="C9506" s="28" t="s">
        <v>90</v>
      </c>
      <c r="D9506" s="329">
        <v>9.51</v>
      </c>
    </row>
    <row r="9507" spans="1:4">
      <c r="A9507" s="47">
        <v>5067</v>
      </c>
      <c r="B9507" s="48" t="s">
        <v>8403</v>
      </c>
      <c r="C9507" s="47" t="s">
        <v>90</v>
      </c>
      <c r="D9507" s="332">
        <v>9.0500000000000007</v>
      </c>
    </row>
    <row r="9508" spans="1:4">
      <c r="A9508" s="28">
        <v>5078</v>
      </c>
      <c r="B9508" s="26" t="s">
        <v>8404</v>
      </c>
      <c r="C9508" s="28" t="s">
        <v>90</v>
      </c>
      <c r="D9508" s="329">
        <v>8.9499999999999993</v>
      </c>
    </row>
    <row r="9509" spans="1:4">
      <c r="A9509" s="47">
        <v>5068</v>
      </c>
      <c r="B9509" s="48" t="s">
        <v>8405</v>
      </c>
      <c r="C9509" s="47" t="s">
        <v>90</v>
      </c>
      <c r="D9509" s="332">
        <v>8.49</v>
      </c>
    </row>
    <row r="9510" spans="1:4">
      <c r="A9510" s="28">
        <v>5073</v>
      </c>
      <c r="B9510" s="26" t="s">
        <v>8406</v>
      </c>
      <c r="C9510" s="28" t="s">
        <v>90</v>
      </c>
      <c r="D9510" s="329">
        <v>8.65</v>
      </c>
    </row>
    <row r="9511" spans="1:4">
      <c r="A9511" s="47">
        <v>5069</v>
      </c>
      <c r="B9511" s="48" t="s">
        <v>8407</v>
      </c>
      <c r="C9511" s="47" t="s">
        <v>90</v>
      </c>
      <c r="D9511" s="332">
        <v>8.65</v>
      </c>
    </row>
    <row r="9512" spans="1:4">
      <c r="A9512" s="28">
        <v>5070</v>
      </c>
      <c r="B9512" s="26" t="s">
        <v>8408</v>
      </c>
      <c r="C9512" s="28" t="s">
        <v>90</v>
      </c>
      <c r="D9512" s="329">
        <v>8.75</v>
      </c>
    </row>
    <row r="9513" spans="1:4">
      <c r="A9513" s="47">
        <v>5071</v>
      </c>
      <c r="B9513" s="48" t="s">
        <v>8409</v>
      </c>
      <c r="C9513" s="47" t="s">
        <v>90</v>
      </c>
      <c r="D9513" s="332">
        <v>8.49</v>
      </c>
    </row>
    <row r="9514" spans="1:4">
      <c r="A9514" s="28">
        <v>5061</v>
      </c>
      <c r="B9514" s="26" t="s">
        <v>8410</v>
      </c>
      <c r="C9514" s="28" t="s">
        <v>90</v>
      </c>
      <c r="D9514" s="329">
        <v>8.35</v>
      </c>
    </row>
    <row r="9515" spans="1:4">
      <c r="A9515" s="47">
        <v>5075</v>
      </c>
      <c r="B9515" s="48" t="s">
        <v>8411</v>
      </c>
      <c r="C9515" s="47" t="s">
        <v>90</v>
      </c>
      <c r="D9515" s="332">
        <v>8.49</v>
      </c>
    </row>
    <row r="9516" spans="1:4">
      <c r="A9516" s="28">
        <v>39027</v>
      </c>
      <c r="B9516" s="26" t="s">
        <v>8412</v>
      </c>
      <c r="C9516" s="28" t="s">
        <v>90</v>
      </c>
      <c r="D9516" s="329">
        <v>8.48</v>
      </c>
    </row>
    <row r="9517" spans="1:4">
      <c r="A9517" s="47">
        <v>5062</v>
      </c>
      <c r="B9517" s="48" t="s">
        <v>8413</v>
      </c>
      <c r="C9517" s="47" t="s">
        <v>90</v>
      </c>
      <c r="D9517" s="332">
        <v>8.6</v>
      </c>
    </row>
    <row r="9518" spans="1:4">
      <c r="A9518" s="28">
        <v>40568</v>
      </c>
      <c r="B9518" s="26" t="s">
        <v>8414</v>
      </c>
      <c r="C9518" s="28" t="s">
        <v>90</v>
      </c>
      <c r="D9518" s="329">
        <v>8.5500000000000007</v>
      </c>
    </row>
    <row r="9519" spans="1:4">
      <c r="A9519" s="47">
        <v>39026</v>
      </c>
      <c r="B9519" s="48" t="s">
        <v>8416</v>
      </c>
      <c r="C9519" s="47" t="s">
        <v>90</v>
      </c>
      <c r="D9519" s="332">
        <v>9.5500000000000007</v>
      </c>
    </row>
    <row r="9520" spans="1:4">
      <c r="A9520" s="28">
        <v>11572</v>
      </c>
      <c r="B9520" s="26" t="s">
        <v>8418</v>
      </c>
      <c r="C9520" s="28" t="s">
        <v>65</v>
      </c>
      <c r="D9520" s="329">
        <v>12.8</v>
      </c>
    </row>
    <row r="9521" spans="1:4">
      <c r="A9521" s="47">
        <v>38959</v>
      </c>
      <c r="B9521" s="48" t="s">
        <v>8419</v>
      </c>
      <c r="C9521" s="47" t="s">
        <v>65</v>
      </c>
      <c r="D9521" s="332">
        <v>457.23</v>
      </c>
    </row>
    <row r="9522" spans="1:4">
      <c r="A9522" s="28">
        <v>11149</v>
      </c>
      <c r="B9522" s="26" t="s">
        <v>8425</v>
      </c>
      <c r="C9522" s="28" t="s">
        <v>182</v>
      </c>
      <c r="D9522" s="329">
        <v>133.68</v>
      </c>
    </row>
    <row r="9523" spans="1:4" ht="30">
      <c r="A9523" s="47">
        <v>511</v>
      </c>
      <c r="B9523" s="48" t="s">
        <v>8426</v>
      </c>
      <c r="C9523" s="47" t="s">
        <v>91</v>
      </c>
      <c r="D9523" s="332">
        <v>11.29</v>
      </c>
    </row>
    <row r="9524" spans="1:4">
      <c r="A9524" s="28">
        <v>11174</v>
      </c>
      <c r="B9524" s="26" t="s">
        <v>8427</v>
      </c>
      <c r="C9524" s="28" t="s">
        <v>96</v>
      </c>
      <c r="D9524" s="329">
        <v>379.57</v>
      </c>
    </row>
    <row r="9525" spans="1:4" ht="30">
      <c r="A9525" s="47">
        <v>37540</v>
      </c>
      <c r="B9525" s="48" t="s">
        <v>8428</v>
      </c>
      <c r="C9525" s="47" t="s">
        <v>65</v>
      </c>
      <c r="D9525" s="332">
        <v>54203.02</v>
      </c>
    </row>
    <row r="9526" spans="1:4" ht="30">
      <c r="A9526" s="28">
        <v>37548</v>
      </c>
      <c r="B9526" s="26" t="s">
        <v>8441</v>
      </c>
      <c r="C9526" s="28" t="s">
        <v>65</v>
      </c>
      <c r="D9526" s="329">
        <v>71845.83</v>
      </c>
    </row>
    <row r="9527" spans="1:4" ht="30">
      <c r="A9527" s="47">
        <v>39828</v>
      </c>
      <c r="B9527" s="48" t="s">
        <v>8448</v>
      </c>
      <c r="C9527" s="47" t="s">
        <v>65</v>
      </c>
      <c r="D9527" s="332">
        <v>431</v>
      </c>
    </row>
    <row r="9528" spans="1:4" ht="45">
      <c r="A9528" s="28">
        <v>12273</v>
      </c>
      <c r="B9528" s="26" t="s">
        <v>8449</v>
      </c>
      <c r="C9528" s="28" t="s">
        <v>65</v>
      </c>
      <c r="D9528" s="329">
        <v>42.79</v>
      </c>
    </row>
    <row r="9529" spans="1:4">
      <c r="A9529" s="47">
        <v>38392</v>
      </c>
      <c r="B9529" s="48" t="s">
        <v>8450</v>
      </c>
      <c r="C9529" s="47" t="s">
        <v>65</v>
      </c>
      <c r="D9529" s="332">
        <v>37.380000000000003</v>
      </c>
    </row>
    <row r="9530" spans="1:4">
      <c r="A9530" s="28">
        <v>11735</v>
      </c>
      <c r="B9530" s="26" t="s">
        <v>8451</v>
      </c>
      <c r="C9530" s="28" t="s">
        <v>65</v>
      </c>
      <c r="D9530" s="329">
        <v>3.09</v>
      </c>
    </row>
    <row r="9531" spans="1:4">
      <c r="A9531" s="47">
        <v>11733</v>
      </c>
      <c r="B9531" s="48" t="s">
        <v>8452</v>
      </c>
      <c r="C9531" s="47" t="s">
        <v>65</v>
      </c>
      <c r="D9531" s="332">
        <v>1.51</v>
      </c>
    </row>
    <row r="9532" spans="1:4">
      <c r="A9532" s="28">
        <v>11734</v>
      </c>
      <c r="B9532" s="26" t="s">
        <v>8453</v>
      </c>
      <c r="C9532" s="28" t="s">
        <v>65</v>
      </c>
      <c r="D9532" s="329">
        <v>2.33</v>
      </c>
    </row>
    <row r="9533" spans="1:4">
      <c r="A9533" s="47">
        <v>11737</v>
      </c>
      <c r="B9533" s="48" t="s">
        <v>8454</v>
      </c>
      <c r="C9533" s="47" t="s">
        <v>65</v>
      </c>
      <c r="D9533" s="332">
        <v>4.13</v>
      </c>
    </row>
    <row r="9534" spans="1:4">
      <c r="A9534" s="28">
        <v>11738</v>
      </c>
      <c r="B9534" s="26" t="s">
        <v>8455</v>
      </c>
      <c r="C9534" s="28" t="s">
        <v>65</v>
      </c>
      <c r="D9534" s="329">
        <v>6.71</v>
      </c>
    </row>
    <row r="9535" spans="1:4" ht="30">
      <c r="A9535" s="47">
        <v>36143</v>
      </c>
      <c r="B9535" s="48" t="s">
        <v>8462</v>
      </c>
      <c r="C9535" s="47" t="s">
        <v>65</v>
      </c>
      <c r="D9535" s="332">
        <v>20.25</v>
      </c>
    </row>
    <row r="9536" spans="1:4" ht="30">
      <c r="A9536" s="28">
        <v>36142</v>
      </c>
      <c r="B9536" s="26" t="s">
        <v>8463</v>
      </c>
      <c r="C9536" s="28" t="s">
        <v>65</v>
      </c>
      <c r="D9536" s="329">
        <v>1.48</v>
      </c>
    </row>
    <row r="9537" spans="1:4">
      <c r="A9537" s="47">
        <v>36146</v>
      </c>
      <c r="B9537" s="48" t="s">
        <v>230</v>
      </c>
      <c r="C9537" s="47" t="s">
        <v>65</v>
      </c>
      <c r="D9537" s="332">
        <v>167.96</v>
      </c>
    </row>
    <row r="9538" spans="1:4">
      <c r="A9538" s="28">
        <v>38377</v>
      </c>
      <c r="B9538" s="26" t="s">
        <v>8464</v>
      </c>
      <c r="C9538" s="28" t="s">
        <v>65</v>
      </c>
      <c r="D9538" s="329">
        <v>19.989999999999998</v>
      </c>
    </row>
    <row r="9539" spans="1:4">
      <c r="A9539" s="47">
        <v>38376</v>
      </c>
      <c r="B9539" s="48" t="s">
        <v>8465</v>
      </c>
      <c r="C9539" s="47" t="s">
        <v>65</v>
      </c>
      <c r="D9539" s="332">
        <v>22.79</v>
      </c>
    </row>
    <row r="9540" spans="1:4">
      <c r="A9540" s="28">
        <v>38116</v>
      </c>
      <c r="B9540" s="26" t="s">
        <v>11510</v>
      </c>
      <c r="C9540" s="28" t="s">
        <v>65</v>
      </c>
      <c r="D9540" s="329">
        <v>4.7</v>
      </c>
    </row>
    <row r="9541" spans="1:4" ht="30">
      <c r="A9541" s="47">
        <v>38066</v>
      </c>
      <c r="B9541" s="48" t="s">
        <v>11511</v>
      </c>
      <c r="C9541" s="47" t="s">
        <v>65</v>
      </c>
      <c r="D9541" s="332">
        <v>7.75</v>
      </c>
    </row>
    <row r="9542" spans="1:4">
      <c r="A9542" s="28">
        <v>38117</v>
      </c>
      <c r="B9542" s="26" t="s">
        <v>11512</v>
      </c>
      <c r="C9542" s="28" t="s">
        <v>65</v>
      </c>
      <c r="D9542" s="329">
        <v>8</v>
      </c>
    </row>
    <row r="9543" spans="1:4" ht="30">
      <c r="A9543" s="47">
        <v>38067</v>
      </c>
      <c r="B9543" s="48" t="s">
        <v>11513</v>
      </c>
      <c r="C9543" s="47" t="s">
        <v>65</v>
      </c>
      <c r="D9543" s="332">
        <v>10.92</v>
      </c>
    </row>
    <row r="9544" spans="1:4" ht="43.5" customHeight="1">
      <c r="A9544" s="28">
        <v>41757</v>
      </c>
      <c r="B9544" s="26" t="s">
        <v>8466</v>
      </c>
      <c r="C9544" s="28" t="s">
        <v>65</v>
      </c>
      <c r="D9544" s="329">
        <v>8940.93</v>
      </c>
    </row>
    <row r="9545" spans="1:4" ht="30">
      <c r="A9545" s="47">
        <v>5080</v>
      </c>
      <c r="B9545" s="48" t="s">
        <v>8473</v>
      </c>
      <c r="C9545" s="47" t="s">
        <v>65</v>
      </c>
      <c r="D9545" s="332">
        <v>9.07</v>
      </c>
    </row>
    <row r="9546" spans="1:4" ht="45">
      <c r="A9546" s="28">
        <v>11522</v>
      </c>
      <c r="B9546" s="26" t="s">
        <v>8474</v>
      </c>
      <c r="C9546" s="28" t="s">
        <v>65</v>
      </c>
      <c r="D9546" s="329">
        <v>11.34</v>
      </c>
    </row>
    <row r="9547" spans="1:4" ht="45">
      <c r="A9547" s="47">
        <v>11523</v>
      </c>
      <c r="B9547" s="48" t="s">
        <v>8475</v>
      </c>
      <c r="C9547" s="47" t="s">
        <v>65</v>
      </c>
      <c r="D9547" s="332">
        <v>10.62</v>
      </c>
    </row>
    <row r="9548" spans="1:4" ht="30">
      <c r="A9548" s="28">
        <v>11524</v>
      </c>
      <c r="B9548" s="26" t="s">
        <v>8476</v>
      </c>
      <c r="C9548" s="28" t="s">
        <v>65</v>
      </c>
      <c r="D9548" s="329">
        <v>21.86</v>
      </c>
    </row>
    <row r="9549" spans="1:4" ht="30">
      <c r="A9549" s="47">
        <v>38168</v>
      </c>
      <c r="B9549" s="48" t="s">
        <v>8477</v>
      </c>
      <c r="C9549" s="47" t="s">
        <v>65</v>
      </c>
      <c r="D9549" s="332">
        <v>105.52</v>
      </c>
    </row>
    <row r="9550" spans="1:4" ht="30">
      <c r="A9550" s="28">
        <v>13393</v>
      </c>
      <c r="B9550" s="26" t="s">
        <v>8478</v>
      </c>
      <c r="C9550" s="28" t="s">
        <v>65</v>
      </c>
      <c r="D9550" s="329">
        <v>152.94999999999999</v>
      </c>
    </row>
    <row r="9551" spans="1:4" ht="30">
      <c r="A9551" s="47">
        <v>13395</v>
      </c>
      <c r="B9551" s="48" t="s">
        <v>8479</v>
      </c>
      <c r="C9551" s="47" t="s">
        <v>65</v>
      </c>
      <c r="D9551" s="332">
        <v>183.4</v>
      </c>
    </row>
    <row r="9552" spans="1:4" ht="30">
      <c r="A9552" s="28">
        <v>12039</v>
      </c>
      <c r="B9552" s="26" t="s">
        <v>8480</v>
      </c>
      <c r="C9552" s="28" t="s">
        <v>65</v>
      </c>
      <c r="D9552" s="329">
        <v>245.41</v>
      </c>
    </row>
    <row r="9553" spans="1:4" ht="30">
      <c r="A9553" s="47">
        <v>13396</v>
      </c>
      <c r="B9553" s="48" t="s">
        <v>8481</v>
      </c>
      <c r="C9553" s="47" t="s">
        <v>65</v>
      </c>
      <c r="D9553" s="332">
        <v>392.51</v>
      </c>
    </row>
    <row r="9554" spans="1:4" ht="30">
      <c r="A9554" s="28">
        <v>13397</v>
      </c>
      <c r="B9554" s="26" t="s">
        <v>8482</v>
      </c>
      <c r="C9554" s="28" t="s">
        <v>65</v>
      </c>
      <c r="D9554" s="329">
        <v>396.73</v>
      </c>
    </row>
    <row r="9555" spans="1:4" ht="30">
      <c r="A9555" s="47">
        <v>12041</v>
      </c>
      <c r="B9555" s="48" t="s">
        <v>8483</v>
      </c>
      <c r="C9555" s="47" t="s">
        <v>65</v>
      </c>
      <c r="D9555" s="332">
        <v>536.89</v>
      </c>
    </row>
    <row r="9556" spans="1:4" ht="30">
      <c r="A9556" s="28">
        <v>12043</v>
      </c>
      <c r="B9556" s="26" t="s">
        <v>8484</v>
      </c>
      <c r="C9556" s="28" t="s">
        <v>65</v>
      </c>
      <c r="D9556" s="329">
        <v>619.08000000000004</v>
      </c>
    </row>
    <row r="9557" spans="1:4" ht="30">
      <c r="A9557" s="47">
        <v>39762</v>
      </c>
      <c r="B9557" s="48" t="s">
        <v>8485</v>
      </c>
      <c r="C9557" s="47" t="s">
        <v>65</v>
      </c>
      <c r="D9557" s="332">
        <v>418.26</v>
      </c>
    </row>
    <row r="9558" spans="1:4" ht="30">
      <c r="A9558" s="28">
        <v>12042</v>
      </c>
      <c r="B9558" s="26" t="s">
        <v>8486</v>
      </c>
      <c r="C9558" s="28" t="s">
        <v>65</v>
      </c>
      <c r="D9558" s="329">
        <v>418.36</v>
      </c>
    </row>
    <row r="9559" spans="1:4" ht="30">
      <c r="A9559" s="47">
        <v>39763</v>
      </c>
      <c r="B9559" s="48" t="s">
        <v>8487</v>
      </c>
      <c r="C9559" s="47" t="s">
        <v>65</v>
      </c>
      <c r="D9559" s="332">
        <v>631.24</v>
      </c>
    </row>
    <row r="9560" spans="1:4" ht="30">
      <c r="A9560" s="28">
        <v>39756</v>
      </c>
      <c r="B9560" s="26" t="s">
        <v>8488</v>
      </c>
      <c r="C9560" s="28" t="s">
        <v>65</v>
      </c>
      <c r="D9560" s="329">
        <v>191.38</v>
      </c>
    </row>
    <row r="9561" spans="1:4" ht="30">
      <c r="A9561" s="47">
        <v>12038</v>
      </c>
      <c r="B9561" s="48" t="s">
        <v>8489</v>
      </c>
      <c r="C9561" s="47" t="s">
        <v>65</v>
      </c>
      <c r="D9561" s="332">
        <v>213.66</v>
      </c>
    </row>
    <row r="9562" spans="1:4" ht="30">
      <c r="A9562" s="28">
        <v>12040</v>
      </c>
      <c r="B9562" s="26" t="s">
        <v>8490</v>
      </c>
      <c r="C9562" s="28" t="s">
        <v>65</v>
      </c>
      <c r="D9562" s="329">
        <v>272.99</v>
      </c>
    </row>
    <row r="9563" spans="1:4" ht="30">
      <c r="A9563" s="47">
        <v>39757</v>
      </c>
      <c r="B9563" s="48" t="s">
        <v>8491</v>
      </c>
      <c r="C9563" s="47" t="s">
        <v>65</v>
      </c>
      <c r="D9563" s="332">
        <v>291.91000000000003</v>
      </c>
    </row>
    <row r="9564" spans="1:4" ht="30">
      <c r="A9564" s="28">
        <v>39758</v>
      </c>
      <c r="B9564" s="26" t="s">
        <v>8492</v>
      </c>
      <c r="C9564" s="28" t="s">
        <v>65</v>
      </c>
      <c r="D9564" s="329">
        <v>378.91</v>
      </c>
    </row>
    <row r="9565" spans="1:4" ht="30">
      <c r="A9565" s="47">
        <v>39759</v>
      </c>
      <c r="B9565" s="48" t="s">
        <v>8493</v>
      </c>
      <c r="C9565" s="47" t="s">
        <v>65</v>
      </c>
      <c r="D9565" s="332">
        <v>517.71</v>
      </c>
    </row>
    <row r="9566" spans="1:4" ht="30">
      <c r="A9566" s="28">
        <v>39760</v>
      </c>
      <c r="B9566" s="26" t="s">
        <v>8494</v>
      </c>
      <c r="C9566" s="28" t="s">
        <v>65</v>
      </c>
      <c r="D9566" s="329">
        <v>520.08000000000004</v>
      </c>
    </row>
    <row r="9567" spans="1:4" ht="30">
      <c r="A9567" s="47">
        <v>39761</v>
      </c>
      <c r="B9567" s="48" t="s">
        <v>8495</v>
      </c>
      <c r="C9567" s="47" t="s">
        <v>65</v>
      </c>
      <c r="D9567" s="332">
        <v>665.63</v>
      </c>
    </row>
    <row r="9568" spans="1:4" ht="30">
      <c r="A9568" s="28">
        <v>39765</v>
      </c>
      <c r="B9568" s="26" t="s">
        <v>8508</v>
      </c>
      <c r="C9568" s="28" t="s">
        <v>65</v>
      </c>
      <c r="D9568" s="329">
        <v>29.55</v>
      </c>
    </row>
    <row r="9569" spans="1:4" ht="30">
      <c r="A9569" s="47">
        <v>13399</v>
      </c>
      <c r="B9569" s="48" t="s">
        <v>8509</v>
      </c>
      <c r="C9569" s="47" t="s">
        <v>65</v>
      </c>
      <c r="D9569" s="332">
        <v>16.8</v>
      </c>
    </row>
    <row r="9570" spans="1:4" ht="30">
      <c r="A9570" s="28">
        <v>39764</v>
      </c>
      <c r="B9570" s="26" t="s">
        <v>8510</v>
      </c>
      <c r="C9570" s="28" t="s">
        <v>65</v>
      </c>
      <c r="D9570" s="329">
        <v>23.11</v>
      </c>
    </row>
    <row r="9571" spans="1:4">
      <c r="A9571" s="47">
        <v>4224</v>
      </c>
      <c r="B9571" s="48" t="s">
        <v>231</v>
      </c>
      <c r="C9571" s="47" t="s">
        <v>91</v>
      </c>
      <c r="D9571" s="332">
        <v>9.94</v>
      </c>
    </row>
    <row r="9572" spans="1:4">
      <c r="A9572" s="28">
        <v>21059</v>
      </c>
      <c r="B9572" s="26" t="s">
        <v>8516</v>
      </c>
      <c r="C9572" s="28" t="s">
        <v>65</v>
      </c>
      <c r="D9572" s="329">
        <v>32.619999999999997</v>
      </c>
    </row>
    <row r="9573" spans="1:4">
      <c r="A9573" s="47">
        <v>11234</v>
      </c>
      <c r="B9573" s="48" t="s">
        <v>8517</v>
      </c>
      <c r="C9573" s="47" t="s">
        <v>65</v>
      </c>
      <c r="D9573" s="332">
        <v>49.17</v>
      </c>
    </row>
    <row r="9574" spans="1:4">
      <c r="A9574" s="28">
        <v>21060</v>
      </c>
      <c r="B9574" s="26" t="s">
        <v>8518</v>
      </c>
      <c r="C9574" s="28" t="s">
        <v>65</v>
      </c>
      <c r="D9574" s="329">
        <v>60.52</v>
      </c>
    </row>
    <row r="9575" spans="1:4">
      <c r="A9575" s="47">
        <v>21061</v>
      </c>
      <c r="B9575" s="48" t="s">
        <v>8519</v>
      </c>
      <c r="C9575" s="47" t="s">
        <v>65</v>
      </c>
      <c r="D9575" s="332">
        <v>75.650000000000006</v>
      </c>
    </row>
    <row r="9576" spans="1:4">
      <c r="A9576" s="28">
        <v>21062</v>
      </c>
      <c r="B9576" s="26" t="s">
        <v>8520</v>
      </c>
      <c r="C9576" s="28" t="s">
        <v>65</v>
      </c>
      <c r="D9576" s="329">
        <v>119.16</v>
      </c>
    </row>
    <row r="9577" spans="1:4">
      <c r="A9577" s="47">
        <v>11708</v>
      </c>
      <c r="B9577" s="48" t="s">
        <v>8521</v>
      </c>
      <c r="C9577" s="47" t="s">
        <v>65</v>
      </c>
      <c r="D9577" s="332">
        <v>13</v>
      </c>
    </row>
    <row r="9578" spans="1:4">
      <c r="A9578" s="28">
        <v>11709</v>
      </c>
      <c r="B9578" s="26" t="s">
        <v>8522</v>
      </c>
      <c r="C9578" s="28" t="s">
        <v>65</v>
      </c>
      <c r="D9578" s="329">
        <v>30.54</v>
      </c>
    </row>
    <row r="9579" spans="1:4">
      <c r="A9579" s="47">
        <v>11710</v>
      </c>
      <c r="B9579" s="48" t="s">
        <v>8523</v>
      </c>
      <c r="C9579" s="47" t="s">
        <v>65</v>
      </c>
      <c r="D9579" s="332">
        <v>70.22</v>
      </c>
    </row>
    <row r="9580" spans="1:4">
      <c r="A9580" s="28">
        <v>11707</v>
      </c>
      <c r="B9580" s="26" t="s">
        <v>8524</v>
      </c>
      <c r="C9580" s="28" t="s">
        <v>65</v>
      </c>
      <c r="D9580" s="329">
        <v>9.74</v>
      </c>
    </row>
    <row r="9581" spans="1:4">
      <c r="A9581" s="47">
        <v>11739</v>
      </c>
      <c r="B9581" s="48" t="s">
        <v>8525</v>
      </c>
      <c r="C9581" s="47" t="s">
        <v>65</v>
      </c>
      <c r="D9581" s="332">
        <v>4.5</v>
      </c>
    </row>
    <row r="9582" spans="1:4">
      <c r="A9582" s="28">
        <v>11711</v>
      </c>
      <c r="B9582" s="26" t="s">
        <v>8526</v>
      </c>
      <c r="C9582" s="28" t="s">
        <v>65</v>
      </c>
      <c r="D9582" s="329">
        <v>6.58</v>
      </c>
    </row>
    <row r="9583" spans="1:4">
      <c r="A9583" s="47">
        <v>5102</v>
      </c>
      <c r="B9583" s="48" t="s">
        <v>8527</v>
      </c>
      <c r="C9583" s="47" t="s">
        <v>65</v>
      </c>
      <c r="D9583" s="332">
        <v>6.37</v>
      </c>
    </row>
    <row r="9584" spans="1:4">
      <c r="A9584" s="28">
        <v>11741</v>
      </c>
      <c r="B9584" s="26" t="s">
        <v>8529</v>
      </c>
      <c r="C9584" s="28" t="s">
        <v>65</v>
      </c>
      <c r="D9584" s="329">
        <v>4.6399999999999997</v>
      </c>
    </row>
    <row r="9585" spans="1:4">
      <c r="A9585" s="47">
        <v>11743</v>
      </c>
      <c r="B9585" s="48" t="s">
        <v>8530</v>
      </c>
      <c r="C9585" s="47" t="s">
        <v>65</v>
      </c>
      <c r="D9585" s="332">
        <v>4.21</v>
      </c>
    </row>
    <row r="9586" spans="1:4">
      <c r="A9586" s="28">
        <v>11745</v>
      </c>
      <c r="B9586" s="26" t="s">
        <v>8531</v>
      </c>
      <c r="C9586" s="28" t="s">
        <v>65</v>
      </c>
      <c r="D9586" s="329">
        <v>5.98</v>
      </c>
    </row>
    <row r="9587" spans="1:4">
      <c r="A9587" s="47">
        <v>25961</v>
      </c>
      <c r="B9587" s="48" t="s">
        <v>232</v>
      </c>
      <c r="C9587" s="47" t="s">
        <v>57</v>
      </c>
      <c r="D9587" s="332">
        <v>10.18</v>
      </c>
    </row>
    <row r="9588" spans="1:4">
      <c r="A9588" s="28">
        <v>40985</v>
      </c>
      <c r="B9588" s="26" t="s">
        <v>8541</v>
      </c>
      <c r="C9588" s="28" t="s">
        <v>1643</v>
      </c>
      <c r="D9588" s="329">
        <v>1791.31</v>
      </c>
    </row>
    <row r="9589" spans="1:4">
      <c r="A9589" s="47">
        <v>1082</v>
      </c>
      <c r="B9589" s="48" t="s">
        <v>8571</v>
      </c>
      <c r="C9589" s="47" t="s">
        <v>65</v>
      </c>
      <c r="D9589" s="332">
        <v>96.99</v>
      </c>
    </row>
    <row r="9590" spans="1:4">
      <c r="A9590" s="28">
        <v>12316</v>
      </c>
      <c r="B9590" s="26" t="s">
        <v>8568</v>
      </c>
      <c r="C9590" s="28" t="s">
        <v>65</v>
      </c>
      <c r="D9590" s="329">
        <v>44.45</v>
      </c>
    </row>
    <row r="9591" spans="1:4">
      <c r="A9591" s="47">
        <v>12317</v>
      </c>
      <c r="B9591" s="48" t="s">
        <v>8569</v>
      </c>
      <c r="C9591" s="47" t="s">
        <v>65</v>
      </c>
      <c r="D9591" s="332">
        <v>53.01</v>
      </c>
    </row>
    <row r="9592" spans="1:4">
      <c r="A9592" s="28">
        <v>12318</v>
      </c>
      <c r="B9592" s="26" t="s">
        <v>8570</v>
      </c>
      <c r="C9592" s="28" t="s">
        <v>65</v>
      </c>
      <c r="D9592" s="329">
        <v>61.07</v>
      </c>
    </row>
    <row r="9593" spans="1:4">
      <c r="A9593" s="47">
        <v>1088</v>
      </c>
      <c r="B9593" s="48" t="s">
        <v>8579</v>
      </c>
      <c r="C9593" s="47" t="s">
        <v>65</v>
      </c>
      <c r="D9593" s="332">
        <v>18.89</v>
      </c>
    </row>
    <row r="9594" spans="1:4">
      <c r="A9594" s="28">
        <v>1087</v>
      </c>
      <c r="B9594" s="26" t="s">
        <v>8580</v>
      </c>
      <c r="C9594" s="28" t="s">
        <v>65</v>
      </c>
      <c r="D9594" s="329">
        <v>18.89</v>
      </c>
    </row>
    <row r="9595" spans="1:4">
      <c r="A9595" s="47">
        <v>1086</v>
      </c>
      <c r="B9595" s="48" t="s">
        <v>8581</v>
      </c>
      <c r="C9595" s="47" t="s">
        <v>65</v>
      </c>
      <c r="D9595" s="332">
        <v>25.79</v>
      </c>
    </row>
    <row r="9596" spans="1:4">
      <c r="A9596" s="28">
        <v>1079</v>
      </c>
      <c r="B9596" s="26" t="s">
        <v>8582</v>
      </c>
      <c r="C9596" s="28" t="s">
        <v>65</v>
      </c>
      <c r="D9596" s="329">
        <v>28.52</v>
      </c>
    </row>
    <row r="9597" spans="1:4">
      <c r="A9597" s="47">
        <v>5104</v>
      </c>
      <c r="B9597" s="48" t="s">
        <v>8583</v>
      </c>
      <c r="C9597" s="47" t="s">
        <v>90</v>
      </c>
      <c r="D9597" s="332">
        <v>52.2</v>
      </c>
    </row>
    <row r="9598" spans="1:4">
      <c r="A9598" s="28">
        <v>26023</v>
      </c>
      <c r="B9598" s="26" t="s">
        <v>8584</v>
      </c>
      <c r="C9598" s="28" t="s">
        <v>65</v>
      </c>
      <c r="D9598" s="329">
        <v>48.76</v>
      </c>
    </row>
    <row r="9599" spans="1:4">
      <c r="A9599" s="47">
        <v>2710</v>
      </c>
      <c r="B9599" s="48" t="s">
        <v>8585</v>
      </c>
      <c r="C9599" s="47" t="s">
        <v>65</v>
      </c>
      <c r="D9599" s="332">
        <v>38.94</v>
      </c>
    </row>
    <row r="9600" spans="1:4" ht="30">
      <c r="A9600" s="28">
        <v>14575</v>
      </c>
      <c r="B9600" s="26" t="s">
        <v>8586</v>
      </c>
      <c r="C9600" s="28" t="s">
        <v>65</v>
      </c>
      <c r="D9600" s="329">
        <v>2136096.87</v>
      </c>
    </row>
    <row r="9601" spans="1:4">
      <c r="A9601" s="47">
        <v>20033</v>
      </c>
      <c r="B9601" s="48" t="s">
        <v>8608</v>
      </c>
      <c r="C9601" s="47" t="s">
        <v>65</v>
      </c>
      <c r="D9601" s="332">
        <v>19.010000000000002</v>
      </c>
    </row>
    <row r="9602" spans="1:4">
      <c r="A9602" s="28">
        <v>20034</v>
      </c>
      <c r="B9602" s="26" t="s">
        <v>8609</v>
      </c>
      <c r="C9602" s="28" t="s">
        <v>65</v>
      </c>
      <c r="D9602" s="329">
        <v>31.15</v>
      </c>
    </row>
    <row r="9603" spans="1:4">
      <c r="A9603" s="47">
        <v>20035</v>
      </c>
      <c r="B9603" s="48" t="s">
        <v>8610</v>
      </c>
      <c r="C9603" s="47" t="s">
        <v>65</v>
      </c>
      <c r="D9603" s="332">
        <v>34.68</v>
      </c>
    </row>
    <row r="9604" spans="1:4">
      <c r="A9604" s="28">
        <v>20036</v>
      </c>
      <c r="B9604" s="26" t="s">
        <v>8611</v>
      </c>
      <c r="C9604" s="28" t="s">
        <v>65</v>
      </c>
      <c r="D9604" s="329">
        <v>50.15</v>
      </c>
    </row>
    <row r="9605" spans="1:4">
      <c r="A9605" s="47">
        <v>20037</v>
      </c>
      <c r="B9605" s="48" t="s">
        <v>8612</v>
      </c>
      <c r="C9605" s="47" t="s">
        <v>65</v>
      </c>
      <c r="D9605" s="332">
        <v>102.31</v>
      </c>
    </row>
    <row r="9606" spans="1:4">
      <c r="A9606" s="28">
        <v>20038</v>
      </c>
      <c r="B9606" s="26" t="s">
        <v>8613</v>
      </c>
      <c r="C9606" s="28" t="s">
        <v>65</v>
      </c>
      <c r="D9606" s="329">
        <v>188.78</v>
      </c>
    </row>
    <row r="9607" spans="1:4">
      <c r="A9607" s="47">
        <v>20039</v>
      </c>
      <c r="B9607" s="48" t="s">
        <v>8614</v>
      </c>
      <c r="C9607" s="47" t="s">
        <v>65</v>
      </c>
      <c r="D9607" s="332">
        <v>266.66000000000003</v>
      </c>
    </row>
    <row r="9608" spans="1:4">
      <c r="A9608" s="28">
        <v>20040</v>
      </c>
      <c r="B9608" s="26" t="s">
        <v>8615</v>
      </c>
      <c r="C9608" s="28" t="s">
        <v>65</v>
      </c>
      <c r="D9608" s="329">
        <v>340.09</v>
      </c>
    </row>
    <row r="9609" spans="1:4">
      <c r="A9609" s="47">
        <v>20041</v>
      </c>
      <c r="B9609" s="48" t="s">
        <v>8616</v>
      </c>
      <c r="C9609" s="47" t="s">
        <v>65</v>
      </c>
      <c r="D9609" s="332">
        <v>343.26</v>
      </c>
    </row>
    <row r="9610" spans="1:4">
      <c r="A9610" s="28">
        <v>20043</v>
      </c>
      <c r="B9610" s="26" t="s">
        <v>8617</v>
      </c>
      <c r="C9610" s="28" t="s">
        <v>65</v>
      </c>
      <c r="D9610" s="329">
        <v>1.88</v>
      </c>
    </row>
    <row r="9611" spans="1:4">
      <c r="A9611" s="47">
        <v>20044</v>
      </c>
      <c r="B9611" s="48" t="s">
        <v>8618</v>
      </c>
      <c r="C9611" s="47" t="s">
        <v>65</v>
      </c>
      <c r="D9611" s="332">
        <v>2.29</v>
      </c>
    </row>
    <row r="9612" spans="1:4">
      <c r="A9612" s="28">
        <v>20042</v>
      </c>
      <c r="B9612" s="26" t="s">
        <v>8619</v>
      </c>
      <c r="C9612" s="28" t="s">
        <v>65</v>
      </c>
      <c r="D9612" s="329">
        <v>1.72</v>
      </c>
    </row>
    <row r="9613" spans="1:4">
      <c r="A9613" s="47">
        <v>20046</v>
      </c>
      <c r="B9613" s="48" t="s">
        <v>8620</v>
      </c>
      <c r="C9613" s="47" t="s">
        <v>65</v>
      </c>
      <c r="D9613" s="332">
        <v>14.5</v>
      </c>
    </row>
    <row r="9614" spans="1:4">
      <c r="A9614" s="28">
        <v>20047</v>
      </c>
      <c r="B9614" s="26" t="s">
        <v>8621</v>
      </c>
      <c r="C9614" s="28" t="s">
        <v>65</v>
      </c>
      <c r="D9614" s="329">
        <v>41.98</v>
      </c>
    </row>
    <row r="9615" spans="1:4">
      <c r="A9615" s="47">
        <v>20045</v>
      </c>
      <c r="B9615" s="48" t="s">
        <v>8622</v>
      </c>
      <c r="C9615" s="47" t="s">
        <v>65</v>
      </c>
      <c r="D9615" s="332">
        <v>6.87</v>
      </c>
    </row>
    <row r="9616" spans="1:4" ht="30">
      <c r="A9616" s="28">
        <v>20972</v>
      </c>
      <c r="B9616" s="26" t="s">
        <v>8628</v>
      </c>
      <c r="C9616" s="28" t="s">
        <v>65</v>
      </c>
      <c r="D9616" s="329">
        <v>93.47</v>
      </c>
    </row>
    <row r="9617" spans="1:4">
      <c r="A9617" s="47">
        <v>20032</v>
      </c>
      <c r="B9617" s="48" t="s">
        <v>8629</v>
      </c>
      <c r="C9617" s="47" t="s">
        <v>65</v>
      </c>
      <c r="D9617" s="332">
        <v>21.29</v>
      </c>
    </row>
    <row r="9618" spans="1:4">
      <c r="A9618" s="28">
        <v>11321</v>
      </c>
      <c r="B9618" s="26" t="s">
        <v>8630</v>
      </c>
      <c r="C9618" s="28" t="s">
        <v>65</v>
      </c>
      <c r="D9618" s="329">
        <v>18.66</v>
      </c>
    </row>
    <row r="9619" spans="1:4">
      <c r="A9619" s="47">
        <v>11323</v>
      </c>
      <c r="B9619" s="48" t="s">
        <v>8631</v>
      </c>
      <c r="C9619" s="47" t="s">
        <v>65</v>
      </c>
      <c r="D9619" s="332">
        <v>22.3</v>
      </c>
    </row>
    <row r="9620" spans="1:4">
      <c r="A9620" s="28">
        <v>20327</v>
      </c>
      <c r="B9620" s="26" t="s">
        <v>8632</v>
      </c>
      <c r="C9620" s="28" t="s">
        <v>65</v>
      </c>
      <c r="D9620" s="329">
        <v>13.19</v>
      </c>
    </row>
    <row r="9621" spans="1:4">
      <c r="A9621" s="47">
        <v>25966</v>
      </c>
      <c r="B9621" s="48" t="s">
        <v>233</v>
      </c>
      <c r="C9621" s="47" t="s">
        <v>91</v>
      </c>
      <c r="D9621" s="332">
        <v>12.7</v>
      </c>
    </row>
    <row r="9622" spans="1:4" ht="45">
      <c r="A9622" s="28">
        <v>13390</v>
      </c>
      <c r="B9622" s="26" t="s">
        <v>8633</v>
      </c>
      <c r="C9622" s="28" t="s">
        <v>65</v>
      </c>
      <c r="D9622" s="329">
        <v>56.1</v>
      </c>
    </row>
    <row r="9623" spans="1:4">
      <c r="A9623" s="47">
        <v>6034</v>
      </c>
      <c r="B9623" s="48" t="s">
        <v>8636</v>
      </c>
      <c r="C9623" s="47" t="s">
        <v>65</v>
      </c>
      <c r="D9623" s="332">
        <v>7.97</v>
      </c>
    </row>
    <row r="9624" spans="1:4">
      <c r="A9624" s="28">
        <v>6036</v>
      </c>
      <c r="B9624" s="26" t="s">
        <v>8638</v>
      </c>
      <c r="C9624" s="28" t="s">
        <v>65</v>
      </c>
      <c r="D9624" s="329">
        <v>10.86</v>
      </c>
    </row>
    <row r="9625" spans="1:4">
      <c r="A9625" s="47">
        <v>6031</v>
      </c>
      <c r="B9625" s="48" t="s">
        <v>8639</v>
      </c>
      <c r="C9625" s="47" t="s">
        <v>65</v>
      </c>
      <c r="D9625" s="332">
        <v>12.76</v>
      </c>
    </row>
    <row r="9626" spans="1:4">
      <c r="A9626" s="28">
        <v>6029</v>
      </c>
      <c r="B9626" s="26" t="s">
        <v>11514</v>
      </c>
      <c r="C9626" s="28" t="s">
        <v>65</v>
      </c>
      <c r="D9626" s="329">
        <v>12.9</v>
      </c>
    </row>
    <row r="9627" spans="1:4">
      <c r="A9627" s="47">
        <v>6033</v>
      </c>
      <c r="B9627" s="48" t="s">
        <v>11515</v>
      </c>
      <c r="C9627" s="47" t="s">
        <v>65</v>
      </c>
      <c r="D9627" s="332">
        <v>17</v>
      </c>
    </row>
    <row r="9628" spans="1:4">
      <c r="A9628" s="28">
        <v>11672</v>
      </c>
      <c r="B9628" s="26" t="s">
        <v>8640</v>
      </c>
      <c r="C9628" s="28" t="s">
        <v>65</v>
      </c>
      <c r="D9628" s="329">
        <v>36.979999999999997</v>
      </c>
    </row>
    <row r="9629" spans="1:4">
      <c r="A9629" s="47">
        <v>11669</v>
      </c>
      <c r="B9629" s="48" t="s">
        <v>8641</v>
      </c>
      <c r="C9629" s="47" t="s">
        <v>65</v>
      </c>
      <c r="D9629" s="332">
        <v>35.22</v>
      </c>
    </row>
    <row r="9630" spans="1:4">
      <c r="A9630" s="28">
        <v>11670</v>
      </c>
      <c r="B9630" s="26" t="s">
        <v>8643</v>
      </c>
      <c r="C9630" s="28" t="s">
        <v>65</v>
      </c>
      <c r="D9630" s="329">
        <v>13.49</v>
      </c>
    </row>
    <row r="9631" spans="1:4">
      <c r="A9631" s="47">
        <v>20055</v>
      </c>
      <c r="B9631" s="48" t="s">
        <v>8642</v>
      </c>
      <c r="C9631" s="47" t="s">
        <v>65</v>
      </c>
      <c r="D9631" s="332">
        <v>26.37</v>
      </c>
    </row>
    <row r="9632" spans="1:4">
      <c r="A9632" s="28">
        <v>11671</v>
      </c>
      <c r="B9632" s="26" t="s">
        <v>8644</v>
      </c>
      <c r="C9632" s="28" t="s">
        <v>65</v>
      </c>
      <c r="D9632" s="329">
        <v>56.59</v>
      </c>
    </row>
    <row r="9633" spans="1:4">
      <c r="A9633" s="47">
        <v>6032</v>
      </c>
      <c r="B9633" s="48" t="s">
        <v>8645</v>
      </c>
      <c r="C9633" s="47" t="s">
        <v>65</v>
      </c>
      <c r="D9633" s="332">
        <v>16.16</v>
      </c>
    </row>
    <row r="9634" spans="1:4">
      <c r="A9634" s="28">
        <v>11673</v>
      </c>
      <c r="B9634" s="26" t="s">
        <v>8646</v>
      </c>
      <c r="C9634" s="28" t="s">
        <v>65</v>
      </c>
      <c r="D9634" s="329">
        <v>12.73</v>
      </c>
    </row>
    <row r="9635" spans="1:4">
      <c r="A9635" s="47">
        <v>11674</v>
      </c>
      <c r="B9635" s="48" t="s">
        <v>8647</v>
      </c>
      <c r="C9635" s="47" t="s">
        <v>65</v>
      </c>
      <c r="D9635" s="332">
        <v>16.39</v>
      </c>
    </row>
    <row r="9636" spans="1:4">
      <c r="A9636" s="28">
        <v>11675</v>
      </c>
      <c r="B9636" s="26" t="s">
        <v>8648</v>
      </c>
      <c r="C9636" s="28" t="s">
        <v>65</v>
      </c>
      <c r="D9636" s="329">
        <v>26.02</v>
      </c>
    </row>
    <row r="9637" spans="1:4">
      <c r="A9637" s="47">
        <v>11676</v>
      </c>
      <c r="B9637" s="48" t="s">
        <v>8649</v>
      </c>
      <c r="C9637" s="47" t="s">
        <v>65</v>
      </c>
      <c r="D9637" s="332">
        <v>34.81</v>
      </c>
    </row>
    <row r="9638" spans="1:4">
      <c r="A9638" s="28">
        <v>11677</v>
      </c>
      <c r="B9638" s="26" t="s">
        <v>8650</v>
      </c>
      <c r="C9638" s="28" t="s">
        <v>65</v>
      </c>
      <c r="D9638" s="329">
        <v>35.94</v>
      </c>
    </row>
    <row r="9639" spans="1:4">
      <c r="A9639" s="47">
        <v>11678</v>
      </c>
      <c r="B9639" s="48" t="s">
        <v>8651</v>
      </c>
      <c r="C9639" s="47" t="s">
        <v>65</v>
      </c>
      <c r="D9639" s="332">
        <v>65.83</v>
      </c>
    </row>
    <row r="9640" spans="1:4">
      <c r="A9640" s="28">
        <v>6038</v>
      </c>
      <c r="B9640" s="26" t="s">
        <v>8675</v>
      </c>
      <c r="C9640" s="28" t="s">
        <v>65</v>
      </c>
      <c r="D9640" s="329">
        <v>4.17</v>
      </c>
    </row>
    <row r="9641" spans="1:4">
      <c r="A9641" s="47">
        <v>11718</v>
      </c>
      <c r="B9641" s="48" t="s">
        <v>8676</v>
      </c>
      <c r="C9641" s="47" t="s">
        <v>65</v>
      </c>
      <c r="D9641" s="332">
        <v>11.91</v>
      </c>
    </row>
    <row r="9642" spans="1:4">
      <c r="A9642" s="28">
        <v>6037</v>
      </c>
      <c r="B9642" s="26" t="s">
        <v>8677</v>
      </c>
      <c r="C9642" s="28" t="s">
        <v>65</v>
      </c>
      <c r="D9642" s="329">
        <v>8.69</v>
      </c>
    </row>
    <row r="9643" spans="1:4">
      <c r="A9643" s="47">
        <v>11719</v>
      </c>
      <c r="B9643" s="48" t="s">
        <v>8678</v>
      </c>
      <c r="C9643" s="47" t="s">
        <v>65</v>
      </c>
      <c r="D9643" s="332">
        <v>9.66</v>
      </c>
    </row>
    <row r="9644" spans="1:4">
      <c r="A9644" s="28">
        <v>6019</v>
      </c>
      <c r="B9644" s="26" t="s">
        <v>8679</v>
      </c>
      <c r="C9644" s="28" t="s">
        <v>65</v>
      </c>
      <c r="D9644" s="329">
        <v>39.299999999999997</v>
      </c>
    </row>
    <row r="9645" spans="1:4" ht="57.75" customHeight="1">
      <c r="A9645" s="47">
        <v>6010</v>
      </c>
      <c r="B9645" s="48" t="s">
        <v>8680</v>
      </c>
      <c r="C9645" s="47" t="s">
        <v>65</v>
      </c>
      <c r="D9645" s="332">
        <v>67.63</v>
      </c>
    </row>
    <row r="9646" spans="1:4">
      <c r="A9646" s="28">
        <v>6017</v>
      </c>
      <c r="B9646" s="26" t="s">
        <v>8681</v>
      </c>
      <c r="C9646" s="28" t="s">
        <v>65</v>
      </c>
      <c r="D9646" s="329">
        <v>53.57</v>
      </c>
    </row>
    <row r="9647" spans="1:4">
      <c r="A9647" s="47">
        <v>6020</v>
      </c>
      <c r="B9647" s="48" t="s">
        <v>8682</v>
      </c>
      <c r="C9647" s="47" t="s">
        <v>65</v>
      </c>
      <c r="D9647" s="332">
        <v>23.6</v>
      </c>
    </row>
    <row r="9648" spans="1:4">
      <c r="A9648" s="28">
        <v>6028</v>
      </c>
      <c r="B9648" s="26" t="s">
        <v>8683</v>
      </c>
      <c r="C9648" s="28" t="s">
        <v>65</v>
      </c>
      <c r="D9648" s="329">
        <v>94.2</v>
      </c>
    </row>
    <row r="9649" spans="1:4">
      <c r="A9649" s="47">
        <v>6011</v>
      </c>
      <c r="B9649" s="48" t="s">
        <v>8684</v>
      </c>
      <c r="C9649" s="47" t="s">
        <v>65</v>
      </c>
      <c r="D9649" s="332">
        <v>195.36</v>
      </c>
    </row>
    <row r="9650" spans="1:4">
      <c r="A9650" s="28">
        <v>6012</v>
      </c>
      <c r="B9650" s="26" t="s">
        <v>8685</v>
      </c>
      <c r="C9650" s="28" t="s">
        <v>65</v>
      </c>
      <c r="D9650" s="329">
        <v>361.23</v>
      </c>
    </row>
    <row r="9651" spans="1:4">
      <c r="A9651" s="47">
        <v>6016</v>
      </c>
      <c r="B9651" s="48" t="s">
        <v>8686</v>
      </c>
      <c r="C9651" s="47" t="s">
        <v>65</v>
      </c>
      <c r="D9651" s="332">
        <v>24.9</v>
      </c>
    </row>
    <row r="9652" spans="1:4">
      <c r="A9652" s="28">
        <v>6027</v>
      </c>
      <c r="B9652" s="26" t="s">
        <v>8687</v>
      </c>
      <c r="C9652" s="28" t="s">
        <v>65</v>
      </c>
      <c r="D9652" s="329">
        <v>615.59</v>
      </c>
    </row>
    <row r="9653" spans="1:4" ht="30">
      <c r="A9653" s="47">
        <v>6013</v>
      </c>
      <c r="B9653" s="48" t="s">
        <v>8688</v>
      </c>
      <c r="C9653" s="47" t="s">
        <v>65</v>
      </c>
      <c r="D9653" s="332">
        <v>74.36</v>
      </c>
    </row>
    <row r="9654" spans="1:4" ht="30">
      <c r="A9654" s="28">
        <v>6015</v>
      </c>
      <c r="B9654" s="26" t="s">
        <v>8689</v>
      </c>
      <c r="C9654" s="28" t="s">
        <v>65</v>
      </c>
      <c r="D9654" s="329">
        <v>108.14</v>
      </c>
    </row>
    <row r="9655" spans="1:4" ht="30">
      <c r="A9655" s="47">
        <v>6014</v>
      </c>
      <c r="B9655" s="48" t="s">
        <v>8690</v>
      </c>
      <c r="C9655" s="47" t="s">
        <v>65</v>
      </c>
      <c r="D9655" s="332">
        <v>103.39</v>
      </c>
    </row>
    <row r="9656" spans="1:4" ht="30">
      <c r="A9656" s="28">
        <v>6006</v>
      </c>
      <c r="B9656" s="26" t="s">
        <v>8691</v>
      </c>
      <c r="C9656" s="28" t="s">
        <v>65</v>
      </c>
      <c r="D9656" s="329">
        <v>53.85</v>
      </c>
    </row>
    <row r="9657" spans="1:4" ht="57.75" customHeight="1">
      <c r="A9657" s="47">
        <v>6005</v>
      </c>
      <c r="B9657" s="48" t="s">
        <v>8692</v>
      </c>
      <c r="C9657" s="47" t="s">
        <v>65</v>
      </c>
      <c r="D9657" s="332">
        <v>60.75</v>
      </c>
    </row>
    <row r="9658" spans="1:4">
      <c r="A9658" s="28">
        <v>11756</v>
      </c>
      <c r="B9658" s="26" t="s">
        <v>8693</v>
      </c>
      <c r="C9658" s="28" t="s">
        <v>65</v>
      </c>
      <c r="D9658" s="329">
        <v>29.01</v>
      </c>
    </row>
    <row r="9659" spans="1:4" ht="30">
      <c r="A9659" s="47">
        <v>10904</v>
      </c>
      <c r="B9659" s="48" t="s">
        <v>8694</v>
      </c>
      <c r="C9659" s="47" t="s">
        <v>65</v>
      </c>
      <c r="D9659" s="332">
        <v>130.87</v>
      </c>
    </row>
    <row r="9660" spans="1:4">
      <c r="A9660" s="28">
        <v>11752</v>
      </c>
      <c r="B9660" s="26" t="s">
        <v>8695</v>
      </c>
      <c r="C9660" s="28" t="s">
        <v>65</v>
      </c>
      <c r="D9660" s="329">
        <v>16.73</v>
      </c>
    </row>
    <row r="9661" spans="1:4">
      <c r="A9661" s="47">
        <v>11753</v>
      </c>
      <c r="B9661" s="48" t="s">
        <v>8696</v>
      </c>
      <c r="C9661" s="47" t="s">
        <v>65</v>
      </c>
      <c r="D9661" s="332">
        <v>19.97</v>
      </c>
    </row>
    <row r="9662" spans="1:4" ht="30">
      <c r="A9662" s="28">
        <v>6021</v>
      </c>
      <c r="B9662" s="26" t="s">
        <v>8697</v>
      </c>
      <c r="C9662" s="28" t="s">
        <v>65</v>
      </c>
      <c r="D9662" s="329">
        <v>55.43</v>
      </c>
    </row>
    <row r="9663" spans="1:4" ht="30">
      <c r="A9663" s="47">
        <v>6024</v>
      </c>
      <c r="B9663" s="48" t="s">
        <v>8698</v>
      </c>
      <c r="C9663" s="47" t="s">
        <v>65</v>
      </c>
      <c r="D9663" s="332">
        <v>57.29</v>
      </c>
    </row>
    <row r="9664" spans="1:4">
      <c r="A9664" s="28">
        <v>38379</v>
      </c>
      <c r="B9664" s="26" t="s">
        <v>8700</v>
      </c>
      <c r="C9664" s="28" t="s">
        <v>71</v>
      </c>
      <c r="D9664" s="329">
        <v>26.74</v>
      </c>
    </row>
    <row r="9665" spans="1:4" ht="30">
      <c r="A9665" s="47">
        <v>13897</v>
      </c>
      <c r="B9665" s="48" t="s">
        <v>8701</v>
      </c>
      <c r="C9665" s="47" t="s">
        <v>65</v>
      </c>
      <c r="D9665" s="332">
        <v>11375.91</v>
      </c>
    </row>
    <row r="9666" spans="1:4">
      <c r="A9666" s="28">
        <v>10640</v>
      </c>
      <c r="B9666" s="26" t="s">
        <v>8702</v>
      </c>
      <c r="C9666" s="28" t="s">
        <v>65</v>
      </c>
      <c r="D9666" s="329">
        <v>24637.83</v>
      </c>
    </row>
    <row r="9667" spans="1:4" ht="30">
      <c r="A9667" s="47">
        <v>11086</v>
      </c>
      <c r="B9667" s="48" t="s">
        <v>8712</v>
      </c>
      <c r="C9667" s="47" t="s">
        <v>255</v>
      </c>
      <c r="D9667" s="332">
        <v>43.4</v>
      </c>
    </row>
    <row r="9668" spans="1:4">
      <c r="A9668" s="28">
        <v>34356</v>
      </c>
      <c r="B9668" s="26" t="s">
        <v>8714</v>
      </c>
      <c r="C9668" s="28" t="s">
        <v>90</v>
      </c>
      <c r="D9668" s="329">
        <v>2.8</v>
      </c>
    </row>
    <row r="9669" spans="1:4">
      <c r="A9669" s="47">
        <v>34357</v>
      </c>
      <c r="B9669" s="48" t="s">
        <v>8715</v>
      </c>
      <c r="C9669" s="47" t="s">
        <v>90</v>
      </c>
      <c r="D9669" s="332">
        <v>3.11</v>
      </c>
    </row>
    <row r="9670" spans="1:4">
      <c r="A9670" s="28">
        <v>37329</v>
      </c>
      <c r="B9670" s="26" t="s">
        <v>8716</v>
      </c>
      <c r="C9670" s="28" t="s">
        <v>90</v>
      </c>
      <c r="D9670" s="329">
        <v>42.91</v>
      </c>
    </row>
    <row r="9671" spans="1:4">
      <c r="A9671" s="47">
        <v>37398</v>
      </c>
      <c r="B9671" s="48" t="s">
        <v>8717</v>
      </c>
      <c r="C9671" s="47" t="s">
        <v>90</v>
      </c>
      <c r="D9671" s="332">
        <v>54.92</v>
      </c>
    </row>
    <row r="9672" spans="1:4">
      <c r="A9672" s="28">
        <v>2510</v>
      </c>
      <c r="B9672" s="26" t="s">
        <v>8718</v>
      </c>
      <c r="C9672" s="28" t="s">
        <v>65</v>
      </c>
      <c r="D9672" s="329">
        <v>25.48</v>
      </c>
    </row>
    <row r="9673" spans="1:4" ht="30">
      <c r="A9673" s="47">
        <v>12359</v>
      </c>
      <c r="B9673" s="48" t="s">
        <v>8720</v>
      </c>
      <c r="C9673" s="47" t="s">
        <v>65</v>
      </c>
      <c r="D9673" s="332">
        <v>65.27</v>
      </c>
    </row>
    <row r="9674" spans="1:4">
      <c r="A9674" s="28">
        <v>5320</v>
      </c>
      <c r="B9674" s="26" t="s">
        <v>8738</v>
      </c>
      <c r="C9674" s="28" t="s">
        <v>91</v>
      </c>
      <c r="D9674" s="329">
        <v>25.41</v>
      </c>
    </row>
    <row r="9675" spans="1:4">
      <c r="A9675" s="47">
        <v>7353</v>
      </c>
      <c r="B9675" s="48" t="s">
        <v>8741</v>
      </c>
      <c r="C9675" s="47" t="s">
        <v>91</v>
      </c>
      <c r="D9675" s="332">
        <v>20.27</v>
      </c>
    </row>
    <row r="9676" spans="1:4">
      <c r="A9676" s="28">
        <v>36144</v>
      </c>
      <c r="B9676" s="26" t="s">
        <v>8742</v>
      </c>
      <c r="C9676" s="28" t="s">
        <v>65</v>
      </c>
      <c r="D9676" s="329">
        <v>1.1000000000000001</v>
      </c>
    </row>
    <row r="9677" spans="1:4">
      <c r="A9677" s="47">
        <v>10518</v>
      </c>
      <c r="B9677" s="48" t="s">
        <v>234</v>
      </c>
      <c r="C9677" s="47" t="s">
        <v>65</v>
      </c>
      <c r="D9677" s="332">
        <v>57.99</v>
      </c>
    </row>
    <row r="9678" spans="1:4" ht="60">
      <c r="A9678" s="28">
        <v>36530</v>
      </c>
      <c r="B9678" s="26" t="s">
        <v>8757</v>
      </c>
      <c r="C9678" s="28" t="s">
        <v>65</v>
      </c>
      <c r="D9678" s="329">
        <v>188999.99</v>
      </c>
    </row>
    <row r="9679" spans="1:4" ht="60">
      <c r="A9679" s="47">
        <v>6046</v>
      </c>
      <c r="B9679" s="48" t="s">
        <v>8758</v>
      </c>
      <c r="C9679" s="47" t="s">
        <v>65</v>
      </c>
      <c r="D9679" s="332">
        <v>205000</v>
      </c>
    </row>
    <row r="9680" spans="1:4" ht="60">
      <c r="A9680" s="28">
        <v>36531</v>
      </c>
      <c r="B9680" s="26" t="s">
        <v>8759</v>
      </c>
      <c r="C9680" s="28" t="s">
        <v>65</v>
      </c>
      <c r="D9680" s="329">
        <v>212499.98</v>
      </c>
    </row>
    <row r="9681" spans="1:4">
      <c r="A9681" s="47">
        <v>34684</v>
      </c>
      <c r="B9681" s="48" t="s">
        <v>8820</v>
      </c>
      <c r="C9681" s="47" t="s">
        <v>256</v>
      </c>
      <c r="D9681" s="332">
        <v>82.78</v>
      </c>
    </row>
    <row r="9682" spans="1:4" ht="30">
      <c r="A9682" s="28">
        <v>34683</v>
      </c>
      <c r="B9682" s="26" t="s">
        <v>8821</v>
      </c>
      <c r="C9682" s="28" t="s">
        <v>256</v>
      </c>
      <c r="D9682" s="329">
        <v>51.73</v>
      </c>
    </row>
    <row r="9683" spans="1:4" ht="30">
      <c r="A9683" s="47">
        <v>533</v>
      </c>
      <c r="B9683" s="48" t="s">
        <v>8849</v>
      </c>
      <c r="C9683" s="47" t="s">
        <v>256</v>
      </c>
      <c r="D9683" s="332">
        <v>12.73</v>
      </c>
    </row>
    <row r="9684" spans="1:4" ht="30">
      <c r="A9684" s="28">
        <v>10515</v>
      </c>
      <c r="B9684" s="26" t="s">
        <v>8850</v>
      </c>
      <c r="C9684" s="28" t="s">
        <v>256</v>
      </c>
      <c r="D9684" s="329">
        <v>32.82</v>
      </c>
    </row>
    <row r="9685" spans="1:4" ht="30">
      <c r="A9685" s="47">
        <v>536</v>
      </c>
      <c r="B9685" s="48" t="s">
        <v>8851</v>
      </c>
      <c r="C9685" s="47" t="s">
        <v>256</v>
      </c>
      <c r="D9685" s="332">
        <v>21.57</v>
      </c>
    </row>
    <row r="9686" spans="1:4" ht="30">
      <c r="A9686" s="28">
        <v>153</v>
      </c>
      <c r="B9686" s="26" t="s">
        <v>8853</v>
      </c>
      <c r="C9686" s="28" t="s">
        <v>91</v>
      </c>
      <c r="D9686" s="329">
        <v>90.44</v>
      </c>
    </row>
    <row r="9687" spans="1:4">
      <c r="A9687" s="47">
        <v>34682</v>
      </c>
      <c r="B9687" s="48" t="s">
        <v>8854</v>
      </c>
      <c r="C9687" s="47" t="s">
        <v>256</v>
      </c>
      <c r="D9687" s="332">
        <v>39.56</v>
      </c>
    </row>
    <row r="9688" spans="1:4" ht="30">
      <c r="A9688" s="28">
        <v>20205</v>
      </c>
      <c r="B9688" s="26" t="s">
        <v>8856</v>
      </c>
      <c r="C9688" s="28" t="s">
        <v>71</v>
      </c>
      <c r="D9688" s="329">
        <v>1.06</v>
      </c>
    </row>
    <row r="9689" spans="1:4" ht="30">
      <c r="A9689" s="47">
        <v>4408</v>
      </c>
      <c r="B9689" s="48" t="s">
        <v>8857</v>
      </c>
      <c r="C9689" s="47" t="s">
        <v>71</v>
      </c>
      <c r="D9689" s="332">
        <v>1.24</v>
      </c>
    </row>
    <row r="9690" spans="1:4" ht="30">
      <c r="A9690" s="28">
        <v>4412</v>
      </c>
      <c r="B9690" s="26" t="s">
        <v>8858</v>
      </c>
      <c r="C9690" s="28" t="s">
        <v>71</v>
      </c>
      <c r="D9690" s="329">
        <v>0.91</v>
      </c>
    </row>
    <row r="9691" spans="1:4">
      <c r="A9691" s="47">
        <v>10559</v>
      </c>
      <c r="B9691" s="48" t="s">
        <v>8859</v>
      </c>
      <c r="C9691" s="47" t="s">
        <v>65</v>
      </c>
      <c r="D9691" s="332">
        <v>2160.4699999999998</v>
      </c>
    </row>
    <row r="9692" spans="1:4">
      <c r="A9692" s="28">
        <v>10664</v>
      </c>
      <c r="B9692" s="26" t="s">
        <v>8860</v>
      </c>
      <c r="C9692" s="28" t="s">
        <v>65</v>
      </c>
      <c r="D9692" s="329">
        <v>5871.69</v>
      </c>
    </row>
    <row r="9693" spans="1:4">
      <c r="A9693" s="47">
        <v>36250</v>
      </c>
      <c r="B9693" s="48" t="s">
        <v>8861</v>
      </c>
      <c r="C9693" s="47" t="s">
        <v>71</v>
      </c>
      <c r="D9693" s="332">
        <v>1.95</v>
      </c>
    </row>
    <row r="9694" spans="1:4">
      <c r="A9694" s="28">
        <v>10857</v>
      </c>
      <c r="B9694" s="26" t="s">
        <v>8862</v>
      </c>
      <c r="C9694" s="28" t="s">
        <v>71</v>
      </c>
      <c r="D9694" s="329">
        <v>8.18</v>
      </c>
    </row>
    <row r="9695" spans="1:4">
      <c r="A9695" s="47">
        <v>4803</v>
      </c>
      <c r="B9695" s="48" t="s">
        <v>8867</v>
      </c>
      <c r="C9695" s="47" t="s">
        <v>71</v>
      </c>
      <c r="D9695" s="332">
        <v>17.39</v>
      </c>
    </row>
    <row r="9696" spans="1:4" ht="30">
      <c r="A9696" s="28">
        <v>6186</v>
      </c>
      <c r="B9696" s="26" t="s">
        <v>8868</v>
      </c>
      <c r="C9696" s="28" t="s">
        <v>71</v>
      </c>
      <c r="D9696" s="329">
        <v>10.55</v>
      </c>
    </row>
    <row r="9697" spans="1:4">
      <c r="A9697" s="47">
        <v>4829</v>
      </c>
      <c r="B9697" s="48" t="s">
        <v>8873</v>
      </c>
      <c r="C9697" s="47" t="s">
        <v>71</v>
      </c>
      <c r="D9697" s="332">
        <v>20.23</v>
      </c>
    </row>
    <row r="9698" spans="1:4" ht="57.75" customHeight="1">
      <c r="A9698" s="28">
        <v>20231</v>
      </c>
      <c r="B9698" s="26" t="s">
        <v>8875</v>
      </c>
      <c r="C9698" s="28" t="s">
        <v>71</v>
      </c>
      <c r="D9698" s="329">
        <v>41.01</v>
      </c>
    </row>
    <row r="9699" spans="1:4" ht="57.75" customHeight="1">
      <c r="A9699" s="47">
        <v>4804</v>
      </c>
      <c r="B9699" s="48" t="s">
        <v>8876</v>
      </c>
      <c r="C9699" s="47" t="s">
        <v>71</v>
      </c>
      <c r="D9699" s="332">
        <v>13.35</v>
      </c>
    </row>
    <row r="9700" spans="1:4">
      <c r="A9700" s="28">
        <v>34680</v>
      </c>
      <c r="B9700" s="26" t="s">
        <v>8877</v>
      </c>
      <c r="C9700" s="28" t="s">
        <v>71</v>
      </c>
      <c r="D9700" s="329">
        <v>12.17</v>
      </c>
    </row>
    <row r="9701" spans="1:4" ht="57.75" customHeight="1">
      <c r="A9701" s="47">
        <v>11573</v>
      </c>
      <c r="B9701" s="48" t="s">
        <v>8880</v>
      </c>
      <c r="C9701" s="47" t="s">
        <v>65</v>
      </c>
      <c r="D9701" s="332">
        <v>5.13</v>
      </c>
    </row>
    <row r="9702" spans="1:4" ht="57.75" customHeight="1">
      <c r="A9702" s="28">
        <v>38401</v>
      </c>
      <c r="B9702" s="26" t="s">
        <v>8881</v>
      </c>
      <c r="C9702" s="28" t="s">
        <v>65</v>
      </c>
      <c r="D9702" s="329">
        <v>7.14</v>
      </c>
    </row>
    <row r="9703" spans="1:4" ht="30">
      <c r="A9703" s="47">
        <v>38179</v>
      </c>
      <c r="B9703" s="48" t="s">
        <v>8882</v>
      </c>
      <c r="C9703" s="47" t="s">
        <v>65</v>
      </c>
      <c r="D9703" s="332">
        <v>22.5</v>
      </c>
    </row>
    <row r="9704" spans="1:4" ht="30">
      <c r="A9704" s="28">
        <v>11575</v>
      </c>
      <c r="B9704" s="26" t="s">
        <v>8883</v>
      </c>
      <c r="C9704" s="28" t="s">
        <v>65</v>
      </c>
      <c r="D9704" s="329">
        <v>24.28</v>
      </c>
    </row>
    <row r="9705" spans="1:4" ht="30">
      <c r="A9705" s="47">
        <v>20256</v>
      </c>
      <c r="B9705" s="48" t="s">
        <v>8884</v>
      </c>
      <c r="C9705" s="47" t="s">
        <v>65</v>
      </c>
      <c r="D9705" s="332">
        <v>0.24</v>
      </c>
    </row>
    <row r="9706" spans="1:4" ht="57.75" customHeight="1">
      <c r="A9706" s="28">
        <v>13470</v>
      </c>
      <c r="B9706" s="26" t="s">
        <v>8885</v>
      </c>
      <c r="C9706" s="28" t="s">
        <v>65</v>
      </c>
      <c r="D9706" s="329">
        <v>352331.9</v>
      </c>
    </row>
    <row r="9707" spans="1:4" ht="57.75" customHeight="1">
      <c r="A9707" s="47">
        <v>14511</v>
      </c>
      <c r="B9707" s="48" t="s">
        <v>8898</v>
      </c>
      <c r="C9707" s="47" t="s">
        <v>65</v>
      </c>
      <c r="D9707" s="332">
        <v>347646.62</v>
      </c>
    </row>
    <row r="9708" spans="1:4" ht="30">
      <c r="A9708" s="28">
        <v>10642</v>
      </c>
      <c r="B9708" s="26" t="s">
        <v>8899</v>
      </c>
      <c r="C9708" s="28" t="s">
        <v>65</v>
      </c>
      <c r="D9708" s="329">
        <v>327500</v>
      </c>
    </row>
    <row r="9709" spans="1:4" ht="57.75" customHeight="1">
      <c r="A9709" s="47">
        <v>6066</v>
      </c>
      <c r="B9709" s="48" t="s">
        <v>8900</v>
      </c>
      <c r="C9709" s="47" t="s">
        <v>65</v>
      </c>
      <c r="D9709" s="332">
        <v>316739.28999999998</v>
      </c>
    </row>
    <row r="9710" spans="1:4" ht="57.75" customHeight="1">
      <c r="A9710" s="28">
        <v>13469</v>
      </c>
      <c r="B9710" s="26" t="s">
        <v>8901</v>
      </c>
      <c r="C9710" s="28" t="s">
        <v>65</v>
      </c>
      <c r="D9710" s="329">
        <v>306884.82</v>
      </c>
    </row>
    <row r="9711" spans="1:4" ht="45">
      <c r="A9711" s="47">
        <v>14489</v>
      </c>
      <c r="B9711" s="48" t="s">
        <v>8908</v>
      </c>
      <c r="C9711" s="47" t="s">
        <v>65</v>
      </c>
      <c r="D9711" s="332">
        <v>290486.40000000002</v>
      </c>
    </row>
    <row r="9712" spans="1:4" ht="30">
      <c r="A9712" s="28">
        <v>14513</v>
      </c>
      <c r="B9712" s="26" t="s">
        <v>8909</v>
      </c>
      <c r="C9712" s="28" t="s">
        <v>65</v>
      </c>
      <c r="D9712" s="329">
        <v>217871.7</v>
      </c>
    </row>
    <row r="9713" spans="1:4" ht="30">
      <c r="A9713" s="47">
        <v>6068</v>
      </c>
      <c r="B9713" s="48" t="s">
        <v>8916</v>
      </c>
      <c r="C9713" s="47" t="s">
        <v>65</v>
      </c>
      <c r="D9713" s="332">
        <v>217834.29</v>
      </c>
    </row>
    <row r="9714" spans="1:4" ht="30">
      <c r="A9714" s="28">
        <v>13467</v>
      </c>
      <c r="B9714" s="26" t="s">
        <v>8917</v>
      </c>
      <c r="C9714" s="28" t="s">
        <v>65</v>
      </c>
      <c r="D9714" s="329">
        <v>299856.93</v>
      </c>
    </row>
    <row r="9715" spans="1:4" ht="45">
      <c r="A9715" s="47">
        <v>13600</v>
      </c>
      <c r="B9715" s="48" t="s">
        <v>8918</v>
      </c>
      <c r="C9715" s="47" t="s">
        <v>65</v>
      </c>
      <c r="D9715" s="332">
        <v>281115.84000000003</v>
      </c>
    </row>
    <row r="9716" spans="1:4" ht="30">
      <c r="A9716" s="28">
        <v>36541</v>
      </c>
      <c r="B9716" s="26" t="s">
        <v>8925</v>
      </c>
      <c r="C9716" s="28" t="s">
        <v>65</v>
      </c>
      <c r="D9716" s="329">
        <v>218801.83</v>
      </c>
    </row>
    <row r="9717" spans="1:4" ht="30">
      <c r="A9717" s="47">
        <v>10646</v>
      </c>
      <c r="B9717" s="48" t="s">
        <v>8926</v>
      </c>
      <c r="C9717" s="47" t="s">
        <v>65</v>
      </c>
      <c r="D9717" s="332">
        <v>209553.13</v>
      </c>
    </row>
    <row r="9718" spans="1:4" ht="30">
      <c r="A9718" s="28">
        <v>6070</v>
      </c>
      <c r="B9718" s="26" t="s">
        <v>8933</v>
      </c>
      <c r="C9718" s="28" t="s">
        <v>65</v>
      </c>
      <c r="D9718" s="329">
        <v>286328.56</v>
      </c>
    </row>
    <row r="9719" spans="1:4" ht="45">
      <c r="A9719" s="47">
        <v>6069</v>
      </c>
      <c r="B9719" s="48" t="s">
        <v>8945</v>
      </c>
      <c r="C9719" s="47" t="s">
        <v>65</v>
      </c>
      <c r="D9719" s="332">
        <v>63254.29</v>
      </c>
    </row>
    <row r="9720" spans="1:4" ht="30">
      <c r="A9720" s="28">
        <v>14626</v>
      </c>
      <c r="B9720" s="26" t="s">
        <v>8952</v>
      </c>
      <c r="C9720" s="28" t="s">
        <v>65</v>
      </c>
      <c r="D9720" s="329">
        <v>313464.28999999998</v>
      </c>
    </row>
    <row r="9721" spans="1:4" ht="30">
      <c r="A9721" s="47">
        <v>13881</v>
      </c>
      <c r="B9721" s="48" t="s">
        <v>8953</v>
      </c>
      <c r="C9721" s="47" t="s">
        <v>65</v>
      </c>
      <c r="D9721" s="332">
        <v>112446.33</v>
      </c>
    </row>
    <row r="9722" spans="1:4" ht="30">
      <c r="A9722" s="28">
        <v>13468</v>
      </c>
      <c r="B9722" s="26" t="s">
        <v>8954</v>
      </c>
      <c r="C9722" s="28" t="s">
        <v>65</v>
      </c>
      <c r="D9722" s="329">
        <v>156769.17000000001</v>
      </c>
    </row>
    <row r="9723" spans="1:4" ht="30">
      <c r="A9723" s="47">
        <v>13365</v>
      </c>
      <c r="B9723" s="48" t="s">
        <v>8955</v>
      </c>
      <c r="C9723" s="47" t="s">
        <v>65</v>
      </c>
      <c r="D9723" s="332">
        <v>177125.49</v>
      </c>
    </row>
    <row r="9724" spans="1:4" ht="30">
      <c r="A9724" s="28">
        <v>6067</v>
      </c>
      <c r="B9724" s="26" t="s">
        <v>8956</v>
      </c>
      <c r="C9724" s="28" t="s">
        <v>65</v>
      </c>
      <c r="D9724" s="329">
        <v>257321.43</v>
      </c>
    </row>
    <row r="9725" spans="1:4" ht="30">
      <c r="A9725" s="47">
        <v>11282</v>
      </c>
      <c r="B9725" s="48" t="s">
        <v>8957</v>
      </c>
      <c r="C9725" s="47" t="s">
        <v>65</v>
      </c>
      <c r="D9725" s="332">
        <v>117131.58</v>
      </c>
    </row>
    <row r="9726" spans="1:4">
      <c r="A9726" s="28">
        <v>38393</v>
      </c>
      <c r="B9726" s="26" t="s">
        <v>8964</v>
      </c>
      <c r="C9726" s="28" t="s">
        <v>65</v>
      </c>
      <c r="D9726" s="329">
        <v>10.47</v>
      </c>
    </row>
    <row r="9727" spans="1:4">
      <c r="A9727" s="47">
        <v>38390</v>
      </c>
      <c r="B9727" s="48" t="s">
        <v>8965</v>
      </c>
      <c r="C9727" s="47" t="s">
        <v>65</v>
      </c>
      <c r="D9727" s="332">
        <v>23.22</v>
      </c>
    </row>
    <row r="9728" spans="1:4">
      <c r="A9728" s="28">
        <v>36532</v>
      </c>
      <c r="B9728" s="26" t="s">
        <v>8966</v>
      </c>
      <c r="C9728" s="28" t="s">
        <v>65</v>
      </c>
      <c r="D9728" s="329">
        <v>18669.25</v>
      </c>
    </row>
    <row r="9729" spans="1:4" ht="30">
      <c r="A9729" s="47">
        <v>11578</v>
      </c>
      <c r="B9729" s="48" t="s">
        <v>8967</v>
      </c>
      <c r="C9729" s="47" t="s">
        <v>65</v>
      </c>
      <c r="D9729" s="332">
        <v>7.8</v>
      </c>
    </row>
    <row r="9730" spans="1:4" ht="30">
      <c r="A9730" s="28">
        <v>11577</v>
      </c>
      <c r="B9730" s="26" t="s">
        <v>8968</v>
      </c>
      <c r="C9730" s="28" t="s">
        <v>65</v>
      </c>
      <c r="D9730" s="329">
        <v>7.44</v>
      </c>
    </row>
    <row r="9731" spans="1:4" ht="43.5" customHeight="1">
      <c r="A9731" s="47">
        <v>1116</v>
      </c>
      <c r="B9731" s="48" t="s">
        <v>8971</v>
      </c>
      <c r="C9731" s="47" t="s">
        <v>71</v>
      </c>
      <c r="D9731" s="332">
        <v>14.95</v>
      </c>
    </row>
    <row r="9732" spans="1:4">
      <c r="A9732" s="28">
        <v>1115</v>
      </c>
      <c r="B9732" s="26" t="s">
        <v>8972</v>
      </c>
      <c r="C9732" s="28" t="s">
        <v>71</v>
      </c>
      <c r="D9732" s="329">
        <v>18.170000000000002</v>
      </c>
    </row>
    <row r="9733" spans="1:4">
      <c r="A9733" s="47">
        <v>1113</v>
      </c>
      <c r="B9733" s="48" t="s">
        <v>11516</v>
      </c>
      <c r="C9733" s="47" t="s">
        <v>71</v>
      </c>
      <c r="D9733" s="332">
        <v>19.93</v>
      </c>
    </row>
    <row r="9734" spans="1:4">
      <c r="A9734" s="28">
        <v>1114</v>
      </c>
      <c r="B9734" s="26" t="s">
        <v>8973</v>
      </c>
      <c r="C9734" s="28" t="s">
        <v>71</v>
      </c>
      <c r="D9734" s="329">
        <v>29.9</v>
      </c>
    </row>
    <row r="9735" spans="1:4" ht="30">
      <c r="A9735" s="47">
        <v>40872</v>
      </c>
      <c r="B9735" s="48" t="s">
        <v>8974</v>
      </c>
      <c r="C9735" s="47" t="s">
        <v>71</v>
      </c>
      <c r="D9735" s="332">
        <v>13.93</v>
      </c>
    </row>
    <row r="9736" spans="1:4">
      <c r="A9736" s="28">
        <v>20214</v>
      </c>
      <c r="B9736" s="26" t="s">
        <v>8975</v>
      </c>
      <c r="C9736" s="28" t="s">
        <v>65</v>
      </c>
      <c r="D9736" s="329">
        <v>27.48</v>
      </c>
    </row>
    <row r="9737" spans="1:4" ht="30">
      <c r="A9737" s="47">
        <v>11064</v>
      </c>
      <c r="B9737" s="48" t="s">
        <v>8976</v>
      </c>
      <c r="C9737" s="47" t="s">
        <v>65</v>
      </c>
      <c r="D9737" s="332">
        <v>11.65</v>
      </c>
    </row>
    <row r="9738" spans="1:4" ht="30">
      <c r="A9738" s="28">
        <v>7237</v>
      </c>
      <c r="B9738" s="26" t="s">
        <v>8977</v>
      </c>
      <c r="C9738" s="28" t="s">
        <v>65</v>
      </c>
      <c r="D9738" s="329">
        <v>15.89</v>
      </c>
    </row>
    <row r="9739" spans="1:4">
      <c r="A9739" s="47">
        <v>16</v>
      </c>
      <c r="B9739" s="48" t="s">
        <v>8978</v>
      </c>
      <c r="C9739" s="47" t="s">
        <v>90</v>
      </c>
      <c r="D9739" s="332">
        <v>5.07</v>
      </c>
    </row>
    <row r="9740" spans="1:4">
      <c r="A9740" s="28">
        <v>11757</v>
      </c>
      <c r="B9740" s="26" t="s">
        <v>235</v>
      </c>
      <c r="C9740" s="28" t="s">
        <v>65</v>
      </c>
      <c r="D9740" s="329">
        <v>16.899999999999999</v>
      </c>
    </row>
    <row r="9741" spans="1:4" ht="30">
      <c r="A9741" s="47">
        <v>11758</v>
      </c>
      <c r="B9741" s="48" t="s">
        <v>8980</v>
      </c>
      <c r="C9741" s="47" t="s">
        <v>65</v>
      </c>
      <c r="D9741" s="332">
        <v>44.99</v>
      </c>
    </row>
    <row r="9742" spans="1:4">
      <c r="A9742" s="28">
        <v>37526</v>
      </c>
      <c r="B9742" s="26" t="s">
        <v>8981</v>
      </c>
      <c r="C9742" s="28" t="s">
        <v>65</v>
      </c>
      <c r="D9742" s="329">
        <v>1.55</v>
      </c>
    </row>
    <row r="9743" spans="1:4">
      <c r="A9743" s="47">
        <v>6076</v>
      </c>
      <c r="B9743" s="48" t="s">
        <v>236</v>
      </c>
      <c r="C9743" s="47" t="s">
        <v>255</v>
      </c>
      <c r="D9743" s="332">
        <v>51.76</v>
      </c>
    </row>
    <row r="9744" spans="1:4">
      <c r="A9744" s="28">
        <v>13109</v>
      </c>
      <c r="B9744" s="26" t="s">
        <v>8982</v>
      </c>
      <c r="C9744" s="28" t="s">
        <v>65</v>
      </c>
      <c r="D9744" s="329">
        <v>172.37</v>
      </c>
    </row>
    <row r="9745" spans="1:4" ht="57.75" customHeight="1">
      <c r="A9745" s="47">
        <v>13110</v>
      </c>
      <c r="B9745" s="48" t="s">
        <v>8983</v>
      </c>
      <c r="C9745" s="47" t="s">
        <v>65</v>
      </c>
      <c r="D9745" s="332">
        <v>226.85</v>
      </c>
    </row>
    <row r="9746" spans="1:4">
      <c r="A9746" s="28">
        <v>7581</v>
      </c>
      <c r="B9746" s="26" t="s">
        <v>8984</v>
      </c>
      <c r="C9746" s="28" t="s">
        <v>65</v>
      </c>
      <c r="D9746" s="329">
        <v>1.84</v>
      </c>
    </row>
    <row r="9747" spans="1:4" ht="30">
      <c r="A9747" s="47">
        <v>20206</v>
      </c>
      <c r="B9747" s="48" t="s">
        <v>8985</v>
      </c>
      <c r="C9747" s="47" t="s">
        <v>71</v>
      </c>
      <c r="D9747" s="332">
        <v>3.14</v>
      </c>
    </row>
    <row r="9748" spans="1:4" ht="30">
      <c r="A9748" s="28">
        <v>4460</v>
      </c>
      <c r="B9748" s="26" t="s">
        <v>8986</v>
      </c>
      <c r="C9748" s="28" t="s">
        <v>71</v>
      </c>
      <c r="D9748" s="329">
        <v>5.15</v>
      </c>
    </row>
    <row r="9749" spans="1:4" ht="30">
      <c r="A9749" s="47">
        <v>6204</v>
      </c>
      <c r="B9749" s="48" t="s">
        <v>11517</v>
      </c>
      <c r="C9749" s="47" t="s">
        <v>71</v>
      </c>
      <c r="D9749" s="332">
        <v>8</v>
      </c>
    </row>
    <row r="9750" spans="1:4" ht="30">
      <c r="A9750" s="28">
        <v>4417</v>
      </c>
      <c r="B9750" s="26" t="s">
        <v>8987</v>
      </c>
      <c r="C9750" s="28" t="s">
        <v>71</v>
      </c>
      <c r="D9750" s="329">
        <v>2.96</v>
      </c>
    </row>
    <row r="9751" spans="1:4" ht="30">
      <c r="A9751" s="47">
        <v>4415</v>
      </c>
      <c r="B9751" s="48" t="s">
        <v>8988</v>
      </c>
      <c r="C9751" s="47" t="s">
        <v>71</v>
      </c>
      <c r="D9751" s="332">
        <v>2.48</v>
      </c>
    </row>
    <row r="9752" spans="1:4">
      <c r="A9752" s="28">
        <v>37373</v>
      </c>
      <c r="B9752" s="26" t="s">
        <v>8991</v>
      </c>
      <c r="C9752" s="28" t="s">
        <v>57</v>
      </c>
      <c r="D9752" s="329">
        <v>7.0000000000000007E-2</v>
      </c>
    </row>
    <row r="9753" spans="1:4">
      <c r="A9753" s="47">
        <v>40864</v>
      </c>
      <c r="B9753" s="48" t="s">
        <v>8992</v>
      </c>
      <c r="C9753" s="47" t="s">
        <v>1643</v>
      </c>
      <c r="D9753" s="332">
        <v>12.97</v>
      </c>
    </row>
    <row r="9754" spans="1:4" ht="29.25" customHeight="1">
      <c r="A9754" s="28">
        <v>4734</v>
      </c>
      <c r="B9754" s="26" t="s">
        <v>8993</v>
      </c>
      <c r="C9754" s="28" t="s">
        <v>255</v>
      </c>
      <c r="D9754" s="329">
        <v>61.77</v>
      </c>
    </row>
    <row r="9755" spans="1:4">
      <c r="A9755" s="47">
        <v>6085</v>
      </c>
      <c r="B9755" s="48" t="s">
        <v>8994</v>
      </c>
      <c r="C9755" s="47" t="s">
        <v>91</v>
      </c>
      <c r="D9755" s="332">
        <v>5.49</v>
      </c>
    </row>
    <row r="9756" spans="1:4">
      <c r="A9756" s="28">
        <v>38396</v>
      </c>
      <c r="B9756" s="26" t="s">
        <v>8995</v>
      </c>
      <c r="C9756" s="28" t="s">
        <v>65</v>
      </c>
      <c r="D9756" s="329">
        <v>342.91</v>
      </c>
    </row>
    <row r="9757" spans="1:4">
      <c r="A9757" s="47">
        <v>6090</v>
      </c>
      <c r="B9757" s="48" t="s">
        <v>8996</v>
      </c>
      <c r="C9757" s="47" t="s">
        <v>91</v>
      </c>
      <c r="D9757" s="332">
        <v>10.43</v>
      </c>
    </row>
    <row r="9758" spans="1:4">
      <c r="A9758" s="28">
        <v>11622</v>
      </c>
      <c r="B9758" s="26" t="s">
        <v>8997</v>
      </c>
      <c r="C9758" s="28" t="s">
        <v>90</v>
      </c>
      <c r="D9758" s="329">
        <v>58.5</v>
      </c>
    </row>
    <row r="9759" spans="1:4">
      <c r="A9759" s="47">
        <v>6094</v>
      </c>
      <c r="B9759" s="48" t="s">
        <v>8998</v>
      </c>
      <c r="C9759" s="47" t="s">
        <v>90</v>
      </c>
      <c r="D9759" s="332">
        <v>17.64</v>
      </c>
    </row>
    <row r="9760" spans="1:4">
      <c r="A9760" s="28">
        <v>7317</v>
      </c>
      <c r="B9760" s="26" t="s">
        <v>8999</v>
      </c>
      <c r="C9760" s="28" t="s">
        <v>90</v>
      </c>
      <c r="D9760" s="329">
        <v>21.79</v>
      </c>
    </row>
    <row r="9761" spans="1:4">
      <c r="A9761" s="47">
        <v>142</v>
      </c>
      <c r="B9761" s="48" t="s">
        <v>9000</v>
      </c>
      <c r="C9761" s="47" t="s">
        <v>237</v>
      </c>
      <c r="D9761" s="332">
        <v>30.71</v>
      </c>
    </row>
    <row r="9762" spans="1:4">
      <c r="A9762" s="28">
        <v>38123</v>
      </c>
      <c r="B9762" s="26" t="s">
        <v>238</v>
      </c>
      <c r="C9762" s="28" t="s">
        <v>90</v>
      </c>
      <c r="D9762" s="329">
        <v>46.43</v>
      </c>
    </row>
    <row r="9763" spans="1:4" ht="30">
      <c r="A9763" s="47">
        <v>37953</v>
      </c>
      <c r="B9763" s="48" t="s">
        <v>9001</v>
      </c>
      <c r="C9763" s="47" t="s">
        <v>65</v>
      </c>
      <c r="D9763" s="332">
        <v>3.99</v>
      </c>
    </row>
    <row r="9764" spans="1:4" ht="30">
      <c r="A9764" s="28">
        <v>37954</v>
      </c>
      <c r="B9764" s="26" t="s">
        <v>9002</v>
      </c>
      <c r="C9764" s="28" t="s">
        <v>65</v>
      </c>
      <c r="D9764" s="329">
        <v>7.09</v>
      </c>
    </row>
    <row r="9765" spans="1:4" ht="29.25" customHeight="1">
      <c r="A9765" s="47">
        <v>37955</v>
      </c>
      <c r="B9765" s="48" t="s">
        <v>9003</v>
      </c>
      <c r="C9765" s="47" t="s">
        <v>65</v>
      </c>
      <c r="D9765" s="332">
        <v>9.19</v>
      </c>
    </row>
    <row r="9766" spans="1:4" ht="29.25" customHeight="1">
      <c r="A9766" s="28">
        <v>6105</v>
      </c>
      <c r="B9766" s="26" t="s">
        <v>9004</v>
      </c>
      <c r="C9766" s="28" t="s">
        <v>65</v>
      </c>
      <c r="D9766" s="329">
        <v>3</v>
      </c>
    </row>
    <row r="9767" spans="1:4" ht="30">
      <c r="A9767" s="47">
        <v>6106</v>
      </c>
      <c r="B9767" s="48" t="s">
        <v>9005</v>
      </c>
      <c r="C9767" s="47" t="s">
        <v>65</v>
      </c>
      <c r="D9767" s="332">
        <v>3</v>
      </c>
    </row>
    <row r="9768" spans="1:4" ht="30">
      <c r="A9768" s="28">
        <v>6107</v>
      </c>
      <c r="B9768" s="26" t="s">
        <v>9006</v>
      </c>
      <c r="C9768" s="28" t="s">
        <v>65</v>
      </c>
      <c r="D9768" s="329">
        <v>8.6999999999999993</v>
      </c>
    </row>
    <row r="9769" spans="1:4" ht="30">
      <c r="A9769" s="47">
        <v>6108</v>
      </c>
      <c r="B9769" s="48" t="s">
        <v>9007</v>
      </c>
      <c r="C9769" s="47" t="s">
        <v>65</v>
      </c>
      <c r="D9769" s="332">
        <v>11.1</v>
      </c>
    </row>
    <row r="9770" spans="1:4" ht="30">
      <c r="A9770" s="28">
        <v>6109</v>
      </c>
      <c r="B9770" s="26" t="s">
        <v>9008</v>
      </c>
      <c r="C9770" s="28" t="s">
        <v>65</v>
      </c>
      <c r="D9770" s="329">
        <v>15.77</v>
      </c>
    </row>
    <row r="9771" spans="1:4" ht="30">
      <c r="A9771" s="47">
        <v>37743</v>
      </c>
      <c r="B9771" s="48" t="s">
        <v>9009</v>
      </c>
      <c r="C9771" s="47" t="s">
        <v>65</v>
      </c>
      <c r="D9771" s="332">
        <v>98042.65</v>
      </c>
    </row>
    <row r="9772" spans="1:4" ht="30">
      <c r="A9772" s="28">
        <v>37744</v>
      </c>
      <c r="B9772" s="26" t="s">
        <v>9010</v>
      </c>
      <c r="C9772" s="28" t="s">
        <v>65</v>
      </c>
      <c r="D9772" s="329">
        <v>115279.72</v>
      </c>
    </row>
    <row r="9773" spans="1:4" ht="30">
      <c r="A9773" s="47">
        <v>37741</v>
      </c>
      <c r="B9773" s="48" t="s">
        <v>9011</v>
      </c>
      <c r="C9773" s="47" t="s">
        <v>65</v>
      </c>
      <c r="D9773" s="332">
        <v>89149.65</v>
      </c>
    </row>
    <row r="9774" spans="1:4" ht="30">
      <c r="A9774" s="28">
        <v>14618</v>
      </c>
      <c r="B9774" s="26" t="s">
        <v>9018</v>
      </c>
      <c r="C9774" s="28" t="s">
        <v>65</v>
      </c>
      <c r="D9774" s="329">
        <v>866.72</v>
      </c>
    </row>
    <row r="9775" spans="1:4" ht="30">
      <c r="A9775" s="47">
        <v>40269</v>
      </c>
      <c r="B9775" s="48" t="s">
        <v>9019</v>
      </c>
      <c r="C9775" s="47" t="s">
        <v>65</v>
      </c>
      <c r="D9775" s="332">
        <v>3491.96</v>
      </c>
    </row>
    <row r="9776" spans="1:4">
      <c r="A9776" s="28">
        <v>6110</v>
      </c>
      <c r="B9776" s="26" t="s">
        <v>239</v>
      </c>
      <c r="C9776" s="28" t="s">
        <v>57</v>
      </c>
      <c r="D9776" s="329">
        <v>12.05</v>
      </c>
    </row>
    <row r="9777" spans="1:4">
      <c r="A9777" s="47">
        <v>40910</v>
      </c>
      <c r="B9777" s="48" t="s">
        <v>9020</v>
      </c>
      <c r="C9777" s="47" t="s">
        <v>1643</v>
      </c>
      <c r="D9777" s="332">
        <v>2121.48</v>
      </c>
    </row>
    <row r="9778" spans="1:4">
      <c r="A9778" s="28">
        <v>6111</v>
      </c>
      <c r="B9778" s="26" t="s">
        <v>240</v>
      </c>
      <c r="C9778" s="28" t="s">
        <v>57</v>
      </c>
      <c r="D9778" s="329">
        <v>7.7</v>
      </c>
    </row>
    <row r="9779" spans="1:4">
      <c r="A9779" s="47">
        <v>41084</v>
      </c>
      <c r="B9779" s="48" t="s">
        <v>9021</v>
      </c>
      <c r="C9779" s="47" t="s">
        <v>1643</v>
      </c>
      <c r="D9779" s="332">
        <v>1357.08</v>
      </c>
    </row>
    <row r="9780" spans="1:4">
      <c r="A9780" s="28">
        <v>25950</v>
      </c>
      <c r="B9780" s="26" t="s">
        <v>9022</v>
      </c>
      <c r="C9780" s="28" t="s">
        <v>255</v>
      </c>
      <c r="D9780" s="329">
        <v>28.94</v>
      </c>
    </row>
    <row r="9781" spans="1:4">
      <c r="A9781" s="47">
        <v>38637</v>
      </c>
      <c r="B9781" s="48" t="s">
        <v>9027</v>
      </c>
      <c r="C9781" s="47" t="s">
        <v>65</v>
      </c>
      <c r="D9781" s="332">
        <v>134.80000000000001</v>
      </c>
    </row>
    <row r="9782" spans="1:4">
      <c r="A9782" s="28">
        <v>6150</v>
      </c>
      <c r="B9782" s="26" t="s">
        <v>9028</v>
      </c>
      <c r="C9782" s="28" t="s">
        <v>65</v>
      </c>
      <c r="D9782" s="329">
        <v>136.44999999999999</v>
      </c>
    </row>
    <row r="9783" spans="1:4">
      <c r="A9783" s="47">
        <v>6136</v>
      </c>
      <c r="B9783" s="48" t="s">
        <v>9029</v>
      </c>
      <c r="C9783" s="47" t="s">
        <v>65</v>
      </c>
      <c r="D9783" s="332">
        <v>107.26</v>
      </c>
    </row>
    <row r="9784" spans="1:4">
      <c r="A9784" s="28">
        <v>38638</v>
      </c>
      <c r="B9784" s="26" t="s">
        <v>9030</v>
      </c>
      <c r="C9784" s="28" t="s">
        <v>65</v>
      </c>
      <c r="D9784" s="329">
        <v>113.59</v>
      </c>
    </row>
    <row r="9785" spans="1:4">
      <c r="A9785" s="47">
        <v>38635</v>
      </c>
      <c r="B9785" s="48" t="s">
        <v>9031</v>
      </c>
      <c r="C9785" s="47" t="s">
        <v>65</v>
      </c>
      <c r="D9785" s="332">
        <v>6.71</v>
      </c>
    </row>
    <row r="9786" spans="1:4">
      <c r="A9786" s="28">
        <v>20262</v>
      </c>
      <c r="B9786" s="26" t="s">
        <v>9032</v>
      </c>
      <c r="C9786" s="28" t="s">
        <v>65</v>
      </c>
      <c r="D9786" s="329">
        <v>9.2899999999999991</v>
      </c>
    </row>
    <row r="9787" spans="1:4">
      <c r="A9787" s="47">
        <v>6148</v>
      </c>
      <c r="B9787" s="48" t="s">
        <v>9033</v>
      </c>
      <c r="C9787" s="47" t="s">
        <v>65</v>
      </c>
      <c r="D9787" s="332">
        <v>5.84</v>
      </c>
    </row>
    <row r="9788" spans="1:4">
      <c r="A9788" s="28">
        <v>6145</v>
      </c>
      <c r="B9788" s="26" t="s">
        <v>9034</v>
      </c>
      <c r="C9788" s="28" t="s">
        <v>65</v>
      </c>
      <c r="D9788" s="329">
        <v>10.48</v>
      </c>
    </row>
    <row r="9789" spans="1:4">
      <c r="A9789" s="47">
        <v>6149</v>
      </c>
      <c r="B9789" s="48" t="s">
        <v>9035</v>
      </c>
      <c r="C9789" s="47" t="s">
        <v>65</v>
      </c>
      <c r="D9789" s="332">
        <v>9.89</v>
      </c>
    </row>
    <row r="9790" spans="1:4">
      <c r="A9790" s="28">
        <v>6146</v>
      </c>
      <c r="B9790" s="26" t="s">
        <v>9036</v>
      </c>
      <c r="C9790" s="28" t="s">
        <v>65</v>
      </c>
      <c r="D9790" s="329">
        <v>10.5</v>
      </c>
    </row>
    <row r="9791" spans="1:4">
      <c r="A9791" s="47">
        <v>26026</v>
      </c>
      <c r="B9791" s="48" t="s">
        <v>9037</v>
      </c>
      <c r="C9791" s="47" t="s">
        <v>90</v>
      </c>
      <c r="D9791" s="332">
        <v>2.5099999999999998</v>
      </c>
    </row>
    <row r="9792" spans="1:4">
      <c r="A9792" s="28">
        <v>39961</v>
      </c>
      <c r="B9792" s="26" t="s">
        <v>9038</v>
      </c>
      <c r="C9792" s="28" t="s">
        <v>65</v>
      </c>
      <c r="D9792" s="329">
        <v>11</v>
      </c>
    </row>
    <row r="9793" spans="1:4">
      <c r="A9793" s="47">
        <v>38061</v>
      </c>
      <c r="B9793" s="48" t="s">
        <v>9041</v>
      </c>
      <c r="C9793" s="47" t="s">
        <v>65</v>
      </c>
      <c r="D9793" s="332">
        <v>39.97</v>
      </c>
    </row>
    <row r="9794" spans="1:4">
      <c r="A9794" s="28">
        <v>20250</v>
      </c>
      <c r="B9794" s="26" t="s">
        <v>241</v>
      </c>
      <c r="C9794" s="28" t="s">
        <v>90</v>
      </c>
      <c r="D9794" s="329">
        <v>7</v>
      </c>
    </row>
    <row r="9795" spans="1:4" ht="60">
      <c r="A9795" s="47">
        <v>39965</v>
      </c>
      <c r="B9795" s="48" t="s">
        <v>9042</v>
      </c>
      <c r="C9795" s="47" t="s">
        <v>256</v>
      </c>
      <c r="D9795" s="332">
        <v>1201.92</v>
      </c>
    </row>
    <row r="9796" spans="1:4" ht="75">
      <c r="A9796" s="28">
        <v>39964</v>
      </c>
      <c r="B9796" s="26" t="s">
        <v>9043</v>
      </c>
      <c r="C9796" s="28" t="s">
        <v>256</v>
      </c>
      <c r="D9796" s="329">
        <v>988.95</v>
      </c>
    </row>
    <row r="9797" spans="1:4">
      <c r="A9797" s="47">
        <v>7</v>
      </c>
      <c r="B9797" s="48" t="s">
        <v>9044</v>
      </c>
      <c r="C9797" s="47" t="s">
        <v>90</v>
      </c>
      <c r="D9797" s="332">
        <v>8.43</v>
      </c>
    </row>
    <row r="9798" spans="1:4">
      <c r="A9798" s="28">
        <v>13388</v>
      </c>
      <c r="B9798" s="26" t="s">
        <v>11518</v>
      </c>
      <c r="C9798" s="28" t="s">
        <v>90</v>
      </c>
      <c r="D9798" s="329">
        <v>92.46</v>
      </c>
    </row>
    <row r="9799" spans="1:4">
      <c r="A9799" s="47">
        <v>39914</v>
      </c>
      <c r="B9799" s="48" t="s">
        <v>9047</v>
      </c>
      <c r="C9799" s="47" t="s">
        <v>90</v>
      </c>
      <c r="D9799" s="332">
        <v>174.86</v>
      </c>
    </row>
    <row r="9800" spans="1:4">
      <c r="A9800" s="28">
        <v>6160</v>
      </c>
      <c r="B9800" s="26" t="s">
        <v>242</v>
      </c>
      <c r="C9800" s="28" t="s">
        <v>57</v>
      </c>
      <c r="D9800" s="329">
        <v>12.75</v>
      </c>
    </row>
    <row r="9801" spans="1:4">
      <c r="A9801" s="47">
        <v>41087</v>
      </c>
      <c r="B9801" s="48" t="s">
        <v>9049</v>
      </c>
      <c r="C9801" s="47" t="s">
        <v>1643</v>
      </c>
      <c r="D9801" s="332">
        <v>2245.17</v>
      </c>
    </row>
    <row r="9802" spans="1:4">
      <c r="A9802" s="28">
        <v>6166</v>
      </c>
      <c r="B9802" s="26" t="s">
        <v>243</v>
      </c>
      <c r="C9802" s="28" t="s">
        <v>57</v>
      </c>
      <c r="D9802" s="329">
        <v>13.94</v>
      </c>
    </row>
    <row r="9803" spans="1:4">
      <c r="A9803" s="47">
        <v>41088</v>
      </c>
      <c r="B9803" s="48" t="s">
        <v>9051</v>
      </c>
      <c r="C9803" s="47" t="s">
        <v>1643</v>
      </c>
      <c r="D9803" s="332">
        <v>2452.04</v>
      </c>
    </row>
    <row r="9804" spans="1:4">
      <c r="A9804" s="28">
        <v>20232</v>
      </c>
      <c r="B9804" s="26" t="s">
        <v>9054</v>
      </c>
      <c r="C9804" s="28" t="s">
        <v>71</v>
      </c>
      <c r="D9804" s="329">
        <v>73.819999999999993</v>
      </c>
    </row>
    <row r="9805" spans="1:4">
      <c r="A9805" s="47">
        <v>10856</v>
      </c>
      <c r="B9805" s="48" t="s">
        <v>9055</v>
      </c>
      <c r="C9805" s="47" t="s">
        <v>71</v>
      </c>
      <c r="D9805" s="332">
        <v>33.47</v>
      </c>
    </row>
    <row r="9806" spans="1:4" ht="45">
      <c r="A9806" s="28">
        <v>4828</v>
      </c>
      <c r="B9806" s="26" t="s">
        <v>11519</v>
      </c>
      <c r="C9806" s="28" t="s">
        <v>71</v>
      </c>
      <c r="D9806" s="329">
        <v>30.2</v>
      </c>
    </row>
    <row r="9807" spans="1:4">
      <c r="A9807" s="47">
        <v>20249</v>
      </c>
      <c r="B9807" s="48" t="s">
        <v>9056</v>
      </c>
      <c r="C9807" s="47" t="s">
        <v>71</v>
      </c>
      <c r="D9807" s="332">
        <v>16.54</v>
      </c>
    </row>
    <row r="9808" spans="1:4">
      <c r="A9808" s="28">
        <v>11609</v>
      </c>
      <c r="B9808" s="26" t="s">
        <v>9057</v>
      </c>
      <c r="C9808" s="28" t="s">
        <v>91</v>
      </c>
      <c r="D9808" s="329">
        <v>10.130000000000001</v>
      </c>
    </row>
    <row r="9809" spans="1:4">
      <c r="A9809" s="47">
        <v>20083</v>
      </c>
      <c r="B9809" s="48" t="s">
        <v>9058</v>
      </c>
      <c r="C9809" s="47" t="s">
        <v>65</v>
      </c>
      <c r="D9809" s="332">
        <v>46.67</v>
      </c>
    </row>
    <row r="9810" spans="1:4">
      <c r="A9810" s="28">
        <v>20082</v>
      </c>
      <c r="B9810" s="26" t="s">
        <v>9059</v>
      </c>
      <c r="C9810" s="28" t="s">
        <v>65</v>
      </c>
      <c r="D9810" s="329">
        <v>18.18</v>
      </c>
    </row>
    <row r="9811" spans="1:4">
      <c r="A9811" s="47">
        <v>5318</v>
      </c>
      <c r="B9811" s="48" t="s">
        <v>9060</v>
      </c>
      <c r="C9811" s="47" t="s">
        <v>91</v>
      </c>
      <c r="D9811" s="332">
        <v>9.4499999999999993</v>
      </c>
    </row>
    <row r="9812" spans="1:4">
      <c r="A9812" s="28">
        <v>10691</v>
      </c>
      <c r="B9812" s="26" t="s">
        <v>9061</v>
      </c>
      <c r="C9812" s="28" t="s">
        <v>91</v>
      </c>
      <c r="D9812" s="329">
        <v>25.73</v>
      </c>
    </row>
    <row r="9813" spans="1:4">
      <c r="A9813" s="47">
        <v>12295</v>
      </c>
      <c r="B9813" s="48" t="s">
        <v>9062</v>
      </c>
      <c r="C9813" s="47" t="s">
        <v>65</v>
      </c>
      <c r="D9813" s="332">
        <v>2.02</v>
      </c>
    </row>
    <row r="9814" spans="1:4">
      <c r="A9814" s="28">
        <v>12296</v>
      </c>
      <c r="B9814" s="26" t="s">
        <v>9063</v>
      </c>
      <c r="C9814" s="28" t="s">
        <v>65</v>
      </c>
      <c r="D9814" s="329">
        <v>2.62</v>
      </c>
    </row>
    <row r="9815" spans="1:4">
      <c r="A9815" s="47">
        <v>12294</v>
      </c>
      <c r="B9815" s="48" t="s">
        <v>9064</v>
      </c>
      <c r="C9815" s="47" t="s">
        <v>65</v>
      </c>
      <c r="D9815" s="332">
        <v>6.3</v>
      </c>
    </row>
    <row r="9816" spans="1:4">
      <c r="A9816" s="28">
        <v>14543</v>
      </c>
      <c r="B9816" s="26" t="s">
        <v>9065</v>
      </c>
      <c r="C9816" s="28" t="s">
        <v>65</v>
      </c>
      <c r="D9816" s="329">
        <v>4.49</v>
      </c>
    </row>
    <row r="9817" spans="1:4">
      <c r="A9817" s="47">
        <v>13329</v>
      </c>
      <c r="B9817" s="48" t="s">
        <v>9066</v>
      </c>
      <c r="C9817" s="47" t="s">
        <v>65</v>
      </c>
      <c r="D9817" s="332">
        <v>2.64</v>
      </c>
    </row>
    <row r="9818" spans="1:4" ht="29.25" customHeight="1">
      <c r="A9818" s="28">
        <v>21044</v>
      </c>
      <c r="B9818" s="26" t="s">
        <v>9067</v>
      </c>
      <c r="C9818" s="28" t="s">
        <v>65</v>
      </c>
      <c r="D9818" s="329">
        <v>20.98</v>
      </c>
    </row>
    <row r="9819" spans="1:4" ht="30">
      <c r="A9819" s="47">
        <v>21045</v>
      </c>
      <c r="B9819" s="48" t="s">
        <v>9068</v>
      </c>
      <c r="C9819" s="47" t="s">
        <v>65</v>
      </c>
      <c r="D9819" s="332">
        <v>28.73</v>
      </c>
    </row>
    <row r="9820" spans="1:4" ht="30">
      <c r="A9820" s="28">
        <v>21040</v>
      </c>
      <c r="B9820" s="26" t="s">
        <v>9069</v>
      </c>
      <c r="C9820" s="28" t="s">
        <v>65</v>
      </c>
      <c r="D9820" s="329">
        <v>20.53</v>
      </c>
    </row>
    <row r="9821" spans="1:4" ht="30">
      <c r="A9821" s="47">
        <v>21041</v>
      </c>
      <c r="B9821" s="48" t="s">
        <v>9070</v>
      </c>
      <c r="C9821" s="47" t="s">
        <v>65</v>
      </c>
      <c r="D9821" s="332">
        <v>24.78</v>
      </c>
    </row>
    <row r="9822" spans="1:4" ht="30">
      <c r="A9822" s="28">
        <v>21047</v>
      </c>
      <c r="B9822" s="26" t="s">
        <v>9071</v>
      </c>
      <c r="C9822" s="28" t="s">
        <v>65</v>
      </c>
      <c r="D9822" s="329">
        <v>30.93</v>
      </c>
    </row>
    <row r="9823" spans="1:4" ht="30">
      <c r="A9823" s="47">
        <v>21043</v>
      </c>
      <c r="B9823" s="48" t="s">
        <v>9072</v>
      </c>
      <c r="C9823" s="47" t="s">
        <v>65</v>
      </c>
      <c r="D9823" s="332">
        <v>30.11</v>
      </c>
    </row>
    <row r="9824" spans="1:4" ht="30">
      <c r="A9824" s="28">
        <v>21046</v>
      </c>
      <c r="B9824" s="26" t="s">
        <v>9073</v>
      </c>
      <c r="C9824" s="28" t="s">
        <v>65</v>
      </c>
      <c r="D9824" s="329">
        <v>23.84</v>
      </c>
    </row>
    <row r="9825" spans="1:4" ht="30">
      <c r="A9825" s="47">
        <v>21042</v>
      </c>
      <c r="B9825" s="48" t="s">
        <v>11520</v>
      </c>
      <c r="C9825" s="47" t="s">
        <v>65</v>
      </c>
      <c r="D9825" s="332">
        <v>23.84</v>
      </c>
    </row>
    <row r="9826" spans="1:4">
      <c r="A9826" s="28">
        <v>11895</v>
      </c>
      <c r="B9826" s="26" t="s">
        <v>9075</v>
      </c>
      <c r="C9826" s="28" t="s">
        <v>65</v>
      </c>
      <c r="D9826" s="329">
        <v>899.24</v>
      </c>
    </row>
    <row r="9827" spans="1:4">
      <c r="A9827" s="47">
        <v>11896</v>
      </c>
      <c r="B9827" s="48" t="s">
        <v>9076</v>
      </c>
      <c r="C9827" s="47" t="s">
        <v>65</v>
      </c>
      <c r="D9827" s="332">
        <v>4713.26</v>
      </c>
    </row>
    <row r="9828" spans="1:4">
      <c r="A9828" s="28">
        <v>11897</v>
      </c>
      <c r="B9828" s="26" t="s">
        <v>9077</v>
      </c>
      <c r="C9828" s="28" t="s">
        <v>65</v>
      </c>
      <c r="D9828" s="329">
        <v>6149.98</v>
      </c>
    </row>
    <row r="9829" spans="1:4">
      <c r="A9829" s="47">
        <v>11898</v>
      </c>
      <c r="B9829" s="48" t="s">
        <v>9078</v>
      </c>
      <c r="C9829" s="47" t="s">
        <v>65</v>
      </c>
      <c r="D9829" s="332">
        <v>6460.06</v>
      </c>
    </row>
    <row r="9830" spans="1:4">
      <c r="A9830" s="28">
        <v>3282</v>
      </c>
      <c r="B9830" s="26" t="s">
        <v>9079</v>
      </c>
      <c r="C9830" s="28" t="s">
        <v>65</v>
      </c>
      <c r="D9830" s="329">
        <v>653.75</v>
      </c>
    </row>
    <row r="9831" spans="1:4">
      <c r="A9831" s="47">
        <v>11899</v>
      </c>
      <c r="B9831" s="48" t="s">
        <v>9080</v>
      </c>
      <c r="C9831" s="47" t="s">
        <v>65</v>
      </c>
      <c r="D9831" s="332">
        <v>3188.68</v>
      </c>
    </row>
    <row r="9832" spans="1:4">
      <c r="A9832" s="28">
        <v>11900</v>
      </c>
      <c r="B9832" s="26" t="s">
        <v>9081</v>
      </c>
      <c r="C9832" s="28" t="s">
        <v>65</v>
      </c>
      <c r="D9832" s="329">
        <v>4372.17</v>
      </c>
    </row>
    <row r="9833" spans="1:4">
      <c r="A9833" s="47">
        <v>14149</v>
      </c>
      <c r="B9833" s="48" t="s">
        <v>244</v>
      </c>
      <c r="C9833" s="47" t="s">
        <v>180</v>
      </c>
      <c r="D9833" s="332">
        <v>221.63</v>
      </c>
    </row>
    <row r="9834" spans="1:4" ht="30">
      <c r="A9834" s="28">
        <v>38099</v>
      </c>
      <c r="B9834" s="26" t="s">
        <v>11521</v>
      </c>
      <c r="C9834" s="28" t="s">
        <v>65</v>
      </c>
      <c r="D9834" s="329">
        <v>1.23</v>
      </c>
    </row>
    <row r="9835" spans="1:4" ht="30">
      <c r="A9835" s="47">
        <v>38100</v>
      </c>
      <c r="B9835" s="48" t="s">
        <v>11522</v>
      </c>
      <c r="C9835" s="47" t="s">
        <v>65</v>
      </c>
      <c r="D9835" s="332">
        <v>2.02</v>
      </c>
    </row>
    <row r="9836" spans="1:4" ht="30">
      <c r="A9836" s="28">
        <v>20061</v>
      </c>
      <c r="B9836" s="26" t="s">
        <v>9085</v>
      </c>
      <c r="C9836" s="28" t="s">
        <v>65</v>
      </c>
      <c r="D9836" s="329">
        <v>2.8</v>
      </c>
    </row>
    <row r="9837" spans="1:4" ht="30">
      <c r="A9837" s="47">
        <v>7576</v>
      </c>
      <c r="B9837" s="48" t="s">
        <v>9086</v>
      </c>
      <c r="C9837" s="47" t="s">
        <v>65</v>
      </c>
      <c r="D9837" s="332">
        <v>75.83</v>
      </c>
    </row>
    <row r="9838" spans="1:4">
      <c r="A9838" s="28">
        <v>3384</v>
      </c>
      <c r="B9838" s="26" t="s">
        <v>9087</v>
      </c>
      <c r="C9838" s="28" t="s">
        <v>65</v>
      </c>
      <c r="D9838" s="329">
        <v>3.32</v>
      </c>
    </row>
    <row r="9839" spans="1:4" ht="30">
      <c r="A9839" s="47">
        <v>7572</v>
      </c>
      <c r="B9839" s="48" t="s">
        <v>9088</v>
      </c>
      <c r="C9839" s="47" t="s">
        <v>65</v>
      </c>
      <c r="D9839" s="332">
        <v>6.39</v>
      </c>
    </row>
    <row r="9840" spans="1:4">
      <c r="A9840" s="28">
        <v>3396</v>
      </c>
      <c r="B9840" s="26" t="s">
        <v>9089</v>
      </c>
      <c r="C9840" s="28" t="s">
        <v>65</v>
      </c>
      <c r="D9840" s="329">
        <v>4.53</v>
      </c>
    </row>
    <row r="9841" spans="1:4" ht="30">
      <c r="A9841" s="47">
        <v>37590</v>
      </c>
      <c r="B9841" s="48" t="s">
        <v>9090</v>
      </c>
      <c r="C9841" s="47" t="s">
        <v>65</v>
      </c>
      <c r="D9841" s="332">
        <v>18.09</v>
      </c>
    </row>
    <row r="9842" spans="1:4" ht="30">
      <c r="A9842" s="28">
        <v>37591</v>
      </c>
      <c r="B9842" s="26" t="s">
        <v>9091</v>
      </c>
      <c r="C9842" s="28" t="s">
        <v>65</v>
      </c>
      <c r="D9842" s="329">
        <v>25.18</v>
      </c>
    </row>
    <row r="9843" spans="1:4" ht="30">
      <c r="A9843" s="47">
        <v>12626</v>
      </c>
      <c r="B9843" s="48" t="s">
        <v>9092</v>
      </c>
      <c r="C9843" s="47" t="s">
        <v>65</v>
      </c>
      <c r="D9843" s="332">
        <v>13.46</v>
      </c>
    </row>
    <row r="9844" spans="1:4">
      <c r="A9844" s="28">
        <v>11033</v>
      </c>
      <c r="B9844" s="26" t="s">
        <v>9093</v>
      </c>
      <c r="C9844" s="28" t="s">
        <v>65</v>
      </c>
      <c r="D9844" s="329">
        <v>3.82</v>
      </c>
    </row>
    <row r="9845" spans="1:4">
      <c r="A9845" s="47">
        <v>390</v>
      </c>
      <c r="B9845" s="48" t="s">
        <v>9094</v>
      </c>
      <c r="C9845" s="47" t="s">
        <v>65</v>
      </c>
      <c r="D9845" s="332">
        <v>9.09</v>
      </c>
    </row>
    <row r="9846" spans="1:4" ht="30">
      <c r="A9846" s="28">
        <v>6178</v>
      </c>
      <c r="B9846" s="26" t="s">
        <v>9102</v>
      </c>
      <c r="C9846" s="28" t="s">
        <v>256</v>
      </c>
      <c r="D9846" s="329">
        <v>176.04</v>
      </c>
    </row>
    <row r="9847" spans="1:4" ht="30">
      <c r="A9847" s="47">
        <v>6180</v>
      </c>
      <c r="B9847" s="48" t="s">
        <v>9103</v>
      </c>
      <c r="C9847" s="47" t="s">
        <v>256</v>
      </c>
      <c r="D9847" s="332">
        <v>190</v>
      </c>
    </row>
    <row r="9848" spans="1:4" ht="30">
      <c r="A9848" s="28">
        <v>6182</v>
      </c>
      <c r="B9848" s="26" t="s">
        <v>9104</v>
      </c>
      <c r="C9848" s="28" t="s">
        <v>256</v>
      </c>
      <c r="D9848" s="329">
        <v>235.83</v>
      </c>
    </row>
    <row r="9849" spans="1:4" ht="30">
      <c r="A9849" s="47">
        <v>3993</v>
      </c>
      <c r="B9849" s="48" t="s">
        <v>9105</v>
      </c>
      <c r="C9849" s="47" t="s">
        <v>256</v>
      </c>
      <c r="D9849" s="332">
        <v>40.79</v>
      </c>
    </row>
    <row r="9850" spans="1:4" ht="30">
      <c r="A9850" s="28">
        <v>3990</v>
      </c>
      <c r="B9850" s="26" t="s">
        <v>9106</v>
      </c>
      <c r="C9850" s="28" t="s">
        <v>71</v>
      </c>
      <c r="D9850" s="329">
        <v>9.01</v>
      </c>
    </row>
    <row r="9851" spans="1:4" ht="30">
      <c r="A9851" s="47">
        <v>3992</v>
      </c>
      <c r="B9851" s="48" t="s">
        <v>9107</v>
      </c>
      <c r="C9851" s="47" t="s">
        <v>71</v>
      </c>
      <c r="D9851" s="332">
        <v>11.06</v>
      </c>
    </row>
    <row r="9852" spans="1:4">
      <c r="A9852" s="28">
        <v>6193</v>
      </c>
      <c r="B9852" s="26" t="s">
        <v>9108</v>
      </c>
      <c r="C9852" s="28" t="s">
        <v>71</v>
      </c>
      <c r="D9852" s="329">
        <v>7.17</v>
      </c>
    </row>
    <row r="9853" spans="1:4">
      <c r="A9853" s="47">
        <v>6189</v>
      </c>
      <c r="B9853" s="48" t="s">
        <v>9109</v>
      </c>
      <c r="C9853" s="47" t="s">
        <v>71</v>
      </c>
      <c r="D9853" s="332">
        <v>10.76</v>
      </c>
    </row>
    <row r="9854" spans="1:4" ht="43.5" customHeight="1">
      <c r="A9854" s="28">
        <v>10567</v>
      </c>
      <c r="B9854" s="26" t="s">
        <v>9110</v>
      </c>
      <c r="C9854" s="28" t="s">
        <v>71</v>
      </c>
      <c r="D9854" s="329">
        <v>7.3</v>
      </c>
    </row>
    <row r="9855" spans="1:4">
      <c r="A9855" s="47">
        <v>6212</v>
      </c>
      <c r="B9855" s="48" t="s">
        <v>9111</v>
      </c>
      <c r="C9855" s="47" t="s">
        <v>71</v>
      </c>
      <c r="D9855" s="332">
        <v>10.210000000000001</v>
      </c>
    </row>
    <row r="9856" spans="1:4">
      <c r="A9856" s="28">
        <v>6188</v>
      </c>
      <c r="B9856" s="26" t="s">
        <v>9112</v>
      </c>
      <c r="C9856" s="28" t="s">
        <v>256</v>
      </c>
      <c r="D9856" s="329">
        <v>34.049999999999997</v>
      </c>
    </row>
    <row r="9857" spans="1:4">
      <c r="A9857" s="47">
        <v>6214</v>
      </c>
      <c r="B9857" s="48" t="s">
        <v>9113</v>
      </c>
      <c r="C9857" s="47" t="s">
        <v>256</v>
      </c>
      <c r="D9857" s="332">
        <v>110.27</v>
      </c>
    </row>
    <row r="9858" spans="1:4" ht="30">
      <c r="A9858" s="28">
        <v>36153</v>
      </c>
      <c r="B9858" s="26" t="s">
        <v>9114</v>
      </c>
      <c r="C9858" s="28" t="s">
        <v>65</v>
      </c>
      <c r="D9858" s="329">
        <v>132.13999999999999</v>
      </c>
    </row>
    <row r="9859" spans="1:4">
      <c r="A9859" s="47">
        <v>10740</v>
      </c>
      <c r="B9859" s="48" t="s">
        <v>9115</v>
      </c>
      <c r="C9859" s="47" t="s">
        <v>65</v>
      </c>
      <c r="D9859" s="332">
        <v>8528.56</v>
      </c>
    </row>
    <row r="9860" spans="1:4">
      <c r="A9860" s="28">
        <v>10809</v>
      </c>
      <c r="B9860" s="26" t="s">
        <v>9116</v>
      </c>
      <c r="C9860" s="28" t="s">
        <v>57</v>
      </c>
      <c r="D9860" s="329">
        <v>0.94</v>
      </c>
    </row>
    <row r="9861" spans="1:4">
      <c r="A9861" s="47">
        <v>13914</v>
      </c>
      <c r="B9861" s="48" t="s">
        <v>9117</v>
      </c>
      <c r="C9861" s="47" t="s">
        <v>65</v>
      </c>
      <c r="D9861" s="332">
        <v>617.07000000000005</v>
      </c>
    </row>
    <row r="9862" spans="1:4">
      <c r="A9862" s="28">
        <v>10742</v>
      </c>
      <c r="B9862" s="26" t="s">
        <v>9118</v>
      </c>
      <c r="C9862" s="28" t="s">
        <v>65</v>
      </c>
      <c r="D9862" s="329">
        <v>900.01</v>
      </c>
    </row>
    <row r="9863" spans="1:4">
      <c r="A9863" s="47">
        <v>10811</v>
      </c>
      <c r="B9863" s="48" t="s">
        <v>9119</v>
      </c>
      <c r="C9863" s="47" t="s">
        <v>57</v>
      </c>
      <c r="D9863" s="332">
        <v>0.81</v>
      </c>
    </row>
    <row r="9864" spans="1:4">
      <c r="A9864" s="28">
        <v>38465</v>
      </c>
      <c r="B9864" s="26" t="s">
        <v>9125</v>
      </c>
      <c r="C9864" s="28" t="s">
        <v>65</v>
      </c>
      <c r="D9864" s="329">
        <v>20.7</v>
      </c>
    </row>
    <row r="9865" spans="1:4">
      <c r="A9865" s="47">
        <v>7543</v>
      </c>
      <c r="B9865" s="48" t="s">
        <v>9126</v>
      </c>
      <c r="C9865" s="47" t="s">
        <v>65</v>
      </c>
      <c r="D9865" s="332">
        <v>1.97</v>
      </c>
    </row>
    <row r="9866" spans="1:4">
      <c r="A9866" s="28">
        <v>13255</v>
      </c>
      <c r="B9866" s="26" t="s">
        <v>9127</v>
      </c>
      <c r="C9866" s="28" t="s">
        <v>65</v>
      </c>
      <c r="D9866" s="329">
        <v>31.87</v>
      </c>
    </row>
    <row r="9867" spans="1:4">
      <c r="A9867" s="47">
        <v>39352</v>
      </c>
      <c r="B9867" s="48" t="s">
        <v>9132</v>
      </c>
      <c r="C9867" s="47" t="s">
        <v>65</v>
      </c>
      <c r="D9867" s="332">
        <v>1.21</v>
      </c>
    </row>
    <row r="9868" spans="1:4">
      <c r="A9868" s="28">
        <v>39350</v>
      </c>
      <c r="B9868" s="26" t="s">
        <v>9129</v>
      </c>
      <c r="C9868" s="28" t="s">
        <v>65</v>
      </c>
      <c r="D9868" s="329">
        <v>1.31</v>
      </c>
    </row>
    <row r="9869" spans="1:4">
      <c r="A9869" s="47">
        <v>39346</v>
      </c>
      <c r="B9869" s="48" t="s">
        <v>9130</v>
      </c>
      <c r="C9869" s="47" t="s">
        <v>65</v>
      </c>
      <c r="D9869" s="332">
        <v>1.21</v>
      </c>
    </row>
    <row r="9870" spans="1:4" ht="29.25" customHeight="1">
      <c r="A9870" s="28">
        <v>39351</v>
      </c>
      <c r="B9870" s="26" t="s">
        <v>9131</v>
      </c>
      <c r="C9870" s="28" t="s">
        <v>65</v>
      </c>
      <c r="D9870" s="329">
        <v>1.51</v>
      </c>
    </row>
    <row r="9871" spans="1:4" ht="30">
      <c r="A9871" s="47">
        <v>20964</v>
      </c>
      <c r="B9871" s="48" t="s">
        <v>9133</v>
      </c>
      <c r="C9871" s="47" t="s">
        <v>65</v>
      </c>
      <c r="D9871" s="332">
        <v>51.1</v>
      </c>
    </row>
    <row r="9872" spans="1:4" ht="30">
      <c r="A9872" s="28">
        <v>10905</v>
      </c>
      <c r="B9872" s="26" t="s">
        <v>9134</v>
      </c>
      <c r="C9872" s="28" t="s">
        <v>65</v>
      </c>
      <c r="D9872" s="329">
        <v>68.55</v>
      </c>
    </row>
    <row r="9873" spans="1:4">
      <c r="A9873" s="47">
        <v>6249</v>
      </c>
      <c r="B9873" s="48" t="s">
        <v>9135</v>
      </c>
      <c r="C9873" s="47" t="s">
        <v>65</v>
      </c>
      <c r="D9873" s="332">
        <v>50.67</v>
      </c>
    </row>
    <row r="9874" spans="1:4">
      <c r="A9874" s="28">
        <v>6251</v>
      </c>
      <c r="B9874" s="26" t="s">
        <v>9136</v>
      </c>
      <c r="C9874" s="28" t="s">
        <v>65</v>
      </c>
      <c r="D9874" s="329">
        <v>77.739999999999995</v>
      </c>
    </row>
    <row r="9875" spans="1:4">
      <c r="A9875" s="47">
        <v>6252</v>
      </c>
      <c r="B9875" s="48" t="s">
        <v>9137</v>
      </c>
      <c r="C9875" s="47" t="s">
        <v>65</v>
      </c>
      <c r="D9875" s="332">
        <v>99.22</v>
      </c>
    </row>
    <row r="9876" spans="1:4" ht="29.25" customHeight="1">
      <c r="A9876" s="28">
        <v>6250</v>
      </c>
      <c r="B9876" s="26" t="s">
        <v>9138</v>
      </c>
      <c r="C9876" s="28" t="s">
        <v>65</v>
      </c>
      <c r="D9876" s="329">
        <v>122.87</v>
      </c>
    </row>
    <row r="9877" spans="1:4">
      <c r="A9877" s="47">
        <v>11289</v>
      </c>
      <c r="B9877" s="48" t="s">
        <v>9139</v>
      </c>
      <c r="C9877" s="47" t="s">
        <v>65</v>
      </c>
      <c r="D9877" s="332">
        <v>52.96</v>
      </c>
    </row>
    <row r="9878" spans="1:4" ht="30">
      <c r="A9878" s="28">
        <v>11241</v>
      </c>
      <c r="B9878" s="26" t="s">
        <v>9140</v>
      </c>
      <c r="C9878" s="28" t="s">
        <v>65</v>
      </c>
      <c r="D9878" s="329">
        <v>132.4</v>
      </c>
    </row>
    <row r="9879" spans="1:4" ht="30">
      <c r="A9879" s="47">
        <v>11301</v>
      </c>
      <c r="B9879" s="48" t="s">
        <v>9142</v>
      </c>
      <c r="C9879" s="47" t="s">
        <v>65</v>
      </c>
      <c r="D9879" s="332">
        <v>335.73</v>
      </c>
    </row>
    <row r="9880" spans="1:4" ht="30">
      <c r="A9880" s="28">
        <v>21090</v>
      </c>
      <c r="B9880" s="26" t="s">
        <v>9143</v>
      </c>
      <c r="C9880" s="28" t="s">
        <v>65</v>
      </c>
      <c r="D9880" s="329">
        <v>411.39</v>
      </c>
    </row>
    <row r="9881" spans="1:4" ht="45">
      <c r="A9881" s="47">
        <v>14112</v>
      </c>
      <c r="B9881" s="48" t="s">
        <v>11523</v>
      </c>
      <c r="C9881" s="47" t="s">
        <v>65</v>
      </c>
      <c r="D9881" s="332">
        <v>171.65</v>
      </c>
    </row>
    <row r="9882" spans="1:4" ht="30">
      <c r="A9882" s="28">
        <v>11315</v>
      </c>
      <c r="B9882" s="26" t="s">
        <v>9146</v>
      </c>
      <c r="C9882" s="28" t="s">
        <v>65</v>
      </c>
      <c r="D9882" s="329">
        <v>80.38</v>
      </c>
    </row>
    <row r="9883" spans="1:4">
      <c r="A9883" s="47">
        <v>11292</v>
      </c>
      <c r="B9883" s="48" t="s">
        <v>9147</v>
      </c>
      <c r="C9883" s="47" t="s">
        <v>65</v>
      </c>
      <c r="D9883" s="332">
        <v>188.2</v>
      </c>
    </row>
    <row r="9884" spans="1:4" ht="30">
      <c r="A9884" s="28">
        <v>21071</v>
      </c>
      <c r="B9884" s="26" t="s">
        <v>9148</v>
      </c>
      <c r="C9884" s="28" t="s">
        <v>65</v>
      </c>
      <c r="D9884" s="329">
        <v>122.94</v>
      </c>
    </row>
    <row r="9885" spans="1:4" ht="30">
      <c r="A9885" s="47">
        <v>11293</v>
      </c>
      <c r="B9885" s="48" t="s">
        <v>9149</v>
      </c>
      <c r="C9885" s="47" t="s">
        <v>65</v>
      </c>
      <c r="D9885" s="332">
        <v>208.06</v>
      </c>
    </row>
    <row r="9886" spans="1:4" ht="30">
      <c r="A9886" s="28">
        <v>11316</v>
      </c>
      <c r="B9886" s="26" t="s">
        <v>9150</v>
      </c>
      <c r="C9886" s="28" t="s">
        <v>65</v>
      </c>
      <c r="D9886" s="329">
        <v>264.8</v>
      </c>
    </row>
    <row r="9887" spans="1:4" ht="30">
      <c r="A9887" s="47">
        <v>6243</v>
      </c>
      <c r="B9887" s="48" t="s">
        <v>9151</v>
      </c>
      <c r="C9887" s="47" t="s">
        <v>65</v>
      </c>
      <c r="D9887" s="332">
        <v>305</v>
      </c>
    </row>
    <row r="9888" spans="1:4" ht="30">
      <c r="A9888" s="28">
        <v>21079</v>
      </c>
      <c r="B9888" s="26" t="s">
        <v>9152</v>
      </c>
      <c r="C9888" s="28" t="s">
        <v>65</v>
      </c>
      <c r="D9888" s="329">
        <v>363.63</v>
      </c>
    </row>
    <row r="9889" spans="1:4" ht="30">
      <c r="A9889" s="47">
        <v>6240</v>
      </c>
      <c r="B9889" s="48" t="s">
        <v>9153</v>
      </c>
      <c r="C9889" s="47" t="s">
        <v>65</v>
      </c>
      <c r="D9889" s="332">
        <v>403.82</v>
      </c>
    </row>
    <row r="9890" spans="1:4" ht="29.25" customHeight="1">
      <c r="A9890" s="28">
        <v>11296</v>
      </c>
      <c r="B9890" s="26" t="s">
        <v>9154</v>
      </c>
      <c r="C9890" s="28" t="s">
        <v>65</v>
      </c>
      <c r="D9890" s="329">
        <v>1286.67</v>
      </c>
    </row>
    <row r="9891" spans="1:4">
      <c r="A9891" s="47">
        <v>11299</v>
      </c>
      <c r="B9891" s="48" t="s">
        <v>9155</v>
      </c>
      <c r="C9891" s="47" t="s">
        <v>65</v>
      </c>
      <c r="D9891" s="332">
        <v>435.51</v>
      </c>
    </row>
    <row r="9892" spans="1:4" ht="30">
      <c r="A9892" s="28">
        <v>11066</v>
      </c>
      <c r="B9892" s="26" t="s">
        <v>9156</v>
      </c>
      <c r="C9892" s="28" t="s">
        <v>65</v>
      </c>
      <c r="D9892" s="329">
        <v>9.67</v>
      </c>
    </row>
    <row r="9893" spans="1:4" ht="30">
      <c r="A9893" s="47">
        <v>11065</v>
      </c>
      <c r="B9893" s="48" t="s">
        <v>9157</v>
      </c>
      <c r="C9893" s="47" t="s">
        <v>65</v>
      </c>
      <c r="D9893" s="332">
        <v>11.08</v>
      </c>
    </row>
    <row r="9894" spans="1:4">
      <c r="A9894" s="28">
        <v>2666</v>
      </c>
      <c r="B9894" s="26" t="s">
        <v>9158</v>
      </c>
      <c r="C9894" s="28" t="s">
        <v>65</v>
      </c>
      <c r="D9894" s="329">
        <v>2.29</v>
      </c>
    </row>
    <row r="9895" spans="1:4">
      <c r="A9895" s="47">
        <v>2668</v>
      </c>
      <c r="B9895" s="48" t="s">
        <v>9159</v>
      </c>
      <c r="C9895" s="47" t="s">
        <v>65</v>
      </c>
      <c r="D9895" s="332">
        <v>3.18</v>
      </c>
    </row>
    <row r="9896" spans="1:4">
      <c r="A9896" s="28">
        <v>2664</v>
      </c>
      <c r="B9896" s="26" t="s">
        <v>9160</v>
      </c>
      <c r="C9896" s="28" t="s">
        <v>65</v>
      </c>
      <c r="D9896" s="329">
        <v>4.43</v>
      </c>
    </row>
    <row r="9897" spans="1:4">
      <c r="A9897" s="47">
        <v>2662</v>
      </c>
      <c r="B9897" s="48" t="s">
        <v>9161</v>
      </c>
      <c r="C9897" s="47" t="s">
        <v>65</v>
      </c>
      <c r="D9897" s="332">
        <v>8.8000000000000007</v>
      </c>
    </row>
    <row r="9898" spans="1:4">
      <c r="A9898" s="28">
        <v>2663</v>
      </c>
      <c r="B9898" s="26" t="s">
        <v>9162</v>
      </c>
      <c r="C9898" s="28" t="s">
        <v>65</v>
      </c>
      <c r="D9898" s="329">
        <v>13.27</v>
      </c>
    </row>
    <row r="9899" spans="1:4">
      <c r="A9899" s="47">
        <v>2665</v>
      </c>
      <c r="B9899" s="48" t="s">
        <v>9163</v>
      </c>
      <c r="C9899" s="47" t="s">
        <v>65</v>
      </c>
      <c r="D9899" s="332">
        <v>16.260000000000002</v>
      </c>
    </row>
    <row r="9900" spans="1:4">
      <c r="A9900" s="28">
        <v>11688</v>
      </c>
      <c r="B9900" s="26" t="s">
        <v>9164</v>
      </c>
      <c r="C9900" s="28" t="s">
        <v>65</v>
      </c>
      <c r="D9900" s="329">
        <v>272.63</v>
      </c>
    </row>
    <row r="9901" spans="1:4" ht="45">
      <c r="A9901" s="47">
        <v>37736</v>
      </c>
      <c r="B9901" s="48" t="s">
        <v>9165</v>
      </c>
      <c r="C9901" s="47" t="s">
        <v>65</v>
      </c>
      <c r="D9901" s="332">
        <v>23250</v>
      </c>
    </row>
    <row r="9902" spans="1:4" ht="30">
      <c r="A9902" s="28">
        <v>37739</v>
      </c>
      <c r="B9902" s="26" t="s">
        <v>9166</v>
      </c>
      <c r="C9902" s="28" t="s">
        <v>65</v>
      </c>
      <c r="D9902" s="329">
        <v>28615.38</v>
      </c>
    </row>
    <row r="9903" spans="1:4" ht="30">
      <c r="A9903" s="47">
        <v>37740</v>
      </c>
      <c r="B9903" s="48" t="s">
        <v>9167</v>
      </c>
      <c r="C9903" s="47" t="s">
        <v>65</v>
      </c>
      <c r="D9903" s="332">
        <v>16329.43</v>
      </c>
    </row>
    <row r="9904" spans="1:4" ht="30">
      <c r="A9904" s="28">
        <v>37738</v>
      </c>
      <c r="B9904" s="26" t="s">
        <v>9168</v>
      </c>
      <c r="C9904" s="28" t="s">
        <v>65</v>
      </c>
      <c r="D9904" s="329">
        <v>19400.919999999998</v>
      </c>
    </row>
    <row r="9905" spans="1:4" ht="30">
      <c r="A9905" s="47">
        <v>37737</v>
      </c>
      <c r="B9905" s="48" t="s">
        <v>9169</v>
      </c>
      <c r="C9905" s="47" t="s">
        <v>65</v>
      </c>
      <c r="D9905" s="332">
        <v>15435.2</v>
      </c>
    </row>
    <row r="9906" spans="1:4">
      <c r="A9906" s="28">
        <v>25014</v>
      </c>
      <c r="B9906" s="26" t="s">
        <v>9170</v>
      </c>
      <c r="C9906" s="28" t="s">
        <v>65</v>
      </c>
      <c r="D9906" s="329">
        <v>32328.38</v>
      </c>
    </row>
    <row r="9907" spans="1:4">
      <c r="A9907" s="47">
        <v>25013</v>
      </c>
      <c r="B9907" s="48" t="s">
        <v>9177</v>
      </c>
      <c r="C9907" s="47" t="s">
        <v>65</v>
      </c>
      <c r="D9907" s="332">
        <v>33883.57</v>
      </c>
    </row>
    <row r="9908" spans="1:4">
      <c r="A9908" s="28">
        <v>14405</v>
      </c>
      <c r="B9908" s="26" t="s">
        <v>9178</v>
      </c>
      <c r="C9908" s="28" t="s">
        <v>65</v>
      </c>
      <c r="D9908" s="329">
        <v>39773.82</v>
      </c>
    </row>
    <row r="9909" spans="1:4" ht="30">
      <c r="A9909" s="47">
        <v>6253</v>
      </c>
      <c r="B9909" s="48" t="s">
        <v>9185</v>
      </c>
      <c r="C9909" s="47" t="s">
        <v>65</v>
      </c>
      <c r="D9909" s="332">
        <v>59.9</v>
      </c>
    </row>
    <row r="9910" spans="1:4">
      <c r="A9910" s="28">
        <v>36790</v>
      </c>
      <c r="B9910" s="26" t="s">
        <v>9202</v>
      </c>
      <c r="C9910" s="28" t="s">
        <v>65</v>
      </c>
      <c r="D9910" s="329">
        <v>199.42</v>
      </c>
    </row>
    <row r="9911" spans="1:4">
      <c r="A9911" s="47">
        <v>20271</v>
      </c>
      <c r="B9911" s="48" t="s">
        <v>9203</v>
      </c>
      <c r="C9911" s="47" t="s">
        <v>65</v>
      </c>
      <c r="D9911" s="332">
        <v>441.2</v>
      </c>
    </row>
    <row r="9912" spans="1:4">
      <c r="A9912" s="28">
        <v>10423</v>
      </c>
      <c r="B9912" s="26" t="s">
        <v>9204</v>
      </c>
      <c r="C9912" s="28" t="s">
        <v>65</v>
      </c>
      <c r="D9912" s="329">
        <v>273.64</v>
      </c>
    </row>
    <row r="9913" spans="1:4">
      <c r="A9913" s="47">
        <v>37589</v>
      </c>
      <c r="B9913" s="48" t="s">
        <v>9205</v>
      </c>
      <c r="C9913" s="47" t="s">
        <v>65</v>
      </c>
      <c r="D9913" s="332">
        <v>244.34</v>
      </c>
    </row>
    <row r="9914" spans="1:4" ht="30">
      <c r="A9914" s="28">
        <v>11690</v>
      </c>
      <c r="B9914" s="26" t="s">
        <v>9206</v>
      </c>
      <c r="C9914" s="28" t="s">
        <v>65</v>
      </c>
      <c r="D9914" s="329">
        <v>129.80000000000001</v>
      </c>
    </row>
    <row r="9915" spans="1:4">
      <c r="A9915" s="47">
        <v>20234</v>
      </c>
      <c r="B9915" s="48" t="s">
        <v>9207</v>
      </c>
      <c r="C9915" s="47" t="s">
        <v>65</v>
      </c>
      <c r="D9915" s="332">
        <v>164.26</v>
      </c>
    </row>
    <row r="9916" spans="1:4">
      <c r="A9916" s="28">
        <v>4763</v>
      </c>
      <c r="B9916" s="26" t="s">
        <v>245</v>
      </c>
      <c r="C9916" s="28" t="s">
        <v>57</v>
      </c>
      <c r="D9916" s="329">
        <v>10.46</v>
      </c>
    </row>
    <row r="9917" spans="1:4">
      <c r="A9917" s="47">
        <v>41070</v>
      </c>
      <c r="B9917" s="48" t="s">
        <v>9209</v>
      </c>
      <c r="C9917" s="47" t="s">
        <v>1643</v>
      </c>
      <c r="D9917" s="332">
        <v>1843.24</v>
      </c>
    </row>
    <row r="9918" spans="1:4">
      <c r="A9918" s="28">
        <v>14583</v>
      </c>
      <c r="B9918" s="26" t="s">
        <v>9210</v>
      </c>
      <c r="C9918" s="28" t="s">
        <v>255</v>
      </c>
      <c r="D9918" s="329">
        <v>13.43</v>
      </c>
    </row>
    <row r="9919" spans="1:4" ht="30">
      <c r="A9919" s="47">
        <v>14250</v>
      </c>
      <c r="B9919" s="48" t="s">
        <v>9211</v>
      </c>
      <c r="C9919" s="47" t="s">
        <v>169</v>
      </c>
      <c r="D9919" s="332">
        <v>0.71</v>
      </c>
    </row>
    <row r="9920" spans="1:4">
      <c r="A9920" s="28">
        <v>11457</v>
      </c>
      <c r="B9920" s="26" t="s">
        <v>9212</v>
      </c>
      <c r="C9920" s="28" t="s">
        <v>65</v>
      </c>
      <c r="D9920" s="329">
        <v>20.75</v>
      </c>
    </row>
    <row r="9921" spans="1:4" ht="29.25" customHeight="1">
      <c r="A9921" s="47">
        <v>21121</v>
      </c>
      <c r="B9921" s="48" t="s">
        <v>9222</v>
      </c>
      <c r="C9921" s="47" t="s">
        <v>65</v>
      </c>
      <c r="D9921" s="332">
        <v>2.69</v>
      </c>
    </row>
    <row r="9922" spans="1:4">
      <c r="A9922" s="28">
        <v>38010</v>
      </c>
      <c r="B9922" s="26" t="s">
        <v>9223</v>
      </c>
      <c r="C9922" s="28" t="s">
        <v>65</v>
      </c>
      <c r="D9922" s="329">
        <v>4.3899999999999997</v>
      </c>
    </row>
    <row r="9923" spans="1:4">
      <c r="A9923" s="47">
        <v>38011</v>
      </c>
      <c r="B9923" s="48" t="s">
        <v>9224</v>
      </c>
      <c r="C9923" s="47" t="s">
        <v>65</v>
      </c>
      <c r="D9923" s="332">
        <v>8.11</v>
      </c>
    </row>
    <row r="9924" spans="1:4">
      <c r="A9924" s="28">
        <v>38012</v>
      </c>
      <c r="B9924" s="26" t="s">
        <v>9225</v>
      </c>
      <c r="C9924" s="28" t="s">
        <v>65</v>
      </c>
      <c r="D9924" s="329">
        <v>27.71</v>
      </c>
    </row>
    <row r="9925" spans="1:4" ht="29.25" customHeight="1">
      <c r="A9925" s="47">
        <v>38013</v>
      </c>
      <c r="B9925" s="48" t="s">
        <v>9226</v>
      </c>
      <c r="C9925" s="47" t="s">
        <v>65</v>
      </c>
      <c r="D9925" s="332">
        <v>35.97</v>
      </c>
    </row>
    <row r="9926" spans="1:4">
      <c r="A9926" s="28">
        <v>38014</v>
      </c>
      <c r="B9926" s="26" t="s">
        <v>9227</v>
      </c>
      <c r="C9926" s="28" t="s">
        <v>65</v>
      </c>
      <c r="D9926" s="329">
        <v>58.54</v>
      </c>
    </row>
    <row r="9927" spans="1:4">
      <c r="A9927" s="47">
        <v>38015</v>
      </c>
      <c r="B9927" s="48" t="s">
        <v>9228</v>
      </c>
      <c r="C9927" s="47" t="s">
        <v>65</v>
      </c>
      <c r="D9927" s="332">
        <v>141.36000000000001</v>
      </c>
    </row>
    <row r="9928" spans="1:4">
      <c r="A9928" s="28">
        <v>38016</v>
      </c>
      <c r="B9928" s="26" t="s">
        <v>9229</v>
      </c>
      <c r="C9928" s="28" t="s">
        <v>65</v>
      </c>
      <c r="D9928" s="329">
        <v>172</v>
      </c>
    </row>
    <row r="9929" spans="1:4">
      <c r="A9929" s="47">
        <v>12741</v>
      </c>
      <c r="B9929" s="48" t="s">
        <v>9233</v>
      </c>
      <c r="C9929" s="47" t="s">
        <v>65</v>
      </c>
      <c r="D9929" s="332">
        <v>968.8</v>
      </c>
    </row>
    <row r="9930" spans="1:4">
      <c r="A9930" s="28">
        <v>12733</v>
      </c>
      <c r="B9930" s="26" t="s">
        <v>9234</v>
      </c>
      <c r="C9930" s="28" t="s">
        <v>65</v>
      </c>
      <c r="D9930" s="329">
        <v>4.87</v>
      </c>
    </row>
    <row r="9931" spans="1:4" ht="43.5" customHeight="1">
      <c r="A9931" s="47">
        <v>12734</v>
      </c>
      <c r="B9931" s="48" t="s">
        <v>9235</v>
      </c>
      <c r="C9931" s="47" t="s">
        <v>65</v>
      </c>
      <c r="D9931" s="332">
        <v>10.39</v>
      </c>
    </row>
    <row r="9932" spans="1:4">
      <c r="A9932" s="28">
        <v>12735</v>
      </c>
      <c r="B9932" s="26" t="s">
        <v>9236</v>
      </c>
      <c r="C9932" s="28" t="s">
        <v>65</v>
      </c>
      <c r="D9932" s="329">
        <v>17.09</v>
      </c>
    </row>
    <row r="9933" spans="1:4">
      <c r="A9933" s="47">
        <v>12736</v>
      </c>
      <c r="B9933" s="48" t="s">
        <v>9237</v>
      </c>
      <c r="C9933" s="47" t="s">
        <v>65</v>
      </c>
      <c r="D9933" s="332">
        <v>39.07</v>
      </c>
    </row>
    <row r="9934" spans="1:4">
      <c r="A9934" s="28">
        <v>12737</v>
      </c>
      <c r="B9934" s="26" t="s">
        <v>9238</v>
      </c>
      <c r="C9934" s="28" t="s">
        <v>65</v>
      </c>
      <c r="D9934" s="329">
        <v>50.34</v>
      </c>
    </row>
    <row r="9935" spans="1:4">
      <c r="A9935" s="47">
        <v>12738</v>
      </c>
      <c r="B9935" s="48" t="s">
        <v>9239</v>
      </c>
      <c r="C9935" s="47" t="s">
        <v>65</v>
      </c>
      <c r="D9935" s="332">
        <v>99.49</v>
      </c>
    </row>
    <row r="9936" spans="1:4">
      <c r="A9936" s="28">
        <v>12739</v>
      </c>
      <c r="B9936" s="26" t="s">
        <v>9240</v>
      </c>
      <c r="C9936" s="28" t="s">
        <v>65</v>
      </c>
      <c r="D9936" s="329">
        <v>283.20999999999998</v>
      </c>
    </row>
    <row r="9937" spans="1:4">
      <c r="A9937" s="47">
        <v>12740</v>
      </c>
      <c r="B9937" s="48" t="s">
        <v>9241</v>
      </c>
      <c r="C9937" s="47" t="s">
        <v>65</v>
      </c>
      <c r="D9937" s="332">
        <v>443.09</v>
      </c>
    </row>
    <row r="9938" spans="1:4">
      <c r="A9938" s="28">
        <v>6297</v>
      </c>
      <c r="B9938" s="26" t="s">
        <v>11524</v>
      </c>
      <c r="C9938" s="28" t="s">
        <v>65</v>
      </c>
      <c r="D9938" s="329">
        <v>24.07</v>
      </c>
    </row>
    <row r="9939" spans="1:4">
      <c r="A9939" s="47">
        <v>6296</v>
      </c>
      <c r="B9939" s="48" t="s">
        <v>11525</v>
      </c>
      <c r="C9939" s="47" t="s">
        <v>65</v>
      </c>
      <c r="D9939" s="332">
        <v>18.989999999999998</v>
      </c>
    </row>
    <row r="9940" spans="1:4">
      <c r="A9940" s="28">
        <v>6294</v>
      </c>
      <c r="B9940" s="26" t="s">
        <v>11526</v>
      </c>
      <c r="C9940" s="28" t="s">
        <v>65</v>
      </c>
      <c r="D9940" s="329">
        <v>5.41</v>
      </c>
    </row>
    <row r="9941" spans="1:4">
      <c r="A9941" s="47">
        <v>6323</v>
      </c>
      <c r="B9941" s="48" t="s">
        <v>11527</v>
      </c>
      <c r="C9941" s="47" t="s">
        <v>65</v>
      </c>
      <c r="D9941" s="332">
        <v>12.41</v>
      </c>
    </row>
    <row r="9942" spans="1:4">
      <c r="A9942" s="28">
        <v>6299</v>
      </c>
      <c r="B9942" s="26" t="s">
        <v>11528</v>
      </c>
      <c r="C9942" s="28" t="s">
        <v>65</v>
      </c>
      <c r="D9942" s="329">
        <v>72.38</v>
      </c>
    </row>
    <row r="9943" spans="1:4">
      <c r="A9943" s="47">
        <v>6298</v>
      </c>
      <c r="B9943" s="48" t="s">
        <v>11529</v>
      </c>
      <c r="C9943" s="47" t="s">
        <v>65</v>
      </c>
      <c r="D9943" s="332">
        <v>38.119999999999997</v>
      </c>
    </row>
    <row r="9944" spans="1:4">
      <c r="A9944" s="28">
        <v>6295</v>
      </c>
      <c r="B9944" s="26" t="s">
        <v>11530</v>
      </c>
      <c r="C9944" s="28" t="s">
        <v>65</v>
      </c>
      <c r="D9944" s="329">
        <v>7.71</v>
      </c>
    </row>
    <row r="9945" spans="1:4">
      <c r="A9945" s="47">
        <v>6322</v>
      </c>
      <c r="B9945" s="48" t="s">
        <v>11531</v>
      </c>
      <c r="C9945" s="47" t="s">
        <v>65</v>
      </c>
      <c r="D9945" s="332">
        <v>96.95</v>
      </c>
    </row>
    <row r="9946" spans="1:4">
      <c r="A9946" s="28">
        <v>6300</v>
      </c>
      <c r="B9946" s="26" t="s">
        <v>11532</v>
      </c>
      <c r="C9946" s="28" t="s">
        <v>65</v>
      </c>
      <c r="D9946" s="329">
        <v>178.74</v>
      </c>
    </row>
    <row r="9947" spans="1:4">
      <c r="A9947" s="47">
        <v>6321</v>
      </c>
      <c r="B9947" s="48" t="s">
        <v>11533</v>
      </c>
      <c r="C9947" s="47" t="s">
        <v>65</v>
      </c>
      <c r="D9947" s="332">
        <v>255.32</v>
      </c>
    </row>
    <row r="9948" spans="1:4">
      <c r="A9948" s="28">
        <v>6301</v>
      </c>
      <c r="B9948" s="26" t="s">
        <v>11534</v>
      </c>
      <c r="C9948" s="28" t="s">
        <v>65</v>
      </c>
      <c r="D9948" s="329">
        <v>598.45000000000005</v>
      </c>
    </row>
    <row r="9949" spans="1:4">
      <c r="A9949" s="47">
        <v>7105</v>
      </c>
      <c r="B9949" s="48" t="s">
        <v>9254</v>
      </c>
      <c r="C9949" s="47" t="s">
        <v>65</v>
      </c>
      <c r="D9949" s="332">
        <v>28.07</v>
      </c>
    </row>
    <row r="9950" spans="1:4">
      <c r="A9950" s="28">
        <v>20183</v>
      </c>
      <c r="B9950" s="26" t="s">
        <v>9255</v>
      </c>
      <c r="C9950" s="28" t="s">
        <v>65</v>
      </c>
      <c r="D9950" s="329">
        <v>39.549999999999997</v>
      </c>
    </row>
    <row r="9951" spans="1:4">
      <c r="A9951" s="47">
        <v>38448</v>
      </c>
      <c r="B9951" s="48" t="s">
        <v>9256</v>
      </c>
      <c r="C9951" s="47" t="s">
        <v>65</v>
      </c>
      <c r="D9951" s="332">
        <v>209.84</v>
      </c>
    </row>
    <row r="9952" spans="1:4">
      <c r="A9952" s="28">
        <v>20182</v>
      </c>
      <c r="B9952" s="26" t="s">
        <v>9257</v>
      </c>
      <c r="C9952" s="28" t="s">
        <v>65</v>
      </c>
      <c r="D9952" s="329">
        <v>29.16</v>
      </c>
    </row>
    <row r="9953" spans="1:4">
      <c r="A9953" s="47">
        <v>7119</v>
      </c>
      <c r="B9953" s="48" t="s">
        <v>9262</v>
      </c>
      <c r="C9953" s="47" t="s">
        <v>65</v>
      </c>
      <c r="D9953" s="332">
        <v>6.19</v>
      </c>
    </row>
    <row r="9954" spans="1:4">
      <c r="A9954" s="28">
        <v>7120</v>
      </c>
      <c r="B9954" s="26" t="s">
        <v>9263</v>
      </c>
      <c r="C9954" s="28" t="s">
        <v>65</v>
      </c>
      <c r="D9954" s="329">
        <v>3.66</v>
      </c>
    </row>
    <row r="9955" spans="1:4">
      <c r="A9955" s="47">
        <v>6319</v>
      </c>
      <c r="B9955" s="48" t="s">
        <v>9264</v>
      </c>
      <c r="C9955" s="47" t="s">
        <v>65</v>
      </c>
      <c r="D9955" s="332">
        <v>28.27</v>
      </c>
    </row>
    <row r="9956" spans="1:4">
      <c r="A9956" s="28">
        <v>6304</v>
      </c>
      <c r="B9956" s="26" t="s">
        <v>9265</v>
      </c>
      <c r="C9956" s="28" t="s">
        <v>65</v>
      </c>
      <c r="D9956" s="329">
        <v>28.27</v>
      </c>
    </row>
    <row r="9957" spans="1:4">
      <c r="A9957" s="47">
        <v>21116</v>
      </c>
      <c r="B9957" s="48" t="s">
        <v>9266</v>
      </c>
      <c r="C9957" s="47" t="s">
        <v>65</v>
      </c>
      <c r="D9957" s="332">
        <v>21.41</v>
      </c>
    </row>
    <row r="9958" spans="1:4">
      <c r="A9958" s="28">
        <v>6320</v>
      </c>
      <c r="B9958" s="26" t="s">
        <v>9267</v>
      </c>
      <c r="C9958" s="28" t="s">
        <v>65</v>
      </c>
      <c r="D9958" s="329">
        <v>14.56</v>
      </c>
    </row>
    <row r="9959" spans="1:4">
      <c r="A9959" s="47">
        <v>6303</v>
      </c>
      <c r="B9959" s="48" t="s">
        <v>9268</v>
      </c>
      <c r="C9959" s="47" t="s">
        <v>65</v>
      </c>
      <c r="D9959" s="332">
        <v>14.56</v>
      </c>
    </row>
    <row r="9960" spans="1:4">
      <c r="A9960" s="28">
        <v>6308</v>
      </c>
      <c r="B9960" s="26" t="s">
        <v>9269</v>
      </c>
      <c r="C9960" s="28" t="s">
        <v>65</v>
      </c>
      <c r="D9960" s="329">
        <v>78.239999999999995</v>
      </c>
    </row>
    <row r="9961" spans="1:4">
      <c r="A9961" s="47">
        <v>6317</v>
      </c>
      <c r="B9961" s="48" t="s">
        <v>9270</v>
      </c>
      <c r="C9961" s="47" t="s">
        <v>65</v>
      </c>
      <c r="D9961" s="332">
        <v>78.239999999999995</v>
      </c>
    </row>
    <row r="9962" spans="1:4">
      <c r="A9962" s="28">
        <v>6307</v>
      </c>
      <c r="B9962" s="26" t="s">
        <v>9271</v>
      </c>
      <c r="C9962" s="28" t="s">
        <v>65</v>
      </c>
      <c r="D9962" s="329">
        <v>78.239999999999995</v>
      </c>
    </row>
    <row r="9963" spans="1:4">
      <c r="A9963" s="47">
        <v>6309</v>
      </c>
      <c r="B9963" s="48" t="s">
        <v>9272</v>
      </c>
      <c r="C9963" s="47" t="s">
        <v>65</v>
      </c>
      <c r="D9963" s="332">
        <v>80.510000000000005</v>
      </c>
    </row>
    <row r="9964" spans="1:4">
      <c r="A9964" s="28">
        <v>6318</v>
      </c>
      <c r="B9964" s="26" t="s">
        <v>9273</v>
      </c>
      <c r="C9964" s="28" t="s">
        <v>65</v>
      </c>
      <c r="D9964" s="329">
        <v>42.2</v>
      </c>
    </row>
    <row r="9965" spans="1:4">
      <c r="A9965" s="47">
        <v>6306</v>
      </c>
      <c r="B9965" s="48" t="s">
        <v>9274</v>
      </c>
      <c r="C9965" s="47" t="s">
        <v>65</v>
      </c>
      <c r="D9965" s="332">
        <v>42.2</v>
      </c>
    </row>
    <row r="9966" spans="1:4">
      <c r="A9966" s="28">
        <v>6305</v>
      </c>
      <c r="B9966" s="26" t="s">
        <v>9275</v>
      </c>
      <c r="C9966" s="28" t="s">
        <v>65</v>
      </c>
      <c r="D9966" s="329">
        <v>42.2</v>
      </c>
    </row>
    <row r="9967" spans="1:4">
      <c r="A9967" s="47">
        <v>6302</v>
      </c>
      <c r="B9967" s="48" t="s">
        <v>9281</v>
      </c>
      <c r="C9967" s="47" t="s">
        <v>65</v>
      </c>
      <c r="D9967" s="332">
        <v>8.9499999999999993</v>
      </c>
    </row>
    <row r="9968" spans="1:4">
      <c r="A9968" s="28">
        <v>6312</v>
      </c>
      <c r="B9968" s="26" t="s">
        <v>9276</v>
      </c>
      <c r="C9968" s="28" t="s">
        <v>65</v>
      </c>
      <c r="D9968" s="329">
        <v>112.54</v>
      </c>
    </row>
    <row r="9969" spans="1:4">
      <c r="A9969" s="47">
        <v>6311</v>
      </c>
      <c r="B9969" s="48" t="s">
        <v>9277</v>
      </c>
      <c r="C9969" s="47" t="s">
        <v>65</v>
      </c>
      <c r="D9969" s="332">
        <v>112.54</v>
      </c>
    </row>
    <row r="9970" spans="1:4">
      <c r="A9970" s="28">
        <v>6310</v>
      </c>
      <c r="B9970" s="26" t="s">
        <v>9278</v>
      </c>
      <c r="C9970" s="28" t="s">
        <v>65</v>
      </c>
      <c r="D9970" s="329">
        <v>112.54</v>
      </c>
    </row>
    <row r="9971" spans="1:4">
      <c r="A9971" s="47">
        <v>6314</v>
      </c>
      <c r="B9971" s="48" t="s">
        <v>9279</v>
      </c>
      <c r="C9971" s="47" t="s">
        <v>65</v>
      </c>
      <c r="D9971" s="332">
        <v>112.54</v>
      </c>
    </row>
    <row r="9972" spans="1:4">
      <c r="A9972" s="28">
        <v>6313</v>
      </c>
      <c r="B9972" s="26" t="s">
        <v>9280</v>
      </c>
      <c r="C9972" s="28" t="s">
        <v>65</v>
      </c>
      <c r="D9972" s="329">
        <v>112.54</v>
      </c>
    </row>
    <row r="9973" spans="1:4">
      <c r="A9973" s="47">
        <v>6315</v>
      </c>
      <c r="B9973" s="48" t="s">
        <v>9282</v>
      </c>
      <c r="C9973" s="47" t="s">
        <v>65</v>
      </c>
      <c r="D9973" s="332">
        <v>213.08</v>
      </c>
    </row>
    <row r="9974" spans="1:4">
      <c r="A9974" s="28">
        <v>6316</v>
      </c>
      <c r="B9974" s="26" t="s">
        <v>9283</v>
      </c>
      <c r="C9974" s="28" t="s">
        <v>65</v>
      </c>
      <c r="D9974" s="329">
        <v>213.08</v>
      </c>
    </row>
    <row r="9975" spans="1:4">
      <c r="A9975" s="47">
        <v>39324</v>
      </c>
      <c r="B9975" s="48" t="s">
        <v>9284</v>
      </c>
      <c r="C9975" s="47" t="s">
        <v>65</v>
      </c>
      <c r="D9975" s="332">
        <v>5.96</v>
      </c>
    </row>
    <row r="9976" spans="1:4">
      <c r="A9976" s="28">
        <v>39325</v>
      </c>
      <c r="B9976" s="26" t="s">
        <v>9285</v>
      </c>
      <c r="C9976" s="28" t="s">
        <v>65</v>
      </c>
      <c r="D9976" s="329">
        <v>9.02</v>
      </c>
    </row>
    <row r="9977" spans="1:4">
      <c r="A9977" s="47">
        <v>39326</v>
      </c>
      <c r="B9977" s="48" t="s">
        <v>9286</v>
      </c>
      <c r="C9977" s="47" t="s">
        <v>65</v>
      </c>
      <c r="D9977" s="332">
        <v>23.22</v>
      </c>
    </row>
    <row r="9978" spans="1:4">
      <c r="A9978" s="28">
        <v>39327</v>
      </c>
      <c r="B9978" s="26" t="s">
        <v>9287</v>
      </c>
      <c r="C9978" s="28" t="s">
        <v>65</v>
      </c>
      <c r="D9978" s="329">
        <v>35.17</v>
      </c>
    </row>
    <row r="9979" spans="1:4" ht="30">
      <c r="A9979" s="47">
        <v>20176</v>
      </c>
      <c r="B9979" s="48" t="s">
        <v>9288</v>
      </c>
      <c r="C9979" s="47" t="s">
        <v>65</v>
      </c>
      <c r="D9979" s="332">
        <v>56.91</v>
      </c>
    </row>
    <row r="9980" spans="1:4" ht="30">
      <c r="A9980" s="28">
        <v>11378</v>
      </c>
      <c r="B9980" s="26" t="s">
        <v>9289</v>
      </c>
      <c r="C9980" s="28" t="s">
        <v>65</v>
      </c>
      <c r="D9980" s="329">
        <v>69.349999999999994</v>
      </c>
    </row>
    <row r="9981" spans="1:4" ht="30">
      <c r="A9981" s="47">
        <v>11379</v>
      </c>
      <c r="B9981" s="48" t="s">
        <v>9290</v>
      </c>
      <c r="C9981" s="47" t="s">
        <v>65</v>
      </c>
      <c r="D9981" s="332">
        <v>75.739999999999995</v>
      </c>
    </row>
    <row r="9982" spans="1:4" ht="30">
      <c r="A9982" s="28">
        <v>11493</v>
      </c>
      <c r="B9982" s="26" t="s">
        <v>9291</v>
      </c>
      <c r="C9982" s="28" t="s">
        <v>65</v>
      </c>
      <c r="D9982" s="329">
        <v>38.33</v>
      </c>
    </row>
    <row r="9983" spans="1:4" ht="30">
      <c r="A9983" s="47">
        <v>41896</v>
      </c>
      <c r="B9983" s="48" t="s">
        <v>9292</v>
      </c>
      <c r="C9983" s="47" t="s">
        <v>65</v>
      </c>
      <c r="D9983" s="332">
        <v>210.47</v>
      </c>
    </row>
    <row r="9984" spans="1:4" ht="30">
      <c r="A9984" s="28">
        <v>7068</v>
      </c>
      <c r="B9984" s="26" t="s">
        <v>9293</v>
      </c>
      <c r="C9984" s="28" t="s">
        <v>65</v>
      </c>
      <c r="D9984" s="329">
        <v>372.04</v>
      </c>
    </row>
    <row r="9985" spans="1:4">
      <c r="A9985" s="47">
        <v>7106</v>
      </c>
      <c r="B9985" s="48" t="s">
        <v>9294</v>
      </c>
      <c r="C9985" s="47" t="s">
        <v>65</v>
      </c>
      <c r="D9985" s="332">
        <v>83.8</v>
      </c>
    </row>
    <row r="9986" spans="1:4">
      <c r="A9986" s="28">
        <v>7104</v>
      </c>
      <c r="B9986" s="26" t="s">
        <v>9295</v>
      </c>
      <c r="C9986" s="28" t="s">
        <v>65</v>
      </c>
      <c r="D9986" s="329">
        <v>2.2999999999999998</v>
      </c>
    </row>
    <row r="9987" spans="1:4">
      <c r="A9987" s="47">
        <v>7136</v>
      </c>
      <c r="B9987" s="48" t="s">
        <v>9296</v>
      </c>
      <c r="C9987" s="47" t="s">
        <v>65</v>
      </c>
      <c r="D9987" s="332">
        <v>4.4800000000000004</v>
      </c>
    </row>
    <row r="9988" spans="1:4">
      <c r="A9988" s="28">
        <v>7128</v>
      </c>
      <c r="B9988" s="26" t="s">
        <v>9297</v>
      </c>
      <c r="C9988" s="28" t="s">
        <v>65</v>
      </c>
      <c r="D9988" s="329">
        <v>6.11</v>
      </c>
    </row>
    <row r="9989" spans="1:4">
      <c r="A9989" s="47">
        <v>7108</v>
      </c>
      <c r="B9989" s="48" t="s">
        <v>9298</v>
      </c>
      <c r="C9989" s="47" t="s">
        <v>65</v>
      </c>
      <c r="D9989" s="332">
        <v>6.77</v>
      </c>
    </row>
    <row r="9990" spans="1:4">
      <c r="A9990" s="28">
        <v>7129</v>
      </c>
      <c r="B9990" s="26" t="s">
        <v>9299</v>
      </c>
      <c r="C9990" s="28" t="s">
        <v>65</v>
      </c>
      <c r="D9990" s="329">
        <v>6.8</v>
      </c>
    </row>
    <row r="9991" spans="1:4">
      <c r="A9991" s="47">
        <v>7130</v>
      </c>
      <c r="B9991" s="48" t="s">
        <v>9300</v>
      </c>
      <c r="C9991" s="47" t="s">
        <v>65</v>
      </c>
      <c r="D9991" s="332">
        <v>9.2200000000000006</v>
      </c>
    </row>
    <row r="9992" spans="1:4">
      <c r="A9992" s="28">
        <v>7131</v>
      </c>
      <c r="B9992" s="26" t="s">
        <v>9301</v>
      </c>
      <c r="C9992" s="28" t="s">
        <v>65</v>
      </c>
      <c r="D9992" s="329">
        <v>10.6</v>
      </c>
    </row>
    <row r="9993" spans="1:4">
      <c r="A9993" s="47">
        <v>7132</v>
      </c>
      <c r="B9993" s="48" t="s">
        <v>9302</v>
      </c>
      <c r="C9993" s="47" t="s">
        <v>65</v>
      </c>
      <c r="D9993" s="332">
        <v>31.58</v>
      </c>
    </row>
    <row r="9994" spans="1:4">
      <c r="A9994" s="28">
        <v>7133</v>
      </c>
      <c r="B9994" s="26" t="s">
        <v>9303</v>
      </c>
      <c r="C9994" s="28" t="s">
        <v>65</v>
      </c>
      <c r="D9994" s="329">
        <v>50.12</v>
      </c>
    </row>
    <row r="9995" spans="1:4" ht="30">
      <c r="A9995" s="47">
        <v>37420</v>
      </c>
      <c r="B9995" s="48" t="s">
        <v>9322</v>
      </c>
      <c r="C9995" s="47" t="s">
        <v>65</v>
      </c>
      <c r="D9995" s="332">
        <v>19.97</v>
      </c>
    </row>
    <row r="9996" spans="1:4" ht="30">
      <c r="A9996" s="28">
        <v>37421</v>
      </c>
      <c r="B9996" s="26" t="s">
        <v>9323</v>
      </c>
      <c r="C9996" s="28" t="s">
        <v>65</v>
      </c>
      <c r="D9996" s="329">
        <v>27.3</v>
      </c>
    </row>
    <row r="9997" spans="1:4" ht="30">
      <c r="A9997" s="47">
        <v>37422</v>
      </c>
      <c r="B9997" s="48" t="s">
        <v>9321</v>
      </c>
      <c r="C9997" s="47" t="s">
        <v>65</v>
      </c>
      <c r="D9997" s="332">
        <v>25.55</v>
      </c>
    </row>
    <row r="9998" spans="1:4">
      <c r="A9998" s="28">
        <v>37443</v>
      </c>
      <c r="B9998" s="26" t="s">
        <v>9324</v>
      </c>
      <c r="C9998" s="28" t="s">
        <v>65</v>
      </c>
      <c r="D9998" s="329">
        <v>106.01</v>
      </c>
    </row>
    <row r="9999" spans="1:4">
      <c r="A9999" s="47">
        <v>37444</v>
      </c>
      <c r="B9999" s="48" t="s">
        <v>9325</v>
      </c>
      <c r="C9999" s="47" t="s">
        <v>65</v>
      </c>
      <c r="D9999" s="332">
        <v>107.81</v>
      </c>
    </row>
    <row r="10000" spans="1:4">
      <c r="A10000" s="28">
        <v>37445</v>
      </c>
      <c r="B10000" s="26" t="s">
        <v>9326</v>
      </c>
      <c r="C10000" s="28" t="s">
        <v>65</v>
      </c>
      <c r="D10000" s="329">
        <v>163.41</v>
      </c>
    </row>
    <row r="10001" spans="1:4">
      <c r="A10001" s="47">
        <v>37446</v>
      </c>
      <c r="B10001" s="48" t="s">
        <v>9327</v>
      </c>
      <c r="C10001" s="47" t="s">
        <v>65</v>
      </c>
      <c r="D10001" s="332">
        <v>178.14</v>
      </c>
    </row>
    <row r="10002" spans="1:4">
      <c r="A10002" s="28">
        <v>37447</v>
      </c>
      <c r="B10002" s="26" t="s">
        <v>9328</v>
      </c>
      <c r="C10002" s="28" t="s">
        <v>65</v>
      </c>
      <c r="D10002" s="329">
        <v>180.93</v>
      </c>
    </row>
    <row r="10003" spans="1:4">
      <c r="A10003" s="47">
        <v>37448</v>
      </c>
      <c r="B10003" s="48" t="s">
        <v>9329</v>
      </c>
      <c r="C10003" s="47" t="s">
        <v>65</v>
      </c>
      <c r="D10003" s="332">
        <v>248.17</v>
      </c>
    </row>
    <row r="10004" spans="1:4">
      <c r="A10004" s="28">
        <v>37440</v>
      </c>
      <c r="B10004" s="26" t="s">
        <v>9330</v>
      </c>
      <c r="C10004" s="28" t="s">
        <v>65</v>
      </c>
      <c r="D10004" s="329">
        <v>84.14</v>
      </c>
    </row>
    <row r="10005" spans="1:4">
      <c r="A10005" s="47">
        <v>37441</v>
      </c>
      <c r="B10005" s="48" t="s">
        <v>9331</v>
      </c>
      <c r="C10005" s="47" t="s">
        <v>65</v>
      </c>
      <c r="D10005" s="332">
        <v>84.14</v>
      </c>
    </row>
    <row r="10006" spans="1:4">
      <c r="A10006" s="28">
        <v>37442</v>
      </c>
      <c r="B10006" s="26" t="s">
        <v>9332</v>
      </c>
      <c r="C10006" s="28" t="s">
        <v>65</v>
      </c>
      <c r="D10006" s="329">
        <v>101.34</v>
      </c>
    </row>
    <row r="10007" spans="1:4">
      <c r="A10007" s="47">
        <v>38017</v>
      </c>
      <c r="B10007" s="48" t="s">
        <v>9333</v>
      </c>
      <c r="C10007" s="47" t="s">
        <v>65</v>
      </c>
      <c r="D10007" s="332">
        <v>8.4700000000000006</v>
      </c>
    </row>
    <row r="10008" spans="1:4">
      <c r="A10008" s="28">
        <v>38018</v>
      </c>
      <c r="B10008" s="26" t="s">
        <v>9334</v>
      </c>
      <c r="C10008" s="28" t="s">
        <v>65</v>
      </c>
      <c r="D10008" s="329">
        <v>9.35</v>
      </c>
    </row>
    <row r="10009" spans="1:4">
      <c r="A10009" s="47">
        <v>38432</v>
      </c>
      <c r="B10009" s="48" t="s">
        <v>9335</v>
      </c>
      <c r="C10009" s="47" t="s">
        <v>65</v>
      </c>
      <c r="D10009" s="332">
        <v>13.08</v>
      </c>
    </row>
    <row r="10010" spans="1:4" ht="30">
      <c r="A10010" s="28">
        <v>39895</v>
      </c>
      <c r="B10010" s="26" t="s">
        <v>9339</v>
      </c>
      <c r="C10010" s="28" t="s">
        <v>65</v>
      </c>
      <c r="D10010" s="329">
        <v>35.19</v>
      </c>
    </row>
    <row r="10011" spans="1:4" ht="30">
      <c r="A10011" s="47">
        <v>39896</v>
      </c>
      <c r="B10011" s="48" t="s">
        <v>9340</v>
      </c>
      <c r="C10011" s="47" t="s">
        <v>65</v>
      </c>
      <c r="D10011" s="332">
        <v>51.58</v>
      </c>
    </row>
    <row r="10012" spans="1:4">
      <c r="A10012" s="28">
        <v>38675</v>
      </c>
      <c r="B10012" s="26" t="s">
        <v>9350</v>
      </c>
      <c r="C10012" s="28" t="s">
        <v>65</v>
      </c>
      <c r="D10012" s="329">
        <v>20.58</v>
      </c>
    </row>
    <row r="10013" spans="1:4">
      <c r="A10013" s="47">
        <v>38674</v>
      </c>
      <c r="B10013" s="48" t="s">
        <v>9351</v>
      </c>
      <c r="C10013" s="47" t="s">
        <v>65</v>
      </c>
      <c r="D10013" s="332">
        <v>29.46</v>
      </c>
    </row>
    <row r="10014" spans="1:4">
      <c r="A10014" s="28">
        <v>38019</v>
      </c>
      <c r="B10014" s="26" t="s">
        <v>9353</v>
      </c>
      <c r="C10014" s="28" t="s">
        <v>65</v>
      </c>
      <c r="D10014" s="329">
        <v>7.38</v>
      </c>
    </row>
    <row r="10015" spans="1:4">
      <c r="A10015" s="47">
        <v>38020</v>
      </c>
      <c r="B10015" s="48" t="s">
        <v>9354</v>
      </c>
      <c r="C10015" s="47" t="s">
        <v>65</v>
      </c>
      <c r="D10015" s="332">
        <v>9.35</v>
      </c>
    </row>
    <row r="10016" spans="1:4">
      <c r="A10016" s="28">
        <v>7094</v>
      </c>
      <c r="B10016" s="26" t="s">
        <v>9359</v>
      </c>
      <c r="C10016" s="28" t="s">
        <v>65</v>
      </c>
      <c r="D10016" s="329">
        <v>6.39</v>
      </c>
    </row>
    <row r="10017" spans="1:4">
      <c r="A10017" s="47">
        <v>7116</v>
      </c>
      <c r="B10017" s="48" t="s">
        <v>9360</v>
      </c>
      <c r="C10017" s="47" t="s">
        <v>65</v>
      </c>
      <c r="D10017" s="332">
        <v>2.08</v>
      </c>
    </row>
    <row r="10018" spans="1:4">
      <c r="A10018" s="28">
        <v>7118</v>
      </c>
      <c r="B10018" s="26" t="s">
        <v>9361</v>
      </c>
      <c r="C10018" s="28" t="s">
        <v>65</v>
      </c>
      <c r="D10018" s="329">
        <v>14.99</v>
      </c>
    </row>
    <row r="10019" spans="1:4">
      <c r="A10019" s="47">
        <v>7117</v>
      </c>
      <c r="B10019" s="48" t="s">
        <v>9362</v>
      </c>
      <c r="C10019" s="47" t="s">
        <v>65</v>
      </c>
      <c r="D10019" s="332">
        <v>11.4</v>
      </c>
    </row>
    <row r="10020" spans="1:4">
      <c r="A10020" s="28">
        <v>7098</v>
      </c>
      <c r="B10020" s="26" t="s">
        <v>9363</v>
      </c>
      <c r="C10020" s="28" t="s">
        <v>65</v>
      </c>
      <c r="D10020" s="329">
        <v>1.89</v>
      </c>
    </row>
    <row r="10021" spans="1:4">
      <c r="A10021" s="47">
        <v>7110</v>
      </c>
      <c r="B10021" s="48" t="s">
        <v>9364</v>
      </c>
      <c r="C10021" s="47" t="s">
        <v>65</v>
      </c>
      <c r="D10021" s="332">
        <v>27.08</v>
      </c>
    </row>
    <row r="10022" spans="1:4">
      <c r="A10022" s="28">
        <v>7123</v>
      </c>
      <c r="B10022" s="26" t="s">
        <v>9365</v>
      </c>
      <c r="C10022" s="28" t="s">
        <v>65</v>
      </c>
      <c r="D10022" s="329">
        <v>2.5</v>
      </c>
    </row>
    <row r="10023" spans="1:4" ht="30">
      <c r="A10023" s="47">
        <v>7121</v>
      </c>
      <c r="B10023" s="48" t="s">
        <v>9366</v>
      </c>
      <c r="C10023" s="47" t="s">
        <v>65</v>
      </c>
      <c r="D10023" s="332">
        <v>6.68</v>
      </c>
    </row>
    <row r="10024" spans="1:4" ht="30">
      <c r="A10024" s="28">
        <v>7137</v>
      </c>
      <c r="B10024" s="26" t="s">
        <v>9367</v>
      </c>
      <c r="C10024" s="28" t="s">
        <v>65</v>
      </c>
      <c r="D10024" s="329">
        <v>7.3</v>
      </c>
    </row>
    <row r="10025" spans="1:4" ht="30">
      <c r="A10025" s="47">
        <v>7122</v>
      </c>
      <c r="B10025" s="48" t="s">
        <v>9368</v>
      </c>
      <c r="C10025" s="47" t="s">
        <v>65</v>
      </c>
      <c r="D10025" s="332">
        <v>7.52</v>
      </c>
    </row>
    <row r="10026" spans="1:4" ht="30">
      <c r="A10026" s="28">
        <v>7114</v>
      </c>
      <c r="B10026" s="26" t="s">
        <v>9369</v>
      </c>
      <c r="C10026" s="28" t="s">
        <v>65</v>
      </c>
      <c r="D10026" s="329">
        <v>12.56</v>
      </c>
    </row>
    <row r="10027" spans="1:4" ht="30">
      <c r="A10027" s="47">
        <v>7109</v>
      </c>
      <c r="B10027" s="48" t="s">
        <v>9370</v>
      </c>
      <c r="C10027" s="47" t="s">
        <v>65</v>
      </c>
      <c r="D10027" s="332">
        <v>1.78</v>
      </c>
    </row>
    <row r="10028" spans="1:4" ht="30">
      <c r="A10028" s="28">
        <v>7135</v>
      </c>
      <c r="B10028" s="26" t="s">
        <v>9371</v>
      </c>
      <c r="C10028" s="28" t="s">
        <v>65</v>
      </c>
      <c r="D10028" s="329">
        <v>2.83</v>
      </c>
    </row>
    <row r="10029" spans="1:4" ht="30">
      <c r="A10029" s="47">
        <v>37947</v>
      </c>
      <c r="B10029" s="48" t="s">
        <v>9372</v>
      </c>
      <c r="C10029" s="47" t="s">
        <v>65</v>
      </c>
      <c r="D10029" s="332">
        <v>2.76</v>
      </c>
    </row>
    <row r="10030" spans="1:4" ht="30">
      <c r="A10030" s="28">
        <v>7103</v>
      </c>
      <c r="B10030" s="26" t="s">
        <v>9373</v>
      </c>
      <c r="C10030" s="28" t="s">
        <v>65</v>
      </c>
      <c r="D10030" s="329">
        <v>12.56</v>
      </c>
    </row>
    <row r="10031" spans="1:4">
      <c r="A10031" s="47">
        <v>7126</v>
      </c>
      <c r="B10031" s="48" t="s">
        <v>9374</v>
      </c>
      <c r="C10031" s="47" t="s">
        <v>65</v>
      </c>
      <c r="D10031" s="332">
        <v>11.99</v>
      </c>
    </row>
    <row r="10032" spans="1:4">
      <c r="A10032" s="28">
        <v>7091</v>
      </c>
      <c r="B10032" s="26" t="s">
        <v>9375</v>
      </c>
      <c r="C10032" s="28" t="s">
        <v>65</v>
      </c>
      <c r="D10032" s="329">
        <v>11.32</v>
      </c>
    </row>
    <row r="10033" spans="1:4">
      <c r="A10033" s="47">
        <v>11655</v>
      </c>
      <c r="B10033" s="48" t="s">
        <v>9376</v>
      </c>
      <c r="C10033" s="47" t="s">
        <v>65</v>
      </c>
      <c r="D10033" s="332">
        <v>10.130000000000001</v>
      </c>
    </row>
    <row r="10034" spans="1:4">
      <c r="A10034" s="28">
        <v>11656</v>
      </c>
      <c r="B10034" s="26" t="s">
        <v>9377</v>
      </c>
      <c r="C10034" s="28" t="s">
        <v>65</v>
      </c>
      <c r="D10034" s="329">
        <v>10.42</v>
      </c>
    </row>
    <row r="10035" spans="1:4">
      <c r="A10035" s="47">
        <v>37948</v>
      </c>
      <c r="B10035" s="48" t="s">
        <v>9378</v>
      </c>
      <c r="C10035" s="47" t="s">
        <v>65</v>
      </c>
      <c r="D10035" s="332">
        <v>2.25</v>
      </c>
    </row>
    <row r="10036" spans="1:4">
      <c r="A10036" s="28">
        <v>7097</v>
      </c>
      <c r="B10036" s="26" t="s">
        <v>9379</v>
      </c>
      <c r="C10036" s="28" t="s">
        <v>65</v>
      </c>
      <c r="D10036" s="329">
        <v>5.03</v>
      </c>
    </row>
    <row r="10037" spans="1:4">
      <c r="A10037" s="47">
        <v>11657</v>
      </c>
      <c r="B10037" s="48" t="s">
        <v>9380</v>
      </c>
      <c r="C10037" s="47" t="s">
        <v>65</v>
      </c>
      <c r="D10037" s="332">
        <v>8.7899999999999991</v>
      </c>
    </row>
    <row r="10038" spans="1:4">
      <c r="A10038" s="28">
        <v>11658</v>
      </c>
      <c r="B10038" s="26" t="s">
        <v>9381</v>
      </c>
      <c r="C10038" s="28" t="s">
        <v>65</v>
      </c>
      <c r="D10038" s="329">
        <v>9.94</v>
      </c>
    </row>
    <row r="10039" spans="1:4">
      <c r="A10039" s="47">
        <v>7146</v>
      </c>
      <c r="B10039" s="48" t="s">
        <v>9383</v>
      </c>
      <c r="C10039" s="47" t="s">
        <v>65</v>
      </c>
      <c r="D10039" s="332">
        <v>113.49</v>
      </c>
    </row>
    <row r="10040" spans="1:4">
      <c r="A10040" s="28">
        <v>7138</v>
      </c>
      <c r="B10040" s="26" t="s">
        <v>9384</v>
      </c>
      <c r="C10040" s="28" t="s">
        <v>65</v>
      </c>
      <c r="D10040" s="329">
        <v>0.7</v>
      </c>
    </row>
    <row r="10041" spans="1:4">
      <c r="A10041" s="47">
        <v>7139</v>
      </c>
      <c r="B10041" s="48" t="s">
        <v>9385</v>
      </c>
      <c r="C10041" s="47" t="s">
        <v>65</v>
      </c>
      <c r="D10041" s="332">
        <v>0.97</v>
      </c>
    </row>
    <row r="10042" spans="1:4">
      <c r="A10042" s="28">
        <v>7140</v>
      </c>
      <c r="B10042" s="26" t="s">
        <v>9386</v>
      </c>
      <c r="C10042" s="28" t="s">
        <v>65</v>
      </c>
      <c r="D10042" s="329">
        <v>2.41</v>
      </c>
    </row>
    <row r="10043" spans="1:4">
      <c r="A10043" s="47">
        <v>7141</v>
      </c>
      <c r="B10043" s="48" t="s">
        <v>9387</v>
      </c>
      <c r="C10043" s="47" t="s">
        <v>65</v>
      </c>
      <c r="D10043" s="332">
        <v>6.22</v>
      </c>
    </row>
    <row r="10044" spans="1:4">
      <c r="A10044" s="28">
        <v>7143</v>
      </c>
      <c r="B10044" s="26" t="s">
        <v>9388</v>
      </c>
      <c r="C10044" s="28" t="s">
        <v>65</v>
      </c>
      <c r="D10044" s="329">
        <v>20.18</v>
      </c>
    </row>
    <row r="10045" spans="1:4">
      <c r="A10045" s="47">
        <v>7144</v>
      </c>
      <c r="B10045" s="48" t="s">
        <v>9389</v>
      </c>
      <c r="C10045" s="47" t="s">
        <v>65</v>
      </c>
      <c r="D10045" s="332">
        <v>38.68</v>
      </c>
    </row>
    <row r="10046" spans="1:4">
      <c r="A10046" s="28">
        <v>7145</v>
      </c>
      <c r="B10046" s="26" t="s">
        <v>9390</v>
      </c>
      <c r="C10046" s="28" t="s">
        <v>65</v>
      </c>
      <c r="D10046" s="329">
        <v>60.67</v>
      </c>
    </row>
    <row r="10047" spans="1:4">
      <c r="A10047" s="47">
        <v>7142</v>
      </c>
      <c r="B10047" s="48" t="s">
        <v>9391</v>
      </c>
      <c r="C10047" s="47" t="s">
        <v>65</v>
      </c>
      <c r="D10047" s="332">
        <v>7.04</v>
      </c>
    </row>
    <row r="10048" spans="1:4">
      <c r="A10048" s="28">
        <v>3593</v>
      </c>
      <c r="B10048" s="26" t="s">
        <v>11535</v>
      </c>
      <c r="C10048" s="28" t="s">
        <v>65</v>
      </c>
      <c r="D10048" s="329">
        <v>52.23</v>
      </c>
    </row>
    <row r="10049" spans="1:4">
      <c r="A10049" s="47">
        <v>3588</v>
      </c>
      <c r="B10049" s="48" t="s">
        <v>11536</v>
      </c>
      <c r="C10049" s="47" t="s">
        <v>65</v>
      </c>
      <c r="D10049" s="332">
        <v>40.26</v>
      </c>
    </row>
    <row r="10050" spans="1:4">
      <c r="A10050" s="28">
        <v>3585</v>
      </c>
      <c r="B10050" s="26" t="s">
        <v>11537</v>
      </c>
      <c r="C10050" s="28" t="s">
        <v>65</v>
      </c>
      <c r="D10050" s="329">
        <v>12.43</v>
      </c>
    </row>
    <row r="10051" spans="1:4">
      <c r="A10051" s="47">
        <v>3587</v>
      </c>
      <c r="B10051" s="48" t="s">
        <v>11538</v>
      </c>
      <c r="C10051" s="47" t="s">
        <v>65</v>
      </c>
      <c r="D10051" s="332">
        <v>24.98</v>
      </c>
    </row>
    <row r="10052" spans="1:4">
      <c r="A10052" s="28">
        <v>3590</v>
      </c>
      <c r="B10052" s="26" t="s">
        <v>11539</v>
      </c>
      <c r="C10052" s="28" t="s">
        <v>65</v>
      </c>
      <c r="D10052" s="329">
        <v>148.31</v>
      </c>
    </row>
    <row r="10053" spans="1:4">
      <c r="A10053" s="47">
        <v>3589</v>
      </c>
      <c r="B10053" s="48" t="s">
        <v>11540</v>
      </c>
      <c r="C10053" s="47" t="s">
        <v>65</v>
      </c>
      <c r="D10053" s="332">
        <v>79.599999999999994</v>
      </c>
    </row>
    <row r="10054" spans="1:4">
      <c r="A10054" s="28">
        <v>3586</v>
      </c>
      <c r="B10054" s="26" t="s">
        <v>11541</v>
      </c>
      <c r="C10054" s="28" t="s">
        <v>65</v>
      </c>
      <c r="D10054" s="329">
        <v>16.29</v>
      </c>
    </row>
    <row r="10055" spans="1:4">
      <c r="A10055" s="47">
        <v>3592</v>
      </c>
      <c r="B10055" s="48" t="s">
        <v>11542</v>
      </c>
      <c r="C10055" s="47" t="s">
        <v>65</v>
      </c>
      <c r="D10055" s="332">
        <v>234.43</v>
      </c>
    </row>
    <row r="10056" spans="1:4">
      <c r="A10056" s="28">
        <v>3591</v>
      </c>
      <c r="B10056" s="26" t="s">
        <v>11543</v>
      </c>
      <c r="C10056" s="28" t="s">
        <v>65</v>
      </c>
      <c r="D10056" s="329">
        <v>375.8</v>
      </c>
    </row>
    <row r="10057" spans="1:4">
      <c r="A10057" s="47">
        <v>20174</v>
      </c>
      <c r="B10057" s="48" t="s">
        <v>9428</v>
      </c>
      <c r="C10057" s="47" t="s">
        <v>65</v>
      </c>
      <c r="D10057" s="332">
        <v>48.82</v>
      </c>
    </row>
    <row r="10058" spans="1:4">
      <c r="A10058" s="28">
        <v>41892</v>
      </c>
      <c r="B10058" s="26" t="s">
        <v>9429</v>
      </c>
      <c r="C10058" s="28" t="s">
        <v>65</v>
      </c>
      <c r="D10058" s="329">
        <v>85.59</v>
      </c>
    </row>
    <row r="10059" spans="1:4">
      <c r="A10059" s="47">
        <v>7048</v>
      </c>
      <c r="B10059" s="48" t="s">
        <v>9430</v>
      </c>
      <c r="C10059" s="47" t="s">
        <v>65</v>
      </c>
      <c r="D10059" s="332">
        <v>18.39</v>
      </c>
    </row>
    <row r="10060" spans="1:4">
      <c r="A10060" s="28">
        <v>7088</v>
      </c>
      <c r="B10060" s="26" t="s">
        <v>9431</v>
      </c>
      <c r="C10060" s="28" t="s">
        <v>65</v>
      </c>
      <c r="D10060" s="329">
        <v>46.09</v>
      </c>
    </row>
    <row r="10061" spans="1:4">
      <c r="A10061" s="47">
        <v>20179</v>
      </c>
      <c r="B10061" s="48" t="s">
        <v>9448</v>
      </c>
      <c r="C10061" s="47" t="s">
        <v>65</v>
      </c>
      <c r="D10061" s="332">
        <v>41.7</v>
      </c>
    </row>
    <row r="10062" spans="1:4">
      <c r="A10062" s="28">
        <v>20178</v>
      </c>
      <c r="B10062" s="26" t="s">
        <v>9449</v>
      </c>
      <c r="C10062" s="28" t="s">
        <v>65</v>
      </c>
      <c r="D10062" s="329">
        <v>30.29</v>
      </c>
    </row>
    <row r="10063" spans="1:4">
      <c r="A10063" s="47">
        <v>20180</v>
      </c>
      <c r="B10063" s="48" t="s">
        <v>9450</v>
      </c>
      <c r="C10063" s="47" t="s">
        <v>65</v>
      </c>
      <c r="D10063" s="332">
        <v>71.2</v>
      </c>
    </row>
    <row r="10064" spans="1:4">
      <c r="A10064" s="28">
        <v>20181</v>
      </c>
      <c r="B10064" s="26" t="s">
        <v>9451</v>
      </c>
      <c r="C10064" s="28" t="s">
        <v>65</v>
      </c>
      <c r="D10064" s="329">
        <v>104.93</v>
      </c>
    </row>
    <row r="10065" spans="1:4">
      <c r="A10065" s="47">
        <v>38419</v>
      </c>
      <c r="B10065" s="48" t="s">
        <v>9452</v>
      </c>
      <c r="C10065" s="47" t="s">
        <v>65</v>
      </c>
      <c r="D10065" s="332">
        <v>7.16</v>
      </c>
    </row>
    <row r="10066" spans="1:4">
      <c r="A10066" s="28">
        <v>38420</v>
      </c>
      <c r="B10066" s="26" t="s">
        <v>9453</v>
      </c>
      <c r="C10066" s="28" t="s">
        <v>65</v>
      </c>
      <c r="D10066" s="329">
        <v>16.11</v>
      </c>
    </row>
    <row r="10067" spans="1:4">
      <c r="A10067" s="47">
        <v>20177</v>
      </c>
      <c r="B10067" s="48" t="s">
        <v>9454</v>
      </c>
      <c r="C10067" s="47" t="s">
        <v>65</v>
      </c>
      <c r="D10067" s="332">
        <v>23.97</v>
      </c>
    </row>
    <row r="10068" spans="1:4">
      <c r="A10068" s="28">
        <v>7082</v>
      </c>
      <c r="B10068" s="26" t="s">
        <v>9432</v>
      </c>
      <c r="C10068" s="28" t="s">
        <v>65</v>
      </c>
      <c r="D10068" s="329">
        <v>64.09</v>
      </c>
    </row>
    <row r="10069" spans="1:4">
      <c r="A10069" s="47">
        <v>7069</v>
      </c>
      <c r="B10069" s="48" t="s">
        <v>9433</v>
      </c>
      <c r="C10069" s="47" t="s">
        <v>65</v>
      </c>
      <c r="D10069" s="332">
        <v>105.62</v>
      </c>
    </row>
    <row r="10070" spans="1:4">
      <c r="A10070" s="28">
        <v>7070</v>
      </c>
      <c r="B10070" s="26" t="s">
        <v>9434</v>
      </c>
      <c r="C10070" s="28" t="s">
        <v>65</v>
      </c>
      <c r="D10070" s="329">
        <v>179.57</v>
      </c>
    </row>
    <row r="10071" spans="1:4">
      <c r="A10071" s="47">
        <v>41893</v>
      </c>
      <c r="B10071" s="48" t="s">
        <v>9435</v>
      </c>
      <c r="C10071" s="47" t="s">
        <v>65</v>
      </c>
      <c r="D10071" s="332">
        <v>685.22</v>
      </c>
    </row>
    <row r="10072" spans="1:4">
      <c r="A10072" s="28">
        <v>41894</v>
      </c>
      <c r="B10072" s="26" t="s">
        <v>9436</v>
      </c>
      <c r="C10072" s="28" t="s">
        <v>65</v>
      </c>
      <c r="D10072" s="329">
        <v>1051.5</v>
      </c>
    </row>
    <row r="10073" spans="1:4">
      <c r="A10073" s="47">
        <v>41895</v>
      </c>
      <c r="B10073" s="48" t="s">
        <v>9437</v>
      </c>
      <c r="C10073" s="47" t="s">
        <v>65</v>
      </c>
      <c r="D10073" s="332">
        <v>1162.7</v>
      </c>
    </row>
    <row r="10074" spans="1:4">
      <c r="A10074" s="28">
        <v>20172</v>
      </c>
      <c r="B10074" s="26" t="s">
        <v>9438</v>
      </c>
      <c r="C10074" s="28" t="s">
        <v>65</v>
      </c>
      <c r="D10074" s="329">
        <v>25.63</v>
      </c>
    </row>
    <row r="10075" spans="1:4">
      <c r="A10075" s="47">
        <v>7153</v>
      </c>
      <c r="B10075" s="48" t="s">
        <v>9485</v>
      </c>
      <c r="C10075" s="47" t="s">
        <v>57</v>
      </c>
      <c r="D10075" s="332">
        <v>49.03</v>
      </c>
    </row>
    <row r="10076" spans="1:4">
      <c r="A10076" s="28">
        <v>41089</v>
      </c>
      <c r="B10076" s="26" t="s">
        <v>9486</v>
      </c>
      <c r="C10076" s="28" t="s">
        <v>1643</v>
      </c>
      <c r="D10076" s="329">
        <v>8635.86</v>
      </c>
    </row>
    <row r="10077" spans="1:4">
      <c r="A10077" s="47">
        <v>6175</v>
      </c>
      <c r="B10077" s="48" t="s">
        <v>9487</v>
      </c>
      <c r="C10077" s="47" t="s">
        <v>57</v>
      </c>
      <c r="D10077" s="332">
        <v>58.91</v>
      </c>
    </row>
    <row r="10078" spans="1:4">
      <c r="A10078" s="28">
        <v>41092</v>
      </c>
      <c r="B10078" s="26" t="s">
        <v>9488</v>
      </c>
      <c r="C10078" s="28" t="s">
        <v>1643</v>
      </c>
      <c r="D10078" s="329">
        <v>10373.91</v>
      </c>
    </row>
    <row r="10079" spans="1:4" ht="30">
      <c r="A10079" s="47">
        <v>37712</v>
      </c>
      <c r="B10079" s="48" t="s">
        <v>9490</v>
      </c>
      <c r="C10079" s="47" t="s">
        <v>256</v>
      </c>
      <c r="D10079" s="332">
        <v>37.67</v>
      </c>
    </row>
    <row r="10080" spans="1:4" ht="30">
      <c r="A10080" s="28">
        <v>34547</v>
      </c>
      <c r="B10080" s="26" t="s">
        <v>9491</v>
      </c>
      <c r="C10080" s="28" t="s">
        <v>71</v>
      </c>
      <c r="D10080" s="329">
        <v>2.2000000000000002</v>
      </c>
    </row>
    <row r="10081" spans="1:4" ht="30">
      <c r="A10081" s="47">
        <v>34548</v>
      </c>
      <c r="B10081" s="48" t="s">
        <v>9492</v>
      </c>
      <c r="C10081" s="47" t="s">
        <v>71</v>
      </c>
      <c r="D10081" s="332">
        <v>2.14</v>
      </c>
    </row>
    <row r="10082" spans="1:4" ht="30">
      <c r="A10082" s="28">
        <v>37411</v>
      </c>
      <c r="B10082" s="26" t="s">
        <v>9493</v>
      </c>
      <c r="C10082" s="28" t="s">
        <v>256</v>
      </c>
      <c r="D10082" s="329">
        <v>10.78</v>
      </c>
    </row>
    <row r="10083" spans="1:4" ht="30">
      <c r="A10083" s="47">
        <v>34558</v>
      </c>
      <c r="B10083" s="48" t="s">
        <v>9494</v>
      </c>
      <c r="C10083" s="47" t="s">
        <v>71</v>
      </c>
      <c r="D10083" s="332">
        <v>1.44</v>
      </c>
    </row>
    <row r="10084" spans="1:4" ht="30">
      <c r="A10084" s="28">
        <v>34550</v>
      </c>
      <c r="B10084" s="26" t="s">
        <v>9495</v>
      </c>
      <c r="C10084" s="28" t="s">
        <v>71</v>
      </c>
      <c r="D10084" s="329">
        <v>0.76</v>
      </c>
    </row>
    <row r="10085" spans="1:4" ht="30">
      <c r="A10085" s="47">
        <v>34557</v>
      </c>
      <c r="B10085" s="48" t="s">
        <v>9496</v>
      </c>
      <c r="C10085" s="47" t="s">
        <v>71</v>
      </c>
      <c r="D10085" s="332">
        <v>1.35</v>
      </c>
    </row>
    <row r="10086" spans="1:4" ht="30">
      <c r="A10086" s="28">
        <v>7155</v>
      </c>
      <c r="B10086" s="26" t="s">
        <v>9497</v>
      </c>
      <c r="C10086" s="28" t="s">
        <v>256</v>
      </c>
      <c r="D10086" s="329">
        <v>12.42</v>
      </c>
    </row>
    <row r="10087" spans="1:4" ht="30">
      <c r="A10087" s="47">
        <v>7154</v>
      </c>
      <c r="B10087" s="48" t="s">
        <v>9498</v>
      </c>
      <c r="C10087" s="47" t="s">
        <v>90</v>
      </c>
      <c r="D10087" s="332">
        <v>5.59</v>
      </c>
    </row>
    <row r="10088" spans="1:4" ht="30">
      <c r="A10088" s="28">
        <v>10915</v>
      </c>
      <c r="B10088" s="26" t="s">
        <v>9499</v>
      </c>
      <c r="C10088" s="28" t="s">
        <v>90</v>
      </c>
      <c r="D10088" s="329">
        <v>5.8</v>
      </c>
    </row>
    <row r="10089" spans="1:4" ht="30">
      <c r="A10089" s="47">
        <v>10917</v>
      </c>
      <c r="B10089" s="48" t="s">
        <v>9500</v>
      </c>
      <c r="C10089" s="47" t="s">
        <v>256</v>
      </c>
      <c r="D10089" s="332">
        <v>5.63</v>
      </c>
    </row>
    <row r="10090" spans="1:4" ht="30">
      <c r="A10090" s="28">
        <v>21141</v>
      </c>
      <c r="B10090" s="26" t="s">
        <v>9501</v>
      </c>
      <c r="C10090" s="28" t="s">
        <v>256</v>
      </c>
      <c r="D10090" s="329">
        <v>8.35</v>
      </c>
    </row>
    <row r="10091" spans="1:4" ht="30">
      <c r="A10091" s="47">
        <v>10916</v>
      </c>
      <c r="B10091" s="48" t="s">
        <v>9502</v>
      </c>
      <c r="C10091" s="47" t="s">
        <v>90</v>
      </c>
      <c r="D10091" s="332">
        <v>5.64</v>
      </c>
    </row>
    <row r="10092" spans="1:4" ht="30">
      <c r="A10092" s="28">
        <v>39508</v>
      </c>
      <c r="B10092" s="26" t="s">
        <v>9503</v>
      </c>
      <c r="C10092" s="28" t="s">
        <v>256</v>
      </c>
      <c r="D10092" s="329">
        <v>9.92</v>
      </c>
    </row>
    <row r="10093" spans="1:4" ht="30">
      <c r="A10093" s="47">
        <v>39507</v>
      </c>
      <c r="B10093" s="48" t="s">
        <v>9504</v>
      </c>
      <c r="C10093" s="47" t="s">
        <v>256</v>
      </c>
      <c r="D10093" s="332">
        <v>9.7100000000000009</v>
      </c>
    </row>
    <row r="10094" spans="1:4" ht="30">
      <c r="A10094" s="28">
        <v>7156</v>
      </c>
      <c r="B10094" s="26" t="s">
        <v>9505</v>
      </c>
      <c r="C10094" s="28" t="s">
        <v>256</v>
      </c>
      <c r="D10094" s="329">
        <v>16.79</v>
      </c>
    </row>
    <row r="10095" spans="1:4" ht="30">
      <c r="A10095" s="47">
        <v>39509</v>
      </c>
      <c r="B10095" s="48" t="s">
        <v>9506</v>
      </c>
      <c r="C10095" s="47" t="s">
        <v>256</v>
      </c>
      <c r="D10095" s="332">
        <v>7.82</v>
      </c>
    </row>
    <row r="10096" spans="1:4">
      <c r="A10096" s="28">
        <v>25988</v>
      </c>
      <c r="B10096" s="26" t="s">
        <v>246</v>
      </c>
      <c r="C10096" s="28" t="s">
        <v>256</v>
      </c>
      <c r="D10096" s="329">
        <v>6.28</v>
      </c>
    </row>
    <row r="10097" spans="1:4" ht="30">
      <c r="A10097" s="47">
        <v>10928</v>
      </c>
      <c r="B10097" s="48" t="s">
        <v>9507</v>
      </c>
      <c r="C10097" s="47" t="s">
        <v>256</v>
      </c>
      <c r="D10097" s="332">
        <v>7.75</v>
      </c>
    </row>
    <row r="10098" spans="1:4" ht="30">
      <c r="A10098" s="28">
        <v>7167</v>
      </c>
      <c r="B10098" s="26" t="s">
        <v>9508</v>
      </c>
      <c r="C10098" s="28" t="s">
        <v>256</v>
      </c>
      <c r="D10098" s="329">
        <v>10.58</v>
      </c>
    </row>
    <row r="10099" spans="1:4" ht="30">
      <c r="A10099" s="47">
        <v>10933</v>
      </c>
      <c r="B10099" s="48" t="s">
        <v>9509</v>
      </c>
      <c r="C10099" s="47" t="s">
        <v>256</v>
      </c>
      <c r="D10099" s="332">
        <v>9.4600000000000009</v>
      </c>
    </row>
    <row r="10100" spans="1:4" ht="30">
      <c r="A10100" s="28">
        <v>10927</v>
      </c>
      <c r="B10100" s="26" t="s">
        <v>9510</v>
      </c>
      <c r="C10100" s="28" t="s">
        <v>256</v>
      </c>
      <c r="D10100" s="329">
        <v>11.43</v>
      </c>
    </row>
    <row r="10101" spans="1:4" ht="30">
      <c r="A10101" s="47">
        <v>7158</v>
      </c>
      <c r="B10101" s="48" t="s">
        <v>9511</v>
      </c>
      <c r="C10101" s="47" t="s">
        <v>256</v>
      </c>
      <c r="D10101" s="332">
        <v>15.95</v>
      </c>
    </row>
    <row r="10102" spans="1:4" ht="30">
      <c r="A10102" s="28">
        <v>7162</v>
      </c>
      <c r="B10102" s="26" t="s">
        <v>9512</v>
      </c>
      <c r="C10102" s="28" t="s">
        <v>256</v>
      </c>
      <c r="D10102" s="329">
        <v>23.98</v>
      </c>
    </row>
    <row r="10103" spans="1:4" ht="30">
      <c r="A10103" s="47">
        <v>10932</v>
      </c>
      <c r="B10103" s="48" t="s">
        <v>9513</v>
      </c>
      <c r="C10103" s="47" t="s">
        <v>256</v>
      </c>
      <c r="D10103" s="332">
        <v>42.47</v>
      </c>
    </row>
    <row r="10104" spans="1:4" ht="30">
      <c r="A10104" s="28">
        <v>40706</v>
      </c>
      <c r="B10104" s="26" t="s">
        <v>9514</v>
      </c>
      <c r="C10104" s="28" t="s">
        <v>256</v>
      </c>
      <c r="D10104" s="329">
        <v>25.46</v>
      </c>
    </row>
    <row r="10105" spans="1:4" ht="30">
      <c r="A10105" s="47">
        <v>10937</v>
      </c>
      <c r="B10105" s="48" t="s">
        <v>9515</v>
      </c>
      <c r="C10105" s="47" t="s">
        <v>256</v>
      </c>
      <c r="D10105" s="332">
        <v>16.690000000000001</v>
      </c>
    </row>
    <row r="10106" spans="1:4" ht="30">
      <c r="A10106" s="28">
        <v>10935</v>
      </c>
      <c r="B10106" s="26" t="s">
        <v>9516</v>
      </c>
      <c r="C10106" s="28" t="s">
        <v>256</v>
      </c>
      <c r="D10106" s="329">
        <v>21.98</v>
      </c>
    </row>
    <row r="10107" spans="1:4" ht="30">
      <c r="A10107" s="47">
        <v>40707</v>
      </c>
      <c r="B10107" s="48" t="s">
        <v>11544</v>
      </c>
      <c r="C10107" s="47" t="s">
        <v>256</v>
      </c>
      <c r="D10107" s="332">
        <v>50.61</v>
      </c>
    </row>
    <row r="10108" spans="1:4">
      <c r="A10108" s="28">
        <v>10931</v>
      </c>
      <c r="B10108" s="26" t="s">
        <v>9517</v>
      </c>
      <c r="C10108" s="28" t="s">
        <v>256</v>
      </c>
      <c r="D10108" s="329">
        <v>7.07</v>
      </c>
    </row>
    <row r="10109" spans="1:4">
      <c r="A10109" s="47">
        <v>7164</v>
      </c>
      <c r="B10109" s="48" t="s">
        <v>9518</v>
      </c>
      <c r="C10109" s="47" t="s">
        <v>256</v>
      </c>
      <c r="D10109" s="332">
        <v>19.809999999999999</v>
      </c>
    </row>
    <row r="10110" spans="1:4">
      <c r="A10110" s="28">
        <v>36887</v>
      </c>
      <c r="B10110" s="26" t="s">
        <v>9519</v>
      </c>
      <c r="C10110" s="28" t="s">
        <v>256</v>
      </c>
      <c r="D10110" s="329">
        <v>18.29</v>
      </c>
    </row>
    <row r="10111" spans="1:4" ht="30">
      <c r="A10111" s="47">
        <v>34614</v>
      </c>
      <c r="B10111" s="48" t="s">
        <v>9520</v>
      </c>
      <c r="C10111" s="47" t="s">
        <v>65</v>
      </c>
      <c r="D10111" s="332">
        <v>557.05999999999995</v>
      </c>
    </row>
    <row r="10112" spans="1:4">
      <c r="A10112" s="28">
        <v>7161</v>
      </c>
      <c r="B10112" s="26" t="s">
        <v>9521</v>
      </c>
      <c r="C10112" s="28" t="s">
        <v>256</v>
      </c>
      <c r="D10112" s="329">
        <v>3</v>
      </c>
    </row>
    <row r="10113" spans="1:4" ht="30">
      <c r="A10113" s="47">
        <v>7170</v>
      </c>
      <c r="B10113" s="48" t="s">
        <v>9522</v>
      </c>
      <c r="C10113" s="47" t="s">
        <v>256</v>
      </c>
      <c r="D10113" s="332">
        <v>2.6</v>
      </c>
    </row>
    <row r="10114" spans="1:4" ht="57.75" customHeight="1">
      <c r="A10114" s="28">
        <v>37524</v>
      </c>
      <c r="B10114" s="26" t="s">
        <v>9523</v>
      </c>
      <c r="C10114" s="28" t="s">
        <v>71</v>
      </c>
      <c r="D10114" s="329">
        <v>2.48</v>
      </c>
    </row>
    <row r="10115" spans="1:4" ht="30">
      <c r="A10115" s="47">
        <v>37525</v>
      </c>
      <c r="B10115" s="48" t="s">
        <v>9524</v>
      </c>
      <c r="C10115" s="47" t="s">
        <v>71</v>
      </c>
      <c r="D10115" s="332">
        <v>2.97</v>
      </c>
    </row>
    <row r="10116" spans="1:4">
      <c r="A10116" s="28">
        <v>10920</v>
      </c>
      <c r="B10116" s="26" t="s">
        <v>9525</v>
      </c>
      <c r="C10116" s="28" t="s">
        <v>256</v>
      </c>
      <c r="D10116" s="329">
        <v>11.19</v>
      </c>
    </row>
    <row r="10117" spans="1:4">
      <c r="A10117" s="47">
        <v>7238</v>
      </c>
      <c r="B10117" s="48" t="s">
        <v>9526</v>
      </c>
      <c r="C10117" s="47" t="s">
        <v>256</v>
      </c>
      <c r="D10117" s="332">
        <v>32.26</v>
      </c>
    </row>
    <row r="10118" spans="1:4" ht="57.75" customHeight="1">
      <c r="A10118" s="28">
        <v>7239</v>
      </c>
      <c r="B10118" s="26" t="s">
        <v>9527</v>
      </c>
      <c r="C10118" s="28" t="s">
        <v>256</v>
      </c>
      <c r="D10118" s="329">
        <v>40.11</v>
      </c>
    </row>
    <row r="10119" spans="1:4">
      <c r="A10119" s="47">
        <v>7240</v>
      </c>
      <c r="B10119" s="48" t="s">
        <v>9528</v>
      </c>
      <c r="C10119" s="47" t="s">
        <v>256</v>
      </c>
      <c r="D10119" s="332">
        <v>46.05</v>
      </c>
    </row>
    <row r="10120" spans="1:4" ht="30">
      <c r="A10120" s="28">
        <v>36789</v>
      </c>
      <c r="B10120" s="26" t="s">
        <v>9529</v>
      </c>
      <c r="C10120" s="28" t="s">
        <v>65</v>
      </c>
      <c r="D10120" s="329">
        <v>2.78</v>
      </c>
    </row>
    <row r="10121" spans="1:4" ht="30">
      <c r="A10121" s="47">
        <v>7173</v>
      </c>
      <c r="B10121" s="48" t="s">
        <v>9530</v>
      </c>
      <c r="C10121" s="47" t="s">
        <v>135</v>
      </c>
      <c r="D10121" s="332">
        <v>1800</v>
      </c>
    </row>
    <row r="10122" spans="1:4" ht="57.75" customHeight="1">
      <c r="A10122" s="28">
        <v>7176</v>
      </c>
      <c r="B10122" s="26" t="s">
        <v>9530</v>
      </c>
      <c r="C10122" s="28" t="s">
        <v>65</v>
      </c>
      <c r="D10122" s="329">
        <v>1.8</v>
      </c>
    </row>
    <row r="10123" spans="1:4" ht="30">
      <c r="A10123" s="47">
        <v>7183</v>
      </c>
      <c r="B10123" s="48" t="s">
        <v>9531</v>
      </c>
      <c r="C10123" s="47" t="s">
        <v>65</v>
      </c>
      <c r="D10123" s="332">
        <v>2.89</v>
      </c>
    </row>
    <row r="10124" spans="1:4" ht="30">
      <c r="A10124" s="28">
        <v>7180</v>
      </c>
      <c r="B10124" s="26" t="s">
        <v>9532</v>
      </c>
      <c r="C10124" s="28" t="s">
        <v>65</v>
      </c>
      <c r="D10124" s="329">
        <v>1.71</v>
      </c>
    </row>
    <row r="10125" spans="1:4">
      <c r="A10125" s="47">
        <v>11088</v>
      </c>
      <c r="B10125" s="48" t="s">
        <v>9533</v>
      </c>
      <c r="C10125" s="47" t="s">
        <v>65</v>
      </c>
      <c r="D10125" s="332">
        <v>1.62</v>
      </c>
    </row>
    <row r="10126" spans="1:4" ht="30">
      <c r="A10126" s="28">
        <v>36788</v>
      </c>
      <c r="B10126" s="26" t="s">
        <v>9534</v>
      </c>
      <c r="C10126" s="28" t="s">
        <v>65</v>
      </c>
      <c r="D10126" s="329">
        <v>1.85</v>
      </c>
    </row>
    <row r="10127" spans="1:4" ht="30">
      <c r="A10127" s="47">
        <v>7175</v>
      </c>
      <c r="B10127" s="48" t="s">
        <v>9535</v>
      </c>
      <c r="C10127" s="47" t="s">
        <v>65</v>
      </c>
      <c r="D10127" s="332">
        <v>2.0299999999999998</v>
      </c>
    </row>
    <row r="10128" spans="1:4">
      <c r="A10128" s="28">
        <v>25007</v>
      </c>
      <c r="B10128" s="26" t="s">
        <v>9536</v>
      </c>
      <c r="C10128" s="28" t="s">
        <v>256</v>
      </c>
      <c r="D10128" s="329">
        <v>21.66</v>
      </c>
    </row>
    <row r="10129" spans="1:4" ht="30">
      <c r="A10129" s="47">
        <v>14171</v>
      </c>
      <c r="B10129" s="48" t="s">
        <v>9537</v>
      </c>
      <c r="C10129" s="47" t="s">
        <v>256</v>
      </c>
      <c r="D10129" s="332">
        <v>57.91</v>
      </c>
    </row>
    <row r="10130" spans="1:4" ht="30">
      <c r="A10130" s="28">
        <v>14170</v>
      </c>
      <c r="B10130" s="26" t="s">
        <v>9538</v>
      </c>
      <c r="C10130" s="28" t="s">
        <v>256</v>
      </c>
      <c r="D10130" s="329">
        <v>51.17</v>
      </c>
    </row>
    <row r="10131" spans="1:4" ht="30">
      <c r="A10131" s="47">
        <v>14173</v>
      </c>
      <c r="B10131" s="48" t="s">
        <v>9539</v>
      </c>
      <c r="C10131" s="47" t="s">
        <v>256</v>
      </c>
      <c r="D10131" s="332">
        <v>67.47</v>
      </c>
    </row>
    <row r="10132" spans="1:4" ht="30">
      <c r="A10132" s="28">
        <v>14172</v>
      </c>
      <c r="B10132" s="26" t="s">
        <v>9540</v>
      </c>
      <c r="C10132" s="28" t="s">
        <v>256</v>
      </c>
      <c r="D10132" s="329">
        <v>54.61</v>
      </c>
    </row>
    <row r="10133" spans="1:4">
      <c r="A10133" s="47">
        <v>7243</v>
      </c>
      <c r="B10133" s="48" t="s">
        <v>9541</v>
      </c>
      <c r="C10133" s="47" t="s">
        <v>256</v>
      </c>
      <c r="D10133" s="332">
        <v>21.42</v>
      </c>
    </row>
    <row r="10134" spans="1:4" ht="45">
      <c r="A10134" s="28">
        <v>40867</v>
      </c>
      <c r="B10134" s="26" t="s">
        <v>9542</v>
      </c>
      <c r="C10134" s="28" t="s">
        <v>256</v>
      </c>
      <c r="D10134" s="329">
        <v>74.28</v>
      </c>
    </row>
    <row r="10135" spans="1:4" ht="30">
      <c r="A10135" s="47">
        <v>11067</v>
      </c>
      <c r="B10135" s="48" t="s">
        <v>9543</v>
      </c>
      <c r="C10135" s="47" t="s">
        <v>65</v>
      </c>
      <c r="D10135" s="332">
        <v>160.46</v>
      </c>
    </row>
    <row r="10136" spans="1:4" ht="30">
      <c r="A10136" s="28">
        <v>11068</v>
      </c>
      <c r="B10136" s="26" t="s">
        <v>9544</v>
      </c>
      <c r="C10136" s="28" t="s">
        <v>65</v>
      </c>
      <c r="D10136" s="329">
        <v>226.63</v>
      </c>
    </row>
    <row r="10137" spans="1:4" ht="30">
      <c r="A10137" s="47">
        <v>40865</v>
      </c>
      <c r="B10137" s="48" t="s">
        <v>9545</v>
      </c>
      <c r="C10137" s="47" t="s">
        <v>65</v>
      </c>
      <c r="D10137" s="332">
        <v>2.4500000000000002</v>
      </c>
    </row>
    <row r="10138" spans="1:4">
      <c r="A10138" s="28">
        <v>7184</v>
      </c>
      <c r="B10138" s="26" t="s">
        <v>9546</v>
      </c>
      <c r="C10138" s="28" t="s">
        <v>256</v>
      </c>
      <c r="D10138" s="329">
        <v>17.559999999999999</v>
      </c>
    </row>
    <row r="10139" spans="1:4">
      <c r="A10139" s="47">
        <v>34458</v>
      </c>
      <c r="B10139" s="48" t="s">
        <v>9547</v>
      </c>
      <c r="C10139" s="47" t="s">
        <v>65</v>
      </c>
      <c r="D10139" s="332">
        <v>93.35</v>
      </c>
    </row>
    <row r="10140" spans="1:4">
      <c r="A10140" s="28">
        <v>34464</v>
      </c>
      <c r="B10140" s="26" t="s">
        <v>9548</v>
      </c>
      <c r="C10140" s="28" t="s">
        <v>65</v>
      </c>
      <c r="D10140" s="329">
        <v>125.24</v>
      </c>
    </row>
    <row r="10141" spans="1:4">
      <c r="A10141" s="47">
        <v>34468</v>
      </c>
      <c r="B10141" s="48" t="s">
        <v>9549</v>
      </c>
      <c r="C10141" s="47" t="s">
        <v>65</v>
      </c>
      <c r="D10141" s="332">
        <v>144.54</v>
      </c>
    </row>
    <row r="10142" spans="1:4">
      <c r="A10142" s="28">
        <v>34473</v>
      </c>
      <c r="B10142" s="26" t="s">
        <v>9550</v>
      </c>
      <c r="C10142" s="28" t="s">
        <v>65</v>
      </c>
      <c r="D10142" s="329">
        <v>118.21</v>
      </c>
    </row>
    <row r="10143" spans="1:4">
      <c r="A10143" s="47">
        <v>34480</v>
      </c>
      <c r="B10143" s="48" t="s">
        <v>9551</v>
      </c>
      <c r="C10143" s="47" t="s">
        <v>65</v>
      </c>
      <c r="D10143" s="332">
        <v>161.21</v>
      </c>
    </row>
    <row r="10144" spans="1:4">
      <c r="A10144" s="28">
        <v>34486</v>
      </c>
      <c r="B10144" s="26" t="s">
        <v>9552</v>
      </c>
      <c r="C10144" s="28" t="s">
        <v>65</v>
      </c>
      <c r="D10144" s="329">
        <v>180.55</v>
      </c>
    </row>
    <row r="10145" spans="1:4">
      <c r="A10145" s="47">
        <v>7202</v>
      </c>
      <c r="B10145" s="48" t="s">
        <v>9553</v>
      </c>
      <c r="C10145" s="47" t="s">
        <v>256</v>
      </c>
      <c r="D10145" s="332">
        <v>37</v>
      </c>
    </row>
    <row r="10146" spans="1:4">
      <c r="A10146" s="28">
        <v>7190</v>
      </c>
      <c r="B10146" s="26" t="s">
        <v>9554</v>
      </c>
      <c r="C10146" s="28" t="s">
        <v>65</v>
      </c>
      <c r="D10146" s="329">
        <v>6.35</v>
      </c>
    </row>
    <row r="10147" spans="1:4">
      <c r="A10147" s="47">
        <v>34417</v>
      </c>
      <c r="B10147" s="48" t="s">
        <v>9555</v>
      </c>
      <c r="C10147" s="47" t="s">
        <v>65</v>
      </c>
      <c r="D10147" s="332">
        <v>11.03</v>
      </c>
    </row>
    <row r="10148" spans="1:4">
      <c r="A10148" s="28">
        <v>7213</v>
      </c>
      <c r="B10148" s="26" t="s">
        <v>9556</v>
      </c>
      <c r="C10148" s="28" t="s">
        <v>256</v>
      </c>
      <c r="D10148" s="329">
        <v>10.48</v>
      </c>
    </row>
    <row r="10149" spans="1:4">
      <c r="A10149" s="47">
        <v>7191</v>
      </c>
      <c r="B10149" s="48" t="s">
        <v>9556</v>
      </c>
      <c r="C10149" s="47" t="s">
        <v>65</v>
      </c>
      <c r="D10149" s="332">
        <v>12.78</v>
      </c>
    </row>
    <row r="10150" spans="1:4">
      <c r="A10150" s="28">
        <v>7195</v>
      </c>
      <c r="B10150" s="26" t="s">
        <v>9557</v>
      </c>
      <c r="C10150" s="28" t="s">
        <v>65</v>
      </c>
      <c r="D10150" s="329">
        <v>30.46</v>
      </c>
    </row>
    <row r="10151" spans="1:4">
      <c r="A10151" s="47">
        <v>7186</v>
      </c>
      <c r="B10151" s="48" t="s">
        <v>9558</v>
      </c>
      <c r="C10151" s="47" t="s">
        <v>65</v>
      </c>
      <c r="D10151" s="332">
        <v>36.450000000000003</v>
      </c>
    </row>
    <row r="10152" spans="1:4">
      <c r="A10152" s="28">
        <v>7207</v>
      </c>
      <c r="B10152" s="26" t="s">
        <v>9559</v>
      </c>
      <c r="C10152" s="28" t="s">
        <v>65</v>
      </c>
      <c r="D10152" s="329">
        <v>48.51</v>
      </c>
    </row>
    <row r="10153" spans="1:4">
      <c r="A10153" s="47">
        <v>7194</v>
      </c>
      <c r="B10153" s="48" t="s">
        <v>9559</v>
      </c>
      <c r="C10153" s="47" t="s">
        <v>256</v>
      </c>
      <c r="D10153" s="332">
        <v>18.07</v>
      </c>
    </row>
    <row r="10154" spans="1:4">
      <c r="A10154" s="28">
        <v>7197</v>
      </c>
      <c r="B10154" s="26" t="s">
        <v>9560</v>
      </c>
      <c r="C10154" s="28" t="s">
        <v>65</v>
      </c>
      <c r="D10154" s="329">
        <v>72.88</v>
      </c>
    </row>
    <row r="10155" spans="1:4">
      <c r="A10155" s="47">
        <v>7192</v>
      </c>
      <c r="B10155" s="48" t="s">
        <v>9561</v>
      </c>
      <c r="C10155" s="47" t="s">
        <v>65</v>
      </c>
      <c r="D10155" s="332">
        <v>40.08</v>
      </c>
    </row>
    <row r="10156" spans="1:4">
      <c r="A10156" s="28">
        <v>7193</v>
      </c>
      <c r="B10156" s="26" t="s">
        <v>9562</v>
      </c>
      <c r="C10156" s="28" t="s">
        <v>65</v>
      </c>
      <c r="D10156" s="329">
        <v>47.85</v>
      </c>
    </row>
    <row r="10157" spans="1:4">
      <c r="A10157" s="47">
        <v>7189</v>
      </c>
      <c r="B10157" s="48" t="s">
        <v>9563</v>
      </c>
      <c r="C10157" s="47" t="s">
        <v>65</v>
      </c>
      <c r="D10157" s="332">
        <v>67.209999999999994</v>
      </c>
    </row>
    <row r="10158" spans="1:4">
      <c r="A10158" s="28">
        <v>7198</v>
      </c>
      <c r="B10158" s="26" t="s">
        <v>9564</v>
      </c>
      <c r="C10158" s="28" t="s">
        <v>256</v>
      </c>
      <c r="D10158" s="329">
        <v>25.02</v>
      </c>
    </row>
    <row r="10159" spans="1:4">
      <c r="A10159" s="47">
        <v>34402</v>
      </c>
      <c r="B10159" s="48" t="s">
        <v>9564</v>
      </c>
      <c r="C10159" s="47" t="s">
        <v>65</v>
      </c>
      <c r="D10159" s="332">
        <v>100.74</v>
      </c>
    </row>
    <row r="10160" spans="1:4">
      <c r="A10160" s="28">
        <v>7245</v>
      </c>
      <c r="B10160" s="26" t="s">
        <v>9565</v>
      </c>
      <c r="C10160" s="28" t="s">
        <v>65</v>
      </c>
      <c r="D10160" s="329">
        <v>35.08</v>
      </c>
    </row>
    <row r="10161" spans="1:4">
      <c r="A10161" s="47">
        <v>34425</v>
      </c>
      <c r="B10161" s="48" t="s">
        <v>9566</v>
      </c>
      <c r="C10161" s="47" t="s">
        <v>65</v>
      </c>
      <c r="D10161" s="332">
        <v>62.29</v>
      </c>
    </row>
    <row r="10162" spans="1:4">
      <c r="A10162" s="28">
        <v>7223</v>
      </c>
      <c r="B10162" s="26" t="s">
        <v>9567</v>
      </c>
      <c r="C10162" s="28" t="s">
        <v>65</v>
      </c>
      <c r="D10162" s="329">
        <v>72.599999999999994</v>
      </c>
    </row>
    <row r="10163" spans="1:4">
      <c r="A10163" s="47">
        <v>7234</v>
      </c>
      <c r="B10163" s="48" t="s">
        <v>9568</v>
      </c>
      <c r="C10163" s="47" t="s">
        <v>65</v>
      </c>
      <c r="D10163" s="332">
        <v>104.72</v>
      </c>
    </row>
    <row r="10164" spans="1:4">
      <c r="A10164" s="28">
        <v>7224</v>
      </c>
      <c r="B10164" s="26" t="s">
        <v>9569</v>
      </c>
      <c r="C10164" s="28" t="s">
        <v>65</v>
      </c>
      <c r="D10164" s="329">
        <v>115.67</v>
      </c>
    </row>
    <row r="10165" spans="1:4">
      <c r="A10165" s="47">
        <v>7221</v>
      </c>
      <c r="B10165" s="48" t="s">
        <v>9570</v>
      </c>
      <c r="C10165" s="47" t="s">
        <v>256</v>
      </c>
      <c r="D10165" s="332">
        <v>56.24</v>
      </c>
    </row>
    <row r="10166" spans="1:4">
      <c r="A10166" s="28">
        <v>7210</v>
      </c>
      <c r="B10166" s="26" t="s">
        <v>9570</v>
      </c>
      <c r="C10166" s="28" t="s">
        <v>65</v>
      </c>
      <c r="D10166" s="329">
        <v>131.61000000000001</v>
      </c>
    </row>
    <row r="10167" spans="1:4">
      <c r="A10167" s="47">
        <v>7225</v>
      </c>
      <c r="B10167" s="48" t="s">
        <v>9571</v>
      </c>
      <c r="C10167" s="47" t="s">
        <v>65</v>
      </c>
      <c r="D10167" s="332">
        <v>146.24</v>
      </c>
    </row>
    <row r="10168" spans="1:4">
      <c r="A10168" s="28">
        <v>7226</v>
      </c>
      <c r="B10168" s="26" t="s">
        <v>9572</v>
      </c>
      <c r="C10168" s="28" t="s">
        <v>65</v>
      </c>
      <c r="D10168" s="329">
        <v>160.93</v>
      </c>
    </row>
    <row r="10169" spans="1:4">
      <c r="A10169" s="47">
        <v>7236</v>
      </c>
      <c r="B10169" s="48" t="s">
        <v>9573</v>
      </c>
      <c r="C10169" s="47" t="s">
        <v>65</v>
      </c>
      <c r="D10169" s="332">
        <v>175.51</v>
      </c>
    </row>
    <row r="10170" spans="1:4">
      <c r="A10170" s="28">
        <v>7227</v>
      </c>
      <c r="B10170" s="26" t="s">
        <v>9574</v>
      </c>
      <c r="C10170" s="28" t="s">
        <v>65</v>
      </c>
      <c r="D10170" s="329">
        <v>190.14</v>
      </c>
    </row>
    <row r="10171" spans="1:4">
      <c r="A10171" s="47">
        <v>7212</v>
      </c>
      <c r="B10171" s="48" t="s">
        <v>9575</v>
      </c>
      <c r="C10171" s="47" t="s">
        <v>65</v>
      </c>
      <c r="D10171" s="332">
        <v>210.53</v>
      </c>
    </row>
    <row r="10172" spans="1:4">
      <c r="A10172" s="28">
        <v>7229</v>
      </c>
      <c r="B10172" s="26" t="s">
        <v>9576</v>
      </c>
      <c r="C10172" s="28" t="s">
        <v>65</v>
      </c>
      <c r="D10172" s="329">
        <v>139.22</v>
      </c>
    </row>
    <row r="10173" spans="1:4">
      <c r="A10173" s="47">
        <v>7230</v>
      </c>
      <c r="B10173" s="48" t="s">
        <v>9577</v>
      </c>
      <c r="C10173" s="47" t="s">
        <v>65</v>
      </c>
      <c r="D10173" s="332">
        <v>221.86</v>
      </c>
    </row>
    <row r="10174" spans="1:4">
      <c r="A10174" s="28">
        <v>7231</v>
      </c>
      <c r="B10174" s="26" t="s">
        <v>9578</v>
      </c>
      <c r="C10174" s="28" t="s">
        <v>65</v>
      </c>
      <c r="D10174" s="329">
        <v>291.37</v>
      </c>
    </row>
    <row r="10175" spans="1:4">
      <c r="A10175" s="47">
        <v>7220</v>
      </c>
      <c r="B10175" s="48" t="s">
        <v>9579</v>
      </c>
      <c r="C10175" s="47" t="s">
        <v>65</v>
      </c>
      <c r="D10175" s="332">
        <v>358.22</v>
      </c>
    </row>
    <row r="10176" spans="1:4">
      <c r="A10176" s="28">
        <v>34447</v>
      </c>
      <c r="B10176" s="26" t="s">
        <v>9580</v>
      </c>
      <c r="C10176" s="28" t="s">
        <v>65</v>
      </c>
      <c r="D10176" s="329">
        <v>398.71</v>
      </c>
    </row>
    <row r="10177" spans="1:4">
      <c r="A10177" s="47">
        <v>7233</v>
      </c>
      <c r="B10177" s="48" t="s">
        <v>9581</v>
      </c>
      <c r="C10177" s="47" t="s">
        <v>65</v>
      </c>
      <c r="D10177" s="332">
        <v>446.37</v>
      </c>
    </row>
    <row r="10178" spans="1:4" ht="45">
      <c r="A10178" s="28">
        <v>39520</v>
      </c>
      <c r="B10178" s="26" t="s">
        <v>9582</v>
      </c>
      <c r="C10178" s="28" t="s">
        <v>256</v>
      </c>
      <c r="D10178" s="329">
        <v>86.47</v>
      </c>
    </row>
    <row r="10179" spans="1:4" ht="45">
      <c r="A10179" s="47">
        <v>39521</v>
      </c>
      <c r="B10179" s="48" t="s">
        <v>9583</v>
      </c>
      <c r="C10179" s="47" t="s">
        <v>256</v>
      </c>
      <c r="D10179" s="332">
        <v>92.61</v>
      </c>
    </row>
    <row r="10180" spans="1:4" ht="45">
      <c r="A10180" s="28">
        <v>39522</v>
      </c>
      <c r="B10180" s="26" t="s">
        <v>9584</v>
      </c>
      <c r="C10180" s="28" t="s">
        <v>256</v>
      </c>
      <c r="D10180" s="329">
        <v>74.05</v>
      </c>
    </row>
    <row r="10181" spans="1:4" ht="29.25" customHeight="1">
      <c r="A10181" s="47">
        <v>7246</v>
      </c>
      <c r="B10181" s="48" t="s">
        <v>9585</v>
      </c>
      <c r="C10181" s="47" t="s">
        <v>65</v>
      </c>
      <c r="D10181" s="332">
        <v>32.64</v>
      </c>
    </row>
    <row r="10182" spans="1:4">
      <c r="A10182" s="28">
        <v>12869</v>
      </c>
      <c r="B10182" s="26" t="s">
        <v>247</v>
      </c>
      <c r="C10182" s="28" t="s">
        <v>57</v>
      </c>
      <c r="D10182" s="329">
        <v>11.01</v>
      </c>
    </row>
    <row r="10183" spans="1:4">
      <c r="A10183" s="47">
        <v>41097</v>
      </c>
      <c r="B10183" s="48" t="s">
        <v>9586</v>
      </c>
      <c r="C10183" s="47" t="s">
        <v>1643</v>
      </c>
      <c r="D10183" s="332">
        <v>1941.23</v>
      </c>
    </row>
    <row r="10184" spans="1:4" ht="30">
      <c r="A10184" s="28">
        <v>7247</v>
      </c>
      <c r="B10184" s="26" t="s">
        <v>9608</v>
      </c>
      <c r="C10184" s="28" t="s">
        <v>57</v>
      </c>
      <c r="D10184" s="329">
        <v>1.8</v>
      </c>
    </row>
    <row r="10185" spans="1:4" ht="30">
      <c r="A10185" s="47">
        <v>1574</v>
      </c>
      <c r="B10185" s="48" t="s">
        <v>9609</v>
      </c>
      <c r="C10185" s="47" t="s">
        <v>65</v>
      </c>
      <c r="D10185" s="332">
        <v>0.71</v>
      </c>
    </row>
    <row r="10186" spans="1:4" ht="30">
      <c r="A10186" s="28">
        <v>1581</v>
      </c>
      <c r="B10186" s="26" t="s">
        <v>9610</v>
      </c>
      <c r="C10186" s="28" t="s">
        <v>65</v>
      </c>
      <c r="D10186" s="329">
        <v>4.95</v>
      </c>
    </row>
    <row r="10187" spans="1:4" ht="30">
      <c r="A10187" s="47">
        <v>1575</v>
      </c>
      <c r="B10187" s="48" t="s">
        <v>9611</v>
      </c>
      <c r="C10187" s="47" t="s">
        <v>65</v>
      </c>
      <c r="D10187" s="332">
        <v>0.84</v>
      </c>
    </row>
    <row r="10188" spans="1:4" ht="30">
      <c r="A10188" s="28">
        <v>1570</v>
      </c>
      <c r="B10188" s="26" t="s">
        <v>9612</v>
      </c>
      <c r="C10188" s="28" t="s">
        <v>65</v>
      </c>
      <c r="D10188" s="329">
        <v>0.42</v>
      </c>
    </row>
    <row r="10189" spans="1:4" ht="30">
      <c r="A10189" s="47">
        <v>1576</v>
      </c>
      <c r="B10189" s="48" t="s">
        <v>9613</v>
      </c>
      <c r="C10189" s="47" t="s">
        <v>65</v>
      </c>
      <c r="D10189" s="332">
        <v>1.17</v>
      </c>
    </row>
    <row r="10190" spans="1:4" ht="30">
      <c r="A10190" s="28">
        <v>1577</v>
      </c>
      <c r="B10190" s="26" t="s">
        <v>9614</v>
      </c>
      <c r="C10190" s="28" t="s">
        <v>65</v>
      </c>
      <c r="D10190" s="329">
        <v>1.32</v>
      </c>
    </row>
    <row r="10191" spans="1:4" ht="30">
      <c r="A10191" s="47">
        <v>1571</v>
      </c>
      <c r="B10191" s="48" t="s">
        <v>9615</v>
      </c>
      <c r="C10191" s="47" t="s">
        <v>65</v>
      </c>
      <c r="D10191" s="332">
        <v>0.55000000000000004</v>
      </c>
    </row>
    <row r="10192" spans="1:4" ht="30">
      <c r="A10192" s="28">
        <v>1578</v>
      </c>
      <c r="B10192" s="26" t="s">
        <v>9616</v>
      </c>
      <c r="C10192" s="28" t="s">
        <v>65</v>
      </c>
      <c r="D10192" s="329">
        <v>2.29</v>
      </c>
    </row>
    <row r="10193" spans="1:4" ht="30">
      <c r="A10193" s="47">
        <v>1573</v>
      </c>
      <c r="B10193" s="48" t="s">
        <v>9617</v>
      </c>
      <c r="C10193" s="47" t="s">
        <v>65</v>
      </c>
      <c r="D10193" s="332">
        <v>0.66</v>
      </c>
    </row>
    <row r="10194" spans="1:4" ht="30">
      <c r="A10194" s="28">
        <v>1579</v>
      </c>
      <c r="B10194" s="26" t="s">
        <v>9618</v>
      </c>
      <c r="C10194" s="28" t="s">
        <v>65</v>
      </c>
      <c r="D10194" s="329">
        <v>2.86</v>
      </c>
    </row>
    <row r="10195" spans="1:4" ht="30">
      <c r="A10195" s="47">
        <v>1580</v>
      </c>
      <c r="B10195" s="48" t="s">
        <v>9619</v>
      </c>
      <c r="C10195" s="47" t="s">
        <v>65</v>
      </c>
      <c r="D10195" s="332">
        <v>3.52</v>
      </c>
    </row>
    <row r="10196" spans="1:4" ht="30">
      <c r="A10196" s="28">
        <v>7571</v>
      </c>
      <c r="B10196" s="26" t="s">
        <v>9622</v>
      </c>
      <c r="C10196" s="28" t="s">
        <v>65</v>
      </c>
      <c r="D10196" s="329">
        <v>7.79</v>
      </c>
    </row>
    <row r="10197" spans="1:4">
      <c r="A10197" s="47">
        <v>39321</v>
      </c>
      <c r="B10197" s="48" t="s">
        <v>9623</v>
      </c>
      <c r="C10197" s="47" t="s">
        <v>65</v>
      </c>
      <c r="D10197" s="332">
        <v>6.86</v>
      </c>
    </row>
    <row r="10198" spans="1:4">
      <c r="A10198" s="28">
        <v>39319</v>
      </c>
      <c r="B10198" s="26" t="s">
        <v>9624</v>
      </c>
      <c r="C10198" s="28" t="s">
        <v>65</v>
      </c>
      <c r="D10198" s="329">
        <v>4.2</v>
      </c>
    </row>
    <row r="10199" spans="1:4">
      <c r="A10199" s="47">
        <v>39320</v>
      </c>
      <c r="B10199" s="48" t="s">
        <v>9625</v>
      </c>
      <c r="C10199" s="47" t="s">
        <v>65</v>
      </c>
      <c r="D10199" s="332">
        <v>5.01</v>
      </c>
    </row>
    <row r="10200" spans="1:4">
      <c r="A10200" s="28">
        <v>1591</v>
      </c>
      <c r="B10200" s="26" t="s">
        <v>9628</v>
      </c>
      <c r="C10200" s="28" t="s">
        <v>65</v>
      </c>
      <c r="D10200" s="329">
        <v>10.93</v>
      </c>
    </row>
    <row r="10201" spans="1:4" ht="30">
      <c r="A10201" s="47">
        <v>1547</v>
      </c>
      <c r="B10201" s="48" t="s">
        <v>9629</v>
      </c>
      <c r="C10201" s="47" t="s">
        <v>65</v>
      </c>
      <c r="D10201" s="332">
        <v>57.28</v>
      </c>
    </row>
    <row r="10202" spans="1:4">
      <c r="A10202" s="28">
        <v>38196</v>
      </c>
      <c r="B10202" s="26" t="s">
        <v>9630</v>
      </c>
      <c r="C10202" s="28" t="s">
        <v>65</v>
      </c>
      <c r="D10202" s="329">
        <v>11.15</v>
      </c>
    </row>
    <row r="10203" spans="1:4" ht="30">
      <c r="A10203" s="47">
        <v>1543</v>
      </c>
      <c r="B10203" s="48" t="s">
        <v>9631</v>
      </c>
      <c r="C10203" s="47" t="s">
        <v>65</v>
      </c>
      <c r="D10203" s="332">
        <v>11.85</v>
      </c>
    </row>
    <row r="10204" spans="1:4">
      <c r="A10204" s="28">
        <v>1585</v>
      </c>
      <c r="B10204" s="26" t="s">
        <v>9632</v>
      </c>
      <c r="C10204" s="28" t="s">
        <v>65</v>
      </c>
      <c r="D10204" s="329">
        <v>2.29</v>
      </c>
    </row>
    <row r="10205" spans="1:4">
      <c r="A10205" s="47">
        <v>1593</v>
      </c>
      <c r="B10205" s="48" t="s">
        <v>9633</v>
      </c>
      <c r="C10205" s="47" t="s">
        <v>65</v>
      </c>
      <c r="D10205" s="332">
        <v>12.19</v>
      </c>
    </row>
    <row r="10206" spans="1:4">
      <c r="A10206" s="28">
        <v>11838</v>
      </c>
      <c r="B10206" s="26" t="s">
        <v>9634</v>
      </c>
      <c r="C10206" s="28" t="s">
        <v>65</v>
      </c>
      <c r="D10206" s="329">
        <v>16.079999999999998</v>
      </c>
    </row>
    <row r="10207" spans="1:4" ht="30">
      <c r="A10207" s="47">
        <v>1594</v>
      </c>
      <c r="B10207" s="48" t="s">
        <v>9635</v>
      </c>
      <c r="C10207" s="47" t="s">
        <v>65</v>
      </c>
      <c r="D10207" s="332">
        <v>16.260000000000002</v>
      </c>
    </row>
    <row r="10208" spans="1:4" ht="57.75" customHeight="1">
      <c r="A10208" s="28">
        <v>1586</v>
      </c>
      <c r="B10208" s="26" t="s">
        <v>9636</v>
      </c>
      <c r="C10208" s="28" t="s">
        <v>65</v>
      </c>
      <c r="D10208" s="329">
        <v>2.9</v>
      </c>
    </row>
    <row r="10209" spans="1:4">
      <c r="A10209" s="47">
        <v>11839</v>
      </c>
      <c r="B10209" s="48" t="s">
        <v>9637</v>
      </c>
      <c r="C10209" s="47" t="s">
        <v>65</v>
      </c>
      <c r="D10209" s="332">
        <v>23.4</v>
      </c>
    </row>
    <row r="10210" spans="1:4">
      <c r="A10210" s="28">
        <v>1587</v>
      </c>
      <c r="B10210" s="26" t="s">
        <v>9638</v>
      </c>
      <c r="C10210" s="28" t="s">
        <v>65</v>
      </c>
      <c r="D10210" s="329">
        <v>2.96</v>
      </c>
    </row>
    <row r="10211" spans="1:4" ht="30">
      <c r="A10211" s="47">
        <v>1545</v>
      </c>
      <c r="B10211" s="48" t="s">
        <v>9639</v>
      </c>
      <c r="C10211" s="47" t="s">
        <v>65</v>
      </c>
      <c r="D10211" s="332">
        <v>28.09</v>
      </c>
    </row>
    <row r="10212" spans="1:4">
      <c r="A10212" s="28">
        <v>1588</v>
      </c>
      <c r="B10212" s="26" t="s">
        <v>9641</v>
      </c>
      <c r="C10212" s="28" t="s">
        <v>65</v>
      </c>
      <c r="D10212" s="329">
        <v>4.0599999999999996</v>
      </c>
    </row>
    <row r="10213" spans="1:4">
      <c r="A10213" s="47">
        <v>1535</v>
      </c>
      <c r="B10213" s="48" t="s">
        <v>9642</v>
      </c>
      <c r="C10213" s="47" t="s">
        <v>65</v>
      </c>
      <c r="D10213" s="332">
        <v>2.34</v>
      </c>
    </row>
    <row r="10214" spans="1:4">
      <c r="A10214" s="28">
        <v>1589</v>
      </c>
      <c r="B10214" s="26" t="s">
        <v>9643</v>
      </c>
      <c r="C10214" s="28" t="s">
        <v>65</v>
      </c>
      <c r="D10214" s="329">
        <v>4.18</v>
      </c>
    </row>
    <row r="10215" spans="1:4" ht="30">
      <c r="A10215" s="47">
        <v>1546</v>
      </c>
      <c r="B10215" s="48" t="s">
        <v>9644</v>
      </c>
      <c r="C10215" s="47" t="s">
        <v>65</v>
      </c>
      <c r="D10215" s="332">
        <v>47.4</v>
      </c>
    </row>
    <row r="10216" spans="1:4">
      <c r="A10216" s="28">
        <v>1590</v>
      </c>
      <c r="B10216" s="26" t="s">
        <v>9646</v>
      </c>
      <c r="C10216" s="28" t="s">
        <v>65</v>
      </c>
      <c r="D10216" s="329">
        <v>7.37</v>
      </c>
    </row>
    <row r="10217" spans="1:4" ht="30">
      <c r="A10217" s="47">
        <v>1542</v>
      </c>
      <c r="B10217" s="48" t="s">
        <v>9626</v>
      </c>
      <c r="C10217" s="47" t="s">
        <v>65</v>
      </c>
      <c r="D10217" s="332">
        <v>9.76</v>
      </c>
    </row>
    <row r="10218" spans="1:4" ht="30">
      <c r="A10218" s="28">
        <v>38415</v>
      </c>
      <c r="B10218" s="26" t="s">
        <v>9659</v>
      </c>
      <c r="C10218" s="28" t="s">
        <v>65</v>
      </c>
      <c r="D10218" s="329">
        <v>642.71</v>
      </c>
    </row>
    <row r="10219" spans="1:4" ht="30">
      <c r="A10219" s="47">
        <v>38414</v>
      </c>
      <c r="B10219" s="48" t="s">
        <v>9660</v>
      </c>
      <c r="C10219" s="47" t="s">
        <v>65</v>
      </c>
      <c r="D10219" s="332">
        <v>902.05</v>
      </c>
    </row>
    <row r="10220" spans="1:4">
      <c r="A10220" s="28">
        <v>38128</v>
      </c>
      <c r="B10220" s="26" t="s">
        <v>248</v>
      </c>
      <c r="C10220" s="28" t="s">
        <v>90</v>
      </c>
      <c r="D10220" s="329">
        <v>0.6</v>
      </c>
    </row>
    <row r="10221" spans="1:4">
      <c r="A10221" s="47">
        <v>7253</v>
      </c>
      <c r="B10221" s="48" t="s">
        <v>9661</v>
      </c>
      <c r="C10221" s="47" t="s">
        <v>255</v>
      </c>
      <c r="D10221" s="332">
        <v>128.57</v>
      </c>
    </row>
    <row r="10222" spans="1:4">
      <c r="A10222" s="28">
        <v>38955</v>
      </c>
      <c r="B10222" s="26" t="s">
        <v>9662</v>
      </c>
      <c r="C10222" s="28" t="s">
        <v>65</v>
      </c>
      <c r="D10222" s="329">
        <v>30.89</v>
      </c>
    </row>
    <row r="10223" spans="1:4">
      <c r="A10223" s="47">
        <v>4806</v>
      </c>
      <c r="B10223" s="48" t="s">
        <v>9663</v>
      </c>
      <c r="C10223" s="47" t="s">
        <v>71</v>
      </c>
      <c r="D10223" s="332">
        <v>10.1</v>
      </c>
    </row>
    <row r="10224" spans="1:4">
      <c r="A10224" s="28">
        <v>34401</v>
      </c>
      <c r="B10224" s="26" t="s">
        <v>9667</v>
      </c>
      <c r="C10224" s="28" t="s">
        <v>65</v>
      </c>
      <c r="D10224" s="329">
        <v>0.88</v>
      </c>
    </row>
    <row r="10225" spans="1:4">
      <c r="A10225" s="47">
        <v>7258</v>
      </c>
      <c r="B10225" s="48" t="s">
        <v>9668</v>
      </c>
      <c r="C10225" s="47" t="s">
        <v>65</v>
      </c>
      <c r="D10225" s="332">
        <v>0.28000000000000003</v>
      </c>
    </row>
    <row r="10226" spans="1:4">
      <c r="A10226" s="28">
        <v>7260</v>
      </c>
      <c r="B10226" s="26" t="s">
        <v>9669</v>
      </c>
      <c r="C10226" s="28" t="s">
        <v>65</v>
      </c>
      <c r="D10226" s="329">
        <v>0.86</v>
      </c>
    </row>
    <row r="10227" spans="1:4">
      <c r="A10227" s="47">
        <v>7256</v>
      </c>
      <c r="B10227" s="48" t="s">
        <v>9670</v>
      </c>
      <c r="C10227" s="47" t="s">
        <v>65</v>
      </c>
      <c r="D10227" s="332">
        <v>0.5</v>
      </c>
    </row>
    <row r="10228" spans="1:4">
      <c r="A10228" s="28">
        <v>34400</v>
      </c>
      <c r="B10228" s="26" t="s">
        <v>9671</v>
      </c>
      <c r="C10228" s="28" t="s">
        <v>65</v>
      </c>
      <c r="D10228" s="329">
        <v>2.17</v>
      </c>
    </row>
    <row r="10229" spans="1:4">
      <c r="A10229" s="47">
        <v>10617</v>
      </c>
      <c r="B10229" s="48" t="s">
        <v>9672</v>
      </c>
      <c r="C10229" s="47" t="s">
        <v>65</v>
      </c>
      <c r="D10229" s="332">
        <v>3.03</v>
      </c>
    </row>
    <row r="10230" spans="1:4" ht="30">
      <c r="A10230" s="28">
        <v>7280</v>
      </c>
      <c r="B10230" s="26" t="s">
        <v>9673</v>
      </c>
      <c r="C10230" s="28" t="s">
        <v>65</v>
      </c>
      <c r="D10230" s="329">
        <v>343.55</v>
      </c>
    </row>
    <row r="10231" spans="1:4" ht="45">
      <c r="A10231" s="47">
        <v>7282</v>
      </c>
      <c r="B10231" s="48" t="s">
        <v>11545</v>
      </c>
      <c r="C10231" s="47" t="s">
        <v>65</v>
      </c>
      <c r="D10231" s="332">
        <v>646.67999999999995</v>
      </c>
    </row>
    <row r="10232" spans="1:4" ht="30">
      <c r="A10232" s="28">
        <v>7276</v>
      </c>
      <c r="B10232" s="26" t="s">
        <v>9674</v>
      </c>
      <c r="C10232" s="28" t="s">
        <v>65</v>
      </c>
      <c r="D10232" s="329">
        <v>700.16</v>
      </c>
    </row>
    <row r="10233" spans="1:4" ht="30">
      <c r="A10233" s="47">
        <v>7277</v>
      </c>
      <c r="B10233" s="48" t="s">
        <v>9675</v>
      </c>
      <c r="C10233" s="47" t="s">
        <v>65</v>
      </c>
      <c r="D10233" s="332">
        <v>903.94</v>
      </c>
    </row>
    <row r="10234" spans="1:4" ht="43.5" customHeight="1">
      <c r="A10234" s="28">
        <v>7278</v>
      </c>
      <c r="B10234" s="26" t="s">
        <v>9676</v>
      </c>
      <c r="C10234" s="28" t="s">
        <v>65</v>
      </c>
      <c r="D10234" s="329">
        <v>1158.6300000000001</v>
      </c>
    </row>
    <row r="10235" spans="1:4" ht="30">
      <c r="A10235" s="47">
        <v>7274</v>
      </c>
      <c r="B10235" s="48" t="s">
        <v>9677</v>
      </c>
      <c r="C10235" s="47" t="s">
        <v>65</v>
      </c>
      <c r="D10235" s="332">
        <v>24.08</v>
      </c>
    </row>
    <row r="10236" spans="1:4">
      <c r="A10236" s="28">
        <v>7275</v>
      </c>
      <c r="B10236" s="26" t="s">
        <v>9678</v>
      </c>
      <c r="C10236" s="28" t="s">
        <v>65</v>
      </c>
      <c r="D10236" s="329">
        <v>633.62</v>
      </c>
    </row>
    <row r="10237" spans="1:4" ht="43.5" customHeight="1">
      <c r="A10237" s="47">
        <v>7284</v>
      </c>
      <c r="B10237" s="48" t="s">
        <v>9679</v>
      </c>
      <c r="C10237" s="47" t="s">
        <v>65</v>
      </c>
      <c r="D10237" s="332">
        <v>1951.52</v>
      </c>
    </row>
    <row r="10238" spans="1:4" ht="30">
      <c r="A10238" s="28">
        <v>11663</v>
      </c>
      <c r="B10238" s="26" t="s">
        <v>9680</v>
      </c>
      <c r="C10238" s="28" t="s">
        <v>65</v>
      </c>
      <c r="D10238" s="329">
        <v>235.82</v>
      </c>
    </row>
    <row r="10239" spans="1:4" ht="43.5" customHeight="1">
      <c r="A10239" s="47">
        <v>11665</v>
      </c>
      <c r="B10239" s="48" t="s">
        <v>9681</v>
      </c>
      <c r="C10239" s="47" t="s">
        <v>65</v>
      </c>
      <c r="D10239" s="332">
        <v>1042.74</v>
      </c>
    </row>
    <row r="10240" spans="1:4" ht="43.5" customHeight="1">
      <c r="A10240" s="28">
        <v>11666</v>
      </c>
      <c r="B10240" s="26" t="s">
        <v>9682</v>
      </c>
      <c r="C10240" s="28" t="s">
        <v>65</v>
      </c>
      <c r="D10240" s="329">
        <v>1051.02</v>
      </c>
    </row>
    <row r="10241" spans="1:4" ht="43.5" customHeight="1">
      <c r="A10241" s="47">
        <v>11667</v>
      </c>
      <c r="B10241" s="48" t="s">
        <v>9683</v>
      </c>
      <c r="C10241" s="47" t="s">
        <v>65</v>
      </c>
      <c r="D10241" s="332">
        <v>1199.4100000000001</v>
      </c>
    </row>
    <row r="10242" spans="1:4" ht="43.5" customHeight="1">
      <c r="A10242" s="28">
        <v>11668</v>
      </c>
      <c r="B10242" s="26" t="s">
        <v>9684</v>
      </c>
      <c r="C10242" s="28" t="s">
        <v>65</v>
      </c>
      <c r="D10242" s="329">
        <v>1291.6400000000001</v>
      </c>
    </row>
    <row r="10243" spans="1:4" ht="43.5" customHeight="1">
      <c r="A10243" s="47">
        <v>38121</v>
      </c>
      <c r="B10243" s="48" t="s">
        <v>9685</v>
      </c>
      <c r="C10243" s="47" t="s">
        <v>91</v>
      </c>
      <c r="D10243" s="332">
        <v>9.92</v>
      </c>
    </row>
    <row r="10244" spans="1:4" ht="43.5" customHeight="1">
      <c r="A10244" s="28">
        <v>7343</v>
      </c>
      <c r="B10244" s="26" t="s">
        <v>9686</v>
      </c>
      <c r="C10244" s="28" t="s">
        <v>91</v>
      </c>
      <c r="D10244" s="329">
        <v>10.039999999999999</v>
      </c>
    </row>
    <row r="10245" spans="1:4">
      <c r="A10245" s="47">
        <v>7287</v>
      </c>
      <c r="B10245" s="48" t="s">
        <v>9687</v>
      </c>
      <c r="C10245" s="47" t="s">
        <v>182</v>
      </c>
      <c r="D10245" s="332">
        <v>54.77</v>
      </c>
    </row>
    <row r="10246" spans="1:4" ht="43.5" customHeight="1">
      <c r="A10246" s="28">
        <v>7350</v>
      </c>
      <c r="B10246" s="26" t="s">
        <v>9688</v>
      </c>
      <c r="C10246" s="28" t="s">
        <v>91</v>
      </c>
      <c r="D10246" s="329">
        <v>20.82</v>
      </c>
    </row>
    <row r="10247" spans="1:4">
      <c r="A10247" s="47">
        <v>7348</v>
      </c>
      <c r="B10247" s="48" t="s">
        <v>9689</v>
      </c>
      <c r="C10247" s="47" t="s">
        <v>91</v>
      </c>
      <c r="D10247" s="332">
        <v>11.68</v>
      </c>
    </row>
    <row r="10248" spans="1:4">
      <c r="A10248" s="28">
        <v>7347</v>
      </c>
      <c r="B10248" s="26" t="s">
        <v>9689</v>
      </c>
      <c r="C10248" s="28" t="s">
        <v>182</v>
      </c>
      <c r="D10248" s="329">
        <v>42.04</v>
      </c>
    </row>
    <row r="10249" spans="1:4" ht="43.5" customHeight="1">
      <c r="A10249" s="47">
        <v>7355</v>
      </c>
      <c r="B10249" s="48" t="s">
        <v>9690</v>
      </c>
      <c r="C10249" s="47" t="s">
        <v>182</v>
      </c>
      <c r="D10249" s="332">
        <v>63.01</v>
      </c>
    </row>
    <row r="10250" spans="1:4">
      <c r="A10250" s="28">
        <v>7356</v>
      </c>
      <c r="B10250" s="26" t="s">
        <v>9691</v>
      </c>
      <c r="C10250" s="28" t="s">
        <v>91</v>
      </c>
      <c r="D10250" s="329">
        <v>17.5</v>
      </c>
    </row>
    <row r="10251" spans="1:4" ht="30">
      <c r="A10251" s="47">
        <v>7313</v>
      </c>
      <c r="B10251" s="48" t="s">
        <v>9692</v>
      </c>
      <c r="C10251" s="47" t="s">
        <v>91</v>
      </c>
      <c r="D10251" s="332">
        <v>11.51</v>
      </c>
    </row>
    <row r="10252" spans="1:4">
      <c r="A10252" s="28">
        <v>7319</v>
      </c>
      <c r="B10252" s="26" t="s">
        <v>9693</v>
      </c>
      <c r="C10252" s="28" t="s">
        <v>91</v>
      </c>
      <c r="D10252" s="329">
        <v>6.58</v>
      </c>
    </row>
    <row r="10253" spans="1:4">
      <c r="A10253" s="47">
        <v>38119</v>
      </c>
      <c r="B10253" s="48" t="s">
        <v>249</v>
      </c>
      <c r="C10253" s="47" t="s">
        <v>91</v>
      </c>
      <c r="D10253" s="332">
        <v>67.38</v>
      </c>
    </row>
    <row r="10254" spans="1:4">
      <c r="A10254" s="28">
        <v>7314</v>
      </c>
      <c r="B10254" s="26" t="s">
        <v>9694</v>
      </c>
      <c r="C10254" s="28" t="s">
        <v>91</v>
      </c>
      <c r="D10254" s="329">
        <v>72.62</v>
      </c>
    </row>
    <row r="10255" spans="1:4">
      <c r="A10255" s="47">
        <v>38131</v>
      </c>
      <c r="B10255" s="48" t="s">
        <v>250</v>
      </c>
      <c r="C10255" s="47" t="s">
        <v>91</v>
      </c>
      <c r="D10255" s="332">
        <v>67.98</v>
      </c>
    </row>
    <row r="10256" spans="1:4">
      <c r="A10256" s="28">
        <v>7293</v>
      </c>
      <c r="B10256" s="26" t="s">
        <v>9696</v>
      </c>
      <c r="C10256" s="28" t="s">
        <v>91</v>
      </c>
      <c r="D10256" s="329">
        <v>18.32</v>
      </c>
    </row>
    <row r="10257" spans="1:4">
      <c r="A10257" s="47">
        <v>7311</v>
      </c>
      <c r="B10257" s="48" t="s">
        <v>9697</v>
      </c>
      <c r="C10257" s="47" t="s">
        <v>91</v>
      </c>
      <c r="D10257" s="332">
        <v>17.72</v>
      </c>
    </row>
    <row r="10258" spans="1:4">
      <c r="A10258" s="28">
        <v>7292</v>
      </c>
      <c r="B10258" s="26" t="s">
        <v>9698</v>
      </c>
      <c r="C10258" s="28" t="s">
        <v>91</v>
      </c>
      <c r="D10258" s="329">
        <v>17.21</v>
      </c>
    </row>
    <row r="10259" spans="1:4">
      <c r="A10259" s="47">
        <v>7288</v>
      </c>
      <c r="B10259" s="48" t="s">
        <v>9699</v>
      </c>
      <c r="C10259" s="47" t="s">
        <v>91</v>
      </c>
      <c r="D10259" s="332">
        <v>19.5</v>
      </c>
    </row>
    <row r="10260" spans="1:4">
      <c r="A10260" s="28">
        <v>35693</v>
      </c>
      <c r="B10260" s="26" t="s">
        <v>9700</v>
      </c>
      <c r="C10260" s="28" t="s">
        <v>91</v>
      </c>
      <c r="D10260" s="329">
        <v>8.0299999999999994</v>
      </c>
    </row>
    <row r="10261" spans="1:4">
      <c r="A10261" s="47">
        <v>35692</v>
      </c>
      <c r="B10261" s="48" t="s">
        <v>9701</v>
      </c>
      <c r="C10261" s="47" t="s">
        <v>91</v>
      </c>
      <c r="D10261" s="332">
        <v>43.04</v>
      </c>
    </row>
    <row r="10262" spans="1:4">
      <c r="A10262" s="28">
        <v>7344</v>
      </c>
      <c r="B10262" s="26" t="s">
        <v>9702</v>
      </c>
      <c r="C10262" s="28" t="s">
        <v>182</v>
      </c>
      <c r="D10262" s="329">
        <v>54.47</v>
      </c>
    </row>
    <row r="10263" spans="1:4">
      <c r="A10263" s="47">
        <v>7345</v>
      </c>
      <c r="B10263" s="48" t="s">
        <v>9703</v>
      </c>
      <c r="C10263" s="47" t="s">
        <v>91</v>
      </c>
      <c r="D10263" s="332">
        <v>15.13</v>
      </c>
    </row>
    <row r="10264" spans="1:4">
      <c r="A10264" s="28">
        <v>35691</v>
      </c>
      <c r="B10264" s="26" t="s">
        <v>9704</v>
      </c>
      <c r="C10264" s="28" t="s">
        <v>91</v>
      </c>
      <c r="D10264" s="329">
        <v>11.95</v>
      </c>
    </row>
    <row r="10265" spans="1:4">
      <c r="A10265" s="47">
        <v>7342</v>
      </c>
      <c r="B10265" s="48" t="s">
        <v>9705</v>
      </c>
      <c r="C10265" s="47" t="s">
        <v>90</v>
      </c>
      <c r="D10265" s="332">
        <v>1.26</v>
      </c>
    </row>
    <row r="10266" spans="1:4">
      <c r="A10266" s="28">
        <v>7306</v>
      </c>
      <c r="B10266" s="26" t="s">
        <v>9706</v>
      </c>
      <c r="C10266" s="28" t="s">
        <v>91</v>
      </c>
      <c r="D10266" s="329">
        <v>21.01</v>
      </c>
    </row>
    <row r="10267" spans="1:4">
      <c r="A10267" s="47">
        <v>154</v>
      </c>
      <c r="B10267" s="48" t="s">
        <v>9707</v>
      </c>
      <c r="C10267" s="47" t="s">
        <v>91</v>
      </c>
      <c r="D10267" s="332">
        <v>41.36</v>
      </c>
    </row>
    <row r="10268" spans="1:4">
      <c r="A10268" s="28">
        <v>7338</v>
      </c>
      <c r="B10268" s="26" t="s">
        <v>9708</v>
      </c>
      <c r="C10268" s="28" t="s">
        <v>90</v>
      </c>
      <c r="D10268" s="329">
        <v>27.57</v>
      </c>
    </row>
    <row r="10269" spans="1:4" ht="30">
      <c r="A10269" s="47">
        <v>39574</v>
      </c>
      <c r="B10269" s="48" t="s">
        <v>11546</v>
      </c>
      <c r="C10269" s="47" t="s">
        <v>65</v>
      </c>
      <c r="D10269" s="332">
        <v>0.68</v>
      </c>
    </row>
    <row r="10270" spans="1:4" ht="30">
      <c r="A10270" s="28">
        <v>11060</v>
      </c>
      <c r="B10270" s="26" t="s">
        <v>9709</v>
      </c>
      <c r="C10270" s="28" t="s">
        <v>65</v>
      </c>
      <c r="D10270" s="329">
        <v>22.65</v>
      </c>
    </row>
    <row r="10271" spans="1:4">
      <c r="A10271" s="47">
        <v>37401</v>
      </c>
      <c r="B10271" s="48" t="s">
        <v>9722</v>
      </c>
      <c r="C10271" s="47" t="s">
        <v>65</v>
      </c>
      <c r="D10271" s="332">
        <v>46.84</v>
      </c>
    </row>
    <row r="10272" spans="1:4">
      <c r="A10272" s="28">
        <v>7525</v>
      </c>
      <c r="B10272" s="26" t="s">
        <v>11547</v>
      </c>
      <c r="C10272" s="28" t="s">
        <v>65</v>
      </c>
      <c r="D10272" s="329">
        <v>36.93</v>
      </c>
    </row>
    <row r="10273" spans="1:4">
      <c r="A10273" s="47">
        <v>7524</v>
      </c>
      <c r="B10273" s="48" t="s">
        <v>11548</v>
      </c>
      <c r="C10273" s="47" t="s">
        <v>65</v>
      </c>
      <c r="D10273" s="332">
        <v>34.799999999999997</v>
      </c>
    </row>
    <row r="10274" spans="1:4">
      <c r="A10274" s="28">
        <v>38105</v>
      </c>
      <c r="B10274" s="26" t="s">
        <v>11549</v>
      </c>
      <c r="C10274" s="28" t="s">
        <v>65</v>
      </c>
      <c r="D10274" s="329">
        <v>8.94</v>
      </c>
    </row>
    <row r="10275" spans="1:4" ht="30">
      <c r="A10275" s="47">
        <v>38084</v>
      </c>
      <c r="B10275" s="48" t="s">
        <v>11550</v>
      </c>
      <c r="C10275" s="47" t="s">
        <v>65</v>
      </c>
      <c r="D10275" s="332">
        <v>12.69</v>
      </c>
    </row>
    <row r="10276" spans="1:4">
      <c r="A10276" s="28">
        <v>38103</v>
      </c>
      <c r="B10276" s="26" t="s">
        <v>11551</v>
      </c>
      <c r="C10276" s="28" t="s">
        <v>65</v>
      </c>
      <c r="D10276" s="329">
        <v>13.42</v>
      </c>
    </row>
    <row r="10277" spans="1:4" ht="30">
      <c r="A10277" s="47">
        <v>38082</v>
      </c>
      <c r="B10277" s="48" t="s">
        <v>11552</v>
      </c>
      <c r="C10277" s="47" t="s">
        <v>65</v>
      </c>
      <c r="D10277" s="332">
        <v>16.53</v>
      </c>
    </row>
    <row r="10278" spans="1:4">
      <c r="A10278" s="28">
        <v>38104</v>
      </c>
      <c r="B10278" s="26" t="s">
        <v>11553</v>
      </c>
      <c r="C10278" s="28" t="s">
        <v>65</v>
      </c>
      <c r="D10278" s="329">
        <v>26.27</v>
      </c>
    </row>
    <row r="10279" spans="1:4" ht="30">
      <c r="A10279" s="47">
        <v>38083</v>
      </c>
      <c r="B10279" s="48" t="s">
        <v>11554</v>
      </c>
      <c r="C10279" s="47" t="s">
        <v>65</v>
      </c>
      <c r="D10279" s="332">
        <v>29.17</v>
      </c>
    </row>
    <row r="10280" spans="1:4">
      <c r="A10280" s="28">
        <v>38101</v>
      </c>
      <c r="B10280" s="26" t="s">
        <v>11555</v>
      </c>
      <c r="C10280" s="28" t="s">
        <v>65</v>
      </c>
      <c r="D10280" s="329">
        <v>6.38</v>
      </c>
    </row>
    <row r="10281" spans="1:4" ht="30">
      <c r="A10281" s="47">
        <v>7528</v>
      </c>
      <c r="B10281" s="48" t="s">
        <v>11556</v>
      </c>
      <c r="C10281" s="47" t="s">
        <v>65</v>
      </c>
      <c r="D10281" s="332">
        <v>7.5</v>
      </c>
    </row>
    <row r="10282" spans="1:4">
      <c r="A10282" s="28">
        <v>12147</v>
      </c>
      <c r="B10282" s="26" t="s">
        <v>11557</v>
      </c>
      <c r="C10282" s="28" t="s">
        <v>65</v>
      </c>
      <c r="D10282" s="329">
        <v>11.43</v>
      </c>
    </row>
    <row r="10283" spans="1:4" ht="30">
      <c r="A10283" s="47">
        <v>38075</v>
      </c>
      <c r="B10283" s="48" t="s">
        <v>9723</v>
      </c>
      <c r="C10283" s="47" t="s">
        <v>65</v>
      </c>
      <c r="D10283" s="332">
        <v>12.99</v>
      </c>
    </row>
    <row r="10284" spans="1:4">
      <c r="A10284" s="28">
        <v>38102</v>
      </c>
      <c r="B10284" s="26" t="s">
        <v>11558</v>
      </c>
      <c r="C10284" s="28" t="s">
        <v>65</v>
      </c>
      <c r="D10284" s="329">
        <v>8.16</v>
      </c>
    </row>
    <row r="10285" spans="1:4">
      <c r="A10285" s="47">
        <v>7592</v>
      </c>
      <c r="B10285" s="48" t="s">
        <v>9758</v>
      </c>
      <c r="C10285" s="47" t="s">
        <v>57</v>
      </c>
      <c r="D10285" s="332">
        <v>12.75</v>
      </c>
    </row>
    <row r="10286" spans="1:4">
      <c r="A10286" s="28">
        <v>40820</v>
      </c>
      <c r="B10286" s="26" t="s">
        <v>251</v>
      </c>
      <c r="C10286" s="28" t="s">
        <v>1643</v>
      </c>
      <c r="D10286" s="329">
        <v>2245.17</v>
      </c>
    </row>
    <row r="10287" spans="1:4">
      <c r="A10287" s="47">
        <v>11762</v>
      </c>
      <c r="B10287" s="48" t="s">
        <v>9761</v>
      </c>
      <c r="C10287" s="47" t="s">
        <v>65</v>
      </c>
      <c r="D10287" s="332">
        <v>48.71</v>
      </c>
    </row>
    <row r="10288" spans="1:4" ht="30">
      <c r="A10288" s="28">
        <v>13418</v>
      </c>
      <c r="B10288" s="26" t="s">
        <v>9762</v>
      </c>
      <c r="C10288" s="28" t="s">
        <v>65</v>
      </c>
      <c r="D10288" s="329">
        <v>13.61</v>
      </c>
    </row>
    <row r="10289" spans="1:4">
      <c r="A10289" s="47">
        <v>13984</v>
      </c>
      <c r="B10289" s="48" t="s">
        <v>9763</v>
      </c>
      <c r="C10289" s="47" t="s">
        <v>65</v>
      </c>
      <c r="D10289" s="332">
        <v>34.04</v>
      </c>
    </row>
    <row r="10290" spans="1:4" ht="30">
      <c r="A10290" s="28">
        <v>11772</v>
      </c>
      <c r="B10290" s="26" t="s">
        <v>9764</v>
      </c>
      <c r="C10290" s="28" t="s">
        <v>65</v>
      </c>
      <c r="D10290" s="329">
        <v>82.67</v>
      </c>
    </row>
    <row r="10291" spans="1:4">
      <c r="A10291" s="47">
        <v>36795</v>
      </c>
      <c r="B10291" s="48" t="s">
        <v>9765</v>
      </c>
      <c r="C10291" s="47" t="s">
        <v>65</v>
      </c>
      <c r="D10291" s="332">
        <v>531.70000000000005</v>
      </c>
    </row>
    <row r="10292" spans="1:4">
      <c r="A10292" s="28">
        <v>36796</v>
      </c>
      <c r="B10292" s="26" t="s">
        <v>9766</v>
      </c>
      <c r="C10292" s="28" t="s">
        <v>65</v>
      </c>
      <c r="D10292" s="329">
        <v>136.9</v>
      </c>
    </row>
    <row r="10293" spans="1:4">
      <c r="A10293" s="47">
        <v>36791</v>
      </c>
      <c r="B10293" s="48" t="s">
        <v>9767</v>
      </c>
      <c r="C10293" s="47" t="s">
        <v>65</v>
      </c>
      <c r="D10293" s="332">
        <v>70.53</v>
      </c>
    </row>
    <row r="10294" spans="1:4" ht="30">
      <c r="A10294" s="28">
        <v>13415</v>
      </c>
      <c r="B10294" s="26" t="s">
        <v>9768</v>
      </c>
      <c r="C10294" s="28" t="s">
        <v>65</v>
      </c>
      <c r="D10294" s="329">
        <v>41</v>
      </c>
    </row>
    <row r="10295" spans="1:4">
      <c r="A10295" s="47">
        <v>36792</v>
      </c>
      <c r="B10295" s="48" t="s">
        <v>9771</v>
      </c>
      <c r="C10295" s="47" t="s">
        <v>65</v>
      </c>
      <c r="D10295" s="332">
        <v>134.83000000000001</v>
      </c>
    </row>
    <row r="10296" spans="1:4" ht="30">
      <c r="A10296" s="28">
        <v>11773</v>
      </c>
      <c r="B10296" s="26" t="s">
        <v>9772</v>
      </c>
      <c r="C10296" s="28" t="s">
        <v>65</v>
      </c>
      <c r="D10296" s="329">
        <v>78.92</v>
      </c>
    </row>
    <row r="10297" spans="1:4">
      <c r="A10297" s="47">
        <v>11775</v>
      </c>
      <c r="B10297" s="48" t="s">
        <v>9773</v>
      </c>
      <c r="C10297" s="47" t="s">
        <v>65</v>
      </c>
      <c r="D10297" s="332">
        <v>82.41</v>
      </c>
    </row>
    <row r="10298" spans="1:4" ht="30">
      <c r="A10298" s="28">
        <v>13983</v>
      </c>
      <c r="B10298" s="26" t="s">
        <v>9774</v>
      </c>
      <c r="C10298" s="28" t="s">
        <v>65</v>
      </c>
      <c r="D10298" s="329">
        <v>42.1</v>
      </c>
    </row>
    <row r="10299" spans="1:4" ht="30">
      <c r="A10299" s="47">
        <v>13416</v>
      </c>
      <c r="B10299" s="48" t="s">
        <v>9775</v>
      </c>
      <c r="C10299" s="47" t="s">
        <v>65</v>
      </c>
      <c r="D10299" s="332">
        <v>33.950000000000003</v>
      </c>
    </row>
    <row r="10300" spans="1:4">
      <c r="A10300" s="28">
        <v>13417</v>
      </c>
      <c r="B10300" s="26" t="s">
        <v>9777</v>
      </c>
      <c r="C10300" s="28" t="s">
        <v>65</v>
      </c>
      <c r="D10300" s="329">
        <v>29.95</v>
      </c>
    </row>
    <row r="10301" spans="1:4">
      <c r="A10301" s="47">
        <v>7604</v>
      </c>
      <c r="B10301" s="48" t="s">
        <v>9778</v>
      </c>
      <c r="C10301" s="47" t="s">
        <v>65</v>
      </c>
      <c r="D10301" s="332">
        <v>12.97</v>
      </c>
    </row>
    <row r="10302" spans="1:4">
      <c r="A10302" s="28">
        <v>11829</v>
      </c>
      <c r="B10302" s="26" t="s">
        <v>9781</v>
      </c>
      <c r="C10302" s="28" t="s">
        <v>65</v>
      </c>
      <c r="D10302" s="329">
        <v>25.15</v>
      </c>
    </row>
    <row r="10303" spans="1:4">
      <c r="A10303" s="47">
        <v>11830</v>
      </c>
      <c r="B10303" s="48" t="s">
        <v>9782</v>
      </c>
      <c r="C10303" s="47" t="s">
        <v>65</v>
      </c>
      <c r="D10303" s="332">
        <v>25.44</v>
      </c>
    </row>
    <row r="10304" spans="1:4">
      <c r="A10304" s="28">
        <v>11763</v>
      </c>
      <c r="B10304" s="26" t="s">
        <v>9784</v>
      </c>
      <c r="C10304" s="28" t="s">
        <v>65</v>
      </c>
      <c r="D10304" s="329">
        <v>109.74</v>
      </c>
    </row>
    <row r="10305" spans="1:4">
      <c r="A10305" s="47">
        <v>11826</v>
      </c>
      <c r="B10305" s="48" t="s">
        <v>9785</v>
      </c>
      <c r="C10305" s="47" t="s">
        <v>65</v>
      </c>
      <c r="D10305" s="332">
        <v>41.34</v>
      </c>
    </row>
    <row r="10306" spans="1:4">
      <c r="A10306" s="28">
        <v>11825</v>
      </c>
      <c r="B10306" s="26" t="s">
        <v>9783</v>
      </c>
      <c r="C10306" s="28" t="s">
        <v>65</v>
      </c>
      <c r="D10306" s="329">
        <v>59.5</v>
      </c>
    </row>
    <row r="10307" spans="1:4">
      <c r="A10307" s="47">
        <v>11767</v>
      </c>
      <c r="B10307" s="48" t="s">
        <v>9786</v>
      </c>
      <c r="C10307" s="47" t="s">
        <v>65</v>
      </c>
      <c r="D10307" s="332">
        <v>130.44</v>
      </c>
    </row>
    <row r="10308" spans="1:4" ht="57.75" customHeight="1">
      <c r="A10308" s="28">
        <v>7606</v>
      </c>
      <c r="B10308" s="26" t="s">
        <v>9787</v>
      </c>
      <c r="C10308" s="28" t="s">
        <v>65</v>
      </c>
      <c r="D10308" s="329">
        <v>44.64</v>
      </c>
    </row>
    <row r="10309" spans="1:4">
      <c r="A10309" s="47">
        <v>11766</v>
      </c>
      <c r="B10309" s="48" t="s">
        <v>9795</v>
      </c>
      <c r="C10309" s="47" t="s">
        <v>65</v>
      </c>
      <c r="D10309" s="332">
        <v>43.2</v>
      </c>
    </row>
    <row r="10310" spans="1:4">
      <c r="A10310" s="28">
        <v>11765</v>
      </c>
      <c r="B10310" s="26" t="s">
        <v>9794</v>
      </c>
      <c r="C10310" s="28" t="s">
        <v>65</v>
      </c>
      <c r="D10310" s="329">
        <v>61.48</v>
      </c>
    </row>
    <row r="10311" spans="1:4" ht="57.75" customHeight="1">
      <c r="A10311" s="47">
        <v>11824</v>
      </c>
      <c r="B10311" s="48" t="s">
        <v>9796</v>
      </c>
      <c r="C10311" s="47" t="s">
        <v>65</v>
      </c>
      <c r="D10311" s="332">
        <v>48.48</v>
      </c>
    </row>
    <row r="10312" spans="1:4">
      <c r="A10312" s="28">
        <v>11777</v>
      </c>
      <c r="B10312" s="26" t="s">
        <v>9797</v>
      </c>
      <c r="C10312" s="28" t="s">
        <v>65</v>
      </c>
      <c r="D10312" s="329">
        <v>100.8</v>
      </c>
    </row>
    <row r="10313" spans="1:4" ht="30">
      <c r="A10313" s="47">
        <v>7602</v>
      </c>
      <c r="B10313" s="48" t="s">
        <v>9798</v>
      </c>
      <c r="C10313" s="47" t="s">
        <v>65</v>
      </c>
      <c r="D10313" s="332">
        <v>12.86</v>
      </c>
    </row>
    <row r="10314" spans="1:4" ht="57.75" customHeight="1">
      <c r="A10314" s="28">
        <v>7603</v>
      </c>
      <c r="B10314" s="26" t="s">
        <v>9799</v>
      </c>
      <c r="C10314" s="28" t="s">
        <v>65</v>
      </c>
      <c r="D10314" s="329">
        <v>12.47</v>
      </c>
    </row>
    <row r="10315" spans="1:4" ht="30">
      <c r="A10315" s="47">
        <v>11764</v>
      </c>
      <c r="B10315" s="48" t="s">
        <v>9800</v>
      </c>
      <c r="C10315" s="47" t="s">
        <v>65</v>
      </c>
      <c r="D10315" s="332">
        <v>53.78</v>
      </c>
    </row>
    <row r="10316" spans="1:4" ht="30">
      <c r="A10316" s="28">
        <v>40329</v>
      </c>
      <c r="B10316" s="26" t="s">
        <v>9802</v>
      </c>
      <c r="C10316" s="28" t="s">
        <v>65</v>
      </c>
      <c r="D10316" s="329">
        <v>10.81</v>
      </c>
    </row>
    <row r="10317" spans="1:4" ht="57.75" customHeight="1">
      <c r="A10317" s="47">
        <v>11823</v>
      </c>
      <c r="B10317" s="48" t="s">
        <v>9803</v>
      </c>
      <c r="C10317" s="47" t="s">
        <v>65</v>
      </c>
      <c r="D10317" s="332">
        <v>4.67</v>
      </c>
    </row>
    <row r="10318" spans="1:4">
      <c r="A10318" s="28">
        <v>11832</v>
      </c>
      <c r="B10318" s="26" t="s">
        <v>9804</v>
      </c>
      <c r="C10318" s="28" t="s">
        <v>65</v>
      </c>
      <c r="D10318" s="329">
        <v>9.25</v>
      </c>
    </row>
    <row r="10319" spans="1:4">
      <c r="A10319" s="47">
        <v>11822</v>
      </c>
      <c r="B10319" s="48" t="s">
        <v>9805</v>
      </c>
      <c r="C10319" s="47" t="s">
        <v>65</v>
      </c>
      <c r="D10319" s="332">
        <v>25.2</v>
      </c>
    </row>
    <row r="10320" spans="1:4">
      <c r="A10320" s="28">
        <v>11831</v>
      </c>
      <c r="B10320" s="26" t="s">
        <v>9806</v>
      </c>
      <c r="C10320" s="28" t="s">
        <v>65</v>
      </c>
      <c r="D10320" s="329">
        <v>19.13</v>
      </c>
    </row>
    <row r="10321" spans="1:4" ht="30">
      <c r="A10321" s="47">
        <v>40609</v>
      </c>
      <c r="B10321" s="48" t="s">
        <v>9807</v>
      </c>
      <c r="C10321" s="47" t="s">
        <v>1643</v>
      </c>
      <c r="D10321" s="332">
        <v>101.29</v>
      </c>
    </row>
    <row r="10322" spans="1:4" ht="30">
      <c r="A10322" s="28">
        <v>7613</v>
      </c>
      <c r="B10322" s="26" t="s">
        <v>9838</v>
      </c>
      <c r="C10322" s="28" t="s">
        <v>65</v>
      </c>
      <c r="D10322" s="329">
        <v>58352.71</v>
      </c>
    </row>
    <row r="10323" spans="1:4" ht="30">
      <c r="A10323" s="47">
        <v>7619</v>
      </c>
      <c r="B10323" s="48" t="s">
        <v>9839</v>
      </c>
      <c r="C10323" s="47" t="s">
        <v>65</v>
      </c>
      <c r="D10323" s="332">
        <v>9020.08</v>
      </c>
    </row>
    <row r="10324" spans="1:4" ht="30">
      <c r="A10324" s="28">
        <v>12076</v>
      </c>
      <c r="B10324" s="26" t="s">
        <v>9840</v>
      </c>
      <c r="C10324" s="28" t="s">
        <v>65</v>
      </c>
      <c r="D10324" s="329">
        <v>4137.6499999999996</v>
      </c>
    </row>
    <row r="10325" spans="1:4" ht="30">
      <c r="A10325" s="47">
        <v>7614</v>
      </c>
      <c r="B10325" s="48" t="s">
        <v>9841</v>
      </c>
      <c r="C10325" s="47" t="s">
        <v>65</v>
      </c>
      <c r="D10325" s="332">
        <v>11376.47</v>
      </c>
    </row>
    <row r="10326" spans="1:4" ht="30">
      <c r="A10326" s="28">
        <v>7618</v>
      </c>
      <c r="B10326" s="26" t="s">
        <v>9842</v>
      </c>
      <c r="C10326" s="28" t="s">
        <v>65</v>
      </c>
      <c r="D10326" s="329">
        <v>73784.97</v>
      </c>
    </row>
    <row r="10327" spans="1:4" ht="30">
      <c r="A10327" s="47">
        <v>7620</v>
      </c>
      <c r="B10327" s="48" t="s">
        <v>9843</v>
      </c>
      <c r="C10327" s="47" t="s">
        <v>65</v>
      </c>
      <c r="D10327" s="332">
        <v>15959.51</v>
      </c>
    </row>
    <row r="10328" spans="1:4" ht="30">
      <c r="A10328" s="28">
        <v>7610</v>
      </c>
      <c r="B10328" s="26" t="s">
        <v>9844</v>
      </c>
      <c r="C10328" s="28" t="s">
        <v>65</v>
      </c>
      <c r="D10328" s="329">
        <v>5053.84</v>
      </c>
    </row>
    <row r="10329" spans="1:4" ht="30">
      <c r="A10329" s="47">
        <v>7615</v>
      </c>
      <c r="B10329" s="48" t="s">
        <v>9845</v>
      </c>
      <c r="C10329" s="47" t="s">
        <v>65</v>
      </c>
      <c r="D10329" s="332">
        <v>18619.43</v>
      </c>
    </row>
    <row r="10330" spans="1:4" ht="30">
      <c r="A10330" s="28">
        <v>7617</v>
      </c>
      <c r="B10330" s="26" t="s">
        <v>9846</v>
      </c>
      <c r="C10330" s="28" t="s">
        <v>65</v>
      </c>
      <c r="D10330" s="329">
        <v>5644.93</v>
      </c>
    </row>
    <row r="10331" spans="1:4" ht="30">
      <c r="A10331" s="47">
        <v>7616</v>
      </c>
      <c r="B10331" s="48" t="s">
        <v>9847</v>
      </c>
      <c r="C10331" s="47" t="s">
        <v>65</v>
      </c>
      <c r="D10331" s="332">
        <v>30383.95</v>
      </c>
    </row>
    <row r="10332" spans="1:4" ht="72" customHeight="1">
      <c r="A10332" s="28">
        <v>7611</v>
      </c>
      <c r="B10332" s="26" t="s">
        <v>9848</v>
      </c>
      <c r="C10332" s="28" t="s">
        <v>65</v>
      </c>
      <c r="D10332" s="329">
        <v>7300</v>
      </c>
    </row>
    <row r="10333" spans="1:4" ht="30">
      <c r="A10333" s="47">
        <v>7612</v>
      </c>
      <c r="B10333" s="48" t="s">
        <v>9849</v>
      </c>
      <c r="C10333" s="47" t="s">
        <v>65</v>
      </c>
      <c r="D10333" s="332">
        <v>41676.79</v>
      </c>
    </row>
    <row r="10334" spans="1:4">
      <c r="A10334" s="28">
        <v>37371</v>
      </c>
      <c r="B10334" s="26" t="s">
        <v>9850</v>
      </c>
      <c r="C10334" s="28" t="s">
        <v>57</v>
      </c>
      <c r="D10334" s="329">
        <v>0.65</v>
      </c>
    </row>
    <row r="10335" spans="1:4">
      <c r="A10335" s="47">
        <v>40861</v>
      </c>
      <c r="B10335" s="48" t="s">
        <v>9851</v>
      </c>
      <c r="C10335" s="47" t="s">
        <v>1643</v>
      </c>
      <c r="D10335" s="332">
        <v>122.96</v>
      </c>
    </row>
    <row r="10336" spans="1:4" ht="30">
      <c r="A10336" s="28">
        <v>36510</v>
      </c>
      <c r="B10336" s="26" t="s">
        <v>10096</v>
      </c>
      <c r="C10336" s="28" t="s">
        <v>65</v>
      </c>
      <c r="D10336" s="329">
        <v>496941.87</v>
      </c>
    </row>
    <row r="10337" spans="1:4" ht="30">
      <c r="A10337" s="47">
        <v>25020</v>
      </c>
      <c r="B10337" s="48" t="s">
        <v>10097</v>
      </c>
      <c r="C10337" s="47" t="s">
        <v>65</v>
      </c>
      <c r="D10337" s="332">
        <v>2047225.68</v>
      </c>
    </row>
    <row r="10338" spans="1:4" ht="30">
      <c r="A10338" s="28">
        <v>7622</v>
      </c>
      <c r="B10338" s="26" t="s">
        <v>10098</v>
      </c>
      <c r="C10338" s="28" t="s">
        <v>65</v>
      </c>
      <c r="D10338" s="329">
        <v>482106.25</v>
      </c>
    </row>
    <row r="10339" spans="1:4" ht="30">
      <c r="A10339" s="47">
        <v>7624</v>
      </c>
      <c r="B10339" s="48" t="s">
        <v>10099</v>
      </c>
      <c r="C10339" s="47" t="s">
        <v>65</v>
      </c>
      <c r="D10339" s="332">
        <v>625000</v>
      </c>
    </row>
    <row r="10340" spans="1:4" ht="30">
      <c r="A10340" s="28">
        <v>7625</v>
      </c>
      <c r="B10340" s="26" t="s">
        <v>10100</v>
      </c>
      <c r="C10340" s="28" t="s">
        <v>65</v>
      </c>
      <c r="D10340" s="329">
        <v>621177.31000000006</v>
      </c>
    </row>
    <row r="10341" spans="1:4" ht="30">
      <c r="A10341" s="47">
        <v>7623</v>
      </c>
      <c r="B10341" s="48" t="s">
        <v>10101</v>
      </c>
      <c r="C10341" s="47" t="s">
        <v>65</v>
      </c>
      <c r="D10341" s="332">
        <v>2047225.68</v>
      </c>
    </row>
    <row r="10342" spans="1:4" ht="30">
      <c r="A10342" s="28">
        <v>36508</v>
      </c>
      <c r="B10342" s="26" t="s">
        <v>10102</v>
      </c>
      <c r="C10342" s="28" t="s">
        <v>65</v>
      </c>
      <c r="D10342" s="329">
        <v>920718.62</v>
      </c>
    </row>
    <row r="10343" spans="1:4" ht="30">
      <c r="A10343" s="47">
        <v>36509</v>
      </c>
      <c r="B10343" s="48" t="s">
        <v>10077</v>
      </c>
      <c r="C10343" s="47" t="s">
        <v>65</v>
      </c>
      <c r="D10343" s="332">
        <v>504587.12</v>
      </c>
    </row>
    <row r="10344" spans="1:4">
      <c r="A10344" s="28">
        <v>13238</v>
      </c>
      <c r="B10344" s="26" t="s">
        <v>10103</v>
      </c>
      <c r="C10344" s="28" t="s">
        <v>65</v>
      </c>
      <c r="D10344" s="329">
        <v>136598.12</v>
      </c>
    </row>
    <row r="10345" spans="1:4">
      <c r="A10345" s="47">
        <v>36511</v>
      </c>
      <c r="B10345" s="48" t="s">
        <v>10104</v>
      </c>
      <c r="C10345" s="47" t="s">
        <v>65</v>
      </c>
      <c r="D10345" s="332">
        <v>158280.35999999999</v>
      </c>
    </row>
    <row r="10346" spans="1:4">
      <c r="A10346" s="28">
        <v>36515</v>
      </c>
      <c r="B10346" s="26" t="s">
        <v>10105</v>
      </c>
      <c r="C10346" s="28" t="s">
        <v>65</v>
      </c>
      <c r="D10346" s="329">
        <v>46616.81</v>
      </c>
    </row>
    <row r="10347" spans="1:4">
      <c r="A10347" s="47">
        <v>10598</v>
      </c>
      <c r="B10347" s="48" t="s">
        <v>10106</v>
      </c>
      <c r="C10347" s="47" t="s">
        <v>65</v>
      </c>
      <c r="D10347" s="332">
        <v>75596.210000000006</v>
      </c>
    </row>
    <row r="10348" spans="1:4">
      <c r="A10348" s="28">
        <v>7640</v>
      </c>
      <c r="B10348" s="26" t="s">
        <v>10107</v>
      </c>
      <c r="C10348" s="28" t="s">
        <v>65</v>
      </c>
      <c r="D10348" s="329">
        <v>116000</v>
      </c>
    </row>
    <row r="10349" spans="1:4">
      <c r="A10349" s="47">
        <v>36513</v>
      </c>
      <c r="B10349" s="48" t="s">
        <v>10108</v>
      </c>
      <c r="C10349" s="47" t="s">
        <v>65</v>
      </c>
      <c r="D10349" s="332">
        <v>111744.85</v>
      </c>
    </row>
    <row r="10350" spans="1:4">
      <c r="A10350" s="28">
        <v>36514</v>
      </c>
      <c r="B10350" s="26" t="s">
        <v>10109</v>
      </c>
      <c r="C10350" s="28" t="s">
        <v>65</v>
      </c>
      <c r="D10350" s="329">
        <v>124672.89</v>
      </c>
    </row>
    <row r="10351" spans="1:4" ht="30">
      <c r="A10351" s="47">
        <v>36149</v>
      </c>
      <c r="B10351" s="48" t="s">
        <v>10122</v>
      </c>
      <c r="C10351" s="47" t="s">
        <v>65</v>
      </c>
      <c r="D10351" s="332">
        <v>116.09</v>
      </c>
    </row>
    <row r="10352" spans="1:4" ht="30">
      <c r="A10352" s="28">
        <v>11581</v>
      </c>
      <c r="B10352" s="26" t="s">
        <v>10123</v>
      </c>
      <c r="C10352" s="28" t="s">
        <v>71</v>
      </c>
      <c r="D10352" s="329">
        <v>19.86</v>
      </c>
    </row>
    <row r="10353" spans="1:4" ht="30">
      <c r="A10353" s="47">
        <v>11580</v>
      </c>
      <c r="B10353" s="48" t="s">
        <v>10124</v>
      </c>
      <c r="C10353" s="47" t="s">
        <v>71</v>
      </c>
      <c r="D10353" s="332">
        <v>9.0399999999999991</v>
      </c>
    </row>
    <row r="10354" spans="1:4" ht="30">
      <c r="A10354" s="28">
        <v>38177</v>
      </c>
      <c r="B10354" s="26" t="s">
        <v>10125</v>
      </c>
      <c r="C10354" s="28" t="s">
        <v>65</v>
      </c>
      <c r="D10354" s="329">
        <v>6.13</v>
      </c>
    </row>
    <row r="10355" spans="1:4" ht="57.75" customHeight="1">
      <c r="A10355" s="47">
        <v>10743</v>
      </c>
      <c r="B10355" s="48" t="s">
        <v>10126</v>
      </c>
      <c r="C10355" s="47" t="s">
        <v>65</v>
      </c>
      <c r="D10355" s="332">
        <v>498.25</v>
      </c>
    </row>
    <row r="10356" spans="1:4" ht="30">
      <c r="A10356" s="28">
        <v>39848</v>
      </c>
      <c r="B10356" s="26" t="s">
        <v>10127</v>
      </c>
      <c r="C10356" s="28" t="s">
        <v>71</v>
      </c>
      <c r="D10356" s="329">
        <v>1</v>
      </c>
    </row>
    <row r="10357" spans="1:4" ht="30">
      <c r="A10357" s="47">
        <v>21016</v>
      </c>
      <c r="B10357" s="48" t="s">
        <v>10128</v>
      </c>
      <c r="C10357" s="47" t="s">
        <v>71</v>
      </c>
      <c r="D10357" s="332">
        <v>68.94</v>
      </c>
    </row>
    <row r="10358" spans="1:4" ht="30">
      <c r="A10358" s="28">
        <v>21008</v>
      </c>
      <c r="B10358" s="26" t="s">
        <v>10129</v>
      </c>
      <c r="C10358" s="28" t="s">
        <v>71</v>
      </c>
      <c r="D10358" s="329">
        <v>8.0500000000000007</v>
      </c>
    </row>
    <row r="10359" spans="1:4" ht="30">
      <c r="A10359" s="47">
        <v>21009</v>
      </c>
      <c r="B10359" s="48" t="s">
        <v>10130</v>
      </c>
      <c r="C10359" s="47" t="s">
        <v>71</v>
      </c>
      <c r="D10359" s="332">
        <v>10.48</v>
      </c>
    </row>
    <row r="10360" spans="1:4" ht="30">
      <c r="A10360" s="28">
        <v>21010</v>
      </c>
      <c r="B10360" s="26" t="s">
        <v>10131</v>
      </c>
      <c r="C10360" s="28" t="s">
        <v>71</v>
      </c>
      <c r="D10360" s="329">
        <v>14.08</v>
      </c>
    </row>
    <row r="10361" spans="1:4" ht="30">
      <c r="A10361" s="47">
        <v>21011</v>
      </c>
      <c r="B10361" s="48" t="s">
        <v>10132</v>
      </c>
      <c r="C10361" s="47" t="s">
        <v>71</v>
      </c>
      <c r="D10361" s="332">
        <v>20.52</v>
      </c>
    </row>
    <row r="10362" spans="1:4" ht="30">
      <c r="A10362" s="28">
        <v>21012</v>
      </c>
      <c r="B10362" s="26" t="s">
        <v>10133</v>
      </c>
      <c r="C10362" s="28" t="s">
        <v>71</v>
      </c>
      <c r="D10362" s="329">
        <v>22.67</v>
      </c>
    </row>
    <row r="10363" spans="1:4" ht="30">
      <c r="A10363" s="47">
        <v>21013</v>
      </c>
      <c r="B10363" s="48" t="s">
        <v>10134</v>
      </c>
      <c r="C10363" s="47" t="s">
        <v>71</v>
      </c>
      <c r="D10363" s="332">
        <v>29.59</v>
      </c>
    </row>
    <row r="10364" spans="1:4" ht="30">
      <c r="A10364" s="28">
        <v>21014</v>
      </c>
      <c r="B10364" s="26" t="s">
        <v>10135</v>
      </c>
      <c r="C10364" s="28" t="s">
        <v>71</v>
      </c>
      <c r="D10364" s="329">
        <v>41.4</v>
      </c>
    </row>
    <row r="10365" spans="1:4" ht="43.5" customHeight="1">
      <c r="A10365" s="47">
        <v>21015</v>
      </c>
      <c r="B10365" s="48" t="s">
        <v>10136</v>
      </c>
      <c r="C10365" s="47" t="s">
        <v>71</v>
      </c>
      <c r="D10365" s="332">
        <v>47.57</v>
      </c>
    </row>
    <row r="10366" spans="1:4" ht="30">
      <c r="A10366" s="28">
        <v>7697</v>
      </c>
      <c r="B10366" s="26" t="s">
        <v>11559</v>
      </c>
      <c r="C10366" s="28" t="s">
        <v>71</v>
      </c>
      <c r="D10366" s="329">
        <v>24.9</v>
      </c>
    </row>
    <row r="10367" spans="1:4" ht="30">
      <c r="A10367" s="47">
        <v>7698</v>
      </c>
      <c r="B10367" s="48" t="s">
        <v>11560</v>
      </c>
      <c r="C10367" s="47" t="s">
        <v>71</v>
      </c>
      <c r="D10367" s="332">
        <v>21.43</v>
      </c>
    </row>
    <row r="10368" spans="1:4" ht="30">
      <c r="A10368" s="28">
        <v>7691</v>
      </c>
      <c r="B10368" s="26" t="s">
        <v>11561</v>
      </c>
      <c r="C10368" s="28" t="s">
        <v>71</v>
      </c>
      <c r="D10368" s="329">
        <v>9.0500000000000007</v>
      </c>
    </row>
    <row r="10369" spans="1:4" ht="30">
      <c r="A10369" s="47">
        <v>40626</v>
      </c>
      <c r="B10369" s="48" t="s">
        <v>11562</v>
      </c>
      <c r="C10369" s="47" t="s">
        <v>71</v>
      </c>
      <c r="D10369" s="332">
        <v>16.8</v>
      </c>
    </row>
    <row r="10370" spans="1:4" ht="30">
      <c r="A10370" s="28">
        <v>7701</v>
      </c>
      <c r="B10370" s="26" t="s">
        <v>11563</v>
      </c>
      <c r="C10370" s="28" t="s">
        <v>71</v>
      </c>
      <c r="D10370" s="329">
        <v>44.56</v>
      </c>
    </row>
    <row r="10371" spans="1:4" ht="30">
      <c r="A10371" s="47">
        <v>7696</v>
      </c>
      <c r="B10371" s="48" t="s">
        <v>11564</v>
      </c>
      <c r="C10371" s="47" t="s">
        <v>71</v>
      </c>
      <c r="D10371" s="332">
        <v>35.909999999999997</v>
      </c>
    </row>
    <row r="10372" spans="1:4" ht="30">
      <c r="A10372" s="28">
        <v>7700</v>
      </c>
      <c r="B10372" s="26" t="s">
        <v>11565</v>
      </c>
      <c r="C10372" s="28" t="s">
        <v>71</v>
      </c>
      <c r="D10372" s="329">
        <v>11.45</v>
      </c>
    </row>
    <row r="10373" spans="1:4" ht="30">
      <c r="A10373" s="47">
        <v>7694</v>
      </c>
      <c r="B10373" s="48" t="s">
        <v>11566</v>
      </c>
      <c r="C10373" s="47" t="s">
        <v>71</v>
      </c>
      <c r="D10373" s="332">
        <v>59.96</v>
      </c>
    </row>
    <row r="10374" spans="1:4" ht="30">
      <c r="A10374" s="28">
        <v>7693</v>
      </c>
      <c r="B10374" s="26" t="s">
        <v>11567</v>
      </c>
      <c r="C10374" s="28" t="s">
        <v>71</v>
      </c>
      <c r="D10374" s="329">
        <v>82.59</v>
      </c>
    </row>
    <row r="10375" spans="1:4" ht="30">
      <c r="A10375" s="47">
        <v>7692</v>
      </c>
      <c r="B10375" s="48" t="s">
        <v>11568</v>
      </c>
      <c r="C10375" s="47" t="s">
        <v>71</v>
      </c>
      <c r="D10375" s="332">
        <v>123.65</v>
      </c>
    </row>
    <row r="10376" spans="1:4" ht="30">
      <c r="A10376" s="28">
        <v>7695</v>
      </c>
      <c r="B10376" s="26" t="s">
        <v>11569</v>
      </c>
      <c r="C10376" s="28" t="s">
        <v>71</v>
      </c>
      <c r="D10376" s="329">
        <v>134.1</v>
      </c>
    </row>
    <row r="10377" spans="1:4">
      <c r="A10377" s="47">
        <v>13356</v>
      </c>
      <c r="B10377" s="48" t="s">
        <v>10137</v>
      </c>
      <c r="C10377" s="47" t="s">
        <v>71</v>
      </c>
      <c r="D10377" s="332">
        <v>53.24</v>
      </c>
    </row>
    <row r="10378" spans="1:4">
      <c r="A10378" s="28">
        <v>20999</v>
      </c>
      <c r="B10378" s="26" t="s">
        <v>10138</v>
      </c>
      <c r="C10378" s="28" t="s">
        <v>71</v>
      </c>
      <c r="D10378" s="329">
        <v>5.26</v>
      </c>
    </row>
    <row r="10379" spans="1:4">
      <c r="A10379" s="47">
        <v>21001</v>
      </c>
      <c r="B10379" s="48" t="s">
        <v>10139</v>
      </c>
      <c r="C10379" s="47" t="s">
        <v>71</v>
      </c>
      <c r="D10379" s="332">
        <v>9.82</v>
      </c>
    </row>
    <row r="10380" spans="1:4">
      <c r="A10380" s="28">
        <v>21003</v>
      </c>
      <c r="B10380" s="26" t="s">
        <v>10140</v>
      </c>
      <c r="C10380" s="28" t="s">
        <v>71</v>
      </c>
      <c r="D10380" s="329">
        <v>16.13</v>
      </c>
    </row>
    <row r="10381" spans="1:4">
      <c r="A10381" s="47">
        <v>21006</v>
      </c>
      <c r="B10381" s="48" t="s">
        <v>10141</v>
      </c>
      <c r="C10381" s="47" t="s">
        <v>71</v>
      </c>
      <c r="D10381" s="332">
        <v>34.24</v>
      </c>
    </row>
    <row r="10382" spans="1:4" ht="30">
      <c r="A10382" s="28">
        <v>21019</v>
      </c>
      <c r="B10382" s="26" t="s">
        <v>10142</v>
      </c>
      <c r="C10382" s="28" t="s">
        <v>71</v>
      </c>
      <c r="D10382" s="329">
        <v>12.15</v>
      </c>
    </row>
    <row r="10383" spans="1:4" ht="30">
      <c r="A10383" s="47">
        <v>21021</v>
      </c>
      <c r="B10383" s="48" t="s">
        <v>10143</v>
      </c>
      <c r="C10383" s="47" t="s">
        <v>71</v>
      </c>
      <c r="D10383" s="332">
        <v>19.2</v>
      </c>
    </row>
    <row r="10384" spans="1:4" ht="30">
      <c r="A10384" s="28">
        <v>21024</v>
      </c>
      <c r="B10384" s="26" t="s">
        <v>10144</v>
      </c>
      <c r="C10384" s="28" t="s">
        <v>71</v>
      </c>
      <c r="D10384" s="329">
        <v>41.14</v>
      </c>
    </row>
    <row r="10385" spans="1:4">
      <c r="A10385" s="47">
        <v>40624</v>
      </c>
      <c r="B10385" s="48" t="s">
        <v>10145</v>
      </c>
      <c r="C10385" s="47" t="s">
        <v>71</v>
      </c>
      <c r="D10385" s="332">
        <v>33.32</v>
      </c>
    </row>
    <row r="10386" spans="1:4">
      <c r="A10386" s="28">
        <v>13127</v>
      </c>
      <c r="B10386" s="26" t="s">
        <v>10146</v>
      </c>
      <c r="C10386" s="28" t="s">
        <v>71</v>
      </c>
      <c r="D10386" s="329">
        <v>14.86</v>
      </c>
    </row>
    <row r="10387" spans="1:4">
      <c r="A10387" s="47">
        <v>13137</v>
      </c>
      <c r="B10387" s="48" t="s">
        <v>10147</v>
      </c>
      <c r="C10387" s="47" t="s">
        <v>71</v>
      </c>
      <c r="D10387" s="332">
        <v>19.72</v>
      </c>
    </row>
    <row r="10388" spans="1:4">
      <c r="A10388" s="28">
        <v>20989</v>
      </c>
      <c r="B10388" s="26" t="s">
        <v>10148</v>
      </c>
      <c r="C10388" s="28" t="s">
        <v>71</v>
      </c>
      <c r="D10388" s="329">
        <v>706.59</v>
      </c>
    </row>
    <row r="10389" spans="1:4">
      <c r="A10389" s="47">
        <v>21147</v>
      </c>
      <c r="B10389" s="48" t="s">
        <v>10149</v>
      </c>
      <c r="C10389" s="47" t="s">
        <v>71</v>
      </c>
      <c r="D10389" s="332">
        <v>66.25</v>
      </c>
    </row>
    <row r="10390" spans="1:4">
      <c r="A10390" s="28">
        <v>21148</v>
      </c>
      <c r="B10390" s="26" t="s">
        <v>10150</v>
      </c>
      <c r="C10390" s="28" t="s">
        <v>71</v>
      </c>
      <c r="D10390" s="329">
        <v>40.89</v>
      </c>
    </row>
    <row r="10391" spans="1:4">
      <c r="A10391" s="47">
        <v>20984</v>
      </c>
      <c r="B10391" s="48" t="s">
        <v>10151</v>
      </c>
      <c r="C10391" s="47" t="s">
        <v>71</v>
      </c>
      <c r="D10391" s="332">
        <v>1355.8</v>
      </c>
    </row>
    <row r="10392" spans="1:4">
      <c r="A10392" s="28">
        <v>13042</v>
      </c>
      <c r="B10392" s="26" t="s">
        <v>10152</v>
      </c>
      <c r="C10392" s="28" t="s">
        <v>71</v>
      </c>
      <c r="D10392" s="329">
        <v>751.31</v>
      </c>
    </row>
    <row r="10393" spans="1:4">
      <c r="A10393" s="47">
        <v>21150</v>
      </c>
      <c r="B10393" s="48" t="s">
        <v>10153</v>
      </c>
      <c r="C10393" s="47" t="s">
        <v>71</v>
      </c>
      <c r="D10393" s="332">
        <v>20.27</v>
      </c>
    </row>
    <row r="10394" spans="1:4">
      <c r="A10394" s="28">
        <v>13141</v>
      </c>
      <c r="B10394" s="26" t="s">
        <v>10154</v>
      </c>
      <c r="C10394" s="28" t="s">
        <v>71</v>
      </c>
      <c r="D10394" s="329">
        <v>25.54</v>
      </c>
    </row>
    <row r="10395" spans="1:4">
      <c r="A10395" s="47">
        <v>21151</v>
      </c>
      <c r="B10395" s="48" t="s">
        <v>10155</v>
      </c>
      <c r="C10395" s="47" t="s">
        <v>71</v>
      </c>
      <c r="D10395" s="332">
        <v>121.36</v>
      </c>
    </row>
    <row r="10396" spans="1:4">
      <c r="A10396" s="28">
        <v>13142</v>
      </c>
      <c r="B10396" s="26" t="s">
        <v>10156</v>
      </c>
      <c r="C10396" s="28" t="s">
        <v>71</v>
      </c>
      <c r="D10396" s="329">
        <v>173.49</v>
      </c>
    </row>
    <row r="10397" spans="1:4">
      <c r="A10397" s="47">
        <v>20994</v>
      </c>
      <c r="B10397" s="48" t="s">
        <v>10157</v>
      </c>
      <c r="C10397" s="47" t="s">
        <v>71</v>
      </c>
      <c r="D10397" s="332">
        <v>327.11</v>
      </c>
    </row>
    <row r="10398" spans="1:4">
      <c r="A10398" s="28">
        <v>7672</v>
      </c>
      <c r="B10398" s="26" t="s">
        <v>10158</v>
      </c>
      <c r="C10398" s="28" t="s">
        <v>71</v>
      </c>
      <c r="D10398" s="329">
        <v>214.29</v>
      </c>
    </row>
    <row r="10399" spans="1:4">
      <c r="A10399" s="47">
        <v>20995</v>
      </c>
      <c r="B10399" s="48" t="s">
        <v>10159</v>
      </c>
      <c r="C10399" s="47" t="s">
        <v>71</v>
      </c>
      <c r="D10399" s="332">
        <v>429.89</v>
      </c>
    </row>
    <row r="10400" spans="1:4">
      <c r="A10400" s="28">
        <v>7690</v>
      </c>
      <c r="B10400" s="26" t="s">
        <v>10160</v>
      </c>
      <c r="C10400" s="28" t="s">
        <v>71</v>
      </c>
      <c r="D10400" s="329">
        <v>248.63</v>
      </c>
    </row>
    <row r="10401" spans="1:4">
      <c r="A10401" s="47">
        <v>20980</v>
      </c>
      <c r="B10401" s="48" t="s">
        <v>10161</v>
      </c>
      <c r="C10401" s="47" t="s">
        <v>71</v>
      </c>
      <c r="D10401" s="332">
        <v>271.23</v>
      </c>
    </row>
    <row r="10402" spans="1:4">
      <c r="A10402" s="28">
        <v>7661</v>
      </c>
      <c r="B10402" s="26" t="s">
        <v>10162</v>
      </c>
      <c r="C10402" s="28" t="s">
        <v>71</v>
      </c>
      <c r="D10402" s="329">
        <v>322.64999999999998</v>
      </c>
    </row>
    <row r="10403" spans="1:4">
      <c r="A10403" s="47">
        <v>7660</v>
      </c>
      <c r="B10403" s="48" t="s">
        <v>10163</v>
      </c>
      <c r="C10403" s="47" t="s">
        <v>71</v>
      </c>
      <c r="D10403" s="332">
        <v>924.78</v>
      </c>
    </row>
    <row r="10404" spans="1:4">
      <c r="A10404" s="28">
        <v>7667</v>
      </c>
      <c r="B10404" s="26" t="s">
        <v>10164</v>
      </c>
      <c r="C10404" s="28" t="s">
        <v>71</v>
      </c>
      <c r="D10404" s="329">
        <v>776.81</v>
      </c>
    </row>
    <row r="10405" spans="1:4">
      <c r="A10405" s="47">
        <v>7676</v>
      </c>
      <c r="B10405" s="48" t="s">
        <v>10165</v>
      </c>
      <c r="C10405" s="47" t="s">
        <v>71</v>
      </c>
      <c r="D10405" s="332">
        <v>935.35</v>
      </c>
    </row>
    <row r="10406" spans="1:4">
      <c r="A10406" s="28">
        <v>36083</v>
      </c>
      <c r="B10406" s="26" t="s">
        <v>10166</v>
      </c>
      <c r="C10406" s="28" t="s">
        <v>71</v>
      </c>
      <c r="D10406" s="329">
        <v>27</v>
      </c>
    </row>
    <row r="10407" spans="1:4">
      <c r="A10407" s="47">
        <v>36367</v>
      </c>
      <c r="B10407" s="48" t="s">
        <v>10167</v>
      </c>
      <c r="C10407" s="47" t="s">
        <v>71</v>
      </c>
      <c r="D10407" s="332">
        <v>42.15</v>
      </c>
    </row>
    <row r="10408" spans="1:4">
      <c r="A10408" s="28">
        <v>36368</v>
      </c>
      <c r="B10408" s="26" t="s">
        <v>10168</v>
      </c>
      <c r="C10408" s="28" t="s">
        <v>71</v>
      </c>
      <c r="D10408" s="329">
        <v>71.45</v>
      </c>
    </row>
    <row r="10409" spans="1:4">
      <c r="A10409" s="47">
        <v>36370</v>
      </c>
      <c r="B10409" s="48" t="s">
        <v>10169</v>
      </c>
      <c r="C10409" s="47" t="s">
        <v>71</v>
      </c>
      <c r="D10409" s="332">
        <v>115.78</v>
      </c>
    </row>
    <row r="10410" spans="1:4" ht="72" customHeight="1">
      <c r="A10410" s="28">
        <v>36371</v>
      </c>
      <c r="B10410" s="26" t="s">
        <v>10170</v>
      </c>
      <c r="C10410" s="28" t="s">
        <v>71</v>
      </c>
      <c r="D10410" s="329">
        <v>143.57</v>
      </c>
    </row>
    <row r="10411" spans="1:4" ht="72" customHeight="1">
      <c r="A10411" s="47">
        <v>36372</v>
      </c>
      <c r="B10411" s="48" t="s">
        <v>10171</v>
      </c>
      <c r="C10411" s="47" t="s">
        <v>71</v>
      </c>
      <c r="D10411" s="332">
        <v>186.85</v>
      </c>
    </row>
    <row r="10412" spans="1:4">
      <c r="A10412" s="28">
        <v>36365</v>
      </c>
      <c r="B10412" s="26" t="s">
        <v>11570</v>
      </c>
      <c r="C10412" s="28" t="s">
        <v>71</v>
      </c>
      <c r="D10412" s="329">
        <v>12.55</v>
      </c>
    </row>
    <row r="10413" spans="1:4">
      <c r="A10413" s="47">
        <v>9818</v>
      </c>
      <c r="B10413" s="48" t="s">
        <v>11571</v>
      </c>
      <c r="C10413" s="47" t="s">
        <v>71</v>
      </c>
      <c r="D10413" s="332">
        <v>25.91</v>
      </c>
    </row>
    <row r="10414" spans="1:4">
      <c r="A10414" s="28">
        <v>9819</v>
      </c>
      <c r="B10414" s="26" t="s">
        <v>11572</v>
      </c>
      <c r="C10414" s="28" t="s">
        <v>71</v>
      </c>
      <c r="D10414" s="329">
        <v>43.53</v>
      </c>
    </row>
    <row r="10415" spans="1:4">
      <c r="A10415" s="47">
        <v>9820</v>
      </c>
      <c r="B10415" s="48" t="s">
        <v>11573</v>
      </c>
      <c r="C10415" s="47" t="s">
        <v>71</v>
      </c>
      <c r="D10415" s="332">
        <v>70.209999999999994</v>
      </c>
    </row>
    <row r="10416" spans="1:4">
      <c r="A10416" s="28">
        <v>9821</v>
      </c>
      <c r="B10416" s="26" t="s">
        <v>11574</v>
      </c>
      <c r="C10416" s="28" t="s">
        <v>71</v>
      </c>
      <c r="D10416" s="329">
        <v>115.03</v>
      </c>
    </row>
    <row r="10417" spans="1:4" ht="43.5" customHeight="1">
      <c r="A10417" s="47">
        <v>9823</v>
      </c>
      <c r="B10417" s="48" t="s">
        <v>11575</v>
      </c>
      <c r="C10417" s="47" t="s">
        <v>71</v>
      </c>
      <c r="D10417" s="332">
        <v>187.87</v>
      </c>
    </row>
    <row r="10418" spans="1:4" ht="30">
      <c r="A10418" s="28">
        <v>7720</v>
      </c>
      <c r="B10418" s="26" t="s">
        <v>10172</v>
      </c>
      <c r="C10418" s="28" t="s">
        <v>71</v>
      </c>
      <c r="D10418" s="329">
        <v>335.79</v>
      </c>
    </row>
    <row r="10419" spans="1:4" ht="30">
      <c r="A10419" s="47">
        <v>40335</v>
      </c>
      <c r="B10419" s="48" t="s">
        <v>10173</v>
      </c>
      <c r="C10419" s="47" t="s">
        <v>71</v>
      </c>
      <c r="D10419" s="332">
        <v>68.39</v>
      </c>
    </row>
    <row r="10420" spans="1:4" ht="30">
      <c r="A10420" s="28">
        <v>7740</v>
      </c>
      <c r="B10420" s="26" t="s">
        <v>10174</v>
      </c>
      <c r="C10420" s="28" t="s">
        <v>71</v>
      </c>
      <c r="D10420" s="329">
        <v>93.31</v>
      </c>
    </row>
    <row r="10421" spans="1:4" ht="30">
      <c r="A10421" s="47">
        <v>7741</v>
      </c>
      <c r="B10421" s="48" t="s">
        <v>10175</v>
      </c>
      <c r="C10421" s="47" t="s">
        <v>71</v>
      </c>
      <c r="D10421" s="332">
        <v>117.76</v>
      </c>
    </row>
    <row r="10422" spans="1:4" ht="30">
      <c r="A10422" s="28">
        <v>7774</v>
      </c>
      <c r="B10422" s="26" t="s">
        <v>10176</v>
      </c>
      <c r="C10422" s="28" t="s">
        <v>71</v>
      </c>
      <c r="D10422" s="329">
        <v>158.53</v>
      </c>
    </row>
    <row r="10423" spans="1:4" ht="30">
      <c r="A10423" s="47">
        <v>7744</v>
      </c>
      <c r="B10423" s="48" t="s">
        <v>10177</v>
      </c>
      <c r="C10423" s="47" t="s">
        <v>71</v>
      </c>
      <c r="D10423" s="332">
        <v>182.74</v>
      </c>
    </row>
    <row r="10424" spans="1:4" ht="30">
      <c r="A10424" s="28">
        <v>7773</v>
      </c>
      <c r="B10424" s="26" t="s">
        <v>10178</v>
      </c>
      <c r="C10424" s="28" t="s">
        <v>71</v>
      </c>
      <c r="D10424" s="329">
        <v>227.58</v>
      </c>
    </row>
    <row r="10425" spans="1:4" ht="30">
      <c r="A10425" s="47">
        <v>7754</v>
      </c>
      <c r="B10425" s="48" t="s">
        <v>10179</v>
      </c>
      <c r="C10425" s="47" t="s">
        <v>71</v>
      </c>
      <c r="D10425" s="332">
        <v>309.27</v>
      </c>
    </row>
    <row r="10426" spans="1:4" ht="30">
      <c r="A10426" s="28">
        <v>7735</v>
      </c>
      <c r="B10426" s="26" t="s">
        <v>10180</v>
      </c>
      <c r="C10426" s="28" t="s">
        <v>71</v>
      </c>
      <c r="D10426" s="329">
        <v>423.9</v>
      </c>
    </row>
    <row r="10427" spans="1:4" ht="30">
      <c r="A10427" s="47">
        <v>7755</v>
      </c>
      <c r="B10427" s="48" t="s">
        <v>10181</v>
      </c>
      <c r="C10427" s="47" t="s">
        <v>71</v>
      </c>
      <c r="D10427" s="332">
        <v>113.68</v>
      </c>
    </row>
    <row r="10428" spans="1:4" ht="30">
      <c r="A10428" s="28">
        <v>7776</v>
      </c>
      <c r="B10428" s="26" t="s">
        <v>10182</v>
      </c>
      <c r="C10428" s="28" t="s">
        <v>71</v>
      </c>
      <c r="D10428" s="329">
        <v>147.94999999999999</v>
      </c>
    </row>
    <row r="10429" spans="1:4" ht="30">
      <c r="A10429" s="47">
        <v>7743</v>
      </c>
      <c r="B10429" s="48" t="s">
        <v>10183</v>
      </c>
      <c r="C10429" s="47" t="s">
        <v>71</v>
      </c>
      <c r="D10429" s="332">
        <v>195.39</v>
      </c>
    </row>
    <row r="10430" spans="1:4" ht="30">
      <c r="A10430" s="28">
        <v>7733</v>
      </c>
      <c r="B10430" s="26" t="s">
        <v>10184</v>
      </c>
      <c r="C10430" s="28" t="s">
        <v>71</v>
      </c>
      <c r="D10430" s="329">
        <v>217.87</v>
      </c>
    </row>
    <row r="10431" spans="1:4" ht="30">
      <c r="A10431" s="47">
        <v>7775</v>
      </c>
      <c r="B10431" s="48" t="s">
        <v>10185</v>
      </c>
      <c r="C10431" s="47" t="s">
        <v>71</v>
      </c>
      <c r="D10431" s="332">
        <v>268.05</v>
      </c>
    </row>
    <row r="10432" spans="1:4" ht="30">
      <c r="A10432" s="28">
        <v>7734</v>
      </c>
      <c r="B10432" s="26" t="s">
        <v>10186</v>
      </c>
      <c r="C10432" s="28" t="s">
        <v>71</v>
      </c>
      <c r="D10432" s="329">
        <v>387.52</v>
      </c>
    </row>
    <row r="10433" spans="1:4" ht="30">
      <c r="A10433" s="47">
        <v>7753</v>
      </c>
      <c r="B10433" s="48" t="s">
        <v>10187</v>
      </c>
      <c r="C10433" s="47" t="s">
        <v>71</v>
      </c>
      <c r="D10433" s="332">
        <v>196.48</v>
      </c>
    </row>
    <row r="10434" spans="1:4" ht="30">
      <c r="A10434" s="28">
        <v>13256</v>
      </c>
      <c r="B10434" s="26" t="s">
        <v>10188</v>
      </c>
      <c r="C10434" s="28" t="s">
        <v>71</v>
      </c>
      <c r="D10434" s="329">
        <v>229.36</v>
      </c>
    </row>
    <row r="10435" spans="1:4" ht="30">
      <c r="A10435" s="47">
        <v>7757</v>
      </c>
      <c r="B10435" s="48" t="s">
        <v>10189</v>
      </c>
      <c r="C10435" s="47" t="s">
        <v>71</v>
      </c>
      <c r="D10435" s="332">
        <v>278.45</v>
      </c>
    </row>
    <row r="10436" spans="1:4" ht="30">
      <c r="A10436" s="28">
        <v>7758</v>
      </c>
      <c r="B10436" s="26" t="s">
        <v>10190</v>
      </c>
      <c r="C10436" s="28" t="s">
        <v>71</v>
      </c>
      <c r="D10436" s="329">
        <v>414.17</v>
      </c>
    </row>
    <row r="10437" spans="1:4" ht="30">
      <c r="A10437" s="47">
        <v>7759</v>
      </c>
      <c r="B10437" s="48" t="s">
        <v>10191</v>
      </c>
      <c r="C10437" s="47" t="s">
        <v>71</v>
      </c>
      <c r="D10437" s="332">
        <v>902.33</v>
      </c>
    </row>
    <row r="10438" spans="1:4">
      <c r="A10438" s="28">
        <v>40334</v>
      </c>
      <c r="B10438" s="26" t="s">
        <v>10192</v>
      </c>
      <c r="C10438" s="28" t="s">
        <v>71</v>
      </c>
      <c r="D10438" s="329">
        <v>48.71</v>
      </c>
    </row>
    <row r="10439" spans="1:4">
      <c r="A10439" s="47">
        <v>7745</v>
      </c>
      <c r="B10439" s="48" t="s">
        <v>10193</v>
      </c>
      <c r="C10439" s="47" t="s">
        <v>71</v>
      </c>
      <c r="D10439" s="332">
        <v>51.48</v>
      </c>
    </row>
    <row r="10440" spans="1:4">
      <c r="A10440" s="28">
        <v>7714</v>
      </c>
      <c r="B10440" s="26" t="s">
        <v>10194</v>
      </c>
      <c r="C10440" s="28" t="s">
        <v>71</v>
      </c>
      <c r="D10440" s="329">
        <v>67.98</v>
      </c>
    </row>
    <row r="10441" spans="1:4">
      <c r="A10441" s="47">
        <v>7725</v>
      </c>
      <c r="B10441" s="48" t="s">
        <v>10195</v>
      </c>
      <c r="C10441" s="47" t="s">
        <v>71</v>
      </c>
      <c r="D10441" s="332">
        <v>89.93</v>
      </c>
    </row>
    <row r="10442" spans="1:4">
      <c r="A10442" s="28">
        <v>7742</v>
      </c>
      <c r="B10442" s="26" t="s">
        <v>10196</v>
      </c>
      <c r="C10442" s="28" t="s">
        <v>71</v>
      </c>
      <c r="D10442" s="329">
        <v>134.22999999999999</v>
      </c>
    </row>
    <row r="10443" spans="1:4">
      <c r="A10443" s="47">
        <v>7750</v>
      </c>
      <c r="B10443" s="48" t="s">
        <v>10197</v>
      </c>
      <c r="C10443" s="47" t="s">
        <v>71</v>
      </c>
      <c r="D10443" s="332">
        <v>143.13999999999999</v>
      </c>
    </row>
    <row r="10444" spans="1:4">
      <c r="A10444" s="28">
        <v>7756</v>
      </c>
      <c r="B10444" s="26" t="s">
        <v>10198</v>
      </c>
      <c r="C10444" s="28" t="s">
        <v>71</v>
      </c>
      <c r="D10444" s="329">
        <v>176.72</v>
      </c>
    </row>
    <row r="10445" spans="1:4" ht="30">
      <c r="A10445" s="47">
        <v>7765</v>
      </c>
      <c r="B10445" s="48" t="s">
        <v>10199</v>
      </c>
      <c r="C10445" s="47" t="s">
        <v>71</v>
      </c>
      <c r="D10445" s="332">
        <v>216.98</v>
      </c>
    </row>
    <row r="10446" spans="1:4" ht="30">
      <c r="A10446" s="28">
        <v>12569</v>
      </c>
      <c r="B10446" s="26" t="s">
        <v>10200</v>
      </c>
      <c r="C10446" s="28" t="s">
        <v>71</v>
      </c>
      <c r="D10446" s="329">
        <v>233.48</v>
      </c>
    </row>
    <row r="10447" spans="1:4" ht="30">
      <c r="A10447" s="47">
        <v>7766</v>
      </c>
      <c r="B10447" s="48" t="s">
        <v>10201</v>
      </c>
      <c r="C10447" s="47" t="s">
        <v>71</v>
      </c>
      <c r="D10447" s="332">
        <v>315.58</v>
      </c>
    </row>
    <row r="10448" spans="1:4" ht="30">
      <c r="A10448" s="28">
        <v>7767</v>
      </c>
      <c r="B10448" s="26" t="s">
        <v>10202</v>
      </c>
      <c r="C10448" s="28" t="s">
        <v>71</v>
      </c>
      <c r="D10448" s="329">
        <v>486.29</v>
      </c>
    </row>
    <row r="10449" spans="1:4" ht="45">
      <c r="A10449" s="47">
        <v>7727</v>
      </c>
      <c r="B10449" s="48" t="s">
        <v>11576</v>
      </c>
      <c r="C10449" s="47" t="s">
        <v>71</v>
      </c>
      <c r="D10449" s="332">
        <v>1056.05</v>
      </c>
    </row>
    <row r="10450" spans="1:4">
      <c r="A10450" s="28">
        <v>7760</v>
      </c>
      <c r="B10450" s="26" t="s">
        <v>10203</v>
      </c>
      <c r="C10450" s="28" t="s">
        <v>71</v>
      </c>
      <c r="D10450" s="329">
        <v>51.23</v>
      </c>
    </row>
    <row r="10451" spans="1:4">
      <c r="A10451" s="47">
        <v>7761</v>
      </c>
      <c r="B10451" s="48" t="s">
        <v>10204</v>
      </c>
      <c r="C10451" s="47" t="s">
        <v>71</v>
      </c>
      <c r="D10451" s="332">
        <v>54.45</v>
      </c>
    </row>
    <row r="10452" spans="1:4">
      <c r="A10452" s="28">
        <v>7752</v>
      </c>
      <c r="B10452" s="26" t="s">
        <v>10205</v>
      </c>
      <c r="C10452" s="28" t="s">
        <v>71</v>
      </c>
      <c r="D10452" s="329">
        <v>65.959999999999994</v>
      </c>
    </row>
    <row r="10453" spans="1:4">
      <c r="A10453" s="47">
        <v>7762</v>
      </c>
      <c r="B10453" s="48" t="s">
        <v>10206</v>
      </c>
      <c r="C10453" s="47" t="s">
        <v>71</v>
      </c>
      <c r="D10453" s="332">
        <v>86.29</v>
      </c>
    </row>
    <row r="10454" spans="1:4">
      <c r="A10454" s="28">
        <v>7722</v>
      </c>
      <c r="B10454" s="26" t="s">
        <v>10207</v>
      </c>
      <c r="C10454" s="28" t="s">
        <v>71</v>
      </c>
      <c r="D10454" s="329">
        <v>133.07</v>
      </c>
    </row>
    <row r="10455" spans="1:4">
      <c r="A10455" s="47">
        <v>7763</v>
      </c>
      <c r="B10455" s="48" t="s">
        <v>10208</v>
      </c>
      <c r="C10455" s="47" t="s">
        <v>71</v>
      </c>
      <c r="D10455" s="332">
        <v>148.30000000000001</v>
      </c>
    </row>
    <row r="10456" spans="1:4">
      <c r="A10456" s="28">
        <v>7764</v>
      </c>
      <c r="B10456" s="26" t="s">
        <v>10209</v>
      </c>
      <c r="C10456" s="28" t="s">
        <v>71</v>
      </c>
      <c r="D10456" s="329">
        <v>222.76</v>
      </c>
    </row>
    <row r="10457" spans="1:4" ht="30">
      <c r="A10457" s="47">
        <v>12572</v>
      </c>
      <c r="B10457" s="48" t="s">
        <v>10210</v>
      </c>
      <c r="C10457" s="47" t="s">
        <v>71</v>
      </c>
      <c r="D10457" s="332">
        <v>310.58</v>
      </c>
    </row>
    <row r="10458" spans="1:4" ht="30">
      <c r="A10458" s="28">
        <v>12573</v>
      </c>
      <c r="B10458" s="26" t="s">
        <v>10211</v>
      </c>
      <c r="C10458" s="28" t="s">
        <v>71</v>
      </c>
      <c r="D10458" s="329">
        <v>418.96</v>
      </c>
    </row>
    <row r="10459" spans="1:4" ht="30">
      <c r="A10459" s="47">
        <v>12574</v>
      </c>
      <c r="B10459" s="48" t="s">
        <v>10212</v>
      </c>
      <c r="C10459" s="47" t="s">
        <v>71</v>
      </c>
      <c r="D10459" s="332">
        <v>398.81</v>
      </c>
    </row>
    <row r="10460" spans="1:4" ht="43.5" customHeight="1">
      <c r="A10460" s="28">
        <v>12575</v>
      </c>
      <c r="B10460" s="26" t="s">
        <v>10213</v>
      </c>
      <c r="C10460" s="28" t="s">
        <v>71</v>
      </c>
      <c r="D10460" s="329">
        <v>585.37</v>
      </c>
    </row>
    <row r="10461" spans="1:4" ht="43.5" customHeight="1">
      <c r="A10461" s="47">
        <v>12576</v>
      </c>
      <c r="B10461" s="48" t="s">
        <v>10214</v>
      </c>
      <c r="C10461" s="47" t="s">
        <v>71</v>
      </c>
      <c r="D10461" s="332">
        <v>61.87</v>
      </c>
    </row>
    <row r="10462" spans="1:4">
      <c r="A10462" s="28">
        <v>12577</v>
      </c>
      <c r="B10462" s="26" t="s">
        <v>10215</v>
      </c>
      <c r="C10462" s="28" t="s">
        <v>71</v>
      </c>
      <c r="D10462" s="329">
        <v>80.02</v>
      </c>
    </row>
    <row r="10463" spans="1:4" ht="43.5" customHeight="1">
      <c r="A10463" s="47">
        <v>12578</v>
      </c>
      <c r="B10463" s="48" t="s">
        <v>10216</v>
      </c>
      <c r="C10463" s="47" t="s">
        <v>71</v>
      </c>
      <c r="D10463" s="332">
        <v>107.33</v>
      </c>
    </row>
    <row r="10464" spans="1:4" ht="43.5" customHeight="1">
      <c r="A10464" s="28">
        <v>12579</v>
      </c>
      <c r="B10464" s="26" t="s">
        <v>10217</v>
      </c>
      <c r="C10464" s="28" t="s">
        <v>71</v>
      </c>
      <c r="D10464" s="329">
        <v>157.16999999999999</v>
      </c>
    </row>
    <row r="10465" spans="1:4">
      <c r="A10465" s="47">
        <v>12580</v>
      </c>
      <c r="B10465" s="48" t="s">
        <v>10218</v>
      </c>
      <c r="C10465" s="47" t="s">
        <v>71</v>
      </c>
      <c r="D10465" s="332">
        <v>202.89</v>
      </c>
    </row>
    <row r="10466" spans="1:4">
      <c r="A10466" s="28">
        <v>12581</v>
      </c>
      <c r="B10466" s="26" t="s">
        <v>10219</v>
      </c>
      <c r="C10466" s="28" t="s">
        <v>71</v>
      </c>
      <c r="D10466" s="329">
        <v>277.62</v>
      </c>
    </row>
    <row r="10467" spans="1:4">
      <c r="A10467" s="47">
        <v>12584</v>
      </c>
      <c r="B10467" s="48" t="s">
        <v>10224</v>
      </c>
      <c r="C10467" s="47" t="s">
        <v>71</v>
      </c>
      <c r="D10467" s="332">
        <v>23.63</v>
      </c>
    </row>
    <row r="10468" spans="1:4" ht="30">
      <c r="A10468" s="28">
        <v>41785</v>
      </c>
      <c r="B10468" s="26" t="s">
        <v>10225</v>
      </c>
      <c r="C10468" s="28" t="s">
        <v>71</v>
      </c>
      <c r="D10468" s="329">
        <v>997.31</v>
      </c>
    </row>
    <row r="10469" spans="1:4" ht="30">
      <c r="A10469" s="47">
        <v>41781</v>
      </c>
      <c r="B10469" s="48" t="s">
        <v>10226</v>
      </c>
      <c r="C10469" s="47" t="s">
        <v>71</v>
      </c>
      <c r="D10469" s="332">
        <v>227.01</v>
      </c>
    </row>
    <row r="10470" spans="1:4" ht="30">
      <c r="A10470" s="28">
        <v>41783</v>
      </c>
      <c r="B10470" s="26" t="s">
        <v>11577</v>
      </c>
      <c r="C10470" s="28" t="s">
        <v>71</v>
      </c>
      <c r="D10470" s="329">
        <v>658.14</v>
      </c>
    </row>
    <row r="10471" spans="1:4" ht="30">
      <c r="A10471" s="47">
        <v>41786</v>
      </c>
      <c r="B10471" s="48" t="s">
        <v>10227</v>
      </c>
      <c r="C10471" s="47" t="s">
        <v>71</v>
      </c>
      <c r="D10471" s="332">
        <v>1428.21</v>
      </c>
    </row>
    <row r="10472" spans="1:4" ht="30">
      <c r="A10472" s="28">
        <v>41787</v>
      </c>
      <c r="B10472" s="26" t="s">
        <v>10228</v>
      </c>
      <c r="C10472" s="28" t="s">
        <v>71</v>
      </c>
      <c r="D10472" s="329">
        <v>1734.45</v>
      </c>
    </row>
    <row r="10473" spans="1:4" ht="30">
      <c r="A10473" s="47">
        <v>41779</v>
      </c>
      <c r="B10473" s="48" t="s">
        <v>10229</v>
      </c>
      <c r="C10473" s="47" t="s">
        <v>71</v>
      </c>
      <c r="D10473" s="332">
        <v>77.040000000000006</v>
      </c>
    </row>
    <row r="10474" spans="1:4" ht="30">
      <c r="A10474" s="28">
        <v>41780</v>
      </c>
      <c r="B10474" s="26" t="s">
        <v>10230</v>
      </c>
      <c r="C10474" s="28" t="s">
        <v>71</v>
      </c>
      <c r="D10474" s="329">
        <v>114.01</v>
      </c>
    </row>
    <row r="10475" spans="1:4" ht="30">
      <c r="A10475" s="47">
        <v>41782</v>
      </c>
      <c r="B10475" s="48" t="s">
        <v>10231</v>
      </c>
      <c r="C10475" s="47" t="s">
        <v>71</v>
      </c>
      <c r="D10475" s="332">
        <v>443.76</v>
      </c>
    </row>
    <row r="10476" spans="1:4" ht="30">
      <c r="A10476" s="28">
        <v>41784</v>
      </c>
      <c r="B10476" s="26" t="s">
        <v>10232</v>
      </c>
      <c r="C10476" s="28" t="s">
        <v>71</v>
      </c>
      <c r="D10476" s="329">
        <v>717.27</v>
      </c>
    </row>
    <row r="10477" spans="1:4">
      <c r="A10477" s="47">
        <v>38130</v>
      </c>
      <c r="B10477" s="48" t="s">
        <v>10233</v>
      </c>
      <c r="C10477" s="47" t="s">
        <v>71</v>
      </c>
      <c r="D10477" s="332">
        <v>30.65</v>
      </c>
    </row>
    <row r="10478" spans="1:4">
      <c r="A10478" s="28">
        <v>21123</v>
      </c>
      <c r="B10478" s="26" t="s">
        <v>10234</v>
      </c>
      <c r="C10478" s="28" t="s">
        <v>71</v>
      </c>
      <c r="D10478" s="329">
        <v>8.6999999999999993</v>
      </c>
    </row>
    <row r="10479" spans="1:4">
      <c r="A10479" s="47">
        <v>21124</v>
      </c>
      <c r="B10479" s="48" t="s">
        <v>10235</v>
      </c>
      <c r="C10479" s="47" t="s">
        <v>71</v>
      </c>
      <c r="D10479" s="332">
        <v>15.42</v>
      </c>
    </row>
    <row r="10480" spans="1:4">
      <c r="A10480" s="28">
        <v>21125</v>
      </c>
      <c r="B10480" s="26" t="s">
        <v>10236</v>
      </c>
      <c r="C10480" s="28" t="s">
        <v>71</v>
      </c>
      <c r="D10480" s="329">
        <v>24.76</v>
      </c>
    </row>
    <row r="10481" spans="1:4">
      <c r="A10481" s="47">
        <v>38028</v>
      </c>
      <c r="B10481" s="48" t="s">
        <v>10237</v>
      </c>
      <c r="C10481" s="47" t="s">
        <v>71</v>
      </c>
      <c r="D10481" s="332">
        <v>42.01</v>
      </c>
    </row>
    <row r="10482" spans="1:4">
      <c r="A10482" s="28">
        <v>38029</v>
      </c>
      <c r="B10482" s="26" t="s">
        <v>10238</v>
      </c>
      <c r="C10482" s="28" t="s">
        <v>71</v>
      </c>
      <c r="D10482" s="329">
        <v>64.040000000000006</v>
      </c>
    </row>
    <row r="10483" spans="1:4">
      <c r="A10483" s="47">
        <v>38030</v>
      </c>
      <c r="B10483" s="48" t="s">
        <v>10239</v>
      </c>
      <c r="C10483" s="47" t="s">
        <v>71</v>
      </c>
      <c r="D10483" s="332">
        <v>98.37</v>
      </c>
    </row>
    <row r="10484" spans="1:4">
      <c r="A10484" s="28">
        <v>38031</v>
      </c>
      <c r="B10484" s="26" t="s">
        <v>10240</v>
      </c>
      <c r="C10484" s="28" t="s">
        <v>71</v>
      </c>
      <c r="D10484" s="329">
        <v>155.88</v>
      </c>
    </row>
    <row r="10485" spans="1:4" ht="30">
      <c r="A10485" s="47">
        <v>39749</v>
      </c>
      <c r="B10485" s="48" t="s">
        <v>10274</v>
      </c>
      <c r="C10485" s="47" t="s">
        <v>71</v>
      </c>
      <c r="D10485" s="332">
        <v>68.010000000000005</v>
      </c>
    </row>
    <row r="10486" spans="1:4" ht="30">
      <c r="A10486" s="28">
        <v>39751</v>
      </c>
      <c r="B10486" s="26" t="s">
        <v>10275</v>
      </c>
      <c r="C10486" s="28" t="s">
        <v>71</v>
      </c>
      <c r="D10486" s="329">
        <v>123.58</v>
      </c>
    </row>
    <row r="10487" spans="1:4" ht="30">
      <c r="A10487" s="47">
        <v>39750</v>
      </c>
      <c r="B10487" s="48" t="s">
        <v>10276</v>
      </c>
      <c r="C10487" s="47" t="s">
        <v>71</v>
      </c>
      <c r="D10487" s="332">
        <v>102.71</v>
      </c>
    </row>
    <row r="10488" spans="1:4" ht="30">
      <c r="A10488" s="28">
        <v>39747</v>
      </c>
      <c r="B10488" s="26" t="s">
        <v>10277</v>
      </c>
      <c r="C10488" s="28" t="s">
        <v>71</v>
      </c>
      <c r="D10488" s="329">
        <v>33.04</v>
      </c>
    </row>
    <row r="10489" spans="1:4" ht="30">
      <c r="A10489" s="47">
        <v>39753</v>
      </c>
      <c r="B10489" s="48" t="s">
        <v>10278</v>
      </c>
      <c r="C10489" s="47" t="s">
        <v>71</v>
      </c>
      <c r="D10489" s="332">
        <v>227.48</v>
      </c>
    </row>
    <row r="10490" spans="1:4" ht="30">
      <c r="A10490" s="28">
        <v>39754</v>
      </c>
      <c r="B10490" s="26" t="s">
        <v>10279</v>
      </c>
      <c r="C10490" s="28" t="s">
        <v>71</v>
      </c>
      <c r="D10490" s="329">
        <v>335.14</v>
      </c>
    </row>
    <row r="10491" spans="1:4" ht="30">
      <c r="A10491" s="47">
        <v>39748</v>
      </c>
      <c r="B10491" s="48" t="s">
        <v>10280</v>
      </c>
      <c r="C10491" s="47" t="s">
        <v>71</v>
      </c>
      <c r="D10491" s="332">
        <v>53.46</v>
      </c>
    </row>
    <row r="10492" spans="1:4" ht="30">
      <c r="A10492" s="28">
        <v>39755</v>
      </c>
      <c r="B10492" s="26" t="s">
        <v>10281</v>
      </c>
      <c r="C10492" s="28" t="s">
        <v>71</v>
      </c>
      <c r="D10492" s="329">
        <v>508.15</v>
      </c>
    </row>
    <row r="10493" spans="1:4">
      <c r="A10493" s="47">
        <v>12742</v>
      </c>
      <c r="B10493" s="48" t="s">
        <v>10282</v>
      </c>
      <c r="C10493" s="47" t="s">
        <v>71</v>
      </c>
      <c r="D10493" s="332">
        <v>402.36</v>
      </c>
    </row>
    <row r="10494" spans="1:4">
      <c r="A10494" s="28">
        <v>12713</v>
      </c>
      <c r="B10494" s="26" t="s">
        <v>10283</v>
      </c>
      <c r="C10494" s="28" t="s">
        <v>71</v>
      </c>
      <c r="D10494" s="329">
        <v>21.34</v>
      </c>
    </row>
    <row r="10495" spans="1:4">
      <c r="A10495" s="47">
        <v>12743</v>
      </c>
      <c r="B10495" s="48" t="s">
        <v>10284</v>
      </c>
      <c r="C10495" s="47" t="s">
        <v>71</v>
      </c>
      <c r="D10495" s="332">
        <v>36.71</v>
      </c>
    </row>
    <row r="10496" spans="1:4">
      <c r="A10496" s="28">
        <v>12744</v>
      </c>
      <c r="B10496" s="26" t="s">
        <v>10285</v>
      </c>
      <c r="C10496" s="28" t="s">
        <v>71</v>
      </c>
      <c r="D10496" s="329">
        <v>46.59</v>
      </c>
    </row>
    <row r="10497" spans="1:4">
      <c r="A10497" s="47">
        <v>12745</v>
      </c>
      <c r="B10497" s="48" t="s">
        <v>10286</v>
      </c>
      <c r="C10497" s="47" t="s">
        <v>71</v>
      </c>
      <c r="D10497" s="332">
        <v>67.66</v>
      </c>
    </row>
    <row r="10498" spans="1:4">
      <c r="A10498" s="28">
        <v>12746</v>
      </c>
      <c r="B10498" s="26" t="s">
        <v>10287</v>
      </c>
      <c r="C10498" s="28" t="s">
        <v>71</v>
      </c>
      <c r="D10498" s="329">
        <v>91.36</v>
      </c>
    </row>
    <row r="10499" spans="1:4">
      <c r="A10499" s="47">
        <v>12747</v>
      </c>
      <c r="B10499" s="48" t="s">
        <v>10288</v>
      </c>
      <c r="C10499" s="47" t="s">
        <v>71</v>
      </c>
      <c r="D10499" s="332">
        <v>132.49</v>
      </c>
    </row>
    <row r="10500" spans="1:4">
      <c r="A10500" s="28">
        <v>12748</v>
      </c>
      <c r="B10500" s="26" t="s">
        <v>10289</v>
      </c>
      <c r="C10500" s="28" t="s">
        <v>71</v>
      </c>
      <c r="D10500" s="329">
        <v>186.66</v>
      </c>
    </row>
    <row r="10501" spans="1:4">
      <c r="A10501" s="47">
        <v>12749</v>
      </c>
      <c r="B10501" s="48" t="s">
        <v>10290</v>
      </c>
      <c r="C10501" s="47" t="s">
        <v>71</v>
      </c>
      <c r="D10501" s="332">
        <v>272.87</v>
      </c>
    </row>
    <row r="10502" spans="1:4" ht="30">
      <c r="A10502" s="28">
        <v>39726</v>
      </c>
      <c r="B10502" s="26" t="s">
        <v>10291</v>
      </c>
      <c r="C10502" s="28" t="s">
        <v>71</v>
      </c>
      <c r="D10502" s="329">
        <v>89.62</v>
      </c>
    </row>
    <row r="10503" spans="1:4" ht="30">
      <c r="A10503" s="47">
        <v>39728</v>
      </c>
      <c r="B10503" s="48" t="s">
        <v>10292</v>
      </c>
      <c r="C10503" s="47" t="s">
        <v>71</v>
      </c>
      <c r="D10503" s="332">
        <v>157.52000000000001</v>
      </c>
    </row>
    <row r="10504" spans="1:4" ht="30">
      <c r="A10504" s="28">
        <v>39727</v>
      </c>
      <c r="B10504" s="26" t="s">
        <v>10293</v>
      </c>
      <c r="C10504" s="28" t="s">
        <v>71</v>
      </c>
      <c r="D10504" s="329">
        <v>129.63</v>
      </c>
    </row>
    <row r="10505" spans="1:4" ht="30">
      <c r="A10505" s="47">
        <v>39724</v>
      </c>
      <c r="B10505" s="48" t="s">
        <v>10294</v>
      </c>
      <c r="C10505" s="47" t="s">
        <v>71</v>
      </c>
      <c r="D10505" s="332">
        <v>39.69</v>
      </c>
    </row>
    <row r="10506" spans="1:4" ht="30">
      <c r="A10506" s="28">
        <v>39729</v>
      </c>
      <c r="B10506" s="26" t="s">
        <v>10295</v>
      </c>
      <c r="C10506" s="28" t="s">
        <v>71</v>
      </c>
      <c r="D10506" s="329">
        <v>218.14</v>
      </c>
    </row>
    <row r="10507" spans="1:4" ht="30">
      <c r="A10507" s="47">
        <v>39730</v>
      </c>
      <c r="B10507" s="48" t="s">
        <v>10296</v>
      </c>
      <c r="C10507" s="47" t="s">
        <v>71</v>
      </c>
      <c r="D10507" s="332">
        <v>283.02</v>
      </c>
    </row>
    <row r="10508" spans="1:4" ht="30">
      <c r="A10508" s="28">
        <v>39731</v>
      </c>
      <c r="B10508" s="26" t="s">
        <v>10297</v>
      </c>
      <c r="C10508" s="28" t="s">
        <v>71</v>
      </c>
      <c r="D10508" s="329">
        <v>419.18</v>
      </c>
    </row>
    <row r="10509" spans="1:4" ht="30">
      <c r="A10509" s="47">
        <v>39725</v>
      </c>
      <c r="B10509" s="48" t="s">
        <v>10298</v>
      </c>
      <c r="C10509" s="47" t="s">
        <v>71</v>
      </c>
      <c r="D10509" s="332">
        <v>64.69</v>
      </c>
    </row>
    <row r="10510" spans="1:4" ht="30">
      <c r="A10510" s="28">
        <v>39732</v>
      </c>
      <c r="B10510" s="26" t="s">
        <v>10299</v>
      </c>
      <c r="C10510" s="28" t="s">
        <v>71</v>
      </c>
      <c r="D10510" s="329">
        <v>617.01</v>
      </c>
    </row>
    <row r="10511" spans="1:4" ht="30">
      <c r="A10511" s="47">
        <v>39660</v>
      </c>
      <c r="B10511" s="48" t="s">
        <v>10300</v>
      </c>
      <c r="C10511" s="47" t="s">
        <v>71</v>
      </c>
      <c r="D10511" s="332">
        <v>28.11</v>
      </c>
    </row>
    <row r="10512" spans="1:4" ht="30">
      <c r="A10512" s="28">
        <v>39662</v>
      </c>
      <c r="B10512" s="26" t="s">
        <v>10301</v>
      </c>
      <c r="C10512" s="28" t="s">
        <v>71</v>
      </c>
      <c r="D10512" s="329">
        <v>13.47</v>
      </c>
    </row>
    <row r="10513" spans="1:4" ht="30">
      <c r="A10513" s="47">
        <v>39661</v>
      </c>
      <c r="B10513" s="48" t="s">
        <v>10302</v>
      </c>
      <c r="C10513" s="47" t="s">
        <v>71</v>
      </c>
      <c r="D10513" s="332">
        <v>9.19</v>
      </c>
    </row>
    <row r="10514" spans="1:4" ht="30">
      <c r="A10514" s="28">
        <v>39664</v>
      </c>
      <c r="B10514" s="26" t="s">
        <v>10303</v>
      </c>
      <c r="C10514" s="28" t="s">
        <v>71</v>
      </c>
      <c r="D10514" s="329">
        <v>20.73</v>
      </c>
    </row>
    <row r="10515" spans="1:4" ht="30">
      <c r="A10515" s="47">
        <v>39663</v>
      </c>
      <c r="B10515" s="48" t="s">
        <v>10304</v>
      </c>
      <c r="C10515" s="47" t="s">
        <v>71</v>
      </c>
      <c r="D10515" s="332">
        <v>16.57</v>
      </c>
    </row>
    <row r="10516" spans="1:4" ht="30">
      <c r="A10516" s="28">
        <v>39752</v>
      </c>
      <c r="B10516" s="26" t="s">
        <v>10305</v>
      </c>
      <c r="C10516" s="28" t="s">
        <v>71</v>
      </c>
      <c r="D10516" s="329">
        <v>175.84</v>
      </c>
    </row>
    <row r="10517" spans="1:4">
      <c r="A10517" s="47">
        <v>12583</v>
      </c>
      <c r="B10517" s="48" t="s">
        <v>10326</v>
      </c>
      <c r="C10517" s="47" t="s">
        <v>71</v>
      </c>
      <c r="D10517" s="332">
        <v>18.82</v>
      </c>
    </row>
    <row r="10518" spans="1:4" ht="30">
      <c r="A10518" s="28">
        <v>13159</v>
      </c>
      <c r="B10518" s="26" t="s">
        <v>10327</v>
      </c>
      <c r="C10518" s="28" t="s">
        <v>71</v>
      </c>
      <c r="D10518" s="329">
        <v>54.86</v>
      </c>
    </row>
    <row r="10519" spans="1:4" ht="30">
      <c r="A10519" s="47">
        <v>13168</v>
      </c>
      <c r="B10519" s="48" t="s">
        <v>10328</v>
      </c>
      <c r="C10519" s="47" t="s">
        <v>71</v>
      </c>
      <c r="D10519" s="332">
        <v>82.5</v>
      </c>
    </row>
    <row r="10520" spans="1:4" ht="30">
      <c r="A10520" s="28">
        <v>13173</v>
      </c>
      <c r="B10520" s="26" t="s">
        <v>10329</v>
      </c>
      <c r="C10520" s="28" t="s">
        <v>71</v>
      </c>
      <c r="D10520" s="329">
        <v>101.72</v>
      </c>
    </row>
    <row r="10521" spans="1:4" ht="30">
      <c r="A10521" s="47">
        <v>37449</v>
      </c>
      <c r="B10521" s="48" t="s">
        <v>10330</v>
      </c>
      <c r="C10521" s="47" t="s">
        <v>71</v>
      </c>
      <c r="D10521" s="332">
        <v>16.82</v>
      </c>
    </row>
    <row r="10522" spans="1:4" ht="30">
      <c r="A10522" s="28">
        <v>37450</v>
      </c>
      <c r="B10522" s="26" t="s">
        <v>10331</v>
      </c>
      <c r="C10522" s="28" t="s">
        <v>71</v>
      </c>
      <c r="D10522" s="329">
        <v>20.5</v>
      </c>
    </row>
    <row r="10523" spans="1:4" ht="30">
      <c r="A10523" s="47">
        <v>37451</v>
      </c>
      <c r="B10523" s="48" t="s">
        <v>10332</v>
      </c>
      <c r="C10523" s="47" t="s">
        <v>71</v>
      </c>
      <c r="D10523" s="332">
        <v>31.39</v>
      </c>
    </row>
    <row r="10524" spans="1:4" ht="30">
      <c r="A10524" s="28">
        <v>37452</v>
      </c>
      <c r="B10524" s="26" t="s">
        <v>10333</v>
      </c>
      <c r="C10524" s="28" t="s">
        <v>71</v>
      </c>
      <c r="D10524" s="329">
        <v>41.65</v>
      </c>
    </row>
    <row r="10525" spans="1:4" ht="30">
      <c r="A10525" s="47">
        <v>37453</v>
      </c>
      <c r="B10525" s="48" t="s">
        <v>10334</v>
      </c>
      <c r="C10525" s="47" t="s">
        <v>71</v>
      </c>
      <c r="D10525" s="332">
        <v>52.26</v>
      </c>
    </row>
    <row r="10526" spans="1:4" ht="30">
      <c r="A10526" s="28">
        <v>7778</v>
      </c>
      <c r="B10526" s="26" t="s">
        <v>10335</v>
      </c>
      <c r="C10526" s="28" t="s">
        <v>71</v>
      </c>
      <c r="D10526" s="329">
        <v>19.62</v>
      </c>
    </row>
    <row r="10527" spans="1:4" ht="30">
      <c r="A10527" s="47">
        <v>7796</v>
      </c>
      <c r="B10527" s="48" t="s">
        <v>10336</v>
      </c>
      <c r="C10527" s="47" t="s">
        <v>71</v>
      </c>
      <c r="D10527" s="332">
        <v>23.63</v>
      </c>
    </row>
    <row r="10528" spans="1:4" ht="30">
      <c r="A10528" s="28">
        <v>7781</v>
      </c>
      <c r="B10528" s="26" t="s">
        <v>10337</v>
      </c>
      <c r="C10528" s="28" t="s">
        <v>71</v>
      </c>
      <c r="D10528" s="329">
        <v>31.23</v>
      </c>
    </row>
    <row r="10529" spans="1:4" ht="30">
      <c r="A10529" s="47">
        <v>7795</v>
      </c>
      <c r="B10529" s="48" t="s">
        <v>10338</v>
      </c>
      <c r="C10529" s="47" t="s">
        <v>71</v>
      </c>
      <c r="D10529" s="332">
        <v>45.25</v>
      </c>
    </row>
    <row r="10530" spans="1:4" ht="30">
      <c r="A10530" s="28">
        <v>7791</v>
      </c>
      <c r="B10530" s="26" t="s">
        <v>10339</v>
      </c>
      <c r="C10530" s="28" t="s">
        <v>71</v>
      </c>
      <c r="D10530" s="329">
        <v>57.67</v>
      </c>
    </row>
    <row r="10531" spans="1:4" ht="30">
      <c r="A10531" s="47">
        <v>7783</v>
      </c>
      <c r="B10531" s="48" t="s">
        <v>10340</v>
      </c>
      <c r="C10531" s="47" t="s">
        <v>71</v>
      </c>
      <c r="D10531" s="332">
        <v>22.02</v>
      </c>
    </row>
    <row r="10532" spans="1:4" ht="30">
      <c r="A10532" s="28">
        <v>7790</v>
      </c>
      <c r="B10532" s="26" t="s">
        <v>10341</v>
      </c>
      <c r="C10532" s="28" t="s">
        <v>71</v>
      </c>
      <c r="D10532" s="329">
        <v>25.63</v>
      </c>
    </row>
    <row r="10533" spans="1:4" ht="30">
      <c r="A10533" s="47">
        <v>7785</v>
      </c>
      <c r="B10533" s="48" t="s">
        <v>10342</v>
      </c>
      <c r="C10533" s="47" t="s">
        <v>71</v>
      </c>
      <c r="D10533" s="332">
        <v>33.64</v>
      </c>
    </row>
    <row r="10534" spans="1:4" ht="30">
      <c r="A10534" s="28">
        <v>7792</v>
      </c>
      <c r="B10534" s="26" t="s">
        <v>10343</v>
      </c>
      <c r="C10534" s="28" t="s">
        <v>71</v>
      </c>
      <c r="D10534" s="329">
        <v>48.86</v>
      </c>
    </row>
    <row r="10535" spans="1:4" ht="30">
      <c r="A10535" s="47">
        <v>7793</v>
      </c>
      <c r="B10535" s="48" t="s">
        <v>10344</v>
      </c>
      <c r="C10535" s="47" t="s">
        <v>71</v>
      </c>
      <c r="D10535" s="332">
        <v>63.06</v>
      </c>
    </row>
    <row r="10536" spans="1:4">
      <c r="A10536" s="28">
        <v>12613</v>
      </c>
      <c r="B10536" s="26" t="s">
        <v>10345</v>
      </c>
      <c r="C10536" s="28" t="s">
        <v>65</v>
      </c>
      <c r="D10536" s="329">
        <v>11.44</v>
      </c>
    </row>
    <row r="10537" spans="1:4" ht="30">
      <c r="A10537" s="47">
        <v>1031</v>
      </c>
      <c r="B10537" s="48" t="s">
        <v>10346</v>
      </c>
      <c r="C10537" s="47" t="s">
        <v>65</v>
      </c>
      <c r="D10537" s="332">
        <v>7.85</v>
      </c>
    </row>
    <row r="10538" spans="1:4" ht="30">
      <c r="A10538" s="28">
        <v>9813</v>
      </c>
      <c r="B10538" s="26" t="s">
        <v>11578</v>
      </c>
      <c r="C10538" s="28" t="s">
        <v>71</v>
      </c>
      <c r="D10538" s="329">
        <v>2.88</v>
      </c>
    </row>
    <row r="10539" spans="1:4" ht="30">
      <c r="A10539" s="47">
        <v>9815</v>
      </c>
      <c r="B10539" s="48" t="s">
        <v>11579</v>
      </c>
      <c r="C10539" s="47" t="s">
        <v>71</v>
      </c>
      <c r="D10539" s="332">
        <v>5.68</v>
      </c>
    </row>
    <row r="10540" spans="1:4" ht="30">
      <c r="A10540" s="28">
        <v>25876</v>
      </c>
      <c r="B10540" s="26" t="s">
        <v>11580</v>
      </c>
      <c r="C10540" s="28" t="s">
        <v>71</v>
      </c>
      <c r="D10540" s="329">
        <v>2926.91</v>
      </c>
    </row>
    <row r="10541" spans="1:4" ht="30">
      <c r="A10541" s="47">
        <v>25888</v>
      </c>
      <c r="B10541" s="48" t="s">
        <v>11581</v>
      </c>
      <c r="C10541" s="47" t="s">
        <v>71</v>
      </c>
      <c r="D10541" s="332">
        <v>69.36</v>
      </c>
    </row>
    <row r="10542" spans="1:4" ht="30">
      <c r="A10542" s="28">
        <v>25874</v>
      </c>
      <c r="B10542" s="26" t="s">
        <v>11582</v>
      </c>
      <c r="C10542" s="28" t="s">
        <v>71</v>
      </c>
      <c r="D10542" s="329">
        <v>3429.12</v>
      </c>
    </row>
    <row r="10543" spans="1:4" ht="30">
      <c r="A10543" s="47">
        <v>25877</v>
      </c>
      <c r="B10543" s="48" t="s">
        <v>11583</v>
      </c>
      <c r="C10543" s="47" t="s">
        <v>71</v>
      </c>
      <c r="D10543" s="332">
        <v>4616.84</v>
      </c>
    </row>
    <row r="10544" spans="1:4" ht="30">
      <c r="A10544" s="28">
        <v>25878</v>
      </c>
      <c r="B10544" s="26" t="s">
        <v>11584</v>
      </c>
      <c r="C10544" s="28" t="s">
        <v>71</v>
      </c>
      <c r="D10544" s="329">
        <v>148.88</v>
      </c>
    </row>
    <row r="10545" spans="1:4" ht="30">
      <c r="A10545" s="47">
        <v>25879</v>
      </c>
      <c r="B10545" s="48" t="s">
        <v>11585</v>
      </c>
      <c r="C10545" s="47" t="s">
        <v>71</v>
      </c>
      <c r="D10545" s="332">
        <v>6022.81</v>
      </c>
    </row>
    <row r="10546" spans="1:4" ht="30">
      <c r="A10546" s="28">
        <v>25887</v>
      </c>
      <c r="B10546" s="26" t="s">
        <v>11586</v>
      </c>
      <c r="C10546" s="28" t="s">
        <v>71</v>
      </c>
      <c r="D10546" s="329">
        <v>2566.86</v>
      </c>
    </row>
    <row r="10547" spans="1:4" ht="30">
      <c r="A10547" s="47">
        <v>25880</v>
      </c>
      <c r="B10547" s="48" t="s">
        <v>11587</v>
      </c>
      <c r="C10547" s="47" t="s">
        <v>71</v>
      </c>
      <c r="D10547" s="332">
        <v>232.09</v>
      </c>
    </row>
    <row r="10548" spans="1:4" ht="30">
      <c r="A10548" s="28">
        <v>25881</v>
      </c>
      <c r="B10548" s="26" t="s">
        <v>11588</v>
      </c>
      <c r="C10548" s="28" t="s">
        <v>71</v>
      </c>
      <c r="D10548" s="329">
        <v>568.69000000000005</v>
      </c>
    </row>
    <row r="10549" spans="1:4" ht="30">
      <c r="A10549" s="47">
        <v>25882</v>
      </c>
      <c r="B10549" s="48" t="s">
        <v>11589</v>
      </c>
      <c r="C10549" s="47" t="s">
        <v>71</v>
      </c>
      <c r="D10549" s="332">
        <v>915.95</v>
      </c>
    </row>
    <row r="10550" spans="1:4" ht="30">
      <c r="A10550" s="28">
        <v>25883</v>
      </c>
      <c r="B10550" s="26" t="s">
        <v>11590</v>
      </c>
      <c r="C10550" s="28" t="s">
        <v>71</v>
      </c>
      <c r="D10550" s="329">
        <v>14.77</v>
      </c>
    </row>
    <row r="10551" spans="1:4" ht="30">
      <c r="A10551" s="47">
        <v>25884</v>
      </c>
      <c r="B10551" s="48" t="s">
        <v>11591</v>
      </c>
      <c r="C10551" s="47" t="s">
        <v>71</v>
      </c>
      <c r="D10551" s="332">
        <v>1608.07</v>
      </c>
    </row>
    <row r="10552" spans="1:4" ht="30">
      <c r="A10552" s="28">
        <v>25885</v>
      </c>
      <c r="B10552" s="26" t="s">
        <v>11592</v>
      </c>
      <c r="C10552" s="28" t="s">
        <v>71</v>
      </c>
      <c r="D10552" s="329">
        <v>1750.3</v>
      </c>
    </row>
    <row r="10553" spans="1:4" ht="30">
      <c r="A10553" s="47">
        <v>25889</v>
      </c>
      <c r="B10553" s="48" t="s">
        <v>11593</v>
      </c>
      <c r="C10553" s="47" t="s">
        <v>71</v>
      </c>
      <c r="D10553" s="332">
        <v>1199.3499999999999</v>
      </c>
    </row>
    <row r="10554" spans="1:4" ht="30">
      <c r="A10554" s="28">
        <v>25886</v>
      </c>
      <c r="B10554" s="26" t="s">
        <v>11594</v>
      </c>
      <c r="C10554" s="28" t="s">
        <v>71</v>
      </c>
      <c r="D10554" s="329">
        <v>33.04</v>
      </c>
    </row>
    <row r="10555" spans="1:4" ht="30">
      <c r="A10555" s="47">
        <v>25875</v>
      </c>
      <c r="B10555" s="48" t="s">
        <v>11595</v>
      </c>
      <c r="C10555" s="47" t="s">
        <v>71</v>
      </c>
      <c r="D10555" s="332">
        <v>1564.75</v>
      </c>
    </row>
    <row r="10556" spans="1:4">
      <c r="A10556" s="28">
        <v>9876</v>
      </c>
      <c r="B10556" s="26" t="s">
        <v>10389</v>
      </c>
      <c r="C10556" s="28" t="s">
        <v>71</v>
      </c>
      <c r="D10556" s="329">
        <v>11.35</v>
      </c>
    </row>
    <row r="10557" spans="1:4">
      <c r="A10557" s="47">
        <v>9877</v>
      </c>
      <c r="B10557" s="48" t="s">
        <v>10390</v>
      </c>
      <c r="C10557" s="47" t="s">
        <v>71</v>
      </c>
      <c r="D10557" s="332">
        <v>41.01</v>
      </c>
    </row>
    <row r="10558" spans="1:4">
      <c r="A10558" s="28">
        <v>9878</v>
      </c>
      <c r="B10558" s="26" t="s">
        <v>10391</v>
      </c>
      <c r="C10558" s="28" t="s">
        <v>71</v>
      </c>
      <c r="D10558" s="329">
        <v>56.93</v>
      </c>
    </row>
    <row r="10559" spans="1:4">
      <c r="A10559" s="47">
        <v>9879</v>
      </c>
      <c r="B10559" s="48" t="s">
        <v>10392</v>
      </c>
      <c r="C10559" s="47" t="s">
        <v>71</v>
      </c>
      <c r="D10559" s="332">
        <v>134.37</v>
      </c>
    </row>
    <row r="10560" spans="1:4" ht="45">
      <c r="A10560" s="28">
        <v>38053</v>
      </c>
      <c r="B10560" s="26" t="s">
        <v>10393</v>
      </c>
      <c r="C10560" s="28" t="s">
        <v>71</v>
      </c>
      <c r="D10560" s="329">
        <v>10.49</v>
      </c>
    </row>
    <row r="10561" spans="1:4" ht="45">
      <c r="A10561" s="47">
        <v>38054</v>
      </c>
      <c r="B10561" s="48" t="s">
        <v>10394</v>
      </c>
      <c r="C10561" s="47" t="s">
        <v>71</v>
      </c>
      <c r="D10561" s="332">
        <v>18.03</v>
      </c>
    </row>
    <row r="10562" spans="1:4" ht="45">
      <c r="A10562" s="28">
        <v>38052</v>
      </c>
      <c r="B10562" s="26" t="s">
        <v>10395</v>
      </c>
      <c r="C10562" s="28" t="s">
        <v>71</v>
      </c>
      <c r="D10562" s="329">
        <v>5.08</v>
      </c>
    </row>
    <row r="10563" spans="1:4" ht="45">
      <c r="A10563" s="47">
        <v>38051</v>
      </c>
      <c r="B10563" s="48" t="s">
        <v>10396</v>
      </c>
      <c r="C10563" s="47" t="s">
        <v>71</v>
      </c>
      <c r="D10563" s="332">
        <v>3.16</v>
      </c>
    </row>
    <row r="10564" spans="1:4">
      <c r="A10564" s="28">
        <v>9836</v>
      </c>
      <c r="B10564" s="26" t="s">
        <v>10413</v>
      </c>
      <c r="C10564" s="28" t="s">
        <v>71</v>
      </c>
      <c r="D10564" s="329">
        <v>9</v>
      </c>
    </row>
    <row r="10565" spans="1:4">
      <c r="A10565" s="47">
        <v>20065</v>
      </c>
      <c r="B10565" s="48" t="s">
        <v>10414</v>
      </c>
      <c r="C10565" s="47" t="s">
        <v>71</v>
      </c>
      <c r="D10565" s="332">
        <v>21.35</v>
      </c>
    </row>
    <row r="10566" spans="1:4">
      <c r="A10566" s="28">
        <v>9835</v>
      </c>
      <c r="B10566" s="26" t="s">
        <v>10415</v>
      </c>
      <c r="C10566" s="28" t="s">
        <v>71</v>
      </c>
      <c r="D10566" s="329">
        <v>3.41</v>
      </c>
    </row>
    <row r="10567" spans="1:4">
      <c r="A10567" s="47">
        <v>38032</v>
      </c>
      <c r="B10567" s="48" t="s">
        <v>10418</v>
      </c>
      <c r="C10567" s="47" t="s">
        <v>71</v>
      </c>
      <c r="D10567" s="332">
        <v>35.14</v>
      </c>
    </row>
    <row r="10568" spans="1:4">
      <c r="A10568" s="28">
        <v>38033</v>
      </c>
      <c r="B10568" s="26" t="s">
        <v>10419</v>
      </c>
      <c r="C10568" s="28" t="s">
        <v>71</v>
      </c>
      <c r="D10568" s="329">
        <v>55.32</v>
      </c>
    </row>
    <row r="10569" spans="1:4">
      <c r="A10569" s="47">
        <v>38034</v>
      </c>
      <c r="B10569" s="48" t="s">
        <v>10420</v>
      </c>
      <c r="C10569" s="47" t="s">
        <v>71</v>
      </c>
      <c r="D10569" s="332">
        <v>93.47</v>
      </c>
    </row>
    <row r="10570" spans="1:4">
      <c r="A10570" s="28">
        <v>38035</v>
      </c>
      <c r="B10570" s="26" t="s">
        <v>10421</v>
      </c>
      <c r="C10570" s="28" t="s">
        <v>71</v>
      </c>
      <c r="D10570" s="329">
        <v>149.57</v>
      </c>
    </row>
    <row r="10571" spans="1:4">
      <c r="A10571" s="47">
        <v>38036</v>
      </c>
      <c r="B10571" s="48" t="s">
        <v>10422</v>
      </c>
      <c r="C10571" s="47" t="s">
        <v>71</v>
      </c>
      <c r="D10571" s="332">
        <v>221.26</v>
      </c>
    </row>
    <row r="10572" spans="1:4">
      <c r="A10572" s="28">
        <v>38037</v>
      </c>
      <c r="B10572" s="26" t="s">
        <v>10423</v>
      </c>
      <c r="C10572" s="28" t="s">
        <v>71</v>
      </c>
      <c r="D10572" s="329">
        <v>261.57</v>
      </c>
    </row>
    <row r="10573" spans="1:4" ht="30">
      <c r="A10573" s="47">
        <v>9850</v>
      </c>
      <c r="B10573" s="48" t="s">
        <v>10427</v>
      </c>
      <c r="C10573" s="47" t="s">
        <v>71</v>
      </c>
      <c r="D10573" s="332">
        <v>94</v>
      </c>
    </row>
    <row r="10574" spans="1:4" ht="30">
      <c r="A10574" s="28">
        <v>9853</v>
      </c>
      <c r="B10574" s="26" t="s">
        <v>10428</v>
      </c>
      <c r="C10574" s="28" t="s">
        <v>71</v>
      </c>
      <c r="D10574" s="329">
        <v>167.16</v>
      </c>
    </row>
    <row r="10575" spans="1:4" ht="30">
      <c r="A10575" s="47">
        <v>9854</v>
      </c>
      <c r="B10575" s="48" t="s">
        <v>10429</v>
      </c>
      <c r="C10575" s="47" t="s">
        <v>71</v>
      </c>
      <c r="D10575" s="332">
        <v>73.239999999999995</v>
      </c>
    </row>
    <row r="10576" spans="1:4" ht="30">
      <c r="A10576" s="28">
        <v>9851</v>
      </c>
      <c r="B10576" s="26" t="s">
        <v>10430</v>
      </c>
      <c r="C10576" s="28" t="s">
        <v>71</v>
      </c>
      <c r="D10576" s="329">
        <v>127</v>
      </c>
    </row>
    <row r="10577" spans="1:4" ht="30">
      <c r="A10577" s="47">
        <v>9855</v>
      </c>
      <c r="B10577" s="48" t="s">
        <v>10431</v>
      </c>
      <c r="C10577" s="47" t="s">
        <v>71</v>
      </c>
      <c r="D10577" s="332">
        <v>212.42</v>
      </c>
    </row>
    <row r="10578" spans="1:4" ht="43.5" customHeight="1">
      <c r="A10578" s="28">
        <v>9825</v>
      </c>
      <c r="B10578" s="26" t="s">
        <v>10432</v>
      </c>
      <c r="C10578" s="28" t="s">
        <v>71</v>
      </c>
      <c r="D10578" s="329">
        <v>30.59</v>
      </c>
    </row>
    <row r="10579" spans="1:4" ht="43.5" customHeight="1">
      <c r="A10579" s="47">
        <v>9828</v>
      </c>
      <c r="B10579" s="48" t="s">
        <v>10433</v>
      </c>
      <c r="C10579" s="47" t="s">
        <v>71</v>
      </c>
      <c r="D10579" s="332">
        <v>59.64</v>
      </c>
    </row>
    <row r="10580" spans="1:4" ht="43.5" customHeight="1">
      <c r="A10580" s="28">
        <v>9829</v>
      </c>
      <c r="B10580" s="26" t="s">
        <v>10434</v>
      </c>
      <c r="C10580" s="28" t="s">
        <v>71</v>
      </c>
      <c r="D10580" s="329">
        <v>106.17</v>
      </c>
    </row>
    <row r="10581" spans="1:4">
      <c r="A10581" s="47">
        <v>9826</v>
      </c>
      <c r="B10581" s="48" t="s">
        <v>10435</v>
      </c>
      <c r="C10581" s="47" t="s">
        <v>71</v>
      </c>
      <c r="D10581" s="332">
        <v>157.51</v>
      </c>
    </row>
    <row r="10582" spans="1:4">
      <c r="A10582" s="28">
        <v>9827</v>
      </c>
      <c r="B10582" s="26" t="s">
        <v>10436</v>
      </c>
      <c r="C10582" s="28" t="s">
        <v>71</v>
      </c>
      <c r="D10582" s="329">
        <v>228.92</v>
      </c>
    </row>
    <row r="10583" spans="1:4">
      <c r="A10583" s="47">
        <v>36374</v>
      </c>
      <c r="B10583" s="48" t="s">
        <v>10439</v>
      </c>
      <c r="C10583" s="47" t="s">
        <v>71</v>
      </c>
      <c r="D10583" s="332">
        <v>26</v>
      </c>
    </row>
    <row r="10584" spans="1:4">
      <c r="A10584" s="28">
        <v>36084</v>
      </c>
      <c r="B10584" s="26" t="s">
        <v>10440</v>
      </c>
      <c r="C10584" s="28" t="s">
        <v>71</v>
      </c>
      <c r="D10584" s="329">
        <v>7.84</v>
      </c>
    </row>
    <row r="10585" spans="1:4">
      <c r="A10585" s="47">
        <v>36373</v>
      </c>
      <c r="B10585" s="48" t="s">
        <v>10441</v>
      </c>
      <c r="C10585" s="47" t="s">
        <v>71</v>
      </c>
      <c r="D10585" s="332">
        <v>15.92</v>
      </c>
    </row>
    <row r="10586" spans="1:4">
      <c r="A10586" s="28">
        <v>36377</v>
      </c>
      <c r="B10586" s="26" t="s">
        <v>10442</v>
      </c>
      <c r="C10586" s="28" t="s">
        <v>71</v>
      </c>
      <c r="D10586" s="329">
        <v>30.31</v>
      </c>
    </row>
    <row r="10587" spans="1:4">
      <c r="A10587" s="47">
        <v>36375</v>
      </c>
      <c r="B10587" s="48" t="s">
        <v>10443</v>
      </c>
      <c r="C10587" s="47" t="s">
        <v>71</v>
      </c>
      <c r="D10587" s="332">
        <v>9</v>
      </c>
    </row>
    <row r="10588" spans="1:4">
      <c r="A10588" s="28">
        <v>36376</v>
      </c>
      <c r="B10588" s="26" t="s">
        <v>10444</v>
      </c>
      <c r="C10588" s="28" t="s">
        <v>71</v>
      </c>
      <c r="D10588" s="329">
        <v>18</v>
      </c>
    </row>
    <row r="10589" spans="1:4">
      <c r="A10589" s="47">
        <v>36380</v>
      </c>
      <c r="B10589" s="48" t="s">
        <v>10445</v>
      </c>
      <c r="C10589" s="47" t="s">
        <v>71</v>
      </c>
      <c r="D10589" s="332">
        <v>39.6</v>
      </c>
    </row>
    <row r="10590" spans="1:4">
      <c r="A10590" s="28">
        <v>36378</v>
      </c>
      <c r="B10590" s="26" t="s">
        <v>10446</v>
      </c>
      <c r="C10590" s="28" t="s">
        <v>71</v>
      </c>
      <c r="D10590" s="329">
        <v>11.91</v>
      </c>
    </row>
    <row r="10591" spans="1:4">
      <c r="A10591" s="47">
        <v>36379</v>
      </c>
      <c r="B10591" s="48" t="s">
        <v>10447</v>
      </c>
      <c r="C10591" s="47" t="s">
        <v>71</v>
      </c>
      <c r="D10591" s="332">
        <v>23.97</v>
      </c>
    </row>
    <row r="10592" spans="1:4">
      <c r="A10592" s="28">
        <v>9847</v>
      </c>
      <c r="B10592" s="26" t="s">
        <v>10448</v>
      </c>
      <c r="C10592" s="28" t="s">
        <v>71</v>
      </c>
      <c r="D10592" s="329">
        <v>26.27</v>
      </c>
    </row>
    <row r="10593" spans="1:4">
      <c r="A10593" s="47">
        <v>9844</v>
      </c>
      <c r="B10593" s="48" t="s">
        <v>10449</v>
      </c>
      <c r="C10593" s="47" t="s">
        <v>71</v>
      </c>
      <c r="D10593" s="332">
        <v>7.84</v>
      </c>
    </row>
    <row r="10594" spans="1:4">
      <c r="A10594" s="28">
        <v>9846</v>
      </c>
      <c r="B10594" s="26" t="s">
        <v>10450</v>
      </c>
      <c r="C10594" s="28" t="s">
        <v>71</v>
      </c>
      <c r="D10594" s="329">
        <v>16.03</v>
      </c>
    </row>
    <row r="10595" spans="1:4">
      <c r="A10595" s="47">
        <v>12592</v>
      </c>
      <c r="B10595" s="48" t="s">
        <v>10451</v>
      </c>
      <c r="C10595" s="47" t="s">
        <v>71</v>
      </c>
      <c r="D10595" s="332">
        <v>31.59</v>
      </c>
    </row>
    <row r="10596" spans="1:4">
      <c r="A10596" s="28">
        <v>12599</v>
      </c>
      <c r="B10596" s="26" t="s">
        <v>10452</v>
      </c>
      <c r="C10596" s="28" t="s">
        <v>71</v>
      </c>
      <c r="D10596" s="329">
        <v>9.35</v>
      </c>
    </row>
    <row r="10597" spans="1:4">
      <c r="A10597" s="47">
        <v>12601</v>
      </c>
      <c r="B10597" s="48" t="s">
        <v>10453</v>
      </c>
      <c r="C10597" s="47" t="s">
        <v>71</v>
      </c>
      <c r="D10597" s="332">
        <v>17.59</v>
      </c>
    </row>
    <row r="10598" spans="1:4">
      <c r="A10598" s="28">
        <v>12602</v>
      </c>
      <c r="B10598" s="26" t="s">
        <v>10454</v>
      </c>
      <c r="C10598" s="28" t="s">
        <v>71</v>
      </c>
      <c r="D10598" s="329">
        <v>39.9</v>
      </c>
    </row>
    <row r="10599" spans="1:4">
      <c r="A10599" s="47">
        <v>12609</v>
      </c>
      <c r="B10599" s="48" t="s">
        <v>10455</v>
      </c>
      <c r="C10599" s="47" t="s">
        <v>71</v>
      </c>
      <c r="D10599" s="332">
        <v>11.86</v>
      </c>
    </row>
    <row r="10600" spans="1:4">
      <c r="A10600" s="28">
        <v>12611</v>
      </c>
      <c r="B10600" s="26" t="s">
        <v>10456</v>
      </c>
      <c r="C10600" s="28" t="s">
        <v>71</v>
      </c>
      <c r="D10600" s="329">
        <v>23.86</v>
      </c>
    </row>
    <row r="10601" spans="1:4">
      <c r="A10601" s="47">
        <v>9859</v>
      </c>
      <c r="B10601" s="48" t="s">
        <v>10457</v>
      </c>
      <c r="C10601" s="47" t="s">
        <v>71</v>
      </c>
      <c r="D10601" s="332">
        <v>5.81</v>
      </c>
    </row>
    <row r="10602" spans="1:4">
      <c r="A10602" s="28">
        <v>9838</v>
      </c>
      <c r="B10602" s="26" t="s">
        <v>10458</v>
      </c>
      <c r="C10602" s="28" t="s">
        <v>71</v>
      </c>
      <c r="D10602" s="329">
        <v>5.85</v>
      </c>
    </row>
    <row r="10603" spans="1:4">
      <c r="A10603" s="47">
        <v>9837</v>
      </c>
      <c r="B10603" s="48" t="s">
        <v>10459</v>
      </c>
      <c r="C10603" s="47" t="s">
        <v>71</v>
      </c>
      <c r="D10603" s="332">
        <v>7.92</v>
      </c>
    </row>
    <row r="10604" spans="1:4" ht="30">
      <c r="A10604" s="28">
        <v>9833</v>
      </c>
      <c r="B10604" s="26" t="s">
        <v>10460</v>
      </c>
      <c r="C10604" s="28" t="s">
        <v>71</v>
      </c>
      <c r="D10604" s="329">
        <v>9.49</v>
      </c>
    </row>
    <row r="10605" spans="1:4" ht="30">
      <c r="A10605" s="47">
        <v>9830</v>
      </c>
      <c r="B10605" s="48" t="s">
        <v>10461</v>
      </c>
      <c r="C10605" s="47" t="s">
        <v>71</v>
      </c>
      <c r="D10605" s="332">
        <v>5.08</v>
      </c>
    </row>
    <row r="10606" spans="1:4">
      <c r="A10606" s="28">
        <v>9817</v>
      </c>
      <c r="B10606" s="26" t="s">
        <v>10462</v>
      </c>
      <c r="C10606" s="28" t="s">
        <v>71</v>
      </c>
      <c r="D10606" s="329">
        <v>13.49</v>
      </c>
    </row>
    <row r="10607" spans="1:4">
      <c r="A10607" s="47">
        <v>9841</v>
      </c>
      <c r="B10607" s="48" t="s">
        <v>10463</v>
      </c>
      <c r="C10607" s="47" t="s">
        <v>71</v>
      </c>
      <c r="D10607" s="332">
        <v>17.28</v>
      </c>
    </row>
    <row r="10608" spans="1:4">
      <c r="A10608" s="28">
        <v>9840</v>
      </c>
      <c r="B10608" s="26" t="s">
        <v>10464</v>
      </c>
      <c r="C10608" s="28" t="s">
        <v>71</v>
      </c>
      <c r="D10608" s="329">
        <v>35.93</v>
      </c>
    </row>
    <row r="10609" spans="1:4">
      <c r="A10609" s="47">
        <v>20067</v>
      </c>
      <c r="B10609" s="48" t="s">
        <v>10465</v>
      </c>
      <c r="C10609" s="47" t="s">
        <v>71</v>
      </c>
      <c r="D10609" s="332">
        <v>6.2</v>
      </c>
    </row>
    <row r="10610" spans="1:4">
      <c r="A10610" s="28">
        <v>20068</v>
      </c>
      <c r="B10610" s="26" t="s">
        <v>10466</v>
      </c>
      <c r="C10610" s="28" t="s">
        <v>71</v>
      </c>
      <c r="D10610" s="329">
        <v>8.24</v>
      </c>
    </row>
    <row r="10611" spans="1:4">
      <c r="A10611" s="47">
        <v>9839</v>
      </c>
      <c r="B10611" s="48" t="s">
        <v>10467</v>
      </c>
      <c r="C10611" s="47" t="s">
        <v>71</v>
      </c>
      <c r="D10611" s="332">
        <v>10.49</v>
      </c>
    </row>
    <row r="10612" spans="1:4">
      <c r="A10612" s="28">
        <v>20072</v>
      </c>
      <c r="B10612" s="26" t="s">
        <v>10468</v>
      </c>
      <c r="C10612" s="28" t="s">
        <v>71</v>
      </c>
      <c r="D10612" s="329">
        <v>18</v>
      </c>
    </row>
    <row r="10613" spans="1:4">
      <c r="A10613" s="47">
        <v>20073</v>
      </c>
      <c r="B10613" s="48" t="s">
        <v>10469</v>
      </c>
      <c r="C10613" s="47" t="s">
        <v>71</v>
      </c>
      <c r="D10613" s="332">
        <v>37.24</v>
      </c>
    </row>
    <row r="10614" spans="1:4">
      <c r="A10614" s="28">
        <v>20069</v>
      </c>
      <c r="B10614" s="26" t="s">
        <v>10470</v>
      </c>
      <c r="C10614" s="28" t="s">
        <v>71</v>
      </c>
      <c r="D10614" s="329">
        <v>6.62</v>
      </c>
    </row>
    <row r="10615" spans="1:4">
      <c r="A10615" s="47">
        <v>20070</v>
      </c>
      <c r="B10615" s="48" t="s">
        <v>10471</v>
      </c>
      <c r="C10615" s="47" t="s">
        <v>71</v>
      </c>
      <c r="D10615" s="332">
        <v>8.4</v>
      </c>
    </row>
    <row r="10616" spans="1:4">
      <c r="A10616" s="28">
        <v>20071</v>
      </c>
      <c r="B10616" s="26" t="s">
        <v>10472</v>
      </c>
      <c r="C10616" s="28" t="s">
        <v>71</v>
      </c>
      <c r="D10616" s="329">
        <v>10.71</v>
      </c>
    </row>
    <row r="10617" spans="1:4" ht="30">
      <c r="A10617" s="47">
        <v>9834</v>
      </c>
      <c r="B10617" s="48" t="s">
        <v>10473</v>
      </c>
      <c r="C10617" s="47" t="s">
        <v>71</v>
      </c>
      <c r="D10617" s="332">
        <v>26.42</v>
      </c>
    </row>
    <row r="10618" spans="1:4">
      <c r="A10618" s="28">
        <v>9863</v>
      </c>
      <c r="B10618" s="26" t="s">
        <v>10474</v>
      </c>
      <c r="C10618" s="28" t="s">
        <v>71</v>
      </c>
      <c r="D10618" s="329">
        <v>44.7</v>
      </c>
    </row>
    <row r="10619" spans="1:4">
      <c r="A10619" s="47">
        <v>9860</v>
      </c>
      <c r="B10619" s="48" t="s">
        <v>10475</v>
      </c>
      <c r="C10619" s="47" t="s">
        <v>71</v>
      </c>
      <c r="D10619" s="332">
        <v>26.88</v>
      </c>
    </row>
    <row r="10620" spans="1:4">
      <c r="A10620" s="28">
        <v>9862</v>
      </c>
      <c r="B10620" s="26" t="s">
        <v>10476</v>
      </c>
      <c r="C10620" s="28" t="s">
        <v>71</v>
      </c>
      <c r="D10620" s="329">
        <v>18.79</v>
      </c>
    </row>
    <row r="10621" spans="1:4">
      <c r="A10621" s="47">
        <v>9861</v>
      </c>
      <c r="B10621" s="48" t="s">
        <v>10477</v>
      </c>
      <c r="C10621" s="47" t="s">
        <v>71</v>
      </c>
      <c r="D10621" s="332">
        <v>15.11</v>
      </c>
    </row>
    <row r="10622" spans="1:4">
      <c r="A10622" s="28">
        <v>9856</v>
      </c>
      <c r="B10622" s="26" t="s">
        <v>10479</v>
      </c>
      <c r="C10622" s="28" t="s">
        <v>71</v>
      </c>
      <c r="D10622" s="329">
        <v>4.29</v>
      </c>
    </row>
    <row r="10623" spans="1:4">
      <c r="A10623" s="47">
        <v>9866</v>
      </c>
      <c r="B10623" s="48" t="s">
        <v>10478</v>
      </c>
      <c r="C10623" s="47" t="s">
        <v>71</v>
      </c>
      <c r="D10623" s="332">
        <v>11.35</v>
      </c>
    </row>
    <row r="10624" spans="1:4">
      <c r="A10624" s="28">
        <v>9857</v>
      </c>
      <c r="B10624" s="26" t="s">
        <v>10480</v>
      </c>
      <c r="C10624" s="28" t="s">
        <v>71</v>
      </c>
      <c r="D10624" s="329">
        <v>57.94</v>
      </c>
    </row>
    <row r="10625" spans="1:4">
      <c r="A10625" s="47">
        <v>9864</v>
      </c>
      <c r="B10625" s="48" t="s">
        <v>10481</v>
      </c>
      <c r="C10625" s="47" t="s">
        <v>71</v>
      </c>
      <c r="D10625" s="332">
        <v>68.42</v>
      </c>
    </row>
    <row r="10626" spans="1:4">
      <c r="A10626" s="28">
        <v>9865</v>
      </c>
      <c r="B10626" s="26" t="s">
        <v>10482</v>
      </c>
      <c r="C10626" s="28" t="s">
        <v>71</v>
      </c>
      <c r="D10626" s="329">
        <v>97.49</v>
      </c>
    </row>
    <row r="10627" spans="1:4">
      <c r="A10627" s="47">
        <v>9858</v>
      </c>
      <c r="B10627" s="48" t="s">
        <v>10483</v>
      </c>
      <c r="C10627" s="47" t="s">
        <v>71</v>
      </c>
      <c r="D10627" s="332">
        <v>112.71</v>
      </c>
    </row>
    <row r="10628" spans="1:4">
      <c r="A10628" s="28">
        <v>9870</v>
      </c>
      <c r="B10628" s="26" t="s">
        <v>10500</v>
      </c>
      <c r="C10628" s="28" t="s">
        <v>71</v>
      </c>
      <c r="D10628" s="329">
        <v>58.88</v>
      </c>
    </row>
    <row r="10629" spans="1:4">
      <c r="A10629" s="47">
        <v>9867</v>
      </c>
      <c r="B10629" s="48" t="s">
        <v>10501</v>
      </c>
      <c r="C10629" s="47" t="s">
        <v>71</v>
      </c>
      <c r="D10629" s="332">
        <v>2.46</v>
      </c>
    </row>
    <row r="10630" spans="1:4">
      <c r="A10630" s="28">
        <v>9868</v>
      </c>
      <c r="B10630" s="26" t="s">
        <v>10502</v>
      </c>
      <c r="C10630" s="28" t="s">
        <v>71</v>
      </c>
      <c r="D10630" s="329">
        <v>3.27</v>
      </c>
    </row>
    <row r="10631" spans="1:4">
      <c r="A10631" s="47">
        <v>9869</v>
      </c>
      <c r="B10631" s="48" t="s">
        <v>10503</v>
      </c>
      <c r="C10631" s="47" t="s">
        <v>71</v>
      </c>
      <c r="D10631" s="332">
        <v>7.01</v>
      </c>
    </row>
    <row r="10632" spans="1:4">
      <c r="A10632" s="28">
        <v>9874</v>
      </c>
      <c r="B10632" s="26" t="s">
        <v>10504</v>
      </c>
      <c r="C10632" s="28" t="s">
        <v>71</v>
      </c>
      <c r="D10632" s="329">
        <v>10.220000000000001</v>
      </c>
    </row>
    <row r="10633" spans="1:4">
      <c r="A10633" s="47">
        <v>9875</v>
      </c>
      <c r="B10633" s="48" t="s">
        <v>10505</v>
      </c>
      <c r="C10633" s="47" t="s">
        <v>71</v>
      </c>
      <c r="D10633" s="332">
        <v>12.67</v>
      </c>
    </row>
    <row r="10634" spans="1:4">
      <c r="A10634" s="28">
        <v>9873</v>
      </c>
      <c r="B10634" s="26" t="s">
        <v>10506</v>
      </c>
      <c r="C10634" s="28" t="s">
        <v>71</v>
      </c>
      <c r="D10634" s="329">
        <v>19.75</v>
      </c>
    </row>
    <row r="10635" spans="1:4">
      <c r="A10635" s="47">
        <v>9871</v>
      </c>
      <c r="B10635" s="48" t="s">
        <v>10507</v>
      </c>
      <c r="C10635" s="47" t="s">
        <v>71</v>
      </c>
      <c r="D10635" s="332">
        <v>27.71</v>
      </c>
    </row>
    <row r="10636" spans="1:4">
      <c r="A10636" s="28">
        <v>9872</v>
      </c>
      <c r="B10636" s="26" t="s">
        <v>10508</v>
      </c>
      <c r="C10636" s="28" t="s">
        <v>71</v>
      </c>
      <c r="D10636" s="329">
        <v>34.92</v>
      </c>
    </row>
    <row r="10637" spans="1:4">
      <c r="A10637" s="47">
        <v>9822</v>
      </c>
      <c r="B10637" s="48" t="s">
        <v>11596</v>
      </c>
      <c r="C10637" s="47" t="s">
        <v>71</v>
      </c>
      <c r="D10637" s="332">
        <v>143.57</v>
      </c>
    </row>
    <row r="10638" spans="1:4">
      <c r="A10638" s="28">
        <v>12426</v>
      </c>
      <c r="B10638" s="26" t="s">
        <v>11597</v>
      </c>
      <c r="C10638" s="28" t="s">
        <v>65</v>
      </c>
      <c r="D10638" s="329">
        <v>26.1</v>
      </c>
    </row>
    <row r="10639" spans="1:4">
      <c r="A10639" s="47">
        <v>12425</v>
      </c>
      <c r="B10639" s="48" t="s">
        <v>11598</v>
      </c>
      <c r="C10639" s="47" t="s">
        <v>65</v>
      </c>
      <c r="D10639" s="332">
        <v>35.85</v>
      </c>
    </row>
    <row r="10640" spans="1:4">
      <c r="A10640" s="28">
        <v>12427</v>
      </c>
      <c r="B10640" s="26" t="s">
        <v>11599</v>
      </c>
      <c r="C10640" s="28" t="s">
        <v>65</v>
      </c>
      <c r="D10640" s="329">
        <v>148.82</v>
      </c>
    </row>
    <row r="10641" spans="1:4">
      <c r="A10641" s="47">
        <v>12428</v>
      </c>
      <c r="B10641" s="48" t="s">
        <v>11600</v>
      </c>
      <c r="C10641" s="47" t="s">
        <v>65</v>
      </c>
      <c r="D10641" s="332">
        <v>95.52</v>
      </c>
    </row>
    <row r="10642" spans="1:4">
      <c r="A10642" s="28">
        <v>12430</v>
      </c>
      <c r="B10642" s="26" t="s">
        <v>11601</v>
      </c>
      <c r="C10642" s="28" t="s">
        <v>65</v>
      </c>
      <c r="D10642" s="329">
        <v>31.99</v>
      </c>
    </row>
    <row r="10643" spans="1:4">
      <c r="A10643" s="47">
        <v>12429</v>
      </c>
      <c r="B10643" s="48" t="s">
        <v>11602</v>
      </c>
      <c r="C10643" s="47" t="s">
        <v>65</v>
      </c>
      <c r="D10643" s="332">
        <v>240.65</v>
      </c>
    </row>
    <row r="10644" spans="1:4">
      <c r="A10644" s="28">
        <v>12431</v>
      </c>
      <c r="B10644" s="26" t="s">
        <v>11603</v>
      </c>
      <c r="C10644" s="28" t="s">
        <v>65</v>
      </c>
      <c r="D10644" s="329">
        <v>409.55</v>
      </c>
    </row>
    <row r="10645" spans="1:4">
      <c r="A10645" s="47">
        <v>12432</v>
      </c>
      <c r="B10645" s="48" t="s">
        <v>11604</v>
      </c>
      <c r="C10645" s="47" t="s">
        <v>65</v>
      </c>
      <c r="D10645" s="332">
        <v>84.23</v>
      </c>
    </row>
    <row r="10646" spans="1:4">
      <c r="A10646" s="28">
        <v>12434</v>
      </c>
      <c r="B10646" s="26" t="s">
        <v>11605</v>
      </c>
      <c r="C10646" s="28" t="s">
        <v>65</v>
      </c>
      <c r="D10646" s="329">
        <v>27.45</v>
      </c>
    </row>
    <row r="10647" spans="1:4">
      <c r="A10647" s="47">
        <v>12433</v>
      </c>
      <c r="B10647" s="48" t="s">
        <v>11606</v>
      </c>
      <c r="C10647" s="47" t="s">
        <v>65</v>
      </c>
      <c r="D10647" s="332">
        <v>53.62</v>
      </c>
    </row>
    <row r="10648" spans="1:4">
      <c r="A10648" s="28">
        <v>12435</v>
      </c>
      <c r="B10648" s="26" t="s">
        <v>11607</v>
      </c>
      <c r="C10648" s="28" t="s">
        <v>65</v>
      </c>
      <c r="D10648" s="329">
        <v>165.95</v>
      </c>
    </row>
    <row r="10649" spans="1:4">
      <c r="A10649" s="47">
        <v>12437</v>
      </c>
      <c r="B10649" s="48" t="s">
        <v>11608</v>
      </c>
      <c r="C10649" s="47" t="s">
        <v>65</v>
      </c>
      <c r="D10649" s="332">
        <v>134.02000000000001</v>
      </c>
    </row>
    <row r="10650" spans="1:4">
      <c r="A10650" s="28">
        <v>12439</v>
      </c>
      <c r="B10650" s="26" t="s">
        <v>11609</v>
      </c>
      <c r="C10650" s="28" t="s">
        <v>65</v>
      </c>
      <c r="D10650" s="329">
        <v>43.01</v>
      </c>
    </row>
    <row r="10651" spans="1:4">
      <c r="A10651" s="47">
        <v>12438</v>
      </c>
      <c r="B10651" s="48" t="s">
        <v>11610</v>
      </c>
      <c r="C10651" s="47" t="s">
        <v>65</v>
      </c>
      <c r="D10651" s="332">
        <v>242.54</v>
      </c>
    </row>
    <row r="10652" spans="1:4">
      <c r="A10652" s="28">
        <v>12436</v>
      </c>
      <c r="B10652" s="26" t="s">
        <v>11611</v>
      </c>
      <c r="C10652" s="28" t="s">
        <v>65</v>
      </c>
      <c r="D10652" s="329">
        <v>306.38</v>
      </c>
    </row>
    <row r="10653" spans="1:4">
      <c r="A10653" s="47">
        <v>12424</v>
      </c>
      <c r="B10653" s="48" t="s">
        <v>11612</v>
      </c>
      <c r="C10653" s="47" t="s">
        <v>65</v>
      </c>
      <c r="D10653" s="332">
        <v>55.21</v>
      </c>
    </row>
    <row r="10654" spans="1:4">
      <c r="A10654" s="28">
        <v>12440</v>
      </c>
      <c r="B10654" s="26" t="s">
        <v>11613</v>
      </c>
      <c r="C10654" s="28" t="s">
        <v>65</v>
      </c>
      <c r="D10654" s="329">
        <v>53.36</v>
      </c>
    </row>
    <row r="10655" spans="1:4">
      <c r="A10655" s="47">
        <v>9884</v>
      </c>
      <c r="B10655" s="48" t="s">
        <v>10552</v>
      </c>
      <c r="C10655" s="47" t="s">
        <v>65</v>
      </c>
      <c r="D10655" s="332">
        <v>39.799999999999997</v>
      </c>
    </row>
    <row r="10656" spans="1:4">
      <c r="A10656" s="28">
        <v>9888</v>
      </c>
      <c r="B10656" s="26" t="s">
        <v>10553</v>
      </c>
      <c r="C10656" s="28" t="s">
        <v>65</v>
      </c>
      <c r="D10656" s="329">
        <v>31.98</v>
      </c>
    </row>
    <row r="10657" spans="1:4">
      <c r="A10657" s="47">
        <v>9883</v>
      </c>
      <c r="B10657" s="48" t="s">
        <v>10555</v>
      </c>
      <c r="C10657" s="47" t="s">
        <v>65</v>
      </c>
      <c r="D10657" s="332">
        <v>13.95</v>
      </c>
    </row>
    <row r="10658" spans="1:4">
      <c r="A10658" s="28">
        <v>9886</v>
      </c>
      <c r="B10658" s="26" t="s">
        <v>10554</v>
      </c>
      <c r="C10658" s="28" t="s">
        <v>65</v>
      </c>
      <c r="D10658" s="329">
        <v>19.11</v>
      </c>
    </row>
    <row r="10659" spans="1:4">
      <c r="A10659" s="47">
        <v>9889</v>
      </c>
      <c r="B10659" s="48" t="s">
        <v>10556</v>
      </c>
      <c r="C10659" s="47" t="s">
        <v>65</v>
      </c>
      <c r="D10659" s="332">
        <v>96.84</v>
      </c>
    </row>
    <row r="10660" spans="1:4">
      <c r="A10660" s="28">
        <v>9887</v>
      </c>
      <c r="B10660" s="26" t="s">
        <v>10557</v>
      </c>
      <c r="C10660" s="28" t="s">
        <v>65</v>
      </c>
      <c r="D10660" s="329">
        <v>58.53</v>
      </c>
    </row>
    <row r="10661" spans="1:4">
      <c r="A10661" s="47">
        <v>9885</v>
      </c>
      <c r="B10661" s="48" t="s">
        <v>10559</v>
      </c>
      <c r="C10661" s="47" t="s">
        <v>65</v>
      </c>
      <c r="D10661" s="332">
        <v>18.48</v>
      </c>
    </row>
    <row r="10662" spans="1:4">
      <c r="A10662" s="28">
        <v>9890</v>
      </c>
      <c r="B10662" s="26" t="s">
        <v>10558</v>
      </c>
      <c r="C10662" s="28" t="s">
        <v>65</v>
      </c>
      <c r="D10662" s="329">
        <v>150.03</v>
      </c>
    </row>
    <row r="10663" spans="1:4">
      <c r="A10663" s="47">
        <v>9891</v>
      </c>
      <c r="B10663" s="48" t="s">
        <v>10560</v>
      </c>
      <c r="C10663" s="47" t="s">
        <v>65</v>
      </c>
      <c r="D10663" s="332">
        <v>210.61</v>
      </c>
    </row>
    <row r="10664" spans="1:4">
      <c r="A10664" s="28">
        <v>64</v>
      </c>
      <c r="B10664" s="26" t="s">
        <v>10561</v>
      </c>
      <c r="C10664" s="28" t="s">
        <v>65</v>
      </c>
      <c r="D10664" s="329">
        <v>2.37</v>
      </c>
    </row>
    <row r="10665" spans="1:4">
      <c r="A10665" s="47">
        <v>37423</v>
      </c>
      <c r="B10665" s="48" t="s">
        <v>10562</v>
      </c>
      <c r="C10665" s="47" t="s">
        <v>65</v>
      </c>
      <c r="D10665" s="332">
        <v>5.86</v>
      </c>
    </row>
    <row r="10666" spans="1:4">
      <c r="A10666" s="28">
        <v>9892</v>
      </c>
      <c r="B10666" s="26" t="s">
        <v>10563</v>
      </c>
      <c r="C10666" s="28" t="s">
        <v>65</v>
      </c>
      <c r="D10666" s="329">
        <v>5.03</v>
      </c>
    </row>
    <row r="10667" spans="1:4">
      <c r="A10667" s="47">
        <v>9893</v>
      </c>
      <c r="B10667" s="48" t="s">
        <v>10564</v>
      </c>
      <c r="C10667" s="47" t="s">
        <v>65</v>
      </c>
      <c r="D10667" s="332">
        <v>55.12</v>
      </c>
    </row>
    <row r="10668" spans="1:4">
      <c r="A10668" s="28">
        <v>9901</v>
      </c>
      <c r="B10668" s="26" t="s">
        <v>10565</v>
      </c>
      <c r="C10668" s="28" t="s">
        <v>65</v>
      </c>
      <c r="D10668" s="329">
        <v>24.25</v>
      </c>
    </row>
    <row r="10669" spans="1:4">
      <c r="A10669" s="47">
        <v>9896</v>
      </c>
      <c r="B10669" s="48" t="s">
        <v>10566</v>
      </c>
      <c r="C10669" s="47" t="s">
        <v>65</v>
      </c>
      <c r="D10669" s="332">
        <v>20.88</v>
      </c>
    </row>
    <row r="10670" spans="1:4">
      <c r="A10670" s="28">
        <v>9900</v>
      </c>
      <c r="B10670" s="26" t="s">
        <v>10567</v>
      </c>
      <c r="C10670" s="28" t="s">
        <v>65</v>
      </c>
      <c r="D10670" s="329">
        <v>12.92</v>
      </c>
    </row>
    <row r="10671" spans="1:4">
      <c r="A10671" s="47">
        <v>9898</v>
      </c>
      <c r="B10671" s="48" t="s">
        <v>10568</v>
      </c>
      <c r="C10671" s="47" t="s">
        <v>65</v>
      </c>
      <c r="D10671" s="332">
        <v>113.3</v>
      </c>
    </row>
    <row r="10672" spans="1:4">
      <c r="A10672" s="28">
        <v>9899</v>
      </c>
      <c r="B10672" s="26" t="s">
        <v>10570</v>
      </c>
      <c r="C10672" s="28" t="s">
        <v>65</v>
      </c>
      <c r="D10672" s="329">
        <v>6.93</v>
      </c>
    </row>
    <row r="10673" spans="1:4">
      <c r="A10673" s="47">
        <v>9902</v>
      </c>
      <c r="B10673" s="48" t="s">
        <v>10569</v>
      </c>
      <c r="C10673" s="47" t="s">
        <v>65</v>
      </c>
      <c r="D10673" s="332">
        <v>143.55000000000001</v>
      </c>
    </row>
    <row r="10674" spans="1:4">
      <c r="A10674" s="28">
        <v>9911</v>
      </c>
      <c r="B10674" s="26" t="s">
        <v>10571</v>
      </c>
      <c r="C10674" s="28" t="s">
        <v>65</v>
      </c>
      <c r="D10674" s="329">
        <v>249.73</v>
      </c>
    </row>
    <row r="10675" spans="1:4">
      <c r="A10675" s="47">
        <v>9908</v>
      </c>
      <c r="B10675" s="48" t="s">
        <v>10572</v>
      </c>
      <c r="C10675" s="47" t="s">
        <v>65</v>
      </c>
      <c r="D10675" s="332">
        <v>363.54</v>
      </c>
    </row>
    <row r="10676" spans="1:4">
      <c r="A10676" s="28">
        <v>9905</v>
      </c>
      <c r="B10676" s="26" t="s">
        <v>10573</v>
      </c>
      <c r="C10676" s="28" t="s">
        <v>65</v>
      </c>
      <c r="D10676" s="329">
        <v>4.8899999999999997</v>
      </c>
    </row>
    <row r="10677" spans="1:4">
      <c r="A10677" s="47">
        <v>9906</v>
      </c>
      <c r="B10677" s="48" t="s">
        <v>10574</v>
      </c>
      <c r="C10677" s="47" t="s">
        <v>65</v>
      </c>
      <c r="D10677" s="332">
        <v>5.77</v>
      </c>
    </row>
    <row r="10678" spans="1:4">
      <c r="A10678" s="28">
        <v>9895</v>
      </c>
      <c r="B10678" s="26" t="s">
        <v>10575</v>
      </c>
      <c r="C10678" s="28" t="s">
        <v>65</v>
      </c>
      <c r="D10678" s="329">
        <v>9.74</v>
      </c>
    </row>
    <row r="10679" spans="1:4">
      <c r="A10679" s="47">
        <v>9894</v>
      </c>
      <c r="B10679" s="48" t="s">
        <v>10576</v>
      </c>
      <c r="C10679" s="47" t="s">
        <v>65</v>
      </c>
      <c r="D10679" s="332">
        <v>19.04</v>
      </c>
    </row>
    <row r="10680" spans="1:4">
      <c r="A10680" s="28">
        <v>9897</v>
      </c>
      <c r="B10680" s="26" t="s">
        <v>10577</v>
      </c>
      <c r="C10680" s="28" t="s">
        <v>65</v>
      </c>
      <c r="D10680" s="329">
        <v>22.4</v>
      </c>
    </row>
    <row r="10681" spans="1:4">
      <c r="A10681" s="47">
        <v>9910</v>
      </c>
      <c r="B10681" s="48" t="s">
        <v>10578</v>
      </c>
      <c r="C10681" s="47" t="s">
        <v>65</v>
      </c>
      <c r="D10681" s="332">
        <v>51.82</v>
      </c>
    </row>
    <row r="10682" spans="1:4">
      <c r="A10682" s="28">
        <v>9909</v>
      </c>
      <c r="B10682" s="26" t="s">
        <v>10579</v>
      </c>
      <c r="C10682" s="28" t="s">
        <v>65</v>
      </c>
      <c r="D10682" s="329">
        <v>107.68</v>
      </c>
    </row>
    <row r="10683" spans="1:4">
      <c r="A10683" s="47">
        <v>9907</v>
      </c>
      <c r="B10683" s="48" t="s">
        <v>10580</v>
      </c>
      <c r="C10683" s="47" t="s">
        <v>65</v>
      </c>
      <c r="D10683" s="332">
        <v>159.85</v>
      </c>
    </row>
    <row r="10684" spans="1:4" ht="30">
      <c r="A10684" s="28">
        <v>20973</v>
      </c>
      <c r="B10684" s="26" t="s">
        <v>10581</v>
      </c>
      <c r="C10684" s="28" t="s">
        <v>65</v>
      </c>
      <c r="D10684" s="329">
        <v>80.14</v>
      </c>
    </row>
    <row r="10685" spans="1:4" ht="30">
      <c r="A10685" s="47">
        <v>20974</v>
      </c>
      <c r="B10685" s="48" t="s">
        <v>10582</v>
      </c>
      <c r="C10685" s="47" t="s">
        <v>65</v>
      </c>
      <c r="D10685" s="332">
        <v>114.66</v>
      </c>
    </row>
    <row r="10686" spans="1:4">
      <c r="A10686" s="28">
        <v>37989</v>
      </c>
      <c r="B10686" s="26" t="s">
        <v>10583</v>
      </c>
      <c r="C10686" s="28" t="s">
        <v>65</v>
      </c>
      <c r="D10686" s="329">
        <v>9.6199999999999992</v>
      </c>
    </row>
    <row r="10687" spans="1:4">
      <c r="A10687" s="47">
        <v>37990</v>
      </c>
      <c r="B10687" s="48" t="s">
        <v>10584</v>
      </c>
      <c r="C10687" s="47" t="s">
        <v>65</v>
      </c>
      <c r="D10687" s="332">
        <v>11.18</v>
      </c>
    </row>
    <row r="10688" spans="1:4">
      <c r="A10688" s="28">
        <v>37991</v>
      </c>
      <c r="B10688" s="26" t="s">
        <v>10585</v>
      </c>
      <c r="C10688" s="28" t="s">
        <v>65</v>
      </c>
      <c r="D10688" s="329">
        <v>17.7</v>
      </c>
    </row>
    <row r="10689" spans="1:4">
      <c r="A10689" s="47">
        <v>37992</v>
      </c>
      <c r="B10689" s="48" t="s">
        <v>10586</v>
      </c>
      <c r="C10689" s="47" t="s">
        <v>65</v>
      </c>
      <c r="D10689" s="332">
        <v>27.03</v>
      </c>
    </row>
    <row r="10690" spans="1:4">
      <c r="A10690" s="28">
        <v>37993</v>
      </c>
      <c r="B10690" s="26" t="s">
        <v>10587</v>
      </c>
      <c r="C10690" s="28" t="s">
        <v>65</v>
      </c>
      <c r="D10690" s="329">
        <v>40.11</v>
      </c>
    </row>
    <row r="10691" spans="1:4" ht="43.5" customHeight="1">
      <c r="A10691" s="47">
        <v>37994</v>
      </c>
      <c r="B10691" s="48" t="s">
        <v>10588</v>
      </c>
      <c r="C10691" s="47" t="s">
        <v>65</v>
      </c>
      <c r="D10691" s="332">
        <v>96.4</v>
      </c>
    </row>
    <row r="10692" spans="1:4" ht="43.5" customHeight="1">
      <c r="A10692" s="28">
        <v>37995</v>
      </c>
      <c r="B10692" s="26" t="s">
        <v>10589</v>
      </c>
      <c r="C10692" s="28" t="s">
        <v>65</v>
      </c>
      <c r="D10692" s="329">
        <v>139.91</v>
      </c>
    </row>
    <row r="10693" spans="1:4">
      <c r="A10693" s="47">
        <v>37996</v>
      </c>
      <c r="B10693" s="48" t="s">
        <v>10590</v>
      </c>
      <c r="C10693" s="47" t="s">
        <v>65</v>
      </c>
      <c r="D10693" s="332">
        <v>206.29</v>
      </c>
    </row>
    <row r="10694" spans="1:4">
      <c r="A10694" s="28">
        <v>13883</v>
      </c>
      <c r="B10694" s="26" t="s">
        <v>10631</v>
      </c>
      <c r="C10694" s="28" t="s">
        <v>65</v>
      </c>
      <c r="D10694" s="329">
        <v>92401.66</v>
      </c>
    </row>
    <row r="10695" spans="1:4">
      <c r="A10695" s="47">
        <v>38604</v>
      </c>
      <c r="B10695" s="48" t="s">
        <v>10632</v>
      </c>
      <c r="C10695" s="47" t="s">
        <v>65</v>
      </c>
      <c r="D10695" s="332">
        <v>115085.04</v>
      </c>
    </row>
    <row r="10696" spans="1:4" ht="30">
      <c r="A10696" s="28">
        <v>10601</v>
      </c>
      <c r="B10696" s="26" t="s">
        <v>10639</v>
      </c>
      <c r="C10696" s="28" t="s">
        <v>65</v>
      </c>
      <c r="D10696" s="329">
        <v>2238633.61</v>
      </c>
    </row>
    <row r="10697" spans="1:4">
      <c r="A10697" s="47">
        <v>26034</v>
      </c>
      <c r="B10697" s="48" t="s">
        <v>10640</v>
      </c>
      <c r="C10697" s="47" t="s">
        <v>65</v>
      </c>
      <c r="D10697" s="332">
        <v>5894243.29</v>
      </c>
    </row>
    <row r="10698" spans="1:4">
      <c r="A10698" s="28">
        <v>13894</v>
      </c>
      <c r="B10698" s="26" t="s">
        <v>10641</v>
      </c>
      <c r="C10698" s="28" t="s">
        <v>65</v>
      </c>
      <c r="D10698" s="329">
        <v>364602.87</v>
      </c>
    </row>
    <row r="10699" spans="1:4">
      <c r="A10699" s="47">
        <v>13895</v>
      </c>
      <c r="B10699" s="48" t="s">
        <v>10642</v>
      </c>
      <c r="C10699" s="47" t="s">
        <v>65</v>
      </c>
      <c r="D10699" s="332">
        <v>490269.32</v>
      </c>
    </row>
    <row r="10700" spans="1:4">
      <c r="A10700" s="28">
        <v>13892</v>
      </c>
      <c r="B10700" s="26" t="s">
        <v>10643</v>
      </c>
      <c r="C10700" s="28" t="s">
        <v>65</v>
      </c>
      <c r="D10700" s="329">
        <v>600813.06999999995</v>
      </c>
    </row>
    <row r="10701" spans="1:4">
      <c r="A10701" s="47">
        <v>9914</v>
      </c>
      <c r="B10701" s="48" t="s">
        <v>10644</v>
      </c>
      <c r="C10701" s="47" t="s">
        <v>65</v>
      </c>
      <c r="D10701" s="332">
        <v>650000</v>
      </c>
    </row>
    <row r="10702" spans="1:4" ht="45">
      <c r="A10702" s="28">
        <v>36485</v>
      </c>
      <c r="B10702" s="26" t="s">
        <v>10657</v>
      </c>
      <c r="C10702" s="28" t="s">
        <v>65</v>
      </c>
      <c r="D10702" s="329">
        <v>372817.95</v>
      </c>
    </row>
    <row r="10703" spans="1:4" ht="30">
      <c r="A10703" s="47">
        <v>9912</v>
      </c>
      <c r="B10703" s="48" t="s">
        <v>10664</v>
      </c>
      <c r="C10703" s="47" t="s">
        <v>65</v>
      </c>
      <c r="D10703" s="332">
        <v>1822500</v>
      </c>
    </row>
    <row r="10704" spans="1:4" ht="30">
      <c r="A10704" s="28">
        <v>9921</v>
      </c>
      <c r="B10704" s="26" t="s">
        <v>10665</v>
      </c>
      <c r="C10704" s="28" t="s">
        <v>65</v>
      </c>
      <c r="D10704" s="329">
        <v>940131.7</v>
      </c>
    </row>
    <row r="10705" spans="1:4" ht="30">
      <c r="A10705" s="47">
        <v>21112</v>
      </c>
      <c r="B10705" s="48" t="s">
        <v>10672</v>
      </c>
      <c r="C10705" s="47" t="s">
        <v>65</v>
      </c>
      <c r="D10705" s="332">
        <v>125.57</v>
      </c>
    </row>
    <row r="10706" spans="1:4">
      <c r="A10706" s="28">
        <v>10228</v>
      </c>
      <c r="B10706" s="26" t="s">
        <v>10673</v>
      </c>
      <c r="C10706" s="28" t="s">
        <v>65</v>
      </c>
      <c r="D10706" s="329">
        <v>145.88</v>
      </c>
    </row>
    <row r="10707" spans="1:4">
      <c r="A10707" s="47">
        <v>11781</v>
      </c>
      <c r="B10707" s="48" t="s">
        <v>10674</v>
      </c>
      <c r="C10707" s="47" t="s">
        <v>65</v>
      </c>
      <c r="D10707" s="332">
        <v>118.18</v>
      </c>
    </row>
    <row r="10708" spans="1:4">
      <c r="A10708" s="28">
        <v>11746</v>
      </c>
      <c r="B10708" s="26" t="s">
        <v>10675</v>
      </c>
      <c r="C10708" s="28" t="s">
        <v>65</v>
      </c>
      <c r="D10708" s="329">
        <v>55.14</v>
      </c>
    </row>
    <row r="10709" spans="1:4">
      <c r="A10709" s="47">
        <v>11751</v>
      </c>
      <c r="B10709" s="48" t="s">
        <v>10676</v>
      </c>
      <c r="C10709" s="47" t="s">
        <v>65</v>
      </c>
      <c r="D10709" s="332">
        <v>99.04</v>
      </c>
    </row>
    <row r="10710" spans="1:4">
      <c r="A10710" s="28">
        <v>11750</v>
      </c>
      <c r="B10710" s="26" t="s">
        <v>10677</v>
      </c>
      <c r="C10710" s="28" t="s">
        <v>65</v>
      </c>
      <c r="D10710" s="329">
        <v>82.19</v>
      </c>
    </row>
    <row r="10711" spans="1:4">
      <c r="A10711" s="47">
        <v>11748</v>
      </c>
      <c r="B10711" s="48" t="s">
        <v>10678</v>
      </c>
      <c r="C10711" s="47" t="s">
        <v>65</v>
      </c>
      <c r="D10711" s="332">
        <v>35.39</v>
      </c>
    </row>
    <row r="10712" spans="1:4">
      <c r="A10712" s="28">
        <v>11747</v>
      </c>
      <c r="B10712" s="26" t="s">
        <v>10679</v>
      </c>
      <c r="C10712" s="28" t="s">
        <v>65</v>
      </c>
      <c r="D10712" s="329">
        <v>152.72999999999999</v>
      </c>
    </row>
    <row r="10713" spans="1:4">
      <c r="A10713" s="47">
        <v>11749</v>
      </c>
      <c r="B10713" s="48" t="s">
        <v>10680</v>
      </c>
      <c r="C10713" s="47" t="s">
        <v>65</v>
      </c>
      <c r="D10713" s="332">
        <v>40.85</v>
      </c>
    </row>
    <row r="10714" spans="1:4" ht="30">
      <c r="A10714" s="28">
        <v>10236</v>
      </c>
      <c r="B10714" s="26" t="s">
        <v>10687</v>
      </c>
      <c r="C10714" s="28" t="s">
        <v>65</v>
      </c>
      <c r="D10714" s="329">
        <v>39.28</v>
      </c>
    </row>
    <row r="10715" spans="1:4" ht="30">
      <c r="A10715" s="47">
        <v>10233</v>
      </c>
      <c r="B10715" s="48" t="s">
        <v>10688</v>
      </c>
      <c r="C10715" s="47" t="s">
        <v>65</v>
      </c>
      <c r="D10715" s="332">
        <v>36.81</v>
      </c>
    </row>
    <row r="10716" spans="1:4" ht="30">
      <c r="A10716" s="28">
        <v>10234</v>
      </c>
      <c r="B10716" s="26" t="s">
        <v>10689</v>
      </c>
      <c r="C10716" s="28" t="s">
        <v>65</v>
      </c>
      <c r="D10716" s="329">
        <v>23.18</v>
      </c>
    </row>
    <row r="10717" spans="1:4" ht="30">
      <c r="A10717" s="47">
        <v>10231</v>
      </c>
      <c r="B10717" s="48" t="s">
        <v>10690</v>
      </c>
      <c r="C10717" s="47" t="s">
        <v>65</v>
      </c>
      <c r="D10717" s="332">
        <v>106.33</v>
      </c>
    </row>
    <row r="10718" spans="1:4" ht="30">
      <c r="A10718" s="28">
        <v>10232</v>
      </c>
      <c r="B10718" s="26" t="s">
        <v>10691</v>
      </c>
      <c r="C10718" s="28" t="s">
        <v>65</v>
      </c>
      <c r="D10718" s="329">
        <v>59.5</v>
      </c>
    </row>
    <row r="10719" spans="1:4" ht="30">
      <c r="A10719" s="47">
        <v>10229</v>
      </c>
      <c r="B10719" s="48" t="s">
        <v>10693</v>
      </c>
      <c r="C10719" s="47" t="s">
        <v>65</v>
      </c>
      <c r="D10719" s="332">
        <v>20.97</v>
      </c>
    </row>
    <row r="10720" spans="1:4" ht="30">
      <c r="A10720" s="28">
        <v>10235</v>
      </c>
      <c r="B10720" s="26" t="s">
        <v>10692</v>
      </c>
      <c r="C10720" s="28" t="s">
        <v>65</v>
      </c>
      <c r="D10720" s="329">
        <v>145.76</v>
      </c>
    </row>
    <row r="10721" spans="1:4" ht="30">
      <c r="A10721" s="47">
        <v>10230</v>
      </c>
      <c r="B10721" s="48" t="s">
        <v>10694</v>
      </c>
      <c r="C10721" s="47" t="s">
        <v>65</v>
      </c>
      <c r="D10721" s="332">
        <v>256.52999999999997</v>
      </c>
    </row>
    <row r="10722" spans="1:4" ht="30">
      <c r="A10722" s="28">
        <v>10409</v>
      </c>
      <c r="B10722" s="26" t="s">
        <v>10701</v>
      </c>
      <c r="C10722" s="28" t="s">
        <v>65</v>
      </c>
      <c r="D10722" s="329">
        <v>76.209999999999994</v>
      </c>
    </row>
    <row r="10723" spans="1:4" ht="30">
      <c r="A10723" s="47">
        <v>10411</v>
      </c>
      <c r="B10723" s="48" t="s">
        <v>10702</v>
      </c>
      <c r="C10723" s="47" t="s">
        <v>65</v>
      </c>
      <c r="D10723" s="332">
        <v>68.19</v>
      </c>
    </row>
    <row r="10724" spans="1:4" ht="30">
      <c r="A10724" s="28">
        <v>10404</v>
      </c>
      <c r="B10724" s="26" t="s">
        <v>10704</v>
      </c>
      <c r="C10724" s="28" t="s">
        <v>65</v>
      </c>
      <c r="D10724" s="329">
        <v>27.65</v>
      </c>
    </row>
    <row r="10725" spans="1:4" ht="30">
      <c r="A10725" s="47">
        <v>10410</v>
      </c>
      <c r="B10725" s="48" t="s">
        <v>10703</v>
      </c>
      <c r="C10725" s="47" t="s">
        <v>65</v>
      </c>
      <c r="D10725" s="332">
        <v>45.55</v>
      </c>
    </row>
    <row r="10726" spans="1:4" ht="30">
      <c r="A10726" s="28">
        <v>10405</v>
      </c>
      <c r="B10726" s="26" t="s">
        <v>10705</v>
      </c>
      <c r="C10726" s="28" t="s">
        <v>65</v>
      </c>
      <c r="D10726" s="329">
        <v>152.69</v>
      </c>
    </row>
    <row r="10727" spans="1:4" ht="30">
      <c r="A10727" s="47">
        <v>10408</v>
      </c>
      <c r="B10727" s="48" t="s">
        <v>10706</v>
      </c>
      <c r="C10727" s="47" t="s">
        <v>65</v>
      </c>
      <c r="D10727" s="332">
        <v>106.77</v>
      </c>
    </row>
    <row r="10728" spans="1:4" ht="30">
      <c r="A10728" s="28">
        <v>10412</v>
      </c>
      <c r="B10728" s="26" t="s">
        <v>10708</v>
      </c>
      <c r="C10728" s="28" t="s">
        <v>65</v>
      </c>
      <c r="D10728" s="329">
        <v>33.51</v>
      </c>
    </row>
    <row r="10729" spans="1:4" ht="30">
      <c r="A10729" s="47">
        <v>10406</v>
      </c>
      <c r="B10729" s="48" t="s">
        <v>10707</v>
      </c>
      <c r="C10729" s="47" t="s">
        <v>65</v>
      </c>
      <c r="D10729" s="332">
        <v>210.9</v>
      </c>
    </row>
    <row r="10730" spans="1:4" ht="30">
      <c r="A10730" s="28">
        <v>10407</v>
      </c>
      <c r="B10730" s="26" t="s">
        <v>10709</v>
      </c>
      <c r="C10730" s="28" t="s">
        <v>65</v>
      </c>
      <c r="D10730" s="329">
        <v>327.11</v>
      </c>
    </row>
    <row r="10731" spans="1:4" ht="30">
      <c r="A10731" s="47">
        <v>10416</v>
      </c>
      <c r="B10731" s="48" t="s">
        <v>10713</v>
      </c>
      <c r="C10731" s="47" t="s">
        <v>65</v>
      </c>
      <c r="D10731" s="332">
        <v>40.57</v>
      </c>
    </row>
    <row r="10732" spans="1:4" ht="30">
      <c r="A10732" s="28">
        <v>10419</v>
      </c>
      <c r="B10732" s="26" t="s">
        <v>10714</v>
      </c>
      <c r="C10732" s="28" t="s">
        <v>65</v>
      </c>
      <c r="D10732" s="329">
        <v>35.21</v>
      </c>
    </row>
    <row r="10733" spans="1:4" ht="30">
      <c r="A10733" s="47">
        <v>21092</v>
      </c>
      <c r="B10733" s="48" t="s">
        <v>10716</v>
      </c>
      <c r="C10733" s="47" t="s">
        <v>65</v>
      </c>
      <c r="D10733" s="332">
        <v>20.13</v>
      </c>
    </row>
    <row r="10734" spans="1:4" ht="30">
      <c r="A10734" s="28">
        <v>10418</v>
      </c>
      <c r="B10734" s="26" t="s">
        <v>10715</v>
      </c>
      <c r="C10734" s="28" t="s">
        <v>65</v>
      </c>
      <c r="D10734" s="329">
        <v>23.47</v>
      </c>
    </row>
    <row r="10735" spans="1:4" ht="30">
      <c r="A10735" s="47">
        <v>12657</v>
      </c>
      <c r="B10735" s="48" t="s">
        <v>10717</v>
      </c>
      <c r="C10735" s="47" t="s">
        <v>65</v>
      </c>
      <c r="D10735" s="332">
        <v>94.73</v>
      </c>
    </row>
    <row r="10736" spans="1:4" ht="30">
      <c r="A10736" s="28">
        <v>10417</v>
      </c>
      <c r="B10736" s="26" t="s">
        <v>10718</v>
      </c>
      <c r="C10736" s="28" t="s">
        <v>65</v>
      </c>
      <c r="D10736" s="329">
        <v>59.11</v>
      </c>
    </row>
    <row r="10737" spans="1:4" ht="30">
      <c r="A10737" s="47">
        <v>10413</v>
      </c>
      <c r="B10737" s="48" t="s">
        <v>10720</v>
      </c>
      <c r="C10737" s="47" t="s">
        <v>65</v>
      </c>
      <c r="D10737" s="332">
        <v>21.48</v>
      </c>
    </row>
    <row r="10738" spans="1:4" ht="30">
      <c r="A10738" s="28">
        <v>10414</v>
      </c>
      <c r="B10738" s="26" t="s">
        <v>10719</v>
      </c>
      <c r="C10738" s="28" t="s">
        <v>65</v>
      </c>
      <c r="D10738" s="329">
        <v>129.36000000000001</v>
      </c>
    </row>
    <row r="10739" spans="1:4" ht="30">
      <c r="A10739" s="47">
        <v>10415</v>
      </c>
      <c r="B10739" s="48" t="s">
        <v>10721</v>
      </c>
      <c r="C10739" s="47" t="s">
        <v>65</v>
      </c>
      <c r="D10739" s="332">
        <v>224.51</v>
      </c>
    </row>
    <row r="10740" spans="1:4">
      <c r="A10740" s="28">
        <v>38643</v>
      </c>
      <c r="B10740" s="26" t="s">
        <v>10724</v>
      </c>
      <c r="C10740" s="28" t="s">
        <v>65</v>
      </c>
      <c r="D10740" s="329">
        <v>26.81</v>
      </c>
    </row>
    <row r="10741" spans="1:4">
      <c r="A10741" s="47">
        <v>6157</v>
      </c>
      <c r="B10741" s="48" t="s">
        <v>10725</v>
      </c>
      <c r="C10741" s="47" t="s">
        <v>65</v>
      </c>
      <c r="D10741" s="332">
        <v>36.630000000000003</v>
      </c>
    </row>
    <row r="10742" spans="1:4">
      <c r="A10742" s="28">
        <v>37588</v>
      </c>
      <c r="B10742" s="26" t="s">
        <v>10726</v>
      </c>
      <c r="C10742" s="28" t="s">
        <v>65</v>
      </c>
      <c r="D10742" s="329">
        <v>18.53</v>
      </c>
    </row>
    <row r="10743" spans="1:4">
      <c r="A10743" s="47">
        <v>6152</v>
      </c>
      <c r="B10743" s="48" t="s">
        <v>10729</v>
      </c>
      <c r="C10743" s="47" t="s">
        <v>65</v>
      </c>
      <c r="D10743" s="332">
        <v>2.2400000000000002</v>
      </c>
    </row>
    <row r="10744" spans="1:4">
      <c r="A10744" s="28">
        <v>6158</v>
      </c>
      <c r="B10744" s="26" t="s">
        <v>10730</v>
      </c>
      <c r="C10744" s="28" t="s">
        <v>65</v>
      </c>
      <c r="D10744" s="329">
        <v>2.71</v>
      </c>
    </row>
    <row r="10745" spans="1:4" ht="30">
      <c r="A10745" s="47">
        <v>6153</v>
      </c>
      <c r="B10745" s="48" t="s">
        <v>10732</v>
      </c>
      <c r="C10745" s="47" t="s">
        <v>65</v>
      </c>
      <c r="D10745" s="332">
        <v>2.11</v>
      </c>
    </row>
    <row r="10746" spans="1:4">
      <c r="A10746" s="28">
        <v>6156</v>
      </c>
      <c r="B10746" s="26" t="s">
        <v>10731</v>
      </c>
      <c r="C10746" s="28" t="s">
        <v>65</v>
      </c>
      <c r="D10746" s="329">
        <v>2.67</v>
      </c>
    </row>
    <row r="10747" spans="1:4">
      <c r="A10747" s="47">
        <v>6154</v>
      </c>
      <c r="B10747" s="48" t="s">
        <v>10733</v>
      </c>
      <c r="C10747" s="47" t="s">
        <v>65</v>
      </c>
      <c r="D10747" s="332">
        <v>5.03</v>
      </c>
    </row>
    <row r="10748" spans="1:4" ht="30">
      <c r="A10748" s="28">
        <v>6155</v>
      </c>
      <c r="B10748" s="26" t="s">
        <v>10735</v>
      </c>
      <c r="C10748" s="28" t="s">
        <v>65</v>
      </c>
      <c r="D10748" s="329">
        <v>10.4</v>
      </c>
    </row>
    <row r="10749" spans="1:4">
      <c r="A10749" s="47">
        <v>3115</v>
      </c>
      <c r="B10749" s="48" t="s">
        <v>10738</v>
      </c>
      <c r="C10749" s="47" t="s">
        <v>65</v>
      </c>
      <c r="D10749" s="332">
        <v>13.39</v>
      </c>
    </row>
    <row r="10750" spans="1:4">
      <c r="A10750" s="28">
        <v>3116</v>
      </c>
      <c r="B10750" s="26" t="s">
        <v>10739</v>
      </c>
      <c r="C10750" s="28" t="s">
        <v>65</v>
      </c>
      <c r="D10750" s="329">
        <v>13.8</v>
      </c>
    </row>
    <row r="10751" spans="1:4">
      <c r="A10751" s="47">
        <v>38166</v>
      </c>
      <c r="B10751" s="48" t="s">
        <v>10740</v>
      </c>
      <c r="C10751" s="47" t="s">
        <v>65</v>
      </c>
      <c r="D10751" s="332">
        <v>28.24</v>
      </c>
    </row>
    <row r="10752" spans="1:4">
      <c r="A10752" s="28">
        <v>38108</v>
      </c>
      <c r="B10752" s="26" t="s">
        <v>11614</v>
      </c>
      <c r="C10752" s="28" t="s">
        <v>65</v>
      </c>
      <c r="D10752" s="329">
        <v>39.06</v>
      </c>
    </row>
    <row r="10753" spans="1:4" ht="30">
      <c r="A10753" s="47">
        <v>38087</v>
      </c>
      <c r="B10753" s="48" t="s">
        <v>11615</v>
      </c>
      <c r="C10753" s="47" t="s">
        <v>65</v>
      </c>
      <c r="D10753" s="332">
        <v>50.24</v>
      </c>
    </row>
    <row r="10754" spans="1:4">
      <c r="A10754" s="28">
        <v>38109</v>
      </c>
      <c r="B10754" s="26" t="s">
        <v>11616</v>
      </c>
      <c r="C10754" s="28" t="s">
        <v>65</v>
      </c>
      <c r="D10754" s="329">
        <v>62.42</v>
      </c>
    </row>
    <row r="10755" spans="1:4" ht="30">
      <c r="A10755" s="47">
        <v>38088</v>
      </c>
      <c r="B10755" s="48" t="s">
        <v>11617</v>
      </c>
      <c r="C10755" s="47" t="s">
        <v>65</v>
      </c>
      <c r="D10755" s="332">
        <v>65.64</v>
      </c>
    </row>
    <row r="10756" spans="1:4">
      <c r="A10756" s="28">
        <v>38110</v>
      </c>
      <c r="B10756" s="26" t="s">
        <v>11618</v>
      </c>
      <c r="C10756" s="28" t="s">
        <v>65</v>
      </c>
      <c r="D10756" s="329">
        <v>24.01</v>
      </c>
    </row>
    <row r="10757" spans="1:4" ht="45">
      <c r="A10757" s="47">
        <v>38089</v>
      </c>
      <c r="B10757" s="48" t="s">
        <v>11619</v>
      </c>
      <c r="C10757" s="47" t="s">
        <v>65</v>
      </c>
      <c r="D10757" s="332">
        <v>41.84</v>
      </c>
    </row>
    <row r="10758" spans="1:4">
      <c r="A10758" s="28">
        <v>38111</v>
      </c>
      <c r="B10758" s="26" t="s">
        <v>11620</v>
      </c>
      <c r="C10758" s="28" t="s">
        <v>65</v>
      </c>
      <c r="D10758" s="329">
        <v>26.85</v>
      </c>
    </row>
    <row r="10759" spans="1:4" ht="45">
      <c r="A10759" s="47">
        <v>38090</v>
      </c>
      <c r="B10759" s="48" t="s">
        <v>11621</v>
      </c>
      <c r="C10759" s="47" t="s">
        <v>65</v>
      </c>
      <c r="D10759" s="332">
        <v>43.25</v>
      </c>
    </row>
    <row r="10760" spans="1:4" ht="29.25" customHeight="1">
      <c r="A10760" s="28">
        <v>11786</v>
      </c>
      <c r="B10760" s="26" t="s">
        <v>10743</v>
      </c>
      <c r="C10760" s="28" t="s">
        <v>65</v>
      </c>
      <c r="D10760" s="329">
        <v>227.6</v>
      </c>
    </row>
    <row r="10761" spans="1:4" ht="30">
      <c r="A10761" s="47">
        <v>13726</v>
      </c>
      <c r="B10761" s="48" t="s">
        <v>10745</v>
      </c>
      <c r="C10761" s="47" t="s">
        <v>65</v>
      </c>
      <c r="D10761" s="332">
        <v>30312.75</v>
      </c>
    </row>
    <row r="10762" spans="1:4">
      <c r="A10762" s="28">
        <v>38400</v>
      </c>
      <c r="B10762" s="26" t="s">
        <v>10744</v>
      </c>
      <c r="C10762" s="28" t="s">
        <v>65</v>
      </c>
      <c r="D10762" s="329">
        <v>9.99</v>
      </c>
    </row>
    <row r="10763" spans="1:4" ht="30">
      <c r="A10763" s="47">
        <v>12627</v>
      </c>
      <c r="B10763" s="48" t="s">
        <v>10751</v>
      </c>
      <c r="C10763" s="47" t="s">
        <v>65</v>
      </c>
      <c r="D10763" s="332">
        <v>0.38</v>
      </c>
    </row>
    <row r="10764" spans="1:4">
      <c r="A10764" s="28">
        <v>6138</v>
      </c>
      <c r="B10764" s="26" t="s">
        <v>10752</v>
      </c>
      <c r="C10764" s="28" t="s">
        <v>65</v>
      </c>
      <c r="D10764" s="329">
        <v>1.42</v>
      </c>
    </row>
    <row r="10765" spans="1:4">
      <c r="A10765" s="47">
        <v>10615</v>
      </c>
      <c r="B10765" s="48" t="s">
        <v>10753</v>
      </c>
      <c r="C10765" s="47" t="s">
        <v>65</v>
      </c>
      <c r="D10765" s="332">
        <v>42011.26</v>
      </c>
    </row>
    <row r="10766" spans="1:4">
      <c r="A10766" s="28">
        <v>13860</v>
      </c>
      <c r="B10766" s="26" t="s">
        <v>10754</v>
      </c>
      <c r="C10766" s="28" t="s">
        <v>65</v>
      </c>
      <c r="D10766" s="329">
        <v>45484.26</v>
      </c>
    </row>
    <row r="10767" spans="1:4">
      <c r="A10767" s="47">
        <v>13532</v>
      </c>
      <c r="B10767" s="48" t="s">
        <v>10755</v>
      </c>
      <c r="C10767" s="47" t="s">
        <v>65</v>
      </c>
      <c r="D10767" s="332">
        <v>49466.81</v>
      </c>
    </row>
    <row r="10768" spans="1:4" ht="30">
      <c r="A10768" s="28">
        <v>40824</v>
      </c>
      <c r="B10768" s="26" t="s">
        <v>10756</v>
      </c>
      <c r="C10768" s="28" t="s">
        <v>65</v>
      </c>
      <c r="D10768" s="329">
        <v>63605.55</v>
      </c>
    </row>
    <row r="10769" spans="1:4">
      <c r="A10769" s="47">
        <v>39996</v>
      </c>
      <c r="B10769" s="48" t="s">
        <v>11622</v>
      </c>
      <c r="C10769" s="47" t="s">
        <v>71</v>
      </c>
      <c r="D10769" s="332">
        <v>0.51</v>
      </c>
    </row>
    <row r="10770" spans="1:4" ht="30">
      <c r="A10770" s="28">
        <v>10478</v>
      </c>
      <c r="B10770" s="26" t="s">
        <v>10770</v>
      </c>
      <c r="C10770" s="28" t="s">
        <v>91</v>
      </c>
      <c r="D10770" s="329">
        <v>22.68</v>
      </c>
    </row>
    <row r="10771" spans="1:4" ht="30">
      <c r="A10771" s="47">
        <v>40514</v>
      </c>
      <c r="B10771" s="48" t="s">
        <v>252</v>
      </c>
      <c r="C10771" s="47" t="s">
        <v>91</v>
      </c>
      <c r="D10771" s="332">
        <v>20.09</v>
      </c>
    </row>
    <row r="10772" spans="1:4">
      <c r="A10772" s="28">
        <v>10475</v>
      </c>
      <c r="B10772" s="26" t="s">
        <v>10772</v>
      </c>
      <c r="C10772" s="28" t="s">
        <v>91</v>
      </c>
      <c r="D10772" s="329">
        <v>19.95</v>
      </c>
    </row>
    <row r="10773" spans="1:4" ht="30">
      <c r="A10773" s="47">
        <v>10481</v>
      </c>
      <c r="B10773" s="48" t="s">
        <v>10773</v>
      </c>
      <c r="C10773" s="47" t="s">
        <v>91</v>
      </c>
      <c r="D10773" s="332">
        <v>21.76</v>
      </c>
    </row>
    <row r="10774" spans="1:4">
      <c r="A10774" s="28">
        <v>4031</v>
      </c>
      <c r="B10774" s="26" t="s">
        <v>10777</v>
      </c>
      <c r="C10774" s="28" t="s">
        <v>256</v>
      </c>
      <c r="D10774" s="329">
        <v>3.22</v>
      </c>
    </row>
    <row r="10775" spans="1:4">
      <c r="A10775" s="47">
        <v>4030</v>
      </c>
      <c r="B10775" s="48" t="s">
        <v>10778</v>
      </c>
      <c r="C10775" s="47" t="s">
        <v>256</v>
      </c>
      <c r="D10775" s="332">
        <v>8.2799999999999994</v>
      </c>
    </row>
    <row r="10776" spans="1:4">
      <c r="A10776" s="28">
        <v>39399</v>
      </c>
      <c r="B10776" s="26" t="s">
        <v>10780</v>
      </c>
      <c r="C10776" s="28" t="s">
        <v>65</v>
      </c>
      <c r="D10776" s="329">
        <v>800.55</v>
      </c>
    </row>
    <row r="10777" spans="1:4">
      <c r="A10777" s="47">
        <v>39400</v>
      </c>
      <c r="B10777" s="48" t="s">
        <v>10781</v>
      </c>
      <c r="C10777" s="47" t="s">
        <v>65</v>
      </c>
      <c r="D10777" s="332">
        <v>870.16</v>
      </c>
    </row>
    <row r="10778" spans="1:4">
      <c r="A10778" s="28">
        <v>39401</v>
      </c>
      <c r="B10778" s="26" t="s">
        <v>10782</v>
      </c>
      <c r="C10778" s="28" t="s">
        <v>65</v>
      </c>
      <c r="D10778" s="329">
        <v>976.11</v>
      </c>
    </row>
    <row r="10779" spans="1:4" ht="30">
      <c r="A10779" s="47">
        <v>11652</v>
      </c>
      <c r="B10779" s="48" t="s">
        <v>10783</v>
      </c>
      <c r="C10779" s="47" t="s">
        <v>65</v>
      </c>
      <c r="D10779" s="332">
        <v>2100</v>
      </c>
    </row>
    <row r="10780" spans="1:4" ht="30">
      <c r="A10780" s="28">
        <v>13896</v>
      </c>
      <c r="B10780" s="26" t="s">
        <v>10785</v>
      </c>
      <c r="C10780" s="28" t="s">
        <v>65</v>
      </c>
      <c r="D10780" s="329">
        <v>1883.88</v>
      </c>
    </row>
    <row r="10781" spans="1:4" ht="30">
      <c r="A10781" s="47">
        <v>13475</v>
      </c>
      <c r="B10781" s="48" t="s">
        <v>10784</v>
      </c>
      <c r="C10781" s="47" t="s">
        <v>65</v>
      </c>
      <c r="D10781" s="332">
        <v>2294.79</v>
      </c>
    </row>
    <row r="10782" spans="1:4" ht="30">
      <c r="A10782" s="28">
        <v>25971</v>
      </c>
      <c r="B10782" s="26" t="s">
        <v>10794</v>
      </c>
      <c r="C10782" s="28" t="s">
        <v>65</v>
      </c>
      <c r="D10782" s="329">
        <v>1714526.34</v>
      </c>
    </row>
    <row r="10783" spans="1:4" ht="30">
      <c r="A10783" s="47">
        <v>25970</v>
      </c>
      <c r="B10783" s="48" t="s">
        <v>10792</v>
      </c>
      <c r="C10783" s="47" t="s">
        <v>65</v>
      </c>
      <c r="D10783" s="332">
        <v>721795.69</v>
      </c>
    </row>
    <row r="10784" spans="1:4" ht="30">
      <c r="A10784" s="28">
        <v>13476</v>
      </c>
      <c r="B10784" s="26" t="s">
        <v>10793</v>
      </c>
      <c r="C10784" s="28" t="s">
        <v>65</v>
      </c>
      <c r="D10784" s="329">
        <v>727026.14</v>
      </c>
    </row>
    <row r="10785" spans="1:4" ht="30">
      <c r="A10785" s="47">
        <v>10488</v>
      </c>
      <c r="B10785" s="48" t="s">
        <v>10795</v>
      </c>
      <c r="C10785" s="47" t="s">
        <v>65</v>
      </c>
      <c r="D10785" s="332">
        <v>880800</v>
      </c>
    </row>
    <row r="10786" spans="1:4" ht="30">
      <c r="A10786" s="28">
        <v>13606</v>
      </c>
      <c r="B10786" s="26" t="s">
        <v>10808</v>
      </c>
      <c r="C10786" s="28" t="s">
        <v>65</v>
      </c>
      <c r="D10786" s="329">
        <v>780376.2</v>
      </c>
    </row>
    <row r="10787" spans="1:4">
      <c r="A10787" s="47">
        <v>10489</v>
      </c>
      <c r="B10787" s="48" t="s">
        <v>253</v>
      </c>
      <c r="C10787" s="47" t="s">
        <v>57</v>
      </c>
      <c r="D10787" s="332">
        <v>10.99</v>
      </c>
    </row>
    <row r="10788" spans="1:4">
      <c r="A10788" s="28">
        <v>41073</v>
      </c>
      <c r="B10788" s="26" t="s">
        <v>10809</v>
      </c>
      <c r="C10788" s="28" t="s">
        <v>1643</v>
      </c>
      <c r="D10788" s="329">
        <v>2003.53</v>
      </c>
    </row>
    <row r="10789" spans="1:4">
      <c r="A10789" s="47">
        <v>10500</v>
      </c>
      <c r="B10789" s="48" t="s">
        <v>10810</v>
      </c>
      <c r="C10789" s="47" t="s">
        <v>256</v>
      </c>
      <c r="D10789" s="332">
        <v>58.29</v>
      </c>
    </row>
    <row r="10790" spans="1:4" ht="30">
      <c r="A10790" s="28">
        <v>34391</v>
      </c>
      <c r="B10790" s="26" t="s">
        <v>10811</v>
      </c>
      <c r="C10790" s="28" t="s">
        <v>256</v>
      </c>
      <c r="D10790" s="329">
        <v>334.86</v>
      </c>
    </row>
    <row r="10791" spans="1:4" ht="30">
      <c r="A10791" s="47">
        <v>10496</v>
      </c>
      <c r="B10791" s="48" t="s">
        <v>10812</v>
      </c>
      <c r="C10791" s="47" t="s">
        <v>256</v>
      </c>
      <c r="D10791" s="332">
        <v>291.5</v>
      </c>
    </row>
    <row r="10792" spans="1:4" ht="30">
      <c r="A10792" s="28">
        <v>10497</v>
      </c>
      <c r="B10792" s="26" t="s">
        <v>10813</v>
      </c>
      <c r="C10792" s="28" t="s">
        <v>256</v>
      </c>
      <c r="D10792" s="329">
        <v>757.89</v>
      </c>
    </row>
    <row r="10793" spans="1:4" ht="30">
      <c r="A10793" s="47">
        <v>10504</v>
      </c>
      <c r="B10793" s="48" t="s">
        <v>10814</v>
      </c>
      <c r="C10793" s="47" t="s">
        <v>256</v>
      </c>
      <c r="D10793" s="332">
        <v>886.16</v>
      </c>
    </row>
    <row r="10794" spans="1:4">
      <c r="A10794" s="28">
        <v>34390</v>
      </c>
      <c r="B10794" s="26" t="s">
        <v>10815</v>
      </c>
      <c r="C10794" s="28" t="s">
        <v>256</v>
      </c>
      <c r="D10794" s="329">
        <v>261.18</v>
      </c>
    </row>
    <row r="10795" spans="1:4">
      <c r="A10795" s="47">
        <v>34389</v>
      </c>
      <c r="B10795" s="48" t="s">
        <v>10816</v>
      </c>
      <c r="C10795" s="47" t="s">
        <v>256</v>
      </c>
      <c r="D10795" s="332">
        <v>81.62</v>
      </c>
    </row>
    <row r="10796" spans="1:4">
      <c r="A10796" s="28">
        <v>34388</v>
      </c>
      <c r="B10796" s="26" t="s">
        <v>10817</v>
      </c>
      <c r="C10796" s="28" t="s">
        <v>256</v>
      </c>
      <c r="D10796" s="329">
        <v>115.99</v>
      </c>
    </row>
    <row r="10797" spans="1:4">
      <c r="A10797" s="47">
        <v>34387</v>
      </c>
      <c r="B10797" s="48" t="s">
        <v>10818</v>
      </c>
      <c r="C10797" s="47" t="s">
        <v>256</v>
      </c>
      <c r="D10797" s="332">
        <v>188.3</v>
      </c>
    </row>
    <row r="10798" spans="1:4">
      <c r="A10798" s="28">
        <v>11188</v>
      </c>
      <c r="B10798" s="26" t="s">
        <v>10819</v>
      </c>
      <c r="C10798" s="28" t="s">
        <v>256</v>
      </c>
      <c r="D10798" s="329">
        <v>93.28</v>
      </c>
    </row>
    <row r="10799" spans="1:4">
      <c r="A10799" s="47">
        <v>11189</v>
      </c>
      <c r="B10799" s="48" t="s">
        <v>10820</v>
      </c>
      <c r="C10799" s="47" t="s">
        <v>256</v>
      </c>
      <c r="D10799" s="332">
        <v>139.91999999999999</v>
      </c>
    </row>
    <row r="10800" spans="1:4">
      <c r="A10800" s="28">
        <v>21107</v>
      </c>
      <c r="B10800" s="26" t="s">
        <v>10821</v>
      </c>
      <c r="C10800" s="28" t="s">
        <v>256</v>
      </c>
      <c r="D10800" s="329">
        <v>100.68</v>
      </c>
    </row>
    <row r="10801" spans="1:4">
      <c r="A10801" s="47">
        <v>34386</v>
      </c>
      <c r="B10801" s="48" t="s">
        <v>10822</v>
      </c>
      <c r="C10801" s="47" t="s">
        <v>256</v>
      </c>
      <c r="D10801" s="332">
        <v>174.89</v>
      </c>
    </row>
    <row r="10802" spans="1:4">
      <c r="A10802" s="28">
        <v>10490</v>
      </c>
      <c r="B10802" s="26" t="s">
        <v>11623</v>
      </c>
      <c r="C10802" s="28" t="s">
        <v>256</v>
      </c>
      <c r="D10802" s="329">
        <v>52.47</v>
      </c>
    </row>
    <row r="10803" spans="1:4">
      <c r="A10803" s="47">
        <v>10494</v>
      </c>
      <c r="B10803" s="48" t="s">
        <v>10823</v>
      </c>
      <c r="C10803" s="47" t="s">
        <v>256</v>
      </c>
      <c r="D10803" s="332">
        <v>52.47</v>
      </c>
    </row>
    <row r="10804" spans="1:4">
      <c r="A10804" s="28">
        <v>10492</v>
      </c>
      <c r="B10804" s="26" t="s">
        <v>10824</v>
      </c>
      <c r="C10804" s="28" t="s">
        <v>256</v>
      </c>
      <c r="D10804" s="329">
        <v>69.95</v>
      </c>
    </row>
    <row r="10805" spans="1:4">
      <c r="A10805" s="47">
        <v>10493</v>
      </c>
      <c r="B10805" s="48" t="s">
        <v>10825</v>
      </c>
      <c r="C10805" s="47" t="s">
        <v>256</v>
      </c>
      <c r="D10805" s="332">
        <v>81.62</v>
      </c>
    </row>
    <row r="10806" spans="1:4">
      <c r="A10806" s="28">
        <v>10491</v>
      </c>
      <c r="B10806" s="26" t="s">
        <v>10826</v>
      </c>
      <c r="C10806" s="28" t="s">
        <v>256</v>
      </c>
      <c r="D10806" s="329">
        <v>99.11</v>
      </c>
    </row>
    <row r="10807" spans="1:4">
      <c r="A10807" s="47">
        <v>34385</v>
      </c>
      <c r="B10807" s="48" t="s">
        <v>10827</v>
      </c>
      <c r="C10807" s="47" t="s">
        <v>256</v>
      </c>
      <c r="D10807" s="332">
        <v>144.58000000000001</v>
      </c>
    </row>
    <row r="10808" spans="1:4">
      <c r="A10808" s="28">
        <v>10499</v>
      </c>
      <c r="B10808" s="26" t="s">
        <v>11624</v>
      </c>
      <c r="C10808" s="28" t="s">
        <v>256</v>
      </c>
      <c r="D10808" s="329">
        <v>58.29</v>
      </c>
    </row>
    <row r="10809" spans="1:4">
      <c r="A10809" s="47">
        <v>34384</v>
      </c>
      <c r="B10809" s="48" t="s">
        <v>10828</v>
      </c>
      <c r="C10809" s="47" t="s">
        <v>256</v>
      </c>
      <c r="D10809" s="332">
        <v>174.89</v>
      </c>
    </row>
    <row r="10810" spans="1:4">
      <c r="A10810" s="28">
        <v>11185</v>
      </c>
      <c r="B10810" s="26" t="s">
        <v>10829</v>
      </c>
      <c r="C10810" s="28" t="s">
        <v>256</v>
      </c>
      <c r="D10810" s="329">
        <v>180.72</v>
      </c>
    </row>
    <row r="10811" spans="1:4">
      <c r="A10811" s="47">
        <v>10507</v>
      </c>
      <c r="B10811" s="48" t="s">
        <v>10830</v>
      </c>
      <c r="C10811" s="47" t="s">
        <v>256</v>
      </c>
      <c r="D10811" s="332">
        <v>123.42</v>
      </c>
    </row>
    <row r="10812" spans="1:4">
      <c r="A10812" s="28">
        <v>10505</v>
      </c>
      <c r="B10812" s="26" t="s">
        <v>10831</v>
      </c>
      <c r="C10812" s="28" t="s">
        <v>256</v>
      </c>
      <c r="D10812" s="329">
        <v>72.83</v>
      </c>
    </row>
    <row r="10813" spans="1:4">
      <c r="A10813" s="47">
        <v>10506</v>
      </c>
      <c r="B10813" s="48" t="s">
        <v>10832</v>
      </c>
      <c r="C10813" s="47" t="s">
        <v>256</v>
      </c>
      <c r="D10813" s="332">
        <v>95.07</v>
      </c>
    </row>
    <row r="10814" spans="1:4" ht="30">
      <c r="A10814" s="28">
        <v>5031</v>
      </c>
      <c r="B10814" s="26" t="s">
        <v>10833</v>
      </c>
      <c r="C10814" s="28" t="s">
        <v>256</v>
      </c>
      <c r="D10814" s="329">
        <v>133.5</v>
      </c>
    </row>
    <row r="10815" spans="1:4">
      <c r="A10815" s="47">
        <v>10502</v>
      </c>
      <c r="B10815" s="48" t="s">
        <v>10837</v>
      </c>
      <c r="C10815" s="47" t="s">
        <v>256</v>
      </c>
      <c r="D10815" s="332">
        <v>155.55000000000001</v>
      </c>
    </row>
    <row r="10816" spans="1:4">
      <c r="A10816" s="28">
        <v>10501</v>
      </c>
      <c r="B10816" s="26" t="s">
        <v>10838</v>
      </c>
      <c r="C10816" s="28" t="s">
        <v>256</v>
      </c>
      <c r="D10816" s="329">
        <v>87.88</v>
      </c>
    </row>
    <row r="10817" spans="1:4">
      <c r="A10817" s="47">
        <v>10503</v>
      </c>
      <c r="B10817" s="48" t="s">
        <v>10839</v>
      </c>
      <c r="C10817" s="47" t="s">
        <v>256</v>
      </c>
      <c r="D10817" s="332">
        <v>118.73</v>
      </c>
    </row>
    <row r="10818" spans="1:4" ht="30">
      <c r="A10818" s="28">
        <v>40610</v>
      </c>
      <c r="B10818" s="26" t="s">
        <v>10840</v>
      </c>
      <c r="C10818" s="28" t="s">
        <v>71</v>
      </c>
      <c r="D10818" s="329">
        <v>32</v>
      </c>
    </row>
    <row r="10819" spans="1:4" ht="30">
      <c r="A10819" s="47">
        <v>20213</v>
      </c>
      <c r="B10819" s="48" t="s">
        <v>10841</v>
      </c>
      <c r="C10819" s="47" t="s">
        <v>71</v>
      </c>
      <c r="D10819" s="332">
        <v>8.42</v>
      </c>
    </row>
    <row r="10820" spans="1:4" ht="30">
      <c r="A10820" s="28">
        <v>20211</v>
      </c>
      <c r="B10820" s="26" t="s">
        <v>10842</v>
      </c>
      <c r="C10820" s="28" t="s">
        <v>71</v>
      </c>
      <c r="D10820" s="329">
        <v>12.43</v>
      </c>
    </row>
    <row r="10821" spans="1:4" ht="30">
      <c r="A10821" s="47">
        <v>4472</v>
      </c>
      <c r="B10821" s="48" t="s">
        <v>10843</v>
      </c>
      <c r="C10821" s="47" t="s">
        <v>71</v>
      </c>
      <c r="D10821" s="332">
        <v>14.83</v>
      </c>
    </row>
    <row r="10822" spans="1:4" ht="30">
      <c r="A10822" s="28">
        <v>35272</v>
      </c>
      <c r="B10822" s="26" t="s">
        <v>10844</v>
      </c>
      <c r="C10822" s="28" t="s">
        <v>71</v>
      </c>
      <c r="D10822" s="329">
        <v>19.48</v>
      </c>
    </row>
    <row r="10823" spans="1:4" ht="30">
      <c r="A10823" s="47">
        <v>4425</v>
      </c>
      <c r="B10823" s="48" t="s">
        <v>10845</v>
      </c>
      <c r="C10823" s="47" t="s">
        <v>71</v>
      </c>
      <c r="D10823" s="332">
        <v>10.9</v>
      </c>
    </row>
    <row r="10824" spans="1:4" ht="30">
      <c r="A10824" s="28">
        <v>4481</v>
      </c>
      <c r="B10824" s="26" t="s">
        <v>10846</v>
      </c>
      <c r="C10824" s="28" t="s">
        <v>71</v>
      </c>
      <c r="D10824" s="329">
        <v>20.079999999999998</v>
      </c>
    </row>
    <row r="10825" spans="1:4" ht="30">
      <c r="A10825" s="47">
        <v>40275</v>
      </c>
      <c r="B10825" s="48" t="s">
        <v>10847</v>
      </c>
      <c r="C10825" s="47" t="s">
        <v>1643</v>
      </c>
      <c r="D10825" s="332">
        <v>10</v>
      </c>
    </row>
    <row r="10826" spans="1:4">
      <c r="A10826" s="28">
        <v>34345</v>
      </c>
      <c r="B10826" s="26" t="s">
        <v>10848</v>
      </c>
      <c r="C10826" s="28" t="s">
        <v>57</v>
      </c>
      <c r="D10826" s="329">
        <v>14.28</v>
      </c>
    </row>
    <row r="10827" spans="1:4">
      <c r="A10827" s="47">
        <v>41096</v>
      </c>
      <c r="B10827" s="48" t="s">
        <v>10849</v>
      </c>
      <c r="C10827" s="47" t="s">
        <v>1643</v>
      </c>
      <c r="D10827" s="332">
        <v>2514.5700000000002</v>
      </c>
    </row>
    <row r="10828" spans="1:4" ht="30">
      <c r="A10828" s="28">
        <v>41776</v>
      </c>
      <c r="B10828" s="26" t="s">
        <v>10850</v>
      </c>
      <c r="C10828" s="28" t="s">
        <v>57</v>
      </c>
      <c r="D10828" s="329">
        <v>19.579999999999998</v>
      </c>
    </row>
    <row r="10829" spans="1:4" ht="30">
      <c r="A10829" s="47">
        <v>4487</v>
      </c>
      <c r="B10829" s="48" t="s">
        <v>10851</v>
      </c>
      <c r="C10829" s="47" t="s">
        <v>71</v>
      </c>
      <c r="D10829" s="332">
        <v>9.74</v>
      </c>
    </row>
    <row r="10830" spans="1:4">
      <c r="A10830" s="28">
        <v>11157</v>
      </c>
      <c r="B10830" s="26" t="s">
        <v>254</v>
      </c>
      <c r="C10830" s="28" t="s">
        <v>182</v>
      </c>
      <c r="D10830" s="329">
        <v>108.27</v>
      </c>
    </row>
    <row r="10831" spans="1:4" ht="30">
      <c r="A10831" s="47">
        <v>38081</v>
      </c>
      <c r="B10831" s="48" t="s">
        <v>1377</v>
      </c>
      <c r="C10831" s="47" t="s">
        <v>65</v>
      </c>
      <c r="D10831" s="332">
        <v>19.809999999999999</v>
      </c>
    </row>
    <row r="10832" spans="1:4" ht="30">
      <c r="A10832" s="28">
        <v>38070</v>
      </c>
      <c r="B10832" s="26" t="s">
        <v>11625</v>
      </c>
      <c r="C10832" s="28" t="s">
        <v>65</v>
      </c>
      <c r="D10832" s="329">
        <v>13.65</v>
      </c>
    </row>
    <row r="10833" spans="1:4" ht="30">
      <c r="A10833" s="47">
        <v>38072</v>
      </c>
      <c r="B10833" s="48" t="s">
        <v>11626</v>
      </c>
      <c r="C10833" s="47" t="s">
        <v>65</v>
      </c>
      <c r="D10833" s="332">
        <v>17.12</v>
      </c>
    </row>
    <row r="10834" spans="1:4" ht="30">
      <c r="A10834" s="28">
        <v>38079</v>
      </c>
      <c r="B10834" s="26" t="s">
        <v>11627</v>
      </c>
      <c r="C10834" s="28" t="s">
        <v>65</v>
      </c>
      <c r="D10834" s="329">
        <v>17.809999999999999</v>
      </c>
    </row>
    <row r="10835" spans="1:4" ht="30">
      <c r="A10835" s="47">
        <v>38068</v>
      </c>
      <c r="B10835" s="48" t="s">
        <v>11628</v>
      </c>
      <c r="C10835" s="47" t="s">
        <v>65</v>
      </c>
      <c r="D10835" s="332">
        <v>11.82</v>
      </c>
    </row>
    <row r="10836" spans="1:4" ht="30">
      <c r="A10836" s="28">
        <v>38076</v>
      </c>
      <c r="B10836" s="26" t="s">
        <v>11629</v>
      </c>
      <c r="C10836" s="28" t="s">
        <v>65</v>
      </c>
      <c r="D10836" s="329">
        <v>14.56</v>
      </c>
    </row>
    <row r="10837" spans="1:4" ht="30">
      <c r="A10837" s="47">
        <v>38074</v>
      </c>
      <c r="B10837" s="48" t="s">
        <v>11630</v>
      </c>
      <c r="C10837" s="47" t="s">
        <v>65</v>
      </c>
      <c r="D10837" s="332">
        <v>20.75</v>
      </c>
    </row>
    <row r="10838" spans="1:4" ht="30">
      <c r="A10838" s="28">
        <v>38071</v>
      </c>
      <c r="B10838" s="26" t="s">
        <v>11631</v>
      </c>
      <c r="C10838" s="28" t="s">
        <v>65</v>
      </c>
      <c r="D10838" s="329">
        <v>14.13</v>
      </c>
    </row>
    <row r="10839" spans="1:4">
      <c r="A10839" s="28"/>
      <c r="B10839" s="26"/>
      <c r="C10839" s="28"/>
    </row>
  </sheetData>
  <pageMargins left="0.511811024" right="0.511811024" top="0.78740157499999996" bottom="0.78740157499999996" header="0.31496062000000002" footer="0.31496062000000002"/>
  <pageSetup paperSize="9" scale="69" orientation="portrait" horizontalDpi="1200" verticalDpi="120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I37"/>
  <sheetViews>
    <sheetView view="pageBreakPreview" zoomScaleNormal="100" zoomScaleSheetLayoutView="100" workbookViewId="0">
      <selection activeCell="B13" sqref="B13"/>
    </sheetView>
  </sheetViews>
  <sheetFormatPr defaultRowHeight="11.25"/>
  <cols>
    <col min="1" max="1" width="34.28515625" style="149" customWidth="1"/>
    <col min="2" max="2" width="57.7109375" style="572" customWidth="1"/>
    <col min="3" max="3" width="6.7109375" style="149" customWidth="1"/>
    <col min="4" max="4" width="12" style="149" customWidth="1"/>
    <col min="5" max="5" width="10.85546875" style="147" customWidth="1"/>
    <col min="6" max="6" width="11.7109375" style="41" hidden="1" customWidth="1"/>
    <col min="7" max="7" width="13.5703125" style="577" hidden="1" customWidth="1"/>
    <col min="8" max="8" width="14.85546875" style="41" hidden="1" customWidth="1"/>
    <col min="9" max="9" width="12" style="41" hidden="1" customWidth="1"/>
    <col min="10" max="16384" width="9.140625" style="41"/>
  </cols>
  <sheetData>
    <row r="1" spans="1:9" ht="50.25" customHeight="1">
      <c r="A1" s="1591" t="s">
        <v>21122</v>
      </c>
      <c r="B1" s="1592"/>
      <c r="C1" s="1592"/>
      <c r="D1" s="1593"/>
    </row>
    <row r="2" spans="1:9" ht="12">
      <c r="A2" s="391" t="s">
        <v>0</v>
      </c>
      <c r="B2" s="392" t="s">
        <v>14560</v>
      </c>
      <c r="C2" s="392"/>
      <c r="D2" s="712"/>
    </row>
    <row r="3" spans="1:9" ht="12">
      <c r="A3" s="389" t="s">
        <v>2</v>
      </c>
      <c r="B3" s="390" t="s">
        <v>13879</v>
      </c>
      <c r="C3" s="390"/>
      <c r="D3" s="713"/>
    </row>
    <row r="4" spans="1:9" ht="12">
      <c r="A4" s="389" t="s">
        <v>11707</v>
      </c>
      <c r="B4" s="390" t="s">
        <v>14268</v>
      </c>
      <c r="C4" s="390"/>
      <c r="D4" s="713"/>
    </row>
    <row r="5" spans="1:9" ht="15" customHeight="1">
      <c r="A5" s="714"/>
      <c r="B5" s="715"/>
      <c r="C5" s="716"/>
      <c r="D5" s="717"/>
      <c r="F5" s="148" t="s">
        <v>20525</v>
      </c>
      <c r="G5" s="148" t="s">
        <v>20522</v>
      </c>
      <c r="H5" s="1594" t="s">
        <v>20523</v>
      </c>
      <c r="I5" s="1595" t="s">
        <v>20524</v>
      </c>
    </row>
    <row r="6" spans="1:9" ht="21" customHeight="1">
      <c r="A6" s="580" t="s">
        <v>64</v>
      </c>
      <c r="B6" s="580" t="s">
        <v>1268</v>
      </c>
      <c r="C6" s="334" t="s">
        <v>1272</v>
      </c>
      <c r="D6" s="334" t="s">
        <v>1273</v>
      </c>
      <c r="F6" s="149"/>
      <c r="G6" s="578">
        <f>ORÇAMENTO!O8</f>
        <v>0.12479999999999999</v>
      </c>
      <c r="H6" s="1594"/>
      <c r="I6" s="1595"/>
    </row>
    <row r="7" spans="1:9">
      <c r="A7" s="335" t="s">
        <v>11819</v>
      </c>
      <c r="B7" s="581" t="s">
        <v>20500</v>
      </c>
      <c r="C7" s="582" t="s">
        <v>1274</v>
      </c>
      <c r="D7" s="583">
        <v>35490</v>
      </c>
      <c r="F7" s="300">
        <f>ORÇAMENTO!P1444</f>
        <v>0</v>
      </c>
      <c r="G7" s="579">
        <f>F7/(1+G$6)</f>
        <v>0</v>
      </c>
      <c r="H7" s="301">
        <v>0.05</v>
      </c>
      <c r="I7" s="579">
        <f>G7*H7</f>
        <v>0</v>
      </c>
    </row>
    <row r="8" spans="1:9">
      <c r="A8" s="335" t="s">
        <v>11820</v>
      </c>
      <c r="B8" s="581" t="s">
        <v>20501</v>
      </c>
      <c r="C8" s="582" t="s">
        <v>1274</v>
      </c>
      <c r="D8" s="583">
        <v>74187.23</v>
      </c>
      <c r="F8" s="300">
        <f>RESUMO!H22</f>
        <v>0</v>
      </c>
      <c r="G8" s="579">
        <f>F8/(1+G$6)</f>
        <v>0</v>
      </c>
      <c r="H8" s="301">
        <v>0.03</v>
      </c>
      <c r="I8" s="579">
        <f>G8*H8</f>
        <v>0</v>
      </c>
    </row>
    <row r="9" spans="1:9" s="662" customFormat="1">
      <c r="A9" s="655" t="s">
        <v>11821</v>
      </c>
      <c r="B9" s="654" t="s">
        <v>20502</v>
      </c>
      <c r="C9" s="656" t="s">
        <v>1274</v>
      </c>
      <c r="D9" s="657">
        <v>11955</v>
      </c>
      <c r="E9" s="658"/>
      <c r="F9" s="659">
        <f>ORÇAMENTO!P2107+ORÇAMENTO!P2245+ORÇAMENTO!P2286+ORÇAMENTO!P2334</f>
        <v>0</v>
      </c>
      <c r="G9" s="660">
        <f>F9/(1+G$6)</f>
        <v>0</v>
      </c>
      <c r="H9" s="661">
        <v>0.03</v>
      </c>
      <c r="I9" s="660">
        <f>G9*H9</f>
        <v>0</v>
      </c>
    </row>
    <row r="10" spans="1:9">
      <c r="A10" s="335" t="s">
        <v>12097</v>
      </c>
      <c r="B10" s="584" t="s">
        <v>20503</v>
      </c>
      <c r="C10" s="582" t="s">
        <v>1274</v>
      </c>
      <c r="D10" s="583">
        <v>320.62</v>
      </c>
      <c r="F10" s="147"/>
      <c r="H10" s="301"/>
    </row>
    <row r="11" spans="1:9">
      <c r="A11" s="335" t="s">
        <v>12098</v>
      </c>
      <c r="B11" s="584" t="s">
        <v>20504</v>
      </c>
      <c r="C11" s="582" t="s">
        <v>1274</v>
      </c>
      <c r="D11" s="583">
        <v>4026.5900000000006</v>
      </c>
      <c r="F11" s="147"/>
      <c r="H11" s="301"/>
    </row>
    <row r="12" spans="1:9">
      <c r="A12" s="335" t="s">
        <v>12344</v>
      </c>
      <c r="B12" s="584" t="s">
        <v>20509</v>
      </c>
      <c r="C12" s="582" t="s">
        <v>1274</v>
      </c>
      <c r="D12" s="583">
        <v>7775.7243999999992</v>
      </c>
      <c r="F12" s="147"/>
      <c r="H12" s="301"/>
    </row>
    <row r="13" spans="1:9">
      <c r="A13" s="335" t="s">
        <v>14332</v>
      </c>
      <c r="B13" s="581" t="s">
        <v>20510</v>
      </c>
      <c r="C13" s="582" t="s">
        <v>1274</v>
      </c>
      <c r="D13" s="583">
        <v>8162.7</v>
      </c>
      <c r="F13" s="300">
        <f>ORÇAMENTO!P1787</f>
        <v>0</v>
      </c>
      <c r="G13" s="579">
        <f t="shared" ref="G13:G18" si="0">F13/(1+G$6)</f>
        <v>0</v>
      </c>
      <c r="H13" s="301">
        <v>0.05</v>
      </c>
      <c r="I13" s="579">
        <f t="shared" ref="I13:I18" si="1">G13*H13</f>
        <v>0</v>
      </c>
    </row>
    <row r="14" spans="1:9">
      <c r="A14" s="335" t="s">
        <v>12355</v>
      </c>
      <c r="B14" s="581" t="s">
        <v>20511</v>
      </c>
      <c r="C14" s="582" t="s">
        <v>1274</v>
      </c>
      <c r="D14" s="583">
        <v>5323.5</v>
      </c>
      <c r="F14" s="300">
        <f>RESUMO!G27</f>
        <v>0</v>
      </c>
      <c r="G14" s="579">
        <f t="shared" si="0"/>
        <v>0</v>
      </c>
      <c r="H14" s="301">
        <v>0.05</v>
      </c>
      <c r="I14" s="579">
        <f t="shared" si="1"/>
        <v>0</v>
      </c>
    </row>
    <row r="15" spans="1:9">
      <c r="A15" s="335" t="s">
        <v>12356</v>
      </c>
      <c r="B15" s="581" t="s">
        <v>20512</v>
      </c>
      <c r="C15" s="582" t="s">
        <v>1274</v>
      </c>
      <c r="D15" s="583">
        <v>9346.880000000001</v>
      </c>
      <c r="F15" s="300">
        <f>RESUMO!H27</f>
        <v>0</v>
      </c>
      <c r="G15" s="579">
        <f t="shared" si="0"/>
        <v>0</v>
      </c>
      <c r="H15" s="301">
        <v>0.03</v>
      </c>
      <c r="I15" s="579">
        <f t="shared" si="1"/>
        <v>0</v>
      </c>
    </row>
    <row r="16" spans="1:9" s="662" customFormat="1">
      <c r="A16" s="655" t="s">
        <v>12357</v>
      </c>
      <c r="B16" s="654" t="s">
        <v>20513</v>
      </c>
      <c r="C16" s="656" t="s">
        <v>1274</v>
      </c>
      <c r="D16" s="657">
        <v>1419.6</v>
      </c>
      <c r="E16" s="658"/>
      <c r="F16" s="659">
        <f>RESUMO!I27</f>
        <v>0</v>
      </c>
      <c r="G16" s="660">
        <f t="shared" si="0"/>
        <v>0</v>
      </c>
      <c r="H16" s="661">
        <v>0.03</v>
      </c>
      <c r="I16" s="660">
        <f t="shared" si="1"/>
        <v>0</v>
      </c>
    </row>
    <row r="17" spans="1:9">
      <c r="A17" s="584" t="s">
        <v>12671</v>
      </c>
      <c r="B17" s="581" t="s">
        <v>20514</v>
      </c>
      <c r="C17" s="582" t="s">
        <v>1274</v>
      </c>
      <c r="D17" s="583">
        <v>138657</v>
      </c>
      <c r="F17" s="300">
        <f>ORÇAMENTO!P1530</f>
        <v>0</v>
      </c>
      <c r="G17" s="579">
        <f t="shared" si="0"/>
        <v>0</v>
      </c>
      <c r="H17" s="301">
        <v>0.05</v>
      </c>
      <c r="I17" s="579">
        <f t="shared" si="1"/>
        <v>0</v>
      </c>
    </row>
    <row r="18" spans="1:9">
      <c r="A18" s="584" t="s">
        <v>14282</v>
      </c>
      <c r="B18" s="581" t="s">
        <v>20515</v>
      </c>
      <c r="C18" s="582" t="s">
        <v>1274</v>
      </c>
      <c r="D18" s="583">
        <v>8517.6</v>
      </c>
      <c r="F18" s="300">
        <f>RESUMO!H23</f>
        <v>0</v>
      </c>
      <c r="G18" s="579">
        <f t="shared" si="0"/>
        <v>0</v>
      </c>
      <c r="H18" s="301">
        <v>0.03</v>
      </c>
      <c r="I18" s="579">
        <f t="shared" si="1"/>
        <v>0</v>
      </c>
    </row>
    <row r="19" spans="1:9" ht="22.5">
      <c r="A19" s="584" t="s">
        <v>14271</v>
      </c>
      <c r="B19" s="581" t="s">
        <v>14255</v>
      </c>
      <c r="C19" s="582" t="s">
        <v>71</v>
      </c>
      <c r="D19" s="583">
        <v>4729.6425726315802</v>
      </c>
    </row>
    <row r="20" spans="1:9" ht="22.5">
      <c r="A20" s="584" t="s">
        <v>20650</v>
      </c>
      <c r="B20" s="581" t="s">
        <v>14255</v>
      </c>
      <c r="C20" s="582" t="s">
        <v>71</v>
      </c>
      <c r="D20" s="583">
        <v>4729.6425726315802</v>
      </c>
    </row>
    <row r="21" spans="1:9" ht="22.5">
      <c r="A21" s="584" t="s">
        <v>14272</v>
      </c>
      <c r="B21" s="581" t="s">
        <v>14506</v>
      </c>
      <c r="C21" s="582" t="s">
        <v>14487</v>
      </c>
      <c r="D21" s="583">
        <v>91816.31</v>
      </c>
    </row>
    <row r="22" spans="1:9">
      <c r="A22" s="584" t="s">
        <v>14310</v>
      </c>
      <c r="B22" s="581" t="s">
        <v>14311</v>
      </c>
      <c r="C22" s="582" t="s">
        <v>1272</v>
      </c>
      <c r="D22" s="583">
        <v>16.846999999999998</v>
      </c>
    </row>
    <row r="23" spans="1:9">
      <c r="A23" s="584" t="s">
        <v>14312</v>
      </c>
      <c r="B23" s="581" t="s">
        <v>14313</v>
      </c>
      <c r="C23" s="582" t="s">
        <v>69</v>
      </c>
      <c r="D23" s="583">
        <v>16.923307999999999</v>
      </c>
    </row>
    <row r="24" spans="1:9">
      <c r="A24" s="584" t="s">
        <v>14314</v>
      </c>
      <c r="B24" s="581" t="s">
        <v>14315</v>
      </c>
      <c r="C24" s="582" t="s">
        <v>69</v>
      </c>
      <c r="D24" s="583">
        <v>27.763000000000002</v>
      </c>
    </row>
    <row r="25" spans="1:9">
      <c r="A25" s="584" t="s">
        <v>14593</v>
      </c>
      <c r="B25" s="581" t="s">
        <v>14507</v>
      </c>
      <c r="C25" s="582" t="s">
        <v>71</v>
      </c>
      <c r="D25" s="583">
        <v>51.34</v>
      </c>
    </row>
    <row r="26" spans="1:9">
      <c r="A26" s="584" t="s">
        <v>14502</v>
      </c>
      <c r="B26" s="581" t="s">
        <v>14501</v>
      </c>
      <c r="C26" s="582" t="s">
        <v>104</v>
      </c>
      <c r="D26" s="583">
        <v>66.510000000000005</v>
      </c>
    </row>
    <row r="27" spans="1:9">
      <c r="A27" s="584" t="s">
        <v>14504</v>
      </c>
      <c r="B27" s="581" t="s">
        <v>11728</v>
      </c>
      <c r="C27" s="582" t="s">
        <v>14487</v>
      </c>
      <c r="D27" s="583">
        <v>20788.32</v>
      </c>
    </row>
    <row r="28" spans="1:9">
      <c r="A28" s="584" t="s">
        <v>14505</v>
      </c>
      <c r="B28" s="581" t="s">
        <v>11729</v>
      </c>
      <c r="C28" s="582" t="s">
        <v>14487</v>
      </c>
      <c r="D28" s="583">
        <v>960364.91999999993</v>
      </c>
    </row>
    <row r="29" spans="1:9">
      <c r="A29" s="584" t="s">
        <v>14508</v>
      </c>
      <c r="B29" s="581" t="s">
        <v>14509</v>
      </c>
      <c r="C29" s="582" t="s">
        <v>69</v>
      </c>
      <c r="D29" s="583">
        <v>3.7</v>
      </c>
    </row>
    <row r="30" spans="1:9">
      <c r="A30" s="584" t="s">
        <v>20384</v>
      </c>
      <c r="B30" s="581" t="s">
        <v>20385</v>
      </c>
      <c r="C30" s="582" t="s">
        <v>21</v>
      </c>
      <c r="D30" s="583">
        <v>66.490000000000009</v>
      </c>
    </row>
    <row r="31" spans="1:9" ht="22.5">
      <c r="A31" s="584" t="s">
        <v>20411</v>
      </c>
      <c r="B31" s="581" t="s">
        <v>20412</v>
      </c>
      <c r="C31" s="582" t="s">
        <v>18</v>
      </c>
      <c r="D31" s="583">
        <v>2.5910000000000002</v>
      </c>
    </row>
    <row r="32" spans="1:9">
      <c r="A32" s="584" t="s">
        <v>20417</v>
      </c>
      <c r="B32" s="581" t="s">
        <v>20418</v>
      </c>
      <c r="C32" s="582" t="s">
        <v>18</v>
      </c>
      <c r="D32" s="583">
        <v>0.38</v>
      </c>
    </row>
    <row r="33" spans="1:4">
      <c r="A33" s="584"/>
      <c r="B33" s="585"/>
      <c r="C33" s="582"/>
      <c r="D33" s="583"/>
    </row>
    <row r="34" spans="1:4">
      <c r="A34" s="584"/>
      <c r="B34" s="585"/>
      <c r="C34" s="582"/>
      <c r="D34" s="583"/>
    </row>
    <row r="35" spans="1:4">
      <c r="A35" s="584"/>
      <c r="B35" s="585"/>
      <c r="C35" s="582"/>
      <c r="D35" s="583"/>
    </row>
    <row r="36" spans="1:4">
      <c r="A36" s="584"/>
      <c r="B36" s="585"/>
      <c r="C36" s="582"/>
      <c r="D36" s="583"/>
    </row>
    <row r="37" spans="1:4">
      <c r="A37" s="573"/>
      <c r="B37" s="574"/>
      <c r="C37" s="575"/>
      <c r="D37" s="576"/>
    </row>
  </sheetData>
  <sheetProtection algorithmName="SHA-512" hashValue="8/QPgk+LvW4vaIZC4jmI/gzRz0PdLmwT2k9vZ7CXWRYG7RKBQxWWnn1rII+ewJgXpQ9E7BWiiQyL/W6k9qwNtQ==" saltValue="Z/6KJs7mcMEWXvNtospQdg==" spinCount="100000" sheet="1" objects="1" scenarios="1"/>
  <mergeCells count="3">
    <mergeCell ref="H5:H6"/>
    <mergeCell ref="I5:I6"/>
    <mergeCell ref="A1:D1"/>
  </mergeCells>
  <pageMargins left="0.51181102362204722" right="0.51181102362204722" top="0.78740157480314965" bottom="0.78740157480314965" header="0.31496062992125984" footer="0.31496062992125984"/>
  <pageSetup paperSize="9" scale="84" fitToHeight="0" orientation="portrait" horizontalDpi="1200" verticalDpi="1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F453"/>
  <sheetViews>
    <sheetView zoomScaleNormal="100" zoomScaleSheetLayoutView="100" workbookViewId="0">
      <pane xSplit="1" ySplit="2" topLeftCell="B3" activePane="bottomRight" state="frozen"/>
      <selection activeCell="D34" sqref="D34"/>
      <selection pane="topRight" activeCell="D34" sqref="D34"/>
      <selection pane="bottomLeft" activeCell="D34" sqref="D34"/>
      <selection pane="bottomRight" activeCell="B430" sqref="B430"/>
    </sheetView>
  </sheetViews>
  <sheetFormatPr defaultRowHeight="15"/>
  <cols>
    <col min="1" max="1" width="9.7109375" style="23" customWidth="1"/>
    <col min="2" max="2" width="63.140625" style="23" customWidth="1"/>
    <col min="3" max="3" width="12" style="29" customWidth="1"/>
    <col min="4" max="4" width="15" style="556" customWidth="1"/>
    <col min="5" max="16384" width="9.140625" style="25"/>
  </cols>
  <sheetData>
    <row r="1" spans="1:6" ht="37.5" customHeight="1" thickBot="1">
      <c r="A1" s="45" t="s">
        <v>86</v>
      </c>
      <c r="B1" s="46" t="s">
        <v>20184</v>
      </c>
      <c r="C1" s="45" t="s">
        <v>25</v>
      </c>
      <c r="D1" s="331" t="s">
        <v>10856</v>
      </c>
      <c r="E1" s="557"/>
      <c r="F1" s="557"/>
    </row>
    <row r="2" spans="1:6" ht="15.75" thickBot="1">
      <c r="A2" s="24" t="s">
        <v>86</v>
      </c>
      <c r="B2" s="24" t="s">
        <v>87</v>
      </c>
      <c r="C2" s="24" t="s">
        <v>25</v>
      </c>
      <c r="D2" s="517" t="s">
        <v>88</v>
      </c>
    </row>
    <row r="3" spans="1:6">
      <c r="A3" s="21"/>
      <c r="B3" s="22"/>
      <c r="C3" s="518"/>
      <c r="D3" s="519"/>
    </row>
    <row r="4" spans="1:6">
      <c r="A4" s="520"/>
      <c r="B4" s="521" t="s">
        <v>1215</v>
      </c>
      <c r="C4" s="520"/>
      <c r="D4" s="520"/>
    </row>
    <row r="5" spans="1:6">
      <c r="A5" s="520"/>
      <c r="B5" s="521" t="s">
        <v>1216</v>
      </c>
      <c r="C5" s="520"/>
      <c r="D5" s="520"/>
    </row>
    <row r="6" spans="1:6">
      <c r="A6" s="522">
        <v>3</v>
      </c>
      <c r="B6" s="523" t="s">
        <v>19842</v>
      </c>
      <c r="C6" s="522" t="s">
        <v>256</v>
      </c>
      <c r="D6" s="524">
        <v>147.38999999999999</v>
      </c>
    </row>
    <row r="7" spans="1:6">
      <c r="A7" s="522">
        <v>98</v>
      </c>
      <c r="B7" s="523" t="s">
        <v>19814</v>
      </c>
      <c r="C7" s="522" t="s">
        <v>65</v>
      </c>
      <c r="D7" s="524">
        <v>251.81</v>
      </c>
    </row>
    <row r="8" spans="1:6">
      <c r="A8" s="613" t="s">
        <v>20552</v>
      </c>
      <c r="B8" s="614" t="s">
        <v>19814</v>
      </c>
      <c r="C8" s="613" t="s">
        <v>65</v>
      </c>
      <c r="D8" s="615">
        <v>251.81</v>
      </c>
    </row>
    <row r="9" spans="1:6">
      <c r="A9" s="522">
        <v>99</v>
      </c>
      <c r="B9" s="523" t="s">
        <v>19843</v>
      </c>
      <c r="C9" s="522" t="s">
        <v>71</v>
      </c>
      <c r="D9" s="524">
        <v>62.52</v>
      </c>
    </row>
    <row r="10" spans="1:6">
      <c r="A10" s="522">
        <v>101</v>
      </c>
      <c r="B10" s="523" t="s">
        <v>19844</v>
      </c>
      <c r="C10" s="522" t="s">
        <v>65</v>
      </c>
      <c r="D10" s="524">
        <v>30</v>
      </c>
    </row>
    <row r="11" spans="1:6">
      <c r="A11" s="522">
        <v>102</v>
      </c>
      <c r="B11" s="523" t="s">
        <v>19845</v>
      </c>
      <c r="C11" s="522" t="s">
        <v>65</v>
      </c>
      <c r="D11" s="524">
        <v>30</v>
      </c>
    </row>
    <row r="12" spans="1:6">
      <c r="A12" s="522">
        <v>103</v>
      </c>
      <c r="B12" s="523" t="s">
        <v>19846</v>
      </c>
      <c r="C12" s="522" t="s">
        <v>65</v>
      </c>
      <c r="D12" s="524">
        <v>36</v>
      </c>
    </row>
    <row r="13" spans="1:6">
      <c r="A13" s="522">
        <v>104</v>
      </c>
      <c r="B13" s="523" t="s">
        <v>1217</v>
      </c>
      <c r="C13" s="522" t="s">
        <v>65</v>
      </c>
      <c r="D13" s="524">
        <v>444.96</v>
      </c>
    </row>
    <row r="14" spans="1:6">
      <c r="A14" s="613" t="s">
        <v>20554</v>
      </c>
      <c r="B14" s="614" t="s">
        <v>1217</v>
      </c>
      <c r="C14" s="613" t="s">
        <v>65</v>
      </c>
      <c r="D14" s="615">
        <v>444.96</v>
      </c>
    </row>
    <row r="15" spans="1:6">
      <c r="A15" s="522">
        <v>105</v>
      </c>
      <c r="B15" s="523" t="s">
        <v>19847</v>
      </c>
      <c r="C15" s="522" t="s">
        <v>256</v>
      </c>
      <c r="D15" s="524">
        <v>58.22</v>
      </c>
    </row>
    <row r="16" spans="1:6">
      <c r="A16" s="522">
        <v>106</v>
      </c>
      <c r="B16" s="523" t="s">
        <v>19815</v>
      </c>
      <c r="C16" s="522" t="s">
        <v>90</v>
      </c>
      <c r="D16" s="524">
        <v>12.15</v>
      </c>
    </row>
    <row r="17" spans="1:4">
      <c r="A17" s="613" t="s">
        <v>20556</v>
      </c>
      <c r="B17" s="614" t="s">
        <v>19815</v>
      </c>
      <c r="C17" s="613" t="s">
        <v>90</v>
      </c>
      <c r="D17" s="615">
        <v>12.15</v>
      </c>
    </row>
    <row r="18" spans="1:4">
      <c r="A18" s="522">
        <v>118</v>
      </c>
      <c r="B18" s="523" t="s">
        <v>1218</v>
      </c>
      <c r="C18" s="522" t="s">
        <v>65</v>
      </c>
      <c r="D18" s="524">
        <v>3584.61</v>
      </c>
    </row>
    <row r="19" spans="1:4">
      <c r="A19" s="522">
        <v>119</v>
      </c>
      <c r="B19" s="523" t="s">
        <v>1219</v>
      </c>
      <c r="C19" s="522" t="s">
        <v>256</v>
      </c>
      <c r="D19" s="524">
        <v>0.26</v>
      </c>
    </row>
    <row r="20" spans="1:4">
      <c r="A20" s="613" t="s">
        <v>20557</v>
      </c>
      <c r="B20" s="614" t="s">
        <v>1219</v>
      </c>
      <c r="C20" s="613" t="s">
        <v>256</v>
      </c>
      <c r="D20" s="615">
        <v>0.26</v>
      </c>
    </row>
    <row r="21" spans="1:4">
      <c r="A21" s="522">
        <v>120</v>
      </c>
      <c r="B21" s="523" t="s">
        <v>19848</v>
      </c>
      <c r="C21" s="522" t="s">
        <v>256</v>
      </c>
      <c r="D21" s="524">
        <v>1.26</v>
      </c>
    </row>
    <row r="22" spans="1:4">
      <c r="A22" s="522">
        <v>122</v>
      </c>
      <c r="B22" s="523" t="s">
        <v>19849</v>
      </c>
      <c r="C22" s="522" t="s">
        <v>256</v>
      </c>
      <c r="D22" s="524">
        <v>0.26</v>
      </c>
    </row>
    <row r="23" spans="1:4">
      <c r="A23" s="522">
        <v>123</v>
      </c>
      <c r="B23" s="523" t="s">
        <v>1220</v>
      </c>
      <c r="C23" s="522" t="s">
        <v>256</v>
      </c>
      <c r="D23" s="524">
        <v>8.8699999999999992</v>
      </c>
    </row>
    <row r="24" spans="1:4">
      <c r="A24" s="522">
        <v>126</v>
      </c>
      <c r="B24" s="523" t="s">
        <v>1221</v>
      </c>
      <c r="C24" s="522" t="s">
        <v>256</v>
      </c>
      <c r="D24" s="524">
        <v>50.48</v>
      </c>
    </row>
    <row r="25" spans="1:4">
      <c r="A25" s="522">
        <v>127</v>
      </c>
      <c r="B25" s="523" t="s">
        <v>19850</v>
      </c>
      <c r="C25" s="522" t="s">
        <v>255</v>
      </c>
      <c r="D25" s="524">
        <v>88.74</v>
      </c>
    </row>
    <row r="26" spans="1:4">
      <c r="A26" s="522">
        <v>128</v>
      </c>
      <c r="B26" s="523" t="s">
        <v>19851</v>
      </c>
      <c r="C26" s="522" t="s">
        <v>255</v>
      </c>
      <c r="D26" s="524">
        <v>221.56</v>
      </c>
    </row>
    <row r="27" spans="1:4">
      <c r="A27" s="522">
        <v>137</v>
      </c>
      <c r="B27" s="523" t="s">
        <v>19852</v>
      </c>
      <c r="C27" s="522" t="s">
        <v>255</v>
      </c>
      <c r="D27" s="524">
        <v>268.45999999999998</v>
      </c>
    </row>
    <row r="28" spans="1:4">
      <c r="A28" s="522">
        <v>138</v>
      </c>
      <c r="B28" s="523" t="s">
        <v>19853</v>
      </c>
      <c r="C28" s="522" t="s">
        <v>256</v>
      </c>
      <c r="D28" s="524">
        <v>9.6</v>
      </c>
    </row>
    <row r="29" spans="1:4">
      <c r="A29" s="522">
        <v>139</v>
      </c>
      <c r="B29" s="523" t="s">
        <v>19854</v>
      </c>
      <c r="C29" s="522" t="s">
        <v>256</v>
      </c>
      <c r="D29" s="524">
        <v>11.75</v>
      </c>
    </row>
    <row r="30" spans="1:4">
      <c r="A30" s="522">
        <v>140</v>
      </c>
      <c r="B30" s="523" t="s">
        <v>19855</v>
      </c>
      <c r="C30" s="522" t="s">
        <v>256</v>
      </c>
      <c r="D30" s="524">
        <v>13.21</v>
      </c>
    </row>
    <row r="31" spans="1:4">
      <c r="A31" s="522">
        <v>660</v>
      </c>
      <c r="B31" s="523" t="s">
        <v>1222</v>
      </c>
      <c r="C31" s="522" t="s">
        <v>65</v>
      </c>
      <c r="D31" s="524">
        <v>19.11</v>
      </c>
    </row>
    <row r="32" spans="1:4">
      <c r="A32" s="520"/>
      <c r="B32" s="521" t="s">
        <v>19856</v>
      </c>
      <c r="C32" s="520"/>
      <c r="D32" s="525"/>
    </row>
    <row r="33" spans="1:4">
      <c r="A33" s="522">
        <v>165</v>
      </c>
      <c r="B33" s="523" t="s">
        <v>19857</v>
      </c>
      <c r="C33" s="522" t="s">
        <v>255</v>
      </c>
      <c r="D33" s="524">
        <v>42.01</v>
      </c>
    </row>
    <row r="34" spans="1:4">
      <c r="A34" s="522">
        <v>166</v>
      </c>
      <c r="B34" s="523" t="s">
        <v>19858</v>
      </c>
      <c r="C34" s="522" t="s">
        <v>255</v>
      </c>
      <c r="D34" s="524">
        <v>69.599999999999994</v>
      </c>
    </row>
    <row r="35" spans="1:4">
      <c r="A35" s="522">
        <v>209</v>
      </c>
      <c r="B35" s="523" t="s">
        <v>1223</v>
      </c>
      <c r="C35" s="522" t="s">
        <v>256</v>
      </c>
      <c r="D35" s="524">
        <v>3.46</v>
      </c>
    </row>
    <row r="36" spans="1:4">
      <c r="A36" s="522">
        <v>215</v>
      </c>
      <c r="B36" s="523" t="s">
        <v>1224</v>
      </c>
      <c r="C36" s="522" t="s">
        <v>256</v>
      </c>
      <c r="D36" s="524">
        <v>6.01</v>
      </c>
    </row>
    <row r="37" spans="1:4">
      <c r="A37" s="522">
        <v>218</v>
      </c>
      <c r="B37" s="523" t="s">
        <v>19859</v>
      </c>
      <c r="C37" s="522" t="s">
        <v>255</v>
      </c>
      <c r="D37" s="524">
        <v>36</v>
      </c>
    </row>
    <row r="38" spans="1:4">
      <c r="A38" s="522">
        <v>227</v>
      </c>
      <c r="B38" s="523" t="s">
        <v>19860</v>
      </c>
      <c r="C38" s="522" t="s">
        <v>255</v>
      </c>
      <c r="D38" s="524">
        <v>9.36</v>
      </c>
    </row>
    <row r="39" spans="1:4">
      <c r="A39" s="520"/>
      <c r="B39" s="521" t="s">
        <v>19861</v>
      </c>
      <c r="C39" s="520"/>
      <c r="D39" s="525"/>
    </row>
    <row r="40" spans="1:4">
      <c r="A40" s="522">
        <v>117</v>
      </c>
      <c r="B40" s="523" t="s">
        <v>19862</v>
      </c>
      <c r="C40" s="522" t="s">
        <v>256</v>
      </c>
      <c r="D40" s="524">
        <v>109.89</v>
      </c>
    </row>
    <row r="41" spans="1:4">
      <c r="A41" s="522">
        <v>167</v>
      </c>
      <c r="B41" s="523" t="s">
        <v>19863</v>
      </c>
      <c r="C41" s="522" t="s">
        <v>255</v>
      </c>
      <c r="D41" s="524">
        <v>354.2</v>
      </c>
    </row>
    <row r="42" spans="1:4">
      <c r="A42" s="522">
        <v>263</v>
      </c>
      <c r="B42" s="523" t="s">
        <v>19864</v>
      </c>
      <c r="C42" s="522" t="s">
        <v>255</v>
      </c>
      <c r="D42" s="524">
        <v>167.51</v>
      </c>
    </row>
    <row r="43" spans="1:4">
      <c r="A43" s="522">
        <v>276</v>
      </c>
      <c r="B43" s="523" t="s">
        <v>19865</v>
      </c>
      <c r="C43" s="522" t="s">
        <v>255</v>
      </c>
      <c r="D43" s="524">
        <v>294.19</v>
      </c>
    </row>
    <row r="44" spans="1:4">
      <c r="A44" s="522">
        <v>277</v>
      </c>
      <c r="B44" s="523" t="s">
        <v>19866</v>
      </c>
      <c r="C44" s="522" t="s">
        <v>255</v>
      </c>
      <c r="D44" s="524">
        <v>436.85</v>
      </c>
    </row>
    <row r="45" spans="1:4">
      <c r="A45" s="522">
        <v>285</v>
      </c>
      <c r="B45" s="523" t="s">
        <v>19867</v>
      </c>
      <c r="C45" s="522" t="s">
        <v>71</v>
      </c>
      <c r="D45" s="524">
        <v>57.48</v>
      </c>
    </row>
    <row r="46" spans="1:4">
      <c r="A46" s="522">
        <v>286</v>
      </c>
      <c r="B46" s="523" t="s">
        <v>19868</v>
      </c>
      <c r="C46" s="522" t="s">
        <v>71</v>
      </c>
      <c r="D46" s="524">
        <v>74.44</v>
      </c>
    </row>
    <row r="47" spans="1:4">
      <c r="A47" s="520"/>
      <c r="B47" s="521" t="s">
        <v>19869</v>
      </c>
      <c r="C47" s="520"/>
      <c r="D47" s="525"/>
    </row>
    <row r="48" spans="1:4" ht="24.75">
      <c r="A48" s="522">
        <v>272</v>
      </c>
      <c r="B48" s="523" t="s">
        <v>19870</v>
      </c>
      <c r="C48" s="522" t="s">
        <v>255</v>
      </c>
      <c r="D48" s="524">
        <v>429.97</v>
      </c>
    </row>
    <row r="49" spans="1:4">
      <c r="A49" s="522">
        <v>294</v>
      </c>
      <c r="B49" s="523" t="s">
        <v>19871</v>
      </c>
      <c r="C49" s="522" t="s">
        <v>90</v>
      </c>
      <c r="D49" s="524">
        <v>6.56</v>
      </c>
    </row>
    <row r="50" spans="1:4">
      <c r="A50" s="522">
        <v>302</v>
      </c>
      <c r="B50" s="523" t="s">
        <v>19872</v>
      </c>
      <c r="C50" s="522" t="s">
        <v>255</v>
      </c>
      <c r="D50" s="524">
        <v>353.31</v>
      </c>
    </row>
    <row r="51" spans="1:4">
      <c r="A51" s="522">
        <v>303</v>
      </c>
      <c r="B51" s="523" t="s">
        <v>19873</v>
      </c>
      <c r="C51" s="522" t="s">
        <v>255</v>
      </c>
      <c r="D51" s="524">
        <v>370.47</v>
      </c>
    </row>
    <row r="52" spans="1:4">
      <c r="A52" s="522">
        <v>304</v>
      </c>
      <c r="B52" s="523" t="s">
        <v>19874</v>
      </c>
      <c r="C52" s="522" t="s">
        <v>255</v>
      </c>
      <c r="D52" s="524">
        <v>379.89</v>
      </c>
    </row>
    <row r="53" spans="1:4">
      <c r="A53" s="522">
        <v>305</v>
      </c>
      <c r="B53" s="523" t="s">
        <v>19875</v>
      </c>
      <c r="C53" s="522" t="s">
        <v>255</v>
      </c>
      <c r="D53" s="524">
        <v>386.09</v>
      </c>
    </row>
    <row r="54" spans="1:4">
      <c r="A54" s="522">
        <v>306</v>
      </c>
      <c r="B54" s="523" t="s">
        <v>19876</v>
      </c>
      <c r="C54" s="522" t="s">
        <v>255</v>
      </c>
      <c r="D54" s="524">
        <v>398.85</v>
      </c>
    </row>
    <row r="55" spans="1:4">
      <c r="A55" s="522">
        <v>308</v>
      </c>
      <c r="B55" s="523" t="s">
        <v>19877</v>
      </c>
      <c r="C55" s="522" t="s">
        <v>255</v>
      </c>
      <c r="D55" s="524">
        <v>421.87</v>
      </c>
    </row>
    <row r="56" spans="1:4" ht="24.75">
      <c r="A56" s="522">
        <v>309</v>
      </c>
      <c r="B56" s="523" t="s">
        <v>19878</v>
      </c>
      <c r="C56" s="522" t="s">
        <v>255</v>
      </c>
      <c r="D56" s="524">
        <v>337.34</v>
      </c>
    </row>
    <row r="57" spans="1:4" ht="16.5">
      <c r="A57" s="526">
        <v>310</v>
      </c>
      <c r="B57" s="527" t="s">
        <v>19879</v>
      </c>
      <c r="C57" s="526" t="s">
        <v>255</v>
      </c>
      <c r="D57" s="528">
        <v>393.5</v>
      </c>
    </row>
    <row r="58" spans="1:4" ht="16.5">
      <c r="A58" s="526">
        <v>311</v>
      </c>
      <c r="B58" s="527" t="s">
        <v>19880</v>
      </c>
      <c r="C58" s="526" t="s">
        <v>255</v>
      </c>
      <c r="D58" s="528">
        <v>349.57</v>
      </c>
    </row>
    <row r="59" spans="1:4" ht="16.5">
      <c r="A59" s="526">
        <v>312</v>
      </c>
      <c r="B59" s="527" t="s">
        <v>19881</v>
      </c>
      <c r="C59" s="526" t="s">
        <v>255</v>
      </c>
      <c r="D59" s="528">
        <v>412.75</v>
      </c>
    </row>
    <row r="60" spans="1:4" ht="16.5">
      <c r="A60" s="526">
        <v>313</v>
      </c>
      <c r="B60" s="527" t="s">
        <v>19882</v>
      </c>
      <c r="C60" s="526" t="s">
        <v>255</v>
      </c>
      <c r="D60" s="528">
        <v>359.77</v>
      </c>
    </row>
    <row r="61" spans="1:4" ht="16.5">
      <c r="A61" s="526">
        <v>314</v>
      </c>
      <c r="B61" s="527" t="s">
        <v>19883</v>
      </c>
      <c r="C61" s="526" t="s">
        <v>255</v>
      </c>
      <c r="D61" s="528">
        <v>370.99</v>
      </c>
    </row>
    <row r="62" spans="1:4" ht="16.5">
      <c r="A62" s="526">
        <v>315</v>
      </c>
      <c r="B62" s="527" t="s">
        <v>19884</v>
      </c>
      <c r="C62" s="526" t="s">
        <v>255</v>
      </c>
      <c r="D62" s="528">
        <v>383.23</v>
      </c>
    </row>
    <row r="63" spans="1:4" ht="16.5">
      <c r="A63" s="526">
        <v>316</v>
      </c>
      <c r="B63" s="527" t="s">
        <v>19885</v>
      </c>
      <c r="C63" s="526" t="s">
        <v>255</v>
      </c>
      <c r="D63" s="528">
        <v>476.83</v>
      </c>
    </row>
    <row r="64" spans="1:4">
      <c r="A64" s="526">
        <v>321</v>
      </c>
      <c r="B64" s="527" t="s">
        <v>19886</v>
      </c>
      <c r="C64" s="526" t="s">
        <v>255</v>
      </c>
      <c r="D64" s="528">
        <v>43.5</v>
      </c>
    </row>
    <row r="65" spans="1:4" ht="24.75">
      <c r="A65" s="526">
        <v>323</v>
      </c>
      <c r="B65" s="527" t="s">
        <v>19887</v>
      </c>
      <c r="C65" s="526" t="s">
        <v>256</v>
      </c>
      <c r="D65" s="528">
        <v>104.97</v>
      </c>
    </row>
    <row r="66" spans="1:4">
      <c r="A66" s="526">
        <v>332</v>
      </c>
      <c r="B66" s="527" t="s">
        <v>19888</v>
      </c>
      <c r="C66" s="526" t="s">
        <v>256</v>
      </c>
      <c r="D66" s="528">
        <v>34.65</v>
      </c>
    </row>
    <row r="67" spans="1:4">
      <c r="A67" s="526">
        <v>333</v>
      </c>
      <c r="B67" s="527" t="s">
        <v>19889</v>
      </c>
      <c r="C67" s="526" t="s">
        <v>256</v>
      </c>
      <c r="D67" s="528">
        <v>17.329999999999998</v>
      </c>
    </row>
    <row r="68" spans="1:4">
      <c r="A68" s="526">
        <v>334</v>
      </c>
      <c r="B68" s="527" t="s">
        <v>19890</v>
      </c>
      <c r="C68" s="526" t="s">
        <v>256</v>
      </c>
      <c r="D68" s="528">
        <v>27.72</v>
      </c>
    </row>
    <row r="69" spans="1:4" ht="16.5">
      <c r="A69" s="526">
        <v>350</v>
      </c>
      <c r="B69" s="527" t="s">
        <v>19891</v>
      </c>
      <c r="C69" s="526" t="s">
        <v>255</v>
      </c>
      <c r="D69" s="528">
        <v>452.89</v>
      </c>
    </row>
    <row r="70" spans="1:4" ht="24.75">
      <c r="A70" s="529">
        <v>19333</v>
      </c>
      <c r="B70" s="527" t="s">
        <v>19892</v>
      </c>
      <c r="C70" s="530" t="s">
        <v>256</v>
      </c>
      <c r="D70" s="531">
        <v>69.19</v>
      </c>
    </row>
    <row r="71" spans="1:4">
      <c r="A71" s="532"/>
      <c r="B71" s="527" t="s">
        <v>19893</v>
      </c>
      <c r="C71" s="532"/>
      <c r="D71" s="533"/>
    </row>
    <row r="72" spans="1:4" ht="24.75">
      <c r="A72" s="526">
        <v>19334</v>
      </c>
      <c r="B72" s="527" t="s">
        <v>19894</v>
      </c>
      <c r="C72" s="526" t="s">
        <v>256</v>
      </c>
      <c r="D72" s="528">
        <v>75.760000000000005</v>
      </c>
    </row>
    <row r="73" spans="1:4">
      <c r="A73" s="532"/>
      <c r="B73" s="534" t="s">
        <v>19895</v>
      </c>
      <c r="C73" s="532"/>
      <c r="D73" s="533"/>
    </row>
    <row r="74" spans="1:4">
      <c r="A74" s="526">
        <v>262</v>
      </c>
      <c r="B74" s="527" t="s">
        <v>19896</v>
      </c>
      <c r="C74" s="526" t="s">
        <v>255</v>
      </c>
      <c r="D74" s="528">
        <v>328.94</v>
      </c>
    </row>
    <row r="75" spans="1:4">
      <c r="A75" s="526">
        <v>264</v>
      </c>
      <c r="B75" s="527" t="s">
        <v>19897</v>
      </c>
      <c r="C75" s="526" t="s">
        <v>255</v>
      </c>
      <c r="D75" s="528">
        <v>415.04</v>
      </c>
    </row>
    <row r="76" spans="1:4" ht="24.75">
      <c r="A76" s="526">
        <v>265</v>
      </c>
      <c r="B76" s="527" t="s">
        <v>19898</v>
      </c>
      <c r="C76" s="526" t="s">
        <v>255</v>
      </c>
      <c r="D76" s="528">
        <v>326.08</v>
      </c>
    </row>
    <row r="77" spans="1:4">
      <c r="A77" s="526">
        <v>266</v>
      </c>
      <c r="B77" s="527" t="s">
        <v>1226</v>
      </c>
      <c r="C77" s="526" t="s">
        <v>255</v>
      </c>
      <c r="D77" s="528">
        <v>294.61</v>
      </c>
    </row>
    <row r="78" spans="1:4">
      <c r="A78" s="526">
        <v>267</v>
      </c>
      <c r="B78" s="527" t="s">
        <v>1227</v>
      </c>
      <c r="C78" s="526" t="s">
        <v>255</v>
      </c>
      <c r="D78" s="528">
        <v>355.81</v>
      </c>
    </row>
    <row r="79" spans="1:4">
      <c r="A79" s="532"/>
      <c r="B79" s="534" t="s">
        <v>19899</v>
      </c>
      <c r="C79" s="532"/>
      <c r="D79" s="533"/>
    </row>
    <row r="80" spans="1:4">
      <c r="A80" s="526">
        <v>382</v>
      </c>
      <c r="B80" s="527" t="s">
        <v>19900</v>
      </c>
      <c r="C80" s="526" t="s">
        <v>256</v>
      </c>
      <c r="D80" s="528">
        <v>69.87</v>
      </c>
    </row>
    <row r="81" spans="1:4">
      <c r="A81" s="526">
        <v>383</v>
      </c>
      <c r="B81" s="527" t="s">
        <v>19901</v>
      </c>
      <c r="C81" s="526" t="s">
        <v>256</v>
      </c>
      <c r="D81" s="528">
        <v>62.37</v>
      </c>
    </row>
    <row r="82" spans="1:4">
      <c r="A82" s="526">
        <v>384</v>
      </c>
      <c r="B82" s="527" t="s">
        <v>19902</v>
      </c>
      <c r="C82" s="526" t="s">
        <v>256</v>
      </c>
      <c r="D82" s="528">
        <v>51.34</v>
      </c>
    </row>
    <row r="83" spans="1:4">
      <c r="A83" s="526">
        <v>385</v>
      </c>
      <c r="B83" s="527" t="s">
        <v>19903</v>
      </c>
      <c r="C83" s="526" t="s">
        <v>256</v>
      </c>
      <c r="D83" s="528">
        <v>44.09</v>
      </c>
    </row>
    <row r="84" spans="1:4">
      <c r="A84" s="526">
        <v>388</v>
      </c>
      <c r="B84" s="527" t="s">
        <v>19904</v>
      </c>
      <c r="C84" s="526" t="s">
        <v>256</v>
      </c>
      <c r="D84" s="528">
        <v>121.49</v>
      </c>
    </row>
    <row r="85" spans="1:4">
      <c r="A85" s="526">
        <v>389</v>
      </c>
      <c r="B85" s="527" t="s">
        <v>19905</v>
      </c>
      <c r="C85" s="526" t="s">
        <v>256</v>
      </c>
      <c r="D85" s="528">
        <v>130.66</v>
      </c>
    </row>
    <row r="86" spans="1:4">
      <c r="A86" s="526">
        <v>390</v>
      </c>
      <c r="B86" s="527" t="s">
        <v>19906</v>
      </c>
      <c r="C86" s="526" t="s">
        <v>256</v>
      </c>
      <c r="D86" s="528">
        <v>64.56</v>
      </c>
    </row>
    <row r="87" spans="1:4">
      <c r="A87" s="526">
        <v>391</v>
      </c>
      <c r="B87" s="527" t="s">
        <v>19907</v>
      </c>
      <c r="C87" s="526" t="s">
        <v>256</v>
      </c>
      <c r="D87" s="528">
        <v>55.75</v>
      </c>
    </row>
    <row r="88" spans="1:4">
      <c r="A88" s="526">
        <v>16295</v>
      </c>
      <c r="B88" s="527" t="s">
        <v>19908</v>
      </c>
      <c r="C88" s="526" t="s">
        <v>256</v>
      </c>
      <c r="D88" s="528">
        <v>118.97</v>
      </c>
    </row>
    <row r="89" spans="1:4">
      <c r="A89" s="532"/>
      <c r="B89" s="534" t="s">
        <v>19909</v>
      </c>
      <c r="C89" s="532"/>
      <c r="D89" s="533"/>
    </row>
    <row r="90" spans="1:4">
      <c r="A90" s="526">
        <v>502</v>
      </c>
      <c r="B90" s="527" t="s">
        <v>19910</v>
      </c>
      <c r="C90" s="526" t="s">
        <v>256</v>
      </c>
      <c r="D90" s="528">
        <v>21.5</v>
      </c>
    </row>
    <row r="91" spans="1:4">
      <c r="A91" s="526">
        <v>503</v>
      </c>
      <c r="B91" s="527" t="s">
        <v>19911</v>
      </c>
      <c r="C91" s="526" t="s">
        <v>256</v>
      </c>
      <c r="D91" s="528">
        <v>23.86</v>
      </c>
    </row>
    <row r="92" spans="1:4">
      <c r="A92" s="526">
        <v>504</v>
      </c>
      <c r="B92" s="527" t="s">
        <v>19912</v>
      </c>
      <c r="C92" s="526" t="s">
        <v>256</v>
      </c>
      <c r="D92" s="528">
        <v>29.33</v>
      </c>
    </row>
    <row r="93" spans="1:4">
      <c r="A93" s="526">
        <v>505</v>
      </c>
      <c r="B93" s="527" t="s">
        <v>19913</v>
      </c>
      <c r="C93" s="526" t="s">
        <v>256</v>
      </c>
      <c r="D93" s="528">
        <v>30.74</v>
      </c>
    </row>
    <row r="94" spans="1:4">
      <c r="A94" s="526">
        <v>506</v>
      </c>
      <c r="B94" s="527" t="s">
        <v>19914</v>
      </c>
      <c r="C94" s="526" t="s">
        <v>256</v>
      </c>
      <c r="D94" s="528">
        <v>27.98</v>
      </c>
    </row>
    <row r="95" spans="1:4">
      <c r="A95" s="526">
        <v>510</v>
      </c>
      <c r="B95" s="527" t="s">
        <v>19915</v>
      </c>
      <c r="C95" s="526" t="s">
        <v>256</v>
      </c>
      <c r="D95" s="528">
        <v>20.04</v>
      </c>
    </row>
    <row r="96" spans="1:4">
      <c r="A96" s="526">
        <v>513</v>
      </c>
      <c r="B96" s="527" t="s">
        <v>19916</v>
      </c>
      <c r="C96" s="526" t="s">
        <v>256</v>
      </c>
      <c r="D96" s="528">
        <v>4.93</v>
      </c>
    </row>
    <row r="97" spans="1:4">
      <c r="A97" s="526">
        <v>515</v>
      </c>
      <c r="B97" s="527" t="s">
        <v>1228</v>
      </c>
      <c r="C97" s="526" t="s">
        <v>256</v>
      </c>
      <c r="D97" s="528">
        <v>37.78</v>
      </c>
    </row>
    <row r="98" spans="1:4">
      <c r="A98" s="526">
        <v>520</v>
      </c>
      <c r="B98" s="527" t="s">
        <v>1229</v>
      </c>
      <c r="C98" s="526" t="s">
        <v>256</v>
      </c>
      <c r="D98" s="528">
        <v>28.71</v>
      </c>
    </row>
    <row r="99" spans="1:4">
      <c r="A99" s="526">
        <v>521</v>
      </c>
      <c r="B99" s="527" t="s">
        <v>1230</v>
      </c>
      <c r="C99" s="526" t="s">
        <v>256</v>
      </c>
      <c r="D99" s="528">
        <v>26.85</v>
      </c>
    </row>
    <row r="100" spans="1:4">
      <c r="A100" s="526">
        <v>524</v>
      </c>
      <c r="B100" s="527" t="s">
        <v>19917</v>
      </c>
      <c r="C100" s="526" t="s">
        <v>256</v>
      </c>
      <c r="D100" s="528">
        <v>75.09</v>
      </c>
    </row>
    <row r="101" spans="1:4">
      <c r="A101" s="526">
        <v>525</v>
      </c>
      <c r="B101" s="527" t="s">
        <v>19918</v>
      </c>
      <c r="C101" s="526" t="s">
        <v>256</v>
      </c>
      <c r="D101" s="528">
        <v>83.59</v>
      </c>
    </row>
    <row r="102" spans="1:4">
      <c r="A102" s="526">
        <v>598</v>
      </c>
      <c r="B102" s="527" t="s">
        <v>19919</v>
      </c>
      <c r="C102" s="526" t="s">
        <v>256</v>
      </c>
      <c r="D102" s="528">
        <v>20.04</v>
      </c>
    </row>
    <row r="103" spans="1:4">
      <c r="A103" s="532"/>
      <c r="B103" s="534" t="s">
        <v>19920</v>
      </c>
      <c r="C103" s="532"/>
      <c r="D103" s="533"/>
    </row>
    <row r="104" spans="1:4" ht="16.5" customHeight="1">
      <c r="A104" s="526">
        <v>398</v>
      </c>
      <c r="B104" s="527" t="s">
        <v>19921</v>
      </c>
      <c r="C104" s="526" t="s">
        <v>256</v>
      </c>
      <c r="D104" s="528">
        <v>65.459999999999994</v>
      </c>
    </row>
    <row r="105" spans="1:4">
      <c r="A105" s="526">
        <v>404</v>
      </c>
      <c r="B105" s="527" t="s">
        <v>19922</v>
      </c>
      <c r="C105" s="526" t="s">
        <v>256</v>
      </c>
      <c r="D105" s="528">
        <v>156.1</v>
      </c>
    </row>
    <row r="106" spans="1:4">
      <c r="A106" s="526">
        <v>407</v>
      </c>
      <c r="B106" s="527" t="s">
        <v>19923</v>
      </c>
      <c r="C106" s="526" t="s">
        <v>256</v>
      </c>
      <c r="D106" s="528">
        <v>82.88</v>
      </c>
    </row>
    <row r="107" spans="1:4">
      <c r="A107" s="526">
        <v>408</v>
      </c>
      <c r="B107" s="527" t="s">
        <v>19924</v>
      </c>
      <c r="C107" s="526" t="s">
        <v>256</v>
      </c>
      <c r="D107" s="528">
        <v>59.95</v>
      </c>
    </row>
    <row r="108" spans="1:4">
      <c r="A108" s="526">
        <v>409</v>
      </c>
      <c r="B108" s="527" t="s">
        <v>19925</v>
      </c>
      <c r="C108" s="526" t="s">
        <v>256</v>
      </c>
      <c r="D108" s="528">
        <v>27.62</v>
      </c>
    </row>
    <row r="109" spans="1:4">
      <c r="A109" s="526">
        <v>410</v>
      </c>
      <c r="B109" s="527" t="s">
        <v>19926</v>
      </c>
      <c r="C109" s="526" t="s">
        <v>256</v>
      </c>
      <c r="D109" s="528">
        <v>153.97999999999999</v>
      </c>
    </row>
    <row r="110" spans="1:4">
      <c r="A110" s="532"/>
      <c r="B110" s="534" t="s">
        <v>19927</v>
      </c>
      <c r="C110" s="532"/>
      <c r="D110" s="533"/>
    </row>
    <row r="111" spans="1:4">
      <c r="A111" s="526">
        <v>423</v>
      </c>
      <c r="B111" s="527" t="s">
        <v>19928</v>
      </c>
      <c r="C111" s="526" t="s">
        <v>65</v>
      </c>
      <c r="D111" s="528">
        <v>387.26</v>
      </c>
    </row>
    <row r="112" spans="1:4">
      <c r="A112" s="526">
        <v>424</v>
      </c>
      <c r="B112" s="527" t="s">
        <v>19929</v>
      </c>
      <c r="C112" s="526" t="s">
        <v>65</v>
      </c>
      <c r="D112" s="528">
        <v>387.26</v>
      </c>
    </row>
    <row r="113" spans="1:4">
      <c r="A113" s="526">
        <v>425</v>
      </c>
      <c r="B113" s="527" t="s">
        <v>19930</v>
      </c>
      <c r="C113" s="526" t="s">
        <v>65</v>
      </c>
      <c r="D113" s="528">
        <v>387.26</v>
      </c>
    </row>
    <row r="114" spans="1:4">
      <c r="A114" s="526">
        <v>433</v>
      </c>
      <c r="B114" s="527" t="s">
        <v>19931</v>
      </c>
      <c r="C114" s="526" t="s">
        <v>65</v>
      </c>
      <c r="D114" s="528">
        <v>423.07</v>
      </c>
    </row>
    <row r="115" spans="1:4">
      <c r="A115" s="526">
        <v>434</v>
      </c>
      <c r="B115" s="527" t="s">
        <v>19932</v>
      </c>
      <c r="C115" s="526" t="s">
        <v>65</v>
      </c>
      <c r="D115" s="528">
        <v>435.93</v>
      </c>
    </row>
    <row r="116" spans="1:4">
      <c r="A116" s="526">
        <v>435</v>
      </c>
      <c r="B116" s="527" t="s">
        <v>19933</v>
      </c>
      <c r="C116" s="526" t="s">
        <v>65</v>
      </c>
      <c r="D116" s="528">
        <v>423.07</v>
      </c>
    </row>
    <row r="117" spans="1:4">
      <c r="A117" s="532"/>
      <c r="B117" s="534" t="s">
        <v>19934</v>
      </c>
      <c r="C117" s="532"/>
      <c r="D117" s="533"/>
    </row>
    <row r="118" spans="1:4">
      <c r="A118" s="526">
        <v>318</v>
      </c>
      <c r="B118" s="527" t="s">
        <v>19935</v>
      </c>
      <c r="C118" s="526" t="s">
        <v>255</v>
      </c>
      <c r="D118" s="528">
        <v>336.54</v>
      </c>
    </row>
    <row r="119" spans="1:4">
      <c r="A119" s="526">
        <v>568</v>
      </c>
      <c r="B119" s="527" t="s">
        <v>19936</v>
      </c>
      <c r="C119" s="526" t="s">
        <v>256</v>
      </c>
      <c r="D119" s="528">
        <v>40.15</v>
      </c>
    </row>
    <row r="120" spans="1:4">
      <c r="A120" s="526">
        <v>570</v>
      </c>
      <c r="B120" s="527" t="s">
        <v>19937</v>
      </c>
      <c r="C120" s="526" t="s">
        <v>256</v>
      </c>
      <c r="D120" s="528">
        <v>26.55</v>
      </c>
    </row>
    <row r="121" spans="1:4">
      <c r="A121" s="526">
        <v>573</v>
      </c>
      <c r="B121" s="527" t="s">
        <v>19938</v>
      </c>
      <c r="C121" s="526" t="s">
        <v>256</v>
      </c>
      <c r="D121" s="528">
        <v>94.26</v>
      </c>
    </row>
    <row r="122" spans="1:4">
      <c r="A122" s="526">
        <v>574</v>
      </c>
      <c r="B122" s="527" t="s">
        <v>19939</v>
      </c>
      <c r="C122" s="526" t="s">
        <v>256</v>
      </c>
      <c r="D122" s="528">
        <v>90.61</v>
      </c>
    </row>
    <row r="123" spans="1:4">
      <c r="A123" s="526">
        <v>575</v>
      </c>
      <c r="B123" s="527" t="s">
        <v>1233</v>
      </c>
      <c r="C123" s="526" t="s">
        <v>256</v>
      </c>
      <c r="D123" s="528">
        <v>66.97</v>
      </c>
    </row>
    <row r="124" spans="1:4">
      <c r="A124" s="526">
        <v>577</v>
      </c>
      <c r="B124" s="527" t="s">
        <v>19940</v>
      </c>
      <c r="C124" s="526" t="s">
        <v>256</v>
      </c>
      <c r="D124" s="528">
        <v>51.63</v>
      </c>
    </row>
    <row r="125" spans="1:4">
      <c r="A125" s="526">
        <v>578</v>
      </c>
      <c r="B125" s="527" t="s">
        <v>19941</v>
      </c>
      <c r="C125" s="526" t="s">
        <v>256</v>
      </c>
      <c r="D125" s="528">
        <v>51.61</v>
      </c>
    </row>
    <row r="126" spans="1:4">
      <c r="A126" s="526">
        <v>582</v>
      </c>
      <c r="B126" s="527" t="s">
        <v>19942</v>
      </c>
      <c r="C126" s="526" t="s">
        <v>256</v>
      </c>
      <c r="D126" s="528">
        <v>52.22</v>
      </c>
    </row>
    <row r="127" spans="1:4">
      <c r="A127" s="526">
        <v>585</v>
      </c>
      <c r="B127" s="527" t="s">
        <v>19943</v>
      </c>
      <c r="C127" s="526" t="s">
        <v>256</v>
      </c>
      <c r="D127" s="528">
        <v>42.18</v>
      </c>
    </row>
    <row r="128" spans="1:4">
      <c r="A128" s="526">
        <v>595</v>
      </c>
      <c r="B128" s="527" t="s">
        <v>1234</v>
      </c>
      <c r="C128" s="526" t="s">
        <v>256</v>
      </c>
      <c r="D128" s="528">
        <v>69.489999999999995</v>
      </c>
    </row>
    <row r="129" spans="1:4">
      <c r="A129" s="526">
        <v>596</v>
      </c>
      <c r="B129" s="527" t="s">
        <v>1235</v>
      </c>
      <c r="C129" s="526" t="s">
        <v>256</v>
      </c>
      <c r="D129" s="528">
        <v>37.47</v>
      </c>
    </row>
    <row r="130" spans="1:4">
      <c r="A130" s="526">
        <v>604</v>
      </c>
      <c r="B130" s="527" t="s">
        <v>19944</v>
      </c>
      <c r="C130" s="526" t="s">
        <v>71</v>
      </c>
      <c r="D130" s="528">
        <v>16.190000000000001</v>
      </c>
    </row>
    <row r="131" spans="1:4">
      <c r="A131" s="526">
        <v>606</v>
      </c>
      <c r="B131" s="527" t="s">
        <v>19945</v>
      </c>
      <c r="C131" s="526" t="s">
        <v>71</v>
      </c>
      <c r="D131" s="528">
        <v>18.27</v>
      </c>
    </row>
    <row r="132" spans="1:4">
      <c r="A132" s="532"/>
      <c r="B132" s="534" t="s">
        <v>19946</v>
      </c>
      <c r="C132" s="532"/>
      <c r="D132" s="533"/>
    </row>
    <row r="133" spans="1:4">
      <c r="A133" s="526">
        <v>371</v>
      </c>
      <c r="B133" s="527" t="s">
        <v>1236</v>
      </c>
      <c r="C133" s="526" t="s">
        <v>256</v>
      </c>
      <c r="D133" s="528">
        <v>8.73</v>
      </c>
    </row>
    <row r="134" spans="1:4">
      <c r="A134" s="526">
        <v>530</v>
      </c>
      <c r="B134" s="527" t="s">
        <v>1237</v>
      </c>
      <c r="C134" s="526" t="s">
        <v>256</v>
      </c>
      <c r="D134" s="528">
        <v>28.64</v>
      </c>
    </row>
    <row r="135" spans="1:4">
      <c r="A135" s="526">
        <v>531</v>
      </c>
      <c r="B135" s="527" t="s">
        <v>1238</v>
      </c>
      <c r="C135" s="526" t="s">
        <v>256</v>
      </c>
      <c r="D135" s="528">
        <v>6.28</v>
      </c>
    </row>
    <row r="136" spans="1:4">
      <c r="A136" s="526">
        <v>532</v>
      </c>
      <c r="B136" s="527" t="s">
        <v>1239</v>
      </c>
      <c r="C136" s="526" t="s">
        <v>256</v>
      </c>
      <c r="D136" s="528">
        <v>4.63</v>
      </c>
    </row>
    <row r="137" spans="1:4">
      <c r="A137" s="526">
        <v>536</v>
      </c>
      <c r="B137" s="527" t="s">
        <v>1240</v>
      </c>
      <c r="C137" s="526" t="s">
        <v>256</v>
      </c>
      <c r="D137" s="528">
        <v>9.93</v>
      </c>
    </row>
    <row r="138" spans="1:4">
      <c r="A138" s="526">
        <v>538</v>
      </c>
      <c r="B138" s="527" t="s">
        <v>1241</v>
      </c>
      <c r="C138" s="526" t="s">
        <v>256</v>
      </c>
      <c r="D138" s="528">
        <v>8.9700000000000006</v>
      </c>
    </row>
    <row r="139" spans="1:4">
      <c r="A139" s="526">
        <v>544</v>
      </c>
      <c r="B139" s="527" t="s">
        <v>1242</v>
      </c>
      <c r="C139" s="526" t="s">
        <v>256</v>
      </c>
      <c r="D139" s="528">
        <v>115.59</v>
      </c>
    </row>
    <row r="140" spans="1:4">
      <c r="A140" s="526">
        <v>545</v>
      </c>
      <c r="B140" s="527" t="s">
        <v>1243</v>
      </c>
      <c r="C140" s="526" t="s">
        <v>256</v>
      </c>
      <c r="D140" s="528">
        <v>46.91</v>
      </c>
    </row>
    <row r="141" spans="1:4">
      <c r="A141" s="526">
        <v>554</v>
      </c>
      <c r="B141" s="527" t="s">
        <v>19947</v>
      </c>
      <c r="C141" s="526" t="s">
        <v>256</v>
      </c>
      <c r="D141" s="528">
        <v>12.18</v>
      </c>
    </row>
    <row r="142" spans="1:4">
      <c r="A142" s="526">
        <v>557</v>
      </c>
      <c r="B142" s="527" t="s">
        <v>19948</v>
      </c>
      <c r="C142" s="526" t="s">
        <v>256</v>
      </c>
      <c r="D142" s="528">
        <v>17.420000000000002</v>
      </c>
    </row>
    <row r="143" spans="1:4">
      <c r="A143" s="526">
        <v>563</v>
      </c>
      <c r="B143" s="527" t="s">
        <v>19949</v>
      </c>
      <c r="C143" s="526" t="s">
        <v>256</v>
      </c>
      <c r="D143" s="528">
        <v>15.62</v>
      </c>
    </row>
    <row r="144" spans="1:4">
      <c r="A144" s="532"/>
      <c r="B144" s="534" t="s">
        <v>19950</v>
      </c>
      <c r="C144" s="532"/>
      <c r="D144" s="533"/>
    </row>
    <row r="145" spans="1:4">
      <c r="A145" s="526">
        <v>40</v>
      </c>
      <c r="B145" s="527" t="s">
        <v>1232</v>
      </c>
      <c r="C145" s="526" t="s">
        <v>256</v>
      </c>
      <c r="D145" s="528">
        <v>286.47000000000003</v>
      </c>
    </row>
    <row r="146" spans="1:4">
      <c r="A146" s="526">
        <v>230</v>
      </c>
      <c r="B146" s="527" t="s">
        <v>19951</v>
      </c>
      <c r="C146" s="526" t="s">
        <v>255</v>
      </c>
      <c r="D146" s="528">
        <v>93</v>
      </c>
    </row>
    <row r="147" spans="1:4">
      <c r="A147" s="526">
        <v>231</v>
      </c>
      <c r="B147" s="527" t="s">
        <v>518</v>
      </c>
      <c r="C147" s="526" t="s">
        <v>255</v>
      </c>
      <c r="D147" s="528">
        <v>71.709999999999994</v>
      </c>
    </row>
    <row r="148" spans="1:4">
      <c r="A148" s="526">
        <v>269</v>
      </c>
      <c r="B148" s="527" t="s">
        <v>1244</v>
      </c>
      <c r="C148" s="526" t="s">
        <v>255</v>
      </c>
      <c r="D148" s="528">
        <v>78.89</v>
      </c>
    </row>
    <row r="149" spans="1:4">
      <c r="A149" s="526">
        <v>537</v>
      </c>
      <c r="B149" s="527" t="s">
        <v>19952</v>
      </c>
      <c r="C149" s="526" t="s">
        <v>65</v>
      </c>
      <c r="D149" s="528">
        <v>131.63999999999999</v>
      </c>
    </row>
    <row r="150" spans="1:4">
      <c r="A150" s="526">
        <v>825</v>
      </c>
      <c r="B150" s="527" t="s">
        <v>19953</v>
      </c>
      <c r="C150" s="526" t="s">
        <v>71</v>
      </c>
      <c r="D150" s="528">
        <v>61.34</v>
      </c>
    </row>
    <row r="151" spans="1:4" ht="24.75">
      <c r="A151" s="535">
        <v>862</v>
      </c>
      <c r="B151" s="527" t="s">
        <v>19954</v>
      </c>
      <c r="C151" s="530" t="s">
        <v>19955</v>
      </c>
      <c r="D151" s="531">
        <v>195.61</v>
      </c>
    </row>
    <row r="152" spans="1:4">
      <c r="A152" s="530">
        <v>1415</v>
      </c>
      <c r="B152" s="536" t="s">
        <v>19956</v>
      </c>
      <c r="C152" s="530" t="s">
        <v>256</v>
      </c>
      <c r="D152" s="531">
        <v>12.65</v>
      </c>
    </row>
    <row r="153" spans="1:4">
      <c r="A153" s="526">
        <v>1416</v>
      </c>
      <c r="B153" s="536" t="s">
        <v>19957</v>
      </c>
      <c r="C153" s="526" t="s">
        <v>256</v>
      </c>
      <c r="D153" s="528">
        <v>86.31</v>
      </c>
    </row>
    <row r="154" spans="1:4">
      <c r="A154" s="526">
        <v>1417</v>
      </c>
      <c r="B154" s="536" t="s">
        <v>19958</v>
      </c>
      <c r="C154" s="526" t="s">
        <v>71</v>
      </c>
      <c r="D154" s="528">
        <v>34.93</v>
      </c>
    </row>
    <row r="155" spans="1:4">
      <c r="A155" s="526">
        <v>1420</v>
      </c>
      <c r="B155" s="536" t="s">
        <v>19959</v>
      </c>
      <c r="C155" s="526" t="s">
        <v>256</v>
      </c>
      <c r="D155" s="528">
        <v>145.19999999999999</v>
      </c>
    </row>
    <row r="156" spans="1:4">
      <c r="A156" s="526">
        <v>1470</v>
      </c>
      <c r="B156" s="536" t="s">
        <v>1245</v>
      </c>
      <c r="C156" s="526" t="s">
        <v>71</v>
      </c>
      <c r="D156" s="528">
        <v>139.26</v>
      </c>
    </row>
    <row r="157" spans="1:4" s="27" customFormat="1">
      <c r="A157" s="526">
        <v>1471</v>
      </c>
      <c r="B157" s="536" t="s">
        <v>1246</v>
      </c>
      <c r="C157" s="526" t="s">
        <v>71</v>
      </c>
      <c r="D157" s="528">
        <v>78.58</v>
      </c>
    </row>
    <row r="158" spans="1:4">
      <c r="A158" s="526">
        <v>1475</v>
      </c>
      <c r="B158" s="536" t="s">
        <v>1247</v>
      </c>
      <c r="C158" s="526" t="s">
        <v>71</v>
      </c>
      <c r="D158" s="528">
        <v>44.35</v>
      </c>
    </row>
    <row r="159" spans="1:4">
      <c r="A159" s="526">
        <v>1482</v>
      </c>
      <c r="B159" s="536" t="s">
        <v>19960</v>
      </c>
      <c r="C159" s="526" t="s">
        <v>256</v>
      </c>
      <c r="D159" s="528">
        <v>8.92</v>
      </c>
    </row>
    <row r="160" spans="1:4">
      <c r="A160" s="526">
        <v>1483</v>
      </c>
      <c r="B160" s="536" t="s">
        <v>19961</v>
      </c>
      <c r="C160" s="526" t="s">
        <v>256</v>
      </c>
      <c r="D160" s="528">
        <v>5.3</v>
      </c>
    </row>
    <row r="161" spans="1:4">
      <c r="A161" s="526">
        <v>1484</v>
      </c>
      <c r="B161" s="536" t="s">
        <v>19962</v>
      </c>
      <c r="C161" s="526" t="s">
        <v>65</v>
      </c>
      <c r="D161" s="528">
        <v>16.61</v>
      </c>
    </row>
    <row r="162" spans="1:4">
      <c r="A162" s="526">
        <v>1491</v>
      </c>
      <c r="B162" s="536" t="s">
        <v>19963</v>
      </c>
      <c r="C162" s="526" t="s">
        <v>256</v>
      </c>
      <c r="D162" s="528">
        <v>13.36</v>
      </c>
    </row>
    <row r="163" spans="1:4">
      <c r="A163" s="526">
        <v>1492</v>
      </c>
      <c r="B163" s="536" t="s">
        <v>1248</v>
      </c>
      <c r="C163" s="526" t="s">
        <v>256</v>
      </c>
      <c r="D163" s="528">
        <v>7.43</v>
      </c>
    </row>
    <row r="164" spans="1:4">
      <c r="A164" s="526">
        <v>1495</v>
      </c>
      <c r="B164" s="536" t="s">
        <v>19964</v>
      </c>
      <c r="C164" s="526" t="s">
        <v>65</v>
      </c>
      <c r="D164" s="528">
        <v>540</v>
      </c>
    </row>
    <row r="165" spans="1:4">
      <c r="A165" s="526">
        <v>1496</v>
      </c>
      <c r="B165" s="536" t="s">
        <v>19965</v>
      </c>
      <c r="C165" s="526" t="s">
        <v>65</v>
      </c>
      <c r="D165" s="528">
        <v>2160</v>
      </c>
    </row>
    <row r="166" spans="1:4">
      <c r="A166" s="526">
        <v>1497</v>
      </c>
      <c r="B166" s="536" t="s">
        <v>19966</v>
      </c>
      <c r="C166" s="526" t="s">
        <v>65</v>
      </c>
      <c r="D166" s="528">
        <v>450</v>
      </c>
    </row>
    <row r="167" spans="1:4">
      <c r="A167" s="526">
        <v>1498</v>
      </c>
      <c r="B167" s="536" t="s">
        <v>19967</v>
      </c>
      <c r="C167" s="526" t="s">
        <v>65</v>
      </c>
      <c r="D167" s="528">
        <v>1800</v>
      </c>
    </row>
    <row r="168" spans="1:4">
      <c r="A168" s="526">
        <v>1499</v>
      </c>
      <c r="B168" s="536" t="s">
        <v>1249</v>
      </c>
      <c r="C168" s="526" t="s">
        <v>256</v>
      </c>
      <c r="D168" s="528">
        <v>300</v>
      </c>
    </row>
    <row r="169" spans="1:4">
      <c r="A169" s="526">
        <v>1710</v>
      </c>
      <c r="B169" s="536" t="s">
        <v>1250</v>
      </c>
      <c r="C169" s="526" t="s">
        <v>65</v>
      </c>
      <c r="D169" s="528">
        <v>118.95</v>
      </c>
    </row>
    <row r="170" spans="1:4">
      <c r="A170" s="526">
        <v>1711</v>
      </c>
      <c r="B170" s="536" t="s">
        <v>1251</v>
      </c>
      <c r="C170" s="526" t="s">
        <v>65</v>
      </c>
      <c r="D170" s="528">
        <v>184.49</v>
      </c>
    </row>
    <row r="171" spans="1:4">
      <c r="A171" s="526">
        <v>16294</v>
      </c>
      <c r="B171" s="536" t="s">
        <v>1252</v>
      </c>
      <c r="C171" s="526" t="s">
        <v>256</v>
      </c>
      <c r="D171" s="528">
        <v>71.739999999999995</v>
      </c>
    </row>
    <row r="172" spans="1:4">
      <c r="A172" s="532"/>
      <c r="B172" s="537" t="s">
        <v>19968</v>
      </c>
      <c r="C172" s="532"/>
      <c r="D172" s="533"/>
    </row>
    <row r="173" spans="1:4">
      <c r="A173" s="526">
        <v>652</v>
      </c>
      <c r="B173" s="536" t="s">
        <v>19969</v>
      </c>
      <c r="C173" s="526" t="s">
        <v>256</v>
      </c>
      <c r="D173" s="528">
        <v>187.19</v>
      </c>
    </row>
    <row r="174" spans="1:4">
      <c r="A174" s="526">
        <v>688</v>
      </c>
      <c r="B174" s="536" t="s">
        <v>19970</v>
      </c>
      <c r="C174" s="526" t="s">
        <v>256</v>
      </c>
      <c r="D174" s="528">
        <v>206.25</v>
      </c>
    </row>
    <row r="175" spans="1:4">
      <c r="A175" s="526">
        <v>700</v>
      </c>
      <c r="B175" s="536" t="s">
        <v>1253</v>
      </c>
      <c r="C175" s="526" t="s">
        <v>256</v>
      </c>
      <c r="D175" s="528">
        <v>4.87</v>
      </c>
    </row>
    <row r="176" spans="1:4" ht="24.75">
      <c r="A176" s="530"/>
      <c r="B176" s="537" t="s">
        <v>19971</v>
      </c>
      <c r="C176" s="530"/>
      <c r="D176" s="531"/>
    </row>
    <row r="177" spans="1:4">
      <c r="A177" s="526">
        <v>1511</v>
      </c>
      <c r="B177" s="536" t="s">
        <v>1254</v>
      </c>
      <c r="C177" s="526" t="s">
        <v>71</v>
      </c>
      <c r="D177" s="528">
        <v>1.26</v>
      </c>
    </row>
    <row r="178" spans="1:4">
      <c r="A178" s="526">
        <v>1512</v>
      </c>
      <c r="B178" s="536" t="s">
        <v>19813</v>
      </c>
      <c r="C178" s="526" t="s">
        <v>71</v>
      </c>
      <c r="D178" s="528">
        <v>1.26</v>
      </c>
    </row>
    <row r="179" spans="1:4">
      <c r="A179" s="610" t="s">
        <v>20551</v>
      </c>
      <c r="B179" s="611" t="s">
        <v>19813</v>
      </c>
      <c r="C179" s="610" t="s">
        <v>71</v>
      </c>
      <c r="D179" s="612">
        <v>1.26</v>
      </c>
    </row>
    <row r="180" spans="1:4">
      <c r="A180" s="526">
        <v>1513</v>
      </c>
      <c r="B180" s="536" t="s">
        <v>19972</v>
      </c>
      <c r="C180" s="526" t="s">
        <v>71</v>
      </c>
      <c r="D180" s="528">
        <v>0.08</v>
      </c>
    </row>
    <row r="181" spans="1:4">
      <c r="A181" s="526">
        <v>1514</v>
      </c>
      <c r="B181" s="536" t="s">
        <v>19973</v>
      </c>
      <c r="C181" s="526" t="s">
        <v>71</v>
      </c>
      <c r="D181" s="528">
        <v>1.45</v>
      </c>
    </row>
    <row r="182" spans="1:4">
      <c r="A182" s="532"/>
      <c r="B182" s="537" t="s">
        <v>19856</v>
      </c>
      <c r="C182" s="532"/>
      <c r="D182" s="533"/>
    </row>
    <row r="183" spans="1:4">
      <c r="A183" s="526">
        <v>168</v>
      </c>
      <c r="B183" s="536" t="s">
        <v>19974</v>
      </c>
      <c r="C183" s="526" t="s">
        <v>255</v>
      </c>
      <c r="D183" s="528">
        <v>39.9</v>
      </c>
    </row>
    <row r="184" spans="1:4">
      <c r="A184" s="526">
        <v>169</v>
      </c>
      <c r="B184" s="536" t="s">
        <v>19975</v>
      </c>
      <c r="C184" s="526" t="s">
        <v>255</v>
      </c>
      <c r="D184" s="528">
        <v>48.72</v>
      </c>
    </row>
    <row r="185" spans="1:4">
      <c r="A185" s="526">
        <v>170</v>
      </c>
      <c r="B185" s="536" t="s">
        <v>19822</v>
      </c>
      <c r="C185" s="526" t="s">
        <v>255</v>
      </c>
      <c r="D185" s="528">
        <v>55.58</v>
      </c>
    </row>
    <row r="186" spans="1:4">
      <c r="A186" s="610" t="s">
        <v>20564</v>
      </c>
      <c r="B186" s="611" t="s">
        <v>19822</v>
      </c>
      <c r="C186" s="610" t="s">
        <v>255</v>
      </c>
      <c r="D186" s="612">
        <v>55.58</v>
      </c>
    </row>
    <row r="187" spans="1:4">
      <c r="A187" s="526">
        <v>171</v>
      </c>
      <c r="B187" s="536" t="s">
        <v>19823</v>
      </c>
      <c r="C187" s="526" t="s">
        <v>255</v>
      </c>
      <c r="D187" s="528">
        <v>84.57</v>
      </c>
    </row>
    <row r="188" spans="1:4">
      <c r="A188" s="610" t="s">
        <v>20565</v>
      </c>
      <c r="B188" s="611" t="s">
        <v>19823</v>
      </c>
      <c r="C188" s="610" t="s">
        <v>255</v>
      </c>
      <c r="D188" s="612">
        <v>84.57</v>
      </c>
    </row>
    <row r="189" spans="1:4" ht="16.5">
      <c r="A189" s="526">
        <v>172</v>
      </c>
      <c r="B189" s="536" t="s">
        <v>19976</v>
      </c>
      <c r="C189" s="526" t="s">
        <v>255</v>
      </c>
      <c r="D189" s="528">
        <v>91.06</v>
      </c>
    </row>
    <row r="190" spans="1:4" ht="16.5">
      <c r="A190" s="610" t="s">
        <v>20566</v>
      </c>
      <c r="B190" s="611" t="s">
        <v>19976</v>
      </c>
      <c r="C190" s="610" t="s">
        <v>255</v>
      </c>
      <c r="D190" s="612">
        <v>91.06</v>
      </c>
    </row>
    <row r="191" spans="1:4" ht="16.5">
      <c r="A191" s="526">
        <v>173</v>
      </c>
      <c r="B191" s="536" t="s">
        <v>19977</v>
      </c>
      <c r="C191" s="526" t="s">
        <v>255</v>
      </c>
      <c r="D191" s="528">
        <v>112.61</v>
      </c>
    </row>
    <row r="192" spans="1:4" ht="16.5">
      <c r="A192" s="610" t="s">
        <v>20567</v>
      </c>
      <c r="B192" s="611" t="s">
        <v>19977</v>
      </c>
      <c r="C192" s="610" t="s">
        <v>255</v>
      </c>
      <c r="D192" s="612">
        <v>112.61</v>
      </c>
    </row>
    <row r="193" spans="1:4" ht="16.5">
      <c r="A193" s="526">
        <v>174</v>
      </c>
      <c r="B193" s="536" t="s">
        <v>19978</v>
      </c>
      <c r="C193" s="526" t="s">
        <v>255</v>
      </c>
      <c r="D193" s="528">
        <v>127.82</v>
      </c>
    </row>
    <row r="194" spans="1:4" ht="16.5">
      <c r="A194" s="526">
        <v>175</v>
      </c>
      <c r="B194" s="536" t="s">
        <v>19979</v>
      </c>
      <c r="C194" s="526" t="s">
        <v>255</v>
      </c>
      <c r="D194" s="528">
        <v>154.22</v>
      </c>
    </row>
    <row r="195" spans="1:4">
      <c r="A195" s="526">
        <v>176</v>
      </c>
      <c r="B195" s="536" t="s">
        <v>19826</v>
      </c>
      <c r="C195" s="526" t="s">
        <v>255</v>
      </c>
      <c r="D195" s="528">
        <v>47.89</v>
      </c>
    </row>
    <row r="196" spans="1:4">
      <c r="A196" s="610" t="s">
        <v>20568</v>
      </c>
      <c r="B196" s="611" t="s">
        <v>19826</v>
      </c>
      <c r="C196" s="610" t="s">
        <v>255</v>
      </c>
      <c r="D196" s="612">
        <v>47.89</v>
      </c>
    </row>
    <row r="197" spans="1:4">
      <c r="A197" s="526">
        <v>177</v>
      </c>
      <c r="B197" s="536" t="s">
        <v>19827</v>
      </c>
      <c r="C197" s="526" t="s">
        <v>255</v>
      </c>
      <c r="D197" s="528">
        <v>58.46</v>
      </c>
    </row>
    <row r="198" spans="1:4">
      <c r="A198" s="610" t="s">
        <v>20569</v>
      </c>
      <c r="B198" s="611" t="s">
        <v>19827</v>
      </c>
      <c r="C198" s="610" t="s">
        <v>255</v>
      </c>
      <c r="D198" s="612">
        <v>58.46</v>
      </c>
    </row>
    <row r="199" spans="1:4">
      <c r="A199" s="526">
        <v>178</v>
      </c>
      <c r="B199" s="536" t="s">
        <v>19980</v>
      </c>
      <c r="C199" s="526" t="s">
        <v>255</v>
      </c>
      <c r="D199" s="528">
        <v>39.9</v>
      </c>
    </row>
    <row r="200" spans="1:4">
      <c r="A200" s="526">
        <v>179</v>
      </c>
      <c r="B200" s="536" t="s">
        <v>19981</v>
      </c>
      <c r="C200" s="526" t="s">
        <v>255</v>
      </c>
      <c r="D200" s="528">
        <v>48.72</v>
      </c>
    </row>
    <row r="201" spans="1:4" ht="16.5">
      <c r="A201" s="526">
        <v>181</v>
      </c>
      <c r="B201" s="536" t="s">
        <v>19982</v>
      </c>
      <c r="C201" s="526" t="s">
        <v>255</v>
      </c>
      <c r="D201" s="528">
        <v>3.87</v>
      </c>
    </row>
    <row r="202" spans="1:4" ht="16.5">
      <c r="A202" s="526">
        <v>182</v>
      </c>
      <c r="B202" s="536" t="s">
        <v>19983</v>
      </c>
      <c r="C202" s="526" t="s">
        <v>255</v>
      </c>
      <c r="D202" s="528">
        <v>4.8600000000000003</v>
      </c>
    </row>
    <row r="203" spans="1:4" ht="16.5">
      <c r="A203" s="526">
        <v>183</v>
      </c>
      <c r="B203" s="536" t="s">
        <v>19984</v>
      </c>
      <c r="C203" s="526" t="s">
        <v>255</v>
      </c>
      <c r="D203" s="528">
        <v>6.05</v>
      </c>
    </row>
    <row r="204" spans="1:4" ht="24.75">
      <c r="A204" s="526">
        <v>184</v>
      </c>
      <c r="B204" s="527" t="s">
        <v>19985</v>
      </c>
      <c r="C204" s="526" t="s">
        <v>255</v>
      </c>
      <c r="D204" s="528">
        <v>4.68</v>
      </c>
    </row>
    <row r="205" spans="1:4" ht="24.75">
      <c r="A205" s="526">
        <v>185</v>
      </c>
      <c r="B205" s="527" t="s">
        <v>19986</v>
      </c>
      <c r="C205" s="526" t="s">
        <v>255</v>
      </c>
      <c r="D205" s="528">
        <v>5.85</v>
      </c>
    </row>
    <row r="206" spans="1:4" ht="24.75">
      <c r="A206" s="526">
        <v>186</v>
      </c>
      <c r="B206" s="527" t="s">
        <v>19987</v>
      </c>
      <c r="C206" s="526" t="s">
        <v>255</v>
      </c>
      <c r="D206" s="528">
        <v>8.0299999999999994</v>
      </c>
    </row>
    <row r="207" spans="1:4" ht="24.75">
      <c r="A207" s="610" t="s">
        <v>20560</v>
      </c>
      <c r="B207" s="616" t="s">
        <v>19987</v>
      </c>
      <c r="C207" s="610" t="s">
        <v>255</v>
      </c>
      <c r="D207" s="612">
        <v>8.0299999999999994</v>
      </c>
    </row>
    <row r="208" spans="1:4" ht="16.5">
      <c r="A208" s="526">
        <v>187</v>
      </c>
      <c r="B208" s="527" t="s">
        <v>19988</v>
      </c>
      <c r="C208" s="526" t="s">
        <v>255</v>
      </c>
      <c r="D208" s="528">
        <v>4.67</v>
      </c>
    </row>
    <row r="209" spans="1:4" ht="16.5">
      <c r="A209" s="526">
        <v>188</v>
      </c>
      <c r="B209" s="527" t="s">
        <v>19989</v>
      </c>
      <c r="C209" s="526" t="s">
        <v>255</v>
      </c>
      <c r="D209" s="528">
        <v>5.81</v>
      </c>
    </row>
    <row r="210" spans="1:4" ht="16.5">
      <c r="A210" s="526">
        <v>189</v>
      </c>
      <c r="B210" s="527" t="s">
        <v>19990</v>
      </c>
      <c r="C210" s="526" t="s">
        <v>255</v>
      </c>
      <c r="D210" s="528">
        <v>7.28</v>
      </c>
    </row>
    <row r="211" spans="1:4" ht="16.5">
      <c r="A211" s="610" t="s">
        <v>20563</v>
      </c>
      <c r="B211" s="616" t="s">
        <v>19990</v>
      </c>
      <c r="C211" s="610" t="s">
        <v>255</v>
      </c>
      <c r="D211" s="612">
        <v>7.28</v>
      </c>
    </row>
    <row r="212" spans="1:4" ht="16.5">
      <c r="A212" s="526">
        <v>190</v>
      </c>
      <c r="B212" s="527" t="s">
        <v>19991</v>
      </c>
      <c r="C212" s="526" t="s">
        <v>255</v>
      </c>
      <c r="D212" s="528">
        <v>6.32</v>
      </c>
    </row>
    <row r="213" spans="1:4" ht="16.5">
      <c r="A213" s="526">
        <v>191</v>
      </c>
      <c r="B213" s="527" t="s">
        <v>19992</v>
      </c>
      <c r="C213" s="526" t="s">
        <v>255</v>
      </c>
      <c r="D213" s="528">
        <v>7.9</v>
      </c>
    </row>
    <row r="214" spans="1:4" ht="16.5">
      <c r="A214" s="526">
        <v>192</v>
      </c>
      <c r="B214" s="527" t="s">
        <v>19993</v>
      </c>
      <c r="C214" s="526" t="s">
        <v>255</v>
      </c>
      <c r="D214" s="528">
        <v>7.65</v>
      </c>
    </row>
    <row r="215" spans="1:4" ht="16.5">
      <c r="A215" s="610" t="s">
        <v>20558</v>
      </c>
      <c r="B215" s="616" t="s">
        <v>19993</v>
      </c>
      <c r="C215" s="610" t="s">
        <v>255</v>
      </c>
      <c r="D215" s="612">
        <v>7.65</v>
      </c>
    </row>
    <row r="216" spans="1:4" ht="16.5">
      <c r="A216" s="526">
        <v>193</v>
      </c>
      <c r="B216" s="527" t="s">
        <v>19994</v>
      </c>
      <c r="C216" s="526" t="s">
        <v>255</v>
      </c>
      <c r="D216" s="528">
        <v>9.56</v>
      </c>
    </row>
    <row r="217" spans="1:4" ht="16.5">
      <c r="A217" s="610" t="s">
        <v>20559</v>
      </c>
      <c r="B217" s="616" t="s">
        <v>19994</v>
      </c>
      <c r="C217" s="610" t="s">
        <v>255</v>
      </c>
      <c r="D217" s="612">
        <v>9.56</v>
      </c>
    </row>
    <row r="218" spans="1:4" ht="16.5">
      <c r="A218" s="526">
        <v>194</v>
      </c>
      <c r="B218" s="527" t="s">
        <v>19995</v>
      </c>
      <c r="C218" s="526" t="s">
        <v>255</v>
      </c>
      <c r="D218" s="528">
        <v>7.59</v>
      </c>
    </row>
    <row r="219" spans="1:4" ht="16.5">
      <c r="A219" s="610" t="s">
        <v>20561</v>
      </c>
      <c r="B219" s="616" t="s">
        <v>19995</v>
      </c>
      <c r="C219" s="610" t="s">
        <v>255</v>
      </c>
      <c r="D219" s="612">
        <v>7.59</v>
      </c>
    </row>
    <row r="220" spans="1:4" ht="16.5">
      <c r="A220" s="526">
        <v>195</v>
      </c>
      <c r="B220" s="527" t="s">
        <v>19996</v>
      </c>
      <c r="C220" s="526" t="s">
        <v>255</v>
      </c>
      <c r="D220" s="528">
        <v>9.51</v>
      </c>
    </row>
    <row r="221" spans="1:4" ht="16.5">
      <c r="A221" s="610" t="s">
        <v>20562</v>
      </c>
      <c r="B221" s="616" t="s">
        <v>19996</v>
      </c>
      <c r="C221" s="610" t="s">
        <v>255</v>
      </c>
      <c r="D221" s="612">
        <v>9.51</v>
      </c>
    </row>
    <row r="222" spans="1:4">
      <c r="A222" s="526">
        <v>200</v>
      </c>
      <c r="B222" s="527" t="s">
        <v>19997</v>
      </c>
      <c r="C222" s="526" t="s">
        <v>256</v>
      </c>
      <c r="D222" s="528">
        <v>0.53</v>
      </c>
    </row>
    <row r="223" spans="1:4">
      <c r="A223" s="526">
        <v>207</v>
      </c>
      <c r="B223" s="527" t="s">
        <v>1255</v>
      </c>
      <c r="C223" s="526" t="s">
        <v>256</v>
      </c>
      <c r="D223" s="528">
        <v>1.1299999999999999</v>
      </c>
    </row>
    <row r="224" spans="1:4">
      <c r="A224" s="526">
        <v>211</v>
      </c>
      <c r="B224" s="527" t="s">
        <v>1256</v>
      </c>
      <c r="C224" s="526" t="s">
        <v>256</v>
      </c>
      <c r="D224" s="528">
        <v>4.04</v>
      </c>
    </row>
    <row r="225" spans="1:4">
      <c r="A225" s="526">
        <v>213</v>
      </c>
      <c r="B225" s="527" t="s">
        <v>1257</v>
      </c>
      <c r="C225" s="526" t="s">
        <v>256</v>
      </c>
      <c r="D225" s="528">
        <v>1.1299999999999999</v>
      </c>
    </row>
    <row r="226" spans="1:4">
      <c r="A226" s="526">
        <v>219</v>
      </c>
      <c r="B226" s="527" t="s">
        <v>19998</v>
      </c>
      <c r="C226" s="526" t="s">
        <v>255</v>
      </c>
      <c r="D226" s="528">
        <v>7.5</v>
      </c>
    </row>
    <row r="227" spans="1:4">
      <c r="A227" s="526">
        <v>220</v>
      </c>
      <c r="B227" s="527" t="s">
        <v>19999</v>
      </c>
      <c r="C227" s="526" t="s">
        <v>255</v>
      </c>
      <c r="D227" s="528">
        <v>20.41</v>
      </c>
    </row>
    <row r="228" spans="1:4">
      <c r="A228" s="526">
        <v>221</v>
      </c>
      <c r="B228" s="527" t="s">
        <v>20000</v>
      </c>
      <c r="C228" s="526" t="s">
        <v>255</v>
      </c>
      <c r="D228" s="528">
        <v>3.07</v>
      </c>
    </row>
    <row r="229" spans="1:4" ht="16.5">
      <c r="A229" s="526">
        <v>222</v>
      </c>
      <c r="B229" s="527" t="s">
        <v>20001</v>
      </c>
      <c r="C229" s="526" t="s">
        <v>255</v>
      </c>
      <c r="D229" s="528">
        <v>6.2</v>
      </c>
    </row>
    <row r="230" spans="1:4">
      <c r="A230" s="526">
        <v>223</v>
      </c>
      <c r="B230" s="527" t="s">
        <v>20002</v>
      </c>
      <c r="C230" s="526" t="s">
        <v>255</v>
      </c>
      <c r="D230" s="528">
        <v>4.28</v>
      </c>
    </row>
    <row r="231" spans="1:4">
      <c r="A231" s="526">
        <v>224</v>
      </c>
      <c r="B231" s="527" t="s">
        <v>20003</v>
      </c>
      <c r="C231" s="526" t="s">
        <v>255</v>
      </c>
      <c r="D231" s="528">
        <v>2.5299999999999998</v>
      </c>
    </row>
    <row r="232" spans="1:4" ht="24.75">
      <c r="A232" s="526">
        <v>225</v>
      </c>
      <c r="B232" s="527" t="s">
        <v>20004</v>
      </c>
      <c r="C232" s="526" t="s">
        <v>255</v>
      </c>
      <c r="D232" s="528">
        <v>9.36</v>
      </c>
    </row>
    <row r="233" spans="1:4">
      <c r="A233" s="526">
        <v>226</v>
      </c>
      <c r="B233" s="527" t="s">
        <v>20005</v>
      </c>
      <c r="C233" s="526" t="s">
        <v>255</v>
      </c>
      <c r="D233" s="528">
        <v>0.68</v>
      </c>
    </row>
    <row r="234" spans="1:4">
      <c r="A234" s="526">
        <v>229</v>
      </c>
      <c r="B234" s="527" t="s">
        <v>1258</v>
      </c>
      <c r="C234" s="526" t="s">
        <v>255</v>
      </c>
      <c r="D234" s="528">
        <v>124.26</v>
      </c>
    </row>
    <row r="235" spans="1:4">
      <c r="A235" s="526">
        <v>232</v>
      </c>
      <c r="B235" s="527" t="s">
        <v>19828</v>
      </c>
      <c r="C235" s="526" t="s">
        <v>255</v>
      </c>
      <c r="D235" s="528">
        <v>1.46</v>
      </c>
    </row>
    <row r="236" spans="1:4">
      <c r="A236" s="610" t="s">
        <v>20574</v>
      </c>
      <c r="B236" s="616" t="s">
        <v>19828</v>
      </c>
      <c r="C236" s="610" t="s">
        <v>255</v>
      </c>
      <c r="D236" s="612">
        <v>1.46</v>
      </c>
    </row>
    <row r="237" spans="1:4">
      <c r="A237" s="526">
        <v>244</v>
      </c>
      <c r="B237" s="527" t="s">
        <v>1260</v>
      </c>
      <c r="C237" s="526" t="s">
        <v>255</v>
      </c>
      <c r="D237" s="528">
        <v>1.08</v>
      </c>
    </row>
    <row r="238" spans="1:4" ht="24.75">
      <c r="A238" s="529">
        <v>16511</v>
      </c>
      <c r="B238" s="527" t="s">
        <v>20006</v>
      </c>
      <c r="C238" s="530" t="s">
        <v>255</v>
      </c>
      <c r="D238" s="531">
        <v>5.29</v>
      </c>
    </row>
    <row r="239" spans="1:4" ht="24.75">
      <c r="A239" s="529">
        <v>16512</v>
      </c>
      <c r="B239" s="527" t="s">
        <v>20007</v>
      </c>
      <c r="C239" s="530" t="s">
        <v>255</v>
      </c>
      <c r="D239" s="531">
        <v>6.61</v>
      </c>
    </row>
    <row r="240" spans="1:4" ht="24.75">
      <c r="A240" s="529">
        <v>16514</v>
      </c>
      <c r="B240" s="527" t="s">
        <v>20008</v>
      </c>
      <c r="C240" s="530" t="s">
        <v>255</v>
      </c>
      <c r="D240" s="531">
        <v>8.2899999999999991</v>
      </c>
    </row>
    <row r="241" spans="1:4" ht="24.75">
      <c r="A241" s="529">
        <v>19301</v>
      </c>
      <c r="B241" s="527" t="s">
        <v>20009</v>
      </c>
      <c r="C241" s="530" t="s">
        <v>255</v>
      </c>
      <c r="D241" s="531">
        <v>8.67</v>
      </c>
    </row>
    <row r="242" spans="1:4" ht="24.75">
      <c r="A242" s="529">
        <v>19302</v>
      </c>
      <c r="B242" s="527" t="s">
        <v>20010</v>
      </c>
      <c r="C242" s="530" t="s">
        <v>255</v>
      </c>
      <c r="D242" s="531">
        <v>10.82</v>
      </c>
    </row>
    <row r="243" spans="1:4" ht="24.75">
      <c r="A243" s="529">
        <v>19303</v>
      </c>
      <c r="B243" s="527" t="s">
        <v>20011</v>
      </c>
      <c r="C243" s="530" t="s">
        <v>255</v>
      </c>
      <c r="D243" s="531">
        <v>10.46</v>
      </c>
    </row>
    <row r="244" spans="1:4" ht="24.75">
      <c r="A244" s="529">
        <v>19304</v>
      </c>
      <c r="B244" s="527" t="s">
        <v>20012</v>
      </c>
      <c r="C244" s="530" t="s">
        <v>255</v>
      </c>
      <c r="D244" s="531">
        <v>13.07</v>
      </c>
    </row>
    <row r="245" spans="1:4" ht="24.75">
      <c r="A245" s="526">
        <v>19305</v>
      </c>
      <c r="B245" s="527" t="s">
        <v>20013</v>
      </c>
      <c r="C245" s="526" t="s">
        <v>255</v>
      </c>
      <c r="D245" s="528">
        <v>10.41</v>
      </c>
    </row>
    <row r="246" spans="1:4" ht="24.75">
      <c r="A246" s="529">
        <v>19306</v>
      </c>
      <c r="B246" s="527" t="s">
        <v>20014</v>
      </c>
      <c r="C246" s="530" t="s">
        <v>255</v>
      </c>
      <c r="D246" s="531">
        <v>13.01</v>
      </c>
    </row>
    <row r="247" spans="1:4" ht="24.75">
      <c r="A247" s="529">
        <v>19307</v>
      </c>
      <c r="B247" s="527" t="s">
        <v>20015</v>
      </c>
      <c r="C247" s="530" t="s">
        <v>255</v>
      </c>
      <c r="D247" s="531">
        <v>6.4</v>
      </c>
    </row>
    <row r="248" spans="1:4" ht="24.75">
      <c r="A248" s="538">
        <v>19308</v>
      </c>
      <c r="B248" s="523" t="s">
        <v>20016</v>
      </c>
      <c r="C248" s="539" t="s">
        <v>255</v>
      </c>
      <c r="D248" s="540">
        <v>8.02</v>
      </c>
    </row>
    <row r="249" spans="1:4" ht="24.75">
      <c r="A249" s="522">
        <v>19309</v>
      </c>
      <c r="B249" s="523" t="s">
        <v>20017</v>
      </c>
      <c r="C249" s="522" t="s">
        <v>255</v>
      </c>
      <c r="D249" s="524">
        <v>10.98</v>
      </c>
    </row>
    <row r="250" spans="1:4" ht="24.75">
      <c r="A250" s="539">
        <v>19310</v>
      </c>
      <c r="B250" s="541" t="s">
        <v>20018</v>
      </c>
      <c r="C250" s="522" t="s">
        <v>255</v>
      </c>
      <c r="D250" s="542">
        <v>6.37</v>
      </c>
    </row>
    <row r="251" spans="1:4" ht="24.75">
      <c r="A251" s="522">
        <v>19311</v>
      </c>
      <c r="B251" s="523" t="s">
        <v>20019</v>
      </c>
      <c r="C251" s="522" t="s">
        <v>255</v>
      </c>
      <c r="D251" s="524">
        <v>7.97</v>
      </c>
    </row>
    <row r="252" spans="1:4" ht="24.75">
      <c r="A252" s="522">
        <v>19312</v>
      </c>
      <c r="B252" s="523" t="s">
        <v>20020</v>
      </c>
      <c r="C252" s="522" t="s">
        <v>255</v>
      </c>
      <c r="D252" s="524">
        <v>9.9499999999999993</v>
      </c>
    </row>
    <row r="253" spans="1:4">
      <c r="A253" s="520"/>
      <c r="B253" s="521" t="s">
        <v>20021</v>
      </c>
      <c r="C253" s="520"/>
      <c r="D253" s="525"/>
    </row>
    <row r="254" spans="1:4">
      <c r="A254" s="522">
        <v>248</v>
      </c>
      <c r="B254" s="523" t="s">
        <v>20022</v>
      </c>
      <c r="C254" s="522" t="s">
        <v>256</v>
      </c>
      <c r="D254" s="524">
        <v>29.44</v>
      </c>
    </row>
    <row r="255" spans="1:4">
      <c r="A255" s="522">
        <v>250</v>
      </c>
      <c r="B255" s="523" t="s">
        <v>1261</v>
      </c>
      <c r="C255" s="522" t="s">
        <v>256</v>
      </c>
      <c r="D255" s="524">
        <v>7.44</v>
      </c>
    </row>
    <row r="256" spans="1:4" ht="16.5">
      <c r="A256" s="522">
        <v>252</v>
      </c>
      <c r="B256" s="523" t="s">
        <v>20023</v>
      </c>
      <c r="C256" s="522" t="s">
        <v>256</v>
      </c>
      <c r="D256" s="524">
        <v>17.37</v>
      </c>
    </row>
    <row r="257" spans="1:4" ht="16.5">
      <c r="A257" s="520"/>
      <c r="B257" s="521" t="s">
        <v>20024</v>
      </c>
      <c r="C257" s="520"/>
      <c r="D257" s="525"/>
    </row>
    <row r="258" spans="1:4">
      <c r="A258" s="522">
        <v>1505</v>
      </c>
      <c r="B258" s="523" t="s">
        <v>20025</v>
      </c>
      <c r="C258" s="522" t="s">
        <v>255</v>
      </c>
      <c r="D258" s="524">
        <v>13.94</v>
      </c>
    </row>
    <row r="259" spans="1:4">
      <c r="A259" s="522">
        <v>235</v>
      </c>
      <c r="B259" s="523" t="s">
        <v>20026</v>
      </c>
      <c r="C259" s="522" t="s">
        <v>255</v>
      </c>
      <c r="D259" s="524">
        <v>21.12</v>
      </c>
    </row>
    <row r="260" spans="1:4">
      <c r="A260" s="522">
        <v>236</v>
      </c>
      <c r="B260" s="523" t="s">
        <v>20027</v>
      </c>
      <c r="C260" s="522" t="s">
        <v>255</v>
      </c>
      <c r="D260" s="524">
        <v>15.23</v>
      </c>
    </row>
    <row r="261" spans="1:4" ht="16.5">
      <c r="A261" s="522">
        <v>1506</v>
      </c>
      <c r="B261" s="523" t="s">
        <v>20028</v>
      </c>
      <c r="C261" s="522" t="s">
        <v>255</v>
      </c>
      <c r="D261" s="524">
        <v>2.46</v>
      </c>
    </row>
    <row r="262" spans="1:4" ht="16.5">
      <c r="A262" s="522">
        <v>19331</v>
      </c>
      <c r="B262" s="523" t="s">
        <v>20029</v>
      </c>
      <c r="C262" s="522" t="s">
        <v>255</v>
      </c>
      <c r="D262" s="524">
        <v>2.48</v>
      </c>
    </row>
    <row r="263" spans="1:4" ht="16.5">
      <c r="A263" s="522">
        <v>237</v>
      </c>
      <c r="B263" s="523" t="s">
        <v>20030</v>
      </c>
      <c r="C263" s="522" t="s">
        <v>255</v>
      </c>
      <c r="D263" s="524">
        <v>2.15</v>
      </c>
    </row>
    <row r="264" spans="1:4" ht="16.5">
      <c r="A264" s="522">
        <v>238</v>
      </c>
      <c r="B264" s="523" t="s">
        <v>20031</v>
      </c>
      <c r="C264" s="522" t="s">
        <v>255</v>
      </c>
      <c r="D264" s="524">
        <v>2.83</v>
      </c>
    </row>
    <row r="265" spans="1:4" ht="16.5">
      <c r="A265" s="522">
        <v>239</v>
      </c>
      <c r="B265" s="523" t="s">
        <v>20032</v>
      </c>
      <c r="C265" s="522" t="s">
        <v>255</v>
      </c>
      <c r="D265" s="524">
        <v>3.86</v>
      </c>
    </row>
    <row r="266" spans="1:4" ht="16.5">
      <c r="A266" s="522">
        <v>1507</v>
      </c>
      <c r="B266" s="523" t="s">
        <v>20033</v>
      </c>
      <c r="C266" s="522" t="s">
        <v>255</v>
      </c>
      <c r="D266" s="524">
        <v>2.83</v>
      </c>
    </row>
    <row r="267" spans="1:4" ht="24.75">
      <c r="A267" s="522">
        <v>19322</v>
      </c>
      <c r="B267" s="523" t="s">
        <v>20034</v>
      </c>
      <c r="C267" s="522" t="s">
        <v>255</v>
      </c>
      <c r="D267" s="524">
        <v>2.1800000000000002</v>
      </c>
    </row>
    <row r="268" spans="1:4" ht="24.75">
      <c r="A268" s="522">
        <v>19323</v>
      </c>
      <c r="B268" s="523" t="s">
        <v>20035</v>
      </c>
      <c r="C268" s="522" t="s">
        <v>255</v>
      </c>
      <c r="D268" s="524">
        <v>2.87</v>
      </c>
    </row>
    <row r="269" spans="1:4" ht="24.75">
      <c r="A269" s="522">
        <v>19324</v>
      </c>
      <c r="B269" s="523" t="s">
        <v>20036</v>
      </c>
      <c r="C269" s="522" t="s">
        <v>255</v>
      </c>
      <c r="D269" s="524">
        <v>3.91</v>
      </c>
    </row>
    <row r="270" spans="1:4" ht="24.75">
      <c r="A270" s="522">
        <v>19326</v>
      </c>
      <c r="B270" s="523" t="s">
        <v>20037</v>
      </c>
      <c r="C270" s="522" t="s">
        <v>255</v>
      </c>
      <c r="D270" s="524">
        <v>2.87</v>
      </c>
    </row>
    <row r="271" spans="1:4" ht="24.75">
      <c r="A271" s="522">
        <v>19325</v>
      </c>
      <c r="B271" s="523" t="s">
        <v>20038</v>
      </c>
      <c r="C271" s="522" t="s">
        <v>255</v>
      </c>
      <c r="D271" s="524">
        <v>3.87</v>
      </c>
    </row>
    <row r="272" spans="1:4" ht="24.75">
      <c r="A272" s="522">
        <v>19319</v>
      </c>
      <c r="B272" s="523" t="s">
        <v>20039</v>
      </c>
      <c r="C272" s="522" t="s">
        <v>255</v>
      </c>
      <c r="D272" s="524">
        <v>3.02</v>
      </c>
    </row>
    <row r="273" spans="1:4" ht="16.5">
      <c r="A273" s="522">
        <v>240</v>
      </c>
      <c r="B273" s="523" t="s">
        <v>20040</v>
      </c>
      <c r="C273" s="522" t="s">
        <v>255</v>
      </c>
      <c r="D273" s="524">
        <v>1.86</v>
      </c>
    </row>
    <row r="274" spans="1:4" ht="16.5">
      <c r="A274" s="522">
        <v>241</v>
      </c>
      <c r="B274" s="523" t="s">
        <v>20041</v>
      </c>
      <c r="C274" s="522" t="s">
        <v>255</v>
      </c>
      <c r="D274" s="524">
        <v>2.46</v>
      </c>
    </row>
    <row r="275" spans="1:4" ht="16.5">
      <c r="A275" s="522">
        <v>242</v>
      </c>
      <c r="B275" s="523" t="s">
        <v>20042</v>
      </c>
      <c r="C275" s="522" t="s">
        <v>255</v>
      </c>
      <c r="D275" s="524">
        <v>3.4</v>
      </c>
    </row>
    <row r="276" spans="1:4" ht="16.5">
      <c r="A276" s="522">
        <v>19327</v>
      </c>
      <c r="B276" s="523" t="s">
        <v>20043</v>
      </c>
      <c r="C276" s="522" t="s">
        <v>255</v>
      </c>
      <c r="D276" s="524">
        <v>1.88</v>
      </c>
    </row>
    <row r="277" spans="1:4" ht="16.5">
      <c r="A277" s="522">
        <v>19328</v>
      </c>
      <c r="B277" s="523" t="s">
        <v>20044</v>
      </c>
      <c r="C277" s="522" t="s">
        <v>255</v>
      </c>
      <c r="D277" s="524">
        <v>2.48</v>
      </c>
    </row>
    <row r="278" spans="1:4" ht="16.5">
      <c r="A278" s="522">
        <v>19329</v>
      </c>
      <c r="B278" s="523" t="s">
        <v>20045</v>
      </c>
      <c r="C278" s="522" t="s">
        <v>255</v>
      </c>
      <c r="D278" s="524">
        <v>3.44</v>
      </c>
    </row>
    <row r="279" spans="1:4" ht="16.5">
      <c r="A279" s="522">
        <v>19332</v>
      </c>
      <c r="B279" s="523" t="s">
        <v>20046</v>
      </c>
      <c r="C279" s="522" t="s">
        <v>255</v>
      </c>
      <c r="D279" s="524">
        <v>1.88</v>
      </c>
    </row>
    <row r="280" spans="1:4" ht="16.5">
      <c r="A280" s="522">
        <v>19330</v>
      </c>
      <c r="B280" s="523" t="s">
        <v>20047</v>
      </c>
      <c r="C280" s="522" t="s">
        <v>255</v>
      </c>
      <c r="D280" s="524">
        <v>2.66</v>
      </c>
    </row>
    <row r="281" spans="1:4" ht="16.5">
      <c r="A281" s="522">
        <v>19321</v>
      </c>
      <c r="B281" s="523" t="s">
        <v>20048</v>
      </c>
      <c r="C281" s="522" t="s">
        <v>255</v>
      </c>
      <c r="D281" s="524">
        <v>1.86</v>
      </c>
    </row>
    <row r="282" spans="1:4" ht="16.5">
      <c r="A282" s="522">
        <v>19320</v>
      </c>
      <c r="B282" s="523" t="s">
        <v>20049</v>
      </c>
      <c r="C282" s="522" t="s">
        <v>255</v>
      </c>
      <c r="D282" s="524">
        <v>2.63</v>
      </c>
    </row>
    <row r="283" spans="1:4" ht="16.5">
      <c r="A283" s="522">
        <v>19318</v>
      </c>
      <c r="B283" s="523" t="s">
        <v>20050</v>
      </c>
      <c r="C283" s="522" t="s">
        <v>9853</v>
      </c>
      <c r="D283" s="524">
        <v>1.56</v>
      </c>
    </row>
    <row r="284" spans="1:4" ht="16.5">
      <c r="A284" s="530" t="s">
        <v>20051</v>
      </c>
      <c r="B284" s="527" t="s">
        <v>20052</v>
      </c>
      <c r="C284" s="530" t="s">
        <v>9853</v>
      </c>
      <c r="D284" s="531">
        <v>2.52</v>
      </c>
    </row>
    <row r="285" spans="1:4" ht="16.5">
      <c r="A285" s="530">
        <v>19315</v>
      </c>
      <c r="B285" s="527" t="s">
        <v>20053</v>
      </c>
      <c r="C285" s="530" t="s">
        <v>9853</v>
      </c>
      <c r="D285" s="531">
        <v>1.19</v>
      </c>
    </row>
    <row r="286" spans="1:4" ht="16.5">
      <c r="A286" s="530">
        <v>246</v>
      </c>
      <c r="B286" s="527" t="s">
        <v>19830</v>
      </c>
      <c r="C286" s="530" t="s">
        <v>9853</v>
      </c>
      <c r="D286" s="531">
        <v>1.91</v>
      </c>
    </row>
    <row r="287" spans="1:4" ht="16.5">
      <c r="A287" s="617" t="s">
        <v>20576</v>
      </c>
      <c r="B287" s="616" t="s">
        <v>19830</v>
      </c>
      <c r="C287" s="617" t="s">
        <v>9853</v>
      </c>
      <c r="D287" s="618">
        <v>1.91</v>
      </c>
    </row>
    <row r="288" spans="1:4" ht="24.75">
      <c r="A288" s="530">
        <v>19316</v>
      </c>
      <c r="B288" s="527" t="s">
        <v>20054</v>
      </c>
      <c r="C288" s="530" t="s">
        <v>9853</v>
      </c>
      <c r="D288" s="531">
        <v>2.14</v>
      </c>
    </row>
    <row r="289" spans="1:4" ht="24.75">
      <c r="A289" s="530">
        <v>247</v>
      </c>
      <c r="B289" s="527" t="s">
        <v>20055</v>
      </c>
      <c r="C289" s="530" t="s">
        <v>9853</v>
      </c>
      <c r="D289" s="531">
        <v>3.46</v>
      </c>
    </row>
    <row r="290" spans="1:4" ht="16.5">
      <c r="A290" s="530">
        <v>19314</v>
      </c>
      <c r="B290" s="527" t="s">
        <v>20056</v>
      </c>
      <c r="C290" s="530" t="s">
        <v>9853</v>
      </c>
      <c r="D290" s="531">
        <v>1.19</v>
      </c>
    </row>
    <row r="291" spans="1:4" ht="16.5">
      <c r="A291" s="530">
        <v>234</v>
      </c>
      <c r="B291" s="527" t="s">
        <v>20057</v>
      </c>
      <c r="C291" s="530" t="s">
        <v>9853</v>
      </c>
      <c r="D291" s="531">
        <v>1.91</v>
      </c>
    </row>
    <row r="292" spans="1:4" ht="24.75">
      <c r="A292" s="530">
        <v>19317</v>
      </c>
      <c r="B292" s="527" t="s">
        <v>20058</v>
      </c>
      <c r="C292" s="530" t="s">
        <v>9853</v>
      </c>
      <c r="D292" s="531">
        <v>1.67</v>
      </c>
    </row>
    <row r="293" spans="1:4" ht="24.75">
      <c r="A293" s="530">
        <v>19313</v>
      </c>
      <c r="B293" s="527" t="s">
        <v>20059</v>
      </c>
      <c r="C293" s="530" t="s">
        <v>9853</v>
      </c>
      <c r="D293" s="531">
        <v>2.69</v>
      </c>
    </row>
    <row r="294" spans="1:4">
      <c r="A294" s="543"/>
      <c r="B294" s="534" t="s">
        <v>20060</v>
      </c>
      <c r="C294" s="543"/>
      <c r="D294" s="544"/>
    </row>
    <row r="295" spans="1:4">
      <c r="A295" s="530">
        <v>1533</v>
      </c>
      <c r="B295" s="527" t="s">
        <v>20061</v>
      </c>
      <c r="C295" s="530" t="s">
        <v>71</v>
      </c>
      <c r="D295" s="531">
        <v>36.82</v>
      </c>
    </row>
    <row r="296" spans="1:4">
      <c r="A296" s="530">
        <v>1534</v>
      </c>
      <c r="B296" s="527" t="s">
        <v>20062</v>
      </c>
      <c r="C296" s="530" t="s">
        <v>71</v>
      </c>
      <c r="D296" s="531">
        <v>48.22</v>
      </c>
    </row>
    <row r="297" spans="1:4">
      <c r="A297" s="530">
        <v>1535</v>
      </c>
      <c r="B297" s="527" t="s">
        <v>20063</v>
      </c>
      <c r="C297" s="530" t="s">
        <v>71</v>
      </c>
      <c r="D297" s="531">
        <v>7.51</v>
      </c>
    </row>
    <row r="298" spans="1:4">
      <c r="A298" s="530">
        <v>1536</v>
      </c>
      <c r="B298" s="527" t="s">
        <v>20064</v>
      </c>
      <c r="C298" s="530" t="s">
        <v>71</v>
      </c>
      <c r="D298" s="531">
        <v>14.67</v>
      </c>
    </row>
    <row r="299" spans="1:4">
      <c r="A299" s="530">
        <v>1538</v>
      </c>
      <c r="B299" s="527" t="s">
        <v>20065</v>
      </c>
      <c r="C299" s="530" t="s">
        <v>71</v>
      </c>
      <c r="D299" s="531">
        <v>18.61</v>
      </c>
    </row>
    <row r="300" spans="1:4">
      <c r="A300" s="530">
        <v>1539</v>
      </c>
      <c r="B300" s="527" t="s">
        <v>20066</v>
      </c>
      <c r="C300" s="530" t="s">
        <v>71</v>
      </c>
      <c r="D300" s="531">
        <v>19.260000000000002</v>
      </c>
    </row>
    <row r="301" spans="1:4">
      <c r="A301" s="530">
        <v>1540</v>
      </c>
      <c r="B301" s="527" t="s">
        <v>20067</v>
      </c>
      <c r="C301" s="530" t="s">
        <v>71</v>
      </c>
      <c r="D301" s="531">
        <v>20.37</v>
      </c>
    </row>
    <row r="302" spans="1:4">
      <c r="A302" s="530">
        <v>1541</v>
      </c>
      <c r="B302" s="527" t="s">
        <v>20068</v>
      </c>
      <c r="C302" s="530" t="s">
        <v>71</v>
      </c>
      <c r="D302" s="531">
        <v>23.96</v>
      </c>
    </row>
    <row r="303" spans="1:4">
      <c r="A303" s="530">
        <v>1559</v>
      </c>
      <c r="B303" s="527" t="s">
        <v>20069</v>
      </c>
      <c r="C303" s="530" t="s">
        <v>71</v>
      </c>
      <c r="D303" s="531">
        <v>4.92</v>
      </c>
    </row>
    <row r="304" spans="1:4">
      <c r="A304" s="530">
        <v>1560</v>
      </c>
      <c r="B304" s="527" t="s">
        <v>20070</v>
      </c>
      <c r="C304" s="530" t="s">
        <v>71</v>
      </c>
      <c r="D304" s="531">
        <v>54.03</v>
      </c>
    </row>
    <row r="305" spans="1:4">
      <c r="A305" s="530">
        <v>1561</v>
      </c>
      <c r="B305" s="527" t="s">
        <v>20071</v>
      </c>
      <c r="C305" s="530" t="s">
        <v>71</v>
      </c>
      <c r="D305" s="531">
        <v>68.010000000000005</v>
      </c>
    </row>
    <row r="306" spans="1:4">
      <c r="A306" s="530">
        <v>1562</v>
      </c>
      <c r="B306" s="527" t="s">
        <v>20072</v>
      </c>
      <c r="C306" s="530" t="s">
        <v>71</v>
      </c>
      <c r="D306" s="531">
        <v>6.4</v>
      </c>
    </row>
    <row r="307" spans="1:4">
      <c r="A307" s="530">
        <v>1563</v>
      </c>
      <c r="B307" s="527" t="s">
        <v>20073</v>
      </c>
      <c r="C307" s="530" t="s">
        <v>71</v>
      </c>
      <c r="D307" s="531">
        <v>9.91</v>
      </c>
    </row>
    <row r="308" spans="1:4">
      <c r="A308" s="530">
        <v>1564</v>
      </c>
      <c r="B308" s="527" t="s">
        <v>20074</v>
      </c>
      <c r="C308" s="530" t="s">
        <v>71</v>
      </c>
      <c r="D308" s="531">
        <v>13.76</v>
      </c>
    </row>
    <row r="309" spans="1:4">
      <c r="A309" s="530">
        <v>1565</v>
      </c>
      <c r="B309" s="527" t="s">
        <v>20075</v>
      </c>
      <c r="C309" s="530" t="s">
        <v>71</v>
      </c>
      <c r="D309" s="531">
        <v>15.76</v>
      </c>
    </row>
    <row r="310" spans="1:4">
      <c r="A310" s="530">
        <v>1566</v>
      </c>
      <c r="B310" s="527" t="s">
        <v>20076</v>
      </c>
      <c r="C310" s="530" t="s">
        <v>71</v>
      </c>
      <c r="D310" s="531">
        <v>18.84</v>
      </c>
    </row>
    <row r="311" spans="1:4">
      <c r="A311" s="530">
        <v>1567</v>
      </c>
      <c r="B311" s="527" t="s">
        <v>20077</v>
      </c>
      <c r="C311" s="530" t="s">
        <v>71</v>
      </c>
      <c r="D311" s="531">
        <v>21.31</v>
      </c>
    </row>
    <row r="312" spans="1:4">
      <c r="A312" s="530">
        <v>1568</v>
      </c>
      <c r="B312" s="527" t="s">
        <v>20078</v>
      </c>
      <c r="C312" s="530" t="s">
        <v>71</v>
      </c>
      <c r="D312" s="531">
        <v>3.17</v>
      </c>
    </row>
    <row r="313" spans="1:4">
      <c r="A313" s="530">
        <v>1569</v>
      </c>
      <c r="B313" s="527" t="s">
        <v>20079</v>
      </c>
      <c r="C313" s="530" t="s">
        <v>71</v>
      </c>
      <c r="D313" s="531">
        <v>26.2</v>
      </c>
    </row>
    <row r="314" spans="1:4">
      <c r="A314" s="530">
        <v>1570</v>
      </c>
      <c r="B314" s="527" t="s">
        <v>20080</v>
      </c>
      <c r="C314" s="530" t="s">
        <v>71</v>
      </c>
      <c r="D314" s="531">
        <v>35.01</v>
      </c>
    </row>
    <row r="315" spans="1:4">
      <c r="A315" s="530">
        <v>1571</v>
      </c>
      <c r="B315" s="527" t="s">
        <v>20081</v>
      </c>
      <c r="C315" s="530" t="s">
        <v>71</v>
      </c>
      <c r="D315" s="531">
        <v>42.33</v>
      </c>
    </row>
    <row r="316" spans="1:4">
      <c r="A316" s="530">
        <v>1572</v>
      </c>
      <c r="B316" s="527" t="s">
        <v>20082</v>
      </c>
      <c r="C316" s="530" t="s">
        <v>71</v>
      </c>
      <c r="D316" s="531">
        <v>3.85</v>
      </c>
    </row>
    <row r="317" spans="1:4">
      <c r="A317" s="530">
        <v>1574</v>
      </c>
      <c r="B317" s="527" t="s">
        <v>20083</v>
      </c>
      <c r="C317" s="530" t="s">
        <v>71</v>
      </c>
      <c r="D317" s="531">
        <v>42.91</v>
      </c>
    </row>
    <row r="318" spans="1:4">
      <c r="A318" s="530">
        <v>1575</v>
      </c>
      <c r="B318" s="527" t="s">
        <v>20084</v>
      </c>
      <c r="C318" s="530" t="s">
        <v>71</v>
      </c>
      <c r="D318" s="531">
        <v>48.53</v>
      </c>
    </row>
    <row r="319" spans="1:4">
      <c r="A319" s="530">
        <v>1576</v>
      </c>
      <c r="B319" s="527" t="s">
        <v>20085</v>
      </c>
      <c r="C319" s="530" t="s">
        <v>71</v>
      </c>
      <c r="D319" s="531">
        <v>1.81</v>
      </c>
    </row>
    <row r="320" spans="1:4">
      <c r="A320" s="530">
        <v>1577</v>
      </c>
      <c r="B320" s="527" t="s">
        <v>20086</v>
      </c>
      <c r="C320" s="530" t="s">
        <v>71</v>
      </c>
      <c r="D320" s="531">
        <v>4.59</v>
      </c>
    </row>
    <row r="321" spans="1:4">
      <c r="A321" s="530">
        <v>1578</v>
      </c>
      <c r="B321" s="527" t="s">
        <v>20087</v>
      </c>
      <c r="C321" s="530" t="s">
        <v>71</v>
      </c>
      <c r="D321" s="531">
        <v>4.83</v>
      </c>
    </row>
    <row r="322" spans="1:4">
      <c r="A322" s="530">
        <v>1579</v>
      </c>
      <c r="B322" s="527" t="s">
        <v>20088</v>
      </c>
      <c r="C322" s="530" t="s">
        <v>71</v>
      </c>
      <c r="D322" s="531">
        <v>7.95</v>
      </c>
    </row>
    <row r="323" spans="1:4">
      <c r="A323" s="530">
        <v>1580</v>
      </c>
      <c r="B323" s="527" t="s">
        <v>20089</v>
      </c>
      <c r="C323" s="530" t="s">
        <v>71</v>
      </c>
      <c r="D323" s="531">
        <v>10.95</v>
      </c>
    </row>
    <row r="324" spans="1:4">
      <c r="A324" s="530">
        <v>1582</v>
      </c>
      <c r="B324" s="527" t="s">
        <v>20090</v>
      </c>
      <c r="C324" s="530" t="s">
        <v>71</v>
      </c>
      <c r="D324" s="531">
        <v>1.59</v>
      </c>
    </row>
    <row r="325" spans="1:4">
      <c r="A325" s="530">
        <v>1583</v>
      </c>
      <c r="B325" s="527" t="s">
        <v>20091</v>
      </c>
      <c r="C325" s="530" t="s">
        <v>71</v>
      </c>
      <c r="D325" s="531">
        <v>1.75</v>
      </c>
    </row>
    <row r="326" spans="1:4">
      <c r="A326" s="530">
        <v>1584</v>
      </c>
      <c r="B326" s="527" t="s">
        <v>20092</v>
      </c>
      <c r="C326" s="530" t="s">
        <v>71</v>
      </c>
      <c r="D326" s="531">
        <v>1.81</v>
      </c>
    </row>
    <row r="327" spans="1:4">
      <c r="A327" s="530">
        <v>1585</v>
      </c>
      <c r="B327" s="527" t="s">
        <v>20093</v>
      </c>
      <c r="C327" s="530" t="s">
        <v>71</v>
      </c>
      <c r="D327" s="531">
        <v>4.59</v>
      </c>
    </row>
    <row r="328" spans="1:4">
      <c r="A328" s="530">
        <v>1586</v>
      </c>
      <c r="B328" s="527" t="s">
        <v>20094</v>
      </c>
      <c r="C328" s="530" t="s">
        <v>71</v>
      </c>
      <c r="D328" s="531">
        <v>4.83</v>
      </c>
    </row>
    <row r="329" spans="1:4">
      <c r="A329" s="530">
        <v>1587</v>
      </c>
      <c r="B329" s="527" t="s">
        <v>20095</v>
      </c>
      <c r="C329" s="530" t="s">
        <v>71</v>
      </c>
      <c r="D329" s="531">
        <v>7.95</v>
      </c>
    </row>
    <row r="330" spans="1:4">
      <c r="A330" s="530">
        <v>1588</v>
      </c>
      <c r="B330" s="527" t="s">
        <v>20096</v>
      </c>
      <c r="C330" s="530" t="s">
        <v>71</v>
      </c>
      <c r="D330" s="531">
        <v>10.95</v>
      </c>
    </row>
    <row r="331" spans="1:4">
      <c r="A331" s="530">
        <v>1589</v>
      </c>
      <c r="B331" s="527" t="s">
        <v>20097</v>
      </c>
      <c r="C331" s="530" t="s">
        <v>71</v>
      </c>
      <c r="D331" s="531">
        <v>14.09</v>
      </c>
    </row>
    <row r="332" spans="1:4">
      <c r="A332" s="530">
        <v>1590</v>
      </c>
      <c r="B332" s="527" t="s">
        <v>19831</v>
      </c>
      <c r="C332" s="530" t="s">
        <v>71</v>
      </c>
      <c r="D332" s="531">
        <v>17.399999999999999</v>
      </c>
    </row>
    <row r="333" spans="1:4">
      <c r="A333" s="617" t="s">
        <v>20585</v>
      </c>
      <c r="B333" s="616" t="s">
        <v>19831</v>
      </c>
      <c r="C333" s="617" t="s">
        <v>71</v>
      </c>
      <c r="D333" s="618">
        <v>17.399999999999999</v>
      </c>
    </row>
    <row r="334" spans="1:4">
      <c r="A334" s="543"/>
      <c r="B334" s="534" t="s">
        <v>20098</v>
      </c>
      <c r="C334" s="543"/>
      <c r="D334" s="544"/>
    </row>
    <row r="335" spans="1:4">
      <c r="A335" s="545">
        <v>685</v>
      </c>
      <c r="B335" s="546" t="s">
        <v>20099</v>
      </c>
      <c r="C335" s="547" t="s">
        <v>20100</v>
      </c>
      <c r="D335" s="548">
        <v>262.38</v>
      </c>
    </row>
    <row r="336" spans="1:4">
      <c r="A336" s="549">
        <v>901</v>
      </c>
      <c r="B336" s="550" t="s">
        <v>20101</v>
      </c>
      <c r="C336" s="551" t="s">
        <v>20100</v>
      </c>
      <c r="D336" s="548">
        <v>1649.94</v>
      </c>
    </row>
    <row r="337" spans="1:4" ht="16.5">
      <c r="A337" s="549">
        <v>905</v>
      </c>
      <c r="B337" s="552" t="s">
        <v>20102</v>
      </c>
      <c r="C337" s="551" t="s">
        <v>20100</v>
      </c>
      <c r="D337" s="548">
        <v>1797.03</v>
      </c>
    </row>
    <row r="338" spans="1:4">
      <c r="A338" s="549">
        <v>906</v>
      </c>
      <c r="B338" s="550" t="s">
        <v>20103</v>
      </c>
      <c r="C338" s="551" t="s">
        <v>20100</v>
      </c>
      <c r="D338" s="548">
        <v>828.88</v>
      </c>
    </row>
    <row r="339" spans="1:4" ht="16.5">
      <c r="A339" s="549">
        <v>908</v>
      </c>
      <c r="B339" s="552" t="s">
        <v>20104</v>
      </c>
      <c r="C339" s="551" t="s">
        <v>20100</v>
      </c>
      <c r="D339" s="548">
        <v>802.96</v>
      </c>
    </row>
    <row r="340" spans="1:4" ht="16.5">
      <c r="A340" s="549">
        <v>910</v>
      </c>
      <c r="B340" s="552" t="s">
        <v>20105</v>
      </c>
      <c r="C340" s="551" t="s">
        <v>20100</v>
      </c>
      <c r="D340" s="548">
        <v>947.55</v>
      </c>
    </row>
    <row r="341" spans="1:4">
      <c r="A341" s="549">
        <v>916</v>
      </c>
      <c r="B341" s="550" t="s">
        <v>20106</v>
      </c>
      <c r="C341" s="551" t="s">
        <v>20100</v>
      </c>
      <c r="D341" s="548">
        <v>951.03</v>
      </c>
    </row>
    <row r="342" spans="1:4">
      <c r="A342" s="549">
        <v>918</v>
      </c>
      <c r="B342" s="550" t="s">
        <v>20107</v>
      </c>
      <c r="C342" s="551" t="s">
        <v>20100</v>
      </c>
      <c r="D342" s="548">
        <v>832.44</v>
      </c>
    </row>
    <row r="343" spans="1:4">
      <c r="A343" s="549">
        <v>923</v>
      </c>
      <c r="B343" s="550" t="s">
        <v>20108</v>
      </c>
      <c r="C343" s="551" t="s">
        <v>20100</v>
      </c>
      <c r="D343" s="548">
        <v>610.29</v>
      </c>
    </row>
    <row r="344" spans="1:4">
      <c r="A344" s="549">
        <v>931</v>
      </c>
      <c r="B344" s="550" t="s">
        <v>20109</v>
      </c>
      <c r="C344" s="551" t="s">
        <v>20100</v>
      </c>
      <c r="D344" s="548">
        <v>561.27</v>
      </c>
    </row>
    <row r="345" spans="1:4">
      <c r="A345" s="549">
        <v>951</v>
      </c>
      <c r="B345" s="550" t="s">
        <v>20110</v>
      </c>
      <c r="C345" s="551" t="s">
        <v>20100</v>
      </c>
      <c r="D345" s="548">
        <v>1055.1099999999999</v>
      </c>
    </row>
    <row r="346" spans="1:4">
      <c r="A346" s="549">
        <v>952</v>
      </c>
      <c r="B346" s="550" t="s">
        <v>20111</v>
      </c>
      <c r="C346" s="551" t="s">
        <v>20100</v>
      </c>
      <c r="D346" s="548">
        <v>910.77</v>
      </c>
    </row>
    <row r="347" spans="1:4">
      <c r="A347" s="549">
        <v>978</v>
      </c>
      <c r="B347" s="550" t="s">
        <v>20112</v>
      </c>
      <c r="C347" s="551" t="s">
        <v>20100</v>
      </c>
      <c r="D347" s="548">
        <v>108.89</v>
      </c>
    </row>
    <row r="348" spans="1:4">
      <c r="A348" s="549">
        <v>997</v>
      </c>
      <c r="B348" s="550" t="s">
        <v>20113</v>
      </c>
      <c r="C348" s="551" t="s">
        <v>20100</v>
      </c>
      <c r="D348" s="548">
        <v>87.76</v>
      </c>
    </row>
    <row r="349" spans="1:4">
      <c r="A349" s="553"/>
      <c r="B349" s="554" t="s">
        <v>20114</v>
      </c>
      <c r="C349" s="553"/>
      <c r="D349" s="555"/>
    </row>
    <row r="350" spans="1:4" ht="16.5">
      <c r="A350" s="549">
        <v>1611</v>
      </c>
      <c r="B350" s="552" t="s">
        <v>20115</v>
      </c>
      <c r="C350" s="551" t="s">
        <v>20100</v>
      </c>
      <c r="D350" s="548">
        <v>1052.3900000000001</v>
      </c>
    </row>
    <row r="351" spans="1:4" ht="16.5">
      <c r="A351" s="549">
        <v>1612</v>
      </c>
      <c r="B351" s="552" t="s">
        <v>20116</v>
      </c>
      <c r="C351" s="551" t="s">
        <v>20100</v>
      </c>
      <c r="D351" s="548">
        <v>1231.04</v>
      </c>
    </row>
    <row r="352" spans="1:4" ht="16.5">
      <c r="A352" s="549">
        <v>1613</v>
      </c>
      <c r="B352" s="552" t="s">
        <v>20117</v>
      </c>
      <c r="C352" s="551" t="s">
        <v>20100</v>
      </c>
      <c r="D352" s="548">
        <v>1370.56</v>
      </c>
    </row>
    <row r="353" spans="1:4" ht="16.5">
      <c r="A353" s="549">
        <v>1614</v>
      </c>
      <c r="B353" s="552" t="s">
        <v>20118</v>
      </c>
      <c r="C353" s="551" t="s">
        <v>20100</v>
      </c>
      <c r="D353" s="548">
        <v>1501.81</v>
      </c>
    </row>
    <row r="354" spans="1:4" ht="16.5">
      <c r="A354" s="549">
        <v>1615</v>
      </c>
      <c r="B354" s="552" t="s">
        <v>20119</v>
      </c>
      <c r="C354" s="551" t="s">
        <v>20100</v>
      </c>
      <c r="D354" s="548">
        <v>1595.47</v>
      </c>
    </row>
    <row r="355" spans="1:4" ht="16.5">
      <c r="A355" s="549">
        <v>1616</v>
      </c>
      <c r="B355" s="552" t="s">
        <v>20120</v>
      </c>
      <c r="C355" s="551" t="s">
        <v>20100</v>
      </c>
      <c r="D355" s="548">
        <v>1726.7</v>
      </c>
    </row>
    <row r="356" spans="1:4" ht="16.5">
      <c r="A356" s="549">
        <v>1617</v>
      </c>
      <c r="B356" s="552" t="s">
        <v>20121</v>
      </c>
      <c r="C356" s="551" t="s">
        <v>20100</v>
      </c>
      <c r="D356" s="548">
        <v>1866.25</v>
      </c>
    </row>
    <row r="357" spans="1:4" ht="16.5">
      <c r="A357" s="549">
        <v>1737</v>
      </c>
      <c r="B357" s="552" t="s">
        <v>20122</v>
      </c>
      <c r="C357" s="551" t="s">
        <v>20100</v>
      </c>
      <c r="D357" s="548">
        <v>1146.05</v>
      </c>
    </row>
    <row r="358" spans="1:4">
      <c r="A358" s="553"/>
      <c r="B358" s="554" t="s">
        <v>20123</v>
      </c>
      <c r="C358" s="553"/>
      <c r="D358" s="555"/>
    </row>
    <row r="359" spans="1:4">
      <c r="A359" s="549">
        <v>996</v>
      </c>
      <c r="B359" s="550" t="s">
        <v>20124</v>
      </c>
      <c r="C359" s="551" t="s">
        <v>20100</v>
      </c>
      <c r="D359" s="548">
        <v>42.98</v>
      </c>
    </row>
    <row r="360" spans="1:4">
      <c r="A360" s="619" t="s">
        <v>20622</v>
      </c>
      <c r="B360" s="620" t="s">
        <v>20124</v>
      </c>
      <c r="C360" s="621" t="s">
        <v>20100</v>
      </c>
      <c r="D360" s="618">
        <v>42.98</v>
      </c>
    </row>
    <row r="361" spans="1:4">
      <c r="A361" s="549">
        <v>1713</v>
      </c>
      <c r="B361" s="550" t="s">
        <v>20125</v>
      </c>
      <c r="C361" s="551" t="s">
        <v>20100</v>
      </c>
      <c r="D361" s="548">
        <v>6.91</v>
      </c>
    </row>
    <row r="362" spans="1:4" s="608" customFormat="1">
      <c r="A362" s="619" t="s">
        <v>20616</v>
      </c>
      <c r="B362" s="620" t="s">
        <v>20125</v>
      </c>
      <c r="C362" s="621" t="s">
        <v>20100</v>
      </c>
      <c r="D362" s="618">
        <v>6.91</v>
      </c>
    </row>
    <row r="363" spans="1:4">
      <c r="A363" s="549">
        <v>1714</v>
      </c>
      <c r="B363" s="550" t="s">
        <v>20126</v>
      </c>
      <c r="C363" s="551" t="s">
        <v>20100</v>
      </c>
      <c r="D363" s="548">
        <v>6.98</v>
      </c>
    </row>
    <row r="364" spans="1:4" s="608" customFormat="1">
      <c r="A364" s="619" t="s">
        <v>20617</v>
      </c>
      <c r="B364" s="620" t="s">
        <v>20126</v>
      </c>
      <c r="C364" s="621" t="s">
        <v>20100</v>
      </c>
      <c r="D364" s="618">
        <v>6.98</v>
      </c>
    </row>
    <row r="365" spans="1:4">
      <c r="A365" s="549">
        <v>1715</v>
      </c>
      <c r="B365" s="550" t="s">
        <v>20127</v>
      </c>
      <c r="C365" s="551" t="s">
        <v>20100</v>
      </c>
      <c r="D365" s="548">
        <v>8.94</v>
      </c>
    </row>
    <row r="366" spans="1:4" s="608" customFormat="1">
      <c r="A366" s="619" t="s">
        <v>20618</v>
      </c>
      <c r="B366" s="620" t="s">
        <v>20127</v>
      </c>
      <c r="C366" s="621" t="s">
        <v>20100</v>
      </c>
      <c r="D366" s="618">
        <v>8.94</v>
      </c>
    </row>
    <row r="367" spans="1:4">
      <c r="A367" s="549">
        <v>1716</v>
      </c>
      <c r="B367" s="550" t="s">
        <v>20128</v>
      </c>
      <c r="C367" s="551" t="s">
        <v>20100</v>
      </c>
      <c r="D367" s="548">
        <v>9.0399999999999991</v>
      </c>
    </row>
    <row r="368" spans="1:4">
      <c r="A368" s="619" t="s">
        <v>20619</v>
      </c>
      <c r="B368" s="620" t="s">
        <v>20128</v>
      </c>
      <c r="C368" s="621" t="s">
        <v>20100</v>
      </c>
      <c r="D368" s="618">
        <v>9.0399999999999991</v>
      </c>
    </row>
    <row r="369" spans="1:4">
      <c r="A369" s="619" t="s">
        <v>20609</v>
      </c>
      <c r="B369" s="620" t="s">
        <v>20129</v>
      </c>
      <c r="C369" s="621" t="s">
        <v>20130</v>
      </c>
      <c r="D369" s="618">
        <v>1.74</v>
      </c>
    </row>
    <row r="370" spans="1:4">
      <c r="A370" s="549">
        <v>1718</v>
      </c>
      <c r="B370" s="550" t="s">
        <v>20129</v>
      </c>
      <c r="C370" s="551" t="s">
        <v>20130</v>
      </c>
      <c r="D370" s="548">
        <v>1.74</v>
      </c>
    </row>
    <row r="371" spans="1:4">
      <c r="A371" s="619" t="s">
        <v>20610</v>
      </c>
      <c r="B371" s="620" t="s">
        <v>20131</v>
      </c>
      <c r="C371" s="621" t="s">
        <v>20130</v>
      </c>
      <c r="D371" s="618">
        <v>4.4400000000000004</v>
      </c>
    </row>
    <row r="372" spans="1:4">
      <c r="A372" s="549">
        <v>1719</v>
      </c>
      <c r="B372" s="550" t="s">
        <v>20131</v>
      </c>
      <c r="C372" s="551" t="s">
        <v>20130</v>
      </c>
      <c r="D372" s="548">
        <v>4.4400000000000004</v>
      </c>
    </row>
    <row r="373" spans="1:4">
      <c r="A373" s="619" t="s">
        <v>20611</v>
      </c>
      <c r="B373" s="620" t="s">
        <v>20132</v>
      </c>
      <c r="C373" s="621" t="s">
        <v>20130</v>
      </c>
      <c r="D373" s="618">
        <v>4.62</v>
      </c>
    </row>
    <row r="374" spans="1:4">
      <c r="A374" s="549">
        <v>1720</v>
      </c>
      <c r="B374" s="550" t="s">
        <v>20132</v>
      </c>
      <c r="C374" s="551" t="s">
        <v>20130</v>
      </c>
      <c r="D374" s="548">
        <v>4.62</v>
      </c>
    </row>
    <row r="375" spans="1:4">
      <c r="A375" s="619" t="s">
        <v>20612</v>
      </c>
      <c r="B375" s="620" t="s">
        <v>20133</v>
      </c>
      <c r="C375" s="621" t="s">
        <v>20130</v>
      </c>
      <c r="D375" s="618">
        <v>7.62</v>
      </c>
    </row>
    <row r="376" spans="1:4">
      <c r="A376" s="549">
        <v>1721</v>
      </c>
      <c r="B376" s="550" t="s">
        <v>20133</v>
      </c>
      <c r="C376" s="551" t="s">
        <v>20130</v>
      </c>
      <c r="D376" s="548">
        <v>7.62</v>
      </c>
    </row>
    <row r="377" spans="1:4">
      <c r="A377" s="619" t="s">
        <v>20613</v>
      </c>
      <c r="B377" s="620" t="s">
        <v>20134</v>
      </c>
      <c r="C377" s="621" t="s">
        <v>20100</v>
      </c>
      <c r="D377" s="618">
        <v>12.16</v>
      </c>
    </row>
    <row r="378" spans="1:4">
      <c r="A378" s="549">
        <v>1723</v>
      </c>
      <c r="B378" s="550" t="s">
        <v>20134</v>
      </c>
      <c r="C378" s="551" t="s">
        <v>20100</v>
      </c>
      <c r="D378" s="548">
        <v>12.16</v>
      </c>
    </row>
    <row r="379" spans="1:4">
      <c r="A379" s="549">
        <v>1724</v>
      </c>
      <c r="B379" s="550" t="s">
        <v>20135</v>
      </c>
      <c r="C379" s="551" t="s">
        <v>20100</v>
      </c>
      <c r="D379" s="548">
        <v>14.88</v>
      </c>
    </row>
    <row r="380" spans="1:4">
      <c r="A380" s="549">
        <v>1725</v>
      </c>
      <c r="B380" s="550" t="s">
        <v>20136</v>
      </c>
      <c r="C380" s="551" t="s">
        <v>20100</v>
      </c>
      <c r="D380" s="548">
        <v>16.39</v>
      </c>
    </row>
    <row r="381" spans="1:4">
      <c r="A381" s="549">
        <v>1727</v>
      </c>
      <c r="B381" s="550" t="s">
        <v>20137</v>
      </c>
      <c r="C381" s="551" t="s">
        <v>20100</v>
      </c>
      <c r="D381" s="548">
        <v>19.86</v>
      </c>
    </row>
    <row r="382" spans="1:4">
      <c r="A382" s="549">
        <v>1728</v>
      </c>
      <c r="B382" s="550" t="s">
        <v>20138</v>
      </c>
      <c r="C382" s="551" t="s">
        <v>20100</v>
      </c>
      <c r="D382" s="548">
        <v>12.16</v>
      </c>
    </row>
    <row r="383" spans="1:4">
      <c r="A383" s="619" t="s">
        <v>20646</v>
      </c>
      <c r="B383" s="620" t="s">
        <v>20138</v>
      </c>
      <c r="C383" s="621" t="s">
        <v>20100</v>
      </c>
      <c r="D383" s="618">
        <v>12.16</v>
      </c>
    </row>
    <row r="384" spans="1:4">
      <c r="A384" s="619" t="s">
        <v>20614</v>
      </c>
      <c r="B384" s="620" t="s">
        <v>20139</v>
      </c>
      <c r="C384" s="621" t="s">
        <v>20100</v>
      </c>
      <c r="D384" s="618">
        <v>45.58</v>
      </c>
    </row>
    <row r="385" spans="1:4">
      <c r="A385" s="549">
        <v>1729</v>
      </c>
      <c r="B385" s="550" t="s">
        <v>20139</v>
      </c>
      <c r="C385" s="551" t="s">
        <v>20100</v>
      </c>
      <c r="D385" s="548">
        <v>45.58</v>
      </c>
    </row>
    <row r="386" spans="1:4">
      <c r="A386" s="619" t="s">
        <v>20615</v>
      </c>
      <c r="B386" s="620" t="s">
        <v>20140</v>
      </c>
      <c r="C386" s="621" t="s">
        <v>20100</v>
      </c>
      <c r="D386" s="618">
        <v>54.79</v>
      </c>
    </row>
    <row r="387" spans="1:4">
      <c r="A387" s="549">
        <v>1730</v>
      </c>
      <c r="B387" s="550" t="s">
        <v>20140</v>
      </c>
      <c r="C387" s="551" t="s">
        <v>20100</v>
      </c>
      <c r="D387" s="548">
        <v>54.79</v>
      </c>
    </row>
    <row r="388" spans="1:4">
      <c r="A388" s="619" t="s">
        <v>20620</v>
      </c>
      <c r="B388" s="620" t="s">
        <v>20141</v>
      </c>
      <c r="C388" s="621" t="s">
        <v>20100</v>
      </c>
      <c r="D388" s="618">
        <v>194.15</v>
      </c>
    </row>
    <row r="389" spans="1:4">
      <c r="A389" s="549">
        <v>1731</v>
      </c>
      <c r="B389" s="550" t="s">
        <v>20141</v>
      </c>
      <c r="C389" s="551" t="s">
        <v>20100</v>
      </c>
      <c r="D389" s="548">
        <v>194.15</v>
      </c>
    </row>
    <row r="390" spans="1:4">
      <c r="A390" s="619" t="s">
        <v>20621</v>
      </c>
      <c r="B390" s="620" t="s">
        <v>20142</v>
      </c>
      <c r="C390" s="621" t="s">
        <v>20100</v>
      </c>
      <c r="D390" s="618">
        <v>96.01</v>
      </c>
    </row>
    <row r="391" spans="1:4">
      <c r="A391" s="549">
        <v>1732</v>
      </c>
      <c r="B391" s="550" t="s">
        <v>20142</v>
      </c>
      <c r="C391" s="551" t="s">
        <v>20100</v>
      </c>
      <c r="D391" s="548">
        <v>96.01</v>
      </c>
    </row>
    <row r="392" spans="1:4">
      <c r="A392" s="553"/>
      <c r="B392" s="554" t="s">
        <v>20143</v>
      </c>
      <c r="C392" s="553"/>
      <c r="D392" s="555"/>
    </row>
    <row r="393" spans="1:4">
      <c r="A393" s="619" t="s">
        <v>20606</v>
      </c>
      <c r="B393" s="620" t="s">
        <v>20144</v>
      </c>
      <c r="C393" s="621" t="s">
        <v>255</v>
      </c>
      <c r="D393" s="618">
        <v>36</v>
      </c>
    </row>
    <row r="394" spans="1:4">
      <c r="A394" s="549">
        <v>1756</v>
      </c>
      <c r="B394" s="550" t="s">
        <v>20144</v>
      </c>
      <c r="C394" s="551" t="s">
        <v>255</v>
      </c>
      <c r="D394" s="548">
        <v>36</v>
      </c>
    </row>
    <row r="395" spans="1:4">
      <c r="A395" s="619" t="s">
        <v>20607</v>
      </c>
      <c r="B395" s="620" t="s">
        <v>20145</v>
      </c>
      <c r="C395" s="621" t="s">
        <v>255</v>
      </c>
      <c r="D395" s="618">
        <v>73.069999999999993</v>
      </c>
    </row>
    <row r="396" spans="1:4">
      <c r="A396" s="549">
        <v>1757</v>
      </c>
      <c r="B396" s="550" t="s">
        <v>20145</v>
      </c>
      <c r="C396" s="551" t="s">
        <v>255</v>
      </c>
      <c r="D396" s="548">
        <v>73.069999999999993</v>
      </c>
    </row>
    <row r="397" spans="1:4">
      <c r="A397" s="619" t="s">
        <v>20608</v>
      </c>
      <c r="B397" s="620" t="s">
        <v>20146</v>
      </c>
      <c r="C397" s="621" t="s">
        <v>20100</v>
      </c>
      <c r="D397" s="618">
        <v>206.46</v>
      </c>
    </row>
    <row r="398" spans="1:4">
      <c r="A398" s="549">
        <v>1758</v>
      </c>
      <c r="B398" s="550" t="s">
        <v>20146</v>
      </c>
      <c r="C398" s="551" t="s">
        <v>20100</v>
      </c>
      <c r="D398" s="548">
        <v>206.46</v>
      </c>
    </row>
    <row r="399" spans="1:4">
      <c r="A399" s="530">
        <v>1759</v>
      </c>
      <c r="B399" s="550" t="s">
        <v>1262</v>
      </c>
      <c r="C399" s="551" t="s">
        <v>65</v>
      </c>
      <c r="D399" s="548">
        <v>5.25</v>
      </c>
    </row>
    <row r="400" spans="1:4" ht="24.75">
      <c r="A400" s="530">
        <v>1760</v>
      </c>
      <c r="B400" s="550" t="s">
        <v>20147</v>
      </c>
      <c r="C400" s="551" t="s">
        <v>65</v>
      </c>
      <c r="D400" s="548">
        <v>61.96</v>
      </c>
    </row>
    <row r="401" spans="1:4" ht="16.5">
      <c r="A401" s="530">
        <v>1761</v>
      </c>
      <c r="B401" s="527" t="s">
        <v>20148</v>
      </c>
      <c r="C401" s="530" t="s">
        <v>65</v>
      </c>
      <c r="D401" s="531">
        <v>128.54</v>
      </c>
    </row>
    <row r="402" spans="1:4" ht="16.5">
      <c r="A402" s="530">
        <v>1764</v>
      </c>
      <c r="B402" s="527" t="s">
        <v>20149</v>
      </c>
      <c r="C402" s="530" t="s">
        <v>65</v>
      </c>
      <c r="D402" s="531">
        <v>22.4</v>
      </c>
    </row>
    <row r="403" spans="1:4">
      <c r="A403" s="530">
        <v>1765</v>
      </c>
      <c r="B403" s="527" t="s">
        <v>1263</v>
      </c>
      <c r="C403" s="530" t="s">
        <v>71</v>
      </c>
      <c r="D403" s="531">
        <v>11.98</v>
      </c>
    </row>
    <row r="404" spans="1:4">
      <c r="A404" s="530">
        <v>1766</v>
      </c>
      <c r="B404" s="527" t="s">
        <v>20150</v>
      </c>
      <c r="C404" s="530" t="s">
        <v>71</v>
      </c>
      <c r="D404" s="531">
        <v>34.78</v>
      </c>
    </row>
    <row r="405" spans="1:4">
      <c r="A405" s="617" t="s">
        <v>20645</v>
      </c>
      <c r="B405" s="616" t="s">
        <v>20150</v>
      </c>
      <c r="C405" s="617" t="s">
        <v>71</v>
      </c>
      <c r="D405" s="618">
        <v>34.78</v>
      </c>
    </row>
    <row r="406" spans="1:4" ht="16.5">
      <c r="A406" s="530">
        <v>1767</v>
      </c>
      <c r="B406" s="527" t="s">
        <v>20151</v>
      </c>
      <c r="C406" s="530" t="s">
        <v>71</v>
      </c>
      <c r="D406" s="531">
        <v>34.78</v>
      </c>
    </row>
    <row r="407" spans="1:4">
      <c r="A407" s="543"/>
      <c r="B407" s="534" t="s">
        <v>20152</v>
      </c>
      <c r="C407" s="543"/>
      <c r="D407" s="544"/>
    </row>
    <row r="408" spans="1:4">
      <c r="A408" s="530">
        <v>957</v>
      </c>
      <c r="B408" s="527" t="s">
        <v>20153</v>
      </c>
      <c r="C408" s="530" t="s">
        <v>71</v>
      </c>
      <c r="D408" s="531">
        <v>18.2</v>
      </c>
    </row>
    <row r="409" spans="1:4">
      <c r="A409" s="530">
        <v>959</v>
      </c>
      <c r="B409" s="527" t="s">
        <v>20154</v>
      </c>
      <c r="C409" s="530" t="s">
        <v>71</v>
      </c>
      <c r="D409" s="531">
        <v>17.18</v>
      </c>
    </row>
    <row r="410" spans="1:4">
      <c r="A410" s="530">
        <v>960</v>
      </c>
      <c r="B410" s="527" t="s">
        <v>20155</v>
      </c>
      <c r="C410" s="530" t="s">
        <v>71</v>
      </c>
      <c r="D410" s="531">
        <v>23.01</v>
      </c>
    </row>
    <row r="411" spans="1:4">
      <c r="A411" s="530">
        <v>961</v>
      </c>
      <c r="B411" s="527" t="s">
        <v>20156</v>
      </c>
      <c r="C411" s="530" t="s">
        <v>71</v>
      </c>
      <c r="D411" s="531">
        <v>25.51</v>
      </c>
    </row>
    <row r="412" spans="1:4">
      <c r="A412" s="530">
        <v>962</v>
      </c>
      <c r="B412" s="527" t="s">
        <v>20157</v>
      </c>
      <c r="C412" s="530" t="s">
        <v>71</v>
      </c>
      <c r="D412" s="531">
        <v>30.49</v>
      </c>
    </row>
    <row r="413" spans="1:4">
      <c r="A413" s="530">
        <v>963</v>
      </c>
      <c r="B413" s="527" t="s">
        <v>20158</v>
      </c>
      <c r="C413" s="530" t="s">
        <v>71</v>
      </c>
      <c r="D413" s="531">
        <v>35.99</v>
      </c>
    </row>
    <row r="414" spans="1:4">
      <c r="A414" s="530">
        <v>964</v>
      </c>
      <c r="B414" s="527" t="s">
        <v>20159</v>
      </c>
      <c r="C414" s="530" t="s">
        <v>71</v>
      </c>
      <c r="D414" s="531">
        <v>32.6</v>
      </c>
    </row>
    <row r="415" spans="1:4">
      <c r="A415" s="530">
        <v>965</v>
      </c>
      <c r="B415" s="527" t="s">
        <v>20160</v>
      </c>
      <c r="C415" s="530" t="s">
        <v>71</v>
      </c>
      <c r="D415" s="531">
        <v>40.47</v>
      </c>
    </row>
    <row r="416" spans="1:4">
      <c r="A416" s="530">
        <v>966</v>
      </c>
      <c r="B416" s="527" t="s">
        <v>20161</v>
      </c>
      <c r="C416" s="530" t="s">
        <v>71</v>
      </c>
      <c r="D416" s="531">
        <v>49.76</v>
      </c>
    </row>
    <row r="417" spans="1:4">
      <c r="A417" s="530">
        <v>967</v>
      </c>
      <c r="B417" s="527" t="s">
        <v>20162</v>
      </c>
      <c r="C417" s="530" t="s">
        <v>71</v>
      </c>
      <c r="D417" s="531">
        <v>60.4</v>
      </c>
    </row>
    <row r="418" spans="1:4">
      <c r="A418" s="543"/>
      <c r="B418" s="534" t="s">
        <v>20163</v>
      </c>
      <c r="C418" s="543"/>
      <c r="D418" s="544"/>
    </row>
    <row r="419" spans="1:4">
      <c r="A419" s="530">
        <v>1418</v>
      </c>
      <c r="B419" s="527" t="s">
        <v>19832</v>
      </c>
      <c r="C419" s="530" t="s">
        <v>255</v>
      </c>
      <c r="D419" s="531">
        <v>24.32</v>
      </c>
    </row>
    <row r="420" spans="1:4">
      <c r="A420" s="617" t="s">
        <v>20601</v>
      </c>
      <c r="B420" s="616" t="s">
        <v>19832</v>
      </c>
      <c r="C420" s="617" t="s">
        <v>255</v>
      </c>
      <c r="D420" s="618">
        <v>24.32</v>
      </c>
    </row>
    <row r="421" spans="1:4">
      <c r="A421" s="617" t="s">
        <v>20603</v>
      </c>
      <c r="B421" s="616" t="s">
        <v>19833</v>
      </c>
      <c r="C421" s="617" t="s">
        <v>255</v>
      </c>
      <c r="D421" s="618">
        <v>177.76</v>
      </c>
    </row>
    <row r="422" spans="1:4">
      <c r="A422" s="530">
        <v>1419</v>
      </c>
      <c r="B422" s="527" t="s">
        <v>19833</v>
      </c>
      <c r="C422" s="530" t="s">
        <v>255</v>
      </c>
      <c r="D422" s="531">
        <v>177.76</v>
      </c>
    </row>
    <row r="423" spans="1:4" ht="16.5">
      <c r="A423" s="530">
        <v>1421</v>
      </c>
      <c r="B423" s="527" t="s">
        <v>20164</v>
      </c>
      <c r="C423" s="530" t="s">
        <v>256</v>
      </c>
      <c r="D423" s="531">
        <v>49.92</v>
      </c>
    </row>
    <row r="424" spans="1:4">
      <c r="A424" s="530">
        <v>1423</v>
      </c>
      <c r="B424" s="527" t="s">
        <v>20165</v>
      </c>
      <c r="C424" s="530" t="s">
        <v>256</v>
      </c>
      <c r="D424" s="531">
        <v>15.51</v>
      </c>
    </row>
    <row r="425" spans="1:4">
      <c r="A425" s="530">
        <v>1424</v>
      </c>
      <c r="B425" s="527" t="s">
        <v>1264</v>
      </c>
      <c r="C425" s="530" t="s">
        <v>71</v>
      </c>
      <c r="D425" s="531">
        <v>6.01</v>
      </c>
    </row>
    <row r="426" spans="1:4">
      <c r="A426" s="617" t="s">
        <v>20648</v>
      </c>
      <c r="B426" s="616" t="s">
        <v>1264</v>
      </c>
      <c r="C426" s="617" t="s">
        <v>71</v>
      </c>
      <c r="D426" s="618">
        <v>6.01</v>
      </c>
    </row>
    <row r="427" spans="1:4">
      <c r="A427" s="530">
        <v>1426</v>
      </c>
      <c r="B427" s="527" t="s">
        <v>1265</v>
      </c>
      <c r="C427" s="530" t="s">
        <v>256</v>
      </c>
      <c r="D427" s="531">
        <v>6.55</v>
      </c>
    </row>
    <row r="428" spans="1:4">
      <c r="A428" s="530">
        <v>1428</v>
      </c>
      <c r="B428" s="527" t="s">
        <v>20166</v>
      </c>
      <c r="C428" s="530" t="s">
        <v>256</v>
      </c>
      <c r="D428" s="531">
        <v>24.02</v>
      </c>
    </row>
    <row r="429" spans="1:4">
      <c r="A429" s="530">
        <v>1429</v>
      </c>
      <c r="B429" s="527" t="s">
        <v>20167</v>
      </c>
      <c r="C429" s="530" t="s">
        <v>256</v>
      </c>
      <c r="D429" s="531">
        <v>17.670000000000002</v>
      </c>
    </row>
    <row r="430" spans="1:4" ht="24.75">
      <c r="A430" s="530">
        <v>1430</v>
      </c>
      <c r="B430" s="527" t="s">
        <v>20168</v>
      </c>
      <c r="C430" s="530" t="s">
        <v>256</v>
      </c>
      <c r="D430" s="531">
        <v>28.32</v>
      </c>
    </row>
    <row r="431" spans="1:4" ht="24.75">
      <c r="A431" s="617" t="s">
        <v>20602</v>
      </c>
      <c r="B431" s="616" t="s">
        <v>20168</v>
      </c>
      <c r="C431" s="617" t="s">
        <v>256</v>
      </c>
      <c r="D431" s="618">
        <v>28.32</v>
      </c>
    </row>
    <row r="432" spans="1:4">
      <c r="A432" s="530">
        <v>1431</v>
      </c>
      <c r="B432" s="527" t="s">
        <v>20169</v>
      </c>
      <c r="C432" s="530" t="s">
        <v>256</v>
      </c>
      <c r="D432" s="531">
        <v>13.04</v>
      </c>
    </row>
    <row r="433" spans="1:4">
      <c r="A433" s="530">
        <v>1432</v>
      </c>
      <c r="B433" s="527" t="s">
        <v>20170</v>
      </c>
      <c r="C433" s="530" t="s">
        <v>256</v>
      </c>
      <c r="D433" s="531">
        <v>39.01</v>
      </c>
    </row>
    <row r="434" spans="1:4">
      <c r="A434" s="530">
        <v>1433</v>
      </c>
      <c r="B434" s="527" t="s">
        <v>20171</v>
      </c>
      <c r="C434" s="530" t="s">
        <v>256</v>
      </c>
      <c r="D434" s="531">
        <v>25.28</v>
      </c>
    </row>
    <row r="435" spans="1:4">
      <c r="A435" s="530">
        <v>1434</v>
      </c>
      <c r="B435" s="527" t="s">
        <v>20172</v>
      </c>
      <c r="C435" s="530" t="s">
        <v>71</v>
      </c>
      <c r="D435" s="531">
        <v>20.55</v>
      </c>
    </row>
    <row r="436" spans="1:4">
      <c r="A436" s="543"/>
      <c r="B436" s="534" t="s">
        <v>19968</v>
      </c>
      <c r="C436" s="543"/>
      <c r="D436" s="544"/>
    </row>
    <row r="437" spans="1:4">
      <c r="A437" s="530">
        <v>648</v>
      </c>
      <c r="B437" s="527" t="s">
        <v>1266</v>
      </c>
      <c r="C437" s="530" t="s">
        <v>65</v>
      </c>
      <c r="D437" s="531">
        <v>40.03</v>
      </c>
    </row>
    <row r="438" spans="1:4">
      <c r="A438" s="530">
        <v>791</v>
      </c>
      <c r="B438" s="527" t="s">
        <v>1267</v>
      </c>
      <c r="C438" s="530" t="s">
        <v>65</v>
      </c>
      <c r="D438" s="531">
        <v>55.7</v>
      </c>
    </row>
    <row r="439" spans="1:4">
      <c r="A439" s="530">
        <v>792</v>
      </c>
      <c r="B439" s="527" t="s">
        <v>20173</v>
      </c>
      <c r="C439" s="530" t="s">
        <v>65</v>
      </c>
      <c r="D439" s="531">
        <v>27.29</v>
      </c>
    </row>
    <row r="440" spans="1:4">
      <c r="A440" s="530">
        <v>1722</v>
      </c>
      <c r="B440" s="527" t="s">
        <v>20174</v>
      </c>
      <c r="C440" s="530" t="s">
        <v>65</v>
      </c>
      <c r="D440" s="531">
        <v>28.74</v>
      </c>
    </row>
    <row r="441" spans="1:4">
      <c r="A441" s="543"/>
      <c r="B441" s="534" t="s">
        <v>20175</v>
      </c>
      <c r="C441" s="543"/>
      <c r="D441" s="544"/>
    </row>
    <row r="442" spans="1:4">
      <c r="A442" s="543"/>
      <c r="B442" s="534" t="s">
        <v>20176</v>
      </c>
      <c r="C442" s="543"/>
      <c r="D442" s="544"/>
    </row>
    <row r="443" spans="1:4">
      <c r="A443" s="530">
        <v>155</v>
      </c>
      <c r="B443" s="527" t="s">
        <v>20177</v>
      </c>
      <c r="C443" s="530" t="s">
        <v>255</v>
      </c>
      <c r="D443" s="531">
        <v>1.75</v>
      </c>
    </row>
    <row r="444" spans="1:4">
      <c r="A444" s="530">
        <v>159</v>
      </c>
      <c r="B444" s="527" t="s">
        <v>20178</v>
      </c>
      <c r="C444" s="530" t="s">
        <v>255</v>
      </c>
      <c r="D444" s="531">
        <v>2.6</v>
      </c>
    </row>
    <row r="445" spans="1:4">
      <c r="A445" s="530">
        <v>161</v>
      </c>
      <c r="B445" s="527" t="s">
        <v>20179</v>
      </c>
      <c r="C445" s="530" t="s">
        <v>255</v>
      </c>
      <c r="D445" s="531">
        <v>2.6</v>
      </c>
    </row>
    <row r="446" spans="1:4">
      <c r="A446" s="530">
        <v>196</v>
      </c>
      <c r="B446" s="527" t="s">
        <v>20180</v>
      </c>
      <c r="C446" s="530" t="s">
        <v>255</v>
      </c>
      <c r="D446" s="531">
        <v>6.72</v>
      </c>
    </row>
    <row r="447" spans="1:4">
      <c r="A447" s="530">
        <v>205</v>
      </c>
      <c r="B447" s="527" t="s">
        <v>20181</v>
      </c>
      <c r="C447" s="530" t="s">
        <v>256</v>
      </c>
      <c r="D447" s="531">
        <v>0.47</v>
      </c>
    </row>
    <row r="448" spans="1:4">
      <c r="A448" s="530">
        <v>206</v>
      </c>
      <c r="B448" s="527" t="s">
        <v>20182</v>
      </c>
      <c r="C448" s="530" t="s">
        <v>255</v>
      </c>
      <c r="D448" s="531">
        <v>2.38</v>
      </c>
    </row>
    <row r="449" spans="1:4">
      <c r="A449" s="530">
        <v>233</v>
      </c>
      <c r="B449" s="527" t="s">
        <v>19829</v>
      </c>
      <c r="C449" s="530" t="s">
        <v>255</v>
      </c>
      <c r="D449" s="531">
        <v>4.3499999999999996</v>
      </c>
    </row>
    <row r="450" spans="1:4">
      <c r="A450" s="617" t="s">
        <v>20575</v>
      </c>
      <c r="B450" s="616" t="s">
        <v>19829</v>
      </c>
      <c r="C450" s="617" t="s">
        <v>255</v>
      </c>
      <c r="D450" s="618">
        <v>4.3499999999999996</v>
      </c>
    </row>
    <row r="452" spans="1:4">
      <c r="A452" s="530" t="s">
        <v>20200</v>
      </c>
      <c r="B452" s="527" t="s">
        <v>20201</v>
      </c>
      <c r="C452" s="530" t="s">
        <v>14339</v>
      </c>
      <c r="D452" s="531">
        <v>94.7</v>
      </c>
    </row>
    <row r="453" spans="1:4">
      <c r="A453" s="617" t="s">
        <v>20641</v>
      </c>
      <c r="B453" s="616" t="s">
        <v>20201</v>
      </c>
      <c r="C453" s="617" t="s">
        <v>14339</v>
      </c>
      <c r="D453" s="618">
        <v>94.7</v>
      </c>
    </row>
  </sheetData>
  <pageMargins left="0.511811024" right="0.511811024" top="0.78740157499999996" bottom="0.78740157499999996" header="0.31496062000000002" footer="0.31496062000000002"/>
  <pageSetup paperSize="9" scale="67" orientation="portrait" horizontalDpi="1200" verticalDpi="1200" r:id="rId1"/>
  <rowBreaks count="1" manualBreakCount="1">
    <brk id="61"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E10925"/>
  <sheetViews>
    <sheetView view="pageBreakPreview" zoomScale="70" zoomScaleNormal="70" zoomScaleSheetLayoutView="70" workbookViewId="0">
      <selection activeCell="D9631" sqref="D9631"/>
    </sheetView>
  </sheetViews>
  <sheetFormatPr defaultRowHeight="15"/>
  <cols>
    <col min="1" max="1" width="13.42578125" style="347" customWidth="1"/>
    <col min="2" max="2" width="87.7109375" style="347" customWidth="1"/>
    <col min="3" max="3" width="11.28515625" style="347" customWidth="1"/>
    <col min="4" max="5" width="15.28515625" style="483" customWidth="1"/>
  </cols>
  <sheetData>
    <row r="1" spans="1:5" ht="36.75" customHeight="1" thickBot="1">
      <c r="A1" s="45" t="s">
        <v>86</v>
      </c>
      <c r="B1" s="46" t="s">
        <v>20183</v>
      </c>
      <c r="C1" s="45" t="s">
        <v>25</v>
      </c>
      <c r="D1" s="331" t="s">
        <v>10856</v>
      </c>
      <c r="E1" s="331" t="s">
        <v>10856</v>
      </c>
    </row>
    <row r="2" spans="1:5" ht="30">
      <c r="A2" s="349" t="s">
        <v>14673</v>
      </c>
      <c r="B2" s="348" t="s">
        <v>14674</v>
      </c>
      <c r="C2" s="349" t="s">
        <v>71</v>
      </c>
      <c r="D2" s="483">
        <v>3.14</v>
      </c>
      <c r="E2" s="483">
        <v>3.14</v>
      </c>
    </row>
    <row r="3" spans="1:5" ht="30">
      <c r="A3" s="484" t="s">
        <v>14675</v>
      </c>
      <c r="B3" s="485" t="s">
        <v>14676</v>
      </c>
      <c r="C3" s="484" t="s">
        <v>71</v>
      </c>
      <c r="D3" s="486">
        <v>3.77</v>
      </c>
      <c r="E3" s="486">
        <v>3.77</v>
      </c>
    </row>
    <row r="4" spans="1:5" s="25" customFormat="1" ht="30">
      <c r="A4" s="606" t="s">
        <v>20592</v>
      </c>
      <c r="B4" s="605" t="s">
        <v>14676</v>
      </c>
      <c r="C4" s="606" t="s">
        <v>71</v>
      </c>
      <c r="D4" s="607">
        <v>3.77</v>
      </c>
      <c r="E4" s="486"/>
    </row>
    <row r="5" spans="1:5" ht="30">
      <c r="A5" s="349" t="s">
        <v>14677</v>
      </c>
      <c r="B5" s="348" t="s">
        <v>14678</v>
      </c>
      <c r="C5" s="349" t="s">
        <v>71</v>
      </c>
      <c r="D5" s="483">
        <v>6.4</v>
      </c>
      <c r="E5" s="483">
        <v>6.4</v>
      </c>
    </row>
    <row r="6" spans="1:5" s="25" customFormat="1" ht="30">
      <c r="A6" s="606" t="s">
        <v>20593</v>
      </c>
      <c r="B6" s="605" t="s">
        <v>14678</v>
      </c>
      <c r="C6" s="606" t="s">
        <v>71</v>
      </c>
      <c r="D6" s="607">
        <v>6.4</v>
      </c>
      <c r="E6" s="483"/>
    </row>
    <row r="7" spans="1:5" ht="30">
      <c r="A7" s="484" t="s">
        <v>14679</v>
      </c>
      <c r="B7" s="485" t="s">
        <v>14680</v>
      </c>
      <c r="C7" s="484" t="s">
        <v>71</v>
      </c>
      <c r="D7" s="486">
        <v>8.2200000000000006</v>
      </c>
      <c r="E7" s="486">
        <v>8.2200000000000006</v>
      </c>
    </row>
    <row r="8" spans="1:5" s="25" customFormat="1" ht="30">
      <c r="A8" s="606" t="s">
        <v>20594</v>
      </c>
      <c r="B8" s="605" t="s">
        <v>14680</v>
      </c>
      <c r="C8" s="606" t="s">
        <v>71</v>
      </c>
      <c r="D8" s="607">
        <v>8.2200000000000006</v>
      </c>
      <c r="E8" s="486"/>
    </row>
    <row r="9" spans="1:5" ht="30">
      <c r="A9" s="349" t="s">
        <v>14681</v>
      </c>
      <c r="B9" s="348" t="s">
        <v>14682</v>
      </c>
      <c r="C9" s="349" t="s">
        <v>71</v>
      </c>
      <c r="D9" s="483">
        <v>9.91</v>
      </c>
      <c r="E9" s="483">
        <v>9.91</v>
      </c>
    </row>
    <row r="10" spans="1:5" s="25" customFormat="1" ht="30">
      <c r="A10" s="606" t="s">
        <v>20595</v>
      </c>
      <c r="B10" s="605" t="s">
        <v>14682</v>
      </c>
      <c r="C10" s="606" t="s">
        <v>71</v>
      </c>
      <c r="D10" s="607">
        <v>9.91</v>
      </c>
      <c r="E10" s="607">
        <v>9.91</v>
      </c>
    </row>
    <row r="11" spans="1:5" ht="30">
      <c r="A11" s="484" t="s">
        <v>14683</v>
      </c>
      <c r="B11" s="485" t="s">
        <v>14684</v>
      </c>
      <c r="C11" s="484" t="s">
        <v>71</v>
      </c>
      <c r="D11" s="486">
        <v>11.21</v>
      </c>
      <c r="E11" s="486">
        <v>11.21</v>
      </c>
    </row>
    <row r="12" spans="1:5" s="25" customFormat="1" ht="30">
      <c r="A12" s="606" t="s">
        <v>20596</v>
      </c>
      <c r="B12" s="605" t="s">
        <v>14684</v>
      </c>
      <c r="C12" s="606" t="s">
        <v>71</v>
      </c>
      <c r="D12" s="607">
        <v>11.21</v>
      </c>
      <c r="E12" s="486"/>
    </row>
    <row r="13" spans="1:5" ht="30">
      <c r="A13" s="349" t="s">
        <v>14685</v>
      </c>
      <c r="B13" s="348" t="s">
        <v>14686</v>
      </c>
      <c r="C13" s="349" t="s">
        <v>71</v>
      </c>
      <c r="D13" s="483">
        <v>13.08</v>
      </c>
      <c r="E13" s="483">
        <v>13.08</v>
      </c>
    </row>
    <row r="14" spans="1:5" s="25" customFormat="1" ht="30">
      <c r="A14" s="606" t="s">
        <v>20597</v>
      </c>
      <c r="B14" s="605" t="s">
        <v>14686</v>
      </c>
      <c r="C14" s="606" t="s">
        <v>71</v>
      </c>
      <c r="D14" s="607">
        <v>13.08</v>
      </c>
      <c r="E14" s="483"/>
    </row>
    <row r="15" spans="1:5" ht="30">
      <c r="A15" s="484" t="s">
        <v>14687</v>
      </c>
      <c r="B15" s="485" t="s">
        <v>14688</v>
      </c>
      <c r="C15" s="484" t="s">
        <v>71</v>
      </c>
      <c r="D15" s="486">
        <v>14.44</v>
      </c>
      <c r="E15" s="486">
        <v>14.44</v>
      </c>
    </row>
    <row r="16" spans="1:5" s="25" customFormat="1" ht="30">
      <c r="A16" s="606" t="s">
        <v>20598</v>
      </c>
      <c r="B16" s="605" t="s">
        <v>14688</v>
      </c>
      <c r="C16" s="606" t="s">
        <v>71</v>
      </c>
      <c r="D16" s="607">
        <v>14.44</v>
      </c>
      <c r="E16" s="486"/>
    </row>
    <row r="17" spans="1:5" s="25" customFormat="1">
      <c r="A17" s="484"/>
      <c r="B17" s="485"/>
      <c r="C17" s="484"/>
      <c r="D17" s="486"/>
      <c r="E17" s="486"/>
    </row>
    <row r="18" spans="1:5" ht="30">
      <c r="A18" s="349" t="s">
        <v>14689</v>
      </c>
      <c r="B18" s="348" t="s">
        <v>14690</v>
      </c>
      <c r="C18" s="349" t="s">
        <v>71</v>
      </c>
      <c r="D18" s="483">
        <v>16.82</v>
      </c>
      <c r="E18" s="483">
        <v>16.82</v>
      </c>
    </row>
    <row r="19" spans="1:5" s="25" customFormat="1" ht="30">
      <c r="A19" s="606" t="s">
        <v>20599</v>
      </c>
      <c r="B19" s="605" t="s">
        <v>14692</v>
      </c>
      <c r="C19" s="606" t="s">
        <v>71</v>
      </c>
      <c r="D19" s="607">
        <v>18.62</v>
      </c>
      <c r="E19" s="483"/>
    </row>
    <row r="20" spans="1:5" ht="30">
      <c r="A20" s="484" t="s">
        <v>14691</v>
      </c>
      <c r="B20" s="485" t="s">
        <v>14692</v>
      </c>
      <c r="C20" s="484" t="s">
        <v>71</v>
      </c>
      <c r="D20" s="486">
        <v>18.62</v>
      </c>
      <c r="E20" s="486">
        <v>18.62</v>
      </c>
    </row>
    <row r="21" spans="1:5" ht="30">
      <c r="A21" s="349" t="s">
        <v>14693</v>
      </c>
      <c r="B21" s="348" t="s">
        <v>14694</v>
      </c>
      <c r="C21" s="349" t="s">
        <v>71</v>
      </c>
      <c r="D21" s="483">
        <v>22.48</v>
      </c>
      <c r="E21" s="483">
        <v>22.48</v>
      </c>
    </row>
    <row r="22" spans="1:5" ht="30">
      <c r="A22" s="484" t="s">
        <v>14695</v>
      </c>
      <c r="B22" s="485" t="s">
        <v>14696</v>
      </c>
      <c r="C22" s="484" t="s">
        <v>71</v>
      </c>
      <c r="D22" s="486">
        <v>28.13</v>
      </c>
      <c r="E22" s="486">
        <v>28.13</v>
      </c>
    </row>
    <row r="23" spans="1:5" ht="30">
      <c r="A23" s="349" t="s">
        <v>14697</v>
      </c>
      <c r="B23" s="348" t="s">
        <v>14698</v>
      </c>
      <c r="C23" s="349" t="s">
        <v>71</v>
      </c>
      <c r="D23" s="483">
        <v>32.380000000000003</v>
      </c>
      <c r="E23" s="483">
        <v>32.380000000000003</v>
      </c>
    </row>
    <row r="24" spans="1:5" ht="30">
      <c r="A24" s="484" t="s">
        <v>14699</v>
      </c>
      <c r="B24" s="485" t="s">
        <v>14700</v>
      </c>
      <c r="C24" s="484" t="s">
        <v>71</v>
      </c>
      <c r="D24" s="486">
        <v>37.770000000000003</v>
      </c>
      <c r="E24" s="486">
        <v>37.770000000000003</v>
      </c>
    </row>
    <row r="25" spans="1:5" ht="30">
      <c r="A25" s="349" t="s">
        <v>14701</v>
      </c>
      <c r="B25" s="348" t="s">
        <v>14702</v>
      </c>
      <c r="C25" s="349" t="s">
        <v>71</v>
      </c>
      <c r="D25" s="483">
        <v>40.61</v>
      </c>
      <c r="E25" s="483">
        <v>40.61</v>
      </c>
    </row>
    <row r="26" spans="1:5" ht="30">
      <c r="A26" s="484" t="s">
        <v>14703</v>
      </c>
      <c r="B26" s="485" t="s">
        <v>14704</v>
      </c>
      <c r="C26" s="484" t="s">
        <v>71</v>
      </c>
      <c r="D26" s="486">
        <v>48.14</v>
      </c>
      <c r="E26" s="486">
        <v>48.14</v>
      </c>
    </row>
    <row r="27" spans="1:5" ht="30">
      <c r="A27" s="349" t="s">
        <v>14705</v>
      </c>
      <c r="B27" s="348" t="s">
        <v>14706</v>
      </c>
      <c r="C27" s="349" t="s">
        <v>71</v>
      </c>
      <c r="D27" s="483">
        <v>56.8</v>
      </c>
      <c r="E27" s="483">
        <v>56.8</v>
      </c>
    </row>
    <row r="28" spans="1:5" ht="30">
      <c r="A28" s="484" t="s">
        <v>14707</v>
      </c>
      <c r="B28" s="485" t="s">
        <v>14708</v>
      </c>
      <c r="C28" s="484" t="s">
        <v>71</v>
      </c>
      <c r="D28" s="486">
        <v>3.36</v>
      </c>
      <c r="E28" s="486">
        <v>3.36</v>
      </c>
    </row>
    <row r="29" spans="1:5" ht="30">
      <c r="A29" s="349" t="s">
        <v>14709</v>
      </c>
      <c r="B29" s="348" t="s">
        <v>2332</v>
      </c>
      <c r="C29" s="349" t="s">
        <v>71</v>
      </c>
      <c r="D29" s="483">
        <v>1.55</v>
      </c>
      <c r="E29" s="483">
        <v>1.55</v>
      </c>
    </row>
    <row r="30" spans="1:5" ht="30">
      <c r="A30" s="484" t="s">
        <v>14710</v>
      </c>
      <c r="B30" s="485" t="s">
        <v>2336</v>
      </c>
      <c r="C30" s="484" t="s">
        <v>71</v>
      </c>
      <c r="D30" s="486">
        <v>2.06</v>
      </c>
      <c r="E30" s="486">
        <v>2.06</v>
      </c>
    </row>
    <row r="31" spans="1:5" ht="30">
      <c r="A31" s="349" t="s">
        <v>14711</v>
      </c>
      <c r="B31" s="348" t="s">
        <v>2329</v>
      </c>
      <c r="C31" s="349" t="s">
        <v>71</v>
      </c>
      <c r="D31" s="483">
        <v>2.58</v>
      </c>
      <c r="E31" s="483">
        <v>2.58</v>
      </c>
    </row>
    <row r="32" spans="1:5" ht="30">
      <c r="A32" s="484" t="s">
        <v>14712</v>
      </c>
      <c r="B32" s="485" t="s">
        <v>2331</v>
      </c>
      <c r="C32" s="484" t="s">
        <v>71</v>
      </c>
      <c r="D32" s="486">
        <v>7.66</v>
      </c>
      <c r="E32" s="486">
        <v>7.66</v>
      </c>
    </row>
    <row r="33" spans="1:5" ht="30">
      <c r="A33" s="349" t="s">
        <v>14713</v>
      </c>
      <c r="B33" s="348" t="s">
        <v>2333</v>
      </c>
      <c r="C33" s="349" t="s">
        <v>71</v>
      </c>
      <c r="D33" s="483">
        <v>8.43</v>
      </c>
      <c r="E33" s="483">
        <v>8.43</v>
      </c>
    </row>
    <row r="34" spans="1:5" ht="30">
      <c r="A34" s="484" t="s">
        <v>14714</v>
      </c>
      <c r="B34" s="485" t="s">
        <v>2334</v>
      </c>
      <c r="C34" s="484" t="s">
        <v>71</v>
      </c>
      <c r="D34" s="486">
        <v>9.44</v>
      </c>
      <c r="E34" s="486">
        <v>9.44</v>
      </c>
    </row>
    <row r="35" spans="1:5" ht="30">
      <c r="A35" s="349" t="s">
        <v>14715</v>
      </c>
      <c r="B35" s="348" t="s">
        <v>2335</v>
      </c>
      <c r="C35" s="349" t="s">
        <v>71</v>
      </c>
      <c r="D35" s="483">
        <v>10.27</v>
      </c>
      <c r="E35" s="483">
        <v>10.27</v>
      </c>
    </row>
    <row r="36" spans="1:5" ht="30">
      <c r="A36" s="484" t="s">
        <v>14716</v>
      </c>
      <c r="B36" s="485" t="s">
        <v>2337</v>
      </c>
      <c r="C36" s="484" t="s">
        <v>71</v>
      </c>
      <c r="D36" s="486">
        <v>11.22</v>
      </c>
      <c r="E36" s="486">
        <v>11.22</v>
      </c>
    </row>
    <row r="37" spans="1:5" ht="30">
      <c r="A37" s="349" t="s">
        <v>14717</v>
      </c>
      <c r="B37" s="348" t="s">
        <v>2338</v>
      </c>
      <c r="C37" s="349" t="s">
        <v>71</v>
      </c>
      <c r="D37" s="483">
        <v>12.1</v>
      </c>
      <c r="E37" s="483">
        <v>12.1</v>
      </c>
    </row>
    <row r="38" spans="1:5" ht="30">
      <c r="A38" s="484" t="s">
        <v>14718</v>
      </c>
      <c r="B38" s="485" t="s">
        <v>14719</v>
      </c>
      <c r="C38" s="484" t="s">
        <v>71</v>
      </c>
      <c r="D38" s="486">
        <v>12.87</v>
      </c>
      <c r="E38" s="486">
        <v>12.87</v>
      </c>
    </row>
    <row r="39" spans="1:5" ht="45">
      <c r="A39" s="495">
        <v>90694</v>
      </c>
      <c r="B39" s="348" t="s">
        <v>10376</v>
      </c>
      <c r="C39" s="349" t="s">
        <v>71</v>
      </c>
      <c r="D39" s="483">
        <v>18.02</v>
      </c>
      <c r="E39" s="483">
        <v>18.02</v>
      </c>
    </row>
    <row r="40" spans="1:5" ht="45">
      <c r="A40" s="494">
        <v>90695</v>
      </c>
      <c r="B40" s="485" t="s">
        <v>10378</v>
      </c>
      <c r="C40" s="484" t="s">
        <v>71</v>
      </c>
      <c r="D40" s="486">
        <v>36.479999999999997</v>
      </c>
      <c r="E40" s="486">
        <v>36.479999999999997</v>
      </c>
    </row>
    <row r="41" spans="1:5" ht="45">
      <c r="A41" s="495">
        <v>90696</v>
      </c>
      <c r="B41" s="348" t="s">
        <v>10380</v>
      </c>
      <c r="C41" s="349" t="s">
        <v>71</v>
      </c>
      <c r="D41" s="483">
        <v>55.8</v>
      </c>
      <c r="E41" s="483">
        <v>55.8</v>
      </c>
    </row>
    <row r="42" spans="1:5" ht="45">
      <c r="A42" s="494">
        <v>90697</v>
      </c>
      <c r="B42" s="485" t="s">
        <v>10382</v>
      </c>
      <c r="C42" s="484" t="s">
        <v>71</v>
      </c>
      <c r="D42" s="486">
        <v>92.66</v>
      </c>
      <c r="E42" s="486">
        <v>92.66</v>
      </c>
    </row>
    <row r="43" spans="1:5" ht="45">
      <c r="A43" s="495">
        <v>90698</v>
      </c>
      <c r="B43" s="348" t="s">
        <v>10384</v>
      </c>
      <c r="C43" s="349" t="s">
        <v>71</v>
      </c>
      <c r="D43" s="483">
        <v>148.13</v>
      </c>
      <c r="E43" s="483">
        <v>148.13</v>
      </c>
    </row>
    <row r="44" spans="1:5" ht="45">
      <c r="A44" s="494">
        <v>90699</v>
      </c>
      <c r="B44" s="485" t="s">
        <v>10386</v>
      </c>
      <c r="C44" s="484" t="s">
        <v>71</v>
      </c>
      <c r="D44" s="486">
        <v>183.13</v>
      </c>
      <c r="E44" s="486">
        <v>183.13</v>
      </c>
    </row>
    <row r="45" spans="1:5" ht="45">
      <c r="A45" s="495">
        <v>90700</v>
      </c>
      <c r="B45" s="348" t="s">
        <v>10388</v>
      </c>
      <c r="C45" s="349" t="s">
        <v>71</v>
      </c>
      <c r="D45" s="483">
        <v>244.05</v>
      </c>
      <c r="E45" s="483">
        <v>244.05</v>
      </c>
    </row>
    <row r="46" spans="1:5" ht="45">
      <c r="A46" s="494">
        <v>90701</v>
      </c>
      <c r="B46" s="485" t="s">
        <v>14720</v>
      </c>
      <c r="C46" s="484" t="s">
        <v>71</v>
      </c>
      <c r="D46" s="486">
        <v>43.36</v>
      </c>
      <c r="E46" s="486">
        <v>43.36</v>
      </c>
    </row>
    <row r="47" spans="1:5" ht="45">
      <c r="A47" s="495">
        <v>90702</v>
      </c>
      <c r="B47" s="348" t="s">
        <v>14721</v>
      </c>
      <c r="C47" s="349" t="s">
        <v>71</v>
      </c>
      <c r="D47" s="483">
        <v>65.319999999999993</v>
      </c>
      <c r="E47" s="483">
        <v>65.319999999999993</v>
      </c>
    </row>
    <row r="48" spans="1:5" ht="45">
      <c r="A48" s="494">
        <v>90703</v>
      </c>
      <c r="B48" s="485" t="s">
        <v>14722</v>
      </c>
      <c r="C48" s="484" t="s">
        <v>71</v>
      </c>
      <c r="D48" s="486">
        <v>107.2</v>
      </c>
      <c r="E48" s="486">
        <v>107.2</v>
      </c>
    </row>
    <row r="49" spans="1:5" ht="45">
      <c r="A49" s="495">
        <v>90704</v>
      </c>
      <c r="B49" s="348" t="s">
        <v>14723</v>
      </c>
      <c r="C49" s="349" t="s">
        <v>71</v>
      </c>
      <c r="D49" s="483">
        <v>167.52</v>
      </c>
      <c r="E49" s="483">
        <v>167.52</v>
      </c>
    </row>
    <row r="50" spans="1:5" ht="45">
      <c r="A50" s="494">
        <v>90705</v>
      </c>
      <c r="B50" s="485" t="s">
        <v>14724</v>
      </c>
      <c r="C50" s="484" t="s">
        <v>71</v>
      </c>
      <c r="D50" s="486">
        <v>245.2</v>
      </c>
      <c r="E50" s="486">
        <v>245.2</v>
      </c>
    </row>
    <row r="51" spans="1:5" ht="45">
      <c r="A51" s="495">
        <v>90706</v>
      </c>
      <c r="B51" s="348" t="s">
        <v>14725</v>
      </c>
      <c r="C51" s="349" t="s">
        <v>71</v>
      </c>
      <c r="D51" s="483">
        <v>299.14</v>
      </c>
      <c r="E51" s="483">
        <v>299.14</v>
      </c>
    </row>
    <row r="52" spans="1:5" ht="45">
      <c r="A52" s="494">
        <v>90708</v>
      </c>
      <c r="B52" s="485" t="s">
        <v>14726</v>
      </c>
      <c r="C52" s="484" t="s">
        <v>71</v>
      </c>
      <c r="D52" s="486">
        <v>480.48</v>
      </c>
      <c r="E52" s="486">
        <v>480.48</v>
      </c>
    </row>
    <row r="53" spans="1:5" ht="45">
      <c r="A53" s="495">
        <v>90709</v>
      </c>
      <c r="B53" s="348" t="s">
        <v>10375</v>
      </c>
      <c r="C53" s="349" t="s">
        <v>71</v>
      </c>
      <c r="D53" s="483">
        <v>19.84</v>
      </c>
      <c r="E53" s="483">
        <v>19.84</v>
      </c>
    </row>
    <row r="54" spans="1:5" ht="45">
      <c r="A54" s="494">
        <v>90710</v>
      </c>
      <c r="B54" s="485" t="s">
        <v>10377</v>
      </c>
      <c r="C54" s="484" t="s">
        <v>71</v>
      </c>
      <c r="D54" s="486">
        <v>38.32</v>
      </c>
      <c r="E54" s="486">
        <v>38.32</v>
      </c>
    </row>
    <row r="55" spans="1:5" ht="45">
      <c r="A55" s="495">
        <v>90711</v>
      </c>
      <c r="B55" s="348" t="s">
        <v>10379</v>
      </c>
      <c r="C55" s="349" t="s">
        <v>71</v>
      </c>
      <c r="D55" s="483">
        <v>57.63</v>
      </c>
      <c r="E55" s="483">
        <v>57.63</v>
      </c>
    </row>
    <row r="56" spans="1:5" ht="45">
      <c r="A56" s="494">
        <v>90712</v>
      </c>
      <c r="B56" s="485" t="s">
        <v>10381</v>
      </c>
      <c r="C56" s="484" t="s">
        <v>71</v>
      </c>
      <c r="D56" s="486">
        <v>94.49</v>
      </c>
      <c r="E56" s="486">
        <v>94.49</v>
      </c>
    </row>
    <row r="57" spans="1:5" ht="45">
      <c r="A57" s="495">
        <v>90713</v>
      </c>
      <c r="B57" s="348" t="s">
        <v>10383</v>
      </c>
      <c r="C57" s="349" t="s">
        <v>71</v>
      </c>
      <c r="D57" s="483">
        <v>149.96</v>
      </c>
      <c r="E57" s="483">
        <v>149.96</v>
      </c>
    </row>
    <row r="58" spans="1:5" ht="45">
      <c r="A58" s="494">
        <v>90714</v>
      </c>
      <c r="B58" s="485" t="s">
        <v>10385</v>
      </c>
      <c r="C58" s="484" t="s">
        <v>71</v>
      </c>
      <c r="D58" s="486">
        <v>184.96</v>
      </c>
      <c r="E58" s="486">
        <v>184.96</v>
      </c>
    </row>
    <row r="59" spans="1:5" ht="45">
      <c r="A59" s="495">
        <v>90715</v>
      </c>
      <c r="B59" s="348" t="s">
        <v>10387</v>
      </c>
      <c r="C59" s="349" t="s">
        <v>71</v>
      </c>
      <c r="D59" s="483">
        <v>248.16</v>
      </c>
      <c r="E59" s="483">
        <v>248.16</v>
      </c>
    </row>
    <row r="60" spans="1:5" ht="45">
      <c r="A60" s="494">
        <v>90716</v>
      </c>
      <c r="B60" s="485" t="s">
        <v>14727</v>
      </c>
      <c r="C60" s="484" t="s">
        <v>71</v>
      </c>
      <c r="D60" s="486">
        <v>45.2</v>
      </c>
      <c r="E60" s="486">
        <v>45.2</v>
      </c>
    </row>
    <row r="61" spans="1:5" ht="45">
      <c r="A61" s="495">
        <v>90717</v>
      </c>
      <c r="B61" s="348" t="s">
        <v>14728</v>
      </c>
      <c r="C61" s="349" t="s">
        <v>71</v>
      </c>
      <c r="D61" s="483">
        <v>67.14</v>
      </c>
      <c r="E61" s="483">
        <v>67.14</v>
      </c>
    </row>
    <row r="62" spans="1:5" ht="45">
      <c r="A62" s="494">
        <v>90718</v>
      </c>
      <c r="B62" s="485" t="s">
        <v>14729</v>
      </c>
      <c r="C62" s="484" t="s">
        <v>71</v>
      </c>
      <c r="D62" s="486">
        <v>109.03</v>
      </c>
      <c r="E62" s="486">
        <v>109.03</v>
      </c>
    </row>
    <row r="63" spans="1:5" ht="45">
      <c r="A63" s="495">
        <v>90719</v>
      </c>
      <c r="B63" s="348" t="s">
        <v>14730</v>
      </c>
      <c r="C63" s="349" t="s">
        <v>71</v>
      </c>
      <c r="D63" s="483">
        <v>169.35</v>
      </c>
      <c r="E63" s="483">
        <v>169.35</v>
      </c>
    </row>
    <row r="64" spans="1:5" ht="45">
      <c r="A64" s="494">
        <v>90720</v>
      </c>
      <c r="B64" s="485" t="s">
        <v>14731</v>
      </c>
      <c r="C64" s="484" t="s">
        <v>71</v>
      </c>
      <c r="D64" s="486">
        <v>247.02</v>
      </c>
      <c r="E64" s="486">
        <v>247.02</v>
      </c>
    </row>
    <row r="65" spans="1:5" ht="45">
      <c r="A65" s="495">
        <v>90721</v>
      </c>
      <c r="B65" s="348" t="s">
        <v>14732</v>
      </c>
      <c r="C65" s="349" t="s">
        <v>71</v>
      </c>
      <c r="D65" s="483">
        <v>303.26</v>
      </c>
      <c r="E65" s="483">
        <v>303.26</v>
      </c>
    </row>
    <row r="66" spans="1:5" ht="45">
      <c r="A66" s="494">
        <v>90723</v>
      </c>
      <c r="B66" s="485" t="s">
        <v>14733</v>
      </c>
      <c r="C66" s="484" t="s">
        <v>71</v>
      </c>
      <c r="D66" s="486">
        <v>483.03</v>
      </c>
      <c r="E66" s="486">
        <v>483.03</v>
      </c>
    </row>
    <row r="67" spans="1:5" ht="30">
      <c r="A67" s="495">
        <v>90724</v>
      </c>
      <c r="B67" s="348" t="s">
        <v>14734</v>
      </c>
      <c r="C67" s="349" t="s">
        <v>65</v>
      </c>
      <c r="D67" s="483">
        <v>21.01</v>
      </c>
      <c r="E67" s="483">
        <v>21.01</v>
      </c>
    </row>
    <row r="68" spans="1:5" ht="30">
      <c r="A68" s="494">
        <v>90725</v>
      </c>
      <c r="B68" s="485" t="s">
        <v>14735</v>
      </c>
      <c r="C68" s="484" t="s">
        <v>65</v>
      </c>
      <c r="D68" s="486">
        <v>25.9</v>
      </c>
      <c r="E68" s="486">
        <v>25.9</v>
      </c>
    </row>
    <row r="69" spans="1:5" ht="30">
      <c r="A69" s="495">
        <v>90726</v>
      </c>
      <c r="B69" s="348" t="s">
        <v>6528</v>
      </c>
      <c r="C69" s="349" t="s">
        <v>65</v>
      </c>
      <c r="D69" s="483">
        <v>30.8</v>
      </c>
      <c r="E69" s="483">
        <v>30.8</v>
      </c>
    </row>
    <row r="70" spans="1:5" ht="30">
      <c r="A70" s="494">
        <v>90727</v>
      </c>
      <c r="B70" s="485" t="s">
        <v>14736</v>
      </c>
      <c r="C70" s="484" t="s">
        <v>65</v>
      </c>
      <c r="D70" s="486">
        <v>35.69</v>
      </c>
      <c r="E70" s="486">
        <v>35.69</v>
      </c>
    </row>
    <row r="71" spans="1:5" ht="30">
      <c r="A71" s="495">
        <v>90728</v>
      </c>
      <c r="B71" s="348" t="s">
        <v>14737</v>
      </c>
      <c r="C71" s="349" t="s">
        <v>65</v>
      </c>
      <c r="D71" s="483">
        <v>40.6</v>
      </c>
      <c r="E71" s="483">
        <v>40.6</v>
      </c>
    </row>
    <row r="72" spans="1:5" ht="30">
      <c r="A72" s="494">
        <v>90729</v>
      </c>
      <c r="B72" s="485" t="s">
        <v>14738</v>
      </c>
      <c r="C72" s="484" t="s">
        <v>65</v>
      </c>
      <c r="D72" s="486">
        <v>45.49</v>
      </c>
      <c r="E72" s="486">
        <v>45.49</v>
      </c>
    </row>
    <row r="73" spans="1:5" ht="30">
      <c r="A73" s="495">
        <v>90730</v>
      </c>
      <c r="B73" s="348" t="s">
        <v>14739</v>
      </c>
      <c r="C73" s="349" t="s">
        <v>65</v>
      </c>
      <c r="D73" s="483">
        <v>50.43</v>
      </c>
      <c r="E73" s="483">
        <v>50.43</v>
      </c>
    </row>
    <row r="74" spans="1:5" ht="30">
      <c r="A74" s="494">
        <v>90731</v>
      </c>
      <c r="B74" s="485" t="s">
        <v>14740</v>
      </c>
      <c r="C74" s="484" t="s">
        <v>65</v>
      </c>
      <c r="D74" s="486">
        <v>55.32</v>
      </c>
      <c r="E74" s="486">
        <v>55.32</v>
      </c>
    </row>
    <row r="75" spans="1:5" ht="30">
      <c r="A75" s="495">
        <v>90732</v>
      </c>
      <c r="B75" s="348" t="s">
        <v>14741</v>
      </c>
      <c r="C75" s="349" t="s">
        <v>65</v>
      </c>
      <c r="D75" s="483">
        <v>70</v>
      </c>
      <c r="E75" s="483">
        <v>70</v>
      </c>
    </row>
    <row r="76" spans="1:5" ht="45">
      <c r="A76" s="494">
        <v>90733</v>
      </c>
      <c r="B76" s="485" t="s">
        <v>14742</v>
      </c>
      <c r="C76" s="484" t="s">
        <v>71</v>
      </c>
      <c r="D76" s="486">
        <v>2.31</v>
      </c>
      <c r="E76" s="486">
        <v>2.31</v>
      </c>
    </row>
    <row r="77" spans="1:5" s="25" customFormat="1" ht="45">
      <c r="A77" s="604" t="s">
        <v>20579</v>
      </c>
      <c r="B77" s="605" t="s">
        <v>14742</v>
      </c>
      <c r="C77" s="606" t="s">
        <v>71</v>
      </c>
      <c r="D77" s="607">
        <v>2.31</v>
      </c>
      <c r="E77" s="486"/>
    </row>
    <row r="78" spans="1:5" ht="45">
      <c r="A78" s="495">
        <v>90734</v>
      </c>
      <c r="B78" s="348" t="s">
        <v>14743</v>
      </c>
      <c r="C78" s="349" t="s">
        <v>71</v>
      </c>
      <c r="D78" s="483">
        <v>2.81</v>
      </c>
      <c r="E78" s="483">
        <v>2.81</v>
      </c>
    </row>
    <row r="79" spans="1:5" s="25" customFormat="1" ht="45">
      <c r="A79" s="604" t="s">
        <v>20580</v>
      </c>
      <c r="B79" s="605" t="s">
        <v>14743</v>
      </c>
      <c r="C79" s="606" t="s">
        <v>71</v>
      </c>
      <c r="D79" s="607">
        <v>2.81</v>
      </c>
      <c r="E79" s="483"/>
    </row>
    <row r="80" spans="1:5" ht="45">
      <c r="A80" s="494">
        <v>90735</v>
      </c>
      <c r="B80" s="485" t="s">
        <v>14744</v>
      </c>
      <c r="C80" s="484" t="s">
        <v>71</v>
      </c>
      <c r="D80" s="486">
        <v>3.34</v>
      </c>
      <c r="E80" s="486">
        <v>3.34</v>
      </c>
    </row>
    <row r="81" spans="1:5" s="25" customFormat="1" ht="45">
      <c r="A81" s="604" t="s">
        <v>20581</v>
      </c>
      <c r="B81" s="605" t="s">
        <v>14744</v>
      </c>
      <c r="C81" s="606" t="s">
        <v>71</v>
      </c>
      <c r="D81" s="607">
        <v>3.34</v>
      </c>
      <c r="E81" s="486"/>
    </row>
    <row r="82" spans="1:5" ht="45">
      <c r="A82" s="495">
        <v>90736</v>
      </c>
      <c r="B82" s="348" t="s">
        <v>14745</v>
      </c>
      <c r="C82" s="349" t="s">
        <v>71</v>
      </c>
      <c r="D82" s="483">
        <v>3.85</v>
      </c>
      <c r="E82" s="483">
        <v>3.85</v>
      </c>
    </row>
    <row r="83" spans="1:5" s="25" customFormat="1" ht="45">
      <c r="A83" s="604" t="s">
        <v>20582</v>
      </c>
      <c r="B83" s="605" t="s">
        <v>14745</v>
      </c>
      <c r="C83" s="606" t="s">
        <v>71</v>
      </c>
      <c r="D83" s="607">
        <v>3.85</v>
      </c>
      <c r="E83" s="483"/>
    </row>
    <row r="84" spans="1:5" ht="45">
      <c r="A84" s="494">
        <v>90737</v>
      </c>
      <c r="B84" s="485" t="s">
        <v>14746</v>
      </c>
      <c r="C84" s="484" t="s">
        <v>71</v>
      </c>
      <c r="D84" s="486">
        <v>4.3600000000000003</v>
      </c>
      <c r="E84" s="486">
        <v>4.3600000000000003</v>
      </c>
    </row>
    <row r="85" spans="1:5" s="25" customFormat="1" ht="45">
      <c r="A85" s="604" t="s">
        <v>20583</v>
      </c>
      <c r="B85" s="605" t="s">
        <v>14746</v>
      </c>
      <c r="C85" s="606" t="s">
        <v>71</v>
      </c>
      <c r="D85" s="607">
        <v>4.3600000000000003</v>
      </c>
      <c r="E85" s="486"/>
    </row>
    <row r="86" spans="1:5" ht="45">
      <c r="A86" s="495">
        <v>90738</v>
      </c>
      <c r="B86" s="348" t="s">
        <v>14747</v>
      </c>
      <c r="C86" s="349" t="s">
        <v>71</v>
      </c>
      <c r="D86" s="483">
        <v>4.88</v>
      </c>
      <c r="E86" s="483">
        <v>4.88</v>
      </c>
    </row>
    <row r="87" spans="1:5" ht="45">
      <c r="A87" s="494">
        <v>90739</v>
      </c>
      <c r="B87" s="485" t="s">
        <v>14748</v>
      </c>
      <c r="C87" s="484" t="s">
        <v>71</v>
      </c>
      <c r="D87" s="486">
        <v>12.15</v>
      </c>
      <c r="E87" s="486">
        <v>12.15</v>
      </c>
    </row>
    <row r="88" spans="1:5" s="25" customFormat="1" ht="45">
      <c r="A88" s="604" t="s">
        <v>20584</v>
      </c>
      <c r="B88" s="605" t="s">
        <v>14748</v>
      </c>
      <c r="C88" s="606" t="s">
        <v>71</v>
      </c>
      <c r="D88" s="607">
        <v>12.15</v>
      </c>
      <c r="E88" s="486"/>
    </row>
    <row r="89" spans="1:5" ht="45">
      <c r="A89" s="495">
        <v>90740</v>
      </c>
      <c r="B89" s="348" t="s">
        <v>14749</v>
      </c>
      <c r="C89" s="349" t="s">
        <v>71</v>
      </c>
      <c r="D89" s="483">
        <v>5.14</v>
      </c>
      <c r="E89" s="483">
        <v>5.14</v>
      </c>
    </row>
    <row r="90" spans="1:5" ht="45">
      <c r="A90" s="494">
        <v>90741</v>
      </c>
      <c r="B90" s="485" t="s">
        <v>14750</v>
      </c>
      <c r="C90" s="484" t="s">
        <v>71</v>
      </c>
      <c r="D90" s="486">
        <v>5.66</v>
      </c>
      <c r="E90" s="486">
        <v>5.66</v>
      </c>
    </row>
    <row r="91" spans="1:5" ht="45">
      <c r="A91" s="495">
        <v>90742</v>
      </c>
      <c r="B91" s="348" t="s">
        <v>14751</v>
      </c>
      <c r="C91" s="349" t="s">
        <v>71</v>
      </c>
      <c r="D91" s="483">
        <v>6.17</v>
      </c>
      <c r="E91" s="483">
        <v>6.17</v>
      </c>
    </row>
    <row r="92" spans="1:5" ht="45">
      <c r="A92" s="494">
        <v>90743</v>
      </c>
      <c r="B92" s="485" t="s">
        <v>14752</v>
      </c>
      <c r="C92" s="484" t="s">
        <v>71</v>
      </c>
      <c r="D92" s="486">
        <v>6.69</v>
      </c>
      <c r="E92" s="486">
        <v>6.69</v>
      </c>
    </row>
    <row r="93" spans="1:5" ht="45">
      <c r="A93" s="495">
        <v>90744</v>
      </c>
      <c r="B93" s="348" t="s">
        <v>14753</v>
      </c>
      <c r="C93" s="349" t="s">
        <v>71</v>
      </c>
      <c r="D93" s="483">
        <v>7.21</v>
      </c>
      <c r="E93" s="483">
        <v>7.21</v>
      </c>
    </row>
    <row r="94" spans="1:5" ht="45">
      <c r="A94" s="494">
        <v>90745</v>
      </c>
      <c r="B94" s="485" t="s">
        <v>14754</v>
      </c>
      <c r="C94" s="484" t="s">
        <v>71</v>
      </c>
      <c r="D94" s="486">
        <v>17.37</v>
      </c>
      <c r="E94" s="486">
        <v>17.37</v>
      </c>
    </row>
    <row r="95" spans="1:5" ht="45">
      <c r="A95" s="495">
        <v>90746</v>
      </c>
      <c r="B95" s="348" t="s">
        <v>14755</v>
      </c>
      <c r="C95" s="349" t="s">
        <v>71</v>
      </c>
      <c r="D95" s="483">
        <v>3.13</v>
      </c>
      <c r="E95" s="483">
        <v>3.13</v>
      </c>
    </row>
    <row r="96" spans="1:5" ht="45">
      <c r="A96" s="494">
        <v>90747</v>
      </c>
      <c r="B96" s="485" t="s">
        <v>14756</v>
      </c>
      <c r="C96" s="484" t="s">
        <v>71</v>
      </c>
      <c r="D96" s="486">
        <v>13.4</v>
      </c>
      <c r="E96" s="486">
        <v>13.4</v>
      </c>
    </row>
    <row r="97" spans="1:5" ht="45">
      <c r="A97" s="495">
        <v>90748</v>
      </c>
      <c r="B97" s="348" t="s">
        <v>14757</v>
      </c>
      <c r="C97" s="349" t="s">
        <v>71</v>
      </c>
      <c r="D97" s="483">
        <v>4.13</v>
      </c>
      <c r="E97" s="483">
        <v>4.13</v>
      </c>
    </row>
    <row r="98" spans="1:5" ht="45">
      <c r="A98" s="494">
        <v>90749</v>
      </c>
      <c r="B98" s="485" t="s">
        <v>14758</v>
      </c>
      <c r="C98" s="484" t="s">
        <v>71</v>
      </c>
      <c r="D98" s="486">
        <v>4.6500000000000004</v>
      </c>
      <c r="E98" s="486">
        <v>4.6500000000000004</v>
      </c>
    </row>
    <row r="99" spans="1:5" ht="45">
      <c r="A99" s="495">
        <v>90750</v>
      </c>
      <c r="B99" s="348" t="s">
        <v>14759</v>
      </c>
      <c r="C99" s="349" t="s">
        <v>71</v>
      </c>
      <c r="D99" s="483">
        <v>5.17</v>
      </c>
      <c r="E99" s="483">
        <v>5.17</v>
      </c>
    </row>
    <row r="100" spans="1:5" ht="45">
      <c r="A100" s="494">
        <v>90751</v>
      </c>
      <c r="B100" s="485" t="s">
        <v>14760</v>
      </c>
      <c r="C100" s="484" t="s">
        <v>71</v>
      </c>
      <c r="D100" s="486">
        <v>5.68</v>
      </c>
      <c r="E100" s="486">
        <v>5.68</v>
      </c>
    </row>
    <row r="101" spans="1:5" ht="45">
      <c r="A101" s="495">
        <v>90752</v>
      </c>
      <c r="B101" s="348" t="s">
        <v>14761</v>
      </c>
      <c r="C101" s="349" t="s">
        <v>71</v>
      </c>
      <c r="D101" s="483">
        <v>6.19</v>
      </c>
      <c r="E101" s="483">
        <v>6.19</v>
      </c>
    </row>
    <row r="102" spans="1:5" ht="45">
      <c r="A102" s="494">
        <v>90753</v>
      </c>
      <c r="B102" s="485" t="s">
        <v>14762</v>
      </c>
      <c r="C102" s="484" t="s">
        <v>71</v>
      </c>
      <c r="D102" s="486">
        <v>6.71</v>
      </c>
      <c r="E102" s="486">
        <v>6.71</v>
      </c>
    </row>
    <row r="103" spans="1:5" ht="45">
      <c r="A103" s="495">
        <v>90754</v>
      </c>
      <c r="B103" s="348" t="s">
        <v>14763</v>
      </c>
      <c r="C103" s="349" t="s">
        <v>71</v>
      </c>
      <c r="D103" s="483">
        <v>16.260000000000002</v>
      </c>
      <c r="E103" s="483">
        <v>16.260000000000002</v>
      </c>
    </row>
    <row r="104" spans="1:5" ht="45">
      <c r="A104" s="494">
        <v>90755</v>
      </c>
      <c r="B104" s="485" t="s">
        <v>14764</v>
      </c>
      <c r="C104" s="484" t="s">
        <v>71</v>
      </c>
      <c r="D104" s="486">
        <v>6.98</v>
      </c>
      <c r="E104" s="486">
        <v>6.98</v>
      </c>
    </row>
    <row r="105" spans="1:5" ht="45">
      <c r="A105" s="495">
        <v>90756</v>
      </c>
      <c r="B105" s="348" t="s">
        <v>14765</v>
      </c>
      <c r="C105" s="349" t="s">
        <v>71</v>
      </c>
      <c r="D105" s="483">
        <v>7.48</v>
      </c>
      <c r="E105" s="483">
        <v>7.48</v>
      </c>
    </row>
    <row r="106" spans="1:5" ht="45">
      <c r="A106" s="494">
        <v>90757</v>
      </c>
      <c r="B106" s="485" t="s">
        <v>14766</v>
      </c>
      <c r="C106" s="484" t="s">
        <v>71</v>
      </c>
      <c r="D106" s="486">
        <v>8</v>
      </c>
      <c r="E106" s="486">
        <v>8</v>
      </c>
    </row>
    <row r="107" spans="1:5" ht="45">
      <c r="A107" s="495">
        <v>90758</v>
      </c>
      <c r="B107" s="348" t="s">
        <v>14767</v>
      </c>
      <c r="C107" s="349" t="s">
        <v>71</v>
      </c>
      <c r="D107" s="483">
        <v>8.52</v>
      </c>
      <c r="E107" s="483">
        <v>8.52</v>
      </c>
    </row>
    <row r="108" spans="1:5" ht="45">
      <c r="A108" s="494">
        <v>90759</v>
      </c>
      <c r="B108" s="485" t="s">
        <v>14768</v>
      </c>
      <c r="C108" s="484" t="s">
        <v>71</v>
      </c>
      <c r="D108" s="486">
        <v>9.0299999999999994</v>
      </c>
      <c r="E108" s="486">
        <v>9.0299999999999994</v>
      </c>
    </row>
    <row r="109" spans="1:5" ht="45">
      <c r="A109" s="495">
        <v>90760</v>
      </c>
      <c r="B109" s="348" t="s">
        <v>14769</v>
      </c>
      <c r="C109" s="349" t="s">
        <v>71</v>
      </c>
      <c r="D109" s="483">
        <v>21.49</v>
      </c>
      <c r="E109" s="483">
        <v>21.49</v>
      </c>
    </row>
    <row r="110" spans="1:5" ht="45">
      <c r="A110" s="494">
        <v>90761</v>
      </c>
      <c r="B110" s="485" t="s">
        <v>14770</v>
      </c>
      <c r="C110" s="484" t="s">
        <v>71</v>
      </c>
      <c r="D110" s="486">
        <v>3.83</v>
      </c>
      <c r="E110" s="486">
        <v>3.83</v>
      </c>
    </row>
    <row r="111" spans="1:5" ht="45">
      <c r="A111" s="495">
        <v>90762</v>
      </c>
      <c r="B111" s="348" t="s">
        <v>14771</v>
      </c>
      <c r="C111" s="349" t="s">
        <v>71</v>
      </c>
      <c r="D111" s="483">
        <v>15.95</v>
      </c>
      <c r="E111" s="483">
        <v>15.95</v>
      </c>
    </row>
    <row r="112" spans="1:5" ht="45">
      <c r="A112" s="494">
        <v>94869</v>
      </c>
      <c r="B112" s="485" t="s">
        <v>14772</v>
      </c>
      <c r="C112" s="484" t="s">
        <v>71</v>
      </c>
      <c r="D112" s="486">
        <v>82.27</v>
      </c>
      <c r="E112" s="486">
        <v>82.27</v>
      </c>
    </row>
    <row r="113" spans="1:5" ht="45">
      <c r="A113" s="495">
        <v>94870</v>
      </c>
      <c r="B113" s="348" t="s">
        <v>14773</v>
      </c>
      <c r="C113" s="349" t="s">
        <v>71</v>
      </c>
      <c r="D113" s="483">
        <v>0.76</v>
      </c>
      <c r="E113" s="483">
        <v>0.76</v>
      </c>
    </row>
    <row r="114" spans="1:5" ht="45">
      <c r="A114" s="494">
        <v>94871</v>
      </c>
      <c r="B114" s="485" t="s">
        <v>14774</v>
      </c>
      <c r="C114" s="484" t="s">
        <v>71</v>
      </c>
      <c r="D114" s="486">
        <v>121.73</v>
      </c>
      <c r="E114" s="486">
        <v>121.73</v>
      </c>
    </row>
    <row r="115" spans="1:5" ht="45">
      <c r="A115" s="495">
        <v>94872</v>
      </c>
      <c r="B115" s="348" t="s">
        <v>14775</v>
      </c>
      <c r="C115" s="349" t="s">
        <v>71</v>
      </c>
      <c r="D115" s="483">
        <v>1.34</v>
      </c>
      <c r="E115" s="483">
        <v>1.34</v>
      </c>
    </row>
    <row r="116" spans="1:5" ht="45">
      <c r="A116" s="494">
        <v>94875</v>
      </c>
      <c r="B116" s="485" t="s">
        <v>14776</v>
      </c>
      <c r="C116" s="484" t="s">
        <v>71</v>
      </c>
      <c r="D116" s="486">
        <v>713.04</v>
      </c>
      <c r="E116" s="486">
        <v>713.04</v>
      </c>
    </row>
    <row r="117" spans="1:5" ht="45">
      <c r="A117" s="495">
        <v>94876</v>
      </c>
      <c r="B117" s="348" t="s">
        <v>14777</v>
      </c>
      <c r="C117" s="349" t="s">
        <v>71</v>
      </c>
      <c r="D117" s="483">
        <v>20.29</v>
      </c>
      <c r="E117" s="483">
        <v>20.29</v>
      </c>
    </row>
    <row r="118" spans="1:5" ht="45">
      <c r="A118" s="494">
        <v>94877</v>
      </c>
      <c r="B118" s="485" t="s">
        <v>14778</v>
      </c>
      <c r="C118" s="484" t="s">
        <v>71</v>
      </c>
      <c r="D118" s="486">
        <v>778.65</v>
      </c>
      <c r="E118" s="486">
        <v>778.65</v>
      </c>
    </row>
    <row r="119" spans="1:5" ht="45">
      <c r="A119" s="495">
        <v>94878</v>
      </c>
      <c r="B119" s="348" t="s">
        <v>14779</v>
      </c>
      <c r="C119" s="349" t="s">
        <v>71</v>
      </c>
      <c r="D119" s="483">
        <v>23.81</v>
      </c>
      <c r="E119" s="483">
        <v>23.81</v>
      </c>
    </row>
    <row r="120" spans="1:5" ht="45">
      <c r="A120" s="494">
        <v>94879</v>
      </c>
      <c r="B120" s="485" t="s">
        <v>14780</v>
      </c>
      <c r="C120" s="484" t="s">
        <v>71</v>
      </c>
      <c r="D120" s="486">
        <v>1079.77</v>
      </c>
      <c r="E120" s="486">
        <v>1079.77</v>
      </c>
    </row>
    <row r="121" spans="1:5" ht="45">
      <c r="A121" s="495">
        <v>94880</v>
      </c>
      <c r="B121" s="348" t="s">
        <v>14781</v>
      </c>
      <c r="C121" s="349" t="s">
        <v>71</v>
      </c>
      <c r="D121" s="483">
        <v>29.17</v>
      </c>
      <c r="E121" s="483">
        <v>29.17</v>
      </c>
    </row>
    <row r="122" spans="1:5" ht="45">
      <c r="A122" s="494">
        <v>94881</v>
      </c>
      <c r="B122" s="485" t="s">
        <v>14782</v>
      </c>
      <c r="C122" s="484" t="s">
        <v>71</v>
      </c>
      <c r="D122" s="486">
        <v>1537.64</v>
      </c>
      <c r="E122" s="486">
        <v>1537.64</v>
      </c>
    </row>
    <row r="123" spans="1:5" ht="45">
      <c r="A123" s="495">
        <v>94882</v>
      </c>
      <c r="B123" s="348" t="s">
        <v>14783</v>
      </c>
      <c r="C123" s="349" t="s">
        <v>71</v>
      </c>
      <c r="D123" s="483">
        <v>34.590000000000003</v>
      </c>
      <c r="E123" s="483">
        <v>34.590000000000003</v>
      </c>
    </row>
    <row r="124" spans="1:5" ht="45">
      <c r="A124" s="494">
        <v>94883</v>
      </c>
      <c r="B124" s="485" t="s">
        <v>14784</v>
      </c>
      <c r="C124" s="484" t="s">
        <v>71</v>
      </c>
      <c r="D124" s="486">
        <v>1870.2</v>
      </c>
      <c r="E124" s="486">
        <v>1870.2</v>
      </c>
    </row>
    <row r="125" spans="1:5" ht="45">
      <c r="A125" s="495">
        <v>94884</v>
      </c>
      <c r="B125" s="348" t="s">
        <v>14785</v>
      </c>
      <c r="C125" s="349" t="s">
        <v>71</v>
      </c>
      <c r="D125" s="483">
        <v>45.6</v>
      </c>
      <c r="E125" s="483">
        <v>45.6</v>
      </c>
    </row>
    <row r="126" spans="1:5" ht="45">
      <c r="A126" s="494">
        <v>94885</v>
      </c>
      <c r="B126" s="485" t="s">
        <v>14786</v>
      </c>
      <c r="C126" s="484" t="s">
        <v>71</v>
      </c>
      <c r="D126" s="486">
        <v>82.5</v>
      </c>
      <c r="E126" s="486">
        <v>82.5</v>
      </c>
    </row>
    <row r="127" spans="1:5" ht="45">
      <c r="A127" s="495">
        <v>94886</v>
      </c>
      <c r="B127" s="348" t="s">
        <v>14787</v>
      </c>
      <c r="C127" s="349" t="s">
        <v>71</v>
      </c>
      <c r="D127" s="483">
        <v>0.99</v>
      </c>
      <c r="E127" s="483">
        <v>0.99</v>
      </c>
    </row>
    <row r="128" spans="1:5" ht="45">
      <c r="A128" s="494">
        <v>94887</v>
      </c>
      <c r="B128" s="485" t="s">
        <v>14788</v>
      </c>
      <c r="C128" s="484" t="s">
        <v>71</v>
      </c>
      <c r="D128" s="486">
        <v>122.09</v>
      </c>
      <c r="E128" s="486">
        <v>122.09</v>
      </c>
    </row>
    <row r="129" spans="1:5" ht="45">
      <c r="A129" s="495">
        <v>94888</v>
      </c>
      <c r="B129" s="348" t="s">
        <v>14789</v>
      </c>
      <c r="C129" s="349" t="s">
        <v>71</v>
      </c>
      <c r="D129" s="483">
        <v>1.7</v>
      </c>
      <c r="E129" s="483">
        <v>1.7</v>
      </c>
    </row>
    <row r="130" spans="1:5" ht="45">
      <c r="A130" s="494">
        <v>94891</v>
      </c>
      <c r="B130" s="485" t="s">
        <v>14790</v>
      </c>
      <c r="C130" s="484" t="s">
        <v>71</v>
      </c>
      <c r="D130" s="486">
        <v>716.32</v>
      </c>
      <c r="E130" s="486">
        <v>716.32</v>
      </c>
    </row>
    <row r="131" spans="1:5" ht="45">
      <c r="A131" s="495">
        <v>94892</v>
      </c>
      <c r="B131" s="348" t="s">
        <v>14791</v>
      </c>
      <c r="C131" s="349" t="s">
        <v>71</v>
      </c>
      <c r="D131" s="483">
        <v>23.57</v>
      </c>
      <c r="E131" s="483">
        <v>23.57</v>
      </c>
    </row>
    <row r="132" spans="1:5" ht="45">
      <c r="A132" s="494">
        <v>94893</v>
      </c>
      <c r="B132" s="485" t="s">
        <v>14792</v>
      </c>
      <c r="C132" s="484" t="s">
        <v>71</v>
      </c>
      <c r="D132" s="486">
        <v>782.2</v>
      </c>
      <c r="E132" s="486">
        <v>782.2</v>
      </c>
    </row>
    <row r="133" spans="1:5" ht="45">
      <c r="A133" s="495">
        <v>94894</v>
      </c>
      <c r="B133" s="348" t="s">
        <v>14793</v>
      </c>
      <c r="C133" s="349" t="s">
        <v>71</v>
      </c>
      <c r="D133" s="483">
        <v>27.36</v>
      </c>
      <c r="E133" s="483">
        <v>27.36</v>
      </c>
    </row>
    <row r="134" spans="1:5" ht="45">
      <c r="A134" s="494">
        <v>94895</v>
      </c>
      <c r="B134" s="485" t="s">
        <v>14794</v>
      </c>
      <c r="C134" s="484" t="s">
        <v>71</v>
      </c>
      <c r="D134" s="486">
        <v>1083.67</v>
      </c>
      <c r="E134" s="486">
        <v>1083.67</v>
      </c>
    </row>
    <row r="135" spans="1:5" ht="45">
      <c r="A135" s="495">
        <v>94896</v>
      </c>
      <c r="B135" s="348" t="s">
        <v>14795</v>
      </c>
      <c r="C135" s="349" t="s">
        <v>71</v>
      </c>
      <c r="D135" s="483">
        <v>33.07</v>
      </c>
      <c r="E135" s="483">
        <v>33.07</v>
      </c>
    </row>
    <row r="136" spans="1:5" ht="45">
      <c r="A136" s="494">
        <v>94897</v>
      </c>
      <c r="B136" s="485" t="s">
        <v>14796</v>
      </c>
      <c r="C136" s="484" t="s">
        <v>71</v>
      </c>
      <c r="D136" s="486">
        <v>1541.82</v>
      </c>
      <c r="E136" s="486">
        <v>1541.82</v>
      </c>
    </row>
    <row r="137" spans="1:5" ht="45">
      <c r="A137" s="495">
        <v>94898</v>
      </c>
      <c r="B137" s="348" t="s">
        <v>14797</v>
      </c>
      <c r="C137" s="349" t="s">
        <v>71</v>
      </c>
      <c r="D137" s="483">
        <v>38.770000000000003</v>
      </c>
      <c r="E137" s="483">
        <v>38.770000000000003</v>
      </c>
    </row>
    <row r="138" spans="1:5" ht="45">
      <c r="A138" s="494">
        <v>94899</v>
      </c>
      <c r="B138" s="485" t="s">
        <v>14798</v>
      </c>
      <c r="C138" s="484" t="s">
        <v>71</v>
      </c>
      <c r="D138" s="486">
        <v>1874.78</v>
      </c>
      <c r="E138" s="486">
        <v>1874.78</v>
      </c>
    </row>
    <row r="139" spans="1:5" ht="45">
      <c r="A139" s="495">
        <v>94900</v>
      </c>
      <c r="B139" s="348" t="s">
        <v>14799</v>
      </c>
      <c r="C139" s="349" t="s">
        <v>71</v>
      </c>
      <c r="D139" s="483">
        <v>50.18</v>
      </c>
      <c r="E139" s="483">
        <v>50.18</v>
      </c>
    </row>
    <row r="140" spans="1:5" ht="45">
      <c r="A140" s="494">
        <v>92833</v>
      </c>
      <c r="B140" s="485" t="s">
        <v>14800</v>
      </c>
      <c r="C140" s="484" t="s">
        <v>71</v>
      </c>
      <c r="D140" s="486">
        <v>102.06</v>
      </c>
      <c r="E140" s="486">
        <v>102.06</v>
      </c>
    </row>
    <row r="141" spans="1:5" ht="45">
      <c r="A141" s="495">
        <v>92834</v>
      </c>
      <c r="B141" s="348" t="s">
        <v>14801</v>
      </c>
      <c r="C141" s="349" t="s">
        <v>71</v>
      </c>
      <c r="D141" s="483">
        <v>7.11</v>
      </c>
      <c r="E141" s="483">
        <v>7.11</v>
      </c>
    </row>
    <row r="142" spans="1:5" ht="45">
      <c r="A142" s="494">
        <v>92835</v>
      </c>
      <c r="B142" s="485" t="s">
        <v>14802</v>
      </c>
      <c r="C142" s="484" t="s">
        <v>71</v>
      </c>
      <c r="D142" s="486">
        <v>134.24</v>
      </c>
      <c r="E142" s="486">
        <v>134.24</v>
      </c>
    </row>
    <row r="143" spans="1:5" ht="45">
      <c r="A143" s="495">
        <v>92836</v>
      </c>
      <c r="B143" s="348" t="s">
        <v>14803</v>
      </c>
      <c r="C143" s="349" t="s">
        <v>71</v>
      </c>
      <c r="D143" s="483">
        <v>9.08</v>
      </c>
      <c r="E143" s="483">
        <v>9.08</v>
      </c>
    </row>
    <row r="144" spans="1:5" ht="45">
      <c r="A144" s="494">
        <v>92837</v>
      </c>
      <c r="B144" s="485" t="s">
        <v>14804</v>
      </c>
      <c r="C144" s="484" t="s">
        <v>71</v>
      </c>
      <c r="D144" s="486">
        <v>169.03</v>
      </c>
      <c r="E144" s="486">
        <v>169.03</v>
      </c>
    </row>
    <row r="145" spans="1:5" ht="45">
      <c r="A145" s="495">
        <v>92838</v>
      </c>
      <c r="B145" s="348" t="s">
        <v>14805</v>
      </c>
      <c r="C145" s="349" t="s">
        <v>71</v>
      </c>
      <c r="D145" s="483">
        <v>10.9</v>
      </c>
      <c r="E145" s="483">
        <v>10.9</v>
      </c>
    </row>
    <row r="146" spans="1:5" ht="45">
      <c r="A146" s="494">
        <v>92839</v>
      </c>
      <c r="B146" s="485" t="s">
        <v>14806</v>
      </c>
      <c r="C146" s="484" t="s">
        <v>71</v>
      </c>
      <c r="D146" s="486">
        <v>221.43</v>
      </c>
      <c r="E146" s="486">
        <v>221.43</v>
      </c>
    </row>
    <row r="147" spans="1:5" ht="45">
      <c r="A147" s="495">
        <v>92840</v>
      </c>
      <c r="B147" s="348" t="s">
        <v>14807</v>
      </c>
      <c r="C147" s="349" t="s">
        <v>71</v>
      </c>
      <c r="D147" s="483">
        <v>12.93</v>
      </c>
      <c r="E147" s="483">
        <v>12.93</v>
      </c>
    </row>
    <row r="148" spans="1:5" ht="45">
      <c r="A148" s="494">
        <v>92841</v>
      </c>
      <c r="B148" s="485" t="s">
        <v>14808</v>
      </c>
      <c r="C148" s="484" t="s">
        <v>71</v>
      </c>
      <c r="D148" s="486">
        <v>250.84</v>
      </c>
      <c r="E148" s="486">
        <v>250.84</v>
      </c>
    </row>
    <row r="149" spans="1:5" ht="45">
      <c r="A149" s="495">
        <v>92842</v>
      </c>
      <c r="B149" s="348" t="s">
        <v>14809</v>
      </c>
      <c r="C149" s="349" t="s">
        <v>71</v>
      </c>
      <c r="D149" s="483">
        <v>14.76</v>
      </c>
      <c r="E149" s="483">
        <v>14.76</v>
      </c>
    </row>
    <row r="150" spans="1:5" ht="45">
      <c r="A150" s="494">
        <v>92844</v>
      </c>
      <c r="B150" s="485" t="s">
        <v>14810</v>
      </c>
      <c r="C150" s="484" t="s">
        <v>71</v>
      </c>
      <c r="D150" s="486">
        <v>16.78</v>
      </c>
      <c r="E150" s="486">
        <v>16.78</v>
      </c>
    </row>
    <row r="151" spans="1:5" ht="45">
      <c r="A151" s="495">
        <v>92846</v>
      </c>
      <c r="B151" s="348" t="s">
        <v>14811</v>
      </c>
      <c r="C151" s="349" t="s">
        <v>71</v>
      </c>
      <c r="D151" s="483">
        <v>18.59</v>
      </c>
      <c r="E151" s="483">
        <v>18.59</v>
      </c>
    </row>
    <row r="152" spans="1:5" ht="45">
      <c r="A152" s="494">
        <v>92847</v>
      </c>
      <c r="B152" s="485" t="s">
        <v>14812</v>
      </c>
      <c r="C152" s="484" t="s">
        <v>71</v>
      </c>
      <c r="D152" s="486">
        <v>436.15</v>
      </c>
      <c r="E152" s="486">
        <v>436.15</v>
      </c>
    </row>
    <row r="153" spans="1:5" ht="45">
      <c r="A153" s="495">
        <v>92848</v>
      </c>
      <c r="B153" s="348" t="s">
        <v>14813</v>
      </c>
      <c r="C153" s="349" t="s">
        <v>71</v>
      </c>
      <c r="D153" s="483">
        <v>20.63</v>
      </c>
      <c r="E153" s="483">
        <v>20.63</v>
      </c>
    </row>
    <row r="154" spans="1:5" ht="45">
      <c r="A154" s="494">
        <v>92849</v>
      </c>
      <c r="B154" s="485" t="s">
        <v>14814</v>
      </c>
      <c r="C154" s="484" t="s">
        <v>71</v>
      </c>
      <c r="D154" s="486">
        <v>108.41</v>
      </c>
      <c r="E154" s="486">
        <v>108.41</v>
      </c>
    </row>
    <row r="155" spans="1:5" ht="45">
      <c r="A155" s="495">
        <v>92850</v>
      </c>
      <c r="B155" s="348" t="s">
        <v>14815</v>
      </c>
      <c r="C155" s="349" t="s">
        <v>71</v>
      </c>
      <c r="D155" s="483">
        <v>13.46</v>
      </c>
      <c r="E155" s="483">
        <v>13.46</v>
      </c>
    </row>
    <row r="156" spans="1:5" ht="45">
      <c r="A156" s="494">
        <v>92851</v>
      </c>
      <c r="B156" s="485" t="s">
        <v>14816</v>
      </c>
      <c r="C156" s="484" t="s">
        <v>71</v>
      </c>
      <c r="D156" s="486">
        <v>142.16</v>
      </c>
      <c r="E156" s="486">
        <v>142.16</v>
      </c>
    </row>
    <row r="157" spans="1:5" ht="45">
      <c r="A157" s="495">
        <v>92852</v>
      </c>
      <c r="B157" s="348" t="s">
        <v>14817</v>
      </c>
      <c r="C157" s="349" t="s">
        <v>71</v>
      </c>
      <c r="D157" s="483">
        <v>17</v>
      </c>
      <c r="E157" s="483">
        <v>17</v>
      </c>
    </row>
    <row r="158" spans="1:5" ht="45">
      <c r="A158" s="494">
        <v>92853</v>
      </c>
      <c r="B158" s="485" t="s">
        <v>14818</v>
      </c>
      <c r="C158" s="484" t="s">
        <v>71</v>
      </c>
      <c r="D158" s="486">
        <v>178.83</v>
      </c>
      <c r="E158" s="486">
        <v>178.83</v>
      </c>
    </row>
    <row r="159" spans="1:5" ht="45">
      <c r="A159" s="495">
        <v>92854</v>
      </c>
      <c r="B159" s="348" t="s">
        <v>14819</v>
      </c>
      <c r="C159" s="349" t="s">
        <v>71</v>
      </c>
      <c r="D159" s="483">
        <v>20.7</v>
      </c>
      <c r="E159" s="483">
        <v>20.7</v>
      </c>
    </row>
    <row r="160" spans="1:5" ht="45">
      <c r="A160" s="494">
        <v>92855</v>
      </c>
      <c r="B160" s="485" t="s">
        <v>14820</v>
      </c>
      <c r="C160" s="484" t="s">
        <v>71</v>
      </c>
      <c r="D160" s="486">
        <v>232.9</v>
      </c>
      <c r="E160" s="486">
        <v>232.9</v>
      </c>
    </row>
    <row r="161" spans="1:5" ht="45">
      <c r="A161" s="495">
        <v>92856</v>
      </c>
      <c r="B161" s="348" t="s">
        <v>14821</v>
      </c>
      <c r="C161" s="349" t="s">
        <v>71</v>
      </c>
      <c r="D161" s="483">
        <v>24.4</v>
      </c>
      <c r="E161" s="483">
        <v>24.4</v>
      </c>
    </row>
    <row r="162" spans="1:5" ht="45">
      <c r="A162" s="494">
        <v>92857</v>
      </c>
      <c r="B162" s="485" t="s">
        <v>14822</v>
      </c>
      <c r="C162" s="484" t="s">
        <v>71</v>
      </c>
      <c r="D162" s="486">
        <v>264.01</v>
      </c>
      <c r="E162" s="486">
        <v>264.01</v>
      </c>
    </row>
    <row r="163" spans="1:5" ht="45">
      <c r="A163" s="495">
        <v>92858</v>
      </c>
      <c r="B163" s="348" t="s">
        <v>14823</v>
      </c>
      <c r="C163" s="349" t="s">
        <v>71</v>
      </c>
      <c r="D163" s="483">
        <v>27.93</v>
      </c>
      <c r="E163" s="483">
        <v>27.93</v>
      </c>
    </row>
    <row r="164" spans="1:5" ht="45">
      <c r="A164" s="494">
        <v>92860</v>
      </c>
      <c r="B164" s="485" t="s">
        <v>14824</v>
      </c>
      <c r="C164" s="484" t="s">
        <v>71</v>
      </c>
      <c r="D164" s="486">
        <v>31.71</v>
      </c>
      <c r="E164" s="486">
        <v>31.71</v>
      </c>
    </row>
    <row r="165" spans="1:5" ht="45">
      <c r="A165" s="495">
        <v>92862</v>
      </c>
      <c r="B165" s="348" t="s">
        <v>14825</v>
      </c>
      <c r="C165" s="349" t="s">
        <v>71</v>
      </c>
      <c r="D165" s="483">
        <v>35.380000000000003</v>
      </c>
      <c r="E165" s="483">
        <v>35.380000000000003</v>
      </c>
    </row>
    <row r="166" spans="1:5" ht="45">
      <c r="A166" s="494">
        <v>92863</v>
      </c>
      <c r="B166" s="485" t="s">
        <v>14826</v>
      </c>
      <c r="C166" s="484" t="s">
        <v>71</v>
      </c>
      <c r="D166" s="486">
        <v>454.61</v>
      </c>
      <c r="E166" s="486">
        <v>454.61</v>
      </c>
    </row>
    <row r="167" spans="1:5" ht="45">
      <c r="A167" s="495">
        <v>92864</v>
      </c>
      <c r="B167" s="348" t="s">
        <v>14827</v>
      </c>
      <c r="C167" s="349" t="s">
        <v>71</v>
      </c>
      <c r="D167" s="483">
        <v>39.090000000000003</v>
      </c>
      <c r="E167" s="483">
        <v>39.090000000000003</v>
      </c>
    </row>
    <row r="168" spans="1:5" ht="45">
      <c r="A168" s="494">
        <v>92210</v>
      </c>
      <c r="B168" s="485" t="s">
        <v>14828</v>
      </c>
      <c r="C168" s="484" t="s">
        <v>71</v>
      </c>
      <c r="D168" s="486">
        <v>94.02</v>
      </c>
      <c r="E168" s="486">
        <v>94.02</v>
      </c>
    </row>
    <row r="169" spans="1:5" ht="45">
      <c r="A169" s="495">
        <v>92211</v>
      </c>
      <c r="B169" s="348" t="s">
        <v>14829</v>
      </c>
      <c r="C169" s="349" t="s">
        <v>71</v>
      </c>
      <c r="D169" s="483">
        <v>119.88</v>
      </c>
      <c r="E169" s="483">
        <v>119.88</v>
      </c>
    </row>
    <row r="170" spans="1:5" ht="45">
      <c r="A170" s="494">
        <v>92212</v>
      </c>
      <c r="B170" s="485" t="s">
        <v>14830</v>
      </c>
      <c r="C170" s="484" t="s">
        <v>71</v>
      </c>
      <c r="D170" s="486">
        <v>151.87</v>
      </c>
      <c r="E170" s="486">
        <v>151.87</v>
      </c>
    </row>
    <row r="171" spans="1:5" ht="45">
      <c r="A171" s="495">
        <v>92213</v>
      </c>
      <c r="B171" s="348" t="s">
        <v>14831</v>
      </c>
      <c r="C171" s="349" t="s">
        <v>71</v>
      </c>
      <c r="D171" s="483">
        <v>206.78</v>
      </c>
      <c r="E171" s="483">
        <v>206.78</v>
      </c>
    </row>
    <row r="172" spans="1:5" ht="45">
      <c r="A172" s="494">
        <v>92214</v>
      </c>
      <c r="B172" s="485" t="s">
        <v>14832</v>
      </c>
      <c r="C172" s="484" t="s">
        <v>71</v>
      </c>
      <c r="D172" s="486">
        <v>226.44</v>
      </c>
      <c r="E172" s="486">
        <v>226.44</v>
      </c>
    </row>
    <row r="173" spans="1:5" ht="45">
      <c r="A173" s="495">
        <v>92215</v>
      </c>
      <c r="B173" s="348" t="s">
        <v>14833</v>
      </c>
      <c r="C173" s="349" t="s">
        <v>71</v>
      </c>
      <c r="D173" s="483">
        <v>271.95999999999998</v>
      </c>
      <c r="E173" s="483">
        <v>271.95999999999998</v>
      </c>
    </row>
    <row r="174" spans="1:5" ht="45">
      <c r="A174" s="494">
        <v>92216</v>
      </c>
      <c r="B174" s="485" t="s">
        <v>14834</v>
      </c>
      <c r="C174" s="484" t="s">
        <v>71</v>
      </c>
      <c r="D174" s="486">
        <v>304.48</v>
      </c>
      <c r="E174" s="486">
        <v>304.48</v>
      </c>
    </row>
    <row r="175" spans="1:5" ht="45">
      <c r="A175" s="495">
        <v>92219</v>
      </c>
      <c r="B175" s="348" t="s">
        <v>14835</v>
      </c>
      <c r="C175" s="349" t="s">
        <v>71</v>
      </c>
      <c r="D175" s="483">
        <v>101.93</v>
      </c>
      <c r="E175" s="483">
        <v>101.93</v>
      </c>
    </row>
    <row r="176" spans="1:5" ht="45">
      <c r="A176" s="494">
        <v>92220</v>
      </c>
      <c r="B176" s="485" t="s">
        <v>14836</v>
      </c>
      <c r="C176" s="484" t="s">
        <v>71</v>
      </c>
      <c r="D176" s="486">
        <v>129.66999999999999</v>
      </c>
      <c r="E176" s="486">
        <v>129.66999999999999</v>
      </c>
    </row>
    <row r="177" spans="1:5" ht="45">
      <c r="A177" s="495">
        <v>92221</v>
      </c>
      <c r="B177" s="348" t="s">
        <v>14837</v>
      </c>
      <c r="C177" s="349" t="s">
        <v>71</v>
      </c>
      <c r="D177" s="483">
        <v>163.35</v>
      </c>
      <c r="E177" s="483">
        <v>163.35</v>
      </c>
    </row>
    <row r="178" spans="1:5" ht="45">
      <c r="A178" s="494">
        <v>92222</v>
      </c>
      <c r="B178" s="485" t="s">
        <v>14838</v>
      </c>
      <c r="C178" s="484" t="s">
        <v>71</v>
      </c>
      <c r="D178" s="486">
        <v>220.12</v>
      </c>
      <c r="E178" s="486">
        <v>220.12</v>
      </c>
    </row>
    <row r="179" spans="1:5" ht="45">
      <c r="A179" s="495">
        <v>92223</v>
      </c>
      <c r="B179" s="348" t="s">
        <v>14839</v>
      </c>
      <c r="C179" s="349" t="s">
        <v>71</v>
      </c>
      <c r="D179" s="483">
        <v>241.37</v>
      </c>
      <c r="E179" s="483">
        <v>241.37</v>
      </c>
    </row>
    <row r="180" spans="1:5" ht="45">
      <c r="A180" s="494">
        <v>92224</v>
      </c>
      <c r="B180" s="485" t="s">
        <v>14840</v>
      </c>
      <c r="C180" s="484" t="s">
        <v>71</v>
      </c>
      <c r="D180" s="486">
        <v>288.52</v>
      </c>
      <c r="E180" s="486">
        <v>288.52</v>
      </c>
    </row>
    <row r="181" spans="1:5" ht="45">
      <c r="A181" s="495">
        <v>92226</v>
      </c>
      <c r="B181" s="348" t="s">
        <v>14841</v>
      </c>
      <c r="C181" s="349" t="s">
        <v>71</v>
      </c>
      <c r="D181" s="483">
        <v>323.02999999999997</v>
      </c>
      <c r="E181" s="483">
        <v>323.02999999999997</v>
      </c>
    </row>
    <row r="182" spans="1:5" ht="45">
      <c r="A182" s="494">
        <v>92808</v>
      </c>
      <c r="B182" s="485" t="s">
        <v>14842</v>
      </c>
      <c r="C182" s="484" t="s">
        <v>71</v>
      </c>
      <c r="D182" s="486">
        <v>31.94</v>
      </c>
      <c r="E182" s="486">
        <v>31.94</v>
      </c>
    </row>
    <row r="183" spans="1:5" ht="45">
      <c r="A183" s="495">
        <v>92809</v>
      </c>
      <c r="B183" s="348" t="s">
        <v>14843</v>
      </c>
      <c r="C183" s="349" t="s">
        <v>71</v>
      </c>
      <c r="D183" s="483">
        <v>40.89</v>
      </c>
      <c r="E183" s="483">
        <v>40.89</v>
      </c>
    </row>
    <row r="184" spans="1:5" ht="45">
      <c r="A184" s="494">
        <v>92810</v>
      </c>
      <c r="B184" s="485" t="s">
        <v>14844</v>
      </c>
      <c r="C184" s="484" t="s">
        <v>71</v>
      </c>
      <c r="D184" s="486">
        <v>49.71</v>
      </c>
      <c r="E184" s="486">
        <v>49.71</v>
      </c>
    </row>
    <row r="185" spans="1:5" ht="45">
      <c r="A185" s="495">
        <v>92811</v>
      </c>
      <c r="B185" s="348" t="s">
        <v>14845</v>
      </c>
      <c r="C185" s="349" t="s">
        <v>71</v>
      </c>
      <c r="D185" s="483">
        <v>59.04</v>
      </c>
      <c r="E185" s="483">
        <v>59.04</v>
      </c>
    </row>
    <row r="186" spans="1:5" ht="45">
      <c r="A186" s="494">
        <v>92812</v>
      </c>
      <c r="B186" s="485" t="s">
        <v>14846</v>
      </c>
      <c r="C186" s="484" t="s">
        <v>71</v>
      </c>
      <c r="D186" s="486">
        <v>68.22</v>
      </c>
      <c r="E186" s="486">
        <v>68.22</v>
      </c>
    </row>
    <row r="187" spans="1:5" ht="45">
      <c r="A187" s="495">
        <v>92813</v>
      </c>
      <c r="B187" s="348" t="s">
        <v>14847</v>
      </c>
      <c r="C187" s="349" t="s">
        <v>71</v>
      </c>
      <c r="D187" s="483">
        <v>78.680000000000007</v>
      </c>
      <c r="E187" s="483">
        <v>78.680000000000007</v>
      </c>
    </row>
    <row r="188" spans="1:5" ht="45">
      <c r="A188" s="494">
        <v>92814</v>
      </c>
      <c r="B188" s="485" t="s">
        <v>14848</v>
      </c>
      <c r="C188" s="484" t="s">
        <v>71</v>
      </c>
      <c r="D188" s="486">
        <v>89.54</v>
      </c>
      <c r="E188" s="486">
        <v>89.54</v>
      </c>
    </row>
    <row r="189" spans="1:5" ht="45">
      <c r="A189" s="495">
        <v>92815</v>
      </c>
      <c r="B189" s="348" t="s">
        <v>14849</v>
      </c>
      <c r="C189" s="349" t="s">
        <v>71</v>
      </c>
      <c r="D189" s="483">
        <v>101.66</v>
      </c>
      <c r="E189" s="483">
        <v>101.66</v>
      </c>
    </row>
    <row r="190" spans="1:5" ht="45">
      <c r="A190" s="494">
        <v>92816</v>
      </c>
      <c r="B190" s="485" t="s">
        <v>14850</v>
      </c>
      <c r="C190" s="484" t="s">
        <v>71</v>
      </c>
      <c r="D190" s="486">
        <v>414.66</v>
      </c>
      <c r="E190" s="486">
        <v>414.66</v>
      </c>
    </row>
    <row r="191" spans="1:5" ht="45">
      <c r="A191" s="495">
        <v>92817</v>
      </c>
      <c r="B191" s="348" t="s">
        <v>14851</v>
      </c>
      <c r="C191" s="349" t="s">
        <v>71</v>
      </c>
      <c r="D191" s="483">
        <v>127.22</v>
      </c>
      <c r="E191" s="483">
        <v>127.22</v>
      </c>
    </row>
    <row r="192" spans="1:5" ht="45">
      <c r="A192" s="494">
        <v>92818</v>
      </c>
      <c r="B192" s="485" t="s">
        <v>14852</v>
      </c>
      <c r="C192" s="484" t="s">
        <v>71</v>
      </c>
      <c r="D192" s="486">
        <v>598.78</v>
      </c>
      <c r="E192" s="486">
        <v>598.78</v>
      </c>
    </row>
    <row r="193" spans="1:5" ht="45">
      <c r="A193" s="495">
        <v>92819</v>
      </c>
      <c r="B193" s="348" t="s">
        <v>14853</v>
      </c>
      <c r="C193" s="349" t="s">
        <v>71</v>
      </c>
      <c r="D193" s="483">
        <v>171.24</v>
      </c>
      <c r="E193" s="483">
        <v>171.24</v>
      </c>
    </row>
    <row r="194" spans="1:5" ht="45">
      <c r="A194" s="494">
        <v>92820</v>
      </c>
      <c r="B194" s="485" t="s">
        <v>14854</v>
      </c>
      <c r="C194" s="484" t="s">
        <v>71</v>
      </c>
      <c r="D194" s="486">
        <v>38.119999999999997</v>
      </c>
      <c r="E194" s="486">
        <v>38.119999999999997</v>
      </c>
    </row>
    <row r="195" spans="1:5" ht="45">
      <c r="A195" s="495">
        <v>92821</v>
      </c>
      <c r="B195" s="348" t="s">
        <v>14855</v>
      </c>
      <c r="C195" s="349" t="s">
        <v>71</v>
      </c>
      <c r="D195" s="483">
        <v>48.8</v>
      </c>
      <c r="E195" s="483">
        <v>48.8</v>
      </c>
    </row>
    <row r="196" spans="1:5" ht="45">
      <c r="A196" s="494">
        <v>92822</v>
      </c>
      <c r="B196" s="485" t="s">
        <v>14856</v>
      </c>
      <c r="C196" s="484" t="s">
        <v>71</v>
      </c>
      <c r="D196" s="486">
        <v>59.5</v>
      </c>
      <c r="E196" s="486">
        <v>59.5</v>
      </c>
    </row>
    <row r="197" spans="1:5" ht="45">
      <c r="A197" s="495">
        <v>92824</v>
      </c>
      <c r="B197" s="348" t="s">
        <v>14857</v>
      </c>
      <c r="C197" s="349" t="s">
        <v>71</v>
      </c>
      <c r="D197" s="483">
        <v>70.52</v>
      </c>
      <c r="E197" s="483">
        <v>70.52</v>
      </c>
    </row>
    <row r="198" spans="1:5" ht="45">
      <c r="A198" s="494">
        <v>92825</v>
      </c>
      <c r="B198" s="485" t="s">
        <v>14858</v>
      </c>
      <c r="C198" s="484" t="s">
        <v>71</v>
      </c>
      <c r="D198" s="486">
        <v>81.56</v>
      </c>
      <c r="E198" s="486">
        <v>81.56</v>
      </c>
    </row>
    <row r="199" spans="1:5" ht="45">
      <c r="A199" s="495">
        <v>92826</v>
      </c>
      <c r="B199" s="348" t="s">
        <v>14859</v>
      </c>
      <c r="C199" s="349" t="s">
        <v>71</v>
      </c>
      <c r="D199" s="483">
        <v>93.61</v>
      </c>
      <c r="E199" s="483">
        <v>93.61</v>
      </c>
    </row>
    <row r="200" spans="1:5" ht="45">
      <c r="A200" s="494">
        <v>92827</v>
      </c>
      <c r="B200" s="485" t="s">
        <v>14860</v>
      </c>
      <c r="C200" s="484" t="s">
        <v>71</v>
      </c>
      <c r="D200" s="486">
        <v>106.1</v>
      </c>
      <c r="E200" s="486">
        <v>106.1</v>
      </c>
    </row>
    <row r="201" spans="1:5" ht="45">
      <c r="A201" s="495">
        <v>92828</v>
      </c>
      <c r="B201" s="348" t="s">
        <v>14861</v>
      </c>
      <c r="C201" s="349" t="s">
        <v>71</v>
      </c>
      <c r="D201" s="483">
        <v>120.21</v>
      </c>
      <c r="E201" s="483">
        <v>120.21</v>
      </c>
    </row>
    <row r="202" spans="1:5" ht="45">
      <c r="A202" s="494">
        <v>92829</v>
      </c>
      <c r="B202" s="485" t="s">
        <v>14862</v>
      </c>
      <c r="C202" s="484" t="s">
        <v>71</v>
      </c>
      <c r="D202" s="486">
        <v>436.56</v>
      </c>
      <c r="E202" s="486">
        <v>436.56</v>
      </c>
    </row>
    <row r="203" spans="1:5" ht="45">
      <c r="A203" s="495">
        <v>92830</v>
      </c>
      <c r="B203" s="348" t="s">
        <v>14863</v>
      </c>
      <c r="C203" s="349" t="s">
        <v>71</v>
      </c>
      <c r="D203" s="483">
        <v>149.12</v>
      </c>
      <c r="E203" s="483">
        <v>149.12</v>
      </c>
    </row>
    <row r="204" spans="1:5" ht="45">
      <c r="A204" s="494">
        <v>92831</v>
      </c>
      <c r="B204" s="485" t="s">
        <v>14864</v>
      </c>
      <c r="C204" s="484" t="s">
        <v>71</v>
      </c>
      <c r="D204" s="486">
        <v>625.77</v>
      </c>
      <c r="E204" s="486">
        <v>625.77</v>
      </c>
    </row>
    <row r="205" spans="1:5" ht="45">
      <c r="A205" s="495">
        <v>92832</v>
      </c>
      <c r="B205" s="348" t="s">
        <v>14865</v>
      </c>
      <c r="C205" s="349" t="s">
        <v>71</v>
      </c>
      <c r="D205" s="483">
        <v>198.23</v>
      </c>
      <c r="E205" s="483">
        <v>198.23</v>
      </c>
    </row>
    <row r="206" spans="1:5" ht="45">
      <c r="A206" s="494">
        <v>95565</v>
      </c>
      <c r="B206" s="485" t="s">
        <v>14866</v>
      </c>
      <c r="C206" s="484" t="s">
        <v>71</v>
      </c>
      <c r="D206" s="486">
        <v>82.22</v>
      </c>
      <c r="E206" s="486">
        <v>82.22</v>
      </c>
    </row>
    <row r="207" spans="1:5" ht="45">
      <c r="A207" s="495">
        <v>95566</v>
      </c>
      <c r="B207" s="348" t="s">
        <v>14867</v>
      </c>
      <c r="C207" s="349" t="s">
        <v>71</v>
      </c>
      <c r="D207" s="483">
        <v>88.4</v>
      </c>
      <c r="E207" s="483">
        <v>88.4</v>
      </c>
    </row>
    <row r="208" spans="1:5" ht="45">
      <c r="A208" s="494">
        <v>95567</v>
      </c>
      <c r="B208" s="485" t="s">
        <v>14868</v>
      </c>
      <c r="C208" s="484" t="s">
        <v>71</v>
      </c>
      <c r="D208" s="486">
        <v>55.37</v>
      </c>
      <c r="E208" s="486">
        <v>55.37</v>
      </c>
    </row>
    <row r="209" spans="1:5" ht="45">
      <c r="A209" s="495">
        <v>95568</v>
      </c>
      <c r="B209" s="348" t="s">
        <v>14869</v>
      </c>
      <c r="C209" s="349" t="s">
        <v>71</v>
      </c>
      <c r="D209" s="483">
        <v>71.86</v>
      </c>
      <c r="E209" s="483">
        <v>71.86</v>
      </c>
    </row>
    <row r="210" spans="1:5" ht="45">
      <c r="A210" s="494">
        <v>95569</v>
      </c>
      <c r="B210" s="485" t="s">
        <v>14870</v>
      </c>
      <c r="C210" s="484" t="s">
        <v>71</v>
      </c>
      <c r="D210" s="486">
        <v>94.58</v>
      </c>
      <c r="E210" s="486">
        <v>94.58</v>
      </c>
    </row>
    <row r="211" spans="1:5" ht="45">
      <c r="A211" s="495">
        <v>95570</v>
      </c>
      <c r="B211" s="348" t="s">
        <v>14871</v>
      </c>
      <c r="C211" s="349" t="s">
        <v>71</v>
      </c>
      <c r="D211" s="483">
        <v>61.55</v>
      </c>
      <c r="E211" s="483">
        <v>61.55</v>
      </c>
    </row>
    <row r="212" spans="1:5" ht="45">
      <c r="A212" s="494">
        <v>95571</v>
      </c>
      <c r="B212" s="485" t="s">
        <v>14872</v>
      </c>
      <c r="C212" s="484" t="s">
        <v>71</v>
      </c>
      <c r="D212" s="486">
        <v>79.77</v>
      </c>
      <c r="E212" s="486">
        <v>79.77</v>
      </c>
    </row>
    <row r="213" spans="1:5" ht="45">
      <c r="A213" s="495">
        <v>95572</v>
      </c>
      <c r="B213" s="348" t="s">
        <v>14873</v>
      </c>
      <c r="C213" s="349" t="s">
        <v>71</v>
      </c>
      <c r="D213" s="483">
        <v>104.37</v>
      </c>
      <c r="E213" s="483">
        <v>104.37</v>
      </c>
    </row>
    <row r="214" spans="1:5">
      <c r="A214" s="494">
        <v>73606</v>
      </c>
      <c r="B214" s="485" t="s">
        <v>2213</v>
      </c>
      <c r="C214" s="484" t="s">
        <v>65</v>
      </c>
      <c r="D214" s="486">
        <v>108.96</v>
      </c>
      <c r="E214" s="486">
        <v>108.96</v>
      </c>
    </row>
    <row r="215" spans="1:5">
      <c r="A215" s="495">
        <v>73607</v>
      </c>
      <c r="B215" s="348" t="s">
        <v>2212</v>
      </c>
      <c r="C215" s="349" t="s">
        <v>65</v>
      </c>
      <c r="D215" s="483">
        <v>72.64</v>
      </c>
      <c r="E215" s="483">
        <v>72.64</v>
      </c>
    </row>
    <row r="216" spans="1:5">
      <c r="A216" s="494">
        <v>83623</v>
      </c>
      <c r="B216" s="485" t="s">
        <v>14874</v>
      </c>
      <c r="C216" s="484" t="s">
        <v>71</v>
      </c>
      <c r="D216" s="486">
        <v>207.8</v>
      </c>
      <c r="E216" s="486">
        <v>207.8</v>
      </c>
    </row>
    <row r="217" spans="1:5">
      <c r="A217" s="495">
        <v>83624</v>
      </c>
      <c r="B217" s="348" t="s">
        <v>14875</v>
      </c>
      <c r="C217" s="349" t="s">
        <v>71</v>
      </c>
      <c r="D217" s="483">
        <v>146.33000000000001</v>
      </c>
      <c r="E217" s="483">
        <v>146.33000000000001</v>
      </c>
    </row>
    <row r="218" spans="1:5">
      <c r="A218" s="494">
        <v>83626</v>
      </c>
      <c r="B218" s="485" t="s">
        <v>14876</v>
      </c>
      <c r="C218" s="484" t="s">
        <v>71</v>
      </c>
      <c r="D218" s="486">
        <v>115.59</v>
      </c>
      <c r="E218" s="486">
        <v>115.59</v>
      </c>
    </row>
    <row r="219" spans="1:5" ht="45">
      <c r="A219" s="495">
        <v>83627</v>
      </c>
      <c r="B219" s="348" t="s">
        <v>14877</v>
      </c>
      <c r="C219" s="349" t="s">
        <v>65</v>
      </c>
      <c r="D219" s="483">
        <v>401.09</v>
      </c>
      <c r="E219" s="483">
        <v>401.09</v>
      </c>
    </row>
    <row r="220" spans="1:5" ht="30">
      <c r="A220" s="494">
        <v>83724</v>
      </c>
      <c r="B220" s="485" t="s">
        <v>14878</v>
      </c>
      <c r="C220" s="484" t="s">
        <v>90</v>
      </c>
      <c r="D220" s="486">
        <v>1.55</v>
      </c>
      <c r="E220" s="486">
        <v>1.55</v>
      </c>
    </row>
    <row r="221" spans="1:5" ht="30">
      <c r="A221" s="495">
        <v>83725</v>
      </c>
      <c r="B221" s="348" t="s">
        <v>14879</v>
      </c>
      <c r="C221" s="349" t="s">
        <v>90</v>
      </c>
      <c r="D221" s="483">
        <v>0.95</v>
      </c>
      <c r="E221" s="483">
        <v>0.95</v>
      </c>
    </row>
    <row r="222" spans="1:5" ht="30">
      <c r="A222" s="494">
        <v>83726</v>
      </c>
      <c r="B222" s="485" t="s">
        <v>14880</v>
      </c>
      <c r="C222" s="484" t="s">
        <v>90</v>
      </c>
      <c r="D222" s="486">
        <v>0.71</v>
      </c>
      <c r="E222" s="486">
        <v>0.71</v>
      </c>
    </row>
    <row r="223" spans="1:5">
      <c r="A223" s="495">
        <v>83520</v>
      </c>
      <c r="B223" s="348" t="s">
        <v>9358</v>
      </c>
      <c r="C223" s="349" t="s">
        <v>65</v>
      </c>
      <c r="D223" s="483">
        <v>106.69</v>
      </c>
      <c r="E223" s="483">
        <v>106.69</v>
      </c>
    </row>
    <row r="224" spans="1:5">
      <c r="A224" s="494">
        <v>83531</v>
      </c>
      <c r="B224" s="485" t="s">
        <v>14881</v>
      </c>
      <c r="C224" s="484" t="s">
        <v>65</v>
      </c>
      <c r="D224" s="486">
        <v>236.5</v>
      </c>
      <c r="E224" s="486">
        <v>236.5</v>
      </c>
    </row>
    <row r="225" spans="1:5">
      <c r="A225" s="495">
        <v>83535</v>
      </c>
      <c r="B225" s="348" t="s">
        <v>14882</v>
      </c>
      <c r="C225" s="349" t="s">
        <v>65</v>
      </c>
      <c r="D225" s="483">
        <v>197.19</v>
      </c>
      <c r="E225" s="483">
        <v>197.19</v>
      </c>
    </row>
    <row r="226" spans="1:5">
      <c r="A226" s="484" t="s">
        <v>14883</v>
      </c>
      <c r="B226" s="485" t="s">
        <v>6098</v>
      </c>
      <c r="C226" s="484" t="s">
        <v>65</v>
      </c>
      <c r="D226" s="486">
        <v>56.46</v>
      </c>
      <c r="E226" s="486">
        <v>56.46</v>
      </c>
    </row>
    <row r="227" spans="1:5">
      <c r="A227" s="349" t="s">
        <v>14884</v>
      </c>
      <c r="B227" s="348" t="s">
        <v>6102</v>
      </c>
      <c r="C227" s="349" t="s">
        <v>65</v>
      </c>
      <c r="D227" s="483">
        <v>83.02</v>
      </c>
      <c r="E227" s="483">
        <v>83.02</v>
      </c>
    </row>
    <row r="228" spans="1:5">
      <c r="A228" s="484" t="s">
        <v>14885</v>
      </c>
      <c r="B228" s="485" t="s">
        <v>6089</v>
      </c>
      <c r="C228" s="484" t="s">
        <v>65</v>
      </c>
      <c r="D228" s="486">
        <v>103.8</v>
      </c>
      <c r="E228" s="486">
        <v>103.8</v>
      </c>
    </row>
    <row r="229" spans="1:5">
      <c r="A229" s="349" t="s">
        <v>14886</v>
      </c>
      <c r="B229" s="348" t="s">
        <v>6091</v>
      </c>
      <c r="C229" s="349" t="s">
        <v>65</v>
      </c>
      <c r="D229" s="483">
        <v>441.66</v>
      </c>
      <c r="E229" s="483">
        <v>441.66</v>
      </c>
    </row>
    <row r="230" spans="1:5">
      <c r="A230" s="484" t="s">
        <v>14887</v>
      </c>
      <c r="B230" s="485" t="s">
        <v>6092</v>
      </c>
      <c r="C230" s="484" t="s">
        <v>65</v>
      </c>
      <c r="D230" s="486">
        <v>515.27</v>
      </c>
      <c r="E230" s="486">
        <v>515.27</v>
      </c>
    </row>
    <row r="231" spans="1:5">
      <c r="A231" s="349" t="s">
        <v>14888</v>
      </c>
      <c r="B231" s="348" t="s">
        <v>6093</v>
      </c>
      <c r="C231" s="349" t="s">
        <v>65</v>
      </c>
      <c r="D231" s="483">
        <v>625.69000000000005</v>
      </c>
      <c r="E231" s="483">
        <v>625.69000000000005</v>
      </c>
    </row>
    <row r="232" spans="1:5">
      <c r="A232" s="484" t="s">
        <v>14889</v>
      </c>
      <c r="B232" s="485" t="s">
        <v>6094</v>
      </c>
      <c r="C232" s="484" t="s">
        <v>65</v>
      </c>
      <c r="D232" s="486">
        <v>699.3</v>
      </c>
      <c r="E232" s="486">
        <v>699.3</v>
      </c>
    </row>
    <row r="233" spans="1:5">
      <c r="A233" s="349" t="s">
        <v>14890</v>
      </c>
      <c r="B233" s="348" t="s">
        <v>6095</v>
      </c>
      <c r="C233" s="349" t="s">
        <v>65</v>
      </c>
      <c r="D233" s="483">
        <v>736.12</v>
      </c>
      <c r="E233" s="483">
        <v>736.12</v>
      </c>
    </row>
    <row r="234" spans="1:5">
      <c r="A234" s="484" t="s">
        <v>14891</v>
      </c>
      <c r="B234" s="485" t="s">
        <v>6096</v>
      </c>
      <c r="C234" s="484" t="s">
        <v>65</v>
      </c>
      <c r="D234" s="486">
        <v>809.72</v>
      </c>
      <c r="E234" s="486">
        <v>809.72</v>
      </c>
    </row>
    <row r="235" spans="1:5">
      <c r="A235" s="349" t="s">
        <v>14892</v>
      </c>
      <c r="B235" s="348" t="s">
        <v>6097</v>
      </c>
      <c r="C235" s="349" t="s">
        <v>65</v>
      </c>
      <c r="D235" s="483">
        <v>846.52</v>
      </c>
      <c r="E235" s="483">
        <v>846.52</v>
      </c>
    </row>
    <row r="236" spans="1:5">
      <c r="A236" s="484" t="s">
        <v>14893</v>
      </c>
      <c r="B236" s="485" t="s">
        <v>6099</v>
      </c>
      <c r="C236" s="484" t="s">
        <v>65</v>
      </c>
      <c r="D236" s="486">
        <v>920.15</v>
      </c>
      <c r="E236" s="486">
        <v>920.15</v>
      </c>
    </row>
    <row r="237" spans="1:5">
      <c r="A237" s="349" t="s">
        <v>14894</v>
      </c>
      <c r="B237" s="348" t="s">
        <v>6100</v>
      </c>
      <c r="C237" s="349" t="s">
        <v>65</v>
      </c>
      <c r="D237" s="483">
        <v>993.75</v>
      </c>
      <c r="E237" s="483">
        <v>993.75</v>
      </c>
    </row>
    <row r="238" spans="1:5">
      <c r="A238" s="484" t="s">
        <v>14895</v>
      </c>
      <c r="B238" s="485" t="s">
        <v>6101</v>
      </c>
      <c r="C238" s="484" t="s">
        <v>65</v>
      </c>
      <c r="D238" s="486">
        <v>1104.58</v>
      </c>
      <c r="E238" s="486">
        <v>1104.58</v>
      </c>
    </row>
    <row r="239" spans="1:5">
      <c r="A239" s="349" t="s">
        <v>14896</v>
      </c>
      <c r="B239" s="348" t="s">
        <v>6103</v>
      </c>
      <c r="C239" s="349" t="s">
        <v>65</v>
      </c>
      <c r="D239" s="483">
        <v>1104.58</v>
      </c>
      <c r="E239" s="483">
        <v>1104.58</v>
      </c>
    </row>
    <row r="240" spans="1:5">
      <c r="A240" s="484" t="s">
        <v>14897</v>
      </c>
      <c r="B240" s="485" t="s">
        <v>6104</v>
      </c>
      <c r="C240" s="484" t="s">
        <v>65</v>
      </c>
      <c r="D240" s="486">
        <v>1117.5899999999999</v>
      </c>
      <c r="E240" s="486">
        <v>1117.5899999999999</v>
      </c>
    </row>
    <row r="241" spans="1:5">
      <c r="A241" s="349" t="s">
        <v>14898</v>
      </c>
      <c r="B241" s="348" t="s">
        <v>6090</v>
      </c>
      <c r="C241" s="349" t="s">
        <v>65</v>
      </c>
      <c r="D241" s="483">
        <v>1262.3900000000001</v>
      </c>
      <c r="E241" s="483">
        <v>1262.3900000000001</v>
      </c>
    </row>
    <row r="242" spans="1:5">
      <c r="A242" s="484" t="s">
        <v>14899</v>
      </c>
      <c r="B242" s="485" t="s">
        <v>6085</v>
      </c>
      <c r="C242" s="484" t="s">
        <v>65</v>
      </c>
      <c r="D242" s="486">
        <v>25.91</v>
      </c>
      <c r="E242" s="486">
        <v>25.91</v>
      </c>
    </row>
    <row r="243" spans="1:5">
      <c r="A243" s="349" t="s">
        <v>14900</v>
      </c>
      <c r="B243" s="348" t="s">
        <v>6088</v>
      </c>
      <c r="C243" s="349" t="s">
        <v>65</v>
      </c>
      <c r="D243" s="483">
        <v>31.12</v>
      </c>
      <c r="E243" s="483">
        <v>31.12</v>
      </c>
    </row>
    <row r="244" spans="1:5">
      <c r="A244" s="484" t="s">
        <v>14901</v>
      </c>
      <c r="B244" s="485" t="s">
        <v>6077</v>
      </c>
      <c r="C244" s="484" t="s">
        <v>65</v>
      </c>
      <c r="D244" s="486">
        <v>35.270000000000003</v>
      </c>
      <c r="E244" s="486">
        <v>35.270000000000003</v>
      </c>
    </row>
    <row r="245" spans="1:5">
      <c r="A245" s="349" t="s">
        <v>14902</v>
      </c>
      <c r="B245" s="348" t="s">
        <v>6078</v>
      </c>
      <c r="C245" s="349" t="s">
        <v>65</v>
      </c>
      <c r="D245" s="483">
        <v>161.93</v>
      </c>
      <c r="E245" s="483">
        <v>161.93</v>
      </c>
    </row>
    <row r="246" spans="1:5">
      <c r="A246" s="484" t="s">
        <v>14903</v>
      </c>
      <c r="B246" s="485" t="s">
        <v>6079</v>
      </c>
      <c r="C246" s="484" t="s">
        <v>65</v>
      </c>
      <c r="D246" s="486">
        <v>209.78</v>
      </c>
      <c r="E246" s="486">
        <v>209.78</v>
      </c>
    </row>
    <row r="247" spans="1:5">
      <c r="A247" s="349" t="s">
        <v>14904</v>
      </c>
      <c r="B247" s="348" t="s">
        <v>6080</v>
      </c>
      <c r="C247" s="349" t="s">
        <v>65</v>
      </c>
      <c r="D247" s="483">
        <v>246.58</v>
      </c>
      <c r="E247" s="483">
        <v>246.58</v>
      </c>
    </row>
    <row r="248" spans="1:5">
      <c r="A248" s="484" t="s">
        <v>14905</v>
      </c>
      <c r="B248" s="485" t="s">
        <v>6081</v>
      </c>
      <c r="C248" s="484" t="s">
        <v>65</v>
      </c>
      <c r="D248" s="486">
        <v>268.67</v>
      </c>
      <c r="E248" s="486">
        <v>268.67</v>
      </c>
    </row>
    <row r="249" spans="1:5">
      <c r="A249" s="349" t="s">
        <v>14906</v>
      </c>
      <c r="B249" s="348" t="s">
        <v>6082</v>
      </c>
      <c r="C249" s="349" t="s">
        <v>65</v>
      </c>
      <c r="D249" s="483">
        <v>294.43</v>
      </c>
      <c r="E249" s="483">
        <v>294.43</v>
      </c>
    </row>
    <row r="250" spans="1:5">
      <c r="A250" s="484" t="s">
        <v>14907</v>
      </c>
      <c r="B250" s="485" t="s">
        <v>6083</v>
      </c>
      <c r="C250" s="484" t="s">
        <v>65</v>
      </c>
      <c r="D250" s="486">
        <v>323.87</v>
      </c>
      <c r="E250" s="486">
        <v>323.87</v>
      </c>
    </row>
    <row r="251" spans="1:5">
      <c r="A251" s="349" t="s">
        <v>14908</v>
      </c>
      <c r="B251" s="348" t="s">
        <v>6084</v>
      </c>
      <c r="C251" s="349" t="s">
        <v>65</v>
      </c>
      <c r="D251" s="483">
        <v>349.64</v>
      </c>
      <c r="E251" s="483">
        <v>349.64</v>
      </c>
    </row>
    <row r="252" spans="1:5">
      <c r="A252" s="484" t="s">
        <v>14909</v>
      </c>
      <c r="B252" s="485" t="s">
        <v>6086</v>
      </c>
      <c r="C252" s="484" t="s">
        <v>65</v>
      </c>
      <c r="D252" s="486">
        <v>368.06</v>
      </c>
      <c r="E252" s="486">
        <v>368.06</v>
      </c>
    </row>
    <row r="253" spans="1:5">
      <c r="A253" s="349" t="s">
        <v>14910</v>
      </c>
      <c r="B253" s="348" t="s">
        <v>6087</v>
      </c>
      <c r="C253" s="349" t="s">
        <v>65</v>
      </c>
      <c r="D253" s="483">
        <v>419.57</v>
      </c>
      <c r="E253" s="483">
        <v>419.57</v>
      </c>
    </row>
    <row r="254" spans="1:5" ht="30">
      <c r="A254" s="484" t="s">
        <v>14911</v>
      </c>
      <c r="B254" s="485" t="s">
        <v>2297</v>
      </c>
      <c r="C254" s="484" t="s">
        <v>71</v>
      </c>
      <c r="D254" s="486">
        <v>6.93</v>
      </c>
      <c r="E254" s="486">
        <v>6.93</v>
      </c>
    </row>
    <row r="255" spans="1:5" ht="30">
      <c r="A255" s="349" t="s">
        <v>14912</v>
      </c>
      <c r="B255" s="348" t="s">
        <v>2298</v>
      </c>
      <c r="C255" s="349" t="s">
        <v>71</v>
      </c>
      <c r="D255" s="483">
        <v>8.89</v>
      </c>
      <c r="E255" s="483">
        <v>8.89</v>
      </c>
    </row>
    <row r="256" spans="1:5" ht="30">
      <c r="A256" s="484" t="s">
        <v>14913</v>
      </c>
      <c r="B256" s="485" t="s">
        <v>2299</v>
      </c>
      <c r="C256" s="484" t="s">
        <v>71</v>
      </c>
      <c r="D256" s="486">
        <v>10.71</v>
      </c>
      <c r="E256" s="486">
        <v>10.71</v>
      </c>
    </row>
    <row r="257" spans="1:5" ht="30">
      <c r="A257" s="349" t="s">
        <v>14914</v>
      </c>
      <c r="B257" s="348" t="s">
        <v>2300</v>
      </c>
      <c r="C257" s="349" t="s">
        <v>71</v>
      </c>
      <c r="D257" s="483">
        <v>12.08</v>
      </c>
      <c r="E257" s="483">
        <v>12.08</v>
      </c>
    </row>
    <row r="258" spans="1:5" ht="30">
      <c r="A258" s="484" t="s">
        <v>14915</v>
      </c>
      <c r="B258" s="485" t="s">
        <v>2301</v>
      </c>
      <c r="C258" s="484" t="s">
        <v>71</v>
      </c>
      <c r="D258" s="486">
        <v>14.09</v>
      </c>
      <c r="E258" s="486">
        <v>14.09</v>
      </c>
    </row>
    <row r="259" spans="1:5" ht="30">
      <c r="A259" s="349" t="s">
        <v>14916</v>
      </c>
      <c r="B259" s="348" t="s">
        <v>2302</v>
      </c>
      <c r="C259" s="349" t="s">
        <v>71</v>
      </c>
      <c r="D259" s="483">
        <v>16.11</v>
      </c>
      <c r="E259" s="483">
        <v>16.11</v>
      </c>
    </row>
    <row r="260" spans="1:5" ht="30">
      <c r="A260" s="484" t="s">
        <v>14917</v>
      </c>
      <c r="B260" s="485" t="s">
        <v>2303</v>
      </c>
      <c r="C260" s="484" t="s">
        <v>71</v>
      </c>
      <c r="D260" s="486">
        <v>18.09</v>
      </c>
      <c r="E260" s="486">
        <v>18.09</v>
      </c>
    </row>
    <row r="261" spans="1:5" ht="30">
      <c r="A261" s="349" t="s">
        <v>14918</v>
      </c>
      <c r="B261" s="348" t="s">
        <v>2304</v>
      </c>
      <c r="C261" s="349" t="s">
        <v>71</v>
      </c>
      <c r="D261" s="483">
        <v>19.989999999999998</v>
      </c>
      <c r="E261" s="483">
        <v>19.989999999999998</v>
      </c>
    </row>
    <row r="262" spans="1:5" ht="30">
      <c r="A262" s="484" t="s">
        <v>14919</v>
      </c>
      <c r="B262" s="485" t="s">
        <v>2305</v>
      </c>
      <c r="C262" s="484" t="s">
        <v>71</v>
      </c>
      <c r="D262" s="486">
        <v>24.06</v>
      </c>
      <c r="E262" s="486">
        <v>24.06</v>
      </c>
    </row>
    <row r="263" spans="1:5" ht="30">
      <c r="A263" s="349" t="s">
        <v>14920</v>
      </c>
      <c r="B263" s="348" t="s">
        <v>2306</v>
      </c>
      <c r="C263" s="349" t="s">
        <v>71</v>
      </c>
      <c r="D263" s="483">
        <v>30.11</v>
      </c>
      <c r="E263" s="483">
        <v>30.11</v>
      </c>
    </row>
    <row r="264" spans="1:5" ht="30">
      <c r="A264" s="484" t="s">
        <v>14921</v>
      </c>
      <c r="B264" s="485" t="s">
        <v>2307</v>
      </c>
      <c r="C264" s="484" t="s">
        <v>71</v>
      </c>
      <c r="D264" s="486">
        <v>34.590000000000003</v>
      </c>
      <c r="E264" s="486">
        <v>34.590000000000003</v>
      </c>
    </row>
    <row r="265" spans="1:5" ht="30">
      <c r="A265" s="349" t="s">
        <v>14922</v>
      </c>
      <c r="B265" s="348" t="s">
        <v>2294</v>
      </c>
      <c r="C265" s="349" t="s">
        <v>71</v>
      </c>
      <c r="D265" s="483">
        <v>43.21</v>
      </c>
      <c r="E265" s="483">
        <v>43.21</v>
      </c>
    </row>
    <row r="266" spans="1:5" ht="30">
      <c r="A266" s="484" t="s">
        <v>14923</v>
      </c>
      <c r="B266" s="485" t="s">
        <v>2295</v>
      </c>
      <c r="C266" s="484" t="s">
        <v>71</v>
      </c>
      <c r="D266" s="486">
        <v>51.26</v>
      </c>
      <c r="E266" s="486">
        <v>51.26</v>
      </c>
    </row>
    <row r="267" spans="1:5" ht="30">
      <c r="A267" s="349" t="s">
        <v>14924</v>
      </c>
      <c r="B267" s="348" t="s">
        <v>2296</v>
      </c>
      <c r="C267" s="349" t="s">
        <v>71</v>
      </c>
      <c r="D267" s="483">
        <v>60.53</v>
      </c>
      <c r="E267" s="483">
        <v>60.53</v>
      </c>
    </row>
    <row r="268" spans="1:5">
      <c r="A268" s="484" t="s">
        <v>14925</v>
      </c>
      <c r="B268" s="485" t="s">
        <v>2309</v>
      </c>
      <c r="C268" s="484" t="s">
        <v>71</v>
      </c>
      <c r="D268" s="486">
        <v>40.32</v>
      </c>
      <c r="E268" s="486">
        <v>40.32</v>
      </c>
    </row>
    <row r="269" spans="1:5" ht="30">
      <c r="A269" s="495">
        <v>92235</v>
      </c>
      <c r="B269" s="348" t="s">
        <v>14926</v>
      </c>
      <c r="C269" s="349" t="s">
        <v>256</v>
      </c>
      <c r="D269" s="483">
        <v>48.22</v>
      </c>
      <c r="E269" s="483">
        <v>48.22</v>
      </c>
    </row>
    <row r="270" spans="1:5" ht="30">
      <c r="A270" s="494">
        <v>93181</v>
      </c>
      <c r="B270" s="485" t="s">
        <v>14927</v>
      </c>
      <c r="C270" s="484" t="s">
        <v>256</v>
      </c>
      <c r="D270" s="486">
        <v>45.93</v>
      </c>
      <c r="E270" s="486">
        <v>45.93</v>
      </c>
    </row>
    <row r="271" spans="1:5" ht="30">
      <c r="A271" s="495">
        <v>93206</v>
      </c>
      <c r="B271" s="348" t="s">
        <v>14928</v>
      </c>
      <c r="C271" s="349" t="s">
        <v>256</v>
      </c>
      <c r="D271" s="483">
        <v>713.24</v>
      </c>
      <c r="E271" s="483">
        <v>713.24</v>
      </c>
    </row>
    <row r="272" spans="1:5" ht="30">
      <c r="A272" s="494">
        <v>93207</v>
      </c>
      <c r="B272" s="485" t="s">
        <v>14929</v>
      </c>
      <c r="C272" s="484" t="s">
        <v>256</v>
      </c>
      <c r="D272" s="486">
        <v>532.77</v>
      </c>
      <c r="E272" s="486">
        <v>532.77</v>
      </c>
    </row>
    <row r="273" spans="1:5" ht="30">
      <c r="A273" s="495">
        <v>93208</v>
      </c>
      <c r="B273" s="348" t="s">
        <v>14930</v>
      </c>
      <c r="C273" s="349" t="s">
        <v>256</v>
      </c>
      <c r="D273" s="483">
        <v>398.92</v>
      </c>
      <c r="E273" s="483">
        <v>398.92</v>
      </c>
    </row>
    <row r="274" spans="1:5" ht="30">
      <c r="A274" s="494">
        <v>93209</v>
      </c>
      <c r="B274" s="485" t="s">
        <v>14931</v>
      </c>
      <c r="C274" s="484" t="s">
        <v>256</v>
      </c>
      <c r="D274" s="486">
        <v>557.21</v>
      </c>
      <c r="E274" s="486">
        <v>557.21</v>
      </c>
    </row>
    <row r="275" spans="1:5" ht="30">
      <c r="A275" s="495">
        <v>93210</v>
      </c>
      <c r="B275" s="348" t="s">
        <v>14932</v>
      </c>
      <c r="C275" s="349" t="s">
        <v>256</v>
      </c>
      <c r="D275" s="483">
        <v>308.38</v>
      </c>
      <c r="E275" s="483">
        <v>308.38</v>
      </c>
    </row>
    <row r="276" spans="1:5" ht="30">
      <c r="A276" s="494">
        <v>93211</v>
      </c>
      <c r="B276" s="485" t="s">
        <v>14933</v>
      </c>
      <c r="C276" s="484" t="s">
        <v>256</v>
      </c>
      <c r="D276" s="486">
        <v>339.57</v>
      </c>
      <c r="E276" s="486">
        <v>339.57</v>
      </c>
    </row>
    <row r="277" spans="1:5" ht="30">
      <c r="A277" s="495">
        <v>93212</v>
      </c>
      <c r="B277" s="348" t="s">
        <v>14934</v>
      </c>
      <c r="C277" s="349" t="s">
        <v>256</v>
      </c>
      <c r="D277" s="483">
        <v>505.88</v>
      </c>
      <c r="E277" s="483">
        <v>505.88</v>
      </c>
    </row>
    <row r="278" spans="1:5" ht="30">
      <c r="A278" s="494">
        <v>93213</v>
      </c>
      <c r="B278" s="485" t="s">
        <v>14935</v>
      </c>
      <c r="C278" s="484" t="s">
        <v>256</v>
      </c>
      <c r="D278" s="486">
        <v>615.20000000000005</v>
      </c>
      <c r="E278" s="486">
        <v>615.20000000000005</v>
      </c>
    </row>
    <row r="279" spans="1:5" ht="30">
      <c r="A279" s="495">
        <v>93214</v>
      </c>
      <c r="B279" s="348" t="s">
        <v>5380</v>
      </c>
      <c r="C279" s="349" t="s">
        <v>65</v>
      </c>
      <c r="D279" s="483">
        <v>1055.31</v>
      </c>
      <c r="E279" s="483">
        <v>1055.31</v>
      </c>
    </row>
    <row r="280" spans="1:5" ht="30">
      <c r="A280" s="494">
        <v>93243</v>
      </c>
      <c r="B280" s="485" t="s">
        <v>5381</v>
      </c>
      <c r="C280" s="484" t="s">
        <v>65</v>
      </c>
      <c r="D280" s="486">
        <v>2045.88</v>
      </c>
      <c r="E280" s="486">
        <v>2045.88</v>
      </c>
    </row>
    <row r="281" spans="1:5" ht="30">
      <c r="A281" s="495">
        <v>93582</v>
      </c>
      <c r="B281" s="348" t="s">
        <v>14936</v>
      </c>
      <c r="C281" s="349" t="s">
        <v>256</v>
      </c>
      <c r="D281" s="483">
        <v>128.22</v>
      </c>
      <c r="E281" s="483">
        <v>128.22</v>
      </c>
    </row>
    <row r="282" spans="1:5" ht="30">
      <c r="A282" s="494">
        <v>93583</v>
      </c>
      <c r="B282" s="485" t="s">
        <v>14937</v>
      </c>
      <c r="C282" s="484" t="s">
        <v>256</v>
      </c>
      <c r="D282" s="486">
        <v>250.42</v>
      </c>
      <c r="E282" s="486">
        <v>250.42</v>
      </c>
    </row>
    <row r="283" spans="1:5" ht="30">
      <c r="A283" s="495">
        <v>93584</v>
      </c>
      <c r="B283" s="348" t="s">
        <v>14938</v>
      </c>
      <c r="C283" s="349" t="s">
        <v>256</v>
      </c>
      <c r="D283" s="483">
        <v>385.85</v>
      </c>
      <c r="E283" s="483">
        <v>385.85</v>
      </c>
    </row>
    <row r="284" spans="1:5" ht="30">
      <c r="A284" s="494">
        <v>93585</v>
      </c>
      <c r="B284" s="485" t="s">
        <v>14939</v>
      </c>
      <c r="C284" s="484" t="s">
        <v>256</v>
      </c>
      <c r="D284" s="486">
        <v>491.15</v>
      </c>
      <c r="E284" s="486">
        <v>491.15</v>
      </c>
    </row>
    <row r="285" spans="1:5">
      <c r="A285" s="349" t="s">
        <v>14940</v>
      </c>
      <c r="B285" s="348" t="s">
        <v>8111</v>
      </c>
      <c r="C285" s="349" t="s">
        <v>256</v>
      </c>
      <c r="D285" s="483">
        <v>307.91000000000003</v>
      </c>
      <c r="E285" s="483">
        <v>307.91000000000003</v>
      </c>
    </row>
    <row r="286" spans="1:5" ht="45">
      <c r="A286" s="484" t="s">
        <v>14941</v>
      </c>
      <c r="B286" s="485" t="s">
        <v>14942</v>
      </c>
      <c r="C286" s="484" t="s">
        <v>1643</v>
      </c>
      <c r="D286" s="486">
        <v>402.34</v>
      </c>
      <c r="E286" s="486">
        <v>402.34</v>
      </c>
    </row>
    <row r="287" spans="1:5" ht="30">
      <c r="A287" s="495">
        <v>5631</v>
      </c>
      <c r="B287" s="348" t="s">
        <v>14943</v>
      </c>
      <c r="C287" s="349" t="s">
        <v>328</v>
      </c>
      <c r="D287" s="483">
        <v>156.30000000000001</v>
      </c>
      <c r="E287" s="483">
        <v>156.30000000000001</v>
      </c>
    </row>
    <row r="288" spans="1:5" ht="45">
      <c r="A288" s="494">
        <v>5678</v>
      </c>
      <c r="B288" s="485" t="s">
        <v>14944</v>
      </c>
      <c r="C288" s="484" t="s">
        <v>328</v>
      </c>
      <c r="D288" s="486">
        <v>114.35</v>
      </c>
      <c r="E288" s="486">
        <v>114.35</v>
      </c>
    </row>
    <row r="289" spans="1:5" ht="45">
      <c r="A289" s="495">
        <v>5680</v>
      </c>
      <c r="B289" s="348" t="s">
        <v>14945</v>
      </c>
      <c r="C289" s="349" t="s">
        <v>328</v>
      </c>
      <c r="D289" s="483">
        <v>107.41</v>
      </c>
      <c r="E289" s="483">
        <v>107.41</v>
      </c>
    </row>
    <row r="290" spans="1:5" ht="45">
      <c r="A290" s="494">
        <v>5684</v>
      </c>
      <c r="B290" s="485" t="s">
        <v>14946</v>
      </c>
      <c r="C290" s="484" t="s">
        <v>328</v>
      </c>
      <c r="D290" s="486">
        <v>103.6</v>
      </c>
      <c r="E290" s="486">
        <v>103.6</v>
      </c>
    </row>
    <row r="291" spans="1:5" ht="30">
      <c r="A291" s="495">
        <v>5686</v>
      </c>
      <c r="B291" s="348" t="s">
        <v>14947</v>
      </c>
      <c r="C291" s="349" t="s">
        <v>328</v>
      </c>
      <c r="D291" s="483">
        <v>78.599999999999994</v>
      </c>
      <c r="E291" s="483">
        <v>78.599999999999994</v>
      </c>
    </row>
    <row r="292" spans="1:5" ht="30">
      <c r="A292" s="494">
        <v>5689</v>
      </c>
      <c r="B292" s="485" t="s">
        <v>5779</v>
      </c>
      <c r="C292" s="484" t="s">
        <v>328</v>
      </c>
      <c r="D292" s="486">
        <v>4.6500000000000004</v>
      </c>
      <c r="E292" s="486">
        <v>4.6500000000000004</v>
      </c>
    </row>
    <row r="293" spans="1:5" ht="30">
      <c r="A293" s="495">
        <v>5795</v>
      </c>
      <c r="B293" s="348" t="s">
        <v>7300</v>
      </c>
      <c r="C293" s="349" t="s">
        <v>328</v>
      </c>
      <c r="D293" s="483">
        <v>24.55</v>
      </c>
      <c r="E293" s="483">
        <v>24.55</v>
      </c>
    </row>
    <row r="294" spans="1:5" ht="45">
      <c r="A294" s="494">
        <v>5811</v>
      </c>
      <c r="B294" s="485" t="s">
        <v>14948</v>
      </c>
      <c r="C294" s="484" t="s">
        <v>328</v>
      </c>
      <c r="D294" s="486">
        <v>150.47</v>
      </c>
      <c r="E294" s="486">
        <v>150.47</v>
      </c>
    </row>
    <row r="295" spans="1:5" ht="30">
      <c r="A295" s="495">
        <v>5823</v>
      </c>
      <c r="B295" s="348" t="s">
        <v>10646</v>
      </c>
      <c r="C295" s="349" t="s">
        <v>328</v>
      </c>
      <c r="D295" s="483">
        <v>180.66</v>
      </c>
      <c r="E295" s="483">
        <v>180.66</v>
      </c>
    </row>
    <row r="296" spans="1:5" ht="45">
      <c r="A296" s="494">
        <v>5824</v>
      </c>
      <c r="B296" s="485" t="s">
        <v>14949</v>
      </c>
      <c r="C296" s="484" t="s">
        <v>328</v>
      </c>
      <c r="D296" s="486">
        <v>122.01</v>
      </c>
      <c r="E296" s="486">
        <v>122.01</v>
      </c>
    </row>
    <row r="297" spans="1:5" ht="30">
      <c r="A297" s="495">
        <v>5835</v>
      </c>
      <c r="B297" s="348" t="s">
        <v>14950</v>
      </c>
      <c r="C297" s="349" t="s">
        <v>328</v>
      </c>
      <c r="D297" s="483">
        <v>200.84</v>
      </c>
      <c r="E297" s="483">
        <v>200.84</v>
      </c>
    </row>
    <row r="298" spans="1:5" ht="30">
      <c r="A298" s="494">
        <v>5839</v>
      </c>
      <c r="B298" s="485" t="s">
        <v>14951</v>
      </c>
      <c r="C298" s="484" t="s">
        <v>328</v>
      </c>
      <c r="D298" s="486">
        <v>4.8099999999999996</v>
      </c>
      <c r="E298" s="486">
        <v>4.8099999999999996</v>
      </c>
    </row>
    <row r="299" spans="1:5" ht="30">
      <c r="A299" s="495">
        <v>5843</v>
      </c>
      <c r="B299" s="348" t="s">
        <v>10111</v>
      </c>
      <c r="C299" s="349" t="s">
        <v>328</v>
      </c>
      <c r="D299" s="483">
        <v>108.27</v>
      </c>
      <c r="E299" s="483">
        <v>108.27</v>
      </c>
    </row>
    <row r="300" spans="1:5" ht="30">
      <c r="A300" s="494">
        <v>5847</v>
      </c>
      <c r="B300" s="485" t="s">
        <v>14952</v>
      </c>
      <c r="C300" s="484" t="s">
        <v>328</v>
      </c>
      <c r="D300" s="486">
        <v>234.34</v>
      </c>
      <c r="E300" s="486">
        <v>234.34</v>
      </c>
    </row>
    <row r="301" spans="1:5" ht="30">
      <c r="A301" s="495">
        <v>5851</v>
      </c>
      <c r="B301" s="348" t="s">
        <v>10079</v>
      </c>
      <c r="C301" s="349" t="s">
        <v>328</v>
      </c>
      <c r="D301" s="483">
        <v>223.64</v>
      </c>
      <c r="E301" s="483">
        <v>223.64</v>
      </c>
    </row>
    <row r="302" spans="1:5" ht="30">
      <c r="A302" s="494">
        <v>5855</v>
      </c>
      <c r="B302" s="485" t="s">
        <v>14953</v>
      </c>
      <c r="C302" s="484" t="s">
        <v>328</v>
      </c>
      <c r="D302" s="486">
        <v>571.53</v>
      </c>
      <c r="E302" s="486">
        <v>571.53</v>
      </c>
    </row>
    <row r="303" spans="1:5" ht="45">
      <c r="A303" s="495">
        <v>5863</v>
      </c>
      <c r="B303" s="348" t="s">
        <v>14954</v>
      </c>
      <c r="C303" s="349" t="s">
        <v>328</v>
      </c>
      <c r="D303" s="483">
        <v>10.31</v>
      </c>
      <c r="E303" s="483">
        <v>10.31</v>
      </c>
    </row>
    <row r="304" spans="1:5" ht="30">
      <c r="A304" s="494">
        <v>5867</v>
      </c>
      <c r="B304" s="485" t="s">
        <v>14955</v>
      </c>
      <c r="C304" s="484" t="s">
        <v>328</v>
      </c>
      <c r="D304" s="486">
        <v>100.98</v>
      </c>
      <c r="E304" s="486">
        <v>100.98</v>
      </c>
    </row>
    <row r="305" spans="1:5" ht="30">
      <c r="A305" s="495">
        <v>5871</v>
      </c>
      <c r="B305" s="348" t="s">
        <v>14956</v>
      </c>
      <c r="C305" s="349" t="s">
        <v>328</v>
      </c>
      <c r="D305" s="483">
        <v>120.68</v>
      </c>
      <c r="E305" s="483">
        <v>120.68</v>
      </c>
    </row>
    <row r="306" spans="1:5" ht="45">
      <c r="A306" s="494">
        <v>5875</v>
      </c>
      <c r="B306" s="485" t="s">
        <v>14957</v>
      </c>
      <c r="C306" s="484" t="s">
        <v>328</v>
      </c>
      <c r="D306" s="486">
        <v>106.57</v>
      </c>
      <c r="E306" s="486">
        <v>106.57</v>
      </c>
    </row>
    <row r="307" spans="1:5" ht="45">
      <c r="A307" s="495">
        <v>5879</v>
      </c>
      <c r="B307" s="348" t="s">
        <v>14958</v>
      </c>
      <c r="C307" s="349" t="s">
        <v>328</v>
      </c>
      <c r="D307" s="483">
        <v>86.22</v>
      </c>
      <c r="E307" s="483">
        <v>86.22</v>
      </c>
    </row>
    <row r="308" spans="1:5" ht="45">
      <c r="A308" s="494">
        <v>5882</v>
      </c>
      <c r="B308" s="485" t="s">
        <v>14959</v>
      </c>
      <c r="C308" s="484" t="s">
        <v>328</v>
      </c>
      <c r="D308" s="486">
        <v>72.16</v>
      </c>
      <c r="E308" s="486">
        <v>72.16</v>
      </c>
    </row>
    <row r="309" spans="1:5" ht="30">
      <c r="A309" s="495">
        <v>5890</v>
      </c>
      <c r="B309" s="348" t="s">
        <v>3260</v>
      </c>
      <c r="C309" s="349" t="s">
        <v>328</v>
      </c>
      <c r="D309" s="483">
        <v>112.56</v>
      </c>
      <c r="E309" s="483">
        <v>112.56</v>
      </c>
    </row>
    <row r="310" spans="1:5" ht="30">
      <c r="A310" s="494">
        <v>5894</v>
      </c>
      <c r="B310" s="485" t="s">
        <v>14960</v>
      </c>
      <c r="C310" s="484" t="s">
        <v>328</v>
      </c>
      <c r="D310" s="486">
        <v>119.99</v>
      </c>
      <c r="E310" s="486">
        <v>119.99</v>
      </c>
    </row>
    <row r="311" spans="1:5" ht="45">
      <c r="A311" s="495">
        <v>5901</v>
      </c>
      <c r="B311" s="348" t="s">
        <v>14961</v>
      </c>
      <c r="C311" s="349" t="s">
        <v>328</v>
      </c>
      <c r="D311" s="483">
        <v>147.99</v>
      </c>
      <c r="E311" s="483">
        <v>147.99</v>
      </c>
    </row>
    <row r="312" spans="1:5" ht="30">
      <c r="A312" s="494">
        <v>5909</v>
      </c>
      <c r="B312" s="485" t="s">
        <v>5259</v>
      </c>
      <c r="C312" s="484" t="s">
        <v>328</v>
      </c>
      <c r="D312" s="486">
        <v>24.93</v>
      </c>
      <c r="E312" s="486">
        <v>24.93</v>
      </c>
    </row>
    <row r="313" spans="1:5" ht="30">
      <c r="A313" s="495">
        <v>5921</v>
      </c>
      <c r="B313" s="348" t="s">
        <v>14962</v>
      </c>
      <c r="C313" s="349" t="s">
        <v>328</v>
      </c>
      <c r="D313" s="483">
        <v>3.65</v>
      </c>
      <c r="E313" s="483">
        <v>3.65</v>
      </c>
    </row>
    <row r="314" spans="1:5" ht="45">
      <c r="A314" s="494">
        <v>5928</v>
      </c>
      <c r="B314" s="485" t="s">
        <v>14963</v>
      </c>
      <c r="C314" s="484" t="s">
        <v>328</v>
      </c>
      <c r="D314" s="486">
        <v>132.21</v>
      </c>
      <c r="E314" s="486">
        <v>132.21</v>
      </c>
    </row>
    <row r="315" spans="1:5" ht="30">
      <c r="A315" s="495">
        <v>5932</v>
      </c>
      <c r="B315" s="348" t="s">
        <v>7601</v>
      </c>
      <c r="C315" s="349" t="s">
        <v>328</v>
      </c>
      <c r="D315" s="483">
        <v>187.99</v>
      </c>
      <c r="E315" s="483">
        <v>187.99</v>
      </c>
    </row>
    <row r="316" spans="1:5" ht="30">
      <c r="A316" s="494">
        <v>5940</v>
      </c>
      <c r="B316" s="485" t="s">
        <v>14964</v>
      </c>
      <c r="C316" s="484" t="s">
        <v>328</v>
      </c>
      <c r="D316" s="486">
        <v>151.69</v>
      </c>
      <c r="E316" s="486">
        <v>151.69</v>
      </c>
    </row>
    <row r="317" spans="1:5" ht="30">
      <c r="A317" s="495">
        <v>5944</v>
      </c>
      <c r="B317" s="348" t="s">
        <v>14965</v>
      </c>
      <c r="C317" s="349" t="s">
        <v>328</v>
      </c>
      <c r="D317" s="483">
        <v>215.07</v>
      </c>
      <c r="E317" s="483">
        <v>215.07</v>
      </c>
    </row>
    <row r="318" spans="1:5" ht="30">
      <c r="A318" s="494">
        <v>5948</v>
      </c>
      <c r="B318" s="485" t="s">
        <v>14966</v>
      </c>
      <c r="C318" s="484" t="s">
        <v>328</v>
      </c>
      <c r="D318" s="486">
        <v>105.03</v>
      </c>
      <c r="E318" s="486">
        <v>105.03</v>
      </c>
    </row>
    <row r="319" spans="1:5" ht="30">
      <c r="A319" s="495">
        <v>5953</v>
      </c>
      <c r="B319" s="348" t="s">
        <v>3687</v>
      </c>
      <c r="C319" s="349" t="s">
        <v>328</v>
      </c>
      <c r="D319" s="483">
        <v>36.83</v>
      </c>
      <c r="E319" s="483">
        <v>36.83</v>
      </c>
    </row>
    <row r="320" spans="1:5" ht="45">
      <c r="A320" s="494">
        <v>6259</v>
      </c>
      <c r="B320" s="485" t="s">
        <v>14967</v>
      </c>
      <c r="C320" s="484" t="s">
        <v>328</v>
      </c>
      <c r="D320" s="486">
        <v>125.71</v>
      </c>
      <c r="E320" s="486">
        <v>125.71</v>
      </c>
    </row>
    <row r="321" spans="1:5" ht="30">
      <c r="A321" s="495">
        <v>6879</v>
      </c>
      <c r="B321" s="348" t="s">
        <v>14968</v>
      </c>
      <c r="C321" s="349" t="s">
        <v>328</v>
      </c>
      <c r="D321" s="483">
        <v>127.8</v>
      </c>
      <c r="E321" s="483">
        <v>127.8</v>
      </c>
    </row>
    <row r="322" spans="1:5" ht="30">
      <c r="A322" s="494">
        <v>7030</v>
      </c>
      <c r="B322" s="485" t="s">
        <v>14969</v>
      </c>
      <c r="C322" s="484" t="s">
        <v>328</v>
      </c>
      <c r="D322" s="486">
        <v>138.69999999999999</v>
      </c>
      <c r="E322" s="486">
        <v>138.69999999999999</v>
      </c>
    </row>
    <row r="323" spans="1:5" ht="45">
      <c r="A323" s="495">
        <v>7042</v>
      </c>
      <c r="B323" s="348" t="s">
        <v>14970</v>
      </c>
      <c r="C323" s="349" t="s">
        <v>328</v>
      </c>
      <c r="D323" s="483">
        <v>5.8</v>
      </c>
      <c r="E323" s="483">
        <v>5.8</v>
      </c>
    </row>
    <row r="324" spans="1:5" ht="45">
      <c r="A324" s="494">
        <v>7049</v>
      </c>
      <c r="B324" s="485" t="s">
        <v>14971</v>
      </c>
      <c r="C324" s="484" t="s">
        <v>328</v>
      </c>
      <c r="D324" s="486">
        <v>138.09</v>
      </c>
      <c r="E324" s="486">
        <v>138.09</v>
      </c>
    </row>
    <row r="325" spans="1:5" ht="45">
      <c r="A325" s="495">
        <v>67826</v>
      </c>
      <c r="B325" s="348" t="s">
        <v>14972</v>
      </c>
      <c r="C325" s="349" t="s">
        <v>328</v>
      </c>
      <c r="D325" s="483">
        <v>133.02000000000001</v>
      </c>
      <c r="E325" s="483">
        <v>133.02000000000001</v>
      </c>
    </row>
    <row r="326" spans="1:5">
      <c r="A326" s="494">
        <v>73417</v>
      </c>
      <c r="B326" s="485" t="s">
        <v>14973</v>
      </c>
      <c r="C326" s="484" t="s">
        <v>328</v>
      </c>
      <c r="D326" s="486">
        <v>116.25</v>
      </c>
      <c r="E326" s="486">
        <v>116.25</v>
      </c>
    </row>
    <row r="327" spans="1:5" ht="45">
      <c r="A327" s="495">
        <v>73436</v>
      </c>
      <c r="B327" s="348" t="s">
        <v>8928</v>
      </c>
      <c r="C327" s="349" t="s">
        <v>328</v>
      </c>
      <c r="D327" s="483">
        <v>168.07</v>
      </c>
      <c r="E327" s="483">
        <v>168.07</v>
      </c>
    </row>
    <row r="328" spans="1:5" ht="45">
      <c r="A328" s="494">
        <v>73467</v>
      </c>
      <c r="B328" s="485" t="s">
        <v>14974</v>
      </c>
      <c r="C328" s="484" t="s">
        <v>328</v>
      </c>
      <c r="D328" s="486">
        <v>127.77</v>
      </c>
      <c r="E328" s="486">
        <v>127.77</v>
      </c>
    </row>
    <row r="329" spans="1:5" ht="45">
      <c r="A329" s="495">
        <v>73536</v>
      </c>
      <c r="B329" s="348" t="s">
        <v>14975</v>
      </c>
      <c r="C329" s="349" t="s">
        <v>328</v>
      </c>
      <c r="D329" s="483">
        <v>4.88</v>
      </c>
      <c r="E329" s="483">
        <v>4.88</v>
      </c>
    </row>
    <row r="330" spans="1:5" ht="45">
      <c r="A330" s="494">
        <v>83362</v>
      </c>
      <c r="B330" s="485" t="s">
        <v>14976</v>
      </c>
      <c r="C330" s="484" t="s">
        <v>328</v>
      </c>
      <c r="D330" s="486">
        <v>173.81</v>
      </c>
      <c r="E330" s="486">
        <v>173.81</v>
      </c>
    </row>
    <row r="331" spans="1:5" ht="30">
      <c r="A331" s="495">
        <v>83765</v>
      </c>
      <c r="B331" s="348" t="s">
        <v>14977</v>
      </c>
      <c r="C331" s="349" t="s">
        <v>328</v>
      </c>
      <c r="D331" s="483">
        <v>60.89</v>
      </c>
      <c r="E331" s="483">
        <v>60.89</v>
      </c>
    </row>
    <row r="332" spans="1:5" ht="30">
      <c r="A332" s="494">
        <v>87445</v>
      </c>
      <c r="B332" s="485" t="s">
        <v>2503</v>
      </c>
      <c r="C332" s="484" t="s">
        <v>328</v>
      </c>
      <c r="D332" s="486">
        <v>2.96</v>
      </c>
      <c r="E332" s="486">
        <v>2.96</v>
      </c>
    </row>
    <row r="333" spans="1:5" ht="30">
      <c r="A333" s="495">
        <v>88386</v>
      </c>
      <c r="B333" s="348" t="s">
        <v>14978</v>
      </c>
      <c r="C333" s="349" t="s">
        <v>328</v>
      </c>
      <c r="D333" s="483">
        <v>2.78</v>
      </c>
      <c r="E333" s="483">
        <v>2.78</v>
      </c>
    </row>
    <row r="334" spans="1:5" ht="30">
      <c r="A334" s="494">
        <v>88393</v>
      </c>
      <c r="B334" s="485" t="s">
        <v>14979</v>
      </c>
      <c r="C334" s="484" t="s">
        <v>328</v>
      </c>
      <c r="D334" s="486">
        <v>3.81</v>
      </c>
      <c r="E334" s="486">
        <v>3.81</v>
      </c>
    </row>
    <row r="335" spans="1:5" ht="30">
      <c r="A335" s="495">
        <v>88399</v>
      </c>
      <c r="B335" s="348" t="s">
        <v>14980</v>
      </c>
      <c r="C335" s="349" t="s">
        <v>328</v>
      </c>
      <c r="D335" s="483">
        <v>2.06</v>
      </c>
      <c r="E335" s="483">
        <v>2.06</v>
      </c>
    </row>
    <row r="336" spans="1:5" ht="30">
      <c r="A336" s="494">
        <v>88418</v>
      </c>
      <c r="B336" s="485" t="s">
        <v>8430</v>
      </c>
      <c r="C336" s="484" t="s">
        <v>328</v>
      </c>
      <c r="D336" s="486">
        <v>9.67</v>
      </c>
      <c r="E336" s="486">
        <v>9.67</v>
      </c>
    </row>
    <row r="337" spans="1:5" ht="30">
      <c r="A337" s="495">
        <v>88433</v>
      </c>
      <c r="B337" s="348" t="s">
        <v>14981</v>
      </c>
      <c r="C337" s="349" t="s">
        <v>328</v>
      </c>
      <c r="D337" s="483">
        <v>12.01</v>
      </c>
      <c r="E337" s="483">
        <v>12.01</v>
      </c>
    </row>
    <row r="338" spans="1:5" ht="30">
      <c r="A338" s="494">
        <v>88830</v>
      </c>
      <c r="B338" s="485" t="s">
        <v>14982</v>
      </c>
      <c r="C338" s="484" t="s">
        <v>328</v>
      </c>
      <c r="D338" s="486">
        <v>1.08</v>
      </c>
      <c r="E338" s="486">
        <v>1.08</v>
      </c>
    </row>
    <row r="339" spans="1:5" ht="30">
      <c r="A339" s="495">
        <v>88843</v>
      </c>
      <c r="B339" s="348" t="s">
        <v>14983</v>
      </c>
      <c r="C339" s="349" t="s">
        <v>328</v>
      </c>
      <c r="D339" s="483">
        <v>189.44</v>
      </c>
      <c r="E339" s="483">
        <v>189.44</v>
      </c>
    </row>
    <row r="340" spans="1:5" ht="30">
      <c r="A340" s="494">
        <v>88907</v>
      </c>
      <c r="B340" s="485" t="s">
        <v>14984</v>
      </c>
      <c r="C340" s="484" t="s">
        <v>328</v>
      </c>
      <c r="D340" s="486">
        <v>184.49</v>
      </c>
      <c r="E340" s="486">
        <v>184.49</v>
      </c>
    </row>
    <row r="341" spans="1:5" ht="30">
      <c r="A341" s="495">
        <v>89021</v>
      </c>
      <c r="B341" s="348" t="s">
        <v>14985</v>
      </c>
      <c r="C341" s="349" t="s">
        <v>328</v>
      </c>
      <c r="D341" s="483">
        <v>1.67</v>
      </c>
      <c r="E341" s="483">
        <v>1.67</v>
      </c>
    </row>
    <row r="342" spans="1:5" ht="30">
      <c r="A342" s="494">
        <v>89028</v>
      </c>
      <c r="B342" s="485" t="s">
        <v>9172</v>
      </c>
      <c r="C342" s="484" t="s">
        <v>328</v>
      </c>
      <c r="D342" s="486">
        <v>128.9</v>
      </c>
      <c r="E342" s="486">
        <v>128.9</v>
      </c>
    </row>
    <row r="343" spans="1:5" ht="30">
      <c r="A343" s="495">
        <v>89032</v>
      </c>
      <c r="B343" s="348" t="s">
        <v>14986</v>
      </c>
      <c r="C343" s="349" t="s">
        <v>328</v>
      </c>
      <c r="D343" s="483">
        <v>171.5</v>
      </c>
      <c r="E343" s="483">
        <v>171.5</v>
      </c>
    </row>
    <row r="344" spans="1:5" ht="30">
      <c r="A344" s="494">
        <v>89035</v>
      </c>
      <c r="B344" s="485" t="s">
        <v>10117</v>
      </c>
      <c r="C344" s="484" t="s">
        <v>328</v>
      </c>
      <c r="D344" s="486">
        <v>86.55</v>
      </c>
      <c r="E344" s="486">
        <v>86.55</v>
      </c>
    </row>
    <row r="345" spans="1:5" ht="30">
      <c r="A345" s="495">
        <v>89225</v>
      </c>
      <c r="B345" s="348" t="s">
        <v>14987</v>
      </c>
      <c r="C345" s="349" t="s">
        <v>328</v>
      </c>
      <c r="D345" s="483">
        <v>3.09</v>
      </c>
      <c r="E345" s="483">
        <v>3.09</v>
      </c>
    </row>
    <row r="346" spans="1:5" ht="30">
      <c r="A346" s="494">
        <v>89234</v>
      </c>
      <c r="B346" s="485" t="s">
        <v>14988</v>
      </c>
      <c r="C346" s="484" t="s">
        <v>328</v>
      </c>
      <c r="D346" s="486">
        <v>447.02</v>
      </c>
      <c r="E346" s="486">
        <v>447.02</v>
      </c>
    </row>
    <row r="347" spans="1:5" ht="30">
      <c r="A347" s="495">
        <v>89242</v>
      </c>
      <c r="B347" s="348" t="s">
        <v>14989</v>
      </c>
      <c r="C347" s="349" t="s">
        <v>328</v>
      </c>
      <c r="D347" s="483">
        <v>1026.9100000000001</v>
      </c>
      <c r="E347" s="483">
        <v>1026.9100000000001</v>
      </c>
    </row>
    <row r="348" spans="1:5" ht="30">
      <c r="A348" s="494">
        <v>89250</v>
      </c>
      <c r="B348" s="485" t="s">
        <v>8588</v>
      </c>
      <c r="C348" s="484" t="s">
        <v>328</v>
      </c>
      <c r="D348" s="486">
        <v>616.28</v>
      </c>
      <c r="E348" s="486">
        <v>616.28</v>
      </c>
    </row>
    <row r="349" spans="1:5" ht="30">
      <c r="A349" s="495">
        <v>89257</v>
      </c>
      <c r="B349" s="348" t="s">
        <v>14990</v>
      </c>
      <c r="C349" s="349" t="s">
        <v>328</v>
      </c>
      <c r="D349" s="483">
        <v>177.4</v>
      </c>
      <c r="E349" s="483">
        <v>177.4</v>
      </c>
    </row>
    <row r="350" spans="1:5" ht="30">
      <c r="A350" s="494">
        <v>89272</v>
      </c>
      <c r="B350" s="485" t="s">
        <v>14991</v>
      </c>
      <c r="C350" s="484" t="s">
        <v>328</v>
      </c>
      <c r="D350" s="486">
        <v>172.71</v>
      </c>
      <c r="E350" s="486">
        <v>172.71</v>
      </c>
    </row>
    <row r="351" spans="1:5" ht="30">
      <c r="A351" s="495">
        <v>89278</v>
      </c>
      <c r="B351" s="348" t="s">
        <v>14992</v>
      </c>
      <c r="C351" s="349" t="s">
        <v>328</v>
      </c>
      <c r="D351" s="483">
        <v>6.89</v>
      </c>
      <c r="E351" s="483">
        <v>6.89</v>
      </c>
    </row>
    <row r="352" spans="1:5" ht="30">
      <c r="A352" s="494">
        <v>89843</v>
      </c>
      <c r="B352" s="485" t="s">
        <v>2490</v>
      </c>
      <c r="C352" s="484" t="s">
        <v>328</v>
      </c>
      <c r="D352" s="486">
        <v>171.63</v>
      </c>
      <c r="E352" s="486">
        <v>171.63</v>
      </c>
    </row>
    <row r="353" spans="1:5" ht="45">
      <c r="A353" s="495">
        <v>89876</v>
      </c>
      <c r="B353" s="348" t="s">
        <v>3185</v>
      </c>
      <c r="C353" s="349" t="s">
        <v>328</v>
      </c>
      <c r="D353" s="483">
        <v>193.07</v>
      </c>
      <c r="E353" s="483">
        <v>193.07</v>
      </c>
    </row>
    <row r="354" spans="1:5" ht="45">
      <c r="A354" s="494">
        <v>89883</v>
      </c>
      <c r="B354" s="485" t="s">
        <v>3192</v>
      </c>
      <c r="C354" s="484" t="s">
        <v>328</v>
      </c>
      <c r="D354" s="486">
        <v>212.04</v>
      </c>
      <c r="E354" s="486">
        <v>212.04</v>
      </c>
    </row>
    <row r="355" spans="1:5" ht="30">
      <c r="A355" s="495">
        <v>90586</v>
      </c>
      <c r="B355" s="348" t="s">
        <v>14993</v>
      </c>
      <c r="C355" s="349" t="s">
        <v>328</v>
      </c>
      <c r="D355" s="483">
        <v>1.97</v>
      </c>
      <c r="E355" s="483">
        <v>1.97</v>
      </c>
    </row>
    <row r="356" spans="1:5" ht="30">
      <c r="A356" s="494">
        <v>90625</v>
      </c>
      <c r="B356" s="485" t="s">
        <v>7958</v>
      </c>
      <c r="C356" s="484" t="s">
        <v>328</v>
      </c>
      <c r="D356" s="486">
        <v>5.2</v>
      </c>
      <c r="E356" s="486">
        <v>5.2</v>
      </c>
    </row>
    <row r="357" spans="1:5" ht="30">
      <c r="A357" s="495">
        <v>90631</v>
      </c>
      <c r="B357" s="348" t="s">
        <v>7970</v>
      </c>
      <c r="C357" s="349" t="s">
        <v>328</v>
      </c>
      <c r="D357" s="483">
        <v>107.7</v>
      </c>
      <c r="E357" s="483">
        <v>107.7</v>
      </c>
    </row>
    <row r="358" spans="1:5" ht="45">
      <c r="A358" s="494">
        <v>90637</v>
      </c>
      <c r="B358" s="485" t="s">
        <v>7428</v>
      </c>
      <c r="C358" s="484" t="s">
        <v>328</v>
      </c>
      <c r="D358" s="486">
        <v>8.7799999999999994</v>
      </c>
      <c r="E358" s="486">
        <v>8.7799999999999994</v>
      </c>
    </row>
    <row r="359" spans="1:5" ht="30">
      <c r="A359" s="495">
        <v>90643</v>
      </c>
      <c r="B359" s="348" t="s">
        <v>14994</v>
      </c>
      <c r="C359" s="349" t="s">
        <v>328</v>
      </c>
      <c r="D359" s="483">
        <v>13.75</v>
      </c>
      <c r="E359" s="483">
        <v>13.75</v>
      </c>
    </row>
    <row r="360" spans="1:5" ht="45">
      <c r="A360" s="494">
        <v>90650</v>
      </c>
      <c r="B360" s="485" t="s">
        <v>14995</v>
      </c>
      <c r="C360" s="484" t="s">
        <v>328</v>
      </c>
      <c r="D360" s="486">
        <v>7.34</v>
      </c>
      <c r="E360" s="486">
        <v>7.34</v>
      </c>
    </row>
    <row r="361" spans="1:5" ht="30">
      <c r="A361" s="495">
        <v>90656</v>
      </c>
      <c r="B361" s="348" t="s">
        <v>2647</v>
      </c>
      <c r="C361" s="349" t="s">
        <v>328</v>
      </c>
      <c r="D361" s="483">
        <v>9.67</v>
      </c>
      <c r="E361" s="483">
        <v>9.67</v>
      </c>
    </row>
    <row r="362" spans="1:5" ht="30">
      <c r="A362" s="494">
        <v>90662</v>
      </c>
      <c r="B362" s="485" t="s">
        <v>2654</v>
      </c>
      <c r="C362" s="484" t="s">
        <v>328</v>
      </c>
      <c r="D362" s="486">
        <v>10.06</v>
      </c>
      <c r="E362" s="486">
        <v>10.06</v>
      </c>
    </row>
    <row r="363" spans="1:5" ht="45">
      <c r="A363" s="495">
        <v>90668</v>
      </c>
      <c r="B363" s="348" t="s">
        <v>14996</v>
      </c>
      <c r="C363" s="349" t="s">
        <v>328</v>
      </c>
      <c r="D363" s="483">
        <v>45.86</v>
      </c>
      <c r="E363" s="483">
        <v>45.86</v>
      </c>
    </row>
    <row r="364" spans="1:5" ht="45">
      <c r="A364" s="494">
        <v>90674</v>
      </c>
      <c r="B364" s="485" t="s">
        <v>14997</v>
      </c>
      <c r="C364" s="484" t="s">
        <v>328</v>
      </c>
      <c r="D364" s="486">
        <v>473.64</v>
      </c>
      <c r="E364" s="486">
        <v>473.64</v>
      </c>
    </row>
    <row r="365" spans="1:5" ht="45">
      <c r="A365" s="495">
        <v>90680</v>
      </c>
      <c r="B365" s="348" t="s">
        <v>14998</v>
      </c>
      <c r="C365" s="349" t="s">
        <v>328</v>
      </c>
      <c r="D365" s="483">
        <v>257.22000000000003</v>
      </c>
      <c r="E365" s="483">
        <v>257.22000000000003</v>
      </c>
    </row>
    <row r="366" spans="1:5" ht="30">
      <c r="A366" s="494">
        <v>90686</v>
      </c>
      <c r="B366" s="485" t="s">
        <v>14999</v>
      </c>
      <c r="C366" s="484" t="s">
        <v>328</v>
      </c>
      <c r="D366" s="486">
        <v>132.69</v>
      </c>
      <c r="E366" s="486">
        <v>132.69</v>
      </c>
    </row>
    <row r="367" spans="1:5" ht="30">
      <c r="A367" s="495">
        <v>90692</v>
      </c>
      <c r="B367" s="348" t="s">
        <v>15000</v>
      </c>
      <c r="C367" s="349" t="s">
        <v>328</v>
      </c>
      <c r="D367" s="483">
        <v>78.48</v>
      </c>
      <c r="E367" s="483">
        <v>78.48</v>
      </c>
    </row>
    <row r="368" spans="1:5" ht="30">
      <c r="A368" s="494">
        <v>90964</v>
      </c>
      <c r="B368" s="485" t="s">
        <v>3712</v>
      </c>
      <c r="C368" s="484" t="s">
        <v>328</v>
      </c>
      <c r="D368" s="486">
        <v>16.22</v>
      </c>
      <c r="E368" s="486">
        <v>16.22</v>
      </c>
    </row>
    <row r="369" spans="1:5" ht="30">
      <c r="A369" s="495">
        <v>90972</v>
      </c>
      <c r="B369" s="348" t="s">
        <v>15001</v>
      </c>
      <c r="C369" s="349" t="s">
        <v>328</v>
      </c>
      <c r="D369" s="483">
        <v>47.54</v>
      </c>
      <c r="E369" s="483">
        <v>47.54</v>
      </c>
    </row>
    <row r="370" spans="1:5" ht="30">
      <c r="A370" s="494">
        <v>90979</v>
      </c>
      <c r="B370" s="485" t="s">
        <v>3706</v>
      </c>
      <c r="C370" s="484" t="s">
        <v>328</v>
      </c>
      <c r="D370" s="486">
        <v>122.93</v>
      </c>
      <c r="E370" s="486">
        <v>122.93</v>
      </c>
    </row>
    <row r="371" spans="1:5" ht="30">
      <c r="A371" s="495">
        <v>90991</v>
      </c>
      <c r="B371" s="348" t="s">
        <v>15002</v>
      </c>
      <c r="C371" s="349" t="s">
        <v>328</v>
      </c>
      <c r="D371" s="483">
        <v>152.81</v>
      </c>
      <c r="E371" s="483">
        <v>152.81</v>
      </c>
    </row>
    <row r="372" spans="1:5" ht="30">
      <c r="A372" s="494">
        <v>90999</v>
      </c>
      <c r="B372" s="485" t="s">
        <v>15003</v>
      </c>
      <c r="C372" s="484" t="s">
        <v>328</v>
      </c>
      <c r="D372" s="486">
        <v>63.52</v>
      </c>
      <c r="E372" s="486">
        <v>63.52</v>
      </c>
    </row>
    <row r="373" spans="1:5" ht="45">
      <c r="A373" s="495">
        <v>91031</v>
      </c>
      <c r="B373" s="348" t="s">
        <v>3287</v>
      </c>
      <c r="C373" s="349" t="s">
        <v>328</v>
      </c>
      <c r="D373" s="483">
        <v>146.46</v>
      </c>
      <c r="E373" s="483">
        <v>146.46</v>
      </c>
    </row>
    <row r="374" spans="1:5" ht="30">
      <c r="A374" s="494">
        <v>91277</v>
      </c>
      <c r="B374" s="485" t="s">
        <v>15004</v>
      </c>
      <c r="C374" s="484" t="s">
        <v>328</v>
      </c>
      <c r="D374" s="486">
        <v>5.94</v>
      </c>
      <c r="E374" s="486">
        <v>5.94</v>
      </c>
    </row>
    <row r="375" spans="1:5" ht="45">
      <c r="A375" s="495">
        <v>91283</v>
      </c>
      <c r="B375" s="348" t="s">
        <v>15005</v>
      </c>
      <c r="C375" s="349" t="s">
        <v>328</v>
      </c>
      <c r="D375" s="483">
        <v>12.29</v>
      </c>
      <c r="E375" s="483">
        <v>12.29</v>
      </c>
    </row>
    <row r="376" spans="1:5" ht="45">
      <c r="A376" s="494">
        <v>91386</v>
      </c>
      <c r="B376" s="485" t="s">
        <v>15006</v>
      </c>
      <c r="C376" s="484" t="s">
        <v>328</v>
      </c>
      <c r="D376" s="486">
        <v>155.51</v>
      </c>
      <c r="E376" s="486">
        <v>155.51</v>
      </c>
    </row>
    <row r="377" spans="1:5" ht="30">
      <c r="A377" s="495">
        <v>91533</v>
      </c>
      <c r="B377" s="348" t="s">
        <v>15007</v>
      </c>
      <c r="C377" s="349" t="s">
        <v>328</v>
      </c>
      <c r="D377" s="483">
        <v>38.65</v>
      </c>
      <c r="E377" s="483">
        <v>38.65</v>
      </c>
    </row>
    <row r="378" spans="1:5" ht="45">
      <c r="A378" s="494">
        <v>91634</v>
      </c>
      <c r="B378" s="485" t="s">
        <v>15008</v>
      </c>
      <c r="C378" s="484" t="s">
        <v>328</v>
      </c>
      <c r="D378" s="486">
        <v>119.43</v>
      </c>
      <c r="E378" s="486">
        <v>119.43</v>
      </c>
    </row>
    <row r="379" spans="1:5" ht="45">
      <c r="A379" s="495">
        <v>91645</v>
      </c>
      <c r="B379" s="348" t="s">
        <v>15009</v>
      </c>
      <c r="C379" s="349" t="s">
        <v>328</v>
      </c>
      <c r="D379" s="483">
        <v>225.03</v>
      </c>
      <c r="E379" s="483">
        <v>225.03</v>
      </c>
    </row>
    <row r="380" spans="1:5" ht="30">
      <c r="A380" s="494">
        <v>91692</v>
      </c>
      <c r="B380" s="485" t="s">
        <v>15010</v>
      </c>
      <c r="C380" s="484" t="s">
        <v>328</v>
      </c>
      <c r="D380" s="486">
        <v>34.36</v>
      </c>
      <c r="E380" s="486">
        <v>34.36</v>
      </c>
    </row>
    <row r="381" spans="1:5" ht="30">
      <c r="A381" s="495">
        <v>92043</v>
      </c>
      <c r="B381" s="348" t="s">
        <v>15011</v>
      </c>
      <c r="C381" s="349" t="s">
        <v>328</v>
      </c>
      <c r="D381" s="483">
        <v>5.97</v>
      </c>
      <c r="E381" s="483">
        <v>5.97</v>
      </c>
    </row>
    <row r="382" spans="1:5" ht="60">
      <c r="A382" s="494">
        <v>92106</v>
      </c>
      <c r="B382" s="485" t="s">
        <v>15012</v>
      </c>
      <c r="C382" s="484" t="s">
        <v>328</v>
      </c>
      <c r="D382" s="486">
        <v>160.13</v>
      </c>
      <c r="E382" s="486">
        <v>160.13</v>
      </c>
    </row>
    <row r="383" spans="1:5" ht="30">
      <c r="A383" s="495">
        <v>92112</v>
      </c>
      <c r="B383" s="348" t="s">
        <v>7903</v>
      </c>
      <c r="C383" s="349" t="s">
        <v>328</v>
      </c>
      <c r="D383" s="483">
        <v>2.4700000000000002</v>
      </c>
      <c r="E383" s="483">
        <v>2.4700000000000002</v>
      </c>
    </row>
    <row r="384" spans="1:5">
      <c r="A384" s="494">
        <v>92118</v>
      </c>
      <c r="B384" s="485" t="s">
        <v>329</v>
      </c>
      <c r="C384" s="484" t="s">
        <v>328</v>
      </c>
      <c r="D384" s="486">
        <v>1.33</v>
      </c>
      <c r="E384" s="486">
        <v>1.33</v>
      </c>
    </row>
    <row r="385" spans="1:5" ht="30">
      <c r="A385" s="495">
        <v>92138</v>
      </c>
      <c r="B385" s="348" t="s">
        <v>15013</v>
      </c>
      <c r="C385" s="349" t="s">
        <v>328</v>
      </c>
      <c r="D385" s="483">
        <v>110.52</v>
      </c>
      <c r="E385" s="483">
        <v>110.52</v>
      </c>
    </row>
    <row r="386" spans="1:5" ht="30">
      <c r="A386" s="494">
        <v>92145</v>
      </c>
      <c r="B386" s="485" t="s">
        <v>3301</v>
      </c>
      <c r="C386" s="484" t="s">
        <v>328</v>
      </c>
      <c r="D386" s="486">
        <v>92.61</v>
      </c>
      <c r="E386" s="486">
        <v>92.61</v>
      </c>
    </row>
    <row r="387" spans="1:5" ht="45">
      <c r="A387" s="495">
        <v>92242</v>
      </c>
      <c r="B387" s="348" t="s">
        <v>15014</v>
      </c>
      <c r="C387" s="349" t="s">
        <v>328</v>
      </c>
      <c r="D387" s="483">
        <v>196.2</v>
      </c>
      <c r="E387" s="483">
        <v>196.2</v>
      </c>
    </row>
    <row r="388" spans="1:5" ht="30">
      <c r="A388" s="494">
        <v>92716</v>
      </c>
      <c r="B388" s="485" t="s">
        <v>15015</v>
      </c>
      <c r="C388" s="484" t="s">
        <v>328</v>
      </c>
      <c r="D388" s="486">
        <v>13.4</v>
      </c>
      <c r="E388" s="486">
        <v>13.4</v>
      </c>
    </row>
    <row r="389" spans="1:5" ht="30">
      <c r="A389" s="495">
        <v>92960</v>
      </c>
      <c r="B389" s="348" t="s">
        <v>15016</v>
      </c>
      <c r="C389" s="349" t="s">
        <v>328</v>
      </c>
      <c r="D389" s="483">
        <v>15.93</v>
      </c>
      <c r="E389" s="483">
        <v>15.93</v>
      </c>
    </row>
    <row r="390" spans="1:5" ht="30">
      <c r="A390" s="494">
        <v>92966</v>
      </c>
      <c r="B390" s="485" t="s">
        <v>15017</v>
      </c>
      <c r="C390" s="484" t="s">
        <v>328</v>
      </c>
      <c r="D390" s="486">
        <v>24.63</v>
      </c>
      <c r="E390" s="486">
        <v>24.63</v>
      </c>
    </row>
    <row r="391" spans="1:5" ht="45">
      <c r="A391" s="495">
        <v>93224</v>
      </c>
      <c r="B391" s="348" t="s">
        <v>15018</v>
      </c>
      <c r="C391" s="349" t="s">
        <v>328</v>
      </c>
      <c r="D391" s="483">
        <v>686.81</v>
      </c>
      <c r="E391" s="483">
        <v>686.81</v>
      </c>
    </row>
    <row r="392" spans="1:5" ht="30">
      <c r="A392" s="494">
        <v>93233</v>
      </c>
      <c r="B392" s="485" t="s">
        <v>2510</v>
      </c>
      <c r="C392" s="484" t="s">
        <v>328</v>
      </c>
      <c r="D392" s="486">
        <v>5.17</v>
      </c>
      <c r="E392" s="486">
        <v>5.17</v>
      </c>
    </row>
    <row r="393" spans="1:5" ht="30">
      <c r="A393" s="495">
        <v>93272</v>
      </c>
      <c r="B393" s="348" t="s">
        <v>15019</v>
      </c>
      <c r="C393" s="349" t="s">
        <v>328</v>
      </c>
      <c r="D393" s="483">
        <v>95.2</v>
      </c>
      <c r="E393" s="483">
        <v>95.2</v>
      </c>
    </row>
    <row r="394" spans="1:5" ht="30">
      <c r="A394" s="494">
        <v>93281</v>
      </c>
      <c r="B394" s="485" t="s">
        <v>15020</v>
      </c>
      <c r="C394" s="484" t="s">
        <v>328</v>
      </c>
      <c r="D394" s="486">
        <v>22.97</v>
      </c>
      <c r="E394" s="486">
        <v>22.97</v>
      </c>
    </row>
    <row r="395" spans="1:5" ht="30">
      <c r="A395" s="495">
        <v>93287</v>
      </c>
      <c r="B395" s="348" t="s">
        <v>15021</v>
      </c>
      <c r="C395" s="349" t="s">
        <v>328</v>
      </c>
      <c r="D395" s="483">
        <v>317.98</v>
      </c>
      <c r="E395" s="483">
        <v>317.98</v>
      </c>
    </row>
    <row r="396" spans="1:5" ht="45">
      <c r="A396" s="494">
        <v>93402</v>
      </c>
      <c r="B396" s="485" t="s">
        <v>15022</v>
      </c>
      <c r="C396" s="484" t="s">
        <v>328</v>
      </c>
      <c r="D396" s="486">
        <v>129.6</v>
      </c>
      <c r="E396" s="486">
        <v>129.6</v>
      </c>
    </row>
    <row r="397" spans="1:5" ht="60">
      <c r="A397" s="495">
        <v>93408</v>
      </c>
      <c r="B397" s="348" t="s">
        <v>15023</v>
      </c>
      <c r="C397" s="349" t="s">
        <v>328</v>
      </c>
      <c r="D397" s="483">
        <v>66.53</v>
      </c>
      <c r="E397" s="483">
        <v>66.53</v>
      </c>
    </row>
    <row r="398" spans="1:5" ht="30">
      <c r="A398" s="494">
        <v>93415</v>
      </c>
      <c r="B398" s="485" t="s">
        <v>15024</v>
      </c>
      <c r="C398" s="484" t="s">
        <v>328</v>
      </c>
      <c r="D398" s="486">
        <v>11.19</v>
      </c>
      <c r="E398" s="486">
        <v>11.19</v>
      </c>
    </row>
    <row r="399" spans="1:5">
      <c r="A399" s="495">
        <v>93421</v>
      </c>
      <c r="B399" s="348" t="s">
        <v>5900</v>
      </c>
      <c r="C399" s="349" t="s">
        <v>328</v>
      </c>
      <c r="D399" s="483">
        <v>46.24</v>
      </c>
      <c r="E399" s="483">
        <v>46.24</v>
      </c>
    </row>
    <row r="400" spans="1:5" ht="30">
      <c r="A400" s="494">
        <v>93427</v>
      </c>
      <c r="B400" s="485" t="s">
        <v>15025</v>
      </c>
      <c r="C400" s="484" t="s">
        <v>328</v>
      </c>
      <c r="D400" s="486">
        <v>105.55</v>
      </c>
      <c r="E400" s="486">
        <v>105.55</v>
      </c>
    </row>
    <row r="401" spans="1:5" ht="30">
      <c r="A401" s="495">
        <v>93433</v>
      </c>
      <c r="B401" s="348" t="s">
        <v>15026</v>
      </c>
      <c r="C401" s="349" t="s">
        <v>328</v>
      </c>
      <c r="D401" s="483">
        <v>1846.24</v>
      </c>
      <c r="E401" s="483">
        <v>1846.24</v>
      </c>
    </row>
    <row r="402" spans="1:5" ht="30">
      <c r="A402" s="494">
        <v>93439</v>
      </c>
      <c r="B402" s="485" t="s">
        <v>15027</v>
      </c>
      <c r="C402" s="484" t="s">
        <v>328</v>
      </c>
      <c r="D402" s="486">
        <v>114.09</v>
      </c>
      <c r="E402" s="486">
        <v>114.09</v>
      </c>
    </row>
    <row r="403" spans="1:5" ht="30">
      <c r="A403" s="495">
        <v>95121</v>
      </c>
      <c r="B403" s="348" t="s">
        <v>15028</v>
      </c>
      <c r="C403" s="349" t="s">
        <v>328</v>
      </c>
      <c r="D403" s="483">
        <v>228.67</v>
      </c>
      <c r="E403" s="483">
        <v>228.67</v>
      </c>
    </row>
    <row r="404" spans="1:5" ht="30">
      <c r="A404" s="494">
        <v>95127</v>
      </c>
      <c r="B404" s="485" t="s">
        <v>4791</v>
      </c>
      <c r="C404" s="484" t="s">
        <v>328</v>
      </c>
      <c r="D404" s="486">
        <v>119.83</v>
      </c>
      <c r="E404" s="486">
        <v>119.83</v>
      </c>
    </row>
    <row r="405" spans="1:5" ht="30">
      <c r="A405" s="495">
        <v>95133</v>
      </c>
      <c r="B405" s="348" t="s">
        <v>15029</v>
      </c>
      <c r="C405" s="349" t="s">
        <v>328</v>
      </c>
      <c r="D405" s="483">
        <v>149.91999999999999</v>
      </c>
      <c r="E405" s="483">
        <v>149.91999999999999</v>
      </c>
    </row>
    <row r="406" spans="1:5" ht="30">
      <c r="A406" s="494">
        <v>95139</v>
      </c>
      <c r="B406" s="485" t="s">
        <v>15030</v>
      </c>
      <c r="C406" s="484" t="s">
        <v>328</v>
      </c>
      <c r="D406" s="486">
        <v>0.08</v>
      </c>
      <c r="E406" s="486">
        <v>0.08</v>
      </c>
    </row>
    <row r="407" spans="1:5" ht="30">
      <c r="A407" s="495">
        <v>95212</v>
      </c>
      <c r="B407" s="348" t="s">
        <v>15031</v>
      </c>
      <c r="C407" s="349" t="s">
        <v>328</v>
      </c>
      <c r="D407" s="483">
        <v>101.36</v>
      </c>
      <c r="E407" s="483">
        <v>101.36</v>
      </c>
    </row>
    <row r="408" spans="1:5" ht="30">
      <c r="A408" s="494">
        <v>95218</v>
      </c>
      <c r="B408" s="485" t="s">
        <v>15032</v>
      </c>
      <c r="C408" s="484" t="s">
        <v>328</v>
      </c>
      <c r="D408" s="486">
        <v>20.39</v>
      </c>
      <c r="E408" s="486">
        <v>20.39</v>
      </c>
    </row>
    <row r="409" spans="1:5">
      <c r="A409" s="495">
        <v>95258</v>
      </c>
      <c r="B409" s="348" t="s">
        <v>7306</v>
      </c>
      <c r="C409" s="349" t="s">
        <v>328</v>
      </c>
      <c r="D409" s="483">
        <v>24.53</v>
      </c>
      <c r="E409" s="483">
        <v>24.53</v>
      </c>
    </row>
    <row r="410" spans="1:5" ht="30">
      <c r="A410" s="494">
        <v>95264</v>
      </c>
      <c r="B410" s="485" t="s">
        <v>15033</v>
      </c>
      <c r="C410" s="484" t="s">
        <v>328</v>
      </c>
      <c r="D410" s="486">
        <v>5.07</v>
      </c>
      <c r="E410" s="486">
        <v>5.07</v>
      </c>
    </row>
    <row r="411" spans="1:5" ht="30">
      <c r="A411" s="495">
        <v>95270</v>
      </c>
      <c r="B411" s="348" t="s">
        <v>15034</v>
      </c>
      <c r="C411" s="349" t="s">
        <v>328</v>
      </c>
      <c r="D411" s="483">
        <v>6.53</v>
      </c>
      <c r="E411" s="483">
        <v>6.53</v>
      </c>
    </row>
    <row r="412" spans="1:5" ht="30">
      <c r="A412" s="494">
        <v>95276</v>
      </c>
      <c r="B412" s="485" t="s">
        <v>15035</v>
      </c>
      <c r="C412" s="484" t="s">
        <v>328</v>
      </c>
      <c r="D412" s="486">
        <v>3.39</v>
      </c>
      <c r="E412" s="486">
        <v>3.39</v>
      </c>
    </row>
    <row r="413" spans="1:5" ht="30">
      <c r="A413" s="495">
        <v>95282</v>
      </c>
      <c r="B413" s="348" t="s">
        <v>15036</v>
      </c>
      <c r="C413" s="349" t="s">
        <v>328</v>
      </c>
      <c r="D413" s="483">
        <v>6.61</v>
      </c>
      <c r="E413" s="483">
        <v>6.61</v>
      </c>
    </row>
    <row r="414" spans="1:5" ht="30">
      <c r="A414" s="494">
        <v>95620</v>
      </c>
      <c r="B414" s="485" t="s">
        <v>15037</v>
      </c>
      <c r="C414" s="484" t="s">
        <v>328</v>
      </c>
      <c r="D414" s="486">
        <v>23.89</v>
      </c>
      <c r="E414" s="486">
        <v>23.89</v>
      </c>
    </row>
    <row r="415" spans="1:5" ht="30">
      <c r="A415" s="495">
        <v>95631</v>
      </c>
      <c r="B415" s="348" t="s">
        <v>15038</v>
      </c>
      <c r="C415" s="349" t="s">
        <v>328</v>
      </c>
      <c r="D415" s="483">
        <v>141.85</v>
      </c>
      <c r="E415" s="483">
        <v>141.85</v>
      </c>
    </row>
    <row r="416" spans="1:5" ht="30">
      <c r="A416" s="494">
        <v>95702</v>
      </c>
      <c r="B416" s="485" t="s">
        <v>15039</v>
      </c>
      <c r="C416" s="484" t="s">
        <v>328</v>
      </c>
      <c r="D416" s="486">
        <v>42.22</v>
      </c>
      <c r="E416" s="486">
        <v>42.22</v>
      </c>
    </row>
    <row r="417" spans="1:5" ht="30">
      <c r="A417" s="495">
        <v>95708</v>
      </c>
      <c r="B417" s="348" t="s">
        <v>15040</v>
      </c>
      <c r="C417" s="349" t="s">
        <v>328</v>
      </c>
      <c r="D417" s="483">
        <v>116.39</v>
      </c>
      <c r="E417" s="483">
        <v>116.39</v>
      </c>
    </row>
    <row r="418" spans="1:5" ht="45">
      <c r="A418" s="494">
        <v>95714</v>
      </c>
      <c r="B418" s="485" t="s">
        <v>15041</v>
      </c>
      <c r="C418" s="484" t="s">
        <v>328</v>
      </c>
      <c r="D418" s="486">
        <v>188.43</v>
      </c>
      <c r="E418" s="486">
        <v>188.43</v>
      </c>
    </row>
    <row r="419" spans="1:5" ht="45">
      <c r="A419" s="495">
        <v>95720</v>
      </c>
      <c r="B419" s="348" t="s">
        <v>15042</v>
      </c>
      <c r="C419" s="349" t="s">
        <v>328</v>
      </c>
      <c r="D419" s="483">
        <v>185.56</v>
      </c>
      <c r="E419" s="483">
        <v>185.56</v>
      </c>
    </row>
    <row r="420" spans="1:5" ht="30">
      <c r="A420" s="494">
        <v>96013</v>
      </c>
      <c r="B420" s="485" t="s">
        <v>15043</v>
      </c>
      <c r="C420" s="484" t="s">
        <v>328</v>
      </c>
      <c r="D420" s="486">
        <v>97.56</v>
      </c>
      <c r="E420" s="486">
        <v>97.56</v>
      </c>
    </row>
    <row r="421" spans="1:5" ht="30">
      <c r="A421" s="495">
        <v>96020</v>
      </c>
      <c r="B421" s="348" t="s">
        <v>15044</v>
      </c>
      <c r="C421" s="349" t="s">
        <v>328</v>
      </c>
      <c r="D421" s="483">
        <v>97.39</v>
      </c>
      <c r="E421" s="483">
        <v>97.39</v>
      </c>
    </row>
    <row r="422" spans="1:5" ht="30">
      <c r="A422" s="494">
        <v>96028</v>
      </c>
      <c r="B422" s="485" t="s">
        <v>15045</v>
      </c>
      <c r="C422" s="484" t="s">
        <v>328</v>
      </c>
      <c r="D422" s="486">
        <v>79.87</v>
      </c>
      <c r="E422" s="486">
        <v>79.87</v>
      </c>
    </row>
    <row r="423" spans="1:5" ht="30">
      <c r="A423" s="495">
        <v>96035</v>
      </c>
      <c r="B423" s="348" t="s">
        <v>15046</v>
      </c>
      <c r="C423" s="349" t="s">
        <v>328</v>
      </c>
      <c r="D423" s="483">
        <v>163.69</v>
      </c>
      <c r="E423" s="483">
        <v>163.69</v>
      </c>
    </row>
    <row r="424" spans="1:5" ht="30">
      <c r="A424" s="494">
        <v>5632</v>
      </c>
      <c r="B424" s="485" t="s">
        <v>15047</v>
      </c>
      <c r="C424" s="484" t="s">
        <v>330</v>
      </c>
      <c r="D424" s="486">
        <v>68.8</v>
      </c>
      <c r="E424" s="486">
        <v>68.8</v>
      </c>
    </row>
    <row r="425" spans="1:5" ht="45">
      <c r="A425" s="495">
        <v>5679</v>
      </c>
      <c r="B425" s="348" t="s">
        <v>15048</v>
      </c>
      <c r="C425" s="349" t="s">
        <v>330</v>
      </c>
      <c r="D425" s="483">
        <v>55.49</v>
      </c>
      <c r="E425" s="483">
        <v>55.49</v>
      </c>
    </row>
    <row r="426" spans="1:5" ht="45">
      <c r="A426" s="494">
        <v>5681</v>
      </c>
      <c r="B426" s="485" t="s">
        <v>15049</v>
      </c>
      <c r="C426" s="484" t="s">
        <v>330</v>
      </c>
      <c r="D426" s="486">
        <v>53.58</v>
      </c>
      <c r="E426" s="486">
        <v>53.58</v>
      </c>
    </row>
    <row r="427" spans="1:5" ht="45">
      <c r="A427" s="495">
        <v>5685</v>
      </c>
      <c r="B427" s="348" t="s">
        <v>15050</v>
      </c>
      <c r="C427" s="349" t="s">
        <v>330</v>
      </c>
      <c r="D427" s="483">
        <v>49.55</v>
      </c>
      <c r="E427" s="483">
        <v>49.55</v>
      </c>
    </row>
    <row r="428" spans="1:5" ht="30">
      <c r="A428" s="494">
        <v>5690</v>
      </c>
      <c r="B428" s="485" t="s">
        <v>15051</v>
      </c>
      <c r="C428" s="484" t="s">
        <v>330</v>
      </c>
      <c r="D428" s="486">
        <v>2.93</v>
      </c>
      <c r="E428" s="486">
        <v>2.93</v>
      </c>
    </row>
    <row r="429" spans="1:5" ht="45">
      <c r="A429" s="495">
        <v>5806</v>
      </c>
      <c r="B429" s="348" t="s">
        <v>15052</v>
      </c>
      <c r="C429" s="349" t="s">
        <v>330</v>
      </c>
      <c r="D429" s="483">
        <v>0.21</v>
      </c>
      <c r="E429" s="483">
        <v>0.21</v>
      </c>
    </row>
    <row r="430" spans="1:5" ht="45">
      <c r="A430" s="494">
        <v>5826</v>
      </c>
      <c r="B430" s="485" t="s">
        <v>15053</v>
      </c>
      <c r="C430" s="484" t="s">
        <v>330</v>
      </c>
      <c r="D430" s="486">
        <v>44.19</v>
      </c>
      <c r="E430" s="486">
        <v>44.19</v>
      </c>
    </row>
    <row r="431" spans="1:5" ht="30">
      <c r="A431" s="495">
        <v>5829</v>
      </c>
      <c r="B431" s="348" t="s">
        <v>10645</v>
      </c>
      <c r="C431" s="349" t="s">
        <v>330</v>
      </c>
      <c r="D431" s="483">
        <v>132.94</v>
      </c>
      <c r="E431" s="483">
        <v>132.94</v>
      </c>
    </row>
    <row r="432" spans="1:5" ht="30">
      <c r="A432" s="494">
        <v>5837</v>
      </c>
      <c r="B432" s="485" t="s">
        <v>15054</v>
      </c>
      <c r="C432" s="484" t="s">
        <v>330</v>
      </c>
      <c r="D432" s="486">
        <v>94.54</v>
      </c>
      <c r="E432" s="486">
        <v>94.54</v>
      </c>
    </row>
    <row r="433" spans="1:5" ht="30">
      <c r="A433" s="495">
        <v>5841</v>
      </c>
      <c r="B433" s="348" t="s">
        <v>15055</v>
      </c>
      <c r="C433" s="349" t="s">
        <v>330</v>
      </c>
      <c r="D433" s="483">
        <v>2.99</v>
      </c>
      <c r="E433" s="483">
        <v>2.99</v>
      </c>
    </row>
    <row r="434" spans="1:5" ht="30">
      <c r="A434" s="494">
        <v>5845</v>
      </c>
      <c r="B434" s="485" t="s">
        <v>10110</v>
      </c>
      <c r="C434" s="484" t="s">
        <v>330</v>
      </c>
      <c r="D434" s="486">
        <v>43.87</v>
      </c>
      <c r="E434" s="486">
        <v>43.87</v>
      </c>
    </row>
    <row r="435" spans="1:5" ht="30">
      <c r="A435" s="495">
        <v>5849</v>
      </c>
      <c r="B435" s="348" t="s">
        <v>15056</v>
      </c>
      <c r="C435" s="349" t="s">
        <v>330</v>
      </c>
      <c r="D435" s="483">
        <v>85.78</v>
      </c>
      <c r="E435" s="483">
        <v>85.78</v>
      </c>
    </row>
    <row r="436" spans="1:5" ht="30">
      <c r="A436" s="494">
        <v>5853</v>
      </c>
      <c r="B436" s="485" t="s">
        <v>10078</v>
      </c>
      <c r="C436" s="484" t="s">
        <v>330</v>
      </c>
      <c r="D436" s="486">
        <v>86.1</v>
      </c>
      <c r="E436" s="486">
        <v>86.1</v>
      </c>
    </row>
    <row r="437" spans="1:5" ht="30">
      <c r="A437" s="495">
        <v>5857</v>
      </c>
      <c r="B437" s="348" t="s">
        <v>15057</v>
      </c>
      <c r="C437" s="349" t="s">
        <v>330</v>
      </c>
      <c r="D437" s="483">
        <v>202.95</v>
      </c>
      <c r="E437" s="483">
        <v>202.95</v>
      </c>
    </row>
    <row r="438" spans="1:5" ht="45">
      <c r="A438" s="494">
        <v>5865</v>
      </c>
      <c r="B438" s="485" t="s">
        <v>15058</v>
      </c>
      <c r="C438" s="484" t="s">
        <v>330</v>
      </c>
      <c r="D438" s="486">
        <v>5.42</v>
      </c>
      <c r="E438" s="486">
        <v>5.42</v>
      </c>
    </row>
    <row r="439" spans="1:5" ht="30">
      <c r="A439" s="495">
        <v>5869</v>
      </c>
      <c r="B439" s="348" t="s">
        <v>15059</v>
      </c>
      <c r="C439" s="349" t="s">
        <v>330</v>
      </c>
      <c r="D439" s="483">
        <v>53.66</v>
      </c>
      <c r="E439" s="483">
        <v>53.66</v>
      </c>
    </row>
    <row r="440" spans="1:5" ht="30">
      <c r="A440" s="494">
        <v>5873</v>
      </c>
      <c r="B440" s="485" t="s">
        <v>15060</v>
      </c>
      <c r="C440" s="484" t="s">
        <v>330</v>
      </c>
      <c r="D440" s="486">
        <v>54.96</v>
      </c>
      <c r="E440" s="486">
        <v>54.96</v>
      </c>
    </row>
    <row r="441" spans="1:5" ht="45">
      <c r="A441" s="495">
        <v>5877</v>
      </c>
      <c r="B441" s="348" t="s">
        <v>15061</v>
      </c>
      <c r="C441" s="349" t="s">
        <v>330</v>
      </c>
      <c r="D441" s="483">
        <v>54.88</v>
      </c>
      <c r="E441" s="483">
        <v>54.88</v>
      </c>
    </row>
    <row r="442" spans="1:5" ht="45">
      <c r="A442" s="494">
        <v>5881</v>
      </c>
      <c r="B442" s="485" t="s">
        <v>15062</v>
      </c>
      <c r="C442" s="484" t="s">
        <v>330</v>
      </c>
      <c r="D442" s="486">
        <v>56.15</v>
      </c>
      <c r="E442" s="486">
        <v>56.15</v>
      </c>
    </row>
    <row r="443" spans="1:5" ht="45">
      <c r="A443" s="495">
        <v>5884</v>
      </c>
      <c r="B443" s="348" t="s">
        <v>15063</v>
      </c>
      <c r="C443" s="349" t="s">
        <v>330</v>
      </c>
      <c r="D443" s="483">
        <v>38.119999999999997</v>
      </c>
      <c r="E443" s="483">
        <v>38.119999999999997</v>
      </c>
    </row>
    <row r="444" spans="1:5" ht="30">
      <c r="A444" s="494">
        <v>5892</v>
      </c>
      <c r="B444" s="485" t="s">
        <v>3259</v>
      </c>
      <c r="C444" s="484" t="s">
        <v>330</v>
      </c>
      <c r="D444" s="486">
        <v>45.24</v>
      </c>
      <c r="E444" s="486">
        <v>45.24</v>
      </c>
    </row>
    <row r="445" spans="1:5" ht="30">
      <c r="A445" s="495">
        <v>5896</v>
      </c>
      <c r="B445" s="348" t="s">
        <v>15064</v>
      </c>
      <c r="C445" s="349" t="s">
        <v>330</v>
      </c>
      <c r="D445" s="483">
        <v>43.16</v>
      </c>
      <c r="E445" s="483">
        <v>43.16</v>
      </c>
    </row>
    <row r="446" spans="1:5" ht="45">
      <c r="A446" s="494">
        <v>5903</v>
      </c>
      <c r="B446" s="485" t="s">
        <v>15065</v>
      </c>
      <c r="C446" s="484" t="s">
        <v>330</v>
      </c>
      <c r="D446" s="486">
        <v>50.15</v>
      </c>
      <c r="E446" s="486">
        <v>50.15</v>
      </c>
    </row>
    <row r="447" spans="1:5" ht="30">
      <c r="A447" s="495">
        <v>5911</v>
      </c>
      <c r="B447" s="348" t="s">
        <v>5258</v>
      </c>
      <c r="C447" s="349" t="s">
        <v>330</v>
      </c>
      <c r="D447" s="483">
        <v>17.91</v>
      </c>
      <c r="E447" s="483">
        <v>17.91</v>
      </c>
    </row>
    <row r="448" spans="1:5" ht="30">
      <c r="A448" s="494">
        <v>5923</v>
      </c>
      <c r="B448" s="485" t="s">
        <v>15066</v>
      </c>
      <c r="C448" s="484" t="s">
        <v>330</v>
      </c>
      <c r="D448" s="486">
        <v>2.2999999999999998</v>
      </c>
      <c r="E448" s="486">
        <v>2.2999999999999998</v>
      </c>
    </row>
    <row r="449" spans="1:5" ht="45">
      <c r="A449" s="495">
        <v>5930</v>
      </c>
      <c r="B449" s="348" t="s">
        <v>15067</v>
      </c>
      <c r="C449" s="349" t="s">
        <v>330</v>
      </c>
      <c r="D449" s="483">
        <v>50.93</v>
      </c>
      <c r="E449" s="483">
        <v>50.93</v>
      </c>
    </row>
    <row r="450" spans="1:5" ht="30">
      <c r="A450" s="494">
        <v>5934</v>
      </c>
      <c r="B450" s="485" t="s">
        <v>7600</v>
      </c>
      <c r="C450" s="484" t="s">
        <v>330</v>
      </c>
      <c r="D450" s="486">
        <v>82.02</v>
      </c>
      <c r="E450" s="486">
        <v>82.02</v>
      </c>
    </row>
    <row r="451" spans="1:5" ht="30">
      <c r="A451" s="495">
        <v>5942</v>
      </c>
      <c r="B451" s="348" t="s">
        <v>15068</v>
      </c>
      <c r="C451" s="349" t="s">
        <v>330</v>
      </c>
      <c r="D451" s="483">
        <v>65.19</v>
      </c>
      <c r="E451" s="483">
        <v>65.19</v>
      </c>
    </row>
    <row r="452" spans="1:5" ht="30">
      <c r="A452" s="494">
        <v>5946</v>
      </c>
      <c r="B452" s="485" t="s">
        <v>15069</v>
      </c>
      <c r="C452" s="484" t="s">
        <v>330</v>
      </c>
      <c r="D452" s="486">
        <v>76.430000000000007</v>
      </c>
      <c r="E452" s="486">
        <v>76.430000000000007</v>
      </c>
    </row>
    <row r="453" spans="1:5" ht="30">
      <c r="A453" s="495">
        <v>5952</v>
      </c>
      <c r="B453" s="348" t="s">
        <v>7299</v>
      </c>
      <c r="C453" s="349" t="s">
        <v>330</v>
      </c>
      <c r="D453" s="483">
        <v>23.74</v>
      </c>
      <c r="E453" s="483">
        <v>23.74</v>
      </c>
    </row>
    <row r="454" spans="1:5" ht="30">
      <c r="A454" s="494">
        <v>5954</v>
      </c>
      <c r="B454" s="485" t="s">
        <v>3686</v>
      </c>
      <c r="C454" s="484" t="s">
        <v>330</v>
      </c>
      <c r="D454" s="486">
        <v>2.37</v>
      </c>
      <c r="E454" s="486">
        <v>2.37</v>
      </c>
    </row>
    <row r="455" spans="1:5" ht="45">
      <c r="A455" s="495">
        <v>5961</v>
      </c>
      <c r="B455" s="348" t="s">
        <v>15070</v>
      </c>
      <c r="C455" s="349" t="s">
        <v>330</v>
      </c>
      <c r="D455" s="483">
        <v>50.13</v>
      </c>
      <c r="E455" s="483">
        <v>50.13</v>
      </c>
    </row>
    <row r="456" spans="1:5" ht="45">
      <c r="A456" s="494">
        <v>6260</v>
      </c>
      <c r="B456" s="485" t="s">
        <v>15071</v>
      </c>
      <c r="C456" s="484" t="s">
        <v>330</v>
      </c>
      <c r="D456" s="486">
        <v>46.09</v>
      </c>
      <c r="E456" s="486">
        <v>46.09</v>
      </c>
    </row>
    <row r="457" spans="1:5" ht="30">
      <c r="A457" s="495">
        <v>6880</v>
      </c>
      <c r="B457" s="348" t="s">
        <v>15072</v>
      </c>
      <c r="C457" s="349" t="s">
        <v>330</v>
      </c>
      <c r="D457" s="483">
        <v>55.76</v>
      </c>
      <c r="E457" s="483">
        <v>55.76</v>
      </c>
    </row>
    <row r="458" spans="1:5" ht="30">
      <c r="A458" s="494">
        <v>7031</v>
      </c>
      <c r="B458" s="485" t="s">
        <v>15073</v>
      </c>
      <c r="C458" s="484" t="s">
        <v>330</v>
      </c>
      <c r="D458" s="486">
        <v>1.85</v>
      </c>
      <c r="E458" s="486">
        <v>1.85</v>
      </c>
    </row>
    <row r="459" spans="1:5" ht="45">
      <c r="A459" s="495">
        <v>7043</v>
      </c>
      <c r="B459" s="348" t="s">
        <v>15074</v>
      </c>
      <c r="C459" s="349" t="s">
        <v>330</v>
      </c>
      <c r="D459" s="483">
        <v>0.27</v>
      </c>
      <c r="E459" s="483">
        <v>0.27</v>
      </c>
    </row>
    <row r="460" spans="1:5" ht="45">
      <c r="A460" s="494">
        <v>7050</v>
      </c>
      <c r="B460" s="485" t="s">
        <v>15075</v>
      </c>
      <c r="C460" s="484" t="s">
        <v>330</v>
      </c>
      <c r="D460" s="486">
        <v>56.5</v>
      </c>
      <c r="E460" s="486">
        <v>56.5</v>
      </c>
    </row>
    <row r="461" spans="1:5" ht="45">
      <c r="A461" s="495">
        <v>67827</v>
      </c>
      <c r="B461" s="348" t="s">
        <v>15076</v>
      </c>
      <c r="C461" s="349" t="s">
        <v>330</v>
      </c>
      <c r="D461" s="483">
        <v>49.32</v>
      </c>
      <c r="E461" s="483">
        <v>49.32</v>
      </c>
    </row>
    <row r="462" spans="1:5">
      <c r="A462" s="494">
        <v>73395</v>
      </c>
      <c r="B462" s="485" t="s">
        <v>15077</v>
      </c>
      <c r="C462" s="484" t="s">
        <v>330</v>
      </c>
      <c r="D462" s="486">
        <v>5.16</v>
      </c>
      <c r="E462" s="486">
        <v>5.16</v>
      </c>
    </row>
    <row r="463" spans="1:5" ht="30">
      <c r="A463" s="495">
        <v>83766</v>
      </c>
      <c r="B463" s="348" t="s">
        <v>15078</v>
      </c>
      <c r="C463" s="349" t="s">
        <v>330</v>
      </c>
      <c r="D463" s="483">
        <v>26.14</v>
      </c>
      <c r="E463" s="483">
        <v>26.14</v>
      </c>
    </row>
    <row r="464" spans="1:5" ht="30">
      <c r="A464" s="494">
        <v>84013</v>
      </c>
      <c r="B464" s="485" t="s">
        <v>15079</v>
      </c>
      <c r="C464" s="484" t="s">
        <v>330</v>
      </c>
      <c r="D464" s="486">
        <v>67.400000000000006</v>
      </c>
      <c r="E464" s="486">
        <v>67.400000000000006</v>
      </c>
    </row>
    <row r="465" spans="1:5" ht="30">
      <c r="A465" s="495">
        <v>87446</v>
      </c>
      <c r="B465" s="348" t="s">
        <v>2502</v>
      </c>
      <c r="C465" s="349" t="s">
        <v>330</v>
      </c>
      <c r="D465" s="483">
        <v>0.35</v>
      </c>
      <c r="E465" s="483">
        <v>0.35</v>
      </c>
    </row>
    <row r="466" spans="1:5" ht="30">
      <c r="A466" s="494">
        <v>88392</v>
      </c>
      <c r="B466" s="485" t="s">
        <v>15080</v>
      </c>
      <c r="C466" s="484" t="s">
        <v>330</v>
      </c>
      <c r="D466" s="486">
        <v>0.69</v>
      </c>
      <c r="E466" s="486">
        <v>0.69</v>
      </c>
    </row>
    <row r="467" spans="1:5" ht="30">
      <c r="A467" s="495">
        <v>88398</v>
      </c>
      <c r="B467" s="348" t="s">
        <v>15081</v>
      </c>
      <c r="C467" s="349" t="s">
        <v>330</v>
      </c>
      <c r="D467" s="483">
        <v>0.82</v>
      </c>
      <c r="E467" s="483">
        <v>0.82</v>
      </c>
    </row>
    <row r="468" spans="1:5" ht="30">
      <c r="A468" s="494">
        <v>88404</v>
      </c>
      <c r="B468" s="485" t="s">
        <v>15082</v>
      </c>
      <c r="C468" s="484" t="s">
        <v>330</v>
      </c>
      <c r="D468" s="486">
        <v>0.65</v>
      </c>
      <c r="E468" s="486">
        <v>0.65</v>
      </c>
    </row>
    <row r="469" spans="1:5" ht="30">
      <c r="A469" s="495">
        <v>88430</v>
      </c>
      <c r="B469" s="348" t="s">
        <v>8429</v>
      </c>
      <c r="C469" s="349" t="s">
        <v>330</v>
      </c>
      <c r="D469" s="483">
        <v>4.3</v>
      </c>
      <c r="E469" s="483">
        <v>4.3</v>
      </c>
    </row>
    <row r="470" spans="1:5" ht="30">
      <c r="A470" s="494">
        <v>88438</v>
      </c>
      <c r="B470" s="485" t="s">
        <v>15083</v>
      </c>
      <c r="C470" s="484" t="s">
        <v>330</v>
      </c>
      <c r="D470" s="486">
        <v>5.69</v>
      </c>
      <c r="E470" s="486">
        <v>5.69</v>
      </c>
    </row>
    <row r="471" spans="1:5" ht="30">
      <c r="A471" s="495">
        <v>88831</v>
      </c>
      <c r="B471" s="348" t="s">
        <v>15084</v>
      </c>
      <c r="C471" s="349" t="s">
        <v>330</v>
      </c>
      <c r="D471" s="483">
        <v>0.25</v>
      </c>
      <c r="E471" s="483">
        <v>0.25</v>
      </c>
    </row>
    <row r="472" spans="1:5" ht="30">
      <c r="A472" s="494">
        <v>88844</v>
      </c>
      <c r="B472" s="485" t="s">
        <v>15085</v>
      </c>
      <c r="C472" s="484" t="s">
        <v>330</v>
      </c>
      <c r="D472" s="486">
        <v>76.2</v>
      </c>
      <c r="E472" s="486">
        <v>76.2</v>
      </c>
    </row>
    <row r="473" spans="1:5" ht="30">
      <c r="A473" s="495">
        <v>88908</v>
      </c>
      <c r="B473" s="348" t="s">
        <v>15086</v>
      </c>
      <c r="C473" s="349" t="s">
        <v>330</v>
      </c>
      <c r="D473" s="483">
        <v>72.23</v>
      </c>
      <c r="E473" s="483">
        <v>72.23</v>
      </c>
    </row>
    <row r="474" spans="1:5" ht="30">
      <c r="A474" s="494">
        <v>89022</v>
      </c>
      <c r="B474" s="485" t="s">
        <v>15087</v>
      </c>
      <c r="C474" s="484" t="s">
        <v>330</v>
      </c>
      <c r="D474" s="486">
        <v>0.3</v>
      </c>
      <c r="E474" s="486">
        <v>0.3</v>
      </c>
    </row>
    <row r="475" spans="1:5" ht="30">
      <c r="A475" s="495">
        <v>89027</v>
      </c>
      <c r="B475" s="348" t="s">
        <v>9171</v>
      </c>
      <c r="C475" s="349" t="s">
        <v>330</v>
      </c>
      <c r="D475" s="483">
        <v>1.5</v>
      </c>
      <c r="E475" s="483">
        <v>1.5</v>
      </c>
    </row>
    <row r="476" spans="1:5" ht="30">
      <c r="A476" s="494">
        <v>89031</v>
      </c>
      <c r="B476" s="485" t="s">
        <v>15088</v>
      </c>
      <c r="C476" s="484" t="s">
        <v>330</v>
      </c>
      <c r="D476" s="486">
        <v>74.349999999999994</v>
      </c>
      <c r="E476" s="486">
        <v>74.349999999999994</v>
      </c>
    </row>
    <row r="477" spans="1:5" ht="30">
      <c r="A477" s="495">
        <v>89036</v>
      </c>
      <c r="B477" s="348" t="s">
        <v>10116</v>
      </c>
      <c r="C477" s="349" t="s">
        <v>330</v>
      </c>
      <c r="D477" s="483">
        <v>41.43</v>
      </c>
      <c r="E477" s="483">
        <v>41.43</v>
      </c>
    </row>
    <row r="478" spans="1:5" ht="30">
      <c r="A478" s="494">
        <v>89218</v>
      </c>
      <c r="B478" s="485" t="s">
        <v>2489</v>
      </c>
      <c r="C478" s="484" t="s">
        <v>330</v>
      </c>
      <c r="D478" s="486">
        <v>72.7</v>
      </c>
      <c r="E478" s="486">
        <v>72.7</v>
      </c>
    </row>
    <row r="479" spans="1:5" ht="30">
      <c r="A479" s="495">
        <v>89226</v>
      </c>
      <c r="B479" s="348" t="s">
        <v>15089</v>
      </c>
      <c r="C479" s="349" t="s">
        <v>330</v>
      </c>
      <c r="D479" s="483">
        <v>1.07</v>
      </c>
      <c r="E479" s="483">
        <v>1.07</v>
      </c>
    </row>
    <row r="480" spans="1:5" ht="30">
      <c r="A480" s="494">
        <v>89227</v>
      </c>
      <c r="B480" s="485" t="s">
        <v>15090</v>
      </c>
      <c r="C480" s="484" t="s">
        <v>330</v>
      </c>
      <c r="D480" s="486">
        <v>50.34</v>
      </c>
      <c r="E480" s="486">
        <v>50.34</v>
      </c>
    </row>
    <row r="481" spans="1:5" ht="30">
      <c r="A481" s="495">
        <v>89235</v>
      </c>
      <c r="B481" s="348" t="s">
        <v>15091</v>
      </c>
      <c r="C481" s="349" t="s">
        <v>330</v>
      </c>
      <c r="D481" s="483">
        <v>173.24</v>
      </c>
      <c r="E481" s="483">
        <v>173.24</v>
      </c>
    </row>
    <row r="482" spans="1:5" ht="30">
      <c r="A482" s="494">
        <v>89243</v>
      </c>
      <c r="B482" s="485" t="s">
        <v>15092</v>
      </c>
      <c r="C482" s="484" t="s">
        <v>330</v>
      </c>
      <c r="D482" s="486">
        <v>356.99</v>
      </c>
      <c r="E482" s="486">
        <v>356.99</v>
      </c>
    </row>
    <row r="483" spans="1:5" ht="30">
      <c r="A483" s="495">
        <v>89251</v>
      </c>
      <c r="B483" s="348" t="s">
        <v>8587</v>
      </c>
      <c r="C483" s="349" t="s">
        <v>330</v>
      </c>
      <c r="D483" s="483">
        <v>203.17</v>
      </c>
      <c r="E483" s="483">
        <v>203.17</v>
      </c>
    </row>
    <row r="484" spans="1:5" ht="30">
      <c r="A484" s="494">
        <v>89258</v>
      </c>
      <c r="B484" s="485" t="s">
        <v>15093</v>
      </c>
      <c r="C484" s="484" t="s">
        <v>330</v>
      </c>
      <c r="D484" s="486">
        <v>83.92</v>
      </c>
      <c r="E484" s="486">
        <v>83.92</v>
      </c>
    </row>
    <row r="485" spans="1:5" ht="30">
      <c r="A485" s="495">
        <v>89273</v>
      </c>
      <c r="B485" s="348" t="s">
        <v>15094</v>
      </c>
      <c r="C485" s="349" t="s">
        <v>330</v>
      </c>
      <c r="D485" s="483">
        <v>86.18</v>
      </c>
      <c r="E485" s="483">
        <v>86.18</v>
      </c>
    </row>
    <row r="486" spans="1:5" ht="30">
      <c r="A486" s="494">
        <v>89279</v>
      </c>
      <c r="B486" s="485" t="s">
        <v>15095</v>
      </c>
      <c r="C486" s="484" t="s">
        <v>330</v>
      </c>
      <c r="D486" s="486">
        <v>1.29</v>
      </c>
      <c r="E486" s="486">
        <v>1.29</v>
      </c>
    </row>
    <row r="487" spans="1:5" ht="45">
      <c r="A487" s="495">
        <v>89877</v>
      </c>
      <c r="B487" s="348" t="s">
        <v>3184</v>
      </c>
      <c r="C487" s="349" t="s">
        <v>330</v>
      </c>
      <c r="D487" s="483">
        <v>61.12</v>
      </c>
      <c r="E487" s="483">
        <v>61.12</v>
      </c>
    </row>
    <row r="488" spans="1:5" ht="45">
      <c r="A488" s="494">
        <v>89884</v>
      </c>
      <c r="B488" s="485" t="s">
        <v>3191</v>
      </c>
      <c r="C488" s="484" t="s">
        <v>330</v>
      </c>
      <c r="D488" s="486">
        <v>62.82</v>
      </c>
      <c r="E488" s="486">
        <v>62.82</v>
      </c>
    </row>
    <row r="489" spans="1:5" ht="30">
      <c r="A489" s="495">
        <v>90587</v>
      </c>
      <c r="B489" s="348" t="s">
        <v>15096</v>
      </c>
      <c r="C489" s="349" t="s">
        <v>330</v>
      </c>
      <c r="D489" s="483">
        <v>1.21</v>
      </c>
      <c r="E489" s="483">
        <v>1.21</v>
      </c>
    </row>
    <row r="490" spans="1:5" ht="30">
      <c r="A490" s="494">
        <v>90626</v>
      </c>
      <c r="B490" s="485" t="s">
        <v>7957</v>
      </c>
      <c r="C490" s="484" t="s">
        <v>330</v>
      </c>
      <c r="D490" s="486">
        <v>1.92</v>
      </c>
      <c r="E490" s="486">
        <v>1.92</v>
      </c>
    </row>
    <row r="491" spans="1:5" ht="30">
      <c r="A491" s="495">
        <v>90632</v>
      </c>
      <c r="B491" s="348" t="s">
        <v>7969</v>
      </c>
      <c r="C491" s="349" t="s">
        <v>330</v>
      </c>
      <c r="D491" s="483">
        <v>69.41</v>
      </c>
      <c r="E491" s="483">
        <v>69.41</v>
      </c>
    </row>
    <row r="492" spans="1:5" ht="45">
      <c r="A492" s="494">
        <v>90638</v>
      </c>
      <c r="B492" s="485" t="s">
        <v>7427</v>
      </c>
      <c r="C492" s="484" t="s">
        <v>330</v>
      </c>
      <c r="D492" s="486">
        <v>3.3</v>
      </c>
      <c r="E492" s="486">
        <v>3.3</v>
      </c>
    </row>
    <row r="493" spans="1:5" ht="30">
      <c r="A493" s="495">
        <v>90644</v>
      </c>
      <c r="B493" s="348" t="s">
        <v>15097</v>
      </c>
      <c r="C493" s="349" t="s">
        <v>330</v>
      </c>
      <c r="D493" s="483">
        <v>5.7</v>
      </c>
      <c r="E493" s="483">
        <v>5.7</v>
      </c>
    </row>
    <row r="494" spans="1:5" ht="45">
      <c r="A494" s="494">
        <v>90651</v>
      </c>
      <c r="B494" s="485" t="s">
        <v>15098</v>
      </c>
      <c r="C494" s="484" t="s">
        <v>330</v>
      </c>
      <c r="D494" s="486">
        <v>0.77</v>
      </c>
      <c r="E494" s="486">
        <v>0.77</v>
      </c>
    </row>
    <row r="495" spans="1:5" ht="30">
      <c r="A495" s="495">
        <v>90657</v>
      </c>
      <c r="B495" s="348" t="s">
        <v>2646</v>
      </c>
      <c r="C495" s="349" t="s">
        <v>330</v>
      </c>
      <c r="D495" s="483">
        <v>3.71</v>
      </c>
      <c r="E495" s="483">
        <v>3.71</v>
      </c>
    </row>
    <row r="496" spans="1:5" ht="30">
      <c r="A496" s="494">
        <v>90663</v>
      </c>
      <c r="B496" s="485" t="s">
        <v>2653</v>
      </c>
      <c r="C496" s="484" t="s">
        <v>330</v>
      </c>
      <c r="D496" s="486">
        <v>3.97</v>
      </c>
      <c r="E496" s="486">
        <v>3.97</v>
      </c>
    </row>
    <row r="497" spans="1:5" ht="45">
      <c r="A497" s="495">
        <v>90669</v>
      </c>
      <c r="B497" s="348" t="s">
        <v>15099</v>
      </c>
      <c r="C497" s="349" t="s">
        <v>330</v>
      </c>
      <c r="D497" s="483">
        <v>3.7</v>
      </c>
      <c r="E497" s="483">
        <v>3.7</v>
      </c>
    </row>
    <row r="498" spans="1:5" ht="45">
      <c r="A498" s="494">
        <v>90675</v>
      </c>
      <c r="B498" s="485" t="s">
        <v>15100</v>
      </c>
      <c r="C498" s="484" t="s">
        <v>330</v>
      </c>
      <c r="D498" s="486">
        <v>201.41</v>
      </c>
      <c r="E498" s="486">
        <v>201.41</v>
      </c>
    </row>
    <row r="499" spans="1:5" ht="45">
      <c r="A499" s="495">
        <v>90681</v>
      </c>
      <c r="B499" s="348" t="s">
        <v>15101</v>
      </c>
      <c r="C499" s="349" t="s">
        <v>330</v>
      </c>
      <c r="D499" s="483">
        <v>119.91</v>
      </c>
      <c r="E499" s="483">
        <v>119.91</v>
      </c>
    </row>
    <row r="500" spans="1:5" ht="30">
      <c r="A500" s="494">
        <v>90687</v>
      </c>
      <c r="B500" s="485" t="s">
        <v>15102</v>
      </c>
      <c r="C500" s="484" t="s">
        <v>330</v>
      </c>
      <c r="D500" s="486">
        <v>65.900000000000006</v>
      </c>
      <c r="E500" s="486">
        <v>65.900000000000006</v>
      </c>
    </row>
    <row r="501" spans="1:5" ht="30">
      <c r="A501" s="495">
        <v>90693</v>
      </c>
      <c r="B501" s="348" t="s">
        <v>15103</v>
      </c>
      <c r="C501" s="349" t="s">
        <v>330</v>
      </c>
      <c r="D501" s="483">
        <v>46.75</v>
      </c>
      <c r="E501" s="483">
        <v>46.75</v>
      </c>
    </row>
    <row r="502" spans="1:5" ht="30">
      <c r="A502" s="494">
        <v>90965</v>
      </c>
      <c r="B502" s="485" t="s">
        <v>3711</v>
      </c>
      <c r="C502" s="484" t="s">
        <v>330</v>
      </c>
      <c r="D502" s="486">
        <v>3.1</v>
      </c>
      <c r="E502" s="486">
        <v>3.1</v>
      </c>
    </row>
    <row r="503" spans="1:5" ht="30">
      <c r="A503" s="495">
        <v>90973</v>
      </c>
      <c r="B503" s="348" t="s">
        <v>15104</v>
      </c>
      <c r="C503" s="349" t="s">
        <v>330</v>
      </c>
      <c r="D503" s="483">
        <v>3.1</v>
      </c>
      <c r="E503" s="483">
        <v>3.1</v>
      </c>
    </row>
    <row r="504" spans="1:5" ht="30">
      <c r="A504" s="494">
        <v>90982</v>
      </c>
      <c r="B504" s="485" t="s">
        <v>3705</v>
      </c>
      <c r="C504" s="484" t="s">
        <v>330</v>
      </c>
      <c r="D504" s="486">
        <v>7.9</v>
      </c>
      <c r="E504" s="486">
        <v>7.9</v>
      </c>
    </row>
    <row r="505" spans="1:5" ht="30">
      <c r="A505" s="495">
        <v>91001</v>
      </c>
      <c r="B505" s="348" t="s">
        <v>15105</v>
      </c>
      <c r="C505" s="349" t="s">
        <v>330</v>
      </c>
      <c r="D505" s="483">
        <v>3.69</v>
      </c>
      <c r="E505" s="483">
        <v>3.69</v>
      </c>
    </row>
    <row r="506" spans="1:5" ht="45">
      <c r="A506" s="494">
        <v>91032</v>
      </c>
      <c r="B506" s="485" t="s">
        <v>3286</v>
      </c>
      <c r="C506" s="484" t="s">
        <v>330</v>
      </c>
      <c r="D506" s="486">
        <v>49.19</v>
      </c>
      <c r="E506" s="486">
        <v>49.19</v>
      </c>
    </row>
    <row r="507" spans="1:5" ht="30">
      <c r="A507" s="495">
        <v>91278</v>
      </c>
      <c r="B507" s="348" t="s">
        <v>15106</v>
      </c>
      <c r="C507" s="349" t="s">
        <v>330</v>
      </c>
      <c r="D507" s="483">
        <v>0.93</v>
      </c>
      <c r="E507" s="483">
        <v>0.93</v>
      </c>
    </row>
    <row r="508" spans="1:5" ht="45">
      <c r="A508" s="494">
        <v>91285</v>
      </c>
      <c r="B508" s="485" t="s">
        <v>15107</v>
      </c>
      <c r="C508" s="484" t="s">
        <v>330</v>
      </c>
      <c r="D508" s="486">
        <v>0.75</v>
      </c>
      <c r="E508" s="486">
        <v>0.75</v>
      </c>
    </row>
    <row r="509" spans="1:5" ht="45">
      <c r="A509" s="495">
        <v>91387</v>
      </c>
      <c r="B509" s="348" t="s">
        <v>15108</v>
      </c>
      <c r="C509" s="349" t="s">
        <v>330</v>
      </c>
      <c r="D509" s="483">
        <v>52.54</v>
      </c>
      <c r="E509" s="483">
        <v>52.54</v>
      </c>
    </row>
    <row r="510" spans="1:5" ht="45">
      <c r="A510" s="494">
        <v>91395</v>
      </c>
      <c r="B510" s="485" t="s">
        <v>15109</v>
      </c>
      <c r="C510" s="484" t="s">
        <v>330</v>
      </c>
      <c r="D510" s="486">
        <v>49.21</v>
      </c>
      <c r="E510" s="486">
        <v>49.21</v>
      </c>
    </row>
    <row r="511" spans="1:5" ht="45">
      <c r="A511" s="495">
        <v>91486</v>
      </c>
      <c r="B511" s="348" t="s">
        <v>15110</v>
      </c>
      <c r="C511" s="349" t="s">
        <v>330</v>
      </c>
      <c r="D511" s="483">
        <v>55.18</v>
      </c>
      <c r="E511" s="483">
        <v>55.18</v>
      </c>
    </row>
    <row r="512" spans="1:5" ht="30">
      <c r="A512" s="494">
        <v>91534</v>
      </c>
      <c r="B512" s="485" t="s">
        <v>15111</v>
      </c>
      <c r="C512" s="484" t="s">
        <v>330</v>
      </c>
      <c r="D512" s="486">
        <v>34.14</v>
      </c>
      <c r="E512" s="486">
        <v>34.14</v>
      </c>
    </row>
    <row r="513" spans="1:5" ht="45">
      <c r="A513" s="495">
        <v>91635</v>
      </c>
      <c r="B513" s="348" t="s">
        <v>15112</v>
      </c>
      <c r="C513" s="349" t="s">
        <v>330</v>
      </c>
      <c r="D513" s="483">
        <v>49.59</v>
      </c>
      <c r="E513" s="483">
        <v>49.59</v>
      </c>
    </row>
    <row r="514" spans="1:5" ht="45">
      <c r="A514" s="494">
        <v>91646</v>
      </c>
      <c r="B514" s="485" t="s">
        <v>15113</v>
      </c>
      <c r="C514" s="484" t="s">
        <v>330</v>
      </c>
      <c r="D514" s="486">
        <v>67.569999999999993</v>
      </c>
      <c r="E514" s="486">
        <v>67.569999999999993</v>
      </c>
    </row>
    <row r="515" spans="1:5" ht="30">
      <c r="A515" s="495">
        <v>91693</v>
      </c>
      <c r="B515" s="348" t="s">
        <v>15114</v>
      </c>
      <c r="C515" s="349" t="s">
        <v>330</v>
      </c>
      <c r="D515" s="483">
        <v>32.700000000000003</v>
      </c>
      <c r="E515" s="483">
        <v>32.700000000000003</v>
      </c>
    </row>
    <row r="516" spans="1:5" ht="30">
      <c r="A516" s="494">
        <v>92044</v>
      </c>
      <c r="B516" s="485" t="s">
        <v>15115</v>
      </c>
      <c r="C516" s="484" t="s">
        <v>330</v>
      </c>
      <c r="D516" s="486">
        <v>3.96</v>
      </c>
      <c r="E516" s="486">
        <v>3.96</v>
      </c>
    </row>
    <row r="517" spans="1:5" ht="60">
      <c r="A517" s="495">
        <v>92107</v>
      </c>
      <c r="B517" s="348" t="s">
        <v>15116</v>
      </c>
      <c r="C517" s="349" t="s">
        <v>330</v>
      </c>
      <c r="D517" s="483">
        <v>57.27</v>
      </c>
      <c r="E517" s="483">
        <v>57.27</v>
      </c>
    </row>
    <row r="518" spans="1:5" ht="30">
      <c r="A518" s="494">
        <v>92113</v>
      </c>
      <c r="B518" s="485" t="s">
        <v>7902</v>
      </c>
      <c r="C518" s="484" t="s">
        <v>330</v>
      </c>
      <c r="D518" s="486">
        <v>1.01</v>
      </c>
      <c r="E518" s="486">
        <v>1.01</v>
      </c>
    </row>
    <row r="519" spans="1:5">
      <c r="A519" s="495">
        <v>92119</v>
      </c>
      <c r="B519" s="348" t="s">
        <v>331</v>
      </c>
      <c r="C519" s="349" t="s">
        <v>330</v>
      </c>
      <c r="D519" s="483">
        <v>0.82</v>
      </c>
      <c r="E519" s="483">
        <v>0.82</v>
      </c>
    </row>
    <row r="520" spans="1:5" ht="30">
      <c r="A520" s="494">
        <v>92139</v>
      </c>
      <c r="B520" s="485" t="s">
        <v>15117</v>
      </c>
      <c r="C520" s="484" t="s">
        <v>330</v>
      </c>
      <c r="D520" s="486">
        <v>38.5</v>
      </c>
      <c r="E520" s="486">
        <v>38.5</v>
      </c>
    </row>
    <row r="521" spans="1:5" ht="30">
      <c r="A521" s="495">
        <v>92146</v>
      </c>
      <c r="B521" s="348" t="s">
        <v>3300</v>
      </c>
      <c r="C521" s="349" t="s">
        <v>330</v>
      </c>
      <c r="D521" s="483">
        <v>33.1</v>
      </c>
      <c r="E521" s="483">
        <v>33.1</v>
      </c>
    </row>
    <row r="522" spans="1:5" ht="45">
      <c r="A522" s="494">
        <v>92243</v>
      </c>
      <c r="B522" s="485" t="s">
        <v>15118</v>
      </c>
      <c r="C522" s="484" t="s">
        <v>330</v>
      </c>
      <c r="D522" s="486">
        <v>57.85</v>
      </c>
      <c r="E522" s="486">
        <v>57.85</v>
      </c>
    </row>
    <row r="523" spans="1:5" ht="30">
      <c r="A523" s="495">
        <v>92717</v>
      </c>
      <c r="B523" s="348" t="s">
        <v>15119</v>
      </c>
      <c r="C523" s="349" t="s">
        <v>330</v>
      </c>
      <c r="D523" s="483">
        <v>0.17</v>
      </c>
      <c r="E523" s="483">
        <v>0.17</v>
      </c>
    </row>
    <row r="524" spans="1:5" ht="30">
      <c r="A524" s="494">
        <v>92961</v>
      </c>
      <c r="B524" s="485" t="s">
        <v>15120</v>
      </c>
      <c r="C524" s="484" t="s">
        <v>330</v>
      </c>
      <c r="D524" s="486">
        <v>5.38</v>
      </c>
      <c r="E524" s="486">
        <v>5.38</v>
      </c>
    </row>
    <row r="525" spans="1:5" ht="30">
      <c r="A525" s="495">
        <v>92967</v>
      </c>
      <c r="B525" s="348" t="s">
        <v>15121</v>
      </c>
      <c r="C525" s="349" t="s">
        <v>330</v>
      </c>
      <c r="D525" s="483">
        <v>23.79</v>
      </c>
      <c r="E525" s="483">
        <v>23.79</v>
      </c>
    </row>
    <row r="526" spans="1:5" ht="45">
      <c r="A526" s="494">
        <v>93225</v>
      </c>
      <c r="B526" s="485" t="s">
        <v>15122</v>
      </c>
      <c r="C526" s="484" t="s">
        <v>330</v>
      </c>
      <c r="D526" s="486">
        <v>295.07</v>
      </c>
      <c r="E526" s="486">
        <v>295.07</v>
      </c>
    </row>
    <row r="527" spans="1:5" ht="30">
      <c r="A527" s="495">
        <v>93234</v>
      </c>
      <c r="B527" s="348" t="s">
        <v>2509</v>
      </c>
      <c r="C527" s="349" t="s">
        <v>330</v>
      </c>
      <c r="D527" s="483">
        <v>0.32</v>
      </c>
      <c r="E527" s="483">
        <v>0.32</v>
      </c>
    </row>
    <row r="528" spans="1:5" ht="30">
      <c r="A528" s="494">
        <v>93242</v>
      </c>
      <c r="B528" s="485" t="s">
        <v>15123</v>
      </c>
      <c r="C528" s="484" t="s">
        <v>330</v>
      </c>
      <c r="D528" s="486">
        <v>45.25</v>
      </c>
      <c r="E528" s="486">
        <v>45.25</v>
      </c>
    </row>
    <row r="529" spans="1:5" ht="45">
      <c r="A529" s="495">
        <v>93244</v>
      </c>
      <c r="B529" s="348" t="s">
        <v>8927</v>
      </c>
      <c r="C529" s="349" t="s">
        <v>330</v>
      </c>
      <c r="D529" s="483">
        <v>50.26</v>
      </c>
      <c r="E529" s="483">
        <v>50.26</v>
      </c>
    </row>
    <row r="530" spans="1:5" ht="30">
      <c r="A530" s="494">
        <v>93274</v>
      </c>
      <c r="B530" s="485" t="s">
        <v>15124</v>
      </c>
      <c r="C530" s="484" t="s">
        <v>330</v>
      </c>
      <c r="D530" s="486">
        <v>67.23</v>
      </c>
      <c r="E530" s="486">
        <v>67.23</v>
      </c>
    </row>
    <row r="531" spans="1:5" ht="30">
      <c r="A531" s="495">
        <v>93282</v>
      </c>
      <c r="B531" s="348" t="s">
        <v>15125</v>
      </c>
      <c r="C531" s="349" t="s">
        <v>330</v>
      </c>
      <c r="D531" s="483">
        <v>22.44</v>
      </c>
      <c r="E531" s="483">
        <v>22.44</v>
      </c>
    </row>
    <row r="532" spans="1:5" ht="30">
      <c r="A532" s="494">
        <v>93288</v>
      </c>
      <c r="B532" s="485" t="s">
        <v>15126</v>
      </c>
      <c r="C532" s="484" t="s">
        <v>330</v>
      </c>
      <c r="D532" s="486">
        <v>125.34</v>
      </c>
      <c r="E532" s="486">
        <v>125.34</v>
      </c>
    </row>
    <row r="533" spans="1:5" ht="30">
      <c r="A533" s="495">
        <v>93416</v>
      </c>
      <c r="B533" s="348" t="s">
        <v>15127</v>
      </c>
      <c r="C533" s="349" t="s">
        <v>330</v>
      </c>
      <c r="D533" s="483">
        <v>0.24</v>
      </c>
      <c r="E533" s="483">
        <v>0.24</v>
      </c>
    </row>
    <row r="534" spans="1:5">
      <c r="A534" s="494">
        <v>93422</v>
      </c>
      <c r="B534" s="485" t="s">
        <v>5899</v>
      </c>
      <c r="C534" s="484" t="s">
        <v>330</v>
      </c>
      <c r="D534" s="486">
        <v>3.24</v>
      </c>
      <c r="E534" s="486">
        <v>3.24</v>
      </c>
    </row>
    <row r="535" spans="1:5" ht="30">
      <c r="A535" s="495">
        <v>93428</v>
      </c>
      <c r="B535" s="348" t="s">
        <v>15128</v>
      </c>
      <c r="C535" s="349" t="s">
        <v>330</v>
      </c>
      <c r="D535" s="483">
        <v>4.59</v>
      </c>
      <c r="E535" s="483">
        <v>4.59</v>
      </c>
    </row>
    <row r="536" spans="1:5" ht="30">
      <c r="A536" s="494">
        <v>93434</v>
      </c>
      <c r="B536" s="485" t="s">
        <v>15129</v>
      </c>
      <c r="C536" s="484" t="s">
        <v>330</v>
      </c>
      <c r="D536" s="486">
        <v>207.46</v>
      </c>
      <c r="E536" s="486">
        <v>207.46</v>
      </c>
    </row>
    <row r="537" spans="1:5" ht="30">
      <c r="A537" s="495">
        <v>93440</v>
      </c>
      <c r="B537" s="348" t="s">
        <v>15130</v>
      </c>
      <c r="C537" s="349" t="s">
        <v>330</v>
      </c>
      <c r="D537" s="483">
        <v>93.41</v>
      </c>
      <c r="E537" s="483">
        <v>93.41</v>
      </c>
    </row>
    <row r="538" spans="1:5" ht="30">
      <c r="A538" s="494">
        <v>95122</v>
      </c>
      <c r="B538" s="485" t="s">
        <v>15131</v>
      </c>
      <c r="C538" s="484" t="s">
        <v>330</v>
      </c>
      <c r="D538" s="486">
        <v>148.52000000000001</v>
      </c>
      <c r="E538" s="486">
        <v>148.52000000000001</v>
      </c>
    </row>
    <row r="539" spans="1:5" ht="30">
      <c r="A539" s="495">
        <v>95128</v>
      </c>
      <c r="B539" s="348" t="s">
        <v>4790</v>
      </c>
      <c r="C539" s="349" t="s">
        <v>330</v>
      </c>
      <c r="D539" s="483">
        <v>47.28</v>
      </c>
      <c r="E539" s="483">
        <v>47.28</v>
      </c>
    </row>
    <row r="540" spans="1:5" ht="30">
      <c r="A540" s="494">
        <v>95134</v>
      </c>
      <c r="B540" s="485" t="s">
        <v>15132</v>
      </c>
      <c r="C540" s="484" t="s">
        <v>57</v>
      </c>
      <c r="D540" s="486">
        <v>84.54</v>
      </c>
      <c r="E540" s="486">
        <v>84.54</v>
      </c>
    </row>
    <row r="541" spans="1:5" ht="30">
      <c r="A541" s="495">
        <v>95140</v>
      </c>
      <c r="B541" s="348" t="s">
        <v>15133</v>
      </c>
      <c r="C541" s="349" t="s">
        <v>330</v>
      </c>
      <c r="D541" s="483">
        <v>0.05</v>
      </c>
      <c r="E541" s="483">
        <v>0.05</v>
      </c>
    </row>
    <row r="542" spans="1:5" ht="30">
      <c r="A542" s="494">
        <v>95213</v>
      </c>
      <c r="B542" s="485" t="s">
        <v>15134</v>
      </c>
      <c r="C542" s="484" t="s">
        <v>330</v>
      </c>
      <c r="D542" s="486">
        <v>70.319999999999993</v>
      </c>
      <c r="E542" s="486">
        <v>70.319999999999993</v>
      </c>
    </row>
    <row r="543" spans="1:5" ht="30">
      <c r="A543" s="495">
        <v>95219</v>
      </c>
      <c r="B543" s="348" t="s">
        <v>15135</v>
      </c>
      <c r="C543" s="349" t="s">
        <v>330</v>
      </c>
      <c r="D543" s="483">
        <v>19.39</v>
      </c>
      <c r="E543" s="483">
        <v>19.39</v>
      </c>
    </row>
    <row r="544" spans="1:5">
      <c r="A544" s="494">
        <v>95259</v>
      </c>
      <c r="B544" s="485" t="s">
        <v>7305</v>
      </c>
      <c r="C544" s="484" t="s">
        <v>330</v>
      </c>
      <c r="D544" s="486">
        <v>23.43</v>
      </c>
      <c r="E544" s="486">
        <v>23.43</v>
      </c>
    </row>
    <row r="545" spans="1:5" ht="30">
      <c r="A545" s="495">
        <v>95265</v>
      </c>
      <c r="B545" s="348" t="s">
        <v>15136</v>
      </c>
      <c r="C545" s="349" t="s">
        <v>330</v>
      </c>
      <c r="D545" s="483">
        <v>1.3</v>
      </c>
      <c r="E545" s="483">
        <v>1.3</v>
      </c>
    </row>
    <row r="546" spans="1:5" ht="30">
      <c r="A546" s="494">
        <v>95271</v>
      </c>
      <c r="B546" s="485" t="s">
        <v>15137</v>
      </c>
      <c r="C546" s="484" t="s">
        <v>330</v>
      </c>
      <c r="D546" s="486">
        <v>1.1100000000000001</v>
      </c>
      <c r="E546" s="486">
        <v>1.1100000000000001</v>
      </c>
    </row>
    <row r="547" spans="1:5" ht="30">
      <c r="A547" s="495">
        <v>95277</v>
      </c>
      <c r="B547" s="348" t="s">
        <v>15138</v>
      </c>
      <c r="C547" s="349" t="s">
        <v>330</v>
      </c>
      <c r="D547" s="483">
        <v>1.2</v>
      </c>
      <c r="E547" s="483">
        <v>1.2</v>
      </c>
    </row>
    <row r="548" spans="1:5" ht="30">
      <c r="A548" s="494">
        <v>95283</v>
      </c>
      <c r="B548" s="485" t="s">
        <v>15139</v>
      </c>
      <c r="C548" s="484" t="s">
        <v>330</v>
      </c>
      <c r="D548" s="486">
        <v>1.31</v>
      </c>
      <c r="E548" s="486">
        <v>1.31</v>
      </c>
    </row>
    <row r="549" spans="1:5" ht="30">
      <c r="A549" s="495">
        <v>95621</v>
      </c>
      <c r="B549" s="348" t="s">
        <v>15140</v>
      </c>
      <c r="C549" s="349" t="s">
        <v>330</v>
      </c>
      <c r="D549" s="483">
        <v>23.3</v>
      </c>
      <c r="E549" s="483">
        <v>23.3</v>
      </c>
    </row>
    <row r="550" spans="1:5" ht="30">
      <c r="A550" s="494">
        <v>95632</v>
      </c>
      <c r="B550" s="485" t="s">
        <v>15141</v>
      </c>
      <c r="C550" s="484" t="s">
        <v>330</v>
      </c>
      <c r="D550" s="486">
        <v>58.48</v>
      </c>
      <c r="E550" s="486">
        <v>58.48</v>
      </c>
    </row>
    <row r="551" spans="1:5" ht="30">
      <c r="A551" s="495">
        <v>95703</v>
      </c>
      <c r="B551" s="348" t="s">
        <v>15142</v>
      </c>
      <c r="C551" s="349" t="s">
        <v>330</v>
      </c>
      <c r="D551" s="483">
        <v>36.92</v>
      </c>
      <c r="E551" s="483">
        <v>36.92</v>
      </c>
    </row>
    <row r="552" spans="1:5" ht="30">
      <c r="A552" s="494">
        <v>95709</v>
      </c>
      <c r="B552" s="485" t="s">
        <v>15143</v>
      </c>
      <c r="C552" s="484" t="s">
        <v>330</v>
      </c>
      <c r="D552" s="486">
        <v>67.88</v>
      </c>
      <c r="E552" s="486">
        <v>67.88</v>
      </c>
    </row>
    <row r="553" spans="1:5" ht="45">
      <c r="A553" s="495">
        <v>95715</v>
      </c>
      <c r="B553" s="348" t="s">
        <v>15144</v>
      </c>
      <c r="C553" s="349" t="s">
        <v>330</v>
      </c>
      <c r="D553" s="483">
        <v>74.06</v>
      </c>
      <c r="E553" s="483">
        <v>74.06</v>
      </c>
    </row>
    <row r="554" spans="1:5" ht="45">
      <c r="A554" s="494">
        <v>95721</v>
      </c>
      <c r="B554" s="485" t="s">
        <v>15145</v>
      </c>
      <c r="C554" s="484" t="s">
        <v>330</v>
      </c>
      <c r="D554" s="486">
        <v>72.73</v>
      </c>
      <c r="E554" s="486">
        <v>72.73</v>
      </c>
    </row>
    <row r="555" spans="1:5" ht="30">
      <c r="A555" s="495">
        <v>96014</v>
      </c>
      <c r="B555" s="348" t="s">
        <v>15146</v>
      </c>
      <c r="C555" s="349" t="s">
        <v>330</v>
      </c>
      <c r="D555" s="483">
        <v>46.04</v>
      </c>
      <c r="E555" s="483">
        <v>46.04</v>
      </c>
    </row>
    <row r="556" spans="1:5" ht="30">
      <c r="A556" s="494">
        <v>96021</v>
      </c>
      <c r="B556" s="485" t="s">
        <v>15147</v>
      </c>
      <c r="C556" s="484" t="s">
        <v>330</v>
      </c>
      <c r="D556" s="486">
        <v>45.94</v>
      </c>
      <c r="E556" s="486">
        <v>45.94</v>
      </c>
    </row>
    <row r="557" spans="1:5" ht="30">
      <c r="A557" s="495">
        <v>96029</v>
      </c>
      <c r="B557" s="348" t="s">
        <v>15148</v>
      </c>
      <c r="C557" s="349" t="s">
        <v>330</v>
      </c>
      <c r="D557" s="483">
        <v>43.38</v>
      </c>
      <c r="E557" s="483">
        <v>43.38</v>
      </c>
    </row>
    <row r="558" spans="1:5" ht="30">
      <c r="A558" s="494">
        <v>96036</v>
      </c>
      <c r="B558" s="485" t="s">
        <v>15149</v>
      </c>
      <c r="C558" s="484" t="s">
        <v>330</v>
      </c>
      <c r="D558" s="486">
        <v>56.44</v>
      </c>
      <c r="E558" s="486">
        <v>56.44</v>
      </c>
    </row>
    <row r="559" spans="1:5" ht="45">
      <c r="A559" s="495">
        <v>5089</v>
      </c>
      <c r="B559" s="348" t="s">
        <v>8931</v>
      </c>
      <c r="C559" s="349" t="s">
        <v>57</v>
      </c>
      <c r="D559" s="483">
        <v>16.850000000000001</v>
      </c>
      <c r="E559" s="483">
        <v>16.850000000000001</v>
      </c>
    </row>
    <row r="560" spans="1:5" ht="30">
      <c r="A560" s="494">
        <v>5627</v>
      </c>
      <c r="B560" s="485" t="s">
        <v>15150</v>
      </c>
      <c r="C560" s="484" t="s">
        <v>57</v>
      </c>
      <c r="D560" s="486">
        <v>24.89</v>
      </c>
      <c r="E560" s="486">
        <v>24.89</v>
      </c>
    </row>
    <row r="561" spans="1:5" ht="30">
      <c r="A561" s="495">
        <v>5628</v>
      </c>
      <c r="B561" s="348" t="s">
        <v>15151</v>
      </c>
      <c r="C561" s="349" t="s">
        <v>57</v>
      </c>
      <c r="D561" s="483">
        <v>5.6</v>
      </c>
      <c r="E561" s="483">
        <v>5.6</v>
      </c>
    </row>
    <row r="562" spans="1:5" ht="30">
      <c r="A562" s="494">
        <v>5629</v>
      </c>
      <c r="B562" s="485" t="s">
        <v>15152</v>
      </c>
      <c r="C562" s="484" t="s">
        <v>57</v>
      </c>
      <c r="D562" s="486">
        <v>35.01</v>
      </c>
      <c r="E562" s="486">
        <v>35.01</v>
      </c>
    </row>
    <row r="563" spans="1:5" ht="30">
      <c r="A563" s="495">
        <v>5630</v>
      </c>
      <c r="B563" s="348" t="s">
        <v>15153</v>
      </c>
      <c r="C563" s="349" t="s">
        <v>57</v>
      </c>
      <c r="D563" s="483">
        <v>52.49</v>
      </c>
      <c r="E563" s="483">
        <v>52.49</v>
      </c>
    </row>
    <row r="564" spans="1:5" ht="30">
      <c r="A564" s="494">
        <v>5658</v>
      </c>
      <c r="B564" s="485" t="s">
        <v>15154</v>
      </c>
      <c r="C564" s="484" t="s">
        <v>57</v>
      </c>
      <c r="D564" s="486">
        <v>1.72</v>
      </c>
      <c r="E564" s="486">
        <v>1.72</v>
      </c>
    </row>
    <row r="565" spans="1:5" ht="45">
      <c r="A565" s="495">
        <v>5664</v>
      </c>
      <c r="B565" s="348" t="s">
        <v>15155</v>
      </c>
      <c r="C565" s="349" t="s">
        <v>57</v>
      </c>
      <c r="D565" s="483">
        <v>15.34</v>
      </c>
      <c r="E565" s="483">
        <v>15.34</v>
      </c>
    </row>
    <row r="566" spans="1:5" ht="45">
      <c r="A566" s="494">
        <v>5667</v>
      </c>
      <c r="B566" s="485" t="s">
        <v>15156</v>
      </c>
      <c r="C566" s="484" t="s">
        <v>57</v>
      </c>
      <c r="D566" s="486">
        <v>13.64</v>
      </c>
      <c r="E566" s="486">
        <v>13.64</v>
      </c>
    </row>
    <row r="567" spans="1:5" ht="45">
      <c r="A567" s="495">
        <v>5668</v>
      </c>
      <c r="B567" s="348" t="s">
        <v>15157</v>
      </c>
      <c r="C567" s="349" t="s">
        <v>57</v>
      </c>
      <c r="D567" s="483">
        <v>40.19</v>
      </c>
      <c r="E567" s="483">
        <v>40.19</v>
      </c>
    </row>
    <row r="568" spans="1:5" ht="45">
      <c r="A568" s="494">
        <v>5674</v>
      </c>
      <c r="B568" s="485" t="s">
        <v>15158</v>
      </c>
      <c r="C568" s="484" t="s">
        <v>57</v>
      </c>
      <c r="D568" s="486">
        <v>16.21</v>
      </c>
      <c r="E568" s="486">
        <v>16.21</v>
      </c>
    </row>
    <row r="569" spans="1:5" ht="30">
      <c r="A569" s="495">
        <v>5675</v>
      </c>
      <c r="B569" s="348" t="s">
        <v>15159</v>
      </c>
      <c r="C569" s="349" t="s">
        <v>57</v>
      </c>
      <c r="D569" s="483">
        <v>10.87</v>
      </c>
      <c r="E569" s="483">
        <v>10.87</v>
      </c>
    </row>
    <row r="570" spans="1:5" ht="30">
      <c r="A570" s="494">
        <v>5676</v>
      </c>
      <c r="B570" s="485" t="s">
        <v>15160</v>
      </c>
      <c r="C570" s="484" t="s">
        <v>57</v>
      </c>
      <c r="D570" s="486">
        <v>12.08</v>
      </c>
      <c r="E570" s="486">
        <v>12.08</v>
      </c>
    </row>
    <row r="571" spans="1:5" ht="30">
      <c r="A571" s="495">
        <v>5677</v>
      </c>
      <c r="B571" s="348" t="s">
        <v>15161</v>
      </c>
      <c r="C571" s="349" t="s">
        <v>57</v>
      </c>
      <c r="D571" s="483">
        <v>21.27</v>
      </c>
      <c r="E571" s="483">
        <v>21.27</v>
      </c>
    </row>
    <row r="572" spans="1:5" ht="45">
      <c r="A572" s="494">
        <v>5692</v>
      </c>
      <c r="B572" s="485" t="s">
        <v>15162</v>
      </c>
      <c r="C572" s="484" t="s">
        <v>57</v>
      </c>
      <c r="D572" s="486">
        <v>0.11</v>
      </c>
      <c r="E572" s="486">
        <v>0.11</v>
      </c>
    </row>
    <row r="573" spans="1:5" ht="45">
      <c r="A573" s="495">
        <v>5693</v>
      </c>
      <c r="B573" s="348" t="s">
        <v>15163</v>
      </c>
      <c r="C573" s="349" t="s">
        <v>57</v>
      </c>
      <c r="D573" s="483">
        <v>4.5599999999999996</v>
      </c>
      <c r="E573" s="483">
        <v>4.5599999999999996</v>
      </c>
    </row>
    <row r="574" spans="1:5" ht="45">
      <c r="A574" s="494">
        <v>5695</v>
      </c>
      <c r="B574" s="485" t="s">
        <v>15164</v>
      </c>
      <c r="C574" s="484" t="s">
        <v>57</v>
      </c>
      <c r="D574" s="486">
        <v>19.86</v>
      </c>
      <c r="E574" s="486">
        <v>19.86</v>
      </c>
    </row>
    <row r="575" spans="1:5" ht="30">
      <c r="A575" s="495">
        <v>5703</v>
      </c>
      <c r="B575" s="348" t="s">
        <v>10650</v>
      </c>
      <c r="C575" s="349" t="s">
        <v>57</v>
      </c>
      <c r="D575" s="483">
        <v>12.37</v>
      </c>
      <c r="E575" s="483">
        <v>12.37</v>
      </c>
    </row>
    <row r="576" spans="1:5" ht="45">
      <c r="A576" s="494">
        <v>5705</v>
      </c>
      <c r="B576" s="485" t="s">
        <v>15165</v>
      </c>
      <c r="C576" s="484" t="s">
        <v>57</v>
      </c>
      <c r="D576" s="486">
        <v>11.67</v>
      </c>
      <c r="E576" s="486">
        <v>11.67</v>
      </c>
    </row>
    <row r="577" spans="1:5" ht="30">
      <c r="A577" s="495">
        <v>5707</v>
      </c>
      <c r="B577" s="348" t="s">
        <v>15166</v>
      </c>
      <c r="C577" s="349" t="s">
        <v>57</v>
      </c>
      <c r="D577" s="483">
        <v>47</v>
      </c>
      <c r="E577" s="483">
        <v>47</v>
      </c>
    </row>
    <row r="578" spans="1:5" ht="30">
      <c r="A578" s="494">
        <v>5710</v>
      </c>
      <c r="B578" s="485" t="s">
        <v>15167</v>
      </c>
      <c r="C578" s="484" t="s">
        <v>57</v>
      </c>
      <c r="D578" s="486">
        <v>56.63</v>
      </c>
      <c r="E578" s="486">
        <v>56.63</v>
      </c>
    </row>
    <row r="579" spans="1:5" ht="30">
      <c r="A579" s="495">
        <v>5711</v>
      </c>
      <c r="B579" s="348" t="s">
        <v>15168</v>
      </c>
      <c r="C579" s="349" t="s">
        <v>57</v>
      </c>
      <c r="D579" s="483">
        <v>49.67</v>
      </c>
      <c r="E579" s="483">
        <v>49.67</v>
      </c>
    </row>
    <row r="580" spans="1:5" ht="30">
      <c r="A580" s="494">
        <v>5714</v>
      </c>
      <c r="B580" s="485" t="s">
        <v>10120</v>
      </c>
      <c r="C580" s="484" t="s">
        <v>57</v>
      </c>
      <c r="D580" s="486">
        <v>5.47</v>
      </c>
      <c r="E580" s="486">
        <v>5.47</v>
      </c>
    </row>
    <row r="581" spans="1:5" ht="30">
      <c r="A581" s="495">
        <v>5715</v>
      </c>
      <c r="B581" s="348" t="s">
        <v>10121</v>
      </c>
      <c r="C581" s="349" t="s">
        <v>57</v>
      </c>
      <c r="D581" s="483">
        <v>39.65</v>
      </c>
      <c r="E581" s="483">
        <v>39.65</v>
      </c>
    </row>
    <row r="582" spans="1:5" ht="30">
      <c r="A582" s="494">
        <v>5718</v>
      </c>
      <c r="B582" s="485" t="s">
        <v>15169</v>
      </c>
      <c r="C582" s="484" t="s">
        <v>57</v>
      </c>
      <c r="D582" s="486">
        <v>96.49</v>
      </c>
      <c r="E582" s="486">
        <v>96.49</v>
      </c>
    </row>
    <row r="583" spans="1:5" ht="30">
      <c r="A583" s="495">
        <v>5721</v>
      </c>
      <c r="B583" s="348" t="s">
        <v>10083</v>
      </c>
      <c r="C583" s="349" t="s">
        <v>57</v>
      </c>
      <c r="D583" s="483">
        <v>85.14</v>
      </c>
      <c r="E583" s="483">
        <v>85.14</v>
      </c>
    </row>
    <row r="584" spans="1:5" ht="30">
      <c r="A584" s="494">
        <v>5722</v>
      </c>
      <c r="B584" s="485" t="s">
        <v>15170</v>
      </c>
      <c r="C584" s="484" t="s">
        <v>57</v>
      </c>
      <c r="D584" s="486">
        <v>196.95</v>
      </c>
      <c r="E584" s="486">
        <v>196.95</v>
      </c>
    </row>
    <row r="585" spans="1:5" ht="30">
      <c r="A585" s="495">
        <v>5724</v>
      </c>
      <c r="B585" s="348" t="s">
        <v>15171</v>
      </c>
      <c r="C585" s="349" t="s">
        <v>57</v>
      </c>
      <c r="D585" s="483">
        <v>40.409999999999997</v>
      </c>
      <c r="E585" s="483">
        <v>40.409999999999997</v>
      </c>
    </row>
    <row r="586" spans="1:5" ht="45">
      <c r="A586" s="494">
        <v>5727</v>
      </c>
      <c r="B586" s="485" t="s">
        <v>15172</v>
      </c>
      <c r="C586" s="484" t="s">
        <v>57</v>
      </c>
      <c r="D586" s="486">
        <v>4.8899999999999997</v>
      </c>
      <c r="E586" s="486">
        <v>4.8899999999999997</v>
      </c>
    </row>
    <row r="587" spans="1:5" ht="30">
      <c r="A587" s="495">
        <v>5729</v>
      </c>
      <c r="B587" s="348" t="s">
        <v>15173</v>
      </c>
      <c r="C587" s="349" t="s">
        <v>57</v>
      </c>
      <c r="D587" s="483">
        <v>19.899999999999999</v>
      </c>
      <c r="E587" s="483">
        <v>19.899999999999999</v>
      </c>
    </row>
    <row r="588" spans="1:5" ht="30">
      <c r="A588" s="494">
        <v>5730</v>
      </c>
      <c r="B588" s="485" t="s">
        <v>15174</v>
      </c>
      <c r="C588" s="484" t="s">
        <v>57</v>
      </c>
      <c r="D588" s="486">
        <v>27.42</v>
      </c>
      <c r="E588" s="486">
        <v>27.42</v>
      </c>
    </row>
    <row r="589" spans="1:5" ht="30">
      <c r="A589" s="495">
        <v>5732</v>
      </c>
      <c r="B589" s="348" t="s">
        <v>15175</v>
      </c>
      <c r="C589" s="349" t="s">
        <v>57</v>
      </c>
      <c r="D589" s="483">
        <v>18.899999999999999</v>
      </c>
      <c r="E589" s="483">
        <v>18.899999999999999</v>
      </c>
    </row>
    <row r="590" spans="1:5" ht="45">
      <c r="A590" s="494">
        <v>5733</v>
      </c>
      <c r="B590" s="485" t="s">
        <v>15176</v>
      </c>
      <c r="C590" s="484" t="s">
        <v>57</v>
      </c>
      <c r="D590" s="486">
        <v>46.82</v>
      </c>
      <c r="E590" s="486">
        <v>46.82</v>
      </c>
    </row>
    <row r="591" spans="1:5" ht="45">
      <c r="A591" s="495">
        <v>5735</v>
      </c>
      <c r="B591" s="348" t="s">
        <v>15177</v>
      </c>
      <c r="C591" s="349" t="s">
        <v>57</v>
      </c>
      <c r="D591" s="483">
        <v>14.8</v>
      </c>
      <c r="E591" s="483">
        <v>14.8</v>
      </c>
    </row>
    <row r="592" spans="1:5" ht="60">
      <c r="A592" s="494">
        <v>5736</v>
      </c>
      <c r="B592" s="485" t="s">
        <v>15178</v>
      </c>
      <c r="C592" s="484" t="s">
        <v>57</v>
      </c>
      <c r="D592" s="486">
        <v>36.89</v>
      </c>
      <c r="E592" s="486">
        <v>36.89</v>
      </c>
    </row>
    <row r="593" spans="1:5" ht="45">
      <c r="A593" s="495">
        <v>5738</v>
      </c>
      <c r="B593" s="348" t="s">
        <v>15179</v>
      </c>
      <c r="C593" s="349" t="s">
        <v>57</v>
      </c>
      <c r="D593" s="483">
        <v>19.940000000000001</v>
      </c>
      <c r="E593" s="483">
        <v>19.940000000000001</v>
      </c>
    </row>
    <row r="594" spans="1:5" ht="45">
      <c r="A594" s="494">
        <v>5739</v>
      </c>
      <c r="B594" s="485" t="s">
        <v>15180</v>
      </c>
      <c r="C594" s="484" t="s">
        <v>57</v>
      </c>
      <c r="D594" s="486">
        <v>22.15</v>
      </c>
      <c r="E594" s="486">
        <v>22.15</v>
      </c>
    </row>
    <row r="595" spans="1:5" ht="45">
      <c r="A595" s="495">
        <v>5741</v>
      </c>
      <c r="B595" s="348" t="s">
        <v>15181</v>
      </c>
      <c r="C595" s="349" t="s">
        <v>57</v>
      </c>
      <c r="D595" s="483">
        <v>18.64</v>
      </c>
      <c r="E595" s="483">
        <v>18.64</v>
      </c>
    </row>
    <row r="596" spans="1:5" ht="45">
      <c r="A596" s="494">
        <v>5742</v>
      </c>
      <c r="B596" s="485" t="s">
        <v>15182</v>
      </c>
      <c r="C596" s="484" t="s">
        <v>57</v>
      </c>
      <c r="D596" s="486">
        <v>15.4</v>
      </c>
      <c r="E596" s="486">
        <v>15.4</v>
      </c>
    </row>
    <row r="597" spans="1:5" ht="45">
      <c r="A597" s="495">
        <v>5747</v>
      </c>
      <c r="B597" s="348" t="s">
        <v>15183</v>
      </c>
      <c r="C597" s="349" t="s">
        <v>57</v>
      </c>
      <c r="D597" s="483">
        <v>66.150000000000006</v>
      </c>
      <c r="E597" s="483">
        <v>66.150000000000006</v>
      </c>
    </row>
    <row r="598" spans="1:5" ht="30">
      <c r="A598" s="494">
        <v>5751</v>
      </c>
      <c r="B598" s="485" t="s">
        <v>3264</v>
      </c>
      <c r="C598" s="484" t="s">
        <v>57</v>
      </c>
      <c r="D598" s="486">
        <v>2.59</v>
      </c>
      <c r="E598" s="486">
        <v>2.59</v>
      </c>
    </row>
    <row r="599" spans="1:5" ht="30">
      <c r="A599" s="495">
        <v>5754</v>
      </c>
      <c r="B599" s="348" t="s">
        <v>15184</v>
      </c>
      <c r="C599" s="349" t="s">
        <v>57</v>
      </c>
      <c r="D599" s="483">
        <v>10.68</v>
      </c>
      <c r="E599" s="483">
        <v>10.68</v>
      </c>
    </row>
    <row r="600" spans="1:5" ht="45">
      <c r="A600" s="494">
        <v>5763</v>
      </c>
      <c r="B600" s="485" t="s">
        <v>15185</v>
      </c>
      <c r="C600" s="484" t="s">
        <v>57</v>
      </c>
      <c r="D600" s="486">
        <v>17.36</v>
      </c>
      <c r="E600" s="486">
        <v>17.36</v>
      </c>
    </row>
    <row r="601" spans="1:5" ht="30">
      <c r="A601" s="495">
        <v>5765</v>
      </c>
      <c r="B601" s="348" t="s">
        <v>5262</v>
      </c>
      <c r="C601" s="349" t="s">
        <v>57</v>
      </c>
      <c r="D601" s="483">
        <v>4.16</v>
      </c>
      <c r="E601" s="483">
        <v>4.16</v>
      </c>
    </row>
    <row r="602" spans="1:5" ht="30">
      <c r="A602" s="494">
        <v>5766</v>
      </c>
      <c r="B602" s="485" t="s">
        <v>5263</v>
      </c>
      <c r="C602" s="484" t="s">
        <v>57</v>
      </c>
      <c r="D602" s="486">
        <v>2.86</v>
      </c>
      <c r="E602" s="486">
        <v>2.86</v>
      </c>
    </row>
    <row r="603" spans="1:5" ht="30">
      <c r="A603" s="495">
        <v>5779</v>
      </c>
      <c r="B603" s="348" t="s">
        <v>7604</v>
      </c>
      <c r="C603" s="349" t="s">
        <v>57</v>
      </c>
      <c r="D603" s="483">
        <v>35.03</v>
      </c>
      <c r="E603" s="483">
        <v>35.03</v>
      </c>
    </row>
    <row r="604" spans="1:5" ht="30">
      <c r="A604" s="494">
        <v>5787</v>
      </c>
      <c r="B604" s="485" t="s">
        <v>15186</v>
      </c>
      <c r="C604" s="484" t="s">
        <v>57</v>
      </c>
      <c r="D604" s="486">
        <v>102.64</v>
      </c>
      <c r="E604" s="486">
        <v>102.64</v>
      </c>
    </row>
    <row r="605" spans="1:5" ht="30">
      <c r="A605" s="495">
        <v>5791</v>
      </c>
      <c r="B605" s="348" t="s">
        <v>15187</v>
      </c>
      <c r="C605" s="349" t="s">
        <v>57</v>
      </c>
      <c r="D605" s="483">
        <v>16.850000000000001</v>
      </c>
      <c r="E605" s="483">
        <v>16.850000000000001</v>
      </c>
    </row>
    <row r="606" spans="1:5" ht="45">
      <c r="A606" s="494">
        <v>5792</v>
      </c>
      <c r="B606" s="485" t="s">
        <v>15188</v>
      </c>
      <c r="C606" s="484" t="s">
        <v>57</v>
      </c>
      <c r="D606" s="486">
        <v>37.840000000000003</v>
      </c>
      <c r="E606" s="486">
        <v>37.840000000000003</v>
      </c>
    </row>
    <row r="607" spans="1:5" ht="30">
      <c r="A607" s="495">
        <v>5797</v>
      </c>
      <c r="B607" s="348" t="s">
        <v>3690</v>
      </c>
      <c r="C607" s="349" t="s">
        <v>57</v>
      </c>
      <c r="D607" s="483">
        <v>2.13</v>
      </c>
      <c r="E607" s="483">
        <v>2.13</v>
      </c>
    </row>
    <row r="608" spans="1:5" ht="45">
      <c r="A608" s="494">
        <v>5800</v>
      </c>
      <c r="B608" s="485" t="s">
        <v>15189</v>
      </c>
      <c r="C608" s="484" t="s">
        <v>57</v>
      </c>
      <c r="D608" s="486">
        <v>0.15</v>
      </c>
      <c r="E608" s="486">
        <v>0.15</v>
      </c>
    </row>
    <row r="609" spans="1:5" ht="30">
      <c r="A609" s="495">
        <v>7032</v>
      </c>
      <c r="B609" s="348" t="s">
        <v>15190</v>
      </c>
      <c r="C609" s="349" t="s">
        <v>57</v>
      </c>
      <c r="D609" s="483">
        <v>1.43</v>
      </c>
      <c r="E609" s="483">
        <v>1.43</v>
      </c>
    </row>
    <row r="610" spans="1:5" ht="30">
      <c r="A610" s="494">
        <v>7033</v>
      </c>
      <c r="B610" s="485" t="s">
        <v>15191</v>
      </c>
      <c r="C610" s="484" t="s">
        <v>57</v>
      </c>
      <c r="D610" s="486">
        <v>0.42</v>
      </c>
      <c r="E610" s="486">
        <v>0.42</v>
      </c>
    </row>
    <row r="611" spans="1:5" ht="30">
      <c r="A611" s="495">
        <v>7034</v>
      </c>
      <c r="B611" s="348" t="s">
        <v>15192</v>
      </c>
      <c r="C611" s="349" t="s">
        <v>57</v>
      </c>
      <c r="D611" s="483">
        <v>0.99</v>
      </c>
      <c r="E611" s="483">
        <v>0.99</v>
      </c>
    </row>
    <row r="612" spans="1:5" ht="30">
      <c r="A612" s="494">
        <v>7035</v>
      </c>
      <c r="B612" s="485" t="s">
        <v>15193</v>
      </c>
      <c r="C612" s="484" t="s">
        <v>57</v>
      </c>
      <c r="D612" s="486">
        <v>135.86000000000001</v>
      </c>
      <c r="E612" s="486">
        <v>135.86000000000001</v>
      </c>
    </row>
    <row r="613" spans="1:5" ht="30">
      <c r="A613" s="495">
        <v>7038</v>
      </c>
      <c r="B613" s="348" t="s">
        <v>15194</v>
      </c>
      <c r="C613" s="349" t="s">
        <v>57</v>
      </c>
      <c r="D613" s="483">
        <v>18.98</v>
      </c>
      <c r="E613" s="483">
        <v>18.98</v>
      </c>
    </row>
    <row r="614" spans="1:5" ht="30">
      <c r="A614" s="494">
        <v>7039</v>
      </c>
      <c r="B614" s="485" t="s">
        <v>15195</v>
      </c>
      <c r="C614" s="484" t="s">
        <v>57</v>
      </c>
      <c r="D614" s="486">
        <v>5.22</v>
      </c>
      <c r="E614" s="486">
        <v>5.22</v>
      </c>
    </row>
    <row r="615" spans="1:5" ht="30">
      <c r="A615" s="495">
        <v>7040</v>
      </c>
      <c r="B615" s="348" t="s">
        <v>15196</v>
      </c>
      <c r="C615" s="349" t="s">
        <v>57</v>
      </c>
      <c r="D615" s="483">
        <v>19.55</v>
      </c>
      <c r="E615" s="483">
        <v>19.55</v>
      </c>
    </row>
    <row r="616" spans="1:5" ht="45">
      <c r="A616" s="494">
        <v>7044</v>
      </c>
      <c r="B616" s="485" t="s">
        <v>15197</v>
      </c>
      <c r="C616" s="484" t="s">
        <v>57</v>
      </c>
      <c r="D616" s="486">
        <v>0.21</v>
      </c>
      <c r="E616" s="486">
        <v>0.21</v>
      </c>
    </row>
    <row r="617" spans="1:5" ht="45">
      <c r="A617" s="495">
        <v>7045</v>
      </c>
      <c r="B617" s="348" t="s">
        <v>15198</v>
      </c>
      <c r="C617" s="349" t="s">
        <v>57</v>
      </c>
      <c r="D617" s="483">
        <v>0.06</v>
      </c>
      <c r="E617" s="483">
        <v>0.06</v>
      </c>
    </row>
    <row r="618" spans="1:5" ht="45">
      <c r="A618" s="494">
        <v>7046</v>
      </c>
      <c r="B618" s="485" t="s">
        <v>15199</v>
      </c>
      <c r="C618" s="484" t="s">
        <v>57</v>
      </c>
      <c r="D618" s="486">
        <v>0.14000000000000001</v>
      </c>
      <c r="E618" s="486">
        <v>0.14000000000000001</v>
      </c>
    </row>
    <row r="619" spans="1:5" ht="45">
      <c r="A619" s="495">
        <v>7047</v>
      </c>
      <c r="B619" s="348" t="s">
        <v>15200</v>
      </c>
      <c r="C619" s="349" t="s">
        <v>57</v>
      </c>
      <c r="D619" s="483">
        <v>5.39</v>
      </c>
      <c r="E619" s="483">
        <v>5.39</v>
      </c>
    </row>
    <row r="620" spans="1:5" ht="45">
      <c r="A620" s="494">
        <v>7051</v>
      </c>
      <c r="B620" s="485" t="s">
        <v>15201</v>
      </c>
      <c r="C620" s="484" t="s">
        <v>57</v>
      </c>
      <c r="D620" s="486">
        <v>20.23</v>
      </c>
      <c r="E620" s="486">
        <v>20.23</v>
      </c>
    </row>
    <row r="621" spans="1:5" ht="45">
      <c r="A621" s="495">
        <v>7052</v>
      </c>
      <c r="B621" s="348" t="s">
        <v>15202</v>
      </c>
      <c r="C621" s="349" t="s">
        <v>57</v>
      </c>
      <c r="D621" s="483">
        <v>4.71</v>
      </c>
      <c r="E621" s="483">
        <v>4.71</v>
      </c>
    </row>
    <row r="622" spans="1:5" ht="45">
      <c r="A622" s="494">
        <v>7053</v>
      </c>
      <c r="B622" s="485" t="s">
        <v>15203</v>
      </c>
      <c r="C622" s="484" t="s">
        <v>57</v>
      </c>
      <c r="D622" s="486">
        <v>22.47</v>
      </c>
      <c r="E622" s="486">
        <v>22.47</v>
      </c>
    </row>
    <row r="623" spans="1:5" ht="45">
      <c r="A623" s="495">
        <v>7054</v>
      </c>
      <c r="B623" s="348" t="s">
        <v>15204</v>
      </c>
      <c r="C623" s="349" t="s">
        <v>57</v>
      </c>
      <c r="D623" s="483">
        <v>59.12</v>
      </c>
      <c r="E623" s="483">
        <v>59.12</v>
      </c>
    </row>
    <row r="624" spans="1:5" ht="45">
      <c r="A624" s="494">
        <v>7058</v>
      </c>
      <c r="B624" s="485" t="s">
        <v>15205</v>
      </c>
      <c r="C624" s="484" t="s">
        <v>57</v>
      </c>
      <c r="D624" s="486">
        <v>13.5</v>
      </c>
      <c r="E624" s="486">
        <v>13.5</v>
      </c>
    </row>
    <row r="625" spans="1:5" ht="45">
      <c r="A625" s="495">
        <v>7059</v>
      </c>
      <c r="B625" s="348" t="s">
        <v>15206</v>
      </c>
      <c r="C625" s="349" t="s">
        <v>57</v>
      </c>
      <c r="D625" s="483">
        <v>3.19</v>
      </c>
      <c r="E625" s="483">
        <v>3.19</v>
      </c>
    </row>
    <row r="626" spans="1:5" ht="45">
      <c r="A626" s="494">
        <v>7060</v>
      </c>
      <c r="B626" s="485" t="s">
        <v>15207</v>
      </c>
      <c r="C626" s="484" t="s">
        <v>57</v>
      </c>
      <c r="D626" s="486">
        <v>18.97</v>
      </c>
      <c r="E626" s="486">
        <v>18.97</v>
      </c>
    </row>
    <row r="627" spans="1:5" ht="45">
      <c r="A627" s="495">
        <v>7061</v>
      </c>
      <c r="B627" s="348" t="s">
        <v>15208</v>
      </c>
      <c r="C627" s="349" t="s">
        <v>57</v>
      </c>
      <c r="D627" s="483">
        <v>64.73</v>
      </c>
      <c r="E627" s="483">
        <v>64.73</v>
      </c>
    </row>
    <row r="628" spans="1:5" ht="30">
      <c r="A628" s="494">
        <v>7063</v>
      </c>
      <c r="B628" s="485" t="s">
        <v>10112</v>
      </c>
      <c r="C628" s="484" t="s">
        <v>57</v>
      </c>
      <c r="D628" s="486">
        <v>6.82</v>
      </c>
      <c r="E628" s="486">
        <v>6.82</v>
      </c>
    </row>
    <row r="629" spans="1:5" ht="30">
      <c r="A629" s="495">
        <v>7064</v>
      </c>
      <c r="B629" s="348" t="s">
        <v>10113</v>
      </c>
      <c r="C629" s="349" t="s">
        <v>57</v>
      </c>
      <c r="D629" s="483">
        <v>2.2999999999999998</v>
      </c>
      <c r="E629" s="483">
        <v>2.2999999999999998</v>
      </c>
    </row>
    <row r="630" spans="1:5" ht="30">
      <c r="A630" s="494">
        <v>7065</v>
      </c>
      <c r="B630" s="485" t="s">
        <v>10114</v>
      </c>
      <c r="C630" s="484" t="s">
        <v>57</v>
      </c>
      <c r="D630" s="486">
        <v>7.47</v>
      </c>
      <c r="E630" s="486">
        <v>7.47</v>
      </c>
    </row>
    <row r="631" spans="1:5" ht="30">
      <c r="A631" s="495">
        <v>7066</v>
      </c>
      <c r="B631" s="348" t="s">
        <v>10115</v>
      </c>
      <c r="C631" s="349" t="s">
        <v>57</v>
      </c>
      <c r="D631" s="483">
        <v>56.93</v>
      </c>
      <c r="E631" s="483">
        <v>56.93</v>
      </c>
    </row>
    <row r="632" spans="1:5" ht="45">
      <c r="A632" s="494">
        <v>53786</v>
      </c>
      <c r="B632" s="485" t="s">
        <v>15209</v>
      </c>
      <c r="C632" s="484" t="s">
        <v>57</v>
      </c>
      <c r="D632" s="486">
        <v>43.52</v>
      </c>
      <c r="E632" s="486">
        <v>43.52</v>
      </c>
    </row>
    <row r="633" spans="1:5" ht="45">
      <c r="A633" s="495">
        <v>53788</v>
      </c>
      <c r="B633" s="348" t="s">
        <v>15210</v>
      </c>
      <c r="C633" s="349" t="s">
        <v>57</v>
      </c>
      <c r="D633" s="483">
        <v>37.840000000000003</v>
      </c>
      <c r="E633" s="483">
        <v>37.840000000000003</v>
      </c>
    </row>
    <row r="634" spans="1:5" ht="45">
      <c r="A634" s="494">
        <v>53792</v>
      </c>
      <c r="B634" s="485" t="s">
        <v>15211</v>
      </c>
      <c r="C634" s="484" t="s">
        <v>57</v>
      </c>
      <c r="D634" s="486">
        <v>80.48</v>
      </c>
      <c r="E634" s="486">
        <v>80.48</v>
      </c>
    </row>
    <row r="635" spans="1:5" ht="30">
      <c r="A635" s="495">
        <v>53794</v>
      </c>
      <c r="B635" s="348" t="s">
        <v>10649</v>
      </c>
      <c r="C635" s="349" t="s">
        <v>57</v>
      </c>
      <c r="D635" s="483">
        <v>35.35</v>
      </c>
      <c r="E635" s="483">
        <v>35.35</v>
      </c>
    </row>
    <row r="636" spans="1:5" ht="45">
      <c r="A636" s="494">
        <v>53797</v>
      </c>
      <c r="B636" s="485" t="s">
        <v>15212</v>
      </c>
      <c r="C636" s="484" t="s">
        <v>57</v>
      </c>
      <c r="D636" s="486">
        <v>66.150000000000006</v>
      </c>
      <c r="E636" s="486">
        <v>66.150000000000006</v>
      </c>
    </row>
    <row r="637" spans="1:5" ht="30">
      <c r="A637" s="495">
        <v>53804</v>
      </c>
      <c r="B637" s="348" t="s">
        <v>15213</v>
      </c>
      <c r="C637" s="349" t="s">
        <v>57</v>
      </c>
      <c r="D637" s="483">
        <v>1.82</v>
      </c>
      <c r="E637" s="483">
        <v>1.82</v>
      </c>
    </row>
    <row r="638" spans="1:5" ht="30">
      <c r="A638" s="494">
        <v>53806</v>
      </c>
      <c r="B638" s="485" t="s">
        <v>15214</v>
      </c>
      <c r="C638" s="484" t="s">
        <v>57</v>
      </c>
      <c r="D638" s="486">
        <v>52.07</v>
      </c>
      <c r="E638" s="486">
        <v>52.07</v>
      </c>
    </row>
    <row r="639" spans="1:5" ht="30">
      <c r="A639" s="495">
        <v>53810</v>
      </c>
      <c r="B639" s="348" t="s">
        <v>10082</v>
      </c>
      <c r="C639" s="349" t="s">
        <v>57</v>
      </c>
      <c r="D639" s="483">
        <v>52.4</v>
      </c>
      <c r="E639" s="483">
        <v>52.4</v>
      </c>
    </row>
    <row r="640" spans="1:5" ht="30">
      <c r="A640" s="494">
        <v>53814</v>
      </c>
      <c r="B640" s="485" t="s">
        <v>15215</v>
      </c>
      <c r="C640" s="484" t="s">
        <v>57</v>
      </c>
      <c r="D640" s="486">
        <v>171.63</v>
      </c>
      <c r="E640" s="486">
        <v>171.63</v>
      </c>
    </row>
    <row r="641" spans="1:5" ht="30">
      <c r="A641" s="495">
        <v>53817</v>
      </c>
      <c r="B641" s="348" t="s">
        <v>15216</v>
      </c>
      <c r="C641" s="349" t="s">
        <v>57</v>
      </c>
      <c r="D641" s="483">
        <v>56.74</v>
      </c>
      <c r="E641" s="483">
        <v>56.74</v>
      </c>
    </row>
    <row r="642" spans="1:5" ht="45">
      <c r="A642" s="494">
        <v>53818</v>
      </c>
      <c r="B642" s="485" t="s">
        <v>15217</v>
      </c>
      <c r="C642" s="484" t="s">
        <v>57</v>
      </c>
      <c r="D642" s="486">
        <v>4.4000000000000004</v>
      </c>
      <c r="E642" s="486">
        <v>4.4000000000000004</v>
      </c>
    </row>
    <row r="643" spans="1:5" ht="30">
      <c r="A643" s="495">
        <v>53823</v>
      </c>
      <c r="B643" s="348" t="s">
        <v>15218</v>
      </c>
      <c r="C643" s="349" t="s">
        <v>57</v>
      </c>
      <c r="D643" s="483">
        <v>18.36</v>
      </c>
      <c r="E643" s="483">
        <v>18.36</v>
      </c>
    </row>
    <row r="644" spans="1:5" ht="45">
      <c r="A644" s="494">
        <v>53827</v>
      </c>
      <c r="B644" s="485" t="s">
        <v>3265</v>
      </c>
      <c r="C644" s="484" t="s">
        <v>57</v>
      </c>
      <c r="D644" s="486">
        <v>64.73</v>
      </c>
      <c r="E644" s="486">
        <v>64.73</v>
      </c>
    </row>
    <row r="645" spans="1:5" ht="45">
      <c r="A645" s="495">
        <v>53829</v>
      </c>
      <c r="B645" s="348" t="s">
        <v>15219</v>
      </c>
      <c r="C645" s="349" t="s">
        <v>57</v>
      </c>
      <c r="D645" s="483">
        <v>66.150000000000006</v>
      </c>
      <c r="E645" s="483">
        <v>66.150000000000006</v>
      </c>
    </row>
    <row r="646" spans="1:5" ht="45">
      <c r="A646" s="494">
        <v>53831</v>
      </c>
      <c r="B646" s="485" t="s">
        <v>15220</v>
      </c>
      <c r="C646" s="484" t="s">
        <v>57</v>
      </c>
      <c r="D646" s="486">
        <v>80.48</v>
      </c>
      <c r="E646" s="486">
        <v>80.48</v>
      </c>
    </row>
    <row r="647" spans="1:5" ht="30">
      <c r="A647" s="495">
        <v>53840</v>
      </c>
      <c r="B647" s="348" t="s">
        <v>15221</v>
      </c>
      <c r="C647" s="349" t="s">
        <v>57</v>
      </c>
      <c r="D647" s="483">
        <v>1.71</v>
      </c>
      <c r="E647" s="483">
        <v>1.71</v>
      </c>
    </row>
    <row r="648" spans="1:5" ht="30">
      <c r="A648" s="494">
        <v>53841</v>
      </c>
      <c r="B648" s="485" t="s">
        <v>15222</v>
      </c>
      <c r="C648" s="484" t="s">
        <v>57</v>
      </c>
      <c r="D648" s="486">
        <v>1.35</v>
      </c>
      <c r="E648" s="486">
        <v>1.35</v>
      </c>
    </row>
    <row r="649" spans="1:5" ht="30">
      <c r="A649" s="495">
        <v>53849</v>
      </c>
      <c r="B649" s="348" t="s">
        <v>15223</v>
      </c>
      <c r="C649" s="349" t="s">
        <v>57</v>
      </c>
      <c r="D649" s="483">
        <v>70.94</v>
      </c>
      <c r="E649" s="483">
        <v>70.94</v>
      </c>
    </row>
    <row r="650" spans="1:5" ht="30">
      <c r="A650" s="494">
        <v>53857</v>
      </c>
      <c r="B650" s="485" t="s">
        <v>15224</v>
      </c>
      <c r="C650" s="484" t="s">
        <v>57</v>
      </c>
      <c r="D650" s="486">
        <v>25.96</v>
      </c>
      <c r="E650" s="486">
        <v>25.96</v>
      </c>
    </row>
    <row r="651" spans="1:5" ht="30">
      <c r="A651" s="495">
        <v>53858</v>
      </c>
      <c r="B651" s="348" t="s">
        <v>15225</v>
      </c>
      <c r="C651" s="349" t="s">
        <v>57</v>
      </c>
      <c r="D651" s="483">
        <v>60.54</v>
      </c>
      <c r="E651" s="483">
        <v>60.54</v>
      </c>
    </row>
    <row r="652" spans="1:5" ht="30">
      <c r="A652" s="494">
        <v>53861</v>
      </c>
      <c r="B652" s="485" t="s">
        <v>15226</v>
      </c>
      <c r="C652" s="484" t="s">
        <v>57</v>
      </c>
      <c r="D652" s="486">
        <v>36</v>
      </c>
      <c r="E652" s="486">
        <v>36</v>
      </c>
    </row>
    <row r="653" spans="1:5" ht="30">
      <c r="A653" s="495">
        <v>53863</v>
      </c>
      <c r="B653" s="348" t="s">
        <v>15227</v>
      </c>
      <c r="C653" s="349" t="s">
        <v>57</v>
      </c>
      <c r="D653" s="483">
        <v>0.81</v>
      </c>
      <c r="E653" s="483">
        <v>0.81</v>
      </c>
    </row>
    <row r="654" spans="1:5" ht="30">
      <c r="A654" s="494">
        <v>53865</v>
      </c>
      <c r="B654" s="485" t="s">
        <v>15228</v>
      </c>
      <c r="C654" s="484" t="s">
        <v>57</v>
      </c>
      <c r="D654" s="486">
        <v>32.33</v>
      </c>
      <c r="E654" s="486">
        <v>32.33</v>
      </c>
    </row>
    <row r="655" spans="1:5" ht="45">
      <c r="A655" s="495">
        <v>53866</v>
      </c>
      <c r="B655" s="348" t="s">
        <v>15229</v>
      </c>
      <c r="C655" s="349" t="s">
        <v>57</v>
      </c>
      <c r="D655" s="483">
        <v>1.22</v>
      </c>
      <c r="E655" s="483">
        <v>1.22</v>
      </c>
    </row>
    <row r="656" spans="1:5" ht="45">
      <c r="A656" s="494">
        <v>53882</v>
      </c>
      <c r="B656" s="485" t="s">
        <v>15230</v>
      </c>
      <c r="C656" s="484" t="s">
        <v>57</v>
      </c>
      <c r="D656" s="486">
        <v>13.47</v>
      </c>
      <c r="E656" s="486">
        <v>13.47</v>
      </c>
    </row>
    <row r="657" spans="1:5" ht="45">
      <c r="A657" s="495">
        <v>55263</v>
      </c>
      <c r="B657" s="348" t="s">
        <v>15231</v>
      </c>
      <c r="C657" s="349" t="s">
        <v>57</v>
      </c>
      <c r="D657" s="483">
        <v>52.49</v>
      </c>
      <c r="E657" s="483">
        <v>52.49</v>
      </c>
    </row>
    <row r="658" spans="1:5" ht="30">
      <c r="A658" s="494">
        <v>73303</v>
      </c>
      <c r="B658" s="485" t="s">
        <v>15232</v>
      </c>
      <c r="C658" s="484" t="s">
        <v>57</v>
      </c>
      <c r="D658" s="486">
        <v>4.03</v>
      </c>
      <c r="E658" s="486">
        <v>4.03</v>
      </c>
    </row>
    <row r="659" spans="1:5" ht="30">
      <c r="A659" s="495">
        <v>73307</v>
      </c>
      <c r="B659" s="348" t="s">
        <v>15233</v>
      </c>
      <c r="C659" s="349" t="s">
        <v>57</v>
      </c>
      <c r="D659" s="483">
        <v>2.96</v>
      </c>
      <c r="E659" s="483">
        <v>2.96</v>
      </c>
    </row>
    <row r="660" spans="1:5" ht="45">
      <c r="A660" s="494">
        <v>73309</v>
      </c>
      <c r="B660" s="485" t="s">
        <v>8929</v>
      </c>
      <c r="C660" s="484" t="s">
        <v>57</v>
      </c>
      <c r="D660" s="486">
        <v>15.17</v>
      </c>
      <c r="E660" s="486">
        <v>15.17</v>
      </c>
    </row>
    <row r="661" spans="1:5" ht="30">
      <c r="A661" s="495">
        <v>73311</v>
      </c>
      <c r="B661" s="348" t="s">
        <v>5889</v>
      </c>
      <c r="C661" s="349" t="s">
        <v>57</v>
      </c>
      <c r="D661" s="483">
        <v>109.26</v>
      </c>
      <c r="E661" s="483">
        <v>109.26</v>
      </c>
    </row>
    <row r="662" spans="1:5" ht="45">
      <c r="A662" s="494">
        <v>73313</v>
      </c>
      <c r="B662" s="485" t="s">
        <v>8930</v>
      </c>
      <c r="C662" s="484" t="s">
        <v>57</v>
      </c>
      <c r="D662" s="486">
        <v>3.53</v>
      </c>
      <c r="E662" s="486">
        <v>3.53</v>
      </c>
    </row>
    <row r="663" spans="1:5" ht="45">
      <c r="A663" s="495">
        <v>73315</v>
      </c>
      <c r="B663" s="348" t="s">
        <v>8932</v>
      </c>
      <c r="C663" s="349" t="s">
        <v>57</v>
      </c>
      <c r="D663" s="483">
        <v>37.840000000000003</v>
      </c>
      <c r="E663" s="483">
        <v>37.840000000000003</v>
      </c>
    </row>
    <row r="664" spans="1:5" ht="45">
      <c r="A664" s="494">
        <v>73335</v>
      </c>
      <c r="B664" s="485" t="s">
        <v>15234</v>
      </c>
      <c r="C664" s="484" t="s">
        <v>57</v>
      </c>
      <c r="D664" s="486">
        <v>13.83</v>
      </c>
      <c r="E664" s="486">
        <v>13.83</v>
      </c>
    </row>
    <row r="665" spans="1:5" ht="45">
      <c r="A665" s="495">
        <v>73340</v>
      </c>
      <c r="B665" s="348" t="s">
        <v>15235</v>
      </c>
      <c r="C665" s="349" t="s">
        <v>57</v>
      </c>
      <c r="D665" s="483">
        <v>64.73</v>
      </c>
      <c r="E665" s="483">
        <v>64.73</v>
      </c>
    </row>
    <row r="666" spans="1:5" ht="30">
      <c r="A666" s="494">
        <v>73343</v>
      </c>
      <c r="B666" s="485" t="s">
        <v>15236</v>
      </c>
      <c r="C666" s="484" t="s">
        <v>57</v>
      </c>
      <c r="D666" s="486">
        <v>0.39</v>
      </c>
      <c r="E666" s="486">
        <v>0.39</v>
      </c>
    </row>
    <row r="667" spans="1:5" ht="45">
      <c r="A667" s="495">
        <v>83361</v>
      </c>
      <c r="B667" s="348" t="s">
        <v>15237</v>
      </c>
      <c r="C667" s="349" t="s">
        <v>57</v>
      </c>
      <c r="D667" s="483">
        <v>22.2</v>
      </c>
      <c r="E667" s="483">
        <v>22.2</v>
      </c>
    </row>
    <row r="668" spans="1:5" ht="30">
      <c r="A668" s="494">
        <v>83761</v>
      </c>
      <c r="B668" s="485" t="s">
        <v>15238</v>
      </c>
      <c r="C668" s="484" t="s">
        <v>57</v>
      </c>
      <c r="D668" s="486">
        <v>5.99</v>
      </c>
      <c r="E668" s="486">
        <v>5.99</v>
      </c>
    </row>
    <row r="669" spans="1:5" ht="30">
      <c r="A669" s="495">
        <v>83762</v>
      </c>
      <c r="B669" s="348" t="s">
        <v>15239</v>
      </c>
      <c r="C669" s="349" t="s">
        <v>57</v>
      </c>
      <c r="D669" s="483">
        <v>3.94</v>
      </c>
      <c r="E669" s="483">
        <v>3.94</v>
      </c>
    </row>
    <row r="670" spans="1:5" ht="30">
      <c r="A670" s="494">
        <v>83763</v>
      </c>
      <c r="B670" s="485" t="s">
        <v>15240</v>
      </c>
      <c r="C670" s="484" t="s">
        <v>57</v>
      </c>
      <c r="D670" s="486">
        <v>30.81</v>
      </c>
      <c r="E670" s="486">
        <v>30.81</v>
      </c>
    </row>
    <row r="671" spans="1:5" ht="30">
      <c r="A671" s="495">
        <v>83764</v>
      </c>
      <c r="B671" s="348" t="s">
        <v>15241</v>
      </c>
      <c r="C671" s="349" t="s">
        <v>57</v>
      </c>
      <c r="D671" s="483">
        <v>1.51</v>
      </c>
      <c r="E671" s="483">
        <v>1.51</v>
      </c>
    </row>
    <row r="672" spans="1:5" ht="30">
      <c r="A672" s="494">
        <v>87026</v>
      </c>
      <c r="B672" s="485" t="s">
        <v>15242</v>
      </c>
      <c r="C672" s="484" t="s">
        <v>57</v>
      </c>
      <c r="D672" s="486">
        <v>0.59</v>
      </c>
      <c r="E672" s="486">
        <v>0.59</v>
      </c>
    </row>
    <row r="673" spans="1:5" ht="30">
      <c r="A673" s="495">
        <v>87441</v>
      </c>
      <c r="B673" s="348" t="s">
        <v>2504</v>
      </c>
      <c r="C673" s="349" t="s">
        <v>57</v>
      </c>
      <c r="D673" s="483">
        <v>0.28999999999999998</v>
      </c>
      <c r="E673" s="483">
        <v>0.28999999999999998</v>
      </c>
    </row>
    <row r="674" spans="1:5" ht="30">
      <c r="A674" s="494">
        <v>87442</v>
      </c>
      <c r="B674" s="485" t="s">
        <v>2505</v>
      </c>
      <c r="C674" s="484" t="s">
        <v>57</v>
      </c>
      <c r="D674" s="486">
        <v>0.06</v>
      </c>
      <c r="E674" s="486">
        <v>0.06</v>
      </c>
    </row>
    <row r="675" spans="1:5" ht="30">
      <c r="A675" s="495">
        <v>87443</v>
      </c>
      <c r="B675" s="348" t="s">
        <v>2506</v>
      </c>
      <c r="C675" s="349" t="s">
        <v>57</v>
      </c>
      <c r="D675" s="483">
        <v>0.24</v>
      </c>
      <c r="E675" s="483">
        <v>0.24</v>
      </c>
    </row>
    <row r="676" spans="1:5" ht="30">
      <c r="A676" s="494">
        <v>87444</v>
      </c>
      <c r="B676" s="485" t="s">
        <v>15243</v>
      </c>
      <c r="C676" s="484" t="s">
        <v>57</v>
      </c>
      <c r="D676" s="486">
        <v>2.37</v>
      </c>
      <c r="E676" s="486">
        <v>2.37</v>
      </c>
    </row>
    <row r="677" spans="1:5" ht="30">
      <c r="A677" s="495">
        <v>88387</v>
      </c>
      <c r="B677" s="348" t="s">
        <v>15244</v>
      </c>
      <c r="C677" s="349" t="s">
        <v>57</v>
      </c>
      <c r="D677" s="483">
        <v>0.56000000000000005</v>
      </c>
      <c r="E677" s="483">
        <v>0.56000000000000005</v>
      </c>
    </row>
    <row r="678" spans="1:5" ht="30">
      <c r="A678" s="494">
        <v>88389</v>
      </c>
      <c r="B678" s="485" t="s">
        <v>15245</v>
      </c>
      <c r="C678" s="484" t="s">
        <v>57</v>
      </c>
      <c r="D678" s="486">
        <v>0.13</v>
      </c>
      <c r="E678" s="486">
        <v>0.13</v>
      </c>
    </row>
    <row r="679" spans="1:5" ht="30">
      <c r="A679" s="495">
        <v>88390</v>
      </c>
      <c r="B679" s="348" t="s">
        <v>15246</v>
      </c>
      <c r="C679" s="349" t="s">
        <v>57</v>
      </c>
      <c r="D679" s="483">
        <v>0.47</v>
      </c>
      <c r="E679" s="483">
        <v>0.47</v>
      </c>
    </row>
    <row r="680" spans="1:5" ht="30">
      <c r="A680" s="494">
        <v>88391</v>
      </c>
      <c r="B680" s="485" t="s">
        <v>15247</v>
      </c>
      <c r="C680" s="484" t="s">
        <v>57</v>
      </c>
      <c r="D680" s="486">
        <v>1.62</v>
      </c>
      <c r="E680" s="486">
        <v>1.62</v>
      </c>
    </row>
    <row r="681" spans="1:5" ht="30">
      <c r="A681" s="495">
        <v>88394</v>
      </c>
      <c r="B681" s="348" t="s">
        <v>15248</v>
      </c>
      <c r="C681" s="349" t="s">
        <v>57</v>
      </c>
      <c r="D681" s="483">
        <v>0.67</v>
      </c>
      <c r="E681" s="483">
        <v>0.67</v>
      </c>
    </row>
    <row r="682" spans="1:5" ht="30">
      <c r="A682" s="494">
        <v>88395</v>
      </c>
      <c r="B682" s="485" t="s">
        <v>15249</v>
      </c>
      <c r="C682" s="484" t="s">
        <v>57</v>
      </c>
      <c r="D682" s="486">
        <v>0.15</v>
      </c>
      <c r="E682" s="486">
        <v>0.15</v>
      </c>
    </row>
    <row r="683" spans="1:5" ht="30">
      <c r="A683" s="495">
        <v>88396</v>
      </c>
      <c r="B683" s="348" t="s">
        <v>15250</v>
      </c>
      <c r="C683" s="349" t="s">
        <v>57</v>
      </c>
      <c r="D683" s="483">
        <v>0.56000000000000005</v>
      </c>
      <c r="E683" s="483">
        <v>0.56000000000000005</v>
      </c>
    </row>
    <row r="684" spans="1:5" ht="30">
      <c r="A684" s="494">
        <v>88397</v>
      </c>
      <c r="B684" s="485" t="s">
        <v>15251</v>
      </c>
      <c r="C684" s="484" t="s">
        <v>57</v>
      </c>
      <c r="D684" s="486">
        <v>2.4300000000000002</v>
      </c>
      <c r="E684" s="486">
        <v>2.4300000000000002</v>
      </c>
    </row>
    <row r="685" spans="1:5" ht="30">
      <c r="A685" s="495">
        <v>88400</v>
      </c>
      <c r="B685" s="348" t="s">
        <v>15252</v>
      </c>
      <c r="C685" s="349" t="s">
        <v>57</v>
      </c>
      <c r="D685" s="483">
        <v>0.53</v>
      </c>
      <c r="E685" s="483">
        <v>0.53</v>
      </c>
    </row>
    <row r="686" spans="1:5" ht="30">
      <c r="A686" s="494">
        <v>88401</v>
      </c>
      <c r="B686" s="485" t="s">
        <v>15253</v>
      </c>
      <c r="C686" s="484" t="s">
        <v>57</v>
      </c>
      <c r="D686" s="486">
        <v>0.12</v>
      </c>
      <c r="E686" s="486">
        <v>0.12</v>
      </c>
    </row>
    <row r="687" spans="1:5" ht="30">
      <c r="A687" s="495">
        <v>88402</v>
      </c>
      <c r="B687" s="348" t="s">
        <v>15254</v>
      </c>
      <c r="C687" s="349" t="s">
        <v>57</v>
      </c>
      <c r="D687" s="483">
        <v>0.44</v>
      </c>
      <c r="E687" s="483">
        <v>0.44</v>
      </c>
    </row>
    <row r="688" spans="1:5" ht="30">
      <c r="A688" s="494">
        <v>88403</v>
      </c>
      <c r="B688" s="485" t="s">
        <v>15255</v>
      </c>
      <c r="C688" s="484" t="s">
        <v>57</v>
      </c>
      <c r="D688" s="486">
        <v>0.97</v>
      </c>
      <c r="E688" s="486">
        <v>0.97</v>
      </c>
    </row>
    <row r="689" spans="1:5" ht="30">
      <c r="A689" s="495">
        <v>88419</v>
      </c>
      <c r="B689" s="348" t="s">
        <v>8431</v>
      </c>
      <c r="C689" s="349" t="s">
        <v>57</v>
      </c>
      <c r="D689" s="483">
        <v>3.49</v>
      </c>
      <c r="E689" s="483">
        <v>3.49</v>
      </c>
    </row>
    <row r="690" spans="1:5" ht="30">
      <c r="A690" s="494">
        <v>88422</v>
      </c>
      <c r="B690" s="485" t="s">
        <v>8432</v>
      </c>
      <c r="C690" s="484" t="s">
        <v>57</v>
      </c>
      <c r="D690" s="486">
        <v>0.81</v>
      </c>
      <c r="E690" s="486">
        <v>0.81</v>
      </c>
    </row>
    <row r="691" spans="1:5" ht="30">
      <c r="A691" s="495">
        <v>88425</v>
      </c>
      <c r="B691" s="348" t="s">
        <v>8433</v>
      </c>
      <c r="C691" s="349" t="s">
        <v>57</v>
      </c>
      <c r="D691" s="483">
        <v>2.9</v>
      </c>
      <c r="E691" s="483">
        <v>2.9</v>
      </c>
    </row>
    <row r="692" spans="1:5" ht="30">
      <c r="A692" s="494">
        <v>88427</v>
      </c>
      <c r="B692" s="485" t="s">
        <v>15256</v>
      </c>
      <c r="C692" s="484" t="s">
        <v>57</v>
      </c>
      <c r="D692" s="486">
        <v>2.4700000000000002</v>
      </c>
      <c r="E692" s="486">
        <v>2.4700000000000002</v>
      </c>
    </row>
    <row r="693" spans="1:5" ht="30">
      <c r="A693" s="495">
        <v>88434</v>
      </c>
      <c r="B693" s="348" t="s">
        <v>15257</v>
      </c>
      <c r="C693" s="349" t="s">
        <v>57</v>
      </c>
      <c r="D693" s="483">
        <v>4.62</v>
      </c>
      <c r="E693" s="483">
        <v>4.62</v>
      </c>
    </row>
    <row r="694" spans="1:5" ht="30">
      <c r="A694" s="494">
        <v>88435</v>
      </c>
      <c r="B694" s="485" t="s">
        <v>15258</v>
      </c>
      <c r="C694" s="484" t="s">
        <v>57</v>
      </c>
      <c r="D694" s="486">
        <v>1.07</v>
      </c>
      <c r="E694" s="486">
        <v>1.07</v>
      </c>
    </row>
    <row r="695" spans="1:5" ht="30">
      <c r="A695" s="495">
        <v>88436</v>
      </c>
      <c r="B695" s="348" t="s">
        <v>15259</v>
      </c>
      <c r="C695" s="349" t="s">
        <v>57</v>
      </c>
      <c r="D695" s="483">
        <v>3.85</v>
      </c>
      <c r="E695" s="483">
        <v>3.85</v>
      </c>
    </row>
    <row r="696" spans="1:5" ht="30">
      <c r="A696" s="494">
        <v>88437</v>
      </c>
      <c r="B696" s="485" t="s">
        <v>15260</v>
      </c>
      <c r="C696" s="484" t="s">
        <v>57</v>
      </c>
      <c r="D696" s="486">
        <v>2.4700000000000002</v>
      </c>
      <c r="E696" s="486">
        <v>2.4700000000000002</v>
      </c>
    </row>
    <row r="697" spans="1:5" ht="30">
      <c r="A697" s="495">
        <v>88569</v>
      </c>
      <c r="B697" s="348" t="s">
        <v>5260</v>
      </c>
      <c r="C697" s="349" t="s">
        <v>57</v>
      </c>
      <c r="D697" s="483">
        <v>3.32</v>
      </c>
      <c r="E697" s="483">
        <v>3.32</v>
      </c>
    </row>
    <row r="698" spans="1:5" ht="30">
      <c r="A698" s="494">
        <v>88570</v>
      </c>
      <c r="B698" s="485" t="s">
        <v>5261</v>
      </c>
      <c r="C698" s="484" t="s">
        <v>57</v>
      </c>
      <c r="D698" s="486">
        <v>1.37</v>
      </c>
      <c r="E698" s="486">
        <v>1.37</v>
      </c>
    </row>
    <row r="699" spans="1:5" ht="30">
      <c r="A699" s="495">
        <v>88826</v>
      </c>
      <c r="B699" s="348" t="s">
        <v>15261</v>
      </c>
      <c r="C699" s="349" t="s">
        <v>57</v>
      </c>
      <c r="D699" s="483">
        <v>0.21</v>
      </c>
      <c r="E699" s="483">
        <v>0.21</v>
      </c>
    </row>
    <row r="700" spans="1:5" ht="30">
      <c r="A700" s="494">
        <v>88827</v>
      </c>
      <c r="B700" s="485" t="s">
        <v>15262</v>
      </c>
      <c r="C700" s="484" t="s">
        <v>57</v>
      </c>
      <c r="D700" s="486">
        <v>0.04</v>
      </c>
      <c r="E700" s="486">
        <v>0.04</v>
      </c>
    </row>
    <row r="701" spans="1:5" ht="30">
      <c r="A701" s="495">
        <v>88828</v>
      </c>
      <c r="B701" s="348" t="s">
        <v>15263</v>
      </c>
      <c r="C701" s="349" t="s">
        <v>57</v>
      </c>
      <c r="D701" s="483">
        <v>0.17</v>
      </c>
      <c r="E701" s="483">
        <v>0.17</v>
      </c>
    </row>
    <row r="702" spans="1:5" ht="30">
      <c r="A702" s="494">
        <v>88829</v>
      </c>
      <c r="B702" s="485" t="s">
        <v>15264</v>
      </c>
      <c r="C702" s="484" t="s">
        <v>57</v>
      </c>
      <c r="D702" s="486">
        <v>0.66</v>
      </c>
      <c r="E702" s="486">
        <v>0.66</v>
      </c>
    </row>
    <row r="703" spans="1:5" ht="30">
      <c r="A703" s="495">
        <v>88832</v>
      </c>
      <c r="B703" s="348" t="s">
        <v>15265</v>
      </c>
      <c r="C703" s="349" t="s">
        <v>57</v>
      </c>
      <c r="D703" s="483">
        <v>23.75</v>
      </c>
      <c r="E703" s="483">
        <v>23.75</v>
      </c>
    </row>
    <row r="704" spans="1:5" ht="30">
      <c r="A704" s="494">
        <v>88834</v>
      </c>
      <c r="B704" s="485" t="s">
        <v>15266</v>
      </c>
      <c r="C704" s="484" t="s">
        <v>57</v>
      </c>
      <c r="D704" s="486">
        <v>5.34</v>
      </c>
      <c r="E704" s="486">
        <v>5.34</v>
      </c>
    </row>
    <row r="705" spans="1:5" ht="30">
      <c r="A705" s="495">
        <v>88835</v>
      </c>
      <c r="B705" s="348" t="s">
        <v>15267</v>
      </c>
      <c r="C705" s="349" t="s">
        <v>57</v>
      </c>
      <c r="D705" s="483">
        <v>33.4</v>
      </c>
      <c r="E705" s="483">
        <v>33.4</v>
      </c>
    </row>
    <row r="706" spans="1:5" ht="30">
      <c r="A706" s="494">
        <v>88836</v>
      </c>
      <c r="B706" s="485" t="s">
        <v>15268</v>
      </c>
      <c r="C706" s="484" t="s">
        <v>57</v>
      </c>
      <c r="D706" s="486">
        <v>52.01</v>
      </c>
      <c r="E706" s="486">
        <v>52.01</v>
      </c>
    </row>
    <row r="707" spans="1:5" ht="30">
      <c r="A707" s="495">
        <v>88839</v>
      </c>
      <c r="B707" s="348" t="s">
        <v>15269</v>
      </c>
      <c r="C707" s="349" t="s">
        <v>57</v>
      </c>
      <c r="D707" s="483">
        <v>33.840000000000003</v>
      </c>
      <c r="E707" s="483">
        <v>33.840000000000003</v>
      </c>
    </row>
    <row r="708" spans="1:5" ht="30">
      <c r="A708" s="494">
        <v>88840</v>
      </c>
      <c r="B708" s="485" t="s">
        <v>15270</v>
      </c>
      <c r="C708" s="484" t="s">
        <v>57</v>
      </c>
      <c r="D708" s="486">
        <v>7.61</v>
      </c>
      <c r="E708" s="486">
        <v>7.61</v>
      </c>
    </row>
    <row r="709" spans="1:5" ht="30">
      <c r="A709" s="495">
        <v>88841</v>
      </c>
      <c r="B709" s="348" t="s">
        <v>15271</v>
      </c>
      <c r="C709" s="349" t="s">
        <v>57</v>
      </c>
      <c r="D709" s="483">
        <v>42.3</v>
      </c>
      <c r="E709" s="483">
        <v>42.3</v>
      </c>
    </row>
    <row r="710" spans="1:5" ht="30">
      <c r="A710" s="494">
        <v>88842</v>
      </c>
      <c r="B710" s="485" t="s">
        <v>15272</v>
      </c>
      <c r="C710" s="484" t="s">
        <v>57</v>
      </c>
      <c r="D710" s="486">
        <v>70.94</v>
      </c>
      <c r="E710" s="486">
        <v>70.94</v>
      </c>
    </row>
    <row r="711" spans="1:5" ht="45">
      <c r="A711" s="495">
        <v>88847</v>
      </c>
      <c r="B711" s="348" t="s">
        <v>15273</v>
      </c>
      <c r="C711" s="349" t="s">
        <v>57</v>
      </c>
      <c r="D711" s="483">
        <v>19.16</v>
      </c>
      <c r="E711" s="483">
        <v>19.16</v>
      </c>
    </row>
    <row r="712" spans="1:5" ht="45">
      <c r="A712" s="494">
        <v>88848</v>
      </c>
      <c r="B712" s="485" t="s">
        <v>15274</v>
      </c>
      <c r="C712" s="484" t="s">
        <v>57</v>
      </c>
      <c r="D712" s="486">
        <v>5.74</v>
      </c>
      <c r="E712" s="486">
        <v>5.74</v>
      </c>
    </row>
    <row r="713" spans="1:5" ht="45">
      <c r="A713" s="495">
        <v>88853</v>
      </c>
      <c r="B713" s="348" t="s">
        <v>15275</v>
      </c>
      <c r="C713" s="349" t="s">
        <v>57</v>
      </c>
      <c r="D713" s="483">
        <v>0.17</v>
      </c>
      <c r="E713" s="483">
        <v>0.17</v>
      </c>
    </row>
    <row r="714" spans="1:5" ht="30">
      <c r="A714" s="494">
        <v>88854</v>
      </c>
      <c r="B714" s="485" t="s">
        <v>15276</v>
      </c>
      <c r="C714" s="484" t="s">
        <v>57</v>
      </c>
      <c r="D714" s="486">
        <v>0.04</v>
      </c>
      <c r="E714" s="486">
        <v>0.04</v>
      </c>
    </row>
    <row r="715" spans="1:5" ht="30">
      <c r="A715" s="495">
        <v>88855</v>
      </c>
      <c r="B715" s="348" t="s">
        <v>15277</v>
      </c>
      <c r="C715" s="349" t="s">
        <v>57</v>
      </c>
      <c r="D715" s="483">
        <v>2.1800000000000002</v>
      </c>
      <c r="E715" s="483">
        <v>2.1800000000000002</v>
      </c>
    </row>
    <row r="716" spans="1:5" ht="30">
      <c r="A716" s="494">
        <v>88856</v>
      </c>
      <c r="B716" s="485" t="s">
        <v>15278</v>
      </c>
      <c r="C716" s="484" t="s">
        <v>57</v>
      </c>
      <c r="D716" s="486">
        <v>0.75</v>
      </c>
      <c r="E716" s="486">
        <v>0.75</v>
      </c>
    </row>
    <row r="717" spans="1:5" ht="45">
      <c r="A717" s="495">
        <v>88857</v>
      </c>
      <c r="B717" s="348" t="s">
        <v>15279</v>
      </c>
      <c r="C717" s="349" t="s">
        <v>57</v>
      </c>
      <c r="D717" s="483">
        <v>14.03</v>
      </c>
      <c r="E717" s="483">
        <v>14.03</v>
      </c>
    </row>
    <row r="718" spans="1:5" ht="45">
      <c r="A718" s="494">
        <v>88858</v>
      </c>
      <c r="B718" s="485" t="s">
        <v>15280</v>
      </c>
      <c r="C718" s="484" t="s">
        <v>57</v>
      </c>
      <c r="D718" s="486">
        <v>3.15</v>
      </c>
      <c r="E718" s="486">
        <v>3.15</v>
      </c>
    </row>
    <row r="719" spans="1:5" ht="45">
      <c r="A719" s="495">
        <v>88859</v>
      </c>
      <c r="B719" s="348" t="s">
        <v>15281</v>
      </c>
      <c r="C719" s="349" t="s">
        <v>57</v>
      </c>
      <c r="D719" s="483">
        <v>12.47</v>
      </c>
      <c r="E719" s="483">
        <v>12.47</v>
      </c>
    </row>
    <row r="720" spans="1:5" ht="45">
      <c r="A720" s="494">
        <v>88860</v>
      </c>
      <c r="B720" s="485" t="s">
        <v>15282</v>
      </c>
      <c r="C720" s="484" t="s">
        <v>57</v>
      </c>
      <c r="D720" s="486">
        <v>2.8</v>
      </c>
      <c r="E720" s="486">
        <v>2.8</v>
      </c>
    </row>
    <row r="721" spans="1:5" ht="30">
      <c r="A721" s="495">
        <v>88900</v>
      </c>
      <c r="B721" s="348" t="s">
        <v>15283</v>
      </c>
      <c r="C721" s="349" t="s">
        <v>57</v>
      </c>
      <c r="D721" s="483">
        <v>27.69</v>
      </c>
      <c r="E721" s="483">
        <v>27.69</v>
      </c>
    </row>
    <row r="722" spans="1:5" ht="30">
      <c r="A722" s="494">
        <v>88902</v>
      </c>
      <c r="B722" s="485" t="s">
        <v>15284</v>
      </c>
      <c r="C722" s="484" t="s">
        <v>57</v>
      </c>
      <c r="D722" s="486">
        <v>6.23</v>
      </c>
      <c r="E722" s="486">
        <v>6.23</v>
      </c>
    </row>
    <row r="723" spans="1:5" ht="30">
      <c r="A723" s="495">
        <v>88903</v>
      </c>
      <c r="B723" s="348" t="s">
        <v>15285</v>
      </c>
      <c r="C723" s="349" t="s">
        <v>57</v>
      </c>
      <c r="D723" s="483">
        <v>38.94</v>
      </c>
      <c r="E723" s="483">
        <v>38.94</v>
      </c>
    </row>
    <row r="724" spans="1:5" ht="30">
      <c r="A724" s="494">
        <v>88904</v>
      </c>
      <c r="B724" s="485" t="s">
        <v>15286</v>
      </c>
      <c r="C724" s="484" t="s">
        <v>57</v>
      </c>
      <c r="D724" s="486">
        <v>73.319999999999993</v>
      </c>
      <c r="E724" s="486">
        <v>73.319999999999993</v>
      </c>
    </row>
    <row r="725" spans="1:5" ht="30">
      <c r="A725" s="495">
        <v>89009</v>
      </c>
      <c r="B725" s="348" t="s">
        <v>10080</v>
      </c>
      <c r="C725" s="349" t="s">
        <v>57</v>
      </c>
      <c r="D725" s="483">
        <v>41.92</v>
      </c>
      <c r="E725" s="483">
        <v>41.92</v>
      </c>
    </row>
    <row r="726" spans="1:5" ht="30">
      <c r="A726" s="494">
        <v>89010</v>
      </c>
      <c r="B726" s="485" t="s">
        <v>10081</v>
      </c>
      <c r="C726" s="484" t="s">
        <v>57</v>
      </c>
      <c r="D726" s="486">
        <v>9.43</v>
      </c>
      <c r="E726" s="486">
        <v>9.43</v>
      </c>
    </row>
    <row r="727" spans="1:5" ht="45">
      <c r="A727" s="495">
        <v>89011</v>
      </c>
      <c r="B727" s="348" t="s">
        <v>15287</v>
      </c>
      <c r="C727" s="349" t="s">
        <v>57</v>
      </c>
      <c r="D727" s="483">
        <v>13.53</v>
      </c>
      <c r="E727" s="483">
        <v>13.53</v>
      </c>
    </row>
    <row r="728" spans="1:5" ht="45">
      <c r="A728" s="494">
        <v>89012</v>
      </c>
      <c r="B728" s="485" t="s">
        <v>15288</v>
      </c>
      <c r="C728" s="484" t="s">
        <v>57</v>
      </c>
      <c r="D728" s="486">
        <v>3.04</v>
      </c>
      <c r="E728" s="486">
        <v>3.04</v>
      </c>
    </row>
    <row r="729" spans="1:5" ht="30">
      <c r="A729" s="495">
        <v>89013</v>
      </c>
      <c r="B729" s="348" t="s">
        <v>15289</v>
      </c>
      <c r="C729" s="349" t="s">
        <v>57</v>
      </c>
      <c r="D729" s="483">
        <v>137.31</v>
      </c>
      <c r="E729" s="483">
        <v>137.31</v>
      </c>
    </row>
    <row r="730" spans="1:5" ht="30">
      <c r="A730" s="494">
        <v>89014</v>
      </c>
      <c r="B730" s="485" t="s">
        <v>15290</v>
      </c>
      <c r="C730" s="484" t="s">
        <v>57</v>
      </c>
      <c r="D730" s="486">
        <v>30.89</v>
      </c>
      <c r="E730" s="486">
        <v>30.89</v>
      </c>
    </row>
    <row r="731" spans="1:5" ht="30">
      <c r="A731" s="495">
        <v>89015</v>
      </c>
      <c r="B731" s="348" t="s">
        <v>15291</v>
      </c>
      <c r="C731" s="349" t="s">
        <v>57</v>
      </c>
      <c r="D731" s="483">
        <v>2.19</v>
      </c>
      <c r="E731" s="483">
        <v>2.19</v>
      </c>
    </row>
    <row r="732" spans="1:5" ht="30">
      <c r="A732" s="494">
        <v>89016</v>
      </c>
      <c r="B732" s="485" t="s">
        <v>15292</v>
      </c>
      <c r="C732" s="484" t="s">
        <v>57</v>
      </c>
      <c r="D732" s="486">
        <v>0.8</v>
      </c>
      <c r="E732" s="486">
        <v>0.8</v>
      </c>
    </row>
    <row r="733" spans="1:5" ht="30">
      <c r="A733" s="495">
        <v>89017</v>
      </c>
      <c r="B733" s="348" t="s">
        <v>15293</v>
      </c>
      <c r="C733" s="349" t="s">
        <v>57</v>
      </c>
      <c r="D733" s="483">
        <v>41.66</v>
      </c>
      <c r="E733" s="483">
        <v>41.66</v>
      </c>
    </row>
    <row r="734" spans="1:5" ht="30">
      <c r="A734" s="494">
        <v>89018</v>
      </c>
      <c r="B734" s="485" t="s">
        <v>15294</v>
      </c>
      <c r="C734" s="484" t="s">
        <v>57</v>
      </c>
      <c r="D734" s="486">
        <v>9.3699999999999992</v>
      </c>
      <c r="E734" s="486">
        <v>9.3699999999999992</v>
      </c>
    </row>
    <row r="735" spans="1:5" ht="30">
      <c r="A735" s="495">
        <v>89019</v>
      </c>
      <c r="B735" s="348" t="s">
        <v>15295</v>
      </c>
      <c r="C735" s="349" t="s">
        <v>57</v>
      </c>
      <c r="D735" s="483">
        <v>0.24</v>
      </c>
      <c r="E735" s="483">
        <v>0.24</v>
      </c>
    </row>
    <row r="736" spans="1:5" ht="30">
      <c r="A736" s="494">
        <v>89020</v>
      </c>
      <c r="B736" s="485" t="s">
        <v>15296</v>
      </c>
      <c r="C736" s="484" t="s">
        <v>57</v>
      </c>
      <c r="D736" s="486">
        <v>0.06</v>
      </c>
      <c r="E736" s="486">
        <v>0.06</v>
      </c>
    </row>
    <row r="737" spans="1:5" ht="30">
      <c r="A737" s="495">
        <v>89023</v>
      </c>
      <c r="B737" s="348" t="s">
        <v>15297</v>
      </c>
      <c r="C737" s="349" t="s">
        <v>57</v>
      </c>
      <c r="D737" s="483">
        <v>1.1599999999999999</v>
      </c>
      <c r="E737" s="483">
        <v>1.1599999999999999</v>
      </c>
    </row>
    <row r="738" spans="1:5" ht="30">
      <c r="A738" s="494">
        <v>89024</v>
      </c>
      <c r="B738" s="485" t="s">
        <v>15298</v>
      </c>
      <c r="C738" s="484" t="s">
        <v>57</v>
      </c>
      <c r="D738" s="486">
        <v>0.34</v>
      </c>
      <c r="E738" s="486">
        <v>0.34</v>
      </c>
    </row>
    <row r="739" spans="1:5" ht="30">
      <c r="A739" s="495">
        <v>89025</v>
      </c>
      <c r="B739" s="348" t="s">
        <v>15299</v>
      </c>
      <c r="C739" s="349" t="s">
        <v>57</v>
      </c>
      <c r="D739" s="483">
        <v>0.8</v>
      </c>
      <c r="E739" s="483">
        <v>0.8</v>
      </c>
    </row>
    <row r="740" spans="1:5" ht="30">
      <c r="A740" s="494">
        <v>89026</v>
      </c>
      <c r="B740" s="485" t="s">
        <v>15300</v>
      </c>
      <c r="C740" s="484" t="s">
        <v>57</v>
      </c>
      <c r="D740" s="486">
        <v>126.6</v>
      </c>
      <c r="E740" s="486">
        <v>126.6</v>
      </c>
    </row>
    <row r="741" spans="1:5" ht="30">
      <c r="A741" s="495">
        <v>89029</v>
      </c>
      <c r="B741" s="348" t="s">
        <v>15301</v>
      </c>
      <c r="C741" s="349" t="s">
        <v>57</v>
      </c>
      <c r="D741" s="483">
        <v>32.33</v>
      </c>
      <c r="E741" s="483">
        <v>32.33</v>
      </c>
    </row>
    <row r="742" spans="1:5" ht="30">
      <c r="A742" s="494">
        <v>89030</v>
      </c>
      <c r="B742" s="485" t="s">
        <v>15302</v>
      </c>
      <c r="C742" s="484" t="s">
        <v>57</v>
      </c>
      <c r="D742" s="486">
        <v>7.27</v>
      </c>
      <c r="E742" s="486">
        <v>7.27</v>
      </c>
    </row>
    <row r="743" spans="1:5" ht="30">
      <c r="A743" s="495">
        <v>89033</v>
      </c>
      <c r="B743" s="348" t="s">
        <v>10118</v>
      </c>
      <c r="C743" s="349" t="s">
        <v>57</v>
      </c>
      <c r="D743" s="483">
        <v>5</v>
      </c>
      <c r="E743" s="483">
        <v>5</v>
      </c>
    </row>
    <row r="744" spans="1:5" ht="30">
      <c r="A744" s="494">
        <v>89034</v>
      </c>
      <c r="B744" s="485" t="s">
        <v>10119</v>
      </c>
      <c r="C744" s="484" t="s">
        <v>57</v>
      </c>
      <c r="D744" s="486">
        <v>1.68</v>
      </c>
      <c r="E744" s="486">
        <v>1.68</v>
      </c>
    </row>
    <row r="745" spans="1:5" ht="30">
      <c r="A745" s="495">
        <v>89128</v>
      </c>
      <c r="B745" s="348" t="s">
        <v>15303</v>
      </c>
      <c r="C745" s="349" t="s">
        <v>57</v>
      </c>
      <c r="D745" s="483">
        <v>23.74</v>
      </c>
      <c r="E745" s="483">
        <v>23.74</v>
      </c>
    </row>
    <row r="746" spans="1:5" ht="30">
      <c r="A746" s="494">
        <v>89129</v>
      </c>
      <c r="B746" s="485" t="s">
        <v>15304</v>
      </c>
      <c r="C746" s="484" t="s">
        <v>57</v>
      </c>
      <c r="D746" s="486">
        <v>5.34</v>
      </c>
      <c r="E746" s="486">
        <v>5.34</v>
      </c>
    </row>
    <row r="747" spans="1:5" ht="30">
      <c r="A747" s="495">
        <v>89130</v>
      </c>
      <c r="B747" s="348" t="s">
        <v>15305</v>
      </c>
      <c r="C747" s="349" t="s">
        <v>57</v>
      </c>
      <c r="D747" s="483">
        <v>32.92</v>
      </c>
      <c r="E747" s="483">
        <v>32.92</v>
      </c>
    </row>
    <row r="748" spans="1:5" ht="30">
      <c r="A748" s="494">
        <v>89131</v>
      </c>
      <c r="B748" s="485" t="s">
        <v>15306</v>
      </c>
      <c r="C748" s="484" t="s">
        <v>57</v>
      </c>
      <c r="D748" s="486">
        <v>7.4</v>
      </c>
      <c r="E748" s="486">
        <v>7.4</v>
      </c>
    </row>
    <row r="749" spans="1:5" ht="45">
      <c r="A749" s="495">
        <v>89210</v>
      </c>
      <c r="B749" s="348" t="s">
        <v>15307</v>
      </c>
      <c r="C749" s="349" t="s">
        <v>57</v>
      </c>
      <c r="D749" s="483">
        <v>14.59</v>
      </c>
      <c r="E749" s="483">
        <v>14.59</v>
      </c>
    </row>
    <row r="750" spans="1:5" ht="45">
      <c r="A750" s="494">
        <v>89211</v>
      </c>
      <c r="B750" s="485" t="s">
        <v>15308</v>
      </c>
      <c r="C750" s="484" t="s">
        <v>57</v>
      </c>
      <c r="D750" s="486">
        <v>3.4</v>
      </c>
      <c r="E750" s="486">
        <v>3.4</v>
      </c>
    </row>
    <row r="751" spans="1:5" ht="30">
      <c r="A751" s="495">
        <v>89212</v>
      </c>
      <c r="B751" s="348" t="s">
        <v>2491</v>
      </c>
      <c r="C751" s="349" t="s">
        <v>57</v>
      </c>
      <c r="D751" s="483">
        <v>13.34</v>
      </c>
      <c r="E751" s="483">
        <v>13.34</v>
      </c>
    </row>
    <row r="752" spans="1:5" ht="30">
      <c r="A752" s="494">
        <v>89213</v>
      </c>
      <c r="B752" s="485" t="s">
        <v>2492</v>
      </c>
      <c r="C752" s="484" t="s">
        <v>57</v>
      </c>
      <c r="D752" s="486">
        <v>5.18</v>
      </c>
      <c r="E752" s="486">
        <v>5.18</v>
      </c>
    </row>
    <row r="753" spans="1:5" ht="30">
      <c r="A753" s="495">
        <v>89214</v>
      </c>
      <c r="B753" s="348" t="s">
        <v>2493</v>
      </c>
      <c r="C753" s="349" t="s">
        <v>57</v>
      </c>
      <c r="D753" s="483">
        <v>15.69</v>
      </c>
      <c r="E753" s="483">
        <v>15.69</v>
      </c>
    </row>
    <row r="754" spans="1:5" ht="30">
      <c r="A754" s="494">
        <v>89215</v>
      </c>
      <c r="B754" s="485" t="s">
        <v>2494</v>
      </c>
      <c r="C754" s="484" t="s">
        <v>57</v>
      </c>
      <c r="D754" s="486">
        <v>83.24</v>
      </c>
      <c r="E754" s="486">
        <v>83.24</v>
      </c>
    </row>
    <row r="755" spans="1:5" ht="30">
      <c r="A755" s="495">
        <v>89219</v>
      </c>
      <c r="B755" s="348" t="s">
        <v>15309</v>
      </c>
      <c r="C755" s="349" t="s">
        <v>57</v>
      </c>
      <c r="D755" s="483">
        <v>15.23</v>
      </c>
      <c r="E755" s="483">
        <v>15.23</v>
      </c>
    </row>
    <row r="756" spans="1:5" ht="30">
      <c r="A756" s="494">
        <v>89220</v>
      </c>
      <c r="B756" s="485" t="s">
        <v>15310</v>
      </c>
      <c r="C756" s="484" t="s">
        <v>57</v>
      </c>
      <c r="D756" s="486">
        <v>3.55</v>
      </c>
      <c r="E756" s="486">
        <v>3.55</v>
      </c>
    </row>
    <row r="757" spans="1:5" ht="30">
      <c r="A757" s="495">
        <v>89221</v>
      </c>
      <c r="B757" s="348" t="s">
        <v>15311</v>
      </c>
      <c r="C757" s="349" t="s">
        <v>57</v>
      </c>
      <c r="D757" s="483">
        <v>0.87</v>
      </c>
      <c r="E757" s="483">
        <v>0.87</v>
      </c>
    </row>
    <row r="758" spans="1:5" ht="30">
      <c r="A758" s="494">
        <v>89222</v>
      </c>
      <c r="B758" s="485" t="s">
        <v>15312</v>
      </c>
      <c r="C758" s="484" t="s">
        <v>57</v>
      </c>
      <c r="D758" s="486">
        <v>0.2</v>
      </c>
      <c r="E758" s="486">
        <v>0.2</v>
      </c>
    </row>
    <row r="759" spans="1:5" ht="30">
      <c r="A759" s="495">
        <v>89223</v>
      </c>
      <c r="B759" s="348" t="s">
        <v>15313</v>
      </c>
      <c r="C759" s="349" t="s">
        <v>57</v>
      </c>
      <c r="D759" s="483">
        <v>0.72</v>
      </c>
      <c r="E759" s="483">
        <v>0.72</v>
      </c>
    </row>
    <row r="760" spans="1:5" ht="30">
      <c r="A760" s="494">
        <v>89224</v>
      </c>
      <c r="B760" s="485" t="s">
        <v>15314</v>
      </c>
      <c r="C760" s="484" t="s">
        <v>57</v>
      </c>
      <c r="D760" s="486">
        <v>1.3</v>
      </c>
      <c r="E760" s="486">
        <v>1.3</v>
      </c>
    </row>
    <row r="761" spans="1:5" ht="30">
      <c r="A761" s="495">
        <v>89228</v>
      </c>
      <c r="B761" s="348" t="s">
        <v>7602</v>
      </c>
      <c r="C761" s="349" t="s">
        <v>57</v>
      </c>
      <c r="D761" s="483">
        <v>24.93</v>
      </c>
      <c r="E761" s="483">
        <v>24.93</v>
      </c>
    </row>
    <row r="762" spans="1:5" ht="30">
      <c r="A762" s="494">
        <v>89229</v>
      </c>
      <c r="B762" s="485" t="s">
        <v>7603</v>
      </c>
      <c r="C762" s="484" t="s">
        <v>57</v>
      </c>
      <c r="D762" s="486">
        <v>7.94</v>
      </c>
      <c r="E762" s="486">
        <v>7.94</v>
      </c>
    </row>
    <row r="763" spans="1:5" ht="30">
      <c r="A763" s="495">
        <v>89230</v>
      </c>
      <c r="B763" s="348" t="s">
        <v>15315</v>
      </c>
      <c r="C763" s="349" t="s">
        <v>57</v>
      </c>
      <c r="D763" s="483">
        <v>112.28</v>
      </c>
      <c r="E763" s="483">
        <v>112.28</v>
      </c>
    </row>
    <row r="764" spans="1:5" ht="30">
      <c r="A764" s="494">
        <v>89231</v>
      </c>
      <c r="B764" s="485" t="s">
        <v>15316</v>
      </c>
      <c r="C764" s="484" t="s">
        <v>57</v>
      </c>
      <c r="D764" s="486">
        <v>25.25</v>
      </c>
      <c r="E764" s="486">
        <v>25.25</v>
      </c>
    </row>
    <row r="765" spans="1:5" ht="30">
      <c r="A765" s="495">
        <v>89232</v>
      </c>
      <c r="B765" s="348" t="s">
        <v>15317</v>
      </c>
      <c r="C765" s="349" t="s">
        <v>57</v>
      </c>
      <c r="D765" s="483">
        <v>175.42</v>
      </c>
      <c r="E765" s="483">
        <v>175.42</v>
      </c>
    </row>
    <row r="766" spans="1:5" ht="30">
      <c r="A766" s="494">
        <v>89233</v>
      </c>
      <c r="B766" s="485" t="s">
        <v>15318</v>
      </c>
      <c r="C766" s="484" t="s">
        <v>57</v>
      </c>
      <c r="D766" s="486">
        <v>98.36</v>
      </c>
      <c r="E766" s="486">
        <v>98.36</v>
      </c>
    </row>
    <row r="767" spans="1:5" ht="30">
      <c r="A767" s="495">
        <v>89236</v>
      </c>
      <c r="B767" s="348" t="s">
        <v>15319</v>
      </c>
      <c r="C767" s="349" t="s">
        <v>57</v>
      </c>
      <c r="D767" s="483">
        <v>262.29000000000002</v>
      </c>
      <c r="E767" s="483">
        <v>262.29000000000002</v>
      </c>
    </row>
    <row r="768" spans="1:5" ht="30">
      <c r="A768" s="494">
        <v>89237</v>
      </c>
      <c r="B768" s="485" t="s">
        <v>15320</v>
      </c>
      <c r="C768" s="484" t="s">
        <v>57</v>
      </c>
      <c r="D768" s="486">
        <v>58.99</v>
      </c>
      <c r="E768" s="486">
        <v>58.99</v>
      </c>
    </row>
    <row r="769" spans="1:5" ht="30">
      <c r="A769" s="495">
        <v>89238</v>
      </c>
      <c r="B769" s="348" t="s">
        <v>15321</v>
      </c>
      <c r="C769" s="349" t="s">
        <v>57</v>
      </c>
      <c r="D769" s="483">
        <v>409.79</v>
      </c>
      <c r="E769" s="483">
        <v>409.79</v>
      </c>
    </row>
    <row r="770" spans="1:5" ht="30">
      <c r="A770" s="494">
        <v>89239</v>
      </c>
      <c r="B770" s="485" t="s">
        <v>15322</v>
      </c>
      <c r="C770" s="484" t="s">
        <v>57</v>
      </c>
      <c r="D770" s="486">
        <v>260.13</v>
      </c>
      <c r="E770" s="486">
        <v>260.13</v>
      </c>
    </row>
    <row r="771" spans="1:5" ht="30">
      <c r="A771" s="495">
        <v>89240</v>
      </c>
      <c r="B771" s="348" t="s">
        <v>15323</v>
      </c>
      <c r="C771" s="349" t="s">
        <v>57</v>
      </c>
      <c r="D771" s="483">
        <v>45.27</v>
      </c>
      <c r="E771" s="483">
        <v>45.27</v>
      </c>
    </row>
    <row r="772" spans="1:5" ht="30">
      <c r="A772" s="494">
        <v>89241</v>
      </c>
      <c r="B772" s="485" t="s">
        <v>10799</v>
      </c>
      <c r="C772" s="484" t="s">
        <v>57</v>
      </c>
      <c r="D772" s="486">
        <v>13.56</v>
      </c>
      <c r="E772" s="486">
        <v>13.56</v>
      </c>
    </row>
    <row r="773" spans="1:5" ht="30">
      <c r="A773" s="495">
        <v>89246</v>
      </c>
      <c r="B773" s="348" t="s">
        <v>8589</v>
      </c>
      <c r="C773" s="349" t="s">
        <v>57</v>
      </c>
      <c r="D773" s="483">
        <v>136.71</v>
      </c>
      <c r="E773" s="483">
        <v>136.71</v>
      </c>
    </row>
    <row r="774" spans="1:5" ht="30">
      <c r="A774" s="494">
        <v>89247</v>
      </c>
      <c r="B774" s="485" t="s">
        <v>8590</v>
      </c>
      <c r="C774" s="484" t="s">
        <v>57</v>
      </c>
      <c r="D774" s="486">
        <v>30.75</v>
      </c>
      <c r="E774" s="486">
        <v>30.75</v>
      </c>
    </row>
    <row r="775" spans="1:5" ht="30">
      <c r="A775" s="495">
        <v>89248</v>
      </c>
      <c r="B775" s="348" t="s">
        <v>8591</v>
      </c>
      <c r="C775" s="349" t="s">
        <v>57</v>
      </c>
      <c r="D775" s="483">
        <v>213.6</v>
      </c>
      <c r="E775" s="483">
        <v>213.6</v>
      </c>
    </row>
    <row r="776" spans="1:5" ht="30">
      <c r="A776" s="494">
        <v>89249</v>
      </c>
      <c r="B776" s="485" t="s">
        <v>8592</v>
      </c>
      <c r="C776" s="484" t="s">
        <v>57</v>
      </c>
      <c r="D776" s="486">
        <v>199.51</v>
      </c>
      <c r="E776" s="486">
        <v>199.51</v>
      </c>
    </row>
    <row r="777" spans="1:5" ht="30">
      <c r="A777" s="495">
        <v>89253</v>
      </c>
      <c r="B777" s="348" t="s">
        <v>15324</v>
      </c>
      <c r="C777" s="349" t="s">
        <v>57</v>
      </c>
      <c r="D777" s="483">
        <v>37.1</v>
      </c>
      <c r="E777" s="483">
        <v>37.1</v>
      </c>
    </row>
    <row r="778" spans="1:5" ht="30">
      <c r="A778" s="494">
        <v>89254</v>
      </c>
      <c r="B778" s="485" t="s">
        <v>10805</v>
      </c>
      <c r="C778" s="484" t="s">
        <v>57</v>
      </c>
      <c r="D778" s="486">
        <v>11.11</v>
      </c>
      <c r="E778" s="486">
        <v>11.11</v>
      </c>
    </row>
    <row r="779" spans="1:5" ht="30">
      <c r="A779" s="495">
        <v>89255</v>
      </c>
      <c r="B779" s="348" t="s">
        <v>15325</v>
      </c>
      <c r="C779" s="349" t="s">
        <v>57</v>
      </c>
      <c r="D779" s="483">
        <v>46.19</v>
      </c>
      <c r="E779" s="483">
        <v>46.19</v>
      </c>
    </row>
    <row r="780" spans="1:5" ht="30">
      <c r="A780" s="494">
        <v>89256</v>
      </c>
      <c r="B780" s="485" t="s">
        <v>15326</v>
      </c>
      <c r="C780" s="484" t="s">
        <v>57</v>
      </c>
      <c r="D780" s="486">
        <v>47.29</v>
      </c>
      <c r="E780" s="486">
        <v>47.29</v>
      </c>
    </row>
    <row r="781" spans="1:5" ht="45">
      <c r="A781" s="495">
        <v>89259</v>
      </c>
      <c r="B781" s="348" t="s">
        <v>15327</v>
      </c>
      <c r="C781" s="349" t="s">
        <v>57</v>
      </c>
      <c r="D781" s="483">
        <v>12.12</v>
      </c>
      <c r="E781" s="483">
        <v>12.12</v>
      </c>
    </row>
    <row r="782" spans="1:5" ht="45">
      <c r="A782" s="494">
        <v>89260</v>
      </c>
      <c r="B782" s="485" t="s">
        <v>15328</v>
      </c>
      <c r="C782" s="484" t="s">
        <v>57</v>
      </c>
      <c r="D782" s="486">
        <v>3.09</v>
      </c>
      <c r="E782" s="486">
        <v>3.09</v>
      </c>
    </row>
    <row r="783" spans="1:5" ht="45">
      <c r="A783" s="495">
        <v>89262</v>
      </c>
      <c r="B783" s="348" t="s">
        <v>15329</v>
      </c>
      <c r="C783" s="349" t="s">
        <v>57</v>
      </c>
      <c r="D783" s="483">
        <v>15.16</v>
      </c>
      <c r="E783" s="483">
        <v>15.16</v>
      </c>
    </row>
    <row r="784" spans="1:5" ht="45">
      <c r="A784" s="494">
        <v>89264</v>
      </c>
      <c r="B784" s="485" t="s">
        <v>15330</v>
      </c>
      <c r="C784" s="484" t="s">
        <v>57</v>
      </c>
      <c r="D784" s="486">
        <v>9.33</v>
      </c>
      <c r="E784" s="486">
        <v>9.33</v>
      </c>
    </row>
    <row r="785" spans="1:5" ht="45">
      <c r="A785" s="495">
        <v>89265</v>
      </c>
      <c r="B785" s="348" t="s">
        <v>15331</v>
      </c>
      <c r="C785" s="349" t="s">
        <v>57</v>
      </c>
      <c r="D785" s="483">
        <v>2.38</v>
      </c>
      <c r="E785" s="483">
        <v>2.38</v>
      </c>
    </row>
    <row r="786" spans="1:5" ht="45">
      <c r="A786" s="494">
        <v>89266</v>
      </c>
      <c r="B786" s="485" t="s">
        <v>15332</v>
      </c>
      <c r="C786" s="484" t="s">
        <v>57</v>
      </c>
      <c r="D786" s="486">
        <v>0.48</v>
      </c>
      <c r="E786" s="486">
        <v>0.48</v>
      </c>
    </row>
    <row r="787" spans="1:5" ht="30">
      <c r="A787" s="495">
        <v>89267</v>
      </c>
      <c r="B787" s="348" t="s">
        <v>15333</v>
      </c>
      <c r="C787" s="349" t="s">
        <v>57</v>
      </c>
      <c r="D787" s="483">
        <v>32.21</v>
      </c>
      <c r="E787" s="483">
        <v>32.21</v>
      </c>
    </row>
    <row r="788" spans="1:5" ht="30">
      <c r="A788" s="494">
        <v>89268</v>
      </c>
      <c r="B788" s="485" t="s">
        <v>15334</v>
      </c>
      <c r="C788" s="484" t="s">
        <v>57</v>
      </c>
      <c r="D788" s="486">
        <v>8.25</v>
      </c>
      <c r="E788" s="486">
        <v>8.25</v>
      </c>
    </row>
    <row r="789" spans="1:5" ht="30">
      <c r="A789" s="495">
        <v>89269</v>
      </c>
      <c r="B789" s="348" t="s">
        <v>15335</v>
      </c>
      <c r="C789" s="349" t="s">
        <v>57</v>
      </c>
      <c r="D789" s="483">
        <v>1.69</v>
      </c>
      <c r="E789" s="483">
        <v>1.69</v>
      </c>
    </row>
    <row r="790" spans="1:5" ht="30">
      <c r="A790" s="494">
        <v>89270</v>
      </c>
      <c r="B790" s="485" t="s">
        <v>15336</v>
      </c>
      <c r="C790" s="484" t="s">
        <v>57</v>
      </c>
      <c r="D790" s="486">
        <v>40.409999999999997</v>
      </c>
      <c r="E790" s="486">
        <v>40.409999999999997</v>
      </c>
    </row>
    <row r="791" spans="1:5" ht="30">
      <c r="A791" s="495">
        <v>89271</v>
      </c>
      <c r="B791" s="348" t="s">
        <v>15337</v>
      </c>
      <c r="C791" s="349" t="s">
        <v>57</v>
      </c>
      <c r="D791" s="483">
        <v>46.12</v>
      </c>
      <c r="E791" s="483">
        <v>46.12</v>
      </c>
    </row>
    <row r="792" spans="1:5" ht="30">
      <c r="A792" s="494">
        <v>89274</v>
      </c>
      <c r="B792" s="485" t="s">
        <v>15338</v>
      </c>
      <c r="C792" s="484" t="s">
        <v>57</v>
      </c>
      <c r="D792" s="486">
        <v>1.05</v>
      </c>
      <c r="E792" s="486">
        <v>1.05</v>
      </c>
    </row>
    <row r="793" spans="1:5" ht="30">
      <c r="A793" s="495">
        <v>89275</v>
      </c>
      <c r="B793" s="348" t="s">
        <v>15339</v>
      </c>
      <c r="C793" s="349" t="s">
        <v>57</v>
      </c>
      <c r="D793" s="483">
        <v>0.24</v>
      </c>
      <c r="E793" s="483">
        <v>0.24</v>
      </c>
    </row>
    <row r="794" spans="1:5" ht="30">
      <c r="A794" s="494">
        <v>89276</v>
      </c>
      <c r="B794" s="485" t="s">
        <v>15340</v>
      </c>
      <c r="C794" s="484" t="s">
        <v>57</v>
      </c>
      <c r="D794" s="486">
        <v>0.88</v>
      </c>
      <c r="E794" s="486">
        <v>0.88</v>
      </c>
    </row>
    <row r="795" spans="1:5" ht="30">
      <c r="A795" s="495">
        <v>89277</v>
      </c>
      <c r="B795" s="348" t="s">
        <v>15341</v>
      </c>
      <c r="C795" s="349" t="s">
        <v>57</v>
      </c>
      <c r="D795" s="483">
        <v>4.72</v>
      </c>
      <c r="E795" s="483">
        <v>4.72</v>
      </c>
    </row>
    <row r="796" spans="1:5" ht="30">
      <c r="A796" s="494">
        <v>89280</v>
      </c>
      <c r="B796" s="485" t="s">
        <v>15342</v>
      </c>
      <c r="C796" s="484" t="s">
        <v>57</v>
      </c>
      <c r="D796" s="486">
        <v>17.920000000000002</v>
      </c>
      <c r="E796" s="486">
        <v>17.920000000000002</v>
      </c>
    </row>
    <row r="797" spans="1:5" ht="30">
      <c r="A797" s="495">
        <v>89281</v>
      </c>
      <c r="B797" s="348" t="s">
        <v>15343</v>
      </c>
      <c r="C797" s="349" t="s">
        <v>57</v>
      </c>
      <c r="D797" s="483">
        <v>4.18</v>
      </c>
      <c r="E797" s="483">
        <v>4.18</v>
      </c>
    </row>
    <row r="798" spans="1:5" ht="45">
      <c r="A798" s="494">
        <v>89870</v>
      </c>
      <c r="B798" s="485" t="s">
        <v>3186</v>
      </c>
      <c r="C798" s="484" t="s">
        <v>57</v>
      </c>
      <c r="D798" s="486">
        <v>22.68</v>
      </c>
      <c r="E798" s="486">
        <v>22.68</v>
      </c>
    </row>
    <row r="799" spans="1:5" ht="45">
      <c r="A799" s="495">
        <v>89871</v>
      </c>
      <c r="B799" s="348" t="s">
        <v>3188</v>
      </c>
      <c r="C799" s="349" t="s">
        <v>57</v>
      </c>
      <c r="D799" s="483">
        <v>5.36</v>
      </c>
      <c r="E799" s="483">
        <v>5.36</v>
      </c>
    </row>
    <row r="800" spans="1:5" ht="45">
      <c r="A800" s="494">
        <v>89872</v>
      </c>
      <c r="B800" s="485" t="s">
        <v>3187</v>
      </c>
      <c r="C800" s="484" t="s">
        <v>57</v>
      </c>
      <c r="D800" s="486">
        <v>1.08</v>
      </c>
      <c r="E800" s="486">
        <v>1.08</v>
      </c>
    </row>
    <row r="801" spans="1:5" ht="45">
      <c r="A801" s="495">
        <v>89873</v>
      </c>
      <c r="B801" s="348" t="s">
        <v>3189</v>
      </c>
      <c r="C801" s="349" t="s">
        <v>57</v>
      </c>
      <c r="D801" s="483">
        <v>31.88</v>
      </c>
      <c r="E801" s="483">
        <v>31.88</v>
      </c>
    </row>
    <row r="802" spans="1:5" ht="45">
      <c r="A802" s="494">
        <v>89874</v>
      </c>
      <c r="B802" s="485" t="s">
        <v>3190</v>
      </c>
      <c r="C802" s="484" t="s">
        <v>57</v>
      </c>
      <c r="D802" s="486">
        <v>100.07</v>
      </c>
      <c r="E802" s="486">
        <v>100.07</v>
      </c>
    </row>
    <row r="803" spans="1:5" ht="45">
      <c r="A803" s="495">
        <v>89878</v>
      </c>
      <c r="B803" s="348" t="s">
        <v>3193</v>
      </c>
      <c r="C803" s="349" t="s">
        <v>57</v>
      </c>
      <c r="D803" s="483">
        <v>24</v>
      </c>
      <c r="E803" s="483">
        <v>24</v>
      </c>
    </row>
    <row r="804" spans="1:5" ht="45">
      <c r="A804" s="494">
        <v>89879</v>
      </c>
      <c r="B804" s="485" t="s">
        <v>3195</v>
      </c>
      <c r="C804" s="484" t="s">
        <v>57</v>
      </c>
      <c r="D804" s="486">
        <v>5.67</v>
      </c>
      <c r="E804" s="486">
        <v>5.67</v>
      </c>
    </row>
    <row r="805" spans="1:5" ht="45">
      <c r="A805" s="495">
        <v>89880</v>
      </c>
      <c r="B805" s="348" t="s">
        <v>3194</v>
      </c>
      <c r="C805" s="349" t="s">
        <v>57</v>
      </c>
      <c r="D805" s="483">
        <v>1.1499999999999999</v>
      </c>
      <c r="E805" s="483">
        <v>1.1499999999999999</v>
      </c>
    </row>
    <row r="806" spans="1:5" ht="45">
      <c r="A806" s="494">
        <v>89881</v>
      </c>
      <c r="B806" s="485" t="s">
        <v>3196</v>
      </c>
      <c r="C806" s="484" t="s">
        <v>57</v>
      </c>
      <c r="D806" s="486">
        <v>33.74</v>
      </c>
      <c r="E806" s="486">
        <v>33.74</v>
      </c>
    </row>
    <row r="807" spans="1:5" ht="45">
      <c r="A807" s="495">
        <v>89882</v>
      </c>
      <c r="B807" s="348" t="s">
        <v>3197</v>
      </c>
      <c r="C807" s="349" t="s">
        <v>57</v>
      </c>
      <c r="D807" s="483">
        <v>115.48</v>
      </c>
      <c r="E807" s="483">
        <v>115.48</v>
      </c>
    </row>
    <row r="808" spans="1:5" ht="30">
      <c r="A808" s="494">
        <v>90582</v>
      </c>
      <c r="B808" s="485" t="s">
        <v>15344</v>
      </c>
      <c r="C808" s="484" t="s">
        <v>57</v>
      </c>
      <c r="D808" s="486">
        <v>1.17</v>
      </c>
      <c r="E808" s="486">
        <v>1.17</v>
      </c>
    </row>
    <row r="809" spans="1:5" ht="30">
      <c r="A809" s="495">
        <v>90583</v>
      </c>
      <c r="B809" s="348" t="s">
        <v>15345</v>
      </c>
      <c r="C809" s="349" t="s">
        <v>57</v>
      </c>
      <c r="D809" s="483">
        <v>0.04</v>
      </c>
      <c r="E809" s="483">
        <v>0.04</v>
      </c>
    </row>
    <row r="810" spans="1:5" ht="30">
      <c r="A810" s="494">
        <v>90584</v>
      </c>
      <c r="B810" s="485" t="s">
        <v>15346</v>
      </c>
      <c r="C810" s="484" t="s">
        <v>57</v>
      </c>
      <c r="D810" s="486">
        <v>0.11</v>
      </c>
      <c r="E810" s="486">
        <v>0.11</v>
      </c>
    </row>
    <row r="811" spans="1:5" ht="30">
      <c r="A811" s="495">
        <v>90585</v>
      </c>
      <c r="B811" s="348" t="s">
        <v>15347</v>
      </c>
      <c r="C811" s="349" t="s">
        <v>57</v>
      </c>
      <c r="D811" s="483">
        <v>0.65</v>
      </c>
      <c r="E811" s="483">
        <v>0.65</v>
      </c>
    </row>
    <row r="812" spans="1:5" ht="30">
      <c r="A812" s="494">
        <v>90621</v>
      </c>
      <c r="B812" s="485" t="s">
        <v>7959</v>
      </c>
      <c r="C812" s="484" t="s">
        <v>57</v>
      </c>
      <c r="D812" s="486">
        <v>1.58</v>
      </c>
      <c r="E812" s="486">
        <v>1.58</v>
      </c>
    </row>
    <row r="813" spans="1:5" ht="30">
      <c r="A813" s="495">
        <v>90622</v>
      </c>
      <c r="B813" s="348" t="s">
        <v>7960</v>
      </c>
      <c r="C813" s="349" t="s">
        <v>57</v>
      </c>
      <c r="D813" s="483">
        <v>0.34</v>
      </c>
      <c r="E813" s="483">
        <v>0.34</v>
      </c>
    </row>
    <row r="814" spans="1:5" ht="30">
      <c r="A814" s="494">
        <v>90623</v>
      </c>
      <c r="B814" s="485" t="s">
        <v>7961</v>
      </c>
      <c r="C814" s="484" t="s">
        <v>57</v>
      </c>
      <c r="D814" s="486">
        <v>1.66</v>
      </c>
      <c r="E814" s="486">
        <v>1.66</v>
      </c>
    </row>
    <row r="815" spans="1:5" ht="30">
      <c r="A815" s="495">
        <v>90624</v>
      </c>
      <c r="B815" s="348" t="s">
        <v>7962</v>
      </c>
      <c r="C815" s="349" t="s">
        <v>57</v>
      </c>
      <c r="D815" s="483">
        <v>1.62</v>
      </c>
      <c r="E815" s="483">
        <v>1.62</v>
      </c>
    </row>
    <row r="816" spans="1:5" ht="30">
      <c r="A816" s="494">
        <v>90627</v>
      </c>
      <c r="B816" s="485" t="s">
        <v>7971</v>
      </c>
      <c r="C816" s="484" t="s">
        <v>57</v>
      </c>
      <c r="D816" s="486">
        <v>30.11</v>
      </c>
      <c r="E816" s="486">
        <v>30.11</v>
      </c>
    </row>
    <row r="817" spans="1:5" ht="30">
      <c r="A817" s="495">
        <v>90628</v>
      </c>
      <c r="B817" s="348" t="s">
        <v>7972</v>
      </c>
      <c r="C817" s="349" t="s">
        <v>57</v>
      </c>
      <c r="D817" s="483">
        <v>6.65</v>
      </c>
      <c r="E817" s="483">
        <v>6.65</v>
      </c>
    </row>
    <row r="818" spans="1:5" ht="30">
      <c r="A818" s="494">
        <v>90629</v>
      </c>
      <c r="B818" s="485" t="s">
        <v>7973</v>
      </c>
      <c r="C818" s="484" t="s">
        <v>57</v>
      </c>
      <c r="D818" s="486">
        <v>31.7</v>
      </c>
      <c r="E818" s="486">
        <v>31.7</v>
      </c>
    </row>
    <row r="819" spans="1:5" ht="30">
      <c r="A819" s="495">
        <v>90630</v>
      </c>
      <c r="B819" s="348" t="s">
        <v>15348</v>
      </c>
      <c r="C819" s="349" t="s">
        <v>57</v>
      </c>
      <c r="D819" s="483">
        <v>6.59</v>
      </c>
      <c r="E819" s="483">
        <v>6.59</v>
      </c>
    </row>
    <row r="820" spans="1:5" ht="45">
      <c r="A820" s="494">
        <v>90633</v>
      </c>
      <c r="B820" s="485" t="s">
        <v>7429</v>
      </c>
      <c r="C820" s="484" t="s">
        <v>57</v>
      </c>
      <c r="D820" s="486">
        <v>2.68</v>
      </c>
      <c r="E820" s="486">
        <v>2.68</v>
      </c>
    </row>
    <row r="821" spans="1:5" ht="45">
      <c r="A821" s="495">
        <v>90634</v>
      </c>
      <c r="B821" s="348" t="s">
        <v>7430</v>
      </c>
      <c r="C821" s="349" t="s">
        <v>57</v>
      </c>
      <c r="D821" s="483">
        <v>0.62</v>
      </c>
      <c r="E821" s="483">
        <v>0.62</v>
      </c>
    </row>
    <row r="822" spans="1:5" ht="45">
      <c r="A822" s="494">
        <v>90635</v>
      </c>
      <c r="B822" s="485" t="s">
        <v>7431</v>
      </c>
      <c r="C822" s="484" t="s">
        <v>57</v>
      </c>
      <c r="D822" s="486">
        <v>2.23</v>
      </c>
      <c r="E822" s="486">
        <v>2.23</v>
      </c>
    </row>
    <row r="823" spans="1:5" ht="45">
      <c r="A823" s="495">
        <v>90636</v>
      </c>
      <c r="B823" s="348" t="s">
        <v>7432</v>
      </c>
      <c r="C823" s="349" t="s">
        <v>57</v>
      </c>
      <c r="D823" s="483">
        <v>3.25</v>
      </c>
      <c r="E823" s="483">
        <v>3.25</v>
      </c>
    </row>
    <row r="824" spans="1:5" ht="30">
      <c r="A824" s="494">
        <v>90639</v>
      </c>
      <c r="B824" s="485" t="s">
        <v>15349</v>
      </c>
      <c r="C824" s="484" t="s">
        <v>57</v>
      </c>
      <c r="D824" s="486">
        <v>4.4400000000000004</v>
      </c>
      <c r="E824" s="486">
        <v>4.4400000000000004</v>
      </c>
    </row>
    <row r="825" spans="1:5" ht="30">
      <c r="A825" s="495">
        <v>90640</v>
      </c>
      <c r="B825" s="348" t="s">
        <v>15350</v>
      </c>
      <c r="C825" s="349" t="s">
        <v>57</v>
      </c>
      <c r="D825" s="483">
        <v>1.26</v>
      </c>
      <c r="E825" s="483">
        <v>1.26</v>
      </c>
    </row>
    <row r="826" spans="1:5" ht="30">
      <c r="A826" s="494">
        <v>90641</v>
      </c>
      <c r="B826" s="485" t="s">
        <v>15351</v>
      </c>
      <c r="C826" s="484" t="s">
        <v>57</v>
      </c>
      <c r="D826" s="486">
        <v>2.92</v>
      </c>
      <c r="E826" s="486">
        <v>2.92</v>
      </c>
    </row>
    <row r="827" spans="1:5" ht="30">
      <c r="A827" s="495">
        <v>90642</v>
      </c>
      <c r="B827" s="348" t="s">
        <v>15352</v>
      </c>
      <c r="C827" s="349" t="s">
        <v>57</v>
      </c>
      <c r="D827" s="483">
        <v>5.13</v>
      </c>
      <c r="E827" s="483">
        <v>5.13</v>
      </c>
    </row>
    <row r="828" spans="1:5" ht="45">
      <c r="A828" s="494">
        <v>90646</v>
      </c>
      <c r="B828" s="485" t="s">
        <v>15353</v>
      </c>
      <c r="C828" s="484" t="s">
        <v>57</v>
      </c>
      <c r="D828" s="486">
        <v>0.6</v>
      </c>
      <c r="E828" s="486">
        <v>0.6</v>
      </c>
    </row>
    <row r="829" spans="1:5" ht="45">
      <c r="A829" s="495">
        <v>90647</v>
      </c>
      <c r="B829" s="348" t="s">
        <v>15354</v>
      </c>
      <c r="C829" s="349" t="s">
        <v>57</v>
      </c>
      <c r="D829" s="483">
        <v>0.17</v>
      </c>
      <c r="E829" s="483">
        <v>0.17</v>
      </c>
    </row>
    <row r="830" spans="1:5" ht="45">
      <c r="A830" s="494">
        <v>90648</v>
      </c>
      <c r="B830" s="485" t="s">
        <v>15355</v>
      </c>
      <c r="C830" s="484" t="s">
        <v>57</v>
      </c>
      <c r="D830" s="486">
        <v>0.39</v>
      </c>
      <c r="E830" s="486">
        <v>0.39</v>
      </c>
    </row>
    <row r="831" spans="1:5" ht="45">
      <c r="A831" s="495">
        <v>90649</v>
      </c>
      <c r="B831" s="348" t="s">
        <v>15356</v>
      </c>
      <c r="C831" s="349" t="s">
        <v>57</v>
      </c>
      <c r="D831" s="483">
        <v>6.18</v>
      </c>
      <c r="E831" s="483">
        <v>6.18</v>
      </c>
    </row>
    <row r="832" spans="1:5" ht="30">
      <c r="A832" s="494">
        <v>90652</v>
      </c>
      <c r="B832" s="485" t="s">
        <v>15357</v>
      </c>
      <c r="C832" s="484" t="s">
        <v>57</v>
      </c>
      <c r="D832" s="486">
        <v>2.89</v>
      </c>
      <c r="E832" s="486">
        <v>2.89</v>
      </c>
    </row>
    <row r="833" spans="1:5" ht="30">
      <c r="A833" s="495">
        <v>90653</v>
      </c>
      <c r="B833" s="348" t="s">
        <v>15358</v>
      </c>
      <c r="C833" s="349" t="s">
        <v>57</v>
      </c>
      <c r="D833" s="483">
        <v>0.82</v>
      </c>
      <c r="E833" s="483">
        <v>0.82</v>
      </c>
    </row>
    <row r="834" spans="1:5" ht="30">
      <c r="A834" s="494">
        <v>90654</v>
      </c>
      <c r="B834" s="485" t="s">
        <v>15359</v>
      </c>
      <c r="C834" s="484" t="s">
        <v>57</v>
      </c>
      <c r="D834" s="486">
        <v>1.9</v>
      </c>
      <c r="E834" s="486">
        <v>1.9</v>
      </c>
    </row>
    <row r="835" spans="1:5" ht="30">
      <c r="A835" s="495">
        <v>90655</v>
      </c>
      <c r="B835" s="348" t="s">
        <v>15360</v>
      </c>
      <c r="C835" s="349" t="s">
        <v>57</v>
      </c>
      <c r="D835" s="483">
        <v>4.0599999999999996</v>
      </c>
      <c r="E835" s="483">
        <v>4.0599999999999996</v>
      </c>
    </row>
    <row r="836" spans="1:5" ht="30">
      <c r="A836" s="494">
        <v>90658</v>
      </c>
      <c r="B836" s="485" t="s">
        <v>15361</v>
      </c>
      <c r="C836" s="484" t="s">
        <v>57</v>
      </c>
      <c r="D836" s="486">
        <v>3.09</v>
      </c>
      <c r="E836" s="486">
        <v>3.09</v>
      </c>
    </row>
    <row r="837" spans="1:5" ht="30">
      <c r="A837" s="495">
        <v>90659</v>
      </c>
      <c r="B837" s="348" t="s">
        <v>15362</v>
      </c>
      <c r="C837" s="349" t="s">
        <v>57</v>
      </c>
      <c r="D837" s="483">
        <v>0.88</v>
      </c>
      <c r="E837" s="483">
        <v>0.88</v>
      </c>
    </row>
    <row r="838" spans="1:5" ht="30">
      <c r="A838" s="494">
        <v>90660</v>
      </c>
      <c r="B838" s="485" t="s">
        <v>15363</v>
      </c>
      <c r="C838" s="484" t="s">
        <v>57</v>
      </c>
      <c r="D838" s="486">
        <v>2.0299999999999998</v>
      </c>
      <c r="E838" s="486">
        <v>2.0299999999999998</v>
      </c>
    </row>
    <row r="839" spans="1:5" ht="30">
      <c r="A839" s="495">
        <v>90661</v>
      </c>
      <c r="B839" s="348" t="s">
        <v>15364</v>
      </c>
      <c r="C839" s="349" t="s">
        <v>57</v>
      </c>
      <c r="D839" s="483">
        <v>4.0599999999999996</v>
      </c>
      <c r="E839" s="483">
        <v>4.0599999999999996</v>
      </c>
    </row>
    <row r="840" spans="1:5" ht="45">
      <c r="A840" s="494">
        <v>90664</v>
      </c>
      <c r="B840" s="485" t="s">
        <v>15365</v>
      </c>
      <c r="C840" s="484" t="s">
        <v>57</v>
      </c>
      <c r="D840" s="486">
        <v>3.01</v>
      </c>
      <c r="E840" s="486">
        <v>3.01</v>
      </c>
    </row>
    <row r="841" spans="1:5" ht="45">
      <c r="A841" s="495">
        <v>90665</v>
      </c>
      <c r="B841" s="348" t="s">
        <v>15366</v>
      </c>
      <c r="C841" s="349" t="s">
        <v>57</v>
      </c>
      <c r="D841" s="483">
        <v>0.69</v>
      </c>
      <c r="E841" s="483">
        <v>0.69</v>
      </c>
    </row>
    <row r="842" spans="1:5" ht="45">
      <c r="A842" s="494">
        <v>90666</v>
      </c>
      <c r="B842" s="485" t="s">
        <v>15367</v>
      </c>
      <c r="C842" s="484" t="s">
        <v>57</v>
      </c>
      <c r="D842" s="486">
        <v>2.5099999999999998</v>
      </c>
      <c r="E842" s="486">
        <v>2.5099999999999998</v>
      </c>
    </row>
    <row r="843" spans="1:5" ht="45">
      <c r="A843" s="495">
        <v>90667</v>
      </c>
      <c r="B843" s="348" t="s">
        <v>15368</v>
      </c>
      <c r="C843" s="349" t="s">
        <v>57</v>
      </c>
      <c r="D843" s="483">
        <v>39.65</v>
      </c>
      <c r="E843" s="483">
        <v>39.65</v>
      </c>
    </row>
    <row r="844" spans="1:5" ht="45">
      <c r="A844" s="494">
        <v>90670</v>
      </c>
      <c r="B844" s="485" t="s">
        <v>15369</v>
      </c>
      <c r="C844" s="484" t="s">
        <v>57</v>
      </c>
      <c r="D844" s="486">
        <v>138.22</v>
      </c>
      <c r="E844" s="486">
        <v>138.22</v>
      </c>
    </row>
    <row r="845" spans="1:5" ht="45">
      <c r="A845" s="495">
        <v>90671</v>
      </c>
      <c r="B845" s="348" t="s">
        <v>15370</v>
      </c>
      <c r="C845" s="349" t="s">
        <v>57</v>
      </c>
      <c r="D845" s="483">
        <v>30.54</v>
      </c>
      <c r="E845" s="483">
        <v>30.54</v>
      </c>
    </row>
    <row r="846" spans="1:5" ht="45">
      <c r="A846" s="494">
        <v>90672</v>
      </c>
      <c r="B846" s="485" t="s">
        <v>15371</v>
      </c>
      <c r="C846" s="484" t="s">
        <v>57</v>
      </c>
      <c r="D846" s="486">
        <v>145.47</v>
      </c>
      <c r="E846" s="486">
        <v>145.47</v>
      </c>
    </row>
    <row r="847" spans="1:5" ht="60">
      <c r="A847" s="495">
        <v>90673</v>
      </c>
      <c r="B847" s="348" t="s">
        <v>15372</v>
      </c>
      <c r="C847" s="349" t="s">
        <v>57</v>
      </c>
      <c r="D847" s="483">
        <v>126.76</v>
      </c>
      <c r="E847" s="483">
        <v>126.76</v>
      </c>
    </row>
    <row r="848" spans="1:5" ht="45">
      <c r="A848" s="494">
        <v>90676</v>
      </c>
      <c r="B848" s="485" t="s">
        <v>15373</v>
      </c>
      <c r="C848" s="484" t="s">
        <v>57</v>
      </c>
      <c r="D848" s="486">
        <v>68.91</v>
      </c>
      <c r="E848" s="486">
        <v>68.91</v>
      </c>
    </row>
    <row r="849" spans="1:5" ht="45">
      <c r="A849" s="495">
        <v>90677</v>
      </c>
      <c r="B849" s="348" t="s">
        <v>15374</v>
      </c>
      <c r="C849" s="349" t="s">
        <v>57</v>
      </c>
      <c r="D849" s="483">
        <v>15.22</v>
      </c>
      <c r="E849" s="483">
        <v>15.22</v>
      </c>
    </row>
    <row r="850" spans="1:5" ht="45">
      <c r="A850" s="494">
        <v>90678</v>
      </c>
      <c r="B850" s="485" t="s">
        <v>15375</v>
      </c>
      <c r="C850" s="484" t="s">
        <v>57</v>
      </c>
      <c r="D850" s="486">
        <v>72.52</v>
      </c>
      <c r="E850" s="486">
        <v>72.52</v>
      </c>
    </row>
    <row r="851" spans="1:5" ht="45">
      <c r="A851" s="495">
        <v>90679</v>
      </c>
      <c r="B851" s="348" t="s">
        <v>15376</v>
      </c>
      <c r="C851" s="349" t="s">
        <v>57</v>
      </c>
      <c r="D851" s="483">
        <v>64.790000000000006</v>
      </c>
      <c r="E851" s="483">
        <v>64.790000000000006</v>
      </c>
    </row>
    <row r="852" spans="1:5" ht="30">
      <c r="A852" s="494">
        <v>90682</v>
      </c>
      <c r="B852" s="485" t="s">
        <v>15377</v>
      </c>
      <c r="C852" s="484" t="s">
        <v>57</v>
      </c>
      <c r="D852" s="486">
        <v>24.32</v>
      </c>
      <c r="E852" s="486">
        <v>24.32</v>
      </c>
    </row>
    <row r="853" spans="1:5" ht="30">
      <c r="A853" s="495">
        <v>90683</v>
      </c>
      <c r="B853" s="348" t="s">
        <v>15378</v>
      </c>
      <c r="C853" s="349" t="s">
        <v>57</v>
      </c>
      <c r="D853" s="483">
        <v>5.47</v>
      </c>
      <c r="E853" s="483">
        <v>5.47</v>
      </c>
    </row>
    <row r="854" spans="1:5" ht="30">
      <c r="A854" s="494">
        <v>90684</v>
      </c>
      <c r="B854" s="485" t="s">
        <v>15379</v>
      </c>
      <c r="C854" s="484" t="s">
        <v>57</v>
      </c>
      <c r="D854" s="486">
        <v>26.6</v>
      </c>
      <c r="E854" s="486">
        <v>26.6</v>
      </c>
    </row>
    <row r="855" spans="1:5" ht="30">
      <c r="A855" s="495">
        <v>90685</v>
      </c>
      <c r="B855" s="348" t="s">
        <v>15380</v>
      </c>
      <c r="C855" s="349" t="s">
        <v>57</v>
      </c>
      <c r="D855" s="483">
        <v>40.19</v>
      </c>
      <c r="E855" s="483">
        <v>40.19</v>
      </c>
    </row>
    <row r="856" spans="1:5" ht="30">
      <c r="A856" s="494">
        <v>90688</v>
      </c>
      <c r="B856" s="485" t="s">
        <v>15381</v>
      </c>
      <c r="C856" s="484" t="s">
        <v>57</v>
      </c>
      <c r="D856" s="486">
        <v>8.69</v>
      </c>
      <c r="E856" s="486">
        <v>8.69</v>
      </c>
    </row>
    <row r="857" spans="1:5" ht="30">
      <c r="A857" s="495">
        <v>90689</v>
      </c>
      <c r="B857" s="348" t="s">
        <v>15382</v>
      </c>
      <c r="C857" s="349" t="s">
        <v>57</v>
      </c>
      <c r="D857" s="483">
        <v>1.95</v>
      </c>
      <c r="E857" s="483">
        <v>1.95</v>
      </c>
    </row>
    <row r="858" spans="1:5" ht="30">
      <c r="A858" s="494">
        <v>90690</v>
      </c>
      <c r="B858" s="485" t="s">
        <v>15383</v>
      </c>
      <c r="C858" s="484" t="s">
        <v>57</v>
      </c>
      <c r="D858" s="486">
        <v>9.51</v>
      </c>
      <c r="E858" s="486">
        <v>9.51</v>
      </c>
    </row>
    <row r="859" spans="1:5" ht="30">
      <c r="A859" s="495">
        <v>90691</v>
      </c>
      <c r="B859" s="348" t="s">
        <v>15384</v>
      </c>
      <c r="C859" s="349" t="s">
        <v>57</v>
      </c>
      <c r="D859" s="483">
        <v>22.22</v>
      </c>
      <c r="E859" s="483">
        <v>22.22</v>
      </c>
    </row>
    <row r="860" spans="1:5" ht="30">
      <c r="A860" s="494">
        <v>90957</v>
      </c>
      <c r="B860" s="485" t="s">
        <v>3688</v>
      </c>
      <c r="C860" s="484" t="s">
        <v>57</v>
      </c>
      <c r="D860" s="486">
        <v>1.86</v>
      </c>
      <c r="E860" s="486">
        <v>1.86</v>
      </c>
    </row>
    <row r="861" spans="1:5" ht="30">
      <c r="A861" s="495">
        <v>90958</v>
      </c>
      <c r="B861" s="348" t="s">
        <v>3689</v>
      </c>
      <c r="C861" s="349" t="s">
        <v>57</v>
      </c>
      <c r="D861" s="483">
        <v>0.51</v>
      </c>
      <c r="E861" s="483">
        <v>0.51</v>
      </c>
    </row>
    <row r="862" spans="1:5" ht="30">
      <c r="A862" s="494">
        <v>90960</v>
      </c>
      <c r="B862" s="485" t="s">
        <v>3713</v>
      </c>
      <c r="C862" s="484" t="s">
        <v>57</v>
      </c>
      <c r="D862" s="486">
        <v>2.42</v>
      </c>
      <c r="E862" s="486">
        <v>2.42</v>
      </c>
    </row>
    <row r="863" spans="1:5" ht="30">
      <c r="A863" s="495">
        <v>90961</v>
      </c>
      <c r="B863" s="348" t="s">
        <v>3714</v>
      </c>
      <c r="C863" s="349" t="s">
        <v>57</v>
      </c>
      <c r="D863" s="483">
        <v>0.68</v>
      </c>
      <c r="E863" s="483">
        <v>0.68</v>
      </c>
    </row>
    <row r="864" spans="1:5" ht="30">
      <c r="A864" s="494">
        <v>90962</v>
      </c>
      <c r="B864" s="485" t="s">
        <v>3715</v>
      </c>
      <c r="C864" s="484" t="s">
        <v>57</v>
      </c>
      <c r="D864" s="486">
        <v>2.85</v>
      </c>
      <c r="E864" s="486">
        <v>2.85</v>
      </c>
    </row>
    <row r="865" spans="1:5" ht="30">
      <c r="A865" s="495">
        <v>90963</v>
      </c>
      <c r="B865" s="348" t="s">
        <v>15385</v>
      </c>
      <c r="C865" s="349" t="s">
        <v>57</v>
      </c>
      <c r="D865" s="483">
        <v>10.27</v>
      </c>
      <c r="E865" s="483">
        <v>10.27</v>
      </c>
    </row>
    <row r="866" spans="1:5" ht="30">
      <c r="A866" s="494">
        <v>90968</v>
      </c>
      <c r="B866" s="485" t="s">
        <v>15386</v>
      </c>
      <c r="C866" s="484" t="s">
        <v>57</v>
      </c>
      <c r="D866" s="486">
        <v>2.42</v>
      </c>
      <c r="E866" s="486">
        <v>2.42</v>
      </c>
    </row>
    <row r="867" spans="1:5" ht="30">
      <c r="A867" s="495">
        <v>90969</v>
      </c>
      <c r="B867" s="348" t="s">
        <v>15387</v>
      </c>
      <c r="C867" s="349" t="s">
        <v>57</v>
      </c>
      <c r="D867" s="483">
        <v>0.68</v>
      </c>
      <c r="E867" s="483">
        <v>0.68</v>
      </c>
    </row>
    <row r="868" spans="1:5" ht="30">
      <c r="A868" s="494">
        <v>90970</v>
      </c>
      <c r="B868" s="485" t="s">
        <v>15388</v>
      </c>
      <c r="C868" s="484" t="s">
        <v>57</v>
      </c>
      <c r="D868" s="486">
        <v>2.85</v>
      </c>
      <c r="E868" s="486">
        <v>2.85</v>
      </c>
    </row>
    <row r="869" spans="1:5" ht="30">
      <c r="A869" s="495">
        <v>90971</v>
      </c>
      <c r="B869" s="348" t="s">
        <v>15389</v>
      </c>
      <c r="C869" s="349" t="s">
        <v>57</v>
      </c>
      <c r="D869" s="483">
        <v>41.59</v>
      </c>
      <c r="E869" s="483">
        <v>41.59</v>
      </c>
    </row>
    <row r="870" spans="1:5" ht="30">
      <c r="A870" s="494">
        <v>90975</v>
      </c>
      <c r="B870" s="485" t="s">
        <v>3707</v>
      </c>
      <c r="C870" s="484" t="s">
        <v>57</v>
      </c>
      <c r="D870" s="486">
        <v>6.16</v>
      </c>
      <c r="E870" s="486">
        <v>6.16</v>
      </c>
    </row>
    <row r="871" spans="1:5" ht="30">
      <c r="A871" s="495">
        <v>90976</v>
      </c>
      <c r="B871" s="348" t="s">
        <v>3708</v>
      </c>
      <c r="C871" s="349" t="s">
        <v>57</v>
      </c>
      <c r="D871" s="483">
        <v>1.74</v>
      </c>
      <c r="E871" s="483">
        <v>1.74</v>
      </c>
    </row>
    <row r="872" spans="1:5" ht="30">
      <c r="A872" s="494">
        <v>90977</v>
      </c>
      <c r="B872" s="485" t="s">
        <v>3709</v>
      </c>
      <c r="C872" s="484" t="s">
        <v>57</v>
      </c>
      <c r="D872" s="486">
        <v>7.25</v>
      </c>
      <c r="E872" s="486">
        <v>7.25</v>
      </c>
    </row>
    <row r="873" spans="1:5" ht="30">
      <c r="A873" s="495">
        <v>90978</v>
      </c>
      <c r="B873" s="348" t="s">
        <v>15390</v>
      </c>
      <c r="C873" s="349" t="s">
        <v>57</v>
      </c>
      <c r="D873" s="483">
        <v>107.78</v>
      </c>
      <c r="E873" s="483">
        <v>107.78</v>
      </c>
    </row>
    <row r="874" spans="1:5" ht="30">
      <c r="A874" s="494">
        <v>90992</v>
      </c>
      <c r="B874" s="485" t="s">
        <v>15391</v>
      </c>
      <c r="C874" s="484" t="s">
        <v>57</v>
      </c>
      <c r="D874" s="486">
        <v>2.88</v>
      </c>
      <c r="E874" s="486">
        <v>2.88</v>
      </c>
    </row>
    <row r="875" spans="1:5" ht="30">
      <c r="A875" s="495">
        <v>90993</v>
      </c>
      <c r="B875" s="348" t="s">
        <v>15392</v>
      </c>
      <c r="C875" s="349" t="s">
        <v>57</v>
      </c>
      <c r="D875" s="483">
        <v>0.81</v>
      </c>
      <c r="E875" s="483">
        <v>0.81</v>
      </c>
    </row>
    <row r="876" spans="1:5" ht="30">
      <c r="A876" s="494">
        <v>90994</v>
      </c>
      <c r="B876" s="485" t="s">
        <v>15393</v>
      </c>
      <c r="C876" s="484" t="s">
        <v>57</v>
      </c>
      <c r="D876" s="486">
        <v>3.38</v>
      </c>
      <c r="E876" s="486">
        <v>3.38</v>
      </c>
    </row>
    <row r="877" spans="1:5" ht="30">
      <c r="A877" s="495">
        <v>90995</v>
      </c>
      <c r="B877" s="348" t="s">
        <v>15394</v>
      </c>
      <c r="C877" s="349" t="s">
        <v>57</v>
      </c>
      <c r="D877" s="483">
        <v>56.45</v>
      </c>
      <c r="E877" s="483">
        <v>56.45</v>
      </c>
    </row>
    <row r="878" spans="1:5" ht="45">
      <c r="A878" s="494">
        <v>91021</v>
      </c>
      <c r="B878" s="485" t="s">
        <v>15395</v>
      </c>
      <c r="C878" s="484" t="s">
        <v>57</v>
      </c>
      <c r="D878" s="486">
        <v>3.13</v>
      </c>
      <c r="E878" s="486">
        <v>3.13</v>
      </c>
    </row>
    <row r="879" spans="1:5" ht="45">
      <c r="A879" s="495">
        <v>91026</v>
      </c>
      <c r="B879" s="348" t="s">
        <v>3288</v>
      </c>
      <c r="C879" s="349" t="s">
        <v>57</v>
      </c>
      <c r="D879" s="483">
        <v>13.16</v>
      </c>
      <c r="E879" s="483">
        <v>13.16</v>
      </c>
    </row>
    <row r="880" spans="1:5" ht="45">
      <c r="A880" s="494">
        <v>91027</v>
      </c>
      <c r="B880" s="485" t="s">
        <v>3290</v>
      </c>
      <c r="C880" s="484" t="s">
        <v>57</v>
      </c>
      <c r="D880" s="486">
        <v>3.35</v>
      </c>
      <c r="E880" s="486">
        <v>3.35</v>
      </c>
    </row>
    <row r="881" spans="1:5" ht="45">
      <c r="A881" s="495">
        <v>91028</v>
      </c>
      <c r="B881" s="348" t="s">
        <v>3289</v>
      </c>
      <c r="C881" s="349" t="s">
        <v>57</v>
      </c>
      <c r="D881" s="483">
        <v>0.68</v>
      </c>
      <c r="E881" s="483">
        <v>0.68</v>
      </c>
    </row>
    <row r="882" spans="1:5" ht="45">
      <c r="A882" s="494">
        <v>91029</v>
      </c>
      <c r="B882" s="485" t="s">
        <v>3291</v>
      </c>
      <c r="C882" s="484" t="s">
        <v>57</v>
      </c>
      <c r="D882" s="486">
        <v>16.440000000000001</v>
      </c>
      <c r="E882" s="486">
        <v>16.440000000000001</v>
      </c>
    </row>
    <row r="883" spans="1:5" ht="45">
      <c r="A883" s="495">
        <v>91030</v>
      </c>
      <c r="B883" s="348" t="s">
        <v>3292</v>
      </c>
      <c r="C883" s="349" t="s">
        <v>57</v>
      </c>
      <c r="D883" s="483">
        <v>80.83</v>
      </c>
      <c r="E883" s="483">
        <v>80.83</v>
      </c>
    </row>
    <row r="884" spans="1:5" ht="30">
      <c r="A884" s="494">
        <v>91273</v>
      </c>
      <c r="B884" s="485" t="s">
        <v>15396</v>
      </c>
      <c r="C884" s="484" t="s">
        <v>57</v>
      </c>
      <c r="D884" s="486">
        <v>0.69</v>
      </c>
      <c r="E884" s="486">
        <v>0.69</v>
      </c>
    </row>
    <row r="885" spans="1:5" ht="30">
      <c r="A885" s="495">
        <v>91274</v>
      </c>
      <c r="B885" s="348" t="s">
        <v>15397</v>
      </c>
      <c r="C885" s="349" t="s">
        <v>57</v>
      </c>
      <c r="D885" s="483">
        <v>0.24</v>
      </c>
      <c r="E885" s="483">
        <v>0.24</v>
      </c>
    </row>
    <row r="886" spans="1:5" ht="30">
      <c r="A886" s="494">
        <v>91275</v>
      </c>
      <c r="B886" s="485" t="s">
        <v>15398</v>
      </c>
      <c r="C886" s="484" t="s">
        <v>57</v>
      </c>
      <c r="D886" s="486">
        <v>0.45</v>
      </c>
      <c r="E886" s="486">
        <v>0.45</v>
      </c>
    </row>
    <row r="887" spans="1:5" ht="30">
      <c r="A887" s="495">
        <v>91276</v>
      </c>
      <c r="B887" s="348" t="s">
        <v>15399</v>
      </c>
      <c r="C887" s="349" t="s">
        <v>57</v>
      </c>
      <c r="D887" s="483">
        <v>4.5599999999999996</v>
      </c>
      <c r="E887" s="483">
        <v>4.5599999999999996</v>
      </c>
    </row>
    <row r="888" spans="1:5" ht="45">
      <c r="A888" s="494">
        <v>91279</v>
      </c>
      <c r="B888" s="485" t="s">
        <v>15400</v>
      </c>
      <c r="C888" s="484" t="s">
        <v>57</v>
      </c>
      <c r="D888" s="486">
        <v>0.57999999999999996</v>
      </c>
      <c r="E888" s="486">
        <v>0.57999999999999996</v>
      </c>
    </row>
    <row r="889" spans="1:5" ht="45">
      <c r="A889" s="495">
        <v>91280</v>
      </c>
      <c r="B889" s="348" t="s">
        <v>15401</v>
      </c>
      <c r="C889" s="349" t="s">
        <v>57</v>
      </c>
      <c r="D889" s="483">
        <v>0.17</v>
      </c>
      <c r="E889" s="483">
        <v>0.17</v>
      </c>
    </row>
    <row r="890" spans="1:5" ht="45">
      <c r="A890" s="494">
        <v>91281</v>
      </c>
      <c r="B890" s="485" t="s">
        <v>15402</v>
      </c>
      <c r="C890" s="484" t="s">
        <v>57</v>
      </c>
      <c r="D890" s="486">
        <v>0.56999999999999995</v>
      </c>
      <c r="E890" s="486">
        <v>0.56999999999999995</v>
      </c>
    </row>
    <row r="891" spans="1:5" ht="45">
      <c r="A891" s="495">
        <v>91282</v>
      </c>
      <c r="B891" s="348" t="s">
        <v>15403</v>
      </c>
      <c r="C891" s="349" t="s">
        <v>57</v>
      </c>
      <c r="D891" s="483">
        <v>10.97</v>
      </c>
      <c r="E891" s="483">
        <v>10.97</v>
      </c>
    </row>
    <row r="892" spans="1:5" ht="30">
      <c r="A892" s="494">
        <v>91354</v>
      </c>
      <c r="B892" s="485" t="s">
        <v>3261</v>
      </c>
      <c r="C892" s="484" t="s">
        <v>57</v>
      </c>
      <c r="D892" s="486">
        <v>10.119999999999999</v>
      </c>
      <c r="E892" s="486">
        <v>10.119999999999999</v>
      </c>
    </row>
    <row r="893" spans="1:5" ht="30">
      <c r="A893" s="495">
        <v>91355</v>
      </c>
      <c r="B893" s="348" t="s">
        <v>3263</v>
      </c>
      <c r="C893" s="349" t="s">
        <v>57</v>
      </c>
      <c r="D893" s="483">
        <v>2.59</v>
      </c>
      <c r="E893" s="483">
        <v>2.59</v>
      </c>
    </row>
    <row r="894" spans="1:5" ht="45">
      <c r="A894" s="494">
        <v>91356</v>
      </c>
      <c r="B894" s="485" t="s">
        <v>3262</v>
      </c>
      <c r="C894" s="484" t="s">
        <v>57</v>
      </c>
      <c r="D894" s="486">
        <v>0.53</v>
      </c>
      <c r="E894" s="486">
        <v>0.53</v>
      </c>
    </row>
    <row r="895" spans="1:5" ht="45">
      <c r="A895" s="495">
        <v>91359</v>
      </c>
      <c r="B895" s="348" t="s">
        <v>15404</v>
      </c>
      <c r="C895" s="349" t="s">
        <v>57</v>
      </c>
      <c r="D895" s="483">
        <v>10.78</v>
      </c>
      <c r="E895" s="483">
        <v>10.78</v>
      </c>
    </row>
    <row r="896" spans="1:5" ht="45">
      <c r="A896" s="494">
        <v>91360</v>
      </c>
      <c r="B896" s="485" t="s">
        <v>15405</v>
      </c>
      <c r="C896" s="484" t="s">
        <v>57</v>
      </c>
      <c r="D896" s="486">
        <v>2.75</v>
      </c>
      <c r="E896" s="486">
        <v>2.75</v>
      </c>
    </row>
    <row r="897" spans="1:5" ht="45">
      <c r="A897" s="495">
        <v>91361</v>
      </c>
      <c r="B897" s="348" t="s">
        <v>15406</v>
      </c>
      <c r="C897" s="349" t="s">
        <v>57</v>
      </c>
      <c r="D897" s="483">
        <v>0.56000000000000005</v>
      </c>
      <c r="E897" s="483">
        <v>0.56000000000000005</v>
      </c>
    </row>
    <row r="898" spans="1:5" ht="45">
      <c r="A898" s="494">
        <v>91367</v>
      </c>
      <c r="B898" s="485" t="s">
        <v>15407</v>
      </c>
      <c r="C898" s="484" t="s">
        <v>57</v>
      </c>
      <c r="D898" s="486">
        <v>14.13</v>
      </c>
      <c r="E898" s="486">
        <v>14.13</v>
      </c>
    </row>
    <row r="899" spans="1:5" ht="45">
      <c r="A899" s="495">
        <v>91368</v>
      </c>
      <c r="B899" s="348" t="s">
        <v>15408</v>
      </c>
      <c r="C899" s="349" t="s">
        <v>57</v>
      </c>
      <c r="D899" s="483">
        <v>3.34</v>
      </c>
      <c r="E899" s="483">
        <v>3.34</v>
      </c>
    </row>
    <row r="900" spans="1:5" ht="45">
      <c r="A900" s="494">
        <v>91369</v>
      </c>
      <c r="B900" s="485" t="s">
        <v>15409</v>
      </c>
      <c r="C900" s="484" t="s">
        <v>57</v>
      </c>
      <c r="D900" s="486">
        <v>0.66</v>
      </c>
      <c r="E900" s="486">
        <v>0.66</v>
      </c>
    </row>
    <row r="901" spans="1:5" ht="30">
      <c r="A901" s="495">
        <v>91375</v>
      </c>
      <c r="B901" s="348" t="s">
        <v>15410</v>
      </c>
      <c r="C901" s="349" t="s">
        <v>57</v>
      </c>
      <c r="D901" s="483">
        <v>8.5399999999999991</v>
      </c>
      <c r="E901" s="483">
        <v>8.5399999999999991</v>
      </c>
    </row>
    <row r="902" spans="1:5" ht="30">
      <c r="A902" s="494">
        <v>91376</v>
      </c>
      <c r="B902" s="485" t="s">
        <v>15411</v>
      </c>
      <c r="C902" s="484" t="s">
        <v>57</v>
      </c>
      <c r="D902" s="486">
        <v>2.1800000000000002</v>
      </c>
      <c r="E902" s="486">
        <v>2.1800000000000002</v>
      </c>
    </row>
    <row r="903" spans="1:5" ht="45">
      <c r="A903" s="495">
        <v>91377</v>
      </c>
      <c r="B903" s="348" t="s">
        <v>15412</v>
      </c>
      <c r="C903" s="349" t="s">
        <v>57</v>
      </c>
      <c r="D903" s="483">
        <v>0.44</v>
      </c>
      <c r="E903" s="483">
        <v>0.44</v>
      </c>
    </row>
    <row r="904" spans="1:5" ht="45">
      <c r="A904" s="494">
        <v>91380</v>
      </c>
      <c r="B904" s="485" t="s">
        <v>15413</v>
      </c>
      <c r="C904" s="484" t="s">
        <v>57</v>
      </c>
      <c r="D904" s="486">
        <v>16</v>
      </c>
      <c r="E904" s="486">
        <v>16</v>
      </c>
    </row>
    <row r="905" spans="1:5" ht="45">
      <c r="A905" s="495">
        <v>91381</v>
      </c>
      <c r="B905" s="348" t="s">
        <v>15414</v>
      </c>
      <c r="C905" s="349" t="s">
        <v>57</v>
      </c>
      <c r="D905" s="483">
        <v>3.78</v>
      </c>
      <c r="E905" s="483">
        <v>3.78</v>
      </c>
    </row>
    <row r="906" spans="1:5" ht="45">
      <c r="A906" s="494">
        <v>91382</v>
      </c>
      <c r="B906" s="485" t="s">
        <v>15415</v>
      </c>
      <c r="C906" s="484" t="s">
        <v>57</v>
      </c>
      <c r="D906" s="486">
        <v>0.76</v>
      </c>
      <c r="E906" s="486">
        <v>0.76</v>
      </c>
    </row>
    <row r="907" spans="1:5" ht="45">
      <c r="A907" s="495">
        <v>91383</v>
      </c>
      <c r="B907" s="348" t="s">
        <v>15416</v>
      </c>
      <c r="C907" s="349" t="s">
        <v>57</v>
      </c>
      <c r="D907" s="483">
        <v>22.49</v>
      </c>
      <c r="E907" s="483">
        <v>22.49</v>
      </c>
    </row>
    <row r="908" spans="1:5" ht="45">
      <c r="A908" s="494">
        <v>91384</v>
      </c>
      <c r="B908" s="485" t="s">
        <v>15417</v>
      </c>
      <c r="C908" s="484" t="s">
        <v>57</v>
      </c>
      <c r="D908" s="486">
        <v>80.48</v>
      </c>
      <c r="E908" s="486">
        <v>80.48</v>
      </c>
    </row>
    <row r="909" spans="1:5" ht="45">
      <c r="A909" s="495">
        <v>91390</v>
      </c>
      <c r="B909" s="348" t="s">
        <v>15418</v>
      </c>
      <c r="C909" s="349" t="s">
        <v>57</v>
      </c>
      <c r="D909" s="483">
        <v>13.83</v>
      </c>
      <c r="E909" s="483">
        <v>13.83</v>
      </c>
    </row>
    <row r="910" spans="1:5" ht="45">
      <c r="A910" s="494">
        <v>91391</v>
      </c>
      <c r="B910" s="485" t="s">
        <v>15419</v>
      </c>
      <c r="C910" s="484" t="s">
        <v>57</v>
      </c>
      <c r="D910" s="486">
        <v>2.81</v>
      </c>
      <c r="E910" s="486">
        <v>2.81</v>
      </c>
    </row>
    <row r="911" spans="1:5" ht="45">
      <c r="A911" s="495">
        <v>91392</v>
      </c>
      <c r="B911" s="348" t="s">
        <v>15420</v>
      </c>
      <c r="C911" s="349" t="s">
        <v>57</v>
      </c>
      <c r="D911" s="483">
        <v>0.56999999999999995</v>
      </c>
      <c r="E911" s="483">
        <v>0.56999999999999995</v>
      </c>
    </row>
    <row r="912" spans="1:5" ht="45">
      <c r="A912" s="494">
        <v>91396</v>
      </c>
      <c r="B912" s="485" t="s">
        <v>15421</v>
      </c>
      <c r="C912" s="484" t="s">
        <v>57</v>
      </c>
      <c r="D912" s="486">
        <v>13.89</v>
      </c>
      <c r="E912" s="486">
        <v>13.89</v>
      </c>
    </row>
    <row r="913" spans="1:5" ht="45">
      <c r="A913" s="495">
        <v>91397</v>
      </c>
      <c r="B913" s="348" t="s">
        <v>15422</v>
      </c>
      <c r="C913" s="349" t="s">
        <v>57</v>
      </c>
      <c r="D913" s="483">
        <v>3.54</v>
      </c>
      <c r="E913" s="483">
        <v>3.54</v>
      </c>
    </row>
    <row r="914" spans="1:5" ht="45">
      <c r="A914" s="494">
        <v>91398</v>
      </c>
      <c r="B914" s="485" t="s">
        <v>15423</v>
      </c>
      <c r="C914" s="484" t="s">
        <v>57</v>
      </c>
      <c r="D914" s="486">
        <v>0.72</v>
      </c>
      <c r="E914" s="486">
        <v>0.72</v>
      </c>
    </row>
    <row r="915" spans="1:5" ht="45">
      <c r="A915" s="495">
        <v>91402</v>
      </c>
      <c r="B915" s="348" t="s">
        <v>15424</v>
      </c>
      <c r="C915" s="349" t="s">
        <v>57</v>
      </c>
      <c r="D915" s="483">
        <v>0.63</v>
      </c>
      <c r="E915" s="483">
        <v>0.63</v>
      </c>
    </row>
    <row r="916" spans="1:5" ht="45">
      <c r="A916" s="494">
        <v>91466</v>
      </c>
      <c r="B916" s="485" t="s">
        <v>15425</v>
      </c>
      <c r="C916" s="484" t="s">
        <v>57</v>
      </c>
      <c r="D916" s="486">
        <v>0.62</v>
      </c>
      <c r="E916" s="486">
        <v>0.62</v>
      </c>
    </row>
    <row r="917" spans="1:5" ht="45">
      <c r="A917" s="495">
        <v>91467</v>
      </c>
      <c r="B917" s="348" t="s">
        <v>15426</v>
      </c>
      <c r="C917" s="349" t="s">
        <v>57</v>
      </c>
      <c r="D917" s="483">
        <v>66.12</v>
      </c>
      <c r="E917" s="483">
        <v>66.12</v>
      </c>
    </row>
    <row r="918" spans="1:5" ht="45">
      <c r="A918" s="494">
        <v>91468</v>
      </c>
      <c r="B918" s="485" t="s">
        <v>15427</v>
      </c>
      <c r="C918" s="484" t="s">
        <v>57</v>
      </c>
      <c r="D918" s="486">
        <v>17.72</v>
      </c>
      <c r="E918" s="486">
        <v>17.72</v>
      </c>
    </row>
    <row r="919" spans="1:5" ht="45">
      <c r="A919" s="495">
        <v>91469</v>
      </c>
      <c r="B919" s="348" t="s">
        <v>5270</v>
      </c>
      <c r="C919" s="349" t="s">
        <v>57</v>
      </c>
      <c r="D919" s="483">
        <v>4.53</v>
      </c>
      <c r="E919" s="483">
        <v>4.53</v>
      </c>
    </row>
    <row r="920" spans="1:5" ht="45">
      <c r="A920" s="494">
        <v>91484</v>
      </c>
      <c r="B920" s="485" t="s">
        <v>15428</v>
      </c>
      <c r="C920" s="484" t="s">
        <v>57</v>
      </c>
      <c r="D920" s="486">
        <v>0.93</v>
      </c>
      <c r="E920" s="486">
        <v>0.93</v>
      </c>
    </row>
    <row r="921" spans="1:5" ht="45">
      <c r="A921" s="495">
        <v>91485</v>
      </c>
      <c r="B921" s="348" t="s">
        <v>15429</v>
      </c>
      <c r="C921" s="349" t="s">
        <v>57</v>
      </c>
      <c r="D921" s="483">
        <v>96.43</v>
      </c>
      <c r="E921" s="483">
        <v>96.43</v>
      </c>
    </row>
    <row r="922" spans="1:5" ht="30">
      <c r="A922" s="494">
        <v>91529</v>
      </c>
      <c r="B922" s="485" t="s">
        <v>15430</v>
      </c>
      <c r="C922" s="484" t="s">
        <v>57</v>
      </c>
      <c r="D922" s="486">
        <v>1.1399999999999999</v>
      </c>
      <c r="E922" s="486">
        <v>1.1399999999999999</v>
      </c>
    </row>
    <row r="923" spans="1:5" ht="30">
      <c r="A923" s="495">
        <v>91530</v>
      </c>
      <c r="B923" s="348" t="s">
        <v>15431</v>
      </c>
      <c r="C923" s="349" t="s">
        <v>57</v>
      </c>
      <c r="D923" s="483">
        <v>0.35</v>
      </c>
      <c r="E923" s="483">
        <v>0.35</v>
      </c>
    </row>
    <row r="924" spans="1:5" ht="30">
      <c r="A924" s="494">
        <v>91531</v>
      </c>
      <c r="B924" s="485" t="s">
        <v>15432</v>
      </c>
      <c r="C924" s="484" t="s">
        <v>57</v>
      </c>
      <c r="D924" s="486">
        <v>1.2</v>
      </c>
      <c r="E924" s="486">
        <v>1.2</v>
      </c>
    </row>
    <row r="925" spans="1:5" ht="30">
      <c r="A925" s="495">
        <v>91532</v>
      </c>
      <c r="B925" s="348" t="s">
        <v>15433</v>
      </c>
      <c r="C925" s="349" t="s">
        <v>57</v>
      </c>
      <c r="D925" s="483">
        <v>3.31</v>
      </c>
      <c r="E925" s="483">
        <v>3.31</v>
      </c>
    </row>
    <row r="926" spans="1:5" ht="45">
      <c r="A926" s="494">
        <v>91629</v>
      </c>
      <c r="B926" s="485" t="s">
        <v>15434</v>
      </c>
      <c r="C926" s="484" t="s">
        <v>57</v>
      </c>
      <c r="D926" s="486">
        <v>11.09</v>
      </c>
      <c r="E926" s="486">
        <v>11.09</v>
      </c>
    </row>
    <row r="927" spans="1:5" ht="45">
      <c r="A927" s="495">
        <v>91630</v>
      </c>
      <c r="B927" s="348" t="s">
        <v>15435</v>
      </c>
      <c r="C927" s="349" t="s">
        <v>57</v>
      </c>
      <c r="D927" s="483">
        <v>2.83</v>
      </c>
      <c r="E927" s="483">
        <v>2.83</v>
      </c>
    </row>
    <row r="928" spans="1:5" ht="45">
      <c r="A928" s="494">
        <v>91631</v>
      </c>
      <c r="B928" s="485" t="s">
        <v>15436</v>
      </c>
      <c r="C928" s="484" t="s">
        <v>57</v>
      </c>
      <c r="D928" s="486">
        <v>0.56999999999999995</v>
      </c>
      <c r="E928" s="486">
        <v>0.56999999999999995</v>
      </c>
    </row>
    <row r="929" spans="1:5" ht="45">
      <c r="A929" s="495">
        <v>91632</v>
      </c>
      <c r="B929" s="348" t="s">
        <v>15437</v>
      </c>
      <c r="C929" s="349" t="s">
        <v>57</v>
      </c>
      <c r="D929" s="483">
        <v>13.86</v>
      </c>
      <c r="E929" s="483">
        <v>13.86</v>
      </c>
    </row>
    <row r="930" spans="1:5" ht="45">
      <c r="A930" s="494">
        <v>91633</v>
      </c>
      <c r="B930" s="485" t="s">
        <v>15438</v>
      </c>
      <c r="C930" s="484" t="s">
        <v>57</v>
      </c>
      <c r="D930" s="486">
        <v>55.98</v>
      </c>
      <c r="E930" s="486">
        <v>55.98</v>
      </c>
    </row>
    <row r="931" spans="1:5" ht="45">
      <c r="A931" s="495">
        <v>91640</v>
      </c>
      <c r="B931" s="348" t="s">
        <v>15439</v>
      </c>
      <c r="C931" s="349" t="s">
        <v>57</v>
      </c>
      <c r="D931" s="483">
        <v>22.37</v>
      </c>
      <c r="E931" s="483">
        <v>22.37</v>
      </c>
    </row>
    <row r="932" spans="1:5" ht="45">
      <c r="A932" s="494">
        <v>91641</v>
      </c>
      <c r="B932" s="485" t="s">
        <v>15440</v>
      </c>
      <c r="C932" s="484" t="s">
        <v>57</v>
      </c>
      <c r="D932" s="486">
        <v>10.91</v>
      </c>
      <c r="E932" s="486">
        <v>10.91</v>
      </c>
    </row>
    <row r="933" spans="1:5" ht="45">
      <c r="A933" s="495">
        <v>91642</v>
      </c>
      <c r="B933" s="348" t="s">
        <v>15441</v>
      </c>
      <c r="C933" s="349" t="s">
        <v>57</v>
      </c>
      <c r="D933" s="483">
        <v>2.2599999999999998</v>
      </c>
      <c r="E933" s="483">
        <v>2.2599999999999998</v>
      </c>
    </row>
    <row r="934" spans="1:5" ht="45">
      <c r="A934" s="494">
        <v>91643</v>
      </c>
      <c r="B934" s="485" t="s">
        <v>15442</v>
      </c>
      <c r="C934" s="484" t="s">
        <v>57</v>
      </c>
      <c r="D934" s="486">
        <v>31.49</v>
      </c>
      <c r="E934" s="486">
        <v>31.49</v>
      </c>
    </row>
    <row r="935" spans="1:5" ht="45">
      <c r="A935" s="495">
        <v>91644</v>
      </c>
      <c r="B935" s="348" t="s">
        <v>15443</v>
      </c>
      <c r="C935" s="349" t="s">
        <v>57</v>
      </c>
      <c r="D935" s="483">
        <v>125.97</v>
      </c>
      <c r="E935" s="483">
        <v>125.97</v>
      </c>
    </row>
    <row r="936" spans="1:5" ht="30">
      <c r="A936" s="494">
        <v>91688</v>
      </c>
      <c r="B936" s="485" t="s">
        <v>15444</v>
      </c>
      <c r="C936" s="484" t="s">
        <v>57</v>
      </c>
      <c r="D936" s="486">
        <v>0.04</v>
      </c>
      <c r="E936" s="486">
        <v>0.04</v>
      </c>
    </row>
    <row r="937" spans="1:5" ht="30">
      <c r="A937" s="495">
        <v>91689</v>
      </c>
      <c r="B937" s="348" t="s">
        <v>15445</v>
      </c>
      <c r="C937" s="349" t="s">
        <v>57</v>
      </c>
      <c r="D937" s="483">
        <v>0.01</v>
      </c>
      <c r="E937" s="483">
        <v>0.01</v>
      </c>
    </row>
    <row r="938" spans="1:5" ht="30">
      <c r="A938" s="494">
        <v>91690</v>
      </c>
      <c r="B938" s="485" t="s">
        <v>15446</v>
      </c>
      <c r="C938" s="484" t="s">
        <v>57</v>
      </c>
      <c r="D938" s="486">
        <v>0.02</v>
      </c>
      <c r="E938" s="486">
        <v>0.02</v>
      </c>
    </row>
    <row r="939" spans="1:5" ht="30">
      <c r="A939" s="495">
        <v>91691</v>
      </c>
      <c r="B939" s="348" t="s">
        <v>15447</v>
      </c>
      <c r="C939" s="349" t="s">
        <v>57</v>
      </c>
      <c r="D939" s="483">
        <v>1.64</v>
      </c>
      <c r="E939" s="483">
        <v>1.64</v>
      </c>
    </row>
    <row r="940" spans="1:5" ht="30">
      <c r="A940" s="494">
        <v>92040</v>
      </c>
      <c r="B940" s="485" t="s">
        <v>15448</v>
      </c>
      <c r="C940" s="484" t="s">
        <v>57</v>
      </c>
      <c r="D940" s="486">
        <v>2.9</v>
      </c>
      <c r="E940" s="486">
        <v>2.9</v>
      </c>
    </row>
    <row r="941" spans="1:5" ht="30">
      <c r="A941" s="495">
        <v>92041</v>
      </c>
      <c r="B941" s="348" t="s">
        <v>15449</v>
      </c>
      <c r="C941" s="349" t="s">
        <v>57</v>
      </c>
      <c r="D941" s="483">
        <v>1.06</v>
      </c>
      <c r="E941" s="483">
        <v>1.06</v>
      </c>
    </row>
    <row r="942" spans="1:5" ht="30">
      <c r="A942" s="494">
        <v>92042</v>
      </c>
      <c r="B942" s="485" t="s">
        <v>15450</v>
      </c>
      <c r="C942" s="484" t="s">
        <v>57</v>
      </c>
      <c r="D942" s="486">
        <v>2.0099999999999998</v>
      </c>
      <c r="E942" s="486">
        <v>2.0099999999999998</v>
      </c>
    </row>
    <row r="943" spans="1:5" ht="60">
      <c r="A943" s="495">
        <v>92101</v>
      </c>
      <c r="B943" s="348" t="s">
        <v>15451</v>
      </c>
      <c r="C943" s="349" t="s">
        <v>57</v>
      </c>
      <c r="D943" s="483">
        <v>15.91</v>
      </c>
      <c r="E943" s="483">
        <v>15.91</v>
      </c>
    </row>
    <row r="944" spans="1:5" ht="45">
      <c r="A944" s="494">
        <v>92102</v>
      </c>
      <c r="B944" s="485" t="s">
        <v>15452</v>
      </c>
      <c r="C944" s="484" t="s">
        <v>57</v>
      </c>
      <c r="D944" s="486">
        <v>7.76</v>
      </c>
      <c r="E944" s="486">
        <v>7.76</v>
      </c>
    </row>
    <row r="945" spans="1:5" ht="60">
      <c r="A945" s="495">
        <v>92103</v>
      </c>
      <c r="B945" s="348" t="s">
        <v>15453</v>
      </c>
      <c r="C945" s="349" t="s">
        <v>57</v>
      </c>
      <c r="D945" s="483">
        <v>1.6</v>
      </c>
      <c r="E945" s="483">
        <v>1.6</v>
      </c>
    </row>
    <row r="946" spans="1:5" ht="60">
      <c r="A946" s="494">
        <v>92104</v>
      </c>
      <c r="B946" s="485" t="s">
        <v>15454</v>
      </c>
      <c r="C946" s="484" t="s">
        <v>57</v>
      </c>
      <c r="D946" s="486">
        <v>22.38</v>
      </c>
      <c r="E946" s="486">
        <v>22.38</v>
      </c>
    </row>
    <row r="947" spans="1:5" ht="60">
      <c r="A947" s="495">
        <v>92105</v>
      </c>
      <c r="B947" s="348" t="s">
        <v>15455</v>
      </c>
      <c r="C947" s="349" t="s">
        <v>57</v>
      </c>
      <c r="D947" s="483">
        <v>80.48</v>
      </c>
      <c r="E947" s="483">
        <v>80.48</v>
      </c>
    </row>
    <row r="948" spans="1:5" ht="30">
      <c r="A948" s="494">
        <v>92108</v>
      </c>
      <c r="B948" s="485" t="s">
        <v>7904</v>
      </c>
      <c r="C948" s="484" t="s">
        <v>57</v>
      </c>
      <c r="D948" s="486">
        <v>0.77</v>
      </c>
      <c r="E948" s="486">
        <v>0.77</v>
      </c>
    </row>
    <row r="949" spans="1:5" ht="30">
      <c r="A949" s="495">
        <v>92109</v>
      </c>
      <c r="B949" s="348" t="s">
        <v>7905</v>
      </c>
      <c r="C949" s="349" t="s">
        <v>57</v>
      </c>
      <c r="D949" s="483">
        <v>0.24</v>
      </c>
      <c r="E949" s="483">
        <v>0.24</v>
      </c>
    </row>
    <row r="950" spans="1:5" ht="30">
      <c r="A950" s="494">
        <v>92110</v>
      </c>
      <c r="B950" s="485" t="s">
        <v>7906</v>
      </c>
      <c r="C950" s="484" t="s">
        <v>57</v>
      </c>
      <c r="D950" s="486">
        <v>0.81</v>
      </c>
      <c r="E950" s="486">
        <v>0.81</v>
      </c>
    </row>
    <row r="951" spans="1:5" ht="30">
      <c r="A951" s="495">
        <v>92111</v>
      </c>
      <c r="B951" s="348" t="s">
        <v>7907</v>
      </c>
      <c r="C951" s="349" t="s">
        <v>57</v>
      </c>
      <c r="D951" s="483">
        <v>0.65</v>
      </c>
      <c r="E951" s="483">
        <v>0.65</v>
      </c>
    </row>
    <row r="952" spans="1:5">
      <c r="A952" s="494">
        <v>92114</v>
      </c>
      <c r="B952" s="485" t="s">
        <v>332</v>
      </c>
      <c r="C952" s="484" t="s">
        <v>57</v>
      </c>
      <c r="D952" s="486">
        <v>0.78</v>
      </c>
      <c r="E952" s="486">
        <v>0.78</v>
      </c>
    </row>
    <row r="953" spans="1:5">
      <c r="A953" s="495">
        <v>92115</v>
      </c>
      <c r="B953" s="348" t="s">
        <v>333</v>
      </c>
      <c r="C953" s="349" t="s">
        <v>57</v>
      </c>
      <c r="D953" s="483">
        <v>0.04</v>
      </c>
      <c r="E953" s="483">
        <v>0.04</v>
      </c>
    </row>
    <row r="954" spans="1:5">
      <c r="A954" s="494">
        <v>92116</v>
      </c>
      <c r="B954" s="485" t="s">
        <v>334</v>
      </c>
      <c r="C954" s="484" t="s">
        <v>57</v>
      </c>
      <c r="D954" s="486">
        <v>0.51</v>
      </c>
      <c r="E954" s="486">
        <v>0.51</v>
      </c>
    </row>
    <row r="955" spans="1:5" ht="30">
      <c r="A955" s="495">
        <v>92133</v>
      </c>
      <c r="B955" s="348" t="s">
        <v>15456</v>
      </c>
      <c r="C955" s="349" t="s">
        <v>57</v>
      </c>
      <c r="D955" s="483">
        <v>6.78</v>
      </c>
      <c r="E955" s="483">
        <v>6.78</v>
      </c>
    </row>
    <row r="956" spans="1:5" ht="30">
      <c r="A956" s="494">
        <v>92134</v>
      </c>
      <c r="B956" s="485" t="s">
        <v>15457</v>
      </c>
      <c r="C956" s="484" t="s">
        <v>57</v>
      </c>
      <c r="D956" s="486">
        <v>1.62</v>
      </c>
      <c r="E956" s="486">
        <v>1.62</v>
      </c>
    </row>
    <row r="957" spans="1:5" ht="30">
      <c r="A957" s="495">
        <v>92135</v>
      </c>
      <c r="B957" s="348" t="s">
        <v>15458</v>
      </c>
      <c r="C957" s="349" t="s">
        <v>57</v>
      </c>
      <c r="D957" s="483">
        <v>0.33</v>
      </c>
      <c r="E957" s="483">
        <v>0.33</v>
      </c>
    </row>
    <row r="958" spans="1:5" ht="30">
      <c r="A958" s="494">
        <v>92136</v>
      </c>
      <c r="B958" s="485" t="s">
        <v>15459</v>
      </c>
      <c r="C958" s="484" t="s">
        <v>57</v>
      </c>
      <c r="D958" s="486">
        <v>9.0399999999999991</v>
      </c>
      <c r="E958" s="486">
        <v>9.0399999999999991</v>
      </c>
    </row>
    <row r="959" spans="1:5" ht="30">
      <c r="A959" s="495">
        <v>92137</v>
      </c>
      <c r="B959" s="348" t="s">
        <v>15460</v>
      </c>
      <c r="C959" s="349" t="s">
        <v>57</v>
      </c>
      <c r="D959" s="483">
        <v>62.98</v>
      </c>
      <c r="E959" s="483">
        <v>62.98</v>
      </c>
    </row>
    <row r="960" spans="1:5" ht="30">
      <c r="A960" s="494">
        <v>92140</v>
      </c>
      <c r="B960" s="485" t="s">
        <v>3302</v>
      </c>
      <c r="C960" s="484" t="s">
        <v>57</v>
      </c>
      <c r="D960" s="486">
        <v>2.59</v>
      </c>
      <c r="E960" s="486">
        <v>2.59</v>
      </c>
    </row>
    <row r="961" spans="1:5" ht="30">
      <c r="A961" s="495">
        <v>92141</v>
      </c>
      <c r="B961" s="348" t="s">
        <v>3304</v>
      </c>
      <c r="C961" s="349" t="s">
        <v>57</v>
      </c>
      <c r="D961" s="483">
        <v>0.62</v>
      </c>
      <c r="E961" s="483">
        <v>0.62</v>
      </c>
    </row>
    <row r="962" spans="1:5" ht="30">
      <c r="A962" s="494">
        <v>92142</v>
      </c>
      <c r="B962" s="485" t="s">
        <v>3303</v>
      </c>
      <c r="C962" s="484" t="s">
        <v>57</v>
      </c>
      <c r="D962" s="486">
        <v>0.12</v>
      </c>
      <c r="E962" s="486">
        <v>0.12</v>
      </c>
    </row>
    <row r="963" spans="1:5" ht="30">
      <c r="A963" s="495">
        <v>92143</v>
      </c>
      <c r="B963" s="348" t="s">
        <v>3305</v>
      </c>
      <c r="C963" s="349" t="s">
        <v>57</v>
      </c>
      <c r="D963" s="483">
        <v>3.46</v>
      </c>
      <c r="E963" s="483">
        <v>3.46</v>
      </c>
    </row>
    <row r="964" spans="1:5" ht="30">
      <c r="A964" s="494">
        <v>92144</v>
      </c>
      <c r="B964" s="485" t="s">
        <v>3306</v>
      </c>
      <c r="C964" s="484" t="s">
        <v>57</v>
      </c>
      <c r="D964" s="486">
        <v>56.05</v>
      </c>
      <c r="E964" s="486">
        <v>56.05</v>
      </c>
    </row>
    <row r="965" spans="1:5" ht="45">
      <c r="A965" s="495">
        <v>92237</v>
      </c>
      <c r="B965" s="348" t="s">
        <v>15461</v>
      </c>
      <c r="C965" s="349" t="s">
        <v>57</v>
      </c>
      <c r="D965" s="483">
        <v>16.25</v>
      </c>
      <c r="E965" s="483">
        <v>16.25</v>
      </c>
    </row>
    <row r="966" spans="1:5" ht="45">
      <c r="A966" s="494">
        <v>92238</v>
      </c>
      <c r="B966" s="485" t="s">
        <v>15462</v>
      </c>
      <c r="C966" s="484" t="s">
        <v>57</v>
      </c>
      <c r="D966" s="486">
        <v>7.93</v>
      </c>
      <c r="E966" s="486">
        <v>7.93</v>
      </c>
    </row>
    <row r="967" spans="1:5" ht="45">
      <c r="A967" s="495">
        <v>92239</v>
      </c>
      <c r="B967" s="348" t="s">
        <v>15463</v>
      </c>
      <c r="C967" s="349" t="s">
        <v>57</v>
      </c>
      <c r="D967" s="483">
        <v>1.64</v>
      </c>
      <c r="E967" s="483">
        <v>1.64</v>
      </c>
    </row>
    <row r="968" spans="1:5" ht="45">
      <c r="A968" s="494">
        <v>92240</v>
      </c>
      <c r="B968" s="485" t="s">
        <v>15464</v>
      </c>
      <c r="C968" s="484" t="s">
        <v>57</v>
      </c>
      <c r="D968" s="486">
        <v>22.87</v>
      </c>
      <c r="E968" s="486">
        <v>22.87</v>
      </c>
    </row>
    <row r="969" spans="1:5" ht="45">
      <c r="A969" s="495">
        <v>92241</v>
      </c>
      <c r="B969" s="348" t="s">
        <v>15465</v>
      </c>
      <c r="C969" s="349" t="s">
        <v>57</v>
      </c>
      <c r="D969" s="483">
        <v>115.48</v>
      </c>
      <c r="E969" s="483">
        <v>115.48</v>
      </c>
    </row>
    <row r="970" spans="1:5" ht="30">
      <c r="A970" s="494">
        <v>92712</v>
      </c>
      <c r="B970" s="485" t="s">
        <v>15466</v>
      </c>
      <c r="C970" s="484" t="s">
        <v>57</v>
      </c>
      <c r="D970" s="486">
        <v>0.14000000000000001</v>
      </c>
      <c r="E970" s="486">
        <v>0.14000000000000001</v>
      </c>
    </row>
    <row r="971" spans="1:5" ht="30">
      <c r="A971" s="495">
        <v>92713</v>
      </c>
      <c r="B971" s="348" t="s">
        <v>15467</v>
      </c>
      <c r="C971" s="349" t="s">
        <v>57</v>
      </c>
      <c r="D971" s="483">
        <v>0.03</v>
      </c>
      <c r="E971" s="483">
        <v>0.03</v>
      </c>
    </row>
    <row r="972" spans="1:5" ht="30">
      <c r="A972" s="494">
        <v>92714</v>
      </c>
      <c r="B972" s="485" t="s">
        <v>15468</v>
      </c>
      <c r="C972" s="484" t="s">
        <v>57</v>
      </c>
      <c r="D972" s="486">
        <v>0.09</v>
      </c>
      <c r="E972" s="486">
        <v>0.09</v>
      </c>
    </row>
    <row r="973" spans="1:5" ht="30">
      <c r="A973" s="495">
        <v>92715</v>
      </c>
      <c r="B973" s="348" t="s">
        <v>15469</v>
      </c>
      <c r="C973" s="349" t="s">
        <v>57</v>
      </c>
      <c r="D973" s="483">
        <v>13.14</v>
      </c>
      <c r="E973" s="483">
        <v>13.14</v>
      </c>
    </row>
    <row r="974" spans="1:5" ht="30">
      <c r="A974" s="494">
        <v>92956</v>
      </c>
      <c r="B974" s="485" t="s">
        <v>15470</v>
      </c>
      <c r="C974" s="484" t="s">
        <v>57</v>
      </c>
      <c r="D974" s="486">
        <v>4.1399999999999997</v>
      </c>
      <c r="E974" s="486">
        <v>4.1399999999999997</v>
      </c>
    </row>
    <row r="975" spans="1:5" ht="30">
      <c r="A975" s="495">
        <v>92957</v>
      </c>
      <c r="B975" s="348" t="s">
        <v>15471</v>
      </c>
      <c r="C975" s="349" t="s">
        <v>57</v>
      </c>
      <c r="D975" s="483">
        <v>1.24</v>
      </c>
      <c r="E975" s="483">
        <v>1.24</v>
      </c>
    </row>
    <row r="976" spans="1:5" ht="30">
      <c r="A976" s="494">
        <v>92958</v>
      </c>
      <c r="B976" s="485" t="s">
        <v>15472</v>
      </c>
      <c r="C976" s="484" t="s">
        <v>57</v>
      </c>
      <c r="D976" s="486">
        <v>4.0199999999999996</v>
      </c>
      <c r="E976" s="486">
        <v>4.0199999999999996</v>
      </c>
    </row>
    <row r="977" spans="1:5" ht="30">
      <c r="A977" s="495">
        <v>92959</v>
      </c>
      <c r="B977" s="348" t="s">
        <v>15473</v>
      </c>
      <c r="C977" s="349" t="s">
        <v>57</v>
      </c>
      <c r="D977" s="483">
        <v>6.53</v>
      </c>
      <c r="E977" s="483">
        <v>6.53</v>
      </c>
    </row>
    <row r="978" spans="1:5" ht="30">
      <c r="A978" s="494">
        <v>92963</v>
      </c>
      <c r="B978" s="485" t="s">
        <v>15474</v>
      </c>
      <c r="C978" s="484" t="s">
        <v>57</v>
      </c>
      <c r="D978" s="486">
        <v>1.28</v>
      </c>
      <c r="E978" s="486">
        <v>1.28</v>
      </c>
    </row>
    <row r="979" spans="1:5">
      <c r="A979" s="495">
        <v>92964</v>
      </c>
      <c r="B979" s="348" t="s">
        <v>7318</v>
      </c>
      <c r="C979" s="349" t="s">
        <v>57</v>
      </c>
      <c r="D979" s="483">
        <v>0.36</v>
      </c>
      <c r="E979" s="483">
        <v>0.36</v>
      </c>
    </row>
    <row r="980" spans="1:5" ht="30">
      <c r="A980" s="494">
        <v>92965</v>
      </c>
      <c r="B980" s="485" t="s">
        <v>15475</v>
      </c>
      <c r="C980" s="484" t="s">
        <v>57</v>
      </c>
      <c r="D980" s="486">
        <v>0.84</v>
      </c>
      <c r="E980" s="486">
        <v>0.84</v>
      </c>
    </row>
    <row r="981" spans="1:5" ht="45">
      <c r="A981" s="495">
        <v>93220</v>
      </c>
      <c r="B981" s="348" t="s">
        <v>15476</v>
      </c>
      <c r="C981" s="349" t="s">
        <v>57</v>
      </c>
      <c r="D981" s="483">
        <v>214.93</v>
      </c>
      <c r="E981" s="483">
        <v>214.93</v>
      </c>
    </row>
    <row r="982" spans="1:5" ht="45">
      <c r="A982" s="494">
        <v>93221</v>
      </c>
      <c r="B982" s="485" t="s">
        <v>15477</v>
      </c>
      <c r="C982" s="484" t="s">
        <v>57</v>
      </c>
      <c r="D982" s="486">
        <v>47.49</v>
      </c>
      <c r="E982" s="486">
        <v>47.49</v>
      </c>
    </row>
    <row r="983" spans="1:5" ht="45">
      <c r="A983" s="495">
        <v>93222</v>
      </c>
      <c r="B983" s="348" t="s">
        <v>15478</v>
      </c>
      <c r="C983" s="349" t="s">
        <v>57</v>
      </c>
      <c r="D983" s="483">
        <v>226.21</v>
      </c>
      <c r="E983" s="483">
        <v>226.21</v>
      </c>
    </row>
    <row r="984" spans="1:5" ht="60">
      <c r="A984" s="494">
        <v>93223</v>
      </c>
      <c r="B984" s="485" t="s">
        <v>15479</v>
      </c>
      <c r="C984" s="484" t="s">
        <v>57</v>
      </c>
      <c r="D984" s="486">
        <v>165.53</v>
      </c>
      <c r="E984" s="486">
        <v>165.53</v>
      </c>
    </row>
    <row r="985" spans="1:5" ht="30">
      <c r="A985" s="495">
        <v>93229</v>
      </c>
      <c r="B985" s="348" t="s">
        <v>2511</v>
      </c>
      <c r="C985" s="349" t="s">
        <v>57</v>
      </c>
      <c r="D985" s="483">
        <v>0.26</v>
      </c>
      <c r="E985" s="483">
        <v>0.26</v>
      </c>
    </row>
    <row r="986" spans="1:5" ht="30">
      <c r="A986" s="494">
        <v>93230</v>
      </c>
      <c r="B986" s="485" t="s">
        <v>2512</v>
      </c>
      <c r="C986" s="484" t="s">
        <v>57</v>
      </c>
      <c r="D986" s="486">
        <v>0.06</v>
      </c>
      <c r="E986" s="486">
        <v>0.06</v>
      </c>
    </row>
    <row r="987" spans="1:5" ht="30">
      <c r="A987" s="495">
        <v>93231</v>
      </c>
      <c r="B987" s="348" t="s">
        <v>2513</v>
      </c>
      <c r="C987" s="349" t="s">
        <v>57</v>
      </c>
      <c r="D987" s="483">
        <v>0.22</v>
      </c>
      <c r="E987" s="483">
        <v>0.22</v>
      </c>
    </row>
    <row r="988" spans="1:5" ht="30">
      <c r="A988" s="494">
        <v>93232</v>
      </c>
      <c r="B988" s="485" t="s">
        <v>15480</v>
      </c>
      <c r="C988" s="484" t="s">
        <v>57</v>
      </c>
      <c r="D988" s="486">
        <v>4.63</v>
      </c>
      <c r="E988" s="486">
        <v>4.63</v>
      </c>
    </row>
    <row r="989" spans="1:5">
      <c r="A989" s="495">
        <v>93235</v>
      </c>
      <c r="B989" s="348" t="s">
        <v>15481</v>
      </c>
      <c r="C989" s="349" t="s">
        <v>57</v>
      </c>
      <c r="D989" s="483">
        <v>1.1299999999999999</v>
      </c>
      <c r="E989" s="483">
        <v>1.1299999999999999</v>
      </c>
    </row>
    <row r="990" spans="1:5" ht="30">
      <c r="A990" s="494">
        <v>93236</v>
      </c>
      <c r="B990" s="485" t="s">
        <v>8895</v>
      </c>
      <c r="C990" s="484" t="s">
        <v>57</v>
      </c>
      <c r="D990" s="486">
        <v>5.04</v>
      </c>
      <c r="E990" s="486">
        <v>5.04</v>
      </c>
    </row>
    <row r="991" spans="1:5" ht="45">
      <c r="A991" s="495">
        <v>93238</v>
      </c>
      <c r="B991" s="348" t="s">
        <v>15482</v>
      </c>
      <c r="C991" s="349" t="s">
        <v>57</v>
      </c>
      <c r="D991" s="483">
        <v>1.02</v>
      </c>
      <c r="E991" s="483">
        <v>1.02</v>
      </c>
    </row>
    <row r="992" spans="1:5" ht="45">
      <c r="A992" s="494">
        <v>93239</v>
      </c>
      <c r="B992" s="485" t="s">
        <v>15483</v>
      </c>
      <c r="C992" s="484" t="s">
        <v>57</v>
      </c>
      <c r="D992" s="486">
        <v>4.6500000000000004</v>
      </c>
      <c r="E992" s="486">
        <v>4.6500000000000004</v>
      </c>
    </row>
    <row r="993" spans="1:5" ht="45">
      <c r="A993" s="495">
        <v>93240</v>
      </c>
      <c r="B993" s="348" t="s">
        <v>15484</v>
      </c>
      <c r="C993" s="349" t="s">
        <v>57</v>
      </c>
      <c r="D993" s="483">
        <v>7.92</v>
      </c>
      <c r="E993" s="483">
        <v>7.92</v>
      </c>
    </row>
    <row r="994" spans="1:5" ht="30">
      <c r="A994" s="494">
        <v>93241</v>
      </c>
      <c r="B994" s="485" t="s">
        <v>15485</v>
      </c>
      <c r="C994" s="484" t="s">
        <v>57</v>
      </c>
      <c r="D994" s="486">
        <v>2.82</v>
      </c>
      <c r="E994" s="486">
        <v>2.82</v>
      </c>
    </row>
    <row r="995" spans="1:5" ht="30">
      <c r="A995" s="495">
        <v>93267</v>
      </c>
      <c r="B995" s="348" t="s">
        <v>15486</v>
      </c>
      <c r="C995" s="349" t="s">
        <v>57</v>
      </c>
      <c r="D995" s="483">
        <v>18.48</v>
      </c>
      <c r="E995" s="483">
        <v>18.48</v>
      </c>
    </row>
    <row r="996" spans="1:5" ht="30">
      <c r="A996" s="494">
        <v>93269</v>
      </c>
      <c r="B996" s="485" t="s">
        <v>15487</v>
      </c>
      <c r="C996" s="484" t="s">
        <v>57</v>
      </c>
      <c r="D996" s="486">
        <v>4.72</v>
      </c>
      <c r="E996" s="486">
        <v>4.72</v>
      </c>
    </row>
    <row r="997" spans="1:5" ht="30">
      <c r="A997" s="495">
        <v>93270</v>
      </c>
      <c r="B997" s="348" t="s">
        <v>15488</v>
      </c>
      <c r="C997" s="349" t="s">
        <v>57</v>
      </c>
      <c r="D997" s="483">
        <v>23.11</v>
      </c>
      <c r="E997" s="483">
        <v>23.11</v>
      </c>
    </row>
    <row r="998" spans="1:5" ht="30">
      <c r="A998" s="494">
        <v>93271</v>
      </c>
      <c r="B998" s="485" t="s">
        <v>15489</v>
      </c>
      <c r="C998" s="484" t="s">
        <v>57</v>
      </c>
      <c r="D998" s="486">
        <v>4.8600000000000003</v>
      </c>
      <c r="E998" s="486">
        <v>4.8600000000000003</v>
      </c>
    </row>
    <row r="999" spans="1:5" ht="30">
      <c r="A999" s="495">
        <v>93277</v>
      </c>
      <c r="B999" s="348" t="s">
        <v>15490</v>
      </c>
      <c r="C999" s="349" t="s">
        <v>57</v>
      </c>
      <c r="D999" s="483">
        <v>0.21</v>
      </c>
      <c r="E999" s="483">
        <v>0.21</v>
      </c>
    </row>
    <row r="1000" spans="1:5" ht="30">
      <c r="A1000" s="494">
        <v>93278</v>
      </c>
      <c r="B1000" s="485" t="s">
        <v>15491</v>
      </c>
      <c r="C1000" s="484" t="s">
        <v>57</v>
      </c>
      <c r="D1000" s="486">
        <v>7.0000000000000007E-2</v>
      </c>
      <c r="E1000" s="486">
        <v>7.0000000000000007E-2</v>
      </c>
    </row>
    <row r="1001" spans="1:5" ht="30">
      <c r="A1001" s="495">
        <v>93279</v>
      </c>
      <c r="B1001" s="348" t="s">
        <v>15492</v>
      </c>
      <c r="C1001" s="349" t="s">
        <v>57</v>
      </c>
      <c r="D1001" s="483">
        <v>0.13</v>
      </c>
      <c r="E1001" s="483">
        <v>0.13</v>
      </c>
    </row>
    <row r="1002" spans="1:5" ht="30">
      <c r="A1002" s="494">
        <v>93280</v>
      </c>
      <c r="B1002" s="485" t="s">
        <v>15493</v>
      </c>
      <c r="C1002" s="484" t="s">
        <v>57</v>
      </c>
      <c r="D1002" s="486">
        <v>0.4</v>
      </c>
      <c r="E1002" s="486">
        <v>0.4</v>
      </c>
    </row>
    <row r="1003" spans="1:5" ht="30">
      <c r="A1003" s="495">
        <v>93283</v>
      </c>
      <c r="B1003" s="348" t="s">
        <v>15494</v>
      </c>
      <c r="C1003" s="349" t="s">
        <v>57</v>
      </c>
      <c r="D1003" s="483">
        <v>62.17</v>
      </c>
      <c r="E1003" s="483">
        <v>62.17</v>
      </c>
    </row>
    <row r="1004" spans="1:5" ht="30">
      <c r="A1004" s="494">
        <v>93284</v>
      </c>
      <c r="B1004" s="485" t="s">
        <v>15495</v>
      </c>
      <c r="C1004" s="484" t="s">
        <v>57</v>
      </c>
      <c r="D1004" s="486">
        <v>15.88</v>
      </c>
      <c r="E1004" s="486">
        <v>15.88</v>
      </c>
    </row>
    <row r="1005" spans="1:5" ht="30">
      <c r="A1005" s="495">
        <v>93285</v>
      </c>
      <c r="B1005" s="348" t="s">
        <v>15496</v>
      </c>
      <c r="C1005" s="349" t="s">
        <v>57</v>
      </c>
      <c r="D1005" s="483">
        <v>77.72</v>
      </c>
      <c r="E1005" s="483">
        <v>77.72</v>
      </c>
    </row>
    <row r="1006" spans="1:5" ht="30">
      <c r="A1006" s="494">
        <v>93286</v>
      </c>
      <c r="B1006" s="485" t="s">
        <v>15497</v>
      </c>
      <c r="C1006" s="484" t="s">
        <v>57</v>
      </c>
      <c r="D1006" s="486">
        <v>114.92</v>
      </c>
      <c r="E1006" s="486">
        <v>114.92</v>
      </c>
    </row>
    <row r="1007" spans="1:5" ht="30">
      <c r="A1007" s="495">
        <v>93296</v>
      </c>
      <c r="B1007" s="348" t="s">
        <v>15498</v>
      </c>
      <c r="C1007" s="349" t="s">
        <v>57</v>
      </c>
      <c r="D1007" s="483">
        <v>3.26</v>
      </c>
      <c r="E1007" s="483">
        <v>3.26</v>
      </c>
    </row>
    <row r="1008" spans="1:5" ht="45">
      <c r="A1008" s="494">
        <v>93397</v>
      </c>
      <c r="B1008" s="485" t="s">
        <v>15499</v>
      </c>
      <c r="C1008" s="484" t="s">
        <v>57</v>
      </c>
      <c r="D1008" s="486">
        <v>11.09</v>
      </c>
      <c r="E1008" s="486">
        <v>11.09</v>
      </c>
    </row>
    <row r="1009" spans="1:5" ht="45">
      <c r="A1009" s="495">
        <v>93398</v>
      </c>
      <c r="B1009" s="348" t="s">
        <v>15500</v>
      </c>
      <c r="C1009" s="349" t="s">
        <v>57</v>
      </c>
      <c r="D1009" s="483">
        <v>2.83</v>
      </c>
      <c r="E1009" s="483">
        <v>2.83</v>
      </c>
    </row>
    <row r="1010" spans="1:5" ht="45">
      <c r="A1010" s="494">
        <v>93399</v>
      </c>
      <c r="B1010" s="485" t="s">
        <v>15501</v>
      </c>
      <c r="C1010" s="484" t="s">
        <v>57</v>
      </c>
      <c r="D1010" s="486">
        <v>0.56999999999999995</v>
      </c>
      <c r="E1010" s="486">
        <v>0.56999999999999995</v>
      </c>
    </row>
    <row r="1011" spans="1:5" ht="45">
      <c r="A1011" s="495">
        <v>93400</v>
      </c>
      <c r="B1011" s="348" t="s">
        <v>15502</v>
      </c>
      <c r="C1011" s="349" t="s">
        <v>57</v>
      </c>
      <c r="D1011" s="483">
        <v>13.86</v>
      </c>
      <c r="E1011" s="483">
        <v>13.86</v>
      </c>
    </row>
    <row r="1012" spans="1:5" ht="45">
      <c r="A1012" s="494">
        <v>93401</v>
      </c>
      <c r="B1012" s="485" t="s">
        <v>15503</v>
      </c>
      <c r="C1012" s="484" t="s">
        <v>57</v>
      </c>
      <c r="D1012" s="486">
        <v>66.150000000000006</v>
      </c>
      <c r="E1012" s="486">
        <v>66.150000000000006</v>
      </c>
    </row>
    <row r="1013" spans="1:5" ht="45">
      <c r="A1013" s="495">
        <v>93403</v>
      </c>
      <c r="B1013" s="348" t="s">
        <v>15504</v>
      </c>
      <c r="C1013" s="349" t="s">
        <v>330</v>
      </c>
      <c r="D1013" s="483">
        <v>49.59</v>
      </c>
      <c r="E1013" s="483">
        <v>49.59</v>
      </c>
    </row>
    <row r="1014" spans="1:5" ht="60">
      <c r="A1014" s="494">
        <v>93404</v>
      </c>
      <c r="B1014" s="485" t="s">
        <v>15505</v>
      </c>
      <c r="C1014" s="484" t="s">
        <v>57</v>
      </c>
      <c r="D1014" s="486">
        <v>5.77</v>
      </c>
      <c r="E1014" s="486">
        <v>5.77</v>
      </c>
    </row>
    <row r="1015" spans="1:5" ht="60">
      <c r="A1015" s="495">
        <v>93405</v>
      </c>
      <c r="B1015" s="348" t="s">
        <v>15506</v>
      </c>
      <c r="C1015" s="349" t="s">
        <v>57</v>
      </c>
      <c r="D1015" s="483">
        <v>1.08</v>
      </c>
      <c r="E1015" s="483">
        <v>1.08</v>
      </c>
    </row>
    <row r="1016" spans="1:5" ht="60">
      <c r="A1016" s="494">
        <v>93406</v>
      </c>
      <c r="B1016" s="485" t="s">
        <v>15507</v>
      </c>
      <c r="C1016" s="484" t="s">
        <v>57</v>
      </c>
      <c r="D1016" s="486">
        <v>6.83</v>
      </c>
      <c r="E1016" s="486">
        <v>6.83</v>
      </c>
    </row>
    <row r="1017" spans="1:5" ht="60">
      <c r="A1017" s="495">
        <v>93407</v>
      </c>
      <c r="B1017" s="348" t="s">
        <v>15508</v>
      </c>
      <c r="C1017" s="349" t="s">
        <v>57</v>
      </c>
      <c r="D1017" s="483">
        <v>29.38</v>
      </c>
      <c r="E1017" s="483">
        <v>29.38</v>
      </c>
    </row>
    <row r="1018" spans="1:5" ht="60">
      <c r="A1018" s="494">
        <v>93409</v>
      </c>
      <c r="B1018" s="485" t="s">
        <v>15509</v>
      </c>
      <c r="C1018" s="484" t="s">
        <v>330</v>
      </c>
      <c r="D1018" s="486">
        <v>30.32</v>
      </c>
      <c r="E1018" s="486">
        <v>30.32</v>
      </c>
    </row>
    <row r="1019" spans="1:5" ht="30">
      <c r="A1019" s="495">
        <v>93411</v>
      </c>
      <c r="B1019" s="348" t="s">
        <v>15510</v>
      </c>
      <c r="C1019" s="349" t="s">
        <v>57</v>
      </c>
      <c r="D1019" s="483">
        <v>0.19</v>
      </c>
      <c r="E1019" s="483">
        <v>0.19</v>
      </c>
    </row>
    <row r="1020" spans="1:5" ht="30">
      <c r="A1020" s="494">
        <v>93412</v>
      </c>
      <c r="B1020" s="485" t="s">
        <v>15511</v>
      </c>
      <c r="C1020" s="484" t="s">
        <v>57</v>
      </c>
      <c r="D1020" s="486">
        <v>0.05</v>
      </c>
      <c r="E1020" s="486">
        <v>0.05</v>
      </c>
    </row>
    <row r="1021" spans="1:5" ht="30">
      <c r="A1021" s="495">
        <v>93413</v>
      </c>
      <c r="B1021" s="348" t="s">
        <v>15512</v>
      </c>
      <c r="C1021" s="349" t="s">
        <v>57</v>
      </c>
      <c r="D1021" s="483">
        <v>0.14000000000000001</v>
      </c>
      <c r="E1021" s="483">
        <v>0.14000000000000001</v>
      </c>
    </row>
    <row r="1022" spans="1:5" ht="30">
      <c r="A1022" s="494">
        <v>93414</v>
      </c>
      <c r="B1022" s="485" t="s">
        <v>15513</v>
      </c>
      <c r="C1022" s="484" t="s">
        <v>57</v>
      </c>
      <c r="D1022" s="486">
        <v>10.81</v>
      </c>
      <c r="E1022" s="486">
        <v>10.81</v>
      </c>
    </row>
    <row r="1023" spans="1:5">
      <c r="A1023" s="495">
        <v>93417</v>
      </c>
      <c r="B1023" s="348" t="s">
        <v>15514</v>
      </c>
      <c r="C1023" s="349" t="s">
        <v>57</v>
      </c>
      <c r="D1023" s="483">
        <v>2.5299999999999998</v>
      </c>
      <c r="E1023" s="483">
        <v>2.5299999999999998</v>
      </c>
    </row>
    <row r="1024" spans="1:5">
      <c r="A1024" s="494">
        <v>93418</v>
      </c>
      <c r="B1024" s="485" t="s">
        <v>15515</v>
      </c>
      <c r="C1024" s="484" t="s">
        <v>57</v>
      </c>
      <c r="D1024" s="486">
        <v>0.71</v>
      </c>
      <c r="E1024" s="486">
        <v>0.71</v>
      </c>
    </row>
    <row r="1025" spans="1:5">
      <c r="A1025" s="495">
        <v>93419</v>
      </c>
      <c r="B1025" s="348" t="s">
        <v>5903</v>
      </c>
      <c r="C1025" s="349" t="s">
        <v>57</v>
      </c>
      <c r="D1025" s="483">
        <v>1.86</v>
      </c>
      <c r="E1025" s="483">
        <v>1.86</v>
      </c>
    </row>
    <row r="1026" spans="1:5" ht="30">
      <c r="A1026" s="494">
        <v>93420</v>
      </c>
      <c r="B1026" s="485" t="s">
        <v>15516</v>
      </c>
      <c r="C1026" s="484" t="s">
        <v>57</v>
      </c>
      <c r="D1026" s="486">
        <v>41.14</v>
      </c>
      <c r="E1026" s="486">
        <v>41.14</v>
      </c>
    </row>
    <row r="1027" spans="1:5" ht="30">
      <c r="A1027" s="495">
        <v>93423</v>
      </c>
      <c r="B1027" s="348" t="s">
        <v>15517</v>
      </c>
      <c r="C1027" s="349" t="s">
        <v>57</v>
      </c>
      <c r="D1027" s="483">
        <v>3.58</v>
      </c>
      <c r="E1027" s="483">
        <v>3.58</v>
      </c>
    </row>
    <row r="1028" spans="1:5">
      <c r="A1028" s="494">
        <v>93424</v>
      </c>
      <c r="B1028" s="485" t="s">
        <v>15518</v>
      </c>
      <c r="C1028" s="484" t="s">
        <v>57</v>
      </c>
      <c r="D1028" s="486">
        <v>1.01</v>
      </c>
      <c r="E1028" s="486">
        <v>1.01</v>
      </c>
    </row>
    <row r="1029" spans="1:5" ht="30">
      <c r="A1029" s="495">
        <v>93425</v>
      </c>
      <c r="B1029" s="348" t="s">
        <v>15519</v>
      </c>
      <c r="C1029" s="349" t="s">
        <v>57</v>
      </c>
      <c r="D1029" s="483">
        <v>2.63</v>
      </c>
      <c r="E1029" s="483">
        <v>2.63</v>
      </c>
    </row>
    <row r="1030" spans="1:5" ht="30">
      <c r="A1030" s="494">
        <v>93426</v>
      </c>
      <c r="B1030" s="485" t="s">
        <v>15520</v>
      </c>
      <c r="C1030" s="484" t="s">
        <v>57</v>
      </c>
      <c r="D1030" s="486">
        <v>98.33</v>
      </c>
      <c r="E1030" s="486">
        <v>98.33</v>
      </c>
    </row>
    <row r="1031" spans="1:5" ht="30">
      <c r="A1031" s="495">
        <v>93429</v>
      </c>
      <c r="B1031" s="348" t="s">
        <v>15521</v>
      </c>
      <c r="C1031" s="349" t="s">
        <v>57</v>
      </c>
      <c r="D1031" s="483">
        <v>93.67</v>
      </c>
      <c r="E1031" s="483">
        <v>93.67</v>
      </c>
    </row>
    <row r="1032" spans="1:5" ht="30">
      <c r="A1032" s="494">
        <v>93430</v>
      </c>
      <c r="B1032" s="485" t="s">
        <v>15522</v>
      </c>
      <c r="C1032" s="484" t="s">
        <v>57</v>
      </c>
      <c r="D1032" s="486">
        <v>28.06</v>
      </c>
      <c r="E1032" s="486">
        <v>28.06</v>
      </c>
    </row>
    <row r="1033" spans="1:5" ht="30">
      <c r="A1033" s="495">
        <v>93431</v>
      </c>
      <c r="B1033" s="348" t="s">
        <v>15523</v>
      </c>
      <c r="C1033" s="349" t="s">
        <v>57</v>
      </c>
      <c r="D1033" s="483">
        <v>117.18</v>
      </c>
      <c r="E1033" s="483">
        <v>117.18</v>
      </c>
    </row>
    <row r="1034" spans="1:5" ht="30">
      <c r="A1034" s="494">
        <v>93432</v>
      </c>
      <c r="B1034" s="485" t="s">
        <v>15524</v>
      </c>
      <c r="C1034" s="484" t="s">
        <v>57</v>
      </c>
      <c r="D1034" s="486">
        <v>1521.6</v>
      </c>
      <c r="E1034" s="486">
        <v>1521.6</v>
      </c>
    </row>
    <row r="1035" spans="1:5" ht="30">
      <c r="A1035" s="495">
        <v>93435</v>
      </c>
      <c r="B1035" s="348" t="s">
        <v>15525</v>
      </c>
      <c r="C1035" s="349" t="s">
        <v>57</v>
      </c>
      <c r="D1035" s="483">
        <v>5.91</v>
      </c>
      <c r="E1035" s="483">
        <v>5.91</v>
      </c>
    </row>
    <row r="1036" spans="1:5" ht="30">
      <c r="A1036" s="494">
        <v>93436</v>
      </c>
      <c r="B1036" s="485" t="s">
        <v>15526</v>
      </c>
      <c r="C1036" s="484" t="s">
        <v>57</v>
      </c>
      <c r="D1036" s="486">
        <v>1.77</v>
      </c>
      <c r="E1036" s="486">
        <v>1.77</v>
      </c>
    </row>
    <row r="1037" spans="1:5" ht="30">
      <c r="A1037" s="495">
        <v>93437</v>
      </c>
      <c r="B1037" s="348" t="s">
        <v>15527</v>
      </c>
      <c r="C1037" s="349" t="s">
        <v>57</v>
      </c>
      <c r="D1037" s="483">
        <v>5.75</v>
      </c>
      <c r="E1037" s="483">
        <v>5.75</v>
      </c>
    </row>
    <row r="1038" spans="1:5" ht="30">
      <c r="A1038" s="494">
        <v>93438</v>
      </c>
      <c r="B1038" s="485" t="s">
        <v>15528</v>
      </c>
      <c r="C1038" s="484" t="s">
        <v>57</v>
      </c>
      <c r="D1038" s="486">
        <v>14.93</v>
      </c>
      <c r="E1038" s="486">
        <v>14.93</v>
      </c>
    </row>
    <row r="1039" spans="1:5" ht="30">
      <c r="A1039" s="495">
        <v>95114</v>
      </c>
      <c r="B1039" s="348" t="s">
        <v>15529</v>
      </c>
      <c r="C1039" s="349" t="s">
        <v>57</v>
      </c>
      <c r="D1039" s="483">
        <v>1.24</v>
      </c>
      <c r="E1039" s="483">
        <v>1.24</v>
      </c>
    </row>
    <row r="1040" spans="1:5" ht="30">
      <c r="A1040" s="494">
        <v>95115</v>
      </c>
      <c r="B1040" s="485" t="s">
        <v>15530</v>
      </c>
      <c r="C1040" s="484" t="s">
        <v>57</v>
      </c>
      <c r="D1040" s="486">
        <v>0.35</v>
      </c>
      <c r="E1040" s="486">
        <v>0.35</v>
      </c>
    </row>
    <row r="1041" spans="1:5" ht="30">
      <c r="A1041" s="495">
        <v>95116</v>
      </c>
      <c r="B1041" s="348" t="s">
        <v>10647</v>
      </c>
      <c r="C1041" s="349" t="s">
        <v>57</v>
      </c>
      <c r="D1041" s="483">
        <v>36.33</v>
      </c>
      <c r="E1041" s="483">
        <v>36.33</v>
      </c>
    </row>
    <row r="1042" spans="1:5" ht="30">
      <c r="A1042" s="494">
        <v>95117</v>
      </c>
      <c r="B1042" s="485" t="s">
        <v>10648</v>
      </c>
      <c r="C1042" s="484" t="s">
        <v>57</v>
      </c>
      <c r="D1042" s="486">
        <v>10.88</v>
      </c>
      <c r="E1042" s="486">
        <v>10.88</v>
      </c>
    </row>
    <row r="1043" spans="1:5" ht="30">
      <c r="A1043" s="495">
        <v>95118</v>
      </c>
      <c r="B1043" s="348" t="s">
        <v>15531</v>
      </c>
      <c r="C1043" s="349" t="s">
        <v>57</v>
      </c>
      <c r="D1043" s="483">
        <v>48.32</v>
      </c>
      <c r="E1043" s="483">
        <v>48.32</v>
      </c>
    </row>
    <row r="1044" spans="1:5" ht="30">
      <c r="A1044" s="494">
        <v>95119</v>
      </c>
      <c r="B1044" s="485" t="s">
        <v>15532</v>
      </c>
      <c r="C1044" s="484" t="s">
        <v>57</v>
      </c>
      <c r="D1044" s="486">
        <v>14.47</v>
      </c>
      <c r="E1044" s="486">
        <v>14.47</v>
      </c>
    </row>
    <row r="1045" spans="1:5" ht="30">
      <c r="A1045" s="495">
        <v>95120</v>
      </c>
      <c r="B1045" s="348" t="s">
        <v>15533</v>
      </c>
      <c r="C1045" s="349" t="s">
        <v>57</v>
      </c>
      <c r="D1045" s="483">
        <v>33.15</v>
      </c>
      <c r="E1045" s="483">
        <v>33.15</v>
      </c>
    </row>
    <row r="1046" spans="1:5" ht="30">
      <c r="A1046" s="494">
        <v>95123</v>
      </c>
      <c r="B1046" s="485" t="s">
        <v>4792</v>
      </c>
      <c r="C1046" s="484" t="s">
        <v>57</v>
      </c>
      <c r="D1046" s="486">
        <v>11.26</v>
      </c>
      <c r="E1046" s="486">
        <v>11.26</v>
      </c>
    </row>
    <row r="1047" spans="1:5" ht="30">
      <c r="A1047" s="495">
        <v>95124</v>
      </c>
      <c r="B1047" s="348" t="s">
        <v>4788</v>
      </c>
      <c r="C1047" s="349" t="s">
        <v>57</v>
      </c>
      <c r="D1047" s="483">
        <v>3.37</v>
      </c>
      <c r="E1047" s="483">
        <v>3.37</v>
      </c>
    </row>
    <row r="1048" spans="1:5" ht="30">
      <c r="A1048" s="494">
        <v>95125</v>
      </c>
      <c r="B1048" s="485" t="s">
        <v>4793</v>
      </c>
      <c r="C1048" s="484" t="s">
        <v>57</v>
      </c>
      <c r="D1048" s="486">
        <v>10.96</v>
      </c>
      <c r="E1048" s="486">
        <v>10.96</v>
      </c>
    </row>
    <row r="1049" spans="1:5" ht="30">
      <c r="A1049" s="495">
        <v>95126</v>
      </c>
      <c r="B1049" s="348" t="s">
        <v>15534</v>
      </c>
      <c r="C1049" s="349" t="s">
        <v>57</v>
      </c>
      <c r="D1049" s="483">
        <v>61.59</v>
      </c>
      <c r="E1049" s="483">
        <v>61.59</v>
      </c>
    </row>
    <row r="1050" spans="1:5" ht="30">
      <c r="A1050" s="494">
        <v>95129</v>
      </c>
      <c r="B1050" s="485" t="s">
        <v>15535</v>
      </c>
      <c r="C1050" s="484" t="s">
        <v>57</v>
      </c>
      <c r="D1050" s="486">
        <v>40.299999999999997</v>
      </c>
      <c r="E1050" s="486">
        <v>40.299999999999997</v>
      </c>
    </row>
    <row r="1051" spans="1:5" ht="30">
      <c r="A1051" s="495">
        <v>95130</v>
      </c>
      <c r="B1051" s="348" t="s">
        <v>15536</v>
      </c>
      <c r="C1051" s="349" t="s">
        <v>57</v>
      </c>
      <c r="D1051" s="483">
        <v>8.5299999999999994</v>
      </c>
      <c r="E1051" s="483">
        <v>8.5299999999999994</v>
      </c>
    </row>
    <row r="1052" spans="1:5" ht="30">
      <c r="A1052" s="494">
        <v>95131</v>
      </c>
      <c r="B1052" s="485" t="s">
        <v>15537</v>
      </c>
      <c r="C1052" s="484" t="s">
        <v>57</v>
      </c>
      <c r="D1052" s="486">
        <v>47.41</v>
      </c>
      <c r="E1052" s="486">
        <v>47.41</v>
      </c>
    </row>
    <row r="1053" spans="1:5" ht="30">
      <c r="A1053" s="495">
        <v>95132</v>
      </c>
      <c r="B1053" s="348" t="s">
        <v>15538</v>
      </c>
      <c r="C1053" s="349" t="s">
        <v>57</v>
      </c>
      <c r="D1053" s="483">
        <v>17.97</v>
      </c>
      <c r="E1053" s="483">
        <v>17.97</v>
      </c>
    </row>
    <row r="1054" spans="1:5" ht="30">
      <c r="A1054" s="494">
        <v>95136</v>
      </c>
      <c r="B1054" s="485" t="s">
        <v>15539</v>
      </c>
      <c r="C1054" s="484" t="s">
        <v>57</v>
      </c>
      <c r="D1054" s="486">
        <v>0.04</v>
      </c>
      <c r="E1054" s="486">
        <v>0.04</v>
      </c>
    </row>
    <row r="1055" spans="1:5" ht="30">
      <c r="A1055" s="495">
        <v>95137</v>
      </c>
      <c r="B1055" s="348" t="s">
        <v>15540</v>
      </c>
      <c r="C1055" s="349" t="s">
        <v>57</v>
      </c>
      <c r="D1055" s="483">
        <v>0.01</v>
      </c>
      <c r="E1055" s="483">
        <v>0.01</v>
      </c>
    </row>
    <row r="1056" spans="1:5" ht="30">
      <c r="A1056" s="494">
        <v>95138</v>
      </c>
      <c r="B1056" s="485" t="s">
        <v>15541</v>
      </c>
      <c r="C1056" s="484" t="s">
        <v>57</v>
      </c>
      <c r="D1056" s="486">
        <v>0.03</v>
      </c>
      <c r="E1056" s="486">
        <v>0.03</v>
      </c>
    </row>
    <row r="1057" spans="1:5" ht="30">
      <c r="A1057" s="495">
        <v>95208</v>
      </c>
      <c r="B1057" s="348" t="s">
        <v>15542</v>
      </c>
      <c r="C1057" s="349" t="s">
        <v>57</v>
      </c>
      <c r="D1057" s="483">
        <v>20.94</v>
      </c>
      <c r="E1057" s="483">
        <v>20.94</v>
      </c>
    </row>
    <row r="1058" spans="1:5" ht="30">
      <c r="A1058" s="494">
        <v>95209</v>
      </c>
      <c r="B1058" s="485" t="s">
        <v>15543</v>
      </c>
      <c r="C1058" s="484" t="s">
        <v>57</v>
      </c>
      <c r="D1058" s="486">
        <v>5.35</v>
      </c>
      <c r="E1058" s="486">
        <v>5.35</v>
      </c>
    </row>
    <row r="1059" spans="1:5" ht="30">
      <c r="A1059" s="495">
        <v>95210</v>
      </c>
      <c r="B1059" s="348" t="s">
        <v>15544</v>
      </c>
      <c r="C1059" s="349" t="s">
        <v>57</v>
      </c>
      <c r="D1059" s="483">
        <v>26.18</v>
      </c>
      <c r="E1059" s="483">
        <v>26.18</v>
      </c>
    </row>
    <row r="1060" spans="1:5" ht="30">
      <c r="A1060" s="494">
        <v>95211</v>
      </c>
      <c r="B1060" s="485" t="s">
        <v>15545</v>
      </c>
      <c r="C1060" s="484" t="s">
        <v>57</v>
      </c>
      <c r="D1060" s="486">
        <v>4.8600000000000003</v>
      </c>
      <c r="E1060" s="486">
        <v>4.8600000000000003</v>
      </c>
    </row>
    <row r="1061" spans="1:5" ht="30">
      <c r="A1061" s="495">
        <v>95214</v>
      </c>
      <c r="B1061" s="348" t="s">
        <v>15546</v>
      </c>
      <c r="C1061" s="349" t="s">
        <v>57</v>
      </c>
      <c r="D1061" s="483">
        <v>0.56999999999999995</v>
      </c>
      <c r="E1061" s="483">
        <v>0.56999999999999995</v>
      </c>
    </row>
    <row r="1062" spans="1:5" ht="30">
      <c r="A1062" s="494">
        <v>95215</v>
      </c>
      <c r="B1062" s="485" t="s">
        <v>15547</v>
      </c>
      <c r="C1062" s="484" t="s">
        <v>57</v>
      </c>
      <c r="D1062" s="486">
        <v>0.14000000000000001</v>
      </c>
      <c r="E1062" s="486">
        <v>0.14000000000000001</v>
      </c>
    </row>
    <row r="1063" spans="1:5" ht="30">
      <c r="A1063" s="495">
        <v>95216</v>
      </c>
      <c r="B1063" s="348" t="s">
        <v>15548</v>
      </c>
      <c r="C1063" s="349" t="s">
        <v>57</v>
      </c>
      <c r="D1063" s="483">
        <v>0.68</v>
      </c>
      <c r="E1063" s="483">
        <v>0.68</v>
      </c>
    </row>
    <row r="1064" spans="1:5" ht="30">
      <c r="A1064" s="494">
        <v>95217</v>
      </c>
      <c r="B1064" s="485" t="s">
        <v>15549</v>
      </c>
      <c r="C1064" s="484" t="s">
        <v>57</v>
      </c>
      <c r="D1064" s="486">
        <v>0.32</v>
      </c>
      <c r="E1064" s="486">
        <v>0.32</v>
      </c>
    </row>
    <row r="1065" spans="1:5">
      <c r="A1065" s="495">
        <v>95255</v>
      </c>
      <c r="B1065" s="348" t="s">
        <v>7307</v>
      </c>
      <c r="C1065" s="349" t="s">
        <v>57</v>
      </c>
      <c r="D1065" s="483">
        <v>1.05</v>
      </c>
      <c r="E1065" s="483">
        <v>1.05</v>
      </c>
    </row>
    <row r="1066" spans="1:5">
      <c r="A1066" s="494">
        <v>95256</v>
      </c>
      <c r="B1066" s="485" t="s">
        <v>7308</v>
      </c>
      <c r="C1066" s="484" t="s">
        <v>57</v>
      </c>
      <c r="D1066" s="486">
        <v>0.23</v>
      </c>
      <c r="E1066" s="486">
        <v>0.23</v>
      </c>
    </row>
    <row r="1067" spans="1:5">
      <c r="A1067" s="495">
        <v>95257</v>
      </c>
      <c r="B1067" s="348" t="s">
        <v>7309</v>
      </c>
      <c r="C1067" s="349" t="s">
        <v>57</v>
      </c>
      <c r="D1067" s="483">
        <v>1.1000000000000001</v>
      </c>
      <c r="E1067" s="483">
        <v>1.1000000000000001</v>
      </c>
    </row>
    <row r="1068" spans="1:5" ht="30">
      <c r="A1068" s="494">
        <v>95260</v>
      </c>
      <c r="B1068" s="485" t="s">
        <v>15550</v>
      </c>
      <c r="C1068" s="484" t="s">
        <v>57</v>
      </c>
      <c r="D1068" s="486">
        <v>0.92</v>
      </c>
      <c r="E1068" s="486">
        <v>0.92</v>
      </c>
    </row>
    <row r="1069" spans="1:5" ht="30">
      <c r="A1069" s="495">
        <v>95261</v>
      </c>
      <c r="B1069" s="348" t="s">
        <v>15551</v>
      </c>
      <c r="C1069" s="349" t="s">
        <v>57</v>
      </c>
      <c r="D1069" s="483">
        <v>0.38</v>
      </c>
      <c r="E1069" s="483">
        <v>0.38</v>
      </c>
    </row>
    <row r="1070" spans="1:5" ht="30">
      <c r="A1070" s="494">
        <v>95262</v>
      </c>
      <c r="B1070" s="485" t="s">
        <v>15552</v>
      </c>
      <c r="C1070" s="484" t="s">
        <v>57</v>
      </c>
      <c r="D1070" s="486">
        <v>1.29</v>
      </c>
      <c r="E1070" s="486">
        <v>1.29</v>
      </c>
    </row>
    <row r="1071" spans="1:5" ht="30">
      <c r="A1071" s="495">
        <v>95263</v>
      </c>
      <c r="B1071" s="348" t="s">
        <v>15553</v>
      </c>
      <c r="C1071" s="349" t="s">
        <v>57</v>
      </c>
      <c r="D1071" s="483">
        <v>2.48</v>
      </c>
      <c r="E1071" s="483">
        <v>2.48</v>
      </c>
    </row>
    <row r="1072" spans="1:5" ht="30">
      <c r="A1072" s="494">
        <v>95266</v>
      </c>
      <c r="B1072" s="485" t="s">
        <v>15554</v>
      </c>
      <c r="C1072" s="484" t="s">
        <v>57</v>
      </c>
      <c r="D1072" s="486">
        <v>0.87</v>
      </c>
      <c r="E1072" s="486">
        <v>0.87</v>
      </c>
    </row>
    <row r="1073" spans="1:5" ht="30">
      <c r="A1073" s="495">
        <v>95267</v>
      </c>
      <c r="B1073" s="348" t="s">
        <v>15555</v>
      </c>
      <c r="C1073" s="349" t="s">
        <v>57</v>
      </c>
      <c r="D1073" s="483">
        <v>0.24</v>
      </c>
      <c r="E1073" s="483">
        <v>0.24</v>
      </c>
    </row>
    <row r="1074" spans="1:5" ht="30">
      <c r="A1074" s="494">
        <v>95268</v>
      </c>
      <c r="B1074" s="485" t="s">
        <v>15556</v>
      </c>
      <c r="C1074" s="484" t="s">
        <v>57</v>
      </c>
      <c r="D1074" s="486">
        <v>0.79</v>
      </c>
      <c r="E1074" s="486">
        <v>0.79</v>
      </c>
    </row>
    <row r="1075" spans="1:5" ht="30">
      <c r="A1075" s="495">
        <v>95269</v>
      </c>
      <c r="B1075" s="348" t="s">
        <v>15557</v>
      </c>
      <c r="C1075" s="349" t="s">
        <v>57</v>
      </c>
      <c r="D1075" s="483">
        <v>4.63</v>
      </c>
      <c r="E1075" s="483">
        <v>4.63</v>
      </c>
    </row>
    <row r="1076" spans="1:5" ht="30">
      <c r="A1076" s="494">
        <v>95272</v>
      </c>
      <c r="B1076" s="485" t="s">
        <v>15558</v>
      </c>
      <c r="C1076" s="484" t="s">
        <v>57</v>
      </c>
      <c r="D1076" s="486">
        <v>0.94</v>
      </c>
      <c r="E1076" s="486">
        <v>0.94</v>
      </c>
    </row>
    <row r="1077" spans="1:5" ht="30">
      <c r="A1077" s="495">
        <v>95273</v>
      </c>
      <c r="B1077" s="348" t="s">
        <v>15559</v>
      </c>
      <c r="C1077" s="349" t="s">
        <v>57</v>
      </c>
      <c r="D1077" s="483">
        <v>0.26</v>
      </c>
      <c r="E1077" s="483">
        <v>0.26</v>
      </c>
    </row>
    <row r="1078" spans="1:5" ht="30">
      <c r="A1078" s="494">
        <v>95274</v>
      </c>
      <c r="B1078" s="485" t="s">
        <v>15560</v>
      </c>
      <c r="C1078" s="484" t="s">
        <v>57</v>
      </c>
      <c r="D1078" s="486">
        <v>0.87</v>
      </c>
      <c r="E1078" s="486">
        <v>0.87</v>
      </c>
    </row>
    <row r="1079" spans="1:5" ht="30">
      <c r="A1079" s="495">
        <v>95275</v>
      </c>
      <c r="B1079" s="348" t="s">
        <v>15561</v>
      </c>
      <c r="C1079" s="349" t="s">
        <v>57</v>
      </c>
      <c r="D1079" s="483">
        <v>1.32</v>
      </c>
      <c r="E1079" s="483">
        <v>1.32</v>
      </c>
    </row>
    <row r="1080" spans="1:5" ht="30">
      <c r="A1080" s="494">
        <v>95278</v>
      </c>
      <c r="B1080" s="485" t="s">
        <v>15562</v>
      </c>
      <c r="C1080" s="484" t="s">
        <v>57</v>
      </c>
      <c r="D1080" s="486">
        <v>1.02</v>
      </c>
      <c r="E1080" s="486">
        <v>1.02</v>
      </c>
    </row>
    <row r="1081" spans="1:5" ht="30">
      <c r="A1081" s="495">
        <v>95279</v>
      </c>
      <c r="B1081" s="348" t="s">
        <v>15563</v>
      </c>
      <c r="C1081" s="349" t="s">
        <v>57</v>
      </c>
      <c r="D1081" s="483">
        <v>0.28999999999999998</v>
      </c>
      <c r="E1081" s="483">
        <v>0.28999999999999998</v>
      </c>
    </row>
    <row r="1082" spans="1:5" ht="30">
      <c r="A1082" s="494">
        <v>95280</v>
      </c>
      <c r="B1082" s="485" t="s">
        <v>15564</v>
      </c>
      <c r="C1082" s="484" t="s">
        <v>57</v>
      </c>
      <c r="D1082" s="486">
        <v>0.67</v>
      </c>
      <c r="E1082" s="486">
        <v>0.67</v>
      </c>
    </row>
    <row r="1083" spans="1:5" ht="30">
      <c r="A1083" s="495">
        <v>95281</v>
      </c>
      <c r="B1083" s="348" t="s">
        <v>15565</v>
      </c>
      <c r="C1083" s="349" t="s">
        <v>57</v>
      </c>
      <c r="D1083" s="483">
        <v>4.63</v>
      </c>
      <c r="E1083" s="483">
        <v>4.63</v>
      </c>
    </row>
    <row r="1084" spans="1:5" ht="30">
      <c r="A1084" s="494">
        <v>95617</v>
      </c>
      <c r="B1084" s="485" t="s">
        <v>15566</v>
      </c>
      <c r="C1084" s="484" t="s">
        <v>57</v>
      </c>
      <c r="D1084" s="486">
        <v>0.9</v>
      </c>
      <c r="E1084" s="486">
        <v>0.9</v>
      </c>
    </row>
    <row r="1085" spans="1:5" ht="30">
      <c r="A1085" s="495">
        <v>95618</v>
      </c>
      <c r="B1085" s="348" t="s">
        <v>15567</v>
      </c>
      <c r="C1085" s="349" t="s">
        <v>57</v>
      </c>
      <c r="D1085" s="483">
        <v>0.25</v>
      </c>
      <c r="E1085" s="483">
        <v>0.25</v>
      </c>
    </row>
    <row r="1086" spans="1:5" ht="30">
      <c r="A1086" s="494">
        <v>95619</v>
      </c>
      <c r="B1086" s="485" t="s">
        <v>15568</v>
      </c>
      <c r="C1086" s="484" t="s">
        <v>57</v>
      </c>
      <c r="D1086" s="486">
        <v>0.59</v>
      </c>
      <c r="E1086" s="486">
        <v>0.59</v>
      </c>
    </row>
    <row r="1087" spans="1:5" ht="30">
      <c r="A1087" s="495">
        <v>95627</v>
      </c>
      <c r="B1087" s="348" t="s">
        <v>15569</v>
      </c>
      <c r="C1087" s="349" t="s">
        <v>57</v>
      </c>
      <c r="D1087" s="483">
        <v>21.83</v>
      </c>
      <c r="E1087" s="483">
        <v>21.83</v>
      </c>
    </row>
    <row r="1088" spans="1:5" ht="30">
      <c r="A1088" s="494">
        <v>95628</v>
      </c>
      <c r="B1088" s="485" t="s">
        <v>15570</v>
      </c>
      <c r="C1088" s="484" t="s">
        <v>57</v>
      </c>
      <c r="D1088" s="486">
        <v>5.09</v>
      </c>
      <c r="E1088" s="486">
        <v>5.09</v>
      </c>
    </row>
    <row r="1089" spans="1:5" ht="30">
      <c r="A1089" s="495">
        <v>95629</v>
      </c>
      <c r="B1089" s="348" t="s">
        <v>15571</v>
      </c>
      <c r="C1089" s="349" t="s">
        <v>57</v>
      </c>
      <c r="D1089" s="483">
        <v>24.25</v>
      </c>
      <c r="E1089" s="483">
        <v>24.25</v>
      </c>
    </row>
    <row r="1090" spans="1:5" ht="30">
      <c r="A1090" s="494">
        <v>95630</v>
      </c>
      <c r="B1090" s="485" t="s">
        <v>15572</v>
      </c>
      <c r="C1090" s="484" t="s">
        <v>57</v>
      </c>
      <c r="D1090" s="486">
        <v>59.12</v>
      </c>
      <c r="E1090" s="486">
        <v>59.12</v>
      </c>
    </row>
    <row r="1091" spans="1:5" ht="30">
      <c r="A1091" s="495">
        <v>95698</v>
      </c>
      <c r="B1091" s="348" t="s">
        <v>15573</v>
      </c>
      <c r="C1091" s="349" t="s">
        <v>57</v>
      </c>
      <c r="D1091" s="483">
        <v>3.5</v>
      </c>
      <c r="E1091" s="483">
        <v>3.5</v>
      </c>
    </row>
    <row r="1092" spans="1:5" ht="30">
      <c r="A1092" s="494">
        <v>95699</v>
      </c>
      <c r="B1092" s="485" t="s">
        <v>15574</v>
      </c>
      <c r="C1092" s="484" t="s">
        <v>57</v>
      </c>
      <c r="D1092" s="486">
        <v>0.77</v>
      </c>
      <c r="E1092" s="486">
        <v>0.77</v>
      </c>
    </row>
    <row r="1093" spans="1:5" ht="30">
      <c r="A1093" s="495">
        <v>95700</v>
      </c>
      <c r="B1093" s="348" t="s">
        <v>15575</v>
      </c>
      <c r="C1093" s="349" t="s">
        <v>57</v>
      </c>
      <c r="D1093" s="483">
        <v>3.68</v>
      </c>
      <c r="E1093" s="483">
        <v>3.68</v>
      </c>
    </row>
    <row r="1094" spans="1:5" ht="30">
      <c r="A1094" s="494">
        <v>95701</v>
      </c>
      <c r="B1094" s="485" t="s">
        <v>15576</v>
      </c>
      <c r="C1094" s="484" t="s">
        <v>57</v>
      </c>
      <c r="D1094" s="486">
        <v>1.62</v>
      </c>
      <c r="E1094" s="486">
        <v>1.62</v>
      </c>
    </row>
    <row r="1095" spans="1:5" ht="30">
      <c r="A1095" s="495">
        <v>95704</v>
      </c>
      <c r="B1095" s="348" t="s">
        <v>15577</v>
      </c>
      <c r="C1095" s="349" t="s">
        <v>57</v>
      </c>
      <c r="D1095" s="483">
        <v>28.86</v>
      </c>
      <c r="E1095" s="483">
        <v>28.86</v>
      </c>
    </row>
    <row r="1096" spans="1:5" ht="30">
      <c r="A1096" s="494">
        <v>95705</v>
      </c>
      <c r="B1096" s="485" t="s">
        <v>15578</v>
      </c>
      <c r="C1096" s="484" t="s">
        <v>57</v>
      </c>
      <c r="D1096" s="486">
        <v>6.37</v>
      </c>
      <c r="E1096" s="486">
        <v>6.37</v>
      </c>
    </row>
    <row r="1097" spans="1:5" ht="30">
      <c r="A1097" s="495">
        <v>95706</v>
      </c>
      <c r="B1097" s="348" t="s">
        <v>15579</v>
      </c>
      <c r="C1097" s="349" t="s">
        <v>57</v>
      </c>
      <c r="D1097" s="483">
        <v>30.38</v>
      </c>
      <c r="E1097" s="483">
        <v>30.38</v>
      </c>
    </row>
    <row r="1098" spans="1:5" ht="30">
      <c r="A1098" s="494">
        <v>95707</v>
      </c>
      <c r="B1098" s="485" t="s">
        <v>15580</v>
      </c>
      <c r="C1098" s="484" t="s">
        <v>57</v>
      </c>
      <c r="D1098" s="486">
        <v>18.13</v>
      </c>
      <c r="E1098" s="486">
        <v>18.13</v>
      </c>
    </row>
    <row r="1099" spans="1:5" ht="45">
      <c r="A1099" s="495">
        <v>95710</v>
      </c>
      <c r="B1099" s="348" t="s">
        <v>15581</v>
      </c>
      <c r="C1099" s="349" t="s">
        <v>57</v>
      </c>
      <c r="D1099" s="483">
        <v>29.19</v>
      </c>
      <c r="E1099" s="483">
        <v>29.19</v>
      </c>
    </row>
    <row r="1100" spans="1:5" ht="45">
      <c r="A1100" s="494">
        <v>95711</v>
      </c>
      <c r="B1100" s="485" t="s">
        <v>15582</v>
      </c>
      <c r="C1100" s="484" t="s">
        <v>57</v>
      </c>
      <c r="D1100" s="486">
        <v>6.56</v>
      </c>
      <c r="E1100" s="486">
        <v>6.56</v>
      </c>
    </row>
    <row r="1101" spans="1:5" ht="45">
      <c r="A1101" s="495">
        <v>95712</v>
      </c>
      <c r="B1101" s="348" t="s">
        <v>15583</v>
      </c>
      <c r="C1101" s="349" t="s">
        <v>57</v>
      </c>
      <c r="D1101" s="483">
        <v>41.05</v>
      </c>
      <c r="E1101" s="483">
        <v>41.05</v>
      </c>
    </row>
    <row r="1102" spans="1:5" ht="45">
      <c r="A1102" s="494">
        <v>95713</v>
      </c>
      <c r="B1102" s="485" t="s">
        <v>15584</v>
      </c>
      <c r="C1102" s="484" t="s">
        <v>57</v>
      </c>
      <c r="D1102" s="486">
        <v>73.319999999999993</v>
      </c>
      <c r="E1102" s="486">
        <v>73.319999999999993</v>
      </c>
    </row>
    <row r="1103" spans="1:5" ht="45">
      <c r="A1103" s="495">
        <v>95716</v>
      </c>
      <c r="B1103" s="348" t="s">
        <v>15585</v>
      </c>
      <c r="C1103" s="349" t="s">
        <v>57</v>
      </c>
      <c r="D1103" s="483">
        <v>28.1</v>
      </c>
      <c r="E1103" s="483">
        <v>28.1</v>
      </c>
    </row>
    <row r="1104" spans="1:5" ht="45">
      <c r="A1104" s="494">
        <v>95717</v>
      </c>
      <c r="B1104" s="485" t="s">
        <v>15586</v>
      </c>
      <c r="C1104" s="484" t="s">
        <v>57</v>
      </c>
      <c r="D1104" s="486">
        <v>6.32</v>
      </c>
      <c r="E1104" s="486">
        <v>6.32</v>
      </c>
    </row>
    <row r="1105" spans="1:5" ht="45">
      <c r="A1105" s="495">
        <v>95718</v>
      </c>
      <c r="B1105" s="348" t="s">
        <v>15587</v>
      </c>
      <c r="C1105" s="349" t="s">
        <v>57</v>
      </c>
      <c r="D1105" s="483">
        <v>39.51</v>
      </c>
      <c r="E1105" s="483">
        <v>39.51</v>
      </c>
    </row>
    <row r="1106" spans="1:5" ht="45">
      <c r="A1106" s="494">
        <v>95719</v>
      </c>
      <c r="B1106" s="485" t="s">
        <v>15588</v>
      </c>
      <c r="C1106" s="484" t="s">
        <v>57</v>
      </c>
      <c r="D1106" s="486">
        <v>73.319999999999993</v>
      </c>
      <c r="E1106" s="486">
        <v>73.319999999999993</v>
      </c>
    </row>
    <row r="1107" spans="1:5" ht="30">
      <c r="A1107" s="495">
        <v>95869</v>
      </c>
      <c r="B1107" s="348" t="s">
        <v>15589</v>
      </c>
      <c r="C1107" s="349" t="s">
        <v>57</v>
      </c>
      <c r="D1107" s="483">
        <v>1.61</v>
      </c>
      <c r="E1107" s="483">
        <v>1.61</v>
      </c>
    </row>
    <row r="1108" spans="1:5" ht="30">
      <c r="A1108" s="494">
        <v>95870</v>
      </c>
      <c r="B1108" s="485" t="s">
        <v>15590</v>
      </c>
      <c r="C1108" s="484" t="s">
        <v>57</v>
      </c>
      <c r="D1108" s="486">
        <v>4.21</v>
      </c>
      <c r="E1108" s="486">
        <v>4.21</v>
      </c>
    </row>
    <row r="1109" spans="1:5" ht="30">
      <c r="A1109" s="495">
        <v>95871</v>
      </c>
      <c r="B1109" s="348" t="s">
        <v>15591</v>
      </c>
      <c r="C1109" s="349" t="s">
        <v>57</v>
      </c>
      <c r="D1109" s="483">
        <v>167.53</v>
      </c>
      <c r="E1109" s="483">
        <v>167.53</v>
      </c>
    </row>
    <row r="1110" spans="1:5" ht="30">
      <c r="A1110" s="494">
        <v>95872</v>
      </c>
      <c r="B1110" s="485" t="s">
        <v>15592</v>
      </c>
      <c r="C1110" s="484" t="s">
        <v>328</v>
      </c>
      <c r="D1110" s="486">
        <v>179.08</v>
      </c>
      <c r="E1110" s="486">
        <v>179.08</v>
      </c>
    </row>
    <row r="1111" spans="1:5" ht="30">
      <c r="A1111" s="495">
        <v>95873</v>
      </c>
      <c r="B1111" s="348" t="s">
        <v>15593</v>
      </c>
      <c r="C1111" s="349" t="s">
        <v>330</v>
      </c>
      <c r="D1111" s="483">
        <v>7.34</v>
      </c>
      <c r="E1111" s="483">
        <v>7.34</v>
      </c>
    </row>
    <row r="1112" spans="1:5" ht="30">
      <c r="A1112" s="494">
        <v>95874</v>
      </c>
      <c r="B1112" s="485" t="s">
        <v>15594</v>
      </c>
      <c r="C1112" s="484" t="s">
        <v>57</v>
      </c>
      <c r="D1112" s="486">
        <v>5.73</v>
      </c>
      <c r="E1112" s="486">
        <v>5.73</v>
      </c>
    </row>
    <row r="1113" spans="1:5" ht="30">
      <c r="A1113" s="495">
        <v>96008</v>
      </c>
      <c r="B1113" s="348" t="s">
        <v>15595</v>
      </c>
      <c r="C1113" s="349" t="s">
        <v>57</v>
      </c>
      <c r="D1113" s="483">
        <v>8.0299999999999994</v>
      </c>
      <c r="E1113" s="483">
        <v>8.0299999999999994</v>
      </c>
    </row>
    <row r="1114" spans="1:5" ht="30">
      <c r="A1114" s="494">
        <v>96009</v>
      </c>
      <c r="B1114" s="485" t="s">
        <v>15596</v>
      </c>
      <c r="C1114" s="484" t="s">
        <v>57</v>
      </c>
      <c r="D1114" s="486">
        <v>2.71</v>
      </c>
      <c r="E1114" s="486">
        <v>2.71</v>
      </c>
    </row>
    <row r="1115" spans="1:5" ht="30">
      <c r="A1115" s="495">
        <v>96010</v>
      </c>
      <c r="B1115" s="348" t="s">
        <v>15597</v>
      </c>
      <c r="C1115" s="349" t="s">
        <v>57</v>
      </c>
      <c r="D1115" s="483">
        <v>0.55000000000000004</v>
      </c>
      <c r="E1115" s="483">
        <v>0.55000000000000004</v>
      </c>
    </row>
    <row r="1116" spans="1:5" ht="30">
      <c r="A1116" s="494">
        <v>96011</v>
      </c>
      <c r="B1116" s="485" t="s">
        <v>15598</v>
      </c>
      <c r="C1116" s="484" t="s">
        <v>57</v>
      </c>
      <c r="D1116" s="486">
        <v>8.83</v>
      </c>
      <c r="E1116" s="486">
        <v>8.83</v>
      </c>
    </row>
    <row r="1117" spans="1:5" ht="30">
      <c r="A1117" s="495">
        <v>96012</v>
      </c>
      <c r="B1117" s="348" t="s">
        <v>15599</v>
      </c>
      <c r="C1117" s="349" t="s">
        <v>57</v>
      </c>
      <c r="D1117" s="483">
        <v>42.69</v>
      </c>
      <c r="E1117" s="483">
        <v>42.69</v>
      </c>
    </row>
    <row r="1118" spans="1:5" ht="30">
      <c r="A1118" s="494">
        <v>96015</v>
      </c>
      <c r="B1118" s="485" t="s">
        <v>15600</v>
      </c>
      <c r="C1118" s="484" t="s">
        <v>57</v>
      </c>
      <c r="D1118" s="486">
        <v>7.96</v>
      </c>
      <c r="E1118" s="486">
        <v>7.96</v>
      </c>
    </row>
    <row r="1119" spans="1:5" ht="30">
      <c r="A1119" s="495">
        <v>96016</v>
      </c>
      <c r="B1119" s="348" t="s">
        <v>15601</v>
      </c>
      <c r="C1119" s="349" t="s">
        <v>57</v>
      </c>
      <c r="D1119" s="483">
        <v>2.68</v>
      </c>
      <c r="E1119" s="483">
        <v>2.68</v>
      </c>
    </row>
    <row r="1120" spans="1:5" ht="30">
      <c r="A1120" s="494">
        <v>96017</v>
      </c>
      <c r="B1120" s="485" t="s">
        <v>15602</v>
      </c>
      <c r="C1120" s="484" t="s">
        <v>57</v>
      </c>
      <c r="D1120" s="486">
        <v>0.55000000000000004</v>
      </c>
      <c r="E1120" s="486">
        <v>0.55000000000000004</v>
      </c>
    </row>
    <row r="1121" spans="1:5" ht="30">
      <c r="A1121" s="495">
        <v>96018</v>
      </c>
      <c r="B1121" s="348" t="s">
        <v>15603</v>
      </c>
      <c r="C1121" s="349" t="s">
        <v>57</v>
      </c>
      <c r="D1121" s="483">
        <v>8.76</v>
      </c>
      <c r="E1121" s="483">
        <v>8.76</v>
      </c>
    </row>
    <row r="1122" spans="1:5" ht="30">
      <c r="A1122" s="494">
        <v>96019</v>
      </c>
      <c r="B1122" s="485" t="s">
        <v>15604</v>
      </c>
      <c r="C1122" s="484" t="s">
        <v>57</v>
      </c>
      <c r="D1122" s="486">
        <v>42.69</v>
      </c>
      <c r="E1122" s="486">
        <v>42.69</v>
      </c>
    </row>
    <row r="1123" spans="1:5" ht="30">
      <c r="A1123" s="495">
        <v>96023</v>
      </c>
      <c r="B1123" s="348" t="s">
        <v>15605</v>
      </c>
      <c r="C1123" s="349" t="s">
        <v>57</v>
      </c>
      <c r="D1123" s="483">
        <v>6.14</v>
      </c>
      <c r="E1123" s="483">
        <v>6.14</v>
      </c>
    </row>
    <row r="1124" spans="1:5" ht="30">
      <c r="A1124" s="494">
        <v>96024</v>
      </c>
      <c r="B1124" s="485" t="s">
        <v>15606</v>
      </c>
      <c r="C1124" s="484" t="s">
        <v>57</v>
      </c>
      <c r="D1124" s="486">
        <v>2.06</v>
      </c>
      <c r="E1124" s="486">
        <v>2.06</v>
      </c>
    </row>
    <row r="1125" spans="1:5" ht="30">
      <c r="A1125" s="495">
        <v>96025</v>
      </c>
      <c r="B1125" s="348" t="s">
        <v>15607</v>
      </c>
      <c r="C1125" s="349" t="s">
        <v>57</v>
      </c>
      <c r="D1125" s="483">
        <v>0.43</v>
      </c>
      <c r="E1125" s="483">
        <v>0.43</v>
      </c>
    </row>
    <row r="1126" spans="1:5" ht="30">
      <c r="A1126" s="494">
        <v>96026</v>
      </c>
      <c r="B1126" s="485" t="s">
        <v>15608</v>
      </c>
      <c r="C1126" s="484" t="s">
        <v>57</v>
      </c>
      <c r="D1126" s="486">
        <v>6.76</v>
      </c>
      <c r="E1126" s="486">
        <v>6.76</v>
      </c>
    </row>
    <row r="1127" spans="1:5" ht="30">
      <c r="A1127" s="495">
        <v>96027</v>
      </c>
      <c r="B1127" s="348" t="s">
        <v>15609</v>
      </c>
      <c r="C1127" s="349" t="s">
        <v>57</v>
      </c>
      <c r="D1127" s="483">
        <v>29.73</v>
      </c>
      <c r="E1127" s="483">
        <v>29.73</v>
      </c>
    </row>
    <row r="1128" spans="1:5" ht="30">
      <c r="A1128" s="494">
        <v>96030</v>
      </c>
      <c r="B1128" s="485" t="s">
        <v>15610</v>
      </c>
      <c r="C1128" s="484" t="s">
        <v>57</v>
      </c>
      <c r="D1128" s="486">
        <v>19.04</v>
      </c>
      <c r="E1128" s="486">
        <v>19.04</v>
      </c>
    </row>
    <row r="1129" spans="1:5" ht="30">
      <c r="A1129" s="495">
        <v>96031</v>
      </c>
      <c r="B1129" s="348" t="s">
        <v>15611</v>
      </c>
      <c r="C1129" s="349" t="s">
        <v>57</v>
      </c>
      <c r="D1129" s="483">
        <v>4.5</v>
      </c>
      <c r="E1129" s="483">
        <v>4.5</v>
      </c>
    </row>
    <row r="1130" spans="1:5" ht="30">
      <c r="A1130" s="494">
        <v>96032</v>
      </c>
      <c r="B1130" s="485" t="s">
        <v>15612</v>
      </c>
      <c r="C1130" s="484" t="s">
        <v>57</v>
      </c>
      <c r="D1130" s="486">
        <v>0.9</v>
      </c>
      <c r="E1130" s="486">
        <v>0.9</v>
      </c>
    </row>
    <row r="1131" spans="1:5" ht="30">
      <c r="A1131" s="495">
        <v>96033</v>
      </c>
      <c r="B1131" s="348" t="s">
        <v>15613</v>
      </c>
      <c r="C1131" s="349" t="s">
        <v>57</v>
      </c>
      <c r="D1131" s="483">
        <v>26.77</v>
      </c>
      <c r="E1131" s="483">
        <v>26.77</v>
      </c>
    </row>
    <row r="1132" spans="1:5" ht="30">
      <c r="A1132" s="494">
        <v>96034</v>
      </c>
      <c r="B1132" s="485" t="s">
        <v>15614</v>
      </c>
      <c r="C1132" s="484" t="s">
        <v>57</v>
      </c>
      <c r="D1132" s="486">
        <v>80.48</v>
      </c>
      <c r="E1132" s="486">
        <v>80.48</v>
      </c>
    </row>
    <row r="1133" spans="1:5">
      <c r="A1133" s="495">
        <v>55960</v>
      </c>
      <c r="B1133" s="348" t="s">
        <v>15615</v>
      </c>
      <c r="C1133" s="349" t="s">
        <v>256</v>
      </c>
      <c r="D1133" s="483">
        <v>4.2</v>
      </c>
      <c r="E1133" s="483">
        <v>4.2</v>
      </c>
    </row>
    <row r="1134" spans="1:5" ht="30">
      <c r="A1134" s="494">
        <v>72085</v>
      </c>
      <c r="B1134" s="485" t="s">
        <v>15616</v>
      </c>
      <c r="C1134" s="484" t="s">
        <v>71</v>
      </c>
      <c r="D1134" s="486">
        <v>1.67</v>
      </c>
      <c r="E1134" s="486">
        <v>1.67</v>
      </c>
    </row>
    <row r="1135" spans="1:5" ht="30">
      <c r="A1135" s="495">
        <v>72086</v>
      </c>
      <c r="B1135" s="348" t="s">
        <v>15617</v>
      </c>
      <c r="C1135" s="349" t="s">
        <v>71</v>
      </c>
      <c r="D1135" s="483">
        <v>5.1100000000000003</v>
      </c>
      <c r="E1135" s="483">
        <v>5.1100000000000003</v>
      </c>
    </row>
    <row r="1136" spans="1:5" ht="45">
      <c r="A1136" s="494">
        <v>92259</v>
      </c>
      <c r="B1136" s="485" t="s">
        <v>15618</v>
      </c>
      <c r="C1136" s="484" t="s">
        <v>65</v>
      </c>
      <c r="D1136" s="486">
        <v>251.2</v>
      </c>
      <c r="E1136" s="486">
        <v>251.2</v>
      </c>
    </row>
    <row r="1137" spans="1:5" ht="45">
      <c r="A1137" s="495">
        <v>92260</v>
      </c>
      <c r="B1137" s="348" t="s">
        <v>15619</v>
      </c>
      <c r="C1137" s="349" t="s">
        <v>65</v>
      </c>
      <c r="D1137" s="483">
        <v>295.36</v>
      </c>
      <c r="E1137" s="483">
        <v>295.36</v>
      </c>
    </row>
    <row r="1138" spans="1:5" ht="45">
      <c r="A1138" s="494">
        <v>92261</v>
      </c>
      <c r="B1138" s="485" t="s">
        <v>15620</v>
      </c>
      <c r="C1138" s="484" t="s">
        <v>65</v>
      </c>
      <c r="D1138" s="486">
        <v>338.18</v>
      </c>
      <c r="E1138" s="486">
        <v>338.18</v>
      </c>
    </row>
    <row r="1139" spans="1:5" ht="45">
      <c r="A1139" s="495">
        <v>92262</v>
      </c>
      <c r="B1139" s="348" t="s">
        <v>15621</v>
      </c>
      <c r="C1139" s="349" t="s">
        <v>65</v>
      </c>
      <c r="D1139" s="483">
        <v>407.11</v>
      </c>
      <c r="E1139" s="483">
        <v>407.11</v>
      </c>
    </row>
    <row r="1140" spans="1:5" ht="45">
      <c r="A1140" s="494">
        <v>92539</v>
      </c>
      <c r="B1140" s="485" t="s">
        <v>9823</v>
      </c>
      <c r="C1140" s="484" t="s">
        <v>256</v>
      </c>
      <c r="D1140" s="486">
        <v>37.799999999999997</v>
      </c>
      <c r="E1140" s="486">
        <v>37.799999999999997</v>
      </c>
    </row>
    <row r="1141" spans="1:5" ht="45">
      <c r="A1141" s="495">
        <v>92540</v>
      </c>
      <c r="B1141" s="348" t="s">
        <v>15622</v>
      </c>
      <c r="C1141" s="349" t="s">
        <v>256</v>
      </c>
      <c r="D1141" s="483">
        <v>44.25</v>
      </c>
      <c r="E1141" s="483">
        <v>44.25</v>
      </c>
    </row>
    <row r="1142" spans="1:5" ht="30">
      <c r="A1142" s="494">
        <v>92541</v>
      </c>
      <c r="B1142" s="485" t="s">
        <v>15623</v>
      </c>
      <c r="C1142" s="484" t="s">
        <v>256</v>
      </c>
      <c r="D1142" s="486">
        <v>40.97</v>
      </c>
      <c r="E1142" s="486">
        <v>40.97</v>
      </c>
    </row>
    <row r="1143" spans="1:5" ht="30">
      <c r="A1143" s="495">
        <v>92542</v>
      </c>
      <c r="B1143" s="348" t="s">
        <v>15624</v>
      </c>
      <c r="C1143" s="349" t="s">
        <v>256</v>
      </c>
      <c r="D1143" s="483">
        <v>51.05</v>
      </c>
      <c r="E1143" s="483">
        <v>51.05</v>
      </c>
    </row>
    <row r="1144" spans="1:5" ht="45">
      <c r="A1144" s="494">
        <v>92543</v>
      </c>
      <c r="B1144" s="485" t="s">
        <v>9827</v>
      </c>
      <c r="C1144" s="484" t="s">
        <v>256</v>
      </c>
      <c r="D1144" s="486">
        <v>10.6</v>
      </c>
      <c r="E1144" s="486">
        <v>10.6</v>
      </c>
    </row>
    <row r="1145" spans="1:5" ht="30">
      <c r="A1145" s="495">
        <v>92544</v>
      </c>
      <c r="B1145" s="348" t="s">
        <v>15625</v>
      </c>
      <c r="C1145" s="349" t="s">
        <v>256</v>
      </c>
      <c r="D1145" s="483">
        <v>8.91</v>
      </c>
      <c r="E1145" s="483">
        <v>8.91</v>
      </c>
    </row>
    <row r="1146" spans="1:5" ht="30">
      <c r="A1146" s="494">
        <v>92545</v>
      </c>
      <c r="B1146" s="485" t="s">
        <v>15626</v>
      </c>
      <c r="C1146" s="484" t="s">
        <v>65</v>
      </c>
      <c r="D1146" s="486">
        <v>550.66</v>
      </c>
      <c r="E1146" s="486">
        <v>550.66</v>
      </c>
    </row>
    <row r="1147" spans="1:5" ht="30">
      <c r="A1147" s="495">
        <v>92546</v>
      </c>
      <c r="B1147" s="348" t="s">
        <v>15627</v>
      </c>
      <c r="C1147" s="349" t="s">
        <v>65</v>
      </c>
      <c r="D1147" s="483">
        <v>675.75</v>
      </c>
      <c r="E1147" s="483">
        <v>675.75</v>
      </c>
    </row>
    <row r="1148" spans="1:5" ht="30">
      <c r="A1148" s="494">
        <v>92547</v>
      </c>
      <c r="B1148" s="485" t="s">
        <v>15628</v>
      </c>
      <c r="C1148" s="484" t="s">
        <v>65</v>
      </c>
      <c r="D1148" s="486">
        <v>703.7</v>
      </c>
      <c r="E1148" s="486">
        <v>703.7</v>
      </c>
    </row>
    <row r="1149" spans="1:5" ht="30">
      <c r="A1149" s="495">
        <v>92548</v>
      </c>
      <c r="B1149" s="348" t="s">
        <v>15629</v>
      </c>
      <c r="C1149" s="349" t="s">
        <v>65</v>
      </c>
      <c r="D1149" s="483">
        <v>778.94</v>
      </c>
      <c r="E1149" s="483">
        <v>778.94</v>
      </c>
    </row>
    <row r="1150" spans="1:5" ht="30">
      <c r="A1150" s="494">
        <v>92549</v>
      </c>
      <c r="B1150" s="485" t="s">
        <v>15630</v>
      </c>
      <c r="C1150" s="484" t="s">
        <v>65</v>
      </c>
      <c r="D1150" s="486">
        <v>997.96</v>
      </c>
      <c r="E1150" s="486">
        <v>997.96</v>
      </c>
    </row>
    <row r="1151" spans="1:5" ht="30">
      <c r="A1151" s="495">
        <v>92550</v>
      </c>
      <c r="B1151" s="348" t="s">
        <v>15631</v>
      </c>
      <c r="C1151" s="349" t="s">
        <v>65</v>
      </c>
      <c r="D1151" s="483">
        <v>1150.07</v>
      </c>
      <c r="E1151" s="483">
        <v>1150.07</v>
      </c>
    </row>
    <row r="1152" spans="1:5" ht="30">
      <c r="A1152" s="494">
        <v>92551</v>
      </c>
      <c r="B1152" s="485" t="s">
        <v>15632</v>
      </c>
      <c r="C1152" s="484" t="s">
        <v>65</v>
      </c>
      <c r="D1152" s="486">
        <v>1187.04</v>
      </c>
      <c r="E1152" s="486">
        <v>1187.04</v>
      </c>
    </row>
    <row r="1153" spans="1:5" ht="30">
      <c r="A1153" s="495">
        <v>92552</v>
      </c>
      <c r="B1153" s="348" t="s">
        <v>15633</v>
      </c>
      <c r="C1153" s="349" t="s">
        <v>65</v>
      </c>
      <c r="D1153" s="483">
        <v>1298.46</v>
      </c>
      <c r="E1153" s="483">
        <v>1298.46</v>
      </c>
    </row>
    <row r="1154" spans="1:5" ht="30">
      <c r="A1154" s="494">
        <v>92553</v>
      </c>
      <c r="B1154" s="485" t="s">
        <v>15634</v>
      </c>
      <c r="C1154" s="484" t="s">
        <v>65</v>
      </c>
      <c r="D1154" s="486">
        <v>1521.85</v>
      </c>
      <c r="E1154" s="486">
        <v>1521.85</v>
      </c>
    </row>
    <row r="1155" spans="1:5" ht="30">
      <c r="A1155" s="495">
        <v>92554</v>
      </c>
      <c r="B1155" s="348" t="s">
        <v>15635</v>
      </c>
      <c r="C1155" s="349" t="s">
        <v>65</v>
      </c>
      <c r="D1155" s="483">
        <v>1563.87</v>
      </c>
      <c r="E1155" s="483">
        <v>1563.87</v>
      </c>
    </row>
    <row r="1156" spans="1:5" ht="45">
      <c r="A1156" s="494">
        <v>92555</v>
      </c>
      <c r="B1156" s="485" t="s">
        <v>5504</v>
      </c>
      <c r="C1156" s="484" t="s">
        <v>65</v>
      </c>
      <c r="D1156" s="486">
        <v>545.16</v>
      </c>
      <c r="E1156" s="486">
        <v>545.16</v>
      </c>
    </row>
    <row r="1157" spans="1:5" ht="45">
      <c r="A1157" s="495">
        <v>92556</v>
      </c>
      <c r="B1157" s="348" t="s">
        <v>5506</v>
      </c>
      <c r="C1157" s="349" t="s">
        <v>65</v>
      </c>
      <c r="D1157" s="483">
        <v>666.67</v>
      </c>
      <c r="E1157" s="483">
        <v>666.67</v>
      </c>
    </row>
    <row r="1158" spans="1:5" ht="45">
      <c r="A1158" s="494">
        <v>92557</v>
      </c>
      <c r="B1158" s="485" t="s">
        <v>5508</v>
      </c>
      <c r="C1158" s="484" t="s">
        <v>65</v>
      </c>
      <c r="D1158" s="486">
        <v>694.61</v>
      </c>
      <c r="E1158" s="486">
        <v>694.61</v>
      </c>
    </row>
    <row r="1159" spans="1:5" ht="45">
      <c r="A1159" s="495">
        <v>92558</v>
      </c>
      <c r="B1159" s="348" t="s">
        <v>5510</v>
      </c>
      <c r="C1159" s="349" t="s">
        <v>65</v>
      </c>
      <c r="D1159" s="483">
        <v>775.81</v>
      </c>
      <c r="E1159" s="483">
        <v>775.81</v>
      </c>
    </row>
    <row r="1160" spans="1:5" ht="45">
      <c r="A1160" s="494">
        <v>92559</v>
      </c>
      <c r="B1160" s="485" t="s">
        <v>5512</v>
      </c>
      <c r="C1160" s="484" t="s">
        <v>65</v>
      </c>
      <c r="D1160" s="486">
        <v>988.28</v>
      </c>
      <c r="E1160" s="486">
        <v>988.28</v>
      </c>
    </row>
    <row r="1161" spans="1:5" ht="45">
      <c r="A1161" s="495">
        <v>92560</v>
      </c>
      <c r="B1161" s="348" t="s">
        <v>5514</v>
      </c>
      <c r="C1161" s="349" t="s">
        <v>65</v>
      </c>
      <c r="D1161" s="483">
        <v>1135.3</v>
      </c>
      <c r="E1161" s="483">
        <v>1135.3</v>
      </c>
    </row>
    <row r="1162" spans="1:5" ht="45">
      <c r="A1162" s="494">
        <v>92561</v>
      </c>
      <c r="B1162" s="485" t="s">
        <v>5516</v>
      </c>
      <c r="C1162" s="484" t="s">
        <v>65</v>
      </c>
      <c r="D1162" s="486">
        <v>1172.93</v>
      </c>
      <c r="E1162" s="486">
        <v>1172.93</v>
      </c>
    </row>
    <row r="1163" spans="1:5" ht="45">
      <c r="A1163" s="495">
        <v>92562</v>
      </c>
      <c r="B1163" s="348" t="s">
        <v>15636</v>
      </c>
      <c r="C1163" s="349" t="s">
        <v>65</v>
      </c>
      <c r="D1163" s="483">
        <v>1275.27</v>
      </c>
      <c r="E1163" s="483">
        <v>1275.27</v>
      </c>
    </row>
    <row r="1164" spans="1:5" ht="45">
      <c r="A1164" s="494">
        <v>92563</v>
      </c>
      <c r="B1164" s="485" t="s">
        <v>15637</v>
      </c>
      <c r="C1164" s="484" t="s">
        <v>65</v>
      </c>
      <c r="D1164" s="486">
        <v>1493.64</v>
      </c>
      <c r="E1164" s="486">
        <v>1493.64</v>
      </c>
    </row>
    <row r="1165" spans="1:5" ht="45">
      <c r="A1165" s="495">
        <v>92564</v>
      </c>
      <c r="B1165" s="348" t="s">
        <v>15638</v>
      </c>
      <c r="C1165" s="349" t="s">
        <v>65</v>
      </c>
      <c r="D1165" s="483">
        <v>1529.57</v>
      </c>
      <c r="E1165" s="483">
        <v>1529.57</v>
      </c>
    </row>
    <row r="1166" spans="1:5" ht="45">
      <c r="A1166" s="494">
        <v>92565</v>
      </c>
      <c r="B1166" s="485" t="s">
        <v>15639</v>
      </c>
      <c r="C1166" s="484" t="s">
        <v>256</v>
      </c>
      <c r="D1166" s="486">
        <v>19.809999999999999</v>
      </c>
      <c r="E1166" s="486">
        <v>19.809999999999999</v>
      </c>
    </row>
    <row r="1167" spans="1:5" ht="45">
      <c r="A1167" s="495">
        <v>92566</v>
      </c>
      <c r="B1167" s="348" t="s">
        <v>15640</v>
      </c>
      <c r="C1167" s="349" t="s">
        <v>256</v>
      </c>
      <c r="D1167" s="483">
        <v>11.31</v>
      </c>
      <c r="E1167" s="483">
        <v>11.31</v>
      </c>
    </row>
    <row r="1168" spans="1:5" ht="45">
      <c r="A1168" s="494">
        <v>92567</v>
      </c>
      <c r="B1168" s="485" t="s">
        <v>15641</v>
      </c>
      <c r="C1168" s="484" t="s">
        <v>256</v>
      </c>
      <c r="D1168" s="486">
        <v>17.260000000000002</v>
      </c>
      <c r="E1168" s="486">
        <v>17.260000000000002</v>
      </c>
    </row>
    <row r="1169" spans="1:5" ht="30">
      <c r="A1169" s="495">
        <v>72089</v>
      </c>
      <c r="B1169" s="348" t="s">
        <v>15642</v>
      </c>
      <c r="C1169" s="349" t="s">
        <v>256</v>
      </c>
      <c r="D1169" s="483">
        <v>9.6199999999999992</v>
      </c>
      <c r="E1169" s="483">
        <v>9.6199999999999992</v>
      </c>
    </row>
    <row r="1170" spans="1:5" ht="30">
      <c r="A1170" s="494">
        <v>72091</v>
      </c>
      <c r="B1170" s="485" t="s">
        <v>15643</v>
      </c>
      <c r="C1170" s="484" t="s">
        <v>256</v>
      </c>
      <c r="D1170" s="486">
        <v>32.28</v>
      </c>
      <c r="E1170" s="486">
        <v>32.28</v>
      </c>
    </row>
    <row r="1171" spans="1:5" ht="30">
      <c r="A1171" s="495">
        <v>94189</v>
      </c>
      <c r="B1171" s="348" t="s">
        <v>9600</v>
      </c>
      <c r="C1171" s="349" t="s">
        <v>256</v>
      </c>
      <c r="D1171" s="483">
        <v>31.67</v>
      </c>
      <c r="E1171" s="483">
        <v>31.67</v>
      </c>
    </row>
    <row r="1172" spans="1:5" ht="30">
      <c r="A1172" s="494">
        <v>94192</v>
      </c>
      <c r="B1172" s="485" t="s">
        <v>15644</v>
      </c>
      <c r="C1172" s="484" t="s">
        <v>256</v>
      </c>
      <c r="D1172" s="486">
        <v>33.28</v>
      </c>
      <c r="E1172" s="486">
        <v>33.28</v>
      </c>
    </row>
    <row r="1173" spans="1:5" ht="30">
      <c r="A1173" s="495">
        <v>94195</v>
      </c>
      <c r="B1173" s="348" t="s">
        <v>15645</v>
      </c>
      <c r="C1173" s="349" t="s">
        <v>256</v>
      </c>
      <c r="D1173" s="483">
        <v>38.82</v>
      </c>
      <c r="E1173" s="483">
        <v>38.82</v>
      </c>
    </row>
    <row r="1174" spans="1:5" ht="30">
      <c r="A1174" s="494">
        <v>94198</v>
      </c>
      <c r="B1174" s="485" t="s">
        <v>9596</v>
      </c>
      <c r="C1174" s="484" t="s">
        <v>256</v>
      </c>
      <c r="D1174" s="486">
        <v>40.950000000000003</v>
      </c>
      <c r="E1174" s="486">
        <v>40.950000000000003</v>
      </c>
    </row>
    <row r="1175" spans="1:5" ht="30">
      <c r="A1175" s="495">
        <v>94201</v>
      </c>
      <c r="B1175" s="348" t="s">
        <v>15646</v>
      </c>
      <c r="C1175" s="349" t="s">
        <v>256</v>
      </c>
      <c r="D1175" s="483">
        <v>59.03</v>
      </c>
      <c r="E1175" s="483">
        <v>59.03</v>
      </c>
    </row>
    <row r="1176" spans="1:5" ht="30">
      <c r="A1176" s="494">
        <v>94204</v>
      </c>
      <c r="B1176" s="485" t="s">
        <v>9588</v>
      </c>
      <c r="C1176" s="484" t="s">
        <v>256</v>
      </c>
      <c r="D1176" s="486">
        <v>62.65</v>
      </c>
      <c r="E1176" s="486">
        <v>62.65</v>
      </c>
    </row>
    <row r="1177" spans="1:5">
      <c r="A1177" s="495">
        <v>94224</v>
      </c>
      <c r="B1177" s="348" t="s">
        <v>15647</v>
      </c>
      <c r="C1177" s="349" t="s">
        <v>71</v>
      </c>
      <c r="D1177" s="483">
        <v>16.04</v>
      </c>
      <c r="E1177" s="483">
        <v>16.04</v>
      </c>
    </row>
    <row r="1178" spans="1:5" ht="30">
      <c r="A1178" s="494">
        <v>94225</v>
      </c>
      <c r="B1178" s="485" t="s">
        <v>15648</v>
      </c>
      <c r="C1178" s="484" t="s">
        <v>256</v>
      </c>
      <c r="D1178" s="486">
        <v>206.59</v>
      </c>
      <c r="E1178" s="486">
        <v>206.59</v>
      </c>
    </row>
    <row r="1179" spans="1:5" ht="30">
      <c r="A1179" s="495">
        <v>94226</v>
      </c>
      <c r="B1179" s="348" t="s">
        <v>15649</v>
      </c>
      <c r="C1179" s="349" t="s">
        <v>256</v>
      </c>
      <c r="D1179" s="483">
        <v>10.67</v>
      </c>
      <c r="E1179" s="483">
        <v>10.67</v>
      </c>
    </row>
    <row r="1180" spans="1:5">
      <c r="A1180" s="494">
        <v>94232</v>
      </c>
      <c r="B1180" s="485" t="s">
        <v>1816</v>
      </c>
      <c r="C1180" s="484" t="s">
        <v>65</v>
      </c>
      <c r="D1180" s="486">
        <v>3.11</v>
      </c>
      <c r="E1180" s="486">
        <v>3.11</v>
      </c>
    </row>
    <row r="1181" spans="1:5" ht="30">
      <c r="A1181" s="495">
        <v>94440</v>
      </c>
      <c r="B1181" s="348" t="s">
        <v>15650</v>
      </c>
      <c r="C1181" s="349" t="s">
        <v>256</v>
      </c>
      <c r="D1181" s="483">
        <v>57.28</v>
      </c>
      <c r="E1181" s="483">
        <v>57.28</v>
      </c>
    </row>
    <row r="1182" spans="1:5" ht="30">
      <c r="A1182" s="494">
        <v>94441</v>
      </c>
      <c r="B1182" s="485" t="s">
        <v>9594</v>
      </c>
      <c r="C1182" s="484" t="s">
        <v>256</v>
      </c>
      <c r="D1182" s="486">
        <v>59.41</v>
      </c>
      <c r="E1182" s="486">
        <v>59.41</v>
      </c>
    </row>
    <row r="1183" spans="1:5" ht="30">
      <c r="A1183" s="495">
        <v>94442</v>
      </c>
      <c r="B1183" s="348" t="s">
        <v>15651</v>
      </c>
      <c r="C1183" s="349" t="s">
        <v>256</v>
      </c>
      <c r="D1183" s="483">
        <v>42.02</v>
      </c>
      <c r="E1183" s="483">
        <v>42.02</v>
      </c>
    </row>
    <row r="1184" spans="1:5" ht="30">
      <c r="A1184" s="494">
        <v>94443</v>
      </c>
      <c r="B1184" s="485" t="s">
        <v>15652</v>
      </c>
      <c r="C1184" s="484" t="s">
        <v>256</v>
      </c>
      <c r="D1184" s="486">
        <v>44.15</v>
      </c>
      <c r="E1184" s="486">
        <v>44.15</v>
      </c>
    </row>
    <row r="1185" spans="1:5" ht="30">
      <c r="A1185" s="495">
        <v>94445</v>
      </c>
      <c r="B1185" s="348" t="s">
        <v>9591</v>
      </c>
      <c r="C1185" s="349" t="s">
        <v>256</v>
      </c>
      <c r="D1185" s="483">
        <v>54.07</v>
      </c>
      <c r="E1185" s="483">
        <v>54.07</v>
      </c>
    </row>
    <row r="1186" spans="1:5" ht="30">
      <c r="A1186" s="494">
        <v>94446</v>
      </c>
      <c r="B1186" s="485" t="s">
        <v>15653</v>
      </c>
      <c r="C1186" s="484" t="s">
        <v>256</v>
      </c>
      <c r="D1186" s="486">
        <v>57.69</v>
      </c>
      <c r="E1186" s="486">
        <v>57.69</v>
      </c>
    </row>
    <row r="1187" spans="1:5" ht="30">
      <c r="A1187" s="495">
        <v>94447</v>
      </c>
      <c r="B1187" s="348" t="s">
        <v>15654</v>
      </c>
      <c r="C1187" s="349" t="s">
        <v>256</v>
      </c>
      <c r="D1187" s="483">
        <v>56.55</v>
      </c>
      <c r="E1187" s="483">
        <v>56.55</v>
      </c>
    </row>
    <row r="1188" spans="1:5" ht="30">
      <c r="A1188" s="494">
        <v>94448</v>
      </c>
      <c r="B1188" s="485" t="s">
        <v>9590</v>
      </c>
      <c r="C1188" s="484" t="s">
        <v>256</v>
      </c>
      <c r="D1188" s="486">
        <v>60.17</v>
      </c>
      <c r="E1188" s="486">
        <v>60.17</v>
      </c>
    </row>
    <row r="1189" spans="1:5" ht="45">
      <c r="A1189" s="495">
        <v>94207</v>
      </c>
      <c r="B1189" s="348" t="s">
        <v>15655</v>
      </c>
      <c r="C1189" s="349" t="s">
        <v>256</v>
      </c>
      <c r="D1189" s="483">
        <v>29.13</v>
      </c>
      <c r="E1189" s="483">
        <v>29.13</v>
      </c>
    </row>
    <row r="1190" spans="1:5" ht="45">
      <c r="A1190" s="494">
        <v>94210</v>
      </c>
      <c r="B1190" s="485" t="s">
        <v>15656</v>
      </c>
      <c r="C1190" s="484" t="s">
        <v>256</v>
      </c>
      <c r="D1190" s="486">
        <v>31.04</v>
      </c>
      <c r="E1190" s="486">
        <v>31.04</v>
      </c>
    </row>
    <row r="1191" spans="1:5" ht="30">
      <c r="A1191" s="495">
        <v>94218</v>
      </c>
      <c r="B1191" s="348" t="s">
        <v>15657</v>
      </c>
      <c r="C1191" s="349" t="s">
        <v>256</v>
      </c>
      <c r="D1191" s="483">
        <v>72.099999999999994</v>
      </c>
      <c r="E1191" s="483">
        <v>72.099999999999994</v>
      </c>
    </row>
    <row r="1192" spans="1:5" ht="30">
      <c r="A1192" s="484" t="s">
        <v>15658</v>
      </c>
      <c r="B1192" s="485" t="s">
        <v>15659</v>
      </c>
      <c r="C1192" s="484" t="s">
        <v>256</v>
      </c>
      <c r="D1192" s="486">
        <v>525.83000000000004</v>
      </c>
      <c r="E1192" s="486">
        <v>525.83000000000004</v>
      </c>
    </row>
    <row r="1193" spans="1:5" ht="30">
      <c r="A1193" s="349" t="s">
        <v>15660</v>
      </c>
      <c r="B1193" s="348" t="s">
        <v>15661</v>
      </c>
      <c r="C1193" s="349" t="s">
        <v>256</v>
      </c>
      <c r="D1193" s="483">
        <v>559.12</v>
      </c>
      <c r="E1193" s="483">
        <v>559.12</v>
      </c>
    </row>
    <row r="1194" spans="1:5" ht="30">
      <c r="A1194" s="484" t="s">
        <v>15662</v>
      </c>
      <c r="B1194" s="485" t="s">
        <v>15663</v>
      </c>
      <c r="C1194" s="484" t="s">
        <v>256</v>
      </c>
      <c r="D1194" s="486">
        <v>586.53</v>
      </c>
      <c r="E1194" s="486">
        <v>586.53</v>
      </c>
    </row>
    <row r="1195" spans="1:5" ht="30">
      <c r="A1195" s="349" t="s">
        <v>15664</v>
      </c>
      <c r="B1195" s="348" t="s">
        <v>5302</v>
      </c>
      <c r="C1195" s="349" t="s">
        <v>256</v>
      </c>
      <c r="D1195" s="483">
        <v>630.20000000000005</v>
      </c>
      <c r="E1195" s="483">
        <v>630.20000000000005</v>
      </c>
    </row>
    <row r="1196" spans="1:5" ht="30">
      <c r="A1196" s="484" t="s">
        <v>15665</v>
      </c>
      <c r="B1196" s="485" t="s">
        <v>5303</v>
      </c>
      <c r="C1196" s="484" t="s">
        <v>256</v>
      </c>
      <c r="D1196" s="486">
        <v>758.74</v>
      </c>
      <c r="E1196" s="486">
        <v>758.74</v>
      </c>
    </row>
    <row r="1197" spans="1:5" ht="30">
      <c r="A1197" s="349" t="s">
        <v>15666</v>
      </c>
      <c r="B1197" s="348" t="s">
        <v>5304</v>
      </c>
      <c r="C1197" s="349" t="s">
        <v>256</v>
      </c>
      <c r="D1197" s="483">
        <v>786.85</v>
      </c>
      <c r="E1197" s="483">
        <v>786.85</v>
      </c>
    </row>
    <row r="1198" spans="1:5">
      <c r="A1198" s="484" t="s">
        <v>15667</v>
      </c>
      <c r="B1198" s="485" t="s">
        <v>5305</v>
      </c>
      <c r="C1198" s="484" t="s">
        <v>256</v>
      </c>
      <c r="D1198" s="486">
        <v>261.61</v>
      </c>
      <c r="E1198" s="486">
        <v>261.61</v>
      </c>
    </row>
    <row r="1199" spans="1:5">
      <c r="A1199" s="349" t="s">
        <v>15668</v>
      </c>
      <c r="B1199" s="348" t="s">
        <v>5306</v>
      </c>
      <c r="C1199" s="349" t="s">
        <v>256</v>
      </c>
      <c r="D1199" s="483">
        <v>291.63</v>
      </c>
      <c r="E1199" s="483">
        <v>291.63</v>
      </c>
    </row>
    <row r="1200" spans="1:5">
      <c r="A1200" s="484" t="s">
        <v>15669</v>
      </c>
      <c r="B1200" s="485" t="s">
        <v>5307</v>
      </c>
      <c r="C1200" s="484" t="s">
        <v>256</v>
      </c>
      <c r="D1200" s="486">
        <v>358.35</v>
      </c>
      <c r="E1200" s="486">
        <v>358.35</v>
      </c>
    </row>
    <row r="1201" spans="1:5">
      <c r="A1201" s="349" t="s">
        <v>15670</v>
      </c>
      <c r="B1201" s="348" t="s">
        <v>5308</v>
      </c>
      <c r="C1201" s="349" t="s">
        <v>256</v>
      </c>
      <c r="D1201" s="483">
        <v>371.7</v>
      </c>
      <c r="E1201" s="483">
        <v>371.7</v>
      </c>
    </row>
    <row r="1202" spans="1:5">
      <c r="A1202" s="494">
        <v>75220</v>
      </c>
      <c r="B1202" s="485" t="s">
        <v>345</v>
      </c>
      <c r="C1202" s="484" t="s">
        <v>71</v>
      </c>
      <c r="D1202" s="486">
        <v>42.12</v>
      </c>
      <c r="E1202" s="486">
        <v>42.12</v>
      </c>
    </row>
    <row r="1203" spans="1:5" ht="30">
      <c r="A1203" s="495">
        <v>94213</v>
      </c>
      <c r="B1203" s="348" t="s">
        <v>15671</v>
      </c>
      <c r="C1203" s="349" t="s">
        <v>256</v>
      </c>
      <c r="D1203" s="483">
        <v>33.54</v>
      </c>
      <c r="E1203" s="483">
        <v>33.54</v>
      </c>
    </row>
    <row r="1204" spans="1:5" ht="30">
      <c r="A1204" s="494">
        <v>94216</v>
      </c>
      <c r="B1204" s="485" t="s">
        <v>15672</v>
      </c>
      <c r="C1204" s="484" t="s">
        <v>256</v>
      </c>
      <c r="D1204" s="486">
        <v>91.68</v>
      </c>
      <c r="E1204" s="486">
        <v>91.68</v>
      </c>
    </row>
    <row r="1205" spans="1:5" ht="45">
      <c r="A1205" s="495">
        <v>94219</v>
      </c>
      <c r="B1205" s="348" t="s">
        <v>15673</v>
      </c>
      <c r="C1205" s="349" t="s">
        <v>71</v>
      </c>
      <c r="D1205" s="483">
        <v>27.84</v>
      </c>
      <c r="E1205" s="483">
        <v>27.84</v>
      </c>
    </row>
    <row r="1206" spans="1:5" ht="45">
      <c r="A1206" s="494">
        <v>94220</v>
      </c>
      <c r="B1206" s="485" t="s">
        <v>15674</v>
      </c>
      <c r="C1206" s="484" t="s">
        <v>71</v>
      </c>
      <c r="D1206" s="486">
        <v>35.04</v>
      </c>
      <c r="E1206" s="486">
        <v>35.04</v>
      </c>
    </row>
    <row r="1207" spans="1:5" ht="30">
      <c r="A1207" s="495">
        <v>94221</v>
      </c>
      <c r="B1207" s="348" t="s">
        <v>15675</v>
      </c>
      <c r="C1207" s="349" t="s">
        <v>71</v>
      </c>
      <c r="D1207" s="483">
        <v>23.64</v>
      </c>
      <c r="E1207" s="483">
        <v>23.64</v>
      </c>
    </row>
    <row r="1208" spans="1:5" ht="30">
      <c r="A1208" s="494">
        <v>94222</v>
      </c>
      <c r="B1208" s="485" t="s">
        <v>15676</v>
      </c>
      <c r="C1208" s="484" t="s">
        <v>71</v>
      </c>
      <c r="D1208" s="486">
        <v>30.84</v>
      </c>
      <c r="E1208" s="486">
        <v>30.84</v>
      </c>
    </row>
    <row r="1209" spans="1:5" ht="30">
      <c r="A1209" s="349" t="s">
        <v>15677</v>
      </c>
      <c r="B1209" s="348" t="s">
        <v>4247</v>
      </c>
      <c r="C1209" s="349" t="s">
        <v>71</v>
      </c>
      <c r="D1209" s="483">
        <v>38.03</v>
      </c>
      <c r="E1209" s="483">
        <v>38.03</v>
      </c>
    </row>
    <row r="1210" spans="1:5" ht="30">
      <c r="A1210" s="494">
        <v>94223</v>
      </c>
      <c r="B1210" s="485" t="s">
        <v>15678</v>
      </c>
      <c r="C1210" s="484" t="s">
        <v>71</v>
      </c>
      <c r="D1210" s="486">
        <v>37.64</v>
      </c>
      <c r="E1210" s="486">
        <v>37.64</v>
      </c>
    </row>
    <row r="1211" spans="1:5" ht="30">
      <c r="A1211" s="495">
        <v>94451</v>
      </c>
      <c r="B1211" s="348" t="s">
        <v>15679</v>
      </c>
      <c r="C1211" s="349" t="s">
        <v>71</v>
      </c>
      <c r="D1211" s="483">
        <v>83.69</v>
      </c>
      <c r="E1211" s="483">
        <v>83.69</v>
      </c>
    </row>
    <row r="1212" spans="1:5" ht="45">
      <c r="A1212" s="494">
        <v>94230</v>
      </c>
      <c r="B1212" s="485" t="s">
        <v>15680</v>
      </c>
      <c r="C1212" s="484" t="s">
        <v>71</v>
      </c>
      <c r="D1212" s="486">
        <v>54.9</v>
      </c>
      <c r="E1212" s="486">
        <v>54.9</v>
      </c>
    </row>
    <row r="1213" spans="1:5" ht="30">
      <c r="A1213" s="495">
        <v>94227</v>
      </c>
      <c r="B1213" s="348" t="s">
        <v>3153</v>
      </c>
      <c r="C1213" s="349" t="s">
        <v>71</v>
      </c>
      <c r="D1213" s="483">
        <v>35.450000000000003</v>
      </c>
      <c r="E1213" s="483">
        <v>35.450000000000003</v>
      </c>
    </row>
    <row r="1214" spans="1:5" ht="30">
      <c r="A1214" s="494">
        <v>94228</v>
      </c>
      <c r="B1214" s="485" t="s">
        <v>3154</v>
      </c>
      <c r="C1214" s="484" t="s">
        <v>71</v>
      </c>
      <c r="D1214" s="486">
        <v>51.66</v>
      </c>
      <c r="E1214" s="486">
        <v>51.66</v>
      </c>
    </row>
    <row r="1215" spans="1:5" ht="30">
      <c r="A1215" s="495">
        <v>94229</v>
      </c>
      <c r="B1215" s="348" t="s">
        <v>15681</v>
      </c>
      <c r="C1215" s="349" t="s">
        <v>71</v>
      </c>
      <c r="D1215" s="483">
        <v>98.32</v>
      </c>
      <c r="E1215" s="483">
        <v>98.32</v>
      </c>
    </row>
    <row r="1216" spans="1:5" ht="30">
      <c r="A1216" s="494">
        <v>94231</v>
      </c>
      <c r="B1216" s="485" t="s">
        <v>15682</v>
      </c>
      <c r="C1216" s="484" t="s">
        <v>71</v>
      </c>
      <c r="D1216" s="486">
        <v>24.68</v>
      </c>
      <c r="E1216" s="486">
        <v>24.68</v>
      </c>
    </row>
    <row r="1217" spans="1:5" ht="30">
      <c r="A1217" s="495">
        <v>94450</v>
      </c>
      <c r="B1217" s="348" t="s">
        <v>15683</v>
      </c>
      <c r="C1217" s="349" t="s">
        <v>71</v>
      </c>
      <c r="D1217" s="483">
        <v>40.4</v>
      </c>
      <c r="E1217" s="483">
        <v>40.4</v>
      </c>
    </row>
    <row r="1218" spans="1:5" ht="30">
      <c r="A1218" s="494">
        <v>94449</v>
      </c>
      <c r="B1218" s="485" t="s">
        <v>15684</v>
      </c>
      <c r="C1218" s="484" t="s">
        <v>256</v>
      </c>
      <c r="D1218" s="486">
        <v>28.16</v>
      </c>
      <c r="E1218" s="486">
        <v>28.16</v>
      </c>
    </row>
    <row r="1219" spans="1:5" ht="60">
      <c r="A1219" s="495">
        <v>72110</v>
      </c>
      <c r="B1219" s="348" t="s">
        <v>15685</v>
      </c>
      <c r="C1219" s="349" t="s">
        <v>256</v>
      </c>
      <c r="D1219" s="483">
        <v>67.22</v>
      </c>
      <c r="E1219" s="483">
        <v>67.22</v>
      </c>
    </row>
    <row r="1220" spans="1:5" ht="60">
      <c r="A1220" s="494">
        <v>72111</v>
      </c>
      <c r="B1220" s="485" t="s">
        <v>15686</v>
      </c>
      <c r="C1220" s="484" t="s">
        <v>256</v>
      </c>
      <c r="D1220" s="486">
        <v>73.2</v>
      </c>
      <c r="E1220" s="486">
        <v>73.2</v>
      </c>
    </row>
    <row r="1221" spans="1:5" ht="60">
      <c r="A1221" s="495">
        <v>72112</v>
      </c>
      <c r="B1221" s="348" t="s">
        <v>15687</v>
      </c>
      <c r="C1221" s="349" t="s">
        <v>256</v>
      </c>
      <c r="D1221" s="483">
        <v>79.180000000000007</v>
      </c>
      <c r="E1221" s="483">
        <v>79.180000000000007</v>
      </c>
    </row>
    <row r="1222" spans="1:5" ht="60">
      <c r="A1222" s="494">
        <v>72113</v>
      </c>
      <c r="B1222" s="485" t="s">
        <v>15688</v>
      </c>
      <c r="C1222" s="484" t="s">
        <v>256</v>
      </c>
      <c r="D1222" s="486">
        <v>89.07</v>
      </c>
      <c r="E1222" s="486">
        <v>89.07</v>
      </c>
    </row>
    <row r="1223" spans="1:5" ht="60">
      <c r="A1223" s="495">
        <v>72114</v>
      </c>
      <c r="B1223" s="348" t="s">
        <v>15689</v>
      </c>
      <c r="C1223" s="349" t="s">
        <v>256</v>
      </c>
      <c r="D1223" s="483">
        <v>98.99</v>
      </c>
      <c r="E1223" s="483">
        <v>98.99</v>
      </c>
    </row>
    <row r="1224" spans="1:5">
      <c r="A1224" s="484" t="s">
        <v>15690</v>
      </c>
      <c r="B1224" s="485" t="s">
        <v>15691</v>
      </c>
      <c r="C1224" s="484" t="s">
        <v>90</v>
      </c>
      <c r="D1224" s="486">
        <v>8.7799999999999994</v>
      </c>
      <c r="E1224" s="486">
        <v>8.7799999999999994</v>
      </c>
    </row>
    <row r="1225" spans="1:5">
      <c r="A1225" s="349" t="s">
        <v>15692</v>
      </c>
      <c r="B1225" s="348" t="s">
        <v>15693</v>
      </c>
      <c r="C1225" s="349" t="s">
        <v>90</v>
      </c>
      <c r="D1225" s="483">
        <v>6.3</v>
      </c>
      <c r="E1225" s="483">
        <v>6.3</v>
      </c>
    </row>
    <row r="1226" spans="1:5" ht="30">
      <c r="A1226" s="494">
        <v>92255</v>
      </c>
      <c r="B1226" s="485" t="s">
        <v>6074</v>
      </c>
      <c r="C1226" s="484" t="s">
        <v>65</v>
      </c>
      <c r="D1226" s="486">
        <v>147.77000000000001</v>
      </c>
      <c r="E1226" s="486">
        <v>147.77000000000001</v>
      </c>
    </row>
    <row r="1227" spans="1:5" ht="30">
      <c r="A1227" s="495">
        <v>92256</v>
      </c>
      <c r="B1227" s="348" t="s">
        <v>6075</v>
      </c>
      <c r="C1227" s="349" t="s">
        <v>65</v>
      </c>
      <c r="D1227" s="483">
        <v>188.25</v>
      </c>
      <c r="E1227" s="483">
        <v>188.25</v>
      </c>
    </row>
    <row r="1228" spans="1:5" ht="30">
      <c r="A1228" s="494">
        <v>92257</v>
      </c>
      <c r="B1228" s="485" t="s">
        <v>6076</v>
      </c>
      <c r="C1228" s="484" t="s">
        <v>65</v>
      </c>
      <c r="D1228" s="486">
        <v>228.02</v>
      </c>
      <c r="E1228" s="486">
        <v>228.02</v>
      </c>
    </row>
    <row r="1229" spans="1:5" ht="30">
      <c r="A1229" s="495">
        <v>92258</v>
      </c>
      <c r="B1229" s="348" t="s">
        <v>6073</v>
      </c>
      <c r="C1229" s="349" t="s">
        <v>65</v>
      </c>
      <c r="D1229" s="483">
        <v>292</v>
      </c>
      <c r="E1229" s="483">
        <v>292</v>
      </c>
    </row>
    <row r="1230" spans="1:5" ht="45">
      <c r="A1230" s="494">
        <v>92568</v>
      </c>
      <c r="B1230" s="485" t="s">
        <v>15694</v>
      </c>
      <c r="C1230" s="484" t="s">
        <v>256</v>
      </c>
      <c r="D1230" s="486">
        <v>54.91</v>
      </c>
      <c r="E1230" s="486">
        <v>54.91</v>
      </c>
    </row>
    <row r="1231" spans="1:5" ht="30">
      <c r="A1231" s="495">
        <v>92569</v>
      </c>
      <c r="B1231" s="348" t="s">
        <v>9809</v>
      </c>
      <c r="C1231" s="349" t="s">
        <v>256</v>
      </c>
      <c r="D1231" s="483">
        <v>24.71</v>
      </c>
      <c r="E1231" s="483">
        <v>24.71</v>
      </c>
    </row>
    <row r="1232" spans="1:5" ht="30">
      <c r="A1232" s="494">
        <v>92570</v>
      </c>
      <c r="B1232" s="485" t="s">
        <v>15695</v>
      </c>
      <c r="C1232" s="484" t="s">
        <v>256</v>
      </c>
      <c r="D1232" s="486">
        <v>11.17</v>
      </c>
      <c r="E1232" s="486">
        <v>11.17</v>
      </c>
    </row>
    <row r="1233" spans="1:5" ht="45">
      <c r="A1233" s="495">
        <v>92571</v>
      </c>
      <c r="B1233" s="348" t="s">
        <v>15696</v>
      </c>
      <c r="C1233" s="349" t="s">
        <v>256</v>
      </c>
      <c r="D1233" s="483">
        <v>62.14</v>
      </c>
      <c r="E1233" s="483">
        <v>62.14</v>
      </c>
    </row>
    <row r="1234" spans="1:5" ht="45">
      <c r="A1234" s="494">
        <v>92572</v>
      </c>
      <c r="B1234" s="485" t="s">
        <v>15697</v>
      </c>
      <c r="C1234" s="484" t="s">
        <v>256</v>
      </c>
      <c r="D1234" s="486">
        <v>29.17</v>
      </c>
      <c r="E1234" s="486">
        <v>29.17</v>
      </c>
    </row>
    <row r="1235" spans="1:5" ht="45">
      <c r="A1235" s="495">
        <v>92573</v>
      </c>
      <c r="B1235" s="348" t="s">
        <v>15698</v>
      </c>
      <c r="C1235" s="349" t="s">
        <v>256</v>
      </c>
      <c r="D1235" s="483">
        <v>14.29</v>
      </c>
      <c r="E1235" s="483">
        <v>14.29</v>
      </c>
    </row>
    <row r="1236" spans="1:5" ht="30">
      <c r="A1236" s="494">
        <v>92574</v>
      </c>
      <c r="B1236" s="485" t="s">
        <v>9816</v>
      </c>
      <c r="C1236" s="484" t="s">
        <v>256</v>
      </c>
      <c r="D1236" s="486">
        <v>59.89</v>
      </c>
      <c r="E1236" s="486">
        <v>59.89</v>
      </c>
    </row>
    <row r="1237" spans="1:5" ht="30">
      <c r="A1237" s="495">
        <v>92575</v>
      </c>
      <c r="B1237" s="348" t="s">
        <v>15699</v>
      </c>
      <c r="C1237" s="349" t="s">
        <v>256</v>
      </c>
      <c r="D1237" s="483">
        <v>24.74</v>
      </c>
      <c r="E1237" s="483">
        <v>24.74</v>
      </c>
    </row>
    <row r="1238" spans="1:5" ht="30">
      <c r="A1238" s="494">
        <v>92576</v>
      </c>
      <c r="B1238" s="485" t="s">
        <v>15700</v>
      </c>
      <c r="C1238" s="484" t="s">
        <v>256</v>
      </c>
      <c r="D1238" s="486">
        <v>9.0399999999999991</v>
      </c>
      <c r="E1238" s="486">
        <v>9.0399999999999991</v>
      </c>
    </row>
    <row r="1239" spans="1:5" ht="30">
      <c r="A1239" s="495">
        <v>92577</v>
      </c>
      <c r="B1239" s="348" t="s">
        <v>15701</v>
      </c>
      <c r="C1239" s="349" t="s">
        <v>256</v>
      </c>
      <c r="D1239" s="483">
        <v>67.33</v>
      </c>
      <c r="E1239" s="483">
        <v>67.33</v>
      </c>
    </row>
    <row r="1240" spans="1:5" ht="30">
      <c r="A1240" s="494">
        <v>92578</v>
      </c>
      <c r="B1240" s="485" t="s">
        <v>15702</v>
      </c>
      <c r="C1240" s="484" t="s">
        <v>256</v>
      </c>
      <c r="D1240" s="486">
        <v>28.9</v>
      </c>
      <c r="E1240" s="486">
        <v>28.9</v>
      </c>
    </row>
    <row r="1241" spans="1:5" ht="30">
      <c r="A1241" s="495">
        <v>92579</v>
      </c>
      <c r="B1241" s="348" t="s">
        <v>9814</v>
      </c>
      <c r="C1241" s="349" t="s">
        <v>256</v>
      </c>
      <c r="D1241" s="483">
        <v>11.54</v>
      </c>
      <c r="E1241" s="483">
        <v>11.54</v>
      </c>
    </row>
    <row r="1242" spans="1:5" ht="45">
      <c r="A1242" s="494">
        <v>92580</v>
      </c>
      <c r="B1242" s="485" t="s">
        <v>15703</v>
      </c>
      <c r="C1242" s="484" t="s">
        <v>256</v>
      </c>
      <c r="D1242" s="486">
        <v>26.83</v>
      </c>
      <c r="E1242" s="486">
        <v>26.83</v>
      </c>
    </row>
    <row r="1243" spans="1:5" ht="30">
      <c r="A1243" s="495">
        <v>92581</v>
      </c>
      <c r="B1243" s="348" t="s">
        <v>15704</v>
      </c>
      <c r="C1243" s="349" t="s">
        <v>256</v>
      </c>
      <c r="D1243" s="483">
        <v>27.58</v>
      </c>
      <c r="E1243" s="483">
        <v>27.58</v>
      </c>
    </row>
    <row r="1244" spans="1:5" ht="30">
      <c r="A1244" s="494">
        <v>92582</v>
      </c>
      <c r="B1244" s="485" t="s">
        <v>15705</v>
      </c>
      <c r="C1244" s="484" t="s">
        <v>65</v>
      </c>
      <c r="D1244" s="486">
        <v>416.2</v>
      </c>
      <c r="E1244" s="486">
        <v>416.2</v>
      </c>
    </row>
    <row r="1245" spans="1:5" ht="30">
      <c r="A1245" s="495">
        <v>92584</v>
      </c>
      <c r="B1245" s="348" t="s">
        <v>15706</v>
      </c>
      <c r="C1245" s="349" t="s">
        <v>65</v>
      </c>
      <c r="D1245" s="483">
        <v>473.77</v>
      </c>
      <c r="E1245" s="483">
        <v>473.77</v>
      </c>
    </row>
    <row r="1246" spans="1:5" ht="30">
      <c r="A1246" s="494">
        <v>92586</v>
      </c>
      <c r="B1246" s="485" t="s">
        <v>15707</v>
      </c>
      <c r="C1246" s="484" t="s">
        <v>65</v>
      </c>
      <c r="D1246" s="486">
        <v>531.35</v>
      </c>
      <c r="E1246" s="486">
        <v>531.35</v>
      </c>
    </row>
    <row r="1247" spans="1:5" ht="30">
      <c r="A1247" s="495">
        <v>92588</v>
      </c>
      <c r="B1247" s="348" t="s">
        <v>15708</v>
      </c>
      <c r="C1247" s="349" t="s">
        <v>65</v>
      </c>
      <c r="D1247" s="483">
        <v>673.99</v>
      </c>
      <c r="E1247" s="483">
        <v>673.99</v>
      </c>
    </row>
    <row r="1248" spans="1:5" ht="30">
      <c r="A1248" s="494">
        <v>92590</v>
      </c>
      <c r="B1248" s="485" t="s">
        <v>15709</v>
      </c>
      <c r="C1248" s="484" t="s">
        <v>65</v>
      </c>
      <c r="D1248" s="486">
        <v>731.57</v>
      </c>
      <c r="E1248" s="486">
        <v>731.57</v>
      </c>
    </row>
    <row r="1249" spans="1:5" ht="30">
      <c r="A1249" s="495">
        <v>92592</v>
      </c>
      <c r="B1249" s="348" t="s">
        <v>15710</v>
      </c>
      <c r="C1249" s="349" t="s">
        <v>65</v>
      </c>
      <c r="D1249" s="483">
        <v>828.91</v>
      </c>
      <c r="E1249" s="483">
        <v>828.91</v>
      </c>
    </row>
    <row r="1250" spans="1:5" ht="30">
      <c r="A1250" s="494">
        <v>92593</v>
      </c>
      <c r="B1250" s="485" t="s">
        <v>1375</v>
      </c>
      <c r="C1250" s="484" t="s">
        <v>90</v>
      </c>
      <c r="D1250" s="486">
        <v>6.26</v>
      </c>
      <c r="E1250" s="486">
        <v>6.26</v>
      </c>
    </row>
    <row r="1251" spans="1:5" ht="30">
      <c r="A1251" s="495">
        <v>92594</v>
      </c>
      <c r="B1251" s="348" t="s">
        <v>15711</v>
      </c>
      <c r="C1251" s="349" t="s">
        <v>65</v>
      </c>
      <c r="D1251" s="483">
        <v>942.29</v>
      </c>
      <c r="E1251" s="483">
        <v>942.29</v>
      </c>
    </row>
    <row r="1252" spans="1:5" ht="30">
      <c r="A1252" s="494">
        <v>92596</v>
      </c>
      <c r="B1252" s="485" t="s">
        <v>15712</v>
      </c>
      <c r="C1252" s="484" t="s">
        <v>65</v>
      </c>
      <c r="D1252" s="486">
        <v>1065.74</v>
      </c>
      <c r="E1252" s="486">
        <v>1065.74</v>
      </c>
    </row>
    <row r="1253" spans="1:5" ht="30">
      <c r="A1253" s="495">
        <v>92598</v>
      </c>
      <c r="B1253" s="348" t="s">
        <v>15713</v>
      </c>
      <c r="C1253" s="349" t="s">
        <v>65</v>
      </c>
      <c r="D1253" s="483">
        <v>1123.32</v>
      </c>
      <c r="E1253" s="483">
        <v>1123.32</v>
      </c>
    </row>
    <row r="1254" spans="1:5" ht="30">
      <c r="A1254" s="494">
        <v>92600</v>
      </c>
      <c r="B1254" s="485" t="s">
        <v>15714</v>
      </c>
      <c r="C1254" s="484" t="s">
        <v>65</v>
      </c>
      <c r="D1254" s="486">
        <v>1192.0899999999999</v>
      </c>
      <c r="E1254" s="486">
        <v>1192.0899999999999</v>
      </c>
    </row>
    <row r="1255" spans="1:5" ht="45">
      <c r="A1255" s="495">
        <v>92602</v>
      </c>
      <c r="B1255" s="348" t="s">
        <v>15715</v>
      </c>
      <c r="C1255" s="349" t="s">
        <v>65</v>
      </c>
      <c r="D1255" s="483">
        <v>416.2</v>
      </c>
      <c r="E1255" s="483">
        <v>416.2</v>
      </c>
    </row>
    <row r="1256" spans="1:5" ht="45">
      <c r="A1256" s="494">
        <v>92604</v>
      </c>
      <c r="B1256" s="485" t="s">
        <v>15716</v>
      </c>
      <c r="C1256" s="484" t="s">
        <v>65</v>
      </c>
      <c r="D1256" s="486">
        <v>462.57</v>
      </c>
      <c r="E1256" s="486">
        <v>462.57</v>
      </c>
    </row>
    <row r="1257" spans="1:5" ht="45">
      <c r="A1257" s="495">
        <v>92606</v>
      </c>
      <c r="B1257" s="348" t="s">
        <v>15717</v>
      </c>
      <c r="C1257" s="349" t="s">
        <v>65</v>
      </c>
      <c r="D1257" s="483">
        <v>520.15</v>
      </c>
      <c r="E1257" s="483">
        <v>520.15</v>
      </c>
    </row>
    <row r="1258" spans="1:5" ht="45">
      <c r="A1258" s="494">
        <v>92608</v>
      </c>
      <c r="B1258" s="485" t="s">
        <v>15718</v>
      </c>
      <c r="C1258" s="484" t="s">
        <v>65</v>
      </c>
      <c r="D1258" s="486">
        <v>651.59</v>
      </c>
      <c r="E1258" s="486">
        <v>651.59</v>
      </c>
    </row>
    <row r="1259" spans="1:5" ht="45">
      <c r="A1259" s="495">
        <v>92610</v>
      </c>
      <c r="B1259" s="348" t="s">
        <v>15719</v>
      </c>
      <c r="C1259" s="349" t="s">
        <v>65</v>
      </c>
      <c r="D1259" s="483">
        <v>709.17</v>
      </c>
      <c r="E1259" s="483">
        <v>709.17</v>
      </c>
    </row>
    <row r="1260" spans="1:5" ht="45">
      <c r="A1260" s="494">
        <v>92612</v>
      </c>
      <c r="B1260" s="485" t="s">
        <v>15720</v>
      </c>
      <c r="C1260" s="484" t="s">
        <v>65</v>
      </c>
      <c r="D1260" s="486">
        <v>806.51</v>
      </c>
      <c r="E1260" s="486">
        <v>806.51</v>
      </c>
    </row>
    <row r="1261" spans="1:5" ht="45">
      <c r="A1261" s="495">
        <v>92614</v>
      </c>
      <c r="B1261" s="348" t="s">
        <v>15721</v>
      </c>
      <c r="C1261" s="349" t="s">
        <v>65</v>
      </c>
      <c r="D1261" s="483">
        <v>897.49</v>
      </c>
      <c r="E1261" s="483">
        <v>897.49</v>
      </c>
    </row>
    <row r="1262" spans="1:5" ht="45">
      <c r="A1262" s="494">
        <v>92616</v>
      </c>
      <c r="B1262" s="485" t="s">
        <v>15722</v>
      </c>
      <c r="C1262" s="484" t="s">
        <v>65</v>
      </c>
      <c r="D1262" s="486">
        <v>1032.1400000000001</v>
      </c>
      <c r="E1262" s="486">
        <v>1032.1400000000001</v>
      </c>
    </row>
    <row r="1263" spans="1:5" ht="45">
      <c r="A1263" s="495">
        <v>92618</v>
      </c>
      <c r="B1263" s="348" t="s">
        <v>15723</v>
      </c>
      <c r="C1263" s="349" t="s">
        <v>65</v>
      </c>
      <c r="D1263" s="483">
        <v>1089.72</v>
      </c>
      <c r="E1263" s="483">
        <v>1089.72</v>
      </c>
    </row>
    <row r="1264" spans="1:5" ht="45">
      <c r="A1264" s="494">
        <v>92620</v>
      </c>
      <c r="B1264" s="485" t="s">
        <v>15724</v>
      </c>
      <c r="C1264" s="484" t="s">
        <v>65</v>
      </c>
      <c r="D1264" s="486">
        <v>1147.29</v>
      </c>
      <c r="E1264" s="486">
        <v>1147.29</v>
      </c>
    </row>
    <row r="1265" spans="1:5" ht="30">
      <c r="A1265" s="495">
        <v>94444</v>
      </c>
      <c r="B1265" s="348" t="s">
        <v>15725</v>
      </c>
      <c r="C1265" s="349" t="s">
        <v>256</v>
      </c>
      <c r="D1265" s="483">
        <v>592.41</v>
      </c>
      <c r="E1265" s="483">
        <v>592.41</v>
      </c>
    </row>
    <row r="1266" spans="1:5">
      <c r="A1266" s="484" t="s">
        <v>15726</v>
      </c>
      <c r="B1266" s="485" t="s">
        <v>350</v>
      </c>
      <c r="C1266" s="484" t="s">
        <v>57</v>
      </c>
      <c r="D1266" s="486">
        <v>6.2</v>
      </c>
      <c r="E1266" s="486">
        <v>6.2</v>
      </c>
    </row>
    <row r="1267" spans="1:5" s="25" customFormat="1">
      <c r="A1267" s="606" t="s">
        <v>20578</v>
      </c>
      <c r="B1267" s="605" t="s">
        <v>350</v>
      </c>
      <c r="C1267" s="606" t="s">
        <v>57</v>
      </c>
      <c r="D1267" s="607">
        <v>6.2</v>
      </c>
      <c r="E1267" s="486"/>
    </row>
    <row r="1268" spans="1:5">
      <c r="A1268" s="349" t="s">
        <v>15727</v>
      </c>
      <c r="B1268" s="348" t="s">
        <v>3156</v>
      </c>
      <c r="C1268" s="349" t="s">
        <v>71</v>
      </c>
      <c r="D1268" s="483">
        <v>21.78</v>
      </c>
      <c r="E1268" s="483">
        <v>21.78</v>
      </c>
    </row>
    <row r="1269" spans="1:5">
      <c r="A1269" s="484" t="s">
        <v>15728</v>
      </c>
      <c r="B1269" s="485" t="s">
        <v>3155</v>
      </c>
      <c r="C1269" s="484" t="s">
        <v>71</v>
      </c>
      <c r="D1269" s="486">
        <v>61.24</v>
      </c>
      <c r="E1269" s="486">
        <v>61.24</v>
      </c>
    </row>
    <row r="1270" spans="1:5">
      <c r="A1270" s="349" t="s">
        <v>15729</v>
      </c>
      <c r="B1270" s="348" t="s">
        <v>15730</v>
      </c>
      <c r="C1270" s="349" t="s">
        <v>71</v>
      </c>
      <c r="D1270" s="483">
        <v>22.98</v>
      </c>
      <c r="E1270" s="483">
        <v>22.98</v>
      </c>
    </row>
    <row r="1271" spans="1:5">
      <c r="A1271" s="484" t="s">
        <v>15731</v>
      </c>
      <c r="B1271" s="485" t="s">
        <v>5333</v>
      </c>
      <c r="C1271" s="484" t="s">
        <v>71</v>
      </c>
      <c r="D1271" s="486">
        <v>22.16</v>
      </c>
      <c r="E1271" s="486">
        <v>22.16</v>
      </c>
    </row>
    <row r="1272" spans="1:5">
      <c r="A1272" s="349" t="s">
        <v>15732</v>
      </c>
      <c r="B1272" s="348" t="s">
        <v>5325</v>
      </c>
      <c r="C1272" s="349" t="s">
        <v>256</v>
      </c>
      <c r="D1272" s="483">
        <v>4.04</v>
      </c>
      <c r="E1272" s="483">
        <v>4.04</v>
      </c>
    </row>
    <row r="1273" spans="1:5">
      <c r="A1273" s="484" t="s">
        <v>15733</v>
      </c>
      <c r="B1273" s="485" t="s">
        <v>5326</v>
      </c>
      <c r="C1273" s="484" t="s">
        <v>256</v>
      </c>
      <c r="D1273" s="486">
        <v>7.84</v>
      </c>
      <c r="E1273" s="486">
        <v>7.84</v>
      </c>
    </row>
    <row r="1274" spans="1:5">
      <c r="A1274" s="349" t="s">
        <v>15734</v>
      </c>
      <c r="B1274" s="348" t="s">
        <v>5329</v>
      </c>
      <c r="C1274" s="349" t="s">
        <v>255</v>
      </c>
      <c r="D1274" s="483">
        <v>101.18</v>
      </c>
      <c r="E1274" s="483">
        <v>101.18</v>
      </c>
    </row>
    <row r="1275" spans="1:5">
      <c r="A1275" s="484" t="s">
        <v>15735</v>
      </c>
      <c r="B1275" s="485" t="s">
        <v>5330</v>
      </c>
      <c r="C1275" s="484" t="s">
        <v>255</v>
      </c>
      <c r="D1275" s="486">
        <v>78.69</v>
      </c>
      <c r="E1275" s="486">
        <v>78.69</v>
      </c>
    </row>
    <row r="1276" spans="1:5">
      <c r="A1276" s="349" t="s">
        <v>15736</v>
      </c>
      <c r="B1276" s="348" t="s">
        <v>5331</v>
      </c>
      <c r="C1276" s="349" t="s">
        <v>255</v>
      </c>
      <c r="D1276" s="483">
        <v>48.85</v>
      </c>
      <c r="E1276" s="483">
        <v>48.85</v>
      </c>
    </row>
    <row r="1277" spans="1:5">
      <c r="A1277" s="484" t="s">
        <v>15737</v>
      </c>
      <c r="B1277" s="485" t="s">
        <v>3175</v>
      </c>
      <c r="C1277" s="484" t="s">
        <v>255</v>
      </c>
      <c r="D1277" s="486">
        <v>83.03</v>
      </c>
      <c r="E1277" s="486">
        <v>83.03</v>
      </c>
    </row>
    <row r="1278" spans="1:5">
      <c r="A1278" s="349" t="s">
        <v>15738</v>
      </c>
      <c r="B1278" s="348" t="s">
        <v>7246</v>
      </c>
      <c r="C1278" s="349" t="s">
        <v>256</v>
      </c>
      <c r="D1278" s="483">
        <v>32.11</v>
      </c>
      <c r="E1278" s="483">
        <v>32.11</v>
      </c>
    </row>
    <row r="1279" spans="1:5" ht="30">
      <c r="A1279" s="484" t="s">
        <v>15739</v>
      </c>
      <c r="B1279" s="485" t="s">
        <v>15740</v>
      </c>
      <c r="C1279" s="484" t="s">
        <v>71</v>
      </c>
      <c r="D1279" s="486">
        <v>50.04</v>
      </c>
      <c r="E1279" s="486">
        <v>50.04</v>
      </c>
    </row>
    <row r="1280" spans="1:5" ht="30">
      <c r="A1280" s="349" t="s">
        <v>15741</v>
      </c>
      <c r="B1280" s="348" t="s">
        <v>15742</v>
      </c>
      <c r="C1280" s="349" t="s">
        <v>71</v>
      </c>
      <c r="D1280" s="483">
        <v>35.49</v>
      </c>
      <c r="E1280" s="483">
        <v>35.49</v>
      </c>
    </row>
    <row r="1281" spans="1:5" ht="30">
      <c r="A1281" s="484" t="s">
        <v>15743</v>
      </c>
      <c r="B1281" s="485" t="s">
        <v>15744</v>
      </c>
      <c r="C1281" s="484" t="s">
        <v>71</v>
      </c>
      <c r="D1281" s="486">
        <v>49.48</v>
      </c>
      <c r="E1281" s="486">
        <v>49.48</v>
      </c>
    </row>
    <row r="1282" spans="1:5" ht="30">
      <c r="A1282" s="349" t="s">
        <v>15745</v>
      </c>
      <c r="B1282" s="348" t="s">
        <v>15746</v>
      </c>
      <c r="C1282" s="349" t="s">
        <v>71</v>
      </c>
      <c r="D1282" s="483">
        <v>36.15</v>
      </c>
      <c r="E1282" s="483">
        <v>36.15</v>
      </c>
    </row>
    <row r="1283" spans="1:5">
      <c r="A1283" s="494">
        <v>83651</v>
      </c>
      <c r="B1283" s="485" t="s">
        <v>10416</v>
      </c>
      <c r="C1283" s="484" t="s">
        <v>71</v>
      </c>
      <c r="D1283" s="486">
        <v>28.27</v>
      </c>
      <c r="E1283" s="486">
        <v>28.27</v>
      </c>
    </row>
    <row r="1284" spans="1:5" ht="30">
      <c r="A1284" s="495">
        <v>83656</v>
      </c>
      <c r="B1284" s="348" t="s">
        <v>15747</v>
      </c>
      <c r="C1284" s="349" t="s">
        <v>256</v>
      </c>
      <c r="D1284" s="483">
        <v>27.37</v>
      </c>
      <c r="E1284" s="483">
        <v>27.37</v>
      </c>
    </row>
    <row r="1285" spans="1:5" ht="30">
      <c r="A1285" s="494">
        <v>83658</v>
      </c>
      <c r="B1285" s="485" t="s">
        <v>15748</v>
      </c>
      <c r="C1285" s="484" t="s">
        <v>71</v>
      </c>
      <c r="D1285" s="486">
        <v>146.94999999999999</v>
      </c>
      <c r="E1285" s="486">
        <v>146.94999999999999</v>
      </c>
    </row>
    <row r="1286" spans="1:5">
      <c r="A1286" s="495">
        <v>83661</v>
      </c>
      <c r="B1286" s="348" t="s">
        <v>5332</v>
      </c>
      <c r="C1286" s="349" t="s">
        <v>71</v>
      </c>
      <c r="D1286" s="483">
        <v>98.14</v>
      </c>
      <c r="E1286" s="483">
        <v>98.14</v>
      </c>
    </row>
    <row r="1287" spans="1:5">
      <c r="A1287" s="494">
        <v>83662</v>
      </c>
      <c r="B1287" s="485" t="s">
        <v>5324</v>
      </c>
      <c r="C1287" s="484" t="s">
        <v>255</v>
      </c>
      <c r="D1287" s="486">
        <v>84.66</v>
      </c>
      <c r="E1287" s="486">
        <v>84.66</v>
      </c>
    </row>
    <row r="1288" spans="1:5" ht="30">
      <c r="A1288" s="495">
        <v>83664</v>
      </c>
      <c r="B1288" s="348" t="s">
        <v>15749</v>
      </c>
      <c r="C1288" s="349" t="s">
        <v>71</v>
      </c>
      <c r="D1288" s="483">
        <v>52.49</v>
      </c>
      <c r="E1288" s="483">
        <v>52.49</v>
      </c>
    </row>
    <row r="1289" spans="1:5">
      <c r="A1289" s="494">
        <v>83665</v>
      </c>
      <c r="B1289" s="485" t="s">
        <v>5659</v>
      </c>
      <c r="C1289" s="484" t="s">
        <v>256</v>
      </c>
      <c r="D1289" s="486">
        <v>5.23</v>
      </c>
      <c r="E1289" s="486">
        <v>5.23</v>
      </c>
    </row>
    <row r="1290" spans="1:5">
      <c r="A1290" s="495">
        <v>83667</v>
      </c>
      <c r="B1290" s="348" t="s">
        <v>366</v>
      </c>
      <c r="C1290" s="349" t="s">
        <v>255</v>
      </c>
      <c r="D1290" s="483">
        <v>109.38</v>
      </c>
      <c r="E1290" s="483">
        <v>109.38</v>
      </c>
    </row>
    <row r="1291" spans="1:5">
      <c r="A1291" s="494">
        <v>83668</v>
      </c>
      <c r="B1291" s="485" t="s">
        <v>3174</v>
      </c>
      <c r="C1291" s="484" t="s">
        <v>255</v>
      </c>
      <c r="D1291" s="486">
        <v>82.36</v>
      </c>
      <c r="E1291" s="486">
        <v>82.36</v>
      </c>
    </row>
    <row r="1292" spans="1:5">
      <c r="A1292" s="495">
        <v>83669</v>
      </c>
      <c r="B1292" s="348" t="s">
        <v>5665</v>
      </c>
      <c r="C1292" s="349" t="s">
        <v>256</v>
      </c>
      <c r="D1292" s="483">
        <v>6.21</v>
      </c>
      <c r="E1292" s="483">
        <v>6.21</v>
      </c>
    </row>
    <row r="1293" spans="1:5">
      <c r="A1293" s="494">
        <v>83670</v>
      </c>
      <c r="B1293" s="485" t="s">
        <v>10438</v>
      </c>
      <c r="C1293" s="484" t="s">
        <v>71</v>
      </c>
      <c r="D1293" s="486">
        <v>41.39</v>
      </c>
      <c r="E1293" s="486">
        <v>41.39</v>
      </c>
    </row>
    <row r="1294" spans="1:5">
      <c r="A1294" s="495">
        <v>83671</v>
      </c>
      <c r="B1294" s="348" t="s">
        <v>10437</v>
      </c>
      <c r="C1294" s="349" t="s">
        <v>71</v>
      </c>
      <c r="D1294" s="483">
        <v>44.48</v>
      </c>
      <c r="E1294" s="483">
        <v>44.48</v>
      </c>
    </row>
    <row r="1295" spans="1:5" ht="30">
      <c r="A1295" s="494">
        <v>83675</v>
      </c>
      <c r="B1295" s="485" t="s">
        <v>15750</v>
      </c>
      <c r="C1295" s="484" t="s">
        <v>71</v>
      </c>
      <c r="D1295" s="486">
        <v>72.08</v>
      </c>
      <c r="E1295" s="486">
        <v>72.08</v>
      </c>
    </row>
    <row r="1296" spans="1:5" ht="30">
      <c r="A1296" s="495">
        <v>83676</v>
      </c>
      <c r="B1296" s="348" t="s">
        <v>15751</v>
      </c>
      <c r="C1296" s="349" t="s">
        <v>71</v>
      </c>
      <c r="D1296" s="483">
        <v>88.9</v>
      </c>
      <c r="E1296" s="483">
        <v>88.9</v>
      </c>
    </row>
    <row r="1297" spans="1:5" ht="30">
      <c r="A1297" s="494">
        <v>83677</v>
      </c>
      <c r="B1297" s="485" t="s">
        <v>15752</v>
      </c>
      <c r="C1297" s="484" t="s">
        <v>71</v>
      </c>
      <c r="D1297" s="486">
        <v>111.12</v>
      </c>
      <c r="E1297" s="486">
        <v>111.12</v>
      </c>
    </row>
    <row r="1298" spans="1:5" ht="30">
      <c r="A1298" s="495">
        <v>83678</v>
      </c>
      <c r="B1298" s="348" t="s">
        <v>15753</v>
      </c>
      <c r="C1298" s="349" t="s">
        <v>71</v>
      </c>
      <c r="D1298" s="483">
        <v>141.94</v>
      </c>
      <c r="E1298" s="483">
        <v>141.94</v>
      </c>
    </row>
    <row r="1299" spans="1:5" ht="30">
      <c r="A1299" s="494">
        <v>83679</v>
      </c>
      <c r="B1299" s="485" t="s">
        <v>15754</v>
      </c>
      <c r="C1299" s="484" t="s">
        <v>71</v>
      </c>
      <c r="D1299" s="486">
        <v>12.83</v>
      </c>
      <c r="E1299" s="486">
        <v>12.83</v>
      </c>
    </row>
    <row r="1300" spans="1:5" ht="30">
      <c r="A1300" s="495">
        <v>83680</v>
      </c>
      <c r="B1300" s="348" t="s">
        <v>10425</v>
      </c>
      <c r="C1300" s="349" t="s">
        <v>71</v>
      </c>
      <c r="D1300" s="483">
        <v>15.06</v>
      </c>
      <c r="E1300" s="483">
        <v>15.06</v>
      </c>
    </row>
    <row r="1301" spans="1:5" ht="30">
      <c r="A1301" s="494">
        <v>83681</v>
      </c>
      <c r="B1301" s="485" t="s">
        <v>10426</v>
      </c>
      <c r="C1301" s="484" t="s">
        <v>71</v>
      </c>
      <c r="D1301" s="486">
        <v>16.29</v>
      </c>
      <c r="E1301" s="486">
        <v>16.29</v>
      </c>
    </row>
    <row r="1302" spans="1:5">
      <c r="A1302" s="495">
        <v>83682</v>
      </c>
      <c r="B1302" s="348" t="s">
        <v>3176</v>
      </c>
      <c r="C1302" s="349" t="s">
        <v>255</v>
      </c>
      <c r="D1302" s="483">
        <v>83.03</v>
      </c>
      <c r="E1302" s="483">
        <v>83.03</v>
      </c>
    </row>
    <row r="1303" spans="1:5">
      <c r="A1303" s="494">
        <v>83683</v>
      </c>
      <c r="B1303" s="485" t="s">
        <v>367</v>
      </c>
      <c r="C1303" s="484" t="s">
        <v>255</v>
      </c>
      <c r="D1303" s="486">
        <v>91.46</v>
      </c>
      <c r="E1303" s="486">
        <v>91.46</v>
      </c>
    </row>
    <row r="1304" spans="1:5">
      <c r="A1304" s="495">
        <v>83729</v>
      </c>
      <c r="B1304" s="348" t="s">
        <v>5663</v>
      </c>
      <c r="C1304" s="349" t="s">
        <v>256</v>
      </c>
      <c r="D1304" s="483">
        <v>12.09</v>
      </c>
      <c r="E1304" s="483">
        <v>12.09</v>
      </c>
    </row>
    <row r="1305" spans="1:5">
      <c r="A1305" s="494">
        <v>83739</v>
      </c>
      <c r="B1305" s="485" t="s">
        <v>5662</v>
      </c>
      <c r="C1305" s="484" t="s">
        <v>256</v>
      </c>
      <c r="D1305" s="486">
        <v>4.2699999999999996</v>
      </c>
      <c r="E1305" s="486">
        <v>4.2699999999999996</v>
      </c>
    </row>
    <row r="1306" spans="1:5">
      <c r="A1306" s="495">
        <v>6454</v>
      </c>
      <c r="B1306" s="348" t="s">
        <v>1258</v>
      </c>
      <c r="C1306" s="349" t="s">
        <v>255</v>
      </c>
      <c r="D1306" s="483">
        <v>131.58000000000001</v>
      </c>
      <c r="E1306" s="483">
        <v>131.58000000000001</v>
      </c>
    </row>
    <row r="1307" spans="1:5">
      <c r="A1307" s="494">
        <v>73611</v>
      </c>
      <c r="B1307" s="485" t="s">
        <v>368</v>
      </c>
      <c r="C1307" s="484" t="s">
        <v>255</v>
      </c>
      <c r="D1307" s="486">
        <v>326.88</v>
      </c>
      <c r="E1307" s="486">
        <v>326.88</v>
      </c>
    </row>
    <row r="1308" spans="1:5">
      <c r="A1308" s="495">
        <v>73697</v>
      </c>
      <c r="B1308" s="348" t="s">
        <v>5032</v>
      </c>
      <c r="C1308" s="349" t="s">
        <v>255</v>
      </c>
      <c r="D1308" s="483">
        <v>138.84</v>
      </c>
      <c r="E1308" s="483">
        <v>138.84</v>
      </c>
    </row>
    <row r="1309" spans="1:5">
      <c r="A1309" s="494">
        <v>73698</v>
      </c>
      <c r="B1309" s="485" t="s">
        <v>5031</v>
      </c>
      <c r="C1309" s="484" t="s">
        <v>255</v>
      </c>
      <c r="D1309" s="486">
        <v>188.89</v>
      </c>
      <c r="E1309" s="486">
        <v>188.89</v>
      </c>
    </row>
    <row r="1310" spans="1:5">
      <c r="A1310" s="349" t="s">
        <v>15755</v>
      </c>
      <c r="B1310" s="348" t="s">
        <v>370</v>
      </c>
      <c r="C1310" s="349" t="s">
        <v>256</v>
      </c>
      <c r="D1310" s="483">
        <v>102.48</v>
      </c>
      <c r="E1310" s="483">
        <v>102.48</v>
      </c>
    </row>
    <row r="1311" spans="1:5">
      <c r="A1311" s="484" t="s">
        <v>15756</v>
      </c>
      <c r="B1311" s="485" t="s">
        <v>372</v>
      </c>
      <c r="C1311" s="484" t="s">
        <v>256</v>
      </c>
      <c r="D1311" s="486">
        <v>258.10000000000002</v>
      </c>
      <c r="E1311" s="486">
        <v>258.10000000000002</v>
      </c>
    </row>
    <row r="1312" spans="1:5" ht="45">
      <c r="A1312" s="495">
        <v>92743</v>
      </c>
      <c r="B1312" s="348" t="s">
        <v>373</v>
      </c>
      <c r="C1312" s="349" t="s">
        <v>255</v>
      </c>
      <c r="D1312" s="483">
        <v>375.24</v>
      </c>
      <c r="E1312" s="483">
        <v>375.24</v>
      </c>
    </row>
    <row r="1313" spans="1:5" ht="45">
      <c r="A1313" s="494">
        <v>92744</v>
      </c>
      <c r="B1313" s="485" t="s">
        <v>374</v>
      </c>
      <c r="C1313" s="484" t="s">
        <v>255</v>
      </c>
      <c r="D1313" s="486">
        <v>332.61</v>
      </c>
      <c r="E1313" s="486">
        <v>332.61</v>
      </c>
    </row>
    <row r="1314" spans="1:5" ht="45">
      <c r="A1314" s="495">
        <v>92745</v>
      </c>
      <c r="B1314" s="348" t="s">
        <v>375</v>
      </c>
      <c r="C1314" s="349" t="s">
        <v>255</v>
      </c>
      <c r="D1314" s="483">
        <v>462.04</v>
      </c>
      <c r="E1314" s="483">
        <v>462.04</v>
      </c>
    </row>
    <row r="1315" spans="1:5" ht="45">
      <c r="A1315" s="494">
        <v>92746</v>
      </c>
      <c r="B1315" s="485" t="s">
        <v>376</v>
      </c>
      <c r="C1315" s="484" t="s">
        <v>255</v>
      </c>
      <c r="D1315" s="486">
        <v>400.03</v>
      </c>
      <c r="E1315" s="486">
        <v>400.03</v>
      </c>
    </row>
    <row r="1316" spans="1:5" ht="45">
      <c r="A1316" s="495">
        <v>92747</v>
      </c>
      <c r="B1316" s="348" t="s">
        <v>377</v>
      </c>
      <c r="C1316" s="349" t="s">
        <v>255</v>
      </c>
      <c r="D1316" s="483">
        <v>511.97</v>
      </c>
      <c r="E1316" s="483">
        <v>511.97</v>
      </c>
    </row>
    <row r="1317" spans="1:5" ht="45">
      <c r="A1317" s="494">
        <v>92748</v>
      </c>
      <c r="B1317" s="485" t="s">
        <v>378</v>
      </c>
      <c r="C1317" s="484" t="s">
        <v>255</v>
      </c>
      <c r="D1317" s="486">
        <v>439.25</v>
      </c>
      <c r="E1317" s="486">
        <v>439.25</v>
      </c>
    </row>
    <row r="1318" spans="1:5" ht="30">
      <c r="A1318" s="495">
        <v>92749</v>
      </c>
      <c r="B1318" s="348" t="s">
        <v>15757</v>
      </c>
      <c r="C1318" s="349" t="s">
        <v>255</v>
      </c>
      <c r="D1318" s="483">
        <v>510.9</v>
      </c>
      <c r="E1318" s="483">
        <v>510.9</v>
      </c>
    </row>
    <row r="1319" spans="1:5" ht="30">
      <c r="A1319" s="494">
        <v>92750</v>
      </c>
      <c r="B1319" s="485" t="s">
        <v>15758</v>
      </c>
      <c r="C1319" s="484" t="s">
        <v>255</v>
      </c>
      <c r="D1319" s="486">
        <v>855.82</v>
      </c>
      <c r="E1319" s="486">
        <v>855.82</v>
      </c>
    </row>
    <row r="1320" spans="1:5" ht="30">
      <c r="A1320" s="495">
        <v>92751</v>
      </c>
      <c r="B1320" s="348" t="s">
        <v>15759</v>
      </c>
      <c r="C1320" s="349" t="s">
        <v>255</v>
      </c>
      <c r="D1320" s="483">
        <v>1056</v>
      </c>
      <c r="E1320" s="483">
        <v>1056</v>
      </c>
    </row>
    <row r="1321" spans="1:5" ht="30">
      <c r="A1321" s="494">
        <v>92752</v>
      </c>
      <c r="B1321" s="485" t="s">
        <v>15760</v>
      </c>
      <c r="C1321" s="484" t="s">
        <v>255</v>
      </c>
      <c r="D1321" s="486">
        <v>1255.01</v>
      </c>
      <c r="E1321" s="486">
        <v>1255.01</v>
      </c>
    </row>
    <row r="1322" spans="1:5" ht="45">
      <c r="A1322" s="495">
        <v>92753</v>
      </c>
      <c r="B1322" s="348" t="s">
        <v>15761</v>
      </c>
      <c r="C1322" s="349" t="s">
        <v>255</v>
      </c>
      <c r="D1322" s="483">
        <v>354.02</v>
      </c>
      <c r="E1322" s="483">
        <v>354.02</v>
      </c>
    </row>
    <row r="1323" spans="1:5" ht="45">
      <c r="A1323" s="494">
        <v>92754</v>
      </c>
      <c r="B1323" s="485" t="s">
        <v>15762</v>
      </c>
      <c r="C1323" s="484" t="s">
        <v>255</v>
      </c>
      <c r="D1323" s="486">
        <v>324.2</v>
      </c>
      <c r="E1323" s="486">
        <v>324.2</v>
      </c>
    </row>
    <row r="1324" spans="1:5" ht="30">
      <c r="A1324" s="495">
        <v>92755</v>
      </c>
      <c r="B1324" s="348" t="s">
        <v>15763</v>
      </c>
      <c r="C1324" s="349" t="s">
        <v>256</v>
      </c>
      <c r="D1324" s="483">
        <v>134.38999999999999</v>
      </c>
      <c r="E1324" s="483">
        <v>134.38999999999999</v>
      </c>
    </row>
    <row r="1325" spans="1:5" ht="30">
      <c r="A1325" s="494">
        <v>92756</v>
      </c>
      <c r="B1325" s="485" t="s">
        <v>15764</v>
      </c>
      <c r="C1325" s="484" t="s">
        <v>256</v>
      </c>
      <c r="D1325" s="486">
        <v>153.91</v>
      </c>
      <c r="E1325" s="486">
        <v>153.91</v>
      </c>
    </row>
    <row r="1326" spans="1:5" ht="30">
      <c r="A1326" s="495">
        <v>92757</v>
      </c>
      <c r="B1326" s="348" t="s">
        <v>15765</v>
      </c>
      <c r="C1326" s="349" t="s">
        <v>256</v>
      </c>
      <c r="D1326" s="483">
        <v>177.5</v>
      </c>
      <c r="E1326" s="483">
        <v>177.5</v>
      </c>
    </row>
    <row r="1327" spans="1:5" ht="45">
      <c r="A1327" s="494">
        <v>92758</v>
      </c>
      <c r="B1327" s="485" t="s">
        <v>15766</v>
      </c>
      <c r="C1327" s="484" t="s">
        <v>255</v>
      </c>
      <c r="D1327" s="486">
        <v>382.67</v>
      </c>
      <c r="E1327" s="486">
        <v>382.67</v>
      </c>
    </row>
    <row r="1328" spans="1:5">
      <c r="A1328" s="349" t="s">
        <v>15767</v>
      </c>
      <c r="B1328" s="348" t="s">
        <v>7644</v>
      </c>
      <c r="C1328" s="349" t="s">
        <v>255</v>
      </c>
      <c r="D1328" s="483">
        <v>295.16000000000003</v>
      </c>
      <c r="E1328" s="483">
        <v>295.16000000000003</v>
      </c>
    </row>
    <row r="1329" spans="1:5">
      <c r="A1329" s="484" t="s">
        <v>15768</v>
      </c>
      <c r="B1329" s="485" t="s">
        <v>381</v>
      </c>
      <c r="C1329" s="484" t="s">
        <v>255</v>
      </c>
      <c r="D1329" s="486">
        <v>444.87</v>
      </c>
      <c r="E1329" s="486">
        <v>444.87</v>
      </c>
    </row>
    <row r="1330" spans="1:5">
      <c r="A1330" s="349" t="s">
        <v>15769</v>
      </c>
      <c r="B1330" s="348" t="s">
        <v>383</v>
      </c>
      <c r="C1330" s="349" t="s">
        <v>255</v>
      </c>
      <c r="D1330" s="483">
        <v>417.66</v>
      </c>
      <c r="E1330" s="483">
        <v>417.66</v>
      </c>
    </row>
    <row r="1331" spans="1:5" ht="30">
      <c r="A1331" s="484" t="s">
        <v>15770</v>
      </c>
      <c r="B1331" s="485" t="s">
        <v>15771</v>
      </c>
      <c r="C1331" s="484" t="s">
        <v>255</v>
      </c>
      <c r="D1331" s="486">
        <v>246.77</v>
      </c>
      <c r="E1331" s="486">
        <v>246.77</v>
      </c>
    </row>
    <row r="1332" spans="1:5" ht="30">
      <c r="A1332" s="349" t="s">
        <v>15772</v>
      </c>
      <c r="B1332" s="348" t="s">
        <v>15773</v>
      </c>
      <c r="C1332" s="349" t="s">
        <v>255</v>
      </c>
      <c r="D1332" s="483">
        <v>110.56</v>
      </c>
      <c r="E1332" s="483">
        <v>110.56</v>
      </c>
    </row>
    <row r="1333" spans="1:5" ht="45">
      <c r="A1333" s="494">
        <v>91069</v>
      </c>
      <c r="B1333" s="485" t="s">
        <v>15774</v>
      </c>
      <c r="C1333" s="484" t="s">
        <v>256</v>
      </c>
      <c r="D1333" s="486">
        <v>74.3</v>
      </c>
      <c r="E1333" s="486">
        <v>74.3</v>
      </c>
    </row>
    <row r="1334" spans="1:5" ht="45">
      <c r="A1334" s="495">
        <v>91070</v>
      </c>
      <c r="B1334" s="348" t="s">
        <v>15775</v>
      </c>
      <c r="C1334" s="349" t="s">
        <v>256</v>
      </c>
      <c r="D1334" s="483">
        <v>82.49</v>
      </c>
      <c r="E1334" s="483">
        <v>82.49</v>
      </c>
    </row>
    <row r="1335" spans="1:5" ht="45">
      <c r="A1335" s="494">
        <v>91071</v>
      </c>
      <c r="B1335" s="485" t="s">
        <v>15776</v>
      </c>
      <c r="C1335" s="484" t="s">
        <v>256</v>
      </c>
      <c r="D1335" s="486">
        <v>109.41</v>
      </c>
      <c r="E1335" s="486">
        <v>109.41</v>
      </c>
    </row>
    <row r="1336" spans="1:5" ht="45">
      <c r="A1336" s="495">
        <v>91072</v>
      </c>
      <c r="B1336" s="348" t="s">
        <v>15777</v>
      </c>
      <c r="C1336" s="349" t="s">
        <v>256</v>
      </c>
      <c r="D1336" s="483">
        <v>117.55</v>
      </c>
      <c r="E1336" s="483">
        <v>117.55</v>
      </c>
    </row>
    <row r="1337" spans="1:5" ht="45">
      <c r="A1337" s="494">
        <v>91073</v>
      </c>
      <c r="B1337" s="485" t="s">
        <v>15778</v>
      </c>
      <c r="C1337" s="484" t="s">
        <v>256</v>
      </c>
      <c r="D1337" s="486">
        <v>87.77</v>
      </c>
      <c r="E1337" s="486">
        <v>87.77</v>
      </c>
    </row>
    <row r="1338" spans="1:5" ht="45">
      <c r="A1338" s="495">
        <v>91074</v>
      </c>
      <c r="B1338" s="348" t="s">
        <v>15779</v>
      </c>
      <c r="C1338" s="349" t="s">
        <v>256</v>
      </c>
      <c r="D1338" s="483">
        <v>97.34</v>
      </c>
      <c r="E1338" s="483">
        <v>97.34</v>
      </c>
    </row>
    <row r="1339" spans="1:5" ht="45">
      <c r="A1339" s="494">
        <v>91075</v>
      </c>
      <c r="B1339" s="485" t="s">
        <v>15780</v>
      </c>
      <c r="C1339" s="484" t="s">
        <v>256</v>
      </c>
      <c r="D1339" s="486">
        <v>125.23</v>
      </c>
      <c r="E1339" s="486">
        <v>125.23</v>
      </c>
    </row>
    <row r="1340" spans="1:5" ht="45">
      <c r="A1340" s="495">
        <v>91076</v>
      </c>
      <c r="B1340" s="348" t="s">
        <v>15781</v>
      </c>
      <c r="C1340" s="349" t="s">
        <v>256</v>
      </c>
      <c r="D1340" s="483">
        <v>134.75</v>
      </c>
      <c r="E1340" s="483">
        <v>134.75</v>
      </c>
    </row>
    <row r="1341" spans="1:5" ht="45">
      <c r="A1341" s="494">
        <v>91077</v>
      </c>
      <c r="B1341" s="485" t="s">
        <v>15782</v>
      </c>
      <c r="C1341" s="484" t="s">
        <v>256</v>
      </c>
      <c r="D1341" s="486">
        <v>97.66</v>
      </c>
      <c r="E1341" s="486">
        <v>97.66</v>
      </c>
    </row>
    <row r="1342" spans="1:5" ht="45">
      <c r="A1342" s="495">
        <v>91078</v>
      </c>
      <c r="B1342" s="348" t="s">
        <v>15783</v>
      </c>
      <c r="C1342" s="349" t="s">
        <v>256</v>
      </c>
      <c r="D1342" s="483">
        <v>114.54</v>
      </c>
      <c r="E1342" s="483">
        <v>114.54</v>
      </c>
    </row>
    <row r="1343" spans="1:5" ht="45">
      <c r="A1343" s="494">
        <v>91079</v>
      </c>
      <c r="B1343" s="485" t="s">
        <v>15784</v>
      </c>
      <c r="C1343" s="484" t="s">
        <v>256</v>
      </c>
      <c r="D1343" s="486">
        <v>102.29</v>
      </c>
      <c r="E1343" s="486">
        <v>102.29</v>
      </c>
    </row>
    <row r="1344" spans="1:5" ht="45">
      <c r="A1344" s="495">
        <v>91080</v>
      </c>
      <c r="B1344" s="348" t="s">
        <v>15785</v>
      </c>
      <c r="C1344" s="349" t="s">
        <v>256</v>
      </c>
      <c r="D1344" s="483">
        <v>118.94</v>
      </c>
      <c r="E1344" s="483">
        <v>118.94</v>
      </c>
    </row>
    <row r="1345" spans="1:5" ht="45">
      <c r="A1345" s="494">
        <v>91081</v>
      </c>
      <c r="B1345" s="485" t="s">
        <v>15786</v>
      </c>
      <c r="C1345" s="484" t="s">
        <v>256</v>
      </c>
      <c r="D1345" s="486">
        <v>112.48</v>
      </c>
      <c r="E1345" s="486">
        <v>112.48</v>
      </c>
    </row>
    <row r="1346" spans="1:5" ht="45">
      <c r="A1346" s="495">
        <v>91082</v>
      </c>
      <c r="B1346" s="348" t="s">
        <v>15787</v>
      </c>
      <c r="C1346" s="349" t="s">
        <v>256</v>
      </c>
      <c r="D1346" s="483">
        <v>130.56</v>
      </c>
      <c r="E1346" s="483">
        <v>130.56</v>
      </c>
    </row>
    <row r="1347" spans="1:5" ht="45">
      <c r="A1347" s="494">
        <v>91083</v>
      </c>
      <c r="B1347" s="485" t="s">
        <v>15788</v>
      </c>
      <c r="C1347" s="484" t="s">
        <v>256</v>
      </c>
      <c r="D1347" s="486">
        <v>120.65</v>
      </c>
      <c r="E1347" s="486">
        <v>120.65</v>
      </c>
    </row>
    <row r="1348" spans="1:5" ht="45">
      <c r="A1348" s="495">
        <v>91084</v>
      </c>
      <c r="B1348" s="348" t="s">
        <v>15789</v>
      </c>
      <c r="C1348" s="349" t="s">
        <v>256</v>
      </c>
      <c r="D1348" s="483">
        <v>138.44999999999999</v>
      </c>
      <c r="E1348" s="483">
        <v>138.44999999999999</v>
      </c>
    </row>
    <row r="1349" spans="1:5" ht="45">
      <c r="A1349" s="494">
        <v>91086</v>
      </c>
      <c r="B1349" s="485" t="s">
        <v>15790</v>
      </c>
      <c r="C1349" s="484" t="s">
        <v>256</v>
      </c>
      <c r="D1349" s="486">
        <v>83.64</v>
      </c>
      <c r="E1349" s="486">
        <v>83.64</v>
      </c>
    </row>
    <row r="1350" spans="1:5" ht="45">
      <c r="A1350" s="495">
        <v>91087</v>
      </c>
      <c r="B1350" s="348" t="s">
        <v>15791</v>
      </c>
      <c r="C1350" s="349" t="s">
        <v>256</v>
      </c>
      <c r="D1350" s="483">
        <v>92.14</v>
      </c>
      <c r="E1350" s="483">
        <v>92.14</v>
      </c>
    </row>
    <row r="1351" spans="1:5" ht="45">
      <c r="A1351" s="494">
        <v>91088</v>
      </c>
      <c r="B1351" s="485" t="s">
        <v>5409</v>
      </c>
      <c r="C1351" s="484" t="s">
        <v>256</v>
      </c>
      <c r="D1351" s="486">
        <v>119.82</v>
      </c>
      <c r="E1351" s="486">
        <v>119.82</v>
      </c>
    </row>
    <row r="1352" spans="1:5" ht="45">
      <c r="A1352" s="495">
        <v>91089</v>
      </c>
      <c r="B1352" s="348" t="s">
        <v>5393</v>
      </c>
      <c r="C1352" s="349" t="s">
        <v>256</v>
      </c>
      <c r="D1352" s="483">
        <v>128.35</v>
      </c>
      <c r="E1352" s="483">
        <v>128.35</v>
      </c>
    </row>
    <row r="1353" spans="1:5" ht="45">
      <c r="A1353" s="494">
        <v>91090</v>
      </c>
      <c r="B1353" s="485" t="s">
        <v>15792</v>
      </c>
      <c r="C1353" s="484" t="s">
        <v>256</v>
      </c>
      <c r="D1353" s="486">
        <v>95.48</v>
      </c>
      <c r="E1353" s="486">
        <v>95.48</v>
      </c>
    </row>
    <row r="1354" spans="1:5" ht="45">
      <c r="A1354" s="495">
        <v>91091</v>
      </c>
      <c r="B1354" s="348" t="s">
        <v>15793</v>
      </c>
      <c r="C1354" s="349" t="s">
        <v>256</v>
      </c>
      <c r="D1354" s="483">
        <v>105.52</v>
      </c>
      <c r="E1354" s="483">
        <v>105.52</v>
      </c>
    </row>
    <row r="1355" spans="1:5" ht="45">
      <c r="A1355" s="494">
        <v>91092</v>
      </c>
      <c r="B1355" s="485" t="s">
        <v>5408</v>
      </c>
      <c r="C1355" s="484" t="s">
        <v>256</v>
      </c>
      <c r="D1355" s="486">
        <v>133.59</v>
      </c>
      <c r="E1355" s="486">
        <v>133.59</v>
      </c>
    </row>
    <row r="1356" spans="1:5" ht="45">
      <c r="A1356" s="495">
        <v>91093</v>
      </c>
      <c r="B1356" s="348" t="s">
        <v>5392</v>
      </c>
      <c r="C1356" s="349" t="s">
        <v>256</v>
      </c>
      <c r="D1356" s="483">
        <v>143.83000000000001</v>
      </c>
      <c r="E1356" s="483">
        <v>143.83000000000001</v>
      </c>
    </row>
    <row r="1357" spans="1:5" ht="45">
      <c r="A1357" s="494">
        <v>91094</v>
      </c>
      <c r="B1357" s="485" t="s">
        <v>15794</v>
      </c>
      <c r="C1357" s="484" t="s">
        <v>256</v>
      </c>
      <c r="D1357" s="486">
        <v>103.54</v>
      </c>
      <c r="E1357" s="486">
        <v>103.54</v>
      </c>
    </row>
    <row r="1358" spans="1:5" ht="45">
      <c r="A1358" s="495">
        <v>91095</v>
      </c>
      <c r="B1358" s="348" t="s">
        <v>15795</v>
      </c>
      <c r="C1358" s="349" t="s">
        <v>256</v>
      </c>
      <c r="D1358" s="483">
        <v>120.74</v>
      </c>
      <c r="E1358" s="483">
        <v>120.74</v>
      </c>
    </row>
    <row r="1359" spans="1:5" ht="45">
      <c r="A1359" s="494">
        <v>91096</v>
      </c>
      <c r="B1359" s="485" t="s">
        <v>15796</v>
      </c>
      <c r="C1359" s="484" t="s">
        <v>256</v>
      </c>
      <c r="D1359" s="486">
        <v>105.45</v>
      </c>
      <c r="E1359" s="486">
        <v>105.45</v>
      </c>
    </row>
    <row r="1360" spans="1:5" ht="45">
      <c r="A1360" s="495">
        <v>91097</v>
      </c>
      <c r="B1360" s="348" t="s">
        <v>15797</v>
      </c>
      <c r="C1360" s="349" t="s">
        <v>256</v>
      </c>
      <c r="D1360" s="483">
        <v>122.48</v>
      </c>
      <c r="E1360" s="483">
        <v>122.48</v>
      </c>
    </row>
    <row r="1361" spans="1:5" ht="45">
      <c r="A1361" s="494">
        <v>91098</v>
      </c>
      <c r="B1361" s="485" t="s">
        <v>15798</v>
      </c>
      <c r="C1361" s="484" t="s">
        <v>256</v>
      </c>
      <c r="D1361" s="486">
        <v>118.36</v>
      </c>
      <c r="E1361" s="486">
        <v>118.36</v>
      </c>
    </row>
    <row r="1362" spans="1:5" ht="45">
      <c r="A1362" s="495">
        <v>91099</v>
      </c>
      <c r="B1362" s="348" t="s">
        <v>15799</v>
      </c>
      <c r="C1362" s="349" t="s">
        <v>256</v>
      </c>
      <c r="D1362" s="483">
        <v>136.86000000000001</v>
      </c>
      <c r="E1362" s="483">
        <v>136.86000000000001</v>
      </c>
    </row>
    <row r="1363" spans="1:5" ht="45">
      <c r="A1363" s="494">
        <v>91100</v>
      </c>
      <c r="B1363" s="485" t="s">
        <v>15800</v>
      </c>
      <c r="C1363" s="484" t="s">
        <v>256</v>
      </c>
      <c r="D1363" s="486">
        <v>124.43</v>
      </c>
      <c r="E1363" s="486">
        <v>124.43</v>
      </c>
    </row>
    <row r="1364" spans="1:5" ht="45">
      <c r="A1364" s="495">
        <v>91101</v>
      </c>
      <c r="B1364" s="348" t="s">
        <v>15801</v>
      </c>
      <c r="C1364" s="349" t="s">
        <v>256</v>
      </c>
      <c r="D1364" s="483">
        <v>142.78</v>
      </c>
      <c r="E1364" s="483">
        <v>142.78</v>
      </c>
    </row>
    <row r="1365" spans="1:5" ht="45">
      <c r="A1365" s="494">
        <v>93952</v>
      </c>
      <c r="B1365" s="485" t="s">
        <v>5356</v>
      </c>
      <c r="C1365" s="484" t="s">
        <v>71</v>
      </c>
      <c r="D1365" s="486">
        <v>172.67</v>
      </c>
      <c r="E1365" s="486">
        <v>172.67</v>
      </c>
    </row>
    <row r="1366" spans="1:5" ht="45">
      <c r="A1366" s="495">
        <v>93953</v>
      </c>
      <c r="B1366" s="348" t="s">
        <v>15802</v>
      </c>
      <c r="C1366" s="349" t="s">
        <v>71</v>
      </c>
      <c r="D1366" s="483">
        <v>158.88</v>
      </c>
      <c r="E1366" s="483">
        <v>158.88</v>
      </c>
    </row>
    <row r="1367" spans="1:5" ht="45">
      <c r="A1367" s="494">
        <v>93954</v>
      </c>
      <c r="B1367" s="485" t="s">
        <v>15803</v>
      </c>
      <c r="C1367" s="484" t="s">
        <v>71</v>
      </c>
      <c r="D1367" s="486">
        <v>150.68</v>
      </c>
      <c r="E1367" s="486">
        <v>150.68</v>
      </c>
    </row>
    <row r="1368" spans="1:5" ht="45">
      <c r="A1368" s="495">
        <v>93955</v>
      </c>
      <c r="B1368" s="348" t="s">
        <v>5352</v>
      </c>
      <c r="C1368" s="349" t="s">
        <v>71</v>
      </c>
      <c r="D1368" s="483">
        <v>144.94</v>
      </c>
      <c r="E1368" s="483">
        <v>144.94</v>
      </c>
    </row>
    <row r="1369" spans="1:5" ht="45">
      <c r="A1369" s="494">
        <v>93956</v>
      </c>
      <c r="B1369" s="485" t="s">
        <v>15804</v>
      </c>
      <c r="C1369" s="484" t="s">
        <v>71</v>
      </c>
      <c r="D1369" s="486">
        <v>140.41</v>
      </c>
      <c r="E1369" s="486">
        <v>140.41</v>
      </c>
    </row>
    <row r="1370" spans="1:5" ht="45">
      <c r="A1370" s="495">
        <v>93957</v>
      </c>
      <c r="B1370" s="348" t="s">
        <v>5357</v>
      </c>
      <c r="C1370" s="349" t="s">
        <v>71</v>
      </c>
      <c r="D1370" s="483">
        <v>178.62</v>
      </c>
      <c r="E1370" s="483">
        <v>178.62</v>
      </c>
    </row>
    <row r="1371" spans="1:5" ht="45">
      <c r="A1371" s="494">
        <v>93958</v>
      </c>
      <c r="B1371" s="485" t="s">
        <v>15805</v>
      </c>
      <c r="C1371" s="484" t="s">
        <v>71</v>
      </c>
      <c r="D1371" s="486">
        <v>164.09</v>
      </c>
      <c r="E1371" s="486">
        <v>164.09</v>
      </c>
    </row>
    <row r="1372" spans="1:5" ht="45">
      <c r="A1372" s="495">
        <v>93959</v>
      </c>
      <c r="B1372" s="348" t="s">
        <v>15806</v>
      </c>
      <c r="C1372" s="349" t="s">
        <v>71</v>
      </c>
      <c r="D1372" s="483">
        <v>155.53</v>
      </c>
      <c r="E1372" s="483">
        <v>155.53</v>
      </c>
    </row>
    <row r="1373" spans="1:5" ht="45">
      <c r="A1373" s="494">
        <v>93960</v>
      </c>
      <c r="B1373" s="485" t="s">
        <v>5353</v>
      </c>
      <c r="C1373" s="484" t="s">
        <v>71</v>
      </c>
      <c r="D1373" s="486">
        <v>149.56</v>
      </c>
      <c r="E1373" s="486">
        <v>149.56</v>
      </c>
    </row>
    <row r="1374" spans="1:5" ht="45">
      <c r="A1374" s="495">
        <v>93961</v>
      </c>
      <c r="B1374" s="348" t="s">
        <v>15807</v>
      </c>
      <c r="C1374" s="349" t="s">
        <v>71</v>
      </c>
      <c r="D1374" s="483">
        <v>144.9</v>
      </c>
      <c r="E1374" s="483">
        <v>144.9</v>
      </c>
    </row>
    <row r="1375" spans="1:5" ht="45">
      <c r="A1375" s="494">
        <v>93962</v>
      </c>
      <c r="B1375" s="485" t="s">
        <v>5358</v>
      </c>
      <c r="C1375" s="484" t="s">
        <v>71</v>
      </c>
      <c r="D1375" s="486">
        <v>163.37</v>
      </c>
      <c r="E1375" s="486">
        <v>163.37</v>
      </c>
    </row>
    <row r="1376" spans="1:5" ht="45">
      <c r="A1376" s="495">
        <v>93963</v>
      </c>
      <c r="B1376" s="348" t="s">
        <v>15808</v>
      </c>
      <c r="C1376" s="349" t="s">
        <v>71</v>
      </c>
      <c r="D1376" s="483">
        <v>149.63</v>
      </c>
      <c r="E1376" s="483">
        <v>149.63</v>
      </c>
    </row>
    <row r="1377" spans="1:5" ht="45">
      <c r="A1377" s="494">
        <v>93964</v>
      </c>
      <c r="B1377" s="485" t="s">
        <v>15809</v>
      </c>
      <c r="C1377" s="484" t="s">
        <v>71</v>
      </c>
      <c r="D1377" s="486">
        <v>141.47</v>
      </c>
      <c r="E1377" s="486">
        <v>141.47</v>
      </c>
    </row>
    <row r="1378" spans="1:5" ht="45">
      <c r="A1378" s="495">
        <v>93965</v>
      </c>
      <c r="B1378" s="348" t="s">
        <v>15810</v>
      </c>
      <c r="C1378" s="349" t="s">
        <v>71</v>
      </c>
      <c r="D1378" s="483">
        <v>132.46</v>
      </c>
      <c r="E1378" s="483">
        <v>132.46</v>
      </c>
    </row>
    <row r="1379" spans="1:5" ht="45">
      <c r="A1379" s="494">
        <v>93966</v>
      </c>
      <c r="B1379" s="485" t="s">
        <v>15811</v>
      </c>
      <c r="C1379" s="484" t="s">
        <v>71</v>
      </c>
      <c r="D1379" s="486">
        <v>131.25</v>
      </c>
      <c r="E1379" s="486">
        <v>131.25</v>
      </c>
    </row>
    <row r="1380" spans="1:5" ht="45">
      <c r="A1380" s="495">
        <v>93967</v>
      </c>
      <c r="B1380" s="348" t="s">
        <v>5359</v>
      </c>
      <c r="C1380" s="349" t="s">
        <v>71</v>
      </c>
      <c r="D1380" s="483">
        <v>169.32</v>
      </c>
      <c r="E1380" s="483">
        <v>169.32</v>
      </c>
    </row>
    <row r="1381" spans="1:5" ht="45">
      <c r="A1381" s="494">
        <v>93968</v>
      </c>
      <c r="B1381" s="485" t="s">
        <v>15812</v>
      </c>
      <c r="C1381" s="484" t="s">
        <v>71</v>
      </c>
      <c r="D1381" s="486">
        <v>154.83000000000001</v>
      </c>
      <c r="E1381" s="486">
        <v>154.83000000000001</v>
      </c>
    </row>
    <row r="1382" spans="1:5" ht="45">
      <c r="A1382" s="495">
        <v>93969</v>
      </c>
      <c r="B1382" s="348" t="s">
        <v>15813</v>
      </c>
      <c r="C1382" s="349" t="s">
        <v>71</v>
      </c>
      <c r="D1382" s="483">
        <v>146.31</v>
      </c>
      <c r="E1382" s="483">
        <v>146.31</v>
      </c>
    </row>
    <row r="1383" spans="1:5" ht="45">
      <c r="A1383" s="494">
        <v>93970</v>
      </c>
      <c r="B1383" s="485" t="s">
        <v>15814</v>
      </c>
      <c r="C1383" s="484" t="s">
        <v>71</v>
      </c>
      <c r="D1383" s="486">
        <v>140.36000000000001</v>
      </c>
      <c r="E1383" s="486">
        <v>140.36000000000001</v>
      </c>
    </row>
    <row r="1384" spans="1:5" ht="45">
      <c r="A1384" s="495">
        <v>93971</v>
      </c>
      <c r="B1384" s="348" t="s">
        <v>15815</v>
      </c>
      <c r="C1384" s="349" t="s">
        <v>71</v>
      </c>
      <c r="D1384" s="483">
        <v>130.84</v>
      </c>
      <c r="E1384" s="483">
        <v>130.84</v>
      </c>
    </row>
    <row r="1385" spans="1:5" ht="30">
      <c r="A1385" s="494">
        <v>95108</v>
      </c>
      <c r="B1385" s="485" t="s">
        <v>15816</v>
      </c>
      <c r="C1385" s="484" t="s">
        <v>65</v>
      </c>
      <c r="D1385" s="486">
        <v>20.079999999999998</v>
      </c>
      <c r="E1385" s="486">
        <v>20.079999999999998</v>
      </c>
    </row>
    <row r="1386" spans="1:5" ht="30">
      <c r="A1386" s="495">
        <v>83690</v>
      </c>
      <c r="B1386" s="348" t="s">
        <v>15817</v>
      </c>
      <c r="C1386" s="349" t="s">
        <v>255</v>
      </c>
      <c r="D1386" s="483">
        <v>427.67</v>
      </c>
      <c r="E1386" s="483">
        <v>427.67</v>
      </c>
    </row>
    <row r="1387" spans="1:5" ht="30">
      <c r="A1387" s="484" t="s">
        <v>15818</v>
      </c>
      <c r="B1387" s="485" t="s">
        <v>15819</v>
      </c>
      <c r="C1387" s="484" t="s">
        <v>65</v>
      </c>
      <c r="D1387" s="486">
        <v>291.75</v>
      </c>
      <c r="E1387" s="486">
        <v>291.75</v>
      </c>
    </row>
    <row r="1388" spans="1:5" ht="30">
      <c r="A1388" s="349" t="s">
        <v>15820</v>
      </c>
      <c r="B1388" s="348" t="s">
        <v>15821</v>
      </c>
      <c r="C1388" s="349" t="s">
        <v>65</v>
      </c>
      <c r="D1388" s="483">
        <v>535.70000000000005</v>
      </c>
      <c r="E1388" s="483">
        <v>535.70000000000005</v>
      </c>
    </row>
    <row r="1389" spans="1:5" ht="45">
      <c r="A1389" s="484" t="s">
        <v>15822</v>
      </c>
      <c r="B1389" s="485" t="s">
        <v>15823</v>
      </c>
      <c r="C1389" s="484" t="s">
        <v>65</v>
      </c>
      <c r="D1389" s="486">
        <v>873.24</v>
      </c>
      <c r="E1389" s="486">
        <v>873.24</v>
      </c>
    </row>
    <row r="1390" spans="1:5" ht="45">
      <c r="A1390" s="349" t="s">
        <v>15824</v>
      </c>
      <c r="B1390" s="348" t="s">
        <v>15825</v>
      </c>
      <c r="C1390" s="349" t="s">
        <v>65</v>
      </c>
      <c r="D1390" s="483">
        <v>1302.8499999999999</v>
      </c>
      <c r="E1390" s="483">
        <v>1302.8499999999999</v>
      </c>
    </row>
    <row r="1391" spans="1:5" ht="45">
      <c r="A1391" s="484" t="s">
        <v>15826</v>
      </c>
      <c r="B1391" s="485" t="s">
        <v>15827</v>
      </c>
      <c r="C1391" s="484" t="s">
        <v>65</v>
      </c>
      <c r="D1391" s="486">
        <v>1830.09</v>
      </c>
      <c r="E1391" s="486">
        <v>1830.09</v>
      </c>
    </row>
    <row r="1392" spans="1:5" ht="45">
      <c r="A1392" s="349" t="s">
        <v>15828</v>
      </c>
      <c r="B1392" s="348" t="s">
        <v>15829</v>
      </c>
      <c r="C1392" s="349" t="s">
        <v>65</v>
      </c>
      <c r="D1392" s="483">
        <v>2459.35</v>
      </c>
      <c r="E1392" s="483">
        <v>2459.35</v>
      </c>
    </row>
    <row r="1393" spans="1:5" ht="45">
      <c r="A1393" s="484" t="s">
        <v>15830</v>
      </c>
      <c r="B1393" s="485" t="s">
        <v>15831</v>
      </c>
      <c r="C1393" s="484" t="s">
        <v>65</v>
      </c>
      <c r="D1393" s="486">
        <v>753.04</v>
      </c>
      <c r="E1393" s="486">
        <v>753.04</v>
      </c>
    </row>
    <row r="1394" spans="1:5" ht="45">
      <c r="A1394" s="349" t="s">
        <v>15832</v>
      </c>
      <c r="B1394" s="348" t="s">
        <v>15833</v>
      </c>
      <c r="C1394" s="349" t="s">
        <v>65</v>
      </c>
      <c r="D1394" s="483">
        <v>1235.19</v>
      </c>
      <c r="E1394" s="483">
        <v>1235.19</v>
      </c>
    </row>
    <row r="1395" spans="1:5" ht="45">
      <c r="A1395" s="484" t="s">
        <v>15834</v>
      </c>
      <c r="B1395" s="485" t="s">
        <v>15835</v>
      </c>
      <c r="C1395" s="484" t="s">
        <v>65</v>
      </c>
      <c r="D1395" s="486">
        <v>1846.88</v>
      </c>
      <c r="E1395" s="486">
        <v>1846.88</v>
      </c>
    </row>
    <row r="1396" spans="1:5" ht="45">
      <c r="A1396" s="349" t="s">
        <v>15836</v>
      </c>
      <c r="B1396" s="348" t="s">
        <v>15837</v>
      </c>
      <c r="C1396" s="349" t="s">
        <v>65</v>
      </c>
      <c r="D1396" s="483">
        <v>2286.0100000000002</v>
      </c>
      <c r="E1396" s="483">
        <v>2286.0100000000002</v>
      </c>
    </row>
    <row r="1397" spans="1:5" ht="45">
      <c r="A1397" s="484" t="s">
        <v>15838</v>
      </c>
      <c r="B1397" s="485" t="s">
        <v>2613</v>
      </c>
      <c r="C1397" s="484" t="s">
        <v>65</v>
      </c>
      <c r="D1397" s="486">
        <v>3483.39</v>
      </c>
      <c r="E1397" s="486">
        <v>3483.39</v>
      </c>
    </row>
    <row r="1398" spans="1:5" ht="45">
      <c r="A1398" s="349" t="s">
        <v>15839</v>
      </c>
      <c r="B1398" s="348" t="s">
        <v>15840</v>
      </c>
      <c r="C1398" s="349" t="s">
        <v>65</v>
      </c>
      <c r="D1398" s="483">
        <v>970.03</v>
      </c>
      <c r="E1398" s="483">
        <v>970.03</v>
      </c>
    </row>
    <row r="1399" spans="1:5" ht="45">
      <c r="A1399" s="484" t="s">
        <v>15841</v>
      </c>
      <c r="B1399" s="485" t="s">
        <v>15842</v>
      </c>
      <c r="C1399" s="484" t="s">
        <v>65</v>
      </c>
      <c r="D1399" s="486">
        <v>1596.73</v>
      </c>
      <c r="E1399" s="486">
        <v>1596.73</v>
      </c>
    </row>
    <row r="1400" spans="1:5" ht="45">
      <c r="A1400" s="349" t="s">
        <v>15843</v>
      </c>
      <c r="B1400" s="348" t="s">
        <v>15844</v>
      </c>
      <c r="C1400" s="349" t="s">
        <v>65</v>
      </c>
      <c r="D1400" s="483">
        <v>2390.59</v>
      </c>
      <c r="E1400" s="483">
        <v>2390.59</v>
      </c>
    </row>
    <row r="1401" spans="1:5" ht="45">
      <c r="A1401" s="484" t="s">
        <v>15845</v>
      </c>
      <c r="B1401" s="485" t="s">
        <v>15846</v>
      </c>
      <c r="C1401" s="484" t="s">
        <v>65</v>
      </c>
      <c r="D1401" s="486">
        <v>3358.62</v>
      </c>
      <c r="E1401" s="486">
        <v>3358.62</v>
      </c>
    </row>
    <row r="1402" spans="1:5" ht="45">
      <c r="A1402" s="349" t="s">
        <v>15847</v>
      </c>
      <c r="B1402" s="348" t="s">
        <v>15848</v>
      </c>
      <c r="C1402" s="349" t="s">
        <v>65</v>
      </c>
      <c r="D1402" s="483">
        <v>4507.51</v>
      </c>
      <c r="E1402" s="483">
        <v>4507.51</v>
      </c>
    </row>
    <row r="1403" spans="1:5" ht="30">
      <c r="A1403" s="484" t="s">
        <v>15849</v>
      </c>
      <c r="B1403" s="485" t="s">
        <v>15850</v>
      </c>
      <c r="C1403" s="484" t="s">
        <v>65</v>
      </c>
      <c r="D1403" s="486">
        <v>300.2</v>
      </c>
      <c r="E1403" s="486">
        <v>300.2</v>
      </c>
    </row>
    <row r="1404" spans="1:5" ht="30">
      <c r="A1404" s="349" t="s">
        <v>15851</v>
      </c>
      <c r="B1404" s="348" t="s">
        <v>15852</v>
      </c>
      <c r="C1404" s="349" t="s">
        <v>65</v>
      </c>
      <c r="D1404" s="483">
        <v>317.17</v>
      </c>
      <c r="E1404" s="483">
        <v>317.17</v>
      </c>
    </row>
    <row r="1405" spans="1:5" ht="30">
      <c r="A1405" s="484" t="s">
        <v>15853</v>
      </c>
      <c r="B1405" s="485" t="s">
        <v>15854</v>
      </c>
      <c r="C1405" s="484" t="s">
        <v>65</v>
      </c>
      <c r="D1405" s="486">
        <v>288.52</v>
      </c>
      <c r="E1405" s="486">
        <v>288.52</v>
      </c>
    </row>
    <row r="1406" spans="1:5" ht="30">
      <c r="A1406" s="349" t="s">
        <v>15855</v>
      </c>
      <c r="B1406" s="348" t="s">
        <v>15856</v>
      </c>
      <c r="C1406" s="349" t="s">
        <v>65</v>
      </c>
      <c r="D1406" s="483">
        <v>908.94</v>
      </c>
      <c r="E1406" s="483">
        <v>908.94</v>
      </c>
    </row>
    <row r="1407" spans="1:5" ht="30">
      <c r="A1407" s="484" t="s">
        <v>15857</v>
      </c>
      <c r="B1407" s="485" t="s">
        <v>15858</v>
      </c>
      <c r="C1407" s="484" t="s">
        <v>65</v>
      </c>
      <c r="D1407" s="486">
        <v>973.09</v>
      </c>
      <c r="E1407" s="486">
        <v>973.09</v>
      </c>
    </row>
    <row r="1408" spans="1:5" ht="30">
      <c r="A1408" s="349" t="s">
        <v>15859</v>
      </c>
      <c r="B1408" s="348" t="s">
        <v>15860</v>
      </c>
      <c r="C1408" s="349" t="s">
        <v>65</v>
      </c>
      <c r="D1408" s="483">
        <v>1028.5999999999999</v>
      </c>
      <c r="E1408" s="483">
        <v>1028.5999999999999</v>
      </c>
    </row>
    <row r="1409" spans="1:5" ht="30">
      <c r="A1409" s="484" t="s">
        <v>15861</v>
      </c>
      <c r="B1409" s="485" t="s">
        <v>15862</v>
      </c>
      <c r="C1409" s="484" t="s">
        <v>65</v>
      </c>
      <c r="D1409" s="486">
        <v>1035.8599999999999</v>
      </c>
      <c r="E1409" s="486">
        <v>1035.8599999999999</v>
      </c>
    </row>
    <row r="1410" spans="1:5" ht="30">
      <c r="A1410" s="349" t="s">
        <v>15863</v>
      </c>
      <c r="B1410" s="348" t="s">
        <v>15864</v>
      </c>
      <c r="C1410" s="349" t="s">
        <v>65</v>
      </c>
      <c r="D1410" s="483">
        <v>1085.22</v>
      </c>
      <c r="E1410" s="483">
        <v>1085.22</v>
      </c>
    </row>
    <row r="1411" spans="1:5" ht="30">
      <c r="A1411" s="484" t="s">
        <v>15865</v>
      </c>
      <c r="B1411" s="485" t="s">
        <v>15866</v>
      </c>
      <c r="C1411" s="484" t="s">
        <v>65</v>
      </c>
      <c r="D1411" s="486">
        <v>1175.73</v>
      </c>
      <c r="E1411" s="486">
        <v>1175.73</v>
      </c>
    </row>
    <row r="1412" spans="1:5" ht="30">
      <c r="A1412" s="349" t="s">
        <v>15867</v>
      </c>
      <c r="B1412" s="348" t="s">
        <v>15868</v>
      </c>
      <c r="C1412" s="349" t="s">
        <v>65</v>
      </c>
      <c r="D1412" s="483">
        <v>1229.8900000000001</v>
      </c>
      <c r="E1412" s="483">
        <v>1229.8900000000001</v>
      </c>
    </row>
    <row r="1413" spans="1:5" ht="30">
      <c r="A1413" s="484" t="s">
        <v>15869</v>
      </c>
      <c r="B1413" s="485" t="s">
        <v>15870</v>
      </c>
      <c r="C1413" s="484" t="s">
        <v>65</v>
      </c>
      <c r="D1413" s="486">
        <v>1370.03</v>
      </c>
      <c r="E1413" s="486">
        <v>1370.03</v>
      </c>
    </row>
    <row r="1414" spans="1:5" ht="30">
      <c r="A1414" s="349" t="s">
        <v>15871</v>
      </c>
      <c r="B1414" s="348" t="s">
        <v>15872</v>
      </c>
      <c r="C1414" s="349" t="s">
        <v>65</v>
      </c>
      <c r="D1414" s="483">
        <v>1480.05</v>
      </c>
      <c r="E1414" s="483">
        <v>1480.05</v>
      </c>
    </row>
    <row r="1415" spans="1:5" ht="30">
      <c r="A1415" s="484" t="s">
        <v>15873</v>
      </c>
      <c r="B1415" s="485" t="s">
        <v>15874</v>
      </c>
      <c r="C1415" s="484" t="s">
        <v>65</v>
      </c>
      <c r="D1415" s="486">
        <v>1558.62</v>
      </c>
      <c r="E1415" s="486">
        <v>1558.62</v>
      </c>
    </row>
    <row r="1416" spans="1:5" ht="30">
      <c r="A1416" s="349" t="s">
        <v>15875</v>
      </c>
      <c r="B1416" s="348" t="s">
        <v>15876</v>
      </c>
      <c r="C1416" s="349" t="s">
        <v>65</v>
      </c>
      <c r="D1416" s="483">
        <v>1687.16</v>
      </c>
      <c r="E1416" s="483">
        <v>1687.16</v>
      </c>
    </row>
    <row r="1417" spans="1:5" ht="30">
      <c r="A1417" s="484" t="s">
        <v>15877</v>
      </c>
      <c r="B1417" s="485" t="s">
        <v>15878</v>
      </c>
      <c r="C1417" s="484" t="s">
        <v>65</v>
      </c>
      <c r="D1417" s="486">
        <v>1778.86</v>
      </c>
      <c r="E1417" s="486">
        <v>1778.86</v>
      </c>
    </row>
    <row r="1418" spans="1:5" ht="30">
      <c r="A1418" s="349" t="s">
        <v>15879</v>
      </c>
      <c r="B1418" s="348" t="s">
        <v>15880</v>
      </c>
      <c r="C1418" s="349" t="s">
        <v>65</v>
      </c>
      <c r="D1418" s="483">
        <v>1898.05</v>
      </c>
      <c r="E1418" s="483">
        <v>1898.05</v>
      </c>
    </row>
    <row r="1419" spans="1:5" ht="30">
      <c r="A1419" s="484" t="s">
        <v>15881</v>
      </c>
      <c r="B1419" s="485" t="s">
        <v>15882</v>
      </c>
      <c r="C1419" s="484" t="s">
        <v>65</v>
      </c>
      <c r="D1419" s="486">
        <v>2007.75</v>
      </c>
      <c r="E1419" s="486">
        <v>2007.75</v>
      </c>
    </row>
    <row r="1420" spans="1:5" ht="30">
      <c r="A1420" s="349" t="s">
        <v>15883</v>
      </c>
      <c r="B1420" s="348" t="s">
        <v>15884</v>
      </c>
      <c r="C1420" s="349" t="s">
        <v>65</v>
      </c>
      <c r="D1420" s="483">
        <v>2118.1999999999998</v>
      </c>
      <c r="E1420" s="483">
        <v>2118.1999999999998</v>
      </c>
    </row>
    <row r="1421" spans="1:5" ht="30">
      <c r="A1421" s="484" t="s">
        <v>15885</v>
      </c>
      <c r="B1421" s="485" t="s">
        <v>15886</v>
      </c>
      <c r="C1421" s="484" t="s">
        <v>65</v>
      </c>
      <c r="D1421" s="486">
        <v>2227.91</v>
      </c>
      <c r="E1421" s="486">
        <v>2227.91</v>
      </c>
    </row>
    <row r="1422" spans="1:5" ht="30">
      <c r="A1422" s="349" t="s">
        <v>15887</v>
      </c>
      <c r="B1422" s="348" t="s">
        <v>15888</v>
      </c>
      <c r="C1422" s="349" t="s">
        <v>65</v>
      </c>
      <c r="D1422" s="483">
        <v>2345.5500000000002</v>
      </c>
      <c r="E1422" s="483">
        <v>2345.5500000000002</v>
      </c>
    </row>
    <row r="1423" spans="1:5" ht="30">
      <c r="A1423" s="484" t="s">
        <v>15889</v>
      </c>
      <c r="B1423" s="485" t="s">
        <v>15890</v>
      </c>
      <c r="C1423" s="484" t="s">
        <v>65</v>
      </c>
      <c r="D1423" s="486">
        <v>2455.2600000000002</v>
      </c>
      <c r="E1423" s="486">
        <v>2455.2600000000002</v>
      </c>
    </row>
    <row r="1424" spans="1:5" ht="30">
      <c r="A1424" s="349" t="s">
        <v>15891</v>
      </c>
      <c r="B1424" s="348" t="s">
        <v>15892</v>
      </c>
      <c r="C1424" s="349" t="s">
        <v>65</v>
      </c>
      <c r="D1424" s="483">
        <v>2564.96</v>
      </c>
      <c r="E1424" s="483">
        <v>2564.96</v>
      </c>
    </row>
    <row r="1425" spans="1:5" ht="30">
      <c r="A1425" s="484" t="s">
        <v>15893</v>
      </c>
      <c r="B1425" s="485" t="s">
        <v>15894</v>
      </c>
      <c r="C1425" s="484" t="s">
        <v>65</v>
      </c>
      <c r="D1425" s="486">
        <v>2814.89</v>
      </c>
      <c r="E1425" s="486">
        <v>2814.89</v>
      </c>
    </row>
    <row r="1426" spans="1:5" ht="30">
      <c r="A1426" s="349" t="s">
        <v>15895</v>
      </c>
      <c r="B1426" s="348" t="s">
        <v>15896</v>
      </c>
      <c r="C1426" s="349" t="s">
        <v>65</v>
      </c>
      <c r="D1426" s="483">
        <v>2785.4</v>
      </c>
      <c r="E1426" s="483">
        <v>2785.4</v>
      </c>
    </row>
    <row r="1427" spans="1:5" ht="30">
      <c r="A1427" s="484" t="s">
        <v>15897</v>
      </c>
      <c r="B1427" s="485" t="s">
        <v>15898</v>
      </c>
      <c r="C1427" s="484" t="s">
        <v>65</v>
      </c>
      <c r="D1427" s="486">
        <v>2895.86</v>
      </c>
      <c r="E1427" s="486">
        <v>2895.86</v>
      </c>
    </row>
    <row r="1428" spans="1:5" ht="30">
      <c r="A1428" s="349" t="s">
        <v>15899</v>
      </c>
      <c r="B1428" s="348" t="s">
        <v>15900</v>
      </c>
      <c r="C1428" s="349" t="s">
        <v>65</v>
      </c>
      <c r="D1428" s="483">
        <v>3005.56</v>
      </c>
      <c r="E1428" s="483">
        <v>3005.56</v>
      </c>
    </row>
    <row r="1429" spans="1:5" ht="60">
      <c r="A1429" s="484" t="s">
        <v>15901</v>
      </c>
      <c r="B1429" s="485" t="s">
        <v>15902</v>
      </c>
      <c r="C1429" s="484" t="s">
        <v>65</v>
      </c>
      <c r="D1429" s="486">
        <v>1162.8599999999999</v>
      </c>
      <c r="E1429" s="486">
        <v>1162.8599999999999</v>
      </c>
    </row>
    <row r="1430" spans="1:5" ht="60">
      <c r="A1430" s="349" t="s">
        <v>15903</v>
      </c>
      <c r="B1430" s="348" t="s">
        <v>15904</v>
      </c>
      <c r="C1430" s="349" t="s">
        <v>65</v>
      </c>
      <c r="D1430" s="483">
        <v>1214.07</v>
      </c>
      <c r="E1430" s="483">
        <v>1214.07</v>
      </c>
    </row>
    <row r="1431" spans="1:5" ht="60">
      <c r="A1431" s="484" t="s">
        <v>15905</v>
      </c>
      <c r="B1431" s="485" t="s">
        <v>15906</v>
      </c>
      <c r="C1431" s="484" t="s">
        <v>65</v>
      </c>
      <c r="D1431" s="486">
        <v>1315.63</v>
      </c>
      <c r="E1431" s="486">
        <v>1315.63</v>
      </c>
    </row>
    <row r="1432" spans="1:5" ht="60">
      <c r="A1432" s="349" t="s">
        <v>15907</v>
      </c>
      <c r="B1432" s="348" t="s">
        <v>15908</v>
      </c>
      <c r="C1432" s="349" t="s">
        <v>65</v>
      </c>
      <c r="D1432" s="483">
        <v>1324.1</v>
      </c>
      <c r="E1432" s="483">
        <v>1324.1</v>
      </c>
    </row>
    <row r="1433" spans="1:5" ht="60">
      <c r="A1433" s="484" t="s">
        <v>15909</v>
      </c>
      <c r="B1433" s="485" t="s">
        <v>15910</v>
      </c>
      <c r="C1433" s="484" t="s">
        <v>65</v>
      </c>
      <c r="D1433" s="486">
        <v>1334.71</v>
      </c>
      <c r="E1433" s="486">
        <v>1334.71</v>
      </c>
    </row>
    <row r="1434" spans="1:5" ht="60">
      <c r="A1434" s="349" t="s">
        <v>15911</v>
      </c>
      <c r="B1434" s="348" t="s">
        <v>15912</v>
      </c>
      <c r="C1434" s="349" t="s">
        <v>65</v>
      </c>
      <c r="D1434" s="483">
        <v>1446.02</v>
      </c>
      <c r="E1434" s="483">
        <v>1446.02</v>
      </c>
    </row>
    <row r="1435" spans="1:5" ht="60">
      <c r="A1435" s="484" t="s">
        <v>15913</v>
      </c>
      <c r="B1435" s="485" t="s">
        <v>15914</v>
      </c>
      <c r="C1435" s="484" t="s">
        <v>65</v>
      </c>
      <c r="D1435" s="486">
        <v>1513.39</v>
      </c>
      <c r="E1435" s="486">
        <v>1513.39</v>
      </c>
    </row>
    <row r="1436" spans="1:5" ht="60">
      <c r="A1436" s="349" t="s">
        <v>15915</v>
      </c>
      <c r="B1436" s="348" t="s">
        <v>15916</v>
      </c>
      <c r="C1436" s="349" t="s">
        <v>65</v>
      </c>
      <c r="D1436" s="483">
        <v>1624.68</v>
      </c>
      <c r="E1436" s="483">
        <v>1624.68</v>
      </c>
    </row>
    <row r="1437" spans="1:5" ht="60">
      <c r="A1437" s="484" t="s">
        <v>15917</v>
      </c>
      <c r="B1437" s="485" t="s">
        <v>15918</v>
      </c>
      <c r="C1437" s="484" t="s">
        <v>65</v>
      </c>
      <c r="D1437" s="486">
        <v>1735.99</v>
      </c>
      <c r="E1437" s="486">
        <v>1735.99</v>
      </c>
    </row>
    <row r="1438" spans="1:5" ht="60">
      <c r="A1438" s="349" t="s">
        <v>15919</v>
      </c>
      <c r="B1438" s="348" t="s">
        <v>15920</v>
      </c>
      <c r="C1438" s="349" t="s">
        <v>65</v>
      </c>
      <c r="D1438" s="483">
        <v>1847.3</v>
      </c>
      <c r="E1438" s="483">
        <v>1847.3</v>
      </c>
    </row>
    <row r="1439" spans="1:5" ht="60">
      <c r="A1439" s="484" t="s">
        <v>15921</v>
      </c>
      <c r="B1439" s="485" t="s">
        <v>15922</v>
      </c>
      <c r="C1439" s="484" t="s">
        <v>65</v>
      </c>
      <c r="D1439" s="486">
        <v>1959.28</v>
      </c>
      <c r="E1439" s="486">
        <v>1959.28</v>
      </c>
    </row>
    <row r="1440" spans="1:5" ht="60">
      <c r="A1440" s="349" t="s">
        <v>15923</v>
      </c>
      <c r="B1440" s="348" t="s">
        <v>15924</v>
      </c>
      <c r="C1440" s="349" t="s">
        <v>65</v>
      </c>
      <c r="D1440" s="483">
        <v>2071.0300000000002</v>
      </c>
      <c r="E1440" s="483">
        <v>2071.0300000000002</v>
      </c>
    </row>
    <row r="1441" spans="1:5" ht="60">
      <c r="A1441" s="484" t="s">
        <v>15925</v>
      </c>
      <c r="B1441" s="485" t="s">
        <v>15926</v>
      </c>
      <c r="C1441" s="484" t="s">
        <v>65</v>
      </c>
      <c r="D1441" s="486">
        <v>2179.6</v>
      </c>
      <c r="E1441" s="486">
        <v>2179.6</v>
      </c>
    </row>
    <row r="1442" spans="1:5" ht="60">
      <c r="A1442" s="349" t="s">
        <v>15927</v>
      </c>
      <c r="B1442" s="348" t="s">
        <v>15928</v>
      </c>
      <c r="C1442" s="349" t="s">
        <v>65</v>
      </c>
      <c r="D1442" s="483">
        <v>2286.39</v>
      </c>
      <c r="E1442" s="483">
        <v>2286.39</v>
      </c>
    </row>
    <row r="1443" spans="1:5" ht="60">
      <c r="A1443" s="484" t="s">
        <v>15929</v>
      </c>
      <c r="B1443" s="485" t="s">
        <v>15930</v>
      </c>
      <c r="C1443" s="484" t="s">
        <v>65</v>
      </c>
      <c r="D1443" s="486">
        <v>2405.48</v>
      </c>
      <c r="E1443" s="486">
        <v>2405.48</v>
      </c>
    </row>
    <row r="1444" spans="1:5" ht="60">
      <c r="A1444" s="349" t="s">
        <v>15931</v>
      </c>
      <c r="B1444" s="348" t="s">
        <v>15932</v>
      </c>
      <c r="C1444" s="349" t="s">
        <v>65</v>
      </c>
      <c r="D1444" s="483">
        <v>2477.21</v>
      </c>
      <c r="E1444" s="483">
        <v>2477.21</v>
      </c>
    </row>
    <row r="1445" spans="1:5" ht="60">
      <c r="A1445" s="484" t="s">
        <v>15933</v>
      </c>
      <c r="B1445" s="485" t="s">
        <v>15934</v>
      </c>
      <c r="C1445" s="484" t="s">
        <v>65</v>
      </c>
      <c r="D1445" s="486">
        <v>621.62</v>
      </c>
      <c r="E1445" s="486">
        <v>621.62</v>
      </c>
    </row>
    <row r="1446" spans="1:5" ht="30">
      <c r="A1446" s="349" t="s">
        <v>15935</v>
      </c>
      <c r="B1446" s="348" t="s">
        <v>15936</v>
      </c>
      <c r="C1446" s="349" t="s">
        <v>65</v>
      </c>
      <c r="D1446" s="483">
        <v>1305.0999999999999</v>
      </c>
      <c r="E1446" s="483">
        <v>1305.0999999999999</v>
      </c>
    </row>
    <row r="1447" spans="1:5" ht="30">
      <c r="A1447" s="484" t="s">
        <v>15937</v>
      </c>
      <c r="B1447" s="485" t="s">
        <v>15938</v>
      </c>
      <c r="C1447" s="484" t="s">
        <v>65</v>
      </c>
      <c r="D1447" s="486">
        <v>1323.3</v>
      </c>
      <c r="E1447" s="486">
        <v>1323.3</v>
      </c>
    </row>
    <row r="1448" spans="1:5" ht="30">
      <c r="A1448" s="349" t="s">
        <v>15939</v>
      </c>
      <c r="B1448" s="348" t="s">
        <v>15940</v>
      </c>
      <c r="C1448" s="349" t="s">
        <v>65</v>
      </c>
      <c r="D1448" s="483">
        <v>1443.36</v>
      </c>
      <c r="E1448" s="483">
        <v>1443.36</v>
      </c>
    </row>
    <row r="1449" spans="1:5" ht="30">
      <c r="A1449" s="484" t="s">
        <v>15941</v>
      </c>
      <c r="B1449" s="485" t="s">
        <v>15942</v>
      </c>
      <c r="C1449" s="484" t="s">
        <v>65</v>
      </c>
      <c r="D1449" s="486">
        <v>1532.41</v>
      </c>
      <c r="E1449" s="486">
        <v>1532.41</v>
      </c>
    </row>
    <row r="1450" spans="1:5" ht="30">
      <c r="A1450" s="349" t="s">
        <v>15943</v>
      </c>
      <c r="B1450" s="348" t="s">
        <v>15944</v>
      </c>
      <c r="C1450" s="349" t="s">
        <v>65</v>
      </c>
      <c r="D1450" s="483">
        <v>2156.21</v>
      </c>
      <c r="E1450" s="483">
        <v>2156.21</v>
      </c>
    </row>
    <row r="1451" spans="1:5" ht="30">
      <c r="A1451" s="484" t="s">
        <v>15945</v>
      </c>
      <c r="B1451" s="485" t="s">
        <v>15946</v>
      </c>
      <c r="C1451" s="484" t="s">
        <v>65</v>
      </c>
      <c r="D1451" s="486">
        <v>2457.91</v>
      </c>
      <c r="E1451" s="486">
        <v>2457.91</v>
      </c>
    </row>
    <row r="1452" spans="1:5" ht="30">
      <c r="A1452" s="349" t="s">
        <v>15947</v>
      </c>
      <c r="B1452" s="348" t="s">
        <v>15948</v>
      </c>
      <c r="C1452" s="349" t="s">
        <v>65</v>
      </c>
      <c r="D1452" s="483">
        <v>2662.7</v>
      </c>
      <c r="E1452" s="483">
        <v>2662.7</v>
      </c>
    </row>
    <row r="1453" spans="1:5" ht="30">
      <c r="A1453" s="484" t="s">
        <v>15949</v>
      </c>
      <c r="B1453" s="485" t="s">
        <v>15950</v>
      </c>
      <c r="C1453" s="484" t="s">
        <v>65</v>
      </c>
      <c r="D1453" s="486">
        <v>3053.67</v>
      </c>
      <c r="E1453" s="486">
        <v>3053.67</v>
      </c>
    </row>
    <row r="1454" spans="1:5" ht="45">
      <c r="A1454" s="349" t="s">
        <v>15951</v>
      </c>
      <c r="B1454" s="348" t="s">
        <v>15952</v>
      </c>
      <c r="C1454" s="349" t="s">
        <v>65</v>
      </c>
      <c r="D1454" s="483">
        <v>3545.72</v>
      </c>
      <c r="E1454" s="483">
        <v>3545.72</v>
      </c>
    </row>
    <row r="1455" spans="1:5" ht="30">
      <c r="A1455" s="484" t="s">
        <v>15953</v>
      </c>
      <c r="B1455" s="485" t="s">
        <v>15954</v>
      </c>
      <c r="C1455" s="484" t="s">
        <v>65</v>
      </c>
      <c r="D1455" s="486">
        <v>3960.18</v>
      </c>
      <c r="E1455" s="486">
        <v>3960.18</v>
      </c>
    </row>
    <row r="1456" spans="1:5" ht="30">
      <c r="A1456" s="349" t="s">
        <v>15955</v>
      </c>
      <c r="B1456" s="348" t="s">
        <v>15956</v>
      </c>
      <c r="C1456" s="349" t="s">
        <v>65</v>
      </c>
      <c r="D1456" s="483">
        <v>4305.3900000000003</v>
      </c>
      <c r="E1456" s="483">
        <v>4305.3900000000003</v>
      </c>
    </row>
    <row r="1457" spans="1:5" ht="45">
      <c r="A1457" s="484" t="s">
        <v>15957</v>
      </c>
      <c r="B1457" s="485" t="s">
        <v>15958</v>
      </c>
      <c r="C1457" s="484" t="s">
        <v>65</v>
      </c>
      <c r="D1457" s="486">
        <v>4613.32</v>
      </c>
      <c r="E1457" s="486">
        <v>4613.32</v>
      </c>
    </row>
    <row r="1458" spans="1:5">
      <c r="A1458" s="349" t="s">
        <v>15959</v>
      </c>
      <c r="B1458" s="348" t="s">
        <v>3038</v>
      </c>
      <c r="C1458" s="349" t="s">
        <v>65</v>
      </c>
      <c r="D1458" s="483">
        <v>114.85</v>
      </c>
      <c r="E1458" s="483">
        <v>114.85</v>
      </c>
    </row>
    <row r="1459" spans="1:5" ht="30">
      <c r="A1459" s="484" t="s">
        <v>15960</v>
      </c>
      <c r="B1459" s="485" t="s">
        <v>15961</v>
      </c>
      <c r="C1459" s="484" t="s">
        <v>65</v>
      </c>
      <c r="D1459" s="486">
        <v>1283.31</v>
      </c>
      <c r="E1459" s="486">
        <v>1283.31</v>
      </c>
    </row>
    <row r="1460" spans="1:5">
      <c r="A1460" s="349" t="s">
        <v>15962</v>
      </c>
      <c r="B1460" s="348" t="s">
        <v>3025</v>
      </c>
      <c r="C1460" s="349" t="s">
        <v>65</v>
      </c>
      <c r="D1460" s="483">
        <v>675.96</v>
      </c>
      <c r="E1460" s="483">
        <v>675.96</v>
      </c>
    </row>
    <row r="1461" spans="1:5" ht="30">
      <c r="A1461" s="484" t="s">
        <v>15963</v>
      </c>
      <c r="B1461" s="485" t="s">
        <v>8199</v>
      </c>
      <c r="C1461" s="484" t="s">
        <v>65</v>
      </c>
      <c r="D1461" s="486">
        <v>3096.93</v>
      </c>
      <c r="E1461" s="486">
        <v>3096.93</v>
      </c>
    </row>
    <row r="1462" spans="1:5" ht="30">
      <c r="A1462" s="349" t="s">
        <v>15964</v>
      </c>
      <c r="B1462" s="348" t="s">
        <v>15965</v>
      </c>
      <c r="C1462" s="349" t="s">
        <v>65</v>
      </c>
      <c r="D1462" s="483">
        <v>4852.2700000000004</v>
      </c>
      <c r="E1462" s="483">
        <v>4852.2700000000004</v>
      </c>
    </row>
    <row r="1463" spans="1:5" ht="30">
      <c r="A1463" s="484" t="s">
        <v>15966</v>
      </c>
      <c r="B1463" s="485" t="s">
        <v>15967</v>
      </c>
      <c r="C1463" s="484" t="s">
        <v>65</v>
      </c>
      <c r="D1463" s="486">
        <v>7146.76</v>
      </c>
      <c r="E1463" s="486">
        <v>7146.76</v>
      </c>
    </row>
    <row r="1464" spans="1:5" ht="30">
      <c r="A1464" s="349" t="s">
        <v>15968</v>
      </c>
      <c r="B1464" s="348" t="s">
        <v>15969</v>
      </c>
      <c r="C1464" s="349" t="s">
        <v>65</v>
      </c>
      <c r="D1464" s="483">
        <v>1248.94</v>
      </c>
      <c r="E1464" s="483">
        <v>1248.94</v>
      </c>
    </row>
    <row r="1465" spans="1:5" ht="30">
      <c r="A1465" s="494">
        <v>83621</v>
      </c>
      <c r="B1465" s="485" t="s">
        <v>15970</v>
      </c>
      <c r="C1465" s="484" t="s">
        <v>65</v>
      </c>
      <c r="D1465" s="486">
        <v>85.39</v>
      </c>
      <c r="E1465" s="486">
        <v>85.39</v>
      </c>
    </row>
    <row r="1466" spans="1:5" ht="30">
      <c r="A1466" s="495">
        <v>83659</v>
      </c>
      <c r="B1466" s="348" t="s">
        <v>15971</v>
      </c>
      <c r="C1466" s="349" t="s">
        <v>65</v>
      </c>
      <c r="D1466" s="483">
        <v>657.68</v>
      </c>
      <c r="E1466" s="483">
        <v>657.68</v>
      </c>
    </row>
    <row r="1467" spans="1:5">
      <c r="A1467" s="494">
        <v>83708</v>
      </c>
      <c r="B1467" s="485" t="s">
        <v>8162</v>
      </c>
      <c r="C1467" s="484" t="s">
        <v>65</v>
      </c>
      <c r="D1467" s="486">
        <v>1069.69</v>
      </c>
      <c r="E1467" s="486">
        <v>1069.69</v>
      </c>
    </row>
    <row r="1468" spans="1:5">
      <c r="A1468" s="495">
        <v>83709</v>
      </c>
      <c r="B1468" s="348" t="s">
        <v>8163</v>
      </c>
      <c r="C1468" s="349" t="s">
        <v>65</v>
      </c>
      <c r="D1468" s="483">
        <v>1324.34</v>
      </c>
      <c r="E1468" s="483">
        <v>1324.34</v>
      </c>
    </row>
    <row r="1469" spans="1:5">
      <c r="A1469" s="494">
        <v>83710</v>
      </c>
      <c r="B1469" s="485" t="s">
        <v>8164</v>
      </c>
      <c r="C1469" s="484" t="s">
        <v>65</v>
      </c>
      <c r="D1469" s="486">
        <v>2783.74</v>
      </c>
      <c r="E1469" s="486">
        <v>2783.74</v>
      </c>
    </row>
    <row r="1470" spans="1:5" ht="30">
      <c r="A1470" s="495">
        <v>83711</v>
      </c>
      <c r="B1470" s="348" t="s">
        <v>8165</v>
      </c>
      <c r="C1470" s="349" t="s">
        <v>65</v>
      </c>
      <c r="D1470" s="483">
        <v>3232.45</v>
      </c>
      <c r="E1470" s="483">
        <v>3232.45</v>
      </c>
    </row>
    <row r="1471" spans="1:5" ht="30">
      <c r="A1471" s="494">
        <v>83712</v>
      </c>
      <c r="B1471" s="485" t="s">
        <v>8166</v>
      </c>
      <c r="C1471" s="484" t="s">
        <v>65</v>
      </c>
      <c r="D1471" s="486">
        <v>4266.09</v>
      </c>
      <c r="E1471" s="486">
        <v>4266.09</v>
      </c>
    </row>
    <row r="1472" spans="1:5" ht="30">
      <c r="A1472" s="495">
        <v>83713</v>
      </c>
      <c r="B1472" s="348" t="s">
        <v>8167</v>
      </c>
      <c r="C1472" s="349" t="s">
        <v>65</v>
      </c>
      <c r="D1472" s="483">
        <v>5255.15</v>
      </c>
      <c r="E1472" s="483">
        <v>5255.15</v>
      </c>
    </row>
    <row r="1473" spans="1:5">
      <c r="A1473" s="494">
        <v>83714</v>
      </c>
      <c r="B1473" s="485" t="s">
        <v>1488</v>
      </c>
      <c r="C1473" s="484" t="s">
        <v>71</v>
      </c>
      <c r="D1473" s="486">
        <v>561.41</v>
      </c>
      <c r="E1473" s="486">
        <v>561.41</v>
      </c>
    </row>
    <row r="1474" spans="1:5">
      <c r="A1474" s="495">
        <v>83715</v>
      </c>
      <c r="B1474" s="348" t="s">
        <v>3447</v>
      </c>
      <c r="C1474" s="349" t="s">
        <v>71</v>
      </c>
      <c r="D1474" s="483">
        <v>554.28</v>
      </c>
      <c r="E1474" s="483">
        <v>554.28</v>
      </c>
    </row>
    <row r="1475" spans="1:5" ht="30">
      <c r="A1475" s="494">
        <v>83716</v>
      </c>
      <c r="B1475" s="485" t="s">
        <v>15972</v>
      </c>
      <c r="C1475" s="484" t="s">
        <v>65</v>
      </c>
      <c r="D1475" s="486">
        <v>291.08</v>
      </c>
      <c r="E1475" s="486">
        <v>291.08</v>
      </c>
    </row>
    <row r="1476" spans="1:5" ht="30">
      <c r="A1476" s="495">
        <v>94263</v>
      </c>
      <c r="B1476" s="348" t="s">
        <v>15973</v>
      </c>
      <c r="C1476" s="349" t="s">
        <v>71</v>
      </c>
      <c r="D1476" s="483">
        <v>19.86</v>
      </c>
      <c r="E1476" s="483">
        <v>19.86</v>
      </c>
    </row>
    <row r="1477" spans="1:5" ht="30">
      <c r="A1477" s="494">
        <v>94264</v>
      </c>
      <c r="B1477" s="485" t="s">
        <v>15974</v>
      </c>
      <c r="C1477" s="484" t="s">
        <v>71</v>
      </c>
      <c r="D1477" s="486">
        <v>22.34</v>
      </c>
      <c r="E1477" s="486">
        <v>22.34</v>
      </c>
    </row>
    <row r="1478" spans="1:5" ht="30">
      <c r="A1478" s="495">
        <v>94265</v>
      </c>
      <c r="B1478" s="348" t="s">
        <v>15975</v>
      </c>
      <c r="C1478" s="349" t="s">
        <v>71</v>
      </c>
      <c r="D1478" s="483">
        <v>25.31</v>
      </c>
      <c r="E1478" s="483">
        <v>25.31</v>
      </c>
    </row>
    <row r="1479" spans="1:5" ht="30">
      <c r="A1479" s="494">
        <v>94266</v>
      </c>
      <c r="B1479" s="485" t="s">
        <v>15976</v>
      </c>
      <c r="C1479" s="484" t="s">
        <v>71</v>
      </c>
      <c r="D1479" s="486">
        <v>28.12</v>
      </c>
      <c r="E1479" s="486">
        <v>28.12</v>
      </c>
    </row>
    <row r="1480" spans="1:5" ht="45">
      <c r="A1480" s="495">
        <v>94267</v>
      </c>
      <c r="B1480" s="348" t="s">
        <v>15977</v>
      </c>
      <c r="C1480" s="349" t="s">
        <v>71</v>
      </c>
      <c r="D1480" s="483">
        <v>29.85</v>
      </c>
      <c r="E1480" s="483">
        <v>29.85</v>
      </c>
    </row>
    <row r="1481" spans="1:5" ht="45">
      <c r="A1481" s="494">
        <v>94268</v>
      </c>
      <c r="B1481" s="485" t="s">
        <v>15978</v>
      </c>
      <c r="C1481" s="484" t="s">
        <v>71</v>
      </c>
      <c r="D1481" s="486">
        <v>32.96</v>
      </c>
      <c r="E1481" s="486">
        <v>32.96</v>
      </c>
    </row>
    <row r="1482" spans="1:5" ht="45">
      <c r="A1482" s="495">
        <v>94269</v>
      </c>
      <c r="B1482" s="348" t="s">
        <v>15979</v>
      </c>
      <c r="C1482" s="349" t="s">
        <v>71</v>
      </c>
      <c r="D1482" s="483">
        <v>41.9</v>
      </c>
      <c r="E1482" s="483">
        <v>41.9</v>
      </c>
    </row>
    <row r="1483" spans="1:5" ht="45">
      <c r="A1483" s="494">
        <v>94270</v>
      </c>
      <c r="B1483" s="485" t="s">
        <v>15980</v>
      </c>
      <c r="C1483" s="484" t="s">
        <v>71</v>
      </c>
      <c r="D1483" s="486">
        <v>46.24</v>
      </c>
      <c r="E1483" s="486">
        <v>46.24</v>
      </c>
    </row>
    <row r="1484" spans="1:5" ht="45">
      <c r="A1484" s="495">
        <v>94271</v>
      </c>
      <c r="B1484" s="348" t="s">
        <v>15981</v>
      </c>
      <c r="C1484" s="349" t="s">
        <v>71</v>
      </c>
      <c r="D1484" s="483">
        <v>51</v>
      </c>
      <c r="E1484" s="483">
        <v>51</v>
      </c>
    </row>
    <row r="1485" spans="1:5" ht="45">
      <c r="A1485" s="494">
        <v>94272</v>
      </c>
      <c r="B1485" s="485" t="s">
        <v>15982</v>
      </c>
      <c r="C1485" s="484" t="s">
        <v>71</v>
      </c>
      <c r="D1485" s="486">
        <v>56.77</v>
      </c>
      <c r="E1485" s="486">
        <v>56.77</v>
      </c>
    </row>
    <row r="1486" spans="1:5" ht="45">
      <c r="A1486" s="495">
        <v>94273</v>
      </c>
      <c r="B1486" s="348" t="s">
        <v>15983</v>
      </c>
      <c r="C1486" s="349" t="s">
        <v>71</v>
      </c>
      <c r="D1486" s="483">
        <v>35.43</v>
      </c>
      <c r="E1486" s="483">
        <v>35.43</v>
      </c>
    </row>
    <row r="1487" spans="1:5" s="25" customFormat="1" ht="45">
      <c r="A1487" s="604" t="s">
        <v>20604</v>
      </c>
      <c r="B1487" s="605" t="s">
        <v>15983</v>
      </c>
      <c r="C1487" s="606" t="s">
        <v>71</v>
      </c>
      <c r="D1487" s="607">
        <v>35.43</v>
      </c>
      <c r="E1487" s="483"/>
    </row>
    <row r="1488" spans="1:5" ht="45">
      <c r="A1488" s="494">
        <v>94274</v>
      </c>
      <c r="B1488" s="485" t="s">
        <v>15984</v>
      </c>
      <c r="C1488" s="484" t="s">
        <v>71</v>
      </c>
      <c r="D1488" s="486">
        <v>38.28</v>
      </c>
      <c r="E1488" s="486">
        <v>38.28</v>
      </c>
    </row>
    <row r="1489" spans="1:5" ht="45">
      <c r="A1489" s="495">
        <v>94275</v>
      </c>
      <c r="B1489" s="348" t="s">
        <v>15985</v>
      </c>
      <c r="C1489" s="349" t="s">
        <v>71</v>
      </c>
      <c r="D1489" s="483">
        <v>33.96</v>
      </c>
      <c r="E1489" s="483">
        <v>33.96</v>
      </c>
    </row>
    <row r="1490" spans="1:5" ht="45">
      <c r="A1490" s="494">
        <v>94276</v>
      </c>
      <c r="B1490" s="485" t="s">
        <v>15986</v>
      </c>
      <c r="C1490" s="484" t="s">
        <v>71</v>
      </c>
      <c r="D1490" s="486">
        <v>36.81</v>
      </c>
      <c r="E1490" s="486">
        <v>36.81</v>
      </c>
    </row>
    <row r="1491" spans="1:5" ht="30">
      <c r="A1491" s="495">
        <v>94281</v>
      </c>
      <c r="B1491" s="348" t="s">
        <v>15987</v>
      </c>
      <c r="C1491" s="349" t="s">
        <v>71</v>
      </c>
      <c r="D1491" s="483">
        <v>31.34</v>
      </c>
      <c r="E1491" s="483">
        <v>31.34</v>
      </c>
    </row>
    <row r="1492" spans="1:5" s="25" customFormat="1" ht="30">
      <c r="A1492" s="604" t="s">
        <v>20605</v>
      </c>
      <c r="B1492" s="605" t="s">
        <v>15987</v>
      </c>
      <c r="C1492" s="606" t="s">
        <v>71</v>
      </c>
      <c r="D1492" s="607">
        <v>31.34</v>
      </c>
      <c r="E1492" s="483"/>
    </row>
    <row r="1493" spans="1:5" ht="30">
      <c r="A1493" s="494">
        <v>94282</v>
      </c>
      <c r="B1493" s="485" t="s">
        <v>15988</v>
      </c>
      <c r="C1493" s="484" t="s">
        <v>71</v>
      </c>
      <c r="D1493" s="486">
        <v>40</v>
      </c>
      <c r="E1493" s="486">
        <v>40</v>
      </c>
    </row>
    <row r="1494" spans="1:5" ht="30">
      <c r="A1494" s="495">
        <v>94283</v>
      </c>
      <c r="B1494" s="348" t="s">
        <v>15989</v>
      </c>
      <c r="C1494" s="349" t="s">
        <v>71</v>
      </c>
      <c r="D1494" s="483">
        <v>39.56</v>
      </c>
      <c r="E1494" s="483">
        <v>39.56</v>
      </c>
    </row>
    <row r="1495" spans="1:5" ht="30">
      <c r="A1495" s="494">
        <v>94284</v>
      </c>
      <c r="B1495" s="485" t="s">
        <v>15990</v>
      </c>
      <c r="C1495" s="484" t="s">
        <v>71</v>
      </c>
      <c r="D1495" s="486">
        <v>48.24</v>
      </c>
      <c r="E1495" s="486">
        <v>48.24</v>
      </c>
    </row>
    <row r="1496" spans="1:5" ht="30">
      <c r="A1496" s="495">
        <v>94285</v>
      </c>
      <c r="B1496" s="348" t="s">
        <v>15991</v>
      </c>
      <c r="C1496" s="349" t="s">
        <v>71</v>
      </c>
      <c r="D1496" s="483">
        <v>47.38</v>
      </c>
      <c r="E1496" s="483">
        <v>47.38</v>
      </c>
    </row>
    <row r="1497" spans="1:5" ht="30">
      <c r="A1497" s="494">
        <v>94286</v>
      </c>
      <c r="B1497" s="485" t="s">
        <v>15992</v>
      </c>
      <c r="C1497" s="484" t="s">
        <v>71</v>
      </c>
      <c r="D1497" s="486">
        <v>56.05</v>
      </c>
      <c r="E1497" s="486">
        <v>56.05</v>
      </c>
    </row>
    <row r="1498" spans="1:5" ht="30">
      <c r="A1498" s="495">
        <v>94287</v>
      </c>
      <c r="B1498" s="348" t="s">
        <v>15993</v>
      </c>
      <c r="C1498" s="349" t="s">
        <v>71</v>
      </c>
      <c r="D1498" s="483">
        <v>24.98</v>
      </c>
      <c r="E1498" s="483">
        <v>24.98</v>
      </c>
    </row>
    <row r="1499" spans="1:5" ht="30">
      <c r="A1499" s="496">
        <v>94288</v>
      </c>
      <c r="B1499" s="488" t="s">
        <v>15994</v>
      </c>
      <c r="C1499" s="487" t="s">
        <v>71</v>
      </c>
      <c r="D1499" s="489">
        <v>32.56</v>
      </c>
      <c r="E1499" s="489">
        <v>32.56</v>
      </c>
    </row>
    <row r="1500" spans="1:5" ht="30">
      <c r="A1500" s="497">
        <v>94289</v>
      </c>
      <c r="B1500" s="491" t="s">
        <v>15995</v>
      </c>
      <c r="C1500" s="490" t="s">
        <v>71</v>
      </c>
      <c r="D1500" s="492">
        <v>30.98</v>
      </c>
      <c r="E1500" s="492">
        <v>30.98</v>
      </c>
    </row>
    <row r="1501" spans="1:5" ht="30">
      <c r="A1501" s="496">
        <v>94290</v>
      </c>
      <c r="B1501" s="488" t="s">
        <v>15996</v>
      </c>
      <c r="C1501" s="487" t="s">
        <v>71</v>
      </c>
      <c r="D1501" s="489">
        <v>38.56</v>
      </c>
      <c r="E1501" s="489">
        <v>38.56</v>
      </c>
    </row>
    <row r="1502" spans="1:5" ht="30">
      <c r="A1502" s="495">
        <v>94291</v>
      </c>
      <c r="B1502" s="348" t="s">
        <v>15997</v>
      </c>
      <c r="C1502" s="349" t="s">
        <v>71</v>
      </c>
      <c r="D1502" s="483">
        <v>36.6</v>
      </c>
      <c r="E1502" s="483">
        <v>36.6</v>
      </c>
    </row>
    <row r="1503" spans="1:5" ht="30">
      <c r="A1503" s="494">
        <v>94292</v>
      </c>
      <c r="B1503" s="485" t="s">
        <v>15998</v>
      </c>
      <c r="C1503" s="484" t="s">
        <v>71</v>
      </c>
      <c r="D1503" s="486">
        <v>44.17</v>
      </c>
      <c r="E1503" s="486">
        <v>44.17</v>
      </c>
    </row>
    <row r="1504" spans="1:5" ht="30">
      <c r="A1504" s="495">
        <v>94293</v>
      </c>
      <c r="B1504" s="348" t="s">
        <v>5428</v>
      </c>
      <c r="C1504" s="349" t="s">
        <v>71</v>
      </c>
      <c r="D1504" s="483">
        <v>91.34</v>
      </c>
      <c r="E1504" s="483">
        <v>91.34</v>
      </c>
    </row>
    <row r="1505" spans="1:5" ht="30">
      <c r="A1505" s="494">
        <v>94294</v>
      </c>
      <c r="B1505" s="485" t="s">
        <v>15999</v>
      </c>
      <c r="C1505" s="484" t="s">
        <v>71</v>
      </c>
      <c r="D1505" s="486">
        <v>5.48</v>
      </c>
      <c r="E1505" s="486">
        <v>5.48</v>
      </c>
    </row>
    <row r="1506" spans="1:5" ht="30">
      <c r="A1506" s="495">
        <v>94037</v>
      </c>
      <c r="B1506" s="348" t="s">
        <v>5229</v>
      </c>
      <c r="C1506" s="349" t="s">
        <v>256</v>
      </c>
      <c r="D1506" s="483">
        <v>15.38</v>
      </c>
      <c r="E1506" s="483">
        <v>15.38</v>
      </c>
    </row>
    <row r="1507" spans="1:5" ht="45">
      <c r="A1507" s="494">
        <v>94038</v>
      </c>
      <c r="B1507" s="485" t="s">
        <v>16000</v>
      </c>
      <c r="C1507" s="484" t="s">
        <v>256</v>
      </c>
      <c r="D1507" s="486">
        <v>21.05</v>
      </c>
      <c r="E1507" s="486">
        <v>21.05</v>
      </c>
    </row>
    <row r="1508" spans="1:5" ht="30">
      <c r="A1508" s="495">
        <v>94039</v>
      </c>
      <c r="B1508" s="348" t="s">
        <v>16001</v>
      </c>
      <c r="C1508" s="349" t="s">
        <v>256</v>
      </c>
      <c r="D1508" s="483">
        <v>12.13</v>
      </c>
      <c r="E1508" s="483">
        <v>12.13</v>
      </c>
    </row>
    <row r="1509" spans="1:5" ht="45">
      <c r="A1509" s="494">
        <v>94040</v>
      </c>
      <c r="B1509" s="485" t="s">
        <v>16002</v>
      </c>
      <c r="C1509" s="484" t="s">
        <v>256</v>
      </c>
      <c r="D1509" s="486">
        <v>17.829999999999998</v>
      </c>
      <c r="E1509" s="486">
        <v>17.829999999999998</v>
      </c>
    </row>
    <row r="1510" spans="1:5" ht="30">
      <c r="A1510" s="495">
        <v>94041</v>
      </c>
      <c r="B1510" s="348" t="s">
        <v>16003</v>
      </c>
      <c r="C1510" s="349" t="s">
        <v>256</v>
      </c>
      <c r="D1510" s="483">
        <v>9.33</v>
      </c>
      <c r="E1510" s="483">
        <v>9.33</v>
      </c>
    </row>
    <row r="1511" spans="1:5" ht="45">
      <c r="A1511" s="494">
        <v>94042</v>
      </c>
      <c r="B1511" s="485" t="s">
        <v>16004</v>
      </c>
      <c r="C1511" s="484" t="s">
        <v>256</v>
      </c>
      <c r="D1511" s="486">
        <v>15.15</v>
      </c>
      <c r="E1511" s="486">
        <v>15.15</v>
      </c>
    </row>
    <row r="1512" spans="1:5" ht="30">
      <c r="A1512" s="495">
        <v>94043</v>
      </c>
      <c r="B1512" s="348" t="s">
        <v>16005</v>
      </c>
      <c r="C1512" s="349" t="s">
        <v>256</v>
      </c>
      <c r="D1512" s="483">
        <v>14.48</v>
      </c>
      <c r="E1512" s="483">
        <v>14.48</v>
      </c>
    </row>
    <row r="1513" spans="1:5" s="25" customFormat="1" ht="30">
      <c r="A1513" s="604" t="s">
        <v>20539</v>
      </c>
      <c r="B1513" s="605" t="s">
        <v>16005</v>
      </c>
      <c r="C1513" s="606" t="s">
        <v>256</v>
      </c>
      <c r="D1513" s="607">
        <v>7.44</v>
      </c>
      <c r="E1513" s="483"/>
    </row>
    <row r="1514" spans="1:5" ht="45">
      <c r="A1514" s="494">
        <v>94044</v>
      </c>
      <c r="B1514" s="485" t="s">
        <v>16006</v>
      </c>
      <c r="C1514" s="484" t="s">
        <v>256</v>
      </c>
      <c r="D1514" s="486">
        <v>20.190000000000001</v>
      </c>
      <c r="E1514" s="486">
        <v>20.190000000000001</v>
      </c>
    </row>
    <row r="1515" spans="1:5" ht="30">
      <c r="A1515" s="495">
        <v>94045</v>
      </c>
      <c r="B1515" s="348" t="s">
        <v>16007</v>
      </c>
      <c r="C1515" s="349" t="s">
        <v>256</v>
      </c>
      <c r="D1515" s="483">
        <v>11.26</v>
      </c>
      <c r="E1515" s="483">
        <v>11.26</v>
      </c>
    </row>
    <row r="1516" spans="1:5" s="25" customFormat="1" ht="30">
      <c r="A1516" s="604" t="s">
        <v>20540</v>
      </c>
      <c r="B1516" s="605" t="s">
        <v>16007</v>
      </c>
      <c r="C1516" s="606" t="s">
        <v>256</v>
      </c>
      <c r="D1516" s="607">
        <v>7.44</v>
      </c>
      <c r="E1516" s="483"/>
    </row>
    <row r="1517" spans="1:5" ht="45">
      <c r="A1517" s="494">
        <v>94046</v>
      </c>
      <c r="B1517" s="485" t="s">
        <v>16008</v>
      </c>
      <c r="C1517" s="484" t="s">
        <v>256</v>
      </c>
      <c r="D1517" s="486">
        <v>16.93</v>
      </c>
      <c r="E1517" s="486">
        <v>16.93</v>
      </c>
    </row>
    <row r="1518" spans="1:5" ht="30">
      <c r="A1518" s="495">
        <v>94047</v>
      </c>
      <c r="B1518" s="348" t="s">
        <v>16009</v>
      </c>
      <c r="C1518" s="349" t="s">
        <v>256</v>
      </c>
      <c r="D1518" s="483">
        <v>8.4499999999999993</v>
      </c>
      <c r="E1518" s="483">
        <v>8.4499999999999993</v>
      </c>
    </row>
    <row r="1519" spans="1:5" ht="45">
      <c r="A1519" s="494">
        <v>94048</v>
      </c>
      <c r="B1519" s="485" t="s">
        <v>16010</v>
      </c>
      <c r="C1519" s="484" t="s">
        <v>256</v>
      </c>
      <c r="D1519" s="486">
        <v>14.25</v>
      </c>
      <c r="E1519" s="486">
        <v>14.25</v>
      </c>
    </row>
    <row r="1520" spans="1:5" ht="30">
      <c r="A1520" s="495">
        <v>94049</v>
      </c>
      <c r="B1520" s="348" t="s">
        <v>16011</v>
      </c>
      <c r="C1520" s="349" t="s">
        <v>256</v>
      </c>
      <c r="D1520" s="483">
        <v>25</v>
      </c>
      <c r="E1520" s="483">
        <v>25</v>
      </c>
    </row>
    <row r="1521" spans="1:5" ht="45">
      <c r="A1521" s="494">
        <v>94050</v>
      </c>
      <c r="B1521" s="485" t="s">
        <v>16012</v>
      </c>
      <c r="C1521" s="484" t="s">
        <v>256</v>
      </c>
      <c r="D1521" s="486">
        <v>32.380000000000003</v>
      </c>
      <c r="E1521" s="486">
        <v>32.380000000000003</v>
      </c>
    </row>
    <row r="1522" spans="1:5" ht="30">
      <c r="A1522" s="495">
        <v>94051</v>
      </c>
      <c r="B1522" s="348" t="s">
        <v>5221</v>
      </c>
      <c r="C1522" s="349" t="s">
        <v>256</v>
      </c>
      <c r="D1522" s="483">
        <v>20.45</v>
      </c>
      <c r="E1522" s="483">
        <v>20.45</v>
      </c>
    </row>
    <row r="1523" spans="1:5" ht="45">
      <c r="A1523" s="494">
        <v>94052</v>
      </c>
      <c r="B1523" s="485" t="s">
        <v>16013</v>
      </c>
      <c r="C1523" s="484" t="s">
        <v>256</v>
      </c>
      <c r="D1523" s="486">
        <v>27.73</v>
      </c>
      <c r="E1523" s="486">
        <v>27.73</v>
      </c>
    </row>
    <row r="1524" spans="1:5" ht="30">
      <c r="A1524" s="495">
        <v>94053</v>
      </c>
      <c r="B1524" s="348" t="s">
        <v>16014</v>
      </c>
      <c r="C1524" s="349" t="s">
        <v>256</v>
      </c>
      <c r="D1524" s="483">
        <v>17.32</v>
      </c>
      <c r="E1524" s="483">
        <v>17.32</v>
      </c>
    </row>
    <row r="1525" spans="1:5" ht="45">
      <c r="A1525" s="494">
        <v>94054</v>
      </c>
      <c r="B1525" s="485" t="s">
        <v>16015</v>
      </c>
      <c r="C1525" s="484" t="s">
        <v>256</v>
      </c>
      <c r="D1525" s="486">
        <v>24.71</v>
      </c>
      <c r="E1525" s="486">
        <v>24.71</v>
      </c>
    </row>
    <row r="1526" spans="1:5" s="25" customFormat="1" ht="30">
      <c r="A1526" s="604" t="s">
        <v>20541</v>
      </c>
      <c r="B1526" s="605" t="s">
        <v>16016</v>
      </c>
      <c r="C1526" s="606" t="s">
        <v>256</v>
      </c>
      <c r="D1526" s="607">
        <v>17.37</v>
      </c>
      <c r="E1526" s="486"/>
    </row>
    <row r="1527" spans="1:5" ht="30">
      <c r="A1527" s="495">
        <v>94055</v>
      </c>
      <c r="B1527" s="348" t="s">
        <v>16016</v>
      </c>
      <c r="C1527" s="349" t="s">
        <v>256</v>
      </c>
      <c r="D1527" s="483">
        <v>23.84</v>
      </c>
      <c r="E1527" s="483">
        <v>23.84</v>
      </c>
    </row>
    <row r="1528" spans="1:5" ht="45">
      <c r="A1528" s="494">
        <v>94056</v>
      </c>
      <c r="B1528" s="485" t="s">
        <v>16017</v>
      </c>
      <c r="C1528" s="484" t="s">
        <v>256</v>
      </c>
      <c r="D1528" s="486">
        <v>31.24</v>
      </c>
      <c r="E1528" s="486">
        <v>31.24</v>
      </c>
    </row>
    <row r="1529" spans="1:5" s="25" customFormat="1" ht="30">
      <c r="A1529" s="604" t="s">
        <v>20542</v>
      </c>
      <c r="B1529" s="605" t="s">
        <v>16018</v>
      </c>
      <c r="C1529" s="606" t="s">
        <v>256</v>
      </c>
      <c r="D1529" s="607">
        <v>17.37</v>
      </c>
      <c r="E1529" s="486"/>
    </row>
    <row r="1530" spans="1:5" ht="30">
      <c r="A1530" s="495">
        <v>94057</v>
      </c>
      <c r="B1530" s="348" t="s">
        <v>16018</v>
      </c>
      <c r="C1530" s="349" t="s">
        <v>256</v>
      </c>
      <c r="D1530" s="483">
        <v>19.32</v>
      </c>
      <c r="E1530" s="483">
        <v>19.32</v>
      </c>
    </row>
    <row r="1531" spans="1:5" ht="45">
      <c r="A1531" s="494">
        <v>94058</v>
      </c>
      <c r="B1531" s="485" t="s">
        <v>16019</v>
      </c>
      <c r="C1531" s="484" t="s">
        <v>256</v>
      </c>
      <c r="D1531" s="486">
        <v>26.57</v>
      </c>
      <c r="E1531" s="486">
        <v>26.57</v>
      </c>
    </row>
    <row r="1532" spans="1:5" ht="30">
      <c r="A1532" s="495">
        <v>94059</v>
      </c>
      <c r="B1532" s="348" t="s">
        <v>16020</v>
      </c>
      <c r="C1532" s="349" t="s">
        <v>256</v>
      </c>
      <c r="D1532" s="483">
        <v>16.170000000000002</v>
      </c>
      <c r="E1532" s="483">
        <v>16.170000000000002</v>
      </c>
    </row>
    <row r="1533" spans="1:5" ht="45">
      <c r="A1533" s="494">
        <v>94060</v>
      </c>
      <c r="B1533" s="485" t="s">
        <v>16021</v>
      </c>
      <c r="C1533" s="484" t="s">
        <v>256</v>
      </c>
      <c r="D1533" s="486">
        <v>23.55</v>
      </c>
      <c r="E1533" s="486">
        <v>23.55</v>
      </c>
    </row>
    <row r="1534" spans="1:5">
      <c r="A1534" s="349" t="s">
        <v>16022</v>
      </c>
      <c r="B1534" s="348" t="s">
        <v>5239</v>
      </c>
      <c r="C1534" s="349" t="s">
        <v>256</v>
      </c>
      <c r="D1534" s="483">
        <v>52.26</v>
      </c>
      <c r="E1534" s="483">
        <v>52.26</v>
      </c>
    </row>
    <row r="1535" spans="1:5">
      <c r="A1535" s="484" t="s">
        <v>16023</v>
      </c>
      <c r="B1535" s="485" t="s">
        <v>5240</v>
      </c>
      <c r="C1535" s="484" t="s">
        <v>256</v>
      </c>
      <c r="D1535" s="486">
        <v>36.270000000000003</v>
      </c>
      <c r="E1535" s="486">
        <v>36.270000000000003</v>
      </c>
    </row>
    <row r="1536" spans="1:5" s="25" customFormat="1">
      <c r="A1536" s="606" t="s">
        <v>20577</v>
      </c>
      <c r="B1536" s="605" t="s">
        <v>5240</v>
      </c>
      <c r="C1536" s="606" t="s">
        <v>256</v>
      </c>
      <c r="D1536" s="607">
        <v>36.270000000000003</v>
      </c>
      <c r="E1536" s="486"/>
    </row>
    <row r="1537" spans="1:5">
      <c r="A1537" s="495">
        <v>83770</v>
      </c>
      <c r="B1537" s="348" t="s">
        <v>466</v>
      </c>
      <c r="C1537" s="349" t="s">
        <v>256</v>
      </c>
      <c r="D1537" s="483">
        <v>118.34</v>
      </c>
      <c r="E1537" s="483">
        <v>118.34</v>
      </c>
    </row>
    <row r="1538" spans="1:5" ht="30">
      <c r="A1538" s="494">
        <v>73301</v>
      </c>
      <c r="B1538" s="485" t="s">
        <v>16024</v>
      </c>
      <c r="C1538" s="484" t="s">
        <v>255</v>
      </c>
      <c r="D1538" s="486">
        <v>9.8699999999999992</v>
      </c>
      <c r="E1538" s="486">
        <v>9.8699999999999992</v>
      </c>
    </row>
    <row r="1539" spans="1:5" ht="30">
      <c r="A1539" s="495">
        <v>83515</v>
      </c>
      <c r="B1539" s="348" t="s">
        <v>16025</v>
      </c>
      <c r="C1539" s="349" t="s">
        <v>255</v>
      </c>
      <c r="D1539" s="483">
        <v>13.31</v>
      </c>
      <c r="E1539" s="483">
        <v>13.31</v>
      </c>
    </row>
    <row r="1540" spans="1:5" ht="30">
      <c r="A1540" s="494">
        <v>83516</v>
      </c>
      <c r="B1540" s="485" t="s">
        <v>16026</v>
      </c>
      <c r="C1540" s="484" t="s">
        <v>255</v>
      </c>
      <c r="D1540" s="486">
        <v>15.36</v>
      </c>
      <c r="E1540" s="486">
        <v>15.36</v>
      </c>
    </row>
    <row r="1541" spans="1:5" ht="30">
      <c r="A1541" s="495">
        <v>72144</v>
      </c>
      <c r="B1541" s="348" t="s">
        <v>16027</v>
      </c>
      <c r="C1541" s="349" t="s">
        <v>65</v>
      </c>
      <c r="D1541" s="483">
        <v>69.69</v>
      </c>
      <c r="E1541" s="483">
        <v>69.69</v>
      </c>
    </row>
    <row r="1542" spans="1:5" ht="30">
      <c r="A1542" s="484" t="s">
        <v>16028</v>
      </c>
      <c r="B1542" s="485" t="s">
        <v>16029</v>
      </c>
      <c r="C1542" s="484" t="s">
        <v>65</v>
      </c>
      <c r="D1542" s="486">
        <v>588.61</v>
      </c>
      <c r="E1542" s="486">
        <v>588.61</v>
      </c>
    </row>
    <row r="1543" spans="1:5" ht="30">
      <c r="A1543" s="349" t="s">
        <v>16030</v>
      </c>
      <c r="B1543" s="348" t="s">
        <v>8289</v>
      </c>
      <c r="C1543" s="349" t="s">
        <v>65</v>
      </c>
      <c r="D1543" s="483">
        <v>736.56</v>
      </c>
      <c r="E1543" s="483">
        <v>736.56</v>
      </c>
    </row>
    <row r="1544" spans="1:5" ht="30">
      <c r="A1544" s="494">
        <v>84874</v>
      </c>
      <c r="B1544" s="485" t="s">
        <v>16031</v>
      </c>
      <c r="C1544" s="484" t="s">
        <v>65</v>
      </c>
      <c r="D1544" s="486">
        <v>181.46</v>
      </c>
      <c r="E1544" s="486">
        <v>181.46</v>
      </c>
    </row>
    <row r="1545" spans="1:5">
      <c r="A1545" s="495">
        <v>84876</v>
      </c>
      <c r="B1545" s="348" t="s">
        <v>8310</v>
      </c>
      <c r="C1545" s="349" t="s">
        <v>256</v>
      </c>
      <c r="D1545" s="483">
        <v>488.1</v>
      </c>
      <c r="E1545" s="483">
        <v>488.1</v>
      </c>
    </row>
    <row r="1546" spans="1:5" ht="30">
      <c r="A1546" s="494">
        <v>90800</v>
      </c>
      <c r="B1546" s="485" t="s">
        <v>16032</v>
      </c>
      <c r="C1546" s="484" t="s">
        <v>65</v>
      </c>
      <c r="D1546" s="486">
        <v>160.88999999999999</v>
      </c>
      <c r="E1546" s="486">
        <v>160.88999999999999</v>
      </c>
    </row>
    <row r="1547" spans="1:5" ht="30">
      <c r="A1547" s="495">
        <v>90801</v>
      </c>
      <c r="B1547" s="348" t="s">
        <v>16033</v>
      </c>
      <c r="C1547" s="349" t="s">
        <v>65</v>
      </c>
      <c r="D1547" s="483">
        <v>167.23</v>
      </c>
      <c r="E1547" s="483">
        <v>167.23</v>
      </c>
    </row>
    <row r="1548" spans="1:5" ht="30">
      <c r="A1548" s="494">
        <v>90802</v>
      </c>
      <c r="B1548" s="485" t="s">
        <v>16034</v>
      </c>
      <c r="C1548" s="484" t="s">
        <v>65</v>
      </c>
      <c r="D1548" s="486">
        <v>173.59</v>
      </c>
      <c r="E1548" s="486">
        <v>173.59</v>
      </c>
    </row>
    <row r="1549" spans="1:5" ht="30">
      <c r="A1549" s="495">
        <v>90803</v>
      </c>
      <c r="B1549" s="348" t="s">
        <v>16035</v>
      </c>
      <c r="C1549" s="349" t="s">
        <v>65</v>
      </c>
      <c r="D1549" s="483">
        <v>179.94</v>
      </c>
      <c r="E1549" s="483">
        <v>179.94</v>
      </c>
    </row>
    <row r="1550" spans="1:5" ht="30">
      <c r="A1550" s="494">
        <v>90804</v>
      </c>
      <c r="B1550" s="485" t="s">
        <v>16036</v>
      </c>
      <c r="C1550" s="484" t="s">
        <v>65</v>
      </c>
      <c r="D1550" s="486">
        <v>215.82</v>
      </c>
      <c r="E1550" s="486">
        <v>215.82</v>
      </c>
    </row>
    <row r="1551" spans="1:5" ht="30">
      <c r="A1551" s="495">
        <v>90805</v>
      </c>
      <c r="B1551" s="348" t="s">
        <v>1614</v>
      </c>
      <c r="C1551" s="349" t="s">
        <v>65</v>
      </c>
      <c r="D1551" s="483">
        <v>54.93</v>
      </c>
      <c r="E1551" s="483">
        <v>54.93</v>
      </c>
    </row>
    <row r="1552" spans="1:5" ht="30">
      <c r="A1552" s="494">
        <v>90806</v>
      </c>
      <c r="B1552" s="485" t="s">
        <v>16037</v>
      </c>
      <c r="C1552" s="484" t="s">
        <v>65</v>
      </c>
      <c r="D1552" s="486">
        <v>226.82</v>
      </c>
      <c r="E1552" s="486">
        <v>226.82</v>
      </c>
    </row>
    <row r="1553" spans="1:5" ht="30">
      <c r="A1553" s="495">
        <v>90816</v>
      </c>
      <c r="B1553" s="348" t="s">
        <v>16038</v>
      </c>
      <c r="C1553" s="349" t="s">
        <v>65</v>
      </c>
      <c r="D1553" s="483">
        <v>237.82</v>
      </c>
      <c r="E1553" s="483">
        <v>237.82</v>
      </c>
    </row>
    <row r="1554" spans="1:5" ht="30">
      <c r="A1554" s="494">
        <v>90817</v>
      </c>
      <c r="B1554" s="485" t="s">
        <v>1624</v>
      </c>
      <c r="C1554" s="484" t="s">
        <v>65</v>
      </c>
      <c r="D1554" s="486">
        <v>64.23</v>
      </c>
      <c r="E1554" s="486">
        <v>64.23</v>
      </c>
    </row>
    <row r="1555" spans="1:5" ht="30">
      <c r="A1555" s="495">
        <v>90818</v>
      </c>
      <c r="B1555" s="348" t="s">
        <v>16039</v>
      </c>
      <c r="C1555" s="349" t="s">
        <v>65</v>
      </c>
      <c r="D1555" s="483">
        <v>248.85</v>
      </c>
      <c r="E1555" s="483">
        <v>248.85</v>
      </c>
    </row>
    <row r="1556" spans="1:5" ht="30">
      <c r="A1556" s="494">
        <v>90819</v>
      </c>
      <c r="B1556" s="485" t="s">
        <v>1629</v>
      </c>
      <c r="C1556" s="484" t="s">
        <v>65</v>
      </c>
      <c r="D1556" s="486">
        <v>68.91</v>
      </c>
      <c r="E1556" s="486">
        <v>68.91</v>
      </c>
    </row>
    <row r="1557" spans="1:5" ht="30">
      <c r="A1557" s="495">
        <v>90820</v>
      </c>
      <c r="B1557" s="348" t="s">
        <v>16040</v>
      </c>
      <c r="C1557" s="349" t="s">
        <v>65</v>
      </c>
      <c r="D1557" s="483">
        <v>253.78</v>
      </c>
      <c r="E1557" s="483">
        <v>253.78</v>
      </c>
    </row>
    <row r="1558" spans="1:5" ht="30">
      <c r="A1558" s="494">
        <v>90821</v>
      </c>
      <c r="B1558" s="485" t="s">
        <v>16041</v>
      </c>
      <c r="C1558" s="484" t="s">
        <v>65</v>
      </c>
      <c r="D1558" s="486">
        <v>275.61</v>
      </c>
      <c r="E1558" s="486">
        <v>275.61</v>
      </c>
    </row>
    <row r="1559" spans="1:5" ht="30">
      <c r="A1559" s="495">
        <v>90822</v>
      </c>
      <c r="B1559" s="348" t="s">
        <v>16042</v>
      </c>
      <c r="C1559" s="349" t="s">
        <v>65</v>
      </c>
      <c r="D1559" s="483">
        <v>272.77</v>
      </c>
      <c r="E1559" s="483">
        <v>272.77</v>
      </c>
    </row>
    <row r="1560" spans="1:5" ht="30">
      <c r="A1560" s="494">
        <v>90823</v>
      </c>
      <c r="B1560" s="485" t="s">
        <v>16043</v>
      </c>
      <c r="C1560" s="484" t="s">
        <v>65</v>
      </c>
      <c r="D1560" s="486">
        <v>286.69</v>
      </c>
      <c r="E1560" s="486">
        <v>286.69</v>
      </c>
    </row>
    <row r="1561" spans="1:5" ht="30">
      <c r="A1561" s="495">
        <v>90826</v>
      </c>
      <c r="B1561" s="348" t="s">
        <v>16044</v>
      </c>
      <c r="C1561" s="349" t="s">
        <v>65</v>
      </c>
      <c r="D1561" s="483">
        <v>24.39</v>
      </c>
      <c r="E1561" s="483">
        <v>24.39</v>
      </c>
    </row>
    <row r="1562" spans="1:5" ht="30">
      <c r="A1562" s="494">
        <v>90827</v>
      </c>
      <c r="B1562" s="485" t="s">
        <v>16045</v>
      </c>
      <c r="C1562" s="484" t="s">
        <v>65</v>
      </c>
      <c r="D1562" s="486">
        <v>25.63</v>
      </c>
      <c r="E1562" s="486">
        <v>25.63</v>
      </c>
    </row>
    <row r="1563" spans="1:5" ht="30">
      <c r="A1563" s="495">
        <v>90828</v>
      </c>
      <c r="B1563" s="348" t="s">
        <v>16046</v>
      </c>
      <c r="C1563" s="349" t="s">
        <v>65</v>
      </c>
      <c r="D1563" s="483">
        <v>26.89</v>
      </c>
      <c r="E1563" s="483">
        <v>26.89</v>
      </c>
    </row>
    <row r="1564" spans="1:5" ht="30">
      <c r="A1564" s="494">
        <v>90829</v>
      </c>
      <c r="B1564" s="485" t="s">
        <v>16047</v>
      </c>
      <c r="C1564" s="484" t="s">
        <v>65</v>
      </c>
      <c r="D1564" s="486">
        <v>28.17</v>
      </c>
      <c r="E1564" s="486">
        <v>28.17</v>
      </c>
    </row>
    <row r="1565" spans="1:5" ht="30">
      <c r="A1565" s="495">
        <v>90830</v>
      </c>
      <c r="B1565" s="348" t="s">
        <v>16048</v>
      </c>
      <c r="C1565" s="349" t="s">
        <v>65</v>
      </c>
      <c r="D1565" s="483">
        <v>98.36</v>
      </c>
      <c r="E1565" s="483">
        <v>98.36</v>
      </c>
    </row>
    <row r="1566" spans="1:5" ht="30">
      <c r="A1566" s="494">
        <v>90831</v>
      </c>
      <c r="B1566" s="485" t="s">
        <v>16049</v>
      </c>
      <c r="C1566" s="484" t="s">
        <v>65</v>
      </c>
      <c r="D1566" s="486">
        <v>77.150000000000006</v>
      </c>
      <c r="E1566" s="486">
        <v>77.150000000000006</v>
      </c>
    </row>
    <row r="1567" spans="1:5" ht="60">
      <c r="A1567" s="495">
        <v>90841</v>
      </c>
      <c r="B1567" s="348" t="s">
        <v>16050</v>
      </c>
      <c r="C1567" s="349" t="s">
        <v>65</v>
      </c>
      <c r="D1567" s="483">
        <v>595.53</v>
      </c>
      <c r="E1567" s="483">
        <v>595.53</v>
      </c>
    </row>
    <row r="1568" spans="1:5" ht="60">
      <c r="A1568" s="494">
        <v>90843</v>
      </c>
      <c r="B1568" s="485" t="s">
        <v>16051</v>
      </c>
      <c r="C1568" s="484" t="s">
        <v>65</v>
      </c>
      <c r="D1568" s="486">
        <v>662.73</v>
      </c>
      <c r="E1568" s="486">
        <v>662.73</v>
      </c>
    </row>
    <row r="1569" spans="1:5" ht="60">
      <c r="A1569" s="495">
        <v>90844</v>
      </c>
      <c r="B1569" s="348" t="s">
        <v>16052</v>
      </c>
      <c r="C1569" s="349" t="s">
        <v>65</v>
      </c>
      <c r="D1569" s="483">
        <v>690.24</v>
      </c>
      <c r="E1569" s="483">
        <v>690.24</v>
      </c>
    </row>
    <row r="1570" spans="1:5" ht="45">
      <c r="A1570" s="494">
        <v>90847</v>
      </c>
      <c r="B1570" s="485" t="s">
        <v>16053</v>
      </c>
      <c r="C1570" s="484" t="s">
        <v>65</v>
      </c>
      <c r="D1570" s="486">
        <v>518.38</v>
      </c>
      <c r="E1570" s="486">
        <v>518.38</v>
      </c>
    </row>
    <row r="1571" spans="1:5" ht="45">
      <c r="A1571" s="495">
        <v>90849</v>
      </c>
      <c r="B1571" s="348" t="s">
        <v>16054</v>
      </c>
      <c r="C1571" s="349" t="s">
        <v>65</v>
      </c>
      <c r="D1571" s="483">
        <v>564.37</v>
      </c>
      <c r="E1571" s="483">
        <v>564.37</v>
      </c>
    </row>
    <row r="1572" spans="1:5" ht="45">
      <c r="A1572" s="494">
        <v>90850</v>
      </c>
      <c r="B1572" s="485" t="s">
        <v>16055</v>
      </c>
      <c r="C1572" s="484" t="s">
        <v>65</v>
      </c>
      <c r="D1572" s="486">
        <v>591.88</v>
      </c>
      <c r="E1572" s="486">
        <v>591.88</v>
      </c>
    </row>
    <row r="1573" spans="1:5" ht="30">
      <c r="A1573" s="495">
        <v>91009</v>
      </c>
      <c r="B1573" s="348" t="s">
        <v>16056</v>
      </c>
      <c r="C1573" s="349" t="s">
        <v>65</v>
      </c>
      <c r="D1573" s="483">
        <v>259.57</v>
      </c>
      <c r="E1573" s="483">
        <v>259.57</v>
      </c>
    </row>
    <row r="1574" spans="1:5" ht="30">
      <c r="A1574" s="494">
        <v>91010</v>
      </c>
      <c r="B1574" s="485" t="s">
        <v>16057</v>
      </c>
      <c r="C1574" s="484" t="s">
        <v>65</v>
      </c>
      <c r="D1574" s="486">
        <v>212.09</v>
      </c>
      <c r="E1574" s="486">
        <v>212.09</v>
      </c>
    </row>
    <row r="1575" spans="1:5" ht="30">
      <c r="A1575" s="495">
        <v>91011</v>
      </c>
      <c r="B1575" s="348" t="s">
        <v>16058</v>
      </c>
      <c r="C1575" s="349" t="s">
        <v>65</v>
      </c>
      <c r="D1575" s="483">
        <v>294.48</v>
      </c>
      <c r="E1575" s="483">
        <v>294.48</v>
      </c>
    </row>
    <row r="1576" spans="1:5" ht="30">
      <c r="A1576" s="494">
        <v>91012</v>
      </c>
      <c r="B1576" s="485" t="s">
        <v>16059</v>
      </c>
      <c r="C1576" s="484" t="s">
        <v>65</v>
      </c>
      <c r="D1576" s="486">
        <v>282.23</v>
      </c>
      <c r="E1576" s="486">
        <v>282.23</v>
      </c>
    </row>
    <row r="1577" spans="1:5" ht="45">
      <c r="A1577" s="495">
        <v>91013</v>
      </c>
      <c r="B1577" s="348" t="s">
        <v>16060</v>
      </c>
      <c r="C1577" s="349" t="s">
        <v>65</v>
      </c>
      <c r="D1577" s="483">
        <v>524.16999999999996</v>
      </c>
      <c r="E1577" s="483">
        <v>524.16999999999996</v>
      </c>
    </row>
    <row r="1578" spans="1:5" ht="45">
      <c r="A1578" s="494">
        <v>91015</v>
      </c>
      <c r="B1578" s="485" t="s">
        <v>16061</v>
      </c>
      <c r="C1578" s="484" t="s">
        <v>65</v>
      </c>
      <c r="D1578" s="486">
        <v>586.08000000000004</v>
      </c>
      <c r="E1578" s="486">
        <v>586.08000000000004</v>
      </c>
    </row>
    <row r="1579" spans="1:5" ht="45">
      <c r="A1579" s="495">
        <v>91016</v>
      </c>
      <c r="B1579" s="348" t="s">
        <v>16062</v>
      </c>
      <c r="C1579" s="349" t="s">
        <v>65</v>
      </c>
      <c r="D1579" s="483">
        <v>587.41999999999996</v>
      </c>
      <c r="E1579" s="483">
        <v>587.41999999999996</v>
      </c>
    </row>
    <row r="1580" spans="1:5" ht="30">
      <c r="A1580" s="494">
        <v>91286</v>
      </c>
      <c r="B1580" s="485" t="s">
        <v>16063</v>
      </c>
      <c r="C1580" s="484" t="s">
        <v>65</v>
      </c>
      <c r="D1580" s="486">
        <v>127.36</v>
      </c>
      <c r="E1580" s="486">
        <v>127.36</v>
      </c>
    </row>
    <row r="1581" spans="1:5" ht="30">
      <c r="A1581" s="495">
        <v>91287</v>
      </c>
      <c r="B1581" s="348" t="s">
        <v>16064</v>
      </c>
      <c r="C1581" s="349" t="s">
        <v>65</v>
      </c>
      <c r="D1581" s="483">
        <v>133.69999999999999</v>
      </c>
      <c r="E1581" s="483">
        <v>133.69999999999999</v>
      </c>
    </row>
    <row r="1582" spans="1:5" ht="30">
      <c r="A1582" s="494">
        <v>91288</v>
      </c>
      <c r="B1582" s="485" t="s">
        <v>16065</v>
      </c>
      <c r="C1582" s="484" t="s">
        <v>65</v>
      </c>
      <c r="D1582" s="486">
        <v>140.06</v>
      </c>
      <c r="E1582" s="486">
        <v>140.06</v>
      </c>
    </row>
    <row r="1583" spans="1:5" ht="30">
      <c r="A1583" s="495">
        <v>91290</v>
      </c>
      <c r="B1583" s="348" t="s">
        <v>16066</v>
      </c>
      <c r="C1583" s="349" t="s">
        <v>65</v>
      </c>
      <c r="D1583" s="483">
        <v>146.41</v>
      </c>
      <c r="E1583" s="483">
        <v>146.41</v>
      </c>
    </row>
    <row r="1584" spans="1:5" ht="30">
      <c r="A1584" s="494">
        <v>91291</v>
      </c>
      <c r="B1584" s="485" t="s">
        <v>16067</v>
      </c>
      <c r="C1584" s="484" t="s">
        <v>65</v>
      </c>
      <c r="D1584" s="486">
        <v>182.29</v>
      </c>
      <c r="E1584" s="486">
        <v>182.29</v>
      </c>
    </row>
    <row r="1585" spans="1:5" ht="30">
      <c r="A1585" s="495">
        <v>91292</v>
      </c>
      <c r="B1585" s="348" t="s">
        <v>16068</v>
      </c>
      <c r="C1585" s="349" t="s">
        <v>65</v>
      </c>
      <c r="D1585" s="483">
        <v>193.29</v>
      </c>
      <c r="E1585" s="483">
        <v>193.29</v>
      </c>
    </row>
    <row r="1586" spans="1:5" ht="30">
      <c r="A1586" s="494">
        <v>91293</v>
      </c>
      <c r="B1586" s="485" t="s">
        <v>16069</v>
      </c>
      <c r="C1586" s="484" t="s">
        <v>65</v>
      </c>
      <c r="D1586" s="486">
        <v>204.29</v>
      </c>
      <c r="E1586" s="486">
        <v>204.29</v>
      </c>
    </row>
    <row r="1587" spans="1:5" ht="30">
      <c r="A1587" s="495">
        <v>91294</v>
      </c>
      <c r="B1587" s="348" t="s">
        <v>16070</v>
      </c>
      <c r="C1587" s="349" t="s">
        <v>65</v>
      </c>
      <c r="D1587" s="483">
        <v>215.32</v>
      </c>
      <c r="E1587" s="483">
        <v>215.32</v>
      </c>
    </row>
    <row r="1588" spans="1:5" ht="30">
      <c r="A1588" s="494">
        <v>91295</v>
      </c>
      <c r="B1588" s="485" t="s">
        <v>16071</v>
      </c>
      <c r="C1588" s="484" t="s">
        <v>65</v>
      </c>
      <c r="D1588" s="486">
        <v>244</v>
      </c>
      <c r="E1588" s="486">
        <v>244</v>
      </c>
    </row>
    <row r="1589" spans="1:5" ht="30">
      <c r="A1589" s="495">
        <v>91296</v>
      </c>
      <c r="B1589" s="348" t="s">
        <v>16072</v>
      </c>
      <c r="C1589" s="349" t="s">
        <v>65</v>
      </c>
      <c r="D1589" s="483">
        <v>258.68</v>
      </c>
      <c r="E1589" s="483">
        <v>258.68</v>
      </c>
    </row>
    <row r="1590" spans="1:5" ht="30">
      <c r="A1590" s="494">
        <v>91297</v>
      </c>
      <c r="B1590" s="485" t="s">
        <v>16073</v>
      </c>
      <c r="C1590" s="484" t="s">
        <v>65</v>
      </c>
      <c r="D1590" s="486">
        <v>296.07</v>
      </c>
      <c r="E1590" s="486">
        <v>296.07</v>
      </c>
    </row>
    <row r="1591" spans="1:5" ht="30">
      <c r="A1591" s="495">
        <v>91298</v>
      </c>
      <c r="B1591" s="348" t="s">
        <v>16074</v>
      </c>
      <c r="C1591" s="349" t="s">
        <v>65</v>
      </c>
      <c r="D1591" s="483">
        <v>356.13</v>
      </c>
      <c r="E1591" s="483">
        <v>356.13</v>
      </c>
    </row>
    <row r="1592" spans="1:5" ht="30">
      <c r="A1592" s="494">
        <v>91299</v>
      </c>
      <c r="B1592" s="485" t="s">
        <v>16075</v>
      </c>
      <c r="C1592" s="484" t="s">
        <v>65</v>
      </c>
      <c r="D1592" s="486">
        <v>555.59</v>
      </c>
      <c r="E1592" s="486">
        <v>555.59</v>
      </c>
    </row>
    <row r="1593" spans="1:5" ht="30">
      <c r="A1593" s="495">
        <v>91300</v>
      </c>
      <c r="B1593" s="348" t="s">
        <v>16076</v>
      </c>
      <c r="C1593" s="349" t="s">
        <v>65</v>
      </c>
      <c r="D1593" s="483">
        <v>20.47</v>
      </c>
      <c r="E1593" s="483">
        <v>20.47</v>
      </c>
    </row>
    <row r="1594" spans="1:5" ht="30">
      <c r="A1594" s="494">
        <v>91301</v>
      </c>
      <c r="B1594" s="485" t="s">
        <v>16077</v>
      </c>
      <c r="C1594" s="484" t="s">
        <v>65</v>
      </c>
      <c r="D1594" s="486">
        <v>21.64</v>
      </c>
      <c r="E1594" s="486">
        <v>21.64</v>
      </c>
    </row>
    <row r="1595" spans="1:5" ht="30">
      <c r="A1595" s="495">
        <v>91302</v>
      </c>
      <c r="B1595" s="348" t="s">
        <v>16078</v>
      </c>
      <c r="C1595" s="349" t="s">
        <v>65</v>
      </c>
      <c r="D1595" s="483">
        <v>22.83</v>
      </c>
      <c r="E1595" s="483">
        <v>22.83</v>
      </c>
    </row>
    <row r="1596" spans="1:5" ht="30">
      <c r="A1596" s="494">
        <v>91303</v>
      </c>
      <c r="B1596" s="485" t="s">
        <v>16079</v>
      </c>
      <c r="C1596" s="484" t="s">
        <v>65</v>
      </c>
      <c r="D1596" s="486">
        <v>24.04</v>
      </c>
      <c r="E1596" s="486">
        <v>24.04</v>
      </c>
    </row>
    <row r="1597" spans="1:5" ht="30">
      <c r="A1597" s="495">
        <v>91304</v>
      </c>
      <c r="B1597" s="348" t="s">
        <v>16080</v>
      </c>
      <c r="C1597" s="349" t="s">
        <v>65</v>
      </c>
      <c r="D1597" s="483">
        <v>73.510000000000005</v>
      </c>
      <c r="E1597" s="483">
        <v>73.510000000000005</v>
      </c>
    </row>
    <row r="1598" spans="1:5" ht="30">
      <c r="A1598" s="494">
        <v>91305</v>
      </c>
      <c r="B1598" s="485" t="s">
        <v>16081</v>
      </c>
      <c r="C1598" s="484" t="s">
        <v>65</v>
      </c>
      <c r="D1598" s="486">
        <v>55.43</v>
      </c>
      <c r="E1598" s="486">
        <v>55.43</v>
      </c>
    </row>
    <row r="1599" spans="1:5" ht="30">
      <c r="A1599" s="495">
        <v>91306</v>
      </c>
      <c r="B1599" s="348" t="s">
        <v>469</v>
      </c>
      <c r="C1599" s="349" t="s">
        <v>65</v>
      </c>
      <c r="D1599" s="483">
        <v>84.25</v>
      </c>
      <c r="E1599" s="483">
        <v>84.25</v>
      </c>
    </row>
    <row r="1600" spans="1:5" ht="30">
      <c r="A1600" s="494">
        <v>91307</v>
      </c>
      <c r="B1600" s="485" t="s">
        <v>470</v>
      </c>
      <c r="C1600" s="484" t="s">
        <v>65</v>
      </c>
      <c r="D1600" s="486">
        <v>58.35</v>
      </c>
      <c r="E1600" s="486">
        <v>58.35</v>
      </c>
    </row>
    <row r="1601" spans="1:5" ht="60">
      <c r="A1601" s="495">
        <v>91312</v>
      </c>
      <c r="B1601" s="348" t="s">
        <v>16082</v>
      </c>
      <c r="C1601" s="349" t="s">
        <v>65</v>
      </c>
      <c r="D1601" s="483">
        <v>532.44000000000005</v>
      </c>
      <c r="E1601" s="483">
        <v>532.44000000000005</v>
      </c>
    </row>
    <row r="1602" spans="1:5" ht="60">
      <c r="A1602" s="494">
        <v>91314</v>
      </c>
      <c r="B1602" s="485" t="s">
        <v>16083</v>
      </c>
      <c r="C1602" s="484" t="s">
        <v>65</v>
      </c>
      <c r="D1602" s="486">
        <v>596.23</v>
      </c>
      <c r="E1602" s="486">
        <v>596.23</v>
      </c>
    </row>
    <row r="1603" spans="1:5" ht="60">
      <c r="A1603" s="495">
        <v>91315</v>
      </c>
      <c r="B1603" s="348" t="s">
        <v>16084</v>
      </c>
      <c r="C1603" s="349" t="s">
        <v>65</v>
      </c>
      <c r="D1603" s="483">
        <v>623.6</v>
      </c>
      <c r="E1603" s="483">
        <v>623.6</v>
      </c>
    </row>
    <row r="1604" spans="1:5" ht="45">
      <c r="A1604" s="494">
        <v>91318</v>
      </c>
      <c r="B1604" s="485" t="s">
        <v>16085</v>
      </c>
      <c r="C1604" s="484" t="s">
        <v>65</v>
      </c>
      <c r="D1604" s="486">
        <v>477.01</v>
      </c>
      <c r="E1604" s="486">
        <v>477.01</v>
      </c>
    </row>
    <row r="1605" spans="1:5" ht="45">
      <c r="A1605" s="495">
        <v>91320</v>
      </c>
      <c r="B1605" s="348" t="s">
        <v>16086</v>
      </c>
      <c r="C1605" s="349" t="s">
        <v>65</v>
      </c>
      <c r="D1605" s="483">
        <v>522.72</v>
      </c>
      <c r="E1605" s="483">
        <v>522.72</v>
      </c>
    </row>
    <row r="1606" spans="1:5" ht="45">
      <c r="A1606" s="494">
        <v>91321</v>
      </c>
      <c r="B1606" s="485" t="s">
        <v>16087</v>
      </c>
      <c r="C1606" s="484" t="s">
        <v>65</v>
      </c>
      <c r="D1606" s="486">
        <v>550.09</v>
      </c>
      <c r="E1606" s="486">
        <v>550.09</v>
      </c>
    </row>
    <row r="1607" spans="1:5" ht="45">
      <c r="A1607" s="495">
        <v>91324</v>
      </c>
      <c r="B1607" s="348" t="s">
        <v>16088</v>
      </c>
      <c r="C1607" s="349" t="s">
        <v>65</v>
      </c>
      <c r="D1607" s="483">
        <v>482.8</v>
      </c>
      <c r="E1607" s="483">
        <v>482.8</v>
      </c>
    </row>
    <row r="1608" spans="1:5" ht="45">
      <c r="A1608" s="494">
        <v>91326</v>
      </c>
      <c r="B1608" s="485" t="s">
        <v>16089</v>
      </c>
      <c r="C1608" s="484" t="s">
        <v>65</v>
      </c>
      <c r="D1608" s="486">
        <v>544.42999999999995</v>
      </c>
      <c r="E1608" s="486">
        <v>544.42999999999995</v>
      </c>
    </row>
    <row r="1609" spans="1:5" ht="45">
      <c r="A1609" s="495">
        <v>91327</v>
      </c>
      <c r="B1609" s="348" t="s">
        <v>16090</v>
      </c>
      <c r="C1609" s="349" t="s">
        <v>65</v>
      </c>
      <c r="D1609" s="483">
        <v>545.63</v>
      </c>
      <c r="E1609" s="483">
        <v>545.63</v>
      </c>
    </row>
    <row r="1610" spans="1:5" ht="45">
      <c r="A1610" s="494">
        <v>91328</v>
      </c>
      <c r="B1610" s="485" t="s">
        <v>16091</v>
      </c>
      <c r="C1610" s="484" t="s">
        <v>65</v>
      </c>
      <c r="D1610" s="486">
        <v>508.6</v>
      </c>
      <c r="E1610" s="486">
        <v>508.6</v>
      </c>
    </row>
    <row r="1611" spans="1:5" ht="45">
      <c r="A1611" s="495">
        <v>91329</v>
      </c>
      <c r="B1611" s="348" t="s">
        <v>16092</v>
      </c>
      <c r="C1611" s="349" t="s">
        <v>65</v>
      </c>
      <c r="D1611" s="483">
        <v>467.23</v>
      </c>
      <c r="E1611" s="483">
        <v>467.23</v>
      </c>
    </row>
    <row r="1612" spans="1:5" ht="45">
      <c r="A1612" s="494">
        <v>91332</v>
      </c>
      <c r="B1612" s="485" t="s">
        <v>16093</v>
      </c>
      <c r="C1612" s="484" t="s">
        <v>65</v>
      </c>
      <c r="D1612" s="486">
        <v>587.66999999999996</v>
      </c>
      <c r="E1612" s="486">
        <v>587.66999999999996</v>
      </c>
    </row>
    <row r="1613" spans="1:5" ht="45">
      <c r="A1613" s="495">
        <v>91333</v>
      </c>
      <c r="B1613" s="348" t="s">
        <v>16094</v>
      </c>
      <c r="C1613" s="349" t="s">
        <v>65</v>
      </c>
      <c r="D1613" s="483">
        <v>546.02</v>
      </c>
      <c r="E1613" s="483">
        <v>546.02</v>
      </c>
    </row>
    <row r="1614" spans="1:5" ht="45">
      <c r="A1614" s="494">
        <v>91334</v>
      </c>
      <c r="B1614" s="485" t="s">
        <v>16095</v>
      </c>
      <c r="C1614" s="484" t="s">
        <v>65</v>
      </c>
      <c r="D1614" s="486">
        <v>647.73</v>
      </c>
      <c r="E1614" s="486">
        <v>647.73</v>
      </c>
    </row>
    <row r="1615" spans="1:5" ht="45">
      <c r="A1615" s="495">
        <v>91335</v>
      </c>
      <c r="B1615" s="348" t="s">
        <v>16096</v>
      </c>
      <c r="C1615" s="349" t="s">
        <v>65</v>
      </c>
      <c r="D1615" s="483">
        <v>606.08000000000004</v>
      </c>
      <c r="E1615" s="483">
        <v>606.08000000000004</v>
      </c>
    </row>
    <row r="1616" spans="1:5" ht="45">
      <c r="A1616" s="494">
        <v>91336</v>
      </c>
      <c r="B1616" s="485" t="s">
        <v>16097</v>
      </c>
      <c r="C1616" s="484" t="s">
        <v>65</v>
      </c>
      <c r="D1616" s="486">
        <v>847.19</v>
      </c>
      <c r="E1616" s="486">
        <v>847.19</v>
      </c>
    </row>
    <row r="1617" spans="1:5" ht="45">
      <c r="A1617" s="495">
        <v>91337</v>
      </c>
      <c r="B1617" s="348" t="s">
        <v>16098</v>
      </c>
      <c r="C1617" s="349" t="s">
        <v>65</v>
      </c>
      <c r="D1617" s="483">
        <v>805.54</v>
      </c>
      <c r="E1617" s="483">
        <v>805.54</v>
      </c>
    </row>
    <row r="1618" spans="1:5" ht="30">
      <c r="A1618" s="484" t="s">
        <v>16099</v>
      </c>
      <c r="B1618" s="485" t="s">
        <v>16100</v>
      </c>
      <c r="C1618" s="484" t="s">
        <v>65</v>
      </c>
      <c r="D1618" s="486">
        <v>1217.23</v>
      </c>
      <c r="E1618" s="486">
        <v>1217.23</v>
      </c>
    </row>
    <row r="1619" spans="1:5">
      <c r="A1619" s="495">
        <v>84844</v>
      </c>
      <c r="B1619" s="348" t="s">
        <v>6230</v>
      </c>
      <c r="C1619" s="349" t="s">
        <v>256</v>
      </c>
      <c r="D1619" s="483">
        <v>350.37</v>
      </c>
      <c r="E1619" s="483">
        <v>350.37</v>
      </c>
    </row>
    <row r="1620" spans="1:5">
      <c r="A1620" s="494">
        <v>84845</v>
      </c>
      <c r="B1620" s="485" t="s">
        <v>16101</v>
      </c>
      <c r="C1620" s="484" t="s">
        <v>256</v>
      </c>
      <c r="D1620" s="486">
        <v>524.19000000000005</v>
      </c>
      <c r="E1620" s="486">
        <v>524.19000000000005</v>
      </c>
    </row>
    <row r="1621" spans="1:5" ht="30">
      <c r="A1621" s="495">
        <v>84846</v>
      </c>
      <c r="B1621" s="348" t="s">
        <v>6232</v>
      </c>
      <c r="C1621" s="349" t="s">
        <v>256</v>
      </c>
      <c r="D1621" s="483">
        <v>534.14</v>
      </c>
      <c r="E1621" s="483">
        <v>534.14</v>
      </c>
    </row>
    <row r="1622" spans="1:5">
      <c r="A1622" s="494">
        <v>84847</v>
      </c>
      <c r="B1622" s="485" t="s">
        <v>16102</v>
      </c>
      <c r="C1622" s="484" t="s">
        <v>256</v>
      </c>
      <c r="D1622" s="486">
        <v>534.14</v>
      </c>
      <c r="E1622" s="486">
        <v>534.14</v>
      </c>
    </row>
    <row r="1623" spans="1:5" ht="30">
      <c r="A1623" s="495">
        <v>84848</v>
      </c>
      <c r="B1623" s="348" t="s">
        <v>16103</v>
      </c>
      <c r="C1623" s="349" t="s">
        <v>256</v>
      </c>
      <c r="D1623" s="483">
        <v>426.5</v>
      </c>
      <c r="E1623" s="483">
        <v>426.5</v>
      </c>
    </row>
    <row r="1624" spans="1:5">
      <c r="A1624" s="494">
        <v>84849</v>
      </c>
      <c r="B1624" s="485" t="s">
        <v>16104</v>
      </c>
      <c r="C1624" s="484" t="s">
        <v>65</v>
      </c>
      <c r="D1624" s="486">
        <v>80.72</v>
      </c>
      <c r="E1624" s="486">
        <v>80.72</v>
      </c>
    </row>
    <row r="1625" spans="1:5">
      <c r="A1625" s="349" t="s">
        <v>16105</v>
      </c>
      <c r="B1625" s="348" t="s">
        <v>16106</v>
      </c>
      <c r="C1625" s="349" t="s">
        <v>256</v>
      </c>
      <c r="D1625" s="483">
        <v>434.49</v>
      </c>
      <c r="E1625" s="483">
        <v>434.49</v>
      </c>
    </row>
    <row r="1626" spans="1:5">
      <c r="A1626" s="484" t="s">
        <v>16107</v>
      </c>
      <c r="B1626" s="485" t="s">
        <v>475</v>
      </c>
      <c r="C1626" s="484" t="s">
        <v>256</v>
      </c>
      <c r="D1626" s="486">
        <v>420.67</v>
      </c>
      <c r="E1626" s="486">
        <v>420.67</v>
      </c>
    </row>
    <row r="1627" spans="1:5">
      <c r="A1627" s="349" t="s">
        <v>16108</v>
      </c>
      <c r="B1627" s="348" t="s">
        <v>16109</v>
      </c>
      <c r="C1627" s="349" t="s">
        <v>256</v>
      </c>
      <c r="D1627" s="483">
        <v>406.27</v>
      </c>
      <c r="E1627" s="483">
        <v>406.27</v>
      </c>
    </row>
    <row r="1628" spans="1:5">
      <c r="A1628" s="484" t="s">
        <v>16110</v>
      </c>
      <c r="B1628" s="485" t="s">
        <v>1666</v>
      </c>
      <c r="C1628" s="484" t="s">
        <v>65</v>
      </c>
      <c r="D1628" s="486">
        <v>85.07</v>
      </c>
      <c r="E1628" s="486">
        <v>85.07</v>
      </c>
    </row>
    <row r="1629" spans="1:5">
      <c r="A1629" s="349" t="s">
        <v>16111</v>
      </c>
      <c r="B1629" s="348" t="s">
        <v>1667</v>
      </c>
      <c r="C1629" s="349" t="s">
        <v>65</v>
      </c>
      <c r="D1629" s="483">
        <v>95.87</v>
      </c>
      <c r="E1629" s="483">
        <v>95.87</v>
      </c>
    </row>
    <row r="1630" spans="1:5">
      <c r="A1630" s="484" t="s">
        <v>16112</v>
      </c>
      <c r="B1630" s="485" t="s">
        <v>8275</v>
      </c>
      <c r="C1630" s="484" t="s">
        <v>256</v>
      </c>
      <c r="D1630" s="486">
        <v>547.16</v>
      </c>
      <c r="E1630" s="486">
        <v>547.16</v>
      </c>
    </row>
    <row r="1631" spans="1:5" ht="30">
      <c r="A1631" s="349" t="s">
        <v>16113</v>
      </c>
      <c r="B1631" s="348" t="s">
        <v>8274</v>
      </c>
      <c r="C1631" s="349" t="s">
        <v>256</v>
      </c>
      <c r="D1631" s="483">
        <v>462.58</v>
      </c>
      <c r="E1631" s="483">
        <v>462.58</v>
      </c>
    </row>
    <row r="1632" spans="1:5" ht="30">
      <c r="A1632" s="484" t="s">
        <v>16114</v>
      </c>
      <c r="B1632" s="485" t="s">
        <v>16115</v>
      </c>
      <c r="C1632" s="484" t="s">
        <v>256</v>
      </c>
      <c r="D1632" s="486">
        <v>324.35000000000002</v>
      </c>
      <c r="E1632" s="486">
        <v>324.35000000000002</v>
      </c>
    </row>
    <row r="1633" spans="1:5">
      <c r="A1633" s="495">
        <v>84854</v>
      </c>
      <c r="B1633" s="348" t="s">
        <v>2496</v>
      </c>
      <c r="C1633" s="349" t="s">
        <v>71</v>
      </c>
      <c r="D1633" s="483">
        <v>28.47</v>
      </c>
      <c r="E1633" s="483">
        <v>28.47</v>
      </c>
    </row>
    <row r="1634" spans="1:5" ht="30">
      <c r="A1634" s="494">
        <v>94559</v>
      </c>
      <c r="B1634" s="485" t="s">
        <v>16116</v>
      </c>
      <c r="C1634" s="484" t="s">
        <v>256</v>
      </c>
      <c r="D1634" s="486">
        <v>445.16</v>
      </c>
      <c r="E1634" s="486">
        <v>445.16</v>
      </c>
    </row>
    <row r="1635" spans="1:5" ht="30">
      <c r="A1635" s="495">
        <v>94560</v>
      </c>
      <c r="B1635" s="348" t="s">
        <v>6194</v>
      </c>
      <c r="C1635" s="349" t="s">
        <v>256</v>
      </c>
      <c r="D1635" s="483">
        <v>389.76</v>
      </c>
      <c r="E1635" s="483">
        <v>389.76</v>
      </c>
    </row>
    <row r="1636" spans="1:5" ht="30">
      <c r="A1636" s="494">
        <v>94562</v>
      </c>
      <c r="B1636" s="485" t="s">
        <v>6196</v>
      </c>
      <c r="C1636" s="484" t="s">
        <v>256</v>
      </c>
      <c r="D1636" s="486">
        <v>410.96</v>
      </c>
      <c r="E1636" s="486">
        <v>410.96</v>
      </c>
    </row>
    <row r="1637" spans="1:5" ht="30">
      <c r="A1637" s="495">
        <v>94563</v>
      </c>
      <c r="B1637" s="348" t="s">
        <v>6198</v>
      </c>
      <c r="C1637" s="349" t="s">
        <v>256</v>
      </c>
      <c r="D1637" s="483">
        <v>515.04999999999995</v>
      </c>
      <c r="E1637" s="483">
        <v>515.04999999999995</v>
      </c>
    </row>
    <row r="1638" spans="1:5" ht="30">
      <c r="A1638" s="494">
        <v>94564</v>
      </c>
      <c r="B1638" s="485" t="s">
        <v>16117</v>
      </c>
      <c r="C1638" s="484" t="s">
        <v>256</v>
      </c>
      <c r="D1638" s="486">
        <v>398.34</v>
      </c>
      <c r="E1638" s="486">
        <v>398.34</v>
      </c>
    </row>
    <row r="1639" spans="1:5" ht="30">
      <c r="A1639" s="495">
        <v>94565</v>
      </c>
      <c r="B1639" s="348" t="s">
        <v>16118</v>
      </c>
      <c r="C1639" s="349" t="s">
        <v>256</v>
      </c>
      <c r="D1639" s="483">
        <v>374.27</v>
      </c>
      <c r="E1639" s="483">
        <v>374.27</v>
      </c>
    </row>
    <row r="1640" spans="1:5" ht="30">
      <c r="A1640" s="494">
        <v>94567</v>
      </c>
      <c r="B1640" s="485" t="s">
        <v>16119</v>
      </c>
      <c r="C1640" s="484" t="s">
        <v>256</v>
      </c>
      <c r="D1640" s="486">
        <v>390.52</v>
      </c>
      <c r="E1640" s="486">
        <v>390.52</v>
      </c>
    </row>
    <row r="1641" spans="1:5" ht="30">
      <c r="A1641" s="495">
        <v>94568</v>
      </c>
      <c r="B1641" s="348" t="s">
        <v>16120</v>
      </c>
      <c r="C1641" s="349" t="s">
        <v>256</v>
      </c>
      <c r="D1641" s="483">
        <v>491</v>
      </c>
      <c r="E1641" s="483">
        <v>491</v>
      </c>
    </row>
    <row r="1642" spans="1:5">
      <c r="A1642" s="484" t="s">
        <v>16121</v>
      </c>
      <c r="B1642" s="485" t="s">
        <v>483</v>
      </c>
      <c r="C1642" s="484" t="s">
        <v>256</v>
      </c>
      <c r="D1642" s="486">
        <v>242.06</v>
      </c>
      <c r="E1642" s="486">
        <v>242.06</v>
      </c>
    </row>
    <row r="1643" spans="1:5">
      <c r="A1643" s="495">
        <v>73631</v>
      </c>
      <c r="B1643" s="348" t="s">
        <v>5908</v>
      </c>
      <c r="C1643" s="349" t="s">
        <v>256</v>
      </c>
      <c r="D1643" s="483">
        <v>276.85000000000002</v>
      </c>
      <c r="E1643" s="483">
        <v>276.85000000000002</v>
      </c>
    </row>
    <row r="1644" spans="1:5">
      <c r="A1644" s="484" t="s">
        <v>16122</v>
      </c>
      <c r="B1644" s="485" t="s">
        <v>5905</v>
      </c>
      <c r="C1644" s="484" t="s">
        <v>71</v>
      </c>
      <c r="D1644" s="486">
        <v>288.27</v>
      </c>
      <c r="E1644" s="486">
        <v>288.27</v>
      </c>
    </row>
    <row r="1645" spans="1:5" ht="30">
      <c r="A1645" s="495">
        <v>73665</v>
      </c>
      <c r="B1645" s="348" t="s">
        <v>16123</v>
      </c>
      <c r="C1645" s="349" t="s">
        <v>71</v>
      </c>
      <c r="D1645" s="483">
        <v>56.2</v>
      </c>
      <c r="E1645" s="483">
        <v>56.2</v>
      </c>
    </row>
    <row r="1646" spans="1:5" s="25" customFormat="1" ht="30">
      <c r="A1646" s="604" t="s">
        <v>20642</v>
      </c>
      <c r="B1646" s="605" t="s">
        <v>16123</v>
      </c>
      <c r="C1646" s="606" t="s">
        <v>71</v>
      </c>
      <c r="D1646" s="607">
        <v>56.2</v>
      </c>
      <c r="E1646" s="483"/>
    </row>
    <row r="1647" spans="1:5">
      <c r="A1647" s="494">
        <v>73669</v>
      </c>
      <c r="B1647" s="485" t="s">
        <v>4079</v>
      </c>
      <c r="C1647" s="484" t="s">
        <v>71</v>
      </c>
      <c r="D1647" s="486">
        <v>91.3</v>
      </c>
      <c r="E1647" s="486">
        <v>91.3</v>
      </c>
    </row>
    <row r="1648" spans="1:5">
      <c r="A1648" s="349" t="s">
        <v>16124</v>
      </c>
      <c r="B1648" s="348" t="s">
        <v>4083</v>
      </c>
      <c r="C1648" s="349" t="s">
        <v>71</v>
      </c>
      <c r="D1648" s="483">
        <v>57.59</v>
      </c>
      <c r="E1648" s="483">
        <v>57.59</v>
      </c>
    </row>
    <row r="1649" spans="1:5">
      <c r="A1649" s="484" t="s">
        <v>16125</v>
      </c>
      <c r="B1649" s="485" t="s">
        <v>4082</v>
      </c>
      <c r="C1649" s="484" t="s">
        <v>71</v>
      </c>
      <c r="D1649" s="486">
        <v>89.46</v>
      </c>
      <c r="E1649" s="486">
        <v>89.46</v>
      </c>
    </row>
    <row r="1650" spans="1:5">
      <c r="A1650" s="349" t="s">
        <v>16126</v>
      </c>
      <c r="B1650" s="348" t="s">
        <v>4081</v>
      </c>
      <c r="C1650" s="349" t="s">
        <v>71</v>
      </c>
      <c r="D1650" s="483">
        <v>66.92</v>
      </c>
      <c r="E1650" s="483">
        <v>66.92</v>
      </c>
    </row>
    <row r="1651" spans="1:5">
      <c r="A1651" s="484" t="s">
        <v>16127</v>
      </c>
      <c r="B1651" s="485" t="s">
        <v>5103</v>
      </c>
      <c r="C1651" s="484" t="s">
        <v>71</v>
      </c>
      <c r="D1651" s="486">
        <v>200.11</v>
      </c>
      <c r="E1651" s="486">
        <v>200.11</v>
      </c>
    </row>
    <row r="1652" spans="1:5">
      <c r="A1652" s="495">
        <v>84862</v>
      </c>
      <c r="B1652" s="348" t="s">
        <v>5906</v>
      </c>
      <c r="C1652" s="349" t="s">
        <v>71</v>
      </c>
      <c r="D1652" s="483">
        <v>174.98</v>
      </c>
      <c r="E1652" s="483">
        <v>174.98</v>
      </c>
    </row>
    <row r="1653" spans="1:5">
      <c r="A1653" s="494">
        <v>84863</v>
      </c>
      <c r="B1653" s="485" t="s">
        <v>5907</v>
      </c>
      <c r="C1653" s="484" t="s">
        <v>71</v>
      </c>
      <c r="D1653" s="486">
        <v>87.96</v>
      </c>
      <c r="E1653" s="486">
        <v>87.96</v>
      </c>
    </row>
    <row r="1654" spans="1:5" ht="30">
      <c r="A1654" s="495">
        <v>68050</v>
      </c>
      <c r="B1654" s="348" t="s">
        <v>10918</v>
      </c>
      <c r="C1654" s="349" t="s">
        <v>256</v>
      </c>
      <c r="D1654" s="483">
        <v>495.66</v>
      </c>
      <c r="E1654" s="483">
        <v>495.66</v>
      </c>
    </row>
    <row r="1655" spans="1:5">
      <c r="A1655" s="494">
        <v>90838</v>
      </c>
      <c r="B1655" s="485" t="s">
        <v>489</v>
      </c>
      <c r="C1655" s="484" t="s">
        <v>65</v>
      </c>
      <c r="D1655" s="486">
        <v>850.72</v>
      </c>
      <c r="E1655" s="486">
        <v>850.72</v>
      </c>
    </row>
    <row r="1656" spans="1:5" ht="30">
      <c r="A1656" s="495">
        <v>91338</v>
      </c>
      <c r="B1656" s="348" t="s">
        <v>16128</v>
      </c>
      <c r="C1656" s="349" t="s">
        <v>256</v>
      </c>
      <c r="D1656" s="483">
        <v>881.42</v>
      </c>
      <c r="E1656" s="483">
        <v>881.42</v>
      </c>
    </row>
    <row r="1657" spans="1:5" ht="30">
      <c r="A1657" s="494">
        <v>91341</v>
      </c>
      <c r="B1657" s="485" t="s">
        <v>16129</v>
      </c>
      <c r="C1657" s="484" t="s">
        <v>256</v>
      </c>
      <c r="D1657" s="486">
        <v>664.34</v>
      </c>
      <c r="E1657" s="486">
        <v>664.34</v>
      </c>
    </row>
    <row r="1658" spans="1:5" ht="30">
      <c r="A1658" s="495">
        <v>94805</v>
      </c>
      <c r="B1658" s="348" t="s">
        <v>16130</v>
      </c>
      <c r="C1658" s="349" t="s">
        <v>65</v>
      </c>
      <c r="D1658" s="483">
        <v>942.44</v>
      </c>
      <c r="E1658" s="483">
        <v>942.44</v>
      </c>
    </row>
    <row r="1659" spans="1:5" ht="30">
      <c r="A1659" s="494">
        <v>94806</v>
      </c>
      <c r="B1659" s="485" t="s">
        <v>8305</v>
      </c>
      <c r="C1659" s="484" t="s">
        <v>65</v>
      </c>
      <c r="D1659" s="486">
        <v>370.46</v>
      </c>
      <c r="E1659" s="486">
        <v>370.46</v>
      </c>
    </row>
    <row r="1660" spans="1:5" ht="30">
      <c r="A1660" s="495">
        <v>94807</v>
      </c>
      <c r="B1660" s="348" t="s">
        <v>8306</v>
      </c>
      <c r="C1660" s="349" t="s">
        <v>65</v>
      </c>
      <c r="D1660" s="483">
        <v>441.14</v>
      </c>
      <c r="E1660" s="483">
        <v>441.14</v>
      </c>
    </row>
    <row r="1661" spans="1:5">
      <c r="A1661" s="484" t="s">
        <v>16131</v>
      </c>
      <c r="B1661" s="485" t="s">
        <v>16132</v>
      </c>
      <c r="C1661" s="484" t="s">
        <v>71</v>
      </c>
      <c r="D1661" s="486">
        <v>169.28</v>
      </c>
      <c r="E1661" s="486">
        <v>169.28</v>
      </c>
    </row>
    <row r="1662" spans="1:5">
      <c r="A1662" s="349" t="s">
        <v>16133</v>
      </c>
      <c r="B1662" s="348" t="s">
        <v>16134</v>
      </c>
      <c r="C1662" s="349" t="s">
        <v>71</v>
      </c>
      <c r="D1662" s="483">
        <v>366.31</v>
      </c>
      <c r="E1662" s="483">
        <v>366.31</v>
      </c>
    </row>
    <row r="1663" spans="1:5">
      <c r="A1663" s="484" t="s">
        <v>16135</v>
      </c>
      <c r="B1663" s="485" t="s">
        <v>16136</v>
      </c>
      <c r="C1663" s="484" t="s">
        <v>71</v>
      </c>
      <c r="D1663" s="486">
        <v>429.69</v>
      </c>
      <c r="E1663" s="486">
        <v>429.69</v>
      </c>
    </row>
    <row r="1664" spans="1:5">
      <c r="A1664" s="495">
        <v>85096</v>
      </c>
      <c r="B1664" s="348" t="s">
        <v>5793</v>
      </c>
      <c r="C1664" s="349" t="s">
        <v>256</v>
      </c>
      <c r="D1664" s="483">
        <v>368.87</v>
      </c>
      <c r="E1664" s="483">
        <v>368.87</v>
      </c>
    </row>
    <row r="1665" spans="1:5">
      <c r="A1665" s="484" t="s">
        <v>16137</v>
      </c>
      <c r="B1665" s="485" t="s">
        <v>4834</v>
      </c>
      <c r="C1665" s="484" t="s">
        <v>65</v>
      </c>
      <c r="D1665" s="486">
        <v>75.14</v>
      </c>
      <c r="E1665" s="486">
        <v>75.14</v>
      </c>
    </row>
    <row r="1666" spans="1:5" ht="45">
      <c r="A1666" s="495">
        <v>84885</v>
      </c>
      <c r="B1666" s="348" t="s">
        <v>16138</v>
      </c>
      <c r="C1666" s="349" t="s">
        <v>65</v>
      </c>
      <c r="D1666" s="483">
        <v>641.95000000000005</v>
      </c>
      <c r="E1666" s="483">
        <v>641.95000000000005</v>
      </c>
    </row>
    <row r="1667" spans="1:5">
      <c r="A1667" s="494">
        <v>84886</v>
      </c>
      <c r="B1667" s="485" t="s">
        <v>7441</v>
      </c>
      <c r="C1667" s="484" t="s">
        <v>65</v>
      </c>
      <c r="D1667" s="486">
        <v>1237.27</v>
      </c>
      <c r="E1667" s="486">
        <v>1237.27</v>
      </c>
    </row>
    <row r="1668" spans="1:5">
      <c r="A1668" s="495">
        <v>84889</v>
      </c>
      <c r="B1668" s="348" t="s">
        <v>8472</v>
      </c>
      <c r="C1668" s="349" t="s">
        <v>65</v>
      </c>
      <c r="D1668" s="483">
        <v>16.100000000000001</v>
      </c>
      <c r="E1668" s="483">
        <v>16.100000000000001</v>
      </c>
    </row>
    <row r="1669" spans="1:5">
      <c r="A1669" s="494">
        <v>84891</v>
      </c>
      <c r="B1669" s="485" t="s">
        <v>4204</v>
      </c>
      <c r="C1669" s="484" t="s">
        <v>65</v>
      </c>
      <c r="D1669" s="486">
        <v>169.9</v>
      </c>
      <c r="E1669" s="486">
        <v>169.9</v>
      </c>
    </row>
    <row r="1670" spans="1:5">
      <c r="A1670" s="349" t="s">
        <v>16139</v>
      </c>
      <c r="B1670" s="348" t="s">
        <v>495</v>
      </c>
      <c r="C1670" s="349" t="s">
        <v>65</v>
      </c>
      <c r="D1670" s="483">
        <v>30.69</v>
      </c>
      <c r="E1670" s="483">
        <v>30.69</v>
      </c>
    </row>
    <row r="1671" spans="1:5" ht="30">
      <c r="A1671" s="484" t="s">
        <v>16140</v>
      </c>
      <c r="B1671" s="485" t="s">
        <v>4829</v>
      </c>
      <c r="C1671" s="484" t="s">
        <v>65</v>
      </c>
      <c r="D1671" s="486">
        <v>22.31</v>
      </c>
      <c r="E1671" s="486">
        <v>22.31</v>
      </c>
    </row>
    <row r="1672" spans="1:5" ht="30">
      <c r="A1672" s="349" t="s">
        <v>16141</v>
      </c>
      <c r="B1672" s="348" t="s">
        <v>16142</v>
      </c>
      <c r="C1672" s="349" t="s">
        <v>65</v>
      </c>
      <c r="D1672" s="483">
        <v>131.79</v>
      </c>
      <c r="E1672" s="483">
        <v>131.79</v>
      </c>
    </row>
    <row r="1673" spans="1:5">
      <c r="A1673" s="494">
        <v>84950</v>
      </c>
      <c r="B1673" s="485" t="s">
        <v>5559</v>
      </c>
      <c r="C1673" s="484" t="s">
        <v>65</v>
      </c>
      <c r="D1673" s="486">
        <v>43.39</v>
      </c>
      <c r="E1673" s="486">
        <v>43.39</v>
      </c>
    </row>
    <row r="1674" spans="1:5">
      <c r="A1674" s="495">
        <v>84952</v>
      </c>
      <c r="B1674" s="348" t="s">
        <v>5558</v>
      </c>
      <c r="C1674" s="349" t="s">
        <v>65</v>
      </c>
      <c r="D1674" s="483">
        <v>32.82</v>
      </c>
      <c r="E1674" s="483">
        <v>32.82</v>
      </c>
    </row>
    <row r="1675" spans="1:5">
      <c r="A1675" s="494">
        <v>72116</v>
      </c>
      <c r="B1675" s="485" t="s">
        <v>498</v>
      </c>
      <c r="C1675" s="484" t="s">
        <v>256</v>
      </c>
      <c r="D1675" s="486">
        <v>71.06</v>
      </c>
      <c r="E1675" s="486">
        <v>71.06</v>
      </c>
    </row>
    <row r="1676" spans="1:5">
      <c r="A1676" s="495">
        <v>72117</v>
      </c>
      <c r="B1676" s="348" t="s">
        <v>499</v>
      </c>
      <c r="C1676" s="349" t="s">
        <v>256</v>
      </c>
      <c r="D1676" s="483">
        <v>90.47</v>
      </c>
      <c r="E1676" s="483">
        <v>90.47</v>
      </c>
    </row>
    <row r="1677" spans="1:5" ht="30">
      <c r="A1677" s="494">
        <v>72118</v>
      </c>
      <c r="B1677" s="485" t="s">
        <v>16143</v>
      </c>
      <c r="C1677" s="484" t="s">
        <v>256</v>
      </c>
      <c r="D1677" s="486">
        <v>100.58</v>
      </c>
      <c r="E1677" s="486">
        <v>100.58</v>
      </c>
    </row>
    <row r="1678" spans="1:5" ht="30">
      <c r="A1678" s="495">
        <v>72119</v>
      </c>
      <c r="B1678" s="348" t="s">
        <v>16144</v>
      </c>
      <c r="C1678" s="349" t="s">
        <v>256</v>
      </c>
      <c r="D1678" s="483">
        <v>124.71</v>
      </c>
      <c r="E1678" s="483">
        <v>124.71</v>
      </c>
    </row>
    <row r="1679" spans="1:5" ht="30">
      <c r="A1679" s="494">
        <v>72120</v>
      </c>
      <c r="B1679" s="485" t="s">
        <v>16145</v>
      </c>
      <c r="C1679" s="484" t="s">
        <v>256</v>
      </c>
      <c r="D1679" s="486">
        <v>155.47</v>
      </c>
      <c r="E1679" s="486">
        <v>155.47</v>
      </c>
    </row>
    <row r="1680" spans="1:5">
      <c r="A1680" s="495">
        <v>72122</v>
      </c>
      <c r="B1680" s="348" t="s">
        <v>500</v>
      </c>
      <c r="C1680" s="349" t="s">
        <v>256</v>
      </c>
      <c r="D1680" s="483">
        <v>78.37</v>
      </c>
      <c r="E1680" s="483">
        <v>78.37</v>
      </c>
    </row>
    <row r="1681" spans="1:5">
      <c r="A1681" s="494">
        <v>72123</v>
      </c>
      <c r="B1681" s="485" t="s">
        <v>501</v>
      </c>
      <c r="C1681" s="484" t="s">
        <v>256</v>
      </c>
      <c r="D1681" s="486">
        <v>200.8</v>
      </c>
      <c r="E1681" s="486">
        <v>200.8</v>
      </c>
    </row>
    <row r="1682" spans="1:5">
      <c r="A1682" s="349" t="s">
        <v>16146</v>
      </c>
      <c r="B1682" s="348" t="s">
        <v>16147</v>
      </c>
      <c r="C1682" s="349" t="s">
        <v>65</v>
      </c>
      <c r="D1682" s="483">
        <v>1899.41</v>
      </c>
      <c r="E1682" s="483">
        <v>1899.41</v>
      </c>
    </row>
    <row r="1683" spans="1:5">
      <c r="A1683" s="484" t="s">
        <v>16148</v>
      </c>
      <c r="B1683" s="485" t="s">
        <v>504</v>
      </c>
      <c r="C1683" s="484" t="s">
        <v>256</v>
      </c>
      <c r="D1683" s="486">
        <v>281.72000000000003</v>
      </c>
      <c r="E1683" s="486">
        <v>281.72000000000003</v>
      </c>
    </row>
    <row r="1684" spans="1:5" ht="30">
      <c r="A1684" s="349" t="s">
        <v>16149</v>
      </c>
      <c r="B1684" s="348" t="s">
        <v>16150</v>
      </c>
      <c r="C1684" s="349" t="s">
        <v>256</v>
      </c>
      <c r="D1684" s="483">
        <v>338.07</v>
      </c>
      <c r="E1684" s="483">
        <v>338.07</v>
      </c>
    </row>
    <row r="1685" spans="1:5">
      <c r="A1685" s="494">
        <v>84957</v>
      </c>
      <c r="B1685" s="485" t="s">
        <v>506</v>
      </c>
      <c r="C1685" s="484" t="s">
        <v>256</v>
      </c>
      <c r="D1685" s="486">
        <v>109.77</v>
      </c>
      <c r="E1685" s="486">
        <v>109.77</v>
      </c>
    </row>
    <row r="1686" spans="1:5">
      <c r="A1686" s="495">
        <v>84959</v>
      </c>
      <c r="B1686" s="348" t="s">
        <v>507</v>
      </c>
      <c r="C1686" s="349" t="s">
        <v>256</v>
      </c>
      <c r="D1686" s="483">
        <v>127.26</v>
      </c>
      <c r="E1686" s="483">
        <v>127.26</v>
      </c>
    </row>
    <row r="1687" spans="1:5">
      <c r="A1687" s="494">
        <v>85001</v>
      </c>
      <c r="B1687" s="485" t="s">
        <v>508</v>
      </c>
      <c r="C1687" s="484" t="s">
        <v>256</v>
      </c>
      <c r="D1687" s="486">
        <v>121.43</v>
      </c>
      <c r="E1687" s="486">
        <v>121.43</v>
      </c>
    </row>
    <row r="1688" spans="1:5">
      <c r="A1688" s="495">
        <v>85002</v>
      </c>
      <c r="B1688" s="348" t="s">
        <v>509</v>
      </c>
      <c r="C1688" s="349" t="s">
        <v>256</v>
      </c>
      <c r="D1688" s="483">
        <v>168.07</v>
      </c>
      <c r="E1688" s="483">
        <v>168.07</v>
      </c>
    </row>
    <row r="1689" spans="1:5">
      <c r="A1689" s="494">
        <v>85004</v>
      </c>
      <c r="B1689" s="485" t="s">
        <v>510</v>
      </c>
      <c r="C1689" s="484" t="s">
        <v>256</v>
      </c>
      <c r="D1689" s="486">
        <v>86.44</v>
      </c>
      <c r="E1689" s="486">
        <v>86.44</v>
      </c>
    </row>
    <row r="1690" spans="1:5">
      <c r="A1690" s="495">
        <v>85005</v>
      </c>
      <c r="B1690" s="348" t="s">
        <v>5277</v>
      </c>
      <c r="C1690" s="349" t="s">
        <v>256</v>
      </c>
      <c r="D1690" s="483">
        <v>250.17</v>
      </c>
      <c r="E1690" s="483">
        <v>250.17</v>
      </c>
    </row>
    <row r="1691" spans="1:5">
      <c r="A1691" s="494">
        <v>68054</v>
      </c>
      <c r="B1691" s="485" t="s">
        <v>8321</v>
      </c>
      <c r="C1691" s="484" t="s">
        <v>256</v>
      </c>
      <c r="D1691" s="486">
        <v>199.26</v>
      </c>
      <c r="E1691" s="486">
        <v>199.26</v>
      </c>
    </row>
    <row r="1692" spans="1:5">
      <c r="A1692" s="349" t="s">
        <v>16151</v>
      </c>
      <c r="B1692" s="348" t="s">
        <v>8320</v>
      </c>
      <c r="C1692" s="349" t="s">
        <v>256</v>
      </c>
      <c r="D1692" s="483">
        <v>369.35</v>
      </c>
      <c r="E1692" s="483">
        <v>369.35</v>
      </c>
    </row>
    <row r="1693" spans="1:5" ht="30">
      <c r="A1693" s="484" t="s">
        <v>16152</v>
      </c>
      <c r="B1693" s="485" t="s">
        <v>16153</v>
      </c>
      <c r="C1693" s="484" t="s">
        <v>256</v>
      </c>
      <c r="D1693" s="486">
        <v>827.42</v>
      </c>
      <c r="E1693" s="486">
        <v>827.42</v>
      </c>
    </row>
    <row r="1694" spans="1:5" ht="30">
      <c r="A1694" s="495">
        <v>85188</v>
      </c>
      <c r="B1694" s="348" t="s">
        <v>16154</v>
      </c>
      <c r="C1694" s="349" t="s">
        <v>65</v>
      </c>
      <c r="D1694" s="483">
        <v>529.57000000000005</v>
      </c>
      <c r="E1694" s="483">
        <v>529.57000000000005</v>
      </c>
    </row>
    <row r="1695" spans="1:5" ht="30">
      <c r="A1695" s="494">
        <v>85189</v>
      </c>
      <c r="B1695" s="485" t="s">
        <v>16155</v>
      </c>
      <c r="C1695" s="484" t="s">
        <v>65</v>
      </c>
      <c r="D1695" s="486">
        <v>1029.95</v>
      </c>
      <c r="E1695" s="486">
        <v>1029.95</v>
      </c>
    </row>
    <row r="1696" spans="1:5">
      <c r="A1696" s="495">
        <v>85010</v>
      </c>
      <c r="B1696" s="348" t="s">
        <v>3146</v>
      </c>
      <c r="C1696" s="349" t="s">
        <v>256</v>
      </c>
      <c r="D1696" s="483">
        <v>391.1</v>
      </c>
      <c r="E1696" s="483">
        <v>391.1</v>
      </c>
    </row>
    <row r="1697" spans="1:5">
      <c r="A1697" s="494">
        <v>85014</v>
      </c>
      <c r="B1697" s="485" t="s">
        <v>3145</v>
      </c>
      <c r="C1697" s="484" t="s">
        <v>256</v>
      </c>
      <c r="D1697" s="486">
        <v>468.18</v>
      </c>
      <c r="E1697" s="486">
        <v>468.18</v>
      </c>
    </row>
    <row r="1698" spans="1:5" ht="30">
      <c r="A1698" s="495">
        <v>94569</v>
      </c>
      <c r="B1698" s="348" t="s">
        <v>16156</v>
      </c>
      <c r="C1698" s="349" t="s">
        <v>256</v>
      </c>
      <c r="D1698" s="483">
        <v>460.31</v>
      </c>
      <c r="E1698" s="483">
        <v>460.31</v>
      </c>
    </row>
    <row r="1699" spans="1:5" ht="30">
      <c r="A1699" s="494">
        <v>94570</v>
      </c>
      <c r="B1699" s="485" t="s">
        <v>16157</v>
      </c>
      <c r="C1699" s="484" t="s">
        <v>256</v>
      </c>
      <c r="D1699" s="486">
        <v>419.64</v>
      </c>
      <c r="E1699" s="486">
        <v>419.64</v>
      </c>
    </row>
    <row r="1700" spans="1:5" ht="30">
      <c r="A1700" s="495">
        <v>94572</v>
      </c>
      <c r="B1700" s="348" t="s">
        <v>16158</v>
      </c>
      <c r="C1700" s="349" t="s">
        <v>256</v>
      </c>
      <c r="D1700" s="483">
        <v>623.51</v>
      </c>
      <c r="E1700" s="483">
        <v>623.51</v>
      </c>
    </row>
    <row r="1701" spans="1:5" ht="30">
      <c r="A1701" s="494">
        <v>94573</v>
      </c>
      <c r="B1701" s="485" t="s">
        <v>16159</v>
      </c>
      <c r="C1701" s="484" t="s">
        <v>256</v>
      </c>
      <c r="D1701" s="486">
        <v>408.75</v>
      </c>
      <c r="E1701" s="486">
        <v>408.75</v>
      </c>
    </row>
    <row r="1702" spans="1:5" ht="30">
      <c r="A1702" s="495">
        <v>94574</v>
      </c>
      <c r="B1702" s="348" t="s">
        <v>16160</v>
      </c>
      <c r="C1702" s="349" t="s">
        <v>256</v>
      </c>
      <c r="D1702" s="483">
        <v>619.80999999999995</v>
      </c>
      <c r="E1702" s="483">
        <v>619.80999999999995</v>
      </c>
    </row>
    <row r="1703" spans="1:5" ht="30">
      <c r="A1703" s="494">
        <v>94575</v>
      </c>
      <c r="B1703" s="485" t="s">
        <v>6214</v>
      </c>
      <c r="C1703" s="484" t="s">
        <v>256</v>
      </c>
      <c r="D1703" s="486">
        <v>496.87</v>
      </c>
      <c r="E1703" s="486">
        <v>496.87</v>
      </c>
    </row>
    <row r="1704" spans="1:5" ht="30">
      <c r="A1704" s="495">
        <v>94576</v>
      </c>
      <c r="B1704" s="348" t="s">
        <v>6203</v>
      </c>
      <c r="C1704" s="349" t="s">
        <v>256</v>
      </c>
      <c r="D1704" s="483">
        <v>429.88</v>
      </c>
      <c r="E1704" s="483">
        <v>429.88</v>
      </c>
    </row>
    <row r="1705" spans="1:5" ht="30">
      <c r="A1705" s="494">
        <v>94578</v>
      </c>
      <c r="B1705" s="485" t="s">
        <v>6206</v>
      </c>
      <c r="C1705" s="484" t="s">
        <v>256</v>
      </c>
      <c r="D1705" s="486">
        <v>633.92999999999995</v>
      </c>
      <c r="E1705" s="486">
        <v>633.92999999999995</v>
      </c>
    </row>
    <row r="1706" spans="1:5" ht="30">
      <c r="A1706" s="495">
        <v>94579</v>
      </c>
      <c r="B1706" s="348" t="s">
        <v>6209</v>
      </c>
      <c r="C1706" s="349" t="s">
        <v>256</v>
      </c>
      <c r="D1706" s="483">
        <v>419.95</v>
      </c>
      <c r="E1706" s="483">
        <v>419.95</v>
      </c>
    </row>
    <row r="1707" spans="1:5" ht="30">
      <c r="A1707" s="494">
        <v>94580</v>
      </c>
      <c r="B1707" s="485" t="s">
        <v>6211</v>
      </c>
      <c r="C1707" s="484" t="s">
        <v>256</v>
      </c>
      <c r="D1707" s="486">
        <v>630.63</v>
      </c>
      <c r="E1707" s="486">
        <v>630.63</v>
      </c>
    </row>
    <row r="1708" spans="1:5" ht="30">
      <c r="A1708" s="495">
        <v>94581</v>
      </c>
      <c r="B1708" s="348" t="s">
        <v>16161</v>
      </c>
      <c r="C1708" s="349" t="s">
        <v>256</v>
      </c>
      <c r="D1708" s="483">
        <v>495.06</v>
      </c>
      <c r="E1708" s="483">
        <v>495.06</v>
      </c>
    </row>
    <row r="1709" spans="1:5" ht="30">
      <c r="A1709" s="494">
        <v>94582</v>
      </c>
      <c r="B1709" s="485" t="s">
        <v>16162</v>
      </c>
      <c r="C1709" s="484" t="s">
        <v>256</v>
      </c>
      <c r="D1709" s="486">
        <v>429.59</v>
      </c>
      <c r="E1709" s="486">
        <v>429.59</v>
      </c>
    </row>
    <row r="1710" spans="1:5" ht="30">
      <c r="A1710" s="495">
        <v>94584</v>
      </c>
      <c r="B1710" s="348" t="s">
        <v>16163</v>
      </c>
      <c r="C1710" s="349" t="s">
        <v>256</v>
      </c>
      <c r="D1710" s="483">
        <v>639.28</v>
      </c>
      <c r="E1710" s="483">
        <v>639.28</v>
      </c>
    </row>
    <row r="1711" spans="1:5" ht="30">
      <c r="A1711" s="494">
        <v>94585</v>
      </c>
      <c r="B1711" s="485" t="s">
        <v>16164</v>
      </c>
      <c r="C1711" s="484" t="s">
        <v>256</v>
      </c>
      <c r="D1711" s="486">
        <v>418.94</v>
      </c>
      <c r="E1711" s="486">
        <v>418.94</v>
      </c>
    </row>
    <row r="1712" spans="1:5" ht="30">
      <c r="A1712" s="495">
        <v>94586</v>
      </c>
      <c r="B1712" s="348" t="s">
        <v>16165</v>
      </c>
      <c r="C1712" s="349" t="s">
        <v>256</v>
      </c>
      <c r="D1712" s="483">
        <v>636.86</v>
      </c>
      <c r="E1712" s="483">
        <v>636.86</v>
      </c>
    </row>
    <row r="1713" spans="1:5">
      <c r="A1713" s="484" t="s">
        <v>16166</v>
      </c>
      <c r="B1713" s="485" t="s">
        <v>3341</v>
      </c>
      <c r="C1713" s="484" t="s">
        <v>71</v>
      </c>
      <c r="D1713" s="486">
        <v>44.47</v>
      </c>
      <c r="E1713" s="486">
        <v>44.47</v>
      </c>
    </row>
    <row r="1714" spans="1:5">
      <c r="A1714" s="349" t="s">
        <v>16167</v>
      </c>
      <c r="B1714" s="348" t="s">
        <v>16168</v>
      </c>
      <c r="C1714" s="349" t="s">
        <v>71</v>
      </c>
      <c r="D1714" s="483">
        <v>32.71</v>
      </c>
      <c r="E1714" s="483">
        <v>32.71</v>
      </c>
    </row>
    <row r="1715" spans="1:5">
      <c r="A1715" s="494">
        <v>85015</v>
      </c>
      <c r="B1715" s="485" t="s">
        <v>515</v>
      </c>
      <c r="C1715" s="484" t="s">
        <v>71</v>
      </c>
      <c r="D1715" s="486">
        <v>19.28</v>
      </c>
      <c r="E1715" s="486">
        <v>19.28</v>
      </c>
    </row>
    <row r="1716" spans="1:5">
      <c r="A1716" s="495">
        <v>85016</v>
      </c>
      <c r="B1716" s="348" t="s">
        <v>516</v>
      </c>
      <c r="C1716" s="349" t="s">
        <v>71</v>
      </c>
      <c r="D1716" s="483">
        <v>23.58</v>
      </c>
      <c r="E1716" s="483">
        <v>23.58</v>
      </c>
    </row>
    <row r="1717" spans="1:5" ht="30">
      <c r="A1717" s="494">
        <v>79475</v>
      </c>
      <c r="B1717" s="485" t="s">
        <v>5107</v>
      </c>
      <c r="C1717" s="484" t="s">
        <v>255</v>
      </c>
      <c r="D1717" s="486">
        <v>563.70000000000005</v>
      </c>
      <c r="E1717" s="486">
        <v>563.70000000000005</v>
      </c>
    </row>
    <row r="1718" spans="1:5" ht="30">
      <c r="A1718" s="349" t="s">
        <v>16169</v>
      </c>
      <c r="B1718" s="348" t="s">
        <v>5284</v>
      </c>
      <c r="C1718" s="349" t="s">
        <v>71</v>
      </c>
      <c r="D1718" s="483">
        <v>40.21</v>
      </c>
      <c r="E1718" s="483">
        <v>40.21</v>
      </c>
    </row>
    <row r="1719" spans="1:5" ht="45">
      <c r="A1719" s="494">
        <v>89198</v>
      </c>
      <c r="B1719" s="485" t="s">
        <v>16170</v>
      </c>
      <c r="C1719" s="484" t="s">
        <v>71</v>
      </c>
      <c r="D1719" s="486">
        <v>66.05</v>
      </c>
      <c r="E1719" s="486">
        <v>66.05</v>
      </c>
    </row>
    <row r="1720" spans="1:5" ht="45">
      <c r="A1720" s="495">
        <v>89199</v>
      </c>
      <c r="B1720" s="348" t="s">
        <v>16171</v>
      </c>
      <c r="C1720" s="349" t="s">
        <v>71</v>
      </c>
      <c r="D1720" s="483">
        <v>86.02</v>
      </c>
      <c r="E1720" s="483">
        <v>86.02</v>
      </c>
    </row>
    <row r="1721" spans="1:5" ht="45">
      <c r="A1721" s="494">
        <v>89200</v>
      </c>
      <c r="B1721" s="485" t="s">
        <v>16172</v>
      </c>
      <c r="C1721" s="484" t="s">
        <v>71</v>
      </c>
      <c r="D1721" s="486">
        <v>195.21</v>
      </c>
      <c r="E1721" s="486">
        <v>195.21</v>
      </c>
    </row>
    <row r="1722" spans="1:5" ht="45">
      <c r="A1722" s="495">
        <v>89201</v>
      </c>
      <c r="B1722" s="348" t="s">
        <v>16173</v>
      </c>
      <c r="C1722" s="349" t="s">
        <v>71</v>
      </c>
      <c r="D1722" s="483">
        <v>49.68</v>
      </c>
      <c r="E1722" s="483">
        <v>49.68</v>
      </c>
    </row>
    <row r="1723" spans="1:5" ht="45">
      <c r="A1723" s="494">
        <v>89202</v>
      </c>
      <c r="B1723" s="485" t="s">
        <v>16174</v>
      </c>
      <c r="C1723" s="484" t="s">
        <v>71</v>
      </c>
      <c r="D1723" s="486">
        <v>63.28</v>
      </c>
      <c r="E1723" s="486">
        <v>63.28</v>
      </c>
    </row>
    <row r="1724" spans="1:5" ht="45">
      <c r="A1724" s="495">
        <v>89203</v>
      </c>
      <c r="B1724" s="348" t="s">
        <v>16175</v>
      </c>
      <c r="C1724" s="349" t="s">
        <v>71</v>
      </c>
      <c r="D1724" s="483">
        <v>141.78</v>
      </c>
      <c r="E1724" s="483">
        <v>141.78</v>
      </c>
    </row>
    <row r="1725" spans="1:5" ht="45">
      <c r="A1725" s="494">
        <v>89204</v>
      </c>
      <c r="B1725" s="485" t="s">
        <v>16176</v>
      </c>
      <c r="C1725" s="484" t="s">
        <v>71</v>
      </c>
      <c r="D1725" s="486">
        <v>43.84</v>
      </c>
      <c r="E1725" s="486">
        <v>43.84</v>
      </c>
    </row>
    <row r="1726" spans="1:5" ht="45">
      <c r="A1726" s="495">
        <v>89205</v>
      </c>
      <c r="B1726" s="348" t="s">
        <v>16177</v>
      </c>
      <c r="C1726" s="349" t="s">
        <v>71</v>
      </c>
      <c r="D1726" s="483">
        <v>56.48</v>
      </c>
      <c r="E1726" s="483">
        <v>56.48</v>
      </c>
    </row>
    <row r="1727" spans="1:5" ht="45">
      <c r="A1727" s="494">
        <v>89206</v>
      </c>
      <c r="B1727" s="485" t="s">
        <v>16178</v>
      </c>
      <c r="C1727" s="484" t="s">
        <v>71</v>
      </c>
      <c r="D1727" s="486">
        <v>129.32</v>
      </c>
      <c r="E1727" s="486">
        <v>129.32</v>
      </c>
    </row>
    <row r="1728" spans="1:5" ht="30">
      <c r="A1728" s="495">
        <v>90808</v>
      </c>
      <c r="B1728" s="348" t="s">
        <v>16179</v>
      </c>
      <c r="C1728" s="349" t="s">
        <v>71</v>
      </c>
      <c r="D1728" s="483">
        <v>60.38</v>
      </c>
      <c r="E1728" s="483">
        <v>60.38</v>
      </c>
    </row>
    <row r="1729" spans="1:5" ht="45">
      <c r="A1729" s="494">
        <v>90809</v>
      </c>
      <c r="B1729" s="485" t="s">
        <v>16180</v>
      </c>
      <c r="C1729" s="484" t="s">
        <v>71</v>
      </c>
      <c r="D1729" s="486">
        <v>57.93</v>
      </c>
      <c r="E1729" s="486">
        <v>57.93</v>
      </c>
    </row>
    <row r="1730" spans="1:5" ht="30">
      <c r="A1730" s="495">
        <v>90810</v>
      </c>
      <c r="B1730" s="348" t="s">
        <v>16181</v>
      </c>
      <c r="C1730" s="349" t="s">
        <v>71</v>
      </c>
      <c r="D1730" s="483">
        <v>124.02</v>
      </c>
      <c r="E1730" s="483">
        <v>124.02</v>
      </c>
    </row>
    <row r="1731" spans="1:5" ht="45">
      <c r="A1731" s="494">
        <v>90811</v>
      </c>
      <c r="B1731" s="485" t="s">
        <v>16182</v>
      </c>
      <c r="C1731" s="484" t="s">
        <v>71</v>
      </c>
      <c r="D1731" s="486">
        <v>116.59</v>
      </c>
      <c r="E1731" s="486">
        <v>116.59</v>
      </c>
    </row>
    <row r="1732" spans="1:5" ht="30">
      <c r="A1732" s="495">
        <v>90812</v>
      </c>
      <c r="B1732" s="348" t="s">
        <v>16183</v>
      </c>
      <c r="C1732" s="349" t="s">
        <v>71</v>
      </c>
      <c r="D1732" s="483">
        <v>208.94</v>
      </c>
      <c r="E1732" s="483">
        <v>208.94</v>
      </c>
    </row>
    <row r="1733" spans="1:5" ht="45">
      <c r="A1733" s="494">
        <v>90813</v>
      </c>
      <c r="B1733" s="485" t="s">
        <v>16184</v>
      </c>
      <c r="C1733" s="484" t="s">
        <v>71</v>
      </c>
      <c r="D1733" s="486">
        <v>198.73</v>
      </c>
      <c r="E1733" s="486">
        <v>198.73</v>
      </c>
    </row>
    <row r="1734" spans="1:5" ht="30">
      <c r="A1734" s="495">
        <v>90814</v>
      </c>
      <c r="B1734" s="348" t="s">
        <v>16185</v>
      </c>
      <c r="C1734" s="349" t="s">
        <v>71</v>
      </c>
      <c r="D1734" s="483">
        <v>249.66</v>
      </c>
      <c r="E1734" s="483">
        <v>249.66</v>
      </c>
    </row>
    <row r="1735" spans="1:5" ht="30">
      <c r="A1735" s="494">
        <v>90815</v>
      </c>
      <c r="B1735" s="485" t="s">
        <v>16186</v>
      </c>
      <c r="C1735" s="484" t="s">
        <v>71</v>
      </c>
      <c r="D1735" s="486">
        <v>301.79000000000002</v>
      </c>
      <c r="E1735" s="486">
        <v>301.79000000000002</v>
      </c>
    </row>
    <row r="1736" spans="1:5" ht="45">
      <c r="A1736" s="495">
        <v>90877</v>
      </c>
      <c r="B1736" s="348" t="s">
        <v>16187</v>
      </c>
      <c r="C1736" s="349" t="s">
        <v>71</v>
      </c>
      <c r="D1736" s="483">
        <v>40.24</v>
      </c>
      <c r="E1736" s="483">
        <v>40.24</v>
      </c>
    </row>
    <row r="1737" spans="1:5" ht="45">
      <c r="A1737" s="494">
        <v>90878</v>
      </c>
      <c r="B1737" s="485" t="s">
        <v>16188</v>
      </c>
      <c r="C1737" s="484" t="s">
        <v>71</v>
      </c>
      <c r="D1737" s="486">
        <v>38.35</v>
      </c>
      <c r="E1737" s="486">
        <v>38.35</v>
      </c>
    </row>
    <row r="1738" spans="1:5" ht="45">
      <c r="A1738" s="495">
        <v>90880</v>
      </c>
      <c r="B1738" s="348" t="s">
        <v>16189</v>
      </c>
      <c r="C1738" s="349" t="s">
        <v>71</v>
      </c>
      <c r="D1738" s="483">
        <v>51.33</v>
      </c>
      <c r="E1738" s="483">
        <v>51.33</v>
      </c>
    </row>
    <row r="1739" spans="1:5" ht="45">
      <c r="A1739" s="494">
        <v>90881</v>
      </c>
      <c r="B1739" s="485" t="s">
        <v>16190</v>
      </c>
      <c r="C1739" s="484" t="s">
        <v>71</v>
      </c>
      <c r="D1739" s="486">
        <v>47.29</v>
      </c>
      <c r="E1739" s="486">
        <v>47.29</v>
      </c>
    </row>
    <row r="1740" spans="1:5" ht="45">
      <c r="A1740" s="495">
        <v>90883</v>
      </c>
      <c r="B1740" s="348" t="s">
        <v>16191</v>
      </c>
      <c r="C1740" s="349" t="s">
        <v>71</v>
      </c>
      <c r="D1740" s="483">
        <v>63.93</v>
      </c>
      <c r="E1740" s="483">
        <v>63.93</v>
      </c>
    </row>
    <row r="1741" spans="1:5" ht="45">
      <c r="A1741" s="494">
        <v>90884</v>
      </c>
      <c r="B1741" s="485" t="s">
        <v>16192</v>
      </c>
      <c r="C1741" s="484" t="s">
        <v>71</v>
      </c>
      <c r="D1741" s="486">
        <v>61.82</v>
      </c>
      <c r="E1741" s="486">
        <v>61.82</v>
      </c>
    </row>
    <row r="1742" spans="1:5" ht="45">
      <c r="A1742" s="495">
        <v>90885</v>
      </c>
      <c r="B1742" s="348" t="s">
        <v>10943</v>
      </c>
      <c r="C1742" s="349" t="s">
        <v>71</v>
      </c>
      <c r="D1742" s="483">
        <v>60.89</v>
      </c>
      <c r="E1742" s="483">
        <v>60.89</v>
      </c>
    </row>
    <row r="1743" spans="1:5" ht="45">
      <c r="A1743" s="494">
        <v>90886</v>
      </c>
      <c r="B1743" s="485" t="s">
        <v>16193</v>
      </c>
      <c r="C1743" s="484" t="s">
        <v>71</v>
      </c>
      <c r="D1743" s="486">
        <v>119.85</v>
      </c>
      <c r="E1743" s="486">
        <v>119.85</v>
      </c>
    </row>
    <row r="1744" spans="1:5" ht="45">
      <c r="A1744" s="495">
        <v>90887</v>
      </c>
      <c r="B1744" s="348" t="s">
        <v>16194</v>
      </c>
      <c r="C1744" s="349" t="s">
        <v>71</v>
      </c>
      <c r="D1744" s="483">
        <v>117.61</v>
      </c>
      <c r="E1744" s="483">
        <v>117.61</v>
      </c>
    </row>
    <row r="1745" spans="1:5" ht="45">
      <c r="A1745" s="494">
        <v>90888</v>
      </c>
      <c r="B1745" s="485" t="s">
        <v>10946</v>
      </c>
      <c r="C1745" s="484" t="s">
        <v>71</v>
      </c>
      <c r="D1745" s="486">
        <v>116.66</v>
      </c>
      <c r="E1745" s="486">
        <v>116.66</v>
      </c>
    </row>
    <row r="1746" spans="1:5" ht="45">
      <c r="A1746" s="495">
        <v>90889</v>
      </c>
      <c r="B1746" s="348" t="s">
        <v>16195</v>
      </c>
      <c r="C1746" s="349" t="s">
        <v>71</v>
      </c>
      <c r="D1746" s="483">
        <v>139.88999999999999</v>
      </c>
      <c r="E1746" s="483">
        <v>139.88999999999999</v>
      </c>
    </row>
    <row r="1747" spans="1:5" ht="45">
      <c r="A1747" s="494">
        <v>90890</v>
      </c>
      <c r="B1747" s="485" t="s">
        <v>16196</v>
      </c>
      <c r="C1747" s="484" t="s">
        <v>71</v>
      </c>
      <c r="D1747" s="486">
        <v>136.72</v>
      </c>
      <c r="E1747" s="486">
        <v>136.72</v>
      </c>
    </row>
    <row r="1748" spans="1:5" ht="45">
      <c r="A1748" s="495">
        <v>90891</v>
      </c>
      <c r="B1748" s="348" t="s">
        <v>16197</v>
      </c>
      <c r="C1748" s="349" t="s">
        <v>71</v>
      </c>
      <c r="D1748" s="483">
        <v>135.33000000000001</v>
      </c>
      <c r="E1748" s="483">
        <v>135.33000000000001</v>
      </c>
    </row>
    <row r="1749" spans="1:5" ht="30">
      <c r="A1749" s="494">
        <v>95601</v>
      </c>
      <c r="B1749" s="485" t="s">
        <v>10950</v>
      </c>
      <c r="C1749" s="484" t="s">
        <v>65</v>
      </c>
      <c r="D1749" s="486">
        <v>19.22</v>
      </c>
      <c r="E1749" s="486">
        <v>19.22</v>
      </c>
    </row>
    <row r="1750" spans="1:5" ht="30">
      <c r="A1750" s="495">
        <v>95602</v>
      </c>
      <c r="B1750" s="348" t="s">
        <v>10951</v>
      </c>
      <c r="C1750" s="349" t="s">
        <v>65</v>
      </c>
      <c r="D1750" s="483">
        <v>24.46</v>
      </c>
      <c r="E1750" s="483">
        <v>24.46</v>
      </c>
    </row>
    <row r="1751" spans="1:5" ht="30">
      <c r="A1751" s="494">
        <v>95603</v>
      </c>
      <c r="B1751" s="485" t="s">
        <v>10952</v>
      </c>
      <c r="C1751" s="484" t="s">
        <v>65</v>
      </c>
      <c r="D1751" s="486">
        <v>32.1</v>
      </c>
      <c r="E1751" s="486">
        <v>32.1</v>
      </c>
    </row>
    <row r="1752" spans="1:5" ht="30">
      <c r="A1752" s="495">
        <v>95604</v>
      </c>
      <c r="B1752" s="348" t="s">
        <v>10953</v>
      </c>
      <c r="C1752" s="349" t="s">
        <v>65</v>
      </c>
      <c r="D1752" s="483">
        <v>42.26</v>
      </c>
      <c r="E1752" s="483">
        <v>42.26</v>
      </c>
    </row>
    <row r="1753" spans="1:5" ht="30">
      <c r="A1753" s="494">
        <v>95605</v>
      </c>
      <c r="B1753" s="485" t="s">
        <v>10954</v>
      </c>
      <c r="C1753" s="484" t="s">
        <v>65</v>
      </c>
      <c r="D1753" s="486">
        <v>66.27</v>
      </c>
      <c r="E1753" s="486">
        <v>66.27</v>
      </c>
    </row>
    <row r="1754" spans="1:5">
      <c r="A1754" s="495">
        <v>95607</v>
      </c>
      <c r="B1754" s="348" t="s">
        <v>16198</v>
      </c>
      <c r="C1754" s="349" t="s">
        <v>65</v>
      </c>
      <c r="D1754" s="483">
        <v>4.42</v>
      </c>
      <c r="E1754" s="483">
        <v>4.42</v>
      </c>
    </row>
    <row r="1755" spans="1:5">
      <c r="A1755" s="494">
        <v>95608</v>
      </c>
      <c r="B1755" s="485" t="s">
        <v>16199</v>
      </c>
      <c r="C1755" s="484" t="s">
        <v>65</v>
      </c>
      <c r="D1755" s="486">
        <v>5.09</v>
      </c>
      <c r="E1755" s="486">
        <v>5.09</v>
      </c>
    </row>
    <row r="1756" spans="1:5">
      <c r="A1756" s="495">
        <v>95609</v>
      </c>
      <c r="B1756" s="348" t="s">
        <v>16200</v>
      </c>
      <c r="C1756" s="349" t="s">
        <v>65</v>
      </c>
      <c r="D1756" s="483">
        <v>5.69</v>
      </c>
      <c r="E1756" s="483">
        <v>5.69</v>
      </c>
    </row>
    <row r="1757" spans="1:5" ht="30">
      <c r="A1757" s="494">
        <v>83534</v>
      </c>
      <c r="B1757" s="485" t="s">
        <v>16201</v>
      </c>
      <c r="C1757" s="484" t="s">
        <v>255</v>
      </c>
      <c r="D1757" s="486">
        <v>451.01</v>
      </c>
      <c r="E1757" s="486">
        <v>451.01</v>
      </c>
    </row>
    <row r="1758" spans="1:5" ht="30">
      <c r="A1758" s="495">
        <v>95240</v>
      </c>
      <c r="B1758" s="348" t="s">
        <v>6693</v>
      </c>
      <c r="C1758" s="349" t="s">
        <v>256</v>
      </c>
      <c r="D1758" s="483">
        <v>11.23</v>
      </c>
      <c r="E1758" s="483">
        <v>11.23</v>
      </c>
    </row>
    <row r="1759" spans="1:5" ht="30">
      <c r="A1759" s="494">
        <v>95241</v>
      </c>
      <c r="B1759" s="485" t="s">
        <v>6694</v>
      </c>
      <c r="C1759" s="484" t="s">
        <v>256</v>
      </c>
      <c r="D1759" s="486">
        <v>18.73</v>
      </c>
      <c r="E1759" s="486">
        <v>18.73</v>
      </c>
    </row>
    <row r="1760" spans="1:5" s="25" customFormat="1" ht="30">
      <c r="A1760" s="604" t="s">
        <v>20630</v>
      </c>
      <c r="B1760" s="605" t="s">
        <v>6694</v>
      </c>
      <c r="C1760" s="606" t="s">
        <v>256</v>
      </c>
      <c r="D1760" s="607">
        <v>18.73</v>
      </c>
      <c r="E1760" s="486"/>
    </row>
    <row r="1761" spans="1:5">
      <c r="A1761" s="495">
        <v>5651</v>
      </c>
      <c r="B1761" s="348" t="s">
        <v>5643</v>
      </c>
      <c r="C1761" s="349" t="s">
        <v>256</v>
      </c>
      <c r="D1761" s="483">
        <v>34.6</v>
      </c>
      <c r="E1761" s="483">
        <v>34.6</v>
      </c>
    </row>
    <row r="1762" spans="1:5">
      <c r="A1762" s="494">
        <v>5970</v>
      </c>
      <c r="B1762" s="485" t="s">
        <v>5644</v>
      </c>
      <c r="C1762" s="484" t="s">
        <v>256</v>
      </c>
      <c r="D1762" s="486">
        <v>60.1</v>
      </c>
      <c r="E1762" s="486">
        <v>60.1</v>
      </c>
    </row>
    <row r="1763" spans="1:5">
      <c r="A1763" s="349" t="s">
        <v>16202</v>
      </c>
      <c r="B1763" s="348" t="s">
        <v>5638</v>
      </c>
      <c r="C1763" s="349" t="s">
        <v>256</v>
      </c>
      <c r="D1763" s="483">
        <v>27.03</v>
      </c>
      <c r="E1763" s="483">
        <v>27.03</v>
      </c>
    </row>
    <row r="1764" spans="1:5">
      <c r="A1764" s="484" t="s">
        <v>16203</v>
      </c>
      <c r="B1764" s="485" t="s">
        <v>5642</v>
      </c>
      <c r="C1764" s="484" t="s">
        <v>256</v>
      </c>
      <c r="D1764" s="486">
        <v>86.98</v>
      </c>
      <c r="E1764" s="486">
        <v>86.98</v>
      </c>
    </row>
    <row r="1765" spans="1:5">
      <c r="A1765" s="349" t="s">
        <v>16204</v>
      </c>
      <c r="B1765" s="348" t="s">
        <v>5640</v>
      </c>
      <c r="C1765" s="349" t="s">
        <v>256</v>
      </c>
      <c r="D1765" s="483">
        <v>44.39</v>
      </c>
      <c r="E1765" s="483">
        <v>44.39</v>
      </c>
    </row>
    <row r="1766" spans="1:5">
      <c r="A1766" s="484" t="s">
        <v>16205</v>
      </c>
      <c r="B1766" s="485" t="s">
        <v>5641</v>
      </c>
      <c r="C1766" s="484" t="s">
        <v>256</v>
      </c>
      <c r="D1766" s="486">
        <v>31.99</v>
      </c>
      <c r="E1766" s="486">
        <v>31.99</v>
      </c>
    </row>
    <row r="1767" spans="1:5">
      <c r="A1767" s="349" t="s">
        <v>16206</v>
      </c>
      <c r="B1767" s="348" t="s">
        <v>5639</v>
      </c>
      <c r="C1767" s="349" t="s">
        <v>256</v>
      </c>
      <c r="D1767" s="483">
        <v>22.7</v>
      </c>
      <c r="E1767" s="483">
        <v>22.7</v>
      </c>
    </row>
    <row r="1768" spans="1:5" ht="30">
      <c r="A1768" s="494">
        <v>90996</v>
      </c>
      <c r="B1768" s="485" t="s">
        <v>16207</v>
      </c>
      <c r="C1768" s="484" t="s">
        <v>256</v>
      </c>
      <c r="D1768" s="486">
        <v>10.92</v>
      </c>
      <c r="E1768" s="486">
        <v>10.92</v>
      </c>
    </row>
    <row r="1769" spans="1:5" ht="30">
      <c r="A1769" s="495">
        <v>90997</v>
      </c>
      <c r="B1769" s="348" t="s">
        <v>16208</v>
      </c>
      <c r="C1769" s="349" t="s">
        <v>256</v>
      </c>
      <c r="D1769" s="483">
        <v>14.92</v>
      </c>
      <c r="E1769" s="483">
        <v>14.92</v>
      </c>
    </row>
    <row r="1770" spans="1:5" ht="30">
      <c r="A1770" s="494">
        <v>90998</v>
      </c>
      <c r="B1770" s="485" t="s">
        <v>16209</v>
      </c>
      <c r="C1770" s="484" t="s">
        <v>256</v>
      </c>
      <c r="D1770" s="486">
        <v>18.05</v>
      </c>
      <c r="E1770" s="486">
        <v>18.05</v>
      </c>
    </row>
    <row r="1771" spans="1:5" ht="30">
      <c r="A1771" s="495">
        <v>91000</v>
      </c>
      <c r="B1771" s="348" t="s">
        <v>16210</v>
      </c>
      <c r="C1771" s="349" t="s">
        <v>256</v>
      </c>
      <c r="D1771" s="483">
        <v>13.73</v>
      </c>
      <c r="E1771" s="483">
        <v>13.73</v>
      </c>
    </row>
    <row r="1772" spans="1:5" ht="30">
      <c r="A1772" s="494">
        <v>91002</v>
      </c>
      <c r="B1772" s="485" t="s">
        <v>16211</v>
      </c>
      <c r="C1772" s="484" t="s">
        <v>256</v>
      </c>
      <c r="D1772" s="486">
        <v>12.61</v>
      </c>
      <c r="E1772" s="486">
        <v>12.61</v>
      </c>
    </row>
    <row r="1773" spans="1:5" ht="30">
      <c r="A1773" s="495">
        <v>91003</v>
      </c>
      <c r="B1773" s="348" t="s">
        <v>16212</v>
      </c>
      <c r="C1773" s="349" t="s">
        <v>256</v>
      </c>
      <c r="D1773" s="483">
        <v>14.63</v>
      </c>
      <c r="E1773" s="483">
        <v>14.63</v>
      </c>
    </row>
    <row r="1774" spans="1:5" ht="30">
      <c r="A1774" s="494">
        <v>91004</v>
      </c>
      <c r="B1774" s="485" t="s">
        <v>16213</v>
      </c>
      <c r="C1774" s="484" t="s">
        <v>256</v>
      </c>
      <c r="D1774" s="486">
        <v>11.5</v>
      </c>
      <c r="E1774" s="486">
        <v>11.5</v>
      </c>
    </row>
    <row r="1775" spans="1:5" ht="30">
      <c r="A1775" s="495">
        <v>91005</v>
      </c>
      <c r="B1775" s="348" t="s">
        <v>16214</v>
      </c>
      <c r="C1775" s="349" t="s">
        <v>256</v>
      </c>
      <c r="D1775" s="483">
        <v>13.82</v>
      </c>
      <c r="E1775" s="483">
        <v>13.82</v>
      </c>
    </row>
    <row r="1776" spans="1:5" ht="30">
      <c r="A1776" s="494">
        <v>91006</v>
      </c>
      <c r="B1776" s="485" t="s">
        <v>16215</v>
      </c>
      <c r="C1776" s="484" t="s">
        <v>256</v>
      </c>
      <c r="D1776" s="486">
        <v>10.61</v>
      </c>
      <c r="E1776" s="486">
        <v>10.61</v>
      </c>
    </row>
    <row r="1777" spans="1:5" ht="30">
      <c r="A1777" s="495">
        <v>91007</v>
      </c>
      <c r="B1777" s="348" t="s">
        <v>16216</v>
      </c>
      <c r="C1777" s="349" t="s">
        <v>256</v>
      </c>
      <c r="D1777" s="483">
        <v>9.49</v>
      </c>
      <c r="E1777" s="483">
        <v>9.49</v>
      </c>
    </row>
    <row r="1778" spans="1:5" ht="30">
      <c r="A1778" s="494">
        <v>91008</v>
      </c>
      <c r="B1778" s="485" t="s">
        <v>16217</v>
      </c>
      <c r="C1778" s="484" t="s">
        <v>256</v>
      </c>
      <c r="D1778" s="486">
        <v>11.51</v>
      </c>
      <c r="E1778" s="486">
        <v>11.51</v>
      </c>
    </row>
    <row r="1779" spans="1:5" ht="30">
      <c r="A1779" s="495">
        <v>92263</v>
      </c>
      <c r="B1779" s="348" t="s">
        <v>16218</v>
      </c>
      <c r="C1779" s="349" t="s">
        <v>256</v>
      </c>
      <c r="D1779" s="483">
        <v>80.05</v>
      </c>
      <c r="E1779" s="483">
        <v>80.05</v>
      </c>
    </row>
    <row r="1780" spans="1:5" ht="30">
      <c r="A1780" s="494">
        <v>92264</v>
      </c>
      <c r="B1780" s="485" t="s">
        <v>16219</v>
      </c>
      <c r="C1780" s="484" t="s">
        <v>256</v>
      </c>
      <c r="D1780" s="486">
        <v>98.14</v>
      </c>
      <c r="E1780" s="486">
        <v>98.14</v>
      </c>
    </row>
    <row r="1781" spans="1:5" ht="30">
      <c r="A1781" s="495">
        <v>92265</v>
      </c>
      <c r="B1781" s="348" t="s">
        <v>16220</v>
      </c>
      <c r="C1781" s="349" t="s">
        <v>256</v>
      </c>
      <c r="D1781" s="483">
        <v>58.87</v>
      </c>
      <c r="E1781" s="483">
        <v>58.87</v>
      </c>
    </row>
    <row r="1782" spans="1:5" ht="30">
      <c r="A1782" s="494">
        <v>92266</v>
      </c>
      <c r="B1782" s="485" t="s">
        <v>16221</v>
      </c>
      <c r="C1782" s="484" t="s">
        <v>256</v>
      </c>
      <c r="D1782" s="486">
        <v>75</v>
      </c>
      <c r="E1782" s="486">
        <v>75</v>
      </c>
    </row>
    <row r="1783" spans="1:5" ht="30">
      <c r="A1783" s="495">
        <v>92267</v>
      </c>
      <c r="B1783" s="348" t="s">
        <v>16222</v>
      </c>
      <c r="C1783" s="349" t="s">
        <v>256</v>
      </c>
      <c r="D1783" s="483">
        <v>18.62</v>
      </c>
      <c r="E1783" s="483">
        <v>18.62</v>
      </c>
    </row>
    <row r="1784" spans="1:5" ht="30">
      <c r="A1784" s="494">
        <v>92268</v>
      </c>
      <c r="B1784" s="485" t="s">
        <v>16223</v>
      </c>
      <c r="C1784" s="484" t="s">
        <v>256</v>
      </c>
      <c r="D1784" s="486">
        <v>32.85</v>
      </c>
      <c r="E1784" s="486">
        <v>32.85</v>
      </c>
    </row>
    <row r="1785" spans="1:5" ht="30">
      <c r="A1785" s="495">
        <v>92269</v>
      </c>
      <c r="B1785" s="348" t="s">
        <v>16224</v>
      </c>
      <c r="C1785" s="349" t="s">
        <v>256</v>
      </c>
      <c r="D1785" s="483">
        <v>79.650000000000006</v>
      </c>
      <c r="E1785" s="483">
        <v>79.650000000000006</v>
      </c>
    </row>
    <row r="1786" spans="1:5">
      <c r="A1786" s="494">
        <v>92270</v>
      </c>
      <c r="B1786" s="485" t="s">
        <v>16225</v>
      </c>
      <c r="C1786" s="484" t="s">
        <v>256</v>
      </c>
      <c r="D1786" s="486">
        <v>66.510000000000005</v>
      </c>
      <c r="E1786" s="486">
        <v>66.510000000000005</v>
      </c>
    </row>
    <row r="1787" spans="1:5">
      <c r="A1787" s="495">
        <v>92271</v>
      </c>
      <c r="B1787" s="348" t="s">
        <v>16226</v>
      </c>
      <c r="C1787" s="349" t="s">
        <v>256</v>
      </c>
      <c r="D1787" s="483">
        <v>50.91</v>
      </c>
      <c r="E1787" s="483">
        <v>50.91</v>
      </c>
    </row>
    <row r="1788" spans="1:5">
      <c r="A1788" s="494">
        <v>92272</v>
      </c>
      <c r="B1788" s="485" t="s">
        <v>524</v>
      </c>
      <c r="C1788" s="484" t="s">
        <v>71</v>
      </c>
      <c r="D1788" s="486">
        <v>19.66</v>
      </c>
      <c r="E1788" s="486">
        <v>19.66</v>
      </c>
    </row>
    <row r="1789" spans="1:5">
      <c r="A1789" s="495">
        <v>92273</v>
      </c>
      <c r="B1789" s="348" t="s">
        <v>525</v>
      </c>
      <c r="C1789" s="349" t="s">
        <v>71</v>
      </c>
      <c r="D1789" s="483">
        <v>9.0299999999999994</v>
      </c>
      <c r="E1789" s="483">
        <v>9.0299999999999994</v>
      </c>
    </row>
    <row r="1790" spans="1:5" ht="45">
      <c r="A1790" s="494">
        <v>92408</v>
      </c>
      <c r="B1790" s="485" t="s">
        <v>16227</v>
      </c>
      <c r="C1790" s="484" t="s">
        <v>256</v>
      </c>
      <c r="D1790" s="486">
        <v>154.80000000000001</v>
      </c>
      <c r="E1790" s="486">
        <v>154.80000000000001</v>
      </c>
    </row>
    <row r="1791" spans="1:5" ht="45">
      <c r="A1791" s="495">
        <v>92409</v>
      </c>
      <c r="B1791" s="491" t="s">
        <v>16228</v>
      </c>
      <c r="C1791" s="349" t="s">
        <v>256</v>
      </c>
      <c r="D1791" s="483">
        <v>146.25</v>
      </c>
      <c r="E1791" s="483">
        <v>146.25</v>
      </c>
    </row>
    <row r="1792" spans="1:5" ht="48" customHeight="1">
      <c r="A1792" s="494">
        <v>92410</v>
      </c>
      <c r="B1792" s="485" t="s">
        <v>16229</v>
      </c>
      <c r="C1792" s="484" t="s">
        <v>256</v>
      </c>
      <c r="D1792" s="486">
        <v>107.19</v>
      </c>
      <c r="E1792" s="486">
        <v>107.19</v>
      </c>
    </row>
    <row r="1793" spans="1:5" ht="45">
      <c r="A1793" s="495">
        <v>92411</v>
      </c>
      <c r="B1793" s="491" t="s">
        <v>16230</v>
      </c>
      <c r="C1793" s="349" t="s">
        <v>256</v>
      </c>
      <c r="D1793" s="483">
        <v>99.64</v>
      </c>
      <c r="E1793" s="483">
        <v>99.64</v>
      </c>
    </row>
    <row r="1794" spans="1:5" ht="45">
      <c r="A1794" s="494">
        <v>92412</v>
      </c>
      <c r="B1794" s="485" t="s">
        <v>16231</v>
      </c>
      <c r="C1794" s="484" t="s">
        <v>256</v>
      </c>
      <c r="D1794" s="486">
        <v>71.959999999999994</v>
      </c>
      <c r="E1794" s="486">
        <v>71.959999999999994</v>
      </c>
    </row>
    <row r="1795" spans="1:5" ht="45">
      <c r="A1795" s="495">
        <v>92413</v>
      </c>
      <c r="B1795" s="491" t="s">
        <v>16232</v>
      </c>
      <c r="C1795" s="349" t="s">
        <v>256</v>
      </c>
      <c r="D1795" s="483">
        <v>66.14</v>
      </c>
      <c r="E1795" s="483">
        <v>66.14</v>
      </c>
    </row>
    <row r="1796" spans="1:5" ht="45">
      <c r="A1796" s="494">
        <v>92414</v>
      </c>
      <c r="B1796" s="485" t="s">
        <v>16233</v>
      </c>
      <c r="C1796" s="484" t="s">
        <v>256</v>
      </c>
      <c r="D1796" s="486">
        <v>81.03</v>
      </c>
      <c r="E1796" s="486">
        <v>81.03</v>
      </c>
    </row>
    <row r="1797" spans="1:5" ht="45">
      <c r="A1797" s="495">
        <v>92415</v>
      </c>
      <c r="B1797" s="348" t="s">
        <v>16234</v>
      </c>
      <c r="C1797" s="349" t="s">
        <v>256</v>
      </c>
      <c r="D1797" s="483">
        <v>73.489999999999995</v>
      </c>
      <c r="E1797" s="483">
        <v>73.489999999999995</v>
      </c>
    </row>
    <row r="1798" spans="1:5" s="25" customFormat="1" ht="54.75" customHeight="1">
      <c r="A1798" s="604" t="s">
        <v>20632</v>
      </c>
      <c r="B1798" s="710" t="s">
        <v>16234</v>
      </c>
      <c r="C1798" s="606" t="s">
        <v>256</v>
      </c>
      <c r="D1798" s="607">
        <v>73.489999999999995</v>
      </c>
      <c r="E1798" s="607">
        <v>73.489999999999995</v>
      </c>
    </row>
    <row r="1799" spans="1:5" ht="45">
      <c r="A1799" s="494">
        <v>92416</v>
      </c>
      <c r="B1799" s="485" t="s">
        <v>16235</v>
      </c>
      <c r="C1799" s="484" t="s">
        <v>256</v>
      </c>
      <c r="D1799" s="486">
        <v>96.56</v>
      </c>
      <c r="E1799" s="486">
        <v>96.56</v>
      </c>
    </row>
    <row r="1800" spans="1:5" ht="45">
      <c r="A1800" s="495">
        <v>92417</v>
      </c>
      <c r="B1800" s="348" t="s">
        <v>16236</v>
      </c>
      <c r="C1800" s="349" t="s">
        <v>256</v>
      </c>
      <c r="D1800" s="483">
        <v>89.04</v>
      </c>
      <c r="E1800" s="483">
        <v>89.04</v>
      </c>
    </row>
    <row r="1801" spans="1:5" ht="45">
      <c r="A1801" s="494">
        <v>92418</v>
      </c>
      <c r="B1801" s="485" t="s">
        <v>16237</v>
      </c>
      <c r="C1801" s="484" t="s">
        <v>256</v>
      </c>
      <c r="D1801" s="486">
        <v>52.77</v>
      </c>
      <c r="E1801" s="486">
        <v>52.77</v>
      </c>
    </row>
    <row r="1802" spans="1:5" ht="45">
      <c r="A1802" s="495">
        <v>92419</v>
      </c>
      <c r="B1802" s="348" t="s">
        <v>16238</v>
      </c>
      <c r="C1802" s="349" t="s">
        <v>256</v>
      </c>
      <c r="D1802" s="483">
        <v>46.99</v>
      </c>
      <c r="E1802" s="483">
        <v>46.99</v>
      </c>
    </row>
    <row r="1803" spans="1:5" ht="45">
      <c r="A1803" s="494">
        <v>92420</v>
      </c>
      <c r="B1803" s="485" t="s">
        <v>16239</v>
      </c>
      <c r="C1803" s="484" t="s">
        <v>256</v>
      </c>
      <c r="D1803" s="486">
        <v>64.709999999999994</v>
      </c>
      <c r="E1803" s="486">
        <v>64.709999999999994</v>
      </c>
    </row>
    <row r="1804" spans="1:5" ht="45">
      <c r="A1804" s="495">
        <v>92421</v>
      </c>
      <c r="B1804" s="348" t="s">
        <v>16240</v>
      </c>
      <c r="C1804" s="349" t="s">
        <v>256</v>
      </c>
      <c r="D1804" s="483">
        <v>58.91</v>
      </c>
      <c r="E1804" s="483">
        <v>58.91</v>
      </c>
    </row>
    <row r="1805" spans="1:5" ht="45">
      <c r="A1805" s="494">
        <v>92422</v>
      </c>
      <c r="B1805" s="485" t="s">
        <v>16241</v>
      </c>
      <c r="C1805" s="484" t="s">
        <v>256</v>
      </c>
      <c r="D1805" s="486">
        <v>43.55</v>
      </c>
      <c r="E1805" s="486">
        <v>43.55</v>
      </c>
    </row>
    <row r="1806" spans="1:5" ht="45">
      <c r="A1806" s="495">
        <v>92423</v>
      </c>
      <c r="B1806" s="348" t="s">
        <v>16242</v>
      </c>
      <c r="C1806" s="349" t="s">
        <v>256</v>
      </c>
      <c r="D1806" s="483">
        <v>38.53</v>
      </c>
      <c r="E1806" s="483">
        <v>38.53</v>
      </c>
    </row>
    <row r="1807" spans="1:5" ht="45">
      <c r="A1807" s="494">
        <v>92424</v>
      </c>
      <c r="B1807" s="485" t="s">
        <v>16243</v>
      </c>
      <c r="C1807" s="484" t="s">
        <v>256</v>
      </c>
      <c r="D1807" s="486">
        <v>53.95</v>
      </c>
      <c r="E1807" s="486">
        <v>53.95</v>
      </c>
    </row>
    <row r="1808" spans="1:5" ht="45">
      <c r="A1808" s="495">
        <v>92425</v>
      </c>
      <c r="B1808" s="348" t="s">
        <v>16244</v>
      </c>
      <c r="C1808" s="349" t="s">
        <v>256</v>
      </c>
      <c r="D1808" s="483">
        <v>48.9</v>
      </c>
      <c r="E1808" s="483">
        <v>48.9</v>
      </c>
    </row>
    <row r="1809" spans="1:5" ht="45">
      <c r="A1809" s="494">
        <v>92426</v>
      </c>
      <c r="B1809" s="485" t="s">
        <v>16245</v>
      </c>
      <c r="C1809" s="484" t="s">
        <v>256</v>
      </c>
      <c r="D1809" s="486">
        <v>38.92</v>
      </c>
      <c r="E1809" s="486">
        <v>38.92</v>
      </c>
    </row>
    <row r="1810" spans="1:5" ht="45">
      <c r="A1810" s="495">
        <v>92427</v>
      </c>
      <c r="B1810" s="348" t="s">
        <v>16246</v>
      </c>
      <c r="C1810" s="349" t="s">
        <v>256</v>
      </c>
      <c r="D1810" s="483">
        <v>34.270000000000003</v>
      </c>
      <c r="E1810" s="483">
        <v>34.270000000000003</v>
      </c>
    </row>
    <row r="1811" spans="1:5" ht="45">
      <c r="A1811" s="494">
        <v>92428</v>
      </c>
      <c r="B1811" s="485" t="s">
        <v>16247</v>
      </c>
      <c r="C1811" s="484" t="s">
        <v>256</v>
      </c>
      <c r="D1811" s="486">
        <v>48.54</v>
      </c>
      <c r="E1811" s="486">
        <v>48.54</v>
      </c>
    </row>
    <row r="1812" spans="1:5" ht="45">
      <c r="A1812" s="495">
        <v>92429</v>
      </c>
      <c r="B1812" s="348" t="s">
        <v>16248</v>
      </c>
      <c r="C1812" s="349" t="s">
        <v>256</v>
      </c>
      <c r="D1812" s="483">
        <v>43.88</v>
      </c>
      <c r="E1812" s="483">
        <v>43.88</v>
      </c>
    </row>
    <row r="1813" spans="1:5" ht="45">
      <c r="A1813" s="494">
        <v>92430</v>
      </c>
      <c r="B1813" s="485" t="s">
        <v>16249</v>
      </c>
      <c r="C1813" s="484" t="s">
        <v>256</v>
      </c>
      <c r="D1813" s="486">
        <v>36.229999999999997</v>
      </c>
      <c r="E1813" s="486">
        <v>36.229999999999997</v>
      </c>
    </row>
    <row r="1814" spans="1:5" ht="45">
      <c r="A1814" s="495">
        <v>92431</v>
      </c>
      <c r="B1814" s="348" t="s">
        <v>16250</v>
      </c>
      <c r="C1814" s="349" t="s">
        <v>256</v>
      </c>
      <c r="D1814" s="483">
        <v>31.81</v>
      </c>
      <c r="E1814" s="483">
        <v>31.81</v>
      </c>
    </row>
    <row r="1815" spans="1:5" ht="45">
      <c r="A1815" s="494">
        <v>92432</v>
      </c>
      <c r="B1815" s="485" t="s">
        <v>16251</v>
      </c>
      <c r="C1815" s="484" t="s">
        <v>256</v>
      </c>
      <c r="D1815" s="486">
        <v>45.35</v>
      </c>
      <c r="E1815" s="486">
        <v>45.35</v>
      </c>
    </row>
    <row r="1816" spans="1:5" ht="45">
      <c r="A1816" s="495">
        <v>92433</v>
      </c>
      <c r="B1816" s="348" t="s">
        <v>16252</v>
      </c>
      <c r="C1816" s="349" t="s">
        <v>256</v>
      </c>
      <c r="D1816" s="483">
        <v>40.93</v>
      </c>
      <c r="E1816" s="483">
        <v>40.93</v>
      </c>
    </row>
    <row r="1817" spans="1:5" ht="45">
      <c r="A1817" s="494">
        <v>92434</v>
      </c>
      <c r="B1817" s="485" t="s">
        <v>16253</v>
      </c>
      <c r="C1817" s="484" t="s">
        <v>256</v>
      </c>
      <c r="D1817" s="486">
        <v>34.520000000000003</v>
      </c>
      <c r="E1817" s="486">
        <v>34.520000000000003</v>
      </c>
    </row>
    <row r="1818" spans="1:5" ht="45">
      <c r="A1818" s="495">
        <v>92435</v>
      </c>
      <c r="B1818" s="348" t="s">
        <v>16254</v>
      </c>
      <c r="C1818" s="349" t="s">
        <v>256</v>
      </c>
      <c r="D1818" s="483">
        <v>30.24</v>
      </c>
      <c r="E1818" s="483">
        <v>30.24</v>
      </c>
    </row>
    <row r="1819" spans="1:5" ht="45">
      <c r="A1819" s="494">
        <v>92436</v>
      </c>
      <c r="B1819" s="485" t="s">
        <v>16255</v>
      </c>
      <c r="C1819" s="484" t="s">
        <v>256</v>
      </c>
      <c r="D1819" s="486">
        <v>43.32</v>
      </c>
      <c r="E1819" s="486">
        <v>43.32</v>
      </c>
    </row>
    <row r="1820" spans="1:5" ht="45">
      <c r="A1820" s="495">
        <v>92437</v>
      </c>
      <c r="B1820" s="348" t="s">
        <v>16256</v>
      </c>
      <c r="C1820" s="349" t="s">
        <v>256</v>
      </c>
      <c r="D1820" s="483">
        <v>39.049999999999997</v>
      </c>
      <c r="E1820" s="483">
        <v>39.049999999999997</v>
      </c>
    </row>
    <row r="1821" spans="1:5" ht="45">
      <c r="A1821" s="494">
        <v>92438</v>
      </c>
      <c r="B1821" s="485" t="s">
        <v>16257</v>
      </c>
      <c r="C1821" s="484" t="s">
        <v>256</v>
      </c>
      <c r="D1821" s="486">
        <v>33.28</v>
      </c>
      <c r="E1821" s="486">
        <v>33.28</v>
      </c>
    </row>
    <row r="1822" spans="1:5" ht="45">
      <c r="A1822" s="495">
        <v>92439</v>
      </c>
      <c r="B1822" s="348" t="s">
        <v>16258</v>
      </c>
      <c r="C1822" s="349" t="s">
        <v>256</v>
      </c>
      <c r="D1822" s="483">
        <v>29.11</v>
      </c>
      <c r="E1822" s="483">
        <v>29.11</v>
      </c>
    </row>
    <row r="1823" spans="1:5" ht="45">
      <c r="A1823" s="494">
        <v>92440</v>
      </c>
      <c r="B1823" s="485" t="s">
        <v>16259</v>
      </c>
      <c r="C1823" s="484" t="s">
        <v>256</v>
      </c>
      <c r="D1823" s="486">
        <v>41.85</v>
      </c>
      <c r="E1823" s="486">
        <v>41.85</v>
      </c>
    </row>
    <row r="1824" spans="1:5" ht="45">
      <c r="A1824" s="495">
        <v>92441</v>
      </c>
      <c r="B1824" s="348" t="s">
        <v>16260</v>
      </c>
      <c r="C1824" s="349" t="s">
        <v>256</v>
      </c>
      <c r="D1824" s="483">
        <v>37.71</v>
      </c>
      <c r="E1824" s="483">
        <v>37.71</v>
      </c>
    </row>
    <row r="1825" spans="1:5" ht="45">
      <c r="A1825" s="494">
        <v>92442</v>
      </c>
      <c r="B1825" s="485" t="s">
        <v>16261</v>
      </c>
      <c r="C1825" s="484" t="s">
        <v>256</v>
      </c>
      <c r="D1825" s="486">
        <v>30.8</v>
      </c>
      <c r="E1825" s="486">
        <v>30.8</v>
      </c>
    </row>
    <row r="1826" spans="1:5" ht="45">
      <c r="A1826" s="495">
        <v>92443</v>
      </c>
      <c r="B1826" s="348" t="s">
        <v>16262</v>
      </c>
      <c r="C1826" s="349" t="s">
        <v>256</v>
      </c>
      <c r="D1826" s="483">
        <v>26.77</v>
      </c>
      <c r="E1826" s="483">
        <v>26.77</v>
      </c>
    </row>
    <row r="1827" spans="1:5" ht="45">
      <c r="A1827" s="494">
        <v>92444</v>
      </c>
      <c r="B1827" s="485" t="s">
        <v>16263</v>
      </c>
      <c r="C1827" s="484" t="s">
        <v>256</v>
      </c>
      <c r="D1827" s="486">
        <v>39.1</v>
      </c>
      <c r="E1827" s="486">
        <v>39.1</v>
      </c>
    </row>
    <row r="1828" spans="1:5" ht="45">
      <c r="A1828" s="495">
        <v>92445</v>
      </c>
      <c r="B1828" s="348" t="s">
        <v>16264</v>
      </c>
      <c r="C1828" s="349" t="s">
        <v>256</v>
      </c>
      <c r="D1828" s="483">
        <v>35.06</v>
      </c>
      <c r="E1828" s="483">
        <v>35.06</v>
      </c>
    </row>
    <row r="1829" spans="1:5" ht="30">
      <c r="A1829" s="494">
        <v>92446</v>
      </c>
      <c r="B1829" s="485" t="s">
        <v>16265</v>
      </c>
      <c r="C1829" s="484" t="s">
        <v>256</v>
      </c>
      <c r="D1829" s="486">
        <v>145.27000000000001</v>
      </c>
      <c r="E1829" s="486">
        <v>145.27000000000001</v>
      </c>
    </row>
    <row r="1830" spans="1:5" ht="30">
      <c r="A1830" s="495">
        <v>92447</v>
      </c>
      <c r="B1830" s="348" t="s">
        <v>16266</v>
      </c>
      <c r="C1830" s="349" t="s">
        <v>256</v>
      </c>
      <c r="D1830" s="483">
        <v>104.71</v>
      </c>
      <c r="E1830" s="483">
        <v>104.71</v>
      </c>
    </row>
    <row r="1831" spans="1:5" ht="30">
      <c r="A1831" s="494">
        <v>92448</v>
      </c>
      <c r="B1831" s="485" t="s">
        <v>16267</v>
      </c>
      <c r="C1831" s="484" t="s">
        <v>256</v>
      </c>
      <c r="D1831" s="486">
        <v>84.67</v>
      </c>
      <c r="E1831" s="486">
        <v>84.67</v>
      </c>
    </row>
    <row r="1832" spans="1:5" ht="30">
      <c r="A1832" s="495">
        <v>92449</v>
      </c>
      <c r="B1832" s="348" t="s">
        <v>16268</v>
      </c>
      <c r="C1832" s="349" t="s">
        <v>256</v>
      </c>
      <c r="D1832" s="483">
        <v>150.36000000000001</v>
      </c>
      <c r="E1832" s="483">
        <v>150.36000000000001</v>
      </c>
    </row>
    <row r="1833" spans="1:5" ht="30">
      <c r="A1833" s="494">
        <v>92450</v>
      </c>
      <c r="B1833" s="485" t="s">
        <v>16269</v>
      </c>
      <c r="C1833" s="484" t="s">
        <v>256</v>
      </c>
      <c r="D1833" s="486">
        <v>115.74</v>
      </c>
      <c r="E1833" s="486">
        <v>115.74</v>
      </c>
    </row>
    <row r="1834" spans="1:5" ht="30">
      <c r="A1834" s="495">
        <v>92451</v>
      </c>
      <c r="B1834" s="348" t="s">
        <v>16270</v>
      </c>
      <c r="C1834" s="349" t="s">
        <v>256</v>
      </c>
      <c r="D1834" s="483">
        <v>101.11</v>
      </c>
      <c r="E1834" s="483">
        <v>101.11</v>
      </c>
    </row>
    <row r="1835" spans="1:5" ht="30">
      <c r="A1835" s="494">
        <v>92452</v>
      </c>
      <c r="B1835" s="485" t="s">
        <v>16271</v>
      </c>
      <c r="C1835" s="484" t="s">
        <v>256</v>
      </c>
      <c r="D1835" s="486">
        <v>88.86</v>
      </c>
      <c r="E1835" s="486">
        <v>88.86</v>
      </c>
    </row>
    <row r="1836" spans="1:5" ht="30">
      <c r="A1836" s="495">
        <v>92453</v>
      </c>
      <c r="B1836" s="348" t="s">
        <v>16272</v>
      </c>
      <c r="C1836" s="349" t="s">
        <v>256</v>
      </c>
      <c r="D1836" s="483">
        <v>130.11000000000001</v>
      </c>
      <c r="E1836" s="483">
        <v>130.11000000000001</v>
      </c>
    </row>
    <row r="1837" spans="1:5" ht="30">
      <c r="A1837" s="494">
        <v>92454</v>
      </c>
      <c r="B1837" s="485" t="s">
        <v>16273</v>
      </c>
      <c r="C1837" s="484" t="s">
        <v>256</v>
      </c>
      <c r="D1837" s="486">
        <v>109.99</v>
      </c>
      <c r="E1837" s="486">
        <v>109.99</v>
      </c>
    </row>
    <row r="1838" spans="1:5" ht="30">
      <c r="A1838" s="495">
        <v>92455</v>
      </c>
      <c r="B1838" s="348" t="s">
        <v>16274</v>
      </c>
      <c r="C1838" s="349" t="s">
        <v>256</v>
      </c>
      <c r="D1838" s="483">
        <v>84.08</v>
      </c>
      <c r="E1838" s="483">
        <v>84.08</v>
      </c>
    </row>
    <row r="1839" spans="1:5" ht="30">
      <c r="A1839" s="494">
        <v>92456</v>
      </c>
      <c r="B1839" s="485" t="s">
        <v>16275</v>
      </c>
      <c r="C1839" s="484" t="s">
        <v>256</v>
      </c>
      <c r="D1839" s="486">
        <v>75.349999999999994</v>
      </c>
      <c r="E1839" s="486">
        <v>75.349999999999994</v>
      </c>
    </row>
    <row r="1840" spans="1:5" ht="30">
      <c r="A1840" s="495">
        <v>92457</v>
      </c>
      <c r="B1840" s="348" t="s">
        <v>16276</v>
      </c>
      <c r="C1840" s="349" t="s">
        <v>256</v>
      </c>
      <c r="D1840" s="483">
        <v>113.73</v>
      </c>
      <c r="E1840" s="483">
        <v>113.73</v>
      </c>
    </row>
    <row r="1841" spans="1:5" ht="30">
      <c r="A1841" s="494">
        <v>92458</v>
      </c>
      <c r="B1841" s="485" t="s">
        <v>16277</v>
      </c>
      <c r="C1841" s="484" t="s">
        <v>256</v>
      </c>
      <c r="D1841" s="486">
        <v>99.57</v>
      </c>
      <c r="E1841" s="486">
        <v>99.57</v>
      </c>
    </row>
    <row r="1842" spans="1:5" ht="30">
      <c r="A1842" s="495">
        <v>92459</v>
      </c>
      <c r="B1842" s="348" t="s">
        <v>16278</v>
      </c>
      <c r="C1842" s="349" t="s">
        <v>256</v>
      </c>
      <c r="D1842" s="483">
        <v>72</v>
      </c>
      <c r="E1842" s="483">
        <v>72</v>
      </c>
    </row>
    <row r="1843" spans="1:5" ht="30">
      <c r="A1843" s="494">
        <v>92460</v>
      </c>
      <c r="B1843" s="485" t="s">
        <v>16279</v>
      </c>
      <c r="C1843" s="484" t="s">
        <v>256</v>
      </c>
      <c r="D1843" s="486">
        <v>62.43</v>
      </c>
      <c r="E1843" s="486">
        <v>62.43</v>
      </c>
    </row>
    <row r="1844" spans="1:5" ht="30">
      <c r="A1844" s="495">
        <v>92461</v>
      </c>
      <c r="B1844" s="348" t="s">
        <v>16280</v>
      </c>
      <c r="C1844" s="349" t="s">
        <v>256</v>
      </c>
      <c r="D1844" s="483">
        <v>105.16</v>
      </c>
      <c r="E1844" s="483">
        <v>105.16</v>
      </c>
    </row>
    <row r="1845" spans="1:5" ht="30">
      <c r="A1845" s="494">
        <v>92462</v>
      </c>
      <c r="B1845" s="485" t="s">
        <v>16281</v>
      </c>
      <c r="C1845" s="484" t="s">
        <v>256</v>
      </c>
      <c r="D1845" s="486">
        <v>92.7</v>
      </c>
      <c r="E1845" s="486">
        <v>92.7</v>
      </c>
    </row>
    <row r="1846" spans="1:5" ht="30">
      <c r="A1846" s="495">
        <v>92463</v>
      </c>
      <c r="B1846" s="348" t="s">
        <v>16282</v>
      </c>
      <c r="C1846" s="349" t="s">
        <v>256</v>
      </c>
      <c r="D1846" s="483">
        <v>65.5</v>
      </c>
      <c r="E1846" s="483">
        <v>65.5</v>
      </c>
    </row>
    <row r="1847" spans="1:5" ht="30">
      <c r="A1847" s="494">
        <v>92464</v>
      </c>
      <c r="B1847" s="485" t="s">
        <v>16283</v>
      </c>
      <c r="C1847" s="484" t="s">
        <v>256</v>
      </c>
      <c r="D1847" s="486">
        <v>58.71</v>
      </c>
      <c r="E1847" s="486">
        <v>58.71</v>
      </c>
    </row>
    <row r="1848" spans="1:5" ht="30">
      <c r="A1848" s="495">
        <v>92465</v>
      </c>
      <c r="B1848" s="348" t="s">
        <v>16284</v>
      </c>
      <c r="C1848" s="349" t="s">
        <v>256</v>
      </c>
      <c r="D1848" s="483">
        <v>84</v>
      </c>
      <c r="E1848" s="483">
        <v>84</v>
      </c>
    </row>
    <row r="1849" spans="1:5" ht="30">
      <c r="A1849" s="494">
        <v>92466</v>
      </c>
      <c r="B1849" s="485" t="s">
        <v>16285</v>
      </c>
      <c r="C1849" s="484" t="s">
        <v>256</v>
      </c>
      <c r="D1849" s="486">
        <v>88.15</v>
      </c>
      <c r="E1849" s="486">
        <v>88.15</v>
      </c>
    </row>
    <row r="1850" spans="1:5" ht="30">
      <c r="A1850" s="495">
        <v>92467</v>
      </c>
      <c r="B1850" s="348" t="s">
        <v>16286</v>
      </c>
      <c r="C1850" s="349" t="s">
        <v>256</v>
      </c>
      <c r="D1850" s="483">
        <v>53.78</v>
      </c>
      <c r="E1850" s="483">
        <v>53.78</v>
      </c>
    </row>
    <row r="1851" spans="1:5" ht="30">
      <c r="A1851" s="494">
        <v>92468</v>
      </c>
      <c r="B1851" s="485" t="s">
        <v>16287</v>
      </c>
      <c r="C1851" s="484" t="s">
        <v>256</v>
      </c>
      <c r="D1851" s="486">
        <v>54.46</v>
      </c>
      <c r="E1851" s="486">
        <v>54.46</v>
      </c>
    </row>
    <row r="1852" spans="1:5" ht="30">
      <c r="A1852" s="495">
        <v>92469</v>
      </c>
      <c r="B1852" s="348" t="s">
        <v>16288</v>
      </c>
      <c r="C1852" s="349" t="s">
        <v>256</v>
      </c>
      <c r="D1852" s="483">
        <v>76.55</v>
      </c>
      <c r="E1852" s="483">
        <v>76.55</v>
      </c>
    </row>
    <row r="1853" spans="1:5" ht="30">
      <c r="A1853" s="494">
        <v>92470</v>
      </c>
      <c r="B1853" s="485" t="s">
        <v>16289</v>
      </c>
      <c r="C1853" s="484" t="s">
        <v>256</v>
      </c>
      <c r="D1853" s="486">
        <v>84.09</v>
      </c>
      <c r="E1853" s="486">
        <v>84.09</v>
      </c>
    </row>
    <row r="1854" spans="1:5" ht="30">
      <c r="A1854" s="495">
        <v>92471</v>
      </c>
      <c r="B1854" s="348" t="s">
        <v>16290</v>
      </c>
      <c r="C1854" s="349" t="s">
        <v>256</v>
      </c>
      <c r="D1854" s="483">
        <v>49.1</v>
      </c>
      <c r="E1854" s="483">
        <v>49.1</v>
      </c>
    </row>
    <row r="1855" spans="1:5" ht="30">
      <c r="A1855" s="494">
        <v>92472</v>
      </c>
      <c r="B1855" s="485" t="s">
        <v>16291</v>
      </c>
      <c r="C1855" s="484" t="s">
        <v>256</v>
      </c>
      <c r="D1855" s="486">
        <v>50.98</v>
      </c>
      <c r="E1855" s="486">
        <v>50.98</v>
      </c>
    </row>
    <row r="1856" spans="1:5" ht="30">
      <c r="A1856" s="495">
        <v>92473</v>
      </c>
      <c r="B1856" s="348" t="s">
        <v>16292</v>
      </c>
      <c r="C1856" s="349" t="s">
        <v>256</v>
      </c>
      <c r="D1856" s="483">
        <v>70.459999999999994</v>
      </c>
      <c r="E1856" s="483">
        <v>70.459999999999994</v>
      </c>
    </row>
    <row r="1857" spans="1:5" ht="30">
      <c r="A1857" s="494">
        <v>92474</v>
      </c>
      <c r="B1857" s="485" t="s">
        <v>16293</v>
      </c>
      <c r="C1857" s="484" t="s">
        <v>256</v>
      </c>
      <c r="D1857" s="486">
        <v>80.55</v>
      </c>
      <c r="E1857" s="486">
        <v>80.55</v>
      </c>
    </row>
    <row r="1858" spans="1:5" ht="30">
      <c r="A1858" s="495">
        <v>92475</v>
      </c>
      <c r="B1858" s="348" t="s">
        <v>16294</v>
      </c>
      <c r="C1858" s="349" t="s">
        <v>256</v>
      </c>
      <c r="D1858" s="483">
        <v>45.24</v>
      </c>
      <c r="E1858" s="483">
        <v>45.24</v>
      </c>
    </row>
    <row r="1859" spans="1:5" ht="30">
      <c r="A1859" s="494">
        <v>92476</v>
      </c>
      <c r="B1859" s="485" t="s">
        <v>16295</v>
      </c>
      <c r="C1859" s="484" t="s">
        <v>256</v>
      </c>
      <c r="D1859" s="486">
        <v>47.99</v>
      </c>
      <c r="E1859" s="486">
        <v>47.99</v>
      </c>
    </row>
    <row r="1860" spans="1:5" ht="30">
      <c r="A1860" s="495">
        <v>92477</v>
      </c>
      <c r="B1860" s="348" t="s">
        <v>16296</v>
      </c>
      <c r="C1860" s="349" t="s">
        <v>256</v>
      </c>
      <c r="D1860" s="483">
        <v>57.63</v>
      </c>
      <c r="E1860" s="483">
        <v>57.63</v>
      </c>
    </row>
    <row r="1861" spans="1:5" ht="30">
      <c r="A1861" s="494">
        <v>92478</v>
      </c>
      <c r="B1861" s="485" t="s">
        <v>16297</v>
      </c>
      <c r="C1861" s="484" t="s">
        <v>256</v>
      </c>
      <c r="D1861" s="486">
        <v>73.69</v>
      </c>
      <c r="E1861" s="486">
        <v>73.69</v>
      </c>
    </row>
    <row r="1862" spans="1:5" ht="30">
      <c r="A1862" s="495">
        <v>92479</v>
      </c>
      <c r="B1862" s="348" t="s">
        <v>16298</v>
      </c>
      <c r="C1862" s="349" t="s">
        <v>256</v>
      </c>
      <c r="D1862" s="483">
        <v>37.1</v>
      </c>
      <c r="E1862" s="483">
        <v>37.1</v>
      </c>
    </row>
    <row r="1863" spans="1:5" ht="30">
      <c r="A1863" s="494">
        <v>92480</v>
      </c>
      <c r="B1863" s="485" t="s">
        <v>16299</v>
      </c>
      <c r="C1863" s="484" t="s">
        <v>256</v>
      </c>
      <c r="D1863" s="486">
        <v>42.13</v>
      </c>
      <c r="E1863" s="486">
        <v>42.13</v>
      </c>
    </row>
    <row r="1864" spans="1:5" ht="30">
      <c r="A1864" s="495">
        <v>92481</v>
      </c>
      <c r="B1864" s="348" t="s">
        <v>7483</v>
      </c>
      <c r="C1864" s="349" t="s">
        <v>256</v>
      </c>
      <c r="D1864" s="483">
        <v>188.52</v>
      </c>
      <c r="E1864" s="483">
        <v>188.52</v>
      </c>
    </row>
    <row r="1865" spans="1:5" ht="30">
      <c r="A1865" s="494">
        <v>92482</v>
      </c>
      <c r="B1865" s="488" t="s">
        <v>16300</v>
      </c>
      <c r="C1865" s="484" t="s">
        <v>256</v>
      </c>
      <c r="D1865" s="486">
        <v>178.55</v>
      </c>
      <c r="E1865" s="486">
        <v>178.55</v>
      </c>
    </row>
    <row r="1866" spans="1:5" ht="30">
      <c r="A1866" s="495">
        <v>92483</v>
      </c>
      <c r="B1866" s="348" t="s">
        <v>7484</v>
      </c>
      <c r="C1866" s="349" t="s">
        <v>256</v>
      </c>
      <c r="D1866" s="483">
        <v>142.09</v>
      </c>
      <c r="E1866" s="483">
        <v>142.09</v>
      </c>
    </row>
    <row r="1867" spans="1:5" ht="30">
      <c r="A1867" s="494">
        <v>92484</v>
      </c>
      <c r="B1867" s="485" t="s">
        <v>16301</v>
      </c>
      <c r="C1867" s="484" t="s">
        <v>256</v>
      </c>
      <c r="D1867" s="486">
        <v>133.30000000000001</v>
      </c>
      <c r="E1867" s="486">
        <v>133.30000000000001</v>
      </c>
    </row>
    <row r="1868" spans="1:5" ht="30">
      <c r="A1868" s="495">
        <v>92485</v>
      </c>
      <c r="B1868" s="348" t="s">
        <v>7485</v>
      </c>
      <c r="C1868" s="349" t="s">
        <v>256</v>
      </c>
      <c r="D1868" s="483">
        <v>101.51</v>
      </c>
      <c r="E1868" s="483">
        <v>101.51</v>
      </c>
    </row>
    <row r="1869" spans="1:5" ht="30">
      <c r="A1869" s="494">
        <v>92486</v>
      </c>
      <c r="B1869" s="485" t="s">
        <v>16302</v>
      </c>
      <c r="C1869" s="484" t="s">
        <v>256</v>
      </c>
      <c r="D1869" s="486">
        <v>94.75</v>
      </c>
      <c r="E1869" s="486">
        <v>94.75</v>
      </c>
    </row>
    <row r="1870" spans="1:5" ht="45">
      <c r="A1870" s="495">
        <v>92487</v>
      </c>
      <c r="B1870" s="348" t="s">
        <v>16303</v>
      </c>
      <c r="C1870" s="349" t="s">
        <v>256</v>
      </c>
      <c r="D1870" s="483">
        <v>44.41</v>
      </c>
      <c r="E1870" s="483">
        <v>44.41</v>
      </c>
    </row>
    <row r="1871" spans="1:5" ht="45">
      <c r="A1871" s="494">
        <v>92488</v>
      </c>
      <c r="B1871" s="485" t="s">
        <v>16304</v>
      </c>
      <c r="C1871" s="484" t="s">
        <v>256</v>
      </c>
      <c r="D1871" s="486">
        <v>42.08</v>
      </c>
      <c r="E1871" s="486">
        <v>42.08</v>
      </c>
    </row>
    <row r="1872" spans="1:5" ht="45">
      <c r="A1872" s="495">
        <v>92489</v>
      </c>
      <c r="B1872" s="348" t="s">
        <v>16305</v>
      </c>
      <c r="C1872" s="349" t="s">
        <v>256</v>
      </c>
      <c r="D1872" s="483">
        <v>33.61</v>
      </c>
      <c r="E1872" s="483">
        <v>33.61</v>
      </c>
    </row>
    <row r="1873" spans="1:5" ht="45">
      <c r="A1873" s="494">
        <v>92490</v>
      </c>
      <c r="B1873" s="485" t="s">
        <v>16306</v>
      </c>
      <c r="C1873" s="484" t="s">
        <v>256</v>
      </c>
      <c r="D1873" s="486">
        <v>31.47</v>
      </c>
      <c r="E1873" s="486">
        <v>31.47</v>
      </c>
    </row>
    <row r="1874" spans="1:5" ht="45">
      <c r="A1874" s="495">
        <v>92491</v>
      </c>
      <c r="B1874" s="348" t="s">
        <v>16307</v>
      </c>
      <c r="C1874" s="349" t="s">
        <v>256</v>
      </c>
      <c r="D1874" s="483">
        <v>42.37</v>
      </c>
      <c r="E1874" s="483">
        <v>42.37</v>
      </c>
    </row>
    <row r="1875" spans="1:5" ht="45">
      <c r="A1875" s="494">
        <v>92492</v>
      </c>
      <c r="B1875" s="485" t="s">
        <v>16308</v>
      </c>
      <c r="C1875" s="484" t="s">
        <v>256</v>
      </c>
      <c r="D1875" s="486">
        <v>40.15</v>
      </c>
      <c r="E1875" s="486">
        <v>40.15</v>
      </c>
    </row>
    <row r="1876" spans="1:5" ht="45">
      <c r="A1876" s="495">
        <v>92493</v>
      </c>
      <c r="B1876" s="348" t="s">
        <v>16309</v>
      </c>
      <c r="C1876" s="349" t="s">
        <v>256</v>
      </c>
      <c r="D1876" s="483">
        <v>30.35</v>
      </c>
      <c r="E1876" s="483">
        <v>30.35</v>
      </c>
    </row>
    <row r="1877" spans="1:5" ht="45">
      <c r="A1877" s="494">
        <v>92494</v>
      </c>
      <c r="B1877" s="485" t="s">
        <v>16310</v>
      </c>
      <c r="C1877" s="484" t="s">
        <v>256</v>
      </c>
      <c r="D1877" s="486">
        <v>29.88</v>
      </c>
      <c r="E1877" s="486">
        <v>29.88</v>
      </c>
    </row>
    <row r="1878" spans="1:5" ht="45">
      <c r="A1878" s="495">
        <v>92495</v>
      </c>
      <c r="B1878" s="348" t="s">
        <v>16311</v>
      </c>
      <c r="C1878" s="349" t="s">
        <v>256</v>
      </c>
      <c r="D1878" s="483">
        <v>40.98</v>
      </c>
      <c r="E1878" s="483">
        <v>40.98</v>
      </c>
    </row>
    <row r="1879" spans="1:5" ht="45">
      <c r="A1879" s="494">
        <v>92496</v>
      </c>
      <c r="B1879" s="485" t="s">
        <v>16312</v>
      </c>
      <c r="C1879" s="484" t="s">
        <v>256</v>
      </c>
      <c r="D1879" s="486">
        <v>38.85</v>
      </c>
      <c r="E1879" s="486">
        <v>38.85</v>
      </c>
    </row>
    <row r="1880" spans="1:5" ht="45">
      <c r="A1880" s="495">
        <v>92497</v>
      </c>
      <c r="B1880" s="348" t="s">
        <v>16313</v>
      </c>
      <c r="C1880" s="349" t="s">
        <v>256</v>
      </c>
      <c r="D1880" s="483">
        <v>30.81</v>
      </c>
      <c r="E1880" s="483">
        <v>30.81</v>
      </c>
    </row>
    <row r="1881" spans="1:5" ht="45">
      <c r="A1881" s="494">
        <v>92498</v>
      </c>
      <c r="B1881" s="485" t="s">
        <v>16314</v>
      </c>
      <c r="C1881" s="484" t="s">
        <v>256</v>
      </c>
      <c r="D1881" s="486">
        <v>28.83</v>
      </c>
      <c r="E1881" s="486">
        <v>28.83</v>
      </c>
    </row>
    <row r="1882" spans="1:5" ht="45">
      <c r="A1882" s="495">
        <v>92499</v>
      </c>
      <c r="B1882" s="348" t="s">
        <v>16315</v>
      </c>
      <c r="C1882" s="349" t="s">
        <v>256</v>
      </c>
      <c r="D1882" s="483">
        <v>40.130000000000003</v>
      </c>
      <c r="E1882" s="483">
        <v>40.130000000000003</v>
      </c>
    </row>
    <row r="1883" spans="1:5" ht="45">
      <c r="A1883" s="494">
        <v>92500</v>
      </c>
      <c r="B1883" s="485" t="s">
        <v>16316</v>
      </c>
      <c r="C1883" s="484" t="s">
        <v>256</v>
      </c>
      <c r="D1883" s="486">
        <v>38.049999999999997</v>
      </c>
      <c r="E1883" s="486">
        <v>38.049999999999997</v>
      </c>
    </row>
    <row r="1884" spans="1:5" ht="45">
      <c r="A1884" s="495">
        <v>92501</v>
      </c>
      <c r="B1884" s="348" t="s">
        <v>16317</v>
      </c>
      <c r="C1884" s="349" t="s">
        <v>256</v>
      </c>
      <c r="D1884" s="483">
        <v>30.12</v>
      </c>
      <c r="E1884" s="483">
        <v>30.12</v>
      </c>
    </row>
    <row r="1885" spans="1:5" ht="45">
      <c r="A1885" s="494">
        <v>92502</v>
      </c>
      <c r="B1885" s="485" t="s">
        <v>16318</v>
      </c>
      <c r="C1885" s="484" t="s">
        <v>256</v>
      </c>
      <c r="D1885" s="486">
        <v>28.19</v>
      </c>
      <c r="E1885" s="486">
        <v>28.19</v>
      </c>
    </row>
    <row r="1886" spans="1:5" ht="45">
      <c r="A1886" s="495">
        <v>92503</v>
      </c>
      <c r="B1886" s="348" t="s">
        <v>16319</v>
      </c>
      <c r="C1886" s="349" t="s">
        <v>256</v>
      </c>
      <c r="D1886" s="483">
        <v>38.79</v>
      </c>
      <c r="E1886" s="483">
        <v>38.79</v>
      </c>
    </row>
    <row r="1887" spans="1:5" ht="45">
      <c r="A1887" s="494">
        <v>92504</v>
      </c>
      <c r="B1887" s="485" t="s">
        <v>16320</v>
      </c>
      <c r="C1887" s="484" t="s">
        <v>256</v>
      </c>
      <c r="D1887" s="486">
        <v>32.22</v>
      </c>
      <c r="E1887" s="486">
        <v>32.22</v>
      </c>
    </row>
    <row r="1888" spans="1:5" ht="45">
      <c r="A1888" s="495">
        <v>92505</v>
      </c>
      <c r="B1888" s="348" t="s">
        <v>16321</v>
      </c>
      <c r="C1888" s="349" t="s">
        <v>256</v>
      </c>
      <c r="D1888" s="483">
        <v>29.02</v>
      </c>
      <c r="E1888" s="483">
        <v>29.02</v>
      </c>
    </row>
    <row r="1889" spans="1:5" ht="45">
      <c r="A1889" s="494">
        <v>92506</v>
      </c>
      <c r="B1889" s="485" t="s">
        <v>16322</v>
      </c>
      <c r="C1889" s="484" t="s">
        <v>256</v>
      </c>
      <c r="D1889" s="486">
        <v>27.15</v>
      </c>
      <c r="E1889" s="486">
        <v>27.15</v>
      </c>
    </row>
    <row r="1890" spans="1:5" ht="45">
      <c r="A1890" s="495">
        <v>92507</v>
      </c>
      <c r="B1890" s="348" t="s">
        <v>16323</v>
      </c>
      <c r="C1890" s="349" t="s">
        <v>256</v>
      </c>
      <c r="D1890" s="483">
        <v>42.32</v>
      </c>
      <c r="E1890" s="483">
        <v>42.32</v>
      </c>
    </row>
    <row r="1891" spans="1:5" ht="45">
      <c r="A1891" s="494">
        <v>92508</v>
      </c>
      <c r="B1891" s="485" t="s">
        <v>16324</v>
      </c>
      <c r="C1891" s="484" t="s">
        <v>256</v>
      </c>
      <c r="D1891" s="486">
        <v>40.46</v>
      </c>
      <c r="E1891" s="486">
        <v>40.46</v>
      </c>
    </row>
    <row r="1892" spans="1:5" ht="45">
      <c r="A1892" s="495">
        <v>92509</v>
      </c>
      <c r="B1892" s="348" t="s">
        <v>16325</v>
      </c>
      <c r="C1892" s="349" t="s">
        <v>256</v>
      </c>
      <c r="D1892" s="483">
        <v>29.19</v>
      </c>
      <c r="E1892" s="483">
        <v>29.19</v>
      </c>
    </row>
    <row r="1893" spans="1:5" ht="45">
      <c r="A1893" s="494">
        <v>92510</v>
      </c>
      <c r="B1893" s="485" t="s">
        <v>16326</v>
      </c>
      <c r="C1893" s="484" t="s">
        <v>256</v>
      </c>
      <c r="D1893" s="486">
        <v>27.47</v>
      </c>
      <c r="E1893" s="486">
        <v>27.47</v>
      </c>
    </row>
    <row r="1894" spans="1:5" s="25" customFormat="1" ht="45">
      <c r="A1894" s="604" t="s">
        <v>20633</v>
      </c>
      <c r="B1894" s="605" t="s">
        <v>16326</v>
      </c>
      <c r="C1894" s="606" t="s">
        <v>256</v>
      </c>
      <c r="D1894" s="607">
        <v>27.47</v>
      </c>
      <c r="E1894" s="486"/>
    </row>
    <row r="1895" spans="1:5" ht="45">
      <c r="A1895" s="495">
        <v>92511</v>
      </c>
      <c r="B1895" s="348" t="s">
        <v>16327</v>
      </c>
      <c r="C1895" s="349" t="s">
        <v>256</v>
      </c>
      <c r="D1895" s="483">
        <v>33.46</v>
      </c>
      <c r="E1895" s="483">
        <v>33.46</v>
      </c>
    </row>
    <row r="1896" spans="1:5" ht="45">
      <c r="A1896" s="494">
        <v>92512</v>
      </c>
      <c r="B1896" s="485" t="s">
        <v>16328</v>
      </c>
      <c r="C1896" s="484" t="s">
        <v>256</v>
      </c>
      <c r="D1896" s="486">
        <v>32.03</v>
      </c>
      <c r="E1896" s="486">
        <v>32.03</v>
      </c>
    </row>
    <row r="1897" spans="1:5" ht="45">
      <c r="A1897" s="495">
        <v>92513</v>
      </c>
      <c r="B1897" s="348" t="s">
        <v>16329</v>
      </c>
      <c r="C1897" s="349" t="s">
        <v>256</v>
      </c>
      <c r="D1897" s="483">
        <v>21.84</v>
      </c>
      <c r="E1897" s="483">
        <v>21.84</v>
      </c>
    </row>
    <row r="1898" spans="1:5" ht="45">
      <c r="A1898" s="494">
        <v>92514</v>
      </c>
      <c r="B1898" s="485" t="s">
        <v>16330</v>
      </c>
      <c r="C1898" s="484" t="s">
        <v>256</v>
      </c>
      <c r="D1898" s="486">
        <v>20.53</v>
      </c>
      <c r="E1898" s="486">
        <v>20.53</v>
      </c>
    </row>
    <row r="1899" spans="1:5" ht="45">
      <c r="A1899" s="495">
        <v>92515</v>
      </c>
      <c r="B1899" s="348" t="s">
        <v>16331</v>
      </c>
      <c r="C1899" s="349" t="s">
        <v>256</v>
      </c>
      <c r="D1899" s="483">
        <v>28.92</v>
      </c>
      <c r="E1899" s="483">
        <v>28.92</v>
      </c>
    </row>
    <row r="1900" spans="1:5" ht="45">
      <c r="A1900" s="494">
        <v>92516</v>
      </c>
      <c r="B1900" s="485" t="s">
        <v>16332</v>
      </c>
      <c r="C1900" s="484" t="s">
        <v>256</v>
      </c>
      <c r="D1900" s="486">
        <v>27.69</v>
      </c>
      <c r="E1900" s="486">
        <v>27.69</v>
      </c>
    </row>
    <row r="1901" spans="1:5" ht="45">
      <c r="A1901" s="495">
        <v>92517</v>
      </c>
      <c r="B1901" s="348" t="s">
        <v>16333</v>
      </c>
      <c r="C1901" s="349" t="s">
        <v>256</v>
      </c>
      <c r="D1901" s="483">
        <v>18.420000000000002</v>
      </c>
      <c r="E1901" s="483">
        <v>18.420000000000002</v>
      </c>
    </row>
    <row r="1902" spans="1:5" ht="45">
      <c r="A1902" s="494">
        <v>92518</v>
      </c>
      <c r="B1902" s="485" t="s">
        <v>16334</v>
      </c>
      <c r="C1902" s="484" t="s">
        <v>256</v>
      </c>
      <c r="D1902" s="486">
        <v>17.260000000000002</v>
      </c>
      <c r="E1902" s="486">
        <v>17.260000000000002</v>
      </c>
    </row>
    <row r="1903" spans="1:5" ht="45">
      <c r="A1903" s="495">
        <v>92519</v>
      </c>
      <c r="B1903" s="348" t="s">
        <v>16335</v>
      </c>
      <c r="C1903" s="349" t="s">
        <v>256</v>
      </c>
      <c r="D1903" s="483">
        <v>26.61</v>
      </c>
      <c r="E1903" s="483">
        <v>26.61</v>
      </c>
    </row>
    <row r="1904" spans="1:5" ht="45">
      <c r="A1904" s="494">
        <v>92520</v>
      </c>
      <c r="B1904" s="485" t="s">
        <v>16336</v>
      </c>
      <c r="C1904" s="484" t="s">
        <v>256</v>
      </c>
      <c r="D1904" s="486">
        <v>25.48</v>
      </c>
      <c r="E1904" s="486">
        <v>25.48</v>
      </c>
    </row>
    <row r="1905" spans="1:5" ht="45">
      <c r="A1905" s="495">
        <v>92521</v>
      </c>
      <c r="B1905" s="348" t="s">
        <v>16337</v>
      </c>
      <c r="C1905" s="349" t="s">
        <v>256</v>
      </c>
      <c r="D1905" s="483">
        <v>16.66</v>
      </c>
      <c r="E1905" s="483">
        <v>16.66</v>
      </c>
    </row>
    <row r="1906" spans="1:5" ht="45">
      <c r="A1906" s="494">
        <v>92522</v>
      </c>
      <c r="B1906" s="485" t="s">
        <v>16338</v>
      </c>
      <c r="C1906" s="484" t="s">
        <v>256</v>
      </c>
      <c r="D1906" s="486">
        <v>15.59</v>
      </c>
      <c r="E1906" s="486">
        <v>15.59</v>
      </c>
    </row>
    <row r="1907" spans="1:5" ht="45">
      <c r="A1907" s="495">
        <v>92523</v>
      </c>
      <c r="B1907" s="348" t="s">
        <v>16339</v>
      </c>
      <c r="C1907" s="349" t="s">
        <v>256</v>
      </c>
      <c r="D1907" s="483">
        <v>26.58</v>
      </c>
      <c r="E1907" s="483">
        <v>26.58</v>
      </c>
    </row>
    <row r="1908" spans="1:5" ht="45">
      <c r="A1908" s="494">
        <v>92524</v>
      </c>
      <c r="B1908" s="485" t="s">
        <v>16340</v>
      </c>
      <c r="C1908" s="484" t="s">
        <v>256</v>
      </c>
      <c r="D1908" s="486">
        <v>25.49</v>
      </c>
      <c r="E1908" s="486">
        <v>25.49</v>
      </c>
    </row>
    <row r="1909" spans="1:5" ht="45">
      <c r="A1909" s="495">
        <v>92525</v>
      </c>
      <c r="B1909" s="348" t="s">
        <v>16341</v>
      </c>
      <c r="C1909" s="349" t="s">
        <v>256</v>
      </c>
      <c r="D1909" s="483">
        <v>16.96</v>
      </c>
      <c r="E1909" s="483">
        <v>16.96</v>
      </c>
    </row>
    <row r="1910" spans="1:5" ht="45">
      <c r="A1910" s="494">
        <v>92526</v>
      </c>
      <c r="B1910" s="485" t="s">
        <v>16342</v>
      </c>
      <c r="C1910" s="484" t="s">
        <v>256</v>
      </c>
      <c r="D1910" s="486">
        <v>15.93</v>
      </c>
      <c r="E1910" s="486">
        <v>15.93</v>
      </c>
    </row>
    <row r="1911" spans="1:5" ht="45">
      <c r="A1911" s="495">
        <v>92527</v>
      </c>
      <c r="B1911" s="348" t="s">
        <v>16343</v>
      </c>
      <c r="C1911" s="349" t="s">
        <v>256</v>
      </c>
      <c r="D1911" s="483">
        <v>25.57</v>
      </c>
      <c r="E1911" s="483">
        <v>25.57</v>
      </c>
    </row>
    <row r="1912" spans="1:5" ht="45">
      <c r="A1912" s="494">
        <v>92528</v>
      </c>
      <c r="B1912" s="485" t="s">
        <v>16344</v>
      </c>
      <c r="C1912" s="484" t="s">
        <v>256</v>
      </c>
      <c r="D1912" s="486">
        <v>24.52</v>
      </c>
      <c r="E1912" s="486">
        <v>24.52</v>
      </c>
    </row>
    <row r="1913" spans="1:5" ht="45">
      <c r="A1913" s="495">
        <v>92529</v>
      </c>
      <c r="B1913" s="348" t="s">
        <v>16345</v>
      </c>
      <c r="C1913" s="349" t="s">
        <v>256</v>
      </c>
      <c r="D1913" s="483">
        <v>16.149999999999999</v>
      </c>
      <c r="E1913" s="483">
        <v>16.149999999999999</v>
      </c>
    </row>
    <row r="1914" spans="1:5" ht="45">
      <c r="A1914" s="494">
        <v>92530</v>
      </c>
      <c r="B1914" s="485" t="s">
        <v>16346</v>
      </c>
      <c r="C1914" s="484" t="s">
        <v>256</v>
      </c>
      <c r="D1914" s="486">
        <v>15.17</v>
      </c>
      <c r="E1914" s="486">
        <v>15.17</v>
      </c>
    </row>
    <row r="1915" spans="1:5" ht="45">
      <c r="A1915" s="495">
        <v>92531</v>
      </c>
      <c r="B1915" s="348" t="s">
        <v>16347</v>
      </c>
      <c r="C1915" s="349" t="s">
        <v>256</v>
      </c>
      <c r="D1915" s="483">
        <v>24.82</v>
      </c>
      <c r="E1915" s="483">
        <v>24.82</v>
      </c>
    </row>
    <row r="1916" spans="1:5" ht="45">
      <c r="A1916" s="494">
        <v>92532</v>
      </c>
      <c r="B1916" s="485" t="s">
        <v>16348</v>
      </c>
      <c r="C1916" s="484" t="s">
        <v>256</v>
      </c>
      <c r="D1916" s="486">
        <v>23.78</v>
      </c>
      <c r="E1916" s="486">
        <v>23.78</v>
      </c>
    </row>
    <row r="1917" spans="1:5" ht="45">
      <c r="A1917" s="495">
        <v>92533</v>
      </c>
      <c r="B1917" s="348" t="s">
        <v>16349</v>
      </c>
      <c r="C1917" s="349" t="s">
        <v>256</v>
      </c>
      <c r="D1917" s="483">
        <v>15.56</v>
      </c>
      <c r="E1917" s="483">
        <v>15.56</v>
      </c>
    </row>
    <row r="1918" spans="1:5" ht="45">
      <c r="A1918" s="494">
        <v>92534</v>
      </c>
      <c r="B1918" s="485" t="s">
        <v>16350</v>
      </c>
      <c r="C1918" s="484" t="s">
        <v>256</v>
      </c>
      <c r="D1918" s="486">
        <v>14.62</v>
      </c>
      <c r="E1918" s="486">
        <v>14.62</v>
      </c>
    </row>
    <row r="1919" spans="1:5" ht="45">
      <c r="A1919" s="495">
        <v>92535</v>
      </c>
      <c r="B1919" s="348" t="s">
        <v>16351</v>
      </c>
      <c r="C1919" s="349" t="s">
        <v>256</v>
      </c>
      <c r="D1919" s="483">
        <v>23.5</v>
      </c>
      <c r="E1919" s="483">
        <v>23.5</v>
      </c>
    </row>
    <row r="1920" spans="1:5" ht="45">
      <c r="A1920" s="494">
        <v>92536</v>
      </c>
      <c r="B1920" s="485" t="s">
        <v>16352</v>
      </c>
      <c r="C1920" s="484" t="s">
        <v>256</v>
      </c>
      <c r="D1920" s="486">
        <v>22.5</v>
      </c>
      <c r="E1920" s="486">
        <v>22.5</v>
      </c>
    </row>
    <row r="1921" spans="1:5" ht="45">
      <c r="A1921" s="495">
        <v>92537</v>
      </c>
      <c r="B1921" s="348" t="s">
        <v>16353</v>
      </c>
      <c r="C1921" s="349" t="s">
        <v>256</v>
      </c>
      <c r="D1921" s="483">
        <v>14.45</v>
      </c>
      <c r="E1921" s="483">
        <v>14.45</v>
      </c>
    </row>
    <row r="1922" spans="1:5" ht="45">
      <c r="A1922" s="494">
        <v>92538</v>
      </c>
      <c r="B1922" s="485" t="s">
        <v>16354</v>
      </c>
      <c r="C1922" s="484" t="s">
        <v>256</v>
      </c>
      <c r="D1922" s="486">
        <v>13.53</v>
      </c>
      <c r="E1922" s="486">
        <v>13.53</v>
      </c>
    </row>
    <row r="1923" spans="1:5" ht="30">
      <c r="A1923" s="495">
        <v>95934</v>
      </c>
      <c r="B1923" s="348" t="s">
        <v>16355</v>
      </c>
      <c r="C1923" s="349" t="s">
        <v>256</v>
      </c>
      <c r="D1923" s="483">
        <v>102.34</v>
      </c>
      <c r="E1923" s="483">
        <v>102.34</v>
      </c>
    </row>
    <row r="1924" spans="1:5" ht="30">
      <c r="A1924" s="494">
        <v>95935</v>
      </c>
      <c r="B1924" s="485" t="s">
        <v>16356</v>
      </c>
      <c r="C1924" s="484" t="s">
        <v>256</v>
      </c>
      <c r="D1924" s="486">
        <v>84.11</v>
      </c>
      <c r="E1924" s="486">
        <v>84.11</v>
      </c>
    </row>
    <row r="1925" spans="1:5" ht="30">
      <c r="A1925" s="495">
        <v>95936</v>
      </c>
      <c r="B1925" s="348" t="s">
        <v>16357</v>
      </c>
      <c r="C1925" s="349" t="s">
        <v>256</v>
      </c>
      <c r="D1925" s="483">
        <v>113.59</v>
      </c>
      <c r="E1925" s="483">
        <v>113.59</v>
      </c>
    </row>
    <row r="1926" spans="1:5" ht="30">
      <c r="A1926" s="494">
        <v>95937</v>
      </c>
      <c r="B1926" s="485" t="s">
        <v>16358</v>
      </c>
      <c r="C1926" s="484" t="s">
        <v>256</v>
      </c>
      <c r="D1926" s="486">
        <v>260.54000000000002</v>
      </c>
      <c r="E1926" s="486">
        <v>260.54000000000002</v>
      </c>
    </row>
    <row r="1927" spans="1:5" ht="30">
      <c r="A1927" s="495">
        <v>95938</v>
      </c>
      <c r="B1927" s="348" t="s">
        <v>16359</v>
      </c>
      <c r="C1927" s="349" t="s">
        <v>256</v>
      </c>
      <c r="D1927" s="483">
        <v>218.82</v>
      </c>
      <c r="E1927" s="483">
        <v>218.82</v>
      </c>
    </row>
    <row r="1928" spans="1:5" ht="30">
      <c r="A1928" s="494">
        <v>95939</v>
      </c>
      <c r="B1928" s="485" t="s">
        <v>16360</v>
      </c>
      <c r="C1928" s="484" t="s">
        <v>256</v>
      </c>
      <c r="D1928" s="486">
        <v>135.19999999999999</v>
      </c>
      <c r="E1928" s="486">
        <v>135.19999999999999</v>
      </c>
    </row>
    <row r="1929" spans="1:5" ht="30">
      <c r="A1929" s="495">
        <v>95940</v>
      </c>
      <c r="B1929" s="348" t="s">
        <v>16361</v>
      </c>
      <c r="C1929" s="349" t="s">
        <v>256</v>
      </c>
      <c r="D1929" s="483">
        <v>111.47</v>
      </c>
      <c r="E1929" s="483">
        <v>111.47</v>
      </c>
    </row>
    <row r="1930" spans="1:5" ht="30">
      <c r="A1930" s="494">
        <v>95941</v>
      </c>
      <c r="B1930" s="485" t="s">
        <v>16362</v>
      </c>
      <c r="C1930" s="484" t="s">
        <v>256</v>
      </c>
      <c r="D1930" s="486">
        <v>98.24</v>
      </c>
      <c r="E1930" s="486">
        <v>98.24</v>
      </c>
    </row>
    <row r="1931" spans="1:5" ht="30">
      <c r="A1931" s="495">
        <v>95942</v>
      </c>
      <c r="B1931" s="348" t="s">
        <v>16363</v>
      </c>
      <c r="C1931" s="349" t="s">
        <v>256</v>
      </c>
      <c r="D1931" s="483">
        <v>90</v>
      </c>
      <c r="E1931" s="483">
        <v>90</v>
      </c>
    </row>
    <row r="1932" spans="1:5">
      <c r="A1932" s="484" t="s">
        <v>16364</v>
      </c>
      <c r="B1932" s="485" t="s">
        <v>8461</v>
      </c>
      <c r="C1932" s="484" t="s">
        <v>65</v>
      </c>
      <c r="D1932" s="486">
        <v>31.35</v>
      </c>
      <c r="E1932" s="486">
        <v>31.35</v>
      </c>
    </row>
    <row r="1933" spans="1:5">
      <c r="A1933" s="349" t="s">
        <v>16365</v>
      </c>
      <c r="B1933" s="348" t="s">
        <v>2106</v>
      </c>
      <c r="C1933" s="349" t="s">
        <v>65</v>
      </c>
      <c r="D1933" s="483">
        <v>565.4</v>
      </c>
      <c r="E1933" s="483">
        <v>565.4</v>
      </c>
    </row>
    <row r="1934" spans="1:5">
      <c r="A1934" s="484" t="s">
        <v>16366</v>
      </c>
      <c r="B1934" s="485" t="s">
        <v>16367</v>
      </c>
      <c r="C1934" s="484" t="s">
        <v>90</v>
      </c>
      <c r="D1934" s="486">
        <v>5.44</v>
      </c>
      <c r="E1934" s="486">
        <v>5.44</v>
      </c>
    </row>
    <row r="1935" spans="1:5">
      <c r="A1935" s="349" t="s">
        <v>16368</v>
      </c>
      <c r="B1935" s="348" t="s">
        <v>9711</v>
      </c>
      <c r="C1935" s="349" t="s">
        <v>71</v>
      </c>
      <c r="D1935" s="483">
        <v>42.7</v>
      </c>
      <c r="E1935" s="483">
        <v>42.7</v>
      </c>
    </row>
    <row r="1936" spans="1:5">
      <c r="A1936" s="484" t="s">
        <v>16369</v>
      </c>
      <c r="B1936" s="485" t="s">
        <v>9712</v>
      </c>
      <c r="C1936" s="484" t="s">
        <v>71</v>
      </c>
      <c r="D1936" s="486">
        <v>49.19</v>
      </c>
      <c r="E1936" s="486">
        <v>49.19</v>
      </c>
    </row>
    <row r="1937" spans="1:5">
      <c r="A1937" s="349" t="s">
        <v>16370</v>
      </c>
      <c r="B1937" s="348" t="s">
        <v>9713</v>
      </c>
      <c r="C1937" s="349" t="s">
        <v>71</v>
      </c>
      <c r="D1937" s="483">
        <v>55.68</v>
      </c>
      <c r="E1937" s="483">
        <v>55.68</v>
      </c>
    </row>
    <row r="1938" spans="1:5">
      <c r="A1938" s="484" t="s">
        <v>16371</v>
      </c>
      <c r="B1938" s="485" t="s">
        <v>9714</v>
      </c>
      <c r="C1938" s="484" t="s">
        <v>71</v>
      </c>
      <c r="D1938" s="486">
        <v>62.17</v>
      </c>
      <c r="E1938" s="486">
        <v>62.17</v>
      </c>
    </row>
    <row r="1939" spans="1:5" ht="30">
      <c r="A1939" s="349" t="s">
        <v>16372</v>
      </c>
      <c r="B1939" s="348" t="s">
        <v>16373</v>
      </c>
      <c r="C1939" s="349" t="s">
        <v>71</v>
      </c>
      <c r="D1939" s="483">
        <v>52.3</v>
      </c>
      <c r="E1939" s="483">
        <v>52.3</v>
      </c>
    </row>
    <row r="1940" spans="1:5" ht="30">
      <c r="A1940" s="484" t="s">
        <v>16374</v>
      </c>
      <c r="B1940" s="485" t="s">
        <v>16375</v>
      </c>
      <c r="C1940" s="484" t="s">
        <v>71</v>
      </c>
      <c r="D1940" s="486">
        <v>58.79</v>
      </c>
      <c r="E1940" s="486">
        <v>58.79</v>
      </c>
    </row>
    <row r="1941" spans="1:5" ht="30">
      <c r="A1941" s="349" t="s">
        <v>16376</v>
      </c>
      <c r="B1941" s="348" t="s">
        <v>16377</v>
      </c>
      <c r="C1941" s="349" t="s">
        <v>71</v>
      </c>
      <c r="D1941" s="483">
        <v>65.28</v>
      </c>
      <c r="E1941" s="483">
        <v>65.28</v>
      </c>
    </row>
    <row r="1942" spans="1:5" ht="30">
      <c r="A1942" s="484" t="s">
        <v>16378</v>
      </c>
      <c r="B1942" s="485" t="s">
        <v>16379</v>
      </c>
      <c r="C1942" s="484" t="s">
        <v>71</v>
      </c>
      <c r="D1942" s="486">
        <v>85.56</v>
      </c>
      <c r="E1942" s="486">
        <v>85.56</v>
      </c>
    </row>
    <row r="1943" spans="1:5" ht="30">
      <c r="A1943" s="349" t="s">
        <v>16380</v>
      </c>
      <c r="B1943" s="348" t="s">
        <v>16381</v>
      </c>
      <c r="C1943" s="349" t="s">
        <v>71</v>
      </c>
      <c r="D1943" s="483">
        <v>103.09</v>
      </c>
      <c r="E1943" s="483">
        <v>103.09</v>
      </c>
    </row>
    <row r="1944" spans="1:5" ht="30">
      <c r="A1944" s="484" t="s">
        <v>16382</v>
      </c>
      <c r="B1944" s="485" t="s">
        <v>16383</v>
      </c>
      <c r="C1944" s="484" t="s">
        <v>71</v>
      </c>
      <c r="D1944" s="486">
        <v>109.58</v>
      </c>
      <c r="E1944" s="486">
        <v>109.58</v>
      </c>
    </row>
    <row r="1945" spans="1:5">
      <c r="A1945" s="349" t="s">
        <v>16384</v>
      </c>
      <c r="B1945" s="348" t="s">
        <v>16385</v>
      </c>
      <c r="C1945" s="349" t="s">
        <v>71</v>
      </c>
      <c r="D1945" s="483">
        <v>116.07</v>
      </c>
      <c r="E1945" s="483">
        <v>116.07</v>
      </c>
    </row>
    <row r="1946" spans="1:5">
      <c r="A1946" s="484" t="s">
        <v>16386</v>
      </c>
      <c r="B1946" s="485" t="s">
        <v>16387</v>
      </c>
      <c r="C1946" s="484" t="s">
        <v>71</v>
      </c>
      <c r="D1946" s="486">
        <v>136.35</v>
      </c>
      <c r="E1946" s="486">
        <v>136.35</v>
      </c>
    </row>
    <row r="1947" spans="1:5">
      <c r="A1947" s="495">
        <v>85662</v>
      </c>
      <c r="B1947" s="348" t="s">
        <v>2154</v>
      </c>
      <c r="C1947" s="349" t="s">
        <v>256</v>
      </c>
      <c r="D1947" s="483">
        <v>8.14</v>
      </c>
      <c r="E1947" s="483">
        <v>8.14</v>
      </c>
    </row>
    <row r="1948" spans="1:5">
      <c r="A1948" s="494">
        <v>89996</v>
      </c>
      <c r="B1948" s="485" t="s">
        <v>16388</v>
      </c>
      <c r="C1948" s="484" t="s">
        <v>90</v>
      </c>
      <c r="D1948" s="486">
        <v>6.17</v>
      </c>
      <c r="E1948" s="486">
        <v>6.17</v>
      </c>
    </row>
    <row r="1949" spans="1:5">
      <c r="A1949" s="495">
        <v>89997</v>
      </c>
      <c r="B1949" s="348" t="s">
        <v>16389</v>
      </c>
      <c r="C1949" s="349" t="s">
        <v>90</v>
      </c>
      <c r="D1949" s="483">
        <v>5.33</v>
      </c>
      <c r="E1949" s="483">
        <v>5.33</v>
      </c>
    </row>
    <row r="1950" spans="1:5">
      <c r="A1950" s="494">
        <v>89998</v>
      </c>
      <c r="B1950" s="485" t="s">
        <v>16390</v>
      </c>
      <c r="C1950" s="484" t="s">
        <v>90</v>
      </c>
      <c r="D1950" s="486">
        <v>5.8</v>
      </c>
      <c r="E1950" s="486">
        <v>5.8</v>
      </c>
    </row>
    <row r="1951" spans="1:5" ht="30">
      <c r="A1951" s="495">
        <v>89999</v>
      </c>
      <c r="B1951" s="348" t="s">
        <v>16391</v>
      </c>
      <c r="C1951" s="349" t="s">
        <v>90</v>
      </c>
      <c r="D1951" s="483">
        <v>9.4499999999999993</v>
      </c>
      <c r="E1951" s="483">
        <v>9.4499999999999993</v>
      </c>
    </row>
    <row r="1952" spans="1:5" ht="30">
      <c r="A1952" s="494">
        <v>90000</v>
      </c>
      <c r="B1952" s="485" t="s">
        <v>16392</v>
      </c>
      <c r="C1952" s="484" t="s">
        <v>90</v>
      </c>
      <c r="D1952" s="486">
        <v>7.14</v>
      </c>
      <c r="E1952" s="486">
        <v>7.14</v>
      </c>
    </row>
    <row r="1953" spans="1:5" ht="30">
      <c r="A1953" s="495">
        <v>91593</v>
      </c>
      <c r="B1953" s="348" t="s">
        <v>16393</v>
      </c>
      <c r="C1953" s="349" t="s">
        <v>90</v>
      </c>
      <c r="D1953" s="483">
        <v>5.45</v>
      </c>
      <c r="E1953" s="483">
        <v>5.45</v>
      </c>
    </row>
    <row r="1954" spans="1:5" ht="30">
      <c r="A1954" s="494">
        <v>91594</v>
      </c>
      <c r="B1954" s="485" t="s">
        <v>16394</v>
      </c>
      <c r="C1954" s="484" t="s">
        <v>90</v>
      </c>
      <c r="D1954" s="486">
        <v>5.84</v>
      </c>
      <c r="E1954" s="486">
        <v>5.84</v>
      </c>
    </row>
    <row r="1955" spans="1:5" ht="30">
      <c r="A1955" s="495">
        <v>91595</v>
      </c>
      <c r="B1955" s="348" t="s">
        <v>16395</v>
      </c>
      <c r="C1955" s="349" t="s">
        <v>90</v>
      </c>
      <c r="D1955" s="483">
        <v>6.55</v>
      </c>
      <c r="E1955" s="483">
        <v>6.55</v>
      </c>
    </row>
    <row r="1956" spans="1:5" ht="30">
      <c r="A1956" s="494">
        <v>91596</v>
      </c>
      <c r="B1956" s="485" t="s">
        <v>16396</v>
      </c>
      <c r="C1956" s="484" t="s">
        <v>90</v>
      </c>
      <c r="D1956" s="486">
        <v>5.59</v>
      </c>
      <c r="E1956" s="486">
        <v>5.59</v>
      </c>
    </row>
    <row r="1957" spans="1:5" ht="30">
      <c r="A1957" s="495">
        <v>91597</v>
      </c>
      <c r="B1957" s="348" t="s">
        <v>16397</v>
      </c>
      <c r="C1957" s="349" t="s">
        <v>90</v>
      </c>
      <c r="D1957" s="483">
        <v>3.99</v>
      </c>
      <c r="E1957" s="483">
        <v>3.99</v>
      </c>
    </row>
    <row r="1958" spans="1:5" ht="30">
      <c r="A1958" s="494">
        <v>91598</v>
      </c>
      <c r="B1958" s="485" t="s">
        <v>16398</v>
      </c>
      <c r="C1958" s="484" t="s">
        <v>90</v>
      </c>
      <c r="D1958" s="486">
        <v>5.59</v>
      </c>
      <c r="E1958" s="486">
        <v>5.59</v>
      </c>
    </row>
    <row r="1959" spans="1:5" ht="30">
      <c r="A1959" s="495">
        <v>91599</v>
      </c>
      <c r="B1959" s="348" t="s">
        <v>16399</v>
      </c>
      <c r="C1959" s="349" t="s">
        <v>90</v>
      </c>
      <c r="D1959" s="483">
        <v>6.02</v>
      </c>
      <c r="E1959" s="483">
        <v>6.02</v>
      </c>
    </row>
    <row r="1960" spans="1:5" ht="30">
      <c r="A1960" s="494">
        <v>91600</v>
      </c>
      <c r="B1960" s="485" t="s">
        <v>16400</v>
      </c>
      <c r="C1960" s="484" t="s">
        <v>90</v>
      </c>
      <c r="D1960" s="486">
        <v>6.48</v>
      </c>
      <c r="E1960" s="486">
        <v>6.48</v>
      </c>
    </row>
    <row r="1961" spans="1:5" ht="30">
      <c r="A1961" s="495">
        <v>91601</v>
      </c>
      <c r="B1961" s="348" t="s">
        <v>16401</v>
      </c>
      <c r="C1961" s="349" t="s">
        <v>90</v>
      </c>
      <c r="D1961" s="483">
        <v>8.1</v>
      </c>
      <c r="E1961" s="483">
        <v>8.1</v>
      </c>
    </row>
    <row r="1962" spans="1:5" ht="30">
      <c r="A1962" s="494">
        <v>91602</v>
      </c>
      <c r="B1962" s="485" t="s">
        <v>16402</v>
      </c>
      <c r="C1962" s="484" t="s">
        <v>90</v>
      </c>
      <c r="D1962" s="486">
        <v>7.6</v>
      </c>
      <c r="E1962" s="486">
        <v>7.6</v>
      </c>
    </row>
    <row r="1963" spans="1:5" ht="30">
      <c r="A1963" s="495">
        <v>91603</v>
      </c>
      <c r="B1963" s="348" t="s">
        <v>16403</v>
      </c>
      <c r="C1963" s="349" t="s">
        <v>90</v>
      </c>
      <c r="D1963" s="483">
        <v>6.09</v>
      </c>
      <c r="E1963" s="483">
        <v>6.09</v>
      </c>
    </row>
    <row r="1964" spans="1:5" ht="45">
      <c r="A1964" s="494">
        <v>92759</v>
      </c>
      <c r="B1964" s="485" t="s">
        <v>16404</v>
      </c>
      <c r="C1964" s="484" t="s">
        <v>90</v>
      </c>
      <c r="D1964" s="486">
        <v>11.48</v>
      </c>
      <c r="E1964" s="486">
        <v>11.48</v>
      </c>
    </row>
    <row r="1965" spans="1:5" ht="45">
      <c r="A1965" s="495">
        <v>92760</v>
      </c>
      <c r="B1965" s="348" t="s">
        <v>16405</v>
      </c>
      <c r="C1965" s="349" t="s">
        <v>90</v>
      </c>
      <c r="D1965" s="483">
        <v>10.66</v>
      </c>
      <c r="E1965" s="483">
        <v>10.66</v>
      </c>
    </row>
    <row r="1966" spans="1:5" ht="45">
      <c r="A1966" s="494">
        <v>92761</v>
      </c>
      <c r="B1966" s="485" t="s">
        <v>16406</v>
      </c>
      <c r="C1966" s="484" t="s">
        <v>90</v>
      </c>
      <c r="D1966" s="486">
        <v>10.39</v>
      </c>
      <c r="E1966" s="486">
        <v>10.39</v>
      </c>
    </row>
    <row r="1967" spans="1:5" ht="45">
      <c r="A1967" s="495">
        <v>92762</v>
      </c>
      <c r="B1967" s="348" t="s">
        <v>16407</v>
      </c>
      <c r="C1967" s="349" t="s">
        <v>90</v>
      </c>
      <c r="D1967" s="483">
        <v>8.4700000000000006</v>
      </c>
      <c r="E1967" s="483">
        <v>8.4700000000000006</v>
      </c>
    </row>
    <row r="1968" spans="1:5" ht="45">
      <c r="A1968" s="494">
        <v>92763</v>
      </c>
      <c r="B1968" s="485" t="s">
        <v>16408</v>
      </c>
      <c r="C1968" s="484" t="s">
        <v>90</v>
      </c>
      <c r="D1968" s="486">
        <v>7.09</v>
      </c>
      <c r="E1968" s="486">
        <v>7.09</v>
      </c>
    </row>
    <row r="1969" spans="1:5" ht="45">
      <c r="A1969" s="495">
        <v>92764</v>
      </c>
      <c r="B1969" s="348" t="s">
        <v>16409</v>
      </c>
      <c r="C1969" s="349" t="s">
        <v>90</v>
      </c>
      <c r="D1969" s="483">
        <v>5.66</v>
      </c>
      <c r="E1969" s="483">
        <v>5.66</v>
      </c>
    </row>
    <row r="1970" spans="1:5" ht="45">
      <c r="A1970" s="494">
        <v>92765</v>
      </c>
      <c r="B1970" s="485" t="s">
        <v>16410</v>
      </c>
      <c r="C1970" s="484" t="s">
        <v>90</v>
      </c>
      <c r="D1970" s="486">
        <v>5.14</v>
      </c>
      <c r="E1970" s="486">
        <v>5.14</v>
      </c>
    </row>
    <row r="1971" spans="1:5" ht="45">
      <c r="A1971" s="495">
        <v>92766</v>
      </c>
      <c r="B1971" s="348" t="s">
        <v>16411</v>
      </c>
      <c r="C1971" s="349" t="s">
        <v>90</v>
      </c>
      <c r="D1971" s="483">
        <v>5.62</v>
      </c>
      <c r="E1971" s="483">
        <v>5.62</v>
      </c>
    </row>
    <row r="1972" spans="1:5" ht="45">
      <c r="A1972" s="494">
        <v>92767</v>
      </c>
      <c r="B1972" s="485" t="s">
        <v>16412</v>
      </c>
      <c r="C1972" s="484" t="s">
        <v>90</v>
      </c>
      <c r="D1972" s="486">
        <v>9.56</v>
      </c>
      <c r="E1972" s="486">
        <v>9.56</v>
      </c>
    </row>
    <row r="1973" spans="1:5" ht="45">
      <c r="A1973" s="495">
        <v>92768</v>
      </c>
      <c r="B1973" s="348" t="s">
        <v>16413</v>
      </c>
      <c r="C1973" s="349" t="s">
        <v>90</v>
      </c>
      <c r="D1973" s="483">
        <v>8.59</v>
      </c>
      <c r="E1973" s="483">
        <v>8.59</v>
      </c>
    </row>
    <row r="1974" spans="1:5" ht="45">
      <c r="A1974" s="494">
        <v>92769</v>
      </c>
      <c r="B1974" s="485" t="s">
        <v>16414</v>
      </c>
      <c r="C1974" s="484" t="s">
        <v>90</v>
      </c>
      <c r="D1974" s="486">
        <v>7.82</v>
      </c>
      <c r="E1974" s="486">
        <v>7.82</v>
      </c>
    </row>
    <row r="1975" spans="1:5" ht="45">
      <c r="A1975" s="495">
        <v>92770</v>
      </c>
      <c r="B1975" s="348" t="s">
        <v>16415</v>
      </c>
      <c r="C1975" s="349" t="s">
        <v>90</v>
      </c>
      <c r="D1975" s="483">
        <v>7.78</v>
      </c>
      <c r="E1975" s="483">
        <v>7.78</v>
      </c>
    </row>
    <row r="1976" spans="1:5" ht="45">
      <c r="A1976" s="494">
        <v>92771</v>
      </c>
      <c r="B1976" s="485" t="s">
        <v>16416</v>
      </c>
      <c r="C1976" s="484" t="s">
        <v>90</v>
      </c>
      <c r="D1976" s="486">
        <v>6.29</v>
      </c>
      <c r="E1976" s="486">
        <v>6.29</v>
      </c>
    </row>
    <row r="1977" spans="1:5" ht="45">
      <c r="A1977" s="495">
        <v>92772</v>
      </c>
      <c r="B1977" s="348" t="s">
        <v>16417</v>
      </c>
      <c r="C1977" s="349" t="s">
        <v>90</v>
      </c>
      <c r="D1977" s="483">
        <v>5.57</v>
      </c>
      <c r="E1977" s="483">
        <v>5.57</v>
      </c>
    </row>
    <row r="1978" spans="1:5" ht="45">
      <c r="A1978" s="494">
        <v>92773</v>
      </c>
      <c r="B1978" s="485" t="s">
        <v>16418</v>
      </c>
      <c r="C1978" s="484" t="s">
        <v>90</v>
      </c>
      <c r="D1978" s="486">
        <v>5.31</v>
      </c>
      <c r="E1978" s="486">
        <v>5.31</v>
      </c>
    </row>
    <row r="1979" spans="1:5" ht="45">
      <c r="A1979" s="495">
        <v>92774</v>
      </c>
      <c r="B1979" s="348" t="s">
        <v>16419</v>
      </c>
      <c r="C1979" s="349" t="s">
        <v>90</v>
      </c>
      <c r="D1979" s="483">
        <v>4.91</v>
      </c>
      <c r="E1979" s="483">
        <v>4.91</v>
      </c>
    </row>
    <row r="1980" spans="1:5" ht="45">
      <c r="A1980" s="494">
        <v>92775</v>
      </c>
      <c r="B1980" s="485" t="s">
        <v>16420</v>
      </c>
      <c r="C1980" s="484" t="s">
        <v>90</v>
      </c>
      <c r="D1980" s="486">
        <v>13.59</v>
      </c>
      <c r="E1980" s="486">
        <v>13.59</v>
      </c>
    </row>
    <row r="1981" spans="1:5" ht="45">
      <c r="A1981" s="495">
        <v>92776</v>
      </c>
      <c r="B1981" s="348" t="s">
        <v>16421</v>
      </c>
      <c r="C1981" s="349" t="s">
        <v>90</v>
      </c>
      <c r="D1981" s="483">
        <v>12.27</v>
      </c>
      <c r="E1981" s="483">
        <v>12.27</v>
      </c>
    </row>
    <row r="1982" spans="1:5" ht="45">
      <c r="A1982" s="494">
        <v>92777</v>
      </c>
      <c r="B1982" s="485" t="s">
        <v>16422</v>
      </c>
      <c r="C1982" s="484" t="s">
        <v>90</v>
      </c>
      <c r="D1982" s="486">
        <v>11.6</v>
      </c>
      <c r="E1982" s="486">
        <v>11.6</v>
      </c>
    </row>
    <row r="1983" spans="1:5" ht="45">
      <c r="A1983" s="495">
        <v>92778</v>
      </c>
      <c r="B1983" s="348" t="s">
        <v>16423</v>
      </c>
      <c r="C1983" s="349" t="s">
        <v>90</v>
      </c>
      <c r="D1983" s="483">
        <v>9.3800000000000008</v>
      </c>
      <c r="E1983" s="483">
        <v>9.3800000000000008</v>
      </c>
    </row>
    <row r="1984" spans="1:5" ht="45">
      <c r="A1984" s="494">
        <v>92779</v>
      </c>
      <c r="B1984" s="485" t="s">
        <v>16424</v>
      </c>
      <c r="C1984" s="484" t="s">
        <v>90</v>
      </c>
      <c r="D1984" s="486">
        <v>7.76</v>
      </c>
      <c r="E1984" s="486">
        <v>7.76</v>
      </c>
    </row>
    <row r="1985" spans="1:5" ht="45">
      <c r="A1985" s="495">
        <v>92780</v>
      </c>
      <c r="B1985" s="348" t="s">
        <v>16425</v>
      </c>
      <c r="C1985" s="349" t="s">
        <v>90</v>
      </c>
      <c r="D1985" s="483">
        <v>6.11</v>
      </c>
      <c r="E1985" s="483">
        <v>6.11</v>
      </c>
    </row>
    <row r="1986" spans="1:5" ht="45">
      <c r="A1986" s="494">
        <v>92781</v>
      </c>
      <c r="B1986" s="485" t="s">
        <v>16426</v>
      </c>
      <c r="C1986" s="484" t="s">
        <v>90</v>
      </c>
      <c r="D1986" s="486">
        <v>5.43</v>
      </c>
      <c r="E1986" s="486">
        <v>5.43</v>
      </c>
    </row>
    <row r="1987" spans="1:5" ht="45">
      <c r="A1987" s="495">
        <v>92782</v>
      </c>
      <c r="B1987" s="348" t="s">
        <v>16427</v>
      </c>
      <c r="C1987" s="349" t="s">
        <v>90</v>
      </c>
      <c r="D1987" s="483">
        <v>5.8</v>
      </c>
      <c r="E1987" s="483">
        <v>5.8</v>
      </c>
    </row>
    <row r="1988" spans="1:5" ht="45">
      <c r="A1988" s="494">
        <v>92783</v>
      </c>
      <c r="B1988" s="485" t="s">
        <v>16428</v>
      </c>
      <c r="C1988" s="484" t="s">
        <v>90</v>
      </c>
      <c r="D1988" s="486">
        <v>11.35</v>
      </c>
      <c r="E1988" s="486">
        <v>11.35</v>
      </c>
    </row>
    <row r="1989" spans="1:5" ht="45">
      <c r="A1989" s="495">
        <v>92784</v>
      </c>
      <c r="B1989" s="348" t="s">
        <v>16429</v>
      </c>
      <c r="C1989" s="349" t="s">
        <v>90</v>
      </c>
      <c r="D1989" s="483">
        <v>10.050000000000001</v>
      </c>
      <c r="E1989" s="483">
        <v>10.050000000000001</v>
      </c>
    </row>
    <row r="1990" spans="1:5" ht="45">
      <c r="A1990" s="494">
        <v>92785</v>
      </c>
      <c r="B1990" s="485" t="s">
        <v>16430</v>
      </c>
      <c r="C1990" s="484" t="s">
        <v>90</v>
      </c>
      <c r="D1990" s="486">
        <v>8.92</v>
      </c>
      <c r="E1990" s="486">
        <v>8.92</v>
      </c>
    </row>
    <row r="1991" spans="1:5" ht="45">
      <c r="A1991" s="495">
        <v>92786</v>
      </c>
      <c r="B1991" s="348" t="s">
        <v>16431</v>
      </c>
      <c r="C1991" s="349" t="s">
        <v>90</v>
      </c>
      <c r="D1991" s="483">
        <v>8.59</v>
      </c>
      <c r="E1991" s="483">
        <v>8.59</v>
      </c>
    </row>
    <row r="1992" spans="1:5" ht="45">
      <c r="A1992" s="494">
        <v>92787</v>
      </c>
      <c r="B1992" s="485" t="s">
        <v>16432</v>
      </c>
      <c r="C1992" s="484" t="s">
        <v>90</v>
      </c>
      <c r="D1992" s="486">
        <v>6.89</v>
      </c>
      <c r="E1992" s="486">
        <v>6.89</v>
      </c>
    </row>
    <row r="1993" spans="1:5" ht="45">
      <c r="A1993" s="495">
        <v>92788</v>
      </c>
      <c r="B1993" s="348" t="s">
        <v>16433</v>
      </c>
      <c r="C1993" s="349" t="s">
        <v>90</v>
      </c>
      <c r="D1993" s="483">
        <v>5.99</v>
      </c>
      <c r="E1993" s="483">
        <v>5.99</v>
      </c>
    </row>
    <row r="1994" spans="1:5" ht="45">
      <c r="A1994" s="494">
        <v>92789</v>
      </c>
      <c r="B1994" s="485" t="s">
        <v>16434</v>
      </c>
      <c r="C1994" s="484" t="s">
        <v>90</v>
      </c>
      <c r="D1994" s="486">
        <v>5.59</v>
      </c>
      <c r="E1994" s="486">
        <v>5.59</v>
      </c>
    </row>
    <row r="1995" spans="1:5" ht="45">
      <c r="A1995" s="495">
        <v>92790</v>
      </c>
      <c r="B1995" s="348" t="s">
        <v>16435</v>
      </c>
      <c r="C1995" s="349" t="s">
        <v>90</v>
      </c>
      <c r="D1995" s="483">
        <v>5.07</v>
      </c>
      <c r="E1995" s="483">
        <v>5.07</v>
      </c>
    </row>
    <row r="1996" spans="1:5" ht="30">
      <c r="A1996" s="494">
        <v>92791</v>
      </c>
      <c r="B1996" s="485" t="s">
        <v>16436</v>
      </c>
      <c r="C1996" s="484" t="s">
        <v>90</v>
      </c>
      <c r="D1996" s="486">
        <v>8.57</v>
      </c>
      <c r="E1996" s="486">
        <v>8.57</v>
      </c>
    </row>
    <row r="1997" spans="1:5" ht="30">
      <c r="A1997" s="495">
        <v>92792</v>
      </c>
      <c r="B1997" s="348" t="s">
        <v>16437</v>
      </c>
      <c r="C1997" s="349" t="s">
        <v>90</v>
      </c>
      <c r="D1997" s="483">
        <v>8.39</v>
      </c>
      <c r="E1997" s="483">
        <v>8.39</v>
      </c>
    </row>
    <row r="1998" spans="1:5" ht="30">
      <c r="A1998" s="494">
        <v>92793</v>
      </c>
      <c r="B1998" s="485" t="s">
        <v>16438</v>
      </c>
      <c r="C1998" s="484" t="s">
        <v>90</v>
      </c>
      <c r="D1998" s="486">
        <v>8.65</v>
      </c>
      <c r="E1998" s="486">
        <v>8.65</v>
      </c>
    </row>
    <row r="1999" spans="1:5" ht="30">
      <c r="A1999" s="495">
        <v>92794</v>
      </c>
      <c r="B1999" s="348" t="s">
        <v>16439</v>
      </c>
      <c r="C1999" s="349" t="s">
        <v>90</v>
      </c>
      <c r="D1999" s="483">
        <v>7.12</v>
      </c>
      <c r="E1999" s="483">
        <v>7.12</v>
      </c>
    </row>
    <row r="2000" spans="1:5" ht="30">
      <c r="A2000" s="494">
        <v>92795</v>
      </c>
      <c r="B2000" s="485" t="s">
        <v>16440</v>
      </c>
      <c r="C2000" s="484" t="s">
        <v>90</v>
      </c>
      <c r="D2000" s="486">
        <v>6.06</v>
      </c>
      <c r="E2000" s="486">
        <v>6.06</v>
      </c>
    </row>
    <row r="2001" spans="1:5" ht="30">
      <c r="A2001" s="495">
        <v>92796</v>
      </c>
      <c r="B2001" s="348" t="s">
        <v>16441</v>
      </c>
      <c r="C2001" s="349" t="s">
        <v>90</v>
      </c>
      <c r="D2001" s="483">
        <v>4.9000000000000004</v>
      </c>
      <c r="E2001" s="483">
        <v>4.9000000000000004</v>
      </c>
    </row>
    <row r="2002" spans="1:5" ht="30">
      <c r="A2002" s="494">
        <v>92797</v>
      </c>
      <c r="B2002" s="485" t="s">
        <v>16442</v>
      </c>
      <c r="C2002" s="484" t="s">
        <v>90</v>
      </c>
      <c r="D2002" s="486">
        <v>4.57</v>
      </c>
      <c r="E2002" s="486">
        <v>4.57</v>
      </c>
    </row>
    <row r="2003" spans="1:5" ht="30">
      <c r="A2003" s="495">
        <v>92798</v>
      </c>
      <c r="B2003" s="348" t="s">
        <v>16443</v>
      </c>
      <c r="C2003" s="349" t="s">
        <v>90</v>
      </c>
      <c r="D2003" s="483">
        <v>5.21</v>
      </c>
      <c r="E2003" s="483">
        <v>5.21</v>
      </c>
    </row>
    <row r="2004" spans="1:5">
      <c r="A2004" s="494">
        <v>92799</v>
      </c>
      <c r="B2004" s="485" t="s">
        <v>16444</v>
      </c>
      <c r="C2004" s="484" t="s">
        <v>90</v>
      </c>
      <c r="D2004" s="486">
        <v>6.93</v>
      </c>
      <c r="E2004" s="486">
        <v>6.93</v>
      </c>
    </row>
    <row r="2005" spans="1:5">
      <c r="A2005" s="495">
        <v>92800</v>
      </c>
      <c r="B2005" s="348" t="s">
        <v>16445</v>
      </c>
      <c r="C2005" s="349" t="s">
        <v>90</v>
      </c>
      <c r="D2005" s="483">
        <v>6.43</v>
      </c>
      <c r="E2005" s="483">
        <v>6.43</v>
      </c>
    </row>
    <row r="2006" spans="1:5">
      <c r="A2006" s="494">
        <v>92801</v>
      </c>
      <c r="B2006" s="485" t="s">
        <v>16446</v>
      </c>
      <c r="C2006" s="484" t="s">
        <v>90</v>
      </c>
      <c r="D2006" s="486">
        <v>6.16</v>
      </c>
      <c r="E2006" s="486">
        <v>6.16</v>
      </c>
    </row>
    <row r="2007" spans="1:5">
      <c r="A2007" s="495">
        <v>92802</v>
      </c>
      <c r="B2007" s="348" t="s">
        <v>16447</v>
      </c>
      <c r="C2007" s="349" t="s">
        <v>90</v>
      </c>
      <c r="D2007" s="483">
        <v>6.53</v>
      </c>
      <c r="E2007" s="483">
        <v>6.53</v>
      </c>
    </row>
    <row r="2008" spans="1:5">
      <c r="A2008" s="494">
        <v>92803</v>
      </c>
      <c r="B2008" s="485" t="s">
        <v>16448</v>
      </c>
      <c r="C2008" s="484" t="s">
        <v>90</v>
      </c>
      <c r="D2008" s="486">
        <v>5.34</v>
      </c>
      <c r="E2008" s="486">
        <v>5.34</v>
      </c>
    </row>
    <row r="2009" spans="1:5">
      <c r="A2009" s="495">
        <v>92804</v>
      </c>
      <c r="B2009" s="348" t="s">
        <v>16449</v>
      </c>
      <c r="C2009" s="349" t="s">
        <v>90</v>
      </c>
      <c r="D2009" s="483">
        <v>4.84</v>
      </c>
      <c r="E2009" s="483">
        <v>4.84</v>
      </c>
    </row>
    <row r="2010" spans="1:5">
      <c r="A2010" s="494">
        <v>92805</v>
      </c>
      <c r="B2010" s="485" t="s">
        <v>16450</v>
      </c>
      <c r="C2010" s="484" t="s">
        <v>90</v>
      </c>
      <c r="D2010" s="486">
        <v>4.78</v>
      </c>
      <c r="E2010" s="486">
        <v>4.78</v>
      </c>
    </row>
    <row r="2011" spans="1:5">
      <c r="A2011" s="495">
        <v>92806</v>
      </c>
      <c r="B2011" s="348" t="s">
        <v>16451</v>
      </c>
      <c r="C2011" s="349" t="s">
        <v>90</v>
      </c>
      <c r="D2011" s="483">
        <v>4.51</v>
      </c>
      <c r="E2011" s="483">
        <v>4.51</v>
      </c>
    </row>
    <row r="2012" spans="1:5">
      <c r="A2012" s="494">
        <v>92875</v>
      </c>
      <c r="B2012" s="485" t="s">
        <v>4097</v>
      </c>
      <c r="C2012" s="484" t="s">
        <v>90</v>
      </c>
      <c r="D2012" s="486">
        <v>8.23</v>
      </c>
      <c r="E2012" s="486">
        <v>8.23</v>
      </c>
    </row>
    <row r="2013" spans="1:5">
      <c r="A2013" s="495">
        <v>92876</v>
      </c>
      <c r="B2013" s="348" t="s">
        <v>4098</v>
      </c>
      <c r="C2013" s="349" t="s">
        <v>90</v>
      </c>
      <c r="D2013" s="483">
        <v>7.8</v>
      </c>
      <c r="E2013" s="483">
        <v>7.8</v>
      </c>
    </row>
    <row r="2014" spans="1:5">
      <c r="A2014" s="494">
        <v>92877</v>
      </c>
      <c r="B2014" s="485" t="s">
        <v>4092</v>
      </c>
      <c r="C2014" s="484" t="s">
        <v>90</v>
      </c>
      <c r="D2014" s="486">
        <v>6.83</v>
      </c>
      <c r="E2014" s="486">
        <v>6.83</v>
      </c>
    </row>
    <row r="2015" spans="1:5">
      <c r="A2015" s="495">
        <v>92878</v>
      </c>
      <c r="B2015" s="348" t="s">
        <v>4093</v>
      </c>
      <c r="C2015" s="349" t="s">
        <v>90</v>
      </c>
      <c r="D2015" s="483">
        <v>6.04</v>
      </c>
      <c r="E2015" s="483">
        <v>6.04</v>
      </c>
    </row>
    <row r="2016" spans="1:5">
      <c r="A2016" s="494">
        <v>92879</v>
      </c>
      <c r="B2016" s="485" t="s">
        <v>4094</v>
      </c>
      <c r="C2016" s="484" t="s">
        <v>90</v>
      </c>
      <c r="D2016" s="486">
        <v>4.88</v>
      </c>
      <c r="E2016" s="486">
        <v>4.88</v>
      </c>
    </row>
    <row r="2017" spans="1:5">
      <c r="A2017" s="495">
        <v>92880</v>
      </c>
      <c r="B2017" s="348" t="s">
        <v>4095</v>
      </c>
      <c r="C2017" s="349" t="s">
        <v>90</v>
      </c>
      <c r="D2017" s="483">
        <v>4.8600000000000003</v>
      </c>
      <c r="E2017" s="483">
        <v>4.8600000000000003</v>
      </c>
    </row>
    <row r="2018" spans="1:5">
      <c r="A2018" s="494">
        <v>92881</v>
      </c>
      <c r="B2018" s="485" t="s">
        <v>4096</v>
      </c>
      <c r="C2018" s="484" t="s">
        <v>90</v>
      </c>
      <c r="D2018" s="486">
        <v>4.8</v>
      </c>
      <c r="E2018" s="486">
        <v>4.8</v>
      </c>
    </row>
    <row r="2019" spans="1:5">
      <c r="A2019" s="495">
        <v>92882</v>
      </c>
      <c r="B2019" s="348" t="s">
        <v>2163</v>
      </c>
      <c r="C2019" s="349" t="s">
        <v>90</v>
      </c>
      <c r="D2019" s="483">
        <v>10.5</v>
      </c>
      <c r="E2019" s="483">
        <v>10.5</v>
      </c>
    </row>
    <row r="2020" spans="1:5">
      <c r="A2020" s="494">
        <v>92883</v>
      </c>
      <c r="B2020" s="485" t="s">
        <v>2164</v>
      </c>
      <c r="C2020" s="484" t="s">
        <v>90</v>
      </c>
      <c r="D2020" s="486">
        <v>9.5399999999999991</v>
      </c>
      <c r="E2020" s="486">
        <v>9.5399999999999991</v>
      </c>
    </row>
    <row r="2021" spans="1:5">
      <c r="A2021" s="495">
        <v>92884</v>
      </c>
      <c r="B2021" s="348" t="s">
        <v>2158</v>
      </c>
      <c r="C2021" s="349" t="s">
        <v>90</v>
      </c>
      <c r="D2021" s="483">
        <v>8.18</v>
      </c>
      <c r="E2021" s="483">
        <v>8.18</v>
      </c>
    </row>
    <row r="2022" spans="1:5">
      <c r="A2022" s="494">
        <v>92885</v>
      </c>
      <c r="B2022" s="485" t="s">
        <v>2159</v>
      </c>
      <c r="C2022" s="484" t="s">
        <v>90</v>
      </c>
      <c r="D2022" s="486">
        <v>7.07</v>
      </c>
      <c r="E2022" s="486">
        <v>7.07</v>
      </c>
    </row>
    <row r="2023" spans="1:5">
      <c r="A2023" s="495">
        <v>92886</v>
      </c>
      <c r="B2023" s="348" t="s">
        <v>2160</v>
      </c>
      <c r="C2023" s="349" t="s">
        <v>90</v>
      </c>
      <c r="D2023" s="483">
        <v>5.64</v>
      </c>
      <c r="E2023" s="483">
        <v>5.64</v>
      </c>
    </row>
    <row r="2024" spans="1:5">
      <c r="A2024" s="494">
        <v>92887</v>
      </c>
      <c r="B2024" s="485" t="s">
        <v>2161</v>
      </c>
      <c r="C2024" s="484" t="s">
        <v>90</v>
      </c>
      <c r="D2024" s="486">
        <v>5.43</v>
      </c>
      <c r="E2024" s="486">
        <v>5.43</v>
      </c>
    </row>
    <row r="2025" spans="1:5">
      <c r="A2025" s="495">
        <v>92888</v>
      </c>
      <c r="B2025" s="348" t="s">
        <v>2162</v>
      </c>
      <c r="C2025" s="349" t="s">
        <v>90</v>
      </c>
      <c r="D2025" s="483">
        <v>5.21</v>
      </c>
      <c r="E2025" s="483">
        <v>5.21</v>
      </c>
    </row>
    <row r="2026" spans="1:5" ht="45">
      <c r="A2026" s="494">
        <v>92915</v>
      </c>
      <c r="B2026" s="485" t="s">
        <v>16452</v>
      </c>
      <c r="C2026" s="484" t="s">
        <v>90</v>
      </c>
      <c r="D2026" s="486">
        <v>12.53</v>
      </c>
      <c r="E2026" s="486">
        <v>12.53</v>
      </c>
    </row>
    <row r="2027" spans="1:5" s="25" customFormat="1" ht="45">
      <c r="A2027" s="604" t="s">
        <v>20636</v>
      </c>
      <c r="B2027" s="605" t="s">
        <v>16452</v>
      </c>
      <c r="C2027" s="606" t="s">
        <v>90</v>
      </c>
      <c r="D2027" s="607">
        <v>12.53</v>
      </c>
      <c r="E2027" s="486"/>
    </row>
    <row r="2028" spans="1:5" ht="45">
      <c r="A2028" s="495">
        <v>92916</v>
      </c>
      <c r="B2028" s="348" t="s">
        <v>16453</v>
      </c>
      <c r="C2028" s="349" t="s">
        <v>90</v>
      </c>
      <c r="D2028" s="483">
        <v>11.46</v>
      </c>
      <c r="E2028" s="483">
        <v>11.46</v>
      </c>
    </row>
    <row r="2029" spans="1:5" ht="45">
      <c r="A2029" s="494">
        <v>92917</v>
      </c>
      <c r="B2029" s="485" t="s">
        <v>16454</v>
      </c>
      <c r="C2029" s="484" t="s">
        <v>90</v>
      </c>
      <c r="D2029" s="486">
        <v>11</v>
      </c>
      <c r="E2029" s="486">
        <v>11</v>
      </c>
    </row>
    <row r="2030" spans="1:5" s="25" customFormat="1" ht="45">
      <c r="A2030" s="604" t="s">
        <v>20637</v>
      </c>
      <c r="B2030" s="605" t="s">
        <v>16454</v>
      </c>
      <c r="C2030" s="606" t="s">
        <v>90</v>
      </c>
      <c r="D2030" s="607">
        <v>11</v>
      </c>
      <c r="E2030" s="486"/>
    </row>
    <row r="2031" spans="1:5" ht="45">
      <c r="A2031" s="495">
        <v>92919</v>
      </c>
      <c r="B2031" s="348" t="s">
        <v>16455</v>
      </c>
      <c r="C2031" s="349" t="s">
        <v>90</v>
      </c>
      <c r="D2031" s="483">
        <v>8.93</v>
      </c>
      <c r="E2031" s="483">
        <v>8.93</v>
      </c>
    </row>
    <row r="2032" spans="1:5" s="25" customFormat="1" ht="45">
      <c r="A2032" s="604" t="s">
        <v>20638</v>
      </c>
      <c r="B2032" s="605" t="s">
        <v>16455</v>
      </c>
      <c r="C2032" s="606" t="s">
        <v>90</v>
      </c>
      <c r="D2032" s="607">
        <v>8.93</v>
      </c>
      <c r="E2032" s="483"/>
    </row>
    <row r="2033" spans="1:5" ht="45">
      <c r="A2033" s="494">
        <v>92921</v>
      </c>
      <c r="B2033" s="485" t="s">
        <v>16456</v>
      </c>
      <c r="C2033" s="484" t="s">
        <v>90</v>
      </c>
      <c r="D2033" s="486">
        <v>7.43</v>
      </c>
      <c r="E2033" s="486">
        <v>7.43</v>
      </c>
    </row>
    <row r="2034" spans="1:5" s="25" customFormat="1" ht="45">
      <c r="A2034" s="604" t="s">
        <v>20639</v>
      </c>
      <c r="B2034" s="605" t="s">
        <v>16456</v>
      </c>
      <c r="C2034" s="606" t="s">
        <v>90</v>
      </c>
      <c r="D2034" s="607">
        <v>7.43</v>
      </c>
      <c r="E2034" s="486"/>
    </row>
    <row r="2035" spans="1:5" ht="45">
      <c r="A2035" s="495">
        <v>92922</v>
      </c>
      <c r="B2035" s="348" t="s">
        <v>16457</v>
      </c>
      <c r="C2035" s="349" t="s">
        <v>90</v>
      </c>
      <c r="D2035" s="483">
        <v>5.88</v>
      </c>
      <c r="E2035" s="483">
        <v>5.88</v>
      </c>
    </row>
    <row r="2036" spans="1:5" ht="45">
      <c r="A2036" s="494">
        <v>92923</v>
      </c>
      <c r="B2036" s="485" t="s">
        <v>16458</v>
      </c>
      <c r="C2036" s="484" t="s">
        <v>90</v>
      </c>
      <c r="D2036" s="486">
        <v>5.28</v>
      </c>
      <c r="E2036" s="486">
        <v>5.28</v>
      </c>
    </row>
    <row r="2037" spans="1:5" ht="45">
      <c r="A2037" s="495">
        <v>92924</v>
      </c>
      <c r="B2037" s="348" t="s">
        <v>16459</v>
      </c>
      <c r="C2037" s="349" t="s">
        <v>90</v>
      </c>
      <c r="D2037" s="483">
        <v>5.71</v>
      </c>
      <c r="E2037" s="483">
        <v>5.71</v>
      </c>
    </row>
    <row r="2038" spans="1:5" ht="30">
      <c r="A2038" s="494">
        <v>95445</v>
      </c>
      <c r="B2038" s="485" t="s">
        <v>16460</v>
      </c>
      <c r="C2038" s="484" t="s">
        <v>90</v>
      </c>
      <c r="D2038" s="486">
        <v>4.91</v>
      </c>
      <c r="E2038" s="486">
        <v>4.91</v>
      </c>
    </row>
    <row r="2039" spans="1:5" ht="30">
      <c r="A2039" s="495">
        <v>95446</v>
      </c>
      <c r="B2039" s="348" t="s">
        <v>16461</v>
      </c>
      <c r="C2039" s="349" t="s">
        <v>90</v>
      </c>
      <c r="D2039" s="483">
        <v>5.01</v>
      </c>
      <c r="E2039" s="483">
        <v>5.01</v>
      </c>
    </row>
    <row r="2040" spans="1:5" ht="30">
      <c r="A2040" s="494">
        <v>95576</v>
      </c>
      <c r="B2040" s="485" t="s">
        <v>16462</v>
      </c>
      <c r="C2040" s="484" t="s">
        <v>90</v>
      </c>
      <c r="D2040" s="486">
        <v>10.58</v>
      </c>
      <c r="E2040" s="486">
        <v>10.58</v>
      </c>
    </row>
    <row r="2041" spans="1:5" ht="30">
      <c r="A2041" s="495">
        <v>95577</v>
      </c>
      <c r="B2041" s="348" t="s">
        <v>16463</v>
      </c>
      <c r="C2041" s="349" t="s">
        <v>90</v>
      </c>
      <c r="D2041" s="483">
        <v>8.6999999999999993</v>
      </c>
      <c r="E2041" s="483">
        <v>8.6999999999999993</v>
      </c>
    </row>
    <row r="2042" spans="1:5" ht="30">
      <c r="A2042" s="494">
        <v>95578</v>
      </c>
      <c r="B2042" s="485" t="s">
        <v>16464</v>
      </c>
      <c r="C2042" s="484" t="s">
        <v>90</v>
      </c>
      <c r="D2042" s="486">
        <v>7.37</v>
      </c>
      <c r="E2042" s="486">
        <v>7.37</v>
      </c>
    </row>
    <row r="2043" spans="1:5" ht="30">
      <c r="A2043" s="495">
        <v>95579</v>
      </c>
      <c r="B2043" s="348" t="s">
        <v>16465</v>
      </c>
      <c r="C2043" s="349" t="s">
        <v>90</v>
      </c>
      <c r="D2043" s="483">
        <v>5.96</v>
      </c>
      <c r="E2043" s="483">
        <v>5.96</v>
      </c>
    </row>
    <row r="2044" spans="1:5" ht="30">
      <c r="A2044" s="494">
        <v>95580</v>
      </c>
      <c r="B2044" s="485" t="s">
        <v>16466</v>
      </c>
      <c r="C2044" s="484" t="s">
        <v>90</v>
      </c>
      <c r="D2044" s="486">
        <v>5.46</v>
      </c>
      <c r="E2044" s="486">
        <v>5.46</v>
      </c>
    </row>
    <row r="2045" spans="1:5" ht="30">
      <c r="A2045" s="495">
        <v>95581</v>
      </c>
      <c r="B2045" s="348" t="s">
        <v>16467</v>
      </c>
      <c r="C2045" s="349" t="s">
        <v>90</v>
      </c>
      <c r="D2045" s="483">
        <v>5.96</v>
      </c>
      <c r="E2045" s="483">
        <v>5.96</v>
      </c>
    </row>
    <row r="2046" spans="1:5" ht="30">
      <c r="A2046" s="494">
        <v>95583</v>
      </c>
      <c r="B2046" s="485" t="s">
        <v>16468</v>
      </c>
      <c r="C2046" s="484" t="s">
        <v>90</v>
      </c>
      <c r="D2046" s="486">
        <v>10.74</v>
      </c>
      <c r="E2046" s="486">
        <v>10.74</v>
      </c>
    </row>
    <row r="2047" spans="1:5" ht="30">
      <c r="A2047" s="495">
        <v>95584</v>
      </c>
      <c r="B2047" s="348" t="s">
        <v>16469</v>
      </c>
      <c r="C2047" s="349" t="s">
        <v>90</v>
      </c>
      <c r="D2047" s="483">
        <v>8.6999999999999993</v>
      </c>
      <c r="E2047" s="483">
        <v>8.6999999999999993</v>
      </c>
    </row>
    <row r="2048" spans="1:5" ht="30">
      <c r="A2048" s="494">
        <v>95585</v>
      </c>
      <c r="B2048" s="485" t="s">
        <v>16470</v>
      </c>
      <c r="C2048" s="484" t="s">
        <v>90</v>
      </c>
      <c r="D2048" s="486">
        <v>10.94</v>
      </c>
      <c r="E2048" s="486">
        <v>10.94</v>
      </c>
    </row>
    <row r="2049" spans="1:5" ht="30">
      <c r="A2049" s="495">
        <v>95586</v>
      </c>
      <c r="B2049" s="348" t="s">
        <v>16471</v>
      </c>
      <c r="C2049" s="349" t="s">
        <v>90</v>
      </c>
      <c r="D2049" s="483">
        <v>8.98</v>
      </c>
      <c r="E2049" s="483">
        <v>8.98</v>
      </c>
    </row>
    <row r="2050" spans="1:5" ht="30">
      <c r="A2050" s="494">
        <v>95587</v>
      </c>
      <c r="B2050" s="485" t="s">
        <v>16472</v>
      </c>
      <c r="C2050" s="484" t="s">
        <v>90</v>
      </c>
      <c r="D2050" s="486">
        <v>7.6</v>
      </c>
      <c r="E2050" s="486">
        <v>7.6</v>
      </c>
    </row>
    <row r="2051" spans="1:5" ht="30">
      <c r="A2051" s="495">
        <v>95588</v>
      </c>
      <c r="B2051" s="348" t="s">
        <v>16473</v>
      </c>
      <c r="C2051" s="349" t="s">
        <v>90</v>
      </c>
      <c r="D2051" s="483">
        <v>6.13</v>
      </c>
      <c r="E2051" s="483">
        <v>6.13</v>
      </c>
    </row>
    <row r="2052" spans="1:5" ht="30">
      <c r="A2052" s="494">
        <v>95589</v>
      </c>
      <c r="B2052" s="485" t="s">
        <v>16474</v>
      </c>
      <c r="C2052" s="484" t="s">
        <v>90</v>
      </c>
      <c r="D2052" s="486">
        <v>5.61</v>
      </c>
      <c r="E2052" s="486">
        <v>5.61</v>
      </c>
    </row>
    <row r="2053" spans="1:5" ht="30">
      <c r="A2053" s="495">
        <v>95590</v>
      </c>
      <c r="B2053" s="348" t="s">
        <v>16475</v>
      </c>
      <c r="C2053" s="349" t="s">
        <v>90</v>
      </c>
      <c r="D2053" s="483">
        <v>6.08</v>
      </c>
      <c r="E2053" s="483">
        <v>6.08</v>
      </c>
    </row>
    <row r="2054" spans="1:5" ht="30">
      <c r="A2054" s="494">
        <v>95592</v>
      </c>
      <c r="B2054" s="485" t="s">
        <v>16476</v>
      </c>
      <c r="C2054" s="484" t="s">
        <v>90</v>
      </c>
      <c r="D2054" s="486">
        <v>15.53</v>
      </c>
      <c r="E2054" s="486">
        <v>15.53</v>
      </c>
    </row>
    <row r="2055" spans="1:5" ht="30">
      <c r="A2055" s="495">
        <v>95593</v>
      </c>
      <c r="B2055" s="348" t="s">
        <v>16477</v>
      </c>
      <c r="C2055" s="349" t="s">
        <v>90</v>
      </c>
      <c r="D2055" s="483">
        <v>12.77</v>
      </c>
      <c r="E2055" s="483">
        <v>12.77</v>
      </c>
    </row>
    <row r="2056" spans="1:5" ht="30">
      <c r="A2056" s="494">
        <v>95943</v>
      </c>
      <c r="B2056" s="485" t="s">
        <v>16478</v>
      </c>
      <c r="C2056" s="484" t="s">
        <v>90</v>
      </c>
      <c r="D2056" s="486">
        <v>14.4</v>
      </c>
      <c r="E2056" s="486">
        <v>14.4</v>
      </c>
    </row>
    <row r="2057" spans="1:5" ht="30">
      <c r="A2057" s="495">
        <v>95944</v>
      </c>
      <c r="B2057" s="348" t="s">
        <v>16479</v>
      </c>
      <c r="C2057" s="349" t="s">
        <v>90</v>
      </c>
      <c r="D2057" s="483">
        <v>12.66</v>
      </c>
      <c r="E2057" s="483">
        <v>12.66</v>
      </c>
    </row>
    <row r="2058" spans="1:5" ht="30">
      <c r="A2058" s="494">
        <v>95945</v>
      </c>
      <c r="B2058" s="485" t="s">
        <v>16480</v>
      </c>
      <c r="C2058" s="484" t="s">
        <v>90</v>
      </c>
      <c r="D2058" s="486">
        <v>10.45</v>
      </c>
      <c r="E2058" s="486">
        <v>10.45</v>
      </c>
    </row>
    <row r="2059" spans="1:5" ht="30">
      <c r="A2059" s="495">
        <v>95946</v>
      </c>
      <c r="B2059" s="348" t="s">
        <v>16481</v>
      </c>
      <c r="C2059" s="349" t="s">
        <v>90</v>
      </c>
      <c r="D2059" s="483">
        <v>7.55</v>
      </c>
      <c r="E2059" s="483">
        <v>7.55</v>
      </c>
    </row>
    <row r="2060" spans="1:5" ht="30">
      <c r="A2060" s="494">
        <v>95947</v>
      </c>
      <c r="B2060" s="485" t="s">
        <v>16482</v>
      </c>
      <c r="C2060" s="484" t="s">
        <v>90</v>
      </c>
      <c r="D2060" s="486">
        <v>5.95</v>
      </c>
      <c r="E2060" s="486">
        <v>5.95</v>
      </c>
    </row>
    <row r="2061" spans="1:5" ht="30">
      <c r="A2061" s="495">
        <v>95948</v>
      </c>
      <c r="B2061" s="348" t="s">
        <v>16483</v>
      </c>
      <c r="C2061" s="349" t="s">
        <v>90</v>
      </c>
      <c r="D2061" s="483">
        <v>5.14</v>
      </c>
      <c r="E2061" s="483">
        <v>5.14</v>
      </c>
    </row>
    <row r="2062" spans="1:5">
      <c r="A2062" s="494">
        <v>40780</v>
      </c>
      <c r="B2062" s="485" t="s">
        <v>8709</v>
      </c>
      <c r="C2062" s="484" t="s">
        <v>256</v>
      </c>
      <c r="D2062" s="486">
        <v>8.56</v>
      </c>
      <c r="E2062" s="486">
        <v>8.56</v>
      </c>
    </row>
    <row r="2063" spans="1:5">
      <c r="A2063" s="349" t="s">
        <v>16484</v>
      </c>
      <c r="B2063" s="348" t="s">
        <v>6684</v>
      </c>
      <c r="C2063" s="349" t="s">
        <v>255</v>
      </c>
      <c r="D2063" s="483">
        <v>91.03</v>
      </c>
      <c r="E2063" s="483">
        <v>91.03</v>
      </c>
    </row>
    <row r="2064" spans="1:5">
      <c r="A2064" s="494">
        <v>89993</v>
      </c>
      <c r="B2064" s="485" t="s">
        <v>541</v>
      </c>
      <c r="C2064" s="484" t="s">
        <v>255</v>
      </c>
      <c r="D2064" s="486">
        <v>552.16999999999996</v>
      </c>
      <c r="E2064" s="486">
        <v>552.16999999999996</v>
      </c>
    </row>
    <row r="2065" spans="1:5" ht="30">
      <c r="A2065" s="495">
        <v>89994</v>
      </c>
      <c r="B2065" s="348" t="s">
        <v>16485</v>
      </c>
      <c r="C2065" s="349" t="s">
        <v>255</v>
      </c>
      <c r="D2065" s="483">
        <v>457.48</v>
      </c>
      <c r="E2065" s="483">
        <v>457.48</v>
      </c>
    </row>
    <row r="2066" spans="1:5">
      <c r="A2066" s="494">
        <v>89995</v>
      </c>
      <c r="B2066" s="485" t="s">
        <v>16486</v>
      </c>
      <c r="C2066" s="484" t="s">
        <v>255</v>
      </c>
      <c r="D2066" s="486">
        <v>527.95000000000005</v>
      </c>
      <c r="E2066" s="486">
        <v>527.95000000000005</v>
      </c>
    </row>
    <row r="2067" spans="1:5" ht="30">
      <c r="A2067" s="495">
        <v>90278</v>
      </c>
      <c r="B2067" s="348" t="s">
        <v>16487</v>
      </c>
      <c r="C2067" s="349" t="s">
        <v>255</v>
      </c>
      <c r="D2067" s="483">
        <v>254.95</v>
      </c>
      <c r="E2067" s="483">
        <v>254.95</v>
      </c>
    </row>
    <row r="2068" spans="1:5" ht="30">
      <c r="A2068" s="494">
        <v>90279</v>
      </c>
      <c r="B2068" s="485" t="s">
        <v>16488</v>
      </c>
      <c r="C2068" s="484" t="s">
        <v>255</v>
      </c>
      <c r="D2068" s="486">
        <v>269.73</v>
      </c>
      <c r="E2068" s="486">
        <v>269.73</v>
      </c>
    </row>
    <row r="2069" spans="1:5" ht="30">
      <c r="A2069" s="495">
        <v>90280</v>
      </c>
      <c r="B2069" s="348" t="s">
        <v>16489</v>
      </c>
      <c r="C2069" s="349" t="s">
        <v>255</v>
      </c>
      <c r="D2069" s="483">
        <v>298.87</v>
      </c>
      <c r="E2069" s="483">
        <v>298.87</v>
      </c>
    </row>
    <row r="2070" spans="1:5" ht="30">
      <c r="A2070" s="494">
        <v>90281</v>
      </c>
      <c r="B2070" s="485" t="s">
        <v>16490</v>
      </c>
      <c r="C2070" s="484" t="s">
        <v>255</v>
      </c>
      <c r="D2070" s="486">
        <v>339.1</v>
      </c>
      <c r="E2070" s="486">
        <v>339.1</v>
      </c>
    </row>
    <row r="2071" spans="1:5" ht="30">
      <c r="A2071" s="495">
        <v>90282</v>
      </c>
      <c r="B2071" s="348" t="s">
        <v>16491</v>
      </c>
      <c r="C2071" s="349" t="s">
        <v>255</v>
      </c>
      <c r="D2071" s="483">
        <v>259.33</v>
      </c>
      <c r="E2071" s="483">
        <v>259.33</v>
      </c>
    </row>
    <row r="2072" spans="1:5" ht="30">
      <c r="A2072" s="494">
        <v>90283</v>
      </c>
      <c r="B2072" s="485" t="s">
        <v>16492</v>
      </c>
      <c r="C2072" s="484" t="s">
        <v>255</v>
      </c>
      <c r="D2072" s="486">
        <v>275.42</v>
      </c>
      <c r="E2072" s="486">
        <v>275.42</v>
      </c>
    </row>
    <row r="2073" spans="1:5" ht="30">
      <c r="A2073" s="495">
        <v>90284</v>
      </c>
      <c r="B2073" s="348" t="s">
        <v>16493</v>
      </c>
      <c r="C2073" s="349" t="s">
        <v>255</v>
      </c>
      <c r="D2073" s="483">
        <v>305.83</v>
      </c>
      <c r="E2073" s="483">
        <v>305.83</v>
      </c>
    </row>
    <row r="2074" spans="1:5" ht="30">
      <c r="A2074" s="494">
        <v>90285</v>
      </c>
      <c r="B2074" s="485" t="s">
        <v>16494</v>
      </c>
      <c r="C2074" s="484" t="s">
        <v>255</v>
      </c>
      <c r="D2074" s="486">
        <v>348.94</v>
      </c>
      <c r="E2074" s="486">
        <v>348.94</v>
      </c>
    </row>
    <row r="2075" spans="1:5" ht="45">
      <c r="A2075" s="495">
        <v>90853</v>
      </c>
      <c r="B2075" s="348" t="s">
        <v>16495</v>
      </c>
      <c r="C2075" s="349" t="s">
        <v>255</v>
      </c>
      <c r="D2075" s="483">
        <v>337.49</v>
      </c>
      <c r="E2075" s="483">
        <v>337.49</v>
      </c>
    </row>
    <row r="2076" spans="1:5" ht="45">
      <c r="A2076" s="494">
        <v>90854</v>
      </c>
      <c r="B2076" s="485" t="s">
        <v>16496</v>
      </c>
      <c r="C2076" s="484" t="s">
        <v>255</v>
      </c>
      <c r="D2076" s="486">
        <v>326.99</v>
      </c>
      <c r="E2076" s="486">
        <v>326.99</v>
      </c>
    </row>
    <row r="2077" spans="1:5" ht="45">
      <c r="A2077" s="495">
        <v>90855</v>
      </c>
      <c r="B2077" s="348" t="s">
        <v>16497</v>
      </c>
      <c r="C2077" s="349" t="s">
        <v>255</v>
      </c>
      <c r="D2077" s="483">
        <v>359.36</v>
      </c>
      <c r="E2077" s="483">
        <v>359.36</v>
      </c>
    </row>
    <row r="2078" spans="1:5" ht="45">
      <c r="A2078" s="494">
        <v>90856</v>
      </c>
      <c r="B2078" s="485" t="s">
        <v>16498</v>
      </c>
      <c r="C2078" s="484" t="s">
        <v>255</v>
      </c>
      <c r="D2078" s="486">
        <v>340.73</v>
      </c>
      <c r="E2078" s="486">
        <v>340.73</v>
      </c>
    </row>
    <row r="2079" spans="1:5" ht="45">
      <c r="A2079" s="495">
        <v>90857</v>
      </c>
      <c r="B2079" s="348" t="s">
        <v>16499</v>
      </c>
      <c r="C2079" s="349" t="s">
        <v>255</v>
      </c>
      <c r="D2079" s="483">
        <v>329.14</v>
      </c>
      <c r="E2079" s="483">
        <v>329.14</v>
      </c>
    </row>
    <row r="2080" spans="1:5" ht="45">
      <c r="A2080" s="494">
        <v>90858</v>
      </c>
      <c r="B2080" s="485" t="s">
        <v>16500</v>
      </c>
      <c r="C2080" s="484" t="s">
        <v>255</v>
      </c>
      <c r="D2080" s="486">
        <v>374.22</v>
      </c>
      <c r="E2080" s="486">
        <v>374.22</v>
      </c>
    </row>
    <row r="2081" spans="1:5" ht="45">
      <c r="A2081" s="495">
        <v>90859</v>
      </c>
      <c r="B2081" s="348" t="s">
        <v>16501</v>
      </c>
      <c r="C2081" s="349" t="s">
        <v>255</v>
      </c>
      <c r="D2081" s="483">
        <v>320.61</v>
      </c>
      <c r="E2081" s="483">
        <v>320.61</v>
      </c>
    </row>
    <row r="2082" spans="1:5" ht="45">
      <c r="A2082" s="494">
        <v>90860</v>
      </c>
      <c r="B2082" s="485" t="s">
        <v>16502</v>
      </c>
      <c r="C2082" s="484" t="s">
        <v>255</v>
      </c>
      <c r="D2082" s="486">
        <v>325.07</v>
      </c>
      <c r="E2082" s="486">
        <v>325.07</v>
      </c>
    </row>
    <row r="2083" spans="1:5" ht="45">
      <c r="A2083" s="495">
        <v>90861</v>
      </c>
      <c r="B2083" s="348" t="s">
        <v>16503</v>
      </c>
      <c r="C2083" s="349" t="s">
        <v>255</v>
      </c>
      <c r="D2083" s="483">
        <v>332.29</v>
      </c>
      <c r="E2083" s="483">
        <v>332.29</v>
      </c>
    </row>
    <row r="2084" spans="1:5" ht="45">
      <c r="A2084" s="494">
        <v>90862</v>
      </c>
      <c r="B2084" s="485" t="s">
        <v>16504</v>
      </c>
      <c r="C2084" s="484" t="s">
        <v>255</v>
      </c>
      <c r="D2084" s="486">
        <v>300.87</v>
      </c>
      <c r="E2084" s="486">
        <v>300.87</v>
      </c>
    </row>
    <row r="2085" spans="1:5" ht="45">
      <c r="A2085" s="495">
        <v>92718</v>
      </c>
      <c r="B2085" s="348" t="s">
        <v>16505</v>
      </c>
      <c r="C2085" s="349" t="s">
        <v>255</v>
      </c>
      <c r="D2085" s="483">
        <v>408.45</v>
      </c>
      <c r="E2085" s="483">
        <v>408.45</v>
      </c>
    </row>
    <row r="2086" spans="1:5" ht="45">
      <c r="A2086" s="494">
        <v>92719</v>
      </c>
      <c r="B2086" s="485" t="s">
        <v>16506</v>
      </c>
      <c r="C2086" s="484" t="s">
        <v>255</v>
      </c>
      <c r="D2086" s="486">
        <v>291.18</v>
      </c>
      <c r="E2086" s="486">
        <v>291.18</v>
      </c>
    </row>
    <row r="2087" spans="1:5" ht="45">
      <c r="A2087" s="495">
        <v>92720</v>
      </c>
      <c r="B2087" s="348" t="s">
        <v>16507</v>
      </c>
      <c r="C2087" s="349" t="s">
        <v>255</v>
      </c>
      <c r="D2087" s="483">
        <v>330.93</v>
      </c>
      <c r="E2087" s="483">
        <v>330.93</v>
      </c>
    </row>
    <row r="2088" spans="1:5" ht="45">
      <c r="A2088" s="494">
        <v>92721</v>
      </c>
      <c r="B2088" s="485" t="s">
        <v>16508</v>
      </c>
      <c r="C2088" s="484" t="s">
        <v>255</v>
      </c>
      <c r="D2088" s="486">
        <v>284.01</v>
      </c>
      <c r="E2088" s="486">
        <v>284.01</v>
      </c>
    </row>
    <row r="2089" spans="1:5" ht="45">
      <c r="A2089" s="495">
        <v>92722</v>
      </c>
      <c r="B2089" s="348" t="s">
        <v>16509</v>
      </c>
      <c r="C2089" s="349" t="s">
        <v>255</v>
      </c>
      <c r="D2089" s="483">
        <v>328.03</v>
      </c>
      <c r="E2089" s="483">
        <v>328.03</v>
      </c>
    </row>
    <row r="2090" spans="1:5" ht="45">
      <c r="A2090" s="494">
        <v>92723</v>
      </c>
      <c r="B2090" s="485" t="s">
        <v>16510</v>
      </c>
      <c r="C2090" s="484" t="s">
        <v>255</v>
      </c>
      <c r="D2090" s="486">
        <v>319.83999999999997</v>
      </c>
      <c r="E2090" s="486">
        <v>319.83999999999997</v>
      </c>
    </row>
    <row r="2091" spans="1:5" ht="45">
      <c r="A2091" s="495">
        <v>92724</v>
      </c>
      <c r="B2091" s="348" t="s">
        <v>16511</v>
      </c>
      <c r="C2091" s="349" t="s">
        <v>255</v>
      </c>
      <c r="D2091" s="483">
        <v>317.2</v>
      </c>
      <c r="E2091" s="483">
        <v>317.2</v>
      </c>
    </row>
    <row r="2092" spans="1:5" ht="45">
      <c r="A2092" s="494">
        <v>92725</v>
      </c>
      <c r="B2092" s="485" t="s">
        <v>16512</v>
      </c>
      <c r="C2092" s="484" t="s">
        <v>255</v>
      </c>
      <c r="D2092" s="486">
        <v>316.08999999999997</v>
      </c>
      <c r="E2092" s="486">
        <v>316.08999999999997</v>
      </c>
    </row>
    <row r="2093" spans="1:5" ht="45">
      <c r="A2093" s="495">
        <v>92726</v>
      </c>
      <c r="B2093" s="348" t="s">
        <v>16513</v>
      </c>
      <c r="C2093" s="349" t="s">
        <v>255</v>
      </c>
      <c r="D2093" s="483">
        <v>314.2</v>
      </c>
      <c r="E2093" s="483">
        <v>314.2</v>
      </c>
    </row>
    <row r="2094" spans="1:5" ht="60">
      <c r="A2094" s="494">
        <v>92727</v>
      </c>
      <c r="B2094" s="485" t="s">
        <v>16514</v>
      </c>
      <c r="C2094" s="484" t="s">
        <v>255</v>
      </c>
      <c r="D2094" s="486">
        <v>353.57</v>
      </c>
      <c r="E2094" s="486">
        <v>353.57</v>
      </c>
    </row>
    <row r="2095" spans="1:5" ht="45">
      <c r="A2095" s="495">
        <v>92728</v>
      </c>
      <c r="B2095" s="348" t="s">
        <v>16515</v>
      </c>
      <c r="C2095" s="349" t="s">
        <v>255</v>
      </c>
      <c r="D2095" s="483">
        <v>335.2</v>
      </c>
      <c r="E2095" s="483">
        <v>335.2</v>
      </c>
    </row>
    <row r="2096" spans="1:5" ht="60">
      <c r="A2096" s="494">
        <v>92729</v>
      </c>
      <c r="B2096" s="485" t="s">
        <v>16516</v>
      </c>
      <c r="C2096" s="484" t="s">
        <v>255</v>
      </c>
      <c r="D2096" s="486">
        <v>327.44</v>
      </c>
      <c r="E2096" s="486">
        <v>327.44</v>
      </c>
    </row>
    <row r="2097" spans="1:5" ht="60">
      <c r="A2097" s="495">
        <v>92730</v>
      </c>
      <c r="B2097" s="348" t="s">
        <v>16517</v>
      </c>
      <c r="C2097" s="349" t="s">
        <v>255</v>
      </c>
      <c r="D2097" s="483">
        <v>314.48</v>
      </c>
      <c r="E2097" s="483">
        <v>314.48</v>
      </c>
    </row>
    <row r="2098" spans="1:5" ht="45">
      <c r="A2098" s="494">
        <v>92731</v>
      </c>
      <c r="B2098" s="485" t="s">
        <v>16518</v>
      </c>
      <c r="C2098" s="484" t="s">
        <v>255</v>
      </c>
      <c r="D2098" s="486">
        <v>329.14</v>
      </c>
      <c r="E2098" s="486">
        <v>329.14</v>
      </c>
    </row>
    <row r="2099" spans="1:5" ht="45">
      <c r="A2099" s="495">
        <v>92732</v>
      </c>
      <c r="B2099" s="348" t="s">
        <v>16519</v>
      </c>
      <c r="C2099" s="349" t="s">
        <v>255</v>
      </c>
      <c r="D2099" s="483">
        <v>316.60000000000002</v>
      </c>
      <c r="E2099" s="483">
        <v>316.60000000000002</v>
      </c>
    </row>
    <row r="2100" spans="1:5" ht="60">
      <c r="A2100" s="494">
        <v>92733</v>
      </c>
      <c r="B2100" s="485" t="s">
        <v>16520</v>
      </c>
      <c r="C2100" s="484" t="s">
        <v>255</v>
      </c>
      <c r="D2100" s="486">
        <v>311.27</v>
      </c>
      <c r="E2100" s="486">
        <v>311.27</v>
      </c>
    </row>
    <row r="2101" spans="1:5" ht="60">
      <c r="A2101" s="495">
        <v>92734</v>
      </c>
      <c r="B2101" s="348" t="s">
        <v>16521</v>
      </c>
      <c r="C2101" s="349" t="s">
        <v>255</v>
      </c>
      <c r="D2101" s="483">
        <v>302.44</v>
      </c>
      <c r="E2101" s="483">
        <v>302.44</v>
      </c>
    </row>
    <row r="2102" spans="1:5" ht="60">
      <c r="A2102" s="494">
        <v>92735</v>
      </c>
      <c r="B2102" s="485" t="s">
        <v>16522</v>
      </c>
      <c r="C2102" s="484" t="s">
        <v>255</v>
      </c>
      <c r="D2102" s="486">
        <v>309.91000000000003</v>
      </c>
      <c r="E2102" s="486">
        <v>309.91000000000003</v>
      </c>
    </row>
    <row r="2103" spans="1:5" ht="45">
      <c r="A2103" s="495">
        <v>92736</v>
      </c>
      <c r="B2103" s="348" t="s">
        <v>16523</v>
      </c>
      <c r="C2103" s="349" t="s">
        <v>255</v>
      </c>
      <c r="D2103" s="483">
        <v>299.94</v>
      </c>
      <c r="E2103" s="483">
        <v>299.94</v>
      </c>
    </row>
    <row r="2104" spans="1:5" ht="60">
      <c r="A2104" s="494">
        <v>92739</v>
      </c>
      <c r="B2104" s="485" t="s">
        <v>16524</v>
      </c>
      <c r="C2104" s="484" t="s">
        <v>255</v>
      </c>
      <c r="D2104" s="486">
        <v>285.45</v>
      </c>
      <c r="E2104" s="486">
        <v>285.45</v>
      </c>
    </row>
    <row r="2105" spans="1:5" ht="60">
      <c r="A2105" s="495">
        <v>92740</v>
      </c>
      <c r="B2105" s="348" t="s">
        <v>16525</v>
      </c>
      <c r="C2105" s="349" t="s">
        <v>255</v>
      </c>
      <c r="D2105" s="483">
        <v>280.51</v>
      </c>
      <c r="E2105" s="483">
        <v>280.51</v>
      </c>
    </row>
    <row r="2106" spans="1:5" ht="45">
      <c r="A2106" s="494">
        <v>92741</v>
      </c>
      <c r="B2106" s="485" t="s">
        <v>16526</v>
      </c>
      <c r="C2106" s="484" t="s">
        <v>255</v>
      </c>
      <c r="D2106" s="486">
        <v>455.84</v>
      </c>
      <c r="E2106" s="486">
        <v>455.84</v>
      </c>
    </row>
    <row r="2107" spans="1:5" ht="45">
      <c r="A2107" s="495">
        <v>92742</v>
      </c>
      <c r="B2107" s="348" t="s">
        <v>16527</v>
      </c>
      <c r="C2107" s="349" t="s">
        <v>255</v>
      </c>
      <c r="D2107" s="483">
        <v>641.01</v>
      </c>
      <c r="E2107" s="483">
        <v>641.01</v>
      </c>
    </row>
    <row r="2108" spans="1:5" ht="30">
      <c r="A2108" s="494">
        <v>92873</v>
      </c>
      <c r="B2108" s="485" t="s">
        <v>542</v>
      </c>
      <c r="C2108" s="484" t="s">
        <v>255</v>
      </c>
      <c r="D2108" s="486">
        <v>144.97999999999999</v>
      </c>
      <c r="E2108" s="486">
        <v>144.97999999999999</v>
      </c>
    </row>
    <row r="2109" spans="1:5" ht="30">
      <c r="A2109" s="495">
        <v>92874</v>
      </c>
      <c r="B2109" s="348" t="s">
        <v>16528</v>
      </c>
      <c r="C2109" s="349" t="s">
        <v>255</v>
      </c>
      <c r="D2109" s="483">
        <v>23.46</v>
      </c>
      <c r="E2109" s="483">
        <v>23.46</v>
      </c>
    </row>
    <row r="2110" spans="1:5" s="25" customFormat="1" ht="30">
      <c r="A2110" s="604" t="s">
        <v>20635</v>
      </c>
      <c r="B2110" s="605" t="s">
        <v>16528</v>
      </c>
      <c r="C2110" s="606" t="s">
        <v>255</v>
      </c>
      <c r="D2110" s="607">
        <v>23.46</v>
      </c>
      <c r="E2110" s="483"/>
    </row>
    <row r="2111" spans="1:5" ht="30">
      <c r="A2111" s="494">
        <v>94962</v>
      </c>
      <c r="B2111" s="485" t="s">
        <v>16529</v>
      </c>
      <c r="C2111" s="484" t="s">
        <v>255</v>
      </c>
      <c r="D2111" s="486">
        <v>229.97</v>
      </c>
      <c r="E2111" s="486">
        <v>229.97</v>
      </c>
    </row>
    <row r="2112" spans="1:5" ht="30">
      <c r="A2112" s="495">
        <v>94963</v>
      </c>
      <c r="B2112" s="348" t="s">
        <v>16530</v>
      </c>
      <c r="C2112" s="349" t="s">
        <v>255</v>
      </c>
      <c r="D2112" s="483">
        <v>257.86</v>
      </c>
      <c r="E2112" s="483">
        <v>257.86</v>
      </c>
    </row>
    <row r="2113" spans="1:5" ht="30">
      <c r="A2113" s="494">
        <v>94964</v>
      </c>
      <c r="B2113" s="485" t="s">
        <v>3765</v>
      </c>
      <c r="C2113" s="484" t="s">
        <v>255</v>
      </c>
      <c r="D2113" s="486">
        <v>286.83999999999997</v>
      </c>
      <c r="E2113" s="486">
        <v>286.83999999999997</v>
      </c>
    </row>
    <row r="2114" spans="1:5" ht="30">
      <c r="A2114" s="495">
        <v>94965</v>
      </c>
      <c r="B2114" s="348" t="s">
        <v>16531</v>
      </c>
      <c r="C2114" s="349" t="s">
        <v>255</v>
      </c>
      <c r="D2114" s="483">
        <v>283.11</v>
      </c>
      <c r="E2114" s="483">
        <v>283.11</v>
      </c>
    </row>
    <row r="2115" spans="1:5" ht="30">
      <c r="A2115" s="494">
        <v>94966</v>
      </c>
      <c r="B2115" s="485" t="s">
        <v>16532</v>
      </c>
      <c r="C2115" s="484" t="s">
        <v>255</v>
      </c>
      <c r="D2115" s="486">
        <v>292.55</v>
      </c>
      <c r="E2115" s="486">
        <v>292.55</v>
      </c>
    </row>
    <row r="2116" spans="1:5" ht="30">
      <c r="A2116" s="495">
        <v>94967</v>
      </c>
      <c r="B2116" s="348" t="s">
        <v>16533</v>
      </c>
      <c r="C2116" s="349" t="s">
        <v>255</v>
      </c>
      <c r="D2116" s="483">
        <v>336.53</v>
      </c>
      <c r="E2116" s="483">
        <v>336.53</v>
      </c>
    </row>
    <row r="2117" spans="1:5" ht="30">
      <c r="A2117" s="494">
        <v>94968</v>
      </c>
      <c r="B2117" s="485" t="s">
        <v>16534</v>
      </c>
      <c r="C2117" s="484" t="s">
        <v>255</v>
      </c>
      <c r="D2117" s="486">
        <v>233.87</v>
      </c>
      <c r="E2117" s="486">
        <v>233.87</v>
      </c>
    </row>
    <row r="2118" spans="1:5" ht="30">
      <c r="A2118" s="495">
        <v>94969</v>
      </c>
      <c r="B2118" s="348" t="s">
        <v>16535</v>
      </c>
      <c r="C2118" s="349" t="s">
        <v>255</v>
      </c>
      <c r="D2118" s="483">
        <v>247.09</v>
      </c>
      <c r="E2118" s="483">
        <v>247.09</v>
      </c>
    </row>
    <row r="2119" spans="1:5" ht="30">
      <c r="A2119" s="494">
        <v>94970</v>
      </c>
      <c r="B2119" s="485" t="s">
        <v>3766</v>
      </c>
      <c r="C2119" s="484" t="s">
        <v>255</v>
      </c>
      <c r="D2119" s="486">
        <v>270.02</v>
      </c>
      <c r="E2119" s="486">
        <v>270.02</v>
      </c>
    </row>
    <row r="2120" spans="1:5" ht="30">
      <c r="A2120" s="495">
        <v>94971</v>
      </c>
      <c r="B2120" s="348" t="s">
        <v>16536</v>
      </c>
      <c r="C2120" s="349" t="s">
        <v>255</v>
      </c>
      <c r="D2120" s="483">
        <v>286.89</v>
      </c>
      <c r="E2120" s="483">
        <v>286.89</v>
      </c>
    </row>
    <row r="2121" spans="1:5" ht="30">
      <c r="A2121" s="494">
        <v>94972</v>
      </c>
      <c r="B2121" s="485" t="s">
        <v>16537</v>
      </c>
      <c r="C2121" s="484" t="s">
        <v>255</v>
      </c>
      <c r="D2121" s="486">
        <v>290.02999999999997</v>
      </c>
      <c r="E2121" s="486">
        <v>290.02999999999997</v>
      </c>
    </row>
    <row r="2122" spans="1:5" ht="30">
      <c r="A2122" s="495">
        <v>94973</v>
      </c>
      <c r="B2122" s="348" t="s">
        <v>16538</v>
      </c>
      <c r="C2122" s="349" t="s">
        <v>255</v>
      </c>
      <c r="D2122" s="483">
        <v>327.89</v>
      </c>
      <c r="E2122" s="483">
        <v>327.89</v>
      </c>
    </row>
    <row r="2123" spans="1:5" ht="30">
      <c r="A2123" s="494">
        <v>94974</v>
      </c>
      <c r="B2123" s="485" t="s">
        <v>16539</v>
      </c>
      <c r="C2123" s="484" t="s">
        <v>255</v>
      </c>
      <c r="D2123" s="486">
        <v>315.62</v>
      </c>
      <c r="E2123" s="486">
        <v>315.62</v>
      </c>
    </row>
    <row r="2124" spans="1:5" ht="30">
      <c r="A2124" s="495">
        <v>94975</v>
      </c>
      <c r="B2124" s="348" t="s">
        <v>16540</v>
      </c>
      <c r="C2124" s="349" t="s">
        <v>255</v>
      </c>
      <c r="D2124" s="483">
        <v>335.36</v>
      </c>
      <c r="E2124" s="483">
        <v>335.36</v>
      </c>
    </row>
    <row r="2125" spans="1:5" ht="30">
      <c r="A2125" s="484" t="s">
        <v>16541</v>
      </c>
      <c r="B2125" s="485" t="s">
        <v>16542</v>
      </c>
      <c r="C2125" s="484" t="s">
        <v>256</v>
      </c>
      <c r="D2125" s="486">
        <v>62.96</v>
      </c>
      <c r="E2125" s="486">
        <v>62.96</v>
      </c>
    </row>
    <row r="2126" spans="1:5" ht="30">
      <c r="A2126" s="349" t="s">
        <v>16543</v>
      </c>
      <c r="B2126" s="348" t="s">
        <v>16544</v>
      </c>
      <c r="C2126" s="349" t="s">
        <v>256</v>
      </c>
      <c r="D2126" s="483">
        <v>69.33</v>
      </c>
      <c r="E2126" s="483">
        <v>69.33</v>
      </c>
    </row>
    <row r="2127" spans="1:5" ht="30">
      <c r="A2127" s="484" t="s">
        <v>16545</v>
      </c>
      <c r="B2127" s="485" t="s">
        <v>16546</v>
      </c>
      <c r="C2127" s="484" t="s">
        <v>256</v>
      </c>
      <c r="D2127" s="486">
        <v>81.900000000000006</v>
      </c>
      <c r="E2127" s="486">
        <v>81.900000000000006</v>
      </c>
    </row>
    <row r="2128" spans="1:5" ht="30">
      <c r="A2128" s="349" t="s">
        <v>16547</v>
      </c>
      <c r="B2128" s="348" t="s">
        <v>16548</v>
      </c>
      <c r="C2128" s="349" t="s">
        <v>256</v>
      </c>
      <c r="D2128" s="483">
        <v>93.15</v>
      </c>
      <c r="E2128" s="483">
        <v>93.15</v>
      </c>
    </row>
    <row r="2129" spans="1:5" ht="45">
      <c r="A2129" s="484" t="s">
        <v>16549</v>
      </c>
      <c r="B2129" s="485" t="s">
        <v>16550</v>
      </c>
      <c r="C2129" s="484" t="s">
        <v>256</v>
      </c>
      <c r="D2129" s="486">
        <v>55.39</v>
      </c>
      <c r="E2129" s="486">
        <v>55.39</v>
      </c>
    </row>
    <row r="2130" spans="1:5" ht="45">
      <c r="A2130" s="349" t="s">
        <v>16551</v>
      </c>
      <c r="B2130" s="348" t="s">
        <v>16552</v>
      </c>
      <c r="C2130" s="349" t="s">
        <v>256</v>
      </c>
      <c r="D2130" s="483">
        <v>61.21</v>
      </c>
      <c r="E2130" s="483">
        <v>61.21</v>
      </c>
    </row>
    <row r="2131" spans="1:5">
      <c r="A2131" s="484" t="s">
        <v>16553</v>
      </c>
      <c r="B2131" s="485" t="s">
        <v>4924</v>
      </c>
      <c r="C2131" s="484" t="s">
        <v>255</v>
      </c>
      <c r="D2131" s="486">
        <v>67.05</v>
      </c>
      <c r="E2131" s="486">
        <v>67.05</v>
      </c>
    </row>
    <row r="2132" spans="1:5">
      <c r="A2132" s="349" t="s">
        <v>16554</v>
      </c>
      <c r="B2132" s="348" t="s">
        <v>4925</v>
      </c>
      <c r="C2132" s="349" t="s">
        <v>255</v>
      </c>
      <c r="D2132" s="483">
        <v>90.06</v>
      </c>
      <c r="E2132" s="483">
        <v>90.06</v>
      </c>
    </row>
    <row r="2133" spans="1:5">
      <c r="A2133" s="484" t="s">
        <v>16555</v>
      </c>
      <c r="B2133" s="485" t="s">
        <v>1641</v>
      </c>
      <c r="C2133" s="484" t="s">
        <v>256</v>
      </c>
      <c r="D2133" s="486">
        <v>24.58</v>
      </c>
      <c r="E2133" s="486">
        <v>24.58</v>
      </c>
    </row>
    <row r="2134" spans="1:5">
      <c r="A2134" s="495">
        <v>83518</v>
      </c>
      <c r="B2134" s="348" t="s">
        <v>1783</v>
      </c>
      <c r="C2134" s="349" t="s">
        <v>255</v>
      </c>
      <c r="D2134" s="483">
        <v>315.23</v>
      </c>
      <c r="E2134" s="483">
        <v>315.23</v>
      </c>
    </row>
    <row r="2135" spans="1:5">
      <c r="A2135" s="494">
        <v>95467</v>
      </c>
      <c r="B2135" s="485" t="s">
        <v>4923</v>
      </c>
      <c r="C2135" s="484" t="s">
        <v>255</v>
      </c>
      <c r="D2135" s="486">
        <v>328.58</v>
      </c>
      <c r="E2135" s="486">
        <v>328.58</v>
      </c>
    </row>
    <row r="2136" spans="1:5">
      <c r="A2136" s="495">
        <v>68328</v>
      </c>
      <c r="B2136" s="348" t="s">
        <v>6535</v>
      </c>
      <c r="C2136" s="349" t="s">
        <v>256</v>
      </c>
      <c r="D2136" s="483">
        <v>11.92</v>
      </c>
      <c r="E2136" s="483">
        <v>11.92</v>
      </c>
    </row>
    <row r="2137" spans="1:5">
      <c r="A2137" s="484" t="s">
        <v>16556</v>
      </c>
      <c r="B2137" s="485" t="s">
        <v>6536</v>
      </c>
      <c r="C2137" s="484" t="s">
        <v>71</v>
      </c>
      <c r="D2137" s="486">
        <v>134.83000000000001</v>
      </c>
      <c r="E2137" s="486">
        <v>134.83000000000001</v>
      </c>
    </row>
    <row r="2138" spans="1:5" ht="30">
      <c r="A2138" s="349" t="s">
        <v>16557</v>
      </c>
      <c r="B2138" s="348" t="s">
        <v>16558</v>
      </c>
      <c r="C2138" s="349" t="s">
        <v>71</v>
      </c>
      <c r="D2138" s="483">
        <v>19.39</v>
      </c>
      <c r="E2138" s="483">
        <v>19.39</v>
      </c>
    </row>
    <row r="2139" spans="1:5">
      <c r="A2139" s="494">
        <v>79471</v>
      </c>
      <c r="B2139" s="485" t="s">
        <v>8004</v>
      </c>
      <c r="C2139" s="484" t="s">
        <v>90</v>
      </c>
      <c r="D2139" s="486">
        <v>60.9</v>
      </c>
      <c r="E2139" s="486">
        <v>60.9</v>
      </c>
    </row>
    <row r="2140" spans="1:5">
      <c r="A2140" s="495">
        <v>93182</v>
      </c>
      <c r="B2140" s="348" t="s">
        <v>10765</v>
      </c>
      <c r="C2140" s="349" t="s">
        <v>71</v>
      </c>
      <c r="D2140" s="483">
        <v>24.32</v>
      </c>
      <c r="E2140" s="483">
        <v>24.32</v>
      </c>
    </row>
    <row r="2141" spans="1:5">
      <c r="A2141" s="494">
        <v>93183</v>
      </c>
      <c r="B2141" s="485" t="s">
        <v>10766</v>
      </c>
      <c r="C2141" s="484" t="s">
        <v>71</v>
      </c>
      <c r="D2141" s="486">
        <v>31.4</v>
      </c>
      <c r="E2141" s="486">
        <v>31.4</v>
      </c>
    </row>
    <row r="2142" spans="1:5">
      <c r="A2142" s="495">
        <v>93184</v>
      </c>
      <c r="B2142" s="348" t="s">
        <v>10767</v>
      </c>
      <c r="C2142" s="349" t="s">
        <v>71</v>
      </c>
      <c r="D2142" s="483">
        <v>18.29</v>
      </c>
      <c r="E2142" s="483">
        <v>18.29</v>
      </c>
    </row>
    <row r="2143" spans="1:5">
      <c r="A2143" s="494">
        <v>93185</v>
      </c>
      <c r="B2143" s="485" t="s">
        <v>10768</v>
      </c>
      <c r="C2143" s="484" t="s">
        <v>71</v>
      </c>
      <c r="D2143" s="486">
        <v>30.9</v>
      </c>
      <c r="E2143" s="486">
        <v>30.9</v>
      </c>
    </row>
    <row r="2144" spans="1:5">
      <c r="A2144" s="495">
        <v>93186</v>
      </c>
      <c r="B2144" s="348" t="s">
        <v>16559</v>
      </c>
      <c r="C2144" s="349" t="s">
        <v>71</v>
      </c>
      <c r="D2144" s="483">
        <v>43.96</v>
      </c>
      <c r="E2144" s="483">
        <v>43.96</v>
      </c>
    </row>
    <row r="2145" spans="1:5" ht="30">
      <c r="A2145" s="494">
        <v>93187</v>
      </c>
      <c r="B2145" s="485" t="s">
        <v>16560</v>
      </c>
      <c r="C2145" s="484" t="s">
        <v>71</v>
      </c>
      <c r="D2145" s="486">
        <v>50.6</v>
      </c>
      <c r="E2145" s="486">
        <v>50.6</v>
      </c>
    </row>
    <row r="2146" spans="1:5">
      <c r="A2146" s="495">
        <v>93188</v>
      </c>
      <c r="B2146" s="348" t="s">
        <v>16561</v>
      </c>
      <c r="C2146" s="349" t="s">
        <v>71</v>
      </c>
      <c r="D2146" s="483">
        <v>41.96</v>
      </c>
      <c r="E2146" s="483">
        <v>41.96</v>
      </c>
    </row>
    <row r="2147" spans="1:5" ht="30">
      <c r="A2147" s="494">
        <v>93189</v>
      </c>
      <c r="B2147" s="485" t="s">
        <v>16562</v>
      </c>
      <c r="C2147" s="484" t="s">
        <v>71</v>
      </c>
      <c r="D2147" s="486">
        <v>51.11</v>
      </c>
      <c r="E2147" s="486">
        <v>51.11</v>
      </c>
    </row>
    <row r="2148" spans="1:5" ht="30">
      <c r="A2148" s="495">
        <v>93190</v>
      </c>
      <c r="B2148" s="348" t="s">
        <v>16563</v>
      </c>
      <c r="C2148" s="349" t="s">
        <v>71</v>
      </c>
      <c r="D2148" s="483">
        <v>29.55</v>
      </c>
      <c r="E2148" s="483">
        <v>29.55</v>
      </c>
    </row>
    <row r="2149" spans="1:5" ht="30">
      <c r="A2149" s="494">
        <v>93191</v>
      </c>
      <c r="B2149" s="485" t="s">
        <v>16564</v>
      </c>
      <c r="C2149" s="484" t="s">
        <v>71</v>
      </c>
      <c r="D2149" s="486">
        <v>31.3</v>
      </c>
      <c r="E2149" s="486">
        <v>31.3</v>
      </c>
    </row>
    <row r="2150" spans="1:5" ht="30">
      <c r="A2150" s="495">
        <v>93192</v>
      </c>
      <c r="B2150" s="348" t="s">
        <v>16565</v>
      </c>
      <c r="C2150" s="349" t="s">
        <v>71</v>
      </c>
      <c r="D2150" s="483">
        <v>32.44</v>
      </c>
      <c r="E2150" s="483">
        <v>32.44</v>
      </c>
    </row>
    <row r="2151" spans="1:5" ht="30">
      <c r="A2151" s="494">
        <v>93193</v>
      </c>
      <c r="B2151" s="485" t="s">
        <v>16566</v>
      </c>
      <c r="C2151" s="484" t="s">
        <v>71</v>
      </c>
      <c r="D2151" s="486">
        <v>31.86</v>
      </c>
      <c r="E2151" s="486">
        <v>31.86</v>
      </c>
    </row>
    <row r="2152" spans="1:5">
      <c r="A2152" s="495">
        <v>93194</v>
      </c>
      <c r="B2152" s="493" t="s">
        <v>16567</v>
      </c>
      <c r="C2152" s="349" t="s">
        <v>71</v>
      </c>
      <c r="D2152" s="483">
        <v>23.92</v>
      </c>
      <c r="E2152" s="483">
        <v>23.92</v>
      </c>
    </row>
    <row r="2153" spans="1:5">
      <c r="A2153" s="494">
        <v>93195</v>
      </c>
      <c r="B2153" s="485" t="s">
        <v>16568</v>
      </c>
      <c r="C2153" s="484" t="s">
        <v>71</v>
      </c>
      <c r="D2153" s="486">
        <v>28.41</v>
      </c>
      <c r="E2153" s="486">
        <v>28.41</v>
      </c>
    </row>
    <row r="2154" spans="1:5" ht="30">
      <c r="A2154" s="495">
        <v>93196</v>
      </c>
      <c r="B2154" s="348" t="s">
        <v>16569</v>
      </c>
      <c r="C2154" s="349" t="s">
        <v>71</v>
      </c>
      <c r="D2154" s="483">
        <v>42.28</v>
      </c>
      <c r="E2154" s="483">
        <v>42.28</v>
      </c>
    </row>
    <row r="2155" spans="1:5" ht="30">
      <c r="A2155" s="494">
        <v>93197</v>
      </c>
      <c r="B2155" s="485" t="s">
        <v>4057</v>
      </c>
      <c r="C2155" s="484" t="s">
        <v>71</v>
      </c>
      <c r="D2155" s="486">
        <v>46.83</v>
      </c>
      <c r="E2155" s="486">
        <v>46.83</v>
      </c>
    </row>
    <row r="2156" spans="1:5" ht="30">
      <c r="A2156" s="495">
        <v>93198</v>
      </c>
      <c r="B2156" s="348" t="s">
        <v>16570</v>
      </c>
      <c r="C2156" s="349" t="s">
        <v>71</v>
      </c>
      <c r="D2156" s="483">
        <v>26.26</v>
      </c>
      <c r="E2156" s="483">
        <v>26.26</v>
      </c>
    </row>
    <row r="2157" spans="1:5" ht="30">
      <c r="A2157" s="494">
        <v>93199</v>
      </c>
      <c r="B2157" s="485" t="s">
        <v>16571</v>
      </c>
      <c r="C2157" s="484" t="s">
        <v>71</v>
      </c>
      <c r="D2157" s="486">
        <v>25.85</v>
      </c>
      <c r="E2157" s="486">
        <v>25.85</v>
      </c>
    </row>
    <row r="2158" spans="1:5" ht="30">
      <c r="A2158" s="495">
        <v>93200</v>
      </c>
      <c r="B2158" s="348" t="s">
        <v>554</v>
      </c>
      <c r="C2158" s="349" t="s">
        <v>71</v>
      </c>
      <c r="D2158" s="483">
        <v>2.0699999999999998</v>
      </c>
      <c r="E2158" s="483">
        <v>2.0699999999999998</v>
      </c>
    </row>
    <row r="2159" spans="1:5" ht="30">
      <c r="A2159" s="494">
        <v>93201</v>
      </c>
      <c r="B2159" s="485" t="s">
        <v>555</v>
      </c>
      <c r="C2159" s="484" t="s">
        <v>71</v>
      </c>
      <c r="D2159" s="486">
        <v>4.3600000000000003</v>
      </c>
      <c r="E2159" s="486">
        <v>4.3600000000000003</v>
      </c>
    </row>
    <row r="2160" spans="1:5">
      <c r="A2160" s="495">
        <v>93202</v>
      </c>
      <c r="B2160" s="348" t="s">
        <v>16572</v>
      </c>
      <c r="C2160" s="349" t="s">
        <v>71</v>
      </c>
      <c r="D2160" s="483">
        <v>16.18</v>
      </c>
      <c r="E2160" s="483">
        <v>16.18</v>
      </c>
    </row>
    <row r="2161" spans="1:5">
      <c r="A2161" s="494">
        <v>93204</v>
      </c>
      <c r="B2161" s="485" t="s">
        <v>16573</v>
      </c>
      <c r="C2161" s="484" t="s">
        <v>71</v>
      </c>
      <c r="D2161" s="486">
        <v>33.9</v>
      </c>
      <c r="E2161" s="486">
        <v>33.9</v>
      </c>
    </row>
    <row r="2162" spans="1:5" ht="30">
      <c r="A2162" s="495">
        <v>93205</v>
      </c>
      <c r="B2162" s="348" t="s">
        <v>16574</v>
      </c>
      <c r="C2162" s="349" t="s">
        <v>71</v>
      </c>
      <c r="D2162" s="483">
        <v>24.23</v>
      </c>
      <c r="E2162" s="483">
        <v>24.23</v>
      </c>
    </row>
    <row r="2163" spans="1:5" ht="30">
      <c r="A2163" s="494">
        <v>71623</v>
      </c>
      <c r="B2163" s="485" t="s">
        <v>16575</v>
      </c>
      <c r="C2163" s="484" t="s">
        <v>71</v>
      </c>
      <c r="D2163" s="486">
        <v>25</v>
      </c>
      <c r="E2163" s="486">
        <v>25</v>
      </c>
    </row>
    <row r="2164" spans="1:5">
      <c r="A2164" s="349" t="s">
        <v>16576</v>
      </c>
      <c r="B2164" s="348" t="s">
        <v>9084</v>
      </c>
      <c r="C2164" s="349" t="s">
        <v>65</v>
      </c>
      <c r="D2164" s="483">
        <v>13.74</v>
      </c>
      <c r="E2164" s="483">
        <v>13.74</v>
      </c>
    </row>
    <row r="2165" spans="1:5">
      <c r="A2165" s="494">
        <v>83513</v>
      </c>
      <c r="B2165" s="485" t="s">
        <v>5657</v>
      </c>
      <c r="C2165" s="484" t="s">
        <v>90</v>
      </c>
      <c r="D2165" s="486">
        <v>5.64</v>
      </c>
      <c r="E2165" s="486">
        <v>5.64</v>
      </c>
    </row>
    <row r="2166" spans="1:5">
      <c r="A2166" s="495">
        <v>83514</v>
      </c>
      <c r="B2166" s="348" t="s">
        <v>5656</v>
      </c>
      <c r="C2166" s="349" t="s">
        <v>90</v>
      </c>
      <c r="D2166" s="483">
        <v>4.79</v>
      </c>
      <c r="E2166" s="483">
        <v>4.79</v>
      </c>
    </row>
    <row r="2167" spans="1:5">
      <c r="A2167" s="494">
        <v>84153</v>
      </c>
      <c r="B2167" s="485" t="s">
        <v>1884</v>
      </c>
      <c r="C2167" s="484" t="s">
        <v>90</v>
      </c>
      <c r="D2167" s="486">
        <v>40.880000000000003</v>
      </c>
      <c r="E2167" s="486">
        <v>40.880000000000003</v>
      </c>
    </row>
    <row r="2168" spans="1:5">
      <c r="A2168" s="495">
        <v>84154</v>
      </c>
      <c r="B2168" s="348" t="s">
        <v>557</v>
      </c>
      <c r="C2168" s="349" t="s">
        <v>1880</v>
      </c>
      <c r="D2168" s="483">
        <v>82.59</v>
      </c>
      <c r="E2168" s="483">
        <v>82.59</v>
      </c>
    </row>
    <row r="2169" spans="1:5">
      <c r="A2169" s="494">
        <v>85233</v>
      </c>
      <c r="B2169" s="485" t="s">
        <v>5100</v>
      </c>
      <c r="C2169" s="484" t="s">
        <v>255</v>
      </c>
      <c r="D2169" s="486">
        <v>2286.6999999999998</v>
      </c>
      <c r="E2169" s="486">
        <v>2286.6999999999998</v>
      </c>
    </row>
    <row r="2170" spans="1:5" ht="45">
      <c r="A2170" s="495">
        <v>95952</v>
      </c>
      <c r="B2170" s="348" t="s">
        <v>16577</v>
      </c>
      <c r="C2170" s="349" t="s">
        <v>255</v>
      </c>
      <c r="D2170" s="483">
        <v>1294.3399999999999</v>
      </c>
      <c r="E2170" s="483">
        <v>1294.3399999999999</v>
      </c>
    </row>
    <row r="2171" spans="1:5" ht="45">
      <c r="A2171" s="494">
        <v>95953</v>
      </c>
      <c r="B2171" s="485" t="s">
        <v>16578</v>
      </c>
      <c r="C2171" s="484" t="s">
        <v>255</v>
      </c>
      <c r="D2171" s="486">
        <v>2018.93</v>
      </c>
      <c r="E2171" s="486">
        <v>2018.93</v>
      </c>
    </row>
    <row r="2172" spans="1:5" ht="45">
      <c r="A2172" s="495">
        <v>95954</v>
      </c>
      <c r="B2172" s="348" t="s">
        <v>16579</v>
      </c>
      <c r="C2172" s="349" t="s">
        <v>255</v>
      </c>
      <c r="D2172" s="483">
        <v>1476.71</v>
      </c>
      <c r="E2172" s="483">
        <v>1476.71</v>
      </c>
    </row>
    <row r="2173" spans="1:5" ht="30">
      <c r="A2173" s="494">
        <v>95955</v>
      </c>
      <c r="B2173" s="485" t="s">
        <v>16580</v>
      </c>
      <c r="C2173" s="484" t="s">
        <v>255</v>
      </c>
      <c r="D2173" s="486">
        <v>1871.32</v>
      </c>
      <c r="E2173" s="486">
        <v>1871.32</v>
      </c>
    </row>
    <row r="2174" spans="1:5" ht="45">
      <c r="A2174" s="495">
        <v>95956</v>
      </c>
      <c r="B2174" s="348" t="s">
        <v>16581</v>
      </c>
      <c r="C2174" s="349" t="s">
        <v>255</v>
      </c>
      <c r="D2174" s="483">
        <v>1488.04</v>
      </c>
      <c r="E2174" s="483">
        <v>1488.04</v>
      </c>
    </row>
    <row r="2175" spans="1:5" ht="30">
      <c r="A2175" s="494">
        <v>95957</v>
      </c>
      <c r="B2175" s="485" t="s">
        <v>16582</v>
      </c>
      <c r="C2175" s="484" t="s">
        <v>255</v>
      </c>
      <c r="D2175" s="486">
        <v>1834.96</v>
      </c>
      <c r="E2175" s="486">
        <v>1834.96</v>
      </c>
    </row>
    <row r="2176" spans="1:5" ht="30">
      <c r="A2176" s="495">
        <v>95969</v>
      </c>
      <c r="B2176" s="348" t="s">
        <v>16583</v>
      </c>
      <c r="C2176" s="349" t="s">
        <v>255</v>
      </c>
      <c r="D2176" s="483">
        <v>1750.38</v>
      </c>
      <c r="E2176" s="483">
        <v>1750.38</v>
      </c>
    </row>
    <row r="2177" spans="1:5" ht="30">
      <c r="A2177" s="494">
        <v>5968</v>
      </c>
      <c r="B2177" s="485" t="s">
        <v>16584</v>
      </c>
      <c r="C2177" s="484" t="s">
        <v>256</v>
      </c>
      <c r="D2177" s="486">
        <v>34.01</v>
      </c>
      <c r="E2177" s="486">
        <v>34.01</v>
      </c>
    </row>
    <row r="2178" spans="1:5" ht="30">
      <c r="A2178" s="495">
        <v>83731</v>
      </c>
      <c r="B2178" s="348" t="s">
        <v>16585</v>
      </c>
      <c r="C2178" s="349" t="s">
        <v>256</v>
      </c>
      <c r="D2178" s="483">
        <v>38.020000000000003</v>
      </c>
      <c r="E2178" s="483">
        <v>38.020000000000003</v>
      </c>
    </row>
    <row r="2179" spans="1:5" ht="30">
      <c r="A2179" s="494">
        <v>83732</v>
      </c>
      <c r="B2179" s="485" t="s">
        <v>16586</v>
      </c>
      <c r="C2179" s="484" t="s">
        <v>256</v>
      </c>
      <c r="D2179" s="486">
        <v>28.66</v>
      </c>
      <c r="E2179" s="486">
        <v>28.66</v>
      </c>
    </row>
    <row r="2180" spans="1:5" ht="30">
      <c r="A2180" s="495">
        <v>83733</v>
      </c>
      <c r="B2180" s="348" t="s">
        <v>16587</v>
      </c>
      <c r="C2180" s="349" t="s">
        <v>256</v>
      </c>
      <c r="D2180" s="483">
        <v>33.03</v>
      </c>
      <c r="E2180" s="483">
        <v>33.03</v>
      </c>
    </row>
    <row r="2181" spans="1:5" ht="30">
      <c r="A2181" s="494">
        <v>83735</v>
      </c>
      <c r="B2181" s="485" t="s">
        <v>6030</v>
      </c>
      <c r="C2181" s="484" t="s">
        <v>256</v>
      </c>
      <c r="D2181" s="486">
        <v>55.72</v>
      </c>
      <c r="E2181" s="486">
        <v>55.72</v>
      </c>
    </row>
    <row r="2182" spans="1:5" ht="30">
      <c r="A2182" s="495">
        <v>68053</v>
      </c>
      <c r="B2182" s="348" t="s">
        <v>16588</v>
      </c>
      <c r="C2182" s="349" t="s">
        <v>256</v>
      </c>
      <c r="D2182" s="483">
        <v>4.8600000000000003</v>
      </c>
      <c r="E2182" s="483">
        <v>4.8600000000000003</v>
      </c>
    </row>
    <row r="2183" spans="1:5" ht="45">
      <c r="A2183" s="484" t="s">
        <v>16589</v>
      </c>
      <c r="B2183" s="485" t="s">
        <v>16590</v>
      </c>
      <c r="C2183" s="484" t="s">
        <v>256</v>
      </c>
      <c r="D2183" s="486">
        <v>63.35</v>
      </c>
      <c r="E2183" s="486">
        <v>63.35</v>
      </c>
    </row>
    <row r="2184" spans="1:5" ht="30">
      <c r="A2184" s="349" t="s">
        <v>16591</v>
      </c>
      <c r="B2184" s="348" t="s">
        <v>16592</v>
      </c>
      <c r="C2184" s="349" t="s">
        <v>256</v>
      </c>
      <c r="D2184" s="483">
        <v>39.380000000000003</v>
      </c>
      <c r="E2184" s="483">
        <v>39.380000000000003</v>
      </c>
    </row>
    <row r="2185" spans="1:5" ht="30">
      <c r="A2185" s="494">
        <v>83737</v>
      </c>
      <c r="B2185" s="485" t="s">
        <v>16593</v>
      </c>
      <c r="C2185" s="484" t="s">
        <v>256</v>
      </c>
      <c r="D2185" s="486">
        <v>50.28</v>
      </c>
      <c r="E2185" s="486">
        <v>50.28</v>
      </c>
    </row>
    <row r="2186" spans="1:5" ht="30">
      <c r="A2186" s="495">
        <v>83738</v>
      </c>
      <c r="B2186" s="348" t="s">
        <v>16594</v>
      </c>
      <c r="C2186" s="349" t="s">
        <v>256</v>
      </c>
      <c r="D2186" s="483">
        <v>61.69</v>
      </c>
      <c r="E2186" s="483">
        <v>61.69</v>
      </c>
    </row>
    <row r="2187" spans="1:5">
      <c r="A2187" s="494">
        <v>83740</v>
      </c>
      <c r="B2187" s="485" t="s">
        <v>6019</v>
      </c>
      <c r="C2187" s="484" t="s">
        <v>256</v>
      </c>
      <c r="D2187" s="486">
        <v>25.14</v>
      </c>
      <c r="E2187" s="486">
        <v>25.14</v>
      </c>
    </row>
    <row r="2188" spans="1:5" ht="30">
      <c r="A2188" s="349" t="s">
        <v>16595</v>
      </c>
      <c r="B2188" s="348" t="s">
        <v>6029</v>
      </c>
      <c r="C2188" s="349" t="s">
        <v>256</v>
      </c>
      <c r="D2188" s="483">
        <v>30.71</v>
      </c>
      <c r="E2188" s="483">
        <v>30.71</v>
      </c>
    </row>
    <row r="2189" spans="1:5" ht="30">
      <c r="A2189" s="484" t="s">
        <v>16596</v>
      </c>
      <c r="B2189" s="485" t="s">
        <v>6021</v>
      </c>
      <c r="C2189" s="484" t="s">
        <v>256</v>
      </c>
      <c r="D2189" s="486">
        <v>57.34</v>
      </c>
      <c r="E2189" s="486">
        <v>57.34</v>
      </c>
    </row>
    <row r="2190" spans="1:5" ht="30">
      <c r="A2190" s="495">
        <v>6225</v>
      </c>
      <c r="B2190" s="348" t="s">
        <v>16597</v>
      </c>
      <c r="C2190" s="349" t="s">
        <v>256</v>
      </c>
      <c r="D2190" s="483">
        <v>34.58</v>
      </c>
      <c r="E2190" s="483">
        <v>34.58</v>
      </c>
    </row>
    <row r="2191" spans="1:5">
      <c r="A2191" s="494">
        <v>72075</v>
      </c>
      <c r="B2191" s="485" t="s">
        <v>16598</v>
      </c>
      <c r="C2191" s="484" t="s">
        <v>256</v>
      </c>
      <c r="D2191" s="486">
        <v>11.32</v>
      </c>
      <c r="E2191" s="486">
        <v>11.32</v>
      </c>
    </row>
    <row r="2192" spans="1:5" ht="30">
      <c r="A2192" s="349" t="s">
        <v>16599</v>
      </c>
      <c r="B2192" s="348" t="s">
        <v>16600</v>
      </c>
      <c r="C2192" s="349" t="s">
        <v>256</v>
      </c>
      <c r="D2192" s="483">
        <v>74.45</v>
      </c>
      <c r="E2192" s="483">
        <v>74.45</v>
      </c>
    </row>
    <row r="2193" spans="1:5" ht="30">
      <c r="A2193" s="484" t="s">
        <v>16601</v>
      </c>
      <c r="B2193" s="485" t="s">
        <v>16602</v>
      </c>
      <c r="C2193" s="484" t="s">
        <v>256</v>
      </c>
      <c r="D2193" s="486">
        <v>117.6</v>
      </c>
      <c r="E2193" s="486">
        <v>117.6</v>
      </c>
    </row>
    <row r="2194" spans="1:5">
      <c r="A2194" s="349" t="s">
        <v>16603</v>
      </c>
      <c r="B2194" s="348" t="s">
        <v>6041</v>
      </c>
      <c r="C2194" s="349" t="s">
        <v>256</v>
      </c>
      <c r="D2194" s="483">
        <v>76.33</v>
      </c>
      <c r="E2194" s="483">
        <v>76.33</v>
      </c>
    </row>
    <row r="2195" spans="1:5">
      <c r="A2195" s="484" t="s">
        <v>16604</v>
      </c>
      <c r="B2195" s="485" t="s">
        <v>6022</v>
      </c>
      <c r="C2195" s="484" t="s">
        <v>256</v>
      </c>
      <c r="D2195" s="486">
        <v>7.91</v>
      </c>
      <c r="E2195" s="486">
        <v>7.91</v>
      </c>
    </row>
    <row r="2196" spans="1:5" s="25" customFormat="1">
      <c r="A2196" s="606" t="s">
        <v>20643</v>
      </c>
      <c r="B2196" s="605" t="s">
        <v>6022</v>
      </c>
      <c r="C2196" s="606" t="s">
        <v>256</v>
      </c>
      <c r="D2196" s="607">
        <v>7.91</v>
      </c>
      <c r="E2196" s="486"/>
    </row>
    <row r="2197" spans="1:5" ht="30">
      <c r="A2197" s="495">
        <v>83741</v>
      </c>
      <c r="B2197" s="348" t="s">
        <v>6032</v>
      </c>
      <c r="C2197" s="349" t="s">
        <v>256</v>
      </c>
      <c r="D2197" s="483">
        <v>62.99</v>
      </c>
      <c r="E2197" s="483">
        <v>62.99</v>
      </c>
    </row>
    <row r="2198" spans="1:5">
      <c r="A2198" s="494">
        <v>83742</v>
      </c>
      <c r="B2198" s="485" t="s">
        <v>6031</v>
      </c>
      <c r="C2198" s="484" t="s">
        <v>256</v>
      </c>
      <c r="D2198" s="486">
        <v>20.97</v>
      </c>
      <c r="E2198" s="486">
        <v>20.97</v>
      </c>
    </row>
    <row r="2199" spans="1:5" ht="30">
      <c r="A2199" s="495">
        <v>83743</v>
      </c>
      <c r="B2199" s="348" t="s">
        <v>16605</v>
      </c>
      <c r="C2199" s="349" t="s">
        <v>71</v>
      </c>
      <c r="D2199" s="483">
        <v>17.3</v>
      </c>
      <c r="E2199" s="483">
        <v>17.3</v>
      </c>
    </row>
    <row r="2200" spans="1:5">
      <c r="A2200" s="484" t="s">
        <v>16606</v>
      </c>
      <c r="B2200" s="485" t="s">
        <v>16607</v>
      </c>
      <c r="C2200" s="484" t="s">
        <v>256</v>
      </c>
      <c r="D2200" s="486">
        <v>26.82</v>
      </c>
      <c r="E2200" s="486">
        <v>26.82</v>
      </c>
    </row>
    <row r="2201" spans="1:5">
      <c r="A2201" s="349" t="s">
        <v>16608</v>
      </c>
      <c r="B2201" s="348" t="s">
        <v>16609</v>
      </c>
      <c r="C2201" s="349" t="s">
        <v>256</v>
      </c>
      <c r="D2201" s="483">
        <v>52.66</v>
      </c>
      <c r="E2201" s="483">
        <v>52.66</v>
      </c>
    </row>
    <row r="2202" spans="1:5" ht="30">
      <c r="A2202" s="494">
        <v>72124</v>
      </c>
      <c r="B2202" s="485" t="s">
        <v>16610</v>
      </c>
      <c r="C2202" s="484" t="s">
        <v>1880</v>
      </c>
      <c r="D2202" s="486">
        <v>108.56</v>
      </c>
      <c r="E2202" s="486">
        <v>108.56</v>
      </c>
    </row>
    <row r="2203" spans="1:5">
      <c r="A2203" s="349" t="s">
        <v>16611</v>
      </c>
      <c r="B2203" s="348" t="s">
        <v>16612</v>
      </c>
      <c r="C2203" s="349" t="s">
        <v>71</v>
      </c>
      <c r="D2203" s="483">
        <v>42.89</v>
      </c>
      <c r="E2203" s="483">
        <v>42.89</v>
      </c>
    </row>
    <row r="2204" spans="1:5">
      <c r="A2204" s="484" t="s">
        <v>16613</v>
      </c>
      <c r="B2204" s="485" t="s">
        <v>16614</v>
      </c>
      <c r="C2204" s="484" t="s">
        <v>256</v>
      </c>
      <c r="D2204" s="486">
        <v>142.33000000000001</v>
      </c>
      <c r="E2204" s="486">
        <v>142.33000000000001</v>
      </c>
    </row>
    <row r="2205" spans="1:5" ht="30">
      <c r="A2205" s="349" t="s">
        <v>16615</v>
      </c>
      <c r="B2205" s="348" t="s">
        <v>16616</v>
      </c>
      <c r="C2205" s="349" t="s">
        <v>71</v>
      </c>
      <c r="D2205" s="483">
        <v>24.55</v>
      </c>
      <c r="E2205" s="483">
        <v>24.55</v>
      </c>
    </row>
    <row r="2206" spans="1:5" ht="30">
      <c r="A2206" s="484" t="s">
        <v>16617</v>
      </c>
      <c r="B2206" s="485" t="s">
        <v>16618</v>
      </c>
      <c r="C2206" s="484" t="s">
        <v>71</v>
      </c>
      <c r="D2206" s="486">
        <v>39.42</v>
      </c>
      <c r="E2206" s="486">
        <v>39.42</v>
      </c>
    </row>
    <row r="2207" spans="1:5" ht="30">
      <c r="A2207" s="495">
        <v>91831</v>
      </c>
      <c r="B2207" s="348" t="s">
        <v>16619</v>
      </c>
      <c r="C2207" s="349" t="s">
        <v>71</v>
      </c>
      <c r="D2207" s="483">
        <v>4.72</v>
      </c>
      <c r="E2207" s="483">
        <v>4.72</v>
      </c>
    </row>
    <row r="2208" spans="1:5" ht="30">
      <c r="A2208" s="494">
        <v>91834</v>
      </c>
      <c r="B2208" s="485" t="s">
        <v>16620</v>
      </c>
      <c r="C2208" s="484" t="s">
        <v>71</v>
      </c>
      <c r="D2208" s="486">
        <v>5.3</v>
      </c>
      <c r="E2208" s="486">
        <v>5.3</v>
      </c>
    </row>
    <row r="2209" spans="1:5" ht="30">
      <c r="A2209" s="495">
        <v>91836</v>
      </c>
      <c r="B2209" s="348" t="s">
        <v>16621</v>
      </c>
      <c r="C2209" s="349" t="s">
        <v>71</v>
      </c>
      <c r="D2209" s="483">
        <v>6.76</v>
      </c>
      <c r="E2209" s="483">
        <v>6.76</v>
      </c>
    </row>
    <row r="2210" spans="1:5" ht="30">
      <c r="A2210" s="494">
        <v>91842</v>
      </c>
      <c r="B2210" s="485" t="s">
        <v>16622</v>
      </c>
      <c r="C2210" s="484" t="s">
        <v>71</v>
      </c>
      <c r="D2210" s="486">
        <v>3.46</v>
      </c>
      <c r="E2210" s="486">
        <v>3.46</v>
      </c>
    </row>
    <row r="2211" spans="1:5" ht="30">
      <c r="A2211" s="495">
        <v>91844</v>
      </c>
      <c r="B2211" s="348" t="s">
        <v>16623</v>
      </c>
      <c r="C2211" s="349" t="s">
        <v>71</v>
      </c>
      <c r="D2211" s="483">
        <v>4.03</v>
      </c>
      <c r="E2211" s="483">
        <v>4.03</v>
      </c>
    </row>
    <row r="2212" spans="1:5" ht="30">
      <c r="A2212" s="494">
        <v>91846</v>
      </c>
      <c r="B2212" s="485" t="s">
        <v>16624</v>
      </c>
      <c r="C2212" s="484" t="s">
        <v>71</v>
      </c>
      <c r="D2212" s="486">
        <v>5.5</v>
      </c>
      <c r="E2212" s="486">
        <v>5.5</v>
      </c>
    </row>
    <row r="2213" spans="1:5" ht="30">
      <c r="A2213" s="495">
        <v>91852</v>
      </c>
      <c r="B2213" s="348" t="s">
        <v>16625</v>
      </c>
      <c r="C2213" s="349" t="s">
        <v>71</v>
      </c>
      <c r="D2213" s="483">
        <v>5.31</v>
      </c>
      <c r="E2213" s="483">
        <v>5.31</v>
      </c>
    </row>
    <row r="2214" spans="1:5" ht="30">
      <c r="A2214" s="494">
        <v>91854</v>
      </c>
      <c r="B2214" s="485" t="s">
        <v>16626</v>
      </c>
      <c r="C2214" s="484" t="s">
        <v>71</v>
      </c>
      <c r="D2214" s="486">
        <v>5.89</v>
      </c>
      <c r="E2214" s="486">
        <v>5.89</v>
      </c>
    </row>
    <row r="2215" spans="1:5" ht="30">
      <c r="A2215" s="495">
        <v>91856</v>
      </c>
      <c r="B2215" s="348" t="s">
        <v>16627</v>
      </c>
      <c r="C2215" s="349" t="s">
        <v>71</v>
      </c>
      <c r="D2215" s="483">
        <v>7.29</v>
      </c>
      <c r="E2215" s="483">
        <v>7.29</v>
      </c>
    </row>
    <row r="2216" spans="1:5" ht="30">
      <c r="A2216" s="494">
        <v>91862</v>
      </c>
      <c r="B2216" s="485" t="s">
        <v>16628</v>
      </c>
      <c r="C2216" s="484" t="s">
        <v>71</v>
      </c>
      <c r="D2216" s="486">
        <v>5.59</v>
      </c>
      <c r="E2216" s="486">
        <v>5.59</v>
      </c>
    </row>
    <row r="2217" spans="1:5" ht="30">
      <c r="A2217" s="495">
        <v>91863</v>
      </c>
      <c r="B2217" s="348" t="s">
        <v>16629</v>
      </c>
      <c r="C2217" s="349" t="s">
        <v>71</v>
      </c>
      <c r="D2217" s="483">
        <v>6.55</v>
      </c>
      <c r="E2217" s="483">
        <v>6.55</v>
      </c>
    </row>
    <row r="2218" spans="1:5" ht="30">
      <c r="A2218" s="494">
        <v>91864</v>
      </c>
      <c r="B2218" s="485" t="s">
        <v>16630</v>
      </c>
      <c r="C2218" s="484" t="s">
        <v>71</v>
      </c>
      <c r="D2218" s="486">
        <v>8.42</v>
      </c>
      <c r="E2218" s="486">
        <v>8.42</v>
      </c>
    </row>
    <row r="2219" spans="1:5" ht="30">
      <c r="A2219" s="495">
        <v>91865</v>
      </c>
      <c r="B2219" s="348" t="s">
        <v>16631</v>
      </c>
      <c r="C2219" s="349" t="s">
        <v>71</v>
      </c>
      <c r="D2219" s="483">
        <v>10.38</v>
      </c>
      <c r="E2219" s="483">
        <v>10.38</v>
      </c>
    </row>
    <row r="2220" spans="1:5" ht="30">
      <c r="A2220" s="494">
        <v>91866</v>
      </c>
      <c r="B2220" s="485" t="s">
        <v>16632</v>
      </c>
      <c r="C2220" s="484" t="s">
        <v>71</v>
      </c>
      <c r="D2220" s="486">
        <v>4.43</v>
      </c>
      <c r="E2220" s="486">
        <v>4.43</v>
      </c>
    </row>
    <row r="2221" spans="1:5" ht="30">
      <c r="A2221" s="495">
        <v>91867</v>
      </c>
      <c r="B2221" s="348" t="s">
        <v>16633</v>
      </c>
      <c r="C2221" s="349" t="s">
        <v>71</v>
      </c>
      <c r="D2221" s="483">
        <v>5.39</v>
      </c>
      <c r="E2221" s="483">
        <v>5.39</v>
      </c>
    </row>
    <row r="2222" spans="1:5" ht="30">
      <c r="A2222" s="494">
        <v>91868</v>
      </c>
      <c r="B2222" s="485" t="s">
        <v>16634</v>
      </c>
      <c r="C2222" s="484" t="s">
        <v>71</v>
      </c>
      <c r="D2222" s="486">
        <v>7.27</v>
      </c>
      <c r="E2222" s="486">
        <v>7.27</v>
      </c>
    </row>
    <row r="2223" spans="1:5" ht="30">
      <c r="A2223" s="495">
        <v>91869</v>
      </c>
      <c r="B2223" s="348" t="s">
        <v>16635</v>
      </c>
      <c r="C2223" s="349" t="s">
        <v>71</v>
      </c>
      <c r="D2223" s="483">
        <v>9.23</v>
      </c>
      <c r="E2223" s="483">
        <v>9.23</v>
      </c>
    </row>
    <row r="2224" spans="1:5" ht="30">
      <c r="A2224" s="494">
        <v>91870</v>
      </c>
      <c r="B2224" s="485" t="s">
        <v>16636</v>
      </c>
      <c r="C2224" s="484" t="s">
        <v>71</v>
      </c>
      <c r="D2224" s="486">
        <v>6.71</v>
      </c>
      <c r="E2224" s="486">
        <v>6.71</v>
      </c>
    </row>
    <row r="2225" spans="1:5" ht="30">
      <c r="A2225" s="495">
        <v>91871</v>
      </c>
      <c r="B2225" s="348" t="s">
        <v>16637</v>
      </c>
      <c r="C2225" s="349" t="s">
        <v>71</v>
      </c>
      <c r="D2225" s="483">
        <v>7.7</v>
      </c>
      <c r="E2225" s="483">
        <v>7.7</v>
      </c>
    </row>
    <row r="2226" spans="1:5" ht="30">
      <c r="A2226" s="494">
        <v>91872</v>
      </c>
      <c r="B2226" s="485" t="s">
        <v>16638</v>
      </c>
      <c r="C2226" s="484" t="s">
        <v>71</v>
      </c>
      <c r="D2226" s="486">
        <v>9.58</v>
      </c>
      <c r="E2226" s="486">
        <v>9.58</v>
      </c>
    </row>
    <row r="2227" spans="1:5" ht="30">
      <c r="A2227" s="495">
        <v>91873</v>
      </c>
      <c r="B2227" s="348" t="s">
        <v>16639</v>
      </c>
      <c r="C2227" s="349" t="s">
        <v>71</v>
      </c>
      <c r="D2227" s="483">
        <v>11.5</v>
      </c>
      <c r="E2227" s="483">
        <v>11.5</v>
      </c>
    </row>
    <row r="2228" spans="1:5" ht="30">
      <c r="A2228" s="494">
        <v>93008</v>
      </c>
      <c r="B2228" s="485" t="s">
        <v>16640</v>
      </c>
      <c r="C2228" s="484" t="s">
        <v>71</v>
      </c>
      <c r="D2228" s="486">
        <v>8.5399999999999991</v>
      </c>
      <c r="E2228" s="486">
        <v>8.5399999999999991</v>
      </c>
    </row>
    <row r="2229" spans="1:5" ht="30">
      <c r="A2229" s="495">
        <v>93009</v>
      </c>
      <c r="B2229" s="348" t="s">
        <v>16641</v>
      </c>
      <c r="C2229" s="349" t="s">
        <v>71</v>
      </c>
      <c r="D2229" s="483">
        <v>12.11</v>
      </c>
      <c r="E2229" s="483">
        <v>12.11</v>
      </c>
    </row>
    <row r="2230" spans="1:5" ht="30">
      <c r="A2230" s="494">
        <v>93010</v>
      </c>
      <c r="B2230" s="485" t="s">
        <v>16642</v>
      </c>
      <c r="C2230" s="484" t="s">
        <v>71</v>
      </c>
      <c r="D2230" s="486">
        <v>16.510000000000002</v>
      </c>
      <c r="E2230" s="486">
        <v>16.510000000000002</v>
      </c>
    </row>
    <row r="2231" spans="1:5" ht="30">
      <c r="A2231" s="495">
        <v>93011</v>
      </c>
      <c r="B2231" s="348" t="s">
        <v>16643</v>
      </c>
      <c r="C2231" s="349" t="s">
        <v>71</v>
      </c>
      <c r="D2231" s="483">
        <v>19.96</v>
      </c>
      <c r="E2231" s="483">
        <v>19.96</v>
      </c>
    </row>
    <row r="2232" spans="1:5" ht="30">
      <c r="A2232" s="494">
        <v>93012</v>
      </c>
      <c r="B2232" s="485" t="s">
        <v>16644</v>
      </c>
      <c r="C2232" s="484" t="s">
        <v>71</v>
      </c>
      <c r="D2232" s="486">
        <v>29.53</v>
      </c>
      <c r="E2232" s="486">
        <v>29.53</v>
      </c>
    </row>
    <row r="2233" spans="1:5" ht="30">
      <c r="A2233" s="495">
        <v>95726</v>
      </c>
      <c r="B2233" s="348" t="s">
        <v>16645</v>
      </c>
      <c r="C2233" s="349" t="s">
        <v>71</v>
      </c>
      <c r="D2233" s="483">
        <v>3.8</v>
      </c>
      <c r="E2233" s="483">
        <v>3.8</v>
      </c>
    </row>
    <row r="2234" spans="1:5" ht="30">
      <c r="A2234" s="494">
        <v>95727</v>
      </c>
      <c r="B2234" s="485" t="s">
        <v>16646</v>
      </c>
      <c r="C2234" s="484" t="s">
        <v>71</v>
      </c>
      <c r="D2234" s="486">
        <v>4.33</v>
      </c>
      <c r="E2234" s="486">
        <v>4.33</v>
      </c>
    </row>
    <row r="2235" spans="1:5" ht="30">
      <c r="A2235" s="495">
        <v>95728</v>
      </c>
      <c r="B2235" s="348" t="s">
        <v>16647</v>
      </c>
      <c r="C2235" s="349" t="s">
        <v>71</v>
      </c>
      <c r="D2235" s="483">
        <v>5.33</v>
      </c>
      <c r="E2235" s="483">
        <v>5.33</v>
      </c>
    </row>
    <row r="2236" spans="1:5" ht="30">
      <c r="A2236" s="494">
        <v>95729</v>
      </c>
      <c r="B2236" s="485" t="s">
        <v>16648</v>
      </c>
      <c r="C2236" s="484" t="s">
        <v>71</v>
      </c>
      <c r="D2236" s="486">
        <v>5.25</v>
      </c>
      <c r="E2236" s="486">
        <v>5.25</v>
      </c>
    </row>
    <row r="2237" spans="1:5" ht="30">
      <c r="A2237" s="495">
        <v>95730</v>
      </c>
      <c r="B2237" s="348" t="s">
        <v>16649</v>
      </c>
      <c r="C2237" s="349" t="s">
        <v>71</v>
      </c>
      <c r="D2237" s="483">
        <v>5.77</v>
      </c>
      <c r="E2237" s="483">
        <v>5.77</v>
      </c>
    </row>
    <row r="2238" spans="1:5" ht="30">
      <c r="A2238" s="494">
        <v>95731</v>
      </c>
      <c r="B2238" s="485" t="s">
        <v>16650</v>
      </c>
      <c r="C2238" s="484" t="s">
        <v>71</v>
      </c>
      <c r="D2238" s="486">
        <v>6.78</v>
      </c>
      <c r="E2238" s="486">
        <v>6.78</v>
      </c>
    </row>
    <row r="2239" spans="1:5" ht="30">
      <c r="A2239" s="495">
        <v>95732</v>
      </c>
      <c r="B2239" s="348" t="s">
        <v>16651</v>
      </c>
      <c r="C2239" s="349" t="s">
        <v>65</v>
      </c>
      <c r="D2239" s="483">
        <v>2.85</v>
      </c>
      <c r="E2239" s="483">
        <v>2.85</v>
      </c>
    </row>
    <row r="2240" spans="1:5" ht="30">
      <c r="A2240" s="494">
        <v>95745</v>
      </c>
      <c r="B2240" s="485" t="s">
        <v>16652</v>
      </c>
      <c r="C2240" s="484" t="s">
        <v>71</v>
      </c>
      <c r="D2240" s="486">
        <v>9.6</v>
      </c>
      <c r="E2240" s="486">
        <v>9.6</v>
      </c>
    </row>
    <row r="2241" spans="1:5" ht="30">
      <c r="A2241" s="495">
        <v>95746</v>
      </c>
      <c r="B2241" s="348" t="s">
        <v>16653</v>
      </c>
      <c r="C2241" s="349" t="s">
        <v>71</v>
      </c>
      <c r="D2241" s="483">
        <v>11.82</v>
      </c>
      <c r="E2241" s="483">
        <v>11.82</v>
      </c>
    </row>
    <row r="2242" spans="1:5" ht="30">
      <c r="A2242" s="494">
        <v>95747</v>
      </c>
      <c r="B2242" s="485" t="s">
        <v>16654</v>
      </c>
      <c r="C2242" s="484" t="s">
        <v>71</v>
      </c>
      <c r="D2242" s="486">
        <v>19.190000000000001</v>
      </c>
      <c r="E2242" s="486">
        <v>19.190000000000001</v>
      </c>
    </row>
    <row r="2243" spans="1:5" ht="30">
      <c r="A2243" s="495">
        <v>95748</v>
      </c>
      <c r="B2243" s="348" t="s">
        <v>16655</v>
      </c>
      <c r="C2243" s="349" t="s">
        <v>71</v>
      </c>
      <c r="D2243" s="483">
        <v>20.39</v>
      </c>
      <c r="E2243" s="483">
        <v>20.39</v>
      </c>
    </row>
    <row r="2244" spans="1:5" ht="30">
      <c r="A2244" s="494">
        <v>95749</v>
      </c>
      <c r="B2244" s="485" t="s">
        <v>16656</v>
      </c>
      <c r="C2244" s="484" t="s">
        <v>71</v>
      </c>
      <c r="D2244" s="486">
        <v>12.79</v>
      </c>
      <c r="E2244" s="486">
        <v>12.79</v>
      </c>
    </row>
    <row r="2245" spans="1:5" ht="30">
      <c r="A2245" s="495">
        <v>95750</v>
      </c>
      <c r="B2245" s="348" t="s">
        <v>16657</v>
      </c>
      <c r="C2245" s="349" t="s">
        <v>71</v>
      </c>
      <c r="D2245" s="483">
        <v>15</v>
      </c>
      <c r="E2245" s="483">
        <v>15</v>
      </c>
    </row>
    <row r="2246" spans="1:5" ht="30">
      <c r="A2246" s="494">
        <v>95751</v>
      </c>
      <c r="B2246" s="485" t="s">
        <v>16658</v>
      </c>
      <c r="C2246" s="484" t="s">
        <v>71</v>
      </c>
      <c r="D2246" s="486">
        <v>22.37</v>
      </c>
      <c r="E2246" s="486">
        <v>22.37</v>
      </c>
    </row>
    <row r="2247" spans="1:5" ht="30">
      <c r="A2247" s="495">
        <v>95752</v>
      </c>
      <c r="B2247" s="348" t="s">
        <v>16659</v>
      </c>
      <c r="C2247" s="349" t="s">
        <v>71</v>
      </c>
      <c r="D2247" s="483">
        <v>23.57</v>
      </c>
      <c r="E2247" s="483">
        <v>23.57</v>
      </c>
    </row>
    <row r="2248" spans="1:5">
      <c r="A2248" s="494">
        <v>72259</v>
      </c>
      <c r="B2248" s="485" t="s">
        <v>16660</v>
      </c>
      <c r="C2248" s="484" t="s">
        <v>65</v>
      </c>
      <c r="D2248" s="486">
        <v>12.57</v>
      </c>
      <c r="E2248" s="486">
        <v>12.57</v>
      </c>
    </row>
    <row r="2249" spans="1:5">
      <c r="A2249" s="495">
        <v>72260</v>
      </c>
      <c r="B2249" s="348" t="s">
        <v>16661</v>
      </c>
      <c r="C2249" s="349" t="s">
        <v>65</v>
      </c>
      <c r="D2249" s="483">
        <v>12.52</v>
      </c>
      <c r="E2249" s="483">
        <v>12.52</v>
      </c>
    </row>
    <row r="2250" spans="1:5">
      <c r="A2250" s="494">
        <v>72261</v>
      </c>
      <c r="B2250" s="485" t="s">
        <v>16662</v>
      </c>
      <c r="C2250" s="484" t="s">
        <v>65</v>
      </c>
      <c r="D2250" s="486">
        <v>13.19</v>
      </c>
      <c r="E2250" s="486">
        <v>13.19</v>
      </c>
    </row>
    <row r="2251" spans="1:5">
      <c r="A2251" s="495">
        <v>72262</v>
      </c>
      <c r="B2251" s="348" t="s">
        <v>16663</v>
      </c>
      <c r="C2251" s="349" t="s">
        <v>65</v>
      </c>
      <c r="D2251" s="483">
        <v>13.19</v>
      </c>
      <c r="E2251" s="483">
        <v>13.19</v>
      </c>
    </row>
    <row r="2252" spans="1:5">
      <c r="A2252" s="494">
        <v>72263</v>
      </c>
      <c r="B2252" s="485" t="s">
        <v>16664</v>
      </c>
      <c r="C2252" s="484" t="s">
        <v>65</v>
      </c>
      <c r="D2252" s="486">
        <v>17.7</v>
      </c>
      <c r="E2252" s="486">
        <v>17.7</v>
      </c>
    </row>
    <row r="2253" spans="1:5">
      <c r="A2253" s="495">
        <v>72264</v>
      </c>
      <c r="B2253" s="348" t="s">
        <v>16665</v>
      </c>
      <c r="C2253" s="349" t="s">
        <v>65</v>
      </c>
      <c r="D2253" s="483">
        <v>17.82</v>
      </c>
      <c r="E2253" s="483">
        <v>17.82</v>
      </c>
    </row>
    <row r="2254" spans="1:5">
      <c r="A2254" s="494">
        <v>72265</v>
      </c>
      <c r="B2254" s="485" t="s">
        <v>16666</v>
      </c>
      <c r="C2254" s="484" t="s">
        <v>65</v>
      </c>
      <c r="D2254" s="486">
        <v>21.01</v>
      </c>
      <c r="E2254" s="486">
        <v>21.01</v>
      </c>
    </row>
    <row r="2255" spans="1:5">
      <c r="A2255" s="495">
        <v>72266</v>
      </c>
      <c r="B2255" s="348" t="s">
        <v>16667</v>
      </c>
      <c r="C2255" s="349" t="s">
        <v>65</v>
      </c>
      <c r="D2255" s="483">
        <v>27.98</v>
      </c>
      <c r="E2255" s="483">
        <v>27.98</v>
      </c>
    </row>
    <row r="2256" spans="1:5">
      <c r="A2256" s="494">
        <v>72267</v>
      </c>
      <c r="B2256" s="485" t="s">
        <v>16668</v>
      </c>
      <c r="C2256" s="484" t="s">
        <v>65</v>
      </c>
      <c r="D2256" s="486">
        <v>28.2</v>
      </c>
      <c r="E2256" s="486">
        <v>28.2</v>
      </c>
    </row>
    <row r="2257" spans="1:5">
      <c r="A2257" s="495">
        <v>72268</v>
      </c>
      <c r="B2257" s="348" t="s">
        <v>16669</v>
      </c>
      <c r="C2257" s="349" t="s">
        <v>65</v>
      </c>
      <c r="D2257" s="483">
        <v>29.24</v>
      </c>
      <c r="E2257" s="483">
        <v>29.24</v>
      </c>
    </row>
    <row r="2258" spans="1:5">
      <c r="A2258" s="494">
        <v>72269</v>
      </c>
      <c r="B2258" s="485" t="s">
        <v>16670</v>
      </c>
      <c r="C2258" s="484" t="s">
        <v>65</v>
      </c>
      <c r="D2258" s="486">
        <v>33.130000000000003</v>
      </c>
      <c r="E2258" s="486">
        <v>33.130000000000003</v>
      </c>
    </row>
    <row r="2259" spans="1:5">
      <c r="A2259" s="495">
        <v>72270</v>
      </c>
      <c r="B2259" s="348" t="s">
        <v>16671</v>
      </c>
      <c r="C2259" s="349" t="s">
        <v>65</v>
      </c>
      <c r="D2259" s="483">
        <v>40.450000000000003</v>
      </c>
      <c r="E2259" s="483">
        <v>40.450000000000003</v>
      </c>
    </row>
    <row r="2260" spans="1:5" ht="30">
      <c r="A2260" s="494">
        <v>72271</v>
      </c>
      <c r="B2260" s="485" t="s">
        <v>16672</v>
      </c>
      <c r="C2260" s="484" t="s">
        <v>65</v>
      </c>
      <c r="D2260" s="486">
        <v>10.11</v>
      </c>
      <c r="E2260" s="486">
        <v>10.11</v>
      </c>
    </row>
    <row r="2261" spans="1:5" ht="30">
      <c r="A2261" s="495">
        <v>72272</v>
      </c>
      <c r="B2261" s="348" t="s">
        <v>16673</v>
      </c>
      <c r="C2261" s="349" t="s">
        <v>65</v>
      </c>
      <c r="D2261" s="483">
        <v>11.15</v>
      </c>
      <c r="E2261" s="483">
        <v>11.15</v>
      </c>
    </row>
    <row r="2262" spans="1:5">
      <c r="A2262" s="484" t="s">
        <v>16674</v>
      </c>
      <c r="B2262" s="485" t="s">
        <v>16675</v>
      </c>
      <c r="C2262" s="484" t="s">
        <v>65</v>
      </c>
      <c r="D2262" s="486">
        <v>29.79</v>
      </c>
      <c r="E2262" s="486">
        <v>29.79</v>
      </c>
    </row>
    <row r="2263" spans="1:5">
      <c r="A2263" s="349" t="s">
        <v>16676</v>
      </c>
      <c r="B2263" s="348" t="s">
        <v>16677</v>
      </c>
      <c r="C2263" s="349" t="s">
        <v>65</v>
      </c>
      <c r="D2263" s="483">
        <v>45.97</v>
      </c>
      <c r="E2263" s="483">
        <v>45.97</v>
      </c>
    </row>
    <row r="2264" spans="1:5" ht="30">
      <c r="A2264" s="484" t="s">
        <v>16678</v>
      </c>
      <c r="B2264" s="485" t="s">
        <v>16679</v>
      </c>
      <c r="C2264" s="484" t="s">
        <v>65</v>
      </c>
      <c r="D2264" s="486">
        <v>102.31</v>
      </c>
      <c r="E2264" s="486">
        <v>102.31</v>
      </c>
    </row>
    <row r="2265" spans="1:5" ht="30">
      <c r="A2265" s="349" t="s">
        <v>16680</v>
      </c>
      <c r="B2265" s="348" t="s">
        <v>9627</v>
      </c>
      <c r="C2265" s="349" t="s">
        <v>65</v>
      </c>
      <c r="D2265" s="483">
        <v>18.37</v>
      </c>
      <c r="E2265" s="483">
        <v>18.37</v>
      </c>
    </row>
    <row r="2266" spans="1:5" ht="30">
      <c r="A2266" s="494">
        <v>83377</v>
      </c>
      <c r="B2266" s="485" t="s">
        <v>16681</v>
      </c>
      <c r="C2266" s="484" t="s">
        <v>65</v>
      </c>
      <c r="D2266" s="486">
        <v>8.32</v>
      </c>
      <c r="E2266" s="486">
        <v>8.32</v>
      </c>
    </row>
    <row r="2267" spans="1:5" ht="30">
      <c r="A2267" s="495">
        <v>91874</v>
      </c>
      <c r="B2267" s="348" t="s">
        <v>16682</v>
      </c>
      <c r="C2267" s="349" t="s">
        <v>65</v>
      </c>
      <c r="D2267" s="483">
        <v>3.2</v>
      </c>
      <c r="E2267" s="483">
        <v>3.2</v>
      </c>
    </row>
    <row r="2268" spans="1:5" ht="30">
      <c r="A2268" s="494">
        <v>91875</v>
      </c>
      <c r="B2268" s="485" t="s">
        <v>16683</v>
      </c>
      <c r="C2268" s="484" t="s">
        <v>65</v>
      </c>
      <c r="D2268" s="486">
        <v>4.21</v>
      </c>
      <c r="E2268" s="486">
        <v>4.21</v>
      </c>
    </row>
    <row r="2269" spans="1:5" ht="30">
      <c r="A2269" s="495">
        <v>91876</v>
      </c>
      <c r="B2269" s="348" t="s">
        <v>16684</v>
      </c>
      <c r="C2269" s="349" t="s">
        <v>65</v>
      </c>
      <c r="D2269" s="483">
        <v>5.52</v>
      </c>
      <c r="E2269" s="483">
        <v>5.52</v>
      </c>
    </row>
    <row r="2270" spans="1:5" ht="30">
      <c r="A2270" s="494">
        <v>91877</v>
      </c>
      <c r="B2270" s="485" t="s">
        <v>7026</v>
      </c>
      <c r="C2270" s="484" t="s">
        <v>65</v>
      </c>
      <c r="D2270" s="486">
        <v>7.22</v>
      </c>
      <c r="E2270" s="486">
        <v>7.22</v>
      </c>
    </row>
    <row r="2271" spans="1:5" ht="30">
      <c r="A2271" s="495">
        <v>91878</v>
      </c>
      <c r="B2271" s="348" t="s">
        <v>16685</v>
      </c>
      <c r="C2271" s="349" t="s">
        <v>65</v>
      </c>
      <c r="D2271" s="483">
        <v>4.1900000000000004</v>
      </c>
      <c r="E2271" s="483">
        <v>4.1900000000000004</v>
      </c>
    </row>
    <row r="2272" spans="1:5" ht="30">
      <c r="A2272" s="494">
        <v>91879</v>
      </c>
      <c r="B2272" s="485" t="s">
        <v>16686</v>
      </c>
      <c r="C2272" s="484" t="s">
        <v>65</v>
      </c>
      <c r="D2272" s="486">
        <v>5.16</v>
      </c>
      <c r="E2272" s="486">
        <v>5.16</v>
      </c>
    </row>
    <row r="2273" spans="1:5" ht="30">
      <c r="A2273" s="495">
        <v>91880</v>
      </c>
      <c r="B2273" s="348" t="s">
        <v>16687</v>
      </c>
      <c r="C2273" s="349" t="s">
        <v>65</v>
      </c>
      <c r="D2273" s="483">
        <v>6.51</v>
      </c>
      <c r="E2273" s="483">
        <v>6.51</v>
      </c>
    </row>
    <row r="2274" spans="1:5" ht="30">
      <c r="A2274" s="494">
        <v>91881</v>
      </c>
      <c r="B2274" s="485" t="s">
        <v>7027</v>
      </c>
      <c r="C2274" s="484" t="s">
        <v>65</v>
      </c>
      <c r="D2274" s="486">
        <v>8.2100000000000009</v>
      </c>
      <c r="E2274" s="486">
        <v>8.2100000000000009</v>
      </c>
    </row>
    <row r="2275" spans="1:5" ht="30">
      <c r="A2275" s="495">
        <v>91882</v>
      </c>
      <c r="B2275" s="348" t="s">
        <v>16688</v>
      </c>
      <c r="C2275" s="349" t="s">
        <v>65</v>
      </c>
      <c r="D2275" s="483">
        <v>5.24</v>
      </c>
      <c r="E2275" s="483">
        <v>5.24</v>
      </c>
    </row>
    <row r="2276" spans="1:5" ht="30">
      <c r="A2276" s="494">
        <v>91884</v>
      </c>
      <c r="B2276" s="485" t="s">
        <v>16689</v>
      </c>
      <c r="C2276" s="484" t="s">
        <v>65</v>
      </c>
      <c r="D2276" s="486">
        <v>5.99</v>
      </c>
      <c r="E2276" s="486">
        <v>5.99</v>
      </c>
    </row>
    <row r="2277" spans="1:5" ht="30">
      <c r="A2277" s="495">
        <v>91885</v>
      </c>
      <c r="B2277" s="348" t="s">
        <v>16690</v>
      </c>
      <c r="C2277" s="349" t="s">
        <v>65</v>
      </c>
      <c r="D2277" s="483">
        <v>6.99</v>
      </c>
      <c r="E2277" s="483">
        <v>6.99</v>
      </c>
    </row>
    <row r="2278" spans="1:5" ht="30">
      <c r="A2278" s="494">
        <v>91886</v>
      </c>
      <c r="B2278" s="485" t="s">
        <v>16691</v>
      </c>
      <c r="C2278" s="484" t="s">
        <v>65</v>
      </c>
      <c r="D2278" s="486">
        <v>8.32</v>
      </c>
      <c r="E2278" s="486">
        <v>8.32</v>
      </c>
    </row>
    <row r="2279" spans="1:5" ht="30">
      <c r="A2279" s="495">
        <v>91887</v>
      </c>
      <c r="B2279" s="348" t="s">
        <v>16692</v>
      </c>
      <c r="C2279" s="349" t="s">
        <v>65</v>
      </c>
      <c r="D2279" s="483">
        <v>5.55</v>
      </c>
      <c r="E2279" s="483">
        <v>5.55</v>
      </c>
    </row>
    <row r="2280" spans="1:5" ht="30">
      <c r="A2280" s="494">
        <v>91889</v>
      </c>
      <c r="B2280" s="485" t="s">
        <v>16693</v>
      </c>
      <c r="C2280" s="484" t="s">
        <v>65</v>
      </c>
      <c r="D2280" s="486">
        <v>5.41</v>
      </c>
      <c r="E2280" s="486">
        <v>5.41</v>
      </c>
    </row>
    <row r="2281" spans="1:5" ht="30">
      <c r="A2281" s="495">
        <v>91890</v>
      </c>
      <c r="B2281" s="348" t="s">
        <v>16694</v>
      </c>
      <c r="C2281" s="349" t="s">
        <v>65</v>
      </c>
      <c r="D2281" s="483">
        <v>6.76</v>
      </c>
      <c r="E2281" s="483">
        <v>6.76</v>
      </c>
    </row>
    <row r="2282" spans="1:5" ht="30">
      <c r="A2282" s="494">
        <v>91892</v>
      </c>
      <c r="B2282" s="485" t="s">
        <v>16695</v>
      </c>
      <c r="C2282" s="484" t="s">
        <v>65</v>
      </c>
      <c r="D2282" s="486">
        <v>7.71</v>
      </c>
      <c r="E2282" s="486">
        <v>7.71</v>
      </c>
    </row>
    <row r="2283" spans="1:5" ht="30">
      <c r="A2283" s="495">
        <v>91893</v>
      </c>
      <c r="B2283" s="348" t="s">
        <v>16696</v>
      </c>
      <c r="C2283" s="349" t="s">
        <v>65</v>
      </c>
      <c r="D2283" s="483">
        <v>9.1199999999999992</v>
      </c>
      <c r="E2283" s="483">
        <v>9.1199999999999992</v>
      </c>
    </row>
    <row r="2284" spans="1:5" ht="30">
      <c r="A2284" s="494">
        <v>91896</v>
      </c>
      <c r="B2284" s="485" t="s">
        <v>4465</v>
      </c>
      <c r="C2284" s="484" t="s">
        <v>65</v>
      </c>
      <c r="D2284" s="486">
        <v>11.25</v>
      </c>
      <c r="E2284" s="486">
        <v>11.25</v>
      </c>
    </row>
    <row r="2285" spans="1:5" ht="30">
      <c r="A2285" s="495">
        <v>91898</v>
      </c>
      <c r="B2285" s="348" t="s">
        <v>16697</v>
      </c>
      <c r="C2285" s="349" t="s">
        <v>65</v>
      </c>
      <c r="D2285" s="483">
        <v>12.27</v>
      </c>
      <c r="E2285" s="483">
        <v>12.27</v>
      </c>
    </row>
    <row r="2286" spans="1:5" ht="30">
      <c r="A2286" s="494">
        <v>91899</v>
      </c>
      <c r="B2286" s="485" t="s">
        <v>16698</v>
      </c>
      <c r="C2286" s="484" t="s">
        <v>65</v>
      </c>
      <c r="D2286" s="486">
        <v>6.99</v>
      </c>
      <c r="E2286" s="486">
        <v>6.99</v>
      </c>
    </row>
    <row r="2287" spans="1:5" ht="30">
      <c r="A2287" s="495">
        <v>91901</v>
      </c>
      <c r="B2287" s="348" t="s">
        <v>16699</v>
      </c>
      <c r="C2287" s="349" t="s">
        <v>65</v>
      </c>
      <c r="D2287" s="483">
        <v>6.85</v>
      </c>
      <c r="E2287" s="483">
        <v>6.85</v>
      </c>
    </row>
    <row r="2288" spans="1:5" ht="30">
      <c r="A2288" s="494">
        <v>91902</v>
      </c>
      <c r="B2288" s="485" t="s">
        <v>16700</v>
      </c>
      <c r="C2288" s="484" t="s">
        <v>65</v>
      </c>
      <c r="D2288" s="486">
        <v>8.19</v>
      </c>
      <c r="E2288" s="486">
        <v>8.19</v>
      </c>
    </row>
    <row r="2289" spans="1:5" ht="30">
      <c r="A2289" s="495">
        <v>91904</v>
      </c>
      <c r="B2289" s="348" t="s">
        <v>16701</v>
      </c>
      <c r="C2289" s="349" t="s">
        <v>65</v>
      </c>
      <c r="D2289" s="483">
        <v>9.14</v>
      </c>
      <c r="E2289" s="483">
        <v>9.14</v>
      </c>
    </row>
    <row r="2290" spans="1:5" ht="30">
      <c r="A2290" s="494">
        <v>91905</v>
      </c>
      <c r="B2290" s="485" t="s">
        <v>16702</v>
      </c>
      <c r="C2290" s="484" t="s">
        <v>65</v>
      </c>
      <c r="D2290" s="486">
        <v>10.54</v>
      </c>
      <c r="E2290" s="486">
        <v>10.54</v>
      </c>
    </row>
    <row r="2291" spans="1:5" ht="30">
      <c r="A2291" s="495">
        <v>91908</v>
      </c>
      <c r="B2291" s="348" t="s">
        <v>16703</v>
      </c>
      <c r="C2291" s="349" t="s">
        <v>65</v>
      </c>
      <c r="D2291" s="483">
        <v>12.71</v>
      </c>
      <c r="E2291" s="483">
        <v>12.71</v>
      </c>
    </row>
    <row r="2292" spans="1:5" ht="30">
      <c r="A2292" s="494">
        <v>91910</v>
      </c>
      <c r="B2292" s="485" t="s">
        <v>16704</v>
      </c>
      <c r="C2292" s="484" t="s">
        <v>65</v>
      </c>
      <c r="D2292" s="486">
        <v>13.73</v>
      </c>
      <c r="E2292" s="486">
        <v>13.73</v>
      </c>
    </row>
    <row r="2293" spans="1:5" ht="30">
      <c r="A2293" s="495">
        <v>91911</v>
      </c>
      <c r="B2293" s="348" t="s">
        <v>16705</v>
      </c>
      <c r="C2293" s="349" t="s">
        <v>65</v>
      </c>
      <c r="D2293" s="483">
        <v>8.6300000000000008</v>
      </c>
      <c r="E2293" s="483">
        <v>8.6300000000000008</v>
      </c>
    </row>
    <row r="2294" spans="1:5" ht="30">
      <c r="A2294" s="494">
        <v>91913</v>
      </c>
      <c r="B2294" s="485" t="s">
        <v>11002</v>
      </c>
      <c r="C2294" s="484" t="s">
        <v>65</v>
      </c>
      <c r="D2294" s="486">
        <v>8.49</v>
      </c>
      <c r="E2294" s="486">
        <v>8.49</v>
      </c>
    </row>
    <row r="2295" spans="1:5" ht="30">
      <c r="A2295" s="495">
        <v>91914</v>
      </c>
      <c r="B2295" s="348" t="s">
        <v>16706</v>
      </c>
      <c r="C2295" s="349" t="s">
        <v>65</v>
      </c>
      <c r="D2295" s="483">
        <v>9.4499999999999993</v>
      </c>
      <c r="E2295" s="483">
        <v>9.4499999999999993</v>
      </c>
    </row>
    <row r="2296" spans="1:5" ht="30">
      <c r="A2296" s="494">
        <v>91916</v>
      </c>
      <c r="B2296" s="485" t="s">
        <v>4383</v>
      </c>
      <c r="C2296" s="484" t="s">
        <v>65</v>
      </c>
      <c r="D2296" s="486">
        <v>10.4</v>
      </c>
      <c r="E2296" s="486">
        <v>10.4</v>
      </c>
    </row>
    <row r="2297" spans="1:5" ht="30">
      <c r="A2297" s="495">
        <v>91917</v>
      </c>
      <c r="B2297" s="348" t="s">
        <v>16707</v>
      </c>
      <c r="C2297" s="349" t="s">
        <v>65</v>
      </c>
      <c r="D2297" s="483">
        <v>11.3</v>
      </c>
      <c r="E2297" s="483">
        <v>11.3</v>
      </c>
    </row>
    <row r="2298" spans="1:5" ht="30">
      <c r="A2298" s="494">
        <v>91920</v>
      </c>
      <c r="B2298" s="485" t="s">
        <v>4467</v>
      </c>
      <c r="C2298" s="484" t="s">
        <v>65</v>
      </c>
      <c r="D2298" s="486">
        <v>12.89</v>
      </c>
      <c r="E2298" s="486">
        <v>12.89</v>
      </c>
    </row>
    <row r="2299" spans="1:5" ht="30">
      <c r="A2299" s="495">
        <v>91922</v>
      </c>
      <c r="B2299" s="348" t="s">
        <v>16708</v>
      </c>
      <c r="C2299" s="349" t="s">
        <v>65</v>
      </c>
      <c r="D2299" s="483">
        <v>13.91</v>
      </c>
      <c r="E2299" s="483">
        <v>13.91</v>
      </c>
    </row>
    <row r="2300" spans="1:5" ht="30">
      <c r="A2300" s="494">
        <v>93013</v>
      </c>
      <c r="B2300" s="485" t="s">
        <v>7029</v>
      </c>
      <c r="C2300" s="484" t="s">
        <v>65</v>
      </c>
      <c r="D2300" s="486">
        <v>9.33</v>
      </c>
      <c r="E2300" s="486">
        <v>9.33</v>
      </c>
    </row>
    <row r="2301" spans="1:5" ht="30">
      <c r="A2301" s="495">
        <v>93014</v>
      </c>
      <c r="B2301" s="348" t="s">
        <v>16709</v>
      </c>
      <c r="C2301" s="349" t="s">
        <v>65</v>
      </c>
      <c r="D2301" s="483">
        <v>11.25</v>
      </c>
      <c r="E2301" s="483">
        <v>11.25</v>
      </c>
    </row>
    <row r="2302" spans="1:5" ht="30">
      <c r="A2302" s="494">
        <v>93015</v>
      </c>
      <c r="B2302" s="485" t="s">
        <v>7031</v>
      </c>
      <c r="C2302" s="484" t="s">
        <v>65</v>
      </c>
      <c r="D2302" s="486">
        <v>15.97</v>
      </c>
      <c r="E2302" s="486">
        <v>15.97</v>
      </c>
    </row>
    <row r="2303" spans="1:5" ht="30">
      <c r="A2303" s="495">
        <v>93016</v>
      </c>
      <c r="B2303" s="348" t="s">
        <v>16710</v>
      </c>
      <c r="C2303" s="349" t="s">
        <v>65</v>
      </c>
      <c r="D2303" s="483">
        <v>19.010000000000002</v>
      </c>
      <c r="E2303" s="483">
        <v>19.010000000000002</v>
      </c>
    </row>
    <row r="2304" spans="1:5" ht="30">
      <c r="A2304" s="494">
        <v>93017</v>
      </c>
      <c r="B2304" s="485" t="s">
        <v>16711</v>
      </c>
      <c r="C2304" s="484" t="s">
        <v>65</v>
      </c>
      <c r="D2304" s="486">
        <v>27.45</v>
      </c>
      <c r="E2304" s="486">
        <v>27.45</v>
      </c>
    </row>
    <row r="2305" spans="1:5" ht="30">
      <c r="A2305" s="495">
        <v>93018</v>
      </c>
      <c r="B2305" s="348" t="s">
        <v>16712</v>
      </c>
      <c r="C2305" s="349" t="s">
        <v>65</v>
      </c>
      <c r="D2305" s="483">
        <v>14.17</v>
      </c>
      <c r="E2305" s="483">
        <v>14.17</v>
      </c>
    </row>
    <row r="2306" spans="1:5" ht="30">
      <c r="A2306" s="494">
        <v>93020</v>
      </c>
      <c r="B2306" s="485" t="s">
        <v>16713</v>
      </c>
      <c r="C2306" s="484" t="s">
        <v>65</v>
      </c>
      <c r="D2306" s="486">
        <v>17.63</v>
      </c>
      <c r="E2306" s="486">
        <v>17.63</v>
      </c>
    </row>
    <row r="2307" spans="1:5" ht="30">
      <c r="A2307" s="495">
        <v>93022</v>
      </c>
      <c r="B2307" s="348" t="s">
        <v>16714</v>
      </c>
      <c r="C2307" s="349" t="s">
        <v>65</v>
      </c>
      <c r="D2307" s="483">
        <v>27.09</v>
      </c>
      <c r="E2307" s="483">
        <v>27.09</v>
      </c>
    </row>
    <row r="2308" spans="1:5" ht="30">
      <c r="A2308" s="494">
        <v>93024</v>
      </c>
      <c r="B2308" s="485" t="s">
        <v>16715</v>
      </c>
      <c r="C2308" s="484" t="s">
        <v>65</v>
      </c>
      <c r="D2308" s="486">
        <v>28.81</v>
      </c>
      <c r="E2308" s="486">
        <v>28.81</v>
      </c>
    </row>
    <row r="2309" spans="1:5" ht="30">
      <c r="A2309" s="495">
        <v>93026</v>
      </c>
      <c r="B2309" s="348" t="s">
        <v>16716</v>
      </c>
      <c r="C2309" s="349" t="s">
        <v>65</v>
      </c>
      <c r="D2309" s="483">
        <v>44.53</v>
      </c>
      <c r="E2309" s="483">
        <v>44.53</v>
      </c>
    </row>
    <row r="2310" spans="1:5" ht="30">
      <c r="A2310" s="494">
        <v>95733</v>
      </c>
      <c r="B2310" s="485" t="s">
        <v>16717</v>
      </c>
      <c r="C2310" s="484" t="s">
        <v>65</v>
      </c>
      <c r="D2310" s="486">
        <v>3.71</v>
      </c>
      <c r="E2310" s="486">
        <v>3.71</v>
      </c>
    </row>
    <row r="2311" spans="1:5" ht="30">
      <c r="A2311" s="495">
        <v>95734</v>
      </c>
      <c r="B2311" s="348" t="s">
        <v>16718</v>
      </c>
      <c r="C2311" s="349" t="s">
        <v>65</v>
      </c>
      <c r="D2311" s="483">
        <v>4.9000000000000004</v>
      </c>
      <c r="E2311" s="483">
        <v>4.9000000000000004</v>
      </c>
    </row>
    <row r="2312" spans="1:5" ht="30">
      <c r="A2312" s="494">
        <v>95735</v>
      </c>
      <c r="B2312" s="485" t="s">
        <v>16719</v>
      </c>
      <c r="C2312" s="484" t="s">
        <v>65</v>
      </c>
      <c r="D2312" s="486">
        <v>4.3600000000000003</v>
      </c>
      <c r="E2312" s="486">
        <v>4.3600000000000003</v>
      </c>
    </row>
    <row r="2313" spans="1:5" ht="30">
      <c r="A2313" s="495">
        <v>95736</v>
      </c>
      <c r="B2313" s="348" t="s">
        <v>16720</v>
      </c>
      <c r="C2313" s="349" t="s">
        <v>65</v>
      </c>
      <c r="D2313" s="483">
        <v>5.04</v>
      </c>
      <c r="E2313" s="483">
        <v>5.04</v>
      </c>
    </row>
    <row r="2314" spans="1:5" ht="30">
      <c r="A2314" s="494">
        <v>95738</v>
      </c>
      <c r="B2314" s="485" t="s">
        <v>16721</v>
      </c>
      <c r="C2314" s="484" t="s">
        <v>65</v>
      </c>
      <c r="D2314" s="486">
        <v>5.99</v>
      </c>
      <c r="E2314" s="486">
        <v>5.99</v>
      </c>
    </row>
    <row r="2315" spans="1:5" ht="30">
      <c r="A2315" s="495">
        <v>95753</v>
      </c>
      <c r="B2315" s="348" t="s">
        <v>16722</v>
      </c>
      <c r="C2315" s="349" t="s">
        <v>65</v>
      </c>
      <c r="D2315" s="483">
        <v>4.55</v>
      </c>
      <c r="E2315" s="483">
        <v>4.55</v>
      </c>
    </row>
    <row r="2316" spans="1:5" ht="30">
      <c r="A2316" s="494">
        <v>95754</v>
      </c>
      <c r="B2316" s="485" t="s">
        <v>16723</v>
      </c>
      <c r="C2316" s="484" t="s">
        <v>65</v>
      </c>
      <c r="D2316" s="486">
        <v>5.72</v>
      </c>
      <c r="E2316" s="486">
        <v>5.72</v>
      </c>
    </row>
    <row r="2317" spans="1:5" ht="30">
      <c r="A2317" s="495">
        <v>95755</v>
      </c>
      <c r="B2317" s="348" t="s">
        <v>16724</v>
      </c>
      <c r="C2317" s="349" t="s">
        <v>65</v>
      </c>
      <c r="D2317" s="483">
        <v>7.99</v>
      </c>
      <c r="E2317" s="483">
        <v>7.99</v>
      </c>
    </row>
    <row r="2318" spans="1:5" ht="30">
      <c r="A2318" s="494">
        <v>95756</v>
      </c>
      <c r="B2318" s="485" t="s">
        <v>16725</v>
      </c>
      <c r="C2318" s="484" t="s">
        <v>65</v>
      </c>
      <c r="D2318" s="486">
        <v>10.49</v>
      </c>
      <c r="E2318" s="486">
        <v>10.49</v>
      </c>
    </row>
    <row r="2319" spans="1:5" ht="30">
      <c r="A2319" s="495">
        <v>95757</v>
      </c>
      <c r="B2319" s="348" t="s">
        <v>16726</v>
      </c>
      <c r="C2319" s="349" t="s">
        <v>65</v>
      </c>
      <c r="D2319" s="483">
        <v>7.18</v>
      </c>
      <c r="E2319" s="483">
        <v>7.18</v>
      </c>
    </row>
    <row r="2320" spans="1:5" ht="30">
      <c r="A2320" s="494">
        <v>95758</v>
      </c>
      <c r="B2320" s="485" t="s">
        <v>16727</v>
      </c>
      <c r="C2320" s="484" t="s">
        <v>65</v>
      </c>
      <c r="D2320" s="486">
        <v>8.0399999999999991</v>
      </c>
      <c r="E2320" s="486">
        <v>8.0399999999999991</v>
      </c>
    </row>
    <row r="2321" spans="1:5" ht="30">
      <c r="A2321" s="495">
        <v>95759</v>
      </c>
      <c r="B2321" s="348" t="s">
        <v>16728</v>
      </c>
      <c r="C2321" s="349" t="s">
        <v>65</v>
      </c>
      <c r="D2321" s="483">
        <v>9.8800000000000008</v>
      </c>
      <c r="E2321" s="483">
        <v>9.8800000000000008</v>
      </c>
    </row>
    <row r="2322" spans="1:5" ht="30">
      <c r="A2322" s="494">
        <v>95760</v>
      </c>
      <c r="B2322" s="485" t="s">
        <v>16729</v>
      </c>
      <c r="C2322" s="484" t="s">
        <v>65</v>
      </c>
      <c r="D2322" s="486">
        <v>11.88</v>
      </c>
      <c r="E2322" s="486">
        <v>11.88</v>
      </c>
    </row>
    <row r="2323" spans="1:5">
      <c r="A2323" s="495">
        <v>72250</v>
      </c>
      <c r="B2323" s="348" t="s">
        <v>2907</v>
      </c>
      <c r="C2323" s="349" t="s">
        <v>71</v>
      </c>
      <c r="D2323" s="483">
        <v>7.68</v>
      </c>
      <c r="E2323" s="483">
        <v>7.68</v>
      </c>
    </row>
    <row r="2324" spans="1:5">
      <c r="A2324" s="494">
        <v>72251</v>
      </c>
      <c r="B2324" s="485" t="s">
        <v>2912</v>
      </c>
      <c r="C2324" s="484" t="s">
        <v>71</v>
      </c>
      <c r="D2324" s="486">
        <v>11.25</v>
      </c>
      <c r="E2324" s="486">
        <v>11.25</v>
      </c>
    </row>
    <row r="2325" spans="1:5">
      <c r="A2325" s="495">
        <v>72252</v>
      </c>
      <c r="B2325" s="348" t="s">
        <v>2915</v>
      </c>
      <c r="C2325" s="349" t="s">
        <v>71</v>
      </c>
      <c r="D2325" s="483">
        <v>16.32</v>
      </c>
      <c r="E2325" s="483">
        <v>16.32</v>
      </c>
    </row>
    <row r="2326" spans="1:5">
      <c r="A2326" s="494">
        <v>72253</v>
      </c>
      <c r="B2326" s="485" t="s">
        <v>2918</v>
      </c>
      <c r="C2326" s="484" t="s">
        <v>71</v>
      </c>
      <c r="D2326" s="486">
        <v>21.7</v>
      </c>
      <c r="E2326" s="486">
        <v>21.7</v>
      </c>
    </row>
    <row r="2327" spans="1:5">
      <c r="A2327" s="495">
        <v>72254</v>
      </c>
      <c r="B2327" s="348" t="s">
        <v>2921</v>
      </c>
      <c r="C2327" s="349" t="s">
        <v>71</v>
      </c>
      <c r="D2327" s="483">
        <v>30.84</v>
      </c>
      <c r="E2327" s="483">
        <v>30.84</v>
      </c>
    </row>
    <row r="2328" spans="1:5">
      <c r="A2328" s="494">
        <v>72255</v>
      </c>
      <c r="B2328" s="485" t="s">
        <v>2923</v>
      </c>
      <c r="C2328" s="484" t="s">
        <v>71</v>
      </c>
      <c r="D2328" s="486">
        <v>40.15</v>
      </c>
      <c r="E2328" s="486">
        <v>40.15</v>
      </c>
    </row>
    <row r="2329" spans="1:5">
      <c r="A2329" s="495">
        <v>72256</v>
      </c>
      <c r="B2329" s="348" t="s">
        <v>2925</v>
      </c>
      <c r="C2329" s="349" t="s">
        <v>71</v>
      </c>
      <c r="D2329" s="483">
        <v>52.51</v>
      </c>
      <c r="E2329" s="483">
        <v>52.51</v>
      </c>
    </row>
    <row r="2330" spans="1:5">
      <c r="A2330" s="494">
        <v>72257</v>
      </c>
      <c r="B2330" s="485" t="s">
        <v>2909</v>
      </c>
      <c r="C2330" s="484" t="s">
        <v>71</v>
      </c>
      <c r="D2330" s="486">
        <v>68.38</v>
      </c>
      <c r="E2330" s="486">
        <v>68.38</v>
      </c>
    </row>
    <row r="2331" spans="1:5" ht="30">
      <c r="A2331" s="495">
        <v>91924</v>
      </c>
      <c r="B2331" s="348" t="s">
        <v>16730</v>
      </c>
      <c r="C2331" s="349" t="s">
        <v>71</v>
      </c>
      <c r="D2331" s="483">
        <v>1.68</v>
      </c>
      <c r="E2331" s="483">
        <v>1.68</v>
      </c>
    </row>
    <row r="2332" spans="1:5" ht="30">
      <c r="A2332" s="494">
        <v>91925</v>
      </c>
      <c r="B2332" s="485" t="s">
        <v>16731</v>
      </c>
      <c r="C2332" s="484" t="s">
        <v>71</v>
      </c>
      <c r="D2332" s="486">
        <v>2.35</v>
      </c>
      <c r="E2332" s="486">
        <v>2.35</v>
      </c>
    </row>
    <row r="2333" spans="1:5" ht="30">
      <c r="A2333" s="495">
        <v>91926</v>
      </c>
      <c r="B2333" s="348" t="s">
        <v>16732</v>
      </c>
      <c r="C2333" s="349" t="s">
        <v>71</v>
      </c>
      <c r="D2333" s="483">
        <v>3.25</v>
      </c>
      <c r="E2333" s="483">
        <v>3.25</v>
      </c>
    </row>
    <row r="2334" spans="1:5" ht="30">
      <c r="A2334" s="494">
        <v>91927</v>
      </c>
      <c r="B2334" s="485" t="s">
        <v>16733</v>
      </c>
      <c r="C2334" s="484" t="s">
        <v>71</v>
      </c>
      <c r="D2334" s="486">
        <v>3.14</v>
      </c>
      <c r="E2334" s="486">
        <v>3.14</v>
      </c>
    </row>
    <row r="2335" spans="1:5" ht="30">
      <c r="A2335" s="495">
        <v>91928</v>
      </c>
      <c r="B2335" s="348" t="s">
        <v>16734</v>
      </c>
      <c r="C2335" s="349" t="s">
        <v>71</v>
      </c>
      <c r="D2335" s="483">
        <v>4.6399999999999997</v>
      </c>
      <c r="E2335" s="483">
        <v>4.6399999999999997</v>
      </c>
    </row>
    <row r="2336" spans="1:5" ht="30">
      <c r="A2336" s="494">
        <v>91929</v>
      </c>
      <c r="B2336" s="485" t="s">
        <v>16735</v>
      </c>
      <c r="C2336" s="484" t="s">
        <v>71</v>
      </c>
      <c r="D2336" s="486">
        <v>4.4000000000000004</v>
      </c>
      <c r="E2336" s="486">
        <v>4.4000000000000004</v>
      </c>
    </row>
    <row r="2337" spans="1:5" ht="30">
      <c r="A2337" s="495">
        <v>91930</v>
      </c>
      <c r="B2337" s="348" t="s">
        <v>16736</v>
      </c>
      <c r="C2337" s="349" t="s">
        <v>71</v>
      </c>
      <c r="D2337" s="483">
        <v>5.49</v>
      </c>
      <c r="E2337" s="483">
        <v>5.49</v>
      </c>
    </row>
    <row r="2338" spans="1:5" ht="30">
      <c r="A2338" s="494">
        <v>91931</v>
      </c>
      <c r="B2338" s="485" t="s">
        <v>16737</v>
      </c>
      <c r="C2338" s="484" t="s">
        <v>71</v>
      </c>
      <c r="D2338" s="486">
        <v>5.93</v>
      </c>
      <c r="E2338" s="486">
        <v>5.93</v>
      </c>
    </row>
    <row r="2339" spans="1:5" ht="30">
      <c r="A2339" s="495">
        <v>91932</v>
      </c>
      <c r="B2339" s="348" t="s">
        <v>16738</v>
      </c>
      <c r="C2339" s="349" t="s">
        <v>71</v>
      </c>
      <c r="D2339" s="483">
        <v>9.09</v>
      </c>
      <c r="E2339" s="483">
        <v>9.09</v>
      </c>
    </row>
    <row r="2340" spans="1:5" ht="30">
      <c r="A2340" s="494">
        <v>91933</v>
      </c>
      <c r="B2340" s="485" t="s">
        <v>16739</v>
      </c>
      <c r="C2340" s="484" t="s">
        <v>71</v>
      </c>
      <c r="D2340" s="486">
        <v>9.2799999999999994</v>
      </c>
      <c r="E2340" s="486">
        <v>9.2799999999999994</v>
      </c>
    </row>
    <row r="2341" spans="1:5" ht="30">
      <c r="A2341" s="495">
        <v>91934</v>
      </c>
      <c r="B2341" s="348" t="s">
        <v>16740</v>
      </c>
      <c r="C2341" s="349" t="s">
        <v>71</v>
      </c>
      <c r="D2341" s="483">
        <v>13.33</v>
      </c>
      <c r="E2341" s="483">
        <v>13.33</v>
      </c>
    </row>
    <row r="2342" spans="1:5" ht="30">
      <c r="A2342" s="494">
        <v>91935</v>
      </c>
      <c r="B2342" s="485" t="s">
        <v>16741</v>
      </c>
      <c r="C2342" s="484" t="s">
        <v>71</v>
      </c>
      <c r="D2342" s="486">
        <v>14.12</v>
      </c>
      <c r="E2342" s="486">
        <v>14.12</v>
      </c>
    </row>
    <row r="2343" spans="1:5" ht="30">
      <c r="A2343" s="495">
        <v>92979</v>
      </c>
      <c r="B2343" s="348" t="s">
        <v>16742</v>
      </c>
      <c r="C2343" s="349" t="s">
        <v>71</v>
      </c>
      <c r="D2343" s="483">
        <v>5.89</v>
      </c>
      <c r="E2343" s="483">
        <v>5.89</v>
      </c>
    </row>
    <row r="2344" spans="1:5" ht="30">
      <c r="A2344" s="494">
        <v>92980</v>
      </c>
      <c r="B2344" s="485" t="s">
        <v>16743</v>
      </c>
      <c r="C2344" s="484" t="s">
        <v>71</v>
      </c>
      <c r="D2344" s="486">
        <v>6.06</v>
      </c>
      <c r="E2344" s="486">
        <v>6.06</v>
      </c>
    </row>
    <row r="2345" spans="1:5" ht="30">
      <c r="A2345" s="495">
        <v>92981</v>
      </c>
      <c r="B2345" s="348" t="s">
        <v>16744</v>
      </c>
      <c r="C2345" s="349" t="s">
        <v>71</v>
      </c>
      <c r="D2345" s="483">
        <v>8.56</v>
      </c>
      <c r="E2345" s="483">
        <v>8.56</v>
      </c>
    </row>
    <row r="2346" spans="1:5" ht="30">
      <c r="A2346" s="494">
        <v>92982</v>
      </c>
      <c r="B2346" s="485" t="s">
        <v>16745</v>
      </c>
      <c r="C2346" s="484" t="s">
        <v>71</v>
      </c>
      <c r="D2346" s="486">
        <v>9.25</v>
      </c>
      <c r="E2346" s="486">
        <v>9.25</v>
      </c>
    </row>
    <row r="2347" spans="1:5" ht="30">
      <c r="A2347" s="495">
        <v>92983</v>
      </c>
      <c r="B2347" s="348" t="s">
        <v>16746</v>
      </c>
      <c r="C2347" s="349" t="s">
        <v>71</v>
      </c>
      <c r="D2347" s="483">
        <v>15.39</v>
      </c>
      <c r="E2347" s="483">
        <v>15.39</v>
      </c>
    </row>
    <row r="2348" spans="1:5" ht="30">
      <c r="A2348" s="494">
        <v>92984</v>
      </c>
      <c r="B2348" s="485" t="s">
        <v>16747</v>
      </c>
      <c r="C2348" s="484" t="s">
        <v>71</v>
      </c>
      <c r="D2348" s="486">
        <v>15.44</v>
      </c>
      <c r="E2348" s="486">
        <v>15.44</v>
      </c>
    </row>
    <row r="2349" spans="1:5" ht="30">
      <c r="A2349" s="495">
        <v>92985</v>
      </c>
      <c r="B2349" s="348" t="s">
        <v>16748</v>
      </c>
      <c r="C2349" s="349" t="s">
        <v>71</v>
      </c>
      <c r="D2349" s="483">
        <v>20.420000000000002</v>
      </c>
      <c r="E2349" s="483">
        <v>20.420000000000002</v>
      </c>
    </row>
    <row r="2350" spans="1:5" ht="30">
      <c r="A2350" s="494">
        <v>92986</v>
      </c>
      <c r="B2350" s="485" t="s">
        <v>16749</v>
      </c>
      <c r="C2350" s="484" t="s">
        <v>71</v>
      </c>
      <c r="D2350" s="486">
        <v>20.75</v>
      </c>
      <c r="E2350" s="486">
        <v>20.75</v>
      </c>
    </row>
    <row r="2351" spans="1:5" ht="30">
      <c r="A2351" s="495">
        <v>92987</v>
      </c>
      <c r="B2351" s="348" t="s">
        <v>16750</v>
      </c>
      <c r="C2351" s="349" t="s">
        <v>71</v>
      </c>
      <c r="D2351" s="483">
        <v>28.4</v>
      </c>
      <c r="E2351" s="483">
        <v>28.4</v>
      </c>
    </row>
    <row r="2352" spans="1:5" ht="30">
      <c r="A2352" s="494">
        <v>92988</v>
      </c>
      <c r="B2352" s="485" t="s">
        <v>16751</v>
      </c>
      <c r="C2352" s="484" t="s">
        <v>71</v>
      </c>
      <c r="D2352" s="486">
        <v>28.99</v>
      </c>
      <c r="E2352" s="486">
        <v>28.99</v>
      </c>
    </row>
    <row r="2353" spans="1:5" ht="30">
      <c r="A2353" s="495">
        <v>92989</v>
      </c>
      <c r="B2353" s="348" t="s">
        <v>16752</v>
      </c>
      <c r="C2353" s="349" t="s">
        <v>71</v>
      </c>
      <c r="D2353" s="483">
        <v>38.71</v>
      </c>
      <c r="E2353" s="483">
        <v>38.71</v>
      </c>
    </row>
    <row r="2354" spans="1:5" ht="30">
      <c r="A2354" s="494">
        <v>92990</v>
      </c>
      <c r="B2354" s="485" t="s">
        <v>16753</v>
      </c>
      <c r="C2354" s="484" t="s">
        <v>71</v>
      </c>
      <c r="D2354" s="486">
        <v>39.64</v>
      </c>
      <c r="E2354" s="486">
        <v>39.64</v>
      </c>
    </row>
    <row r="2355" spans="1:5" ht="30">
      <c r="A2355" s="495">
        <v>92991</v>
      </c>
      <c r="B2355" s="348" t="s">
        <v>16754</v>
      </c>
      <c r="C2355" s="349" t="s">
        <v>71</v>
      </c>
      <c r="D2355" s="483">
        <v>51.96</v>
      </c>
      <c r="E2355" s="483">
        <v>51.96</v>
      </c>
    </row>
    <row r="2356" spans="1:5" ht="30">
      <c r="A2356" s="494">
        <v>92992</v>
      </c>
      <c r="B2356" s="485" t="s">
        <v>16755</v>
      </c>
      <c r="C2356" s="484" t="s">
        <v>71</v>
      </c>
      <c r="D2356" s="486">
        <v>52.26</v>
      </c>
      <c r="E2356" s="486">
        <v>52.26</v>
      </c>
    </row>
    <row r="2357" spans="1:5" ht="30">
      <c r="A2357" s="495">
        <v>92993</v>
      </c>
      <c r="B2357" s="348" t="s">
        <v>16756</v>
      </c>
      <c r="C2357" s="349" t="s">
        <v>71</v>
      </c>
      <c r="D2357" s="483">
        <v>65.709999999999994</v>
      </c>
      <c r="E2357" s="483">
        <v>65.709999999999994</v>
      </c>
    </row>
    <row r="2358" spans="1:5" ht="30">
      <c r="A2358" s="494">
        <v>92994</v>
      </c>
      <c r="B2358" s="485" t="s">
        <v>16757</v>
      </c>
      <c r="C2358" s="484" t="s">
        <v>71</v>
      </c>
      <c r="D2358" s="486">
        <v>67.540000000000006</v>
      </c>
      <c r="E2358" s="486">
        <v>67.540000000000006</v>
      </c>
    </row>
    <row r="2359" spans="1:5" ht="30">
      <c r="A2359" s="495">
        <v>92995</v>
      </c>
      <c r="B2359" s="348" t="s">
        <v>16758</v>
      </c>
      <c r="C2359" s="349" t="s">
        <v>71</v>
      </c>
      <c r="D2359" s="483">
        <v>81.63</v>
      </c>
      <c r="E2359" s="483">
        <v>81.63</v>
      </c>
    </row>
    <row r="2360" spans="1:5" ht="30">
      <c r="A2360" s="494">
        <v>92996</v>
      </c>
      <c r="B2360" s="485" t="s">
        <v>16759</v>
      </c>
      <c r="C2360" s="484" t="s">
        <v>71</v>
      </c>
      <c r="D2360" s="486">
        <v>83.36</v>
      </c>
      <c r="E2360" s="486">
        <v>83.36</v>
      </c>
    </row>
    <row r="2361" spans="1:5" ht="30">
      <c r="A2361" s="495">
        <v>92997</v>
      </c>
      <c r="B2361" s="348" t="s">
        <v>16760</v>
      </c>
      <c r="C2361" s="349" t="s">
        <v>71</v>
      </c>
      <c r="D2361" s="483">
        <v>99.92</v>
      </c>
      <c r="E2361" s="483">
        <v>99.92</v>
      </c>
    </row>
    <row r="2362" spans="1:5" ht="30">
      <c r="A2362" s="494">
        <v>92998</v>
      </c>
      <c r="B2362" s="485" t="s">
        <v>16761</v>
      </c>
      <c r="C2362" s="484" t="s">
        <v>71</v>
      </c>
      <c r="D2362" s="486">
        <v>101.92</v>
      </c>
      <c r="E2362" s="486">
        <v>101.92</v>
      </c>
    </row>
    <row r="2363" spans="1:5" ht="30">
      <c r="A2363" s="495">
        <v>92999</v>
      </c>
      <c r="B2363" s="348" t="s">
        <v>16762</v>
      </c>
      <c r="C2363" s="349" t="s">
        <v>71</v>
      </c>
      <c r="D2363" s="483">
        <v>131.44</v>
      </c>
      <c r="E2363" s="483">
        <v>131.44</v>
      </c>
    </row>
    <row r="2364" spans="1:5" ht="30">
      <c r="A2364" s="494">
        <v>93000</v>
      </c>
      <c r="B2364" s="485" t="s">
        <v>16763</v>
      </c>
      <c r="C2364" s="484" t="s">
        <v>71</v>
      </c>
      <c r="D2364" s="486">
        <v>133.66</v>
      </c>
      <c r="E2364" s="486">
        <v>133.66</v>
      </c>
    </row>
    <row r="2365" spans="1:5" ht="30">
      <c r="A2365" s="495">
        <v>93001</v>
      </c>
      <c r="B2365" s="348" t="s">
        <v>16764</v>
      </c>
      <c r="C2365" s="349" t="s">
        <v>71</v>
      </c>
      <c r="D2365" s="483">
        <v>162.19999999999999</v>
      </c>
      <c r="E2365" s="483">
        <v>162.19999999999999</v>
      </c>
    </row>
    <row r="2366" spans="1:5" ht="30">
      <c r="A2366" s="494">
        <v>93002</v>
      </c>
      <c r="B2366" s="485" t="s">
        <v>16765</v>
      </c>
      <c r="C2366" s="484" t="s">
        <v>71</v>
      </c>
      <c r="D2366" s="486">
        <v>166.65</v>
      </c>
      <c r="E2366" s="486">
        <v>166.65</v>
      </c>
    </row>
    <row r="2367" spans="1:5">
      <c r="A2367" s="495">
        <v>83443</v>
      </c>
      <c r="B2367" s="348" t="s">
        <v>3055</v>
      </c>
      <c r="C2367" s="349" t="s">
        <v>65</v>
      </c>
      <c r="D2367" s="483">
        <v>40.799999999999997</v>
      </c>
      <c r="E2367" s="483">
        <v>40.799999999999997</v>
      </c>
    </row>
    <row r="2368" spans="1:5">
      <c r="A2368" s="494">
        <v>83446</v>
      </c>
      <c r="B2368" s="485" t="s">
        <v>3056</v>
      </c>
      <c r="C2368" s="484" t="s">
        <v>65</v>
      </c>
      <c r="D2368" s="486">
        <v>134.09</v>
      </c>
      <c r="E2368" s="486">
        <v>134.09</v>
      </c>
    </row>
    <row r="2369" spans="1:5">
      <c r="A2369" s="495">
        <v>83447</v>
      </c>
      <c r="B2369" s="348" t="s">
        <v>3057</v>
      </c>
      <c r="C2369" s="349" t="s">
        <v>65</v>
      </c>
      <c r="D2369" s="483">
        <v>144.41999999999999</v>
      </c>
      <c r="E2369" s="483">
        <v>144.41999999999999</v>
      </c>
    </row>
    <row r="2370" spans="1:5">
      <c r="A2370" s="494">
        <v>83448</v>
      </c>
      <c r="B2370" s="485" t="s">
        <v>3090</v>
      </c>
      <c r="C2370" s="484" t="s">
        <v>65</v>
      </c>
      <c r="D2370" s="486">
        <v>218.63</v>
      </c>
      <c r="E2370" s="486">
        <v>218.63</v>
      </c>
    </row>
    <row r="2371" spans="1:5">
      <c r="A2371" s="495">
        <v>83449</v>
      </c>
      <c r="B2371" s="348" t="s">
        <v>3058</v>
      </c>
      <c r="C2371" s="349" t="s">
        <v>65</v>
      </c>
      <c r="D2371" s="483">
        <v>307.56</v>
      </c>
      <c r="E2371" s="483">
        <v>307.56</v>
      </c>
    </row>
    <row r="2372" spans="1:5">
      <c r="A2372" s="494">
        <v>83450</v>
      </c>
      <c r="B2372" s="485" t="s">
        <v>3059</v>
      </c>
      <c r="C2372" s="484" t="s">
        <v>65</v>
      </c>
      <c r="D2372" s="486">
        <v>366.2</v>
      </c>
      <c r="E2372" s="486">
        <v>366.2</v>
      </c>
    </row>
    <row r="2373" spans="1:5" ht="30">
      <c r="A2373" s="495">
        <v>91936</v>
      </c>
      <c r="B2373" s="348" t="s">
        <v>16766</v>
      </c>
      <c r="C2373" s="349" t="s">
        <v>65</v>
      </c>
      <c r="D2373" s="483">
        <v>7.79</v>
      </c>
      <c r="E2373" s="483">
        <v>7.79</v>
      </c>
    </row>
    <row r="2374" spans="1:5" ht="30">
      <c r="A2374" s="494">
        <v>91937</v>
      </c>
      <c r="B2374" s="485" t="s">
        <v>16767</v>
      </c>
      <c r="C2374" s="484" t="s">
        <v>65</v>
      </c>
      <c r="D2374" s="486">
        <v>6.89</v>
      </c>
      <c r="E2374" s="486">
        <v>6.89</v>
      </c>
    </row>
    <row r="2375" spans="1:5" ht="30">
      <c r="A2375" s="495">
        <v>91939</v>
      </c>
      <c r="B2375" s="348" t="s">
        <v>16768</v>
      </c>
      <c r="C2375" s="349" t="s">
        <v>65</v>
      </c>
      <c r="D2375" s="483">
        <v>19.170000000000002</v>
      </c>
      <c r="E2375" s="483">
        <v>19.170000000000002</v>
      </c>
    </row>
    <row r="2376" spans="1:5" ht="30">
      <c r="A2376" s="494">
        <v>91940</v>
      </c>
      <c r="B2376" s="485" t="s">
        <v>16769</v>
      </c>
      <c r="C2376" s="484" t="s">
        <v>65</v>
      </c>
      <c r="D2376" s="486">
        <v>9.89</v>
      </c>
      <c r="E2376" s="486">
        <v>9.89</v>
      </c>
    </row>
    <row r="2377" spans="1:5" ht="30">
      <c r="A2377" s="495">
        <v>91941</v>
      </c>
      <c r="B2377" s="348" t="s">
        <v>16770</v>
      </c>
      <c r="C2377" s="349" t="s">
        <v>65</v>
      </c>
      <c r="D2377" s="483">
        <v>6.4</v>
      </c>
      <c r="E2377" s="483">
        <v>6.4</v>
      </c>
    </row>
    <row r="2378" spans="1:5" ht="30">
      <c r="A2378" s="494">
        <v>91942</v>
      </c>
      <c r="B2378" s="485" t="s">
        <v>16771</v>
      </c>
      <c r="C2378" s="484" t="s">
        <v>65</v>
      </c>
      <c r="D2378" s="486">
        <v>23.04</v>
      </c>
      <c r="E2378" s="486">
        <v>23.04</v>
      </c>
    </row>
    <row r="2379" spans="1:5" ht="30">
      <c r="A2379" s="495">
        <v>91943</v>
      </c>
      <c r="B2379" s="348" t="s">
        <v>16772</v>
      </c>
      <c r="C2379" s="349" t="s">
        <v>65</v>
      </c>
      <c r="D2379" s="483">
        <v>12.36</v>
      </c>
      <c r="E2379" s="483">
        <v>12.36</v>
      </c>
    </row>
    <row r="2380" spans="1:5" ht="30">
      <c r="A2380" s="494">
        <v>91944</v>
      </c>
      <c r="B2380" s="485" t="s">
        <v>16773</v>
      </c>
      <c r="C2380" s="484" t="s">
        <v>65</v>
      </c>
      <c r="D2380" s="486">
        <v>8.36</v>
      </c>
      <c r="E2380" s="486">
        <v>8.36</v>
      </c>
    </row>
    <row r="2381" spans="1:5" ht="30">
      <c r="A2381" s="495">
        <v>92865</v>
      </c>
      <c r="B2381" s="348" t="s">
        <v>576</v>
      </c>
      <c r="C2381" s="349" t="s">
        <v>65</v>
      </c>
      <c r="D2381" s="483">
        <v>6.84</v>
      </c>
      <c r="E2381" s="483">
        <v>6.84</v>
      </c>
    </row>
    <row r="2382" spans="1:5" ht="30">
      <c r="A2382" s="494">
        <v>92866</v>
      </c>
      <c r="B2382" s="485" t="s">
        <v>577</v>
      </c>
      <c r="C2382" s="484" t="s">
        <v>65</v>
      </c>
      <c r="D2382" s="486">
        <v>5.88</v>
      </c>
      <c r="E2382" s="486">
        <v>5.88</v>
      </c>
    </row>
    <row r="2383" spans="1:5" ht="30">
      <c r="A2383" s="495">
        <v>92867</v>
      </c>
      <c r="B2383" s="348" t="s">
        <v>3119</v>
      </c>
      <c r="C2383" s="349" t="s">
        <v>65</v>
      </c>
      <c r="D2383" s="483">
        <v>18.98</v>
      </c>
      <c r="E2383" s="483">
        <v>18.98</v>
      </c>
    </row>
    <row r="2384" spans="1:5" ht="30">
      <c r="A2384" s="494">
        <v>92868</v>
      </c>
      <c r="B2384" s="485" t="s">
        <v>16774</v>
      </c>
      <c r="C2384" s="484" t="s">
        <v>65</v>
      </c>
      <c r="D2384" s="486">
        <v>9.6999999999999993</v>
      </c>
      <c r="E2384" s="486">
        <v>9.6999999999999993</v>
      </c>
    </row>
    <row r="2385" spans="1:5" ht="30">
      <c r="A2385" s="495">
        <v>92869</v>
      </c>
      <c r="B2385" s="348" t="s">
        <v>16775</v>
      </c>
      <c r="C2385" s="349" t="s">
        <v>65</v>
      </c>
      <c r="D2385" s="483">
        <v>6.21</v>
      </c>
      <c r="E2385" s="483">
        <v>6.21</v>
      </c>
    </row>
    <row r="2386" spans="1:5" ht="30">
      <c r="A2386" s="494">
        <v>92870</v>
      </c>
      <c r="B2386" s="485" t="s">
        <v>3125</v>
      </c>
      <c r="C2386" s="484" t="s">
        <v>65</v>
      </c>
      <c r="D2386" s="486">
        <v>22.77</v>
      </c>
      <c r="E2386" s="486">
        <v>22.77</v>
      </c>
    </row>
    <row r="2387" spans="1:5" ht="30">
      <c r="A2387" s="495">
        <v>92871</v>
      </c>
      <c r="B2387" s="348" t="s">
        <v>16776</v>
      </c>
      <c r="C2387" s="349" t="s">
        <v>65</v>
      </c>
      <c r="D2387" s="483">
        <v>12.09</v>
      </c>
      <c r="E2387" s="483">
        <v>12.09</v>
      </c>
    </row>
    <row r="2388" spans="1:5" ht="30">
      <c r="A2388" s="494">
        <v>92872</v>
      </c>
      <c r="B2388" s="485" t="s">
        <v>16777</v>
      </c>
      <c r="C2388" s="484" t="s">
        <v>65</v>
      </c>
      <c r="D2388" s="486">
        <v>8.09</v>
      </c>
      <c r="E2388" s="486">
        <v>8.09</v>
      </c>
    </row>
    <row r="2389" spans="1:5" ht="30">
      <c r="A2389" s="495">
        <v>95777</v>
      </c>
      <c r="B2389" s="348" t="s">
        <v>16778</v>
      </c>
      <c r="C2389" s="349" t="s">
        <v>65</v>
      </c>
      <c r="D2389" s="483">
        <v>18.010000000000002</v>
      </c>
      <c r="E2389" s="483">
        <v>18.010000000000002</v>
      </c>
    </row>
    <row r="2390" spans="1:5" ht="30">
      <c r="A2390" s="494">
        <v>95778</v>
      </c>
      <c r="B2390" s="485" t="s">
        <v>16779</v>
      </c>
      <c r="C2390" s="484" t="s">
        <v>65</v>
      </c>
      <c r="D2390" s="486">
        <v>18.38</v>
      </c>
      <c r="E2390" s="486">
        <v>18.38</v>
      </c>
    </row>
    <row r="2391" spans="1:5" ht="30">
      <c r="A2391" s="495">
        <v>95779</v>
      </c>
      <c r="B2391" s="348" t="s">
        <v>16780</v>
      </c>
      <c r="C2391" s="349" t="s">
        <v>65</v>
      </c>
      <c r="D2391" s="483">
        <v>17.149999999999999</v>
      </c>
      <c r="E2391" s="483">
        <v>17.149999999999999</v>
      </c>
    </row>
    <row r="2392" spans="1:5" ht="30">
      <c r="A2392" s="494">
        <v>95780</v>
      </c>
      <c r="B2392" s="485" t="s">
        <v>16781</v>
      </c>
      <c r="C2392" s="484" t="s">
        <v>65</v>
      </c>
      <c r="D2392" s="486">
        <v>20.2</v>
      </c>
      <c r="E2392" s="486">
        <v>20.2</v>
      </c>
    </row>
    <row r="2393" spans="1:5" ht="30">
      <c r="A2393" s="495">
        <v>95781</v>
      </c>
      <c r="B2393" s="348" t="s">
        <v>16782</v>
      </c>
      <c r="C2393" s="349" t="s">
        <v>65</v>
      </c>
      <c r="D2393" s="483">
        <v>20.47</v>
      </c>
      <c r="E2393" s="483">
        <v>20.47</v>
      </c>
    </row>
    <row r="2394" spans="1:5" ht="30">
      <c r="A2394" s="494">
        <v>95782</v>
      </c>
      <c r="B2394" s="485" t="s">
        <v>16783</v>
      </c>
      <c r="C2394" s="484" t="s">
        <v>65</v>
      </c>
      <c r="D2394" s="486">
        <v>21.18</v>
      </c>
      <c r="E2394" s="486">
        <v>21.18</v>
      </c>
    </row>
    <row r="2395" spans="1:5" ht="30">
      <c r="A2395" s="495">
        <v>95785</v>
      </c>
      <c r="B2395" s="348" t="s">
        <v>16784</v>
      </c>
      <c r="C2395" s="349" t="s">
        <v>65</v>
      </c>
      <c r="D2395" s="483">
        <v>23.83</v>
      </c>
      <c r="E2395" s="483">
        <v>23.83</v>
      </c>
    </row>
    <row r="2396" spans="1:5" ht="30">
      <c r="A2396" s="494">
        <v>95787</v>
      </c>
      <c r="B2396" s="485" t="s">
        <v>16785</v>
      </c>
      <c r="C2396" s="484" t="s">
        <v>65</v>
      </c>
      <c r="D2396" s="486">
        <v>18.47</v>
      </c>
      <c r="E2396" s="486">
        <v>18.47</v>
      </c>
    </row>
    <row r="2397" spans="1:5" ht="30">
      <c r="A2397" s="495">
        <v>95789</v>
      </c>
      <c r="B2397" s="348" t="s">
        <v>16786</v>
      </c>
      <c r="C2397" s="349" t="s">
        <v>65</v>
      </c>
      <c r="D2397" s="483">
        <v>22.28</v>
      </c>
      <c r="E2397" s="483">
        <v>22.28</v>
      </c>
    </row>
    <row r="2398" spans="1:5" ht="30">
      <c r="A2398" s="494">
        <v>95791</v>
      </c>
      <c r="B2398" s="485" t="s">
        <v>16787</v>
      </c>
      <c r="C2398" s="484" t="s">
        <v>65</v>
      </c>
      <c r="D2398" s="486">
        <v>27.96</v>
      </c>
      <c r="E2398" s="486">
        <v>27.96</v>
      </c>
    </row>
    <row r="2399" spans="1:5" ht="30">
      <c r="A2399" s="495">
        <v>95795</v>
      </c>
      <c r="B2399" s="348" t="s">
        <v>16788</v>
      </c>
      <c r="C2399" s="349" t="s">
        <v>65</v>
      </c>
      <c r="D2399" s="483">
        <v>21.34</v>
      </c>
      <c r="E2399" s="483">
        <v>21.34</v>
      </c>
    </row>
    <row r="2400" spans="1:5" ht="30">
      <c r="A2400" s="494">
        <v>95796</v>
      </c>
      <c r="B2400" s="485" t="s">
        <v>16789</v>
      </c>
      <c r="C2400" s="484" t="s">
        <v>65</v>
      </c>
      <c r="D2400" s="486">
        <v>26.24</v>
      </c>
      <c r="E2400" s="486">
        <v>26.24</v>
      </c>
    </row>
    <row r="2401" spans="1:5" ht="30">
      <c r="A2401" s="495">
        <v>95797</v>
      </c>
      <c r="B2401" s="348" t="s">
        <v>16790</v>
      </c>
      <c r="C2401" s="349" t="s">
        <v>65</v>
      </c>
      <c r="D2401" s="483">
        <v>32.619999999999997</v>
      </c>
      <c r="E2401" s="483">
        <v>32.619999999999997</v>
      </c>
    </row>
    <row r="2402" spans="1:5" ht="30">
      <c r="A2402" s="494">
        <v>95801</v>
      </c>
      <c r="B2402" s="485" t="s">
        <v>16791</v>
      </c>
      <c r="C2402" s="484" t="s">
        <v>65</v>
      </c>
      <c r="D2402" s="486">
        <v>25.39</v>
      </c>
      <c r="E2402" s="486">
        <v>25.39</v>
      </c>
    </row>
    <row r="2403" spans="1:5" ht="30">
      <c r="A2403" s="495">
        <v>95802</v>
      </c>
      <c r="B2403" s="348" t="s">
        <v>16792</v>
      </c>
      <c r="C2403" s="349" t="s">
        <v>65</v>
      </c>
      <c r="D2403" s="483">
        <v>28.2</v>
      </c>
      <c r="E2403" s="483">
        <v>28.2</v>
      </c>
    </row>
    <row r="2404" spans="1:5" ht="30">
      <c r="A2404" s="494">
        <v>95803</v>
      </c>
      <c r="B2404" s="485" t="s">
        <v>16793</v>
      </c>
      <c r="C2404" s="484" t="s">
        <v>65</v>
      </c>
      <c r="D2404" s="486">
        <v>36.380000000000003</v>
      </c>
      <c r="E2404" s="486">
        <v>36.380000000000003</v>
      </c>
    </row>
    <row r="2405" spans="1:5" ht="30">
      <c r="A2405" s="495">
        <v>95804</v>
      </c>
      <c r="B2405" s="348" t="s">
        <v>16794</v>
      </c>
      <c r="C2405" s="349" t="s">
        <v>65</v>
      </c>
      <c r="D2405" s="483">
        <v>14.66</v>
      </c>
      <c r="E2405" s="483">
        <v>14.66</v>
      </c>
    </row>
    <row r="2406" spans="1:5" ht="30">
      <c r="A2406" s="494">
        <v>95805</v>
      </c>
      <c r="B2406" s="485" t="s">
        <v>16795</v>
      </c>
      <c r="C2406" s="484" t="s">
        <v>65</v>
      </c>
      <c r="D2406" s="486">
        <v>14.82</v>
      </c>
      <c r="E2406" s="486">
        <v>14.82</v>
      </c>
    </row>
    <row r="2407" spans="1:5" ht="30">
      <c r="A2407" s="495">
        <v>95806</v>
      </c>
      <c r="B2407" s="348" t="s">
        <v>16796</v>
      </c>
      <c r="C2407" s="349" t="s">
        <v>65</v>
      </c>
      <c r="D2407" s="483">
        <v>15.26</v>
      </c>
      <c r="E2407" s="483">
        <v>15.26</v>
      </c>
    </row>
    <row r="2408" spans="1:5" ht="30">
      <c r="A2408" s="494">
        <v>95807</v>
      </c>
      <c r="B2408" s="485" t="s">
        <v>16797</v>
      </c>
      <c r="C2408" s="484" t="s">
        <v>65</v>
      </c>
      <c r="D2408" s="486">
        <v>16.989999999999998</v>
      </c>
      <c r="E2408" s="486">
        <v>16.989999999999998</v>
      </c>
    </row>
    <row r="2409" spans="1:5" ht="30">
      <c r="A2409" s="495">
        <v>95808</v>
      </c>
      <c r="B2409" s="348" t="s">
        <v>16798</v>
      </c>
      <c r="C2409" s="349" t="s">
        <v>65</v>
      </c>
      <c r="D2409" s="483">
        <v>17.47</v>
      </c>
      <c r="E2409" s="483">
        <v>17.47</v>
      </c>
    </row>
    <row r="2410" spans="1:5" ht="30">
      <c r="A2410" s="494">
        <v>95809</v>
      </c>
      <c r="B2410" s="485" t="s">
        <v>16799</v>
      </c>
      <c r="C2410" s="484" t="s">
        <v>65</v>
      </c>
      <c r="D2410" s="486">
        <v>19.010000000000002</v>
      </c>
      <c r="E2410" s="486">
        <v>19.010000000000002</v>
      </c>
    </row>
    <row r="2411" spans="1:5" ht="30">
      <c r="A2411" s="495">
        <v>95810</v>
      </c>
      <c r="B2411" s="348" t="s">
        <v>16800</v>
      </c>
      <c r="C2411" s="349" t="s">
        <v>65</v>
      </c>
      <c r="D2411" s="483">
        <v>8.02</v>
      </c>
      <c r="E2411" s="483">
        <v>8.02</v>
      </c>
    </row>
    <row r="2412" spans="1:5" ht="30">
      <c r="A2412" s="494">
        <v>95811</v>
      </c>
      <c r="B2412" s="485" t="s">
        <v>16801</v>
      </c>
      <c r="C2412" s="484" t="s">
        <v>65</v>
      </c>
      <c r="D2412" s="486">
        <v>8.5</v>
      </c>
      <c r="E2412" s="486">
        <v>8.5</v>
      </c>
    </row>
    <row r="2413" spans="1:5" ht="30">
      <c r="A2413" s="495">
        <v>95812</v>
      </c>
      <c r="B2413" s="348" t="s">
        <v>16802</v>
      </c>
      <c r="C2413" s="349" t="s">
        <v>65</v>
      </c>
      <c r="D2413" s="483">
        <v>10.029999999999999</v>
      </c>
      <c r="E2413" s="483">
        <v>10.029999999999999</v>
      </c>
    </row>
    <row r="2414" spans="1:5" ht="30">
      <c r="A2414" s="494">
        <v>95813</v>
      </c>
      <c r="B2414" s="485" t="s">
        <v>16803</v>
      </c>
      <c r="C2414" s="484" t="s">
        <v>65</v>
      </c>
      <c r="D2414" s="486">
        <v>9.94</v>
      </c>
      <c r="E2414" s="486">
        <v>9.94</v>
      </c>
    </row>
    <row r="2415" spans="1:5" ht="30">
      <c r="A2415" s="495">
        <v>95814</v>
      </c>
      <c r="B2415" s="348" t="s">
        <v>16804</v>
      </c>
      <c r="C2415" s="349" t="s">
        <v>65</v>
      </c>
      <c r="D2415" s="483">
        <v>10.66</v>
      </c>
      <c r="E2415" s="483">
        <v>10.66</v>
      </c>
    </row>
    <row r="2416" spans="1:5" ht="30">
      <c r="A2416" s="494">
        <v>95815</v>
      </c>
      <c r="B2416" s="485" t="s">
        <v>16805</v>
      </c>
      <c r="C2416" s="484" t="s">
        <v>65</v>
      </c>
      <c r="D2416" s="486">
        <v>13.52</v>
      </c>
      <c r="E2416" s="486">
        <v>13.52</v>
      </c>
    </row>
    <row r="2417" spans="1:5" ht="30">
      <c r="A2417" s="495">
        <v>95816</v>
      </c>
      <c r="B2417" s="348" t="s">
        <v>16806</v>
      </c>
      <c r="C2417" s="349" t="s">
        <v>65</v>
      </c>
      <c r="D2417" s="483">
        <v>20.96</v>
      </c>
      <c r="E2417" s="483">
        <v>20.96</v>
      </c>
    </row>
    <row r="2418" spans="1:5" ht="30">
      <c r="A2418" s="494">
        <v>95817</v>
      </c>
      <c r="B2418" s="485" t="s">
        <v>16807</v>
      </c>
      <c r="C2418" s="484" t="s">
        <v>65</v>
      </c>
      <c r="D2418" s="486">
        <v>21.72</v>
      </c>
      <c r="E2418" s="486">
        <v>21.72</v>
      </c>
    </row>
    <row r="2419" spans="1:5" ht="30">
      <c r="A2419" s="495">
        <v>95818</v>
      </c>
      <c r="B2419" s="348" t="s">
        <v>16808</v>
      </c>
      <c r="C2419" s="349" t="s">
        <v>65</v>
      </c>
      <c r="D2419" s="483">
        <v>25.56</v>
      </c>
      <c r="E2419" s="483">
        <v>25.56</v>
      </c>
    </row>
    <row r="2420" spans="1:5">
      <c r="A2420" s="494">
        <v>68066</v>
      </c>
      <c r="B2420" s="485" t="s">
        <v>3092</v>
      </c>
      <c r="C2420" s="484" t="s">
        <v>65</v>
      </c>
      <c r="D2420" s="486">
        <v>103.9</v>
      </c>
      <c r="E2420" s="486">
        <v>103.9</v>
      </c>
    </row>
    <row r="2421" spans="1:5">
      <c r="A2421" s="495">
        <v>72319</v>
      </c>
      <c r="B2421" s="348" t="s">
        <v>16809</v>
      </c>
      <c r="C2421" s="349" t="s">
        <v>65</v>
      </c>
      <c r="D2421" s="483">
        <v>4232.8999999999996</v>
      </c>
      <c r="E2421" s="483">
        <v>4232.8999999999996</v>
      </c>
    </row>
    <row r="2422" spans="1:5" ht="30">
      <c r="A2422" s="494">
        <v>72341</v>
      </c>
      <c r="B2422" s="485" t="s">
        <v>3961</v>
      </c>
      <c r="C2422" s="484" t="s">
        <v>65</v>
      </c>
      <c r="D2422" s="486">
        <v>181.84</v>
      </c>
      <c r="E2422" s="486">
        <v>181.84</v>
      </c>
    </row>
    <row r="2423" spans="1:5" ht="30">
      <c r="A2423" s="495">
        <v>72343</v>
      </c>
      <c r="B2423" s="348" t="s">
        <v>3962</v>
      </c>
      <c r="C2423" s="349" t="s">
        <v>65</v>
      </c>
      <c r="D2423" s="483">
        <v>213.83</v>
      </c>
      <c r="E2423" s="483">
        <v>213.83</v>
      </c>
    </row>
    <row r="2424" spans="1:5" ht="30">
      <c r="A2424" s="494">
        <v>72344</v>
      </c>
      <c r="B2424" s="485" t="s">
        <v>3963</v>
      </c>
      <c r="C2424" s="484" t="s">
        <v>65</v>
      </c>
      <c r="D2424" s="486">
        <v>313.66000000000003</v>
      </c>
      <c r="E2424" s="486">
        <v>313.66000000000003</v>
      </c>
    </row>
    <row r="2425" spans="1:5" ht="30">
      <c r="A2425" s="495">
        <v>72345</v>
      </c>
      <c r="B2425" s="348" t="s">
        <v>3960</v>
      </c>
      <c r="C2425" s="349" t="s">
        <v>65</v>
      </c>
      <c r="D2425" s="483">
        <v>815.72</v>
      </c>
      <c r="E2425" s="483">
        <v>815.72</v>
      </c>
    </row>
    <row r="2426" spans="1:5" ht="30">
      <c r="A2426" s="484" t="s">
        <v>16810</v>
      </c>
      <c r="B2426" s="485" t="s">
        <v>8511</v>
      </c>
      <c r="C2426" s="484" t="s">
        <v>65</v>
      </c>
      <c r="D2426" s="486">
        <v>988.37</v>
      </c>
      <c r="E2426" s="486">
        <v>988.37</v>
      </c>
    </row>
    <row r="2427" spans="1:5" ht="30">
      <c r="A2427" s="349" t="s">
        <v>16811</v>
      </c>
      <c r="B2427" s="348" t="s">
        <v>16812</v>
      </c>
      <c r="C2427" s="349" t="s">
        <v>65</v>
      </c>
      <c r="D2427" s="483">
        <v>12.46</v>
      </c>
      <c r="E2427" s="483">
        <v>12.46</v>
      </c>
    </row>
    <row r="2428" spans="1:5" ht="30">
      <c r="A2428" s="484" t="s">
        <v>16813</v>
      </c>
      <c r="B2428" s="485" t="s">
        <v>16814</v>
      </c>
      <c r="C2428" s="484" t="s">
        <v>65</v>
      </c>
      <c r="D2428" s="486">
        <v>19.3</v>
      </c>
      <c r="E2428" s="486">
        <v>19.3</v>
      </c>
    </row>
    <row r="2429" spans="1:5" ht="30">
      <c r="A2429" s="349" t="s">
        <v>16815</v>
      </c>
      <c r="B2429" s="348" t="s">
        <v>16816</v>
      </c>
      <c r="C2429" s="349" t="s">
        <v>65</v>
      </c>
      <c r="D2429" s="483">
        <v>57.19</v>
      </c>
      <c r="E2429" s="483">
        <v>57.19</v>
      </c>
    </row>
    <row r="2430" spans="1:5" ht="30">
      <c r="A2430" s="484" t="s">
        <v>16817</v>
      </c>
      <c r="B2430" s="485" t="s">
        <v>16818</v>
      </c>
      <c r="C2430" s="484" t="s">
        <v>65</v>
      </c>
      <c r="D2430" s="486">
        <v>81.44</v>
      </c>
      <c r="E2430" s="486">
        <v>81.44</v>
      </c>
    </row>
    <row r="2431" spans="1:5" ht="30">
      <c r="A2431" s="349" t="s">
        <v>16819</v>
      </c>
      <c r="B2431" s="348" t="s">
        <v>16820</v>
      </c>
      <c r="C2431" s="349" t="s">
        <v>65</v>
      </c>
      <c r="D2431" s="483">
        <v>109.16</v>
      </c>
      <c r="E2431" s="483">
        <v>109.16</v>
      </c>
    </row>
    <row r="2432" spans="1:5" ht="30">
      <c r="A2432" s="484" t="s">
        <v>16821</v>
      </c>
      <c r="B2432" s="485" t="s">
        <v>16822</v>
      </c>
      <c r="C2432" s="484" t="s">
        <v>65</v>
      </c>
      <c r="D2432" s="486">
        <v>312.37</v>
      </c>
      <c r="E2432" s="486">
        <v>312.37</v>
      </c>
    </row>
    <row r="2433" spans="1:5" ht="30">
      <c r="A2433" s="349" t="s">
        <v>16823</v>
      </c>
      <c r="B2433" s="348" t="s">
        <v>16824</v>
      </c>
      <c r="C2433" s="349" t="s">
        <v>65</v>
      </c>
      <c r="D2433" s="483">
        <v>810.12</v>
      </c>
      <c r="E2433" s="483">
        <v>810.12</v>
      </c>
    </row>
    <row r="2434" spans="1:5" ht="30">
      <c r="A2434" s="484" t="s">
        <v>16825</v>
      </c>
      <c r="B2434" s="485" t="s">
        <v>16826</v>
      </c>
      <c r="C2434" s="484" t="s">
        <v>65</v>
      </c>
      <c r="D2434" s="486">
        <v>1107.72</v>
      </c>
      <c r="E2434" s="486">
        <v>1107.72</v>
      </c>
    </row>
    <row r="2435" spans="1:5" ht="30">
      <c r="A2435" s="349" t="s">
        <v>16827</v>
      </c>
      <c r="B2435" s="348" t="s">
        <v>16828</v>
      </c>
      <c r="C2435" s="349" t="s">
        <v>65</v>
      </c>
      <c r="D2435" s="483">
        <v>1815.58</v>
      </c>
      <c r="E2435" s="483">
        <v>1815.58</v>
      </c>
    </row>
    <row r="2436" spans="1:5" ht="30">
      <c r="A2436" s="484" t="s">
        <v>16829</v>
      </c>
      <c r="B2436" s="485" t="s">
        <v>16830</v>
      </c>
      <c r="C2436" s="484" t="s">
        <v>65</v>
      </c>
      <c r="D2436" s="486">
        <v>489.26</v>
      </c>
      <c r="E2436" s="486">
        <v>489.26</v>
      </c>
    </row>
    <row r="2437" spans="1:5" ht="45">
      <c r="A2437" s="349" t="s">
        <v>16831</v>
      </c>
      <c r="B2437" s="348" t="s">
        <v>8498</v>
      </c>
      <c r="C2437" s="349" t="s">
        <v>65</v>
      </c>
      <c r="D2437" s="483">
        <v>52.3</v>
      </c>
      <c r="E2437" s="483">
        <v>52.3</v>
      </c>
    </row>
    <row r="2438" spans="1:5" ht="45">
      <c r="A2438" s="484" t="s">
        <v>16832</v>
      </c>
      <c r="B2438" s="485" t="s">
        <v>8496</v>
      </c>
      <c r="C2438" s="484" t="s">
        <v>65</v>
      </c>
      <c r="D2438" s="486">
        <v>316.47000000000003</v>
      </c>
      <c r="E2438" s="486">
        <v>316.47000000000003</v>
      </c>
    </row>
    <row r="2439" spans="1:5" ht="45">
      <c r="A2439" s="349" t="s">
        <v>16833</v>
      </c>
      <c r="B2439" s="348" t="s">
        <v>8497</v>
      </c>
      <c r="C2439" s="349" t="s">
        <v>65</v>
      </c>
      <c r="D2439" s="483">
        <v>367.89</v>
      </c>
      <c r="E2439" s="483">
        <v>367.89</v>
      </c>
    </row>
    <row r="2440" spans="1:5" ht="45">
      <c r="A2440" s="484" t="s">
        <v>16834</v>
      </c>
      <c r="B2440" s="485" t="s">
        <v>8499</v>
      </c>
      <c r="C2440" s="484" t="s">
        <v>65</v>
      </c>
      <c r="D2440" s="486">
        <v>700.33</v>
      </c>
      <c r="E2440" s="486">
        <v>700.33</v>
      </c>
    </row>
    <row r="2441" spans="1:5" ht="45">
      <c r="A2441" s="349" t="s">
        <v>16835</v>
      </c>
      <c r="B2441" s="348" t="s">
        <v>8500</v>
      </c>
      <c r="C2441" s="349" t="s">
        <v>65</v>
      </c>
      <c r="D2441" s="483">
        <v>589.15</v>
      </c>
      <c r="E2441" s="483">
        <v>589.15</v>
      </c>
    </row>
    <row r="2442" spans="1:5" ht="45">
      <c r="A2442" s="484" t="s">
        <v>16836</v>
      </c>
      <c r="B2442" s="485" t="s">
        <v>8501</v>
      </c>
      <c r="C2442" s="484" t="s">
        <v>65</v>
      </c>
      <c r="D2442" s="486">
        <v>874.57</v>
      </c>
      <c r="E2442" s="486">
        <v>874.57</v>
      </c>
    </row>
    <row r="2443" spans="1:5">
      <c r="A2443" s="495">
        <v>83372</v>
      </c>
      <c r="B2443" s="348" t="s">
        <v>3054</v>
      </c>
      <c r="C2443" s="349" t="s">
        <v>65</v>
      </c>
      <c r="D2443" s="483">
        <v>474.22</v>
      </c>
      <c r="E2443" s="483">
        <v>474.22</v>
      </c>
    </row>
    <row r="2444" spans="1:5" ht="45">
      <c r="A2444" s="494">
        <v>83463</v>
      </c>
      <c r="B2444" s="485" t="s">
        <v>16837</v>
      </c>
      <c r="C2444" s="484" t="s">
        <v>65</v>
      </c>
      <c r="D2444" s="486">
        <v>233.73</v>
      </c>
      <c r="E2444" s="486">
        <v>233.73</v>
      </c>
    </row>
    <row r="2445" spans="1:5" ht="30">
      <c r="A2445" s="495">
        <v>84402</v>
      </c>
      <c r="B2445" s="348" t="s">
        <v>16838</v>
      </c>
      <c r="C2445" s="349" t="s">
        <v>65</v>
      </c>
      <c r="D2445" s="483">
        <v>59.13</v>
      </c>
      <c r="E2445" s="483">
        <v>59.13</v>
      </c>
    </row>
    <row r="2446" spans="1:5" ht="30">
      <c r="A2446" s="494">
        <v>93653</v>
      </c>
      <c r="B2446" s="485" t="s">
        <v>4700</v>
      </c>
      <c r="C2446" s="484" t="s">
        <v>65</v>
      </c>
      <c r="D2446" s="486">
        <v>9.41</v>
      </c>
      <c r="E2446" s="486">
        <v>9.41</v>
      </c>
    </row>
    <row r="2447" spans="1:5" ht="30">
      <c r="A2447" s="495">
        <v>93654</v>
      </c>
      <c r="B2447" s="348" t="s">
        <v>4701</v>
      </c>
      <c r="C2447" s="349" t="s">
        <v>65</v>
      </c>
      <c r="D2447" s="483">
        <v>9.84</v>
      </c>
      <c r="E2447" s="483">
        <v>9.84</v>
      </c>
    </row>
    <row r="2448" spans="1:5" ht="30">
      <c r="A2448" s="494">
        <v>93655</v>
      </c>
      <c r="B2448" s="485" t="s">
        <v>4702</v>
      </c>
      <c r="C2448" s="484" t="s">
        <v>65</v>
      </c>
      <c r="D2448" s="486">
        <v>10.6</v>
      </c>
      <c r="E2448" s="486">
        <v>10.6</v>
      </c>
    </row>
    <row r="2449" spans="1:5" ht="30">
      <c r="A2449" s="495">
        <v>93656</v>
      </c>
      <c r="B2449" s="348" t="s">
        <v>4703</v>
      </c>
      <c r="C2449" s="349" t="s">
        <v>65</v>
      </c>
      <c r="D2449" s="483">
        <v>10.6</v>
      </c>
      <c r="E2449" s="483">
        <v>10.6</v>
      </c>
    </row>
    <row r="2450" spans="1:5" ht="30">
      <c r="A2450" s="494">
        <v>93657</v>
      </c>
      <c r="B2450" s="485" t="s">
        <v>4704</v>
      </c>
      <c r="C2450" s="484" t="s">
        <v>65</v>
      </c>
      <c r="D2450" s="486">
        <v>11.56</v>
      </c>
      <c r="E2450" s="486">
        <v>11.56</v>
      </c>
    </row>
    <row r="2451" spans="1:5" ht="30">
      <c r="A2451" s="495">
        <v>93658</v>
      </c>
      <c r="B2451" s="348" t="s">
        <v>4705</v>
      </c>
      <c r="C2451" s="349" t="s">
        <v>65</v>
      </c>
      <c r="D2451" s="483">
        <v>16.86</v>
      </c>
      <c r="E2451" s="483">
        <v>16.86</v>
      </c>
    </row>
    <row r="2452" spans="1:5" ht="30">
      <c r="A2452" s="494">
        <v>93659</v>
      </c>
      <c r="B2452" s="485" t="s">
        <v>4706</v>
      </c>
      <c r="C2452" s="484" t="s">
        <v>65</v>
      </c>
      <c r="D2452" s="486">
        <v>18.84</v>
      </c>
      <c r="E2452" s="486">
        <v>18.84</v>
      </c>
    </row>
    <row r="2453" spans="1:5" ht="30">
      <c r="A2453" s="495">
        <v>93660</v>
      </c>
      <c r="B2453" s="348" t="s">
        <v>16839</v>
      </c>
      <c r="C2453" s="349" t="s">
        <v>65</v>
      </c>
      <c r="D2453" s="483">
        <v>47.92</v>
      </c>
      <c r="E2453" s="483">
        <v>47.92</v>
      </c>
    </row>
    <row r="2454" spans="1:5" ht="30">
      <c r="A2454" s="494">
        <v>93661</v>
      </c>
      <c r="B2454" s="485" t="s">
        <v>16840</v>
      </c>
      <c r="C2454" s="484" t="s">
        <v>65</v>
      </c>
      <c r="D2454" s="486">
        <v>48.78</v>
      </c>
      <c r="E2454" s="486">
        <v>48.78</v>
      </c>
    </row>
    <row r="2455" spans="1:5" ht="30">
      <c r="A2455" s="495">
        <v>93662</v>
      </c>
      <c r="B2455" s="348" t="s">
        <v>16841</v>
      </c>
      <c r="C2455" s="349" t="s">
        <v>65</v>
      </c>
      <c r="D2455" s="483">
        <v>50.33</v>
      </c>
      <c r="E2455" s="483">
        <v>50.33</v>
      </c>
    </row>
    <row r="2456" spans="1:5" ht="30">
      <c r="A2456" s="494">
        <v>93663</v>
      </c>
      <c r="B2456" s="485" t="s">
        <v>16842</v>
      </c>
      <c r="C2456" s="484" t="s">
        <v>65</v>
      </c>
      <c r="D2456" s="486">
        <v>50.33</v>
      </c>
      <c r="E2456" s="486">
        <v>50.33</v>
      </c>
    </row>
    <row r="2457" spans="1:5" ht="30">
      <c r="A2457" s="495">
        <v>93664</v>
      </c>
      <c r="B2457" s="348" t="s">
        <v>16843</v>
      </c>
      <c r="C2457" s="349" t="s">
        <v>65</v>
      </c>
      <c r="D2457" s="483">
        <v>52.22</v>
      </c>
      <c r="E2457" s="483">
        <v>52.22</v>
      </c>
    </row>
    <row r="2458" spans="1:5" ht="30">
      <c r="A2458" s="494">
        <v>93665</v>
      </c>
      <c r="B2458" s="485" t="s">
        <v>16844</v>
      </c>
      <c r="C2458" s="484" t="s">
        <v>65</v>
      </c>
      <c r="D2458" s="486">
        <v>54.63</v>
      </c>
      <c r="E2458" s="486">
        <v>54.63</v>
      </c>
    </row>
    <row r="2459" spans="1:5" ht="30">
      <c r="A2459" s="495">
        <v>93666</v>
      </c>
      <c r="B2459" s="348" t="s">
        <v>16845</v>
      </c>
      <c r="C2459" s="349" t="s">
        <v>65</v>
      </c>
      <c r="D2459" s="483">
        <v>58.58</v>
      </c>
      <c r="E2459" s="483">
        <v>58.58</v>
      </c>
    </row>
    <row r="2460" spans="1:5" ht="30">
      <c r="A2460" s="494">
        <v>93667</v>
      </c>
      <c r="B2460" s="485" t="s">
        <v>4746</v>
      </c>
      <c r="C2460" s="484" t="s">
        <v>65</v>
      </c>
      <c r="D2460" s="486">
        <v>59.59</v>
      </c>
      <c r="E2460" s="486">
        <v>59.59</v>
      </c>
    </row>
    <row r="2461" spans="1:5" ht="30">
      <c r="A2461" s="495">
        <v>93668</v>
      </c>
      <c r="B2461" s="348" t="s">
        <v>4747</v>
      </c>
      <c r="C2461" s="349" t="s">
        <v>65</v>
      </c>
      <c r="D2461" s="483">
        <v>60.88</v>
      </c>
      <c r="E2461" s="483">
        <v>60.88</v>
      </c>
    </row>
    <row r="2462" spans="1:5" ht="30">
      <c r="A2462" s="494">
        <v>93669</v>
      </c>
      <c r="B2462" s="485" t="s">
        <v>4748</v>
      </c>
      <c r="C2462" s="484" t="s">
        <v>65</v>
      </c>
      <c r="D2462" s="486">
        <v>63.19</v>
      </c>
      <c r="E2462" s="486">
        <v>63.19</v>
      </c>
    </row>
    <row r="2463" spans="1:5" ht="30">
      <c r="A2463" s="495">
        <v>93670</v>
      </c>
      <c r="B2463" s="348" t="s">
        <v>4749</v>
      </c>
      <c r="C2463" s="349" t="s">
        <v>65</v>
      </c>
      <c r="D2463" s="483">
        <v>63.19</v>
      </c>
      <c r="E2463" s="483">
        <v>63.19</v>
      </c>
    </row>
    <row r="2464" spans="1:5" ht="30">
      <c r="A2464" s="494">
        <v>93671</v>
      </c>
      <c r="B2464" s="485" t="s">
        <v>4750</v>
      </c>
      <c r="C2464" s="484" t="s">
        <v>65</v>
      </c>
      <c r="D2464" s="486">
        <v>66.05</v>
      </c>
      <c r="E2464" s="486">
        <v>66.05</v>
      </c>
    </row>
    <row r="2465" spans="1:5" ht="30">
      <c r="A2465" s="495">
        <v>93672</v>
      </c>
      <c r="B2465" s="348" t="s">
        <v>4751</v>
      </c>
      <c r="C2465" s="349" t="s">
        <v>65</v>
      </c>
      <c r="D2465" s="483">
        <v>70.73</v>
      </c>
      <c r="E2465" s="483">
        <v>70.73</v>
      </c>
    </row>
    <row r="2466" spans="1:5" ht="30">
      <c r="A2466" s="494">
        <v>93673</v>
      </c>
      <c r="B2466" s="485" t="s">
        <v>4752</v>
      </c>
      <c r="C2466" s="484" t="s">
        <v>65</v>
      </c>
      <c r="D2466" s="486">
        <v>76.650000000000006</v>
      </c>
      <c r="E2466" s="486">
        <v>76.650000000000006</v>
      </c>
    </row>
    <row r="2467" spans="1:5" ht="30">
      <c r="A2467" s="495">
        <v>93677</v>
      </c>
      <c r="B2467" s="348" t="s">
        <v>4730</v>
      </c>
      <c r="C2467" s="349" t="s">
        <v>65</v>
      </c>
      <c r="D2467" s="483">
        <v>65.3</v>
      </c>
      <c r="E2467" s="483">
        <v>65.3</v>
      </c>
    </row>
    <row r="2468" spans="1:5">
      <c r="A2468" s="494">
        <v>72339</v>
      </c>
      <c r="B2468" s="485" t="s">
        <v>9724</v>
      </c>
      <c r="C2468" s="484" t="s">
        <v>65</v>
      </c>
      <c r="D2468" s="486">
        <v>47.96</v>
      </c>
      <c r="E2468" s="486">
        <v>47.96</v>
      </c>
    </row>
    <row r="2469" spans="1:5">
      <c r="A2469" s="495">
        <v>83465</v>
      </c>
      <c r="B2469" s="348" t="s">
        <v>6109</v>
      </c>
      <c r="C2469" s="349" t="s">
        <v>65</v>
      </c>
      <c r="D2469" s="483">
        <v>39.68</v>
      </c>
      <c r="E2469" s="483">
        <v>39.68</v>
      </c>
    </row>
    <row r="2470" spans="1:5" ht="30">
      <c r="A2470" s="494">
        <v>91945</v>
      </c>
      <c r="B2470" s="485" t="s">
        <v>9095</v>
      </c>
      <c r="C2470" s="484" t="s">
        <v>65</v>
      </c>
      <c r="D2470" s="486">
        <v>6.82</v>
      </c>
      <c r="E2470" s="486">
        <v>6.82</v>
      </c>
    </row>
    <row r="2471" spans="1:5" ht="30">
      <c r="A2471" s="495">
        <v>91946</v>
      </c>
      <c r="B2471" s="348" t="s">
        <v>9097</v>
      </c>
      <c r="C2471" s="349" t="s">
        <v>65</v>
      </c>
      <c r="D2471" s="483">
        <v>5.72</v>
      </c>
      <c r="E2471" s="483">
        <v>5.72</v>
      </c>
    </row>
    <row r="2472" spans="1:5" ht="30">
      <c r="A2472" s="494">
        <v>91947</v>
      </c>
      <c r="B2472" s="485" t="s">
        <v>9096</v>
      </c>
      <c r="C2472" s="484" t="s">
        <v>65</v>
      </c>
      <c r="D2472" s="486">
        <v>5.04</v>
      </c>
      <c r="E2472" s="486">
        <v>5.04</v>
      </c>
    </row>
    <row r="2473" spans="1:5" ht="30">
      <c r="A2473" s="495">
        <v>91949</v>
      </c>
      <c r="B2473" s="348" t="s">
        <v>9098</v>
      </c>
      <c r="C2473" s="349" t="s">
        <v>65</v>
      </c>
      <c r="D2473" s="483">
        <v>10.5</v>
      </c>
      <c r="E2473" s="483">
        <v>10.5</v>
      </c>
    </row>
    <row r="2474" spans="1:5" ht="30">
      <c r="A2474" s="494">
        <v>91950</v>
      </c>
      <c r="B2474" s="485" t="s">
        <v>9100</v>
      </c>
      <c r="C2474" s="484" t="s">
        <v>65</v>
      </c>
      <c r="D2474" s="486">
        <v>9.17</v>
      </c>
      <c r="E2474" s="486">
        <v>9.17</v>
      </c>
    </row>
    <row r="2475" spans="1:5" ht="30">
      <c r="A2475" s="495">
        <v>91951</v>
      </c>
      <c r="B2475" s="348" t="s">
        <v>9099</v>
      </c>
      <c r="C2475" s="349" t="s">
        <v>65</v>
      </c>
      <c r="D2475" s="483">
        <v>8.3800000000000008</v>
      </c>
      <c r="E2475" s="483">
        <v>8.3800000000000008</v>
      </c>
    </row>
    <row r="2476" spans="1:5" ht="30">
      <c r="A2476" s="494">
        <v>91952</v>
      </c>
      <c r="B2476" s="485" t="s">
        <v>16846</v>
      </c>
      <c r="C2476" s="484" t="s">
        <v>65</v>
      </c>
      <c r="D2476" s="486">
        <v>12.92</v>
      </c>
      <c r="E2476" s="486">
        <v>12.92</v>
      </c>
    </row>
    <row r="2477" spans="1:5" ht="30">
      <c r="A2477" s="495">
        <v>91953</v>
      </c>
      <c r="B2477" s="348" t="s">
        <v>6129</v>
      </c>
      <c r="C2477" s="349" t="s">
        <v>65</v>
      </c>
      <c r="D2477" s="483">
        <v>18.64</v>
      </c>
      <c r="E2477" s="483">
        <v>18.64</v>
      </c>
    </row>
    <row r="2478" spans="1:5" ht="30">
      <c r="A2478" s="494">
        <v>91954</v>
      </c>
      <c r="B2478" s="485" t="s">
        <v>16847</v>
      </c>
      <c r="C2478" s="484" t="s">
        <v>65</v>
      </c>
      <c r="D2478" s="486">
        <v>17.350000000000001</v>
      </c>
      <c r="E2478" s="486">
        <v>17.350000000000001</v>
      </c>
    </row>
    <row r="2479" spans="1:5" ht="30">
      <c r="A2479" s="495">
        <v>91955</v>
      </c>
      <c r="B2479" s="348" t="s">
        <v>6114</v>
      </c>
      <c r="C2479" s="349" t="s">
        <v>65</v>
      </c>
      <c r="D2479" s="483">
        <v>23.07</v>
      </c>
      <c r="E2479" s="483">
        <v>23.07</v>
      </c>
    </row>
    <row r="2480" spans="1:5" ht="30">
      <c r="A2480" s="494">
        <v>91956</v>
      </c>
      <c r="B2480" s="485" t="s">
        <v>16848</v>
      </c>
      <c r="C2480" s="484" t="s">
        <v>65</v>
      </c>
      <c r="D2480" s="486">
        <v>28.2</v>
      </c>
      <c r="E2480" s="486">
        <v>28.2</v>
      </c>
    </row>
    <row r="2481" spans="1:5" ht="30">
      <c r="A2481" s="495">
        <v>91957</v>
      </c>
      <c r="B2481" s="348" t="s">
        <v>16849</v>
      </c>
      <c r="C2481" s="349" t="s">
        <v>65</v>
      </c>
      <c r="D2481" s="483">
        <v>33.92</v>
      </c>
      <c r="E2481" s="483">
        <v>33.92</v>
      </c>
    </row>
    <row r="2482" spans="1:5" ht="30">
      <c r="A2482" s="494">
        <v>91958</v>
      </c>
      <c r="B2482" s="485" t="s">
        <v>16850</v>
      </c>
      <c r="C2482" s="484" t="s">
        <v>65</v>
      </c>
      <c r="D2482" s="486">
        <v>23.8</v>
      </c>
      <c r="E2482" s="486">
        <v>23.8</v>
      </c>
    </row>
    <row r="2483" spans="1:5" ht="30">
      <c r="A2483" s="495">
        <v>91959</v>
      </c>
      <c r="B2483" s="348" t="s">
        <v>6139</v>
      </c>
      <c r="C2483" s="349" t="s">
        <v>65</v>
      </c>
      <c r="D2483" s="483">
        <v>29.52</v>
      </c>
      <c r="E2483" s="483">
        <v>29.52</v>
      </c>
    </row>
    <row r="2484" spans="1:5" ht="30">
      <c r="A2484" s="494">
        <v>91960</v>
      </c>
      <c r="B2484" s="485" t="s">
        <v>6118</v>
      </c>
      <c r="C2484" s="484" t="s">
        <v>65</v>
      </c>
      <c r="D2484" s="486">
        <v>32.619999999999997</v>
      </c>
      <c r="E2484" s="486">
        <v>32.619999999999997</v>
      </c>
    </row>
    <row r="2485" spans="1:5" ht="30">
      <c r="A2485" s="495">
        <v>91961</v>
      </c>
      <c r="B2485" s="348" t="s">
        <v>595</v>
      </c>
      <c r="C2485" s="349" t="s">
        <v>65</v>
      </c>
      <c r="D2485" s="483">
        <v>38.340000000000003</v>
      </c>
      <c r="E2485" s="483">
        <v>38.340000000000003</v>
      </c>
    </row>
    <row r="2486" spans="1:5" ht="30">
      <c r="A2486" s="494">
        <v>91962</v>
      </c>
      <c r="B2486" s="485" t="s">
        <v>16851</v>
      </c>
      <c r="C2486" s="484" t="s">
        <v>65</v>
      </c>
      <c r="D2486" s="486">
        <v>43.51</v>
      </c>
      <c r="E2486" s="486">
        <v>43.51</v>
      </c>
    </row>
    <row r="2487" spans="1:5" ht="30">
      <c r="A2487" s="495">
        <v>91963</v>
      </c>
      <c r="B2487" s="348" t="s">
        <v>16852</v>
      </c>
      <c r="C2487" s="349" t="s">
        <v>65</v>
      </c>
      <c r="D2487" s="483">
        <v>49.23</v>
      </c>
      <c r="E2487" s="483">
        <v>49.23</v>
      </c>
    </row>
    <row r="2488" spans="1:5" ht="30">
      <c r="A2488" s="494">
        <v>91964</v>
      </c>
      <c r="B2488" s="485" t="s">
        <v>16853</v>
      </c>
      <c r="C2488" s="484" t="s">
        <v>65</v>
      </c>
      <c r="D2488" s="486">
        <v>39.08</v>
      </c>
      <c r="E2488" s="486">
        <v>39.08</v>
      </c>
    </row>
    <row r="2489" spans="1:5" ht="30">
      <c r="A2489" s="495">
        <v>91965</v>
      </c>
      <c r="B2489" s="348" t="s">
        <v>16854</v>
      </c>
      <c r="C2489" s="349" t="s">
        <v>65</v>
      </c>
      <c r="D2489" s="483">
        <v>44.8</v>
      </c>
      <c r="E2489" s="483">
        <v>44.8</v>
      </c>
    </row>
    <row r="2490" spans="1:5" ht="30">
      <c r="A2490" s="494">
        <v>91966</v>
      </c>
      <c r="B2490" s="485" t="s">
        <v>16855</v>
      </c>
      <c r="C2490" s="484" t="s">
        <v>65</v>
      </c>
      <c r="D2490" s="486">
        <v>34.67</v>
      </c>
      <c r="E2490" s="486">
        <v>34.67</v>
      </c>
    </row>
    <row r="2491" spans="1:5" ht="30">
      <c r="A2491" s="495">
        <v>91967</v>
      </c>
      <c r="B2491" s="348" t="s">
        <v>6143</v>
      </c>
      <c r="C2491" s="349" t="s">
        <v>65</v>
      </c>
      <c r="D2491" s="483">
        <v>40.39</v>
      </c>
      <c r="E2491" s="483">
        <v>40.39</v>
      </c>
    </row>
    <row r="2492" spans="1:5" ht="30">
      <c r="A2492" s="494">
        <v>91968</v>
      </c>
      <c r="B2492" s="485" t="s">
        <v>6119</v>
      </c>
      <c r="C2492" s="484" t="s">
        <v>65</v>
      </c>
      <c r="D2492" s="486">
        <v>47.9</v>
      </c>
      <c r="E2492" s="486">
        <v>47.9</v>
      </c>
    </row>
    <row r="2493" spans="1:5" ht="30">
      <c r="A2493" s="495">
        <v>91969</v>
      </c>
      <c r="B2493" s="348" t="s">
        <v>596</v>
      </c>
      <c r="C2493" s="349" t="s">
        <v>65</v>
      </c>
      <c r="D2493" s="483">
        <v>53.62</v>
      </c>
      <c r="E2493" s="483">
        <v>53.62</v>
      </c>
    </row>
    <row r="2494" spans="1:5" ht="30">
      <c r="A2494" s="494">
        <v>91970</v>
      </c>
      <c r="B2494" s="485" t="s">
        <v>16856</v>
      </c>
      <c r="C2494" s="484" t="s">
        <v>65</v>
      </c>
      <c r="D2494" s="486">
        <v>50.2</v>
      </c>
      <c r="E2494" s="486">
        <v>50.2</v>
      </c>
    </row>
    <row r="2495" spans="1:5" ht="30">
      <c r="A2495" s="495">
        <v>91971</v>
      </c>
      <c r="B2495" s="348" t="s">
        <v>16857</v>
      </c>
      <c r="C2495" s="349" t="s">
        <v>65</v>
      </c>
      <c r="D2495" s="483">
        <v>59.37</v>
      </c>
      <c r="E2495" s="483">
        <v>59.37</v>
      </c>
    </row>
    <row r="2496" spans="1:5" ht="30">
      <c r="A2496" s="494">
        <v>91972</v>
      </c>
      <c r="B2496" s="485" t="s">
        <v>16858</v>
      </c>
      <c r="C2496" s="484" t="s">
        <v>65</v>
      </c>
      <c r="D2496" s="486">
        <v>54.63</v>
      </c>
      <c r="E2496" s="486">
        <v>54.63</v>
      </c>
    </row>
    <row r="2497" spans="1:5" ht="30">
      <c r="A2497" s="495">
        <v>91973</v>
      </c>
      <c r="B2497" s="348" t="s">
        <v>16859</v>
      </c>
      <c r="C2497" s="349" t="s">
        <v>65</v>
      </c>
      <c r="D2497" s="483">
        <v>63.8</v>
      </c>
      <c r="E2497" s="483">
        <v>63.8</v>
      </c>
    </row>
    <row r="2498" spans="1:5" ht="30">
      <c r="A2498" s="494">
        <v>91974</v>
      </c>
      <c r="B2498" s="485" t="s">
        <v>16860</v>
      </c>
      <c r="C2498" s="484" t="s">
        <v>65</v>
      </c>
      <c r="D2498" s="486">
        <v>45.76</v>
      </c>
      <c r="E2498" s="486">
        <v>45.76</v>
      </c>
    </row>
    <row r="2499" spans="1:5" ht="30">
      <c r="A2499" s="495">
        <v>91975</v>
      </c>
      <c r="B2499" s="348" t="s">
        <v>6145</v>
      </c>
      <c r="C2499" s="349" t="s">
        <v>65</v>
      </c>
      <c r="D2499" s="483">
        <v>54.93</v>
      </c>
      <c r="E2499" s="483">
        <v>54.93</v>
      </c>
    </row>
    <row r="2500" spans="1:5" ht="30">
      <c r="A2500" s="494">
        <v>91976</v>
      </c>
      <c r="B2500" s="485" t="s">
        <v>16861</v>
      </c>
      <c r="C2500" s="484" t="s">
        <v>65</v>
      </c>
      <c r="D2500" s="486">
        <v>67.58</v>
      </c>
      <c r="E2500" s="486">
        <v>67.58</v>
      </c>
    </row>
    <row r="2501" spans="1:5" ht="30">
      <c r="A2501" s="495">
        <v>91977</v>
      </c>
      <c r="B2501" s="348" t="s">
        <v>6147</v>
      </c>
      <c r="C2501" s="349" t="s">
        <v>65</v>
      </c>
      <c r="D2501" s="483">
        <v>76.75</v>
      </c>
      <c r="E2501" s="483">
        <v>76.75</v>
      </c>
    </row>
    <row r="2502" spans="1:5" ht="30">
      <c r="A2502" s="494">
        <v>91990</v>
      </c>
      <c r="B2502" s="485" t="s">
        <v>9726</v>
      </c>
      <c r="C2502" s="484" t="s">
        <v>65</v>
      </c>
      <c r="D2502" s="486">
        <v>22.89</v>
      </c>
      <c r="E2502" s="486">
        <v>22.89</v>
      </c>
    </row>
    <row r="2503" spans="1:5" ht="30">
      <c r="A2503" s="495">
        <v>91991</v>
      </c>
      <c r="B2503" s="348" t="s">
        <v>9728</v>
      </c>
      <c r="C2503" s="349" t="s">
        <v>65</v>
      </c>
      <c r="D2503" s="483">
        <v>24.56</v>
      </c>
      <c r="E2503" s="483">
        <v>24.56</v>
      </c>
    </row>
    <row r="2504" spans="1:5" ht="30">
      <c r="A2504" s="494">
        <v>91992</v>
      </c>
      <c r="B2504" s="485" t="s">
        <v>16862</v>
      </c>
      <c r="C2504" s="484" t="s">
        <v>65</v>
      </c>
      <c r="D2504" s="486">
        <v>28.61</v>
      </c>
      <c r="E2504" s="486">
        <v>28.61</v>
      </c>
    </row>
    <row r="2505" spans="1:5" ht="30">
      <c r="A2505" s="495">
        <v>91993</v>
      </c>
      <c r="B2505" s="348" t="s">
        <v>16863</v>
      </c>
      <c r="C2505" s="349" t="s">
        <v>65</v>
      </c>
      <c r="D2505" s="483">
        <v>30.28</v>
      </c>
      <c r="E2505" s="483">
        <v>30.28</v>
      </c>
    </row>
    <row r="2506" spans="1:5" ht="30">
      <c r="A2506" s="494">
        <v>91994</v>
      </c>
      <c r="B2506" s="485" t="s">
        <v>9746</v>
      </c>
      <c r="C2506" s="484" t="s">
        <v>65</v>
      </c>
      <c r="D2506" s="486">
        <v>16.48</v>
      </c>
      <c r="E2506" s="486">
        <v>16.48</v>
      </c>
    </row>
    <row r="2507" spans="1:5" ht="30">
      <c r="A2507" s="495">
        <v>91995</v>
      </c>
      <c r="B2507" s="348" t="s">
        <v>9748</v>
      </c>
      <c r="C2507" s="349" t="s">
        <v>65</v>
      </c>
      <c r="D2507" s="483">
        <v>18.149999999999999</v>
      </c>
      <c r="E2507" s="483">
        <v>18.149999999999999</v>
      </c>
    </row>
    <row r="2508" spans="1:5" ht="30">
      <c r="A2508" s="494">
        <v>91996</v>
      </c>
      <c r="B2508" s="485" t="s">
        <v>16864</v>
      </c>
      <c r="C2508" s="484" t="s">
        <v>65</v>
      </c>
      <c r="D2508" s="486">
        <v>22.2</v>
      </c>
      <c r="E2508" s="486">
        <v>22.2</v>
      </c>
    </row>
    <row r="2509" spans="1:5" ht="30">
      <c r="A2509" s="495">
        <v>91997</v>
      </c>
      <c r="B2509" s="348" t="s">
        <v>16865</v>
      </c>
      <c r="C2509" s="349" t="s">
        <v>65</v>
      </c>
      <c r="D2509" s="483">
        <v>23.87</v>
      </c>
      <c r="E2509" s="483">
        <v>23.87</v>
      </c>
    </row>
    <row r="2510" spans="1:5" ht="30">
      <c r="A2510" s="494">
        <v>91998</v>
      </c>
      <c r="B2510" s="485" t="s">
        <v>9730</v>
      </c>
      <c r="C2510" s="484" t="s">
        <v>65</v>
      </c>
      <c r="D2510" s="486">
        <v>13.99</v>
      </c>
      <c r="E2510" s="486">
        <v>13.99</v>
      </c>
    </row>
    <row r="2511" spans="1:5" ht="30">
      <c r="A2511" s="495">
        <v>91999</v>
      </c>
      <c r="B2511" s="348" t="s">
        <v>9732</v>
      </c>
      <c r="C2511" s="349" t="s">
        <v>65</v>
      </c>
      <c r="D2511" s="483">
        <v>15.66</v>
      </c>
      <c r="E2511" s="483">
        <v>15.66</v>
      </c>
    </row>
    <row r="2512" spans="1:5" ht="30">
      <c r="A2512" s="494">
        <v>92000</v>
      </c>
      <c r="B2512" s="485" t="s">
        <v>16866</v>
      </c>
      <c r="C2512" s="484" t="s">
        <v>65</v>
      </c>
      <c r="D2512" s="486">
        <v>19.71</v>
      </c>
      <c r="E2512" s="486">
        <v>19.71</v>
      </c>
    </row>
    <row r="2513" spans="1:5" ht="30">
      <c r="A2513" s="495">
        <v>92001</v>
      </c>
      <c r="B2513" s="348" t="s">
        <v>16867</v>
      </c>
      <c r="C2513" s="349" t="s">
        <v>65</v>
      </c>
      <c r="D2513" s="483">
        <v>21.38</v>
      </c>
      <c r="E2513" s="483">
        <v>21.38</v>
      </c>
    </row>
    <row r="2514" spans="1:5" ht="30">
      <c r="A2514" s="494">
        <v>92002</v>
      </c>
      <c r="B2514" s="485" t="s">
        <v>16868</v>
      </c>
      <c r="C2514" s="484" t="s">
        <v>65</v>
      </c>
      <c r="D2514" s="486">
        <v>30.88</v>
      </c>
      <c r="E2514" s="486">
        <v>30.88</v>
      </c>
    </row>
    <row r="2515" spans="1:5" ht="30">
      <c r="A2515" s="495">
        <v>92003</v>
      </c>
      <c r="B2515" s="348" t="s">
        <v>16869</v>
      </c>
      <c r="C2515" s="349" t="s">
        <v>65</v>
      </c>
      <c r="D2515" s="483">
        <v>34.22</v>
      </c>
      <c r="E2515" s="483">
        <v>34.22</v>
      </c>
    </row>
    <row r="2516" spans="1:5" ht="30">
      <c r="A2516" s="494">
        <v>92004</v>
      </c>
      <c r="B2516" s="485" t="s">
        <v>16870</v>
      </c>
      <c r="C2516" s="484" t="s">
        <v>65</v>
      </c>
      <c r="D2516" s="486">
        <v>36.6</v>
      </c>
      <c r="E2516" s="486">
        <v>36.6</v>
      </c>
    </row>
    <row r="2517" spans="1:5" ht="30">
      <c r="A2517" s="495">
        <v>92005</v>
      </c>
      <c r="B2517" s="348" t="s">
        <v>16871</v>
      </c>
      <c r="C2517" s="349" t="s">
        <v>65</v>
      </c>
      <c r="D2517" s="483">
        <v>39.94</v>
      </c>
      <c r="E2517" s="483">
        <v>39.94</v>
      </c>
    </row>
    <row r="2518" spans="1:5" ht="30">
      <c r="A2518" s="494">
        <v>92006</v>
      </c>
      <c r="B2518" s="485" t="s">
        <v>16872</v>
      </c>
      <c r="C2518" s="484" t="s">
        <v>65</v>
      </c>
      <c r="D2518" s="486">
        <v>25.91</v>
      </c>
      <c r="E2518" s="486">
        <v>25.91</v>
      </c>
    </row>
    <row r="2519" spans="1:5" ht="30">
      <c r="A2519" s="495">
        <v>92007</v>
      </c>
      <c r="B2519" s="348" t="s">
        <v>16873</v>
      </c>
      <c r="C2519" s="349" t="s">
        <v>65</v>
      </c>
      <c r="D2519" s="483">
        <v>29.25</v>
      </c>
      <c r="E2519" s="483">
        <v>29.25</v>
      </c>
    </row>
    <row r="2520" spans="1:5" ht="30">
      <c r="A2520" s="494">
        <v>92008</v>
      </c>
      <c r="B2520" s="485" t="s">
        <v>16874</v>
      </c>
      <c r="C2520" s="484" t="s">
        <v>65</v>
      </c>
      <c r="D2520" s="486">
        <v>31.63</v>
      </c>
      <c r="E2520" s="486">
        <v>31.63</v>
      </c>
    </row>
    <row r="2521" spans="1:5" ht="30">
      <c r="A2521" s="495">
        <v>92009</v>
      </c>
      <c r="B2521" s="348" t="s">
        <v>16875</v>
      </c>
      <c r="C2521" s="349" t="s">
        <v>65</v>
      </c>
      <c r="D2521" s="483">
        <v>34.97</v>
      </c>
      <c r="E2521" s="483">
        <v>34.97</v>
      </c>
    </row>
    <row r="2522" spans="1:5" ht="30">
      <c r="A2522" s="494">
        <v>92010</v>
      </c>
      <c r="B2522" s="485" t="s">
        <v>16876</v>
      </c>
      <c r="C2522" s="484" t="s">
        <v>65</v>
      </c>
      <c r="D2522" s="486">
        <v>45.29</v>
      </c>
      <c r="E2522" s="486">
        <v>45.29</v>
      </c>
    </row>
    <row r="2523" spans="1:5" ht="30">
      <c r="A2523" s="495">
        <v>92011</v>
      </c>
      <c r="B2523" s="348" t="s">
        <v>16877</v>
      </c>
      <c r="C2523" s="349" t="s">
        <v>65</v>
      </c>
      <c r="D2523" s="483">
        <v>50.3</v>
      </c>
      <c r="E2523" s="483">
        <v>50.3</v>
      </c>
    </row>
    <row r="2524" spans="1:5" ht="30">
      <c r="A2524" s="494">
        <v>92012</v>
      </c>
      <c r="B2524" s="485" t="s">
        <v>16878</v>
      </c>
      <c r="C2524" s="484" t="s">
        <v>65</v>
      </c>
      <c r="D2524" s="486">
        <v>51.01</v>
      </c>
      <c r="E2524" s="486">
        <v>51.01</v>
      </c>
    </row>
    <row r="2525" spans="1:5" ht="30">
      <c r="A2525" s="495">
        <v>92013</v>
      </c>
      <c r="B2525" s="348" t="s">
        <v>16879</v>
      </c>
      <c r="C2525" s="349" t="s">
        <v>65</v>
      </c>
      <c r="D2525" s="483">
        <v>56.02</v>
      </c>
      <c r="E2525" s="483">
        <v>56.02</v>
      </c>
    </row>
    <row r="2526" spans="1:5" ht="30">
      <c r="A2526" s="494">
        <v>92014</v>
      </c>
      <c r="B2526" s="485" t="s">
        <v>16880</v>
      </c>
      <c r="C2526" s="484" t="s">
        <v>65</v>
      </c>
      <c r="D2526" s="486">
        <v>37.82</v>
      </c>
      <c r="E2526" s="486">
        <v>37.82</v>
      </c>
    </row>
    <row r="2527" spans="1:5" ht="30">
      <c r="A2527" s="495">
        <v>92015</v>
      </c>
      <c r="B2527" s="348" t="s">
        <v>16881</v>
      </c>
      <c r="C2527" s="349" t="s">
        <v>65</v>
      </c>
      <c r="D2527" s="483">
        <v>42.83</v>
      </c>
      <c r="E2527" s="483">
        <v>42.83</v>
      </c>
    </row>
    <row r="2528" spans="1:5" ht="30">
      <c r="A2528" s="494">
        <v>92016</v>
      </c>
      <c r="B2528" s="485" t="s">
        <v>16882</v>
      </c>
      <c r="C2528" s="484" t="s">
        <v>65</v>
      </c>
      <c r="D2528" s="486">
        <v>43.54</v>
      </c>
      <c r="E2528" s="486">
        <v>43.54</v>
      </c>
    </row>
    <row r="2529" spans="1:5" ht="30">
      <c r="A2529" s="495">
        <v>92017</v>
      </c>
      <c r="B2529" s="348" t="s">
        <v>16883</v>
      </c>
      <c r="C2529" s="349" t="s">
        <v>65</v>
      </c>
      <c r="D2529" s="483">
        <v>48.55</v>
      </c>
      <c r="E2529" s="483">
        <v>48.55</v>
      </c>
    </row>
    <row r="2530" spans="1:5" ht="30">
      <c r="A2530" s="494">
        <v>92018</v>
      </c>
      <c r="B2530" s="485" t="s">
        <v>16884</v>
      </c>
      <c r="C2530" s="484" t="s">
        <v>65</v>
      </c>
      <c r="D2530" s="486">
        <v>50.08</v>
      </c>
      <c r="E2530" s="486">
        <v>50.08</v>
      </c>
    </row>
    <row r="2531" spans="1:5" ht="30">
      <c r="A2531" s="495">
        <v>92019</v>
      </c>
      <c r="B2531" s="348" t="s">
        <v>16885</v>
      </c>
      <c r="C2531" s="349" t="s">
        <v>65</v>
      </c>
      <c r="D2531" s="483">
        <v>59.25</v>
      </c>
      <c r="E2531" s="483">
        <v>59.25</v>
      </c>
    </row>
    <row r="2532" spans="1:5" ht="30">
      <c r="A2532" s="494">
        <v>92020</v>
      </c>
      <c r="B2532" s="485" t="s">
        <v>16886</v>
      </c>
      <c r="C2532" s="484" t="s">
        <v>65</v>
      </c>
      <c r="D2532" s="486">
        <v>74.09</v>
      </c>
      <c r="E2532" s="486">
        <v>74.09</v>
      </c>
    </row>
    <row r="2533" spans="1:5" ht="30">
      <c r="A2533" s="495">
        <v>92021</v>
      </c>
      <c r="B2533" s="348" t="s">
        <v>16887</v>
      </c>
      <c r="C2533" s="349" t="s">
        <v>65</v>
      </c>
      <c r="D2533" s="483">
        <v>83.26</v>
      </c>
      <c r="E2533" s="483">
        <v>83.26</v>
      </c>
    </row>
    <row r="2534" spans="1:5" ht="30">
      <c r="A2534" s="494">
        <v>92022</v>
      </c>
      <c r="B2534" s="485" t="s">
        <v>6122</v>
      </c>
      <c r="C2534" s="484" t="s">
        <v>65</v>
      </c>
      <c r="D2534" s="486">
        <v>27.33</v>
      </c>
      <c r="E2534" s="486">
        <v>27.33</v>
      </c>
    </row>
    <row r="2535" spans="1:5" ht="30">
      <c r="A2535" s="495">
        <v>92023</v>
      </c>
      <c r="B2535" s="348" t="s">
        <v>16888</v>
      </c>
      <c r="C2535" s="349" t="s">
        <v>65</v>
      </c>
      <c r="D2535" s="483">
        <v>33.049999999999997</v>
      </c>
      <c r="E2535" s="483">
        <v>33.049999999999997</v>
      </c>
    </row>
    <row r="2536" spans="1:5" ht="30">
      <c r="A2536" s="494">
        <v>92024</v>
      </c>
      <c r="B2536" s="485" t="s">
        <v>16889</v>
      </c>
      <c r="C2536" s="484" t="s">
        <v>65</v>
      </c>
      <c r="D2536" s="486">
        <v>41.77</v>
      </c>
      <c r="E2536" s="486">
        <v>41.77</v>
      </c>
    </row>
    <row r="2537" spans="1:5" ht="30">
      <c r="A2537" s="495">
        <v>92025</v>
      </c>
      <c r="B2537" s="348" t="s">
        <v>16890</v>
      </c>
      <c r="C2537" s="349" t="s">
        <v>65</v>
      </c>
      <c r="D2537" s="483">
        <v>47.49</v>
      </c>
      <c r="E2537" s="483">
        <v>47.49</v>
      </c>
    </row>
    <row r="2538" spans="1:5" ht="30">
      <c r="A2538" s="494">
        <v>92026</v>
      </c>
      <c r="B2538" s="485" t="s">
        <v>16891</v>
      </c>
      <c r="C2538" s="484" t="s">
        <v>65</v>
      </c>
      <c r="D2538" s="486">
        <v>38.21</v>
      </c>
      <c r="E2538" s="486">
        <v>38.21</v>
      </c>
    </row>
    <row r="2539" spans="1:5" ht="30">
      <c r="A2539" s="495">
        <v>92027</v>
      </c>
      <c r="B2539" s="348" t="s">
        <v>16892</v>
      </c>
      <c r="C2539" s="349" t="s">
        <v>65</v>
      </c>
      <c r="D2539" s="483">
        <v>43.93</v>
      </c>
      <c r="E2539" s="483">
        <v>43.93</v>
      </c>
    </row>
    <row r="2540" spans="1:5" ht="30">
      <c r="A2540" s="494">
        <v>92028</v>
      </c>
      <c r="B2540" s="485" t="s">
        <v>16893</v>
      </c>
      <c r="C2540" s="484" t="s">
        <v>65</v>
      </c>
      <c r="D2540" s="486">
        <v>31.75</v>
      </c>
      <c r="E2540" s="486">
        <v>31.75</v>
      </c>
    </row>
    <row r="2541" spans="1:5" ht="30">
      <c r="A2541" s="495">
        <v>92029</v>
      </c>
      <c r="B2541" s="348" t="s">
        <v>16894</v>
      </c>
      <c r="C2541" s="349" t="s">
        <v>65</v>
      </c>
      <c r="D2541" s="483">
        <v>37.47</v>
      </c>
      <c r="E2541" s="483">
        <v>37.47</v>
      </c>
    </row>
    <row r="2542" spans="1:5" ht="30">
      <c r="A2542" s="494">
        <v>92030</v>
      </c>
      <c r="B2542" s="485" t="s">
        <v>16895</v>
      </c>
      <c r="C2542" s="484" t="s">
        <v>65</v>
      </c>
      <c r="D2542" s="486">
        <v>46.16</v>
      </c>
      <c r="E2542" s="486">
        <v>46.16</v>
      </c>
    </row>
    <row r="2543" spans="1:5" ht="30">
      <c r="A2543" s="495">
        <v>92031</v>
      </c>
      <c r="B2543" s="348" t="s">
        <v>16896</v>
      </c>
      <c r="C2543" s="349" t="s">
        <v>65</v>
      </c>
      <c r="D2543" s="483">
        <v>51.88</v>
      </c>
      <c r="E2543" s="483">
        <v>51.88</v>
      </c>
    </row>
    <row r="2544" spans="1:5" ht="30">
      <c r="A2544" s="494">
        <v>92032</v>
      </c>
      <c r="B2544" s="485" t="s">
        <v>16897</v>
      </c>
      <c r="C2544" s="484" t="s">
        <v>65</v>
      </c>
      <c r="D2544" s="486">
        <v>47.03</v>
      </c>
      <c r="E2544" s="486">
        <v>47.03</v>
      </c>
    </row>
    <row r="2545" spans="1:5" ht="30">
      <c r="A2545" s="495">
        <v>92033</v>
      </c>
      <c r="B2545" s="348" t="s">
        <v>16898</v>
      </c>
      <c r="C2545" s="349" t="s">
        <v>65</v>
      </c>
      <c r="D2545" s="483">
        <v>52.75</v>
      </c>
      <c r="E2545" s="483">
        <v>52.75</v>
      </c>
    </row>
    <row r="2546" spans="1:5" ht="30">
      <c r="A2546" s="494">
        <v>92034</v>
      </c>
      <c r="B2546" s="485" t="s">
        <v>16899</v>
      </c>
      <c r="C2546" s="484" t="s">
        <v>65</v>
      </c>
      <c r="D2546" s="486">
        <v>42.64</v>
      </c>
      <c r="E2546" s="486">
        <v>42.64</v>
      </c>
    </row>
    <row r="2547" spans="1:5" ht="45">
      <c r="A2547" s="495">
        <v>92035</v>
      </c>
      <c r="B2547" s="348" t="s">
        <v>16900</v>
      </c>
      <c r="C2547" s="349" t="s">
        <v>65</v>
      </c>
      <c r="D2547" s="483">
        <v>48.36</v>
      </c>
      <c r="E2547" s="483">
        <v>48.36</v>
      </c>
    </row>
    <row r="2548" spans="1:5">
      <c r="A2548" s="494">
        <v>72278</v>
      </c>
      <c r="B2548" s="485" t="s">
        <v>6680</v>
      </c>
      <c r="C2548" s="484" t="s">
        <v>65</v>
      </c>
      <c r="D2548" s="486">
        <v>75.67</v>
      </c>
      <c r="E2548" s="486">
        <v>75.67</v>
      </c>
    </row>
    <row r="2549" spans="1:5">
      <c r="A2549" s="495">
        <v>72280</v>
      </c>
      <c r="B2549" s="348" t="s">
        <v>597</v>
      </c>
      <c r="C2549" s="349" t="s">
        <v>65</v>
      </c>
      <c r="D2549" s="483">
        <v>35.049999999999997</v>
      </c>
      <c r="E2549" s="483">
        <v>35.049999999999997</v>
      </c>
    </row>
    <row r="2550" spans="1:5" ht="30">
      <c r="A2550" s="484" t="s">
        <v>16901</v>
      </c>
      <c r="B2550" s="485" t="s">
        <v>16902</v>
      </c>
      <c r="C2550" s="484" t="s">
        <v>65</v>
      </c>
      <c r="D2550" s="486">
        <v>49.46</v>
      </c>
      <c r="E2550" s="486">
        <v>49.46</v>
      </c>
    </row>
    <row r="2551" spans="1:5" ht="30">
      <c r="A2551" s="349" t="s">
        <v>16903</v>
      </c>
      <c r="B2551" s="348" t="s">
        <v>16904</v>
      </c>
      <c r="C2551" s="349" t="s">
        <v>65</v>
      </c>
      <c r="D2551" s="483">
        <v>64.680000000000007</v>
      </c>
      <c r="E2551" s="483">
        <v>64.680000000000007</v>
      </c>
    </row>
    <row r="2552" spans="1:5" ht="30">
      <c r="A2552" s="484" t="s">
        <v>16905</v>
      </c>
      <c r="B2552" s="485" t="s">
        <v>16906</v>
      </c>
      <c r="C2552" s="484" t="s">
        <v>65</v>
      </c>
      <c r="D2552" s="486">
        <v>113.3</v>
      </c>
      <c r="E2552" s="486">
        <v>113.3</v>
      </c>
    </row>
    <row r="2553" spans="1:5" ht="30">
      <c r="A2553" s="349" t="s">
        <v>16907</v>
      </c>
      <c r="B2553" s="348" t="s">
        <v>16908</v>
      </c>
      <c r="C2553" s="349" t="s">
        <v>65</v>
      </c>
      <c r="D2553" s="483">
        <v>67.099999999999994</v>
      </c>
      <c r="E2553" s="483">
        <v>67.099999999999994</v>
      </c>
    </row>
    <row r="2554" spans="1:5" ht="30">
      <c r="A2554" s="484" t="s">
        <v>16909</v>
      </c>
      <c r="B2554" s="485" t="s">
        <v>16910</v>
      </c>
      <c r="C2554" s="484" t="s">
        <v>65</v>
      </c>
      <c r="D2554" s="486">
        <v>85</v>
      </c>
      <c r="E2554" s="486">
        <v>85</v>
      </c>
    </row>
    <row r="2555" spans="1:5" ht="30">
      <c r="A2555" s="349" t="s">
        <v>16911</v>
      </c>
      <c r="B2555" s="348" t="s">
        <v>16912</v>
      </c>
      <c r="C2555" s="349" t="s">
        <v>65</v>
      </c>
      <c r="D2555" s="483">
        <v>149.08000000000001</v>
      </c>
      <c r="E2555" s="483">
        <v>149.08000000000001</v>
      </c>
    </row>
    <row r="2556" spans="1:5" ht="30">
      <c r="A2556" s="484" t="s">
        <v>16913</v>
      </c>
      <c r="B2556" s="485" t="s">
        <v>16914</v>
      </c>
      <c r="C2556" s="484" t="s">
        <v>65</v>
      </c>
      <c r="D2556" s="486">
        <v>43.03</v>
      </c>
      <c r="E2556" s="486">
        <v>43.03</v>
      </c>
    </row>
    <row r="2557" spans="1:5">
      <c r="A2557" s="349" t="s">
        <v>16915</v>
      </c>
      <c r="B2557" s="348" t="s">
        <v>6780</v>
      </c>
      <c r="C2557" s="349" t="s">
        <v>65</v>
      </c>
      <c r="D2557" s="483">
        <v>57.39</v>
      </c>
      <c r="E2557" s="483">
        <v>57.39</v>
      </c>
    </row>
    <row r="2558" spans="1:5">
      <c r="A2558" s="484" t="s">
        <v>16916</v>
      </c>
      <c r="B2558" s="485" t="s">
        <v>6781</v>
      </c>
      <c r="C2558" s="484" t="s">
        <v>65</v>
      </c>
      <c r="D2558" s="486">
        <v>57.39</v>
      </c>
      <c r="E2558" s="486">
        <v>57.39</v>
      </c>
    </row>
    <row r="2559" spans="1:5" ht="30">
      <c r="A2559" s="349" t="s">
        <v>16917</v>
      </c>
      <c r="B2559" s="348" t="s">
        <v>16918</v>
      </c>
      <c r="C2559" s="349" t="s">
        <v>65</v>
      </c>
      <c r="D2559" s="483">
        <v>203.74</v>
      </c>
      <c r="E2559" s="483">
        <v>203.74</v>
      </c>
    </row>
    <row r="2560" spans="1:5">
      <c r="A2560" s="484" t="s">
        <v>16919</v>
      </c>
      <c r="B2560" s="485" t="s">
        <v>6793</v>
      </c>
      <c r="C2560" s="484" t="s">
        <v>65</v>
      </c>
      <c r="D2560" s="486">
        <v>58.76</v>
      </c>
      <c r="E2560" s="486">
        <v>58.76</v>
      </c>
    </row>
    <row r="2561" spans="1:5" ht="30">
      <c r="A2561" s="495">
        <v>83391</v>
      </c>
      <c r="B2561" s="348" t="s">
        <v>16920</v>
      </c>
      <c r="C2561" s="349" t="s">
        <v>65</v>
      </c>
      <c r="D2561" s="483">
        <v>23.57</v>
      </c>
      <c r="E2561" s="483">
        <v>23.57</v>
      </c>
    </row>
    <row r="2562" spans="1:5" ht="30">
      <c r="A2562" s="494">
        <v>83392</v>
      </c>
      <c r="B2562" s="485" t="s">
        <v>16921</v>
      </c>
      <c r="C2562" s="484" t="s">
        <v>65</v>
      </c>
      <c r="D2562" s="486">
        <v>17.34</v>
      </c>
      <c r="E2562" s="486">
        <v>17.34</v>
      </c>
    </row>
    <row r="2563" spans="1:5" ht="30">
      <c r="A2563" s="495">
        <v>83393</v>
      </c>
      <c r="B2563" s="348" t="s">
        <v>16922</v>
      </c>
      <c r="C2563" s="349" t="s">
        <v>65</v>
      </c>
      <c r="D2563" s="483">
        <v>22.37</v>
      </c>
      <c r="E2563" s="483">
        <v>22.37</v>
      </c>
    </row>
    <row r="2564" spans="1:5">
      <c r="A2564" s="494">
        <v>83468</v>
      </c>
      <c r="B2564" s="485" t="s">
        <v>6647</v>
      </c>
      <c r="C2564" s="484" t="s">
        <v>65</v>
      </c>
      <c r="D2564" s="486">
        <v>6.68</v>
      </c>
      <c r="E2564" s="486">
        <v>6.68</v>
      </c>
    </row>
    <row r="2565" spans="1:5">
      <c r="A2565" s="495">
        <v>83469</v>
      </c>
      <c r="B2565" s="348" t="s">
        <v>6648</v>
      </c>
      <c r="C2565" s="349" t="s">
        <v>65</v>
      </c>
      <c r="D2565" s="483">
        <v>6.68</v>
      </c>
      <c r="E2565" s="483">
        <v>6.68</v>
      </c>
    </row>
    <row r="2566" spans="1:5">
      <c r="A2566" s="494">
        <v>83470</v>
      </c>
      <c r="B2566" s="485" t="s">
        <v>6659</v>
      </c>
      <c r="C2566" s="484" t="s">
        <v>65</v>
      </c>
      <c r="D2566" s="486">
        <v>72.53</v>
      </c>
      <c r="E2566" s="486">
        <v>72.53</v>
      </c>
    </row>
    <row r="2567" spans="1:5">
      <c r="A2567" s="495">
        <v>93040</v>
      </c>
      <c r="B2567" s="348" t="s">
        <v>16923</v>
      </c>
      <c r="C2567" s="349" t="s">
        <v>65</v>
      </c>
      <c r="D2567" s="483">
        <v>11.64</v>
      </c>
      <c r="E2567" s="483">
        <v>11.64</v>
      </c>
    </row>
    <row r="2568" spans="1:5">
      <c r="A2568" s="494">
        <v>93041</v>
      </c>
      <c r="B2568" s="485" t="s">
        <v>16924</v>
      </c>
      <c r="C2568" s="484" t="s">
        <v>65</v>
      </c>
      <c r="D2568" s="486">
        <v>72.150000000000006</v>
      </c>
      <c r="E2568" s="486">
        <v>72.150000000000006</v>
      </c>
    </row>
    <row r="2569" spans="1:5" ht="30">
      <c r="A2569" s="495">
        <v>93042</v>
      </c>
      <c r="B2569" s="348" t="s">
        <v>16925</v>
      </c>
      <c r="C2569" s="349" t="s">
        <v>65</v>
      </c>
      <c r="D2569" s="483">
        <v>23.46</v>
      </c>
      <c r="E2569" s="483">
        <v>23.46</v>
      </c>
    </row>
    <row r="2570" spans="1:5" ht="30">
      <c r="A2570" s="494">
        <v>93043</v>
      </c>
      <c r="B2570" s="485" t="s">
        <v>16926</v>
      </c>
      <c r="C2570" s="484" t="s">
        <v>65</v>
      </c>
      <c r="D2570" s="486">
        <v>31.19</v>
      </c>
      <c r="E2570" s="486">
        <v>31.19</v>
      </c>
    </row>
    <row r="2571" spans="1:5" ht="30">
      <c r="A2571" s="495">
        <v>93044</v>
      </c>
      <c r="B2571" s="348" t="s">
        <v>6652</v>
      </c>
      <c r="C2571" s="349" t="s">
        <v>65</v>
      </c>
      <c r="D2571" s="483">
        <v>13.07</v>
      </c>
      <c r="E2571" s="483">
        <v>13.07</v>
      </c>
    </row>
    <row r="2572" spans="1:5">
      <c r="A2572" s="494">
        <v>93045</v>
      </c>
      <c r="B2572" s="485" t="s">
        <v>16927</v>
      </c>
      <c r="C2572" s="484" t="s">
        <v>65</v>
      </c>
      <c r="D2572" s="486">
        <v>40.549999999999997</v>
      </c>
      <c r="E2572" s="486">
        <v>40.549999999999997</v>
      </c>
    </row>
    <row r="2573" spans="1:5" ht="30">
      <c r="A2573" s="495">
        <v>9540</v>
      </c>
      <c r="B2573" s="348" t="s">
        <v>16928</v>
      </c>
      <c r="C2573" s="349" t="s">
        <v>65</v>
      </c>
      <c r="D2573" s="483">
        <v>831.49</v>
      </c>
      <c r="E2573" s="483">
        <v>831.49</v>
      </c>
    </row>
    <row r="2574" spans="1:5">
      <c r="A2574" s="494">
        <v>41598</v>
      </c>
      <c r="B2574" s="485" t="s">
        <v>16929</v>
      </c>
      <c r="C2574" s="484" t="s">
        <v>65</v>
      </c>
      <c r="D2574" s="486">
        <v>1329.8</v>
      </c>
      <c r="E2574" s="486">
        <v>1329.8</v>
      </c>
    </row>
    <row r="2575" spans="1:5" ht="30">
      <c r="A2575" s="495">
        <v>72941</v>
      </c>
      <c r="B2575" s="348" t="s">
        <v>16930</v>
      </c>
      <c r="C2575" s="349" t="s">
        <v>65</v>
      </c>
      <c r="D2575" s="483">
        <v>147.93</v>
      </c>
      <c r="E2575" s="483">
        <v>147.93</v>
      </c>
    </row>
    <row r="2576" spans="1:5">
      <c r="A2576" s="494">
        <v>73624</v>
      </c>
      <c r="B2576" s="485" t="s">
        <v>609</v>
      </c>
      <c r="C2576" s="484" t="s">
        <v>65</v>
      </c>
      <c r="D2576" s="486">
        <v>70.83</v>
      </c>
      <c r="E2576" s="486">
        <v>70.83</v>
      </c>
    </row>
    <row r="2577" spans="1:5" ht="30">
      <c r="A2577" s="349" t="s">
        <v>16931</v>
      </c>
      <c r="B2577" s="348" t="s">
        <v>5809</v>
      </c>
      <c r="C2577" s="349" t="s">
        <v>65</v>
      </c>
      <c r="D2577" s="483">
        <v>8.1</v>
      </c>
      <c r="E2577" s="483">
        <v>8.1</v>
      </c>
    </row>
    <row r="2578" spans="1:5" ht="30">
      <c r="A2578" s="484" t="s">
        <v>16932</v>
      </c>
      <c r="B2578" s="485" t="s">
        <v>1662</v>
      </c>
      <c r="C2578" s="484" t="s">
        <v>65</v>
      </c>
      <c r="D2578" s="486">
        <v>8.4600000000000009</v>
      </c>
      <c r="E2578" s="486">
        <v>8.4600000000000009</v>
      </c>
    </row>
    <row r="2579" spans="1:5" ht="30">
      <c r="A2579" s="349" t="s">
        <v>16933</v>
      </c>
      <c r="B2579" s="348" t="s">
        <v>16934</v>
      </c>
      <c r="C2579" s="349" t="s">
        <v>65</v>
      </c>
      <c r="D2579" s="483">
        <v>6.15</v>
      </c>
      <c r="E2579" s="483">
        <v>6.15</v>
      </c>
    </row>
    <row r="2580" spans="1:5" ht="30">
      <c r="A2580" s="484" t="s">
        <v>16935</v>
      </c>
      <c r="B2580" s="485" t="s">
        <v>16936</v>
      </c>
      <c r="C2580" s="484" t="s">
        <v>65</v>
      </c>
      <c r="D2580" s="486">
        <v>4.05</v>
      </c>
      <c r="E2580" s="486">
        <v>4.05</v>
      </c>
    </row>
    <row r="2581" spans="1:5" ht="30">
      <c r="A2581" s="349" t="s">
        <v>16937</v>
      </c>
      <c r="B2581" s="348" t="s">
        <v>16938</v>
      </c>
      <c r="C2581" s="349" t="s">
        <v>65</v>
      </c>
      <c r="D2581" s="483">
        <v>3.72</v>
      </c>
      <c r="E2581" s="483">
        <v>3.72</v>
      </c>
    </row>
    <row r="2582" spans="1:5" ht="30">
      <c r="A2582" s="484" t="s">
        <v>16939</v>
      </c>
      <c r="B2582" s="485" t="s">
        <v>16940</v>
      </c>
      <c r="C2582" s="484" t="s">
        <v>65</v>
      </c>
      <c r="D2582" s="486">
        <v>280.83</v>
      </c>
      <c r="E2582" s="486">
        <v>280.83</v>
      </c>
    </row>
    <row r="2583" spans="1:5">
      <c r="A2583" s="349" t="s">
        <v>16941</v>
      </c>
      <c r="B2583" s="348" t="s">
        <v>16942</v>
      </c>
      <c r="C2583" s="349" t="s">
        <v>65</v>
      </c>
      <c r="D2583" s="483">
        <v>28.84</v>
      </c>
      <c r="E2583" s="483">
        <v>28.84</v>
      </c>
    </row>
    <row r="2584" spans="1:5" ht="30">
      <c r="A2584" s="484" t="s">
        <v>16943</v>
      </c>
      <c r="B2584" s="485" t="s">
        <v>16944</v>
      </c>
      <c r="C2584" s="484" t="s">
        <v>65</v>
      </c>
      <c r="D2584" s="486">
        <v>89.29</v>
      </c>
      <c r="E2584" s="486">
        <v>89.29</v>
      </c>
    </row>
    <row r="2585" spans="1:5">
      <c r="A2585" s="495">
        <v>88543</v>
      </c>
      <c r="B2585" s="348" t="s">
        <v>16945</v>
      </c>
      <c r="C2585" s="349" t="s">
        <v>65</v>
      </c>
      <c r="D2585" s="483">
        <v>115.04</v>
      </c>
      <c r="E2585" s="483">
        <v>115.04</v>
      </c>
    </row>
    <row r="2586" spans="1:5" ht="30">
      <c r="A2586" s="494">
        <v>88544</v>
      </c>
      <c r="B2586" s="485" t="s">
        <v>16946</v>
      </c>
      <c r="C2586" s="484" t="s">
        <v>65</v>
      </c>
      <c r="D2586" s="486">
        <v>73.77</v>
      </c>
      <c r="E2586" s="486">
        <v>73.77</v>
      </c>
    </row>
    <row r="2587" spans="1:5" ht="30">
      <c r="A2587" s="495">
        <v>88545</v>
      </c>
      <c r="B2587" s="348" t="s">
        <v>16947</v>
      </c>
      <c r="C2587" s="349" t="s">
        <v>65</v>
      </c>
      <c r="D2587" s="483">
        <v>133.74</v>
      </c>
      <c r="E2587" s="483">
        <v>133.74</v>
      </c>
    </row>
    <row r="2588" spans="1:5" ht="30">
      <c r="A2588" s="484" t="s">
        <v>16948</v>
      </c>
      <c r="B2588" s="485" t="s">
        <v>8332</v>
      </c>
      <c r="C2588" s="484" t="s">
        <v>65</v>
      </c>
      <c r="D2588" s="486">
        <v>481.64</v>
      </c>
      <c r="E2588" s="486">
        <v>481.64</v>
      </c>
    </row>
    <row r="2589" spans="1:5" ht="30">
      <c r="A2589" s="349" t="s">
        <v>16949</v>
      </c>
      <c r="B2589" s="348" t="s">
        <v>8333</v>
      </c>
      <c r="C2589" s="349" t="s">
        <v>65</v>
      </c>
      <c r="D2589" s="483">
        <v>429.91</v>
      </c>
      <c r="E2589" s="483">
        <v>429.91</v>
      </c>
    </row>
    <row r="2590" spans="1:5" ht="30">
      <c r="A2590" s="484" t="s">
        <v>16950</v>
      </c>
      <c r="B2590" s="485" t="s">
        <v>8335</v>
      </c>
      <c r="C2590" s="484" t="s">
        <v>65</v>
      </c>
      <c r="D2590" s="486">
        <v>476.01</v>
      </c>
      <c r="E2590" s="486">
        <v>476.01</v>
      </c>
    </row>
    <row r="2591" spans="1:5" ht="30">
      <c r="A2591" s="349" t="s">
        <v>16951</v>
      </c>
      <c r="B2591" s="348" t="s">
        <v>8336</v>
      </c>
      <c r="C2591" s="349" t="s">
        <v>65</v>
      </c>
      <c r="D2591" s="483">
        <v>547.77</v>
      </c>
      <c r="E2591" s="483">
        <v>547.77</v>
      </c>
    </row>
    <row r="2592" spans="1:5" ht="30">
      <c r="A2592" s="484" t="s">
        <v>16952</v>
      </c>
      <c r="B2592" s="485" t="s">
        <v>16953</v>
      </c>
      <c r="C2592" s="484" t="s">
        <v>65</v>
      </c>
      <c r="D2592" s="486">
        <v>943.48</v>
      </c>
      <c r="E2592" s="486">
        <v>943.48</v>
      </c>
    </row>
    <row r="2593" spans="1:5" ht="30">
      <c r="A2593" s="349" t="s">
        <v>16954</v>
      </c>
      <c r="B2593" s="348" t="s">
        <v>16955</v>
      </c>
      <c r="C2593" s="349" t="s">
        <v>65</v>
      </c>
      <c r="D2593" s="483">
        <v>945.33</v>
      </c>
      <c r="E2593" s="483">
        <v>945.33</v>
      </c>
    </row>
    <row r="2594" spans="1:5" ht="30">
      <c r="A2594" s="484" t="s">
        <v>16956</v>
      </c>
      <c r="B2594" s="485" t="s">
        <v>16957</v>
      </c>
      <c r="C2594" s="484" t="s">
        <v>65</v>
      </c>
      <c r="D2594" s="486">
        <v>1111.1600000000001</v>
      </c>
      <c r="E2594" s="486">
        <v>1111.1600000000001</v>
      </c>
    </row>
    <row r="2595" spans="1:5" ht="30">
      <c r="A2595" s="349" t="s">
        <v>16958</v>
      </c>
      <c r="B2595" s="348" t="s">
        <v>16959</v>
      </c>
      <c r="C2595" s="349" t="s">
        <v>65</v>
      </c>
      <c r="D2595" s="483">
        <v>1668.64</v>
      </c>
      <c r="E2595" s="483">
        <v>1668.64</v>
      </c>
    </row>
    <row r="2596" spans="1:5" ht="30">
      <c r="A2596" s="484" t="s">
        <v>16960</v>
      </c>
      <c r="B2596" s="485" t="s">
        <v>16961</v>
      </c>
      <c r="C2596" s="484" t="s">
        <v>65</v>
      </c>
      <c r="D2596" s="486">
        <v>626.14</v>
      </c>
      <c r="E2596" s="486">
        <v>626.14</v>
      </c>
    </row>
    <row r="2597" spans="1:5" ht="30">
      <c r="A2597" s="349" t="s">
        <v>16962</v>
      </c>
      <c r="B2597" s="348" t="s">
        <v>16963</v>
      </c>
      <c r="C2597" s="349" t="s">
        <v>65</v>
      </c>
      <c r="D2597" s="483">
        <v>712.06</v>
      </c>
      <c r="E2597" s="483">
        <v>712.06</v>
      </c>
    </row>
    <row r="2598" spans="1:5" ht="30">
      <c r="A2598" s="484" t="s">
        <v>16964</v>
      </c>
      <c r="B2598" s="485" t="s">
        <v>16965</v>
      </c>
      <c r="C2598" s="484" t="s">
        <v>65</v>
      </c>
      <c r="D2598" s="486">
        <v>760.99</v>
      </c>
      <c r="E2598" s="486">
        <v>760.99</v>
      </c>
    </row>
    <row r="2599" spans="1:5" ht="30">
      <c r="A2599" s="349" t="s">
        <v>16966</v>
      </c>
      <c r="B2599" s="348" t="s">
        <v>16967</v>
      </c>
      <c r="C2599" s="349" t="s">
        <v>65</v>
      </c>
      <c r="D2599" s="483">
        <v>892.98</v>
      </c>
      <c r="E2599" s="483">
        <v>892.98</v>
      </c>
    </row>
    <row r="2600" spans="1:5" ht="30">
      <c r="A2600" s="484" t="s">
        <v>16968</v>
      </c>
      <c r="B2600" s="485" t="s">
        <v>16969</v>
      </c>
      <c r="C2600" s="484" t="s">
        <v>65</v>
      </c>
      <c r="D2600" s="486">
        <v>1172.5</v>
      </c>
      <c r="E2600" s="486">
        <v>1172.5</v>
      </c>
    </row>
    <row r="2601" spans="1:5" ht="30">
      <c r="A2601" s="495">
        <v>83394</v>
      </c>
      <c r="B2601" s="348" t="s">
        <v>16970</v>
      </c>
      <c r="C2601" s="349" t="s">
        <v>65</v>
      </c>
      <c r="D2601" s="483">
        <v>801.15</v>
      </c>
      <c r="E2601" s="483">
        <v>801.15</v>
      </c>
    </row>
    <row r="2602" spans="1:5" ht="30">
      <c r="A2602" s="494">
        <v>83396</v>
      </c>
      <c r="B2602" s="485" t="s">
        <v>16971</v>
      </c>
      <c r="C2602" s="484" t="s">
        <v>65</v>
      </c>
      <c r="D2602" s="486">
        <v>719.7</v>
      </c>
      <c r="E2602" s="486">
        <v>719.7</v>
      </c>
    </row>
    <row r="2603" spans="1:5" ht="30">
      <c r="A2603" s="495">
        <v>83397</v>
      </c>
      <c r="B2603" s="348" t="s">
        <v>16972</v>
      </c>
      <c r="C2603" s="349" t="s">
        <v>65</v>
      </c>
      <c r="D2603" s="483">
        <v>936.71</v>
      </c>
      <c r="E2603" s="483">
        <v>936.71</v>
      </c>
    </row>
    <row r="2604" spans="1:5" ht="30">
      <c r="A2604" s="494">
        <v>83398</v>
      </c>
      <c r="B2604" s="485" t="s">
        <v>16973</v>
      </c>
      <c r="C2604" s="484" t="s">
        <v>65</v>
      </c>
      <c r="D2604" s="486">
        <v>832.88</v>
      </c>
      <c r="E2604" s="486">
        <v>832.88</v>
      </c>
    </row>
    <row r="2605" spans="1:5" ht="30">
      <c r="A2605" s="349" t="s">
        <v>16974</v>
      </c>
      <c r="B2605" s="348" t="s">
        <v>16975</v>
      </c>
      <c r="C2605" s="349" t="s">
        <v>65</v>
      </c>
      <c r="D2605" s="483">
        <v>1273.18</v>
      </c>
      <c r="E2605" s="483">
        <v>1273.18</v>
      </c>
    </row>
    <row r="2606" spans="1:5" ht="30">
      <c r="A2606" s="484" t="s">
        <v>16976</v>
      </c>
      <c r="B2606" s="485" t="s">
        <v>16977</v>
      </c>
      <c r="C2606" s="484" t="s">
        <v>65</v>
      </c>
      <c r="D2606" s="486">
        <v>1274.8399999999999</v>
      </c>
      <c r="E2606" s="486">
        <v>1274.8399999999999</v>
      </c>
    </row>
    <row r="2607" spans="1:5" ht="30">
      <c r="A2607" s="349" t="s">
        <v>16978</v>
      </c>
      <c r="B2607" s="348" t="s">
        <v>16979</v>
      </c>
      <c r="C2607" s="349" t="s">
        <v>65</v>
      </c>
      <c r="D2607" s="483">
        <v>1314.27</v>
      </c>
      <c r="E2607" s="483">
        <v>1314.27</v>
      </c>
    </row>
    <row r="2608" spans="1:5">
      <c r="A2608" s="484" t="s">
        <v>16980</v>
      </c>
      <c r="B2608" s="485" t="s">
        <v>16981</v>
      </c>
      <c r="C2608" s="484" t="s">
        <v>65</v>
      </c>
      <c r="D2608" s="486">
        <v>1326.56</v>
      </c>
      <c r="E2608" s="486">
        <v>1326.56</v>
      </c>
    </row>
    <row r="2609" spans="1:5" ht="30">
      <c r="A2609" s="349" t="s">
        <v>16982</v>
      </c>
      <c r="B2609" s="348" t="s">
        <v>3596</v>
      </c>
      <c r="C2609" s="349" t="s">
        <v>65</v>
      </c>
      <c r="D2609" s="483">
        <v>601.12</v>
      </c>
      <c r="E2609" s="483">
        <v>601.12</v>
      </c>
    </row>
    <row r="2610" spans="1:5">
      <c r="A2610" s="494">
        <v>72281</v>
      </c>
      <c r="B2610" s="485" t="s">
        <v>8577</v>
      </c>
      <c r="C2610" s="484" t="s">
        <v>65</v>
      </c>
      <c r="D2610" s="486">
        <v>86.86</v>
      </c>
      <c r="E2610" s="486">
        <v>86.86</v>
      </c>
    </row>
    <row r="2611" spans="1:5">
      <c r="A2611" s="495">
        <v>72282</v>
      </c>
      <c r="B2611" s="348" t="s">
        <v>16983</v>
      </c>
      <c r="C2611" s="349" t="s">
        <v>65</v>
      </c>
      <c r="D2611" s="483">
        <v>115.08</v>
      </c>
      <c r="E2611" s="483">
        <v>115.08</v>
      </c>
    </row>
    <row r="2612" spans="1:5">
      <c r="A2612" s="484" t="s">
        <v>16984</v>
      </c>
      <c r="B2612" s="485" t="s">
        <v>6641</v>
      </c>
      <c r="C2612" s="484" t="s">
        <v>65</v>
      </c>
      <c r="D2612" s="486">
        <v>19.149999999999999</v>
      </c>
      <c r="E2612" s="486">
        <v>19.149999999999999</v>
      </c>
    </row>
    <row r="2613" spans="1:5">
      <c r="A2613" s="349" t="s">
        <v>16985</v>
      </c>
      <c r="B2613" s="348" t="s">
        <v>6642</v>
      </c>
      <c r="C2613" s="349" t="s">
        <v>65</v>
      </c>
      <c r="D2613" s="483">
        <v>32.86</v>
      </c>
      <c r="E2613" s="483">
        <v>32.86</v>
      </c>
    </row>
    <row r="2614" spans="1:5">
      <c r="A2614" s="484" t="s">
        <v>16986</v>
      </c>
      <c r="B2614" s="485" t="s">
        <v>6643</v>
      </c>
      <c r="C2614" s="484" t="s">
        <v>65</v>
      </c>
      <c r="D2614" s="486">
        <v>43.46</v>
      </c>
      <c r="E2614" s="486">
        <v>43.46</v>
      </c>
    </row>
    <row r="2615" spans="1:5">
      <c r="A2615" s="349" t="s">
        <v>16987</v>
      </c>
      <c r="B2615" s="348" t="s">
        <v>6671</v>
      </c>
      <c r="C2615" s="349" t="s">
        <v>65</v>
      </c>
      <c r="D2615" s="483">
        <v>21.13</v>
      </c>
      <c r="E2615" s="483">
        <v>21.13</v>
      </c>
    </row>
    <row r="2616" spans="1:5">
      <c r="A2616" s="484" t="s">
        <v>16988</v>
      </c>
      <c r="B2616" s="485" t="s">
        <v>6672</v>
      </c>
      <c r="C2616" s="484" t="s">
        <v>65</v>
      </c>
      <c r="D2616" s="486">
        <v>27.43</v>
      </c>
      <c r="E2616" s="486">
        <v>27.43</v>
      </c>
    </row>
    <row r="2617" spans="1:5">
      <c r="A2617" s="349" t="s">
        <v>16989</v>
      </c>
      <c r="B2617" s="348" t="s">
        <v>6673</v>
      </c>
      <c r="C2617" s="349" t="s">
        <v>65</v>
      </c>
      <c r="D2617" s="483">
        <v>48.79</v>
      </c>
      <c r="E2617" s="483">
        <v>48.79</v>
      </c>
    </row>
    <row r="2618" spans="1:5">
      <c r="A2618" s="484" t="s">
        <v>16990</v>
      </c>
      <c r="B2618" s="485" t="s">
        <v>6644</v>
      </c>
      <c r="C2618" s="484" t="s">
        <v>65</v>
      </c>
      <c r="D2618" s="486">
        <v>39.119999999999997</v>
      </c>
      <c r="E2618" s="486">
        <v>39.119999999999997</v>
      </c>
    </row>
    <row r="2619" spans="1:5">
      <c r="A2619" s="349" t="s">
        <v>16991</v>
      </c>
      <c r="B2619" s="348" t="s">
        <v>6645</v>
      </c>
      <c r="C2619" s="349" t="s">
        <v>65</v>
      </c>
      <c r="D2619" s="483">
        <v>44.64</v>
      </c>
      <c r="E2619" s="483">
        <v>44.64</v>
      </c>
    </row>
    <row r="2620" spans="1:5">
      <c r="A2620" s="484" t="s">
        <v>16992</v>
      </c>
      <c r="B2620" s="485" t="s">
        <v>6646</v>
      </c>
      <c r="C2620" s="484" t="s">
        <v>65</v>
      </c>
      <c r="D2620" s="486">
        <v>51.42</v>
      </c>
      <c r="E2620" s="486">
        <v>51.42</v>
      </c>
    </row>
    <row r="2621" spans="1:5" ht="45">
      <c r="A2621" s="349" t="s">
        <v>16993</v>
      </c>
      <c r="B2621" s="348" t="s">
        <v>16994</v>
      </c>
      <c r="C2621" s="349" t="s">
        <v>65</v>
      </c>
      <c r="D2621" s="483">
        <v>111.71</v>
      </c>
      <c r="E2621" s="483">
        <v>111.71</v>
      </c>
    </row>
    <row r="2622" spans="1:5">
      <c r="A2622" s="484" t="s">
        <v>16995</v>
      </c>
      <c r="B2622" s="485" t="s">
        <v>8635</v>
      </c>
      <c r="C2622" s="484" t="s">
        <v>65</v>
      </c>
      <c r="D2622" s="486">
        <v>234.99</v>
      </c>
      <c r="E2622" s="486">
        <v>234.99</v>
      </c>
    </row>
    <row r="2623" spans="1:5" ht="30">
      <c r="A2623" s="495">
        <v>83399</v>
      </c>
      <c r="B2623" s="348" t="s">
        <v>16996</v>
      </c>
      <c r="C2623" s="349" t="s">
        <v>65</v>
      </c>
      <c r="D2623" s="483">
        <v>24.95</v>
      </c>
      <c r="E2623" s="483">
        <v>24.95</v>
      </c>
    </row>
    <row r="2624" spans="1:5" ht="45">
      <c r="A2624" s="494">
        <v>83400</v>
      </c>
      <c r="B2624" s="485" t="s">
        <v>16997</v>
      </c>
      <c r="C2624" s="484" t="s">
        <v>65</v>
      </c>
      <c r="D2624" s="486">
        <v>82.31</v>
      </c>
      <c r="E2624" s="486">
        <v>82.31</v>
      </c>
    </row>
    <row r="2625" spans="1:5" ht="30">
      <c r="A2625" s="495">
        <v>83401</v>
      </c>
      <c r="B2625" s="348" t="s">
        <v>16998</v>
      </c>
      <c r="C2625" s="349" t="s">
        <v>65</v>
      </c>
      <c r="D2625" s="483">
        <v>82.31</v>
      </c>
      <c r="E2625" s="483">
        <v>82.31</v>
      </c>
    </row>
    <row r="2626" spans="1:5">
      <c r="A2626" s="494">
        <v>83402</v>
      </c>
      <c r="B2626" s="485" t="s">
        <v>1379</v>
      </c>
      <c r="C2626" s="484" t="s">
        <v>65</v>
      </c>
      <c r="D2626" s="486">
        <v>43.8</v>
      </c>
      <c r="E2626" s="486">
        <v>43.8</v>
      </c>
    </row>
    <row r="2627" spans="1:5" ht="30">
      <c r="A2627" s="495">
        <v>83475</v>
      </c>
      <c r="B2627" s="348" t="s">
        <v>6779</v>
      </c>
      <c r="C2627" s="349" t="s">
        <v>65</v>
      </c>
      <c r="D2627" s="483">
        <v>309.2</v>
      </c>
      <c r="E2627" s="483">
        <v>309.2</v>
      </c>
    </row>
    <row r="2628" spans="1:5" ht="30">
      <c r="A2628" s="494">
        <v>83478</v>
      </c>
      <c r="B2628" s="485" t="s">
        <v>16999</v>
      </c>
      <c r="C2628" s="484" t="s">
        <v>65</v>
      </c>
      <c r="D2628" s="486">
        <v>218.99</v>
      </c>
      <c r="E2628" s="486">
        <v>218.99</v>
      </c>
    </row>
    <row r="2629" spans="1:5" ht="30">
      <c r="A2629" s="495">
        <v>83479</v>
      </c>
      <c r="B2629" s="348" t="s">
        <v>17000</v>
      </c>
      <c r="C2629" s="349" t="s">
        <v>65</v>
      </c>
      <c r="D2629" s="483">
        <v>88.64</v>
      </c>
      <c r="E2629" s="483">
        <v>88.64</v>
      </c>
    </row>
    <row r="2630" spans="1:5">
      <c r="A2630" s="494">
        <v>83480</v>
      </c>
      <c r="B2630" s="485" t="s">
        <v>8575</v>
      </c>
      <c r="C2630" s="484" t="s">
        <v>65</v>
      </c>
      <c r="D2630" s="486">
        <v>70.650000000000006</v>
      </c>
      <c r="E2630" s="486">
        <v>70.650000000000006</v>
      </c>
    </row>
    <row r="2631" spans="1:5">
      <c r="A2631" s="495">
        <v>83481</v>
      </c>
      <c r="B2631" s="348" t="s">
        <v>8576</v>
      </c>
      <c r="C2631" s="349" t="s">
        <v>65</v>
      </c>
      <c r="D2631" s="483">
        <v>79</v>
      </c>
      <c r="E2631" s="483">
        <v>79</v>
      </c>
    </row>
    <row r="2632" spans="1:5" ht="30">
      <c r="A2632" s="484" t="s">
        <v>17001</v>
      </c>
      <c r="B2632" s="485" t="s">
        <v>9837</v>
      </c>
      <c r="C2632" s="484" t="s">
        <v>65</v>
      </c>
      <c r="D2632" s="486">
        <v>7364.34</v>
      </c>
      <c r="E2632" s="486">
        <v>7364.34</v>
      </c>
    </row>
    <row r="2633" spans="1:5" ht="30">
      <c r="A2633" s="349" t="s">
        <v>17002</v>
      </c>
      <c r="B2633" s="348" t="s">
        <v>9829</v>
      </c>
      <c r="C2633" s="349" t="s">
        <v>65</v>
      </c>
      <c r="D2633" s="483">
        <v>9100.5</v>
      </c>
      <c r="E2633" s="483">
        <v>9100.5</v>
      </c>
    </row>
    <row r="2634" spans="1:5" ht="30">
      <c r="A2634" s="484" t="s">
        <v>17003</v>
      </c>
      <c r="B2634" s="485" t="s">
        <v>17004</v>
      </c>
      <c r="C2634" s="484" t="s">
        <v>65</v>
      </c>
      <c r="D2634" s="486">
        <v>11472.98</v>
      </c>
      <c r="E2634" s="486">
        <v>11472.98</v>
      </c>
    </row>
    <row r="2635" spans="1:5" ht="30">
      <c r="A2635" s="349" t="s">
        <v>17005</v>
      </c>
      <c r="B2635" s="348" t="s">
        <v>17006</v>
      </c>
      <c r="C2635" s="349" t="s">
        <v>65</v>
      </c>
      <c r="D2635" s="483">
        <v>16072.1</v>
      </c>
      <c r="E2635" s="483">
        <v>16072.1</v>
      </c>
    </row>
    <row r="2636" spans="1:5" ht="30">
      <c r="A2636" s="484" t="s">
        <v>17007</v>
      </c>
      <c r="B2636" s="485" t="s">
        <v>17008</v>
      </c>
      <c r="C2636" s="484" t="s">
        <v>65</v>
      </c>
      <c r="D2636" s="486">
        <v>18748.11</v>
      </c>
      <c r="E2636" s="486">
        <v>18748.11</v>
      </c>
    </row>
    <row r="2637" spans="1:5" ht="30">
      <c r="A2637" s="349" t="s">
        <v>17009</v>
      </c>
      <c r="B2637" s="348" t="s">
        <v>17010</v>
      </c>
      <c r="C2637" s="349" t="s">
        <v>65</v>
      </c>
      <c r="D2637" s="483">
        <v>30528.71</v>
      </c>
      <c r="E2637" s="483">
        <v>30528.71</v>
      </c>
    </row>
    <row r="2638" spans="1:5" ht="30">
      <c r="A2638" s="484" t="s">
        <v>17011</v>
      </c>
      <c r="B2638" s="485" t="s">
        <v>9833</v>
      </c>
      <c r="C2638" s="484" t="s">
        <v>65</v>
      </c>
      <c r="D2638" s="486">
        <v>5086.01</v>
      </c>
      <c r="E2638" s="486">
        <v>5086.01</v>
      </c>
    </row>
    <row r="2639" spans="1:5" ht="30">
      <c r="A2639" s="349" t="s">
        <v>17012</v>
      </c>
      <c r="B2639" s="348" t="s">
        <v>9834</v>
      </c>
      <c r="C2639" s="349" t="s">
        <v>65</v>
      </c>
      <c r="D2639" s="483">
        <v>5693.18</v>
      </c>
      <c r="E2639" s="483">
        <v>5693.18</v>
      </c>
    </row>
    <row r="2640" spans="1:5" ht="30">
      <c r="A2640" s="484" t="s">
        <v>17013</v>
      </c>
      <c r="B2640" s="485" t="s">
        <v>17014</v>
      </c>
      <c r="C2640" s="484" t="s">
        <v>65</v>
      </c>
      <c r="D2640" s="486">
        <v>41837.64</v>
      </c>
      <c r="E2640" s="486">
        <v>41837.64</v>
      </c>
    </row>
    <row r="2641" spans="1:5" ht="30">
      <c r="A2641" s="349" t="s">
        <v>17015</v>
      </c>
      <c r="B2641" s="348" t="s">
        <v>9828</v>
      </c>
      <c r="C2641" s="349" t="s">
        <v>65</v>
      </c>
      <c r="D2641" s="483">
        <v>58529.64</v>
      </c>
      <c r="E2641" s="483">
        <v>58529.64</v>
      </c>
    </row>
    <row r="2642" spans="1:5" ht="45">
      <c r="A2642" s="494">
        <v>93128</v>
      </c>
      <c r="B2642" s="485" t="s">
        <v>17016</v>
      </c>
      <c r="C2642" s="484" t="s">
        <v>65</v>
      </c>
      <c r="D2642" s="486">
        <v>97.34</v>
      </c>
      <c r="E2642" s="486">
        <v>97.34</v>
      </c>
    </row>
    <row r="2643" spans="1:5" ht="45">
      <c r="A2643" s="495">
        <v>93137</v>
      </c>
      <c r="B2643" s="348" t="s">
        <v>17017</v>
      </c>
      <c r="C2643" s="349" t="s">
        <v>65</v>
      </c>
      <c r="D2643" s="483">
        <v>115.27</v>
      </c>
      <c r="E2643" s="483">
        <v>115.27</v>
      </c>
    </row>
    <row r="2644" spans="1:5" ht="45">
      <c r="A2644" s="494">
        <v>93138</v>
      </c>
      <c r="B2644" s="485" t="s">
        <v>17018</v>
      </c>
      <c r="C2644" s="484" t="s">
        <v>65</v>
      </c>
      <c r="D2644" s="486">
        <v>108.82</v>
      </c>
      <c r="E2644" s="486">
        <v>108.82</v>
      </c>
    </row>
    <row r="2645" spans="1:5" ht="45">
      <c r="A2645" s="495">
        <v>93139</v>
      </c>
      <c r="B2645" s="348" t="s">
        <v>17019</v>
      </c>
      <c r="C2645" s="349" t="s">
        <v>65</v>
      </c>
      <c r="D2645" s="483">
        <v>138.21</v>
      </c>
      <c r="E2645" s="483">
        <v>138.21</v>
      </c>
    </row>
    <row r="2646" spans="1:5" ht="45">
      <c r="A2646" s="494">
        <v>93140</v>
      </c>
      <c r="B2646" s="485" t="s">
        <v>17020</v>
      </c>
      <c r="C2646" s="484" t="s">
        <v>65</v>
      </c>
      <c r="D2646" s="486">
        <v>130.26</v>
      </c>
      <c r="E2646" s="486">
        <v>130.26</v>
      </c>
    </row>
    <row r="2647" spans="1:5" ht="30">
      <c r="A2647" s="495">
        <v>93141</v>
      </c>
      <c r="B2647" s="348" t="s">
        <v>657</v>
      </c>
      <c r="C2647" s="349" t="s">
        <v>65</v>
      </c>
      <c r="D2647" s="483">
        <v>127.74</v>
      </c>
      <c r="E2647" s="483">
        <v>127.74</v>
      </c>
    </row>
    <row r="2648" spans="1:5" ht="30">
      <c r="A2648" s="494">
        <v>93142</v>
      </c>
      <c r="B2648" s="485" t="s">
        <v>17021</v>
      </c>
      <c r="C2648" s="484" t="s">
        <v>65</v>
      </c>
      <c r="D2648" s="486">
        <v>142.13999999999999</v>
      </c>
      <c r="E2648" s="486">
        <v>142.13999999999999</v>
      </c>
    </row>
    <row r="2649" spans="1:5" ht="30">
      <c r="A2649" s="495">
        <v>93143</v>
      </c>
      <c r="B2649" s="348" t="s">
        <v>658</v>
      </c>
      <c r="C2649" s="349" t="s">
        <v>65</v>
      </c>
      <c r="D2649" s="483">
        <v>129.41</v>
      </c>
      <c r="E2649" s="483">
        <v>129.41</v>
      </c>
    </row>
    <row r="2650" spans="1:5" ht="30">
      <c r="A2650" s="494">
        <v>93144</v>
      </c>
      <c r="B2650" s="485" t="s">
        <v>17022</v>
      </c>
      <c r="C2650" s="484" t="s">
        <v>65</v>
      </c>
      <c r="D2650" s="486">
        <v>161.85</v>
      </c>
      <c r="E2650" s="486">
        <v>161.85</v>
      </c>
    </row>
    <row r="2651" spans="1:5" ht="45">
      <c r="A2651" s="495">
        <v>93145</v>
      </c>
      <c r="B2651" s="348" t="s">
        <v>17023</v>
      </c>
      <c r="C2651" s="349" t="s">
        <v>65</v>
      </c>
      <c r="D2651" s="483">
        <v>152.69999999999999</v>
      </c>
      <c r="E2651" s="483">
        <v>152.69999999999999</v>
      </c>
    </row>
    <row r="2652" spans="1:5" ht="45">
      <c r="A2652" s="494">
        <v>93146</v>
      </c>
      <c r="B2652" s="485" t="s">
        <v>17024</v>
      </c>
      <c r="C2652" s="484" t="s">
        <v>65</v>
      </c>
      <c r="D2652" s="486">
        <v>164.17</v>
      </c>
      <c r="E2652" s="486">
        <v>164.17</v>
      </c>
    </row>
    <row r="2653" spans="1:5" ht="45">
      <c r="A2653" s="495">
        <v>93147</v>
      </c>
      <c r="B2653" s="348" t="s">
        <v>17025</v>
      </c>
      <c r="C2653" s="349" t="s">
        <v>65</v>
      </c>
      <c r="D2653" s="483">
        <v>185.65</v>
      </c>
      <c r="E2653" s="483">
        <v>185.65</v>
      </c>
    </row>
    <row r="2654" spans="1:5">
      <c r="A2654" s="494">
        <v>8260</v>
      </c>
      <c r="B2654" s="485" t="s">
        <v>6105</v>
      </c>
      <c r="C2654" s="484" t="s">
        <v>65</v>
      </c>
      <c r="D2654" s="486">
        <v>2607.8000000000002</v>
      </c>
      <c r="E2654" s="486">
        <v>2607.8000000000002</v>
      </c>
    </row>
    <row r="2655" spans="1:5">
      <c r="A2655" s="495">
        <v>68069</v>
      </c>
      <c r="B2655" s="348" t="s">
        <v>17026</v>
      </c>
      <c r="C2655" s="349" t="s">
        <v>65</v>
      </c>
      <c r="D2655" s="483">
        <v>42.64</v>
      </c>
      <c r="E2655" s="483">
        <v>42.64</v>
      </c>
    </row>
    <row r="2656" spans="1:5">
      <c r="A2656" s="494">
        <v>68070</v>
      </c>
      <c r="B2656" s="485" t="s">
        <v>659</v>
      </c>
      <c r="C2656" s="484" t="s">
        <v>71</v>
      </c>
      <c r="D2656" s="486">
        <v>50.88</v>
      </c>
      <c r="E2656" s="486">
        <v>50.88</v>
      </c>
    </row>
    <row r="2657" spans="1:5">
      <c r="A2657" s="495">
        <v>72315</v>
      </c>
      <c r="B2657" s="348" t="s">
        <v>9621</v>
      </c>
      <c r="C2657" s="349" t="s">
        <v>65</v>
      </c>
      <c r="D2657" s="483">
        <v>25.62</v>
      </c>
      <c r="E2657" s="483">
        <v>25.62</v>
      </c>
    </row>
    <row r="2658" spans="1:5" ht="30">
      <c r="A2658" s="494">
        <v>72927</v>
      </c>
      <c r="B2658" s="485" t="s">
        <v>4072</v>
      </c>
      <c r="C2658" s="484" t="s">
        <v>71</v>
      </c>
      <c r="D2658" s="486">
        <v>32.090000000000003</v>
      </c>
      <c r="E2658" s="486">
        <v>32.090000000000003</v>
      </c>
    </row>
    <row r="2659" spans="1:5" ht="30">
      <c r="A2659" s="495">
        <v>72928</v>
      </c>
      <c r="B2659" s="348" t="s">
        <v>4073</v>
      </c>
      <c r="C2659" s="349" t="s">
        <v>71</v>
      </c>
      <c r="D2659" s="483">
        <v>36.17</v>
      </c>
      <c r="E2659" s="483">
        <v>36.17</v>
      </c>
    </row>
    <row r="2660" spans="1:5" ht="30">
      <c r="A2660" s="494">
        <v>72929</v>
      </c>
      <c r="B2660" s="485" t="s">
        <v>4074</v>
      </c>
      <c r="C2660" s="484" t="s">
        <v>71</v>
      </c>
      <c r="D2660" s="486">
        <v>41.6</v>
      </c>
      <c r="E2660" s="486">
        <v>41.6</v>
      </c>
    </row>
    <row r="2661" spans="1:5" ht="30">
      <c r="A2661" s="495">
        <v>72930</v>
      </c>
      <c r="B2661" s="348" t="s">
        <v>4075</v>
      </c>
      <c r="C2661" s="349" t="s">
        <v>71</v>
      </c>
      <c r="D2661" s="483">
        <v>50.78</v>
      </c>
      <c r="E2661" s="483">
        <v>50.78</v>
      </c>
    </row>
    <row r="2662" spans="1:5" ht="30">
      <c r="A2662" s="494">
        <v>72931</v>
      </c>
      <c r="B2662" s="485" t="s">
        <v>4076</v>
      </c>
      <c r="C2662" s="484" t="s">
        <v>71</v>
      </c>
      <c r="D2662" s="486">
        <v>60.18</v>
      </c>
      <c r="E2662" s="486">
        <v>60.18</v>
      </c>
    </row>
    <row r="2663" spans="1:5" ht="30">
      <c r="A2663" s="495">
        <v>72932</v>
      </c>
      <c r="B2663" s="348" t="s">
        <v>4077</v>
      </c>
      <c r="C2663" s="349" t="s">
        <v>71</v>
      </c>
      <c r="D2663" s="483">
        <v>72.650000000000006</v>
      </c>
      <c r="E2663" s="483">
        <v>72.650000000000006</v>
      </c>
    </row>
    <row r="2664" spans="1:5">
      <c r="A2664" s="494">
        <v>83483</v>
      </c>
      <c r="B2664" s="485" t="s">
        <v>5989</v>
      </c>
      <c r="C2664" s="484" t="s">
        <v>65</v>
      </c>
      <c r="D2664" s="486">
        <v>46.14</v>
      </c>
      <c r="E2664" s="486">
        <v>46.14</v>
      </c>
    </row>
    <row r="2665" spans="1:5">
      <c r="A2665" s="495">
        <v>83484</v>
      </c>
      <c r="B2665" s="348" t="s">
        <v>660</v>
      </c>
      <c r="C2665" s="349" t="s">
        <v>65</v>
      </c>
      <c r="D2665" s="483">
        <v>55.54</v>
      </c>
      <c r="E2665" s="483">
        <v>55.54</v>
      </c>
    </row>
    <row r="2666" spans="1:5" ht="30">
      <c r="A2666" s="494">
        <v>83485</v>
      </c>
      <c r="B2666" s="485" t="s">
        <v>17027</v>
      </c>
      <c r="C2666" s="484" t="s">
        <v>65</v>
      </c>
      <c r="D2666" s="486">
        <v>41.63</v>
      </c>
      <c r="E2666" s="486">
        <v>41.63</v>
      </c>
    </row>
    <row r="2667" spans="1:5" ht="30">
      <c r="A2667" s="495">
        <v>83638</v>
      </c>
      <c r="B2667" s="348" t="s">
        <v>17028</v>
      </c>
      <c r="C2667" s="349" t="s">
        <v>65</v>
      </c>
      <c r="D2667" s="483">
        <v>358.08</v>
      </c>
      <c r="E2667" s="483">
        <v>358.08</v>
      </c>
    </row>
    <row r="2668" spans="1:5">
      <c r="A2668" s="494">
        <v>83641</v>
      </c>
      <c r="B2668" s="485" t="s">
        <v>7839</v>
      </c>
      <c r="C2668" s="484" t="s">
        <v>65</v>
      </c>
      <c r="D2668" s="486">
        <v>415.98</v>
      </c>
      <c r="E2668" s="486">
        <v>415.98</v>
      </c>
    </row>
    <row r="2669" spans="1:5">
      <c r="A2669" s="495">
        <v>9535</v>
      </c>
      <c r="B2669" s="348" t="s">
        <v>17029</v>
      </c>
      <c r="C2669" s="349" t="s">
        <v>65</v>
      </c>
      <c r="D2669" s="483">
        <v>59.07</v>
      </c>
      <c r="E2669" s="483">
        <v>59.07</v>
      </c>
    </row>
    <row r="2670" spans="1:5" ht="30">
      <c r="A2670" s="494">
        <v>72322</v>
      </c>
      <c r="B2670" s="485" t="s">
        <v>17030</v>
      </c>
      <c r="C2670" s="484" t="s">
        <v>65</v>
      </c>
      <c r="D2670" s="486">
        <v>362.32</v>
      </c>
      <c r="E2670" s="486">
        <v>362.32</v>
      </c>
    </row>
    <row r="2671" spans="1:5">
      <c r="A2671" s="495">
        <v>72326</v>
      </c>
      <c r="B2671" s="348" t="s">
        <v>17031</v>
      </c>
      <c r="C2671" s="349" t="s">
        <v>65</v>
      </c>
      <c r="D2671" s="483">
        <v>470.31</v>
      </c>
      <c r="E2671" s="483">
        <v>470.31</v>
      </c>
    </row>
    <row r="2672" spans="1:5">
      <c r="A2672" s="494">
        <v>72327</v>
      </c>
      <c r="B2672" s="485" t="s">
        <v>5730</v>
      </c>
      <c r="C2672" s="484" t="s">
        <v>65</v>
      </c>
      <c r="D2672" s="486">
        <v>5.86</v>
      </c>
      <c r="E2672" s="486">
        <v>5.86</v>
      </c>
    </row>
    <row r="2673" spans="1:5">
      <c r="A2673" s="495">
        <v>72328</v>
      </c>
      <c r="B2673" s="348" t="s">
        <v>17032</v>
      </c>
      <c r="C2673" s="349" t="s">
        <v>65</v>
      </c>
      <c r="D2673" s="483">
        <v>7.01</v>
      </c>
      <c r="E2673" s="483">
        <v>7.01</v>
      </c>
    </row>
    <row r="2674" spans="1:5">
      <c r="A2674" s="494">
        <v>72330</v>
      </c>
      <c r="B2674" s="485" t="s">
        <v>5732</v>
      </c>
      <c r="C2674" s="484" t="s">
        <v>65</v>
      </c>
      <c r="D2674" s="486">
        <v>31.84</v>
      </c>
      <c r="E2674" s="486">
        <v>31.84</v>
      </c>
    </row>
    <row r="2675" spans="1:5" ht="30">
      <c r="A2675" s="349" t="s">
        <v>17033</v>
      </c>
      <c r="B2675" s="348" t="s">
        <v>17034</v>
      </c>
      <c r="C2675" s="349" t="s">
        <v>65</v>
      </c>
      <c r="D2675" s="483">
        <v>312.69</v>
      </c>
      <c r="E2675" s="483">
        <v>312.69</v>
      </c>
    </row>
    <row r="2676" spans="1:5">
      <c r="A2676" s="484" t="s">
        <v>17035</v>
      </c>
      <c r="B2676" s="485" t="s">
        <v>3567</v>
      </c>
      <c r="C2676" s="484" t="s">
        <v>65</v>
      </c>
      <c r="D2676" s="486">
        <v>195.86</v>
      </c>
      <c r="E2676" s="486">
        <v>195.86</v>
      </c>
    </row>
    <row r="2677" spans="1:5">
      <c r="A2677" s="349" t="s">
        <v>17036</v>
      </c>
      <c r="B2677" s="348" t="s">
        <v>3568</v>
      </c>
      <c r="C2677" s="349" t="s">
        <v>65</v>
      </c>
      <c r="D2677" s="483">
        <v>311.37</v>
      </c>
      <c r="E2677" s="483">
        <v>311.37</v>
      </c>
    </row>
    <row r="2678" spans="1:5">
      <c r="A2678" s="484" t="s">
        <v>17037</v>
      </c>
      <c r="B2678" s="485" t="s">
        <v>3566</v>
      </c>
      <c r="C2678" s="484" t="s">
        <v>65</v>
      </c>
      <c r="D2678" s="486">
        <v>699.11</v>
      </c>
      <c r="E2678" s="486">
        <v>699.11</v>
      </c>
    </row>
    <row r="2679" spans="1:5">
      <c r="A2679" s="495">
        <v>83482</v>
      </c>
      <c r="B2679" s="348" t="s">
        <v>5733</v>
      </c>
      <c r="C2679" s="349" t="s">
        <v>65</v>
      </c>
      <c r="D2679" s="483">
        <v>31.84</v>
      </c>
      <c r="E2679" s="483">
        <v>31.84</v>
      </c>
    </row>
    <row r="2680" spans="1:5">
      <c r="A2680" s="494">
        <v>83487</v>
      </c>
      <c r="B2680" s="485" t="s">
        <v>2482</v>
      </c>
      <c r="C2680" s="484" t="s">
        <v>65</v>
      </c>
      <c r="D2680" s="486">
        <v>79.95</v>
      </c>
      <c r="E2680" s="486">
        <v>79.95</v>
      </c>
    </row>
    <row r="2681" spans="1:5">
      <c r="A2681" s="495">
        <v>83490</v>
      </c>
      <c r="B2681" s="348" t="s">
        <v>3574</v>
      </c>
      <c r="C2681" s="349" t="s">
        <v>65</v>
      </c>
      <c r="D2681" s="483">
        <v>193.23</v>
      </c>
      <c r="E2681" s="483">
        <v>193.23</v>
      </c>
    </row>
    <row r="2682" spans="1:5" ht="30">
      <c r="A2682" s="494">
        <v>83491</v>
      </c>
      <c r="B2682" s="485" t="s">
        <v>17038</v>
      </c>
      <c r="C2682" s="484" t="s">
        <v>65</v>
      </c>
      <c r="D2682" s="486">
        <v>761.27</v>
      </c>
      <c r="E2682" s="486">
        <v>761.27</v>
      </c>
    </row>
    <row r="2683" spans="1:5" ht="30">
      <c r="A2683" s="495">
        <v>83492</v>
      </c>
      <c r="B2683" s="348" t="s">
        <v>17039</v>
      </c>
      <c r="C2683" s="349" t="s">
        <v>65</v>
      </c>
      <c r="D2683" s="483">
        <v>739.77</v>
      </c>
      <c r="E2683" s="483">
        <v>739.77</v>
      </c>
    </row>
    <row r="2684" spans="1:5">
      <c r="A2684" s="494">
        <v>83493</v>
      </c>
      <c r="B2684" s="485" t="s">
        <v>5734</v>
      </c>
      <c r="C2684" s="484" t="s">
        <v>65</v>
      </c>
      <c r="D2684" s="486">
        <v>31.84</v>
      </c>
      <c r="E2684" s="486">
        <v>31.84</v>
      </c>
    </row>
    <row r="2685" spans="1:5">
      <c r="A2685" s="495">
        <v>85195</v>
      </c>
      <c r="B2685" s="348" t="s">
        <v>665</v>
      </c>
      <c r="C2685" s="349" t="s">
        <v>65</v>
      </c>
      <c r="D2685" s="483">
        <v>63.3</v>
      </c>
      <c r="E2685" s="483">
        <v>63.3</v>
      </c>
    </row>
    <row r="2686" spans="1:5">
      <c r="A2686" s="494">
        <v>88547</v>
      </c>
      <c r="B2686" s="485" t="s">
        <v>3569</v>
      </c>
      <c r="C2686" s="484" t="s">
        <v>65</v>
      </c>
      <c r="D2686" s="486">
        <v>69.7</v>
      </c>
      <c r="E2686" s="486">
        <v>69.7</v>
      </c>
    </row>
    <row r="2687" spans="1:5" ht="45">
      <c r="A2687" s="495">
        <v>72283</v>
      </c>
      <c r="B2687" s="348" t="s">
        <v>17040</v>
      </c>
      <c r="C2687" s="349" t="s">
        <v>65</v>
      </c>
      <c r="D2687" s="483">
        <v>951.25</v>
      </c>
      <c r="E2687" s="483">
        <v>951.25</v>
      </c>
    </row>
    <row r="2688" spans="1:5" ht="45">
      <c r="A2688" s="494">
        <v>72284</v>
      </c>
      <c r="B2688" s="485" t="s">
        <v>17041</v>
      </c>
      <c r="C2688" s="484" t="s">
        <v>65</v>
      </c>
      <c r="D2688" s="486">
        <v>1090.3599999999999</v>
      </c>
      <c r="E2688" s="486">
        <v>1090.3599999999999</v>
      </c>
    </row>
    <row r="2689" spans="1:5">
      <c r="A2689" s="495">
        <v>72287</v>
      </c>
      <c r="B2689" s="348" t="s">
        <v>666</v>
      </c>
      <c r="C2689" s="349" t="s">
        <v>65</v>
      </c>
      <c r="D2689" s="483">
        <v>232.57</v>
      </c>
      <c r="E2689" s="483">
        <v>232.57</v>
      </c>
    </row>
    <row r="2690" spans="1:5">
      <c r="A2690" s="494">
        <v>72288</v>
      </c>
      <c r="B2690" s="485" t="s">
        <v>667</v>
      </c>
      <c r="C2690" s="484" t="s">
        <v>65</v>
      </c>
      <c r="D2690" s="486">
        <v>290.95</v>
      </c>
      <c r="E2690" s="486">
        <v>290.95</v>
      </c>
    </row>
    <row r="2691" spans="1:5">
      <c r="A2691" s="495">
        <v>72553</v>
      </c>
      <c r="B2691" s="348" t="s">
        <v>5445</v>
      </c>
      <c r="C2691" s="349" t="s">
        <v>65</v>
      </c>
      <c r="D2691" s="483">
        <v>145.22</v>
      </c>
      <c r="E2691" s="483">
        <v>145.22</v>
      </c>
    </row>
    <row r="2692" spans="1:5">
      <c r="A2692" s="494">
        <v>72554</v>
      </c>
      <c r="B2692" s="485" t="s">
        <v>5437</v>
      </c>
      <c r="C2692" s="484" t="s">
        <v>65</v>
      </c>
      <c r="D2692" s="486">
        <v>489.84</v>
      </c>
      <c r="E2692" s="486">
        <v>489.84</v>
      </c>
    </row>
    <row r="2693" spans="1:5">
      <c r="A2693" s="349" t="s">
        <v>17042</v>
      </c>
      <c r="B2693" s="348" t="s">
        <v>5448</v>
      </c>
      <c r="C2693" s="349" t="s">
        <v>65</v>
      </c>
      <c r="D2693" s="483">
        <v>151.37</v>
      </c>
      <c r="E2693" s="483">
        <v>151.37</v>
      </c>
    </row>
    <row r="2694" spans="1:5" ht="30">
      <c r="A2694" s="484" t="s">
        <v>17043</v>
      </c>
      <c r="B2694" s="485" t="s">
        <v>17044</v>
      </c>
      <c r="C2694" s="484" t="s">
        <v>65</v>
      </c>
      <c r="D2694" s="486">
        <v>155.99</v>
      </c>
      <c r="E2694" s="486">
        <v>155.99</v>
      </c>
    </row>
    <row r="2695" spans="1:5">
      <c r="A2695" s="495">
        <v>83633</v>
      </c>
      <c r="B2695" s="348" t="s">
        <v>6000</v>
      </c>
      <c r="C2695" s="349" t="s">
        <v>65</v>
      </c>
      <c r="D2695" s="483">
        <v>1724.91</v>
      </c>
      <c r="E2695" s="483">
        <v>1724.91</v>
      </c>
    </row>
    <row r="2696" spans="1:5">
      <c r="A2696" s="494">
        <v>83634</v>
      </c>
      <c r="B2696" s="485" t="s">
        <v>17045</v>
      </c>
      <c r="C2696" s="484" t="s">
        <v>65</v>
      </c>
      <c r="D2696" s="486">
        <v>459.06</v>
      </c>
      <c r="E2696" s="486">
        <v>459.06</v>
      </c>
    </row>
    <row r="2697" spans="1:5">
      <c r="A2697" s="495">
        <v>83635</v>
      </c>
      <c r="B2697" s="348" t="s">
        <v>5449</v>
      </c>
      <c r="C2697" s="349" t="s">
        <v>65</v>
      </c>
      <c r="D2697" s="483">
        <v>175.99</v>
      </c>
      <c r="E2697" s="483">
        <v>175.99</v>
      </c>
    </row>
    <row r="2698" spans="1:5">
      <c r="A2698" s="494">
        <v>72337</v>
      </c>
      <c r="B2698" s="485" t="s">
        <v>17046</v>
      </c>
      <c r="C2698" s="484" t="s">
        <v>65</v>
      </c>
      <c r="D2698" s="486">
        <v>21.1</v>
      </c>
      <c r="E2698" s="486">
        <v>21.1</v>
      </c>
    </row>
    <row r="2699" spans="1:5">
      <c r="A2699" s="495">
        <v>73688</v>
      </c>
      <c r="B2699" s="348" t="s">
        <v>17047</v>
      </c>
      <c r="C2699" s="349" t="s">
        <v>71</v>
      </c>
      <c r="D2699" s="483">
        <v>16.45</v>
      </c>
      <c r="E2699" s="483">
        <v>16.45</v>
      </c>
    </row>
    <row r="2700" spans="1:5">
      <c r="A2700" s="494">
        <v>73689</v>
      </c>
      <c r="B2700" s="485" t="s">
        <v>17048</v>
      </c>
      <c r="C2700" s="484" t="s">
        <v>71</v>
      </c>
      <c r="D2700" s="486">
        <v>11.8</v>
      </c>
      <c r="E2700" s="486">
        <v>11.8</v>
      </c>
    </row>
    <row r="2701" spans="1:5">
      <c r="A2701" s="495">
        <v>73690</v>
      </c>
      <c r="B2701" s="348" t="s">
        <v>17049</v>
      </c>
      <c r="C2701" s="349" t="s">
        <v>71</v>
      </c>
      <c r="D2701" s="483">
        <v>7.62</v>
      </c>
      <c r="E2701" s="483">
        <v>7.62</v>
      </c>
    </row>
    <row r="2702" spans="1:5" ht="30">
      <c r="A2702" s="484" t="s">
        <v>17050</v>
      </c>
      <c r="B2702" s="485" t="s">
        <v>17051</v>
      </c>
      <c r="C2702" s="484" t="s">
        <v>65</v>
      </c>
      <c r="D2702" s="486">
        <v>167.26</v>
      </c>
      <c r="E2702" s="486">
        <v>167.26</v>
      </c>
    </row>
    <row r="2703" spans="1:5" ht="30">
      <c r="A2703" s="349" t="s">
        <v>17052</v>
      </c>
      <c r="B2703" s="348" t="s">
        <v>17053</v>
      </c>
      <c r="C2703" s="349" t="s">
        <v>65</v>
      </c>
      <c r="D2703" s="483">
        <v>304.14</v>
      </c>
      <c r="E2703" s="483">
        <v>304.14</v>
      </c>
    </row>
    <row r="2704" spans="1:5" ht="30">
      <c r="A2704" s="484" t="s">
        <v>17054</v>
      </c>
      <c r="B2704" s="485" t="s">
        <v>17055</v>
      </c>
      <c r="C2704" s="484" t="s">
        <v>65</v>
      </c>
      <c r="D2704" s="486">
        <v>989.5</v>
      </c>
      <c r="E2704" s="486">
        <v>989.5</v>
      </c>
    </row>
    <row r="2705" spans="1:5">
      <c r="A2705" s="349" t="s">
        <v>17056</v>
      </c>
      <c r="B2705" s="348" t="s">
        <v>17057</v>
      </c>
      <c r="C2705" s="349" t="s">
        <v>71</v>
      </c>
      <c r="D2705" s="483">
        <v>1.37</v>
      </c>
      <c r="E2705" s="483">
        <v>1.37</v>
      </c>
    </row>
    <row r="2706" spans="1:5">
      <c r="A2706" s="484" t="s">
        <v>17058</v>
      </c>
      <c r="B2706" s="485" t="s">
        <v>3010</v>
      </c>
      <c r="C2706" s="484" t="s">
        <v>71</v>
      </c>
      <c r="D2706" s="486">
        <v>2.02</v>
      </c>
      <c r="E2706" s="486">
        <v>2.02</v>
      </c>
    </row>
    <row r="2707" spans="1:5">
      <c r="A2707" s="349" t="s">
        <v>17059</v>
      </c>
      <c r="B2707" s="348" t="s">
        <v>17060</v>
      </c>
      <c r="C2707" s="349" t="s">
        <v>71</v>
      </c>
      <c r="D2707" s="483">
        <v>5.56</v>
      </c>
      <c r="E2707" s="483">
        <v>5.56</v>
      </c>
    </row>
    <row r="2708" spans="1:5">
      <c r="A2708" s="484" t="s">
        <v>17061</v>
      </c>
      <c r="B2708" s="485" t="s">
        <v>17062</v>
      </c>
      <c r="C2708" s="484" t="s">
        <v>71</v>
      </c>
      <c r="D2708" s="486">
        <v>9.3000000000000007</v>
      </c>
      <c r="E2708" s="486">
        <v>9.3000000000000007</v>
      </c>
    </row>
    <row r="2709" spans="1:5">
      <c r="A2709" s="349" t="s">
        <v>17063</v>
      </c>
      <c r="B2709" s="348" t="s">
        <v>17064</v>
      </c>
      <c r="C2709" s="349" t="s">
        <v>71</v>
      </c>
      <c r="D2709" s="483">
        <v>12.17</v>
      </c>
      <c r="E2709" s="483">
        <v>12.17</v>
      </c>
    </row>
    <row r="2710" spans="1:5">
      <c r="A2710" s="484" t="s">
        <v>17065</v>
      </c>
      <c r="B2710" s="485" t="s">
        <v>17066</v>
      </c>
      <c r="C2710" s="484" t="s">
        <v>71</v>
      </c>
      <c r="D2710" s="486">
        <v>20.28</v>
      </c>
      <c r="E2710" s="486">
        <v>20.28</v>
      </c>
    </row>
    <row r="2711" spans="1:5">
      <c r="A2711" s="349" t="s">
        <v>17067</v>
      </c>
      <c r="B2711" s="348" t="s">
        <v>17068</v>
      </c>
      <c r="C2711" s="349" t="s">
        <v>71</v>
      </c>
      <c r="D2711" s="483">
        <v>31.73</v>
      </c>
      <c r="E2711" s="483">
        <v>31.73</v>
      </c>
    </row>
    <row r="2712" spans="1:5">
      <c r="A2712" s="484" t="s">
        <v>17069</v>
      </c>
      <c r="B2712" s="485" t="s">
        <v>17070</v>
      </c>
      <c r="C2712" s="484" t="s">
        <v>71</v>
      </c>
      <c r="D2712" s="486">
        <v>75.11</v>
      </c>
      <c r="E2712" s="486">
        <v>75.11</v>
      </c>
    </row>
    <row r="2713" spans="1:5">
      <c r="A2713" s="349" t="s">
        <v>17071</v>
      </c>
      <c r="B2713" s="348" t="s">
        <v>2984</v>
      </c>
      <c r="C2713" s="349" t="s">
        <v>71</v>
      </c>
      <c r="D2713" s="483">
        <v>0.98</v>
      </c>
      <c r="E2713" s="483">
        <v>0.98</v>
      </c>
    </row>
    <row r="2714" spans="1:5">
      <c r="A2714" s="484" t="s">
        <v>17072</v>
      </c>
      <c r="B2714" s="485" t="s">
        <v>17073</v>
      </c>
      <c r="C2714" s="484" t="s">
        <v>71</v>
      </c>
      <c r="D2714" s="486">
        <v>1.24</v>
      </c>
      <c r="E2714" s="486">
        <v>1.24</v>
      </c>
    </row>
    <row r="2715" spans="1:5">
      <c r="A2715" s="349" t="s">
        <v>17074</v>
      </c>
      <c r="B2715" s="348" t="s">
        <v>17075</v>
      </c>
      <c r="C2715" s="349" t="s">
        <v>71</v>
      </c>
      <c r="D2715" s="483">
        <v>1.57</v>
      </c>
      <c r="E2715" s="483">
        <v>1.57</v>
      </c>
    </row>
    <row r="2716" spans="1:5">
      <c r="A2716" s="484" t="s">
        <v>17076</v>
      </c>
      <c r="B2716" s="485" t="s">
        <v>17077</v>
      </c>
      <c r="C2716" s="484" t="s">
        <v>71</v>
      </c>
      <c r="D2716" s="486">
        <v>2.15</v>
      </c>
      <c r="E2716" s="486">
        <v>2.15</v>
      </c>
    </row>
    <row r="2717" spans="1:5">
      <c r="A2717" s="349" t="s">
        <v>17078</v>
      </c>
      <c r="B2717" s="348" t="s">
        <v>17079</v>
      </c>
      <c r="C2717" s="349" t="s">
        <v>71</v>
      </c>
      <c r="D2717" s="483">
        <v>2.88</v>
      </c>
      <c r="E2717" s="483">
        <v>2.88</v>
      </c>
    </row>
    <row r="2718" spans="1:5">
      <c r="A2718" s="484" t="s">
        <v>17080</v>
      </c>
      <c r="B2718" s="485" t="s">
        <v>17081</v>
      </c>
      <c r="C2718" s="484" t="s">
        <v>71</v>
      </c>
      <c r="D2718" s="486">
        <v>3.77</v>
      </c>
      <c r="E2718" s="486">
        <v>3.77</v>
      </c>
    </row>
    <row r="2719" spans="1:5">
      <c r="A2719" s="495">
        <v>83366</v>
      </c>
      <c r="B2719" s="348" t="s">
        <v>17082</v>
      </c>
      <c r="C2719" s="349" t="s">
        <v>65</v>
      </c>
      <c r="D2719" s="483">
        <v>75.2</v>
      </c>
      <c r="E2719" s="483">
        <v>75.2</v>
      </c>
    </row>
    <row r="2720" spans="1:5">
      <c r="A2720" s="494">
        <v>83367</v>
      </c>
      <c r="B2720" s="485" t="s">
        <v>17083</v>
      </c>
      <c r="C2720" s="484" t="s">
        <v>65</v>
      </c>
      <c r="D2720" s="486">
        <v>327.69</v>
      </c>
      <c r="E2720" s="486">
        <v>327.69</v>
      </c>
    </row>
    <row r="2721" spans="1:5" ht="30">
      <c r="A2721" s="495">
        <v>83368</v>
      </c>
      <c r="B2721" s="348" t="s">
        <v>3086</v>
      </c>
      <c r="C2721" s="349" t="s">
        <v>65</v>
      </c>
      <c r="D2721" s="483">
        <v>910.68</v>
      </c>
      <c r="E2721" s="483">
        <v>910.68</v>
      </c>
    </row>
    <row r="2722" spans="1:5" ht="30">
      <c r="A2722" s="494">
        <v>83369</v>
      </c>
      <c r="B2722" s="485" t="s">
        <v>17084</v>
      </c>
      <c r="C2722" s="484" t="s">
        <v>65</v>
      </c>
      <c r="D2722" s="486">
        <v>220.65</v>
      </c>
      <c r="E2722" s="486">
        <v>220.65</v>
      </c>
    </row>
    <row r="2723" spans="1:5" ht="30">
      <c r="A2723" s="495">
        <v>83370</v>
      </c>
      <c r="B2723" s="348" t="s">
        <v>17085</v>
      </c>
      <c r="C2723" s="349" t="s">
        <v>65</v>
      </c>
      <c r="D2723" s="483">
        <v>142.44999999999999</v>
      </c>
      <c r="E2723" s="483">
        <v>142.44999999999999</v>
      </c>
    </row>
    <row r="2724" spans="1:5" ht="30">
      <c r="A2724" s="494">
        <v>83371</v>
      </c>
      <c r="B2724" s="485" t="s">
        <v>17086</v>
      </c>
      <c r="C2724" s="484" t="s">
        <v>65</v>
      </c>
      <c r="D2724" s="486">
        <v>88.72</v>
      </c>
      <c r="E2724" s="486">
        <v>88.72</v>
      </c>
    </row>
    <row r="2725" spans="1:5">
      <c r="A2725" s="495">
        <v>83639</v>
      </c>
      <c r="B2725" s="348" t="s">
        <v>17087</v>
      </c>
      <c r="C2725" s="349" t="s">
        <v>71</v>
      </c>
      <c r="D2725" s="483">
        <v>38.85</v>
      </c>
      <c r="E2725" s="483">
        <v>38.85</v>
      </c>
    </row>
    <row r="2726" spans="1:5" ht="30">
      <c r="A2726" s="494">
        <v>84676</v>
      </c>
      <c r="B2726" s="485" t="s">
        <v>17088</v>
      </c>
      <c r="C2726" s="484" t="s">
        <v>65</v>
      </c>
      <c r="D2726" s="486">
        <v>305.17</v>
      </c>
      <c r="E2726" s="486">
        <v>305.17</v>
      </c>
    </row>
    <row r="2727" spans="1:5">
      <c r="A2727" s="495">
        <v>84796</v>
      </c>
      <c r="B2727" s="348" t="s">
        <v>17089</v>
      </c>
      <c r="C2727" s="349" t="s">
        <v>65</v>
      </c>
      <c r="D2727" s="483">
        <v>491.84</v>
      </c>
      <c r="E2727" s="483">
        <v>491.84</v>
      </c>
    </row>
    <row r="2728" spans="1:5">
      <c r="A2728" s="494">
        <v>84798</v>
      </c>
      <c r="B2728" s="485" t="s">
        <v>17090</v>
      </c>
      <c r="C2728" s="484" t="s">
        <v>65</v>
      </c>
      <c r="D2728" s="486">
        <v>220.88</v>
      </c>
      <c r="E2728" s="486">
        <v>220.88</v>
      </c>
    </row>
    <row r="2729" spans="1:5">
      <c r="A2729" s="495">
        <v>83636</v>
      </c>
      <c r="B2729" s="348" t="s">
        <v>4844</v>
      </c>
      <c r="C2729" s="349" t="s">
        <v>256</v>
      </c>
      <c r="D2729" s="483">
        <v>48.59</v>
      </c>
      <c r="E2729" s="483">
        <v>48.59</v>
      </c>
    </row>
    <row r="2730" spans="1:5">
      <c r="A2730" s="494">
        <v>83637</v>
      </c>
      <c r="B2730" s="485" t="s">
        <v>4843</v>
      </c>
      <c r="C2730" s="484" t="s">
        <v>256</v>
      </c>
      <c r="D2730" s="486">
        <v>80.8</v>
      </c>
      <c r="E2730" s="486">
        <v>80.8</v>
      </c>
    </row>
    <row r="2731" spans="1:5" ht="30">
      <c r="A2731" s="349" t="s">
        <v>17091</v>
      </c>
      <c r="B2731" s="348" t="s">
        <v>17092</v>
      </c>
      <c r="C2731" s="349" t="s">
        <v>65</v>
      </c>
      <c r="D2731" s="483">
        <v>4801.09</v>
      </c>
      <c r="E2731" s="483">
        <v>4801.09</v>
      </c>
    </row>
    <row r="2732" spans="1:5">
      <c r="A2732" s="494">
        <v>85120</v>
      </c>
      <c r="B2732" s="485" t="s">
        <v>17093</v>
      </c>
      <c r="C2732" s="484" t="s">
        <v>65</v>
      </c>
      <c r="D2732" s="486">
        <v>56.35</v>
      </c>
      <c r="E2732" s="486">
        <v>56.35</v>
      </c>
    </row>
    <row r="2733" spans="1:5">
      <c r="A2733" s="495">
        <v>83486</v>
      </c>
      <c r="B2733" s="348" t="s">
        <v>2628</v>
      </c>
      <c r="C2733" s="349" t="s">
        <v>65</v>
      </c>
      <c r="D2733" s="483">
        <v>1176.29</v>
      </c>
      <c r="E2733" s="483">
        <v>1176.29</v>
      </c>
    </row>
    <row r="2734" spans="1:5" ht="45">
      <c r="A2734" s="494">
        <v>83643</v>
      </c>
      <c r="B2734" s="485" t="s">
        <v>17094</v>
      </c>
      <c r="C2734" s="484" t="s">
        <v>65</v>
      </c>
      <c r="D2734" s="486">
        <v>2906.41</v>
      </c>
      <c r="E2734" s="486">
        <v>2906.41</v>
      </c>
    </row>
    <row r="2735" spans="1:5">
      <c r="A2735" s="495">
        <v>83644</v>
      </c>
      <c r="B2735" s="348" t="s">
        <v>2667</v>
      </c>
      <c r="C2735" s="349" t="s">
        <v>65</v>
      </c>
      <c r="D2735" s="483">
        <v>5016.08</v>
      </c>
      <c r="E2735" s="483">
        <v>5016.08</v>
      </c>
    </row>
    <row r="2736" spans="1:5">
      <c r="A2736" s="494">
        <v>83645</v>
      </c>
      <c r="B2736" s="485" t="s">
        <v>2668</v>
      </c>
      <c r="C2736" s="484" t="s">
        <v>65</v>
      </c>
      <c r="D2736" s="486">
        <v>1589.76</v>
      </c>
      <c r="E2736" s="486">
        <v>1589.76</v>
      </c>
    </row>
    <row r="2737" spans="1:5">
      <c r="A2737" s="495">
        <v>83646</v>
      </c>
      <c r="B2737" s="348" t="s">
        <v>2662</v>
      </c>
      <c r="C2737" s="349" t="s">
        <v>65</v>
      </c>
      <c r="D2737" s="483">
        <v>1846.47</v>
      </c>
      <c r="E2737" s="483">
        <v>1846.47</v>
      </c>
    </row>
    <row r="2738" spans="1:5">
      <c r="A2738" s="494">
        <v>83647</v>
      </c>
      <c r="B2738" s="485" t="s">
        <v>2666</v>
      </c>
      <c r="C2738" s="484" t="s">
        <v>65</v>
      </c>
      <c r="D2738" s="486">
        <v>1205.5999999999999</v>
      </c>
      <c r="E2738" s="486">
        <v>1205.5999999999999</v>
      </c>
    </row>
    <row r="2739" spans="1:5">
      <c r="A2739" s="495">
        <v>83648</v>
      </c>
      <c r="B2739" s="348" t="s">
        <v>2665</v>
      </c>
      <c r="C2739" s="349" t="s">
        <v>65</v>
      </c>
      <c r="D2739" s="483">
        <v>771.58</v>
      </c>
      <c r="E2739" s="483">
        <v>771.58</v>
      </c>
    </row>
    <row r="2740" spans="1:5">
      <c r="A2740" s="494">
        <v>83649</v>
      </c>
      <c r="B2740" s="485" t="s">
        <v>2664</v>
      </c>
      <c r="C2740" s="484" t="s">
        <v>65</v>
      </c>
      <c r="D2740" s="486">
        <v>4590.1400000000003</v>
      </c>
      <c r="E2740" s="486">
        <v>4590.1400000000003</v>
      </c>
    </row>
    <row r="2741" spans="1:5">
      <c r="A2741" s="495">
        <v>83650</v>
      </c>
      <c r="B2741" s="348" t="s">
        <v>2663</v>
      </c>
      <c r="C2741" s="349" t="s">
        <v>65</v>
      </c>
      <c r="D2741" s="483">
        <v>3821.82</v>
      </c>
      <c r="E2741" s="483">
        <v>3821.82</v>
      </c>
    </row>
    <row r="2742" spans="1:5" ht="30">
      <c r="A2742" s="484" t="s">
        <v>17095</v>
      </c>
      <c r="B2742" s="485" t="s">
        <v>17096</v>
      </c>
      <c r="C2742" s="484" t="s">
        <v>71</v>
      </c>
      <c r="D2742" s="486">
        <v>59.55</v>
      </c>
      <c r="E2742" s="486">
        <v>59.55</v>
      </c>
    </row>
    <row r="2743" spans="1:5" ht="30">
      <c r="A2743" s="349" t="s">
        <v>17097</v>
      </c>
      <c r="B2743" s="348" t="s">
        <v>17098</v>
      </c>
      <c r="C2743" s="349" t="s">
        <v>71</v>
      </c>
      <c r="D2743" s="483">
        <v>173.55</v>
      </c>
      <c r="E2743" s="483">
        <v>173.55</v>
      </c>
    </row>
    <row r="2744" spans="1:5">
      <c r="A2744" s="484" t="s">
        <v>17099</v>
      </c>
      <c r="B2744" s="485" t="s">
        <v>17100</v>
      </c>
      <c r="C2744" s="484" t="s">
        <v>71</v>
      </c>
      <c r="D2744" s="486">
        <v>250.55</v>
      </c>
      <c r="E2744" s="486">
        <v>250.55</v>
      </c>
    </row>
    <row r="2745" spans="1:5" ht="30">
      <c r="A2745" s="349" t="s">
        <v>17101</v>
      </c>
      <c r="B2745" s="348" t="s">
        <v>17102</v>
      </c>
      <c r="C2745" s="349" t="s">
        <v>71</v>
      </c>
      <c r="D2745" s="483">
        <v>226.37</v>
      </c>
      <c r="E2745" s="483">
        <v>226.37</v>
      </c>
    </row>
    <row r="2746" spans="1:5" ht="30">
      <c r="A2746" s="484" t="s">
        <v>17103</v>
      </c>
      <c r="B2746" s="485" t="s">
        <v>17104</v>
      </c>
      <c r="C2746" s="484" t="s">
        <v>71</v>
      </c>
      <c r="D2746" s="486">
        <v>357.8</v>
      </c>
      <c r="E2746" s="486">
        <v>357.8</v>
      </c>
    </row>
    <row r="2747" spans="1:5" ht="30">
      <c r="A2747" s="495">
        <v>89355</v>
      </c>
      <c r="B2747" s="348" t="s">
        <v>10532</v>
      </c>
      <c r="C2747" s="349" t="s">
        <v>71</v>
      </c>
      <c r="D2747" s="483">
        <v>13.41</v>
      </c>
      <c r="E2747" s="483">
        <v>13.41</v>
      </c>
    </row>
    <row r="2748" spans="1:5" ht="30">
      <c r="A2748" s="494">
        <v>89356</v>
      </c>
      <c r="B2748" s="485" t="s">
        <v>10536</v>
      </c>
      <c r="C2748" s="484" t="s">
        <v>71</v>
      </c>
      <c r="D2748" s="486">
        <v>15.94</v>
      </c>
      <c r="E2748" s="486">
        <v>15.94</v>
      </c>
    </row>
    <row r="2749" spans="1:5" ht="30">
      <c r="A2749" s="495">
        <v>89357</v>
      </c>
      <c r="B2749" s="348" t="s">
        <v>10540</v>
      </c>
      <c r="C2749" s="349" t="s">
        <v>71</v>
      </c>
      <c r="D2749" s="483">
        <v>22.2</v>
      </c>
      <c r="E2749" s="483">
        <v>22.2</v>
      </c>
    </row>
    <row r="2750" spans="1:5" ht="30">
      <c r="A2750" s="494">
        <v>89401</v>
      </c>
      <c r="B2750" s="485" t="s">
        <v>17105</v>
      </c>
      <c r="C2750" s="484" t="s">
        <v>71</v>
      </c>
      <c r="D2750" s="486">
        <v>5.81</v>
      </c>
      <c r="E2750" s="486">
        <v>5.81</v>
      </c>
    </row>
    <row r="2751" spans="1:5" ht="30">
      <c r="A2751" s="495">
        <v>89402</v>
      </c>
      <c r="B2751" s="348" t="s">
        <v>17106</v>
      </c>
      <c r="C2751" s="349" t="s">
        <v>71</v>
      </c>
      <c r="D2751" s="483">
        <v>7.19</v>
      </c>
      <c r="E2751" s="483">
        <v>7.19</v>
      </c>
    </row>
    <row r="2752" spans="1:5" ht="30">
      <c r="A2752" s="494">
        <v>89403</v>
      </c>
      <c r="B2752" s="485" t="s">
        <v>17107</v>
      </c>
      <c r="C2752" s="484" t="s">
        <v>71</v>
      </c>
      <c r="D2752" s="486">
        <v>11.73</v>
      </c>
      <c r="E2752" s="486">
        <v>11.73</v>
      </c>
    </row>
    <row r="2753" spans="1:5" ht="30">
      <c r="A2753" s="495">
        <v>89446</v>
      </c>
      <c r="B2753" s="348" t="s">
        <v>17108</v>
      </c>
      <c r="C2753" s="349" t="s">
        <v>71</v>
      </c>
      <c r="D2753" s="483">
        <v>3.87</v>
      </c>
      <c r="E2753" s="483">
        <v>3.87</v>
      </c>
    </row>
    <row r="2754" spans="1:5" ht="30">
      <c r="A2754" s="494">
        <v>89447</v>
      </c>
      <c r="B2754" s="485" t="s">
        <v>17109</v>
      </c>
      <c r="C2754" s="484" t="s">
        <v>71</v>
      </c>
      <c r="D2754" s="486">
        <v>7.83</v>
      </c>
      <c r="E2754" s="486">
        <v>7.83</v>
      </c>
    </row>
    <row r="2755" spans="1:5" ht="30">
      <c r="A2755" s="495">
        <v>89448</v>
      </c>
      <c r="B2755" s="348" t="s">
        <v>17110</v>
      </c>
      <c r="C2755" s="349" t="s">
        <v>71</v>
      </c>
      <c r="D2755" s="483">
        <v>11.26</v>
      </c>
      <c r="E2755" s="483">
        <v>11.26</v>
      </c>
    </row>
    <row r="2756" spans="1:5" ht="30">
      <c r="A2756" s="494">
        <v>89449</v>
      </c>
      <c r="B2756" s="485" t="s">
        <v>17111</v>
      </c>
      <c r="C2756" s="484" t="s">
        <v>71</v>
      </c>
      <c r="D2756" s="486">
        <v>13.93</v>
      </c>
      <c r="E2756" s="486">
        <v>13.93</v>
      </c>
    </row>
    <row r="2757" spans="1:5" ht="30">
      <c r="A2757" s="495">
        <v>89450</v>
      </c>
      <c r="B2757" s="348" t="s">
        <v>17112</v>
      </c>
      <c r="C2757" s="349" t="s">
        <v>71</v>
      </c>
      <c r="D2757" s="483">
        <v>21.34</v>
      </c>
      <c r="E2757" s="483">
        <v>21.34</v>
      </c>
    </row>
    <row r="2758" spans="1:5" ht="30">
      <c r="A2758" s="494">
        <v>89451</v>
      </c>
      <c r="B2758" s="485" t="s">
        <v>17113</v>
      </c>
      <c r="C2758" s="484" t="s">
        <v>71</v>
      </c>
      <c r="D2758" s="486">
        <v>29.74</v>
      </c>
      <c r="E2758" s="486">
        <v>29.74</v>
      </c>
    </row>
    <row r="2759" spans="1:5" ht="30">
      <c r="A2759" s="495">
        <v>89452</v>
      </c>
      <c r="B2759" s="348" t="s">
        <v>17114</v>
      </c>
      <c r="C2759" s="349" t="s">
        <v>71</v>
      </c>
      <c r="D2759" s="483">
        <v>37.28</v>
      </c>
      <c r="E2759" s="483">
        <v>37.28</v>
      </c>
    </row>
    <row r="2760" spans="1:5" ht="30">
      <c r="A2760" s="494">
        <v>89508</v>
      </c>
      <c r="B2760" s="485" t="s">
        <v>17115</v>
      </c>
      <c r="C2760" s="484" t="s">
        <v>71</v>
      </c>
      <c r="D2760" s="486">
        <v>12.52</v>
      </c>
      <c r="E2760" s="486">
        <v>12.52</v>
      </c>
    </row>
    <row r="2761" spans="1:5" ht="30">
      <c r="A2761" s="495">
        <v>89509</v>
      </c>
      <c r="B2761" s="348" t="s">
        <v>17116</v>
      </c>
      <c r="C2761" s="349" t="s">
        <v>71</v>
      </c>
      <c r="D2761" s="483">
        <v>17.07</v>
      </c>
      <c r="E2761" s="483">
        <v>17.07</v>
      </c>
    </row>
    <row r="2762" spans="1:5" ht="30">
      <c r="A2762" s="494">
        <v>89511</v>
      </c>
      <c r="B2762" s="485" t="s">
        <v>17117</v>
      </c>
      <c r="C2762" s="484" t="s">
        <v>71</v>
      </c>
      <c r="D2762" s="486">
        <v>25.17</v>
      </c>
      <c r="E2762" s="486">
        <v>25.17</v>
      </c>
    </row>
    <row r="2763" spans="1:5" ht="30">
      <c r="A2763" s="495">
        <v>89512</v>
      </c>
      <c r="B2763" s="348" t="s">
        <v>17118</v>
      </c>
      <c r="C2763" s="349" t="s">
        <v>71</v>
      </c>
      <c r="D2763" s="483">
        <v>38.700000000000003</v>
      </c>
      <c r="E2763" s="483">
        <v>38.700000000000003</v>
      </c>
    </row>
    <row r="2764" spans="1:5" ht="30">
      <c r="A2764" s="494">
        <v>89576</v>
      </c>
      <c r="B2764" s="485" t="s">
        <v>17119</v>
      </c>
      <c r="C2764" s="484" t="s">
        <v>71</v>
      </c>
      <c r="D2764" s="486">
        <v>13.69</v>
      </c>
      <c r="E2764" s="486">
        <v>13.69</v>
      </c>
    </row>
    <row r="2765" spans="1:5" ht="30">
      <c r="A2765" s="495">
        <v>89578</v>
      </c>
      <c r="B2765" s="348" t="s">
        <v>17120</v>
      </c>
      <c r="C2765" s="349" t="s">
        <v>71</v>
      </c>
      <c r="D2765" s="483">
        <v>23.09</v>
      </c>
      <c r="E2765" s="483">
        <v>23.09</v>
      </c>
    </row>
    <row r="2766" spans="1:5" ht="30">
      <c r="A2766" s="494">
        <v>89580</v>
      </c>
      <c r="B2766" s="485" t="s">
        <v>17121</v>
      </c>
      <c r="C2766" s="484" t="s">
        <v>71</v>
      </c>
      <c r="D2766" s="486">
        <v>45.71</v>
      </c>
      <c r="E2766" s="486">
        <v>45.71</v>
      </c>
    </row>
    <row r="2767" spans="1:5" ht="30">
      <c r="A2767" s="495">
        <v>89633</v>
      </c>
      <c r="B2767" s="348" t="s">
        <v>10509</v>
      </c>
      <c r="C2767" s="349" t="s">
        <v>71</v>
      </c>
      <c r="D2767" s="483">
        <v>17.350000000000001</v>
      </c>
      <c r="E2767" s="483">
        <v>17.350000000000001</v>
      </c>
    </row>
    <row r="2768" spans="1:5" ht="30">
      <c r="A2768" s="494">
        <v>89634</v>
      </c>
      <c r="B2768" s="485" t="s">
        <v>10513</v>
      </c>
      <c r="C2768" s="484" t="s">
        <v>71</v>
      </c>
      <c r="D2768" s="486">
        <v>26.18</v>
      </c>
      <c r="E2768" s="486">
        <v>26.18</v>
      </c>
    </row>
    <row r="2769" spans="1:5" ht="30">
      <c r="A2769" s="495">
        <v>89635</v>
      </c>
      <c r="B2769" s="348" t="s">
        <v>10516</v>
      </c>
      <c r="C2769" s="349" t="s">
        <v>71</v>
      </c>
      <c r="D2769" s="483">
        <v>37.18</v>
      </c>
      <c r="E2769" s="483">
        <v>37.18</v>
      </c>
    </row>
    <row r="2770" spans="1:5" ht="30">
      <c r="A2770" s="494">
        <v>89636</v>
      </c>
      <c r="B2770" s="485" t="s">
        <v>17122</v>
      </c>
      <c r="C2770" s="484" t="s">
        <v>71</v>
      </c>
      <c r="D2770" s="486">
        <v>45.21</v>
      </c>
      <c r="E2770" s="486">
        <v>45.21</v>
      </c>
    </row>
    <row r="2771" spans="1:5" ht="30">
      <c r="A2771" s="495">
        <v>89711</v>
      </c>
      <c r="B2771" s="348" t="s">
        <v>17123</v>
      </c>
      <c r="C2771" s="349" t="s">
        <v>71</v>
      </c>
      <c r="D2771" s="483">
        <v>13.85</v>
      </c>
      <c r="E2771" s="483">
        <v>13.85</v>
      </c>
    </row>
    <row r="2772" spans="1:5" ht="30">
      <c r="A2772" s="494">
        <v>89712</v>
      </c>
      <c r="B2772" s="485" t="s">
        <v>17124</v>
      </c>
      <c r="C2772" s="484" t="s">
        <v>71</v>
      </c>
      <c r="D2772" s="486">
        <v>20.28</v>
      </c>
      <c r="E2772" s="486">
        <v>20.28</v>
      </c>
    </row>
    <row r="2773" spans="1:5" ht="30">
      <c r="A2773" s="495">
        <v>89713</v>
      </c>
      <c r="B2773" s="348" t="s">
        <v>17125</v>
      </c>
      <c r="C2773" s="349" t="s">
        <v>71</v>
      </c>
      <c r="D2773" s="483">
        <v>30.11</v>
      </c>
      <c r="E2773" s="483">
        <v>30.11</v>
      </c>
    </row>
    <row r="2774" spans="1:5" ht="30">
      <c r="A2774" s="494">
        <v>89714</v>
      </c>
      <c r="B2774" s="485" t="s">
        <v>17126</v>
      </c>
      <c r="C2774" s="484" t="s">
        <v>71</v>
      </c>
      <c r="D2774" s="486">
        <v>38.75</v>
      </c>
      <c r="E2774" s="486">
        <v>38.75</v>
      </c>
    </row>
    <row r="2775" spans="1:5" ht="30">
      <c r="A2775" s="495">
        <v>89716</v>
      </c>
      <c r="B2775" s="348" t="s">
        <v>17127</v>
      </c>
      <c r="C2775" s="349" t="s">
        <v>71</v>
      </c>
      <c r="D2775" s="483">
        <v>18.22</v>
      </c>
      <c r="E2775" s="483">
        <v>18.22</v>
      </c>
    </row>
    <row r="2776" spans="1:5" ht="30">
      <c r="A2776" s="494">
        <v>89717</v>
      </c>
      <c r="B2776" s="485" t="s">
        <v>17128</v>
      </c>
      <c r="C2776" s="484" t="s">
        <v>71</v>
      </c>
      <c r="D2776" s="486">
        <v>27.81</v>
      </c>
      <c r="E2776" s="486">
        <v>27.81</v>
      </c>
    </row>
    <row r="2777" spans="1:5" ht="30">
      <c r="A2777" s="495">
        <v>89770</v>
      </c>
      <c r="B2777" s="348" t="s">
        <v>17129</v>
      </c>
      <c r="C2777" s="349" t="s">
        <v>71</v>
      </c>
      <c r="D2777" s="483">
        <v>30.04</v>
      </c>
      <c r="E2777" s="483">
        <v>30.04</v>
      </c>
    </row>
    <row r="2778" spans="1:5" ht="30">
      <c r="A2778" s="494">
        <v>89771</v>
      </c>
      <c r="B2778" s="485" t="s">
        <v>17130</v>
      </c>
      <c r="C2778" s="484" t="s">
        <v>71</v>
      </c>
      <c r="D2778" s="486">
        <v>41.05</v>
      </c>
      <c r="E2778" s="486">
        <v>41.05</v>
      </c>
    </row>
    <row r="2779" spans="1:5" ht="30">
      <c r="A2779" s="495">
        <v>89773</v>
      </c>
      <c r="B2779" s="348" t="s">
        <v>17131</v>
      </c>
      <c r="C2779" s="349" t="s">
        <v>71</v>
      </c>
      <c r="D2779" s="483">
        <v>95.54</v>
      </c>
      <c r="E2779" s="483">
        <v>95.54</v>
      </c>
    </row>
    <row r="2780" spans="1:5" ht="30">
      <c r="A2780" s="494">
        <v>89775</v>
      </c>
      <c r="B2780" s="485" t="s">
        <v>17132</v>
      </c>
      <c r="C2780" s="484" t="s">
        <v>71</v>
      </c>
      <c r="D2780" s="486">
        <v>150.86000000000001</v>
      </c>
      <c r="E2780" s="486">
        <v>150.86000000000001</v>
      </c>
    </row>
    <row r="2781" spans="1:5" ht="30">
      <c r="A2781" s="495">
        <v>89798</v>
      </c>
      <c r="B2781" s="348" t="s">
        <v>17133</v>
      </c>
      <c r="C2781" s="349" t="s">
        <v>71</v>
      </c>
      <c r="D2781" s="483">
        <v>8.2100000000000009</v>
      </c>
      <c r="E2781" s="483">
        <v>8.2100000000000009</v>
      </c>
    </row>
    <row r="2782" spans="1:5" ht="30">
      <c r="A2782" s="494">
        <v>89799</v>
      </c>
      <c r="B2782" s="485" t="s">
        <v>17134</v>
      </c>
      <c r="C2782" s="484" t="s">
        <v>71</v>
      </c>
      <c r="D2782" s="486">
        <v>12.95</v>
      </c>
      <c r="E2782" s="486">
        <v>12.95</v>
      </c>
    </row>
    <row r="2783" spans="1:5" ht="30">
      <c r="A2783" s="495">
        <v>89800</v>
      </c>
      <c r="B2783" s="348" t="s">
        <v>17135</v>
      </c>
      <c r="C2783" s="349" t="s">
        <v>71</v>
      </c>
      <c r="D2783" s="483">
        <v>16.22</v>
      </c>
      <c r="E2783" s="483">
        <v>16.22</v>
      </c>
    </row>
    <row r="2784" spans="1:5" ht="30">
      <c r="A2784" s="494">
        <v>89848</v>
      </c>
      <c r="B2784" s="485" t="s">
        <v>17136</v>
      </c>
      <c r="C2784" s="484" t="s">
        <v>71</v>
      </c>
      <c r="D2784" s="486">
        <v>20.22</v>
      </c>
      <c r="E2784" s="486">
        <v>20.22</v>
      </c>
    </row>
    <row r="2785" spans="1:5" ht="30">
      <c r="A2785" s="495">
        <v>89849</v>
      </c>
      <c r="B2785" s="348" t="s">
        <v>17137</v>
      </c>
      <c r="C2785" s="349" t="s">
        <v>71</v>
      </c>
      <c r="D2785" s="483">
        <v>37.04</v>
      </c>
      <c r="E2785" s="483">
        <v>37.04</v>
      </c>
    </row>
    <row r="2786" spans="1:5" ht="30">
      <c r="A2786" s="494">
        <v>89865</v>
      </c>
      <c r="B2786" s="485" t="s">
        <v>10533</v>
      </c>
      <c r="C2786" s="484" t="s">
        <v>71</v>
      </c>
      <c r="D2786" s="486">
        <v>9.7899999999999991</v>
      </c>
      <c r="E2786" s="486">
        <v>9.7899999999999991</v>
      </c>
    </row>
    <row r="2787" spans="1:5" ht="45">
      <c r="A2787" s="495">
        <v>91784</v>
      </c>
      <c r="B2787" s="348" t="s">
        <v>11035</v>
      </c>
      <c r="C2787" s="349" t="s">
        <v>71</v>
      </c>
      <c r="D2787" s="483">
        <v>31.5</v>
      </c>
      <c r="E2787" s="483">
        <v>31.5</v>
      </c>
    </row>
    <row r="2788" spans="1:5" ht="45">
      <c r="A2788" s="494">
        <v>91785</v>
      </c>
      <c r="B2788" s="485" t="s">
        <v>11036</v>
      </c>
      <c r="C2788" s="484" t="s">
        <v>71</v>
      </c>
      <c r="D2788" s="486">
        <v>31.23</v>
      </c>
      <c r="E2788" s="486">
        <v>31.23</v>
      </c>
    </row>
    <row r="2789" spans="1:5" ht="45">
      <c r="A2789" s="495">
        <v>91786</v>
      </c>
      <c r="B2789" s="348" t="s">
        <v>17138</v>
      </c>
      <c r="C2789" s="349" t="s">
        <v>71</v>
      </c>
      <c r="D2789" s="483">
        <v>20.64</v>
      </c>
      <c r="E2789" s="483">
        <v>20.64</v>
      </c>
    </row>
    <row r="2790" spans="1:5" ht="45">
      <c r="A2790" s="494">
        <v>91787</v>
      </c>
      <c r="B2790" s="485" t="s">
        <v>17139</v>
      </c>
      <c r="C2790" s="484" t="s">
        <v>71</v>
      </c>
      <c r="D2790" s="486">
        <v>22.89</v>
      </c>
      <c r="E2790" s="486">
        <v>22.89</v>
      </c>
    </row>
    <row r="2791" spans="1:5" ht="45">
      <c r="A2791" s="495">
        <v>91788</v>
      </c>
      <c r="B2791" s="348" t="s">
        <v>17140</v>
      </c>
      <c r="C2791" s="349" t="s">
        <v>71</v>
      </c>
      <c r="D2791" s="483">
        <v>30.93</v>
      </c>
      <c r="E2791" s="483">
        <v>30.93</v>
      </c>
    </row>
    <row r="2792" spans="1:5" ht="45">
      <c r="A2792" s="494">
        <v>91789</v>
      </c>
      <c r="B2792" s="485" t="s">
        <v>11040</v>
      </c>
      <c r="C2792" s="484" t="s">
        <v>71</v>
      </c>
      <c r="D2792" s="486">
        <v>27.33</v>
      </c>
      <c r="E2792" s="486">
        <v>27.33</v>
      </c>
    </row>
    <row r="2793" spans="1:5" ht="45">
      <c r="A2793" s="495">
        <v>91790</v>
      </c>
      <c r="B2793" s="348" t="s">
        <v>17141</v>
      </c>
      <c r="C2793" s="349" t="s">
        <v>71</v>
      </c>
      <c r="D2793" s="483">
        <v>40.409999999999997</v>
      </c>
      <c r="E2793" s="483">
        <v>40.409999999999997</v>
      </c>
    </row>
    <row r="2794" spans="1:5" ht="45">
      <c r="A2794" s="494">
        <v>91791</v>
      </c>
      <c r="B2794" s="485" t="s">
        <v>11042</v>
      </c>
      <c r="C2794" s="484" t="s">
        <v>71</v>
      </c>
      <c r="D2794" s="486">
        <v>49.44</v>
      </c>
      <c r="E2794" s="486">
        <v>49.44</v>
      </c>
    </row>
    <row r="2795" spans="1:5" ht="45">
      <c r="A2795" s="495">
        <v>91792</v>
      </c>
      <c r="B2795" s="348" t="s">
        <v>17142</v>
      </c>
      <c r="C2795" s="349" t="s">
        <v>71</v>
      </c>
      <c r="D2795" s="483">
        <v>40.630000000000003</v>
      </c>
      <c r="E2795" s="483">
        <v>40.630000000000003</v>
      </c>
    </row>
    <row r="2796" spans="1:5" ht="45">
      <c r="A2796" s="494">
        <v>91793</v>
      </c>
      <c r="B2796" s="485" t="s">
        <v>17143</v>
      </c>
      <c r="C2796" s="484" t="s">
        <v>71</v>
      </c>
      <c r="D2796" s="486">
        <v>61.02</v>
      </c>
      <c r="E2796" s="486">
        <v>61.02</v>
      </c>
    </row>
    <row r="2797" spans="1:5" ht="45">
      <c r="A2797" s="495">
        <v>91794</v>
      </c>
      <c r="B2797" s="348" t="s">
        <v>17144</v>
      </c>
      <c r="C2797" s="349" t="s">
        <v>71</v>
      </c>
      <c r="D2797" s="483">
        <v>27.37</v>
      </c>
      <c r="E2797" s="483">
        <v>27.37</v>
      </c>
    </row>
    <row r="2798" spans="1:5" ht="45">
      <c r="A2798" s="494">
        <v>91795</v>
      </c>
      <c r="B2798" s="485" t="s">
        <v>17145</v>
      </c>
      <c r="C2798" s="484" t="s">
        <v>71</v>
      </c>
      <c r="D2798" s="486">
        <v>46.83</v>
      </c>
      <c r="E2798" s="486">
        <v>46.83</v>
      </c>
    </row>
    <row r="2799" spans="1:5" ht="45">
      <c r="A2799" s="495">
        <v>91796</v>
      </c>
      <c r="B2799" s="348" t="s">
        <v>17146</v>
      </c>
      <c r="C2799" s="349" t="s">
        <v>71</v>
      </c>
      <c r="D2799" s="483">
        <v>46.39</v>
      </c>
      <c r="E2799" s="483">
        <v>46.39</v>
      </c>
    </row>
    <row r="2800" spans="1:5" ht="30">
      <c r="A2800" s="494">
        <v>92275</v>
      </c>
      <c r="B2800" s="485" t="s">
        <v>17147</v>
      </c>
      <c r="C2800" s="484" t="s">
        <v>71</v>
      </c>
      <c r="D2800" s="486">
        <v>27</v>
      </c>
      <c r="E2800" s="486">
        <v>27</v>
      </c>
    </row>
    <row r="2801" spans="1:5" ht="30">
      <c r="A2801" s="495">
        <v>92276</v>
      </c>
      <c r="B2801" s="348" t="s">
        <v>17148</v>
      </c>
      <c r="C2801" s="349" t="s">
        <v>71</v>
      </c>
      <c r="D2801" s="483">
        <v>34.15</v>
      </c>
      <c r="E2801" s="483">
        <v>34.15</v>
      </c>
    </row>
    <row r="2802" spans="1:5" ht="30">
      <c r="A2802" s="494">
        <v>92277</v>
      </c>
      <c r="B2802" s="485" t="s">
        <v>17149</v>
      </c>
      <c r="C2802" s="484" t="s">
        <v>71</v>
      </c>
      <c r="D2802" s="486">
        <v>49.09</v>
      </c>
      <c r="E2802" s="486">
        <v>49.09</v>
      </c>
    </row>
    <row r="2803" spans="1:5" ht="30">
      <c r="A2803" s="495">
        <v>92278</v>
      </c>
      <c r="B2803" s="348" t="s">
        <v>17150</v>
      </c>
      <c r="C2803" s="349" t="s">
        <v>71</v>
      </c>
      <c r="D2803" s="483">
        <v>65.849999999999994</v>
      </c>
      <c r="E2803" s="483">
        <v>65.849999999999994</v>
      </c>
    </row>
    <row r="2804" spans="1:5" ht="30">
      <c r="A2804" s="494">
        <v>92279</v>
      </c>
      <c r="B2804" s="485" t="s">
        <v>17151</v>
      </c>
      <c r="C2804" s="484" t="s">
        <v>71</v>
      </c>
      <c r="D2804" s="486">
        <v>94.95</v>
      </c>
      <c r="E2804" s="486">
        <v>94.95</v>
      </c>
    </row>
    <row r="2805" spans="1:5" ht="30">
      <c r="A2805" s="495">
        <v>92280</v>
      </c>
      <c r="B2805" s="348" t="s">
        <v>17152</v>
      </c>
      <c r="C2805" s="349" t="s">
        <v>71</v>
      </c>
      <c r="D2805" s="483">
        <v>133.06</v>
      </c>
      <c r="E2805" s="483">
        <v>133.06</v>
      </c>
    </row>
    <row r="2806" spans="1:5" ht="30">
      <c r="A2806" s="494">
        <v>92305</v>
      </c>
      <c r="B2806" s="485" t="s">
        <v>17153</v>
      </c>
      <c r="C2806" s="484" t="s">
        <v>71</v>
      </c>
      <c r="D2806" s="486">
        <v>18.989999999999998</v>
      </c>
      <c r="E2806" s="486">
        <v>18.989999999999998</v>
      </c>
    </row>
    <row r="2807" spans="1:5" ht="30">
      <c r="A2807" s="495">
        <v>92306</v>
      </c>
      <c r="B2807" s="348" t="s">
        <v>17154</v>
      </c>
      <c r="C2807" s="349" t="s">
        <v>71</v>
      </c>
      <c r="D2807" s="483">
        <v>30.28</v>
      </c>
      <c r="E2807" s="483">
        <v>30.28</v>
      </c>
    </row>
    <row r="2808" spans="1:5" ht="30">
      <c r="A2808" s="494">
        <v>92307</v>
      </c>
      <c r="B2808" s="485" t="s">
        <v>17155</v>
      </c>
      <c r="C2808" s="484" t="s">
        <v>71</v>
      </c>
      <c r="D2808" s="486">
        <v>37.659999999999997</v>
      </c>
      <c r="E2808" s="486">
        <v>37.659999999999997</v>
      </c>
    </row>
    <row r="2809" spans="1:5" ht="30">
      <c r="A2809" s="495">
        <v>92320</v>
      </c>
      <c r="B2809" s="348" t="s">
        <v>17156</v>
      </c>
      <c r="C2809" s="349" t="s">
        <v>71</v>
      </c>
      <c r="D2809" s="483">
        <v>26.17</v>
      </c>
      <c r="E2809" s="483">
        <v>26.17</v>
      </c>
    </row>
    <row r="2810" spans="1:5" ht="30">
      <c r="A2810" s="494">
        <v>92321</v>
      </c>
      <c r="B2810" s="485" t="s">
        <v>17157</v>
      </c>
      <c r="C2810" s="484" t="s">
        <v>71</v>
      </c>
      <c r="D2810" s="486">
        <v>42.62</v>
      </c>
      <c r="E2810" s="486">
        <v>42.62</v>
      </c>
    </row>
    <row r="2811" spans="1:5" ht="30">
      <c r="A2811" s="495">
        <v>92322</v>
      </c>
      <c r="B2811" s="348" t="s">
        <v>17158</v>
      </c>
      <c r="C2811" s="349" t="s">
        <v>71</v>
      </c>
      <c r="D2811" s="483">
        <v>54.48</v>
      </c>
      <c r="E2811" s="483">
        <v>54.48</v>
      </c>
    </row>
    <row r="2812" spans="1:5" ht="30">
      <c r="A2812" s="494">
        <v>92335</v>
      </c>
      <c r="B2812" s="485" t="s">
        <v>17159</v>
      </c>
      <c r="C2812" s="484" t="s">
        <v>71</v>
      </c>
      <c r="D2812" s="486">
        <v>43.25</v>
      </c>
      <c r="E2812" s="486">
        <v>43.25</v>
      </c>
    </row>
    <row r="2813" spans="1:5" ht="30">
      <c r="A2813" s="495">
        <v>92336</v>
      </c>
      <c r="B2813" s="348" t="s">
        <v>17160</v>
      </c>
      <c r="C2813" s="349" t="s">
        <v>71</v>
      </c>
      <c r="D2813" s="483">
        <v>52.9</v>
      </c>
      <c r="E2813" s="483">
        <v>52.9</v>
      </c>
    </row>
    <row r="2814" spans="1:5" ht="30">
      <c r="A2814" s="494">
        <v>92337</v>
      </c>
      <c r="B2814" s="485" t="s">
        <v>17161</v>
      </c>
      <c r="C2814" s="484" t="s">
        <v>71</v>
      </c>
      <c r="D2814" s="486">
        <v>68.98</v>
      </c>
      <c r="E2814" s="486">
        <v>68.98</v>
      </c>
    </row>
    <row r="2815" spans="1:5" ht="30">
      <c r="A2815" s="495">
        <v>92338</v>
      </c>
      <c r="B2815" s="348" t="s">
        <v>693</v>
      </c>
      <c r="C2815" s="349" t="s">
        <v>71</v>
      </c>
      <c r="D2815" s="483">
        <v>60.57</v>
      </c>
      <c r="E2815" s="483">
        <v>60.57</v>
      </c>
    </row>
    <row r="2816" spans="1:5" ht="30">
      <c r="A2816" s="494">
        <v>92339</v>
      </c>
      <c r="B2816" s="485" t="s">
        <v>17162</v>
      </c>
      <c r="C2816" s="484" t="s">
        <v>71</v>
      </c>
      <c r="D2816" s="486">
        <v>88.02</v>
      </c>
      <c r="E2816" s="486">
        <v>88.02</v>
      </c>
    </row>
    <row r="2817" spans="1:5" ht="30">
      <c r="A2817" s="495">
        <v>92341</v>
      </c>
      <c r="B2817" s="348" t="s">
        <v>17163</v>
      </c>
      <c r="C2817" s="349" t="s">
        <v>71</v>
      </c>
      <c r="D2817" s="483">
        <v>50.43</v>
      </c>
      <c r="E2817" s="483">
        <v>50.43</v>
      </c>
    </row>
    <row r="2818" spans="1:5" ht="30">
      <c r="A2818" s="494">
        <v>92342</v>
      </c>
      <c r="B2818" s="485" t="s">
        <v>17164</v>
      </c>
      <c r="C2818" s="484" t="s">
        <v>71</v>
      </c>
      <c r="D2818" s="486">
        <v>60.12</v>
      </c>
      <c r="E2818" s="486">
        <v>60.12</v>
      </c>
    </row>
    <row r="2819" spans="1:5" ht="30">
      <c r="A2819" s="495">
        <v>92343</v>
      </c>
      <c r="B2819" s="348" t="s">
        <v>17165</v>
      </c>
      <c r="C2819" s="349" t="s">
        <v>71</v>
      </c>
      <c r="D2819" s="483">
        <v>76.27</v>
      </c>
      <c r="E2819" s="483">
        <v>76.27</v>
      </c>
    </row>
    <row r="2820" spans="1:5" ht="30">
      <c r="A2820" s="494">
        <v>92361</v>
      </c>
      <c r="B2820" s="485" t="s">
        <v>17166</v>
      </c>
      <c r="C2820" s="484" t="s">
        <v>71</v>
      </c>
      <c r="D2820" s="486">
        <v>46.02</v>
      </c>
      <c r="E2820" s="486">
        <v>46.02</v>
      </c>
    </row>
    <row r="2821" spans="1:5" ht="30">
      <c r="A2821" s="495">
        <v>92362</v>
      </c>
      <c r="B2821" s="348" t="s">
        <v>17167</v>
      </c>
      <c r="C2821" s="349" t="s">
        <v>71</v>
      </c>
      <c r="D2821" s="483">
        <v>72.89</v>
      </c>
      <c r="E2821" s="483">
        <v>72.89</v>
      </c>
    </row>
    <row r="2822" spans="1:5" ht="45">
      <c r="A2822" s="494">
        <v>92364</v>
      </c>
      <c r="B2822" s="485" t="s">
        <v>17168</v>
      </c>
      <c r="C2822" s="484" t="s">
        <v>71</v>
      </c>
      <c r="D2822" s="486">
        <v>26.48</v>
      </c>
      <c r="E2822" s="486">
        <v>26.48</v>
      </c>
    </row>
    <row r="2823" spans="1:5" ht="45">
      <c r="A2823" s="495">
        <v>92365</v>
      </c>
      <c r="B2823" s="348" t="s">
        <v>17169</v>
      </c>
      <c r="C2823" s="349" t="s">
        <v>71</v>
      </c>
      <c r="D2823" s="483">
        <v>30.34</v>
      </c>
      <c r="E2823" s="483">
        <v>30.34</v>
      </c>
    </row>
    <row r="2824" spans="1:5" ht="45">
      <c r="A2824" s="494">
        <v>92366</v>
      </c>
      <c r="B2824" s="485" t="s">
        <v>17170</v>
      </c>
      <c r="C2824" s="484" t="s">
        <v>71</v>
      </c>
      <c r="D2824" s="486">
        <v>41.56</v>
      </c>
      <c r="E2824" s="486">
        <v>41.56</v>
      </c>
    </row>
    <row r="2825" spans="1:5" ht="45">
      <c r="A2825" s="495">
        <v>92367</v>
      </c>
      <c r="B2825" s="348" t="s">
        <v>17171</v>
      </c>
      <c r="C2825" s="349" t="s">
        <v>71</v>
      </c>
      <c r="D2825" s="483">
        <v>50.84</v>
      </c>
      <c r="E2825" s="483">
        <v>50.84</v>
      </c>
    </row>
    <row r="2826" spans="1:5" ht="45">
      <c r="A2826" s="494">
        <v>92368</v>
      </c>
      <c r="B2826" s="485" t="s">
        <v>17172</v>
      </c>
      <c r="C2826" s="484" t="s">
        <v>71</v>
      </c>
      <c r="D2826" s="486">
        <v>66.62</v>
      </c>
      <c r="E2826" s="486">
        <v>66.62</v>
      </c>
    </row>
    <row r="2827" spans="1:5" ht="30">
      <c r="A2827" s="495">
        <v>92648</v>
      </c>
      <c r="B2827" s="348" t="s">
        <v>17173</v>
      </c>
      <c r="C2827" s="349" t="s">
        <v>71</v>
      </c>
      <c r="D2827" s="483">
        <v>40.03</v>
      </c>
      <c r="E2827" s="483">
        <v>40.03</v>
      </c>
    </row>
    <row r="2828" spans="1:5" ht="30">
      <c r="A2828" s="494">
        <v>92649</v>
      </c>
      <c r="B2828" s="485" t="s">
        <v>17174</v>
      </c>
      <c r="C2828" s="484" t="s">
        <v>71</v>
      </c>
      <c r="D2828" s="486">
        <v>48.63</v>
      </c>
      <c r="E2828" s="486">
        <v>48.63</v>
      </c>
    </row>
    <row r="2829" spans="1:5" ht="30">
      <c r="A2829" s="495">
        <v>92650</v>
      </c>
      <c r="B2829" s="348" t="s">
        <v>17175</v>
      </c>
      <c r="C2829" s="349" t="s">
        <v>71</v>
      </c>
      <c r="D2829" s="483">
        <v>75.5</v>
      </c>
      <c r="E2829" s="483">
        <v>75.5</v>
      </c>
    </row>
    <row r="2830" spans="1:5" ht="45">
      <c r="A2830" s="494">
        <v>92652</v>
      </c>
      <c r="B2830" s="485" t="s">
        <v>17176</v>
      </c>
      <c r="C2830" s="484" t="s">
        <v>71</v>
      </c>
      <c r="D2830" s="486">
        <v>29.74</v>
      </c>
      <c r="E2830" s="486">
        <v>29.74</v>
      </c>
    </row>
    <row r="2831" spans="1:5" ht="45">
      <c r="A2831" s="495">
        <v>92653</v>
      </c>
      <c r="B2831" s="348" t="s">
        <v>17177</v>
      </c>
      <c r="C2831" s="349" t="s">
        <v>71</v>
      </c>
      <c r="D2831" s="483">
        <v>33.64</v>
      </c>
      <c r="E2831" s="483">
        <v>33.64</v>
      </c>
    </row>
    <row r="2832" spans="1:5" ht="45">
      <c r="A2832" s="494">
        <v>92654</v>
      </c>
      <c r="B2832" s="485" t="s">
        <v>17178</v>
      </c>
      <c r="C2832" s="484" t="s">
        <v>71</v>
      </c>
      <c r="D2832" s="486">
        <v>44.86</v>
      </c>
      <c r="E2832" s="486">
        <v>44.86</v>
      </c>
    </row>
    <row r="2833" spans="1:5" ht="45">
      <c r="A2833" s="495">
        <v>92655</v>
      </c>
      <c r="B2833" s="348" t="s">
        <v>17179</v>
      </c>
      <c r="C2833" s="349" t="s">
        <v>71</v>
      </c>
      <c r="D2833" s="483">
        <v>54.21</v>
      </c>
      <c r="E2833" s="483">
        <v>54.21</v>
      </c>
    </row>
    <row r="2834" spans="1:5" ht="45">
      <c r="A2834" s="494">
        <v>92656</v>
      </c>
      <c r="B2834" s="485" t="s">
        <v>17180</v>
      </c>
      <c r="C2834" s="484" t="s">
        <v>71</v>
      </c>
      <c r="D2834" s="486">
        <v>69.989999999999995</v>
      </c>
      <c r="E2834" s="486">
        <v>69.989999999999995</v>
      </c>
    </row>
    <row r="2835" spans="1:5" ht="45">
      <c r="A2835" s="495">
        <v>92687</v>
      </c>
      <c r="B2835" s="348" t="s">
        <v>695</v>
      </c>
      <c r="C2835" s="349" t="s">
        <v>71</v>
      </c>
      <c r="D2835" s="483">
        <v>14.47</v>
      </c>
      <c r="E2835" s="483">
        <v>14.47</v>
      </c>
    </row>
    <row r="2836" spans="1:5" ht="45">
      <c r="A2836" s="494">
        <v>92688</v>
      </c>
      <c r="B2836" s="485" t="s">
        <v>696</v>
      </c>
      <c r="C2836" s="484" t="s">
        <v>71</v>
      </c>
      <c r="D2836" s="486">
        <v>20.95</v>
      </c>
      <c r="E2836" s="486">
        <v>20.95</v>
      </c>
    </row>
    <row r="2837" spans="1:5" ht="30">
      <c r="A2837" s="495">
        <v>92689</v>
      </c>
      <c r="B2837" s="348" t="s">
        <v>17181</v>
      </c>
      <c r="C2837" s="349" t="s">
        <v>71</v>
      </c>
      <c r="D2837" s="483">
        <v>20.78</v>
      </c>
      <c r="E2837" s="483">
        <v>20.78</v>
      </c>
    </row>
    <row r="2838" spans="1:5" ht="30">
      <c r="A2838" s="494">
        <v>92690</v>
      </c>
      <c r="B2838" s="485" t="s">
        <v>17182</v>
      </c>
      <c r="C2838" s="484" t="s">
        <v>71</v>
      </c>
      <c r="D2838" s="486">
        <v>30.46</v>
      </c>
      <c r="E2838" s="486">
        <v>30.46</v>
      </c>
    </row>
    <row r="2839" spans="1:5" ht="45">
      <c r="A2839" s="495">
        <v>94462</v>
      </c>
      <c r="B2839" s="348" t="s">
        <v>17183</v>
      </c>
      <c r="C2839" s="349" t="s">
        <v>71</v>
      </c>
      <c r="D2839" s="483">
        <v>51.2</v>
      </c>
      <c r="E2839" s="483">
        <v>51.2</v>
      </c>
    </row>
    <row r="2840" spans="1:5" ht="45">
      <c r="A2840" s="494">
        <v>94463</v>
      </c>
      <c r="B2840" s="485" t="s">
        <v>17184</v>
      </c>
      <c r="C2840" s="484" t="s">
        <v>71</v>
      </c>
      <c r="D2840" s="486">
        <v>58.82</v>
      </c>
      <c r="E2840" s="486">
        <v>58.82</v>
      </c>
    </row>
    <row r="2841" spans="1:5" ht="45">
      <c r="A2841" s="495">
        <v>94464</v>
      </c>
      <c r="B2841" s="348" t="s">
        <v>17185</v>
      </c>
      <c r="C2841" s="349" t="s">
        <v>71</v>
      </c>
      <c r="D2841" s="483">
        <v>81.760000000000005</v>
      </c>
      <c r="E2841" s="483">
        <v>81.760000000000005</v>
      </c>
    </row>
    <row r="2842" spans="1:5" ht="45">
      <c r="A2842" s="494">
        <v>94602</v>
      </c>
      <c r="B2842" s="485" t="s">
        <v>17186</v>
      </c>
      <c r="C2842" s="484" t="s">
        <v>71</v>
      </c>
      <c r="D2842" s="486">
        <v>108.57</v>
      </c>
      <c r="E2842" s="486">
        <v>108.57</v>
      </c>
    </row>
    <row r="2843" spans="1:5" ht="45">
      <c r="A2843" s="495">
        <v>94603</v>
      </c>
      <c r="B2843" s="348" t="s">
        <v>17187</v>
      </c>
      <c r="C2843" s="349" t="s">
        <v>71</v>
      </c>
      <c r="D2843" s="483">
        <v>143.57</v>
      </c>
      <c r="E2843" s="483">
        <v>143.57</v>
      </c>
    </row>
    <row r="2844" spans="1:5" ht="45">
      <c r="A2844" s="494">
        <v>94604</v>
      </c>
      <c r="B2844" s="485" t="s">
        <v>17188</v>
      </c>
      <c r="C2844" s="484" t="s">
        <v>71</v>
      </c>
      <c r="D2844" s="486">
        <v>194.26</v>
      </c>
      <c r="E2844" s="486">
        <v>194.26</v>
      </c>
    </row>
    <row r="2845" spans="1:5" ht="45">
      <c r="A2845" s="495">
        <v>94605</v>
      </c>
      <c r="B2845" s="348" t="s">
        <v>17189</v>
      </c>
      <c r="C2845" s="349" t="s">
        <v>71</v>
      </c>
      <c r="D2845" s="483">
        <v>274.58</v>
      </c>
      <c r="E2845" s="483">
        <v>274.58</v>
      </c>
    </row>
    <row r="2846" spans="1:5" ht="30">
      <c r="A2846" s="494">
        <v>94648</v>
      </c>
      <c r="B2846" s="485" t="s">
        <v>17190</v>
      </c>
      <c r="C2846" s="484" t="s">
        <v>71</v>
      </c>
      <c r="D2846" s="486">
        <v>7.75</v>
      </c>
      <c r="E2846" s="486">
        <v>7.75</v>
      </c>
    </row>
    <row r="2847" spans="1:5" ht="30">
      <c r="A2847" s="495">
        <v>94649</v>
      </c>
      <c r="B2847" s="348" t="s">
        <v>17191</v>
      </c>
      <c r="C2847" s="349" t="s">
        <v>71</v>
      </c>
      <c r="D2847" s="483">
        <v>11.51</v>
      </c>
      <c r="E2847" s="483">
        <v>11.51</v>
      </c>
    </row>
    <row r="2848" spans="1:5" ht="30">
      <c r="A2848" s="494">
        <v>94650</v>
      </c>
      <c r="B2848" s="485" t="s">
        <v>17192</v>
      </c>
      <c r="C2848" s="484" t="s">
        <v>71</v>
      </c>
      <c r="D2848" s="486">
        <v>16.48</v>
      </c>
      <c r="E2848" s="486">
        <v>16.48</v>
      </c>
    </row>
    <row r="2849" spans="1:5" ht="30">
      <c r="A2849" s="495">
        <v>94651</v>
      </c>
      <c r="B2849" s="348" t="s">
        <v>17193</v>
      </c>
      <c r="C2849" s="349" t="s">
        <v>71</v>
      </c>
      <c r="D2849" s="483">
        <v>18.899999999999999</v>
      </c>
      <c r="E2849" s="483">
        <v>18.899999999999999</v>
      </c>
    </row>
    <row r="2850" spans="1:5" ht="30">
      <c r="A2850" s="494">
        <v>94652</v>
      </c>
      <c r="B2850" s="485" t="s">
        <v>17194</v>
      </c>
      <c r="C2850" s="484" t="s">
        <v>71</v>
      </c>
      <c r="D2850" s="486">
        <v>29.21</v>
      </c>
      <c r="E2850" s="486">
        <v>29.21</v>
      </c>
    </row>
    <row r="2851" spans="1:5" ht="30">
      <c r="A2851" s="495">
        <v>94653</v>
      </c>
      <c r="B2851" s="348" t="s">
        <v>17195</v>
      </c>
      <c r="C2851" s="349" t="s">
        <v>71</v>
      </c>
      <c r="D2851" s="483">
        <v>36.799999999999997</v>
      </c>
      <c r="E2851" s="483">
        <v>36.799999999999997</v>
      </c>
    </row>
    <row r="2852" spans="1:5" ht="30">
      <c r="A2852" s="494">
        <v>94654</v>
      </c>
      <c r="B2852" s="485" t="s">
        <v>17196</v>
      </c>
      <c r="C2852" s="484" t="s">
        <v>71</v>
      </c>
      <c r="D2852" s="486">
        <v>49.86</v>
      </c>
      <c r="E2852" s="486">
        <v>49.86</v>
      </c>
    </row>
    <row r="2853" spans="1:5" ht="30">
      <c r="A2853" s="495">
        <v>94655</v>
      </c>
      <c r="B2853" s="348" t="s">
        <v>17197</v>
      </c>
      <c r="C2853" s="349" t="s">
        <v>71</v>
      </c>
      <c r="D2853" s="483">
        <v>71.61</v>
      </c>
      <c r="E2853" s="483">
        <v>71.61</v>
      </c>
    </row>
    <row r="2854" spans="1:5" ht="30">
      <c r="A2854" s="494">
        <v>94716</v>
      </c>
      <c r="B2854" s="485" t="s">
        <v>17198</v>
      </c>
      <c r="C2854" s="484" t="s">
        <v>71</v>
      </c>
      <c r="D2854" s="486">
        <v>18.47</v>
      </c>
      <c r="E2854" s="486">
        <v>18.47</v>
      </c>
    </row>
    <row r="2855" spans="1:5" ht="30">
      <c r="A2855" s="495">
        <v>94717</v>
      </c>
      <c r="B2855" s="348" t="s">
        <v>17199</v>
      </c>
      <c r="C2855" s="349" t="s">
        <v>71</v>
      </c>
      <c r="D2855" s="483">
        <v>27.12</v>
      </c>
      <c r="E2855" s="483">
        <v>27.12</v>
      </c>
    </row>
    <row r="2856" spans="1:5" ht="30">
      <c r="A2856" s="494">
        <v>94718</v>
      </c>
      <c r="B2856" s="485" t="s">
        <v>17200</v>
      </c>
      <c r="C2856" s="484" t="s">
        <v>71</v>
      </c>
      <c r="D2856" s="486">
        <v>33.54</v>
      </c>
      <c r="E2856" s="486">
        <v>33.54</v>
      </c>
    </row>
    <row r="2857" spans="1:5" ht="30">
      <c r="A2857" s="495">
        <v>94719</v>
      </c>
      <c r="B2857" s="348" t="s">
        <v>17201</v>
      </c>
      <c r="C2857" s="349" t="s">
        <v>71</v>
      </c>
      <c r="D2857" s="483">
        <v>43.93</v>
      </c>
      <c r="E2857" s="483">
        <v>43.93</v>
      </c>
    </row>
    <row r="2858" spans="1:5" ht="30">
      <c r="A2858" s="494">
        <v>94720</v>
      </c>
      <c r="B2858" s="485" t="s">
        <v>17202</v>
      </c>
      <c r="C2858" s="484" t="s">
        <v>71</v>
      </c>
      <c r="D2858" s="486">
        <v>66.31</v>
      </c>
      <c r="E2858" s="486">
        <v>66.31</v>
      </c>
    </row>
    <row r="2859" spans="1:5" ht="30">
      <c r="A2859" s="495">
        <v>94721</v>
      </c>
      <c r="B2859" s="348" t="s">
        <v>17203</v>
      </c>
      <c r="C2859" s="349" t="s">
        <v>71</v>
      </c>
      <c r="D2859" s="483">
        <v>96.73</v>
      </c>
      <c r="E2859" s="483">
        <v>96.73</v>
      </c>
    </row>
    <row r="2860" spans="1:5" ht="30">
      <c r="A2860" s="494">
        <v>94722</v>
      </c>
      <c r="B2860" s="485" t="s">
        <v>17204</v>
      </c>
      <c r="C2860" s="484" t="s">
        <v>71</v>
      </c>
      <c r="D2860" s="486">
        <v>168.6</v>
      </c>
      <c r="E2860" s="486">
        <v>168.6</v>
      </c>
    </row>
    <row r="2861" spans="1:5" ht="30">
      <c r="A2861" s="495">
        <v>95697</v>
      </c>
      <c r="B2861" s="348" t="s">
        <v>17205</v>
      </c>
      <c r="C2861" s="349" t="s">
        <v>71</v>
      </c>
      <c r="D2861" s="483">
        <v>37.409999999999997</v>
      </c>
      <c r="E2861" s="483">
        <v>37.409999999999997</v>
      </c>
    </row>
    <row r="2862" spans="1:5">
      <c r="A2862" s="494">
        <v>72293</v>
      </c>
      <c r="B2862" s="485" t="s">
        <v>697</v>
      </c>
      <c r="C2862" s="484" t="s">
        <v>65</v>
      </c>
      <c r="D2862" s="486">
        <v>5.37</v>
      </c>
      <c r="E2862" s="486">
        <v>5.37</v>
      </c>
    </row>
    <row r="2863" spans="1:5">
      <c r="A2863" s="495">
        <v>72294</v>
      </c>
      <c r="B2863" s="348" t="s">
        <v>698</v>
      </c>
      <c r="C2863" s="349" t="s">
        <v>65</v>
      </c>
      <c r="D2863" s="483">
        <v>8.26</v>
      </c>
      <c r="E2863" s="483">
        <v>8.26</v>
      </c>
    </row>
    <row r="2864" spans="1:5">
      <c r="A2864" s="494">
        <v>72295</v>
      </c>
      <c r="B2864" s="485" t="s">
        <v>699</v>
      </c>
      <c r="C2864" s="484" t="s">
        <v>65</v>
      </c>
      <c r="D2864" s="486">
        <v>11.31</v>
      </c>
      <c r="E2864" s="486">
        <v>11.31</v>
      </c>
    </row>
    <row r="2865" spans="1:5">
      <c r="A2865" s="495">
        <v>72306</v>
      </c>
      <c r="B2865" s="348" t="s">
        <v>700</v>
      </c>
      <c r="C2865" s="349" t="s">
        <v>65</v>
      </c>
      <c r="D2865" s="483">
        <v>150.58000000000001</v>
      </c>
      <c r="E2865" s="483">
        <v>150.58000000000001</v>
      </c>
    </row>
    <row r="2866" spans="1:5">
      <c r="A2866" s="494">
        <v>72307</v>
      </c>
      <c r="B2866" s="485" t="s">
        <v>701</v>
      </c>
      <c r="C2866" s="484" t="s">
        <v>65</v>
      </c>
      <c r="D2866" s="486">
        <v>210.6</v>
      </c>
      <c r="E2866" s="486">
        <v>210.6</v>
      </c>
    </row>
    <row r="2867" spans="1:5">
      <c r="A2867" s="495">
        <v>72313</v>
      </c>
      <c r="B2867" s="348" t="s">
        <v>702</v>
      </c>
      <c r="C2867" s="349" t="s">
        <v>65</v>
      </c>
      <c r="D2867" s="483">
        <v>488.42</v>
      </c>
      <c r="E2867" s="483">
        <v>488.42</v>
      </c>
    </row>
    <row r="2868" spans="1:5">
      <c r="A2868" s="494">
        <v>72482</v>
      </c>
      <c r="B2868" s="485" t="s">
        <v>10551</v>
      </c>
      <c r="C2868" s="484" t="s">
        <v>65</v>
      </c>
      <c r="D2868" s="486">
        <v>210.43</v>
      </c>
      <c r="E2868" s="486">
        <v>210.43</v>
      </c>
    </row>
    <row r="2869" spans="1:5">
      <c r="A2869" s="495">
        <v>72619</v>
      </c>
      <c r="B2869" s="348" t="s">
        <v>6811</v>
      </c>
      <c r="C2869" s="349" t="s">
        <v>65</v>
      </c>
      <c r="D2869" s="483">
        <v>88.02</v>
      </c>
      <c r="E2869" s="483">
        <v>88.02</v>
      </c>
    </row>
    <row r="2870" spans="1:5">
      <c r="A2870" s="494">
        <v>72620</v>
      </c>
      <c r="B2870" s="485" t="s">
        <v>6812</v>
      </c>
      <c r="C2870" s="484" t="s">
        <v>65</v>
      </c>
      <c r="D2870" s="486">
        <v>153.07</v>
      </c>
      <c r="E2870" s="486">
        <v>153.07</v>
      </c>
    </row>
    <row r="2871" spans="1:5">
      <c r="A2871" s="495">
        <v>72621</v>
      </c>
      <c r="B2871" s="348" t="s">
        <v>6813</v>
      </c>
      <c r="C2871" s="349" t="s">
        <v>65</v>
      </c>
      <c r="D2871" s="483">
        <v>245.3</v>
      </c>
      <c r="E2871" s="483">
        <v>245.3</v>
      </c>
    </row>
    <row r="2872" spans="1:5">
      <c r="A2872" s="494">
        <v>72667</v>
      </c>
      <c r="B2872" s="485" t="s">
        <v>7071</v>
      </c>
      <c r="C2872" s="484" t="s">
        <v>65</v>
      </c>
      <c r="D2872" s="486">
        <v>121.85</v>
      </c>
      <c r="E2872" s="486">
        <v>121.85</v>
      </c>
    </row>
    <row r="2873" spans="1:5">
      <c r="A2873" s="495">
        <v>72668</v>
      </c>
      <c r="B2873" s="348" t="s">
        <v>7070</v>
      </c>
      <c r="C2873" s="349" t="s">
        <v>65</v>
      </c>
      <c r="D2873" s="483">
        <v>121.17</v>
      </c>
      <c r="E2873" s="483">
        <v>121.17</v>
      </c>
    </row>
    <row r="2874" spans="1:5">
      <c r="A2874" s="494">
        <v>72669</v>
      </c>
      <c r="B2874" s="485" t="s">
        <v>7072</v>
      </c>
      <c r="C2874" s="484" t="s">
        <v>65</v>
      </c>
      <c r="D2874" s="486">
        <v>125.09</v>
      </c>
      <c r="E2874" s="486">
        <v>125.09</v>
      </c>
    </row>
    <row r="2875" spans="1:5">
      <c r="A2875" s="495">
        <v>72681</v>
      </c>
      <c r="B2875" s="348" t="s">
        <v>7657</v>
      </c>
      <c r="C2875" s="349" t="s">
        <v>65</v>
      </c>
      <c r="D2875" s="483">
        <v>85.53</v>
      </c>
      <c r="E2875" s="483">
        <v>85.53</v>
      </c>
    </row>
    <row r="2876" spans="1:5">
      <c r="A2876" s="494">
        <v>72682</v>
      </c>
      <c r="B2876" s="485" t="s">
        <v>7658</v>
      </c>
      <c r="C2876" s="484" t="s">
        <v>65</v>
      </c>
      <c r="D2876" s="486">
        <v>171.11</v>
      </c>
      <c r="E2876" s="486">
        <v>171.11</v>
      </c>
    </row>
    <row r="2877" spans="1:5">
      <c r="A2877" s="495">
        <v>72683</v>
      </c>
      <c r="B2877" s="348" t="s">
        <v>7659</v>
      </c>
      <c r="C2877" s="349" t="s">
        <v>65</v>
      </c>
      <c r="D2877" s="483">
        <v>274.3</v>
      </c>
      <c r="E2877" s="483">
        <v>274.3</v>
      </c>
    </row>
    <row r="2878" spans="1:5">
      <c r="A2878" s="494">
        <v>72719</v>
      </c>
      <c r="B2878" s="485" t="s">
        <v>9230</v>
      </c>
      <c r="C2878" s="484" t="s">
        <v>65</v>
      </c>
      <c r="D2878" s="486">
        <v>188.69</v>
      </c>
      <c r="E2878" s="486">
        <v>188.69</v>
      </c>
    </row>
    <row r="2879" spans="1:5">
      <c r="A2879" s="495">
        <v>72720</v>
      </c>
      <c r="B2879" s="348" t="s">
        <v>9231</v>
      </c>
      <c r="C2879" s="349" t="s">
        <v>65</v>
      </c>
      <c r="D2879" s="483">
        <v>259.27</v>
      </c>
      <c r="E2879" s="483">
        <v>259.27</v>
      </c>
    </row>
    <row r="2880" spans="1:5">
      <c r="A2880" s="494">
        <v>72721</v>
      </c>
      <c r="B2880" s="485" t="s">
        <v>9232</v>
      </c>
      <c r="C2880" s="484" t="s">
        <v>65</v>
      </c>
      <c r="D2880" s="486">
        <v>558.84</v>
      </c>
      <c r="E2880" s="486">
        <v>558.84</v>
      </c>
    </row>
    <row r="2881" spans="1:5" ht="30">
      <c r="A2881" s="495">
        <v>89358</v>
      </c>
      <c r="B2881" s="348" t="s">
        <v>17206</v>
      </c>
      <c r="C2881" s="349" t="s">
        <v>65</v>
      </c>
      <c r="D2881" s="483">
        <v>5.32</v>
      </c>
      <c r="E2881" s="483">
        <v>5.32</v>
      </c>
    </row>
    <row r="2882" spans="1:5" ht="30">
      <c r="A2882" s="494">
        <v>89359</v>
      </c>
      <c r="B2882" s="485" t="s">
        <v>17207</v>
      </c>
      <c r="C2882" s="484" t="s">
        <v>65</v>
      </c>
      <c r="D2882" s="486">
        <v>5.54</v>
      </c>
      <c r="E2882" s="486">
        <v>5.54</v>
      </c>
    </row>
    <row r="2883" spans="1:5" ht="30">
      <c r="A2883" s="495">
        <v>89360</v>
      </c>
      <c r="B2883" s="348" t="s">
        <v>17208</v>
      </c>
      <c r="C2883" s="349" t="s">
        <v>65</v>
      </c>
      <c r="D2883" s="483">
        <v>6.4</v>
      </c>
      <c r="E2883" s="483">
        <v>6.4</v>
      </c>
    </row>
    <row r="2884" spans="1:5" ht="30">
      <c r="A2884" s="494">
        <v>89361</v>
      </c>
      <c r="B2884" s="485" t="s">
        <v>17209</v>
      </c>
      <c r="C2884" s="484" t="s">
        <v>65</v>
      </c>
      <c r="D2884" s="486">
        <v>6.33</v>
      </c>
      <c r="E2884" s="486">
        <v>6.33</v>
      </c>
    </row>
    <row r="2885" spans="1:5" ht="30">
      <c r="A2885" s="495">
        <v>89362</v>
      </c>
      <c r="B2885" s="348" t="s">
        <v>17210</v>
      </c>
      <c r="C2885" s="349" t="s">
        <v>65</v>
      </c>
      <c r="D2885" s="483">
        <v>6.36</v>
      </c>
      <c r="E2885" s="483">
        <v>6.36</v>
      </c>
    </row>
    <row r="2886" spans="1:5" ht="30">
      <c r="A2886" s="494">
        <v>89363</v>
      </c>
      <c r="B2886" s="485" t="s">
        <v>17211</v>
      </c>
      <c r="C2886" s="484" t="s">
        <v>65</v>
      </c>
      <c r="D2886" s="486">
        <v>6.85</v>
      </c>
      <c r="E2886" s="486">
        <v>6.85</v>
      </c>
    </row>
    <row r="2887" spans="1:5" ht="30">
      <c r="A2887" s="495">
        <v>89364</v>
      </c>
      <c r="B2887" s="348" t="s">
        <v>17212</v>
      </c>
      <c r="C2887" s="349" t="s">
        <v>65</v>
      </c>
      <c r="D2887" s="483">
        <v>7.91</v>
      </c>
      <c r="E2887" s="483">
        <v>7.91</v>
      </c>
    </row>
    <row r="2888" spans="1:5" ht="30">
      <c r="A2888" s="494">
        <v>89365</v>
      </c>
      <c r="B2888" s="485" t="s">
        <v>17213</v>
      </c>
      <c r="C2888" s="484" t="s">
        <v>65</v>
      </c>
      <c r="D2888" s="486">
        <v>7.47</v>
      </c>
      <c r="E2888" s="486">
        <v>7.47</v>
      </c>
    </row>
    <row r="2889" spans="1:5" ht="30">
      <c r="A2889" s="495">
        <v>89366</v>
      </c>
      <c r="B2889" s="348" t="s">
        <v>17214</v>
      </c>
      <c r="C2889" s="349" t="s">
        <v>65</v>
      </c>
      <c r="D2889" s="483">
        <v>11.44</v>
      </c>
      <c r="E2889" s="483">
        <v>11.44</v>
      </c>
    </row>
    <row r="2890" spans="1:5" ht="30">
      <c r="A2890" s="494">
        <v>89367</v>
      </c>
      <c r="B2890" s="485" t="s">
        <v>17215</v>
      </c>
      <c r="C2890" s="484" t="s">
        <v>65</v>
      </c>
      <c r="D2890" s="486">
        <v>8.56</v>
      </c>
      <c r="E2890" s="486">
        <v>8.56</v>
      </c>
    </row>
    <row r="2891" spans="1:5" ht="30">
      <c r="A2891" s="495">
        <v>89368</v>
      </c>
      <c r="B2891" s="348" t="s">
        <v>17216</v>
      </c>
      <c r="C2891" s="349" t="s">
        <v>65</v>
      </c>
      <c r="D2891" s="483">
        <v>9.92</v>
      </c>
      <c r="E2891" s="483">
        <v>9.92</v>
      </c>
    </row>
    <row r="2892" spans="1:5" ht="30">
      <c r="A2892" s="494">
        <v>89369</v>
      </c>
      <c r="B2892" s="485" t="s">
        <v>17217</v>
      </c>
      <c r="C2892" s="484" t="s">
        <v>65</v>
      </c>
      <c r="D2892" s="486">
        <v>11.33</v>
      </c>
      <c r="E2892" s="486">
        <v>11.33</v>
      </c>
    </row>
    <row r="2893" spans="1:5" ht="30">
      <c r="A2893" s="495">
        <v>89370</v>
      </c>
      <c r="B2893" s="348" t="s">
        <v>17218</v>
      </c>
      <c r="C2893" s="349" t="s">
        <v>65</v>
      </c>
      <c r="D2893" s="483">
        <v>9.76</v>
      </c>
      <c r="E2893" s="483">
        <v>9.76</v>
      </c>
    </row>
    <row r="2894" spans="1:5" ht="30">
      <c r="A2894" s="494">
        <v>89371</v>
      </c>
      <c r="B2894" s="485" t="s">
        <v>7167</v>
      </c>
      <c r="C2894" s="484" t="s">
        <v>65</v>
      </c>
      <c r="D2894" s="486">
        <v>4.05</v>
      </c>
      <c r="E2894" s="486">
        <v>4.05</v>
      </c>
    </row>
    <row r="2895" spans="1:5" ht="30">
      <c r="A2895" s="495">
        <v>89372</v>
      </c>
      <c r="B2895" s="348" t="s">
        <v>17219</v>
      </c>
      <c r="C2895" s="349" t="s">
        <v>65</v>
      </c>
      <c r="D2895" s="483">
        <v>10.57</v>
      </c>
      <c r="E2895" s="483">
        <v>10.57</v>
      </c>
    </row>
    <row r="2896" spans="1:5" ht="30">
      <c r="A2896" s="494">
        <v>89373</v>
      </c>
      <c r="B2896" s="485" t="s">
        <v>6987</v>
      </c>
      <c r="C2896" s="484" t="s">
        <v>65</v>
      </c>
      <c r="D2896" s="486">
        <v>4.51</v>
      </c>
      <c r="E2896" s="486">
        <v>4.51</v>
      </c>
    </row>
    <row r="2897" spans="1:5" ht="30">
      <c r="A2897" s="495">
        <v>89374</v>
      </c>
      <c r="B2897" s="348" t="s">
        <v>17220</v>
      </c>
      <c r="C2897" s="349" t="s">
        <v>65</v>
      </c>
      <c r="D2897" s="483">
        <v>7.8</v>
      </c>
      <c r="E2897" s="483">
        <v>7.8</v>
      </c>
    </row>
    <row r="2898" spans="1:5" ht="30">
      <c r="A2898" s="494">
        <v>89375</v>
      </c>
      <c r="B2898" s="485" t="s">
        <v>10619</v>
      </c>
      <c r="C2898" s="484" t="s">
        <v>65</v>
      </c>
      <c r="D2898" s="486">
        <v>8.76</v>
      </c>
      <c r="E2898" s="486">
        <v>8.76</v>
      </c>
    </row>
    <row r="2899" spans="1:5" ht="30">
      <c r="A2899" s="495">
        <v>89376</v>
      </c>
      <c r="B2899" s="348" t="s">
        <v>17221</v>
      </c>
      <c r="C2899" s="349" t="s">
        <v>65</v>
      </c>
      <c r="D2899" s="483">
        <v>4.12</v>
      </c>
      <c r="E2899" s="483">
        <v>4.12</v>
      </c>
    </row>
    <row r="2900" spans="1:5" ht="30">
      <c r="A2900" s="494">
        <v>89377</v>
      </c>
      <c r="B2900" s="485" t="s">
        <v>17222</v>
      </c>
      <c r="C2900" s="484" t="s">
        <v>65</v>
      </c>
      <c r="D2900" s="486">
        <v>6.26</v>
      </c>
      <c r="E2900" s="486">
        <v>6.26</v>
      </c>
    </row>
    <row r="2901" spans="1:5" ht="30">
      <c r="A2901" s="495">
        <v>89378</v>
      </c>
      <c r="B2901" s="348" t="s">
        <v>7171</v>
      </c>
      <c r="C2901" s="349" t="s">
        <v>65</v>
      </c>
      <c r="D2901" s="483">
        <v>4.7300000000000004</v>
      </c>
      <c r="E2901" s="483">
        <v>4.7300000000000004</v>
      </c>
    </row>
    <row r="2902" spans="1:5" ht="30">
      <c r="A2902" s="494">
        <v>89379</v>
      </c>
      <c r="B2902" s="485" t="s">
        <v>17223</v>
      </c>
      <c r="C2902" s="484" t="s">
        <v>65</v>
      </c>
      <c r="D2902" s="486">
        <v>14.11</v>
      </c>
      <c r="E2902" s="486">
        <v>14.11</v>
      </c>
    </row>
    <row r="2903" spans="1:5" ht="30">
      <c r="A2903" s="495">
        <v>89380</v>
      </c>
      <c r="B2903" s="348" t="s">
        <v>6990</v>
      </c>
      <c r="C2903" s="349" t="s">
        <v>65</v>
      </c>
      <c r="D2903" s="483">
        <v>6.61</v>
      </c>
      <c r="E2903" s="483">
        <v>6.61</v>
      </c>
    </row>
    <row r="2904" spans="1:5" ht="30">
      <c r="A2904" s="494">
        <v>89381</v>
      </c>
      <c r="B2904" s="485" t="s">
        <v>17224</v>
      </c>
      <c r="C2904" s="484" t="s">
        <v>65</v>
      </c>
      <c r="D2904" s="486">
        <v>9.8699999999999992</v>
      </c>
      <c r="E2904" s="486">
        <v>9.8699999999999992</v>
      </c>
    </row>
    <row r="2905" spans="1:5" ht="30">
      <c r="A2905" s="495">
        <v>89382</v>
      </c>
      <c r="B2905" s="348" t="s">
        <v>10622</v>
      </c>
      <c r="C2905" s="349" t="s">
        <v>65</v>
      </c>
      <c r="D2905" s="483">
        <v>10.33</v>
      </c>
      <c r="E2905" s="483">
        <v>10.33</v>
      </c>
    </row>
    <row r="2906" spans="1:5" ht="30">
      <c r="A2906" s="494">
        <v>89383</v>
      </c>
      <c r="B2906" s="485" t="s">
        <v>17225</v>
      </c>
      <c r="C2906" s="484" t="s">
        <v>65</v>
      </c>
      <c r="D2906" s="486">
        <v>4.82</v>
      </c>
      <c r="E2906" s="486">
        <v>4.82</v>
      </c>
    </row>
    <row r="2907" spans="1:5" ht="30">
      <c r="A2907" s="495">
        <v>89384</v>
      </c>
      <c r="B2907" s="348" t="s">
        <v>17226</v>
      </c>
      <c r="C2907" s="349" t="s">
        <v>65</v>
      </c>
      <c r="D2907" s="483">
        <v>8.65</v>
      </c>
      <c r="E2907" s="483">
        <v>8.65</v>
      </c>
    </row>
    <row r="2908" spans="1:5" ht="30">
      <c r="A2908" s="494">
        <v>89385</v>
      </c>
      <c r="B2908" s="485" t="s">
        <v>17227</v>
      </c>
      <c r="C2908" s="484" t="s">
        <v>65</v>
      </c>
      <c r="D2908" s="486">
        <v>5.28</v>
      </c>
      <c r="E2908" s="486">
        <v>5.28</v>
      </c>
    </row>
    <row r="2909" spans="1:5" ht="30">
      <c r="A2909" s="495">
        <v>89386</v>
      </c>
      <c r="B2909" s="348" t="s">
        <v>7174</v>
      </c>
      <c r="C2909" s="349" t="s">
        <v>65</v>
      </c>
      <c r="D2909" s="483">
        <v>6.33</v>
      </c>
      <c r="E2909" s="483">
        <v>6.33</v>
      </c>
    </row>
    <row r="2910" spans="1:5" ht="30">
      <c r="A2910" s="494">
        <v>89387</v>
      </c>
      <c r="B2910" s="485" t="s">
        <v>17228</v>
      </c>
      <c r="C2910" s="484" t="s">
        <v>65</v>
      </c>
      <c r="D2910" s="486">
        <v>21.96</v>
      </c>
      <c r="E2910" s="486">
        <v>21.96</v>
      </c>
    </row>
    <row r="2911" spans="1:5" ht="30">
      <c r="A2911" s="495">
        <v>89388</v>
      </c>
      <c r="B2911" s="348" t="s">
        <v>6993</v>
      </c>
      <c r="C2911" s="349" t="s">
        <v>65</v>
      </c>
      <c r="D2911" s="483">
        <v>8.0500000000000007</v>
      </c>
      <c r="E2911" s="483">
        <v>8.0500000000000007</v>
      </c>
    </row>
    <row r="2912" spans="1:5" ht="30">
      <c r="A2912" s="494">
        <v>89389</v>
      </c>
      <c r="B2912" s="485" t="s">
        <v>17229</v>
      </c>
      <c r="C2912" s="484" t="s">
        <v>65</v>
      </c>
      <c r="D2912" s="486">
        <v>8.8000000000000007</v>
      </c>
      <c r="E2912" s="486">
        <v>8.8000000000000007</v>
      </c>
    </row>
    <row r="2913" spans="1:5" ht="30">
      <c r="A2913" s="495">
        <v>89390</v>
      </c>
      <c r="B2913" s="348" t="s">
        <v>10625</v>
      </c>
      <c r="C2913" s="349" t="s">
        <v>65</v>
      </c>
      <c r="D2913" s="483">
        <v>15.51</v>
      </c>
      <c r="E2913" s="483">
        <v>15.51</v>
      </c>
    </row>
    <row r="2914" spans="1:5" ht="30">
      <c r="A2914" s="494">
        <v>89391</v>
      </c>
      <c r="B2914" s="485" t="s">
        <v>17230</v>
      </c>
      <c r="C2914" s="484" t="s">
        <v>65</v>
      </c>
      <c r="D2914" s="486">
        <v>6.41</v>
      </c>
      <c r="E2914" s="486">
        <v>6.41</v>
      </c>
    </row>
    <row r="2915" spans="1:5" ht="30">
      <c r="A2915" s="495">
        <v>89392</v>
      </c>
      <c r="B2915" s="348" t="s">
        <v>17231</v>
      </c>
      <c r="C2915" s="349" t="s">
        <v>65</v>
      </c>
      <c r="D2915" s="483">
        <v>16.78</v>
      </c>
      <c r="E2915" s="483">
        <v>16.78</v>
      </c>
    </row>
    <row r="2916" spans="1:5" ht="30">
      <c r="A2916" s="494">
        <v>89393</v>
      </c>
      <c r="B2916" s="485" t="s">
        <v>9466</v>
      </c>
      <c r="C2916" s="484" t="s">
        <v>65</v>
      </c>
      <c r="D2916" s="486">
        <v>7.39</v>
      </c>
      <c r="E2916" s="486">
        <v>7.39</v>
      </c>
    </row>
    <row r="2917" spans="1:5" ht="30">
      <c r="A2917" s="495">
        <v>89394</v>
      </c>
      <c r="B2917" s="348" t="s">
        <v>17232</v>
      </c>
      <c r="C2917" s="349" t="s">
        <v>65</v>
      </c>
      <c r="D2917" s="483">
        <v>13.84</v>
      </c>
      <c r="E2917" s="483">
        <v>13.84</v>
      </c>
    </row>
    <row r="2918" spans="1:5" ht="30">
      <c r="A2918" s="494">
        <v>89395</v>
      </c>
      <c r="B2918" s="485" t="s">
        <v>9470</v>
      </c>
      <c r="C2918" s="484" t="s">
        <v>65</v>
      </c>
      <c r="D2918" s="486">
        <v>8.84</v>
      </c>
      <c r="E2918" s="486">
        <v>8.84</v>
      </c>
    </row>
    <row r="2919" spans="1:5" ht="30">
      <c r="A2919" s="495">
        <v>89396</v>
      </c>
      <c r="B2919" s="348" t="s">
        <v>17233</v>
      </c>
      <c r="C2919" s="349" t="s">
        <v>65</v>
      </c>
      <c r="D2919" s="483">
        <v>15.68</v>
      </c>
      <c r="E2919" s="483">
        <v>15.68</v>
      </c>
    </row>
    <row r="2920" spans="1:5" ht="30">
      <c r="A2920" s="494">
        <v>89397</v>
      </c>
      <c r="B2920" s="485" t="s">
        <v>17234</v>
      </c>
      <c r="C2920" s="484" t="s">
        <v>65</v>
      </c>
      <c r="D2920" s="486">
        <v>10.27</v>
      </c>
      <c r="E2920" s="486">
        <v>10.27</v>
      </c>
    </row>
    <row r="2921" spans="1:5" ht="30">
      <c r="A2921" s="495">
        <v>89398</v>
      </c>
      <c r="B2921" s="348" t="s">
        <v>9474</v>
      </c>
      <c r="C2921" s="349" t="s">
        <v>65</v>
      </c>
      <c r="D2921" s="483">
        <v>12.03</v>
      </c>
      <c r="E2921" s="483">
        <v>12.03</v>
      </c>
    </row>
    <row r="2922" spans="1:5" ht="30">
      <c r="A2922" s="494">
        <v>89399</v>
      </c>
      <c r="B2922" s="485" t="s">
        <v>17235</v>
      </c>
      <c r="C2922" s="484" t="s">
        <v>65</v>
      </c>
      <c r="D2922" s="486">
        <v>22.99</v>
      </c>
      <c r="E2922" s="486">
        <v>22.99</v>
      </c>
    </row>
    <row r="2923" spans="1:5" ht="30">
      <c r="A2923" s="495">
        <v>89400</v>
      </c>
      <c r="B2923" s="348" t="s">
        <v>17236</v>
      </c>
      <c r="C2923" s="349" t="s">
        <v>65</v>
      </c>
      <c r="D2923" s="483">
        <v>14.27</v>
      </c>
      <c r="E2923" s="483">
        <v>14.27</v>
      </c>
    </row>
    <row r="2924" spans="1:5" ht="30">
      <c r="A2924" s="494">
        <v>89404</v>
      </c>
      <c r="B2924" s="485" t="s">
        <v>17237</v>
      </c>
      <c r="C2924" s="484" t="s">
        <v>65</v>
      </c>
      <c r="D2924" s="486">
        <v>3.54</v>
      </c>
      <c r="E2924" s="486">
        <v>3.54</v>
      </c>
    </row>
    <row r="2925" spans="1:5" ht="30">
      <c r="A2925" s="495">
        <v>89405</v>
      </c>
      <c r="B2925" s="348" t="s">
        <v>17238</v>
      </c>
      <c r="C2925" s="349" t="s">
        <v>65</v>
      </c>
      <c r="D2925" s="483">
        <v>3.76</v>
      </c>
      <c r="E2925" s="483">
        <v>3.76</v>
      </c>
    </row>
    <row r="2926" spans="1:5" ht="30">
      <c r="A2926" s="494">
        <v>89406</v>
      </c>
      <c r="B2926" s="485" t="s">
        <v>17239</v>
      </c>
      <c r="C2926" s="484" t="s">
        <v>65</v>
      </c>
      <c r="D2926" s="486">
        <v>4.62</v>
      </c>
      <c r="E2926" s="486">
        <v>4.62</v>
      </c>
    </row>
    <row r="2927" spans="1:5" ht="30">
      <c r="A2927" s="495">
        <v>89407</v>
      </c>
      <c r="B2927" s="348" t="s">
        <v>17240</v>
      </c>
      <c r="C2927" s="349" t="s">
        <v>65</v>
      </c>
      <c r="D2927" s="483">
        <v>4.55</v>
      </c>
      <c r="E2927" s="483">
        <v>4.55</v>
      </c>
    </row>
    <row r="2928" spans="1:5" ht="30">
      <c r="A2928" s="494">
        <v>89408</v>
      </c>
      <c r="B2928" s="485" t="s">
        <v>17241</v>
      </c>
      <c r="C2928" s="484" t="s">
        <v>65</v>
      </c>
      <c r="D2928" s="486">
        <v>4.3099999999999996</v>
      </c>
      <c r="E2928" s="486">
        <v>4.3099999999999996</v>
      </c>
    </row>
    <row r="2929" spans="1:5" ht="30">
      <c r="A2929" s="495">
        <v>89409</v>
      </c>
      <c r="B2929" s="348" t="s">
        <v>17242</v>
      </c>
      <c r="C2929" s="349" t="s">
        <v>65</v>
      </c>
      <c r="D2929" s="483">
        <v>4.8</v>
      </c>
      <c r="E2929" s="483">
        <v>4.8</v>
      </c>
    </row>
    <row r="2930" spans="1:5" ht="30">
      <c r="A2930" s="494">
        <v>89410</v>
      </c>
      <c r="B2930" s="485" t="s">
        <v>17243</v>
      </c>
      <c r="C2930" s="484" t="s">
        <v>65</v>
      </c>
      <c r="D2930" s="486">
        <v>5.86</v>
      </c>
      <c r="E2930" s="486">
        <v>5.86</v>
      </c>
    </row>
    <row r="2931" spans="1:5" ht="30">
      <c r="A2931" s="495">
        <v>89411</v>
      </c>
      <c r="B2931" s="348" t="s">
        <v>17244</v>
      </c>
      <c r="C2931" s="349" t="s">
        <v>65</v>
      </c>
      <c r="D2931" s="483">
        <v>5.42</v>
      </c>
      <c r="E2931" s="483">
        <v>5.42</v>
      </c>
    </row>
    <row r="2932" spans="1:5" ht="30">
      <c r="A2932" s="494">
        <v>89412</v>
      </c>
      <c r="B2932" s="485" t="s">
        <v>17245</v>
      </c>
      <c r="C2932" s="484" t="s">
        <v>65</v>
      </c>
      <c r="D2932" s="486">
        <v>6.11</v>
      </c>
      <c r="E2932" s="486">
        <v>6.11</v>
      </c>
    </row>
    <row r="2933" spans="1:5" ht="30">
      <c r="A2933" s="495">
        <v>89413</v>
      </c>
      <c r="B2933" s="348" t="s">
        <v>17246</v>
      </c>
      <c r="C2933" s="349" t="s">
        <v>65</v>
      </c>
      <c r="D2933" s="483">
        <v>6.1</v>
      </c>
      <c r="E2933" s="483">
        <v>6.1</v>
      </c>
    </row>
    <row r="2934" spans="1:5" ht="30">
      <c r="A2934" s="494">
        <v>89414</v>
      </c>
      <c r="B2934" s="485" t="s">
        <v>17247</v>
      </c>
      <c r="C2934" s="484" t="s">
        <v>65</v>
      </c>
      <c r="D2934" s="486">
        <v>7.46</v>
      </c>
      <c r="E2934" s="486">
        <v>7.46</v>
      </c>
    </row>
    <row r="2935" spans="1:5" ht="30">
      <c r="A2935" s="495">
        <v>89415</v>
      </c>
      <c r="B2935" s="348" t="s">
        <v>17248</v>
      </c>
      <c r="C2935" s="349" t="s">
        <v>65</v>
      </c>
      <c r="D2935" s="483">
        <v>8.8699999999999992</v>
      </c>
      <c r="E2935" s="483">
        <v>8.8699999999999992</v>
      </c>
    </row>
    <row r="2936" spans="1:5" ht="30">
      <c r="A2936" s="494">
        <v>89416</v>
      </c>
      <c r="B2936" s="485" t="s">
        <v>17249</v>
      </c>
      <c r="C2936" s="484" t="s">
        <v>65</v>
      </c>
      <c r="D2936" s="486">
        <v>7.3</v>
      </c>
      <c r="E2936" s="486">
        <v>7.3</v>
      </c>
    </row>
    <row r="2937" spans="1:5" ht="30">
      <c r="A2937" s="495">
        <v>89417</v>
      </c>
      <c r="B2937" s="348" t="s">
        <v>17250</v>
      </c>
      <c r="C2937" s="349" t="s">
        <v>65</v>
      </c>
      <c r="D2937" s="483">
        <v>2.88</v>
      </c>
      <c r="E2937" s="483">
        <v>2.88</v>
      </c>
    </row>
    <row r="2938" spans="1:5" ht="30">
      <c r="A2938" s="494">
        <v>89418</v>
      </c>
      <c r="B2938" s="485" t="s">
        <v>17251</v>
      </c>
      <c r="C2938" s="484" t="s">
        <v>65</v>
      </c>
      <c r="D2938" s="486">
        <v>9.4</v>
      </c>
      <c r="E2938" s="486">
        <v>9.4</v>
      </c>
    </row>
    <row r="2939" spans="1:5" ht="30">
      <c r="A2939" s="495">
        <v>89419</v>
      </c>
      <c r="B2939" s="348" t="s">
        <v>6986</v>
      </c>
      <c r="C2939" s="349" t="s">
        <v>65</v>
      </c>
      <c r="D2939" s="483">
        <v>3.34</v>
      </c>
      <c r="E2939" s="483">
        <v>3.34</v>
      </c>
    </row>
    <row r="2940" spans="1:5" ht="30">
      <c r="A2940" s="494">
        <v>89420</v>
      </c>
      <c r="B2940" s="485" t="s">
        <v>17252</v>
      </c>
      <c r="C2940" s="484" t="s">
        <v>65</v>
      </c>
      <c r="D2940" s="486">
        <v>6.63</v>
      </c>
      <c r="E2940" s="486">
        <v>6.63</v>
      </c>
    </row>
    <row r="2941" spans="1:5" ht="30">
      <c r="A2941" s="495">
        <v>89421</v>
      </c>
      <c r="B2941" s="348" t="s">
        <v>17253</v>
      </c>
      <c r="C2941" s="349" t="s">
        <v>65</v>
      </c>
      <c r="D2941" s="483">
        <v>7.59</v>
      </c>
      <c r="E2941" s="483">
        <v>7.59</v>
      </c>
    </row>
    <row r="2942" spans="1:5" ht="30">
      <c r="A2942" s="494">
        <v>89422</v>
      </c>
      <c r="B2942" s="485" t="s">
        <v>17254</v>
      </c>
      <c r="C2942" s="484" t="s">
        <v>65</v>
      </c>
      <c r="D2942" s="486">
        <v>2.95</v>
      </c>
      <c r="E2942" s="486">
        <v>2.95</v>
      </c>
    </row>
    <row r="2943" spans="1:5" ht="30">
      <c r="A2943" s="495">
        <v>89423</v>
      </c>
      <c r="B2943" s="348" t="s">
        <v>17255</v>
      </c>
      <c r="C2943" s="349" t="s">
        <v>65</v>
      </c>
      <c r="D2943" s="483">
        <v>5.43</v>
      </c>
      <c r="E2943" s="483">
        <v>5.43</v>
      </c>
    </row>
    <row r="2944" spans="1:5" ht="30">
      <c r="A2944" s="494">
        <v>89424</v>
      </c>
      <c r="B2944" s="485" t="s">
        <v>17256</v>
      </c>
      <c r="C2944" s="484" t="s">
        <v>65</v>
      </c>
      <c r="D2944" s="486">
        <v>3.35</v>
      </c>
      <c r="E2944" s="486">
        <v>3.35</v>
      </c>
    </row>
    <row r="2945" spans="1:5" ht="30">
      <c r="A2945" s="495">
        <v>89425</v>
      </c>
      <c r="B2945" s="348" t="s">
        <v>17257</v>
      </c>
      <c r="C2945" s="349" t="s">
        <v>65</v>
      </c>
      <c r="D2945" s="483">
        <v>12.73</v>
      </c>
      <c r="E2945" s="483">
        <v>12.73</v>
      </c>
    </row>
    <row r="2946" spans="1:5" ht="30">
      <c r="A2946" s="494">
        <v>89426</v>
      </c>
      <c r="B2946" s="485" t="s">
        <v>6989</v>
      </c>
      <c r="C2946" s="484" t="s">
        <v>65</v>
      </c>
      <c r="D2946" s="486">
        <v>5.23</v>
      </c>
      <c r="E2946" s="486">
        <v>5.23</v>
      </c>
    </row>
    <row r="2947" spans="1:5" ht="30">
      <c r="A2947" s="495">
        <v>89427</v>
      </c>
      <c r="B2947" s="348" t="s">
        <v>17258</v>
      </c>
      <c r="C2947" s="349" t="s">
        <v>65</v>
      </c>
      <c r="D2947" s="483">
        <v>8.49</v>
      </c>
      <c r="E2947" s="483">
        <v>8.49</v>
      </c>
    </row>
    <row r="2948" spans="1:5" ht="30">
      <c r="A2948" s="494">
        <v>89428</v>
      </c>
      <c r="B2948" s="485" t="s">
        <v>17259</v>
      </c>
      <c r="C2948" s="484" t="s">
        <v>65</v>
      </c>
      <c r="D2948" s="486">
        <v>8.9499999999999993</v>
      </c>
      <c r="E2948" s="486">
        <v>8.9499999999999993</v>
      </c>
    </row>
    <row r="2949" spans="1:5" ht="30">
      <c r="A2949" s="495">
        <v>89429</v>
      </c>
      <c r="B2949" s="348" t="s">
        <v>17260</v>
      </c>
      <c r="C2949" s="349" t="s">
        <v>65</v>
      </c>
      <c r="D2949" s="483">
        <v>3.44</v>
      </c>
      <c r="E2949" s="483">
        <v>3.44</v>
      </c>
    </row>
    <row r="2950" spans="1:5" ht="30">
      <c r="A2950" s="494">
        <v>89430</v>
      </c>
      <c r="B2950" s="485" t="s">
        <v>17261</v>
      </c>
      <c r="C2950" s="484" t="s">
        <v>65</v>
      </c>
      <c r="D2950" s="486">
        <v>7.27</v>
      </c>
      <c r="E2950" s="486">
        <v>7.27</v>
      </c>
    </row>
    <row r="2951" spans="1:5" ht="30">
      <c r="A2951" s="495">
        <v>89431</v>
      </c>
      <c r="B2951" s="348" t="s">
        <v>17262</v>
      </c>
      <c r="C2951" s="349" t="s">
        <v>65</v>
      </c>
      <c r="D2951" s="483">
        <v>4.68</v>
      </c>
      <c r="E2951" s="483">
        <v>4.68</v>
      </c>
    </row>
    <row r="2952" spans="1:5" ht="30">
      <c r="A2952" s="494">
        <v>89432</v>
      </c>
      <c r="B2952" s="485" t="s">
        <v>17263</v>
      </c>
      <c r="C2952" s="484" t="s">
        <v>65</v>
      </c>
      <c r="D2952" s="486">
        <v>20.309999999999999</v>
      </c>
      <c r="E2952" s="486">
        <v>20.309999999999999</v>
      </c>
    </row>
    <row r="2953" spans="1:5" ht="30">
      <c r="A2953" s="495">
        <v>89433</v>
      </c>
      <c r="B2953" s="348" t="s">
        <v>6992</v>
      </c>
      <c r="C2953" s="349" t="s">
        <v>65</v>
      </c>
      <c r="D2953" s="483">
        <v>6.4</v>
      </c>
      <c r="E2953" s="483">
        <v>6.4</v>
      </c>
    </row>
    <row r="2954" spans="1:5" ht="30">
      <c r="A2954" s="494">
        <v>89434</v>
      </c>
      <c r="B2954" s="485" t="s">
        <v>17264</v>
      </c>
      <c r="C2954" s="484" t="s">
        <v>65</v>
      </c>
      <c r="D2954" s="486">
        <v>7.15</v>
      </c>
      <c r="E2954" s="486">
        <v>7.15</v>
      </c>
    </row>
    <row r="2955" spans="1:5" ht="30">
      <c r="A2955" s="495">
        <v>89435</v>
      </c>
      <c r="B2955" s="348" t="s">
        <v>17265</v>
      </c>
      <c r="C2955" s="349" t="s">
        <v>65</v>
      </c>
      <c r="D2955" s="483">
        <v>13.86</v>
      </c>
      <c r="E2955" s="483">
        <v>13.86</v>
      </c>
    </row>
    <row r="2956" spans="1:5" ht="30">
      <c r="A2956" s="494">
        <v>89436</v>
      </c>
      <c r="B2956" s="485" t="s">
        <v>17266</v>
      </c>
      <c r="C2956" s="484" t="s">
        <v>65</v>
      </c>
      <c r="D2956" s="486">
        <v>4.76</v>
      </c>
      <c r="E2956" s="486">
        <v>4.76</v>
      </c>
    </row>
    <row r="2957" spans="1:5" ht="30">
      <c r="A2957" s="495">
        <v>89437</v>
      </c>
      <c r="B2957" s="348" t="s">
        <v>17267</v>
      </c>
      <c r="C2957" s="349" t="s">
        <v>65</v>
      </c>
      <c r="D2957" s="483">
        <v>15.13</v>
      </c>
      <c r="E2957" s="483">
        <v>15.13</v>
      </c>
    </row>
    <row r="2958" spans="1:5" ht="30">
      <c r="A2958" s="494">
        <v>89438</v>
      </c>
      <c r="B2958" s="485" t="s">
        <v>9465</v>
      </c>
      <c r="C2958" s="484" t="s">
        <v>65</v>
      </c>
      <c r="D2958" s="486">
        <v>5.0199999999999996</v>
      </c>
      <c r="E2958" s="486">
        <v>5.0199999999999996</v>
      </c>
    </row>
    <row r="2959" spans="1:5" ht="30">
      <c r="A2959" s="495">
        <v>89439</v>
      </c>
      <c r="B2959" s="348" t="s">
        <v>17268</v>
      </c>
      <c r="C2959" s="349" t="s">
        <v>65</v>
      </c>
      <c r="D2959" s="483">
        <v>6.19</v>
      </c>
      <c r="E2959" s="483">
        <v>6.19</v>
      </c>
    </row>
    <row r="2960" spans="1:5" ht="30">
      <c r="A2960" s="494">
        <v>89440</v>
      </c>
      <c r="B2960" s="485" t="s">
        <v>9469</v>
      </c>
      <c r="C2960" s="484" t="s">
        <v>65</v>
      </c>
      <c r="D2960" s="486">
        <v>6.1</v>
      </c>
      <c r="E2960" s="486">
        <v>6.1</v>
      </c>
    </row>
    <row r="2961" spans="1:5" ht="30">
      <c r="A2961" s="495">
        <v>89441</v>
      </c>
      <c r="B2961" s="348" t="s">
        <v>17269</v>
      </c>
      <c r="C2961" s="349" t="s">
        <v>65</v>
      </c>
      <c r="D2961" s="483">
        <v>12.94</v>
      </c>
      <c r="E2961" s="483">
        <v>12.94</v>
      </c>
    </row>
    <row r="2962" spans="1:5" ht="30">
      <c r="A2962" s="494">
        <v>89442</v>
      </c>
      <c r="B2962" s="485" t="s">
        <v>17270</v>
      </c>
      <c r="C2962" s="484" t="s">
        <v>65</v>
      </c>
      <c r="D2962" s="486">
        <v>7.53</v>
      </c>
      <c r="E2962" s="486">
        <v>7.53</v>
      </c>
    </row>
    <row r="2963" spans="1:5" ht="30">
      <c r="A2963" s="495">
        <v>89443</v>
      </c>
      <c r="B2963" s="348" t="s">
        <v>9473</v>
      </c>
      <c r="C2963" s="349" t="s">
        <v>65</v>
      </c>
      <c r="D2963" s="483">
        <v>8.77</v>
      </c>
      <c r="E2963" s="483">
        <v>8.77</v>
      </c>
    </row>
    <row r="2964" spans="1:5" ht="30">
      <c r="A2964" s="494">
        <v>89444</v>
      </c>
      <c r="B2964" s="485" t="s">
        <v>17271</v>
      </c>
      <c r="C2964" s="484" t="s">
        <v>65</v>
      </c>
      <c r="D2964" s="486">
        <v>19.73</v>
      </c>
      <c r="E2964" s="486">
        <v>19.73</v>
      </c>
    </row>
    <row r="2965" spans="1:5" ht="30">
      <c r="A2965" s="495">
        <v>89445</v>
      </c>
      <c r="B2965" s="348" t="s">
        <v>17272</v>
      </c>
      <c r="C2965" s="349" t="s">
        <v>65</v>
      </c>
      <c r="D2965" s="483">
        <v>11.01</v>
      </c>
      <c r="E2965" s="483">
        <v>11.01</v>
      </c>
    </row>
    <row r="2966" spans="1:5" ht="30">
      <c r="A2966" s="494">
        <v>89481</v>
      </c>
      <c r="B2966" s="485" t="s">
        <v>6354</v>
      </c>
      <c r="C2966" s="484" t="s">
        <v>65</v>
      </c>
      <c r="D2966" s="486">
        <v>3.27</v>
      </c>
      <c r="E2966" s="486">
        <v>3.27</v>
      </c>
    </row>
    <row r="2967" spans="1:5" ht="30">
      <c r="A2967" s="495">
        <v>89485</v>
      </c>
      <c r="B2967" s="348" t="s">
        <v>6285</v>
      </c>
      <c r="C2967" s="349" t="s">
        <v>65</v>
      </c>
      <c r="D2967" s="483">
        <v>3.76</v>
      </c>
      <c r="E2967" s="483">
        <v>3.76</v>
      </c>
    </row>
    <row r="2968" spans="1:5" ht="30">
      <c r="A2968" s="494">
        <v>89489</v>
      </c>
      <c r="B2968" s="485" t="s">
        <v>4495</v>
      </c>
      <c r="C2968" s="484" t="s">
        <v>65</v>
      </c>
      <c r="D2968" s="486">
        <v>4.82</v>
      </c>
      <c r="E2968" s="486">
        <v>4.82</v>
      </c>
    </row>
    <row r="2969" spans="1:5" ht="30">
      <c r="A2969" s="495">
        <v>89490</v>
      </c>
      <c r="B2969" s="348" t="s">
        <v>4416</v>
      </c>
      <c r="C2969" s="349" t="s">
        <v>65</v>
      </c>
      <c r="D2969" s="483">
        <v>4.38</v>
      </c>
      <c r="E2969" s="483">
        <v>4.38</v>
      </c>
    </row>
    <row r="2970" spans="1:5" ht="30">
      <c r="A2970" s="494">
        <v>89492</v>
      </c>
      <c r="B2970" s="485" t="s">
        <v>6359</v>
      </c>
      <c r="C2970" s="484" t="s">
        <v>65</v>
      </c>
      <c r="D2970" s="486">
        <v>4.92</v>
      </c>
      <c r="E2970" s="486">
        <v>4.92</v>
      </c>
    </row>
    <row r="2971" spans="1:5" ht="30">
      <c r="A2971" s="495">
        <v>89493</v>
      </c>
      <c r="B2971" s="348" t="s">
        <v>6288</v>
      </c>
      <c r="C2971" s="349" t="s">
        <v>65</v>
      </c>
      <c r="D2971" s="483">
        <v>6.28</v>
      </c>
      <c r="E2971" s="483">
        <v>6.28</v>
      </c>
    </row>
    <row r="2972" spans="1:5" ht="30">
      <c r="A2972" s="494">
        <v>89494</v>
      </c>
      <c r="B2972" s="485" t="s">
        <v>4499</v>
      </c>
      <c r="C2972" s="484" t="s">
        <v>65</v>
      </c>
      <c r="D2972" s="486">
        <v>7.69</v>
      </c>
      <c r="E2972" s="486">
        <v>7.69</v>
      </c>
    </row>
    <row r="2973" spans="1:5" ht="30">
      <c r="A2973" s="495">
        <v>89496</v>
      </c>
      <c r="B2973" s="348" t="s">
        <v>4419</v>
      </c>
      <c r="C2973" s="349" t="s">
        <v>65</v>
      </c>
      <c r="D2973" s="483">
        <v>6.12</v>
      </c>
      <c r="E2973" s="483">
        <v>6.12</v>
      </c>
    </row>
    <row r="2974" spans="1:5" ht="30">
      <c r="A2974" s="494">
        <v>89497</v>
      </c>
      <c r="B2974" s="485" t="s">
        <v>6363</v>
      </c>
      <c r="C2974" s="484" t="s">
        <v>65</v>
      </c>
      <c r="D2974" s="486">
        <v>8.0500000000000007</v>
      </c>
      <c r="E2974" s="486">
        <v>8.0500000000000007</v>
      </c>
    </row>
    <row r="2975" spans="1:5" ht="30">
      <c r="A2975" s="495">
        <v>89498</v>
      </c>
      <c r="B2975" s="348" t="s">
        <v>6291</v>
      </c>
      <c r="C2975" s="349" t="s">
        <v>65</v>
      </c>
      <c r="D2975" s="483">
        <v>8.42</v>
      </c>
      <c r="E2975" s="483">
        <v>8.42</v>
      </c>
    </row>
    <row r="2976" spans="1:5" ht="30">
      <c r="A2976" s="494">
        <v>89499</v>
      </c>
      <c r="B2976" s="485" t="s">
        <v>4503</v>
      </c>
      <c r="C2976" s="484" t="s">
        <v>65</v>
      </c>
      <c r="D2976" s="486">
        <v>12.05</v>
      </c>
      <c r="E2976" s="486">
        <v>12.05</v>
      </c>
    </row>
    <row r="2977" spans="1:5" ht="30">
      <c r="A2977" s="495">
        <v>89500</v>
      </c>
      <c r="B2977" s="348" t="s">
        <v>4422</v>
      </c>
      <c r="C2977" s="349" t="s">
        <v>65</v>
      </c>
      <c r="D2977" s="483">
        <v>7.66</v>
      </c>
      <c r="E2977" s="483">
        <v>7.66</v>
      </c>
    </row>
    <row r="2978" spans="1:5" ht="30">
      <c r="A2978" s="494">
        <v>89501</v>
      </c>
      <c r="B2978" s="485" t="s">
        <v>6365</v>
      </c>
      <c r="C2978" s="484" t="s">
        <v>65</v>
      </c>
      <c r="D2978" s="486">
        <v>9.74</v>
      </c>
      <c r="E2978" s="486">
        <v>9.74</v>
      </c>
    </row>
    <row r="2979" spans="1:5" ht="30">
      <c r="A2979" s="495">
        <v>89502</v>
      </c>
      <c r="B2979" s="348" t="s">
        <v>6292</v>
      </c>
      <c r="C2979" s="349" t="s">
        <v>65</v>
      </c>
      <c r="D2979" s="483">
        <v>10.74</v>
      </c>
      <c r="E2979" s="483">
        <v>10.74</v>
      </c>
    </row>
    <row r="2980" spans="1:5" ht="30">
      <c r="A2980" s="494">
        <v>89503</v>
      </c>
      <c r="B2980" s="485" t="s">
        <v>4505</v>
      </c>
      <c r="C2980" s="484" t="s">
        <v>65</v>
      </c>
      <c r="D2980" s="486">
        <v>14.12</v>
      </c>
      <c r="E2980" s="486">
        <v>14.12</v>
      </c>
    </row>
    <row r="2981" spans="1:5" ht="30">
      <c r="A2981" s="495">
        <v>89504</v>
      </c>
      <c r="B2981" s="348" t="s">
        <v>4423</v>
      </c>
      <c r="C2981" s="349" t="s">
        <v>65</v>
      </c>
      <c r="D2981" s="483">
        <v>12.75</v>
      </c>
      <c r="E2981" s="483">
        <v>12.75</v>
      </c>
    </row>
    <row r="2982" spans="1:5" ht="30">
      <c r="A2982" s="494">
        <v>89505</v>
      </c>
      <c r="B2982" s="485" t="s">
        <v>6367</v>
      </c>
      <c r="C2982" s="484" t="s">
        <v>65</v>
      </c>
      <c r="D2982" s="486">
        <v>26.72</v>
      </c>
      <c r="E2982" s="486">
        <v>26.72</v>
      </c>
    </row>
    <row r="2983" spans="1:5" ht="30">
      <c r="A2983" s="495">
        <v>89506</v>
      </c>
      <c r="B2983" s="348" t="s">
        <v>6293</v>
      </c>
      <c r="C2983" s="349" t="s">
        <v>65</v>
      </c>
      <c r="D2983" s="483">
        <v>26.01</v>
      </c>
      <c r="E2983" s="483">
        <v>26.01</v>
      </c>
    </row>
    <row r="2984" spans="1:5" ht="30">
      <c r="A2984" s="494">
        <v>89507</v>
      </c>
      <c r="B2984" s="485" t="s">
        <v>4507</v>
      </c>
      <c r="C2984" s="484" t="s">
        <v>65</v>
      </c>
      <c r="D2984" s="486">
        <v>26.88</v>
      </c>
      <c r="E2984" s="486">
        <v>26.88</v>
      </c>
    </row>
    <row r="2985" spans="1:5" ht="30">
      <c r="A2985" s="495">
        <v>89510</v>
      </c>
      <c r="B2985" s="348" t="s">
        <v>4424</v>
      </c>
      <c r="C2985" s="349" t="s">
        <v>65</v>
      </c>
      <c r="D2985" s="483">
        <v>19.16</v>
      </c>
      <c r="E2985" s="483">
        <v>19.16</v>
      </c>
    </row>
    <row r="2986" spans="1:5" ht="30">
      <c r="A2986" s="494">
        <v>89513</v>
      </c>
      <c r="B2986" s="485" t="s">
        <v>6369</v>
      </c>
      <c r="C2986" s="484" t="s">
        <v>65</v>
      </c>
      <c r="D2986" s="486">
        <v>72.87</v>
      </c>
      <c r="E2986" s="486">
        <v>72.87</v>
      </c>
    </row>
    <row r="2987" spans="1:5" ht="30">
      <c r="A2987" s="495">
        <v>89514</v>
      </c>
      <c r="B2987" s="348" t="s">
        <v>6346</v>
      </c>
      <c r="C2987" s="349" t="s">
        <v>65</v>
      </c>
      <c r="D2987" s="483">
        <v>6.43</v>
      </c>
      <c r="E2987" s="483">
        <v>6.43</v>
      </c>
    </row>
    <row r="2988" spans="1:5" ht="30">
      <c r="A2988" s="494">
        <v>89515</v>
      </c>
      <c r="B2988" s="485" t="s">
        <v>6294</v>
      </c>
      <c r="C2988" s="484" t="s">
        <v>65</v>
      </c>
      <c r="D2988" s="486">
        <v>56.19</v>
      </c>
      <c r="E2988" s="486">
        <v>56.19</v>
      </c>
    </row>
    <row r="2989" spans="1:5" ht="30">
      <c r="A2989" s="495">
        <v>89516</v>
      </c>
      <c r="B2989" s="348" t="s">
        <v>6278</v>
      </c>
      <c r="C2989" s="349" t="s">
        <v>65</v>
      </c>
      <c r="D2989" s="483">
        <v>6.09</v>
      </c>
      <c r="E2989" s="483">
        <v>6.09</v>
      </c>
    </row>
    <row r="2990" spans="1:5" ht="30">
      <c r="A2990" s="494">
        <v>89517</v>
      </c>
      <c r="B2990" s="485" t="s">
        <v>4509</v>
      </c>
      <c r="C2990" s="484" t="s">
        <v>65</v>
      </c>
      <c r="D2990" s="486">
        <v>44.17</v>
      </c>
      <c r="E2990" s="486">
        <v>44.17</v>
      </c>
    </row>
    <row r="2991" spans="1:5" ht="30">
      <c r="A2991" s="495">
        <v>89518</v>
      </c>
      <c r="B2991" s="348" t="s">
        <v>6347</v>
      </c>
      <c r="C2991" s="349" t="s">
        <v>65</v>
      </c>
      <c r="D2991" s="483">
        <v>9.2200000000000006</v>
      </c>
      <c r="E2991" s="483">
        <v>9.2200000000000006</v>
      </c>
    </row>
    <row r="2992" spans="1:5" ht="30">
      <c r="A2992" s="494">
        <v>89519</v>
      </c>
      <c r="B2992" s="485" t="s">
        <v>4425</v>
      </c>
      <c r="C2992" s="484" t="s">
        <v>65</v>
      </c>
      <c r="D2992" s="486">
        <v>34.630000000000003</v>
      </c>
      <c r="E2992" s="486">
        <v>34.630000000000003</v>
      </c>
    </row>
    <row r="2993" spans="1:5" ht="30">
      <c r="A2993" s="495">
        <v>89520</v>
      </c>
      <c r="B2993" s="348" t="s">
        <v>6279</v>
      </c>
      <c r="C2993" s="349" t="s">
        <v>65</v>
      </c>
      <c r="D2993" s="483">
        <v>8.48</v>
      </c>
      <c r="E2993" s="483">
        <v>8.48</v>
      </c>
    </row>
    <row r="2994" spans="1:5" ht="30">
      <c r="A2994" s="494">
        <v>89521</v>
      </c>
      <c r="B2994" s="485" t="s">
        <v>6371</v>
      </c>
      <c r="C2994" s="484" t="s">
        <v>65</v>
      </c>
      <c r="D2994" s="486">
        <v>82.26</v>
      </c>
      <c r="E2994" s="486">
        <v>82.26</v>
      </c>
    </row>
    <row r="2995" spans="1:5" ht="30">
      <c r="A2995" s="495">
        <v>89522</v>
      </c>
      <c r="B2995" s="348" t="s">
        <v>6349</v>
      </c>
      <c r="C2995" s="349" t="s">
        <v>65</v>
      </c>
      <c r="D2995" s="483">
        <v>19.3</v>
      </c>
      <c r="E2995" s="483">
        <v>19.3</v>
      </c>
    </row>
    <row r="2996" spans="1:5" ht="30">
      <c r="A2996" s="494">
        <v>89523</v>
      </c>
      <c r="B2996" s="485" t="s">
        <v>6295</v>
      </c>
      <c r="C2996" s="484" t="s">
        <v>65</v>
      </c>
      <c r="D2996" s="486">
        <v>63.69</v>
      </c>
      <c r="E2996" s="486">
        <v>63.69</v>
      </c>
    </row>
    <row r="2997" spans="1:5" ht="30">
      <c r="A2997" s="495">
        <v>89524</v>
      </c>
      <c r="B2997" s="348" t="s">
        <v>6281</v>
      </c>
      <c r="C2997" s="349" t="s">
        <v>65</v>
      </c>
      <c r="D2997" s="483">
        <v>18.82</v>
      </c>
      <c r="E2997" s="483">
        <v>18.82</v>
      </c>
    </row>
    <row r="2998" spans="1:5" ht="30">
      <c r="A2998" s="494">
        <v>89525</v>
      </c>
      <c r="B2998" s="485" t="s">
        <v>4511</v>
      </c>
      <c r="C2998" s="484" t="s">
        <v>65</v>
      </c>
      <c r="D2998" s="486">
        <v>52.46</v>
      </c>
      <c r="E2998" s="486">
        <v>52.46</v>
      </c>
    </row>
    <row r="2999" spans="1:5" ht="30">
      <c r="A2999" s="495">
        <v>89526</v>
      </c>
      <c r="B2999" s="348" t="s">
        <v>17273</v>
      </c>
      <c r="C2999" s="349" t="s">
        <v>65</v>
      </c>
      <c r="D2999" s="483">
        <v>21.81</v>
      </c>
      <c r="E2999" s="483">
        <v>21.81</v>
      </c>
    </row>
    <row r="3000" spans="1:5" ht="30">
      <c r="A3000" s="494">
        <v>89527</v>
      </c>
      <c r="B3000" s="485" t="s">
        <v>4426</v>
      </c>
      <c r="C3000" s="484" t="s">
        <v>65</v>
      </c>
      <c r="D3000" s="486">
        <v>40.86</v>
      </c>
      <c r="E3000" s="486">
        <v>40.86</v>
      </c>
    </row>
    <row r="3001" spans="1:5" ht="30">
      <c r="A3001" s="495">
        <v>89528</v>
      </c>
      <c r="B3001" s="348" t="s">
        <v>17274</v>
      </c>
      <c r="C3001" s="349" t="s">
        <v>65</v>
      </c>
      <c r="D3001" s="483">
        <v>2.64</v>
      </c>
      <c r="E3001" s="483">
        <v>2.64</v>
      </c>
    </row>
    <row r="3002" spans="1:5" ht="30">
      <c r="A3002" s="494">
        <v>89529</v>
      </c>
      <c r="B3002" s="485" t="s">
        <v>17275</v>
      </c>
      <c r="C3002" s="484" t="s">
        <v>65</v>
      </c>
      <c r="D3002" s="486">
        <v>30.01</v>
      </c>
      <c r="E3002" s="486">
        <v>30.01</v>
      </c>
    </row>
    <row r="3003" spans="1:5" ht="30">
      <c r="A3003" s="495">
        <v>89530</v>
      </c>
      <c r="B3003" s="348" t="s">
        <v>6899</v>
      </c>
      <c r="C3003" s="349" t="s">
        <v>65</v>
      </c>
      <c r="D3003" s="483">
        <v>12.02</v>
      </c>
      <c r="E3003" s="483">
        <v>12.02</v>
      </c>
    </row>
    <row r="3004" spans="1:5" ht="30">
      <c r="A3004" s="494">
        <v>89531</v>
      </c>
      <c r="B3004" s="485" t="s">
        <v>17276</v>
      </c>
      <c r="C3004" s="484" t="s">
        <v>65</v>
      </c>
      <c r="D3004" s="486">
        <v>25.57</v>
      </c>
      <c r="E3004" s="486">
        <v>25.57</v>
      </c>
    </row>
    <row r="3005" spans="1:5" ht="30">
      <c r="A3005" s="495">
        <v>89532</v>
      </c>
      <c r="B3005" s="348" t="s">
        <v>17277</v>
      </c>
      <c r="C3005" s="349" t="s">
        <v>65</v>
      </c>
      <c r="D3005" s="483">
        <v>4.5199999999999996</v>
      </c>
      <c r="E3005" s="483">
        <v>4.5199999999999996</v>
      </c>
    </row>
    <row r="3006" spans="1:5" ht="30">
      <c r="A3006" s="494">
        <v>89533</v>
      </c>
      <c r="B3006" s="485" t="s">
        <v>11051</v>
      </c>
      <c r="C3006" s="484" t="s">
        <v>65</v>
      </c>
      <c r="D3006" s="486">
        <v>25.57</v>
      </c>
      <c r="E3006" s="486">
        <v>25.57</v>
      </c>
    </row>
    <row r="3007" spans="1:5" ht="30">
      <c r="A3007" s="495">
        <v>89534</v>
      </c>
      <c r="B3007" s="348" t="s">
        <v>17278</v>
      </c>
      <c r="C3007" s="349" t="s">
        <v>65</v>
      </c>
      <c r="D3007" s="483">
        <v>3.19</v>
      </c>
      <c r="E3007" s="483">
        <v>3.19</v>
      </c>
    </row>
    <row r="3008" spans="1:5" ht="30">
      <c r="A3008" s="494">
        <v>89535</v>
      </c>
      <c r="B3008" s="485" t="s">
        <v>17279</v>
      </c>
      <c r="C3008" s="484" t="s">
        <v>65</v>
      </c>
      <c r="D3008" s="486">
        <v>35.53</v>
      </c>
      <c r="E3008" s="486">
        <v>35.53</v>
      </c>
    </row>
    <row r="3009" spans="1:5" ht="30">
      <c r="A3009" s="495">
        <v>89536</v>
      </c>
      <c r="B3009" s="348" t="s">
        <v>17280</v>
      </c>
      <c r="C3009" s="349" t="s">
        <v>65</v>
      </c>
      <c r="D3009" s="483">
        <v>8.24</v>
      </c>
      <c r="E3009" s="483">
        <v>8.24</v>
      </c>
    </row>
    <row r="3010" spans="1:5" ht="30">
      <c r="A3010" s="494">
        <v>89538</v>
      </c>
      <c r="B3010" s="485" t="s">
        <v>17281</v>
      </c>
      <c r="C3010" s="484" t="s">
        <v>65</v>
      </c>
      <c r="D3010" s="486">
        <v>2.73</v>
      </c>
      <c r="E3010" s="486">
        <v>2.73</v>
      </c>
    </row>
    <row r="3011" spans="1:5" ht="30">
      <c r="A3011" s="495">
        <v>89540</v>
      </c>
      <c r="B3011" s="348" t="s">
        <v>4571</v>
      </c>
      <c r="C3011" s="349" t="s">
        <v>65</v>
      </c>
      <c r="D3011" s="483">
        <v>6.56</v>
      </c>
      <c r="E3011" s="483">
        <v>6.56</v>
      </c>
    </row>
    <row r="3012" spans="1:5" ht="30">
      <c r="A3012" s="494">
        <v>89541</v>
      </c>
      <c r="B3012" s="485" t="s">
        <v>17282</v>
      </c>
      <c r="C3012" s="484" t="s">
        <v>65</v>
      </c>
      <c r="D3012" s="486">
        <v>3.91</v>
      </c>
      <c r="E3012" s="486">
        <v>3.91</v>
      </c>
    </row>
    <row r="3013" spans="1:5" ht="30">
      <c r="A3013" s="495">
        <v>89542</v>
      </c>
      <c r="B3013" s="348" t="s">
        <v>6902</v>
      </c>
      <c r="C3013" s="349" t="s">
        <v>65</v>
      </c>
      <c r="D3013" s="483">
        <v>19.54</v>
      </c>
      <c r="E3013" s="483">
        <v>19.54</v>
      </c>
    </row>
    <row r="3014" spans="1:5" ht="30">
      <c r="A3014" s="494">
        <v>89544</v>
      </c>
      <c r="B3014" s="485" t="s">
        <v>17283</v>
      </c>
      <c r="C3014" s="484" t="s">
        <v>65</v>
      </c>
      <c r="D3014" s="486">
        <v>6.12</v>
      </c>
      <c r="E3014" s="486">
        <v>6.12</v>
      </c>
    </row>
    <row r="3015" spans="1:5" ht="30">
      <c r="A3015" s="495">
        <v>89545</v>
      </c>
      <c r="B3015" s="348" t="s">
        <v>17284</v>
      </c>
      <c r="C3015" s="349" t="s">
        <v>65</v>
      </c>
      <c r="D3015" s="483">
        <v>8.58</v>
      </c>
      <c r="E3015" s="483">
        <v>8.58</v>
      </c>
    </row>
    <row r="3016" spans="1:5" ht="30">
      <c r="A3016" s="494">
        <v>89546</v>
      </c>
      <c r="B3016" s="485" t="s">
        <v>17285</v>
      </c>
      <c r="C3016" s="484" t="s">
        <v>65</v>
      </c>
      <c r="D3016" s="486">
        <v>6.53</v>
      </c>
      <c r="E3016" s="486">
        <v>6.53</v>
      </c>
    </row>
    <row r="3017" spans="1:5" ht="30">
      <c r="A3017" s="495">
        <v>89547</v>
      </c>
      <c r="B3017" s="348" t="s">
        <v>17286</v>
      </c>
      <c r="C3017" s="349" t="s">
        <v>65</v>
      </c>
      <c r="D3017" s="483">
        <v>12.7</v>
      </c>
      <c r="E3017" s="483">
        <v>12.7</v>
      </c>
    </row>
    <row r="3018" spans="1:5" ht="30">
      <c r="A3018" s="494">
        <v>89548</v>
      </c>
      <c r="B3018" s="485" t="s">
        <v>6896</v>
      </c>
      <c r="C3018" s="484" t="s">
        <v>65</v>
      </c>
      <c r="D3018" s="486">
        <v>14.17</v>
      </c>
      <c r="E3018" s="486">
        <v>14.17</v>
      </c>
    </row>
    <row r="3019" spans="1:5" ht="30">
      <c r="A3019" s="495">
        <v>89549</v>
      </c>
      <c r="B3019" s="348" t="s">
        <v>17287</v>
      </c>
      <c r="C3019" s="349" t="s">
        <v>65</v>
      </c>
      <c r="D3019" s="483">
        <v>10.42</v>
      </c>
      <c r="E3019" s="483">
        <v>10.42</v>
      </c>
    </row>
    <row r="3020" spans="1:5" ht="30">
      <c r="A3020" s="494">
        <v>89550</v>
      </c>
      <c r="B3020" s="485" t="s">
        <v>9261</v>
      </c>
      <c r="C3020" s="484" t="s">
        <v>65</v>
      </c>
      <c r="D3020" s="486">
        <v>29.55</v>
      </c>
      <c r="E3020" s="486">
        <v>29.55</v>
      </c>
    </row>
    <row r="3021" spans="1:5" ht="30">
      <c r="A3021" s="495">
        <v>89551</v>
      </c>
      <c r="B3021" s="348" t="s">
        <v>17288</v>
      </c>
      <c r="C3021" s="349" t="s">
        <v>65</v>
      </c>
      <c r="D3021" s="483">
        <v>6.38</v>
      </c>
      <c r="E3021" s="483">
        <v>6.38</v>
      </c>
    </row>
    <row r="3022" spans="1:5" ht="30">
      <c r="A3022" s="494">
        <v>89552</v>
      </c>
      <c r="B3022" s="485" t="s">
        <v>17289</v>
      </c>
      <c r="C3022" s="484" t="s">
        <v>65</v>
      </c>
      <c r="D3022" s="486">
        <v>13.09</v>
      </c>
      <c r="E3022" s="486">
        <v>13.09</v>
      </c>
    </row>
    <row r="3023" spans="1:5" ht="30">
      <c r="A3023" s="495">
        <v>89553</v>
      </c>
      <c r="B3023" s="348" t="s">
        <v>17290</v>
      </c>
      <c r="C3023" s="349" t="s">
        <v>65</v>
      </c>
      <c r="D3023" s="483">
        <v>3.99</v>
      </c>
      <c r="E3023" s="483">
        <v>3.99</v>
      </c>
    </row>
    <row r="3024" spans="1:5" ht="30">
      <c r="A3024" s="494">
        <v>89554</v>
      </c>
      <c r="B3024" s="485" t="s">
        <v>17291</v>
      </c>
      <c r="C3024" s="484" t="s">
        <v>65</v>
      </c>
      <c r="D3024" s="486">
        <v>15.68</v>
      </c>
      <c r="E3024" s="486">
        <v>15.68</v>
      </c>
    </row>
    <row r="3025" spans="1:5" ht="30">
      <c r="A3025" s="495">
        <v>89555</v>
      </c>
      <c r="B3025" s="348" t="s">
        <v>4574</v>
      </c>
      <c r="C3025" s="349" t="s">
        <v>65</v>
      </c>
      <c r="D3025" s="483">
        <v>14.36</v>
      </c>
      <c r="E3025" s="483">
        <v>14.36</v>
      </c>
    </row>
    <row r="3026" spans="1:5" ht="30">
      <c r="A3026" s="494">
        <v>89556</v>
      </c>
      <c r="B3026" s="485" t="s">
        <v>6893</v>
      </c>
      <c r="C3026" s="484" t="s">
        <v>65</v>
      </c>
      <c r="D3026" s="486">
        <v>22.86</v>
      </c>
      <c r="E3026" s="486">
        <v>22.86</v>
      </c>
    </row>
    <row r="3027" spans="1:5" ht="30">
      <c r="A3027" s="495">
        <v>89557</v>
      </c>
      <c r="B3027" s="348" t="s">
        <v>8624</v>
      </c>
      <c r="C3027" s="349" t="s">
        <v>65</v>
      </c>
      <c r="D3027" s="483">
        <v>18.22</v>
      </c>
      <c r="E3027" s="483">
        <v>18.22</v>
      </c>
    </row>
    <row r="3028" spans="1:5" ht="30">
      <c r="A3028" s="494">
        <v>89558</v>
      </c>
      <c r="B3028" s="485" t="s">
        <v>17292</v>
      </c>
      <c r="C3028" s="484" t="s">
        <v>65</v>
      </c>
      <c r="D3028" s="486">
        <v>6.24</v>
      </c>
      <c r="E3028" s="486">
        <v>6.24</v>
      </c>
    </row>
    <row r="3029" spans="1:5" ht="30">
      <c r="A3029" s="495">
        <v>89559</v>
      </c>
      <c r="B3029" s="348" t="s">
        <v>9259</v>
      </c>
      <c r="C3029" s="349" t="s">
        <v>65</v>
      </c>
      <c r="D3029" s="483">
        <v>39.71</v>
      </c>
      <c r="E3029" s="483">
        <v>39.71</v>
      </c>
    </row>
    <row r="3030" spans="1:5" ht="30">
      <c r="A3030" s="494">
        <v>89561</v>
      </c>
      <c r="B3030" s="485" t="s">
        <v>6514</v>
      </c>
      <c r="C3030" s="484" t="s">
        <v>65</v>
      </c>
      <c r="D3030" s="486">
        <v>10.87</v>
      </c>
      <c r="E3030" s="486">
        <v>10.87</v>
      </c>
    </row>
    <row r="3031" spans="1:5" ht="30">
      <c r="A3031" s="495">
        <v>89562</v>
      </c>
      <c r="B3031" s="348" t="s">
        <v>17293</v>
      </c>
      <c r="C3031" s="349" t="s">
        <v>65</v>
      </c>
      <c r="D3031" s="483">
        <v>6.22</v>
      </c>
      <c r="E3031" s="483">
        <v>6.22</v>
      </c>
    </row>
    <row r="3032" spans="1:5" ht="30">
      <c r="A3032" s="494">
        <v>89563</v>
      </c>
      <c r="B3032" s="485" t="s">
        <v>6515</v>
      </c>
      <c r="C3032" s="484" t="s">
        <v>65</v>
      </c>
      <c r="D3032" s="486">
        <v>15.94</v>
      </c>
      <c r="E3032" s="486">
        <v>15.94</v>
      </c>
    </row>
    <row r="3033" spans="1:5" ht="30">
      <c r="A3033" s="495">
        <v>89564</v>
      </c>
      <c r="B3033" s="348" t="s">
        <v>17294</v>
      </c>
      <c r="C3033" s="349" t="s">
        <v>65</v>
      </c>
      <c r="D3033" s="483">
        <v>11.45</v>
      </c>
      <c r="E3033" s="483">
        <v>11.45</v>
      </c>
    </row>
    <row r="3034" spans="1:5" ht="30">
      <c r="A3034" s="494">
        <v>89565</v>
      </c>
      <c r="B3034" s="485" t="s">
        <v>17295</v>
      </c>
      <c r="C3034" s="484" t="s">
        <v>65</v>
      </c>
      <c r="D3034" s="486">
        <v>35.340000000000003</v>
      </c>
      <c r="E3034" s="486">
        <v>35.340000000000003</v>
      </c>
    </row>
    <row r="3035" spans="1:5" ht="30">
      <c r="A3035" s="495">
        <v>89566</v>
      </c>
      <c r="B3035" s="348" t="s">
        <v>9461</v>
      </c>
      <c r="C3035" s="349" t="s">
        <v>65</v>
      </c>
      <c r="D3035" s="483">
        <v>29.46</v>
      </c>
      <c r="E3035" s="483">
        <v>29.46</v>
      </c>
    </row>
    <row r="3036" spans="1:5" ht="30">
      <c r="A3036" s="494">
        <v>89567</v>
      </c>
      <c r="B3036" s="485" t="s">
        <v>17296</v>
      </c>
      <c r="C3036" s="484" t="s">
        <v>65</v>
      </c>
      <c r="D3036" s="486">
        <v>53.13</v>
      </c>
      <c r="E3036" s="486">
        <v>53.13</v>
      </c>
    </row>
    <row r="3037" spans="1:5" ht="30">
      <c r="A3037" s="495">
        <v>89568</v>
      </c>
      <c r="B3037" s="348" t="s">
        <v>17297</v>
      </c>
      <c r="C3037" s="349" t="s">
        <v>65</v>
      </c>
      <c r="D3037" s="483">
        <v>23.79</v>
      </c>
      <c r="E3037" s="483">
        <v>23.79</v>
      </c>
    </row>
    <row r="3038" spans="1:5" ht="30">
      <c r="A3038" s="494">
        <v>89569</v>
      </c>
      <c r="B3038" s="485" t="s">
        <v>17298</v>
      </c>
      <c r="C3038" s="484" t="s">
        <v>65</v>
      </c>
      <c r="D3038" s="486">
        <v>51.4</v>
      </c>
      <c r="E3038" s="486">
        <v>51.4</v>
      </c>
    </row>
    <row r="3039" spans="1:5" ht="30">
      <c r="A3039" s="495">
        <v>89570</v>
      </c>
      <c r="B3039" s="348" t="s">
        <v>17299</v>
      </c>
      <c r="C3039" s="349" t="s">
        <v>65</v>
      </c>
      <c r="D3039" s="483">
        <v>6.63</v>
      </c>
      <c r="E3039" s="483">
        <v>6.63</v>
      </c>
    </row>
    <row r="3040" spans="1:5" ht="30">
      <c r="A3040" s="494">
        <v>89571</v>
      </c>
      <c r="B3040" s="485" t="s">
        <v>17300</v>
      </c>
      <c r="C3040" s="484" t="s">
        <v>65</v>
      </c>
      <c r="D3040" s="486">
        <v>47.2</v>
      </c>
      <c r="E3040" s="486">
        <v>47.2</v>
      </c>
    </row>
    <row r="3041" spans="1:5" ht="30">
      <c r="A3041" s="495">
        <v>89572</v>
      </c>
      <c r="B3041" s="348" t="s">
        <v>17301</v>
      </c>
      <c r="C3041" s="349" t="s">
        <v>65</v>
      </c>
      <c r="D3041" s="483">
        <v>5.79</v>
      </c>
      <c r="E3041" s="483">
        <v>5.79</v>
      </c>
    </row>
    <row r="3042" spans="1:5" ht="30">
      <c r="A3042" s="494">
        <v>89573</v>
      </c>
      <c r="B3042" s="485" t="s">
        <v>17302</v>
      </c>
      <c r="C3042" s="484" t="s">
        <v>65</v>
      </c>
      <c r="D3042" s="486">
        <v>37.25</v>
      </c>
      <c r="E3042" s="486">
        <v>37.25</v>
      </c>
    </row>
    <row r="3043" spans="1:5" ht="30">
      <c r="A3043" s="495">
        <v>89574</v>
      </c>
      <c r="B3043" s="348" t="s">
        <v>17303</v>
      </c>
      <c r="C3043" s="349" t="s">
        <v>65</v>
      </c>
      <c r="D3043" s="483">
        <v>68.38</v>
      </c>
      <c r="E3043" s="483">
        <v>68.38</v>
      </c>
    </row>
    <row r="3044" spans="1:5" ht="30">
      <c r="A3044" s="494">
        <v>89575</v>
      </c>
      <c r="B3044" s="485" t="s">
        <v>17304</v>
      </c>
      <c r="C3044" s="484" t="s">
        <v>65</v>
      </c>
      <c r="D3044" s="486">
        <v>7.83</v>
      </c>
      <c r="E3044" s="486">
        <v>7.83</v>
      </c>
    </row>
    <row r="3045" spans="1:5" ht="30">
      <c r="A3045" s="495">
        <v>89577</v>
      </c>
      <c r="B3045" s="348" t="s">
        <v>6905</v>
      </c>
      <c r="C3045" s="349" t="s">
        <v>65</v>
      </c>
      <c r="D3045" s="483">
        <v>27.04</v>
      </c>
      <c r="E3045" s="483">
        <v>27.04</v>
      </c>
    </row>
    <row r="3046" spans="1:5" ht="30">
      <c r="A3046" s="494">
        <v>89579</v>
      </c>
      <c r="B3046" s="485" t="s">
        <v>17305</v>
      </c>
      <c r="C3046" s="484" t="s">
        <v>65</v>
      </c>
      <c r="D3046" s="486">
        <v>7.72</v>
      </c>
      <c r="E3046" s="486">
        <v>7.72</v>
      </c>
    </row>
    <row r="3047" spans="1:5" ht="30">
      <c r="A3047" s="495">
        <v>89581</v>
      </c>
      <c r="B3047" s="348" t="s">
        <v>17306</v>
      </c>
      <c r="C3047" s="349" t="s">
        <v>65</v>
      </c>
      <c r="D3047" s="483">
        <v>17.95</v>
      </c>
      <c r="E3047" s="483">
        <v>17.95</v>
      </c>
    </row>
    <row r="3048" spans="1:5" ht="30">
      <c r="A3048" s="494">
        <v>89582</v>
      </c>
      <c r="B3048" s="485" t="s">
        <v>17307</v>
      </c>
      <c r="C3048" s="484" t="s">
        <v>65</v>
      </c>
      <c r="D3048" s="486">
        <v>17.47</v>
      </c>
      <c r="E3048" s="486">
        <v>17.47</v>
      </c>
    </row>
    <row r="3049" spans="1:5" ht="30">
      <c r="A3049" s="495">
        <v>89583</v>
      </c>
      <c r="B3049" s="348" t="s">
        <v>17308</v>
      </c>
      <c r="C3049" s="349" t="s">
        <v>65</v>
      </c>
      <c r="D3049" s="483">
        <v>20.46</v>
      </c>
      <c r="E3049" s="483">
        <v>20.46</v>
      </c>
    </row>
    <row r="3050" spans="1:5" ht="30">
      <c r="A3050" s="494">
        <v>89584</v>
      </c>
      <c r="B3050" s="485" t="s">
        <v>17309</v>
      </c>
      <c r="C3050" s="484" t="s">
        <v>65</v>
      </c>
      <c r="D3050" s="486">
        <v>28.66</v>
      </c>
      <c r="E3050" s="486">
        <v>28.66</v>
      </c>
    </row>
    <row r="3051" spans="1:5" ht="30">
      <c r="A3051" s="495">
        <v>89585</v>
      </c>
      <c r="B3051" s="348" t="s">
        <v>17310</v>
      </c>
      <c r="C3051" s="349" t="s">
        <v>65</v>
      </c>
      <c r="D3051" s="483">
        <v>24.22</v>
      </c>
      <c r="E3051" s="483">
        <v>24.22</v>
      </c>
    </row>
    <row r="3052" spans="1:5" ht="45">
      <c r="A3052" s="494">
        <v>89586</v>
      </c>
      <c r="B3052" s="485" t="s">
        <v>17311</v>
      </c>
      <c r="C3052" s="484" t="s">
        <v>65</v>
      </c>
      <c r="D3052" s="486">
        <v>24.22</v>
      </c>
      <c r="E3052" s="486">
        <v>24.22</v>
      </c>
    </row>
    <row r="3053" spans="1:5" ht="30">
      <c r="A3053" s="495">
        <v>89587</v>
      </c>
      <c r="B3053" s="348" t="s">
        <v>17312</v>
      </c>
      <c r="C3053" s="349" t="s">
        <v>65</v>
      </c>
      <c r="D3053" s="483">
        <v>34.18</v>
      </c>
      <c r="E3053" s="483">
        <v>34.18</v>
      </c>
    </row>
    <row r="3054" spans="1:5" ht="30">
      <c r="A3054" s="494">
        <v>89590</v>
      </c>
      <c r="B3054" s="485" t="s">
        <v>17313</v>
      </c>
      <c r="C3054" s="484" t="s">
        <v>65</v>
      </c>
      <c r="D3054" s="486">
        <v>89.08</v>
      </c>
      <c r="E3054" s="486">
        <v>89.08</v>
      </c>
    </row>
    <row r="3055" spans="1:5" ht="30">
      <c r="A3055" s="495">
        <v>89591</v>
      </c>
      <c r="B3055" s="348" t="s">
        <v>17314</v>
      </c>
      <c r="C3055" s="349" t="s">
        <v>65</v>
      </c>
      <c r="D3055" s="483">
        <v>72.510000000000005</v>
      </c>
      <c r="E3055" s="483">
        <v>72.510000000000005</v>
      </c>
    </row>
    <row r="3056" spans="1:5" ht="30">
      <c r="A3056" s="494">
        <v>89592</v>
      </c>
      <c r="B3056" s="485" t="s">
        <v>17315</v>
      </c>
      <c r="C3056" s="484" t="s">
        <v>65</v>
      </c>
      <c r="D3056" s="486">
        <v>218.08</v>
      </c>
      <c r="E3056" s="486">
        <v>218.08</v>
      </c>
    </row>
    <row r="3057" spans="1:5" ht="30">
      <c r="A3057" s="495">
        <v>89593</v>
      </c>
      <c r="B3057" s="348" t="s">
        <v>17316</v>
      </c>
      <c r="C3057" s="349" t="s">
        <v>65</v>
      </c>
      <c r="D3057" s="483">
        <v>18.87</v>
      </c>
      <c r="E3057" s="483">
        <v>18.87</v>
      </c>
    </row>
    <row r="3058" spans="1:5" ht="30">
      <c r="A3058" s="494">
        <v>89594</v>
      </c>
      <c r="B3058" s="485" t="s">
        <v>17317</v>
      </c>
      <c r="C3058" s="484" t="s">
        <v>65</v>
      </c>
      <c r="D3058" s="486">
        <v>28.48</v>
      </c>
      <c r="E3058" s="486">
        <v>28.48</v>
      </c>
    </row>
    <row r="3059" spans="1:5" ht="30">
      <c r="A3059" s="495">
        <v>89595</v>
      </c>
      <c r="B3059" s="348" t="s">
        <v>17318</v>
      </c>
      <c r="C3059" s="349" t="s">
        <v>65</v>
      </c>
      <c r="D3059" s="483">
        <v>10.29</v>
      </c>
      <c r="E3059" s="483">
        <v>10.29</v>
      </c>
    </row>
    <row r="3060" spans="1:5" ht="30">
      <c r="A3060" s="494">
        <v>89596</v>
      </c>
      <c r="B3060" s="485" t="s">
        <v>17319</v>
      </c>
      <c r="C3060" s="484" t="s">
        <v>65</v>
      </c>
      <c r="D3060" s="486">
        <v>7.45</v>
      </c>
      <c r="E3060" s="486">
        <v>7.45</v>
      </c>
    </row>
    <row r="3061" spans="1:5" ht="30">
      <c r="A3061" s="495">
        <v>89597</v>
      </c>
      <c r="B3061" s="348" t="s">
        <v>17320</v>
      </c>
      <c r="C3061" s="349" t="s">
        <v>65</v>
      </c>
      <c r="D3061" s="483">
        <v>15.29</v>
      </c>
      <c r="E3061" s="483">
        <v>15.29</v>
      </c>
    </row>
    <row r="3062" spans="1:5" ht="30">
      <c r="A3062" s="494">
        <v>89598</v>
      </c>
      <c r="B3062" s="485" t="s">
        <v>17321</v>
      </c>
      <c r="C3062" s="484" t="s">
        <v>65</v>
      </c>
      <c r="D3062" s="486">
        <v>35.69</v>
      </c>
      <c r="E3062" s="486">
        <v>35.69</v>
      </c>
    </row>
    <row r="3063" spans="1:5" ht="30">
      <c r="A3063" s="495">
        <v>89599</v>
      </c>
      <c r="B3063" s="348" t="s">
        <v>17322</v>
      </c>
      <c r="C3063" s="349" t="s">
        <v>65</v>
      </c>
      <c r="D3063" s="483">
        <v>11.68</v>
      </c>
      <c r="E3063" s="483">
        <v>11.68</v>
      </c>
    </row>
    <row r="3064" spans="1:5" ht="30">
      <c r="A3064" s="494">
        <v>89600</v>
      </c>
      <c r="B3064" s="485" t="s">
        <v>17323</v>
      </c>
      <c r="C3064" s="484" t="s">
        <v>65</v>
      </c>
      <c r="D3064" s="486">
        <v>13.15</v>
      </c>
      <c r="E3064" s="486">
        <v>13.15</v>
      </c>
    </row>
    <row r="3065" spans="1:5" ht="30">
      <c r="A3065" s="495">
        <v>89605</v>
      </c>
      <c r="B3065" s="348" t="s">
        <v>17324</v>
      </c>
      <c r="C3065" s="349" t="s">
        <v>65</v>
      </c>
      <c r="D3065" s="483">
        <v>13.72</v>
      </c>
      <c r="E3065" s="483">
        <v>13.72</v>
      </c>
    </row>
    <row r="3066" spans="1:5" ht="30">
      <c r="A3066" s="494">
        <v>89609</v>
      </c>
      <c r="B3066" s="485" t="s">
        <v>17325</v>
      </c>
      <c r="C3066" s="484" t="s">
        <v>65</v>
      </c>
      <c r="D3066" s="486">
        <v>61.5</v>
      </c>
      <c r="E3066" s="486">
        <v>61.5</v>
      </c>
    </row>
    <row r="3067" spans="1:5" ht="30">
      <c r="A3067" s="495">
        <v>89610</v>
      </c>
      <c r="B3067" s="348" t="s">
        <v>17326</v>
      </c>
      <c r="C3067" s="349" t="s">
        <v>65</v>
      </c>
      <c r="D3067" s="483">
        <v>13.64</v>
      </c>
      <c r="E3067" s="483">
        <v>13.64</v>
      </c>
    </row>
    <row r="3068" spans="1:5" ht="30">
      <c r="A3068" s="494">
        <v>89611</v>
      </c>
      <c r="B3068" s="485" t="s">
        <v>17327</v>
      </c>
      <c r="C3068" s="484" t="s">
        <v>65</v>
      </c>
      <c r="D3068" s="486">
        <v>22.55</v>
      </c>
      <c r="E3068" s="486">
        <v>22.55</v>
      </c>
    </row>
    <row r="3069" spans="1:5" ht="30">
      <c r="A3069" s="495">
        <v>89612</v>
      </c>
      <c r="B3069" s="348" t="s">
        <v>17328</v>
      </c>
      <c r="C3069" s="349" t="s">
        <v>65</v>
      </c>
      <c r="D3069" s="483">
        <v>124.48</v>
      </c>
      <c r="E3069" s="483">
        <v>124.48</v>
      </c>
    </row>
    <row r="3070" spans="1:5" ht="30">
      <c r="A3070" s="494">
        <v>89613</v>
      </c>
      <c r="B3070" s="485" t="s">
        <v>17329</v>
      </c>
      <c r="C3070" s="484" t="s">
        <v>65</v>
      </c>
      <c r="D3070" s="486">
        <v>22.03</v>
      </c>
      <c r="E3070" s="486">
        <v>22.03</v>
      </c>
    </row>
    <row r="3071" spans="1:5" ht="30">
      <c r="A3071" s="495">
        <v>89614</v>
      </c>
      <c r="B3071" s="348" t="s">
        <v>17330</v>
      </c>
      <c r="C3071" s="349" t="s">
        <v>65</v>
      </c>
      <c r="D3071" s="483">
        <v>43.01</v>
      </c>
      <c r="E3071" s="483">
        <v>43.01</v>
      </c>
    </row>
    <row r="3072" spans="1:5" ht="30">
      <c r="A3072" s="494">
        <v>89615</v>
      </c>
      <c r="B3072" s="485" t="s">
        <v>17331</v>
      </c>
      <c r="C3072" s="484" t="s">
        <v>65</v>
      </c>
      <c r="D3072" s="486">
        <v>182.27</v>
      </c>
      <c r="E3072" s="486">
        <v>182.27</v>
      </c>
    </row>
    <row r="3073" spans="1:5" ht="30">
      <c r="A3073" s="495">
        <v>89616</v>
      </c>
      <c r="B3073" s="348" t="s">
        <v>17332</v>
      </c>
      <c r="C3073" s="349" t="s">
        <v>65</v>
      </c>
      <c r="D3073" s="483">
        <v>30.46</v>
      </c>
      <c r="E3073" s="483">
        <v>30.46</v>
      </c>
    </row>
    <row r="3074" spans="1:5" ht="30">
      <c r="A3074" s="494">
        <v>89617</v>
      </c>
      <c r="B3074" s="485" t="s">
        <v>17333</v>
      </c>
      <c r="C3074" s="484" t="s">
        <v>65</v>
      </c>
      <c r="D3074" s="486">
        <v>4.71</v>
      </c>
      <c r="E3074" s="486">
        <v>4.71</v>
      </c>
    </row>
    <row r="3075" spans="1:5" ht="30">
      <c r="A3075" s="495">
        <v>89618</v>
      </c>
      <c r="B3075" s="348" t="s">
        <v>17334</v>
      </c>
      <c r="C3075" s="349" t="s">
        <v>65</v>
      </c>
      <c r="D3075" s="483">
        <v>11.55</v>
      </c>
      <c r="E3075" s="483">
        <v>11.55</v>
      </c>
    </row>
    <row r="3076" spans="1:5" ht="30">
      <c r="A3076" s="494">
        <v>89619</v>
      </c>
      <c r="B3076" s="485" t="s">
        <v>9305</v>
      </c>
      <c r="C3076" s="484" t="s">
        <v>65</v>
      </c>
      <c r="D3076" s="486">
        <v>6.14</v>
      </c>
      <c r="E3076" s="486">
        <v>6.14</v>
      </c>
    </row>
    <row r="3077" spans="1:5" ht="30">
      <c r="A3077" s="495">
        <v>89620</v>
      </c>
      <c r="B3077" s="348" t="s">
        <v>17335</v>
      </c>
      <c r="C3077" s="349" t="s">
        <v>65</v>
      </c>
      <c r="D3077" s="483">
        <v>7.22</v>
      </c>
      <c r="E3077" s="483">
        <v>7.22</v>
      </c>
    </row>
    <row r="3078" spans="1:5" ht="30">
      <c r="A3078" s="494">
        <v>89621</v>
      </c>
      <c r="B3078" s="485" t="s">
        <v>17336</v>
      </c>
      <c r="C3078" s="484" t="s">
        <v>65</v>
      </c>
      <c r="D3078" s="486">
        <v>18.18</v>
      </c>
      <c r="E3078" s="486">
        <v>18.18</v>
      </c>
    </row>
    <row r="3079" spans="1:5" ht="30">
      <c r="A3079" s="495">
        <v>89622</v>
      </c>
      <c r="B3079" s="348" t="s">
        <v>9309</v>
      </c>
      <c r="C3079" s="349" t="s">
        <v>65</v>
      </c>
      <c r="D3079" s="483">
        <v>9.4600000000000009</v>
      </c>
      <c r="E3079" s="483">
        <v>9.4600000000000009</v>
      </c>
    </row>
    <row r="3080" spans="1:5" ht="30">
      <c r="A3080" s="494">
        <v>89623</v>
      </c>
      <c r="B3080" s="485" t="s">
        <v>17337</v>
      </c>
      <c r="C3080" s="484" t="s">
        <v>65</v>
      </c>
      <c r="D3080" s="486">
        <v>12.39</v>
      </c>
      <c r="E3080" s="486">
        <v>12.39</v>
      </c>
    </row>
    <row r="3081" spans="1:5" ht="30">
      <c r="A3081" s="495">
        <v>89624</v>
      </c>
      <c r="B3081" s="348" t="s">
        <v>9313</v>
      </c>
      <c r="C3081" s="349" t="s">
        <v>65</v>
      </c>
      <c r="D3081" s="483">
        <v>12.27</v>
      </c>
      <c r="E3081" s="483">
        <v>12.27</v>
      </c>
    </row>
    <row r="3082" spans="1:5" ht="30">
      <c r="A3082" s="494">
        <v>89625</v>
      </c>
      <c r="B3082" s="485" t="s">
        <v>17338</v>
      </c>
      <c r="C3082" s="484" t="s">
        <v>65</v>
      </c>
      <c r="D3082" s="486">
        <v>14.96</v>
      </c>
      <c r="E3082" s="486">
        <v>14.96</v>
      </c>
    </row>
    <row r="3083" spans="1:5" ht="30">
      <c r="A3083" s="495">
        <v>89626</v>
      </c>
      <c r="B3083" s="348" t="s">
        <v>9316</v>
      </c>
      <c r="C3083" s="349" t="s">
        <v>65</v>
      </c>
      <c r="D3083" s="483">
        <v>18.8</v>
      </c>
      <c r="E3083" s="483">
        <v>18.8</v>
      </c>
    </row>
    <row r="3084" spans="1:5" ht="30">
      <c r="A3084" s="494">
        <v>89627</v>
      </c>
      <c r="B3084" s="485" t="s">
        <v>9315</v>
      </c>
      <c r="C3084" s="484" t="s">
        <v>65</v>
      </c>
      <c r="D3084" s="486">
        <v>14.71</v>
      </c>
      <c r="E3084" s="486">
        <v>14.71</v>
      </c>
    </row>
    <row r="3085" spans="1:5" ht="30">
      <c r="A3085" s="495">
        <v>89628</v>
      </c>
      <c r="B3085" s="348" t="s">
        <v>17339</v>
      </c>
      <c r="C3085" s="349" t="s">
        <v>65</v>
      </c>
      <c r="D3085" s="483">
        <v>30.91</v>
      </c>
      <c r="E3085" s="483">
        <v>30.91</v>
      </c>
    </row>
    <row r="3086" spans="1:5" ht="30">
      <c r="A3086" s="494">
        <v>89629</v>
      </c>
      <c r="B3086" s="485" t="s">
        <v>17340</v>
      </c>
      <c r="C3086" s="484" t="s">
        <v>65</v>
      </c>
      <c r="D3086" s="486">
        <v>54.64</v>
      </c>
      <c r="E3086" s="486">
        <v>54.64</v>
      </c>
    </row>
    <row r="3087" spans="1:5" ht="30">
      <c r="A3087" s="495">
        <v>89630</v>
      </c>
      <c r="B3087" s="348" t="s">
        <v>9318</v>
      </c>
      <c r="C3087" s="349" t="s">
        <v>65</v>
      </c>
      <c r="D3087" s="483">
        <v>46.97</v>
      </c>
      <c r="E3087" s="483">
        <v>46.97</v>
      </c>
    </row>
    <row r="3088" spans="1:5" ht="30">
      <c r="A3088" s="494">
        <v>89631</v>
      </c>
      <c r="B3088" s="485" t="s">
        <v>17341</v>
      </c>
      <c r="C3088" s="484" t="s">
        <v>65</v>
      </c>
      <c r="D3088" s="486">
        <v>80.23</v>
      </c>
      <c r="E3088" s="486">
        <v>80.23</v>
      </c>
    </row>
    <row r="3089" spans="1:5" ht="30">
      <c r="A3089" s="495">
        <v>89632</v>
      </c>
      <c r="B3089" s="348" t="s">
        <v>9320</v>
      </c>
      <c r="C3089" s="349" t="s">
        <v>65</v>
      </c>
      <c r="D3089" s="483">
        <v>68.83</v>
      </c>
      <c r="E3089" s="483">
        <v>68.83</v>
      </c>
    </row>
    <row r="3090" spans="1:5" ht="30">
      <c r="A3090" s="494">
        <v>89637</v>
      </c>
      <c r="B3090" s="485" t="s">
        <v>17342</v>
      </c>
      <c r="C3090" s="484" t="s">
        <v>65</v>
      </c>
      <c r="D3090" s="486">
        <v>6.61</v>
      </c>
      <c r="E3090" s="486">
        <v>6.61</v>
      </c>
    </row>
    <row r="3091" spans="1:5" ht="30">
      <c r="A3091" s="495">
        <v>89638</v>
      </c>
      <c r="B3091" s="348" t="s">
        <v>17343</v>
      </c>
      <c r="C3091" s="349" t="s">
        <v>65</v>
      </c>
      <c r="D3091" s="483">
        <v>7.34</v>
      </c>
      <c r="E3091" s="483">
        <v>7.34</v>
      </c>
    </row>
    <row r="3092" spans="1:5" ht="30">
      <c r="A3092" s="494">
        <v>89639</v>
      </c>
      <c r="B3092" s="485" t="s">
        <v>17344</v>
      </c>
      <c r="C3092" s="484" t="s">
        <v>65</v>
      </c>
      <c r="D3092" s="486">
        <v>7.63</v>
      </c>
      <c r="E3092" s="486">
        <v>7.63</v>
      </c>
    </row>
    <row r="3093" spans="1:5" ht="30">
      <c r="A3093" s="495">
        <v>89641</v>
      </c>
      <c r="B3093" s="348" t="s">
        <v>17345</v>
      </c>
      <c r="C3093" s="349" t="s">
        <v>65</v>
      </c>
      <c r="D3093" s="483">
        <v>9.27</v>
      </c>
      <c r="E3093" s="483">
        <v>9.27</v>
      </c>
    </row>
    <row r="3094" spans="1:5" ht="30">
      <c r="A3094" s="494">
        <v>89642</v>
      </c>
      <c r="B3094" s="485" t="s">
        <v>17346</v>
      </c>
      <c r="C3094" s="484" t="s">
        <v>65</v>
      </c>
      <c r="D3094" s="486">
        <v>10.69</v>
      </c>
      <c r="E3094" s="486">
        <v>10.69</v>
      </c>
    </row>
    <row r="3095" spans="1:5" ht="30">
      <c r="A3095" s="495">
        <v>89643</v>
      </c>
      <c r="B3095" s="348" t="s">
        <v>17347</v>
      </c>
      <c r="C3095" s="349" t="s">
        <v>65</v>
      </c>
      <c r="D3095" s="483">
        <v>11.16</v>
      </c>
      <c r="E3095" s="483">
        <v>11.16</v>
      </c>
    </row>
    <row r="3096" spans="1:5" ht="30">
      <c r="A3096" s="494">
        <v>89645</v>
      </c>
      <c r="B3096" s="485" t="s">
        <v>17348</v>
      </c>
      <c r="C3096" s="484" t="s">
        <v>65</v>
      </c>
      <c r="D3096" s="486">
        <v>19.920000000000002</v>
      </c>
      <c r="E3096" s="486">
        <v>19.920000000000002</v>
      </c>
    </row>
    <row r="3097" spans="1:5" ht="30">
      <c r="A3097" s="495">
        <v>89646</v>
      </c>
      <c r="B3097" s="348" t="s">
        <v>17349</v>
      </c>
      <c r="C3097" s="349" t="s">
        <v>65</v>
      </c>
      <c r="D3097" s="483">
        <v>14.43</v>
      </c>
      <c r="E3097" s="483">
        <v>14.43</v>
      </c>
    </row>
    <row r="3098" spans="1:5" ht="30">
      <c r="A3098" s="494">
        <v>89647</v>
      </c>
      <c r="B3098" s="485" t="s">
        <v>17350</v>
      </c>
      <c r="C3098" s="484" t="s">
        <v>65</v>
      </c>
      <c r="D3098" s="486">
        <v>14.1</v>
      </c>
      <c r="E3098" s="486">
        <v>14.1</v>
      </c>
    </row>
    <row r="3099" spans="1:5" ht="30">
      <c r="A3099" s="495">
        <v>89648</v>
      </c>
      <c r="B3099" s="348" t="s">
        <v>17351</v>
      </c>
      <c r="C3099" s="349" t="s">
        <v>65</v>
      </c>
      <c r="D3099" s="483">
        <v>15.62</v>
      </c>
      <c r="E3099" s="483">
        <v>15.62</v>
      </c>
    </row>
    <row r="3100" spans="1:5" ht="30">
      <c r="A3100" s="494">
        <v>89649</v>
      </c>
      <c r="B3100" s="485" t="s">
        <v>17352</v>
      </c>
      <c r="C3100" s="484" t="s">
        <v>65</v>
      </c>
      <c r="D3100" s="486">
        <v>21.31</v>
      </c>
      <c r="E3100" s="486">
        <v>21.31</v>
      </c>
    </row>
    <row r="3101" spans="1:5" ht="30">
      <c r="A3101" s="495">
        <v>89650</v>
      </c>
      <c r="B3101" s="348" t="s">
        <v>17353</v>
      </c>
      <c r="C3101" s="349" t="s">
        <v>65</v>
      </c>
      <c r="D3101" s="483">
        <v>21.31</v>
      </c>
      <c r="E3101" s="483">
        <v>21.31</v>
      </c>
    </row>
    <row r="3102" spans="1:5" ht="30">
      <c r="A3102" s="494">
        <v>89651</v>
      </c>
      <c r="B3102" s="485" t="s">
        <v>7121</v>
      </c>
      <c r="C3102" s="484" t="s">
        <v>65</v>
      </c>
      <c r="D3102" s="486">
        <v>4.46</v>
      </c>
      <c r="E3102" s="486">
        <v>4.46</v>
      </c>
    </row>
    <row r="3103" spans="1:5" ht="30">
      <c r="A3103" s="495">
        <v>89652</v>
      </c>
      <c r="B3103" s="348" t="s">
        <v>17354</v>
      </c>
      <c r="C3103" s="349" t="s">
        <v>65</v>
      </c>
      <c r="D3103" s="483">
        <v>7.71</v>
      </c>
      <c r="E3103" s="483">
        <v>7.71</v>
      </c>
    </row>
    <row r="3104" spans="1:5" ht="30">
      <c r="A3104" s="494">
        <v>89653</v>
      </c>
      <c r="B3104" s="485" t="s">
        <v>17355</v>
      </c>
      <c r="C3104" s="484" t="s">
        <v>65</v>
      </c>
      <c r="D3104" s="486">
        <v>12.7</v>
      </c>
      <c r="E3104" s="486">
        <v>12.7</v>
      </c>
    </row>
    <row r="3105" spans="1:5" ht="30">
      <c r="A3105" s="495">
        <v>89654</v>
      </c>
      <c r="B3105" s="348" t="s">
        <v>17356</v>
      </c>
      <c r="C3105" s="349" t="s">
        <v>65</v>
      </c>
      <c r="D3105" s="483">
        <v>12.37</v>
      </c>
      <c r="E3105" s="483">
        <v>12.37</v>
      </c>
    </row>
    <row r="3106" spans="1:5" ht="30">
      <c r="A3106" s="494">
        <v>89655</v>
      </c>
      <c r="B3106" s="485" t="s">
        <v>17357</v>
      </c>
      <c r="C3106" s="484" t="s">
        <v>65</v>
      </c>
      <c r="D3106" s="486">
        <v>18.47</v>
      </c>
      <c r="E3106" s="486">
        <v>18.47</v>
      </c>
    </row>
    <row r="3107" spans="1:5" ht="30">
      <c r="A3107" s="495">
        <v>89656</v>
      </c>
      <c r="B3107" s="348" t="s">
        <v>17358</v>
      </c>
      <c r="C3107" s="349" t="s">
        <v>65</v>
      </c>
      <c r="D3107" s="483">
        <v>8.2200000000000006</v>
      </c>
      <c r="E3107" s="483">
        <v>8.2200000000000006</v>
      </c>
    </row>
    <row r="3108" spans="1:5" ht="30">
      <c r="A3108" s="494">
        <v>89657</v>
      </c>
      <c r="B3108" s="485" t="s">
        <v>17359</v>
      </c>
      <c r="C3108" s="484" t="s">
        <v>65</v>
      </c>
      <c r="D3108" s="486">
        <v>8.3800000000000008</v>
      </c>
      <c r="E3108" s="486">
        <v>8.3800000000000008</v>
      </c>
    </row>
    <row r="3109" spans="1:5" ht="30">
      <c r="A3109" s="495">
        <v>89658</v>
      </c>
      <c r="B3109" s="348" t="s">
        <v>17360</v>
      </c>
      <c r="C3109" s="349" t="s">
        <v>65</v>
      </c>
      <c r="D3109" s="483">
        <v>6.12</v>
      </c>
      <c r="E3109" s="483">
        <v>6.12</v>
      </c>
    </row>
    <row r="3110" spans="1:5" ht="30">
      <c r="A3110" s="494">
        <v>89659</v>
      </c>
      <c r="B3110" s="485" t="s">
        <v>17361</v>
      </c>
      <c r="C3110" s="484" t="s">
        <v>65</v>
      </c>
      <c r="D3110" s="486">
        <v>11.09</v>
      </c>
      <c r="E3110" s="486">
        <v>11.09</v>
      </c>
    </row>
    <row r="3111" spans="1:5" ht="30">
      <c r="A3111" s="495">
        <v>89660</v>
      </c>
      <c r="B3111" s="348" t="s">
        <v>17362</v>
      </c>
      <c r="C3111" s="349" t="s">
        <v>65</v>
      </c>
      <c r="D3111" s="483">
        <v>5.69</v>
      </c>
      <c r="E3111" s="483">
        <v>5.69</v>
      </c>
    </row>
    <row r="3112" spans="1:5" ht="30">
      <c r="A3112" s="494">
        <v>89661</v>
      </c>
      <c r="B3112" s="485" t="s">
        <v>17363</v>
      </c>
      <c r="C3112" s="484" t="s">
        <v>65</v>
      </c>
      <c r="D3112" s="486">
        <v>14.87</v>
      </c>
      <c r="E3112" s="486">
        <v>14.87</v>
      </c>
    </row>
    <row r="3113" spans="1:5" ht="30">
      <c r="A3113" s="495">
        <v>89662</v>
      </c>
      <c r="B3113" s="348" t="s">
        <v>17364</v>
      </c>
      <c r="C3113" s="349" t="s">
        <v>65</v>
      </c>
      <c r="D3113" s="483">
        <v>22.96</v>
      </c>
      <c r="E3113" s="483">
        <v>22.96</v>
      </c>
    </row>
    <row r="3114" spans="1:5" ht="30">
      <c r="A3114" s="494">
        <v>89663</v>
      </c>
      <c r="B3114" s="485" t="s">
        <v>17365</v>
      </c>
      <c r="C3114" s="484" t="s">
        <v>65</v>
      </c>
      <c r="D3114" s="486">
        <v>9.4</v>
      </c>
      <c r="E3114" s="486">
        <v>9.4</v>
      </c>
    </row>
    <row r="3115" spans="1:5" ht="30">
      <c r="A3115" s="495">
        <v>89664</v>
      </c>
      <c r="B3115" s="348" t="s">
        <v>17366</v>
      </c>
      <c r="C3115" s="349" t="s">
        <v>65</v>
      </c>
      <c r="D3115" s="483">
        <v>11.09</v>
      </c>
      <c r="E3115" s="483">
        <v>11.09</v>
      </c>
    </row>
    <row r="3116" spans="1:5" ht="30">
      <c r="A3116" s="494">
        <v>89665</v>
      </c>
      <c r="B3116" s="485" t="s">
        <v>17367</v>
      </c>
      <c r="C3116" s="484" t="s">
        <v>65</v>
      </c>
      <c r="D3116" s="486">
        <v>9.4</v>
      </c>
      <c r="E3116" s="486">
        <v>9.4</v>
      </c>
    </row>
    <row r="3117" spans="1:5" ht="30">
      <c r="A3117" s="495">
        <v>89666</v>
      </c>
      <c r="B3117" s="348" t="s">
        <v>17368</v>
      </c>
      <c r="C3117" s="349" t="s">
        <v>65</v>
      </c>
      <c r="D3117" s="483">
        <v>4.95</v>
      </c>
      <c r="E3117" s="483">
        <v>4.95</v>
      </c>
    </row>
    <row r="3118" spans="1:5" ht="30">
      <c r="A3118" s="494">
        <v>89667</v>
      </c>
      <c r="B3118" s="485" t="s">
        <v>17369</v>
      </c>
      <c r="C3118" s="484" t="s">
        <v>65</v>
      </c>
      <c r="D3118" s="486">
        <v>28.53</v>
      </c>
      <c r="E3118" s="486">
        <v>28.53</v>
      </c>
    </row>
    <row r="3119" spans="1:5" ht="30">
      <c r="A3119" s="495">
        <v>89668</v>
      </c>
      <c r="B3119" s="348" t="s">
        <v>17370</v>
      </c>
      <c r="C3119" s="349" t="s">
        <v>65</v>
      </c>
      <c r="D3119" s="483">
        <v>21.77</v>
      </c>
      <c r="E3119" s="483">
        <v>21.77</v>
      </c>
    </row>
    <row r="3120" spans="1:5" ht="30">
      <c r="A3120" s="494">
        <v>89669</v>
      </c>
      <c r="B3120" s="485" t="s">
        <v>17371</v>
      </c>
      <c r="C3120" s="484" t="s">
        <v>65</v>
      </c>
      <c r="D3120" s="486">
        <v>14.85</v>
      </c>
      <c r="E3120" s="486">
        <v>14.85</v>
      </c>
    </row>
    <row r="3121" spans="1:5" ht="30">
      <c r="A3121" s="495">
        <v>89670</v>
      </c>
      <c r="B3121" s="348" t="s">
        <v>17372</v>
      </c>
      <c r="C3121" s="349" t="s">
        <v>65</v>
      </c>
      <c r="D3121" s="483">
        <v>9.07</v>
      </c>
      <c r="E3121" s="483">
        <v>9.07</v>
      </c>
    </row>
    <row r="3122" spans="1:5" ht="30">
      <c r="A3122" s="494">
        <v>89671</v>
      </c>
      <c r="B3122" s="485" t="s">
        <v>17373</v>
      </c>
      <c r="C3122" s="484" t="s">
        <v>65</v>
      </c>
      <c r="D3122" s="486">
        <v>22.03</v>
      </c>
      <c r="E3122" s="486">
        <v>22.03</v>
      </c>
    </row>
    <row r="3123" spans="1:5" ht="30">
      <c r="A3123" s="495">
        <v>89672</v>
      </c>
      <c r="B3123" s="348" t="s">
        <v>17374</v>
      </c>
      <c r="C3123" s="349" t="s">
        <v>65</v>
      </c>
      <c r="D3123" s="483">
        <v>14.76</v>
      </c>
      <c r="E3123" s="483">
        <v>14.76</v>
      </c>
    </row>
    <row r="3124" spans="1:5" ht="30">
      <c r="A3124" s="494">
        <v>89673</v>
      </c>
      <c r="B3124" s="485" t="s">
        <v>17375</v>
      </c>
      <c r="C3124" s="484" t="s">
        <v>65</v>
      </c>
      <c r="D3124" s="486">
        <v>17.39</v>
      </c>
      <c r="E3124" s="486">
        <v>17.39</v>
      </c>
    </row>
    <row r="3125" spans="1:5" ht="30">
      <c r="A3125" s="495">
        <v>89674</v>
      </c>
      <c r="B3125" s="348" t="s">
        <v>17376</v>
      </c>
      <c r="C3125" s="349" t="s">
        <v>65</v>
      </c>
      <c r="D3125" s="483">
        <v>22.01</v>
      </c>
      <c r="E3125" s="483">
        <v>22.01</v>
      </c>
    </row>
    <row r="3126" spans="1:5" ht="30">
      <c r="A3126" s="494">
        <v>89675</v>
      </c>
      <c r="B3126" s="485" t="s">
        <v>17377</v>
      </c>
      <c r="C3126" s="484" t="s">
        <v>65</v>
      </c>
      <c r="D3126" s="486">
        <v>38.880000000000003</v>
      </c>
      <c r="E3126" s="486">
        <v>38.880000000000003</v>
      </c>
    </row>
    <row r="3127" spans="1:5" ht="30">
      <c r="A3127" s="495">
        <v>89676</v>
      </c>
      <c r="B3127" s="348" t="s">
        <v>17378</v>
      </c>
      <c r="C3127" s="349" t="s">
        <v>65</v>
      </c>
      <c r="D3127" s="483">
        <v>33.840000000000003</v>
      </c>
      <c r="E3127" s="483">
        <v>33.840000000000003</v>
      </c>
    </row>
    <row r="3128" spans="1:5" ht="30">
      <c r="A3128" s="494">
        <v>89677</v>
      </c>
      <c r="B3128" s="485" t="s">
        <v>17379</v>
      </c>
      <c r="C3128" s="484" t="s">
        <v>65</v>
      </c>
      <c r="D3128" s="486">
        <v>43.62</v>
      </c>
      <c r="E3128" s="486">
        <v>43.62</v>
      </c>
    </row>
    <row r="3129" spans="1:5" ht="30">
      <c r="A3129" s="495">
        <v>89678</v>
      </c>
      <c r="B3129" s="348" t="s">
        <v>17380</v>
      </c>
      <c r="C3129" s="349" t="s">
        <v>65</v>
      </c>
      <c r="D3129" s="483">
        <v>6.55</v>
      </c>
      <c r="E3129" s="483">
        <v>6.55</v>
      </c>
    </row>
    <row r="3130" spans="1:5" ht="30">
      <c r="A3130" s="494">
        <v>89679</v>
      </c>
      <c r="B3130" s="485" t="s">
        <v>17381</v>
      </c>
      <c r="C3130" s="484" t="s">
        <v>65</v>
      </c>
      <c r="D3130" s="486">
        <v>72.17</v>
      </c>
      <c r="E3130" s="486">
        <v>72.17</v>
      </c>
    </row>
    <row r="3131" spans="1:5" ht="30">
      <c r="A3131" s="495">
        <v>89680</v>
      </c>
      <c r="B3131" s="348" t="s">
        <v>17382</v>
      </c>
      <c r="C3131" s="349" t="s">
        <v>65</v>
      </c>
      <c r="D3131" s="483">
        <v>14.33</v>
      </c>
      <c r="E3131" s="483">
        <v>14.33</v>
      </c>
    </row>
    <row r="3132" spans="1:5" ht="30">
      <c r="A3132" s="494">
        <v>89681</v>
      </c>
      <c r="B3132" s="485" t="s">
        <v>17383</v>
      </c>
      <c r="C3132" s="484" t="s">
        <v>65</v>
      </c>
      <c r="D3132" s="486">
        <v>48.6</v>
      </c>
      <c r="E3132" s="486">
        <v>48.6</v>
      </c>
    </row>
    <row r="3133" spans="1:5" ht="30">
      <c r="A3133" s="495">
        <v>89682</v>
      </c>
      <c r="B3133" s="348" t="s">
        <v>17384</v>
      </c>
      <c r="C3133" s="349" t="s">
        <v>65</v>
      </c>
      <c r="D3133" s="483">
        <v>22.83</v>
      </c>
      <c r="E3133" s="483">
        <v>22.83</v>
      </c>
    </row>
    <row r="3134" spans="1:5" ht="30">
      <c r="A3134" s="494">
        <v>89684</v>
      </c>
      <c r="B3134" s="485" t="s">
        <v>17385</v>
      </c>
      <c r="C3134" s="484" t="s">
        <v>65</v>
      </c>
      <c r="D3134" s="486">
        <v>31.95</v>
      </c>
      <c r="E3134" s="486">
        <v>31.95</v>
      </c>
    </row>
    <row r="3135" spans="1:5" ht="30">
      <c r="A3135" s="495">
        <v>89685</v>
      </c>
      <c r="B3135" s="348" t="s">
        <v>17386</v>
      </c>
      <c r="C3135" s="349" t="s">
        <v>65</v>
      </c>
      <c r="D3135" s="483">
        <v>33.49</v>
      </c>
      <c r="E3135" s="483">
        <v>33.49</v>
      </c>
    </row>
    <row r="3136" spans="1:5" ht="30">
      <c r="A3136" s="494">
        <v>89686</v>
      </c>
      <c r="B3136" s="485" t="s">
        <v>17387</v>
      </c>
      <c r="C3136" s="484" t="s">
        <v>65</v>
      </c>
      <c r="D3136" s="486">
        <v>122.16</v>
      </c>
      <c r="E3136" s="486">
        <v>122.16</v>
      </c>
    </row>
    <row r="3137" spans="1:5" ht="30">
      <c r="A3137" s="495">
        <v>89687</v>
      </c>
      <c r="B3137" s="348" t="s">
        <v>17388</v>
      </c>
      <c r="C3137" s="349" t="s">
        <v>65</v>
      </c>
      <c r="D3137" s="483">
        <v>27.61</v>
      </c>
      <c r="E3137" s="483">
        <v>27.61</v>
      </c>
    </row>
    <row r="3138" spans="1:5" ht="30">
      <c r="A3138" s="494">
        <v>89689</v>
      </c>
      <c r="B3138" s="485" t="s">
        <v>17389</v>
      </c>
      <c r="C3138" s="484" t="s">
        <v>65</v>
      </c>
      <c r="D3138" s="486">
        <v>24.66</v>
      </c>
      <c r="E3138" s="486">
        <v>24.66</v>
      </c>
    </row>
    <row r="3139" spans="1:5" ht="30">
      <c r="A3139" s="495">
        <v>89690</v>
      </c>
      <c r="B3139" s="348" t="s">
        <v>17390</v>
      </c>
      <c r="C3139" s="349" t="s">
        <v>65</v>
      </c>
      <c r="D3139" s="483">
        <v>51.28</v>
      </c>
      <c r="E3139" s="483">
        <v>51.28</v>
      </c>
    </row>
    <row r="3140" spans="1:5" ht="30">
      <c r="A3140" s="494">
        <v>89691</v>
      </c>
      <c r="B3140" s="485" t="s">
        <v>9393</v>
      </c>
      <c r="C3140" s="484" t="s">
        <v>65</v>
      </c>
      <c r="D3140" s="486">
        <v>8.4700000000000006</v>
      </c>
      <c r="E3140" s="486">
        <v>8.4700000000000006</v>
      </c>
    </row>
    <row r="3141" spans="1:5" ht="30">
      <c r="A3141" s="495">
        <v>89692</v>
      </c>
      <c r="B3141" s="348" t="s">
        <v>17391</v>
      </c>
      <c r="C3141" s="349" t="s">
        <v>65</v>
      </c>
      <c r="D3141" s="483">
        <v>49.55</v>
      </c>
      <c r="E3141" s="483">
        <v>49.55</v>
      </c>
    </row>
    <row r="3142" spans="1:5" ht="30">
      <c r="A3142" s="494">
        <v>89693</v>
      </c>
      <c r="B3142" s="485" t="s">
        <v>17392</v>
      </c>
      <c r="C3142" s="484" t="s">
        <v>65</v>
      </c>
      <c r="D3142" s="486">
        <v>45.35</v>
      </c>
      <c r="E3142" s="486">
        <v>45.35</v>
      </c>
    </row>
    <row r="3143" spans="1:5" ht="30">
      <c r="A3143" s="495">
        <v>89694</v>
      </c>
      <c r="B3143" s="348" t="s">
        <v>17393</v>
      </c>
      <c r="C3143" s="349" t="s">
        <v>65</v>
      </c>
      <c r="D3143" s="483">
        <v>14.04</v>
      </c>
      <c r="E3143" s="483">
        <v>14.04</v>
      </c>
    </row>
    <row r="3144" spans="1:5" ht="30">
      <c r="A3144" s="494">
        <v>89695</v>
      </c>
      <c r="B3144" s="485" t="s">
        <v>17394</v>
      </c>
      <c r="C3144" s="484" t="s">
        <v>65</v>
      </c>
      <c r="D3144" s="486">
        <v>12.99</v>
      </c>
      <c r="E3144" s="486">
        <v>12.99</v>
      </c>
    </row>
    <row r="3145" spans="1:5" ht="30">
      <c r="A3145" s="495">
        <v>89696</v>
      </c>
      <c r="B3145" s="348" t="s">
        <v>17395</v>
      </c>
      <c r="C3145" s="349" t="s">
        <v>65</v>
      </c>
      <c r="D3145" s="483">
        <v>35.4</v>
      </c>
      <c r="E3145" s="483">
        <v>35.4</v>
      </c>
    </row>
    <row r="3146" spans="1:5" ht="30">
      <c r="A3146" s="494">
        <v>89697</v>
      </c>
      <c r="B3146" s="485" t="s">
        <v>9396</v>
      </c>
      <c r="C3146" s="484" t="s">
        <v>65</v>
      </c>
      <c r="D3146" s="486">
        <v>10.54</v>
      </c>
      <c r="E3146" s="486">
        <v>10.54</v>
      </c>
    </row>
    <row r="3147" spans="1:5" ht="30">
      <c r="A3147" s="495">
        <v>89698</v>
      </c>
      <c r="B3147" s="348" t="s">
        <v>17396</v>
      </c>
      <c r="C3147" s="349" t="s">
        <v>65</v>
      </c>
      <c r="D3147" s="483">
        <v>142.49</v>
      </c>
      <c r="E3147" s="483">
        <v>142.49</v>
      </c>
    </row>
    <row r="3148" spans="1:5" ht="30">
      <c r="A3148" s="494">
        <v>89699</v>
      </c>
      <c r="B3148" s="485" t="s">
        <v>17397</v>
      </c>
      <c r="C3148" s="484" t="s">
        <v>65</v>
      </c>
      <c r="D3148" s="486">
        <v>115.81</v>
      </c>
      <c r="E3148" s="486">
        <v>115.81</v>
      </c>
    </row>
    <row r="3149" spans="1:5" ht="30">
      <c r="A3149" s="495">
        <v>89700</v>
      </c>
      <c r="B3149" s="348" t="s">
        <v>17398</v>
      </c>
      <c r="C3149" s="349" t="s">
        <v>65</v>
      </c>
      <c r="D3149" s="483">
        <v>15.3</v>
      </c>
      <c r="E3149" s="483">
        <v>15.3</v>
      </c>
    </row>
    <row r="3150" spans="1:5" ht="30">
      <c r="A3150" s="494">
        <v>89701</v>
      </c>
      <c r="B3150" s="485" t="s">
        <v>17399</v>
      </c>
      <c r="C3150" s="484" t="s">
        <v>65</v>
      </c>
      <c r="D3150" s="486">
        <v>103.78</v>
      </c>
      <c r="E3150" s="486">
        <v>103.78</v>
      </c>
    </row>
    <row r="3151" spans="1:5" ht="30">
      <c r="A3151" s="495">
        <v>89702</v>
      </c>
      <c r="B3151" s="348" t="s">
        <v>17400</v>
      </c>
      <c r="C3151" s="349" t="s">
        <v>65</v>
      </c>
      <c r="D3151" s="483">
        <v>15.3</v>
      </c>
      <c r="E3151" s="483">
        <v>15.3</v>
      </c>
    </row>
    <row r="3152" spans="1:5" ht="30">
      <c r="A3152" s="494">
        <v>89703</v>
      </c>
      <c r="B3152" s="485" t="s">
        <v>9352</v>
      </c>
      <c r="C3152" s="484" t="s">
        <v>65</v>
      </c>
      <c r="D3152" s="486">
        <v>34.65</v>
      </c>
      <c r="E3152" s="486">
        <v>34.65</v>
      </c>
    </row>
    <row r="3153" spans="1:5" ht="30">
      <c r="A3153" s="495">
        <v>89704</v>
      </c>
      <c r="B3153" s="348" t="s">
        <v>17401</v>
      </c>
      <c r="C3153" s="349" t="s">
        <v>65</v>
      </c>
      <c r="D3153" s="483">
        <v>80.72</v>
      </c>
      <c r="E3153" s="483">
        <v>80.72</v>
      </c>
    </row>
    <row r="3154" spans="1:5" ht="30">
      <c r="A3154" s="494">
        <v>89705</v>
      </c>
      <c r="B3154" s="485" t="s">
        <v>17402</v>
      </c>
      <c r="C3154" s="484" t="s">
        <v>65</v>
      </c>
      <c r="D3154" s="486">
        <v>17.100000000000001</v>
      </c>
      <c r="E3154" s="486">
        <v>17.100000000000001</v>
      </c>
    </row>
    <row r="3155" spans="1:5" ht="30">
      <c r="A3155" s="495">
        <v>89706</v>
      </c>
      <c r="B3155" s="348" t="s">
        <v>17403</v>
      </c>
      <c r="C3155" s="349" t="s">
        <v>65</v>
      </c>
      <c r="D3155" s="483">
        <v>37.770000000000003</v>
      </c>
      <c r="E3155" s="483">
        <v>37.770000000000003</v>
      </c>
    </row>
    <row r="3156" spans="1:5" ht="30">
      <c r="A3156" s="494">
        <v>89715</v>
      </c>
      <c r="B3156" s="485" t="s">
        <v>17404</v>
      </c>
      <c r="C3156" s="484" t="s">
        <v>65</v>
      </c>
      <c r="D3156" s="486">
        <v>18.22</v>
      </c>
      <c r="E3156" s="486">
        <v>18.22</v>
      </c>
    </row>
    <row r="3157" spans="1:5" ht="30">
      <c r="A3157" s="495">
        <v>89718</v>
      </c>
      <c r="B3157" s="348" t="s">
        <v>17405</v>
      </c>
      <c r="C3157" s="349" t="s">
        <v>71</v>
      </c>
      <c r="D3157" s="483">
        <v>34.19</v>
      </c>
      <c r="E3157" s="483">
        <v>34.19</v>
      </c>
    </row>
    <row r="3158" spans="1:5" ht="30">
      <c r="A3158" s="494">
        <v>89719</v>
      </c>
      <c r="B3158" s="485" t="s">
        <v>17406</v>
      </c>
      <c r="C3158" s="484" t="s">
        <v>65</v>
      </c>
      <c r="D3158" s="486">
        <v>7.38</v>
      </c>
      <c r="E3158" s="486">
        <v>7.38</v>
      </c>
    </row>
    <row r="3159" spans="1:5" ht="30">
      <c r="A3159" s="495">
        <v>89720</v>
      </c>
      <c r="B3159" s="348" t="s">
        <v>17407</v>
      </c>
      <c r="C3159" s="349" t="s">
        <v>65</v>
      </c>
      <c r="D3159" s="483">
        <v>8.8000000000000007</v>
      </c>
      <c r="E3159" s="483">
        <v>8.8000000000000007</v>
      </c>
    </row>
    <row r="3160" spans="1:5" ht="30">
      <c r="A3160" s="494">
        <v>89721</v>
      </c>
      <c r="B3160" s="485" t="s">
        <v>17408</v>
      </c>
      <c r="C3160" s="484" t="s">
        <v>65</v>
      </c>
      <c r="D3160" s="486">
        <v>9.27</v>
      </c>
      <c r="E3160" s="486">
        <v>9.27</v>
      </c>
    </row>
    <row r="3161" spans="1:5" ht="30">
      <c r="A3161" s="495">
        <v>89723</v>
      </c>
      <c r="B3161" s="348" t="s">
        <v>17409</v>
      </c>
      <c r="C3161" s="349" t="s">
        <v>65</v>
      </c>
      <c r="D3161" s="483">
        <v>12.23</v>
      </c>
      <c r="E3161" s="483">
        <v>12.23</v>
      </c>
    </row>
    <row r="3162" spans="1:5" ht="45">
      <c r="A3162" s="494">
        <v>89724</v>
      </c>
      <c r="B3162" s="485" t="s">
        <v>17410</v>
      </c>
      <c r="C3162" s="484" t="s">
        <v>65</v>
      </c>
      <c r="D3162" s="486">
        <v>5.67</v>
      </c>
      <c r="E3162" s="486">
        <v>5.67</v>
      </c>
    </row>
    <row r="3163" spans="1:5" ht="30">
      <c r="A3163" s="495">
        <v>89725</v>
      </c>
      <c r="B3163" s="348" t="s">
        <v>17411</v>
      </c>
      <c r="C3163" s="349" t="s">
        <v>65</v>
      </c>
      <c r="D3163" s="483">
        <v>11.9</v>
      </c>
      <c r="E3163" s="483">
        <v>11.9</v>
      </c>
    </row>
    <row r="3164" spans="1:5" ht="45">
      <c r="A3164" s="494">
        <v>89726</v>
      </c>
      <c r="B3164" s="485" t="s">
        <v>17412</v>
      </c>
      <c r="C3164" s="484" t="s">
        <v>65</v>
      </c>
      <c r="D3164" s="486">
        <v>6.48</v>
      </c>
      <c r="E3164" s="486">
        <v>6.48</v>
      </c>
    </row>
    <row r="3165" spans="1:5" ht="30">
      <c r="A3165" s="495">
        <v>89727</v>
      </c>
      <c r="B3165" s="348" t="s">
        <v>17413</v>
      </c>
      <c r="C3165" s="349" t="s">
        <v>65</v>
      </c>
      <c r="D3165" s="483">
        <v>13.42</v>
      </c>
      <c r="E3165" s="483">
        <v>13.42</v>
      </c>
    </row>
    <row r="3166" spans="1:5" ht="45">
      <c r="A3166" s="494">
        <v>89728</v>
      </c>
      <c r="B3166" s="485" t="s">
        <v>17414</v>
      </c>
      <c r="C3166" s="484" t="s">
        <v>65</v>
      </c>
      <c r="D3166" s="486">
        <v>7.47</v>
      </c>
      <c r="E3166" s="486">
        <v>7.47</v>
      </c>
    </row>
    <row r="3167" spans="1:5" ht="30">
      <c r="A3167" s="495">
        <v>89729</v>
      </c>
      <c r="B3167" s="348" t="s">
        <v>17415</v>
      </c>
      <c r="C3167" s="349" t="s">
        <v>65</v>
      </c>
      <c r="D3167" s="483">
        <v>18.72</v>
      </c>
      <c r="E3167" s="483">
        <v>18.72</v>
      </c>
    </row>
    <row r="3168" spans="1:5" ht="45">
      <c r="A3168" s="494">
        <v>89730</v>
      </c>
      <c r="B3168" s="485" t="s">
        <v>17416</v>
      </c>
      <c r="C3168" s="484" t="s">
        <v>65</v>
      </c>
      <c r="D3168" s="486">
        <v>7.57</v>
      </c>
      <c r="E3168" s="486">
        <v>7.57</v>
      </c>
    </row>
    <row r="3169" spans="1:5" ht="45">
      <c r="A3169" s="495">
        <v>89731</v>
      </c>
      <c r="B3169" s="348" t="s">
        <v>17417</v>
      </c>
      <c r="C3169" s="349" t="s">
        <v>65</v>
      </c>
      <c r="D3169" s="483">
        <v>7.68</v>
      </c>
      <c r="E3169" s="483">
        <v>7.68</v>
      </c>
    </row>
    <row r="3170" spans="1:5" ht="45">
      <c r="A3170" s="494">
        <v>89732</v>
      </c>
      <c r="B3170" s="485" t="s">
        <v>17418</v>
      </c>
      <c r="C3170" s="484" t="s">
        <v>65</v>
      </c>
      <c r="D3170" s="486">
        <v>8.25</v>
      </c>
      <c r="E3170" s="486">
        <v>8.25</v>
      </c>
    </row>
    <row r="3171" spans="1:5" ht="45">
      <c r="A3171" s="495">
        <v>89733</v>
      </c>
      <c r="B3171" s="348" t="s">
        <v>17419</v>
      </c>
      <c r="C3171" s="349" t="s">
        <v>65</v>
      </c>
      <c r="D3171" s="483">
        <v>12.68</v>
      </c>
      <c r="E3171" s="483">
        <v>12.68</v>
      </c>
    </row>
    <row r="3172" spans="1:5" ht="30">
      <c r="A3172" s="494">
        <v>89734</v>
      </c>
      <c r="B3172" s="485" t="s">
        <v>17420</v>
      </c>
      <c r="C3172" s="484" t="s">
        <v>65</v>
      </c>
      <c r="D3172" s="486">
        <v>18.72</v>
      </c>
      <c r="E3172" s="486">
        <v>18.72</v>
      </c>
    </row>
    <row r="3173" spans="1:5" ht="45">
      <c r="A3173" s="495">
        <v>89735</v>
      </c>
      <c r="B3173" s="348" t="s">
        <v>17421</v>
      </c>
      <c r="C3173" s="349" t="s">
        <v>65</v>
      </c>
      <c r="D3173" s="483">
        <v>12.58</v>
      </c>
      <c r="E3173" s="483">
        <v>12.58</v>
      </c>
    </row>
    <row r="3174" spans="1:5" ht="30">
      <c r="A3174" s="494">
        <v>89736</v>
      </c>
      <c r="B3174" s="485" t="s">
        <v>17422</v>
      </c>
      <c r="C3174" s="484" t="s">
        <v>65</v>
      </c>
      <c r="D3174" s="486">
        <v>4.8600000000000003</v>
      </c>
      <c r="E3174" s="486">
        <v>4.8600000000000003</v>
      </c>
    </row>
    <row r="3175" spans="1:5" ht="45">
      <c r="A3175" s="495">
        <v>89737</v>
      </c>
      <c r="B3175" s="348" t="s">
        <v>17423</v>
      </c>
      <c r="C3175" s="349" t="s">
        <v>65</v>
      </c>
      <c r="D3175" s="483">
        <v>13.26</v>
      </c>
      <c r="E3175" s="483">
        <v>13.26</v>
      </c>
    </row>
    <row r="3176" spans="1:5" ht="30">
      <c r="A3176" s="494">
        <v>89738</v>
      </c>
      <c r="B3176" s="485" t="s">
        <v>17424</v>
      </c>
      <c r="C3176" s="484" t="s">
        <v>65</v>
      </c>
      <c r="D3176" s="486">
        <v>9.83</v>
      </c>
      <c r="E3176" s="486">
        <v>9.83</v>
      </c>
    </row>
    <row r="3177" spans="1:5" ht="45">
      <c r="A3177" s="495">
        <v>89739</v>
      </c>
      <c r="B3177" s="348" t="s">
        <v>17425</v>
      </c>
      <c r="C3177" s="349" t="s">
        <v>65</v>
      </c>
      <c r="D3177" s="483">
        <v>14.1</v>
      </c>
      <c r="E3177" s="483">
        <v>14.1</v>
      </c>
    </row>
    <row r="3178" spans="1:5" ht="30">
      <c r="A3178" s="494">
        <v>89740</v>
      </c>
      <c r="B3178" s="485" t="s">
        <v>7001</v>
      </c>
      <c r="C3178" s="484" t="s">
        <v>65</v>
      </c>
      <c r="D3178" s="486">
        <v>4.43</v>
      </c>
      <c r="E3178" s="486">
        <v>4.43</v>
      </c>
    </row>
    <row r="3179" spans="1:5" ht="30">
      <c r="A3179" s="495">
        <v>89741</v>
      </c>
      <c r="B3179" s="348" t="s">
        <v>10591</v>
      </c>
      <c r="C3179" s="349" t="s">
        <v>65</v>
      </c>
      <c r="D3179" s="483">
        <v>13.61</v>
      </c>
      <c r="E3179" s="483">
        <v>13.61</v>
      </c>
    </row>
    <row r="3180" spans="1:5" ht="45">
      <c r="A3180" s="494">
        <v>89742</v>
      </c>
      <c r="B3180" s="485" t="s">
        <v>17426</v>
      </c>
      <c r="C3180" s="484" t="s">
        <v>65</v>
      </c>
      <c r="D3180" s="486">
        <v>22.34</v>
      </c>
      <c r="E3180" s="486">
        <v>22.34</v>
      </c>
    </row>
    <row r="3181" spans="1:5" ht="45">
      <c r="A3181" s="495">
        <v>89743</v>
      </c>
      <c r="B3181" s="348" t="s">
        <v>17427</v>
      </c>
      <c r="C3181" s="349" t="s">
        <v>65</v>
      </c>
      <c r="D3181" s="483">
        <v>29.68</v>
      </c>
      <c r="E3181" s="483">
        <v>29.68</v>
      </c>
    </row>
    <row r="3182" spans="1:5" ht="45">
      <c r="A3182" s="494">
        <v>89744</v>
      </c>
      <c r="B3182" s="485" t="s">
        <v>17428</v>
      </c>
      <c r="C3182" s="484" t="s">
        <v>65</v>
      </c>
      <c r="D3182" s="486">
        <v>17.47</v>
      </c>
      <c r="E3182" s="486">
        <v>17.47</v>
      </c>
    </row>
    <row r="3183" spans="1:5" ht="30">
      <c r="A3183" s="495">
        <v>89745</v>
      </c>
      <c r="B3183" s="348" t="s">
        <v>17429</v>
      </c>
      <c r="C3183" s="349" t="s">
        <v>65</v>
      </c>
      <c r="D3183" s="483">
        <v>21.7</v>
      </c>
      <c r="E3183" s="483">
        <v>21.7</v>
      </c>
    </row>
    <row r="3184" spans="1:5" ht="45">
      <c r="A3184" s="494">
        <v>89746</v>
      </c>
      <c r="B3184" s="485" t="s">
        <v>17430</v>
      </c>
      <c r="C3184" s="484" t="s">
        <v>65</v>
      </c>
      <c r="D3184" s="486">
        <v>17.54</v>
      </c>
      <c r="E3184" s="486">
        <v>17.54</v>
      </c>
    </row>
    <row r="3185" spans="1:5" ht="30">
      <c r="A3185" s="495">
        <v>89747</v>
      </c>
      <c r="B3185" s="348" t="s">
        <v>1582</v>
      </c>
      <c r="C3185" s="349" t="s">
        <v>65</v>
      </c>
      <c r="D3185" s="483">
        <v>8.14</v>
      </c>
      <c r="E3185" s="483">
        <v>8.14</v>
      </c>
    </row>
    <row r="3186" spans="1:5" ht="45">
      <c r="A3186" s="494">
        <v>89748</v>
      </c>
      <c r="B3186" s="485" t="s">
        <v>17431</v>
      </c>
      <c r="C3186" s="484" t="s">
        <v>65</v>
      </c>
      <c r="D3186" s="486">
        <v>25.86</v>
      </c>
      <c r="E3186" s="486">
        <v>25.86</v>
      </c>
    </row>
    <row r="3187" spans="1:5" ht="30">
      <c r="A3187" s="495">
        <v>89749</v>
      </c>
      <c r="B3187" s="348" t="s">
        <v>4563</v>
      </c>
      <c r="C3187" s="349" t="s">
        <v>65</v>
      </c>
      <c r="D3187" s="483">
        <v>9.83</v>
      </c>
      <c r="E3187" s="483">
        <v>9.83</v>
      </c>
    </row>
    <row r="3188" spans="1:5" ht="45">
      <c r="A3188" s="494">
        <v>89750</v>
      </c>
      <c r="B3188" s="485" t="s">
        <v>17432</v>
      </c>
      <c r="C3188" s="484" t="s">
        <v>65</v>
      </c>
      <c r="D3188" s="486">
        <v>45.12</v>
      </c>
      <c r="E3188" s="486">
        <v>45.12</v>
      </c>
    </row>
    <row r="3189" spans="1:5" ht="30">
      <c r="A3189" s="495">
        <v>89751</v>
      </c>
      <c r="B3189" s="348" t="s">
        <v>17433</v>
      </c>
      <c r="C3189" s="349" t="s">
        <v>65</v>
      </c>
      <c r="D3189" s="483">
        <v>3.69</v>
      </c>
      <c r="E3189" s="483">
        <v>3.69</v>
      </c>
    </row>
    <row r="3190" spans="1:5" ht="45">
      <c r="A3190" s="494">
        <v>89752</v>
      </c>
      <c r="B3190" s="485" t="s">
        <v>17434</v>
      </c>
      <c r="C3190" s="484" t="s">
        <v>65</v>
      </c>
      <c r="D3190" s="486">
        <v>4.47</v>
      </c>
      <c r="E3190" s="486">
        <v>4.47</v>
      </c>
    </row>
    <row r="3191" spans="1:5" ht="30">
      <c r="A3191" s="495">
        <v>89753</v>
      </c>
      <c r="B3191" s="348" t="s">
        <v>17435</v>
      </c>
      <c r="C3191" s="349" t="s">
        <v>65</v>
      </c>
      <c r="D3191" s="483">
        <v>6.54</v>
      </c>
      <c r="E3191" s="483">
        <v>6.54</v>
      </c>
    </row>
    <row r="3192" spans="1:5" ht="45">
      <c r="A3192" s="494">
        <v>89754</v>
      </c>
      <c r="B3192" s="485" t="s">
        <v>17436</v>
      </c>
      <c r="C3192" s="484" t="s">
        <v>65</v>
      </c>
      <c r="D3192" s="486">
        <v>11.84</v>
      </c>
      <c r="E3192" s="486">
        <v>11.84</v>
      </c>
    </row>
    <row r="3193" spans="1:5" ht="30">
      <c r="A3193" s="495">
        <v>89755</v>
      </c>
      <c r="B3193" s="348" t="s">
        <v>17437</v>
      </c>
      <c r="C3193" s="349" t="s">
        <v>65</v>
      </c>
      <c r="D3193" s="483">
        <v>7.61</v>
      </c>
      <c r="E3193" s="483">
        <v>7.61</v>
      </c>
    </row>
    <row r="3194" spans="1:5" ht="30">
      <c r="A3194" s="494">
        <v>89756</v>
      </c>
      <c r="B3194" s="485" t="s">
        <v>17438</v>
      </c>
      <c r="C3194" s="484" t="s">
        <v>65</v>
      </c>
      <c r="D3194" s="486">
        <v>13.3</v>
      </c>
      <c r="E3194" s="486">
        <v>13.3</v>
      </c>
    </row>
    <row r="3195" spans="1:5" ht="30">
      <c r="A3195" s="495">
        <v>89757</v>
      </c>
      <c r="B3195" s="348" t="s">
        <v>10592</v>
      </c>
      <c r="C3195" s="349" t="s">
        <v>65</v>
      </c>
      <c r="D3195" s="483">
        <v>20.55</v>
      </c>
      <c r="E3195" s="483">
        <v>20.55</v>
      </c>
    </row>
    <row r="3196" spans="1:5" ht="30">
      <c r="A3196" s="494">
        <v>89758</v>
      </c>
      <c r="B3196" s="485" t="s">
        <v>17439</v>
      </c>
      <c r="C3196" s="484" t="s">
        <v>65</v>
      </c>
      <c r="D3196" s="486">
        <v>32.380000000000003</v>
      </c>
      <c r="E3196" s="486">
        <v>32.380000000000003</v>
      </c>
    </row>
    <row r="3197" spans="1:5" ht="30">
      <c r="A3197" s="495">
        <v>89759</v>
      </c>
      <c r="B3197" s="348" t="s">
        <v>17440</v>
      </c>
      <c r="C3197" s="349" t="s">
        <v>65</v>
      </c>
      <c r="D3197" s="483">
        <v>5.09</v>
      </c>
      <c r="E3197" s="483">
        <v>5.09</v>
      </c>
    </row>
    <row r="3198" spans="1:5" ht="30">
      <c r="A3198" s="494">
        <v>89760</v>
      </c>
      <c r="B3198" s="485" t="s">
        <v>17441</v>
      </c>
      <c r="C3198" s="484" t="s">
        <v>65</v>
      </c>
      <c r="D3198" s="486">
        <v>12.62</v>
      </c>
      <c r="E3198" s="486">
        <v>12.62</v>
      </c>
    </row>
    <row r="3199" spans="1:5" ht="30">
      <c r="A3199" s="495">
        <v>89761</v>
      </c>
      <c r="B3199" s="348" t="s">
        <v>17442</v>
      </c>
      <c r="C3199" s="349" t="s">
        <v>65</v>
      </c>
      <c r="D3199" s="483">
        <v>21.12</v>
      </c>
      <c r="E3199" s="483">
        <v>21.12</v>
      </c>
    </row>
    <row r="3200" spans="1:5" ht="30">
      <c r="A3200" s="494">
        <v>89762</v>
      </c>
      <c r="B3200" s="485" t="s">
        <v>17443</v>
      </c>
      <c r="C3200" s="484" t="s">
        <v>65</v>
      </c>
      <c r="D3200" s="486">
        <v>30.24</v>
      </c>
      <c r="E3200" s="486">
        <v>30.24</v>
      </c>
    </row>
    <row r="3201" spans="1:5" ht="30">
      <c r="A3201" s="495">
        <v>89763</v>
      </c>
      <c r="B3201" s="348" t="s">
        <v>17444</v>
      </c>
      <c r="C3201" s="349" t="s">
        <v>65</v>
      </c>
      <c r="D3201" s="483">
        <v>120.45</v>
      </c>
      <c r="E3201" s="483">
        <v>120.45</v>
      </c>
    </row>
    <row r="3202" spans="1:5" ht="30">
      <c r="A3202" s="494">
        <v>89764</v>
      </c>
      <c r="B3202" s="485" t="s">
        <v>2826</v>
      </c>
      <c r="C3202" s="484" t="s">
        <v>65</v>
      </c>
      <c r="D3202" s="486">
        <v>22.95</v>
      </c>
      <c r="E3202" s="486">
        <v>22.95</v>
      </c>
    </row>
    <row r="3203" spans="1:5" ht="30">
      <c r="A3203" s="495">
        <v>89765</v>
      </c>
      <c r="B3203" s="348" t="s">
        <v>17445</v>
      </c>
      <c r="C3203" s="349" t="s">
        <v>65</v>
      </c>
      <c r="D3203" s="483">
        <v>9.44</v>
      </c>
      <c r="E3203" s="483">
        <v>9.44</v>
      </c>
    </row>
    <row r="3204" spans="1:5" ht="30">
      <c r="A3204" s="494">
        <v>89766</v>
      </c>
      <c r="B3204" s="485" t="s">
        <v>9337</v>
      </c>
      <c r="C3204" s="484" t="s">
        <v>65</v>
      </c>
      <c r="D3204" s="486">
        <v>14.2</v>
      </c>
      <c r="E3204" s="486">
        <v>14.2</v>
      </c>
    </row>
    <row r="3205" spans="1:5" ht="30">
      <c r="A3205" s="495">
        <v>89767</v>
      </c>
      <c r="B3205" s="348" t="s">
        <v>17446</v>
      </c>
      <c r="C3205" s="349" t="s">
        <v>65</v>
      </c>
      <c r="D3205" s="483">
        <v>14.2</v>
      </c>
      <c r="E3205" s="483">
        <v>14.2</v>
      </c>
    </row>
    <row r="3206" spans="1:5" ht="30">
      <c r="A3206" s="494">
        <v>89768</v>
      </c>
      <c r="B3206" s="485" t="s">
        <v>17447</v>
      </c>
      <c r="C3206" s="484" t="s">
        <v>65</v>
      </c>
      <c r="D3206" s="486">
        <v>14.16</v>
      </c>
      <c r="E3206" s="486">
        <v>14.16</v>
      </c>
    </row>
    <row r="3207" spans="1:5" ht="30">
      <c r="A3207" s="495">
        <v>89769</v>
      </c>
      <c r="B3207" s="348" t="s">
        <v>9409</v>
      </c>
      <c r="C3207" s="349" t="s">
        <v>65</v>
      </c>
      <c r="D3207" s="483">
        <v>34.299999999999997</v>
      </c>
      <c r="E3207" s="483">
        <v>34.299999999999997</v>
      </c>
    </row>
    <row r="3208" spans="1:5" ht="30">
      <c r="A3208" s="494">
        <v>89772</v>
      </c>
      <c r="B3208" s="485" t="s">
        <v>17448</v>
      </c>
      <c r="C3208" s="484" t="s">
        <v>71</v>
      </c>
      <c r="D3208" s="486">
        <v>62.35</v>
      </c>
      <c r="E3208" s="486">
        <v>62.35</v>
      </c>
    </row>
    <row r="3209" spans="1:5" ht="30">
      <c r="A3209" s="495">
        <v>89774</v>
      </c>
      <c r="B3209" s="348" t="s">
        <v>17449</v>
      </c>
      <c r="C3209" s="349" t="s">
        <v>65</v>
      </c>
      <c r="D3209" s="483">
        <v>10.93</v>
      </c>
      <c r="E3209" s="483">
        <v>10.93</v>
      </c>
    </row>
    <row r="3210" spans="1:5" ht="45">
      <c r="A3210" s="494">
        <v>89776</v>
      </c>
      <c r="B3210" s="485" t="s">
        <v>17450</v>
      </c>
      <c r="C3210" s="484" t="s">
        <v>65</v>
      </c>
      <c r="D3210" s="486">
        <v>14.66</v>
      </c>
      <c r="E3210" s="486">
        <v>14.66</v>
      </c>
    </row>
    <row r="3211" spans="1:5" ht="30">
      <c r="A3211" s="495">
        <v>89777</v>
      </c>
      <c r="B3211" s="348" t="s">
        <v>17451</v>
      </c>
      <c r="C3211" s="349" t="s">
        <v>65</v>
      </c>
      <c r="D3211" s="483">
        <v>17.53</v>
      </c>
      <c r="E3211" s="483">
        <v>17.53</v>
      </c>
    </row>
    <row r="3212" spans="1:5" ht="45">
      <c r="A3212" s="494">
        <v>89778</v>
      </c>
      <c r="B3212" s="485" t="s">
        <v>17452</v>
      </c>
      <c r="C3212" s="484" t="s">
        <v>65</v>
      </c>
      <c r="D3212" s="486">
        <v>13.67</v>
      </c>
      <c r="E3212" s="486">
        <v>13.67</v>
      </c>
    </row>
    <row r="3213" spans="1:5" ht="45">
      <c r="A3213" s="495">
        <v>89779</v>
      </c>
      <c r="B3213" s="348" t="s">
        <v>17453</v>
      </c>
      <c r="C3213" s="349" t="s">
        <v>65</v>
      </c>
      <c r="D3213" s="483">
        <v>21.13</v>
      </c>
      <c r="E3213" s="483">
        <v>21.13</v>
      </c>
    </row>
    <row r="3214" spans="1:5" ht="30">
      <c r="A3214" s="494">
        <v>89780</v>
      </c>
      <c r="B3214" s="485" t="s">
        <v>11058</v>
      </c>
      <c r="C3214" s="484" t="s">
        <v>65</v>
      </c>
      <c r="D3214" s="486">
        <v>17.53</v>
      </c>
      <c r="E3214" s="486">
        <v>17.53</v>
      </c>
    </row>
    <row r="3215" spans="1:5" ht="30">
      <c r="A3215" s="495">
        <v>89781</v>
      </c>
      <c r="B3215" s="348" t="s">
        <v>17454</v>
      </c>
      <c r="C3215" s="349" t="s">
        <v>65</v>
      </c>
      <c r="D3215" s="483">
        <v>26.32</v>
      </c>
      <c r="E3215" s="483">
        <v>26.32</v>
      </c>
    </row>
    <row r="3216" spans="1:5" ht="30">
      <c r="A3216" s="494">
        <v>89782</v>
      </c>
      <c r="B3216" s="485" t="s">
        <v>17455</v>
      </c>
      <c r="C3216" s="484" t="s">
        <v>65</v>
      </c>
      <c r="D3216" s="486">
        <v>8.2799999999999994</v>
      </c>
      <c r="E3216" s="486">
        <v>8.2799999999999994</v>
      </c>
    </row>
    <row r="3217" spans="1:5" ht="45">
      <c r="A3217" s="495">
        <v>89783</v>
      </c>
      <c r="B3217" s="348" t="s">
        <v>17456</v>
      </c>
      <c r="C3217" s="349" t="s">
        <v>65</v>
      </c>
      <c r="D3217" s="483">
        <v>8.68</v>
      </c>
      <c r="E3217" s="483">
        <v>8.68</v>
      </c>
    </row>
    <row r="3218" spans="1:5" ht="30">
      <c r="A3218" s="494">
        <v>89784</v>
      </c>
      <c r="B3218" s="485" t="s">
        <v>17457</v>
      </c>
      <c r="C3218" s="484" t="s">
        <v>65</v>
      </c>
      <c r="D3218" s="486">
        <v>13.9</v>
      </c>
      <c r="E3218" s="486">
        <v>13.9</v>
      </c>
    </row>
    <row r="3219" spans="1:5" ht="45">
      <c r="A3219" s="495">
        <v>89785</v>
      </c>
      <c r="B3219" s="348" t="s">
        <v>17458</v>
      </c>
      <c r="C3219" s="349" t="s">
        <v>65</v>
      </c>
      <c r="D3219" s="483">
        <v>14.8</v>
      </c>
      <c r="E3219" s="483">
        <v>14.8</v>
      </c>
    </row>
    <row r="3220" spans="1:5" ht="30">
      <c r="A3220" s="494">
        <v>89786</v>
      </c>
      <c r="B3220" s="485" t="s">
        <v>17459</v>
      </c>
      <c r="C3220" s="484" t="s">
        <v>65</v>
      </c>
      <c r="D3220" s="486">
        <v>23.07</v>
      </c>
      <c r="E3220" s="486">
        <v>23.07</v>
      </c>
    </row>
    <row r="3221" spans="1:5" ht="30">
      <c r="A3221" s="495">
        <v>89787</v>
      </c>
      <c r="B3221" s="348" t="s">
        <v>17460</v>
      </c>
      <c r="C3221" s="349" t="s">
        <v>65</v>
      </c>
      <c r="D3221" s="483">
        <v>26.32</v>
      </c>
      <c r="E3221" s="483">
        <v>26.32</v>
      </c>
    </row>
    <row r="3222" spans="1:5" ht="30">
      <c r="A3222" s="494">
        <v>89788</v>
      </c>
      <c r="B3222" s="485" t="s">
        <v>17461</v>
      </c>
      <c r="C3222" s="484" t="s">
        <v>65</v>
      </c>
      <c r="D3222" s="486">
        <v>52.03</v>
      </c>
      <c r="E3222" s="486">
        <v>52.03</v>
      </c>
    </row>
    <row r="3223" spans="1:5" ht="30">
      <c r="A3223" s="495">
        <v>89789</v>
      </c>
      <c r="B3223" s="348" t="s">
        <v>17462</v>
      </c>
      <c r="C3223" s="349" t="s">
        <v>65</v>
      </c>
      <c r="D3223" s="483">
        <v>52.87</v>
      </c>
      <c r="E3223" s="483">
        <v>52.87</v>
      </c>
    </row>
    <row r="3224" spans="1:5" ht="30">
      <c r="A3224" s="494">
        <v>89790</v>
      </c>
      <c r="B3224" s="485" t="s">
        <v>17463</v>
      </c>
      <c r="C3224" s="484" t="s">
        <v>65</v>
      </c>
      <c r="D3224" s="486">
        <v>129.83000000000001</v>
      </c>
      <c r="E3224" s="486">
        <v>129.83000000000001</v>
      </c>
    </row>
    <row r="3225" spans="1:5" ht="30">
      <c r="A3225" s="495">
        <v>89791</v>
      </c>
      <c r="B3225" s="348" t="s">
        <v>17464</v>
      </c>
      <c r="C3225" s="349" t="s">
        <v>65</v>
      </c>
      <c r="D3225" s="483">
        <v>132.91</v>
      </c>
      <c r="E3225" s="483">
        <v>132.91</v>
      </c>
    </row>
    <row r="3226" spans="1:5" ht="30">
      <c r="A3226" s="494">
        <v>89792</v>
      </c>
      <c r="B3226" s="485" t="s">
        <v>17465</v>
      </c>
      <c r="C3226" s="484" t="s">
        <v>65</v>
      </c>
      <c r="D3226" s="486">
        <v>152.16</v>
      </c>
      <c r="E3226" s="486">
        <v>152.16</v>
      </c>
    </row>
    <row r="3227" spans="1:5" ht="30">
      <c r="A3227" s="495">
        <v>89793</v>
      </c>
      <c r="B3227" s="348" t="s">
        <v>17466</v>
      </c>
      <c r="C3227" s="349" t="s">
        <v>65</v>
      </c>
      <c r="D3227" s="483">
        <v>156.31</v>
      </c>
      <c r="E3227" s="483">
        <v>156.31</v>
      </c>
    </row>
    <row r="3228" spans="1:5" ht="30">
      <c r="A3228" s="494">
        <v>89794</v>
      </c>
      <c r="B3228" s="485" t="s">
        <v>17467</v>
      </c>
      <c r="C3228" s="484" t="s">
        <v>65</v>
      </c>
      <c r="D3228" s="486">
        <v>11.84</v>
      </c>
      <c r="E3228" s="486">
        <v>11.84</v>
      </c>
    </row>
    <row r="3229" spans="1:5" ht="45">
      <c r="A3229" s="495">
        <v>89795</v>
      </c>
      <c r="B3229" s="348" t="s">
        <v>17468</v>
      </c>
      <c r="C3229" s="349" t="s">
        <v>65</v>
      </c>
      <c r="D3229" s="483">
        <v>24.33</v>
      </c>
      <c r="E3229" s="483">
        <v>24.33</v>
      </c>
    </row>
    <row r="3230" spans="1:5" ht="30">
      <c r="A3230" s="494">
        <v>89796</v>
      </c>
      <c r="B3230" s="485" t="s">
        <v>17469</v>
      </c>
      <c r="C3230" s="484" t="s">
        <v>65</v>
      </c>
      <c r="D3230" s="486">
        <v>28.53</v>
      </c>
      <c r="E3230" s="486">
        <v>28.53</v>
      </c>
    </row>
    <row r="3231" spans="1:5" ht="45">
      <c r="A3231" s="495">
        <v>89797</v>
      </c>
      <c r="B3231" s="348" t="s">
        <v>17470</v>
      </c>
      <c r="C3231" s="349" t="s">
        <v>65</v>
      </c>
      <c r="D3231" s="483">
        <v>33.26</v>
      </c>
      <c r="E3231" s="483">
        <v>33.26</v>
      </c>
    </row>
    <row r="3232" spans="1:5" ht="30">
      <c r="A3232" s="494">
        <v>89801</v>
      </c>
      <c r="B3232" s="485" t="s">
        <v>17471</v>
      </c>
      <c r="C3232" s="484" t="s">
        <v>65</v>
      </c>
      <c r="D3232" s="486">
        <v>4.6399999999999997</v>
      </c>
      <c r="E3232" s="486">
        <v>4.6399999999999997</v>
      </c>
    </row>
    <row r="3233" spans="1:5" ht="30">
      <c r="A3233" s="495">
        <v>89802</v>
      </c>
      <c r="B3233" s="348" t="s">
        <v>17472</v>
      </c>
      <c r="C3233" s="349" t="s">
        <v>65</v>
      </c>
      <c r="D3233" s="483">
        <v>5.21</v>
      </c>
      <c r="E3233" s="483">
        <v>5.21</v>
      </c>
    </row>
    <row r="3234" spans="1:5" ht="30">
      <c r="A3234" s="494">
        <v>89803</v>
      </c>
      <c r="B3234" s="485" t="s">
        <v>17473</v>
      </c>
      <c r="C3234" s="484" t="s">
        <v>65</v>
      </c>
      <c r="D3234" s="486">
        <v>9.64</v>
      </c>
      <c r="E3234" s="486">
        <v>9.64</v>
      </c>
    </row>
    <row r="3235" spans="1:5" ht="30">
      <c r="A3235" s="495">
        <v>89804</v>
      </c>
      <c r="B3235" s="348" t="s">
        <v>17474</v>
      </c>
      <c r="C3235" s="349" t="s">
        <v>65</v>
      </c>
      <c r="D3235" s="483">
        <v>9.5399999999999991</v>
      </c>
      <c r="E3235" s="483">
        <v>9.5399999999999991</v>
      </c>
    </row>
    <row r="3236" spans="1:5" ht="30">
      <c r="A3236" s="494">
        <v>89805</v>
      </c>
      <c r="B3236" s="485" t="s">
        <v>17475</v>
      </c>
      <c r="C3236" s="484" t="s">
        <v>65</v>
      </c>
      <c r="D3236" s="486">
        <v>9.5500000000000007</v>
      </c>
      <c r="E3236" s="486">
        <v>9.5500000000000007</v>
      </c>
    </row>
    <row r="3237" spans="1:5" ht="30">
      <c r="A3237" s="495">
        <v>89806</v>
      </c>
      <c r="B3237" s="348" t="s">
        <v>17476</v>
      </c>
      <c r="C3237" s="349" t="s">
        <v>65</v>
      </c>
      <c r="D3237" s="483">
        <v>10.39</v>
      </c>
      <c r="E3237" s="483">
        <v>10.39</v>
      </c>
    </row>
    <row r="3238" spans="1:5" ht="30">
      <c r="A3238" s="494">
        <v>89807</v>
      </c>
      <c r="B3238" s="485" t="s">
        <v>17477</v>
      </c>
      <c r="C3238" s="484" t="s">
        <v>65</v>
      </c>
      <c r="D3238" s="486">
        <v>18.63</v>
      </c>
      <c r="E3238" s="486">
        <v>18.63</v>
      </c>
    </row>
    <row r="3239" spans="1:5" ht="30">
      <c r="A3239" s="495">
        <v>89808</v>
      </c>
      <c r="B3239" s="348" t="s">
        <v>17478</v>
      </c>
      <c r="C3239" s="349" t="s">
        <v>65</v>
      </c>
      <c r="D3239" s="483">
        <v>25.97</v>
      </c>
      <c r="E3239" s="483">
        <v>25.97</v>
      </c>
    </row>
    <row r="3240" spans="1:5" ht="30">
      <c r="A3240" s="494">
        <v>89809</v>
      </c>
      <c r="B3240" s="485" t="s">
        <v>17479</v>
      </c>
      <c r="C3240" s="484" t="s">
        <v>65</v>
      </c>
      <c r="D3240" s="486">
        <v>13.08</v>
      </c>
      <c r="E3240" s="486">
        <v>13.08</v>
      </c>
    </row>
    <row r="3241" spans="1:5" ht="30">
      <c r="A3241" s="495">
        <v>89810</v>
      </c>
      <c r="B3241" s="348" t="s">
        <v>17480</v>
      </c>
      <c r="C3241" s="349" t="s">
        <v>65</v>
      </c>
      <c r="D3241" s="483">
        <v>13.15</v>
      </c>
      <c r="E3241" s="483">
        <v>13.15</v>
      </c>
    </row>
    <row r="3242" spans="1:5" ht="30">
      <c r="A3242" s="494">
        <v>89811</v>
      </c>
      <c r="B3242" s="485" t="s">
        <v>17481</v>
      </c>
      <c r="C3242" s="484" t="s">
        <v>65</v>
      </c>
      <c r="D3242" s="486">
        <v>21.47</v>
      </c>
      <c r="E3242" s="486">
        <v>21.47</v>
      </c>
    </row>
    <row r="3243" spans="1:5" ht="30">
      <c r="A3243" s="495">
        <v>89812</v>
      </c>
      <c r="B3243" s="348" t="s">
        <v>17482</v>
      </c>
      <c r="C3243" s="349" t="s">
        <v>65</v>
      </c>
      <c r="D3243" s="483">
        <v>40.729999999999997</v>
      </c>
      <c r="E3243" s="483">
        <v>40.729999999999997</v>
      </c>
    </row>
    <row r="3244" spans="1:5" ht="30">
      <c r="A3244" s="494">
        <v>89813</v>
      </c>
      <c r="B3244" s="485" t="s">
        <v>17483</v>
      </c>
      <c r="C3244" s="484" t="s">
        <v>65</v>
      </c>
      <c r="D3244" s="486">
        <v>4.8600000000000003</v>
      </c>
      <c r="E3244" s="486">
        <v>4.8600000000000003</v>
      </c>
    </row>
    <row r="3245" spans="1:5" ht="30">
      <c r="A3245" s="495">
        <v>89814</v>
      </c>
      <c r="B3245" s="348" t="s">
        <v>17484</v>
      </c>
      <c r="C3245" s="349" t="s">
        <v>65</v>
      </c>
      <c r="D3245" s="483">
        <v>10.16</v>
      </c>
      <c r="E3245" s="483">
        <v>10.16</v>
      </c>
    </row>
    <row r="3246" spans="1:5" ht="30">
      <c r="A3246" s="494">
        <v>89815</v>
      </c>
      <c r="B3246" s="485" t="s">
        <v>17485</v>
      </c>
      <c r="C3246" s="484" t="s">
        <v>65</v>
      </c>
      <c r="D3246" s="486">
        <v>20.34</v>
      </c>
      <c r="E3246" s="486">
        <v>20.34</v>
      </c>
    </row>
    <row r="3247" spans="1:5" ht="30">
      <c r="A3247" s="495">
        <v>89816</v>
      </c>
      <c r="B3247" s="348" t="s">
        <v>17486</v>
      </c>
      <c r="C3247" s="349" t="s">
        <v>65</v>
      </c>
      <c r="D3247" s="483">
        <v>29.46</v>
      </c>
      <c r="E3247" s="483">
        <v>29.46</v>
      </c>
    </row>
    <row r="3248" spans="1:5" ht="30">
      <c r="A3248" s="494">
        <v>89817</v>
      </c>
      <c r="B3248" s="485" t="s">
        <v>17487</v>
      </c>
      <c r="C3248" s="484" t="s">
        <v>65</v>
      </c>
      <c r="D3248" s="486">
        <v>8.57</v>
      </c>
      <c r="E3248" s="486">
        <v>8.57</v>
      </c>
    </row>
    <row r="3249" spans="1:5" ht="30">
      <c r="A3249" s="495">
        <v>89818</v>
      </c>
      <c r="B3249" s="348" t="s">
        <v>17488</v>
      </c>
      <c r="C3249" s="349" t="s">
        <v>65</v>
      </c>
      <c r="D3249" s="483">
        <v>119.67</v>
      </c>
      <c r="E3249" s="483">
        <v>119.67</v>
      </c>
    </row>
    <row r="3250" spans="1:5" ht="30">
      <c r="A3250" s="494">
        <v>89819</v>
      </c>
      <c r="B3250" s="485" t="s">
        <v>17489</v>
      </c>
      <c r="C3250" s="484" t="s">
        <v>65</v>
      </c>
      <c r="D3250" s="486">
        <v>12.3</v>
      </c>
      <c r="E3250" s="486">
        <v>12.3</v>
      </c>
    </row>
    <row r="3251" spans="1:5" ht="30">
      <c r="A3251" s="495">
        <v>89820</v>
      </c>
      <c r="B3251" s="348" t="s">
        <v>17490</v>
      </c>
      <c r="C3251" s="349" t="s">
        <v>65</v>
      </c>
      <c r="D3251" s="483">
        <v>22.17</v>
      </c>
      <c r="E3251" s="483">
        <v>22.17</v>
      </c>
    </row>
    <row r="3252" spans="1:5" ht="30">
      <c r="A3252" s="494">
        <v>89821</v>
      </c>
      <c r="B3252" s="485" t="s">
        <v>17491</v>
      </c>
      <c r="C3252" s="484" t="s">
        <v>65</v>
      </c>
      <c r="D3252" s="486">
        <v>10.63</v>
      </c>
      <c r="E3252" s="486">
        <v>10.63</v>
      </c>
    </row>
    <row r="3253" spans="1:5" ht="30">
      <c r="A3253" s="495">
        <v>89822</v>
      </c>
      <c r="B3253" s="348" t="s">
        <v>17492</v>
      </c>
      <c r="C3253" s="349" t="s">
        <v>65</v>
      </c>
      <c r="D3253" s="483">
        <v>15.63</v>
      </c>
      <c r="E3253" s="483">
        <v>15.63</v>
      </c>
    </row>
    <row r="3254" spans="1:5" ht="30">
      <c r="A3254" s="494">
        <v>89823</v>
      </c>
      <c r="B3254" s="485" t="s">
        <v>17493</v>
      </c>
      <c r="C3254" s="484" t="s">
        <v>65</v>
      </c>
      <c r="D3254" s="486">
        <v>18.09</v>
      </c>
      <c r="E3254" s="486">
        <v>18.09</v>
      </c>
    </row>
    <row r="3255" spans="1:5" ht="30">
      <c r="A3255" s="495">
        <v>89824</v>
      </c>
      <c r="B3255" s="348" t="s">
        <v>17494</v>
      </c>
      <c r="C3255" s="349" t="s">
        <v>65</v>
      </c>
      <c r="D3255" s="483">
        <v>27.75</v>
      </c>
      <c r="E3255" s="483">
        <v>27.75</v>
      </c>
    </row>
    <row r="3256" spans="1:5" ht="30">
      <c r="A3256" s="494">
        <v>89825</v>
      </c>
      <c r="B3256" s="485" t="s">
        <v>17495</v>
      </c>
      <c r="C3256" s="484" t="s">
        <v>65</v>
      </c>
      <c r="D3256" s="486">
        <v>10.19</v>
      </c>
      <c r="E3256" s="486">
        <v>10.19</v>
      </c>
    </row>
    <row r="3257" spans="1:5" ht="30">
      <c r="A3257" s="495">
        <v>89826</v>
      </c>
      <c r="B3257" s="348" t="s">
        <v>17496</v>
      </c>
      <c r="C3257" s="349" t="s">
        <v>65</v>
      </c>
      <c r="D3257" s="483">
        <v>122.09</v>
      </c>
      <c r="E3257" s="483">
        <v>122.09</v>
      </c>
    </row>
    <row r="3258" spans="1:5" ht="30">
      <c r="A3258" s="494">
        <v>89827</v>
      </c>
      <c r="B3258" s="485" t="s">
        <v>17497</v>
      </c>
      <c r="C3258" s="484" t="s">
        <v>65</v>
      </c>
      <c r="D3258" s="486">
        <v>11.09</v>
      </c>
      <c r="E3258" s="486">
        <v>11.09</v>
      </c>
    </row>
    <row r="3259" spans="1:5" ht="30">
      <c r="A3259" s="495">
        <v>89828</v>
      </c>
      <c r="B3259" s="348" t="s">
        <v>17498</v>
      </c>
      <c r="C3259" s="349" t="s">
        <v>65</v>
      </c>
      <c r="D3259" s="483">
        <v>42.7</v>
      </c>
      <c r="E3259" s="483">
        <v>42.7</v>
      </c>
    </row>
    <row r="3260" spans="1:5" ht="30">
      <c r="A3260" s="494">
        <v>89829</v>
      </c>
      <c r="B3260" s="485" t="s">
        <v>17499</v>
      </c>
      <c r="C3260" s="484" t="s">
        <v>65</v>
      </c>
      <c r="D3260" s="486">
        <v>18.34</v>
      </c>
      <c r="E3260" s="486">
        <v>18.34</v>
      </c>
    </row>
    <row r="3261" spans="1:5" ht="30">
      <c r="A3261" s="495">
        <v>89830</v>
      </c>
      <c r="B3261" s="348" t="s">
        <v>17500</v>
      </c>
      <c r="C3261" s="349" t="s">
        <v>65</v>
      </c>
      <c r="D3261" s="483">
        <v>19.600000000000001</v>
      </c>
      <c r="E3261" s="483">
        <v>19.600000000000001</v>
      </c>
    </row>
    <row r="3262" spans="1:5" ht="30">
      <c r="A3262" s="494">
        <v>89831</v>
      </c>
      <c r="B3262" s="485" t="s">
        <v>17501</v>
      </c>
      <c r="C3262" s="484" t="s">
        <v>65</v>
      </c>
      <c r="D3262" s="486">
        <v>146.13999999999999</v>
      </c>
      <c r="E3262" s="486">
        <v>146.13999999999999</v>
      </c>
    </row>
    <row r="3263" spans="1:5" ht="30">
      <c r="A3263" s="495">
        <v>89832</v>
      </c>
      <c r="B3263" s="348" t="s">
        <v>17502</v>
      </c>
      <c r="C3263" s="349" t="s">
        <v>65</v>
      </c>
      <c r="D3263" s="483">
        <v>29.12</v>
      </c>
      <c r="E3263" s="483">
        <v>29.12</v>
      </c>
    </row>
    <row r="3264" spans="1:5" ht="30">
      <c r="A3264" s="494">
        <v>89833</v>
      </c>
      <c r="B3264" s="485" t="s">
        <v>17503</v>
      </c>
      <c r="C3264" s="484" t="s">
        <v>65</v>
      </c>
      <c r="D3264" s="486">
        <v>22.8</v>
      </c>
      <c r="E3264" s="486">
        <v>22.8</v>
      </c>
    </row>
    <row r="3265" spans="1:5" ht="30">
      <c r="A3265" s="495">
        <v>89834</v>
      </c>
      <c r="B3265" s="348" t="s">
        <v>17504</v>
      </c>
      <c r="C3265" s="349" t="s">
        <v>65</v>
      </c>
      <c r="D3265" s="483">
        <v>27.53</v>
      </c>
      <c r="E3265" s="483">
        <v>27.53</v>
      </c>
    </row>
    <row r="3266" spans="1:5" ht="30">
      <c r="A3266" s="494">
        <v>89835</v>
      </c>
      <c r="B3266" s="485" t="s">
        <v>17505</v>
      </c>
      <c r="C3266" s="484" t="s">
        <v>65</v>
      </c>
      <c r="D3266" s="486">
        <v>28.46</v>
      </c>
      <c r="E3266" s="486">
        <v>28.46</v>
      </c>
    </row>
    <row r="3267" spans="1:5" ht="30">
      <c r="A3267" s="495">
        <v>89836</v>
      </c>
      <c r="B3267" s="348" t="s">
        <v>17506</v>
      </c>
      <c r="C3267" s="349" t="s">
        <v>65</v>
      </c>
      <c r="D3267" s="483">
        <v>197.55</v>
      </c>
      <c r="E3267" s="483">
        <v>197.55</v>
      </c>
    </row>
    <row r="3268" spans="1:5" ht="30">
      <c r="A3268" s="494">
        <v>89837</v>
      </c>
      <c r="B3268" s="485" t="s">
        <v>17507</v>
      </c>
      <c r="C3268" s="484" t="s">
        <v>65</v>
      </c>
      <c r="D3268" s="486">
        <v>97.85</v>
      </c>
      <c r="E3268" s="486">
        <v>97.85</v>
      </c>
    </row>
    <row r="3269" spans="1:5" ht="30">
      <c r="A3269" s="495">
        <v>89838</v>
      </c>
      <c r="B3269" s="348" t="s">
        <v>17508</v>
      </c>
      <c r="C3269" s="349" t="s">
        <v>65</v>
      </c>
      <c r="D3269" s="483">
        <v>106.78</v>
      </c>
      <c r="E3269" s="483">
        <v>106.78</v>
      </c>
    </row>
    <row r="3270" spans="1:5" ht="30">
      <c r="A3270" s="494">
        <v>89839</v>
      </c>
      <c r="B3270" s="485" t="s">
        <v>17509</v>
      </c>
      <c r="C3270" s="484" t="s">
        <v>65</v>
      </c>
      <c r="D3270" s="486">
        <v>141.72999999999999</v>
      </c>
      <c r="E3270" s="486">
        <v>141.72999999999999</v>
      </c>
    </row>
    <row r="3271" spans="1:5" ht="30">
      <c r="A3271" s="495">
        <v>89840</v>
      </c>
      <c r="B3271" s="348" t="s">
        <v>17510</v>
      </c>
      <c r="C3271" s="349" t="s">
        <v>65</v>
      </c>
      <c r="D3271" s="483">
        <v>122.27</v>
      </c>
      <c r="E3271" s="483">
        <v>122.27</v>
      </c>
    </row>
    <row r="3272" spans="1:5" ht="30">
      <c r="A3272" s="494">
        <v>89841</v>
      </c>
      <c r="B3272" s="485" t="s">
        <v>17511</v>
      </c>
      <c r="C3272" s="484" t="s">
        <v>65</v>
      </c>
      <c r="D3272" s="486">
        <v>207.99</v>
      </c>
      <c r="E3272" s="486">
        <v>207.99</v>
      </c>
    </row>
    <row r="3273" spans="1:5" s="25" customFormat="1">
      <c r="A3273" s="494"/>
      <c r="B3273" s="485"/>
      <c r="C3273" s="484"/>
      <c r="D3273" s="486"/>
      <c r="E3273" s="486"/>
    </row>
    <row r="3274" spans="1:5" ht="30">
      <c r="A3274" s="495">
        <v>89842</v>
      </c>
      <c r="B3274" s="348" t="s">
        <v>17512</v>
      </c>
      <c r="C3274" s="349" t="s">
        <v>65</v>
      </c>
      <c r="D3274" s="483">
        <v>32.75</v>
      </c>
      <c r="E3274" s="483">
        <v>32.75</v>
      </c>
    </row>
    <row r="3275" spans="1:5" ht="30">
      <c r="A3275" s="494">
        <v>89844</v>
      </c>
      <c r="B3275" s="485" t="s">
        <v>17513</v>
      </c>
      <c r="C3275" s="484" t="s">
        <v>65</v>
      </c>
      <c r="D3275" s="486">
        <v>41.82</v>
      </c>
      <c r="E3275" s="486">
        <v>41.82</v>
      </c>
    </row>
    <row r="3276" spans="1:5" ht="30">
      <c r="A3276" s="495">
        <v>89845</v>
      </c>
      <c r="B3276" s="348" t="s">
        <v>17514</v>
      </c>
      <c r="C3276" s="349" t="s">
        <v>65</v>
      </c>
      <c r="D3276" s="483">
        <v>65.33</v>
      </c>
      <c r="E3276" s="483">
        <v>65.33</v>
      </c>
    </row>
    <row r="3277" spans="1:5" ht="30">
      <c r="A3277" s="494">
        <v>89846</v>
      </c>
      <c r="B3277" s="485" t="s">
        <v>17515</v>
      </c>
      <c r="C3277" s="484" t="s">
        <v>65</v>
      </c>
      <c r="D3277" s="486">
        <v>148.41999999999999</v>
      </c>
      <c r="E3277" s="486">
        <v>148.41999999999999</v>
      </c>
    </row>
    <row r="3278" spans="1:5" ht="30">
      <c r="A3278" s="495">
        <v>89847</v>
      </c>
      <c r="B3278" s="348" t="s">
        <v>17516</v>
      </c>
      <c r="C3278" s="349" t="s">
        <v>65</v>
      </c>
      <c r="D3278" s="483">
        <v>181.8</v>
      </c>
      <c r="E3278" s="483">
        <v>181.8</v>
      </c>
    </row>
    <row r="3279" spans="1:5" ht="30">
      <c r="A3279" s="494">
        <v>89850</v>
      </c>
      <c r="B3279" s="485" t="s">
        <v>17517</v>
      </c>
      <c r="C3279" s="484" t="s">
        <v>65</v>
      </c>
      <c r="D3279" s="486">
        <v>17.13</v>
      </c>
      <c r="E3279" s="486">
        <v>17.13</v>
      </c>
    </row>
    <row r="3280" spans="1:5" ht="30">
      <c r="A3280" s="495">
        <v>89851</v>
      </c>
      <c r="B3280" s="348" t="s">
        <v>17518</v>
      </c>
      <c r="C3280" s="349" t="s">
        <v>65</v>
      </c>
      <c r="D3280" s="483">
        <v>17.2</v>
      </c>
      <c r="E3280" s="483">
        <v>17.2</v>
      </c>
    </row>
    <row r="3281" spans="1:5" ht="30">
      <c r="A3281" s="494">
        <v>89852</v>
      </c>
      <c r="B3281" s="485" t="s">
        <v>17519</v>
      </c>
      <c r="C3281" s="484" t="s">
        <v>65</v>
      </c>
      <c r="D3281" s="486">
        <v>25.52</v>
      </c>
      <c r="E3281" s="486">
        <v>25.52</v>
      </c>
    </row>
    <row r="3282" spans="1:5" ht="30">
      <c r="A3282" s="495">
        <v>89853</v>
      </c>
      <c r="B3282" s="348" t="s">
        <v>17520</v>
      </c>
      <c r="C3282" s="349" t="s">
        <v>65</v>
      </c>
      <c r="D3282" s="483">
        <v>44.78</v>
      </c>
      <c r="E3282" s="483">
        <v>44.78</v>
      </c>
    </row>
    <row r="3283" spans="1:5" ht="30">
      <c r="A3283" s="494">
        <v>89854</v>
      </c>
      <c r="B3283" s="485" t="s">
        <v>17521</v>
      </c>
      <c r="C3283" s="484" t="s">
        <v>65</v>
      </c>
      <c r="D3283" s="486">
        <v>51.12</v>
      </c>
      <c r="E3283" s="486">
        <v>51.12</v>
      </c>
    </row>
    <row r="3284" spans="1:5" ht="30">
      <c r="A3284" s="495">
        <v>89855</v>
      </c>
      <c r="B3284" s="348" t="s">
        <v>17522</v>
      </c>
      <c r="C3284" s="349" t="s">
        <v>65</v>
      </c>
      <c r="D3284" s="483">
        <v>54.68</v>
      </c>
      <c r="E3284" s="483">
        <v>54.68</v>
      </c>
    </row>
    <row r="3285" spans="1:5" ht="30">
      <c r="A3285" s="494">
        <v>89856</v>
      </c>
      <c r="B3285" s="485" t="s">
        <v>17523</v>
      </c>
      <c r="C3285" s="484" t="s">
        <v>65</v>
      </c>
      <c r="D3285" s="486">
        <v>13.33</v>
      </c>
      <c r="E3285" s="486">
        <v>13.33</v>
      </c>
    </row>
    <row r="3286" spans="1:5" ht="30">
      <c r="A3286" s="495">
        <v>89857</v>
      </c>
      <c r="B3286" s="348" t="s">
        <v>17524</v>
      </c>
      <c r="C3286" s="349" t="s">
        <v>65</v>
      </c>
      <c r="D3286" s="483">
        <v>20.79</v>
      </c>
      <c r="E3286" s="483">
        <v>20.79</v>
      </c>
    </row>
    <row r="3287" spans="1:5" ht="30">
      <c r="A3287" s="494">
        <v>89859</v>
      </c>
      <c r="B3287" s="485" t="s">
        <v>17525</v>
      </c>
      <c r="C3287" s="484" t="s">
        <v>65</v>
      </c>
      <c r="D3287" s="486">
        <v>35.94</v>
      </c>
      <c r="E3287" s="486">
        <v>35.94</v>
      </c>
    </row>
    <row r="3288" spans="1:5" ht="30">
      <c r="A3288" s="495">
        <v>89860</v>
      </c>
      <c r="B3288" s="348" t="s">
        <v>17526</v>
      </c>
      <c r="C3288" s="349" t="s">
        <v>65</v>
      </c>
      <c r="D3288" s="483">
        <v>28.2</v>
      </c>
      <c r="E3288" s="483">
        <v>28.2</v>
      </c>
    </row>
    <row r="3289" spans="1:5" ht="30">
      <c r="A3289" s="494">
        <v>89861</v>
      </c>
      <c r="B3289" s="485" t="s">
        <v>17527</v>
      </c>
      <c r="C3289" s="484" t="s">
        <v>65</v>
      </c>
      <c r="D3289" s="486">
        <v>32.93</v>
      </c>
      <c r="E3289" s="486">
        <v>32.93</v>
      </c>
    </row>
    <row r="3290" spans="1:5" ht="30">
      <c r="A3290" s="495">
        <v>89862</v>
      </c>
      <c r="B3290" s="348" t="s">
        <v>17528</v>
      </c>
      <c r="C3290" s="349" t="s">
        <v>65</v>
      </c>
      <c r="D3290" s="483">
        <v>82.94</v>
      </c>
      <c r="E3290" s="483">
        <v>82.94</v>
      </c>
    </row>
    <row r="3291" spans="1:5" ht="30">
      <c r="A3291" s="494">
        <v>89863</v>
      </c>
      <c r="B3291" s="485" t="s">
        <v>17529</v>
      </c>
      <c r="C3291" s="484" t="s">
        <v>65</v>
      </c>
      <c r="D3291" s="486">
        <v>137.41</v>
      </c>
      <c r="E3291" s="486">
        <v>137.41</v>
      </c>
    </row>
    <row r="3292" spans="1:5" ht="30">
      <c r="A3292" s="495">
        <v>89866</v>
      </c>
      <c r="B3292" s="348" t="s">
        <v>17530</v>
      </c>
      <c r="C3292" s="349" t="s">
        <v>65</v>
      </c>
      <c r="D3292" s="483">
        <v>3.63</v>
      </c>
      <c r="E3292" s="483">
        <v>3.63</v>
      </c>
    </row>
    <row r="3293" spans="1:5" ht="30">
      <c r="A3293" s="494">
        <v>89867</v>
      </c>
      <c r="B3293" s="485" t="s">
        <v>17531</v>
      </c>
      <c r="C3293" s="484" t="s">
        <v>65</v>
      </c>
      <c r="D3293" s="486">
        <v>4.12</v>
      </c>
      <c r="E3293" s="486">
        <v>4.12</v>
      </c>
    </row>
    <row r="3294" spans="1:5" ht="30">
      <c r="A3294" s="495">
        <v>89868</v>
      </c>
      <c r="B3294" s="348" t="s">
        <v>7168</v>
      </c>
      <c r="C3294" s="349" t="s">
        <v>65</v>
      </c>
      <c r="D3294" s="483">
        <v>2.66</v>
      </c>
      <c r="E3294" s="483">
        <v>2.66</v>
      </c>
    </row>
    <row r="3295" spans="1:5" ht="30">
      <c r="A3295" s="494">
        <v>89869</v>
      </c>
      <c r="B3295" s="485" t="s">
        <v>17532</v>
      </c>
      <c r="C3295" s="484" t="s">
        <v>65</v>
      </c>
      <c r="D3295" s="486">
        <v>5.66</v>
      </c>
      <c r="E3295" s="486">
        <v>5.66</v>
      </c>
    </row>
    <row r="3296" spans="1:5" ht="30">
      <c r="A3296" s="495">
        <v>89979</v>
      </c>
      <c r="B3296" s="348" t="s">
        <v>17533</v>
      </c>
      <c r="C3296" s="349" t="s">
        <v>65</v>
      </c>
      <c r="D3296" s="483">
        <v>18.309999999999999</v>
      </c>
      <c r="E3296" s="483">
        <v>18.309999999999999</v>
      </c>
    </row>
    <row r="3297" spans="1:5" ht="30">
      <c r="A3297" s="494">
        <v>89980</v>
      </c>
      <c r="B3297" s="485" t="s">
        <v>17534</v>
      </c>
      <c r="C3297" s="484" t="s">
        <v>65</v>
      </c>
      <c r="D3297" s="486">
        <v>7.78</v>
      </c>
      <c r="E3297" s="486">
        <v>7.78</v>
      </c>
    </row>
    <row r="3298" spans="1:5" ht="30">
      <c r="A3298" s="495">
        <v>89981</v>
      </c>
      <c r="B3298" s="348" t="s">
        <v>17535</v>
      </c>
      <c r="C3298" s="349" t="s">
        <v>65</v>
      </c>
      <c r="D3298" s="483">
        <v>15.89</v>
      </c>
      <c r="E3298" s="483">
        <v>15.89</v>
      </c>
    </row>
    <row r="3299" spans="1:5" ht="30">
      <c r="A3299" s="494">
        <v>90373</v>
      </c>
      <c r="B3299" s="485" t="s">
        <v>17536</v>
      </c>
      <c r="C3299" s="484" t="s">
        <v>65</v>
      </c>
      <c r="D3299" s="486">
        <v>10.53</v>
      </c>
      <c r="E3299" s="486">
        <v>10.53</v>
      </c>
    </row>
    <row r="3300" spans="1:5" ht="30">
      <c r="A3300" s="495">
        <v>90374</v>
      </c>
      <c r="B3300" s="348" t="s">
        <v>17537</v>
      </c>
      <c r="C3300" s="349" t="s">
        <v>65</v>
      </c>
      <c r="D3300" s="483">
        <v>15.91</v>
      </c>
      <c r="E3300" s="483">
        <v>15.91</v>
      </c>
    </row>
    <row r="3301" spans="1:5" ht="30">
      <c r="A3301" s="494">
        <v>90375</v>
      </c>
      <c r="B3301" s="485" t="s">
        <v>2829</v>
      </c>
      <c r="C3301" s="484" t="s">
        <v>65</v>
      </c>
      <c r="D3301" s="486">
        <v>6.61</v>
      </c>
      <c r="E3301" s="486">
        <v>6.61</v>
      </c>
    </row>
    <row r="3302" spans="1:5" ht="30">
      <c r="A3302" s="495">
        <v>92287</v>
      </c>
      <c r="B3302" s="348" t="s">
        <v>4175</v>
      </c>
      <c r="C3302" s="349" t="s">
        <v>65</v>
      </c>
      <c r="D3302" s="483">
        <v>9.9700000000000006</v>
      </c>
      <c r="E3302" s="483">
        <v>9.9700000000000006</v>
      </c>
    </row>
    <row r="3303" spans="1:5" ht="30">
      <c r="A3303" s="494">
        <v>92288</v>
      </c>
      <c r="B3303" s="485" t="s">
        <v>4178</v>
      </c>
      <c r="C3303" s="484" t="s">
        <v>65</v>
      </c>
      <c r="D3303" s="486">
        <v>14.87</v>
      </c>
      <c r="E3303" s="486">
        <v>14.87</v>
      </c>
    </row>
    <row r="3304" spans="1:5" ht="30">
      <c r="A3304" s="495">
        <v>92289</v>
      </c>
      <c r="B3304" s="348" t="s">
        <v>4181</v>
      </c>
      <c r="C3304" s="349" t="s">
        <v>65</v>
      </c>
      <c r="D3304" s="483">
        <v>25.05</v>
      </c>
      <c r="E3304" s="483">
        <v>25.05</v>
      </c>
    </row>
    <row r="3305" spans="1:5" ht="30">
      <c r="A3305" s="494">
        <v>92290</v>
      </c>
      <c r="B3305" s="485" t="s">
        <v>4182</v>
      </c>
      <c r="C3305" s="484" t="s">
        <v>65</v>
      </c>
      <c r="D3305" s="486">
        <v>37.24</v>
      </c>
      <c r="E3305" s="486">
        <v>37.24</v>
      </c>
    </row>
    <row r="3306" spans="1:5" ht="30">
      <c r="A3306" s="495">
        <v>92291</v>
      </c>
      <c r="B3306" s="348" t="s">
        <v>4183</v>
      </c>
      <c r="C3306" s="349" t="s">
        <v>65</v>
      </c>
      <c r="D3306" s="483">
        <v>56.34</v>
      </c>
      <c r="E3306" s="483">
        <v>56.34</v>
      </c>
    </row>
    <row r="3307" spans="1:5" ht="30">
      <c r="A3307" s="494">
        <v>92292</v>
      </c>
      <c r="B3307" s="485" t="s">
        <v>4184</v>
      </c>
      <c r="C3307" s="484" t="s">
        <v>65</v>
      </c>
      <c r="D3307" s="486">
        <v>170.66</v>
      </c>
      <c r="E3307" s="486">
        <v>170.66</v>
      </c>
    </row>
    <row r="3308" spans="1:5" ht="30">
      <c r="A3308" s="495">
        <v>92293</v>
      </c>
      <c r="B3308" s="348" t="s">
        <v>17538</v>
      </c>
      <c r="C3308" s="349" t="s">
        <v>65</v>
      </c>
      <c r="D3308" s="483">
        <v>5.85</v>
      </c>
      <c r="E3308" s="483">
        <v>5.85</v>
      </c>
    </row>
    <row r="3309" spans="1:5" ht="30">
      <c r="A3309" s="494">
        <v>92294</v>
      </c>
      <c r="B3309" s="485" t="s">
        <v>17539</v>
      </c>
      <c r="C3309" s="484" t="s">
        <v>65</v>
      </c>
      <c r="D3309" s="486">
        <v>9.18</v>
      </c>
      <c r="E3309" s="486">
        <v>9.18</v>
      </c>
    </row>
    <row r="3310" spans="1:5" ht="30">
      <c r="A3310" s="495">
        <v>92295</v>
      </c>
      <c r="B3310" s="348" t="s">
        <v>17540</v>
      </c>
      <c r="C3310" s="349" t="s">
        <v>65</v>
      </c>
      <c r="D3310" s="483">
        <v>16.3</v>
      </c>
      <c r="E3310" s="483">
        <v>16.3</v>
      </c>
    </row>
    <row r="3311" spans="1:5" ht="30">
      <c r="A3311" s="494">
        <v>92296</v>
      </c>
      <c r="B3311" s="485" t="s">
        <v>17541</v>
      </c>
      <c r="C3311" s="484" t="s">
        <v>65</v>
      </c>
      <c r="D3311" s="486">
        <v>21.4</v>
      </c>
      <c r="E3311" s="486">
        <v>21.4</v>
      </c>
    </row>
    <row r="3312" spans="1:5" ht="30">
      <c r="A3312" s="495">
        <v>92297</v>
      </c>
      <c r="B3312" s="348" t="s">
        <v>17542</v>
      </c>
      <c r="C3312" s="349" t="s">
        <v>65</v>
      </c>
      <c r="D3312" s="483">
        <v>32.61</v>
      </c>
      <c r="E3312" s="483">
        <v>32.61</v>
      </c>
    </row>
    <row r="3313" spans="1:5" ht="30">
      <c r="A3313" s="494">
        <v>92298</v>
      </c>
      <c r="B3313" s="485" t="s">
        <v>17543</v>
      </c>
      <c r="C3313" s="484" t="s">
        <v>65</v>
      </c>
      <c r="D3313" s="486">
        <v>88.73</v>
      </c>
      <c r="E3313" s="486">
        <v>88.73</v>
      </c>
    </row>
    <row r="3314" spans="1:5" ht="30">
      <c r="A3314" s="495">
        <v>92299</v>
      </c>
      <c r="B3314" s="348" t="s">
        <v>17544</v>
      </c>
      <c r="C3314" s="349" t="s">
        <v>65</v>
      </c>
      <c r="D3314" s="483">
        <v>13.18</v>
      </c>
      <c r="E3314" s="483">
        <v>13.18</v>
      </c>
    </row>
    <row r="3315" spans="1:5" ht="30">
      <c r="A3315" s="494">
        <v>92300</v>
      </c>
      <c r="B3315" s="485" t="s">
        <v>17545</v>
      </c>
      <c r="C3315" s="484" t="s">
        <v>65</v>
      </c>
      <c r="D3315" s="486">
        <v>19.03</v>
      </c>
      <c r="E3315" s="486">
        <v>19.03</v>
      </c>
    </row>
    <row r="3316" spans="1:5" ht="30">
      <c r="A3316" s="495">
        <v>92301</v>
      </c>
      <c r="B3316" s="348" t="s">
        <v>17546</v>
      </c>
      <c r="C3316" s="349" t="s">
        <v>65</v>
      </c>
      <c r="D3316" s="483">
        <v>35.47</v>
      </c>
      <c r="E3316" s="483">
        <v>35.47</v>
      </c>
    </row>
    <row r="3317" spans="1:5" ht="30">
      <c r="A3317" s="494">
        <v>92302</v>
      </c>
      <c r="B3317" s="485" t="s">
        <v>17547</v>
      </c>
      <c r="C3317" s="484" t="s">
        <v>65</v>
      </c>
      <c r="D3317" s="486">
        <v>46.36</v>
      </c>
      <c r="E3317" s="486">
        <v>46.36</v>
      </c>
    </row>
    <row r="3318" spans="1:5" ht="30">
      <c r="A3318" s="495">
        <v>92303</v>
      </c>
      <c r="B3318" s="348" t="s">
        <v>17548</v>
      </c>
      <c r="C3318" s="349" t="s">
        <v>65</v>
      </c>
      <c r="D3318" s="483">
        <v>83.06</v>
      </c>
      <c r="E3318" s="483">
        <v>83.06</v>
      </c>
    </row>
    <row r="3319" spans="1:5" ht="30">
      <c r="A3319" s="494">
        <v>92304</v>
      </c>
      <c r="B3319" s="485" t="s">
        <v>17549</v>
      </c>
      <c r="C3319" s="484" t="s">
        <v>65</v>
      </c>
      <c r="D3319" s="486">
        <v>210.9</v>
      </c>
      <c r="E3319" s="486">
        <v>210.9</v>
      </c>
    </row>
    <row r="3320" spans="1:5" ht="30">
      <c r="A3320" s="495">
        <v>92311</v>
      </c>
      <c r="B3320" s="348" t="s">
        <v>4173</v>
      </c>
      <c r="C3320" s="349" t="s">
        <v>65</v>
      </c>
      <c r="D3320" s="483">
        <v>8.18</v>
      </c>
      <c r="E3320" s="483">
        <v>8.18</v>
      </c>
    </row>
    <row r="3321" spans="1:5" ht="30">
      <c r="A3321" s="494">
        <v>92312</v>
      </c>
      <c r="B3321" s="485" t="s">
        <v>4176</v>
      </c>
      <c r="C3321" s="484" t="s">
        <v>65</v>
      </c>
      <c r="D3321" s="486">
        <v>12.36</v>
      </c>
      <c r="E3321" s="486">
        <v>12.36</v>
      </c>
    </row>
    <row r="3322" spans="1:5" ht="30">
      <c r="A3322" s="495">
        <v>92313</v>
      </c>
      <c r="B3322" s="348" t="s">
        <v>4179</v>
      </c>
      <c r="C3322" s="349" t="s">
        <v>65</v>
      </c>
      <c r="D3322" s="483">
        <v>17.25</v>
      </c>
      <c r="E3322" s="483">
        <v>17.25</v>
      </c>
    </row>
    <row r="3323" spans="1:5" ht="30">
      <c r="A3323" s="494">
        <v>92314</v>
      </c>
      <c r="B3323" s="485" t="s">
        <v>17550</v>
      </c>
      <c r="C3323" s="484" t="s">
        <v>65</v>
      </c>
      <c r="D3323" s="486">
        <v>5.33</v>
      </c>
      <c r="E3323" s="486">
        <v>5.33</v>
      </c>
    </row>
    <row r="3324" spans="1:5" ht="30">
      <c r="A3324" s="495">
        <v>92315</v>
      </c>
      <c r="B3324" s="348" t="s">
        <v>17551</v>
      </c>
      <c r="C3324" s="349" t="s">
        <v>65</v>
      </c>
      <c r="D3324" s="483">
        <v>7.48</v>
      </c>
      <c r="E3324" s="483">
        <v>7.48</v>
      </c>
    </row>
    <row r="3325" spans="1:5" ht="30">
      <c r="A3325" s="494">
        <v>92316</v>
      </c>
      <c r="B3325" s="485" t="s">
        <v>17552</v>
      </c>
      <c r="C3325" s="484" t="s">
        <v>65</v>
      </c>
      <c r="D3325" s="486">
        <v>10.8</v>
      </c>
      <c r="E3325" s="486">
        <v>10.8</v>
      </c>
    </row>
    <row r="3326" spans="1:5" ht="30">
      <c r="A3326" s="495">
        <v>92317</v>
      </c>
      <c r="B3326" s="348" t="s">
        <v>17553</v>
      </c>
      <c r="C3326" s="349" t="s">
        <v>65</v>
      </c>
      <c r="D3326" s="483">
        <v>11.06</v>
      </c>
      <c r="E3326" s="483">
        <v>11.06</v>
      </c>
    </row>
    <row r="3327" spans="1:5" ht="30">
      <c r="A3327" s="494">
        <v>92318</v>
      </c>
      <c r="B3327" s="485" t="s">
        <v>17554</v>
      </c>
      <c r="C3327" s="484" t="s">
        <v>65</v>
      </c>
      <c r="D3327" s="486">
        <v>16.36</v>
      </c>
      <c r="E3327" s="486">
        <v>16.36</v>
      </c>
    </row>
    <row r="3328" spans="1:5" ht="30">
      <c r="A3328" s="495">
        <v>92319</v>
      </c>
      <c r="B3328" s="348" t="s">
        <v>17555</v>
      </c>
      <c r="C3328" s="349" t="s">
        <v>65</v>
      </c>
      <c r="D3328" s="483">
        <v>22.22</v>
      </c>
      <c r="E3328" s="483">
        <v>22.22</v>
      </c>
    </row>
    <row r="3329" spans="1:5" ht="30">
      <c r="A3329" s="494">
        <v>92326</v>
      </c>
      <c r="B3329" s="485" t="s">
        <v>4174</v>
      </c>
      <c r="C3329" s="484" t="s">
        <v>65</v>
      </c>
      <c r="D3329" s="486">
        <v>8.36</v>
      </c>
      <c r="E3329" s="486">
        <v>8.36</v>
      </c>
    </row>
    <row r="3330" spans="1:5" ht="30">
      <c r="A3330" s="495">
        <v>92327</v>
      </c>
      <c r="B3330" s="348" t="s">
        <v>4177</v>
      </c>
      <c r="C3330" s="349" t="s">
        <v>65</v>
      </c>
      <c r="D3330" s="483">
        <v>14.58</v>
      </c>
      <c r="E3330" s="483">
        <v>14.58</v>
      </c>
    </row>
    <row r="3331" spans="1:5" ht="30">
      <c r="A3331" s="494">
        <v>92328</v>
      </c>
      <c r="B3331" s="485" t="s">
        <v>4180</v>
      </c>
      <c r="C3331" s="484" t="s">
        <v>65</v>
      </c>
      <c r="D3331" s="486">
        <v>21.17</v>
      </c>
      <c r="E3331" s="486">
        <v>21.17</v>
      </c>
    </row>
    <row r="3332" spans="1:5" ht="30">
      <c r="A3332" s="495">
        <v>92329</v>
      </c>
      <c r="B3332" s="348" t="s">
        <v>17556</v>
      </c>
      <c r="C3332" s="349" t="s">
        <v>65</v>
      </c>
      <c r="D3332" s="483">
        <v>5.48</v>
      </c>
      <c r="E3332" s="483">
        <v>5.48</v>
      </c>
    </row>
    <row r="3333" spans="1:5" ht="30">
      <c r="A3333" s="494">
        <v>92330</v>
      </c>
      <c r="B3333" s="485" t="s">
        <v>17557</v>
      </c>
      <c r="C3333" s="484" t="s">
        <v>65</v>
      </c>
      <c r="D3333" s="486">
        <v>8.93</v>
      </c>
      <c r="E3333" s="486">
        <v>8.93</v>
      </c>
    </row>
    <row r="3334" spans="1:5" ht="30">
      <c r="A3334" s="495">
        <v>92331</v>
      </c>
      <c r="B3334" s="348" t="s">
        <v>17558</v>
      </c>
      <c r="C3334" s="349" t="s">
        <v>65</v>
      </c>
      <c r="D3334" s="483">
        <v>13.42</v>
      </c>
      <c r="E3334" s="483">
        <v>13.42</v>
      </c>
    </row>
    <row r="3335" spans="1:5" ht="30">
      <c r="A3335" s="494">
        <v>92332</v>
      </c>
      <c r="B3335" s="485" t="s">
        <v>17559</v>
      </c>
      <c r="C3335" s="484" t="s">
        <v>65</v>
      </c>
      <c r="D3335" s="486">
        <v>11.3</v>
      </c>
      <c r="E3335" s="486">
        <v>11.3</v>
      </c>
    </row>
    <row r="3336" spans="1:5" ht="30">
      <c r="A3336" s="495">
        <v>92333</v>
      </c>
      <c r="B3336" s="348" t="s">
        <v>17560</v>
      </c>
      <c r="C3336" s="349" t="s">
        <v>65</v>
      </c>
      <c r="D3336" s="483">
        <v>19.29</v>
      </c>
      <c r="E3336" s="483">
        <v>19.29</v>
      </c>
    </row>
    <row r="3337" spans="1:5" ht="30">
      <c r="A3337" s="494">
        <v>92334</v>
      </c>
      <c r="B3337" s="485" t="s">
        <v>17561</v>
      </c>
      <c r="C3337" s="484" t="s">
        <v>65</v>
      </c>
      <c r="D3337" s="486">
        <v>27.43</v>
      </c>
      <c r="E3337" s="486">
        <v>27.43</v>
      </c>
    </row>
    <row r="3338" spans="1:5" ht="30">
      <c r="A3338" s="495">
        <v>92344</v>
      </c>
      <c r="B3338" s="348" t="s">
        <v>703</v>
      </c>
      <c r="C3338" s="349" t="s">
        <v>65</v>
      </c>
      <c r="D3338" s="483">
        <v>39.44</v>
      </c>
      <c r="E3338" s="483">
        <v>39.44</v>
      </c>
    </row>
    <row r="3339" spans="1:5" ht="30">
      <c r="A3339" s="494">
        <v>92345</v>
      </c>
      <c r="B3339" s="485" t="s">
        <v>17562</v>
      </c>
      <c r="C3339" s="484" t="s">
        <v>65</v>
      </c>
      <c r="D3339" s="486">
        <v>39.43</v>
      </c>
      <c r="E3339" s="486">
        <v>39.43</v>
      </c>
    </row>
    <row r="3340" spans="1:5" ht="30">
      <c r="A3340" s="495">
        <v>92346</v>
      </c>
      <c r="B3340" s="348" t="s">
        <v>17563</v>
      </c>
      <c r="C3340" s="349" t="s">
        <v>65</v>
      </c>
      <c r="D3340" s="483">
        <v>50.66</v>
      </c>
      <c r="E3340" s="483">
        <v>50.66</v>
      </c>
    </row>
    <row r="3341" spans="1:5" ht="30">
      <c r="A3341" s="494">
        <v>92347</v>
      </c>
      <c r="B3341" s="485" t="s">
        <v>17564</v>
      </c>
      <c r="C3341" s="484" t="s">
        <v>65</v>
      </c>
      <c r="D3341" s="486">
        <v>55.73</v>
      </c>
      <c r="E3341" s="486">
        <v>55.73</v>
      </c>
    </row>
    <row r="3342" spans="1:5" ht="30">
      <c r="A3342" s="495">
        <v>92348</v>
      </c>
      <c r="B3342" s="348" t="s">
        <v>704</v>
      </c>
      <c r="C3342" s="349" t="s">
        <v>65</v>
      </c>
      <c r="D3342" s="483">
        <v>69.27</v>
      </c>
      <c r="E3342" s="483">
        <v>69.27</v>
      </c>
    </row>
    <row r="3343" spans="1:5" ht="30">
      <c r="A3343" s="494">
        <v>92349</v>
      </c>
      <c r="B3343" s="485" t="s">
        <v>17565</v>
      </c>
      <c r="C3343" s="484" t="s">
        <v>65</v>
      </c>
      <c r="D3343" s="486">
        <v>73.78</v>
      </c>
      <c r="E3343" s="486">
        <v>73.78</v>
      </c>
    </row>
    <row r="3344" spans="1:5" ht="30">
      <c r="A3344" s="495">
        <v>92350</v>
      </c>
      <c r="B3344" s="348" t="s">
        <v>705</v>
      </c>
      <c r="C3344" s="349" t="s">
        <v>65</v>
      </c>
      <c r="D3344" s="483">
        <v>58.71</v>
      </c>
      <c r="E3344" s="483">
        <v>58.71</v>
      </c>
    </row>
    <row r="3345" spans="1:5" ht="30">
      <c r="A3345" s="494">
        <v>92351</v>
      </c>
      <c r="B3345" s="485" t="s">
        <v>706</v>
      </c>
      <c r="C3345" s="484" t="s">
        <v>65</v>
      </c>
      <c r="D3345" s="486">
        <v>57.58</v>
      </c>
      <c r="E3345" s="486">
        <v>57.58</v>
      </c>
    </row>
    <row r="3346" spans="1:5" ht="30">
      <c r="A3346" s="495">
        <v>92352</v>
      </c>
      <c r="B3346" s="348" t="s">
        <v>17566</v>
      </c>
      <c r="C3346" s="349" t="s">
        <v>65</v>
      </c>
      <c r="D3346" s="483">
        <v>85.69</v>
      </c>
      <c r="E3346" s="483">
        <v>85.69</v>
      </c>
    </row>
    <row r="3347" spans="1:5" ht="30">
      <c r="A3347" s="494">
        <v>92353</v>
      </c>
      <c r="B3347" s="485" t="s">
        <v>17567</v>
      </c>
      <c r="C3347" s="484" t="s">
        <v>65</v>
      </c>
      <c r="D3347" s="486">
        <v>80.73</v>
      </c>
      <c r="E3347" s="486">
        <v>80.73</v>
      </c>
    </row>
    <row r="3348" spans="1:5" ht="30">
      <c r="A3348" s="495">
        <v>92354</v>
      </c>
      <c r="B3348" s="348" t="s">
        <v>707</v>
      </c>
      <c r="C3348" s="349" t="s">
        <v>65</v>
      </c>
      <c r="D3348" s="483">
        <v>111.64</v>
      </c>
      <c r="E3348" s="483">
        <v>111.64</v>
      </c>
    </row>
    <row r="3349" spans="1:5" ht="30">
      <c r="A3349" s="494">
        <v>92355</v>
      </c>
      <c r="B3349" s="485" t="s">
        <v>708</v>
      </c>
      <c r="C3349" s="484" t="s">
        <v>65</v>
      </c>
      <c r="D3349" s="486">
        <v>102.07</v>
      </c>
      <c r="E3349" s="486">
        <v>102.07</v>
      </c>
    </row>
    <row r="3350" spans="1:5" ht="30">
      <c r="A3350" s="495">
        <v>92356</v>
      </c>
      <c r="B3350" s="348" t="s">
        <v>709</v>
      </c>
      <c r="C3350" s="349" t="s">
        <v>65</v>
      </c>
      <c r="D3350" s="483">
        <v>76.78</v>
      </c>
      <c r="E3350" s="483">
        <v>76.78</v>
      </c>
    </row>
    <row r="3351" spans="1:5" ht="30">
      <c r="A3351" s="494">
        <v>92357</v>
      </c>
      <c r="B3351" s="485" t="s">
        <v>710</v>
      </c>
      <c r="C3351" s="484" t="s">
        <v>65</v>
      </c>
      <c r="D3351" s="486">
        <v>110.15</v>
      </c>
      <c r="E3351" s="486">
        <v>110.15</v>
      </c>
    </row>
    <row r="3352" spans="1:5" ht="30">
      <c r="A3352" s="495">
        <v>92358</v>
      </c>
      <c r="B3352" s="348" t="s">
        <v>711</v>
      </c>
      <c r="C3352" s="349" t="s">
        <v>65</v>
      </c>
      <c r="D3352" s="483">
        <v>135.19</v>
      </c>
      <c r="E3352" s="483">
        <v>135.19</v>
      </c>
    </row>
    <row r="3353" spans="1:5" ht="30">
      <c r="A3353" s="494">
        <v>92369</v>
      </c>
      <c r="B3353" s="485" t="s">
        <v>17568</v>
      </c>
      <c r="C3353" s="484" t="s">
        <v>65</v>
      </c>
      <c r="D3353" s="486">
        <v>22.4</v>
      </c>
      <c r="E3353" s="486">
        <v>22.4</v>
      </c>
    </row>
    <row r="3354" spans="1:5" ht="30">
      <c r="A3354" s="495">
        <v>92370</v>
      </c>
      <c r="B3354" s="348" t="s">
        <v>17569</v>
      </c>
      <c r="C3354" s="349" t="s">
        <v>65</v>
      </c>
      <c r="D3354" s="483">
        <v>23.32</v>
      </c>
      <c r="E3354" s="483">
        <v>23.32</v>
      </c>
    </row>
    <row r="3355" spans="1:5" ht="30">
      <c r="A3355" s="494">
        <v>92371</v>
      </c>
      <c r="B3355" s="485" t="s">
        <v>17570</v>
      </c>
      <c r="C3355" s="484" t="s">
        <v>65</v>
      </c>
      <c r="D3355" s="486">
        <v>26.61</v>
      </c>
      <c r="E3355" s="486">
        <v>26.61</v>
      </c>
    </row>
    <row r="3356" spans="1:5" ht="30">
      <c r="A3356" s="495">
        <v>92372</v>
      </c>
      <c r="B3356" s="348" t="s">
        <v>17571</v>
      </c>
      <c r="C3356" s="349" t="s">
        <v>65</v>
      </c>
      <c r="D3356" s="483">
        <v>27.46</v>
      </c>
      <c r="E3356" s="483">
        <v>27.46</v>
      </c>
    </row>
    <row r="3357" spans="1:5" ht="30">
      <c r="A3357" s="494">
        <v>92373</v>
      </c>
      <c r="B3357" s="485" t="s">
        <v>17572</v>
      </c>
      <c r="C3357" s="484" t="s">
        <v>65</v>
      </c>
      <c r="D3357" s="486">
        <v>31.07</v>
      </c>
      <c r="E3357" s="486">
        <v>31.07</v>
      </c>
    </row>
    <row r="3358" spans="1:5" ht="30">
      <c r="A3358" s="495">
        <v>92374</v>
      </c>
      <c r="B3358" s="348" t="s">
        <v>17573</v>
      </c>
      <c r="C3358" s="349" t="s">
        <v>65</v>
      </c>
      <c r="D3358" s="483">
        <v>31.23</v>
      </c>
      <c r="E3358" s="483">
        <v>31.23</v>
      </c>
    </row>
    <row r="3359" spans="1:5" ht="30">
      <c r="A3359" s="494">
        <v>92375</v>
      </c>
      <c r="B3359" s="485" t="s">
        <v>17574</v>
      </c>
      <c r="C3359" s="484" t="s">
        <v>65</v>
      </c>
      <c r="D3359" s="486">
        <v>39.409999999999997</v>
      </c>
      <c r="E3359" s="486">
        <v>39.409999999999997</v>
      </c>
    </row>
    <row r="3360" spans="1:5" ht="30">
      <c r="A3360" s="495">
        <v>92376</v>
      </c>
      <c r="B3360" s="348" t="s">
        <v>17575</v>
      </c>
      <c r="C3360" s="349" t="s">
        <v>65</v>
      </c>
      <c r="D3360" s="483">
        <v>39.4</v>
      </c>
      <c r="E3360" s="483">
        <v>39.4</v>
      </c>
    </row>
    <row r="3361" spans="1:5" ht="30">
      <c r="A3361" s="494">
        <v>92377</v>
      </c>
      <c r="B3361" s="485" t="s">
        <v>17576</v>
      </c>
      <c r="C3361" s="484" t="s">
        <v>65</v>
      </c>
      <c r="D3361" s="486">
        <v>51.8</v>
      </c>
      <c r="E3361" s="486">
        <v>51.8</v>
      </c>
    </row>
    <row r="3362" spans="1:5" ht="30">
      <c r="A3362" s="495">
        <v>92378</v>
      </c>
      <c r="B3362" s="348" t="s">
        <v>17577</v>
      </c>
      <c r="C3362" s="349" t="s">
        <v>65</v>
      </c>
      <c r="D3362" s="483">
        <v>56.87</v>
      </c>
      <c r="E3362" s="483">
        <v>56.87</v>
      </c>
    </row>
    <row r="3363" spans="1:5" ht="30">
      <c r="A3363" s="494">
        <v>92379</v>
      </c>
      <c r="B3363" s="485" t="s">
        <v>17578</v>
      </c>
      <c r="C3363" s="484" t="s">
        <v>65</v>
      </c>
      <c r="D3363" s="486">
        <v>71.64</v>
      </c>
      <c r="E3363" s="486">
        <v>71.64</v>
      </c>
    </row>
    <row r="3364" spans="1:5" ht="30">
      <c r="A3364" s="495">
        <v>92380</v>
      </c>
      <c r="B3364" s="348" t="s">
        <v>17579</v>
      </c>
      <c r="C3364" s="349" t="s">
        <v>65</v>
      </c>
      <c r="D3364" s="483">
        <v>76.150000000000006</v>
      </c>
      <c r="E3364" s="483">
        <v>76.150000000000006</v>
      </c>
    </row>
    <row r="3365" spans="1:5" ht="30">
      <c r="A3365" s="494">
        <v>92381</v>
      </c>
      <c r="B3365" s="485" t="s">
        <v>17580</v>
      </c>
      <c r="C3365" s="484" t="s">
        <v>65</v>
      </c>
      <c r="D3365" s="486">
        <v>33.85</v>
      </c>
      <c r="E3365" s="486">
        <v>33.85</v>
      </c>
    </row>
    <row r="3366" spans="1:5" ht="30">
      <c r="A3366" s="495">
        <v>92382</v>
      </c>
      <c r="B3366" s="348" t="s">
        <v>17581</v>
      </c>
      <c r="C3366" s="349" t="s">
        <v>65</v>
      </c>
      <c r="D3366" s="483">
        <v>32.64</v>
      </c>
      <c r="E3366" s="483">
        <v>32.64</v>
      </c>
    </row>
    <row r="3367" spans="1:5" ht="45">
      <c r="A3367" s="494">
        <v>92383</v>
      </c>
      <c r="B3367" s="485" t="s">
        <v>17582</v>
      </c>
      <c r="C3367" s="484" t="s">
        <v>65</v>
      </c>
      <c r="D3367" s="486">
        <v>41.64</v>
      </c>
      <c r="E3367" s="486">
        <v>41.64</v>
      </c>
    </row>
    <row r="3368" spans="1:5" ht="45">
      <c r="A3368" s="495">
        <v>92384</v>
      </c>
      <c r="B3368" s="348" t="s">
        <v>17583</v>
      </c>
      <c r="C3368" s="349" t="s">
        <v>65</v>
      </c>
      <c r="D3368" s="483">
        <v>39.229999999999997</v>
      </c>
      <c r="E3368" s="483">
        <v>39.229999999999997</v>
      </c>
    </row>
    <row r="3369" spans="1:5" ht="45">
      <c r="A3369" s="494">
        <v>92385</v>
      </c>
      <c r="B3369" s="485" t="s">
        <v>17584</v>
      </c>
      <c r="C3369" s="484" t="s">
        <v>65</v>
      </c>
      <c r="D3369" s="486">
        <v>47.39</v>
      </c>
      <c r="E3369" s="486">
        <v>47.39</v>
      </c>
    </row>
    <row r="3370" spans="1:5" ht="45">
      <c r="A3370" s="495">
        <v>92386</v>
      </c>
      <c r="B3370" s="348" t="s">
        <v>17585</v>
      </c>
      <c r="C3370" s="349" t="s">
        <v>65</v>
      </c>
      <c r="D3370" s="483">
        <v>45.73</v>
      </c>
      <c r="E3370" s="483">
        <v>45.73</v>
      </c>
    </row>
    <row r="3371" spans="1:5" ht="30">
      <c r="A3371" s="494">
        <v>92387</v>
      </c>
      <c r="B3371" s="485" t="s">
        <v>17586</v>
      </c>
      <c r="C3371" s="484" t="s">
        <v>65</v>
      </c>
      <c r="D3371" s="486">
        <v>58.64</v>
      </c>
      <c r="E3371" s="486">
        <v>58.64</v>
      </c>
    </row>
    <row r="3372" spans="1:5" ht="30">
      <c r="A3372" s="495">
        <v>92388</v>
      </c>
      <c r="B3372" s="348" t="s">
        <v>17587</v>
      </c>
      <c r="C3372" s="349" t="s">
        <v>65</v>
      </c>
      <c r="D3372" s="483">
        <v>57.51</v>
      </c>
      <c r="E3372" s="483">
        <v>57.51</v>
      </c>
    </row>
    <row r="3373" spans="1:5" ht="45">
      <c r="A3373" s="494">
        <v>92389</v>
      </c>
      <c r="B3373" s="485" t="s">
        <v>17588</v>
      </c>
      <c r="C3373" s="484" t="s">
        <v>65</v>
      </c>
      <c r="D3373" s="486">
        <v>87.44</v>
      </c>
      <c r="E3373" s="486">
        <v>87.44</v>
      </c>
    </row>
    <row r="3374" spans="1:5" ht="45">
      <c r="A3374" s="495">
        <v>92390</v>
      </c>
      <c r="B3374" s="348" t="s">
        <v>17589</v>
      </c>
      <c r="C3374" s="349" t="s">
        <v>65</v>
      </c>
      <c r="D3374" s="483">
        <v>82.48</v>
      </c>
      <c r="E3374" s="483">
        <v>82.48</v>
      </c>
    </row>
    <row r="3375" spans="1:5" ht="30">
      <c r="A3375" s="494">
        <v>92635</v>
      </c>
      <c r="B3375" s="485" t="s">
        <v>17590</v>
      </c>
      <c r="C3375" s="484" t="s">
        <v>65</v>
      </c>
      <c r="D3375" s="486">
        <v>115.19</v>
      </c>
      <c r="E3375" s="486">
        <v>115.19</v>
      </c>
    </row>
    <row r="3376" spans="1:5" ht="30">
      <c r="A3376" s="495">
        <v>92636</v>
      </c>
      <c r="B3376" s="348" t="s">
        <v>17591</v>
      </c>
      <c r="C3376" s="349" t="s">
        <v>65</v>
      </c>
      <c r="D3376" s="483">
        <v>105.62</v>
      </c>
      <c r="E3376" s="483">
        <v>105.62</v>
      </c>
    </row>
    <row r="3377" spans="1:5" ht="30">
      <c r="A3377" s="494">
        <v>92637</v>
      </c>
      <c r="B3377" s="485" t="s">
        <v>17592</v>
      </c>
      <c r="C3377" s="484" t="s">
        <v>65</v>
      </c>
      <c r="D3377" s="486">
        <v>44</v>
      </c>
      <c r="E3377" s="486">
        <v>44</v>
      </c>
    </row>
    <row r="3378" spans="1:5" ht="30">
      <c r="A3378" s="495">
        <v>92638</v>
      </c>
      <c r="B3378" s="348" t="s">
        <v>17593</v>
      </c>
      <c r="C3378" s="349" t="s">
        <v>65</v>
      </c>
      <c r="D3378" s="483">
        <v>52.62</v>
      </c>
      <c r="E3378" s="483">
        <v>52.62</v>
      </c>
    </row>
    <row r="3379" spans="1:5" ht="30">
      <c r="A3379" s="494">
        <v>92639</v>
      </c>
      <c r="B3379" s="485" t="s">
        <v>17594</v>
      </c>
      <c r="C3379" s="484" t="s">
        <v>65</v>
      </c>
      <c r="D3379" s="486">
        <v>60.34</v>
      </c>
      <c r="E3379" s="486">
        <v>60.34</v>
      </c>
    </row>
    <row r="3380" spans="1:5" ht="30">
      <c r="A3380" s="495">
        <v>92640</v>
      </c>
      <c r="B3380" s="348" t="s">
        <v>17595</v>
      </c>
      <c r="C3380" s="349" t="s">
        <v>65</v>
      </c>
      <c r="D3380" s="483">
        <v>76.680000000000007</v>
      </c>
      <c r="E3380" s="483">
        <v>76.680000000000007</v>
      </c>
    </row>
    <row r="3381" spans="1:5" ht="30">
      <c r="A3381" s="494">
        <v>92642</v>
      </c>
      <c r="B3381" s="485" t="s">
        <v>17596</v>
      </c>
      <c r="C3381" s="484" t="s">
        <v>65</v>
      </c>
      <c r="D3381" s="486">
        <v>112.44</v>
      </c>
      <c r="E3381" s="486">
        <v>112.44</v>
      </c>
    </row>
    <row r="3382" spans="1:5" ht="30">
      <c r="A3382" s="495">
        <v>92644</v>
      </c>
      <c r="B3382" s="348" t="s">
        <v>17597</v>
      </c>
      <c r="C3382" s="349" t="s">
        <v>65</v>
      </c>
      <c r="D3382" s="483">
        <v>139.91999999999999</v>
      </c>
      <c r="E3382" s="483">
        <v>139.91999999999999</v>
      </c>
    </row>
    <row r="3383" spans="1:5" ht="30">
      <c r="A3383" s="494">
        <v>92657</v>
      </c>
      <c r="B3383" s="485" t="s">
        <v>17598</v>
      </c>
      <c r="C3383" s="484" t="s">
        <v>65</v>
      </c>
      <c r="D3383" s="486">
        <v>16.02</v>
      </c>
      <c r="E3383" s="486">
        <v>16.02</v>
      </c>
    </row>
    <row r="3384" spans="1:5" ht="30">
      <c r="A3384" s="495">
        <v>92658</v>
      </c>
      <c r="B3384" s="348" t="s">
        <v>17599</v>
      </c>
      <c r="C3384" s="349" t="s">
        <v>65</v>
      </c>
      <c r="D3384" s="483">
        <v>16.940000000000001</v>
      </c>
      <c r="E3384" s="483">
        <v>16.940000000000001</v>
      </c>
    </row>
    <row r="3385" spans="1:5" ht="30">
      <c r="A3385" s="494">
        <v>92659</v>
      </c>
      <c r="B3385" s="485" t="s">
        <v>17600</v>
      </c>
      <c r="C3385" s="484" t="s">
        <v>65</v>
      </c>
      <c r="D3385" s="486">
        <v>19.37</v>
      </c>
      <c r="E3385" s="486">
        <v>19.37</v>
      </c>
    </row>
    <row r="3386" spans="1:5" ht="30">
      <c r="A3386" s="495">
        <v>92660</v>
      </c>
      <c r="B3386" s="348" t="s">
        <v>17601</v>
      </c>
      <c r="C3386" s="349" t="s">
        <v>65</v>
      </c>
      <c r="D3386" s="483">
        <v>20.22</v>
      </c>
      <c r="E3386" s="483">
        <v>20.22</v>
      </c>
    </row>
    <row r="3387" spans="1:5" ht="30">
      <c r="A3387" s="494">
        <v>92661</v>
      </c>
      <c r="B3387" s="485" t="s">
        <v>17602</v>
      </c>
      <c r="C3387" s="484" t="s">
        <v>65</v>
      </c>
      <c r="D3387" s="486">
        <v>22.8</v>
      </c>
      <c r="E3387" s="486">
        <v>22.8</v>
      </c>
    </row>
    <row r="3388" spans="1:5" ht="30">
      <c r="A3388" s="495">
        <v>92662</v>
      </c>
      <c r="B3388" s="348" t="s">
        <v>17603</v>
      </c>
      <c r="C3388" s="349" t="s">
        <v>65</v>
      </c>
      <c r="D3388" s="483">
        <v>22.96</v>
      </c>
      <c r="E3388" s="483">
        <v>22.96</v>
      </c>
    </row>
    <row r="3389" spans="1:5" ht="30">
      <c r="A3389" s="494">
        <v>92663</v>
      </c>
      <c r="B3389" s="485" t="s">
        <v>17604</v>
      </c>
      <c r="C3389" s="484" t="s">
        <v>65</v>
      </c>
      <c r="D3389" s="486">
        <v>29.9</v>
      </c>
      <c r="E3389" s="486">
        <v>29.9</v>
      </c>
    </row>
    <row r="3390" spans="1:5" ht="30">
      <c r="A3390" s="495">
        <v>92664</v>
      </c>
      <c r="B3390" s="348" t="s">
        <v>17605</v>
      </c>
      <c r="C3390" s="349" t="s">
        <v>65</v>
      </c>
      <c r="D3390" s="483">
        <v>29.89</v>
      </c>
      <c r="E3390" s="483">
        <v>29.89</v>
      </c>
    </row>
    <row r="3391" spans="1:5" ht="30">
      <c r="A3391" s="494">
        <v>92665</v>
      </c>
      <c r="B3391" s="485" t="s">
        <v>17606</v>
      </c>
      <c r="C3391" s="484" t="s">
        <v>65</v>
      </c>
      <c r="D3391" s="486">
        <v>40.409999999999997</v>
      </c>
      <c r="E3391" s="486">
        <v>40.409999999999997</v>
      </c>
    </row>
    <row r="3392" spans="1:5" ht="30">
      <c r="A3392" s="495">
        <v>92666</v>
      </c>
      <c r="B3392" s="348" t="s">
        <v>17607</v>
      </c>
      <c r="C3392" s="349" t="s">
        <v>65</v>
      </c>
      <c r="D3392" s="483">
        <v>45.48</v>
      </c>
      <c r="E3392" s="483">
        <v>45.48</v>
      </c>
    </row>
    <row r="3393" spans="1:5" ht="30">
      <c r="A3393" s="494">
        <v>92667</v>
      </c>
      <c r="B3393" s="485" t="s">
        <v>17608</v>
      </c>
      <c r="C3393" s="484" t="s">
        <v>65</v>
      </c>
      <c r="D3393" s="486">
        <v>58.38</v>
      </c>
      <c r="E3393" s="486">
        <v>58.38</v>
      </c>
    </row>
    <row r="3394" spans="1:5" ht="30">
      <c r="A3394" s="495">
        <v>92668</v>
      </c>
      <c r="B3394" s="348" t="s">
        <v>17609</v>
      </c>
      <c r="C3394" s="349" t="s">
        <v>65</v>
      </c>
      <c r="D3394" s="483">
        <v>62.89</v>
      </c>
      <c r="E3394" s="483">
        <v>62.89</v>
      </c>
    </row>
    <row r="3395" spans="1:5" ht="30">
      <c r="A3395" s="494">
        <v>92669</v>
      </c>
      <c r="B3395" s="485" t="s">
        <v>17610</v>
      </c>
      <c r="C3395" s="484" t="s">
        <v>65</v>
      </c>
      <c r="D3395" s="486">
        <v>24.28</v>
      </c>
      <c r="E3395" s="486">
        <v>24.28</v>
      </c>
    </row>
    <row r="3396" spans="1:5" ht="30">
      <c r="A3396" s="495">
        <v>92670</v>
      </c>
      <c r="B3396" s="348" t="s">
        <v>17611</v>
      </c>
      <c r="C3396" s="349" t="s">
        <v>65</v>
      </c>
      <c r="D3396" s="483">
        <v>23.07</v>
      </c>
      <c r="E3396" s="483">
        <v>23.07</v>
      </c>
    </row>
    <row r="3397" spans="1:5" ht="45">
      <c r="A3397" s="494">
        <v>92671</v>
      </c>
      <c r="B3397" s="485" t="s">
        <v>17612</v>
      </c>
      <c r="C3397" s="484" t="s">
        <v>65</v>
      </c>
      <c r="D3397" s="486">
        <v>30.78</v>
      </c>
      <c r="E3397" s="486">
        <v>30.78</v>
      </c>
    </row>
    <row r="3398" spans="1:5" ht="45">
      <c r="A3398" s="495">
        <v>92672</v>
      </c>
      <c r="B3398" s="348" t="s">
        <v>17613</v>
      </c>
      <c r="C3398" s="349" t="s">
        <v>65</v>
      </c>
      <c r="D3398" s="483">
        <v>28.37</v>
      </c>
      <c r="E3398" s="483">
        <v>28.37</v>
      </c>
    </row>
    <row r="3399" spans="1:5" ht="45">
      <c r="A3399" s="494">
        <v>92673</v>
      </c>
      <c r="B3399" s="485" t="s">
        <v>17614</v>
      </c>
      <c r="C3399" s="484" t="s">
        <v>65</v>
      </c>
      <c r="D3399" s="486">
        <v>35.020000000000003</v>
      </c>
      <c r="E3399" s="486">
        <v>35.020000000000003</v>
      </c>
    </row>
    <row r="3400" spans="1:5" ht="45">
      <c r="A3400" s="495">
        <v>92674</v>
      </c>
      <c r="B3400" s="348" t="s">
        <v>17615</v>
      </c>
      <c r="C3400" s="349" t="s">
        <v>65</v>
      </c>
      <c r="D3400" s="483">
        <v>33.36</v>
      </c>
      <c r="E3400" s="483">
        <v>33.36</v>
      </c>
    </row>
    <row r="3401" spans="1:5" ht="30">
      <c r="A3401" s="494">
        <v>92675</v>
      </c>
      <c r="B3401" s="485" t="s">
        <v>17616</v>
      </c>
      <c r="C3401" s="484" t="s">
        <v>65</v>
      </c>
      <c r="D3401" s="486">
        <v>44.41</v>
      </c>
      <c r="E3401" s="486">
        <v>44.41</v>
      </c>
    </row>
    <row r="3402" spans="1:5" ht="30">
      <c r="A3402" s="495">
        <v>92676</v>
      </c>
      <c r="B3402" s="348" t="s">
        <v>17617</v>
      </c>
      <c r="C3402" s="349" t="s">
        <v>65</v>
      </c>
      <c r="D3402" s="483">
        <v>43.28</v>
      </c>
      <c r="E3402" s="483">
        <v>43.28</v>
      </c>
    </row>
    <row r="3403" spans="1:5" ht="45">
      <c r="A3403" s="494">
        <v>92677</v>
      </c>
      <c r="B3403" s="485" t="s">
        <v>17618</v>
      </c>
      <c r="C3403" s="484" t="s">
        <v>65</v>
      </c>
      <c r="D3403" s="486">
        <v>70.38</v>
      </c>
      <c r="E3403" s="486">
        <v>70.38</v>
      </c>
    </row>
    <row r="3404" spans="1:5" ht="45">
      <c r="A3404" s="495">
        <v>92678</v>
      </c>
      <c r="B3404" s="348" t="s">
        <v>17619</v>
      </c>
      <c r="C3404" s="349" t="s">
        <v>65</v>
      </c>
      <c r="D3404" s="483">
        <v>65.42</v>
      </c>
      <c r="E3404" s="483">
        <v>65.42</v>
      </c>
    </row>
    <row r="3405" spans="1:5" ht="30">
      <c r="A3405" s="494">
        <v>92679</v>
      </c>
      <c r="B3405" s="485" t="s">
        <v>17620</v>
      </c>
      <c r="C3405" s="484" t="s">
        <v>65</v>
      </c>
      <c r="D3405" s="486">
        <v>95.32</v>
      </c>
      <c r="E3405" s="486">
        <v>95.32</v>
      </c>
    </row>
    <row r="3406" spans="1:5" ht="30">
      <c r="A3406" s="495">
        <v>92680</v>
      </c>
      <c r="B3406" s="348" t="s">
        <v>17621</v>
      </c>
      <c r="C3406" s="349" t="s">
        <v>65</v>
      </c>
      <c r="D3406" s="483">
        <v>85.75</v>
      </c>
      <c r="E3406" s="483">
        <v>85.75</v>
      </c>
    </row>
    <row r="3407" spans="1:5" ht="30">
      <c r="A3407" s="494">
        <v>92681</v>
      </c>
      <c r="B3407" s="485" t="s">
        <v>17622</v>
      </c>
      <c r="C3407" s="484" t="s">
        <v>65</v>
      </c>
      <c r="D3407" s="486">
        <v>31.22</v>
      </c>
      <c r="E3407" s="486">
        <v>31.22</v>
      </c>
    </row>
    <row r="3408" spans="1:5" ht="30">
      <c r="A3408" s="495">
        <v>92682</v>
      </c>
      <c r="B3408" s="348" t="s">
        <v>17623</v>
      </c>
      <c r="C3408" s="349" t="s">
        <v>65</v>
      </c>
      <c r="D3408" s="483">
        <v>38.08</v>
      </c>
      <c r="E3408" s="483">
        <v>38.08</v>
      </c>
    </row>
    <row r="3409" spans="1:5" ht="30">
      <c r="A3409" s="494">
        <v>92683</v>
      </c>
      <c r="B3409" s="485" t="s">
        <v>17624</v>
      </c>
      <c r="C3409" s="484" t="s">
        <v>65</v>
      </c>
      <c r="D3409" s="486">
        <v>43.84</v>
      </c>
      <c r="E3409" s="486">
        <v>43.84</v>
      </c>
    </row>
    <row r="3410" spans="1:5" ht="30">
      <c r="A3410" s="495">
        <v>92684</v>
      </c>
      <c r="B3410" s="348" t="s">
        <v>17625</v>
      </c>
      <c r="C3410" s="349" t="s">
        <v>65</v>
      </c>
      <c r="D3410" s="483">
        <v>57.7</v>
      </c>
      <c r="E3410" s="483">
        <v>57.7</v>
      </c>
    </row>
    <row r="3411" spans="1:5" ht="30">
      <c r="A3411" s="494">
        <v>92685</v>
      </c>
      <c r="B3411" s="485" t="s">
        <v>17626</v>
      </c>
      <c r="C3411" s="484" t="s">
        <v>65</v>
      </c>
      <c r="D3411" s="486">
        <v>89.71</v>
      </c>
      <c r="E3411" s="486">
        <v>89.71</v>
      </c>
    </row>
    <row r="3412" spans="1:5" ht="30">
      <c r="A3412" s="495">
        <v>92686</v>
      </c>
      <c r="B3412" s="348" t="s">
        <v>17627</v>
      </c>
      <c r="C3412" s="349" t="s">
        <v>65</v>
      </c>
      <c r="D3412" s="483">
        <v>113.41</v>
      </c>
      <c r="E3412" s="483">
        <v>113.41</v>
      </c>
    </row>
    <row r="3413" spans="1:5" ht="30">
      <c r="A3413" s="494">
        <v>92692</v>
      </c>
      <c r="B3413" s="485" t="s">
        <v>17628</v>
      </c>
      <c r="C3413" s="484" t="s">
        <v>65</v>
      </c>
      <c r="D3413" s="486">
        <v>8.7200000000000006</v>
      </c>
      <c r="E3413" s="486">
        <v>8.7200000000000006</v>
      </c>
    </row>
    <row r="3414" spans="1:5" ht="30">
      <c r="A3414" s="495">
        <v>92693</v>
      </c>
      <c r="B3414" s="348" t="s">
        <v>712</v>
      </c>
      <c r="C3414" s="349" t="s">
        <v>65</v>
      </c>
      <c r="D3414" s="483">
        <v>8.92</v>
      </c>
      <c r="E3414" s="483">
        <v>8.92</v>
      </c>
    </row>
    <row r="3415" spans="1:5" ht="30">
      <c r="A3415" s="494">
        <v>92694</v>
      </c>
      <c r="B3415" s="485" t="s">
        <v>17629</v>
      </c>
      <c r="C3415" s="484" t="s">
        <v>65</v>
      </c>
      <c r="D3415" s="486">
        <v>14.02</v>
      </c>
      <c r="E3415" s="486">
        <v>14.02</v>
      </c>
    </row>
    <row r="3416" spans="1:5" ht="30">
      <c r="A3416" s="495">
        <v>92695</v>
      </c>
      <c r="B3416" s="348" t="s">
        <v>713</v>
      </c>
      <c r="C3416" s="349" t="s">
        <v>65</v>
      </c>
      <c r="D3416" s="483">
        <v>14.23</v>
      </c>
      <c r="E3416" s="483">
        <v>14.23</v>
      </c>
    </row>
    <row r="3417" spans="1:5" ht="30">
      <c r="A3417" s="494">
        <v>92696</v>
      </c>
      <c r="B3417" s="485" t="s">
        <v>714</v>
      </c>
      <c r="C3417" s="484" t="s">
        <v>65</v>
      </c>
      <c r="D3417" s="486">
        <v>22.13</v>
      </c>
      <c r="E3417" s="486">
        <v>22.13</v>
      </c>
    </row>
    <row r="3418" spans="1:5" ht="30">
      <c r="A3418" s="495">
        <v>92697</v>
      </c>
      <c r="B3418" s="348" t="s">
        <v>17630</v>
      </c>
      <c r="C3418" s="349" t="s">
        <v>65</v>
      </c>
      <c r="D3418" s="483">
        <v>23.05</v>
      </c>
      <c r="E3418" s="483">
        <v>23.05</v>
      </c>
    </row>
    <row r="3419" spans="1:5" ht="30">
      <c r="A3419" s="494">
        <v>92698</v>
      </c>
      <c r="B3419" s="485" t="s">
        <v>17631</v>
      </c>
      <c r="C3419" s="484" t="s">
        <v>65</v>
      </c>
      <c r="D3419" s="486">
        <v>12.91</v>
      </c>
      <c r="E3419" s="486">
        <v>12.91</v>
      </c>
    </row>
    <row r="3420" spans="1:5" ht="30">
      <c r="A3420" s="495">
        <v>92699</v>
      </c>
      <c r="B3420" s="348" t="s">
        <v>17632</v>
      </c>
      <c r="C3420" s="349" t="s">
        <v>65</v>
      </c>
      <c r="D3420" s="483">
        <v>12.25</v>
      </c>
      <c r="E3420" s="483">
        <v>12.25</v>
      </c>
    </row>
    <row r="3421" spans="1:5" ht="30">
      <c r="A3421" s="494">
        <v>92700</v>
      </c>
      <c r="B3421" s="485" t="s">
        <v>17633</v>
      </c>
      <c r="C3421" s="484" t="s">
        <v>65</v>
      </c>
      <c r="D3421" s="486">
        <v>21.26</v>
      </c>
      <c r="E3421" s="486">
        <v>21.26</v>
      </c>
    </row>
    <row r="3422" spans="1:5" ht="30">
      <c r="A3422" s="495">
        <v>92701</v>
      </c>
      <c r="B3422" s="348" t="s">
        <v>17634</v>
      </c>
      <c r="C3422" s="349" t="s">
        <v>65</v>
      </c>
      <c r="D3422" s="483">
        <v>20.28</v>
      </c>
      <c r="E3422" s="483">
        <v>20.28</v>
      </c>
    </row>
    <row r="3423" spans="1:5" ht="30">
      <c r="A3423" s="494">
        <v>92702</v>
      </c>
      <c r="B3423" s="485" t="s">
        <v>17635</v>
      </c>
      <c r="C3423" s="484" t="s">
        <v>65</v>
      </c>
      <c r="D3423" s="486">
        <v>33.49</v>
      </c>
      <c r="E3423" s="486">
        <v>33.49</v>
      </c>
    </row>
    <row r="3424" spans="1:5" ht="30">
      <c r="A3424" s="495">
        <v>92703</v>
      </c>
      <c r="B3424" s="348" t="s">
        <v>17636</v>
      </c>
      <c r="C3424" s="349" t="s">
        <v>65</v>
      </c>
      <c r="D3424" s="483">
        <v>32.28</v>
      </c>
      <c r="E3424" s="483">
        <v>32.28</v>
      </c>
    </row>
    <row r="3425" spans="1:5" ht="30">
      <c r="A3425" s="494">
        <v>92704</v>
      </c>
      <c r="B3425" s="485" t="s">
        <v>17637</v>
      </c>
      <c r="C3425" s="484" t="s">
        <v>65</v>
      </c>
      <c r="D3425" s="486">
        <v>16.489999999999998</v>
      </c>
      <c r="E3425" s="486">
        <v>16.489999999999998</v>
      </c>
    </row>
    <row r="3426" spans="1:5" s="27" customFormat="1" ht="30">
      <c r="A3426" s="495">
        <v>92705</v>
      </c>
      <c r="B3426" s="348" t="s">
        <v>17638</v>
      </c>
      <c r="C3426" s="349" t="s">
        <v>65</v>
      </c>
      <c r="D3426" s="483">
        <v>26.85</v>
      </c>
      <c r="E3426" s="483">
        <v>26.85</v>
      </c>
    </row>
    <row r="3427" spans="1:5" s="27" customFormat="1" ht="30">
      <c r="A3427" s="494">
        <v>92706</v>
      </c>
      <c r="B3427" s="485" t="s">
        <v>715</v>
      </c>
      <c r="C3427" s="484" t="s">
        <v>65</v>
      </c>
      <c r="D3427" s="486">
        <v>43.49</v>
      </c>
      <c r="E3427" s="486">
        <v>43.49</v>
      </c>
    </row>
    <row r="3428" spans="1:5" ht="30">
      <c r="A3428" s="495">
        <v>92889</v>
      </c>
      <c r="B3428" s="348" t="s">
        <v>716</v>
      </c>
      <c r="C3428" s="349" t="s">
        <v>65</v>
      </c>
      <c r="D3428" s="483">
        <v>72.37</v>
      </c>
      <c r="E3428" s="483">
        <v>72.37</v>
      </c>
    </row>
    <row r="3429" spans="1:5" s="27" customFormat="1" ht="30">
      <c r="A3429" s="494">
        <v>92890</v>
      </c>
      <c r="B3429" s="485" t="s">
        <v>17639</v>
      </c>
      <c r="C3429" s="484" t="s">
        <v>65</v>
      </c>
      <c r="D3429" s="486">
        <v>107.3</v>
      </c>
      <c r="E3429" s="486">
        <v>107.3</v>
      </c>
    </row>
    <row r="3430" spans="1:5" ht="30">
      <c r="A3430" s="495">
        <v>92891</v>
      </c>
      <c r="B3430" s="348" t="s">
        <v>717</v>
      </c>
      <c r="C3430" s="349" t="s">
        <v>65</v>
      </c>
      <c r="D3430" s="483">
        <v>154.94999999999999</v>
      </c>
      <c r="E3430" s="483">
        <v>154.94999999999999</v>
      </c>
    </row>
    <row r="3431" spans="1:5" ht="30">
      <c r="A3431" s="494">
        <v>92892</v>
      </c>
      <c r="B3431" s="485" t="s">
        <v>17640</v>
      </c>
      <c r="C3431" s="484" t="s">
        <v>65</v>
      </c>
      <c r="D3431" s="486">
        <v>33.119999999999997</v>
      </c>
      <c r="E3431" s="486">
        <v>33.119999999999997</v>
      </c>
    </row>
    <row r="3432" spans="1:5" ht="30">
      <c r="A3432" s="495">
        <v>92893</v>
      </c>
      <c r="B3432" s="348" t="s">
        <v>17641</v>
      </c>
      <c r="C3432" s="349" t="s">
        <v>65</v>
      </c>
      <c r="D3432" s="483">
        <v>45.68</v>
      </c>
      <c r="E3432" s="483">
        <v>45.68</v>
      </c>
    </row>
    <row r="3433" spans="1:5" ht="30">
      <c r="A3433" s="494">
        <v>92894</v>
      </c>
      <c r="B3433" s="485" t="s">
        <v>17642</v>
      </c>
      <c r="C3433" s="484" t="s">
        <v>65</v>
      </c>
      <c r="D3433" s="486">
        <v>54.1</v>
      </c>
      <c r="E3433" s="486">
        <v>54.1</v>
      </c>
    </row>
    <row r="3434" spans="1:5" ht="30">
      <c r="A3434" s="495">
        <v>92895</v>
      </c>
      <c r="B3434" s="348" t="s">
        <v>17643</v>
      </c>
      <c r="C3434" s="349" t="s">
        <v>65</v>
      </c>
      <c r="D3434" s="483">
        <v>72.34</v>
      </c>
      <c r="E3434" s="483">
        <v>72.34</v>
      </c>
    </row>
    <row r="3435" spans="1:5" ht="30">
      <c r="A3435" s="494">
        <v>92896</v>
      </c>
      <c r="B3435" s="485" t="s">
        <v>17644</v>
      </c>
      <c r="C3435" s="484" t="s">
        <v>65</v>
      </c>
      <c r="D3435" s="486">
        <v>108.44</v>
      </c>
      <c r="E3435" s="486">
        <v>108.44</v>
      </c>
    </row>
    <row r="3436" spans="1:5" ht="30">
      <c r="A3436" s="495">
        <v>92897</v>
      </c>
      <c r="B3436" s="348" t="s">
        <v>17645</v>
      </c>
      <c r="C3436" s="349" t="s">
        <v>65</v>
      </c>
      <c r="D3436" s="483">
        <v>157.32</v>
      </c>
      <c r="E3436" s="483">
        <v>157.32</v>
      </c>
    </row>
    <row r="3437" spans="1:5" ht="30">
      <c r="A3437" s="494">
        <v>92898</v>
      </c>
      <c r="B3437" s="485" t="s">
        <v>17646</v>
      </c>
      <c r="C3437" s="484" t="s">
        <v>65</v>
      </c>
      <c r="D3437" s="486">
        <v>26.74</v>
      </c>
      <c r="E3437" s="486">
        <v>26.74</v>
      </c>
    </row>
    <row r="3438" spans="1:5" ht="30">
      <c r="A3438" s="495">
        <v>92899</v>
      </c>
      <c r="B3438" s="348" t="s">
        <v>17647</v>
      </c>
      <c r="C3438" s="349" t="s">
        <v>65</v>
      </c>
      <c r="D3438" s="483">
        <v>38.44</v>
      </c>
      <c r="E3438" s="483">
        <v>38.44</v>
      </c>
    </row>
    <row r="3439" spans="1:5" ht="30">
      <c r="A3439" s="494">
        <v>92900</v>
      </c>
      <c r="B3439" s="485" t="s">
        <v>17648</v>
      </c>
      <c r="C3439" s="484" t="s">
        <v>65</v>
      </c>
      <c r="D3439" s="486">
        <v>45.83</v>
      </c>
      <c r="E3439" s="486">
        <v>45.83</v>
      </c>
    </row>
    <row r="3440" spans="1:5" ht="30">
      <c r="A3440" s="495">
        <v>92901</v>
      </c>
      <c r="B3440" s="348" t="s">
        <v>17649</v>
      </c>
      <c r="C3440" s="349" t="s">
        <v>65</v>
      </c>
      <c r="D3440" s="483">
        <v>62.83</v>
      </c>
      <c r="E3440" s="483">
        <v>62.83</v>
      </c>
    </row>
    <row r="3441" spans="1:5" ht="30">
      <c r="A3441" s="494">
        <v>92902</v>
      </c>
      <c r="B3441" s="485" t="s">
        <v>17650</v>
      </c>
      <c r="C3441" s="484" t="s">
        <v>65</v>
      </c>
      <c r="D3441" s="486">
        <v>97.05</v>
      </c>
      <c r="E3441" s="486">
        <v>97.05</v>
      </c>
    </row>
    <row r="3442" spans="1:5" ht="30">
      <c r="A3442" s="495">
        <v>92903</v>
      </c>
      <c r="B3442" s="348" t="s">
        <v>17651</v>
      </c>
      <c r="C3442" s="349" t="s">
        <v>65</v>
      </c>
      <c r="D3442" s="483">
        <v>144.06</v>
      </c>
      <c r="E3442" s="483">
        <v>144.06</v>
      </c>
    </row>
    <row r="3443" spans="1:5" ht="30">
      <c r="A3443" s="494">
        <v>92904</v>
      </c>
      <c r="B3443" s="485" t="s">
        <v>17652</v>
      </c>
      <c r="C3443" s="484" t="s">
        <v>65</v>
      </c>
      <c r="D3443" s="486">
        <v>17.920000000000002</v>
      </c>
      <c r="E3443" s="486">
        <v>17.920000000000002</v>
      </c>
    </row>
    <row r="3444" spans="1:5" ht="30">
      <c r="A3444" s="495">
        <v>92905</v>
      </c>
      <c r="B3444" s="348" t="s">
        <v>17653</v>
      </c>
      <c r="C3444" s="349" t="s">
        <v>65</v>
      </c>
      <c r="D3444" s="483">
        <v>26.03</v>
      </c>
      <c r="E3444" s="483">
        <v>26.03</v>
      </c>
    </row>
    <row r="3445" spans="1:5" ht="30">
      <c r="A3445" s="494">
        <v>92906</v>
      </c>
      <c r="B3445" s="485" t="s">
        <v>718</v>
      </c>
      <c r="C3445" s="484" t="s">
        <v>65</v>
      </c>
      <c r="D3445" s="486">
        <v>32.85</v>
      </c>
      <c r="E3445" s="486">
        <v>32.85</v>
      </c>
    </row>
    <row r="3446" spans="1:5" ht="30">
      <c r="A3446" s="495">
        <v>92907</v>
      </c>
      <c r="B3446" s="348" t="s">
        <v>719</v>
      </c>
      <c r="C3446" s="349" t="s">
        <v>65</v>
      </c>
      <c r="D3446" s="483">
        <v>41.34</v>
      </c>
      <c r="E3446" s="483">
        <v>41.34</v>
      </c>
    </row>
    <row r="3447" spans="1:5" ht="30">
      <c r="A3447" s="494">
        <v>92908</v>
      </c>
      <c r="B3447" s="485" t="s">
        <v>720</v>
      </c>
      <c r="C3447" s="484" t="s">
        <v>65</v>
      </c>
      <c r="D3447" s="486">
        <v>41.34</v>
      </c>
      <c r="E3447" s="486">
        <v>41.34</v>
      </c>
    </row>
    <row r="3448" spans="1:5" ht="30">
      <c r="A3448" s="495">
        <v>92909</v>
      </c>
      <c r="B3448" s="348" t="s">
        <v>17654</v>
      </c>
      <c r="C3448" s="349" t="s">
        <v>65</v>
      </c>
      <c r="D3448" s="483">
        <v>41.34</v>
      </c>
      <c r="E3448" s="483">
        <v>41.34</v>
      </c>
    </row>
    <row r="3449" spans="1:5" ht="30">
      <c r="A3449" s="494">
        <v>92910</v>
      </c>
      <c r="B3449" s="485" t="s">
        <v>17655</v>
      </c>
      <c r="C3449" s="484" t="s">
        <v>65</v>
      </c>
      <c r="D3449" s="486">
        <v>57.88</v>
      </c>
      <c r="E3449" s="486">
        <v>57.88</v>
      </c>
    </row>
    <row r="3450" spans="1:5" ht="30">
      <c r="A3450" s="495">
        <v>92911</v>
      </c>
      <c r="B3450" s="348" t="s">
        <v>721</v>
      </c>
      <c r="C3450" s="349" t="s">
        <v>65</v>
      </c>
      <c r="D3450" s="483">
        <v>57.88</v>
      </c>
      <c r="E3450" s="483">
        <v>57.88</v>
      </c>
    </row>
    <row r="3451" spans="1:5" ht="30">
      <c r="A3451" s="494">
        <v>92912</v>
      </c>
      <c r="B3451" s="485" t="s">
        <v>722</v>
      </c>
      <c r="C3451" s="484" t="s">
        <v>65</v>
      </c>
      <c r="D3451" s="486">
        <v>75.56</v>
      </c>
      <c r="E3451" s="486">
        <v>75.56</v>
      </c>
    </row>
    <row r="3452" spans="1:5" ht="30">
      <c r="A3452" s="495">
        <v>92913</v>
      </c>
      <c r="B3452" s="348" t="s">
        <v>723</v>
      </c>
      <c r="C3452" s="349" t="s">
        <v>65</v>
      </c>
      <c r="D3452" s="483">
        <v>77.52</v>
      </c>
      <c r="E3452" s="483">
        <v>77.52</v>
      </c>
    </row>
    <row r="3453" spans="1:5" ht="30">
      <c r="A3453" s="494">
        <v>92914</v>
      </c>
      <c r="B3453" s="485" t="s">
        <v>17656</v>
      </c>
      <c r="C3453" s="484" t="s">
        <v>65</v>
      </c>
      <c r="D3453" s="486">
        <v>77.52</v>
      </c>
      <c r="E3453" s="486">
        <v>77.52</v>
      </c>
    </row>
    <row r="3454" spans="1:5" ht="30">
      <c r="A3454" s="495">
        <v>92918</v>
      </c>
      <c r="B3454" s="348" t="s">
        <v>17657</v>
      </c>
      <c r="C3454" s="349" t="s">
        <v>65</v>
      </c>
      <c r="D3454" s="483">
        <v>23.24</v>
      </c>
      <c r="E3454" s="483">
        <v>23.24</v>
      </c>
    </row>
    <row r="3455" spans="1:5" ht="30">
      <c r="A3455" s="494">
        <v>92920</v>
      </c>
      <c r="B3455" s="485" t="s">
        <v>17658</v>
      </c>
      <c r="C3455" s="484" t="s">
        <v>65</v>
      </c>
      <c r="D3455" s="486">
        <v>23.37</v>
      </c>
      <c r="E3455" s="486">
        <v>23.37</v>
      </c>
    </row>
    <row r="3456" spans="1:5" ht="30">
      <c r="A3456" s="495">
        <v>92925</v>
      </c>
      <c r="B3456" s="348" t="s">
        <v>17659</v>
      </c>
      <c r="C3456" s="349" t="s">
        <v>65</v>
      </c>
      <c r="D3456" s="483">
        <v>28.14</v>
      </c>
      <c r="E3456" s="483">
        <v>28.14</v>
      </c>
    </row>
    <row r="3457" spans="1:5" ht="45">
      <c r="A3457" s="494">
        <v>92926</v>
      </c>
      <c r="B3457" s="485" t="s">
        <v>17660</v>
      </c>
      <c r="C3457" s="484" t="s">
        <v>65</v>
      </c>
      <c r="D3457" s="486">
        <v>28.13</v>
      </c>
      <c r="E3457" s="486">
        <v>28.13</v>
      </c>
    </row>
    <row r="3458" spans="1:5" ht="45">
      <c r="A3458" s="495">
        <v>92927</v>
      </c>
      <c r="B3458" s="348" t="s">
        <v>17661</v>
      </c>
      <c r="C3458" s="349" t="s">
        <v>65</v>
      </c>
      <c r="D3458" s="483">
        <v>28.13</v>
      </c>
      <c r="E3458" s="483">
        <v>28.13</v>
      </c>
    </row>
    <row r="3459" spans="1:5" ht="45">
      <c r="A3459" s="494">
        <v>92928</v>
      </c>
      <c r="B3459" s="485" t="s">
        <v>17662</v>
      </c>
      <c r="C3459" s="484" t="s">
        <v>65</v>
      </c>
      <c r="D3459" s="486">
        <v>31.93</v>
      </c>
      <c r="E3459" s="486">
        <v>31.93</v>
      </c>
    </row>
    <row r="3460" spans="1:5" ht="30">
      <c r="A3460" s="495">
        <v>92929</v>
      </c>
      <c r="B3460" s="348" t="s">
        <v>17663</v>
      </c>
      <c r="C3460" s="349" t="s">
        <v>65</v>
      </c>
      <c r="D3460" s="483">
        <v>31.93</v>
      </c>
      <c r="E3460" s="483">
        <v>31.93</v>
      </c>
    </row>
    <row r="3461" spans="1:5" ht="45">
      <c r="A3461" s="494">
        <v>92930</v>
      </c>
      <c r="B3461" s="485" t="s">
        <v>17664</v>
      </c>
      <c r="C3461" s="484" t="s">
        <v>65</v>
      </c>
      <c r="D3461" s="486">
        <v>31.93</v>
      </c>
      <c r="E3461" s="486">
        <v>31.93</v>
      </c>
    </row>
    <row r="3462" spans="1:5" ht="30">
      <c r="A3462" s="495">
        <v>92931</v>
      </c>
      <c r="B3462" s="348" t="s">
        <v>17665</v>
      </c>
      <c r="C3462" s="349" t="s">
        <v>65</v>
      </c>
      <c r="D3462" s="483">
        <v>41.31</v>
      </c>
      <c r="E3462" s="483">
        <v>41.31</v>
      </c>
    </row>
    <row r="3463" spans="1:5" ht="30">
      <c r="A3463" s="494">
        <v>92932</v>
      </c>
      <c r="B3463" s="485" t="s">
        <v>17666</v>
      </c>
      <c r="C3463" s="484" t="s">
        <v>65</v>
      </c>
      <c r="D3463" s="486">
        <v>41.31</v>
      </c>
      <c r="E3463" s="486">
        <v>41.31</v>
      </c>
    </row>
    <row r="3464" spans="1:5" ht="30">
      <c r="A3464" s="495">
        <v>92933</v>
      </c>
      <c r="B3464" s="348" t="s">
        <v>17667</v>
      </c>
      <c r="C3464" s="349" t="s">
        <v>65</v>
      </c>
      <c r="D3464" s="483">
        <v>41.31</v>
      </c>
      <c r="E3464" s="483">
        <v>41.31</v>
      </c>
    </row>
    <row r="3465" spans="1:5" ht="45">
      <c r="A3465" s="494">
        <v>92934</v>
      </c>
      <c r="B3465" s="485" t="s">
        <v>17668</v>
      </c>
      <c r="C3465" s="484" t="s">
        <v>65</v>
      </c>
      <c r="D3465" s="486">
        <v>59.02</v>
      </c>
      <c r="E3465" s="486">
        <v>59.02</v>
      </c>
    </row>
    <row r="3466" spans="1:5" ht="30">
      <c r="A3466" s="495">
        <v>92935</v>
      </c>
      <c r="B3466" s="348" t="s">
        <v>17669</v>
      </c>
      <c r="C3466" s="349" t="s">
        <v>65</v>
      </c>
      <c r="D3466" s="483">
        <v>59.02</v>
      </c>
      <c r="E3466" s="483">
        <v>59.02</v>
      </c>
    </row>
    <row r="3467" spans="1:5" ht="30">
      <c r="A3467" s="494">
        <v>92936</v>
      </c>
      <c r="B3467" s="485" t="s">
        <v>17670</v>
      </c>
      <c r="C3467" s="484" t="s">
        <v>65</v>
      </c>
      <c r="D3467" s="486">
        <v>79.89</v>
      </c>
      <c r="E3467" s="486">
        <v>79.89</v>
      </c>
    </row>
    <row r="3468" spans="1:5" ht="30">
      <c r="A3468" s="495">
        <v>92937</v>
      </c>
      <c r="B3468" s="348" t="s">
        <v>17671</v>
      </c>
      <c r="C3468" s="349" t="s">
        <v>65</v>
      </c>
      <c r="D3468" s="483">
        <v>79.89</v>
      </c>
      <c r="E3468" s="483">
        <v>79.89</v>
      </c>
    </row>
    <row r="3469" spans="1:5" ht="30">
      <c r="A3469" s="494">
        <v>92938</v>
      </c>
      <c r="B3469" s="485" t="s">
        <v>17672</v>
      </c>
      <c r="C3469" s="484" t="s">
        <v>65</v>
      </c>
      <c r="D3469" s="486">
        <v>16.86</v>
      </c>
      <c r="E3469" s="486">
        <v>16.86</v>
      </c>
    </row>
    <row r="3470" spans="1:5" ht="30">
      <c r="A3470" s="495">
        <v>92939</v>
      </c>
      <c r="B3470" s="348" t="s">
        <v>17673</v>
      </c>
      <c r="C3470" s="349" t="s">
        <v>65</v>
      </c>
      <c r="D3470" s="483">
        <v>16.989999999999998</v>
      </c>
      <c r="E3470" s="483">
        <v>16.989999999999998</v>
      </c>
    </row>
    <row r="3471" spans="1:5" ht="30">
      <c r="A3471" s="494">
        <v>92940</v>
      </c>
      <c r="B3471" s="485" t="s">
        <v>17674</v>
      </c>
      <c r="C3471" s="484" t="s">
        <v>65</v>
      </c>
      <c r="D3471" s="486">
        <v>20.9</v>
      </c>
      <c r="E3471" s="486">
        <v>20.9</v>
      </c>
    </row>
    <row r="3472" spans="1:5" ht="45">
      <c r="A3472" s="495">
        <v>92941</v>
      </c>
      <c r="B3472" s="348" t="s">
        <v>17675</v>
      </c>
      <c r="C3472" s="349" t="s">
        <v>65</v>
      </c>
      <c r="D3472" s="483">
        <v>20.89</v>
      </c>
      <c r="E3472" s="483">
        <v>20.89</v>
      </c>
    </row>
    <row r="3473" spans="1:5" ht="45">
      <c r="A3473" s="494">
        <v>92942</v>
      </c>
      <c r="B3473" s="485" t="s">
        <v>17676</v>
      </c>
      <c r="C3473" s="484" t="s">
        <v>65</v>
      </c>
      <c r="D3473" s="486">
        <v>20.89</v>
      </c>
      <c r="E3473" s="486">
        <v>20.89</v>
      </c>
    </row>
    <row r="3474" spans="1:5" ht="45">
      <c r="A3474" s="495">
        <v>92943</v>
      </c>
      <c r="B3474" s="348" t="s">
        <v>17677</v>
      </c>
      <c r="C3474" s="349" t="s">
        <v>65</v>
      </c>
      <c r="D3474" s="483">
        <v>23.66</v>
      </c>
      <c r="E3474" s="483">
        <v>23.66</v>
      </c>
    </row>
    <row r="3475" spans="1:5" ht="30">
      <c r="A3475" s="494">
        <v>92944</v>
      </c>
      <c r="B3475" s="485" t="s">
        <v>17678</v>
      </c>
      <c r="C3475" s="484" t="s">
        <v>65</v>
      </c>
      <c r="D3475" s="486">
        <v>23.66</v>
      </c>
      <c r="E3475" s="486">
        <v>23.66</v>
      </c>
    </row>
    <row r="3476" spans="1:5" ht="45">
      <c r="A3476" s="495">
        <v>92945</v>
      </c>
      <c r="B3476" s="348" t="s">
        <v>17679</v>
      </c>
      <c r="C3476" s="349" t="s">
        <v>65</v>
      </c>
      <c r="D3476" s="483">
        <v>23.66</v>
      </c>
      <c r="E3476" s="483">
        <v>23.66</v>
      </c>
    </row>
    <row r="3477" spans="1:5" ht="30">
      <c r="A3477" s="494">
        <v>92946</v>
      </c>
      <c r="B3477" s="485" t="s">
        <v>17680</v>
      </c>
      <c r="C3477" s="484" t="s">
        <v>65</v>
      </c>
      <c r="D3477" s="486">
        <v>31.8</v>
      </c>
      <c r="E3477" s="486">
        <v>31.8</v>
      </c>
    </row>
    <row r="3478" spans="1:5" ht="30">
      <c r="A3478" s="495">
        <v>92947</v>
      </c>
      <c r="B3478" s="348" t="s">
        <v>17681</v>
      </c>
      <c r="C3478" s="349" t="s">
        <v>65</v>
      </c>
      <c r="D3478" s="483">
        <v>31.8</v>
      </c>
      <c r="E3478" s="483">
        <v>31.8</v>
      </c>
    </row>
    <row r="3479" spans="1:5" ht="30">
      <c r="A3479" s="494">
        <v>92948</v>
      </c>
      <c r="B3479" s="485" t="s">
        <v>17682</v>
      </c>
      <c r="C3479" s="484" t="s">
        <v>65</v>
      </c>
      <c r="D3479" s="486">
        <v>31.8</v>
      </c>
      <c r="E3479" s="486">
        <v>31.8</v>
      </c>
    </row>
    <row r="3480" spans="1:5" ht="45">
      <c r="A3480" s="495">
        <v>92949</v>
      </c>
      <c r="B3480" s="348" t="s">
        <v>17683</v>
      </c>
      <c r="C3480" s="349" t="s">
        <v>65</v>
      </c>
      <c r="D3480" s="483">
        <v>47.63</v>
      </c>
      <c r="E3480" s="483">
        <v>47.63</v>
      </c>
    </row>
    <row r="3481" spans="1:5" ht="30">
      <c r="A3481" s="494">
        <v>92950</v>
      </c>
      <c r="B3481" s="485" t="s">
        <v>17684</v>
      </c>
      <c r="C3481" s="484" t="s">
        <v>65</v>
      </c>
      <c r="D3481" s="486">
        <v>47.63</v>
      </c>
      <c r="E3481" s="486">
        <v>47.63</v>
      </c>
    </row>
    <row r="3482" spans="1:5" ht="30">
      <c r="A3482" s="495">
        <v>92951</v>
      </c>
      <c r="B3482" s="348" t="s">
        <v>17685</v>
      </c>
      <c r="C3482" s="349" t="s">
        <v>65</v>
      </c>
      <c r="D3482" s="483">
        <v>66.63</v>
      </c>
      <c r="E3482" s="483">
        <v>66.63</v>
      </c>
    </row>
    <row r="3483" spans="1:5" ht="30">
      <c r="A3483" s="494">
        <v>92952</v>
      </c>
      <c r="B3483" s="485" t="s">
        <v>17686</v>
      </c>
      <c r="C3483" s="484" t="s">
        <v>65</v>
      </c>
      <c r="D3483" s="486">
        <v>66.63</v>
      </c>
      <c r="E3483" s="486">
        <v>66.63</v>
      </c>
    </row>
    <row r="3484" spans="1:5" ht="30">
      <c r="A3484" s="495">
        <v>92953</v>
      </c>
      <c r="B3484" s="348" t="s">
        <v>724</v>
      </c>
      <c r="C3484" s="349" t="s">
        <v>65</v>
      </c>
      <c r="D3484" s="483">
        <v>14.89</v>
      </c>
      <c r="E3484" s="483">
        <v>14.89</v>
      </c>
    </row>
    <row r="3485" spans="1:5" ht="30">
      <c r="A3485" s="494">
        <v>93050</v>
      </c>
      <c r="B3485" s="485" t="s">
        <v>17687</v>
      </c>
      <c r="C3485" s="484" t="s">
        <v>65</v>
      </c>
      <c r="D3485" s="486">
        <v>6.47</v>
      </c>
      <c r="E3485" s="486">
        <v>6.47</v>
      </c>
    </row>
    <row r="3486" spans="1:5" ht="30">
      <c r="A3486" s="495">
        <v>93051</v>
      </c>
      <c r="B3486" s="348" t="s">
        <v>17688</v>
      </c>
      <c r="C3486" s="349" t="s">
        <v>65</v>
      </c>
      <c r="D3486" s="483">
        <v>6.04</v>
      </c>
      <c r="E3486" s="483">
        <v>6.04</v>
      </c>
    </row>
    <row r="3487" spans="1:5" ht="30">
      <c r="A3487" s="494">
        <v>93052</v>
      </c>
      <c r="B3487" s="485" t="s">
        <v>17689</v>
      </c>
      <c r="C3487" s="484" t="s">
        <v>65</v>
      </c>
      <c r="D3487" s="486">
        <v>246.5</v>
      </c>
      <c r="E3487" s="486">
        <v>246.5</v>
      </c>
    </row>
    <row r="3488" spans="1:5" ht="30">
      <c r="A3488" s="495">
        <v>93054</v>
      </c>
      <c r="B3488" s="348" t="s">
        <v>17690</v>
      </c>
      <c r="C3488" s="349" t="s">
        <v>65</v>
      </c>
      <c r="D3488" s="483">
        <v>11.47</v>
      </c>
      <c r="E3488" s="483">
        <v>11.47</v>
      </c>
    </row>
    <row r="3489" spans="1:5" ht="30">
      <c r="A3489" s="494">
        <v>93055</v>
      </c>
      <c r="B3489" s="485" t="s">
        <v>17691</v>
      </c>
      <c r="C3489" s="484" t="s">
        <v>65</v>
      </c>
      <c r="D3489" s="486">
        <v>22.37</v>
      </c>
      <c r="E3489" s="486">
        <v>22.37</v>
      </c>
    </row>
    <row r="3490" spans="1:5" ht="30">
      <c r="A3490" s="495">
        <v>93056</v>
      </c>
      <c r="B3490" s="348" t="s">
        <v>17692</v>
      </c>
      <c r="C3490" s="349" t="s">
        <v>65</v>
      </c>
      <c r="D3490" s="483">
        <v>9.18</v>
      </c>
      <c r="E3490" s="483">
        <v>9.18</v>
      </c>
    </row>
    <row r="3491" spans="1:5" ht="30">
      <c r="A3491" s="494">
        <v>93057</v>
      </c>
      <c r="B3491" s="485" t="s">
        <v>17693</v>
      </c>
      <c r="C3491" s="484" t="s">
        <v>65</v>
      </c>
      <c r="D3491" s="486">
        <v>8.16</v>
      </c>
      <c r="E3491" s="486">
        <v>8.16</v>
      </c>
    </row>
    <row r="3492" spans="1:5" ht="30">
      <c r="A3492" s="495">
        <v>93058</v>
      </c>
      <c r="B3492" s="348" t="s">
        <v>17694</v>
      </c>
      <c r="C3492" s="349" t="s">
        <v>65</v>
      </c>
      <c r="D3492" s="483">
        <v>271.14999999999998</v>
      </c>
      <c r="E3492" s="483">
        <v>271.14999999999998</v>
      </c>
    </row>
    <row r="3493" spans="1:5" ht="30">
      <c r="A3493" s="494">
        <v>93059</v>
      </c>
      <c r="B3493" s="485" t="s">
        <v>17695</v>
      </c>
      <c r="C3493" s="484" t="s">
        <v>65</v>
      </c>
      <c r="D3493" s="486">
        <v>15.56</v>
      </c>
      <c r="E3493" s="486">
        <v>15.56</v>
      </c>
    </row>
    <row r="3494" spans="1:5" ht="30">
      <c r="A3494" s="495">
        <v>93060</v>
      </c>
      <c r="B3494" s="348" t="s">
        <v>17696</v>
      </c>
      <c r="C3494" s="349" t="s">
        <v>65</v>
      </c>
      <c r="D3494" s="483">
        <v>38.409999999999997</v>
      </c>
      <c r="E3494" s="483">
        <v>38.409999999999997</v>
      </c>
    </row>
    <row r="3495" spans="1:5" ht="30">
      <c r="A3495" s="494">
        <v>93061</v>
      </c>
      <c r="B3495" s="485" t="s">
        <v>17697</v>
      </c>
      <c r="C3495" s="484" t="s">
        <v>65</v>
      </c>
      <c r="D3495" s="486">
        <v>16.36</v>
      </c>
      <c r="E3495" s="486">
        <v>16.36</v>
      </c>
    </row>
    <row r="3496" spans="1:5" ht="30">
      <c r="A3496" s="495">
        <v>93062</v>
      </c>
      <c r="B3496" s="348" t="s">
        <v>17698</v>
      </c>
      <c r="C3496" s="349" t="s">
        <v>65</v>
      </c>
      <c r="D3496" s="483">
        <v>14.38</v>
      </c>
      <c r="E3496" s="483">
        <v>14.38</v>
      </c>
    </row>
    <row r="3497" spans="1:5" ht="30">
      <c r="A3497" s="494">
        <v>93063</v>
      </c>
      <c r="B3497" s="485" t="s">
        <v>6546</v>
      </c>
      <c r="C3497" s="484" t="s">
        <v>65</v>
      </c>
      <c r="D3497" s="486">
        <v>310.58999999999997</v>
      </c>
      <c r="E3497" s="486">
        <v>310.58999999999997</v>
      </c>
    </row>
    <row r="3498" spans="1:5" ht="30">
      <c r="A3498" s="495">
        <v>93064</v>
      </c>
      <c r="B3498" s="348" t="s">
        <v>17699</v>
      </c>
      <c r="C3498" s="349" t="s">
        <v>65</v>
      </c>
      <c r="D3498" s="483">
        <v>24.64</v>
      </c>
      <c r="E3498" s="483">
        <v>24.64</v>
      </c>
    </row>
    <row r="3499" spans="1:5" ht="30">
      <c r="A3499" s="494">
        <v>93065</v>
      </c>
      <c r="B3499" s="485" t="s">
        <v>17700</v>
      </c>
      <c r="C3499" s="484" t="s">
        <v>65</v>
      </c>
      <c r="D3499" s="486">
        <v>23.18</v>
      </c>
      <c r="E3499" s="486">
        <v>23.18</v>
      </c>
    </row>
    <row r="3500" spans="1:5" ht="30">
      <c r="A3500" s="495">
        <v>93066</v>
      </c>
      <c r="B3500" s="348" t="s">
        <v>6547</v>
      </c>
      <c r="C3500" s="349" t="s">
        <v>65</v>
      </c>
      <c r="D3500" s="483">
        <v>389.67</v>
      </c>
      <c r="E3500" s="483">
        <v>389.67</v>
      </c>
    </row>
    <row r="3501" spans="1:5" ht="30">
      <c r="A3501" s="494">
        <v>93067</v>
      </c>
      <c r="B3501" s="485" t="s">
        <v>17701</v>
      </c>
      <c r="C3501" s="484" t="s">
        <v>65</v>
      </c>
      <c r="D3501" s="486">
        <v>36.14</v>
      </c>
      <c r="E3501" s="486">
        <v>36.14</v>
      </c>
    </row>
    <row r="3502" spans="1:5" ht="30">
      <c r="A3502" s="495">
        <v>93068</v>
      </c>
      <c r="B3502" s="348" t="s">
        <v>17702</v>
      </c>
      <c r="C3502" s="349" t="s">
        <v>65</v>
      </c>
      <c r="D3502" s="483">
        <v>31.85</v>
      </c>
      <c r="E3502" s="483">
        <v>31.85</v>
      </c>
    </row>
    <row r="3503" spans="1:5" ht="30">
      <c r="A3503" s="494">
        <v>93069</v>
      </c>
      <c r="B3503" s="485" t="s">
        <v>6548</v>
      </c>
      <c r="C3503" s="484" t="s">
        <v>65</v>
      </c>
      <c r="D3503" s="486">
        <v>539.78</v>
      </c>
      <c r="E3503" s="486">
        <v>539.78</v>
      </c>
    </row>
    <row r="3504" spans="1:5" ht="30">
      <c r="A3504" s="495">
        <v>93070</v>
      </c>
      <c r="B3504" s="348" t="s">
        <v>17703</v>
      </c>
      <c r="C3504" s="349" t="s">
        <v>65</v>
      </c>
      <c r="D3504" s="483">
        <v>88.73</v>
      </c>
      <c r="E3504" s="483">
        <v>88.73</v>
      </c>
    </row>
    <row r="3505" spans="1:5" ht="30">
      <c r="A3505" s="494">
        <v>93071</v>
      </c>
      <c r="B3505" s="485" t="s">
        <v>17704</v>
      </c>
      <c r="C3505" s="484" t="s">
        <v>65</v>
      </c>
      <c r="D3505" s="486">
        <v>82.55</v>
      </c>
      <c r="E3505" s="486">
        <v>82.55</v>
      </c>
    </row>
    <row r="3506" spans="1:5" ht="30">
      <c r="A3506" s="495">
        <v>93072</v>
      </c>
      <c r="B3506" s="348" t="s">
        <v>6549</v>
      </c>
      <c r="C3506" s="349" t="s">
        <v>65</v>
      </c>
      <c r="D3506" s="483">
        <v>711.95</v>
      </c>
      <c r="E3506" s="483">
        <v>711.95</v>
      </c>
    </row>
    <row r="3507" spans="1:5" ht="30">
      <c r="A3507" s="494">
        <v>93073</v>
      </c>
      <c r="B3507" s="485" t="s">
        <v>17705</v>
      </c>
      <c r="C3507" s="484" t="s">
        <v>65</v>
      </c>
      <c r="D3507" s="486">
        <v>41.13</v>
      </c>
      <c r="E3507" s="486">
        <v>41.13</v>
      </c>
    </row>
    <row r="3508" spans="1:5" ht="30">
      <c r="A3508" s="495">
        <v>93074</v>
      </c>
      <c r="B3508" s="348" t="s">
        <v>17706</v>
      </c>
      <c r="C3508" s="349" t="s">
        <v>65</v>
      </c>
      <c r="D3508" s="483">
        <v>8.16</v>
      </c>
      <c r="E3508" s="483">
        <v>8.16</v>
      </c>
    </row>
    <row r="3509" spans="1:5" ht="30">
      <c r="A3509" s="494">
        <v>93075</v>
      </c>
      <c r="B3509" s="485" t="s">
        <v>17707</v>
      </c>
      <c r="C3509" s="484" t="s">
        <v>65</v>
      </c>
      <c r="D3509" s="486">
        <v>12.24</v>
      </c>
      <c r="E3509" s="486">
        <v>12.24</v>
      </c>
    </row>
    <row r="3510" spans="1:5" ht="30">
      <c r="A3510" s="495">
        <v>93076</v>
      </c>
      <c r="B3510" s="348" t="s">
        <v>17708</v>
      </c>
      <c r="C3510" s="349" t="s">
        <v>65</v>
      </c>
      <c r="D3510" s="483">
        <v>12.22</v>
      </c>
      <c r="E3510" s="483">
        <v>12.22</v>
      </c>
    </row>
    <row r="3511" spans="1:5" ht="30">
      <c r="A3511" s="494">
        <v>93077</v>
      </c>
      <c r="B3511" s="485" t="s">
        <v>17709</v>
      </c>
      <c r="C3511" s="484" t="s">
        <v>65</v>
      </c>
      <c r="D3511" s="486">
        <v>16.8</v>
      </c>
      <c r="E3511" s="486">
        <v>16.8</v>
      </c>
    </row>
    <row r="3512" spans="1:5" ht="30">
      <c r="A3512" s="495">
        <v>93078</v>
      </c>
      <c r="B3512" s="348" t="s">
        <v>17710</v>
      </c>
      <c r="C3512" s="349" t="s">
        <v>65</v>
      </c>
      <c r="D3512" s="483">
        <v>18</v>
      </c>
      <c r="E3512" s="483">
        <v>18</v>
      </c>
    </row>
    <row r="3513" spans="1:5" ht="30">
      <c r="A3513" s="494">
        <v>93079</v>
      </c>
      <c r="B3513" s="485" t="s">
        <v>17711</v>
      </c>
      <c r="C3513" s="484" t="s">
        <v>65</v>
      </c>
      <c r="D3513" s="486">
        <v>16.41</v>
      </c>
      <c r="E3513" s="486">
        <v>16.41</v>
      </c>
    </row>
    <row r="3514" spans="1:5" ht="30">
      <c r="A3514" s="495">
        <v>93080</v>
      </c>
      <c r="B3514" s="348" t="s">
        <v>17712</v>
      </c>
      <c r="C3514" s="349" t="s">
        <v>65</v>
      </c>
      <c r="D3514" s="483">
        <v>5.34</v>
      </c>
      <c r="E3514" s="483">
        <v>5.34</v>
      </c>
    </row>
    <row r="3515" spans="1:5" ht="30">
      <c r="A3515" s="494">
        <v>93081</v>
      </c>
      <c r="B3515" s="485" t="s">
        <v>17713</v>
      </c>
      <c r="C3515" s="484" t="s">
        <v>65</v>
      </c>
      <c r="D3515" s="486">
        <v>10.52</v>
      </c>
      <c r="E3515" s="486">
        <v>10.52</v>
      </c>
    </row>
    <row r="3516" spans="1:5" ht="30">
      <c r="A3516" s="495">
        <v>93082</v>
      </c>
      <c r="B3516" s="348" t="s">
        <v>17714</v>
      </c>
      <c r="C3516" s="349" t="s">
        <v>65</v>
      </c>
      <c r="D3516" s="483">
        <v>12.58</v>
      </c>
      <c r="E3516" s="483">
        <v>12.58</v>
      </c>
    </row>
    <row r="3517" spans="1:5" ht="30">
      <c r="A3517" s="494">
        <v>93083</v>
      </c>
      <c r="B3517" s="485" t="s">
        <v>17715</v>
      </c>
      <c r="C3517" s="484" t="s">
        <v>65</v>
      </c>
      <c r="D3517" s="486">
        <v>213.69</v>
      </c>
      <c r="E3517" s="486">
        <v>213.69</v>
      </c>
    </row>
    <row r="3518" spans="1:5" ht="30">
      <c r="A3518" s="495">
        <v>93084</v>
      </c>
      <c r="B3518" s="348" t="s">
        <v>17716</v>
      </c>
      <c r="C3518" s="349" t="s">
        <v>65</v>
      </c>
      <c r="D3518" s="483">
        <v>8.1</v>
      </c>
      <c r="E3518" s="483">
        <v>8.1</v>
      </c>
    </row>
    <row r="3519" spans="1:5" ht="30">
      <c r="A3519" s="494">
        <v>93085</v>
      </c>
      <c r="B3519" s="485" t="s">
        <v>17717</v>
      </c>
      <c r="C3519" s="484" t="s">
        <v>65</v>
      </c>
      <c r="D3519" s="486">
        <v>7.67</v>
      </c>
      <c r="E3519" s="486">
        <v>7.67</v>
      </c>
    </row>
    <row r="3520" spans="1:5" ht="30">
      <c r="A3520" s="495">
        <v>93086</v>
      </c>
      <c r="B3520" s="348" t="s">
        <v>17718</v>
      </c>
      <c r="C3520" s="349" t="s">
        <v>65</v>
      </c>
      <c r="D3520" s="483">
        <v>248.13</v>
      </c>
      <c r="E3520" s="483">
        <v>248.13</v>
      </c>
    </row>
    <row r="3521" spans="1:5" ht="30">
      <c r="A3521" s="494">
        <v>93087</v>
      </c>
      <c r="B3521" s="485" t="s">
        <v>17719</v>
      </c>
      <c r="C3521" s="484" t="s">
        <v>65</v>
      </c>
      <c r="D3521" s="486">
        <v>11.51</v>
      </c>
      <c r="E3521" s="486">
        <v>11.51</v>
      </c>
    </row>
    <row r="3522" spans="1:5" ht="30">
      <c r="A3522" s="495">
        <v>93088</v>
      </c>
      <c r="B3522" s="348" t="s">
        <v>17720</v>
      </c>
      <c r="C3522" s="349" t="s">
        <v>65</v>
      </c>
      <c r="D3522" s="483">
        <v>13.1</v>
      </c>
      <c r="E3522" s="483">
        <v>13.1</v>
      </c>
    </row>
    <row r="3523" spans="1:5" ht="30">
      <c r="A3523" s="494">
        <v>93089</v>
      </c>
      <c r="B3523" s="485" t="s">
        <v>17721</v>
      </c>
      <c r="C3523" s="484" t="s">
        <v>65</v>
      </c>
      <c r="D3523" s="486">
        <v>24</v>
      </c>
      <c r="E3523" s="486">
        <v>24</v>
      </c>
    </row>
    <row r="3524" spans="1:5" ht="30">
      <c r="A3524" s="495">
        <v>93090</v>
      </c>
      <c r="B3524" s="348" t="s">
        <v>17722</v>
      </c>
      <c r="C3524" s="349" t="s">
        <v>65</v>
      </c>
      <c r="D3524" s="483">
        <v>10.8</v>
      </c>
      <c r="E3524" s="483">
        <v>10.8</v>
      </c>
    </row>
    <row r="3525" spans="1:5" ht="30">
      <c r="A3525" s="494">
        <v>93091</v>
      </c>
      <c r="B3525" s="485" t="s">
        <v>17723</v>
      </c>
      <c r="C3525" s="484" t="s">
        <v>65</v>
      </c>
      <c r="D3525" s="486">
        <v>9.7799999999999994</v>
      </c>
      <c r="E3525" s="486">
        <v>9.7799999999999994</v>
      </c>
    </row>
    <row r="3526" spans="1:5" ht="30">
      <c r="A3526" s="495">
        <v>93092</v>
      </c>
      <c r="B3526" s="348" t="s">
        <v>17724</v>
      </c>
      <c r="C3526" s="349" t="s">
        <v>65</v>
      </c>
      <c r="D3526" s="483">
        <v>272.77</v>
      </c>
      <c r="E3526" s="483">
        <v>272.77</v>
      </c>
    </row>
    <row r="3527" spans="1:5" ht="30">
      <c r="A3527" s="494">
        <v>93093</v>
      </c>
      <c r="B3527" s="485" t="s">
        <v>17725</v>
      </c>
      <c r="C3527" s="484" t="s">
        <v>65</v>
      </c>
      <c r="D3527" s="486">
        <v>17.18</v>
      </c>
      <c r="E3527" s="486">
        <v>17.18</v>
      </c>
    </row>
    <row r="3528" spans="1:5" ht="30">
      <c r="A3528" s="495">
        <v>93094</v>
      </c>
      <c r="B3528" s="348" t="s">
        <v>17726</v>
      </c>
      <c r="C3528" s="349" t="s">
        <v>65</v>
      </c>
      <c r="D3528" s="483">
        <v>40.03</v>
      </c>
      <c r="E3528" s="483">
        <v>40.03</v>
      </c>
    </row>
    <row r="3529" spans="1:5" ht="45">
      <c r="A3529" s="494">
        <v>93095</v>
      </c>
      <c r="B3529" s="485" t="s">
        <v>17727</v>
      </c>
      <c r="C3529" s="484" t="s">
        <v>65</v>
      </c>
      <c r="D3529" s="486">
        <v>31.64</v>
      </c>
      <c r="E3529" s="486">
        <v>31.64</v>
      </c>
    </row>
    <row r="3530" spans="1:5" ht="45">
      <c r="A3530" s="495">
        <v>93096</v>
      </c>
      <c r="B3530" s="348" t="s">
        <v>17728</v>
      </c>
      <c r="C3530" s="349" t="s">
        <v>65</v>
      </c>
      <c r="D3530" s="483">
        <v>44.31</v>
      </c>
      <c r="E3530" s="483">
        <v>44.31</v>
      </c>
    </row>
    <row r="3531" spans="1:5" ht="30">
      <c r="A3531" s="494">
        <v>93097</v>
      </c>
      <c r="B3531" s="485" t="s">
        <v>17729</v>
      </c>
      <c r="C3531" s="484" t="s">
        <v>65</v>
      </c>
      <c r="D3531" s="486">
        <v>8.34</v>
      </c>
      <c r="E3531" s="486">
        <v>8.34</v>
      </c>
    </row>
    <row r="3532" spans="1:5" ht="30">
      <c r="A3532" s="495">
        <v>93098</v>
      </c>
      <c r="B3532" s="348" t="s">
        <v>17730</v>
      </c>
      <c r="C3532" s="349" t="s">
        <v>65</v>
      </c>
      <c r="D3532" s="483">
        <v>12.42</v>
      </c>
      <c r="E3532" s="483">
        <v>12.42</v>
      </c>
    </row>
    <row r="3533" spans="1:5" ht="30">
      <c r="A3533" s="494">
        <v>93099</v>
      </c>
      <c r="B3533" s="485" t="s">
        <v>17731</v>
      </c>
      <c r="C3533" s="484" t="s">
        <v>65</v>
      </c>
      <c r="D3533" s="486">
        <v>14.44</v>
      </c>
      <c r="E3533" s="486">
        <v>14.44</v>
      </c>
    </row>
    <row r="3534" spans="1:5" ht="30">
      <c r="A3534" s="495">
        <v>93100</v>
      </c>
      <c r="B3534" s="348" t="s">
        <v>17732</v>
      </c>
      <c r="C3534" s="349" t="s">
        <v>65</v>
      </c>
      <c r="D3534" s="483">
        <v>19.02</v>
      </c>
      <c r="E3534" s="483">
        <v>19.02</v>
      </c>
    </row>
    <row r="3535" spans="1:5" ht="30">
      <c r="A3535" s="494">
        <v>93101</v>
      </c>
      <c r="B3535" s="485" t="s">
        <v>17733</v>
      </c>
      <c r="C3535" s="484" t="s">
        <v>65</v>
      </c>
      <c r="D3535" s="486">
        <v>20.22</v>
      </c>
      <c r="E3535" s="486">
        <v>20.22</v>
      </c>
    </row>
    <row r="3536" spans="1:5" ht="30">
      <c r="A3536" s="495">
        <v>93102</v>
      </c>
      <c r="B3536" s="348" t="s">
        <v>17734</v>
      </c>
      <c r="C3536" s="349" t="s">
        <v>65</v>
      </c>
      <c r="D3536" s="483">
        <v>18.64</v>
      </c>
      <c r="E3536" s="483">
        <v>18.64</v>
      </c>
    </row>
    <row r="3537" spans="1:5" ht="30">
      <c r="A3537" s="494">
        <v>93103</v>
      </c>
      <c r="B3537" s="485" t="s">
        <v>17735</v>
      </c>
      <c r="C3537" s="484" t="s">
        <v>65</v>
      </c>
      <c r="D3537" s="486">
        <v>5.49</v>
      </c>
      <c r="E3537" s="486">
        <v>5.49</v>
      </c>
    </row>
    <row r="3538" spans="1:5" ht="30">
      <c r="A3538" s="495">
        <v>93104</v>
      </c>
      <c r="B3538" s="348" t="s">
        <v>17736</v>
      </c>
      <c r="C3538" s="349" t="s">
        <v>65</v>
      </c>
      <c r="D3538" s="483">
        <v>10.67</v>
      </c>
      <c r="E3538" s="483">
        <v>10.67</v>
      </c>
    </row>
    <row r="3539" spans="1:5" ht="30">
      <c r="A3539" s="494">
        <v>93105</v>
      </c>
      <c r="B3539" s="485" t="s">
        <v>17737</v>
      </c>
      <c r="C3539" s="484" t="s">
        <v>65</v>
      </c>
      <c r="D3539" s="486">
        <v>12.73</v>
      </c>
      <c r="E3539" s="486">
        <v>12.73</v>
      </c>
    </row>
    <row r="3540" spans="1:5" ht="30">
      <c r="A3540" s="495">
        <v>93106</v>
      </c>
      <c r="B3540" s="348" t="s">
        <v>17738</v>
      </c>
      <c r="C3540" s="349" t="s">
        <v>65</v>
      </c>
      <c r="D3540" s="483">
        <v>213.84</v>
      </c>
      <c r="E3540" s="483">
        <v>213.84</v>
      </c>
    </row>
    <row r="3541" spans="1:5" ht="30">
      <c r="A3541" s="494">
        <v>93107</v>
      </c>
      <c r="B3541" s="485" t="s">
        <v>17739</v>
      </c>
      <c r="C3541" s="484" t="s">
        <v>65</v>
      </c>
      <c r="D3541" s="486">
        <v>9.5500000000000007</v>
      </c>
      <c r="E3541" s="486">
        <v>9.5500000000000007</v>
      </c>
    </row>
    <row r="3542" spans="1:5" ht="30">
      <c r="A3542" s="495">
        <v>93108</v>
      </c>
      <c r="B3542" s="348" t="s">
        <v>17740</v>
      </c>
      <c r="C3542" s="349" t="s">
        <v>65</v>
      </c>
      <c r="D3542" s="483">
        <v>9.1199999999999992</v>
      </c>
      <c r="E3542" s="483">
        <v>9.1199999999999992</v>
      </c>
    </row>
    <row r="3543" spans="1:5" ht="30">
      <c r="A3543" s="494">
        <v>93109</v>
      </c>
      <c r="B3543" s="485" t="s">
        <v>6550</v>
      </c>
      <c r="C3543" s="484" t="s">
        <v>65</v>
      </c>
      <c r="D3543" s="486">
        <v>249.58</v>
      </c>
      <c r="E3543" s="486">
        <v>249.58</v>
      </c>
    </row>
    <row r="3544" spans="1:5" ht="30">
      <c r="A3544" s="495">
        <v>93110</v>
      </c>
      <c r="B3544" s="348" t="s">
        <v>17741</v>
      </c>
      <c r="C3544" s="349" t="s">
        <v>65</v>
      </c>
      <c r="D3544" s="483">
        <v>12.96</v>
      </c>
      <c r="E3544" s="483">
        <v>12.96</v>
      </c>
    </row>
    <row r="3545" spans="1:5" ht="30">
      <c r="A3545" s="494">
        <v>93111</v>
      </c>
      <c r="B3545" s="485" t="s">
        <v>17742</v>
      </c>
      <c r="C3545" s="484" t="s">
        <v>65</v>
      </c>
      <c r="D3545" s="486">
        <v>14.55</v>
      </c>
      <c r="E3545" s="486">
        <v>14.55</v>
      </c>
    </row>
    <row r="3546" spans="1:5" ht="30">
      <c r="A3546" s="495">
        <v>93112</v>
      </c>
      <c r="B3546" s="348" t="s">
        <v>17743</v>
      </c>
      <c r="C3546" s="349" t="s">
        <v>65</v>
      </c>
      <c r="D3546" s="483">
        <v>25.45</v>
      </c>
      <c r="E3546" s="483">
        <v>25.45</v>
      </c>
    </row>
    <row r="3547" spans="1:5" ht="30">
      <c r="A3547" s="494">
        <v>93113</v>
      </c>
      <c r="B3547" s="485" t="s">
        <v>17744</v>
      </c>
      <c r="C3547" s="484" t="s">
        <v>65</v>
      </c>
      <c r="D3547" s="486">
        <v>13.42</v>
      </c>
      <c r="E3547" s="486">
        <v>13.42</v>
      </c>
    </row>
    <row r="3548" spans="1:5" ht="30">
      <c r="A3548" s="495">
        <v>93114</v>
      </c>
      <c r="B3548" s="348" t="s">
        <v>17745</v>
      </c>
      <c r="C3548" s="349" t="s">
        <v>65</v>
      </c>
      <c r="D3548" s="483">
        <v>19.8</v>
      </c>
      <c r="E3548" s="483">
        <v>19.8</v>
      </c>
    </row>
    <row r="3549" spans="1:5" ht="30">
      <c r="A3549" s="494">
        <v>93115</v>
      </c>
      <c r="B3549" s="485" t="s">
        <v>17746</v>
      </c>
      <c r="C3549" s="484" t="s">
        <v>65</v>
      </c>
      <c r="D3549" s="486">
        <v>42.65</v>
      </c>
      <c r="E3549" s="486">
        <v>42.65</v>
      </c>
    </row>
    <row r="3550" spans="1:5" ht="30">
      <c r="A3550" s="495">
        <v>93116</v>
      </c>
      <c r="B3550" s="348" t="s">
        <v>17747</v>
      </c>
      <c r="C3550" s="349" t="s">
        <v>65</v>
      </c>
      <c r="D3550" s="483">
        <v>275.39</v>
      </c>
      <c r="E3550" s="483">
        <v>275.39</v>
      </c>
    </row>
    <row r="3551" spans="1:5" ht="30">
      <c r="A3551" s="494">
        <v>93117</v>
      </c>
      <c r="B3551" s="485" t="s">
        <v>17748</v>
      </c>
      <c r="C3551" s="484" t="s">
        <v>65</v>
      </c>
      <c r="D3551" s="486">
        <v>31.88</v>
      </c>
      <c r="E3551" s="486">
        <v>31.88</v>
      </c>
    </row>
    <row r="3552" spans="1:5" ht="30">
      <c r="A3552" s="495">
        <v>93118</v>
      </c>
      <c r="B3552" s="348" t="s">
        <v>17749</v>
      </c>
      <c r="C3552" s="349" t="s">
        <v>65</v>
      </c>
      <c r="D3552" s="483">
        <v>47.24</v>
      </c>
      <c r="E3552" s="483">
        <v>47.24</v>
      </c>
    </row>
    <row r="3553" spans="1:5" ht="30">
      <c r="A3553" s="494">
        <v>93119</v>
      </c>
      <c r="B3553" s="485" t="s">
        <v>4579</v>
      </c>
      <c r="C3553" s="484" t="s">
        <v>65</v>
      </c>
      <c r="D3553" s="486">
        <v>9.83</v>
      </c>
      <c r="E3553" s="486">
        <v>9.83</v>
      </c>
    </row>
    <row r="3554" spans="1:5" ht="30">
      <c r="A3554" s="495">
        <v>93120</v>
      </c>
      <c r="B3554" s="348" t="s">
        <v>17750</v>
      </c>
      <c r="C3554" s="349" t="s">
        <v>65</v>
      </c>
      <c r="D3554" s="483">
        <v>14.41</v>
      </c>
      <c r="E3554" s="483">
        <v>14.41</v>
      </c>
    </row>
    <row r="3555" spans="1:5" ht="30">
      <c r="A3555" s="494">
        <v>93121</v>
      </c>
      <c r="B3555" s="485" t="s">
        <v>17751</v>
      </c>
      <c r="C3555" s="484" t="s">
        <v>65</v>
      </c>
      <c r="D3555" s="486">
        <v>15.61</v>
      </c>
      <c r="E3555" s="486">
        <v>15.61</v>
      </c>
    </row>
    <row r="3556" spans="1:5" ht="30">
      <c r="A3556" s="495">
        <v>93122</v>
      </c>
      <c r="B3556" s="348" t="s">
        <v>4582</v>
      </c>
      <c r="C3556" s="349" t="s">
        <v>65</v>
      </c>
      <c r="D3556" s="483">
        <v>14.03</v>
      </c>
      <c r="E3556" s="483">
        <v>14.03</v>
      </c>
    </row>
    <row r="3557" spans="1:5" ht="30">
      <c r="A3557" s="494">
        <v>93123</v>
      </c>
      <c r="B3557" s="485" t="s">
        <v>4585</v>
      </c>
      <c r="C3557" s="484" t="s">
        <v>65</v>
      </c>
      <c r="D3557" s="486">
        <v>29.15</v>
      </c>
      <c r="E3557" s="486">
        <v>29.15</v>
      </c>
    </row>
    <row r="3558" spans="1:5" ht="30">
      <c r="A3558" s="495">
        <v>93124</v>
      </c>
      <c r="B3558" s="348" t="s">
        <v>17752</v>
      </c>
      <c r="C3558" s="349" t="s">
        <v>65</v>
      </c>
      <c r="D3558" s="483">
        <v>44.94</v>
      </c>
      <c r="E3558" s="483">
        <v>44.94</v>
      </c>
    </row>
    <row r="3559" spans="1:5" ht="30">
      <c r="A3559" s="494">
        <v>93125</v>
      </c>
      <c r="B3559" s="485" t="s">
        <v>4586</v>
      </c>
      <c r="C3559" s="484" t="s">
        <v>65</v>
      </c>
      <c r="D3559" s="486">
        <v>64.87</v>
      </c>
      <c r="E3559" s="486">
        <v>64.87</v>
      </c>
    </row>
    <row r="3560" spans="1:5" ht="30">
      <c r="A3560" s="495">
        <v>93126</v>
      </c>
      <c r="B3560" s="348" t="s">
        <v>4590</v>
      </c>
      <c r="C3560" s="349" t="s">
        <v>65</v>
      </c>
      <c r="D3560" s="483">
        <v>141.02000000000001</v>
      </c>
      <c r="E3560" s="483">
        <v>141.02000000000001</v>
      </c>
    </row>
    <row r="3561" spans="1:5" ht="30">
      <c r="A3561" s="494">
        <v>93133</v>
      </c>
      <c r="B3561" s="485" t="s">
        <v>17753</v>
      </c>
      <c r="C3561" s="484" t="s">
        <v>65</v>
      </c>
      <c r="D3561" s="486">
        <v>539.23</v>
      </c>
      <c r="E3561" s="486">
        <v>539.23</v>
      </c>
    </row>
    <row r="3562" spans="1:5" ht="45">
      <c r="A3562" s="495">
        <v>94465</v>
      </c>
      <c r="B3562" s="348" t="s">
        <v>17754</v>
      </c>
      <c r="C3562" s="349" t="s">
        <v>65</v>
      </c>
      <c r="D3562" s="483">
        <v>29.4</v>
      </c>
      <c r="E3562" s="483">
        <v>29.4</v>
      </c>
    </row>
    <row r="3563" spans="1:5" ht="45">
      <c r="A3563" s="494">
        <v>94466</v>
      </c>
      <c r="B3563" s="485" t="s">
        <v>17755</v>
      </c>
      <c r="C3563" s="484" t="s">
        <v>65</v>
      </c>
      <c r="D3563" s="486">
        <v>29.41</v>
      </c>
      <c r="E3563" s="486">
        <v>29.41</v>
      </c>
    </row>
    <row r="3564" spans="1:5" ht="45">
      <c r="A3564" s="495">
        <v>94467</v>
      </c>
      <c r="B3564" s="348" t="s">
        <v>17756</v>
      </c>
      <c r="C3564" s="349" t="s">
        <v>65</v>
      </c>
      <c r="D3564" s="483">
        <v>43.69</v>
      </c>
      <c r="E3564" s="483">
        <v>43.69</v>
      </c>
    </row>
    <row r="3565" spans="1:5" ht="45">
      <c r="A3565" s="494">
        <v>94468</v>
      </c>
      <c r="B3565" s="485" t="s">
        <v>17757</v>
      </c>
      <c r="C3565" s="484" t="s">
        <v>65</v>
      </c>
      <c r="D3565" s="486">
        <v>38.619999999999997</v>
      </c>
      <c r="E3565" s="486">
        <v>38.619999999999997</v>
      </c>
    </row>
    <row r="3566" spans="1:5" ht="45">
      <c r="A3566" s="495">
        <v>94469</v>
      </c>
      <c r="B3566" s="348" t="s">
        <v>17758</v>
      </c>
      <c r="C3566" s="349" t="s">
        <v>65</v>
      </c>
      <c r="D3566" s="483">
        <v>62.82</v>
      </c>
      <c r="E3566" s="483">
        <v>62.82</v>
      </c>
    </row>
    <row r="3567" spans="1:5" ht="45">
      <c r="A3567" s="494">
        <v>94470</v>
      </c>
      <c r="B3567" s="485" t="s">
        <v>17759</v>
      </c>
      <c r="C3567" s="484" t="s">
        <v>65</v>
      </c>
      <c r="D3567" s="486">
        <v>58.31</v>
      </c>
      <c r="E3567" s="486">
        <v>58.31</v>
      </c>
    </row>
    <row r="3568" spans="1:5" ht="45">
      <c r="A3568" s="495">
        <v>94471</v>
      </c>
      <c r="B3568" s="348" t="s">
        <v>17760</v>
      </c>
      <c r="C3568" s="349" t="s">
        <v>65</v>
      </c>
      <c r="D3568" s="483">
        <v>42.56</v>
      </c>
      <c r="E3568" s="483">
        <v>42.56</v>
      </c>
    </row>
    <row r="3569" spans="1:5" ht="45">
      <c r="A3569" s="494">
        <v>94472</v>
      </c>
      <c r="B3569" s="485" t="s">
        <v>17761</v>
      </c>
      <c r="C3569" s="484" t="s">
        <v>65</v>
      </c>
      <c r="D3569" s="486">
        <v>43.69</v>
      </c>
      <c r="E3569" s="486">
        <v>43.69</v>
      </c>
    </row>
    <row r="3570" spans="1:5" ht="45">
      <c r="A3570" s="495">
        <v>94473</v>
      </c>
      <c r="B3570" s="348" t="s">
        <v>17762</v>
      </c>
      <c r="C3570" s="349" t="s">
        <v>65</v>
      </c>
      <c r="D3570" s="483">
        <v>62.76</v>
      </c>
      <c r="E3570" s="483">
        <v>62.76</v>
      </c>
    </row>
    <row r="3571" spans="1:5" ht="45">
      <c r="A3571" s="494">
        <v>94474</v>
      </c>
      <c r="B3571" s="485" t="s">
        <v>17763</v>
      </c>
      <c r="C3571" s="484" t="s">
        <v>65</v>
      </c>
      <c r="D3571" s="486">
        <v>67.72</v>
      </c>
      <c r="E3571" s="486">
        <v>67.72</v>
      </c>
    </row>
    <row r="3572" spans="1:5" ht="45">
      <c r="A3572" s="495">
        <v>94475</v>
      </c>
      <c r="B3572" s="348" t="s">
        <v>17764</v>
      </c>
      <c r="C3572" s="349" t="s">
        <v>65</v>
      </c>
      <c r="D3572" s="483">
        <v>85.65</v>
      </c>
      <c r="E3572" s="483">
        <v>85.65</v>
      </c>
    </row>
    <row r="3573" spans="1:5" ht="45">
      <c r="A3573" s="494">
        <v>94476</v>
      </c>
      <c r="B3573" s="485" t="s">
        <v>17765</v>
      </c>
      <c r="C3573" s="484" t="s">
        <v>65</v>
      </c>
      <c r="D3573" s="486">
        <v>95.22</v>
      </c>
      <c r="E3573" s="486">
        <v>95.22</v>
      </c>
    </row>
    <row r="3574" spans="1:5" ht="45">
      <c r="A3574" s="495">
        <v>94477</v>
      </c>
      <c r="B3574" s="348" t="s">
        <v>17766</v>
      </c>
      <c r="C3574" s="349" t="s">
        <v>65</v>
      </c>
      <c r="D3574" s="483">
        <v>56.66</v>
      </c>
      <c r="E3574" s="483">
        <v>56.66</v>
      </c>
    </row>
    <row r="3575" spans="1:5" ht="45">
      <c r="A3575" s="494">
        <v>94478</v>
      </c>
      <c r="B3575" s="485" t="s">
        <v>17767</v>
      </c>
      <c r="C3575" s="484" t="s">
        <v>65</v>
      </c>
      <c r="D3575" s="486">
        <v>86.1</v>
      </c>
      <c r="E3575" s="486">
        <v>86.1</v>
      </c>
    </row>
    <row r="3576" spans="1:5" ht="45">
      <c r="A3576" s="495">
        <v>94479</v>
      </c>
      <c r="B3576" s="348" t="s">
        <v>17768</v>
      </c>
      <c r="C3576" s="349" t="s">
        <v>65</v>
      </c>
      <c r="D3576" s="483">
        <v>113.21</v>
      </c>
      <c r="E3576" s="483">
        <v>113.21</v>
      </c>
    </row>
    <row r="3577" spans="1:5" ht="45">
      <c r="A3577" s="494">
        <v>94606</v>
      </c>
      <c r="B3577" s="485" t="s">
        <v>17769</v>
      </c>
      <c r="C3577" s="484" t="s">
        <v>65</v>
      </c>
      <c r="D3577" s="486">
        <v>42.68</v>
      </c>
      <c r="E3577" s="486">
        <v>42.68</v>
      </c>
    </row>
    <row r="3578" spans="1:5" ht="45">
      <c r="A3578" s="495">
        <v>94608</v>
      </c>
      <c r="B3578" s="348" t="s">
        <v>17770</v>
      </c>
      <c r="C3578" s="349" t="s">
        <v>65</v>
      </c>
      <c r="D3578" s="483">
        <v>97</v>
      </c>
      <c r="E3578" s="483">
        <v>97</v>
      </c>
    </row>
    <row r="3579" spans="1:5" ht="45">
      <c r="A3579" s="494">
        <v>94610</v>
      </c>
      <c r="B3579" s="485" t="s">
        <v>17771</v>
      </c>
      <c r="C3579" s="484" t="s">
        <v>65</v>
      </c>
      <c r="D3579" s="486">
        <v>141.91</v>
      </c>
      <c r="E3579" s="486">
        <v>141.91</v>
      </c>
    </row>
    <row r="3580" spans="1:5" ht="45">
      <c r="A3580" s="495">
        <v>94612</v>
      </c>
      <c r="B3580" s="348" t="s">
        <v>17772</v>
      </c>
      <c r="C3580" s="349" t="s">
        <v>65</v>
      </c>
      <c r="D3580" s="483">
        <v>196.75</v>
      </c>
      <c r="E3580" s="483">
        <v>196.75</v>
      </c>
    </row>
    <row r="3581" spans="1:5" ht="45">
      <c r="A3581" s="494">
        <v>94614</v>
      </c>
      <c r="B3581" s="485" t="s">
        <v>17773</v>
      </c>
      <c r="C3581" s="484" t="s">
        <v>65</v>
      </c>
      <c r="D3581" s="486">
        <v>71.319999999999993</v>
      </c>
      <c r="E3581" s="486">
        <v>71.319999999999993</v>
      </c>
    </row>
    <row r="3582" spans="1:5" ht="45">
      <c r="A3582" s="495">
        <v>94615</v>
      </c>
      <c r="B3582" s="348" t="s">
        <v>17774</v>
      </c>
      <c r="C3582" s="349" t="s">
        <v>65</v>
      </c>
      <c r="D3582" s="483">
        <v>79.849999999999994</v>
      </c>
      <c r="E3582" s="483">
        <v>79.849999999999994</v>
      </c>
    </row>
    <row r="3583" spans="1:5" ht="45">
      <c r="A3583" s="494">
        <v>94616</v>
      </c>
      <c r="B3583" s="485" t="s">
        <v>17775</v>
      </c>
      <c r="C3583" s="484" t="s">
        <v>65</v>
      </c>
      <c r="D3583" s="486">
        <v>183.39</v>
      </c>
      <c r="E3583" s="486">
        <v>183.39</v>
      </c>
    </row>
    <row r="3584" spans="1:5" ht="45">
      <c r="A3584" s="495">
        <v>94617</v>
      </c>
      <c r="B3584" s="348" t="s">
        <v>17776</v>
      </c>
      <c r="C3584" s="349" t="s">
        <v>65</v>
      </c>
      <c r="D3584" s="483">
        <v>153.75</v>
      </c>
      <c r="E3584" s="483">
        <v>153.75</v>
      </c>
    </row>
    <row r="3585" spans="1:5" ht="45">
      <c r="A3585" s="494">
        <v>94618</v>
      </c>
      <c r="B3585" s="485" t="s">
        <v>17777</v>
      </c>
      <c r="C3585" s="484" t="s">
        <v>65</v>
      </c>
      <c r="D3585" s="486">
        <v>180.95</v>
      </c>
      <c r="E3585" s="486">
        <v>180.95</v>
      </c>
    </row>
    <row r="3586" spans="1:5" ht="45">
      <c r="A3586" s="495">
        <v>94620</v>
      </c>
      <c r="B3586" s="348" t="s">
        <v>17778</v>
      </c>
      <c r="C3586" s="349" t="s">
        <v>65</v>
      </c>
      <c r="D3586" s="483">
        <v>402.72</v>
      </c>
      <c r="E3586" s="483">
        <v>402.72</v>
      </c>
    </row>
    <row r="3587" spans="1:5" ht="45">
      <c r="A3587" s="494">
        <v>94622</v>
      </c>
      <c r="B3587" s="485" t="s">
        <v>17779</v>
      </c>
      <c r="C3587" s="484" t="s">
        <v>65</v>
      </c>
      <c r="D3587" s="486">
        <v>103.23</v>
      </c>
      <c r="E3587" s="486">
        <v>103.23</v>
      </c>
    </row>
    <row r="3588" spans="1:5" ht="45">
      <c r="A3588" s="495">
        <v>94623</v>
      </c>
      <c r="B3588" s="348" t="s">
        <v>17780</v>
      </c>
      <c r="C3588" s="349" t="s">
        <v>65</v>
      </c>
      <c r="D3588" s="483">
        <v>227.89</v>
      </c>
      <c r="E3588" s="483">
        <v>227.89</v>
      </c>
    </row>
    <row r="3589" spans="1:5" ht="45">
      <c r="A3589" s="494">
        <v>94624</v>
      </c>
      <c r="B3589" s="485" t="s">
        <v>17781</v>
      </c>
      <c r="C3589" s="484" t="s">
        <v>65</v>
      </c>
      <c r="D3589" s="486">
        <v>341.93</v>
      </c>
      <c r="E3589" s="486">
        <v>341.93</v>
      </c>
    </row>
    <row r="3590" spans="1:5" ht="45">
      <c r="A3590" s="495">
        <v>94625</v>
      </c>
      <c r="B3590" s="348" t="s">
        <v>17782</v>
      </c>
      <c r="C3590" s="349" t="s">
        <v>65</v>
      </c>
      <c r="D3590" s="483">
        <v>698.65</v>
      </c>
      <c r="E3590" s="483">
        <v>698.65</v>
      </c>
    </row>
    <row r="3591" spans="1:5" ht="45">
      <c r="A3591" s="494">
        <v>94656</v>
      </c>
      <c r="B3591" s="485" t="s">
        <v>17783</v>
      </c>
      <c r="C3591" s="484" t="s">
        <v>65</v>
      </c>
      <c r="D3591" s="486">
        <v>4.42</v>
      </c>
      <c r="E3591" s="486">
        <v>4.42</v>
      </c>
    </row>
    <row r="3592" spans="1:5" ht="30">
      <c r="A3592" s="495">
        <v>94657</v>
      </c>
      <c r="B3592" s="348" t="s">
        <v>17784</v>
      </c>
      <c r="C3592" s="349" t="s">
        <v>65</v>
      </c>
      <c r="D3592" s="483">
        <v>4.33</v>
      </c>
      <c r="E3592" s="483">
        <v>4.33</v>
      </c>
    </row>
    <row r="3593" spans="1:5" ht="45">
      <c r="A3593" s="494">
        <v>94658</v>
      </c>
      <c r="B3593" s="485" t="s">
        <v>17785</v>
      </c>
      <c r="C3593" s="484" t="s">
        <v>65</v>
      </c>
      <c r="D3593" s="486">
        <v>5.16</v>
      </c>
      <c r="E3593" s="486">
        <v>5.16</v>
      </c>
    </row>
    <row r="3594" spans="1:5" ht="30">
      <c r="A3594" s="495">
        <v>94659</v>
      </c>
      <c r="B3594" s="348" t="s">
        <v>17786</v>
      </c>
      <c r="C3594" s="349" t="s">
        <v>65</v>
      </c>
      <c r="D3594" s="483">
        <v>5.08</v>
      </c>
      <c r="E3594" s="483">
        <v>5.08</v>
      </c>
    </row>
    <row r="3595" spans="1:5" ht="45">
      <c r="A3595" s="494">
        <v>94660</v>
      </c>
      <c r="B3595" s="485" t="s">
        <v>17787</v>
      </c>
      <c r="C3595" s="484" t="s">
        <v>65</v>
      </c>
      <c r="D3595" s="486">
        <v>8.27</v>
      </c>
      <c r="E3595" s="486">
        <v>8.27</v>
      </c>
    </row>
    <row r="3596" spans="1:5" ht="30">
      <c r="A3596" s="495">
        <v>94661</v>
      </c>
      <c r="B3596" s="348" t="s">
        <v>17788</v>
      </c>
      <c r="C3596" s="349" t="s">
        <v>65</v>
      </c>
      <c r="D3596" s="483">
        <v>8.7200000000000006</v>
      </c>
      <c r="E3596" s="483">
        <v>8.7200000000000006</v>
      </c>
    </row>
    <row r="3597" spans="1:5" ht="45">
      <c r="A3597" s="494">
        <v>94662</v>
      </c>
      <c r="B3597" s="485" t="s">
        <v>17789</v>
      </c>
      <c r="C3597" s="484" t="s">
        <v>65</v>
      </c>
      <c r="D3597" s="486">
        <v>8.89</v>
      </c>
      <c r="E3597" s="486">
        <v>8.89</v>
      </c>
    </row>
    <row r="3598" spans="1:5" ht="30">
      <c r="A3598" s="495">
        <v>94663</v>
      </c>
      <c r="B3598" s="348" t="s">
        <v>17790</v>
      </c>
      <c r="C3598" s="349" t="s">
        <v>65</v>
      </c>
      <c r="D3598" s="483">
        <v>9.27</v>
      </c>
      <c r="E3598" s="483">
        <v>9.27</v>
      </c>
    </row>
    <row r="3599" spans="1:5" ht="45">
      <c r="A3599" s="494">
        <v>94664</v>
      </c>
      <c r="B3599" s="485" t="s">
        <v>17791</v>
      </c>
      <c r="C3599" s="484" t="s">
        <v>65</v>
      </c>
      <c r="D3599" s="486">
        <v>18.510000000000002</v>
      </c>
      <c r="E3599" s="486">
        <v>18.510000000000002</v>
      </c>
    </row>
    <row r="3600" spans="1:5" ht="30">
      <c r="A3600" s="495">
        <v>94665</v>
      </c>
      <c r="B3600" s="348" t="s">
        <v>17792</v>
      </c>
      <c r="C3600" s="349" t="s">
        <v>65</v>
      </c>
      <c r="D3600" s="483">
        <v>20.16</v>
      </c>
      <c r="E3600" s="483">
        <v>20.16</v>
      </c>
    </row>
    <row r="3601" spans="1:5" ht="45">
      <c r="A3601" s="494">
        <v>94666</v>
      </c>
      <c r="B3601" s="485" t="s">
        <v>17793</v>
      </c>
      <c r="C3601" s="484" t="s">
        <v>65</v>
      </c>
      <c r="D3601" s="486">
        <v>24.67</v>
      </c>
      <c r="E3601" s="486">
        <v>24.67</v>
      </c>
    </row>
    <row r="3602" spans="1:5" ht="30">
      <c r="A3602" s="495">
        <v>94667</v>
      </c>
      <c r="B3602" s="348" t="s">
        <v>17794</v>
      </c>
      <c r="C3602" s="349" t="s">
        <v>65</v>
      </c>
      <c r="D3602" s="483">
        <v>25.19</v>
      </c>
      <c r="E3602" s="483">
        <v>25.19</v>
      </c>
    </row>
    <row r="3603" spans="1:5" ht="45">
      <c r="A3603" s="494">
        <v>94668</v>
      </c>
      <c r="B3603" s="485" t="s">
        <v>17795</v>
      </c>
      <c r="C3603" s="484" t="s">
        <v>65</v>
      </c>
      <c r="D3603" s="486">
        <v>40.04</v>
      </c>
      <c r="E3603" s="486">
        <v>40.04</v>
      </c>
    </row>
    <row r="3604" spans="1:5" ht="30">
      <c r="A3604" s="495">
        <v>94669</v>
      </c>
      <c r="B3604" s="348" t="s">
        <v>17796</v>
      </c>
      <c r="C3604" s="349" t="s">
        <v>65</v>
      </c>
      <c r="D3604" s="483">
        <v>52.59</v>
      </c>
      <c r="E3604" s="483">
        <v>52.59</v>
      </c>
    </row>
    <row r="3605" spans="1:5" ht="45">
      <c r="A3605" s="494">
        <v>94670</v>
      </c>
      <c r="B3605" s="485" t="s">
        <v>17797</v>
      </c>
      <c r="C3605" s="484" t="s">
        <v>65</v>
      </c>
      <c r="D3605" s="486">
        <v>53.49</v>
      </c>
      <c r="E3605" s="486">
        <v>53.49</v>
      </c>
    </row>
    <row r="3606" spans="1:5" ht="30">
      <c r="A3606" s="495">
        <v>94671</v>
      </c>
      <c r="B3606" s="348" t="s">
        <v>17798</v>
      </c>
      <c r="C3606" s="349" t="s">
        <v>65</v>
      </c>
      <c r="D3606" s="483">
        <v>76.849999999999994</v>
      </c>
      <c r="E3606" s="483">
        <v>76.849999999999994</v>
      </c>
    </row>
    <row r="3607" spans="1:5" ht="45">
      <c r="A3607" s="494">
        <v>94672</v>
      </c>
      <c r="B3607" s="485" t="s">
        <v>17799</v>
      </c>
      <c r="C3607" s="484" t="s">
        <v>65</v>
      </c>
      <c r="D3607" s="486">
        <v>7.43</v>
      </c>
      <c r="E3607" s="486">
        <v>7.43</v>
      </c>
    </row>
    <row r="3608" spans="1:5" ht="45">
      <c r="A3608" s="495">
        <v>94673</v>
      </c>
      <c r="B3608" s="348" t="s">
        <v>17800</v>
      </c>
      <c r="C3608" s="349" t="s">
        <v>65</v>
      </c>
      <c r="D3608" s="483">
        <v>7.18</v>
      </c>
      <c r="E3608" s="483">
        <v>7.18</v>
      </c>
    </row>
    <row r="3609" spans="1:5" ht="45">
      <c r="A3609" s="494">
        <v>94674</v>
      </c>
      <c r="B3609" s="485" t="s">
        <v>17801</v>
      </c>
      <c r="C3609" s="484" t="s">
        <v>65</v>
      </c>
      <c r="D3609" s="486">
        <v>6.63</v>
      </c>
      <c r="E3609" s="486">
        <v>6.63</v>
      </c>
    </row>
    <row r="3610" spans="1:5" ht="45">
      <c r="A3610" s="495">
        <v>94675</v>
      </c>
      <c r="B3610" s="348" t="s">
        <v>17802</v>
      </c>
      <c r="C3610" s="349" t="s">
        <v>65</v>
      </c>
      <c r="D3610" s="483">
        <v>9.4</v>
      </c>
      <c r="E3610" s="483">
        <v>9.4</v>
      </c>
    </row>
    <row r="3611" spans="1:5" ht="45">
      <c r="A3611" s="494">
        <v>94676</v>
      </c>
      <c r="B3611" s="485" t="s">
        <v>17803</v>
      </c>
      <c r="C3611" s="484" t="s">
        <v>65</v>
      </c>
      <c r="D3611" s="486">
        <v>11.45</v>
      </c>
      <c r="E3611" s="486">
        <v>11.45</v>
      </c>
    </row>
    <row r="3612" spans="1:5" ht="45">
      <c r="A3612" s="495">
        <v>94677</v>
      </c>
      <c r="B3612" s="348" t="s">
        <v>17804</v>
      </c>
      <c r="C3612" s="349" t="s">
        <v>65</v>
      </c>
      <c r="D3612" s="483">
        <v>15.45</v>
      </c>
      <c r="E3612" s="483">
        <v>15.45</v>
      </c>
    </row>
    <row r="3613" spans="1:5" ht="45">
      <c r="A3613" s="494">
        <v>94678</v>
      </c>
      <c r="B3613" s="485" t="s">
        <v>17805</v>
      </c>
      <c r="C3613" s="484" t="s">
        <v>65</v>
      </c>
      <c r="D3613" s="486">
        <v>11.89</v>
      </c>
      <c r="E3613" s="486">
        <v>11.89</v>
      </c>
    </row>
    <row r="3614" spans="1:5" ht="45">
      <c r="A3614" s="495">
        <v>94679</v>
      </c>
      <c r="B3614" s="348" t="s">
        <v>17806</v>
      </c>
      <c r="C3614" s="349" t="s">
        <v>65</v>
      </c>
      <c r="D3614" s="483">
        <v>16.27</v>
      </c>
      <c r="E3614" s="483">
        <v>16.27</v>
      </c>
    </row>
    <row r="3615" spans="1:5" ht="45">
      <c r="A3615" s="494">
        <v>94680</v>
      </c>
      <c r="B3615" s="485" t="s">
        <v>17807</v>
      </c>
      <c r="C3615" s="484" t="s">
        <v>65</v>
      </c>
      <c r="D3615" s="486">
        <v>33.26</v>
      </c>
      <c r="E3615" s="486">
        <v>33.26</v>
      </c>
    </row>
    <row r="3616" spans="1:5" ht="45">
      <c r="A3616" s="495">
        <v>94681</v>
      </c>
      <c r="B3616" s="348" t="s">
        <v>17808</v>
      </c>
      <c r="C3616" s="349" t="s">
        <v>65</v>
      </c>
      <c r="D3616" s="483">
        <v>33.42</v>
      </c>
      <c r="E3616" s="483">
        <v>33.42</v>
      </c>
    </row>
    <row r="3617" spans="1:5" ht="45">
      <c r="A3617" s="494">
        <v>94682</v>
      </c>
      <c r="B3617" s="485" t="s">
        <v>17809</v>
      </c>
      <c r="C3617" s="484" t="s">
        <v>65</v>
      </c>
      <c r="D3617" s="486">
        <v>76.849999999999994</v>
      </c>
      <c r="E3617" s="486">
        <v>76.849999999999994</v>
      </c>
    </row>
    <row r="3618" spans="1:5" ht="45">
      <c r="A3618" s="495">
        <v>94683</v>
      </c>
      <c r="B3618" s="348" t="s">
        <v>17810</v>
      </c>
      <c r="C3618" s="349" t="s">
        <v>65</v>
      </c>
      <c r="D3618" s="483">
        <v>48.15</v>
      </c>
      <c r="E3618" s="483">
        <v>48.15</v>
      </c>
    </row>
    <row r="3619" spans="1:5" ht="45">
      <c r="A3619" s="494">
        <v>94684</v>
      </c>
      <c r="B3619" s="485" t="s">
        <v>17811</v>
      </c>
      <c r="C3619" s="484" t="s">
        <v>65</v>
      </c>
      <c r="D3619" s="486">
        <v>95.33</v>
      </c>
      <c r="E3619" s="486">
        <v>95.33</v>
      </c>
    </row>
    <row r="3620" spans="1:5" ht="45">
      <c r="A3620" s="495">
        <v>94685</v>
      </c>
      <c r="B3620" s="348" t="s">
        <v>17812</v>
      </c>
      <c r="C3620" s="349" t="s">
        <v>65</v>
      </c>
      <c r="D3620" s="483">
        <v>65.53</v>
      </c>
      <c r="E3620" s="483">
        <v>65.53</v>
      </c>
    </row>
    <row r="3621" spans="1:5" ht="45">
      <c r="A3621" s="494">
        <v>94686</v>
      </c>
      <c r="B3621" s="485" t="s">
        <v>17813</v>
      </c>
      <c r="C3621" s="484" t="s">
        <v>65</v>
      </c>
      <c r="D3621" s="486">
        <v>190.62</v>
      </c>
      <c r="E3621" s="486">
        <v>190.62</v>
      </c>
    </row>
    <row r="3622" spans="1:5" ht="45">
      <c r="A3622" s="495">
        <v>94687</v>
      </c>
      <c r="B3622" s="348" t="s">
        <v>17814</v>
      </c>
      <c r="C3622" s="349" t="s">
        <v>65</v>
      </c>
      <c r="D3622" s="483">
        <v>112.11</v>
      </c>
      <c r="E3622" s="483">
        <v>112.11</v>
      </c>
    </row>
    <row r="3623" spans="1:5" ht="30">
      <c r="A3623" s="494">
        <v>94688</v>
      </c>
      <c r="B3623" s="485" t="s">
        <v>17815</v>
      </c>
      <c r="C3623" s="484" t="s">
        <v>65</v>
      </c>
      <c r="D3623" s="486">
        <v>7.82</v>
      </c>
      <c r="E3623" s="486">
        <v>7.82</v>
      </c>
    </row>
    <row r="3624" spans="1:5" ht="45">
      <c r="A3624" s="495">
        <v>94689</v>
      </c>
      <c r="B3624" s="348" t="s">
        <v>17816</v>
      </c>
      <c r="C3624" s="349" t="s">
        <v>65</v>
      </c>
      <c r="D3624" s="483">
        <v>9.75</v>
      </c>
      <c r="E3624" s="483">
        <v>9.75</v>
      </c>
    </row>
    <row r="3625" spans="1:5" ht="30">
      <c r="A3625" s="494">
        <v>94690</v>
      </c>
      <c r="B3625" s="485" t="s">
        <v>17817</v>
      </c>
      <c r="C3625" s="484" t="s">
        <v>65</v>
      </c>
      <c r="D3625" s="486">
        <v>9.3699999999999992</v>
      </c>
      <c r="E3625" s="486">
        <v>9.3699999999999992</v>
      </c>
    </row>
    <row r="3626" spans="1:5" ht="45">
      <c r="A3626" s="495">
        <v>94691</v>
      </c>
      <c r="B3626" s="348" t="s">
        <v>17818</v>
      </c>
      <c r="C3626" s="349" t="s">
        <v>65</v>
      </c>
      <c r="D3626" s="483">
        <v>11.61</v>
      </c>
      <c r="E3626" s="483">
        <v>11.61</v>
      </c>
    </row>
    <row r="3627" spans="1:5" ht="30">
      <c r="A3627" s="494">
        <v>94692</v>
      </c>
      <c r="B3627" s="485" t="s">
        <v>17819</v>
      </c>
      <c r="C3627" s="484" t="s">
        <v>65</v>
      </c>
      <c r="D3627" s="486">
        <v>16.98</v>
      </c>
      <c r="E3627" s="486">
        <v>16.98</v>
      </c>
    </row>
    <row r="3628" spans="1:5" ht="45">
      <c r="A3628" s="495">
        <v>94693</v>
      </c>
      <c r="B3628" s="348" t="s">
        <v>17820</v>
      </c>
      <c r="C3628" s="349" t="s">
        <v>65</v>
      </c>
      <c r="D3628" s="483">
        <v>16.86</v>
      </c>
      <c r="E3628" s="483">
        <v>16.86</v>
      </c>
    </row>
    <row r="3629" spans="1:5" ht="30">
      <c r="A3629" s="494">
        <v>94694</v>
      </c>
      <c r="B3629" s="485" t="s">
        <v>17821</v>
      </c>
      <c r="C3629" s="484" t="s">
        <v>65</v>
      </c>
      <c r="D3629" s="486">
        <v>17.86</v>
      </c>
      <c r="E3629" s="486">
        <v>17.86</v>
      </c>
    </row>
    <row r="3630" spans="1:5" ht="45">
      <c r="A3630" s="495">
        <v>94695</v>
      </c>
      <c r="B3630" s="348" t="s">
        <v>17822</v>
      </c>
      <c r="C3630" s="349" t="s">
        <v>65</v>
      </c>
      <c r="D3630" s="483">
        <v>21.7</v>
      </c>
      <c r="E3630" s="483">
        <v>21.7</v>
      </c>
    </row>
    <row r="3631" spans="1:5" ht="30">
      <c r="A3631" s="494">
        <v>94696</v>
      </c>
      <c r="B3631" s="485" t="s">
        <v>17823</v>
      </c>
      <c r="C3631" s="484" t="s">
        <v>65</v>
      </c>
      <c r="D3631" s="486">
        <v>39.979999999999997</v>
      </c>
      <c r="E3631" s="486">
        <v>39.979999999999997</v>
      </c>
    </row>
    <row r="3632" spans="1:5" ht="30">
      <c r="A3632" s="495">
        <v>94697</v>
      </c>
      <c r="B3632" s="348" t="s">
        <v>17824</v>
      </c>
      <c r="C3632" s="349" t="s">
        <v>65</v>
      </c>
      <c r="D3632" s="483">
        <v>59.97</v>
      </c>
      <c r="E3632" s="483">
        <v>59.97</v>
      </c>
    </row>
    <row r="3633" spans="1:5" ht="45">
      <c r="A3633" s="494">
        <v>94698</v>
      </c>
      <c r="B3633" s="485" t="s">
        <v>17825</v>
      </c>
      <c r="C3633" s="484" t="s">
        <v>65</v>
      </c>
      <c r="D3633" s="486">
        <v>52.3</v>
      </c>
      <c r="E3633" s="486">
        <v>52.3</v>
      </c>
    </row>
    <row r="3634" spans="1:5" ht="30">
      <c r="A3634" s="495">
        <v>94699</v>
      </c>
      <c r="B3634" s="348" t="s">
        <v>17826</v>
      </c>
      <c r="C3634" s="349" t="s">
        <v>65</v>
      </c>
      <c r="D3634" s="483">
        <v>98.09</v>
      </c>
      <c r="E3634" s="483">
        <v>98.09</v>
      </c>
    </row>
    <row r="3635" spans="1:5" ht="45">
      <c r="A3635" s="494">
        <v>94700</v>
      </c>
      <c r="B3635" s="485" t="s">
        <v>17827</v>
      </c>
      <c r="C3635" s="484" t="s">
        <v>65</v>
      </c>
      <c r="D3635" s="486">
        <v>86.69</v>
      </c>
      <c r="E3635" s="486">
        <v>86.69</v>
      </c>
    </row>
    <row r="3636" spans="1:5" ht="30">
      <c r="A3636" s="495">
        <v>94701</v>
      </c>
      <c r="B3636" s="348" t="s">
        <v>17828</v>
      </c>
      <c r="C3636" s="349" t="s">
        <v>65</v>
      </c>
      <c r="D3636" s="483">
        <v>155.13</v>
      </c>
      <c r="E3636" s="483">
        <v>155.13</v>
      </c>
    </row>
    <row r="3637" spans="1:5" ht="45">
      <c r="A3637" s="494">
        <v>94702</v>
      </c>
      <c r="B3637" s="485" t="s">
        <v>17829</v>
      </c>
      <c r="C3637" s="484" t="s">
        <v>65</v>
      </c>
      <c r="D3637" s="486">
        <v>123.07</v>
      </c>
      <c r="E3637" s="486">
        <v>123.07</v>
      </c>
    </row>
    <row r="3638" spans="1:5" ht="45">
      <c r="A3638" s="495">
        <v>94703</v>
      </c>
      <c r="B3638" s="348" t="s">
        <v>17830</v>
      </c>
      <c r="C3638" s="349" t="s">
        <v>65</v>
      </c>
      <c r="D3638" s="483">
        <v>17.73</v>
      </c>
      <c r="E3638" s="483">
        <v>17.73</v>
      </c>
    </row>
    <row r="3639" spans="1:5" ht="45">
      <c r="A3639" s="494">
        <v>94704</v>
      </c>
      <c r="B3639" s="485" t="s">
        <v>1491</v>
      </c>
      <c r="C3639" s="484" t="s">
        <v>65</v>
      </c>
      <c r="D3639" s="486">
        <v>20.85</v>
      </c>
      <c r="E3639" s="486">
        <v>20.85</v>
      </c>
    </row>
    <row r="3640" spans="1:5" ht="45">
      <c r="A3640" s="495">
        <v>94705</v>
      </c>
      <c r="B3640" s="348" t="s">
        <v>17831</v>
      </c>
      <c r="C3640" s="349" t="s">
        <v>65</v>
      </c>
      <c r="D3640" s="483">
        <v>30.28</v>
      </c>
      <c r="E3640" s="483">
        <v>30.28</v>
      </c>
    </row>
    <row r="3641" spans="1:5" ht="45">
      <c r="A3641" s="494">
        <v>94706</v>
      </c>
      <c r="B3641" s="485" t="s">
        <v>17832</v>
      </c>
      <c r="C3641" s="484" t="s">
        <v>65</v>
      </c>
      <c r="D3641" s="486">
        <v>39.29</v>
      </c>
      <c r="E3641" s="486">
        <v>39.29</v>
      </c>
    </row>
    <row r="3642" spans="1:5" ht="45">
      <c r="A3642" s="495">
        <v>94707</v>
      </c>
      <c r="B3642" s="348" t="s">
        <v>1494</v>
      </c>
      <c r="C3642" s="349" t="s">
        <v>65</v>
      </c>
      <c r="D3642" s="483">
        <v>45.41</v>
      </c>
      <c r="E3642" s="483">
        <v>45.41</v>
      </c>
    </row>
    <row r="3643" spans="1:5" ht="45">
      <c r="A3643" s="494">
        <v>94708</v>
      </c>
      <c r="B3643" s="485" t="s">
        <v>17833</v>
      </c>
      <c r="C3643" s="484" t="s">
        <v>65</v>
      </c>
      <c r="D3643" s="486">
        <v>19.100000000000001</v>
      </c>
      <c r="E3643" s="486">
        <v>19.100000000000001</v>
      </c>
    </row>
    <row r="3644" spans="1:5" ht="45">
      <c r="A3644" s="495">
        <v>94709</v>
      </c>
      <c r="B3644" s="348" t="s">
        <v>17834</v>
      </c>
      <c r="C3644" s="349" t="s">
        <v>65</v>
      </c>
      <c r="D3644" s="483">
        <v>22.58</v>
      </c>
      <c r="E3644" s="483">
        <v>22.58</v>
      </c>
    </row>
    <row r="3645" spans="1:5" ht="45">
      <c r="A3645" s="494">
        <v>94710</v>
      </c>
      <c r="B3645" s="485" t="s">
        <v>17835</v>
      </c>
      <c r="C3645" s="484" t="s">
        <v>65</v>
      </c>
      <c r="D3645" s="486">
        <v>29.17</v>
      </c>
      <c r="E3645" s="486">
        <v>29.17</v>
      </c>
    </row>
    <row r="3646" spans="1:5" ht="45">
      <c r="A3646" s="495">
        <v>94711</v>
      </c>
      <c r="B3646" s="348" t="s">
        <v>17836</v>
      </c>
      <c r="C3646" s="349" t="s">
        <v>65</v>
      </c>
      <c r="D3646" s="483">
        <v>38.49</v>
      </c>
      <c r="E3646" s="483">
        <v>38.49</v>
      </c>
    </row>
    <row r="3647" spans="1:5" ht="45">
      <c r="A3647" s="494">
        <v>94712</v>
      </c>
      <c r="B3647" s="485" t="s">
        <v>17837</v>
      </c>
      <c r="C3647" s="484" t="s">
        <v>65</v>
      </c>
      <c r="D3647" s="486">
        <v>49.72</v>
      </c>
      <c r="E3647" s="486">
        <v>49.72</v>
      </c>
    </row>
    <row r="3648" spans="1:5" ht="45">
      <c r="A3648" s="495">
        <v>94713</v>
      </c>
      <c r="B3648" s="348" t="s">
        <v>17838</v>
      </c>
      <c r="C3648" s="349" t="s">
        <v>65</v>
      </c>
      <c r="D3648" s="483">
        <v>149.47999999999999</v>
      </c>
      <c r="E3648" s="483">
        <v>149.47999999999999</v>
      </c>
    </row>
    <row r="3649" spans="1:5" ht="45">
      <c r="A3649" s="494">
        <v>94714</v>
      </c>
      <c r="B3649" s="485" t="s">
        <v>17839</v>
      </c>
      <c r="C3649" s="484" t="s">
        <v>65</v>
      </c>
      <c r="D3649" s="486">
        <v>196.08</v>
      </c>
      <c r="E3649" s="486">
        <v>196.08</v>
      </c>
    </row>
    <row r="3650" spans="1:5" ht="45">
      <c r="A3650" s="495">
        <v>94715</v>
      </c>
      <c r="B3650" s="348" t="s">
        <v>17840</v>
      </c>
      <c r="C3650" s="349" t="s">
        <v>65</v>
      </c>
      <c r="D3650" s="483">
        <v>274.05</v>
      </c>
      <c r="E3650" s="483">
        <v>274.05</v>
      </c>
    </row>
    <row r="3651" spans="1:5" ht="45">
      <c r="A3651" s="494">
        <v>94724</v>
      </c>
      <c r="B3651" s="485" t="s">
        <v>17841</v>
      </c>
      <c r="C3651" s="484" t="s">
        <v>65</v>
      </c>
      <c r="D3651" s="486">
        <v>20.54</v>
      </c>
      <c r="E3651" s="486">
        <v>20.54</v>
      </c>
    </row>
    <row r="3652" spans="1:5" ht="30">
      <c r="A3652" s="495">
        <v>94725</v>
      </c>
      <c r="B3652" s="348" t="s">
        <v>17842</v>
      </c>
      <c r="C3652" s="349" t="s">
        <v>65</v>
      </c>
      <c r="D3652" s="483">
        <v>4.8899999999999997</v>
      </c>
      <c r="E3652" s="483">
        <v>4.8899999999999997</v>
      </c>
    </row>
    <row r="3653" spans="1:5" ht="45">
      <c r="A3653" s="494">
        <v>94726</v>
      </c>
      <c r="B3653" s="485" t="s">
        <v>17843</v>
      </c>
      <c r="C3653" s="484" t="s">
        <v>65</v>
      </c>
      <c r="D3653" s="486">
        <v>31.73</v>
      </c>
      <c r="E3653" s="486">
        <v>31.73</v>
      </c>
    </row>
    <row r="3654" spans="1:5" ht="30">
      <c r="A3654" s="495">
        <v>94727</v>
      </c>
      <c r="B3654" s="348" t="s">
        <v>17844</v>
      </c>
      <c r="C3654" s="349" t="s">
        <v>65</v>
      </c>
      <c r="D3654" s="483">
        <v>6.96</v>
      </c>
      <c r="E3654" s="483">
        <v>6.96</v>
      </c>
    </row>
    <row r="3655" spans="1:5" ht="45">
      <c r="A3655" s="494">
        <v>94728</v>
      </c>
      <c r="B3655" s="485" t="s">
        <v>17845</v>
      </c>
      <c r="C3655" s="484" t="s">
        <v>65</v>
      </c>
      <c r="D3655" s="486">
        <v>120.12</v>
      </c>
      <c r="E3655" s="486">
        <v>120.12</v>
      </c>
    </row>
    <row r="3656" spans="1:5" ht="30">
      <c r="A3656" s="495">
        <v>94729</v>
      </c>
      <c r="B3656" s="348" t="s">
        <v>17846</v>
      </c>
      <c r="C3656" s="349" t="s">
        <v>65</v>
      </c>
      <c r="D3656" s="483">
        <v>12.29</v>
      </c>
      <c r="E3656" s="483">
        <v>12.29</v>
      </c>
    </row>
    <row r="3657" spans="1:5" ht="45">
      <c r="A3657" s="494">
        <v>94730</v>
      </c>
      <c r="B3657" s="485" t="s">
        <v>17847</v>
      </c>
      <c r="C3657" s="484" t="s">
        <v>65</v>
      </c>
      <c r="D3657" s="486">
        <v>145.94</v>
      </c>
      <c r="E3657" s="486">
        <v>145.94</v>
      </c>
    </row>
    <row r="3658" spans="1:5" ht="30">
      <c r="A3658" s="495">
        <v>94731</v>
      </c>
      <c r="B3658" s="348" t="s">
        <v>17848</v>
      </c>
      <c r="C3658" s="349" t="s">
        <v>65</v>
      </c>
      <c r="D3658" s="483">
        <v>15.43</v>
      </c>
      <c r="E3658" s="483">
        <v>15.43</v>
      </c>
    </row>
    <row r="3659" spans="1:5" ht="30">
      <c r="A3659" s="494">
        <v>94733</v>
      </c>
      <c r="B3659" s="485" t="s">
        <v>17849</v>
      </c>
      <c r="C3659" s="484" t="s">
        <v>65</v>
      </c>
      <c r="D3659" s="486">
        <v>29.96</v>
      </c>
      <c r="E3659" s="486">
        <v>29.96</v>
      </c>
    </row>
    <row r="3660" spans="1:5" ht="30">
      <c r="A3660" s="495">
        <v>94737</v>
      </c>
      <c r="B3660" s="348" t="s">
        <v>17850</v>
      </c>
      <c r="C3660" s="349" t="s">
        <v>65</v>
      </c>
      <c r="D3660" s="483">
        <v>125.53</v>
      </c>
      <c r="E3660" s="483">
        <v>125.53</v>
      </c>
    </row>
    <row r="3661" spans="1:5" ht="45">
      <c r="A3661" s="494">
        <v>94740</v>
      </c>
      <c r="B3661" s="485" t="s">
        <v>17851</v>
      </c>
      <c r="C3661" s="484" t="s">
        <v>65</v>
      </c>
      <c r="D3661" s="486">
        <v>7.74</v>
      </c>
      <c r="E3661" s="486">
        <v>7.74</v>
      </c>
    </row>
    <row r="3662" spans="1:5" ht="45">
      <c r="A3662" s="495">
        <v>94741</v>
      </c>
      <c r="B3662" s="348" t="s">
        <v>17852</v>
      </c>
      <c r="C3662" s="349" t="s">
        <v>65</v>
      </c>
      <c r="D3662" s="483">
        <v>9.6300000000000008</v>
      </c>
      <c r="E3662" s="483">
        <v>9.6300000000000008</v>
      </c>
    </row>
    <row r="3663" spans="1:5" ht="45">
      <c r="A3663" s="494">
        <v>94742</v>
      </c>
      <c r="B3663" s="485" t="s">
        <v>17853</v>
      </c>
      <c r="C3663" s="484" t="s">
        <v>65</v>
      </c>
      <c r="D3663" s="486">
        <v>11.75</v>
      </c>
      <c r="E3663" s="486">
        <v>11.75</v>
      </c>
    </row>
    <row r="3664" spans="1:5" ht="45">
      <c r="A3664" s="495">
        <v>94743</v>
      </c>
      <c r="B3664" s="348" t="s">
        <v>17854</v>
      </c>
      <c r="C3664" s="349" t="s">
        <v>65</v>
      </c>
      <c r="D3664" s="483">
        <v>12.94</v>
      </c>
      <c r="E3664" s="483">
        <v>12.94</v>
      </c>
    </row>
    <row r="3665" spans="1:5" ht="45">
      <c r="A3665" s="494">
        <v>94744</v>
      </c>
      <c r="B3665" s="485" t="s">
        <v>17855</v>
      </c>
      <c r="C3665" s="484" t="s">
        <v>65</v>
      </c>
      <c r="D3665" s="486">
        <v>18.73</v>
      </c>
      <c r="E3665" s="486">
        <v>18.73</v>
      </c>
    </row>
    <row r="3666" spans="1:5" ht="45">
      <c r="A3666" s="495">
        <v>94746</v>
      </c>
      <c r="B3666" s="348" t="s">
        <v>17856</v>
      </c>
      <c r="C3666" s="349" t="s">
        <v>65</v>
      </c>
      <c r="D3666" s="483">
        <v>26.7</v>
      </c>
      <c r="E3666" s="483">
        <v>26.7</v>
      </c>
    </row>
    <row r="3667" spans="1:5" ht="45">
      <c r="A3667" s="494">
        <v>94748</v>
      </c>
      <c r="B3667" s="485" t="s">
        <v>17857</v>
      </c>
      <c r="C3667" s="484" t="s">
        <v>65</v>
      </c>
      <c r="D3667" s="486">
        <v>55.08</v>
      </c>
      <c r="E3667" s="486">
        <v>55.08</v>
      </c>
    </row>
    <row r="3668" spans="1:5" ht="45">
      <c r="A3668" s="495">
        <v>94750</v>
      </c>
      <c r="B3668" s="348" t="s">
        <v>17858</v>
      </c>
      <c r="C3668" s="349" t="s">
        <v>65</v>
      </c>
      <c r="D3668" s="483">
        <v>130.46</v>
      </c>
      <c r="E3668" s="483">
        <v>130.46</v>
      </c>
    </row>
    <row r="3669" spans="1:5" ht="45">
      <c r="A3669" s="494">
        <v>94752</v>
      </c>
      <c r="B3669" s="485" t="s">
        <v>17859</v>
      </c>
      <c r="C3669" s="484" t="s">
        <v>65</v>
      </c>
      <c r="D3669" s="486">
        <v>159.19999999999999</v>
      </c>
      <c r="E3669" s="486">
        <v>159.19999999999999</v>
      </c>
    </row>
    <row r="3670" spans="1:5" ht="30">
      <c r="A3670" s="495">
        <v>94756</v>
      </c>
      <c r="B3670" s="348" t="s">
        <v>17860</v>
      </c>
      <c r="C3670" s="349" t="s">
        <v>65</v>
      </c>
      <c r="D3670" s="483">
        <v>9.7799999999999994</v>
      </c>
      <c r="E3670" s="483">
        <v>9.7799999999999994</v>
      </c>
    </row>
    <row r="3671" spans="1:5" ht="30">
      <c r="A3671" s="494">
        <v>94757</v>
      </c>
      <c r="B3671" s="485" t="s">
        <v>17861</v>
      </c>
      <c r="C3671" s="484" t="s">
        <v>65</v>
      </c>
      <c r="D3671" s="486">
        <v>13.35</v>
      </c>
      <c r="E3671" s="486">
        <v>13.35</v>
      </c>
    </row>
    <row r="3672" spans="1:5" ht="30">
      <c r="A3672" s="495">
        <v>94758</v>
      </c>
      <c r="B3672" s="348" t="s">
        <v>17862</v>
      </c>
      <c r="C3672" s="349" t="s">
        <v>65</v>
      </c>
      <c r="D3672" s="483">
        <v>34.11</v>
      </c>
      <c r="E3672" s="483">
        <v>34.11</v>
      </c>
    </row>
    <row r="3673" spans="1:5" ht="30">
      <c r="A3673" s="494">
        <v>94759</v>
      </c>
      <c r="B3673" s="485" t="s">
        <v>17863</v>
      </c>
      <c r="C3673" s="484" t="s">
        <v>65</v>
      </c>
      <c r="D3673" s="486">
        <v>42.06</v>
      </c>
      <c r="E3673" s="486">
        <v>42.06</v>
      </c>
    </row>
    <row r="3674" spans="1:5" ht="30">
      <c r="A3674" s="495">
        <v>94760</v>
      </c>
      <c r="B3674" s="348" t="s">
        <v>17864</v>
      </c>
      <c r="C3674" s="349" t="s">
        <v>65</v>
      </c>
      <c r="D3674" s="483">
        <v>69.11</v>
      </c>
      <c r="E3674" s="483">
        <v>69.11</v>
      </c>
    </row>
    <row r="3675" spans="1:5" ht="30">
      <c r="A3675" s="494">
        <v>94761</v>
      </c>
      <c r="B3675" s="485" t="s">
        <v>17865</v>
      </c>
      <c r="C3675" s="484" t="s">
        <v>65</v>
      </c>
      <c r="D3675" s="486">
        <v>148.78</v>
      </c>
      <c r="E3675" s="486">
        <v>148.78</v>
      </c>
    </row>
    <row r="3676" spans="1:5" ht="30">
      <c r="A3676" s="495">
        <v>94762</v>
      </c>
      <c r="B3676" s="348" t="s">
        <v>17866</v>
      </c>
      <c r="C3676" s="349" t="s">
        <v>65</v>
      </c>
      <c r="D3676" s="483">
        <v>190.53</v>
      </c>
      <c r="E3676" s="483">
        <v>190.53</v>
      </c>
    </row>
    <row r="3677" spans="1:5" ht="45">
      <c r="A3677" s="494">
        <v>94783</v>
      </c>
      <c r="B3677" s="485" t="s">
        <v>17867</v>
      </c>
      <c r="C3677" s="484" t="s">
        <v>65</v>
      </c>
      <c r="D3677" s="486">
        <v>14.99</v>
      </c>
      <c r="E3677" s="486">
        <v>14.99</v>
      </c>
    </row>
    <row r="3678" spans="1:5" ht="45">
      <c r="A3678" s="495">
        <v>94785</v>
      </c>
      <c r="B3678" s="348" t="s">
        <v>17868</v>
      </c>
      <c r="C3678" s="349" t="s">
        <v>65</v>
      </c>
      <c r="D3678" s="483">
        <v>27.3</v>
      </c>
      <c r="E3678" s="483">
        <v>27.3</v>
      </c>
    </row>
    <row r="3679" spans="1:5" ht="45">
      <c r="A3679" s="494">
        <v>94786</v>
      </c>
      <c r="B3679" s="485" t="s">
        <v>1498</v>
      </c>
      <c r="C3679" s="484" t="s">
        <v>65</v>
      </c>
      <c r="D3679" s="486">
        <v>36.06</v>
      </c>
      <c r="E3679" s="486">
        <v>36.06</v>
      </c>
    </row>
    <row r="3680" spans="1:5" ht="45">
      <c r="A3680" s="495">
        <v>94787</v>
      </c>
      <c r="B3680" s="348" t="s">
        <v>1499</v>
      </c>
      <c r="C3680" s="349" t="s">
        <v>65</v>
      </c>
      <c r="D3680" s="483">
        <v>46.38</v>
      </c>
      <c r="E3680" s="483">
        <v>46.38</v>
      </c>
    </row>
    <row r="3681" spans="1:5" ht="45">
      <c r="A3681" s="494">
        <v>94788</v>
      </c>
      <c r="B3681" s="485" t="s">
        <v>17869</v>
      </c>
      <c r="C3681" s="484" t="s">
        <v>65</v>
      </c>
      <c r="D3681" s="486">
        <v>61.47</v>
      </c>
      <c r="E3681" s="486">
        <v>61.47</v>
      </c>
    </row>
    <row r="3682" spans="1:5" ht="45">
      <c r="A3682" s="495">
        <v>94789</v>
      </c>
      <c r="B3682" s="348" t="s">
        <v>1501</v>
      </c>
      <c r="C3682" s="349" t="s">
        <v>65</v>
      </c>
      <c r="D3682" s="483">
        <v>195.19</v>
      </c>
      <c r="E3682" s="483">
        <v>195.19</v>
      </c>
    </row>
    <row r="3683" spans="1:5" ht="45">
      <c r="A3683" s="494">
        <v>94790</v>
      </c>
      <c r="B3683" s="485" t="s">
        <v>17870</v>
      </c>
      <c r="C3683" s="484" t="s">
        <v>65</v>
      </c>
      <c r="D3683" s="486">
        <v>257.64</v>
      </c>
      <c r="E3683" s="486">
        <v>257.64</v>
      </c>
    </row>
    <row r="3684" spans="1:5" ht="45">
      <c r="A3684" s="495">
        <v>94791</v>
      </c>
      <c r="B3684" s="348" t="s">
        <v>17871</v>
      </c>
      <c r="C3684" s="349" t="s">
        <v>65</v>
      </c>
      <c r="D3684" s="483">
        <v>384.96</v>
      </c>
      <c r="E3684" s="483">
        <v>384.96</v>
      </c>
    </row>
    <row r="3685" spans="1:5" ht="30">
      <c r="A3685" s="494">
        <v>94863</v>
      </c>
      <c r="B3685" s="485" t="s">
        <v>17872</v>
      </c>
      <c r="C3685" s="484" t="s">
        <v>65</v>
      </c>
      <c r="D3685" s="486">
        <v>106.93</v>
      </c>
      <c r="E3685" s="486">
        <v>106.93</v>
      </c>
    </row>
    <row r="3686" spans="1:5" ht="45">
      <c r="A3686" s="495">
        <v>95141</v>
      </c>
      <c r="B3686" s="348" t="s">
        <v>17873</v>
      </c>
      <c r="C3686" s="349" t="s">
        <v>65</v>
      </c>
      <c r="D3686" s="483">
        <v>24.19</v>
      </c>
      <c r="E3686" s="483">
        <v>24.19</v>
      </c>
    </row>
    <row r="3687" spans="1:5" ht="30">
      <c r="A3687" s="494">
        <v>95237</v>
      </c>
      <c r="B3687" s="485" t="s">
        <v>17874</v>
      </c>
      <c r="C3687" s="484" t="s">
        <v>65</v>
      </c>
      <c r="D3687" s="486">
        <v>16.66</v>
      </c>
      <c r="E3687" s="486">
        <v>16.66</v>
      </c>
    </row>
    <row r="3688" spans="1:5" ht="30">
      <c r="A3688" s="495">
        <v>95693</v>
      </c>
      <c r="B3688" s="348" t="s">
        <v>17875</v>
      </c>
      <c r="C3688" s="349" t="s">
        <v>65</v>
      </c>
      <c r="D3688" s="483">
        <v>37.53</v>
      </c>
      <c r="E3688" s="483">
        <v>37.53</v>
      </c>
    </row>
    <row r="3689" spans="1:5" ht="30">
      <c r="A3689" s="494">
        <v>95694</v>
      </c>
      <c r="B3689" s="485" t="s">
        <v>11060</v>
      </c>
      <c r="C3689" s="484" t="s">
        <v>65</v>
      </c>
      <c r="D3689" s="486">
        <v>46.53</v>
      </c>
      <c r="E3689" s="486">
        <v>46.53</v>
      </c>
    </row>
    <row r="3690" spans="1:5" ht="30">
      <c r="A3690" s="495">
        <v>95695</v>
      </c>
      <c r="B3690" s="348" t="s">
        <v>17876</v>
      </c>
      <c r="C3690" s="349" t="s">
        <v>65</v>
      </c>
      <c r="D3690" s="483">
        <v>45.18</v>
      </c>
      <c r="E3690" s="483">
        <v>45.18</v>
      </c>
    </row>
    <row r="3691" spans="1:5" ht="30">
      <c r="A3691" s="494">
        <v>95696</v>
      </c>
      <c r="B3691" s="485" t="s">
        <v>17877</v>
      </c>
      <c r="C3691" s="484" t="s">
        <v>65</v>
      </c>
      <c r="D3691" s="486">
        <v>26.28</v>
      </c>
      <c r="E3691" s="486">
        <v>26.28</v>
      </c>
    </row>
    <row r="3692" spans="1:5">
      <c r="A3692" s="495">
        <v>6171</v>
      </c>
      <c r="B3692" s="348" t="s">
        <v>725</v>
      </c>
      <c r="C3692" s="349" t="s">
        <v>65</v>
      </c>
      <c r="D3692" s="483">
        <v>21.66</v>
      </c>
      <c r="E3692" s="483">
        <v>21.66</v>
      </c>
    </row>
    <row r="3693" spans="1:5">
      <c r="A3693" s="494">
        <v>72289</v>
      </c>
      <c r="B3693" s="485" t="s">
        <v>726</v>
      </c>
      <c r="C3693" s="484" t="s">
        <v>65</v>
      </c>
      <c r="D3693" s="486">
        <v>315.89999999999998</v>
      </c>
      <c r="E3693" s="486">
        <v>315.89999999999998</v>
      </c>
    </row>
    <row r="3694" spans="1:5">
      <c r="A3694" s="495">
        <v>72290</v>
      </c>
      <c r="B3694" s="348" t="s">
        <v>727</v>
      </c>
      <c r="C3694" s="349" t="s">
        <v>65</v>
      </c>
      <c r="D3694" s="483">
        <v>356.07</v>
      </c>
      <c r="E3694" s="483">
        <v>356.07</v>
      </c>
    </row>
    <row r="3695" spans="1:5" ht="30">
      <c r="A3695" s="484" t="s">
        <v>17878</v>
      </c>
      <c r="B3695" s="485" t="s">
        <v>17879</v>
      </c>
      <c r="C3695" s="484" t="s">
        <v>65</v>
      </c>
      <c r="D3695" s="486">
        <v>197.07</v>
      </c>
      <c r="E3695" s="486">
        <v>197.07</v>
      </c>
    </row>
    <row r="3696" spans="1:5" ht="30">
      <c r="A3696" s="349" t="s">
        <v>17880</v>
      </c>
      <c r="B3696" s="348" t="s">
        <v>17881</v>
      </c>
      <c r="C3696" s="349" t="s">
        <v>65</v>
      </c>
      <c r="D3696" s="483">
        <v>125.96</v>
      </c>
      <c r="E3696" s="483">
        <v>125.96</v>
      </c>
    </row>
    <row r="3697" spans="1:5" ht="45">
      <c r="A3697" s="484" t="s">
        <v>17882</v>
      </c>
      <c r="B3697" s="485" t="s">
        <v>17883</v>
      </c>
      <c r="C3697" s="484" t="s">
        <v>65</v>
      </c>
      <c r="D3697" s="486">
        <v>128.79</v>
      </c>
      <c r="E3697" s="486">
        <v>128.79</v>
      </c>
    </row>
    <row r="3698" spans="1:5" ht="30">
      <c r="A3698" s="349" t="s">
        <v>17884</v>
      </c>
      <c r="B3698" s="348" t="s">
        <v>3050</v>
      </c>
      <c r="C3698" s="349" t="s">
        <v>65</v>
      </c>
      <c r="D3698" s="483">
        <v>197.72</v>
      </c>
      <c r="E3698" s="483">
        <v>197.72</v>
      </c>
    </row>
    <row r="3699" spans="1:5" ht="45">
      <c r="A3699" s="484" t="s">
        <v>17885</v>
      </c>
      <c r="B3699" s="485" t="s">
        <v>3049</v>
      </c>
      <c r="C3699" s="484" t="s">
        <v>65</v>
      </c>
      <c r="D3699" s="486">
        <v>231.38</v>
      </c>
      <c r="E3699" s="486">
        <v>231.38</v>
      </c>
    </row>
    <row r="3700" spans="1:5">
      <c r="A3700" s="495">
        <v>88503</v>
      </c>
      <c r="B3700" s="348" t="s">
        <v>3027</v>
      </c>
      <c r="C3700" s="349" t="s">
        <v>65</v>
      </c>
      <c r="D3700" s="483">
        <v>712.26</v>
      </c>
      <c r="E3700" s="483">
        <v>712.26</v>
      </c>
    </row>
    <row r="3701" spans="1:5">
      <c r="A3701" s="494">
        <v>88504</v>
      </c>
      <c r="B3701" s="485" t="s">
        <v>3028</v>
      </c>
      <c r="C3701" s="484" t="s">
        <v>65</v>
      </c>
      <c r="D3701" s="486">
        <v>567.19000000000005</v>
      </c>
      <c r="E3701" s="486">
        <v>567.19000000000005</v>
      </c>
    </row>
    <row r="3702" spans="1:5" ht="30">
      <c r="A3702" s="495">
        <v>89482</v>
      </c>
      <c r="B3702" s="348" t="s">
        <v>17886</v>
      </c>
      <c r="C3702" s="349" t="s">
        <v>65</v>
      </c>
      <c r="D3702" s="483">
        <v>15.91</v>
      </c>
      <c r="E3702" s="483">
        <v>15.91</v>
      </c>
    </row>
    <row r="3703" spans="1:5" ht="30">
      <c r="A3703" s="494">
        <v>89491</v>
      </c>
      <c r="B3703" s="485" t="s">
        <v>17887</v>
      </c>
      <c r="C3703" s="484" t="s">
        <v>65</v>
      </c>
      <c r="D3703" s="486">
        <v>37.71</v>
      </c>
      <c r="E3703" s="486">
        <v>37.71</v>
      </c>
    </row>
    <row r="3704" spans="1:5" ht="30">
      <c r="A3704" s="495">
        <v>89495</v>
      </c>
      <c r="B3704" s="348" t="s">
        <v>17888</v>
      </c>
      <c r="C3704" s="349" t="s">
        <v>65</v>
      </c>
      <c r="D3704" s="483">
        <v>6.09</v>
      </c>
      <c r="E3704" s="483">
        <v>6.09</v>
      </c>
    </row>
    <row r="3705" spans="1:5" ht="30">
      <c r="A3705" s="494">
        <v>89707</v>
      </c>
      <c r="B3705" s="485" t="s">
        <v>17889</v>
      </c>
      <c r="C3705" s="484" t="s">
        <v>65</v>
      </c>
      <c r="D3705" s="486">
        <v>19.96</v>
      </c>
      <c r="E3705" s="486">
        <v>19.96</v>
      </c>
    </row>
    <row r="3706" spans="1:5" ht="30">
      <c r="A3706" s="495">
        <v>89708</v>
      </c>
      <c r="B3706" s="348" t="s">
        <v>17890</v>
      </c>
      <c r="C3706" s="349" t="s">
        <v>65</v>
      </c>
      <c r="D3706" s="483">
        <v>43.25</v>
      </c>
      <c r="E3706" s="483">
        <v>43.25</v>
      </c>
    </row>
    <row r="3707" spans="1:5" ht="30">
      <c r="A3707" s="494">
        <v>89709</v>
      </c>
      <c r="B3707" s="485" t="s">
        <v>17891</v>
      </c>
      <c r="C3707" s="484" t="s">
        <v>65</v>
      </c>
      <c r="D3707" s="486">
        <v>7.29</v>
      </c>
      <c r="E3707" s="486">
        <v>7.29</v>
      </c>
    </row>
    <row r="3708" spans="1:5" ht="30">
      <c r="A3708" s="495">
        <v>89710</v>
      </c>
      <c r="B3708" s="348" t="s">
        <v>8528</v>
      </c>
      <c r="C3708" s="349" t="s">
        <v>65</v>
      </c>
      <c r="D3708" s="483">
        <v>7.15</v>
      </c>
      <c r="E3708" s="483">
        <v>7.15</v>
      </c>
    </row>
    <row r="3709" spans="1:5" ht="45">
      <c r="A3709" s="494">
        <v>72739</v>
      </c>
      <c r="B3709" s="485" t="s">
        <v>17892</v>
      </c>
      <c r="C3709" s="484" t="s">
        <v>65</v>
      </c>
      <c r="D3709" s="486">
        <v>420.54</v>
      </c>
      <c r="E3709" s="486">
        <v>420.54</v>
      </c>
    </row>
    <row r="3710" spans="1:5" ht="45">
      <c r="A3710" s="349" t="s">
        <v>17893</v>
      </c>
      <c r="B3710" s="348" t="s">
        <v>17894</v>
      </c>
      <c r="C3710" s="349" t="s">
        <v>65</v>
      </c>
      <c r="D3710" s="483">
        <v>446.28</v>
      </c>
      <c r="E3710" s="483">
        <v>446.28</v>
      </c>
    </row>
    <row r="3711" spans="1:5" ht="30">
      <c r="A3711" s="494">
        <v>86872</v>
      </c>
      <c r="B3711" s="485" t="s">
        <v>9186</v>
      </c>
      <c r="C3711" s="484" t="s">
        <v>65</v>
      </c>
      <c r="D3711" s="486">
        <v>570.37</v>
      </c>
      <c r="E3711" s="486">
        <v>570.37</v>
      </c>
    </row>
    <row r="3712" spans="1:5" ht="30">
      <c r="A3712" s="495">
        <v>86874</v>
      </c>
      <c r="B3712" s="348" t="s">
        <v>17895</v>
      </c>
      <c r="C3712" s="349" t="s">
        <v>65</v>
      </c>
      <c r="D3712" s="483">
        <v>348.92</v>
      </c>
      <c r="E3712" s="483">
        <v>348.92</v>
      </c>
    </row>
    <row r="3713" spans="1:5" ht="30">
      <c r="A3713" s="494">
        <v>86875</v>
      </c>
      <c r="B3713" s="485" t="s">
        <v>17896</v>
      </c>
      <c r="C3713" s="484" t="s">
        <v>65</v>
      </c>
      <c r="D3713" s="486">
        <v>335.88</v>
      </c>
      <c r="E3713" s="486">
        <v>335.88</v>
      </c>
    </row>
    <row r="3714" spans="1:5" ht="30">
      <c r="A3714" s="495">
        <v>86876</v>
      </c>
      <c r="B3714" s="348" t="s">
        <v>17897</v>
      </c>
      <c r="C3714" s="349" t="s">
        <v>65</v>
      </c>
      <c r="D3714" s="483">
        <v>189.22</v>
      </c>
      <c r="E3714" s="483">
        <v>189.22</v>
      </c>
    </row>
    <row r="3715" spans="1:5" ht="30">
      <c r="A3715" s="494">
        <v>86877</v>
      </c>
      <c r="B3715" s="485" t="s">
        <v>10723</v>
      </c>
      <c r="C3715" s="484" t="s">
        <v>65</v>
      </c>
      <c r="D3715" s="486">
        <v>22.93</v>
      </c>
      <c r="E3715" s="486">
        <v>22.93</v>
      </c>
    </row>
    <row r="3716" spans="1:5" ht="30">
      <c r="A3716" s="495">
        <v>86878</v>
      </c>
      <c r="B3716" s="348" t="s">
        <v>17898</v>
      </c>
      <c r="C3716" s="349" t="s">
        <v>65</v>
      </c>
      <c r="D3716" s="483">
        <v>39.26</v>
      </c>
      <c r="E3716" s="483">
        <v>39.26</v>
      </c>
    </row>
    <row r="3717" spans="1:5" ht="30">
      <c r="A3717" s="494">
        <v>86879</v>
      </c>
      <c r="B3717" s="485" t="s">
        <v>17899</v>
      </c>
      <c r="C3717" s="484" t="s">
        <v>65</v>
      </c>
      <c r="D3717" s="486">
        <v>5.05</v>
      </c>
      <c r="E3717" s="486">
        <v>5.05</v>
      </c>
    </row>
    <row r="3718" spans="1:5" ht="30">
      <c r="A3718" s="495">
        <v>86880</v>
      </c>
      <c r="B3718" s="348" t="s">
        <v>17900</v>
      </c>
      <c r="C3718" s="349" t="s">
        <v>65</v>
      </c>
      <c r="D3718" s="483">
        <v>13.63</v>
      </c>
      <c r="E3718" s="483">
        <v>13.63</v>
      </c>
    </row>
    <row r="3719" spans="1:5" ht="30">
      <c r="A3719" s="494">
        <v>86881</v>
      </c>
      <c r="B3719" s="485" t="s">
        <v>17901</v>
      </c>
      <c r="C3719" s="484" t="s">
        <v>65</v>
      </c>
      <c r="D3719" s="486">
        <v>109.78</v>
      </c>
      <c r="E3719" s="486">
        <v>109.78</v>
      </c>
    </row>
    <row r="3720" spans="1:5" ht="30">
      <c r="A3720" s="495">
        <v>86882</v>
      </c>
      <c r="B3720" s="348" t="s">
        <v>17902</v>
      </c>
      <c r="C3720" s="349" t="s">
        <v>65</v>
      </c>
      <c r="D3720" s="483">
        <v>14.14</v>
      </c>
      <c r="E3720" s="483">
        <v>14.14</v>
      </c>
    </row>
    <row r="3721" spans="1:5">
      <c r="A3721" s="494">
        <v>86883</v>
      </c>
      <c r="B3721" s="485" t="s">
        <v>17903</v>
      </c>
      <c r="C3721" s="484" t="s">
        <v>65</v>
      </c>
      <c r="D3721" s="486">
        <v>8.07</v>
      </c>
      <c r="E3721" s="486">
        <v>8.07</v>
      </c>
    </row>
    <row r="3722" spans="1:5" ht="30">
      <c r="A3722" s="495">
        <v>86884</v>
      </c>
      <c r="B3722" s="348" t="s">
        <v>17904</v>
      </c>
      <c r="C3722" s="349" t="s">
        <v>65</v>
      </c>
      <c r="D3722" s="483">
        <v>6.23</v>
      </c>
      <c r="E3722" s="483">
        <v>6.23</v>
      </c>
    </row>
    <row r="3723" spans="1:5" ht="30">
      <c r="A3723" s="494">
        <v>86885</v>
      </c>
      <c r="B3723" s="485" t="s">
        <v>17905</v>
      </c>
      <c r="C3723" s="484" t="s">
        <v>65</v>
      </c>
      <c r="D3723" s="486">
        <v>7.72</v>
      </c>
      <c r="E3723" s="486">
        <v>7.72</v>
      </c>
    </row>
    <row r="3724" spans="1:5">
      <c r="A3724" s="495">
        <v>86886</v>
      </c>
      <c r="B3724" s="348" t="s">
        <v>17906</v>
      </c>
      <c r="C3724" s="349" t="s">
        <v>65</v>
      </c>
      <c r="D3724" s="483">
        <v>27.22</v>
      </c>
      <c r="E3724" s="483">
        <v>27.22</v>
      </c>
    </row>
    <row r="3725" spans="1:5">
      <c r="A3725" s="494">
        <v>86887</v>
      </c>
      <c r="B3725" s="485" t="s">
        <v>17907</v>
      </c>
      <c r="C3725" s="484" t="s">
        <v>65</v>
      </c>
      <c r="D3725" s="486">
        <v>29.46</v>
      </c>
      <c r="E3725" s="486">
        <v>29.46</v>
      </c>
    </row>
    <row r="3726" spans="1:5" ht="30">
      <c r="A3726" s="495">
        <v>86888</v>
      </c>
      <c r="B3726" s="348" t="s">
        <v>11063</v>
      </c>
      <c r="C3726" s="349" t="s">
        <v>65</v>
      </c>
      <c r="D3726" s="483">
        <v>340.21</v>
      </c>
      <c r="E3726" s="483">
        <v>340.21</v>
      </c>
    </row>
    <row r="3727" spans="1:5" ht="30">
      <c r="A3727" s="494">
        <v>86889</v>
      </c>
      <c r="B3727" s="485" t="s">
        <v>17908</v>
      </c>
      <c r="C3727" s="484" t="s">
        <v>65</v>
      </c>
      <c r="D3727" s="486">
        <v>356.42</v>
      </c>
      <c r="E3727" s="486">
        <v>356.42</v>
      </c>
    </row>
    <row r="3728" spans="1:5" ht="30">
      <c r="A3728" s="495">
        <v>86893</v>
      </c>
      <c r="B3728" s="348" t="s">
        <v>17909</v>
      </c>
      <c r="C3728" s="349" t="s">
        <v>65</v>
      </c>
      <c r="D3728" s="483">
        <v>319.22000000000003</v>
      </c>
      <c r="E3728" s="483">
        <v>319.22000000000003</v>
      </c>
    </row>
    <row r="3729" spans="1:5" ht="30">
      <c r="A3729" s="494">
        <v>86894</v>
      </c>
      <c r="B3729" s="485" t="s">
        <v>17910</v>
      </c>
      <c r="C3729" s="484" t="s">
        <v>65</v>
      </c>
      <c r="D3729" s="486">
        <v>230.85</v>
      </c>
      <c r="E3729" s="486">
        <v>230.85</v>
      </c>
    </row>
    <row r="3730" spans="1:5" ht="30">
      <c r="A3730" s="495">
        <v>86895</v>
      </c>
      <c r="B3730" s="348" t="s">
        <v>17911</v>
      </c>
      <c r="C3730" s="349" t="s">
        <v>65</v>
      </c>
      <c r="D3730" s="483">
        <v>192.3</v>
      </c>
      <c r="E3730" s="483">
        <v>192.3</v>
      </c>
    </row>
    <row r="3731" spans="1:5" ht="30">
      <c r="A3731" s="494">
        <v>86899</v>
      </c>
      <c r="B3731" s="485" t="s">
        <v>17912</v>
      </c>
      <c r="C3731" s="484" t="s">
        <v>65</v>
      </c>
      <c r="D3731" s="486">
        <v>178.34</v>
      </c>
      <c r="E3731" s="486">
        <v>178.34</v>
      </c>
    </row>
    <row r="3732" spans="1:5">
      <c r="A3732" s="495">
        <v>86900</v>
      </c>
      <c r="B3732" s="348" t="s">
        <v>17913</v>
      </c>
      <c r="C3732" s="349" t="s">
        <v>65</v>
      </c>
      <c r="D3732" s="483">
        <v>128.30000000000001</v>
      </c>
      <c r="E3732" s="483">
        <v>128.30000000000001</v>
      </c>
    </row>
    <row r="3733" spans="1:5" ht="30">
      <c r="A3733" s="494">
        <v>86901</v>
      </c>
      <c r="B3733" s="485" t="s">
        <v>17914</v>
      </c>
      <c r="C3733" s="484" t="s">
        <v>65</v>
      </c>
      <c r="D3733" s="486">
        <v>106.18</v>
      </c>
      <c r="E3733" s="486">
        <v>106.18</v>
      </c>
    </row>
    <row r="3734" spans="1:5" ht="30">
      <c r="A3734" s="495">
        <v>86902</v>
      </c>
      <c r="B3734" s="348" t="s">
        <v>17915</v>
      </c>
      <c r="C3734" s="349" t="s">
        <v>65</v>
      </c>
      <c r="D3734" s="483">
        <v>184.02</v>
      </c>
      <c r="E3734" s="483">
        <v>184.02</v>
      </c>
    </row>
    <row r="3735" spans="1:5" ht="30">
      <c r="A3735" s="494">
        <v>86903</v>
      </c>
      <c r="B3735" s="485" t="s">
        <v>17916</v>
      </c>
      <c r="C3735" s="484" t="s">
        <v>65</v>
      </c>
      <c r="D3735" s="486">
        <v>247.59</v>
      </c>
      <c r="E3735" s="486">
        <v>247.59</v>
      </c>
    </row>
    <row r="3736" spans="1:5" ht="30">
      <c r="A3736" s="495">
        <v>86904</v>
      </c>
      <c r="B3736" s="348" t="s">
        <v>17917</v>
      </c>
      <c r="C3736" s="349" t="s">
        <v>65</v>
      </c>
      <c r="D3736" s="483">
        <v>97.93</v>
      </c>
      <c r="E3736" s="483">
        <v>97.93</v>
      </c>
    </row>
    <row r="3737" spans="1:5" ht="30">
      <c r="A3737" s="494">
        <v>86905</v>
      </c>
      <c r="B3737" s="485" t="s">
        <v>17918</v>
      </c>
      <c r="C3737" s="484" t="s">
        <v>65</v>
      </c>
      <c r="D3737" s="486">
        <v>189.65</v>
      </c>
      <c r="E3737" s="486">
        <v>189.65</v>
      </c>
    </row>
    <row r="3738" spans="1:5" ht="30">
      <c r="A3738" s="495">
        <v>86906</v>
      </c>
      <c r="B3738" s="348" t="s">
        <v>9770</v>
      </c>
      <c r="C3738" s="349" t="s">
        <v>65</v>
      </c>
      <c r="D3738" s="483">
        <v>44.34</v>
      </c>
      <c r="E3738" s="483">
        <v>44.34</v>
      </c>
    </row>
    <row r="3739" spans="1:5" ht="30">
      <c r="A3739" s="494">
        <v>86908</v>
      </c>
      <c r="B3739" s="485" t="s">
        <v>17919</v>
      </c>
      <c r="C3739" s="484" t="s">
        <v>65</v>
      </c>
      <c r="D3739" s="486">
        <v>227.29</v>
      </c>
      <c r="E3739" s="486">
        <v>227.29</v>
      </c>
    </row>
    <row r="3740" spans="1:5" ht="30">
      <c r="A3740" s="495">
        <v>86909</v>
      </c>
      <c r="B3740" s="348" t="s">
        <v>17920</v>
      </c>
      <c r="C3740" s="349" t="s">
        <v>65</v>
      </c>
      <c r="D3740" s="483">
        <v>88.6</v>
      </c>
      <c r="E3740" s="483">
        <v>88.6</v>
      </c>
    </row>
    <row r="3741" spans="1:5" ht="30">
      <c r="A3741" s="494">
        <v>86910</v>
      </c>
      <c r="B3741" s="485" t="s">
        <v>17921</v>
      </c>
      <c r="C3741" s="484" t="s">
        <v>65</v>
      </c>
      <c r="D3741" s="486">
        <v>84.77</v>
      </c>
      <c r="E3741" s="486">
        <v>84.77</v>
      </c>
    </row>
    <row r="3742" spans="1:5" ht="30">
      <c r="A3742" s="495">
        <v>86911</v>
      </c>
      <c r="B3742" s="348" t="s">
        <v>734</v>
      </c>
      <c r="C3742" s="349" t="s">
        <v>65</v>
      </c>
      <c r="D3742" s="483">
        <v>37.619999999999997</v>
      </c>
      <c r="E3742" s="483">
        <v>37.619999999999997</v>
      </c>
    </row>
    <row r="3743" spans="1:5" ht="30">
      <c r="A3743" s="494">
        <v>86912</v>
      </c>
      <c r="B3743" s="485" t="s">
        <v>9776</v>
      </c>
      <c r="C3743" s="484" t="s">
        <v>65</v>
      </c>
      <c r="D3743" s="486">
        <v>37.619999999999997</v>
      </c>
      <c r="E3743" s="486">
        <v>37.619999999999997</v>
      </c>
    </row>
    <row r="3744" spans="1:5" ht="30">
      <c r="A3744" s="495">
        <v>86913</v>
      </c>
      <c r="B3744" s="348" t="s">
        <v>17922</v>
      </c>
      <c r="C3744" s="349" t="s">
        <v>65</v>
      </c>
      <c r="D3744" s="483">
        <v>16.82</v>
      </c>
      <c r="E3744" s="483">
        <v>16.82</v>
      </c>
    </row>
    <row r="3745" spans="1:5" ht="30">
      <c r="A3745" s="494">
        <v>86914</v>
      </c>
      <c r="B3745" s="485" t="s">
        <v>735</v>
      </c>
      <c r="C3745" s="484" t="s">
        <v>65</v>
      </c>
      <c r="D3745" s="486">
        <v>34.22</v>
      </c>
      <c r="E3745" s="486">
        <v>34.22</v>
      </c>
    </row>
    <row r="3746" spans="1:5" ht="30">
      <c r="A3746" s="495">
        <v>86915</v>
      </c>
      <c r="B3746" s="348" t="s">
        <v>9769</v>
      </c>
      <c r="C3746" s="349" t="s">
        <v>65</v>
      </c>
      <c r="D3746" s="483">
        <v>74.59</v>
      </c>
      <c r="E3746" s="483">
        <v>74.59</v>
      </c>
    </row>
    <row r="3747" spans="1:5">
      <c r="A3747" s="494">
        <v>86916</v>
      </c>
      <c r="B3747" s="485" t="s">
        <v>17923</v>
      </c>
      <c r="C3747" s="484" t="s">
        <v>65</v>
      </c>
      <c r="D3747" s="486">
        <v>22.16</v>
      </c>
      <c r="E3747" s="486">
        <v>22.16</v>
      </c>
    </row>
    <row r="3748" spans="1:5" ht="45">
      <c r="A3748" s="495">
        <v>86919</v>
      </c>
      <c r="B3748" s="348" t="s">
        <v>17924</v>
      </c>
      <c r="C3748" s="349" t="s">
        <v>65</v>
      </c>
      <c r="D3748" s="483">
        <v>635.59</v>
      </c>
      <c r="E3748" s="483">
        <v>635.59</v>
      </c>
    </row>
    <row r="3749" spans="1:5" ht="45">
      <c r="A3749" s="494">
        <v>86920</v>
      </c>
      <c r="B3749" s="485" t="s">
        <v>17925</v>
      </c>
      <c r="C3749" s="484" t="s">
        <v>65</v>
      </c>
      <c r="D3749" s="486">
        <v>600.30999999999995</v>
      </c>
      <c r="E3749" s="486">
        <v>600.30999999999995</v>
      </c>
    </row>
    <row r="3750" spans="1:5" ht="30">
      <c r="A3750" s="495">
        <v>86921</v>
      </c>
      <c r="B3750" s="348" t="s">
        <v>17926</v>
      </c>
      <c r="C3750" s="349" t="s">
        <v>65</v>
      </c>
      <c r="D3750" s="483">
        <v>605.65</v>
      </c>
      <c r="E3750" s="483">
        <v>605.65</v>
      </c>
    </row>
    <row r="3751" spans="1:5" ht="45">
      <c r="A3751" s="494">
        <v>86922</v>
      </c>
      <c r="B3751" s="485" t="s">
        <v>17927</v>
      </c>
      <c r="C3751" s="484" t="s">
        <v>65</v>
      </c>
      <c r="D3751" s="486">
        <v>515.85</v>
      </c>
      <c r="E3751" s="486">
        <v>515.85</v>
      </c>
    </row>
    <row r="3752" spans="1:5" ht="45">
      <c r="A3752" s="495">
        <v>86923</v>
      </c>
      <c r="B3752" s="348" t="s">
        <v>17928</v>
      </c>
      <c r="C3752" s="349" t="s">
        <v>65</v>
      </c>
      <c r="D3752" s="483">
        <v>384.93</v>
      </c>
      <c r="E3752" s="483">
        <v>384.93</v>
      </c>
    </row>
    <row r="3753" spans="1:5" ht="45">
      <c r="A3753" s="494">
        <v>86924</v>
      </c>
      <c r="B3753" s="485" t="s">
        <v>17929</v>
      </c>
      <c r="C3753" s="484" t="s">
        <v>65</v>
      </c>
      <c r="D3753" s="486">
        <v>390.27</v>
      </c>
      <c r="E3753" s="486">
        <v>390.27</v>
      </c>
    </row>
    <row r="3754" spans="1:5" ht="45">
      <c r="A3754" s="495">
        <v>86925</v>
      </c>
      <c r="B3754" s="348" t="s">
        <v>17930</v>
      </c>
      <c r="C3754" s="349" t="s">
        <v>65</v>
      </c>
      <c r="D3754" s="483">
        <v>365.82</v>
      </c>
      <c r="E3754" s="483">
        <v>365.82</v>
      </c>
    </row>
    <row r="3755" spans="1:5" ht="45">
      <c r="A3755" s="494">
        <v>86926</v>
      </c>
      <c r="B3755" s="485" t="s">
        <v>17931</v>
      </c>
      <c r="C3755" s="484" t="s">
        <v>65</v>
      </c>
      <c r="D3755" s="486">
        <v>371.16</v>
      </c>
      <c r="E3755" s="486">
        <v>371.16</v>
      </c>
    </row>
    <row r="3756" spans="1:5" ht="45">
      <c r="A3756" s="495">
        <v>86927</v>
      </c>
      <c r="B3756" s="348" t="s">
        <v>17932</v>
      </c>
      <c r="C3756" s="349" t="s">
        <v>65</v>
      </c>
      <c r="D3756" s="483">
        <v>225.23</v>
      </c>
      <c r="E3756" s="483">
        <v>225.23</v>
      </c>
    </row>
    <row r="3757" spans="1:5" ht="45">
      <c r="A3757" s="494">
        <v>86928</v>
      </c>
      <c r="B3757" s="485" t="s">
        <v>17933</v>
      </c>
      <c r="C3757" s="484" t="s">
        <v>65</v>
      </c>
      <c r="D3757" s="486">
        <v>230.57</v>
      </c>
      <c r="E3757" s="486">
        <v>230.57</v>
      </c>
    </row>
    <row r="3758" spans="1:5" ht="45">
      <c r="A3758" s="495">
        <v>86929</v>
      </c>
      <c r="B3758" s="348" t="s">
        <v>17934</v>
      </c>
      <c r="C3758" s="349" t="s">
        <v>65</v>
      </c>
      <c r="D3758" s="483">
        <v>219.16</v>
      </c>
      <c r="E3758" s="483">
        <v>219.16</v>
      </c>
    </row>
    <row r="3759" spans="1:5" ht="45">
      <c r="A3759" s="494">
        <v>86930</v>
      </c>
      <c r="B3759" s="485" t="s">
        <v>17935</v>
      </c>
      <c r="C3759" s="484" t="s">
        <v>65</v>
      </c>
      <c r="D3759" s="486">
        <v>224.5</v>
      </c>
      <c r="E3759" s="486">
        <v>224.5</v>
      </c>
    </row>
    <row r="3760" spans="1:5" ht="30">
      <c r="A3760" s="495">
        <v>86931</v>
      </c>
      <c r="B3760" s="348" t="s">
        <v>17936</v>
      </c>
      <c r="C3760" s="349" t="s">
        <v>65</v>
      </c>
      <c r="D3760" s="483">
        <v>347.93</v>
      </c>
      <c r="E3760" s="483">
        <v>347.93</v>
      </c>
    </row>
    <row r="3761" spans="1:5" ht="45">
      <c r="A3761" s="494">
        <v>86932</v>
      </c>
      <c r="B3761" s="485" t="s">
        <v>17937</v>
      </c>
      <c r="C3761" s="484" t="s">
        <v>65</v>
      </c>
      <c r="D3761" s="486">
        <v>369.67</v>
      </c>
      <c r="E3761" s="486">
        <v>369.67</v>
      </c>
    </row>
    <row r="3762" spans="1:5" ht="45">
      <c r="A3762" s="495">
        <v>86933</v>
      </c>
      <c r="B3762" s="348" t="s">
        <v>17938</v>
      </c>
      <c r="C3762" s="349" t="s">
        <v>65</v>
      </c>
      <c r="D3762" s="483">
        <v>296.24</v>
      </c>
      <c r="E3762" s="483">
        <v>296.24</v>
      </c>
    </row>
    <row r="3763" spans="1:5" ht="45">
      <c r="A3763" s="494">
        <v>86934</v>
      </c>
      <c r="B3763" s="485" t="s">
        <v>17939</v>
      </c>
      <c r="C3763" s="484" t="s">
        <v>65</v>
      </c>
      <c r="D3763" s="486">
        <v>290.17</v>
      </c>
      <c r="E3763" s="486">
        <v>290.17</v>
      </c>
    </row>
    <row r="3764" spans="1:5" ht="30">
      <c r="A3764" s="495">
        <v>86935</v>
      </c>
      <c r="B3764" s="348" t="s">
        <v>17940</v>
      </c>
      <c r="C3764" s="349" t="s">
        <v>65</v>
      </c>
      <c r="D3764" s="483">
        <v>175.63</v>
      </c>
      <c r="E3764" s="483">
        <v>175.63</v>
      </c>
    </row>
    <row r="3765" spans="1:5" ht="30">
      <c r="A3765" s="494">
        <v>86936</v>
      </c>
      <c r="B3765" s="485" t="s">
        <v>17941</v>
      </c>
      <c r="C3765" s="484" t="s">
        <v>65</v>
      </c>
      <c r="D3765" s="486">
        <v>277.33999999999997</v>
      </c>
      <c r="E3765" s="486">
        <v>277.33999999999997</v>
      </c>
    </row>
    <row r="3766" spans="1:5" ht="30">
      <c r="A3766" s="495">
        <v>86937</v>
      </c>
      <c r="B3766" s="348" t="s">
        <v>17942</v>
      </c>
      <c r="C3766" s="349" t="s">
        <v>65</v>
      </c>
      <c r="D3766" s="483">
        <v>137.18</v>
      </c>
      <c r="E3766" s="483">
        <v>137.18</v>
      </c>
    </row>
    <row r="3767" spans="1:5" ht="30">
      <c r="A3767" s="494">
        <v>86938</v>
      </c>
      <c r="B3767" s="485" t="s">
        <v>17943</v>
      </c>
      <c r="C3767" s="484" t="s">
        <v>65</v>
      </c>
      <c r="D3767" s="486">
        <v>238.89</v>
      </c>
      <c r="E3767" s="486">
        <v>238.89</v>
      </c>
    </row>
    <row r="3768" spans="1:5" ht="45">
      <c r="A3768" s="495">
        <v>86939</v>
      </c>
      <c r="B3768" s="348" t="s">
        <v>17944</v>
      </c>
      <c r="C3768" s="349" t="s">
        <v>65</v>
      </c>
      <c r="D3768" s="483">
        <v>247.71</v>
      </c>
      <c r="E3768" s="483">
        <v>247.71</v>
      </c>
    </row>
    <row r="3769" spans="1:5" ht="45">
      <c r="A3769" s="494">
        <v>86940</v>
      </c>
      <c r="B3769" s="485" t="s">
        <v>17945</v>
      </c>
      <c r="C3769" s="484" t="s">
        <v>65</v>
      </c>
      <c r="D3769" s="486">
        <v>628.87</v>
      </c>
      <c r="E3769" s="486">
        <v>628.87</v>
      </c>
    </row>
    <row r="3770" spans="1:5" ht="60">
      <c r="A3770" s="495">
        <v>86941</v>
      </c>
      <c r="B3770" s="348" t="s">
        <v>17946</v>
      </c>
      <c r="C3770" s="349" t="s">
        <v>65</v>
      </c>
      <c r="D3770" s="483">
        <v>484.35</v>
      </c>
      <c r="E3770" s="483">
        <v>484.35</v>
      </c>
    </row>
    <row r="3771" spans="1:5" ht="60">
      <c r="A3771" s="494">
        <v>86942</v>
      </c>
      <c r="B3771" s="485" t="s">
        <v>17947</v>
      </c>
      <c r="C3771" s="484" t="s">
        <v>65</v>
      </c>
      <c r="D3771" s="486">
        <v>167.69</v>
      </c>
      <c r="E3771" s="486">
        <v>167.69</v>
      </c>
    </row>
    <row r="3772" spans="1:5" ht="45">
      <c r="A3772" s="495">
        <v>86943</v>
      </c>
      <c r="B3772" s="348" t="s">
        <v>17948</v>
      </c>
      <c r="C3772" s="349" t="s">
        <v>65</v>
      </c>
      <c r="D3772" s="483">
        <v>161.62</v>
      </c>
      <c r="E3772" s="483">
        <v>161.62</v>
      </c>
    </row>
    <row r="3773" spans="1:5" ht="60">
      <c r="A3773" s="494">
        <v>86947</v>
      </c>
      <c r="B3773" s="485" t="s">
        <v>17949</v>
      </c>
      <c r="C3773" s="484" t="s">
        <v>65</v>
      </c>
      <c r="D3773" s="486">
        <v>665.8</v>
      </c>
      <c r="E3773" s="486">
        <v>665.8</v>
      </c>
    </row>
    <row r="3774" spans="1:5" ht="30">
      <c r="A3774" s="495">
        <v>88571</v>
      </c>
      <c r="B3774" s="348" t="s">
        <v>17950</v>
      </c>
      <c r="C3774" s="349" t="s">
        <v>65</v>
      </c>
      <c r="D3774" s="483">
        <v>32.43</v>
      </c>
      <c r="E3774" s="483">
        <v>32.43</v>
      </c>
    </row>
    <row r="3775" spans="1:5" ht="45">
      <c r="A3775" s="494">
        <v>93396</v>
      </c>
      <c r="B3775" s="485" t="s">
        <v>17951</v>
      </c>
      <c r="C3775" s="484" t="s">
        <v>65</v>
      </c>
      <c r="D3775" s="486">
        <v>380.05</v>
      </c>
      <c r="E3775" s="486">
        <v>380.05</v>
      </c>
    </row>
    <row r="3776" spans="1:5" ht="60">
      <c r="A3776" s="495">
        <v>93441</v>
      </c>
      <c r="B3776" s="348" t="s">
        <v>17952</v>
      </c>
      <c r="C3776" s="349" t="s">
        <v>65</v>
      </c>
      <c r="D3776" s="483">
        <v>575.9</v>
      </c>
      <c r="E3776" s="483">
        <v>575.9</v>
      </c>
    </row>
    <row r="3777" spans="1:5" ht="60">
      <c r="A3777" s="494">
        <v>93442</v>
      </c>
      <c r="B3777" s="485" t="s">
        <v>17953</v>
      </c>
      <c r="C3777" s="484" t="s">
        <v>65</v>
      </c>
      <c r="D3777" s="486">
        <v>691.39</v>
      </c>
      <c r="E3777" s="486">
        <v>691.39</v>
      </c>
    </row>
    <row r="3778" spans="1:5" ht="30">
      <c r="A3778" s="495">
        <v>95469</v>
      </c>
      <c r="B3778" s="348" t="s">
        <v>11065</v>
      </c>
      <c r="C3778" s="349" t="s">
        <v>65</v>
      </c>
      <c r="D3778" s="483">
        <v>156.93</v>
      </c>
      <c r="E3778" s="483">
        <v>156.93</v>
      </c>
    </row>
    <row r="3779" spans="1:5" ht="30">
      <c r="A3779" s="494">
        <v>95470</v>
      </c>
      <c r="B3779" s="485" t="s">
        <v>17954</v>
      </c>
      <c r="C3779" s="484" t="s">
        <v>65</v>
      </c>
      <c r="D3779" s="486">
        <v>162</v>
      </c>
      <c r="E3779" s="486">
        <v>162</v>
      </c>
    </row>
    <row r="3780" spans="1:5" ht="30">
      <c r="A3780" s="495">
        <v>95471</v>
      </c>
      <c r="B3780" s="348" t="s">
        <v>17955</v>
      </c>
      <c r="C3780" s="349" t="s">
        <v>65</v>
      </c>
      <c r="D3780" s="483">
        <v>594.91999999999996</v>
      </c>
      <c r="E3780" s="483">
        <v>594.91999999999996</v>
      </c>
    </row>
    <row r="3781" spans="1:5" ht="45">
      <c r="A3781" s="494">
        <v>95472</v>
      </c>
      <c r="B3781" s="485" t="s">
        <v>17956</v>
      </c>
      <c r="C3781" s="484" t="s">
        <v>65</v>
      </c>
      <c r="D3781" s="486">
        <v>599.99</v>
      </c>
      <c r="E3781" s="486">
        <v>599.99</v>
      </c>
    </row>
    <row r="3782" spans="1:5">
      <c r="A3782" s="495">
        <v>95542</v>
      </c>
      <c r="B3782" s="348" t="s">
        <v>17957</v>
      </c>
      <c r="C3782" s="349" t="s">
        <v>65</v>
      </c>
      <c r="D3782" s="483">
        <v>15.57</v>
      </c>
      <c r="E3782" s="483">
        <v>15.57</v>
      </c>
    </row>
    <row r="3783" spans="1:5">
      <c r="A3783" s="494">
        <v>95543</v>
      </c>
      <c r="B3783" s="485" t="s">
        <v>17958</v>
      </c>
      <c r="C3783" s="484" t="s">
        <v>65</v>
      </c>
      <c r="D3783" s="486">
        <v>25.74</v>
      </c>
      <c r="E3783" s="486">
        <v>25.74</v>
      </c>
    </row>
    <row r="3784" spans="1:5">
      <c r="A3784" s="495">
        <v>95544</v>
      </c>
      <c r="B3784" s="348" t="s">
        <v>17959</v>
      </c>
      <c r="C3784" s="349" t="s">
        <v>65</v>
      </c>
      <c r="D3784" s="483">
        <v>19.34</v>
      </c>
      <c r="E3784" s="483">
        <v>19.34</v>
      </c>
    </row>
    <row r="3785" spans="1:5">
      <c r="A3785" s="494">
        <v>95545</v>
      </c>
      <c r="B3785" s="485" t="s">
        <v>11072</v>
      </c>
      <c r="C3785" s="484" t="s">
        <v>65</v>
      </c>
      <c r="D3785" s="486">
        <v>18.940000000000001</v>
      </c>
      <c r="E3785" s="486">
        <v>18.940000000000001</v>
      </c>
    </row>
    <row r="3786" spans="1:5" ht="30">
      <c r="A3786" s="495">
        <v>95546</v>
      </c>
      <c r="B3786" s="348" t="s">
        <v>17960</v>
      </c>
      <c r="C3786" s="349" t="s">
        <v>65</v>
      </c>
      <c r="D3786" s="483">
        <v>61.26</v>
      </c>
      <c r="E3786" s="483">
        <v>61.26</v>
      </c>
    </row>
    <row r="3787" spans="1:5" ht="30">
      <c r="A3787" s="494">
        <v>95547</v>
      </c>
      <c r="B3787" s="485" t="s">
        <v>17961</v>
      </c>
      <c r="C3787" s="484" t="s">
        <v>65</v>
      </c>
      <c r="D3787" s="486">
        <v>48.23</v>
      </c>
      <c r="E3787" s="486">
        <v>48.23</v>
      </c>
    </row>
    <row r="3788" spans="1:5">
      <c r="A3788" s="495">
        <v>6087</v>
      </c>
      <c r="B3788" s="348" t="s">
        <v>9128</v>
      </c>
      <c r="C3788" s="349" t="s">
        <v>65</v>
      </c>
      <c r="D3788" s="483">
        <v>21.53</v>
      </c>
      <c r="E3788" s="483">
        <v>21.53</v>
      </c>
    </row>
    <row r="3789" spans="1:5" ht="30">
      <c r="A3789" s="484" t="s">
        <v>17962</v>
      </c>
      <c r="B3789" s="485" t="s">
        <v>17963</v>
      </c>
      <c r="C3789" s="484" t="s">
        <v>65</v>
      </c>
      <c r="D3789" s="486">
        <v>1550.47</v>
      </c>
      <c r="E3789" s="486">
        <v>1550.47</v>
      </c>
    </row>
    <row r="3790" spans="1:5" ht="30">
      <c r="A3790" s="349" t="s">
        <v>17964</v>
      </c>
      <c r="B3790" s="348" t="s">
        <v>17965</v>
      </c>
      <c r="C3790" s="349" t="s">
        <v>65</v>
      </c>
      <c r="D3790" s="483">
        <v>1979.26</v>
      </c>
      <c r="E3790" s="483">
        <v>1979.26</v>
      </c>
    </row>
    <row r="3791" spans="1:5" ht="45">
      <c r="A3791" s="494">
        <v>95463</v>
      </c>
      <c r="B3791" s="485" t="s">
        <v>17966</v>
      </c>
      <c r="C3791" s="484" t="s">
        <v>65</v>
      </c>
      <c r="D3791" s="486">
        <v>1329.57</v>
      </c>
      <c r="E3791" s="486">
        <v>1329.57</v>
      </c>
    </row>
    <row r="3792" spans="1:5" ht="45">
      <c r="A3792" s="495">
        <v>89957</v>
      </c>
      <c r="B3792" s="348" t="s">
        <v>17967</v>
      </c>
      <c r="C3792" s="349" t="s">
        <v>65</v>
      </c>
      <c r="D3792" s="483">
        <v>100.94</v>
      </c>
      <c r="E3792" s="483">
        <v>100.94</v>
      </c>
    </row>
    <row r="3793" spans="1:5" ht="45">
      <c r="A3793" s="494">
        <v>89959</v>
      </c>
      <c r="B3793" s="485" t="s">
        <v>17968</v>
      </c>
      <c r="C3793" s="484" t="s">
        <v>65</v>
      </c>
      <c r="D3793" s="486">
        <v>166.55</v>
      </c>
      <c r="E3793" s="486">
        <v>166.55</v>
      </c>
    </row>
    <row r="3794" spans="1:5" ht="30">
      <c r="A3794" s="495">
        <v>40729</v>
      </c>
      <c r="B3794" s="348" t="s">
        <v>17969</v>
      </c>
      <c r="C3794" s="349" t="s">
        <v>65</v>
      </c>
      <c r="D3794" s="483">
        <v>177.12</v>
      </c>
      <c r="E3794" s="483">
        <v>177.12</v>
      </c>
    </row>
    <row r="3795" spans="1:5">
      <c r="A3795" s="484" t="s">
        <v>17970</v>
      </c>
      <c r="B3795" s="485" t="s">
        <v>739</v>
      </c>
      <c r="C3795" s="484" t="s">
        <v>65</v>
      </c>
      <c r="D3795" s="486">
        <v>40.79</v>
      </c>
      <c r="E3795" s="486">
        <v>40.79</v>
      </c>
    </row>
    <row r="3796" spans="1:5">
      <c r="A3796" s="349" t="s">
        <v>17971</v>
      </c>
      <c r="B3796" s="348" t="s">
        <v>741</v>
      </c>
      <c r="C3796" s="349" t="s">
        <v>65</v>
      </c>
      <c r="D3796" s="483">
        <v>42.83</v>
      </c>
      <c r="E3796" s="483">
        <v>42.83</v>
      </c>
    </row>
    <row r="3797" spans="1:5">
      <c r="A3797" s="484" t="s">
        <v>17972</v>
      </c>
      <c r="B3797" s="485" t="s">
        <v>17973</v>
      </c>
      <c r="C3797" s="484" t="s">
        <v>65</v>
      </c>
      <c r="D3797" s="486">
        <v>54.67</v>
      </c>
      <c r="E3797" s="486">
        <v>54.67</v>
      </c>
    </row>
    <row r="3798" spans="1:5">
      <c r="A3798" s="349" t="s">
        <v>17974</v>
      </c>
      <c r="B3798" s="348" t="s">
        <v>17975</v>
      </c>
      <c r="C3798" s="349" t="s">
        <v>65</v>
      </c>
      <c r="D3798" s="483">
        <v>63.32</v>
      </c>
      <c r="E3798" s="483">
        <v>63.32</v>
      </c>
    </row>
    <row r="3799" spans="1:5">
      <c r="A3799" s="484" t="s">
        <v>17976</v>
      </c>
      <c r="B3799" s="485" t="s">
        <v>745</v>
      </c>
      <c r="C3799" s="484" t="s">
        <v>65</v>
      </c>
      <c r="D3799" s="486">
        <v>81.96</v>
      </c>
      <c r="E3799" s="486">
        <v>81.96</v>
      </c>
    </row>
    <row r="3800" spans="1:5">
      <c r="A3800" s="349" t="s">
        <v>17977</v>
      </c>
      <c r="B3800" s="348" t="s">
        <v>747</v>
      </c>
      <c r="C3800" s="349" t="s">
        <v>65</v>
      </c>
      <c r="D3800" s="483">
        <v>155.71</v>
      </c>
      <c r="E3800" s="483">
        <v>155.71</v>
      </c>
    </row>
    <row r="3801" spans="1:5">
      <c r="A3801" s="484" t="s">
        <v>17978</v>
      </c>
      <c r="B3801" s="485" t="s">
        <v>749</v>
      </c>
      <c r="C3801" s="484" t="s">
        <v>65</v>
      </c>
      <c r="D3801" s="486">
        <v>257.45999999999998</v>
      </c>
      <c r="E3801" s="486">
        <v>257.45999999999998</v>
      </c>
    </row>
    <row r="3802" spans="1:5">
      <c r="A3802" s="349" t="s">
        <v>17979</v>
      </c>
      <c r="B3802" s="348" t="s">
        <v>17980</v>
      </c>
      <c r="C3802" s="349" t="s">
        <v>65</v>
      </c>
      <c r="D3802" s="483">
        <v>52.82</v>
      </c>
      <c r="E3802" s="483">
        <v>52.82</v>
      </c>
    </row>
    <row r="3803" spans="1:5">
      <c r="A3803" s="484" t="s">
        <v>17981</v>
      </c>
      <c r="B3803" s="485" t="s">
        <v>17982</v>
      </c>
      <c r="C3803" s="484" t="s">
        <v>65</v>
      </c>
      <c r="D3803" s="486">
        <v>65.05</v>
      </c>
      <c r="E3803" s="486">
        <v>65.05</v>
      </c>
    </row>
    <row r="3804" spans="1:5">
      <c r="A3804" s="349" t="s">
        <v>17983</v>
      </c>
      <c r="B3804" s="348" t="s">
        <v>17984</v>
      </c>
      <c r="C3804" s="349" t="s">
        <v>65</v>
      </c>
      <c r="D3804" s="483">
        <v>87.65</v>
      </c>
      <c r="E3804" s="483">
        <v>87.65</v>
      </c>
    </row>
    <row r="3805" spans="1:5">
      <c r="A3805" s="484" t="s">
        <v>17985</v>
      </c>
      <c r="B3805" s="485" t="s">
        <v>17986</v>
      </c>
      <c r="C3805" s="484" t="s">
        <v>65</v>
      </c>
      <c r="D3805" s="486">
        <v>98.96</v>
      </c>
      <c r="E3805" s="486">
        <v>98.96</v>
      </c>
    </row>
    <row r="3806" spans="1:5">
      <c r="A3806" s="349" t="s">
        <v>17987</v>
      </c>
      <c r="B3806" s="348" t="s">
        <v>755</v>
      </c>
      <c r="C3806" s="349" t="s">
        <v>65</v>
      </c>
      <c r="D3806" s="483">
        <v>129.62</v>
      </c>
      <c r="E3806" s="483">
        <v>129.62</v>
      </c>
    </row>
    <row r="3807" spans="1:5">
      <c r="A3807" s="484" t="s">
        <v>17988</v>
      </c>
      <c r="B3807" s="485" t="s">
        <v>17989</v>
      </c>
      <c r="C3807" s="484" t="s">
        <v>65</v>
      </c>
      <c r="D3807" s="486">
        <v>184.73</v>
      </c>
      <c r="E3807" s="486">
        <v>184.73</v>
      </c>
    </row>
    <row r="3808" spans="1:5">
      <c r="A3808" s="349" t="s">
        <v>17990</v>
      </c>
      <c r="B3808" s="348" t="s">
        <v>758</v>
      </c>
      <c r="C3808" s="349" t="s">
        <v>65</v>
      </c>
      <c r="D3808" s="483">
        <v>237.25</v>
      </c>
      <c r="E3808" s="483">
        <v>237.25</v>
      </c>
    </row>
    <row r="3809" spans="1:5">
      <c r="A3809" s="484" t="s">
        <v>17991</v>
      </c>
      <c r="B3809" s="485" t="s">
        <v>17992</v>
      </c>
      <c r="C3809" s="484" t="s">
        <v>65</v>
      </c>
      <c r="D3809" s="486">
        <v>360.06</v>
      </c>
      <c r="E3809" s="486">
        <v>360.06</v>
      </c>
    </row>
    <row r="3810" spans="1:5">
      <c r="A3810" s="349" t="s">
        <v>17993</v>
      </c>
      <c r="B3810" s="348" t="s">
        <v>761</v>
      </c>
      <c r="C3810" s="349" t="s">
        <v>65</v>
      </c>
      <c r="D3810" s="483">
        <v>40.28</v>
      </c>
      <c r="E3810" s="483">
        <v>40.28</v>
      </c>
    </row>
    <row r="3811" spans="1:5">
      <c r="A3811" s="484" t="s">
        <v>17994</v>
      </c>
      <c r="B3811" s="485" t="s">
        <v>763</v>
      </c>
      <c r="C3811" s="484" t="s">
        <v>65</v>
      </c>
      <c r="D3811" s="486">
        <v>42.54</v>
      </c>
      <c r="E3811" s="486">
        <v>42.54</v>
      </c>
    </row>
    <row r="3812" spans="1:5">
      <c r="A3812" s="349" t="s">
        <v>17995</v>
      </c>
      <c r="B3812" s="348" t="s">
        <v>765</v>
      </c>
      <c r="C3812" s="349" t="s">
        <v>65</v>
      </c>
      <c r="D3812" s="483">
        <v>62.03</v>
      </c>
      <c r="E3812" s="483">
        <v>62.03</v>
      </c>
    </row>
    <row r="3813" spans="1:5">
      <c r="A3813" s="484" t="s">
        <v>17996</v>
      </c>
      <c r="B3813" s="485" t="s">
        <v>767</v>
      </c>
      <c r="C3813" s="484" t="s">
        <v>65</v>
      </c>
      <c r="D3813" s="486">
        <v>82.35</v>
      </c>
      <c r="E3813" s="486">
        <v>82.35</v>
      </c>
    </row>
    <row r="3814" spans="1:5">
      <c r="A3814" s="349" t="s">
        <v>17997</v>
      </c>
      <c r="B3814" s="348" t="s">
        <v>769</v>
      </c>
      <c r="C3814" s="349" t="s">
        <v>65</v>
      </c>
      <c r="D3814" s="483">
        <v>138.37</v>
      </c>
      <c r="E3814" s="483">
        <v>138.37</v>
      </c>
    </row>
    <row r="3815" spans="1:5">
      <c r="A3815" s="484" t="s">
        <v>17998</v>
      </c>
      <c r="B3815" s="485" t="s">
        <v>771</v>
      </c>
      <c r="C3815" s="484" t="s">
        <v>65</v>
      </c>
      <c r="D3815" s="486">
        <v>172.11</v>
      </c>
      <c r="E3815" s="486">
        <v>172.11</v>
      </c>
    </row>
    <row r="3816" spans="1:5">
      <c r="A3816" s="349" t="s">
        <v>17999</v>
      </c>
      <c r="B3816" s="348" t="s">
        <v>773</v>
      </c>
      <c r="C3816" s="349" t="s">
        <v>65</v>
      </c>
      <c r="D3816" s="483">
        <v>289.48</v>
      </c>
      <c r="E3816" s="483">
        <v>289.48</v>
      </c>
    </row>
    <row r="3817" spans="1:5">
      <c r="A3817" s="484" t="s">
        <v>18000</v>
      </c>
      <c r="B3817" s="485" t="s">
        <v>8637</v>
      </c>
      <c r="C3817" s="484" t="s">
        <v>65</v>
      </c>
      <c r="D3817" s="486">
        <v>93.74</v>
      </c>
      <c r="E3817" s="486">
        <v>93.74</v>
      </c>
    </row>
    <row r="3818" spans="1:5" ht="30">
      <c r="A3818" s="349" t="s">
        <v>18001</v>
      </c>
      <c r="B3818" s="348" t="s">
        <v>10737</v>
      </c>
      <c r="C3818" s="349" t="s">
        <v>65</v>
      </c>
      <c r="D3818" s="483">
        <v>124.22</v>
      </c>
      <c r="E3818" s="483">
        <v>124.22</v>
      </c>
    </row>
    <row r="3819" spans="1:5">
      <c r="A3819" s="484" t="s">
        <v>18002</v>
      </c>
      <c r="B3819" s="485" t="s">
        <v>10736</v>
      </c>
      <c r="C3819" s="484" t="s">
        <v>65</v>
      </c>
      <c r="D3819" s="486">
        <v>57.04</v>
      </c>
      <c r="E3819" s="486">
        <v>57.04</v>
      </c>
    </row>
    <row r="3820" spans="1:5" ht="45">
      <c r="A3820" s="349" t="s">
        <v>18003</v>
      </c>
      <c r="B3820" s="348" t="s">
        <v>18004</v>
      </c>
      <c r="C3820" s="349" t="s">
        <v>65</v>
      </c>
      <c r="D3820" s="483">
        <v>199.28</v>
      </c>
      <c r="E3820" s="483">
        <v>199.28</v>
      </c>
    </row>
    <row r="3821" spans="1:5" ht="30">
      <c r="A3821" s="494">
        <v>85117</v>
      </c>
      <c r="B3821" s="485" t="s">
        <v>10710</v>
      </c>
      <c r="C3821" s="484" t="s">
        <v>65</v>
      </c>
      <c r="D3821" s="486">
        <v>26.01</v>
      </c>
      <c r="E3821" s="486">
        <v>26.01</v>
      </c>
    </row>
    <row r="3822" spans="1:5" ht="30">
      <c r="A3822" s="495">
        <v>89349</v>
      </c>
      <c r="B3822" s="348" t="s">
        <v>18005</v>
      </c>
      <c r="C3822" s="349" t="s">
        <v>65</v>
      </c>
      <c r="D3822" s="483">
        <v>21.99</v>
      </c>
      <c r="E3822" s="483">
        <v>21.99</v>
      </c>
    </row>
    <row r="3823" spans="1:5" ht="30">
      <c r="A3823" s="494">
        <v>89351</v>
      </c>
      <c r="B3823" s="485" t="s">
        <v>18006</v>
      </c>
      <c r="C3823" s="484" t="s">
        <v>65</v>
      </c>
      <c r="D3823" s="486">
        <v>24.92</v>
      </c>
      <c r="E3823" s="486">
        <v>24.92</v>
      </c>
    </row>
    <row r="3824" spans="1:5" ht="30">
      <c r="A3824" s="495">
        <v>89352</v>
      </c>
      <c r="B3824" s="348" t="s">
        <v>778</v>
      </c>
      <c r="C3824" s="349" t="s">
        <v>65</v>
      </c>
      <c r="D3824" s="483">
        <v>28.2</v>
      </c>
      <c r="E3824" s="483">
        <v>28.2</v>
      </c>
    </row>
    <row r="3825" spans="1:5" ht="30">
      <c r="A3825" s="494">
        <v>89353</v>
      </c>
      <c r="B3825" s="485" t="s">
        <v>779</v>
      </c>
      <c r="C3825" s="484" t="s">
        <v>65</v>
      </c>
      <c r="D3825" s="486">
        <v>29.37</v>
      </c>
      <c r="E3825" s="486">
        <v>29.37</v>
      </c>
    </row>
    <row r="3826" spans="1:5" ht="30">
      <c r="A3826" s="495">
        <v>89354</v>
      </c>
      <c r="B3826" s="348" t="s">
        <v>11076</v>
      </c>
      <c r="C3826" s="349" t="s">
        <v>65</v>
      </c>
      <c r="D3826" s="483">
        <v>215.51</v>
      </c>
      <c r="E3826" s="483">
        <v>215.51</v>
      </c>
    </row>
    <row r="3827" spans="1:5" ht="30">
      <c r="A3827" s="494">
        <v>89969</v>
      </c>
      <c r="B3827" s="485" t="s">
        <v>18007</v>
      </c>
      <c r="C3827" s="484" t="s">
        <v>65</v>
      </c>
      <c r="D3827" s="486">
        <v>32.74</v>
      </c>
      <c r="E3827" s="486">
        <v>32.74</v>
      </c>
    </row>
    <row r="3828" spans="1:5" ht="30">
      <c r="A3828" s="495">
        <v>89970</v>
      </c>
      <c r="B3828" s="348" t="s">
        <v>18008</v>
      </c>
      <c r="C3828" s="349" t="s">
        <v>65</v>
      </c>
      <c r="D3828" s="483">
        <v>35.020000000000003</v>
      </c>
      <c r="E3828" s="483">
        <v>35.020000000000003</v>
      </c>
    </row>
    <row r="3829" spans="1:5" ht="30">
      <c r="A3829" s="494">
        <v>89971</v>
      </c>
      <c r="B3829" s="485" t="s">
        <v>18009</v>
      </c>
      <c r="C3829" s="484" t="s">
        <v>65</v>
      </c>
      <c r="D3829" s="486">
        <v>36.44</v>
      </c>
      <c r="E3829" s="486">
        <v>36.44</v>
      </c>
    </row>
    <row r="3830" spans="1:5" ht="30">
      <c r="A3830" s="495">
        <v>89972</v>
      </c>
      <c r="B3830" s="348" t="s">
        <v>18010</v>
      </c>
      <c r="C3830" s="349" t="s">
        <v>65</v>
      </c>
      <c r="D3830" s="483">
        <v>39.01</v>
      </c>
      <c r="E3830" s="483">
        <v>39.01</v>
      </c>
    </row>
    <row r="3831" spans="1:5" ht="30">
      <c r="A3831" s="494">
        <v>89973</v>
      </c>
      <c r="B3831" s="485" t="s">
        <v>18011</v>
      </c>
      <c r="C3831" s="484" t="s">
        <v>65</v>
      </c>
      <c r="D3831" s="486">
        <v>368.06</v>
      </c>
      <c r="E3831" s="486">
        <v>368.06</v>
      </c>
    </row>
    <row r="3832" spans="1:5" ht="30">
      <c r="A3832" s="495">
        <v>89974</v>
      </c>
      <c r="B3832" s="348" t="s">
        <v>18012</v>
      </c>
      <c r="C3832" s="349" t="s">
        <v>65</v>
      </c>
      <c r="D3832" s="483">
        <v>215.27</v>
      </c>
      <c r="E3832" s="483">
        <v>215.27</v>
      </c>
    </row>
    <row r="3833" spans="1:5" ht="30">
      <c r="A3833" s="494">
        <v>89984</v>
      </c>
      <c r="B3833" s="485" t="s">
        <v>18013</v>
      </c>
      <c r="C3833" s="484" t="s">
        <v>65</v>
      </c>
      <c r="D3833" s="486">
        <v>59.28</v>
      </c>
      <c r="E3833" s="486">
        <v>59.28</v>
      </c>
    </row>
    <row r="3834" spans="1:5" ht="30">
      <c r="A3834" s="495">
        <v>89985</v>
      </c>
      <c r="B3834" s="348" t="s">
        <v>18014</v>
      </c>
      <c r="C3834" s="349" t="s">
        <v>65</v>
      </c>
      <c r="D3834" s="483">
        <v>60.97</v>
      </c>
      <c r="E3834" s="483">
        <v>60.97</v>
      </c>
    </row>
    <row r="3835" spans="1:5" ht="30">
      <c r="A3835" s="494">
        <v>89986</v>
      </c>
      <c r="B3835" s="485" t="s">
        <v>18015</v>
      </c>
      <c r="C3835" s="484" t="s">
        <v>65</v>
      </c>
      <c r="D3835" s="486">
        <v>57.85</v>
      </c>
      <c r="E3835" s="486">
        <v>57.85</v>
      </c>
    </row>
    <row r="3836" spans="1:5" ht="30">
      <c r="A3836" s="495">
        <v>89987</v>
      </c>
      <c r="B3836" s="348" t="s">
        <v>18016</v>
      </c>
      <c r="C3836" s="349" t="s">
        <v>65</v>
      </c>
      <c r="D3836" s="483">
        <v>64.09</v>
      </c>
      <c r="E3836" s="483">
        <v>64.09</v>
      </c>
    </row>
    <row r="3837" spans="1:5" ht="30">
      <c r="A3837" s="494">
        <v>90371</v>
      </c>
      <c r="B3837" s="485" t="s">
        <v>18017</v>
      </c>
      <c r="C3837" s="484" t="s">
        <v>65</v>
      </c>
      <c r="D3837" s="486">
        <v>21.03</v>
      </c>
      <c r="E3837" s="486">
        <v>21.03</v>
      </c>
    </row>
    <row r="3838" spans="1:5" ht="45">
      <c r="A3838" s="495">
        <v>94489</v>
      </c>
      <c r="B3838" s="348" t="s">
        <v>18018</v>
      </c>
      <c r="C3838" s="349" t="s">
        <v>65</v>
      </c>
      <c r="D3838" s="483">
        <v>17.55</v>
      </c>
      <c r="E3838" s="483">
        <v>17.55</v>
      </c>
    </row>
    <row r="3839" spans="1:5" ht="45">
      <c r="A3839" s="494">
        <v>94490</v>
      </c>
      <c r="B3839" s="485" t="s">
        <v>18019</v>
      </c>
      <c r="C3839" s="484" t="s">
        <v>65</v>
      </c>
      <c r="D3839" s="486">
        <v>29.56</v>
      </c>
      <c r="E3839" s="486">
        <v>29.56</v>
      </c>
    </row>
    <row r="3840" spans="1:5" ht="45">
      <c r="A3840" s="495">
        <v>94491</v>
      </c>
      <c r="B3840" s="348" t="s">
        <v>18020</v>
      </c>
      <c r="C3840" s="349" t="s">
        <v>65</v>
      </c>
      <c r="D3840" s="483">
        <v>40.75</v>
      </c>
      <c r="E3840" s="483">
        <v>40.75</v>
      </c>
    </row>
    <row r="3841" spans="1:5" ht="45">
      <c r="A3841" s="494">
        <v>94492</v>
      </c>
      <c r="B3841" s="485" t="s">
        <v>18021</v>
      </c>
      <c r="C3841" s="484" t="s">
        <v>65</v>
      </c>
      <c r="D3841" s="486">
        <v>41.75</v>
      </c>
      <c r="E3841" s="486">
        <v>41.75</v>
      </c>
    </row>
    <row r="3842" spans="1:5" ht="45">
      <c r="A3842" s="495">
        <v>94493</v>
      </c>
      <c r="B3842" s="348" t="s">
        <v>18022</v>
      </c>
      <c r="C3842" s="349" t="s">
        <v>65</v>
      </c>
      <c r="D3842" s="483">
        <v>75.86</v>
      </c>
      <c r="E3842" s="483">
        <v>75.86</v>
      </c>
    </row>
    <row r="3843" spans="1:5" ht="45">
      <c r="A3843" s="494">
        <v>94494</v>
      </c>
      <c r="B3843" s="485" t="s">
        <v>18023</v>
      </c>
      <c r="C3843" s="484" t="s">
        <v>65</v>
      </c>
      <c r="D3843" s="486">
        <v>48.7</v>
      </c>
      <c r="E3843" s="486">
        <v>48.7</v>
      </c>
    </row>
    <row r="3844" spans="1:5" ht="45">
      <c r="A3844" s="495">
        <v>94495</v>
      </c>
      <c r="B3844" s="348" t="s">
        <v>18024</v>
      </c>
      <c r="C3844" s="349" t="s">
        <v>65</v>
      </c>
      <c r="D3844" s="483">
        <v>61.72</v>
      </c>
      <c r="E3844" s="483">
        <v>61.72</v>
      </c>
    </row>
    <row r="3845" spans="1:5" ht="45">
      <c r="A3845" s="494">
        <v>94496</v>
      </c>
      <c r="B3845" s="485" t="s">
        <v>18025</v>
      </c>
      <c r="C3845" s="484" t="s">
        <v>65</v>
      </c>
      <c r="D3845" s="486">
        <v>75.209999999999994</v>
      </c>
      <c r="E3845" s="486">
        <v>75.209999999999994</v>
      </c>
    </row>
    <row r="3846" spans="1:5" ht="45">
      <c r="A3846" s="495">
        <v>94497</v>
      </c>
      <c r="B3846" s="348" t="s">
        <v>18026</v>
      </c>
      <c r="C3846" s="349" t="s">
        <v>65</v>
      </c>
      <c r="D3846" s="483">
        <v>87.92</v>
      </c>
      <c r="E3846" s="483">
        <v>87.92</v>
      </c>
    </row>
    <row r="3847" spans="1:5" ht="45">
      <c r="A3847" s="494">
        <v>94498</v>
      </c>
      <c r="B3847" s="485" t="s">
        <v>18027</v>
      </c>
      <c r="C3847" s="484" t="s">
        <v>65</v>
      </c>
      <c r="D3847" s="486">
        <v>113.11</v>
      </c>
      <c r="E3847" s="486">
        <v>113.11</v>
      </c>
    </row>
    <row r="3848" spans="1:5" ht="45">
      <c r="A3848" s="495">
        <v>94499</v>
      </c>
      <c r="B3848" s="348" t="s">
        <v>18028</v>
      </c>
      <c r="C3848" s="349" t="s">
        <v>65</v>
      </c>
      <c r="D3848" s="483">
        <v>204.53</v>
      </c>
      <c r="E3848" s="483">
        <v>204.53</v>
      </c>
    </row>
    <row r="3849" spans="1:5" ht="45">
      <c r="A3849" s="494">
        <v>94500</v>
      </c>
      <c r="B3849" s="485" t="s">
        <v>18029</v>
      </c>
      <c r="C3849" s="484" t="s">
        <v>65</v>
      </c>
      <c r="D3849" s="486">
        <v>355.6</v>
      </c>
      <c r="E3849" s="486">
        <v>355.6</v>
      </c>
    </row>
    <row r="3850" spans="1:5" ht="45">
      <c r="A3850" s="495">
        <v>94501</v>
      </c>
      <c r="B3850" s="348" t="s">
        <v>18030</v>
      </c>
      <c r="C3850" s="349" t="s">
        <v>65</v>
      </c>
      <c r="D3850" s="483">
        <v>585.46</v>
      </c>
      <c r="E3850" s="483">
        <v>585.46</v>
      </c>
    </row>
    <row r="3851" spans="1:5" ht="45">
      <c r="A3851" s="494">
        <v>94792</v>
      </c>
      <c r="B3851" s="485" t="s">
        <v>18031</v>
      </c>
      <c r="C3851" s="484" t="s">
        <v>65</v>
      </c>
      <c r="D3851" s="486">
        <v>93.4</v>
      </c>
      <c r="E3851" s="486">
        <v>93.4</v>
      </c>
    </row>
    <row r="3852" spans="1:5" ht="45">
      <c r="A3852" s="495">
        <v>94793</v>
      </c>
      <c r="B3852" s="348" t="s">
        <v>18032</v>
      </c>
      <c r="C3852" s="349" t="s">
        <v>65</v>
      </c>
      <c r="D3852" s="483">
        <v>120.23</v>
      </c>
      <c r="E3852" s="483">
        <v>120.23</v>
      </c>
    </row>
    <row r="3853" spans="1:5" ht="45">
      <c r="A3853" s="494">
        <v>94794</v>
      </c>
      <c r="B3853" s="485" t="s">
        <v>18033</v>
      </c>
      <c r="C3853" s="484" t="s">
        <v>65</v>
      </c>
      <c r="D3853" s="486">
        <v>124.53</v>
      </c>
      <c r="E3853" s="486">
        <v>124.53</v>
      </c>
    </row>
    <row r="3854" spans="1:5" ht="30">
      <c r="A3854" s="495">
        <v>94795</v>
      </c>
      <c r="B3854" s="348" t="s">
        <v>18034</v>
      </c>
      <c r="C3854" s="349" t="s">
        <v>65</v>
      </c>
      <c r="D3854" s="483">
        <v>28.69</v>
      </c>
      <c r="E3854" s="483">
        <v>28.69</v>
      </c>
    </row>
    <row r="3855" spans="1:5" ht="30">
      <c r="A3855" s="494">
        <v>94796</v>
      </c>
      <c r="B3855" s="485" t="s">
        <v>18035</v>
      </c>
      <c r="C3855" s="484" t="s">
        <v>65</v>
      </c>
      <c r="D3855" s="486">
        <v>52.19</v>
      </c>
      <c r="E3855" s="486">
        <v>52.19</v>
      </c>
    </row>
    <row r="3856" spans="1:5" ht="30">
      <c r="A3856" s="495">
        <v>94797</v>
      </c>
      <c r="B3856" s="348" t="s">
        <v>18036</v>
      </c>
      <c r="C3856" s="349" t="s">
        <v>65</v>
      </c>
      <c r="D3856" s="483">
        <v>48.69</v>
      </c>
      <c r="E3856" s="483">
        <v>48.69</v>
      </c>
    </row>
    <row r="3857" spans="1:5" ht="30">
      <c r="A3857" s="494">
        <v>94798</v>
      </c>
      <c r="B3857" s="485" t="s">
        <v>18037</v>
      </c>
      <c r="C3857" s="484" t="s">
        <v>65</v>
      </c>
      <c r="D3857" s="486">
        <v>81.53</v>
      </c>
      <c r="E3857" s="486">
        <v>81.53</v>
      </c>
    </row>
    <row r="3858" spans="1:5" ht="30">
      <c r="A3858" s="495">
        <v>94799</v>
      </c>
      <c r="B3858" s="348" t="s">
        <v>18038</v>
      </c>
      <c r="C3858" s="349" t="s">
        <v>65</v>
      </c>
      <c r="D3858" s="483">
        <v>78.040000000000006</v>
      </c>
      <c r="E3858" s="483">
        <v>78.040000000000006</v>
      </c>
    </row>
    <row r="3859" spans="1:5" ht="30">
      <c r="A3859" s="494">
        <v>94800</v>
      </c>
      <c r="B3859" s="485" t="s">
        <v>18039</v>
      </c>
      <c r="C3859" s="484" t="s">
        <v>65</v>
      </c>
      <c r="D3859" s="486">
        <v>118.82</v>
      </c>
      <c r="E3859" s="486">
        <v>118.82</v>
      </c>
    </row>
    <row r="3860" spans="1:5" ht="45">
      <c r="A3860" s="495">
        <v>95248</v>
      </c>
      <c r="B3860" s="348" t="s">
        <v>18040</v>
      </c>
      <c r="C3860" s="349" t="s">
        <v>65</v>
      </c>
      <c r="D3860" s="483">
        <v>58.18</v>
      </c>
      <c r="E3860" s="483">
        <v>58.18</v>
      </c>
    </row>
    <row r="3861" spans="1:5" ht="45">
      <c r="A3861" s="494">
        <v>95249</v>
      </c>
      <c r="B3861" s="485" t="s">
        <v>18041</v>
      </c>
      <c r="C3861" s="484" t="s">
        <v>65</v>
      </c>
      <c r="D3861" s="486">
        <v>63.11</v>
      </c>
      <c r="E3861" s="486">
        <v>63.11</v>
      </c>
    </row>
    <row r="3862" spans="1:5" ht="45">
      <c r="A3862" s="495">
        <v>95250</v>
      </c>
      <c r="B3862" s="348" t="s">
        <v>18042</v>
      </c>
      <c r="C3862" s="349" t="s">
        <v>65</v>
      </c>
      <c r="D3862" s="483">
        <v>76.03</v>
      </c>
      <c r="E3862" s="483">
        <v>76.03</v>
      </c>
    </row>
    <row r="3863" spans="1:5" ht="45">
      <c r="A3863" s="494">
        <v>95251</v>
      </c>
      <c r="B3863" s="485" t="s">
        <v>18043</v>
      </c>
      <c r="C3863" s="484" t="s">
        <v>65</v>
      </c>
      <c r="D3863" s="486">
        <v>101.08</v>
      </c>
      <c r="E3863" s="486">
        <v>101.08</v>
      </c>
    </row>
    <row r="3864" spans="1:5" ht="45">
      <c r="A3864" s="495">
        <v>95252</v>
      </c>
      <c r="B3864" s="348" t="s">
        <v>18044</v>
      </c>
      <c r="C3864" s="349" t="s">
        <v>65</v>
      </c>
      <c r="D3864" s="483">
        <v>116.31</v>
      </c>
      <c r="E3864" s="483">
        <v>116.31</v>
      </c>
    </row>
    <row r="3865" spans="1:5" ht="45">
      <c r="A3865" s="494">
        <v>95253</v>
      </c>
      <c r="B3865" s="485" t="s">
        <v>18045</v>
      </c>
      <c r="C3865" s="484" t="s">
        <v>65</v>
      </c>
      <c r="D3865" s="486">
        <v>166</v>
      </c>
      <c r="E3865" s="486">
        <v>166</v>
      </c>
    </row>
    <row r="3866" spans="1:5" ht="30">
      <c r="A3866" s="495">
        <v>95634</v>
      </c>
      <c r="B3866" s="348" t="s">
        <v>18046</v>
      </c>
      <c r="C3866" s="349" t="s">
        <v>65</v>
      </c>
      <c r="D3866" s="483">
        <v>108.67</v>
      </c>
      <c r="E3866" s="483">
        <v>108.67</v>
      </c>
    </row>
    <row r="3867" spans="1:5" ht="30">
      <c r="A3867" s="494">
        <v>95635</v>
      </c>
      <c r="B3867" s="485" t="s">
        <v>18047</v>
      </c>
      <c r="C3867" s="484" t="s">
        <v>65</v>
      </c>
      <c r="D3867" s="486">
        <v>115.1</v>
      </c>
      <c r="E3867" s="486">
        <v>115.1</v>
      </c>
    </row>
    <row r="3868" spans="1:5" ht="30">
      <c r="A3868" s="495">
        <v>95637</v>
      </c>
      <c r="B3868" s="348" t="s">
        <v>18048</v>
      </c>
      <c r="C3868" s="349" t="s">
        <v>65</v>
      </c>
      <c r="D3868" s="483">
        <v>343.91</v>
      </c>
      <c r="E3868" s="483">
        <v>343.91</v>
      </c>
    </row>
    <row r="3869" spans="1:5" ht="30">
      <c r="A3869" s="494">
        <v>95638</v>
      </c>
      <c r="B3869" s="485" t="s">
        <v>18049</v>
      </c>
      <c r="C3869" s="484" t="s">
        <v>65</v>
      </c>
      <c r="D3869" s="486">
        <v>415.44</v>
      </c>
      <c r="E3869" s="486">
        <v>415.44</v>
      </c>
    </row>
    <row r="3870" spans="1:5" ht="30">
      <c r="A3870" s="495">
        <v>95639</v>
      </c>
      <c r="B3870" s="348" t="s">
        <v>18050</v>
      </c>
      <c r="C3870" s="349" t="s">
        <v>65</v>
      </c>
      <c r="D3870" s="483">
        <v>516.88</v>
      </c>
      <c r="E3870" s="483">
        <v>516.88</v>
      </c>
    </row>
    <row r="3871" spans="1:5" ht="30">
      <c r="A3871" s="494">
        <v>95641</v>
      </c>
      <c r="B3871" s="485" t="s">
        <v>18051</v>
      </c>
      <c r="C3871" s="484" t="s">
        <v>65</v>
      </c>
      <c r="D3871" s="486">
        <v>212.11</v>
      </c>
      <c r="E3871" s="486">
        <v>212.11</v>
      </c>
    </row>
    <row r="3872" spans="1:5" ht="30">
      <c r="A3872" s="495">
        <v>95642</v>
      </c>
      <c r="B3872" s="348" t="s">
        <v>18052</v>
      </c>
      <c r="C3872" s="349" t="s">
        <v>65</v>
      </c>
      <c r="D3872" s="483">
        <v>313.19</v>
      </c>
      <c r="E3872" s="483">
        <v>313.19</v>
      </c>
    </row>
    <row r="3873" spans="1:5" ht="30">
      <c r="A3873" s="494">
        <v>95643</v>
      </c>
      <c r="B3873" s="485" t="s">
        <v>18053</v>
      </c>
      <c r="C3873" s="484" t="s">
        <v>65</v>
      </c>
      <c r="D3873" s="486">
        <v>409.57</v>
      </c>
      <c r="E3873" s="486">
        <v>409.57</v>
      </c>
    </row>
    <row r="3874" spans="1:5" ht="30">
      <c r="A3874" s="495">
        <v>95644</v>
      </c>
      <c r="B3874" s="348" t="s">
        <v>18054</v>
      </c>
      <c r="C3874" s="349" t="s">
        <v>65</v>
      </c>
      <c r="D3874" s="483">
        <v>154.1</v>
      </c>
      <c r="E3874" s="483">
        <v>154.1</v>
      </c>
    </row>
    <row r="3875" spans="1:5" ht="30">
      <c r="A3875" s="494">
        <v>95645</v>
      </c>
      <c r="B3875" s="485" t="s">
        <v>18055</v>
      </c>
      <c r="C3875" s="484" t="s">
        <v>65</v>
      </c>
      <c r="D3875" s="486">
        <v>281.05</v>
      </c>
      <c r="E3875" s="486">
        <v>281.05</v>
      </c>
    </row>
    <row r="3876" spans="1:5" ht="30">
      <c r="A3876" s="495">
        <v>95646</v>
      </c>
      <c r="B3876" s="348" t="s">
        <v>18056</v>
      </c>
      <c r="C3876" s="349" t="s">
        <v>65</v>
      </c>
      <c r="D3876" s="483">
        <v>418.42</v>
      </c>
      <c r="E3876" s="483">
        <v>418.42</v>
      </c>
    </row>
    <row r="3877" spans="1:5" ht="30">
      <c r="A3877" s="494">
        <v>95647</v>
      </c>
      <c r="B3877" s="485" t="s">
        <v>18057</v>
      </c>
      <c r="C3877" s="484" t="s">
        <v>65</v>
      </c>
      <c r="D3877" s="486">
        <v>548.4</v>
      </c>
      <c r="E3877" s="486">
        <v>548.4</v>
      </c>
    </row>
    <row r="3878" spans="1:5">
      <c r="A3878" s="495">
        <v>95673</v>
      </c>
      <c r="B3878" s="348" t="s">
        <v>18058</v>
      </c>
      <c r="C3878" s="349" t="s">
        <v>65</v>
      </c>
      <c r="D3878" s="483">
        <v>111.35</v>
      </c>
      <c r="E3878" s="483">
        <v>111.35</v>
      </c>
    </row>
    <row r="3879" spans="1:5">
      <c r="A3879" s="494">
        <v>95674</v>
      </c>
      <c r="B3879" s="485" t="s">
        <v>18059</v>
      </c>
      <c r="C3879" s="484" t="s">
        <v>65</v>
      </c>
      <c r="D3879" s="486">
        <v>118.39</v>
      </c>
      <c r="E3879" s="486">
        <v>118.39</v>
      </c>
    </row>
    <row r="3880" spans="1:5">
      <c r="A3880" s="495">
        <v>95675</v>
      </c>
      <c r="B3880" s="348" t="s">
        <v>11091</v>
      </c>
      <c r="C3880" s="349" t="s">
        <v>65</v>
      </c>
      <c r="D3880" s="483">
        <v>144.81</v>
      </c>
      <c r="E3880" s="483">
        <v>144.81</v>
      </c>
    </row>
    <row r="3881" spans="1:5" ht="30">
      <c r="A3881" s="494">
        <v>95676</v>
      </c>
      <c r="B3881" s="485" t="s">
        <v>18060</v>
      </c>
      <c r="C3881" s="484" t="s">
        <v>65</v>
      </c>
      <c r="D3881" s="486">
        <v>77.03</v>
      </c>
      <c r="E3881" s="486">
        <v>77.03</v>
      </c>
    </row>
    <row r="3882" spans="1:5">
      <c r="A3882" s="495">
        <v>72285</v>
      </c>
      <c r="B3882" s="348" t="s">
        <v>780</v>
      </c>
      <c r="C3882" s="349" t="s">
        <v>65</v>
      </c>
      <c r="D3882" s="483">
        <v>72.11</v>
      </c>
      <c r="E3882" s="483">
        <v>72.11</v>
      </c>
    </row>
    <row r="3883" spans="1:5">
      <c r="A3883" s="494">
        <v>72286</v>
      </c>
      <c r="B3883" s="485" t="s">
        <v>781</v>
      </c>
      <c r="C3883" s="484" t="s">
        <v>65</v>
      </c>
      <c r="D3883" s="486">
        <v>142.74</v>
      </c>
      <c r="E3883" s="486">
        <v>142.74</v>
      </c>
    </row>
    <row r="3884" spans="1:5">
      <c r="A3884" s="495">
        <v>90436</v>
      </c>
      <c r="B3884" s="348" t="s">
        <v>5715</v>
      </c>
      <c r="C3884" s="349" t="s">
        <v>65</v>
      </c>
      <c r="D3884" s="483">
        <v>10.39</v>
      </c>
      <c r="E3884" s="483">
        <v>10.39</v>
      </c>
    </row>
    <row r="3885" spans="1:5" ht="30">
      <c r="A3885" s="494">
        <v>90437</v>
      </c>
      <c r="B3885" s="485" t="s">
        <v>5713</v>
      </c>
      <c r="C3885" s="484" t="s">
        <v>65</v>
      </c>
      <c r="D3885" s="486">
        <v>25.26</v>
      </c>
      <c r="E3885" s="486">
        <v>25.26</v>
      </c>
    </row>
    <row r="3886" spans="1:5">
      <c r="A3886" s="495">
        <v>90438</v>
      </c>
      <c r="B3886" s="348" t="s">
        <v>5714</v>
      </c>
      <c r="C3886" s="349" t="s">
        <v>65</v>
      </c>
      <c r="D3886" s="483">
        <v>36.200000000000003</v>
      </c>
      <c r="E3886" s="483">
        <v>36.200000000000003</v>
      </c>
    </row>
    <row r="3887" spans="1:5">
      <c r="A3887" s="494">
        <v>90439</v>
      </c>
      <c r="B3887" s="485" t="s">
        <v>5718</v>
      </c>
      <c r="C3887" s="484" t="s">
        <v>65</v>
      </c>
      <c r="D3887" s="486">
        <v>52.78</v>
      </c>
      <c r="E3887" s="486">
        <v>52.78</v>
      </c>
    </row>
    <row r="3888" spans="1:5" ht="30">
      <c r="A3888" s="495">
        <v>90440</v>
      </c>
      <c r="B3888" s="348" t="s">
        <v>5716</v>
      </c>
      <c r="C3888" s="349" t="s">
        <v>65</v>
      </c>
      <c r="D3888" s="483">
        <v>84.55</v>
      </c>
      <c r="E3888" s="483">
        <v>84.55</v>
      </c>
    </row>
    <row r="3889" spans="1:5">
      <c r="A3889" s="494">
        <v>90441</v>
      </c>
      <c r="B3889" s="485" t="s">
        <v>5717</v>
      </c>
      <c r="C3889" s="484" t="s">
        <v>65</v>
      </c>
      <c r="D3889" s="486">
        <v>107.99</v>
      </c>
      <c r="E3889" s="486">
        <v>107.99</v>
      </c>
    </row>
    <row r="3890" spans="1:5" ht="30">
      <c r="A3890" s="495">
        <v>90443</v>
      </c>
      <c r="B3890" s="348" t="s">
        <v>8536</v>
      </c>
      <c r="C3890" s="349" t="s">
        <v>71</v>
      </c>
      <c r="D3890" s="483">
        <v>9.4499999999999993</v>
      </c>
      <c r="E3890" s="483">
        <v>9.4499999999999993</v>
      </c>
    </row>
    <row r="3891" spans="1:5" ht="30">
      <c r="A3891" s="494">
        <v>90444</v>
      </c>
      <c r="B3891" s="485" t="s">
        <v>8539</v>
      </c>
      <c r="C3891" s="484" t="s">
        <v>71</v>
      </c>
      <c r="D3891" s="486">
        <v>22.65</v>
      </c>
      <c r="E3891" s="486">
        <v>22.65</v>
      </c>
    </row>
    <row r="3892" spans="1:5" ht="30">
      <c r="A3892" s="495">
        <v>90445</v>
      </c>
      <c r="B3892" s="348" t="s">
        <v>18061</v>
      </c>
      <c r="C3892" s="349" t="s">
        <v>71</v>
      </c>
      <c r="D3892" s="483">
        <v>24.19</v>
      </c>
      <c r="E3892" s="483">
        <v>24.19</v>
      </c>
    </row>
    <row r="3893" spans="1:5" ht="30">
      <c r="A3893" s="494">
        <v>90446</v>
      </c>
      <c r="B3893" s="485" t="s">
        <v>18062</v>
      </c>
      <c r="C3893" s="484" t="s">
        <v>71</v>
      </c>
      <c r="D3893" s="486">
        <v>26.27</v>
      </c>
      <c r="E3893" s="486">
        <v>26.27</v>
      </c>
    </row>
    <row r="3894" spans="1:5" ht="30">
      <c r="A3894" s="495">
        <v>90447</v>
      </c>
      <c r="B3894" s="348" t="s">
        <v>8534</v>
      </c>
      <c r="C3894" s="349" t="s">
        <v>71</v>
      </c>
      <c r="D3894" s="483">
        <v>4.5999999999999996</v>
      </c>
      <c r="E3894" s="483">
        <v>4.5999999999999996</v>
      </c>
    </row>
    <row r="3895" spans="1:5" ht="30">
      <c r="A3895" s="494">
        <v>90451</v>
      </c>
      <c r="B3895" s="485" t="s">
        <v>18063</v>
      </c>
      <c r="C3895" s="484" t="s">
        <v>65</v>
      </c>
      <c r="D3895" s="486">
        <v>3.09</v>
      </c>
      <c r="E3895" s="486">
        <v>3.09</v>
      </c>
    </row>
    <row r="3896" spans="1:5" ht="30">
      <c r="A3896" s="495">
        <v>90452</v>
      </c>
      <c r="B3896" s="348" t="s">
        <v>11094</v>
      </c>
      <c r="C3896" s="349" t="s">
        <v>65</v>
      </c>
      <c r="D3896" s="483">
        <v>12.72</v>
      </c>
      <c r="E3896" s="483">
        <v>12.72</v>
      </c>
    </row>
    <row r="3897" spans="1:5">
      <c r="A3897" s="494">
        <v>90453</v>
      </c>
      <c r="B3897" s="485" t="s">
        <v>7848</v>
      </c>
      <c r="C3897" s="484" t="s">
        <v>65</v>
      </c>
      <c r="D3897" s="486">
        <v>1.93</v>
      </c>
      <c r="E3897" s="486">
        <v>1.93</v>
      </c>
    </row>
    <row r="3898" spans="1:5" ht="30">
      <c r="A3898" s="495">
        <v>90454</v>
      </c>
      <c r="B3898" s="348" t="s">
        <v>7847</v>
      </c>
      <c r="C3898" s="349" t="s">
        <v>65</v>
      </c>
      <c r="D3898" s="483">
        <v>3.36</v>
      </c>
      <c r="E3898" s="483">
        <v>3.36</v>
      </c>
    </row>
    <row r="3899" spans="1:5">
      <c r="A3899" s="494">
        <v>90455</v>
      </c>
      <c r="B3899" s="485" t="s">
        <v>18064</v>
      </c>
      <c r="C3899" s="484" t="s">
        <v>65</v>
      </c>
      <c r="D3899" s="486">
        <v>4.49</v>
      </c>
      <c r="E3899" s="486">
        <v>4.49</v>
      </c>
    </row>
    <row r="3900" spans="1:5">
      <c r="A3900" s="495">
        <v>90456</v>
      </c>
      <c r="B3900" s="348" t="s">
        <v>18065</v>
      </c>
      <c r="C3900" s="349" t="s">
        <v>65</v>
      </c>
      <c r="D3900" s="483">
        <v>3.03</v>
      </c>
      <c r="E3900" s="483">
        <v>3.03</v>
      </c>
    </row>
    <row r="3901" spans="1:5" ht="30">
      <c r="A3901" s="494">
        <v>90457</v>
      </c>
      <c r="B3901" s="485" t="s">
        <v>18066</v>
      </c>
      <c r="C3901" s="484" t="s">
        <v>65</v>
      </c>
      <c r="D3901" s="486">
        <v>6.91</v>
      </c>
      <c r="E3901" s="486">
        <v>6.91</v>
      </c>
    </row>
    <row r="3902" spans="1:5" ht="30">
      <c r="A3902" s="495">
        <v>90458</v>
      </c>
      <c r="B3902" s="348" t="s">
        <v>18067</v>
      </c>
      <c r="C3902" s="349" t="s">
        <v>65</v>
      </c>
      <c r="D3902" s="483">
        <v>19.63</v>
      </c>
      <c r="E3902" s="483">
        <v>19.63</v>
      </c>
    </row>
    <row r="3903" spans="1:5" ht="30">
      <c r="A3903" s="494">
        <v>90459</v>
      </c>
      <c r="B3903" s="485" t="s">
        <v>18068</v>
      </c>
      <c r="C3903" s="484" t="s">
        <v>65</v>
      </c>
      <c r="D3903" s="486">
        <v>27.68</v>
      </c>
      <c r="E3903" s="486">
        <v>27.68</v>
      </c>
    </row>
    <row r="3904" spans="1:5" ht="30">
      <c r="A3904" s="495">
        <v>90466</v>
      </c>
      <c r="B3904" s="348" t="s">
        <v>3602</v>
      </c>
      <c r="C3904" s="349" t="s">
        <v>71</v>
      </c>
      <c r="D3904" s="483">
        <v>9.26</v>
      </c>
      <c r="E3904" s="483">
        <v>9.26</v>
      </c>
    </row>
    <row r="3905" spans="1:5" ht="30">
      <c r="A3905" s="494">
        <v>90467</v>
      </c>
      <c r="B3905" s="485" t="s">
        <v>3601</v>
      </c>
      <c r="C3905" s="484" t="s">
        <v>71</v>
      </c>
      <c r="D3905" s="486">
        <v>14.65</v>
      </c>
      <c r="E3905" s="486">
        <v>14.65</v>
      </c>
    </row>
    <row r="3906" spans="1:5" ht="30">
      <c r="A3906" s="495">
        <v>90468</v>
      </c>
      <c r="B3906" s="348" t="s">
        <v>18069</v>
      </c>
      <c r="C3906" s="349" t="s">
        <v>71</v>
      </c>
      <c r="D3906" s="483">
        <v>3.97</v>
      </c>
      <c r="E3906" s="483">
        <v>3.97</v>
      </c>
    </row>
    <row r="3907" spans="1:5" ht="30">
      <c r="A3907" s="494">
        <v>90469</v>
      </c>
      <c r="B3907" s="485" t="s">
        <v>18070</v>
      </c>
      <c r="C3907" s="484" t="s">
        <v>71</v>
      </c>
      <c r="D3907" s="486">
        <v>6.36</v>
      </c>
      <c r="E3907" s="486">
        <v>6.36</v>
      </c>
    </row>
    <row r="3908" spans="1:5" ht="30">
      <c r="A3908" s="495">
        <v>90470</v>
      </c>
      <c r="B3908" s="348" t="s">
        <v>18071</v>
      </c>
      <c r="C3908" s="349" t="s">
        <v>71</v>
      </c>
      <c r="D3908" s="483">
        <v>8.68</v>
      </c>
      <c r="E3908" s="483">
        <v>8.68</v>
      </c>
    </row>
    <row r="3909" spans="1:5" ht="30">
      <c r="A3909" s="494">
        <v>91166</v>
      </c>
      <c r="B3909" s="485" t="s">
        <v>18072</v>
      </c>
      <c r="C3909" s="484" t="s">
        <v>71</v>
      </c>
      <c r="D3909" s="486">
        <v>2.44</v>
      </c>
      <c r="E3909" s="486">
        <v>2.44</v>
      </c>
    </row>
    <row r="3910" spans="1:5" ht="30">
      <c r="A3910" s="495">
        <v>91167</v>
      </c>
      <c r="B3910" s="348" t="s">
        <v>18073</v>
      </c>
      <c r="C3910" s="349" t="s">
        <v>71</v>
      </c>
      <c r="D3910" s="483">
        <v>7.17</v>
      </c>
      <c r="E3910" s="483">
        <v>7.17</v>
      </c>
    </row>
    <row r="3911" spans="1:5" ht="45">
      <c r="A3911" s="494">
        <v>91168</v>
      </c>
      <c r="B3911" s="485" t="s">
        <v>18074</v>
      </c>
      <c r="C3911" s="484" t="s">
        <v>71</v>
      </c>
      <c r="D3911" s="486">
        <v>5.39</v>
      </c>
      <c r="E3911" s="486">
        <v>5.39</v>
      </c>
    </row>
    <row r="3912" spans="1:5" ht="30">
      <c r="A3912" s="495">
        <v>91169</v>
      </c>
      <c r="B3912" s="348" t="s">
        <v>18075</v>
      </c>
      <c r="C3912" s="349" t="s">
        <v>71</v>
      </c>
      <c r="D3912" s="483">
        <v>6.41</v>
      </c>
      <c r="E3912" s="483">
        <v>6.41</v>
      </c>
    </row>
    <row r="3913" spans="1:5" ht="45">
      <c r="A3913" s="494">
        <v>91170</v>
      </c>
      <c r="B3913" s="485" t="s">
        <v>18076</v>
      </c>
      <c r="C3913" s="484" t="s">
        <v>71</v>
      </c>
      <c r="D3913" s="486">
        <v>1.85</v>
      </c>
      <c r="E3913" s="486">
        <v>1.85</v>
      </c>
    </row>
    <row r="3914" spans="1:5" ht="45">
      <c r="A3914" s="495">
        <v>91171</v>
      </c>
      <c r="B3914" s="348" t="s">
        <v>18077</v>
      </c>
      <c r="C3914" s="349" t="s">
        <v>71</v>
      </c>
      <c r="D3914" s="483">
        <v>2.2999999999999998</v>
      </c>
      <c r="E3914" s="483">
        <v>2.2999999999999998</v>
      </c>
    </row>
    <row r="3915" spans="1:5" ht="30">
      <c r="A3915" s="494">
        <v>91172</v>
      </c>
      <c r="B3915" s="485" t="s">
        <v>18078</v>
      </c>
      <c r="C3915" s="484" t="s">
        <v>71</v>
      </c>
      <c r="D3915" s="486">
        <v>3.38</v>
      </c>
      <c r="E3915" s="486">
        <v>3.38</v>
      </c>
    </row>
    <row r="3916" spans="1:5" ht="45">
      <c r="A3916" s="495">
        <v>91173</v>
      </c>
      <c r="B3916" s="348" t="s">
        <v>18079</v>
      </c>
      <c r="C3916" s="349" t="s">
        <v>71</v>
      </c>
      <c r="D3916" s="483">
        <v>0.93</v>
      </c>
      <c r="E3916" s="483">
        <v>0.93</v>
      </c>
    </row>
    <row r="3917" spans="1:5" ht="45">
      <c r="A3917" s="494">
        <v>91174</v>
      </c>
      <c r="B3917" s="485" t="s">
        <v>18080</v>
      </c>
      <c r="C3917" s="484" t="s">
        <v>71</v>
      </c>
      <c r="D3917" s="486">
        <v>1.81</v>
      </c>
      <c r="E3917" s="486">
        <v>1.81</v>
      </c>
    </row>
    <row r="3918" spans="1:5" ht="30">
      <c r="A3918" s="495">
        <v>91175</v>
      </c>
      <c r="B3918" s="348" t="s">
        <v>18081</v>
      </c>
      <c r="C3918" s="349" t="s">
        <v>71</v>
      </c>
      <c r="D3918" s="483">
        <v>2.97</v>
      </c>
      <c r="E3918" s="483">
        <v>2.97</v>
      </c>
    </row>
    <row r="3919" spans="1:5" ht="30">
      <c r="A3919" s="494">
        <v>91182</v>
      </c>
      <c r="B3919" s="485" t="s">
        <v>18082</v>
      </c>
      <c r="C3919" s="484" t="s">
        <v>71</v>
      </c>
      <c r="D3919" s="486">
        <v>19.63</v>
      </c>
      <c r="E3919" s="486">
        <v>19.63</v>
      </c>
    </row>
    <row r="3920" spans="1:5" ht="45">
      <c r="A3920" s="495">
        <v>91183</v>
      </c>
      <c r="B3920" s="348" t="s">
        <v>18083</v>
      </c>
      <c r="C3920" s="349" t="s">
        <v>71</v>
      </c>
      <c r="D3920" s="483">
        <v>9.77</v>
      </c>
      <c r="E3920" s="483">
        <v>9.77</v>
      </c>
    </row>
    <row r="3921" spans="1:5" ht="30">
      <c r="A3921" s="494">
        <v>91184</v>
      </c>
      <c r="B3921" s="485" t="s">
        <v>18084</v>
      </c>
      <c r="C3921" s="484" t="s">
        <v>71</v>
      </c>
      <c r="D3921" s="486">
        <v>9.16</v>
      </c>
      <c r="E3921" s="486">
        <v>9.16</v>
      </c>
    </row>
    <row r="3922" spans="1:5" ht="45">
      <c r="A3922" s="495">
        <v>91185</v>
      </c>
      <c r="B3922" s="348" t="s">
        <v>18085</v>
      </c>
      <c r="C3922" s="349" t="s">
        <v>71</v>
      </c>
      <c r="D3922" s="483">
        <v>5.03</v>
      </c>
      <c r="E3922" s="483">
        <v>5.03</v>
      </c>
    </row>
    <row r="3923" spans="1:5" ht="45">
      <c r="A3923" s="494">
        <v>91186</v>
      </c>
      <c r="B3923" s="485" t="s">
        <v>18086</v>
      </c>
      <c r="C3923" s="484" t="s">
        <v>71</v>
      </c>
      <c r="D3923" s="486">
        <v>4.17</v>
      </c>
      <c r="E3923" s="486">
        <v>4.17</v>
      </c>
    </row>
    <row r="3924" spans="1:5" ht="30">
      <c r="A3924" s="495">
        <v>91187</v>
      </c>
      <c r="B3924" s="348" t="s">
        <v>18087</v>
      </c>
      <c r="C3924" s="349" t="s">
        <v>71</v>
      </c>
      <c r="D3924" s="483">
        <v>4.83</v>
      </c>
      <c r="E3924" s="483">
        <v>4.83</v>
      </c>
    </row>
    <row r="3925" spans="1:5" ht="30">
      <c r="A3925" s="494">
        <v>91188</v>
      </c>
      <c r="B3925" s="485" t="s">
        <v>18088</v>
      </c>
      <c r="C3925" s="484" t="s">
        <v>65</v>
      </c>
      <c r="D3925" s="486">
        <v>4.8</v>
      </c>
      <c r="E3925" s="486">
        <v>4.8</v>
      </c>
    </row>
    <row r="3926" spans="1:5" ht="30">
      <c r="A3926" s="495">
        <v>91189</v>
      </c>
      <c r="B3926" s="348" t="s">
        <v>3607</v>
      </c>
      <c r="C3926" s="349" t="s">
        <v>65</v>
      </c>
      <c r="D3926" s="483">
        <v>29.99</v>
      </c>
      <c r="E3926" s="483">
        <v>29.99</v>
      </c>
    </row>
    <row r="3927" spans="1:5" ht="30">
      <c r="A3927" s="494">
        <v>91190</v>
      </c>
      <c r="B3927" s="485" t="s">
        <v>3609</v>
      </c>
      <c r="C3927" s="484" t="s">
        <v>65</v>
      </c>
      <c r="D3927" s="486">
        <v>3.6</v>
      </c>
      <c r="E3927" s="486">
        <v>3.6</v>
      </c>
    </row>
    <row r="3928" spans="1:5" ht="30">
      <c r="A3928" s="495">
        <v>91191</v>
      </c>
      <c r="B3928" s="348" t="s">
        <v>3610</v>
      </c>
      <c r="C3928" s="349" t="s">
        <v>65</v>
      </c>
      <c r="D3928" s="483">
        <v>3.81</v>
      </c>
      <c r="E3928" s="483">
        <v>3.81</v>
      </c>
    </row>
    <row r="3929" spans="1:5" ht="30">
      <c r="A3929" s="494">
        <v>91192</v>
      </c>
      <c r="B3929" s="485" t="s">
        <v>3608</v>
      </c>
      <c r="C3929" s="484" t="s">
        <v>65</v>
      </c>
      <c r="D3929" s="486">
        <v>4.24</v>
      </c>
      <c r="E3929" s="486">
        <v>4.24</v>
      </c>
    </row>
    <row r="3930" spans="1:5" ht="30">
      <c r="A3930" s="495">
        <v>91222</v>
      </c>
      <c r="B3930" s="348" t="s">
        <v>8535</v>
      </c>
      <c r="C3930" s="349" t="s">
        <v>71</v>
      </c>
      <c r="D3930" s="483">
        <v>10.18</v>
      </c>
      <c r="E3930" s="483">
        <v>10.18</v>
      </c>
    </row>
    <row r="3931" spans="1:5" ht="45">
      <c r="A3931" s="494">
        <v>94480</v>
      </c>
      <c r="B3931" s="485" t="s">
        <v>18089</v>
      </c>
      <c r="C3931" s="484" t="s">
        <v>65</v>
      </c>
      <c r="D3931" s="486">
        <v>1514.31</v>
      </c>
      <c r="E3931" s="486">
        <v>1514.31</v>
      </c>
    </row>
    <row r="3932" spans="1:5" ht="45">
      <c r="A3932" s="495">
        <v>94481</v>
      </c>
      <c r="B3932" s="348" t="s">
        <v>18090</v>
      </c>
      <c r="C3932" s="349" t="s">
        <v>65</v>
      </c>
      <c r="D3932" s="483">
        <v>1094.94</v>
      </c>
      <c r="E3932" s="483">
        <v>1094.94</v>
      </c>
    </row>
    <row r="3933" spans="1:5" ht="45">
      <c r="A3933" s="494">
        <v>94482</v>
      </c>
      <c r="B3933" s="485" t="s">
        <v>18091</v>
      </c>
      <c r="C3933" s="484" t="s">
        <v>65</v>
      </c>
      <c r="D3933" s="486">
        <v>885.1</v>
      </c>
      <c r="E3933" s="486">
        <v>885.1</v>
      </c>
    </row>
    <row r="3934" spans="1:5" ht="45">
      <c r="A3934" s="495">
        <v>94483</v>
      </c>
      <c r="B3934" s="348" t="s">
        <v>18092</v>
      </c>
      <c r="C3934" s="349" t="s">
        <v>65</v>
      </c>
      <c r="D3934" s="483">
        <v>755.45</v>
      </c>
      <c r="E3934" s="483">
        <v>755.45</v>
      </c>
    </row>
    <row r="3935" spans="1:5">
      <c r="A3935" s="494">
        <v>95541</v>
      </c>
      <c r="B3935" s="485" t="s">
        <v>18093</v>
      </c>
      <c r="C3935" s="484" t="s">
        <v>65</v>
      </c>
      <c r="D3935" s="486">
        <v>3.37</v>
      </c>
      <c r="E3935" s="486">
        <v>3.37</v>
      </c>
    </row>
    <row r="3936" spans="1:5" ht="30">
      <c r="A3936" s="495">
        <v>95573</v>
      </c>
      <c r="B3936" s="348" t="s">
        <v>18094</v>
      </c>
      <c r="C3936" s="349" t="s">
        <v>65</v>
      </c>
      <c r="D3936" s="483">
        <v>31.33</v>
      </c>
      <c r="E3936" s="483">
        <v>31.33</v>
      </c>
    </row>
    <row r="3937" spans="1:5" ht="30">
      <c r="A3937" s="494">
        <v>95574</v>
      </c>
      <c r="B3937" s="485" t="s">
        <v>18095</v>
      </c>
      <c r="C3937" s="484" t="s">
        <v>65</v>
      </c>
      <c r="D3937" s="486">
        <v>23.69</v>
      </c>
      <c r="E3937" s="486">
        <v>23.69</v>
      </c>
    </row>
    <row r="3938" spans="1:5">
      <c r="A3938" s="349" t="s">
        <v>18096</v>
      </c>
      <c r="B3938" s="348" t="s">
        <v>6051</v>
      </c>
      <c r="C3938" s="349" t="s">
        <v>65</v>
      </c>
      <c r="D3938" s="483">
        <v>495.5</v>
      </c>
      <c r="E3938" s="483">
        <v>495.5</v>
      </c>
    </row>
    <row r="3939" spans="1:5">
      <c r="A3939" s="484" t="s">
        <v>18097</v>
      </c>
      <c r="B3939" s="485" t="s">
        <v>6052</v>
      </c>
      <c r="C3939" s="484" t="s">
        <v>65</v>
      </c>
      <c r="D3939" s="486">
        <v>644.15</v>
      </c>
      <c r="E3939" s="486">
        <v>644.15</v>
      </c>
    </row>
    <row r="3940" spans="1:5">
      <c r="A3940" s="349" t="s">
        <v>18098</v>
      </c>
      <c r="B3940" s="348" t="s">
        <v>6057</v>
      </c>
      <c r="C3940" s="349" t="s">
        <v>65</v>
      </c>
      <c r="D3940" s="483">
        <v>176.55</v>
      </c>
      <c r="E3940" s="483">
        <v>176.55</v>
      </c>
    </row>
    <row r="3941" spans="1:5">
      <c r="A3941" s="484" t="s">
        <v>18099</v>
      </c>
      <c r="B3941" s="485" t="s">
        <v>6058</v>
      </c>
      <c r="C3941" s="484" t="s">
        <v>65</v>
      </c>
      <c r="D3941" s="486">
        <v>282.48</v>
      </c>
      <c r="E3941" s="486">
        <v>282.48</v>
      </c>
    </row>
    <row r="3942" spans="1:5">
      <c r="A3942" s="349" t="s">
        <v>18100</v>
      </c>
      <c r="B3942" s="348" t="s">
        <v>6059</v>
      </c>
      <c r="C3942" s="349" t="s">
        <v>65</v>
      </c>
      <c r="D3942" s="483">
        <v>564.96</v>
      </c>
      <c r="E3942" s="483">
        <v>564.96</v>
      </c>
    </row>
    <row r="3943" spans="1:5">
      <c r="A3943" s="484" t="s">
        <v>18101</v>
      </c>
      <c r="B3943" s="485" t="s">
        <v>6060</v>
      </c>
      <c r="C3943" s="484" t="s">
        <v>65</v>
      </c>
      <c r="D3943" s="486">
        <v>847.44</v>
      </c>
      <c r="E3943" s="486">
        <v>847.44</v>
      </c>
    </row>
    <row r="3944" spans="1:5">
      <c r="A3944" s="349" t="s">
        <v>18102</v>
      </c>
      <c r="B3944" s="348" t="s">
        <v>6066</v>
      </c>
      <c r="C3944" s="349" t="s">
        <v>65</v>
      </c>
      <c r="D3944" s="483">
        <v>1200</v>
      </c>
      <c r="E3944" s="483">
        <v>1200</v>
      </c>
    </row>
    <row r="3945" spans="1:5">
      <c r="A3945" s="484" t="s">
        <v>18103</v>
      </c>
      <c r="B3945" s="485" t="s">
        <v>6064</v>
      </c>
      <c r="C3945" s="484" t="s">
        <v>65</v>
      </c>
      <c r="D3945" s="486">
        <v>1632</v>
      </c>
      <c r="E3945" s="486">
        <v>1632</v>
      </c>
    </row>
    <row r="3946" spans="1:5">
      <c r="A3946" s="349" t="s">
        <v>18104</v>
      </c>
      <c r="B3946" s="348" t="s">
        <v>6065</v>
      </c>
      <c r="C3946" s="349" t="s">
        <v>65</v>
      </c>
      <c r="D3946" s="483">
        <v>1824</v>
      </c>
      <c r="E3946" s="483">
        <v>1824</v>
      </c>
    </row>
    <row r="3947" spans="1:5">
      <c r="A3947" s="484" t="s">
        <v>18105</v>
      </c>
      <c r="B3947" s="485" t="s">
        <v>6053</v>
      </c>
      <c r="C3947" s="484" t="s">
        <v>65</v>
      </c>
      <c r="D3947" s="486">
        <v>480</v>
      </c>
      <c r="E3947" s="486">
        <v>480</v>
      </c>
    </row>
    <row r="3948" spans="1:5">
      <c r="A3948" s="349" t="s">
        <v>18106</v>
      </c>
      <c r="B3948" s="348" t="s">
        <v>6055</v>
      </c>
      <c r="C3948" s="349" t="s">
        <v>65</v>
      </c>
      <c r="D3948" s="483">
        <v>624</v>
      </c>
      <c r="E3948" s="483">
        <v>624</v>
      </c>
    </row>
    <row r="3949" spans="1:5">
      <c r="A3949" s="484" t="s">
        <v>18107</v>
      </c>
      <c r="B3949" s="485" t="s">
        <v>6056</v>
      </c>
      <c r="C3949" s="484" t="s">
        <v>65</v>
      </c>
      <c r="D3949" s="486">
        <v>960</v>
      </c>
      <c r="E3949" s="486">
        <v>960</v>
      </c>
    </row>
    <row r="3950" spans="1:5">
      <c r="A3950" s="349" t="s">
        <v>18108</v>
      </c>
      <c r="B3950" s="348" t="s">
        <v>6054</v>
      </c>
      <c r="C3950" s="349" t="s">
        <v>65</v>
      </c>
      <c r="D3950" s="483">
        <v>1536</v>
      </c>
      <c r="E3950" s="483">
        <v>1536</v>
      </c>
    </row>
    <row r="3951" spans="1:5">
      <c r="A3951" s="484" t="s">
        <v>18109</v>
      </c>
      <c r="B3951" s="485" t="s">
        <v>6061</v>
      </c>
      <c r="C3951" s="484" t="s">
        <v>65</v>
      </c>
      <c r="D3951" s="486">
        <v>176.55</v>
      </c>
      <c r="E3951" s="486">
        <v>176.55</v>
      </c>
    </row>
    <row r="3952" spans="1:5">
      <c r="A3952" s="349" t="s">
        <v>18110</v>
      </c>
      <c r="B3952" s="348" t="s">
        <v>6063</v>
      </c>
      <c r="C3952" s="349" t="s">
        <v>65</v>
      </c>
      <c r="D3952" s="483">
        <v>353.1</v>
      </c>
      <c r="E3952" s="483">
        <v>353.1</v>
      </c>
    </row>
    <row r="3953" spans="1:5">
      <c r="A3953" s="484" t="s">
        <v>18111</v>
      </c>
      <c r="B3953" s="485" t="s">
        <v>6062</v>
      </c>
      <c r="C3953" s="484" t="s">
        <v>65</v>
      </c>
      <c r="D3953" s="486">
        <v>706.2</v>
      </c>
      <c r="E3953" s="486">
        <v>706.2</v>
      </c>
    </row>
    <row r="3954" spans="1:5">
      <c r="A3954" s="495">
        <v>73612</v>
      </c>
      <c r="B3954" s="348" t="s">
        <v>6050</v>
      </c>
      <c r="C3954" s="349" t="s">
        <v>65</v>
      </c>
      <c r="D3954" s="483">
        <v>386</v>
      </c>
      <c r="E3954" s="483">
        <v>386</v>
      </c>
    </row>
    <row r="3955" spans="1:5">
      <c r="A3955" s="494">
        <v>73660</v>
      </c>
      <c r="B3955" s="485" t="s">
        <v>798</v>
      </c>
      <c r="C3955" s="484" t="s">
        <v>256</v>
      </c>
      <c r="D3955" s="486">
        <v>58.28</v>
      </c>
      <c r="E3955" s="486">
        <v>58.28</v>
      </c>
    </row>
    <row r="3956" spans="1:5">
      <c r="A3956" s="495">
        <v>73661</v>
      </c>
      <c r="B3956" s="348" t="s">
        <v>5660</v>
      </c>
      <c r="C3956" s="349" t="s">
        <v>65</v>
      </c>
      <c r="D3956" s="483">
        <v>1891.02</v>
      </c>
      <c r="E3956" s="483">
        <v>1891.02</v>
      </c>
    </row>
    <row r="3957" spans="1:5">
      <c r="A3957" s="494">
        <v>73693</v>
      </c>
      <c r="B3957" s="485" t="s">
        <v>6725</v>
      </c>
      <c r="C3957" s="484" t="s">
        <v>256</v>
      </c>
      <c r="D3957" s="486">
        <v>18.22</v>
      </c>
      <c r="E3957" s="486">
        <v>18.22</v>
      </c>
    </row>
    <row r="3958" spans="1:5">
      <c r="A3958" s="495">
        <v>73694</v>
      </c>
      <c r="B3958" s="348" t="s">
        <v>6049</v>
      </c>
      <c r="C3958" s="349" t="s">
        <v>65</v>
      </c>
      <c r="D3958" s="483">
        <v>131.53</v>
      </c>
      <c r="E3958" s="483">
        <v>131.53</v>
      </c>
    </row>
    <row r="3959" spans="1:5">
      <c r="A3959" s="494">
        <v>73695</v>
      </c>
      <c r="B3959" s="485" t="s">
        <v>6048</v>
      </c>
      <c r="C3959" s="484" t="s">
        <v>65</v>
      </c>
      <c r="D3959" s="486">
        <v>67.63</v>
      </c>
      <c r="E3959" s="486">
        <v>67.63</v>
      </c>
    </row>
    <row r="3960" spans="1:5">
      <c r="A3960" s="349" t="s">
        <v>18112</v>
      </c>
      <c r="B3960" s="348" t="s">
        <v>6068</v>
      </c>
      <c r="C3960" s="349" t="s">
        <v>65</v>
      </c>
      <c r="D3960" s="483">
        <v>386</v>
      </c>
      <c r="E3960" s="483">
        <v>386</v>
      </c>
    </row>
    <row r="3961" spans="1:5">
      <c r="A3961" s="484" t="s">
        <v>18113</v>
      </c>
      <c r="B3961" s="485" t="s">
        <v>10776</v>
      </c>
      <c r="C3961" s="484" t="s">
        <v>256</v>
      </c>
      <c r="D3961" s="486">
        <v>782.55</v>
      </c>
      <c r="E3961" s="486">
        <v>782.55</v>
      </c>
    </row>
    <row r="3962" spans="1:5">
      <c r="A3962" s="349" t="s">
        <v>18114</v>
      </c>
      <c r="B3962" s="348" t="s">
        <v>6727</v>
      </c>
      <c r="C3962" s="349" t="s">
        <v>255</v>
      </c>
      <c r="D3962" s="483">
        <v>67.150000000000006</v>
      </c>
      <c r="E3962" s="483">
        <v>67.150000000000006</v>
      </c>
    </row>
    <row r="3963" spans="1:5">
      <c r="A3963" s="484" t="s">
        <v>18115</v>
      </c>
      <c r="B3963" s="485" t="s">
        <v>6728</v>
      </c>
      <c r="C3963" s="484" t="s">
        <v>255</v>
      </c>
      <c r="D3963" s="486">
        <v>131.99</v>
      </c>
      <c r="E3963" s="486">
        <v>131.99</v>
      </c>
    </row>
    <row r="3964" spans="1:5">
      <c r="A3964" s="349" t="s">
        <v>18116</v>
      </c>
      <c r="B3964" s="348" t="s">
        <v>6724</v>
      </c>
      <c r="C3964" s="349" t="s">
        <v>255</v>
      </c>
      <c r="D3964" s="483">
        <v>67.150000000000006</v>
      </c>
      <c r="E3964" s="483">
        <v>67.150000000000006</v>
      </c>
    </row>
    <row r="3965" spans="1:5">
      <c r="A3965" s="484" t="s">
        <v>18117</v>
      </c>
      <c r="B3965" s="485" t="s">
        <v>6726</v>
      </c>
      <c r="C3965" s="484" t="s">
        <v>255</v>
      </c>
      <c r="D3965" s="486">
        <v>73.540000000000006</v>
      </c>
      <c r="E3965" s="486">
        <v>73.540000000000006</v>
      </c>
    </row>
    <row r="3966" spans="1:5">
      <c r="A3966" s="349" t="s">
        <v>18118</v>
      </c>
      <c r="B3966" s="348" t="s">
        <v>6723</v>
      </c>
      <c r="C3966" s="349" t="s">
        <v>255</v>
      </c>
      <c r="D3966" s="483">
        <v>67.150000000000006</v>
      </c>
      <c r="E3966" s="483">
        <v>67.150000000000006</v>
      </c>
    </row>
    <row r="3967" spans="1:5">
      <c r="A3967" s="484" t="s">
        <v>18119</v>
      </c>
      <c r="B3967" s="485" t="s">
        <v>807</v>
      </c>
      <c r="C3967" s="484" t="s">
        <v>65</v>
      </c>
      <c r="D3967" s="486">
        <v>69.62</v>
      </c>
      <c r="E3967" s="486">
        <v>69.62</v>
      </c>
    </row>
    <row r="3968" spans="1:5">
      <c r="A3968" s="349" t="s">
        <v>18120</v>
      </c>
      <c r="B3968" s="348" t="s">
        <v>6567</v>
      </c>
      <c r="C3968" s="349" t="s">
        <v>65</v>
      </c>
      <c r="D3968" s="483">
        <v>63.74</v>
      </c>
      <c r="E3968" s="483">
        <v>63.74</v>
      </c>
    </row>
    <row r="3969" spans="1:5" ht="30">
      <c r="A3969" s="484" t="s">
        <v>18121</v>
      </c>
      <c r="B3969" s="485" t="s">
        <v>810</v>
      </c>
      <c r="C3969" s="484" t="s">
        <v>71</v>
      </c>
      <c r="D3969" s="486">
        <v>20.82</v>
      </c>
      <c r="E3969" s="486">
        <v>20.82</v>
      </c>
    </row>
    <row r="3970" spans="1:5">
      <c r="A3970" s="495">
        <v>83878</v>
      </c>
      <c r="B3970" s="348" t="s">
        <v>6733</v>
      </c>
      <c r="C3970" s="349" t="s">
        <v>65</v>
      </c>
      <c r="D3970" s="483">
        <v>41.35</v>
      </c>
      <c r="E3970" s="483">
        <v>41.35</v>
      </c>
    </row>
    <row r="3971" spans="1:5">
      <c r="A3971" s="494">
        <v>83879</v>
      </c>
      <c r="B3971" s="485" t="s">
        <v>6734</v>
      </c>
      <c r="C3971" s="484" t="s">
        <v>65</v>
      </c>
      <c r="D3971" s="486">
        <v>48.49</v>
      </c>
      <c r="E3971" s="486">
        <v>48.49</v>
      </c>
    </row>
    <row r="3972" spans="1:5" ht="45">
      <c r="A3972" s="495">
        <v>73658</v>
      </c>
      <c r="B3972" s="348" t="s">
        <v>18122</v>
      </c>
      <c r="C3972" s="349" t="s">
        <v>65</v>
      </c>
      <c r="D3972" s="483">
        <v>470.28</v>
      </c>
      <c r="E3972" s="483">
        <v>470.28</v>
      </c>
    </row>
    <row r="3973" spans="1:5" ht="60">
      <c r="A3973" s="494">
        <v>93350</v>
      </c>
      <c r="B3973" s="485" t="s">
        <v>18123</v>
      </c>
      <c r="C3973" s="484" t="s">
        <v>65</v>
      </c>
      <c r="D3973" s="486">
        <v>703.51</v>
      </c>
      <c r="E3973" s="486">
        <v>703.51</v>
      </c>
    </row>
    <row r="3974" spans="1:5" ht="60">
      <c r="A3974" s="495">
        <v>93351</v>
      </c>
      <c r="B3974" s="348" t="s">
        <v>18124</v>
      </c>
      <c r="C3974" s="349" t="s">
        <v>65</v>
      </c>
      <c r="D3974" s="483">
        <v>573.04</v>
      </c>
      <c r="E3974" s="483">
        <v>573.04</v>
      </c>
    </row>
    <row r="3975" spans="1:5" ht="60">
      <c r="A3975" s="494">
        <v>93352</v>
      </c>
      <c r="B3975" s="485" t="s">
        <v>18125</v>
      </c>
      <c r="C3975" s="484" t="s">
        <v>65</v>
      </c>
      <c r="D3975" s="486">
        <v>443.65</v>
      </c>
      <c r="E3975" s="486">
        <v>443.65</v>
      </c>
    </row>
    <row r="3976" spans="1:5" ht="60">
      <c r="A3976" s="495">
        <v>93353</v>
      </c>
      <c r="B3976" s="348" t="s">
        <v>18126</v>
      </c>
      <c r="C3976" s="349" t="s">
        <v>65</v>
      </c>
      <c r="D3976" s="483">
        <v>317.38</v>
      </c>
      <c r="E3976" s="483">
        <v>317.38</v>
      </c>
    </row>
    <row r="3977" spans="1:5" ht="60">
      <c r="A3977" s="494">
        <v>93354</v>
      </c>
      <c r="B3977" s="485" t="s">
        <v>18127</v>
      </c>
      <c r="C3977" s="484" t="s">
        <v>65</v>
      </c>
      <c r="D3977" s="486">
        <v>535.08000000000004</v>
      </c>
      <c r="E3977" s="486">
        <v>535.08000000000004</v>
      </c>
    </row>
    <row r="3978" spans="1:5" ht="60">
      <c r="A3978" s="495">
        <v>93355</v>
      </c>
      <c r="B3978" s="348" t="s">
        <v>18128</v>
      </c>
      <c r="C3978" s="349" t="s">
        <v>65</v>
      </c>
      <c r="D3978" s="483">
        <v>440.3</v>
      </c>
      <c r="E3978" s="483">
        <v>440.3</v>
      </c>
    </row>
    <row r="3979" spans="1:5" ht="60">
      <c r="A3979" s="494">
        <v>93356</v>
      </c>
      <c r="B3979" s="485" t="s">
        <v>18129</v>
      </c>
      <c r="C3979" s="484" t="s">
        <v>65</v>
      </c>
      <c r="D3979" s="486">
        <v>345.59</v>
      </c>
      <c r="E3979" s="486">
        <v>345.59</v>
      </c>
    </row>
    <row r="3980" spans="1:5" ht="60">
      <c r="A3980" s="495">
        <v>93357</v>
      </c>
      <c r="B3980" s="348" t="s">
        <v>18130</v>
      </c>
      <c r="C3980" s="349" t="s">
        <v>65</v>
      </c>
      <c r="D3980" s="483">
        <v>253.03</v>
      </c>
      <c r="E3980" s="483">
        <v>253.03</v>
      </c>
    </row>
    <row r="3981" spans="1:5">
      <c r="A3981" s="494">
        <v>83335</v>
      </c>
      <c r="B3981" s="485" t="s">
        <v>5141</v>
      </c>
      <c r="C3981" s="484" t="s">
        <v>255</v>
      </c>
      <c r="D3981" s="486">
        <v>41.46</v>
      </c>
      <c r="E3981" s="486">
        <v>41.46</v>
      </c>
    </row>
    <row r="3982" spans="1:5">
      <c r="A3982" s="495">
        <v>88548</v>
      </c>
      <c r="B3982" s="348" t="s">
        <v>4838</v>
      </c>
      <c r="C3982" s="349" t="s">
        <v>255</v>
      </c>
      <c r="D3982" s="483">
        <v>31.96</v>
      </c>
      <c r="E3982" s="483">
        <v>31.96</v>
      </c>
    </row>
    <row r="3983" spans="1:5">
      <c r="A3983" s="484" t="s">
        <v>18131</v>
      </c>
      <c r="B3983" s="485" t="s">
        <v>813</v>
      </c>
      <c r="C3983" s="484" t="s">
        <v>256</v>
      </c>
      <c r="D3983" s="486">
        <v>0.44</v>
      </c>
      <c r="E3983" s="486">
        <v>0.44</v>
      </c>
    </row>
    <row r="3984" spans="1:5">
      <c r="A3984" s="349" t="s">
        <v>18132</v>
      </c>
      <c r="B3984" s="348" t="s">
        <v>815</v>
      </c>
      <c r="C3984" s="349" t="s">
        <v>255</v>
      </c>
      <c r="D3984" s="483">
        <v>2.34</v>
      </c>
      <c r="E3984" s="483">
        <v>2.34</v>
      </c>
    </row>
    <row r="3985" spans="1:5" ht="30">
      <c r="A3985" s="484" t="s">
        <v>18133</v>
      </c>
      <c r="B3985" s="485" t="s">
        <v>5104</v>
      </c>
      <c r="C3985" s="484" t="s">
        <v>255</v>
      </c>
      <c r="D3985" s="486">
        <v>3.79</v>
      </c>
      <c r="E3985" s="486">
        <v>3.79</v>
      </c>
    </row>
    <row r="3986" spans="1:5">
      <c r="A3986" s="349" t="s">
        <v>18134</v>
      </c>
      <c r="B3986" s="348" t="s">
        <v>18135</v>
      </c>
      <c r="C3986" s="349" t="s">
        <v>256</v>
      </c>
      <c r="D3986" s="483">
        <v>0.25</v>
      </c>
      <c r="E3986" s="483">
        <v>0.25</v>
      </c>
    </row>
    <row r="3987" spans="1:5" ht="30">
      <c r="A3987" s="484" t="s">
        <v>18136</v>
      </c>
      <c r="B3987" s="485" t="s">
        <v>5186</v>
      </c>
      <c r="C3987" s="484" t="s">
        <v>255</v>
      </c>
      <c r="D3987" s="486">
        <v>5.33</v>
      </c>
      <c r="E3987" s="486">
        <v>5.33</v>
      </c>
    </row>
    <row r="3988" spans="1:5" ht="30">
      <c r="A3988" s="349" t="s">
        <v>18137</v>
      </c>
      <c r="B3988" s="348" t="s">
        <v>18138</v>
      </c>
      <c r="C3988" s="349" t="s">
        <v>255</v>
      </c>
      <c r="D3988" s="483">
        <v>2.0099999999999998</v>
      </c>
      <c r="E3988" s="483">
        <v>2.0099999999999998</v>
      </c>
    </row>
    <row r="3989" spans="1:5" ht="30">
      <c r="A3989" s="484" t="s">
        <v>18139</v>
      </c>
      <c r="B3989" s="485" t="s">
        <v>18140</v>
      </c>
      <c r="C3989" s="484" t="s">
        <v>255</v>
      </c>
      <c r="D3989" s="486">
        <v>3.89</v>
      </c>
      <c r="E3989" s="486">
        <v>3.89</v>
      </c>
    </row>
    <row r="3990" spans="1:5" ht="30">
      <c r="A3990" s="349" t="s">
        <v>18141</v>
      </c>
      <c r="B3990" s="348" t="s">
        <v>5111</v>
      </c>
      <c r="C3990" s="349" t="s">
        <v>255</v>
      </c>
      <c r="D3990" s="483">
        <v>1.95</v>
      </c>
      <c r="E3990" s="483">
        <v>1.95</v>
      </c>
    </row>
    <row r="3991" spans="1:5">
      <c r="A3991" s="494">
        <v>79472</v>
      </c>
      <c r="B3991" s="485" t="s">
        <v>8710</v>
      </c>
      <c r="C3991" s="484" t="s">
        <v>256</v>
      </c>
      <c r="D3991" s="486">
        <v>0.56000000000000005</v>
      </c>
      <c r="E3991" s="486">
        <v>0.56000000000000005</v>
      </c>
    </row>
    <row r="3992" spans="1:5" s="25" customFormat="1">
      <c r="A3992" s="604" t="s">
        <v>20628</v>
      </c>
      <c r="B3992" s="605" t="s">
        <v>8710</v>
      </c>
      <c r="C3992" s="606" t="s">
        <v>256</v>
      </c>
      <c r="D3992" s="607">
        <v>0.56000000000000005</v>
      </c>
      <c r="E3992" s="486"/>
    </row>
    <row r="3993" spans="1:5">
      <c r="A3993" s="495">
        <v>79473</v>
      </c>
      <c r="B3993" s="348" t="s">
        <v>821</v>
      </c>
      <c r="C3993" s="349" t="s">
        <v>255</v>
      </c>
      <c r="D3993" s="483">
        <v>7.12</v>
      </c>
      <c r="E3993" s="483">
        <v>7.12</v>
      </c>
    </row>
    <row r="3994" spans="1:5">
      <c r="A3994" s="494">
        <v>79480</v>
      </c>
      <c r="B3994" s="485" t="s">
        <v>18142</v>
      </c>
      <c r="C3994" s="484" t="s">
        <v>255</v>
      </c>
      <c r="D3994" s="486">
        <v>3.01</v>
      </c>
      <c r="E3994" s="486">
        <v>3.01</v>
      </c>
    </row>
    <row r="3995" spans="1:5" ht="30">
      <c r="A3995" s="495">
        <v>83336</v>
      </c>
      <c r="B3995" s="348" t="s">
        <v>18143</v>
      </c>
      <c r="C3995" s="349" t="s">
        <v>255</v>
      </c>
      <c r="D3995" s="483">
        <v>4.57</v>
      </c>
      <c r="E3995" s="483">
        <v>4.57</v>
      </c>
    </row>
    <row r="3996" spans="1:5" ht="30">
      <c r="A3996" s="494">
        <v>83338</v>
      </c>
      <c r="B3996" s="485" t="s">
        <v>18144</v>
      </c>
      <c r="C3996" s="484" t="s">
        <v>255</v>
      </c>
      <c r="D3996" s="486">
        <v>2.68</v>
      </c>
      <c r="E3996" s="486">
        <v>2.68</v>
      </c>
    </row>
    <row r="3997" spans="1:5" ht="45">
      <c r="A3997" s="495">
        <v>89885</v>
      </c>
      <c r="B3997" s="348" t="s">
        <v>18145</v>
      </c>
      <c r="C3997" s="349" t="s">
        <v>255</v>
      </c>
      <c r="D3997" s="483">
        <v>7.83</v>
      </c>
      <c r="E3997" s="483">
        <v>7.83</v>
      </c>
    </row>
    <row r="3998" spans="1:5" ht="60">
      <c r="A3998" s="494">
        <v>89886</v>
      </c>
      <c r="B3998" s="485" t="s">
        <v>18146</v>
      </c>
      <c r="C3998" s="484" t="s">
        <v>255</v>
      </c>
      <c r="D3998" s="486">
        <v>7.85</v>
      </c>
      <c r="E3998" s="486">
        <v>7.85</v>
      </c>
    </row>
    <row r="3999" spans="1:5" ht="45">
      <c r="A3999" s="495">
        <v>89887</v>
      </c>
      <c r="B3999" s="348" t="s">
        <v>18147</v>
      </c>
      <c r="C3999" s="349" t="s">
        <v>255</v>
      </c>
      <c r="D3999" s="483">
        <v>8.07</v>
      </c>
      <c r="E3999" s="483">
        <v>8.07</v>
      </c>
    </row>
    <row r="4000" spans="1:5" ht="45">
      <c r="A4000" s="494">
        <v>89888</v>
      </c>
      <c r="B4000" s="485" t="s">
        <v>18148</v>
      </c>
      <c r="C4000" s="484" t="s">
        <v>255</v>
      </c>
      <c r="D4000" s="486">
        <v>8</v>
      </c>
      <c r="E4000" s="486">
        <v>8</v>
      </c>
    </row>
    <row r="4001" spans="1:5" ht="45">
      <c r="A4001" s="495">
        <v>89889</v>
      </c>
      <c r="B4001" s="348" t="s">
        <v>18149</v>
      </c>
      <c r="C4001" s="349" t="s">
        <v>255</v>
      </c>
      <c r="D4001" s="483">
        <v>8.2200000000000006</v>
      </c>
      <c r="E4001" s="483">
        <v>8.2200000000000006</v>
      </c>
    </row>
    <row r="4002" spans="1:5" ht="45">
      <c r="A4002" s="494">
        <v>89890</v>
      </c>
      <c r="B4002" s="485" t="s">
        <v>18150</v>
      </c>
      <c r="C4002" s="484" t="s">
        <v>255</v>
      </c>
      <c r="D4002" s="486">
        <v>11.12</v>
      </c>
      <c r="E4002" s="486">
        <v>11.12</v>
      </c>
    </row>
    <row r="4003" spans="1:5" ht="45">
      <c r="A4003" s="495">
        <v>89891</v>
      </c>
      <c r="B4003" s="348" t="s">
        <v>18151</v>
      </c>
      <c r="C4003" s="349" t="s">
        <v>255</v>
      </c>
      <c r="D4003" s="483">
        <v>11.31</v>
      </c>
      <c r="E4003" s="483">
        <v>11.31</v>
      </c>
    </row>
    <row r="4004" spans="1:5" ht="45">
      <c r="A4004" s="494">
        <v>89892</v>
      </c>
      <c r="B4004" s="485" t="s">
        <v>18152</v>
      </c>
      <c r="C4004" s="484" t="s">
        <v>255</v>
      </c>
      <c r="D4004" s="486">
        <v>10.49</v>
      </c>
      <c r="E4004" s="486">
        <v>10.49</v>
      </c>
    </row>
    <row r="4005" spans="1:5" ht="45">
      <c r="A4005" s="495">
        <v>89893</v>
      </c>
      <c r="B4005" s="348" t="s">
        <v>18153</v>
      </c>
      <c r="C4005" s="349" t="s">
        <v>255</v>
      </c>
      <c r="D4005" s="483">
        <v>13.55</v>
      </c>
      <c r="E4005" s="483">
        <v>13.55</v>
      </c>
    </row>
    <row r="4006" spans="1:5" ht="45">
      <c r="A4006" s="494">
        <v>89894</v>
      </c>
      <c r="B4006" s="485" t="s">
        <v>18154</v>
      </c>
      <c r="C4006" s="484" t="s">
        <v>255</v>
      </c>
      <c r="D4006" s="486">
        <v>15.18</v>
      </c>
      <c r="E4006" s="486">
        <v>15.18</v>
      </c>
    </row>
    <row r="4007" spans="1:5" ht="45">
      <c r="A4007" s="495">
        <v>89895</v>
      </c>
      <c r="B4007" s="348" t="s">
        <v>18155</v>
      </c>
      <c r="C4007" s="349" t="s">
        <v>255</v>
      </c>
      <c r="D4007" s="483">
        <v>18.190000000000001</v>
      </c>
      <c r="E4007" s="483">
        <v>18.190000000000001</v>
      </c>
    </row>
    <row r="4008" spans="1:5" ht="45">
      <c r="A4008" s="494">
        <v>89903</v>
      </c>
      <c r="B4008" s="485" t="s">
        <v>18156</v>
      </c>
      <c r="C4008" s="484" t="s">
        <v>255</v>
      </c>
      <c r="D4008" s="486">
        <v>6.65</v>
      </c>
      <c r="E4008" s="486">
        <v>6.65</v>
      </c>
    </row>
    <row r="4009" spans="1:5" ht="60">
      <c r="A4009" s="495">
        <v>89904</v>
      </c>
      <c r="B4009" s="348" t="s">
        <v>18157</v>
      </c>
      <c r="C4009" s="349" t="s">
        <v>255</v>
      </c>
      <c r="D4009" s="483">
        <v>6.69</v>
      </c>
      <c r="E4009" s="483">
        <v>6.69</v>
      </c>
    </row>
    <row r="4010" spans="1:5" ht="45">
      <c r="A4010" s="494">
        <v>89905</v>
      </c>
      <c r="B4010" s="485" t="s">
        <v>18158</v>
      </c>
      <c r="C4010" s="484" t="s">
        <v>255</v>
      </c>
      <c r="D4010" s="486">
        <v>6.86</v>
      </c>
      <c r="E4010" s="486">
        <v>6.86</v>
      </c>
    </row>
    <row r="4011" spans="1:5" ht="45">
      <c r="A4011" s="495">
        <v>89906</v>
      </c>
      <c r="B4011" s="348" t="s">
        <v>18159</v>
      </c>
      <c r="C4011" s="349" t="s">
        <v>255</v>
      </c>
      <c r="D4011" s="483">
        <v>6.81</v>
      </c>
      <c r="E4011" s="483">
        <v>6.81</v>
      </c>
    </row>
    <row r="4012" spans="1:5" ht="45">
      <c r="A4012" s="494">
        <v>89907</v>
      </c>
      <c r="B4012" s="485" t="s">
        <v>18160</v>
      </c>
      <c r="C4012" s="484" t="s">
        <v>255</v>
      </c>
      <c r="D4012" s="486">
        <v>7.85</v>
      </c>
      <c r="E4012" s="486">
        <v>7.85</v>
      </c>
    </row>
    <row r="4013" spans="1:5" ht="45">
      <c r="A4013" s="495">
        <v>89908</v>
      </c>
      <c r="B4013" s="348" t="s">
        <v>18161</v>
      </c>
      <c r="C4013" s="349" t="s">
        <v>255</v>
      </c>
      <c r="D4013" s="483">
        <v>10.47</v>
      </c>
      <c r="E4013" s="483">
        <v>10.47</v>
      </c>
    </row>
    <row r="4014" spans="1:5" ht="45">
      <c r="A4014" s="494">
        <v>89909</v>
      </c>
      <c r="B4014" s="485" t="s">
        <v>18162</v>
      </c>
      <c r="C4014" s="484" t="s">
        <v>255</v>
      </c>
      <c r="D4014" s="486">
        <v>10.62</v>
      </c>
      <c r="E4014" s="486">
        <v>10.62</v>
      </c>
    </row>
    <row r="4015" spans="1:5" ht="45">
      <c r="A4015" s="495">
        <v>89910</v>
      </c>
      <c r="B4015" s="348" t="s">
        <v>18163</v>
      </c>
      <c r="C4015" s="349" t="s">
        <v>255</v>
      </c>
      <c r="D4015" s="483">
        <v>9.1</v>
      </c>
      <c r="E4015" s="483">
        <v>9.1</v>
      </c>
    </row>
    <row r="4016" spans="1:5" ht="45">
      <c r="A4016" s="494">
        <v>89911</v>
      </c>
      <c r="B4016" s="485" t="s">
        <v>18164</v>
      </c>
      <c r="C4016" s="484" t="s">
        <v>255</v>
      </c>
      <c r="D4016" s="486">
        <v>12.68</v>
      </c>
      <c r="E4016" s="486">
        <v>12.68</v>
      </c>
    </row>
    <row r="4017" spans="1:5" ht="45">
      <c r="A4017" s="495">
        <v>89912</v>
      </c>
      <c r="B4017" s="348" t="s">
        <v>18165</v>
      </c>
      <c r="C4017" s="349" t="s">
        <v>255</v>
      </c>
      <c r="D4017" s="483">
        <v>13.36</v>
      </c>
      <c r="E4017" s="483">
        <v>13.36</v>
      </c>
    </row>
    <row r="4018" spans="1:5" ht="45">
      <c r="A4018" s="494">
        <v>89913</v>
      </c>
      <c r="B4018" s="485" t="s">
        <v>18166</v>
      </c>
      <c r="C4018" s="484" t="s">
        <v>255</v>
      </c>
      <c r="D4018" s="486">
        <v>16.079999999999998</v>
      </c>
      <c r="E4018" s="486">
        <v>16.079999999999998</v>
      </c>
    </row>
    <row r="4019" spans="1:5" ht="45">
      <c r="A4019" s="495">
        <v>89921</v>
      </c>
      <c r="B4019" s="348" t="s">
        <v>18167</v>
      </c>
      <c r="C4019" s="349" t="s">
        <v>255</v>
      </c>
      <c r="D4019" s="483">
        <v>6.26</v>
      </c>
      <c r="E4019" s="483">
        <v>6.26</v>
      </c>
    </row>
    <row r="4020" spans="1:5" ht="60">
      <c r="A4020" s="494">
        <v>89922</v>
      </c>
      <c r="B4020" s="485" t="s">
        <v>18168</v>
      </c>
      <c r="C4020" s="484" t="s">
        <v>255</v>
      </c>
      <c r="D4020" s="486">
        <v>6.28</v>
      </c>
      <c r="E4020" s="486">
        <v>6.28</v>
      </c>
    </row>
    <row r="4021" spans="1:5" ht="45">
      <c r="A4021" s="495">
        <v>89923</v>
      </c>
      <c r="B4021" s="348" t="s">
        <v>18169</v>
      </c>
      <c r="C4021" s="349" t="s">
        <v>255</v>
      </c>
      <c r="D4021" s="483">
        <v>6.49</v>
      </c>
      <c r="E4021" s="483">
        <v>6.49</v>
      </c>
    </row>
    <row r="4022" spans="1:5" ht="45">
      <c r="A4022" s="494">
        <v>89924</v>
      </c>
      <c r="B4022" s="485" t="s">
        <v>18170</v>
      </c>
      <c r="C4022" s="484" t="s">
        <v>255</v>
      </c>
      <c r="D4022" s="486">
        <v>6.43</v>
      </c>
      <c r="E4022" s="486">
        <v>6.43</v>
      </c>
    </row>
    <row r="4023" spans="1:5" ht="45">
      <c r="A4023" s="495">
        <v>89925</v>
      </c>
      <c r="B4023" s="348" t="s">
        <v>18171</v>
      </c>
      <c r="C4023" s="349" t="s">
        <v>255</v>
      </c>
      <c r="D4023" s="483">
        <v>6.65</v>
      </c>
      <c r="E4023" s="483">
        <v>6.65</v>
      </c>
    </row>
    <row r="4024" spans="1:5" ht="45">
      <c r="A4024" s="494">
        <v>89926</v>
      </c>
      <c r="B4024" s="485" t="s">
        <v>18172</v>
      </c>
      <c r="C4024" s="484" t="s">
        <v>255</v>
      </c>
      <c r="D4024" s="486">
        <v>9.91</v>
      </c>
      <c r="E4024" s="486">
        <v>9.91</v>
      </c>
    </row>
    <row r="4025" spans="1:5" ht="45">
      <c r="A4025" s="495">
        <v>89927</v>
      </c>
      <c r="B4025" s="348" t="s">
        <v>18173</v>
      </c>
      <c r="C4025" s="349" t="s">
        <v>255</v>
      </c>
      <c r="D4025" s="483">
        <v>10.09</v>
      </c>
      <c r="E4025" s="483">
        <v>10.09</v>
      </c>
    </row>
    <row r="4026" spans="1:5" ht="45">
      <c r="A4026" s="494">
        <v>89928</v>
      </c>
      <c r="B4026" s="485" t="s">
        <v>18174</v>
      </c>
      <c r="C4026" s="484" t="s">
        <v>255</v>
      </c>
      <c r="D4026" s="486">
        <v>9.31</v>
      </c>
      <c r="E4026" s="486">
        <v>9.31</v>
      </c>
    </row>
    <row r="4027" spans="1:5" ht="45">
      <c r="A4027" s="495">
        <v>89929</v>
      </c>
      <c r="B4027" s="348" t="s">
        <v>18175</v>
      </c>
      <c r="C4027" s="349" t="s">
        <v>255</v>
      </c>
      <c r="D4027" s="483">
        <v>12.75</v>
      </c>
      <c r="E4027" s="483">
        <v>12.75</v>
      </c>
    </row>
    <row r="4028" spans="1:5" ht="45">
      <c r="A4028" s="494">
        <v>89930</v>
      </c>
      <c r="B4028" s="485" t="s">
        <v>18176</v>
      </c>
      <c r="C4028" s="484" t="s">
        <v>255</v>
      </c>
      <c r="D4028" s="486">
        <v>13.47</v>
      </c>
      <c r="E4028" s="486">
        <v>13.47</v>
      </c>
    </row>
    <row r="4029" spans="1:5" ht="45">
      <c r="A4029" s="495">
        <v>89931</v>
      </c>
      <c r="B4029" s="348" t="s">
        <v>18177</v>
      </c>
      <c r="C4029" s="349" t="s">
        <v>255</v>
      </c>
      <c r="D4029" s="483">
        <v>16.87</v>
      </c>
      <c r="E4029" s="483">
        <v>16.87</v>
      </c>
    </row>
    <row r="4030" spans="1:5" ht="45">
      <c r="A4030" s="494">
        <v>89939</v>
      </c>
      <c r="B4030" s="485" t="s">
        <v>18178</v>
      </c>
      <c r="C4030" s="484" t="s">
        <v>255</v>
      </c>
      <c r="D4030" s="486">
        <v>5.84</v>
      </c>
      <c r="E4030" s="486">
        <v>5.84</v>
      </c>
    </row>
    <row r="4031" spans="1:5" ht="60">
      <c r="A4031" s="495">
        <v>89940</v>
      </c>
      <c r="B4031" s="348" t="s">
        <v>18179</v>
      </c>
      <c r="C4031" s="349" t="s">
        <v>255</v>
      </c>
      <c r="D4031" s="483">
        <v>5.86</v>
      </c>
      <c r="E4031" s="483">
        <v>5.86</v>
      </c>
    </row>
    <row r="4032" spans="1:5" ht="45">
      <c r="A4032" s="494">
        <v>89941</v>
      </c>
      <c r="B4032" s="485" t="s">
        <v>18180</v>
      </c>
      <c r="C4032" s="484" t="s">
        <v>255</v>
      </c>
      <c r="D4032" s="486">
        <v>6.04</v>
      </c>
      <c r="E4032" s="486">
        <v>6.04</v>
      </c>
    </row>
    <row r="4033" spans="1:5" ht="45">
      <c r="A4033" s="495">
        <v>89942</v>
      </c>
      <c r="B4033" s="348" t="s">
        <v>18181</v>
      </c>
      <c r="C4033" s="349" t="s">
        <v>255</v>
      </c>
      <c r="D4033" s="483">
        <v>5.99</v>
      </c>
      <c r="E4033" s="483">
        <v>5.99</v>
      </c>
    </row>
    <row r="4034" spans="1:5" ht="45">
      <c r="A4034" s="494">
        <v>89943</v>
      </c>
      <c r="B4034" s="485" t="s">
        <v>18182</v>
      </c>
      <c r="C4034" s="484" t="s">
        <v>255</v>
      </c>
      <c r="D4034" s="486">
        <v>6.18</v>
      </c>
      <c r="E4034" s="486">
        <v>6.18</v>
      </c>
    </row>
    <row r="4035" spans="1:5" ht="45">
      <c r="A4035" s="495">
        <v>89944</v>
      </c>
      <c r="B4035" s="348" t="s">
        <v>18183</v>
      </c>
      <c r="C4035" s="349" t="s">
        <v>255</v>
      </c>
      <c r="D4035" s="483">
        <v>9.1199999999999992</v>
      </c>
      <c r="E4035" s="483">
        <v>9.1199999999999992</v>
      </c>
    </row>
    <row r="4036" spans="1:5" ht="45">
      <c r="A4036" s="494">
        <v>89945</v>
      </c>
      <c r="B4036" s="485" t="s">
        <v>18184</v>
      </c>
      <c r="C4036" s="484" t="s">
        <v>255</v>
      </c>
      <c r="D4036" s="486">
        <v>9.2899999999999991</v>
      </c>
      <c r="E4036" s="486">
        <v>9.2899999999999991</v>
      </c>
    </row>
    <row r="4037" spans="1:5" ht="45">
      <c r="A4037" s="495">
        <v>89946</v>
      </c>
      <c r="B4037" s="348" t="s">
        <v>18185</v>
      </c>
      <c r="C4037" s="349" t="s">
        <v>255</v>
      </c>
      <c r="D4037" s="483">
        <v>8</v>
      </c>
      <c r="E4037" s="483">
        <v>8</v>
      </c>
    </row>
    <row r="4038" spans="1:5" ht="45">
      <c r="A4038" s="494">
        <v>89947</v>
      </c>
      <c r="B4038" s="485" t="s">
        <v>18186</v>
      </c>
      <c r="C4038" s="484" t="s">
        <v>255</v>
      </c>
      <c r="D4038" s="486">
        <v>11.09</v>
      </c>
      <c r="E4038" s="486">
        <v>11.09</v>
      </c>
    </row>
    <row r="4039" spans="1:5" ht="45">
      <c r="A4039" s="495">
        <v>89948</v>
      </c>
      <c r="B4039" s="348" t="s">
        <v>18187</v>
      </c>
      <c r="C4039" s="349" t="s">
        <v>255</v>
      </c>
      <c r="D4039" s="483">
        <v>12.33</v>
      </c>
      <c r="E4039" s="483">
        <v>12.33</v>
      </c>
    </row>
    <row r="4040" spans="1:5" ht="45">
      <c r="A4040" s="494">
        <v>89949</v>
      </c>
      <c r="B4040" s="485" t="s">
        <v>18188</v>
      </c>
      <c r="C4040" s="484" t="s">
        <v>255</v>
      </c>
      <c r="D4040" s="486">
        <v>14.79</v>
      </c>
      <c r="E4040" s="486">
        <v>14.79</v>
      </c>
    </row>
    <row r="4041" spans="1:5" ht="30">
      <c r="A4041" s="495">
        <v>72915</v>
      </c>
      <c r="B4041" s="348" t="s">
        <v>18189</v>
      </c>
      <c r="C4041" s="349" t="s">
        <v>255</v>
      </c>
      <c r="D4041" s="483">
        <v>11.2</v>
      </c>
      <c r="E4041" s="483">
        <v>11.2</v>
      </c>
    </row>
    <row r="4042" spans="1:5" ht="30">
      <c r="A4042" s="494">
        <v>72917</v>
      </c>
      <c r="B4042" s="485" t="s">
        <v>5112</v>
      </c>
      <c r="C4042" s="484" t="s">
        <v>255</v>
      </c>
      <c r="D4042" s="486">
        <v>12.79</v>
      </c>
      <c r="E4042" s="486">
        <v>12.79</v>
      </c>
    </row>
    <row r="4043" spans="1:5" ht="30">
      <c r="A4043" s="495">
        <v>72918</v>
      </c>
      <c r="B4043" s="348" t="s">
        <v>5113</v>
      </c>
      <c r="C4043" s="349" t="s">
        <v>255</v>
      </c>
      <c r="D4043" s="483">
        <v>14.92</v>
      </c>
      <c r="E4043" s="483">
        <v>14.92</v>
      </c>
    </row>
    <row r="4044" spans="1:5" ht="30">
      <c r="A4044" s="484" t="s">
        <v>18190</v>
      </c>
      <c r="B4044" s="485" t="s">
        <v>18191</v>
      </c>
      <c r="C4044" s="484" t="s">
        <v>255</v>
      </c>
      <c r="D4044" s="486">
        <v>132.19999999999999</v>
      </c>
      <c r="E4044" s="486">
        <v>132.19999999999999</v>
      </c>
    </row>
    <row r="4045" spans="1:5">
      <c r="A4045" s="349" t="s">
        <v>18192</v>
      </c>
      <c r="B4045" s="348" t="s">
        <v>5109</v>
      </c>
      <c r="C4045" s="349" t="s">
        <v>255</v>
      </c>
      <c r="D4045" s="483">
        <v>198.3</v>
      </c>
      <c r="E4045" s="483">
        <v>198.3</v>
      </c>
    </row>
    <row r="4046" spans="1:5" ht="30">
      <c r="A4046" s="484" t="s">
        <v>18193</v>
      </c>
      <c r="B4046" s="485" t="s">
        <v>18194</v>
      </c>
      <c r="C4046" s="484" t="s">
        <v>255</v>
      </c>
      <c r="D4046" s="486">
        <v>31.72</v>
      </c>
      <c r="E4046" s="486">
        <v>31.72</v>
      </c>
    </row>
    <row r="4047" spans="1:5" ht="30">
      <c r="A4047" s="349" t="s">
        <v>18195</v>
      </c>
      <c r="B4047" s="348" t="s">
        <v>7297</v>
      </c>
      <c r="C4047" s="349" t="s">
        <v>255</v>
      </c>
      <c r="D4047" s="483">
        <v>28.55</v>
      </c>
      <c r="E4047" s="483">
        <v>28.55</v>
      </c>
    </row>
    <row r="4048" spans="1:5" ht="30">
      <c r="A4048" s="494">
        <v>83343</v>
      </c>
      <c r="B4048" s="485" t="s">
        <v>18196</v>
      </c>
      <c r="C4048" s="484" t="s">
        <v>255</v>
      </c>
      <c r="D4048" s="486">
        <v>14.36</v>
      </c>
      <c r="E4048" s="486">
        <v>14.36</v>
      </c>
    </row>
    <row r="4049" spans="1:5" ht="60">
      <c r="A4049" s="495">
        <v>90082</v>
      </c>
      <c r="B4049" s="348" t="s">
        <v>18197</v>
      </c>
      <c r="C4049" s="349" t="s">
        <v>255</v>
      </c>
      <c r="D4049" s="483">
        <v>14.11</v>
      </c>
      <c r="E4049" s="483">
        <v>14.11</v>
      </c>
    </row>
    <row r="4050" spans="1:5" ht="60">
      <c r="A4050" s="494">
        <v>90084</v>
      </c>
      <c r="B4050" s="485" t="s">
        <v>18198</v>
      </c>
      <c r="C4050" s="484" t="s">
        <v>255</v>
      </c>
      <c r="D4050" s="486">
        <v>12.41</v>
      </c>
      <c r="E4050" s="486">
        <v>12.41</v>
      </c>
    </row>
    <row r="4051" spans="1:5" ht="60">
      <c r="A4051" s="495">
        <v>90085</v>
      </c>
      <c r="B4051" s="348" t="s">
        <v>18199</v>
      </c>
      <c r="C4051" s="349" t="s">
        <v>255</v>
      </c>
      <c r="D4051" s="483">
        <v>8.9</v>
      </c>
      <c r="E4051" s="483">
        <v>8.9</v>
      </c>
    </row>
    <row r="4052" spans="1:5" ht="60">
      <c r="A4052" s="494">
        <v>90086</v>
      </c>
      <c r="B4052" s="485" t="s">
        <v>18200</v>
      </c>
      <c r="C4052" s="484" t="s">
        <v>255</v>
      </c>
      <c r="D4052" s="486">
        <v>9.58</v>
      </c>
      <c r="E4052" s="486">
        <v>9.58</v>
      </c>
    </row>
    <row r="4053" spans="1:5" ht="60">
      <c r="A4053" s="495">
        <v>90087</v>
      </c>
      <c r="B4053" s="348" t="s">
        <v>18201</v>
      </c>
      <c r="C4053" s="349" t="s">
        <v>255</v>
      </c>
      <c r="D4053" s="483">
        <v>5.51</v>
      </c>
      <c r="E4053" s="483">
        <v>5.51</v>
      </c>
    </row>
    <row r="4054" spans="1:5" ht="60">
      <c r="A4054" s="494">
        <v>90088</v>
      </c>
      <c r="B4054" s="485" t="s">
        <v>18202</v>
      </c>
      <c r="C4054" s="484" t="s">
        <v>255</v>
      </c>
      <c r="D4054" s="486">
        <v>6.39</v>
      </c>
      <c r="E4054" s="486">
        <v>6.39</v>
      </c>
    </row>
    <row r="4055" spans="1:5" ht="60">
      <c r="A4055" s="495">
        <v>90090</v>
      </c>
      <c r="B4055" s="348" t="s">
        <v>18203</v>
      </c>
      <c r="C4055" s="349" t="s">
        <v>255</v>
      </c>
      <c r="D4055" s="483">
        <v>4.5199999999999996</v>
      </c>
      <c r="E4055" s="483">
        <v>4.5199999999999996</v>
      </c>
    </row>
    <row r="4056" spans="1:5" ht="60">
      <c r="A4056" s="494">
        <v>90091</v>
      </c>
      <c r="B4056" s="485" t="s">
        <v>5121</v>
      </c>
      <c r="C4056" s="484" t="s">
        <v>255</v>
      </c>
      <c r="D4056" s="486">
        <v>6.06</v>
      </c>
      <c r="E4056" s="486">
        <v>6.06</v>
      </c>
    </row>
    <row r="4057" spans="1:5" ht="60">
      <c r="A4057" s="495">
        <v>90092</v>
      </c>
      <c r="B4057" s="348" t="s">
        <v>18204</v>
      </c>
      <c r="C4057" s="349" t="s">
        <v>255</v>
      </c>
      <c r="D4057" s="483">
        <v>5.37</v>
      </c>
      <c r="E4057" s="483">
        <v>5.37</v>
      </c>
    </row>
    <row r="4058" spans="1:5" ht="60">
      <c r="A4058" s="494">
        <v>90093</v>
      </c>
      <c r="B4058" s="485" t="s">
        <v>18205</v>
      </c>
      <c r="C4058" s="484" t="s">
        <v>255</v>
      </c>
      <c r="D4058" s="486">
        <v>3.76</v>
      </c>
      <c r="E4058" s="486">
        <v>3.76</v>
      </c>
    </row>
    <row r="4059" spans="1:5" ht="60">
      <c r="A4059" s="495">
        <v>90094</v>
      </c>
      <c r="B4059" s="348" t="s">
        <v>18206</v>
      </c>
      <c r="C4059" s="349" t="s">
        <v>255</v>
      </c>
      <c r="D4059" s="483">
        <v>4.01</v>
      </c>
      <c r="E4059" s="483">
        <v>4.01</v>
      </c>
    </row>
    <row r="4060" spans="1:5" s="25" customFormat="1" ht="60">
      <c r="A4060" s="604" t="s">
        <v>20531</v>
      </c>
      <c r="B4060" s="605" t="s">
        <v>18206</v>
      </c>
      <c r="C4060" s="606" t="s">
        <v>255</v>
      </c>
      <c r="D4060" s="607">
        <v>6.05</v>
      </c>
      <c r="E4060" s="483"/>
    </row>
    <row r="4061" spans="1:5" ht="60">
      <c r="A4061" s="494">
        <v>90095</v>
      </c>
      <c r="B4061" s="485" t="s">
        <v>18207</v>
      </c>
      <c r="C4061" s="484" t="s">
        <v>255</v>
      </c>
      <c r="D4061" s="486">
        <v>2.39</v>
      </c>
      <c r="E4061" s="486">
        <v>2.39</v>
      </c>
    </row>
    <row r="4062" spans="1:5" ht="60">
      <c r="A4062" s="495">
        <v>90096</v>
      </c>
      <c r="B4062" s="348" t="s">
        <v>18208</v>
      </c>
      <c r="C4062" s="349" t="s">
        <v>255</v>
      </c>
      <c r="D4062" s="483">
        <v>2.7</v>
      </c>
      <c r="E4062" s="483">
        <v>2.7</v>
      </c>
    </row>
    <row r="4063" spans="1:5" s="25" customFormat="1" ht="60">
      <c r="A4063" s="604" t="s">
        <v>20549</v>
      </c>
      <c r="B4063" s="605" t="s">
        <v>18208</v>
      </c>
      <c r="C4063" s="606" t="s">
        <v>255</v>
      </c>
      <c r="D4063" s="607">
        <v>2.7</v>
      </c>
      <c r="E4063" s="483"/>
    </row>
    <row r="4064" spans="1:5" ht="60">
      <c r="A4064" s="494">
        <v>90098</v>
      </c>
      <c r="B4064" s="485" t="s">
        <v>18209</v>
      </c>
      <c r="C4064" s="484" t="s">
        <v>255</v>
      </c>
      <c r="D4064" s="486">
        <v>1.84</v>
      </c>
      <c r="E4064" s="486">
        <v>1.84</v>
      </c>
    </row>
    <row r="4065" spans="1:5" ht="60">
      <c r="A4065" s="495">
        <v>90099</v>
      </c>
      <c r="B4065" s="348" t="s">
        <v>18210</v>
      </c>
      <c r="C4065" s="349" t="s">
        <v>255</v>
      </c>
      <c r="D4065" s="483">
        <v>18.46</v>
      </c>
      <c r="E4065" s="483">
        <v>18.46</v>
      </c>
    </row>
    <row r="4066" spans="1:5" ht="60">
      <c r="A4066" s="494">
        <v>90100</v>
      </c>
      <c r="B4066" s="485" t="s">
        <v>18211</v>
      </c>
      <c r="C4066" s="484" t="s">
        <v>255</v>
      </c>
      <c r="D4066" s="486">
        <v>15.74</v>
      </c>
      <c r="E4066" s="486">
        <v>15.74</v>
      </c>
    </row>
    <row r="4067" spans="1:5" ht="60">
      <c r="A4067" s="495">
        <v>90101</v>
      </c>
      <c r="B4067" s="348" t="s">
        <v>18212</v>
      </c>
      <c r="C4067" s="349" t="s">
        <v>255</v>
      </c>
      <c r="D4067" s="483">
        <v>15.53</v>
      </c>
      <c r="E4067" s="483">
        <v>15.53</v>
      </c>
    </row>
    <row r="4068" spans="1:5" ht="60">
      <c r="A4068" s="494">
        <v>90102</v>
      </c>
      <c r="B4068" s="485" t="s">
        <v>18213</v>
      </c>
      <c r="C4068" s="484" t="s">
        <v>255</v>
      </c>
      <c r="D4068" s="486">
        <v>14.26</v>
      </c>
      <c r="E4068" s="486">
        <v>14.26</v>
      </c>
    </row>
    <row r="4069" spans="1:5" ht="60">
      <c r="A4069" s="495">
        <v>90105</v>
      </c>
      <c r="B4069" s="348" t="s">
        <v>18214</v>
      </c>
      <c r="C4069" s="349" t="s">
        <v>255</v>
      </c>
      <c r="D4069" s="483">
        <v>14.07</v>
      </c>
      <c r="E4069" s="483">
        <v>14.07</v>
      </c>
    </row>
    <row r="4070" spans="1:5" s="608" customFormat="1" ht="60">
      <c r="A4070" s="604" t="s">
        <v>20529</v>
      </c>
      <c r="B4070" s="605" t="s">
        <v>18214</v>
      </c>
      <c r="C4070" s="606" t="s">
        <v>255</v>
      </c>
      <c r="D4070" s="607">
        <v>6.32</v>
      </c>
      <c r="E4070" s="607"/>
    </row>
    <row r="4071" spans="1:5" ht="90" customHeight="1">
      <c r="A4071" s="494">
        <v>90106</v>
      </c>
      <c r="B4071" s="485" t="s">
        <v>18215</v>
      </c>
      <c r="C4071" s="484" t="s">
        <v>255</v>
      </c>
      <c r="D4071" s="486">
        <v>12.04</v>
      </c>
      <c r="E4071" s="486">
        <v>12.04</v>
      </c>
    </row>
    <row r="4072" spans="1:5" ht="75">
      <c r="A4072" s="495">
        <v>90107</v>
      </c>
      <c r="B4072" s="348" t="s">
        <v>18216</v>
      </c>
      <c r="C4072" s="349" t="s">
        <v>255</v>
      </c>
      <c r="D4072" s="483">
        <v>11.87</v>
      </c>
      <c r="E4072" s="483">
        <v>11.87</v>
      </c>
    </row>
    <row r="4073" spans="1:5" s="25" customFormat="1" ht="75">
      <c r="A4073" s="604" t="s">
        <v>20530</v>
      </c>
      <c r="B4073" s="605" t="s">
        <v>18216</v>
      </c>
      <c r="C4073" s="606" t="s">
        <v>255</v>
      </c>
      <c r="D4073" s="607">
        <v>7.9</v>
      </c>
      <c r="E4073" s="483"/>
    </row>
    <row r="4074" spans="1:5" ht="60">
      <c r="A4074" s="494">
        <v>90108</v>
      </c>
      <c r="B4074" s="485" t="s">
        <v>18217</v>
      </c>
      <c r="C4074" s="484" t="s">
        <v>255</v>
      </c>
      <c r="D4074" s="486">
        <v>10.8</v>
      </c>
      <c r="E4074" s="486">
        <v>10.8</v>
      </c>
    </row>
    <row r="4075" spans="1:5">
      <c r="A4075" s="495">
        <v>93358</v>
      </c>
      <c r="B4075" s="348" t="s">
        <v>826</v>
      </c>
      <c r="C4075" s="349" t="s">
        <v>255</v>
      </c>
      <c r="D4075" s="483">
        <v>52.29</v>
      </c>
      <c r="E4075" s="483">
        <v>52.29</v>
      </c>
    </row>
    <row r="4076" spans="1:5" s="25" customFormat="1">
      <c r="A4076" s="604" t="s">
        <v>20534</v>
      </c>
      <c r="B4076" s="605" t="s">
        <v>826</v>
      </c>
      <c r="C4076" s="606" t="s">
        <v>255</v>
      </c>
      <c r="D4076" s="607">
        <v>39.9</v>
      </c>
      <c r="E4076" s="483"/>
    </row>
    <row r="4077" spans="1:5">
      <c r="A4077" s="494">
        <v>79482</v>
      </c>
      <c r="B4077" s="485" t="s">
        <v>2341</v>
      </c>
      <c r="C4077" s="484" t="s">
        <v>255</v>
      </c>
      <c r="D4077" s="486">
        <v>74.87</v>
      </c>
      <c r="E4077" s="486">
        <v>74.87</v>
      </c>
    </row>
    <row r="4078" spans="1:5" ht="45">
      <c r="A4078" s="495">
        <v>94304</v>
      </c>
      <c r="B4078" s="348" t="s">
        <v>18218</v>
      </c>
      <c r="C4078" s="349" t="s">
        <v>255</v>
      </c>
      <c r="D4078" s="483">
        <v>27.34</v>
      </c>
      <c r="E4078" s="483">
        <v>27.34</v>
      </c>
    </row>
    <row r="4079" spans="1:5" ht="45">
      <c r="A4079" s="494">
        <v>94305</v>
      </c>
      <c r="B4079" s="485" t="s">
        <v>18219</v>
      </c>
      <c r="C4079" s="484" t="s">
        <v>255</v>
      </c>
      <c r="D4079" s="486">
        <v>23.52</v>
      </c>
      <c r="E4079" s="486">
        <v>23.52</v>
      </c>
    </row>
    <row r="4080" spans="1:5" ht="45">
      <c r="A4080" s="495">
        <v>94306</v>
      </c>
      <c r="B4080" s="348" t="s">
        <v>18220</v>
      </c>
      <c r="C4080" s="349" t="s">
        <v>255</v>
      </c>
      <c r="D4080" s="483">
        <v>18.7</v>
      </c>
      <c r="E4080" s="483">
        <v>18.7</v>
      </c>
    </row>
    <row r="4081" spans="1:5" ht="45">
      <c r="A4081" s="494">
        <v>94307</v>
      </c>
      <c r="B4081" s="485" t="s">
        <v>18221</v>
      </c>
      <c r="C4081" s="484" t="s">
        <v>255</v>
      </c>
      <c r="D4081" s="486">
        <v>19.77</v>
      </c>
      <c r="E4081" s="486">
        <v>19.77</v>
      </c>
    </row>
    <row r="4082" spans="1:5" ht="45">
      <c r="A4082" s="495">
        <v>94308</v>
      </c>
      <c r="B4082" s="348" t="s">
        <v>18222</v>
      </c>
      <c r="C4082" s="349" t="s">
        <v>255</v>
      </c>
      <c r="D4082" s="483">
        <v>16.98</v>
      </c>
      <c r="E4082" s="483">
        <v>16.98</v>
      </c>
    </row>
    <row r="4083" spans="1:5" ht="45">
      <c r="A4083" s="494">
        <v>94309</v>
      </c>
      <c r="B4083" s="485" t="s">
        <v>18223</v>
      </c>
      <c r="C4083" s="484" t="s">
        <v>255</v>
      </c>
      <c r="D4083" s="486">
        <v>18.2</v>
      </c>
      <c r="E4083" s="486">
        <v>18.2</v>
      </c>
    </row>
    <row r="4084" spans="1:5" ht="45">
      <c r="A4084" s="495">
        <v>94310</v>
      </c>
      <c r="B4084" s="348" t="s">
        <v>18224</v>
      </c>
      <c r="C4084" s="349" t="s">
        <v>255</v>
      </c>
      <c r="D4084" s="483">
        <v>16.149999999999999</v>
      </c>
      <c r="E4084" s="483">
        <v>16.149999999999999</v>
      </c>
    </row>
    <row r="4085" spans="1:5" ht="45">
      <c r="A4085" s="494">
        <v>94315</v>
      </c>
      <c r="B4085" s="485" t="s">
        <v>2359</v>
      </c>
      <c r="C4085" s="484" t="s">
        <v>255</v>
      </c>
      <c r="D4085" s="486">
        <v>38.119999999999997</v>
      </c>
      <c r="E4085" s="486">
        <v>38.119999999999997</v>
      </c>
    </row>
    <row r="4086" spans="1:5" ht="45">
      <c r="A4086" s="495">
        <v>94316</v>
      </c>
      <c r="B4086" s="348" t="s">
        <v>18225</v>
      </c>
      <c r="C4086" s="349" t="s">
        <v>255</v>
      </c>
      <c r="D4086" s="483">
        <v>28.46</v>
      </c>
      <c r="E4086" s="483">
        <v>28.46</v>
      </c>
    </row>
    <row r="4087" spans="1:5" ht="45">
      <c r="A4087" s="494">
        <v>94317</v>
      </c>
      <c r="B4087" s="485" t="s">
        <v>2361</v>
      </c>
      <c r="C4087" s="484" t="s">
        <v>255</v>
      </c>
      <c r="D4087" s="486">
        <v>24.17</v>
      </c>
      <c r="E4087" s="486">
        <v>24.17</v>
      </c>
    </row>
    <row r="4088" spans="1:5" ht="45">
      <c r="A4088" s="495">
        <v>94318</v>
      </c>
      <c r="B4088" s="348" t="s">
        <v>18226</v>
      </c>
      <c r="C4088" s="349" t="s">
        <v>255</v>
      </c>
      <c r="D4088" s="483">
        <v>18.649999999999999</v>
      </c>
      <c r="E4088" s="483">
        <v>18.649999999999999</v>
      </c>
    </row>
    <row r="4089" spans="1:5" ht="30">
      <c r="A4089" s="494">
        <v>94319</v>
      </c>
      <c r="B4089" s="485" t="s">
        <v>18227</v>
      </c>
      <c r="C4089" s="484" t="s">
        <v>255</v>
      </c>
      <c r="D4089" s="486">
        <v>38.479999999999997</v>
      </c>
      <c r="E4089" s="486">
        <v>38.479999999999997</v>
      </c>
    </row>
    <row r="4090" spans="1:5" ht="45">
      <c r="A4090" s="495">
        <v>94327</v>
      </c>
      <c r="B4090" s="348" t="s">
        <v>18228</v>
      </c>
      <c r="C4090" s="349" t="s">
        <v>255</v>
      </c>
      <c r="D4090" s="483">
        <v>74.16</v>
      </c>
      <c r="E4090" s="483">
        <v>74.16</v>
      </c>
    </row>
    <row r="4091" spans="1:5" ht="45">
      <c r="A4091" s="494">
        <v>94328</v>
      </c>
      <c r="B4091" s="485" t="s">
        <v>18229</v>
      </c>
      <c r="C4091" s="484" t="s">
        <v>255</v>
      </c>
      <c r="D4091" s="486">
        <v>70.34</v>
      </c>
      <c r="E4091" s="486">
        <v>70.34</v>
      </c>
    </row>
    <row r="4092" spans="1:5" ht="45">
      <c r="A4092" s="495">
        <v>94329</v>
      </c>
      <c r="B4092" s="348" t="s">
        <v>18230</v>
      </c>
      <c r="C4092" s="349" t="s">
        <v>255</v>
      </c>
      <c r="D4092" s="483">
        <v>65.52</v>
      </c>
      <c r="E4092" s="483">
        <v>65.52</v>
      </c>
    </row>
    <row r="4093" spans="1:5" ht="45">
      <c r="A4093" s="494">
        <v>94330</v>
      </c>
      <c r="B4093" s="485" t="s">
        <v>18231</v>
      </c>
      <c r="C4093" s="484" t="s">
        <v>255</v>
      </c>
      <c r="D4093" s="486">
        <v>66.59</v>
      </c>
      <c r="E4093" s="486">
        <v>66.59</v>
      </c>
    </row>
    <row r="4094" spans="1:5" ht="45">
      <c r="A4094" s="495">
        <v>94331</v>
      </c>
      <c r="B4094" s="348" t="s">
        <v>18232</v>
      </c>
      <c r="C4094" s="349" t="s">
        <v>255</v>
      </c>
      <c r="D4094" s="483">
        <v>63.8</v>
      </c>
      <c r="E4094" s="483">
        <v>63.8</v>
      </c>
    </row>
    <row r="4095" spans="1:5" ht="45">
      <c r="A4095" s="494">
        <v>94332</v>
      </c>
      <c r="B4095" s="485" t="s">
        <v>18233</v>
      </c>
      <c r="C4095" s="484" t="s">
        <v>255</v>
      </c>
      <c r="D4095" s="486">
        <v>65.02</v>
      </c>
      <c r="E4095" s="486">
        <v>65.02</v>
      </c>
    </row>
    <row r="4096" spans="1:5" ht="45">
      <c r="A4096" s="495">
        <v>94333</v>
      </c>
      <c r="B4096" s="348" t="s">
        <v>18234</v>
      </c>
      <c r="C4096" s="349" t="s">
        <v>255</v>
      </c>
      <c r="D4096" s="483">
        <v>62.97</v>
      </c>
      <c r="E4096" s="483">
        <v>62.97</v>
      </c>
    </row>
    <row r="4097" spans="1:5" ht="45">
      <c r="A4097" s="494">
        <v>94338</v>
      </c>
      <c r="B4097" s="485" t="s">
        <v>2358</v>
      </c>
      <c r="C4097" s="484" t="s">
        <v>255</v>
      </c>
      <c r="D4097" s="486">
        <v>84.94</v>
      </c>
      <c r="E4097" s="486">
        <v>84.94</v>
      </c>
    </row>
    <row r="4098" spans="1:5" ht="45">
      <c r="A4098" s="495">
        <v>94339</v>
      </c>
      <c r="B4098" s="348" t="s">
        <v>18235</v>
      </c>
      <c r="C4098" s="349" t="s">
        <v>255</v>
      </c>
      <c r="D4098" s="483">
        <v>75.28</v>
      </c>
      <c r="E4098" s="483">
        <v>75.28</v>
      </c>
    </row>
    <row r="4099" spans="1:5" ht="45">
      <c r="A4099" s="494">
        <v>94340</v>
      </c>
      <c r="B4099" s="485" t="s">
        <v>2360</v>
      </c>
      <c r="C4099" s="484" t="s">
        <v>255</v>
      </c>
      <c r="D4099" s="486">
        <v>70.989999999999995</v>
      </c>
      <c r="E4099" s="486">
        <v>70.989999999999995</v>
      </c>
    </row>
    <row r="4100" spans="1:5" ht="45">
      <c r="A4100" s="495">
        <v>94341</v>
      </c>
      <c r="B4100" s="348" t="s">
        <v>18236</v>
      </c>
      <c r="C4100" s="349" t="s">
        <v>255</v>
      </c>
      <c r="D4100" s="483">
        <v>65.47</v>
      </c>
      <c r="E4100" s="483">
        <v>65.47</v>
      </c>
    </row>
    <row r="4101" spans="1:5" ht="30">
      <c r="A4101" s="494">
        <v>94342</v>
      </c>
      <c r="B4101" s="485" t="s">
        <v>2342</v>
      </c>
      <c r="C4101" s="484" t="s">
        <v>255</v>
      </c>
      <c r="D4101" s="486">
        <v>85.3</v>
      </c>
      <c r="E4101" s="486">
        <v>85.3</v>
      </c>
    </row>
    <row r="4102" spans="1:5">
      <c r="A4102" s="495">
        <v>55835</v>
      </c>
      <c r="B4102" s="348" t="s">
        <v>8544</v>
      </c>
      <c r="C4102" s="349" t="s">
        <v>255</v>
      </c>
      <c r="D4102" s="483">
        <v>46.27</v>
      </c>
      <c r="E4102" s="483">
        <v>46.27</v>
      </c>
    </row>
    <row r="4103" spans="1:5">
      <c r="A4103" s="484" t="s">
        <v>18237</v>
      </c>
      <c r="B4103" s="485" t="s">
        <v>829</v>
      </c>
      <c r="C4103" s="484" t="s">
        <v>255</v>
      </c>
      <c r="D4103" s="486">
        <v>39.659999999999997</v>
      </c>
      <c r="E4103" s="486">
        <v>39.659999999999997</v>
      </c>
    </row>
    <row r="4104" spans="1:5" s="25" customFormat="1">
      <c r="A4104" s="606" t="s">
        <v>20533</v>
      </c>
      <c r="B4104" s="605" t="s">
        <v>829</v>
      </c>
      <c r="C4104" s="606" t="s">
        <v>255</v>
      </c>
      <c r="D4104" s="607">
        <v>20.41</v>
      </c>
      <c r="E4104" s="486"/>
    </row>
    <row r="4105" spans="1:5">
      <c r="A4105" s="495">
        <v>83346</v>
      </c>
      <c r="B4105" s="348" t="s">
        <v>830</v>
      </c>
      <c r="C4105" s="349" t="s">
        <v>255</v>
      </c>
      <c r="D4105" s="483">
        <v>0.82</v>
      </c>
      <c r="E4105" s="483">
        <v>0.82</v>
      </c>
    </row>
    <row r="4106" spans="1:5" ht="60">
      <c r="A4106" s="494">
        <v>93360</v>
      </c>
      <c r="B4106" s="485" t="s">
        <v>18238</v>
      </c>
      <c r="C4106" s="484" t="s">
        <v>255</v>
      </c>
      <c r="D4106" s="486">
        <v>18.98</v>
      </c>
      <c r="E4106" s="486">
        <v>18.98</v>
      </c>
    </row>
    <row r="4107" spans="1:5" ht="60">
      <c r="A4107" s="495">
        <v>93361</v>
      </c>
      <c r="B4107" s="348" t="s">
        <v>18239</v>
      </c>
      <c r="C4107" s="349" t="s">
        <v>255</v>
      </c>
      <c r="D4107" s="483">
        <v>15.24</v>
      </c>
      <c r="E4107" s="483">
        <v>15.24</v>
      </c>
    </row>
    <row r="4108" spans="1:5" ht="60">
      <c r="A4108" s="494">
        <v>93362</v>
      </c>
      <c r="B4108" s="485" t="s">
        <v>18240</v>
      </c>
      <c r="C4108" s="484" t="s">
        <v>255</v>
      </c>
      <c r="D4108" s="486">
        <v>10.34</v>
      </c>
      <c r="E4108" s="486">
        <v>10.34</v>
      </c>
    </row>
    <row r="4109" spans="1:5" ht="60">
      <c r="A4109" s="495">
        <v>93363</v>
      </c>
      <c r="B4109" s="348" t="s">
        <v>18241</v>
      </c>
      <c r="C4109" s="349" t="s">
        <v>255</v>
      </c>
      <c r="D4109" s="483">
        <v>11.39</v>
      </c>
      <c r="E4109" s="483">
        <v>11.39</v>
      </c>
    </row>
    <row r="4110" spans="1:5" ht="60">
      <c r="A4110" s="494">
        <v>93364</v>
      </c>
      <c r="B4110" s="485" t="s">
        <v>18242</v>
      </c>
      <c r="C4110" s="484" t="s">
        <v>255</v>
      </c>
      <c r="D4110" s="486">
        <v>8.6</v>
      </c>
      <c r="E4110" s="486">
        <v>8.6</v>
      </c>
    </row>
    <row r="4111" spans="1:5" ht="60">
      <c r="A4111" s="495">
        <v>93365</v>
      </c>
      <c r="B4111" s="348" t="s">
        <v>18243</v>
      </c>
      <c r="C4111" s="349" t="s">
        <v>255</v>
      </c>
      <c r="D4111" s="483">
        <v>9.76</v>
      </c>
      <c r="E4111" s="483">
        <v>9.76</v>
      </c>
    </row>
    <row r="4112" spans="1:5" ht="60">
      <c r="A4112" s="494">
        <v>93366</v>
      </c>
      <c r="B4112" s="485" t="s">
        <v>18244</v>
      </c>
      <c r="C4112" s="484" t="s">
        <v>255</v>
      </c>
      <c r="D4112" s="486">
        <v>7.8</v>
      </c>
      <c r="E4112" s="486">
        <v>7.8</v>
      </c>
    </row>
    <row r="4113" spans="1:5" ht="60">
      <c r="A4113" s="495">
        <v>93367</v>
      </c>
      <c r="B4113" s="348" t="s">
        <v>18245</v>
      </c>
      <c r="C4113" s="349" t="s">
        <v>255</v>
      </c>
      <c r="D4113" s="483">
        <v>17.86</v>
      </c>
      <c r="E4113" s="483">
        <v>17.86</v>
      </c>
    </row>
    <row r="4114" spans="1:5" s="25" customFormat="1" ht="60">
      <c r="A4114" s="604" t="s">
        <v>20625</v>
      </c>
      <c r="B4114" s="605" t="s">
        <v>18245</v>
      </c>
      <c r="C4114" s="606" t="s">
        <v>255</v>
      </c>
      <c r="D4114" s="607">
        <v>17.86</v>
      </c>
      <c r="E4114" s="483"/>
    </row>
    <row r="4115" spans="1:5" ht="60">
      <c r="A4115" s="494">
        <v>93368</v>
      </c>
      <c r="B4115" s="485" t="s">
        <v>18246</v>
      </c>
      <c r="C4115" s="484" t="s">
        <v>255</v>
      </c>
      <c r="D4115" s="486">
        <v>14.04</v>
      </c>
      <c r="E4115" s="486">
        <v>14.04</v>
      </c>
    </row>
    <row r="4116" spans="1:5" s="25" customFormat="1" ht="60">
      <c r="A4116" s="604" t="s">
        <v>20626</v>
      </c>
      <c r="B4116" s="605" t="s">
        <v>18247</v>
      </c>
      <c r="C4116" s="606" t="s">
        <v>255</v>
      </c>
      <c r="D4116" s="607">
        <v>9.2200000000000006</v>
      </c>
      <c r="E4116" s="486"/>
    </row>
    <row r="4117" spans="1:5" ht="60">
      <c r="A4117" s="495">
        <v>93369</v>
      </c>
      <c r="B4117" s="348" t="s">
        <v>18247</v>
      </c>
      <c r="C4117" s="349" t="s">
        <v>255</v>
      </c>
      <c r="D4117" s="483">
        <v>9.2200000000000006</v>
      </c>
      <c r="E4117" s="483">
        <v>9.2200000000000006</v>
      </c>
    </row>
    <row r="4118" spans="1:5" ht="60">
      <c r="A4118" s="494">
        <v>93370</v>
      </c>
      <c r="B4118" s="485" t="s">
        <v>18248</v>
      </c>
      <c r="C4118" s="484" t="s">
        <v>255</v>
      </c>
      <c r="D4118" s="486">
        <v>10.29</v>
      </c>
      <c r="E4118" s="486">
        <v>10.29</v>
      </c>
    </row>
    <row r="4119" spans="1:5" ht="60">
      <c r="A4119" s="495">
        <v>93371</v>
      </c>
      <c r="B4119" s="348" t="s">
        <v>18249</v>
      </c>
      <c r="C4119" s="349" t="s">
        <v>255</v>
      </c>
      <c r="D4119" s="483">
        <v>7.5</v>
      </c>
      <c r="E4119" s="483">
        <v>7.5</v>
      </c>
    </row>
    <row r="4120" spans="1:5" s="25" customFormat="1" ht="60">
      <c r="A4120" s="604" t="s">
        <v>20627</v>
      </c>
      <c r="B4120" s="605" t="s">
        <v>18249</v>
      </c>
      <c r="C4120" s="606" t="s">
        <v>255</v>
      </c>
      <c r="D4120" s="607">
        <v>7.5</v>
      </c>
      <c r="E4120" s="483"/>
    </row>
    <row r="4121" spans="1:5" ht="60">
      <c r="A4121" s="494">
        <v>93372</v>
      </c>
      <c r="B4121" s="485" t="s">
        <v>18250</v>
      </c>
      <c r="C4121" s="484" t="s">
        <v>255</v>
      </c>
      <c r="D4121" s="486">
        <v>8.7200000000000006</v>
      </c>
      <c r="E4121" s="486">
        <v>8.7200000000000006</v>
      </c>
    </row>
    <row r="4122" spans="1:5" ht="60">
      <c r="A4122" s="495">
        <v>93373</v>
      </c>
      <c r="B4122" s="348" t="s">
        <v>18251</v>
      </c>
      <c r="C4122" s="349" t="s">
        <v>255</v>
      </c>
      <c r="D4122" s="483">
        <v>6.67</v>
      </c>
      <c r="E4122" s="483">
        <v>6.67</v>
      </c>
    </row>
    <row r="4123" spans="1:5" ht="60">
      <c r="A4123" s="494">
        <v>93374</v>
      </c>
      <c r="B4123" s="485" t="s">
        <v>18252</v>
      </c>
      <c r="C4123" s="484" t="s">
        <v>255</v>
      </c>
      <c r="D4123" s="486">
        <v>30</v>
      </c>
      <c r="E4123" s="486">
        <v>30</v>
      </c>
    </row>
    <row r="4124" spans="1:5" ht="60">
      <c r="A4124" s="495">
        <v>93375</v>
      </c>
      <c r="B4124" s="348" t="s">
        <v>18253</v>
      </c>
      <c r="C4124" s="349" t="s">
        <v>255</v>
      </c>
      <c r="D4124" s="483">
        <v>20.02</v>
      </c>
      <c r="E4124" s="483">
        <v>20.02</v>
      </c>
    </row>
    <row r="4125" spans="1:5" ht="60">
      <c r="A4125" s="494">
        <v>93376</v>
      </c>
      <c r="B4125" s="485" t="s">
        <v>18254</v>
      </c>
      <c r="C4125" s="484" t="s">
        <v>255</v>
      </c>
      <c r="D4125" s="486">
        <v>15.48</v>
      </c>
      <c r="E4125" s="486">
        <v>15.48</v>
      </c>
    </row>
    <row r="4126" spans="1:5" ht="60">
      <c r="A4126" s="495">
        <v>93377</v>
      </c>
      <c r="B4126" s="348" t="s">
        <v>18255</v>
      </c>
      <c r="C4126" s="349" t="s">
        <v>255</v>
      </c>
      <c r="D4126" s="483">
        <v>9.73</v>
      </c>
      <c r="E4126" s="483">
        <v>9.73</v>
      </c>
    </row>
    <row r="4127" spans="1:5" ht="60">
      <c r="A4127" s="494">
        <v>93378</v>
      </c>
      <c r="B4127" s="485" t="s">
        <v>18256</v>
      </c>
      <c r="C4127" s="484" t="s">
        <v>255</v>
      </c>
      <c r="D4127" s="486">
        <v>28.64</v>
      </c>
      <c r="E4127" s="486">
        <v>28.64</v>
      </c>
    </row>
    <row r="4128" spans="1:5" s="25" customFormat="1" ht="60">
      <c r="A4128" s="604" t="s">
        <v>20535</v>
      </c>
      <c r="B4128" s="605" t="s">
        <v>18256</v>
      </c>
      <c r="C4128" s="606" t="s">
        <v>255</v>
      </c>
      <c r="D4128" s="607">
        <f>9.36+0.68</f>
        <v>10.039999999999999</v>
      </c>
      <c r="E4128" s="486"/>
    </row>
    <row r="4129" spans="1:5" ht="60">
      <c r="A4129" s="495">
        <v>93379</v>
      </c>
      <c r="B4129" s="348" t="s">
        <v>18257</v>
      </c>
      <c r="C4129" s="349" t="s">
        <v>255</v>
      </c>
      <c r="D4129" s="483">
        <v>18.98</v>
      </c>
      <c r="E4129" s="483">
        <v>18.98</v>
      </c>
    </row>
    <row r="4130" spans="1:5" s="25" customFormat="1" ht="60">
      <c r="A4130" s="604" t="s">
        <v>20537</v>
      </c>
      <c r="B4130" s="605" t="s">
        <v>18257</v>
      </c>
      <c r="C4130" s="606" t="s">
        <v>255</v>
      </c>
      <c r="D4130" s="607">
        <f>9.36+0.68</f>
        <v>10.039999999999999</v>
      </c>
      <c r="E4130" s="483"/>
    </row>
    <row r="4131" spans="1:5" ht="60">
      <c r="A4131" s="494">
        <v>93380</v>
      </c>
      <c r="B4131" s="485" t="s">
        <v>18258</v>
      </c>
      <c r="C4131" s="484" t="s">
        <v>255</v>
      </c>
      <c r="D4131" s="486">
        <v>14.69</v>
      </c>
      <c r="E4131" s="486">
        <v>14.69</v>
      </c>
    </row>
    <row r="4132" spans="1:5" s="25" customFormat="1" ht="60">
      <c r="A4132" s="604" t="s">
        <v>20536</v>
      </c>
      <c r="B4132" s="605" t="s">
        <v>18258</v>
      </c>
      <c r="C4132" s="606" t="s">
        <v>255</v>
      </c>
      <c r="D4132" s="607">
        <f>9.36+0.68</f>
        <v>10.039999999999999</v>
      </c>
      <c r="E4132" s="486"/>
    </row>
    <row r="4133" spans="1:5" ht="60">
      <c r="A4133" s="495">
        <v>93381</v>
      </c>
      <c r="B4133" s="348" t="s">
        <v>18259</v>
      </c>
      <c r="C4133" s="349" t="s">
        <v>255</v>
      </c>
      <c r="D4133" s="483">
        <v>9.17</v>
      </c>
      <c r="E4133" s="483">
        <v>9.17</v>
      </c>
    </row>
    <row r="4134" spans="1:5" s="25" customFormat="1" ht="60">
      <c r="A4134" s="604" t="s">
        <v>20538</v>
      </c>
      <c r="B4134" s="605" t="s">
        <v>18259</v>
      </c>
      <c r="C4134" s="606" t="s">
        <v>255</v>
      </c>
      <c r="D4134" s="607">
        <f>9.36+0.68</f>
        <v>10.039999999999999</v>
      </c>
      <c r="E4134" s="483"/>
    </row>
    <row r="4135" spans="1:5">
      <c r="A4135" s="494">
        <v>93382</v>
      </c>
      <c r="B4135" s="485" t="s">
        <v>8545</v>
      </c>
      <c r="C4135" s="484" t="s">
        <v>255</v>
      </c>
      <c r="D4135" s="486">
        <v>29</v>
      </c>
      <c r="E4135" s="486">
        <v>29</v>
      </c>
    </row>
    <row r="4136" spans="1:5">
      <c r="A4136" s="495">
        <v>72838</v>
      </c>
      <c r="B4136" s="348" t="s">
        <v>18260</v>
      </c>
      <c r="C4136" s="349" t="s">
        <v>9874</v>
      </c>
      <c r="D4136" s="483">
        <v>0.81</v>
      </c>
      <c r="E4136" s="483">
        <v>0.81</v>
      </c>
    </row>
    <row r="4137" spans="1:5" ht="30">
      <c r="A4137" s="494">
        <v>72839</v>
      </c>
      <c r="B4137" s="485" t="s">
        <v>18261</v>
      </c>
      <c r="C4137" s="484" t="s">
        <v>9874</v>
      </c>
      <c r="D4137" s="486">
        <v>0.65</v>
      </c>
      <c r="E4137" s="486">
        <v>0.65</v>
      </c>
    </row>
    <row r="4138" spans="1:5">
      <c r="A4138" s="495">
        <v>72840</v>
      </c>
      <c r="B4138" s="348" t="s">
        <v>9896</v>
      </c>
      <c r="C4138" s="349" t="s">
        <v>9874</v>
      </c>
      <c r="D4138" s="483">
        <v>0.54</v>
      </c>
      <c r="E4138" s="483">
        <v>0.54</v>
      </c>
    </row>
    <row r="4139" spans="1:5">
      <c r="A4139" s="494">
        <v>72841</v>
      </c>
      <c r="B4139" s="485" t="s">
        <v>18262</v>
      </c>
      <c r="C4139" s="484" t="s">
        <v>9874</v>
      </c>
      <c r="D4139" s="486">
        <v>1</v>
      </c>
      <c r="E4139" s="486">
        <v>1</v>
      </c>
    </row>
    <row r="4140" spans="1:5" ht="30">
      <c r="A4140" s="495">
        <v>72842</v>
      </c>
      <c r="B4140" s="348" t="s">
        <v>18263</v>
      </c>
      <c r="C4140" s="349" t="s">
        <v>9874</v>
      </c>
      <c r="D4140" s="483">
        <v>0.81</v>
      </c>
      <c r="E4140" s="483">
        <v>0.81</v>
      </c>
    </row>
    <row r="4141" spans="1:5">
      <c r="A4141" s="494">
        <v>72843</v>
      </c>
      <c r="B4141" s="485" t="s">
        <v>9893</v>
      </c>
      <c r="C4141" s="484" t="s">
        <v>9874</v>
      </c>
      <c r="D4141" s="486">
        <v>0.67</v>
      </c>
      <c r="E4141" s="486">
        <v>0.67</v>
      </c>
    </row>
    <row r="4142" spans="1:5" ht="30">
      <c r="A4142" s="495">
        <v>72844</v>
      </c>
      <c r="B4142" s="348" t="s">
        <v>18264</v>
      </c>
      <c r="C4142" s="349" t="s">
        <v>152</v>
      </c>
      <c r="D4142" s="483">
        <v>0.7</v>
      </c>
      <c r="E4142" s="483">
        <v>0.7</v>
      </c>
    </row>
    <row r="4143" spans="1:5" ht="30">
      <c r="A4143" s="494">
        <v>72845</v>
      </c>
      <c r="B4143" s="485" t="s">
        <v>3398</v>
      </c>
      <c r="C4143" s="484" t="s">
        <v>152</v>
      </c>
      <c r="D4143" s="486">
        <v>4.22</v>
      </c>
      <c r="E4143" s="486">
        <v>4.22</v>
      </c>
    </row>
    <row r="4144" spans="1:5" ht="30">
      <c r="A4144" s="495">
        <v>72846</v>
      </c>
      <c r="B4144" s="348" t="s">
        <v>18265</v>
      </c>
      <c r="C4144" s="349" t="s">
        <v>152</v>
      </c>
      <c r="D4144" s="483">
        <v>3.49</v>
      </c>
      <c r="E4144" s="483">
        <v>3.49</v>
      </c>
    </row>
    <row r="4145" spans="1:5" ht="30">
      <c r="A4145" s="494">
        <v>72847</v>
      </c>
      <c r="B4145" s="485" t="s">
        <v>3403</v>
      </c>
      <c r="C4145" s="484" t="s">
        <v>152</v>
      </c>
      <c r="D4145" s="486">
        <v>7.52</v>
      </c>
      <c r="E4145" s="486">
        <v>7.52</v>
      </c>
    </row>
    <row r="4146" spans="1:5" ht="30">
      <c r="A4146" s="495">
        <v>72848</v>
      </c>
      <c r="B4146" s="348" t="s">
        <v>18266</v>
      </c>
      <c r="C4146" s="349" t="s">
        <v>152</v>
      </c>
      <c r="D4146" s="483">
        <v>1.88</v>
      </c>
      <c r="E4146" s="483">
        <v>1.88</v>
      </c>
    </row>
    <row r="4147" spans="1:5" ht="30">
      <c r="A4147" s="494">
        <v>72849</v>
      </c>
      <c r="B4147" s="485" t="s">
        <v>18267</v>
      </c>
      <c r="C4147" s="484" t="s">
        <v>152</v>
      </c>
      <c r="D4147" s="486">
        <v>2.4</v>
      </c>
      <c r="E4147" s="486">
        <v>2.4</v>
      </c>
    </row>
    <row r="4148" spans="1:5" ht="30">
      <c r="A4148" s="495">
        <v>72850</v>
      </c>
      <c r="B4148" s="348" t="s">
        <v>18268</v>
      </c>
      <c r="C4148" s="349" t="s">
        <v>152</v>
      </c>
      <c r="D4148" s="483">
        <v>10.28</v>
      </c>
      <c r="E4148" s="483">
        <v>10.28</v>
      </c>
    </row>
    <row r="4149" spans="1:5">
      <c r="A4149" s="494">
        <v>72882</v>
      </c>
      <c r="B4149" s="485" t="s">
        <v>18260</v>
      </c>
      <c r="C4149" s="484" t="s">
        <v>9853</v>
      </c>
      <c r="D4149" s="486">
        <v>1.22</v>
      </c>
      <c r="E4149" s="486">
        <v>1.22</v>
      </c>
    </row>
    <row r="4150" spans="1:5" ht="30">
      <c r="A4150" s="495">
        <v>72883</v>
      </c>
      <c r="B4150" s="348" t="s">
        <v>18261</v>
      </c>
      <c r="C4150" s="349" t="s">
        <v>9853</v>
      </c>
      <c r="D4150" s="483">
        <v>0.97</v>
      </c>
      <c r="E4150" s="483">
        <v>0.97</v>
      </c>
    </row>
    <row r="4151" spans="1:5">
      <c r="A4151" s="494">
        <v>72884</v>
      </c>
      <c r="B4151" s="485" t="s">
        <v>9896</v>
      </c>
      <c r="C4151" s="484" t="s">
        <v>9853</v>
      </c>
      <c r="D4151" s="486">
        <v>0.81</v>
      </c>
      <c r="E4151" s="486">
        <v>0.81</v>
      </c>
    </row>
    <row r="4152" spans="1:5">
      <c r="A4152" s="495">
        <v>72885</v>
      </c>
      <c r="B4152" s="348" t="s">
        <v>18262</v>
      </c>
      <c r="C4152" s="349" t="s">
        <v>9853</v>
      </c>
      <c r="D4152" s="483">
        <v>1.5</v>
      </c>
      <c r="E4152" s="483">
        <v>1.5</v>
      </c>
    </row>
    <row r="4153" spans="1:5" ht="30">
      <c r="A4153" s="494">
        <v>72886</v>
      </c>
      <c r="B4153" s="485" t="s">
        <v>18263</v>
      </c>
      <c r="C4153" s="484" t="s">
        <v>9853</v>
      </c>
      <c r="D4153" s="486">
        <v>1.2</v>
      </c>
      <c r="E4153" s="486">
        <v>1.2</v>
      </c>
    </row>
    <row r="4154" spans="1:5">
      <c r="A4154" s="495">
        <v>72887</v>
      </c>
      <c r="B4154" s="348" t="s">
        <v>9893</v>
      </c>
      <c r="C4154" s="349" t="s">
        <v>9853</v>
      </c>
      <c r="D4154" s="483">
        <v>1</v>
      </c>
      <c r="E4154" s="483">
        <v>1</v>
      </c>
    </row>
    <row r="4155" spans="1:5" ht="30">
      <c r="A4155" s="494">
        <v>72888</v>
      </c>
      <c r="B4155" s="485" t="s">
        <v>18264</v>
      </c>
      <c r="C4155" s="484" t="s">
        <v>255</v>
      </c>
      <c r="D4155" s="486">
        <v>1.05</v>
      </c>
      <c r="E4155" s="486">
        <v>1.05</v>
      </c>
    </row>
    <row r="4156" spans="1:5" ht="30">
      <c r="A4156" s="495">
        <v>72890</v>
      </c>
      <c r="B4156" s="348" t="s">
        <v>3399</v>
      </c>
      <c r="C4156" s="349" t="s">
        <v>255</v>
      </c>
      <c r="D4156" s="483">
        <v>6.34</v>
      </c>
      <c r="E4156" s="483">
        <v>6.34</v>
      </c>
    </row>
    <row r="4157" spans="1:5" ht="30">
      <c r="A4157" s="494">
        <v>72891</v>
      </c>
      <c r="B4157" s="485" t="s">
        <v>18269</v>
      </c>
      <c r="C4157" s="484" t="s">
        <v>255</v>
      </c>
      <c r="D4157" s="486">
        <v>5.23</v>
      </c>
      <c r="E4157" s="486">
        <v>5.23</v>
      </c>
    </row>
    <row r="4158" spans="1:5" ht="30">
      <c r="A4158" s="495">
        <v>72892</v>
      </c>
      <c r="B4158" s="348" t="s">
        <v>18270</v>
      </c>
      <c r="C4158" s="349" t="s">
        <v>255</v>
      </c>
      <c r="D4158" s="483">
        <v>11.28</v>
      </c>
      <c r="E4158" s="483">
        <v>11.28</v>
      </c>
    </row>
    <row r="4159" spans="1:5" ht="30">
      <c r="A4159" s="494">
        <v>72893</v>
      </c>
      <c r="B4159" s="485" t="s">
        <v>18271</v>
      </c>
      <c r="C4159" s="484" t="s">
        <v>255</v>
      </c>
      <c r="D4159" s="486">
        <v>2.81</v>
      </c>
      <c r="E4159" s="486">
        <v>2.81</v>
      </c>
    </row>
    <row r="4160" spans="1:5" ht="30">
      <c r="A4160" s="495">
        <v>72894</v>
      </c>
      <c r="B4160" s="348" t="s">
        <v>18272</v>
      </c>
      <c r="C4160" s="349" t="s">
        <v>255</v>
      </c>
      <c r="D4160" s="483">
        <v>3.61</v>
      </c>
      <c r="E4160" s="483">
        <v>3.61</v>
      </c>
    </row>
    <row r="4161" spans="1:5" ht="30">
      <c r="A4161" s="494">
        <v>72895</v>
      </c>
      <c r="B4161" s="485" t="s">
        <v>18273</v>
      </c>
      <c r="C4161" s="484" t="s">
        <v>255</v>
      </c>
      <c r="D4161" s="486">
        <v>19.03</v>
      </c>
      <c r="E4161" s="486">
        <v>19.03</v>
      </c>
    </row>
    <row r="4162" spans="1:5">
      <c r="A4162" s="495">
        <v>72897</v>
      </c>
      <c r="B4162" s="348" t="s">
        <v>3394</v>
      </c>
      <c r="C4162" s="349" t="s">
        <v>255</v>
      </c>
      <c r="D4162" s="483">
        <v>21.78</v>
      </c>
      <c r="E4162" s="483">
        <v>21.78</v>
      </c>
    </row>
    <row r="4163" spans="1:5">
      <c r="A4163" s="494">
        <v>72898</v>
      </c>
      <c r="B4163" s="485" t="s">
        <v>3393</v>
      </c>
      <c r="C4163" s="484" t="s">
        <v>255</v>
      </c>
      <c r="D4163" s="486">
        <v>4.01</v>
      </c>
      <c r="E4163" s="486">
        <v>4.01</v>
      </c>
    </row>
    <row r="4164" spans="1:5" s="25" customFormat="1">
      <c r="A4164" s="604" t="s">
        <v>20649</v>
      </c>
      <c r="B4164" s="605" t="s">
        <v>3393</v>
      </c>
      <c r="C4164" s="606" t="s">
        <v>255</v>
      </c>
      <c r="D4164" s="607">
        <v>4.01</v>
      </c>
      <c r="E4164" s="486"/>
    </row>
    <row r="4165" spans="1:5" ht="30">
      <c r="A4165" s="495">
        <v>72899</v>
      </c>
      <c r="B4165" s="348" t="s">
        <v>18274</v>
      </c>
      <c r="C4165" s="349" t="s">
        <v>255</v>
      </c>
      <c r="D4165" s="483">
        <v>4.92</v>
      </c>
      <c r="E4165" s="483">
        <v>4.92</v>
      </c>
    </row>
    <row r="4166" spans="1:5" ht="30">
      <c r="A4166" s="494">
        <v>72900</v>
      </c>
      <c r="B4166" s="485" t="s">
        <v>18275</v>
      </c>
      <c r="C4166" s="484" t="s">
        <v>255</v>
      </c>
      <c r="D4166" s="486">
        <v>5.41</v>
      </c>
      <c r="E4166" s="486">
        <v>5.41</v>
      </c>
    </row>
    <row r="4167" spans="1:5" ht="45">
      <c r="A4167" s="349" t="s">
        <v>18276</v>
      </c>
      <c r="B4167" s="348" t="s">
        <v>18277</v>
      </c>
      <c r="C4167" s="349" t="s">
        <v>255</v>
      </c>
      <c r="D4167" s="483">
        <v>1.76</v>
      </c>
      <c r="E4167" s="483">
        <v>1.76</v>
      </c>
    </row>
    <row r="4168" spans="1:5" s="25" customFormat="1" ht="45">
      <c r="A4168" s="606" t="s">
        <v>20571</v>
      </c>
      <c r="B4168" s="605" t="s">
        <v>18277</v>
      </c>
      <c r="C4168" s="606" t="s">
        <v>255</v>
      </c>
      <c r="D4168" s="607">
        <v>1.76</v>
      </c>
      <c r="E4168" s="483"/>
    </row>
    <row r="4169" spans="1:5" ht="30">
      <c r="A4169" s="484" t="s">
        <v>18278</v>
      </c>
      <c r="B4169" s="485" t="s">
        <v>18279</v>
      </c>
      <c r="C4169" s="484" t="s">
        <v>255</v>
      </c>
      <c r="D4169" s="486">
        <v>3.71</v>
      </c>
      <c r="E4169" s="486">
        <v>3.71</v>
      </c>
    </row>
    <row r="4170" spans="1:5">
      <c r="A4170" s="495">
        <v>83356</v>
      </c>
      <c r="B4170" s="348" t="s">
        <v>833</v>
      </c>
      <c r="C4170" s="349" t="s">
        <v>9853</v>
      </c>
      <c r="D4170" s="483">
        <v>0.71</v>
      </c>
      <c r="E4170" s="483">
        <v>0.71</v>
      </c>
    </row>
    <row r="4171" spans="1:5">
      <c r="A4171" s="494">
        <v>83358</v>
      </c>
      <c r="B4171" s="485" t="s">
        <v>9903</v>
      </c>
      <c r="C4171" s="484" t="s">
        <v>9853</v>
      </c>
      <c r="D4171" s="486">
        <v>1.48</v>
      </c>
      <c r="E4171" s="486">
        <v>1.48</v>
      </c>
    </row>
    <row r="4172" spans="1:5" ht="30">
      <c r="A4172" s="495">
        <v>95285</v>
      </c>
      <c r="B4172" s="348" t="s">
        <v>9859</v>
      </c>
      <c r="C4172" s="349" t="s">
        <v>255</v>
      </c>
      <c r="D4172" s="483">
        <v>3.43</v>
      </c>
      <c r="E4172" s="483">
        <v>3.43</v>
      </c>
    </row>
    <row r="4173" spans="1:5" ht="30">
      <c r="A4173" s="494">
        <v>95286</v>
      </c>
      <c r="B4173" s="485" t="s">
        <v>9855</v>
      </c>
      <c r="C4173" s="484" t="s">
        <v>255</v>
      </c>
      <c r="D4173" s="486">
        <v>3.52</v>
      </c>
      <c r="E4173" s="486">
        <v>3.52</v>
      </c>
    </row>
    <row r="4174" spans="1:5" ht="30">
      <c r="A4174" s="495">
        <v>95287</v>
      </c>
      <c r="B4174" s="348" t="s">
        <v>9856</v>
      </c>
      <c r="C4174" s="349" t="s">
        <v>255</v>
      </c>
      <c r="D4174" s="483">
        <v>3.61</v>
      </c>
      <c r="E4174" s="483">
        <v>3.61</v>
      </c>
    </row>
    <row r="4175" spans="1:5" ht="30">
      <c r="A4175" s="494">
        <v>95288</v>
      </c>
      <c r="B4175" s="485" t="s">
        <v>9857</v>
      </c>
      <c r="C4175" s="484" t="s">
        <v>255</v>
      </c>
      <c r="D4175" s="486">
        <v>3.71</v>
      </c>
      <c r="E4175" s="486">
        <v>3.71</v>
      </c>
    </row>
    <row r="4176" spans="1:5" ht="30">
      <c r="A4176" s="495">
        <v>95289</v>
      </c>
      <c r="B4176" s="348" t="s">
        <v>9858</v>
      </c>
      <c r="C4176" s="349" t="s">
        <v>255</v>
      </c>
      <c r="D4176" s="483">
        <v>3.82</v>
      </c>
      <c r="E4176" s="483">
        <v>3.82</v>
      </c>
    </row>
    <row r="4177" spans="1:5">
      <c r="A4177" s="494">
        <v>95290</v>
      </c>
      <c r="B4177" s="485" t="s">
        <v>9854</v>
      </c>
      <c r="C4177" s="484" t="s">
        <v>9853</v>
      </c>
      <c r="D4177" s="486">
        <v>1.67</v>
      </c>
      <c r="E4177" s="486">
        <v>1.67</v>
      </c>
    </row>
    <row r="4178" spans="1:5" ht="30">
      <c r="A4178" s="495">
        <v>95291</v>
      </c>
      <c r="B4178" s="348" t="s">
        <v>18280</v>
      </c>
      <c r="C4178" s="349" t="s">
        <v>255</v>
      </c>
      <c r="D4178" s="483">
        <v>3.05</v>
      </c>
      <c r="E4178" s="483">
        <v>3.05</v>
      </c>
    </row>
    <row r="4179" spans="1:5" ht="30">
      <c r="A4179" s="494">
        <v>95292</v>
      </c>
      <c r="B4179" s="485" t="s">
        <v>18281</v>
      </c>
      <c r="C4179" s="484" t="s">
        <v>255</v>
      </c>
      <c r="D4179" s="486">
        <v>3.12</v>
      </c>
      <c r="E4179" s="486">
        <v>3.12</v>
      </c>
    </row>
    <row r="4180" spans="1:5" ht="30">
      <c r="A4180" s="495">
        <v>95293</v>
      </c>
      <c r="B4180" s="348" t="s">
        <v>18282</v>
      </c>
      <c r="C4180" s="349" t="s">
        <v>255</v>
      </c>
      <c r="D4180" s="483">
        <v>3.22</v>
      </c>
      <c r="E4180" s="483">
        <v>3.22</v>
      </c>
    </row>
    <row r="4181" spans="1:5" ht="30">
      <c r="A4181" s="494">
        <v>95294</v>
      </c>
      <c r="B4181" s="485" t="s">
        <v>18283</v>
      </c>
      <c r="C4181" s="484" t="s">
        <v>255</v>
      </c>
      <c r="D4181" s="486">
        <v>3.4</v>
      </c>
      <c r="E4181" s="486">
        <v>3.4</v>
      </c>
    </row>
    <row r="4182" spans="1:5" ht="30">
      <c r="A4182" s="495">
        <v>95295</v>
      </c>
      <c r="B4182" s="348" t="s">
        <v>18284</v>
      </c>
      <c r="C4182" s="349" t="s">
        <v>255</v>
      </c>
      <c r="D4182" s="483">
        <v>3.31</v>
      </c>
      <c r="E4182" s="483">
        <v>3.31</v>
      </c>
    </row>
    <row r="4183" spans="1:5">
      <c r="A4183" s="494">
        <v>95296</v>
      </c>
      <c r="B4183" s="485" t="s">
        <v>18285</v>
      </c>
      <c r="C4183" s="484" t="s">
        <v>9853</v>
      </c>
      <c r="D4183" s="486">
        <v>1.48</v>
      </c>
      <c r="E4183" s="486">
        <v>1.48</v>
      </c>
    </row>
    <row r="4184" spans="1:5">
      <c r="A4184" s="495">
        <v>95297</v>
      </c>
      <c r="B4184" s="348" t="s">
        <v>18286</v>
      </c>
      <c r="C4184" s="349" t="s">
        <v>255</v>
      </c>
      <c r="D4184" s="483">
        <v>2.73</v>
      </c>
      <c r="E4184" s="483">
        <v>2.73</v>
      </c>
    </row>
    <row r="4185" spans="1:5" ht="30">
      <c r="A4185" s="494">
        <v>95298</v>
      </c>
      <c r="B4185" s="485" t="s">
        <v>18287</v>
      </c>
      <c r="C4185" s="484" t="s">
        <v>255</v>
      </c>
      <c r="D4185" s="486">
        <v>2.81</v>
      </c>
      <c r="E4185" s="486">
        <v>2.81</v>
      </c>
    </row>
    <row r="4186" spans="1:5" ht="30">
      <c r="A4186" s="495">
        <v>95299</v>
      </c>
      <c r="B4186" s="348" t="s">
        <v>18288</v>
      </c>
      <c r="C4186" s="349" t="s">
        <v>255</v>
      </c>
      <c r="D4186" s="483">
        <v>2.88</v>
      </c>
      <c r="E4186" s="483">
        <v>2.88</v>
      </c>
    </row>
    <row r="4187" spans="1:5" ht="30">
      <c r="A4187" s="494">
        <v>95300</v>
      </c>
      <c r="B4187" s="485" t="s">
        <v>18289</v>
      </c>
      <c r="C4187" s="484" t="s">
        <v>255</v>
      </c>
      <c r="D4187" s="486">
        <v>2.97</v>
      </c>
      <c r="E4187" s="486">
        <v>2.97</v>
      </c>
    </row>
    <row r="4188" spans="1:5" ht="30">
      <c r="A4188" s="495">
        <v>95301</v>
      </c>
      <c r="B4188" s="348" t="s">
        <v>18290</v>
      </c>
      <c r="C4188" s="349" t="s">
        <v>255</v>
      </c>
      <c r="D4188" s="483">
        <v>3.05</v>
      </c>
      <c r="E4188" s="483">
        <v>3.05</v>
      </c>
    </row>
    <row r="4189" spans="1:5" ht="30">
      <c r="A4189" s="494">
        <v>95302</v>
      </c>
      <c r="B4189" s="485" t="s">
        <v>9866</v>
      </c>
      <c r="C4189" s="484" t="s">
        <v>9853</v>
      </c>
      <c r="D4189" s="486">
        <v>1.33</v>
      </c>
      <c r="E4189" s="486">
        <v>1.33</v>
      </c>
    </row>
    <row r="4190" spans="1:5" s="25" customFormat="1" ht="30">
      <c r="A4190" s="604" t="s">
        <v>20631</v>
      </c>
      <c r="B4190" s="605" t="s">
        <v>9866</v>
      </c>
      <c r="C4190" s="606" t="s">
        <v>9853</v>
      </c>
      <c r="D4190" s="607">
        <v>1.33</v>
      </c>
      <c r="E4190" s="486"/>
    </row>
    <row r="4191" spans="1:5" ht="30">
      <c r="A4191" s="495">
        <v>95303</v>
      </c>
      <c r="B4191" s="348" t="s">
        <v>18291</v>
      </c>
      <c r="C4191" s="349" t="s">
        <v>9853</v>
      </c>
      <c r="D4191" s="483">
        <v>0.92</v>
      </c>
      <c r="E4191" s="483">
        <v>0.92</v>
      </c>
    </row>
    <row r="4192" spans="1:5" ht="30">
      <c r="A4192" s="494">
        <v>94097</v>
      </c>
      <c r="B4192" s="485" t="s">
        <v>18292</v>
      </c>
      <c r="C4192" s="484" t="s">
        <v>256</v>
      </c>
      <c r="D4192" s="486">
        <v>4.51</v>
      </c>
      <c r="E4192" s="486">
        <v>4.51</v>
      </c>
    </row>
    <row r="4193" spans="1:5" s="25" customFormat="1" ht="30">
      <c r="A4193" s="604" t="s">
        <v>20532</v>
      </c>
      <c r="B4193" s="605" t="s">
        <v>18292</v>
      </c>
      <c r="C4193" s="606" t="s">
        <v>256</v>
      </c>
      <c r="D4193" s="607">
        <v>1.1299999999999999</v>
      </c>
      <c r="E4193" s="486"/>
    </row>
    <row r="4194" spans="1:5" ht="30">
      <c r="A4194" s="495">
        <v>94098</v>
      </c>
      <c r="B4194" s="348" t="s">
        <v>18293</v>
      </c>
      <c r="C4194" s="349" t="s">
        <v>256</v>
      </c>
      <c r="D4194" s="483">
        <v>5.08</v>
      </c>
      <c r="E4194" s="483">
        <v>5.08</v>
      </c>
    </row>
    <row r="4195" spans="1:5" ht="30">
      <c r="A4195" s="494">
        <v>94099</v>
      </c>
      <c r="B4195" s="485" t="s">
        <v>18294</v>
      </c>
      <c r="C4195" s="484" t="s">
        <v>256</v>
      </c>
      <c r="D4195" s="486">
        <v>2.21</v>
      </c>
      <c r="E4195" s="486">
        <v>2.21</v>
      </c>
    </row>
    <row r="4196" spans="1:5" ht="30">
      <c r="A4196" s="495">
        <v>94100</v>
      </c>
      <c r="B4196" s="348" t="s">
        <v>18295</v>
      </c>
      <c r="C4196" s="349" t="s">
        <v>256</v>
      </c>
      <c r="D4196" s="483">
        <v>2.78</v>
      </c>
      <c r="E4196" s="483">
        <v>2.78</v>
      </c>
    </row>
    <row r="4197" spans="1:5" ht="30">
      <c r="A4197" s="494">
        <v>94102</v>
      </c>
      <c r="B4197" s="485" t="s">
        <v>18296</v>
      </c>
      <c r="C4197" s="484" t="s">
        <v>255</v>
      </c>
      <c r="D4197" s="486">
        <v>161.49</v>
      </c>
      <c r="E4197" s="486">
        <v>161.49</v>
      </c>
    </row>
    <row r="4198" spans="1:5" ht="30">
      <c r="A4198" s="495">
        <v>94103</v>
      </c>
      <c r="B4198" s="348" t="s">
        <v>18297</v>
      </c>
      <c r="C4198" s="349" t="s">
        <v>255</v>
      </c>
      <c r="D4198" s="483">
        <v>166.9</v>
      </c>
      <c r="E4198" s="483">
        <v>166.9</v>
      </c>
    </row>
    <row r="4199" spans="1:5" ht="30">
      <c r="A4199" s="494">
        <v>94104</v>
      </c>
      <c r="B4199" s="485" t="s">
        <v>18298</v>
      </c>
      <c r="C4199" s="484" t="s">
        <v>255</v>
      </c>
      <c r="D4199" s="486">
        <v>164.75</v>
      </c>
      <c r="E4199" s="486">
        <v>164.75</v>
      </c>
    </row>
    <row r="4200" spans="1:5" ht="30">
      <c r="A4200" s="495">
        <v>94105</v>
      </c>
      <c r="B4200" s="348" t="s">
        <v>18299</v>
      </c>
      <c r="C4200" s="349" t="s">
        <v>255</v>
      </c>
      <c r="D4200" s="483">
        <v>170.17</v>
      </c>
      <c r="E4200" s="483">
        <v>170.17</v>
      </c>
    </row>
    <row r="4201" spans="1:5" ht="30">
      <c r="A4201" s="494">
        <v>94106</v>
      </c>
      <c r="B4201" s="485" t="s">
        <v>18300</v>
      </c>
      <c r="C4201" s="484" t="s">
        <v>255</v>
      </c>
      <c r="D4201" s="486">
        <v>143.76</v>
      </c>
      <c r="E4201" s="486">
        <v>143.76</v>
      </c>
    </row>
    <row r="4202" spans="1:5" ht="30">
      <c r="A4202" s="495">
        <v>94107</v>
      </c>
      <c r="B4202" s="348" t="s">
        <v>18301</v>
      </c>
      <c r="C4202" s="349" t="s">
        <v>255</v>
      </c>
      <c r="D4202" s="483">
        <v>149.18</v>
      </c>
      <c r="E4202" s="483">
        <v>149.18</v>
      </c>
    </row>
    <row r="4203" spans="1:5" ht="30">
      <c r="A4203" s="494">
        <v>94108</v>
      </c>
      <c r="B4203" s="485" t="s">
        <v>18302</v>
      </c>
      <c r="C4203" s="484" t="s">
        <v>255</v>
      </c>
      <c r="D4203" s="486">
        <v>147.04</v>
      </c>
      <c r="E4203" s="486">
        <v>147.04</v>
      </c>
    </row>
    <row r="4204" spans="1:5" ht="30">
      <c r="A4204" s="495">
        <v>94110</v>
      </c>
      <c r="B4204" s="348" t="s">
        <v>18303</v>
      </c>
      <c r="C4204" s="349" t="s">
        <v>255</v>
      </c>
      <c r="D4204" s="483">
        <v>152.44</v>
      </c>
      <c r="E4204" s="483">
        <v>152.44</v>
      </c>
    </row>
    <row r="4205" spans="1:5" ht="45">
      <c r="A4205" s="494">
        <v>94111</v>
      </c>
      <c r="B4205" s="485" t="s">
        <v>18304</v>
      </c>
      <c r="C4205" s="484" t="s">
        <v>255</v>
      </c>
      <c r="D4205" s="486">
        <v>152.78</v>
      </c>
      <c r="E4205" s="486">
        <v>152.78</v>
      </c>
    </row>
    <row r="4206" spans="1:5" ht="45">
      <c r="A4206" s="495">
        <v>94112</v>
      </c>
      <c r="B4206" s="348" t="s">
        <v>18305</v>
      </c>
      <c r="C4206" s="349" t="s">
        <v>255</v>
      </c>
      <c r="D4206" s="483">
        <v>156.15</v>
      </c>
      <c r="E4206" s="483">
        <v>156.15</v>
      </c>
    </row>
    <row r="4207" spans="1:5" ht="45">
      <c r="A4207" s="494">
        <v>94113</v>
      </c>
      <c r="B4207" s="485" t="s">
        <v>18306</v>
      </c>
      <c r="C4207" s="484" t="s">
        <v>255</v>
      </c>
      <c r="D4207" s="486">
        <v>159.26</v>
      </c>
      <c r="E4207" s="486">
        <v>159.26</v>
      </c>
    </row>
    <row r="4208" spans="1:5" ht="45">
      <c r="A4208" s="495">
        <v>94114</v>
      </c>
      <c r="B4208" s="348" t="s">
        <v>18307</v>
      </c>
      <c r="C4208" s="349" t="s">
        <v>255</v>
      </c>
      <c r="D4208" s="483">
        <v>163.47999999999999</v>
      </c>
      <c r="E4208" s="483">
        <v>163.47999999999999</v>
      </c>
    </row>
    <row r="4209" spans="1:5" ht="30">
      <c r="A4209" s="494">
        <v>94115</v>
      </c>
      <c r="B4209" s="485" t="s">
        <v>18308</v>
      </c>
      <c r="C4209" s="484" t="s">
        <v>255</v>
      </c>
      <c r="D4209" s="486">
        <v>121.41</v>
      </c>
      <c r="E4209" s="486">
        <v>121.41</v>
      </c>
    </row>
    <row r="4210" spans="1:5" ht="30">
      <c r="A4210" s="495">
        <v>94116</v>
      </c>
      <c r="B4210" s="348" t="s">
        <v>18309</v>
      </c>
      <c r="C4210" s="349" t="s">
        <v>255</v>
      </c>
      <c r="D4210" s="483">
        <v>120.39</v>
      </c>
      <c r="E4210" s="483">
        <v>120.39</v>
      </c>
    </row>
    <row r="4211" spans="1:5" s="25" customFormat="1" ht="30">
      <c r="A4211" s="604" t="s">
        <v>20629</v>
      </c>
      <c r="B4211" s="605" t="s">
        <v>18309</v>
      </c>
      <c r="C4211" s="606" t="s">
        <v>255</v>
      </c>
      <c r="D4211" s="607">
        <v>120.39</v>
      </c>
      <c r="E4211" s="483"/>
    </row>
    <row r="4212" spans="1:5" ht="30">
      <c r="A4212" s="494">
        <v>94117</v>
      </c>
      <c r="B4212" s="485" t="s">
        <v>18310</v>
      </c>
      <c r="C4212" s="484" t="s">
        <v>255</v>
      </c>
      <c r="D4212" s="486">
        <v>127.44</v>
      </c>
      <c r="E4212" s="486">
        <v>127.44</v>
      </c>
    </row>
    <row r="4213" spans="1:5" ht="30">
      <c r="A4213" s="495">
        <v>94118</v>
      </c>
      <c r="B4213" s="348" t="s">
        <v>18311</v>
      </c>
      <c r="C4213" s="349" t="s">
        <v>255</v>
      </c>
      <c r="D4213" s="483">
        <v>127.48</v>
      </c>
      <c r="E4213" s="483">
        <v>127.48</v>
      </c>
    </row>
    <row r="4214" spans="1:5">
      <c r="A4214" s="494">
        <v>6514</v>
      </c>
      <c r="B4214" s="485" t="s">
        <v>5661</v>
      </c>
      <c r="C4214" s="484" t="s">
        <v>255</v>
      </c>
      <c r="D4214" s="486">
        <v>78.48</v>
      </c>
      <c r="E4214" s="486">
        <v>78.48</v>
      </c>
    </row>
    <row r="4215" spans="1:5">
      <c r="A4215" s="495">
        <v>88549</v>
      </c>
      <c r="B4215" s="348" t="s">
        <v>5658</v>
      </c>
      <c r="C4215" s="349" t="s">
        <v>255</v>
      </c>
      <c r="D4215" s="483">
        <v>60.93</v>
      </c>
      <c r="E4215" s="483">
        <v>60.93</v>
      </c>
    </row>
    <row r="4216" spans="1:5">
      <c r="A4216" s="494">
        <v>41721</v>
      </c>
      <c r="B4216" s="485" t="s">
        <v>3660</v>
      </c>
      <c r="C4216" s="484" t="s">
        <v>255</v>
      </c>
      <c r="D4216" s="486">
        <v>3.02</v>
      </c>
      <c r="E4216" s="486">
        <v>3.02</v>
      </c>
    </row>
    <row r="4217" spans="1:5">
      <c r="A4217" s="495">
        <v>41722</v>
      </c>
      <c r="B4217" s="348" t="s">
        <v>3659</v>
      </c>
      <c r="C4217" s="349" t="s">
        <v>255</v>
      </c>
      <c r="D4217" s="483">
        <v>4.63</v>
      </c>
      <c r="E4217" s="483">
        <v>4.63</v>
      </c>
    </row>
    <row r="4218" spans="1:5">
      <c r="A4218" s="484" t="s">
        <v>18312</v>
      </c>
      <c r="B4218" s="485" t="s">
        <v>3662</v>
      </c>
      <c r="C4218" s="484" t="s">
        <v>255</v>
      </c>
      <c r="D4218" s="486">
        <v>4.04</v>
      </c>
      <c r="E4218" s="486">
        <v>4.04</v>
      </c>
    </row>
    <row r="4219" spans="1:5" s="25" customFormat="1">
      <c r="A4219" s="606" t="s">
        <v>20570</v>
      </c>
      <c r="B4219" s="605" t="s">
        <v>3662</v>
      </c>
      <c r="C4219" s="606" t="s">
        <v>255</v>
      </c>
      <c r="D4219" s="607">
        <v>4.04</v>
      </c>
      <c r="E4219" s="486"/>
    </row>
    <row r="4220" spans="1:5" ht="30">
      <c r="A4220" s="349" t="s">
        <v>18313</v>
      </c>
      <c r="B4220" s="348" t="s">
        <v>18314</v>
      </c>
      <c r="C4220" s="349" t="s">
        <v>255</v>
      </c>
      <c r="D4220" s="483">
        <v>5.36</v>
      </c>
      <c r="E4220" s="483">
        <v>5.36</v>
      </c>
    </row>
    <row r="4221" spans="1:5">
      <c r="A4221" s="484" t="s">
        <v>18315</v>
      </c>
      <c r="B4221" s="485" t="s">
        <v>18316</v>
      </c>
      <c r="C4221" s="484" t="s">
        <v>255</v>
      </c>
      <c r="D4221" s="486">
        <v>2.19</v>
      </c>
      <c r="E4221" s="486">
        <v>2.19</v>
      </c>
    </row>
    <row r="4222" spans="1:5" ht="30">
      <c r="A4222" s="495">
        <v>83344</v>
      </c>
      <c r="B4222" s="348" t="s">
        <v>18317</v>
      </c>
      <c r="C4222" s="349" t="s">
        <v>255</v>
      </c>
      <c r="D4222" s="483">
        <v>1.02</v>
      </c>
      <c r="E4222" s="483">
        <v>1.02</v>
      </c>
    </row>
    <row r="4223" spans="1:5" s="25" customFormat="1" ht="30">
      <c r="A4223" s="604" t="s">
        <v>20573</v>
      </c>
      <c r="B4223" s="605" t="s">
        <v>18317</v>
      </c>
      <c r="C4223" s="606" t="s">
        <v>255</v>
      </c>
      <c r="D4223" s="607">
        <v>1.02</v>
      </c>
      <c r="E4223" s="483"/>
    </row>
    <row r="4224" spans="1:5">
      <c r="A4224" s="494">
        <v>95606</v>
      </c>
      <c r="B4224" s="485" t="s">
        <v>18318</v>
      </c>
      <c r="C4224" s="484" t="s">
        <v>255</v>
      </c>
      <c r="D4224" s="486">
        <v>1.1399999999999999</v>
      </c>
      <c r="E4224" s="486">
        <v>1.1399999999999999</v>
      </c>
    </row>
    <row r="4225" spans="1:5" ht="30">
      <c r="A4225" s="495">
        <v>72131</v>
      </c>
      <c r="B4225" s="348" t="s">
        <v>1781</v>
      </c>
      <c r="C4225" s="349" t="s">
        <v>256</v>
      </c>
      <c r="D4225" s="483">
        <v>104.86</v>
      </c>
      <c r="E4225" s="483">
        <v>104.86</v>
      </c>
    </row>
    <row r="4226" spans="1:5" ht="30">
      <c r="A4226" s="494">
        <v>72132</v>
      </c>
      <c r="B4226" s="485" t="s">
        <v>18319</v>
      </c>
      <c r="C4226" s="484" t="s">
        <v>256</v>
      </c>
      <c r="D4226" s="486">
        <v>54.04</v>
      </c>
      <c r="E4226" s="486">
        <v>54.04</v>
      </c>
    </row>
    <row r="4227" spans="1:5" ht="30">
      <c r="A4227" s="495">
        <v>72133</v>
      </c>
      <c r="B4227" s="348" t="s">
        <v>18320</v>
      </c>
      <c r="C4227" s="349" t="s">
        <v>256</v>
      </c>
      <c r="D4227" s="483">
        <v>186.66</v>
      </c>
      <c r="E4227" s="483">
        <v>186.66</v>
      </c>
    </row>
    <row r="4228" spans="1:5" ht="45">
      <c r="A4228" s="494">
        <v>87471</v>
      </c>
      <c r="B4228" s="485" t="s">
        <v>18321</v>
      </c>
      <c r="C4228" s="484" t="s">
        <v>256</v>
      </c>
      <c r="D4228" s="486">
        <v>34.229999999999997</v>
      </c>
      <c r="E4228" s="486">
        <v>34.229999999999997</v>
      </c>
    </row>
    <row r="4229" spans="1:5" ht="45">
      <c r="A4229" s="495">
        <v>87472</v>
      </c>
      <c r="B4229" s="348" t="s">
        <v>18322</v>
      </c>
      <c r="C4229" s="349" t="s">
        <v>256</v>
      </c>
      <c r="D4229" s="483">
        <v>35.04</v>
      </c>
      <c r="E4229" s="483">
        <v>35.04</v>
      </c>
    </row>
    <row r="4230" spans="1:5" ht="45">
      <c r="A4230" s="494">
        <v>87473</v>
      </c>
      <c r="B4230" s="485" t="s">
        <v>18323</v>
      </c>
      <c r="C4230" s="484" t="s">
        <v>256</v>
      </c>
      <c r="D4230" s="486">
        <v>47.48</v>
      </c>
      <c r="E4230" s="486">
        <v>47.48</v>
      </c>
    </row>
    <row r="4231" spans="1:5" ht="45">
      <c r="A4231" s="495">
        <v>87474</v>
      </c>
      <c r="B4231" s="348" t="s">
        <v>18324</v>
      </c>
      <c r="C4231" s="349" t="s">
        <v>256</v>
      </c>
      <c r="D4231" s="483">
        <v>48.39</v>
      </c>
      <c r="E4231" s="483">
        <v>48.39</v>
      </c>
    </row>
    <row r="4232" spans="1:5" ht="45">
      <c r="A4232" s="494">
        <v>87475</v>
      </c>
      <c r="B4232" s="485" t="s">
        <v>18325</v>
      </c>
      <c r="C4232" s="484" t="s">
        <v>256</v>
      </c>
      <c r="D4232" s="486">
        <v>55.72</v>
      </c>
      <c r="E4232" s="486">
        <v>55.72</v>
      </c>
    </row>
    <row r="4233" spans="1:5" ht="45">
      <c r="A4233" s="495">
        <v>87476</v>
      </c>
      <c r="B4233" s="348" t="s">
        <v>18326</v>
      </c>
      <c r="C4233" s="349" t="s">
        <v>256</v>
      </c>
      <c r="D4233" s="483">
        <v>56.78</v>
      </c>
      <c r="E4233" s="483">
        <v>56.78</v>
      </c>
    </row>
    <row r="4234" spans="1:5" ht="45">
      <c r="A4234" s="494">
        <v>87477</v>
      </c>
      <c r="B4234" s="485" t="s">
        <v>18327</v>
      </c>
      <c r="C4234" s="484" t="s">
        <v>256</v>
      </c>
      <c r="D4234" s="486">
        <v>30.87</v>
      </c>
      <c r="E4234" s="486">
        <v>30.87</v>
      </c>
    </row>
    <row r="4235" spans="1:5" ht="45">
      <c r="A4235" s="495">
        <v>87478</v>
      </c>
      <c r="B4235" s="348" t="s">
        <v>18328</v>
      </c>
      <c r="C4235" s="349" t="s">
        <v>256</v>
      </c>
      <c r="D4235" s="483">
        <v>31.68</v>
      </c>
      <c r="E4235" s="483">
        <v>31.68</v>
      </c>
    </row>
    <row r="4236" spans="1:5" ht="45">
      <c r="A4236" s="494">
        <v>87479</v>
      </c>
      <c r="B4236" s="485" t="s">
        <v>18329</v>
      </c>
      <c r="C4236" s="484" t="s">
        <v>256</v>
      </c>
      <c r="D4236" s="486">
        <v>43.65</v>
      </c>
      <c r="E4236" s="486">
        <v>43.65</v>
      </c>
    </row>
    <row r="4237" spans="1:5" ht="45">
      <c r="A4237" s="495">
        <v>87480</v>
      </c>
      <c r="B4237" s="348" t="s">
        <v>18330</v>
      </c>
      <c r="C4237" s="349" t="s">
        <v>256</v>
      </c>
      <c r="D4237" s="483">
        <v>44.56</v>
      </c>
      <c r="E4237" s="483">
        <v>44.56</v>
      </c>
    </row>
    <row r="4238" spans="1:5" ht="45">
      <c r="A4238" s="494">
        <v>87481</v>
      </c>
      <c r="B4238" s="485" t="s">
        <v>18331</v>
      </c>
      <c r="C4238" s="484" t="s">
        <v>256</v>
      </c>
      <c r="D4238" s="486">
        <v>51.9</v>
      </c>
      <c r="E4238" s="486">
        <v>51.9</v>
      </c>
    </row>
    <row r="4239" spans="1:5" ht="45">
      <c r="A4239" s="495">
        <v>87482</v>
      </c>
      <c r="B4239" s="348" t="s">
        <v>18332</v>
      </c>
      <c r="C4239" s="349" t="s">
        <v>256</v>
      </c>
      <c r="D4239" s="483">
        <v>52.96</v>
      </c>
      <c r="E4239" s="483">
        <v>52.96</v>
      </c>
    </row>
    <row r="4240" spans="1:5" ht="45">
      <c r="A4240" s="494">
        <v>87483</v>
      </c>
      <c r="B4240" s="485" t="s">
        <v>18333</v>
      </c>
      <c r="C4240" s="484" t="s">
        <v>256</v>
      </c>
      <c r="D4240" s="486">
        <v>39.590000000000003</v>
      </c>
      <c r="E4240" s="486">
        <v>39.590000000000003</v>
      </c>
    </row>
    <row r="4241" spans="1:5" ht="45">
      <c r="A4241" s="495">
        <v>87484</v>
      </c>
      <c r="B4241" s="348" t="s">
        <v>18334</v>
      </c>
      <c r="C4241" s="349" t="s">
        <v>256</v>
      </c>
      <c r="D4241" s="483">
        <v>40.4</v>
      </c>
      <c r="E4241" s="483">
        <v>40.4</v>
      </c>
    </row>
    <row r="4242" spans="1:5" ht="45">
      <c r="A4242" s="494">
        <v>87485</v>
      </c>
      <c r="B4242" s="485" t="s">
        <v>18335</v>
      </c>
      <c r="C4242" s="484" t="s">
        <v>256</v>
      </c>
      <c r="D4242" s="486">
        <v>52.92</v>
      </c>
      <c r="E4242" s="486">
        <v>52.92</v>
      </c>
    </row>
    <row r="4243" spans="1:5" ht="45">
      <c r="A4243" s="495">
        <v>87487</v>
      </c>
      <c r="B4243" s="348" t="s">
        <v>18336</v>
      </c>
      <c r="C4243" s="349" t="s">
        <v>256</v>
      </c>
      <c r="D4243" s="483">
        <v>60.98</v>
      </c>
      <c r="E4243" s="483">
        <v>60.98</v>
      </c>
    </row>
    <row r="4244" spans="1:5" ht="45">
      <c r="A4244" s="494">
        <v>87488</v>
      </c>
      <c r="B4244" s="485" t="s">
        <v>18337</v>
      </c>
      <c r="C4244" s="484" t="s">
        <v>256</v>
      </c>
      <c r="D4244" s="486">
        <v>62.04</v>
      </c>
      <c r="E4244" s="486">
        <v>62.04</v>
      </c>
    </row>
    <row r="4245" spans="1:5" ht="45">
      <c r="A4245" s="495">
        <v>87489</v>
      </c>
      <c r="B4245" s="348" t="s">
        <v>18338</v>
      </c>
      <c r="C4245" s="349" t="s">
        <v>256</v>
      </c>
      <c r="D4245" s="483">
        <v>33.92</v>
      </c>
      <c r="E4245" s="483">
        <v>33.92</v>
      </c>
    </row>
    <row r="4246" spans="1:5" ht="45">
      <c r="A4246" s="494">
        <v>87490</v>
      </c>
      <c r="B4246" s="485" t="s">
        <v>18339</v>
      </c>
      <c r="C4246" s="484" t="s">
        <v>256</v>
      </c>
      <c r="D4246" s="486">
        <v>34.729999999999997</v>
      </c>
      <c r="E4246" s="486">
        <v>34.729999999999997</v>
      </c>
    </row>
    <row r="4247" spans="1:5" ht="45">
      <c r="A4247" s="495">
        <v>87491</v>
      </c>
      <c r="B4247" s="348" t="s">
        <v>18340</v>
      </c>
      <c r="C4247" s="349" t="s">
        <v>256</v>
      </c>
      <c r="D4247" s="483">
        <v>46.81</v>
      </c>
      <c r="E4247" s="483">
        <v>46.81</v>
      </c>
    </row>
    <row r="4248" spans="1:5" ht="45">
      <c r="A4248" s="494">
        <v>87492</v>
      </c>
      <c r="B4248" s="485" t="s">
        <v>18341</v>
      </c>
      <c r="C4248" s="484" t="s">
        <v>256</v>
      </c>
      <c r="D4248" s="486">
        <v>47.72</v>
      </c>
      <c r="E4248" s="486">
        <v>47.72</v>
      </c>
    </row>
    <row r="4249" spans="1:5" ht="45">
      <c r="A4249" s="495">
        <v>87493</v>
      </c>
      <c r="B4249" s="348" t="s">
        <v>18342</v>
      </c>
      <c r="C4249" s="349" t="s">
        <v>256</v>
      </c>
      <c r="D4249" s="483">
        <v>55.15</v>
      </c>
      <c r="E4249" s="483">
        <v>55.15</v>
      </c>
    </row>
    <row r="4250" spans="1:5" ht="45">
      <c r="A4250" s="494">
        <v>87494</v>
      </c>
      <c r="B4250" s="485" t="s">
        <v>18343</v>
      </c>
      <c r="C4250" s="484" t="s">
        <v>256</v>
      </c>
      <c r="D4250" s="486">
        <v>56.21</v>
      </c>
      <c r="E4250" s="486">
        <v>56.21</v>
      </c>
    </row>
    <row r="4251" spans="1:5" ht="45">
      <c r="A4251" s="495">
        <v>87495</v>
      </c>
      <c r="B4251" s="348" t="s">
        <v>18344</v>
      </c>
      <c r="C4251" s="349" t="s">
        <v>256</v>
      </c>
      <c r="D4251" s="483">
        <v>59.95</v>
      </c>
      <c r="E4251" s="483">
        <v>59.95</v>
      </c>
    </row>
    <row r="4252" spans="1:5" ht="45">
      <c r="A4252" s="494">
        <v>87496</v>
      </c>
      <c r="B4252" s="485" t="s">
        <v>18345</v>
      </c>
      <c r="C4252" s="484" t="s">
        <v>256</v>
      </c>
      <c r="D4252" s="486">
        <v>60.7</v>
      </c>
      <c r="E4252" s="486">
        <v>60.7</v>
      </c>
    </row>
    <row r="4253" spans="1:5" ht="45">
      <c r="A4253" s="495">
        <v>87497</v>
      </c>
      <c r="B4253" s="348" t="s">
        <v>18346</v>
      </c>
      <c r="C4253" s="349" t="s">
        <v>256</v>
      </c>
      <c r="D4253" s="483">
        <v>57.47</v>
      </c>
      <c r="E4253" s="483">
        <v>57.47</v>
      </c>
    </row>
    <row r="4254" spans="1:5" ht="45">
      <c r="A4254" s="494">
        <v>87498</v>
      </c>
      <c r="B4254" s="485" t="s">
        <v>18347</v>
      </c>
      <c r="C4254" s="484" t="s">
        <v>256</v>
      </c>
      <c r="D4254" s="486">
        <v>58.43</v>
      </c>
      <c r="E4254" s="486">
        <v>58.43</v>
      </c>
    </row>
    <row r="4255" spans="1:5" ht="45">
      <c r="A4255" s="495">
        <v>87499</v>
      </c>
      <c r="B4255" s="348" t="s">
        <v>18348</v>
      </c>
      <c r="C4255" s="349" t="s">
        <v>256</v>
      </c>
      <c r="D4255" s="483">
        <v>85.59</v>
      </c>
      <c r="E4255" s="483">
        <v>85.59</v>
      </c>
    </row>
    <row r="4256" spans="1:5" ht="45">
      <c r="A4256" s="494">
        <v>87500</v>
      </c>
      <c r="B4256" s="485" t="s">
        <v>18349</v>
      </c>
      <c r="C4256" s="484" t="s">
        <v>256</v>
      </c>
      <c r="D4256" s="486">
        <v>86.41</v>
      </c>
      <c r="E4256" s="486">
        <v>86.41</v>
      </c>
    </row>
    <row r="4257" spans="1:5" ht="45">
      <c r="A4257" s="495">
        <v>87501</v>
      </c>
      <c r="B4257" s="348" t="s">
        <v>18350</v>
      </c>
      <c r="C4257" s="349" t="s">
        <v>256</v>
      </c>
      <c r="D4257" s="483">
        <v>112.22</v>
      </c>
      <c r="E4257" s="483">
        <v>112.22</v>
      </c>
    </row>
    <row r="4258" spans="1:5" ht="45">
      <c r="A4258" s="494">
        <v>87502</v>
      </c>
      <c r="B4258" s="485" t="s">
        <v>18351</v>
      </c>
      <c r="C4258" s="484" t="s">
        <v>256</v>
      </c>
      <c r="D4258" s="486">
        <v>113.26</v>
      </c>
      <c r="E4258" s="486">
        <v>113.26</v>
      </c>
    </row>
    <row r="4259" spans="1:5" ht="45">
      <c r="A4259" s="495">
        <v>87503</v>
      </c>
      <c r="B4259" s="348" t="s">
        <v>18352</v>
      </c>
      <c r="C4259" s="349" t="s">
        <v>256</v>
      </c>
      <c r="D4259" s="483">
        <v>51.25</v>
      </c>
      <c r="E4259" s="483">
        <v>51.25</v>
      </c>
    </row>
    <row r="4260" spans="1:5" ht="45">
      <c r="A4260" s="494">
        <v>87504</v>
      </c>
      <c r="B4260" s="485" t="s">
        <v>18353</v>
      </c>
      <c r="C4260" s="484" t="s">
        <v>256</v>
      </c>
      <c r="D4260" s="486">
        <v>52</v>
      </c>
      <c r="E4260" s="486">
        <v>52</v>
      </c>
    </row>
    <row r="4261" spans="1:5" ht="45">
      <c r="A4261" s="495">
        <v>87505</v>
      </c>
      <c r="B4261" s="348" t="s">
        <v>18354</v>
      </c>
      <c r="C4261" s="349" t="s">
        <v>256</v>
      </c>
      <c r="D4261" s="483">
        <v>48.8</v>
      </c>
      <c r="E4261" s="483">
        <v>48.8</v>
      </c>
    </row>
    <row r="4262" spans="1:5" ht="45">
      <c r="A4262" s="494">
        <v>87506</v>
      </c>
      <c r="B4262" s="485" t="s">
        <v>18355</v>
      </c>
      <c r="C4262" s="484" t="s">
        <v>256</v>
      </c>
      <c r="D4262" s="486">
        <v>49.76</v>
      </c>
      <c r="E4262" s="486">
        <v>49.76</v>
      </c>
    </row>
    <row r="4263" spans="1:5" ht="45">
      <c r="A4263" s="495">
        <v>87507</v>
      </c>
      <c r="B4263" s="348" t="s">
        <v>18356</v>
      </c>
      <c r="C4263" s="349" t="s">
        <v>256</v>
      </c>
      <c r="D4263" s="483">
        <v>76.91</v>
      </c>
      <c r="E4263" s="483">
        <v>76.91</v>
      </c>
    </row>
    <row r="4264" spans="1:5" ht="45">
      <c r="A4264" s="494">
        <v>87508</v>
      </c>
      <c r="B4264" s="485" t="s">
        <v>18357</v>
      </c>
      <c r="C4264" s="484" t="s">
        <v>256</v>
      </c>
      <c r="D4264" s="486">
        <v>77.73</v>
      </c>
      <c r="E4264" s="486">
        <v>77.73</v>
      </c>
    </row>
    <row r="4265" spans="1:5" ht="45">
      <c r="A4265" s="495">
        <v>87509</v>
      </c>
      <c r="B4265" s="348" t="s">
        <v>18358</v>
      </c>
      <c r="C4265" s="349" t="s">
        <v>256</v>
      </c>
      <c r="D4265" s="483">
        <v>102.35</v>
      </c>
      <c r="E4265" s="483">
        <v>102.35</v>
      </c>
    </row>
    <row r="4266" spans="1:5" ht="45">
      <c r="A4266" s="494">
        <v>87510</v>
      </c>
      <c r="B4266" s="485" t="s">
        <v>18359</v>
      </c>
      <c r="C4266" s="484" t="s">
        <v>256</v>
      </c>
      <c r="D4266" s="486">
        <v>103.39</v>
      </c>
      <c r="E4266" s="486">
        <v>103.39</v>
      </c>
    </row>
    <row r="4267" spans="1:5" ht="45">
      <c r="A4267" s="495">
        <v>87511</v>
      </c>
      <c r="B4267" s="348" t="s">
        <v>18360</v>
      </c>
      <c r="C4267" s="349" t="s">
        <v>256</v>
      </c>
      <c r="D4267" s="483">
        <v>67.47</v>
      </c>
      <c r="E4267" s="483">
        <v>67.47</v>
      </c>
    </row>
    <row r="4268" spans="1:5" ht="45">
      <c r="A4268" s="494">
        <v>87512</v>
      </c>
      <c r="B4268" s="485" t="s">
        <v>18361</v>
      </c>
      <c r="C4268" s="484" t="s">
        <v>256</v>
      </c>
      <c r="D4268" s="486">
        <v>68.22</v>
      </c>
      <c r="E4268" s="486">
        <v>68.22</v>
      </c>
    </row>
    <row r="4269" spans="1:5" ht="45">
      <c r="A4269" s="495">
        <v>87513</v>
      </c>
      <c r="B4269" s="348" t="s">
        <v>18362</v>
      </c>
      <c r="C4269" s="349" t="s">
        <v>256</v>
      </c>
      <c r="D4269" s="483">
        <v>65.290000000000006</v>
      </c>
      <c r="E4269" s="483">
        <v>65.290000000000006</v>
      </c>
    </row>
    <row r="4270" spans="1:5" ht="45">
      <c r="A4270" s="494">
        <v>87514</v>
      </c>
      <c r="B4270" s="485" t="s">
        <v>18363</v>
      </c>
      <c r="C4270" s="484" t="s">
        <v>256</v>
      </c>
      <c r="D4270" s="486">
        <v>66.25</v>
      </c>
      <c r="E4270" s="486">
        <v>66.25</v>
      </c>
    </row>
    <row r="4271" spans="1:5" ht="45">
      <c r="A4271" s="495">
        <v>87515</v>
      </c>
      <c r="B4271" s="348" t="s">
        <v>18364</v>
      </c>
      <c r="C4271" s="349" t="s">
        <v>256</v>
      </c>
      <c r="D4271" s="483">
        <v>93.1</v>
      </c>
      <c r="E4271" s="483">
        <v>93.1</v>
      </c>
    </row>
    <row r="4272" spans="1:5" ht="45">
      <c r="A4272" s="494">
        <v>87516</v>
      </c>
      <c r="B4272" s="485" t="s">
        <v>18365</v>
      </c>
      <c r="C4272" s="484" t="s">
        <v>256</v>
      </c>
      <c r="D4272" s="486">
        <v>93.92</v>
      </c>
      <c r="E4272" s="486">
        <v>93.92</v>
      </c>
    </row>
    <row r="4273" spans="1:5" ht="45">
      <c r="A4273" s="495">
        <v>87517</v>
      </c>
      <c r="B4273" s="348" t="s">
        <v>18366</v>
      </c>
      <c r="C4273" s="349" t="s">
        <v>256</v>
      </c>
      <c r="D4273" s="483">
        <v>120.05</v>
      </c>
      <c r="E4273" s="483">
        <v>120.05</v>
      </c>
    </row>
    <row r="4274" spans="1:5" ht="45">
      <c r="A4274" s="494">
        <v>87518</v>
      </c>
      <c r="B4274" s="485" t="s">
        <v>18367</v>
      </c>
      <c r="C4274" s="484" t="s">
        <v>256</v>
      </c>
      <c r="D4274" s="486">
        <v>121.09</v>
      </c>
      <c r="E4274" s="486">
        <v>121.09</v>
      </c>
    </row>
    <row r="4275" spans="1:5" ht="45">
      <c r="A4275" s="495">
        <v>87519</v>
      </c>
      <c r="B4275" s="348" t="s">
        <v>18368</v>
      </c>
      <c r="C4275" s="349" t="s">
        <v>256</v>
      </c>
      <c r="D4275" s="483">
        <v>55.98</v>
      </c>
      <c r="E4275" s="483">
        <v>55.98</v>
      </c>
    </row>
    <row r="4276" spans="1:5" ht="45">
      <c r="A4276" s="494">
        <v>87520</v>
      </c>
      <c r="B4276" s="485" t="s">
        <v>18369</v>
      </c>
      <c r="C4276" s="484" t="s">
        <v>256</v>
      </c>
      <c r="D4276" s="486">
        <v>56.73</v>
      </c>
      <c r="E4276" s="486">
        <v>56.73</v>
      </c>
    </row>
    <row r="4277" spans="1:5" ht="45">
      <c r="A4277" s="495">
        <v>87521</v>
      </c>
      <c r="B4277" s="348" t="s">
        <v>18370</v>
      </c>
      <c r="C4277" s="349" t="s">
        <v>256</v>
      </c>
      <c r="D4277" s="483">
        <v>53.58</v>
      </c>
      <c r="E4277" s="483">
        <v>53.58</v>
      </c>
    </row>
    <row r="4278" spans="1:5" ht="45">
      <c r="A4278" s="494">
        <v>87522</v>
      </c>
      <c r="B4278" s="485" t="s">
        <v>18371</v>
      </c>
      <c r="C4278" s="484" t="s">
        <v>256</v>
      </c>
      <c r="D4278" s="486">
        <v>54.54</v>
      </c>
      <c r="E4278" s="486">
        <v>54.54</v>
      </c>
    </row>
    <row r="4279" spans="1:5" ht="45">
      <c r="A4279" s="495">
        <v>87523</v>
      </c>
      <c r="B4279" s="348" t="s">
        <v>18372</v>
      </c>
      <c r="C4279" s="349" t="s">
        <v>256</v>
      </c>
      <c r="D4279" s="483">
        <v>81.37</v>
      </c>
      <c r="E4279" s="483">
        <v>81.37</v>
      </c>
    </row>
    <row r="4280" spans="1:5" ht="45">
      <c r="A4280" s="494">
        <v>87524</v>
      </c>
      <c r="B4280" s="485" t="s">
        <v>18373</v>
      </c>
      <c r="C4280" s="484" t="s">
        <v>256</v>
      </c>
      <c r="D4280" s="486">
        <v>82.19</v>
      </c>
      <c r="E4280" s="486">
        <v>82.19</v>
      </c>
    </row>
    <row r="4281" spans="1:5" ht="45">
      <c r="A4281" s="495">
        <v>87525</v>
      </c>
      <c r="B4281" s="348" t="s">
        <v>18374</v>
      </c>
      <c r="C4281" s="349" t="s">
        <v>256</v>
      </c>
      <c r="D4281" s="483">
        <v>107.15</v>
      </c>
      <c r="E4281" s="483">
        <v>107.15</v>
      </c>
    </row>
    <row r="4282" spans="1:5" ht="45">
      <c r="A4282" s="494">
        <v>87526</v>
      </c>
      <c r="B4282" s="485" t="s">
        <v>18375</v>
      </c>
      <c r="C4282" s="484" t="s">
        <v>256</v>
      </c>
      <c r="D4282" s="486">
        <v>108.19</v>
      </c>
      <c r="E4282" s="486">
        <v>108.19</v>
      </c>
    </row>
    <row r="4283" spans="1:5" ht="45">
      <c r="A4283" s="495">
        <v>89043</v>
      </c>
      <c r="B4283" s="348" t="s">
        <v>18376</v>
      </c>
      <c r="C4283" s="349" t="s">
        <v>256</v>
      </c>
      <c r="D4283" s="483">
        <v>57.07</v>
      </c>
      <c r="E4283" s="483">
        <v>57.07</v>
      </c>
    </row>
    <row r="4284" spans="1:5" ht="45">
      <c r="A4284" s="494">
        <v>89168</v>
      </c>
      <c r="B4284" s="485" t="s">
        <v>18377</v>
      </c>
      <c r="C4284" s="484" t="s">
        <v>256</v>
      </c>
      <c r="D4284" s="486">
        <v>58.77</v>
      </c>
      <c r="E4284" s="486">
        <v>58.77</v>
      </c>
    </row>
    <row r="4285" spans="1:5" ht="45">
      <c r="A4285" s="495">
        <v>89977</v>
      </c>
      <c r="B4285" s="348" t="s">
        <v>18378</v>
      </c>
      <c r="C4285" s="349" t="s">
        <v>256</v>
      </c>
      <c r="D4285" s="483">
        <v>110.53</v>
      </c>
      <c r="E4285" s="483">
        <v>110.53</v>
      </c>
    </row>
    <row r="4286" spans="1:5" ht="45">
      <c r="A4286" s="494">
        <v>90112</v>
      </c>
      <c r="B4286" s="485" t="s">
        <v>18379</v>
      </c>
      <c r="C4286" s="484" t="s">
        <v>256</v>
      </c>
      <c r="D4286" s="486">
        <v>53.83</v>
      </c>
      <c r="E4286" s="486">
        <v>53.83</v>
      </c>
    </row>
    <row r="4287" spans="1:5" ht="30">
      <c r="A4287" s="495">
        <v>95474</v>
      </c>
      <c r="B4287" s="348" t="s">
        <v>18380</v>
      </c>
      <c r="C4287" s="349" t="s">
        <v>255</v>
      </c>
      <c r="D4287" s="483">
        <v>544.77</v>
      </c>
      <c r="E4287" s="483">
        <v>544.77</v>
      </c>
    </row>
    <row r="4288" spans="1:5" ht="45">
      <c r="A4288" s="494">
        <v>89282</v>
      </c>
      <c r="B4288" s="485" t="s">
        <v>18381</v>
      </c>
      <c r="C4288" s="484" t="s">
        <v>256</v>
      </c>
      <c r="D4288" s="486">
        <v>43.35</v>
      </c>
      <c r="E4288" s="486">
        <v>43.35</v>
      </c>
    </row>
    <row r="4289" spans="1:5" ht="45">
      <c r="A4289" s="495">
        <v>89283</v>
      </c>
      <c r="B4289" s="348" t="s">
        <v>18382</v>
      </c>
      <c r="C4289" s="349" t="s">
        <v>256</v>
      </c>
      <c r="D4289" s="483">
        <v>44.98</v>
      </c>
      <c r="E4289" s="483">
        <v>44.98</v>
      </c>
    </row>
    <row r="4290" spans="1:5" ht="45">
      <c r="A4290" s="494">
        <v>89284</v>
      </c>
      <c r="B4290" s="485" t="s">
        <v>18383</v>
      </c>
      <c r="C4290" s="484" t="s">
        <v>256</v>
      </c>
      <c r="D4290" s="486">
        <v>39.590000000000003</v>
      </c>
      <c r="E4290" s="486">
        <v>39.590000000000003</v>
      </c>
    </row>
    <row r="4291" spans="1:5" ht="45">
      <c r="A4291" s="495">
        <v>89285</v>
      </c>
      <c r="B4291" s="348" t="s">
        <v>18384</v>
      </c>
      <c r="C4291" s="349" t="s">
        <v>256</v>
      </c>
      <c r="D4291" s="483">
        <v>41.22</v>
      </c>
      <c r="E4291" s="483">
        <v>41.22</v>
      </c>
    </row>
    <row r="4292" spans="1:5" ht="45">
      <c r="A4292" s="494">
        <v>89286</v>
      </c>
      <c r="B4292" s="485" t="s">
        <v>18385</v>
      </c>
      <c r="C4292" s="484" t="s">
        <v>256</v>
      </c>
      <c r="D4292" s="486">
        <v>47.11</v>
      </c>
      <c r="E4292" s="486">
        <v>47.11</v>
      </c>
    </row>
    <row r="4293" spans="1:5" ht="45">
      <c r="A4293" s="495">
        <v>89287</v>
      </c>
      <c r="B4293" s="348" t="s">
        <v>18386</v>
      </c>
      <c r="C4293" s="349" t="s">
        <v>256</v>
      </c>
      <c r="D4293" s="483">
        <v>48.74</v>
      </c>
      <c r="E4293" s="483">
        <v>48.74</v>
      </c>
    </row>
    <row r="4294" spans="1:5" ht="45">
      <c r="A4294" s="494">
        <v>89288</v>
      </c>
      <c r="B4294" s="485" t="s">
        <v>18387</v>
      </c>
      <c r="C4294" s="484" t="s">
        <v>256</v>
      </c>
      <c r="D4294" s="486">
        <v>41.83</v>
      </c>
      <c r="E4294" s="486">
        <v>41.83</v>
      </c>
    </row>
    <row r="4295" spans="1:5" ht="45">
      <c r="A4295" s="495">
        <v>89289</v>
      </c>
      <c r="B4295" s="348" t="s">
        <v>18388</v>
      </c>
      <c r="C4295" s="349" t="s">
        <v>256</v>
      </c>
      <c r="D4295" s="483">
        <v>43.46</v>
      </c>
      <c r="E4295" s="483">
        <v>43.46</v>
      </c>
    </row>
    <row r="4296" spans="1:5" ht="45">
      <c r="A4296" s="494">
        <v>89290</v>
      </c>
      <c r="B4296" s="485" t="s">
        <v>18389</v>
      </c>
      <c r="C4296" s="484" t="s">
        <v>256</v>
      </c>
      <c r="D4296" s="486">
        <v>50.93</v>
      </c>
      <c r="E4296" s="486">
        <v>50.93</v>
      </c>
    </row>
    <row r="4297" spans="1:5" ht="45">
      <c r="A4297" s="495">
        <v>89291</v>
      </c>
      <c r="B4297" s="348" t="s">
        <v>18390</v>
      </c>
      <c r="C4297" s="349" t="s">
        <v>256</v>
      </c>
      <c r="D4297" s="483">
        <v>52.73</v>
      </c>
      <c r="E4297" s="483">
        <v>52.73</v>
      </c>
    </row>
    <row r="4298" spans="1:5" ht="45">
      <c r="A4298" s="494">
        <v>89292</v>
      </c>
      <c r="B4298" s="485" t="s">
        <v>18391</v>
      </c>
      <c r="C4298" s="484" t="s">
        <v>256</v>
      </c>
      <c r="D4298" s="486">
        <v>47.21</v>
      </c>
      <c r="E4298" s="486">
        <v>47.21</v>
      </c>
    </row>
    <row r="4299" spans="1:5" ht="45">
      <c r="A4299" s="495">
        <v>89293</v>
      </c>
      <c r="B4299" s="348" t="s">
        <v>18392</v>
      </c>
      <c r="C4299" s="349" t="s">
        <v>256</v>
      </c>
      <c r="D4299" s="483">
        <v>49.01</v>
      </c>
      <c r="E4299" s="483">
        <v>49.01</v>
      </c>
    </row>
    <row r="4300" spans="1:5" ht="45">
      <c r="A4300" s="494">
        <v>89294</v>
      </c>
      <c r="B4300" s="485" t="s">
        <v>18393</v>
      </c>
      <c r="C4300" s="484" t="s">
        <v>256</v>
      </c>
      <c r="D4300" s="486">
        <v>56.09</v>
      </c>
      <c r="E4300" s="486">
        <v>56.09</v>
      </c>
    </row>
    <row r="4301" spans="1:5" ht="45">
      <c r="A4301" s="495">
        <v>89295</v>
      </c>
      <c r="B4301" s="348" t="s">
        <v>18394</v>
      </c>
      <c r="C4301" s="349" t="s">
        <v>256</v>
      </c>
      <c r="D4301" s="483">
        <v>57.89</v>
      </c>
      <c r="E4301" s="483">
        <v>57.89</v>
      </c>
    </row>
    <row r="4302" spans="1:5" ht="45">
      <c r="A4302" s="494">
        <v>89296</v>
      </c>
      <c r="B4302" s="485" t="s">
        <v>18395</v>
      </c>
      <c r="C4302" s="484" t="s">
        <v>256</v>
      </c>
      <c r="D4302" s="486">
        <v>50.18</v>
      </c>
      <c r="E4302" s="486">
        <v>50.18</v>
      </c>
    </row>
    <row r="4303" spans="1:5" ht="45">
      <c r="A4303" s="495">
        <v>89297</v>
      </c>
      <c r="B4303" s="348" t="s">
        <v>18396</v>
      </c>
      <c r="C4303" s="349" t="s">
        <v>256</v>
      </c>
      <c r="D4303" s="483">
        <v>51.98</v>
      </c>
      <c r="E4303" s="483">
        <v>51.98</v>
      </c>
    </row>
    <row r="4304" spans="1:5" ht="45">
      <c r="A4304" s="494">
        <v>89298</v>
      </c>
      <c r="B4304" s="485" t="s">
        <v>18397</v>
      </c>
      <c r="C4304" s="484" t="s">
        <v>256</v>
      </c>
      <c r="D4304" s="486">
        <v>52.17</v>
      </c>
      <c r="E4304" s="486">
        <v>52.17</v>
      </c>
    </row>
    <row r="4305" spans="1:5" ht="45">
      <c r="A4305" s="495">
        <v>89299</v>
      </c>
      <c r="B4305" s="348" t="s">
        <v>18398</v>
      </c>
      <c r="C4305" s="349" t="s">
        <v>256</v>
      </c>
      <c r="D4305" s="483">
        <v>54.48</v>
      </c>
      <c r="E4305" s="483">
        <v>54.48</v>
      </c>
    </row>
    <row r="4306" spans="1:5" ht="45">
      <c r="A4306" s="494">
        <v>89300</v>
      </c>
      <c r="B4306" s="485" t="s">
        <v>18399</v>
      </c>
      <c r="C4306" s="484" t="s">
        <v>256</v>
      </c>
      <c r="D4306" s="486">
        <v>48.41</v>
      </c>
      <c r="E4306" s="486">
        <v>48.41</v>
      </c>
    </row>
    <row r="4307" spans="1:5" ht="45">
      <c r="A4307" s="495">
        <v>89301</v>
      </c>
      <c r="B4307" s="348" t="s">
        <v>18400</v>
      </c>
      <c r="C4307" s="349" t="s">
        <v>256</v>
      </c>
      <c r="D4307" s="483">
        <v>50.72</v>
      </c>
      <c r="E4307" s="483">
        <v>50.72</v>
      </c>
    </row>
    <row r="4308" spans="1:5" ht="45">
      <c r="A4308" s="494">
        <v>89302</v>
      </c>
      <c r="B4308" s="485" t="s">
        <v>18401</v>
      </c>
      <c r="C4308" s="484" t="s">
        <v>256</v>
      </c>
      <c r="D4308" s="486">
        <v>58.6</v>
      </c>
      <c r="E4308" s="486">
        <v>58.6</v>
      </c>
    </row>
    <row r="4309" spans="1:5" ht="45">
      <c r="A4309" s="495">
        <v>89303</v>
      </c>
      <c r="B4309" s="348" t="s">
        <v>18402</v>
      </c>
      <c r="C4309" s="349" t="s">
        <v>256</v>
      </c>
      <c r="D4309" s="483">
        <v>60.91</v>
      </c>
      <c r="E4309" s="483">
        <v>60.91</v>
      </c>
    </row>
    <row r="4310" spans="1:5" ht="45">
      <c r="A4310" s="494">
        <v>89304</v>
      </c>
      <c r="B4310" s="485" t="s">
        <v>18403</v>
      </c>
      <c r="C4310" s="484" t="s">
        <v>256</v>
      </c>
      <c r="D4310" s="486">
        <v>52.3</v>
      </c>
      <c r="E4310" s="486">
        <v>52.3</v>
      </c>
    </row>
    <row r="4311" spans="1:5" ht="45">
      <c r="A4311" s="495">
        <v>89305</v>
      </c>
      <c r="B4311" s="348" t="s">
        <v>18404</v>
      </c>
      <c r="C4311" s="349" t="s">
        <v>256</v>
      </c>
      <c r="D4311" s="483">
        <v>54.61</v>
      </c>
      <c r="E4311" s="483">
        <v>54.61</v>
      </c>
    </row>
    <row r="4312" spans="1:5" ht="45">
      <c r="A4312" s="494">
        <v>89306</v>
      </c>
      <c r="B4312" s="485" t="s">
        <v>18405</v>
      </c>
      <c r="C4312" s="484" t="s">
        <v>256</v>
      </c>
      <c r="D4312" s="486">
        <v>59.92</v>
      </c>
      <c r="E4312" s="486">
        <v>59.92</v>
      </c>
    </row>
    <row r="4313" spans="1:5" ht="45">
      <c r="A4313" s="495">
        <v>89307</v>
      </c>
      <c r="B4313" s="348" t="s">
        <v>18406</v>
      </c>
      <c r="C4313" s="349" t="s">
        <v>256</v>
      </c>
      <c r="D4313" s="483">
        <v>62.48</v>
      </c>
      <c r="E4313" s="483">
        <v>62.48</v>
      </c>
    </row>
    <row r="4314" spans="1:5" ht="45">
      <c r="A4314" s="494">
        <v>89308</v>
      </c>
      <c r="B4314" s="485" t="s">
        <v>18407</v>
      </c>
      <c r="C4314" s="484" t="s">
        <v>256</v>
      </c>
      <c r="D4314" s="486">
        <v>56.2</v>
      </c>
      <c r="E4314" s="486">
        <v>56.2</v>
      </c>
    </row>
    <row r="4315" spans="1:5" ht="45">
      <c r="A4315" s="495">
        <v>89309</v>
      </c>
      <c r="B4315" s="348" t="s">
        <v>18408</v>
      </c>
      <c r="C4315" s="349" t="s">
        <v>256</v>
      </c>
      <c r="D4315" s="483">
        <v>58.76</v>
      </c>
      <c r="E4315" s="483">
        <v>58.76</v>
      </c>
    </row>
    <row r="4316" spans="1:5" ht="45">
      <c r="A4316" s="494">
        <v>89310</v>
      </c>
      <c r="B4316" s="485" t="s">
        <v>18409</v>
      </c>
      <c r="C4316" s="484" t="s">
        <v>256</v>
      </c>
      <c r="D4316" s="486">
        <v>67.72</v>
      </c>
      <c r="E4316" s="486">
        <v>67.72</v>
      </c>
    </row>
    <row r="4317" spans="1:5" ht="45">
      <c r="A4317" s="495">
        <v>89311</v>
      </c>
      <c r="B4317" s="348" t="s">
        <v>18410</v>
      </c>
      <c r="C4317" s="349" t="s">
        <v>256</v>
      </c>
      <c r="D4317" s="483">
        <v>70.28</v>
      </c>
      <c r="E4317" s="483">
        <v>70.28</v>
      </c>
    </row>
    <row r="4318" spans="1:5" ht="45">
      <c r="A4318" s="494">
        <v>89312</v>
      </c>
      <c r="B4318" s="485" t="s">
        <v>18411</v>
      </c>
      <c r="C4318" s="484" t="s">
        <v>256</v>
      </c>
      <c r="D4318" s="486">
        <v>60.83</v>
      </c>
      <c r="E4318" s="486">
        <v>60.83</v>
      </c>
    </row>
    <row r="4319" spans="1:5" ht="45">
      <c r="A4319" s="495">
        <v>89313</v>
      </c>
      <c r="B4319" s="348" t="s">
        <v>18412</v>
      </c>
      <c r="C4319" s="349" t="s">
        <v>256</v>
      </c>
      <c r="D4319" s="483">
        <v>63.39</v>
      </c>
      <c r="E4319" s="483">
        <v>63.39</v>
      </c>
    </row>
    <row r="4320" spans="1:5" ht="30">
      <c r="A4320" s="494">
        <v>95465</v>
      </c>
      <c r="B4320" s="485" t="s">
        <v>3629</v>
      </c>
      <c r="C4320" s="484" t="s">
        <v>256</v>
      </c>
      <c r="D4320" s="486">
        <v>110.84</v>
      </c>
      <c r="E4320" s="486">
        <v>110.84</v>
      </c>
    </row>
    <row r="4321" spans="1:5" ht="45">
      <c r="A4321" s="495">
        <v>87447</v>
      </c>
      <c r="B4321" s="348" t="s">
        <v>18413</v>
      </c>
      <c r="C4321" s="349" t="s">
        <v>256</v>
      </c>
      <c r="D4321" s="483">
        <v>47.14</v>
      </c>
      <c r="E4321" s="483">
        <v>47.14</v>
      </c>
    </row>
    <row r="4322" spans="1:5" ht="45">
      <c r="A4322" s="494">
        <v>87448</v>
      </c>
      <c r="B4322" s="485" t="s">
        <v>18414</v>
      </c>
      <c r="C4322" s="484" t="s">
        <v>256</v>
      </c>
      <c r="D4322" s="486">
        <v>47.47</v>
      </c>
      <c r="E4322" s="486">
        <v>47.47</v>
      </c>
    </row>
    <row r="4323" spans="1:5" ht="45">
      <c r="A4323" s="495">
        <v>87449</v>
      </c>
      <c r="B4323" s="348" t="s">
        <v>18415</v>
      </c>
      <c r="C4323" s="349" t="s">
        <v>256</v>
      </c>
      <c r="D4323" s="483">
        <v>59.8</v>
      </c>
      <c r="E4323" s="483">
        <v>59.8</v>
      </c>
    </row>
    <row r="4324" spans="1:5" ht="45">
      <c r="A4324" s="494">
        <v>87450</v>
      </c>
      <c r="B4324" s="485" t="s">
        <v>18416</v>
      </c>
      <c r="C4324" s="484" t="s">
        <v>256</v>
      </c>
      <c r="D4324" s="486">
        <v>60.59</v>
      </c>
      <c r="E4324" s="486">
        <v>60.59</v>
      </c>
    </row>
    <row r="4325" spans="1:5" ht="45">
      <c r="A4325" s="495">
        <v>87451</v>
      </c>
      <c r="B4325" s="348" t="s">
        <v>18417</v>
      </c>
      <c r="C4325" s="349" t="s">
        <v>256</v>
      </c>
      <c r="D4325" s="483">
        <v>72.92</v>
      </c>
      <c r="E4325" s="483">
        <v>72.92</v>
      </c>
    </row>
    <row r="4326" spans="1:5" ht="45">
      <c r="A4326" s="494">
        <v>87452</v>
      </c>
      <c r="B4326" s="485" t="s">
        <v>18418</v>
      </c>
      <c r="C4326" s="484" t="s">
        <v>256</v>
      </c>
      <c r="D4326" s="486">
        <v>73.34</v>
      </c>
      <c r="E4326" s="486">
        <v>73.34</v>
      </c>
    </row>
    <row r="4327" spans="1:5" ht="45">
      <c r="A4327" s="495">
        <v>87453</v>
      </c>
      <c r="B4327" s="348" t="s">
        <v>18419</v>
      </c>
      <c r="C4327" s="349" t="s">
        <v>256</v>
      </c>
      <c r="D4327" s="483">
        <v>44.03</v>
      </c>
      <c r="E4327" s="483">
        <v>44.03</v>
      </c>
    </row>
    <row r="4328" spans="1:5" ht="45">
      <c r="A4328" s="494">
        <v>87454</v>
      </c>
      <c r="B4328" s="485" t="s">
        <v>18420</v>
      </c>
      <c r="C4328" s="484" t="s">
        <v>256</v>
      </c>
      <c r="D4328" s="486">
        <v>44.7</v>
      </c>
      <c r="E4328" s="486">
        <v>44.7</v>
      </c>
    </row>
    <row r="4329" spans="1:5" ht="45">
      <c r="A4329" s="495">
        <v>87455</v>
      </c>
      <c r="B4329" s="348" t="s">
        <v>18421</v>
      </c>
      <c r="C4329" s="349" t="s">
        <v>256</v>
      </c>
      <c r="D4329" s="483">
        <v>55.89</v>
      </c>
      <c r="E4329" s="483">
        <v>55.89</v>
      </c>
    </row>
    <row r="4330" spans="1:5" ht="45">
      <c r="A4330" s="494">
        <v>87456</v>
      </c>
      <c r="B4330" s="485" t="s">
        <v>18422</v>
      </c>
      <c r="C4330" s="484" t="s">
        <v>256</v>
      </c>
      <c r="D4330" s="486">
        <v>57.01</v>
      </c>
      <c r="E4330" s="486">
        <v>57.01</v>
      </c>
    </row>
    <row r="4331" spans="1:5" ht="45">
      <c r="A4331" s="495">
        <v>87457</v>
      </c>
      <c r="B4331" s="348" t="s">
        <v>18423</v>
      </c>
      <c r="C4331" s="349" t="s">
        <v>256</v>
      </c>
      <c r="D4331" s="483">
        <v>68.37</v>
      </c>
      <c r="E4331" s="483">
        <v>68.37</v>
      </c>
    </row>
    <row r="4332" spans="1:5" ht="45">
      <c r="A4332" s="494">
        <v>87458</v>
      </c>
      <c r="B4332" s="485" t="s">
        <v>18424</v>
      </c>
      <c r="C4332" s="484" t="s">
        <v>256</v>
      </c>
      <c r="D4332" s="486">
        <v>69.36</v>
      </c>
      <c r="E4332" s="486">
        <v>69.36</v>
      </c>
    </row>
    <row r="4333" spans="1:5" ht="45">
      <c r="A4333" s="495">
        <v>87459</v>
      </c>
      <c r="B4333" s="348" t="s">
        <v>18425</v>
      </c>
      <c r="C4333" s="349" t="s">
        <v>256</v>
      </c>
      <c r="D4333" s="483">
        <v>52.4</v>
      </c>
      <c r="E4333" s="483">
        <v>52.4</v>
      </c>
    </row>
    <row r="4334" spans="1:5" ht="45">
      <c r="A4334" s="494">
        <v>87460</v>
      </c>
      <c r="B4334" s="485" t="s">
        <v>18426</v>
      </c>
      <c r="C4334" s="484" t="s">
        <v>256</v>
      </c>
      <c r="D4334" s="486">
        <v>53.07</v>
      </c>
      <c r="E4334" s="486">
        <v>53.07</v>
      </c>
    </row>
    <row r="4335" spans="1:5" ht="45">
      <c r="A4335" s="495">
        <v>87461</v>
      </c>
      <c r="B4335" s="348" t="s">
        <v>18427</v>
      </c>
      <c r="C4335" s="349" t="s">
        <v>256</v>
      </c>
      <c r="D4335" s="483">
        <v>65.08</v>
      </c>
      <c r="E4335" s="483">
        <v>65.08</v>
      </c>
    </row>
    <row r="4336" spans="1:5" ht="45">
      <c r="A4336" s="494">
        <v>87462</v>
      </c>
      <c r="B4336" s="485" t="s">
        <v>18428</v>
      </c>
      <c r="C4336" s="484" t="s">
        <v>256</v>
      </c>
      <c r="D4336" s="486">
        <v>65.87</v>
      </c>
      <c r="E4336" s="486">
        <v>65.87</v>
      </c>
    </row>
    <row r="4337" spans="1:5" ht="45">
      <c r="A4337" s="495">
        <v>87463</v>
      </c>
      <c r="B4337" s="348" t="s">
        <v>18429</v>
      </c>
      <c r="C4337" s="349" t="s">
        <v>256</v>
      </c>
      <c r="D4337" s="483">
        <v>77.69</v>
      </c>
      <c r="E4337" s="483">
        <v>77.69</v>
      </c>
    </row>
    <row r="4338" spans="1:5" ht="45">
      <c r="A4338" s="494">
        <v>87464</v>
      </c>
      <c r="B4338" s="485" t="s">
        <v>18430</v>
      </c>
      <c r="C4338" s="484" t="s">
        <v>256</v>
      </c>
      <c r="D4338" s="486">
        <v>78.680000000000007</v>
      </c>
      <c r="E4338" s="486">
        <v>78.680000000000007</v>
      </c>
    </row>
    <row r="4339" spans="1:5" ht="45">
      <c r="A4339" s="495">
        <v>87465</v>
      </c>
      <c r="B4339" s="348" t="s">
        <v>18431</v>
      </c>
      <c r="C4339" s="349" t="s">
        <v>256</v>
      </c>
      <c r="D4339" s="483">
        <v>47</v>
      </c>
      <c r="E4339" s="483">
        <v>47</v>
      </c>
    </row>
    <row r="4340" spans="1:5" ht="45">
      <c r="A4340" s="494">
        <v>87466</v>
      </c>
      <c r="B4340" s="485" t="s">
        <v>18432</v>
      </c>
      <c r="C4340" s="484" t="s">
        <v>256</v>
      </c>
      <c r="D4340" s="486">
        <v>47.67</v>
      </c>
      <c r="E4340" s="486">
        <v>47.67</v>
      </c>
    </row>
    <row r="4341" spans="1:5" ht="45">
      <c r="A4341" s="495">
        <v>87467</v>
      </c>
      <c r="B4341" s="348" t="s">
        <v>18433</v>
      </c>
      <c r="C4341" s="349" t="s">
        <v>256</v>
      </c>
      <c r="D4341" s="483">
        <v>59.23</v>
      </c>
      <c r="E4341" s="483">
        <v>59.23</v>
      </c>
    </row>
    <row r="4342" spans="1:5" ht="45">
      <c r="A4342" s="494">
        <v>87468</v>
      </c>
      <c r="B4342" s="485" t="s">
        <v>18434</v>
      </c>
      <c r="C4342" s="484" t="s">
        <v>256</v>
      </c>
      <c r="D4342" s="486">
        <v>60.02</v>
      </c>
      <c r="E4342" s="486">
        <v>60.02</v>
      </c>
    </row>
    <row r="4343" spans="1:5" ht="45">
      <c r="A4343" s="495">
        <v>87469</v>
      </c>
      <c r="B4343" s="348" t="s">
        <v>18435</v>
      </c>
      <c r="C4343" s="349" t="s">
        <v>256</v>
      </c>
      <c r="D4343" s="483">
        <v>71.84</v>
      </c>
      <c r="E4343" s="483">
        <v>71.84</v>
      </c>
    </row>
    <row r="4344" spans="1:5" ht="45">
      <c r="A4344" s="494">
        <v>87470</v>
      </c>
      <c r="B4344" s="485" t="s">
        <v>18436</v>
      </c>
      <c r="C4344" s="484" t="s">
        <v>256</v>
      </c>
      <c r="D4344" s="486">
        <v>72.83</v>
      </c>
      <c r="E4344" s="486">
        <v>72.83</v>
      </c>
    </row>
    <row r="4345" spans="1:5" ht="45">
      <c r="A4345" s="495">
        <v>89044</v>
      </c>
      <c r="B4345" s="348" t="s">
        <v>18437</v>
      </c>
      <c r="C4345" s="349" t="s">
        <v>256</v>
      </c>
      <c r="D4345" s="483">
        <v>47.06</v>
      </c>
      <c r="E4345" s="483">
        <v>47.06</v>
      </c>
    </row>
    <row r="4346" spans="1:5" ht="45">
      <c r="A4346" s="494">
        <v>89169</v>
      </c>
      <c r="B4346" s="485" t="s">
        <v>18438</v>
      </c>
      <c r="C4346" s="484" t="s">
        <v>256</v>
      </c>
      <c r="D4346" s="486">
        <v>47.74</v>
      </c>
      <c r="E4346" s="486">
        <v>47.74</v>
      </c>
    </row>
    <row r="4347" spans="1:5" ht="45">
      <c r="A4347" s="495">
        <v>89978</v>
      </c>
      <c r="B4347" s="348" t="s">
        <v>18439</v>
      </c>
      <c r="C4347" s="349" t="s">
        <v>256</v>
      </c>
      <c r="D4347" s="483">
        <v>60.11</v>
      </c>
      <c r="E4347" s="483">
        <v>60.11</v>
      </c>
    </row>
    <row r="4348" spans="1:5" ht="30">
      <c r="A4348" s="484" t="s">
        <v>18440</v>
      </c>
      <c r="B4348" s="485" t="s">
        <v>18441</v>
      </c>
      <c r="C4348" s="484" t="s">
        <v>256</v>
      </c>
      <c r="D4348" s="486">
        <v>110.92</v>
      </c>
      <c r="E4348" s="486">
        <v>110.92</v>
      </c>
    </row>
    <row r="4349" spans="1:5" ht="30">
      <c r="A4349" s="349" t="s">
        <v>18442</v>
      </c>
      <c r="B4349" s="348" t="s">
        <v>18443</v>
      </c>
      <c r="C4349" s="349" t="s">
        <v>256</v>
      </c>
      <c r="D4349" s="483">
        <v>111.06</v>
      </c>
      <c r="E4349" s="483">
        <v>111.06</v>
      </c>
    </row>
    <row r="4350" spans="1:5" ht="30">
      <c r="A4350" s="484" t="s">
        <v>18444</v>
      </c>
      <c r="B4350" s="485" t="s">
        <v>18445</v>
      </c>
      <c r="C4350" s="484" t="s">
        <v>256</v>
      </c>
      <c r="D4350" s="486">
        <v>196.36</v>
      </c>
      <c r="E4350" s="486">
        <v>196.36</v>
      </c>
    </row>
    <row r="4351" spans="1:5" ht="45">
      <c r="A4351" s="495">
        <v>89453</v>
      </c>
      <c r="B4351" s="348" t="s">
        <v>18446</v>
      </c>
      <c r="C4351" s="349" t="s">
        <v>256</v>
      </c>
      <c r="D4351" s="483">
        <v>54.17</v>
      </c>
      <c r="E4351" s="483">
        <v>54.17</v>
      </c>
    </row>
    <row r="4352" spans="1:5" ht="45">
      <c r="A4352" s="494">
        <v>89454</v>
      </c>
      <c r="B4352" s="485" t="s">
        <v>18447</v>
      </c>
      <c r="C4352" s="484" t="s">
        <v>256</v>
      </c>
      <c r="D4352" s="486">
        <v>52</v>
      </c>
      <c r="E4352" s="486">
        <v>52</v>
      </c>
    </row>
    <row r="4353" spans="1:5" ht="45">
      <c r="A4353" s="495">
        <v>89455</v>
      </c>
      <c r="B4353" s="348" t="s">
        <v>18448</v>
      </c>
      <c r="C4353" s="349" t="s">
        <v>256</v>
      </c>
      <c r="D4353" s="483">
        <v>66.98</v>
      </c>
      <c r="E4353" s="483">
        <v>66.98</v>
      </c>
    </row>
    <row r="4354" spans="1:5" ht="45">
      <c r="A4354" s="494">
        <v>89456</v>
      </c>
      <c r="B4354" s="485" t="s">
        <v>18449</v>
      </c>
      <c r="C4354" s="484" t="s">
        <v>256</v>
      </c>
      <c r="D4354" s="486">
        <v>64.33</v>
      </c>
      <c r="E4354" s="486">
        <v>64.33</v>
      </c>
    </row>
    <row r="4355" spans="1:5" ht="45">
      <c r="A4355" s="495">
        <v>89457</v>
      </c>
      <c r="B4355" s="348" t="s">
        <v>18450</v>
      </c>
      <c r="C4355" s="349" t="s">
        <v>256</v>
      </c>
      <c r="D4355" s="483">
        <v>57.63</v>
      </c>
      <c r="E4355" s="483">
        <v>57.63</v>
      </c>
    </row>
    <row r="4356" spans="1:5" ht="45">
      <c r="A4356" s="494">
        <v>89458</v>
      </c>
      <c r="B4356" s="485" t="s">
        <v>18451</v>
      </c>
      <c r="C4356" s="484" t="s">
        <v>256</v>
      </c>
      <c r="D4356" s="486">
        <v>53.95</v>
      </c>
      <c r="E4356" s="486">
        <v>53.95</v>
      </c>
    </row>
    <row r="4357" spans="1:5" ht="45">
      <c r="A4357" s="495">
        <v>89459</v>
      </c>
      <c r="B4357" s="348" t="s">
        <v>18452</v>
      </c>
      <c r="C4357" s="349" t="s">
        <v>256</v>
      </c>
      <c r="D4357" s="483">
        <v>71.81</v>
      </c>
      <c r="E4357" s="483">
        <v>71.81</v>
      </c>
    </row>
    <row r="4358" spans="1:5" ht="45">
      <c r="A4358" s="494">
        <v>89460</v>
      </c>
      <c r="B4358" s="485" t="s">
        <v>18453</v>
      </c>
      <c r="C4358" s="484" t="s">
        <v>256</v>
      </c>
      <c r="D4358" s="486">
        <v>67.25</v>
      </c>
      <c r="E4358" s="486">
        <v>67.25</v>
      </c>
    </row>
    <row r="4359" spans="1:5" ht="45">
      <c r="A4359" s="495">
        <v>89462</v>
      </c>
      <c r="B4359" s="348" t="s">
        <v>18454</v>
      </c>
      <c r="C4359" s="349" t="s">
        <v>256</v>
      </c>
      <c r="D4359" s="483">
        <v>62.51</v>
      </c>
      <c r="E4359" s="483">
        <v>62.51</v>
      </c>
    </row>
    <row r="4360" spans="1:5" ht="45">
      <c r="A4360" s="494">
        <v>89463</v>
      </c>
      <c r="B4360" s="485" t="s">
        <v>18455</v>
      </c>
      <c r="C4360" s="484" t="s">
        <v>256</v>
      </c>
      <c r="D4360" s="486">
        <v>60.62</v>
      </c>
      <c r="E4360" s="486">
        <v>60.62</v>
      </c>
    </row>
    <row r="4361" spans="1:5" ht="45">
      <c r="A4361" s="495">
        <v>89464</v>
      </c>
      <c r="B4361" s="348" t="s">
        <v>18456</v>
      </c>
      <c r="C4361" s="349" t="s">
        <v>256</v>
      </c>
      <c r="D4361" s="483">
        <v>83.5</v>
      </c>
      <c r="E4361" s="483">
        <v>83.5</v>
      </c>
    </row>
    <row r="4362" spans="1:5" ht="45">
      <c r="A4362" s="494">
        <v>89465</v>
      </c>
      <c r="B4362" s="485" t="s">
        <v>18457</v>
      </c>
      <c r="C4362" s="484" t="s">
        <v>256</v>
      </c>
      <c r="D4362" s="486">
        <v>81.17</v>
      </c>
      <c r="E4362" s="486">
        <v>81.17</v>
      </c>
    </row>
    <row r="4363" spans="1:5" ht="45">
      <c r="A4363" s="495">
        <v>89466</v>
      </c>
      <c r="B4363" s="348" t="s">
        <v>18458</v>
      </c>
      <c r="C4363" s="349" t="s">
        <v>256</v>
      </c>
      <c r="D4363" s="483">
        <v>66.13</v>
      </c>
      <c r="E4363" s="483">
        <v>66.13</v>
      </c>
    </row>
    <row r="4364" spans="1:5" ht="45">
      <c r="A4364" s="494">
        <v>89467</v>
      </c>
      <c r="B4364" s="485" t="s">
        <v>18459</v>
      </c>
      <c r="C4364" s="484" t="s">
        <v>256</v>
      </c>
      <c r="D4364" s="486">
        <v>62.56</v>
      </c>
      <c r="E4364" s="486">
        <v>62.56</v>
      </c>
    </row>
    <row r="4365" spans="1:5" ht="45">
      <c r="A4365" s="495">
        <v>89468</v>
      </c>
      <c r="B4365" s="348" t="s">
        <v>18460</v>
      </c>
      <c r="C4365" s="349" t="s">
        <v>256</v>
      </c>
      <c r="D4365" s="483">
        <v>87.94</v>
      </c>
      <c r="E4365" s="483">
        <v>87.94</v>
      </c>
    </row>
    <row r="4366" spans="1:5" ht="45">
      <c r="A4366" s="494">
        <v>89469</v>
      </c>
      <c r="B4366" s="485" t="s">
        <v>18461</v>
      </c>
      <c r="C4366" s="484" t="s">
        <v>256</v>
      </c>
      <c r="D4366" s="486">
        <v>83.54</v>
      </c>
      <c r="E4366" s="486">
        <v>83.54</v>
      </c>
    </row>
    <row r="4367" spans="1:5" ht="45">
      <c r="A4367" s="495">
        <v>89470</v>
      </c>
      <c r="B4367" s="348" t="s">
        <v>18462</v>
      </c>
      <c r="C4367" s="349" t="s">
        <v>256</v>
      </c>
      <c r="D4367" s="483">
        <v>64.7</v>
      </c>
      <c r="E4367" s="483">
        <v>64.7</v>
      </c>
    </row>
    <row r="4368" spans="1:5" ht="45">
      <c r="A4368" s="494">
        <v>89471</v>
      </c>
      <c r="B4368" s="485" t="s">
        <v>18463</v>
      </c>
      <c r="C4368" s="484" t="s">
        <v>256</v>
      </c>
      <c r="D4368" s="486">
        <v>62.54</v>
      </c>
      <c r="E4368" s="486">
        <v>62.54</v>
      </c>
    </row>
    <row r="4369" spans="1:5" ht="45">
      <c r="A4369" s="495">
        <v>89472</v>
      </c>
      <c r="B4369" s="348" t="s">
        <v>18464</v>
      </c>
      <c r="C4369" s="349" t="s">
        <v>256</v>
      </c>
      <c r="D4369" s="483">
        <v>77.22</v>
      </c>
      <c r="E4369" s="483">
        <v>77.22</v>
      </c>
    </row>
    <row r="4370" spans="1:5" ht="45">
      <c r="A4370" s="494">
        <v>89473</v>
      </c>
      <c r="B4370" s="485" t="s">
        <v>18465</v>
      </c>
      <c r="C4370" s="484" t="s">
        <v>256</v>
      </c>
      <c r="D4370" s="486">
        <v>74.760000000000005</v>
      </c>
      <c r="E4370" s="486">
        <v>74.760000000000005</v>
      </c>
    </row>
    <row r="4371" spans="1:5" ht="45">
      <c r="A4371" s="495">
        <v>89474</v>
      </c>
      <c r="B4371" s="348" t="s">
        <v>18466</v>
      </c>
      <c r="C4371" s="349" t="s">
        <v>256</v>
      </c>
      <c r="D4371" s="483">
        <v>71.099999999999994</v>
      </c>
      <c r="E4371" s="483">
        <v>71.099999999999994</v>
      </c>
    </row>
    <row r="4372" spans="1:5" ht="45">
      <c r="A4372" s="494">
        <v>89475</v>
      </c>
      <c r="B4372" s="485" t="s">
        <v>18467</v>
      </c>
      <c r="C4372" s="484" t="s">
        <v>256</v>
      </c>
      <c r="D4372" s="486">
        <v>66.09</v>
      </c>
      <c r="E4372" s="486">
        <v>66.09</v>
      </c>
    </row>
    <row r="4373" spans="1:5" ht="45">
      <c r="A4373" s="495">
        <v>89476</v>
      </c>
      <c r="B4373" s="348" t="s">
        <v>18468</v>
      </c>
      <c r="C4373" s="349" t="s">
        <v>256</v>
      </c>
      <c r="D4373" s="483">
        <v>85.17</v>
      </c>
      <c r="E4373" s="483">
        <v>85.17</v>
      </c>
    </row>
    <row r="4374" spans="1:5" ht="45">
      <c r="A4374" s="494">
        <v>89477</v>
      </c>
      <c r="B4374" s="485" t="s">
        <v>18469</v>
      </c>
      <c r="C4374" s="484" t="s">
        <v>256</v>
      </c>
      <c r="D4374" s="486">
        <v>79.459999999999994</v>
      </c>
      <c r="E4374" s="486">
        <v>79.459999999999994</v>
      </c>
    </row>
    <row r="4375" spans="1:5" ht="45">
      <c r="A4375" s="495">
        <v>89478</v>
      </c>
      <c r="B4375" s="348" t="s">
        <v>18470</v>
      </c>
      <c r="C4375" s="349" t="s">
        <v>256</v>
      </c>
      <c r="D4375" s="483">
        <v>73.239999999999995</v>
      </c>
      <c r="E4375" s="483">
        <v>73.239999999999995</v>
      </c>
    </row>
    <row r="4376" spans="1:5" ht="45">
      <c r="A4376" s="494">
        <v>89479</v>
      </c>
      <c r="B4376" s="485" t="s">
        <v>18471</v>
      </c>
      <c r="C4376" s="484" t="s">
        <v>256</v>
      </c>
      <c r="D4376" s="486">
        <v>71.349999999999994</v>
      </c>
      <c r="E4376" s="486">
        <v>71.349999999999994</v>
      </c>
    </row>
    <row r="4377" spans="1:5" ht="45">
      <c r="A4377" s="495">
        <v>89480</v>
      </c>
      <c r="B4377" s="348" t="s">
        <v>18472</v>
      </c>
      <c r="C4377" s="349" t="s">
        <v>256</v>
      </c>
      <c r="D4377" s="483">
        <v>93.93</v>
      </c>
      <c r="E4377" s="483">
        <v>93.93</v>
      </c>
    </row>
    <row r="4378" spans="1:5" ht="45">
      <c r="A4378" s="494">
        <v>89483</v>
      </c>
      <c r="B4378" s="485" t="s">
        <v>18473</v>
      </c>
      <c r="C4378" s="484" t="s">
        <v>256</v>
      </c>
      <c r="D4378" s="486">
        <v>91.78</v>
      </c>
      <c r="E4378" s="486">
        <v>91.78</v>
      </c>
    </row>
    <row r="4379" spans="1:5" ht="45">
      <c r="A4379" s="495">
        <v>89484</v>
      </c>
      <c r="B4379" s="348" t="s">
        <v>18474</v>
      </c>
      <c r="C4379" s="349" t="s">
        <v>256</v>
      </c>
      <c r="D4379" s="483">
        <v>79.790000000000006</v>
      </c>
      <c r="E4379" s="483">
        <v>79.790000000000006</v>
      </c>
    </row>
    <row r="4380" spans="1:5" ht="45">
      <c r="A4380" s="494">
        <v>89486</v>
      </c>
      <c r="B4380" s="485" t="s">
        <v>18475</v>
      </c>
      <c r="C4380" s="484" t="s">
        <v>256</v>
      </c>
      <c r="D4380" s="486">
        <v>75.08</v>
      </c>
      <c r="E4380" s="486">
        <v>75.08</v>
      </c>
    </row>
    <row r="4381" spans="1:5" ht="45">
      <c r="A4381" s="495">
        <v>89487</v>
      </c>
      <c r="B4381" s="348" t="s">
        <v>18476</v>
      </c>
      <c r="C4381" s="349" t="s">
        <v>256</v>
      </c>
      <c r="D4381" s="483">
        <v>101.48</v>
      </c>
      <c r="E4381" s="483">
        <v>101.48</v>
      </c>
    </row>
    <row r="4382" spans="1:5" ht="45">
      <c r="A4382" s="494">
        <v>89488</v>
      </c>
      <c r="B4382" s="485" t="s">
        <v>18477</v>
      </c>
      <c r="C4382" s="484" t="s">
        <v>256</v>
      </c>
      <c r="D4382" s="486">
        <v>95.93</v>
      </c>
      <c r="E4382" s="486">
        <v>95.93</v>
      </c>
    </row>
    <row r="4383" spans="1:5" ht="45">
      <c r="A4383" s="495">
        <v>91815</v>
      </c>
      <c r="B4383" s="348" t="s">
        <v>18478</v>
      </c>
      <c r="C4383" s="349" t="s">
        <v>256</v>
      </c>
      <c r="D4383" s="483">
        <v>54.31</v>
      </c>
      <c r="E4383" s="483">
        <v>54.31</v>
      </c>
    </row>
    <row r="4384" spans="1:5" ht="45">
      <c r="A4384" s="494">
        <v>91816</v>
      </c>
      <c r="B4384" s="485" t="s">
        <v>18479</v>
      </c>
      <c r="C4384" s="484" t="s">
        <v>256</v>
      </c>
      <c r="D4384" s="486">
        <v>62.82</v>
      </c>
      <c r="E4384" s="486">
        <v>62.82</v>
      </c>
    </row>
    <row r="4385" spans="1:5" ht="45">
      <c r="A4385" s="495">
        <v>72139</v>
      </c>
      <c r="B4385" s="348" t="s">
        <v>18480</v>
      </c>
      <c r="C4385" s="349" t="s">
        <v>256</v>
      </c>
      <c r="D4385" s="483">
        <v>473.49</v>
      </c>
      <c r="E4385" s="483">
        <v>473.49</v>
      </c>
    </row>
    <row r="4386" spans="1:5" ht="45">
      <c r="A4386" s="494">
        <v>72175</v>
      </c>
      <c r="B4386" s="485" t="s">
        <v>18481</v>
      </c>
      <c r="C4386" s="484" t="s">
        <v>256</v>
      </c>
      <c r="D4386" s="486">
        <v>477.24</v>
      </c>
      <c r="E4386" s="486">
        <v>477.24</v>
      </c>
    </row>
    <row r="4387" spans="1:5" ht="45">
      <c r="A4387" s="495">
        <v>72176</v>
      </c>
      <c r="B4387" s="348" t="s">
        <v>18482</v>
      </c>
      <c r="C4387" s="349" t="s">
        <v>256</v>
      </c>
      <c r="D4387" s="483">
        <v>480.74</v>
      </c>
      <c r="E4387" s="483">
        <v>480.74</v>
      </c>
    </row>
    <row r="4388" spans="1:5">
      <c r="A4388" s="494">
        <v>72178</v>
      </c>
      <c r="B4388" s="485" t="s">
        <v>8745</v>
      </c>
      <c r="C4388" s="484" t="s">
        <v>256</v>
      </c>
      <c r="D4388" s="486">
        <v>22.15</v>
      </c>
      <c r="E4388" s="486">
        <v>22.15</v>
      </c>
    </row>
    <row r="4389" spans="1:5" ht="30">
      <c r="A4389" s="495">
        <v>72179</v>
      </c>
      <c r="B4389" s="348" t="s">
        <v>18483</v>
      </c>
      <c r="C4389" s="349" t="s">
        <v>256</v>
      </c>
      <c r="D4389" s="483">
        <v>46.9</v>
      </c>
      <c r="E4389" s="483">
        <v>46.9</v>
      </c>
    </row>
    <row r="4390" spans="1:5" ht="30">
      <c r="A4390" s="494">
        <v>72180</v>
      </c>
      <c r="B4390" s="485" t="s">
        <v>18484</v>
      </c>
      <c r="C4390" s="484" t="s">
        <v>256</v>
      </c>
      <c r="D4390" s="486">
        <v>13.33</v>
      </c>
      <c r="E4390" s="486">
        <v>13.33</v>
      </c>
    </row>
    <row r="4391" spans="1:5" ht="30">
      <c r="A4391" s="495">
        <v>72181</v>
      </c>
      <c r="B4391" s="348" t="s">
        <v>18485</v>
      </c>
      <c r="C4391" s="349" t="s">
        <v>256</v>
      </c>
      <c r="D4391" s="483">
        <v>27.02</v>
      </c>
      <c r="E4391" s="483">
        <v>27.02</v>
      </c>
    </row>
    <row r="4392" spans="1:5" ht="30">
      <c r="A4392" s="484" t="s">
        <v>18486</v>
      </c>
      <c r="B4392" s="485" t="s">
        <v>18487</v>
      </c>
      <c r="C4392" s="484" t="s">
        <v>256</v>
      </c>
      <c r="D4392" s="486">
        <v>248.46</v>
      </c>
      <c r="E4392" s="486">
        <v>248.46</v>
      </c>
    </row>
    <row r="4393" spans="1:5" ht="30">
      <c r="A4393" s="349" t="s">
        <v>18488</v>
      </c>
      <c r="B4393" s="348" t="s">
        <v>4820</v>
      </c>
      <c r="C4393" s="349" t="s">
        <v>256</v>
      </c>
      <c r="D4393" s="483">
        <v>176.53</v>
      </c>
      <c r="E4393" s="483">
        <v>176.53</v>
      </c>
    </row>
    <row r="4394" spans="1:5" ht="30">
      <c r="A4394" s="484" t="s">
        <v>18489</v>
      </c>
      <c r="B4394" s="485" t="s">
        <v>18490</v>
      </c>
      <c r="C4394" s="484" t="s">
        <v>256</v>
      </c>
      <c r="D4394" s="486">
        <v>377.82</v>
      </c>
      <c r="E4394" s="486">
        <v>377.82</v>
      </c>
    </row>
    <row r="4395" spans="1:5" ht="30">
      <c r="A4395" s="495">
        <v>79627</v>
      </c>
      <c r="B4395" s="348" t="s">
        <v>4819</v>
      </c>
      <c r="C4395" s="349" t="s">
        <v>256</v>
      </c>
      <c r="D4395" s="483">
        <v>386.36</v>
      </c>
      <c r="E4395" s="483">
        <v>386.36</v>
      </c>
    </row>
    <row r="4396" spans="1:5" ht="30">
      <c r="A4396" s="484" t="s">
        <v>18491</v>
      </c>
      <c r="B4396" s="485" t="s">
        <v>18492</v>
      </c>
      <c r="C4396" s="484" t="s">
        <v>256</v>
      </c>
      <c r="D4396" s="486">
        <v>62.99</v>
      </c>
      <c r="E4396" s="486">
        <v>62.99</v>
      </c>
    </row>
    <row r="4397" spans="1:5" ht="30">
      <c r="A4397" s="349" t="s">
        <v>18493</v>
      </c>
      <c r="B4397" s="348" t="s">
        <v>18494</v>
      </c>
      <c r="C4397" s="349" t="s">
        <v>256</v>
      </c>
      <c r="D4397" s="483">
        <v>129.03</v>
      </c>
      <c r="E4397" s="483">
        <v>129.03</v>
      </c>
    </row>
    <row r="4398" spans="1:5" ht="45">
      <c r="A4398" s="484" t="s">
        <v>18495</v>
      </c>
      <c r="B4398" s="485" t="s">
        <v>18496</v>
      </c>
      <c r="C4398" s="484" t="s">
        <v>256</v>
      </c>
      <c r="D4398" s="486">
        <v>40.32</v>
      </c>
      <c r="E4398" s="486">
        <v>40.32</v>
      </c>
    </row>
    <row r="4399" spans="1:5" ht="45">
      <c r="A4399" s="349" t="s">
        <v>18497</v>
      </c>
      <c r="B4399" s="348" t="s">
        <v>18498</v>
      </c>
      <c r="C4399" s="349" t="s">
        <v>256</v>
      </c>
      <c r="D4399" s="483">
        <v>35.450000000000003</v>
      </c>
      <c r="E4399" s="483">
        <v>35.450000000000003</v>
      </c>
    </row>
    <row r="4400" spans="1:5" ht="30">
      <c r="A4400" s="494">
        <v>83694</v>
      </c>
      <c r="B4400" s="485" t="s">
        <v>18499</v>
      </c>
      <c r="C4400" s="484" t="s">
        <v>256</v>
      </c>
      <c r="D4400" s="486">
        <v>14.43</v>
      </c>
      <c r="E4400" s="486">
        <v>14.43</v>
      </c>
    </row>
    <row r="4401" spans="1:5">
      <c r="A4401" s="349" t="s">
        <v>18500</v>
      </c>
      <c r="B4401" s="348" t="s">
        <v>8713</v>
      </c>
      <c r="C4401" s="349" t="s">
        <v>256</v>
      </c>
      <c r="D4401" s="483">
        <v>17.760000000000002</v>
      </c>
      <c r="E4401" s="483">
        <v>17.760000000000002</v>
      </c>
    </row>
    <row r="4402" spans="1:5">
      <c r="A4402" s="494">
        <v>83771</v>
      </c>
      <c r="B4402" s="485" t="s">
        <v>8606</v>
      </c>
      <c r="C4402" s="484" t="s">
        <v>255</v>
      </c>
      <c r="D4402" s="486">
        <v>7.61</v>
      </c>
      <c r="E4402" s="486">
        <v>7.61</v>
      </c>
    </row>
    <row r="4403" spans="1:5" ht="30">
      <c r="A4403" s="495">
        <v>92970</v>
      </c>
      <c r="B4403" s="348" t="s">
        <v>18501</v>
      </c>
      <c r="C4403" s="349" t="s">
        <v>256</v>
      </c>
      <c r="D4403" s="483">
        <v>13.45</v>
      </c>
      <c r="E4403" s="483">
        <v>13.45</v>
      </c>
    </row>
    <row r="4404" spans="1:5" ht="30">
      <c r="A4404" s="494">
        <v>41879</v>
      </c>
      <c r="B4404" s="485" t="s">
        <v>18502</v>
      </c>
      <c r="C4404" s="484" t="s">
        <v>256</v>
      </c>
      <c r="D4404" s="486">
        <v>0.13</v>
      </c>
      <c r="E4404" s="486">
        <v>0.13</v>
      </c>
    </row>
    <row r="4405" spans="1:5">
      <c r="A4405" s="495">
        <v>72910</v>
      </c>
      <c r="B4405" s="348" t="s">
        <v>2472</v>
      </c>
      <c r="C4405" s="349" t="s">
        <v>255</v>
      </c>
      <c r="D4405" s="483">
        <v>9.58</v>
      </c>
      <c r="E4405" s="483">
        <v>9.58</v>
      </c>
    </row>
    <row r="4406" spans="1:5" ht="30">
      <c r="A4406" s="494">
        <v>72911</v>
      </c>
      <c r="B4406" s="485" t="s">
        <v>18503</v>
      </c>
      <c r="C4406" s="484" t="s">
        <v>255</v>
      </c>
      <c r="D4406" s="486">
        <v>10.64</v>
      </c>
      <c r="E4406" s="486">
        <v>10.64</v>
      </c>
    </row>
    <row r="4407" spans="1:5" ht="30">
      <c r="A4407" s="495">
        <v>72912</v>
      </c>
      <c r="B4407" s="348" t="s">
        <v>18504</v>
      </c>
      <c r="C4407" s="349" t="s">
        <v>255</v>
      </c>
      <c r="D4407" s="483">
        <v>25.38</v>
      </c>
      <c r="E4407" s="483">
        <v>25.38</v>
      </c>
    </row>
    <row r="4408" spans="1:5" ht="30">
      <c r="A4408" s="494">
        <v>72913</v>
      </c>
      <c r="B4408" s="485" t="s">
        <v>18505</v>
      </c>
      <c r="C4408" s="484" t="s">
        <v>255</v>
      </c>
      <c r="D4408" s="486">
        <v>38.93</v>
      </c>
      <c r="E4408" s="486">
        <v>38.93</v>
      </c>
    </row>
    <row r="4409" spans="1:5" ht="30">
      <c r="A4409" s="495">
        <v>72914</v>
      </c>
      <c r="B4409" s="348" t="s">
        <v>18506</v>
      </c>
      <c r="C4409" s="349" t="s">
        <v>255</v>
      </c>
      <c r="D4409" s="483">
        <v>55.08</v>
      </c>
      <c r="E4409" s="483">
        <v>55.08</v>
      </c>
    </row>
    <row r="4410" spans="1:5" ht="30">
      <c r="A4410" s="494">
        <v>72916</v>
      </c>
      <c r="B4410" s="485" t="s">
        <v>18507</v>
      </c>
      <c r="C4410" s="484" t="s">
        <v>255</v>
      </c>
      <c r="D4410" s="486">
        <v>27.59</v>
      </c>
      <c r="E4410" s="486">
        <v>27.59</v>
      </c>
    </row>
    <row r="4411" spans="1:5" ht="30">
      <c r="A4411" s="495">
        <v>72919</v>
      </c>
      <c r="B4411" s="348" t="s">
        <v>18508</v>
      </c>
      <c r="C4411" s="349" t="s">
        <v>255</v>
      </c>
      <c r="D4411" s="483">
        <v>39.42</v>
      </c>
      <c r="E4411" s="483">
        <v>39.42</v>
      </c>
    </row>
    <row r="4412" spans="1:5" ht="30">
      <c r="A4412" s="494">
        <v>72922</v>
      </c>
      <c r="B4412" s="485" t="s">
        <v>2477</v>
      </c>
      <c r="C4412" s="484" t="s">
        <v>255</v>
      </c>
      <c r="D4412" s="486">
        <v>53.7</v>
      </c>
      <c r="E4412" s="486">
        <v>53.7</v>
      </c>
    </row>
    <row r="4413" spans="1:5" ht="30">
      <c r="A4413" s="495">
        <v>72923</v>
      </c>
      <c r="B4413" s="348" t="s">
        <v>18509</v>
      </c>
      <c r="C4413" s="349" t="s">
        <v>255</v>
      </c>
      <c r="D4413" s="483">
        <v>49.53</v>
      </c>
      <c r="E4413" s="483">
        <v>49.53</v>
      </c>
    </row>
    <row r="4414" spans="1:5" ht="30">
      <c r="A4414" s="494">
        <v>72924</v>
      </c>
      <c r="B4414" s="485" t="s">
        <v>18510</v>
      </c>
      <c r="C4414" s="484" t="s">
        <v>255</v>
      </c>
      <c r="D4414" s="486">
        <v>42.82</v>
      </c>
      <c r="E4414" s="486">
        <v>42.82</v>
      </c>
    </row>
    <row r="4415" spans="1:5">
      <c r="A4415" s="495">
        <v>72961</v>
      </c>
      <c r="B4415" s="348" t="s">
        <v>8711</v>
      </c>
      <c r="C4415" s="349" t="s">
        <v>256</v>
      </c>
      <c r="D4415" s="483">
        <v>1.34</v>
      </c>
      <c r="E4415" s="483">
        <v>1.34</v>
      </c>
    </row>
    <row r="4416" spans="1:5">
      <c r="A4416" s="494">
        <v>73710</v>
      </c>
      <c r="B4416" s="485" t="s">
        <v>2486</v>
      </c>
      <c r="C4416" s="484" t="s">
        <v>255</v>
      </c>
      <c r="D4416" s="486">
        <v>81.94</v>
      </c>
      <c r="E4416" s="486">
        <v>81.94</v>
      </c>
    </row>
    <row r="4417" spans="1:5">
      <c r="A4417" s="495">
        <v>73711</v>
      </c>
      <c r="B4417" s="348" t="s">
        <v>2485</v>
      </c>
      <c r="C4417" s="349" t="s">
        <v>255</v>
      </c>
      <c r="D4417" s="483">
        <v>73.03</v>
      </c>
      <c r="E4417" s="483">
        <v>73.03</v>
      </c>
    </row>
    <row r="4418" spans="1:5">
      <c r="A4418" s="484" t="s">
        <v>18511</v>
      </c>
      <c r="B4418" s="485" t="s">
        <v>2487</v>
      </c>
      <c r="C4418" s="484" t="s">
        <v>255</v>
      </c>
      <c r="D4418" s="486">
        <v>96.84</v>
      </c>
      <c r="E4418" s="486">
        <v>96.84</v>
      </c>
    </row>
    <row r="4419" spans="1:5" ht="30">
      <c r="A4419" s="495">
        <v>83772</v>
      </c>
      <c r="B4419" s="348" t="s">
        <v>2488</v>
      </c>
      <c r="C4419" s="349" t="s">
        <v>255</v>
      </c>
      <c r="D4419" s="483">
        <v>13.81</v>
      </c>
      <c r="E4419" s="483">
        <v>13.81</v>
      </c>
    </row>
    <row r="4420" spans="1:5" ht="30">
      <c r="A4420" s="494">
        <v>72799</v>
      </c>
      <c r="B4420" s="485" t="s">
        <v>18512</v>
      </c>
      <c r="C4420" s="484" t="s">
        <v>256</v>
      </c>
      <c r="D4420" s="486">
        <v>137.21</v>
      </c>
      <c r="E4420" s="486">
        <v>137.21</v>
      </c>
    </row>
    <row r="4421" spans="1:5">
      <c r="A4421" s="495">
        <v>72942</v>
      </c>
      <c r="B4421" s="348" t="s">
        <v>8013</v>
      </c>
      <c r="C4421" s="349" t="s">
        <v>256</v>
      </c>
      <c r="D4421" s="483">
        <v>1.34</v>
      </c>
      <c r="E4421" s="483">
        <v>1.34</v>
      </c>
    </row>
    <row r="4422" spans="1:5">
      <c r="A4422" s="494">
        <v>72943</v>
      </c>
      <c r="B4422" s="485" t="s">
        <v>8014</v>
      </c>
      <c r="C4422" s="484" t="s">
        <v>256</v>
      </c>
      <c r="D4422" s="486">
        <v>1.55</v>
      </c>
      <c r="E4422" s="486">
        <v>1.55</v>
      </c>
    </row>
    <row r="4423" spans="1:5">
      <c r="A4423" s="495">
        <v>72945</v>
      </c>
      <c r="B4423" s="348" t="s">
        <v>6045</v>
      </c>
      <c r="C4423" s="349" t="s">
        <v>256</v>
      </c>
      <c r="D4423" s="483">
        <v>4.92</v>
      </c>
      <c r="E4423" s="483">
        <v>4.92</v>
      </c>
    </row>
    <row r="4424" spans="1:5">
      <c r="A4424" s="494">
        <v>72956</v>
      </c>
      <c r="B4424" s="485" t="s">
        <v>10063</v>
      </c>
      <c r="C4424" s="484" t="s">
        <v>256</v>
      </c>
      <c r="D4424" s="486">
        <v>5.72</v>
      </c>
      <c r="E4424" s="486">
        <v>5.72</v>
      </c>
    </row>
    <row r="4425" spans="1:5">
      <c r="A4425" s="495">
        <v>72958</v>
      </c>
      <c r="B4425" s="348" t="s">
        <v>10062</v>
      </c>
      <c r="C4425" s="349" t="s">
        <v>256</v>
      </c>
      <c r="D4425" s="483">
        <v>10.06</v>
      </c>
      <c r="E4425" s="483">
        <v>10.06</v>
      </c>
    </row>
    <row r="4426" spans="1:5">
      <c r="A4426" s="494">
        <v>72960</v>
      </c>
      <c r="B4426" s="485" t="s">
        <v>10064</v>
      </c>
      <c r="C4426" s="484" t="s">
        <v>256</v>
      </c>
      <c r="D4426" s="486">
        <v>13.37</v>
      </c>
      <c r="E4426" s="486">
        <v>13.37</v>
      </c>
    </row>
    <row r="4427" spans="1:5">
      <c r="A4427" s="495">
        <v>72972</v>
      </c>
      <c r="B4427" s="348" t="s">
        <v>3982</v>
      </c>
      <c r="C4427" s="349" t="s">
        <v>256</v>
      </c>
      <c r="D4427" s="483">
        <v>0.7</v>
      </c>
      <c r="E4427" s="483">
        <v>0.7</v>
      </c>
    </row>
    <row r="4428" spans="1:5">
      <c r="A4428" s="494">
        <v>72973</v>
      </c>
      <c r="B4428" s="485" t="s">
        <v>4115</v>
      </c>
      <c r="C4428" s="484" t="s">
        <v>71</v>
      </c>
      <c r="D4428" s="486">
        <v>1.32</v>
      </c>
      <c r="E4428" s="486">
        <v>1.32</v>
      </c>
    </row>
    <row r="4429" spans="1:5">
      <c r="A4429" s="495">
        <v>72974</v>
      </c>
      <c r="B4429" s="348" t="s">
        <v>4116</v>
      </c>
      <c r="C4429" s="349" t="s">
        <v>256</v>
      </c>
      <c r="D4429" s="483">
        <v>4.4000000000000004</v>
      </c>
      <c r="E4429" s="483">
        <v>4.4000000000000004</v>
      </c>
    </row>
    <row r="4430" spans="1:5">
      <c r="A4430" s="494">
        <v>72975</v>
      </c>
      <c r="B4430" s="485" t="s">
        <v>4681</v>
      </c>
      <c r="C4430" s="484" t="s">
        <v>256</v>
      </c>
      <c r="D4430" s="486">
        <v>0.49</v>
      </c>
      <c r="E4430" s="486">
        <v>0.49</v>
      </c>
    </row>
    <row r="4431" spans="1:5" ht="30">
      <c r="A4431" s="495">
        <v>72978</v>
      </c>
      <c r="B4431" s="348" t="s">
        <v>18513</v>
      </c>
      <c r="C4431" s="349" t="s">
        <v>71</v>
      </c>
      <c r="D4431" s="483">
        <v>4.4000000000000004</v>
      </c>
      <c r="E4431" s="483">
        <v>4.4000000000000004</v>
      </c>
    </row>
    <row r="4432" spans="1:5" ht="30">
      <c r="A4432" s="494">
        <v>72979</v>
      </c>
      <c r="B4432" s="485" t="s">
        <v>18514</v>
      </c>
      <c r="C4432" s="484" t="s">
        <v>256</v>
      </c>
      <c r="D4432" s="486">
        <v>8.41</v>
      </c>
      <c r="E4432" s="486">
        <v>8.41</v>
      </c>
    </row>
    <row r="4433" spans="1:5" ht="45">
      <c r="A4433" s="349" t="s">
        <v>18515</v>
      </c>
      <c r="B4433" s="348" t="s">
        <v>3387</v>
      </c>
      <c r="C4433" s="349" t="s">
        <v>256</v>
      </c>
      <c r="D4433" s="483">
        <v>3.34</v>
      </c>
      <c r="E4433" s="483">
        <v>3.34</v>
      </c>
    </row>
    <row r="4434" spans="1:5" ht="30">
      <c r="A4434" s="484" t="s">
        <v>18516</v>
      </c>
      <c r="B4434" s="485" t="s">
        <v>18517</v>
      </c>
      <c r="C4434" s="484" t="s">
        <v>255</v>
      </c>
      <c r="D4434" s="486">
        <v>623.44000000000005</v>
      </c>
      <c r="E4434" s="486">
        <v>623.44000000000005</v>
      </c>
    </row>
    <row r="4435" spans="1:5" ht="30">
      <c r="A4435" s="349" t="s">
        <v>18518</v>
      </c>
      <c r="B4435" s="348" t="s">
        <v>18519</v>
      </c>
      <c r="C4435" s="349" t="s">
        <v>255</v>
      </c>
      <c r="D4435" s="483">
        <v>533.86</v>
      </c>
      <c r="E4435" s="483">
        <v>533.86</v>
      </c>
    </row>
    <row r="4436" spans="1:5" ht="30">
      <c r="A4436" s="494">
        <v>92391</v>
      </c>
      <c r="B4436" s="485" t="s">
        <v>5372</v>
      </c>
      <c r="C4436" s="484" t="s">
        <v>256</v>
      </c>
      <c r="D4436" s="486">
        <v>52.97</v>
      </c>
      <c r="E4436" s="486">
        <v>52.97</v>
      </c>
    </row>
    <row r="4437" spans="1:5" ht="30">
      <c r="A4437" s="495">
        <v>92392</v>
      </c>
      <c r="B4437" s="348" t="s">
        <v>5373</v>
      </c>
      <c r="C4437" s="349" t="s">
        <v>256</v>
      </c>
      <c r="D4437" s="483">
        <v>55.56</v>
      </c>
      <c r="E4437" s="483">
        <v>55.56</v>
      </c>
    </row>
    <row r="4438" spans="1:5" ht="30">
      <c r="A4438" s="494">
        <v>92393</v>
      </c>
      <c r="B4438" s="485" t="s">
        <v>5375</v>
      </c>
      <c r="C4438" s="484" t="s">
        <v>256</v>
      </c>
      <c r="D4438" s="486">
        <v>47.6</v>
      </c>
      <c r="E4438" s="486">
        <v>47.6</v>
      </c>
    </row>
    <row r="4439" spans="1:5" ht="30">
      <c r="A4439" s="495">
        <v>92394</v>
      </c>
      <c r="B4439" s="348" t="s">
        <v>5376</v>
      </c>
      <c r="C4439" s="349" t="s">
        <v>256</v>
      </c>
      <c r="D4439" s="483">
        <v>51.23</v>
      </c>
      <c r="E4439" s="483">
        <v>51.23</v>
      </c>
    </row>
    <row r="4440" spans="1:5" ht="30">
      <c r="A4440" s="494">
        <v>92395</v>
      </c>
      <c r="B4440" s="485" t="s">
        <v>5374</v>
      </c>
      <c r="C4440" s="484" t="s">
        <v>256</v>
      </c>
      <c r="D4440" s="486">
        <v>64.81</v>
      </c>
      <c r="E4440" s="486">
        <v>64.81</v>
      </c>
    </row>
    <row r="4441" spans="1:5" ht="30">
      <c r="A4441" s="495">
        <v>92396</v>
      </c>
      <c r="B4441" s="348" t="s">
        <v>18520</v>
      </c>
      <c r="C4441" s="349" t="s">
        <v>256</v>
      </c>
      <c r="D4441" s="483">
        <v>57.17</v>
      </c>
      <c r="E4441" s="483">
        <v>57.17</v>
      </c>
    </row>
    <row r="4442" spans="1:5" ht="30">
      <c r="A4442" s="494">
        <v>92397</v>
      </c>
      <c r="B4442" s="485" t="s">
        <v>18521</v>
      </c>
      <c r="C4442" s="484" t="s">
        <v>256</v>
      </c>
      <c r="D4442" s="486">
        <v>47.04</v>
      </c>
      <c r="E4442" s="486">
        <v>47.04</v>
      </c>
    </row>
    <row r="4443" spans="1:5" ht="30">
      <c r="A4443" s="495">
        <v>92398</v>
      </c>
      <c r="B4443" s="348" t="s">
        <v>18522</v>
      </c>
      <c r="C4443" s="349" t="s">
        <v>256</v>
      </c>
      <c r="D4443" s="483">
        <v>55.08</v>
      </c>
      <c r="E4443" s="483">
        <v>55.08</v>
      </c>
    </row>
    <row r="4444" spans="1:5" ht="30">
      <c r="A4444" s="494">
        <v>92399</v>
      </c>
      <c r="B4444" s="485" t="s">
        <v>5432</v>
      </c>
      <c r="C4444" s="484" t="s">
        <v>256</v>
      </c>
      <c r="D4444" s="486">
        <v>56.19</v>
      </c>
      <c r="E4444" s="486">
        <v>56.19</v>
      </c>
    </row>
    <row r="4445" spans="1:5" ht="30">
      <c r="A4445" s="495">
        <v>92400</v>
      </c>
      <c r="B4445" s="348" t="s">
        <v>18523</v>
      </c>
      <c r="C4445" s="349" t="s">
        <v>256</v>
      </c>
      <c r="D4445" s="483">
        <v>64.790000000000006</v>
      </c>
      <c r="E4445" s="483">
        <v>64.790000000000006</v>
      </c>
    </row>
    <row r="4446" spans="1:5" ht="30">
      <c r="A4446" s="494">
        <v>92401</v>
      </c>
      <c r="B4446" s="485" t="s">
        <v>5433</v>
      </c>
      <c r="C4446" s="484" t="s">
        <v>256</v>
      </c>
      <c r="D4446" s="486">
        <v>65.95</v>
      </c>
      <c r="E4446" s="486">
        <v>65.95</v>
      </c>
    </row>
    <row r="4447" spans="1:5" ht="30">
      <c r="A4447" s="495">
        <v>92402</v>
      </c>
      <c r="B4447" s="348" t="s">
        <v>18524</v>
      </c>
      <c r="C4447" s="349" t="s">
        <v>256</v>
      </c>
      <c r="D4447" s="483">
        <v>56.81</v>
      </c>
      <c r="E4447" s="483">
        <v>56.81</v>
      </c>
    </row>
    <row r="4448" spans="1:5" ht="30">
      <c r="A4448" s="494">
        <v>92403</v>
      </c>
      <c r="B4448" s="485" t="s">
        <v>18525</v>
      </c>
      <c r="C4448" s="484" t="s">
        <v>256</v>
      </c>
      <c r="D4448" s="486">
        <v>46.66</v>
      </c>
      <c r="E4448" s="486">
        <v>46.66</v>
      </c>
    </row>
    <row r="4449" spans="1:5" ht="30">
      <c r="A4449" s="495">
        <v>92404</v>
      </c>
      <c r="B4449" s="348" t="s">
        <v>18526</v>
      </c>
      <c r="C4449" s="349" t="s">
        <v>256</v>
      </c>
      <c r="D4449" s="483">
        <v>54.22</v>
      </c>
      <c r="E4449" s="483">
        <v>54.22</v>
      </c>
    </row>
    <row r="4450" spans="1:5" ht="30">
      <c r="A4450" s="494">
        <v>92405</v>
      </c>
      <c r="B4450" s="485" t="s">
        <v>18527</v>
      </c>
      <c r="C4450" s="484" t="s">
        <v>256</v>
      </c>
      <c r="D4450" s="486">
        <v>55.28</v>
      </c>
      <c r="E4450" s="486">
        <v>55.28</v>
      </c>
    </row>
    <row r="4451" spans="1:5" ht="30">
      <c r="A4451" s="495">
        <v>92406</v>
      </c>
      <c r="B4451" s="348" t="s">
        <v>18528</v>
      </c>
      <c r="C4451" s="349" t="s">
        <v>256</v>
      </c>
      <c r="D4451" s="483">
        <v>66.12</v>
      </c>
      <c r="E4451" s="483">
        <v>66.12</v>
      </c>
    </row>
    <row r="4452" spans="1:5" ht="30">
      <c r="A4452" s="494">
        <v>92407</v>
      </c>
      <c r="B4452" s="485" t="s">
        <v>18529</v>
      </c>
      <c r="C4452" s="484" t="s">
        <v>256</v>
      </c>
      <c r="D4452" s="486">
        <v>67.27</v>
      </c>
      <c r="E4452" s="486">
        <v>67.27</v>
      </c>
    </row>
    <row r="4453" spans="1:5" ht="30">
      <c r="A4453" s="495">
        <v>93679</v>
      </c>
      <c r="B4453" s="348" t="s">
        <v>18530</v>
      </c>
      <c r="C4453" s="349" t="s">
        <v>256</v>
      </c>
      <c r="D4453" s="483">
        <v>62.22</v>
      </c>
      <c r="E4453" s="483">
        <v>62.22</v>
      </c>
    </row>
    <row r="4454" spans="1:5" ht="30">
      <c r="A4454" s="494">
        <v>93680</v>
      </c>
      <c r="B4454" s="485" t="s">
        <v>18531</v>
      </c>
      <c r="C4454" s="484" t="s">
        <v>256</v>
      </c>
      <c r="D4454" s="486">
        <v>51.87</v>
      </c>
      <c r="E4454" s="486">
        <v>51.87</v>
      </c>
    </row>
    <row r="4455" spans="1:5" ht="30">
      <c r="A4455" s="495">
        <v>93681</v>
      </c>
      <c r="B4455" s="348" t="s">
        <v>18532</v>
      </c>
      <c r="C4455" s="349" t="s">
        <v>256</v>
      </c>
      <c r="D4455" s="483">
        <v>62.56</v>
      </c>
      <c r="E4455" s="483">
        <v>62.56</v>
      </c>
    </row>
    <row r="4456" spans="1:5" ht="30">
      <c r="A4456" s="494">
        <v>93682</v>
      </c>
      <c r="B4456" s="485" t="s">
        <v>5431</v>
      </c>
      <c r="C4456" s="484" t="s">
        <v>256</v>
      </c>
      <c r="D4456" s="486">
        <v>63.75</v>
      </c>
      <c r="E4456" s="486">
        <v>63.75</v>
      </c>
    </row>
    <row r="4457" spans="1:5" ht="30">
      <c r="A4457" s="495">
        <v>72947</v>
      </c>
      <c r="B4457" s="348" t="s">
        <v>18533</v>
      </c>
      <c r="C4457" s="349" t="s">
        <v>256</v>
      </c>
      <c r="D4457" s="483">
        <v>21.33</v>
      </c>
      <c r="E4457" s="483">
        <v>21.33</v>
      </c>
    </row>
    <row r="4458" spans="1:5">
      <c r="A4458" s="494">
        <v>83693</v>
      </c>
      <c r="B4458" s="485" t="s">
        <v>3019</v>
      </c>
      <c r="C4458" s="484" t="s">
        <v>256</v>
      </c>
      <c r="D4458" s="486">
        <v>3.09</v>
      </c>
      <c r="E4458" s="486">
        <v>3.09</v>
      </c>
    </row>
    <row r="4459" spans="1:5" ht="30">
      <c r="A4459" s="349" t="s">
        <v>18534</v>
      </c>
      <c r="B4459" s="348" t="s">
        <v>18535</v>
      </c>
      <c r="C4459" s="349" t="s">
        <v>71</v>
      </c>
      <c r="D4459" s="483">
        <v>491.47</v>
      </c>
      <c r="E4459" s="483">
        <v>491.47</v>
      </c>
    </row>
    <row r="4460" spans="1:5" ht="30">
      <c r="A4460" s="484" t="s">
        <v>18536</v>
      </c>
      <c r="B4460" s="485" t="s">
        <v>2466</v>
      </c>
      <c r="C4460" s="484" t="s">
        <v>71</v>
      </c>
      <c r="D4460" s="486">
        <v>427.05</v>
      </c>
      <c r="E4460" s="486">
        <v>427.05</v>
      </c>
    </row>
    <row r="4461" spans="1:5" ht="30">
      <c r="A4461" s="349" t="s">
        <v>18537</v>
      </c>
      <c r="B4461" s="348" t="s">
        <v>18538</v>
      </c>
      <c r="C4461" s="349" t="s">
        <v>256</v>
      </c>
      <c r="D4461" s="483">
        <v>4.4000000000000004</v>
      </c>
      <c r="E4461" s="483">
        <v>4.4000000000000004</v>
      </c>
    </row>
    <row r="4462" spans="1:5">
      <c r="A4462" s="494">
        <v>72962</v>
      </c>
      <c r="B4462" s="485" t="s">
        <v>855</v>
      </c>
      <c r="C4462" s="484" t="s">
        <v>152</v>
      </c>
      <c r="D4462" s="486">
        <v>199.43</v>
      </c>
      <c r="E4462" s="486">
        <v>199.43</v>
      </c>
    </row>
    <row r="4463" spans="1:5">
      <c r="A4463" s="495">
        <v>72963</v>
      </c>
      <c r="B4463" s="348" t="s">
        <v>856</v>
      </c>
      <c r="C4463" s="349" t="s">
        <v>152</v>
      </c>
      <c r="D4463" s="483">
        <v>166.75</v>
      </c>
      <c r="E4463" s="483">
        <v>166.75</v>
      </c>
    </row>
    <row r="4464" spans="1:5" ht="30">
      <c r="A4464" s="494">
        <v>72964</v>
      </c>
      <c r="B4464" s="485" t="s">
        <v>18539</v>
      </c>
      <c r="C4464" s="484" t="s">
        <v>152</v>
      </c>
      <c r="D4464" s="486">
        <v>177.13</v>
      </c>
      <c r="E4464" s="486">
        <v>177.13</v>
      </c>
    </row>
    <row r="4465" spans="1:5" ht="30">
      <c r="A4465" s="495">
        <v>72965</v>
      </c>
      <c r="B4465" s="348" t="s">
        <v>18540</v>
      </c>
      <c r="C4465" s="349" t="s">
        <v>152</v>
      </c>
      <c r="D4465" s="483">
        <v>212.4</v>
      </c>
      <c r="E4465" s="483">
        <v>212.4</v>
      </c>
    </row>
    <row r="4466" spans="1:5" ht="30">
      <c r="A4466" s="484" t="s">
        <v>18541</v>
      </c>
      <c r="B4466" s="485" t="s">
        <v>8417</v>
      </c>
      <c r="C4466" s="484" t="s">
        <v>255</v>
      </c>
      <c r="D4466" s="486">
        <v>342.78</v>
      </c>
      <c r="E4466" s="486">
        <v>342.78</v>
      </c>
    </row>
    <row r="4467" spans="1:5" ht="30">
      <c r="A4467" s="495">
        <v>73445</v>
      </c>
      <c r="B4467" s="348" t="s">
        <v>18542</v>
      </c>
      <c r="C4467" s="349" t="s">
        <v>256</v>
      </c>
      <c r="D4467" s="483">
        <v>7.56</v>
      </c>
      <c r="E4467" s="483">
        <v>7.56</v>
      </c>
    </row>
    <row r="4468" spans="1:5">
      <c r="A4468" s="494">
        <v>73446</v>
      </c>
      <c r="B4468" s="485" t="s">
        <v>8016</v>
      </c>
      <c r="C4468" s="484" t="s">
        <v>256</v>
      </c>
      <c r="D4468" s="486">
        <v>16.55</v>
      </c>
      <c r="E4468" s="486">
        <v>16.55</v>
      </c>
    </row>
    <row r="4469" spans="1:5">
      <c r="A4469" s="349" t="s">
        <v>18543</v>
      </c>
      <c r="B4469" s="348" t="s">
        <v>4921</v>
      </c>
      <c r="C4469" s="349" t="s">
        <v>256</v>
      </c>
      <c r="D4469" s="483">
        <v>14.81</v>
      </c>
      <c r="E4469" s="483">
        <v>14.81</v>
      </c>
    </row>
    <row r="4470" spans="1:5">
      <c r="A4470" s="484" t="s">
        <v>18544</v>
      </c>
      <c r="B4470" s="485" t="s">
        <v>4920</v>
      </c>
      <c r="C4470" s="484" t="s">
        <v>256</v>
      </c>
      <c r="D4470" s="486">
        <v>18.57</v>
      </c>
      <c r="E4470" s="486">
        <v>18.57</v>
      </c>
    </row>
    <row r="4471" spans="1:5">
      <c r="A4471" s="495">
        <v>79462</v>
      </c>
      <c r="B4471" s="348" t="s">
        <v>4922</v>
      </c>
      <c r="C4471" s="349" t="s">
        <v>256</v>
      </c>
      <c r="D4471" s="483">
        <v>48.35</v>
      </c>
      <c r="E4471" s="483">
        <v>48.35</v>
      </c>
    </row>
    <row r="4472" spans="1:5" ht="30">
      <c r="A4472" s="484" t="s">
        <v>18545</v>
      </c>
      <c r="B4472" s="485" t="s">
        <v>18546</v>
      </c>
      <c r="C4472" s="484" t="s">
        <v>256</v>
      </c>
      <c r="D4472" s="486">
        <v>9.76</v>
      </c>
      <c r="E4472" s="486">
        <v>9.76</v>
      </c>
    </row>
    <row r="4473" spans="1:5">
      <c r="A4473" s="495">
        <v>84651</v>
      </c>
      <c r="B4473" s="348" t="s">
        <v>8007</v>
      </c>
      <c r="C4473" s="349" t="s">
        <v>256</v>
      </c>
      <c r="D4473" s="483">
        <v>8.35</v>
      </c>
      <c r="E4473" s="483">
        <v>8.35</v>
      </c>
    </row>
    <row r="4474" spans="1:5" ht="30">
      <c r="A4474" s="494">
        <v>88411</v>
      </c>
      <c r="B4474" s="485" t="s">
        <v>18547</v>
      </c>
      <c r="C4474" s="484" t="s">
        <v>256</v>
      </c>
      <c r="D4474" s="486">
        <v>1.89</v>
      </c>
      <c r="E4474" s="486">
        <v>1.89</v>
      </c>
    </row>
    <row r="4475" spans="1:5" ht="30">
      <c r="A4475" s="495">
        <v>88412</v>
      </c>
      <c r="B4475" s="348" t="s">
        <v>18548</v>
      </c>
      <c r="C4475" s="349" t="s">
        <v>256</v>
      </c>
      <c r="D4475" s="483">
        <v>1.4</v>
      </c>
      <c r="E4475" s="483">
        <v>1.4</v>
      </c>
    </row>
    <row r="4476" spans="1:5" ht="30">
      <c r="A4476" s="494">
        <v>88413</v>
      </c>
      <c r="B4476" s="485" t="s">
        <v>861</v>
      </c>
      <c r="C4476" s="484" t="s">
        <v>256</v>
      </c>
      <c r="D4476" s="486">
        <v>2.88</v>
      </c>
      <c r="E4476" s="486">
        <v>2.88</v>
      </c>
    </row>
    <row r="4477" spans="1:5" ht="30">
      <c r="A4477" s="495">
        <v>88414</v>
      </c>
      <c r="B4477" s="348" t="s">
        <v>862</v>
      </c>
      <c r="C4477" s="349" t="s">
        <v>256</v>
      </c>
      <c r="D4477" s="483">
        <v>3.2</v>
      </c>
      <c r="E4477" s="483">
        <v>3.2</v>
      </c>
    </row>
    <row r="4478" spans="1:5" ht="30">
      <c r="A4478" s="494">
        <v>88415</v>
      </c>
      <c r="B4478" s="485" t="s">
        <v>18549</v>
      </c>
      <c r="C4478" s="484" t="s">
        <v>256</v>
      </c>
      <c r="D4478" s="486">
        <v>2.0499999999999998</v>
      </c>
      <c r="E4478" s="486">
        <v>2.0499999999999998</v>
      </c>
    </row>
    <row r="4479" spans="1:5" ht="30">
      <c r="A4479" s="495">
        <v>88416</v>
      </c>
      <c r="B4479" s="348" t="s">
        <v>18550</v>
      </c>
      <c r="C4479" s="349" t="s">
        <v>256</v>
      </c>
      <c r="D4479" s="483">
        <v>13.33</v>
      </c>
      <c r="E4479" s="483">
        <v>13.33</v>
      </c>
    </row>
    <row r="4480" spans="1:5" ht="45">
      <c r="A4480" s="494">
        <v>88417</v>
      </c>
      <c r="B4480" s="485" t="s">
        <v>18551</v>
      </c>
      <c r="C4480" s="484" t="s">
        <v>256</v>
      </c>
      <c r="D4480" s="486">
        <v>11.58</v>
      </c>
      <c r="E4480" s="486">
        <v>11.58</v>
      </c>
    </row>
    <row r="4481" spans="1:5" ht="30">
      <c r="A4481" s="495">
        <v>88420</v>
      </c>
      <c r="B4481" s="348" t="s">
        <v>18552</v>
      </c>
      <c r="C4481" s="349" t="s">
        <v>256</v>
      </c>
      <c r="D4481" s="483">
        <v>16.84</v>
      </c>
      <c r="E4481" s="483">
        <v>16.84</v>
      </c>
    </row>
    <row r="4482" spans="1:5" ht="30">
      <c r="A4482" s="494">
        <v>88421</v>
      </c>
      <c r="B4482" s="485" t="s">
        <v>18553</v>
      </c>
      <c r="C4482" s="484" t="s">
        <v>256</v>
      </c>
      <c r="D4482" s="486">
        <v>17.95</v>
      </c>
      <c r="E4482" s="486">
        <v>17.95</v>
      </c>
    </row>
    <row r="4483" spans="1:5" ht="30">
      <c r="A4483" s="495">
        <v>88423</v>
      </c>
      <c r="B4483" s="348" t="s">
        <v>863</v>
      </c>
      <c r="C4483" s="349" t="s">
        <v>256</v>
      </c>
      <c r="D4483" s="483">
        <v>13.87</v>
      </c>
      <c r="E4483" s="483">
        <v>13.87</v>
      </c>
    </row>
    <row r="4484" spans="1:5" ht="30">
      <c r="A4484" s="494">
        <v>88424</v>
      </c>
      <c r="B4484" s="485" t="s">
        <v>18554</v>
      </c>
      <c r="C4484" s="484" t="s">
        <v>256</v>
      </c>
      <c r="D4484" s="486">
        <v>15.71</v>
      </c>
      <c r="E4484" s="486">
        <v>15.71</v>
      </c>
    </row>
    <row r="4485" spans="1:5" ht="45">
      <c r="A4485" s="495">
        <v>88426</v>
      </c>
      <c r="B4485" s="348" t="s">
        <v>18555</v>
      </c>
      <c r="C4485" s="349" t="s">
        <v>256</v>
      </c>
      <c r="D4485" s="483">
        <v>12.7</v>
      </c>
      <c r="E4485" s="483">
        <v>12.7</v>
      </c>
    </row>
    <row r="4486" spans="1:5" ht="30">
      <c r="A4486" s="494">
        <v>88428</v>
      </c>
      <c r="B4486" s="485" t="s">
        <v>18556</v>
      </c>
      <c r="C4486" s="484" t="s">
        <v>256</v>
      </c>
      <c r="D4486" s="486">
        <v>21.77</v>
      </c>
      <c r="E4486" s="486">
        <v>21.77</v>
      </c>
    </row>
    <row r="4487" spans="1:5" ht="30">
      <c r="A4487" s="495">
        <v>88429</v>
      </c>
      <c r="B4487" s="348" t="s">
        <v>18557</v>
      </c>
      <c r="C4487" s="349" t="s">
        <v>256</v>
      </c>
      <c r="D4487" s="483">
        <v>23.7</v>
      </c>
      <c r="E4487" s="483">
        <v>23.7</v>
      </c>
    </row>
    <row r="4488" spans="1:5" ht="30">
      <c r="A4488" s="494">
        <v>88431</v>
      </c>
      <c r="B4488" s="485" t="s">
        <v>864</v>
      </c>
      <c r="C4488" s="484" t="s">
        <v>256</v>
      </c>
      <c r="D4488" s="486">
        <v>16.670000000000002</v>
      </c>
      <c r="E4488" s="486">
        <v>16.670000000000002</v>
      </c>
    </row>
    <row r="4489" spans="1:5" ht="30">
      <c r="A4489" s="495">
        <v>88432</v>
      </c>
      <c r="B4489" s="348" t="s">
        <v>1932</v>
      </c>
      <c r="C4489" s="349" t="s">
        <v>256</v>
      </c>
      <c r="D4489" s="483">
        <v>12.24</v>
      </c>
      <c r="E4489" s="483">
        <v>12.24</v>
      </c>
    </row>
    <row r="4490" spans="1:5">
      <c r="A4490" s="494">
        <v>88482</v>
      </c>
      <c r="B4490" s="485" t="s">
        <v>865</v>
      </c>
      <c r="C4490" s="484" t="s">
        <v>256</v>
      </c>
      <c r="D4490" s="486">
        <v>2.5</v>
      </c>
      <c r="E4490" s="486">
        <v>2.5</v>
      </c>
    </row>
    <row r="4491" spans="1:5">
      <c r="A4491" s="495">
        <v>88483</v>
      </c>
      <c r="B4491" s="348" t="s">
        <v>866</v>
      </c>
      <c r="C4491" s="349" t="s">
        <v>256</v>
      </c>
      <c r="D4491" s="483">
        <v>2.29</v>
      </c>
      <c r="E4491" s="483">
        <v>2.29</v>
      </c>
    </row>
    <row r="4492" spans="1:5">
      <c r="A4492" s="494">
        <v>88484</v>
      </c>
      <c r="B4492" s="485" t="s">
        <v>867</v>
      </c>
      <c r="C4492" s="484" t="s">
        <v>256</v>
      </c>
      <c r="D4492" s="486">
        <v>2.0699999999999998</v>
      </c>
      <c r="E4492" s="486">
        <v>2.0699999999999998</v>
      </c>
    </row>
    <row r="4493" spans="1:5">
      <c r="A4493" s="495">
        <v>88485</v>
      </c>
      <c r="B4493" s="348" t="s">
        <v>868</v>
      </c>
      <c r="C4493" s="349" t="s">
        <v>256</v>
      </c>
      <c r="D4493" s="483">
        <v>1.77</v>
      </c>
      <c r="E4493" s="483">
        <v>1.77</v>
      </c>
    </row>
    <row r="4494" spans="1:5">
      <c r="A4494" s="494">
        <v>88486</v>
      </c>
      <c r="B4494" s="485" t="s">
        <v>869</v>
      </c>
      <c r="C4494" s="484" t="s">
        <v>256</v>
      </c>
      <c r="D4494" s="486">
        <v>8.77</v>
      </c>
      <c r="E4494" s="486">
        <v>8.77</v>
      </c>
    </row>
    <row r="4495" spans="1:5" ht="30">
      <c r="A4495" s="495">
        <v>88487</v>
      </c>
      <c r="B4495" s="348" t="s">
        <v>18558</v>
      </c>
      <c r="C4495" s="349" t="s">
        <v>256</v>
      </c>
      <c r="D4495" s="483">
        <v>7.84</v>
      </c>
      <c r="E4495" s="483">
        <v>7.84</v>
      </c>
    </row>
    <row r="4496" spans="1:5" ht="30">
      <c r="A4496" s="494">
        <v>88488</v>
      </c>
      <c r="B4496" s="485" t="s">
        <v>18559</v>
      </c>
      <c r="C4496" s="484" t="s">
        <v>256</v>
      </c>
      <c r="D4496" s="486">
        <v>11.26</v>
      </c>
      <c r="E4496" s="486">
        <v>11.26</v>
      </c>
    </row>
    <row r="4497" spans="1:5" ht="30">
      <c r="A4497" s="495">
        <v>88489</v>
      </c>
      <c r="B4497" s="348" t="s">
        <v>870</v>
      </c>
      <c r="C4497" s="349" t="s">
        <v>256</v>
      </c>
      <c r="D4497" s="483">
        <v>9.94</v>
      </c>
      <c r="E4497" s="483">
        <v>9.94</v>
      </c>
    </row>
    <row r="4498" spans="1:5" ht="30">
      <c r="A4498" s="494">
        <v>88490</v>
      </c>
      <c r="B4498" s="485" t="s">
        <v>18560</v>
      </c>
      <c r="C4498" s="484" t="s">
        <v>256</v>
      </c>
      <c r="D4498" s="486">
        <v>6.35</v>
      </c>
      <c r="E4498" s="486">
        <v>6.35</v>
      </c>
    </row>
    <row r="4499" spans="1:5" ht="30">
      <c r="A4499" s="495">
        <v>88491</v>
      </c>
      <c r="B4499" s="348" t="s">
        <v>18561</v>
      </c>
      <c r="C4499" s="349" t="s">
        <v>256</v>
      </c>
      <c r="D4499" s="483">
        <v>6.12</v>
      </c>
      <c r="E4499" s="483">
        <v>6.12</v>
      </c>
    </row>
    <row r="4500" spans="1:5" ht="30">
      <c r="A4500" s="494">
        <v>88492</v>
      </c>
      <c r="B4500" s="485" t="s">
        <v>18562</v>
      </c>
      <c r="C4500" s="484" t="s">
        <v>256</v>
      </c>
      <c r="D4500" s="486">
        <v>7.64</v>
      </c>
      <c r="E4500" s="486">
        <v>7.64</v>
      </c>
    </row>
    <row r="4501" spans="1:5" ht="30">
      <c r="A4501" s="495">
        <v>88493</v>
      </c>
      <c r="B4501" s="348" t="s">
        <v>18563</v>
      </c>
      <c r="C4501" s="349" t="s">
        <v>256</v>
      </c>
      <c r="D4501" s="483">
        <v>7.3</v>
      </c>
      <c r="E4501" s="483">
        <v>7.3</v>
      </c>
    </row>
    <row r="4502" spans="1:5">
      <c r="A4502" s="494">
        <v>88494</v>
      </c>
      <c r="B4502" s="485" t="s">
        <v>871</v>
      </c>
      <c r="C4502" s="484" t="s">
        <v>256</v>
      </c>
      <c r="D4502" s="486">
        <v>14.15</v>
      </c>
      <c r="E4502" s="486">
        <v>14.15</v>
      </c>
    </row>
    <row r="4503" spans="1:5">
      <c r="A4503" s="495">
        <v>88495</v>
      </c>
      <c r="B4503" s="348" t="s">
        <v>872</v>
      </c>
      <c r="C4503" s="349" t="s">
        <v>256</v>
      </c>
      <c r="D4503" s="483">
        <v>7.8</v>
      </c>
      <c r="E4503" s="483">
        <v>7.8</v>
      </c>
    </row>
    <row r="4504" spans="1:5">
      <c r="A4504" s="494">
        <v>88496</v>
      </c>
      <c r="B4504" s="485" t="s">
        <v>873</v>
      </c>
      <c r="C4504" s="484" t="s">
        <v>256</v>
      </c>
      <c r="D4504" s="486">
        <v>19.22</v>
      </c>
      <c r="E4504" s="486">
        <v>19.22</v>
      </c>
    </row>
    <row r="4505" spans="1:5">
      <c r="A4505" s="495">
        <v>88497</v>
      </c>
      <c r="B4505" s="348" t="s">
        <v>18564</v>
      </c>
      <c r="C4505" s="349" t="s">
        <v>256</v>
      </c>
      <c r="D4505" s="483">
        <v>10.73</v>
      </c>
      <c r="E4505" s="483">
        <v>10.73</v>
      </c>
    </row>
    <row r="4506" spans="1:5">
      <c r="A4506" s="494">
        <v>95305</v>
      </c>
      <c r="B4506" s="485" t="s">
        <v>9665</v>
      </c>
      <c r="C4506" s="484" t="s">
        <v>256</v>
      </c>
      <c r="D4506" s="486">
        <v>10.31</v>
      </c>
      <c r="E4506" s="486">
        <v>10.31</v>
      </c>
    </row>
    <row r="4507" spans="1:5">
      <c r="A4507" s="495">
        <v>95306</v>
      </c>
      <c r="B4507" s="348" t="s">
        <v>9666</v>
      </c>
      <c r="C4507" s="349" t="s">
        <v>256</v>
      </c>
      <c r="D4507" s="483">
        <v>11.98</v>
      </c>
      <c r="E4507" s="483">
        <v>11.98</v>
      </c>
    </row>
    <row r="4508" spans="1:5" ht="30">
      <c r="A4508" s="494">
        <v>95622</v>
      </c>
      <c r="B4508" s="485" t="s">
        <v>11116</v>
      </c>
      <c r="C4508" s="484" t="s">
        <v>256</v>
      </c>
      <c r="D4508" s="486">
        <v>10.14</v>
      </c>
      <c r="E4508" s="486">
        <v>10.14</v>
      </c>
    </row>
    <row r="4509" spans="1:5" ht="30">
      <c r="A4509" s="495">
        <v>95623</v>
      </c>
      <c r="B4509" s="348" t="s">
        <v>11117</v>
      </c>
      <c r="C4509" s="349" t="s">
        <v>256</v>
      </c>
      <c r="D4509" s="483">
        <v>7.77</v>
      </c>
      <c r="E4509" s="483">
        <v>7.77</v>
      </c>
    </row>
    <row r="4510" spans="1:5" ht="30">
      <c r="A4510" s="494">
        <v>95624</v>
      </c>
      <c r="B4510" s="485" t="s">
        <v>18565</v>
      </c>
      <c r="C4510" s="484" t="s">
        <v>256</v>
      </c>
      <c r="D4510" s="486">
        <v>14.98</v>
      </c>
      <c r="E4510" s="486">
        <v>14.98</v>
      </c>
    </row>
    <row r="4511" spans="1:5" ht="30">
      <c r="A4511" s="495">
        <v>95625</v>
      </c>
      <c r="B4511" s="348" t="s">
        <v>18566</v>
      </c>
      <c r="C4511" s="349" t="s">
        <v>256</v>
      </c>
      <c r="D4511" s="483">
        <v>16.510000000000002</v>
      </c>
      <c r="E4511" s="483">
        <v>16.510000000000002</v>
      </c>
    </row>
    <row r="4512" spans="1:5" ht="30">
      <c r="A4512" s="494">
        <v>95626</v>
      </c>
      <c r="B4512" s="485" t="s">
        <v>11120</v>
      </c>
      <c r="C4512" s="484" t="s">
        <v>256</v>
      </c>
      <c r="D4512" s="486">
        <v>10.91</v>
      </c>
      <c r="E4512" s="486">
        <v>10.91</v>
      </c>
    </row>
    <row r="4513" spans="1:5">
      <c r="A4513" s="495">
        <v>79460</v>
      </c>
      <c r="B4513" s="348" t="s">
        <v>8019</v>
      </c>
      <c r="C4513" s="349" t="s">
        <v>256</v>
      </c>
      <c r="D4513" s="483">
        <v>33.25</v>
      </c>
      <c r="E4513" s="483">
        <v>33.25</v>
      </c>
    </row>
    <row r="4514" spans="1:5">
      <c r="A4514" s="494">
        <v>79465</v>
      </c>
      <c r="B4514" s="485" t="s">
        <v>8006</v>
      </c>
      <c r="C4514" s="484" t="s">
        <v>256</v>
      </c>
      <c r="D4514" s="486">
        <v>33.65</v>
      </c>
      <c r="E4514" s="486">
        <v>33.65</v>
      </c>
    </row>
    <row r="4515" spans="1:5">
      <c r="A4515" s="349" t="s">
        <v>18567</v>
      </c>
      <c r="B4515" s="348" t="s">
        <v>8020</v>
      </c>
      <c r="C4515" s="349" t="s">
        <v>256</v>
      </c>
      <c r="D4515" s="483">
        <v>46.22</v>
      </c>
      <c r="E4515" s="483">
        <v>46.22</v>
      </c>
    </row>
    <row r="4516" spans="1:5">
      <c r="A4516" s="494">
        <v>84647</v>
      </c>
      <c r="B4516" s="485" t="s">
        <v>8018</v>
      </c>
      <c r="C4516" s="484" t="s">
        <v>256</v>
      </c>
      <c r="D4516" s="486">
        <v>112.1</v>
      </c>
      <c r="E4516" s="486">
        <v>112.1</v>
      </c>
    </row>
    <row r="4517" spans="1:5">
      <c r="A4517" s="495">
        <v>84656</v>
      </c>
      <c r="B4517" s="348" t="s">
        <v>10061</v>
      </c>
      <c r="C4517" s="349" t="s">
        <v>256</v>
      </c>
      <c r="D4517" s="483">
        <v>28.36</v>
      </c>
      <c r="E4517" s="483">
        <v>28.36</v>
      </c>
    </row>
    <row r="4518" spans="1:5">
      <c r="A4518" s="494">
        <v>84677</v>
      </c>
      <c r="B4518" s="485" t="s">
        <v>10771</v>
      </c>
      <c r="C4518" s="484" t="s">
        <v>256</v>
      </c>
      <c r="D4518" s="486">
        <v>9.6</v>
      </c>
      <c r="E4518" s="486">
        <v>9.6</v>
      </c>
    </row>
    <row r="4519" spans="1:5">
      <c r="A4519" s="495">
        <v>84678</v>
      </c>
      <c r="B4519" s="348" t="s">
        <v>10769</v>
      </c>
      <c r="C4519" s="349" t="s">
        <v>256</v>
      </c>
      <c r="D4519" s="483">
        <v>15.75</v>
      </c>
      <c r="E4519" s="483">
        <v>15.75</v>
      </c>
    </row>
    <row r="4520" spans="1:5">
      <c r="A4520" s="494">
        <v>6082</v>
      </c>
      <c r="B4520" s="485" t="s">
        <v>8017</v>
      </c>
      <c r="C4520" s="484" t="s">
        <v>256</v>
      </c>
      <c r="D4520" s="486">
        <v>13.96</v>
      </c>
      <c r="E4520" s="486">
        <v>13.96</v>
      </c>
    </row>
    <row r="4521" spans="1:5">
      <c r="A4521" s="495">
        <v>40905</v>
      </c>
      <c r="B4521" s="348" t="s">
        <v>10775</v>
      </c>
      <c r="C4521" s="349" t="s">
        <v>256</v>
      </c>
      <c r="D4521" s="483">
        <v>17.329999999999998</v>
      </c>
      <c r="E4521" s="483">
        <v>17.329999999999998</v>
      </c>
    </row>
    <row r="4522" spans="1:5">
      <c r="A4522" s="484" t="s">
        <v>18568</v>
      </c>
      <c r="B4522" s="485" t="s">
        <v>8021</v>
      </c>
      <c r="C4522" s="484" t="s">
        <v>256</v>
      </c>
      <c r="D4522" s="486">
        <v>13.59</v>
      </c>
      <c r="E4522" s="486">
        <v>13.59</v>
      </c>
    </row>
    <row r="4523" spans="1:5">
      <c r="A4523" s="349" t="s">
        <v>18569</v>
      </c>
      <c r="B4523" s="348" t="s">
        <v>8028</v>
      </c>
      <c r="C4523" s="349" t="s">
        <v>256</v>
      </c>
      <c r="D4523" s="483">
        <v>19.690000000000001</v>
      </c>
      <c r="E4523" s="483">
        <v>19.690000000000001</v>
      </c>
    </row>
    <row r="4524" spans="1:5" ht="30">
      <c r="A4524" s="484" t="s">
        <v>18570</v>
      </c>
      <c r="B4524" s="485" t="s">
        <v>18571</v>
      </c>
      <c r="C4524" s="484" t="s">
        <v>256</v>
      </c>
      <c r="D4524" s="486">
        <v>19.399999999999999</v>
      </c>
      <c r="E4524" s="486">
        <v>19.399999999999999</v>
      </c>
    </row>
    <row r="4525" spans="1:5" ht="30">
      <c r="A4525" s="349" t="s">
        <v>18572</v>
      </c>
      <c r="B4525" s="348" t="s">
        <v>18573</v>
      </c>
      <c r="C4525" s="349" t="s">
        <v>256</v>
      </c>
      <c r="D4525" s="483">
        <v>19.309999999999999</v>
      </c>
      <c r="E4525" s="483">
        <v>19.309999999999999</v>
      </c>
    </row>
    <row r="4526" spans="1:5">
      <c r="A4526" s="494">
        <v>79463</v>
      </c>
      <c r="B4526" s="485" t="s">
        <v>7997</v>
      </c>
      <c r="C4526" s="484" t="s">
        <v>256</v>
      </c>
      <c r="D4526" s="486">
        <v>11.55</v>
      </c>
      <c r="E4526" s="486">
        <v>11.55</v>
      </c>
    </row>
    <row r="4527" spans="1:5">
      <c r="A4527" s="495">
        <v>79464</v>
      </c>
      <c r="B4527" s="348" t="s">
        <v>7998</v>
      </c>
      <c r="C4527" s="349" t="s">
        <v>256</v>
      </c>
      <c r="D4527" s="483">
        <v>15.39</v>
      </c>
      <c r="E4527" s="483">
        <v>15.39</v>
      </c>
    </row>
    <row r="4528" spans="1:5">
      <c r="A4528" s="484" t="s">
        <v>18574</v>
      </c>
      <c r="B4528" s="485" t="s">
        <v>7999</v>
      </c>
      <c r="C4528" s="484" t="s">
        <v>256</v>
      </c>
      <c r="D4528" s="486">
        <v>19.03</v>
      </c>
      <c r="E4528" s="486">
        <v>19.03</v>
      </c>
    </row>
    <row r="4529" spans="1:5">
      <c r="A4529" s="495">
        <v>84645</v>
      </c>
      <c r="B4529" s="348" t="s">
        <v>10774</v>
      </c>
      <c r="C4529" s="349" t="s">
        <v>256</v>
      </c>
      <c r="D4529" s="483">
        <v>14.7</v>
      </c>
      <c r="E4529" s="483">
        <v>14.7</v>
      </c>
    </row>
    <row r="4530" spans="1:5">
      <c r="A4530" s="494">
        <v>84657</v>
      </c>
      <c r="B4530" s="485" t="s">
        <v>5711</v>
      </c>
      <c r="C4530" s="484" t="s">
        <v>256</v>
      </c>
      <c r="D4530" s="486">
        <v>8.4499999999999993</v>
      </c>
      <c r="E4530" s="486">
        <v>8.4499999999999993</v>
      </c>
    </row>
    <row r="4531" spans="1:5">
      <c r="A4531" s="495">
        <v>84659</v>
      </c>
      <c r="B4531" s="348" t="s">
        <v>8027</v>
      </c>
      <c r="C4531" s="349" t="s">
        <v>256</v>
      </c>
      <c r="D4531" s="483">
        <v>12.43</v>
      </c>
      <c r="E4531" s="483">
        <v>12.43</v>
      </c>
    </row>
    <row r="4532" spans="1:5">
      <c r="A4532" s="494">
        <v>84679</v>
      </c>
      <c r="B4532" s="485" t="s">
        <v>8034</v>
      </c>
      <c r="C4532" s="484" t="s">
        <v>256</v>
      </c>
      <c r="D4532" s="486">
        <v>15.84</v>
      </c>
      <c r="E4532" s="486">
        <v>15.84</v>
      </c>
    </row>
    <row r="4533" spans="1:5">
      <c r="A4533" s="495">
        <v>95464</v>
      </c>
      <c r="B4533" s="348" t="s">
        <v>8037</v>
      </c>
      <c r="C4533" s="349" t="s">
        <v>256</v>
      </c>
      <c r="D4533" s="483">
        <v>17.399999999999999</v>
      </c>
      <c r="E4533" s="483">
        <v>17.399999999999999</v>
      </c>
    </row>
    <row r="4534" spans="1:5">
      <c r="A4534" s="494">
        <v>73656</v>
      </c>
      <c r="B4534" s="485" t="s">
        <v>6238</v>
      </c>
      <c r="C4534" s="484" t="s">
        <v>256</v>
      </c>
      <c r="D4534" s="486">
        <v>15.49</v>
      </c>
      <c r="E4534" s="486">
        <v>15.49</v>
      </c>
    </row>
    <row r="4535" spans="1:5" ht="30">
      <c r="A4535" s="349" t="s">
        <v>18575</v>
      </c>
      <c r="B4535" s="348" t="s">
        <v>18576</v>
      </c>
      <c r="C4535" s="349" t="s">
        <v>256</v>
      </c>
      <c r="D4535" s="483">
        <v>28.95</v>
      </c>
      <c r="E4535" s="483">
        <v>28.95</v>
      </c>
    </row>
    <row r="4536" spans="1:5" ht="30">
      <c r="A4536" s="484" t="s">
        <v>18577</v>
      </c>
      <c r="B4536" s="485" t="s">
        <v>5709</v>
      </c>
      <c r="C4536" s="484" t="s">
        <v>256</v>
      </c>
      <c r="D4536" s="486">
        <v>7.26</v>
      </c>
      <c r="E4536" s="486">
        <v>7.26</v>
      </c>
    </row>
    <row r="4537" spans="1:5">
      <c r="A4537" s="349" t="s">
        <v>18578</v>
      </c>
      <c r="B4537" s="348" t="s">
        <v>8024</v>
      </c>
      <c r="C4537" s="349" t="s">
        <v>256</v>
      </c>
      <c r="D4537" s="483">
        <v>20.9</v>
      </c>
      <c r="E4537" s="483">
        <v>20.9</v>
      </c>
    </row>
    <row r="4538" spans="1:5">
      <c r="A4538" s="484" t="s">
        <v>18579</v>
      </c>
      <c r="B4538" s="485" t="s">
        <v>8023</v>
      </c>
      <c r="C4538" s="484" t="s">
        <v>256</v>
      </c>
      <c r="D4538" s="486">
        <v>20.99</v>
      </c>
      <c r="E4538" s="486">
        <v>20.99</v>
      </c>
    </row>
    <row r="4539" spans="1:5">
      <c r="A4539" s="349" t="s">
        <v>18580</v>
      </c>
      <c r="B4539" s="348" t="s">
        <v>8029</v>
      </c>
      <c r="C4539" s="349" t="s">
        <v>256</v>
      </c>
      <c r="D4539" s="483">
        <v>21.28</v>
      </c>
      <c r="E4539" s="483">
        <v>21.28</v>
      </c>
    </row>
    <row r="4540" spans="1:5">
      <c r="A4540" s="484" t="s">
        <v>18581</v>
      </c>
      <c r="B4540" s="485" t="s">
        <v>5705</v>
      </c>
      <c r="C4540" s="484" t="s">
        <v>256</v>
      </c>
      <c r="D4540" s="486">
        <v>15.77</v>
      </c>
      <c r="E4540" s="486">
        <v>15.77</v>
      </c>
    </row>
    <row r="4541" spans="1:5">
      <c r="A4541" s="349" t="s">
        <v>18582</v>
      </c>
      <c r="B4541" s="348" t="s">
        <v>5706</v>
      </c>
      <c r="C4541" s="349" t="s">
        <v>256</v>
      </c>
      <c r="D4541" s="483">
        <v>10.41</v>
      </c>
      <c r="E4541" s="483">
        <v>10.41</v>
      </c>
    </row>
    <row r="4542" spans="1:5" ht="30">
      <c r="A4542" s="484" t="s">
        <v>18583</v>
      </c>
      <c r="B4542" s="485" t="s">
        <v>18584</v>
      </c>
      <c r="C4542" s="484" t="s">
        <v>256</v>
      </c>
      <c r="D4542" s="486">
        <v>13.71</v>
      </c>
      <c r="E4542" s="486">
        <v>13.71</v>
      </c>
    </row>
    <row r="4543" spans="1:5" ht="30">
      <c r="A4543" s="349" t="s">
        <v>18585</v>
      </c>
      <c r="B4543" s="348" t="s">
        <v>7996</v>
      </c>
      <c r="C4543" s="349" t="s">
        <v>256</v>
      </c>
      <c r="D4543" s="483">
        <v>13.15</v>
      </c>
      <c r="E4543" s="483">
        <v>13.15</v>
      </c>
    </row>
    <row r="4544" spans="1:5" ht="30">
      <c r="A4544" s="484" t="s">
        <v>18586</v>
      </c>
      <c r="B4544" s="485" t="s">
        <v>18587</v>
      </c>
      <c r="C4544" s="484" t="s">
        <v>65</v>
      </c>
      <c r="D4544" s="486">
        <v>16.77</v>
      </c>
      <c r="E4544" s="486">
        <v>16.77</v>
      </c>
    </row>
    <row r="4545" spans="1:5">
      <c r="A4545" s="349" t="s">
        <v>18588</v>
      </c>
      <c r="B4545" s="348" t="s">
        <v>8009</v>
      </c>
      <c r="C4545" s="349" t="s">
        <v>256</v>
      </c>
      <c r="D4545" s="483">
        <v>26.43</v>
      </c>
      <c r="E4545" s="483">
        <v>26.43</v>
      </c>
    </row>
    <row r="4546" spans="1:5" ht="30">
      <c r="A4546" s="494">
        <v>84660</v>
      </c>
      <c r="B4546" s="485" t="s">
        <v>5710</v>
      </c>
      <c r="C4546" s="484" t="s">
        <v>256</v>
      </c>
      <c r="D4546" s="486">
        <v>5.23</v>
      </c>
      <c r="E4546" s="486">
        <v>5.23</v>
      </c>
    </row>
    <row r="4547" spans="1:5" ht="30">
      <c r="A4547" s="495">
        <v>84661</v>
      </c>
      <c r="B4547" s="348" t="s">
        <v>18589</v>
      </c>
      <c r="C4547" s="349" t="s">
        <v>256</v>
      </c>
      <c r="D4547" s="483">
        <v>13.36</v>
      </c>
      <c r="E4547" s="483">
        <v>13.36</v>
      </c>
    </row>
    <row r="4548" spans="1:5" ht="30">
      <c r="A4548" s="494">
        <v>84662</v>
      </c>
      <c r="B4548" s="485" t="s">
        <v>18590</v>
      </c>
      <c r="C4548" s="484" t="s">
        <v>256</v>
      </c>
      <c r="D4548" s="486">
        <v>21.19</v>
      </c>
      <c r="E4548" s="486">
        <v>21.19</v>
      </c>
    </row>
    <row r="4549" spans="1:5" ht="30">
      <c r="A4549" s="495">
        <v>95468</v>
      </c>
      <c r="B4549" s="348" t="s">
        <v>18591</v>
      </c>
      <c r="C4549" s="349" t="s">
        <v>256</v>
      </c>
      <c r="D4549" s="483">
        <v>31.21</v>
      </c>
      <c r="E4549" s="483">
        <v>31.21</v>
      </c>
    </row>
    <row r="4550" spans="1:5">
      <c r="A4550" s="494">
        <v>41595</v>
      </c>
      <c r="B4550" s="485" t="s">
        <v>8000</v>
      </c>
      <c r="C4550" s="484" t="s">
        <v>71</v>
      </c>
      <c r="D4550" s="486">
        <v>8.91</v>
      </c>
      <c r="E4550" s="486">
        <v>8.91</v>
      </c>
    </row>
    <row r="4551" spans="1:5">
      <c r="A4551" s="349" t="s">
        <v>18592</v>
      </c>
      <c r="B4551" s="348" t="s">
        <v>8032</v>
      </c>
      <c r="C4551" s="349" t="s">
        <v>256</v>
      </c>
      <c r="D4551" s="483">
        <v>15.36</v>
      </c>
      <c r="E4551" s="483">
        <v>15.36</v>
      </c>
    </row>
    <row r="4552" spans="1:5">
      <c r="A4552" s="484" t="s">
        <v>18593</v>
      </c>
      <c r="B4552" s="485" t="s">
        <v>8001</v>
      </c>
      <c r="C4552" s="484" t="s">
        <v>256</v>
      </c>
      <c r="D4552" s="486">
        <v>11.73</v>
      </c>
      <c r="E4552" s="486">
        <v>11.73</v>
      </c>
    </row>
    <row r="4553" spans="1:5" ht="30">
      <c r="A4553" s="495">
        <v>79467</v>
      </c>
      <c r="B4553" s="348" t="s">
        <v>18594</v>
      </c>
      <c r="C4553" s="349" t="s">
        <v>893</v>
      </c>
      <c r="D4553" s="483">
        <v>10.9</v>
      </c>
      <c r="E4553" s="483">
        <v>10.9</v>
      </c>
    </row>
    <row r="4554" spans="1:5">
      <c r="A4554" s="484" t="s">
        <v>18595</v>
      </c>
      <c r="B4554" s="485" t="s">
        <v>8002</v>
      </c>
      <c r="C4554" s="484" t="s">
        <v>256</v>
      </c>
      <c r="D4554" s="486">
        <v>16.420000000000002</v>
      </c>
      <c r="E4554" s="486">
        <v>16.420000000000002</v>
      </c>
    </row>
    <row r="4555" spans="1:5">
      <c r="A4555" s="495">
        <v>84663</v>
      </c>
      <c r="B4555" s="348" t="s">
        <v>18596</v>
      </c>
      <c r="C4555" s="349" t="s">
        <v>256</v>
      </c>
      <c r="D4555" s="483">
        <v>17.95</v>
      </c>
      <c r="E4555" s="483">
        <v>17.95</v>
      </c>
    </row>
    <row r="4556" spans="1:5">
      <c r="A4556" s="494">
        <v>84665</v>
      </c>
      <c r="B4556" s="485" t="s">
        <v>8003</v>
      </c>
      <c r="C4556" s="484" t="s">
        <v>256</v>
      </c>
      <c r="D4556" s="486">
        <v>17.2</v>
      </c>
      <c r="E4556" s="486">
        <v>17.2</v>
      </c>
    </row>
    <row r="4557" spans="1:5">
      <c r="A4557" s="495">
        <v>84666</v>
      </c>
      <c r="B4557" s="348" t="s">
        <v>895</v>
      </c>
      <c r="C4557" s="349" t="s">
        <v>256</v>
      </c>
      <c r="D4557" s="483">
        <v>16.600000000000001</v>
      </c>
      <c r="E4557" s="483">
        <v>16.600000000000001</v>
      </c>
    </row>
    <row r="4558" spans="1:5">
      <c r="A4558" s="494">
        <v>75889</v>
      </c>
      <c r="B4558" s="485" t="s">
        <v>8035</v>
      </c>
      <c r="C4558" s="484" t="s">
        <v>256</v>
      </c>
      <c r="D4558" s="486">
        <v>15</v>
      </c>
      <c r="E4558" s="486">
        <v>15</v>
      </c>
    </row>
    <row r="4559" spans="1:5" ht="30">
      <c r="A4559" s="495">
        <v>73465</v>
      </c>
      <c r="B4559" s="348" t="s">
        <v>18597</v>
      </c>
      <c r="C4559" s="349" t="s">
        <v>256</v>
      </c>
      <c r="D4559" s="483">
        <v>30.31</v>
      </c>
      <c r="E4559" s="483">
        <v>30.31</v>
      </c>
    </row>
    <row r="4560" spans="1:5" ht="30">
      <c r="A4560" s="494">
        <v>73676</v>
      </c>
      <c r="B4560" s="485" t="s">
        <v>18598</v>
      </c>
      <c r="C4560" s="484" t="s">
        <v>256</v>
      </c>
      <c r="D4560" s="486">
        <v>47.28</v>
      </c>
      <c r="E4560" s="486">
        <v>47.28</v>
      </c>
    </row>
    <row r="4561" spans="1:5" ht="30">
      <c r="A4561" s="349" t="s">
        <v>18599</v>
      </c>
      <c r="B4561" s="348" t="s">
        <v>18600</v>
      </c>
      <c r="C4561" s="349" t="s">
        <v>256</v>
      </c>
      <c r="D4561" s="483">
        <v>45.21</v>
      </c>
      <c r="E4561" s="483">
        <v>45.21</v>
      </c>
    </row>
    <row r="4562" spans="1:5" ht="30">
      <c r="A4562" s="484" t="s">
        <v>18601</v>
      </c>
      <c r="B4562" s="485" t="s">
        <v>18602</v>
      </c>
      <c r="C4562" s="484" t="s">
        <v>256</v>
      </c>
      <c r="D4562" s="486">
        <v>40.69</v>
      </c>
      <c r="E4562" s="486">
        <v>40.69</v>
      </c>
    </row>
    <row r="4563" spans="1:5" ht="30">
      <c r="A4563" s="349" t="s">
        <v>18603</v>
      </c>
      <c r="B4563" s="348" t="s">
        <v>18604</v>
      </c>
      <c r="C4563" s="349" t="s">
        <v>256</v>
      </c>
      <c r="D4563" s="483">
        <v>39.54</v>
      </c>
      <c r="E4563" s="483">
        <v>39.54</v>
      </c>
    </row>
    <row r="4564" spans="1:5" ht="30">
      <c r="A4564" s="484" t="s">
        <v>18605</v>
      </c>
      <c r="B4564" s="485" t="s">
        <v>18606</v>
      </c>
      <c r="C4564" s="484" t="s">
        <v>256</v>
      </c>
      <c r="D4564" s="486">
        <v>38.950000000000003</v>
      </c>
      <c r="E4564" s="486">
        <v>38.950000000000003</v>
      </c>
    </row>
    <row r="4565" spans="1:5" ht="30">
      <c r="A4565" s="349" t="s">
        <v>18607</v>
      </c>
      <c r="B4565" s="348" t="s">
        <v>18608</v>
      </c>
      <c r="C4565" s="349" t="s">
        <v>256</v>
      </c>
      <c r="D4565" s="483">
        <v>43.32</v>
      </c>
      <c r="E4565" s="483">
        <v>43.32</v>
      </c>
    </row>
    <row r="4566" spans="1:5" ht="30">
      <c r="A4566" s="484" t="s">
        <v>18609</v>
      </c>
      <c r="B4566" s="485" t="s">
        <v>18610</v>
      </c>
      <c r="C4566" s="484" t="s">
        <v>256</v>
      </c>
      <c r="D4566" s="486">
        <v>34.14</v>
      </c>
      <c r="E4566" s="486">
        <v>34.14</v>
      </c>
    </row>
    <row r="4567" spans="1:5" ht="30">
      <c r="A4567" s="349" t="s">
        <v>18611</v>
      </c>
      <c r="B4567" s="348" t="s">
        <v>18612</v>
      </c>
      <c r="C4567" s="349" t="s">
        <v>256</v>
      </c>
      <c r="D4567" s="483">
        <v>50.83</v>
      </c>
      <c r="E4567" s="483">
        <v>50.83</v>
      </c>
    </row>
    <row r="4568" spans="1:5" ht="30">
      <c r="A4568" s="484" t="s">
        <v>18613</v>
      </c>
      <c r="B4568" s="485" t="s">
        <v>18614</v>
      </c>
      <c r="C4568" s="484" t="s">
        <v>256</v>
      </c>
      <c r="D4568" s="486">
        <v>39.54</v>
      </c>
      <c r="E4568" s="486">
        <v>39.54</v>
      </c>
    </row>
    <row r="4569" spans="1:5" s="25" customFormat="1" ht="30">
      <c r="A4569" s="606" t="s">
        <v>20644</v>
      </c>
      <c r="B4569" s="605" t="s">
        <v>18614</v>
      </c>
      <c r="C4569" s="606" t="s">
        <v>256</v>
      </c>
      <c r="D4569" s="607">
        <v>39.54</v>
      </c>
      <c r="E4569" s="486"/>
    </row>
    <row r="4570" spans="1:5" ht="30">
      <c r="A4570" s="349" t="s">
        <v>18615</v>
      </c>
      <c r="B4570" s="348" t="s">
        <v>18616</v>
      </c>
      <c r="C4570" s="349" t="s">
        <v>256</v>
      </c>
      <c r="D4570" s="483">
        <v>33.44</v>
      </c>
      <c r="E4570" s="483">
        <v>33.44</v>
      </c>
    </row>
    <row r="4571" spans="1:5" ht="30">
      <c r="A4571" s="484" t="s">
        <v>18617</v>
      </c>
      <c r="B4571" s="485" t="s">
        <v>18618</v>
      </c>
      <c r="C4571" s="484" t="s">
        <v>256</v>
      </c>
      <c r="D4571" s="486">
        <v>38.770000000000003</v>
      </c>
      <c r="E4571" s="486">
        <v>38.770000000000003</v>
      </c>
    </row>
    <row r="4572" spans="1:5" ht="30">
      <c r="A4572" s="349" t="s">
        <v>18619</v>
      </c>
      <c r="B4572" s="348" t="s">
        <v>18620</v>
      </c>
      <c r="C4572" s="349" t="s">
        <v>256</v>
      </c>
      <c r="D4572" s="483">
        <v>37.65</v>
      </c>
      <c r="E4572" s="483">
        <v>37.65</v>
      </c>
    </row>
    <row r="4573" spans="1:5" ht="30">
      <c r="A4573" s="484" t="s">
        <v>18621</v>
      </c>
      <c r="B4573" s="485" t="s">
        <v>18622</v>
      </c>
      <c r="C4573" s="484" t="s">
        <v>256</v>
      </c>
      <c r="D4573" s="486">
        <v>44.33</v>
      </c>
      <c r="E4573" s="486">
        <v>44.33</v>
      </c>
    </row>
    <row r="4574" spans="1:5" ht="30">
      <c r="A4574" s="349" t="s">
        <v>18623</v>
      </c>
      <c r="B4574" s="348" t="s">
        <v>18624</v>
      </c>
      <c r="C4574" s="349" t="s">
        <v>256</v>
      </c>
      <c r="D4574" s="483">
        <v>39.119999999999997</v>
      </c>
      <c r="E4574" s="483">
        <v>39.119999999999997</v>
      </c>
    </row>
    <row r="4575" spans="1:5" ht="30">
      <c r="A4575" s="484" t="s">
        <v>18625</v>
      </c>
      <c r="B4575" s="485" t="s">
        <v>18626</v>
      </c>
      <c r="C4575" s="484" t="s">
        <v>256</v>
      </c>
      <c r="D4575" s="486">
        <v>51.83</v>
      </c>
      <c r="E4575" s="486">
        <v>51.83</v>
      </c>
    </row>
    <row r="4576" spans="1:5" ht="30">
      <c r="A4576" s="349" t="s">
        <v>18627</v>
      </c>
      <c r="B4576" s="348" t="s">
        <v>18628</v>
      </c>
      <c r="C4576" s="349" t="s">
        <v>256</v>
      </c>
      <c r="D4576" s="483">
        <v>39.82</v>
      </c>
      <c r="E4576" s="483">
        <v>39.82</v>
      </c>
    </row>
    <row r="4577" spans="1:5" ht="30">
      <c r="A4577" s="484" t="s">
        <v>18629</v>
      </c>
      <c r="B4577" s="485" t="s">
        <v>18630</v>
      </c>
      <c r="C4577" s="484" t="s">
        <v>256</v>
      </c>
      <c r="D4577" s="486">
        <v>32.4</v>
      </c>
      <c r="E4577" s="486">
        <v>32.4</v>
      </c>
    </row>
    <row r="4578" spans="1:5" ht="30">
      <c r="A4578" s="349" t="s">
        <v>18631</v>
      </c>
      <c r="B4578" s="348" t="s">
        <v>18632</v>
      </c>
      <c r="C4578" s="349" t="s">
        <v>256</v>
      </c>
      <c r="D4578" s="483">
        <v>39.369999999999997</v>
      </c>
      <c r="E4578" s="483">
        <v>39.369999999999997</v>
      </c>
    </row>
    <row r="4579" spans="1:5" ht="30">
      <c r="A4579" s="484" t="s">
        <v>18633</v>
      </c>
      <c r="B4579" s="485" t="s">
        <v>18634</v>
      </c>
      <c r="C4579" s="484" t="s">
        <v>256</v>
      </c>
      <c r="D4579" s="486">
        <v>35.880000000000003</v>
      </c>
      <c r="E4579" s="486">
        <v>35.880000000000003</v>
      </c>
    </row>
    <row r="4580" spans="1:5" ht="30">
      <c r="A4580" s="495">
        <v>84172</v>
      </c>
      <c r="B4580" s="348" t="s">
        <v>18635</v>
      </c>
      <c r="C4580" s="349" t="s">
        <v>256</v>
      </c>
      <c r="D4580" s="483">
        <v>47.93</v>
      </c>
      <c r="E4580" s="483">
        <v>47.93</v>
      </c>
    </row>
    <row r="4581" spans="1:5" ht="30">
      <c r="A4581" s="494">
        <v>84173</v>
      </c>
      <c r="B4581" s="485" t="s">
        <v>8051</v>
      </c>
      <c r="C4581" s="484" t="s">
        <v>256</v>
      </c>
      <c r="D4581" s="486">
        <v>41.62</v>
      </c>
      <c r="E4581" s="486">
        <v>41.62</v>
      </c>
    </row>
    <row r="4582" spans="1:5" ht="45">
      <c r="A4582" s="495">
        <v>84174</v>
      </c>
      <c r="B4582" s="348" t="s">
        <v>18636</v>
      </c>
      <c r="C4582" s="349" t="s">
        <v>256</v>
      </c>
      <c r="D4582" s="483">
        <v>59.46</v>
      </c>
      <c r="E4582" s="483">
        <v>59.46</v>
      </c>
    </row>
    <row r="4583" spans="1:5" ht="30">
      <c r="A4583" s="494">
        <v>72191</v>
      </c>
      <c r="B4583" s="485" t="s">
        <v>18637</v>
      </c>
      <c r="C4583" s="484" t="s">
        <v>256</v>
      </c>
      <c r="D4583" s="486">
        <v>66.86</v>
      </c>
      <c r="E4583" s="486">
        <v>66.86</v>
      </c>
    </row>
    <row r="4584" spans="1:5" ht="30">
      <c r="A4584" s="495">
        <v>72192</v>
      </c>
      <c r="B4584" s="348" t="s">
        <v>18638</v>
      </c>
      <c r="C4584" s="349" t="s">
        <v>256</v>
      </c>
      <c r="D4584" s="483">
        <v>18.04</v>
      </c>
      <c r="E4584" s="483">
        <v>18.04</v>
      </c>
    </row>
    <row r="4585" spans="1:5" ht="30">
      <c r="A4585" s="494">
        <v>72193</v>
      </c>
      <c r="B4585" s="485" t="s">
        <v>18639</v>
      </c>
      <c r="C4585" s="484" t="s">
        <v>256</v>
      </c>
      <c r="D4585" s="486">
        <v>49.72</v>
      </c>
      <c r="E4585" s="486">
        <v>49.72</v>
      </c>
    </row>
    <row r="4586" spans="1:5" ht="30">
      <c r="A4586" s="495">
        <v>73655</v>
      </c>
      <c r="B4586" s="348" t="s">
        <v>18640</v>
      </c>
      <c r="C4586" s="349" t="s">
        <v>256</v>
      </c>
      <c r="D4586" s="483">
        <v>121.6</v>
      </c>
      <c r="E4586" s="483">
        <v>121.6</v>
      </c>
    </row>
    <row r="4587" spans="1:5" ht="30">
      <c r="A4587" s="484" t="s">
        <v>18641</v>
      </c>
      <c r="B4587" s="485" t="s">
        <v>18642</v>
      </c>
      <c r="C4587" s="484" t="s">
        <v>256</v>
      </c>
      <c r="D4587" s="486">
        <v>160.66</v>
      </c>
      <c r="E4587" s="486">
        <v>160.66</v>
      </c>
    </row>
    <row r="4588" spans="1:5">
      <c r="A4588" s="495">
        <v>84181</v>
      </c>
      <c r="B4588" s="348" t="s">
        <v>915</v>
      </c>
      <c r="C4588" s="349" t="s">
        <v>256</v>
      </c>
      <c r="D4588" s="483">
        <v>134.04</v>
      </c>
      <c r="E4588" s="483">
        <v>134.04</v>
      </c>
    </row>
    <row r="4589" spans="1:5" ht="30">
      <c r="A4589" s="494">
        <v>87246</v>
      </c>
      <c r="B4589" s="485" t="s">
        <v>18643</v>
      </c>
      <c r="C4589" s="484" t="s">
        <v>256</v>
      </c>
      <c r="D4589" s="486">
        <v>35.619999999999997</v>
      </c>
      <c r="E4589" s="486">
        <v>35.619999999999997</v>
      </c>
    </row>
    <row r="4590" spans="1:5" ht="30">
      <c r="A4590" s="495">
        <v>87247</v>
      </c>
      <c r="B4590" s="348" t="s">
        <v>18644</v>
      </c>
      <c r="C4590" s="349" t="s">
        <v>256</v>
      </c>
      <c r="D4590" s="483">
        <v>30.85</v>
      </c>
      <c r="E4590" s="483">
        <v>30.85</v>
      </c>
    </row>
    <row r="4591" spans="1:5" ht="30">
      <c r="A4591" s="494">
        <v>87248</v>
      </c>
      <c r="B4591" s="485" t="s">
        <v>18645</v>
      </c>
      <c r="C4591" s="484" t="s">
        <v>256</v>
      </c>
      <c r="D4591" s="486">
        <v>26.91</v>
      </c>
      <c r="E4591" s="486">
        <v>26.91</v>
      </c>
    </row>
    <row r="4592" spans="1:5" ht="30">
      <c r="A4592" s="495">
        <v>87249</v>
      </c>
      <c r="B4592" s="348" t="s">
        <v>18646</v>
      </c>
      <c r="C4592" s="349" t="s">
        <v>256</v>
      </c>
      <c r="D4592" s="483">
        <v>40.17</v>
      </c>
      <c r="E4592" s="483">
        <v>40.17</v>
      </c>
    </row>
    <row r="4593" spans="1:5" ht="30">
      <c r="A4593" s="494">
        <v>87250</v>
      </c>
      <c r="B4593" s="485" t="s">
        <v>18647</v>
      </c>
      <c r="C4593" s="484" t="s">
        <v>256</v>
      </c>
      <c r="D4593" s="486">
        <v>32.630000000000003</v>
      </c>
      <c r="E4593" s="486">
        <v>32.630000000000003</v>
      </c>
    </row>
    <row r="4594" spans="1:5" ht="30">
      <c r="A4594" s="495">
        <v>87251</v>
      </c>
      <c r="B4594" s="348" t="s">
        <v>18648</v>
      </c>
      <c r="C4594" s="349" t="s">
        <v>256</v>
      </c>
      <c r="D4594" s="483">
        <v>27.69</v>
      </c>
      <c r="E4594" s="483">
        <v>27.69</v>
      </c>
    </row>
    <row r="4595" spans="1:5" ht="30">
      <c r="A4595" s="494">
        <v>87255</v>
      </c>
      <c r="B4595" s="485" t="s">
        <v>18649</v>
      </c>
      <c r="C4595" s="484" t="s">
        <v>256</v>
      </c>
      <c r="D4595" s="486">
        <v>63.42</v>
      </c>
      <c r="E4595" s="486">
        <v>63.42</v>
      </c>
    </row>
    <row r="4596" spans="1:5" ht="30">
      <c r="A4596" s="495">
        <v>87256</v>
      </c>
      <c r="B4596" s="348" t="s">
        <v>18650</v>
      </c>
      <c r="C4596" s="349" t="s">
        <v>256</v>
      </c>
      <c r="D4596" s="483">
        <v>54.5</v>
      </c>
      <c r="E4596" s="483">
        <v>54.5</v>
      </c>
    </row>
    <row r="4597" spans="1:5" ht="30">
      <c r="A4597" s="494">
        <v>87257</v>
      </c>
      <c r="B4597" s="485" t="s">
        <v>18651</v>
      </c>
      <c r="C4597" s="484" t="s">
        <v>256</v>
      </c>
      <c r="D4597" s="486">
        <v>48.73</v>
      </c>
      <c r="E4597" s="486">
        <v>48.73</v>
      </c>
    </row>
    <row r="4598" spans="1:5" ht="30">
      <c r="A4598" s="495">
        <v>87258</v>
      </c>
      <c r="B4598" s="348" t="s">
        <v>18652</v>
      </c>
      <c r="C4598" s="349" t="s">
        <v>256</v>
      </c>
      <c r="D4598" s="483">
        <v>83.91</v>
      </c>
      <c r="E4598" s="483">
        <v>83.91</v>
      </c>
    </row>
    <row r="4599" spans="1:5" ht="30">
      <c r="A4599" s="494">
        <v>87259</v>
      </c>
      <c r="B4599" s="485" t="s">
        <v>18653</v>
      </c>
      <c r="C4599" s="484" t="s">
        <v>256</v>
      </c>
      <c r="D4599" s="486">
        <v>75.459999999999994</v>
      </c>
      <c r="E4599" s="486">
        <v>75.459999999999994</v>
      </c>
    </row>
    <row r="4600" spans="1:5" ht="30">
      <c r="A4600" s="495">
        <v>87260</v>
      </c>
      <c r="B4600" s="348" t="s">
        <v>18654</v>
      </c>
      <c r="C4600" s="349" t="s">
        <v>256</v>
      </c>
      <c r="D4600" s="483">
        <v>70.400000000000006</v>
      </c>
      <c r="E4600" s="483">
        <v>70.400000000000006</v>
      </c>
    </row>
    <row r="4601" spans="1:5" ht="30">
      <c r="A4601" s="494">
        <v>87261</v>
      </c>
      <c r="B4601" s="485" t="s">
        <v>18655</v>
      </c>
      <c r="C4601" s="484" t="s">
        <v>256</v>
      </c>
      <c r="D4601" s="486">
        <v>96.15</v>
      </c>
      <c r="E4601" s="486">
        <v>96.15</v>
      </c>
    </row>
    <row r="4602" spans="1:5" ht="30">
      <c r="A4602" s="495">
        <v>87262</v>
      </c>
      <c r="B4602" s="348" t="s">
        <v>18656</v>
      </c>
      <c r="C4602" s="349" t="s">
        <v>256</v>
      </c>
      <c r="D4602" s="483">
        <v>86.43</v>
      </c>
      <c r="E4602" s="483">
        <v>86.43</v>
      </c>
    </row>
    <row r="4603" spans="1:5" ht="30">
      <c r="A4603" s="494">
        <v>87263</v>
      </c>
      <c r="B4603" s="485" t="s">
        <v>18657</v>
      </c>
      <c r="C4603" s="484" t="s">
        <v>256</v>
      </c>
      <c r="D4603" s="486">
        <v>80.47</v>
      </c>
      <c r="E4603" s="486">
        <v>80.47</v>
      </c>
    </row>
    <row r="4604" spans="1:5" ht="45">
      <c r="A4604" s="495">
        <v>89046</v>
      </c>
      <c r="B4604" s="348" t="s">
        <v>18658</v>
      </c>
      <c r="C4604" s="349" t="s">
        <v>256</v>
      </c>
      <c r="D4604" s="483">
        <v>30.62</v>
      </c>
      <c r="E4604" s="483">
        <v>30.62</v>
      </c>
    </row>
    <row r="4605" spans="1:5" ht="45">
      <c r="A4605" s="494">
        <v>89171</v>
      </c>
      <c r="B4605" s="485" t="s">
        <v>18659</v>
      </c>
      <c r="C4605" s="484" t="s">
        <v>256</v>
      </c>
      <c r="D4605" s="486">
        <v>28.71</v>
      </c>
      <c r="E4605" s="486">
        <v>28.71</v>
      </c>
    </row>
    <row r="4606" spans="1:5" ht="30">
      <c r="A4606" s="495">
        <v>93389</v>
      </c>
      <c r="B4606" s="348" t="s">
        <v>18660</v>
      </c>
      <c r="C4606" s="349" t="s">
        <v>256</v>
      </c>
      <c r="D4606" s="483">
        <v>31.18</v>
      </c>
      <c r="E4606" s="483">
        <v>31.18</v>
      </c>
    </row>
    <row r="4607" spans="1:5" ht="30">
      <c r="A4607" s="494">
        <v>93390</v>
      </c>
      <c r="B4607" s="485" t="s">
        <v>8811</v>
      </c>
      <c r="C4607" s="484" t="s">
        <v>256</v>
      </c>
      <c r="D4607" s="486">
        <v>26.49</v>
      </c>
      <c r="E4607" s="486">
        <v>26.49</v>
      </c>
    </row>
    <row r="4608" spans="1:5" ht="30">
      <c r="A4608" s="495">
        <v>93391</v>
      </c>
      <c r="B4608" s="348" t="s">
        <v>18661</v>
      </c>
      <c r="C4608" s="349" t="s">
        <v>256</v>
      </c>
      <c r="D4608" s="483">
        <v>22.55</v>
      </c>
      <c r="E4608" s="483">
        <v>22.55</v>
      </c>
    </row>
    <row r="4609" spans="1:5" ht="30">
      <c r="A4609" s="484" t="s">
        <v>18662</v>
      </c>
      <c r="B4609" s="485" t="s">
        <v>917</v>
      </c>
      <c r="C4609" s="484" t="s">
        <v>256</v>
      </c>
      <c r="D4609" s="486">
        <v>154.66999999999999</v>
      </c>
      <c r="E4609" s="486">
        <v>154.66999999999999</v>
      </c>
    </row>
    <row r="4610" spans="1:5" ht="30">
      <c r="A4610" s="349" t="s">
        <v>18663</v>
      </c>
      <c r="B4610" s="348" t="s">
        <v>8080</v>
      </c>
      <c r="C4610" s="349" t="s">
        <v>256</v>
      </c>
      <c r="D4610" s="483">
        <v>32.979999999999997</v>
      </c>
      <c r="E4610" s="483">
        <v>32.979999999999997</v>
      </c>
    </row>
    <row r="4611" spans="1:5" ht="30">
      <c r="A4611" s="494">
        <v>84183</v>
      </c>
      <c r="B4611" s="485" t="s">
        <v>919</v>
      </c>
      <c r="C4611" s="484" t="s">
        <v>256</v>
      </c>
      <c r="D4611" s="486">
        <v>113.83</v>
      </c>
      <c r="E4611" s="486">
        <v>113.83</v>
      </c>
    </row>
    <row r="4612" spans="1:5">
      <c r="A4612" s="495">
        <v>72185</v>
      </c>
      <c r="B4612" s="348" t="s">
        <v>8097</v>
      </c>
      <c r="C4612" s="349" t="s">
        <v>256</v>
      </c>
      <c r="D4612" s="483">
        <v>65.63</v>
      </c>
      <c r="E4612" s="483">
        <v>65.63</v>
      </c>
    </row>
    <row r="4613" spans="1:5">
      <c r="A4613" s="494">
        <v>72186</v>
      </c>
      <c r="B4613" s="485" t="s">
        <v>18664</v>
      </c>
      <c r="C4613" s="484" t="s">
        <v>256</v>
      </c>
      <c r="D4613" s="486">
        <v>103.92</v>
      </c>
      <c r="E4613" s="486">
        <v>103.92</v>
      </c>
    </row>
    <row r="4614" spans="1:5" ht="30">
      <c r="A4614" s="495">
        <v>72187</v>
      </c>
      <c r="B4614" s="348" t="s">
        <v>920</v>
      </c>
      <c r="C4614" s="349" t="s">
        <v>256</v>
      </c>
      <c r="D4614" s="483">
        <v>143.76</v>
      </c>
      <c r="E4614" s="483">
        <v>143.76</v>
      </c>
    </row>
    <row r="4615" spans="1:5" ht="30">
      <c r="A4615" s="494">
        <v>72188</v>
      </c>
      <c r="B4615" s="485" t="s">
        <v>18665</v>
      </c>
      <c r="C4615" s="484" t="s">
        <v>256</v>
      </c>
      <c r="D4615" s="486">
        <v>143.76</v>
      </c>
      <c r="E4615" s="486">
        <v>143.76</v>
      </c>
    </row>
    <row r="4616" spans="1:5">
      <c r="A4616" s="349" t="s">
        <v>18666</v>
      </c>
      <c r="B4616" s="348" t="s">
        <v>922</v>
      </c>
      <c r="C4616" s="349" t="s">
        <v>256</v>
      </c>
      <c r="D4616" s="483">
        <v>130.30000000000001</v>
      </c>
      <c r="E4616" s="483">
        <v>130.30000000000001</v>
      </c>
    </row>
    <row r="4617" spans="1:5">
      <c r="A4617" s="494">
        <v>84186</v>
      </c>
      <c r="B4617" s="485" t="s">
        <v>923</v>
      </c>
      <c r="C4617" s="484" t="s">
        <v>256</v>
      </c>
      <c r="D4617" s="486">
        <v>57.38</v>
      </c>
      <c r="E4617" s="486">
        <v>57.38</v>
      </c>
    </row>
    <row r="4618" spans="1:5">
      <c r="A4618" s="495">
        <v>84187</v>
      </c>
      <c r="B4618" s="348" t="s">
        <v>924</v>
      </c>
      <c r="C4618" s="349" t="s">
        <v>256</v>
      </c>
      <c r="D4618" s="483">
        <v>12.47</v>
      </c>
      <c r="E4618" s="483">
        <v>12.47</v>
      </c>
    </row>
    <row r="4619" spans="1:5">
      <c r="A4619" s="494">
        <v>84188</v>
      </c>
      <c r="B4619" s="485" t="s">
        <v>9664</v>
      </c>
      <c r="C4619" s="484" t="s">
        <v>71</v>
      </c>
      <c r="D4619" s="486">
        <v>15.59</v>
      </c>
      <c r="E4619" s="486">
        <v>15.59</v>
      </c>
    </row>
    <row r="4620" spans="1:5" ht="30">
      <c r="A4620" s="495">
        <v>72136</v>
      </c>
      <c r="B4620" s="348" t="s">
        <v>8087</v>
      </c>
      <c r="C4620" s="349" t="s">
        <v>256</v>
      </c>
      <c r="D4620" s="483">
        <v>69.33</v>
      </c>
      <c r="E4620" s="483">
        <v>69.33</v>
      </c>
    </row>
    <row r="4621" spans="1:5" ht="30">
      <c r="A4621" s="494">
        <v>72137</v>
      </c>
      <c r="B4621" s="485" t="s">
        <v>18667</v>
      </c>
      <c r="C4621" s="484" t="s">
        <v>256</v>
      </c>
      <c r="D4621" s="486">
        <v>81.400000000000006</v>
      </c>
      <c r="E4621" s="486">
        <v>81.400000000000006</v>
      </c>
    </row>
    <row r="4622" spans="1:5">
      <c r="A4622" s="495">
        <v>72815</v>
      </c>
      <c r="B4622" s="348" t="s">
        <v>1906</v>
      </c>
      <c r="C4622" s="349" t="s">
        <v>256</v>
      </c>
      <c r="D4622" s="483">
        <v>37.74</v>
      </c>
      <c r="E4622" s="483">
        <v>37.74</v>
      </c>
    </row>
    <row r="4623" spans="1:5" ht="30">
      <c r="A4623" s="494">
        <v>84191</v>
      </c>
      <c r="B4623" s="485" t="s">
        <v>18668</v>
      </c>
      <c r="C4623" s="484" t="s">
        <v>256</v>
      </c>
      <c r="D4623" s="486">
        <v>57.76</v>
      </c>
      <c r="E4623" s="486">
        <v>57.76</v>
      </c>
    </row>
    <row r="4624" spans="1:5" ht="30">
      <c r="A4624" s="495">
        <v>72138</v>
      </c>
      <c r="B4624" s="348" t="s">
        <v>18669</v>
      </c>
      <c r="C4624" s="349" t="s">
        <v>256</v>
      </c>
      <c r="D4624" s="483">
        <v>181.62</v>
      </c>
      <c r="E4624" s="483">
        <v>181.62</v>
      </c>
    </row>
    <row r="4625" spans="1:5" ht="30">
      <c r="A4625" s="494">
        <v>84190</v>
      </c>
      <c r="B4625" s="485" t="s">
        <v>18670</v>
      </c>
      <c r="C4625" s="484" t="s">
        <v>256</v>
      </c>
      <c r="D4625" s="486">
        <v>157.11000000000001</v>
      </c>
      <c r="E4625" s="486">
        <v>157.11000000000001</v>
      </c>
    </row>
    <row r="4626" spans="1:5">
      <c r="A4626" s="495">
        <v>84195</v>
      </c>
      <c r="B4626" s="348" t="s">
        <v>18671</v>
      </c>
      <c r="C4626" s="349" t="s">
        <v>256</v>
      </c>
      <c r="D4626" s="483">
        <v>198.45</v>
      </c>
      <c r="E4626" s="483">
        <v>198.45</v>
      </c>
    </row>
    <row r="4627" spans="1:5" ht="30">
      <c r="A4627" s="484" t="s">
        <v>18672</v>
      </c>
      <c r="B4627" s="485" t="s">
        <v>18673</v>
      </c>
      <c r="C4627" s="484" t="s">
        <v>71</v>
      </c>
      <c r="D4627" s="486">
        <v>20.73</v>
      </c>
      <c r="E4627" s="486">
        <v>20.73</v>
      </c>
    </row>
    <row r="4628" spans="1:5" ht="30">
      <c r="A4628" s="495">
        <v>84161</v>
      </c>
      <c r="B4628" s="348" t="s">
        <v>18674</v>
      </c>
      <c r="C4628" s="349" t="s">
        <v>71</v>
      </c>
      <c r="D4628" s="483">
        <v>41.27</v>
      </c>
      <c r="E4628" s="483">
        <v>41.27</v>
      </c>
    </row>
    <row r="4629" spans="1:5">
      <c r="A4629" s="484" t="s">
        <v>18675</v>
      </c>
      <c r="B4629" s="485" t="s">
        <v>8871</v>
      </c>
      <c r="C4629" s="484" t="s">
        <v>71</v>
      </c>
      <c r="D4629" s="486">
        <v>16.22</v>
      </c>
      <c r="E4629" s="486">
        <v>16.22</v>
      </c>
    </row>
    <row r="4630" spans="1:5">
      <c r="A4630" s="495">
        <v>84162</v>
      </c>
      <c r="B4630" s="348" t="s">
        <v>8870</v>
      </c>
      <c r="C4630" s="349" t="s">
        <v>71</v>
      </c>
      <c r="D4630" s="483">
        <v>16.510000000000002</v>
      </c>
      <c r="E4630" s="483">
        <v>16.510000000000002</v>
      </c>
    </row>
    <row r="4631" spans="1:5" ht="30">
      <c r="A4631" s="494">
        <v>88648</v>
      </c>
      <c r="B4631" s="485" t="s">
        <v>18676</v>
      </c>
      <c r="C4631" s="484" t="s">
        <v>71</v>
      </c>
      <c r="D4631" s="486">
        <v>4.1900000000000004</v>
      </c>
      <c r="E4631" s="486">
        <v>4.1900000000000004</v>
      </c>
    </row>
    <row r="4632" spans="1:5" ht="30">
      <c r="A4632" s="495">
        <v>88649</v>
      </c>
      <c r="B4632" s="348" t="s">
        <v>18677</v>
      </c>
      <c r="C4632" s="349" t="s">
        <v>71</v>
      </c>
      <c r="D4632" s="483">
        <v>4.72</v>
      </c>
      <c r="E4632" s="483">
        <v>4.72</v>
      </c>
    </row>
    <row r="4633" spans="1:5" ht="30">
      <c r="A4633" s="494">
        <v>88650</v>
      </c>
      <c r="B4633" s="485" t="s">
        <v>18678</v>
      </c>
      <c r="C4633" s="484" t="s">
        <v>71</v>
      </c>
      <c r="D4633" s="486">
        <v>8.85</v>
      </c>
      <c r="E4633" s="486">
        <v>8.85</v>
      </c>
    </row>
    <row r="4634" spans="1:5">
      <c r="A4634" s="349" t="s">
        <v>18679</v>
      </c>
      <c r="B4634" s="348" t="s">
        <v>8874</v>
      </c>
      <c r="C4634" s="349" t="s">
        <v>71</v>
      </c>
      <c r="D4634" s="483">
        <v>21.28</v>
      </c>
      <c r="E4634" s="483">
        <v>21.28</v>
      </c>
    </row>
    <row r="4635" spans="1:5" ht="30">
      <c r="A4635" s="494">
        <v>84167</v>
      </c>
      <c r="B4635" s="485" t="s">
        <v>8872</v>
      </c>
      <c r="C4635" s="484" t="s">
        <v>71</v>
      </c>
      <c r="D4635" s="486">
        <v>28.68</v>
      </c>
      <c r="E4635" s="486">
        <v>28.68</v>
      </c>
    </row>
    <row r="4636" spans="1:5" ht="30">
      <c r="A4636" s="495">
        <v>84168</v>
      </c>
      <c r="B4636" s="348" t="s">
        <v>8869</v>
      </c>
      <c r="C4636" s="349" t="s">
        <v>71</v>
      </c>
      <c r="D4636" s="483">
        <v>15.05</v>
      </c>
      <c r="E4636" s="483">
        <v>15.05</v>
      </c>
    </row>
    <row r="4637" spans="1:5" ht="30">
      <c r="A4637" s="494">
        <v>68325</v>
      </c>
      <c r="B4637" s="485" t="s">
        <v>18680</v>
      </c>
      <c r="C4637" s="484" t="s">
        <v>256</v>
      </c>
      <c r="D4637" s="486">
        <v>39.130000000000003</v>
      </c>
      <c r="E4637" s="486">
        <v>39.130000000000003</v>
      </c>
    </row>
    <row r="4638" spans="1:5" ht="30">
      <c r="A4638" s="495">
        <v>68333</v>
      </c>
      <c r="B4638" s="348" t="s">
        <v>18681</v>
      </c>
      <c r="C4638" s="349" t="s">
        <v>256</v>
      </c>
      <c r="D4638" s="483">
        <v>39.51</v>
      </c>
      <c r="E4638" s="483">
        <v>39.51</v>
      </c>
    </row>
    <row r="4639" spans="1:5" ht="30">
      <c r="A4639" s="494">
        <v>72183</v>
      </c>
      <c r="B4639" s="485" t="s">
        <v>18682</v>
      </c>
      <c r="C4639" s="484" t="s">
        <v>256</v>
      </c>
      <c r="D4639" s="486">
        <v>63.48</v>
      </c>
      <c r="E4639" s="486">
        <v>63.48</v>
      </c>
    </row>
    <row r="4640" spans="1:5">
      <c r="A4640" s="495">
        <v>84175</v>
      </c>
      <c r="B4640" s="348" t="s">
        <v>18683</v>
      </c>
      <c r="C4640" s="349" t="s">
        <v>71</v>
      </c>
      <c r="D4640" s="483">
        <v>10.58</v>
      </c>
      <c r="E4640" s="483">
        <v>10.58</v>
      </c>
    </row>
    <row r="4641" spans="1:5" ht="30">
      <c r="A4641" s="494">
        <v>84176</v>
      </c>
      <c r="B4641" s="485" t="s">
        <v>928</v>
      </c>
      <c r="C4641" s="484" t="s">
        <v>71</v>
      </c>
      <c r="D4641" s="486">
        <v>19.850000000000001</v>
      </c>
      <c r="E4641" s="486">
        <v>19.850000000000001</v>
      </c>
    </row>
    <row r="4642" spans="1:5">
      <c r="A4642" s="495">
        <v>84177</v>
      </c>
      <c r="B4642" s="348" t="s">
        <v>929</v>
      </c>
      <c r="C4642" s="349" t="s">
        <v>71</v>
      </c>
      <c r="D4642" s="483">
        <v>11.66</v>
      </c>
      <c r="E4642" s="483">
        <v>11.66</v>
      </c>
    </row>
    <row r="4643" spans="1:5" ht="30">
      <c r="A4643" s="494">
        <v>94990</v>
      </c>
      <c r="B4643" s="485" t="s">
        <v>18684</v>
      </c>
      <c r="C4643" s="484" t="s">
        <v>255</v>
      </c>
      <c r="D4643" s="486">
        <v>497.55</v>
      </c>
      <c r="E4643" s="486">
        <v>497.55</v>
      </c>
    </row>
    <row r="4644" spans="1:5" s="25" customFormat="1" ht="30">
      <c r="A4644" s="604" t="s">
        <v>20647</v>
      </c>
      <c r="B4644" s="605" t="s">
        <v>18684</v>
      </c>
      <c r="C4644" s="606" t="s">
        <v>255</v>
      </c>
      <c r="D4644" s="607">
        <v>497.55</v>
      </c>
      <c r="E4644" s="486"/>
    </row>
    <row r="4645" spans="1:5" ht="30">
      <c r="A4645" s="495">
        <v>94991</v>
      </c>
      <c r="B4645" s="348" t="s">
        <v>11122</v>
      </c>
      <c r="C4645" s="349" t="s">
        <v>255</v>
      </c>
      <c r="D4645" s="483">
        <v>373.44</v>
      </c>
      <c r="E4645" s="483">
        <v>373.44</v>
      </c>
    </row>
    <row r="4646" spans="1:5" ht="30">
      <c r="A4646" s="494">
        <v>94992</v>
      </c>
      <c r="B4646" s="485" t="s">
        <v>18685</v>
      </c>
      <c r="C4646" s="484" t="s">
        <v>256</v>
      </c>
      <c r="D4646" s="486">
        <v>48.19</v>
      </c>
      <c r="E4646" s="486">
        <v>48.19</v>
      </c>
    </row>
    <row r="4647" spans="1:5" s="25" customFormat="1" ht="30">
      <c r="A4647" s="604" t="s">
        <v>20543</v>
      </c>
      <c r="B4647" s="605" t="s">
        <v>18685</v>
      </c>
      <c r="C4647" s="606" t="s">
        <v>256</v>
      </c>
      <c r="D4647" s="607">
        <v>40.15</v>
      </c>
      <c r="E4647" s="486"/>
    </row>
    <row r="4648" spans="1:5" ht="30">
      <c r="A4648" s="495">
        <v>94993</v>
      </c>
      <c r="B4648" s="348" t="s">
        <v>18686</v>
      </c>
      <c r="C4648" s="349" t="s">
        <v>256</v>
      </c>
      <c r="D4648" s="483">
        <v>40.75</v>
      </c>
      <c r="E4648" s="483">
        <v>40.75</v>
      </c>
    </row>
    <row r="4649" spans="1:5" ht="30">
      <c r="A4649" s="494">
        <v>94994</v>
      </c>
      <c r="B4649" s="485" t="s">
        <v>18687</v>
      </c>
      <c r="C4649" s="484" t="s">
        <v>256</v>
      </c>
      <c r="D4649" s="486">
        <v>59.47</v>
      </c>
      <c r="E4649" s="486">
        <v>59.47</v>
      </c>
    </row>
    <row r="4650" spans="1:5" ht="30">
      <c r="A4650" s="495">
        <v>94995</v>
      </c>
      <c r="B4650" s="348" t="s">
        <v>18688</v>
      </c>
      <c r="C4650" s="349" t="s">
        <v>256</v>
      </c>
      <c r="D4650" s="483">
        <v>49.54</v>
      </c>
      <c r="E4650" s="483">
        <v>49.54</v>
      </c>
    </row>
    <row r="4651" spans="1:5" ht="30">
      <c r="A4651" s="494">
        <v>94996</v>
      </c>
      <c r="B4651" s="485" t="s">
        <v>18689</v>
      </c>
      <c r="C4651" s="484" t="s">
        <v>256</v>
      </c>
      <c r="D4651" s="486">
        <v>69.63</v>
      </c>
      <c r="E4651" s="486">
        <v>69.63</v>
      </c>
    </row>
    <row r="4652" spans="1:5" ht="30">
      <c r="A4652" s="495">
        <v>94997</v>
      </c>
      <c r="B4652" s="348" t="s">
        <v>18690</v>
      </c>
      <c r="C4652" s="349" t="s">
        <v>256</v>
      </c>
      <c r="D4652" s="483">
        <v>57.22</v>
      </c>
      <c r="E4652" s="483">
        <v>57.22</v>
      </c>
    </row>
    <row r="4653" spans="1:5" ht="30">
      <c r="A4653" s="494">
        <v>94998</v>
      </c>
      <c r="B4653" s="485" t="s">
        <v>18691</v>
      </c>
      <c r="C4653" s="484" t="s">
        <v>256</v>
      </c>
      <c r="D4653" s="486">
        <v>80.19</v>
      </c>
      <c r="E4653" s="486">
        <v>80.19</v>
      </c>
    </row>
    <row r="4654" spans="1:5" ht="30">
      <c r="A4654" s="495">
        <v>94999</v>
      </c>
      <c r="B4654" s="348" t="s">
        <v>18692</v>
      </c>
      <c r="C4654" s="349" t="s">
        <v>256</v>
      </c>
      <c r="D4654" s="483">
        <v>65.290000000000006</v>
      </c>
      <c r="E4654" s="483">
        <v>65.290000000000006</v>
      </c>
    </row>
    <row r="4655" spans="1:5" ht="45">
      <c r="A4655" s="494">
        <v>87620</v>
      </c>
      <c r="B4655" s="485" t="s">
        <v>18693</v>
      </c>
      <c r="C4655" s="484" t="s">
        <v>256</v>
      </c>
      <c r="D4655" s="486">
        <v>22.47</v>
      </c>
      <c r="E4655" s="486">
        <v>22.47</v>
      </c>
    </row>
    <row r="4656" spans="1:5" ht="30">
      <c r="A4656" s="495">
        <v>87622</v>
      </c>
      <c r="B4656" s="348" t="s">
        <v>18694</v>
      </c>
      <c r="C4656" s="349" t="s">
        <v>256</v>
      </c>
      <c r="D4656" s="483">
        <v>24.84</v>
      </c>
      <c r="E4656" s="483">
        <v>24.84</v>
      </c>
    </row>
    <row r="4657" spans="1:5" ht="30">
      <c r="A4657" s="494">
        <v>87623</v>
      </c>
      <c r="B4657" s="485" t="s">
        <v>18695</v>
      </c>
      <c r="C4657" s="484" t="s">
        <v>256</v>
      </c>
      <c r="D4657" s="486">
        <v>43.59</v>
      </c>
      <c r="E4657" s="486">
        <v>43.59</v>
      </c>
    </row>
    <row r="4658" spans="1:5" ht="30">
      <c r="A4658" s="495">
        <v>87624</v>
      </c>
      <c r="B4658" s="348" t="s">
        <v>18696</v>
      </c>
      <c r="C4658" s="349" t="s">
        <v>256</v>
      </c>
      <c r="D4658" s="483">
        <v>48.06</v>
      </c>
      <c r="E4658" s="483">
        <v>48.06</v>
      </c>
    </row>
    <row r="4659" spans="1:5" ht="45">
      <c r="A4659" s="494">
        <v>87630</v>
      </c>
      <c r="B4659" s="485" t="s">
        <v>18697</v>
      </c>
      <c r="C4659" s="484" t="s">
        <v>256</v>
      </c>
      <c r="D4659" s="486">
        <v>27.89</v>
      </c>
      <c r="E4659" s="486">
        <v>27.89</v>
      </c>
    </row>
    <row r="4660" spans="1:5" ht="30">
      <c r="A4660" s="495">
        <v>87632</v>
      </c>
      <c r="B4660" s="348" t="s">
        <v>18698</v>
      </c>
      <c r="C4660" s="349" t="s">
        <v>256</v>
      </c>
      <c r="D4660" s="483">
        <v>31.19</v>
      </c>
      <c r="E4660" s="483">
        <v>31.19</v>
      </c>
    </row>
    <row r="4661" spans="1:5" ht="30">
      <c r="A4661" s="494">
        <v>87633</v>
      </c>
      <c r="B4661" s="485" t="s">
        <v>18699</v>
      </c>
      <c r="C4661" s="484" t="s">
        <v>256</v>
      </c>
      <c r="D4661" s="486">
        <v>57.25</v>
      </c>
      <c r="E4661" s="486">
        <v>57.25</v>
      </c>
    </row>
    <row r="4662" spans="1:5" ht="30">
      <c r="A4662" s="495">
        <v>87634</v>
      </c>
      <c r="B4662" s="348" t="s">
        <v>18700</v>
      </c>
      <c r="C4662" s="349" t="s">
        <v>256</v>
      </c>
      <c r="D4662" s="483">
        <v>63.46</v>
      </c>
      <c r="E4662" s="483">
        <v>63.46</v>
      </c>
    </row>
    <row r="4663" spans="1:5" ht="45">
      <c r="A4663" s="494">
        <v>87640</v>
      </c>
      <c r="B4663" s="485" t="s">
        <v>18701</v>
      </c>
      <c r="C4663" s="484" t="s">
        <v>256</v>
      </c>
      <c r="D4663" s="486">
        <v>32.24</v>
      </c>
      <c r="E4663" s="486">
        <v>32.24</v>
      </c>
    </row>
    <row r="4664" spans="1:5" ht="30">
      <c r="A4664" s="495">
        <v>87642</v>
      </c>
      <c r="B4664" s="348" t="s">
        <v>18702</v>
      </c>
      <c r="C4664" s="349" t="s">
        <v>256</v>
      </c>
      <c r="D4664" s="483">
        <v>36.299999999999997</v>
      </c>
      <c r="E4664" s="483">
        <v>36.299999999999997</v>
      </c>
    </row>
    <row r="4665" spans="1:5" ht="30">
      <c r="A4665" s="494">
        <v>87643</v>
      </c>
      <c r="B4665" s="485" t="s">
        <v>18703</v>
      </c>
      <c r="C4665" s="484" t="s">
        <v>256</v>
      </c>
      <c r="D4665" s="486">
        <v>68.34</v>
      </c>
      <c r="E4665" s="486">
        <v>68.34</v>
      </c>
    </row>
    <row r="4666" spans="1:5" ht="30">
      <c r="A4666" s="495">
        <v>87644</v>
      </c>
      <c r="B4666" s="348" t="s">
        <v>18704</v>
      </c>
      <c r="C4666" s="349" t="s">
        <v>256</v>
      </c>
      <c r="D4666" s="483">
        <v>75.989999999999995</v>
      </c>
      <c r="E4666" s="483">
        <v>75.989999999999995</v>
      </c>
    </row>
    <row r="4667" spans="1:5" ht="45">
      <c r="A4667" s="494">
        <v>87680</v>
      </c>
      <c r="B4667" s="485" t="s">
        <v>4051</v>
      </c>
      <c r="C4667" s="484" t="s">
        <v>256</v>
      </c>
      <c r="D4667" s="486">
        <v>26.62</v>
      </c>
      <c r="E4667" s="486">
        <v>26.62</v>
      </c>
    </row>
    <row r="4668" spans="1:5" ht="30">
      <c r="A4668" s="495">
        <v>87682</v>
      </c>
      <c r="B4668" s="348" t="s">
        <v>18705</v>
      </c>
      <c r="C4668" s="349" t="s">
        <v>256</v>
      </c>
      <c r="D4668" s="483">
        <v>30.68</v>
      </c>
      <c r="E4668" s="483">
        <v>30.68</v>
      </c>
    </row>
    <row r="4669" spans="1:5" ht="30">
      <c r="A4669" s="494">
        <v>87683</v>
      </c>
      <c r="B4669" s="485" t="s">
        <v>18706</v>
      </c>
      <c r="C4669" s="484" t="s">
        <v>256</v>
      </c>
      <c r="D4669" s="486">
        <v>62.72</v>
      </c>
      <c r="E4669" s="486">
        <v>62.72</v>
      </c>
    </row>
    <row r="4670" spans="1:5" ht="30">
      <c r="A4670" s="495">
        <v>87684</v>
      </c>
      <c r="B4670" s="348" t="s">
        <v>18707</v>
      </c>
      <c r="C4670" s="349" t="s">
        <v>256</v>
      </c>
      <c r="D4670" s="483">
        <v>70.37</v>
      </c>
      <c r="E4670" s="483">
        <v>70.37</v>
      </c>
    </row>
    <row r="4671" spans="1:5" ht="45">
      <c r="A4671" s="494">
        <v>87690</v>
      </c>
      <c r="B4671" s="485" t="s">
        <v>4052</v>
      </c>
      <c r="C4671" s="484" t="s">
        <v>256</v>
      </c>
      <c r="D4671" s="486">
        <v>30.95</v>
      </c>
      <c r="E4671" s="486">
        <v>30.95</v>
      </c>
    </row>
    <row r="4672" spans="1:5" ht="30">
      <c r="A4672" s="495">
        <v>87692</v>
      </c>
      <c r="B4672" s="348" t="s">
        <v>18708</v>
      </c>
      <c r="C4672" s="349" t="s">
        <v>256</v>
      </c>
      <c r="D4672" s="483">
        <v>35.590000000000003</v>
      </c>
      <c r="E4672" s="483">
        <v>35.590000000000003</v>
      </c>
    </row>
    <row r="4673" spans="1:5" ht="30">
      <c r="A4673" s="494">
        <v>87693</v>
      </c>
      <c r="B4673" s="485" t="s">
        <v>18709</v>
      </c>
      <c r="C4673" s="484" t="s">
        <v>256</v>
      </c>
      <c r="D4673" s="486">
        <v>72.290000000000006</v>
      </c>
      <c r="E4673" s="486">
        <v>72.290000000000006</v>
      </c>
    </row>
    <row r="4674" spans="1:5" ht="30">
      <c r="A4674" s="495">
        <v>87694</v>
      </c>
      <c r="B4674" s="348" t="s">
        <v>18710</v>
      </c>
      <c r="C4674" s="349" t="s">
        <v>256</v>
      </c>
      <c r="D4674" s="483">
        <v>81.040000000000006</v>
      </c>
      <c r="E4674" s="483">
        <v>81.040000000000006</v>
      </c>
    </row>
    <row r="4675" spans="1:5" ht="45">
      <c r="A4675" s="494">
        <v>87700</v>
      </c>
      <c r="B4675" s="485" t="s">
        <v>4053</v>
      </c>
      <c r="C4675" s="484" t="s">
        <v>256</v>
      </c>
      <c r="D4675" s="486">
        <v>33.42</v>
      </c>
      <c r="E4675" s="486">
        <v>33.42</v>
      </c>
    </row>
    <row r="4676" spans="1:5" ht="30">
      <c r="A4676" s="495">
        <v>87702</v>
      </c>
      <c r="B4676" s="348" t="s">
        <v>18711</v>
      </c>
      <c r="C4676" s="349" t="s">
        <v>256</v>
      </c>
      <c r="D4676" s="483">
        <v>38.479999999999997</v>
      </c>
      <c r="E4676" s="483">
        <v>38.479999999999997</v>
      </c>
    </row>
    <row r="4677" spans="1:5" ht="30">
      <c r="A4677" s="494">
        <v>87703</v>
      </c>
      <c r="B4677" s="485" t="s">
        <v>18712</v>
      </c>
      <c r="C4677" s="484" t="s">
        <v>256</v>
      </c>
      <c r="D4677" s="486">
        <v>78.44</v>
      </c>
      <c r="E4677" s="486">
        <v>78.44</v>
      </c>
    </row>
    <row r="4678" spans="1:5" ht="30">
      <c r="A4678" s="495">
        <v>87704</v>
      </c>
      <c r="B4678" s="348" t="s">
        <v>18713</v>
      </c>
      <c r="C4678" s="349" t="s">
        <v>256</v>
      </c>
      <c r="D4678" s="483">
        <v>87.97</v>
      </c>
      <c r="E4678" s="483">
        <v>87.97</v>
      </c>
    </row>
    <row r="4679" spans="1:5" ht="45">
      <c r="A4679" s="494">
        <v>87735</v>
      </c>
      <c r="B4679" s="485" t="s">
        <v>18714</v>
      </c>
      <c r="C4679" s="484" t="s">
        <v>256</v>
      </c>
      <c r="D4679" s="486">
        <v>30.07</v>
      </c>
      <c r="E4679" s="486">
        <v>30.07</v>
      </c>
    </row>
    <row r="4680" spans="1:5" ht="30">
      <c r="A4680" s="495">
        <v>87737</v>
      </c>
      <c r="B4680" s="348" t="s">
        <v>18715</v>
      </c>
      <c r="C4680" s="349" t="s">
        <v>256</v>
      </c>
      <c r="D4680" s="483">
        <v>32.44</v>
      </c>
      <c r="E4680" s="483">
        <v>32.44</v>
      </c>
    </row>
    <row r="4681" spans="1:5" ht="30">
      <c r="A4681" s="494">
        <v>87738</v>
      </c>
      <c r="B4681" s="485" t="s">
        <v>18716</v>
      </c>
      <c r="C4681" s="484" t="s">
        <v>256</v>
      </c>
      <c r="D4681" s="486">
        <v>51.19</v>
      </c>
      <c r="E4681" s="486">
        <v>51.19</v>
      </c>
    </row>
    <row r="4682" spans="1:5" ht="30">
      <c r="A4682" s="495">
        <v>87739</v>
      </c>
      <c r="B4682" s="348" t="s">
        <v>18717</v>
      </c>
      <c r="C4682" s="349" t="s">
        <v>256</v>
      </c>
      <c r="D4682" s="483">
        <v>55.66</v>
      </c>
      <c r="E4682" s="483">
        <v>55.66</v>
      </c>
    </row>
    <row r="4683" spans="1:5" ht="45">
      <c r="A4683" s="494">
        <v>87745</v>
      </c>
      <c r="B4683" s="485" t="s">
        <v>18718</v>
      </c>
      <c r="C4683" s="484" t="s">
        <v>256</v>
      </c>
      <c r="D4683" s="486">
        <v>35.49</v>
      </c>
      <c r="E4683" s="486">
        <v>35.49</v>
      </c>
    </row>
    <row r="4684" spans="1:5" ht="30">
      <c r="A4684" s="495">
        <v>87747</v>
      </c>
      <c r="B4684" s="348" t="s">
        <v>18719</v>
      </c>
      <c r="C4684" s="349" t="s">
        <v>256</v>
      </c>
      <c r="D4684" s="483">
        <v>38.79</v>
      </c>
      <c r="E4684" s="483">
        <v>38.79</v>
      </c>
    </row>
    <row r="4685" spans="1:5" ht="30">
      <c r="A4685" s="494">
        <v>87748</v>
      </c>
      <c r="B4685" s="485" t="s">
        <v>18720</v>
      </c>
      <c r="C4685" s="484" t="s">
        <v>256</v>
      </c>
      <c r="D4685" s="486">
        <v>64.849999999999994</v>
      </c>
      <c r="E4685" s="486">
        <v>64.849999999999994</v>
      </c>
    </row>
    <row r="4686" spans="1:5" ht="30">
      <c r="A4686" s="495">
        <v>87749</v>
      </c>
      <c r="B4686" s="348" t="s">
        <v>18721</v>
      </c>
      <c r="C4686" s="349" t="s">
        <v>256</v>
      </c>
      <c r="D4686" s="483">
        <v>71.06</v>
      </c>
      <c r="E4686" s="483">
        <v>71.06</v>
      </c>
    </row>
    <row r="4687" spans="1:5" ht="45">
      <c r="A4687" s="494">
        <v>87755</v>
      </c>
      <c r="B4687" s="485" t="s">
        <v>18722</v>
      </c>
      <c r="C4687" s="484" t="s">
        <v>256</v>
      </c>
      <c r="D4687" s="486">
        <v>32.619999999999997</v>
      </c>
      <c r="E4687" s="486">
        <v>32.619999999999997</v>
      </c>
    </row>
    <row r="4688" spans="1:5" ht="30">
      <c r="A4688" s="495">
        <v>87757</v>
      </c>
      <c r="B4688" s="348" t="s">
        <v>18723</v>
      </c>
      <c r="C4688" s="349" t="s">
        <v>256</v>
      </c>
      <c r="D4688" s="483">
        <v>35.92</v>
      </c>
      <c r="E4688" s="483">
        <v>35.92</v>
      </c>
    </row>
    <row r="4689" spans="1:5" ht="30">
      <c r="A4689" s="494">
        <v>87758</v>
      </c>
      <c r="B4689" s="485" t="s">
        <v>18724</v>
      </c>
      <c r="C4689" s="484" t="s">
        <v>256</v>
      </c>
      <c r="D4689" s="486">
        <v>61.98</v>
      </c>
      <c r="E4689" s="486">
        <v>61.98</v>
      </c>
    </row>
    <row r="4690" spans="1:5" ht="30">
      <c r="A4690" s="495">
        <v>87759</v>
      </c>
      <c r="B4690" s="348" t="s">
        <v>18725</v>
      </c>
      <c r="C4690" s="349" t="s">
        <v>256</v>
      </c>
      <c r="D4690" s="483">
        <v>68.19</v>
      </c>
      <c r="E4690" s="483">
        <v>68.19</v>
      </c>
    </row>
    <row r="4691" spans="1:5" ht="45">
      <c r="A4691" s="494">
        <v>87765</v>
      </c>
      <c r="B4691" s="485" t="s">
        <v>18726</v>
      </c>
      <c r="C4691" s="484" t="s">
        <v>256</v>
      </c>
      <c r="D4691" s="486">
        <v>36.979999999999997</v>
      </c>
      <c r="E4691" s="486">
        <v>36.979999999999997</v>
      </c>
    </row>
    <row r="4692" spans="1:5" ht="30">
      <c r="A4692" s="495">
        <v>87767</v>
      </c>
      <c r="B4692" s="348" t="s">
        <v>18727</v>
      </c>
      <c r="C4692" s="349" t="s">
        <v>256</v>
      </c>
      <c r="D4692" s="483">
        <v>41.04</v>
      </c>
      <c r="E4692" s="483">
        <v>41.04</v>
      </c>
    </row>
    <row r="4693" spans="1:5" ht="30">
      <c r="A4693" s="494">
        <v>87768</v>
      </c>
      <c r="B4693" s="485" t="s">
        <v>18728</v>
      </c>
      <c r="C4693" s="484" t="s">
        <v>256</v>
      </c>
      <c r="D4693" s="486">
        <v>73.08</v>
      </c>
      <c r="E4693" s="486">
        <v>73.08</v>
      </c>
    </row>
    <row r="4694" spans="1:5" ht="30">
      <c r="A4694" s="495">
        <v>87769</v>
      </c>
      <c r="B4694" s="348" t="s">
        <v>18729</v>
      </c>
      <c r="C4694" s="349" t="s">
        <v>256</v>
      </c>
      <c r="D4694" s="483">
        <v>80.73</v>
      </c>
      <c r="E4694" s="483">
        <v>80.73</v>
      </c>
    </row>
    <row r="4695" spans="1:5" ht="30">
      <c r="A4695" s="494">
        <v>88470</v>
      </c>
      <c r="B4695" s="485" t="s">
        <v>4011</v>
      </c>
      <c r="C4695" s="484" t="s">
        <v>256</v>
      </c>
      <c r="D4695" s="486">
        <v>17.22</v>
      </c>
      <c r="E4695" s="486">
        <v>17.22</v>
      </c>
    </row>
    <row r="4696" spans="1:5" ht="30">
      <c r="A4696" s="495">
        <v>88471</v>
      </c>
      <c r="B4696" s="348" t="s">
        <v>4012</v>
      </c>
      <c r="C4696" s="349" t="s">
        <v>256</v>
      </c>
      <c r="D4696" s="483">
        <v>21.29</v>
      </c>
      <c r="E4696" s="483">
        <v>21.29</v>
      </c>
    </row>
    <row r="4697" spans="1:5" ht="30">
      <c r="A4697" s="494">
        <v>88472</v>
      </c>
      <c r="B4697" s="485" t="s">
        <v>4013</v>
      </c>
      <c r="C4697" s="484" t="s">
        <v>256</v>
      </c>
      <c r="D4697" s="486">
        <v>24.5</v>
      </c>
      <c r="E4697" s="486">
        <v>24.5</v>
      </c>
    </row>
    <row r="4698" spans="1:5">
      <c r="A4698" s="495">
        <v>88476</v>
      </c>
      <c r="B4698" s="348" t="s">
        <v>4008</v>
      </c>
      <c r="C4698" s="349" t="s">
        <v>256</v>
      </c>
      <c r="D4698" s="483">
        <v>14.11</v>
      </c>
      <c r="E4698" s="483">
        <v>14.11</v>
      </c>
    </row>
    <row r="4699" spans="1:5">
      <c r="A4699" s="494">
        <v>88477</v>
      </c>
      <c r="B4699" s="485" t="s">
        <v>4009</v>
      </c>
      <c r="C4699" s="484" t="s">
        <v>256</v>
      </c>
      <c r="D4699" s="486">
        <v>19.38</v>
      </c>
      <c r="E4699" s="486">
        <v>19.38</v>
      </c>
    </row>
    <row r="4700" spans="1:5">
      <c r="A4700" s="495">
        <v>88478</v>
      </c>
      <c r="B4700" s="348" t="s">
        <v>4010</v>
      </c>
      <c r="C4700" s="349" t="s">
        <v>256</v>
      </c>
      <c r="D4700" s="483">
        <v>23.64</v>
      </c>
      <c r="E4700" s="483">
        <v>23.64</v>
      </c>
    </row>
    <row r="4701" spans="1:5" ht="60">
      <c r="A4701" s="494">
        <v>89047</v>
      </c>
      <c r="B4701" s="485" t="s">
        <v>18730</v>
      </c>
      <c r="C4701" s="484" t="s">
        <v>256</v>
      </c>
      <c r="D4701" s="486">
        <v>32.299999999999997</v>
      </c>
      <c r="E4701" s="486">
        <v>32.299999999999997</v>
      </c>
    </row>
    <row r="4702" spans="1:5" ht="45">
      <c r="A4702" s="495">
        <v>90900</v>
      </c>
      <c r="B4702" s="348" t="s">
        <v>4005</v>
      </c>
      <c r="C4702" s="349" t="s">
        <v>256</v>
      </c>
      <c r="D4702" s="483">
        <v>50.57</v>
      </c>
      <c r="E4702" s="483">
        <v>50.57</v>
      </c>
    </row>
    <row r="4703" spans="1:5" ht="30">
      <c r="A4703" s="494">
        <v>90902</v>
      </c>
      <c r="B4703" s="485" t="s">
        <v>18731</v>
      </c>
      <c r="C4703" s="484" t="s">
        <v>256</v>
      </c>
      <c r="D4703" s="486">
        <v>55.21</v>
      </c>
      <c r="E4703" s="486">
        <v>55.21</v>
      </c>
    </row>
    <row r="4704" spans="1:5" ht="30">
      <c r="A4704" s="495">
        <v>90903</v>
      </c>
      <c r="B4704" s="348" t="s">
        <v>18732</v>
      </c>
      <c r="C4704" s="349" t="s">
        <v>256</v>
      </c>
      <c r="D4704" s="483">
        <v>91.91</v>
      </c>
      <c r="E4704" s="483">
        <v>91.91</v>
      </c>
    </row>
    <row r="4705" spans="1:5" ht="30">
      <c r="A4705" s="494">
        <v>90904</v>
      </c>
      <c r="B4705" s="485" t="s">
        <v>18733</v>
      </c>
      <c r="C4705" s="484" t="s">
        <v>256</v>
      </c>
      <c r="D4705" s="486">
        <v>100.66</v>
      </c>
      <c r="E4705" s="486">
        <v>100.66</v>
      </c>
    </row>
    <row r="4706" spans="1:5" ht="45">
      <c r="A4706" s="495">
        <v>90910</v>
      </c>
      <c r="B4706" s="348" t="s">
        <v>4006</v>
      </c>
      <c r="C4706" s="349" t="s">
        <v>256</v>
      </c>
      <c r="D4706" s="483">
        <v>53.72</v>
      </c>
      <c r="E4706" s="483">
        <v>53.72</v>
      </c>
    </row>
    <row r="4707" spans="1:5" ht="30">
      <c r="A4707" s="494">
        <v>90912</v>
      </c>
      <c r="B4707" s="485" t="s">
        <v>18734</v>
      </c>
      <c r="C4707" s="484" t="s">
        <v>256</v>
      </c>
      <c r="D4707" s="486">
        <v>58.78</v>
      </c>
      <c r="E4707" s="486">
        <v>58.78</v>
      </c>
    </row>
    <row r="4708" spans="1:5" ht="30">
      <c r="A4708" s="495">
        <v>90913</v>
      </c>
      <c r="B4708" s="348" t="s">
        <v>18735</v>
      </c>
      <c r="C4708" s="349" t="s">
        <v>256</v>
      </c>
      <c r="D4708" s="483">
        <v>98.74</v>
      </c>
      <c r="E4708" s="483">
        <v>98.74</v>
      </c>
    </row>
    <row r="4709" spans="1:5" ht="30">
      <c r="A4709" s="494">
        <v>90914</v>
      </c>
      <c r="B4709" s="485" t="s">
        <v>18736</v>
      </c>
      <c r="C4709" s="484" t="s">
        <v>256</v>
      </c>
      <c r="D4709" s="486">
        <v>108.27</v>
      </c>
      <c r="E4709" s="486">
        <v>108.27</v>
      </c>
    </row>
    <row r="4710" spans="1:5" ht="45">
      <c r="A4710" s="495">
        <v>90920</v>
      </c>
      <c r="B4710" s="348" t="s">
        <v>4007</v>
      </c>
      <c r="C4710" s="349" t="s">
        <v>256</v>
      </c>
      <c r="D4710" s="483">
        <v>59.55</v>
      </c>
      <c r="E4710" s="483">
        <v>59.55</v>
      </c>
    </row>
    <row r="4711" spans="1:5" ht="30">
      <c r="A4711" s="494">
        <v>90922</v>
      </c>
      <c r="B4711" s="485" t="s">
        <v>18737</v>
      </c>
      <c r="C4711" s="484" t="s">
        <v>256</v>
      </c>
      <c r="D4711" s="486">
        <v>65.37</v>
      </c>
      <c r="E4711" s="486">
        <v>65.37</v>
      </c>
    </row>
    <row r="4712" spans="1:5" ht="30">
      <c r="A4712" s="495">
        <v>90923</v>
      </c>
      <c r="B4712" s="348" t="s">
        <v>18738</v>
      </c>
      <c r="C4712" s="349" t="s">
        <v>256</v>
      </c>
      <c r="D4712" s="483">
        <v>111.32</v>
      </c>
      <c r="E4712" s="483">
        <v>111.32</v>
      </c>
    </row>
    <row r="4713" spans="1:5" ht="30">
      <c r="A4713" s="494">
        <v>90924</v>
      </c>
      <c r="B4713" s="485" t="s">
        <v>18739</v>
      </c>
      <c r="C4713" s="484" t="s">
        <v>256</v>
      </c>
      <c r="D4713" s="486">
        <v>122.28</v>
      </c>
      <c r="E4713" s="486">
        <v>122.28</v>
      </c>
    </row>
    <row r="4714" spans="1:5" ht="45">
      <c r="A4714" s="495">
        <v>90930</v>
      </c>
      <c r="B4714" s="348" t="s">
        <v>4002</v>
      </c>
      <c r="C4714" s="349" t="s">
        <v>256</v>
      </c>
      <c r="D4714" s="483">
        <v>45.81</v>
      </c>
      <c r="E4714" s="483">
        <v>45.81</v>
      </c>
    </row>
    <row r="4715" spans="1:5" ht="30">
      <c r="A4715" s="494">
        <v>90932</v>
      </c>
      <c r="B4715" s="485" t="s">
        <v>18740</v>
      </c>
      <c r="C4715" s="484" t="s">
        <v>256</v>
      </c>
      <c r="D4715" s="486">
        <v>50.45</v>
      </c>
      <c r="E4715" s="486">
        <v>50.45</v>
      </c>
    </row>
    <row r="4716" spans="1:5" ht="30">
      <c r="A4716" s="495">
        <v>90933</v>
      </c>
      <c r="B4716" s="348" t="s">
        <v>18741</v>
      </c>
      <c r="C4716" s="349" t="s">
        <v>256</v>
      </c>
      <c r="D4716" s="483">
        <v>87.15</v>
      </c>
      <c r="E4716" s="483">
        <v>87.15</v>
      </c>
    </row>
    <row r="4717" spans="1:5" ht="30">
      <c r="A4717" s="494">
        <v>90934</v>
      </c>
      <c r="B4717" s="485" t="s">
        <v>18742</v>
      </c>
      <c r="C4717" s="484" t="s">
        <v>256</v>
      </c>
      <c r="D4717" s="486">
        <v>95.9</v>
      </c>
      <c r="E4717" s="486">
        <v>95.9</v>
      </c>
    </row>
    <row r="4718" spans="1:5" ht="45">
      <c r="A4718" s="495">
        <v>90940</v>
      </c>
      <c r="B4718" s="348" t="s">
        <v>4003</v>
      </c>
      <c r="C4718" s="349" t="s">
        <v>256</v>
      </c>
      <c r="D4718" s="483">
        <v>48.98</v>
      </c>
      <c r="E4718" s="483">
        <v>48.98</v>
      </c>
    </row>
    <row r="4719" spans="1:5" ht="30">
      <c r="A4719" s="494">
        <v>90942</v>
      </c>
      <c r="B4719" s="485" t="s">
        <v>18743</v>
      </c>
      <c r="C4719" s="484" t="s">
        <v>256</v>
      </c>
      <c r="D4719" s="486">
        <v>54.04</v>
      </c>
      <c r="E4719" s="486">
        <v>54.04</v>
      </c>
    </row>
    <row r="4720" spans="1:5" ht="30">
      <c r="A4720" s="495">
        <v>90943</v>
      </c>
      <c r="B4720" s="348" t="s">
        <v>18744</v>
      </c>
      <c r="C4720" s="349" t="s">
        <v>256</v>
      </c>
      <c r="D4720" s="483">
        <v>94</v>
      </c>
      <c r="E4720" s="483">
        <v>94</v>
      </c>
    </row>
    <row r="4721" spans="1:5" ht="30">
      <c r="A4721" s="494">
        <v>90944</v>
      </c>
      <c r="B4721" s="485" t="s">
        <v>18745</v>
      </c>
      <c r="C4721" s="484" t="s">
        <v>256</v>
      </c>
      <c r="D4721" s="486">
        <v>103.53</v>
      </c>
      <c r="E4721" s="486">
        <v>103.53</v>
      </c>
    </row>
    <row r="4722" spans="1:5" ht="45">
      <c r="A4722" s="495">
        <v>90950</v>
      </c>
      <c r="B4722" s="348" t="s">
        <v>4004</v>
      </c>
      <c r="C4722" s="349" t="s">
        <v>256</v>
      </c>
      <c r="D4722" s="483">
        <v>54.79</v>
      </c>
      <c r="E4722" s="483">
        <v>54.79</v>
      </c>
    </row>
    <row r="4723" spans="1:5" ht="30">
      <c r="A4723" s="494">
        <v>90952</v>
      </c>
      <c r="B4723" s="485" t="s">
        <v>18746</v>
      </c>
      <c r="C4723" s="484" t="s">
        <v>256</v>
      </c>
      <c r="D4723" s="486">
        <v>60.61</v>
      </c>
      <c r="E4723" s="486">
        <v>60.61</v>
      </c>
    </row>
    <row r="4724" spans="1:5" ht="30">
      <c r="A4724" s="495">
        <v>90953</v>
      </c>
      <c r="B4724" s="348" t="s">
        <v>18747</v>
      </c>
      <c r="C4724" s="349" t="s">
        <v>256</v>
      </c>
      <c r="D4724" s="483">
        <v>106.56</v>
      </c>
      <c r="E4724" s="483">
        <v>106.56</v>
      </c>
    </row>
    <row r="4725" spans="1:5" ht="30">
      <c r="A4725" s="494">
        <v>90954</v>
      </c>
      <c r="B4725" s="485" t="s">
        <v>18748</v>
      </c>
      <c r="C4725" s="484" t="s">
        <v>256</v>
      </c>
      <c r="D4725" s="486">
        <v>117.52</v>
      </c>
      <c r="E4725" s="486">
        <v>117.52</v>
      </c>
    </row>
    <row r="4726" spans="1:5" ht="60">
      <c r="A4726" s="495">
        <v>94438</v>
      </c>
      <c r="B4726" s="348" t="s">
        <v>18749</v>
      </c>
      <c r="C4726" s="349" t="s">
        <v>256</v>
      </c>
      <c r="D4726" s="483">
        <v>30.16</v>
      </c>
      <c r="E4726" s="483">
        <v>30.16</v>
      </c>
    </row>
    <row r="4727" spans="1:5" ht="60">
      <c r="A4727" s="494">
        <v>94439</v>
      </c>
      <c r="B4727" s="485" t="s">
        <v>18750</v>
      </c>
      <c r="C4727" s="484" t="s">
        <v>256</v>
      </c>
      <c r="D4727" s="486">
        <v>33.65</v>
      </c>
      <c r="E4727" s="486">
        <v>33.65</v>
      </c>
    </row>
    <row r="4728" spans="1:5" ht="45">
      <c r="A4728" s="495">
        <v>94779</v>
      </c>
      <c r="B4728" s="348" t="s">
        <v>18751</v>
      </c>
      <c r="C4728" s="349" t="s">
        <v>256</v>
      </c>
      <c r="D4728" s="483">
        <v>29.26</v>
      </c>
      <c r="E4728" s="483">
        <v>29.26</v>
      </c>
    </row>
    <row r="4729" spans="1:5" ht="60">
      <c r="A4729" s="494">
        <v>94782</v>
      </c>
      <c r="B4729" s="485" t="s">
        <v>18752</v>
      </c>
      <c r="C4729" s="484" t="s">
        <v>256</v>
      </c>
      <c r="D4729" s="486">
        <v>33.130000000000003</v>
      </c>
      <c r="E4729" s="486">
        <v>33.130000000000003</v>
      </c>
    </row>
    <row r="4730" spans="1:5">
      <c r="A4730" s="495">
        <v>72189</v>
      </c>
      <c r="B4730" s="348" t="s">
        <v>8878</v>
      </c>
      <c r="C4730" s="349" t="s">
        <v>71</v>
      </c>
      <c r="D4730" s="483">
        <v>21.07</v>
      </c>
      <c r="E4730" s="483">
        <v>21.07</v>
      </c>
    </row>
    <row r="4731" spans="1:5">
      <c r="A4731" s="494">
        <v>72190</v>
      </c>
      <c r="B4731" s="485" t="s">
        <v>8863</v>
      </c>
      <c r="C4731" s="484" t="s">
        <v>71</v>
      </c>
      <c r="D4731" s="486">
        <v>24.96</v>
      </c>
      <c r="E4731" s="486">
        <v>24.96</v>
      </c>
    </row>
    <row r="4732" spans="1:5" ht="45">
      <c r="A4732" s="495">
        <v>87871</v>
      </c>
      <c r="B4732" s="348" t="s">
        <v>18753</v>
      </c>
      <c r="C4732" s="349" t="s">
        <v>256</v>
      </c>
      <c r="D4732" s="483">
        <v>13.34</v>
      </c>
      <c r="E4732" s="483">
        <v>13.34</v>
      </c>
    </row>
    <row r="4733" spans="1:5" ht="45">
      <c r="A4733" s="494">
        <v>87872</v>
      </c>
      <c r="B4733" s="485" t="s">
        <v>18754</v>
      </c>
      <c r="C4733" s="484" t="s">
        <v>256</v>
      </c>
      <c r="D4733" s="486">
        <v>12.81</v>
      </c>
      <c r="E4733" s="486">
        <v>12.81</v>
      </c>
    </row>
    <row r="4734" spans="1:5" ht="45">
      <c r="A4734" s="495">
        <v>87873</v>
      </c>
      <c r="B4734" s="348" t="s">
        <v>3555</v>
      </c>
      <c r="C4734" s="349" t="s">
        <v>256</v>
      </c>
      <c r="D4734" s="483">
        <v>3.62</v>
      </c>
      <c r="E4734" s="483">
        <v>3.62</v>
      </c>
    </row>
    <row r="4735" spans="1:5" ht="45">
      <c r="A4735" s="494">
        <v>87874</v>
      </c>
      <c r="B4735" s="485" t="s">
        <v>3554</v>
      </c>
      <c r="C4735" s="484" t="s">
        <v>256</v>
      </c>
      <c r="D4735" s="486">
        <v>3.52</v>
      </c>
      <c r="E4735" s="486">
        <v>3.52</v>
      </c>
    </row>
    <row r="4736" spans="1:5" ht="30">
      <c r="A4736" s="495">
        <v>87876</v>
      </c>
      <c r="B4736" s="348" t="s">
        <v>18755</v>
      </c>
      <c r="C4736" s="349" t="s">
        <v>256</v>
      </c>
      <c r="D4736" s="483">
        <v>7.02</v>
      </c>
      <c r="E4736" s="483">
        <v>7.02</v>
      </c>
    </row>
    <row r="4737" spans="1:5" ht="45">
      <c r="A4737" s="494">
        <v>87877</v>
      </c>
      <c r="B4737" s="485" t="s">
        <v>3552</v>
      </c>
      <c r="C4737" s="484" t="s">
        <v>256</v>
      </c>
      <c r="D4737" s="486">
        <v>6.78</v>
      </c>
      <c r="E4737" s="486">
        <v>6.78</v>
      </c>
    </row>
    <row r="4738" spans="1:5" ht="30">
      <c r="A4738" s="495">
        <v>87878</v>
      </c>
      <c r="B4738" s="348" t="s">
        <v>18756</v>
      </c>
      <c r="C4738" s="349" t="s">
        <v>256</v>
      </c>
      <c r="D4738" s="483">
        <v>3.02</v>
      </c>
      <c r="E4738" s="483">
        <v>3.02</v>
      </c>
    </row>
    <row r="4739" spans="1:5" ht="30">
      <c r="A4739" s="494">
        <v>87879</v>
      </c>
      <c r="B4739" s="485" t="s">
        <v>18757</v>
      </c>
      <c r="C4739" s="484" t="s">
        <v>256</v>
      </c>
      <c r="D4739" s="486">
        <v>2.68</v>
      </c>
      <c r="E4739" s="486">
        <v>2.68</v>
      </c>
    </row>
    <row r="4740" spans="1:5" ht="30">
      <c r="A4740" s="495">
        <v>87881</v>
      </c>
      <c r="B4740" s="348" t="s">
        <v>18758</v>
      </c>
      <c r="C4740" s="349" t="s">
        <v>256</v>
      </c>
      <c r="D4740" s="483">
        <v>3.55</v>
      </c>
      <c r="E4740" s="483">
        <v>3.55</v>
      </c>
    </row>
    <row r="4741" spans="1:5" ht="30">
      <c r="A4741" s="494">
        <v>87882</v>
      </c>
      <c r="B4741" s="485" t="s">
        <v>18759</v>
      </c>
      <c r="C4741" s="484" t="s">
        <v>256</v>
      </c>
      <c r="D4741" s="486">
        <v>3.45</v>
      </c>
      <c r="E4741" s="486">
        <v>3.45</v>
      </c>
    </row>
    <row r="4742" spans="1:5" ht="30">
      <c r="A4742" s="495">
        <v>87884</v>
      </c>
      <c r="B4742" s="348" t="s">
        <v>18760</v>
      </c>
      <c r="C4742" s="349" t="s">
        <v>256</v>
      </c>
      <c r="D4742" s="483">
        <v>6.95</v>
      </c>
      <c r="E4742" s="483">
        <v>6.95</v>
      </c>
    </row>
    <row r="4743" spans="1:5" ht="30">
      <c r="A4743" s="494">
        <v>87885</v>
      </c>
      <c r="B4743" s="485" t="s">
        <v>18761</v>
      </c>
      <c r="C4743" s="484" t="s">
        <v>256</v>
      </c>
      <c r="D4743" s="486">
        <v>6.71</v>
      </c>
      <c r="E4743" s="486">
        <v>6.71</v>
      </c>
    </row>
    <row r="4744" spans="1:5" ht="30">
      <c r="A4744" s="495">
        <v>87886</v>
      </c>
      <c r="B4744" s="348" t="s">
        <v>18762</v>
      </c>
      <c r="C4744" s="349" t="s">
        <v>256</v>
      </c>
      <c r="D4744" s="483">
        <v>18.22</v>
      </c>
      <c r="E4744" s="483">
        <v>18.22</v>
      </c>
    </row>
    <row r="4745" spans="1:5" ht="30">
      <c r="A4745" s="494">
        <v>87887</v>
      </c>
      <c r="B4745" s="485" t="s">
        <v>18763</v>
      </c>
      <c r="C4745" s="484" t="s">
        <v>256</v>
      </c>
      <c r="D4745" s="486">
        <v>17.690000000000001</v>
      </c>
      <c r="E4745" s="486">
        <v>17.690000000000001</v>
      </c>
    </row>
    <row r="4746" spans="1:5" ht="45">
      <c r="A4746" s="495">
        <v>87888</v>
      </c>
      <c r="B4746" s="348" t="s">
        <v>3549</v>
      </c>
      <c r="C4746" s="349" t="s">
        <v>256</v>
      </c>
      <c r="D4746" s="483">
        <v>4.62</v>
      </c>
      <c r="E4746" s="483">
        <v>4.62</v>
      </c>
    </row>
    <row r="4747" spans="1:5" ht="45">
      <c r="A4747" s="494">
        <v>87889</v>
      </c>
      <c r="B4747" s="485" t="s">
        <v>18764</v>
      </c>
      <c r="C4747" s="484" t="s">
        <v>256</v>
      </c>
      <c r="D4747" s="486">
        <v>4.5199999999999996</v>
      </c>
      <c r="E4747" s="486">
        <v>4.5199999999999996</v>
      </c>
    </row>
    <row r="4748" spans="1:5" ht="45">
      <c r="A4748" s="495">
        <v>87891</v>
      </c>
      <c r="B4748" s="348" t="s">
        <v>18765</v>
      </c>
      <c r="C4748" s="349" t="s">
        <v>256</v>
      </c>
      <c r="D4748" s="483">
        <v>8.02</v>
      </c>
      <c r="E4748" s="483">
        <v>8.02</v>
      </c>
    </row>
    <row r="4749" spans="1:5" ht="45">
      <c r="A4749" s="494">
        <v>87892</v>
      </c>
      <c r="B4749" s="485" t="s">
        <v>18766</v>
      </c>
      <c r="C4749" s="484" t="s">
        <v>256</v>
      </c>
      <c r="D4749" s="486">
        <v>7.78</v>
      </c>
      <c r="E4749" s="486">
        <v>7.78</v>
      </c>
    </row>
    <row r="4750" spans="1:5" ht="45">
      <c r="A4750" s="495">
        <v>87893</v>
      </c>
      <c r="B4750" s="348" t="s">
        <v>3543</v>
      </c>
      <c r="C4750" s="349" t="s">
        <v>256</v>
      </c>
      <c r="D4750" s="483">
        <v>4.75</v>
      </c>
      <c r="E4750" s="483">
        <v>4.75</v>
      </c>
    </row>
    <row r="4751" spans="1:5" ht="45">
      <c r="A4751" s="494">
        <v>87894</v>
      </c>
      <c r="B4751" s="485" t="s">
        <v>3542</v>
      </c>
      <c r="C4751" s="484" t="s">
        <v>256</v>
      </c>
      <c r="D4751" s="486">
        <v>4.41</v>
      </c>
      <c r="E4751" s="486">
        <v>4.41</v>
      </c>
    </row>
    <row r="4752" spans="1:5" ht="45">
      <c r="A4752" s="495">
        <v>87896</v>
      </c>
      <c r="B4752" s="348" t="s">
        <v>3545</v>
      </c>
      <c r="C4752" s="349" t="s">
        <v>256</v>
      </c>
      <c r="D4752" s="483">
        <v>4.28</v>
      </c>
      <c r="E4752" s="483">
        <v>4.28</v>
      </c>
    </row>
    <row r="4753" spans="1:5" ht="45">
      <c r="A4753" s="494">
        <v>87897</v>
      </c>
      <c r="B4753" s="485" t="s">
        <v>3544</v>
      </c>
      <c r="C4753" s="484" t="s">
        <v>256</v>
      </c>
      <c r="D4753" s="486">
        <v>3.94</v>
      </c>
      <c r="E4753" s="486">
        <v>3.94</v>
      </c>
    </row>
    <row r="4754" spans="1:5" ht="45">
      <c r="A4754" s="495">
        <v>87899</v>
      </c>
      <c r="B4754" s="348" t="s">
        <v>3541</v>
      </c>
      <c r="C4754" s="349" t="s">
        <v>256</v>
      </c>
      <c r="D4754" s="483">
        <v>5.52</v>
      </c>
      <c r="E4754" s="483">
        <v>5.52</v>
      </c>
    </row>
    <row r="4755" spans="1:5" ht="45">
      <c r="A4755" s="494">
        <v>87900</v>
      </c>
      <c r="B4755" s="485" t="s">
        <v>18767</v>
      </c>
      <c r="C4755" s="484" t="s">
        <v>256</v>
      </c>
      <c r="D4755" s="486">
        <v>5.42</v>
      </c>
      <c r="E4755" s="486">
        <v>5.42</v>
      </c>
    </row>
    <row r="4756" spans="1:5" ht="45">
      <c r="A4756" s="495">
        <v>87902</v>
      </c>
      <c r="B4756" s="348" t="s">
        <v>18768</v>
      </c>
      <c r="C4756" s="349" t="s">
        <v>256</v>
      </c>
      <c r="D4756" s="483">
        <v>8.92</v>
      </c>
      <c r="E4756" s="483">
        <v>8.92</v>
      </c>
    </row>
    <row r="4757" spans="1:5" ht="45">
      <c r="A4757" s="494">
        <v>87903</v>
      </c>
      <c r="B4757" s="485" t="s">
        <v>18769</v>
      </c>
      <c r="C4757" s="484" t="s">
        <v>256</v>
      </c>
      <c r="D4757" s="486">
        <v>8.68</v>
      </c>
      <c r="E4757" s="486">
        <v>8.68</v>
      </c>
    </row>
    <row r="4758" spans="1:5" ht="45">
      <c r="A4758" s="495">
        <v>87904</v>
      </c>
      <c r="B4758" s="348" t="s">
        <v>3535</v>
      </c>
      <c r="C4758" s="349" t="s">
        <v>256</v>
      </c>
      <c r="D4758" s="483">
        <v>6.25</v>
      </c>
      <c r="E4758" s="483">
        <v>6.25</v>
      </c>
    </row>
    <row r="4759" spans="1:5" ht="45">
      <c r="A4759" s="494">
        <v>87905</v>
      </c>
      <c r="B4759" s="485" t="s">
        <v>3534</v>
      </c>
      <c r="C4759" s="484" t="s">
        <v>256</v>
      </c>
      <c r="D4759" s="486">
        <v>5.91</v>
      </c>
      <c r="E4759" s="486">
        <v>5.91</v>
      </c>
    </row>
    <row r="4760" spans="1:5" ht="45">
      <c r="A4760" s="495">
        <v>87907</v>
      </c>
      <c r="B4760" s="348" t="s">
        <v>3537</v>
      </c>
      <c r="C4760" s="349" t="s">
        <v>256</v>
      </c>
      <c r="D4760" s="483">
        <v>5.58</v>
      </c>
      <c r="E4760" s="483">
        <v>5.58</v>
      </c>
    </row>
    <row r="4761" spans="1:5" ht="45">
      <c r="A4761" s="494">
        <v>87908</v>
      </c>
      <c r="B4761" s="485" t="s">
        <v>3536</v>
      </c>
      <c r="C4761" s="484" t="s">
        <v>256</v>
      </c>
      <c r="D4761" s="486">
        <v>5.24</v>
      </c>
      <c r="E4761" s="486">
        <v>5.24</v>
      </c>
    </row>
    <row r="4762" spans="1:5" ht="45">
      <c r="A4762" s="495">
        <v>87910</v>
      </c>
      <c r="B4762" s="348" t="s">
        <v>18770</v>
      </c>
      <c r="C4762" s="349" t="s">
        <v>256</v>
      </c>
      <c r="D4762" s="483">
        <v>17.920000000000002</v>
      </c>
      <c r="E4762" s="483">
        <v>17.920000000000002</v>
      </c>
    </row>
    <row r="4763" spans="1:5" ht="45">
      <c r="A4763" s="494">
        <v>87911</v>
      </c>
      <c r="B4763" s="485" t="s">
        <v>18771</v>
      </c>
      <c r="C4763" s="484" t="s">
        <v>256</v>
      </c>
      <c r="D4763" s="486">
        <v>17.39</v>
      </c>
      <c r="E4763" s="486">
        <v>17.39</v>
      </c>
    </row>
    <row r="4764" spans="1:5" ht="30">
      <c r="A4764" s="495">
        <v>5991</v>
      </c>
      <c r="B4764" s="348" t="s">
        <v>18772</v>
      </c>
      <c r="C4764" s="349" t="s">
        <v>256</v>
      </c>
      <c r="D4764" s="483">
        <v>37.36</v>
      </c>
      <c r="E4764" s="483">
        <v>37.36</v>
      </c>
    </row>
    <row r="4765" spans="1:5" ht="30">
      <c r="A4765" s="494">
        <v>84023</v>
      </c>
      <c r="B4765" s="485" t="s">
        <v>2463</v>
      </c>
      <c r="C4765" s="484" t="s">
        <v>256</v>
      </c>
      <c r="D4765" s="486">
        <v>34.86</v>
      </c>
      <c r="E4765" s="486">
        <v>34.86</v>
      </c>
    </row>
    <row r="4766" spans="1:5" ht="30">
      <c r="A4766" s="495">
        <v>84024</v>
      </c>
      <c r="B4766" s="348" t="s">
        <v>2462</v>
      </c>
      <c r="C4766" s="349" t="s">
        <v>256</v>
      </c>
      <c r="D4766" s="483">
        <v>32.97</v>
      </c>
      <c r="E4766" s="483">
        <v>32.97</v>
      </c>
    </row>
    <row r="4767" spans="1:5" ht="30">
      <c r="A4767" s="494">
        <v>84026</v>
      </c>
      <c r="B4767" s="485" t="s">
        <v>2465</v>
      </c>
      <c r="C4767" s="484" t="s">
        <v>256</v>
      </c>
      <c r="D4767" s="486">
        <v>41.2</v>
      </c>
      <c r="E4767" s="486">
        <v>41.2</v>
      </c>
    </row>
    <row r="4768" spans="1:5" ht="30">
      <c r="A4768" s="495">
        <v>84027</v>
      </c>
      <c r="B4768" s="348" t="s">
        <v>2461</v>
      </c>
      <c r="C4768" s="349" t="s">
        <v>256</v>
      </c>
      <c r="D4768" s="483">
        <v>27.88</v>
      </c>
      <c r="E4768" s="483">
        <v>27.88</v>
      </c>
    </row>
    <row r="4769" spans="1:5" ht="30">
      <c r="A4769" s="494">
        <v>84028</v>
      </c>
      <c r="B4769" s="485" t="s">
        <v>18773</v>
      </c>
      <c r="C4769" s="484" t="s">
        <v>256</v>
      </c>
      <c r="D4769" s="486">
        <v>45.69</v>
      </c>
      <c r="E4769" s="486">
        <v>45.69</v>
      </c>
    </row>
    <row r="4770" spans="1:5" ht="30">
      <c r="A4770" s="495">
        <v>84072</v>
      </c>
      <c r="B4770" s="348" t="s">
        <v>18774</v>
      </c>
      <c r="C4770" s="349" t="s">
        <v>256</v>
      </c>
      <c r="D4770" s="483">
        <v>28.33</v>
      </c>
      <c r="E4770" s="483">
        <v>28.33</v>
      </c>
    </row>
    <row r="4771" spans="1:5" ht="30">
      <c r="A4771" s="494">
        <v>87411</v>
      </c>
      <c r="B4771" s="485" t="s">
        <v>18775</v>
      </c>
      <c r="C4771" s="484" t="s">
        <v>256</v>
      </c>
      <c r="D4771" s="486">
        <v>9.9</v>
      </c>
      <c r="E4771" s="486">
        <v>9.9</v>
      </c>
    </row>
    <row r="4772" spans="1:5" ht="30">
      <c r="A4772" s="495">
        <v>87412</v>
      </c>
      <c r="B4772" s="348" t="s">
        <v>18776</v>
      </c>
      <c r="C4772" s="349" t="s">
        <v>256</v>
      </c>
      <c r="D4772" s="483">
        <v>14.44</v>
      </c>
      <c r="E4772" s="483">
        <v>14.44</v>
      </c>
    </row>
    <row r="4773" spans="1:5" ht="30">
      <c r="A4773" s="494">
        <v>87413</v>
      </c>
      <c r="B4773" s="485" t="s">
        <v>18777</v>
      </c>
      <c r="C4773" s="484" t="s">
        <v>256</v>
      </c>
      <c r="D4773" s="486">
        <v>17.04</v>
      </c>
      <c r="E4773" s="486">
        <v>17.04</v>
      </c>
    </row>
    <row r="4774" spans="1:5" ht="30">
      <c r="A4774" s="495">
        <v>87414</v>
      </c>
      <c r="B4774" s="348" t="s">
        <v>18778</v>
      </c>
      <c r="C4774" s="349" t="s">
        <v>256</v>
      </c>
      <c r="D4774" s="483">
        <v>14.48</v>
      </c>
      <c r="E4774" s="483">
        <v>14.48</v>
      </c>
    </row>
    <row r="4775" spans="1:5" ht="30">
      <c r="A4775" s="494">
        <v>87415</v>
      </c>
      <c r="B4775" s="485" t="s">
        <v>18779</v>
      </c>
      <c r="C4775" s="484" t="s">
        <v>256</v>
      </c>
      <c r="D4775" s="486">
        <v>18.89</v>
      </c>
      <c r="E4775" s="486">
        <v>18.89</v>
      </c>
    </row>
    <row r="4776" spans="1:5" ht="30">
      <c r="A4776" s="495">
        <v>87416</v>
      </c>
      <c r="B4776" s="348" t="s">
        <v>18780</v>
      </c>
      <c r="C4776" s="349" t="s">
        <v>256</v>
      </c>
      <c r="D4776" s="483">
        <v>21.66</v>
      </c>
      <c r="E4776" s="483">
        <v>21.66</v>
      </c>
    </row>
    <row r="4777" spans="1:5" ht="30">
      <c r="A4777" s="494">
        <v>87417</v>
      </c>
      <c r="B4777" s="485" t="s">
        <v>18781</v>
      </c>
      <c r="C4777" s="484" t="s">
        <v>256</v>
      </c>
      <c r="D4777" s="486">
        <v>10.54</v>
      </c>
      <c r="E4777" s="486">
        <v>10.54</v>
      </c>
    </row>
    <row r="4778" spans="1:5" ht="30">
      <c r="A4778" s="495">
        <v>87418</v>
      </c>
      <c r="B4778" s="348" t="s">
        <v>18782</v>
      </c>
      <c r="C4778" s="349" t="s">
        <v>256</v>
      </c>
      <c r="D4778" s="483">
        <v>10.87</v>
      </c>
      <c r="E4778" s="483">
        <v>10.87</v>
      </c>
    </row>
    <row r="4779" spans="1:5" ht="30">
      <c r="A4779" s="494">
        <v>87419</v>
      </c>
      <c r="B4779" s="485" t="s">
        <v>18783</v>
      </c>
      <c r="C4779" s="484" t="s">
        <v>256</v>
      </c>
      <c r="D4779" s="486">
        <v>11.85</v>
      </c>
      <c r="E4779" s="486">
        <v>11.85</v>
      </c>
    </row>
    <row r="4780" spans="1:5" ht="30">
      <c r="A4780" s="495">
        <v>87420</v>
      </c>
      <c r="B4780" s="348" t="s">
        <v>18784</v>
      </c>
      <c r="C4780" s="349" t="s">
        <v>256</v>
      </c>
      <c r="D4780" s="483">
        <v>15.62</v>
      </c>
      <c r="E4780" s="483">
        <v>15.62</v>
      </c>
    </row>
    <row r="4781" spans="1:5" ht="30">
      <c r="A4781" s="494">
        <v>87421</v>
      </c>
      <c r="B4781" s="485" t="s">
        <v>18785</v>
      </c>
      <c r="C4781" s="484" t="s">
        <v>256</v>
      </c>
      <c r="D4781" s="486">
        <v>15.96</v>
      </c>
      <c r="E4781" s="486">
        <v>15.96</v>
      </c>
    </row>
    <row r="4782" spans="1:5" ht="30">
      <c r="A4782" s="495">
        <v>87422</v>
      </c>
      <c r="B4782" s="348" t="s">
        <v>18786</v>
      </c>
      <c r="C4782" s="349" t="s">
        <v>256</v>
      </c>
      <c r="D4782" s="483">
        <v>16.95</v>
      </c>
      <c r="E4782" s="483">
        <v>16.95</v>
      </c>
    </row>
    <row r="4783" spans="1:5" ht="30">
      <c r="A4783" s="494">
        <v>87423</v>
      </c>
      <c r="B4783" s="485" t="s">
        <v>18787</v>
      </c>
      <c r="C4783" s="484" t="s">
        <v>256</v>
      </c>
      <c r="D4783" s="486">
        <v>21.15</v>
      </c>
      <c r="E4783" s="486">
        <v>21.15</v>
      </c>
    </row>
    <row r="4784" spans="1:5" ht="30">
      <c r="A4784" s="495">
        <v>87424</v>
      </c>
      <c r="B4784" s="348" t="s">
        <v>18788</v>
      </c>
      <c r="C4784" s="349" t="s">
        <v>256</v>
      </c>
      <c r="D4784" s="483">
        <v>21.66</v>
      </c>
      <c r="E4784" s="483">
        <v>21.66</v>
      </c>
    </row>
    <row r="4785" spans="1:5" ht="30">
      <c r="A4785" s="494">
        <v>87425</v>
      </c>
      <c r="B4785" s="485" t="s">
        <v>18789</v>
      </c>
      <c r="C4785" s="484" t="s">
        <v>256</v>
      </c>
      <c r="D4785" s="486">
        <v>22.46</v>
      </c>
      <c r="E4785" s="486">
        <v>22.46</v>
      </c>
    </row>
    <row r="4786" spans="1:5" ht="30">
      <c r="A4786" s="495">
        <v>87426</v>
      </c>
      <c r="B4786" s="348" t="s">
        <v>18790</v>
      </c>
      <c r="C4786" s="349" t="s">
        <v>256</v>
      </c>
      <c r="D4786" s="483">
        <v>24.69</v>
      </c>
      <c r="E4786" s="483">
        <v>24.69</v>
      </c>
    </row>
    <row r="4787" spans="1:5" ht="30">
      <c r="A4787" s="494">
        <v>87427</v>
      </c>
      <c r="B4787" s="485" t="s">
        <v>18791</v>
      </c>
      <c r="C4787" s="484" t="s">
        <v>256</v>
      </c>
      <c r="D4787" s="486">
        <v>25.2</v>
      </c>
      <c r="E4787" s="486">
        <v>25.2</v>
      </c>
    </row>
    <row r="4788" spans="1:5" ht="30">
      <c r="A4788" s="495">
        <v>87428</v>
      </c>
      <c r="B4788" s="348" t="s">
        <v>18792</v>
      </c>
      <c r="C4788" s="349" t="s">
        <v>256</v>
      </c>
      <c r="D4788" s="483">
        <v>26</v>
      </c>
      <c r="E4788" s="483">
        <v>26</v>
      </c>
    </row>
    <row r="4789" spans="1:5" ht="45">
      <c r="A4789" s="494">
        <v>87429</v>
      </c>
      <c r="B4789" s="485" t="s">
        <v>18793</v>
      </c>
      <c r="C4789" s="484" t="s">
        <v>256</v>
      </c>
      <c r="D4789" s="486">
        <v>12</v>
      </c>
      <c r="E4789" s="486">
        <v>12</v>
      </c>
    </row>
    <row r="4790" spans="1:5" ht="45">
      <c r="A4790" s="495">
        <v>87430</v>
      </c>
      <c r="B4790" s="348" t="s">
        <v>18794</v>
      </c>
      <c r="C4790" s="349" t="s">
        <v>256</v>
      </c>
      <c r="D4790" s="483">
        <v>12.33</v>
      </c>
      <c r="E4790" s="483">
        <v>12.33</v>
      </c>
    </row>
    <row r="4791" spans="1:5" ht="45">
      <c r="A4791" s="494">
        <v>87431</v>
      </c>
      <c r="B4791" s="485" t="s">
        <v>18795</v>
      </c>
      <c r="C4791" s="484" t="s">
        <v>256</v>
      </c>
      <c r="D4791" s="486">
        <v>12.5</v>
      </c>
      <c r="E4791" s="486">
        <v>12.5</v>
      </c>
    </row>
    <row r="4792" spans="1:5" ht="45">
      <c r="A4792" s="495">
        <v>87432</v>
      </c>
      <c r="B4792" s="348" t="s">
        <v>18796</v>
      </c>
      <c r="C4792" s="349" t="s">
        <v>256</v>
      </c>
      <c r="D4792" s="483">
        <v>17.07</v>
      </c>
      <c r="E4792" s="483">
        <v>17.07</v>
      </c>
    </row>
    <row r="4793" spans="1:5" ht="45">
      <c r="A4793" s="494">
        <v>87433</v>
      </c>
      <c r="B4793" s="485" t="s">
        <v>18797</v>
      </c>
      <c r="C4793" s="484" t="s">
        <v>256</v>
      </c>
      <c r="D4793" s="486">
        <v>17.75</v>
      </c>
      <c r="E4793" s="486">
        <v>17.75</v>
      </c>
    </row>
    <row r="4794" spans="1:5" ht="45">
      <c r="A4794" s="495">
        <v>87434</v>
      </c>
      <c r="B4794" s="348" t="s">
        <v>18798</v>
      </c>
      <c r="C4794" s="349" t="s">
        <v>256</v>
      </c>
      <c r="D4794" s="483">
        <v>18.21</v>
      </c>
      <c r="E4794" s="483">
        <v>18.21</v>
      </c>
    </row>
    <row r="4795" spans="1:5" ht="45">
      <c r="A4795" s="494">
        <v>87435</v>
      </c>
      <c r="B4795" s="485" t="s">
        <v>18799</v>
      </c>
      <c r="C4795" s="484" t="s">
        <v>256</v>
      </c>
      <c r="D4795" s="486">
        <v>19.2</v>
      </c>
      <c r="E4795" s="486">
        <v>19.2</v>
      </c>
    </row>
    <row r="4796" spans="1:5" ht="45">
      <c r="A4796" s="495">
        <v>87436</v>
      </c>
      <c r="B4796" s="348" t="s">
        <v>18800</v>
      </c>
      <c r="C4796" s="349" t="s">
        <v>256</v>
      </c>
      <c r="D4796" s="483">
        <v>20.34</v>
      </c>
      <c r="E4796" s="483">
        <v>20.34</v>
      </c>
    </row>
    <row r="4797" spans="1:5" ht="45">
      <c r="A4797" s="494">
        <v>87437</v>
      </c>
      <c r="B4797" s="485" t="s">
        <v>930</v>
      </c>
      <c r="C4797" s="484" t="s">
        <v>256</v>
      </c>
      <c r="D4797" s="486">
        <v>21.15</v>
      </c>
      <c r="E4797" s="486">
        <v>21.15</v>
      </c>
    </row>
    <row r="4798" spans="1:5" ht="45">
      <c r="A4798" s="495">
        <v>87438</v>
      </c>
      <c r="B4798" s="348" t="s">
        <v>18801</v>
      </c>
      <c r="C4798" s="349" t="s">
        <v>256</v>
      </c>
      <c r="D4798" s="483">
        <v>23.58</v>
      </c>
      <c r="E4798" s="483">
        <v>23.58</v>
      </c>
    </row>
    <row r="4799" spans="1:5" ht="45">
      <c r="A4799" s="494">
        <v>87439</v>
      </c>
      <c r="B4799" s="485" t="s">
        <v>18802</v>
      </c>
      <c r="C4799" s="484" t="s">
        <v>256</v>
      </c>
      <c r="D4799" s="486">
        <v>25.02</v>
      </c>
      <c r="E4799" s="486">
        <v>25.02</v>
      </c>
    </row>
    <row r="4800" spans="1:5" ht="45">
      <c r="A4800" s="495">
        <v>87440</v>
      </c>
      <c r="B4800" s="348" t="s">
        <v>931</v>
      </c>
      <c r="C4800" s="349" t="s">
        <v>256</v>
      </c>
      <c r="D4800" s="483">
        <v>25.7</v>
      </c>
      <c r="E4800" s="483">
        <v>25.7</v>
      </c>
    </row>
    <row r="4801" spans="1:5" ht="60">
      <c r="A4801" s="494">
        <v>87527</v>
      </c>
      <c r="B4801" s="485" t="s">
        <v>18803</v>
      </c>
      <c r="C4801" s="484" t="s">
        <v>256</v>
      </c>
      <c r="D4801" s="486">
        <v>26.78</v>
      </c>
      <c r="E4801" s="486">
        <v>26.78</v>
      </c>
    </row>
    <row r="4802" spans="1:5" ht="45">
      <c r="A4802" s="495">
        <v>87528</v>
      </c>
      <c r="B4802" s="348" t="s">
        <v>18804</v>
      </c>
      <c r="C4802" s="349" t="s">
        <v>256</v>
      </c>
      <c r="D4802" s="483">
        <v>29.67</v>
      </c>
      <c r="E4802" s="483">
        <v>29.67</v>
      </c>
    </row>
    <row r="4803" spans="1:5" ht="45">
      <c r="A4803" s="494">
        <v>87529</v>
      </c>
      <c r="B4803" s="485" t="s">
        <v>18805</v>
      </c>
      <c r="C4803" s="484" t="s">
        <v>256</v>
      </c>
      <c r="D4803" s="486">
        <v>24.19</v>
      </c>
      <c r="E4803" s="486">
        <v>24.19</v>
      </c>
    </row>
    <row r="4804" spans="1:5" ht="45">
      <c r="A4804" s="495">
        <v>87530</v>
      </c>
      <c r="B4804" s="348" t="s">
        <v>18806</v>
      </c>
      <c r="C4804" s="349" t="s">
        <v>256</v>
      </c>
      <c r="D4804" s="483">
        <v>27.08</v>
      </c>
      <c r="E4804" s="483">
        <v>27.08</v>
      </c>
    </row>
    <row r="4805" spans="1:5" ht="60">
      <c r="A4805" s="494">
        <v>87531</v>
      </c>
      <c r="B4805" s="485" t="s">
        <v>18807</v>
      </c>
      <c r="C4805" s="484" t="s">
        <v>256</v>
      </c>
      <c r="D4805" s="486">
        <v>23.26</v>
      </c>
      <c r="E4805" s="486">
        <v>23.26</v>
      </c>
    </row>
    <row r="4806" spans="1:5" ht="45">
      <c r="A4806" s="495">
        <v>87532</v>
      </c>
      <c r="B4806" s="348" t="s">
        <v>18808</v>
      </c>
      <c r="C4806" s="349" t="s">
        <v>256</v>
      </c>
      <c r="D4806" s="483">
        <v>26.15</v>
      </c>
      <c r="E4806" s="483">
        <v>26.15</v>
      </c>
    </row>
    <row r="4807" spans="1:5" ht="60">
      <c r="A4807" s="494">
        <v>87535</v>
      </c>
      <c r="B4807" s="485" t="s">
        <v>18809</v>
      </c>
      <c r="C4807" s="484" t="s">
        <v>256</v>
      </c>
      <c r="D4807" s="486">
        <v>20.67</v>
      </c>
      <c r="E4807" s="486">
        <v>20.67</v>
      </c>
    </row>
    <row r="4808" spans="1:5" ht="45">
      <c r="A4808" s="495">
        <v>87536</v>
      </c>
      <c r="B4808" s="348" t="s">
        <v>18810</v>
      </c>
      <c r="C4808" s="349" t="s">
        <v>256</v>
      </c>
      <c r="D4808" s="483">
        <v>23.56</v>
      </c>
      <c r="E4808" s="483">
        <v>23.56</v>
      </c>
    </row>
    <row r="4809" spans="1:5" ht="60">
      <c r="A4809" s="494">
        <v>87537</v>
      </c>
      <c r="B4809" s="485" t="s">
        <v>18811</v>
      </c>
      <c r="C4809" s="484" t="s">
        <v>256</v>
      </c>
      <c r="D4809" s="486">
        <v>42.61</v>
      </c>
      <c r="E4809" s="486">
        <v>42.61</v>
      </c>
    </row>
    <row r="4810" spans="1:5" ht="60">
      <c r="A4810" s="495">
        <v>87538</v>
      </c>
      <c r="B4810" s="348" t="s">
        <v>18812</v>
      </c>
      <c r="C4810" s="349" t="s">
        <v>256</v>
      </c>
      <c r="D4810" s="483">
        <v>40.36</v>
      </c>
      <c r="E4810" s="483">
        <v>40.36</v>
      </c>
    </row>
    <row r="4811" spans="1:5" ht="60">
      <c r="A4811" s="494">
        <v>87539</v>
      </c>
      <c r="B4811" s="485" t="s">
        <v>18813</v>
      </c>
      <c r="C4811" s="484" t="s">
        <v>256</v>
      </c>
      <c r="D4811" s="486">
        <v>39.549999999999997</v>
      </c>
      <c r="E4811" s="486">
        <v>39.549999999999997</v>
      </c>
    </row>
    <row r="4812" spans="1:5" ht="60">
      <c r="A4812" s="495">
        <v>87541</v>
      </c>
      <c r="B4812" s="348" t="s">
        <v>18814</v>
      </c>
      <c r="C4812" s="349" t="s">
        <v>256</v>
      </c>
      <c r="D4812" s="483">
        <v>37.31</v>
      </c>
      <c r="E4812" s="483">
        <v>37.31</v>
      </c>
    </row>
    <row r="4813" spans="1:5" ht="60">
      <c r="A4813" s="494">
        <v>87543</v>
      </c>
      <c r="B4813" s="485" t="s">
        <v>18815</v>
      </c>
      <c r="C4813" s="484" t="s">
        <v>256</v>
      </c>
      <c r="D4813" s="486">
        <v>13.57</v>
      </c>
      <c r="E4813" s="486">
        <v>13.57</v>
      </c>
    </row>
    <row r="4814" spans="1:5" ht="60">
      <c r="A4814" s="495">
        <v>87545</v>
      </c>
      <c r="B4814" s="348" t="s">
        <v>18816</v>
      </c>
      <c r="C4814" s="349" t="s">
        <v>256</v>
      </c>
      <c r="D4814" s="483">
        <v>18.25</v>
      </c>
      <c r="E4814" s="483">
        <v>18.25</v>
      </c>
    </row>
    <row r="4815" spans="1:5" ht="45">
      <c r="A4815" s="494">
        <v>87546</v>
      </c>
      <c r="B4815" s="485" t="s">
        <v>18817</v>
      </c>
      <c r="C4815" s="484" t="s">
        <v>256</v>
      </c>
      <c r="D4815" s="486">
        <v>19.89</v>
      </c>
      <c r="E4815" s="486">
        <v>19.89</v>
      </c>
    </row>
    <row r="4816" spans="1:5" ht="45">
      <c r="A4816" s="495">
        <v>87547</v>
      </c>
      <c r="B4816" s="348" t="s">
        <v>18818</v>
      </c>
      <c r="C4816" s="349" t="s">
        <v>256</v>
      </c>
      <c r="D4816" s="483">
        <v>15.68</v>
      </c>
      <c r="E4816" s="483">
        <v>15.68</v>
      </c>
    </row>
    <row r="4817" spans="1:5" ht="45">
      <c r="A4817" s="494">
        <v>87548</v>
      </c>
      <c r="B4817" s="485" t="s">
        <v>18819</v>
      </c>
      <c r="C4817" s="484" t="s">
        <v>256</v>
      </c>
      <c r="D4817" s="486">
        <v>17.32</v>
      </c>
      <c r="E4817" s="486">
        <v>17.32</v>
      </c>
    </row>
    <row r="4818" spans="1:5" ht="60">
      <c r="A4818" s="495">
        <v>87549</v>
      </c>
      <c r="B4818" s="348" t="s">
        <v>18820</v>
      </c>
      <c r="C4818" s="349" t="s">
        <v>256</v>
      </c>
      <c r="D4818" s="483">
        <v>14.74</v>
      </c>
      <c r="E4818" s="483">
        <v>14.74</v>
      </c>
    </row>
    <row r="4819" spans="1:5" ht="45">
      <c r="A4819" s="494">
        <v>87550</v>
      </c>
      <c r="B4819" s="485" t="s">
        <v>18821</v>
      </c>
      <c r="C4819" s="484" t="s">
        <v>256</v>
      </c>
      <c r="D4819" s="486">
        <v>16.38</v>
      </c>
      <c r="E4819" s="486">
        <v>16.38</v>
      </c>
    </row>
    <row r="4820" spans="1:5" ht="60">
      <c r="A4820" s="495">
        <v>87553</v>
      </c>
      <c r="B4820" s="348" t="s">
        <v>18822</v>
      </c>
      <c r="C4820" s="349" t="s">
        <v>256</v>
      </c>
      <c r="D4820" s="483">
        <v>12.15</v>
      </c>
      <c r="E4820" s="483">
        <v>12.15</v>
      </c>
    </row>
    <row r="4821" spans="1:5" ht="45">
      <c r="A4821" s="494">
        <v>87554</v>
      </c>
      <c r="B4821" s="485" t="s">
        <v>18823</v>
      </c>
      <c r="C4821" s="484" t="s">
        <v>256</v>
      </c>
      <c r="D4821" s="486">
        <v>13.79</v>
      </c>
      <c r="E4821" s="486">
        <v>13.79</v>
      </c>
    </row>
    <row r="4822" spans="1:5" ht="60">
      <c r="A4822" s="495">
        <v>87555</v>
      </c>
      <c r="B4822" s="348" t="s">
        <v>18824</v>
      </c>
      <c r="C4822" s="349" t="s">
        <v>256</v>
      </c>
      <c r="D4822" s="483">
        <v>26.45</v>
      </c>
      <c r="E4822" s="483">
        <v>26.45</v>
      </c>
    </row>
    <row r="4823" spans="1:5" ht="60">
      <c r="A4823" s="494">
        <v>87556</v>
      </c>
      <c r="B4823" s="485" t="s">
        <v>18825</v>
      </c>
      <c r="C4823" s="484" t="s">
        <v>256</v>
      </c>
      <c r="D4823" s="486">
        <v>24.22</v>
      </c>
      <c r="E4823" s="486">
        <v>24.22</v>
      </c>
    </row>
    <row r="4824" spans="1:5" ht="60">
      <c r="A4824" s="495">
        <v>87557</v>
      </c>
      <c r="B4824" s="348" t="s">
        <v>18826</v>
      </c>
      <c r="C4824" s="349" t="s">
        <v>256</v>
      </c>
      <c r="D4824" s="483">
        <v>23.4</v>
      </c>
      <c r="E4824" s="483">
        <v>23.4</v>
      </c>
    </row>
    <row r="4825" spans="1:5" ht="60">
      <c r="A4825" s="494">
        <v>87559</v>
      </c>
      <c r="B4825" s="485" t="s">
        <v>18827</v>
      </c>
      <c r="C4825" s="484" t="s">
        <v>256</v>
      </c>
      <c r="D4825" s="486">
        <v>21.16</v>
      </c>
      <c r="E4825" s="486">
        <v>21.16</v>
      </c>
    </row>
    <row r="4826" spans="1:5" ht="60">
      <c r="A4826" s="495">
        <v>87561</v>
      </c>
      <c r="B4826" s="348" t="s">
        <v>18828</v>
      </c>
      <c r="C4826" s="349" t="s">
        <v>256</v>
      </c>
      <c r="D4826" s="483">
        <v>23.61</v>
      </c>
      <c r="E4826" s="483">
        <v>23.61</v>
      </c>
    </row>
    <row r="4827" spans="1:5" ht="45">
      <c r="A4827" s="494">
        <v>87775</v>
      </c>
      <c r="B4827" s="485" t="s">
        <v>18829</v>
      </c>
      <c r="C4827" s="484" t="s">
        <v>256</v>
      </c>
      <c r="D4827" s="486">
        <v>37.049999999999997</v>
      </c>
      <c r="E4827" s="486">
        <v>37.049999999999997</v>
      </c>
    </row>
    <row r="4828" spans="1:5" ht="45">
      <c r="A4828" s="495">
        <v>87777</v>
      </c>
      <c r="B4828" s="348" t="s">
        <v>18830</v>
      </c>
      <c r="C4828" s="349" t="s">
        <v>256</v>
      </c>
      <c r="D4828" s="483">
        <v>39.47</v>
      </c>
      <c r="E4828" s="483">
        <v>39.47</v>
      </c>
    </row>
    <row r="4829" spans="1:5" ht="45">
      <c r="A4829" s="494">
        <v>87778</v>
      </c>
      <c r="B4829" s="485" t="s">
        <v>18831</v>
      </c>
      <c r="C4829" s="484" t="s">
        <v>256</v>
      </c>
      <c r="D4829" s="486">
        <v>48.33</v>
      </c>
      <c r="E4829" s="486">
        <v>48.33</v>
      </c>
    </row>
    <row r="4830" spans="1:5" ht="45">
      <c r="A4830" s="495">
        <v>87779</v>
      </c>
      <c r="B4830" s="348" t="s">
        <v>18832</v>
      </c>
      <c r="C4830" s="349" t="s">
        <v>256</v>
      </c>
      <c r="D4830" s="483">
        <v>43.34</v>
      </c>
      <c r="E4830" s="483">
        <v>43.34</v>
      </c>
    </row>
    <row r="4831" spans="1:5" ht="45">
      <c r="A4831" s="494">
        <v>87781</v>
      </c>
      <c r="B4831" s="485" t="s">
        <v>18833</v>
      </c>
      <c r="C4831" s="484" t="s">
        <v>256</v>
      </c>
      <c r="D4831" s="486">
        <v>46.58</v>
      </c>
      <c r="E4831" s="486">
        <v>46.58</v>
      </c>
    </row>
    <row r="4832" spans="1:5" ht="45">
      <c r="A4832" s="495">
        <v>87783</v>
      </c>
      <c r="B4832" s="348" t="s">
        <v>18834</v>
      </c>
      <c r="C4832" s="349" t="s">
        <v>256</v>
      </c>
      <c r="D4832" s="483">
        <v>59.89</v>
      </c>
      <c r="E4832" s="483">
        <v>59.89</v>
      </c>
    </row>
    <row r="4833" spans="1:5" ht="45">
      <c r="A4833" s="494">
        <v>87784</v>
      </c>
      <c r="B4833" s="485" t="s">
        <v>18835</v>
      </c>
      <c r="C4833" s="484" t="s">
        <v>256</v>
      </c>
      <c r="D4833" s="486">
        <v>49.63</v>
      </c>
      <c r="E4833" s="486">
        <v>49.63</v>
      </c>
    </row>
    <row r="4834" spans="1:5" ht="45">
      <c r="A4834" s="495">
        <v>87786</v>
      </c>
      <c r="B4834" s="348" t="s">
        <v>18836</v>
      </c>
      <c r="C4834" s="349" t="s">
        <v>256</v>
      </c>
      <c r="D4834" s="483">
        <v>53.7</v>
      </c>
      <c r="E4834" s="483">
        <v>53.7</v>
      </c>
    </row>
    <row r="4835" spans="1:5" ht="45">
      <c r="A4835" s="494">
        <v>87787</v>
      </c>
      <c r="B4835" s="485" t="s">
        <v>18837</v>
      </c>
      <c r="C4835" s="484" t="s">
        <v>256</v>
      </c>
      <c r="D4835" s="486">
        <v>71.430000000000007</v>
      </c>
      <c r="E4835" s="486">
        <v>71.430000000000007</v>
      </c>
    </row>
    <row r="4836" spans="1:5" ht="45">
      <c r="A4836" s="495">
        <v>87788</v>
      </c>
      <c r="B4836" s="348" t="s">
        <v>18838</v>
      </c>
      <c r="C4836" s="349" t="s">
        <v>256</v>
      </c>
      <c r="D4836" s="483">
        <v>63.96</v>
      </c>
      <c r="E4836" s="483">
        <v>63.96</v>
      </c>
    </row>
    <row r="4837" spans="1:5" ht="45">
      <c r="A4837" s="494">
        <v>87790</v>
      </c>
      <c r="B4837" s="485" t="s">
        <v>18839</v>
      </c>
      <c r="C4837" s="484" t="s">
        <v>256</v>
      </c>
      <c r="D4837" s="486">
        <v>68.44</v>
      </c>
      <c r="E4837" s="486">
        <v>68.44</v>
      </c>
    </row>
    <row r="4838" spans="1:5" ht="60">
      <c r="A4838" s="495">
        <v>87791</v>
      </c>
      <c r="B4838" s="348" t="s">
        <v>18840</v>
      </c>
      <c r="C4838" s="349" t="s">
        <v>256</v>
      </c>
      <c r="D4838" s="483">
        <v>85.49</v>
      </c>
      <c r="E4838" s="483">
        <v>85.49</v>
      </c>
    </row>
    <row r="4839" spans="1:5" ht="45">
      <c r="A4839" s="494">
        <v>87792</v>
      </c>
      <c r="B4839" s="485" t="s">
        <v>18841</v>
      </c>
      <c r="C4839" s="484" t="s">
        <v>256</v>
      </c>
      <c r="D4839" s="486">
        <v>24.32</v>
      </c>
      <c r="E4839" s="486">
        <v>24.32</v>
      </c>
    </row>
    <row r="4840" spans="1:5" ht="45">
      <c r="A4840" s="495">
        <v>87794</v>
      </c>
      <c r="B4840" s="348" t="s">
        <v>18842</v>
      </c>
      <c r="C4840" s="349" t="s">
        <v>256</v>
      </c>
      <c r="D4840" s="483">
        <v>26.58</v>
      </c>
      <c r="E4840" s="483">
        <v>26.58</v>
      </c>
    </row>
    <row r="4841" spans="1:5" ht="45">
      <c r="A4841" s="494">
        <v>87795</v>
      </c>
      <c r="B4841" s="485" t="s">
        <v>18843</v>
      </c>
      <c r="C4841" s="484" t="s">
        <v>256</v>
      </c>
      <c r="D4841" s="486">
        <v>34.57</v>
      </c>
      <c r="E4841" s="486">
        <v>34.57</v>
      </c>
    </row>
    <row r="4842" spans="1:5" ht="45">
      <c r="A4842" s="495">
        <v>87797</v>
      </c>
      <c r="B4842" s="348" t="s">
        <v>18844</v>
      </c>
      <c r="C4842" s="349" t="s">
        <v>256</v>
      </c>
      <c r="D4842" s="483">
        <v>30.37</v>
      </c>
      <c r="E4842" s="483">
        <v>30.37</v>
      </c>
    </row>
    <row r="4843" spans="1:5" ht="45">
      <c r="A4843" s="494">
        <v>87799</v>
      </c>
      <c r="B4843" s="485" t="s">
        <v>18845</v>
      </c>
      <c r="C4843" s="484" t="s">
        <v>256</v>
      </c>
      <c r="D4843" s="486">
        <v>33.4</v>
      </c>
      <c r="E4843" s="486">
        <v>33.4</v>
      </c>
    </row>
    <row r="4844" spans="1:5" ht="45">
      <c r="A4844" s="495">
        <v>87800</v>
      </c>
      <c r="B4844" s="348" t="s">
        <v>18846</v>
      </c>
      <c r="C4844" s="349" t="s">
        <v>256</v>
      </c>
      <c r="D4844" s="483">
        <v>45.53</v>
      </c>
      <c r="E4844" s="483">
        <v>45.53</v>
      </c>
    </row>
    <row r="4845" spans="1:5" ht="45">
      <c r="A4845" s="494">
        <v>87801</v>
      </c>
      <c r="B4845" s="485" t="s">
        <v>18847</v>
      </c>
      <c r="C4845" s="484" t="s">
        <v>256</v>
      </c>
      <c r="D4845" s="486">
        <v>36.42</v>
      </c>
      <c r="E4845" s="486">
        <v>36.42</v>
      </c>
    </row>
    <row r="4846" spans="1:5" ht="45">
      <c r="A4846" s="495">
        <v>87803</v>
      </c>
      <c r="B4846" s="348" t="s">
        <v>18848</v>
      </c>
      <c r="C4846" s="349" t="s">
        <v>256</v>
      </c>
      <c r="D4846" s="483">
        <v>40.22</v>
      </c>
      <c r="E4846" s="483">
        <v>40.22</v>
      </c>
    </row>
    <row r="4847" spans="1:5" ht="45">
      <c r="A4847" s="494">
        <v>87804</v>
      </c>
      <c r="B4847" s="485" t="s">
        <v>18849</v>
      </c>
      <c r="C4847" s="484" t="s">
        <v>256</v>
      </c>
      <c r="D4847" s="486">
        <v>56.5</v>
      </c>
      <c r="E4847" s="486">
        <v>56.5</v>
      </c>
    </row>
    <row r="4848" spans="1:5" ht="45">
      <c r="A4848" s="495">
        <v>87805</v>
      </c>
      <c r="B4848" s="348" t="s">
        <v>18850</v>
      </c>
      <c r="C4848" s="349" t="s">
        <v>256</v>
      </c>
      <c r="D4848" s="483">
        <v>42</v>
      </c>
      <c r="E4848" s="483">
        <v>42</v>
      </c>
    </row>
    <row r="4849" spans="1:5" ht="45">
      <c r="A4849" s="494">
        <v>87807</v>
      </c>
      <c r="B4849" s="485" t="s">
        <v>18851</v>
      </c>
      <c r="C4849" s="484" t="s">
        <v>256</v>
      </c>
      <c r="D4849" s="486">
        <v>46.18</v>
      </c>
      <c r="E4849" s="486">
        <v>46.18</v>
      </c>
    </row>
    <row r="4850" spans="1:5" ht="60">
      <c r="A4850" s="495">
        <v>87808</v>
      </c>
      <c r="B4850" s="348" t="s">
        <v>18852</v>
      </c>
      <c r="C4850" s="349" t="s">
        <v>256</v>
      </c>
      <c r="D4850" s="483">
        <v>61.66</v>
      </c>
      <c r="E4850" s="483">
        <v>61.66</v>
      </c>
    </row>
    <row r="4851" spans="1:5" ht="60">
      <c r="A4851" s="494">
        <v>87809</v>
      </c>
      <c r="B4851" s="485" t="s">
        <v>18853</v>
      </c>
      <c r="C4851" s="484" t="s">
        <v>256</v>
      </c>
      <c r="D4851" s="486">
        <v>59.78</v>
      </c>
      <c r="E4851" s="486">
        <v>59.78</v>
      </c>
    </row>
    <row r="4852" spans="1:5" ht="45">
      <c r="A4852" s="495">
        <v>87811</v>
      </c>
      <c r="B4852" s="348" t="s">
        <v>18854</v>
      </c>
      <c r="C4852" s="349" t="s">
        <v>256</v>
      </c>
      <c r="D4852" s="483">
        <v>62.04</v>
      </c>
      <c r="E4852" s="483">
        <v>62.04</v>
      </c>
    </row>
    <row r="4853" spans="1:5" ht="45">
      <c r="A4853" s="494">
        <v>87812</v>
      </c>
      <c r="B4853" s="485" t="s">
        <v>18855</v>
      </c>
      <c r="C4853" s="484" t="s">
        <v>256</v>
      </c>
      <c r="D4853" s="486">
        <v>69.72</v>
      </c>
      <c r="E4853" s="486">
        <v>69.72</v>
      </c>
    </row>
    <row r="4854" spans="1:5" ht="60">
      <c r="A4854" s="495">
        <v>87813</v>
      </c>
      <c r="B4854" s="348" t="s">
        <v>18856</v>
      </c>
      <c r="C4854" s="349" t="s">
        <v>256</v>
      </c>
      <c r="D4854" s="483">
        <v>65.819999999999993</v>
      </c>
      <c r="E4854" s="483">
        <v>65.819999999999993</v>
      </c>
    </row>
    <row r="4855" spans="1:5" ht="45">
      <c r="A4855" s="494">
        <v>87815</v>
      </c>
      <c r="B4855" s="485" t="s">
        <v>18857</v>
      </c>
      <c r="C4855" s="484" t="s">
        <v>256</v>
      </c>
      <c r="D4855" s="486">
        <v>68.849999999999994</v>
      </c>
      <c r="E4855" s="486">
        <v>68.849999999999994</v>
      </c>
    </row>
    <row r="4856" spans="1:5" ht="45">
      <c r="A4856" s="495">
        <v>87816</v>
      </c>
      <c r="B4856" s="348" t="s">
        <v>18858</v>
      </c>
      <c r="C4856" s="349" t="s">
        <v>256</v>
      </c>
      <c r="D4856" s="483">
        <v>80.67</v>
      </c>
      <c r="E4856" s="483">
        <v>80.67</v>
      </c>
    </row>
    <row r="4857" spans="1:5" ht="60">
      <c r="A4857" s="494">
        <v>87817</v>
      </c>
      <c r="B4857" s="485" t="s">
        <v>18859</v>
      </c>
      <c r="C4857" s="484" t="s">
        <v>256</v>
      </c>
      <c r="D4857" s="486">
        <v>71.56</v>
      </c>
      <c r="E4857" s="486">
        <v>71.56</v>
      </c>
    </row>
    <row r="4858" spans="1:5" ht="45">
      <c r="A4858" s="495">
        <v>87819</v>
      </c>
      <c r="B4858" s="348" t="s">
        <v>18860</v>
      </c>
      <c r="C4858" s="349" t="s">
        <v>256</v>
      </c>
      <c r="D4858" s="483">
        <v>75.36</v>
      </c>
      <c r="E4858" s="483">
        <v>75.36</v>
      </c>
    </row>
    <row r="4859" spans="1:5" ht="45">
      <c r="A4859" s="494">
        <v>87820</v>
      </c>
      <c r="B4859" s="485" t="s">
        <v>18861</v>
      </c>
      <c r="C4859" s="484" t="s">
        <v>256</v>
      </c>
      <c r="D4859" s="486">
        <v>91.64</v>
      </c>
      <c r="E4859" s="486">
        <v>91.64</v>
      </c>
    </row>
    <row r="4860" spans="1:5" ht="60">
      <c r="A4860" s="495">
        <v>87821</v>
      </c>
      <c r="B4860" s="348" t="s">
        <v>18862</v>
      </c>
      <c r="C4860" s="349" t="s">
        <v>256</v>
      </c>
      <c r="D4860" s="483">
        <v>103.04</v>
      </c>
      <c r="E4860" s="483">
        <v>103.04</v>
      </c>
    </row>
    <row r="4861" spans="1:5" ht="45">
      <c r="A4861" s="494">
        <v>87823</v>
      </c>
      <c r="B4861" s="485" t="s">
        <v>18863</v>
      </c>
      <c r="C4861" s="484" t="s">
        <v>256</v>
      </c>
      <c r="D4861" s="486">
        <v>107.22</v>
      </c>
      <c r="E4861" s="486">
        <v>107.22</v>
      </c>
    </row>
    <row r="4862" spans="1:5" ht="60">
      <c r="A4862" s="495">
        <v>87824</v>
      </c>
      <c r="B4862" s="348" t="s">
        <v>18864</v>
      </c>
      <c r="C4862" s="349" t="s">
        <v>256</v>
      </c>
      <c r="D4862" s="483">
        <v>122.38</v>
      </c>
      <c r="E4862" s="483">
        <v>122.38</v>
      </c>
    </row>
    <row r="4863" spans="1:5" ht="45">
      <c r="A4863" s="494">
        <v>87825</v>
      </c>
      <c r="B4863" s="485" t="s">
        <v>18865</v>
      </c>
      <c r="C4863" s="484" t="s">
        <v>256</v>
      </c>
      <c r="D4863" s="486">
        <v>47.36</v>
      </c>
      <c r="E4863" s="486">
        <v>47.36</v>
      </c>
    </row>
    <row r="4864" spans="1:5" ht="45">
      <c r="A4864" s="495">
        <v>87827</v>
      </c>
      <c r="B4864" s="348" t="s">
        <v>18866</v>
      </c>
      <c r="C4864" s="349" t="s">
        <v>256</v>
      </c>
      <c r="D4864" s="483">
        <v>50.13</v>
      </c>
      <c r="E4864" s="483">
        <v>50.13</v>
      </c>
    </row>
    <row r="4865" spans="1:5" ht="45">
      <c r="A4865" s="494">
        <v>87828</v>
      </c>
      <c r="B4865" s="485" t="s">
        <v>18867</v>
      </c>
      <c r="C4865" s="484" t="s">
        <v>256</v>
      </c>
      <c r="D4865" s="486">
        <v>60.86</v>
      </c>
      <c r="E4865" s="486">
        <v>60.86</v>
      </c>
    </row>
    <row r="4866" spans="1:5" ht="45">
      <c r="A4866" s="495">
        <v>87829</v>
      </c>
      <c r="B4866" s="348" t="s">
        <v>18868</v>
      </c>
      <c r="C4866" s="349" t="s">
        <v>256</v>
      </c>
      <c r="D4866" s="483">
        <v>54.18</v>
      </c>
      <c r="E4866" s="483">
        <v>54.18</v>
      </c>
    </row>
    <row r="4867" spans="1:5" ht="45">
      <c r="A4867" s="494">
        <v>87831</v>
      </c>
      <c r="B4867" s="485" t="s">
        <v>18869</v>
      </c>
      <c r="C4867" s="484" t="s">
        <v>256</v>
      </c>
      <c r="D4867" s="486">
        <v>57.89</v>
      </c>
      <c r="E4867" s="486">
        <v>57.89</v>
      </c>
    </row>
    <row r="4868" spans="1:5" ht="45">
      <c r="A4868" s="495">
        <v>87832</v>
      </c>
      <c r="B4868" s="348" t="s">
        <v>18870</v>
      </c>
      <c r="C4868" s="349" t="s">
        <v>256</v>
      </c>
      <c r="D4868" s="483">
        <v>73.680000000000007</v>
      </c>
      <c r="E4868" s="483">
        <v>73.680000000000007</v>
      </c>
    </row>
    <row r="4869" spans="1:5" ht="45">
      <c r="A4869" s="494">
        <v>87834</v>
      </c>
      <c r="B4869" s="485" t="s">
        <v>18871</v>
      </c>
      <c r="C4869" s="484" t="s">
        <v>256</v>
      </c>
      <c r="D4869" s="486">
        <v>113.49</v>
      </c>
      <c r="E4869" s="486">
        <v>113.49</v>
      </c>
    </row>
    <row r="4870" spans="1:5" ht="45">
      <c r="A4870" s="495">
        <v>87835</v>
      </c>
      <c r="B4870" s="348" t="s">
        <v>18872</v>
      </c>
      <c r="C4870" s="349" t="s">
        <v>256</v>
      </c>
      <c r="D4870" s="483">
        <v>75.319999999999993</v>
      </c>
      <c r="E4870" s="483">
        <v>75.319999999999993</v>
      </c>
    </row>
    <row r="4871" spans="1:5" ht="45">
      <c r="A4871" s="494">
        <v>87836</v>
      </c>
      <c r="B4871" s="485" t="s">
        <v>18873</v>
      </c>
      <c r="C4871" s="484" t="s">
        <v>256</v>
      </c>
      <c r="D4871" s="486">
        <v>107.94</v>
      </c>
      <c r="E4871" s="486">
        <v>107.94</v>
      </c>
    </row>
    <row r="4872" spans="1:5" ht="45">
      <c r="A4872" s="495">
        <v>87837</v>
      </c>
      <c r="B4872" s="348" t="s">
        <v>18874</v>
      </c>
      <c r="C4872" s="349" t="s">
        <v>256</v>
      </c>
      <c r="D4872" s="483">
        <v>70.41</v>
      </c>
      <c r="E4872" s="483">
        <v>70.41</v>
      </c>
    </row>
    <row r="4873" spans="1:5" ht="45">
      <c r="A4873" s="494">
        <v>87838</v>
      </c>
      <c r="B4873" s="485" t="s">
        <v>18875</v>
      </c>
      <c r="C4873" s="484" t="s">
        <v>256</v>
      </c>
      <c r="D4873" s="486">
        <v>120.92</v>
      </c>
      <c r="E4873" s="486">
        <v>120.92</v>
      </c>
    </row>
    <row r="4874" spans="1:5" ht="45">
      <c r="A4874" s="495">
        <v>87839</v>
      </c>
      <c r="B4874" s="348" t="s">
        <v>18876</v>
      </c>
      <c r="C4874" s="349" t="s">
        <v>256</v>
      </c>
      <c r="D4874" s="483">
        <v>79.7</v>
      </c>
      <c r="E4874" s="483">
        <v>79.7</v>
      </c>
    </row>
    <row r="4875" spans="1:5" ht="45">
      <c r="A4875" s="494">
        <v>87840</v>
      </c>
      <c r="B4875" s="485" t="s">
        <v>18877</v>
      </c>
      <c r="C4875" s="484" t="s">
        <v>256</v>
      </c>
      <c r="D4875" s="486">
        <v>114.16</v>
      </c>
      <c r="E4875" s="486">
        <v>114.16</v>
      </c>
    </row>
    <row r="4876" spans="1:5" ht="45">
      <c r="A4876" s="495">
        <v>87841</v>
      </c>
      <c r="B4876" s="348" t="s">
        <v>18878</v>
      </c>
      <c r="C4876" s="349" t="s">
        <v>256</v>
      </c>
      <c r="D4876" s="483">
        <v>73.569999999999993</v>
      </c>
      <c r="E4876" s="483">
        <v>73.569999999999993</v>
      </c>
    </row>
    <row r="4877" spans="1:5" ht="45">
      <c r="A4877" s="494">
        <v>87842</v>
      </c>
      <c r="B4877" s="485" t="s">
        <v>18879</v>
      </c>
      <c r="C4877" s="484" t="s">
        <v>256</v>
      </c>
      <c r="D4877" s="486">
        <v>112.62</v>
      </c>
      <c r="E4877" s="486">
        <v>112.62</v>
      </c>
    </row>
    <row r="4878" spans="1:5" ht="45">
      <c r="A4878" s="495">
        <v>87843</v>
      </c>
      <c r="B4878" s="348" t="s">
        <v>18880</v>
      </c>
      <c r="C4878" s="349" t="s">
        <v>256</v>
      </c>
      <c r="D4878" s="483">
        <v>84.24</v>
      </c>
      <c r="E4878" s="483">
        <v>84.24</v>
      </c>
    </row>
    <row r="4879" spans="1:5" ht="45">
      <c r="A4879" s="494">
        <v>87844</v>
      </c>
      <c r="B4879" s="485" t="s">
        <v>18881</v>
      </c>
      <c r="C4879" s="484" t="s">
        <v>256</v>
      </c>
      <c r="D4879" s="486">
        <v>102.65</v>
      </c>
      <c r="E4879" s="486">
        <v>102.65</v>
      </c>
    </row>
    <row r="4880" spans="1:5" ht="45">
      <c r="A4880" s="495">
        <v>87845</v>
      </c>
      <c r="B4880" s="348" t="s">
        <v>18882</v>
      </c>
      <c r="C4880" s="349" t="s">
        <v>256</v>
      </c>
      <c r="D4880" s="483">
        <v>74.92</v>
      </c>
      <c r="E4880" s="483">
        <v>74.92</v>
      </c>
    </row>
    <row r="4881" spans="1:5" ht="45">
      <c r="A4881" s="494">
        <v>87846</v>
      </c>
      <c r="B4881" s="485" t="s">
        <v>18883</v>
      </c>
      <c r="C4881" s="484" t="s">
        <v>256</v>
      </c>
      <c r="D4881" s="486">
        <v>122.8</v>
      </c>
      <c r="E4881" s="486">
        <v>122.8</v>
      </c>
    </row>
    <row r="4882" spans="1:5" ht="45">
      <c r="A4882" s="495">
        <v>87847</v>
      </c>
      <c r="B4882" s="348" t="s">
        <v>18884</v>
      </c>
      <c r="C4882" s="349" t="s">
        <v>256</v>
      </c>
      <c r="D4882" s="483">
        <v>84.63</v>
      </c>
      <c r="E4882" s="483">
        <v>84.63</v>
      </c>
    </row>
    <row r="4883" spans="1:5" ht="45">
      <c r="A4883" s="494">
        <v>87848</v>
      </c>
      <c r="B4883" s="485" t="s">
        <v>18885</v>
      </c>
      <c r="C4883" s="484" t="s">
        <v>256</v>
      </c>
      <c r="D4883" s="486">
        <v>116.32</v>
      </c>
      <c r="E4883" s="486">
        <v>116.32</v>
      </c>
    </row>
    <row r="4884" spans="1:5" ht="45">
      <c r="A4884" s="495">
        <v>87849</v>
      </c>
      <c r="B4884" s="348" t="s">
        <v>18886</v>
      </c>
      <c r="C4884" s="349" t="s">
        <v>256</v>
      </c>
      <c r="D4884" s="483">
        <v>78.8</v>
      </c>
      <c r="E4884" s="483">
        <v>78.8</v>
      </c>
    </row>
    <row r="4885" spans="1:5" ht="45">
      <c r="A4885" s="494">
        <v>87850</v>
      </c>
      <c r="B4885" s="485" t="s">
        <v>18887</v>
      </c>
      <c r="C4885" s="484" t="s">
        <v>256</v>
      </c>
      <c r="D4885" s="486">
        <v>130.26</v>
      </c>
      <c r="E4885" s="486">
        <v>130.26</v>
      </c>
    </row>
    <row r="4886" spans="1:5" ht="45">
      <c r="A4886" s="495">
        <v>87851</v>
      </c>
      <c r="B4886" s="348" t="s">
        <v>18888</v>
      </c>
      <c r="C4886" s="349" t="s">
        <v>256</v>
      </c>
      <c r="D4886" s="483">
        <v>89.04</v>
      </c>
      <c r="E4886" s="483">
        <v>89.04</v>
      </c>
    </row>
    <row r="4887" spans="1:5" ht="45">
      <c r="A4887" s="494">
        <v>87852</v>
      </c>
      <c r="B4887" s="485" t="s">
        <v>18889</v>
      </c>
      <c r="C4887" s="484" t="s">
        <v>256</v>
      </c>
      <c r="D4887" s="486">
        <v>122.53</v>
      </c>
      <c r="E4887" s="486">
        <v>122.53</v>
      </c>
    </row>
    <row r="4888" spans="1:5" ht="45">
      <c r="A4888" s="495">
        <v>87853</v>
      </c>
      <c r="B4888" s="348" t="s">
        <v>18890</v>
      </c>
      <c r="C4888" s="349" t="s">
        <v>256</v>
      </c>
      <c r="D4888" s="483">
        <v>81.95</v>
      </c>
      <c r="E4888" s="483">
        <v>81.95</v>
      </c>
    </row>
    <row r="4889" spans="1:5" ht="45">
      <c r="A4889" s="494">
        <v>87854</v>
      </c>
      <c r="B4889" s="485" t="s">
        <v>18891</v>
      </c>
      <c r="C4889" s="484" t="s">
        <v>256</v>
      </c>
      <c r="D4889" s="486">
        <v>121.94</v>
      </c>
      <c r="E4889" s="486">
        <v>121.94</v>
      </c>
    </row>
    <row r="4890" spans="1:5" ht="45">
      <c r="A4890" s="495">
        <v>87855</v>
      </c>
      <c r="B4890" s="348" t="s">
        <v>18892</v>
      </c>
      <c r="C4890" s="349" t="s">
        <v>256</v>
      </c>
      <c r="D4890" s="483">
        <v>93.58</v>
      </c>
      <c r="E4890" s="483">
        <v>93.58</v>
      </c>
    </row>
    <row r="4891" spans="1:5" ht="45">
      <c r="A4891" s="494">
        <v>87856</v>
      </c>
      <c r="B4891" s="485" t="s">
        <v>18893</v>
      </c>
      <c r="C4891" s="484" t="s">
        <v>256</v>
      </c>
      <c r="D4891" s="486">
        <v>111.03</v>
      </c>
      <c r="E4891" s="486">
        <v>111.03</v>
      </c>
    </row>
    <row r="4892" spans="1:5" ht="45">
      <c r="A4892" s="495">
        <v>87857</v>
      </c>
      <c r="B4892" s="348" t="s">
        <v>18894</v>
      </c>
      <c r="C4892" s="349" t="s">
        <v>256</v>
      </c>
      <c r="D4892" s="483">
        <v>83.3</v>
      </c>
      <c r="E4892" s="483">
        <v>83.3</v>
      </c>
    </row>
    <row r="4893" spans="1:5" ht="30">
      <c r="A4893" s="494">
        <v>87858</v>
      </c>
      <c r="B4893" s="485" t="s">
        <v>18895</v>
      </c>
      <c r="C4893" s="484" t="s">
        <v>256</v>
      </c>
      <c r="D4893" s="486">
        <v>81.39</v>
      </c>
      <c r="E4893" s="486">
        <v>81.39</v>
      </c>
    </row>
    <row r="4894" spans="1:5" ht="30">
      <c r="A4894" s="495">
        <v>87859</v>
      </c>
      <c r="B4894" s="348" t="s">
        <v>18896</v>
      </c>
      <c r="C4894" s="349" t="s">
        <v>256</v>
      </c>
      <c r="D4894" s="483">
        <v>94.93</v>
      </c>
      <c r="E4894" s="483">
        <v>94.93</v>
      </c>
    </row>
    <row r="4895" spans="1:5" ht="60">
      <c r="A4895" s="494">
        <v>89048</v>
      </c>
      <c r="B4895" s="485" t="s">
        <v>18897</v>
      </c>
      <c r="C4895" s="484" t="s">
        <v>256</v>
      </c>
      <c r="D4895" s="486">
        <v>24.74</v>
      </c>
      <c r="E4895" s="486">
        <v>24.74</v>
      </c>
    </row>
    <row r="4896" spans="1:5" ht="45">
      <c r="A4896" s="495">
        <v>89049</v>
      </c>
      <c r="B4896" s="348" t="s">
        <v>18898</v>
      </c>
      <c r="C4896" s="349" t="s">
        <v>256</v>
      </c>
      <c r="D4896" s="483">
        <v>14.04</v>
      </c>
      <c r="E4896" s="483">
        <v>14.04</v>
      </c>
    </row>
    <row r="4897" spans="1:5" ht="60">
      <c r="A4897" s="494">
        <v>89173</v>
      </c>
      <c r="B4897" s="485" t="s">
        <v>18899</v>
      </c>
      <c r="C4897" s="484" t="s">
        <v>256</v>
      </c>
      <c r="D4897" s="486">
        <v>24.33</v>
      </c>
      <c r="E4897" s="486">
        <v>24.33</v>
      </c>
    </row>
    <row r="4898" spans="1:5" ht="45">
      <c r="A4898" s="495">
        <v>90406</v>
      </c>
      <c r="B4898" s="348" t="s">
        <v>18900</v>
      </c>
      <c r="C4898" s="349" t="s">
        <v>256</v>
      </c>
      <c r="D4898" s="483">
        <v>31.76</v>
      </c>
      <c r="E4898" s="483">
        <v>31.76</v>
      </c>
    </row>
    <row r="4899" spans="1:5" ht="45">
      <c r="A4899" s="494">
        <v>90407</v>
      </c>
      <c r="B4899" s="485" t="s">
        <v>18901</v>
      </c>
      <c r="C4899" s="484" t="s">
        <v>256</v>
      </c>
      <c r="D4899" s="486">
        <v>34.65</v>
      </c>
      <c r="E4899" s="486">
        <v>34.65</v>
      </c>
    </row>
    <row r="4900" spans="1:5" ht="45">
      <c r="A4900" s="495">
        <v>90408</v>
      </c>
      <c r="B4900" s="348" t="s">
        <v>18902</v>
      </c>
      <c r="C4900" s="349" t="s">
        <v>256</v>
      </c>
      <c r="D4900" s="483">
        <v>23.02</v>
      </c>
      <c r="E4900" s="483">
        <v>23.02</v>
      </c>
    </row>
    <row r="4901" spans="1:5" ht="45">
      <c r="A4901" s="494">
        <v>90409</v>
      </c>
      <c r="B4901" s="485" t="s">
        <v>18903</v>
      </c>
      <c r="C4901" s="484" t="s">
        <v>256</v>
      </c>
      <c r="D4901" s="486">
        <v>24.66</v>
      </c>
      <c r="E4901" s="486">
        <v>24.66</v>
      </c>
    </row>
    <row r="4902" spans="1:5">
      <c r="A4902" s="495">
        <v>5998</v>
      </c>
      <c r="B4902" s="348" t="s">
        <v>932</v>
      </c>
      <c r="C4902" s="349" t="s">
        <v>256</v>
      </c>
      <c r="D4902" s="483">
        <v>0.67</v>
      </c>
      <c r="E4902" s="483">
        <v>0.67</v>
      </c>
    </row>
    <row r="4903" spans="1:5">
      <c r="A4903" s="494">
        <v>84084</v>
      </c>
      <c r="B4903" s="485" t="s">
        <v>1895</v>
      </c>
      <c r="C4903" s="484" t="s">
        <v>256</v>
      </c>
      <c r="D4903" s="486">
        <v>5.28</v>
      </c>
      <c r="E4903" s="486">
        <v>5.28</v>
      </c>
    </row>
    <row r="4904" spans="1:5" ht="30">
      <c r="A4904" s="495">
        <v>87242</v>
      </c>
      <c r="B4904" s="348" t="s">
        <v>8782</v>
      </c>
      <c r="C4904" s="349" t="s">
        <v>256</v>
      </c>
      <c r="D4904" s="483">
        <v>158.43</v>
      </c>
      <c r="E4904" s="483">
        <v>158.43</v>
      </c>
    </row>
    <row r="4905" spans="1:5" ht="30">
      <c r="A4905" s="494">
        <v>87243</v>
      </c>
      <c r="B4905" s="485" t="s">
        <v>8783</v>
      </c>
      <c r="C4905" s="484" t="s">
        <v>256</v>
      </c>
      <c r="D4905" s="486">
        <v>145.33000000000001</v>
      </c>
      <c r="E4905" s="486">
        <v>145.33000000000001</v>
      </c>
    </row>
    <row r="4906" spans="1:5" ht="45">
      <c r="A4906" s="495">
        <v>87244</v>
      </c>
      <c r="B4906" s="348" t="s">
        <v>18904</v>
      </c>
      <c r="C4906" s="349" t="s">
        <v>256</v>
      </c>
      <c r="D4906" s="483">
        <v>153.77000000000001</v>
      </c>
      <c r="E4906" s="483">
        <v>153.77000000000001</v>
      </c>
    </row>
    <row r="4907" spans="1:5" ht="45">
      <c r="A4907" s="494">
        <v>87245</v>
      </c>
      <c r="B4907" s="485" t="s">
        <v>18905</v>
      </c>
      <c r="C4907" s="484" t="s">
        <v>256</v>
      </c>
      <c r="D4907" s="486">
        <v>184.57</v>
      </c>
      <c r="E4907" s="486">
        <v>184.57</v>
      </c>
    </row>
    <row r="4908" spans="1:5" ht="45">
      <c r="A4908" s="495">
        <v>87264</v>
      </c>
      <c r="B4908" s="348" t="s">
        <v>18906</v>
      </c>
      <c r="C4908" s="349" t="s">
        <v>256</v>
      </c>
      <c r="D4908" s="483">
        <v>43.83</v>
      </c>
      <c r="E4908" s="483">
        <v>43.83</v>
      </c>
    </row>
    <row r="4909" spans="1:5" ht="45">
      <c r="A4909" s="494">
        <v>87265</v>
      </c>
      <c r="B4909" s="485" t="s">
        <v>18907</v>
      </c>
      <c r="C4909" s="484" t="s">
        <v>256</v>
      </c>
      <c r="D4909" s="486">
        <v>38.44</v>
      </c>
      <c r="E4909" s="486">
        <v>38.44</v>
      </c>
    </row>
    <row r="4910" spans="1:5" ht="45">
      <c r="A4910" s="495">
        <v>87266</v>
      </c>
      <c r="B4910" s="348" t="s">
        <v>18908</v>
      </c>
      <c r="C4910" s="349" t="s">
        <v>256</v>
      </c>
      <c r="D4910" s="483">
        <v>45.75</v>
      </c>
      <c r="E4910" s="483">
        <v>45.75</v>
      </c>
    </row>
    <row r="4911" spans="1:5" ht="45">
      <c r="A4911" s="494">
        <v>87267</v>
      </c>
      <c r="B4911" s="485" t="s">
        <v>18909</v>
      </c>
      <c r="C4911" s="484" t="s">
        <v>256</v>
      </c>
      <c r="D4911" s="486">
        <v>43.36</v>
      </c>
      <c r="E4911" s="486">
        <v>43.36</v>
      </c>
    </row>
    <row r="4912" spans="1:5" ht="45">
      <c r="A4912" s="495">
        <v>87268</v>
      </c>
      <c r="B4912" s="348" t="s">
        <v>18910</v>
      </c>
      <c r="C4912" s="349" t="s">
        <v>256</v>
      </c>
      <c r="D4912" s="483">
        <v>47.1</v>
      </c>
      <c r="E4912" s="483">
        <v>47.1</v>
      </c>
    </row>
    <row r="4913" spans="1:5" ht="45">
      <c r="A4913" s="494">
        <v>87269</v>
      </c>
      <c r="B4913" s="485" t="s">
        <v>18911</v>
      </c>
      <c r="C4913" s="484" t="s">
        <v>256</v>
      </c>
      <c r="D4913" s="486">
        <v>41.24</v>
      </c>
      <c r="E4913" s="486">
        <v>41.24</v>
      </c>
    </row>
    <row r="4914" spans="1:5" ht="45">
      <c r="A4914" s="495">
        <v>87270</v>
      </c>
      <c r="B4914" s="348" t="s">
        <v>18912</v>
      </c>
      <c r="C4914" s="349" t="s">
        <v>256</v>
      </c>
      <c r="D4914" s="483">
        <v>48.71</v>
      </c>
      <c r="E4914" s="483">
        <v>48.71</v>
      </c>
    </row>
    <row r="4915" spans="1:5" ht="45">
      <c r="A4915" s="494">
        <v>87271</v>
      </c>
      <c r="B4915" s="485" t="s">
        <v>18913</v>
      </c>
      <c r="C4915" s="484" t="s">
        <v>256</v>
      </c>
      <c r="D4915" s="486">
        <v>45.93</v>
      </c>
      <c r="E4915" s="486">
        <v>45.93</v>
      </c>
    </row>
    <row r="4916" spans="1:5" ht="45">
      <c r="A4916" s="495">
        <v>87272</v>
      </c>
      <c r="B4916" s="348" t="s">
        <v>18914</v>
      </c>
      <c r="C4916" s="349" t="s">
        <v>256</v>
      </c>
      <c r="D4916" s="483">
        <v>50.13</v>
      </c>
      <c r="E4916" s="483">
        <v>50.13</v>
      </c>
    </row>
    <row r="4917" spans="1:5" ht="45">
      <c r="A4917" s="494">
        <v>87273</v>
      </c>
      <c r="B4917" s="485" t="s">
        <v>18915</v>
      </c>
      <c r="C4917" s="484" t="s">
        <v>256</v>
      </c>
      <c r="D4917" s="486">
        <v>42.95</v>
      </c>
      <c r="E4917" s="486">
        <v>42.95</v>
      </c>
    </row>
    <row r="4918" spans="1:5" ht="45">
      <c r="A4918" s="495">
        <v>87274</v>
      </c>
      <c r="B4918" s="348" t="s">
        <v>18916</v>
      </c>
      <c r="C4918" s="349" t="s">
        <v>256</v>
      </c>
      <c r="D4918" s="483">
        <v>51.26</v>
      </c>
      <c r="E4918" s="483">
        <v>51.26</v>
      </c>
    </row>
    <row r="4919" spans="1:5" ht="45">
      <c r="A4919" s="494">
        <v>87275</v>
      </c>
      <c r="B4919" s="485" t="s">
        <v>18917</v>
      </c>
      <c r="C4919" s="484" t="s">
        <v>256</v>
      </c>
      <c r="D4919" s="486">
        <v>48.83</v>
      </c>
      <c r="E4919" s="486">
        <v>48.83</v>
      </c>
    </row>
    <row r="4920" spans="1:5" ht="45">
      <c r="A4920" s="495">
        <v>88786</v>
      </c>
      <c r="B4920" s="348" t="s">
        <v>18918</v>
      </c>
      <c r="C4920" s="349" t="s">
        <v>256</v>
      </c>
      <c r="D4920" s="483">
        <v>176.14</v>
      </c>
      <c r="E4920" s="483">
        <v>176.14</v>
      </c>
    </row>
    <row r="4921" spans="1:5" ht="45">
      <c r="A4921" s="494">
        <v>88787</v>
      </c>
      <c r="B4921" s="485" t="s">
        <v>18919</v>
      </c>
      <c r="C4921" s="484" t="s">
        <v>256</v>
      </c>
      <c r="D4921" s="486">
        <v>162.24</v>
      </c>
      <c r="E4921" s="486">
        <v>162.24</v>
      </c>
    </row>
    <row r="4922" spans="1:5" ht="45">
      <c r="A4922" s="495">
        <v>88788</v>
      </c>
      <c r="B4922" s="348" t="s">
        <v>18920</v>
      </c>
      <c r="C4922" s="349" t="s">
        <v>256</v>
      </c>
      <c r="D4922" s="483">
        <v>170.68</v>
      </c>
      <c r="E4922" s="483">
        <v>170.68</v>
      </c>
    </row>
    <row r="4923" spans="1:5" ht="45">
      <c r="A4923" s="494">
        <v>88789</v>
      </c>
      <c r="B4923" s="485" t="s">
        <v>18921</v>
      </c>
      <c r="C4923" s="484" t="s">
        <v>256</v>
      </c>
      <c r="D4923" s="486">
        <v>204.23</v>
      </c>
      <c r="E4923" s="486">
        <v>204.23</v>
      </c>
    </row>
    <row r="4924" spans="1:5" ht="60">
      <c r="A4924" s="495">
        <v>89045</v>
      </c>
      <c r="B4924" s="348" t="s">
        <v>18922</v>
      </c>
      <c r="C4924" s="349" t="s">
        <v>256</v>
      </c>
      <c r="D4924" s="483">
        <v>43.69</v>
      </c>
      <c r="E4924" s="483">
        <v>43.69</v>
      </c>
    </row>
    <row r="4925" spans="1:5" ht="60">
      <c r="A4925" s="494">
        <v>89170</v>
      </c>
      <c r="B4925" s="485" t="s">
        <v>18923</v>
      </c>
      <c r="C4925" s="484" t="s">
        <v>256</v>
      </c>
      <c r="D4925" s="486">
        <v>42.33</v>
      </c>
      <c r="E4925" s="486">
        <v>42.33</v>
      </c>
    </row>
    <row r="4926" spans="1:5" ht="45">
      <c r="A4926" s="495">
        <v>93392</v>
      </c>
      <c r="B4926" s="348" t="s">
        <v>18924</v>
      </c>
      <c r="C4926" s="349" t="s">
        <v>256</v>
      </c>
      <c r="D4926" s="483">
        <v>34.409999999999997</v>
      </c>
      <c r="E4926" s="483">
        <v>34.409999999999997</v>
      </c>
    </row>
    <row r="4927" spans="1:5" ht="45">
      <c r="A4927" s="494">
        <v>93393</v>
      </c>
      <c r="B4927" s="485" t="s">
        <v>18925</v>
      </c>
      <c r="C4927" s="484" t="s">
        <v>256</v>
      </c>
      <c r="D4927" s="486">
        <v>29.11</v>
      </c>
      <c r="E4927" s="486">
        <v>29.11</v>
      </c>
    </row>
    <row r="4928" spans="1:5" ht="45">
      <c r="A4928" s="495">
        <v>93394</v>
      </c>
      <c r="B4928" s="348" t="s">
        <v>18926</v>
      </c>
      <c r="C4928" s="349" t="s">
        <v>256</v>
      </c>
      <c r="D4928" s="483">
        <v>36.33</v>
      </c>
      <c r="E4928" s="483">
        <v>36.33</v>
      </c>
    </row>
    <row r="4929" spans="1:5" ht="45">
      <c r="A4929" s="494">
        <v>93395</v>
      </c>
      <c r="B4929" s="485" t="s">
        <v>18927</v>
      </c>
      <c r="C4929" s="484" t="s">
        <v>256</v>
      </c>
      <c r="D4929" s="486">
        <v>33.94</v>
      </c>
      <c r="E4929" s="486">
        <v>33.94</v>
      </c>
    </row>
    <row r="4930" spans="1:5" ht="30">
      <c r="A4930" s="495">
        <v>84088</v>
      </c>
      <c r="B4930" s="348" t="s">
        <v>18928</v>
      </c>
      <c r="C4930" s="349" t="s">
        <v>71</v>
      </c>
      <c r="D4930" s="483">
        <v>56.59</v>
      </c>
      <c r="E4930" s="483">
        <v>56.59</v>
      </c>
    </row>
    <row r="4931" spans="1:5" ht="30">
      <c r="A4931" s="494">
        <v>84089</v>
      </c>
      <c r="B4931" s="485" t="s">
        <v>18929</v>
      </c>
      <c r="C4931" s="484" t="s">
        <v>71</v>
      </c>
      <c r="D4931" s="486">
        <v>80.42</v>
      </c>
      <c r="E4931" s="486">
        <v>80.42</v>
      </c>
    </row>
    <row r="4932" spans="1:5">
      <c r="A4932" s="495">
        <v>40675</v>
      </c>
      <c r="B4932" s="348" t="s">
        <v>934</v>
      </c>
      <c r="C4932" s="349" t="s">
        <v>71</v>
      </c>
      <c r="D4932" s="483">
        <v>3.78</v>
      </c>
      <c r="E4932" s="483">
        <v>3.78</v>
      </c>
    </row>
    <row r="4933" spans="1:5" ht="30">
      <c r="A4933" s="494">
        <v>9536</v>
      </c>
      <c r="B4933" s="485" t="s">
        <v>5671</v>
      </c>
      <c r="C4933" s="484" t="s">
        <v>256</v>
      </c>
      <c r="D4933" s="486">
        <v>137.34</v>
      </c>
      <c r="E4933" s="486">
        <v>137.34</v>
      </c>
    </row>
    <row r="4934" spans="1:5" ht="30">
      <c r="A4934" s="349" t="s">
        <v>18930</v>
      </c>
      <c r="B4934" s="348" t="s">
        <v>18931</v>
      </c>
      <c r="C4934" s="349" t="s">
        <v>256</v>
      </c>
      <c r="D4934" s="483">
        <v>80.09</v>
      </c>
      <c r="E4934" s="483">
        <v>80.09</v>
      </c>
    </row>
    <row r="4935" spans="1:5" ht="30">
      <c r="A4935" s="494">
        <v>84090</v>
      </c>
      <c r="B4935" s="485" t="s">
        <v>18932</v>
      </c>
      <c r="C4935" s="484" t="s">
        <v>256</v>
      </c>
      <c r="D4935" s="486">
        <v>101.94</v>
      </c>
      <c r="E4935" s="486">
        <v>101.94</v>
      </c>
    </row>
    <row r="4936" spans="1:5">
      <c r="A4936" s="495">
        <v>84091</v>
      </c>
      <c r="B4936" s="348" t="s">
        <v>2468</v>
      </c>
      <c r="C4936" s="349" t="s">
        <v>256</v>
      </c>
      <c r="D4936" s="483">
        <v>39.35</v>
      </c>
      <c r="E4936" s="483">
        <v>39.35</v>
      </c>
    </row>
    <row r="4937" spans="1:5">
      <c r="A4937" s="494">
        <v>84093</v>
      </c>
      <c r="B4937" s="485" t="s">
        <v>18933</v>
      </c>
      <c r="C4937" s="484" t="s">
        <v>71</v>
      </c>
      <c r="D4937" s="486">
        <v>20.39</v>
      </c>
      <c r="E4937" s="486">
        <v>20.39</v>
      </c>
    </row>
    <row r="4938" spans="1:5">
      <c r="A4938" s="495">
        <v>84094</v>
      </c>
      <c r="B4938" s="348" t="s">
        <v>936</v>
      </c>
      <c r="C4938" s="349" t="s">
        <v>71</v>
      </c>
      <c r="D4938" s="483">
        <v>8.33</v>
      </c>
      <c r="E4938" s="483">
        <v>8.33</v>
      </c>
    </row>
    <row r="4939" spans="1:5">
      <c r="A4939" s="494">
        <v>84095</v>
      </c>
      <c r="B4939" s="485" t="s">
        <v>937</v>
      </c>
      <c r="C4939" s="484" t="s">
        <v>71</v>
      </c>
      <c r="D4939" s="486">
        <v>16.350000000000001</v>
      </c>
      <c r="E4939" s="486">
        <v>16.350000000000001</v>
      </c>
    </row>
    <row r="4940" spans="1:5">
      <c r="A4940" s="495">
        <v>84096</v>
      </c>
      <c r="B4940" s="348" t="s">
        <v>8879</v>
      </c>
      <c r="C4940" s="349" t="s">
        <v>71</v>
      </c>
      <c r="D4940" s="483">
        <v>14.55</v>
      </c>
      <c r="E4940" s="483">
        <v>14.55</v>
      </c>
    </row>
    <row r="4941" spans="1:5">
      <c r="A4941" s="494">
        <v>72197</v>
      </c>
      <c r="B4941" s="485" t="s">
        <v>938</v>
      </c>
      <c r="C4941" s="484" t="s">
        <v>71</v>
      </c>
      <c r="D4941" s="486">
        <v>24.42</v>
      </c>
      <c r="E4941" s="486">
        <v>24.42</v>
      </c>
    </row>
    <row r="4942" spans="1:5" ht="45">
      <c r="A4942" s="349" t="s">
        <v>18934</v>
      </c>
      <c r="B4942" s="348" t="s">
        <v>18935</v>
      </c>
      <c r="C4942" s="349" t="s">
        <v>256</v>
      </c>
      <c r="D4942" s="483">
        <v>62.12</v>
      </c>
      <c r="E4942" s="483">
        <v>62.12</v>
      </c>
    </row>
    <row r="4943" spans="1:5">
      <c r="A4943" s="484" t="s">
        <v>18936</v>
      </c>
      <c r="B4943" s="485" t="s">
        <v>18937</v>
      </c>
      <c r="C4943" s="484" t="s">
        <v>256</v>
      </c>
      <c r="D4943" s="486">
        <v>27.64</v>
      </c>
      <c r="E4943" s="486">
        <v>27.64</v>
      </c>
    </row>
    <row r="4944" spans="1:5" ht="30">
      <c r="A4944" s="495">
        <v>72200</v>
      </c>
      <c r="B4944" s="348" t="s">
        <v>18938</v>
      </c>
      <c r="C4944" s="349" t="s">
        <v>256</v>
      </c>
      <c r="D4944" s="483">
        <v>76.25</v>
      </c>
      <c r="E4944" s="483">
        <v>76.25</v>
      </c>
    </row>
    <row r="4945" spans="1:5">
      <c r="A4945" s="484" t="s">
        <v>18939</v>
      </c>
      <c r="B4945" s="485" t="s">
        <v>4080</v>
      </c>
      <c r="C4945" s="484" t="s">
        <v>71</v>
      </c>
      <c r="D4945" s="486">
        <v>83.62</v>
      </c>
      <c r="E4945" s="486">
        <v>83.62</v>
      </c>
    </row>
    <row r="4946" spans="1:5" ht="30">
      <c r="A4946" s="495">
        <v>72201</v>
      </c>
      <c r="B4946" s="348" t="s">
        <v>18940</v>
      </c>
      <c r="C4946" s="349" t="s">
        <v>256</v>
      </c>
      <c r="D4946" s="483">
        <v>9.49</v>
      </c>
      <c r="E4946" s="483">
        <v>9.49</v>
      </c>
    </row>
    <row r="4947" spans="1:5" ht="45">
      <c r="A4947" s="494">
        <v>72198</v>
      </c>
      <c r="B4947" s="485" t="s">
        <v>18941</v>
      </c>
      <c r="C4947" s="484" t="s">
        <v>256</v>
      </c>
      <c r="D4947" s="486">
        <v>95.77</v>
      </c>
      <c r="E4947" s="486">
        <v>95.77</v>
      </c>
    </row>
    <row r="4948" spans="1:5">
      <c r="A4948" s="349" t="s">
        <v>18942</v>
      </c>
      <c r="B4948" s="348" t="s">
        <v>6165</v>
      </c>
      <c r="C4948" s="349" t="s">
        <v>256</v>
      </c>
      <c r="D4948" s="483">
        <v>53.19</v>
      </c>
      <c r="E4948" s="483">
        <v>53.19</v>
      </c>
    </row>
    <row r="4949" spans="1:5" ht="30">
      <c r="A4949" s="494">
        <v>83730</v>
      </c>
      <c r="B4949" s="485" t="s">
        <v>18943</v>
      </c>
      <c r="C4949" s="484" t="s">
        <v>256</v>
      </c>
      <c r="D4949" s="486">
        <v>195.2</v>
      </c>
      <c r="E4949" s="486">
        <v>195.2</v>
      </c>
    </row>
    <row r="4950" spans="1:5" ht="30">
      <c r="A4950" s="495">
        <v>83736</v>
      </c>
      <c r="B4950" s="348" t="s">
        <v>8740</v>
      </c>
      <c r="C4950" s="349" t="s">
        <v>256</v>
      </c>
      <c r="D4950" s="483">
        <v>178.12</v>
      </c>
      <c r="E4950" s="483">
        <v>178.12</v>
      </c>
    </row>
    <row r="4951" spans="1:5" ht="30">
      <c r="A4951" s="494">
        <v>91514</v>
      </c>
      <c r="B4951" s="485" t="s">
        <v>18944</v>
      </c>
      <c r="C4951" s="484" t="s">
        <v>256</v>
      </c>
      <c r="D4951" s="486">
        <v>4.82</v>
      </c>
      <c r="E4951" s="486">
        <v>4.82</v>
      </c>
    </row>
    <row r="4952" spans="1:5" ht="30">
      <c r="A4952" s="495">
        <v>91515</v>
      </c>
      <c r="B4952" s="348" t="s">
        <v>18945</v>
      </c>
      <c r="C4952" s="349" t="s">
        <v>256</v>
      </c>
      <c r="D4952" s="483">
        <v>6.38</v>
      </c>
      <c r="E4952" s="483">
        <v>6.38</v>
      </c>
    </row>
    <row r="4953" spans="1:5" ht="30">
      <c r="A4953" s="494">
        <v>91516</v>
      </c>
      <c r="B4953" s="485" t="s">
        <v>18946</v>
      </c>
      <c r="C4953" s="484" t="s">
        <v>256</v>
      </c>
      <c r="D4953" s="486">
        <v>9.34</v>
      </c>
      <c r="E4953" s="486">
        <v>9.34</v>
      </c>
    </row>
    <row r="4954" spans="1:5" ht="30">
      <c r="A4954" s="495">
        <v>91517</v>
      </c>
      <c r="B4954" s="348" t="s">
        <v>18947</v>
      </c>
      <c r="C4954" s="349" t="s">
        <v>256</v>
      </c>
      <c r="D4954" s="483">
        <v>10.4</v>
      </c>
      <c r="E4954" s="483">
        <v>10.4</v>
      </c>
    </row>
    <row r="4955" spans="1:5" ht="30">
      <c r="A4955" s="494">
        <v>91519</v>
      </c>
      <c r="B4955" s="485" t="s">
        <v>18948</v>
      </c>
      <c r="C4955" s="484" t="s">
        <v>256</v>
      </c>
      <c r="D4955" s="486">
        <v>11.95</v>
      </c>
      <c r="E4955" s="486">
        <v>11.95</v>
      </c>
    </row>
    <row r="4956" spans="1:5" ht="30">
      <c r="A4956" s="495">
        <v>91520</v>
      </c>
      <c r="B4956" s="348" t="s">
        <v>18949</v>
      </c>
      <c r="C4956" s="349" t="s">
        <v>256</v>
      </c>
      <c r="D4956" s="483">
        <v>1.74</v>
      </c>
      <c r="E4956" s="483">
        <v>1.74</v>
      </c>
    </row>
    <row r="4957" spans="1:5" ht="30">
      <c r="A4957" s="494">
        <v>91522</v>
      </c>
      <c r="B4957" s="485" t="s">
        <v>943</v>
      </c>
      <c r="C4957" s="484" t="s">
        <v>256</v>
      </c>
      <c r="D4957" s="486">
        <v>2.09</v>
      </c>
      <c r="E4957" s="486">
        <v>2.09</v>
      </c>
    </row>
    <row r="4958" spans="1:5" ht="30">
      <c r="A4958" s="495">
        <v>91525</v>
      </c>
      <c r="B4958" s="348" t="s">
        <v>18950</v>
      </c>
      <c r="C4958" s="349" t="s">
        <v>256</v>
      </c>
      <c r="D4958" s="483">
        <v>3.8</v>
      </c>
      <c r="E4958" s="483">
        <v>3.8</v>
      </c>
    </row>
    <row r="4959" spans="1:5">
      <c r="A4959" s="494">
        <v>72817</v>
      </c>
      <c r="B4959" s="485" t="s">
        <v>2423</v>
      </c>
      <c r="C4959" s="484" t="s">
        <v>71</v>
      </c>
      <c r="D4959" s="486">
        <v>160.62</v>
      </c>
      <c r="E4959" s="486">
        <v>160.62</v>
      </c>
    </row>
    <row r="4960" spans="1:5">
      <c r="A4960" s="495">
        <v>73618</v>
      </c>
      <c r="B4960" s="348" t="s">
        <v>6763</v>
      </c>
      <c r="C4960" s="349" t="s">
        <v>256</v>
      </c>
      <c r="D4960" s="483">
        <v>7.02</v>
      </c>
      <c r="E4960" s="483">
        <v>7.02</v>
      </c>
    </row>
    <row r="4961" spans="1:5">
      <c r="A4961" s="494">
        <v>73674</v>
      </c>
      <c r="B4961" s="485" t="s">
        <v>1821</v>
      </c>
      <c r="C4961" s="484" t="s">
        <v>256</v>
      </c>
      <c r="D4961" s="486">
        <v>21.69</v>
      </c>
      <c r="E4961" s="486">
        <v>21.69</v>
      </c>
    </row>
    <row r="4962" spans="1:5" ht="30">
      <c r="A4962" s="349" t="s">
        <v>18951</v>
      </c>
      <c r="B4962" s="348" t="s">
        <v>18952</v>
      </c>
      <c r="C4962" s="349" t="s">
        <v>256</v>
      </c>
      <c r="D4962" s="483">
        <v>21.7</v>
      </c>
      <c r="E4962" s="483">
        <v>21.7</v>
      </c>
    </row>
    <row r="4963" spans="1:5">
      <c r="A4963" s="494">
        <v>84111</v>
      </c>
      <c r="B4963" s="485" t="s">
        <v>945</v>
      </c>
      <c r="C4963" s="484" t="s">
        <v>256</v>
      </c>
      <c r="D4963" s="486">
        <v>3.38</v>
      </c>
      <c r="E4963" s="486">
        <v>3.38</v>
      </c>
    </row>
    <row r="4964" spans="1:5" ht="30">
      <c r="A4964" s="495">
        <v>84112</v>
      </c>
      <c r="B4964" s="348" t="s">
        <v>18953</v>
      </c>
      <c r="C4964" s="349" t="s">
        <v>256</v>
      </c>
      <c r="D4964" s="483">
        <v>8.68</v>
      </c>
      <c r="E4964" s="483">
        <v>8.68</v>
      </c>
    </row>
    <row r="4965" spans="1:5">
      <c r="A4965" s="494">
        <v>95135</v>
      </c>
      <c r="B4965" s="485" t="s">
        <v>6761</v>
      </c>
      <c r="C4965" s="484" t="s">
        <v>1820</v>
      </c>
      <c r="D4965" s="486">
        <v>16.61</v>
      </c>
      <c r="E4965" s="486">
        <v>16.61</v>
      </c>
    </row>
    <row r="4966" spans="1:5" ht="30">
      <c r="A4966" s="495">
        <v>73548</v>
      </c>
      <c r="B4966" s="348" t="s">
        <v>2048</v>
      </c>
      <c r="C4966" s="349" t="s">
        <v>255</v>
      </c>
      <c r="D4966" s="483">
        <v>468.21</v>
      </c>
      <c r="E4966" s="483">
        <v>468.21</v>
      </c>
    </row>
    <row r="4967" spans="1:5" ht="30">
      <c r="A4967" s="494">
        <v>73549</v>
      </c>
      <c r="B4967" s="485" t="s">
        <v>2071</v>
      </c>
      <c r="C4967" s="484" t="s">
        <v>255</v>
      </c>
      <c r="D4967" s="486">
        <v>452.96</v>
      </c>
      <c r="E4967" s="486">
        <v>452.96</v>
      </c>
    </row>
    <row r="4968" spans="1:5" ht="45">
      <c r="A4968" s="495">
        <v>87280</v>
      </c>
      <c r="B4968" s="348" t="s">
        <v>18954</v>
      </c>
      <c r="C4968" s="349" t="s">
        <v>255</v>
      </c>
      <c r="D4968" s="483">
        <v>274.44</v>
      </c>
      <c r="E4968" s="483">
        <v>274.44</v>
      </c>
    </row>
    <row r="4969" spans="1:5" ht="45">
      <c r="A4969" s="494">
        <v>87281</v>
      </c>
      <c r="B4969" s="485" t="s">
        <v>18955</v>
      </c>
      <c r="C4969" s="484" t="s">
        <v>255</v>
      </c>
      <c r="D4969" s="486">
        <v>272.48</v>
      </c>
      <c r="E4969" s="486">
        <v>272.48</v>
      </c>
    </row>
    <row r="4970" spans="1:5" ht="45">
      <c r="A4970" s="495">
        <v>87283</v>
      </c>
      <c r="B4970" s="348" t="s">
        <v>18956</v>
      </c>
      <c r="C4970" s="349" t="s">
        <v>255</v>
      </c>
      <c r="D4970" s="483">
        <v>293.2</v>
      </c>
      <c r="E4970" s="483">
        <v>293.2</v>
      </c>
    </row>
    <row r="4971" spans="1:5" ht="45">
      <c r="A4971" s="494">
        <v>87284</v>
      </c>
      <c r="B4971" s="485" t="s">
        <v>18957</v>
      </c>
      <c r="C4971" s="484" t="s">
        <v>255</v>
      </c>
      <c r="D4971" s="486">
        <v>279.22000000000003</v>
      </c>
      <c r="E4971" s="486">
        <v>279.22000000000003</v>
      </c>
    </row>
    <row r="4972" spans="1:5" ht="45">
      <c r="A4972" s="495">
        <v>87286</v>
      </c>
      <c r="B4972" s="348" t="s">
        <v>18958</v>
      </c>
      <c r="C4972" s="349" t="s">
        <v>255</v>
      </c>
      <c r="D4972" s="483">
        <v>288.82</v>
      </c>
      <c r="E4972" s="483">
        <v>288.82</v>
      </c>
    </row>
    <row r="4973" spans="1:5" ht="45">
      <c r="A4973" s="494">
        <v>87287</v>
      </c>
      <c r="B4973" s="485" t="s">
        <v>18959</v>
      </c>
      <c r="C4973" s="484" t="s">
        <v>255</v>
      </c>
      <c r="D4973" s="486">
        <v>342.85</v>
      </c>
      <c r="E4973" s="486">
        <v>342.85</v>
      </c>
    </row>
    <row r="4974" spans="1:5" ht="45">
      <c r="A4974" s="495">
        <v>87289</v>
      </c>
      <c r="B4974" s="348" t="s">
        <v>18960</v>
      </c>
      <c r="C4974" s="349" t="s">
        <v>255</v>
      </c>
      <c r="D4974" s="483">
        <v>333.96</v>
      </c>
      <c r="E4974" s="483">
        <v>333.96</v>
      </c>
    </row>
    <row r="4975" spans="1:5" ht="45">
      <c r="A4975" s="494">
        <v>87290</v>
      </c>
      <c r="B4975" s="485" t="s">
        <v>18961</v>
      </c>
      <c r="C4975" s="484" t="s">
        <v>255</v>
      </c>
      <c r="D4975" s="486">
        <v>331.53</v>
      </c>
      <c r="E4975" s="486">
        <v>331.53</v>
      </c>
    </row>
    <row r="4976" spans="1:5" ht="45">
      <c r="A4976" s="495">
        <v>87292</v>
      </c>
      <c r="B4976" s="348" t="s">
        <v>18962</v>
      </c>
      <c r="C4976" s="349" t="s">
        <v>255</v>
      </c>
      <c r="D4976" s="483">
        <v>349</v>
      </c>
      <c r="E4976" s="483">
        <v>349</v>
      </c>
    </row>
    <row r="4977" spans="1:5" ht="45">
      <c r="A4977" s="494">
        <v>87294</v>
      </c>
      <c r="B4977" s="485" t="s">
        <v>18963</v>
      </c>
      <c r="C4977" s="484" t="s">
        <v>255</v>
      </c>
      <c r="D4977" s="486">
        <v>333.61</v>
      </c>
      <c r="E4977" s="486">
        <v>333.61</v>
      </c>
    </row>
    <row r="4978" spans="1:5" ht="45">
      <c r="A4978" s="495">
        <v>87295</v>
      </c>
      <c r="B4978" s="348" t="s">
        <v>18964</v>
      </c>
      <c r="C4978" s="349" t="s">
        <v>255</v>
      </c>
      <c r="D4978" s="483">
        <v>340.13</v>
      </c>
      <c r="E4978" s="483">
        <v>340.13</v>
      </c>
    </row>
    <row r="4979" spans="1:5" ht="45">
      <c r="A4979" s="494">
        <v>87296</v>
      </c>
      <c r="B4979" s="485" t="s">
        <v>18965</v>
      </c>
      <c r="C4979" s="484" t="s">
        <v>255</v>
      </c>
      <c r="D4979" s="486">
        <v>326.48</v>
      </c>
      <c r="E4979" s="486">
        <v>326.48</v>
      </c>
    </row>
    <row r="4980" spans="1:5" ht="30">
      <c r="A4980" s="495">
        <v>87298</v>
      </c>
      <c r="B4980" s="348" t="s">
        <v>18966</v>
      </c>
      <c r="C4980" s="349" t="s">
        <v>255</v>
      </c>
      <c r="D4980" s="483">
        <v>403.26</v>
      </c>
      <c r="E4980" s="483">
        <v>403.26</v>
      </c>
    </row>
    <row r="4981" spans="1:5" ht="30">
      <c r="A4981" s="494">
        <v>87299</v>
      </c>
      <c r="B4981" s="485" t="s">
        <v>18967</v>
      </c>
      <c r="C4981" s="484" t="s">
        <v>255</v>
      </c>
      <c r="D4981" s="486">
        <v>393.06</v>
      </c>
      <c r="E4981" s="486">
        <v>393.06</v>
      </c>
    </row>
    <row r="4982" spans="1:5" ht="30">
      <c r="A4982" s="495">
        <v>87301</v>
      </c>
      <c r="B4982" s="348" t="s">
        <v>18968</v>
      </c>
      <c r="C4982" s="349" t="s">
        <v>255</v>
      </c>
      <c r="D4982" s="483">
        <v>363.77</v>
      </c>
      <c r="E4982" s="483">
        <v>363.77</v>
      </c>
    </row>
    <row r="4983" spans="1:5" ht="30">
      <c r="A4983" s="494">
        <v>87302</v>
      </c>
      <c r="B4983" s="485" t="s">
        <v>18969</v>
      </c>
      <c r="C4983" s="484" t="s">
        <v>255</v>
      </c>
      <c r="D4983" s="486">
        <v>355.7</v>
      </c>
      <c r="E4983" s="486">
        <v>355.7</v>
      </c>
    </row>
    <row r="4984" spans="1:5" ht="30">
      <c r="A4984" s="495">
        <v>87304</v>
      </c>
      <c r="B4984" s="348" t="s">
        <v>18970</v>
      </c>
      <c r="C4984" s="349" t="s">
        <v>255</v>
      </c>
      <c r="D4984" s="483">
        <v>340.61</v>
      </c>
      <c r="E4984" s="483">
        <v>340.61</v>
      </c>
    </row>
    <row r="4985" spans="1:5" ht="30">
      <c r="A4985" s="494">
        <v>87305</v>
      </c>
      <c r="B4985" s="485" t="s">
        <v>18971</v>
      </c>
      <c r="C4985" s="484" t="s">
        <v>255</v>
      </c>
      <c r="D4985" s="486">
        <v>332.46</v>
      </c>
      <c r="E4985" s="486">
        <v>332.46</v>
      </c>
    </row>
    <row r="4986" spans="1:5" ht="30">
      <c r="A4986" s="495">
        <v>87307</v>
      </c>
      <c r="B4986" s="348" t="s">
        <v>18972</v>
      </c>
      <c r="C4986" s="349" t="s">
        <v>255</v>
      </c>
      <c r="D4986" s="483">
        <v>319.94</v>
      </c>
      <c r="E4986" s="483">
        <v>319.94</v>
      </c>
    </row>
    <row r="4987" spans="1:5" ht="30">
      <c r="A4987" s="494">
        <v>87308</v>
      </c>
      <c r="B4987" s="485" t="s">
        <v>18973</v>
      </c>
      <c r="C4987" s="484" t="s">
        <v>255</v>
      </c>
      <c r="D4987" s="486">
        <v>313.08999999999997</v>
      </c>
      <c r="E4987" s="486">
        <v>313.08999999999997</v>
      </c>
    </row>
    <row r="4988" spans="1:5" ht="30">
      <c r="A4988" s="495">
        <v>87310</v>
      </c>
      <c r="B4988" s="348" t="s">
        <v>18974</v>
      </c>
      <c r="C4988" s="349" t="s">
        <v>255</v>
      </c>
      <c r="D4988" s="483">
        <v>259</v>
      </c>
      <c r="E4988" s="483">
        <v>259</v>
      </c>
    </row>
    <row r="4989" spans="1:5" ht="30">
      <c r="A4989" s="494">
        <v>87311</v>
      </c>
      <c r="B4989" s="485" t="s">
        <v>18975</v>
      </c>
      <c r="C4989" s="484" t="s">
        <v>255</v>
      </c>
      <c r="D4989" s="486">
        <v>254.44</v>
      </c>
      <c r="E4989" s="486">
        <v>254.44</v>
      </c>
    </row>
    <row r="4990" spans="1:5" ht="30">
      <c r="A4990" s="495">
        <v>87313</v>
      </c>
      <c r="B4990" s="348" t="s">
        <v>18976</v>
      </c>
      <c r="C4990" s="349" t="s">
        <v>255</v>
      </c>
      <c r="D4990" s="483">
        <v>306.08999999999997</v>
      </c>
      <c r="E4990" s="483">
        <v>306.08999999999997</v>
      </c>
    </row>
    <row r="4991" spans="1:5" ht="30">
      <c r="A4991" s="494">
        <v>87314</v>
      </c>
      <c r="B4991" s="485" t="s">
        <v>18977</v>
      </c>
      <c r="C4991" s="484" t="s">
        <v>255</v>
      </c>
      <c r="D4991" s="486">
        <v>302.27999999999997</v>
      </c>
      <c r="E4991" s="486">
        <v>302.27999999999997</v>
      </c>
    </row>
    <row r="4992" spans="1:5" ht="30">
      <c r="A4992" s="495">
        <v>87316</v>
      </c>
      <c r="B4992" s="348" t="s">
        <v>18978</v>
      </c>
      <c r="C4992" s="349" t="s">
        <v>255</v>
      </c>
      <c r="D4992" s="483">
        <v>281.47000000000003</v>
      </c>
      <c r="E4992" s="483">
        <v>281.47000000000003</v>
      </c>
    </row>
    <row r="4993" spans="1:5" ht="30">
      <c r="A4993" s="494">
        <v>87317</v>
      </c>
      <c r="B4993" s="485" t="s">
        <v>18979</v>
      </c>
      <c r="C4993" s="484" t="s">
        <v>255</v>
      </c>
      <c r="D4993" s="486">
        <v>274.12</v>
      </c>
      <c r="E4993" s="486">
        <v>274.12</v>
      </c>
    </row>
    <row r="4994" spans="1:5" ht="30">
      <c r="A4994" s="495">
        <v>87319</v>
      </c>
      <c r="B4994" s="348" t="s">
        <v>18980</v>
      </c>
      <c r="C4994" s="349" t="s">
        <v>255</v>
      </c>
      <c r="D4994" s="483">
        <v>1777.66</v>
      </c>
      <c r="E4994" s="483">
        <v>1777.66</v>
      </c>
    </row>
    <row r="4995" spans="1:5" ht="30">
      <c r="A4995" s="494">
        <v>87320</v>
      </c>
      <c r="B4995" s="485" t="s">
        <v>18981</v>
      </c>
      <c r="C4995" s="484" t="s">
        <v>255</v>
      </c>
      <c r="D4995" s="486">
        <v>1780.23</v>
      </c>
      <c r="E4995" s="486">
        <v>1780.23</v>
      </c>
    </row>
    <row r="4996" spans="1:5" ht="30">
      <c r="A4996" s="495">
        <v>87322</v>
      </c>
      <c r="B4996" s="348" t="s">
        <v>18982</v>
      </c>
      <c r="C4996" s="349" t="s">
        <v>255</v>
      </c>
      <c r="D4996" s="483">
        <v>1829.36</v>
      </c>
      <c r="E4996" s="483">
        <v>1829.36</v>
      </c>
    </row>
    <row r="4997" spans="1:5" ht="30">
      <c r="A4997" s="494">
        <v>87323</v>
      </c>
      <c r="B4997" s="485" t="s">
        <v>18983</v>
      </c>
      <c r="C4997" s="484" t="s">
        <v>255</v>
      </c>
      <c r="D4997" s="486">
        <v>1819.76</v>
      </c>
      <c r="E4997" s="486">
        <v>1819.76</v>
      </c>
    </row>
    <row r="4998" spans="1:5" ht="30">
      <c r="A4998" s="495">
        <v>87325</v>
      </c>
      <c r="B4998" s="348" t="s">
        <v>18984</v>
      </c>
      <c r="C4998" s="349" t="s">
        <v>255</v>
      </c>
      <c r="D4998" s="483">
        <v>1797.82</v>
      </c>
      <c r="E4998" s="483">
        <v>1797.82</v>
      </c>
    </row>
    <row r="4999" spans="1:5" ht="30">
      <c r="A4999" s="494">
        <v>87326</v>
      </c>
      <c r="B4999" s="485" t="s">
        <v>18985</v>
      </c>
      <c r="C4999" s="484" t="s">
        <v>255</v>
      </c>
      <c r="D4999" s="486">
        <v>1794.34</v>
      </c>
      <c r="E4999" s="486">
        <v>1794.34</v>
      </c>
    </row>
    <row r="5000" spans="1:5" ht="45">
      <c r="A5000" s="495">
        <v>87327</v>
      </c>
      <c r="B5000" s="348" t="s">
        <v>18986</v>
      </c>
      <c r="C5000" s="349" t="s">
        <v>255</v>
      </c>
      <c r="D5000" s="483">
        <v>288.70999999999998</v>
      </c>
      <c r="E5000" s="483">
        <v>288.70999999999998</v>
      </c>
    </row>
    <row r="5001" spans="1:5" ht="45">
      <c r="A5001" s="494">
        <v>87328</v>
      </c>
      <c r="B5001" s="485" t="s">
        <v>18987</v>
      </c>
      <c r="C5001" s="484" t="s">
        <v>255</v>
      </c>
      <c r="D5001" s="486">
        <v>260.36</v>
      </c>
      <c r="E5001" s="486">
        <v>260.36</v>
      </c>
    </row>
    <row r="5002" spans="1:5" ht="45">
      <c r="A5002" s="495">
        <v>87329</v>
      </c>
      <c r="B5002" s="348" t="s">
        <v>18988</v>
      </c>
      <c r="C5002" s="349" t="s">
        <v>255</v>
      </c>
      <c r="D5002" s="483">
        <v>308.54000000000002</v>
      </c>
      <c r="E5002" s="483">
        <v>308.54000000000002</v>
      </c>
    </row>
    <row r="5003" spans="1:5" ht="45">
      <c r="A5003" s="494">
        <v>87330</v>
      </c>
      <c r="B5003" s="485" t="s">
        <v>18989</v>
      </c>
      <c r="C5003" s="484" t="s">
        <v>255</v>
      </c>
      <c r="D5003" s="486">
        <v>277.75</v>
      </c>
      <c r="E5003" s="486">
        <v>277.75</v>
      </c>
    </row>
    <row r="5004" spans="1:5" ht="45">
      <c r="A5004" s="495">
        <v>87331</v>
      </c>
      <c r="B5004" s="348" t="s">
        <v>18990</v>
      </c>
      <c r="C5004" s="349" t="s">
        <v>255</v>
      </c>
      <c r="D5004" s="483">
        <v>358.26</v>
      </c>
      <c r="E5004" s="483">
        <v>358.26</v>
      </c>
    </row>
    <row r="5005" spans="1:5" ht="45">
      <c r="A5005" s="494">
        <v>87332</v>
      </c>
      <c r="B5005" s="485" t="s">
        <v>18991</v>
      </c>
      <c r="C5005" s="484" t="s">
        <v>255</v>
      </c>
      <c r="D5005" s="486">
        <v>327.81</v>
      </c>
      <c r="E5005" s="486">
        <v>327.81</v>
      </c>
    </row>
    <row r="5006" spans="1:5" ht="45">
      <c r="A5006" s="495">
        <v>87333</v>
      </c>
      <c r="B5006" s="348" t="s">
        <v>18992</v>
      </c>
      <c r="C5006" s="349" t="s">
        <v>255</v>
      </c>
      <c r="D5006" s="483">
        <v>337.95</v>
      </c>
      <c r="E5006" s="483">
        <v>337.95</v>
      </c>
    </row>
    <row r="5007" spans="1:5" ht="45">
      <c r="A5007" s="494">
        <v>87334</v>
      </c>
      <c r="B5007" s="485" t="s">
        <v>18993</v>
      </c>
      <c r="C5007" s="484" t="s">
        <v>255</v>
      </c>
      <c r="D5007" s="486">
        <v>315.72000000000003</v>
      </c>
      <c r="E5007" s="486">
        <v>315.72000000000003</v>
      </c>
    </row>
    <row r="5008" spans="1:5" ht="45">
      <c r="A5008" s="495">
        <v>87335</v>
      </c>
      <c r="B5008" s="348" t="s">
        <v>18994</v>
      </c>
      <c r="C5008" s="349" t="s">
        <v>255</v>
      </c>
      <c r="D5008" s="483">
        <v>344.97</v>
      </c>
      <c r="E5008" s="483">
        <v>344.97</v>
      </c>
    </row>
    <row r="5009" spans="1:5" ht="45">
      <c r="A5009" s="494">
        <v>87336</v>
      </c>
      <c r="B5009" s="485" t="s">
        <v>18995</v>
      </c>
      <c r="C5009" s="484" t="s">
        <v>255</v>
      </c>
      <c r="D5009" s="486">
        <v>328.91</v>
      </c>
      <c r="E5009" s="486">
        <v>328.91</v>
      </c>
    </row>
    <row r="5010" spans="1:5" ht="45">
      <c r="A5010" s="495">
        <v>87337</v>
      </c>
      <c r="B5010" s="348" t="s">
        <v>18996</v>
      </c>
      <c r="C5010" s="349" t="s">
        <v>255</v>
      </c>
      <c r="D5010" s="483">
        <v>329.75</v>
      </c>
      <c r="E5010" s="483">
        <v>329.75</v>
      </c>
    </row>
    <row r="5011" spans="1:5" ht="45">
      <c r="A5011" s="494">
        <v>87338</v>
      </c>
      <c r="B5011" s="485" t="s">
        <v>18997</v>
      </c>
      <c r="C5011" s="484" t="s">
        <v>255</v>
      </c>
      <c r="D5011" s="486">
        <v>321.95</v>
      </c>
      <c r="E5011" s="486">
        <v>321.95</v>
      </c>
    </row>
    <row r="5012" spans="1:5" ht="30">
      <c r="A5012" s="495">
        <v>87339</v>
      </c>
      <c r="B5012" s="348" t="s">
        <v>18998</v>
      </c>
      <c r="C5012" s="349" t="s">
        <v>255</v>
      </c>
      <c r="D5012" s="483">
        <v>463.04</v>
      </c>
      <c r="E5012" s="483">
        <v>463.04</v>
      </c>
    </row>
    <row r="5013" spans="1:5" ht="30">
      <c r="A5013" s="494">
        <v>87340</v>
      </c>
      <c r="B5013" s="485" t="s">
        <v>18999</v>
      </c>
      <c r="C5013" s="484" t="s">
        <v>255</v>
      </c>
      <c r="D5013" s="486">
        <v>393.62</v>
      </c>
      <c r="E5013" s="486">
        <v>393.62</v>
      </c>
    </row>
    <row r="5014" spans="1:5" ht="30">
      <c r="A5014" s="495">
        <v>87341</v>
      </c>
      <c r="B5014" s="348" t="s">
        <v>19000</v>
      </c>
      <c r="C5014" s="349" t="s">
        <v>255</v>
      </c>
      <c r="D5014" s="483">
        <v>380.95</v>
      </c>
      <c r="E5014" s="483">
        <v>380.95</v>
      </c>
    </row>
    <row r="5015" spans="1:5" ht="30">
      <c r="A5015" s="494">
        <v>87342</v>
      </c>
      <c r="B5015" s="485" t="s">
        <v>19001</v>
      </c>
      <c r="C5015" s="484" t="s">
        <v>255</v>
      </c>
      <c r="D5015" s="486">
        <v>406.04</v>
      </c>
      <c r="E5015" s="486">
        <v>406.04</v>
      </c>
    </row>
    <row r="5016" spans="1:5" ht="30">
      <c r="A5016" s="495">
        <v>87343</v>
      </c>
      <c r="B5016" s="348" t="s">
        <v>19002</v>
      </c>
      <c r="C5016" s="349" t="s">
        <v>255</v>
      </c>
      <c r="D5016" s="483">
        <v>361.27</v>
      </c>
      <c r="E5016" s="483">
        <v>361.27</v>
      </c>
    </row>
    <row r="5017" spans="1:5" ht="30">
      <c r="A5017" s="494">
        <v>87344</v>
      </c>
      <c r="B5017" s="485" t="s">
        <v>19003</v>
      </c>
      <c r="C5017" s="484" t="s">
        <v>255</v>
      </c>
      <c r="D5017" s="486">
        <v>343.41</v>
      </c>
      <c r="E5017" s="486">
        <v>343.41</v>
      </c>
    </row>
    <row r="5018" spans="1:5" ht="30">
      <c r="A5018" s="495">
        <v>87345</v>
      </c>
      <c r="B5018" s="348" t="s">
        <v>19004</v>
      </c>
      <c r="C5018" s="349" t="s">
        <v>255</v>
      </c>
      <c r="D5018" s="483">
        <v>361.44</v>
      </c>
      <c r="E5018" s="483">
        <v>361.44</v>
      </c>
    </row>
    <row r="5019" spans="1:5" ht="30">
      <c r="A5019" s="494">
        <v>87346</v>
      </c>
      <c r="B5019" s="485" t="s">
        <v>19005</v>
      </c>
      <c r="C5019" s="484" t="s">
        <v>255</v>
      </c>
      <c r="D5019" s="486">
        <v>330.84</v>
      </c>
      <c r="E5019" s="486">
        <v>330.84</v>
      </c>
    </row>
    <row r="5020" spans="1:5" ht="30">
      <c r="A5020" s="495">
        <v>87347</v>
      </c>
      <c r="B5020" s="348" t="s">
        <v>19006</v>
      </c>
      <c r="C5020" s="349" t="s">
        <v>255</v>
      </c>
      <c r="D5020" s="483">
        <v>321.25</v>
      </c>
      <c r="E5020" s="483">
        <v>321.25</v>
      </c>
    </row>
    <row r="5021" spans="1:5" ht="30">
      <c r="A5021" s="494">
        <v>87348</v>
      </c>
      <c r="B5021" s="485" t="s">
        <v>19007</v>
      </c>
      <c r="C5021" s="484" t="s">
        <v>255</v>
      </c>
      <c r="D5021" s="486">
        <v>339.17</v>
      </c>
      <c r="E5021" s="486">
        <v>339.17</v>
      </c>
    </row>
    <row r="5022" spans="1:5" ht="30">
      <c r="A5022" s="495">
        <v>87349</v>
      </c>
      <c r="B5022" s="348" t="s">
        <v>19008</v>
      </c>
      <c r="C5022" s="349" t="s">
        <v>255</v>
      </c>
      <c r="D5022" s="483">
        <v>300.39999999999998</v>
      </c>
      <c r="E5022" s="483">
        <v>300.39999999999998</v>
      </c>
    </row>
    <row r="5023" spans="1:5" ht="30">
      <c r="A5023" s="494">
        <v>87350</v>
      </c>
      <c r="B5023" s="485" t="s">
        <v>19009</v>
      </c>
      <c r="C5023" s="484" t="s">
        <v>255</v>
      </c>
      <c r="D5023" s="486">
        <v>282.33</v>
      </c>
      <c r="E5023" s="486">
        <v>282.33</v>
      </c>
    </row>
    <row r="5024" spans="1:5" ht="30">
      <c r="A5024" s="495">
        <v>87351</v>
      </c>
      <c r="B5024" s="348" t="s">
        <v>19010</v>
      </c>
      <c r="C5024" s="349" t="s">
        <v>255</v>
      </c>
      <c r="D5024" s="483">
        <v>253.6</v>
      </c>
      <c r="E5024" s="483">
        <v>253.6</v>
      </c>
    </row>
    <row r="5025" spans="1:5" ht="30">
      <c r="A5025" s="494">
        <v>87352</v>
      </c>
      <c r="B5025" s="485" t="s">
        <v>19011</v>
      </c>
      <c r="C5025" s="484" t="s">
        <v>255</v>
      </c>
      <c r="D5025" s="486">
        <v>350.01</v>
      </c>
      <c r="E5025" s="486">
        <v>350.01</v>
      </c>
    </row>
    <row r="5026" spans="1:5" ht="30">
      <c r="A5026" s="495">
        <v>87353</v>
      </c>
      <c r="B5026" s="348" t="s">
        <v>19012</v>
      </c>
      <c r="C5026" s="349" t="s">
        <v>255</v>
      </c>
      <c r="D5026" s="483">
        <v>309.56</v>
      </c>
      <c r="E5026" s="483">
        <v>309.56</v>
      </c>
    </row>
    <row r="5027" spans="1:5" ht="30">
      <c r="A5027" s="494">
        <v>87354</v>
      </c>
      <c r="B5027" s="485" t="s">
        <v>19013</v>
      </c>
      <c r="C5027" s="484" t="s">
        <v>255</v>
      </c>
      <c r="D5027" s="486">
        <v>291.39999999999998</v>
      </c>
      <c r="E5027" s="486">
        <v>291.39999999999998</v>
      </c>
    </row>
    <row r="5028" spans="1:5" ht="30">
      <c r="A5028" s="495">
        <v>87355</v>
      </c>
      <c r="B5028" s="348" t="s">
        <v>19014</v>
      </c>
      <c r="C5028" s="349" t="s">
        <v>255</v>
      </c>
      <c r="D5028" s="483">
        <v>306.8</v>
      </c>
      <c r="E5028" s="483">
        <v>306.8</v>
      </c>
    </row>
    <row r="5029" spans="1:5" ht="30">
      <c r="A5029" s="494">
        <v>87356</v>
      </c>
      <c r="B5029" s="485" t="s">
        <v>19015</v>
      </c>
      <c r="C5029" s="484" t="s">
        <v>255</v>
      </c>
      <c r="D5029" s="486">
        <v>274.04000000000002</v>
      </c>
      <c r="E5029" s="486">
        <v>274.04000000000002</v>
      </c>
    </row>
    <row r="5030" spans="1:5" ht="30">
      <c r="A5030" s="495">
        <v>87357</v>
      </c>
      <c r="B5030" s="348" t="s">
        <v>19016</v>
      </c>
      <c r="C5030" s="349" t="s">
        <v>255</v>
      </c>
      <c r="D5030" s="483">
        <v>266.8</v>
      </c>
      <c r="E5030" s="483">
        <v>266.8</v>
      </c>
    </row>
    <row r="5031" spans="1:5" ht="45">
      <c r="A5031" s="494">
        <v>87358</v>
      </c>
      <c r="B5031" s="485" t="s">
        <v>19017</v>
      </c>
      <c r="C5031" s="484" t="s">
        <v>255</v>
      </c>
      <c r="D5031" s="486">
        <v>1753.39</v>
      </c>
      <c r="E5031" s="486">
        <v>1753.39</v>
      </c>
    </row>
    <row r="5032" spans="1:5" ht="45">
      <c r="A5032" s="495">
        <v>87359</v>
      </c>
      <c r="B5032" s="348" t="s">
        <v>19018</v>
      </c>
      <c r="C5032" s="349" t="s">
        <v>255</v>
      </c>
      <c r="D5032" s="483">
        <v>1740.37</v>
      </c>
      <c r="E5032" s="483">
        <v>1740.37</v>
      </c>
    </row>
    <row r="5033" spans="1:5" ht="45">
      <c r="A5033" s="494">
        <v>87360</v>
      </c>
      <c r="B5033" s="485" t="s">
        <v>19019</v>
      </c>
      <c r="C5033" s="484" t="s">
        <v>255</v>
      </c>
      <c r="D5033" s="486">
        <v>1813.64</v>
      </c>
      <c r="E5033" s="486">
        <v>1813.64</v>
      </c>
    </row>
    <row r="5034" spans="1:5" ht="45">
      <c r="A5034" s="495">
        <v>87361</v>
      </c>
      <c r="B5034" s="348" t="s">
        <v>19020</v>
      </c>
      <c r="C5034" s="349" t="s">
        <v>255</v>
      </c>
      <c r="D5034" s="483">
        <v>1791.52</v>
      </c>
      <c r="E5034" s="483">
        <v>1791.52</v>
      </c>
    </row>
    <row r="5035" spans="1:5" ht="45">
      <c r="A5035" s="494">
        <v>87362</v>
      </c>
      <c r="B5035" s="485" t="s">
        <v>19021</v>
      </c>
      <c r="C5035" s="484" t="s">
        <v>255</v>
      </c>
      <c r="D5035" s="486">
        <v>1787.94</v>
      </c>
      <c r="E5035" s="486">
        <v>1787.94</v>
      </c>
    </row>
    <row r="5036" spans="1:5" ht="45">
      <c r="A5036" s="495">
        <v>87363</v>
      </c>
      <c r="B5036" s="348" t="s">
        <v>19022</v>
      </c>
      <c r="C5036" s="349" t="s">
        <v>255</v>
      </c>
      <c r="D5036" s="483">
        <v>1787.53</v>
      </c>
      <c r="E5036" s="483">
        <v>1787.53</v>
      </c>
    </row>
    <row r="5037" spans="1:5" ht="45">
      <c r="A5037" s="494">
        <v>87364</v>
      </c>
      <c r="B5037" s="485" t="s">
        <v>19023</v>
      </c>
      <c r="C5037" s="484" t="s">
        <v>255</v>
      </c>
      <c r="D5037" s="486">
        <v>1758.27</v>
      </c>
      <c r="E5037" s="486">
        <v>1758.27</v>
      </c>
    </row>
    <row r="5038" spans="1:5" ht="45">
      <c r="A5038" s="495">
        <v>87365</v>
      </c>
      <c r="B5038" s="348" t="s">
        <v>19024</v>
      </c>
      <c r="C5038" s="349" t="s">
        <v>255</v>
      </c>
      <c r="D5038" s="483">
        <v>351.03</v>
      </c>
      <c r="E5038" s="483">
        <v>351.03</v>
      </c>
    </row>
    <row r="5039" spans="1:5" ht="45">
      <c r="A5039" s="494">
        <v>87366</v>
      </c>
      <c r="B5039" s="485" t="s">
        <v>19025</v>
      </c>
      <c r="C5039" s="484" t="s">
        <v>255</v>
      </c>
      <c r="D5039" s="486">
        <v>363.92</v>
      </c>
      <c r="E5039" s="486">
        <v>363.92</v>
      </c>
    </row>
    <row r="5040" spans="1:5" ht="30">
      <c r="A5040" s="495">
        <v>87367</v>
      </c>
      <c r="B5040" s="348" t="s">
        <v>19026</v>
      </c>
      <c r="C5040" s="349" t="s">
        <v>255</v>
      </c>
      <c r="D5040" s="483">
        <v>416.95</v>
      </c>
      <c r="E5040" s="483">
        <v>416.95</v>
      </c>
    </row>
    <row r="5041" spans="1:5" ht="30">
      <c r="A5041" s="494">
        <v>87368</v>
      </c>
      <c r="B5041" s="485" t="s">
        <v>19027</v>
      </c>
      <c r="C5041" s="484" t="s">
        <v>255</v>
      </c>
      <c r="D5041" s="486">
        <v>414.56</v>
      </c>
      <c r="E5041" s="486">
        <v>414.56</v>
      </c>
    </row>
    <row r="5042" spans="1:5" ht="30">
      <c r="A5042" s="495">
        <v>87369</v>
      </c>
      <c r="B5042" s="348" t="s">
        <v>19028</v>
      </c>
      <c r="C5042" s="349" t="s">
        <v>255</v>
      </c>
      <c r="D5042" s="483">
        <v>426.02</v>
      </c>
      <c r="E5042" s="483">
        <v>426.02</v>
      </c>
    </row>
    <row r="5043" spans="1:5" ht="30">
      <c r="A5043" s="494">
        <v>87370</v>
      </c>
      <c r="B5043" s="485" t="s">
        <v>19029</v>
      </c>
      <c r="C5043" s="484" t="s">
        <v>255</v>
      </c>
      <c r="D5043" s="486">
        <v>411.86</v>
      </c>
      <c r="E5043" s="486">
        <v>411.86</v>
      </c>
    </row>
    <row r="5044" spans="1:5" ht="30">
      <c r="A5044" s="495">
        <v>87371</v>
      </c>
      <c r="B5044" s="348" t="s">
        <v>946</v>
      </c>
      <c r="C5044" s="349" t="s">
        <v>255</v>
      </c>
      <c r="D5044" s="483">
        <v>408.62</v>
      </c>
      <c r="E5044" s="483">
        <v>408.62</v>
      </c>
    </row>
    <row r="5045" spans="1:5" ht="30">
      <c r="A5045" s="494">
        <v>87372</v>
      </c>
      <c r="B5045" s="485" t="s">
        <v>19030</v>
      </c>
      <c r="C5045" s="484" t="s">
        <v>255</v>
      </c>
      <c r="D5045" s="486">
        <v>478.2</v>
      </c>
      <c r="E5045" s="486">
        <v>478.2</v>
      </c>
    </row>
    <row r="5046" spans="1:5" ht="30">
      <c r="A5046" s="495">
        <v>87373</v>
      </c>
      <c r="B5046" s="348" t="s">
        <v>19031</v>
      </c>
      <c r="C5046" s="349" t="s">
        <v>255</v>
      </c>
      <c r="D5046" s="483">
        <v>440.3</v>
      </c>
      <c r="E5046" s="483">
        <v>440.3</v>
      </c>
    </row>
    <row r="5047" spans="1:5" ht="30">
      <c r="A5047" s="494">
        <v>87374</v>
      </c>
      <c r="B5047" s="485" t="s">
        <v>19032</v>
      </c>
      <c r="C5047" s="484" t="s">
        <v>255</v>
      </c>
      <c r="D5047" s="486">
        <v>414.88</v>
      </c>
      <c r="E5047" s="486">
        <v>414.88</v>
      </c>
    </row>
    <row r="5048" spans="1:5" ht="30">
      <c r="A5048" s="495">
        <v>87375</v>
      </c>
      <c r="B5048" s="348" t="s">
        <v>19033</v>
      </c>
      <c r="C5048" s="349" t="s">
        <v>255</v>
      </c>
      <c r="D5048" s="483">
        <v>393.04</v>
      </c>
      <c r="E5048" s="483">
        <v>393.04</v>
      </c>
    </row>
    <row r="5049" spans="1:5" ht="30">
      <c r="A5049" s="494">
        <v>87376</v>
      </c>
      <c r="B5049" s="485" t="s">
        <v>19034</v>
      </c>
      <c r="C5049" s="484" t="s">
        <v>255</v>
      </c>
      <c r="D5049" s="486">
        <v>342.2</v>
      </c>
      <c r="E5049" s="486">
        <v>342.2</v>
      </c>
    </row>
    <row r="5050" spans="1:5" ht="30">
      <c r="A5050" s="495">
        <v>87377</v>
      </c>
      <c r="B5050" s="348" t="s">
        <v>19035</v>
      </c>
      <c r="C5050" s="349" t="s">
        <v>255</v>
      </c>
      <c r="D5050" s="483">
        <v>387.48</v>
      </c>
      <c r="E5050" s="483">
        <v>387.48</v>
      </c>
    </row>
    <row r="5051" spans="1:5" ht="30">
      <c r="A5051" s="494">
        <v>87378</v>
      </c>
      <c r="B5051" s="485" t="s">
        <v>19036</v>
      </c>
      <c r="C5051" s="484" t="s">
        <v>255</v>
      </c>
      <c r="D5051" s="486">
        <v>360.27</v>
      </c>
      <c r="E5051" s="486">
        <v>360.27</v>
      </c>
    </row>
    <row r="5052" spans="1:5" ht="30">
      <c r="A5052" s="495">
        <v>87379</v>
      </c>
      <c r="B5052" s="348" t="s">
        <v>19037</v>
      </c>
      <c r="C5052" s="349" t="s">
        <v>255</v>
      </c>
      <c r="D5052" s="483">
        <v>1845.89</v>
      </c>
      <c r="E5052" s="483">
        <v>1845.89</v>
      </c>
    </row>
    <row r="5053" spans="1:5" ht="30">
      <c r="A5053" s="494">
        <v>87380</v>
      </c>
      <c r="B5053" s="485" t="s">
        <v>19038</v>
      </c>
      <c r="C5053" s="484" t="s">
        <v>255</v>
      </c>
      <c r="D5053" s="486">
        <v>1892.43</v>
      </c>
      <c r="E5053" s="486">
        <v>1892.43</v>
      </c>
    </row>
    <row r="5054" spans="1:5" ht="30">
      <c r="A5054" s="495">
        <v>87381</v>
      </c>
      <c r="B5054" s="348" t="s">
        <v>19039</v>
      </c>
      <c r="C5054" s="349" t="s">
        <v>255</v>
      </c>
      <c r="D5054" s="483">
        <v>1865.24</v>
      </c>
      <c r="E5054" s="483">
        <v>1865.24</v>
      </c>
    </row>
    <row r="5055" spans="1:5" ht="30">
      <c r="A5055" s="494">
        <v>87382</v>
      </c>
      <c r="B5055" s="485" t="s">
        <v>19040</v>
      </c>
      <c r="C5055" s="484" t="s">
        <v>255</v>
      </c>
      <c r="D5055" s="486">
        <v>827.27</v>
      </c>
      <c r="E5055" s="486">
        <v>827.27</v>
      </c>
    </row>
    <row r="5056" spans="1:5" ht="30">
      <c r="A5056" s="495">
        <v>87383</v>
      </c>
      <c r="B5056" s="348" t="s">
        <v>19041</v>
      </c>
      <c r="C5056" s="349" t="s">
        <v>255</v>
      </c>
      <c r="D5056" s="483">
        <v>822.46</v>
      </c>
      <c r="E5056" s="483">
        <v>822.46</v>
      </c>
    </row>
    <row r="5057" spans="1:5" ht="30">
      <c r="A5057" s="494">
        <v>87384</v>
      </c>
      <c r="B5057" s="485" t="s">
        <v>19042</v>
      </c>
      <c r="C5057" s="484" t="s">
        <v>255</v>
      </c>
      <c r="D5057" s="486">
        <v>817.29</v>
      </c>
      <c r="E5057" s="486">
        <v>817.29</v>
      </c>
    </row>
    <row r="5058" spans="1:5" ht="30">
      <c r="A5058" s="495">
        <v>87385</v>
      </c>
      <c r="B5058" s="348" t="s">
        <v>19043</v>
      </c>
      <c r="C5058" s="349" t="s">
        <v>255</v>
      </c>
      <c r="D5058" s="483">
        <v>1051.5899999999999</v>
      </c>
      <c r="E5058" s="483">
        <v>1051.5899999999999</v>
      </c>
    </row>
    <row r="5059" spans="1:5" ht="30">
      <c r="A5059" s="494">
        <v>87386</v>
      </c>
      <c r="B5059" s="485" t="s">
        <v>19044</v>
      </c>
      <c r="C5059" s="484" t="s">
        <v>255</v>
      </c>
      <c r="D5059" s="486">
        <v>1044.8900000000001</v>
      </c>
      <c r="E5059" s="486">
        <v>1044.8900000000001</v>
      </c>
    </row>
    <row r="5060" spans="1:5" ht="30">
      <c r="A5060" s="495">
        <v>87387</v>
      </c>
      <c r="B5060" s="348" t="s">
        <v>19045</v>
      </c>
      <c r="C5060" s="349" t="s">
        <v>255</v>
      </c>
      <c r="D5060" s="483">
        <v>1041.5899999999999</v>
      </c>
      <c r="E5060" s="483">
        <v>1041.5899999999999</v>
      </c>
    </row>
    <row r="5061" spans="1:5" ht="30">
      <c r="A5061" s="494">
        <v>87388</v>
      </c>
      <c r="B5061" s="485" t="s">
        <v>2000</v>
      </c>
      <c r="C5061" s="484" t="s">
        <v>255</v>
      </c>
      <c r="D5061" s="486">
        <v>2476.6799999999998</v>
      </c>
      <c r="E5061" s="486">
        <v>2476.6799999999998</v>
      </c>
    </row>
    <row r="5062" spans="1:5" ht="30">
      <c r="A5062" s="495">
        <v>87389</v>
      </c>
      <c r="B5062" s="348" t="s">
        <v>2001</v>
      </c>
      <c r="C5062" s="349" t="s">
        <v>255</v>
      </c>
      <c r="D5062" s="483">
        <v>2484.7399999999998</v>
      </c>
      <c r="E5062" s="483">
        <v>2484.7399999999998</v>
      </c>
    </row>
    <row r="5063" spans="1:5" ht="30">
      <c r="A5063" s="494">
        <v>87390</v>
      </c>
      <c r="B5063" s="485" t="s">
        <v>2002</v>
      </c>
      <c r="C5063" s="484" t="s">
        <v>255</v>
      </c>
      <c r="D5063" s="486">
        <v>2489.4499999999998</v>
      </c>
      <c r="E5063" s="486">
        <v>2489.4499999999998</v>
      </c>
    </row>
    <row r="5064" spans="1:5" ht="30">
      <c r="A5064" s="495">
        <v>87391</v>
      </c>
      <c r="B5064" s="348" t="s">
        <v>1992</v>
      </c>
      <c r="C5064" s="349" t="s">
        <v>255</v>
      </c>
      <c r="D5064" s="483">
        <v>3922.48</v>
      </c>
      <c r="E5064" s="483">
        <v>3922.48</v>
      </c>
    </row>
    <row r="5065" spans="1:5" ht="30">
      <c r="A5065" s="494">
        <v>87393</v>
      </c>
      <c r="B5065" s="485" t="s">
        <v>1993</v>
      </c>
      <c r="C5065" s="484" t="s">
        <v>255</v>
      </c>
      <c r="D5065" s="486">
        <v>3967.37</v>
      </c>
      <c r="E5065" s="486">
        <v>3967.37</v>
      </c>
    </row>
    <row r="5066" spans="1:5" ht="30">
      <c r="A5066" s="495">
        <v>87394</v>
      </c>
      <c r="B5066" s="348" t="s">
        <v>1994</v>
      </c>
      <c r="C5066" s="349" t="s">
        <v>255</v>
      </c>
      <c r="D5066" s="483">
        <v>3985.28</v>
      </c>
      <c r="E5066" s="483">
        <v>3985.28</v>
      </c>
    </row>
    <row r="5067" spans="1:5" ht="30">
      <c r="A5067" s="494">
        <v>87395</v>
      </c>
      <c r="B5067" s="485" t="s">
        <v>19046</v>
      </c>
      <c r="C5067" s="484" t="s">
        <v>255</v>
      </c>
      <c r="D5067" s="486">
        <v>3090.73</v>
      </c>
      <c r="E5067" s="486">
        <v>3090.73</v>
      </c>
    </row>
    <row r="5068" spans="1:5" ht="30">
      <c r="A5068" s="495">
        <v>87396</v>
      </c>
      <c r="B5068" s="348" t="s">
        <v>19047</v>
      </c>
      <c r="C5068" s="349" t="s">
        <v>255</v>
      </c>
      <c r="D5068" s="483">
        <v>3124.21</v>
      </c>
      <c r="E5068" s="483">
        <v>3124.21</v>
      </c>
    </row>
    <row r="5069" spans="1:5" ht="30">
      <c r="A5069" s="494">
        <v>87397</v>
      </c>
      <c r="B5069" s="485" t="s">
        <v>19048</v>
      </c>
      <c r="C5069" s="484" t="s">
        <v>255</v>
      </c>
      <c r="D5069" s="486">
        <v>3133.94</v>
      </c>
      <c r="E5069" s="486">
        <v>3133.94</v>
      </c>
    </row>
    <row r="5070" spans="1:5" ht="30">
      <c r="A5070" s="495">
        <v>87398</v>
      </c>
      <c r="B5070" s="348" t="s">
        <v>19049</v>
      </c>
      <c r="C5070" s="349" t="s">
        <v>255</v>
      </c>
      <c r="D5070" s="483">
        <v>955.22</v>
      </c>
      <c r="E5070" s="483">
        <v>955.22</v>
      </c>
    </row>
    <row r="5071" spans="1:5">
      <c r="A5071" s="494">
        <v>87399</v>
      </c>
      <c r="B5071" s="485" t="s">
        <v>947</v>
      </c>
      <c r="C5071" s="484" t="s">
        <v>255</v>
      </c>
      <c r="D5071" s="486">
        <v>1189.08</v>
      </c>
      <c r="E5071" s="486">
        <v>1189.08</v>
      </c>
    </row>
    <row r="5072" spans="1:5">
      <c r="A5072" s="495">
        <v>87401</v>
      </c>
      <c r="B5072" s="348" t="s">
        <v>19050</v>
      </c>
      <c r="C5072" s="349" t="s">
        <v>255</v>
      </c>
      <c r="D5072" s="483">
        <v>4128.07</v>
      </c>
      <c r="E5072" s="483">
        <v>4128.07</v>
      </c>
    </row>
    <row r="5073" spans="1:5">
      <c r="A5073" s="494">
        <v>87402</v>
      </c>
      <c r="B5073" s="485" t="s">
        <v>19051</v>
      </c>
      <c r="C5073" s="484" t="s">
        <v>255</v>
      </c>
      <c r="D5073" s="486">
        <v>3290.17</v>
      </c>
      <c r="E5073" s="486">
        <v>3290.17</v>
      </c>
    </row>
    <row r="5074" spans="1:5" ht="30">
      <c r="A5074" s="495">
        <v>87404</v>
      </c>
      <c r="B5074" s="348" t="s">
        <v>1998</v>
      </c>
      <c r="C5074" s="349" t="s">
        <v>255</v>
      </c>
      <c r="D5074" s="483">
        <v>2572.02</v>
      </c>
      <c r="E5074" s="483">
        <v>2572.02</v>
      </c>
    </row>
    <row r="5075" spans="1:5" ht="30">
      <c r="A5075" s="494">
        <v>87405</v>
      </c>
      <c r="B5075" s="485" t="s">
        <v>1999</v>
      </c>
      <c r="C5075" s="484" t="s">
        <v>255</v>
      </c>
      <c r="D5075" s="486">
        <v>2572.63</v>
      </c>
      <c r="E5075" s="486">
        <v>2572.63</v>
      </c>
    </row>
    <row r="5076" spans="1:5" ht="30">
      <c r="A5076" s="495">
        <v>87407</v>
      </c>
      <c r="B5076" s="348" t="s">
        <v>19052</v>
      </c>
      <c r="C5076" s="349" t="s">
        <v>255</v>
      </c>
      <c r="D5076" s="483">
        <v>840.66</v>
      </c>
      <c r="E5076" s="483">
        <v>840.66</v>
      </c>
    </row>
    <row r="5077" spans="1:5" ht="30">
      <c r="A5077" s="494">
        <v>87408</v>
      </c>
      <c r="B5077" s="485" t="s">
        <v>1997</v>
      </c>
      <c r="C5077" s="484" t="s">
        <v>255</v>
      </c>
      <c r="D5077" s="486">
        <v>830.49</v>
      </c>
      <c r="E5077" s="486">
        <v>830.49</v>
      </c>
    </row>
    <row r="5078" spans="1:5">
      <c r="A5078" s="495">
        <v>87410</v>
      </c>
      <c r="B5078" s="348" t="s">
        <v>19053</v>
      </c>
      <c r="C5078" s="349" t="s">
        <v>255</v>
      </c>
      <c r="D5078" s="483">
        <v>568.79</v>
      </c>
      <c r="E5078" s="483">
        <v>568.79</v>
      </c>
    </row>
    <row r="5079" spans="1:5" ht="30">
      <c r="A5079" s="494">
        <v>88626</v>
      </c>
      <c r="B5079" s="485" t="s">
        <v>19054</v>
      </c>
      <c r="C5079" s="484" t="s">
        <v>255</v>
      </c>
      <c r="D5079" s="486">
        <v>314.07</v>
      </c>
      <c r="E5079" s="486">
        <v>314.07</v>
      </c>
    </row>
    <row r="5080" spans="1:5" ht="30">
      <c r="A5080" s="495">
        <v>88627</v>
      </c>
      <c r="B5080" s="348" t="s">
        <v>19055</v>
      </c>
      <c r="C5080" s="349" t="s">
        <v>255</v>
      </c>
      <c r="D5080" s="483">
        <v>375.1</v>
      </c>
      <c r="E5080" s="483">
        <v>375.1</v>
      </c>
    </row>
    <row r="5081" spans="1:5" ht="30">
      <c r="A5081" s="494">
        <v>88628</v>
      </c>
      <c r="B5081" s="485" t="s">
        <v>19056</v>
      </c>
      <c r="C5081" s="484" t="s">
        <v>255</v>
      </c>
      <c r="D5081" s="486">
        <v>313.63</v>
      </c>
      <c r="E5081" s="486">
        <v>313.63</v>
      </c>
    </row>
    <row r="5082" spans="1:5">
      <c r="A5082" s="495">
        <v>88629</v>
      </c>
      <c r="B5082" s="348" t="s">
        <v>19057</v>
      </c>
      <c r="C5082" s="349" t="s">
        <v>255</v>
      </c>
      <c r="D5082" s="483">
        <v>378.03</v>
      </c>
      <c r="E5082" s="483">
        <v>378.03</v>
      </c>
    </row>
    <row r="5083" spans="1:5" ht="30">
      <c r="A5083" s="494">
        <v>88630</v>
      </c>
      <c r="B5083" s="485" t="s">
        <v>19058</v>
      </c>
      <c r="C5083" s="484" t="s">
        <v>255</v>
      </c>
      <c r="D5083" s="486">
        <v>282.20999999999998</v>
      </c>
      <c r="E5083" s="486">
        <v>282.20999999999998</v>
      </c>
    </row>
    <row r="5084" spans="1:5">
      <c r="A5084" s="495">
        <v>88631</v>
      </c>
      <c r="B5084" s="348" t="s">
        <v>19059</v>
      </c>
      <c r="C5084" s="349" t="s">
        <v>255</v>
      </c>
      <c r="D5084" s="483">
        <v>348.76</v>
      </c>
      <c r="E5084" s="483">
        <v>348.76</v>
      </c>
    </row>
    <row r="5085" spans="1:5" ht="45">
      <c r="A5085" s="494">
        <v>88715</v>
      </c>
      <c r="B5085" s="485" t="s">
        <v>19060</v>
      </c>
      <c r="C5085" s="484" t="s">
        <v>255</v>
      </c>
      <c r="D5085" s="486">
        <v>332.41</v>
      </c>
      <c r="E5085" s="486">
        <v>332.41</v>
      </c>
    </row>
    <row r="5086" spans="1:5" ht="30">
      <c r="A5086" s="495">
        <v>95563</v>
      </c>
      <c r="B5086" s="348" t="s">
        <v>19061</v>
      </c>
      <c r="C5086" s="349" t="s">
        <v>255</v>
      </c>
      <c r="D5086" s="483">
        <v>485.15</v>
      </c>
      <c r="E5086" s="483">
        <v>485.15</v>
      </c>
    </row>
    <row r="5087" spans="1:5">
      <c r="A5087" s="494">
        <v>88036</v>
      </c>
      <c r="B5087" s="485" t="s">
        <v>948</v>
      </c>
      <c r="C5087" s="484" t="s">
        <v>255</v>
      </c>
      <c r="D5087" s="486">
        <v>22.93</v>
      </c>
      <c r="E5087" s="486">
        <v>22.93</v>
      </c>
    </row>
    <row r="5088" spans="1:5">
      <c r="A5088" s="495">
        <v>88037</v>
      </c>
      <c r="B5088" s="348" t="s">
        <v>949</v>
      </c>
      <c r="C5088" s="349" t="s">
        <v>255</v>
      </c>
      <c r="D5088" s="483">
        <v>32.119999999999997</v>
      </c>
      <c r="E5088" s="483">
        <v>32.119999999999997</v>
      </c>
    </row>
    <row r="5089" spans="1:5">
      <c r="A5089" s="494">
        <v>88038</v>
      </c>
      <c r="B5089" s="485" t="s">
        <v>950</v>
      </c>
      <c r="C5089" s="484" t="s">
        <v>255</v>
      </c>
      <c r="D5089" s="486">
        <v>43.62</v>
      </c>
      <c r="E5089" s="486">
        <v>43.62</v>
      </c>
    </row>
    <row r="5090" spans="1:5">
      <c r="A5090" s="495">
        <v>88039</v>
      </c>
      <c r="B5090" s="348" t="s">
        <v>951</v>
      </c>
      <c r="C5090" s="349" t="s">
        <v>255</v>
      </c>
      <c r="D5090" s="483">
        <v>55.11</v>
      </c>
      <c r="E5090" s="483">
        <v>55.11</v>
      </c>
    </row>
    <row r="5091" spans="1:5">
      <c r="A5091" s="494">
        <v>88040</v>
      </c>
      <c r="B5091" s="485" t="s">
        <v>10001</v>
      </c>
      <c r="C5091" s="484" t="s">
        <v>255</v>
      </c>
      <c r="D5091" s="486">
        <v>10.36</v>
      </c>
      <c r="E5091" s="486">
        <v>10.36</v>
      </c>
    </row>
    <row r="5092" spans="1:5">
      <c r="A5092" s="495">
        <v>88041</v>
      </c>
      <c r="B5092" s="348" t="s">
        <v>10002</v>
      </c>
      <c r="C5092" s="349" t="s">
        <v>255</v>
      </c>
      <c r="D5092" s="483">
        <v>16.05</v>
      </c>
      <c r="E5092" s="483">
        <v>16.05</v>
      </c>
    </row>
    <row r="5093" spans="1:5">
      <c r="A5093" s="494">
        <v>88042</v>
      </c>
      <c r="B5093" s="485" t="s">
        <v>10003</v>
      </c>
      <c r="C5093" s="484" t="s">
        <v>255</v>
      </c>
      <c r="D5093" s="486">
        <v>23.18</v>
      </c>
      <c r="E5093" s="486">
        <v>23.18</v>
      </c>
    </row>
    <row r="5094" spans="1:5">
      <c r="A5094" s="495">
        <v>88043</v>
      </c>
      <c r="B5094" s="348" t="s">
        <v>19062</v>
      </c>
      <c r="C5094" s="349" t="s">
        <v>255</v>
      </c>
      <c r="D5094" s="483">
        <v>30.31</v>
      </c>
      <c r="E5094" s="483">
        <v>30.31</v>
      </c>
    </row>
    <row r="5095" spans="1:5" ht="30">
      <c r="A5095" s="494">
        <v>88044</v>
      </c>
      <c r="B5095" s="485" t="s">
        <v>9990</v>
      </c>
      <c r="C5095" s="484" t="s">
        <v>65</v>
      </c>
      <c r="D5095" s="486">
        <v>0.47</v>
      </c>
      <c r="E5095" s="486">
        <v>0.47</v>
      </c>
    </row>
    <row r="5096" spans="1:5" ht="30">
      <c r="A5096" s="495">
        <v>88045</v>
      </c>
      <c r="B5096" s="348" t="s">
        <v>9973</v>
      </c>
      <c r="C5096" s="349" t="s">
        <v>65</v>
      </c>
      <c r="D5096" s="483">
        <v>0.23</v>
      </c>
      <c r="E5096" s="483">
        <v>0.23</v>
      </c>
    </row>
    <row r="5097" spans="1:5" ht="30">
      <c r="A5097" s="494">
        <v>88046</v>
      </c>
      <c r="B5097" s="485" t="s">
        <v>9987</v>
      </c>
      <c r="C5097" s="484" t="s">
        <v>65</v>
      </c>
      <c r="D5097" s="486">
        <v>0.2</v>
      </c>
      <c r="E5097" s="486">
        <v>0.2</v>
      </c>
    </row>
    <row r="5098" spans="1:5" ht="30">
      <c r="A5098" s="495">
        <v>88047</v>
      </c>
      <c r="B5098" s="348" t="s">
        <v>9966</v>
      </c>
      <c r="C5098" s="349" t="s">
        <v>65</v>
      </c>
      <c r="D5098" s="483">
        <v>7.0000000000000007E-2</v>
      </c>
      <c r="E5098" s="483">
        <v>7.0000000000000007E-2</v>
      </c>
    </row>
    <row r="5099" spans="1:5" ht="30">
      <c r="A5099" s="494">
        <v>88048</v>
      </c>
      <c r="B5099" s="485" t="s">
        <v>9988</v>
      </c>
      <c r="C5099" s="484" t="s">
        <v>65</v>
      </c>
      <c r="D5099" s="486">
        <v>0.27</v>
      </c>
      <c r="E5099" s="486">
        <v>0.27</v>
      </c>
    </row>
    <row r="5100" spans="1:5" ht="30">
      <c r="A5100" s="495">
        <v>88049</v>
      </c>
      <c r="B5100" s="348" t="s">
        <v>9967</v>
      </c>
      <c r="C5100" s="349" t="s">
        <v>65</v>
      </c>
      <c r="D5100" s="483">
        <v>0.09</v>
      </c>
      <c r="E5100" s="483">
        <v>0.09</v>
      </c>
    </row>
    <row r="5101" spans="1:5" ht="30">
      <c r="A5101" s="494">
        <v>88050</v>
      </c>
      <c r="B5101" s="485" t="s">
        <v>9989</v>
      </c>
      <c r="C5101" s="484" t="s">
        <v>65</v>
      </c>
      <c r="D5101" s="486">
        <v>0.35</v>
      </c>
      <c r="E5101" s="486">
        <v>0.35</v>
      </c>
    </row>
    <row r="5102" spans="1:5" ht="30">
      <c r="A5102" s="495">
        <v>88051</v>
      </c>
      <c r="B5102" s="348" t="s">
        <v>9968</v>
      </c>
      <c r="C5102" s="349" t="s">
        <v>65</v>
      </c>
      <c r="D5102" s="483">
        <v>0.11</v>
      </c>
      <c r="E5102" s="483">
        <v>0.11</v>
      </c>
    </row>
    <row r="5103" spans="1:5" ht="30">
      <c r="A5103" s="494">
        <v>88052</v>
      </c>
      <c r="B5103" s="485" t="s">
        <v>9986</v>
      </c>
      <c r="C5103" s="484" t="s">
        <v>65</v>
      </c>
      <c r="D5103" s="486">
        <v>0.44</v>
      </c>
      <c r="E5103" s="486">
        <v>0.44</v>
      </c>
    </row>
    <row r="5104" spans="1:5" ht="30">
      <c r="A5104" s="495">
        <v>88053</v>
      </c>
      <c r="B5104" s="348" t="s">
        <v>9965</v>
      </c>
      <c r="C5104" s="349" t="s">
        <v>65</v>
      </c>
      <c r="D5104" s="483">
        <v>0.13</v>
      </c>
      <c r="E5104" s="483">
        <v>0.13</v>
      </c>
    </row>
    <row r="5105" spans="1:5" ht="30">
      <c r="A5105" s="494">
        <v>88054</v>
      </c>
      <c r="B5105" s="485" t="s">
        <v>9983</v>
      </c>
      <c r="C5105" s="484" t="s">
        <v>65</v>
      </c>
      <c r="D5105" s="486">
        <v>0.08</v>
      </c>
      <c r="E5105" s="486">
        <v>0.08</v>
      </c>
    </row>
    <row r="5106" spans="1:5" ht="30">
      <c r="A5106" s="495">
        <v>88055</v>
      </c>
      <c r="B5106" s="348" t="s">
        <v>9962</v>
      </c>
      <c r="C5106" s="349" t="s">
        <v>65</v>
      </c>
      <c r="D5106" s="483">
        <v>0.02</v>
      </c>
      <c r="E5106" s="483">
        <v>0.02</v>
      </c>
    </row>
    <row r="5107" spans="1:5" ht="30">
      <c r="A5107" s="494">
        <v>88056</v>
      </c>
      <c r="B5107" s="485" t="s">
        <v>9984</v>
      </c>
      <c r="C5107" s="484" t="s">
        <v>65</v>
      </c>
      <c r="D5107" s="486">
        <v>0.14000000000000001</v>
      </c>
      <c r="E5107" s="486">
        <v>0.14000000000000001</v>
      </c>
    </row>
    <row r="5108" spans="1:5" ht="30">
      <c r="A5108" s="495">
        <v>88057</v>
      </c>
      <c r="B5108" s="348" t="s">
        <v>9963</v>
      </c>
      <c r="C5108" s="349" t="s">
        <v>65</v>
      </c>
      <c r="D5108" s="483">
        <v>0.03</v>
      </c>
      <c r="E5108" s="483">
        <v>0.03</v>
      </c>
    </row>
    <row r="5109" spans="1:5" ht="30">
      <c r="A5109" s="494">
        <v>88058</v>
      </c>
      <c r="B5109" s="485" t="s">
        <v>9985</v>
      </c>
      <c r="C5109" s="484" t="s">
        <v>65</v>
      </c>
      <c r="D5109" s="486">
        <v>0.2</v>
      </c>
      <c r="E5109" s="486">
        <v>0.2</v>
      </c>
    </row>
    <row r="5110" spans="1:5" ht="30">
      <c r="A5110" s="495">
        <v>88059</v>
      </c>
      <c r="B5110" s="348" t="s">
        <v>9964</v>
      </c>
      <c r="C5110" s="349" t="s">
        <v>65</v>
      </c>
      <c r="D5110" s="483">
        <v>0.05</v>
      </c>
      <c r="E5110" s="483">
        <v>0.05</v>
      </c>
    </row>
    <row r="5111" spans="1:5" ht="30">
      <c r="A5111" s="494">
        <v>88060</v>
      </c>
      <c r="B5111" s="485" t="s">
        <v>9982</v>
      </c>
      <c r="C5111" s="484" t="s">
        <v>65</v>
      </c>
      <c r="D5111" s="486">
        <v>0.27</v>
      </c>
      <c r="E5111" s="486">
        <v>0.27</v>
      </c>
    </row>
    <row r="5112" spans="1:5" ht="30">
      <c r="A5112" s="495">
        <v>88061</v>
      </c>
      <c r="B5112" s="348" t="s">
        <v>9961</v>
      </c>
      <c r="C5112" s="349" t="s">
        <v>65</v>
      </c>
      <c r="D5112" s="483">
        <v>0.06</v>
      </c>
      <c r="E5112" s="483">
        <v>0.06</v>
      </c>
    </row>
    <row r="5113" spans="1:5">
      <c r="A5113" s="494">
        <v>88074</v>
      </c>
      <c r="B5113" s="485" t="s">
        <v>952</v>
      </c>
      <c r="C5113" s="484" t="s">
        <v>256</v>
      </c>
      <c r="D5113" s="486">
        <v>0.68</v>
      </c>
      <c r="E5113" s="486">
        <v>0.68</v>
      </c>
    </row>
    <row r="5114" spans="1:5">
      <c r="A5114" s="495">
        <v>88075</v>
      </c>
      <c r="B5114" s="348" t="s">
        <v>19063</v>
      </c>
      <c r="C5114" s="349" t="s">
        <v>256</v>
      </c>
      <c r="D5114" s="483">
        <v>0.46</v>
      </c>
      <c r="E5114" s="483">
        <v>0.46</v>
      </c>
    </row>
    <row r="5115" spans="1:5">
      <c r="A5115" s="494">
        <v>88076</v>
      </c>
      <c r="B5115" s="485" t="s">
        <v>19064</v>
      </c>
      <c r="C5115" s="484" t="s">
        <v>256</v>
      </c>
      <c r="D5115" s="486">
        <v>0.53</v>
      </c>
      <c r="E5115" s="486">
        <v>0.53</v>
      </c>
    </row>
    <row r="5116" spans="1:5">
      <c r="A5116" s="495">
        <v>88077</v>
      </c>
      <c r="B5116" s="348" t="s">
        <v>19065</v>
      </c>
      <c r="C5116" s="349" t="s">
        <v>256</v>
      </c>
      <c r="D5116" s="483">
        <v>0.61</v>
      </c>
      <c r="E5116" s="483">
        <v>0.61</v>
      </c>
    </row>
    <row r="5117" spans="1:5">
      <c r="A5117" s="494">
        <v>88078</v>
      </c>
      <c r="B5117" s="485" t="s">
        <v>19066</v>
      </c>
      <c r="C5117" s="484" t="s">
        <v>256</v>
      </c>
      <c r="D5117" s="486">
        <v>0.7</v>
      </c>
      <c r="E5117" s="486">
        <v>0.7</v>
      </c>
    </row>
    <row r="5118" spans="1:5" ht="30">
      <c r="A5118" s="495">
        <v>88079</v>
      </c>
      <c r="B5118" s="348" t="s">
        <v>19067</v>
      </c>
      <c r="C5118" s="349" t="s">
        <v>256</v>
      </c>
      <c r="D5118" s="483">
        <v>0.12</v>
      </c>
      <c r="E5118" s="483">
        <v>0.12</v>
      </c>
    </row>
    <row r="5119" spans="1:5" ht="30">
      <c r="A5119" s="494">
        <v>88080</v>
      </c>
      <c r="B5119" s="485" t="s">
        <v>19068</v>
      </c>
      <c r="C5119" s="484" t="s">
        <v>256</v>
      </c>
      <c r="D5119" s="486">
        <v>0.2</v>
      </c>
      <c r="E5119" s="486">
        <v>0.2</v>
      </c>
    </row>
    <row r="5120" spans="1:5" ht="30">
      <c r="A5120" s="495">
        <v>88081</v>
      </c>
      <c r="B5120" s="348" t="s">
        <v>19069</v>
      </c>
      <c r="C5120" s="349" t="s">
        <v>256</v>
      </c>
      <c r="D5120" s="483">
        <v>0.28999999999999998</v>
      </c>
      <c r="E5120" s="483">
        <v>0.28999999999999998</v>
      </c>
    </row>
    <row r="5121" spans="1:5" ht="30">
      <c r="A5121" s="494">
        <v>88082</v>
      </c>
      <c r="B5121" s="485" t="s">
        <v>19070</v>
      </c>
      <c r="C5121" s="484" t="s">
        <v>256</v>
      </c>
      <c r="D5121" s="486">
        <v>0.39</v>
      </c>
      <c r="E5121" s="486">
        <v>0.39</v>
      </c>
    </row>
    <row r="5122" spans="1:5" ht="30">
      <c r="A5122" s="495">
        <v>88083</v>
      </c>
      <c r="B5122" s="348" t="s">
        <v>953</v>
      </c>
      <c r="C5122" s="349" t="s">
        <v>256</v>
      </c>
      <c r="D5122" s="483">
        <v>0.08</v>
      </c>
      <c r="E5122" s="483">
        <v>0.08</v>
      </c>
    </row>
    <row r="5123" spans="1:5" ht="30">
      <c r="A5123" s="494">
        <v>88084</v>
      </c>
      <c r="B5123" s="485" t="s">
        <v>954</v>
      </c>
      <c r="C5123" s="484" t="s">
        <v>256</v>
      </c>
      <c r="D5123" s="486">
        <v>0.12</v>
      </c>
      <c r="E5123" s="486">
        <v>0.12</v>
      </c>
    </row>
    <row r="5124" spans="1:5" ht="30">
      <c r="A5124" s="495">
        <v>88085</v>
      </c>
      <c r="B5124" s="348" t="s">
        <v>955</v>
      </c>
      <c r="C5124" s="349" t="s">
        <v>256</v>
      </c>
      <c r="D5124" s="483">
        <v>0.18</v>
      </c>
      <c r="E5124" s="483">
        <v>0.18</v>
      </c>
    </row>
    <row r="5125" spans="1:5" ht="30">
      <c r="A5125" s="494">
        <v>88086</v>
      </c>
      <c r="B5125" s="485" t="s">
        <v>19071</v>
      </c>
      <c r="C5125" s="484" t="s">
        <v>256</v>
      </c>
      <c r="D5125" s="486">
        <v>0.24</v>
      </c>
      <c r="E5125" s="486">
        <v>0.24</v>
      </c>
    </row>
    <row r="5126" spans="1:5">
      <c r="A5126" s="495">
        <v>88087</v>
      </c>
      <c r="B5126" s="348" t="s">
        <v>9999</v>
      </c>
      <c r="C5126" s="349" t="s">
        <v>91</v>
      </c>
      <c r="D5126" s="483">
        <v>0.05</v>
      </c>
      <c r="E5126" s="483">
        <v>0.05</v>
      </c>
    </row>
    <row r="5127" spans="1:5" ht="30">
      <c r="A5127" s="494">
        <v>88099</v>
      </c>
      <c r="B5127" s="485" t="s">
        <v>19072</v>
      </c>
      <c r="C5127" s="484" t="s">
        <v>65</v>
      </c>
      <c r="D5127" s="486">
        <v>0.19</v>
      </c>
      <c r="E5127" s="486">
        <v>0.19</v>
      </c>
    </row>
    <row r="5128" spans="1:5" ht="30">
      <c r="A5128" s="495">
        <v>88100</v>
      </c>
      <c r="B5128" s="348" t="s">
        <v>19073</v>
      </c>
      <c r="C5128" s="349" t="s">
        <v>65</v>
      </c>
      <c r="D5128" s="483">
        <v>0.09</v>
      </c>
      <c r="E5128" s="483">
        <v>0.09</v>
      </c>
    </row>
    <row r="5129" spans="1:5">
      <c r="A5129" s="494">
        <v>88101</v>
      </c>
      <c r="B5129" s="485" t="s">
        <v>956</v>
      </c>
      <c r="C5129" s="484" t="s">
        <v>256</v>
      </c>
      <c r="D5129" s="486">
        <v>0.3</v>
      </c>
      <c r="E5129" s="486">
        <v>0.3</v>
      </c>
    </row>
    <row r="5130" spans="1:5">
      <c r="A5130" s="495">
        <v>88102</v>
      </c>
      <c r="B5130" s="348" t="s">
        <v>10056</v>
      </c>
      <c r="C5130" s="349" t="s">
        <v>91</v>
      </c>
      <c r="D5130" s="483">
        <v>0.02</v>
      </c>
      <c r="E5130" s="483">
        <v>0.02</v>
      </c>
    </row>
    <row r="5131" spans="1:5">
      <c r="A5131" s="494">
        <v>88103</v>
      </c>
      <c r="B5131" s="485" t="s">
        <v>19074</v>
      </c>
      <c r="C5131" s="484" t="s">
        <v>91</v>
      </c>
      <c r="D5131" s="486">
        <v>0.04</v>
      </c>
      <c r="E5131" s="486">
        <v>0.04</v>
      </c>
    </row>
    <row r="5132" spans="1:5">
      <c r="A5132" s="495">
        <v>89176</v>
      </c>
      <c r="B5132" s="348" t="s">
        <v>19075</v>
      </c>
      <c r="C5132" s="349" t="s">
        <v>152</v>
      </c>
      <c r="D5132" s="483">
        <v>6.61</v>
      </c>
      <c r="E5132" s="483">
        <v>6.61</v>
      </c>
    </row>
    <row r="5133" spans="1:5">
      <c r="A5133" s="494">
        <v>89177</v>
      </c>
      <c r="B5133" s="485" t="s">
        <v>19076</v>
      </c>
      <c r="C5133" s="484" t="s">
        <v>152</v>
      </c>
      <c r="D5133" s="486">
        <v>9.25</v>
      </c>
      <c r="E5133" s="486">
        <v>9.25</v>
      </c>
    </row>
    <row r="5134" spans="1:5">
      <c r="A5134" s="495">
        <v>89178</v>
      </c>
      <c r="B5134" s="348" t="s">
        <v>19077</v>
      </c>
      <c r="C5134" s="349" t="s">
        <v>152</v>
      </c>
      <c r="D5134" s="483">
        <v>10.57</v>
      </c>
      <c r="E5134" s="483">
        <v>10.57</v>
      </c>
    </row>
    <row r="5135" spans="1:5">
      <c r="A5135" s="494">
        <v>89179</v>
      </c>
      <c r="B5135" s="485" t="s">
        <v>19078</v>
      </c>
      <c r="C5135" s="484" t="s">
        <v>152</v>
      </c>
      <c r="D5135" s="486">
        <v>10.57</v>
      </c>
      <c r="E5135" s="486">
        <v>10.57</v>
      </c>
    </row>
    <row r="5136" spans="1:5">
      <c r="A5136" s="495">
        <v>89180</v>
      </c>
      <c r="B5136" s="348" t="s">
        <v>19079</v>
      </c>
      <c r="C5136" s="349" t="s">
        <v>152</v>
      </c>
      <c r="D5136" s="483">
        <v>11.89</v>
      </c>
      <c r="E5136" s="483">
        <v>11.89</v>
      </c>
    </row>
    <row r="5137" spans="1:5">
      <c r="A5137" s="494">
        <v>89181</v>
      </c>
      <c r="B5137" s="485" t="s">
        <v>19080</v>
      </c>
      <c r="C5137" s="484" t="s">
        <v>152</v>
      </c>
      <c r="D5137" s="486">
        <v>14.54</v>
      </c>
      <c r="E5137" s="486">
        <v>14.54</v>
      </c>
    </row>
    <row r="5138" spans="1:5">
      <c r="A5138" s="495">
        <v>89182</v>
      </c>
      <c r="B5138" s="348" t="s">
        <v>19081</v>
      </c>
      <c r="C5138" s="349" t="s">
        <v>152</v>
      </c>
      <c r="D5138" s="483">
        <v>14.54</v>
      </c>
      <c r="E5138" s="483">
        <v>14.54</v>
      </c>
    </row>
    <row r="5139" spans="1:5">
      <c r="A5139" s="494">
        <v>89183</v>
      </c>
      <c r="B5139" s="485" t="s">
        <v>19082</v>
      </c>
      <c r="C5139" s="484" t="s">
        <v>152</v>
      </c>
      <c r="D5139" s="486">
        <v>15.86</v>
      </c>
      <c r="E5139" s="486">
        <v>15.86</v>
      </c>
    </row>
    <row r="5140" spans="1:5">
      <c r="A5140" s="495">
        <v>89184</v>
      </c>
      <c r="B5140" s="348" t="s">
        <v>19083</v>
      </c>
      <c r="C5140" s="349" t="s">
        <v>152</v>
      </c>
      <c r="D5140" s="483">
        <v>18.5</v>
      </c>
      <c r="E5140" s="483">
        <v>18.5</v>
      </c>
    </row>
    <row r="5141" spans="1:5">
      <c r="A5141" s="494">
        <v>89185</v>
      </c>
      <c r="B5141" s="485" t="s">
        <v>19084</v>
      </c>
      <c r="C5141" s="484" t="s">
        <v>152</v>
      </c>
      <c r="D5141" s="486">
        <v>18.5</v>
      </c>
      <c r="E5141" s="486">
        <v>18.5</v>
      </c>
    </row>
    <row r="5142" spans="1:5">
      <c r="A5142" s="495">
        <v>89186</v>
      </c>
      <c r="B5142" s="348" t="s">
        <v>19085</v>
      </c>
      <c r="C5142" s="349" t="s">
        <v>152</v>
      </c>
      <c r="D5142" s="483">
        <v>19.829999999999998</v>
      </c>
      <c r="E5142" s="483">
        <v>19.829999999999998</v>
      </c>
    </row>
    <row r="5143" spans="1:5">
      <c r="A5143" s="494">
        <v>89187</v>
      </c>
      <c r="B5143" s="485" t="s">
        <v>19086</v>
      </c>
      <c r="C5143" s="484" t="s">
        <v>152</v>
      </c>
      <c r="D5143" s="486">
        <v>22.47</v>
      </c>
      <c r="E5143" s="486">
        <v>22.47</v>
      </c>
    </row>
    <row r="5144" spans="1:5">
      <c r="A5144" s="495">
        <v>89188</v>
      </c>
      <c r="B5144" s="348" t="s">
        <v>19087</v>
      </c>
      <c r="C5144" s="349" t="s">
        <v>96</v>
      </c>
      <c r="D5144" s="483">
        <v>0.33</v>
      </c>
      <c r="E5144" s="483">
        <v>0.33</v>
      </c>
    </row>
    <row r="5145" spans="1:5">
      <c r="A5145" s="494">
        <v>89189</v>
      </c>
      <c r="B5145" s="485" t="s">
        <v>19088</v>
      </c>
      <c r="C5145" s="484" t="s">
        <v>96</v>
      </c>
      <c r="D5145" s="486">
        <v>0.42</v>
      </c>
      <c r="E5145" s="486">
        <v>0.42</v>
      </c>
    </row>
    <row r="5146" spans="1:5">
      <c r="A5146" s="495">
        <v>89190</v>
      </c>
      <c r="B5146" s="348" t="s">
        <v>19089</v>
      </c>
      <c r="C5146" s="349" t="s">
        <v>96</v>
      </c>
      <c r="D5146" s="483">
        <v>0.56999999999999995</v>
      </c>
      <c r="E5146" s="483">
        <v>0.56999999999999995</v>
      </c>
    </row>
    <row r="5147" spans="1:5">
      <c r="A5147" s="494">
        <v>89191</v>
      </c>
      <c r="B5147" s="485" t="s">
        <v>19090</v>
      </c>
      <c r="C5147" s="484" t="s">
        <v>96</v>
      </c>
      <c r="D5147" s="486">
        <v>0.69</v>
      </c>
      <c r="E5147" s="486">
        <v>0.69</v>
      </c>
    </row>
    <row r="5148" spans="1:5">
      <c r="A5148" s="495">
        <v>89192</v>
      </c>
      <c r="B5148" s="348" t="s">
        <v>10027</v>
      </c>
      <c r="C5148" s="349" t="s">
        <v>152</v>
      </c>
      <c r="D5148" s="483">
        <v>19.829999999999998</v>
      </c>
      <c r="E5148" s="483">
        <v>19.829999999999998</v>
      </c>
    </row>
    <row r="5149" spans="1:5">
      <c r="A5149" s="494">
        <v>89193</v>
      </c>
      <c r="B5149" s="485" t="s">
        <v>10022</v>
      </c>
      <c r="C5149" s="484" t="s">
        <v>152</v>
      </c>
      <c r="D5149" s="486">
        <v>33.049999999999997</v>
      </c>
      <c r="E5149" s="486">
        <v>33.049999999999997</v>
      </c>
    </row>
    <row r="5150" spans="1:5">
      <c r="A5150" s="495">
        <v>89194</v>
      </c>
      <c r="B5150" s="348" t="s">
        <v>10017</v>
      </c>
      <c r="C5150" s="349" t="s">
        <v>152</v>
      </c>
      <c r="D5150" s="483">
        <v>48.91</v>
      </c>
      <c r="E5150" s="483">
        <v>48.91</v>
      </c>
    </row>
    <row r="5151" spans="1:5">
      <c r="A5151" s="494">
        <v>89195</v>
      </c>
      <c r="B5151" s="485" t="s">
        <v>10060</v>
      </c>
      <c r="C5151" s="484" t="s">
        <v>152</v>
      </c>
      <c r="D5151" s="486">
        <v>7.93</v>
      </c>
      <c r="E5151" s="486">
        <v>7.93</v>
      </c>
    </row>
    <row r="5152" spans="1:5">
      <c r="A5152" s="495">
        <v>89196</v>
      </c>
      <c r="B5152" s="348" t="s">
        <v>10059</v>
      </c>
      <c r="C5152" s="349" t="s">
        <v>152</v>
      </c>
      <c r="D5152" s="483">
        <v>13.22</v>
      </c>
      <c r="E5152" s="483">
        <v>13.22</v>
      </c>
    </row>
    <row r="5153" spans="1:5">
      <c r="A5153" s="494">
        <v>89197</v>
      </c>
      <c r="B5153" s="485" t="s">
        <v>10058</v>
      </c>
      <c r="C5153" s="484" t="s">
        <v>152</v>
      </c>
      <c r="D5153" s="486">
        <v>19.829999999999998</v>
      </c>
      <c r="E5153" s="486">
        <v>19.829999999999998</v>
      </c>
    </row>
    <row r="5154" spans="1:5" ht="30">
      <c r="A5154" s="495">
        <v>91104</v>
      </c>
      <c r="B5154" s="348" t="s">
        <v>19091</v>
      </c>
      <c r="C5154" s="349" t="s">
        <v>71</v>
      </c>
      <c r="D5154" s="483">
        <v>0.05</v>
      </c>
      <c r="E5154" s="483">
        <v>0.05</v>
      </c>
    </row>
    <row r="5155" spans="1:5" ht="30">
      <c r="A5155" s="494">
        <v>91105</v>
      </c>
      <c r="B5155" s="485" t="s">
        <v>10046</v>
      </c>
      <c r="C5155" s="484" t="s">
        <v>71</v>
      </c>
      <c r="D5155" s="486">
        <v>0.12</v>
      </c>
      <c r="E5155" s="486">
        <v>0.12</v>
      </c>
    </row>
    <row r="5156" spans="1:5" ht="45">
      <c r="A5156" s="495">
        <v>91106</v>
      </c>
      <c r="B5156" s="348" t="s">
        <v>10045</v>
      </c>
      <c r="C5156" s="349" t="s">
        <v>71</v>
      </c>
      <c r="D5156" s="483">
        <v>0.05</v>
      </c>
      <c r="E5156" s="483">
        <v>0.05</v>
      </c>
    </row>
    <row r="5157" spans="1:5" ht="45">
      <c r="A5157" s="494">
        <v>91107</v>
      </c>
      <c r="B5157" s="485" t="s">
        <v>19092</v>
      </c>
      <c r="C5157" s="484" t="s">
        <v>71</v>
      </c>
      <c r="D5157" s="486">
        <v>0.06</v>
      </c>
      <c r="E5157" s="486">
        <v>0.06</v>
      </c>
    </row>
    <row r="5158" spans="1:5" ht="45">
      <c r="A5158" s="495">
        <v>91108</v>
      </c>
      <c r="B5158" s="348" t="s">
        <v>19093</v>
      </c>
      <c r="C5158" s="349" t="s">
        <v>71</v>
      </c>
      <c r="D5158" s="483">
        <v>0.12</v>
      </c>
      <c r="E5158" s="483">
        <v>0.12</v>
      </c>
    </row>
    <row r="5159" spans="1:5" s="25" customFormat="1" ht="45">
      <c r="A5159" s="604" t="s">
        <v>20586</v>
      </c>
      <c r="B5159" s="605" t="s">
        <v>19093</v>
      </c>
      <c r="C5159" s="606" t="s">
        <v>71</v>
      </c>
      <c r="D5159" s="607">
        <v>0.12</v>
      </c>
      <c r="E5159" s="483"/>
    </row>
    <row r="5160" spans="1:5" ht="30">
      <c r="A5160" s="494">
        <v>91109</v>
      </c>
      <c r="B5160" s="485" t="s">
        <v>10039</v>
      </c>
      <c r="C5160" s="484" t="s">
        <v>71</v>
      </c>
      <c r="D5160" s="486">
        <v>0.1</v>
      </c>
      <c r="E5160" s="486">
        <v>0.1</v>
      </c>
    </row>
    <row r="5161" spans="1:5" ht="30">
      <c r="A5161" s="495">
        <v>91110</v>
      </c>
      <c r="B5161" s="348" t="s">
        <v>19094</v>
      </c>
      <c r="C5161" s="349" t="s">
        <v>71</v>
      </c>
      <c r="D5161" s="483">
        <v>0.12</v>
      </c>
      <c r="E5161" s="483">
        <v>0.12</v>
      </c>
    </row>
    <row r="5162" spans="1:5" ht="30">
      <c r="A5162" s="494">
        <v>91111</v>
      </c>
      <c r="B5162" s="485" t="s">
        <v>19095</v>
      </c>
      <c r="C5162" s="484" t="s">
        <v>71</v>
      </c>
      <c r="D5162" s="486">
        <v>0.17</v>
      </c>
      <c r="E5162" s="486">
        <v>0.17</v>
      </c>
    </row>
    <row r="5163" spans="1:5" ht="30">
      <c r="A5163" s="495">
        <v>91112</v>
      </c>
      <c r="B5163" s="348" t="s">
        <v>19096</v>
      </c>
      <c r="C5163" s="349" t="s">
        <v>71</v>
      </c>
      <c r="D5163" s="483">
        <v>0.09</v>
      </c>
      <c r="E5163" s="483">
        <v>0.09</v>
      </c>
    </row>
    <row r="5164" spans="1:5" ht="30">
      <c r="A5164" s="494">
        <v>91113</v>
      </c>
      <c r="B5164" s="485" t="s">
        <v>19097</v>
      </c>
      <c r="C5164" s="484" t="s">
        <v>71</v>
      </c>
      <c r="D5164" s="486">
        <v>0.19</v>
      </c>
      <c r="E5164" s="486">
        <v>0.19</v>
      </c>
    </row>
    <row r="5165" spans="1:5" ht="30">
      <c r="A5165" s="495">
        <v>91114</v>
      </c>
      <c r="B5165" s="348" t="s">
        <v>19098</v>
      </c>
      <c r="C5165" s="349" t="s">
        <v>71</v>
      </c>
      <c r="D5165" s="483">
        <v>0.36</v>
      </c>
      <c r="E5165" s="483">
        <v>0.36</v>
      </c>
    </row>
    <row r="5166" spans="1:5" ht="30">
      <c r="A5166" s="494">
        <v>91115</v>
      </c>
      <c r="B5166" s="485" t="s">
        <v>19099</v>
      </c>
      <c r="C5166" s="484" t="s">
        <v>71</v>
      </c>
      <c r="D5166" s="486">
        <v>0.06</v>
      </c>
      <c r="E5166" s="486">
        <v>0.06</v>
      </c>
    </row>
    <row r="5167" spans="1:5" ht="30">
      <c r="A5167" s="495">
        <v>91116</v>
      </c>
      <c r="B5167" s="348" t="s">
        <v>19100</v>
      </c>
      <c r="C5167" s="349" t="s">
        <v>71</v>
      </c>
      <c r="D5167" s="483">
        <v>0.1</v>
      </c>
      <c r="E5167" s="483">
        <v>0.1</v>
      </c>
    </row>
    <row r="5168" spans="1:5" ht="30">
      <c r="A5168" s="494">
        <v>91117</v>
      </c>
      <c r="B5168" s="485" t="s">
        <v>19101</v>
      </c>
      <c r="C5168" s="484" t="s">
        <v>71</v>
      </c>
      <c r="D5168" s="486">
        <v>0.15</v>
      </c>
      <c r="E5168" s="486">
        <v>0.15</v>
      </c>
    </row>
    <row r="5169" spans="1:5" ht="30">
      <c r="A5169" s="495">
        <v>91118</v>
      </c>
      <c r="B5169" s="348" t="s">
        <v>19102</v>
      </c>
      <c r="C5169" s="349" t="s">
        <v>71</v>
      </c>
      <c r="D5169" s="483">
        <v>0.12</v>
      </c>
      <c r="E5169" s="483">
        <v>0.12</v>
      </c>
    </row>
    <row r="5170" spans="1:5" ht="45">
      <c r="A5170" s="494">
        <v>91119</v>
      </c>
      <c r="B5170" s="485" t="s">
        <v>19103</v>
      </c>
      <c r="C5170" s="484" t="s">
        <v>71</v>
      </c>
      <c r="D5170" s="486">
        <v>0.24</v>
      </c>
      <c r="E5170" s="486">
        <v>0.24</v>
      </c>
    </row>
    <row r="5171" spans="1:5" ht="45">
      <c r="A5171" s="495">
        <v>91120</v>
      </c>
      <c r="B5171" s="348" t="s">
        <v>19104</v>
      </c>
      <c r="C5171" s="349" t="s">
        <v>71</v>
      </c>
      <c r="D5171" s="483">
        <v>0.36</v>
      </c>
      <c r="E5171" s="483">
        <v>0.36</v>
      </c>
    </row>
    <row r="5172" spans="1:5" ht="45">
      <c r="A5172" s="494">
        <v>91121</v>
      </c>
      <c r="B5172" s="485" t="s">
        <v>19105</v>
      </c>
      <c r="C5172" s="484" t="s">
        <v>71</v>
      </c>
      <c r="D5172" s="486">
        <v>0.6</v>
      </c>
      <c r="E5172" s="486">
        <v>0.6</v>
      </c>
    </row>
    <row r="5173" spans="1:5" ht="45">
      <c r="A5173" s="495">
        <v>91122</v>
      </c>
      <c r="B5173" s="348" t="s">
        <v>19106</v>
      </c>
      <c r="C5173" s="349" t="s">
        <v>71</v>
      </c>
      <c r="D5173" s="483">
        <v>0.85</v>
      </c>
      <c r="E5173" s="483">
        <v>0.85</v>
      </c>
    </row>
    <row r="5174" spans="1:5" ht="45">
      <c r="A5174" s="494">
        <v>91123</v>
      </c>
      <c r="B5174" s="485" t="s">
        <v>19107</v>
      </c>
      <c r="C5174" s="484" t="s">
        <v>71</v>
      </c>
      <c r="D5174" s="486">
        <v>1.0900000000000001</v>
      </c>
      <c r="E5174" s="486">
        <v>1.0900000000000001</v>
      </c>
    </row>
    <row r="5175" spans="1:5">
      <c r="A5175" s="495">
        <v>91124</v>
      </c>
      <c r="B5175" s="348" t="s">
        <v>957</v>
      </c>
      <c r="C5175" s="349" t="s">
        <v>255</v>
      </c>
      <c r="D5175" s="483">
        <v>56.18</v>
      </c>
      <c r="E5175" s="483">
        <v>56.18</v>
      </c>
    </row>
    <row r="5176" spans="1:5">
      <c r="A5176" s="494">
        <v>91125</v>
      </c>
      <c r="B5176" s="485" t="s">
        <v>958</v>
      </c>
      <c r="C5176" s="484" t="s">
        <v>90</v>
      </c>
      <c r="D5176" s="486">
        <v>0.06</v>
      </c>
      <c r="E5176" s="486">
        <v>0.06</v>
      </c>
    </row>
    <row r="5177" spans="1:5">
      <c r="A5177" s="495">
        <v>91128</v>
      </c>
      <c r="B5177" s="348" t="s">
        <v>19108</v>
      </c>
      <c r="C5177" s="349" t="s">
        <v>96</v>
      </c>
      <c r="D5177" s="483">
        <v>0.14000000000000001</v>
      </c>
      <c r="E5177" s="483">
        <v>0.14000000000000001</v>
      </c>
    </row>
    <row r="5178" spans="1:5">
      <c r="A5178" s="494">
        <v>91129</v>
      </c>
      <c r="B5178" s="485" t="s">
        <v>19109</v>
      </c>
      <c r="C5178" s="484" t="s">
        <v>96</v>
      </c>
      <c r="D5178" s="486">
        <v>0.24</v>
      </c>
      <c r="E5178" s="486">
        <v>0.24</v>
      </c>
    </row>
    <row r="5179" spans="1:5">
      <c r="A5179" s="495">
        <v>91130</v>
      </c>
      <c r="B5179" s="348" t="s">
        <v>19110</v>
      </c>
      <c r="C5179" s="349" t="s">
        <v>96</v>
      </c>
      <c r="D5179" s="483">
        <v>0.33</v>
      </c>
      <c r="E5179" s="483">
        <v>0.33</v>
      </c>
    </row>
    <row r="5180" spans="1:5">
      <c r="A5180" s="494">
        <v>91132</v>
      </c>
      <c r="B5180" s="485" t="s">
        <v>19111</v>
      </c>
      <c r="C5180" s="484" t="s">
        <v>96</v>
      </c>
      <c r="D5180" s="486">
        <v>0.45</v>
      </c>
      <c r="E5180" s="486">
        <v>0.45</v>
      </c>
    </row>
    <row r="5181" spans="1:5">
      <c r="A5181" s="495">
        <v>91134</v>
      </c>
      <c r="B5181" s="348" t="s">
        <v>959</v>
      </c>
      <c r="C5181" s="349" t="s">
        <v>152</v>
      </c>
      <c r="D5181" s="483">
        <v>2.76</v>
      </c>
      <c r="E5181" s="483">
        <v>2.76</v>
      </c>
    </row>
    <row r="5182" spans="1:5">
      <c r="A5182" s="494">
        <v>91135</v>
      </c>
      <c r="B5182" s="485" t="s">
        <v>960</v>
      </c>
      <c r="C5182" s="484" t="s">
        <v>152</v>
      </c>
      <c r="D5182" s="486">
        <v>4.88</v>
      </c>
      <c r="E5182" s="486">
        <v>4.88</v>
      </c>
    </row>
    <row r="5183" spans="1:5">
      <c r="A5183" s="495">
        <v>91136</v>
      </c>
      <c r="B5183" s="348" t="s">
        <v>961</v>
      </c>
      <c r="C5183" s="349" t="s">
        <v>152</v>
      </c>
      <c r="D5183" s="483">
        <v>7</v>
      </c>
      <c r="E5183" s="483">
        <v>7</v>
      </c>
    </row>
    <row r="5184" spans="1:5">
      <c r="A5184" s="494">
        <v>91137</v>
      </c>
      <c r="B5184" s="485" t="s">
        <v>962</v>
      </c>
      <c r="C5184" s="484" t="s">
        <v>152</v>
      </c>
      <c r="D5184" s="486">
        <v>9.11</v>
      </c>
      <c r="E5184" s="486">
        <v>9.11</v>
      </c>
    </row>
    <row r="5185" spans="1:5" ht="30">
      <c r="A5185" s="495">
        <v>91138</v>
      </c>
      <c r="B5185" s="348" t="s">
        <v>19112</v>
      </c>
      <c r="C5185" s="349" t="s">
        <v>135</v>
      </c>
      <c r="D5185" s="483">
        <v>91.3</v>
      </c>
      <c r="E5185" s="483">
        <v>91.3</v>
      </c>
    </row>
    <row r="5186" spans="1:5" ht="30">
      <c r="A5186" s="494">
        <v>91139</v>
      </c>
      <c r="B5186" s="485" t="s">
        <v>19113</v>
      </c>
      <c r="C5186" s="484" t="s">
        <v>135</v>
      </c>
      <c r="D5186" s="486">
        <v>48.94</v>
      </c>
      <c r="E5186" s="486">
        <v>48.94</v>
      </c>
    </row>
    <row r="5187" spans="1:5" ht="30">
      <c r="A5187" s="495">
        <v>91140</v>
      </c>
      <c r="B5187" s="348" t="s">
        <v>9970</v>
      </c>
      <c r="C5187" s="349" t="s">
        <v>135</v>
      </c>
      <c r="D5187" s="483">
        <v>21.17</v>
      </c>
      <c r="E5187" s="483">
        <v>21.17</v>
      </c>
    </row>
    <row r="5188" spans="1:5" ht="30">
      <c r="A5188" s="494">
        <v>91141</v>
      </c>
      <c r="B5188" s="485" t="s">
        <v>19114</v>
      </c>
      <c r="C5188" s="484" t="s">
        <v>135</v>
      </c>
      <c r="D5188" s="486">
        <v>140.26</v>
      </c>
      <c r="E5188" s="486">
        <v>140.26</v>
      </c>
    </row>
    <row r="5189" spans="1:5" ht="30">
      <c r="A5189" s="495">
        <v>91142</v>
      </c>
      <c r="B5189" s="348" t="s">
        <v>19115</v>
      </c>
      <c r="C5189" s="349" t="s">
        <v>135</v>
      </c>
      <c r="D5189" s="483">
        <v>91.3</v>
      </c>
      <c r="E5189" s="483">
        <v>91.3</v>
      </c>
    </row>
    <row r="5190" spans="1:5" ht="30">
      <c r="A5190" s="494">
        <v>91143</v>
      </c>
      <c r="B5190" s="485" t="s">
        <v>9971</v>
      </c>
      <c r="C5190" s="484" t="s">
        <v>135</v>
      </c>
      <c r="D5190" s="486">
        <v>21.17</v>
      </c>
      <c r="E5190" s="486">
        <v>21.17</v>
      </c>
    </row>
    <row r="5191" spans="1:5" ht="30">
      <c r="A5191" s="495">
        <v>91144</v>
      </c>
      <c r="B5191" s="348" t="s">
        <v>19116</v>
      </c>
      <c r="C5191" s="349" t="s">
        <v>135</v>
      </c>
      <c r="D5191" s="483">
        <v>189.21</v>
      </c>
      <c r="E5191" s="483">
        <v>189.21</v>
      </c>
    </row>
    <row r="5192" spans="1:5" ht="30">
      <c r="A5192" s="494">
        <v>91145</v>
      </c>
      <c r="B5192" s="485" t="s">
        <v>19117</v>
      </c>
      <c r="C5192" s="484" t="s">
        <v>135</v>
      </c>
      <c r="D5192" s="486">
        <v>140.26</v>
      </c>
      <c r="E5192" s="486">
        <v>140.26</v>
      </c>
    </row>
    <row r="5193" spans="1:5" ht="30">
      <c r="A5193" s="495">
        <v>91146</v>
      </c>
      <c r="B5193" s="348" t="s">
        <v>9972</v>
      </c>
      <c r="C5193" s="349" t="s">
        <v>135</v>
      </c>
      <c r="D5193" s="483">
        <v>27.76</v>
      </c>
      <c r="E5193" s="483">
        <v>27.76</v>
      </c>
    </row>
    <row r="5194" spans="1:5" ht="30">
      <c r="A5194" s="494">
        <v>91147</v>
      </c>
      <c r="B5194" s="485" t="s">
        <v>19118</v>
      </c>
      <c r="C5194" s="484" t="s">
        <v>135</v>
      </c>
      <c r="D5194" s="486">
        <v>259.33999999999997</v>
      </c>
      <c r="E5194" s="486">
        <v>259.33999999999997</v>
      </c>
    </row>
    <row r="5195" spans="1:5" ht="30">
      <c r="A5195" s="495">
        <v>91148</v>
      </c>
      <c r="B5195" s="348" t="s">
        <v>19119</v>
      </c>
      <c r="C5195" s="349" t="s">
        <v>135</v>
      </c>
      <c r="D5195" s="483">
        <v>168.03</v>
      </c>
      <c r="E5195" s="483">
        <v>168.03</v>
      </c>
    </row>
    <row r="5196" spans="1:5" ht="30">
      <c r="A5196" s="494">
        <v>91149</v>
      </c>
      <c r="B5196" s="485" t="s">
        <v>9969</v>
      </c>
      <c r="C5196" s="484" t="s">
        <v>135</v>
      </c>
      <c r="D5196" s="486">
        <v>42.35</v>
      </c>
      <c r="E5196" s="486">
        <v>42.35</v>
      </c>
    </row>
    <row r="5197" spans="1:5">
      <c r="A5197" s="495">
        <v>92121</v>
      </c>
      <c r="B5197" s="348" t="s">
        <v>963</v>
      </c>
      <c r="C5197" s="349" t="s">
        <v>255</v>
      </c>
      <c r="D5197" s="483">
        <v>19.39</v>
      </c>
      <c r="E5197" s="483">
        <v>19.39</v>
      </c>
    </row>
    <row r="5198" spans="1:5">
      <c r="A5198" s="494">
        <v>92122</v>
      </c>
      <c r="B5198" s="485" t="s">
        <v>964</v>
      </c>
      <c r="C5198" s="484" t="s">
        <v>255</v>
      </c>
      <c r="D5198" s="486">
        <v>31.7</v>
      </c>
      <c r="E5198" s="486">
        <v>31.7</v>
      </c>
    </row>
    <row r="5199" spans="1:5">
      <c r="A5199" s="495">
        <v>92123</v>
      </c>
      <c r="B5199" s="348" t="s">
        <v>965</v>
      </c>
      <c r="C5199" s="349" t="s">
        <v>255</v>
      </c>
      <c r="D5199" s="483">
        <v>29.63</v>
      </c>
      <c r="E5199" s="483">
        <v>29.63</v>
      </c>
    </row>
    <row r="5200" spans="1:5">
      <c r="A5200" s="494">
        <v>94926</v>
      </c>
      <c r="B5200" s="485" t="s">
        <v>9953</v>
      </c>
      <c r="C5200" s="484" t="s">
        <v>256</v>
      </c>
      <c r="D5200" s="486">
        <v>0.95</v>
      </c>
      <c r="E5200" s="486">
        <v>0.95</v>
      </c>
    </row>
    <row r="5201" spans="1:5">
      <c r="A5201" s="495">
        <v>94927</v>
      </c>
      <c r="B5201" s="348" t="s">
        <v>10050</v>
      </c>
      <c r="C5201" s="349" t="s">
        <v>256</v>
      </c>
      <c r="D5201" s="483">
        <v>0.49</v>
      </c>
      <c r="E5201" s="483">
        <v>0.49</v>
      </c>
    </row>
    <row r="5202" spans="1:5" ht="30">
      <c r="A5202" s="494">
        <v>94928</v>
      </c>
      <c r="B5202" s="485" t="s">
        <v>19120</v>
      </c>
      <c r="C5202" s="484" t="s">
        <v>65</v>
      </c>
      <c r="D5202" s="486">
        <v>1.51</v>
      </c>
      <c r="E5202" s="486">
        <v>1.51</v>
      </c>
    </row>
    <row r="5203" spans="1:5" ht="30">
      <c r="A5203" s="495">
        <v>94929</v>
      </c>
      <c r="B5203" s="348" t="s">
        <v>9955</v>
      </c>
      <c r="C5203" s="349" t="s">
        <v>65</v>
      </c>
      <c r="D5203" s="483">
        <v>2.66</v>
      </c>
      <c r="E5203" s="483">
        <v>2.66</v>
      </c>
    </row>
    <row r="5204" spans="1:5" ht="30">
      <c r="A5204" s="494">
        <v>94930</v>
      </c>
      <c r="B5204" s="485" t="s">
        <v>19121</v>
      </c>
      <c r="C5204" s="484" t="s">
        <v>65</v>
      </c>
      <c r="D5204" s="486">
        <v>0.78</v>
      </c>
      <c r="E5204" s="486">
        <v>0.78</v>
      </c>
    </row>
    <row r="5205" spans="1:5" ht="30">
      <c r="A5205" s="495">
        <v>94931</v>
      </c>
      <c r="B5205" s="348" t="s">
        <v>19122</v>
      </c>
      <c r="C5205" s="349" t="s">
        <v>65</v>
      </c>
      <c r="D5205" s="483">
        <v>1.38</v>
      </c>
      <c r="E5205" s="483">
        <v>1.38</v>
      </c>
    </row>
    <row r="5206" spans="1:5" ht="30">
      <c r="A5206" s="494">
        <v>94932</v>
      </c>
      <c r="B5206" s="485" t="s">
        <v>19123</v>
      </c>
      <c r="C5206" s="484" t="s">
        <v>65</v>
      </c>
      <c r="D5206" s="486">
        <v>2.81</v>
      </c>
      <c r="E5206" s="486">
        <v>2.81</v>
      </c>
    </row>
    <row r="5207" spans="1:5" ht="30">
      <c r="A5207" s="495">
        <v>94934</v>
      </c>
      <c r="B5207" s="348" t="s">
        <v>19124</v>
      </c>
      <c r="C5207" s="349" t="s">
        <v>65</v>
      </c>
      <c r="D5207" s="483">
        <v>0.97</v>
      </c>
      <c r="E5207" s="483">
        <v>0.97</v>
      </c>
    </row>
    <row r="5208" spans="1:5" ht="45">
      <c r="A5208" s="494">
        <v>94935</v>
      </c>
      <c r="B5208" s="485" t="s">
        <v>19125</v>
      </c>
      <c r="C5208" s="484" t="s">
        <v>65</v>
      </c>
      <c r="D5208" s="486">
        <v>1.52</v>
      </c>
      <c r="E5208" s="486">
        <v>1.52</v>
      </c>
    </row>
    <row r="5209" spans="1:5" ht="45">
      <c r="A5209" s="495">
        <v>94936</v>
      </c>
      <c r="B5209" s="348" t="s">
        <v>19126</v>
      </c>
      <c r="C5209" s="349" t="s">
        <v>65</v>
      </c>
      <c r="D5209" s="483">
        <v>2.4500000000000002</v>
      </c>
      <c r="E5209" s="483">
        <v>2.4500000000000002</v>
      </c>
    </row>
    <row r="5210" spans="1:5" ht="45">
      <c r="A5210" s="494">
        <v>94937</v>
      </c>
      <c r="B5210" s="485" t="s">
        <v>19127</v>
      </c>
      <c r="C5210" s="484" t="s">
        <v>65</v>
      </c>
      <c r="D5210" s="486">
        <v>3.6</v>
      </c>
      <c r="E5210" s="486">
        <v>3.6</v>
      </c>
    </row>
    <row r="5211" spans="1:5" ht="45">
      <c r="A5211" s="495">
        <v>94938</v>
      </c>
      <c r="B5211" s="348" t="s">
        <v>19128</v>
      </c>
      <c r="C5211" s="349" t="s">
        <v>65</v>
      </c>
      <c r="D5211" s="483">
        <v>4.76</v>
      </c>
      <c r="E5211" s="483">
        <v>4.76</v>
      </c>
    </row>
    <row r="5212" spans="1:5">
      <c r="A5212" s="494">
        <v>94939</v>
      </c>
      <c r="B5212" s="485" t="s">
        <v>9960</v>
      </c>
      <c r="C5212" s="484" t="s">
        <v>256</v>
      </c>
      <c r="D5212" s="486">
        <v>1.48</v>
      </c>
      <c r="E5212" s="486">
        <v>1.48</v>
      </c>
    </row>
    <row r="5213" spans="1:5">
      <c r="A5213" s="495">
        <v>94940</v>
      </c>
      <c r="B5213" s="348" t="s">
        <v>10053</v>
      </c>
      <c r="C5213" s="349" t="s">
        <v>256</v>
      </c>
      <c r="D5213" s="483">
        <v>0.77</v>
      </c>
      <c r="E5213" s="483">
        <v>0.77</v>
      </c>
    </row>
    <row r="5214" spans="1:5">
      <c r="A5214" s="494">
        <v>94941</v>
      </c>
      <c r="B5214" s="485" t="s">
        <v>9956</v>
      </c>
      <c r="C5214" s="484" t="s">
        <v>90</v>
      </c>
      <c r="D5214" s="486">
        <v>0.05</v>
      </c>
      <c r="E5214" s="486">
        <v>0.05</v>
      </c>
    </row>
    <row r="5215" spans="1:5">
      <c r="A5215" s="495">
        <v>94942</v>
      </c>
      <c r="B5215" s="348" t="s">
        <v>19129</v>
      </c>
      <c r="C5215" s="349" t="s">
        <v>256</v>
      </c>
      <c r="D5215" s="483">
        <v>0.6</v>
      </c>
      <c r="E5215" s="483">
        <v>0.6</v>
      </c>
    </row>
    <row r="5216" spans="1:5" ht="30">
      <c r="A5216" s="494">
        <v>94943</v>
      </c>
      <c r="B5216" s="485" t="s">
        <v>9959</v>
      </c>
      <c r="C5216" s="484" t="s">
        <v>256</v>
      </c>
      <c r="D5216" s="486">
        <v>0.32</v>
      </c>
      <c r="E5216" s="486">
        <v>0.32</v>
      </c>
    </row>
    <row r="5217" spans="1:5" ht="30">
      <c r="A5217" s="495">
        <v>94944</v>
      </c>
      <c r="B5217" s="348" t="s">
        <v>19130</v>
      </c>
      <c r="C5217" s="349" t="s">
        <v>256</v>
      </c>
      <c r="D5217" s="483">
        <v>0.83</v>
      </c>
      <c r="E5217" s="483">
        <v>0.83</v>
      </c>
    </row>
    <row r="5218" spans="1:5" ht="45">
      <c r="A5218" s="494">
        <v>94945</v>
      </c>
      <c r="B5218" s="485" t="s">
        <v>19131</v>
      </c>
      <c r="C5218" s="484" t="s">
        <v>256</v>
      </c>
      <c r="D5218" s="486">
        <v>0.25</v>
      </c>
      <c r="E5218" s="486">
        <v>0.25</v>
      </c>
    </row>
    <row r="5219" spans="1:5" ht="30">
      <c r="A5219" s="495">
        <v>94946</v>
      </c>
      <c r="B5219" s="348" t="s">
        <v>19132</v>
      </c>
      <c r="C5219" s="349" t="s">
        <v>65</v>
      </c>
      <c r="D5219" s="483">
        <v>0.84</v>
      </c>
      <c r="E5219" s="483">
        <v>0.84</v>
      </c>
    </row>
    <row r="5220" spans="1:5" ht="30">
      <c r="A5220" s="494">
        <v>94947</v>
      </c>
      <c r="B5220" s="485" t="s">
        <v>19133</v>
      </c>
      <c r="C5220" s="484" t="s">
        <v>65</v>
      </c>
      <c r="D5220" s="486">
        <v>0.63</v>
      </c>
      <c r="E5220" s="486">
        <v>0.63</v>
      </c>
    </row>
    <row r="5221" spans="1:5" ht="30">
      <c r="A5221" s="495">
        <v>94948</v>
      </c>
      <c r="B5221" s="348" t="s">
        <v>19134</v>
      </c>
      <c r="C5221" s="349" t="s">
        <v>65</v>
      </c>
      <c r="D5221" s="483">
        <v>0.45</v>
      </c>
      <c r="E5221" s="483">
        <v>0.45</v>
      </c>
    </row>
    <row r="5222" spans="1:5" ht="30">
      <c r="A5222" s="494">
        <v>94949</v>
      </c>
      <c r="B5222" s="485" t="s">
        <v>19135</v>
      </c>
      <c r="C5222" s="484" t="s">
        <v>65</v>
      </c>
      <c r="D5222" s="486">
        <v>0.68</v>
      </c>
      <c r="E5222" s="486">
        <v>0.68</v>
      </c>
    </row>
    <row r="5223" spans="1:5" ht="30">
      <c r="A5223" s="495">
        <v>94950</v>
      </c>
      <c r="B5223" s="348" t="s">
        <v>19136</v>
      </c>
      <c r="C5223" s="349" t="s">
        <v>65</v>
      </c>
      <c r="D5223" s="483">
        <v>0.97</v>
      </c>
      <c r="E5223" s="483">
        <v>0.97</v>
      </c>
    </row>
    <row r="5224" spans="1:5" ht="30">
      <c r="A5224" s="494">
        <v>94951</v>
      </c>
      <c r="B5224" s="485" t="s">
        <v>19137</v>
      </c>
      <c r="C5224" s="484" t="s">
        <v>65</v>
      </c>
      <c r="D5224" s="486">
        <v>1.26</v>
      </c>
      <c r="E5224" s="486">
        <v>1.26</v>
      </c>
    </row>
    <row r="5225" spans="1:5" ht="30">
      <c r="A5225" s="495">
        <v>94952</v>
      </c>
      <c r="B5225" s="348" t="s">
        <v>19138</v>
      </c>
      <c r="C5225" s="349" t="s">
        <v>65</v>
      </c>
      <c r="D5225" s="483">
        <v>0.32</v>
      </c>
      <c r="E5225" s="483">
        <v>0.32</v>
      </c>
    </row>
    <row r="5226" spans="1:5" ht="30">
      <c r="A5226" s="494">
        <v>94953</v>
      </c>
      <c r="B5226" s="485" t="s">
        <v>19139</v>
      </c>
      <c r="C5226" s="484" t="s">
        <v>256</v>
      </c>
      <c r="D5226" s="486">
        <v>3.84</v>
      </c>
      <c r="E5226" s="486">
        <v>3.84</v>
      </c>
    </row>
    <row r="5227" spans="1:5" ht="30">
      <c r="A5227" s="495">
        <v>94954</v>
      </c>
      <c r="B5227" s="348" t="s">
        <v>19140</v>
      </c>
      <c r="C5227" s="349" t="s">
        <v>256</v>
      </c>
      <c r="D5227" s="483">
        <v>0.62</v>
      </c>
      <c r="E5227" s="483">
        <v>0.62</v>
      </c>
    </row>
    <row r="5228" spans="1:5" ht="30">
      <c r="A5228" s="494">
        <v>94955</v>
      </c>
      <c r="B5228" s="485" t="s">
        <v>19141</v>
      </c>
      <c r="C5228" s="484" t="s">
        <v>256</v>
      </c>
      <c r="D5228" s="486">
        <v>0.93</v>
      </c>
      <c r="E5228" s="486">
        <v>0.93</v>
      </c>
    </row>
    <row r="5229" spans="1:5" ht="30">
      <c r="A5229" s="495">
        <v>94956</v>
      </c>
      <c r="B5229" s="348" t="s">
        <v>19142</v>
      </c>
      <c r="C5229" s="349" t="s">
        <v>256</v>
      </c>
      <c r="D5229" s="483">
        <v>1.31</v>
      </c>
      <c r="E5229" s="483">
        <v>1.31</v>
      </c>
    </row>
    <row r="5230" spans="1:5" ht="30">
      <c r="A5230" s="494">
        <v>94957</v>
      </c>
      <c r="B5230" s="485" t="s">
        <v>19143</v>
      </c>
      <c r="C5230" s="484" t="s">
        <v>256</v>
      </c>
      <c r="D5230" s="486">
        <v>1.7</v>
      </c>
      <c r="E5230" s="486">
        <v>1.7</v>
      </c>
    </row>
    <row r="5231" spans="1:5" ht="30">
      <c r="A5231" s="495">
        <v>94958</v>
      </c>
      <c r="B5231" s="348" t="s">
        <v>19144</v>
      </c>
      <c r="C5231" s="349" t="s">
        <v>256</v>
      </c>
      <c r="D5231" s="483">
        <v>0.59</v>
      </c>
      <c r="E5231" s="483">
        <v>0.59</v>
      </c>
    </row>
    <row r="5232" spans="1:5">
      <c r="A5232" s="494">
        <v>94959</v>
      </c>
      <c r="B5232" s="485" t="s">
        <v>19145</v>
      </c>
      <c r="C5232" s="484" t="s">
        <v>71</v>
      </c>
      <c r="D5232" s="486">
        <v>1.05</v>
      </c>
      <c r="E5232" s="486">
        <v>1.05</v>
      </c>
    </row>
    <row r="5233" spans="1:5" ht="30">
      <c r="A5233" s="495">
        <v>94960</v>
      </c>
      <c r="B5233" s="348" t="s">
        <v>9934</v>
      </c>
      <c r="C5233" s="349" t="s">
        <v>71</v>
      </c>
      <c r="D5233" s="483">
        <v>0.86</v>
      </c>
      <c r="E5233" s="483">
        <v>0.86</v>
      </c>
    </row>
    <row r="5234" spans="1:5">
      <c r="A5234" s="494">
        <v>94961</v>
      </c>
      <c r="B5234" s="485" t="s">
        <v>9951</v>
      </c>
      <c r="C5234" s="484" t="s">
        <v>71</v>
      </c>
      <c r="D5234" s="486">
        <v>0.39</v>
      </c>
      <c r="E5234" s="486">
        <v>0.39</v>
      </c>
    </row>
    <row r="5235" spans="1:5">
      <c r="A5235" s="495">
        <v>9537</v>
      </c>
      <c r="B5235" s="348" t="s">
        <v>966</v>
      </c>
      <c r="C5235" s="349" t="s">
        <v>256</v>
      </c>
      <c r="D5235" s="483">
        <v>2.02</v>
      </c>
      <c r="E5235" s="483">
        <v>2.02</v>
      </c>
    </row>
    <row r="5236" spans="1:5">
      <c r="A5236" s="484" t="s">
        <v>19146</v>
      </c>
      <c r="B5236" s="485" t="s">
        <v>6741</v>
      </c>
      <c r="C5236" s="484" t="s">
        <v>256</v>
      </c>
      <c r="D5236" s="486">
        <v>1.36</v>
      </c>
      <c r="E5236" s="486">
        <v>1.36</v>
      </c>
    </row>
    <row r="5237" spans="1:5">
      <c r="A5237" s="349" t="s">
        <v>19147</v>
      </c>
      <c r="B5237" s="348" t="s">
        <v>6745</v>
      </c>
      <c r="C5237" s="349" t="s">
        <v>256</v>
      </c>
      <c r="D5237" s="483">
        <v>6.99</v>
      </c>
      <c r="E5237" s="483">
        <v>6.99</v>
      </c>
    </row>
    <row r="5238" spans="1:5">
      <c r="A5238" s="484" t="s">
        <v>19148</v>
      </c>
      <c r="B5238" s="485" t="s">
        <v>970</v>
      </c>
      <c r="C5238" s="484" t="s">
        <v>256</v>
      </c>
      <c r="D5238" s="486">
        <v>5</v>
      </c>
      <c r="E5238" s="486">
        <v>5</v>
      </c>
    </row>
    <row r="5239" spans="1:5">
      <c r="A5239" s="349" t="s">
        <v>19149</v>
      </c>
      <c r="B5239" s="348" t="s">
        <v>972</v>
      </c>
      <c r="C5239" s="349" t="s">
        <v>256</v>
      </c>
      <c r="D5239" s="483">
        <v>9.58</v>
      </c>
      <c r="E5239" s="483">
        <v>9.58</v>
      </c>
    </row>
    <row r="5240" spans="1:5">
      <c r="A5240" s="484" t="s">
        <v>19150</v>
      </c>
      <c r="B5240" s="485" t="s">
        <v>974</v>
      </c>
      <c r="C5240" s="484" t="s">
        <v>256</v>
      </c>
      <c r="D5240" s="486">
        <v>20.21</v>
      </c>
      <c r="E5240" s="486">
        <v>20.21</v>
      </c>
    </row>
    <row r="5241" spans="1:5">
      <c r="A5241" s="349" t="s">
        <v>19151</v>
      </c>
      <c r="B5241" s="348" t="s">
        <v>6743</v>
      </c>
      <c r="C5241" s="349" t="s">
        <v>256</v>
      </c>
      <c r="D5241" s="483">
        <v>17.190000000000001</v>
      </c>
      <c r="E5241" s="483">
        <v>17.190000000000001</v>
      </c>
    </row>
    <row r="5242" spans="1:5">
      <c r="A5242" s="484" t="s">
        <v>19152</v>
      </c>
      <c r="B5242" s="485" t="s">
        <v>6744</v>
      </c>
      <c r="C5242" s="484" t="s">
        <v>256</v>
      </c>
      <c r="D5242" s="486">
        <v>11.2</v>
      </c>
      <c r="E5242" s="486">
        <v>11.2</v>
      </c>
    </row>
    <row r="5243" spans="1:5">
      <c r="A5243" s="349" t="s">
        <v>19153</v>
      </c>
      <c r="B5243" s="348" t="s">
        <v>978</v>
      </c>
      <c r="C5243" s="349" t="s">
        <v>256</v>
      </c>
      <c r="D5243" s="483">
        <v>3.3</v>
      </c>
      <c r="E5243" s="483">
        <v>3.3</v>
      </c>
    </row>
    <row r="5244" spans="1:5">
      <c r="A5244" s="484" t="s">
        <v>19154</v>
      </c>
      <c r="B5244" s="485" t="s">
        <v>980</v>
      </c>
      <c r="C5244" s="484" t="s">
        <v>65</v>
      </c>
      <c r="D5244" s="486">
        <v>21.03</v>
      </c>
      <c r="E5244" s="486">
        <v>21.03</v>
      </c>
    </row>
    <row r="5245" spans="1:5">
      <c r="A5245" s="495">
        <v>84117</v>
      </c>
      <c r="B5245" s="348" t="s">
        <v>8540</v>
      </c>
      <c r="C5245" s="349" t="s">
        <v>256</v>
      </c>
      <c r="D5245" s="483">
        <v>15.59</v>
      </c>
      <c r="E5245" s="483">
        <v>15.59</v>
      </c>
    </row>
    <row r="5246" spans="1:5">
      <c r="A5246" s="494">
        <v>84120</v>
      </c>
      <c r="B5246" s="485" t="s">
        <v>5007</v>
      </c>
      <c r="C5246" s="484" t="s">
        <v>256</v>
      </c>
      <c r="D5246" s="486">
        <v>9.59</v>
      </c>
      <c r="E5246" s="486">
        <v>9.59</v>
      </c>
    </row>
    <row r="5247" spans="1:5">
      <c r="A5247" s="495">
        <v>84123</v>
      </c>
      <c r="B5247" s="348" t="s">
        <v>6755</v>
      </c>
      <c r="C5247" s="349" t="s">
        <v>256</v>
      </c>
      <c r="D5247" s="483">
        <v>5.0999999999999996</v>
      </c>
      <c r="E5247" s="483">
        <v>5.0999999999999996</v>
      </c>
    </row>
    <row r="5248" spans="1:5">
      <c r="A5248" s="494">
        <v>84125</v>
      </c>
      <c r="B5248" s="485" t="s">
        <v>6740</v>
      </c>
      <c r="C5248" s="484" t="s">
        <v>256</v>
      </c>
      <c r="D5248" s="486">
        <v>6.24</v>
      </c>
      <c r="E5248" s="486">
        <v>6.24</v>
      </c>
    </row>
    <row r="5249" spans="1:5">
      <c r="A5249" s="349" t="s">
        <v>19155</v>
      </c>
      <c r="B5249" s="348" t="s">
        <v>7933</v>
      </c>
      <c r="C5249" s="349" t="s">
        <v>71</v>
      </c>
      <c r="D5249" s="483">
        <v>49.55</v>
      </c>
      <c r="E5249" s="483">
        <v>49.55</v>
      </c>
    </row>
    <row r="5250" spans="1:5">
      <c r="A5250" s="484" t="s">
        <v>19156</v>
      </c>
      <c r="B5250" s="485" t="s">
        <v>7932</v>
      </c>
      <c r="C5250" s="484" t="s">
        <v>71</v>
      </c>
      <c r="D5250" s="486">
        <v>92.56</v>
      </c>
      <c r="E5250" s="486">
        <v>92.56</v>
      </c>
    </row>
    <row r="5251" spans="1:5">
      <c r="A5251" s="495">
        <v>84127</v>
      </c>
      <c r="B5251" s="348" t="s">
        <v>8822</v>
      </c>
      <c r="C5251" s="349" t="s">
        <v>71</v>
      </c>
      <c r="D5251" s="483">
        <v>250.85</v>
      </c>
      <c r="E5251" s="483">
        <v>250.85</v>
      </c>
    </row>
    <row r="5252" spans="1:5">
      <c r="A5252" s="494">
        <v>40841</v>
      </c>
      <c r="B5252" s="485" t="s">
        <v>1444</v>
      </c>
      <c r="C5252" s="484" t="s">
        <v>65</v>
      </c>
      <c r="D5252" s="486">
        <v>93.83</v>
      </c>
      <c r="E5252" s="486">
        <v>93.83</v>
      </c>
    </row>
    <row r="5253" spans="1:5" ht="30">
      <c r="A5253" s="495">
        <v>6391</v>
      </c>
      <c r="B5253" s="348" t="s">
        <v>9048</v>
      </c>
      <c r="C5253" s="349" t="s">
        <v>71</v>
      </c>
      <c r="D5253" s="483">
        <v>128.34</v>
      </c>
      <c r="E5253" s="483">
        <v>128.34</v>
      </c>
    </row>
    <row r="5254" spans="1:5" ht="30">
      <c r="A5254" s="494">
        <v>84132</v>
      </c>
      <c r="B5254" s="485" t="s">
        <v>19157</v>
      </c>
      <c r="C5254" s="484" t="s">
        <v>71</v>
      </c>
      <c r="D5254" s="486">
        <v>204.12</v>
      </c>
      <c r="E5254" s="486">
        <v>204.12</v>
      </c>
    </row>
    <row r="5255" spans="1:5" ht="30">
      <c r="A5255" s="495">
        <v>84133</v>
      </c>
      <c r="B5255" s="348" t="s">
        <v>19158</v>
      </c>
      <c r="C5255" s="349" t="s">
        <v>71</v>
      </c>
      <c r="D5255" s="483">
        <v>282.83999999999997</v>
      </c>
      <c r="E5255" s="483">
        <v>282.83999999999997</v>
      </c>
    </row>
    <row r="5256" spans="1:5" ht="30">
      <c r="A5256" s="494">
        <v>71516</v>
      </c>
      <c r="B5256" s="485" t="s">
        <v>19159</v>
      </c>
      <c r="C5256" s="484" t="s">
        <v>65</v>
      </c>
      <c r="D5256" s="486">
        <v>580.38</v>
      </c>
      <c r="E5256" s="486">
        <v>580.38</v>
      </c>
    </row>
    <row r="5257" spans="1:5">
      <c r="A5257" s="495">
        <v>73361</v>
      </c>
      <c r="B5257" s="348" t="s">
        <v>3761</v>
      </c>
      <c r="C5257" s="349" t="s">
        <v>255</v>
      </c>
      <c r="D5257" s="483">
        <v>316.41000000000003</v>
      </c>
      <c r="E5257" s="483">
        <v>316.41000000000003</v>
      </c>
    </row>
    <row r="5258" spans="1:5">
      <c r="A5258" s="494">
        <v>73503</v>
      </c>
      <c r="B5258" s="485" t="s">
        <v>9921</v>
      </c>
      <c r="C5258" s="484" t="s">
        <v>71</v>
      </c>
      <c r="D5258" s="486">
        <v>7.63</v>
      </c>
      <c r="E5258" s="486">
        <v>7.63</v>
      </c>
    </row>
    <row r="5259" spans="1:5">
      <c r="A5259" s="495">
        <v>73504</v>
      </c>
      <c r="B5259" s="348" t="s">
        <v>9931</v>
      </c>
      <c r="C5259" s="349" t="s">
        <v>71</v>
      </c>
      <c r="D5259" s="483">
        <v>6.44</v>
      </c>
      <c r="E5259" s="483">
        <v>6.44</v>
      </c>
    </row>
    <row r="5260" spans="1:5">
      <c r="A5260" s="494">
        <v>73505</v>
      </c>
      <c r="B5260" s="485" t="s">
        <v>9930</v>
      </c>
      <c r="C5260" s="484" t="s">
        <v>71</v>
      </c>
      <c r="D5260" s="486">
        <v>5.33</v>
      </c>
      <c r="E5260" s="486">
        <v>5.33</v>
      </c>
    </row>
    <row r="5261" spans="1:5">
      <c r="A5261" s="495">
        <v>73506</v>
      </c>
      <c r="B5261" s="348" t="s">
        <v>9929</v>
      </c>
      <c r="C5261" s="349" t="s">
        <v>71</v>
      </c>
      <c r="D5261" s="483">
        <v>4.33</v>
      </c>
      <c r="E5261" s="483">
        <v>4.33</v>
      </c>
    </row>
    <row r="5262" spans="1:5">
      <c r="A5262" s="494">
        <v>73507</v>
      </c>
      <c r="B5262" s="485" t="s">
        <v>9928</v>
      </c>
      <c r="C5262" s="484" t="s">
        <v>71</v>
      </c>
      <c r="D5262" s="486">
        <v>3.39</v>
      </c>
      <c r="E5262" s="486">
        <v>3.39</v>
      </c>
    </row>
    <row r="5263" spans="1:5">
      <c r="A5263" s="495">
        <v>73508</v>
      </c>
      <c r="B5263" s="348" t="s">
        <v>9927</v>
      </c>
      <c r="C5263" s="349" t="s">
        <v>71</v>
      </c>
      <c r="D5263" s="483">
        <v>2.57</v>
      </c>
      <c r="E5263" s="483">
        <v>2.57</v>
      </c>
    </row>
    <row r="5264" spans="1:5" s="25" customFormat="1">
      <c r="A5264" s="604" t="s">
        <v>20591</v>
      </c>
      <c r="B5264" s="605" t="s">
        <v>9927</v>
      </c>
      <c r="C5264" s="606" t="s">
        <v>71</v>
      </c>
      <c r="D5264" s="607">
        <v>2.57</v>
      </c>
      <c r="E5264" s="483"/>
    </row>
    <row r="5265" spans="1:5">
      <c r="A5265" s="494">
        <v>73509</v>
      </c>
      <c r="B5265" s="485" t="s">
        <v>9926</v>
      </c>
      <c r="C5265" s="484" t="s">
        <v>71</v>
      </c>
      <c r="D5265" s="486">
        <v>1.87</v>
      </c>
      <c r="E5265" s="486">
        <v>1.87</v>
      </c>
    </row>
    <row r="5266" spans="1:5" s="25" customFormat="1">
      <c r="A5266" s="604" t="s">
        <v>20590</v>
      </c>
      <c r="B5266" s="605" t="s">
        <v>9926</v>
      </c>
      <c r="C5266" s="606" t="s">
        <v>71</v>
      </c>
      <c r="D5266" s="607">
        <v>1.87</v>
      </c>
      <c r="E5266" s="486"/>
    </row>
    <row r="5267" spans="1:5">
      <c r="A5267" s="495">
        <v>73510</v>
      </c>
      <c r="B5267" s="348" t="s">
        <v>9907</v>
      </c>
      <c r="C5267" s="349" t="s">
        <v>71</v>
      </c>
      <c r="D5267" s="483">
        <v>19.64</v>
      </c>
      <c r="E5267" s="483">
        <v>19.64</v>
      </c>
    </row>
    <row r="5268" spans="1:5">
      <c r="A5268" s="494">
        <v>73511</v>
      </c>
      <c r="B5268" s="485" t="s">
        <v>9906</v>
      </c>
      <c r="C5268" s="484" t="s">
        <v>71</v>
      </c>
      <c r="D5268" s="486">
        <v>16.940000000000001</v>
      </c>
      <c r="E5268" s="486">
        <v>16.940000000000001</v>
      </c>
    </row>
    <row r="5269" spans="1:5">
      <c r="A5269" s="495">
        <v>73512</v>
      </c>
      <c r="B5269" s="348" t="s">
        <v>9905</v>
      </c>
      <c r="C5269" s="349" t="s">
        <v>71</v>
      </c>
      <c r="D5269" s="483">
        <v>14.7</v>
      </c>
      <c r="E5269" s="483">
        <v>14.7</v>
      </c>
    </row>
    <row r="5270" spans="1:5">
      <c r="A5270" s="494">
        <v>73513</v>
      </c>
      <c r="B5270" s="485" t="s">
        <v>9920</v>
      </c>
      <c r="C5270" s="484" t="s">
        <v>71</v>
      </c>
      <c r="D5270" s="486">
        <v>12.4</v>
      </c>
      <c r="E5270" s="486">
        <v>12.4</v>
      </c>
    </row>
    <row r="5271" spans="1:5">
      <c r="A5271" s="495">
        <v>73514</v>
      </c>
      <c r="B5271" s="348" t="s">
        <v>9919</v>
      </c>
      <c r="C5271" s="349" t="s">
        <v>71</v>
      </c>
      <c r="D5271" s="483">
        <v>10.29</v>
      </c>
      <c r="E5271" s="483">
        <v>10.29</v>
      </c>
    </row>
    <row r="5272" spans="1:5">
      <c r="A5272" s="494">
        <v>73515</v>
      </c>
      <c r="B5272" s="485" t="s">
        <v>9917</v>
      </c>
      <c r="C5272" s="484" t="s">
        <v>71</v>
      </c>
      <c r="D5272" s="486">
        <v>8.33</v>
      </c>
      <c r="E5272" s="486">
        <v>8.33</v>
      </c>
    </row>
    <row r="5273" spans="1:5" s="25" customFormat="1">
      <c r="A5273" s="494" t="s">
        <v>21005</v>
      </c>
      <c r="B5273" s="485" t="s">
        <v>21006</v>
      </c>
      <c r="C5273" s="484" t="s">
        <v>71</v>
      </c>
      <c r="D5273" s="486">
        <v>8.33</v>
      </c>
      <c r="E5273" s="486">
        <v>8.33</v>
      </c>
    </row>
    <row r="5274" spans="1:5">
      <c r="A5274" s="495">
        <v>73516</v>
      </c>
      <c r="B5274" s="348" t="s">
        <v>9916</v>
      </c>
      <c r="C5274" s="349" t="s">
        <v>71</v>
      </c>
      <c r="D5274" s="483">
        <v>6.56</v>
      </c>
      <c r="E5274" s="483">
        <v>6.56</v>
      </c>
    </row>
    <row r="5275" spans="1:5">
      <c r="A5275" s="494">
        <v>73517</v>
      </c>
      <c r="B5275" s="485" t="s">
        <v>9915</v>
      </c>
      <c r="C5275" s="484" t="s">
        <v>71</v>
      </c>
      <c r="D5275" s="486">
        <v>4.96</v>
      </c>
      <c r="E5275" s="486">
        <v>4.96</v>
      </c>
    </row>
    <row r="5276" spans="1:5">
      <c r="A5276" s="495">
        <v>73518</v>
      </c>
      <c r="B5276" s="348" t="s">
        <v>9914</v>
      </c>
      <c r="C5276" s="349" t="s">
        <v>71</v>
      </c>
      <c r="D5276" s="483">
        <v>4.3</v>
      </c>
      <c r="E5276" s="483">
        <v>4.3</v>
      </c>
    </row>
    <row r="5277" spans="1:5">
      <c r="A5277" s="494">
        <v>73519</v>
      </c>
      <c r="B5277" s="485" t="s">
        <v>9913</v>
      </c>
      <c r="C5277" s="484" t="s">
        <v>71</v>
      </c>
      <c r="D5277" s="486">
        <v>3.61</v>
      </c>
      <c r="E5277" s="486">
        <v>3.61</v>
      </c>
    </row>
    <row r="5278" spans="1:5">
      <c r="A5278" s="495">
        <v>73520</v>
      </c>
      <c r="B5278" s="348" t="s">
        <v>9912</v>
      </c>
      <c r="C5278" s="349" t="s">
        <v>71</v>
      </c>
      <c r="D5278" s="483">
        <v>3.03</v>
      </c>
      <c r="E5278" s="483">
        <v>3.03</v>
      </c>
    </row>
    <row r="5279" spans="1:5">
      <c r="A5279" s="494">
        <v>73521</v>
      </c>
      <c r="B5279" s="485" t="s">
        <v>9911</v>
      </c>
      <c r="C5279" s="484" t="s">
        <v>71</v>
      </c>
      <c r="D5279" s="486">
        <v>2.44</v>
      </c>
      <c r="E5279" s="486">
        <v>2.44</v>
      </c>
    </row>
    <row r="5280" spans="1:5">
      <c r="A5280" s="495">
        <v>73522</v>
      </c>
      <c r="B5280" s="348" t="s">
        <v>9910</v>
      </c>
      <c r="C5280" s="349" t="s">
        <v>71</v>
      </c>
      <c r="D5280" s="483">
        <v>1.93</v>
      </c>
      <c r="E5280" s="483">
        <v>1.93</v>
      </c>
    </row>
    <row r="5281" spans="1:5">
      <c r="A5281" s="494">
        <v>73523</v>
      </c>
      <c r="B5281" s="485" t="s">
        <v>9909</v>
      </c>
      <c r="C5281" s="484" t="s">
        <v>71</v>
      </c>
      <c r="D5281" s="486">
        <v>1.45</v>
      </c>
      <c r="E5281" s="486">
        <v>1.45</v>
      </c>
    </row>
    <row r="5282" spans="1:5">
      <c r="A5282" s="495">
        <v>73524</v>
      </c>
      <c r="B5282" s="348" t="s">
        <v>9908</v>
      </c>
      <c r="C5282" s="349" t="s">
        <v>71</v>
      </c>
      <c r="D5282" s="483">
        <v>1.1299999999999999</v>
      </c>
      <c r="E5282" s="483">
        <v>1.1299999999999999</v>
      </c>
    </row>
    <row r="5283" spans="1:5">
      <c r="A5283" s="494">
        <v>73587</v>
      </c>
      <c r="B5283" s="485" t="s">
        <v>9925</v>
      </c>
      <c r="C5283" s="484" t="s">
        <v>71</v>
      </c>
      <c r="D5283" s="486">
        <v>1.3</v>
      </c>
      <c r="E5283" s="486">
        <v>1.3</v>
      </c>
    </row>
    <row r="5284" spans="1:5" ht="43.5" customHeight="1">
      <c r="A5284" s="495">
        <v>73588</v>
      </c>
      <c r="B5284" s="348" t="s">
        <v>9924</v>
      </c>
      <c r="C5284" s="349" t="s">
        <v>71</v>
      </c>
      <c r="D5284" s="483">
        <v>0.87</v>
      </c>
      <c r="E5284" s="483">
        <v>0.87</v>
      </c>
    </row>
    <row r="5285" spans="1:5" s="25" customFormat="1" ht="43.5" customHeight="1">
      <c r="A5285" s="604" t="s">
        <v>20588</v>
      </c>
      <c r="B5285" s="605" t="s">
        <v>9924</v>
      </c>
      <c r="C5285" s="606" t="s">
        <v>71</v>
      </c>
      <c r="D5285" s="607">
        <v>0.87</v>
      </c>
      <c r="E5285" s="483"/>
    </row>
    <row r="5286" spans="1:5">
      <c r="A5286" s="494">
        <v>73589</v>
      </c>
      <c r="B5286" s="485" t="s">
        <v>9923</v>
      </c>
      <c r="C5286" s="484" t="s">
        <v>71</v>
      </c>
      <c r="D5286" s="486">
        <v>0.61</v>
      </c>
      <c r="E5286" s="486">
        <v>0.61</v>
      </c>
    </row>
    <row r="5287" spans="1:5" s="25" customFormat="1">
      <c r="A5287" s="604" t="s">
        <v>20589</v>
      </c>
      <c r="B5287" s="605" t="s">
        <v>9923</v>
      </c>
      <c r="C5287" s="606" t="s">
        <v>71</v>
      </c>
      <c r="D5287" s="607">
        <v>0.61</v>
      </c>
      <c r="E5287" s="486"/>
    </row>
    <row r="5288" spans="1:5">
      <c r="A5288" s="495">
        <v>73590</v>
      </c>
      <c r="B5288" s="348" t="s">
        <v>9922</v>
      </c>
      <c r="C5288" s="349" t="s">
        <v>71</v>
      </c>
      <c r="D5288" s="483">
        <v>0.38</v>
      </c>
      <c r="E5288" s="483">
        <v>0.38</v>
      </c>
    </row>
    <row r="5289" spans="1:5" s="25" customFormat="1">
      <c r="A5289" s="604" t="s">
        <v>20587</v>
      </c>
      <c r="B5289" s="605" t="s">
        <v>9922</v>
      </c>
      <c r="C5289" s="606" t="s">
        <v>71</v>
      </c>
      <c r="D5289" s="607">
        <v>0.38</v>
      </c>
      <c r="E5289" s="483"/>
    </row>
    <row r="5290" spans="1:5">
      <c r="A5290" s="494">
        <v>73597</v>
      </c>
      <c r="B5290" s="485" t="s">
        <v>9904</v>
      </c>
      <c r="C5290" s="484" t="s">
        <v>71</v>
      </c>
      <c r="D5290" s="486">
        <v>0.87</v>
      </c>
      <c r="E5290" s="486">
        <v>0.87</v>
      </c>
    </row>
    <row r="5291" spans="1:5">
      <c r="A5291" s="495">
        <v>73598</v>
      </c>
      <c r="B5291" s="348" t="s">
        <v>9918</v>
      </c>
      <c r="C5291" s="349" t="s">
        <v>71</v>
      </c>
      <c r="D5291" s="483">
        <v>0.61</v>
      </c>
      <c r="E5291" s="483">
        <v>0.61</v>
      </c>
    </row>
    <row r="5292" spans="1:5" ht="45">
      <c r="A5292" s="494">
        <v>73714</v>
      </c>
      <c r="B5292" s="485" t="s">
        <v>19160</v>
      </c>
      <c r="C5292" s="484" t="s">
        <v>65</v>
      </c>
      <c r="D5292" s="486">
        <v>1227.8499999999999</v>
      </c>
      <c r="E5292" s="486">
        <v>1227.8499999999999</v>
      </c>
    </row>
    <row r="5293" spans="1:5">
      <c r="A5293" s="495">
        <v>86957</v>
      </c>
      <c r="B5293" s="348" t="s">
        <v>7268</v>
      </c>
      <c r="C5293" s="349" t="s">
        <v>65</v>
      </c>
      <c r="D5293" s="483">
        <v>26.37</v>
      </c>
      <c r="E5293" s="483">
        <v>26.37</v>
      </c>
    </row>
    <row r="5294" spans="1:5">
      <c r="A5294" s="494">
        <v>86958</v>
      </c>
      <c r="B5294" s="485" t="s">
        <v>7267</v>
      </c>
      <c r="C5294" s="484" t="s">
        <v>65</v>
      </c>
      <c r="D5294" s="486">
        <v>23.31</v>
      </c>
      <c r="E5294" s="486">
        <v>23.31</v>
      </c>
    </row>
    <row r="5295" spans="1:5">
      <c r="A5295" s="349" t="s">
        <v>19161</v>
      </c>
      <c r="B5295" s="348" t="s">
        <v>8122</v>
      </c>
      <c r="C5295" s="349" t="s">
        <v>65</v>
      </c>
      <c r="D5295" s="483">
        <v>84.05</v>
      </c>
      <c r="E5295" s="483">
        <v>84.05</v>
      </c>
    </row>
    <row r="5296" spans="1:5" ht="30">
      <c r="A5296" s="494">
        <v>73672</v>
      </c>
      <c r="B5296" s="485" t="s">
        <v>19162</v>
      </c>
      <c r="C5296" s="484" t="s">
        <v>256</v>
      </c>
      <c r="D5296" s="486">
        <v>0.46</v>
      </c>
      <c r="E5296" s="486">
        <v>0.46</v>
      </c>
    </row>
    <row r="5297" spans="1:5" ht="30">
      <c r="A5297" s="349" t="s">
        <v>19163</v>
      </c>
      <c r="B5297" s="348" t="s">
        <v>19164</v>
      </c>
      <c r="C5297" s="349" t="s">
        <v>256</v>
      </c>
      <c r="D5297" s="483">
        <v>0.59</v>
      </c>
      <c r="E5297" s="483">
        <v>0.59</v>
      </c>
    </row>
    <row r="5298" spans="1:5" ht="30">
      <c r="A5298" s="484" t="s">
        <v>19165</v>
      </c>
      <c r="B5298" s="485" t="s">
        <v>19166</v>
      </c>
      <c r="C5298" s="484" t="s">
        <v>256</v>
      </c>
      <c r="D5298" s="486">
        <v>0.15</v>
      </c>
      <c r="E5298" s="486">
        <v>0.15</v>
      </c>
    </row>
    <row r="5299" spans="1:5">
      <c r="A5299" s="349" t="s">
        <v>19167</v>
      </c>
      <c r="B5299" s="348" t="s">
        <v>987</v>
      </c>
      <c r="C5299" s="349" t="s">
        <v>256</v>
      </c>
      <c r="D5299" s="483">
        <v>1.05</v>
      </c>
      <c r="E5299" s="483">
        <v>1.05</v>
      </c>
    </row>
    <row r="5300" spans="1:5">
      <c r="A5300" s="494">
        <v>85331</v>
      </c>
      <c r="B5300" s="485" t="s">
        <v>988</v>
      </c>
      <c r="C5300" s="484" t="s">
        <v>256</v>
      </c>
      <c r="D5300" s="486">
        <v>1.02</v>
      </c>
      <c r="E5300" s="486">
        <v>1.02</v>
      </c>
    </row>
    <row r="5301" spans="1:5">
      <c r="A5301" s="495">
        <v>85422</v>
      </c>
      <c r="B5301" s="348" t="s">
        <v>989</v>
      </c>
      <c r="C5301" s="349" t="s">
        <v>256</v>
      </c>
      <c r="D5301" s="483">
        <v>5.28</v>
      </c>
      <c r="E5301" s="483">
        <v>5.28</v>
      </c>
    </row>
    <row r="5302" spans="1:5" ht="43.5" customHeight="1">
      <c r="A5302" s="484" t="s">
        <v>19168</v>
      </c>
      <c r="B5302" s="485" t="s">
        <v>19169</v>
      </c>
      <c r="C5302" s="484" t="s">
        <v>256</v>
      </c>
      <c r="D5302" s="486">
        <v>46.14</v>
      </c>
      <c r="E5302" s="486">
        <v>46.14</v>
      </c>
    </row>
    <row r="5303" spans="1:5">
      <c r="A5303" s="349" t="s">
        <v>19170</v>
      </c>
      <c r="B5303" s="348" t="s">
        <v>9039</v>
      </c>
      <c r="C5303" s="349" t="s">
        <v>71</v>
      </c>
      <c r="D5303" s="483">
        <v>2.21</v>
      </c>
      <c r="E5303" s="483">
        <v>2.21</v>
      </c>
    </row>
    <row r="5304" spans="1:5">
      <c r="A5304" s="484" t="s">
        <v>19171</v>
      </c>
      <c r="B5304" s="485" t="s">
        <v>7844</v>
      </c>
      <c r="C5304" s="484" t="s">
        <v>256</v>
      </c>
      <c r="D5304" s="486">
        <v>48.14</v>
      </c>
      <c r="E5304" s="486">
        <v>48.14</v>
      </c>
    </row>
    <row r="5305" spans="1:5" s="25" customFormat="1">
      <c r="A5305" s="606" t="s">
        <v>20555</v>
      </c>
      <c r="B5305" s="605" t="s">
        <v>7844</v>
      </c>
      <c r="C5305" s="606" t="s">
        <v>256</v>
      </c>
      <c r="D5305" s="607">
        <v>48.14</v>
      </c>
      <c r="E5305" s="486"/>
    </row>
    <row r="5306" spans="1:5">
      <c r="A5306" s="349" t="s">
        <v>19172</v>
      </c>
      <c r="B5306" s="348" t="s">
        <v>7845</v>
      </c>
      <c r="C5306" s="349" t="s">
        <v>256</v>
      </c>
      <c r="D5306" s="483">
        <v>47.52</v>
      </c>
      <c r="E5306" s="483">
        <v>47.52</v>
      </c>
    </row>
    <row r="5307" spans="1:5" ht="30">
      <c r="A5307" s="494">
        <v>84126</v>
      </c>
      <c r="B5307" s="485" t="s">
        <v>19173</v>
      </c>
      <c r="C5307" s="484" t="s">
        <v>256</v>
      </c>
      <c r="D5307" s="486">
        <v>30.35</v>
      </c>
      <c r="E5307" s="486">
        <v>30.35</v>
      </c>
    </row>
    <row r="5308" spans="1:5" ht="29.25" customHeight="1">
      <c r="A5308" s="495">
        <v>72214</v>
      </c>
      <c r="B5308" s="348" t="s">
        <v>4652</v>
      </c>
      <c r="C5308" s="349" t="s">
        <v>255</v>
      </c>
      <c r="D5308" s="483">
        <v>52.88</v>
      </c>
      <c r="E5308" s="483">
        <v>52.88</v>
      </c>
    </row>
    <row r="5309" spans="1:5">
      <c r="A5309" s="494">
        <v>72215</v>
      </c>
      <c r="B5309" s="485" t="s">
        <v>4649</v>
      </c>
      <c r="C5309" s="484" t="s">
        <v>255</v>
      </c>
      <c r="D5309" s="486">
        <v>33.049999999999997</v>
      </c>
      <c r="E5309" s="486">
        <v>33.049999999999997</v>
      </c>
    </row>
    <row r="5310" spans="1:5">
      <c r="A5310" s="495">
        <v>72216</v>
      </c>
      <c r="B5310" s="348" t="s">
        <v>4662</v>
      </c>
      <c r="C5310" s="349" t="s">
        <v>255</v>
      </c>
      <c r="D5310" s="483">
        <v>171.86</v>
      </c>
      <c r="E5310" s="483">
        <v>171.86</v>
      </c>
    </row>
    <row r="5311" spans="1:5">
      <c r="A5311" s="494">
        <v>72220</v>
      </c>
      <c r="B5311" s="485" t="s">
        <v>994</v>
      </c>
      <c r="C5311" s="484" t="s">
        <v>256</v>
      </c>
      <c r="D5311" s="486">
        <v>13.22</v>
      </c>
      <c r="E5311" s="486">
        <v>13.22</v>
      </c>
    </row>
    <row r="5312" spans="1:5" ht="29.25" customHeight="1">
      <c r="A5312" s="495">
        <v>72221</v>
      </c>
      <c r="B5312" s="348" t="s">
        <v>8751</v>
      </c>
      <c r="C5312" s="349" t="s">
        <v>256</v>
      </c>
      <c r="D5312" s="483">
        <v>13.22</v>
      </c>
      <c r="E5312" s="483">
        <v>13.22</v>
      </c>
    </row>
    <row r="5313" spans="1:5">
      <c r="A5313" s="494">
        <v>72224</v>
      </c>
      <c r="B5313" s="485" t="s">
        <v>4661</v>
      </c>
      <c r="C5313" s="484" t="s">
        <v>256</v>
      </c>
      <c r="D5313" s="486">
        <v>7.93</v>
      </c>
      <c r="E5313" s="486">
        <v>7.93</v>
      </c>
    </row>
    <row r="5314" spans="1:5">
      <c r="A5314" s="495">
        <v>72226</v>
      </c>
      <c r="B5314" s="348" t="s">
        <v>8748</v>
      </c>
      <c r="C5314" s="349" t="s">
        <v>256</v>
      </c>
      <c r="D5314" s="483">
        <v>9.49</v>
      </c>
      <c r="E5314" s="483">
        <v>9.49</v>
      </c>
    </row>
    <row r="5315" spans="1:5">
      <c r="A5315" s="494">
        <v>72228</v>
      </c>
      <c r="B5315" s="485" t="s">
        <v>8747</v>
      </c>
      <c r="C5315" s="484" t="s">
        <v>256</v>
      </c>
      <c r="D5315" s="486">
        <v>15.84</v>
      </c>
      <c r="E5315" s="486">
        <v>15.84</v>
      </c>
    </row>
    <row r="5316" spans="1:5">
      <c r="A5316" s="495">
        <v>72237</v>
      </c>
      <c r="B5316" s="348" t="s">
        <v>995</v>
      </c>
      <c r="C5316" s="349" t="s">
        <v>256</v>
      </c>
      <c r="D5316" s="483">
        <v>12.66</v>
      </c>
      <c r="E5316" s="483">
        <v>12.66</v>
      </c>
    </row>
    <row r="5317" spans="1:5" ht="43.5" customHeight="1">
      <c r="A5317" s="494">
        <v>72238</v>
      </c>
      <c r="B5317" s="485" t="s">
        <v>8749</v>
      </c>
      <c r="C5317" s="484" t="s">
        <v>256</v>
      </c>
      <c r="D5317" s="486">
        <v>6.33</v>
      </c>
      <c r="E5317" s="486">
        <v>6.33</v>
      </c>
    </row>
    <row r="5318" spans="1:5">
      <c r="A5318" s="495">
        <v>73616</v>
      </c>
      <c r="B5318" s="348" t="s">
        <v>4653</v>
      </c>
      <c r="C5318" s="349" t="s">
        <v>255</v>
      </c>
      <c r="D5318" s="483">
        <v>196.24</v>
      </c>
      <c r="E5318" s="483">
        <v>196.24</v>
      </c>
    </row>
    <row r="5319" spans="1:5">
      <c r="A5319" s="484" t="s">
        <v>19174</v>
      </c>
      <c r="B5319" s="485" t="s">
        <v>4658</v>
      </c>
      <c r="C5319" s="484" t="s">
        <v>256</v>
      </c>
      <c r="D5319" s="486">
        <v>19.829999999999998</v>
      </c>
      <c r="E5319" s="486">
        <v>19.829999999999998</v>
      </c>
    </row>
    <row r="5320" spans="1:5">
      <c r="A5320" s="349" t="s">
        <v>19175</v>
      </c>
      <c r="B5320" s="348" t="s">
        <v>4660</v>
      </c>
      <c r="C5320" s="349" t="s">
        <v>256</v>
      </c>
      <c r="D5320" s="483">
        <v>6.61</v>
      </c>
      <c r="E5320" s="483">
        <v>6.61</v>
      </c>
    </row>
    <row r="5321" spans="1:5">
      <c r="A5321" s="484" t="s">
        <v>19176</v>
      </c>
      <c r="B5321" s="485" t="s">
        <v>8729</v>
      </c>
      <c r="C5321" s="484" t="s">
        <v>256</v>
      </c>
      <c r="D5321" s="486">
        <v>32.01</v>
      </c>
      <c r="E5321" s="486">
        <v>32.01</v>
      </c>
    </row>
    <row r="5322" spans="1:5">
      <c r="A5322" s="349" t="s">
        <v>19177</v>
      </c>
      <c r="B5322" s="348" t="s">
        <v>4651</v>
      </c>
      <c r="C5322" s="349" t="s">
        <v>255</v>
      </c>
      <c r="D5322" s="483">
        <v>60.38</v>
      </c>
      <c r="E5322" s="483">
        <v>60.38</v>
      </c>
    </row>
    <row r="5323" spans="1:5">
      <c r="A5323" s="484" t="s">
        <v>19178</v>
      </c>
      <c r="B5323" s="485" t="s">
        <v>4650</v>
      </c>
      <c r="C5323" s="484" t="s">
        <v>255</v>
      </c>
      <c r="D5323" s="486">
        <v>75.48</v>
      </c>
      <c r="E5323" s="486">
        <v>75.48</v>
      </c>
    </row>
    <row r="5324" spans="1:5" ht="30">
      <c r="A5324" s="495">
        <v>84152</v>
      </c>
      <c r="B5324" s="348" t="s">
        <v>19179</v>
      </c>
      <c r="C5324" s="349" t="s">
        <v>255</v>
      </c>
      <c r="D5324" s="483">
        <v>256.63</v>
      </c>
      <c r="E5324" s="483">
        <v>256.63</v>
      </c>
    </row>
    <row r="5325" spans="1:5">
      <c r="A5325" s="494">
        <v>85332</v>
      </c>
      <c r="B5325" s="485" t="s">
        <v>8743</v>
      </c>
      <c r="C5325" s="484" t="s">
        <v>65</v>
      </c>
      <c r="D5325" s="486">
        <v>4.7300000000000004</v>
      </c>
      <c r="E5325" s="486">
        <v>4.7300000000000004</v>
      </c>
    </row>
    <row r="5326" spans="1:5">
      <c r="A5326" s="495">
        <v>85333</v>
      </c>
      <c r="B5326" s="348" t="s">
        <v>8744</v>
      </c>
      <c r="C5326" s="349" t="s">
        <v>65</v>
      </c>
      <c r="D5326" s="483">
        <v>15.97</v>
      </c>
      <c r="E5326" s="483">
        <v>15.97</v>
      </c>
    </row>
    <row r="5327" spans="1:5">
      <c r="A5327" s="494">
        <v>85334</v>
      </c>
      <c r="B5327" s="485" t="s">
        <v>8746</v>
      </c>
      <c r="C5327" s="484" t="s">
        <v>256</v>
      </c>
      <c r="D5327" s="486">
        <v>13.22</v>
      </c>
      <c r="E5327" s="486">
        <v>13.22</v>
      </c>
    </row>
    <row r="5328" spans="1:5">
      <c r="A5328" s="495">
        <v>85335</v>
      </c>
      <c r="B5328" s="348" t="s">
        <v>8750</v>
      </c>
      <c r="C5328" s="349" t="s">
        <v>71</v>
      </c>
      <c r="D5328" s="483">
        <v>6.7</v>
      </c>
      <c r="E5328" s="483">
        <v>6.7</v>
      </c>
    </row>
    <row r="5329" spans="1:5">
      <c r="A5329" s="494">
        <v>85336</v>
      </c>
      <c r="B5329" s="485" t="s">
        <v>19180</v>
      </c>
      <c r="C5329" s="484" t="s">
        <v>71</v>
      </c>
      <c r="D5329" s="486">
        <v>4.68</v>
      </c>
      <c r="E5329" s="486">
        <v>4.68</v>
      </c>
    </row>
    <row r="5330" spans="1:5">
      <c r="A5330" s="495">
        <v>85362</v>
      </c>
      <c r="B5330" s="348" t="s">
        <v>4654</v>
      </c>
      <c r="C5330" s="349" t="s">
        <v>256</v>
      </c>
      <c r="D5330" s="483">
        <v>10.57</v>
      </c>
      <c r="E5330" s="483">
        <v>10.57</v>
      </c>
    </row>
    <row r="5331" spans="1:5">
      <c r="A5331" s="494">
        <v>85364</v>
      </c>
      <c r="B5331" s="485" t="s">
        <v>4664</v>
      </c>
      <c r="C5331" s="484" t="s">
        <v>255</v>
      </c>
      <c r="D5331" s="486">
        <v>196.24</v>
      </c>
      <c r="E5331" s="486">
        <v>196.24</v>
      </c>
    </row>
    <row r="5332" spans="1:5">
      <c r="A5332" s="495">
        <v>85366</v>
      </c>
      <c r="B5332" s="348" t="s">
        <v>4666</v>
      </c>
      <c r="C5332" s="349" t="s">
        <v>256</v>
      </c>
      <c r="D5332" s="483">
        <v>17.18</v>
      </c>
      <c r="E5332" s="483">
        <v>17.18</v>
      </c>
    </row>
    <row r="5333" spans="1:5" s="25" customFormat="1">
      <c r="A5333" s="604" t="s">
        <v>20600</v>
      </c>
      <c r="B5333" s="605" t="s">
        <v>4666</v>
      </c>
      <c r="C5333" s="606" t="s">
        <v>256</v>
      </c>
      <c r="D5333" s="607">
        <v>17.18</v>
      </c>
      <c r="E5333" s="483"/>
    </row>
    <row r="5334" spans="1:5">
      <c r="A5334" s="494">
        <v>85369</v>
      </c>
      <c r="B5334" s="485" t="s">
        <v>8727</v>
      </c>
      <c r="C5334" s="484" t="s">
        <v>256</v>
      </c>
      <c r="D5334" s="486">
        <v>30.16</v>
      </c>
      <c r="E5334" s="486">
        <v>30.16</v>
      </c>
    </row>
    <row r="5335" spans="1:5" ht="30">
      <c r="A5335" s="495">
        <v>85370</v>
      </c>
      <c r="B5335" s="348" t="s">
        <v>4665</v>
      </c>
      <c r="C5335" s="349" t="s">
        <v>255</v>
      </c>
      <c r="D5335" s="483">
        <v>202.92</v>
      </c>
      <c r="E5335" s="483">
        <v>202.92</v>
      </c>
    </row>
    <row r="5336" spans="1:5">
      <c r="A5336" s="494">
        <v>85371</v>
      </c>
      <c r="B5336" s="485" t="s">
        <v>8730</v>
      </c>
      <c r="C5336" s="484" t="s">
        <v>256</v>
      </c>
      <c r="D5336" s="486">
        <v>2.48</v>
      </c>
      <c r="E5336" s="486">
        <v>2.48</v>
      </c>
    </row>
    <row r="5337" spans="1:5">
      <c r="A5337" s="495">
        <v>85372</v>
      </c>
      <c r="B5337" s="348" t="s">
        <v>4656</v>
      </c>
      <c r="C5337" s="349" t="s">
        <v>256</v>
      </c>
      <c r="D5337" s="483">
        <v>1.98</v>
      </c>
      <c r="E5337" s="483">
        <v>1.98</v>
      </c>
    </row>
    <row r="5338" spans="1:5">
      <c r="A5338" s="494">
        <v>85374</v>
      </c>
      <c r="B5338" s="485" t="s">
        <v>8724</v>
      </c>
      <c r="C5338" s="484" t="s">
        <v>65</v>
      </c>
      <c r="D5338" s="486">
        <v>8.81</v>
      </c>
      <c r="E5338" s="486">
        <v>8.81</v>
      </c>
    </row>
    <row r="5339" spans="1:5">
      <c r="A5339" s="495">
        <v>85375</v>
      </c>
      <c r="B5339" s="348" t="s">
        <v>8722</v>
      </c>
      <c r="C5339" s="349" t="s">
        <v>256</v>
      </c>
      <c r="D5339" s="483">
        <v>10.56</v>
      </c>
      <c r="E5339" s="483">
        <v>10.56</v>
      </c>
    </row>
    <row r="5340" spans="1:5">
      <c r="A5340" s="494">
        <v>85376</v>
      </c>
      <c r="B5340" s="485" t="s">
        <v>4659</v>
      </c>
      <c r="C5340" s="484" t="s">
        <v>256</v>
      </c>
      <c r="D5340" s="486">
        <v>4.5199999999999996</v>
      </c>
      <c r="E5340" s="486">
        <v>4.5199999999999996</v>
      </c>
    </row>
    <row r="5341" spans="1:5">
      <c r="A5341" s="495">
        <v>85383</v>
      </c>
      <c r="B5341" s="348" t="s">
        <v>8723</v>
      </c>
      <c r="C5341" s="349" t="s">
        <v>71</v>
      </c>
      <c r="D5341" s="483">
        <v>2.64</v>
      </c>
      <c r="E5341" s="483">
        <v>2.64</v>
      </c>
    </row>
    <row r="5342" spans="1:5">
      <c r="A5342" s="494">
        <v>85389</v>
      </c>
      <c r="B5342" s="485" t="s">
        <v>8735</v>
      </c>
      <c r="C5342" s="484" t="s">
        <v>71</v>
      </c>
      <c r="D5342" s="486">
        <v>68.66</v>
      </c>
      <c r="E5342" s="486">
        <v>68.66</v>
      </c>
    </row>
    <row r="5343" spans="1:5">
      <c r="A5343" s="495">
        <v>85390</v>
      </c>
      <c r="B5343" s="348" t="s">
        <v>8736</v>
      </c>
      <c r="C5343" s="349" t="s">
        <v>71</v>
      </c>
      <c r="D5343" s="483">
        <v>34.17</v>
      </c>
      <c r="E5343" s="483">
        <v>34.17</v>
      </c>
    </row>
    <row r="5344" spans="1:5">
      <c r="A5344" s="494">
        <v>85392</v>
      </c>
      <c r="B5344" s="485" t="s">
        <v>8737</v>
      </c>
      <c r="C5344" s="484" t="s">
        <v>71</v>
      </c>
      <c r="D5344" s="486">
        <v>167.68</v>
      </c>
      <c r="E5344" s="486">
        <v>167.68</v>
      </c>
    </row>
    <row r="5345" spans="1:5">
      <c r="A5345" s="495">
        <v>85406</v>
      </c>
      <c r="B5345" s="348" t="s">
        <v>8721</v>
      </c>
      <c r="C5345" s="349" t="s">
        <v>256</v>
      </c>
      <c r="D5345" s="483">
        <v>37.74</v>
      </c>
      <c r="E5345" s="483">
        <v>37.74</v>
      </c>
    </row>
    <row r="5346" spans="1:5">
      <c r="A5346" s="494">
        <v>85407</v>
      </c>
      <c r="B5346" s="485" t="s">
        <v>8726</v>
      </c>
      <c r="C5346" s="484" t="s">
        <v>71</v>
      </c>
      <c r="D5346" s="486">
        <v>8.7100000000000009</v>
      </c>
      <c r="E5346" s="486">
        <v>8.7100000000000009</v>
      </c>
    </row>
    <row r="5347" spans="1:5">
      <c r="A5347" s="495">
        <v>85408</v>
      </c>
      <c r="B5347" s="348" t="s">
        <v>8728</v>
      </c>
      <c r="C5347" s="349" t="s">
        <v>256</v>
      </c>
      <c r="D5347" s="483">
        <v>27.16</v>
      </c>
      <c r="E5347" s="483">
        <v>27.16</v>
      </c>
    </row>
    <row r="5348" spans="1:5" ht="29.25" customHeight="1">
      <c r="A5348" s="494">
        <v>85409</v>
      </c>
      <c r="B5348" s="485" t="s">
        <v>8731</v>
      </c>
      <c r="C5348" s="484" t="s">
        <v>256</v>
      </c>
      <c r="D5348" s="486">
        <v>5.55</v>
      </c>
      <c r="E5348" s="486">
        <v>5.55</v>
      </c>
    </row>
    <row r="5349" spans="1:5">
      <c r="A5349" s="495">
        <v>85411</v>
      </c>
      <c r="B5349" s="348" t="s">
        <v>8732</v>
      </c>
      <c r="C5349" s="349" t="s">
        <v>71</v>
      </c>
      <c r="D5349" s="483">
        <v>2.83</v>
      </c>
      <c r="E5349" s="483">
        <v>2.83</v>
      </c>
    </row>
    <row r="5350" spans="1:5">
      <c r="A5350" s="494">
        <v>85415</v>
      </c>
      <c r="B5350" s="485" t="s">
        <v>8725</v>
      </c>
      <c r="C5350" s="484" t="s">
        <v>65</v>
      </c>
      <c r="D5350" s="486">
        <v>8.43</v>
      </c>
      <c r="E5350" s="486">
        <v>8.43</v>
      </c>
    </row>
    <row r="5351" spans="1:5">
      <c r="A5351" s="495">
        <v>85416</v>
      </c>
      <c r="B5351" s="348" t="s">
        <v>8733</v>
      </c>
      <c r="C5351" s="349" t="s">
        <v>65</v>
      </c>
      <c r="D5351" s="483">
        <v>11.93</v>
      </c>
      <c r="E5351" s="483">
        <v>11.93</v>
      </c>
    </row>
    <row r="5352" spans="1:5">
      <c r="A5352" s="494">
        <v>85417</v>
      </c>
      <c r="B5352" s="485" t="s">
        <v>8753</v>
      </c>
      <c r="C5352" s="484" t="s">
        <v>71</v>
      </c>
      <c r="D5352" s="486">
        <v>3.37</v>
      </c>
      <c r="E5352" s="486">
        <v>3.37</v>
      </c>
    </row>
    <row r="5353" spans="1:5">
      <c r="A5353" s="495">
        <v>85418</v>
      </c>
      <c r="B5353" s="348" t="s">
        <v>19181</v>
      </c>
      <c r="C5353" s="349" t="s">
        <v>71</v>
      </c>
      <c r="D5353" s="483">
        <v>6.74</v>
      </c>
      <c r="E5353" s="483">
        <v>6.74</v>
      </c>
    </row>
    <row r="5354" spans="1:5">
      <c r="A5354" s="494">
        <v>85419</v>
      </c>
      <c r="B5354" s="485" t="s">
        <v>8754</v>
      </c>
      <c r="C5354" s="484" t="s">
        <v>71</v>
      </c>
      <c r="D5354" s="486">
        <v>4.1900000000000004</v>
      </c>
      <c r="E5354" s="486">
        <v>4.1900000000000004</v>
      </c>
    </row>
    <row r="5355" spans="1:5">
      <c r="A5355" s="495">
        <v>85420</v>
      </c>
      <c r="B5355" s="348" t="s">
        <v>8756</v>
      </c>
      <c r="C5355" s="349" t="s">
        <v>71</v>
      </c>
      <c r="D5355" s="483">
        <v>10.11</v>
      </c>
      <c r="E5355" s="483">
        <v>10.11</v>
      </c>
    </row>
    <row r="5356" spans="1:5">
      <c r="A5356" s="494">
        <v>85421</v>
      </c>
      <c r="B5356" s="485" t="s">
        <v>8734</v>
      </c>
      <c r="C5356" s="484" t="s">
        <v>256</v>
      </c>
      <c r="D5356" s="486">
        <v>10.95</v>
      </c>
      <c r="E5356" s="486">
        <v>10.95</v>
      </c>
    </row>
    <row r="5357" spans="1:5">
      <c r="A5357" s="495">
        <v>89263</v>
      </c>
      <c r="B5357" s="348" t="s">
        <v>4655</v>
      </c>
      <c r="C5357" s="349" t="s">
        <v>256</v>
      </c>
      <c r="D5357" s="483">
        <v>25.42</v>
      </c>
      <c r="E5357" s="483">
        <v>25.42</v>
      </c>
    </row>
    <row r="5358" spans="1:5">
      <c r="A5358" s="494">
        <v>85423</v>
      </c>
      <c r="B5358" s="485" t="s">
        <v>6162</v>
      </c>
      <c r="C5358" s="484" t="s">
        <v>256</v>
      </c>
      <c r="D5358" s="486">
        <v>7.2</v>
      </c>
      <c r="E5358" s="486">
        <v>7.2</v>
      </c>
    </row>
    <row r="5359" spans="1:5" ht="30">
      <c r="A5359" s="495">
        <v>85424</v>
      </c>
      <c r="B5359" s="348" t="s">
        <v>19182</v>
      </c>
      <c r="C5359" s="349" t="s">
        <v>256</v>
      </c>
      <c r="D5359" s="483">
        <v>20.170000000000002</v>
      </c>
      <c r="E5359" s="483">
        <v>20.170000000000002</v>
      </c>
    </row>
    <row r="5360" spans="1:5">
      <c r="A5360" s="494">
        <v>72742</v>
      </c>
      <c r="B5360" s="485" t="s">
        <v>5062</v>
      </c>
      <c r="C5360" s="484" t="s">
        <v>65</v>
      </c>
      <c r="D5360" s="486">
        <v>823.36</v>
      </c>
      <c r="E5360" s="486">
        <v>823.36</v>
      </c>
    </row>
    <row r="5361" spans="1:5">
      <c r="A5361" s="495">
        <v>72743</v>
      </c>
      <c r="B5361" s="348" t="s">
        <v>5061</v>
      </c>
      <c r="C5361" s="349" t="s">
        <v>65</v>
      </c>
      <c r="D5361" s="483">
        <v>411.68</v>
      </c>
      <c r="E5361" s="483">
        <v>411.68</v>
      </c>
    </row>
    <row r="5362" spans="1:5">
      <c r="A5362" s="484" t="s">
        <v>19183</v>
      </c>
      <c r="B5362" s="485" t="s">
        <v>1012</v>
      </c>
      <c r="C5362" s="484" t="s">
        <v>152</v>
      </c>
      <c r="D5362" s="486">
        <v>46.4</v>
      </c>
      <c r="E5362" s="486">
        <v>46.4</v>
      </c>
    </row>
    <row r="5363" spans="1:5">
      <c r="A5363" s="349" t="s">
        <v>19184</v>
      </c>
      <c r="B5363" s="348" t="s">
        <v>5076</v>
      </c>
      <c r="C5363" s="349" t="s">
        <v>152</v>
      </c>
      <c r="D5363" s="483">
        <v>64.81</v>
      </c>
      <c r="E5363" s="483">
        <v>64.81</v>
      </c>
    </row>
    <row r="5364" spans="1:5">
      <c r="A5364" s="484" t="s">
        <v>19185</v>
      </c>
      <c r="B5364" s="485" t="s">
        <v>1015</v>
      </c>
      <c r="C5364" s="484" t="s">
        <v>255</v>
      </c>
      <c r="D5364" s="486">
        <v>32.6</v>
      </c>
      <c r="E5364" s="486">
        <v>32.6</v>
      </c>
    </row>
    <row r="5365" spans="1:5">
      <c r="A5365" s="349" t="s">
        <v>19186</v>
      </c>
      <c r="B5365" s="348" t="s">
        <v>1017</v>
      </c>
      <c r="C5365" s="349" t="s">
        <v>255</v>
      </c>
      <c r="D5365" s="483">
        <v>28.26</v>
      </c>
      <c r="E5365" s="483">
        <v>28.26</v>
      </c>
    </row>
    <row r="5366" spans="1:5">
      <c r="A5366" s="484" t="s">
        <v>19187</v>
      </c>
      <c r="B5366" s="485" t="s">
        <v>1021</v>
      </c>
      <c r="C5366" s="484" t="s">
        <v>255</v>
      </c>
      <c r="D5366" s="486">
        <v>2.44</v>
      </c>
      <c r="E5366" s="486">
        <v>2.44</v>
      </c>
    </row>
    <row r="5367" spans="1:5">
      <c r="A5367" s="349" t="s">
        <v>19188</v>
      </c>
      <c r="B5367" s="348" t="s">
        <v>5083</v>
      </c>
      <c r="C5367" s="349" t="s">
        <v>256</v>
      </c>
      <c r="D5367" s="483">
        <v>1.1299999999999999</v>
      </c>
      <c r="E5367" s="483">
        <v>1.1299999999999999</v>
      </c>
    </row>
    <row r="5368" spans="1:5">
      <c r="A5368" s="484" t="s">
        <v>19189</v>
      </c>
      <c r="B5368" s="485" t="s">
        <v>5082</v>
      </c>
      <c r="C5368" s="484" t="s">
        <v>255</v>
      </c>
      <c r="D5368" s="486">
        <v>2.0299999999999998</v>
      </c>
      <c r="E5368" s="486">
        <v>2.0299999999999998</v>
      </c>
    </row>
    <row r="5369" spans="1:5">
      <c r="A5369" s="349" t="s">
        <v>19190</v>
      </c>
      <c r="B5369" s="348" t="s">
        <v>5084</v>
      </c>
      <c r="C5369" s="349" t="s">
        <v>255</v>
      </c>
      <c r="D5369" s="483">
        <v>2.0299999999999998</v>
      </c>
      <c r="E5369" s="483">
        <v>2.0299999999999998</v>
      </c>
    </row>
    <row r="5370" spans="1:5">
      <c r="A5370" s="484" t="s">
        <v>19191</v>
      </c>
      <c r="B5370" s="485" t="s">
        <v>1026</v>
      </c>
      <c r="C5370" s="484" t="s">
        <v>255</v>
      </c>
      <c r="D5370" s="486">
        <v>2.1800000000000002</v>
      </c>
      <c r="E5370" s="486">
        <v>2.1800000000000002</v>
      </c>
    </row>
    <row r="5371" spans="1:5">
      <c r="A5371" s="349" t="s">
        <v>19192</v>
      </c>
      <c r="B5371" s="348" t="s">
        <v>1028</v>
      </c>
      <c r="C5371" s="349" t="s">
        <v>255</v>
      </c>
      <c r="D5371" s="483">
        <v>2.0299999999999998</v>
      </c>
      <c r="E5371" s="483">
        <v>2.0299999999999998</v>
      </c>
    </row>
    <row r="5372" spans="1:5">
      <c r="A5372" s="484" t="s">
        <v>19193</v>
      </c>
      <c r="B5372" s="485" t="s">
        <v>1030</v>
      </c>
      <c r="C5372" s="484" t="s">
        <v>255</v>
      </c>
      <c r="D5372" s="486">
        <v>2.2200000000000002</v>
      </c>
      <c r="E5372" s="486">
        <v>2.2200000000000002</v>
      </c>
    </row>
    <row r="5373" spans="1:5">
      <c r="A5373" s="349" t="s">
        <v>19194</v>
      </c>
      <c r="B5373" s="348" t="s">
        <v>5060</v>
      </c>
      <c r="C5373" s="349" t="s">
        <v>65</v>
      </c>
      <c r="D5373" s="483">
        <v>174.96</v>
      </c>
      <c r="E5373" s="483">
        <v>174.96</v>
      </c>
    </row>
    <row r="5374" spans="1:5">
      <c r="A5374" s="484" t="s">
        <v>19195</v>
      </c>
      <c r="B5374" s="485" t="s">
        <v>5075</v>
      </c>
      <c r="C5374" s="484" t="s">
        <v>65</v>
      </c>
      <c r="D5374" s="486">
        <v>226.42</v>
      </c>
      <c r="E5374" s="486">
        <v>226.42</v>
      </c>
    </row>
    <row r="5375" spans="1:5">
      <c r="A5375" s="349" t="s">
        <v>19196</v>
      </c>
      <c r="B5375" s="348" t="s">
        <v>5047</v>
      </c>
      <c r="C5375" s="349" t="s">
        <v>65</v>
      </c>
      <c r="D5375" s="483">
        <v>205.84</v>
      </c>
      <c r="E5375" s="483">
        <v>205.84</v>
      </c>
    </row>
    <row r="5376" spans="1:5">
      <c r="A5376" s="484" t="s">
        <v>19197</v>
      </c>
      <c r="B5376" s="485" t="s">
        <v>5048</v>
      </c>
      <c r="C5376" s="484" t="s">
        <v>65</v>
      </c>
      <c r="D5376" s="486">
        <v>226.42</v>
      </c>
      <c r="E5376" s="486">
        <v>226.42</v>
      </c>
    </row>
    <row r="5377" spans="1:5" ht="15.75" customHeight="1">
      <c r="A5377" s="349" t="s">
        <v>19198</v>
      </c>
      <c r="B5377" s="348" t="s">
        <v>19199</v>
      </c>
      <c r="C5377" s="349" t="s">
        <v>65</v>
      </c>
      <c r="D5377" s="483">
        <v>180.11</v>
      </c>
      <c r="E5377" s="483">
        <v>180.11</v>
      </c>
    </row>
    <row r="5378" spans="1:5">
      <c r="A5378" s="484" t="s">
        <v>19200</v>
      </c>
      <c r="B5378" s="485" t="s">
        <v>1037</v>
      </c>
      <c r="C5378" s="484" t="s">
        <v>65</v>
      </c>
      <c r="D5378" s="486">
        <v>164.67</v>
      </c>
      <c r="E5378" s="486">
        <v>164.67</v>
      </c>
    </row>
    <row r="5379" spans="1:5">
      <c r="A5379" s="349" t="s">
        <v>19201</v>
      </c>
      <c r="B5379" s="348" t="s">
        <v>5053</v>
      </c>
      <c r="C5379" s="349" t="s">
        <v>65</v>
      </c>
      <c r="D5379" s="483">
        <v>195.54</v>
      </c>
      <c r="E5379" s="483">
        <v>195.54</v>
      </c>
    </row>
    <row r="5380" spans="1:5">
      <c r="A5380" s="484" t="s">
        <v>19202</v>
      </c>
      <c r="B5380" s="485" t="s">
        <v>1040</v>
      </c>
      <c r="C5380" s="484" t="s">
        <v>65</v>
      </c>
      <c r="D5380" s="486">
        <v>102.92</v>
      </c>
      <c r="E5380" s="486">
        <v>102.92</v>
      </c>
    </row>
    <row r="5381" spans="1:5">
      <c r="A5381" s="349" t="s">
        <v>19203</v>
      </c>
      <c r="B5381" s="348" t="s">
        <v>1042</v>
      </c>
      <c r="C5381" s="349" t="s">
        <v>65</v>
      </c>
      <c r="D5381" s="483">
        <v>92.62</v>
      </c>
      <c r="E5381" s="483">
        <v>92.62</v>
      </c>
    </row>
    <row r="5382" spans="1:5">
      <c r="A5382" s="484" t="s">
        <v>19204</v>
      </c>
      <c r="B5382" s="485" t="s">
        <v>19205</v>
      </c>
      <c r="C5382" s="484" t="s">
        <v>65</v>
      </c>
      <c r="D5382" s="486">
        <v>195.54</v>
      </c>
      <c r="E5382" s="486">
        <v>195.54</v>
      </c>
    </row>
    <row r="5383" spans="1:5" ht="30">
      <c r="A5383" s="349" t="s">
        <v>19206</v>
      </c>
      <c r="B5383" s="348" t="s">
        <v>19207</v>
      </c>
      <c r="C5383" s="349" t="s">
        <v>65</v>
      </c>
      <c r="D5383" s="483">
        <v>298.45999999999998</v>
      </c>
      <c r="E5383" s="483">
        <v>298.45999999999998</v>
      </c>
    </row>
    <row r="5384" spans="1:5">
      <c r="A5384" s="484" t="s">
        <v>19208</v>
      </c>
      <c r="B5384" s="485" t="s">
        <v>5038</v>
      </c>
      <c r="C5384" s="484" t="s">
        <v>65</v>
      </c>
      <c r="D5384" s="486">
        <v>391.09</v>
      </c>
      <c r="E5384" s="486">
        <v>391.09</v>
      </c>
    </row>
    <row r="5385" spans="1:5">
      <c r="A5385" s="349" t="s">
        <v>19209</v>
      </c>
      <c r="B5385" s="348" t="s">
        <v>5040</v>
      </c>
      <c r="C5385" s="349" t="s">
        <v>65</v>
      </c>
      <c r="D5385" s="483">
        <v>205.84</v>
      </c>
      <c r="E5385" s="483">
        <v>205.84</v>
      </c>
    </row>
    <row r="5386" spans="1:5">
      <c r="A5386" s="484" t="s">
        <v>19210</v>
      </c>
      <c r="B5386" s="485" t="s">
        <v>5059</v>
      </c>
      <c r="C5386" s="484" t="s">
        <v>65</v>
      </c>
      <c r="D5386" s="486">
        <v>72.040000000000006</v>
      </c>
      <c r="E5386" s="486">
        <v>72.040000000000006</v>
      </c>
    </row>
    <row r="5387" spans="1:5">
      <c r="A5387" s="349" t="s">
        <v>19211</v>
      </c>
      <c r="B5387" s="348" t="s">
        <v>19212</v>
      </c>
      <c r="C5387" s="349" t="s">
        <v>65</v>
      </c>
      <c r="D5387" s="483">
        <v>82.33</v>
      </c>
      <c r="E5387" s="483">
        <v>82.33</v>
      </c>
    </row>
    <row r="5388" spans="1:5">
      <c r="A5388" s="484" t="s">
        <v>19213</v>
      </c>
      <c r="B5388" s="485" t="s">
        <v>1050</v>
      </c>
      <c r="C5388" s="484" t="s">
        <v>65</v>
      </c>
      <c r="D5388" s="486">
        <v>92.62</v>
      </c>
      <c r="E5388" s="486">
        <v>92.62</v>
      </c>
    </row>
    <row r="5389" spans="1:5">
      <c r="A5389" s="349" t="s">
        <v>19214</v>
      </c>
      <c r="B5389" s="348" t="s">
        <v>5033</v>
      </c>
      <c r="C5389" s="349" t="s">
        <v>65</v>
      </c>
      <c r="D5389" s="483">
        <v>432.26</v>
      </c>
      <c r="E5389" s="483">
        <v>432.26</v>
      </c>
    </row>
    <row r="5390" spans="1:5">
      <c r="A5390" s="484" t="s">
        <v>19215</v>
      </c>
      <c r="B5390" s="485" t="s">
        <v>5057</v>
      </c>
      <c r="C5390" s="484" t="s">
        <v>65</v>
      </c>
      <c r="D5390" s="486">
        <v>113.21</v>
      </c>
      <c r="E5390" s="486">
        <v>113.21</v>
      </c>
    </row>
    <row r="5391" spans="1:5" ht="30">
      <c r="A5391" s="349" t="s">
        <v>19216</v>
      </c>
      <c r="B5391" s="348" t="s">
        <v>19217</v>
      </c>
      <c r="C5391" s="349" t="s">
        <v>65</v>
      </c>
      <c r="D5391" s="483">
        <v>236.71</v>
      </c>
      <c r="E5391" s="483">
        <v>236.71</v>
      </c>
    </row>
    <row r="5392" spans="1:5" ht="30">
      <c r="A5392" s="484" t="s">
        <v>19218</v>
      </c>
      <c r="B5392" s="485" t="s">
        <v>19219</v>
      </c>
      <c r="C5392" s="484" t="s">
        <v>65</v>
      </c>
      <c r="D5392" s="486">
        <v>267.58999999999997</v>
      </c>
      <c r="E5392" s="486">
        <v>267.58999999999997</v>
      </c>
    </row>
    <row r="5393" spans="1:5" ht="30">
      <c r="A5393" s="349" t="s">
        <v>19220</v>
      </c>
      <c r="B5393" s="348" t="s">
        <v>19221</v>
      </c>
      <c r="C5393" s="349" t="s">
        <v>65</v>
      </c>
      <c r="D5393" s="483">
        <v>288.17</v>
      </c>
      <c r="E5393" s="483">
        <v>288.17</v>
      </c>
    </row>
    <row r="5394" spans="1:5">
      <c r="A5394" s="484" t="s">
        <v>19222</v>
      </c>
      <c r="B5394" s="485" t="s">
        <v>5071</v>
      </c>
      <c r="C5394" s="484" t="s">
        <v>65</v>
      </c>
      <c r="D5394" s="486">
        <v>61.75</v>
      </c>
      <c r="E5394" s="486">
        <v>61.75</v>
      </c>
    </row>
    <row r="5395" spans="1:5">
      <c r="A5395" s="349" t="s">
        <v>19223</v>
      </c>
      <c r="B5395" s="348" t="s">
        <v>5072</v>
      </c>
      <c r="C5395" s="349" t="s">
        <v>65</v>
      </c>
      <c r="D5395" s="483">
        <v>61.75</v>
      </c>
      <c r="E5395" s="483">
        <v>61.75</v>
      </c>
    </row>
    <row r="5396" spans="1:5">
      <c r="A5396" s="484" t="s">
        <v>19224</v>
      </c>
      <c r="B5396" s="485" t="s">
        <v>5070</v>
      </c>
      <c r="C5396" s="484" t="s">
        <v>65</v>
      </c>
      <c r="D5396" s="486">
        <v>82.33</v>
      </c>
      <c r="E5396" s="486">
        <v>82.33</v>
      </c>
    </row>
    <row r="5397" spans="1:5">
      <c r="A5397" s="349" t="s">
        <v>19225</v>
      </c>
      <c r="B5397" s="348" t="s">
        <v>1060</v>
      </c>
      <c r="C5397" s="349" t="s">
        <v>65</v>
      </c>
      <c r="D5397" s="483">
        <v>164.67</v>
      </c>
      <c r="E5397" s="483">
        <v>164.67</v>
      </c>
    </row>
    <row r="5398" spans="1:5">
      <c r="A5398" s="484" t="s">
        <v>19226</v>
      </c>
      <c r="B5398" s="485" t="s">
        <v>5046</v>
      </c>
      <c r="C5398" s="484" t="s">
        <v>65</v>
      </c>
      <c r="D5398" s="486">
        <v>267.58999999999997</v>
      </c>
      <c r="E5398" s="486">
        <v>267.58999999999997</v>
      </c>
    </row>
    <row r="5399" spans="1:5">
      <c r="A5399" s="349" t="s">
        <v>19227</v>
      </c>
      <c r="B5399" s="348" t="s">
        <v>5043</v>
      </c>
      <c r="C5399" s="349" t="s">
        <v>65</v>
      </c>
      <c r="D5399" s="483">
        <v>72.040000000000006</v>
      </c>
      <c r="E5399" s="483">
        <v>72.040000000000006</v>
      </c>
    </row>
    <row r="5400" spans="1:5">
      <c r="A5400" s="484" t="s">
        <v>19228</v>
      </c>
      <c r="B5400" s="485" t="s">
        <v>19229</v>
      </c>
      <c r="C5400" s="484" t="s">
        <v>65</v>
      </c>
      <c r="D5400" s="486">
        <v>257.3</v>
      </c>
      <c r="E5400" s="486">
        <v>257.3</v>
      </c>
    </row>
    <row r="5401" spans="1:5">
      <c r="A5401" s="349" t="s">
        <v>19230</v>
      </c>
      <c r="B5401" s="348" t="s">
        <v>5052</v>
      </c>
      <c r="C5401" s="349" t="s">
        <v>65</v>
      </c>
      <c r="D5401" s="483">
        <v>185.25</v>
      </c>
      <c r="E5401" s="483">
        <v>185.25</v>
      </c>
    </row>
    <row r="5402" spans="1:5">
      <c r="A5402" s="484" t="s">
        <v>19231</v>
      </c>
      <c r="B5402" s="485" t="s">
        <v>5066</v>
      </c>
      <c r="C5402" s="484" t="s">
        <v>65</v>
      </c>
      <c r="D5402" s="486">
        <v>185.25</v>
      </c>
      <c r="E5402" s="486">
        <v>185.25</v>
      </c>
    </row>
    <row r="5403" spans="1:5">
      <c r="A5403" s="349" t="s">
        <v>19232</v>
      </c>
      <c r="B5403" s="348" t="s">
        <v>5068</v>
      </c>
      <c r="C5403" s="349" t="s">
        <v>65</v>
      </c>
      <c r="D5403" s="483">
        <v>185.25</v>
      </c>
      <c r="E5403" s="483">
        <v>185.25</v>
      </c>
    </row>
    <row r="5404" spans="1:5">
      <c r="A5404" s="484" t="s">
        <v>19233</v>
      </c>
      <c r="B5404" s="485" t="s">
        <v>5067</v>
      </c>
      <c r="C5404" s="484" t="s">
        <v>65</v>
      </c>
      <c r="D5404" s="486">
        <v>205.84</v>
      </c>
      <c r="E5404" s="486">
        <v>205.84</v>
      </c>
    </row>
    <row r="5405" spans="1:5">
      <c r="A5405" s="349" t="s">
        <v>19234</v>
      </c>
      <c r="B5405" s="348" t="s">
        <v>5065</v>
      </c>
      <c r="C5405" s="349" t="s">
        <v>65</v>
      </c>
      <c r="D5405" s="483">
        <v>1327.66</v>
      </c>
      <c r="E5405" s="483">
        <v>1327.66</v>
      </c>
    </row>
    <row r="5406" spans="1:5">
      <c r="A5406" s="484" t="s">
        <v>19235</v>
      </c>
      <c r="B5406" s="485" t="s">
        <v>5064</v>
      </c>
      <c r="C5406" s="484" t="s">
        <v>65</v>
      </c>
      <c r="D5406" s="486">
        <v>277.88</v>
      </c>
      <c r="E5406" s="486">
        <v>277.88</v>
      </c>
    </row>
    <row r="5407" spans="1:5">
      <c r="A5407" s="349" t="s">
        <v>19236</v>
      </c>
      <c r="B5407" s="348" t="s">
        <v>1070</v>
      </c>
      <c r="C5407" s="349" t="s">
        <v>65</v>
      </c>
      <c r="D5407" s="483">
        <v>154.38</v>
      </c>
      <c r="E5407" s="483">
        <v>154.38</v>
      </c>
    </row>
    <row r="5408" spans="1:5">
      <c r="A5408" s="484" t="s">
        <v>19237</v>
      </c>
      <c r="B5408" s="485" t="s">
        <v>5034</v>
      </c>
      <c r="C5408" s="484" t="s">
        <v>65</v>
      </c>
      <c r="D5408" s="486">
        <v>123.5</v>
      </c>
      <c r="E5408" s="486">
        <v>123.5</v>
      </c>
    </row>
    <row r="5409" spans="1:5">
      <c r="A5409" s="349" t="s">
        <v>19238</v>
      </c>
      <c r="B5409" s="348" t="s">
        <v>5035</v>
      </c>
      <c r="C5409" s="349" t="s">
        <v>65</v>
      </c>
      <c r="D5409" s="483">
        <v>102.92</v>
      </c>
      <c r="E5409" s="483">
        <v>102.92</v>
      </c>
    </row>
    <row r="5410" spans="1:5">
      <c r="A5410" s="484" t="s">
        <v>19239</v>
      </c>
      <c r="B5410" s="485" t="s">
        <v>1074</v>
      </c>
      <c r="C5410" s="484" t="s">
        <v>65</v>
      </c>
      <c r="D5410" s="486">
        <v>149.22999999999999</v>
      </c>
      <c r="E5410" s="486">
        <v>149.22999999999999</v>
      </c>
    </row>
    <row r="5411" spans="1:5">
      <c r="A5411" s="349" t="s">
        <v>19240</v>
      </c>
      <c r="B5411" s="348" t="s">
        <v>8420</v>
      </c>
      <c r="C5411" s="349" t="s">
        <v>65</v>
      </c>
      <c r="D5411" s="483">
        <v>113.21</v>
      </c>
      <c r="E5411" s="483">
        <v>113.21</v>
      </c>
    </row>
    <row r="5412" spans="1:5">
      <c r="A5412" s="484" t="s">
        <v>19241</v>
      </c>
      <c r="B5412" s="485" t="s">
        <v>1077</v>
      </c>
      <c r="C5412" s="484" t="s">
        <v>65</v>
      </c>
      <c r="D5412" s="486">
        <v>360.22</v>
      </c>
      <c r="E5412" s="486">
        <v>360.22</v>
      </c>
    </row>
    <row r="5413" spans="1:5">
      <c r="A5413" s="349" t="s">
        <v>19242</v>
      </c>
      <c r="B5413" s="348" t="s">
        <v>5050</v>
      </c>
      <c r="C5413" s="349" t="s">
        <v>65</v>
      </c>
      <c r="D5413" s="483">
        <v>102.92</v>
      </c>
      <c r="E5413" s="483">
        <v>102.92</v>
      </c>
    </row>
    <row r="5414" spans="1:5">
      <c r="A5414" s="484" t="s">
        <v>19243</v>
      </c>
      <c r="B5414" s="485" t="s">
        <v>1080</v>
      </c>
      <c r="C5414" s="484" t="s">
        <v>65</v>
      </c>
      <c r="D5414" s="486">
        <v>92.62</v>
      </c>
      <c r="E5414" s="486">
        <v>92.62</v>
      </c>
    </row>
    <row r="5415" spans="1:5">
      <c r="A5415" s="349" t="s">
        <v>19244</v>
      </c>
      <c r="B5415" s="348" t="s">
        <v>1082</v>
      </c>
      <c r="C5415" s="349" t="s">
        <v>65</v>
      </c>
      <c r="D5415" s="483">
        <v>102.92</v>
      </c>
      <c r="E5415" s="483">
        <v>102.92</v>
      </c>
    </row>
    <row r="5416" spans="1:5">
      <c r="A5416" s="484" t="s">
        <v>19245</v>
      </c>
      <c r="B5416" s="485" t="s">
        <v>5041</v>
      </c>
      <c r="C5416" s="484" t="s">
        <v>65</v>
      </c>
      <c r="D5416" s="486">
        <v>82.33</v>
      </c>
      <c r="E5416" s="486">
        <v>82.33</v>
      </c>
    </row>
    <row r="5417" spans="1:5">
      <c r="A5417" s="349" t="s">
        <v>19246</v>
      </c>
      <c r="B5417" s="348" t="s">
        <v>5074</v>
      </c>
      <c r="C5417" s="349" t="s">
        <v>65</v>
      </c>
      <c r="D5417" s="483">
        <v>205.84</v>
      </c>
      <c r="E5417" s="483">
        <v>205.84</v>
      </c>
    </row>
    <row r="5418" spans="1:5">
      <c r="A5418" s="484" t="s">
        <v>19247</v>
      </c>
      <c r="B5418" s="485" t="s">
        <v>5063</v>
      </c>
      <c r="C5418" s="484" t="s">
        <v>65</v>
      </c>
      <c r="D5418" s="486">
        <v>102.92</v>
      </c>
      <c r="E5418" s="486">
        <v>102.92</v>
      </c>
    </row>
    <row r="5419" spans="1:5">
      <c r="A5419" s="349" t="s">
        <v>19248</v>
      </c>
      <c r="B5419" s="348" t="s">
        <v>5036</v>
      </c>
      <c r="C5419" s="349" t="s">
        <v>65</v>
      </c>
      <c r="D5419" s="483">
        <v>77.19</v>
      </c>
      <c r="E5419" s="483">
        <v>77.19</v>
      </c>
    </row>
    <row r="5420" spans="1:5">
      <c r="A5420" s="484" t="s">
        <v>19249</v>
      </c>
      <c r="B5420" s="485" t="s">
        <v>5045</v>
      </c>
      <c r="C5420" s="484" t="s">
        <v>65</v>
      </c>
      <c r="D5420" s="486">
        <v>205.84</v>
      </c>
      <c r="E5420" s="486">
        <v>205.84</v>
      </c>
    </row>
    <row r="5421" spans="1:5">
      <c r="A5421" s="349" t="s">
        <v>19250</v>
      </c>
      <c r="B5421" s="348" t="s">
        <v>5049</v>
      </c>
      <c r="C5421" s="349" t="s">
        <v>65</v>
      </c>
      <c r="D5421" s="483">
        <v>51.46</v>
      </c>
      <c r="E5421" s="483">
        <v>51.46</v>
      </c>
    </row>
    <row r="5422" spans="1:5">
      <c r="A5422" s="484" t="s">
        <v>19251</v>
      </c>
      <c r="B5422" s="485" t="s">
        <v>1090</v>
      </c>
      <c r="C5422" s="484" t="s">
        <v>65</v>
      </c>
      <c r="D5422" s="486">
        <v>113.21</v>
      </c>
      <c r="E5422" s="486">
        <v>113.21</v>
      </c>
    </row>
    <row r="5423" spans="1:5">
      <c r="A5423" s="349" t="s">
        <v>19252</v>
      </c>
      <c r="B5423" s="348" t="s">
        <v>1092</v>
      </c>
      <c r="C5423" s="349" t="s">
        <v>65</v>
      </c>
      <c r="D5423" s="483">
        <v>102.92</v>
      </c>
      <c r="E5423" s="483">
        <v>102.92</v>
      </c>
    </row>
    <row r="5424" spans="1:5">
      <c r="A5424" s="484" t="s">
        <v>19253</v>
      </c>
      <c r="B5424" s="485" t="s">
        <v>5044</v>
      </c>
      <c r="C5424" s="484" t="s">
        <v>65</v>
      </c>
      <c r="D5424" s="486">
        <v>92.62</v>
      </c>
      <c r="E5424" s="486">
        <v>92.62</v>
      </c>
    </row>
    <row r="5425" spans="1:5">
      <c r="A5425" s="349" t="s">
        <v>19254</v>
      </c>
      <c r="B5425" s="348" t="s">
        <v>1095</v>
      </c>
      <c r="C5425" s="349" t="s">
        <v>65</v>
      </c>
      <c r="D5425" s="483">
        <v>92.62</v>
      </c>
      <c r="E5425" s="483">
        <v>92.62</v>
      </c>
    </row>
    <row r="5426" spans="1:5">
      <c r="A5426" s="484" t="s">
        <v>19255</v>
      </c>
      <c r="B5426" s="485" t="s">
        <v>5073</v>
      </c>
      <c r="C5426" s="484" t="s">
        <v>65</v>
      </c>
      <c r="D5426" s="486">
        <v>257.3</v>
      </c>
      <c r="E5426" s="486">
        <v>257.3</v>
      </c>
    </row>
    <row r="5427" spans="1:5">
      <c r="A5427" s="349" t="s">
        <v>19256</v>
      </c>
      <c r="B5427" s="348" t="s">
        <v>1098</v>
      </c>
      <c r="C5427" s="349" t="s">
        <v>65</v>
      </c>
      <c r="D5427" s="483">
        <v>83.42</v>
      </c>
      <c r="E5427" s="483">
        <v>83.42</v>
      </c>
    </row>
    <row r="5428" spans="1:5">
      <c r="A5428" s="484" t="s">
        <v>19257</v>
      </c>
      <c r="B5428" s="485" t="s">
        <v>5042</v>
      </c>
      <c r="C5428" s="484" t="s">
        <v>65</v>
      </c>
      <c r="D5428" s="486">
        <v>83.42</v>
      </c>
      <c r="E5428" s="486">
        <v>83.42</v>
      </c>
    </row>
    <row r="5429" spans="1:5" s="25" customFormat="1">
      <c r="A5429" s="606" t="s">
        <v>20640</v>
      </c>
      <c r="B5429" s="605" t="s">
        <v>5042</v>
      </c>
      <c r="C5429" s="606" t="s">
        <v>65</v>
      </c>
      <c r="D5429" s="607">
        <v>83.42</v>
      </c>
      <c r="E5429" s="486"/>
    </row>
    <row r="5430" spans="1:5">
      <c r="A5430" s="349" t="s">
        <v>19258</v>
      </c>
      <c r="B5430" s="348" t="s">
        <v>1101</v>
      </c>
      <c r="C5430" s="349" t="s">
        <v>65</v>
      </c>
      <c r="D5430" s="483">
        <v>83.42</v>
      </c>
      <c r="E5430" s="483">
        <v>83.42</v>
      </c>
    </row>
    <row r="5431" spans="1:5" ht="30">
      <c r="A5431" s="494">
        <v>95967</v>
      </c>
      <c r="B5431" s="485" t="s">
        <v>19259</v>
      </c>
      <c r="C5431" s="484" t="s">
        <v>57</v>
      </c>
      <c r="D5431" s="486">
        <v>138.81</v>
      </c>
      <c r="E5431" s="486">
        <v>138.81</v>
      </c>
    </row>
    <row r="5432" spans="1:5">
      <c r="A5432" s="495">
        <v>72733</v>
      </c>
      <c r="B5432" s="348" t="s">
        <v>19260</v>
      </c>
      <c r="C5432" s="349" t="s">
        <v>65</v>
      </c>
      <c r="D5432" s="483">
        <v>879.23</v>
      </c>
      <c r="E5432" s="483">
        <v>879.23</v>
      </c>
    </row>
    <row r="5433" spans="1:5">
      <c r="A5433" s="494">
        <v>72871</v>
      </c>
      <c r="B5433" s="485" t="s">
        <v>7435</v>
      </c>
      <c r="C5433" s="484" t="s">
        <v>65</v>
      </c>
      <c r="D5433" s="486">
        <v>429.93</v>
      </c>
      <c r="E5433" s="486">
        <v>429.93</v>
      </c>
    </row>
    <row r="5434" spans="1:5" ht="30">
      <c r="A5434" s="495">
        <v>72872</v>
      </c>
      <c r="B5434" s="348" t="s">
        <v>19261</v>
      </c>
      <c r="C5434" s="349" t="s">
        <v>65</v>
      </c>
      <c r="D5434" s="483">
        <v>654.58000000000004</v>
      </c>
      <c r="E5434" s="483">
        <v>654.58000000000004</v>
      </c>
    </row>
    <row r="5435" spans="1:5">
      <c r="A5435" s="494">
        <v>73610</v>
      </c>
      <c r="B5435" s="485" t="s">
        <v>1102</v>
      </c>
      <c r="C5435" s="484" t="s">
        <v>71</v>
      </c>
      <c r="D5435" s="486">
        <v>0.97</v>
      </c>
      <c r="E5435" s="486">
        <v>0.97</v>
      </c>
    </row>
    <row r="5436" spans="1:5" s="25" customFormat="1">
      <c r="A5436" s="604" t="s">
        <v>20550</v>
      </c>
      <c r="B5436" s="605" t="s">
        <v>1102</v>
      </c>
      <c r="C5436" s="606" t="s">
        <v>71</v>
      </c>
      <c r="D5436" s="607">
        <v>0.97</v>
      </c>
      <c r="E5436" s="486"/>
    </row>
    <row r="5437" spans="1:5">
      <c r="A5437" s="495">
        <v>73679</v>
      </c>
      <c r="B5437" s="348" t="s">
        <v>6760</v>
      </c>
      <c r="C5437" s="349" t="s">
        <v>71</v>
      </c>
      <c r="D5437" s="483">
        <v>1.82</v>
      </c>
      <c r="E5437" s="483">
        <v>1.82</v>
      </c>
    </row>
    <row r="5438" spans="1:5">
      <c r="A5438" s="494">
        <v>73686</v>
      </c>
      <c r="B5438" s="485" t="s">
        <v>19262</v>
      </c>
      <c r="C5438" s="484" t="s">
        <v>256</v>
      </c>
      <c r="D5438" s="486">
        <v>19.47</v>
      </c>
      <c r="E5438" s="486">
        <v>19.47</v>
      </c>
    </row>
    <row r="5439" spans="1:5" ht="30">
      <c r="A5439" s="349" t="s">
        <v>19263</v>
      </c>
      <c r="B5439" s="348" t="s">
        <v>19264</v>
      </c>
      <c r="C5439" s="349" t="s">
        <v>256</v>
      </c>
      <c r="D5439" s="483">
        <v>9.93</v>
      </c>
      <c r="E5439" s="483">
        <v>9.93</v>
      </c>
    </row>
    <row r="5440" spans="1:5" s="25" customFormat="1" ht="30">
      <c r="A5440" s="606" t="s">
        <v>20624</v>
      </c>
      <c r="B5440" s="605" t="s">
        <v>19264</v>
      </c>
      <c r="C5440" s="606" t="s">
        <v>256</v>
      </c>
      <c r="D5440" s="607">
        <v>9.93</v>
      </c>
      <c r="E5440" s="483"/>
    </row>
    <row r="5441" spans="1:5" ht="30">
      <c r="A5441" s="484" t="s">
        <v>19265</v>
      </c>
      <c r="B5441" s="485" t="s">
        <v>19266</v>
      </c>
      <c r="C5441" s="484" t="s">
        <v>256</v>
      </c>
      <c r="D5441" s="486">
        <v>3.89</v>
      </c>
      <c r="E5441" s="486">
        <v>3.89</v>
      </c>
    </row>
    <row r="5442" spans="1:5" ht="30">
      <c r="A5442" s="349" t="s">
        <v>19267</v>
      </c>
      <c r="B5442" s="348" t="s">
        <v>19268</v>
      </c>
      <c r="C5442" s="349" t="s">
        <v>256</v>
      </c>
      <c r="D5442" s="483">
        <v>4.99</v>
      </c>
      <c r="E5442" s="483">
        <v>4.99</v>
      </c>
    </row>
    <row r="5443" spans="1:5" ht="30">
      <c r="A5443" s="494">
        <v>85323</v>
      </c>
      <c r="B5443" s="485" t="s">
        <v>19269</v>
      </c>
      <c r="C5443" s="484" t="s">
        <v>71</v>
      </c>
      <c r="D5443" s="486">
        <v>1.49</v>
      </c>
      <c r="E5443" s="486">
        <v>1.49</v>
      </c>
    </row>
    <row r="5444" spans="1:5" s="25" customFormat="1" ht="30">
      <c r="A5444" s="604" t="s">
        <v>20623</v>
      </c>
      <c r="B5444" s="605" t="s">
        <v>19269</v>
      </c>
      <c r="C5444" s="606" t="s">
        <v>71</v>
      </c>
      <c r="D5444" s="607">
        <v>1.49</v>
      </c>
      <c r="E5444" s="486"/>
    </row>
    <row r="5445" spans="1:5" ht="45">
      <c r="A5445" s="349" t="s">
        <v>19270</v>
      </c>
      <c r="B5445" s="348" t="s">
        <v>19271</v>
      </c>
      <c r="C5445" s="349" t="s">
        <v>71</v>
      </c>
      <c r="D5445" s="483">
        <v>1.51</v>
      </c>
      <c r="E5445" s="483">
        <v>1.51</v>
      </c>
    </row>
    <row r="5446" spans="1:5" ht="30">
      <c r="A5446" s="494">
        <v>78472</v>
      </c>
      <c r="B5446" s="485" t="s">
        <v>19272</v>
      </c>
      <c r="C5446" s="484" t="s">
        <v>256</v>
      </c>
      <c r="D5446" s="486">
        <v>0.31</v>
      </c>
      <c r="E5446" s="486">
        <v>0.31</v>
      </c>
    </row>
    <row r="5447" spans="1:5" ht="30">
      <c r="A5447" s="495">
        <v>93588</v>
      </c>
      <c r="B5447" s="348" t="s">
        <v>19273</v>
      </c>
      <c r="C5447" s="349" t="s">
        <v>9853</v>
      </c>
      <c r="D5447" s="483">
        <v>1.46</v>
      </c>
      <c r="E5447" s="483">
        <v>1.46</v>
      </c>
    </row>
    <row r="5448" spans="1:5" ht="30">
      <c r="A5448" s="494">
        <v>93589</v>
      </c>
      <c r="B5448" s="485" t="s">
        <v>19274</v>
      </c>
      <c r="C5448" s="484" t="s">
        <v>9853</v>
      </c>
      <c r="D5448" s="486">
        <v>1.1100000000000001</v>
      </c>
      <c r="E5448" s="486">
        <v>1.1100000000000001</v>
      </c>
    </row>
    <row r="5449" spans="1:5" ht="30">
      <c r="A5449" s="495">
        <v>93590</v>
      </c>
      <c r="B5449" s="348" t="s">
        <v>19275</v>
      </c>
      <c r="C5449" s="349" t="s">
        <v>9853</v>
      </c>
      <c r="D5449" s="483">
        <v>0.74</v>
      </c>
      <c r="E5449" s="483">
        <v>0.74</v>
      </c>
    </row>
    <row r="5450" spans="1:5" s="25" customFormat="1" ht="30">
      <c r="A5450" s="604" t="s">
        <v>20572</v>
      </c>
      <c r="B5450" s="605" t="s">
        <v>19275</v>
      </c>
      <c r="C5450" s="606" t="s">
        <v>9853</v>
      </c>
      <c r="D5450" s="607">
        <v>0.74</v>
      </c>
      <c r="E5450" s="483"/>
    </row>
    <row r="5451" spans="1:5" ht="30">
      <c r="A5451" s="494">
        <v>93591</v>
      </c>
      <c r="B5451" s="485" t="s">
        <v>19276</v>
      </c>
      <c r="C5451" s="484" t="s">
        <v>9853</v>
      </c>
      <c r="D5451" s="486">
        <v>1.28</v>
      </c>
      <c r="E5451" s="486">
        <v>1.28</v>
      </c>
    </row>
    <row r="5452" spans="1:5" ht="30">
      <c r="A5452" s="495">
        <v>93592</v>
      </c>
      <c r="B5452" s="348" t="s">
        <v>19277</v>
      </c>
      <c r="C5452" s="349" t="s">
        <v>9853</v>
      </c>
      <c r="D5452" s="483">
        <v>0.98</v>
      </c>
      <c r="E5452" s="483">
        <v>0.98</v>
      </c>
    </row>
    <row r="5453" spans="1:5" ht="30">
      <c r="A5453" s="494">
        <v>93593</v>
      </c>
      <c r="B5453" s="485" t="s">
        <v>19278</v>
      </c>
      <c r="C5453" s="484" t="s">
        <v>9853</v>
      </c>
      <c r="D5453" s="486">
        <v>0.65</v>
      </c>
      <c r="E5453" s="486">
        <v>0.65</v>
      </c>
    </row>
    <row r="5454" spans="1:5" ht="30">
      <c r="A5454" s="495">
        <v>93594</v>
      </c>
      <c r="B5454" s="348" t="s">
        <v>19279</v>
      </c>
      <c r="C5454" s="349" t="s">
        <v>9874</v>
      </c>
      <c r="D5454" s="483">
        <v>0.97</v>
      </c>
      <c r="E5454" s="483">
        <v>0.97</v>
      </c>
    </row>
    <row r="5455" spans="1:5" ht="30">
      <c r="A5455" s="494">
        <v>93595</v>
      </c>
      <c r="B5455" s="485" t="s">
        <v>19280</v>
      </c>
      <c r="C5455" s="484" t="s">
        <v>9874</v>
      </c>
      <c r="D5455" s="486">
        <v>0.74</v>
      </c>
      <c r="E5455" s="486">
        <v>0.74</v>
      </c>
    </row>
    <row r="5456" spans="1:5" ht="30">
      <c r="A5456" s="495">
        <v>93596</v>
      </c>
      <c r="B5456" s="348" t="s">
        <v>19281</v>
      </c>
      <c r="C5456" s="349" t="s">
        <v>9874</v>
      </c>
      <c r="D5456" s="483">
        <v>0.49</v>
      </c>
      <c r="E5456" s="483">
        <v>0.49</v>
      </c>
    </row>
    <row r="5457" spans="1:5" ht="30">
      <c r="A5457" s="494">
        <v>93597</v>
      </c>
      <c r="B5457" s="485" t="s">
        <v>19282</v>
      </c>
      <c r="C5457" s="484" t="s">
        <v>9874</v>
      </c>
      <c r="D5457" s="486">
        <v>0.85</v>
      </c>
      <c r="E5457" s="486">
        <v>0.85</v>
      </c>
    </row>
    <row r="5458" spans="1:5" ht="30">
      <c r="A5458" s="495">
        <v>93598</v>
      </c>
      <c r="B5458" s="348" t="s">
        <v>19283</v>
      </c>
      <c r="C5458" s="349" t="s">
        <v>9874</v>
      </c>
      <c r="D5458" s="483">
        <v>0.65</v>
      </c>
      <c r="E5458" s="483">
        <v>0.65</v>
      </c>
    </row>
    <row r="5459" spans="1:5" ht="30">
      <c r="A5459" s="494">
        <v>93599</v>
      </c>
      <c r="B5459" s="485" t="s">
        <v>19284</v>
      </c>
      <c r="C5459" s="484" t="s">
        <v>9874</v>
      </c>
      <c r="D5459" s="486">
        <v>0.43</v>
      </c>
      <c r="E5459" s="486">
        <v>0.43</v>
      </c>
    </row>
    <row r="5460" spans="1:5" ht="30">
      <c r="A5460" s="495">
        <v>95425</v>
      </c>
      <c r="B5460" s="348" t="s">
        <v>19285</v>
      </c>
      <c r="C5460" s="349" t="s">
        <v>9853</v>
      </c>
      <c r="D5460" s="483">
        <v>1.0900000000000001</v>
      </c>
      <c r="E5460" s="483">
        <v>1.0900000000000001</v>
      </c>
    </row>
    <row r="5461" spans="1:5" ht="30">
      <c r="A5461" s="494">
        <v>95426</v>
      </c>
      <c r="B5461" s="485" t="s">
        <v>19286</v>
      </c>
      <c r="C5461" s="484" t="s">
        <v>9853</v>
      </c>
      <c r="D5461" s="486">
        <v>0.83</v>
      </c>
      <c r="E5461" s="486">
        <v>0.83</v>
      </c>
    </row>
    <row r="5462" spans="1:5" ht="30">
      <c r="A5462" s="495">
        <v>95427</v>
      </c>
      <c r="B5462" s="348" t="s">
        <v>19287</v>
      </c>
      <c r="C5462" s="349" t="s">
        <v>9853</v>
      </c>
      <c r="D5462" s="483">
        <v>0.55000000000000004</v>
      </c>
      <c r="E5462" s="483">
        <v>0.55000000000000004</v>
      </c>
    </row>
    <row r="5463" spans="1:5" ht="30">
      <c r="A5463" s="494">
        <v>95428</v>
      </c>
      <c r="B5463" s="485" t="s">
        <v>19288</v>
      </c>
      <c r="C5463" s="484" t="s">
        <v>9874</v>
      </c>
      <c r="D5463" s="486">
        <v>0.73</v>
      </c>
      <c r="E5463" s="486">
        <v>0.73</v>
      </c>
    </row>
    <row r="5464" spans="1:5" ht="30">
      <c r="A5464" s="495">
        <v>95429</v>
      </c>
      <c r="B5464" s="348" t="s">
        <v>19289</v>
      </c>
      <c r="C5464" s="349" t="s">
        <v>9874</v>
      </c>
      <c r="D5464" s="483">
        <v>0.55000000000000004</v>
      </c>
      <c r="E5464" s="483">
        <v>0.55000000000000004</v>
      </c>
    </row>
    <row r="5465" spans="1:5" ht="30">
      <c r="A5465" s="494">
        <v>95430</v>
      </c>
      <c r="B5465" s="485" t="s">
        <v>19290</v>
      </c>
      <c r="C5465" s="484" t="s">
        <v>9874</v>
      </c>
      <c r="D5465" s="486">
        <v>0.36</v>
      </c>
      <c r="E5465" s="486">
        <v>0.36</v>
      </c>
    </row>
    <row r="5466" spans="1:5" ht="30">
      <c r="A5466" s="495">
        <v>95875</v>
      </c>
      <c r="B5466" s="348" t="s">
        <v>19291</v>
      </c>
      <c r="C5466" s="349" t="s">
        <v>9853</v>
      </c>
      <c r="D5466" s="483">
        <v>1.05</v>
      </c>
      <c r="E5466" s="483">
        <v>1.05</v>
      </c>
    </row>
    <row r="5467" spans="1:5" ht="30">
      <c r="A5467" s="494">
        <v>95876</v>
      </c>
      <c r="B5467" s="485" t="s">
        <v>19292</v>
      </c>
      <c r="C5467" s="484" t="s">
        <v>9853</v>
      </c>
      <c r="D5467" s="486">
        <v>0.92</v>
      </c>
      <c r="E5467" s="486">
        <v>0.92</v>
      </c>
    </row>
    <row r="5468" spans="1:5" ht="30">
      <c r="A5468" s="495">
        <v>95877</v>
      </c>
      <c r="B5468" s="348" t="s">
        <v>19293</v>
      </c>
      <c r="C5468" s="349" t="s">
        <v>9853</v>
      </c>
      <c r="D5468" s="483">
        <v>0.78</v>
      </c>
      <c r="E5468" s="483">
        <v>0.78</v>
      </c>
    </row>
    <row r="5469" spans="1:5" ht="30">
      <c r="A5469" s="494">
        <v>95878</v>
      </c>
      <c r="B5469" s="485" t="s">
        <v>19294</v>
      </c>
      <c r="C5469" s="484" t="s">
        <v>9874</v>
      </c>
      <c r="D5469" s="486">
        <v>0.69</v>
      </c>
      <c r="E5469" s="486">
        <v>0.69</v>
      </c>
    </row>
    <row r="5470" spans="1:5" ht="30">
      <c r="A5470" s="495">
        <v>95879</v>
      </c>
      <c r="B5470" s="348" t="s">
        <v>19295</v>
      </c>
      <c r="C5470" s="349" t="s">
        <v>9874</v>
      </c>
      <c r="D5470" s="483">
        <v>0.61</v>
      </c>
      <c r="E5470" s="483">
        <v>0.61</v>
      </c>
    </row>
    <row r="5471" spans="1:5" ht="30">
      <c r="A5471" s="494">
        <v>95880</v>
      </c>
      <c r="B5471" s="485" t="s">
        <v>19296</v>
      </c>
      <c r="C5471" s="484" t="s">
        <v>9874</v>
      </c>
      <c r="D5471" s="486">
        <v>0.51</v>
      </c>
      <c r="E5471" s="486">
        <v>0.51</v>
      </c>
    </row>
    <row r="5472" spans="1:5" ht="45">
      <c r="A5472" s="495">
        <v>93176</v>
      </c>
      <c r="B5472" s="348" t="s">
        <v>19297</v>
      </c>
      <c r="C5472" s="349" t="s">
        <v>9874</v>
      </c>
      <c r="D5472" s="483">
        <v>0.41</v>
      </c>
      <c r="E5472" s="483">
        <v>0.41</v>
      </c>
    </row>
    <row r="5473" spans="1:5" ht="45">
      <c r="A5473" s="494">
        <v>93177</v>
      </c>
      <c r="B5473" s="485" t="s">
        <v>19298</v>
      </c>
      <c r="C5473" s="484" t="s">
        <v>9874</v>
      </c>
      <c r="D5473" s="486">
        <v>1.44</v>
      </c>
      <c r="E5473" s="486">
        <v>1.44</v>
      </c>
    </row>
    <row r="5474" spans="1:5" ht="45">
      <c r="A5474" s="495">
        <v>93178</v>
      </c>
      <c r="B5474" s="348" t="s">
        <v>19299</v>
      </c>
      <c r="C5474" s="349" t="s">
        <v>9874</v>
      </c>
      <c r="D5474" s="483">
        <v>0.47</v>
      </c>
      <c r="E5474" s="483">
        <v>0.47</v>
      </c>
    </row>
    <row r="5475" spans="1:5" ht="45">
      <c r="A5475" s="494">
        <v>93179</v>
      </c>
      <c r="B5475" s="485" t="s">
        <v>19300</v>
      </c>
      <c r="C5475" s="484" t="s">
        <v>9874</v>
      </c>
      <c r="D5475" s="486">
        <v>1.61</v>
      </c>
      <c r="E5475" s="486">
        <v>1.61</v>
      </c>
    </row>
    <row r="5476" spans="1:5" ht="30">
      <c r="A5476" s="349" t="s">
        <v>19301</v>
      </c>
      <c r="B5476" s="348" t="s">
        <v>19302</v>
      </c>
      <c r="C5476" s="349" t="s">
        <v>71</v>
      </c>
      <c r="D5476" s="483">
        <v>26.28</v>
      </c>
      <c r="E5476" s="483">
        <v>26.28</v>
      </c>
    </row>
    <row r="5477" spans="1:5" ht="30">
      <c r="A5477" s="484" t="s">
        <v>19303</v>
      </c>
      <c r="B5477" s="485" t="s">
        <v>3444</v>
      </c>
      <c r="C5477" s="484" t="s">
        <v>71</v>
      </c>
      <c r="D5477" s="486">
        <v>26.28</v>
      </c>
      <c r="E5477" s="486">
        <v>26.28</v>
      </c>
    </row>
    <row r="5478" spans="1:5">
      <c r="A5478" s="349" t="s">
        <v>19304</v>
      </c>
      <c r="B5478" s="348" t="s">
        <v>1112</v>
      </c>
      <c r="C5478" s="349" t="s">
        <v>71</v>
      </c>
      <c r="D5478" s="483">
        <v>143.38999999999999</v>
      </c>
      <c r="E5478" s="483">
        <v>143.38999999999999</v>
      </c>
    </row>
    <row r="5479" spans="1:5" ht="30">
      <c r="A5479" s="484" t="s">
        <v>19305</v>
      </c>
      <c r="B5479" s="485" t="s">
        <v>3442</v>
      </c>
      <c r="C5479" s="484" t="s">
        <v>71</v>
      </c>
      <c r="D5479" s="486">
        <v>38.46</v>
      </c>
      <c r="E5479" s="486">
        <v>38.46</v>
      </c>
    </row>
    <row r="5480" spans="1:5" ht="30">
      <c r="A5480" s="349" t="s">
        <v>19306</v>
      </c>
      <c r="B5480" s="348" t="s">
        <v>19307</v>
      </c>
      <c r="C5480" s="349" t="s">
        <v>71</v>
      </c>
      <c r="D5480" s="483">
        <v>16.850000000000001</v>
      </c>
      <c r="E5480" s="483">
        <v>16.850000000000001</v>
      </c>
    </row>
    <row r="5481" spans="1:5" ht="30">
      <c r="A5481" s="484" t="s">
        <v>19308</v>
      </c>
      <c r="B5481" s="485" t="s">
        <v>19309</v>
      </c>
      <c r="C5481" s="484" t="s">
        <v>71</v>
      </c>
      <c r="D5481" s="486">
        <v>26.85</v>
      </c>
      <c r="E5481" s="486">
        <v>26.85</v>
      </c>
    </row>
    <row r="5482" spans="1:5" ht="30">
      <c r="A5482" s="349" t="s">
        <v>19310</v>
      </c>
      <c r="B5482" s="348" t="s">
        <v>19311</v>
      </c>
      <c r="C5482" s="349" t="s">
        <v>71</v>
      </c>
      <c r="D5482" s="483">
        <v>46.65</v>
      </c>
      <c r="E5482" s="483">
        <v>46.65</v>
      </c>
    </row>
    <row r="5483" spans="1:5" ht="30">
      <c r="A5483" s="484" t="s">
        <v>19312</v>
      </c>
      <c r="B5483" s="485" t="s">
        <v>19313</v>
      </c>
      <c r="C5483" s="484" t="s">
        <v>71</v>
      </c>
      <c r="D5483" s="486">
        <v>45.95</v>
      </c>
      <c r="E5483" s="486">
        <v>45.95</v>
      </c>
    </row>
    <row r="5484" spans="1:5" ht="30">
      <c r="A5484" s="349" t="s">
        <v>19314</v>
      </c>
      <c r="B5484" s="348" t="s">
        <v>19315</v>
      </c>
      <c r="C5484" s="349" t="s">
        <v>71</v>
      </c>
      <c r="D5484" s="483">
        <v>44.2</v>
      </c>
      <c r="E5484" s="483">
        <v>44.2</v>
      </c>
    </row>
    <row r="5485" spans="1:5" ht="30">
      <c r="A5485" s="494">
        <v>85171</v>
      </c>
      <c r="B5485" s="485" t="s">
        <v>19316</v>
      </c>
      <c r="C5485" s="484" t="s">
        <v>71</v>
      </c>
      <c r="D5485" s="486">
        <v>3.15</v>
      </c>
      <c r="E5485" s="486">
        <v>3.15</v>
      </c>
    </row>
    <row r="5486" spans="1:5" ht="45">
      <c r="A5486" s="349" t="s">
        <v>19317</v>
      </c>
      <c r="B5486" s="348" t="s">
        <v>19318</v>
      </c>
      <c r="C5486" s="349" t="s">
        <v>256</v>
      </c>
      <c r="D5486" s="483">
        <v>159.16999999999999</v>
      </c>
      <c r="E5486" s="483">
        <v>159.16999999999999</v>
      </c>
    </row>
    <row r="5487" spans="1:5" ht="45">
      <c r="A5487" s="484" t="s">
        <v>19319</v>
      </c>
      <c r="B5487" s="485" t="s">
        <v>19320</v>
      </c>
      <c r="C5487" s="484" t="s">
        <v>256</v>
      </c>
      <c r="D5487" s="486">
        <v>90.61</v>
      </c>
      <c r="E5487" s="486">
        <v>90.61</v>
      </c>
    </row>
    <row r="5488" spans="1:5" ht="30">
      <c r="A5488" s="495">
        <v>85172</v>
      </c>
      <c r="B5488" s="348" t="s">
        <v>19321</v>
      </c>
      <c r="C5488" s="349" t="s">
        <v>71</v>
      </c>
      <c r="D5488" s="483">
        <v>82.55</v>
      </c>
      <c r="E5488" s="483">
        <v>82.55</v>
      </c>
    </row>
    <row r="5489" spans="1:5">
      <c r="A5489" s="484" t="s">
        <v>19322</v>
      </c>
      <c r="B5489" s="485" t="s">
        <v>5791</v>
      </c>
      <c r="C5489" s="484" t="s">
        <v>65</v>
      </c>
      <c r="D5489" s="486">
        <v>90.83</v>
      </c>
      <c r="E5489" s="486">
        <v>90.83</v>
      </c>
    </row>
    <row r="5490" spans="1:5">
      <c r="A5490" s="349" t="s">
        <v>19323</v>
      </c>
      <c r="B5490" s="348" t="s">
        <v>8134</v>
      </c>
      <c r="C5490" s="349" t="s">
        <v>65</v>
      </c>
      <c r="D5490" s="483">
        <v>95.87</v>
      </c>
      <c r="E5490" s="483">
        <v>95.87</v>
      </c>
    </row>
    <row r="5491" spans="1:5">
      <c r="A5491" s="484" t="s">
        <v>19324</v>
      </c>
      <c r="B5491" s="485" t="s">
        <v>19325</v>
      </c>
      <c r="C5491" s="484" t="s">
        <v>65</v>
      </c>
      <c r="D5491" s="486">
        <v>118.28</v>
      </c>
      <c r="E5491" s="486">
        <v>118.28</v>
      </c>
    </row>
    <row r="5492" spans="1:5">
      <c r="A5492" s="349" t="s">
        <v>19326</v>
      </c>
      <c r="B5492" s="348" t="s">
        <v>1125</v>
      </c>
      <c r="C5492" s="349" t="s">
        <v>65</v>
      </c>
      <c r="D5492" s="483">
        <v>0.34</v>
      </c>
      <c r="E5492" s="483">
        <v>0.34</v>
      </c>
    </row>
    <row r="5493" spans="1:5">
      <c r="A5493" s="494">
        <v>85178</v>
      </c>
      <c r="B5493" s="485" t="s">
        <v>1126</v>
      </c>
      <c r="C5493" s="484" t="s">
        <v>65</v>
      </c>
      <c r="D5493" s="486">
        <v>45.4</v>
      </c>
      <c r="E5493" s="486">
        <v>45.4</v>
      </c>
    </row>
    <row r="5494" spans="1:5">
      <c r="A5494" s="349" t="s">
        <v>19327</v>
      </c>
      <c r="B5494" s="348" t="s">
        <v>1128</v>
      </c>
      <c r="C5494" s="349" t="s">
        <v>256</v>
      </c>
      <c r="D5494" s="483">
        <v>9.9</v>
      </c>
      <c r="E5494" s="483">
        <v>9.9</v>
      </c>
    </row>
    <row r="5495" spans="1:5">
      <c r="A5495" s="494">
        <v>85179</v>
      </c>
      <c r="B5495" s="485" t="s">
        <v>8135</v>
      </c>
      <c r="C5495" s="484" t="s">
        <v>256</v>
      </c>
      <c r="D5495" s="486">
        <v>11.51</v>
      </c>
      <c r="E5495" s="486">
        <v>11.51</v>
      </c>
    </row>
    <row r="5496" spans="1:5">
      <c r="A5496" s="495">
        <v>85180</v>
      </c>
      <c r="B5496" s="348" t="s">
        <v>1129</v>
      </c>
      <c r="C5496" s="349" t="s">
        <v>256</v>
      </c>
      <c r="D5496" s="483">
        <v>11.51</v>
      </c>
      <c r="E5496" s="483">
        <v>11.51</v>
      </c>
    </row>
    <row r="5497" spans="1:5" ht="30">
      <c r="A5497" s="494">
        <v>85182</v>
      </c>
      <c r="B5497" s="485" t="s">
        <v>19328</v>
      </c>
      <c r="C5497" s="484" t="s">
        <v>256</v>
      </c>
      <c r="D5497" s="486">
        <v>2.11</v>
      </c>
      <c r="E5497" s="486">
        <v>2.11</v>
      </c>
    </row>
    <row r="5498" spans="1:5">
      <c r="A5498" s="495">
        <v>85183</v>
      </c>
      <c r="B5498" s="348" t="s">
        <v>1130</v>
      </c>
      <c r="C5498" s="349" t="s">
        <v>256</v>
      </c>
      <c r="D5498" s="483">
        <v>1.98</v>
      </c>
      <c r="E5498" s="483">
        <v>1.98</v>
      </c>
    </row>
    <row r="5499" spans="1:5">
      <c r="A5499" s="494">
        <v>85184</v>
      </c>
      <c r="B5499" s="485" t="s">
        <v>1131</v>
      </c>
      <c r="C5499" s="484" t="s">
        <v>256</v>
      </c>
      <c r="D5499" s="486">
        <v>3.3</v>
      </c>
      <c r="E5499" s="486">
        <v>3.3</v>
      </c>
    </row>
    <row r="5500" spans="1:5">
      <c r="A5500" s="495">
        <v>85185</v>
      </c>
      <c r="B5500" s="348" t="s">
        <v>1132</v>
      </c>
      <c r="C5500" s="349" t="s">
        <v>256</v>
      </c>
      <c r="D5500" s="483">
        <v>3.74</v>
      </c>
      <c r="E5500" s="483">
        <v>3.74</v>
      </c>
    </row>
    <row r="5501" spans="1:5" ht="30">
      <c r="A5501" s="494">
        <v>85186</v>
      </c>
      <c r="B5501" s="485" t="s">
        <v>8227</v>
      </c>
      <c r="C5501" s="484" t="s">
        <v>65</v>
      </c>
      <c r="D5501" s="486">
        <v>78.63</v>
      </c>
      <c r="E5501" s="486">
        <v>78.63</v>
      </c>
    </row>
    <row r="5502" spans="1:5">
      <c r="A5502" s="349">
        <v>88236</v>
      </c>
      <c r="B5502" s="348" t="s">
        <v>5561</v>
      </c>
      <c r="C5502" s="349" t="s">
        <v>57</v>
      </c>
      <c r="D5502" s="483">
        <v>0.5</v>
      </c>
      <c r="E5502" s="483">
        <v>0.5</v>
      </c>
    </row>
    <row r="5503" spans="1:5">
      <c r="A5503" s="484">
        <v>88237</v>
      </c>
      <c r="B5503" s="485" t="s">
        <v>5094</v>
      </c>
      <c r="C5503" s="484" t="s">
        <v>57</v>
      </c>
      <c r="D5503" s="486">
        <v>0.78</v>
      </c>
      <c r="E5503" s="486">
        <v>0.78</v>
      </c>
    </row>
    <row r="5504" spans="1:5">
      <c r="A5504" s="349">
        <v>88238</v>
      </c>
      <c r="B5504" s="348" t="s">
        <v>1133</v>
      </c>
      <c r="C5504" s="349" t="s">
        <v>57</v>
      </c>
      <c r="D5504" s="483">
        <v>14.94</v>
      </c>
      <c r="E5504" s="483">
        <v>14.94</v>
      </c>
    </row>
    <row r="5505" spans="1:5">
      <c r="A5505" s="484">
        <v>88239</v>
      </c>
      <c r="B5505" s="485" t="s">
        <v>1134</v>
      </c>
      <c r="C5505" s="484" t="s">
        <v>57</v>
      </c>
      <c r="D5505" s="486">
        <v>14.97</v>
      </c>
      <c r="E5505" s="486">
        <v>14.97</v>
      </c>
    </row>
    <row r="5506" spans="1:5">
      <c r="A5506" s="349">
        <v>88240</v>
      </c>
      <c r="B5506" s="348" t="s">
        <v>1135</v>
      </c>
      <c r="C5506" s="349" t="s">
        <v>57</v>
      </c>
      <c r="D5506" s="483">
        <v>16.48</v>
      </c>
      <c r="E5506" s="483">
        <v>16.48</v>
      </c>
    </row>
    <row r="5507" spans="1:5">
      <c r="A5507" s="484">
        <v>88241</v>
      </c>
      <c r="B5507" s="485" t="s">
        <v>1136</v>
      </c>
      <c r="C5507" s="484" t="s">
        <v>57</v>
      </c>
      <c r="D5507" s="486">
        <v>13.97</v>
      </c>
      <c r="E5507" s="486">
        <v>13.97</v>
      </c>
    </row>
    <row r="5508" spans="1:5">
      <c r="A5508" s="349">
        <v>88242</v>
      </c>
      <c r="B5508" s="348" t="s">
        <v>1137</v>
      </c>
      <c r="C5508" s="349" t="s">
        <v>57</v>
      </c>
      <c r="D5508" s="483">
        <v>14.61</v>
      </c>
      <c r="E5508" s="483">
        <v>14.61</v>
      </c>
    </row>
    <row r="5509" spans="1:5">
      <c r="A5509" s="484">
        <v>88243</v>
      </c>
      <c r="B5509" s="485" t="s">
        <v>1138</v>
      </c>
      <c r="C5509" s="484" t="s">
        <v>57</v>
      </c>
      <c r="D5509" s="486">
        <v>13.97</v>
      </c>
      <c r="E5509" s="486">
        <v>13.97</v>
      </c>
    </row>
    <row r="5510" spans="1:5">
      <c r="A5510" s="349">
        <v>88245</v>
      </c>
      <c r="B5510" s="348" t="s">
        <v>1139</v>
      </c>
      <c r="C5510" s="349" t="s">
        <v>57</v>
      </c>
      <c r="D5510" s="483">
        <v>18.64</v>
      </c>
      <c r="E5510" s="483">
        <v>18.64</v>
      </c>
    </row>
    <row r="5511" spans="1:5">
      <c r="A5511" s="484">
        <v>88246</v>
      </c>
      <c r="B5511" s="485" t="s">
        <v>1140</v>
      </c>
      <c r="C5511" s="484" t="s">
        <v>57</v>
      </c>
      <c r="D5511" s="486">
        <v>25.38</v>
      </c>
      <c r="E5511" s="486">
        <v>25.38</v>
      </c>
    </row>
    <row r="5512" spans="1:5">
      <c r="A5512" s="349">
        <v>88247</v>
      </c>
      <c r="B5512" s="348" t="s">
        <v>1141</v>
      </c>
      <c r="C5512" s="349" t="s">
        <v>57</v>
      </c>
      <c r="D5512" s="483">
        <v>15.17</v>
      </c>
      <c r="E5512" s="483">
        <v>15.17</v>
      </c>
    </row>
    <row r="5513" spans="1:5">
      <c r="A5513" s="484">
        <v>88248</v>
      </c>
      <c r="B5513" s="485" t="s">
        <v>19329</v>
      </c>
      <c r="C5513" s="484" t="s">
        <v>57</v>
      </c>
      <c r="D5513" s="486">
        <v>15</v>
      </c>
      <c r="E5513" s="486">
        <v>15</v>
      </c>
    </row>
    <row r="5514" spans="1:5">
      <c r="A5514" s="349">
        <v>88249</v>
      </c>
      <c r="B5514" s="348" t="s">
        <v>1142</v>
      </c>
      <c r="C5514" s="349" t="s">
        <v>57</v>
      </c>
      <c r="D5514" s="483">
        <v>19.5</v>
      </c>
      <c r="E5514" s="483">
        <v>19.5</v>
      </c>
    </row>
    <row r="5515" spans="1:5">
      <c r="A5515" s="484">
        <v>88250</v>
      </c>
      <c r="B5515" s="485" t="s">
        <v>1143</v>
      </c>
      <c r="C5515" s="484" t="s">
        <v>57</v>
      </c>
      <c r="D5515" s="486">
        <v>23.65</v>
      </c>
      <c r="E5515" s="486">
        <v>23.65</v>
      </c>
    </row>
    <row r="5516" spans="1:5">
      <c r="A5516" s="349">
        <v>88251</v>
      </c>
      <c r="B5516" s="348" t="s">
        <v>1144</v>
      </c>
      <c r="C5516" s="349" t="s">
        <v>57</v>
      </c>
      <c r="D5516" s="483">
        <v>14.32</v>
      </c>
      <c r="E5516" s="483">
        <v>14.32</v>
      </c>
    </row>
    <row r="5517" spans="1:5">
      <c r="A5517" s="484">
        <v>88252</v>
      </c>
      <c r="B5517" s="485" t="s">
        <v>1145</v>
      </c>
      <c r="C5517" s="484" t="s">
        <v>57</v>
      </c>
      <c r="D5517" s="486">
        <v>14.85</v>
      </c>
      <c r="E5517" s="486">
        <v>14.85</v>
      </c>
    </row>
    <row r="5518" spans="1:5">
      <c r="A5518" s="349">
        <v>88253</v>
      </c>
      <c r="B5518" s="348" t="s">
        <v>1146</v>
      </c>
      <c r="C5518" s="349" t="s">
        <v>57</v>
      </c>
      <c r="D5518" s="483">
        <v>14.91</v>
      </c>
      <c r="E5518" s="483">
        <v>14.91</v>
      </c>
    </row>
    <row r="5519" spans="1:5">
      <c r="A5519" s="484">
        <v>88255</v>
      </c>
      <c r="B5519" s="485" t="s">
        <v>1147</v>
      </c>
      <c r="C5519" s="484" t="s">
        <v>57</v>
      </c>
      <c r="D5519" s="486">
        <v>29.45</v>
      </c>
      <c r="E5519" s="486">
        <v>29.45</v>
      </c>
    </row>
    <row r="5520" spans="1:5">
      <c r="A5520" s="349">
        <v>88256</v>
      </c>
      <c r="B5520" s="348" t="s">
        <v>1148</v>
      </c>
      <c r="C5520" s="349" t="s">
        <v>57</v>
      </c>
      <c r="D5520" s="483">
        <v>17.3</v>
      </c>
      <c r="E5520" s="483">
        <v>17.3</v>
      </c>
    </row>
    <row r="5521" spans="1:5">
      <c r="A5521" s="484">
        <v>88257</v>
      </c>
      <c r="B5521" s="485" t="s">
        <v>1149</v>
      </c>
      <c r="C5521" s="484" t="s">
        <v>57</v>
      </c>
      <c r="D5521" s="486">
        <v>20.74</v>
      </c>
      <c r="E5521" s="486">
        <v>20.74</v>
      </c>
    </row>
    <row r="5522" spans="1:5">
      <c r="A5522" s="349">
        <v>88258</v>
      </c>
      <c r="B5522" s="348" t="s">
        <v>19330</v>
      </c>
      <c r="C5522" s="349" t="s">
        <v>57</v>
      </c>
      <c r="D5522" s="483">
        <v>35.03</v>
      </c>
      <c r="E5522" s="483">
        <v>35.03</v>
      </c>
    </row>
    <row r="5523" spans="1:5">
      <c r="A5523" s="484">
        <v>88259</v>
      </c>
      <c r="B5523" s="485" t="s">
        <v>3148</v>
      </c>
      <c r="C5523" s="484" t="s">
        <v>57</v>
      </c>
      <c r="D5523" s="486">
        <v>17.73</v>
      </c>
      <c r="E5523" s="486">
        <v>17.73</v>
      </c>
    </row>
    <row r="5524" spans="1:5">
      <c r="A5524" s="349">
        <v>88260</v>
      </c>
      <c r="B5524" s="348" t="s">
        <v>1151</v>
      </c>
      <c r="C5524" s="349" t="s">
        <v>57</v>
      </c>
      <c r="D5524" s="483">
        <v>19.149999999999999</v>
      </c>
      <c r="E5524" s="483">
        <v>19.149999999999999</v>
      </c>
    </row>
    <row r="5525" spans="1:5">
      <c r="A5525" s="484">
        <v>88261</v>
      </c>
      <c r="B5525" s="485" t="s">
        <v>1152</v>
      </c>
      <c r="C5525" s="484" t="s">
        <v>57</v>
      </c>
      <c r="D5525" s="486">
        <v>18.46</v>
      </c>
      <c r="E5525" s="486">
        <v>18.46</v>
      </c>
    </row>
    <row r="5526" spans="1:5">
      <c r="A5526" s="349">
        <v>88262</v>
      </c>
      <c r="B5526" s="348" t="s">
        <v>1153</v>
      </c>
      <c r="C5526" s="349" t="s">
        <v>57</v>
      </c>
      <c r="D5526" s="483">
        <v>18.64</v>
      </c>
      <c r="E5526" s="483">
        <v>18.64</v>
      </c>
    </row>
    <row r="5527" spans="1:5">
      <c r="A5527" s="484">
        <v>88263</v>
      </c>
      <c r="B5527" s="485" t="s">
        <v>19331</v>
      </c>
      <c r="C5527" s="484" t="s">
        <v>57</v>
      </c>
      <c r="D5527" s="486">
        <v>25.01</v>
      </c>
      <c r="E5527" s="486">
        <v>25.01</v>
      </c>
    </row>
    <row r="5528" spans="1:5">
      <c r="A5528" s="349">
        <v>88264</v>
      </c>
      <c r="B5528" s="348" t="s">
        <v>1154</v>
      </c>
      <c r="C5528" s="349" t="s">
        <v>57</v>
      </c>
      <c r="D5528" s="483">
        <v>18.95</v>
      </c>
      <c r="E5528" s="483">
        <v>18.95</v>
      </c>
    </row>
    <row r="5529" spans="1:5">
      <c r="A5529" s="484">
        <v>88265</v>
      </c>
      <c r="B5529" s="485" t="s">
        <v>1155</v>
      </c>
      <c r="C5529" s="484" t="s">
        <v>57</v>
      </c>
      <c r="D5529" s="486">
        <v>23.32</v>
      </c>
      <c r="E5529" s="486">
        <v>23.32</v>
      </c>
    </row>
    <row r="5530" spans="1:5">
      <c r="A5530" s="349">
        <v>88266</v>
      </c>
      <c r="B5530" s="348" t="s">
        <v>1156</v>
      </c>
      <c r="C5530" s="349" t="s">
        <v>57</v>
      </c>
      <c r="D5530" s="483">
        <v>26.93</v>
      </c>
      <c r="E5530" s="483">
        <v>26.93</v>
      </c>
    </row>
    <row r="5531" spans="1:5">
      <c r="A5531" s="484">
        <v>88267</v>
      </c>
      <c r="B5531" s="485" t="s">
        <v>1157</v>
      </c>
      <c r="C5531" s="484" t="s">
        <v>57</v>
      </c>
      <c r="D5531" s="486">
        <v>18.72</v>
      </c>
      <c r="E5531" s="486">
        <v>18.72</v>
      </c>
    </row>
    <row r="5532" spans="1:5">
      <c r="A5532" s="349">
        <v>88268</v>
      </c>
      <c r="B5532" s="348" t="s">
        <v>1158</v>
      </c>
      <c r="C5532" s="349" t="s">
        <v>57</v>
      </c>
      <c r="D5532" s="483">
        <v>16.88</v>
      </c>
      <c r="E5532" s="483">
        <v>16.88</v>
      </c>
    </row>
    <row r="5533" spans="1:5">
      <c r="A5533" s="484">
        <v>88269</v>
      </c>
      <c r="B5533" s="485" t="s">
        <v>1159</v>
      </c>
      <c r="C5533" s="484" t="s">
        <v>57</v>
      </c>
      <c r="D5533" s="486">
        <v>16.88</v>
      </c>
      <c r="E5533" s="486">
        <v>16.88</v>
      </c>
    </row>
    <row r="5534" spans="1:5">
      <c r="A5534" s="349">
        <v>88270</v>
      </c>
      <c r="B5534" s="348" t="s">
        <v>1160</v>
      </c>
      <c r="C5534" s="349" t="s">
        <v>57</v>
      </c>
      <c r="D5534" s="483">
        <v>19.510000000000002</v>
      </c>
      <c r="E5534" s="483">
        <v>19.510000000000002</v>
      </c>
    </row>
    <row r="5535" spans="1:5">
      <c r="A5535" s="484">
        <v>88272</v>
      </c>
      <c r="B5535" s="485" t="s">
        <v>1161</v>
      </c>
      <c r="C5535" s="484" t="s">
        <v>57</v>
      </c>
      <c r="D5535" s="486">
        <v>41.43</v>
      </c>
      <c r="E5535" s="486">
        <v>41.43</v>
      </c>
    </row>
    <row r="5536" spans="1:5">
      <c r="A5536" s="349">
        <v>88273</v>
      </c>
      <c r="B5536" s="348" t="s">
        <v>1162</v>
      </c>
      <c r="C5536" s="349" t="s">
        <v>57</v>
      </c>
      <c r="D5536" s="483">
        <v>17.149999999999999</v>
      </c>
      <c r="E5536" s="483">
        <v>17.149999999999999</v>
      </c>
    </row>
    <row r="5537" spans="1:5">
      <c r="A5537" s="484">
        <v>88274</v>
      </c>
      <c r="B5537" s="485" t="s">
        <v>1163</v>
      </c>
      <c r="C5537" s="484" t="s">
        <v>57</v>
      </c>
      <c r="D5537" s="486">
        <v>17.79</v>
      </c>
      <c r="E5537" s="486">
        <v>17.79</v>
      </c>
    </row>
    <row r="5538" spans="1:5">
      <c r="A5538" s="349">
        <v>88275</v>
      </c>
      <c r="B5538" s="348" t="s">
        <v>7353</v>
      </c>
      <c r="C5538" s="349" t="s">
        <v>57</v>
      </c>
      <c r="D5538" s="483">
        <v>41.14</v>
      </c>
      <c r="E5538" s="483">
        <v>41.14</v>
      </c>
    </row>
    <row r="5539" spans="1:5">
      <c r="A5539" s="484">
        <v>88277</v>
      </c>
      <c r="B5539" s="485" t="s">
        <v>7442</v>
      </c>
      <c r="C5539" s="484" t="s">
        <v>57</v>
      </c>
      <c r="D5539" s="486">
        <v>25.38</v>
      </c>
      <c r="E5539" s="486">
        <v>25.38</v>
      </c>
    </row>
    <row r="5540" spans="1:5">
      <c r="A5540" s="349">
        <v>88278</v>
      </c>
      <c r="B5540" s="348" t="s">
        <v>1164</v>
      </c>
      <c r="C5540" s="349" t="s">
        <v>57</v>
      </c>
      <c r="D5540" s="483">
        <v>23.82</v>
      </c>
      <c r="E5540" s="483">
        <v>23.82</v>
      </c>
    </row>
    <row r="5541" spans="1:5">
      <c r="A5541" s="484">
        <v>88279</v>
      </c>
      <c r="B5541" s="485" t="s">
        <v>7447</v>
      </c>
      <c r="C5541" s="484" t="s">
        <v>57</v>
      </c>
      <c r="D5541" s="486">
        <v>24.36</v>
      </c>
      <c r="E5541" s="486">
        <v>24.36</v>
      </c>
    </row>
    <row r="5542" spans="1:5">
      <c r="A5542" s="349">
        <v>88281</v>
      </c>
      <c r="B5542" s="348" t="s">
        <v>1165</v>
      </c>
      <c r="C5542" s="349" t="s">
        <v>57</v>
      </c>
      <c r="D5542" s="483">
        <v>32</v>
      </c>
      <c r="E5542" s="483">
        <v>32</v>
      </c>
    </row>
    <row r="5543" spans="1:5">
      <c r="A5543" s="484">
        <v>88282</v>
      </c>
      <c r="B5543" s="485" t="s">
        <v>1166</v>
      </c>
      <c r="C5543" s="484" t="s">
        <v>57</v>
      </c>
      <c r="D5543" s="486">
        <v>32</v>
      </c>
      <c r="E5543" s="486">
        <v>32</v>
      </c>
    </row>
    <row r="5544" spans="1:5">
      <c r="A5544" s="349">
        <v>88283</v>
      </c>
      <c r="B5544" s="348" t="s">
        <v>1167</v>
      </c>
      <c r="C5544" s="349" t="s">
        <v>57</v>
      </c>
      <c r="D5544" s="483">
        <v>32.03</v>
      </c>
      <c r="E5544" s="483">
        <v>32.03</v>
      </c>
    </row>
    <row r="5545" spans="1:5">
      <c r="A5545" s="484">
        <v>88284</v>
      </c>
      <c r="B5545" s="485" t="s">
        <v>7617</v>
      </c>
      <c r="C5545" s="484" t="s">
        <v>57</v>
      </c>
      <c r="D5545" s="486">
        <v>29.77</v>
      </c>
      <c r="E5545" s="486">
        <v>29.77</v>
      </c>
    </row>
    <row r="5546" spans="1:5">
      <c r="A5546" s="349">
        <v>88285</v>
      </c>
      <c r="B5546" s="348" t="s">
        <v>1168</v>
      </c>
      <c r="C5546" s="349" t="s">
        <v>57</v>
      </c>
      <c r="D5546" s="483">
        <v>32.03</v>
      </c>
      <c r="E5546" s="483">
        <v>32.03</v>
      </c>
    </row>
    <row r="5547" spans="1:5">
      <c r="A5547" s="484">
        <v>88286</v>
      </c>
      <c r="B5547" s="485" t="s">
        <v>1169</v>
      </c>
      <c r="C5547" s="484" t="s">
        <v>57</v>
      </c>
      <c r="D5547" s="486">
        <v>35.1</v>
      </c>
      <c r="E5547" s="486">
        <v>35.1</v>
      </c>
    </row>
    <row r="5548" spans="1:5">
      <c r="A5548" s="349">
        <v>88288</v>
      </c>
      <c r="B5548" s="348" t="s">
        <v>1170</v>
      </c>
      <c r="C5548" s="349" t="s">
        <v>57</v>
      </c>
      <c r="D5548" s="483">
        <v>15.81</v>
      </c>
      <c r="E5548" s="483">
        <v>15.81</v>
      </c>
    </row>
    <row r="5549" spans="1:5">
      <c r="A5549" s="484">
        <v>88290</v>
      </c>
      <c r="B5549" s="485" t="s">
        <v>1171</v>
      </c>
      <c r="C5549" s="484" t="s">
        <v>57</v>
      </c>
      <c r="D5549" s="486">
        <v>32.85</v>
      </c>
      <c r="E5549" s="486">
        <v>32.85</v>
      </c>
    </row>
    <row r="5550" spans="1:5">
      <c r="A5550" s="349">
        <v>88291</v>
      </c>
      <c r="B5550" s="348" t="s">
        <v>1172</v>
      </c>
      <c r="C5550" s="349" t="s">
        <v>57</v>
      </c>
      <c r="D5550" s="483">
        <v>34.57</v>
      </c>
      <c r="E5550" s="483">
        <v>34.57</v>
      </c>
    </row>
    <row r="5551" spans="1:5">
      <c r="A5551" s="484">
        <v>88292</v>
      </c>
      <c r="B5551" s="485" t="s">
        <v>1173</v>
      </c>
      <c r="C5551" s="484" t="s">
        <v>57</v>
      </c>
      <c r="D5551" s="486">
        <v>23.6</v>
      </c>
      <c r="E5551" s="486">
        <v>23.6</v>
      </c>
    </row>
    <row r="5552" spans="1:5">
      <c r="A5552" s="349">
        <v>88293</v>
      </c>
      <c r="B5552" s="348" t="s">
        <v>1174</v>
      </c>
      <c r="C5552" s="349" t="s">
        <v>57</v>
      </c>
      <c r="D5552" s="483">
        <v>35.71</v>
      </c>
      <c r="E5552" s="483">
        <v>35.71</v>
      </c>
    </row>
    <row r="5553" spans="1:5">
      <c r="A5553" s="484">
        <v>88294</v>
      </c>
      <c r="B5553" s="485" t="s">
        <v>1175</v>
      </c>
      <c r="C5553" s="484" t="s">
        <v>57</v>
      </c>
      <c r="D5553" s="486">
        <v>38.31</v>
      </c>
      <c r="E5553" s="486">
        <v>38.31</v>
      </c>
    </row>
    <row r="5554" spans="1:5">
      <c r="A5554" s="349">
        <v>88295</v>
      </c>
      <c r="B5554" s="348" t="s">
        <v>1176</v>
      </c>
      <c r="C5554" s="349" t="s">
        <v>57</v>
      </c>
      <c r="D5554" s="483">
        <v>22.16</v>
      </c>
      <c r="E5554" s="483">
        <v>22.16</v>
      </c>
    </row>
    <row r="5555" spans="1:5">
      <c r="A5555" s="484">
        <v>88296</v>
      </c>
      <c r="B5555" s="485" t="s">
        <v>1177</v>
      </c>
      <c r="C5555" s="484" t="s">
        <v>57</v>
      </c>
      <c r="D5555" s="486">
        <v>44.03</v>
      </c>
      <c r="E5555" s="486">
        <v>44.03</v>
      </c>
    </row>
    <row r="5556" spans="1:5" ht="29.25" customHeight="1">
      <c r="A5556" s="349">
        <v>88297</v>
      </c>
      <c r="B5556" s="348" t="s">
        <v>1178</v>
      </c>
      <c r="C5556" s="349" t="s">
        <v>57</v>
      </c>
      <c r="D5556" s="483">
        <v>32.65</v>
      </c>
      <c r="E5556" s="483">
        <v>32.65</v>
      </c>
    </row>
    <row r="5557" spans="1:5" ht="29.25" customHeight="1">
      <c r="A5557" s="484">
        <v>88298</v>
      </c>
      <c r="B5557" s="485" t="s">
        <v>1179</v>
      </c>
      <c r="C5557" s="484" t="s">
        <v>57</v>
      </c>
      <c r="D5557" s="486">
        <v>22.15</v>
      </c>
      <c r="E5557" s="486">
        <v>22.15</v>
      </c>
    </row>
    <row r="5558" spans="1:5">
      <c r="A5558" s="349">
        <v>88299</v>
      </c>
      <c r="B5558" s="348" t="s">
        <v>7733</v>
      </c>
      <c r="C5558" s="349" t="s">
        <v>57</v>
      </c>
      <c r="D5558" s="483">
        <v>49.15</v>
      </c>
      <c r="E5558" s="483">
        <v>49.15</v>
      </c>
    </row>
    <row r="5559" spans="1:5">
      <c r="A5559" s="484">
        <v>88300</v>
      </c>
      <c r="B5559" s="485" t="s">
        <v>1180</v>
      </c>
      <c r="C5559" s="484" t="s">
        <v>57</v>
      </c>
      <c r="D5559" s="486">
        <v>49.15</v>
      </c>
      <c r="E5559" s="486">
        <v>49.15</v>
      </c>
    </row>
    <row r="5560" spans="1:5">
      <c r="A5560" s="349">
        <v>88301</v>
      </c>
      <c r="B5560" s="348" t="s">
        <v>1181</v>
      </c>
      <c r="C5560" s="349" t="s">
        <v>57</v>
      </c>
      <c r="D5560" s="483">
        <v>36.11</v>
      </c>
      <c r="E5560" s="483">
        <v>36.11</v>
      </c>
    </row>
    <row r="5561" spans="1:5">
      <c r="A5561" s="484">
        <v>88302</v>
      </c>
      <c r="B5561" s="485" t="s">
        <v>1182</v>
      </c>
      <c r="C5561" s="484" t="s">
        <v>57</v>
      </c>
      <c r="D5561" s="486">
        <v>35.71</v>
      </c>
      <c r="E5561" s="486">
        <v>35.71</v>
      </c>
    </row>
    <row r="5562" spans="1:5">
      <c r="A5562" s="349">
        <v>88303</v>
      </c>
      <c r="B5562" s="348" t="s">
        <v>1183</v>
      </c>
      <c r="C5562" s="349" t="s">
        <v>57</v>
      </c>
      <c r="D5562" s="483">
        <v>31.56</v>
      </c>
      <c r="E5562" s="483">
        <v>31.56</v>
      </c>
    </row>
    <row r="5563" spans="1:5" ht="30">
      <c r="A5563" s="484">
        <v>88304</v>
      </c>
      <c r="B5563" s="485" t="s">
        <v>19332</v>
      </c>
      <c r="C5563" s="484" t="s">
        <v>57</v>
      </c>
      <c r="D5563" s="486">
        <v>32.85</v>
      </c>
      <c r="E5563" s="486">
        <v>32.85</v>
      </c>
    </row>
    <row r="5564" spans="1:5">
      <c r="A5564" s="349">
        <v>88306</v>
      </c>
      <c r="B5564" s="348" t="s">
        <v>1184</v>
      </c>
      <c r="C5564" s="349" t="s">
        <v>57</v>
      </c>
      <c r="D5564" s="483">
        <v>23.47</v>
      </c>
      <c r="E5564" s="483">
        <v>23.47</v>
      </c>
    </row>
    <row r="5565" spans="1:5">
      <c r="A5565" s="484">
        <v>88307</v>
      </c>
      <c r="B5565" s="485" t="s">
        <v>1185</v>
      </c>
      <c r="C5565" s="484" t="s">
        <v>57</v>
      </c>
      <c r="D5565" s="486">
        <v>27.09</v>
      </c>
      <c r="E5565" s="486">
        <v>27.09</v>
      </c>
    </row>
    <row r="5566" spans="1:5">
      <c r="A5566" s="349">
        <v>88308</v>
      </c>
      <c r="B5566" s="348" t="s">
        <v>1186</v>
      </c>
      <c r="C5566" s="349" t="s">
        <v>57</v>
      </c>
      <c r="D5566" s="483">
        <v>21.75</v>
      </c>
      <c r="E5566" s="483">
        <v>21.75</v>
      </c>
    </row>
    <row r="5567" spans="1:5">
      <c r="A5567" s="484">
        <v>88309</v>
      </c>
      <c r="B5567" s="485" t="s">
        <v>1187</v>
      </c>
      <c r="C5567" s="484" t="s">
        <v>57</v>
      </c>
      <c r="D5567" s="486">
        <v>18.760000000000002</v>
      </c>
      <c r="E5567" s="486">
        <v>18.760000000000002</v>
      </c>
    </row>
    <row r="5568" spans="1:5">
      <c r="A5568" s="349">
        <v>88310</v>
      </c>
      <c r="B5568" s="348" t="s">
        <v>1188</v>
      </c>
      <c r="C5568" s="349" t="s">
        <v>57</v>
      </c>
      <c r="D5568" s="483">
        <v>18.68</v>
      </c>
      <c r="E5568" s="483">
        <v>18.68</v>
      </c>
    </row>
    <row r="5569" spans="1:5">
      <c r="A5569" s="484">
        <v>88311</v>
      </c>
      <c r="B5569" s="485" t="s">
        <v>1189</v>
      </c>
      <c r="C5569" s="484" t="s">
        <v>57</v>
      </c>
      <c r="D5569" s="486">
        <v>19.52</v>
      </c>
      <c r="E5569" s="486">
        <v>19.52</v>
      </c>
    </row>
    <row r="5570" spans="1:5">
      <c r="A5570" s="349">
        <v>88312</v>
      </c>
      <c r="B5570" s="348" t="s">
        <v>1190</v>
      </c>
      <c r="C5570" s="349" t="s">
        <v>57</v>
      </c>
      <c r="D5570" s="483">
        <v>21.5</v>
      </c>
      <c r="E5570" s="483">
        <v>21.5</v>
      </c>
    </row>
    <row r="5571" spans="1:5">
      <c r="A5571" s="484">
        <v>88313</v>
      </c>
      <c r="B5571" s="485" t="s">
        <v>1191</v>
      </c>
      <c r="C5571" s="484" t="s">
        <v>57</v>
      </c>
      <c r="D5571" s="486">
        <v>43.15</v>
      </c>
      <c r="E5571" s="486">
        <v>43.15</v>
      </c>
    </row>
    <row r="5572" spans="1:5">
      <c r="A5572" s="349">
        <v>88314</v>
      </c>
      <c r="B5572" s="348" t="s">
        <v>1192</v>
      </c>
      <c r="C5572" s="349" t="s">
        <v>57</v>
      </c>
      <c r="D5572" s="483">
        <v>17.25</v>
      </c>
      <c r="E5572" s="483">
        <v>17.25</v>
      </c>
    </row>
    <row r="5573" spans="1:5">
      <c r="A5573" s="484">
        <v>88315</v>
      </c>
      <c r="B5573" s="485" t="s">
        <v>1193</v>
      </c>
      <c r="C5573" s="484" t="s">
        <v>57</v>
      </c>
      <c r="D5573" s="486">
        <v>17.8</v>
      </c>
      <c r="E5573" s="486">
        <v>17.8</v>
      </c>
    </row>
    <row r="5574" spans="1:5">
      <c r="A5574" s="349">
        <v>88316</v>
      </c>
      <c r="B5574" s="348" t="s">
        <v>1194</v>
      </c>
      <c r="C5574" s="349" t="s">
        <v>57</v>
      </c>
      <c r="D5574" s="483">
        <v>13.22</v>
      </c>
      <c r="E5574" s="483">
        <v>13.22</v>
      </c>
    </row>
    <row r="5575" spans="1:5">
      <c r="A5575" s="484">
        <v>88317</v>
      </c>
      <c r="B5575" s="485" t="s">
        <v>1195</v>
      </c>
      <c r="C5575" s="484" t="s">
        <v>57</v>
      </c>
      <c r="D5575" s="486">
        <v>18.64</v>
      </c>
      <c r="E5575" s="486">
        <v>18.64</v>
      </c>
    </row>
    <row r="5576" spans="1:5">
      <c r="A5576" s="349">
        <v>88318</v>
      </c>
      <c r="B5576" s="348" t="s">
        <v>19333</v>
      </c>
      <c r="C5576" s="349" t="s">
        <v>57</v>
      </c>
      <c r="D5576" s="483">
        <v>20</v>
      </c>
      <c r="E5576" s="483">
        <v>20</v>
      </c>
    </row>
    <row r="5577" spans="1:5">
      <c r="A5577" s="484">
        <v>88320</v>
      </c>
      <c r="B5577" s="485" t="s">
        <v>1196</v>
      </c>
      <c r="C5577" s="484" t="s">
        <v>57</v>
      </c>
      <c r="D5577" s="486">
        <v>15.98</v>
      </c>
      <c r="E5577" s="486">
        <v>15.98</v>
      </c>
    </row>
    <row r="5578" spans="1:5">
      <c r="A5578" s="349">
        <v>88321</v>
      </c>
      <c r="B5578" s="348" t="s">
        <v>1197</v>
      </c>
      <c r="C5578" s="349" t="s">
        <v>57</v>
      </c>
      <c r="D5578" s="483">
        <v>63.92</v>
      </c>
      <c r="E5578" s="483">
        <v>63.92</v>
      </c>
    </row>
    <row r="5579" spans="1:5">
      <c r="A5579" s="484">
        <v>88322</v>
      </c>
      <c r="B5579" s="485" t="s">
        <v>1198</v>
      </c>
      <c r="C5579" s="484" t="s">
        <v>57</v>
      </c>
      <c r="D5579" s="486">
        <v>76.2</v>
      </c>
      <c r="E5579" s="486">
        <v>76.2</v>
      </c>
    </row>
    <row r="5580" spans="1:5">
      <c r="A5580" s="349">
        <v>88323</v>
      </c>
      <c r="B5580" s="348" t="s">
        <v>1199</v>
      </c>
      <c r="C5580" s="349" t="s">
        <v>57</v>
      </c>
      <c r="D5580" s="483">
        <v>16.61</v>
      </c>
      <c r="E5580" s="483">
        <v>16.61</v>
      </c>
    </row>
    <row r="5581" spans="1:5">
      <c r="A5581" s="484">
        <v>88324</v>
      </c>
      <c r="B5581" s="485" t="s">
        <v>1200</v>
      </c>
      <c r="C5581" s="484" t="s">
        <v>57</v>
      </c>
      <c r="D5581" s="486">
        <v>34.75</v>
      </c>
      <c r="E5581" s="486">
        <v>34.75</v>
      </c>
    </row>
    <row r="5582" spans="1:5">
      <c r="A5582" s="349">
        <v>88325</v>
      </c>
      <c r="B5582" s="348" t="s">
        <v>1201</v>
      </c>
      <c r="C5582" s="349" t="s">
        <v>57</v>
      </c>
      <c r="D5582" s="483">
        <v>16.63</v>
      </c>
      <c r="E5582" s="483">
        <v>16.63</v>
      </c>
    </row>
    <row r="5583" spans="1:5">
      <c r="A5583" s="484">
        <v>88326</v>
      </c>
      <c r="B5583" s="485" t="s">
        <v>1202</v>
      </c>
      <c r="C5583" s="484" t="s">
        <v>57</v>
      </c>
      <c r="D5583" s="486">
        <v>25.2</v>
      </c>
      <c r="E5583" s="486">
        <v>25.2</v>
      </c>
    </row>
    <row r="5584" spans="1:5">
      <c r="A5584" s="349">
        <v>88377</v>
      </c>
      <c r="B5584" s="348" t="s">
        <v>19334</v>
      </c>
      <c r="C5584" s="349" t="s">
        <v>57</v>
      </c>
      <c r="D5584" s="483">
        <v>13.55</v>
      </c>
      <c r="E5584" s="483">
        <v>13.55</v>
      </c>
    </row>
    <row r="5585" spans="1:5">
      <c r="A5585" s="484">
        <v>88441</v>
      </c>
      <c r="B5585" s="485" t="s">
        <v>1203</v>
      </c>
      <c r="C5585" s="484" t="s">
        <v>57</v>
      </c>
      <c r="D5585" s="486">
        <v>14.97</v>
      </c>
      <c r="E5585" s="486">
        <v>14.97</v>
      </c>
    </row>
    <row r="5586" spans="1:5">
      <c r="A5586" s="349">
        <v>88597</v>
      </c>
      <c r="B5586" s="348" t="s">
        <v>1204</v>
      </c>
      <c r="C5586" s="349" t="s">
        <v>57</v>
      </c>
      <c r="D5586" s="483">
        <v>27.46</v>
      </c>
      <c r="E5586" s="483">
        <v>27.46</v>
      </c>
    </row>
    <row r="5587" spans="1:5">
      <c r="A5587" s="484">
        <v>90766</v>
      </c>
      <c r="B5587" s="485" t="s">
        <v>1205</v>
      </c>
      <c r="C5587" s="484" t="s">
        <v>57</v>
      </c>
      <c r="D5587" s="486">
        <v>25.12</v>
      </c>
      <c r="E5587" s="486">
        <v>25.12</v>
      </c>
    </row>
    <row r="5588" spans="1:5">
      <c r="A5588" s="349">
        <v>90767</v>
      </c>
      <c r="B5588" s="348" t="s">
        <v>1206</v>
      </c>
      <c r="C5588" s="349" t="s">
        <v>57</v>
      </c>
      <c r="D5588" s="483">
        <v>24.15</v>
      </c>
      <c r="E5588" s="483">
        <v>24.15</v>
      </c>
    </row>
    <row r="5589" spans="1:5">
      <c r="A5589" s="484">
        <v>90768</v>
      </c>
      <c r="B5589" s="485" t="s">
        <v>2176</v>
      </c>
      <c r="C5589" s="484" t="s">
        <v>57</v>
      </c>
      <c r="D5589" s="486">
        <v>75.66</v>
      </c>
      <c r="E5589" s="486">
        <v>75.66</v>
      </c>
    </row>
    <row r="5590" spans="1:5">
      <c r="A5590" s="349">
        <v>90769</v>
      </c>
      <c r="B5590" s="348" t="s">
        <v>1207</v>
      </c>
      <c r="C5590" s="349" t="s">
        <v>57</v>
      </c>
      <c r="D5590" s="483">
        <v>86.76</v>
      </c>
      <c r="E5590" s="483">
        <v>86.76</v>
      </c>
    </row>
    <row r="5591" spans="1:5">
      <c r="A5591" s="484">
        <v>90770</v>
      </c>
      <c r="B5591" s="485" t="s">
        <v>2177</v>
      </c>
      <c r="C5591" s="484" t="s">
        <v>57</v>
      </c>
      <c r="D5591" s="486">
        <v>102.7</v>
      </c>
      <c r="E5591" s="486">
        <v>102.7</v>
      </c>
    </row>
    <row r="5592" spans="1:5">
      <c r="A5592" s="349">
        <v>90771</v>
      </c>
      <c r="B5592" s="348" t="s">
        <v>1208</v>
      </c>
      <c r="C5592" s="349" t="s">
        <v>57</v>
      </c>
      <c r="D5592" s="483">
        <v>22.75</v>
      </c>
      <c r="E5592" s="483">
        <v>22.75</v>
      </c>
    </row>
    <row r="5593" spans="1:5">
      <c r="A5593" s="484">
        <v>90772</v>
      </c>
      <c r="B5593" s="485" t="s">
        <v>2375</v>
      </c>
      <c r="C5593" s="484" t="s">
        <v>57</v>
      </c>
      <c r="D5593" s="486">
        <v>16.559999999999999</v>
      </c>
      <c r="E5593" s="486">
        <v>16.559999999999999</v>
      </c>
    </row>
    <row r="5594" spans="1:5">
      <c r="A5594" s="349">
        <v>90773</v>
      </c>
      <c r="B5594" s="348" t="s">
        <v>1209</v>
      </c>
      <c r="C5594" s="349" t="s">
        <v>57</v>
      </c>
      <c r="D5594" s="483">
        <v>23.01</v>
      </c>
      <c r="E5594" s="483">
        <v>23.01</v>
      </c>
    </row>
    <row r="5595" spans="1:5">
      <c r="A5595" s="484">
        <v>90775</v>
      </c>
      <c r="B5595" s="485" t="s">
        <v>1210</v>
      </c>
      <c r="C5595" s="484" t="s">
        <v>57</v>
      </c>
      <c r="D5595" s="486">
        <v>37.729999999999997</v>
      </c>
      <c r="E5595" s="486">
        <v>37.729999999999997</v>
      </c>
    </row>
    <row r="5596" spans="1:5">
      <c r="A5596" s="349">
        <v>90776</v>
      </c>
      <c r="B5596" s="348" t="s">
        <v>1211</v>
      </c>
      <c r="C5596" s="349" t="s">
        <v>57</v>
      </c>
      <c r="D5596" s="483">
        <v>37.619999999999997</v>
      </c>
      <c r="E5596" s="483">
        <v>37.619999999999997</v>
      </c>
    </row>
    <row r="5597" spans="1:5">
      <c r="A5597" s="484">
        <v>90777</v>
      </c>
      <c r="B5597" s="485" t="s">
        <v>5019</v>
      </c>
      <c r="C5597" s="484" t="s">
        <v>57</v>
      </c>
      <c r="D5597" s="486">
        <v>80.44</v>
      </c>
      <c r="E5597" s="486">
        <v>80.44</v>
      </c>
    </row>
    <row r="5598" spans="1:5">
      <c r="A5598" s="349">
        <v>90778</v>
      </c>
      <c r="B5598" s="348" t="s">
        <v>1212</v>
      </c>
      <c r="C5598" s="349" t="s">
        <v>57</v>
      </c>
      <c r="D5598" s="483">
        <v>101.19</v>
      </c>
      <c r="E5598" s="483">
        <v>101.19</v>
      </c>
    </row>
    <row r="5599" spans="1:5">
      <c r="A5599" s="484">
        <v>90779</v>
      </c>
      <c r="B5599" s="485" t="s">
        <v>5022</v>
      </c>
      <c r="C5599" s="484" t="s">
        <v>57</v>
      </c>
      <c r="D5599" s="486">
        <v>132.80000000000001</v>
      </c>
      <c r="E5599" s="486">
        <v>132.80000000000001</v>
      </c>
    </row>
    <row r="5600" spans="1:5">
      <c r="A5600" s="349">
        <v>90780</v>
      </c>
      <c r="B5600" s="348" t="s">
        <v>1213</v>
      </c>
      <c r="C5600" s="349" t="s">
        <v>57</v>
      </c>
      <c r="D5600" s="483">
        <v>58.92</v>
      </c>
      <c r="E5600" s="483">
        <v>58.92</v>
      </c>
    </row>
    <row r="5601" spans="1:5">
      <c r="A5601" s="484">
        <v>90781</v>
      </c>
      <c r="B5601" s="485" t="s">
        <v>9759</v>
      </c>
      <c r="C5601" s="484" t="s">
        <v>57</v>
      </c>
      <c r="D5601" s="486">
        <v>17.350000000000001</v>
      </c>
      <c r="E5601" s="486">
        <v>17.350000000000001</v>
      </c>
    </row>
    <row r="5602" spans="1:5">
      <c r="A5602" s="349">
        <v>91677</v>
      </c>
      <c r="B5602" s="348" t="s">
        <v>1214</v>
      </c>
      <c r="C5602" s="349" t="s">
        <v>57</v>
      </c>
      <c r="D5602" s="483">
        <v>94.24</v>
      </c>
      <c r="E5602" s="483">
        <v>94.24</v>
      </c>
    </row>
    <row r="5603" spans="1:5">
      <c r="A5603" s="484">
        <v>91678</v>
      </c>
      <c r="B5603" s="485" t="s">
        <v>5030</v>
      </c>
      <c r="C5603" s="484" t="s">
        <v>57</v>
      </c>
      <c r="D5603" s="486">
        <v>79.48</v>
      </c>
      <c r="E5603" s="486">
        <v>79.48</v>
      </c>
    </row>
    <row r="5604" spans="1:5">
      <c r="A5604" s="349">
        <v>93556</v>
      </c>
      <c r="B5604" s="348" t="s">
        <v>5562</v>
      </c>
      <c r="C5604" s="349" t="s">
        <v>1643</v>
      </c>
      <c r="D5604" s="483">
        <v>98.62</v>
      </c>
      <c r="E5604" s="483">
        <v>98.62</v>
      </c>
    </row>
    <row r="5605" spans="1:5">
      <c r="A5605" s="484">
        <v>93557</v>
      </c>
      <c r="B5605" s="485" t="s">
        <v>5095</v>
      </c>
      <c r="C5605" s="484" t="s">
        <v>1643</v>
      </c>
      <c r="D5605" s="486">
        <v>154.5</v>
      </c>
      <c r="E5605" s="486">
        <v>154.5</v>
      </c>
    </row>
    <row r="5606" spans="1:5">
      <c r="A5606" s="349">
        <v>93558</v>
      </c>
      <c r="B5606" s="348" t="s">
        <v>7612</v>
      </c>
      <c r="C5606" s="349" t="s">
        <v>1643</v>
      </c>
      <c r="D5606" s="483">
        <v>5670.09</v>
      </c>
      <c r="E5606" s="483">
        <v>5670.09</v>
      </c>
    </row>
    <row r="5607" spans="1:5">
      <c r="A5607" s="484">
        <v>93559</v>
      </c>
      <c r="B5607" s="485" t="s">
        <v>1204</v>
      </c>
      <c r="C5607" s="484" t="s">
        <v>1643</v>
      </c>
      <c r="D5607" s="486">
        <v>4865.45</v>
      </c>
      <c r="E5607" s="486">
        <v>4865.45</v>
      </c>
    </row>
    <row r="5608" spans="1:5">
      <c r="A5608" s="349">
        <v>93560</v>
      </c>
      <c r="B5608" s="348" t="s">
        <v>1209</v>
      </c>
      <c r="C5608" s="349" t="s">
        <v>1643</v>
      </c>
      <c r="D5608" s="483">
        <v>4083.82</v>
      </c>
      <c r="E5608" s="483">
        <v>4083.82</v>
      </c>
    </row>
    <row r="5609" spans="1:5">
      <c r="A5609" s="484">
        <v>93561</v>
      </c>
      <c r="B5609" s="485" t="s">
        <v>1210</v>
      </c>
      <c r="C5609" s="484" t="s">
        <v>1643</v>
      </c>
      <c r="D5609" s="486">
        <v>6917.87</v>
      </c>
      <c r="E5609" s="486">
        <v>6917.87</v>
      </c>
    </row>
    <row r="5610" spans="1:5">
      <c r="A5610" s="349">
        <v>93562</v>
      </c>
      <c r="B5610" s="348" t="s">
        <v>1208</v>
      </c>
      <c r="C5610" s="349" t="s">
        <v>1643</v>
      </c>
      <c r="D5610" s="483">
        <v>4039.06</v>
      </c>
      <c r="E5610" s="483">
        <v>4039.06</v>
      </c>
    </row>
    <row r="5611" spans="1:5">
      <c r="A5611" s="484">
        <v>93563</v>
      </c>
      <c r="B5611" s="485" t="s">
        <v>1205</v>
      </c>
      <c r="C5611" s="484" t="s">
        <v>1643</v>
      </c>
      <c r="D5611" s="486">
        <v>4456.29</v>
      </c>
      <c r="E5611" s="486">
        <v>4456.29</v>
      </c>
    </row>
    <row r="5612" spans="1:5">
      <c r="A5612" s="349">
        <v>93564</v>
      </c>
      <c r="B5612" s="348" t="s">
        <v>1206</v>
      </c>
      <c r="C5612" s="349" t="s">
        <v>1643</v>
      </c>
      <c r="D5612" s="483">
        <v>4273.53</v>
      </c>
      <c r="E5612" s="483">
        <v>4273.53</v>
      </c>
    </row>
    <row r="5613" spans="1:5">
      <c r="A5613" s="484">
        <v>93565</v>
      </c>
      <c r="B5613" s="485" t="s">
        <v>5019</v>
      </c>
      <c r="C5613" s="484" t="s">
        <v>1643</v>
      </c>
      <c r="D5613" s="486">
        <v>14141.21</v>
      </c>
      <c r="E5613" s="486">
        <v>14141.21</v>
      </c>
    </row>
    <row r="5614" spans="1:5">
      <c r="A5614" s="349">
        <v>93566</v>
      </c>
      <c r="B5614" s="348" t="s">
        <v>2375</v>
      </c>
      <c r="C5614" s="349" t="s">
        <v>1643</v>
      </c>
      <c r="D5614" s="483">
        <v>2950.32</v>
      </c>
      <c r="E5614" s="483">
        <v>2950.32</v>
      </c>
    </row>
    <row r="5615" spans="1:5">
      <c r="A5615" s="484">
        <v>93567</v>
      </c>
      <c r="B5615" s="485" t="s">
        <v>1212</v>
      </c>
      <c r="C5615" s="484" t="s">
        <v>1643</v>
      </c>
      <c r="D5615" s="486">
        <v>17788.23</v>
      </c>
      <c r="E5615" s="486">
        <v>17788.23</v>
      </c>
    </row>
    <row r="5616" spans="1:5">
      <c r="A5616" s="349">
        <v>93568</v>
      </c>
      <c r="B5616" s="348" t="s">
        <v>5022</v>
      </c>
      <c r="C5616" s="349" t="s">
        <v>1643</v>
      </c>
      <c r="D5616" s="483">
        <v>23340.63</v>
      </c>
      <c r="E5616" s="483">
        <v>23340.63</v>
      </c>
    </row>
    <row r="5617" spans="1:5">
      <c r="A5617" s="484">
        <v>93569</v>
      </c>
      <c r="B5617" s="485" t="s">
        <v>2180</v>
      </c>
      <c r="C5617" s="484" t="s">
        <v>1643</v>
      </c>
      <c r="D5617" s="486">
        <v>13317.37</v>
      </c>
      <c r="E5617" s="486">
        <v>13317.37</v>
      </c>
    </row>
    <row r="5618" spans="1:5">
      <c r="A5618" s="349">
        <v>93570</v>
      </c>
      <c r="B5618" s="348" t="s">
        <v>2182</v>
      </c>
      <c r="C5618" s="349" t="s">
        <v>1643</v>
      </c>
      <c r="D5618" s="483">
        <v>15269.55</v>
      </c>
      <c r="E5618" s="483">
        <v>15269.55</v>
      </c>
    </row>
    <row r="5619" spans="1:5">
      <c r="A5619" s="484">
        <v>93571</v>
      </c>
      <c r="B5619" s="485" t="s">
        <v>2185</v>
      </c>
      <c r="C5619" s="484" t="s">
        <v>1643</v>
      </c>
      <c r="D5619" s="486">
        <v>18074.93</v>
      </c>
      <c r="E5619" s="486">
        <v>18074.93</v>
      </c>
    </row>
    <row r="5620" spans="1:5">
      <c r="A5620" s="349">
        <v>93572</v>
      </c>
      <c r="B5620" s="348" t="s">
        <v>5006</v>
      </c>
      <c r="C5620" s="349" t="s">
        <v>1643</v>
      </c>
      <c r="D5620" s="483">
        <v>6635.6</v>
      </c>
      <c r="E5620" s="483">
        <v>6635.6</v>
      </c>
    </row>
    <row r="5621" spans="1:5">
      <c r="A5621" s="484">
        <v>94295</v>
      </c>
      <c r="B5621" s="485" t="s">
        <v>1213</v>
      </c>
      <c r="C5621" s="484" t="s">
        <v>1643</v>
      </c>
      <c r="D5621" s="486">
        <v>10349.459999999999</v>
      </c>
      <c r="E5621" s="486">
        <v>10349.459999999999</v>
      </c>
    </row>
    <row r="5622" spans="1:5">
      <c r="A5622" s="349">
        <v>94296</v>
      </c>
      <c r="B5622" s="348" t="s">
        <v>9759</v>
      </c>
      <c r="C5622" s="349" t="s">
        <v>1643</v>
      </c>
      <c r="D5622" s="483">
        <v>3087.35</v>
      </c>
      <c r="E5622" s="483">
        <v>3087.35</v>
      </c>
    </row>
    <row r="5623" spans="1:5" ht="30">
      <c r="A5623" s="484">
        <v>95308</v>
      </c>
      <c r="B5623" s="485" t="s">
        <v>19335</v>
      </c>
      <c r="C5623" s="484" t="s">
        <v>57</v>
      </c>
      <c r="D5623" s="486">
        <v>0.1</v>
      </c>
      <c r="E5623" s="486">
        <v>0.1</v>
      </c>
    </row>
    <row r="5624" spans="1:5" ht="30">
      <c r="A5624" s="349">
        <v>95309</v>
      </c>
      <c r="B5624" s="348" t="s">
        <v>19336</v>
      </c>
      <c r="C5624" s="349" t="s">
        <v>57</v>
      </c>
      <c r="D5624" s="483">
        <v>0.13</v>
      </c>
      <c r="E5624" s="483">
        <v>0.13</v>
      </c>
    </row>
    <row r="5625" spans="1:5" ht="30">
      <c r="A5625" s="484">
        <v>95310</v>
      </c>
      <c r="B5625" s="485" t="s">
        <v>19337</v>
      </c>
      <c r="C5625" s="484" t="s">
        <v>57</v>
      </c>
      <c r="D5625" s="486">
        <v>0.11</v>
      </c>
      <c r="E5625" s="486">
        <v>0.11</v>
      </c>
    </row>
    <row r="5626" spans="1:5" ht="30">
      <c r="A5626" s="349">
        <v>95311</v>
      </c>
      <c r="B5626" s="348" t="s">
        <v>19338</v>
      </c>
      <c r="C5626" s="349" t="s">
        <v>57</v>
      </c>
      <c r="D5626" s="483">
        <v>0.09</v>
      </c>
      <c r="E5626" s="483">
        <v>0.09</v>
      </c>
    </row>
    <row r="5627" spans="1:5" ht="30">
      <c r="A5627" s="484">
        <v>95312</v>
      </c>
      <c r="B5627" s="485" t="s">
        <v>19339</v>
      </c>
      <c r="C5627" s="484" t="s">
        <v>57</v>
      </c>
      <c r="D5627" s="486">
        <v>0.12</v>
      </c>
      <c r="E5627" s="486">
        <v>0.12</v>
      </c>
    </row>
    <row r="5628" spans="1:5" ht="30">
      <c r="A5628" s="349">
        <v>95313</v>
      </c>
      <c r="B5628" s="348" t="s">
        <v>19340</v>
      </c>
      <c r="C5628" s="349" t="s">
        <v>57</v>
      </c>
      <c r="D5628" s="483">
        <v>0.09</v>
      </c>
      <c r="E5628" s="483">
        <v>0.09</v>
      </c>
    </row>
    <row r="5629" spans="1:5">
      <c r="A5629" s="484">
        <v>95314</v>
      </c>
      <c r="B5629" s="485" t="s">
        <v>19341</v>
      </c>
      <c r="C5629" s="484" t="s">
        <v>57</v>
      </c>
      <c r="D5629" s="486">
        <v>0.13</v>
      </c>
      <c r="E5629" s="486">
        <v>0.13</v>
      </c>
    </row>
    <row r="5630" spans="1:5" ht="30">
      <c r="A5630" s="349">
        <v>95315</v>
      </c>
      <c r="B5630" s="348" t="s">
        <v>19342</v>
      </c>
      <c r="C5630" s="349" t="s">
        <v>57</v>
      </c>
      <c r="D5630" s="483">
        <v>0.25</v>
      </c>
      <c r="E5630" s="483">
        <v>0.25</v>
      </c>
    </row>
    <row r="5631" spans="1:5" ht="30">
      <c r="A5631" s="484">
        <v>95316</v>
      </c>
      <c r="B5631" s="485" t="s">
        <v>19343</v>
      </c>
      <c r="C5631" s="484" t="s">
        <v>57</v>
      </c>
      <c r="D5631" s="486">
        <v>0.33</v>
      </c>
      <c r="E5631" s="486">
        <v>0.33</v>
      </c>
    </row>
    <row r="5632" spans="1:5" ht="30">
      <c r="A5632" s="349">
        <v>95317</v>
      </c>
      <c r="B5632" s="348" t="s">
        <v>19344</v>
      </c>
      <c r="C5632" s="349" t="s">
        <v>57</v>
      </c>
      <c r="D5632" s="483">
        <v>0.16</v>
      </c>
      <c r="E5632" s="483">
        <v>0.16</v>
      </c>
    </row>
    <row r="5633" spans="1:5" ht="30">
      <c r="A5633" s="484">
        <v>95318</v>
      </c>
      <c r="B5633" s="485" t="s">
        <v>19345</v>
      </c>
      <c r="C5633" s="484" t="s">
        <v>57</v>
      </c>
      <c r="D5633" s="486">
        <v>0.1</v>
      </c>
      <c r="E5633" s="486">
        <v>0.1</v>
      </c>
    </row>
    <row r="5634" spans="1:5" ht="30">
      <c r="A5634" s="349">
        <v>95319</v>
      </c>
      <c r="B5634" s="348" t="s">
        <v>19346</v>
      </c>
      <c r="C5634" s="349" t="s">
        <v>57</v>
      </c>
      <c r="D5634" s="483">
        <v>0.18</v>
      </c>
      <c r="E5634" s="483">
        <v>0.18</v>
      </c>
    </row>
    <row r="5635" spans="1:5" ht="30">
      <c r="A5635" s="484">
        <v>95320</v>
      </c>
      <c r="B5635" s="485" t="s">
        <v>19347</v>
      </c>
      <c r="C5635" s="484" t="s">
        <v>57</v>
      </c>
      <c r="D5635" s="486">
        <v>0.09</v>
      </c>
      <c r="E5635" s="486">
        <v>0.09</v>
      </c>
    </row>
    <row r="5636" spans="1:5" ht="30">
      <c r="A5636" s="349">
        <v>95321</v>
      </c>
      <c r="B5636" s="348" t="s">
        <v>19348</v>
      </c>
      <c r="C5636" s="349" t="s">
        <v>57</v>
      </c>
      <c r="D5636" s="483">
        <v>0.1</v>
      </c>
      <c r="E5636" s="483">
        <v>0.1</v>
      </c>
    </row>
    <row r="5637" spans="1:5" ht="30">
      <c r="A5637" s="484">
        <v>95322</v>
      </c>
      <c r="B5637" s="485" t="s">
        <v>19349</v>
      </c>
      <c r="C5637" s="484" t="s">
        <v>57</v>
      </c>
      <c r="D5637" s="486">
        <v>7.0000000000000007E-2</v>
      </c>
      <c r="E5637" s="486">
        <v>7.0000000000000007E-2</v>
      </c>
    </row>
    <row r="5638" spans="1:5" ht="30">
      <c r="A5638" s="349">
        <v>95323</v>
      </c>
      <c r="B5638" s="348" t="s">
        <v>19350</v>
      </c>
      <c r="C5638" s="349" t="s">
        <v>57</v>
      </c>
      <c r="D5638" s="483">
        <v>0.17</v>
      </c>
      <c r="E5638" s="483">
        <v>0.17</v>
      </c>
    </row>
    <row r="5639" spans="1:5" ht="30">
      <c r="A5639" s="484">
        <v>95324</v>
      </c>
      <c r="B5639" s="485" t="s">
        <v>19351</v>
      </c>
      <c r="C5639" s="484" t="s">
        <v>57</v>
      </c>
      <c r="D5639" s="486">
        <v>0.15</v>
      </c>
      <c r="E5639" s="486">
        <v>0.15</v>
      </c>
    </row>
    <row r="5640" spans="1:5" ht="30">
      <c r="A5640" s="349">
        <v>95325</v>
      </c>
      <c r="B5640" s="348" t="s">
        <v>19352</v>
      </c>
      <c r="C5640" s="349" t="s">
        <v>57</v>
      </c>
      <c r="D5640" s="483">
        <v>0.24</v>
      </c>
      <c r="E5640" s="483">
        <v>0.24</v>
      </c>
    </row>
    <row r="5641" spans="1:5" ht="30">
      <c r="A5641" s="484">
        <v>95326</v>
      </c>
      <c r="B5641" s="485" t="s">
        <v>19353</v>
      </c>
      <c r="C5641" s="484" t="s">
        <v>57</v>
      </c>
      <c r="D5641" s="486">
        <v>0.12</v>
      </c>
      <c r="E5641" s="486">
        <v>0.12</v>
      </c>
    </row>
    <row r="5642" spans="1:5" ht="30">
      <c r="A5642" s="349">
        <v>95327</v>
      </c>
      <c r="B5642" s="348" t="s">
        <v>19354</v>
      </c>
      <c r="C5642" s="349" t="s">
        <v>57</v>
      </c>
      <c r="D5642" s="483">
        <v>0.16</v>
      </c>
      <c r="E5642" s="483">
        <v>0.16</v>
      </c>
    </row>
    <row r="5643" spans="1:5">
      <c r="A5643" s="484">
        <v>95328</v>
      </c>
      <c r="B5643" s="485" t="s">
        <v>19355</v>
      </c>
      <c r="C5643" s="484" t="s">
        <v>57</v>
      </c>
      <c r="D5643" s="486">
        <v>0.14000000000000001</v>
      </c>
      <c r="E5643" s="486">
        <v>0.14000000000000001</v>
      </c>
    </row>
    <row r="5644" spans="1:5" ht="30">
      <c r="A5644" s="349">
        <v>95329</v>
      </c>
      <c r="B5644" s="348" t="s">
        <v>19356</v>
      </c>
      <c r="C5644" s="349" t="s">
        <v>57</v>
      </c>
      <c r="D5644" s="483">
        <v>0.17</v>
      </c>
      <c r="E5644" s="483">
        <v>0.17</v>
      </c>
    </row>
    <row r="5645" spans="1:5" ht="30">
      <c r="A5645" s="484">
        <v>95330</v>
      </c>
      <c r="B5645" s="485" t="s">
        <v>19357</v>
      </c>
      <c r="C5645" s="484" t="s">
        <v>57</v>
      </c>
      <c r="D5645" s="486">
        <v>0.13</v>
      </c>
      <c r="E5645" s="486">
        <v>0.13</v>
      </c>
    </row>
    <row r="5646" spans="1:5" ht="30">
      <c r="A5646" s="349">
        <v>95331</v>
      </c>
      <c r="B5646" s="348" t="s">
        <v>19358</v>
      </c>
      <c r="C5646" s="349" t="s">
        <v>57</v>
      </c>
      <c r="D5646" s="483">
        <v>0.19</v>
      </c>
      <c r="E5646" s="483">
        <v>0.19</v>
      </c>
    </row>
    <row r="5647" spans="1:5">
      <c r="A5647" s="484">
        <v>95332</v>
      </c>
      <c r="B5647" s="485" t="s">
        <v>19359</v>
      </c>
      <c r="C5647" s="484" t="s">
        <v>57</v>
      </c>
      <c r="D5647" s="486">
        <v>0.44</v>
      </c>
      <c r="E5647" s="486">
        <v>0.44</v>
      </c>
    </row>
    <row r="5648" spans="1:5" ht="30">
      <c r="A5648" s="349">
        <v>95333</v>
      </c>
      <c r="B5648" s="348" t="s">
        <v>19360</v>
      </c>
      <c r="C5648" s="349" t="s">
        <v>57</v>
      </c>
      <c r="D5648" s="483">
        <v>0.56999999999999995</v>
      </c>
      <c r="E5648" s="483">
        <v>0.56999999999999995</v>
      </c>
    </row>
    <row r="5649" spans="1:5">
      <c r="A5649" s="484">
        <v>95334</v>
      </c>
      <c r="B5649" s="485" t="s">
        <v>19361</v>
      </c>
      <c r="C5649" s="484" t="s">
        <v>57</v>
      </c>
      <c r="D5649" s="486">
        <v>0.56000000000000005</v>
      </c>
      <c r="E5649" s="486">
        <v>0.56000000000000005</v>
      </c>
    </row>
    <row r="5650" spans="1:5" ht="30">
      <c r="A5650" s="349">
        <v>95335</v>
      </c>
      <c r="B5650" s="348" t="s">
        <v>19362</v>
      </c>
      <c r="C5650" s="349" t="s">
        <v>57</v>
      </c>
      <c r="D5650" s="483">
        <v>0.21</v>
      </c>
      <c r="E5650" s="483">
        <v>0.21</v>
      </c>
    </row>
    <row r="5651" spans="1:5">
      <c r="A5651" s="484">
        <v>95336</v>
      </c>
      <c r="B5651" s="485" t="s">
        <v>19363</v>
      </c>
      <c r="C5651" s="484" t="s">
        <v>57</v>
      </c>
      <c r="D5651" s="486">
        <v>0.12</v>
      </c>
      <c r="E5651" s="486">
        <v>0.12</v>
      </c>
    </row>
    <row r="5652" spans="1:5">
      <c r="A5652" s="349">
        <v>95337</v>
      </c>
      <c r="B5652" s="348" t="s">
        <v>19364</v>
      </c>
      <c r="C5652" s="349" t="s">
        <v>57</v>
      </c>
      <c r="D5652" s="483">
        <v>0.12</v>
      </c>
      <c r="E5652" s="483">
        <v>0.12</v>
      </c>
    </row>
    <row r="5653" spans="1:5" ht="30">
      <c r="A5653" s="484">
        <v>95338</v>
      </c>
      <c r="B5653" s="485" t="s">
        <v>19365</v>
      </c>
      <c r="C5653" s="484" t="s">
        <v>57</v>
      </c>
      <c r="D5653" s="486">
        <v>0.26</v>
      </c>
      <c r="E5653" s="486">
        <v>0.26</v>
      </c>
    </row>
    <row r="5654" spans="1:5">
      <c r="A5654" s="349">
        <v>95339</v>
      </c>
      <c r="B5654" s="348" t="s">
        <v>19366</v>
      </c>
      <c r="C5654" s="349" t="s">
        <v>57</v>
      </c>
      <c r="D5654" s="483">
        <v>0.53</v>
      </c>
      <c r="E5654" s="483">
        <v>0.53</v>
      </c>
    </row>
    <row r="5655" spans="1:5">
      <c r="A5655" s="484">
        <v>95340</v>
      </c>
      <c r="B5655" s="485" t="s">
        <v>19367</v>
      </c>
      <c r="C5655" s="484" t="s">
        <v>57</v>
      </c>
      <c r="D5655" s="486">
        <v>0.15</v>
      </c>
      <c r="E5655" s="486">
        <v>0.15</v>
      </c>
    </row>
    <row r="5656" spans="1:5" ht="30">
      <c r="A5656" s="349">
        <v>95341</v>
      </c>
      <c r="B5656" s="348" t="s">
        <v>19368</v>
      </c>
      <c r="C5656" s="349" t="s">
        <v>57</v>
      </c>
      <c r="D5656" s="483">
        <v>0.16</v>
      </c>
      <c r="E5656" s="483">
        <v>0.16</v>
      </c>
    </row>
    <row r="5657" spans="1:5" ht="57.75" customHeight="1">
      <c r="A5657" s="484">
        <v>95342</v>
      </c>
      <c r="B5657" s="485" t="s">
        <v>19369</v>
      </c>
      <c r="C5657" s="484" t="s">
        <v>57</v>
      </c>
      <c r="D5657" s="486">
        <v>0.24</v>
      </c>
      <c r="E5657" s="486">
        <v>0.24</v>
      </c>
    </row>
    <row r="5658" spans="1:5" ht="30">
      <c r="A5658" s="349">
        <v>95343</v>
      </c>
      <c r="B5658" s="348" t="s">
        <v>19370</v>
      </c>
      <c r="C5658" s="349" t="s">
        <v>57</v>
      </c>
      <c r="D5658" s="483">
        <v>0.25</v>
      </c>
      <c r="E5658" s="483">
        <v>0.25</v>
      </c>
    </row>
    <row r="5659" spans="1:5" ht="30">
      <c r="A5659" s="484">
        <v>95344</v>
      </c>
      <c r="B5659" s="485" t="s">
        <v>19371</v>
      </c>
      <c r="C5659" s="484" t="s">
        <v>57</v>
      </c>
      <c r="D5659" s="486">
        <v>0.18</v>
      </c>
      <c r="E5659" s="486">
        <v>0.18</v>
      </c>
    </row>
    <row r="5660" spans="1:5" ht="30">
      <c r="A5660" s="349">
        <v>95345</v>
      </c>
      <c r="B5660" s="348" t="s">
        <v>19372</v>
      </c>
      <c r="C5660" s="349" t="s">
        <v>57</v>
      </c>
      <c r="D5660" s="483">
        <v>0.5</v>
      </c>
      <c r="E5660" s="483">
        <v>0.5</v>
      </c>
    </row>
    <row r="5661" spans="1:5" ht="30">
      <c r="A5661" s="484">
        <v>95346</v>
      </c>
      <c r="B5661" s="485" t="s">
        <v>19373</v>
      </c>
      <c r="C5661" s="484" t="s">
        <v>57</v>
      </c>
      <c r="D5661" s="486">
        <v>0.12</v>
      </c>
      <c r="E5661" s="486">
        <v>0.12</v>
      </c>
    </row>
    <row r="5662" spans="1:5" ht="30">
      <c r="A5662" s="349">
        <v>95347</v>
      </c>
      <c r="B5662" s="348" t="s">
        <v>19374</v>
      </c>
      <c r="C5662" s="349" t="s">
        <v>57</v>
      </c>
      <c r="D5662" s="483">
        <v>0.12</v>
      </c>
      <c r="E5662" s="483">
        <v>0.12</v>
      </c>
    </row>
    <row r="5663" spans="1:5" ht="30">
      <c r="A5663" s="484">
        <v>95348</v>
      </c>
      <c r="B5663" s="485" t="s">
        <v>19375</v>
      </c>
      <c r="C5663" s="484" t="s">
        <v>57</v>
      </c>
      <c r="D5663" s="486">
        <v>0.12</v>
      </c>
      <c r="E5663" s="486">
        <v>0.12</v>
      </c>
    </row>
    <row r="5664" spans="1:5" ht="30">
      <c r="A5664" s="349">
        <v>95349</v>
      </c>
      <c r="B5664" s="348" t="s">
        <v>19376</v>
      </c>
      <c r="C5664" s="349" t="s">
        <v>57</v>
      </c>
      <c r="D5664" s="483">
        <v>0.11</v>
      </c>
      <c r="E5664" s="483">
        <v>0.11</v>
      </c>
    </row>
    <row r="5665" spans="1:5" ht="43.5" customHeight="1">
      <c r="A5665" s="484">
        <v>95350</v>
      </c>
      <c r="B5665" s="485" t="s">
        <v>19377</v>
      </c>
      <c r="C5665" s="484" t="s">
        <v>57</v>
      </c>
      <c r="D5665" s="486">
        <v>0.12</v>
      </c>
      <c r="E5665" s="486">
        <v>0.12</v>
      </c>
    </row>
    <row r="5666" spans="1:5" ht="30">
      <c r="A5666" s="349">
        <v>95351</v>
      </c>
      <c r="B5666" s="348" t="s">
        <v>19378</v>
      </c>
      <c r="C5666" s="349" t="s">
        <v>57</v>
      </c>
      <c r="D5666" s="483">
        <v>0.42</v>
      </c>
      <c r="E5666" s="483">
        <v>0.42</v>
      </c>
    </row>
    <row r="5667" spans="1:5" ht="43.5" customHeight="1">
      <c r="A5667" s="484">
        <v>95352</v>
      </c>
      <c r="B5667" s="485" t="s">
        <v>19379</v>
      </c>
      <c r="C5667" s="484" t="s">
        <v>57</v>
      </c>
      <c r="D5667" s="486">
        <v>0.08</v>
      </c>
      <c r="E5667" s="486">
        <v>0.08</v>
      </c>
    </row>
    <row r="5668" spans="1:5" ht="30">
      <c r="A5668" s="349">
        <v>95353</v>
      </c>
      <c r="B5668" s="348" t="s">
        <v>19380</v>
      </c>
      <c r="C5668" s="349" t="s">
        <v>57</v>
      </c>
      <c r="D5668" s="483">
        <v>0.19</v>
      </c>
      <c r="E5668" s="483">
        <v>0.19</v>
      </c>
    </row>
    <row r="5669" spans="1:5" ht="30">
      <c r="A5669" s="484">
        <v>95354</v>
      </c>
      <c r="B5669" s="485" t="s">
        <v>19381</v>
      </c>
      <c r="C5669" s="484" t="s">
        <v>57</v>
      </c>
      <c r="D5669" s="486">
        <v>0.2</v>
      </c>
      <c r="E5669" s="486">
        <v>0.2</v>
      </c>
    </row>
    <row r="5670" spans="1:5" ht="30">
      <c r="A5670" s="349">
        <v>95355</v>
      </c>
      <c r="B5670" s="348" t="s">
        <v>19382</v>
      </c>
      <c r="C5670" s="349" t="s">
        <v>57</v>
      </c>
      <c r="D5670" s="483">
        <v>0.13</v>
      </c>
      <c r="E5670" s="483">
        <v>0.13</v>
      </c>
    </row>
    <row r="5671" spans="1:5" ht="30">
      <c r="A5671" s="484">
        <v>95356</v>
      </c>
      <c r="B5671" s="485" t="s">
        <v>19383</v>
      </c>
      <c r="C5671" s="484" t="s">
        <v>57</v>
      </c>
      <c r="D5671" s="486">
        <v>0.21</v>
      </c>
      <c r="E5671" s="486">
        <v>0.21</v>
      </c>
    </row>
    <row r="5672" spans="1:5" ht="30">
      <c r="A5672" s="349">
        <v>95357</v>
      </c>
      <c r="B5672" s="348" t="s">
        <v>19384</v>
      </c>
      <c r="C5672" s="349" t="s">
        <v>57</v>
      </c>
      <c r="D5672" s="483">
        <v>0.32</v>
      </c>
      <c r="E5672" s="483">
        <v>0.32</v>
      </c>
    </row>
    <row r="5673" spans="1:5" ht="30">
      <c r="A5673" s="484">
        <v>95358</v>
      </c>
      <c r="B5673" s="485" t="s">
        <v>19385</v>
      </c>
      <c r="C5673" s="484" t="s">
        <v>57</v>
      </c>
      <c r="D5673" s="486">
        <v>0.24</v>
      </c>
      <c r="E5673" s="486">
        <v>0.24</v>
      </c>
    </row>
    <row r="5674" spans="1:5" ht="30">
      <c r="A5674" s="349">
        <v>95359</v>
      </c>
      <c r="B5674" s="348" t="s">
        <v>19386</v>
      </c>
      <c r="C5674" s="349" t="s">
        <v>57</v>
      </c>
      <c r="D5674" s="483">
        <v>0.53</v>
      </c>
      <c r="E5674" s="483">
        <v>0.53</v>
      </c>
    </row>
    <row r="5675" spans="1:5" ht="30">
      <c r="A5675" s="484">
        <v>95360</v>
      </c>
      <c r="B5675" s="485" t="s">
        <v>19387</v>
      </c>
      <c r="C5675" s="484" t="s">
        <v>57</v>
      </c>
      <c r="D5675" s="486">
        <v>0.27</v>
      </c>
      <c r="E5675" s="486">
        <v>0.27</v>
      </c>
    </row>
    <row r="5676" spans="1:5" ht="30">
      <c r="A5676" s="349">
        <v>95361</v>
      </c>
      <c r="B5676" s="348" t="s">
        <v>19388</v>
      </c>
      <c r="C5676" s="349" t="s">
        <v>57</v>
      </c>
      <c r="D5676" s="483">
        <v>0.12</v>
      </c>
      <c r="E5676" s="483">
        <v>0.12</v>
      </c>
    </row>
    <row r="5677" spans="1:5" ht="30">
      <c r="A5677" s="484">
        <v>95362</v>
      </c>
      <c r="B5677" s="485" t="s">
        <v>19389</v>
      </c>
      <c r="C5677" s="484" t="s">
        <v>57</v>
      </c>
      <c r="D5677" s="486">
        <v>0.3</v>
      </c>
      <c r="E5677" s="486">
        <v>0.3</v>
      </c>
    </row>
    <row r="5678" spans="1:5" ht="30">
      <c r="A5678" s="349">
        <v>95363</v>
      </c>
      <c r="B5678" s="348" t="s">
        <v>19390</v>
      </c>
      <c r="C5678" s="349" t="s">
        <v>57</v>
      </c>
      <c r="D5678" s="483">
        <v>0.3</v>
      </c>
      <c r="E5678" s="483">
        <v>0.3</v>
      </c>
    </row>
    <row r="5679" spans="1:5" ht="30">
      <c r="A5679" s="484">
        <v>95364</v>
      </c>
      <c r="B5679" s="485" t="s">
        <v>19391</v>
      </c>
      <c r="C5679" s="484" t="s">
        <v>57</v>
      </c>
      <c r="D5679" s="486">
        <v>0.21</v>
      </c>
      <c r="E5679" s="486">
        <v>0.21</v>
      </c>
    </row>
    <row r="5680" spans="1:5" ht="30">
      <c r="A5680" s="349">
        <v>95365</v>
      </c>
      <c r="B5680" s="348" t="s">
        <v>19392</v>
      </c>
      <c r="C5680" s="349" t="s">
        <v>57</v>
      </c>
      <c r="D5680" s="483">
        <v>0.21</v>
      </c>
      <c r="E5680" s="483">
        <v>0.21</v>
      </c>
    </row>
    <row r="5681" spans="1:5" ht="30">
      <c r="A5681" s="484">
        <v>95366</v>
      </c>
      <c r="B5681" s="485" t="s">
        <v>19393</v>
      </c>
      <c r="C5681" s="484" t="s">
        <v>57</v>
      </c>
      <c r="D5681" s="486">
        <v>0.18</v>
      </c>
      <c r="E5681" s="486">
        <v>0.18</v>
      </c>
    </row>
    <row r="5682" spans="1:5" ht="30">
      <c r="A5682" s="349">
        <v>95367</v>
      </c>
      <c r="B5682" s="348" t="s">
        <v>19394</v>
      </c>
      <c r="C5682" s="349" t="s">
        <v>57</v>
      </c>
      <c r="D5682" s="483">
        <v>0.19</v>
      </c>
      <c r="E5682" s="483">
        <v>0.19</v>
      </c>
    </row>
    <row r="5683" spans="1:5" ht="30">
      <c r="A5683" s="484">
        <v>95368</v>
      </c>
      <c r="B5683" s="485" t="s">
        <v>19395</v>
      </c>
      <c r="C5683" s="484" t="s">
        <v>57</v>
      </c>
      <c r="D5683" s="486">
        <v>0.18</v>
      </c>
      <c r="E5683" s="486">
        <v>0.18</v>
      </c>
    </row>
    <row r="5684" spans="1:5" ht="30">
      <c r="A5684" s="349">
        <v>95369</v>
      </c>
      <c r="B5684" s="348" t="s">
        <v>19396</v>
      </c>
      <c r="C5684" s="349" t="s">
        <v>57</v>
      </c>
      <c r="D5684" s="483">
        <v>0.15</v>
      </c>
      <c r="E5684" s="483">
        <v>0.15</v>
      </c>
    </row>
    <row r="5685" spans="1:5">
      <c r="A5685" s="484">
        <v>95370</v>
      </c>
      <c r="B5685" s="485" t="s">
        <v>19397</v>
      </c>
      <c r="C5685" s="484" t="s">
        <v>57</v>
      </c>
      <c r="D5685" s="486">
        <v>0.21</v>
      </c>
      <c r="E5685" s="486">
        <v>0.21</v>
      </c>
    </row>
    <row r="5686" spans="1:5">
      <c r="A5686" s="349">
        <v>95371</v>
      </c>
      <c r="B5686" s="348" t="s">
        <v>19398</v>
      </c>
      <c r="C5686" s="349" t="s">
        <v>57</v>
      </c>
      <c r="D5686" s="483">
        <v>0.25</v>
      </c>
      <c r="E5686" s="483">
        <v>0.25</v>
      </c>
    </row>
    <row r="5687" spans="1:5">
      <c r="A5687" s="484">
        <v>95372</v>
      </c>
      <c r="B5687" s="485" t="s">
        <v>19399</v>
      </c>
      <c r="C5687" s="484" t="s">
        <v>57</v>
      </c>
      <c r="D5687" s="486">
        <v>0.17</v>
      </c>
      <c r="E5687" s="486">
        <v>0.17</v>
      </c>
    </row>
    <row r="5688" spans="1:5" ht="30">
      <c r="A5688" s="349">
        <v>95373</v>
      </c>
      <c r="B5688" s="348" t="s">
        <v>19400</v>
      </c>
      <c r="C5688" s="349" t="s">
        <v>57</v>
      </c>
      <c r="D5688" s="483">
        <v>0.18</v>
      </c>
      <c r="E5688" s="483">
        <v>0.18</v>
      </c>
    </row>
    <row r="5689" spans="1:5" ht="30">
      <c r="A5689" s="484">
        <v>95374</v>
      </c>
      <c r="B5689" s="485" t="s">
        <v>19401</v>
      </c>
      <c r="C5689" s="484" t="s">
        <v>57</v>
      </c>
      <c r="D5689" s="486">
        <v>0.2</v>
      </c>
      <c r="E5689" s="486">
        <v>0.2</v>
      </c>
    </row>
    <row r="5690" spans="1:5">
      <c r="A5690" s="349">
        <v>95375</v>
      </c>
      <c r="B5690" s="348" t="s">
        <v>19402</v>
      </c>
      <c r="C5690" s="349" t="s">
        <v>57</v>
      </c>
      <c r="D5690" s="483">
        <v>0.66</v>
      </c>
      <c r="E5690" s="483">
        <v>0.66</v>
      </c>
    </row>
    <row r="5691" spans="1:5">
      <c r="A5691" s="484">
        <v>95376</v>
      </c>
      <c r="B5691" s="485" t="s">
        <v>19403</v>
      </c>
      <c r="C5691" s="484" t="s">
        <v>57</v>
      </c>
      <c r="D5691" s="486">
        <v>0.05</v>
      </c>
      <c r="E5691" s="486">
        <v>0.05</v>
      </c>
    </row>
    <row r="5692" spans="1:5">
      <c r="A5692" s="349">
        <v>95377</v>
      </c>
      <c r="B5692" s="348" t="s">
        <v>19404</v>
      </c>
      <c r="C5692" s="349" t="s">
        <v>57</v>
      </c>
      <c r="D5692" s="483">
        <v>0.12</v>
      </c>
      <c r="E5692" s="483">
        <v>0.12</v>
      </c>
    </row>
    <row r="5693" spans="1:5" ht="43.5" customHeight="1">
      <c r="A5693" s="484">
        <v>95378</v>
      </c>
      <c r="B5693" s="485" t="s">
        <v>19405</v>
      </c>
      <c r="C5693" s="484" t="s">
        <v>57</v>
      </c>
      <c r="D5693" s="486">
        <v>0.15</v>
      </c>
      <c r="E5693" s="486">
        <v>0.15</v>
      </c>
    </row>
    <row r="5694" spans="1:5">
      <c r="A5694" s="349">
        <v>95379</v>
      </c>
      <c r="B5694" s="348" t="s">
        <v>19406</v>
      </c>
      <c r="C5694" s="349" t="s">
        <v>57</v>
      </c>
      <c r="D5694" s="483">
        <v>0.13</v>
      </c>
      <c r="E5694" s="483">
        <v>0.13</v>
      </c>
    </row>
    <row r="5695" spans="1:5" ht="30">
      <c r="A5695" s="484">
        <v>95380</v>
      </c>
      <c r="B5695" s="485" t="s">
        <v>19407</v>
      </c>
      <c r="C5695" s="484" t="s">
        <v>57</v>
      </c>
      <c r="D5695" s="486">
        <v>0.14000000000000001</v>
      </c>
      <c r="E5695" s="486">
        <v>0.14000000000000001</v>
      </c>
    </row>
    <row r="5696" spans="1:5">
      <c r="A5696" s="349">
        <v>95381</v>
      </c>
      <c r="B5696" s="348" t="s">
        <v>19408</v>
      </c>
      <c r="C5696" s="349" t="s">
        <v>57</v>
      </c>
      <c r="D5696" s="483">
        <v>0.66</v>
      </c>
      <c r="E5696" s="483">
        <v>0.66</v>
      </c>
    </row>
    <row r="5697" spans="1:5" ht="30">
      <c r="A5697" s="484">
        <v>95382</v>
      </c>
      <c r="B5697" s="485" t="s">
        <v>19409</v>
      </c>
      <c r="C5697" s="484" t="s">
        <v>57</v>
      </c>
      <c r="D5697" s="486">
        <v>0.11</v>
      </c>
      <c r="E5697" s="486">
        <v>0.11</v>
      </c>
    </row>
    <row r="5698" spans="1:5" ht="30">
      <c r="A5698" s="349">
        <v>95383</v>
      </c>
      <c r="B5698" s="348" t="s">
        <v>19410</v>
      </c>
      <c r="C5698" s="349" t="s">
        <v>57</v>
      </c>
      <c r="D5698" s="483">
        <v>0.4</v>
      </c>
      <c r="E5698" s="483">
        <v>0.4</v>
      </c>
    </row>
    <row r="5699" spans="1:5" ht="30">
      <c r="A5699" s="484">
        <v>95384</v>
      </c>
      <c r="B5699" s="485" t="s">
        <v>19411</v>
      </c>
      <c r="C5699" s="484" t="s">
        <v>57</v>
      </c>
      <c r="D5699" s="486">
        <v>0.66</v>
      </c>
      <c r="E5699" s="486">
        <v>0.66</v>
      </c>
    </row>
    <row r="5700" spans="1:5">
      <c r="A5700" s="349">
        <v>95385</v>
      </c>
      <c r="B5700" s="348" t="s">
        <v>19412</v>
      </c>
      <c r="C5700" s="349" t="s">
        <v>57</v>
      </c>
      <c r="D5700" s="483">
        <v>0.11</v>
      </c>
      <c r="E5700" s="483">
        <v>0.11</v>
      </c>
    </row>
    <row r="5701" spans="1:5">
      <c r="A5701" s="484">
        <v>95386</v>
      </c>
      <c r="B5701" s="485" t="s">
        <v>19413</v>
      </c>
      <c r="C5701" s="484" t="s">
        <v>57</v>
      </c>
      <c r="D5701" s="486">
        <v>0.28000000000000003</v>
      </c>
      <c r="E5701" s="486">
        <v>0.28000000000000003</v>
      </c>
    </row>
    <row r="5702" spans="1:5">
      <c r="A5702" s="349">
        <v>95387</v>
      </c>
      <c r="B5702" s="348" t="s">
        <v>19414</v>
      </c>
      <c r="C5702" s="349" t="s">
        <v>57</v>
      </c>
      <c r="D5702" s="483">
        <v>0.15</v>
      </c>
      <c r="E5702" s="483">
        <v>0.15</v>
      </c>
    </row>
    <row r="5703" spans="1:5">
      <c r="A5703" s="484">
        <v>95388</v>
      </c>
      <c r="B5703" s="485" t="s">
        <v>19415</v>
      </c>
      <c r="C5703" s="484" t="s">
        <v>57</v>
      </c>
      <c r="D5703" s="486">
        <v>0.09</v>
      </c>
      <c r="E5703" s="486">
        <v>0.09</v>
      </c>
    </row>
    <row r="5704" spans="1:5" ht="30">
      <c r="A5704" s="349">
        <v>95389</v>
      </c>
      <c r="B5704" s="348" t="s">
        <v>19416</v>
      </c>
      <c r="C5704" s="349" t="s">
        <v>57</v>
      </c>
      <c r="D5704" s="483">
        <v>0.06</v>
      </c>
      <c r="E5704" s="483">
        <v>0.06</v>
      </c>
    </row>
    <row r="5705" spans="1:5">
      <c r="A5705" s="484">
        <v>95390</v>
      </c>
      <c r="B5705" s="485" t="s">
        <v>19417</v>
      </c>
      <c r="C5705" s="484" t="s">
        <v>57</v>
      </c>
      <c r="D5705" s="486">
        <v>0.04</v>
      </c>
      <c r="E5705" s="486">
        <v>0.04</v>
      </c>
    </row>
    <row r="5706" spans="1:5" ht="30">
      <c r="A5706" s="349">
        <v>95391</v>
      </c>
      <c r="B5706" s="348" t="s">
        <v>19418</v>
      </c>
      <c r="C5706" s="349" t="s">
        <v>57</v>
      </c>
      <c r="D5706" s="483">
        <v>0.1</v>
      </c>
      <c r="E5706" s="483">
        <v>0.1</v>
      </c>
    </row>
    <row r="5707" spans="1:5">
      <c r="A5707" s="484">
        <v>95392</v>
      </c>
      <c r="B5707" s="485" t="s">
        <v>19419</v>
      </c>
      <c r="C5707" s="484" t="s">
        <v>57</v>
      </c>
      <c r="D5707" s="486">
        <v>0.09</v>
      </c>
      <c r="E5707" s="486">
        <v>0.09</v>
      </c>
    </row>
    <row r="5708" spans="1:5" ht="30">
      <c r="A5708" s="349">
        <v>95393</v>
      </c>
      <c r="B5708" s="348" t="s">
        <v>19420</v>
      </c>
      <c r="C5708" s="349" t="s">
        <v>57</v>
      </c>
      <c r="D5708" s="483">
        <v>0.36</v>
      </c>
      <c r="E5708" s="483">
        <v>0.36</v>
      </c>
    </row>
    <row r="5709" spans="1:5" ht="30">
      <c r="A5709" s="484">
        <v>95394</v>
      </c>
      <c r="B5709" s="485" t="s">
        <v>19421</v>
      </c>
      <c r="C5709" s="484" t="s">
        <v>57</v>
      </c>
      <c r="D5709" s="486">
        <v>0.5</v>
      </c>
      <c r="E5709" s="486">
        <v>0.5</v>
      </c>
    </row>
    <row r="5710" spans="1:5" ht="30">
      <c r="A5710" s="349">
        <v>95395</v>
      </c>
      <c r="B5710" s="348" t="s">
        <v>19422</v>
      </c>
      <c r="C5710" s="349" t="s">
        <v>57</v>
      </c>
      <c r="D5710" s="483">
        <v>0.56999999999999995</v>
      </c>
      <c r="E5710" s="483">
        <v>0.56999999999999995</v>
      </c>
    </row>
    <row r="5711" spans="1:5" ht="30">
      <c r="A5711" s="484">
        <v>95396</v>
      </c>
      <c r="B5711" s="485" t="s">
        <v>19423</v>
      </c>
      <c r="C5711" s="484" t="s">
        <v>57</v>
      </c>
      <c r="D5711" s="486">
        <v>0.68</v>
      </c>
      <c r="E5711" s="486">
        <v>0.68</v>
      </c>
    </row>
    <row r="5712" spans="1:5" ht="30">
      <c r="A5712" s="349">
        <v>95397</v>
      </c>
      <c r="B5712" s="348" t="s">
        <v>19424</v>
      </c>
      <c r="C5712" s="349" t="s">
        <v>57</v>
      </c>
      <c r="D5712" s="483">
        <v>0.08</v>
      </c>
      <c r="E5712" s="483">
        <v>0.08</v>
      </c>
    </row>
    <row r="5713" spans="1:5" ht="30">
      <c r="A5713" s="484">
        <v>95398</v>
      </c>
      <c r="B5713" s="485" t="s">
        <v>19425</v>
      </c>
      <c r="C5713" s="484" t="s">
        <v>57</v>
      </c>
      <c r="D5713" s="486">
        <v>0.05</v>
      </c>
      <c r="E5713" s="486">
        <v>0.05</v>
      </c>
    </row>
    <row r="5714" spans="1:5" ht="30">
      <c r="A5714" s="349">
        <v>95399</v>
      </c>
      <c r="B5714" s="348" t="s">
        <v>19426</v>
      </c>
      <c r="C5714" s="349" t="s">
        <v>57</v>
      </c>
      <c r="D5714" s="483">
        <v>0.08</v>
      </c>
      <c r="E5714" s="483">
        <v>0.08</v>
      </c>
    </row>
    <row r="5715" spans="1:5" ht="30">
      <c r="A5715" s="484">
        <v>95400</v>
      </c>
      <c r="B5715" s="485" t="s">
        <v>19427</v>
      </c>
      <c r="C5715" s="484" t="s">
        <v>57</v>
      </c>
      <c r="D5715" s="486">
        <v>0.15</v>
      </c>
      <c r="E5715" s="486">
        <v>0.15</v>
      </c>
    </row>
    <row r="5716" spans="1:5" ht="30">
      <c r="A5716" s="349">
        <v>95401</v>
      </c>
      <c r="B5716" s="348" t="s">
        <v>19428</v>
      </c>
      <c r="C5716" s="349" t="s">
        <v>57</v>
      </c>
      <c r="D5716" s="483">
        <v>0.59</v>
      </c>
      <c r="E5716" s="483">
        <v>0.59</v>
      </c>
    </row>
    <row r="5717" spans="1:5" ht="30">
      <c r="A5717" s="484">
        <v>95402</v>
      </c>
      <c r="B5717" s="485" t="s">
        <v>19429</v>
      </c>
      <c r="C5717" s="484" t="s">
        <v>57</v>
      </c>
      <c r="D5717" s="486">
        <v>0.94</v>
      </c>
      <c r="E5717" s="486">
        <v>0.94</v>
      </c>
    </row>
    <row r="5718" spans="1:5" ht="30">
      <c r="A5718" s="349">
        <v>95403</v>
      </c>
      <c r="B5718" s="348" t="s">
        <v>19430</v>
      </c>
      <c r="C5718" s="349" t="s">
        <v>57</v>
      </c>
      <c r="D5718" s="483">
        <v>1.18</v>
      </c>
      <c r="E5718" s="483">
        <v>1.18</v>
      </c>
    </row>
    <row r="5719" spans="1:5" s="25" customFormat="1" ht="30">
      <c r="A5719" s="349">
        <v>95404</v>
      </c>
      <c r="B5719" s="348" t="s">
        <v>19431</v>
      </c>
      <c r="C5719" s="349" t="s">
        <v>57</v>
      </c>
      <c r="D5719" s="483">
        <v>1.55</v>
      </c>
      <c r="E5719" s="483">
        <v>1.55</v>
      </c>
    </row>
    <row r="5720" spans="1:5" s="25" customFormat="1">
      <c r="A5720" s="349">
        <v>95405</v>
      </c>
      <c r="B5720" s="348" t="s">
        <v>19432</v>
      </c>
      <c r="C5720" s="349" t="s">
        <v>57</v>
      </c>
      <c r="D5720" s="483">
        <v>0.98</v>
      </c>
      <c r="E5720" s="483">
        <v>0.98</v>
      </c>
    </row>
    <row r="5721" spans="1:5" s="25" customFormat="1" ht="23.25" customHeight="1">
      <c r="A5721" s="349">
        <v>95406</v>
      </c>
      <c r="B5721" s="348" t="s">
        <v>19433</v>
      </c>
      <c r="C5721" s="349" t="s">
        <v>57</v>
      </c>
      <c r="D5721" s="483">
        <v>0.09</v>
      </c>
      <c r="E5721" s="483">
        <v>0.09</v>
      </c>
    </row>
    <row r="5722" spans="1:5" s="25" customFormat="1" ht="30">
      <c r="A5722" s="349">
        <v>95407</v>
      </c>
      <c r="B5722" s="348" t="s">
        <v>19434</v>
      </c>
      <c r="C5722" s="349" t="s">
        <v>57</v>
      </c>
      <c r="D5722" s="483">
        <v>2.5099999999999998</v>
      </c>
      <c r="E5722" s="483">
        <v>2.5099999999999998</v>
      </c>
    </row>
    <row r="5723" spans="1:5" s="25" customFormat="1" ht="30">
      <c r="A5723" s="349">
        <v>95408</v>
      </c>
      <c r="B5723" s="348" t="s">
        <v>19435</v>
      </c>
      <c r="C5723" s="349" t="s">
        <v>1643</v>
      </c>
      <c r="D5723" s="483">
        <v>16.07</v>
      </c>
      <c r="E5723" s="483">
        <v>16.07</v>
      </c>
    </row>
    <row r="5724" spans="1:5" s="25" customFormat="1" ht="30">
      <c r="A5724" s="349">
        <v>95409</v>
      </c>
      <c r="B5724" s="348" t="s">
        <v>19436</v>
      </c>
      <c r="C5724" s="349" t="s">
        <v>1643</v>
      </c>
      <c r="D5724" s="483">
        <v>13.58</v>
      </c>
      <c r="E5724" s="483">
        <v>13.58</v>
      </c>
    </row>
    <row r="5725" spans="1:5" s="25" customFormat="1" ht="15.75" thickBot="1">
      <c r="A5725" s="349"/>
      <c r="B5725" s="348"/>
      <c r="C5725" s="349"/>
      <c r="D5725" s="483"/>
      <c r="E5725" s="483"/>
    </row>
    <row r="5726" spans="1:5" ht="56.25" customHeight="1" thickBot="1">
      <c r="A5726" s="45" t="s">
        <v>86</v>
      </c>
      <c r="B5726" s="46" t="s">
        <v>19751</v>
      </c>
      <c r="C5726" s="45" t="s">
        <v>25</v>
      </c>
      <c r="D5726" s="331" t="s">
        <v>10856</v>
      </c>
      <c r="E5726" s="331" t="s">
        <v>10856</v>
      </c>
    </row>
    <row r="5727" spans="1:5" ht="30">
      <c r="A5727" s="349">
        <v>20076</v>
      </c>
      <c r="B5727" s="348" t="s">
        <v>19437</v>
      </c>
      <c r="C5727" s="349" t="s">
        <v>65</v>
      </c>
      <c r="D5727" s="483">
        <v>57.02</v>
      </c>
      <c r="E5727" s="483">
        <v>57.02</v>
      </c>
    </row>
    <row r="5728" spans="1:5" ht="30">
      <c r="A5728" s="484">
        <v>20074</v>
      </c>
      <c r="B5728" s="485" t="s">
        <v>19438</v>
      </c>
      <c r="C5728" s="484" t="s">
        <v>65</v>
      </c>
      <c r="D5728" s="486">
        <v>16.850000000000001</v>
      </c>
      <c r="E5728" s="486">
        <v>16.850000000000001</v>
      </c>
    </row>
    <row r="5729" spans="1:5" ht="30">
      <c r="A5729" s="349">
        <v>20075</v>
      </c>
      <c r="B5729" s="348" t="s">
        <v>19439</v>
      </c>
      <c r="C5729" s="349" t="s">
        <v>65</v>
      </c>
      <c r="D5729" s="483">
        <v>30.62</v>
      </c>
      <c r="E5729" s="483">
        <v>30.62</v>
      </c>
    </row>
    <row r="5730" spans="1:5">
      <c r="A5730" s="484">
        <v>4757</v>
      </c>
      <c r="B5730" s="485" t="s">
        <v>1280</v>
      </c>
      <c r="C5730" s="484" t="s">
        <v>57</v>
      </c>
      <c r="D5730" s="486">
        <v>36.36</v>
      </c>
      <c r="E5730" s="486">
        <v>36.36</v>
      </c>
    </row>
    <row r="5731" spans="1:5">
      <c r="A5731" s="349">
        <v>13373</v>
      </c>
      <c r="B5731" s="348" t="s">
        <v>19440</v>
      </c>
      <c r="C5731" s="349" t="s">
        <v>65</v>
      </c>
      <c r="D5731" s="483">
        <v>22.11</v>
      </c>
      <c r="E5731" s="483">
        <v>22.11</v>
      </c>
    </row>
    <row r="5732" spans="1:5" ht="43.5" customHeight="1">
      <c r="A5732" s="484">
        <v>10532</v>
      </c>
      <c r="B5732" s="485" t="s">
        <v>1283</v>
      </c>
      <c r="C5732" s="484" t="s">
        <v>57</v>
      </c>
      <c r="D5732" s="486">
        <v>0.81</v>
      </c>
      <c r="E5732" s="486">
        <v>0.81</v>
      </c>
    </row>
    <row r="5733" spans="1:5" ht="30">
      <c r="A5733" s="349">
        <v>12075</v>
      </c>
      <c r="B5733" s="348" t="s">
        <v>1287</v>
      </c>
      <c r="C5733" s="349" t="s">
        <v>65</v>
      </c>
      <c r="D5733" s="483">
        <v>281.2</v>
      </c>
      <c r="E5733" s="483">
        <v>281.2</v>
      </c>
    </row>
    <row r="5734" spans="1:5" ht="30">
      <c r="A5734" s="484">
        <v>13441</v>
      </c>
      <c r="B5734" s="485" t="s">
        <v>1288</v>
      </c>
      <c r="C5734" s="484" t="s">
        <v>65</v>
      </c>
      <c r="D5734" s="486">
        <v>73000</v>
      </c>
      <c r="E5734" s="486">
        <v>73000</v>
      </c>
    </row>
    <row r="5735" spans="1:5" ht="45">
      <c r="A5735" s="349">
        <v>14056</v>
      </c>
      <c r="B5735" s="348" t="s">
        <v>19441</v>
      </c>
      <c r="C5735" s="349" t="s">
        <v>65</v>
      </c>
      <c r="D5735" s="483">
        <v>4673.8500000000004</v>
      </c>
      <c r="E5735" s="483">
        <v>4673.8500000000004</v>
      </c>
    </row>
    <row r="5736" spans="1:5" ht="45">
      <c r="A5736" s="484">
        <v>13708</v>
      </c>
      <c r="B5736" s="485" t="s">
        <v>19442</v>
      </c>
      <c r="C5736" s="484" t="s">
        <v>65</v>
      </c>
      <c r="D5736" s="486">
        <v>768.33</v>
      </c>
      <c r="E5736" s="486">
        <v>768.33</v>
      </c>
    </row>
    <row r="5737" spans="1:5" ht="45">
      <c r="A5737" s="349">
        <v>13709</v>
      </c>
      <c r="B5737" s="348" t="s">
        <v>19443</v>
      </c>
      <c r="C5737" s="349" t="s">
        <v>65</v>
      </c>
      <c r="D5737" s="483">
        <v>642.02</v>
      </c>
      <c r="E5737" s="483">
        <v>642.02</v>
      </c>
    </row>
    <row r="5738" spans="1:5" ht="43.5" customHeight="1">
      <c r="A5738" s="484">
        <v>5048</v>
      </c>
      <c r="B5738" s="485" t="s">
        <v>19444</v>
      </c>
      <c r="C5738" s="484" t="s">
        <v>65</v>
      </c>
      <c r="D5738" s="486">
        <v>377.93</v>
      </c>
      <c r="E5738" s="486">
        <v>377.93</v>
      </c>
    </row>
    <row r="5739" spans="1:5" ht="45">
      <c r="A5739" s="349">
        <v>14385</v>
      </c>
      <c r="B5739" s="348" t="s">
        <v>19445</v>
      </c>
      <c r="C5739" s="349" t="s">
        <v>65</v>
      </c>
      <c r="D5739" s="483">
        <v>609.99</v>
      </c>
      <c r="E5739" s="483">
        <v>609.99</v>
      </c>
    </row>
    <row r="5740" spans="1:5" ht="57.75" customHeight="1">
      <c r="A5740" s="484">
        <v>14386</v>
      </c>
      <c r="B5740" s="485" t="s">
        <v>19446</v>
      </c>
      <c r="C5740" s="484" t="s">
        <v>65</v>
      </c>
      <c r="D5740" s="486">
        <v>2133.09</v>
      </c>
      <c r="E5740" s="486">
        <v>2133.09</v>
      </c>
    </row>
    <row r="5741" spans="1:5" ht="30">
      <c r="A5741" s="349">
        <v>14281</v>
      </c>
      <c r="B5741" s="348" t="s">
        <v>19447</v>
      </c>
      <c r="C5741" s="349" t="s">
        <v>65</v>
      </c>
      <c r="D5741" s="483">
        <v>1071.31</v>
      </c>
      <c r="E5741" s="483">
        <v>1071.31</v>
      </c>
    </row>
    <row r="5742" spans="1:5" ht="30">
      <c r="A5742" s="484">
        <v>14282</v>
      </c>
      <c r="B5742" s="485" t="s">
        <v>19448</v>
      </c>
      <c r="C5742" s="484" t="s">
        <v>65</v>
      </c>
      <c r="D5742" s="486">
        <v>1372.5</v>
      </c>
      <c r="E5742" s="486">
        <v>1372.5</v>
      </c>
    </row>
    <row r="5743" spans="1:5" ht="30">
      <c r="A5743" s="349">
        <v>14283</v>
      </c>
      <c r="B5743" s="348" t="s">
        <v>19449</v>
      </c>
      <c r="C5743" s="349" t="s">
        <v>65</v>
      </c>
      <c r="D5743" s="483">
        <v>1845.24</v>
      </c>
      <c r="E5743" s="483">
        <v>1845.24</v>
      </c>
    </row>
    <row r="5744" spans="1:5" ht="30">
      <c r="A5744" s="484">
        <v>2399</v>
      </c>
      <c r="B5744" s="485" t="s">
        <v>19450</v>
      </c>
      <c r="C5744" s="484" t="s">
        <v>65</v>
      </c>
      <c r="D5744" s="486">
        <v>1960.38</v>
      </c>
      <c r="E5744" s="486">
        <v>1960.38</v>
      </c>
    </row>
    <row r="5745" spans="1:5" ht="30">
      <c r="A5745" s="349">
        <v>2404</v>
      </c>
      <c r="B5745" s="348" t="s">
        <v>1307</v>
      </c>
      <c r="C5745" s="349" t="s">
        <v>256</v>
      </c>
      <c r="D5745" s="483">
        <v>65</v>
      </c>
      <c r="E5745" s="483">
        <v>65</v>
      </c>
    </row>
    <row r="5746" spans="1:5" ht="30">
      <c r="A5746" s="484">
        <v>2720</v>
      </c>
      <c r="B5746" s="485" t="s">
        <v>1309</v>
      </c>
      <c r="C5746" s="484" t="s">
        <v>57</v>
      </c>
      <c r="D5746" s="486">
        <v>199.88</v>
      </c>
      <c r="E5746" s="486">
        <v>199.88</v>
      </c>
    </row>
    <row r="5747" spans="1:5" ht="45">
      <c r="A5747" s="349">
        <v>2719</v>
      </c>
      <c r="B5747" s="348" t="s">
        <v>1311</v>
      </c>
      <c r="C5747" s="349" t="s">
        <v>57</v>
      </c>
      <c r="D5747" s="483">
        <v>169.36</v>
      </c>
      <c r="E5747" s="483">
        <v>169.36</v>
      </c>
    </row>
    <row r="5748" spans="1:5" ht="45">
      <c r="A5748" s="484">
        <v>3372</v>
      </c>
      <c r="B5748" s="485" t="s">
        <v>1316</v>
      </c>
      <c r="C5748" s="484" t="s">
        <v>57</v>
      </c>
      <c r="D5748" s="486">
        <v>117</v>
      </c>
      <c r="E5748" s="486">
        <v>117</v>
      </c>
    </row>
    <row r="5749" spans="1:5" ht="30">
      <c r="A5749" s="349">
        <v>13382</v>
      </c>
      <c r="B5749" s="348" t="s">
        <v>1329</v>
      </c>
      <c r="C5749" s="349" t="s">
        <v>65</v>
      </c>
      <c r="D5749" s="483">
        <v>150.72999999999999</v>
      </c>
      <c r="E5749" s="483">
        <v>150.72999999999999</v>
      </c>
    </row>
    <row r="5750" spans="1:5" ht="30">
      <c r="A5750" s="484">
        <v>20198</v>
      </c>
      <c r="B5750" s="485" t="s">
        <v>1330</v>
      </c>
      <c r="C5750" s="484" t="s">
        <v>255</v>
      </c>
      <c r="D5750" s="486">
        <v>834.35</v>
      </c>
      <c r="E5750" s="486">
        <v>834.35</v>
      </c>
    </row>
    <row r="5751" spans="1:5" ht="30">
      <c r="A5751" s="349">
        <v>4466</v>
      </c>
      <c r="B5751" s="348" t="s">
        <v>1333</v>
      </c>
      <c r="C5751" s="349" t="s">
        <v>71</v>
      </c>
      <c r="D5751" s="483">
        <v>16.86</v>
      </c>
      <c r="E5751" s="483">
        <v>16.86</v>
      </c>
    </row>
    <row r="5752" spans="1:5" ht="30">
      <c r="A5752" s="484">
        <v>10855</v>
      </c>
      <c r="B5752" s="485" t="s">
        <v>19451</v>
      </c>
      <c r="C5752" s="484" t="s">
        <v>71</v>
      </c>
      <c r="D5752" s="486">
        <v>27.31</v>
      </c>
      <c r="E5752" s="486">
        <v>27.31</v>
      </c>
    </row>
    <row r="5753" spans="1:5" ht="45">
      <c r="A5753" s="349">
        <v>12035</v>
      </c>
      <c r="B5753" s="348" t="s">
        <v>1343</v>
      </c>
      <c r="C5753" s="349" t="s">
        <v>65</v>
      </c>
      <c r="D5753" s="483">
        <v>10.31</v>
      </c>
      <c r="E5753" s="483">
        <v>10.31</v>
      </c>
    </row>
    <row r="5754" spans="1:5" ht="30">
      <c r="A5754" s="484">
        <v>4126</v>
      </c>
      <c r="B5754" s="485" t="s">
        <v>1347</v>
      </c>
      <c r="C5754" s="484" t="s">
        <v>65</v>
      </c>
      <c r="D5754" s="486">
        <v>167.11</v>
      </c>
      <c r="E5754" s="486">
        <v>167.11</v>
      </c>
    </row>
    <row r="5755" spans="1:5" ht="30">
      <c r="A5755" s="349">
        <v>1160</v>
      </c>
      <c r="B5755" s="348" t="s">
        <v>1353</v>
      </c>
      <c r="C5755" s="349" t="s">
        <v>57</v>
      </c>
      <c r="D5755" s="483">
        <v>11.59</v>
      </c>
      <c r="E5755" s="483">
        <v>11.59</v>
      </c>
    </row>
    <row r="5756" spans="1:5" ht="30">
      <c r="A5756" s="484">
        <v>38605</v>
      </c>
      <c r="B5756" s="485" t="s">
        <v>1378</v>
      </c>
      <c r="C5756" s="484" t="s">
        <v>65</v>
      </c>
      <c r="D5756" s="486">
        <v>60.41</v>
      </c>
      <c r="E5756" s="486">
        <v>60.41</v>
      </c>
    </row>
    <row r="5757" spans="1:5">
      <c r="A5757" s="349">
        <v>11270</v>
      </c>
      <c r="B5757" s="348" t="s">
        <v>1380</v>
      </c>
      <c r="C5757" s="349" t="s">
        <v>65</v>
      </c>
      <c r="D5757" s="483">
        <v>1.1100000000000001</v>
      </c>
      <c r="E5757" s="483">
        <v>1.1100000000000001</v>
      </c>
    </row>
    <row r="5758" spans="1:5">
      <c r="A5758" s="484">
        <v>412</v>
      </c>
      <c r="B5758" s="485" t="s">
        <v>1381</v>
      </c>
      <c r="C5758" s="484" t="s">
        <v>65</v>
      </c>
      <c r="D5758" s="486">
        <v>0.61</v>
      </c>
      <c r="E5758" s="486">
        <v>0.61</v>
      </c>
    </row>
    <row r="5759" spans="1:5">
      <c r="A5759" s="349">
        <v>414</v>
      </c>
      <c r="B5759" s="348" t="s">
        <v>1382</v>
      </c>
      <c r="C5759" s="349" t="s">
        <v>65</v>
      </c>
      <c r="D5759" s="483">
        <v>0.03</v>
      </c>
      <c r="E5759" s="483">
        <v>0.03</v>
      </c>
    </row>
    <row r="5760" spans="1:5">
      <c r="A5760" s="484">
        <v>410</v>
      </c>
      <c r="B5760" s="485" t="s">
        <v>1383</v>
      </c>
      <c r="C5760" s="484" t="s">
        <v>65</v>
      </c>
      <c r="D5760" s="486">
        <v>0.09</v>
      </c>
      <c r="E5760" s="486">
        <v>0.09</v>
      </c>
    </row>
    <row r="5761" spans="1:5">
      <c r="A5761" s="349">
        <v>411</v>
      </c>
      <c r="B5761" s="348" t="s">
        <v>1384</v>
      </c>
      <c r="C5761" s="349" t="s">
        <v>65</v>
      </c>
      <c r="D5761" s="483">
        <v>0.12</v>
      </c>
      <c r="E5761" s="483">
        <v>0.12</v>
      </c>
    </row>
    <row r="5762" spans="1:5">
      <c r="A5762" s="484">
        <v>408</v>
      </c>
      <c r="B5762" s="485" t="s">
        <v>1385</v>
      </c>
      <c r="C5762" s="484" t="s">
        <v>65</v>
      </c>
      <c r="D5762" s="486">
        <v>0.59</v>
      </c>
      <c r="E5762" s="486">
        <v>0.59</v>
      </c>
    </row>
    <row r="5763" spans="1:5" ht="30">
      <c r="A5763" s="349">
        <v>39131</v>
      </c>
      <c r="B5763" s="348" t="s">
        <v>1386</v>
      </c>
      <c r="C5763" s="349" t="s">
        <v>65</v>
      </c>
      <c r="D5763" s="483">
        <v>1.31</v>
      </c>
      <c r="E5763" s="483">
        <v>1.31</v>
      </c>
    </row>
    <row r="5764" spans="1:5" ht="30">
      <c r="A5764" s="484">
        <v>394</v>
      </c>
      <c r="B5764" s="485" t="s">
        <v>1387</v>
      </c>
      <c r="C5764" s="484" t="s">
        <v>65</v>
      </c>
      <c r="D5764" s="486">
        <v>1.32</v>
      </c>
      <c r="E5764" s="486">
        <v>1.32</v>
      </c>
    </row>
    <row r="5765" spans="1:5" ht="30">
      <c r="A5765" s="349">
        <v>39130</v>
      </c>
      <c r="B5765" s="348" t="s">
        <v>1388</v>
      </c>
      <c r="C5765" s="349" t="s">
        <v>65</v>
      </c>
      <c r="D5765" s="483">
        <v>1.19</v>
      </c>
      <c r="E5765" s="483">
        <v>1.19</v>
      </c>
    </row>
    <row r="5766" spans="1:5" ht="30">
      <c r="A5766" s="484">
        <v>395</v>
      </c>
      <c r="B5766" s="485" t="s">
        <v>1389</v>
      </c>
      <c r="C5766" s="484" t="s">
        <v>65</v>
      </c>
      <c r="D5766" s="486">
        <v>1.27</v>
      </c>
      <c r="E5766" s="486">
        <v>1.27</v>
      </c>
    </row>
    <row r="5767" spans="1:5" ht="30">
      <c r="A5767" s="349">
        <v>39127</v>
      </c>
      <c r="B5767" s="348" t="s">
        <v>1392</v>
      </c>
      <c r="C5767" s="349" t="s">
        <v>65</v>
      </c>
      <c r="D5767" s="483">
        <v>0.63</v>
      </c>
      <c r="E5767" s="483">
        <v>0.63</v>
      </c>
    </row>
    <row r="5768" spans="1:5" ht="30">
      <c r="A5768" s="484">
        <v>392</v>
      </c>
      <c r="B5768" s="485" t="s">
        <v>1393</v>
      </c>
      <c r="C5768" s="484" t="s">
        <v>65</v>
      </c>
      <c r="D5768" s="486">
        <v>0.64</v>
      </c>
      <c r="E5768" s="486">
        <v>0.64</v>
      </c>
    </row>
    <row r="5769" spans="1:5" ht="30">
      <c r="A5769" s="349">
        <v>39129</v>
      </c>
      <c r="B5769" s="348" t="s">
        <v>1390</v>
      </c>
      <c r="C5769" s="349" t="s">
        <v>65</v>
      </c>
      <c r="D5769" s="483">
        <v>0.73</v>
      </c>
      <c r="E5769" s="483">
        <v>0.73</v>
      </c>
    </row>
    <row r="5770" spans="1:5" ht="30">
      <c r="A5770" s="484">
        <v>393</v>
      </c>
      <c r="B5770" s="485" t="s">
        <v>1391</v>
      </c>
      <c r="C5770" s="484" t="s">
        <v>65</v>
      </c>
      <c r="D5770" s="486">
        <v>0.77</v>
      </c>
      <c r="E5770" s="486">
        <v>0.77</v>
      </c>
    </row>
    <row r="5771" spans="1:5" ht="30">
      <c r="A5771" s="349">
        <v>39133</v>
      </c>
      <c r="B5771" s="348" t="s">
        <v>1394</v>
      </c>
      <c r="C5771" s="349" t="s">
        <v>65</v>
      </c>
      <c r="D5771" s="483">
        <v>1.72</v>
      </c>
      <c r="E5771" s="483">
        <v>1.72</v>
      </c>
    </row>
    <row r="5772" spans="1:5" ht="30">
      <c r="A5772" s="484">
        <v>397</v>
      </c>
      <c r="B5772" s="485" t="s">
        <v>1395</v>
      </c>
      <c r="C5772" s="484" t="s">
        <v>65</v>
      </c>
      <c r="D5772" s="486">
        <v>1.9</v>
      </c>
      <c r="E5772" s="486">
        <v>1.9</v>
      </c>
    </row>
    <row r="5773" spans="1:5" ht="30">
      <c r="A5773" s="349">
        <v>39132</v>
      </c>
      <c r="B5773" s="348" t="s">
        <v>1396</v>
      </c>
      <c r="C5773" s="349" t="s">
        <v>65</v>
      </c>
      <c r="D5773" s="483">
        <v>1.37</v>
      </c>
      <c r="E5773" s="483">
        <v>1.37</v>
      </c>
    </row>
    <row r="5774" spans="1:5" ht="30">
      <c r="A5774" s="484">
        <v>396</v>
      </c>
      <c r="B5774" s="485" t="s">
        <v>1397</v>
      </c>
      <c r="C5774" s="484" t="s">
        <v>65</v>
      </c>
      <c r="D5774" s="486">
        <v>1.47</v>
      </c>
      <c r="E5774" s="486">
        <v>1.47</v>
      </c>
    </row>
    <row r="5775" spans="1:5" ht="30">
      <c r="A5775" s="349">
        <v>39135</v>
      </c>
      <c r="B5775" s="348" t="s">
        <v>1398</v>
      </c>
      <c r="C5775" s="349" t="s">
        <v>65</v>
      </c>
      <c r="D5775" s="483">
        <v>2.75</v>
      </c>
      <c r="E5775" s="483">
        <v>2.75</v>
      </c>
    </row>
    <row r="5776" spans="1:5" ht="30">
      <c r="A5776" s="484">
        <v>39128</v>
      </c>
      <c r="B5776" s="485" t="s">
        <v>1401</v>
      </c>
      <c r="C5776" s="484" t="s">
        <v>65</v>
      </c>
      <c r="D5776" s="486">
        <v>0.68</v>
      </c>
      <c r="E5776" s="486">
        <v>0.68</v>
      </c>
    </row>
    <row r="5777" spans="1:5" ht="30">
      <c r="A5777" s="349">
        <v>400</v>
      </c>
      <c r="B5777" s="348" t="s">
        <v>1402</v>
      </c>
      <c r="C5777" s="349" t="s">
        <v>65</v>
      </c>
      <c r="D5777" s="483">
        <v>0.67</v>
      </c>
      <c r="E5777" s="483">
        <v>0.67</v>
      </c>
    </row>
    <row r="5778" spans="1:5" ht="30">
      <c r="A5778" s="484">
        <v>39125</v>
      </c>
      <c r="B5778" s="485" t="s">
        <v>1403</v>
      </c>
      <c r="C5778" s="484" t="s">
        <v>65</v>
      </c>
      <c r="D5778" s="486">
        <v>0.68</v>
      </c>
      <c r="E5778" s="486">
        <v>0.68</v>
      </c>
    </row>
    <row r="5779" spans="1:5" ht="30">
      <c r="A5779" s="349">
        <v>39134</v>
      </c>
      <c r="B5779" s="348" t="s">
        <v>1399</v>
      </c>
      <c r="C5779" s="349" t="s">
        <v>65</v>
      </c>
      <c r="D5779" s="483">
        <v>2.29</v>
      </c>
      <c r="E5779" s="483">
        <v>2.29</v>
      </c>
    </row>
    <row r="5780" spans="1:5" ht="30">
      <c r="A5780" s="484">
        <v>398</v>
      </c>
      <c r="B5780" s="485" t="s">
        <v>1400</v>
      </c>
      <c r="C5780" s="484" t="s">
        <v>65</v>
      </c>
      <c r="D5780" s="486">
        <v>2.11</v>
      </c>
      <c r="E5780" s="486">
        <v>2.11</v>
      </c>
    </row>
    <row r="5781" spans="1:5" ht="30">
      <c r="A5781" s="349">
        <v>39126</v>
      </c>
      <c r="B5781" s="348" t="s">
        <v>1404</v>
      </c>
      <c r="C5781" s="349" t="s">
        <v>65</v>
      </c>
      <c r="D5781" s="483">
        <v>3.09</v>
      </c>
      <c r="E5781" s="483">
        <v>3.09</v>
      </c>
    </row>
    <row r="5782" spans="1:5" ht="30">
      <c r="A5782" s="484">
        <v>399</v>
      </c>
      <c r="B5782" s="485" t="s">
        <v>1405</v>
      </c>
      <c r="C5782" s="484" t="s">
        <v>65</v>
      </c>
      <c r="D5782" s="486">
        <v>2.72</v>
      </c>
      <c r="E5782" s="486">
        <v>2.72</v>
      </c>
    </row>
    <row r="5783" spans="1:5" ht="30">
      <c r="A5783" s="349">
        <v>39158</v>
      </c>
      <c r="B5783" s="348" t="s">
        <v>19452</v>
      </c>
      <c r="C5783" s="349" t="s">
        <v>65</v>
      </c>
      <c r="D5783" s="483">
        <v>7.32</v>
      </c>
      <c r="E5783" s="483">
        <v>7.32</v>
      </c>
    </row>
    <row r="5784" spans="1:5">
      <c r="A5784" s="484">
        <v>39141</v>
      </c>
      <c r="B5784" s="485" t="s">
        <v>1419</v>
      </c>
      <c r="C5784" s="484" t="s">
        <v>65</v>
      </c>
      <c r="D5784" s="486">
        <v>0.53</v>
      </c>
      <c r="E5784" s="486">
        <v>0.53</v>
      </c>
    </row>
    <row r="5785" spans="1:5">
      <c r="A5785" s="349">
        <v>39140</v>
      </c>
      <c r="B5785" s="348" t="s">
        <v>1420</v>
      </c>
      <c r="C5785" s="349" t="s">
        <v>65</v>
      </c>
      <c r="D5785" s="483">
        <v>0.48</v>
      </c>
      <c r="E5785" s="483">
        <v>0.48</v>
      </c>
    </row>
    <row r="5786" spans="1:5">
      <c r="A5786" s="484">
        <v>39137</v>
      </c>
      <c r="B5786" s="485" t="s">
        <v>1422</v>
      </c>
      <c r="C5786" s="484" t="s">
        <v>65</v>
      </c>
      <c r="D5786" s="486">
        <v>0.27</v>
      </c>
      <c r="E5786" s="486">
        <v>0.27</v>
      </c>
    </row>
    <row r="5787" spans="1:5">
      <c r="A5787" s="349">
        <v>39139</v>
      </c>
      <c r="B5787" s="348" t="s">
        <v>1421</v>
      </c>
      <c r="C5787" s="349" t="s">
        <v>65</v>
      </c>
      <c r="D5787" s="483">
        <v>0.4</v>
      </c>
      <c r="E5787" s="483">
        <v>0.4</v>
      </c>
    </row>
    <row r="5788" spans="1:5">
      <c r="A5788" s="484">
        <v>39143</v>
      </c>
      <c r="B5788" s="485" t="s">
        <v>1423</v>
      </c>
      <c r="C5788" s="484" t="s">
        <v>65</v>
      </c>
      <c r="D5788" s="486">
        <v>1.0900000000000001</v>
      </c>
      <c r="E5788" s="486">
        <v>1.0900000000000001</v>
      </c>
    </row>
    <row r="5789" spans="1:5">
      <c r="A5789" s="349">
        <v>39142</v>
      </c>
      <c r="B5789" s="348" t="s">
        <v>1424</v>
      </c>
      <c r="C5789" s="349" t="s">
        <v>65</v>
      </c>
      <c r="D5789" s="483">
        <v>0.78</v>
      </c>
      <c r="E5789" s="483">
        <v>0.78</v>
      </c>
    </row>
    <row r="5790" spans="1:5" ht="57.75" customHeight="1">
      <c r="A5790" s="484">
        <v>39138</v>
      </c>
      <c r="B5790" s="485" t="s">
        <v>1426</v>
      </c>
      <c r="C5790" s="484" t="s">
        <v>65</v>
      </c>
      <c r="D5790" s="486">
        <v>0.28999999999999998</v>
      </c>
      <c r="E5790" s="486">
        <v>0.28999999999999998</v>
      </c>
    </row>
    <row r="5791" spans="1:5">
      <c r="A5791" s="349">
        <v>39136</v>
      </c>
      <c r="B5791" s="348" t="s">
        <v>1427</v>
      </c>
      <c r="C5791" s="349" t="s">
        <v>65</v>
      </c>
      <c r="D5791" s="483">
        <v>0.19</v>
      </c>
      <c r="E5791" s="483">
        <v>0.19</v>
      </c>
    </row>
    <row r="5792" spans="1:5">
      <c r="A5792" s="484">
        <v>39144</v>
      </c>
      <c r="B5792" s="485" t="s">
        <v>1425</v>
      </c>
      <c r="C5792" s="484" t="s">
        <v>65</v>
      </c>
      <c r="D5792" s="486">
        <v>1.27</v>
      </c>
      <c r="E5792" s="486">
        <v>1.27</v>
      </c>
    </row>
    <row r="5793" spans="1:5">
      <c r="A5793" s="349">
        <v>39145</v>
      </c>
      <c r="B5793" s="348" t="s">
        <v>1428</v>
      </c>
      <c r="C5793" s="349" t="s">
        <v>65</v>
      </c>
      <c r="D5793" s="483">
        <v>2.1</v>
      </c>
      <c r="E5793" s="483">
        <v>2.1</v>
      </c>
    </row>
    <row r="5794" spans="1:5" ht="30">
      <c r="A5794" s="484">
        <v>12615</v>
      </c>
      <c r="B5794" s="485" t="s">
        <v>1445</v>
      </c>
      <c r="C5794" s="484" t="s">
        <v>65</v>
      </c>
      <c r="D5794" s="486">
        <v>2.92</v>
      </c>
      <c r="E5794" s="486">
        <v>2.92</v>
      </c>
    </row>
    <row r="5795" spans="1:5" ht="30">
      <c r="A5795" s="349">
        <v>11927</v>
      </c>
      <c r="B5795" s="348" t="s">
        <v>1446</v>
      </c>
      <c r="C5795" s="349" t="s">
        <v>65</v>
      </c>
      <c r="D5795" s="483">
        <v>3.33</v>
      </c>
      <c r="E5795" s="483">
        <v>3.33</v>
      </c>
    </row>
    <row r="5796" spans="1:5" ht="43.5" customHeight="1">
      <c r="A5796" s="484">
        <v>11928</v>
      </c>
      <c r="B5796" s="485" t="s">
        <v>1447</v>
      </c>
      <c r="C5796" s="484" t="s">
        <v>65</v>
      </c>
      <c r="D5796" s="486">
        <v>3.81</v>
      </c>
      <c r="E5796" s="486">
        <v>3.81</v>
      </c>
    </row>
    <row r="5797" spans="1:5" ht="30">
      <c r="A5797" s="349">
        <v>11929</v>
      </c>
      <c r="B5797" s="348" t="s">
        <v>1448</v>
      </c>
      <c r="C5797" s="349" t="s">
        <v>65</v>
      </c>
      <c r="D5797" s="483">
        <v>5.9</v>
      </c>
      <c r="E5797" s="483">
        <v>5.9</v>
      </c>
    </row>
    <row r="5798" spans="1:5" ht="43.5" customHeight="1">
      <c r="A5798" s="484">
        <v>36801</v>
      </c>
      <c r="B5798" s="485" t="s">
        <v>1451</v>
      </c>
      <c r="C5798" s="484" t="s">
        <v>65</v>
      </c>
      <c r="D5798" s="486">
        <v>18.96</v>
      </c>
      <c r="E5798" s="486">
        <v>18.96</v>
      </c>
    </row>
    <row r="5799" spans="1:5" ht="30">
      <c r="A5799" s="349">
        <v>36246</v>
      </c>
      <c r="B5799" s="348" t="s">
        <v>19453</v>
      </c>
      <c r="C5799" s="349" t="s">
        <v>71</v>
      </c>
      <c r="D5799" s="483">
        <v>1.72</v>
      </c>
      <c r="E5799" s="483">
        <v>1.72</v>
      </c>
    </row>
    <row r="5800" spans="1:5" ht="43.5" customHeight="1">
      <c r="A5800" s="484">
        <v>37600</v>
      </c>
      <c r="B5800" s="485" t="s">
        <v>19454</v>
      </c>
      <c r="C5800" s="484" t="s">
        <v>65</v>
      </c>
      <c r="D5800" s="486">
        <v>51.99</v>
      </c>
      <c r="E5800" s="486">
        <v>51.99</v>
      </c>
    </row>
    <row r="5801" spans="1:5" ht="43.5" customHeight="1">
      <c r="A5801" s="349">
        <v>37599</v>
      </c>
      <c r="B5801" s="348" t="s">
        <v>1454</v>
      </c>
      <c r="C5801" s="349" t="s">
        <v>65</v>
      </c>
      <c r="D5801" s="483">
        <v>48.39</v>
      </c>
      <c r="E5801" s="483">
        <v>48.39</v>
      </c>
    </row>
    <row r="5802" spans="1:5">
      <c r="A5802" s="484">
        <v>1</v>
      </c>
      <c r="B5802" s="485" t="s">
        <v>89</v>
      </c>
      <c r="C5802" s="484" t="s">
        <v>90</v>
      </c>
      <c r="D5802" s="486">
        <v>33</v>
      </c>
      <c r="E5802" s="486">
        <v>33</v>
      </c>
    </row>
    <row r="5803" spans="1:5">
      <c r="A5803" s="349">
        <v>3</v>
      </c>
      <c r="B5803" s="348" t="s">
        <v>1455</v>
      </c>
      <c r="C5803" s="349" t="s">
        <v>91</v>
      </c>
      <c r="D5803" s="483">
        <v>3.44</v>
      </c>
      <c r="E5803" s="483">
        <v>3.44</v>
      </c>
    </row>
    <row r="5804" spans="1:5">
      <c r="A5804" s="484">
        <v>34457</v>
      </c>
      <c r="B5804" s="485" t="s">
        <v>1456</v>
      </c>
      <c r="C5804" s="484" t="s">
        <v>90</v>
      </c>
      <c r="D5804" s="486">
        <v>4.9400000000000004</v>
      </c>
      <c r="E5804" s="486">
        <v>4.9400000000000004</v>
      </c>
    </row>
    <row r="5805" spans="1:5">
      <c r="A5805" s="349">
        <v>34341</v>
      </c>
      <c r="B5805" s="348" t="s">
        <v>1464</v>
      </c>
      <c r="C5805" s="349" t="s">
        <v>90</v>
      </c>
      <c r="D5805" s="483">
        <v>3.94</v>
      </c>
      <c r="E5805" s="483">
        <v>3.94</v>
      </c>
    </row>
    <row r="5806" spans="1:5">
      <c r="A5806" s="484">
        <v>26</v>
      </c>
      <c r="B5806" s="485" t="s">
        <v>1457</v>
      </c>
      <c r="C5806" s="484" t="s">
        <v>90</v>
      </c>
      <c r="D5806" s="486">
        <v>4.16</v>
      </c>
      <c r="E5806" s="486">
        <v>4.16</v>
      </c>
    </row>
    <row r="5807" spans="1:5">
      <c r="A5807" s="349">
        <v>20</v>
      </c>
      <c r="B5807" s="348" t="s">
        <v>1458</v>
      </c>
      <c r="C5807" s="349" t="s">
        <v>90</v>
      </c>
      <c r="D5807" s="483">
        <v>4.1900000000000004</v>
      </c>
      <c r="E5807" s="483">
        <v>4.1900000000000004</v>
      </c>
    </row>
    <row r="5808" spans="1:5">
      <c r="A5808" s="484">
        <v>21</v>
      </c>
      <c r="B5808" s="485" t="s">
        <v>1459</v>
      </c>
      <c r="C5808" s="484" t="s">
        <v>90</v>
      </c>
      <c r="D5808" s="486">
        <v>4.1900000000000004</v>
      </c>
      <c r="E5808" s="486">
        <v>4.1900000000000004</v>
      </c>
    </row>
    <row r="5809" spans="1:5">
      <c r="A5809" s="349">
        <v>24</v>
      </c>
      <c r="B5809" s="348" t="s">
        <v>1460</v>
      </c>
      <c r="C5809" s="349" t="s">
        <v>90</v>
      </c>
      <c r="D5809" s="483">
        <v>4.1900000000000004</v>
      </c>
      <c r="E5809" s="483">
        <v>4.1900000000000004</v>
      </c>
    </row>
    <row r="5810" spans="1:5">
      <c r="A5810" s="484">
        <v>25</v>
      </c>
      <c r="B5810" s="485" t="s">
        <v>1461</v>
      </c>
      <c r="C5810" s="484" t="s">
        <v>90</v>
      </c>
      <c r="D5810" s="486">
        <v>4.1900000000000004</v>
      </c>
      <c r="E5810" s="486">
        <v>4.1900000000000004</v>
      </c>
    </row>
    <row r="5811" spans="1:5">
      <c r="A5811" s="349">
        <v>22</v>
      </c>
      <c r="B5811" s="348" t="s">
        <v>1462</v>
      </c>
      <c r="C5811" s="349" t="s">
        <v>90</v>
      </c>
      <c r="D5811" s="483">
        <v>4.4800000000000004</v>
      </c>
      <c r="E5811" s="483">
        <v>4.4800000000000004</v>
      </c>
    </row>
    <row r="5812" spans="1:5">
      <c r="A5812" s="484">
        <v>23</v>
      </c>
      <c r="B5812" s="485" t="s">
        <v>1463</v>
      </c>
      <c r="C5812" s="484" t="s">
        <v>90</v>
      </c>
      <c r="D5812" s="486">
        <v>4.4400000000000004</v>
      </c>
      <c r="E5812" s="486">
        <v>4.4400000000000004</v>
      </c>
    </row>
    <row r="5813" spans="1:5">
      <c r="A5813" s="349">
        <v>34439</v>
      </c>
      <c r="B5813" s="348" t="s">
        <v>1465</v>
      </c>
      <c r="C5813" s="349" t="s">
        <v>90</v>
      </c>
      <c r="D5813" s="483">
        <v>4.97</v>
      </c>
      <c r="E5813" s="483">
        <v>4.97</v>
      </c>
    </row>
    <row r="5814" spans="1:5">
      <c r="A5814" s="484">
        <v>34</v>
      </c>
      <c r="B5814" s="485" t="s">
        <v>1466</v>
      </c>
      <c r="C5814" s="484" t="s">
        <v>90</v>
      </c>
      <c r="D5814" s="486">
        <v>4.42</v>
      </c>
      <c r="E5814" s="486">
        <v>4.42</v>
      </c>
    </row>
    <row r="5815" spans="1:5">
      <c r="A5815" s="349">
        <v>34441</v>
      </c>
      <c r="B5815" s="348" t="s">
        <v>1467</v>
      </c>
      <c r="C5815" s="349" t="s">
        <v>90</v>
      </c>
      <c r="D5815" s="483">
        <v>4.72</v>
      </c>
      <c r="E5815" s="483">
        <v>4.72</v>
      </c>
    </row>
    <row r="5816" spans="1:5">
      <c r="A5816" s="484">
        <v>31</v>
      </c>
      <c r="B5816" s="485" t="s">
        <v>1468</v>
      </c>
      <c r="C5816" s="484" t="s">
        <v>90</v>
      </c>
      <c r="D5816" s="486">
        <v>4.21</v>
      </c>
      <c r="E5816" s="486">
        <v>4.21</v>
      </c>
    </row>
    <row r="5817" spans="1:5">
      <c r="A5817" s="349">
        <v>34443</v>
      </c>
      <c r="B5817" s="348" t="s">
        <v>1469</v>
      </c>
      <c r="C5817" s="349" t="s">
        <v>90</v>
      </c>
      <c r="D5817" s="483">
        <v>4.72</v>
      </c>
      <c r="E5817" s="483">
        <v>4.72</v>
      </c>
    </row>
    <row r="5818" spans="1:5">
      <c r="A5818" s="484">
        <v>27</v>
      </c>
      <c r="B5818" s="485" t="s">
        <v>1470</v>
      </c>
      <c r="C5818" s="484" t="s">
        <v>90</v>
      </c>
      <c r="D5818" s="486">
        <v>4.21</v>
      </c>
      <c r="E5818" s="486">
        <v>4.21</v>
      </c>
    </row>
    <row r="5819" spans="1:5">
      <c r="A5819" s="349">
        <v>34446</v>
      </c>
      <c r="B5819" s="348" t="s">
        <v>1471</v>
      </c>
      <c r="C5819" s="349" t="s">
        <v>90</v>
      </c>
      <c r="D5819" s="483">
        <v>4.72</v>
      </c>
      <c r="E5819" s="483">
        <v>4.72</v>
      </c>
    </row>
    <row r="5820" spans="1:5">
      <c r="A5820" s="484">
        <v>29</v>
      </c>
      <c r="B5820" s="485" t="s">
        <v>1472</v>
      </c>
      <c r="C5820" s="484" t="s">
        <v>90</v>
      </c>
      <c r="D5820" s="486">
        <v>3.93</v>
      </c>
      <c r="E5820" s="486">
        <v>3.93</v>
      </c>
    </row>
    <row r="5821" spans="1:5">
      <c r="A5821" s="349">
        <v>28</v>
      </c>
      <c r="B5821" s="348" t="s">
        <v>1473</v>
      </c>
      <c r="C5821" s="349" t="s">
        <v>90</v>
      </c>
      <c r="D5821" s="483">
        <v>4.55</v>
      </c>
      <c r="E5821" s="483">
        <v>4.55</v>
      </c>
    </row>
    <row r="5822" spans="1:5">
      <c r="A5822" s="484">
        <v>34449</v>
      </c>
      <c r="B5822" s="485" t="s">
        <v>1474</v>
      </c>
      <c r="C5822" s="484" t="s">
        <v>90</v>
      </c>
      <c r="D5822" s="486">
        <v>5.19</v>
      </c>
      <c r="E5822" s="486">
        <v>5.19</v>
      </c>
    </row>
    <row r="5823" spans="1:5">
      <c r="A5823" s="349">
        <v>32</v>
      </c>
      <c r="B5823" s="348" t="s">
        <v>1475</v>
      </c>
      <c r="C5823" s="349" t="s">
        <v>90</v>
      </c>
      <c r="D5823" s="483">
        <v>4.63</v>
      </c>
      <c r="E5823" s="483">
        <v>4.63</v>
      </c>
    </row>
    <row r="5824" spans="1:5">
      <c r="A5824" s="484">
        <v>33</v>
      </c>
      <c r="B5824" s="485" t="s">
        <v>1476</v>
      </c>
      <c r="C5824" s="484" t="s">
        <v>90</v>
      </c>
      <c r="D5824" s="486">
        <v>5.2</v>
      </c>
      <c r="E5824" s="486">
        <v>5.2</v>
      </c>
    </row>
    <row r="5825" spans="1:5">
      <c r="A5825" s="349">
        <v>34343</v>
      </c>
      <c r="B5825" s="348" t="s">
        <v>1485</v>
      </c>
      <c r="C5825" s="349" t="s">
        <v>90</v>
      </c>
      <c r="D5825" s="483">
        <v>5</v>
      </c>
      <c r="E5825" s="483">
        <v>5</v>
      </c>
    </row>
    <row r="5826" spans="1:5">
      <c r="A5826" s="484">
        <v>34452</v>
      </c>
      <c r="B5826" s="485" t="s">
        <v>1477</v>
      </c>
      <c r="C5826" s="484" t="s">
        <v>90</v>
      </c>
      <c r="D5826" s="486">
        <v>4.5999999999999996</v>
      </c>
      <c r="E5826" s="486">
        <v>4.5999999999999996</v>
      </c>
    </row>
    <row r="5827" spans="1:5">
      <c r="A5827" s="349">
        <v>36</v>
      </c>
      <c r="B5827" s="348" t="s">
        <v>1478</v>
      </c>
      <c r="C5827" s="349" t="s">
        <v>90</v>
      </c>
      <c r="D5827" s="483">
        <v>4.3899999999999997</v>
      </c>
      <c r="E5827" s="483">
        <v>4.3899999999999997</v>
      </c>
    </row>
    <row r="5828" spans="1:5">
      <c r="A5828" s="484">
        <v>34456</v>
      </c>
      <c r="B5828" s="485" t="s">
        <v>1479</v>
      </c>
      <c r="C5828" s="484" t="s">
        <v>90</v>
      </c>
      <c r="D5828" s="486">
        <v>4.5999999999999996</v>
      </c>
      <c r="E5828" s="486">
        <v>4.5999999999999996</v>
      </c>
    </row>
    <row r="5829" spans="1:5">
      <c r="A5829" s="349">
        <v>39</v>
      </c>
      <c r="B5829" s="348" t="s">
        <v>1480</v>
      </c>
      <c r="C5829" s="349" t="s">
        <v>90</v>
      </c>
      <c r="D5829" s="483">
        <v>4.3899999999999997</v>
      </c>
      <c r="E5829" s="483">
        <v>4.3899999999999997</v>
      </c>
    </row>
    <row r="5830" spans="1:5">
      <c r="A5830" s="484">
        <v>40</v>
      </c>
      <c r="B5830" s="485" t="s">
        <v>1481</v>
      </c>
      <c r="C5830" s="484" t="s">
        <v>90</v>
      </c>
      <c r="D5830" s="486">
        <v>4.4800000000000004</v>
      </c>
      <c r="E5830" s="486">
        <v>4.4800000000000004</v>
      </c>
    </row>
    <row r="5831" spans="1:5">
      <c r="A5831" s="349">
        <v>34460</v>
      </c>
      <c r="B5831" s="348" t="s">
        <v>1482</v>
      </c>
      <c r="C5831" s="349" t="s">
        <v>90</v>
      </c>
      <c r="D5831" s="483">
        <v>5.04</v>
      </c>
      <c r="E5831" s="483">
        <v>5.04</v>
      </c>
    </row>
    <row r="5832" spans="1:5">
      <c r="A5832" s="484">
        <v>42</v>
      </c>
      <c r="B5832" s="485" t="s">
        <v>1483</v>
      </c>
      <c r="C5832" s="484" t="s">
        <v>90</v>
      </c>
      <c r="D5832" s="486">
        <v>4.55</v>
      </c>
      <c r="E5832" s="486">
        <v>4.55</v>
      </c>
    </row>
    <row r="5833" spans="1:5">
      <c r="A5833" s="349">
        <v>38</v>
      </c>
      <c r="B5833" s="348" t="s">
        <v>1484</v>
      </c>
      <c r="C5833" s="349" t="s">
        <v>90</v>
      </c>
      <c r="D5833" s="483">
        <v>5.07</v>
      </c>
      <c r="E5833" s="483">
        <v>5.07</v>
      </c>
    </row>
    <row r="5834" spans="1:5">
      <c r="A5834" s="484">
        <v>34344</v>
      </c>
      <c r="B5834" s="485" t="s">
        <v>1486</v>
      </c>
      <c r="C5834" s="484" t="s">
        <v>90</v>
      </c>
      <c r="D5834" s="486">
        <v>6.89</v>
      </c>
      <c r="E5834" s="486">
        <v>6.89</v>
      </c>
    </row>
    <row r="5835" spans="1:5" ht="30">
      <c r="A5835" s="349">
        <v>20063</v>
      </c>
      <c r="B5835" s="348" t="s">
        <v>1487</v>
      </c>
      <c r="C5835" s="349" t="s">
        <v>65</v>
      </c>
      <c r="D5835" s="483">
        <v>2.9</v>
      </c>
      <c r="E5835" s="483">
        <v>2.9</v>
      </c>
    </row>
    <row r="5836" spans="1:5" ht="30">
      <c r="A5836" s="484">
        <v>55</v>
      </c>
      <c r="B5836" s="485" t="s">
        <v>19455</v>
      </c>
      <c r="C5836" s="484" t="s">
        <v>65</v>
      </c>
      <c r="D5836" s="486">
        <v>2.08</v>
      </c>
      <c r="E5836" s="486">
        <v>2.08</v>
      </c>
    </row>
    <row r="5837" spans="1:5" ht="30">
      <c r="A5837" s="349">
        <v>61</v>
      </c>
      <c r="B5837" s="348" t="s">
        <v>19456</v>
      </c>
      <c r="C5837" s="349" t="s">
        <v>65</v>
      </c>
      <c r="D5837" s="483">
        <v>1.96</v>
      </c>
      <c r="E5837" s="483">
        <v>1.96</v>
      </c>
    </row>
    <row r="5838" spans="1:5" ht="30">
      <c r="A5838" s="484">
        <v>62</v>
      </c>
      <c r="B5838" s="485" t="s">
        <v>19457</v>
      </c>
      <c r="C5838" s="484" t="s">
        <v>65</v>
      </c>
      <c r="D5838" s="486">
        <v>4.07</v>
      </c>
      <c r="E5838" s="486">
        <v>4.07</v>
      </c>
    </row>
    <row r="5839" spans="1:5">
      <c r="A5839" s="349">
        <v>77</v>
      </c>
      <c r="B5839" s="348" t="s">
        <v>1537</v>
      </c>
      <c r="C5839" s="349" t="s">
        <v>65</v>
      </c>
      <c r="D5839" s="483">
        <v>3.72</v>
      </c>
      <c r="E5839" s="483">
        <v>3.72</v>
      </c>
    </row>
    <row r="5840" spans="1:5">
      <c r="A5840" s="484">
        <v>76</v>
      </c>
      <c r="B5840" s="485" t="s">
        <v>1538</v>
      </c>
      <c r="C5840" s="484" t="s">
        <v>65</v>
      </c>
      <c r="D5840" s="486">
        <v>0.72</v>
      </c>
      <c r="E5840" s="486">
        <v>0.72</v>
      </c>
    </row>
    <row r="5841" spans="1:5">
      <c r="A5841" s="349">
        <v>67</v>
      </c>
      <c r="B5841" s="348" t="s">
        <v>1540</v>
      </c>
      <c r="C5841" s="349" t="s">
        <v>65</v>
      </c>
      <c r="D5841" s="483">
        <v>8.11</v>
      </c>
      <c r="E5841" s="483">
        <v>8.11</v>
      </c>
    </row>
    <row r="5842" spans="1:5">
      <c r="A5842" s="484">
        <v>71</v>
      </c>
      <c r="B5842" s="485" t="s">
        <v>1539</v>
      </c>
      <c r="C5842" s="484" t="s">
        <v>65</v>
      </c>
      <c r="D5842" s="486">
        <v>14.26</v>
      </c>
      <c r="E5842" s="486">
        <v>14.26</v>
      </c>
    </row>
    <row r="5843" spans="1:5">
      <c r="A5843" s="349">
        <v>73</v>
      </c>
      <c r="B5843" s="348" t="s">
        <v>1541</v>
      </c>
      <c r="C5843" s="349" t="s">
        <v>65</v>
      </c>
      <c r="D5843" s="483">
        <v>10.26</v>
      </c>
      <c r="E5843" s="483">
        <v>10.26</v>
      </c>
    </row>
    <row r="5844" spans="1:5">
      <c r="A5844" s="484">
        <v>103</v>
      </c>
      <c r="B5844" s="485" t="s">
        <v>1542</v>
      </c>
      <c r="C5844" s="484" t="s">
        <v>65</v>
      </c>
      <c r="D5844" s="486">
        <v>35.47</v>
      </c>
      <c r="E5844" s="486">
        <v>35.47</v>
      </c>
    </row>
    <row r="5845" spans="1:5">
      <c r="A5845" s="349">
        <v>107</v>
      </c>
      <c r="B5845" s="348" t="s">
        <v>1543</v>
      </c>
      <c r="C5845" s="349" t="s">
        <v>65</v>
      </c>
      <c r="D5845" s="483">
        <v>0.67</v>
      </c>
      <c r="E5845" s="483">
        <v>0.67</v>
      </c>
    </row>
    <row r="5846" spans="1:5">
      <c r="A5846" s="484">
        <v>65</v>
      </c>
      <c r="B5846" s="485" t="s">
        <v>1544</v>
      </c>
      <c r="C5846" s="484" t="s">
        <v>65</v>
      </c>
      <c r="D5846" s="486">
        <v>0.76</v>
      </c>
      <c r="E5846" s="486">
        <v>0.76</v>
      </c>
    </row>
    <row r="5847" spans="1:5">
      <c r="A5847" s="349">
        <v>108</v>
      </c>
      <c r="B5847" s="348" t="s">
        <v>1545</v>
      </c>
      <c r="C5847" s="349" t="s">
        <v>65</v>
      </c>
      <c r="D5847" s="483">
        <v>1.5</v>
      </c>
      <c r="E5847" s="483">
        <v>1.5</v>
      </c>
    </row>
    <row r="5848" spans="1:5" ht="43.5" customHeight="1">
      <c r="A5848" s="484">
        <v>110</v>
      </c>
      <c r="B5848" s="485" t="s">
        <v>1546</v>
      </c>
      <c r="C5848" s="484" t="s">
        <v>65</v>
      </c>
      <c r="D5848" s="486">
        <v>3.55</v>
      </c>
      <c r="E5848" s="486">
        <v>3.55</v>
      </c>
    </row>
    <row r="5849" spans="1:5">
      <c r="A5849" s="349">
        <v>109</v>
      </c>
      <c r="B5849" s="348" t="s">
        <v>1547</v>
      </c>
      <c r="C5849" s="349" t="s">
        <v>65</v>
      </c>
      <c r="D5849" s="483">
        <v>2.71</v>
      </c>
      <c r="E5849" s="483">
        <v>2.71</v>
      </c>
    </row>
    <row r="5850" spans="1:5" ht="43.5" customHeight="1">
      <c r="A5850" s="484">
        <v>111</v>
      </c>
      <c r="B5850" s="485" t="s">
        <v>1548</v>
      </c>
      <c r="C5850" s="484" t="s">
        <v>65</v>
      </c>
      <c r="D5850" s="486">
        <v>6.17</v>
      </c>
      <c r="E5850" s="486">
        <v>6.17</v>
      </c>
    </row>
    <row r="5851" spans="1:5">
      <c r="A5851" s="349">
        <v>112</v>
      </c>
      <c r="B5851" s="348" t="s">
        <v>1549</v>
      </c>
      <c r="C5851" s="349" t="s">
        <v>65</v>
      </c>
      <c r="D5851" s="483">
        <v>3.33</v>
      </c>
      <c r="E5851" s="483">
        <v>3.33</v>
      </c>
    </row>
    <row r="5852" spans="1:5" ht="43.5" customHeight="1">
      <c r="A5852" s="484">
        <v>113</v>
      </c>
      <c r="B5852" s="485" t="s">
        <v>1550</v>
      </c>
      <c r="C5852" s="484" t="s">
        <v>65</v>
      </c>
      <c r="D5852" s="486">
        <v>8.49</v>
      </c>
      <c r="E5852" s="486">
        <v>8.49</v>
      </c>
    </row>
    <row r="5853" spans="1:5">
      <c r="A5853" s="349">
        <v>104</v>
      </c>
      <c r="B5853" s="348" t="s">
        <v>1551</v>
      </c>
      <c r="C5853" s="349" t="s">
        <v>65</v>
      </c>
      <c r="D5853" s="483">
        <v>14.65</v>
      </c>
      <c r="E5853" s="483">
        <v>14.65</v>
      </c>
    </row>
    <row r="5854" spans="1:5">
      <c r="A5854" s="484">
        <v>102</v>
      </c>
      <c r="B5854" s="485" t="s">
        <v>1552</v>
      </c>
      <c r="C5854" s="484" t="s">
        <v>65</v>
      </c>
      <c r="D5854" s="486">
        <v>22.02</v>
      </c>
      <c r="E5854" s="486">
        <v>22.02</v>
      </c>
    </row>
    <row r="5855" spans="1:5" ht="43.5" customHeight="1">
      <c r="A5855" s="349">
        <v>95</v>
      </c>
      <c r="B5855" s="348" t="s">
        <v>1553</v>
      </c>
      <c r="C5855" s="349" t="s">
        <v>65</v>
      </c>
      <c r="D5855" s="483">
        <v>9.31</v>
      </c>
      <c r="E5855" s="483">
        <v>9.31</v>
      </c>
    </row>
    <row r="5856" spans="1:5" ht="30">
      <c r="A5856" s="484">
        <v>96</v>
      </c>
      <c r="B5856" s="485" t="s">
        <v>1554</v>
      </c>
      <c r="C5856" s="484" t="s">
        <v>65</v>
      </c>
      <c r="D5856" s="486">
        <v>12.05</v>
      </c>
      <c r="E5856" s="486">
        <v>12.05</v>
      </c>
    </row>
    <row r="5857" spans="1:5" ht="57.75" customHeight="1">
      <c r="A5857" s="349">
        <v>97</v>
      </c>
      <c r="B5857" s="348" t="s">
        <v>1555</v>
      </c>
      <c r="C5857" s="349" t="s">
        <v>65</v>
      </c>
      <c r="D5857" s="483">
        <v>15.17</v>
      </c>
      <c r="E5857" s="483">
        <v>15.17</v>
      </c>
    </row>
    <row r="5858" spans="1:5" ht="30">
      <c r="A5858" s="484">
        <v>98</v>
      </c>
      <c r="B5858" s="485" t="s">
        <v>1556</v>
      </c>
      <c r="C5858" s="484" t="s">
        <v>65</v>
      </c>
      <c r="D5858" s="486">
        <v>24.6</v>
      </c>
      <c r="E5858" s="486">
        <v>24.6</v>
      </c>
    </row>
    <row r="5859" spans="1:5" ht="30">
      <c r="A5859" s="349">
        <v>99</v>
      </c>
      <c r="B5859" s="348" t="s">
        <v>1557</v>
      </c>
      <c r="C5859" s="349" t="s">
        <v>65</v>
      </c>
      <c r="D5859" s="483">
        <v>28.38</v>
      </c>
      <c r="E5859" s="483">
        <v>28.38</v>
      </c>
    </row>
    <row r="5860" spans="1:5" ht="30">
      <c r="A5860" s="484">
        <v>100</v>
      </c>
      <c r="B5860" s="485" t="s">
        <v>1558</v>
      </c>
      <c r="C5860" s="484" t="s">
        <v>65</v>
      </c>
      <c r="D5860" s="486">
        <v>34.5</v>
      </c>
      <c r="E5860" s="486">
        <v>34.5</v>
      </c>
    </row>
    <row r="5861" spans="1:5">
      <c r="A5861" s="349">
        <v>75</v>
      </c>
      <c r="B5861" s="348" t="s">
        <v>1559</v>
      </c>
      <c r="C5861" s="349" t="s">
        <v>65</v>
      </c>
      <c r="D5861" s="483">
        <v>258.83</v>
      </c>
      <c r="E5861" s="483">
        <v>258.83</v>
      </c>
    </row>
    <row r="5862" spans="1:5">
      <c r="A5862" s="484">
        <v>114</v>
      </c>
      <c r="B5862" s="485" t="s">
        <v>1560</v>
      </c>
      <c r="C5862" s="484" t="s">
        <v>65</v>
      </c>
      <c r="D5862" s="486">
        <v>10.210000000000001</v>
      </c>
      <c r="E5862" s="486">
        <v>10.210000000000001</v>
      </c>
    </row>
    <row r="5863" spans="1:5">
      <c r="A5863" s="349">
        <v>68</v>
      </c>
      <c r="B5863" s="348" t="s">
        <v>1561</v>
      </c>
      <c r="C5863" s="349" t="s">
        <v>65</v>
      </c>
      <c r="D5863" s="483">
        <v>13.69</v>
      </c>
      <c r="E5863" s="483">
        <v>13.69</v>
      </c>
    </row>
    <row r="5864" spans="1:5">
      <c r="A5864" s="484">
        <v>86</v>
      </c>
      <c r="B5864" s="485" t="s">
        <v>1562</v>
      </c>
      <c r="C5864" s="484" t="s">
        <v>65</v>
      </c>
      <c r="D5864" s="486">
        <v>20.28</v>
      </c>
      <c r="E5864" s="486">
        <v>20.28</v>
      </c>
    </row>
    <row r="5865" spans="1:5">
      <c r="A5865" s="349">
        <v>66</v>
      </c>
      <c r="B5865" s="348" t="s">
        <v>1563</v>
      </c>
      <c r="C5865" s="349" t="s">
        <v>65</v>
      </c>
      <c r="D5865" s="483">
        <v>23.27</v>
      </c>
      <c r="E5865" s="483">
        <v>23.27</v>
      </c>
    </row>
    <row r="5866" spans="1:5">
      <c r="A5866" s="484">
        <v>69</v>
      </c>
      <c r="B5866" s="485" t="s">
        <v>1564</v>
      </c>
      <c r="C5866" s="484" t="s">
        <v>65</v>
      </c>
      <c r="D5866" s="486">
        <v>34.5</v>
      </c>
      <c r="E5866" s="486">
        <v>34.5</v>
      </c>
    </row>
    <row r="5867" spans="1:5">
      <c r="A5867" s="349">
        <v>83</v>
      </c>
      <c r="B5867" s="348" t="s">
        <v>1565</v>
      </c>
      <c r="C5867" s="349" t="s">
        <v>65</v>
      </c>
      <c r="D5867" s="483">
        <v>134.26</v>
      </c>
      <c r="E5867" s="483">
        <v>134.26</v>
      </c>
    </row>
    <row r="5868" spans="1:5">
      <c r="A5868" s="484">
        <v>74</v>
      </c>
      <c r="B5868" s="485" t="s">
        <v>1566</v>
      </c>
      <c r="C5868" s="484" t="s">
        <v>65</v>
      </c>
      <c r="D5868" s="486">
        <v>180.86</v>
      </c>
      <c r="E5868" s="486">
        <v>180.86</v>
      </c>
    </row>
    <row r="5869" spans="1:5">
      <c r="A5869" s="349">
        <v>106</v>
      </c>
      <c r="B5869" s="348" t="s">
        <v>1567</v>
      </c>
      <c r="C5869" s="349" t="s">
        <v>65</v>
      </c>
      <c r="D5869" s="483">
        <v>369.74</v>
      </c>
      <c r="E5869" s="483">
        <v>369.74</v>
      </c>
    </row>
    <row r="5870" spans="1:5">
      <c r="A5870" s="484">
        <v>87</v>
      </c>
      <c r="B5870" s="485" t="s">
        <v>1568</v>
      </c>
      <c r="C5870" s="484" t="s">
        <v>65</v>
      </c>
      <c r="D5870" s="486">
        <v>15.3</v>
      </c>
      <c r="E5870" s="486">
        <v>15.3</v>
      </c>
    </row>
    <row r="5871" spans="1:5">
      <c r="A5871" s="349">
        <v>88</v>
      </c>
      <c r="B5871" s="348" t="s">
        <v>1569</v>
      </c>
      <c r="C5871" s="349" t="s">
        <v>65</v>
      </c>
      <c r="D5871" s="483">
        <v>18.41</v>
      </c>
      <c r="E5871" s="483">
        <v>18.41</v>
      </c>
    </row>
    <row r="5872" spans="1:5">
      <c r="A5872" s="484">
        <v>89</v>
      </c>
      <c r="B5872" s="485" t="s">
        <v>1570</v>
      </c>
      <c r="C5872" s="484" t="s">
        <v>65</v>
      </c>
      <c r="D5872" s="486">
        <v>27.17</v>
      </c>
      <c r="E5872" s="486">
        <v>27.17</v>
      </c>
    </row>
    <row r="5873" spans="1:5">
      <c r="A5873" s="349">
        <v>90</v>
      </c>
      <c r="B5873" s="348" t="s">
        <v>1571</v>
      </c>
      <c r="C5873" s="349" t="s">
        <v>65</v>
      </c>
      <c r="D5873" s="483">
        <v>31.16</v>
      </c>
      <c r="E5873" s="483">
        <v>31.16</v>
      </c>
    </row>
    <row r="5874" spans="1:5">
      <c r="A5874" s="484">
        <v>81</v>
      </c>
      <c r="B5874" s="485" t="s">
        <v>1572</v>
      </c>
      <c r="C5874" s="484" t="s">
        <v>65</v>
      </c>
      <c r="D5874" s="486">
        <v>46.25</v>
      </c>
      <c r="E5874" s="486">
        <v>46.25</v>
      </c>
    </row>
    <row r="5875" spans="1:5">
      <c r="A5875" s="349">
        <v>82</v>
      </c>
      <c r="B5875" s="348" t="s">
        <v>1573</v>
      </c>
      <c r="C5875" s="349" t="s">
        <v>65</v>
      </c>
      <c r="D5875" s="483">
        <v>179.97</v>
      </c>
      <c r="E5875" s="483">
        <v>179.97</v>
      </c>
    </row>
    <row r="5876" spans="1:5">
      <c r="A5876" s="484">
        <v>105</v>
      </c>
      <c r="B5876" s="485" t="s">
        <v>1574</v>
      </c>
      <c r="C5876" s="484" t="s">
        <v>65</v>
      </c>
      <c r="D5876" s="486">
        <v>242.42</v>
      </c>
      <c r="E5876" s="486">
        <v>242.42</v>
      </c>
    </row>
    <row r="5877" spans="1:5">
      <c r="A5877" s="349">
        <v>60</v>
      </c>
      <c r="B5877" s="348" t="s">
        <v>19458</v>
      </c>
      <c r="C5877" s="349" t="s">
        <v>65</v>
      </c>
      <c r="D5877" s="483">
        <v>2.7</v>
      </c>
      <c r="E5877" s="483">
        <v>2.7</v>
      </c>
    </row>
    <row r="5878" spans="1:5">
      <c r="A5878" s="484">
        <v>72</v>
      </c>
      <c r="B5878" s="485" t="s">
        <v>1576</v>
      </c>
      <c r="C5878" s="484" t="s">
        <v>65</v>
      </c>
      <c r="D5878" s="486">
        <v>24</v>
      </c>
      <c r="E5878" s="486">
        <v>24</v>
      </c>
    </row>
    <row r="5879" spans="1:5">
      <c r="A5879" s="349">
        <v>70</v>
      </c>
      <c r="B5879" s="348" t="s">
        <v>1577</v>
      </c>
      <c r="C5879" s="349" t="s">
        <v>65</v>
      </c>
      <c r="D5879" s="483">
        <v>24.32</v>
      </c>
      <c r="E5879" s="483">
        <v>24.32</v>
      </c>
    </row>
    <row r="5880" spans="1:5">
      <c r="A5880" s="484">
        <v>85</v>
      </c>
      <c r="B5880" s="485" t="s">
        <v>1578</v>
      </c>
      <c r="C5880" s="484" t="s">
        <v>65</v>
      </c>
      <c r="D5880" s="486">
        <v>34.96</v>
      </c>
      <c r="E5880" s="486">
        <v>34.96</v>
      </c>
    </row>
    <row r="5881" spans="1:5">
      <c r="A5881" s="349">
        <v>84</v>
      </c>
      <c r="B5881" s="348" t="s">
        <v>1579</v>
      </c>
      <c r="C5881" s="349" t="s">
        <v>65</v>
      </c>
      <c r="D5881" s="483">
        <v>1.33</v>
      </c>
      <c r="E5881" s="483">
        <v>1.33</v>
      </c>
    </row>
    <row r="5882" spans="1:5">
      <c r="A5882" s="484">
        <v>37997</v>
      </c>
      <c r="B5882" s="485" t="s">
        <v>1580</v>
      </c>
      <c r="C5882" s="484" t="s">
        <v>65</v>
      </c>
      <c r="D5882" s="486">
        <v>5.1100000000000003</v>
      </c>
      <c r="E5882" s="486">
        <v>5.1100000000000003</v>
      </c>
    </row>
    <row r="5883" spans="1:5">
      <c r="A5883" s="349">
        <v>37998</v>
      </c>
      <c r="B5883" s="348" t="s">
        <v>1581</v>
      </c>
      <c r="C5883" s="349" t="s">
        <v>65</v>
      </c>
      <c r="D5883" s="483">
        <v>5.29</v>
      </c>
      <c r="E5883" s="483">
        <v>5.29</v>
      </c>
    </row>
    <row r="5884" spans="1:5" ht="30">
      <c r="A5884" s="484">
        <v>10899</v>
      </c>
      <c r="B5884" s="485" t="s">
        <v>1585</v>
      </c>
      <c r="C5884" s="484" t="s">
        <v>65</v>
      </c>
      <c r="D5884" s="486">
        <v>59.19</v>
      </c>
      <c r="E5884" s="486">
        <v>59.19</v>
      </c>
    </row>
    <row r="5885" spans="1:5" ht="30">
      <c r="A5885" s="349">
        <v>10900</v>
      </c>
      <c r="B5885" s="348" t="s">
        <v>1586</v>
      </c>
      <c r="C5885" s="349" t="s">
        <v>65</v>
      </c>
      <c r="D5885" s="483">
        <v>46.33</v>
      </c>
      <c r="E5885" s="483">
        <v>46.33</v>
      </c>
    </row>
    <row r="5886" spans="1:5">
      <c r="A5886" s="484">
        <v>46</v>
      </c>
      <c r="B5886" s="485" t="s">
        <v>1588</v>
      </c>
      <c r="C5886" s="484" t="s">
        <v>65</v>
      </c>
      <c r="D5886" s="486">
        <v>27.16</v>
      </c>
      <c r="E5886" s="486">
        <v>27.16</v>
      </c>
    </row>
    <row r="5887" spans="1:5">
      <c r="A5887" s="349">
        <v>51</v>
      </c>
      <c r="B5887" s="348" t="s">
        <v>1589</v>
      </c>
      <c r="C5887" s="349" t="s">
        <v>65</v>
      </c>
      <c r="D5887" s="483">
        <v>61.7</v>
      </c>
      <c r="E5887" s="483">
        <v>61.7</v>
      </c>
    </row>
    <row r="5888" spans="1:5">
      <c r="A5888" s="484">
        <v>12863</v>
      </c>
      <c r="B5888" s="485" t="s">
        <v>1590</v>
      </c>
      <c r="C5888" s="484" t="s">
        <v>65</v>
      </c>
      <c r="D5888" s="486">
        <v>17.75</v>
      </c>
      <c r="E5888" s="486">
        <v>17.75</v>
      </c>
    </row>
    <row r="5889" spans="1:5">
      <c r="A5889" s="349">
        <v>50</v>
      </c>
      <c r="B5889" s="348" t="s">
        <v>1591</v>
      </c>
      <c r="C5889" s="349" t="s">
        <v>65</v>
      </c>
      <c r="D5889" s="483">
        <v>39.090000000000003</v>
      </c>
      <c r="E5889" s="483">
        <v>39.090000000000003</v>
      </c>
    </row>
    <row r="5890" spans="1:5">
      <c r="A5890" s="484">
        <v>47</v>
      </c>
      <c r="B5890" s="485" t="s">
        <v>1594</v>
      </c>
      <c r="C5890" s="484" t="s">
        <v>65</v>
      </c>
      <c r="D5890" s="486">
        <v>32.47</v>
      </c>
      <c r="E5890" s="486">
        <v>32.47</v>
      </c>
    </row>
    <row r="5891" spans="1:5">
      <c r="A5891" s="349">
        <v>48</v>
      </c>
      <c r="B5891" s="348" t="s">
        <v>1595</v>
      </c>
      <c r="C5891" s="349" t="s">
        <v>65</v>
      </c>
      <c r="D5891" s="483">
        <v>12.67</v>
      </c>
      <c r="E5891" s="483">
        <v>12.67</v>
      </c>
    </row>
    <row r="5892" spans="1:5">
      <c r="A5892" s="484">
        <v>52</v>
      </c>
      <c r="B5892" s="485" t="s">
        <v>1596</v>
      </c>
      <c r="C5892" s="484" t="s">
        <v>65</v>
      </c>
      <c r="D5892" s="486">
        <v>6.32</v>
      </c>
      <c r="E5892" s="486">
        <v>6.32</v>
      </c>
    </row>
    <row r="5893" spans="1:5">
      <c r="A5893" s="349">
        <v>43</v>
      </c>
      <c r="B5893" s="348" t="s">
        <v>1597</v>
      </c>
      <c r="C5893" s="349" t="s">
        <v>65</v>
      </c>
      <c r="D5893" s="483">
        <v>16.649999999999999</v>
      </c>
      <c r="E5893" s="483">
        <v>16.649999999999999</v>
      </c>
    </row>
    <row r="5894" spans="1:5">
      <c r="A5894" s="484">
        <v>4791</v>
      </c>
      <c r="B5894" s="485" t="s">
        <v>1598</v>
      </c>
      <c r="C5894" s="484" t="s">
        <v>90</v>
      </c>
      <c r="D5894" s="486">
        <v>17.64</v>
      </c>
      <c r="E5894" s="486">
        <v>17.64</v>
      </c>
    </row>
    <row r="5895" spans="1:5" ht="30">
      <c r="A5895" s="349">
        <v>157</v>
      </c>
      <c r="B5895" s="348" t="s">
        <v>1599</v>
      </c>
      <c r="C5895" s="349" t="s">
        <v>90</v>
      </c>
      <c r="D5895" s="483">
        <v>101.28</v>
      </c>
      <c r="E5895" s="483">
        <v>101.28</v>
      </c>
    </row>
    <row r="5896" spans="1:5">
      <c r="A5896" s="484">
        <v>156</v>
      </c>
      <c r="B5896" s="485" t="s">
        <v>92</v>
      </c>
      <c r="C5896" s="484" t="s">
        <v>90</v>
      </c>
      <c r="D5896" s="486">
        <v>45.2</v>
      </c>
      <c r="E5896" s="486">
        <v>45.2</v>
      </c>
    </row>
    <row r="5897" spans="1:5">
      <c r="A5897" s="349">
        <v>131</v>
      </c>
      <c r="B5897" s="348" t="s">
        <v>1600</v>
      </c>
      <c r="C5897" s="349" t="s">
        <v>90</v>
      </c>
      <c r="D5897" s="483">
        <v>43.4</v>
      </c>
      <c r="E5897" s="483">
        <v>43.4</v>
      </c>
    </row>
    <row r="5898" spans="1:5" ht="30">
      <c r="A5898" s="484">
        <v>39719</v>
      </c>
      <c r="B5898" s="485" t="s">
        <v>1601</v>
      </c>
      <c r="C5898" s="484" t="s">
        <v>91</v>
      </c>
      <c r="D5898" s="486">
        <v>59.03</v>
      </c>
      <c r="E5898" s="486">
        <v>59.03</v>
      </c>
    </row>
    <row r="5899" spans="1:5">
      <c r="A5899" s="349">
        <v>21114</v>
      </c>
      <c r="B5899" s="348" t="s">
        <v>1602</v>
      </c>
      <c r="C5899" s="349" t="s">
        <v>65</v>
      </c>
      <c r="D5899" s="483">
        <v>12.64</v>
      </c>
      <c r="E5899" s="483">
        <v>12.64</v>
      </c>
    </row>
    <row r="5900" spans="1:5">
      <c r="A5900" s="484">
        <v>117</v>
      </c>
      <c r="B5900" s="485" t="s">
        <v>1603</v>
      </c>
      <c r="C5900" s="484" t="s">
        <v>65</v>
      </c>
      <c r="D5900" s="486">
        <v>2.0099999999999998</v>
      </c>
      <c r="E5900" s="486">
        <v>2.0099999999999998</v>
      </c>
    </row>
    <row r="5901" spans="1:5">
      <c r="A5901" s="349">
        <v>119</v>
      </c>
      <c r="B5901" s="348" t="s">
        <v>1604</v>
      </c>
      <c r="C5901" s="349" t="s">
        <v>65</v>
      </c>
      <c r="D5901" s="483">
        <v>4.99</v>
      </c>
      <c r="E5901" s="483">
        <v>4.99</v>
      </c>
    </row>
    <row r="5902" spans="1:5">
      <c r="A5902" s="484">
        <v>20080</v>
      </c>
      <c r="B5902" s="485" t="s">
        <v>1605</v>
      </c>
      <c r="C5902" s="484" t="s">
        <v>65</v>
      </c>
      <c r="D5902" s="486">
        <v>14.3</v>
      </c>
      <c r="E5902" s="486">
        <v>14.3</v>
      </c>
    </row>
    <row r="5903" spans="1:5">
      <c r="A5903" s="349">
        <v>122</v>
      </c>
      <c r="B5903" s="348" t="s">
        <v>1606</v>
      </c>
      <c r="C5903" s="349" t="s">
        <v>65</v>
      </c>
      <c r="D5903" s="483">
        <v>45.07</v>
      </c>
      <c r="E5903" s="483">
        <v>45.07</v>
      </c>
    </row>
    <row r="5904" spans="1:5">
      <c r="A5904" s="484">
        <v>3410</v>
      </c>
      <c r="B5904" s="485" t="s">
        <v>1607</v>
      </c>
      <c r="C5904" s="484" t="s">
        <v>90</v>
      </c>
      <c r="D5904" s="486">
        <v>18.77</v>
      </c>
      <c r="E5904" s="486">
        <v>18.77</v>
      </c>
    </row>
    <row r="5905" spans="1:5">
      <c r="A5905" s="349">
        <v>124</v>
      </c>
      <c r="B5905" s="348" t="s">
        <v>93</v>
      </c>
      <c r="C5905" s="349" t="s">
        <v>91</v>
      </c>
      <c r="D5905" s="483">
        <v>11.27</v>
      </c>
      <c r="E5905" s="483">
        <v>11.27</v>
      </c>
    </row>
    <row r="5906" spans="1:5">
      <c r="A5906" s="484">
        <v>7334</v>
      </c>
      <c r="B5906" s="485" t="s">
        <v>1608</v>
      </c>
      <c r="C5906" s="484" t="s">
        <v>91</v>
      </c>
      <c r="D5906" s="486">
        <v>8.3699999999999992</v>
      </c>
      <c r="E5906" s="486">
        <v>8.3699999999999992</v>
      </c>
    </row>
    <row r="5907" spans="1:5" ht="30">
      <c r="A5907" s="349">
        <v>7325</v>
      </c>
      <c r="B5907" s="348" t="s">
        <v>1609</v>
      </c>
      <c r="C5907" s="349" t="s">
        <v>90</v>
      </c>
      <c r="D5907" s="483">
        <v>5.21</v>
      </c>
      <c r="E5907" s="483">
        <v>5.21</v>
      </c>
    </row>
    <row r="5908" spans="1:5" ht="30">
      <c r="A5908" s="484">
        <v>123</v>
      </c>
      <c r="B5908" s="485" t="s">
        <v>1610</v>
      </c>
      <c r="C5908" s="484" t="s">
        <v>91</v>
      </c>
      <c r="D5908" s="486">
        <v>5.01</v>
      </c>
      <c r="E5908" s="486">
        <v>5.01</v>
      </c>
    </row>
    <row r="5909" spans="1:5" ht="29.25" customHeight="1">
      <c r="A5909" s="349">
        <v>127</v>
      </c>
      <c r="B5909" s="348" t="s">
        <v>1611</v>
      </c>
      <c r="C5909" s="349" t="s">
        <v>91</v>
      </c>
      <c r="D5909" s="483">
        <v>11.76</v>
      </c>
      <c r="E5909" s="483">
        <v>11.76</v>
      </c>
    </row>
    <row r="5910" spans="1:5">
      <c r="A5910" s="484">
        <v>133</v>
      </c>
      <c r="B5910" s="485" t="s">
        <v>94</v>
      </c>
      <c r="C5910" s="484" t="s">
        <v>91</v>
      </c>
      <c r="D5910" s="486">
        <v>5.05</v>
      </c>
      <c r="E5910" s="486">
        <v>5.05</v>
      </c>
    </row>
    <row r="5911" spans="1:5">
      <c r="A5911" s="349">
        <v>37538</v>
      </c>
      <c r="B5911" s="348" t="s">
        <v>95</v>
      </c>
      <c r="C5911" s="349" t="s">
        <v>96</v>
      </c>
      <c r="D5911" s="483">
        <v>125.43</v>
      </c>
      <c r="E5911" s="483">
        <v>125.43</v>
      </c>
    </row>
    <row r="5912" spans="1:5">
      <c r="A5912" s="484">
        <v>132</v>
      </c>
      <c r="B5912" s="485" t="s">
        <v>1612</v>
      </c>
      <c r="C5912" s="484" t="s">
        <v>91</v>
      </c>
      <c r="D5912" s="486">
        <v>5.56</v>
      </c>
      <c r="E5912" s="486">
        <v>5.56</v>
      </c>
    </row>
    <row r="5913" spans="1:5">
      <c r="A5913" s="349">
        <v>13408</v>
      </c>
      <c r="B5913" s="348" t="s">
        <v>1613</v>
      </c>
      <c r="C5913" s="349" t="s">
        <v>97</v>
      </c>
      <c r="D5913" s="483">
        <v>1976.03</v>
      </c>
      <c r="E5913" s="483">
        <v>1976.03</v>
      </c>
    </row>
    <row r="5914" spans="1:5" ht="30">
      <c r="A5914" s="484">
        <v>37476</v>
      </c>
      <c r="B5914" s="485" t="s">
        <v>1634</v>
      </c>
      <c r="C5914" s="484" t="s">
        <v>65</v>
      </c>
      <c r="D5914" s="486">
        <v>1391.64</v>
      </c>
      <c r="E5914" s="486">
        <v>1391.64</v>
      </c>
    </row>
    <row r="5915" spans="1:5" ht="30">
      <c r="A5915" s="349">
        <v>37478</v>
      </c>
      <c r="B5915" s="348" t="s">
        <v>1635</v>
      </c>
      <c r="C5915" s="349" t="s">
        <v>65</v>
      </c>
      <c r="D5915" s="483">
        <v>1968.8</v>
      </c>
      <c r="E5915" s="483">
        <v>1968.8</v>
      </c>
    </row>
    <row r="5916" spans="1:5" ht="30">
      <c r="A5916" s="484">
        <v>37477</v>
      </c>
      <c r="B5916" s="485" t="s">
        <v>1636</v>
      </c>
      <c r="C5916" s="484" t="s">
        <v>65</v>
      </c>
      <c r="D5916" s="486">
        <v>2409.11</v>
      </c>
      <c r="E5916" s="486">
        <v>2409.11</v>
      </c>
    </row>
    <row r="5917" spans="1:5" ht="30">
      <c r="A5917" s="349">
        <v>37479</v>
      </c>
      <c r="B5917" s="348" t="s">
        <v>1637</v>
      </c>
      <c r="C5917" s="349" t="s">
        <v>65</v>
      </c>
      <c r="D5917" s="483">
        <v>3012.32</v>
      </c>
      <c r="E5917" s="483">
        <v>3012.32</v>
      </c>
    </row>
    <row r="5918" spans="1:5">
      <c r="A5918" s="484">
        <v>4319</v>
      </c>
      <c r="B5918" s="485" t="s">
        <v>1638</v>
      </c>
      <c r="C5918" s="484" t="s">
        <v>65</v>
      </c>
      <c r="D5918" s="486">
        <v>0.91</v>
      </c>
      <c r="E5918" s="486">
        <v>0.91</v>
      </c>
    </row>
    <row r="5919" spans="1:5">
      <c r="A5919" s="349">
        <v>40553</v>
      </c>
      <c r="B5919" s="348" t="s">
        <v>19459</v>
      </c>
      <c r="C5919" s="349" t="s">
        <v>255</v>
      </c>
      <c r="D5919" s="483">
        <v>32</v>
      </c>
      <c r="E5919" s="483">
        <v>32</v>
      </c>
    </row>
    <row r="5920" spans="1:5">
      <c r="A5920" s="484">
        <v>13003</v>
      </c>
      <c r="B5920" s="485" t="s">
        <v>1640</v>
      </c>
      <c r="C5920" s="484" t="s">
        <v>91</v>
      </c>
      <c r="D5920" s="486">
        <v>1.7</v>
      </c>
      <c r="E5920" s="486">
        <v>1.7</v>
      </c>
    </row>
    <row r="5921" spans="1:5">
      <c r="A5921" s="349">
        <v>6114</v>
      </c>
      <c r="B5921" s="348" t="s">
        <v>98</v>
      </c>
      <c r="C5921" s="349" t="s">
        <v>57</v>
      </c>
      <c r="D5921" s="483">
        <v>11.07</v>
      </c>
      <c r="E5921" s="483">
        <v>11.07</v>
      </c>
    </row>
    <row r="5922" spans="1:5">
      <c r="A5922" s="484">
        <v>40912</v>
      </c>
      <c r="B5922" s="485" t="s">
        <v>1642</v>
      </c>
      <c r="C5922" s="484" t="s">
        <v>1643</v>
      </c>
      <c r="D5922" s="486">
        <v>1951.47</v>
      </c>
      <c r="E5922" s="486">
        <v>1951.47</v>
      </c>
    </row>
    <row r="5923" spans="1:5">
      <c r="A5923" s="349">
        <v>247</v>
      </c>
      <c r="B5923" s="348" t="s">
        <v>1644</v>
      </c>
      <c r="C5923" s="349" t="s">
        <v>57</v>
      </c>
      <c r="D5923" s="483">
        <v>11.07</v>
      </c>
      <c r="E5923" s="483">
        <v>11.07</v>
      </c>
    </row>
    <row r="5924" spans="1:5">
      <c r="A5924" s="484">
        <v>40919</v>
      </c>
      <c r="B5924" s="485" t="s">
        <v>1645</v>
      </c>
      <c r="C5924" s="484" t="s">
        <v>1643</v>
      </c>
      <c r="D5924" s="486">
        <v>1861.19</v>
      </c>
      <c r="E5924" s="486">
        <v>1861.19</v>
      </c>
    </row>
    <row r="5925" spans="1:5">
      <c r="A5925" s="349">
        <v>25958</v>
      </c>
      <c r="B5925" s="348" t="s">
        <v>11144</v>
      </c>
      <c r="C5925" s="349" t="s">
        <v>57</v>
      </c>
      <c r="D5925" s="483">
        <v>12.6</v>
      </c>
      <c r="E5925" s="483">
        <v>12.6</v>
      </c>
    </row>
    <row r="5926" spans="1:5">
      <c r="A5926" s="484">
        <v>40984</v>
      </c>
      <c r="B5926" s="485" t="s">
        <v>1646</v>
      </c>
      <c r="C5926" s="484" t="s">
        <v>1643</v>
      </c>
      <c r="D5926" s="486">
        <v>2221.4</v>
      </c>
      <c r="E5926" s="486">
        <v>2221.4</v>
      </c>
    </row>
    <row r="5927" spans="1:5">
      <c r="A5927" s="349">
        <v>248</v>
      </c>
      <c r="B5927" s="348" t="s">
        <v>1647</v>
      </c>
      <c r="C5927" s="349" t="s">
        <v>57</v>
      </c>
      <c r="D5927" s="483">
        <v>10.11</v>
      </c>
      <c r="E5927" s="483">
        <v>10.11</v>
      </c>
    </row>
    <row r="5928" spans="1:5">
      <c r="A5928" s="484">
        <v>41086</v>
      </c>
      <c r="B5928" s="485" t="s">
        <v>1648</v>
      </c>
      <c r="C5928" s="484" t="s">
        <v>1643</v>
      </c>
      <c r="D5928" s="486">
        <v>1783.71</v>
      </c>
      <c r="E5928" s="486">
        <v>1783.71</v>
      </c>
    </row>
    <row r="5929" spans="1:5">
      <c r="A5929" s="349">
        <v>6127</v>
      </c>
      <c r="B5929" s="348" t="s">
        <v>99</v>
      </c>
      <c r="C5929" s="349" t="s">
        <v>57</v>
      </c>
      <c r="D5929" s="483">
        <v>10.72</v>
      </c>
      <c r="E5929" s="483">
        <v>10.72</v>
      </c>
    </row>
    <row r="5930" spans="1:5">
      <c r="A5930" s="484">
        <v>34466</v>
      </c>
      <c r="B5930" s="485" t="s">
        <v>100</v>
      </c>
      <c r="C5930" s="484" t="s">
        <v>57</v>
      </c>
      <c r="D5930" s="486">
        <v>11.09</v>
      </c>
      <c r="E5930" s="486">
        <v>11.09</v>
      </c>
    </row>
    <row r="5931" spans="1:5">
      <c r="A5931" s="349">
        <v>41083</v>
      </c>
      <c r="B5931" s="348" t="s">
        <v>1649</v>
      </c>
      <c r="C5931" s="349" t="s">
        <v>1643</v>
      </c>
      <c r="D5931" s="483">
        <v>1956</v>
      </c>
      <c r="E5931" s="483">
        <v>1956</v>
      </c>
    </row>
    <row r="5932" spans="1:5">
      <c r="A5932" s="484">
        <v>252</v>
      </c>
      <c r="B5932" s="485" t="s">
        <v>1650</v>
      </c>
      <c r="C5932" s="484" t="s">
        <v>57</v>
      </c>
      <c r="D5932" s="486">
        <v>10.46</v>
      </c>
      <c r="E5932" s="486">
        <v>10.46</v>
      </c>
    </row>
    <row r="5933" spans="1:5">
      <c r="A5933" s="349">
        <v>40909</v>
      </c>
      <c r="B5933" s="348" t="s">
        <v>1651</v>
      </c>
      <c r="C5933" s="349" t="s">
        <v>1643</v>
      </c>
      <c r="D5933" s="483">
        <v>1845.91</v>
      </c>
      <c r="E5933" s="483">
        <v>1845.91</v>
      </c>
    </row>
    <row r="5934" spans="1:5">
      <c r="A5934" s="484">
        <v>242</v>
      </c>
      <c r="B5934" s="485" t="s">
        <v>101</v>
      </c>
      <c r="C5934" s="484" t="s">
        <v>57</v>
      </c>
      <c r="D5934" s="486">
        <v>10.11</v>
      </c>
      <c r="E5934" s="486">
        <v>10.11</v>
      </c>
    </row>
    <row r="5935" spans="1:5">
      <c r="A5935" s="349">
        <v>41085</v>
      </c>
      <c r="B5935" s="348" t="s">
        <v>1652</v>
      </c>
      <c r="C5935" s="349" t="s">
        <v>1643</v>
      </c>
      <c r="D5935" s="483">
        <v>1783.71</v>
      </c>
      <c r="E5935" s="483">
        <v>1783.71</v>
      </c>
    </row>
    <row r="5936" spans="1:5" ht="30">
      <c r="A5936" s="484">
        <v>427</v>
      </c>
      <c r="B5936" s="485" t="s">
        <v>1656</v>
      </c>
      <c r="C5936" s="484" t="s">
        <v>65</v>
      </c>
      <c r="D5936" s="486">
        <v>3.97</v>
      </c>
      <c r="E5936" s="486">
        <v>3.97</v>
      </c>
    </row>
    <row r="5937" spans="1:5" ht="30">
      <c r="A5937" s="349">
        <v>417</v>
      </c>
      <c r="B5937" s="348" t="s">
        <v>11145</v>
      </c>
      <c r="C5937" s="349" t="s">
        <v>65</v>
      </c>
      <c r="D5937" s="483">
        <v>1.87</v>
      </c>
      <c r="E5937" s="483">
        <v>1.87</v>
      </c>
    </row>
    <row r="5938" spans="1:5" ht="30">
      <c r="A5938" s="484">
        <v>11273</v>
      </c>
      <c r="B5938" s="485" t="s">
        <v>1658</v>
      </c>
      <c r="C5938" s="484" t="s">
        <v>65</v>
      </c>
      <c r="D5938" s="486">
        <v>5.81</v>
      </c>
      <c r="E5938" s="486">
        <v>5.81</v>
      </c>
    </row>
    <row r="5939" spans="1:5" ht="30">
      <c r="A5939" s="349">
        <v>11272</v>
      </c>
      <c r="B5939" s="348" t="s">
        <v>1659</v>
      </c>
      <c r="C5939" s="349" t="s">
        <v>65</v>
      </c>
      <c r="D5939" s="483">
        <v>3.5</v>
      </c>
      <c r="E5939" s="483">
        <v>3.5</v>
      </c>
    </row>
    <row r="5940" spans="1:5" ht="30">
      <c r="A5940" s="484">
        <v>11275</v>
      </c>
      <c r="B5940" s="485" t="s">
        <v>1660</v>
      </c>
      <c r="C5940" s="484" t="s">
        <v>65</v>
      </c>
      <c r="D5940" s="486">
        <v>1.4</v>
      </c>
      <c r="E5940" s="486">
        <v>1.4</v>
      </c>
    </row>
    <row r="5941" spans="1:5" ht="30">
      <c r="A5941" s="349">
        <v>11274</v>
      </c>
      <c r="B5941" s="348" t="s">
        <v>1661</v>
      </c>
      <c r="C5941" s="349" t="s">
        <v>65</v>
      </c>
      <c r="D5941" s="483">
        <v>1.07</v>
      </c>
      <c r="E5941" s="483">
        <v>1.07</v>
      </c>
    </row>
    <row r="5942" spans="1:5" ht="57.75" customHeight="1">
      <c r="A5942" s="484">
        <v>38954</v>
      </c>
      <c r="B5942" s="485" t="s">
        <v>1668</v>
      </c>
      <c r="C5942" s="484" t="s">
        <v>65</v>
      </c>
      <c r="D5942" s="486">
        <v>26.97</v>
      </c>
      <c r="E5942" s="486">
        <v>26.97</v>
      </c>
    </row>
    <row r="5943" spans="1:5">
      <c r="A5943" s="349">
        <v>38956</v>
      </c>
      <c r="B5943" s="348" t="s">
        <v>1669</v>
      </c>
      <c r="C5943" s="349" t="s">
        <v>65</v>
      </c>
      <c r="D5943" s="483">
        <v>632.04</v>
      </c>
      <c r="E5943" s="483">
        <v>632.04</v>
      </c>
    </row>
    <row r="5944" spans="1:5">
      <c r="A5944" s="484">
        <v>38470</v>
      </c>
      <c r="B5944" s="485" t="s">
        <v>1670</v>
      </c>
      <c r="C5944" s="484" t="s">
        <v>65</v>
      </c>
      <c r="D5944" s="486">
        <v>25.53</v>
      </c>
      <c r="E5944" s="486">
        <v>25.53</v>
      </c>
    </row>
    <row r="5945" spans="1:5">
      <c r="A5945" s="349">
        <v>38547</v>
      </c>
      <c r="B5945" s="348" t="s">
        <v>1671</v>
      </c>
      <c r="C5945" s="349" t="s">
        <v>65</v>
      </c>
      <c r="D5945" s="483">
        <v>69.66</v>
      </c>
      <c r="E5945" s="483">
        <v>69.66</v>
      </c>
    </row>
    <row r="5946" spans="1:5">
      <c r="A5946" s="484">
        <v>38469</v>
      </c>
      <c r="B5946" s="485" t="s">
        <v>1674</v>
      </c>
      <c r="C5946" s="484" t="s">
        <v>65</v>
      </c>
      <c r="D5946" s="486">
        <v>74.91</v>
      </c>
      <c r="E5946" s="486">
        <v>74.91</v>
      </c>
    </row>
    <row r="5947" spans="1:5">
      <c r="A5947" s="349">
        <v>38467</v>
      </c>
      <c r="B5947" s="348" t="s">
        <v>1672</v>
      </c>
      <c r="C5947" s="349" t="s">
        <v>65</v>
      </c>
      <c r="D5947" s="483">
        <v>42.15</v>
      </c>
      <c r="E5947" s="483">
        <v>42.15</v>
      </c>
    </row>
    <row r="5948" spans="1:5">
      <c r="A5948" s="484">
        <v>38468</v>
      </c>
      <c r="B5948" s="485" t="s">
        <v>1673</v>
      </c>
      <c r="C5948" s="484" t="s">
        <v>65</v>
      </c>
      <c r="D5948" s="486">
        <v>46.38</v>
      </c>
      <c r="E5948" s="486">
        <v>46.38</v>
      </c>
    </row>
    <row r="5949" spans="1:5">
      <c r="A5949" s="349">
        <v>38471</v>
      </c>
      <c r="B5949" s="348" t="s">
        <v>1675</v>
      </c>
      <c r="C5949" s="349" t="s">
        <v>65</v>
      </c>
      <c r="D5949" s="483">
        <v>60.23</v>
      </c>
      <c r="E5949" s="483">
        <v>60.23</v>
      </c>
    </row>
    <row r="5950" spans="1:5" ht="30">
      <c r="A5950" s="484">
        <v>10658</v>
      </c>
      <c r="B5950" s="485" t="s">
        <v>1678</v>
      </c>
      <c r="C5950" s="484" t="s">
        <v>65</v>
      </c>
      <c r="D5950" s="486">
        <v>13548.77</v>
      </c>
      <c r="E5950" s="486">
        <v>13548.77</v>
      </c>
    </row>
    <row r="5951" spans="1:5">
      <c r="A5951" s="349">
        <v>253</v>
      </c>
      <c r="B5951" s="348" t="s">
        <v>102</v>
      </c>
      <c r="C5951" s="349" t="s">
        <v>57</v>
      </c>
      <c r="D5951" s="483">
        <v>22.51</v>
      </c>
      <c r="E5951" s="483">
        <v>22.51</v>
      </c>
    </row>
    <row r="5952" spans="1:5">
      <c r="A5952" s="484">
        <v>40809</v>
      </c>
      <c r="B5952" s="485" t="s">
        <v>103</v>
      </c>
      <c r="C5952" s="484" t="s">
        <v>1643</v>
      </c>
      <c r="D5952" s="486">
        <v>3967.3</v>
      </c>
      <c r="E5952" s="486">
        <v>3967.3</v>
      </c>
    </row>
    <row r="5953" spans="1:5">
      <c r="A5953" s="349">
        <v>583</v>
      </c>
      <c r="B5953" s="348" t="s">
        <v>1680</v>
      </c>
      <c r="C5953" s="349" t="s">
        <v>90</v>
      </c>
      <c r="D5953" s="483">
        <v>33.36</v>
      </c>
      <c r="E5953" s="483">
        <v>33.36</v>
      </c>
    </row>
    <row r="5954" spans="1:5">
      <c r="A5954" s="484">
        <v>38957</v>
      </c>
      <c r="B5954" s="485" t="s">
        <v>1824</v>
      </c>
      <c r="C5954" s="484" t="s">
        <v>131</v>
      </c>
      <c r="D5954" s="486">
        <v>49.57</v>
      </c>
      <c r="E5954" s="486">
        <v>49.57</v>
      </c>
    </row>
    <row r="5955" spans="1:5">
      <c r="A5955" s="349">
        <v>299</v>
      </c>
      <c r="B5955" s="348" t="s">
        <v>1825</v>
      </c>
      <c r="C5955" s="349" t="s">
        <v>65</v>
      </c>
      <c r="D5955" s="483">
        <v>1.67</v>
      </c>
      <c r="E5955" s="483">
        <v>1.67</v>
      </c>
    </row>
    <row r="5956" spans="1:5">
      <c r="A5956" s="484">
        <v>298</v>
      </c>
      <c r="B5956" s="485" t="s">
        <v>1826</v>
      </c>
      <c r="C5956" s="484" t="s">
        <v>65</v>
      </c>
      <c r="D5956" s="486">
        <v>1.68</v>
      </c>
      <c r="E5956" s="486">
        <v>1.68</v>
      </c>
    </row>
    <row r="5957" spans="1:5">
      <c r="A5957" s="349">
        <v>295</v>
      </c>
      <c r="B5957" s="348" t="s">
        <v>1827</v>
      </c>
      <c r="C5957" s="349" t="s">
        <v>65</v>
      </c>
      <c r="D5957" s="483">
        <v>1</v>
      </c>
      <c r="E5957" s="483">
        <v>1</v>
      </c>
    </row>
    <row r="5958" spans="1:5">
      <c r="A5958" s="484">
        <v>296</v>
      </c>
      <c r="B5958" s="485" t="s">
        <v>1828</v>
      </c>
      <c r="C5958" s="484" t="s">
        <v>65</v>
      </c>
      <c r="D5958" s="486">
        <v>1.04</v>
      </c>
      <c r="E5958" s="486">
        <v>1.04</v>
      </c>
    </row>
    <row r="5959" spans="1:5">
      <c r="A5959" s="349">
        <v>297</v>
      </c>
      <c r="B5959" s="348" t="s">
        <v>1829</v>
      </c>
      <c r="C5959" s="349" t="s">
        <v>65</v>
      </c>
      <c r="D5959" s="483">
        <v>1.46</v>
      </c>
      <c r="E5959" s="483">
        <v>1.46</v>
      </c>
    </row>
    <row r="5960" spans="1:5">
      <c r="A5960" s="484">
        <v>301</v>
      </c>
      <c r="B5960" s="485" t="s">
        <v>1830</v>
      </c>
      <c r="C5960" s="484" t="s">
        <v>65</v>
      </c>
      <c r="D5960" s="486">
        <v>1.84</v>
      </c>
      <c r="E5960" s="486">
        <v>1.84</v>
      </c>
    </row>
    <row r="5961" spans="1:5">
      <c r="A5961" s="349">
        <v>300</v>
      </c>
      <c r="B5961" s="348" t="s">
        <v>1831</v>
      </c>
      <c r="C5961" s="349" t="s">
        <v>65</v>
      </c>
      <c r="D5961" s="483">
        <v>7.73</v>
      </c>
      <c r="E5961" s="483">
        <v>7.73</v>
      </c>
    </row>
    <row r="5962" spans="1:5">
      <c r="A5962" s="484">
        <v>20084</v>
      </c>
      <c r="B5962" s="485" t="s">
        <v>1832</v>
      </c>
      <c r="C5962" s="484" t="s">
        <v>65</v>
      </c>
      <c r="D5962" s="486">
        <v>1</v>
      </c>
      <c r="E5962" s="486">
        <v>1</v>
      </c>
    </row>
    <row r="5963" spans="1:5">
      <c r="A5963" s="349">
        <v>20085</v>
      </c>
      <c r="B5963" s="348" t="s">
        <v>1833</v>
      </c>
      <c r="C5963" s="349" t="s">
        <v>65</v>
      </c>
      <c r="D5963" s="483">
        <v>0.92</v>
      </c>
      <c r="E5963" s="483">
        <v>0.92</v>
      </c>
    </row>
    <row r="5964" spans="1:5">
      <c r="A5964" s="484">
        <v>311</v>
      </c>
      <c r="B5964" s="485" t="s">
        <v>1834</v>
      </c>
      <c r="C5964" s="484" t="s">
        <v>65</v>
      </c>
      <c r="D5964" s="486">
        <v>5.98</v>
      </c>
      <c r="E5964" s="486">
        <v>5.98</v>
      </c>
    </row>
    <row r="5965" spans="1:5">
      <c r="A5965" s="349">
        <v>318</v>
      </c>
      <c r="B5965" s="348" t="s">
        <v>1835</v>
      </c>
      <c r="C5965" s="349" t="s">
        <v>65</v>
      </c>
      <c r="D5965" s="483">
        <v>10.48</v>
      </c>
      <c r="E5965" s="483">
        <v>10.48</v>
      </c>
    </row>
    <row r="5966" spans="1:5">
      <c r="A5966" s="484">
        <v>319</v>
      </c>
      <c r="B5966" s="485" t="s">
        <v>1836</v>
      </c>
      <c r="C5966" s="484" t="s">
        <v>65</v>
      </c>
      <c r="D5966" s="486">
        <v>19.79</v>
      </c>
      <c r="E5966" s="486">
        <v>19.79</v>
      </c>
    </row>
    <row r="5967" spans="1:5">
      <c r="A5967" s="349">
        <v>320</v>
      </c>
      <c r="B5967" s="348" t="s">
        <v>1837</v>
      </c>
      <c r="C5967" s="349" t="s">
        <v>65</v>
      </c>
      <c r="D5967" s="483">
        <v>62.92</v>
      </c>
      <c r="E5967" s="483">
        <v>62.92</v>
      </c>
    </row>
    <row r="5968" spans="1:5">
      <c r="A5968" s="484">
        <v>314</v>
      </c>
      <c r="B5968" s="485" t="s">
        <v>1838</v>
      </c>
      <c r="C5968" s="484" t="s">
        <v>65</v>
      </c>
      <c r="D5968" s="486">
        <v>96.64</v>
      </c>
      <c r="E5968" s="486">
        <v>96.64</v>
      </c>
    </row>
    <row r="5969" spans="1:5">
      <c r="A5969" s="349">
        <v>303</v>
      </c>
      <c r="B5969" s="348" t="s">
        <v>1839</v>
      </c>
      <c r="C5969" s="349" t="s">
        <v>65</v>
      </c>
      <c r="D5969" s="483">
        <v>2.5</v>
      </c>
      <c r="E5969" s="483">
        <v>2.5</v>
      </c>
    </row>
    <row r="5970" spans="1:5">
      <c r="A5970" s="484">
        <v>304</v>
      </c>
      <c r="B5970" s="485" t="s">
        <v>1840</v>
      </c>
      <c r="C5970" s="484" t="s">
        <v>65</v>
      </c>
      <c r="D5970" s="486">
        <v>3.82</v>
      </c>
      <c r="E5970" s="486">
        <v>3.82</v>
      </c>
    </row>
    <row r="5971" spans="1:5">
      <c r="A5971" s="349">
        <v>305</v>
      </c>
      <c r="B5971" s="348" t="s">
        <v>1841</v>
      </c>
      <c r="C5971" s="349" t="s">
        <v>65</v>
      </c>
      <c r="D5971" s="483">
        <v>6.54</v>
      </c>
      <c r="E5971" s="483">
        <v>6.54</v>
      </c>
    </row>
    <row r="5972" spans="1:5">
      <c r="A5972" s="484">
        <v>306</v>
      </c>
      <c r="B5972" s="485" t="s">
        <v>1842</v>
      </c>
      <c r="C5972" s="484" t="s">
        <v>65</v>
      </c>
      <c r="D5972" s="486">
        <v>7.86</v>
      </c>
      <c r="E5972" s="486">
        <v>7.86</v>
      </c>
    </row>
    <row r="5973" spans="1:5">
      <c r="A5973" s="349">
        <v>307</v>
      </c>
      <c r="B5973" s="348" t="s">
        <v>1843</v>
      </c>
      <c r="C5973" s="349" t="s">
        <v>65</v>
      </c>
      <c r="D5973" s="483">
        <v>15.51</v>
      </c>
      <c r="E5973" s="483">
        <v>15.51</v>
      </c>
    </row>
    <row r="5974" spans="1:5">
      <c r="A5974" s="484">
        <v>309</v>
      </c>
      <c r="B5974" s="485" t="s">
        <v>1844</v>
      </c>
      <c r="C5974" s="484" t="s">
        <v>65</v>
      </c>
      <c r="D5974" s="486">
        <v>31.8</v>
      </c>
      <c r="E5974" s="486">
        <v>31.8</v>
      </c>
    </row>
    <row r="5975" spans="1:5">
      <c r="A5975" s="349">
        <v>310</v>
      </c>
      <c r="B5975" s="348" t="s">
        <v>1845</v>
      </c>
      <c r="C5975" s="349" t="s">
        <v>65</v>
      </c>
      <c r="D5975" s="483">
        <v>40.33</v>
      </c>
      <c r="E5975" s="483">
        <v>40.33</v>
      </c>
    </row>
    <row r="5976" spans="1:5">
      <c r="A5976" s="484">
        <v>328</v>
      </c>
      <c r="B5976" s="485" t="s">
        <v>1847</v>
      </c>
      <c r="C5976" s="484" t="s">
        <v>65</v>
      </c>
      <c r="D5976" s="486">
        <v>4.8099999999999996</v>
      </c>
      <c r="E5976" s="486">
        <v>4.8099999999999996</v>
      </c>
    </row>
    <row r="5977" spans="1:5">
      <c r="A5977" s="349">
        <v>325</v>
      </c>
      <c r="B5977" s="348" t="s">
        <v>1848</v>
      </c>
      <c r="C5977" s="349" t="s">
        <v>65</v>
      </c>
      <c r="D5977" s="483">
        <v>1.86</v>
      </c>
      <c r="E5977" s="483">
        <v>1.86</v>
      </c>
    </row>
    <row r="5978" spans="1:5">
      <c r="A5978" s="484">
        <v>20326</v>
      </c>
      <c r="B5978" s="485" t="s">
        <v>1849</v>
      </c>
      <c r="C5978" s="484" t="s">
        <v>65</v>
      </c>
      <c r="D5978" s="486">
        <v>4.99</v>
      </c>
      <c r="E5978" s="486">
        <v>4.99</v>
      </c>
    </row>
    <row r="5979" spans="1:5">
      <c r="A5979" s="349">
        <v>329</v>
      </c>
      <c r="B5979" s="348" t="s">
        <v>1850</v>
      </c>
      <c r="C5979" s="349" t="s">
        <v>65</v>
      </c>
      <c r="D5979" s="483">
        <v>6.15</v>
      </c>
      <c r="E5979" s="483">
        <v>6.15</v>
      </c>
    </row>
    <row r="5980" spans="1:5">
      <c r="A5980" s="484">
        <v>308</v>
      </c>
      <c r="B5980" s="485" t="s">
        <v>1846</v>
      </c>
      <c r="C5980" s="484" t="s">
        <v>65</v>
      </c>
      <c r="D5980" s="486">
        <v>20.72</v>
      </c>
      <c r="E5980" s="486">
        <v>20.72</v>
      </c>
    </row>
    <row r="5981" spans="1:5">
      <c r="A5981" s="349">
        <v>39642</v>
      </c>
      <c r="B5981" s="348" t="s">
        <v>1851</v>
      </c>
      <c r="C5981" s="349" t="s">
        <v>65</v>
      </c>
      <c r="D5981" s="483">
        <v>1.25</v>
      </c>
      <c r="E5981" s="483">
        <v>1.25</v>
      </c>
    </row>
    <row r="5982" spans="1:5">
      <c r="A5982" s="484">
        <v>39641</v>
      </c>
      <c r="B5982" s="485" t="s">
        <v>1852</v>
      </c>
      <c r="C5982" s="484" t="s">
        <v>65</v>
      </c>
      <c r="D5982" s="486">
        <v>0.87</v>
      </c>
      <c r="E5982" s="486">
        <v>0.87</v>
      </c>
    </row>
    <row r="5983" spans="1:5">
      <c r="A5983" s="349">
        <v>39643</v>
      </c>
      <c r="B5983" s="348" t="s">
        <v>1853</v>
      </c>
      <c r="C5983" s="349" t="s">
        <v>65</v>
      </c>
      <c r="D5983" s="483">
        <v>3.49</v>
      </c>
      <c r="E5983" s="483">
        <v>3.49</v>
      </c>
    </row>
    <row r="5984" spans="1:5">
      <c r="A5984" s="484">
        <v>39644</v>
      </c>
      <c r="B5984" s="485" t="s">
        <v>1854</v>
      </c>
      <c r="C5984" s="484" t="s">
        <v>65</v>
      </c>
      <c r="D5984" s="486">
        <v>4.51</v>
      </c>
      <c r="E5984" s="486">
        <v>4.51</v>
      </c>
    </row>
    <row r="5985" spans="1:5">
      <c r="A5985" s="349">
        <v>39645</v>
      </c>
      <c r="B5985" s="348" t="s">
        <v>1855</v>
      </c>
      <c r="C5985" s="349" t="s">
        <v>65</v>
      </c>
      <c r="D5985" s="483">
        <v>5.83</v>
      </c>
      <c r="E5985" s="483">
        <v>5.83</v>
      </c>
    </row>
    <row r="5986" spans="1:5">
      <c r="A5986" s="484">
        <v>12548</v>
      </c>
      <c r="B5986" s="485" t="s">
        <v>1856</v>
      </c>
      <c r="C5986" s="484" t="s">
        <v>65</v>
      </c>
      <c r="D5986" s="486">
        <v>69.599999999999994</v>
      </c>
      <c r="E5986" s="486">
        <v>69.599999999999994</v>
      </c>
    </row>
    <row r="5987" spans="1:5">
      <c r="A5987" s="349">
        <v>13113</v>
      </c>
      <c r="B5987" s="348" t="s">
        <v>1857</v>
      </c>
      <c r="C5987" s="349" t="s">
        <v>65</v>
      </c>
      <c r="D5987" s="483">
        <v>28.52</v>
      </c>
      <c r="E5987" s="483">
        <v>28.52</v>
      </c>
    </row>
    <row r="5988" spans="1:5">
      <c r="A5988" s="484">
        <v>13114</v>
      </c>
      <c r="B5988" s="485" t="s">
        <v>1858</v>
      </c>
      <c r="C5988" s="484" t="s">
        <v>65</v>
      </c>
      <c r="D5988" s="486">
        <v>34.72</v>
      </c>
      <c r="E5988" s="486">
        <v>34.72</v>
      </c>
    </row>
    <row r="5989" spans="1:5">
      <c r="A5989" s="349">
        <v>12530</v>
      </c>
      <c r="B5989" s="348" t="s">
        <v>1859</v>
      </c>
      <c r="C5989" s="349" t="s">
        <v>65</v>
      </c>
      <c r="D5989" s="483">
        <v>42.31</v>
      </c>
      <c r="E5989" s="483">
        <v>42.31</v>
      </c>
    </row>
    <row r="5990" spans="1:5">
      <c r="A5990" s="484">
        <v>12531</v>
      </c>
      <c r="B5990" s="485" t="s">
        <v>1860</v>
      </c>
      <c r="C5990" s="484" t="s">
        <v>65</v>
      </c>
      <c r="D5990" s="486">
        <v>47.33</v>
      </c>
      <c r="E5990" s="486">
        <v>47.33</v>
      </c>
    </row>
    <row r="5991" spans="1:5">
      <c r="A5991" s="349">
        <v>12532</v>
      </c>
      <c r="B5991" s="348" t="s">
        <v>1861</v>
      </c>
      <c r="C5991" s="349" t="s">
        <v>65</v>
      </c>
      <c r="D5991" s="483">
        <v>57.88</v>
      </c>
      <c r="E5991" s="483">
        <v>57.88</v>
      </c>
    </row>
    <row r="5992" spans="1:5">
      <c r="A5992" s="484">
        <v>12533</v>
      </c>
      <c r="B5992" s="485" t="s">
        <v>1862</v>
      </c>
      <c r="C5992" s="484" t="s">
        <v>65</v>
      </c>
      <c r="D5992" s="486">
        <v>69.040000000000006</v>
      </c>
      <c r="E5992" s="486">
        <v>69.040000000000006</v>
      </c>
    </row>
    <row r="5993" spans="1:5">
      <c r="A5993" s="349">
        <v>12544</v>
      </c>
      <c r="B5993" s="348" t="s">
        <v>1863</v>
      </c>
      <c r="C5993" s="349" t="s">
        <v>65</v>
      </c>
      <c r="D5993" s="483">
        <v>84.34</v>
      </c>
      <c r="E5993" s="483">
        <v>84.34</v>
      </c>
    </row>
    <row r="5994" spans="1:5">
      <c r="A5994" s="484">
        <v>12546</v>
      </c>
      <c r="B5994" s="485" t="s">
        <v>1864</v>
      </c>
      <c r="C5994" s="484" t="s">
        <v>65</v>
      </c>
      <c r="D5994" s="486">
        <v>98.02</v>
      </c>
      <c r="E5994" s="486">
        <v>98.02</v>
      </c>
    </row>
    <row r="5995" spans="1:5">
      <c r="A5995" s="349">
        <v>12547</v>
      </c>
      <c r="B5995" s="348" t="s">
        <v>1865</v>
      </c>
      <c r="C5995" s="349" t="s">
        <v>65</v>
      </c>
      <c r="D5995" s="483">
        <v>111.1</v>
      </c>
      <c r="E5995" s="483">
        <v>111.1</v>
      </c>
    </row>
    <row r="5996" spans="1:5" ht="57.75" customHeight="1">
      <c r="A5996" s="484">
        <v>12551</v>
      </c>
      <c r="B5996" s="485" t="s">
        <v>1866</v>
      </c>
      <c r="C5996" s="484" t="s">
        <v>65</v>
      </c>
      <c r="D5996" s="486">
        <v>93.79</v>
      </c>
      <c r="E5996" s="486">
        <v>93.79</v>
      </c>
    </row>
    <row r="5997" spans="1:5">
      <c r="A5997" s="349">
        <v>12563</v>
      </c>
      <c r="B5997" s="348" t="s">
        <v>1867</v>
      </c>
      <c r="C5997" s="349" t="s">
        <v>65</v>
      </c>
      <c r="D5997" s="483">
        <v>173.64</v>
      </c>
      <c r="E5997" s="483">
        <v>173.64</v>
      </c>
    </row>
    <row r="5998" spans="1:5">
      <c r="A5998" s="484">
        <v>12565</v>
      </c>
      <c r="B5998" s="485" t="s">
        <v>1868</v>
      </c>
      <c r="C5998" s="484" t="s">
        <v>65</v>
      </c>
      <c r="D5998" s="486">
        <v>273.25</v>
      </c>
      <c r="E5998" s="486">
        <v>273.25</v>
      </c>
    </row>
    <row r="5999" spans="1:5">
      <c r="A5999" s="349">
        <v>12567</v>
      </c>
      <c r="B5999" s="348" t="s">
        <v>1869</v>
      </c>
      <c r="C5999" s="349" t="s">
        <v>65</v>
      </c>
      <c r="D5999" s="483">
        <v>355.55</v>
      </c>
      <c r="E5999" s="483">
        <v>355.55</v>
      </c>
    </row>
    <row r="6000" spans="1:5">
      <c r="A6000" s="484">
        <v>12568</v>
      </c>
      <c r="B6000" s="485" t="s">
        <v>1870</v>
      </c>
      <c r="C6000" s="484" t="s">
        <v>65</v>
      </c>
      <c r="D6000" s="486">
        <v>587.08000000000004</v>
      </c>
      <c r="E6000" s="486">
        <v>587.08000000000004</v>
      </c>
    </row>
    <row r="6001" spans="1:5">
      <c r="A6001" s="349">
        <v>11789</v>
      </c>
      <c r="B6001" s="348" t="s">
        <v>1871</v>
      </c>
      <c r="C6001" s="349" t="s">
        <v>65</v>
      </c>
      <c r="D6001" s="483">
        <v>0.53</v>
      </c>
      <c r="E6001" s="483">
        <v>0.53</v>
      </c>
    </row>
    <row r="6002" spans="1:5" ht="30">
      <c r="A6002" s="484">
        <v>20975</v>
      </c>
      <c r="B6002" s="485" t="s">
        <v>1872</v>
      </c>
      <c r="C6002" s="484" t="s">
        <v>65</v>
      </c>
      <c r="D6002" s="486">
        <v>9.2799999999999994</v>
      </c>
      <c r="E6002" s="486">
        <v>9.2799999999999994</v>
      </c>
    </row>
    <row r="6003" spans="1:5" ht="30">
      <c r="A6003" s="349">
        <v>20976</v>
      </c>
      <c r="B6003" s="348" t="s">
        <v>1873</v>
      </c>
      <c r="C6003" s="349" t="s">
        <v>65</v>
      </c>
      <c r="D6003" s="483">
        <v>14.02</v>
      </c>
      <c r="E6003" s="483">
        <v>14.02</v>
      </c>
    </row>
    <row r="6004" spans="1:5">
      <c r="A6004" s="484">
        <v>40340</v>
      </c>
      <c r="B6004" s="485" t="s">
        <v>1874</v>
      </c>
      <c r="C6004" s="484" t="s">
        <v>65</v>
      </c>
      <c r="D6004" s="486">
        <v>48.72</v>
      </c>
      <c r="E6004" s="486">
        <v>48.72</v>
      </c>
    </row>
    <row r="6005" spans="1:5">
      <c r="A6005" s="349">
        <v>40341</v>
      </c>
      <c r="B6005" s="348" t="s">
        <v>1875</v>
      </c>
      <c r="C6005" s="349" t="s">
        <v>65</v>
      </c>
      <c r="D6005" s="483">
        <v>57.69</v>
      </c>
      <c r="E6005" s="483">
        <v>57.69</v>
      </c>
    </row>
    <row r="6006" spans="1:5">
      <c r="A6006" s="484">
        <v>40342</v>
      </c>
      <c r="B6006" s="485" t="s">
        <v>1876</v>
      </c>
      <c r="C6006" s="484" t="s">
        <v>65</v>
      </c>
      <c r="D6006" s="486">
        <v>73.14</v>
      </c>
      <c r="E6006" s="486">
        <v>73.14</v>
      </c>
    </row>
    <row r="6007" spans="1:5">
      <c r="A6007" s="349">
        <v>40343</v>
      </c>
      <c r="B6007" s="348" t="s">
        <v>1877</v>
      </c>
      <c r="C6007" s="349" t="s">
        <v>65</v>
      </c>
      <c r="D6007" s="483">
        <v>89.73</v>
      </c>
      <c r="E6007" s="483">
        <v>89.73</v>
      </c>
    </row>
    <row r="6008" spans="1:5">
      <c r="A6008" s="484">
        <v>40344</v>
      </c>
      <c r="B6008" s="485" t="s">
        <v>1878</v>
      </c>
      <c r="C6008" s="484" t="s">
        <v>65</v>
      </c>
      <c r="D6008" s="486">
        <v>94.88</v>
      </c>
      <c r="E6008" s="486">
        <v>94.88</v>
      </c>
    </row>
    <row r="6009" spans="1:5">
      <c r="A6009" s="349">
        <v>40345</v>
      </c>
      <c r="B6009" s="348" t="s">
        <v>11146</v>
      </c>
      <c r="C6009" s="349" t="s">
        <v>65</v>
      </c>
      <c r="D6009" s="483">
        <v>118.46</v>
      </c>
      <c r="E6009" s="483">
        <v>118.46</v>
      </c>
    </row>
    <row r="6010" spans="1:5">
      <c r="A6010" s="484">
        <v>40346</v>
      </c>
      <c r="B6010" s="485" t="s">
        <v>11147</v>
      </c>
      <c r="C6010" s="484" t="s">
        <v>65</v>
      </c>
      <c r="D6010" s="486">
        <v>111.44</v>
      </c>
      <c r="E6010" s="486">
        <v>111.44</v>
      </c>
    </row>
    <row r="6011" spans="1:5">
      <c r="A6011" s="349">
        <v>40347</v>
      </c>
      <c r="B6011" s="348" t="s">
        <v>1879</v>
      </c>
      <c r="C6011" s="349" t="s">
        <v>65</v>
      </c>
      <c r="D6011" s="483">
        <v>137.79</v>
      </c>
      <c r="E6011" s="483">
        <v>137.79</v>
      </c>
    </row>
    <row r="6012" spans="1:5" ht="30">
      <c r="A6012" s="484">
        <v>13761</v>
      </c>
      <c r="B6012" s="485" t="s">
        <v>1881</v>
      </c>
      <c r="C6012" s="484" t="s">
        <v>65</v>
      </c>
      <c r="D6012" s="486">
        <v>2657</v>
      </c>
      <c r="E6012" s="486">
        <v>2657</v>
      </c>
    </row>
    <row r="6013" spans="1:5" ht="45">
      <c r="A6013" s="349">
        <v>12888</v>
      </c>
      <c r="B6013" s="348" t="s">
        <v>1882</v>
      </c>
      <c r="C6013" s="349" t="s">
        <v>1880</v>
      </c>
      <c r="D6013" s="483">
        <v>78.17</v>
      </c>
      <c r="E6013" s="483">
        <v>78.17</v>
      </c>
    </row>
    <row r="6014" spans="1:5">
      <c r="A6014" s="484">
        <v>12889</v>
      </c>
      <c r="B6014" s="485" t="s">
        <v>1883</v>
      </c>
      <c r="C6014" s="484" t="s">
        <v>1880</v>
      </c>
      <c r="D6014" s="486">
        <v>51.05</v>
      </c>
      <c r="E6014" s="486">
        <v>51.05</v>
      </c>
    </row>
    <row r="6015" spans="1:5" ht="30">
      <c r="A6015" s="349">
        <v>4814</v>
      </c>
      <c r="B6015" s="348" t="s">
        <v>19460</v>
      </c>
      <c r="C6015" s="349" t="s">
        <v>65</v>
      </c>
      <c r="D6015" s="483">
        <v>96.76</v>
      </c>
      <c r="E6015" s="483">
        <v>96.76</v>
      </c>
    </row>
    <row r="6016" spans="1:5">
      <c r="A6016" s="484">
        <v>25967</v>
      </c>
      <c r="B6016" s="485" t="s">
        <v>19461</v>
      </c>
      <c r="C6016" s="484" t="s">
        <v>65</v>
      </c>
      <c r="D6016" s="486">
        <v>993.45</v>
      </c>
      <c r="E6016" s="486">
        <v>993.45</v>
      </c>
    </row>
    <row r="6017" spans="1:5">
      <c r="A6017" s="349">
        <v>6122</v>
      </c>
      <c r="B6017" s="348" t="s">
        <v>106</v>
      </c>
      <c r="C6017" s="349" t="s">
        <v>57</v>
      </c>
      <c r="D6017" s="483">
        <v>21.27</v>
      </c>
      <c r="E6017" s="483">
        <v>21.27</v>
      </c>
    </row>
    <row r="6018" spans="1:5">
      <c r="A6018" s="484">
        <v>40810</v>
      </c>
      <c r="B6018" s="485" t="s">
        <v>107</v>
      </c>
      <c r="C6018" s="484" t="s">
        <v>1643</v>
      </c>
      <c r="D6018" s="486">
        <v>3748.11</v>
      </c>
      <c r="E6018" s="486">
        <v>3748.11</v>
      </c>
    </row>
    <row r="6019" spans="1:5">
      <c r="A6019" s="349">
        <v>21100</v>
      </c>
      <c r="B6019" s="348" t="s">
        <v>1947</v>
      </c>
      <c r="C6019" s="349" t="s">
        <v>65</v>
      </c>
      <c r="D6019" s="483">
        <v>2398.64</v>
      </c>
      <c r="E6019" s="483">
        <v>2398.64</v>
      </c>
    </row>
    <row r="6020" spans="1:5" ht="30">
      <c r="A6020" s="484">
        <v>11816</v>
      </c>
      <c r="B6020" s="485" t="s">
        <v>1948</v>
      </c>
      <c r="C6020" s="484" t="s">
        <v>65</v>
      </c>
      <c r="D6020" s="486">
        <v>2557.65</v>
      </c>
      <c r="E6020" s="486">
        <v>2557.65</v>
      </c>
    </row>
    <row r="6021" spans="1:5" ht="30">
      <c r="A6021" s="349">
        <v>11814</v>
      </c>
      <c r="B6021" s="348" t="s">
        <v>1949</v>
      </c>
      <c r="C6021" s="349" t="s">
        <v>65</v>
      </c>
      <c r="D6021" s="483">
        <v>5567.36</v>
      </c>
      <c r="E6021" s="483">
        <v>5567.36</v>
      </c>
    </row>
    <row r="6022" spans="1:5" ht="30">
      <c r="A6022" s="484">
        <v>14186</v>
      </c>
      <c r="B6022" s="485" t="s">
        <v>1950</v>
      </c>
      <c r="C6022" s="484" t="s">
        <v>65</v>
      </c>
      <c r="D6022" s="486">
        <v>6990.57</v>
      </c>
      <c r="E6022" s="486">
        <v>6990.57</v>
      </c>
    </row>
    <row r="6023" spans="1:5" ht="30">
      <c r="A6023" s="349">
        <v>14185</v>
      </c>
      <c r="B6023" s="348" t="s">
        <v>1951</v>
      </c>
      <c r="C6023" s="349" t="s">
        <v>65</v>
      </c>
      <c r="D6023" s="483">
        <v>9055.52</v>
      </c>
      <c r="E6023" s="483">
        <v>9055.52</v>
      </c>
    </row>
    <row r="6024" spans="1:5" ht="30">
      <c r="A6024" s="484">
        <v>11811</v>
      </c>
      <c r="B6024" s="485" t="s">
        <v>1952</v>
      </c>
      <c r="C6024" s="484" t="s">
        <v>65</v>
      </c>
      <c r="D6024" s="486">
        <v>3462.48</v>
      </c>
      <c r="E6024" s="486">
        <v>3462.48</v>
      </c>
    </row>
    <row r="6025" spans="1:5">
      <c r="A6025" s="349">
        <v>26038</v>
      </c>
      <c r="B6025" s="348" t="s">
        <v>1953</v>
      </c>
      <c r="C6025" s="349" t="s">
        <v>65</v>
      </c>
      <c r="D6025" s="483">
        <v>178304.23</v>
      </c>
      <c r="E6025" s="483">
        <v>178304.23</v>
      </c>
    </row>
    <row r="6026" spans="1:5" ht="30">
      <c r="A6026" s="484">
        <v>34482</v>
      </c>
      <c r="B6026" s="485" t="s">
        <v>1954</v>
      </c>
      <c r="C6026" s="484" t="s">
        <v>65</v>
      </c>
      <c r="D6026" s="486">
        <v>3638.18</v>
      </c>
      <c r="E6026" s="486">
        <v>3638.18</v>
      </c>
    </row>
    <row r="6027" spans="1:5" ht="30">
      <c r="A6027" s="349">
        <v>34469</v>
      </c>
      <c r="B6027" s="348" t="s">
        <v>1955</v>
      </c>
      <c r="C6027" s="349" t="s">
        <v>65</v>
      </c>
      <c r="D6027" s="483">
        <v>5627.81</v>
      </c>
      <c r="E6027" s="483">
        <v>5627.81</v>
      </c>
    </row>
    <row r="6028" spans="1:5" ht="30">
      <c r="A6028" s="484">
        <v>34472</v>
      </c>
      <c r="B6028" s="485" t="s">
        <v>1956</v>
      </c>
      <c r="C6028" s="484" t="s">
        <v>65</v>
      </c>
      <c r="D6028" s="486">
        <v>1731.5</v>
      </c>
      <c r="E6028" s="486">
        <v>1731.5</v>
      </c>
    </row>
    <row r="6029" spans="1:5" ht="30">
      <c r="A6029" s="349">
        <v>34476</v>
      </c>
      <c r="B6029" s="348" t="s">
        <v>1957</v>
      </c>
      <c r="C6029" s="349" t="s">
        <v>65</v>
      </c>
      <c r="D6029" s="483">
        <v>2935.13</v>
      </c>
      <c r="E6029" s="483">
        <v>2935.13</v>
      </c>
    </row>
    <row r="6030" spans="1:5" ht="30">
      <c r="A6030" s="484">
        <v>34477</v>
      </c>
      <c r="B6030" s="485" t="s">
        <v>1958</v>
      </c>
      <c r="C6030" s="484" t="s">
        <v>65</v>
      </c>
      <c r="D6030" s="486">
        <v>3895.49</v>
      </c>
      <c r="E6030" s="486">
        <v>3895.49</v>
      </c>
    </row>
    <row r="6031" spans="1:5">
      <c r="A6031" s="349">
        <v>39847</v>
      </c>
      <c r="B6031" s="348" t="s">
        <v>11148</v>
      </c>
      <c r="C6031" s="349" t="s">
        <v>65</v>
      </c>
      <c r="D6031" s="483">
        <v>1422.96</v>
      </c>
      <c r="E6031" s="483">
        <v>1422.96</v>
      </c>
    </row>
    <row r="6032" spans="1:5">
      <c r="A6032" s="484">
        <v>39844</v>
      </c>
      <c r="B6032" s="485" t="s">
        <v>11149</v>
      </c>
      <c r="C6032" s="484" t="s">
        <v>65</v>
      </c>
      <c r="D6032" s="486">
        <v>2100</v>
      </c>
      <c r="E6032" s="486">
        <v>2100</v>
      </c>
    </row>
    <row r="6033" spans="1:5">
      <c r="A6033" s="349">
        <v>39845</v>
      </c>
      <c r="B6033" s="348" t="s">
        <v>11150</v>
      </c>
      <c r="C6033" s="349" t="s">
        <v>65</v>
      </c>
      <c r="D6033" s="483">
        <v>1215.45</v>
      </c>
      <c r="E6033" s="483">
        <v>1215.45</v>
      </c>
    </row>
    <row r="6034" spans="1:5" ht="29.25" customHeight="1">
      <c r="A6034" s="484">
        <v>39846</v>
      </c>
      <c r="B6034" s="485" t="s">
        <v>11151</v>
      </c>
      <c r="C6034" s="484" t="s">
        <v>65</v>
      </c>
      <c r="D6034" s="486">
        <v>1283.05</v>
      </c>
      <c r="E6034" s="486">
        <v>1283.05</v>
      </c>
    </row>
    <row r="6035" spans="1:5">
      <c r="A6035" s="349">
        <v>39838</v>
      </c>
      <c r="B6035" s="348" t="s">
        <v>11152</v>
      </c>
      <c r="C6035" s="349" t="s">
        <v>65</v>
      </c>
      <c r="D6035" s="483">
        <v>3556.2</v>
      </c>
      <c r="E6035" s="483">
        <v>3556.2</v>
      </c>
    </row>
    <row r="6036" spans="1:5">
      <c r="A6036" s="484">
        <v>39839</v>
      </c>
      <c r="B6036" s="485" t="s">
        <v>11153</v>
      </c>
      <c r="C6036" s="484" t="s">
        <v>65</v>
      </c>
      <c r="D6036" s="486">
        <v>3715.42</v>
      </c>
      <c r="E6036" s="486">
        <v>3715.42</v>
      </c>
    </row>
    <row r="6037" spans="1:5">
      <c r="A6037" s="349">
        <v>39840</v>
      </c>
      <c r="B6037" s="348" t="s">
        <v>11154</v>
      </c>
      <c r="C6037" s="349" t="s">
        <v>65</v>
      </c>
      <c r="D6037" s="483">
        <v>4734.78</v>
      </c>
      <c r="E6037" s="483">
        <v>4734.78</v>
      </c>
    </row>
    <row r="6038" spans="1:5">
      <c r="A6038" s="484">
        <v>39841</v>
      </c>
      <c r="B6038" s="485" t="s">
        <v>11155</v>
      </c>
      <c r="C6038" s="484" t="s">
        <v>65</v>
      </c>
      <c r="D6038" s="486">
        <v>5034.58</v>
      </c>
      <c r="E6038" s="486">
        <v>5034.58</v>
      </c>
    </row>
    <row r="6039" spans="1:5">
      <c r="A6039" s="349">
        <v>39842</v>
      </c>
      <c r="B6039" s="348" t="s">
        <v>11156</v>
      </c>
      <c r="C6039" s="349" t="s">
        <v>65</v>
      </c>
      <c r="D6039" s="483">
        <v>6395.81</v>
      </c>
      <c r="E6039" s="483">
        <v>6395.81</v>
      </c>
    </row>
    <row r="6040" spans="1:5">
      <c r="A6040" s="484">
        <v>39843</v>
      </c>
      <c r="B6040" s="485" t="s">
        <v>11157</v>
      </c>
      <c r="C6040" s="484" t="s">
        <v>65</v>
      </c>
      <c r="D6040" s="486">
        <v>7060.25</v>
      </c>
      <c r="E6040" s="486">
        <v>7060.25</v>
      </c>
    </row>
    <row r="6041" spans="1:5">
      <c r="A6041" s="349">
        <v>39580</v>
      </c>
      <c r="B6041" s="348" t="s">
        <v>11158</v>
      </c>
      <c r="C6041" s="349" t="s">
        <v>65</v>
      </c>
      <c r="D6041" s="483">
        <v>61046.54</v>
      </c>
      <c r="E6041" s="483">
        <v>61046.54</v>
      </c>
    </row>
    <row r="6042" spans="1:5">
      <c r="A6042" s="484">
        <v>39577</v>
      </c>
      <c r="B6042" s="485" t="s">
        <v>11159</v>
      </c>
      <c r="C6042" s="484" t="s">
        <v>65</v>
      </c>
      <c r="D6042" s="486">
        <v>26273.11</v>
      </c>
      <c r="E6042" s="486">
        <v>26273.11</v>
      </c>
    </row>
    <row r="6043" spans="1:5">
      <c r="A6043" s="349">
        <v>39578</v>
      </c>
      <c r="B6043" s="348" t="s">
        <v>11160</v>
      </c>
      <c r="C6043" s="349" t="s">
        <v>65</v>
      </c>
      <c r="D6043" s="483">
        <v>31766.83</v>
      </c>
      <c r="E6043" s="483">
        <v>31766.83</v>
      </c>
    </row>
    <row r="6044" spans="1:5">
      <c r="A6044" s="484">
        <v>39579</v>
      </c>
      <c r="B6044" s="485" t="s">
        <v>11161</v>
      </c>
      <c r="C6044" s="484" t="s">
        <v>65</v>
      </c>
      <c r="D6044" s="486">
        <v>39488.19</v>
      </c>
      <c r="E6044" s="486">
        <v>39488.19</v>
      </c>
    </row>
    <row r="6045" spans="1:5">
      <c r="A6045" s="349">
        <v>39557</v>
      </c>
      <c r="B6045" s="348" t="s">
        <v>11162</v>
      </c>
      <c r="C6045" s="349" t="s">
        <v>65</v>
      </c>
      <c r="D6045" s="483">
        <v>5670.21</v>
      </c>
      <c r="E6045" s="483">
        <v>5670.21</v>
      </c>
    </row>
    <row r="6046" spans="1:5">
      <c r="A6046" s="484">
        <v>39558</v>
      </c>
      <c r="B6046" s="485" t="s">
        <v>11163</v>
      </c>
      <c r="C6046" s="484" t="s">
        <v>65</v>
      </c>
      <c r="D6046" s="486">
        <v>5707.03</v>
      </c>
      <c r="E6046" s="486">
        <v>5707.03</v>
      </c>
    </row>
    <row r="6047" spans="1:5">
      <c r="A6047" s="349">
        <v>39559</v>
      </c>
      <c r="B6047" s="348" t="s">
        <v>11164</v>
      </c>
      <c r="C6047" s="349" t="s">
        <v>65</v>
      </c>
      <c r="D6047" s="483">
        <v>5922.36</v>
      </c>
      <c r="E6047" s="483">
        <v>5922.36</v>
      </c>
    </row>
    <row r="6048" spans="1:5">
      <c r="A6048" s="484">
        <v>39560</v>
      </c>
      <c r="B6048" s="485" t="s">
        <v>11165</v>
      </c>
      <c r="C6048" s="484" t="s">
        <v>65</v>
      </c>
      <c r="D6048" s="486">
        <v>6810.43</v>
      </c>
      <c r="E6048" s="486">
        <v>6810.43</v>
      </c>
    </row>
    <row r="6049" spans="1:5">
      <c r="A6049" s="349">
        <v>39561</v>
      </c>
      <c r="B6049" s="348" t="s">
        <v>11166</v>
      </c>
      <c r="C6049" s="349" t="s">
        <v>65</v>
      </c>
      <c r="D6049" s="483">
        <v>7909.39</v>
      </c>
      <c r="E6049" s="483">
        <v>7909.39</v>
      </c>
    </row>
    <row r="6050" spans="1:5">
      <c r="A6050" s="484">
        <v>39556</v>
      </c>
      <c r="B6050" s="485" t="s">
        <v>11167</v>
      </c>
      <c r="C6050" s="484" t="s">
        <v>65</v>
      </c>
      <c r="D6050" s="486">
        <v>5223.21</v>
      </c>
      <c r="E6050" s="486">
        <v>5223.21</v>
      </c>
    </row>
    <row r="6051" spans="1:5">
      <c r="A6051" s="349">
        <v>39555</v>
      </c>
      <c r="B6051" s="348" t="s">
        <v>11168</v>
      </c>
      <c r="C6051" s="349" t="s">
        <v>65</v>
      </c>
      <c r="D6051" s="483">
        <v>1637.76</v>
      </c>
      <c r="E6051" s="483">
        <v>1637.76</v>
      </c>
    </row>
    <row r="6052" spans="1:5">
      <c r="A6052" s="484">
        <v>39548</v>
      </c>
      <c r="B6052" s="485" t="s">
        <v>11169</v>
      </c>
      <c r="C6052" s="484" t="s">
        <v>65</v>
      </c>
      <c r="D6052" s="486">
        <v>2368.9299999999998</v>
      </c>
      <c r="E6052" s="486">
        <v>2368.9299999999998</v>
      </c>
    </row>
    <row r="6053" spans="1:5">
      <c r="A6053" s="349">
        <v>39554</v>
      </c>
      <c r="B6053" s="348" t="s">
        <v>11170</v>
      </c>
      <c r="C6053" s="349" t="s">
        <v>65</v>
      </c>
      <c r="D6053" s="483">
        <v>2940.42</v>
      </c>
      <c r="E6053" s="483">
        <v>2940.42</v>
      </c>
    </row>
    <row r="6054" spans="1:5">
      <c r="A6054" s="484">
        <v>39550</v>
      </c>
      <c r="B6054" s="485" t="s">
        <v>11171</v>
      </c>
      <c r="C6054" s="484" t="s">
        <v>65</v>
      </c>
      <c r="D6054" s="486">
        <v>1146.7</v>
      </c>
      <c r="E6054" s="486">
        <v>1146.7</v>
      </c>
    </row>
    <row r="6055" spans="1:5">
      <c r="A6055" s="349">
        <v>39551</v>
      </c>
      <c r="B6055" s="348" t="s">
        <v>11172</v>
      </c>
      <c r="C6055" s="349" t="s">
        <v>65</v>
      </c>
      <c r="D6055" s="483">
        <v>1435.96</v>
      </c>
      <c r="E6055" s="483">
        <v>1435.96</v>
      </c>
    </row>
    <row r="6056" spans="1:5">
      <c r="A6056" s="484">
        <v>39826</v>
      </c>
      <c r="B6056" s="485" t="s">
        <v>11173</v>
      </c>
      <c r="C6056" s="484" t="s">
        <v>65</v>
      </c>
      <c r="D6056" s="486">
        <v>3885.89</v>
      </c>
      <c r="E6056" s="486">
        <v>3885.89</v>
      </c>
    </row>
    <row r="6057" spans="1:5">
      <c r="A6057" s="349">
        <v>10700</v>
      </c>
      <c r="B6057" s="348" t="s">
        <v>1959</v>
      </c>
      <c r="C6057" s="349" t="s">
        <v>65</v>
      </c>
      <c r="D6057" s="483">
        <v>10416.57</v>
      </c>
      <c r="E6057" s="483">
        <v>10416.57</v>
      </c>
    </row>
    <row r="6058" spans="1:5">
      <c r="A6058" s="484">
        <v>346</v>
      </c>
      <c r="B6058" s="485" t="s">
        <v>1960</v>
      </c>
      <c r="C6058" s="484" t="s">
        <v>90</v>
      </c>
      <c r="D6058" s="486">
        <v>10.55</v>
      </c>
      <c r="E6058" s="486">
        <v>10.55</v>
      </c>
    </row>
    <row r="6059" spans="1:5">
      <c r="A6059" s="349">
        <v>3312</v>
      </c>
      <c r="B6059" s="348" t="s">
        <v>1961</v>
      </c>
      <c r="C6059" s="349" t="s">
        <v>90</v>
      </c>
      <c r="D6059" s="483">
        <v>12.93</v>
      </c>
      <c r="E6059" s="483">
        <v>12.93</v>
      </c>
    </row>
    <row r="6060" spans="1:5">
      <c r="A6060" s="484">
        <v>339</v>
      </c>
      <c r="B6060" s="485" t="s">
        <v>108</v>
      </c>
      <c r="C6060" s="484" t="s">
        <v>71</v>
      </c>
      <c r="D6060" s="486">
        <v>0.51</v>
      </c>
      <c r="E6060" s="486">
        <v>0.51</v>
      </c>
    </row>
    <row r="6061" spans="1:5">
      <c r="A6061" s="349">
        <v>34346</v>
      </c>
      <c r="B6061" s="348" t="s">
        <v>109</v>
      </c>
      <c r="C6061" s="349" t="s">
        <v>71</v>
      </c>
      <c r="D6061" s="483">
        <v>0.66</v>
      </c>
      <c r="E6061" s="483">
        <v>0.66</v>
      </c>
    </row>
    <row r="6062" spans="1:5">
      <c r="A6062" s="484">
        <v>338</v>
      </c>
      <c r="B6062" s="485" t="s">
        <v>1962</v>
      </c>
      <c r="C6062" s="484" t="s">
        <v>90</v>
      </c>
      <c r="D6062" s="486">
        <v>13.27</v>
      </c>
      <c r="E6062" s="486">
        <v>13.27</v>
      </c>
    </row>
    <row r="6063" spans="1:5">
      <c r="A6063" s="349">
        <v>340</v>
      </c>
      <c r="B6063" s="348" t="s">
        <v>1963</v>
      </c>
      <c r="C6063" s="349" t="s">
        <v>71</v>
      </c>
      <c r="D6063" s="483">
        <v>0.7</v>
      </c>
      <c r="E6063" s="483">
        <v>0.7</v>
      </c>
    </row>
    <row r="6064" spans="1:5">
      <c r="A6064" s="484">
        <v>334</v>
      </c>
      <c r="B6064" s="485" t="s">
        <v>1964</v>
      </c>
      <c r="C6064" s="484" t="s">
        <v>90</v>
      </c>
      <c r="D6064" s="486">
        <v>9.5399999999999991</v>
      </c>
      <c r="E6064" s="486">
        <v>9.5399999999999991</v>
      </c>
    </row>
    <row r="6065" spans="1:5">
      <c r="A6065" s="349">
        <v>335</v>
      </c>
      <c r="B6065" s="348" t="s">
        <v>1965</v>
      </c>
      <c r="C6065" s="349" t="s">
        <v>90</v>
      </c>
      <c r="D6065" s="483">
        <v>8.74</v>
      </c>
      <c r="E6065" s="483">
        <v>8.74</v>
      </c>
    </row>
    <row r="6066" spans="1:5">
      <c r="A6066" s="484">
        <v>342</v>
      </c>
      <c r="B6066" s="485" t="s">
        <v>1966</v>
      </c>
      <c r="C6066" s="484" t="s">
        <v>90</v>
      </c>
      <c r="D6066" s="486">
        <v>9.8800000000000008</v>
      </c>
      <c r="E6066" s="486">
        <v>9.8800000000000008</v>
      </c>
    </row>
    <row r="6067" spans="1:5">
      <c r="A6067" s="349">
        <v>333</v>
      </c>
      <c r="B6067" s="348" t="s">
        <v>1968</v>
      </c>
      <c r="C6067" s="349" t="s">
        <v>90</v>
      </c>
      <c r="D6067" s="483">
        <v>10.11</v>
      </c>
      <c r="E6067" s="483">
        <v>10.11</v>
      </c>
    </row>
    <row r="6068" spans="1:5">
      <c r="A6068" s="484">
        <v>343</v>
      </c>
      <c r="B6068" s="485" t="s">
        <v>1967</v>
      </c>
      <c r="C6068" s="484" t="s">
        <v>71</v>
      </c>
      <c r="D6068" s="486">
        <v>0.27</v>
      </c>
      <c r="E6068" s="486">
        <v>0.27</v>
      </c>
    </row>
    <row r="6069" spans="1:5">
      <c r="A6069" s="349">
        <v>344</v>
      </c>
      <c r="B6069" s="348" t="s">
        <v>110</v>
      </c>
      <c r="C6069" s="349" t="s">
        <v>90</v>
      </c>
      <c r="D6069" s="483">
        <v>10.93</v>
      </c>
      <c r="E6069" s="483">
        <v>10.93</v>
      </c>
    </row>
    <row r="6070" spans="1:5">
      <c r="A6070" s="484">
        <v>345</v>
      </c>
      <c r="B6070" s="485" t="s">
        <v>111</v>
      </c>
      <c r="C6070" s="484" t="s">
        <v>90</v>
      </c>
      <c r="D6070" s="486">
        <v>13.36</v>
      </c>
      <c r="E6070" s="486">
        <v>13.36</v>
      </c>
    </row>
    <row r="6071" spans="1:5">
      <c r="A6071" s="349">
        <v>341</v>
      </c>
      <c r="B6071" s="348" t="s">
        <v>111</v>
      </c>
      <c r="C6071" s="349" t="s">
        <v>71</v>
      </c>
      <c r="D6071" s="483">
        <v>0.13</v>
      </c>
      <c r="E6071" s="483">
        <v>0.13</v>
      </c>
    </row>
    <row r="6072" spans="1:5">
      <c r="A6072" s="484">
        <v>11107</v>
      </c>
      <c r="B6072" s="485" t="s">
        <v>1969</v>
      </c>
      <c r="C6072" s="484" t="s">
        <v>90</v>
      </c>
      <c r="D6072" s="486">
        <v>8.68</v>
      </c>
      <c r="E6072" s="486">
        <v>8.68</v>
      </c>
    </row>
    <row r="6073" spans="1:5">
      <c r="A6073" s="349">
        <v>3313</v>
      </c>
      <c r="B6073" s="348" t="s">
        <v>1970</v>
      </c>
      <c r="C6073" s="349" t="s">
        <v>90</v>
      </c>
      <c r="D6073" s="483">
        <v>16.649999999999999</v>
      </c>
      <c r="E6073" s="483">
        <v>16.649999999999999</v>
      </c>
    </row>
    <row r="6074" spans="1:5">
      <c r="A6074" s="484">
        <v>34562</v>
      </c>
      <c r="B6074" s="485" t="s">
        <v>1971</v>
      </c>
      <c r="C6074" s="484" t="s">
        <v>90</v>
      </c>
      <c r="D6074" s="486">
        <v>8.9499999999999993</v>
      </c>
      <c r="E6074" s="486">
        <v>8.9499999999999993</v>
      </c>
    </row>
    <row r="6075" spans="1:5">
      <c r="A6075" s="349">
        <v>337</v>
      </c>
      <c r="B6075" s="348" t="s">
        <v>1972</v>
      </c>
      <c r="C6075" s="349" t="s">
        <v>90</v>
      </c>
      <c r="D6075" s="483">
        <v>8.65</v>
      </c>
      <c r="E6075" s="483">
        <v>8.65</v>
      </c>
    </row>
    <row r="6076" spans="1:5">
      <c r="A6076" s="484">
        <v>369</v>
      </c>
      <c r="B6076" s="485" t="s">
        <v>112</v>
      </c>
      <c r="C6076" s="484" t="s">
        <v>255</v>
      </c>
      <c r="D6076" s="486">
        <v>64.5</v>
      </c>
      <c r="E6076" s="486">
        <v>64.5</v>
      </c>
    </row>
    <row r="6077" spans="1:5">
      <c r="A6077" s="349">
        <v>366</v>
      </c>
      <c r="B6077" s="348" t="s">
        <v>1975</v>
      </c>
      <c r="C6077" s="349" t="s">
        <v>255</v>
      </c>
      <c r="D6077" s="483">
        <v>67.5</v>
      </c>
      <c r="E6077" s="483">
        <v>67.5</v>
      </c>
    </row>
    <row r="6078" spans="1:5">
      <c r="A6078" s="484">
        <v>367</v>
      </c>
      <c r="B6078" s="485" t="s">
        <v>1976</v>
      </c>
      <c r="C6078" s="484" t="s">
        <v>255</v>
      </c>
      <c r="D6078" s="486">
        <v>71.5</v>
      </c>
      <c r="E6078" s="486">
        <v>71.5</v>
      </c>
    </row>
    <row r="6079" spans="1:5">
      <c r="A6079" s="349">
        <v>370</v>
      </c>
      <c r="B6079" s="348" t="s">
        <v>1977</v>
      </c>
      <c r="C6079" s="349" t="s">
        <v>255</v>
      </c>
      <c r="D6079" s="483">
        <v>70</v>
      </c>
      <c r="E6079" s="483">
        <v>70</v>
      </c>
    </row>
    <row r="6080" spans="1:5">
      <c r="A6080" s="484">
        <v>368</v>
      </c>
      <c r="B6080" s="485" t="s">
        <v>1978</v>
      </c>
      <c r="C6080" s="484" t="s">
        <v>255</v>
      </c>
      <c r="D6080" s="486">
        <v>53.62</v>
      </c>
      <c r="E6080" s="486">
        <v>53.62</v>
      </c>
    </row>
    <row r="6081" spans="1:5" ht="30">
      <c r="A6081" s="349">
        <v>11075</v>
      </c>
      <c r="B6081" s="348" t="s">
        <v>1979</v>
      </c>
      <c r="C6081" s="349" t="s">
        <v>255</v>
      </c>
      <c r="D6081" s="483">
        <v>1170.81</v>
      </c>
      <c r="E6081" s="483">
        <v>1170.81</v>
      </c>
    </row>
    <row r="6082" spans="1:5" ht="30">
      <c r="A6082" s="484">
        <v>11076</v>
      </c>
      <c r="B6082" s="485" t="s">
        <v>1980</v>
      </c>
      <c r="C6082" s="484" t="s">
        <v>255</v>
      </c>
      <c r="D6082" s="486">
        <v>89.37</v>
      </c>
      <c r="E6082" s="486">
        <v>89.37</v>
      </c>
    </row>
    <row r="6083" spans="1:5">
      <c r="A6083" s="349">
        <v>1381</v>
      </c>
      <c r="B6083" s="348" t="s">
        <v>1982</v>
      </c>
      <c r="C6083" s="349" t="s">
        <v>90</v>
      </c>
      <c r="D6083" s="483">
        <v>0.45</v>
      </c>
      <c r="E6083" s="483">
        <v>0.45</v>
      </c>
    </row>
    <row r="6084" spans="1:5">
      <c r="A6084" s="484">
        <v>34353</v>
      </c>
      <c r="B6084" s="485" t="s">
        <v>1983</v>
      </c>
      <c r="C6084" s="484" t="s">
        <v>90</v>
      </c>
      <c r="D6084" s="486">
        <v>0.91</v>
      </c>
      <c r="E6084" s="486">
        <v>0.91</v>
      </c>
    </row>
    <row r="6085" spans="1:5">
      <c r="A6085" s="349">
        <v>37595</v>
      </c>
      <c r="B6085" s="348" t="s">
        <v>113</v>
      </c>
      <c r="C6085" s="349" t="s">
        <v>90</v>
      </c>
      <c r="D6085" s="483">
        <v>1.37</v>
      </c>
      <c r="E6085" s="483">
        <v>1.37</v>
      </c>
    </row>
    <row r="6086" spans="1:5">
      <c r="A6086" s="484">
        <v>37596</v>
      </c>
      <c r="B6086" s="485" t="s">
        <v>114</v>
      </c>
      <c r="C6086" s="484" t="s">
        <v>90</v>
      </c>
      <c r="D6086" s="486">
        <v>2.04</v>
      </c>
      <c r="E6086" s="486">
        <v>2.04</v>
      </c>
    </row>
    <row r="6087" spans="1:5" ht="30">
      <c r="A6087" s="349">
        <v>371</v>
      </c>
      <c r="B6087" s="348" t="s">
        <v>115</v>
      </c>
      <c r="C6087" s="349" t="s">
        <v>90</v>
      </c>
      <c r="D6087" s="483">
        <v>0.41</v>
      </c>
      <c r="E6087" s="483">
        <v>0.41</v>
      </c>
    </row>
    <row r="6088" spans="1:5">
      <c r="A6088" s="484">
        <v>37553</v>
      </c>
      <c r="B6088" s="485" t="s">
        <v>116</v>
      </c>
      <c r="C6088" s="484" t="s">
        <v>90</v>
      </c>
      <c r="D6088" s="486">
        <v>1.53</v>
      </c>
      <c r="E6088" s="486">
        <v>1.53</v>
      </c>
    </row>
    <row r="6089" spans="1:5">
      <c r="A6089" s="349">
        <v>37552</v>
      </c>
      <c r="B6089" s="348" t="s">
        <v>117</v>
      </c>
      <c r="C6089" s="349" t="s">
        <v>90</v>
      </c>
      <c r="D6089" s="483">
        <v>1.95</v>
      </c>
      <c r="E6089" s="483">
        <v>1.95</v>
      </c>
    </row>
    <row r="6090" spans="1:5">
      <c r="A6090" s="484">
        <v>36880</v>
      </c>
      <c r="B6090" s="485" t="s">
        <v>118</v>
      </c>
      <c r="C6090" s="484" t="s">
        <v>90</v>
      </c>
      <c r="D6090" s="486">
        <v>1.38</v>
      </c>
      <c r="E6090" s="486">
        <v>1.38</v>
      </c>
    </row>
    <row r="6091" spans="1:5">
      <c r="A6091" s="349">
        <v>34355</v>
      </c>
      <c r="B6091" s="348" t="s">
        <v>119</v>
      </c>
      <c r="C6091" s="349" t="s">
        <v>90</v>
      </c>
      <c r="D6091" s="483">
        <v>1.26</v>
      </c>
      <c r="E6091" s="483">
        <v>1.26</v>
      </c>
    </row>
    <row r="6092" spans="1:5">
      <c r="A6092" s="484">
        <v>130</v>
      </c>
      <c r="B6092" s="485" t="s">
        <v>2003</v>
      </c>
      <c r="C6092" s="484" t="s">
        <v>90</v>
      </c>
      <c r="D6092" s="486">
        <v>4.05</v>
      </c>
      <c r="E6092" s="486">
        <v>4.05</v>
      </c>
    </row>
    <row r="6093" spans="1:5" ht="30">
      <c r="A6093" s="349">
        <v>135</v>
      </c>
      <c r="B6093" s="348" t="s">
        <v>2004</v>
      </c>
      <c r="C6093" s="349" t="s">
        <v>90</v>
      </c>
      <c r="D6093" s="483">
        <v>5.21</v>
      </c>
      <c r="E6093" s="483">
        <v>5.21</v>
      </c>
    </row>
    <row r="6094" spans="1:5">
      <c r="A6094" s="484">
        <v>36886</v>
      </c>
      <c r="B6094" s="485" t="s">
        <v>120</v>
      </c>
      <c r="C6094" s="484" t="s">
        <v>90</v>
      </c>
      <c r="D6094" s="486">
        <v>0.43</v>
      </c>
      <c r="E6094" s="486">
        <v>0.43</v>
      </c>
    </row>
    <row r="6095" spans="1:5">
      <c r="A6095" s="349">
        <v>374</v>
      </c>
      <c r="B6095" s="348" t="s">
        <v>121</v>
      </c>
      <c r="C6095" s="349" t="s">
        <v>90</v>
      </c>
      <c r="D6095" s="483">
        <v>0.35</v>
      </c>
      <c r="E6095" s="483">
        <v>0.35</v>
      </c>
    </row>
    <row r="6096" spans="1:5" ht="30">
      <c r="A6096" s="484">
        <v>38546</v>
      </c>
      <c r="B6096" s="485" t="s">
        <v>2103</v>
      </c>
      <c r="C6096" s="484" t="s">
        <v>255</v>
      </c>
      <c r="D6096" s="486">
        <v>316.22000000000003</v>
      </c>
      <c r="E6096" s="486">
        <v>316.22000000000003</v>
      </c>
    </row>
    <row r="6097" spans="1:5">
      <c r="A6097" s="349">
        <v>34549</v>
      </c>
      <c r="B6097" s="348" t="s">
        <v>122</v>
      </c>
      <c r="C6097" s="349" t="s">
        <v>255</v>
      </c>
      <c r="D6097" s="483">
        <v>193.5</v>
      </c>
      <c r="E6097" s="483">
        <v>193.5</v>
      </c>
    </row>
    <row r="6098" spans="1:5" ht="29.25" customHeight="1">
      <c r="A6098" s="484">
        <v>6081</v>
      </c>
      <c r="B6098" s="485" t="s">
        <v>2104</v>
      </c>
      <c r="C6098" s="484" t="s">
        <v>255</v>
      </c>
      <c r="D6098" s="486">
        <v>27.41</v>
      </c>
      <c r="E6098" s="486">
        <v>27.41</v>
      </c>
    </row>
    <row r="6099" spans="1:5">
      <c r="A6099" s="349">
        <v>6077</v>
      </c>
      <c r="B6099" s="348" t="s">
        <v>2105</v>
      </c>
      <c r="C6099" s="349" t="s">
        <v>255</v>
      </c>
      <c r="D6099" s="483">
        <v>15.8</v>
      </c>
      <c r="E6099" s="483">
        <v>15.8</v>
      </c>
    </row>
    <row r="6100" spans="1:5">
      <c r="A6100" s="484">
        <v>6079</v>
      </c>
      <c r="B6100" s="485" t="s">
        <v>123</v>
      </c>
      <c r="C6100" s="484" t="s">
        <v>255</v>
      </c>
      <c r="D6100" s="486">
        <v>9.0299999999999994</v>
      </c>
      <c r="E6100" s="486">
        <v>9.0299999999999994</v>
      </c>
    </row>
    <row r="6101" spans="1:5" ht="30">
      <c r="A6101" s="349">
        <v>1091</v>
      </c>
      <c r="B6101" s="348" t="s">
        <v>2165</v>
      </c>
      <c r="C6101" s="349" t="s">
        <v>65</v>
      </c>
      <c r="D6101" s="483">
        <v>15.82</v>
      </c>
      <c r="E6101" s="483">
        <v>15.82</v>
      </c>
    </row>
    <row r="6102" spans="1:5" ht="29.25" customHeight="1">
      <c r="A6102" s="484">
        <v>1094</v>
      </c>
      <c r="B6102" s="485" t="s">
        <v>2166</v>
      </c>
      <c r="C6102" s="484" t="s">
        <v>65</v>
      </c>
      <c r="D6102" s="486">
        <v>11.06</v>
      </c>
      <c r="E6102" s="486">
        <v>11.06</v>
      </c>
    </row>
    <row r="6103" spans="1:5" ht="30">
      <c r="A6103" s="349">
        <v>1095</v>
      </c>
      <c r="B6103" s="348" t="s">
        <v>2167</v>
      </c>
      <c r="C6103" s="349" t="s">
        <v>65</v>
      </c>
      <c r="D6103" s="483">
        <v>23.52</v>
      </c>
      <c r="E6103" s="483">
        <v>23.52</v>
      </c>
    </row>
    <row r="6104" spans="1:5" ht="30">
      <c r="A6104" s="484">
        <v>1092</v>
      </c>
      <c r="B6104" s="485" t="s">
        <v>2168</v>
      </c>
      <c r="C6104" s="484" t="s">
        <v>65</v>
      </c>
      <c r="D6104" s="486">
        <v>18.2</v>
      </c>
      <c r="E6104" s="486">
        <v>18.2</v>
      </c>
    </row>
    <row r="6105" spans="1:5" ht="30">
      <c r="A6105" s="349">
        <v>1093</v>
      </c>
      <c r="B6105" s="348" t="s">
        <v>2169</v>
      </c>
      <c r="C6105" s="349" t="s">
        <v>65</v>
      </c>
      <c r="D6105" s="483">
        <v>42.5</v>
      </c>
      <c r="E6105" s="483">
        <v>42.5</v>
      </c>
    </row>
    <row r="6106" spans="1:5" ht="30">
      <c r="A6106" s="484">
        <v>1090</v>
      </c>
      <c r="B6106" s="485" t="s">
        <v>2170</v>
      </c>
      <c r="C6106" s="484" t="s">
        <v>65</v>
      </c>
      <c r="D6106" s="486">
        <v>30.43</v>
      </c>
      <c r="E6106" s="486">
        <v>30.43</v>
      </c>
    </row>
    <row r="6107" spans="1:5" ht="30">
      <c r="A6107" s="349">
        <v>1096</v>
      </c>
      <c r="B6107" s="348" t="s">
        <v>2171</v>
      </c>
      <c r="C6107" s="349" t="s">
        <v>65</v>
      </c>
      <c r="D6107" s="483">
        <v>54.76</v>
      </c>
      <c r="E6107" s="483">
        <v>54.76</v>
      </c>
    </row>
    <row r="6108" spans="1:5" ht="30">
      <c r="A6108" s="484">
        <v>1097</v>
      </c>
      <c r="B6108" s="485" t="s">
        <v>2172</v>
      </c>
      <c r="C6108" s="484" t="s">
        <v>65</v>
      </c>
      <c r="D6108" s="486">
        <v>46.49</v>
      </c>
      <c r="E6108" s="486">
        <v>46.49</v>
      </c>
    </row>
    <row r="6109" spans="1:5">
      <c r="A6109" s="349">
        <v>378</v>
      </c>
      <c r="B6109" s="348" t="s">
        <v>124</v>
      </c>
      <c r="C6109" s="349" t="s">
        <v>57</v>
      </c>
      <c r="D6109" s="483">
        <v>14.74</v>
      </c>
      <c r="E6109" s="483">
        <v>14.74</v>
      </c>
    </row>
    <row r="6110" spans="1:5">
      <c r="A6110" s="484">
        <v>40911</v>
      </c>
      <c r="B6110" s="485" t="s">
        <v>2175</v>
      </c>
      <c r="C6110" s="484" t="s">
        <v>1643</v>
      </c>
      <c r="D6110" s="486">
        <v>2597.41</v>
      </c>
      <c r="E6110" s="486">
        <v>2597.41</v>
      </c>
    </row>
    <row r="6111" spans="1:5">
      <c r="A6111" s="349">
        <v>33939</v>
      </c>
      <c r="B6111" s="348" t="s">
        <v>2178</v>
      </c>
      <c r="C6111" s="349" t="s">
        <v>57</v>
      </c>
      <c r="D6111" s="483">
        <v>74.72</v>
      </c>
      <c r="E6111" s="483">
        <v>74.72</v>
      </c>
    </row>
    <row r="6112" spans="1:5">
      <c r="A6112" s="484">
        <v>40815</v>
      </c>
      <c r="B6112" s="485" t="s">
        <v>2179</v>
      </c>
      <c r="C6112" s="484" t="s">
        <v>1643</v>
      </c>
      <c r="D6112" s="486">
        <v>13165.61</v>
      </c>
      <c r="E6112" s="486">
        <v>13165.61</v>
      </c>
    </row>
    <row r="6113" spans="1:5">
      <c r="A6113" s="349">
        <v>34760</v>
      </c>
      <c r="B6113" s="348" t="s">
        <v>125</v>
      </c>
      <c r="C6113" s="349" t="s">
        <v>57</v>
      </c>
      <c r="D6113" s="483">
        <v>74.72</v>
      </c>
      <c r="E6113" s="483">
        <v>74.72</v>
      </c>
    </row>
    <row r="6114" spans="1:5">
      <c r="A6114" s="484">
        <v>40935</v>
      </c>
      <c r="B6114" s="485" t="s">
        <v>2181</v>
      </c>
      <c r="C6114" s="484" t="s">
        <v>1643</v>
      </c>
      <c r="D6114" s="486">
        <v>13165.61</v>
      </c>
      <c r="E6114" s="486">
        <v>13165.61</v>
      </c>
    </row>
    <row r="6115" spans="1:5">
      <c r="A6115" s="349">
        <v>33952</v>
      </c>
      <c r="B6115" s="348" t="s">
        <v>126</v>
      </c>
      <c r="C6115" s="349" t="s">
        <v>57</v>
      </c>
      <c r="D6115" s="483">
        <v>85.75</v>
      </c>
      <c r="E6115" s="483">
        <v>85.75</v>
      </c>
    </row>
    <row r="6116" spans="1:5">
      <c r="A6116" s="484">
        <v>40816</v>
      </c>
      <c r="B6116" s="485" t="s">
        <v>127</v>
      </c>
      <c r="C6116" s="484" t="s">
        <v>1643</v>
      </c>
      <c r="D6116" s="486">
        <v>15107.88</v>
      </c>
      <c r="E6116" s="486">
        <v>15107.88</v>
      </c>
    </row>
    <row r="6117" spans="1:5">
      <c r="A6117" s="349">
        <v>33953</v>
      </c>
      <c r="B6117" s="348" t="s">
        <v>2183</v>
      </c>
      <c r="C6117" s="349" t="s">
        <v>57</v>
      </c>
      <c r="D6117" s="483">
        <v>101.58</v>
      </c>
      <c r="E6117" s="483">
        <v>101.58</v>
      </c>
    </row>
    <row r="6118" spans="1:5">
      <c r="A6118" s="484">
        <v>40817</v>
      </c>
      <c r="B6118" s="485" t="s">
        <v>2184</v>
      </c>
      <c r="C6118" s="484" t="s">
        <v>1643</v>
      </c>
      <c r="D6118" s="486">
        <v>17899.03</v>
      </c>
      <c r="E6118" s="486">
        <v>17899.03</v>
      </c>
    </row>
    <row r="6119" spans="1:5" ht="30">
      <c r="A6119" s="349">
        <v>13348</v>
      </c>
      <c r="B6119" s="348" t="s">
        <v>2186</v>
      </c>
      <c r="C6119" s="349" t="s">
        <v>65</v>
      </c>
      <c r="D6119" s="483">
        <v>0.63</v>
      </c>
      <c r="E6119" s="483">
        <v>0.63</v>
      </c>
    </row>
    <row r="6120" spans="1:5">
      <c r="A6120" s="484">
        <v>39211</v>
      </c>
      <c r="B6120" s="485" t="s">
        <v>2187</v>
      </c>
      <c r="C6120" s="484" t="s">
        <v>65</v>
      </c>
      <c r="D6120" s="486">
        <v>0.8</v>
      </c>
      <c r="E6120" s="486">
        <v>0.8</v>
      </c>
    </row>
    <row r="6121" spans="1:5">
      <c r="A6121" s="349">
        <v>39212</v>
      </c>
      <c r="B6121" s="348" t="s">
        <v>2188</v>
      </c>
      <c r="C6121" s="349" t="s">
        <v>65</v>
      </c>
      <c r="D6121" s="483">
        <v>0.89</v>
      </c>
      <c r="E6121" s="483">
        <v>0.89</v>
      </c>
    </row>
    <row r="6122" spans="1:5">
      <c r="A6122" s="484">
        <v>39208</v>
      </c>
      <c r="B6122" s="485" t="s">
        <v>2190</v>
      </c>
      <c r="C6122" s="484" t="s">
        <v>65</v>
      </c>
      <c r="D6122" s="486">
        <v>0.24</v>
      </c>
      <c r="E6122" s="486">
        <v>0.24</v>
      </c>
    </row>
    <row r="6123" spans="1:5">
      <c r="A6123" s="349">
        <v>39210</v>
      </c>
      <c r="B6123" s="348" t="s">
        <v>2189</v>
      </c>
      <c r="C6123" s="349" t="s">
        <v>65</v>
      </c>
      <c r="D6123" s="483">
        <v>0.45</v>
      </c>
      <c r="E6123" s="483">
        <v>0.45</v>
      </c>
    </row>
    <row r="6124" spans="1:5">
      <c r="A6124" s="484">
        <v>39214</v>
      </c>
      <c r="B6124" s="485" t="s">
        <v>2191</v>
      </c>
      <c r="C6124" s="484" t="s">
        <v>65</v>
      </c>
      <c r="D6124" s="486">
        <v>1.65</v>
      </c>
      <c r="E6124" s="486">
        <v>1.65</v>
      </c>
    </row>
    <row r="6125" spans="1:5">
      <c r="A6125" s="349">
        <v>39213</v>
      </c>
      <c r="B6125" s="348" t="s">
        <v>2192</v>
      </c>
      <c r="C6125" s="349" t="s">
        <v>65</v>
      </c>
      <c r="D6125" s="483">
        <v>1.17</v>
      </c>
      <c r="E6125" s="483">
        <v>1.17</v>
      </c>
    </row>
    <row r="6126" spans="1:5">
      <c r="A6126" s="484">
        <v>39209</v>
      </c>
      <c r="B6126" s="485" t="s">
        <v>2194</v>
      </c>
      <c r="C6126" s="484" t="s">
        <v>65</v>
      </c>
      <c r="D6126" s="486">
        <v>0.28999999999999998</v>
      </c>
      <c r="E6126" s="486">
        <v>0.28999999999999998</v>
      </c>
    </row>
    <row r="6127" spans="1:5">
      <c r="A6127" s="349">
        <v>39207</v>
      </c>
      <c r="B6127" s="348" t="s">
        <v>2195</v>
      </c>
      <c r="C6127" s="349" t="s">
        <v>65</v>
      </c>
      <c r="D6127" s="483">
        <v>0.45</v>
      </c>
      <c r="E6127" s="483">
        <v>0.45</v>
      </c>
    </row>
    <row r="6128" spans="1:5">
      <c r="A6128" s="484">
        <v>39215</v>
      </c>
      <c r="B6128" s="485" t="s">
        <v>2193</v>
      </c>
      <c r="C6128" s="484" t="s">
        <v>65</v>
      </c>
      <c r="D6128" s="486">
        <v>3.01</v>
      </c>
      <c r="E6128" s="486">
        <v>3.01</v>
      </c>
    </row>
    <row r="6129" spans="1:5">
      <c r="A6129" s="349">
        <v>39216</v>
      </c>
      <c r="B6129" s="348" t="s">
        <v>2196</v>
      </c>
      <c r="C6129" s="349" t="s">
        <v>65</v>
      </c>
      <c r="D6129" s="483">
        <v>4.21</v>
      </c>
      <c r="E6129" s="483">
        <v>4.21</v>
      </c>
    </row>
    <row r="6130" spans="1:5" ht="30">
      <c r="A6130" s="484">
        <v>379</v>
      </c>
      <c r="B6130" s="485" t="s">
        <v>2197</v>
      </c>
      <c r="C6130" s="484" t="s">
        <v>65</v>
      </c>
      <c r="D6130" s="486">
        <v>0.55000000000000004</v>
      </c>
      <c r="E6130" s="486">
        <v>0.55000000000000004</v>
      </c>
    </row>
    <row r="6131" spans="1:5" ht="30">
      <c r="A6131" s="349">
        <v>11267</v>
      </c>
      <c r="B6131" s="348" t="s">
        <v>2198</v>
      </c>
      <c r="C6131" s="349" t="s">
        <v>65</v>
      </c>
      <c r="D6131" s="483">
        <v>5.52</v>
      </c>
      <c r="E6131" s="483">
        <v>5.52</v>
      </c>
    </row>
    <row r="6132" spans="1:5" ht="30">
      <c r="A6132" s="484">
        <v>510</v>
      </c>
      <c r="B6132" s="485" t="s">
        <v>2200</v>
      </c>
      <c r="C6132" s="484" t="s">
        <v>90</v>
      </c>
      <c r="D6132" s="486">
        <v>6.06</v>
      </c>
      <c r="E6132" s="486">
        <v>6.06</v>
      </c>
    </row>
    <row r="6133" spans="1:5" ht="30">
      <c r="A6133" s="349">
        <v>516</v>
      </c>
      <c r="B6133" s="348" t="s">
        <v>2201</v>
      </c>
      <c r="C6133" s="349" t="s">
        <v>90</v>
      </c>
      <c r="D6133" s="483">
        <v>6.46</v>
      </c>
      <c r="E6133" s="483">
        <v>6.46</v>
      </c>
    </row>
    <row r="6134" spans="1:5" ht="43.5" customHeight="1">
      <c r="A6134" s="484">
        <v>509</v>
      </c>
      <c r="B6134" s="485" t="s">
        <v>2202</v>
      </c>
      <c r="C6134" s="484" t="s">
        <v>90</v>
      </c>
      <c r="D6134" s="486">
        <v>6.6</v>
      </c>
      <c r="E6134" s="486">
        <v>6.6</v>
      </c>
    </row>
    <row r="6135" spans="1:5">
      <c r="A6135" s="349">
        <v>40331</v>
      </c>
      <c r="B6135" s="348" t="s">
        <v>19462</v>
      </c>
      <c r="C6135" s="349" t="s">
        <v>57</v>
      </c>
      <c r="D6135" s="483">
        <v>21.36</v>
      </c>
      <c r="E6135" s="483">
        <v>21.36</v>
      </c>
    </row>
    <row r="6136" spans="1:5">
      <c r="A6136" s="484">
        <v>40930</v>
      </c>
      <c r="B6136" s="485" t="s">
        <v>19463</v>
      </c>
      <c r="C6136" s="484" t="s">
        <v>1643</v>
      </c>
      <c r="D6136" s="486">
        <v>3769.71</v>
      </c>
      <c r="E6136" s="486">
        <v>3769.71</v>
      </c>
    </row>
    <row r="6137" spans="1:5">
      <c r="A6137" s="349">
        <v>11761</v>
      </c>
      <c r="B6137" s="348" t="s">
        <v>2339</v>
      </c>
      <c r="C6137" s="349" t="s">
        <v>65</v>
      </c>
      <c r="D6137" s="483">
        <v>54.82</v>
      </c>
      <c r="E6137" s="483">
        <v>54.82</v>
      </c>
    </row>
    <row r="6138" spans="1:5">
      <c r="A6138" s="484">
        <v>377</v>
      </c>
      <c r="B6138" s="485" t="s">
        <v>2340</v>
      </c>
      <c r="C6138" s="484" t="s">
        <v>65</v>
      </c>
      <c r="D6138" s="486">
        <v>25.76</v>
      </c>
      <c r="E6138" s="486">
        <v>25.76</v>
      </c>
    </row>
    <row r="6139" spans="1:5">
      <c r="A6139" s="349">
        <v>7588</v>
      </c>
      <c r="B6139" s="348" t="s">
        <v>2366</v>
      </c>
      <c r="C6139" s="349" t="s">
        <v>65</v>
      </c>
      <c r="D6139" s="483">
        <v>35.58</v>
      </c>
      <c r="E6139" s="483">
        <v>35.58</v>
      </c>
    </row>
    <row r="6140" spans="1:5">
      <c r="A6140" s="484">
        <v>34392</v>
      </c>
      <c r="B6140" s="485" t="s">
        <v>2367</v>
      </c>
      <c r="C6140" s="484" t="s">
        <v>57</v>
      </c>
      <c r="D6140" s="486">
        <v>16.899999999999999</v>
      </c>
      <c r="E6140" s="486">
        <v>16.899999999999999</v>
      </c>
    </row>
    <row r="6141" spans="1:5">
      <c r="A6141" s="349">
        <v>40908</v>
      </c>
      <c r="B6141" s="348" t="s">
        <v>2368</v>
      </c>
      <c r="C6141" s="349" t="s">
        <v>1643</v>
      </c>
      <c r="D6141" s="483">
        <v>2980.69</v>
      </c>
      <c r="E6141" s="483">
        <v>2980.69</v>
      </c>
    </row>
    <row r="6142" spans="1:5">
      <c r="A6142" s="484">
        <v>34551</v>
      </c>
      <c r="B6142" s="485" t="s">
        <v>128</v>
      </c>
      <c r="C6142" s="484" t="s">
        <v>57</v>
      </c>
      <c r="D6142" s="486">
        <v>10.06</v>
      </c>
      <c r="E6142" s="486">
        <v>10.06</v>
      </c>
    </row>
    <row r="6143" spans="1:5">
      <c r="A6143" s="349">
        <v>41078</v>
      </c>
      <c r="B6143" s="348" t="s">
        <v>2369</v>
      </c>
      <c r="C6143" s="349" t="s">
        <v>1643</v>
      </c>
      <c r="D6143" s="483">
        <v>1774.47</v>
      </c>
      <c r="E6143" s="483">
        <v>1774.47</v>
      </c>
    </row>
    <row r="6144" spans="1:5">
      <c r="A6144" s="484">
        <v>6117</v>
      </c>
      <c r="B6144" s="485" t="s">
        <v>11174</v>
      </c>
      <c r="C6144" s="484" t="s">
        <v>57</v>
      </c>
      <c r="D6144" s="486">
        <v>11.07</v>
      </c>
      <c r="E6144" s="486">
        <v>11.07</v>
      </c>
    </row>
    <row r="6145" spans="1:5">
      <c r="A6145" s="349">
        <v>2359</v>
      </c>
      <c r="B6145" s="348" t="s">
        <v>129</v>
      </c>
      <c r="C6145" s="349" t="s">
        <v>57</v>
      </c>
      <c r="D6145" s="483">
        <v>20.18</v>
      </c>
      <c r="E6145" s="483">
        <v>20.18</v>
      </c>
    </row>
    <row r="6146" spans="1:5">
      <c r="A6146" s="484">
        <v>246</v>
      </c>
      <c r="B6146" s="485" t="s">
        <v>2370</v>
      </c>
      <c r="C6146" s="484" t="s">
        <v>57</v>
      </c>
      <c r="D6146" s="486">
        <v>11.07</v>
      </c>
      <c r="E6146" s="486">
        <v>11.07</v>
      </c>
    </row>
    <row r="6147" spans="1:5">
      <c r="A6147" s="349">
        <v>40927</v>
      </c>
      <c r="B6147" s="348" t="s">
        <v>2371</v>
      </c>
      <c r="C6147" s="349" t="s">
        <v>1643</v>
      </c>
      <c r="D6147" s="483">
        <v>1951.47</v>
      </c>
      <c r="E6147" s="483">
        <v>1951.47</v>
      </c>
    </row>
    <row r="6148" spans="1:5">
      <c r="A6148" s="484">
        <v>2350</v>
      </c>
      <c r="B6148" s="485" t="s">
        <v>2373</v>
      </c>
      <c r="C6148" s="484" t="s">
        <v>57</v>
      </c>
      <c r="D6148" s="486">
        <v>14.02</v>
      </c>
      <c r="E6148" s="486">
        <v>14.02</v>
      </c>
    </row>
    <row r="6149" spans="1:5">
      <c r="A6149" s="349">
        <v>40812</v>
      </c>
      <c r="B6149" s="348" t="s">
        <v>2374</v>
      </c>
      <c r="C6149" s="349" t="s">
        <v>1643</v>
      </c>
      <c r="D6149" s="483">
        <v>2473.6799999999998</v>
      </c>
      <c r="E6149" s="483">
        <v>2473.6799999999998</v>
      </c>
    </row>
    <row r="6150" spans="1:5">
      <c r="A6150" s="484">
        <v>245</v>
      </c>
      <c r="B6150" s="485" t="s">
        <v>2376</v>
      </c>
      <c r="C6150" s="484" t="s">
        <v>57</v>
      </c>
      <c r="D6150" s="486">
        <v>15.63</v>
      </c>
      <c r="E6150" s="486">
        <v>15.63</v>
      </c>
    </row>
    <row r="6151" spans="1:5">
      <c r="A6151" s="349">
        <v>41090</v>
      </c>
      <c r="B6151" s="348" t="s">
        <v>2377</v>
      </c>
      <c r="C6151" s="349" t="s">
        <v>1643</v>
      </c>
      <c r="D6151" s="483">
        <v>2759.48</v>
      </c>
      <c r="E6151" s="483">
        <v>2759.48</v>
      </c>
    </row>
    <row r="6152" spans="1:5">
      <c r="A6152" s="484">
        <v>251</v>
      </c>
      <c r="B6152" s="485" t="s">
        <v>2378</v>
      </c>
      <c r="C6152" s="484" t="s">
        <v>57</v>
      </c>
      <c r="D6152" s="486">
        <v>19.7</v>
      </c>
      <c r="E6152" s="486">
        <v>19.7</v>
      </c>
    </row>
    <row r="6153" spans="1:5">
      <c r="A6153" s="349">
        <v>40975</v>
      </c>
      <c r="B6153" s="348" t="s">
        <v>2379</v>
      </c>
      <c r="C6153" s="349" t="s">
        <v>1643</v>
      </c>
      <c r="D6153" s="483">
        <v>3471.12</v>
      </c>
      <c r="E6153" s="483">
        <v>3471.12</v>
      </c>
    </row>
    <row r="6154" spans="1:5">
      <c r="A6154" s="484">
        <v>41072</v>
      </c>
      <c r="B6154" s="485" t="s">
        <v>2380</v>
      </c>
      <c r="C6154" s="484" t="s">
        <v>1643</v>
      </c>
      <c r="D6154" s="486">
        <v>1890.89</v>
      </c>
      <c r="E6154" s="486">
        <v>1890.89</v>
      </c>
    </row>
    <row r="6155" spans="1:5" ht="43.5" customHeight="1">
      <c r="A6155" s="349">
        <v>6121</v>
      </c>
      <c r="B6155" s="348" t="s">
        <v>2381</v>
      </c>
      <c r="C6155" s="349" t="s">
        <v>57</v>
      </c>
      <c r="D6155" s="483">
        <v>10.98</v>
      </c>
      <c r="E6155" s="483">
        <v>10.98</v>
      </c>
    </row>
    <row r="6156" spans="1:5">
      <c r="A6156" s="484">
        <v>41071</v>
      </c>
      <c r="B6156" s="485" t="s">
        <v>2382</v>
      </c>
      <c r="C6156" s="484" t="s">
        <v>1643</v>
      </c>
      <c r="D6156" s="486">
        <v>1940.76</v>
      </c>
      <c r="E6156" s="486">
        <v>1940.76</v>
      </c>
    </row>
    <row r="6157" spans="1:5">
      <c r="A6157" s="349">
        <v>244</v>
      </c>
      <c r="B6157" s="348" t="s">
        <v>2383</v>
      </c>
      <c r="C6157" s="349" t="s">
        <v>57</v>
      </c>
      <c r="D6157" s="483">
        <v>11.07</v>
      </c>
      <c r="E6157" s="483">
        <v>11.07</v>
      </c>
    </row>
    <row r="6158" spans="1:5">
      <c r="A6158" s="484">
        <v>41093</v>
      </c>
      <c r="B6158" s="485" t="s">
        <v>2384</v>
      </c>
      <c r="C6158" s="484" t="s">
        <v>1643</v>
      </c>
      <c r="D6158" s="486">
        <v>1951.47</v>
      </c>
      <c r="E6158" s="486">
        <v>1951.47</v>
      </c>
    </row>
    <row r="6159" spans="1:5">
      <c r="A6159" s="349">
        <v>532</v>
      </c>
      <c r="B6159" s="348" t="s">
        <v>2385</v>
      </c>
      <c r="C6159" s="349" t="s">
        <v>57</v>
      </c>
      <c r="D6159" s="483">
        <v>25.51</v>
      </c>
      <c r="E6159" s="483">
        <v>25.51</v>
      </c>
    </row>
    <row r="6160" spans="1:5">
      <c r="A6160" s="484">
        <v>40931</v>
      </c>
      <c r="B6160" s="485" t="s">
        <v>2386</v>
      </c>
      <c r="C6160" s="484" t="s">
        <v>1643</v>
      </c>
      <c r="D6160" s="486">
        <v>4498.26</v>
      </c>
      <c r="E6160" s="486">
        <v>4498.26</v>
      </c>
    </row>
    <row r="6161" spans="1:5">
      <c r="A6161" s="349">
        <v>36150</v>
      </c>
      <c r="B6161" s="348" t="s">
        <v>2387</v>
      </c>
      <c r="C6161" s="349" t="s">
        <v>65</v>
      </c>
      <c r="D6161" s="483">
        <v>28.21</v>
      </c>
      <c r="E6161" s="483">
        <v>28.21</v>
      </c>
    </row>
    <row r="6162" spans="1:5">
      <c r="A6162" s="484">
        <v>41069</v>
      </c>
      <c r="B6162" s="485" t="s">
        <v>2388</v>
      </c>
      <c r="C6162" s="484" t="s">
        <v>1643</v>
      </c>
      <c r="D6162" s="486">
        <v>2361.8000000000002</v>
      </c>
      <c r="E6162" s="486">
        <v>2361.8000000000002</v>
      </c>
    </row>
    <row r="6163" spans="1:5">
      <c r="A6163" s="349">
        <v>4760</v>
      </c>
      <c r="B6163" s="348" t="s">
        <v>130</v>
      </c>
      <c r="C6163" s="349" t="s">
        <v>57</v>
      </c>
      <c r="D6163" s="483">
        <v>13.38</v>
      </c>
      <c r="E6163" s="483">
        <v>13.38</v>
      </c>
    </row>
    <row r="6164" spans="1:5">
      <c r="A6164" s="484">
        <v>10422</v>
      </c>
      <c r="B6164" s="485" t="s">
        <v>2389</v>
      </c>
      <c r="C6164" s="484" t="s">
        <v>65</v>
      </c>
      <c r="D6164" s="486">
        <v>293.27</v>
      </c>
      <c r="E6164" s="486">
        <v>293.27</v>
      </c>
    </row>
    <row r="6165" spans="1:5">
      <c r="A6165" s="349">
        <v>10420</v>
      </c>
      <c r="B6165" s="348" t="s">
        <v>2390</v>
      </c>
      <c r="C6165" s="349" t="s">
        <v>65</v>
      </c>
      <c r="D6165" s="483">
        <v>109.99</v>
      </c>
      <c r="E6165" s="483">
        <v>109.99</v>
      </c>
    </row>
    <row r="6166" spans="1:5">
      <c r="A6166" s="484">
        <v>10421</v>
      </c>
      <c r="B6166" s="485" t="s">
        <v>2391</v>
      </c>
      <c r="C6166" s="484" t="s">
        <v>65</v>
      </c>
      <c r="D6166" s="486">
        <v>147.19999999999999</v>
      </c>
      <c r="E6166" s="486">
        <v>147.19999999999999</v>
      </c>
    </row>
    <row r="6167" spans="1:5" ht="30">
      <c r="A6167" s="349">
        <v>36519</v>
      </c>
      <c r="B6167" s="348" t="s">
        <v>2392</v>
      </c>
      <c r="C6167" s="349" t="s">
        <v>65</v>
      </c>
      <c r="D6167" s="483">
        <v>428.24</v>
      </c>
      <c r="E6167" s="483">
        <v>428.24</v>
      </c>
    </row>
    <row r="6168" spans="1:5" ht="30">
      <c r="A6168" s="484">
        <v>36520</v>
      </c>
      <c r="B6168" s="485" t="s">
        <v>2393</v>
      </c>
      <c r="C6168" s="484" t="s">
        <v>65</v>
      </c>
      <c r="D6168" s="486">
        <v>547.98</v>
      </c>
      <c r="E6168" s="486">
        <v>547.98</v>
      </c>
    </row>
    <row r="6169" spans="1:5">
      <c r="A6169" s="349">
        <v>11784</v>
      </c>
      <c r="B6169" s="348" t="s">
        <v>2394</v>
      </c>
      <c r="C6169" s="349" t="s">
        <v>65</v>
      </c>
      <c r="D6169" s="483">
        <v>411.56</v>
      </c>
      <c r="E6169" s="483">
        <v>411.56</v>
      </c>
    </row>
    <row r="6170" spans="1:5">
      <c r="A6170" s="484">
        <v>10</v>
      </c>
      <c r="B6170" s="485" t="s">
        <v>2395</v>
      </c>
      <c r="C6170" s="484" t="s">
        <v>65</v>
      </c>
      <c r="D6170" s="486">
        <v>6.74</v>
      </c>
      <c r="E6170" s="486">
        <v>6.74</v>
      </c>
    </row>
    <row r="6171" spans="1:5">
      <c r="A6171" s="349">
        <v>4815</v>
      </c>
      <c r="B6171" s="348" t="s">
        <v>2396</v>
      </c>
      <c r="C6171" s="349" t="s">
        <v>65</v>
      </c>
      <c r="D6171" s="483">
        <v>3.99</v>
      </c>
      <c r="E6171" s="483">
        <v>3.99</v>
      </c>
    </row>
    <row r="6172" spans="1:5" ht="30">
      <c r="A6172" s="484">
        <v>1746</v>
      </c>
      <c r="B6172" s="485" t="s">
        <v>2397</v>
      </c>
      <c r="C6172" s="484" t="s">
        <v>65</v>
      </c>
      <c r="D6172" s="486">
        <v>149.18</v>
      </c>
      <c r="E6172" s="486">
        <v>149.18</v>
      </c>
    </row>
    <row r="6173" spans="1:5" ht="30">
      <c r="A6173" s="349">
        <v>1748</v>
      </c>
      <c r="B6173" s="348" t="s">
        <v>2398</v>
      </c>
      <c r="C6173" s="349" t="s">
        <v>65</v>
      </c>
      <c r="D6173" s="483">
        <v>198.37</v>
      </c>
      <c r="E6173" s="483">
        <v>198.37</v>
      </c>
    </row>
    <row r="6174" spans="1:5" ht="30">
      <c r="A6174" s="484">
        <v>1749</v>
      </c>
      <c r="B6174" s="485" t="s">
        <v>2399</v>
      </c>
      <c r="C6174" s="484" t="s">
        <v>65</v>
      </c>
      <c r="D6174" s="486">
        <v>287.39999999999998</v>
      </c>
      <c r="E6174" s="486">
        <v>287.39999999999998</v>
      </c>
    </row>
    <row r="6175" spans="1:5" ht="30">
      <c r="A6175" s="349">
        <v>37412</v>
      </c>
      <c r="B6175" s="348" t="s">
        <v>2400</v>
      </c>
      <c r="C6175" s="349" t="s">
        <v>65</v>
      </c>
      <c r="D6175" s="483">
        <v>145.82</v>
      </c>
      <c r="E6175" s="483">
        <v>145.82</v>
      </c>
    </row>
    <row r="6176" spans="1:5" ht="30">
      <c r="A6176" s="484">
        <v>1745</v>
      </c>
      <c r="B6176" s="485" t="s">
        <v>2401</v>
      </c>
      <c r="C6176" s="484" t="s">
        <v>65</v>
      </c>
      <c r="D6176" s="486">
        <v>173.4</v>
      </c>
      <c r="E6176" s="486">
        <v>173.4</v>
      </c>
    </row>
    <row r="6177" spans="1:5" ht="30">
      <c r="A6177" s="349">
        <v>1750</v>
      </c>
      <c r="B6177" s="348" t="s">
        <v>2402</v>
      </c>
      <c r="C6177" s="349" t="s">
        <v>65</v>
      </c>
      <c r="D6177" s="483">
        <v>405.21</v>
      </c>
      <c r="E6177" s="483">
        <v>405.21</v>
      </c>
    </row>
    <row r="6178" spans="1:5">
      <c r="A6178" s="484">
        <v>541</v>
      </c>
      <c r="B6178" s="485" t="s">
        <v>2411</v>
      </c>
      <c r="C6178" s="484" t="s">
        <v>65</v>
      </c>
      <c r="D6178" s="486">
        <v>142.94999999999999</v>
      </c>
      <c r="E6178" s="486">
        <v>142.94999999999999</v>
      </c>
    </row>
    <row r="6179" spans="1:5">
      <c r="A6179" s="349">
        <v>542</v>
      </c>
      <c r="B6179" s="348" t="s">
        <v>2412</v>
      </c>
      <c r="C6179" s="349" t="s">
        <v>65</v>
      </c>
      <c r="D6179" s="483">
        <v>179.19</v>
      </c>
      <c r="E6179" s="483">
        <v>179.19</v>
      </c>
    </row>
    <row r="6180" spans="1:5">
      <c r="A6180" s="484">
        <v>540</v>
      </c>
      <c r="B6180" s="485" t="s">
        <v>2413</v>
      </c>
      <c r="C6180" s="484" t="s">
        <v>65</v>
      </c>
      <c r="D6180" s="486">
        <v>403.8</v>
      </c>
      <c r="E6180" s="486">
        <v>403.8</v>
      </c>
    </row>
    <row r="6181" spans="1:5" ht="30">
      <c r="A6181" s="349">
        <v>38364</v>
      </c>
      <c r="B6181" s="348" t="s">
        <v>19464</v>
      </c>
      <c r="C6181" s="349" t="s">
        <v>65</v>
      </c>
      <c r="D6181" s="483">
        <v>335.42</v>
      </c>
      <c r="E6181" s="483">
        <v>335.42</v>
      </c>
    </row>
    <row r="6182" spans="1:5">
      <c r="A6182" s="484">
        <v>11692</v>
      </c>
      <c r="B6182" s="485" t="s">
        <v>2417</v>
      </c>
      <c r="C6182" s="484" t="s">
        <v>256</v>
      </c>
      <c r="D6182" s="486">
        <v>204.48</v>
      </c>
      <c r="E6182" s="486">
        <v>204.48</v>
      </c>
    </row>
    <row r="6183" spans="1:5" ht="30">
      <c r="A6183" s="349">
        <v>11687</v>
      </c>
      <c r="B6183" s="348" t="s">
        <v>2418</v>
      </c>
      <c r="C6183" s="349" t="s">
        <v>71</v>
      </c>
      <c r="D6183" s="483">
        <v>645.63</v>
      </c>
      <c r="E6183" s="483">
        <v>645.63</v>
      </c>
    </row>
    <row r="6184" spans="1:5" ht="30">
      <c r="A6184" s="484">
        <v>11689</v>
      </c>
      <c r="B6184" s="485" t="s">
        <v>2419</v>
      </c>
      <c r="C6184" s="484" t="s">
        <v>71</v>
      </c>
      <c r="D6184" s="486">
        <v>808.94</v>
      </c>
      <c r="E6184" s="486">
        <v>808.94</v>
      </c>
    </row>
    <row r="6185" spans="1:5">
      <c r="A6185" s="349">
        <v>11693</v>
      </c>
      <c r="B6185" s="348" t="s">
        <v>2420</v>
      </c>
      <c r="C6185" s="349" t="s">
        <v>256</v>
      </c>
      <c r="D6185" s="483">
        <v>158.5</v>
      </c>
      <c r="E6185" s="483">
        <v>158.5</v>
      </c>
    </row>
    <row r="6186" spans="1:5">
      <c r="A6186" s="484">
        <v>36215</v>
      </c>
      <c r="B6186" s="485" t="s">
        <v>2421</v>
      </c>
      <c r="C6186" s="484" t="s">
        <v>65</v>
      </c>
      <c r="D6186" s="486">
        <v>540.22</v>
      </c>
      <c r="E6186" s="486">
        <v>540.22</v>
      </c>
    </row>
    <row r="6187" spans="1:5">
      <c r="A6187" s="349">
        <v>38381</v>
      </c>
      <c r="B6187" s="348" t="s">
        <v>2422</v>
      </c>
      <c r="C6187" s="349" t="s">
        <v>65</v>
      </c>
      <c r="D6187" s="483">
        <v>6.57</v>
      </c>
      <c r="E6187" s="483">
        <v>6.57</v>
      </c>
    </row>
    <row r="6188" spans="1:5">
      <c r="A6188" s="484">
        <v>39621</v>
      </c>
      <c r="B6188" s="485" t="s">
        <v>2424</v>
      </c>
      <c r="C6188" s="484" t="s">
        <v>131</v>
      </c>
      <c r="D6188" s="486">
        <v>1328.04</v>
      </c>
      <c r="E6188" s="486">
        <v>1328.04</v>
      </c>
    </row>
    <row r="6189" spans="1:5">
      <c r="A6189" s="349">
        <v>39624</v>
      </c>
      <c r="B6189" s="348" t="s">
        <v>2425</v>
      </c>
      <c r="C6189" s="349" t="s">
        <v>131</v>
      </c>
      <c r="D6189" s="483">
        <v>1343.9</v>
      </c>
      <c r="E6189" s="483">
        <v>1343.9</v>
      </c>
    </row>
    <row r="6190" spans="1:5">
      <c r="A6190" s="484">
        <v>39615</v>
      </c>
      <c r="B6190" s="485" t="s">
        <v>2426</v>
      </c>
      <c r="C6190" s="484" t="s">
        <v>65</v>
      </c>
      <c r="D6190" s="486">
        <v>463.32</v>
      </c>
      <c r="E6190" s="486">
        <v>463.32</v>
      </c>
    </row>
    <row r="6191" spans="1:5">
      <c r="A6191" s="349">
        <v>39620</v>
      </c>
      <c r="B6191" s="348" t="s">
        <v>2427</v>
      </c>
      <c r="C6191" s="349" t="s">
        <v>65</v>
      </c>
      <c r="D6191" s="483">
        <v>708.29</v>
      </c>
      <c r="E6191" s="483">
        <v>708.29</v>
      </c>
    </row>
    <row r="6192" spans="1:5">
      <c r="A6192" s="484">
        <v>39623</v>
      </c>
      <c r="B6192" s="485" t="s">
        <v>2428</v>
      </c>
      <c r="C6192" s="484" t="s">
        <v>65</v>
      </c>
      <c r="D6192" s="486">
        <v>685.86</v>
      </c>
      <c r="E6192" s="486">
        <v>685.86</v>
      </c>
    </row>
    <row r="6193" spans="1:5">
      <c r="A6193" s="349">
        <v>36214</v>
      </c>
      <c r="B6193" s="348" t="s">
        <v>2432</v>
      </c>
      <c r="C6193" s="349" t="s">
        <v>65</v>
      </c>
      <c r="D6193" s="483">
        <v>174.07</v>
      </c>
      <c r="E6193" s="483">
        <v>174.07</v>
      </c>
    </row>
    <row r="6194" spans="1:5">
      <c r="A6194" s="484">
        <v>36207</v>
      </c>
      <c r="B6194" s="485" t="s">
        <v>2433</v>
      </c>
      <c r="C6194" s="484" t="s">
        <v>65</v>
      </c>
      <c r="D6194" s="486">
        <v>239.28</v>
      </c>
      <c r="E6194" s="486">
        <v>239.28</v>
      </c>
    </row>
    <row r="6195" spans="1:5">
      <c r="A6195" s="349">
        <v>36209</v>
      </c>
      <c r="B6195" s="348" t="s">
        <v>2434</v>
      </c>
      <c r="C6195" s="349" t="s">
        <v>65</v>
      </c>
      <c r="D6195" s="483">
        <v>274.61</v>
      </c>
      <c r="E6195" s="483">
        <v>274.61</v>
      </c>
    </row>
    <row r="6196" spans="1:5" ht="30">
      <c r="A6196" s="484">
        <v>36210</v>
      </c>
      <c r="B6196" s="485" t="s">
        <v>2435</v>
      </c>
      <c r="C6196" s="484" t="s">
        <v>65</v>
      </c>
      <c r="D6196" s="486">
        <v>297.12</v>
      </c>
      <c r="E6196" s="486">
        <v>297.12</v>
      </c>
    </row>
    <row r="6197" spans="1:5">
      <c r="A6197" s="349">
        <v>36212</v>
      </c>
      <c r="B6197" s="348" t="s">
        <v>2436</v>
      </c>
      <c r="C6197" s="349" t="s">
        <v>65</v>
      </c>
      <c r="D6197" s="483">
        <v>292.92</v>
      </c>
      <c r="E6197" s="483">
        <v>292.92</v>
      </c>
    </row>
    <row r="6198" spans="1:5">
      <c r="A6198" s="484">
        <v>36211</v>
      </c>
      <c r="B6198" s="485" t="s">
        <v>11175</v>
      </c>
      <c r="C6198" s="484" t="s">
        <v>65</v>
      </c>
      <c r="D6198" s="486">
        <v>275.51</v>
      </c>
      <c r="E6198" s="486">
        <v>275.51</v>
      </c>
    </row>
    <row r="6199" spans="1:5">
      <c r="A6199" s="349">
        <v>36204</v>
      </c>
      <c r="B6199" s="348" t="s">
        <v>2437</v>
      </c>
      <c r="C6199" s="349" t="s">
        <v>65</v>
      </c>
      <c r="D6199" s="483">
        <v>105.34</v>
      </c>
      <c r="E6199" s="483">
        <v>105.34</v>
      </c>
    </row>
    <row r="6200" spans="1:5">
      <c r="A6200" s="484">
        <v>36205</v>
      </c>
      <c r="B6200" s="485" t="s">
        <v>2438</v>
      </c>
      <c r="C6200" s="484" t="s">
        <v>65</v>
      </c>
      <c r="D6200" s="486">
        <v>117</v>
      </c>
      <c r="E6200" s="486">
        <v>117</v>
      </c>
    </row>
    <row r="6201" spans="1:5">
      <c r="A6201" s="349">
        <v>36081</v>
      </c>
      <c r="B6201" s="348" t="s">
        <v>2439</v>
      </c>
      <c r="C6201" s="349" t="s">
        <v>65</v>
      </c>
      <c r="D6201" s="483">
        <v>124.75</v>
      </c>
      <c r="E6201" s="483">
        <v>124.75</v>
      </c>
    </row>
    <row r="6202" spans="1:5">
      <c r="A6202" s="484">
        <v>36206</v>
      </c>
      <c r="B6202" s="485" t="s">
        <v>2440</v>
      </c>
      <c r="C6202" s="484" t="s">
        <v>65</v>
      </c>
      <c r="D6202" s="486">
        <v>130.69</v>
      </c>
      <c r="E6202" s="486">
        <v>130.69</v>
      </c>
    </row>
    <row r="6203" spans="1:5">
      <c r="A6203" s="349">
        <v>36218</v>
      </c>
      <c r="B6203" s="348" t="s">
        <v>2441</v>
      </c>
      <c r="C6203" s="349" t="s">
        <v>65</v>
      </c>
      <c r="D6203" s="483">
        <v>107.79</v>
      </c>
      <c r="E6203" s="483">
        <v>107.79</v>
      </c>
    </row>
    <row r="6204" spans="1:5">
      <c r="A6204" s="484">
        <v>36220</v>
      </c>
      <c r="B6204" s="485" t="s">
        <v>2442</v>
      </c>
      <c r="C6204" s="484" t="s">
        <v>65</v>
      </c>
      <c r="D6204" s="486">
        <v>123.6</v>
      </c>
      <c r="E6204" s="486">
        <v>123.6</v>
      </c>
    </row>
    <row r="6205" spans="1:5">
      <c r="A6205" s="349">
        <v>36080</v>
      </c>
      <c r="B6205" s="348" t="s">
        <v>2443</v>
      </c>
      <c r="C6205" s="349" t="s">
        <v>65</v>
      </c>
      <c r="D6205" s="483">
        <v>133.69999999999999</v>
      </c>
      <c r="E6205" s="483">
        <v>133.69999999999999</v>
      </c>
    </row>
    <row r="6206" spans="1:5">
      <c r="A6206" s="484">
        <v>36223</v>
      </c>
      <c r="B6206" s="485" t="s">
        <v>2444</v>
      </c>
      <c r="C6206" s="484" t="s">
        <v>65</v>
      </c>
      <c r="D6206" s="486">
        <v>140</v>
      </c>
      <c r="E6206" s="486">
        <v>140</v>
      </c>
    </row>
    <row r="6207" spans="1:5">
      <c r="A6207" s="349">
        <v>546</v>
      </c>
      <c r="B6207" s="348" t="s">
        <v>11176</v>
      </c>
      <c r="C6207" s="349" t="s">
        <v>90</v>
      </c>
      <c r="D6207" s="483">
        <v>4.32</v>
      </c>
      <c r="E6207" s="483">
        <v>4.32</v>
      </c>
    </row>
    <row r="6208" spans="1:5">
      <c r="A6208" s="484">
        <v>557</v>
      </c>
      <c r="B6208" s="485" t="s">
        <v>2445</v>
      </c>
      <c r="C6208" s="484" t="s">
        <v>71</v>
      </c>
      <c r="D6208" s="486">
        <v>16.579999999999998</v>
      </c>
      <c r="E6208" s="486">
        <v>16.579999999999998</v>
      </c>
    </row>
    <row r="6209" spans="1:5">
      <c r="A6209" s="349">
        <v>552</v>
      </c>
      <c r="B6209" s="348" t="s">
        <v>2446</v>
      </c>
      <c r="C6209" s="349" t="s">
        <v>71</v>
      </c>
      <c r="D6209" s="483">
        <v>8.16</v>
      </c>
      <c r="E6209" s="483">
        <v>8.16</v>
      </c>
    </row>
    <row r="6210" spans="1:5">
      <c r="A6210" s="484">
        <v>555</v>
      </c>
      <c r="B6210" s="485" t="s">
        <v>2448</v>
      </c>
      <c r="C6210" s="484" t="s">
        <v>71</v>
      </c>
      <c r="D6210" s="486">
        <v>5</v>
      </c>
      <c r="E6210" s="486">
        <v>5</v>
      </c>
    </row>
    <row r="6211" spans="1:5">
      <c r="A6211" s="349">
        <v>565</v>
      </c>
      <c r="B6211" s="348" t="s">
        <v>2449</v>
      </c>
      <c r="C6211" s="349" t="s">
        <v>71</v>
      </c>
      <c r="D6211" s="483">
        <v>7.64</v>
      </c>
      <c r="E6211" s="483">
        <v>7.64</v>
      </c>
    </row>
    <row r="6212" spans="1:5">
      <c r="A6212" s="484">
        <v>549</v>
      </c>
      <c r="B6212" s="485" t="s">
        <v>2452</v>
      </c>
      <c r="C6212" s="484" t="s">
        <v>71</v>
      </c>
      <c r="D6212" s="486">
        <v>21.85</v>
      </c>
      <c r="E6212" s="486">
        <v>21.85</v>
      </c>
    </row>
    <row r="6213" spans="1:5">
      <c r="A6213" s="349">
        <v>559</v>
      </c>
      <c r="B6213" s="348" t="s">
        <v>2453</v>
      </c>
      <c r="C6213" s="349" t="s">
        <v>71</v>
      </c>
      <c r="D6213" s="483">
        <v>10.92</v>
      </c>
      <c r="E6213" s="483">
        <v>10.92</v>
      </c>
    </row>
    <row r="6214" spans="1:5">
      <c r="A6214" s="484">
        <v>551</v>
      </c>
      <c r="B6214" s="485" t="s">
        <v>2450</v>
      </c>
      <c r="C6214" s="484" t="s">
        <v>71</v>
      </c>
      <c r="D6214" s="486">
        <v>42.7</v>
      </c>
      <c r="E6214" s="486">
        <v>42.7</v>
      </c>
    </row>
    <row r="6215" spans="1:5">
      <c r="A6215" s="349">
        <v>547</v>
      </c>
      <c r="B6215" s="348" t="s">
        <v>2454</v>
      </c>
      <c r="C6215" s="349" t="s">
        <v>71</v>
      </c>
      <c r="D6215" s="483">
        <v>16.37</v>
      </c>
      <c r="E6215" s="483">
        <v>16.37</v>
      </c>
    </row>
    <row r="6216" spans="1:5">
      <c r="A6216" s="484">
        <v>560</v>
      </c>
      <c r="B6216" s="485" t="s">
        <v>2455</v>
      </c>
      <c r="C6216" s="484" t="s">
        <v>71</v>
      </c>
      <c r="D6216" s="486">
        <v>13.83</v>
      </c>
      <c r="E6216" s="486">
        <v>13.83</v>
      </c>
    </row>
    <row r="6217" spans="1:5">
      <c r="A6217" s="349">
        <v>566</v>
      </c>
      <c r="B6217" s="348" t="s">
        <v>2456</v>
      </c>
      <c r="C6217" s="349" t="s">
        <v>71</v>
      </c>
      <c r="D6217" s="483">
        <v>2.2200000000000002</v>
      </c>
      <c r="E6217" s="483">
        <v>2.2200000000000002</v>
      </c>
    </row>
    <row r="6218" spans="1:5">
      <c r="A6218" s="484">
        <v>563</v>
      </c>
      <c r="B6218" s="485" t="s">
        <v>2458</v>
      </c>
      <c r="C6218" s="484" t="s">
        <v>71</v>
      </c>
      <c r="D6218" s="486">
        <v>12.42</v>
      </c>
      <c r="E6218" s="486">
        <v>12.42</v>
      </c>
    </row>
    <row r="6219" spans="1:5">
      <c r="A6219" s="349">
        <v>581</v>
      </c>
      <c r="B6219" s="348" t="s">
        <v>2469</v>
      </c>
      <c r="C6219" s="349" t="s">
        <v>256</v>
      </c>
      <c r="D6219" s="483">
        <v>407.01</v>
      </c>
      <c r="E6219" s="483">
        <v>407.01</v>
      </c>
    </row>
    <row r="6220" spans="1:5">
      <c r="A6220" s="484">
        <v>38127</v>
      </c>
      <c r="B6220" s="485" t="s">
        <v>132</v>
      </c>
      <c r="C6220" s="484" t="s">
        <v>65</v>
      </c>
      <c r="D6220" s="486">
        <v>332.21</v>
      </c>
      <c r="E6220" s="486">
        <v>332.21</v>
      </c>
    </row>
    <row r="6221" spans="1:5">
      <c r="A6221" s="349">
        <v>13374</v>
      </c>
      <c r="B6221" s="348" t="s">
        <v>2481</v>
      </c>
      <c r="C6221" s="349" t="s">
        <v>65</v>
      </c>
      <c r="D6221" s="483">
        <v>62.9</v>
      </c>
      <c r="E6221" s="483">
        <v>62.9</v>
      </c>
    </row>
    <row r="6222" spans="1:5">
      <c r="A6222" s="484">
        <v>38060</v>
      </c>
      <c r="B6222" s="485" t="s">
        <v>2483</v>
      </c>
      <c r="C6222" s="484" t="s">
        <v>65</v>
      </c>
      <c r="D6222" s="486">
        <v>54.4</v>
      </c>
      <c r="E6222" s="486">
        <v>54.4</v>
      </c>
    </row>
    <row r="6223" spans="1:5">
      <c r="A6223" s="349">
        <v>10956</v>
      </c>
      <c r="B6223" s="348" t="s">
        <v>2484</v>
      </c>
      <c r="C6223" s="349" t="s">
        <v>65</v>
      </c>
      <c r="D6223" s="483">
        <v>56.51</v>
      </c>
      <c r="E6223" s="483">
        <v>56.51</v>
      </c>
    </row>
    <row r="6224" spans="1:5">
      <c r="A6224" s="484">
        <v>39380</v>
      </c>
      <c r="B6224" s="485" t="s">
        <v>19465</v>
      </c>
      <c r="C6224" s="484" t="s">
        <v>65</v>
      </c>
      <c r="D6224" s="486">
        <v>7.84</v>
      </c>
      <c r="E6224" s="486">
        <v>7.84</v>
      </c>
    </row>
    <row r="6225" spans="1:5">
      <c r="A6225" s="349">
        <v>37597</v>
      </c>
      <c r="B6225" s="348" t="s">
        <v>2495</v>
      </c>
      <c r="C6225" s="349" t="s">
        <v>65</v>
      </c>
      <c r="D6225" s="483">
        <v>294531.25</v>
      </c>
      <c r="E6225" s="483">
        <v>294531.25</v>
      </c>
    </row>
    <row r="6226" spans="1:5" ht="45">
      <c r="A6226" s="484">
        <v>183</v>
      </c>
      <c r="B6226" s="485" t="s">
        <v>11178</v>
      </c>
      <c r="C6226" s="484" t="s">
        <v>133</v>
      </c>
      <c r="D6226" s="486">
        <v>98.88</v>
      </c>
      <c r="E6226" s="486">
        <v>98.88</v>
      </c>
    </row>
    <row r="6227" spans="1:5" ht="30">
      <c r="A6227" s="349">
        <v>184</v>
      </c>
      <c r="B6227" s="348" t="s">
        <v>11179</v>
      </c>
      <c r="C6227" s="349" t="s">
        <v>133</v>
      </c>
      <c r="D6227" s="483">
        <v>65.349999999999994</v>
      </c>
      <c r="E6227" s="483">
        <v>65.349999999999994</v>
      </c>
    </row>
    <row r="6228" spans="1:5" ht="45">
      <c r="A6228" s="484">
        <v>195</v>
      </c>
      <c r="B6228" s="485" t="s">
        <v>11180</v>
      </c>
      <c r="C6228" s="484" t="s">
        <v>133</v>
      </c>
      <c r="D6228" s="486">
        <v>80.319999999999993</v>
      </c>
      <c r="E6228" s="486">
        <v>80.319999999999993</v>
      </c>
    </row>
    <row r="6229" spans="1:5" ht="30">
      <c r="A6229" s="349">
        <v>194</v>
      </c>
      <c r="B6229" s="348" t="s">
        <v>11181</v>
      </c>
      <c r="C6229" s="349" t="s">
        <v>133</v>
      </c>
      <c r="D6229" s="483">
        <v>43.66</v>
      </c>
      <c r="E6229" s="483">
        <v>43.66</v>
      </c>
    </row>
    <row r="6230" spans="1:5" ht="30">
      <c r="A6230" s="484">
        <v>20001</v>
      </c>
      <c r="B6230" s="485" t="s">
        <v>2498</v>
      </c>
      <c r="C6230" s="484" t="s">
        <v>133</v>
      </c>
      <c r="D6230" s="486">
        <v>80.040000000000006</v>
      </c>
      <c r="E6230" s="486">
        <v>80.040000000000006</v>
      </c>
    </row>
    <row r="6231" spans="1:5" ht="45">
      <c r="A6231" s="349">
        <v>181</v>
      </c>
      <c r="B6231" s="348" t="s">
        <v>11182</v>
      </c>
      <c r="C6231" s="349" t="s">
        <v>133</v>
      </c>
      <c r="D6231" s="483">
        <v>108.29</v>
      </c>
      <c r="E6231" s="483">
        <v>108.29</v>
      </c>
    </row>
    <row r="6232" spans="1:5" ht="30">
      <c r="A6232" s="484">
        <v>39837</v>
      </c>
      <c r="B6232" s="485" t="s">
        <v>19466</v>
      </c>
      <c r="C6232" s="484" t="s">
        <v>133</v>
      </c>
      <c r="D6232" s="486">
        <v>136.66999999999999</v>
      </c>
      <c r="E6232" s="486">
        <v>136.66999999999999</v>
      </c>
    </row>
    <row r="6233" spans="1:5" ht="30">
      <c r="A6233" s="349">
        <v>10535</v>
      </c>
      <c r="B6233" s="348" t="s">
        <v>2500</v>
      </c>
      <c r="C6233" s="349" t="s">
        <v>65</v>
      </c>
      <c r="D6233" s="483">
        <v>3121.69</v>
      </c>
      <c r="E6233" s="483">
        <v>3121.69</v>
      </c>
    </row>
    <row r="6234" spans="1:5" ht="30">
      <c r="A6234" s="484">
        <v>10537</v>
      </c>
      <c r="B6234" s="485" t="s">
        <v>2501</v>
      </c>
      <c r="C6234" s="484" t="s">
        <v>65</v>
      </c>
      <c r="D6234" s="486">
        <v>4257.13</v>
      </c>
      <c r="E6234" s="486">
        <v>4257.13</v>
      </c>
    </row>
    <row r="6235" spans="1:5" ht="30">
      <c r="A6235" s="349">
        <v>13891</v>
      </c>
      <c r="B6235" s="348" t="s">
        <v>2508</v>
      </c>
      <c r="C6235" s="349" t="s">
        <v>65</v>
      </c>
      <c r="D6235" s="483">
        <v>3904.75</v>
      </c>
      <c r="E6235" s="483">
        <v>3904.75</v>
      </c>
    </row>
    <row r="6236" spans="1:5" ht="30">
      <c r="A6236" s="484">
        <v>25975</v>
      </c>
      <c r="B6236" s="485" t="s">
        <v>2515</v>
      </c>
      <c r="C6236" s="484" t="s">
        <v>65</v>
      </c>
      <c r="D6236" s="486">
        <v>16984.099999999999</v>
      </c>
      <c r="E6236" s="486">
        <v>16984.099999999999</v>
      </c>
    </row>
    <row r="6237" spans="1:5" ht="30">
      <c r="A6237" s="349">
        <v>36396</v>
      </c>
      <c r="B6237" s="348" t="s">
        <v>2534</v>
      </c>
      <c r="C6237" s="349" t="s">
        <v>65</v>
      </c>
      <c r="D6237" s="483">
        <v>3571.42</v>
      </c>
      <c r="E6237" s="483">
        <v>3571.42</v>
      </c>
    </row>
    <row r="6238" spans="1:5" ht="30">
      <c r="A6238" s="484">
        <v>36397</v>
      </c>
      <c r="B6238" s="485" t="s">
        <v>2535</v>
      </c>
      <c r="C6238" s="484" t="s">
        <v>65</v>
      </c>
      <c r="D6238" s="486">
        <v>12698.39</v>
      </c>
      <c r="E6238" s="486">
        <v>12698.39</v>
      </c>
    </row>
    <row r="6239" spans="1:5" ht="30">
      <c r="A6239" s="349">
        <v>36398</v>
      </c>
      <c r="B6239" s="348" t="s">
        <v>2536</v>
      </c>
      <c r="C6239" s="349" t="s">
        <v>65</v>
      </c>
      <c r="D6239" s="483">
        <v>15433.84</v>
      </c>
      <c r="E6239" s="483">
        <v>15433.84</v>
      </c>
    </row>
    <row r="6240" spans="1:5">
      <c r="A6240" s="484">
        <v>647</v>
      </c>
      <c r="B6240" s="485" t="s">
        <v>134</v>
      </c>
      <c r="C6240" s="484" t="s">
        <v>57</v>
      </c>
      <c r="D6240" s="486">
        <v>16.73</v>
      </c>
      <c r="E6240" s="486">
        <v>16.73</v>
      </c>
    </row>
    <row r="6241" spans="1:5">
      <c r="A6241" s="349">
        <v>40920</v>
      </c>
      <c r="B6241" s="348" t="s">
        <v>2537</v>
      </c>
      <c r="C6241" s="349" t="s">
        <v>1643</v>
      </c>
      <c r="D6241" s="483">
        <v>2947.86</v>
      </c>
      <c r="E6241" s="483">
        <v>2947.86</v>
      </c>
    </row>
    <row r="6242" spans="1:5">
      <c r="A6242" s="484">
        <v>7266</v>
      </c>
      <c r="B6242" s="485" t="s">
        <v>2542</v>
      </c>
      <c r="C6242" s="484" t="s">
        <v>135</v>
      </c>
      <c r="D6242" s="486">
        <v>444.58</v>
      </c>
      <c r="E6242" s="486">
        <v>444.58</v>
      </c>
    </row>
    <row r="6243" spans="1:5">
      <c r="A6243" s="349">
        <v>7270</v>
      </c>
      <c r="B6243" s="348" t="s">
        <v>2538</v>
      </c>
      <c r="C6243" s="349" t="s">
        <v>65</v>
      </c>
      <c r="D6243" s="483">
        <v>0.42</v>
      </c>
      <c r="E6243" s="483">
        <v>0.42</v>
      </c>
    </row>
    <row r="6244" spans="1:5">
      <c r="A6244" s="484">
        <v>7269</v>
      </c>
      <c r="B6244" s="485" t="s">
        <v>2539</v>
      </c>
      <c r="C6244" s="484" t="s">
        <v>65</v>
      </c>
      <c r="D6244" s="486">
        <v>0.3</v>
      </c>
      <c r="E6244" s="486">
        <v>0.3</v>
      </c>
    </row>
    <row r="6245" spans="1:5">
      <c r="A6245" s="349">
        <v>7271</v>
      </c>
      <c r="B6245" s="348" t="s">
        <v>2540</v>
      </c>
      <c r="C6245" s="349" t="s">
        <v>65</v>
      </c>
      <c r="D6245" s="483">
        <v>0.44</v>
      </c>
      <c r="E6245" s="483">
        <v>0.44</v>
      </c>
    </row>
    <row r="6246" spans="1:5">
      <c r="A6246" s="484">
        <v>7268</v>
      </c>
      <c r="B6246" s="485" t="s">
        <v>2541</v>
      </c>
      <c r="C6246" s="484" t="s">
        <v>65</v>
      </c>
      <c r="D6246" s="486">
        <v>0.63</v>
      </c>
      <c r="E6246" s="486">
        <v>0.63</v>
      </c>
    </row>
    <row r="6247" spans="1:5">
      <c r="A6247" s="349">
        <v>7267</v>
      </c>
      <c r="B6247" s="348" t="s">
        <v>2543</v>
      </c>
      <c r="C6247" s="349" t="s">
        <v>65</v>
      </c>
      <c r="D6247" s="483">
        <v>0.3</v>
      </c>
      <c r="E6247" s="483">
        <v>0.3</v>
      </c>
    </row>
    <row r="6248" spans="1:5" ht="30">
      <c r="A6248" s="484">
        <v>38783</v>
      </c>
      <c r="B6248" s="485" t="s">
        <v>2544</v>
      </c>
      <c r="C6248" s="484" t="s">
        <v>65</v>
      </c>
      <c r="D6248" s="486">
        <v>0.55000000000000004</v>
      </c>
      <c r="E6248" s="486">
        <v>0.55000000000000004</v>
      </c>
    </row>
    <row r="6249" spans="1:5" ht="30">
      <c r="A6249" s="349">
        <v>37593</v>
      </c>
      <c r="B6249" s="348" t="s">
        <v>2545</v>
      </c>
      <c r="C6249" s="349" t="s">
        <v>65</v>
      </c>
      <c r="D6249" s="483">
        <v>1.45</v>
      </c>
      <c r="E6249" s="483">
        <v>1.45</v>
      </c>
    </row>
    <row r="6250" spans="1:5" ht="30">
      <c r="A6250" s="484">
        <v>37594</v>
      </c>
      <c r="B6250" s="485" t="s">
        <v>11183</v>
      </c>
      <c r="C6250" s="484" t="s">
        <v>65</v>
      </c>
      <c r="D6250" s="486">
        <v>1.77</v>
      </c>
      <c r="E6250" s="486">
        <v>1.77</v>
      </c>
    </row>
    <row r="6251" spans="1:5">
      <c r="A6251" s="349">
        <v>37592</v>
      </c>
      <c r="B6251" s="348" t="s">
        <v>2546</v>
      </c>
      <c r="C6251" s="349" t="s">
        <v>65</v>
      </c>
      <c r="D6251" s="483">
        <v>1.08</v>
      </c>
      <c r="E6251" s="483">
        <v>1.08</v>
      </c>
    </row>
    <row r="6252" spans="1:5">
      <c r="A6252" s="484">
        <v>34556</v>
      </c>
      <c r="B6252" s="485" t="s">
        <v>2547</v>
      </c>
      <c r="C6252" s="484" t="s">
        <v>65</v>
      </c>
      <c r="D6252" s="486">
        <v>2.69</v>
      </c>
      <c r="E6252" s="486">
        <v>2.69</v>
      </c>
    </row>
    <row r="6253" spans="1:5">
      <c r="A6253" s="349">
        <v>37873</v>
      </c>
      <c r="B6253" s="348" t="s">
        <v>2548</v>
      </c>
      <c r="C6253" s="349" t="s">
        <v>65</v>
      </c>
      <c r="D6253" s="483">
        <v>2.93</v>
      </c>
      <c r="E6253" s="483">
        <v>2.93</v>
      </c>
    </row>
    <row r="6254" spans="1:5">
      <c r="A6254" s="484">
        <v>34564</v>
      </c>
      <c r="B6254" s="485" t="s">
        <v>2549</v>
      </c>
      <c r="C6254" s="484" t="s">
        <v>65</v>
      </c>
      <c r="D6254" s="486">
        <v>3.35</v>
      </c>
      <c r="E6254" s="486">
        <v>3.35</v>
      </c>
    </row>
    <row r="6255" spans="1:5">
      <c r="A6255" s="349">
        <v>34565</v>
      </c>
      <c r="B6255" s="348" t="s">
        <v>2550</v>
      </c>
      <c r="C6255" s="349" t="s">
        <v>65</v>
      </c>
      <c r="D6255" s="483">
        <v>3.87</v>
      </c>
      <c r="E6255" s="483">
        <v>3.87</v>
      </c>
    </row>
    <row r="6256" spans="1:5">
      <c r="A6256" s="484">
        <v>38590</v>
      </c>
      <c r="B6256" s="485" t="s">
        <v>2551</v>
      </c>
      <c r="C6256" s="484" t="s">
        <v>65</v>
      </c>
      <c r="D6256" s="486">
        <v>2.25</v>
      </c>
      <c r="E6256" s="486">
        <v>2.25</v>
      </c>
    </row>
    <row r="6257" spans="1:5">
      <c r="A6257" s="349">
        <v>34566</v>
      </c>
      <c r="B6257" s="348" t="s">
        <v>2552</v>
      </c>
      <c r="C6257" s="349" t="s">
        <v>65</v>
      </c>
      <c r="D6257" s="483">
        <v>2.1</v>
      </c>
      <c r="E6257" s="483">
        <v>2.1</v>
      </c>
    </row>
    <row r="6258" spans="1:5">
      <c r="A6258" s="484">
        <v>34567</v>
      </c>
      <c r="B6258" s="485" t="s">
        <v>2553</v>
      </c>
      <c r="C6258" s="484" t="s">
        <v>65</v>
      </c>
      <c r="D6258" s="486">
        <v>2.36</v>
      </c>
      <c r="E6258" s="486">
        <v>2.36</v>
      </c>
    </row>
    <row r="6259" spans="1:5">
      <c r="A6259" s="349">
        <v>38591</v>
      </c>
      <c r="B6259" s="348" t="s">
        <v>2554</v>
      </c>
      <c r="C6259" s="349" t="s">
        <v>65</v>
      </c>
      <c r="D6259" s="483">
        <v>2.5499999999999998</v>
      </c>
      <c r="E6259" s="483">
        <v>2.5499999999999998</v>
      </c>
    </row>
    <row r="6260" spans="1:5">
      <c r="A6260" s="484">
        <v>34568</v>
      </c>
      <c r="B6260" s="485" t="s">
        <v>2555</v>
      </c>
      <c r="C6260" s="484" t="s">
        <v>65</v>
      </c>
      <c r="D6260" s="486">
        <v>3.08</v>
      </c>
      <c r="E6260" s="486">
        <v>3.08</v>
      </c>
    </row>
    <row r="6261" spans="1:5" ht="43.5" customHeight="1">
      <c r="A6261" s="349">
        <v>34569</v>
      </c>
      <c r="B6261" s="348" t="s">
        <v>2556</v>
      </c>
      <c r="C6261" s="349" t="s">
        <v>65</v>
      </c>
      <c r="D6261" s="483">
        <v>3.15</v>
      </c>
      <c r="E6261" s="483">
        <v>3.15</v>
      </c>
    </row>
    <row r="6262" spans="1:5">
      <c r="A6262" s="484">
        <v>34570</v>
      </c>
      <c r="B6262" s="485" t="s">
        <v>2557</v>
      </c>
      <c r="C6262" s="484" t="s">
        <v>65</v>
      </c>
      <c r="D6262" s="486">
        <v>3.37</v>
      </c>
      <c r="E6262" s="486">
        <v>3.37</v>
      </c>
    </row>
    <row r="6263" spans="1:5">
      <c r="A6263" s="349">
        <v>25070</v>
      </c>
      <c r="B6263" s="348" t="s">
        <v>2558</v>
      </c>
      <c r="C6263" s="349" t="s">
        <v>65</v>
      </c>
      <c r="D6263" s="483">
        <v>2.58</v>
      </c>
      <c r="E6263" s="483">
        <v>2.58</v>
      </c>
    </row>
    <row r="6264" spans="1:5">
      <c r="A6264" s="484">
        <v>34571</v>
      </c>
      <c r="B6264" s="485" t="s">
        <v>2559</v>
      </c>
      <c r="C6264" s="484" t="s">
        <v>65</v>
      </c>
      <c r="D6264" s="486">
        <v>2.62</v>
      </c>
      <c r="E6264" s="486">
        <v>2.62</v>
      </c>
    </row>
    <row r="6265" spans="1:5">
      <c r="A6265" s="349">
        <v>34573</v>
      </c>
      <c r="B6265" s="348" t="s">
        <v>2560</v>
      </c>
      <c r="C6265" s="349" t="s">
        <v>65</v>
      </c>
      <c r="D6265" s="483">
        <v>2.77</v>
      </c>
      <c r="E6265" s="483">
        <v>2.77</v>
      </c>
    </row>
    <row r="6266" spans="1:5">
      <c r="A6266" s="484">
        <v>37107</v>
      </c>
      <c r="B6266" s="485" t="s">
        <v>2561</v>
      </c>
      <c r="C6266" s="484" t="s">
        <v>65</v>
      </c>
      <c r="D6266" s="486">
        <v>4.09</v>
      </c>
      <c r="E6266" s="486">
        <v>4.09</v>
      </c>
    </row>
    <row r="6267" spans="1:5">
      <c r="A6267" s="349">
        <v>34576</v>
      </c>
      <c r="B6267" s="348" t="s">
        <v>2562</v>
      </c>
      <c r="C6267" s="349" t="s">
        <v>65</v>
      </c>
      <c r="D6267" s="483">
        <v>3.83</v>
      </c>
      <c r="E6267" s="483">
        <v>3.83</v>
      </c>
    </row>
    <row r="6268" spans="1:5">
      <c r="A6268" s="484">
        <v>34577</v>
      </c>
      <c r="B6268" s="485" t="s">
        <v>2563</v>
      </c>
      <c r="C6268" s="484" t="s">
        <v>65</v>
      </c>
      <c r="D6268" s="486">
        <v>4.09</v>
      </c>
      <c r="E6268" s="486">
        <v>4.09</v>
      </c>
    </row>
    <row r="6269" spans="1:5">
      <c r="A6269" s="349">
        <v>34578</v>
      </c>
      <c r="B6269" s="348" t="s">
        <v>2564</v>
      </c>
      <c r="C6269" s="349" t="s">
        <v>65</v>
      </c>
      <c r="D6269" s="483">
        <v>4.54</v>
      </c>
      <c r="E6269" s="483">
        <v>4.54</v>
      </c>
    </row>
    <row r="6270" spans="1:5">
      <c r="A6270" s="484">
        <v>34579</v>
      </c>
      <c r="B6270" s="485" t="s">
        <v>2565</v>
      </c>
      <c r="C6270" s="484" t="s">
        <v>65</v>
      </c>
      <c r="D6270" s="486">
        <v>5.81</v>
      </c>
      <c r="E6270" s="486">
        <v>5.81</v>
      </c>
    </row>
    <row r="6271" spans="1:5">
      <c r="A6271" s="349">
        <v>25067</v>
      </c>
      <c r="B6271" s="348" t="s">
        <v>2566</v>
      </c>
      <c r="C6271" s="349" t="s">
        <v>65</v>
      </c>
      <c r="D6271" s="483">
        <v>3.35</v>
      </c>
      <c r="E6271" s="483">
        <v>3.35</v>
      </c>
    </row>
    <row r="6272" spans="1:5">
      <c r="A6272" s="484">
        <v>34580</v>
      </c>
      <c r="B6272" s="485" t="s">
        <v>2567</v>
      </c>
      <c r="C6272" s="484" t="s">
        <v>65</v>
      </c>
      <c r="D6272" s="486">
        <v>3.65</v>
      </c>
      <c r="E6272" s="486">
        <v>3.65</v>
      </c>
    </row>
    <row r="6273" spans="1:5">
      <c r="A6273" s="349">
        <v>25071</v>
      </c>
      <c r="B6273" s="348" t="s">
        <v>2568</v>
      </c>
      <c r="C6273" s="349" t="s">
        <v>65</v>
      </c>
      <c r="D6273" s="483">
        <v>1.76</v>
      </c>
      <c r="E6273" s="483">
        <v>1.76</v>
      </c>
    </row>
    <row r="6274" spans="1:5">
      <c r="A6274" s="484">
        <v>38395</v>
      </c>
      <c r="B6274" s="485" t="s">
        <v>2569</v>
      </c>
      <c r="C6274" s="484" t="s">
        <v>65</v>
      </c>
      <c r="D6274" s="486">
        <v>5.49</v>
      </c>
      <c r="E6274" s="486">
        <v>5.49</v>
      </c>
    </row>
    <row r="6275" spans="1:5">
      <c r="A6275" s="349">
        <v>34583</v>
      </c>
      <c r="B6275" s="348" t="s">
        <v>2570</v>
      </c>
      <c r="C6275" s="349" t="s">
        <v>256</v>
      </c>
      <c r="D6275" s="483">
        <v>47.98</v>
      </c>
      <c r="E6275" s="483">
        <v>47.98</v>
      </c>
    </row>
    <row r="6276" spans="1:5">
      <c r="A6276" s="484">
        <v>34584</v>
      </c>
      <c r="B6276" s="485" t="s">
        <v>2571</v>
      </c>
      <c r="C6276" s="484" t="s">
        <v>256</v>
      </c>
      <c r="D6276" s="486">
        <v>26.86</v>
      </c>
      <c r="E6276" s="486">
        <v>26.86</v>
      </c>
    </row>
    <row r="6277" spans="1:5" ht="30">
      <c r="A6277" s="349">
        <v>709</v>
      </c>
      <c r="B6277" s="348" t="s">
        <v>19467</v>
      </c>
      <c r="C6277" s="349" t="s">
        <v>256</v>
      </c>
      <c r="D6277" s="483">
        <v>430.2</v>
      </c>
      <c r="E6277" s="483">
        <v>430.2</v>
      </c>
    </row>
    <row r="6278" spans="1:5">
      <c r="A6278" s="484">
        <v>715</v>
      </c>
      <c r="B6278" s="485" t="s">
        <v>2573</v>
      </c>
      <c r="C6278" s="484" t="s">
        <v>65</v>
      </c>
      <c r="D6278" s="486">
        <v>13.5</v>
      </c>
      <c r="E6278" s="486">
        <v>13.5</v>
      </c>
    </row>
    <row r="6279" spans="1:5">
      <c r="A6279" s="349">
        <v>718</v>
      </c>
      <c r="B6279" s="348" t="s">
        <v>2574</v>
      </c>
      <c r="C6279" s="349" t="s">
        <v>65</v>
      </c>
      <c r="D6279" s="483">
        <v>20.11</v>
      </c>
      <c r="E6279" s="483">
        <v>20.11</v>
      </c>
    </row>
    <row r="6280" spans="1:5">
      <c r="A6280" s="484">
        <v>10610</v>
      </c>
      <c r="B6280" s="485" t="s">
        <v>2575</v>
      </c>
      <c r="C6280" s="484" t="s">
        <v>65</v>
      </c>
      <c r="D6280" s="486">
        <v>1.2</v>
      </c>
      <c r="E6280" s="486">
        <v>1.2</v>
      </c>
    </row>
    <row r="6281" spans="1:5">
      <c r="A6281" s="349">
        <v>34585</v>
      </c>
      <c r="B6281" s="348" t="s">
        <v>2576</v>
      </c>
      <c r="C6281" s="349" t="s">
        <v>65</v>
      </c>
      <c r="D6281" s="483">
        <v>1.22</v>
      </c>
      <c r="E6281" s="483">
        <v>1.22</v>
      </c>
    </row>
    <row r="6282" spans="1:5">
      <c r="A6282" s="484">
        <v>34586</v>
      </c>
      <c r="B6282" s="485" t="s">
        <v>2577</v>
      </c>
      <c r="C6282" s="484" t="s">
        <v>65</v>
      </c>
      <c r="D6282" s="486">
        <v>1.23</v>
      </c>
      <c r="E6282" s="486">
        <v>1.23</v>
      </c>
    </row>
    <row r="6283" spans="1:5">
      <c r="A6283" s="349">
        <v>38603</v>
      </c>
      <c r="B6283" s="348" t="s">
        <v>2578</v>
      </c>
      <c r="C6283" s="349" t="s">
        <v>65</v>
      </c>
      <c r="D6283" s="483">
        <v>1.43</v>
      </c>
      <c r="E6283" s="483">
        <v>1.43</v>
      </c>
    </row>
    <row r="6284" spans="1:5">
      <c r="A6284" s="484">
        <v>34588</v>
      </c>
      <c r="B6284" s="485" t="s">
        <v>2580</v>
      </c>
      <c r="C6284" s="484" t="s">
        <v>65</v>
      </c>
      <c r="D6284" s="486">
        <v>1.59</v>
      </c>
      <c r="E6284" s="486">
        <v>1.59</v>
      </c>
    </row>
    <row r="6285" spans="1:5">
      <c r="A6285" s="349">
        <v>34590</v>
      </c>
      <c r="B6285" s="348" t="s">
        <v>2581</v>
      </c>
      <c r="C6285" s="349" t="s">
        <v>65</v>
      </c>
      <c r="D6285" s="483">
        <v>1.71</v>
      </c>
      <c r="E6285" s="483">
        <v>1.71</v>
      </c>
    </row>
    <row r="6286" spans="1:5">
      <c r="A6286" s="484">
        <v>34591</v>
      </c>
      <c r="B6286" s="485" t="s">
        <v>2582</v>
      </c>
      <c r="C6286" s="484" t="s">
        <v>65</v>
      </c>
      <c r="D6286" s="486">
        <v>2.14</v>
      </c>
      <c r="E6286" s="486">
        <v>2.14</v>
      </c>
    </row>
    <row r="6287" spans="1:5">
      <c r="A6287" s="349">
        <v>37103</v>
      </c>
      <c r="B6287" s="348" t="s">
        <v>11184</v>
      </c>
      <c r="C6287" s="349" t="s">
        <v>65</v>
      </c>
      <c r="D6287" s="483">
        <v>2.19</v>
      </c>
      <c r="E6287" s="483">
        <v>2.19</v>
      </c>
    </row>
    <row r="6288" spans="1:5" ht="43.5" customHeight="1">
      <c r="A6288" s="484">
        <v>34555</v>
      </c>
      <c r="B6288" s="485" t="s">
        <v>11185</v>
      </c>
      <c r="C6288" s="484" t="s">
        <v>65</v>
      </c>
      <c r="D6288" s="486">
        <v>2.75</v>
      </c>
      <c r="E6288" s="486">
        <v>2.75</v>
      </c>
    </row>
    <row r="6289" spans="1:5">
      <c r="A6289" s="349">
        <v>34599</v>
      </c>
      <c r="B6289" s="348" t="s">
        <v>11186</v>
      </c>
      <c r="C6289" s="349" t="s">
        <v>65</v>
      </c>
      <c r="D6289" s="483">
        <v>1.97</v>
      </c>
      <c r="E6289" s="483">
        <v>1.97</v>
      </c>
    </row>
    <row r="6290" spans="1:5" ht="43.5" customHeight="1">
      <c r="A6290" s="484">
        <v>674</v>
      </c>
      <c r="B6290" s="485" t="s">
        <v>2587</v>
      </c>
      <c r="C6290" s="484" t="s">
        <v>256</v>
      </c>
      <c r="D6290" s="486">
        <v>52.26</v>
      </c>
      <c r="E6290" s="486">
        <v>52.26</v>
      </c>
    </row>
    <row r="6291" spans="1:5">
      <c r="A6291" s="349">
        <v>34600</v>
      </c>
      <c r="B6291" s="348" t="s">
        <v>2588</v>
      </c>
      <c r="C6291" s="349" t="s">
        <v>256</v>
      </c>
      <c r="D6291" s="483">
        <v>84.92</v>
      </c>
      <c r="E6291" s="483">
        <v>84.92</v>
      </c>
    </row>
    <row r="6292" spans="1:5">
      <c r="A6292" s="484">
        <v>652</v>
      </c>
      <c r="B6292" s="485" t="s">
        <v>2589</v>
      </c>
      <c r="C6292" s="484" t="s">
        <v>256</v>
      </c>
      <c r="D6292" s="486">
        <v>108.15</v>
      </c>
      <c r="E6292" s="486">
        <v>108.15</v>
      </c>
    </row>
    <row r="6293" spans="1:5">
      <c r="A6293" s="349">
        <v>34592</v>
      </c>
      <c r="B6293" s="348" t="s">
        <v>2583</v>
      </c>
      <c r="C6293" s="349" t="s">
        <v>65</v>
      </c>
      <c r="D6293" s="483">
        <v>1.87</v>
      </c>
      <c r="E6293" s="483">
        <v>1.87</v>
      </c>
    </row>
    <row r="6294" spans="1:5">
      <c r="A6294" s="484">
        <v>651</v>
      </c>
      <c r="B6294" s="485" t="s">
        <v>2584</v>
      </c>
      <c r="C6294" s="484" t="s">
        <v>65</v>
      </c>
      <c r="D6294" s="486">
        <v>2.14</v>
      </c>
      <c r="E6294" s="486">
        <v>2.14</v>
      </c>
    </row>
    <row r="6295" spans="1:5">
      <c r="A6295" s="349">
        <v>654</v>
      </c>
      <c r="B6295" s="348" t="s">
        <v>2585</v>
      </c>
      <c r="C6295" s="349" t="s">
        <v>65</v>
      </c>
      <c r="D6295" s="483">
        <v>2.76</v>
      </c>
      <c r="E6295" s="483">
        <v>2.76</v>
      </c>
    </row>
    <row r="6296" spans="1:5">
      <c r="A6296" s="484">
        <v>650</v>
      </c>
      <c r="B6296" s="485" t="s">
        <v>2586</v>
      </c>
      <c r="C6296" s="484" t="s">
        <v>65</v>
      </c>
      <c r="D6296" s="486">
        <v>1.82</v>
      </c>
      <c r="E6296" s="486">
        <v>1.82</v>
      </c>
    </row>
    <row r="6297" spans="1:5">
      <c r="A6297" s="349">
        <v>716</v>
      </c>
      <c r="B6297" s="348" t="s">
        <v>2590</v>
      </c>
      <c r="C6297" s="349" t="s">
        <v>65</v>
      </c>
      <c r="D6297" s="483">
        <v>13.65</v>
      </c>
      <c r="E6297" s="483">
        <v>13.65</v>
      </c>
    </row>
    <row r="6298" spans="1:5">
      <c r="A6298" s="484">
        <v>11981</v>
      </c>
      <c r="B6298" s="485" t="s">
        <v>2591</v>
      </c>
      <c r="C6298" s="484" t="s">
        <v>65</v>
      </c>
      <c r="D6298" s="486">
        <v>13.79</v>
      </c>
      <c r="E6298" s="486">
        <v>13.79</v>
      </c>
    </row>
    <row r="6299" spans="1:5" ht="30">
      <c r="A6299" s="349">
        <v>40517</v>
      </c>
      <c r="B6299" s="348" t="s">
        <v>19468</v>
      </c>
      <c r="C6299" s="349" t="s">
        <v>256</v>
      </c>
      <c r="D6299" s="483">
        <v>45.4</v>
      </c>
      <c r="E6299" s="483">
        <v>45.4</v>
      </c>
    </row>
    <row r="6300" spans="1:5" ht="30">
      <c r="A6300" s="484">
        <v>40520</v>
      </c>
      <c r="B6300" s="485" t="s">
        <v>19469</v>
      </c>
      <c r="C6300" s="484" t="s">
        <v>256</v>
      </c>
      <c r="D6300" s="486">
        <v>47.56</v>
      </c>
      <c r="E6300" s="486">
        <v>47.56</v>
      </c>
    </row>
    <row r="6301" spans="1:5" ht="30">
      <c r="A6301" s="349">
        <v>40515</v>
      </c>
      <c r="B6301" s="348" t="s">
        <v>19470</v>
      </c>
      <c r="C6301" s="349" t="s">
        <v>256</v>
      </c>
      <c r="D6301" s="483">
        <v>57.42</v>
      </c>
      <c r="E6301" s="483">
        <v>57.42</v>
      </c>
    </row>
    <row r="6302" spans="1:5" ht="30">
      <c r="A6302" s="484">
        <v>40516</v>
      </c>
      <c r="B6302" s="485" t="s">
        <v>19471</v>
      </c>
      <c r="C6302" s="484" t="s">
        <v>256</v>
      </c>
      <c r="D6302" s="486">
        <v>68.38</v>
      </c>
      <c r="E6302" s="486">
        <v>68.38</v>
      </c>
    </row>
    <row r="6303" spans="1:5" ht="30">
      <c r="A6303" s="349">
        <v>40525</v>
      </c>
      <c r="B6303" s="348" t="s">
        <v>19472</v>
      </c>
      <c r="C6303" s="349" t="s">
        <v>256</v>
      </c>
      <c r="D6303" s="483">
        <v>48.64</v>
      </c>
      <c r="E6303" s="483">
        <v>48.64</v>
      </c>
    </row>
    <row r="6304" spans="1:5" ht="30">
      <c r="A6304" s="484">
        <v>40529</v>
      </c>
      <c r="B6304" s="485" t="s">
        <v>19473</v>
      </c>
      <c r="C6304" s="484" t="s">
        <v>256</v>
      </c>
      <c r="D6304" s="486">
        <v>53.4</v>
      </c>
      <c r="E6304" s="486">
        <v>53.4</v>
      </c>
    </row>
    <row r="6305" spans="1:5" ht="30">
      <c r="A6305" s="349">
        <v>695</v>
      </c>
      <c r="B6305" s="348" t="s">
        <v>2595</v>
      </c>
      <c r="C6305" s="349" t="s">
        <v>256</v>
      </c>
      <c r="D6305" s="483">
        <v>36.68</v>
      </c>
      <c r="E6305" s="483">
        <v>36.68</v>
      </c>
    </row>
    <row r="6306" spans="1:5" ht="45">
      <c r="A6306" s="484">
        <v>40524</v>
      </c>
      <c r="B6306" s="485" t="s">
        <v>19474</v>
      </c>
      <c r="C6306" s="484" t="s">
        <v>256</v>
      </c>
      <c r="D6306" s="486">
        <v>48.64</v>
      </c>
      <c r="E6306" s="486">
        <v>48.64</v>
      </c>
    </row>
    <row r="6307" spans="1:5" ht="45">
      <c r="A6307" s="349">
        <v>36156</v>
      </c>
      <c r="B6307" s="348" t="s">
        <v>2596</v>
      </c>
      <c r="C6307" s="349" t="s">
        <v>256</v>
      </c>
      <c r="D6307" s="483">
        <v>42.16</v>
      </c>
      <c r="E6307" s="483">
        <v>42.16</v>
      </c>
    </row>
    <row r="6308" spans="1:5" ht="45">
      <c r="A6308" s="484">
        <v>36155</v>
      </c>
      <c r="B6308" s="485" t="s">
        <v>2597</v>
      </c>
      <c r="C6308" s="484" t="s">
        <v>256</v>
      </c>
      <c r="D6308" s="486">
        <v>37.35</v>
      </c>
      <c r="E6308" s="486">
        <v>37.35</v>
      </c>
    </row>
    <row r="6309" spans="1:5" ht="45">
      <c r="A6309" s="349">
        <v>36154</v>
      </c>
      <c r="B6309" s="348" t="s">
        <v>2598</v>
      </c>
      <c r="C6309" s="349" t="s">
        <v>256</v>
      </c>
      <c r="D6309" s="483">
        <v>49.62</v>
      </c>
      <c r="E6309" s="483">
        <v>49.62</v>
      </c>
    </row>
    <row r="6310" spans="1:5" ht="45">
      <c r="A6310" s="484">
        <v>36196</v>
      </c>
      <c r="B6310" s="485" t="s">
        <v>2599</v>
      </c>
      <c r="C6310" s="484" t="s">
        <v>256</v>
      </c>
      <c r="D6310" s="486">
        <v>42.16</v>
      </c>
      <c r="E6310" s="486">
        <v>42.16</v>
      </c>
    </row>
    <row r="6311" spans="1:5" ht="30">
      <c r="A6311" s="349">
        <v>679</v>
      </c>
      <c r="B6311" s="348" t="s">
        <v>2600</v>
      </c>
      <c r="C6311" s="349" t="s">
        <v>256</v>
      </c>
      <c r="D6311" s="483">
        <v>50.27</v>
      </c>
      <c r="E6311" s="483">
        <v>50.27</v>
      </c>
    </row>
    <row r="6312" spans="1:5" ht="30">
      <c r="A6312" s="484">
        <v>711</v>
      </c>
      <c r="B6312" s="485" t="s">
        <v>2601</v>
      </c>
      <c r="C6312" s="484" t="s">
        <v>256</v>
      </c>
      <c r="D6312" s="486">
        <v>38.369999999999997</v>
      </c>
      <c r="E6312" s="486">
        <v>38.369999999999997</v>
      </c>
    </row>
    <row r="6313" spans="1:5" ht="30">
      <c r="A6313" s="349">
        <v>712</v>
      </c>
      <c r="B6313" s="348" t="s">
        <v>2602</v>
      </c>
      <c r="C6313" s="349" t="s">
        <v>256</v>
      </c>
      <c r="D6313" s="483">
        <v>40</v>
      </c>
      <c r="E6313" s="483">
        <v>40</v>
      </c>
    </row>
    <row r="6314" spans="1:5" ht="30">
      <c r="A6314" s="484">
        <v>36191</v>
      </c>
      <c r="B6314" s="485" t="s">
        <v>2602</v>
      </c>
      <c r="C6314" s="484" t="s">
        <v>65</v>
      </c>
      <c r="D6314" s="486">
        <v>2.79</v>
      </c>
      <c r="E6314" s="486">
        <v>2.79</v>
      </c>
    </row>
    <row r="6315" spans="1:5" ht="30">
      <c r="A6315" s="349">
        <v>36169</v>
      </c>
      <c r="B6315" s="348" t="s">
        <v>2603</v>
      </c>
      <c r="C6315" s="349" t="s">
        <v>256</v>
      </c>
      <c r="D6315" s="483">
        <v>40.86</v>
      </c>
      <c r="E6315" s="483">
        <v>40.86</v>
      </c>
    </row>
    <row r="6316" spans="1:5" ht="30">
      <c r="A6316" s="484">
        <v>36172</v>
      </c>
      <c r="B6316" s="485" t="s">
        <v>2604</v>
      </c>
      <c r="C6316" s="484" t="s">
        <v>256</v>
      </c>
      <c r="D6316" s="486">
        <v>35.67</v>
      </c>
      <c r="E6316" s="486">
        <v>35.67</v>
      </c>
    </row>
    <row r="6317" spans="1:5" ht="30">
      <c r="A6317" s="349">
        <v>36174</v>
      </c>
      <c r="B6317" s="348" t="s">
        <v>2605</v>
      </c>
      <c r="C6317" s="349" t="s">
        <v>256</v>
      </c>
      <c r="D6317" s="483">
        <v>46.83</v>
      </c>
      <c r="E6317" s="483">
        <v>46.83</v>
      </c>
    </row>
    <row r="6318" spans="1:5" ht="30">
      <c r="A6318" s="484">
        <v>36170</v>
      </c>
      <c r="B6318" s="485" t="s">
        <v>2606</v>
      </c>
      <c r="C6318" s="484" t="s">
        <v>256</v>
      </c>
      <c r="D6318" s="486">
        <v>40</v>
      </c>
      <c r="E6318" s="486">
        <v>40</v>
      </c>
    </row>
    <row r="6319" spans="1:5" ht="30">
      <c r="A6319" s="349">
        <v>12614</v>
      </c>
      <c r="B6319" s="348" t="s">
        <v>2623</v>
      </c>
      <c r="C6319" s="349" t="s">
        <v>65</v>
      </c>
      <c r="D6319" s="483">
        <v>13.58</v>
      </c>
      <c r="E6319" s="483">
        <v>13.58</v>
      </c>
    </row>
    <row r="6320" spans="1:5" ht="43.5" customHeight="1">
      <c r="A6320" s="484">
        <v>6140</v>
      </c>
      <c r="B6320" s="485" t="s">
        <v>2624</v>
      </c>
      <c r="C6320" s="484" t="s">
        <v>65</v>
      </c>
      <c r="D6320" s="486">
        <v>2.33</v>
      </c>
      <c r="E6320" s="486">
        <v>2.33</v>
      </c>
    </row>
    <row r="6321" spans="1:5">
      <c r="A6321" s="349">
        <v>38399</v>
      </c>
      <c r="B6321" s="348" t="s">
        <v>2625</v>
      </c>
      <c r="C6321" s="349" t="s">
        <v>65</v>
      </c>
      <c r="D6321" s="483">
        <v>124.84</v>
      </c>
      <c r="E6321" s="483">
        <v>124.84</v>
      </c>
    </row>
    <row r="6322" spans="1:5" ht="45">
      <c r="A6322" s="484">
        <v>735</v>
      </c>
      <c r="B6322" s="485" t="s">
        <v>2626</v>
      </c>
      <c r="C6322" s="484" t="s">
        <v>65</v>
      </c>
      <c r="D6322" s="486">
        <v>1612.67</v>
      </c>
      <c r="E6322" s="486">
        <v>1612.67</v>
      </c>
    </row>
    <row r="6323" spans="1:5" ht="30">
      <c r="A6323" s="349">
        <v>736</v>
      </c>
      <c r="B6323" s="348" t="s">
        <v>2627</v>
      </c>
      <c r="C6323" s="349" t="s">
        <v>65</v>
      </c>
      <c r="D6323" s="483">
        <v>1355.96</v>
      </c>
      <c r="E6323" s="483">
        <v>1355.96</v>
      </c>
    </row>
    <row r="6324" spans="1:5" ht="30">
      <c r="A6324" s="484">
        <v>729</v>
      </c>
      <c r="B6324" s="485" t="s">
        <v>2629</v>
      </c>
      <c r="C6324" s="484" t="s">
        <v>65</v>
      </c>
      <c r="D6324" s="486">
        <v>552.57000000000005</v>
      </c>
      <c r="E6324" s="486">
        <v>552.57000000000005</v>
      </c>
    </row>
    <row r="6325" spans="1:5" ht="30">
      <c r="A6325" s="349">
        <v>39925</v>
      </c>
      <c r="B6325" s="348" t="s">
        <v>2636</v>
      </c>
      <c r="C6325" s="349" t="s">
        <v>65</v>
      </c>
      <c r="D6325" s="483">
        <v>7984.58</v>
      </c>
      <c r="E6325" s="483">
        <v>7984.58</v>
      </c>
    </row>
    <row r="6326" spans="1:5" ht="30">
      <c r="A6326" s="484">
        <v>731</v>
      </c>
      <c r="B6326" s="485" t="s">
        <v>2637</v>
      </c>
      <c r="C6326" s="484" t="s">
        <v>65</v>
      </c>
      <c r="D6326" s="486">
        <v>537.78</v>
      </c>
      <c r="E6326" s="486">
        <v>537.78</v>
      </c>
    </row>
    <row r="6327" spans="1:5" ht="45">
      <c r="A6327" s="349">
        <v>10575</v>
      </c>
      <c r="B6327" s="348" t="s">
        <v>2638</v>
      </c>
      <c r="C6327" s="349" t="s">
        <v>65</v>
      </c>
      <c r="D6327" s="483">
        <v>839.25</v>
      </c>
      <c r="E6327" s="483">
        <v>839.25</v>
      </c>
    </row>
    <row r="6328" spans="1:5" ht="30">
      <c r="A6328" s="484">
        <v>733</v>
      </c>
      <c r="B6328" s="485" t="s">
        <v>2639</v>
      </c>
      <c r="C6328" s="484" t="s">
        <v>65</v>
      </c>
      <c r="D6328" s="486">
        <v>918.88</v>
      </c>
      <c r="E6328" s="486">
        <v>918.88</v>
      </c>
    </row>
    <row r="6329" spans="1:5" ht="30">
      <c r="A6329" s="349">
        <v>732</v>
      </c>
      <c r="B6329" s="348" t="s">
        <v>2640</v>
      </c>
      <c r="C6329" s="349" t="s">
        <v>65</v>
      </c>
      <c r="D6329" s="483">
        <v>906.53</v>
      </c>
      <c r="E6329" s="483">
        <v>906.53</v>
      </c>
    </row>
    <row r="6330" spans="1:5" ht="30">
      <c r="A6330" s="484">
        <v>737</v>
      </c>
      <c r="B6330" s="485" t="s">
        <v>2641</v>
      </c>
      <c r="C6330" s="484" t="s">
        <v>65</v>
      </c>
      <c r="D6330" s="486">
        <v>5083.55</v>
      </c>
      <c r="E6330" s="486">
        <v>5083.55</v>
      </c>
    </row>
    <row r="6331" spans="1:5" ht="30">
      <c r="A6331" s="349">
        <v>738</v>
      </c>
      <c r="B6331" s="348" t="s">
        <v>2642</v>
      </c>
      <c r="C6331" s="349" t="s">
        <v>65</v>
      </c>
      <c r="D6331" s="483">
        <v>2357.1999999999998</v>
      </c>
      <c r="E6331" s="483">
        <v>2357.1999999999998</v>
      </c>
    </row>
    <row r="6332" spans="1:5" ht="45">
      <c r="A6332" s="484">
        <v>740</v>
      </c>
      <c r="B6332" s="485" t="s">
        <v>2643</v>
      </c>
      <c r="C6332" s="484" t="s">
        <v>65</v>
      </c>
      <c r="D6332" s="486">
        <v>4782.28</v>
      </c>
      <c r="E6332" s="486">
        <v>4782.28</v>
      </c>
    </row>
    <row r="6333" spans="1:5" ht="30">
      <c r="A6333" s="349">
        <v>734</v>
      </c>
      <c r="B6333" s="348" t="s">
        <v>2644</v>
      </c>
      <c r="C6333" s="349" t="s">
        <v>65</v>
      </c>
      <c r="D6333" s="483">
        <v>971.8</v>
      </c>
      <c r="E6333" s="483">
        <v>971.8</v>
      </c>
    </row>
    <row r="6334" spans="1:5">
      <c r="A6334" s="484">
        <v>39008</v>
      </c>
      <c r="B6334" s="485" t="s">
        <v>2645</v>
      </c>
      <c r="C6334" s="484" t="s">
        <v>65</v>
      </c>
      <c r="D6334" s="486">
        <v>38054.35</v>
      </c>
      <c r="E6334" s="486">
        <v>38054.35</v>
      </c>
    </row>
    <row r="6335" spans="1:5">
      <c r="A6335" s="349">
        <v>39009</v>
      </c>
      <c r="B6335" s="348" t="s">
        <v>2652</v>
      </c>
      <c r="C6335" s="349" t="s">
        <v>65</v>
      </c>
      <c r="D6335" s="483">
        <v>40770.519999999997</v>
      </c>
      <c r="E6335" s="483">
        <v>40770.519999999997</v>
      </c>
    </row>
    <row r="6336" spans="1:5" ht="45">
      <c r="A6336" s="484">
        <v>10587</v>
      </c>
      <c r="B6336" s="485" t="s">
        <v>2669</v>
      </c>
      <c r="C6336" s="484" t="s">
        <v>65</v>
      </c>
      <c r="D6336" s="486">
        <v>2134.2199999999998</v>
      </c>
      <c r="E6336" s="486">
        <v>2134.2199999999998</v>
      </c>
    </row>
    <row r="6337" spans="1:5" ht="45">
      <c r="A6337" s="349">
        <v>759</v>
      </c>
      <c r="B6337" s="348" t="s">
        <v>2670</v>
      </c>
      <c r="C6337" s="349" t="s">
        <v>65</v>
      </c>
      <c r="D6337" s="483">
        <v>3068.59</v>
      </c>
      <c r="E6337" s="483">
        <v>3068.59</v>
      </c>
    </row>
    <row r="6338" spans="1:5" ht="45">
      <c r="A6338" s="484">
        <v>761</v>
      </c>
      <c r="B6338" s="485" t="s">
        <v>2671</v>
      </c>
      <c r="C6338" s="484" t="s">
        <v>65</v>
      </c>
      <c r="D6338" s="486">
        <v>5201.53</v>
      </c>
      <c r="E6338" s="486">
        <v>5201.53</v>
      </c>
    </row>
    <row r="6339" spans="1:5" ht="45">
      <c r="A6339" s="349">
        <v>750</v>
      </c>
      <c r="B6339" s="348" t="s">
        <v>2672</v>
      </c>
      <c r="C6339" s="349" t="s">
        <v>65</v>
      </c>
      <c r="D6339" s="483">
        <v>4938.4399999999996</v>
      </c>
      <c r="E6339" s="483">
        <v>4938.4399999999996</v>
      </c>
    </row>
    <row r="6340" spans="1:5" ht="45">
      <c r="A6340" s="484">
        <v>755</v>
      </c>
      <c r="B6340" s="485" t="s">
        <v>2673</v>
      </c>
      <c r="C6340" s="484" t="s">
        <v>65</v>
      </c>
      <c r="D6340" s="486">
        <v>20264.96</v>
      </c>
      <c r="E6340" s="486">
        <v>20264.96</v>
      </c>
    </row>
    <row r="6341" spans="1:5" ht="45">
      <c r="A6341" s="349">
        <v>749</v>
      </c>
      <c r="B6341" s="348" t="s">
        <v>2674</v>
      </c>
      <c r="C6341" s="349" t="s">
        <v>65</v>
      </c>
      <c r="D6341" s="483">
        <v>7453.07</v>
      </c>
      <c r="E6341" s="483">
        <v>7453.07</v>
      </c>
    </row>
    <row r="6342" spans="1:5" ht="45">
      <c r="A6342" s="484">
        <v>756</v>
      </c>
      <c r="B6342" s="485" t="s">
        <v>2675</v>
      </c>
      <c r="C6342" s="484" t="s">
        <v>65</v>
      </c>
      <c r="D6342" s="486">
        <v>22101.65</v>
      </c>
      <c r="E6342" s="486">
        <v>22101.65</v>
      </c>
    </row>
    <row r="6343" spans="1:5" ht="30">
      <c r="A6343" s="349">
        <v>757</v>
      </c>
      <c r="B6343" s="348" t="s">
        <v>2688</v>
      </c>
      <c r="C6343" s="349" t="s">
        <v>65</v>
      </c>
      <c r="D6343" s="483">
        <v>10035.56</v>
      </c>
      <c r="E6343" s="483">
        <v>10035.56</v>
      </c>
    </row>
    <row r="6344" spans="1:5" ht="45">
      <c r="A6344" s="484">
        <v>10588</v>
      </c>
      <c r="B6344" s="485" t="s">
        <v>2689</v>
      </c>
      <c r="C6344" s="484" t="s">
        <v>65</v>
      </c>
      <c r="D6344" s="486">
        <v>2215.6</v>
      </c>
      <c r="E6344" s="486">
        <v>2215.6</v>
      </c>
    </row>
    <row r="6345" spans="1:5" ht="57.75" customHeight="1">
      <c r="A6345" s="349">
        <v>10592</v>
      </c>
      <c r="B6345" s="348" t="s">
        <v>2690</v>
      </c>
      <c r="C6345" s="349" t="s">
        <v>65</v>
      </c>
      <c r="D6345" s="483">
        <v>2676.15</v>
      </c>
      <c r="E6345" s="483">
        <v>2676.15</v>
      </c>
    </row>
    <row r="6346" spans="1:5" ht="45">
      <c r="A6346" s="484">
        <v>10589</v>
      </c>
      <c r="B6346" s="485" t="s">
        <v>11187</v>
      </c>
      <c r="C6346" s="484" t="s">
        <v>65</v>
      </c>
      <c r="D6346" s="486">
        <v>3595.24</v>
      </c>
      <c r="E6346" s="486">
        <v>3595.24</v>
      </c>
    </row>
    <row r="6347" spans="1:5" ht="30">
      <c r="A6347" s="349">
        <v>760</v>
      </c>
      <c r="B6347" s="348" t="s">
        <v>2691</v>
      </c>
      <c r="C6347" s="349" t="s">
        <v>65</v>
      </c>
      <c r="D6347" s="483">
        <v>20071.12</v>
      </c>
      <c r="E6347" s="483">
        <v>20071.12</v>
      </c>
    </row>
    <row r="6348" spans="1:5" ht="45">
      <c r="A6348" s="484">
        <v>751</v>
      </c>
      <c r="B6348" s="485" t="s">
        <v>2692</v>
      </c>
      <c r="C6348" s="484" t="s">
        <v>65</v>
      </c>
      <c r="D6348" s="486">
        <v>3161.2</v>
      </c>
      <c r="E6348" s="486">
        <v>3161.2</v>
      </c>
    </row>
    <row r="6349" spans="1:5" ht="43.5" customHeight="1">
      <c r="A6349" s="349">
        <v>754</v>
      </c>
      <c r="B6349" s="348" t="s">
        <v>2693</v>
      </c>
      <c r="C6349" s="349" t="s">
        <v>65</v>
      </c>
      <c r="D6349" s="483">
        <v>5017.78</v>
      </c>
      <c r="E6349" s="483">
        <v>5017.78</v>
      </c>
    </row>
    <row r="6350" spans="1:5" ht="43.5" customHeight="1">
      <c r="A6350" s="484">
        <v>14013</v>
      </c>
      <c r="B6350" s="485" t="s">
        <v>2694</v>
      </c>
      <c r="C6350" s="484" t="s">
        <v>65</v>
      </c>
      <c r="D6350" s="486">
        <v>137368.65</v>
      </c>
      <c r="E6350" s="486">
        <v>137368.65</v>
      </c>
    </row>
    <row r="6351" spans="1:5" ht="30">
      <c r="A6351" s="349">
        <v>39917</v>
      </c>
      <c r="B6351" s="348" t="s">
        <v>2695</v>
      </c>
      <c r="C6351" s="349" t="s">
        <v>65</v>
      </c>
      <c r="D6351" s="483">
        <v>58454.23</v>
      </c>
      <c r="E6351" s="483">
        <v>58454.23</v>
      </c>
    </row>
    <row r="6352" spans="1:5">
      <c r="A6352" s="484">
        <v>5081</v>
      </c>
      <c r="B6352" s="485" t="s">
        <v>2702</v>
      </c>
      <c r="C6352" s="484" t="s">
        <v>131</v>
      </c>
      <c r="D6352" s="486">
        <v>17.46</v>
      </c>
      <c r="E6352" s="486">
        <v>17.46</v>
      </c>
    </row>
    <row r="6353" spans="1:5">
      <c r="A6353" s="349">
        <v>38167</v>
      </c>
      <c r="B6353" s="348" t="s">
        <v>2703</v>
      </c>
      <c r="C6353" s="349" t="s">
        <v>131</v>
      </c>
      <c r="D6353" s="483">
        <v>15.05</v>
      </c>
      <c r="E6353" s="483">
        <v>15.05</v>
      </c>
    </row>
    <row r="6354" spans="1:5">
      <c r="A6354" s="484">
        <v>36145</v>
      </c>
      <c r="B6354" s="485" t="s">
        <v>2704</v>
      </c>
      <c r="C6354" s="484" t="s">
        <v>131</v>
      </c>
      <c r="D6354" s="486">
        <v>27.36</v>
      </c>
      <c r="E6354" s="486">
        <v>27.36</v>
      </c>
    </row>
    <row r="6355" spans="1:5">
      <c r="A6355" s="349">
        <v>12893</v>
      </c>
      <c r="B6355" s="348" t="s">
        <v>2705</v>
      </c>
      <c r="C6355" s="349" t="s">
        <v>131</v>
      </c>
      <c r="D6355" s="483">
        <v>45.6</v>
      </c>
      <c r="E6355" s="483">
        <v>45.6</v>
      </c>
    </row>
    <row r="6356" spans="1:5">
      <c r="A6356" s="484">
        <v>11685</v>
      </c>
      <c r="B6356" s="485" t="s">
        <v>19475</v>
      </c>
      <c r="C6356" s="484" t="s">
        <v>65</v>
      </c>
      <c r="D6356" s="486">
        <v>16.72</v>
      </c>
      <c r="E6356" s="486">
        <v>16.72</v>
      </c>
    </row>
    <row r="6357" spans="1:5">
      <c r="A6357" s="349">
        <v>11679</v>
      </c>
      <c r="B6357" s="348" t="s">
        <v>2707</v>
      </c>
      <c r="C6357" s="349" t="s">
        <v>65</v>
      </c>
      <c r="D6357" s="483">
        <v>4.82</v>
      </c>
      <c r="E6357" s="483">
        <v>4.82</v>
      </c>
    </row>
    <row r="6358" spans="1:5">
      <c r="A6358" s="484">
        <v>11680</v>
      </c>
      <c r="B6358" s="485" t="s">
        <v>2708</v>
      </c>
      <c r="C6358" s="484" t="s">
        <v>65</v>
      </c>
      <c r="D6358" s="486">
        <v>3.97</v>
      </c>
      <c r="E6358" s="486">
        <v>3.97</v>
      </c>
    </row>
    <row r="6359" spans="1:5">
      <c r="A6359" s="349">
        <v>2512</v>
      </c>
      <c r="B6359" s="348" t="s">
        <v>2711</v>
      </c>
      <c r="C6359" s="349" t="s">
        <v>65</v>
      </c>
      <c r="D6359" s="483">
        <v>15.07</v>
      </c>
      <c r="E6359" s="483">
        <v>15.07</v>
      </c>
    </row>
    <row r="6360" spans="1:5">
      <c r="A6360" s="484">
        <v>4374</v>
      </c>
      <c r="B6360" s="485" t="s">
        <v>2713</v>
      </c>
      <c r="C6360" s="484" t="s">
        <v>65</v>
      </c>
      <c r="D6360" s="486">
        <v>0.18</v>
      </c>
      <c r="E6360" s="486">
        <v>0.18</v>
      </c>
    </row>
    <row r="6361" spans="1:5" ht="57.75" customHeight="1">
      <c r="A6361" s="349">
        <v>7568</v>
      </c>
      <c r="B6361" s="348" t="s">
        <v>2714</v>
      </c>
      <c r="C6361" s="349" t="s">
        <v>65</v>
      </c>
      <c r="D6361" s="483">
        <v>0.3</v>
      </c>
      <c r="E6361" s="483">
        <v>0.3</v>
      </c>
    </row>
    <row r="6362" spans="1:5" ht="30">
      <c r="A6362" s="484">
        <v>7584</v>
      </c>
      <c r="B6362" s="485" t="s">
        <v>2715</v>
      </c>
      <c r="C6362" s="484" t="s">
        <v>65</v>
      </c>
      <c r="D6362" s="486">
        <v>0.46</v>
      </c>
      <c r="E6362" s="486">
        <v>0.46</v>
      </c>
    </row>
    <row r="6363" spans="1:5">
      <c r="A6363" s="349">
        <v>11945</v>
      </c>
      <c r="B6363" s="348" t="s">
        <v>2716</v>
      </c>
      <c r="C6363" s="349" t="s">
        <v>65</v>
      </c>
      <c r="D6363" s="483">
        <v>0.03</v>
      </c>
      <c r="E6363" s="483">
        <v>0.03</v>
      </c>
    </row>
    <row r="6364" spans="1:5">
      <c r="A6364" s="484">
        <v>11946</v>
      </c>
      <c r="B6364" s="485" t="s">
        <v>2717</v>
      </c>
      <c r="C6364" s="484" t="s">
        <v>65</v>
      </c>
      <c r="D6364" s="486">
        <v>0.03</v>
      </c>
      <c r="E6364" s="486">
        <v>0.03</v>
      </c>
    </row>
    <row r="6365" spans="1:5">
      <c r="A6365" s="349">
        <v>4375</v>
      </c>
      <c r="B6365" s="348" t="s">
        <v>2718</v>
      </c>
      <c r="C6365" s="349" t="s">
        <v>65</v>
      </c>
      <c r="D6365" s="483">
        <v>0.05</v>
      </c>
      <c r="E6365" s="483">
        <v>0.05</v>
      </c>
    </row>
    <row r="6366" spans="1:5" ht="30">
      <c r="A6366" s="484">
        <v>11950</v>
      </c>
      <c r="B6366" s="485" t="s">
        <v>2719</v>
      </c>
      <c r="C6366" s="484" t="s">
        <v>65</v>
      </c>
      <c r="D6366" s="486">
        <v>0.1</v>
      </c>
      <c r="E6366" s="486">
        <v>0.1</v>
      </c>
    </row>
    <row r="6367" spans="1:5">
      <c r="A6367" s="349">
        <v>4376</v>
      </c>
      <c r="B6367" s="348" t="s">
        <v>2720</v>
      </c>
      <c r="C6367" s="349" t="s">
        <v>65</v>
      </c>
      <c r="D6367" s="483">
        <v>0.09</v>
      </c>
      <c r="E6367" s="483">
        <v>0.09</v>
      </c>
    </row>
    <row r="6368" spans="1:5" ht="57.75" customHeight="1">
      <c r="A6368" s="484">
        <v>7583</v>
      </c>
      <c r="B6368" s="485" t="s">
        <v>2721</v>
      </c>
      <c r="C6368" s="484" t="s">
        <v>65</v>
      </c>
      <c r="D6368" s="486">
        <v>0.2</v>
      </c>
      <c r="E6368" s="486">
        <v>0.2</v>
      </c>
    </row>
    <row r="6369" spans="1:5" ht="30">
      <c r="A6369" s="349">
        <v>4350</v>
      </c>
      <c r="B6369" s="348" t="s">
        <v>2722</v>
      </c>
      <c r="C6369" s="349" t="s">
        <v>65</v>
      </c>
      <c r="D6369" s="483">
        <v>0.27</v>
      </c>
      <c r="E6369" s="483">
        <v>0.27</v>
      </c>
    </row>
    <row r="6370" spans="1:5">
      <c r="A6370" s="484">
        <v>39886</v>
      </c>
      <c r="B6370" s="485" t="s">
        <v>2723</v>
      </c>
      <c r="C6370" s="484" t="s">
        <v>65</v>
      </c>
      <c r="D6370" s="486">
        <v>2.79</v>
      </c>
      <c r="E6370" s="486">
        <v>2.79</v>
      </c>
    </row>
    <row r="6371" spans="1:5" ht="57.75" customHeight="1">
      <c r="A6371" s="349">
        <v>39887</v>
      </c>
      <c r="B6371" s="348" t="s">
        <v>2724</v>
      </c>
      <c r="C6371" s="349" t="s">
        <v>65</v>
      </c>
      <c r="D6371" s="483">
        <v>4.1900000000000004</v>
      </c>
      <c r="E6371" s="483">
        <v>4.1900000000000004</v>
      </c>
    </row>
    <row r="6372" spans="1:5">
      <c r="A6372" s="484">
        <v>39888</v>
      </c>
      <c r="B6372" s="485" t="s">
        <v>2725</v>
      </c>
      <c r="C6372" s="484" t="s">
        <v>65</v>
      </c>
      <c r="D6372" s="486">
        <v>9.59</v>
      </c>
      <c r="E6372" s="486">
        <v>9.59</v>
      </c>
    </row>
    <row r="6373" spans="1:5">
      <c r="A6373" s="349">
        <v>39890</v>
      </c>
      <c r="B6373" s="348" t="s">
        <v>2726</v>
      </c>
      <c r="C6373" s="349" t="s">
        <v>65</v>
      </c>
      <c r="D6373" s="483">
        <v>16.38</v>
      </c>
      <c r="E6373" s="483">
        <v>16.38</v>
      </c>
    </row>
    <row r="6374" spans="1:5">
      <c r="A6374" s="484">
        <v>39891</v>
      </c>
      <c r="B6374" s="485" t="s">
        <v>2727</v>
      </c>
      <c r="C6374" s="484" t="s">
        <v>65</v>
      </c>
      <c r="D6374" s="486">
        <v>23.09</v>
      </c>
      <c r="E6374" s="486">
        <v>23.09</v>
      </c>
    </row>
    <row r="6375" spans="1:5">
      <c r="A6375" s="349">
        <v>39892</v>
      </c>
      <c r="B6375" s="348" t="s">
        <v>2728</v>
      </c>
      <c r="C6375" s="349" t="s">
        <v>65</v>
      </c>
      <c r="D6375" s="483">
        <v>71.989999999999995</v>
      </c>
      <c r="E6375" s="483">
        <v>71.989999999999995</v>
      </c>
    </row>
    <row r="6376" spans="1:5" ht="57.75" customHeight="1">
      <c r="A6376" s="484">
        <v>790</v>
      </c>
      <c r="B6376" s="485" t="s">
        <v>2729</v>
      </c>
      <c r="C6376" s="484" t="s">
        <v>65</v>
      </c>
      <c r="D6376" s="486">
        <v>10.220000000000001</v>
      </c>
      <c r="E6376" s="486">
        <v>10.220000000000001</v>
      </c>
    </row>
    <row r="6377" spans="1:5" ht="57.75" customHeight="1">
      <c r="A6377" s="349">
        <v>766</v>
      </c>
      <c r="B6377" s="348" t="s">
        <v>2731</v>
      </c>
      <c r="C6377" s="349" t="s">
        <v>65</v>
      </c>
      <c r="D6377" s="483">
        <v>10.220000000000001</v>
      </c>
      <c r="E6377" s="483">
        <v>10.220000000000001</v>
      </c>
    </row>
    <row r="6378" spans="1:5">
      <c r="A6378" s="484">
        <v>791</v>
      </c>
      <c r="B6378" s="485" t="s">
        <v>2730</v>
      </c>
      <c r="C6378" s="484" t="s">
        <v>65</v>
      </c>
      <c r="D6378" s="486">
        <v>10.220000000000001</v>
      </c>
      <c r="E6378" s="486">
        <v>10.220000000000001</v>
      </c>
    </row>
    <row r="6379" spans="1:5">
      <c r="A6379" s="349">
        <v>767</v>
      </c>
      <c r="B6379" s="348" t="s">
        <v>2732</v>
      </c>
      <c r="C6379" s="349" t="s">
        <v>65</v>
      </c>
      <c r="D6379" s="483">
        <v>10.220000000000001</v>
      </c>
      <c r="E6379" s="483">
        <v>10.220000000000001</v>
      </c>
    </row>
    <row r="6380" spans="1:5">
      <c r="A6380" s="484">
        <v>768</v>
      </c>
      <c r="B6380" s="485" t="s">
        <v>2734</v>
      </c>
      <c r="C6380" s="484" t="s">
        <v>65</v>
      </c>
      <c r="D6380" s="486">
        <v>8.02</v>
      </c>
      <c r="E6380" s="486">
        <v>8.02</v>
      </c>
    </row>
    <row r="6381" spans="1:5">
      <c r="A6381" s="349">
        <v>789</v>
      </c>
      <c r="B6381" s="348" t="s">
        <v>2733</v>
      </c>
      <c r="C6381" s="349" t="s">
        <v>65</v>
      </c>
      <c r="D6381" s="483">
        <v>7.85</v>
      </c>
      <c r="E6381" s="483">
        <v>7.85</v>
      </c>
    </row>
    <row r="6382" spans="1:5">
      <c r="A6382" s="484">
        <v>769</v>
      </c>
      <c r="B6382" s="485" t="s">
        <v>2735</v>
      </c>
      <c r="C6382" s="484" t="s">
        <v>65</v>
      </c>
      <c r="D6382" s="486">
        <v>8.02</v>
      </c>
      <c r="E6382" s="486">
        <v>8.02</v>
      </c>
    </row>
    <row r="6383" spans="1:5">
      <c r="A6383" s="349">
        <v>770</v>
      </c>
      <c r="B6383" s="348" t="s">
        <v>2738</v>
      </c>
      <c r="C6383" s="349" t="s">
        <v>65</v>
      </c>
      <c r="D6383" s="483">
        <v>2.83</v>
      </c>
      <c r="E6383" s="483">
        <v>2.83</v>
      </c>
    </row>
    <row r="6384" spans="1:5">
      <c r="A6384" s="484">
        <v>12394</v>
      </c>
      <c r="B6384" s="485" t="s">
        <v>2739</v>
      </c>
      <c r="C6384" s="484" t="s">
        <v>65</v>
      </c>
      <c r="D6384" s="486">
        <v>2.83</v>
      </c>
      <c r="E6384" s="486">
        <v>2.83</v>
      </c>
    </row>
    <row r="6385" spans="1:5">
      <c r="A6385" s="349">
        <v>764</v>
      </c>
      <c r="B6385" s="348" t="s">
        <v>2736</v>
      </c>
      <c r="C6385" s="349" t="s">
        <v>65</v>
      </c>
      <c r="D6385" s="483">
        <v>4.9400000000000004</v>
      </c>
      <c r="E6385" s="483">
        <v>4.9400000000000004</v>
      </c>
    </row>
    <row r="6386" spans="1:5">
      <c r="A6386" s="484">
        <v>765</v>
      </c>
      <c r="B6386" s="485" t="s">
        <v>2737</v>
      </c>
      <c r="C6386" s="484" t="s">
        <v>65</v>
      </c>
      <c r="D6386" s="486">
        <v>4.9400000000000004</v>
      </c>
      <c r="E6386" s="486">
        <v>4.9400000000000004</v>
      </c>
    </row>
    <row r="6387" spans="1:5">
      <c r="A6387" s="349">
        <v>787</v>
      </c>
      <c r="B6387" s="348" t="s">
        <v>2740</v>
      </c>
      <c r="C6387" s="349" t="s">
        <v>65</v>
      </c>
      <c r="D6387" s="483">
        <v>22.06</v>
      </c>
      <c r="E6387" s="483">
        <v>22.06</v>
      </c>
    </row>
    <row r="6388" spans="1:5">
      <c r="A6388" s="484">
        <v>774</v>
      </c>
      <c r="B6388" s="485" t="s">
        <v>2741</v>
      </c>
      <c r="C6388" s="484" t="s">
        <v>65</v>
      </c>
      <c r="D6388" s="486">
        <v>22.06</v>
      </c>
      <c r="E6388" s="486">
        <v>22.06</v>
      </c>
    </row>
    <row r="6389" spans="1:5">
      <c r="A6389" s="349">
        <v>773</v>
      </c>
      <c r="B6389" s="348" t="s">
        <v>2742</v>
      </c>
      <c r="C6389" s="349" t="s">
        <v>65</v>
      </c>
      <c r="D6389" s="483">
        <v>22.06</v>
      </c>
      <c r="E6389" s="483">
        <v>22.06</v>
      </c>
    </row>
    <row r="6390" spans="1:5">
      <c r="A6390" s="484">
        <v>775</v>
      </c>
      <c r="B6390" s="485" t="s">
        <v>2743</v>
      </c>
      <c r="C6390" s="484" t="s">
        <v>65</v>
      </c>
      <c r="D6390" s="486">
        <v>22.06</v>
      </c>
      <c r="E6390" s="486">
        <v>22.06</v>
      </c>
    </row>
    <row r="6391" spans="1:5">
      <c r="A6391" s="349">
        <v>788</v>
      </c>
      <c r="B6391" s="348" t="s">
        <v>2744</v>
      </c>
      <c r="C6391" s="349" t="s">
        <v>65</v>
      </c>
      <c r="D6391" s="483">
        <v>13.71</v>
      </c>
      <c r="E6391" s="483">
        <v>13.71</v>
      </c>
    </row>
    <row r="6392" spans="1:5">
      <c r="A6392" s="484">
        <v>772</v>
      </c>
      <c r="B6392" s="485" t="s">
        <v>2745</v>
      </c>
      <c r="C6392" s="484" t="s">
        <v>65</v>
      </c>
      <c r="D6392" s="486">
        <v>13.71</v>
      </c>
      <c r="E6392" s="486">
        <v>13.71</v>
      </c>
    </row>
    <row r="6393" spans="1:5">
      <c r="A6393" s="349">
        <v>771</v>
      </c>
      <c r="B6393" s="348" t="s">
        <v>2746</v>
      </c>
      <c r="C6393" s="349" t="s">
        <v>65</v>
      </c>
      <c r="D6393" s="483">
        <v>13.71</v>
      </c>
      <c r="E6393" s="483">
        <v>13.71</v>
      </c>
    </row>
    <row r="6394" spans="1:5">
      <c r="A6394" s="484">
        <v>779</v>
      </c>
      <c r="B6394" s="485" t="s">
        <v>2751</v>
      </c>
      <c r="C6394" s="484" t="s">
        <v>65</v>
      </c>
      <c r="D6394" s="486">
        <v>3.41</v>
      </c>
      <c r="E6394" s="486">
        <v>3.41</v>
      </c>
    </row>
    <row r="6395" spans="1:5">
      <c r="A6395" s="349">
        <v>776</v>
      </c>
      <c r="B6395" s="348" t="s">
        <v>2747</v>
      </c>
      <c r="C6395" s="349" t="s">
        <v>65</v>
      </c>
      <c r="D6395" s="483">
        <v>32.53</v>
      </c>
      <c r="E6395" s="483">
        <v>32.53</v>
      </c>
    </row>
    <row r="6396" spans="1:5">
      <c r="A6396" s="484">
        <v>777</v>
      </c>
      <c r="B6396" s="485" t="s">
        <v>2748</v>
      </c>
      <c r="C6396" s="484" t="s">
        <v>65</v>
      </c>
      <c r="D6396" s="486">
        <v>31.62</v>
      </c>
      <c r="E6396" s="486">
        <v>31.62</v>
      </c>
    </row>
    <row r="6397" spans="1:5">
      <c r="A6397" s="349">
        <v>780</v>
      </c>
      <c r="B6397" s="348" t="s">
        <v>2749</v>
      </c>
      <c r="C6397" s="349" t="s">
        <v>65</v>
      </c>
      <c r="D6397" s="483">
        <v>31.78</v>
      </c>
      <c r="E6397" s="483">
        <v>31.78</v>
      </c>
    </row>
    <row r="6398" spans="1:5">
      <c r="A6398" s="484">
        <v>778</v>
      </c>
      <c r="B6398" s="485" t="s">
        <v>2750</v>
      </c>
      <c r="C6398" s="484" t="s">
        <v>65</v>
      </c>
      <c r="D6398" s="486">
        <v>32.53</v>
      </c>
      <c r="E6398" s="486">
        <v>32.53</v>
      </c>
    </row>
    <row r="6399" spans="1:5">
      <c r="A6399" s="349">
        <v>781</v>
      </c>
      <c r="B6399" s="348" t="s">
        <v>2752</v>
      </c>
      <c r="C6399" s="349" t="s">
        <v>65</v>
      </c>
      <c r="D6399" s="483">
        <v>60.1</v>
      </c>
      <c r="E6399" s="483">
        <v>60.1</v>
      </c>
    </row>
    <row r="6400" spans="1:5">
      <c r="A6400" s="484">
        <v>786</v>
      </c>
      <c r="B6400" s="485" t="s">
        <v>2753</v>
      </c>
      <c r="C6400" s="484" t="s">
        <v>65</v>
      </c>
      <c r="D6400" s="486">
        <v>60.1</v>
      </c>
      <c r="E6400" s="486">
        <v>60.1</v>
      </c>
    </row>
    <row r="6401" spans="1:5">
      <c r="A6401" s="349">
        <v>782</v>
      </c>
      <c r="B6401" s="348" t="s">
        <v>2754</v>
      </c>
      <c r="C6401" s="349" t="s">
        <v>65</v>
      </c>
      <c r="D6401" s="483">
        <v>60.1</v>
      </c>
      <c r="E6401" s="483">
        <v>60.1</v>
      </c>
    </row>
    <row r="6402" spans="1:5">
      <c r="A6402" s="484">
        <v>783</v>
      </c>
      <c r="B6402" s="485" t="s">
        <v>2755</v>
      </c>
      <c r="C6402" s="484" t="s">
        <v>65</v>
      </c>
      <c r="D6402" s="486">
        <v>164.49</v>
      </c>
      <c r="E6402" s="486">
        <v>164.49</v>
      </c>
    </row>
    <row r="6403" spans="1:5">
      <c r="A6403" s="349">
        <v>785</v>
      </c>
      <c r="B6403" s="348" t="s">
        <v>2756</v>
      </c>
      <c r="C6403" s="349" t="s">
        <v>65</v>
      </c>
      <c r="D6403" s="483">
        <v>173.8</v>
      </c>
      <c r="E6403" s="483">
        <v>173.8</v>
      </c>
    </row>
    <row r="6404" spans="1:5">
      <c r="A6404" s="484">
        <v>784</v>
      </c>
      <c r="B6404" s="485" t="s">
        <v>2757</v>
      </c>
      <c r="C6404" s="484" t="s">
        <v>65</v>
      </c>
      <c r="D6404" s="486">
        <v>186.45</v>
      </c>
      <c r="E6404" s="486">
        <v>186.45</v>
      </c>
    </row>
    <row r="6405" spans="1:5">
      <c r="A6405" s="349">
        <v>831</v>
      </c>
      <c r="B6405" s="348" t="s">
        <v>2758</v>
      </c>
      <c r="C6405" s="349" t="s">
        <v>65</v>
      </c>
      <c r="D6405" s="483">
        <v>57.18</v>
      </c>
      <c r="E6405" s="483">
        <v>57.18</v>
      </c>
    </row>
    <row r="6406" spans="1:5">
      <c r="A6406" s="484">
        <v>828</v>
      </c>
      <c r="B6406" s="485" t="s">
        <v>2759</v>
      </c>
      <c r="C6406" s="484" t="s">
        <v>65</v>
      </c>
      <c r="D6406" s="486">
        <v>0.41</v>
      </c>
      <c r="E6406" s="486">
        <v>0.41</v>
      </c>
    </row>
    <row r="6407" spans="1:5">
      <c r="A6407" s="349">
        <v>829</v>
      </c>
      <c r="B6407" s="348" t="s">
        <v>2760</v>
      </c>
      <c r="C6407" s="349" t="s">
        <v>65</v>
      </c>
      <c r="D6407" s="483">
        <v>0.8</v>
      </c>
      <c r="E6407" s="483">
        <v>0.8</v>
      </c>
    </row>
    <row r="6408" spans="1:5">
      <c r="A6408" s="484">
        <v>812</v>
      </c>
      <c r="B6408" s="485" t="s">
        <v>2761</v>
      </c>
      <c r="C6408" s="484" t="s">
        <v>65</v>
      </c>
      <c r="D6408" s="486">
        <v>1.7</v>
      </c>
      <c r="E6408" s="486">
        <v>1.7</v>
      </c>
    </row>
    <row r="6409" spans="1:5">
      <c r="A6409" s="349">
        <v>819</v>
      </c>
      <c r="B6409" s="348" t="s">
        <v>2762</v>
      </c>
      <c r="C6409" s="349" t="s">
        <v>65</v>
      </c>
      <c r="D6409" s="483">
        <v>3.01</v>
      </c>
      <c r="E6409" s="483">
        <v>3.01</v>
      </c>
    </row>
    <row r="6410" spans="1:5">
      <c r="A6410" s="484">
        <v>818</v>
      </c>
      <c r="B6410" s="485" t="s">
        <v>2763</v>
      </c>
      <c r="C6410" s="484" t="s">
        <v>65</v>
      </c>
      <c r="D6410" s="486">
        <v>5.64</v>
      </c>
      <c r="E6410" s="486">
        <v>5.64</v>
      </c>
    </row>
    <row r="6411" spans="1:5">
      <c r="A6411" s="349">
        <v>823</v>
      </c>
      <c r="B6411" s="348" t="s">
        <v>2764</v>
      </c>
      <c r="C6411" s="349" t="s">
        <v>65</v>
      </c>
      <c r="D6411" s="483">
        <v>13.93</v>
      </c>
      <c r="E6411" s="483">
        <v>13.93</v>
      </c>
    </row>
    <row r="6412" spans="1:5">
      <c r="A6412" s="484">
        <v>830</v>
      </c>
      <c r="B6412" s="485" t="s">
        <v>2765</v>
      </c>
      <c r="C6412" s="484" t="s">
        <v>65</v>
      </c>
      <c r="D6412" s="486">
        <v>11.24</v>
      </c>
      <c r="E6412" s="486">
        <v>11.24</v>
      </c>
    </row>
    <row r="6413" spans="1:5">
      <c r="A6413" s="349">
        <v>826</v>
      </c>
      <c r="B6413" s="348" t="s">
        <v>2767</v>
      </c>
      <c r="C6413" s="349" t="s">
        <v>65</v>
      </c>
      <c r="D6413" s="483">
        <v>33.47</v>
      </c>
      <c r="E6413" s="483">
        <v>33.47</v>
      </c>
    </row>
    <row r="6414" spans="1:5">
      <c r="A6414" s="484">
        <v>827</v>
      </c>
      <c r="B6414" s="485" t="s">
        <v>2768</v>
      </c>
      <c r="C6414" s="484" t="s">
        <v>65</v>
      </c>
      <c r="D6414" s="486">
        <v>28.22</v>
      </c>
      <c r="E6414" s="486">
        <v>28.22</v>
      </c>
    </row>
    <row r="6415" spans="1:5">
      <c r="A6415" s="349">
        <v>832</v>
      </c>
      <c r="B6415" s="348" t="s">
        <v>2769</v>
      </c>
      <c r="C6415" s="349" t="s">
        <v>65</v>
      </c>
      <c r="D6415" s="483">
        <v>1.8</v>
      </c>
      <c r="E6415" s="483">
        <v>1.8</v>
      </c>
    </row>
    <row r="6416" spans="1:5" ht="29.25" customHeight="1">
      <c r="A6416" s="484">
        <v>833</v>
      </c>
      <c r="B6416" s="485" t="s">
        <v>2770</v>
      </c>
      <c r="C6416" s="484" t="s">
        <v>65</v>
      </c>
      <c r="D6416" s="486">
        <v>2.64</v>
      </c>
      <c r="E6416" s="486">
        <v>2.64</v>
      </c>
    </row>
    <row r="6417" spans="1:5">
      <c r="A6417" s="349">
        <v>834</v>
      </c>
      <c r="B6417" s="348" t="s">
        <v>2771</v>
      </c>
      <c r="C6417" s="349" t="s">
        <v>65</v>
      </c>
      <c r="D6417" s="483">
        <v>2.91</v>
      </c>
      <c r="E6417" s="483">
        <v>2.91</v>
      </c>
    </row>
    <row r="6418" spans="1:5">
      <c r="A6418" s="484">
        <v>825</v>
      </c>
      <c r="B6418" s="485" t="s">
        <v>2772</v>
      </c>
      <c r="C6418" s="484" t="s">
        <v>65</v>
      </c>
      <c r="D6418" s="486">
        <v>3.12</v>
      </c>
      <c r="E6418" s="486">
        <v>3.12</v>
      </c>
    </row>
    <row r="6419" spans="1:5">
      <c r="A6419" s="349">
        <v>813</v>
      </c>
      <c r="B6419" s="348" t="s">
        <v>2773</v>
      </c>
      <c r="C6419" s="349" t="s">
        <v>65</v>
      </c>
      <c r="D6419" s="483">
        <v>3.81</v>
      </c>
      <c r="E6419" s="483">
        <v>3.81</v>
      </c>
    </row>
    <row r="6420" spans="1:5">
      <c r="A6420" s="484">
        <v>820</v>
      </c>
      <c r="B6420" s="485" t="s">
        <v>2774</v>
      </c>
      <c r="C6420" s="484" t="s">
        <v>65</v>
      </c>
      <c r="D6420" s="486">
        <v>4.17</v>
      </c>
      <c r="E6420" s="486">
        <v>4.17</v>
      </c>
    </row>
    <row r="6421" spans="1:5">
      <c r="A6421" s="349">
        <v>816</v>
      </c>
      <c r="B6421" s="348" t="s">
        <v>2775</v>
      </c>
      <c r="C6421" s="349" t="s">
        <v>65</v>
      </c>
      <c r="D6421" s="483">
        <v>7.14</v>
      </c>
      <c r="E6421" s="483">
        <v>7.14</v>
      </c>
    </row>
    <row r="6422" spans="1:5">
      <c r="A6422" s="484">
        <v>814</v>
      </c>
      <c r="B6422" s="485" t="s">
        <v>2776</v>
      </c>
      <c r="C6422" s="484" t="s">
        <v>65</v>
      </c>
      <c r="D6422" s="486">
        <v>8.9</v>
      </c>
      <c r="E6422" s="486">
        <v>8.9</v>
      </c>
    </row>
    <row r="6423" spans="1:5">
      <c r="A6423" s="349">
        <v>815</v>
      </c>
      <c r="B6423" s="348" t="s">
        <v>2777</v>
      </c>
      <c r="C6423" s="349" t="s">
        <v>65</v>
      </c>
      <c r="D6423" s="483">
        <v>9.14</v>
      </c>
      <c r="E6423" s="483">
        <v>9.14</v>
      </c>
    </row>
    <row r="6424" spans="1:5">
      <c r="A6424" s="484">
        <v>822</v>
      </c>
      <c r="B6424" s="485" t="s">
        <v>2778</v>
      </c>
      <c r="C6424" s="484" t="s">
        <v>65</v>
      </c>
      <c r="D6424" s="486">
        <v>10.57</v>
      </c>
      <c r="E6424" s="486">
        <v>10.57</v>
      </c>
    </row>
    <row r="6425" spans="1:5">
      <c r="A6425" s="349">
        <v>821</v>
      </c>
      <c r="B6425" s="348" t="s">
        <v>2779</v>
      </c>
      <c r="C6425" s="349" t="s">
        <v>65</v>
      </c>
      <c r="D6425" s="483">
        <v>12.65</v>
      </c>
      <c r="E6425" s="483">
        <v>12.65</v>
      </c>
    </row>
    <row r="6426" spans="1:5">
      <c r="A6426" s="484">
        <v>817</v>
      </c>
      <c r="B6426" s="485" t="s">
        <v>2780</v>
      </c>
      <c r="C6426" s="484" t="s">
        <v>65</v>
      </c>
      <c r="D6426" s="486">
        <v>17.29</v>
      </c>
      <c r="E6426" s="486">
        <v>17.29</v>
      </c>
    </row>
    <row r="6427" spans="1:5">
      <c r="A6427" s="349">
        <v>20086</v>
      </c>
      <c r="B6427" s="348" t="s">
        <v>2766</v>
      </c>
      <c r="C6427" s="349" t="s">
        <v>65</v>
      </c>
      <c r="D6427" s="483">
        <v>2.38</v>
      </c>
      <c r="E6427" s="483">
        <v>2.38</v>
      </c>
    </row>
    <row r="6428" spans="1:5">
      <c r="A6428" s="484">
        <v>39191</v>
      </c>
      <c r="B6428" s="485" t="s">
        <v>2781</v>
      </c>
      <c r="C6428" s="484" t="s">
        <v>65</v>
      </c>
      <c r="D6428" s="486">
        <v>9.4</v>
      </c>
      <c r="E6428" s="486">
        <v>9.4</v>
      </c>
    </row>
    <row r="6429" spans="1:5">
      <c r="A6429" s="349">
        <v>39190</v>
      </c>
      <c r="B6429" s="348" t="s">
        <v>2782</v>
      </c>
      <c r="C6429" s="349" t="s">
        <v>65</v>
      </c>
      <c r="D6429" s="483">
        <v>9.82</v>
      </c>
      <c r="E6429" s="483">
        <v>9.82</v>
      </c>
    </row>
    <row r="6430" spans="1:5">
      <c r="A6430" s="484">
        <v>39189</v>
      </c>
      <c r="B6430" s="485" t="s">
        <v>2783</v>
      </c>
      <c r="C6430" s="484" t="s">
        <v>65</v>
      </c>
      <c r="D6430" s="486">
        <v>10.4</v>
      </c>
      <c r="E6430" s="486">
        <v>10.4</v>
      </c>
    </row>
    <row r="6431" spans="1:5">
      <c r="A6431" s="349">
        <v>39186</v>
      </c>
      <c r="B6431" s="348" t="s">
        <v>2785</v>
      </c>
      <c r="C6431" s="349" t="s">
        <v>65</v>
      </c>
      <c r="D6431" s="483">
        <v>9.3000000000000007</v>
      </c>
      <c r="E6431" s="483">
        <v>9.3000000000000007</v>
      </c>
    </row>
    <row r="6432" spans="1:5">
      <c r="A6432" s="484">
        <v>39188</v>
      </c>
      <c r="B6432" s="485" t="s">
        <v>2784</v>
      </c>
      <c r="C6432" s="484" t="s">
        <v>65</v>
      </c>
      <c r="D6432" s="486">
        <v>7.65</v>
      </c>
      <c r="E6432" s="486">
        <v>7.65</v>
      </c>
    </row>
    <row r="6433" spans="1:5">
      <c r="A6433" s="349">
        <v>39187</v>
      </c>
      <c r="B6433" s="348" t="s">
        <v>2786</v>
      </c>
      <c r="C6433" s="349" t="s">
        <v>65</v>
      </c>
      <c r="D6433" s="483">
        <v>8.02</v>
      </c>
      <c r="E6433" s="483">
        <v>8.02</v>
      </c>
    </row>
    <row r="6434" spans="1:5">
      <c r="A6434" s="484">
        <v>39184</v>
      </c>
      <c r="B6434" s="485" t="s">
        <v>2787</v>
      </c>
      <c r="C6434" s="484" t="s">
        <v>65</v>
      </c>
      <c r="D6434" s="486">
        <v>3.01</v>
      </c>
      <c r="E6434" s="486">
        <v>3.01</v>
      </c>
    </row>
    <row r="6435" spans="1:5">
      <c r="A6435" s="349">
        <v>39185</v>
      </c>
      <c r="B6435" s="348" t="s">
        <v>2788</v>
      </c>
      <c r="C6435" s="349" t="s">
        <v>65</v>
      </c>
      <c r="D6435" s="483">
        <v>2.75</v>
      </c>
      <c r="E6435" s="483">
        <v>2.75</v>
      </c>
    </row>
    <row r="6436" spans="1:5">
      <c r="A6436" s="484">
        <v>39198</v>
      </c>
      <c r="B6436" s="485" t="s">
        <v>2789</v>
      </c>
      <c r="C6436" s="484" t="s">
        <v>65</v>
      </c>
      <c r="D6436" s="486">
        <v>30.85</v>
      </c>
      <c r="E6436" s="486">
        <v>30.85</v>
      </c>
    </row>
    <row r="6437" spans="1:5">
      <c r="A6437" s="349">
        <v>39197</v>
      </c>
      <c r="B6437" s="348" t="s">
        <v>2790</v>
      </c>
      <c r="C6437" s="349" t="s">
        <v>65</v>
      </c>
      <c r="D6437" s="483">
        <v>32.229999999999997</v>
      </c>
      <c r="E6437" s="483">
        <v>32.229999999999997</v>
      </c>
    </row>
    <row r="6438" spans="1:5">
      <c r="A6438" s="484">
        <v>39196</v>
      </c>
      <c r="B6438" s="485" t="s">
        <v>2791</v>
      </c>
      <c r="C6438" s="484" t="s">
        <v>65</v>
      </c>
      <c r="D6438" s="486">
        <v>33.24</v>
      </c>
      <c r="E6438" s="486">
        <v>33.24</v>
      </c>
    </row>
    <row r="6439" spans="1:5">
      <c r="A6439" s="349">
        <v>39199</v>
      </c>
      <c r="B6439" s="348" t="s">
        <v>2792</v>
      </c>
      <c r="C6439" s="349" t="s">
        <v>65</v>
      </c>
      <c r="D6439" s="483">
        <v>29.69</v>
      </c>
      <c r="E6439" s="483">
        <v>29.69</v>
      </c>
    </row>
    <row r="6440" spans="1:5">
      <c r="A6440" s="484">
        <v>39195</v>
      </c>
      <c r="B6440" s="485" t="s">
        <v>2793</v>
      </c>
      <c r="C6440" s="484" t="s">
        <v>65</v>
      </c>
      <c r="D6440" s="486">
        <v>17.14</v>
      </c>
      <c r="E6440" s="486">
        <v>17.14</v>
      </c>
    </row>
    <row r="6441" spans="1:5">
      <c r="A6441" s="349">
        <v>39194</v>
      </c>
      <c r="B6441" s="348" t="s">
        <v>2794</v>
      </c>
      <c r="C6441" s="349" t="s">
        <v>65</v>
      </c>
      <c r="D6441" s="483">
        <v>18.34</v>
      </c>
      <c r="E6441" s="483">
        <v>18.34</v>
      </c>
    </row>
    <row r="6442" spans="1:5">
      <c r="A6442" s="484">
        <v>39193</v>
      </c>
      <c r="B6442" s="485" t="s">
        <v>2795</v>
      </c>
      <c r="C6442" s="484" t="s">
        <v>65</v>
      </c>
      <c r="D6442" s="486">
        <v>20.100000000000001</v>
      </c>
      <c r="E6442" s="486">
        <v>20.100000000000001</v>
      </c>
    </row>
    <row r="6443" spans="1:5">
      <c r="A6443" s="349">
        <v>39192</v>
      </c>
      <c r="B6443" s="348" t="s">
        <v>2796</v>
      </c>
      <c r="C6443" s="349" t="s">
        <v>65</v>
      </c>
      <c r="D6443" s="483">
        <v>20.91</v>
      </c>
      <c r="E6443" s="483">
        <v>20.91</v>
      </c>
    </row>
    <row r="6444" spans="1:5">
      <c r="A6444" s="484">
        <v>39920</v>
      </c>
      <c r="B6444" s="485" t="s">
        <v>2801</v>
      </c>
      <c r="C6444" s="484" t="s">
        <v>65</v>
      </c>
      <c r="D6444" s="486">
        <v>2.5299999999999998</v>
      </c>
      <c r="E6444" s="486">
        <v>2.5299999999999998</v>
      </c>
    </row>
    <row r="6445" spans="1:5">
      <c r="A6445" s="349">
        <v>39201</v>
      </c>
      <c r="B6445" s="348" t="s">
        <v>2797</v>
      </c>
      <c r="C6445" s="349" t="s">
        <v>65</v>
      </c>
      <c r="D6445" s="483">
        <v>36.89</v>
      </c>
      <c r="E6445" s="483">
        <v>36.89</v>
      </c>
    </row>
    <row r="6446" spans="1:5">
      <c r="A6446" s="484">
        <v>39200</v>
      </c>
      <c r="B6446" s="485" t="s">
        <v>2798</v>
      </c>
      <c r="C6446" s="484" t="s">
        <v>65</v>
      </c>
      <c r="D6446" s="486">
        <v>37.19</v>
      </c>
      <c r="E6446" s="486">
        <v>37.19</v>
      </c>
    </row>
    <row r="6447" spans="1:5">
      <c r="A6447" s="349">
        <v>39203</v>
      </c>
      <c r="B6447" s="348" t="s">
        <v>2799</v>
      </c>
      <c r="C6447" s="349" t="s">
        <v>65</v>
      </c>
      <c r="D6447" s="483">
        <v>30.03</v>
      </c>
      <c r="E6447" s="483">
        <v>30.03</v>
      </c>
    </row>
    <row r="6448" spans="1:5">
      <c r="A6448" s="484">
        <v>39202</v>
      </c>
      <c r="B6448" s="485" t="s">
        <v>2800</v>
      </c>
      <c r="C6448" s="484" t="s">
        <v>65</v>
      </c>
      <c r="D6448" s="486">
        <v>35.270000000000003</v>
      </c>
      <c r="E6448" s="486">
        <v>35.270000000000003</v>
      </c>
    </row>
    <row r="6449" spans="1:5">
      <c r="A6449" s="349">
        <v>39205</v>
      </c>
      <c r="B6449" s="348" t="s">
        <v>2802</v>
      </c>
      <c r="C6449" s="349" t="s">
        <v>65</v>
      </c>
      <c r="D6449" s="483">
        <v>58.85</v>
      </c>
      <c r="E6449" s="483">
        <v>58.85</v>
      </c>
    </row>
    <row r="6450" spans="1:5" ht="43.5" customHeight="1">
      <c r="A6450" s="484">
        <v>39204</v>
      </c>
      <c r="B6450" s="485" t="s">
        <v>2803</v>
      </c>
      <c r="C6450" s="484" t="s">
        <v>65</v>
      </c>
      <c r="D6450" s="486">
        <v>60.27</v>
      </c>
      <c r="E6450" s="486">
        <v>60.27</v>
      </c>
    </row>
    <row r="6451" spans="1:5">
      <c r="A6451" s="349">
        <v>39206</v>
      </c>
      <c r="B6451" s="348" t="s">
        <v>2804</v>
      </c>
      <c r="C6451" s="349" t="s">
        <v>65</v>
      </c>
      <c r="D6451" s="483">
        <v>57.18</v>
      </c>
      <c r="E6451" s="483">
        <v>57.18</v>
      </c>
    </row>
    <row r="6452" spans="1:5">
      <c r="A6452" s="484">
        <v>792</v>
      </c>
      <c r="B6452" s="485" t="s">
        <v>2815</v>
      </c>
      <c r="C6452" s="484" t="s">
        <v>65</v>
      </c>
      <c r="D6452" s="486">
        <v>2.4</v>
      </c>
      <c r="E6452" s="486">
        <v>2.4</v>
      </c>
    </row>
    <row r="6453" spans="1:5">
      <c r="A6453" s="349">
        <v>38001</v>
      </c>
      <c r="B6453" s="348" t="s">
        <v>2816</v>
      </c>
      <c r="C6453" s="349" t="s">
        <v>65</v>
      </c>
      <c r="D6453" s="483">
        <v>0.84</v>
      </c>
      <c r="E6453" s="483">
        <v>0.84</v>
      </c>
    </row>
    <row r="6454" spans="1:5">
      <c r="A6454" s="484">
        <v>38002</v>
      </c>
      <c r="B6454" s="485" t="s">
        <v>2817</v>
      </c>
      <c r="C6454" s="484" t="s">
        <v>65</v>
      </c>
      <c r="D6454" s="486">
        <v>1.56</v>
      </c>
      <c r="E6454" s="486">
        <v>1.56</v>
      </c>
    </row>
    <row r="6455" spans="1:5">
      <c r="A6455" s="349">
        <v>38003</v>
      </c>
      <c r="B6455" s="348" t="s">
        <v>2818</v>
      </c>
      <c r="C6455" s="349" t="s">
        <v>65</v>
      </c>
      <c r="D6455" s="483">
        <v>18.71</v>
      </c>
      <c r="E6455" s="483">
        <v>18.71</v>
      </c>
    </row>
    <row r="6456" spans="1:5">
      <c r="A6456" s="484">
        <v>38004</v>
      </c>
      <c r="B6456" s="485" t="s">
        <v>2819</v>
      </c>
      <c r="C6456" s="484" t="s">
        <v>65</v>
      </c>
      <c r="D6456" s="486">
        <v>25.01</v>
      </c>
      <c r="E6456" s="486">
        <v>25.01</v>
      </c>
    </row>
    <row r="6457" spans="1:5">
      <c r="A6457" s="349">
        <v>38418</v>
      </c>
      <c r="B6457" s="348" t="s">
        <v>2828</v>
      </c>
      <c r="C6457" s="349" t="s">
        <v>65</v>
      </c>
      <c r="D6457" s="483">
        <v>3.77</v>
      </c>
      <c r="E6457" s="483">
        <v>3.77</v>
      </c>
    </row>
    <row r="6458" spans="1:5">
      <c r="A6458" s="484">
        <v>39178</v>
      </c>
      <c r="B6458" s="485" t="s">
        <v>2830</v>
      </c>
      <c r="C6458" s="484" t="s">
        <v>65</v>
      </c>
      <c r="D6458" s="486">
        <v>1.01</v>
      </c>
      <c r="E6458" s="486">
        <v>1.01</v>
      </c>
    </row>
    <row r="6459" spans="1:5">
      <c r="A6459" s="349">
        <v>39177</v>
      </c>
      <c r="B6459" s="348" t="s">
        <v>2831</v>
      </c>
      <c r="C6459" s="349" t="s">
        <v>65</v>
      </c>
      <c r="D6459" s="483">
        <v>0.92</v>
      </c>
      <c r="E6459" s="483">
        <v>0.92</v>
      </c>
    </row>
    <row r="6460" spans="1:5">
      <c r="A6460" s="484">
        <v>39174</v>
      </c>
      <c r="B6460" s="485" t="s">
        <v>2833</v>
      </c>
      <c r="C6460" s="484" t="s">
        <v>65</v>
      </c>
      <c r="D6460" s="486">
        <v>0.46</v>
      </c>
      <c r="E6460" s="486">
        <v>0.46</v>
      </c>
    </row>
    <row r="6461" spans="1:5">
      <c r="A6461" s="349">
        <v>39176</v>
      </c>
      <c r="B6461" s="348" t="s">
        <v>2832</v>
      </c>
      <c r="C6461" s="349" t="s">
        <v>65</v>
      </c>
      <c r="D6461" s="483">
        <v>0.6</v>
      </c>
      <c r="E6461" s="483">
        <v>0.6</v>
      </c>
    </row>
    <row r="6462" spans="1:5">
      <c r="A6462" s="484">
        <v>39180</v>
      </c>
      <c r="B6462" s="485" t="s">
        <v>2834</v>
      </c>
      <c r="C6462" s="484" t="s">
        <v>65</v>
      </c>
      <c r="D6462" s="486">
        <v>2.76</v>
      </c>
      <c r="E6462" s="486">
        <v>2.76</v>
      </c>
    </row>
    <row r="6463" spans="1:5">
      <c r="A6463" s="349">
        <v>39179</v>
      </c>
      <c r="B6463" s="348" t="s">
        <v>2835</v>
      </c>
      <c r="C6463" s="349" t="s">
        <v>65</v>
      </c>
      <c r="D6463" s="483">
        <v>2.44</v>
      </c>
      <c r="E6463" s="483">
        <v>2.44</v>
      </c>
    </row>
    <row r="6464" spans="1:5">
      <c r="A6464" s="484">
        <v>39175</v>
      </c>
      <c r="B6464" s="485" t="s">
        <v>2837</v>
      </c>
      <c r="C6464" s="484" t="s">
        <v>65</v>
      </c>
      <c r="D6464" s="486">
        <v>0.56000000000000005</v>
      </c>
      <c r="E6464" s="486">
        <v>0.56000000000000005</v>
      </c>
    </row>
    <row r="6465" spans="1:5">
      <c r="A6465" s="349">
        <v>39217</v>
      </c>
      <c r="B6465" s="348" t="s">
        <v>2838</v>
      </c>
      <c r="C6465" s="349" t="s">
        <v>65</v>
      </c>
      <c r="D6465" s="483">
        <v>0.43</v>
      </c>
      <c r="E6465" s="483">
        <v>0.43</v>
      </c>
    </row>
    <row r="6466" spans="1:5">
      <c r="A6466" s="484">
        <v>39181</v>
      </c>
      <c r="B6466" s="485" t="s">
        <v>2836</v>
      </c>
      <c r="C6466" s="484" t="s">
        <v>65</v>
      </c>
      <c r="D6466" s="486">
        <v>3.7</v>
      </c>
      <c r="E6466" s="486">
        <v>3.7</v>
      </c>
    </row>
    <row r="6467" spans="1:5">
      <c r="A6467" s="349">
        <v>39182</v>
      </c>
      <c r="B6467" s="348" t="s">
        <v>2839</v>
      </c>
      <c r="C6467" s="349" t="s">
        <v>65</v>
      </c>
      <c r="D6467" s="483">
        <v>5.21</v>
      </c>
      <c r="E6467" s="483">
        <v>5.21</v>
      </c>
    </row>
    <row r="6468" spans="1:5">
      <c r="A6468" s="484">
        <v>797</v>
      </c>
      <c r="B6468" s="485" t="s">
        <v>2840</v>
      </c>
      <c r="C6468" s="484" t="s">
        <v>65</v>
      </c>
      <c r="D6468" s="486">
        <v>5.59</v>
      </c>
      <c r="E6468" s="486">
        <v>5.59</v>
      </c>
    </row>
    <row r="6469" spans="1:5">
      <c r="A6469" s="349">
        <v>798</v>
      </c>
      <c r="B6469" s="348" t="s">
        <v>2841</v>
      </c>
      <c r="C6469" s="349" t="s">
        <v>65</v>
      </c>
      <c r="D6469" s="483">
        <v>0.82</v>
      </c>
      <c r="E6469" s="483">
        <v>0.82</v>
      </c>
    </row>
    <row r="6470" spans="1:5">
      <c r="A6470" s="484">
        <v>796</v>
      </c>
      <c r="B6470" s="485" t="s">
        <v>2842</v>
      </c>
      <c r="C6470" s="484" t="s">
        <v>65</v>
      </c>
      <c r="D6470" s="486">
        <v>5.51</v>
      </c>
      <c r="E6470" s="486">
        <v>5.51</v>
      </c>
    </row>
    <row r="6471" spans="1:5">
      <c r="A6471" s="349">
        <v>799</v>
      </c>
      <c r="B6471" s="348" t="s">
        <v>2843</v>
      </c>
      <c r="C6471" s="349" t="s">
        <v>65</v>
      </c>
      <c r="D6471" s="483">
        <v>2.5299999999999998</v>
      </c>
      <c r="E6471" s="483">
        <v>2.5299999999999998</v>
      </c>
    </row>
    <row r="6472" spans="1:5">
      <c r="A6472" s="484">
        <v>804</v>
      </c>
      <c r="B6472" s="485" t="s">
        <v>2844</v>
      </c>
      <c r="C6472" s="484" t="s">
        <v>65</v>
      </c>
      <c r="D6472" s="486">
        <v>7.48</v>
      </c>
      <c r="E6472" s="486">
        <v>7.48</v>
      </c>
    </row>
    <row r="6473" spans="1:5" ht="57.75" customHeight="1">
      <c r="A6473" s="349">
        <v>793</v>
      </c>
      <c r="B6473" s="348" t="s">
        <v>2845</v>
      </c>
      <c r="C6473" s="349" t="s">
        <v>65</v>
      </c>
      <c r="D6473" s="483">
        <v>3.7</v>
      </c>
      <c r="E6473" s="483">
        <v>3.7</v>
      </c>
    </row>
    <row r="6474" spans="1:5">
      <c r="A6474" s="484">
        <v>801</v>
      </c>
      <c r="B6474" s="485" t="s">
        <v>2846</v>
      </c>
      <c r="C6474" s="484" t="s">
        <v>65</v>
      </c>
      <c r="D6474" s="486">
        <v>2.5</v>
      </c>
      <c r="E6474" s="486">
        <v>2.5</v>
      </c>
    </row>
    <row r="6475" spans="1:5">
      <c r="A6475" s="349">
        <v>794</v>
      </c>
      <c r="B6475" s="348" t="s">
        <v>2847</v>
      </c>
      <c r="C6475" s="349" t="s">
        <v>65</v>
      </c>
      <c r="D6475" s="483">
        <v>2.62</v>
      </c>
      <c r="E6475" s="483">
        <v>2.62</v>
      </c>
    </row>
    <row r="6476" spans="1:5">
      <c r="A6476" s="484">
        <v>802</v>
      </c>
      <c r="B6476" s="485" t="s">
        <v>2848</v>
      </c>
      <c r="C6476" s="484" t="s">
        <v>65</v>
      </c>
      <c r="D6476" s="486">
        <v>7.9</v>
      </c>
      <c r="E6476" s="486">
        <v>7.9</v>
      </c>
    </row>
    <row r="6477" spans="1:5">
      <c r="A6477" s="349">
        <v>803</v>
      </c>
      <c r="B6477" s="348" t="s">
        <v>2849</v>
      </c>
      <c r="C6477" s="349" t="s">
        <v>65</v>
      </c>
      <c r="D6477" s="483">
        <v>8.23</v>
      </c>
      <c r="E6477" s="483">
        <v>8.23</v>
      </c>
    </row>
    <row r="6478" spans="1:5" ht="57.75" customHeight="1">
      <c r="A6478" s="484">
        <v>12616</v>
      </c>
      <c r="B6478" s="485" t="s">
        <v>11188</v>
      </c>
      <c r="C6478" s="484" t="s">
        <v>65</v>
      </c>
      <c r="D6478" s="486">
        <v>4.03</v>
      </c>
      <c r="E6478" s="486">
        <v>4.03</v>
      </c>
    </row>
    <row r="6479" spans="1:5" ht="45">
      <c r="A6479" s="349">
        <v>1049</v>
      </c>
      <c r="B6479" s="348" t="s">
        <v>2851</v>
      </c>
      <c r="C6479" s="349" t="s">
        <v>65</v>
      </c>
      <c r="D6479" s="483">
        <v>4.3600000000000003</v>
      </c>
      <c r="E6479" s="483">
        <v>4.3600000000000003</v>
      </c>
    </row>
    <row r="6480" spans="1:5" ht="45">
      <c r="A6480" s="484">
        <v>1099</v>
      </c>
      <c r="B6480" s="485" t="s">
        <v>2852</v>
      </c>
      <c r="C6480" s="484" t="s">
        <v>65</v>
      </c>
      <c r="D6480" s="486">
        <v>3.33</v>
      </c>
      <c r="E6480" s="486">
        <v>3.33</v>
      </c>
    </row>
    <row r="6481" spans="1:5" ht="45">
      <c r="A6481" s="349">
        <v>39678</v>
      </c>
      <c r="B6481" s="348" t="s">
        <v>2854</v>
      </c>
      <c r="C6481" s="349" t="s">
        <v>65</v>
      </c>
      <c r="D6481" s="483">
        <v>1.34</v>
      </c>
      <c r="E6481" s="483">
        <v>1.34</v>
      </c>
    </row>
    <row r="6482" spans="1:5" ht="45">
      <c r="A6482" s="484">
        <v>1050</v>
      </c>
      <c r="B6482" s="485" t="s">
        <v>2853</v>
      </c>
      <c r="C6482" s="484" t="s">
        <v>65</v>
      </c>
      <c r="D6482" s="486">
        <v>2.2799999999999998</v>
      </c>
      <c r="E6482" s="486">
        <v>2.2799999999999998</v>
      </c>
    </row>
    <row r="6483" spans="1:5" ht="45">
      <c r="A6483" s="349">
        <v>1101</v>
      </c>
      <c r="B6483" s="348" t="s">
        <v>2855</v>
      </c>
      <c r="C6483" s="349" t="s">
        <v>65</v>
      </c>
      <c r="D6483" s="483">
        <v>14.38</v>
      </c>
      <c r="E6483" s="483">
        <v>14.38</v>
      </c>
    </row>
    <row r="6484" spans="1:5" ht="45">
      <c r="A6484" s="484">
        <v>1100</v>
      </c>
      <c r="B6484" s="485" t="s">
        <v>2856</v>
      </c>
      <c r="C6484" s="484" t="s">
        <v>65</v>
      </c>
      <c r="D6484" s="486">
        <v>7.42</v>
      </c>
      <c r="E6484" s="486">
        <v>7.42</v>
      </c>
    </row>
    <row r="6485" spans="1:5" ht="45">
      <c r="A6485" s="349">
        <v>39679</v>
      </c>
      <c r="B6485" s="348" t="s">
        <v>2857</v>
      </c>
      <c r="C6485" s="349" t="s">
        <v>65</v>
      </c>
      <c r="D6485" s="483">
        <v>28.66</v>
      </c>
      <c r="E6485" s="483">
        <v>28.66</v>
      </c>
    </row>
    <row r="6486" spans="1:5" ht="45">
      <c r="A6486" s="484">
        <v>1098</v>
      </c>
      <c r="B6486" s="485" t="s">
        <v>2859</v>
      </c>
      <c r="C6486" s="484" t="s">
        <v>65</v>
      </c>
      <c r="D6486" s="486">
        <v>1.78</v>
      </c>
      <c r="E6486" s="486">
        <v>1.78</v>
      </c>
    </row>
    <row r="6487" spans="1:5" ht="45">
      <c r="A6487" s="349">
        <v>1102</v>
      </c>
      <c r="B6487" s="348" t="s">
        <v>2858</v>
      </c>
      <c r="C6487" s="349" t="s">
        <v>65</v>
      </c>
      <c r="D6487" s="483">
        <v>21.44</v>
      </c>
      <c r="E6487" s="483">
        <v>21.44</v>
      </c>
    </row>
    <row r="6488" spans="1:5" ht="45">
      <c r="A6488" s="484">
        <v>1051</v>
      </c>
      <c r="B6488" s="485" t="s">
        <v>2860</v>
      </c>
      <c r="C6488" s="484" t="s">
        <v>65</v>
      </c>
      <c r="D6488" s="486">
        <v>31.17</v>
      </c>
      <c r="E6488" s="486">
        <v>31.17</v>
      </c>
    </row>
    <row r="6489" spans="1:5">
      <c r="A6489" s="349">
        <v>37399</v>
      </c>
      <c r="B6489" s="348" t="s">
        <v>136</v>
      </c>
      <c r="C6489" s="349" t="s">
        <v>65</v>
      </c>
      <c r="D6489" s="483">
        <v>10.57</v>
      </c>
      <c r="E6489" s="483">
        <v>10.57</v>
      </c>
    </row>
    <row r="6490" spans="1:5">
      <c r="A6490" s="484">
        <v>25004</v>
      </c>
      <c r="B6490" s="485" t="s">
        <v>2862</v>
      </c>
      <c r="C6490" s="484" t="s">
        <v>90</v>
      </c>
      <c r="D6490" s="486">
        <v>23.42</v>
      </c>
      <c r="E6490" s="486">
        <v>23.42</v>
      </c>
    </row>
    <row r="6491" spans="1:5">
      <c r="A6491" s="349">
        <v>25002</v>
      </c>
      <c r="B6491" s="348" t="s">
        <v>2863</v>
      </c>
      <c r="C6491" s="349" t="s">
        <v>90</v>
      </c>
      <c r="D6491" s="483">
        <v>23.61</v>
      </c>
      <c r="E6491" s="483">
        <v>23.61</v>
      </c>
    </row>
    <row r="6492" spans="1:5">
      <c r="A6492" s="484">
        <v>37409</v>
      </c>
      <c r="B6492" s="485" t="s">
        <v>2864</v>
      </c>
      <c r="C6492" s="484" t="s">
        <v>90</v>
      </c>
      <c r="D6492" s="486">
        <v>23.22</v>
      </c>
      <c r="E6492" s="486">
        <v>23.22</v>
      </c>
    </row>
    <row r="6493" spans="1:5">
      <c r="A6493" s="349">
        <v>841</v>
      </c>
      <c r="B6493" s="348" t="s">
        <v>2865</v>
      </c>
      <c r="C6493" s="349" t="s">
        <v>90</v>
      </c>
      <c r="D6493" s="483">
        <v>23.99</v>
      </c>
      <c r="E6493" s="483">
        <v>23.99</v>
      </c>
    </row>
    <row r="6494" spans="1:5">
      <c r="A6494" s="484">
        <v>25005</v>
      </c>
      <c r="B6494" s="485" t="s">
        <v>2866</v>
      </c>
      <c r="C6494" s="484" t="s">
        <v>90</v>
      </c>
      <c r="D6494" s="486">
        <v>26.3</v>
      </c>
      <c r="E6494" s="486">
        <v>26.3</v>
      </c>
    </row>
    <row r="6495" spans="1:5">
      <c r="A6495" s="349">
        <v>25003</v>
      </c>
      <c r="B6495" s="348" t="s">
        <v>2867</v>
      </c>
      <c r="C6495" s="349" t="s">
        <v>90</v>
      </c>
      <c r="D6495" s="483">
        <v>28.1</v>
      </c>
      <c r="E6495" s="483">
        <v>28.1</v>
      </c>
    </row>
    <row r="6496" spans="1:5">
      <c r="A6496" s="484">
        <v>37410</v>
      </c>
      <c r="B6496" s="485" t="s">
        <v>2868</v>
      </c>
      <c r="C6496" s="484" t="s">
        <v>90</v>
      </c>
      <c r="D6496" s="486">
        <v>26.3</v>
      </c>
      <c r="E6496" s="486">
        <v>26.3</v>
      </c>
    </row>
    <row r="6497" spans="1:5">
      <c r="A6497" s="349">
        <v>842</v>
      </c>
      <c r="B6497" s="348" t="s">
        <v>2869</v>
      </c>
      <c r="C6497" s="349" t="s">
        <v>90</v>
      </c>
      <c r="D6497" s="483">
        <v>29.59</v>
      </c>
      <c r="E6497" s="483">
        <v>29.59</v>
      </c>
    </row>
    <row r="6498" spans="1:5">
      <c r="A6498" s="484">
        <v>862</v>
      </c>
      <c r="B6498" s="485" t="s">
        <v>2906</v>
      </c>
      <c r="C6498" s="484" t="s">
        <v>71</v>
      </c>
      <c r="D6498" s="486">
        <v>4.2</v>
      </c>
      <c r="E6498" s="486">
        <v>4.2</v>
      </c>
    </row>
    <row r="6499" spans="1:5">
      <c r="A6499" s="349">
        <v>866</v>
      </c>
      <c r="B6499" s="348" t="s">
        <v>2908</v>
      </c>
      <c r="C6499" s="349" t="s">
        <v>71</v>
      </c>
      <c r="D6499" s="483">
        <v>51.67</v>
      </c>
      <c r="E6499" s="483">
        <v>51.67</v>
      </c>
    </row>
    <row r="6500" spans="1:5">
      <c r="A6500" s="484">
        <v>892</v>
      </c>
      <c r="B6500" s="485" t="s">
        <v>2910</v>
      </c>
      <c r="C6500" s="484" t="s">
        <v>71</v>
      </c>
      <c r="D6500" s="486">
        <v>65.709999999999994</v>
      </c>
      <c r="E6500" s="486">
        <v>65.709999999999994</v>
      </c>
    </row>
    <row r="6501" spans="1:5">
      <c r="A6501" s="349">
        <v>857</v>
      </c>
      <c r="B6501" s="348" t="s">
        <v>2911</v>
      </c>
      <c r="C6501" s="349" t="s">
        <v>71</v>
      </c>
      <c r="D6501" s="483">
        <v>6.69</v>
      </c>
      <c r="E6501" s="483">
        <v>6.69</v>
      </c>
    </row>
    <row r="6502" spans="1:5">
      <c r="A6502" s="484">
        <v>37404</v>
      </c>
      <c r="B6502" s="485" t="s">
        <v>2913</v>
      </c>
      <c r="C6502" s="484" t="s">
        <v>71</v>
      </c>
      <c r="D6502" s="486">
        <v>79.02</v>
      </c>
      <c r="E6502" s="486">
        <v>79.02</v>
      </c>
    </row>
    <row r="6503" spans="1:5">
      <c r="A6503" s="349">
        <v>868</v>
      </c>
      <c r="B6503" s="348" t="s">
        <v>2914</v>
      </c>
      <c r="C6503" s="349" t="s">
        <v>71</v>
      </c>
      <c r="D6503" s="483">
        <v>10.33</v>
      </c>
      <c r="E6503" s="483">
        <v>10.33</v>
      </c>
    </row>
    <row r="6504" spans="1:5">
      <c r="A6504" s="484">
        <v>870</v>
      </c>
      <c r="B6504" s="485" t="s">
        <v>2916</v>
      </c>
      <c r="C6504" s="484" t="s">
        <v>71</v>
      </c>
      <c r="D6504" s="486">
        <v>136.16999999999999</v>
      </c>
      <c r="E6504" s="486">
        <v>136.16999999999999</v>
      </c>
    </row>
    <row r="6505" spans="1:5">
      <c r="A6505" s="349">
        <v>863</v>
      </c>
      <c r="B6505" s="348" t="s">
        <v>2917</v>
      </c>
      <c r="C6505" s="349" t="s">
        <v>71</v>
      </c>
      <c r="D6505" s="483">
        <v>14.27</v>
      </c>
      <c r="E6505" s="483">
        <v>14.27</v>
      </c>
    </row>
    <row r="6506" spans="1:5">
      <c r="A6506" s="484">
        <v>867</v>
      </c>
      <c r="B6506" s="485" t="s">
        <v>2919</v>
      </c>
      <c r="C6506" s="484" t="s">
        <v>71</v>
      </c>
      <c r="D6506" s="486">
        <v>19.88</v>
      </c>
      <c r="E6506" s="486">
        <v>19.88</v>
      </c>
    </row>
    <row r="6507" spans="1:5">
      <c r="A6507" s="349">
        <v>891</v>
      </c>
      <c r="B6507" s="348" t="s">
        <v>2920</v>
      </c>
      <c r="C6507" s="349" t="s">
        <v>71</v>
      </c>
      <c r="D6507" s="483">
        <v>228.68</v>
      </c>
      <c r="E6507" s="483">
        <v>228.68</v>
      </c>
    </row>
    <row r="6508" spans="1:5">
      <c r="A6508" s="484">
        <v>864</v>
      </c>
      <c r="B6508" s="485" t="s">
        <v>2922</v>
      </c>
      <c r="C6508" s="484" t="s">
        <v>71</v>
      </c>
      <c r="D6508" s="486">
        <v>28</v>
      </c>
      <c r="E6508" s="486">
        <v>28</v>
      </c>
    </row>
    <row r="6509" spans="1:5">
      <c r="A6509" s="349">
        <v>865</v>
      </c>
      <c r="B6509" s="348" t="s">
        <v>2924</v>
      </c>
      <c r="C6509" s="349" t="s">
        <v>71</v>
      </c>
      <c r="D6509" s="483">
        <v>39.450000000000003</v>
      </c>
      <c r="E6509" s="483">
        <v>39.450000000000003</v>
      </c>
    </row>
    <row r="6510" spans="1:5" ht="30">
      <c r="A6510" s="484">
        <v>1006</v>
      </c>
      <c r="B6510" s="485" t="s">
        <v>11189</v>
      </c>
      <c r="C6510" s="484" t="s">
        <v>71</v>
      </c>
      <c r="D6510" s="486">
        <v>59.62</v>
      </c>
      <c r="E6510" s="486">
        <v>59.62</v>
      </c>
    </row>
    <row r="6511" spans="1:5">
      <c r="A6511" s="349">
        <v>948</v>
      </c>
      <c r="B6511" s="348" t="s">
        <v>2926</v>
      </c>
      <c r="C6511" s="349" t="s">
        <v>71</v>
      </c>
      <c r="D6511" s="483">
        <v>22.77</v>
      </c>
      <c r="E6511" s="483">
        <v>22.77</v>
      </c>
    </row>
    <row r="6512" spans="1:5">
      <c r="A6512" s="484">
        <v>947</v>
      </c>
      <c r="B6512" s="485" t="s">
        <v>2927</v>
      </c>
      <c r="C6512" s="484" t="s">
        <v>71</v>
      </c>
      <c r="D6512" s="486">
        <v>23.17</v>
      </c>
      <c r="E6512" s="486">
        <v>23.17</v>
      </c>
    </row>
    <row r="6513" spans="1:5">
      <c r="A6513" s="349">
        <v>911</v>
      </c>
      <c r="B6513" s="348" t="s">
        <v>2928</v>
      </c>
      <c r="C6513" s="349" t="s">
        <v>71</v>
      </c>
      <c r="D6513" s="483">
        <v>33.69</v>
      </c>
      <c r="E6513" s="483">
        <v>33.69</v>
      </c>
    </row>
    <row r="6514" spans="1:5">
      <c r="A6514" s="484">
        <v>925</v>
      </c>
      <c r="B6514" s="485" t="s">
        <v>2929</v>
      </c>
      <c r="C6514" s="484" t="s">
        <v>71</v>
      </c>
      <c r="D6514" s="486">
        <v>31.14</v>
      </c>
      <c r="E6514" s="486">
        <v>31.14</v>
      </c>
    </row>
    <row r="6515" spans="1:5">
      <c r="A6515" s="349">
        <v>954</v>
      </c>
      <c r="B6515" s="348" t="s">
        <v>2930</v>
      </c>
      <c r="C6515" s="349" t="s">
        <v>71</v>
      </c>
      <c r="D6515" s="483">
        <v>34.4</v>
      </c>
      <c r="E6515" s="483">
        <v>34.4</v>
      </c>
    </row>
    <row r="6516" spans="1:5">
      <c r="A6516" s="484">
        <v>901</v>
      </c>
      <c r="B6516" s="485" t="s">
        <v>2931</v>
      </c>
      <c r="C6516" s="484" t="s">
        <v>71</v>
      </c>
      <c r="D6516" s="486">
        <v>36.82</v>
      </c>
      <c r="E6516" s="486">
        <v>36.82</v>
      </c>
    </row>
    <row r="6517" spans="1:5" ht="43.5" customHeight="1">
      <c r="A6517" s="349">
        <v>926</v>
      </c>
      <c r="B6517" s="348" t="s">
        <v>2932</v>
      </c>
      <c r="C6517" s="349" t="s">
        <v>71</v>
      </c>
      <c r="D6517" s="483">
        <v>38.909999999999997</v>
      </c>
      <c r="E6517" s="483">
        <v>38.909999999999997</v>
      </c>
    </row>
    <row r="6518" spans="1:5">
      <c r="A6518" s="484">
        <v>912</v>
      </c>
      <c r="B6518" s="485" t="s">
        <v>2933</v>
      </c>
      <c r="C6518" s="484" t="s">
        <v>71</v>
      </c>
      <c r="D6518" s="486">
        <v>39.15</v>
      </c>
      <c r="E6518" s="486">
        <v>39.15</v>
      </c>
    </row>
    <row r="6519" spans="1:5">
      <c r="A6519" s="349">
        <v>955</v>
      </c>
      <c r="B6519" s="348" t="s">
        <v>2934</v>
      </c>
      <c r="C6519" s="349" t="s">
        <v>71</v>
      </c>
      <c r="D6519" s="483">
        <v>46.73</v>
      </c>
      <c r="E6519" s="483">
        <v>46.73</v>
      </c>
    </row>
    <row r="6520" spans="1:5">
      <c r="A6520" s="484">
        <v>946</v>
      </c>
      <c r="B6520" s="485" t="s">
        <v>2935</v>
      </c>
      <c r="C6520" s="484" t="s">
        <v>71</v>
      </c>
      <c r="D6520" s="486">
        <v>52.53</v>
      </c>
      <c r="E6520" s="486">
        <v>52.53</v>
      </c>
    </row>
    <row r="6521" spans="1:5">
      <c r="A6521" s="349">
        <v>953</v>
      </c>
      <c r="B6521" s="348" t="s">
        <v>2936</v>
      </c>
      <c r="C6521" s="349" t="s">
        <v>71</v>
      </c>
      <c r="D6521" s="483">
        <v>47.81</v>
      </c>
      <c r="E6521" s="483">
        <v>47.81</v>
      </c>
    </row>
    <row r="6522" spans="1:5">
      <c r="A6522" s="484">
        <v>902</v>
      </c>
      <c r="B6522" s="485" t="s">
        <v>2937</v>
      </c>
      <c r="C6522" s="484" t="s">
        <v>71</v>
      </c>
      <c r="D6522" s="486">
        <v>58.12</v>
      </c>
      <c r="E6522" s="486">
        <v>58.12</v>
      </c>
    </row>
    <row r="6523" spans="1:5">
      <c r="A6523" s="349">
        <v>927</v>
      </c>
      <c r="B6523" s="348" t="s">
        <v>2938</v>
      </c>
      <c r="C6523" s="349" t="s">
        <v>71</v>
      </c>
      <c r="D6523" s="483">
        <v>56.33</v>
      </c>
      <c r="E6523" s="483">
        <v>56.33</v>
      </c>
    </row>
    <row r="6524" spans="1:5">
      <c r="A6524" s="484">
        <v>913</v>
      </c>
      <c r="B6524" s="485" t="s">
        <v>2939</v>
      </c>
      <c r="C6524" s="484" t="s">
        <v>71</v>
      </c>
      <c r="D6524" s="486">
        <v>62.87</v>
      </c>
      <c r="E6524" s="486">
        <v>62.87</v>
      </c>
    </row>
    <row r="6525" spans="1:5">
      <c r="A6525" s="349">
        <v>903</v>
      </c>
      <c r="B6525" s="348" t="s">
        <v>2940</v>
      </c>
      <c r="C6525" s="349" t="s">
        <v>71</v>
      </c>
      <c r="D6525" s="483">
        <v>71.16</v>
      </c>
      <c r="E6525" s="483">
        <v>71.16</v>
      </c>
    </row>
    <row r="6526" spans="1:5">
      <c r="A6526" s="484">
        <v>945</v>
      </c>
      <c r="B6526" s="485" t="s">
        <v>2941</v>
      </c>
      <c r="C6526" s="484" t="s">
        <v>71</v>
      </c>
      <c r="D6526" s="486">
        <v>75.27</v>
      </c>
      <c r="E6526" s="486">
        <v>75.27</v>
      </c>
    </row>
    <row r="6527" spans="1:5">
      <c r="A6527" s="349">
        <v>914</v>
      </c>
      <c r="B6527" s="348" t="s">
        <v>2942</v>
      </c>
      <c r="C6527" s="349" t="s">
        <v>71</v>
      </c>
      <c r="D6527" s="483">
        <v>77.11</v>
      </c>
      <c r="E6527" s="483">
        <v>77.11</v>
      </c>
    </row>
    <row r="6528" spans="1:5" ht="30">
      <c r="A6528" s="484">
        <v>993</v>
      </c>
      <c r="B6528" s="485" t="s">
        <v>11190</v>
      </c>
      <c r="C6528" s="484" t="s">
        <v>71</v>
      </c>
      <c r="D6528" s="486">
        <v>1.28</v>
      </c>
      <c r="E6528" s="486">
        <v>1.28</v>
      </c>
    </row>
    <row r="6529" spans="1:5" ht="30">
      <c r="A6529" s="349">
        <v>1020</v>
      </c>
      <c r="B6529" s="348" t="s">
        <v>11191</v>
      </c>
      <c r="C6529" s="349" t="s">
        <v>71</v>
      </c>
      <c r="D6529" s="483">
        <v>5.59</v>
      </c>
      <c r="E6529" s="483">
        <v>5.59</v>
      </c>
    </row>
    <row r="6530" spans="1:5" ht="30">
      <c r="A6530" s="484">
        <v>1017</v>
      </c>
      <c r="B6530" s="485" t="s">
        <v>2959</v>
      </c>
      <c r="C6530" s="484" t="s">
        <v>71</v>
      </c>
      <c r="D6530" s="486">
        <v>61.42</v>
      </c>
      <c r="E6530" s="486">
        <v>61.42</v>
      </c>
    </row>
    <row r="6531" spans="1:5" ht="30">
      <c r="A6531" s="349">
        <v>999</v>
      </c>
      <c r="B6531" s="348" t="s">
        <v>11192</v>
      </c>
      <c r="C6531" s="349" t="s">
        <v>71</v>
      </c>
      <c r="D6531" s="483">
        <v>76.099999999999994</v>
      </c>
      <c r="E6531" s="483">
        <v>76.099999999999994</v>
      </c>
    </row>
    <row r="6532" spans="1:5" ht="30">
      <c r="A6532" s="484">
        <v>995</v>
      </c>
      <c r="B6532" s="485" t="s">
        <v>2960</v>
      </c>
      <c r="C6532" s="484" t="s">
        <v>71</v>
      </c>
      <c r="D6532" s="486">
        <v>8.57</v>
      </c>
      <c r="E6532" s="486">
        <v>8.57</v>
      </c>
    </row>
    <row r="6533" spans="1:5" ht="30">
      <c r="A6533" s="349">
        <v>1000</v>
      </c>
      <c r="B6533" s="348" t="s">
        <v>2961</v>
      </c>
      <c r="C6533" s="349" t="s">
        <v>71</v>
      </c>
      <c r="D6533" s="483">
        <v>93.29</v>
      </c>
      <c r="E6533" s="483">
        <v>93.29</v>
      </c>
    </row>
    <row r="6534" spans="1:5" ht="30">
      <c r="A6534" s="484">
        <v>1022</v>
      </c>
      <c r="B6534" s="485" t="s">
        <v>11193</v>
      </c>
      <c r="C6534" s="484" t="s">
        <v>71</v>
      </c>
      <c r="D6534" s="486">
        <v>1.78</v>
      </c>
      <c r="E6534" s="486">
        <v>1.78</v>
      </c>
    </row>
    <row r="6535" spans="1:5" ht="30">
      <c r="A6535" s="349">
        <v>1015</v>
      </c>
      <c r="B6535" s="348" t="s">
        <v>11194</v>
      </c>
      <c r="C6535" s="349" t="s">
        <v>71</v>
      </c>
      <c r="D6535" s="483">
        <v>122.84</v>
      </c>
      <c r="E6535" s="483">
        <v>122.84</v>
      </c>
    </row>
    <row r="6536" spans="1:5" ht="30">
      <c r="A6536" s="484">
        <v>996</v>
      </c>
      <c r="B6536" s="485" t="s">
        <v>2962</v>
      </c>
      <c r="C6536" s="484" t="s">
        <v>71</v>
      </c>
      <c r="D6536" s="486">
        <v>13.05</v>
      </c>
      <c r="E6536" s="486">
        <v>13.05</v>
      </c>
    </row>
    <row r="6537" spans="1:5" ht="30">
      <c r="A6537" s="349">
        <v>1001</v>
      </c>
      <c r="B6537" s="348" t="s">
        <v>11195</v>
      </c>
      <c r="C6537" s="349" t="s">
        <v>71</v>
      </c>
      <c r="D6537" s="483">
        <v>153.72999999999999</v>
      </c>
      <c r="E6537" s="483">
        <v>153.72999999999999</v>
      </c>
    </row>
    <row r="6538" spans="1:5" ht="30">
      <c r="A6538" s="484">
        <v>1019</v>
      </c>
      <c r="B6538" s="485" t="s">
        <v>2963</v>
      </c>
      <c r="C6538" s="484" t="s">
        <v>71</v>
      </c>
      <c r="D6538" s="486">
        <v>17.989999999999998</v>
      </c>
      <c r="E6538" s="486">
        <v>17.989999999999998</v>
      </c>
    </row>
    <row r="6539" spans="1:5" ht="30">
      <c r="A6539" s="349">
        <v>1021</v>
      </c>
      <c r="B6539" s="348" t="s">
        <v>2964</v>
      </c>
      <c r="C6539" s="349" t="s">
        <v>71</v>
      </c>
      <c r="D6539" s="483">
        <v>2.5499999999999998</v>
      </c>
      <c r="E6539" s="483">
        <v>2.5499999999999998</v>
      </c>
    </row>
    <row r="6540" spans="1:5" ht="30">
      <c r="A6540" s="484">
        <v>39249</v>
      </c>
      <c r="B6540" s="485" t="s">
        <v>11196</v>
      </c>
      <c r="C6540" s="484" t="s">
        <v>71</v>
      </c>
      <c r="D6540" s="486">
        <v>200.55</v>
      </c>
      <c r="E6540" s="486">
        <v>200.55</v>
      </c>
    </row>
    <row r="6541" spans="1:5" ht="30">
      <c r="A6541" s="349">
        <v>1018</v>
      </c>
      <c r="B6541" s="348" t="s">
        <v>11197</v>
      </c>
      <c r="C6541" s="349" t="s">
        <v>71</v>
      </c>
      <c r="D6541" s="483">
        <v>25.64</v>
      </c>
      <c r="E6541" s="483">
        <v>25.64</v>
      </c>
    </row>
    <row r="6542" spans="1:5" ht="30">
      <c r="A6542" s="484">
        <v>39250</v>
      </c>
      <c r="B6542" s="485" t="s">
        <v>11198</v>
      </c>
      <c r="C6542" s="484" t="s">
        <v>71</v>
      </c>
      <c r="D6542" s="486">
        <v>257.62</v>
      </c>
      <c r="E6542" s="486">
        <v>257.62</v>
      </c>
    </row>
    <row r="6543" spans="1:5" ht="30">
      <c r="A6543" s="349">
        <v>994</v>
      </c>
      <c r="B6543" s="348" t="s">
        <v>2965</v>
      </c>
      <c r="C6543" s="349" t="s">
        <v>71</v>
      </c>
      <c r="D6543" s="483">
        <v>3.49</v>
      </c>
      <c r="E6543" s="483">
        <v>3.49</v>
      </c>
    </row>
    <row r="6544" spans="1:5" ht="30">
      <c r="A6544" s="484">
        <v>977</v>
      </c>
      <c r="B6544" s="485" t="s">
        <v>11199</v>
      </c>
      <c r="C6544" s="484" t="s">
        <v>71</v>
      </c>
      <c r="D6544" s="486">
        <v>35.520000000000003</v>
      </c>
      <c r="E6544" s="486">
        <v>35.520000000000003</v>
      </c>
    </row>
    <row r="6545" spans="1:5" ht="30">
      <c r="A6545" s="349">
        <v>998</v>
      </c>
      <c r="B6545" s="348" t="s">
        <v>11200</v>
      </c>
      <c r="C6545" s="349" t="s">
        <v>71</v>
      </c>
      <c r="D6545" s="483">
        <v>47.18</v>
      </c>
      <c r="E6545" s="483">
        <v>47.18</v>
      </c>
    </row>
    <row r="6546" spans="1:5" ht="30">
      <c r="A6546" s="484">
        <v>39251</v>
      </c>
      <c r="B6546" s="485" t="s">
        <v>2943</v>
      </c>
      <c r="C6546" s="484" t="s">
        <v>71</v>
      </c>
      <c r="D6546" s="486">
        <v>0.34</v>
      </c>
      <c r="E6546" s="486">
        <v>0.34</v>
      </c>
    </row>
    <row r="6547" spans="1:5" ht="30">
      <c r="A6547" s="349">
        <v>1011</v>
      </c>
      <c r="B6547" s="348" t="s">
        <v>2944</v>
      </c>
      <c r="C6547" s="349" t="s">
        <v>71</v>
      </c>
      <c r="D6547" s="483">
        <v>0.47</v>
      </c>
      <c r="E6547" s="483">
        <v>0.47</v>
      </c>
    </row>
    <row r="6548" spans="1:5" ht="30">
      <c r="A6548" s="484">
        <v>39252</v>
      </c>
      <c r="B6548" s="485" t="s">
        <v>2945</v>
      </c>
      <c r="C6548" s="484" t="s">
        <v>71</v>
      </c>
      <c r="D6548" s="486">
        <v>0.56000000000000005</v>
      </c>
      <c r="E6548" s="486">
        <v>0.56000000000000005</v>
      </c>
    </row>
    <row r="6549" spans="1:5" ht="30">
      <c r="A6549" s="349">
        <v>1013</v>
      </c>
      <c r="B6549" s="348" t="s">
        <v>2946</v>
      </c>
      <c r="C6549" s="349" t="s">
        <v>71</v>
      </c>
      <c r="D6549" s="483">
        <v>0.75</v>
      </c>
      <c r="E6549" s="483">
        <v>0.75</v>
      </c>
    </row>
    <row r="6550" spans="1:5" ht="30">
      <c r="A6550" s="484">
        <v>980</v>
      </c>
      <c r="B6550" s="485" t="s">
        <v>2947</v>
      </c>
      <c r="C6550" s="484" t="s">
        <v>71</v>
      </c>
      <c r="D6550" s="486">
        <v>5.12</v>
      </c>
      <c r="E6550" s="486">
        <v>5.12</v>
      </c>
    </row>
    <row r="6551" spans="1:5" ht="30">
      <c r="A6551" s="349">
        <v>39237</v>
      </c>
      <c r="B6551" s="348" t="s">
        <v>2948</v>
      </c>
      <c r="C6551" s="349" t="s">
        <v>71</v>
      </c>
      <c r="D6551" s="483">
        <v>60.78</v>
      </c>
      <c r="E6551" s="483">
        <v>60.78</v>
      </c>
    </row>
    <row r="6552" spans="1:5" ht="30">
      <c r="A6552" s="484">
        <v>979</v>
      </c>
      <c r="B6552" s="485" t="s">
        <v>2949</v>
      </c>
      <c r="C6552" s="484" t="s">
        <v>71</v>
      </c>
      <c r="D6552" s="486">
        <v>7.9</v>
      </c>
      <c r="E6552" s="486">
        <v>7.9</v>
      </c>
    </row>
    <row r="6553" spans="1:5" ht="30">
      <c r="A6553" s="349">
        <v>39239</v>
      </c>
      <c r="B6553" s="348" t="s">
        <v>11201</v>
      </c>
      <c r="C6553" s="349" t="s">
        <v>71</v>
      </c>
      <c r="D6553" s="483">
        <v>92.35</v>
      </c>
      <c r="E6553" s="483">
        <v>92.35</v>
      </c>
    </row>
    <row r="6554" spans="1:5" ht="30">
      <c r="A6554" s="484">
        <v>1014</v>
      </c>
      <c r="B6554" s="485" t="s">
        <v>2950</v>
      </c>
      <c r="C6554" s="484" t="s">
        <v>71</v>
      </c>
      <c r="D6554" s="486">
        <v>1.2</v>
      </c>
      <c r="E6554" s="486">
        <v>1.2</v>
      </c>
    </row>
    <row r="6555" spans="1:5" ht="30">
      <c r="A6555" s="349">
        <v>39240</v>
      </c>
      <c r="B6555" s="348" t="s">
        <v>2951</v>
      </c>
      <c r="C6555" s="349" t="s">
        <v>71</v>
      </c>
      <c r="D6555" s="483">
        <v>122.05</v>
      </c>
      <c r="E6555" s="483">
        <v>122.05</v>
      </c>
    </row>
    <row r="6556" spans="1:5" ht="30">
      <c r="A6556" s="484">
        <v>39232</v>
      </c>
      <c r="B6556" s="485" t="s">
        <v>2952</v>
      </c>
      <c r="C6556" s="484" t="s">
        <v>71</v>
      </c>
      <c r="D6556" s="486">
        <v>12.67</v>
      </c>
      <c r="E6556" s="486">
        <v>12.67</v>
      </c>
    </row>
    <row r="6557" spans="1:5" ht="30">
      <c r="A6557" s="349">
        <v>39233</v>
      </c>
      <c r="B6557" s="348" t="s">
        <v>2953</v>
      </c>
      <c r="C6557" s="349" t="s">
        <v>71</v>
      </c>
      <c r="D6557" s="483">
        <v>17.420000000000002</v>
      </c>
      <c r="E6557" s="483">
        <v>17.420000000000002</v>
      </c>
    </row>
    <row r="6558" spans="1:5" ht="30">
      <c r="A6558" s="484">
        <v>981</v>
      </c>
      <c r="B6558" s="485" t="s">
        <v>2954</v>
      </c>
      <c r="C6558" s="484" t="s">
        <v>71</v>
      </c>
      <c r="D6558" s="486">
        <v>2.14</v>
      </c>
      <c r="E6558" s="486">
        <v>2.14</v>
      </c>
    </row>
    <row r="6559" spans="1:5" ht="30">
      <c r="A6559" s="349">
        <v>39234</v>
      </c>
      <c r="B6559" s="348" t="s">
        <v>2955</v>
      </c>
      <c r="C6559" s="349" t="s">
        <v>71</v>
      </c>
      <c r="D6559" s="483">
        <v>25.57</v>
      </c>
      <c r="E6559" s="483">
        <v>25.57</v>
      </c>
    </row>
    <row r="6560" spans="1:5" ht="30">
      <c r="A6560" s="484">
        <v>982</v>
      </c>
      <c r="B6560" s="485" t="s">
        <v>2956</v>
      </c>
      <c r="C6560" s="484" t="s">
        <v>71</v>
      </c>
      <c r="D6560" s="486">
        <v>3</v>
      </c>
      <c r="E6560" s="486">
        <v>3</v>
      </c>
    </row>
    <row r="6561" spans="1:5" ht="30">
      <c r="A6561" s="349">
        <v>39235</v>
      </c>
      <c r="B6561" s="348" t="s">
        <v>2957</v>
      </c>
      <c r="C6561" s="349" t="s">
        <v>71</v>
      </c>
      <c r="D6561" s="483">
        <v>35.96</v>
      </c>
      <c r="E6561" s="483">
        <v>35.96</v>
      </c>
    </row>
    <row r="6562" spans="1:5" ht="30">
      <c r="A6562" s="484">
        <v>39236</v>
      </c>
      <c r="B6562" s="485" t="s">
        <v>2958</v>
      </c>
      <c r="C6562" s="484" t="s">
        <v>71</v>
      </c>
      <c r="D6562" s="486">
        <v>47.15</v>
      </c>
      <c r="E6562" s="486">
        <v>47.15</v>
      </c>
    </row>
    <row r="6563" spans="1:5" ht="45">
      <c r="A6563" s="349">
        <v>876</v>
      </c>
      <c r="B6563" s="348" t="s">
        <v>11202</v>
      </c>
      <c r="C6563" s="349" t="s">
        <v>71</v>
      </c>
      <c r="D6563" s="483">
        <v>121.71</v>
      </c>
      <c r="E6563" s="483">
        <v>121.71</v>
      </c>
    </row>
    <row r="6564" spans="1:5" ht="45">
      <c r="A6564" s="484">
        <v>877</v>
      </c>
      <c r="B6564" s="485" t="s">
        <v>11203</v>
      </c>
      <c r="C6564" s="484" t="s">
        <v>71</v>
      </c>
      <c r="D6564" s="486">
        <v>143.08000000000001</v>
      </c>
      <c r="E6564" s="486">
        <v>143.08000000000001</v>
      </c>
    </row>
    <row r="6565" spans="1:5" ht="45">
      <c r="A6565" s="349">
        <v>882</v>
      </c>
      <c r="B6565" s="348" t="s">
        <v>11204</v>
      </c>
      <c r="C6565" s="349" t="s">
        <v>71</v>
      </c>
      <c r="D6565" s="483">
        <v>155.91</v>
      </c>
      <c r="E6565" s="483">
        <v>155.91</v>
      </c>
    </row>
    <row r="6566" spans="1:5" ht="45">
      <c r="A6566" s="484">
        <v>878</v>
      </c>
      <c r="B6566" s="485" t="s">
        <v>11205</v>
      </c>
      <c r="C6566" s="484" t="s">
        <v>71</v>
      </c>
      <c r="D6566" s="486">
        <v>193.84</v>
      </c>
      <c r="E6566" s="486">
        <v>193.84</v>
      </c>
    </row>
    <row r="6567" spans="1:5" ht="45">
      <c r="A6567" s="349">
        <v>879</v>
      </c>
      <c r="B6567" s="348" t="s">
        <v>11206</v>
      </c>
      <c r="C6567" s="349" t="s">
        <v>71</v>
      </c>
      <c r="D6567" s="483">
        <v>228.47</v>
      </c>
      <c r="E6567" s="483">
        <v>228.47</v>
      </c>
    </row>
    <row r="6568" spans="1:5" ht="45">
      <c r="A6568" s="484">
        <v>880</v>
      </c>
      <c r="B6568" s="485" t="s">
        <v>11207</v>
      </c>
      <c r="C6568" s="484" t="s">
        <v>71</v>
      </c>
      <c r="D6568" s="486">
        <v>268.82</v>
      </c>
      <c r="E6568" s="486">
        <v>268.82</v>
      </c>
    </row>
    <row r="6569" spans="1:5" ht="45">
      <c r="A6569" s="349">
        <v>873</v>
      </c>
      <c r="B6569" s="348" t="s">
        <v>11208</v>
      </c>
      <c r="C6569" s="349" t="s">
        <v>71</v>
      </c>
      <c r="D6569" s="483">
        <v>81.739999999999995</v>
      </c>
      <c r="E6569" s="483">
        <v>81.739999999999995</v>
      </c>
    </row>
    <row r="6570" spans="1:5" ht="45">
      <c r="A6570" s="484">
        <v>881</v>
      </c>
      <c r="B6570" s="485" t="s">
        <v>11209</v>
      </c>
      <c r="C6570" s="484" t="s">
        <v>71</v>
      </c>
      <c r="D6570" s="486">
        <v>367.43</v>
      </c>
      <c r="E6570" s="486">
        <v>367.43</v>
      </c>
    </row>
    <row r="6571" spans="1:5" ht="45">
      <c r="A6571" s="349">
        <v>874</v>
      </c>
      <c r="B6571" s="348" t="s">
        <v>11210</v>
      </c>
      <c r="C6571" s="349" t="s">
        <v>71</v>
      </c>
      <c r="D6571" s="483">
        <v>97</v>
      </c>
      <c r="E6571" s="483">
        <v>97</v>
      </c>
    </row>
    <row r="6572" spans="1:5" ht="45">
      <c r="A6572" s="484">
        <v>875</v>
      </c>
      <c r="B6572" s="485" t="s">
        <v>11211</v>
      </c>
      <c r="C6572" s="484" t="s">
        <v>71</v>
      </c>
      <c r="D6572" s="486">
        <v>115.73</v>
      </c>
      <c r="E6572" s="486">
        <v>115.73</v>
      </c>
    </row>
    <row r="6573" spans="1:5" ht="30">
      <c r="A6573" s="349">
        <v>983</v>
      </c>
      <c r="B6573" s="348" t="s">
        <v>11212</v>
      </c>
      <c r="C6573" s="349" t="s">
        <v>71</v>
      </c>
      <c r="D6573" s="483">
        <v>0.72</v>
      </c>
      <c r="E6573" s="483">
        <v>0.72</v>
      </c>
    </row>
    <row r="6574" spans="1:5" ht="30">
      <c r="A6574" s="484">
        <v>985</v>
      </c>
      <c r="B6574" s="485" t="s">
        <v>11213</v>
      </c>
      <c r="C6574" s="484" t="s">
        <v>71</v>
      </c>
      <c r="D6574" s="486">
        <v>5.43</v>
      </c>
      <c r="E6574" s="486">
        <v>5.43</v>
      </c>
    </row>
    <row r="6575" spans="1:5" ht="30">
      <c r="A6575" s="349">
        <v>990</v>
      </c>
      <c r="B6575" s="348" t="s">
        <v>11214</v>
      </c>
      <c r="C6575" s="349" t="s">
        <v>71</v>
      </c>
      <c r="D6575" s="483">
        <v>74.400000000000006</v>
      </c>
      <c r="E6575" s="483">
        <v>74.400000000000006</v>
      </c>
    </row>
    <row r="6576" spans="1:5" ht="30">
      <c r="A6576" s="484">
        <v>39241</v>
      </c>
      <c r="B6576" s="485" t="s">
        <v>11215</v>
      </c>
      <c r="C6576" s="484" t="s">
        <v>71</v>
      </c>
      <c r="D6576" s="486">
        <v>8.5</v>
      </c>
      <c r="E6576" s="486">
        <v>8.5</v>
      </c>
    </row>
    <row r="6577" spans="1:5" ht="30">
      <c r="A6577" s="349">
        <v>1005</v>
      </c>
      <c r="B6577" s="348" t="s">
        <v>11216</v>
      </c>
      <c r="C6577" s="349" t="s">
        <v>71</v>
      </c>
      <c r="D6577" s="483">
        <v>91.32</v>
      </c>
      <c r="E6577" s="483">
        <v>91.32</v>
      </c>
    </row>
    <row r="6578" spans="1:5" ht="30">
      <c r="A6578" s="484">
        <v>984</v>
      </c>
      <c r="B6578" s="485" t="s">
        <v>11217</v>
      </c>
      <c r="C6578" s="484" t="s">
        <v>71</v>
      </c>
      <c r="D6578" s="486">
        <v>1.87</v>
      </c>
      <c r="E6578" s="486">
        <v>1.87</v>
      </c>
    </row>
    <row r="6579" spans="1:5" ht="30">
      <c r="A6579" s="349">
        <v>991</v>
      </c>
      <c r="B6579" s="348" t="s">
        <v>11218</v>
      </c>
      <c r="C6579" s="349" t="s">
        <v>71</v>
      </c>
      <c r="D6579" s="483">
        <v>120.66</v>
      </c>
      <c r="E6579" s="483">
        <v>120.66</v>
      </c>
    </row>
    <row r="6580" spans="1:5" ht="30">
      <c r="A6580" s="484">
        <v>986</v>
      </c>
      <c r="B6580" s="485" t="s">
        <v>11219</v>
      </c>
      <c r="C6580" s="484" t="s">
        <v>71</v>
      </c>
      <c r="D6580" s="486">
        <v>13</v>
      </c>
      <c r="E6580" s="486">
        <v>13</v>
      </c>
    </row>
    <row r="6581" spans="1:5" ht="30">
      <c r="A6581" s="349">
        <v>1024</v>
      </c>
      <c r="B6581" s="348" t="s">
        <v>11220</v>
      </c>
      <c r="C6581" s="349" t="s">
        <v>71</v>
      </c>
      <c r="D6581" s="483">
        <v>149.34</v>
      </c>
      <c r="E6581" s="483">
        <v>149.34</v>
      </c>
    </row>
    <row r="6582" spans="1:5" ht="30">
      <c r="A6582" s="484">
        <v>987</v>
      </c>
      <c r="B6582" s="485" t="s">
        <v>11221</v>
      </c>
      <c r="C6582" s="484" t="s">
        <v>71</v>
      </c>
      <c r="D6582" s="486">
        <v>17.66</v>
      </c>
      <c r="E6582" s="486">
        <v>17.66</v>
      </c>
    </row>
    <row r="6583" spans="1:5" ht="30">
      <c r="A6583" s="349">
        <v>1003</v>
      </c>
      <c r="B6583" s="348" t="s">
        <v>11222</v>
      </c>
      <c r="C6583" s="349" t="s">
        <v>71</v>
      </c>
      <c r="D6583" s="483">
        <v>2.75</v>
      </c>
      <c r="E6583" s="483">
        <v>2.75</v>
      </c>
    </row>
    <row r="6584" spans="1:5" ht="30">
      <c r="A6584" s="484">
        <v>992</v>
      </c>
      <c r="B6584" s="485" t="s">
        <v>11223</v>
      </c>
      <c r="C6584" s="484" t="s">
        <v>71</v>
      </c>
      <c r="D6584" s="486">
        <v>193.22</v>
      </c>
      <c r="E6584" s="486">
        <v>193.22</v>
      </c>
    </row>
    <row r="6585" spans="1:5" ht="30">
      <c r="A6585" s="349">
        <v>1007</v>
      </c>
      <c r="B6585" s="348" t="s">
        <v>11224</v>
      </c>
      <c r="C6585" s="349" t="s">
        <v>71</v>
      </c>
      <c r="D6585" s="483">
        <v>25.06</v>
      </c>
      <c r="E6585" s="483">
        <v>25.06</v>
      </c>
    </row>
    <row r="6586" spans="1:5" ht="30">
      <c r="A6586" s="484">
        <v>39242</v>
      </c>
      <c r="B6586" s="485" t="s">
        <v>11225</v>
      </c>
      <c r="C6586" s="484" t="s">
        <v>71</v>
      </c>
      <c r="D6586" s="486">
        <v>239.4</v>
      </c>
      <c r="E6586" s="486">
        <v>239.4</v>
      </c>
    </row>
    <row r="6587" spans="1:5" ht="30">
      <c r="A6587" s="349">
        <v>1008</v>
      </c>
      <c r="B6587" s="348" t="s">
        <v>11226</v>
      </c>
      <c r="C6587" s="349" t="s">
        <v>71</v>
      </c>
      <c r="D6587" s="483">
        <v>3.12</v>
      </c>
      <c r="E6587" s="483">
        <v>3.12</v>
      </c>
    </row>
    <row r="6588" spans="1:5" ht="30">
      <c r="A6588" s="484">
        <v>988</v>
      </c>
      <c r="B6588" s="485" t="s">
        <v>11227</v>
      </c>
      <c r="C6588" s="484" t="s">
        <v>71</v>
      </c>
      <c r="D6588" s="486">
        <v>34.61</v>
      </c>
      <c r="E6588" s="486">
        <v>34.61</v>
      </c>
    </row>
    <row r="6589" spans="1:5" ht="30">
      <c r="A6589" s="349">
        <v>989</v>
      </c>
      <c r="B6589" s="348" t="s">
        <v>11228</v>
      </c>
      <c r="C6589" s="349" t="s">
        <v>71</v>
      </c>
      <c r="D6589" s="483">
        <v>46.88</v>
      </c>
      <c r="E6589" s="483">
        <v>46.88</v>
      </c>
    </row>
    <row r="6590" spans="1:5">
      <c r="A6590" s="484">
        <v>34602</v>
      </c>
      <c r="B6590" s="485" t="s">
        <v>2966</v>
      </c>
      <c r="C6590" s="484" t="s">
        <v>71</v>
      </c>
      <c r="D6590" s="486">
        <v>2.14</v>
      </c>
      <c r="E6590" s="486">
        <v>2.14</v>
      </c>
    </row>
    <row r="6591" spans="1:5">
      <c r="A6591" s="349">
        <v>34603</v>
      </c>
      <c r="B6591" s="348" t="s">
        <v>2967</v>
      </c>
      <c r="C6591" s="349" t="s">
        <v>71</v>
      </c>
      <c r="D6591" s="483">
        <v>10.32</v>
      </c>
      <c r="E6591" s="483">
        <v>10.32</v>
      </c>
    </row>
    <row r="6592" spans="1:5">
      <c r="A6592" s="484">
        <v>34607</v>
      </c>
      <c r="B6592" s="485" t="s">
        <v>2968</v>
      </c>
      <c r="C6592" s="484" t="s">
        <v>71</v>
      </c>
      <c r="D6592" s="486">
        <v>4.5999999999999996</v>
      </c>
      <c r="E6592" s="486">
        <v>4.5999999999999996</v>
      </c>
    </row>
    <row r="6593" spans="1:5">
      <c r="A6593" s="349">
        <v>34609</v>
      </c>
      <c r="B6593" s="348" t="s">
        <v>2969</v>
      </c>
      <c r="C6593" s="349" t="s">
        <v>71</v>
      </c>
      <c r="D6593" s="483">
        <v>6.9</v>
      </c>
      <c r="E6593" s="483">
        <v>6.9</v>
      </c>
    </row>
    <row r="6594" spans="1:5">
      <c r="A6594" s="484">
        <v>34618</v>
      </c>
      <c r="B6594" s="485" t="s">
        <v>2970</v>
      </c>
      <c r="C6594" s="484" t="s">
        <v>71</v>
      </c>
      <c r="D6594" s="486">
        <v>2.84</v>
      </c>
      <c r="E6594" s="486">
        <v>2.84</v>
      </c>
    </row>
    <row r="6595" spans="1:5">
      <c r="A6595" s="349">
        <v>34620</v>
      </c>
      <c r="B6595" s="348" t="s">
        <v>2971</v>
      </c>
      <c r="C6595" s="349" t="s">
        <v>71</v>
      </c>
      <c r="D6595" s="483">
        <v>14.24</v>
      </c>
      <c r="E6595" s="483">
        <v>14.24</v>
      </c>
    </row>
    <row r="6596" spans="1:5">
      <c r="A6596" s="484">
        <v>34621</v>
      </c>
      <c r="B6596" s="485" t="s">
        <v>2972</v>
      </c>
      <c r="C6596" s="484" t="s">
        <v>71</v>
      </c>
      <c r="D6596" s="486">
        <v>6.6</v>
      </c>
      <c r="E6596" s="486">
        <v>6.6</v>
      </c>
    </row>
    <row r="6597" spans="1:5">
      <c r="A6597" s="349">
        <v>34622</v>
      </c>
      <c r="B6597" s="348" t="s">
        <v>2973</v>
      </c>
      <c r="C6597" s="349" t="s">
        <v>71</v>
      </c>
      <c r="D6597" s="483">
        <v>9.36</v>
      </c>
      <c r="E6597" s="483">
        <v>9.36</v>
      </c>
    </row>
    <row r="6598" spans="1:5">
      <c r="A6598" s="484">
        <v>34624</v>
      </c>
      <c r="B6598" s="485" t="s">
        <v>2974</v>
      </c>
      <c r="C6598" s="484" t="s">
        <v>71</v>
      </c>
      <c r="D6598" s="486">
        <v>3.63</v>
      </c>
      <c r="E6598" s="486">
        <v>3.63</v>
      </c>
    </row>
    <row r="6599" spans="1:5">
      <c r="A6599" s="349">
        <v>34626</v>
      </c>
      <c r="B6599" s="348" t="s">
        <v>2975</v>
      </c>
      <c r="C6599" s="349" t="s">
        <v>71</v>
      </c>
      <c r="D6599" s="483">
        <v>19.57</v>
      </c>
      <c r="E6599" s="483">
        <v>19.57</v>
      </c>
    </row>
    <row r="6600" spans="1:5">
      <c r="A6600" s="484">
        <v>34627</v>
      </c>
      <c r="B6600" s="485" t="s">
        <v>2976</v>
      </c>
      <c r="C6600" s="484" t="s">
        <v>71</v>
      </c>
      <c r="D6600" s="486">
        <v>8.43</v>
      </c>
      <c r="E6600" s="486">
        <v>8.43</v>
      </c>
    </row>
    <row r="6601" spans="1:5">
      <c r="A6601" s="349">
        <v>34629</v>
      </c>
      <c r="B6601" s="348" t="s">
        <v>2977</v>
      </c>
      <c r="C6601" s="349" t="s">
        <v>71</v>
      </c>
      <c r="D6601" s="483">
        <v>12.35</v>
      </c>
      <c r="E6601" s="483">
        <v>12.35</v>
      </c>
    </row>
    <row r="6602" spans="1:5" ht="30">
      <c r="A6602" s="484">
        <v>39257</v>
      </c>
      <c r="B6602" s="485" t="s">
        <v>11229</v>
      </c>
      <c r="C6602" s="484" t="s">
        <v>71</v>
      </c>
      <c r="D6602" s="486">
        <v>3.27</v>
      </c>
      <c r="E6602" s="486">
        <v>3.27</v>
      </c>
    </row>
    <row r="6603" spans="1:5" ht="43.5" customHeight="1">
      <c r="A6603" s="349">
        <v>39261</v>
      </c>
      <c r="B6603" s="348" t="s">
        <v>11230</v>
      </c>
      <c r="C6603" s="349" t="s">
        <v>71</v>
      </c>
      <c r="D6603" s="483">
        <v>17.440000000000001</v>
      </c>
      <c r="E6603" s="483">
        <v>17.440000000000001</v>
      </c>
    </row>
    <row r="6604" spans="1:5" ht="30">
      <c r="A6604" s="484">
        <v>39268</v>
      </c>
      <c r="B6604" s="485" t="s">
        <v>11231</v>
      </c>
      <c r="C6604" s="484" t="s">
        <v>71</v>
      </c>
      <c r="D6604" s="486">
        <v>201.23</v>
      </c>
      <c r="E6604" s="486">
        <v>201.23</v>
      </c>
    </row>
    <row r="6605" spans="1:5" ht="30">
      <c r="A6605" s="349">
        <v>39262</v>
      </c>
      <c r="B6605" s="348" t="s">
        <v>11232</v>
      </c>
      <c r="C6605" s="349" t="s">
        <v>71</v>
      </c>
      <c r="D6605" s="483">
        <v>27.27</v>
      </c>
      <c r="E6605" s="483">
        <v>27.27</v>
      </c>
    </row>
    <row r="6606" spans="1:5" ht="30">
      <c r="A6606" s="484">
        <v>39258</v>
      </c>
      <c r="B6606" s="485" t="s">
        <v>19476</v>
      </c>
      <c r="C6606" s="484" t="s">
        <v>71</v>
      </c>
      <c r="D6606" s="486">
        <v>4.8499999999999996</v>
      </c>
      <c r="E6606" s="486">
        <v>4.8499999999999996</v>
      </c>
    </row>
    <row r="6607" spans="1:5" ht="30">
      <c r="A6607" s="349">
        <v>39263</v>
      </c>
      <c r="B6607" s="348" t="s">
        <v>11233</v>
      </c>
      <c r="C6607" s="349" t="s">
        <v>71</v>
      </c>
      <c r="D6607" s="483">
        <v>42.19</v>
      </c>
      <c r="E6607" s="483">
        <v>42.19</v>
      </c>
    </row>
    <row r="6608" spans="1:5" ht="30">
      <c r="A6608" s="484">
        <v>39264</v>
      </c>
      <c r="B6608" s="485" t="s">
        <v>11234</v>
      </c>
      <c r="C6608" s="484" t="s">
        <v>71</v>
      </c>
      <c r="D6608" s="486">
        <v>57.13</v>
      </c>
      <c r="E6608" s="486">
        <v>57.13</v>
      </c>
    </row>
    <row r="6609" spans="1:5" ht="30">
      <c r="A6609" s="349">
        <v>39259</v>
      </c>
      <c r="B6609" s="348" t="s">
        <v>11235</v>
      </c>
      <c r="C6609" s="349" t="s">
        <v>71</v>
      </c>
      <c r="D6609" s="483">
        <v>7.39</v>
      </c>
      <c r="E6609" s="483">
        <v>7.39</v>
      </c>
    </row>
    <row r="6610" spans="1:5" ht="30">
      <c r="A6610" s="484">
        <v>39265</v>
      </c>
      <c r="B6610" s="485" t="s">
        <v>11236</v>
      </c>
      <c r="C6610" s="484" t="s">
        <v>71</v>
      </c>
      <c r="D6610" s="486">
        <v>84.16</v>
      </c>
      <c r="E6610" s="486">
        <v>84.16</v>
      </c>
    </row>
    <row r="6611" spans="1:5" ht="30">
      <c r="A6611" s="349">
        <v>39260</v>
      </c>
      <c r="B6611" s="348" t="s">
        <v>11237</v>
      </c>
      <c r="C6611" s="349" t="s">
        <v>71</v>
      </c>
      <c r="D6611" s="483">
        <v>10.52</v>
      </c>
      <c r="E6611" s="483">
        <v>10.52</v>
      </c>
    </row>
    <row r="6612" spans="1:5" ht="30">
      <c r="A6612" s="484">
        <v>39266</v>
      </c>
      <c r="B6612" s="485" t="s">
        <v>11238</v>
      </c>
      <c r="C6612" s="484" t="s">
        <v>71</v>
      </c>
      <c r="D6612" s="486">
        <v>118.09</v>
      </c>
      <c r="E6612" s="486">
        <v>118.09</v>
      </c>
    </row>
    <row r="6613" spans="1:5" ht="30">
      <c r="A6613" s="349">
        <v>39267</v>
      </c>
      <c r="B6613" s="348" t="s">
        <v>11239</v>
      </c>
      <c r="C6613" s="349" t="s">
        <v>71</v>
      </c>
      <c r="D6613" s="483">
        <v>154.80000000000001</v>
      </c>
      <c r="E6613" s="483">
        <v>154.80000000000001</v>
      </c>
    </row>
    <row r="6614" spans="1:5">
      <c r="A6614" s="484">
        <v>11901</v>
      </c>
      <c r="B6614" s="485" t="s">
        <v>2978</v>
      </c>
      <c r="C6614" s="484" t="s">
        <v>71</v>
      </c>
      <c r="D6614" s="486">
        <v>0.35</v>
      </c>
      <c r="E6614" s="486">
        <v>0.35</v>
      </c>
    </row>
    <row r="6615" spans="1:5">
      <c r="A6615" s="349">
        <v>11902</v>
      </c>
      <c r="B6615" s="348" t="s">
        <v>2979</v>
      </c>
      <c r="C6615" s="349" t="s">
        <v>71</v>
      </c>
      <c r="D6615" s="483">
        <v>0.61</v>
      </c>
      <c r="E6615" s="483">
        <v>0.61</v>
      </c>
    </row>
    <row r="6616" spans="1:5">
      <c r="A6616" s="484">
        <v>11903</v>
      </c>
      <c r="B6616" s="485" t="s">
        <v>2980</v>
      </c>
      <c r="C6616" s="484" t="s">
        <v>71</v>
      </c>
      <c r="D6616" s="486">
        <v>0.94</v>
      </c>
      <c r="E6616" s="486">
        <v>0.94</v>
      </c>
    </row>
    <row r="6617" spans="1:5">
      <c r="A6617" s="349">
        <v>11904</v>
      </c>
      <c r="B6617" s="348" t="s">
        <v>2981</v>
      </c>
      <c r="C6617" s="349" t="s">
        <v>71</v>
      </c>
      <c r="D6617" s="483">
        <v>1.2</v>
      </c>
      <c r="E6617" s="483">
        <v>1.2</v>
      </c>
    </row>
    <row r="6618" spans="1:5">
      <c r="A6618" s="484">
        <v>11905</v>
      </c>
      <c r="B6618" s="485" t="s">
        <v>2982</v>
      </c>
      <c r="C6618" s="484" t="s">
        <v>71</v>
      </c>
      <c r="D6618" s="486">
        <v>1.61</v>
      </c>
      <c r="E6618" s="486">
        <v>1.61</v>
      </c>
    </row>
    <row r="6619" spans="1:5">
      <c r="A6619" s="349">
        <v>11906</v>
      </c>
      <c r="B6619" s="348" t="s">
        <v>2983</v>
      </c>
      <c r="C6619" s="349" t="s">
        <v>71</v>
      </c>
      <c r="D6619" s="483">
        <v>1.85</v>
      </c>
      <c r="E6619" s="483">
        <v>1.85</v>
      </c>
    </row>
    <row r="6620" spans="1:5">
      <c r="A6620" s="484">
        <v>11919</v>
      </c>
      <c r="B6620" s="485" t="s">
        <v>2990</v>
      </c>
      <c r="C6620" s="484" t="s">
        <v>71</v>
      </c>
      <c r="D6620" s="486">
        <v>3.64</v>
      </c>
      <c r="E6620" s="486">
        <v>3.64</v>
      </c>
    </row>
    <row r="6621" spans="1:5">
      <c r="A6621" s="349">
        <v>11920</v>
      </c>
      <c r="B6621" s="348" t="s">
        <v>2991</v>
      </c>
      <c r="C6621" s="349" t="s">
        <v>71</v>
      </c>
      <c r="D6621" s="483">
        <v>7.06</v>
      </c>
      <c r="E6621" s="483">
        <v>7.06</v>
      </c>
    </row>
    <row r="6622" spans="1:5">
      <c r="A6622" s="484">
        <v>11924</v>
      </c>
      <c r="B6622" s="485" t="s">
        <v>2992</v>
      </c>
      <c r="C6622" s="484" t="s">
        <v>71</v>
      </c>
      <c r="D6622" s="486">
        <v>68.680000000000007</v>
      </c>
      <c r="E6622" s="486">
        <v>68.680000000000007</v>
      </c>
    </row>
    <row r="6623" spans="1:5">
      <c r="A6623" s="349">
        <v>11921</v>
      </c>
      <c r="B6623" s="348" t="s">
        <v>2993</v>
      </c>
      <c r="C6623" s="349" t="s">
        <v>71</v>
      </c>
      <c r="D6623" s="483">
        <v>9.61</v>
      </c>
      <c r="E6623" s="483">
        <v>9.61</v>
      </c>
    </row>
    <row r="6624" spans="1:5">
      <c r="A6624" s="484">
        <v>11922</v>
      </c>
      <c r="B6624" s="485" t="s">
        <v>2994</v>
      </c>
      <c r="C6624" s="484" t="s">
        <v>71</v>
      </c>
      <c r="D6624" s="486">
        <v>17.07</v>
      </c>
      <c r="E6624" s="486">
        <v>17.07</v>
      </c>
    </row>
    <row r="6625" spans="1:5">
      <c r="A6625" s="349">
        <v>11923</v>
      </c>
      <c r="B6625" s="348" t="s">
        <v>2995</v>
      </c>
      <c r="C6625" s="349" t="s">
        <v>71</v>
      </c>
      <c r="D6625" s="483">
        <v>27.88</v>
      </c>
      <c r="E6625" s="483">
        <v>27.88</v>
      </c>
    </row>
    <row r="6626" spans="1:5">
      <c r="A6626" s="484">
        <v>11916</v>
      </c>
      <c r="B6626" s="485" t="s">
        <v>3003</v>
      </c>
      <c r="C6626" s="484" t="s">
        <v>71</v>
      </c>
      <c r="D6626" s="486">
        <v>4.7300000000000004</v>
      </c>
      <c r="E6626" s="486">
        <v>4.7300000000000004</v>
      </c>
    </row>
    <row r="6627" spans="1:5">
      <c r="A6627" s="349">
        <v>11914</v>
      </c>
      <c r="B6627" s="348" t="s">
        <v>3004</v>
      </c>
      <c r="C6627" s="349" t="s">
        <v>71</v>
      </c>
      <c r="D6627" s="483">
        <v>34.35</v>
      </c>
      <c r="E6627" s="483">
        <v>34.35</v>
      </c>
    </row>
    <row r="6628" spans="1:5">
      <c r="A6628" s="484">
        <v>11917</v>
      </c>
      <c r="B6628" s="485" t="s">
        <v>3005</v>
      </c>
      <c r="C6628" s="484" t="s">
        <v>71</v>
      </c>
      <c r="D6628" s="486">
        <v>8.23</v>
      </c>
      <c r="E6628" s="486">
        <v>8.23</v>
      </c>
    </row>
    <row r="6629" spans="1:5">
      <c r="A6629" s="349">
        <v>11918</v>
      </c>
      <c r="B6629" s="348" t="s">
        <v>3006</v>
      </c>
      <c r="C6629" s="349" t="s">
        <v>71</v>
      </c>
      <c r="D6629" s="483">
        <v>11.17</v>
      </c>
      <c r="E6629" s="483">
        <v>11.17</v>
      </c>
    </row>
    <row r="6630" spans="1:5" ht="30">
      <c r="A6630" s="484">
        <v>37734</v>
      </c>
      <c r="B6630" s="485" t="s">
        <v>3011</v>
      </c>
      <c r="C6630" s="484" t="s">
        <v>65</v>
      </c>
      <c r="D6630" s="486">
        <v>36466.78</v>
      </c>
      <c r="E6630" s="486">
        <v>36466.78</v>
      </c>
    </row>
    <row r="6631" spans="1:5" ht="30">
      <c r="A6631" s="349">
        <v>37733</v>
      </c>
      <c r="B6631" s="348" t="s">
        <v>3012</v>
      </c>
      <c r="C6631" s="349" t="s">
        <v>65</v>
      </c>
      <c r="D6631" s="483">
        <v>27342.65</v>
      </c>
      <c r="E6631" s="483">
        <v>27342.65</v>
      </c>
    </row>
    <row r="6632" spans="1:5" ht="30">
      <c r="A6632" s="484">
        <v>37735</v>
      </c>
      <c r="B6632" s="485" t="s">
        <v>3013</v>
      </c>
      <c r="C6632" s="484" t="s">
        <v>65</v>
      </c>
      <c r="D6632" s="486">
        <v>32947.9</v>
      </c>
      <c r="E6632" s="486">
        <v>32947.9</v>
      </c>
    </row>
    <row r="6633" spans="1:5">
      <c r="A6633" s="349">
        <v>2354</v>
      </c>
      <c r="B6633" s="348" t="s">
        <v>19477</v>
      </c>
      <c r="C6633" s="349" t="s">
        <v>57</v>
      </c>
      <c r="D6633" s="483">
        <v>31.64</v>
      </c>
      <c r="E6633" s="483">
        <v>31.64</v>
      </c>
    </row>
    <row r="6634" spans="1:5" ht="30">
      <c r="A6634" s="484">
        <v>41758</v>
      </c>
      <c r="B6634" s="485" t="s">
        <v>3016</v>
      </c>
      <c r="C6634" s="484" t="s">
        <v>65</v>
      </c>
      <c r="D6634" s="486">
        <v>121.25</v>
      </c>
      <c r="E6634" s="486">
        <v>121.25</v>
      </c>
    </row>
    <row r="6635" spans="1:5" ht="30">
      <c r="A6635" s="349">
        <v>5090</v>
      </c>
      <c r="B6635" s="348" t="s">
        <v>3018</v>
      </c>
      <c r="C6635" s="349" t="s">
        <v>65</v>
      </c>
      <c r="D6635" s="483">
        <v>13.89</v>
      </c>
      <c r="E6635" s="483">
        <v>13.89</v>
      </c>
    </row>
    <row r="6636" spans="1:5" ht="30">
      <c r="A6636" s="484">
        <v>5085</v>
      </c>
      <c r="B6636" s="485" t="s">
        <v>3017</v>
      </c>
      <c r="C6636" s="484" t="s">
        <v>65</v>
      </c>
      <c r="D6636" s="486">
        <v>15.48</v>
      </c>
      <c r="E6636" s="486">
        <v>15.48</v>
      </c>
    </row>
    <row r="6637" spans="1:5">
      <c r="A6637" s="349">
        <v>38374</v>
      </c>
      <c r="B6637" s="348" t="s">
        <v>137</v>
      </c>
      <c r="C6637" s="349" t="s">
        <v>65</v>
      </c>
      <c r="D6637" s="483">
        <v>685.85</v>
      </c>
      <c r="E6637" s="483">
        <v>685.85</v>
      </c>
    </row>
    <row r="6638" spans="1:5" ht="30">
      <c r="A6638" s="484">
        <v>20212</v>
      </c>
      <c r="B6638" s="485" t="s">
        <v>3021</v>
      </c>
      <c r="C6638" s="484" t="s">
        <v>71</v>
      </c>
      <c r="D6638" s="486">
        <v>6.5</v>
      </c>
      <c r="E6638" s="486">
        <v>6.5</v>
      </c>
    </row>
    <row r="6639" spans="1:5" ht="30">
      <c r="A6639" s="349">
        <v>4430</v>
      </c>
      <c r="B6639" s="348" t="s">
        <v>3022</v>
      </c>
      <c r="C6639" s="349" t="s">
        <v>71</v>
      </c>
      <c r="D6639" s="483">
        <v>5.67</v>
      </c>
      <c r="E6639" s="483">
        <v>5.67</v>
      </c>
    </row>
    <row r="6640" spans="1:5" ht="30">
      <c r="A6640" s="484">
        <v>4400</v>
      </c>
      <c r="B6640" s="485" t="s">
        <v>3023</v>
      </c>
      <c r="C6640" s="484" t="s">
        <v>71</v>
      </c>
      <c r="D6640" s="486">
        <v>7.17</v>
      </c>
      <c r="E6640" s="486">
        <v>7.17</v>
      </c>
    </row>
    <row r="6641" spans="1:5" ht="43.5" customHeight="1">
      <c r="A6641" s="349">
        <v>4496</v>
      </c>
      <c r="B6641" s="348" t="s">
        <v>3024</v>
      </c>
      <c r="C6641" s="349" t="s">
        <v>71</v>
      </c>
      <c r="D6641" s="483">
        <v>1.5</v>
      </c>
      <c r="E6641" s="483">
        <v>1.5</v>
      </c>
    </row>
    <row r="6642" spans="1:5">
      <c r="A6642" s="484">
        <v>11871</v>
      </c>
      <c r="B6642" s="485" t="s">
        <v>138</v>
      </c>
      <c r="C6642" s="484" t="s">
        <v>65</v>
      </c>
      <c r="D6642" s="486">
        <v>307.01</v>
      </c>
      <c r="E6642" s="486">
        <v>307.01</v>
      </c>
    </row>
    <row r="6643" spans="1:5">
      <c r="A6643" s="349">
        <v>34636</v>
      </c>
      <c r="B6643" s="348" t="s">
        <v>3029</v>
      </c>
      <c r="C6643" s="349" t="s">
        <v>65</v>
      </c>
      <c r="D6643" s="483">
        <v>340.64</v>
      </c>
      <c r="E6643" s="483">
        <v>340.64</v>
      </c>
    </row>
    <row r="6644" spans="1:5">
      <c r="A6644" s="484">
        <v>34639</v>
      </c>
      <c r="B6644" s="485" t="s">
        <v>3030</v>
      </c>
      <c r="C6644" s="484" t="s">
        <v>65</v>
      </c>
      <c r="D6644" s="486">
        <v>691.83</v>
      </c>
      <c r="E6644" s="486">
        <v>691.83</v>
      </c>
    </row>
    <row r="6645" spans="1:5" ht="43.5" customHeight="1">
      <c r="A6645" s="349">
        <v>34640</v>
      </c>
      <c r="B6645" s="348" t="s">
        <v>3031</v>
      </c>
      <c r="C6645" s="349" t="s">
        <v>65</v>
      </c>
      <c r="D6645" s="483">
        <v>777.11</v>
      </c>
      <c r="E6645" s="483">
        <v>777.11</v>
      </c>
    </row>
    <row r="6646" spans="1:5" ht="43.5" customHeight="1">
      <c r="A6646" s="484">
        <v>34637</v>
      </c>
      <c r="B6646" s="485" t="s">
        <v>139</v>
      </c>
      <c r="C6646" s="484" t="s">
        <v>65</v>
      </c>
      <c r="D6646" s="486">
        <v>195.57</v>
      </c>
      <c r="E6646" s="486">
        <v>195.57</v>
      </c>
    </row>
    <row r="6647" spans="1:5">
      <c r="A6647" s="349">
        <v>34638</v>
      </c>
      <c r="B6647" s="348" t="s">
        <v>140</v>
      </c>
      <c r="C6647" s="349" t="s">
        <v>65</v>
      </c>
      <c r="D6647" s="483">
        <v>335.39</v>
      </c>
      <c r="E6647" s="483">
        <v>335.39</v>
      </c>
    </row>
    <row r="6648" spans="1:5">
      <c r="A6648" s="484">
        <v>11868</v>
      </c>
      <c r="B6648" s="485" t="s">
        <v>3032</v>
      </c>
      <c r="C6648" s="484" t="s">
        <v>65</v>
      </c>
      <c r="D6648" s="486">
        <v>421.94</v>
      </c>
      <c r="E6648" s="486">
        <v>421.94</v>
      </c>
    </row>
    <row r="6649" spans="1:5" ht="43.5" customHeight="1">
      <c r="A6649" s="349">
        <v>37106</v>
      </c>
      <c r="B6649" s="348" t="s">
        <v>3033</v>
      </c>
      <c r="C6649" s="349" t="s">
        <v>65</v>
      </c>
      <c r="D6649" s="483">
        <v>4075.49</v>
      </c>
      <c r="E6649" s="483">
        <v>4075.49</v>
      </c>
    </row>
    <row r="6650" spans="1:5">
      <c r="A6650" s="484">
        <v>11869</v>
      </c>
      <c r="B6650" s="485" t="s">
        <v>3034</v>
      </c>
      <c r="C6650" s="484" t="s">
        <v>65</v>
      </c>
      <c r="D6650" s="486">
        <v>684.59</v>
      </c>
      <c r="E6650" s="486">
        <v>684.59</v>
      </c>
    </row>
    <row r="6651" spans="1:5">
      <c r="A6651" s="349">
        <v>37104</v>
      </c>
      <c r="B6651" s="348" t="s">
        <v>3035</v>
      </c>
      <c r="C6651" s="349" t="s">
        <v>65</v>
      </c>
      <c r="D6651" s="483">
        <v>882.48</v>
      </c>
      <c r="E6651" s="483">
        <v>882.48</v>
      </c>
    </row>
    <row r="6652" spans="1:5">
      <c r="A6652" s="484">
        <v>37105</v>
      </c>
      <c r="B6652" s="485" t="s">
        <v>3036</v>
      </c>
      <c r="C6652" s="484" t="s">
        <v>65</v>
      </c>
      <c r="D6652" s="486">
        <v>1965.43</v>
      </c>
      <c r="E6652" s="486">
        <v>1965.43</v>
      </c>
    </row>
    <row r="6653" spans="1:5" ht="30">
      <c r="A6653" s="349">
        <v>11638</v>
      </c>
      <c r="B6653" s="348" t="s">
        <v>3037</v>
      </c>
      <c r="C6653" s="349" t="s">
        <v>65</v>
      </c>
      <c r="D6653" s="483">
        <v>100.01</v>
      </c>
      <c r="E6653" s="483">
        <v>100.01</v>
      </c>
    </row>
    <row r="6654" spans="1:5" ht="30">
      <c r="A6654" s="484">
        <v>1030</v>
      </c>
      <c r="B6654" s="485" t="s">
        <v>3039</v>
      </c>
      <c r="C6654" s="484" t="s">
        <v>65</v>
      </c>
      <c r="D6654" s="486">
        <v>26.8</v>
      </c>
      <c r="E6654" s="486">
        <v>26.8</v>
      </c>
    </row>
    <row r="6655" spans="1:5" ht="30">
      <c r="A6655" s="349">
        <v>11694</v>
      </c>
      <c r="B6655" s="348" t="s">
        <v>3040</v>
      </c>
      <c r="C6655" s="349" t="s">
        <v>65</v>
      </c>
      <c r="D6655" s="483">
        <v>592.41999999999996</v>
      </c>
      <c r="E6655" s="483">
        <v>592.41999999999996</v>
      </c>
    </row>
    <row r="6656" spans="1:5" ht="30">
      <c r="A6656" s="484">
        <v>35277</v>
      </c>
      <c r="B6656" s="485" t="s">
        <v>3042</v>
      </c>
      <c r="C6656" s="484" t="s">
        <v>65</v>
      </c>
      <c r="D6656" s="486">
        <v>280.66000000000003</v>
      </c>
      <c r="E6656" s="486">
        <v>280.66000000000003</v>
      </c>
    </row>
    <row r="6657" spans="1:5" ht="45">
      <c r="A6657" s="349">
        <v>10521</v>
      </c>
      <c r="B6657" s="348" t="s">
        <v>3044</v>
      </c>
      <c r="C6657" s="349" t="s">
        <v>65</v>
      </c>
      <c r="D6657" s="483">
        <v>209.99</v>
      </c>
      <c r="E6657" s="483">
        <v>209.99</v>
      </c>
    </row>
    <row r="6658" spans="1:5" ht="45">
      <c r="A6658" s="484">
        <v>10885</v>
      </c>
      <c r="B6658" s="485" t="s">
        <v>3045</v>
      </c>
      <c r="C6658" s="484" t="s">
        <v>65</v>
      </c>
      <c r="D6658" s="486">
        <v>265.62</v>
      </c>
      <c r="E6658" s="486">
        <v>265.62</v>
      </c>
    </row>
    <row r="6659" spans="1:5" ht="45">
      <c r="A6659" s="349">
        <v>20962</v>
      </c>
      <c r="B6659" s="348" t="s">
        <v>3046</v>
      </c>
      <c r="C6659" s="349" t="s">
        <v>65</v>
      </c>
      <c r="D6659" s="483">
        <v>220</v>
      </c>
      <c r="E6659" s="483">
        <v>220</v>
      </c>
    </row>
    <row r="6660" spans="1:5" ht="45">
      <c r="A6660" s="484">
        <v>20963</v>
      </c>
      <c r="B6660" s="485" t="s">
        <v>3047</v>
      </c>
      <c r="C6660" s="484" t="s">
        <v>65</v>
      </c>
      <c r="D6660" s="486">
        <v>268.74</v>
      </c>
      <c r="E6660" s="486">
        <v>268.74</v>
      </c>
    </row>
    <row r="6661" spans="1:5">
      <c r="A6661" s="349">
        <v>2555</v>
      </c>
      <c r="B6661" s="348" t="s">
        <v>3051</v>
      </c>
      <c r="C6661" s="349" t="s">
        <v>65</v>
      </c>
      <c r="D6661" s="483">
        <v>1.02</v>
      </c>
      <c r="E6661" s="483">
        <v>1.02</v>
      </c>
    </row>
    <row r="6662" spans="1:5">
      <c r="A6662" s="484">
        <v>2556</v>
      </c>
      <c r="B6662" s="485" t="s">
        <v>3052</v>
      </c>
      <c r="C6662" s="484" t="s">
        <v>65</v>
      </c>
      <c r="D6662" s="486">
        <v>0.94</v>
      </c>
      <c r="E6662" s="486">
        <v>0.94</v>
      </c>
    </row>
    <row r="6663" spans="1:5">
      <c r="A6663" s="349">
        <v>2557</v>
      </c>
      <c r="B6663" s="348" t="s">
        <v>3053</v>
      </c>
      <c r="C6663" s="349" t="s">
        <v>65</v>
      </c>
      <c r="D6663" s="483">
        <v>1.99</v>
      </c>
      <c r="E6663" s="483">
        <v>1.99</v>
      </c>
    </row>
    <row r="6664" spans="1:5">
      <c r="A6664" s="484">
        <v>39810</v>
      </c>
      <c r="B6664" s="485" t="s">
        <v>19478</v>
      </c>
      <c r="C6664" s="484" t="s">
        <v>65</v>
      </c>
      <c r="D6664" s="486">
        <v>14.93</v>
      </c>
      <c r="E6664" s="486">
        <v>14.93</v>
      </c>
    </row>
    <row r="6665" spans="1:5">
      <c r="A6665" s="349">
        <v>39811</v>
      </c>
      <c r="B6665" s="348" t="s">
        <v>19479</v>
      </c>
      <c r="C6665" s="349" t="s">
        <v>65</v>
      </c>
      <c r="D6665" s="483">
        <v>18.91</v>
      </c>
      <c r="E6665" s="483">
        <v>18.91</v>
      </c>
    </row>
    <row r="6666" spans="1:5">
      <c r="A6666" s="484">
        <v>39812</v>
      </c>
      <c r="B6666" s="485" t="s">
        <v>19480</v>
      </c>
      <c r="C6666" s="484" t="s">
        <v>65</v>
      </c>
      <c r="D6666" s="486">
        <v>28.84</v>
      </c>
      <c r="E6666" s="486">
        <v>28.84</v>
      </c>
    </row>
    <row r="6667" spans="1:5" ht="30">
      <c r="A6667" s="349">
        <v>20254</v>
      </c>
      <c r="B6667" s="348" t="s">
        <v>3060</v>
      </c>
      <c r="C6667" s="349" t="s">
        <v>65</v>
      </c>
      <c r="D6667" s="483">
        <v>10.98</v>
      </c>
      <c r="E6667" s="483">
        <v>10.98</v>
      </c>
    </row>
    <row r="6668" spans="1:5" ht="30">
      <c r="A6668" s="484">
        <v>39771</v>
      </c>
      <c r="B6668" s="485" t="s">
        <v>3061</v>
      </c>
      <c r="C6668" s="484" t="s">
        <v>65</v>
      </c>
      <c r="D6668" s="486">
        <v>18.190000000000001</v>
      </c>
      <c r="E6668" s="486">
        <v>18.190000000000001</v>
      </c>
    </row>
    <row r="6669" spans="1:5" ht="30">
      <c r="A6669" s="349">
        <v>20255</v>
      </c>
      <c r="B6669" s="348" t="s">
        <v>3062</v>
      </c>
      <c r="C6669" s="349" t="s">
        <v>65</v>
      </c>
      <c r="D6669" s="483">
        <v>30.06</v>
      </c>
      <c r="E6669" s="483">
        <v>30.06</v>
      </c>
    </row>
    <row r="6670" spans="1:5" ht="30">
      <c r="A6670" s="484">
        <v>39772</v>
      </c>
      <c r="B6670" s="485" t="s">
        <v>3063</v>
      </c>
      <c r="C6670" s="484" t="s">
        <v>65</v>
      </c>
      <c r="D6670" s="486">
        <v>36.03</v>
      </c>
      <c r="E6670" s="486">
        <v>36.03</v>
      </c>
    </row>
    <row r="6671" spans="1:5" ht="30">
      <c r="A6671" s="349">
        <v>20253</v>
      </c>
      <c r="B6671" s="348" t="s">
        <v>3064</v>
      </c>
      <c r="C6671" s="349" t="s">
        <v>65</v>
      </c>
      <c r="D6671" s="483">
        <v>62.81</v>
      </c>
      <c r="E6671" s="483">
        <v>62.81</v>
      </c>
    </row>
    <row r="6672" spans="1:5" ht="30">
      <c r="A6672" s="484">
        <v>39773</v>
      </c>
      <c r="B6672" s="485" t="s">
        <v>3065</v>
      </c>
      <c r="C6672" s="484" t="s">
        <v>65</v>
      </c>
      <c r="D6672" s="486">
        <v>65.239999999999995</v>
      </c>
      <c r="E6672" s="486">
        <v>65.239999999999995</v>
      </c>
    </row>
    <row r="6673" spans="1:5" ht="30">
      <c r="A6673" s="349">
        <v>39774</v>
      </c>
      <c r="B6673" s="348" t="s">
        <v>3066</v>
      </c>
      <c r="C6673" s="349" t="s">
        <v>65</v>
      </c>
      <c r="D6673" s="483">
        <v>84.77</v>
      </c>
      <c r="E6673" s="483">
        <v>84.77</v>
      </c>
    </row>
    <row r="6674" spans="1:5" ht="30">
      <c r="A6674" s="484">
        <v>39775</v>
      </c>
      <c r="B6674" s="485" t="s">
        <v>3067</v>
      </c>
      <c r="C6674" s="484" t="s">
        <v>65</v>
      </c>
      <c r="D6674" s="486">
        <v>148.47</v>
      </c>
      <c r="E6674" s="486">
        <v>148.47</v>
      </c>
    </row>
    <row r="6675" spans="1:5" ht="30">
      <c r="A6675" s="349">
        <v>39776</v>
      </c>
      <c r="B6675" s="348" t="s">
        <v>3068</v>
      </c>
      <c r="C6675" s="349" t="s">
        <v>65</v>
      </c>
      <c r="D6675" s="483">
        <v>182.73</v>
      </c>
      <c r="E6675" s="483">
        <v>182.73</v>
      </c>
    </row>
    <row r="6676" spans="1:5" ht="30">
      <c r="A6676" s="484">
        <v>39777</v>
      </c>
      <c r="B6676" s="485" t="s">
        <v>3069</v>
      </c>
      <c r="C6676" s="484" t="s">
        <v>65</v>
      </c>
      <c r="D6676" s="486">
        <v>219.28</v>
      </c>
      <c r="E6676" s="486">
        <v>219.28</v>
      </c>
    </row>
    <row r="6677" spans="1:5" ht="30">
      <c r="A6677" s="349">
        <v>11250</v>
      </c>
      <c r="B6677" s="348" t="s">
        <v>3070</v>
      </c>
      <c r="C6677" s="349" t="s">
        <v>65</v>
      </c>
      <c r="D6677" s="483">
        <v>32.56</v>
      </c>
      <c r="E6677" s="483">
        <v>32.56</v>
      </c>
    </row>
    <row r="6678" spans="1:5" ht="30">
      <c r="A6678" s="484">
        <v>39766</v>
      </c>
      <c r="B6678" s="485" t="s">
        <v>3071</v>
      </c>
      <c r="C6678" s="484" t="s">
        <v>65</v>
      </c>
      <c r="D6678" s="486">
        <v>39.74</v>
      </c>
      <c r="E6678" s="486">
        <v>39.74</v>
      </c>
    </row>
    <row r="6679" spans="1:5" ht="30">
      <c r="A6679" s="349">
        <v>11251</v>
      </c>
      <c r="B6679" s="348" t="s">
        <v>3072</v>
      </c>
      <c r="C6679" s="349" t="s">
        <v>65</v>
      </c>
      <c r="D6679" s="483">
        <v>68.52</v>
      </c>
      <c r="E6679" s="483">
        <v>68.52</v>
      </c>
    </row>
    <row r="6680" spans="1:5" ht="30">
      <c r="A6680" s="484">
        <v>39767</v>
      </c>
      <c r="B6680" s="485" t="s">
        <v>3073</v>
      </c>
      <c r="C6680" s="484" t="s">
        <v>65</v>
      </c>
      <c r="D6680" s="486">
        <v>90.22</v>
      </c>
      <c r="E6680" s="486">
        <v>90.22</v>
      </c>
    </row>
    <row r="6681" spans="1:5" ht="30">
      <c r="A6681" s="349">
        <v>11253</v>
      </c>
      <c r="B6681" s="348" t="s">
        <v>3074</v>
      </c>
      <c r="C6681" s="349" t="s">
        <v>65</v>
      </c>
      <c r="D6681" s="483">
        <v>134.76</v>
      </c>
      <c r="E6681" s="483">
        <v>134.76</v>
      </c>
    </row>
    <row r="6682" spans="1:5" ht="30">
      <c r="A6682" s="484">
        <v>11254</v>
      </c>
      <c r="B6682" s="485" t="s">
        <v>3075</v>
      </c>
      <c r="C6682" s="484" t="s">
        <v>65</v>
      </c>
      <c r="D6682" s="486">
        <v>144.79</v>
      </c>
      <c r="E6682" s="486">
        <v>144.79</v>
      </c>
    </row>
    <row r="6683" spans="1:5" ht="30">
      <c r="A6683" s="349">
        <v>11255</v>
      </c>
      <c r="B6683" s="348" t="s">
        <v>3076</v>
      </c>
      <c r="C6683" s="349" t="s">
        <v>65</v>
      </c>
      <c r="D6683" s="483">
        <v>219.28</v>
      </c>
      <c r="E6683" s="483">
        <v>219.28</v>
      </c>
    </row>
    <row r="6684" spans="1:5" ht="29.25" customHeight="1">
      <c r="A6684" s="484">
        <v>11256</v>
      </c>
      <c r="B6684" s="485" t="s">
        <v>3077</v>
      </c>
      <c r="C6684" s="484" t="s">
        <v>65</v>
      </c>
      <c r="D6684" s="486">
        <v>250.93</v>
      </c>
      <c r="E6684" s="486">
        <v>250.93</v>
      </c>
    </row>
    <row r="6685" spans="1:5" ht="30">
      <c r="A6685" s="349">
        <v>14055</v>
      </c>
      <c r="B6685" s="348" t="s">
        <v>3078</v>
      </c>
      <c r="C6685" s="349" t="s">
        <v>65</v>
      </c>
      <c r="D6685" s="483">
        <v>445.14</v>
      </c>
      <c r="E6685" s="483">
        <v>445.14</v>
      </c>
    </row>
    <row r="6686" spans="1:5" ht="30">
      <c r="A6686" s="484">
        <v>39768</v>
      </c>
      <c r="B6686" s="485" t="s">
        <v>3079</v>
      </c>
      <c r="C6686" s="484" t="s">
        <v>65</v>
      </c>
      <c r="D6686" s="486">
        <v>474.98</v>
      </c>
      <c r="E6686" s="486">
        <v>474.98</v>
      </c>
    </row>
    <row r="6687" spans="1:5" ht="30">
      <c r="A6687" s="349">
        <v>11247</v>
      </c>
      <c r="B6687" s="348" t="s">
        <v>3080</v>
      </c>
      <c r="C6687" s="349" t="s">
        <v>65</v>
      </c>
      <c r="D6687" s="483">
        <v>637.72</v>
      </c>
      <c r="E6687" s="483">
        <v>637.72</v>
      </c>
    </row>
    <row r="6688" spans="1:5" ht="30">
      <c r="A6688" s="484">
        <v>39769</v>
      </c>
      <c r="B6688" s="485" t="s">
        <v>3081</v>
      </c>
      <c r="C6688" s="484" t="s">
        <v>65</v>
      </c>
      <c r="D6688" s="486">
        <v>773.11</v>
      </c>
      <c r="E6688" s="486">
        <v>773.11</v>
      </c>
    </row>
    <row r="6689" spans="1:5" ht="30">
      <c r="A6689" s="349">
        <v>11249</v>
      </c>
      <c r="B6689" s="348" t="s">
        <v>3082</v>
      </c>
      <c r="C6689" s="349" t="s">
        <v>65</v>
      </c>
      <c r="D6689" s="483">
        <v>2084.48</v>
      </c>
      <c r="E6689" s="483">
        <v>2084.48</v>
      </c>
    </row>
    <row r="6690" spans="1:5" ht="30">
      <c r="A6690" s="484">
        <v>39770</v>
      </c>
      <c r="B6690" s="485" t="s">
        <v>3083</v>
      </c>
      <c r="C6690" s="484" t="s">
        <v>65</v>
      </c>
      <c r="D6690" s="486">
        <v>2710.45</v>
      </c>
      <c r="E6690" s="486">
        <v>2710.45</v>
      </c>
    </row>
    <row r="6691" spans="1:5">
      <c r="A6691" s="349">
        <v>10569</v>
      </c>
      <c r="B6691" s="348" t="s">
        <v>3084</v>
      </c>
      <c r="C6691" s="349" t="s">
        <v>65</v>
      </c>
      <c r="D6691" s="483">
        <v>1.98</v>
      </c>
      <c r="E6691" s="483">
        <v>1.98</v>
      </c>
    </row>
    <row r="6692" spans="1:5">
      <c r="A6692" s="484">
        <v>1872</v>
      </c>
      <c r="B6692" s="485" t="s">
        <v>3088</v>
      </c>
      <c r="C6692" s="484" t="s">
        <v>65</v>
      </c>
      <c r="D6692" s="486">
        <v>1.1299999999999999</v>
      </c>
      <c r="E6692" s="486">
        <v>1.1299999999999999</v>
      </c>
    </row>
    <row r="6693" spans="1:5">
      <c r="A6693" s="349">
        <v>1873</v>
      </c>
      <c r="B6693" s="348" t="s">
        <v>3089</v>
      </c>
      <c r="C6693" s="349" t="s">
        <v>65</v>
      </c>
      <c r="D6693" s="483">
        <v>2.2599999999999998</v>
      </c>
      <c r="E6693" s="483">
        <v>2.2599999999999998</v>
      </c>
    </row>
    <row r="6694" spans="1:5" ht="30">
      <c r="A6694" s="484">
        <v>39693</v>
      </c>
      <c r="B6694" s="485" t="s">
        <v>3091</v>
      </c>
      <c r="C6694" s="484" t="s">
        <v>65</v>
      </c>
      <c r="D6694" s="486">
        <v>1189.53</v>
      </c>
      <c r="E6694" s="486">
        <v>1189.53</v>
      </c>
    </row>
    <row r="6695" spans="1:5" ht="30">
      <c r="A6695" s="349">
        <v>39692</v>
      </c>
      <c r="B6695" s="348" t="s">
        <v>3093</v>
      </c>
      <c r="C6695" s="349" t="s">
        <v>65</v>
      </c>
      <c r="D6695" s="483">
        <v>200.24</v>
      </c>
      <c r="E6695" s="483">
        <v>200.24</v>
      </c>
    </row>
    <row r="6696" spans="1:5" ht="30">
      <c r="A6696" s="484">
        <v>39681</v>
      </c>
      <c r="B6696" s="485" t="s">
        <v>11240</v>
      </c>
      <c r="C6696" s="484" t="s">
        <v>65</v>
      </c>
      <c r="D6696" s="486">
        <v>113.06</v>
      </c>
      <c r="E6696" s="486">
        <v>113.06</v>
      </c>
    </row>
    <row r="6697" spans="1:5" ht="30">
      <c r="A6697" s="349">
        <v>39680</v>
      </c>
      <c r="B6697" s="348" t="s">
        <v>11241</v>
      </c>
      <c r="C6697" s="349" t="s">
        <v>65</v>
      </c>
      <c r="D6697" s="483">
        <v>58.24</v>
      </c>
      <c r="E6697" s="483">
        <v>58.24</v>
      </c>
    </row>
    <row r="6698" spans="1:5" ht="30">
      <c r="A6698" s="484">
        <v>39682</v>
      </c>
      <c r="B6698" s="485" t="s">
        <v>11242</v>
      </c>
      <c r="C6698" s="484" t="s">
        <v>65</v>
      </c>
      <c r="D6698" s="486">
        <v>114.21</v>
      </c>
      <c r="E6698" s="486">
        <v>114.21</v>
      </c>
    </row>
    <row r="6699" spans="1:5" ht="30">
      <c r="A6699" s="349">
        <v>39685</v>
      </c>
      <c r="B6699" s="348" t="s">
        <v>3098</v>
      </c>
      <c r="C6699" s="349" t="s">
        <v>65</v>
      </c>
      <c r="D6699" s="483">
        <v>96.89</v>
      </c>
      <c r="E6699" s="483">
        <v>96.89</v>
      </c>
    </row>
    <row r="6700" spans="1:5" ht="30">
      <c r="A6700" s="484">
        <v>39687</v>
      </c>
      <c r="B6700" s="485" t="s">
        <v>3099</v>
      </c>
      <c r="C6700" s="484" t="s">
        <v>65</v>
      </c>
      <c r="D6700" s="486">
        <v>182.64</v>
      </c>
      <c r="E6700" s="486">
        <v>182.64</v>
      </c>
    </row>
    <row r="6701" spans="1:5">
      <c r="A6701" s="349">
        <v>3280</v>
      </c>
      <c r="B6701" s="348" t="s">
        <v>3100</v>
      </c>
      <c r="C6701" s="349" t="s">
        <v>65</v>
      </c>
      <c r="D6701" s="483">
        <v>132.97999999999999</v>
      </c>
      <c r="E6701" s="483">
        <v>132.97999999999999</v>
      </c>
    </row>
    <row r="6702" spans="1:5">
      <c r="A6702" s="484">
        <v>11881</v>
      </c>
      <c r="B6702" s="485" t="s">
        <v>3101</v>
      </c>
      <c r="C6702" s="484" t="s">
        <v>65</v>
      </c>
      <c r="D6702" s="486">
        <v>61.75</v>
      </c>
      <c r="E6702" s="486">
        <v>61.75</v>
      </c>
    </row>
    <row r="6703" spans="1:5">
      <c r="A6703" s="349">
        <v>34641</v>
      </c>
      <c r="B6703" s="348" t="s">
        <v>3102</v>
      </c>
      <c r="C6703" s="349" t="s">
        <v>65</v>
      </c>
      <c r="D6703" s="483">
        <v>49.8</v>
      </c>
      <c r="E6703" s="483">
        <v>49.8</v>
      </c>
    </row>
    <row r="6704" spans="1:5">
      <c r="A6704" s="484">
        <v>34643</v>
      </c>
      <c r="B6704" s="485" t="s">
        <v>3103</v>
      </c>
      <c r="C6704" s="484" t="s">
        <v>65</v>
      </c>
      <c r="D6704" s="486">
        <v>9.08</v>
      </c>
      <c r="E6704" s="486">
        <v>9.08</v>
      </c>
    </row>
    <row r="6705" spans="1:5">
      <c r="A6705" s="349">
        <v>3278</v>
      </c>
      <c r="B6705" s="348" t="s">
        <v>3104</v>
      </c>
      <c r="C6705" s="349" t="s">
        <v>65</v>
      </c>
      <c r="D6705" s="483">
        <v>69.72</v>
      </c>
      <c r="E6705" s="483">
        <v>69.72</v>
      </c>
    </row>
    <row r="6706" spans="1:5">
      <c r="A6706" s="484">
        <v>3279</v>
      </c>
      <c r="B6706" s="485" t="s">
        <v>3105</v>
      </c>
      <c r="C6706" s="484" t="s">
        <v>65</v>
      </c>
      <c r="D6706" s="486">
        <v>115.05</v>
      </c>
      <c r="E6706" s="486">
        <v>115.05</v>
      </c>
    </row>
    <row r="6707" spans="1:5" ht="30">
      <c r="A6707" s="349">
        <v>1062</v>
      </c>
      <c r="B6707" s="348" t="s">
        <v>3106</v>
      </c>
      <c r="C6707" s="349" t="s">
        <v>65</v>
      </c>
      <c r="D6707" s="483">
        <v>102.79</v>
      </c>
      <c r="E6707" s="483">
        <v>102.79</v>
      </c>
    </row>
    <row r="6708" spans="1:5" ht="30">
      <c r="A6708" s="484">
        <v>39686</v>
      </c>
      <c r="B6708" s="485" t="s">
        <v>3107</v>
      </c>
      <c r="C6708" s="484" t="s">
        <v>65</v>
      </c>
      <c r="D6708" s="486">
        <v>175.33</v>
      </c>
      <c r="E6708" s="486">
        <v>175.33</v>
      </c>
    </row>
    <row r="6709" spans="1:5" ht="30">
      <c r="A6709" s="349">
        <v>39683</v>
      </c>
      <c r="B6709" s="348" t="s">
        <v>11243</v>
      </c>
      <c r="C6709" s="349" t="s">
        <v>65</v>
      </c>
      <c r="D6709" s="483">
        <v>35.65</v>
      </c>
      <c r="E6709" s="483">
        <v>35.65</v>
      </c>
    </row>
    <row r="6710" spans="1:5" ht="30">
      <c r="A6710" s="484">
        <v>1871</v>
      </c>
      <c r="B6710" s="485" t="s">
        <v>3111</v>
      </c>
      <c r="C6710" s="484" t="s">
        <v>65</v>
      </c>
      <c r="D6710" s="486">
        <v>2.0299999999999998</v>
      </c>
      <c r="E6710" s="486">
        <v>2.0299999999999998</v>
      </c>
    </row>
    <row r="6711" spans="1:5" ht="30">
      <c r="A6711" s="349">
        <v>12001</v>
      </c>
      <c r="B6711" s="348" t="s">
        <v>3112</v>
      </c>
      <c r="C6711" s="349" t="s">
        <v>65</v>
      </c>
      <c r="D6711" s="483">
        <v>2.93</v>
      </c>
      <c r="E6711" s="483">
        <v>2.93</v>
      </c>
    </row>
    <row r="6712" spans="1:5">
      <c r="A6712" s="484">
        <v>11882</v>
      </c>
      <c r="B6712" s="485" t="s">
        <v>3113</v>
      </c>
      <c r="C6712" s="484" t="s">
        <v>65</v>
      </c>
      <c r="D6712" s="486">
        <v>69.72</v>
      </c>
      <c r="E6712" s="486">
        <v>69.72</v>
      </c>
    </row>
    <row r="6713" spans="1:5" ht="30">
      <c r="A6713" s="349">
        <v>39689</v>
      </c>
      <c r="B6713" s="348" t="s">
        <v>3114</v>
      </c>
      <c r="C6713" s="349" t="s">
        <v>65</v>
      </c>
      <c r="D6713" s="483">
        <v>2284.2199999999998</v>
      </c>
      <c r="E6713" s="483">
        <v>2284.2199999999998</v>
      </c>
    </row>
    <row r="6714" spans="1:5" ht="30">
      <c r="A6714" s="484">
        <v>39688</v>
      </c>
      <c r="B6714" s="485" t="s">
        <v>11244</v>
      </c>
      <c r="C6714" s="484" t="s">
        <v>65</v>
      </c>
      <c r="D6714" s="486">
        <v>330.07</v>
      </c>
      <c r="E6714" s="486">
        <v>330.07</v>
      </c>
    </row>
    <row r="6715" spans="1:5" ht="30">
      <c r="A6715" s="349">
        <v>1068</v>
      </c>
      <c r="B6715" s="348" t="s">
        <v>3115</v>
      </c>
      <c r="C6715" s="349" t="s">
        <v>65</v>
      </c>
      <c r="D6715" s="483">
        <v>1378.52</v>
      </c>
      <c r="E6715" s="483">
        <v>1378.52</v>
      </c>
    </row>
    <row r="6716" spans="1:5" ht="30">
      <c r="A6716" s="484">
        <v>39690</v>
      </c>
      <c r="B6716" s="485" t="s">
        <v>3116</v>
      </c>
      <c r="C6716" s="484" t="s">
        <v>65</v>
      </c>
      <c r="D6716" s="486">
        <v>3100.83</v>
      </c>
      <c r="E6716" s="486">
        <v>3100.83</v>
      </c>
    </row>
    <row r="6717" spans="1:5" ht="30">
      <c r="A6717" s="349">
        <v>39691</v>
      </c>
      <c r="B6717" s="348" t="s">
        <v>3117</v>
      </c>
      <c r="C6717" s="349" t="s">
        <v>65</v>
      </c>
      <c r="D6717" s="483">
        <v>3466.3</v>
      </c>
      <c r="E6717" s="483">
        <v>3466.3</v>
      </c>
    </row>
    <row r="6718" spans="1:5">
      <c r="A6718" s="484">
        <v>39808</v>
      </c>
      <c r="B6718" s="485" t="s">
        <v>19481</v>
      </c>
      <c r="C6718" s="484" t="s">
        <v>65</v>
      </c>
      <c r="D6718" s="486">
        <v>55.11</v>
      </c>
      <c r="E6718" s="486">
        <v>55.11</v>
      </c>
    </row>
    <row r="6719" spans="1:5">
      <c r="A6719" s="349">
        <v>39809</v>
      </c>
      <c r="B6719" s="348" t="s">
        <v>19482</v>
      </c>
      <c r="C6719" s="349" t="s">
        <v>65</v>
      </c>
      <c r="D6719" s="483">
        <v>152.13</v>
      </c>
      <c r="E6719" s="483">
        <v>152.13</v>
      </c>
    </row>
    <row r="6720" spans="1:5">
      <c r="A6720" s="484">
        <v>11713</v>
      </c>
      <c r="B6720" s="485" t="s">
        <v>3131</v>
      </c>
      <c r="C6720" s="484" t="s">
        <v>65</v>
      </c>
      <c r="D6720" s="486">
        <v>19.71</v>
      </c>
      <c r="E6720" s="486">
        <v>19.71</v>
      </c>
    </row>
    <row r="6721" spans="1:5">
      <c r="A6721" s="349">
        <v>11716</v>
      </c>
      <c r="B6721" s="348" t="s">
        <v>3132</v>
      </c>
      <c r="C6721" s="349" t="s">
        <v>65</v>
      </c>
      <c r="D6721" s="483">
        <v>8.42</v>
      </c>
      <c r="E6721" s="483">
        <v>8.42</v>
      </c>
    </row>
    <row r="6722" spans="1:5">
      <c r="A6722" s="484">
        <v>5103</v>
      </c>
      <c r="B6722" s="485" t="s">
        <v>3133</v>
      </c>
      <c r="C6722" s="484" t="s">
        <v>65</v>
      </c>
      <c r="D6722" s="486">
        <v>8.5299999999999994</v>
      </c>
      <c r="E6722" s="486">
        <v>8.5299999999999994</v>
      </c>
    </row>
    <row r="6723" spans="1:5">
      <c r="A6723" s="349">
        <v>11712</v>
      </c>
      <c r="B6723" s="348" t="s">
        <v>3134</v>
      </c>
      <c r="C6723" s="349" t="s">
        <v>65</v>
      </c>
      <c r="D6723" s="483">
        <v>19.88</v>
      </c>
      <c r="E6723" s="483">
        <v>19.88</v>
      </c>
    </row>
    <row r="6724" spans="1:5">
      <c r="A6724" s="484">
        <v>11717</v>
      </c>
      <c r="B6724" s="485" t="s">
        <v>3135</v>
      </c>
      <c r="C6724" s="484" t="s">
        <v>65</v>
      </c>
      <c r="D6724" s="486">
        <v>21.6</v>
      </c>
      <c r="E6724" s="486">
        <v>21.6</v>
      </c>
    </row>
    <row r="6725" spans="1:5">
      <c r="A6725" s="349">
        <v>11714</v>
      </c>
      <c r="B6725" s="348" t="s">
        <v>3136</v>
      </c>
      <c r="C6725" s="349" t="s">
        <v>65</v>
      </c>
      <c r="D6725" s="483">
        <v>26.87</v>
      </c>
      <c r="E6725" s="483">
        <v>26.87</v>
      </c>
    </row>
    <row r="6726" spans="1:5">
      <c r="A6726" s="484">
        <v>11715</v>
      </c>
      <c r="B6726" s="485" t="s">
        <v>3137</v>
      </c>
      <c r="C6726" s="484" t="s">
        <v>65</v>
      </c>
      <c r="D6726" s="486">
        <v>30.92</v>
      </c>
      <c r="E6726" s="486">
        <v>30.92</v>
      </c>
    </row>
    <row r="6727" spans="1:5">
      <c r="A6727" s="349">
        <v>11880</v>
      </c>
      <c r="B6727" s="348" t="s">
        <v>3138</v>
      </c>
      <c r="C6727" s="349" t="s">
        <v>65</v>
      </c>
      <c r="D6727" s="483">
        <v>55.59</v>
      </c>
      <c r="E6727" s="483">
        <v>55.59</v>
      </c>
    </row>
    <row r="6728" spans="1:5">
      <c r="A6728" s="484">
        <v>599</v>
      </c>
      <c r="B6728" s="485" t="s">
        <v>3144</v>
      </c>
      <c r="C6728" s="484" t="s">
        <v>256</v>
      </c>
      <c r="D6728" s="486">
        <v>353.13</v>
      </c>
      <c r="E6728" s="486">
        <v>353.13</v>
      </c>
    </row>
    <row r="6729" spans="1:5">
      <c r="A6729" s="349">
        <v>34380</v>
      </c>
      <c r="B6729" s="348" t="s">
        <v>3143</v>
      </c>
      <c r="C6729" s="349" t="s">
        <v>65</v>
      </c>
      <c r="D6729" s="483">
        <v>190.34</v>
      </c>
      <c r="E6729" s="483">
        <v>190.34</v>
      </c>
    </row>
    <row r="6730" spans="1:5">
      <c r="A6730" s="484">
        <v>1106</v>
      </c>
      <c r="B6730" s="485" t="s">
        <v>141</v>
      </c>
      <c r="C6730" s="484" t="s">
        <v>90</v>
      </c>
      <c r="D6730" s="486">
        <v>0.59</v>
      </c>
      <c r="E6730" s="486">
        <v>0.59</v>
      </c>
    </row>
    <row r="6731" spans="1:5">
      <c r="A6731" s="349">
        <v>11161</v>
      </c>
      <c r="B6731" s="348" t="s">
        <v>142</v>
      </c>
      <c r="C6731" s="349" t="s">
        <v>90</v>
      </c>
      <c r="D6731" s="483">
        <v>0.98</v>
      </c>
      <c r="E6731" s="483">
        <v>0.98</v>
      </c>
    </row>
    <row r="6732" spans="1:5">
      <c r="A6732" s="484">
        <v>1107</v>
      </c>
      <c r="B6732" s="485" t="s">
        <v>143</v>
      </c>
      <c r="C6732" s="484" t="s">
        <v>90</v>
      </c>
      <c r="D6732" s="486">
        <v>0.67</v>
      </c>
      <c r="E6732" s="486">
        <v>0.67</v>
      </c>
    </row>
    <row r="6733" spans="1:5">
      <c r="A6733" s="349">
        <v>4758</v>
      </c>
      <c r="B6733" s="348" t="s">
        <v>144</v>
      </c>
      <c r="C6733" s="349" t="s">
        <v>57</v>
      </c>
      <c r="D6733" s="483">
        <v>13.8</v>
      </c>
      <c r="E6733" s="483">
        <v>13.8</v>
      </c>
    </row>
    <row r="6734" spans="1:5">
      <c r="A6734" s="484">
        <v>41080</v>
      </c>
      <c r="B6734" s="485" t="s">
        <v>3147</v>
      </c>
      <c r="C6734" s="484" t="s">
        <v>1643</v>
      </c>
      <c r="D6734" s="486">
        <v>2433.4499999999998</v>
      </c>
      <c r="E6734" s="486">
        <v>2433.4499999999998</v>
      </c>
    </row>
    <row r="6735" spans="1:5">
      <c r="A6735" s="349">
        <v>25963</v>
      </c>
      <c r="B6735" s="348" t="s">
        <v>3149</v>
      </c>
      <c r="C6735" s="349" t="s">
        <v>90</v>
      </c>
      <c r="D6735" s="483">
        <v>0.06</v>
      </c>
      <c r="E6735" s="483">
        <v>0.06</v>
      </c>
    </row>
    <row r="6736" spans="1:5">
      <c r="A6736" s="484">
        <v>4759</v>
      </c>
      <c r="B6736" s="485" t="s">
        <v>145</v>
      </c>
      <c r="C6736" s="484" t="s">
        <v>57</v>
      </c>
      <c r="D6736" s="486">
        <v>15.24</v>
      </c>
      <c r="E6736" s="486">
        <v>15.24</v>
      </c>
    </row>
    <row r="6737" spans="1:5" ht="29.25" customHeight="1">
      <c r="A6737" s="349">
        <v>41068</v>
      </c>
      <c r="B6737" s="348" t="s">
        <v>3150</v>
      </c>
      <c r="C6737" s="349" t="s">
        <v>1643</v>
      </c>
      <c r="D6737" s="483">
        <v>2392.0500000000002</v>
      </c>
      <c r="E6737" s="483">
        <v>2392.0500000000002</v>
      </c>
    </row>
    <row r="6738" spans="1:5">
      <c r="A6738" s="484">
        <v>1108</v>
      </c>
      <c r="B6738" s="485" t="s">
        <v>3157</v>
      </c>
      <c r="C6738" s="484" t="s">
        <v>71</v>
      </c>
      <c r="D6738" s="486">
        <v>18.239999999999998</v>
      </c>
      <c r="E6738" s="486">
        <v>18.239999999999998</v>
      </c>
    </row>
    <row r="6739" spans="1:5">
      <c r="A6739" s="349">
        <v>1117</v>
      </c>
      <c r="B6739" s="348" t="s">
        <v>3158</v>
      </c>
      <c r="C6739" s="349" t="s">
        <v>71</v>
      </c>
      <c r="D6739" s="483">
        <v>21.18</v>
      </c>
      <c r="E6739" s="483">
        <v>21.18</v>
      </c>
    </row>
    <row r="6740" spans="1:5">
      <c r="A6740" s="484">
        <v>1118</v>
      </c>
      <c r="B6740" s="485" t="s">
        <v>3159</v>
      </c>
      <c r="C6740" s="484" t="s">
        <v>71</v>
      </c>
      <c r="D6740" s="486">
        <v>27.23</v>
      </c>
      <c r="E6740" s="486">
        <v>27.23</v>
      </c>
    </row>
    <row r="6741" spans="1:5">
      <c r="A6741" s="349">
        <v>1110</v>
      </c>
      <c r="B6741" s="348" t="s">
        <v>3160</v>
      </c>
      <c r="C6741" s="349" t="s">
        <v>71</v>
      </c>
      <c r="D6741" s="483">
        <v>27.23</v>
      </c>
      <c r="E6741" s="483">
        <v>27.23</v>
      </c>
    </row>
    <row r="6742" spans="1:5" ht="30">
      <c r="A6742" s="484">
        <v>12618</v>
      </c>
      <c r="B6742" s="485" t="s">
        <v>3161</v>
      </c>
      <c r="C6742" s="484" t="s">
        <v>65</v>
      </c>
      <c r="D6742" s="486">
        <v>32.39</v>
      </c>
      <c r="E6742" s="486">
        <v>32.39</v>
      </c>
    </row>
    <row r="6743" spans="1:5">
      <c r="A6743" s="349">
        <v>1109</v>
      </c>
      <c r="B6743" s="348" t="s">
        <v>3165</v>
      </c>
      <c r="C6743" s="349" t="s">
        <v>71</v>
      </c>
      <c r="D6743" s="483">
        <v>18.149999999999999</v>
      </c>
      <c r="E6743" s="483">
        <v>18.149999999999999</v>
      </c>
    </row>
    <row r="6744" spans="1:5">
      <c r="A6744" s="484">
        <v>1119</v>
      </c>
      <c r="B6744" s="485" t="s">
        <v>3166</v>
      </c>
      <c r="C6744" s="484" t="s">
        <v>71</v>
      </c>
      <c r="D6744" s="486">
        <v>13.61</v>
      </c>
      <c r="E6744" s="486">
        <v>13.61</v>
      </c>
    </row>
    <row r="6745" spans="1:5">
      <c r="A6745" s="349">
        <v>13115</v>
      </c>
      <c r="B6745" s="348" t="s">
        <v>3167</v>
      </c>
      <c r="C6745" s="349" t="s">
        <v>71</v>
      </c>
      <c r="D6745" s="483">
        <v>11.95</v>
      </c>
      <c r="E6745" s="483">
        <v>11.95</v>
      </c>
    </row>
    <row r="6746" spans="1:5">
      <c r="A6746" s="484">
        <v>10541</v>
      </c>
      <c r="B6746" s="485" t="s">
        <v>3168</v>
      </c>
      <c r="C6746" s="484" t="s">
        <v>71</v>
      </c>
      <c r="D6746" s="486">
        <v>13.88</v>
      </c>
      <c r="E6746" s="486">
        <v>13.88</v>
      </c>
    </row>
    <row r="6747" spans="1:5">
      <c r="A6747" s="349">
        <v>10543</v>
      </c>
      <c r="B6747" s="348" t="s">
        <v>3169</v>
      </c>
      <c r="C6747" s="349" t="s">
        <v>71</v>
      </c>
      <c r="D6747" s="483">
        <v>26.93</v>
      </c>
      <c r="E6747" s="483">
        <v>26.93</v>
      </c>
    </row>
    <row r="6748" spans="1:5">
      <c r="A6748" s="484">
        <v>10544</v>
      </c>
      <c r="B6748" s="485" t="s">
        <v>3170</v>
      </c>
      <c r="C6748" s="484" t="s">
        <v>71</v>
      </c>
      <c r="D6748" s="486">
        <v>32.380000000000003</v>
      </c>
      <c r="E6748" s="486">
        <v>32.380000000000003</v>
      </c>
    </row>
    <row r="6749" spans="1:5">
      <c r="A6749" s="349">
        <v>10545</v>
      </c>
      <c r="B6749" s="348" t="s">
        <v>3171</v>
      </c>
      <c r="C6749" s="349" t="s">
        <v>71</v>
      </c>
      <c r="D6749" s="483">
        <v>49.67</v>
      </c>
      <c r="E6749" s="483">
        <v>49.67</v>
      </c>
    </row>
    <row r="6750" spans="1:5">
      <c r="A6750" s="484">
        <v>10542</v>
      </c>
      <c r="B6750" s="485" t="s">
        <v>3172</v>
      </c>
      <c r="C6750" s="484" t="s">
        <v>71</v>
      </c>
      <c r="D6750" s="486">
        <v>19.12</v>
      </c>
      <c r="E6750" s="486">
        <v>19.12</v>
      </c>
    </row>
    <row r="6751" spans="1:5">
      <c r="A6751" s="349">
        <v>38958</v>
      </c>
      <c r="B6751" s="348" t="s">
        <v>3173</v>
      </c>
      <c r="C6751" s="349" t="s">
        <v>65</v>
      </c>
      <c r="D6751" s="483">
        <v>29.49</v>
      </c>
      <c r="E6751" s="483">
        <v>29.49</v>
      </c>
    </row>
    <row r="6752" spans="1:5">
      <c r="A6752" s="484">
        <v>38365</v>
      </c>
      <c r="B6752" s="485" t="s">
        <v>19483</v>
      </c>
      <c r="C6752" s="484" t="s">
        <v>256</v>
      </c>
      <c r="D6752" s="486">
        <v>0.98</v>
      </c>
      <c r="E6752" s="486">
        <v>0.98</v>
      </c>
    </row>
    <row r="6753" spans="1:5" ht="30">
      <c r="A6753" s="349">
        <v>25010</v>
      </c>
      <c r="B6753" s="348" t="s">
        <v>3226</v>
      </c>
      <c r="C6753" s="349" t="s">
        <v>65</v>
      </c>
      <c r="D6753" s="483">
        <v>1159500.3400000001</v>
      </c>
      <c r="E6753" s="483">
        <v>1159500.3400000001</v>
      </c>
    </row>
    <row r="6754" spans="1:5" ht="30">
      <c r="A6754" s="484">
        <v>25011</v>
      </c>
      <c r="B6754" s="485" t="s">
        <v>3227</v>
      </c>
      <c r="C6754" s="484" t="s">
        <v>65</v>
      </c>
      <c r="D6754" s="486">
        <v>1896622.96</v>
      </c>
      <c r="E6754" s="486">
        <v>1896622.96</v>
      </c>
    </row>
    <row r="6755" spans="1:5" ht="30">
      <c r="A6755" s="349">
        <v>37745</v>
      </c>
      <c r="B6755" s="348" t="s">
        <v>3258</v>
      </c>
      <c r="C6755" s="349" t="s">
        <v>65</v>
      </c>
      <c r="D6755" s="483">
        <v>176000</v>
      </c>
      <c r="E6755" s="483">
        <v>176000</v>
      </c>
    </row>
    <row r="6756" spans="1:5" ht="30">
      <c r="A6756" s="484">
        <v>37754</v>
      </c>
      <c r="B6756" s="485" t="s">
        <v>3266</v>
      </c>
      <c r="C6756" s="484" t="s">
        <v>65</v>
      </c>
      <c r="D6756" s="486">
        <v>183797.46</v>
      </c>
      <c r="E6756" s="486">
        <v>183797.46</v>
      </c>
    </row>
    <row r="6757" spans="1:5" ht="30">
      <c r="A6757" s="349">
        <v>37748</v>
      </c>
      <c r="B6757" s="348" t="s">
        <v>3267</v>
      </c>
      <c r="C6757" s="349" t="s">
        <v>65</v>
      </c>
      <c r="D6757" s="483">
        <v>187111.39</v>
      </c>
      <c r="E6757" s="483">
        <v>187111.39</v>
      </c>
    </row>
    <row r="6758" spans="1:5" ht="30">
      <c r="A6758" s="484">
        <v>37761</v>
      </c>
      <c r="B6758" s="485" t="s">
        <v>3280</v>
      </c>
      <c r="C6758" s="484" t="s">
        <v>65</v>
      </c>
      <c r="D6758" s="486">
        <v>154835.43</v>
      </c>
      <c r="E6758" s="486">
        <v>154835.43</v>
      </c>
    </row>
    <row r="6759" spans="1:5" ht="30">
      <c r="A6759" s="349">
        <v>37757</v>
      </c>
      <c r="B6759" s="348" t="s">
        <v>3275</v>
      </c>
      <c r="C6759" s="349" t="s">
        <v>65</v>
      </c>
      <c r="D6759" s="483">
        <v>215544.29</v>
      </c>
      <c r="E6759" s="483">
        <v>215544.29</v>
      </c>
    </row>
    <row r="6760" spans="1:5" ht="30">
      <c r="A6760" s="484">
        <v>37759</v>
      </c>
      <c r="B6760" s="485" t="s">
        <v>3276</v>
      </c>
      <c r="C6760" s="484" t="s">
        <v>65</v>
      </c>
      <c r="D6760" s="486">
        <v>216379.75</v>
      </c>
      <c r="E6760" s="486">
        <v>216379.75</v>
      </c>
    </row>
    <row r="6761" spans="1:5" ht="30">
      <c r="A6761" s="349">
        <v>37766</v>
      </c>
      <c r="B6761" s="348" t="s">
        <v>3277</v>
      </c>
      <c r="C6761" s="349" t="s">
        <v>65</v>
      </c>
      <c r="D6761" s="483">
        <v>216379.73</v>
      </c>
      <c r="E6761" s="483">
        <v>216379.73</v>
      </c>
    </row>
    <row r="6762" spans="1:5" ht="30">
      <c r="A6762" s="484">
        <v>37752</v>
      </c>
      <c r="B6762" s="485" t="s">
        <v>3278</v>
      </c>
      <c r="C6762" s="484" t="s">
        <v>65</v>
      </c>
      <c r="D6762" s="486">
        <v>196217.71</v>
      </c>
      <c r="E6762" s="486">
        <v>196217.71</v>
      </c>
    </row>
    <row r="6763" spans="1:5" ht="30">
      <c r="A6763" s="349">
        <v>37760</v>
      </c>
      <c r="B6763" s="348" t="s">
        <v>3279</v>
      </c>
      <c r="C6763" s="349" t="s">
        <v>65</v>
      </c>
      <c r="D6763" s="483">
        <v>206632.9</v>
      </c>
      <c r="E6763" s="483">
        <v>206632.9</v>
      </c>
    </row>
    <row r="6764" spans="1:5" ht="30">
      <c r="A6764" s="484">
        <v>37765</v>
      </c>
      <c r="B6764" s="485" t="s">
        <v>3281</v>
      </c>
      <c r="C6764" s="484" t="s">
        <v>65</v>
      </c>
      <c r="D6764" s="486">
        <v>144253.17000000001</v>
      </c>
      <c r="E6764" s="486">
        <v>144253.17000000001</v>
      </c>
    </row>
    <row r="6765" spans="1:5" ht="30">
      <c r="A6765" s="349">
        <v>37746</v>
      </c>
      <c r="B6765" s="348" t="s">
        <v>3282</v>
      </c>
      <c r="C6765" s="349" t="s">
        <v>65</v>
      </c>
      <c r="D6765" s="483">
        <v>158149.35</v>
      </c>
      <c r="E6765" s="483">
        <v>158149.35</v>
      </c>
    </row>
    <row r="6766" spans="1:5" ht="30">
      <c r="A6766" s="484">
        <v>37750</v>
      </c>
      <c r="B6766" s="485" t="s">
        <v>3283</v>
      </c>
      <c r="C6766" s="484" t="s">
        <v>65</v>
      </c>
      <c r="D6766" s="486">
        <v>157592.4</v>
      </c>
      <c r="E6766" s="486">
        <v>157592.4</v>
      </c>
    </row>
    <row r="6767" spans="1:5" ht="30">
      <c r="A6767" s="349">
        <v>37753</v>
      </c>
      <c r="B6767" s="348" t="s">
        <v>3284</v>
      </c>
      <c r="C6767" s="349" t="s">
        <v>65</v>
      </c>
      <c r="D6767" s="483">
        <v>157035.43</v>
      </c>
      <c r="E6767" s="483">
        <v>157035.43</v>
      </c>
    </row>
    <row r="6768" spans="1:5" ht="30">
      <c r="A6768" s="484">
        <v>37756</v>
      </c>
      <c r="B6768" s="485" t="s">
        <v>3285</v>
      </c>
      <c r="C6768" s="484" t="s">
        <v>65</v>
      </c>
      <c r="D6768" s="486">
        <v>154835.43</v>
      </c>
      <c r="E6768" s="486">
        <v>154835.43</v>
      </c>
    </row>
    <row r="6769" spans="1:5" ht="30">
      <c r="A6769" s="349">
        <v>37755</v>
      </c>
      <c r="B6769" s="348" t="s">
        <v>3293</v>
      </c>
      <c r="C6769" s="349" t="s">
        <v>65</v>
      </c>
      <c r="D6769" s="483">
        <v>225012.65</v>
      </c>
      <c r="E6769" s="483">
        <v>225012.65</v>
      </c>
    </row>
    <row r="6770" spans="1:5" ht="30">
      <c r="A6770" s="484">
        <v>37758</v>
      </c>
      <c r="B6770" s="485" t="s">
        <v>3294</v>
      </c>
      <c r="C6770" s="484" t="s">
        <v>65</v>
      </c>
      <c r="D6770" s="486">
        <v>253974.68</v>
      </c>
      <c r="E6770" s="486">
        <v>253974.68</v>
      </c>
    </row>
    <row r="6771" spans="1:5" ht="30">
      <c r="A6771" s="349">
        <v>37747</v>
      </c>
      <c r="B6771" s="348" t="s">
        <v>3295</v>
      </c>
      <c r="C6771" s="349" t="s">
        <v>65</v>
      </c>
      <c r="D6771" s="483">
        <v>228521.51</v>
      </c>
      <c r="E6771" s="483">
        <v>228521.51</v>
      </c>
    </row>
    <row r="6772" spans="1:5" ht="30">
      <c r="A6772" s="484">
        <v>37767</v>
      </c>
      <c r="B6772" s="485" t="s">
        <v>3296</v>
      </c>
      <c r="C6772" s="484" t="s">
        <v>65</v>
      </c>
      <c r="D6772" s="486">
        <v>241164.56</v>
      </c>
      <c r="E6772" s="486">
        <v>241164.56</v>
      </c>
    </row>
    <row r="6773" spans="1:5" ht="30">
      <c r="A6773" s="349">
        <v>37751</v>
      </c>
      <c r="B6773" s="348" t="s">
        <v>3297</v>
      </c>
      <c r="C6773" s="349" t="s">
        <v>65</v>
      </c>
      <c r="D6773" s="483">
        <v>241164.56</v>
      </c>
      <c r="E6773" s="483">
        <v>241164.56</v>
      </c>
    </row>
    <row r="6774" spans="1:5" ht="45">
      <c r="A6774" s="484">
        <v>37749</v>
      </c>
      <c r="B6774" s="485" t="s">
        <v>3298</v>
      </c>
      <c r="C6774" s="484" t="s">
        <v>65</v>
      </c>
      <c r="D6774" s="486">
        <v>238379.75</v>
      </c>
      <c r="E6774" s="486">
        <v>238379.75</v>
      </c>
    </row>
    <row r="6775" spans="1:5" ht="30">
      <c r="A6775" s="349">
        <v>13617</v>
      </c>
      <c r="B6775" s="348" t="s">
        <v>3299</v>
      </c>
      <c r="C6775" s="349" t="s">
        <v>65</v>
      </c>
      <c r="D6775" s="483">
        <v>43326.51</v>
      </c>
      <c r="E6775" s="483">
        <v>43326.51</v>
      </c>
    </row>
    <row r="6776" spans="1:5">
      <c r="A6776" s="484">
        <v>1159</v>
      </c>
      <c r="B6776" s="485" t="s">
        <v>3307</v>
      </c>
      <c r="C6776" s="484" t="s">
        <v>65</v>
      </c>
      <c r="D6776" s="486">
        <v>113108.91</v>
      </c>
      <c r="E6776" s="486">
        <v>113108.91</v>
      </c>
    </row>
    <row r="6777" spans="1:5">
      <c r="A6777" s="349">
        <v>12114</v>
      </c>
      <c r="B6777" s="348" t="s">
        <v>11245</v>
      </c>
      <c r="C6777" s="349" t="s">
        <v>65</v>
      </c>
      <c r="D6777" s="483">
        <v>103.66</v>
      </c>
      <c r="E6777" s="483">
        <v>103.66</v>
      </c>
    </row>
    <row r="6778" spans="1:5">
      <c r="A6778" s="484">
        <v>38106</v>
      </c>
      <c r="B6778" s="485" t="s">
        <v>11246</v>
      </c>
      <c r="C6778" s="484" t="s">
        <v>65</v>
      </c>
      <c r="D6778" s="486">
        <v>14.08</v>
      </c>
      <c r="E6778" s="486">
        <v>14.08</v>
      </c>
    </row>
    <row r="6779" spans="1:5" ht="30">
      <c r="A6779" s="349">
        <v>38085</v>
      </c>
      <c r="B6779" s="348" t="s">
        <v>11247</v>
      </c>
      <c r="C6779" s="349" t="s">
        <v>65</v>
      </c>
      <c r="D6779" s="483">
        <v>16.64</v>
      </c>
      <c r="E6779" s="483">
        <v>16.64</v>
      </c>
    </row>
    <row r="6780" spans="1:5">
      <c r="A6780" s="484">
        <v>38599</v>
      </c>
      <c r="B6780" s="485" t="s">
        <v>3318</v>
      </c>
      <c r="C6780" s="484" t="s">
        <v>65</v>
      </c>
      <c r="D6780" s="486">
        <v>3.45</v>
      </c>
      <c r="E6780" s="486">
        <v>3.45</v>
      </c>
    </row>
    <row r="6781" spans="1:5">
      <c r="A6781" s="349">
        <v>38596</v>
      </c>
      <c r="B6781" s="348" t="s">
        <v>3319</v>
      </c>
      <c r="C6781" s="349" t="s">
        <v>65</v>
      </c>
      <c r="D6781" s="483">
        <v>2.36</v>
      </c>
      <c r="E6781" s="483">
        <v>2.36</v>
      </c>
    </row>
    <row r="6782" spans="1:5">
      <c r="A6782" s="484">
        <v>38600</v>
      </c>
      <c r="B6782" s="485" t="s">
        <v>3320</v>
      </c>
      <c r="C6782" s="484" t="s">
        <v>65</v>
      </c>
      <c r="D6782" s="486">
        <v>4.0599999999999996</v>
      </c>
      <c r="E6782" s="486">
        <v>4.0599999999999996</v>
      </c>
    </row>
    <row r="6783" spans="1:5">
      <c r="A6783" s="349">
        <v>38597</v>
      </c>
      <c r="B6783" s="348" t="s">
        <v>3321</v>
      </c>
      <c r="C6783" s="349" t="s">
        <v>65</v>
      </c>
      <c r="D6783" s="483">
        <v>2.88</v>
      </c>
      <c r="E6783" s="483">
        <v>2.88</v>
      </c>
    </row>
    <row r="6784" spans="1:5">
      <c r="A6784" s="484">
        <v>659</v>
      </c>
      <c r="B6784" s="485" t="s">
        <v>3315</v>
      </c>
      <c r="C6784" s="484" t="s">
        <v>65</v>
      </c>
      <c r="D6784" s="486">
        <v>1.4</v>
      </c>
      <c r="E6784" s="486">
        <v>1.4</v>
      </c>
    </row>
    <row r="6785" spans="1:5">
      <c r="A6785" s="349">
        <v>660</v>
      </c>
      <c r="B6785" s="348" t="s">
        <v>3316</v>
      </c>
      <c r="C6785" s="349" t="s">
        <v>65</v>
      </c>
      <c r="D6785" s="483">
        <v>2.0499999999999998</v>
      </c>
      <c r="E6785" s="483">
        <v>2.0499999999999998</v>
      </c>
    </row>
    <row r="6786" spans="1:5">
      <c r="A6786" s="484">
        <v>658</v>
      </c>
      <c r="B6786" s="485" t="s">
        <v>3317</v>
      </c>
      <c r="C6786" s="484" t="s">
        <v>65</v>
      </c>
      <c r="D6786" s="486">
        <v>1.1299999999999999</v>
      </c>
      <c r="E6786" s="486">
        <v>1.1299999999999999</v>
      </c>
    </row>
    <row r="6787" spans="1:5">
      <c r="A6787" s="349">
        <v>38548</v>
      </c>
      <c r="B6787" s="348" t="s">
        <v>3322</v>
      </c>
      <c r="C6787" s="349" t="s">
        <v>65</v>
      </c>
      <c r="D6787" s="483">
        <v>0.93</v>
      </c>
      <c r="E6787" s="483">
        <v>0.93</v>
      </c>
    </row>
    <row r="6788" spans="1:5">
      <c r="A6788" s="484">
        <v>34647</v>
      </c>
      <c r="B6788" s="485" t="s">
        <v>3323</v>
      </c>
      <c r="C6788" s="484" t="s">
        <v>65</v>
      </c>
      <c r="D6788" s="486">
        <v>1.61</v>
      </c>
      <c r="E6788" s="486">
        <v>1.61</v>
      </c>
    </row>
    <row r="6789" spans="1:5">
      <c r="A6789" s="349">
        <v>34649</v>
      </c>
      <c r="B6789" s="348" t="s">
        <v>3324</v>
      </c>
      <c r="C6789" s="349" t="s">
        <v>65</v>
      </c>
      <c r="D6789" s="483">
        <v>1.66</v>
      </c>
      <c r="E6789" s="483">
        <v>1.66</v>
      </c>
    </row>
    <row r="6790" spans="1:5">
      <c r="A6790" s="484">
        <v>34652</v>
      </c>
      <c r="B6790" s="485" t="s">
        <v>3325</v>
      </c>
      <c r="C6790" s="484" t="s">
        <v>65</v>
      </c>
      <c r="D6790" s="486">
        <v>2.27</v>
      </c>
      <c r="E6790" s="486">
        <v>2.27</v>
      </c>
    </row>
    <row r="6791" spans="1:5">
      <c r="A6791" s="349">
        <v>34655</v>
      </c>
      <c r="B6791" s="348" t="s">
        <v>3326</v>
      </c>
      <c r="C6791" s="349" t="s">
        <v>65</v>
      </c>
      <c r="D6791" s="483">
        <v>2.19</v>
      </c>
      <c r="E6791" s="483">
        <v>2.19</v>
      </c>
    </row>
    <row r="6792" spans="1:5">
      <c r="A6792" s="484">
        <v>40607</v>
      </c>
      <c r="B6792" s="485" t="s">
        <v>3327</v>
      </c>
      <c r="C6792" s="484" t="s">
        <v>65</v>
      </c>
      <c r="D6792" s="486">
        <v>3.35</v>
      </c>
      <c r="E6792" s="486">
        <v>3.35</v>
      </c>
    </row>
    <row r="6793" spans="1:5">
      <c r="A6793" s="349">
        <v>585</v>
      </c>
      <c r="B6793" s="348" t="s">
        <v>3328</v>
      </c>
      <c r="C6793" s="349" t="s">
        <v>90</v>
      </c>
      <c r="D6793" s="483">
        <v>27.07</v>
      </c>
      <c r="E6793" s="483">
        <v>27.07</v>
      </c>
    </row>
    <row r="6794" spans="1:5">
      <c r="A6794" s="484">
        <v>4777</v>
      </c>
      <c r="B6794" s="485" t="s">
        <v>11248</v>
      </c>
      <c r="C6794" s="484" t="s">
        <v>90</v>
      </c>
      <c r="D6794" s="486">
        <v>3.06</v>
      </c>
      <c r="E6794" s="486">
        <v>3.06</v>
      </c>
    </row>
    <row r="6795" spans="1:5">
      <c r="A6795" s="349">
        <v>587</v>
      </c>
      <c r="B6795" s="348" t="s">
        <v>3331</v>
      </c>
      <c r="C6795" s="349" t="s">
        <v>90</v>
      </c>
      <c r="D6795" s="483">
        <v>29.01</v>
      </c>
      <c r="E6795" s="483">
        <v>29.01</v>
      </c>
    </row>
    <row r="6796" spans="1:5">
      <c r="A6796" s="484">
        <v>590</v>
      </c>
      <c r="B6796" s="485" t="s">
        <v>3332</v>
      </c>
      <c r="C6796" s="484" t="s">
        <v>90</v>
      </c>
      <c r="D6796" s="486">
        <v>28.04</v>
      </c>
      <c r="E6796" s="486">
        <v>28.04</v>
      </c>
    </row>
    <row r="6797" spans="1:5">
      <c r="A6797" s="349">
        <v>592</v>
      </c>
      <c r="B6797" s="348" t="s">
        <v>3333</v>
      </c>
      <c r="C6797" s="349" t="s">
        <v>90</v>
      </c>
      <c r="D6797" s="483">
        <v>29.01</v>
      </c>
      <c r="E6797" s="483">
        <v>29.01</v>
      </c>
    </row>
    <row r="6798" spans="1:5">
      <c r="A6798" s="484">
        <v>586</v>
      </c>
      <c r="B6798" s="485" t="s">
        <v>3334</v>
      </c>
      <c r="C6798" s="484" t="s">
        <v>71</v>
      </c>
      <c r="D6798" s="486">
        <v>17.05</v>
      </c>
      <c r="E6798" s="486">
        <v>17.05</v>
      </c>
    </row>
    <row r="6799" spans="1:5">
      <c r="A6799" s="349">
        <v>591</v>
      </c>
      <c r="B6799" s="348" t="s">
        <v>3335</v>
      </c>
      <c r="C6799" s="349" t="s">
        <v>90</v>
      </c>
      <c r="D6799" s="483">
        <v>27.07</v>
      </c>
      <c r="E6799" s="483">
        <v>27.07</v>
      </c>
    </row>
    <row r="6800" spans="1:5">
      <c r="A6800" s="484">
        <v>588</v>
      </c>
      <c r="B6800" s="485" t="s">
        <v>3336</v>
      </c>
      <c r="C6800" s="484" t="s">
        <v>71</v>
      </c>
      <c r="D6800" s="486">
        <v>26.97</v>
      </c>
      <c r="E6800" s="486">
        <v>26.97</v>
      </c>
    </row>
    <row r="6801" spans="1:5">
      <c r="A6801" s="349">
        <v>589</v>
      </c>
      <c r="B6801" s="348" t="s">
        <v>3337</v>
      </c>
      <c r="C6801" s="349" t="s">
        <v>71</v>
      </c>
      <c r="D6801" s="483">
        <v>45.6</v>
      </c>
      <c r="E6801" s="483">
        <v>45.6</v>
      </c>
    </row>
    <row r="6802" spans="1:5">
      <c r="A6802" s="484">
        <v>584</v>
      </c>
      <c r="B6802" s="485" t="s">
        <v>3338</v>
      </c>
      <c r="C6802" s="484" t="s">
        <v>71</v>
      </c>
      <c r="D6802" s="486">
        <v>28.81</v>
      </c>
      <c r="E6802" s="486">
        <v>28.81</v>
      </c>
    </row>
    <row r="6803" spans="1:5">
      <c r="A6803" s="349">
        <v>4912</v>
      </c>
      <c r="B6803" s="348" t="s">
        <v>3339</v>
      </c>
      <c r="C6803" s="349" t="s">
        <v>90</v>
      </c>
      <c r="D6803" s="483">
        <v>3.56</v>
      </c>
      <c r="E6803" s="483">
        <v>3.56</v>
      </c>
    </row>
    <row r="6804" spans="1:5">
      <c r="A6804" s="484">
        <v>574</v>
      </c>
      <c r="B6804" s="485" t="s">
        <v>3342</v>
      </c>
      <c r="C6804" s="484" t="s">
        <v>71</v>
      </c>
      <c r="D6804" s="486">
        <v>15.36</v>
      </c>
      <c r="E6804" s="486">
        <v>15.36</v>
      </c>
    </row>
    <row r="6805" spans="1:5">
      <c r="A6805" s="349">
        <v>567</v>
      </c>
      <c r="B6805" s="348" t="s">
        <v>3343</v>
      </c>
      <c r="C6805" s="349" t="s">
        <v>71</v>
      </c>
      <c r="D6805" s="483">
        <v>5.69</v>
      </c>
      <c r="E6805" s="483">
        <v>5.69</v>
      </c>
    </row>
    <row r="6806" spans="1:5">
      <c r="A6806" s="484">
        <v>568</v>
      </c>
      <c r="B6806" s="485" t="s">
        <v>3344</v>
      </c>
      <c r="C6806" s="484" t="s">
        <v>71</v>
      </c>
      <c r="D6806" s="486">
        <v>34.47</v>
      </c>
      <c r="E6806" s="486">
        <v>34.47</v>
      </c>
    </row>
    <row r="6807" spans="1:5">
      <c r="A6807" s="349">
        <v>569</v>
      </c>
      <c r="B6807" s="348" t="s">
        <v>3345</v>
      </c>
      <c r="C6807" s="349" t="s">
        <v>90</v>
      </c>
      <c r="D6807" s="483">
        <v>4.79</v>
      </c>
      <c r="E6807" s="483">
        <v>4.79</v>
      </c>
    </row>
    <row r="6808" spans="1:5">
      <c r="A6808" s="484">
        <v>1165</v>
      </c>
      <c r="B6808" s="485" t="s">
        <v>3346</v>
      </c>
      <c r="C6808" s="484" t="s">
        <v>65</v>
      </c>
      <c r="D6808" s="486">
        <v>9.4700000000000006</v>
      </c>
      <c r="E6808" s="486">
        <v>9.4700000000000006</v>
      </c>
    </row>
    <row r="6809" spans="1:5">
      <c r="A6809" s="349">
        <v>1164</v>
      </c>
      <c r="B6809" s="348" t="s">
        <v>3347</v>
      </c>
      <c r="C6809" s="349" t="s">
        <v>65</v>
      </c>
      <c r="D6809" s="483">
        <v>7.67</v>
      </c>
      <c r="E6809" s="483">
        <v>7.67</v>
      </c>
    </row>
    <row r="6810" spans="1:5">
      <c r="A6810" s="484">
        <v>1162</v>
      </c>
      <c r="B6810" s="485" t="s">
        <v>3349</v>
      </c>
      <c r="C6810" s="484" t="s">
        <v>65</v>
      </c>
      <c r="D6810" s="486">
        <v>2.66</v>
      </c>
      <c r="E6810" s="486">
        <v>2.66</v>
      </c>
    </row>
    <row r="6811" spans="1:5">
      <c r="A6811" s="349">
        <v>12395</v>
      </c>
      <c r="B6811" s="348" t="s">
        <v>3350</v>
      </c>
      <c r="C6811" s="349" t="s">
        <v>65</v>
      </c>
      <c r="D6811" s="483">
        <v>2.59</v>
      </c>
      <c r="E6811" s="483">
        <v>2.59</v>
      </c>
    </row>
    <row r="6812" spans="1:5">
      <c r="A6812" s="484">
        <v>1170</v>
      </c>
      <c r="B6812" s="485" t="s">
        <v>3348</v>
      </c>
      <c r="C6812" s="484" t="s">
        <v>65</v>
      </c>
      <c r="D6812" s="486">
        <v>5.0199999999999996</v>
      </c>
      <c r="E6812" s="486">
        <v>5.0199999999999996</v>
      </c>
    </row>
    <row r="6813" spans="1:5">
      <c r="A6813" s="349">
        <v>1169</v>
      </c>
      <c r="B6813" s="348" t="s">
        <v>3351</v>
      </c>
      <c r="C6813" s="349" t="s">
        <v>65</v>
      </c>
      <c r="D6813" s="483">
        <v>24.68</v>
      </c>
      <c r="E6813" s="483">
        <v>24.68</v>
      </c>
    </row>
    <row r="6814" spans="1:5">
      <c r="A6814" s="484">
        <v>1166</v>
      </c>
      <c r="B6814" s="485" t="s">
        <v>3352</v>
      </c>
      <c r="C6814" s="484" t="s">
        <v>65</v>
      </c>
      <c r="D6814" s="486">
        <v>13.68</v>
      </c>
      <c r="E6814" s="486">
        <v>13.68</v>
      </c>
    </row>
    <row r="6815" spans="1:5">
      <c r="A6815" s="349">
        <v>1163</v>
      </c>
      <c r="B6815" s="348" t="s">
        <v>3354</v>
      </c>
      <c r="C6815" s="349" t="s">
        <v>65</v>
      </c>
      <c r="D6815" s="483">
        <v>3.44</v>
      </c>
      <c r="E6815" s="483">
        <v>3.44</v>
      </c>
    </row>
    <row r="6816" spans="1:5">
      <c r="A6816" s="484">
        <v>12396</v>
      </c>
      <c r="B6816" s="485" t="s">
        <v>3355</v>
      </c>
      <c r="C6816" s="484" t="s">
        <v>65</v>
      </c>
      <c r="D6816" s="486">
        <v>2.59</v>
      </c>
      <c r="E6816" s="486">
        <v>2.59</v>
      </c>
    </row>
    <row r="6817" spans="1:5">
      <c r="A6817" s="349">
        <v>1168</v>
      </c>
      <c r="B6817" s="348" t="s">
        <v>3353</v>
      </c>
      <c r="C6817" s="349" t="s">
        <v>65</v>
      </c>
      <c r="D6817" s="483">
        <v>35.18</v>
      </c>
      <c r="E6817" s="483">
        <v>35.18</v>
      </c>
    </row>
    <row r="6818" spans="1:5">
      <c r="A6818" s="484">
        <v>1167</v>
      </c>
      <c r="B6818" s="485" t="s">
        <v>3356</v>
      </c>
      <c r="C6818" s="484" t="s">
        <v>65</v>
      </c>
      <c r="D6818" s="486">
        <v>58.84</v>
      </c>
      <c r="E6818" s="486">
        <v>58.84</v>
      </c>
    </row>
    <row r="6819" spans="1:5">
      <c r="A6819" s="349">
        <v>1210</v>
      </c>
      <c r="B6819" s="348" t="s">
        <v>3357</v>
      </c>
      <c r="C6819" s="349" t="s">
        <v>65</v>
      </c>
      <c r="D6819" s="483">
        <v>5.79</v>
      </c>
      <c r="E6819" s="483">
        <v>5.79</v>
      </c>
    </row>
    <row r="6820" spans="1:5">
      <c r="A6820" s="484">
        <v>1203</v>
      </c>
      <c r="B6820" s="485" t="s">
        <v>3358</v>
      </c>
      <c r="C6820" s="484" t="s">
        <v>65</v>
      </c>
      <c r="D6820" s="486">
        <v>4.42</v>
      </c>
      <c r="E6820" s="486">
        <v>4.42</v>
      </c>
    </row>
    <row r="6821" spans="1:5">
      <c r="A6821" s="349">
        <v>1197</v>
      </c>
      <c r="B6821" s="348" t="s">
        <v>3360</v>
      </c>
      <c r="C6821" s="349" t="s">
        <v>65</v>
      </c>
      <c r="D6821" s="483">
        <v>1.01</v>
      </c>
      <c r="E6821" s="483">
        <v>1.01</v>
      </c>
    </row>
    <row r="6822" spans="1:5">
      <c r="A6822" s="484">
        <v>1202</v>
      </c>
      <c r="B6822" s="485" t="s">
        <v>3359</v>
      </c>
      <c r="C6822" s="484" t="s">
        <v>65</v>
      </c>
      <c r="D6822" s="486">
        <v>2.72</v>
      </c>
      <c r="E6822" s="486">
        <v>2.72</v>
      </c>
    </row>
    <row r="6823" spans="1:5">
      <c r="A6823" s="349">
        <v>1188</v>
      </c>
      <c r="B6823" s="348" t="s">
        <v>3361</v>
      </c>
      <c r="C6823" s="349" t="s">
        <v>65</v>
      </c>
      <c r="D6823" s="483">
        <v>14.65</v>
      </c>
      <c r="E6823" s="483">
        <v>14.65</v>
      </c>
    </row>
    <row r="6824" spans="1:5">
      <c r="A6824" s="484">
        <v>1211</v>
      </c>
      <c r="B6824" s="485" t="s">
        <v>3362</v>
      </c>
      <c r="C6824" s="484" t="s">
        <v>65</v>
      </c>
      <c r="D6824" s="486">
        <v>8.11</v>
      </c>
      <c r="E6824" s="486">
        <v>8.11</v>
      </c>
    </row>
    <row r="6825" spans="1:5">
      <c r="A6825" s="349">
        <v>1198</v>
      </c>
      <c r="B6825" s="348" t="s">
        <v>3364</v>
      </c>
      <c r="C6825" s="349" t="s">
        <v>65</v>
      </c>
      <c r="D6825" s="483">
        <v>1.55</v>
      </c>
      <c r="E6825" s="483">
        <v>1.55</v>
      </c>
    </row>
    <row r="6826" spans="1:5">
      <c r="A6826" s="484">
        <v>1199</v>
      </c>
      <c r="B6826" s="485" t="s">
        <v>3363</v>
      </c>
      <c r="C6826" s="484" t="s">
        <v>65</v>
      </c>
      <c r="D6826" s="486">
        <v>22.7</v>
      </c>
      <c r="E6826" s="486">
        <v>22.7</v>
      </c>
    </row>
    <row r="6827" spans="1:5">
      <c r="A6827" s="349">
        <v>1187</v>
      </c>
      <c r="B6827" s="348" t="s">
        <v>3365</v>
      </c>
      <c r="C6827" s="349" t="s">
        <v>65</v>
      </c>
      <c r="D6827" s="483">
        <v>42.92</v>
      </c>
      <c r="E6827" s="483">
        <v>42.92</v>
      </c>
    </row>
    <row r="6828" spans="1:5">
      <c r="A6828" s="484">
        <v>20088</v>
      </c>
      <c r="B6828" s="485" t="s">
        <v>3366</v>
      </c>
      <c r="C6828" s="484" t="s">
        <v>65</v>
      </c>
      <c r="D6828" s="486">
        <v>10.87</v>
      </c>
      <c r="E6828" s="486">
        <v>10.87</v>
      </c>
    </row>
    <row r="6829" spans="1:5">
      <c r="A6829" s="349">
        <v>20089</v>
      </c>
      <c r="B6829" s="348" t="s">
        <v>3367</v>
      </c>
      <c r="C6829" s="349" t="s">
        <v>65</v>
      </c>
      <c r="D6829" s="483">
        <v>54.13</v>
      </c>
      <c r="E6829" s="483">
        <v>54.13</v>
      </c>
    </row>
    <row r="6830" spans="1:5">
      <c r="A6830" s="484">
        <v>20087</v>
      </c>
      <c r="B6830" s="485" t="s">
        <v>3368</v>
      </c>
      <c r="C6830" s="484" t="s">
        <v>65</v>
      </c>
      <c r="D6830" s="486">
        <v>7.34</v>
      </c>
      <c r="E6830" s="486">
        <v>7.34</v>
      </c>
    </row>
    <row r="6831" spans="1:5">
      <c r="A6831" s="349">
        <v>1200</v>
      </c>
      <c r="B6831" s="348" t="s">
        <v>3378</v>
      </c>
      <c r="C6831" s="349" t="s">
        <v>65</v>
      </c>
      <c r="D6831" s="483">
        <v>6.33</v>
      </c>
      <c r="E6831" s="483">
        <v>6.33</v>
      </c>
    </row>
    <row r="6832" spans="1:5">
      <c r="A6832" s="484">
        <v>12909</v>
      </c>
      <c r="B6832" s="485" t="s">
        <v>3379</v>
      </c>
      <c r="C6832" s="484" t="s">
        <v>65</v>
      </c>
      <c r="D6832" s="486">
        <v>2.81</v>
      </c>
      <c r="E6832" s="486">
        <v>2.81</v>
      </c>
    </row>
    <row r="6833" spans="1:5">
      <c r="A6833" s="349">
        <v>12910</v>
      </c>
      <c r="B6833" s="348" t="s">
        <v>3380</v>
      </c>
      <c r="C6833" s="349" t="s">
        <v>65</v>
      </c>
      <c r="D6833" s="483">
        <v>4.79</v>
      </c>
      <c r="E6833" s="483">
        <v>4.79</v>
      </c>
    </row>
    <row r="6834" spans="1:5">
      <c r="A6834" s="484">
        <v>1184</v>
      </c>
      <c r="B6834" s="485" t="s">
        <v>3369</v>
      </c>
      <c r="C6834" s="484" t="s">
        <v>65</v>
      </c>
      <c r="D6834" s="486">
        <v>57.26</v>
      </c>
      <c r="E6834" s="486">
        <v>57.26</v>
      </c>
    </row>
    <row r="6835" spans="1:5">
      <c r="A6835" s="349">
        <v>1191</v>
      </c>
      <c r="B6835" s="348" t="s">
        <v>3370</v>
      </c>
      <c r="C6835" s="349" t="s">
        <v>65</v>
      </c>
      <c r="D6835" s="483">
        <v>0.93</v>
      </c>
      <c r="E6835" s="483">
        <v>0.93</v>
      </c>
    </row>
    <row r="6836" spans="1:5">
      <c r="A6836" s="484">
        <v>1185</v>
      </c>
      <c r="B6836" s="485" t="s">
        <v>3371</v>
      </c>
      <c r="C6836" s="484" t="s">
        <v>65</v>
      </c>
      <c r="D6836" s="486">
        <v>0.99</v>
      </c>
      <c r="E6836" s="486">
        <v>0.99</v>
      </c>
    </row>
    <row r="6837" spans="1:5">
      <c r="A6837" s="349">
        <v>1189</v>
      </c>
      <c r="B6837" s="348" t="s">
        <v>3372</v>
      </c>
      <c r="C6837" s="349" t="s">
        <v>65</v>
      </c>
      <c r="D6837" s="483">
        <v>1.42</v>
      </c>
      <c r="E6837" s="483">
        <v>1.42</v>
      </c>
    </row>
    <row r="6838" spans="1:5">
      <c r="A6838" s="484">
        <v>1193</v>
      </c>
      <c r="B6838" s="485" t="s">
        <v>3373</v>
      </c>
      <c r="C6838" s="484" t="s">
        <v>65</v>
      </c>
      <c r="D6838" s="486">
        <v>2.81</v>
      </c>
      <c r="E6838" s="486">
        <v>2.81</v>
      </c>
    </row>
    <row r="6839" spans="1:5">
      <c r="A6839" s="349">
        <v>1194</v>
      </c>
      <c r="B6839" s="348" t="s">
        <v>3374</v>
      </c>
      <c r="C6839" s="349" t="s">
        <v>65</v>
      </c>
      <c r="D6839" s="483">
        <v>5.19</v>
      </c>
      <c r="E6839" s="483">
        <v>5.19</v>
      </c>
    </row>
    <row r="6840" spans="1:5">
      <c r="A6840" s="484">
        <v>1195</v>
      </c>
      <c r="B6840" s="485" t="s">
        <v>3375</v>
      </c>
      <c r="C6840" s="484" t="s">
        <v>65</v>
      </c>
      <c r="D6840" s="486">
        <v>7.94</v>
      </c>
      <c r="E6840" s="486">
        <v>7.94</v>
      </c>
    </row>
    <row r="6841" spans="1:5">
      <c r="A6841" s="349">
        <v>1204</v>
      </c>
      <c r="B6841" s="348" t="s">
        <v>3376</v>
      </c>
      <c r="C6841" s="349" t="s">
        <v>65</v>
      </c>
      <c r="D6841" s="483">
        <v>14.66</v>
      </c>
      <c r="E6841" s="483">
        <v>14.66</v>
      </c>
    </row>
    <row r="6842" spans="1:5">
      <c r="A6842" s="484">
        <v>1205</v>
      </c>
      <c r="B6842" s="485" t="s">
        <v>3377</v>
      </c>
      <c r="C6842" s="484" t="s">
        <v>65</v>
      </c>
      <c r="D6842" s="486">
        <v>33.06</v>
      </c>
      <c r="E6842" s="486">
        <v>33.06</v>
      </c>
    </row>
    <row r="6843" spans="1:5">
      <c r="A6843" s="349">
        <v>1207</v>
      </c>
      <c r="B6843" s="348" t="s">
        <v>3381</v>
      </c>
      <c r="C6843" s="349" t="s">
        <v>65</v>
      </c>
      <c r="D6843" s="483">
        <v>23.2</v>
      </c>
      <c r="E6843" s="483">
        <v>23.2</v>
      </c>
    </row>
    <row r="6844" spans="1:5">
      <c r="A6844" s="484">
        <v>1206</v>
      </c>
      <c r="B6844" s="485" t="s">
        <v>3382</v>
      </c>
      <c r="C6844" s="484" t="s">
        <v>65</v>
      </c>
      <c r="D6844" s="486">
        <v>5.57</v>
      </c>
      <c r="E6844" s="486">
        <v>5.57</v>
      </c>
    </row>
    <row r="6845" spans="1:5">
      <c r="A6845" s="349">
        <v>1183</v>
      </c>
      <c r="B6845" s="348" t="s">
        <v>3383</v>
      </c>
      <c r="C6845" s="349" t="s">
        <v>65</v>
      </c>
      <c r="D6845" s="483">
        <v>12.45</v>
      </c>
      <c r="E6845" s="483">
        <v>12.45</v>
      </c>
    </row>
    <row r="6846" spans="1:5">
      <c r="A6846" s="484">
        <v>26047</v>
      </c>
      <c r="B6846" s="485" t="s">
        <v>3384</v>
      </c>
      <c r="C6846" s="484" t="s">
        <v>65</v>
      </c>
      <c r="D6846" s="486">
        <v>100.02</v>
      </c>
      <c r="E6846" s="486">
        <v>100.02</v>
      </c>
    </row>
    <row r="6847" spans="1:5">
      <c r="A6847" s="349">
        <v>26048</v>
      </c>
      <c r="B6847" s="348" t="s">
        <v>3385</v>
      </c>
      <c r="C6847" s="349" t="s">
        <v>65</v>
      </c>
      <c r="D6847" s="483">
        <v>149.03</v>
      </c>
      <c r="E6847" s="483">
        <v>149.03</v>
      </c>
    </row>
    <row r="6848" spans="1:5">
      <c r="A6848" s="484">
        <v>12894</v>
      </c>
      <c r="B6848" s="485" t="s">
        <v>3386</v>
      </c>
      <c r="C6848" s="484" t="s">
        <v>65</v>
      </c>
      <c r="D6848" s="486">
        <v>12.35</v>
      </c>
      <c r="E6848" s="486">
        <v>12.35</v>
      </c>
    </row>
    <row r="6849" spans="1:5" ht="30">
      <c r="A6849" s="349">
        <v>12895</v>
      </c>
      <c r="B6849" s="348" t="s">
        <v>3388</v>
      </c>
      <c r="C6849" s="349" t="s">
        <v>65</v>
      </c>
      <c r="D6849" s="483">
        <v>9.5</v>
      </c>
      <c r="E6849" s="483">
        <v>9.5</v>
      </c>
    </row>
    <row r="6850" spans="1:5" ht="30">
      <c r="A6850" s="484">
        <v>1631</v>
      </c>
      <c r="B6850" s="485" t="s">
        <v>3389</v>
      </c>
      <c r="C6850" s="484" t="s">
        <v>65</v>
      </c>
      <c r="D6850" s="486">
        <v>77.22</v>
      </c>
      <c r="E6850" s="486">
        <v>77.22</v>
      </c>
    </row>
    <row r="6851" spans="1:5" ht="30">
      <c r="A6851" s="349">
        <v>1633</v>
      </c>
      <c r="B6851" s="348" t="s">
        <v>3390</v>
      </c>
      <c r="C6851" s="349" t="s">
        <v>65</v>
      </c>
      <c r="D6851" s="483">
        <v>131.19999999999999</v>
      </c>
      <c r="E6851" s="483">
        <v>131.19999999999999</v>
      </c>
    </row>
    <row r="6852" spans="1:5">
      <c r="A6852" s="484">
        <v>10818</v>
      </c>
      <c r="B6852" s="485" t="s">
        <v>3391</v>
      </c>
      <c r="C6852" s="484" t="s">
        <v>90</v>
      </c>
      <c r="D6852" s="486">
        <v>18.399999999999999</v>
      </c>
      <c r="E6852" s="486">
        <v>18.399999999999999</v>
      </c>
    </row>
    <row r="6853" spans="1:5">
      <c r="A6853" s="349">
        <v>10710</v>
      </c>
      <c r="B6853" s="348" t="s">
        <v>3408</v>
      </c>
      <c r="C6853" s="349" t="s">
        <v>256</v>
      </c>
      <c r="D6853" s="483">
        <v>70</v>
      </c>
      <c r="E6853" s="483">
        <v>70</v>
      </c>
    </row>
    <row r="6854" spans="1:5" ht="30">
      <c r="A6854" s="484">
        <v>10709</v>
      </c>
      <c r="B6854" s="485" t="s">
        <v>3409</v>
      </c>
      <c r="C6854" s="484" t="s">
        <v>256</v>
      </c>
      <c r="D6854" s="486">
        <v>85.99</v>
      </c>
      <c r="E6854" s="486">
        <v>85.99</v>
      </c>
    </row>
    <row r="6855" spans="1:5" ht="30">
      <c r="A6855" s="349">
        <v>39636</v>
      </c>
      <c r="B6855" s="348" t="s">
        <v>3410</v>
      </c>
      <c r="C6855" s="349" t="s">
        <v>256</v>
      </c>
      <c r="D6855" s="483">
        <v>87.81</v>
      </c>
      <c r="E6855" s="483">
        <v>87.81</v>
      </c>
    </row>
    <row r="6856" spans="1:5" ht="30">
      <c r="A6856" s="484">
        <v>10708</v>
      </c>
      <c r="B6856" s="485" t="s">
        <v>3411</v>
      </c>
      <c r="C6856" s="484" t="s">
        <v>256</v>
      </c>
      <c r="D6856" s="486">
        <v>27.09</v>
      </c>
      <c r="E6856" s="486">
        <v>27.09</v>
      </c>
    </row>
    <row r="6857" spans="1:5" ht="30">
      <c r="A6857" s="349">
        <v>39635</v>
      </c>
      <c r="B6857" s="348" t="s">
        <v>3412</v>
      </c>
      <c r="C6857" s="349" t="s">
        <v>256</v>
      </c>
      <c r="D6857" s="483">
        <v>46.13</v>
      </c>
      <c r="E6857" s="483">
        <v>46.13</v>
      </c>
    </row>
    <row r="6858" spans="1:5">
      <c r="A6858" s="484">
        <v>40913</v>
      </c>
      <c r="B6858" s="485" t="s">
        <v>3413</v>
      </c>
      <c r="C6858" s="484" t="s">
        <v>1643</v>
      </c>
      <c r="D6858" s="486">
        <v>1597.27</v>
      </c>
      <c r="E6858" s="486">
        <v>1597.27</v>
      </c>
    </row>
    <row r="6859" spans="1:5">
      <c r="A6859" s="349">
        <v>1214</v>
      </c>
      <c r="B6859" s="348" t="s">
        <v>3414</v>
      </c>
      <c r="C6859" s="349" t="s">
        <v>57</v>
      </c>
      <c r="D6859" s="483">
        <v>14.52</v>
      </c>
      <c r="E6859" s="483">
        <v>14.52</v>
      </c>
    </row>
    <row r="6860" spans="1:5">
      <c r="A6860" s="484">
        <v>40915</v>
      </c>
      <c r="B6860" s="485" t="s">
        <v>3415</v>
      </c>
      <c r="C6860" s="484" t="s">
        <v>1643</v>
      </c>
      <c r="D6860" s="486">
        <v>2559.38</v>
      </c>
      <c r="E6860" s="486">
        <v>2559.38</v>
      </c>
    </row>
    <row r="6861" spans="1:5">
      <c r="A6861" s="349">
        <v>1213</v>
      </c>
      <c r="B6861" s="348" t="s">
        <v>146</v>
      </c>
      <c r="C6861" s="349" t="s">
        <v>57</v>
      </c>
      <c r="D6861" s="483">
        <v>14.74</v>
      </c>
      <c r="E6861" s="483">
        <v>14.74</v>
      </c>
    </row>
    <row r="6862" spans="1:5">
      <c r="A6862" s="484">
        <v>40914</v>
      </c>
      <c r="B6862" s="485" t="s">
        <v>3416</v>
      </c>
      <c r="C6862" s="484" t="s">
        <v>1643</v>
      </c>
      <c r="D6862" s="486">
        <v>2597.41</v>
      </c>
      <c r="E6862" s="486">
        <v>2597.41</v>
      </c>
    </row>
    <row r="6863" spans="1:5" ht="30">
      <c r="A6863" s="349">
        <v>5091</v>
      </c>
      <c r="B6863" s="348" t="s">
        <v>3417</v>
      </c>
      <c r="C6863" s="349" t="s">
        <v>65</v>
      </c>
      <c r="D6863" s="483">
        <v>13.56</v>
      </c>
      <c r="E6863" s="483">
        <v>13.56</v>
      </c>
    </row>
    <row r="6864" spans="1:5" ht="30">
      <c r="A6864" s="484">
        <v>14615</v>
      </c>
      <c r="B6864" s="485" t="s">
        <v>3418</v>
      </c>
      <c r="C6864" s="484" t="s">
        <v>65</v>
      </c>
      <c r="D6864" s="486">
        <v>2945.68</v>
      </c>
      <c r="E6864" s="486">
        <v>2945.68</v>
      </c>
    </row>
    <row r="6865" spans="1:5">
      <c r="A6865" s="349">
        <v>2711</v>
      </c>
      <c r="B6865" s="348" t="s">
        <v>3419</v>
      </c>
      <c r="C6865" s="349" t="s">
        <v>65</v>
      </c>
      <c r="D6865" s="483">
        <v>101.03</v>
      </c>
      <c r="E6865" s="483">
        <v>101.03</v>
      </c>
    </row>
    <row r="6866" spans="1:5" ht="30">
      <c r="A6866" s="484">
        <v>37727</v>
      </c>
      <c r="B6866" s="485" t="s">
        <v>3420</v>
      </c>
      <c r="C6866" s="484" t="s">
        <v>65</v>
      </c>
      <c r="D6866" s="486">
        <v>8500</v>
      </c>
      <c r="E6866" s="486">
        <v>8500</v>
      </c>
    </row>
    <row r="6867" spans="1:5" ht="30">
      <c r="A6867" s="349">
        <v>37728</v>
      </c>
      <c r="B6867" s="348" t="s">
        <v>3421</v>
      </c>
      <c r="C6867" s="349" t="s">
        <v>65</v>
      </c>
      <c r="D6867" s="483">
        <v>11531.46</v>
      </c>
      <c r="E6867" s="483">
        <v>11531.46</v>
      </c>
    </row>
    <row r="6868" spans="1:5" ht="30">
      <c r="A6868" s="484">
        <v>37729</v>
      </c>
      <c r="B6868" s="485" t="s">
        <v>3422</v>
      </c>
      <c r="C6868" s="484" t="s">
        <v>65</v>
      </c>
      <c r="D6868" s="486">
        <v>12482.51</v>
      </c>
      <c r="E6868" s="486">
        <v>12482.51</v>
      </c>
    </row>
    <row r="6869" spans="1:5" ht="30">
      <c r="A6869" s="349">
        <v>37730</v>
      </c>
      <c r="B6869" s="348" t="s">
        <v>11249</v>
      </c>
      <c r="C6869" s="349" t="s">
        <v>65</v>
      </c>
      <c r="D6869" s="483">
        <v>13433.56</v>
      </c>
      <c r="E6869" s="483">
        <v>13433.56</v>
      </c>
    </row>
    <row r="6870" spans="1:5" ht="30">
      <c r="A6870" s="484">
        <v>37731</v>
      </c>
      <c r="B6870" s="485" t="s">
        <v>3423</v>
      </c>
      <c r="C6870" s="484" t="s">
        <v>65</v>
      </c>
      <c r="D6870" s="486">
        <v>14384.61</v>
      </c>
      <c r="E6870" s="486">
        <v>14384.61</v>
      </c>
    </row>
    <row r="6871" spans="1:5" ht="30">
      <c r="A6871" s="349">
        <v>37732</v>
      </c>
      <c r="B6871" s="348" t="s">
        <v>3424</v>
      </c>
      <c r="C6871" s="349" t="s">
        <v>65</v>
      </c>
      <c r="D6871" s="483">
        <v>16405.59</v>
      </c>
      <c r="E6871" s="483">
        <v>16405.59</v>
      </c>
    </row>
    <row r="6872" spans="1:5" ht="30">
      <c r="A6872" s="484">
        <v>10560</v>
      </c>
      <c r="B6872" s="485" t="s">
        <v>3425</v>
      </c>
      <c r="C6872" s="484" t="s">
        <v>255</v>
      </c>
      <c r="D6872" s="486">
        <v>1364.47</v>
      </c>
      <c r="E6872" s="486">
        <v>1364.47</v>
      </c>
    </row>
    <row r="6873" spans="1:5">
      <c r="A6873" s="349">
        <v>4743</v>
      </c>
      <c r="B6873" s="348" t="s">
        <v>147</v>
      </c>
      <c r="C6873" s="349" t="s">
        <v>255</v>
      </c>
      <c r="D6873" s="483">
        <v>21.06</v>
      </c>
      <c r="E6873" s="483">
        <v>21.06</v>
      </c>
    </row>
    <row r="6874" spans="1:5">
      <c r="A6874" s="484">
        <v>4744</v>
      </c>
      <c r="B6874" s="485" t="s">
        <v>148</v>
      </c>
      <c r="C6874" s="484" t="s">
        <v>255</v>
      </c>
      <c r="D6874" s="486">
        <v>27.54</v>
      </c>
      <c r="E6874" s="486">
        <v>27.54</v>
      </c>
    </row>
    <row r="6875" spans="1:5">
      <c r="A6875" s="349">
        <v>4745</v>
      </c>
      <c r="B6875" s="348" t="s">
        <v>149</v>
      </c>
      <c r="C6875" s="349" t="s">
        <v>255</v>
      </c>
      <c r="D6875" s="483">
        <v>36.89</v>
      </c>
      <c r="E6875" s="483">
        <v>36.89</v>
      </c>
    </row>
    <row r="6876" spans="1:5" ht="45">
      <c r="A6876" s="484">
        <v>36496</v>
      </c>
      <c r="B6876" s="485" t="s">
        <v>3427</v>
      </c>
      <c r="C6876" s="484" t="s">
        <v>65</v>
      </c>
      <c r="D6876" s="486">
        <v>7479.03</v>
      </c>
      <c r="E6876" s="486">
        <v>7479.03</v>
      </c>
    </row>
    <row r="6877" spans="1:5" ht="45">
      <c r="A6877" s="349">
        <v>10630</v>
      </c>
      <c r="B6877" s="348" t="s">
        <v>3432</v>
      </c>
      <c r="C6877" s="349" t="s">
        <v>65</v>
      </c>
      <c r="D6877" s="483">
        <v>314144.94</v>
      </c>
      <c r="E6877" s="483">
        <v>314144.94</v>
      </c>
    </row>
    <row r="6878" spans="1:5" ht="45">
      <c r="A6878" s="484">
        <v>10609</v>
      </c>
      <c r="B6878" s="485" t="s">
        <v>3433</v>
      </c>
      <c r="C6878" s="484" t="s">
        <v>65</v>
      </c>
      <c r="D6878" s="486">
        <v>357776.2</v>
      </c>
      <c r="E6878" s="486">
        <v>357776.2</v>
      </c>
    </row>
    <row r="6879" spans="1:5" ht="45">
      <c r="A6879" s="349">
        <v>37762</v>
      </c>
      <c r="B6879" s="348" t="s">
        <v>3428</v>
      </c>
      <c r="C6879" s="349" t="s">
        <v>65</v>
      </c>
      <c r="D6879" s="483">
        <v>269422.92</v>
      </c>
      <c r="E6879" s="483">
        <v>269422.92</v>
      </c>
    </row>
    <row r="6880" spans="1:5" ht="45">
      <c r="A6880" s="484">
        <v>37763</v>
      </c>
      <c r="B6880" s="485" t="s">
        <v>3429</v>
      </c>
      <c r="C6880" s="484" t="s">
        <v>65</v>
      </c>
      <c r="D6880" s="486">
        <v>272695.28000000003</v>
      </c>
      <c r="E6880" s="486">
        <v>272695.28000000003</v>
      </c>
    </row>
    <row r="6881" spans="1:5" ht="30">
      <c r="A6881" s="349">
        <v>13456</v>
      </c>
      <c r="B6881" s="348" t="s">
        <v>3430</v>
      </c>
      <c r="C6881" s="349" t="s">
        <v>65</v>
      </c>
      <c r="D6881" s="483">
        <v>272695.28000000003</v>
      </c>
      <c r="E6881" s="483">
        <v>272695.28000000003</v>
      </c>
    </row>
    <row r="6882" spans="1:5" ht="30">
      <c r="A6882" s="484">
        <v>1283</v>
      </c>
      <c r="B6882" s="485" t="s">
        <v>3431</v>
      </c>
      <c r="C6882" s="484" t="s">
        <v>65</v>
      </c>
      <c r="D6882" s="486">
        <v>310000</v>
      </c>
      <c r="E6882" s="486">
        <v>310000</v>
      </c>
    </row>
    <row r="6883" spans="1:5" ht="45">
      <c r="A6883" s="349">
        <v>13215</v>
      </c>
      <c r="B6883" s="348" t="s">
        <v>3434</v>
      </c>
      <c r="C6883" s="349" t="s">
        <v>65</v>
      </c>
      <c r="D6883" s="483">
        <v>380137.22</v>
      </c>
      <c r="E6883" s="483">
        <v>380137.22</v>
      </c>
    </row>
    <row r="6884" spans="1:5">
      <c r="A6884" s="484">
        <v>4235</v>
      </c>
      <c r="B6884" s="485" t="s">
        <v>3435</v>
      </c>
      <c r="C6884" s="484" t="s">
        <v>57</v>
      </c>
      <c r="D6884" s="486">
        <v>21.05</v>
      </c>
      <c r="E6884" s="486">
        <v>21.05</v>
      </c>
    </row>
    <row r="6885" spans="1:5">
      <c r="A6885" s="349">
        <v>40976</v>
      </c>
      <c r="B6885" s="348" t="s">
        <v>3436</v>
      </c>
      <c r="C6885" s="349" t="s">
        <v>1643</v>
      </c>
      <c r="D6885" s="483">
        <v>3711.34</v>
      </c>
      <c r="E6885" s="483">
        <v>3711.34</v>
      </c>
    </row>
    <row r="6886" spans="1:5">
      <c r="A6886" s="484">
        <v>39013</v>
      </c>
      <c r="B6886" s="485" t="s">
        <v>19484</v>
      </c>
      <c r="C6886" s="484" t="s">
        <v>65</v>
      </c>
      <c r="D6886" s="486">
        <v>0.57999999999999996</v>
      </c>
      <c r="E6886" s="486">
        <v>0.57999999999999996</v>
      </c>
    </row>
    <row r="6887" spans="1:5">
      <c r="A6887" s="349">
        <v>41967</v>
      </c>
      <c r="B6887" s="348" t="s">
        <v>19485</v>
      </c>
      <c r="C6887" s="349" t="s">
        <v>91</v>
      </c>
      <c r="D6887" s="483">
        <v>5.01</v>
      </c>
      <c r="E6887" s="483">
        <v>5.01</v>
      </c>
    </row>
    <row r="6888" spans="1:5">
      <c r="A6888" s="484">
        <v>1336</v>
      </c>
      <c r="B6888" s="485" t="s">
        <v>3448</v>
      </c>
      <c r="C6888" s="484" t="s">
        <v>256</v>
      </c>
      <c r="D6888" s="486">
        <v>767.26</v>
      </c>
      <c r="E6888" s="486">
        <v>767.26</v>
      </c>
    </row>
    <row r="6889" spans="1:5" ht="30">
      <c r="A6889" s="349">
        <v>12760</v>
      </c>
      <c r="B6889" s="348" t="s">
        <v>3449</v>
      </c>
      <c r="C6889" s="349" t="s">
        <v>256</v>
      </c>
      <c r="D6889" s="483">
        <v>867.48</v>
      </c>
      <c r="E6889" s="483">
        <v>867.48</v>
      </c>
    </row>
    <row r="6890" spans="1:5" ht="30">
      <c r="A6890" s="484">
        <v>12759</v>
      </c>
      <c r="B6890" s="485" t="s">
        <v>3450</v>
      </c>
      <c r="C6890" s="484" t="s">
        <v>256</v>
      </c>
      <c r="D6890" s="486">
        <v>578.30999999999995</v>
      </c>
      <c r="E6890" s="486">
        <v>578.30999999999995</v>
      </c>
    </row>
    <row r="6891" spans="1:5" ht="30">
      <c r="A6891" s="349">
        <v>40424</v>
      </c>
      <c r="B6891" s="348" t="s">
        <v>11250</v>
      </c>
      <c r="C6891" s="349" t="s">
        <v>90</v>
      </c>
      <c r="D6891" s="483">
        <v>4.37</v>
      </c>
      <c r="E6891" s="483">
        <v>4.37</v>
      </c>
    </row>
    <row r="6892" spans="1:5">
      <c r="A6892" s="484">
        <v>1325</v>
      </c>
      <c r="B6892" s="485" t="s">
        <v>3452</v>
      </c>
      <c r="C6892" s="484" t="s">
        <v>90</v>
      </c>
      <c r="D6892" s="486">
        <v>5.33</v>
      </c>
      <c r="E6892" s="486">
        <v>5.33</v>
      </c>
    </row>
    <row r="6893" spans="1:5">
      <c r="A6893" s="349">
        <v>1327</v>
      </c>
      <c r="B6893" s="348" t="s">
        <v>3453</v>
      </c>
      <c r="C6893" s="349" t="s">
        <v>90</v>
      </c>
      <c r="D6893" s="483">
        <v>4.78</v>
      </c>
      <c r="E6893" s="483">
        <v>4.78</v>
      </c>
    </row>
    <row r="6894" spans="1:5">
      <c r="A6894" s="484">
        <v>1328</v>
      </c>
      <c r="B6894" s="485" t="s">
        <v>3454</v>
      </c>
      <c r="C6894" s="484" t="s">
        <v>90</v>
      </c>
      <c r="D6894" s="486">
        <v>5</v>
      </c>
      <c r="E6894" s="486">
        <v>5</v>
      </c>
    </row>
    <row r="6895" spans="1:5">
      <c r="A6895" s="349">
        <v>1321</v>
      </c>
      <c r="B6895" s="348" t="s">
        <v>3455</v>
      </c>
      <c r="C6895" s="349" t="s">
        <v>90</v>
      </c>
      <c r="D6895" s="483">
        <v>5.35</v>
      </c>
      <c r="E6895" s="483">
        <v>5.35</v>
      </c>
    </row>
    <row r="6896" spans="1:5">
      <c r="A6896" s="484">
        <v>1318</v>
      </c>
      <c r="B6896" s="485" t="s">
        <v>3456</v>
      </c>
      <c r="C6896" s="484" t="s">
        <v>90</v>
      </c>
      <c r="D6896" s="486">
        <v>5.15</v>
      </c>
      <c r="E6896" s="486">
        <v>5.15</v>
      </c>
    </row>
    <row r="6897" spans="1:5">
      <c r="A6897" s="349">
        <v>1322</v>
      </c>
      <c r="B6897" s="348" t="s">
        <v>3457</v>
      </c>
      <c r="C6897" s="349" t="s">
        <v>90</v>
      </c>
      <c r="D6897" s="483">
        <v>5.68</v>
      </c>
      <c r="E6897" s="483">
        <v>5.68</v>
      </c>
    </row>
    <row r="6898" spans="1:5">
      <c r="A6898" s="484">
        <v>1323</v>
      </c>
      <c r="B6898" s="485" t="s">
        <v>3458</v>
      </c>
      <c r="C6898" s="484" t="s">
        <v>90</v>
      </c>
      <c r="D6898" s="486">
        <v>5.55</v>
      </c>
      <c r="E6898" s="486">
        <v>5.55</v>
      </c>
    </row>
    <row r="6899" spans="1:5">
      <c r="A6899" s="349">
        <v>1319</v>
      </c>
      <c r="B6899" s="348" t="s">
        <v>3459</v>
      </c>
      <c r="C6899" s="349" t="s">
        <v>90</v>
      </c>
      <c r="D6899" s="483">
        <v>4.91</v>
      </c>
      <c r="E6899" s="483">
        <v>4.91</v>
      </c>
    </row>
    <row r="6900" spans="1:5">
      <c r="A6900" s="484">
        <v>11026</v>
      </c>
      <c r="B6900" s="485" t="s">
        <v>3460</v>
      </c>
      <c r="C6900" s="484" t="s">
        <v>90</v>
      </c>
      <c r="D6900" s="486">
        <v>6.58</v>
      </c>
      <c r="E6900" s="486">
        <v>6.58</v>
      </c>
    </row>
    <row r="6901" spans="1:5">
      <c r="A6901" s="349">
        <v>11027</v>
      </c>
      <c r="B6901" s="348" t="s">
        <v>3461</v>
      </c>
      <c r="C6901" s="349" t="s">
        <v>90</v>
      </c>
      <c r="D6901" s="483">
        <v>6.98</v>
      </c>
      <c r="E6901" s="483">
        <v>6.98</v>
      </c>
    </row>
    <row r="6902" spans="1:5">
      <c r="A6902" s="484">
        <v>11046</v>
      </c>
      <c r="B6902" s="485" t="s">
        <v>3462</v>
      </c>
      <c r="C6902" s="484" t="s">
        <v>90</v>
      </c>
      <c r="D6902" s="486">
        <v>6.78</v>
      </c>
      <c r="E6902" s="486">
        <v>6.78</v>
      </c>
    </row>
    <row r="6903" spans="1:5">
      <c r="A6903" s="349">
        <v>11047</v>
      </c>
      <c r="B6903" s="348" t="s">
        <v>19486</v>
      </c>
      <c r="C6903" s="349" t="s">
        <v>90</v>
      </c>
      <c r="D6903" s="483">
        <v>5.12</v>
      </c>
      <c r="E6903" s="483">
        <v>5.12</v>
      </c>
    </row>
    <row r="6904" spans="1:5">
      <c r="A6904" s="484">
        <v>11049</v>
      </c>
      <c r="B6904" s="485" t="s">
        <v>3463</v>
      </c>
      <c r="C6904" s="484" t="s">
        <v>90</v>
      </c>
      <c r="D6904" s="486">
        <v>6.32</v>
      </c>
      <c r="E6904" s="486">
        <v>6.32</v>
      </c>
    </row>
    <row r="6905" spans="1:5">
      <c r="A6905" s="349">
        <v>11051</v>
      </c>
      <c r="B6905" s="348" t="s">
        <v>3464</v>
      </c>
      <c r="C6905" s="349" t="s">
        <v>90</v>
      </c>
      <c r="D6905" s="483">
        <v>6.79</v>
      </c>
      <c r="E6905" s="483">
        <v>6.79</v>
      </c>
    </row>
    <row r="6906" spans="1:5">
      <c r="A6906" s="484">
        <v>11061</v>
      </c>
      <c r="B6906" s="485" t="s">
        <v>19487</v>
      </c>
      <c r="C6906" s="484" t="s">
        <v>90</v>
      </c>
      <c r="D6906" s="486">
        <v>4.75</v>
      </c>
      <c r="E6906" s="486">
        <v>4.75</v>
      </c>
    </row>
    <row r="6907" spans="1:5">
      <c r="A6907" s="349">
        <v>1333</v>
      </c>
      <c r="B6907" s="348" t="s">
        <v>3465</v>
      </c>
      <c r="C6907" s="349" t="s">
        <v>90</v>
      </c>
      <c r="D6907" s="483">
        <v>4.9400000000000004</v>
      </c>
      <c r="E6907" s="483">
        <v>4.9400000000000004</v>
      </c>
    </row>
    <row r="6908" spans="1:5">
      <c r="A6908" s="484">
        <v>1330</v>
      </c>
      <c r="B6908" s="485" t="s">
        <v>3466</v>
      </c>
      <c r="C6908" s="484" t="s">
        <v>90</v>
      </c>
      <c r="D6908" s="486">
        <v>5.0599999999999996</v>
      </c>
      <c r="E6908" s="486">
        <v>5.0599999999999996</v>
      </c>
    </row>
    <row r="6909" spans="1:5">
      <c r="A6909" s="349">
        <v>10957</v>
      </c>
      <c r="B6909" s="348" t="s">
        <v>3467</v>
      </c>
      <c r="C6909" s="349" t="s">
        <v>90</v>
      </c>
      <c r="D6909" s="483">
        <v>6.32</v>
      </c>
      <c r="E6909" s="483">
        <v>6.32</v>
      </c>
    </row>
    <row r="6910" spans="1:5">
      <c r="A6910" s="484">
        <v>1332</v>
      </c>
      <c r="B6910" s="485" t="s">
        <v>3468</v>
      </c>
      <c r="C6910" s="484" t="s">
        <v>90</v>
      </c>
      <c r="D6910" s="486">
        <v>5.26</v>
      </c>
      <c r="E6910" s="486">
        <v>5.26</v>
      </c>
    </row>
    <row r="6911" spans="1:5">
      <c r="A6911" s="349">
        <v>1334</v>
      </c>
      <c r="B6911" s="348" t="s">
        <v>3469</v>
      </c>
      <c r="C6911" s="349" t="s">
        <v>90</v>
      </c>
      <c r="D6911" s="483">
        <v>5.83</v>
      </c>
      <c r="E6911" s="483">
        <v>5.83</v>
      </c>
    </row>
    <row r="6912" spans="1:5">
      <c r="A6912" s="484">
        <v>1335</v>
      </c>
      <c r="B6912" s="485" t="s">
        <v>3470</v>
      </c>
      <c r="C6912" s="484" t="s">
        <v>90</v>
      </c>
      <c r="D6912" s="486">
        <v>5.91</v>
      </c>
      <c r="E6912" s="486">
        <v>5.91</v>
      </c>
    </row>
    <row r="6913" spans="1:5">
      <c r="A6913" s="349">
        <v>40425</v>
      </c>
      <c r="B6913" s="348" t="s">
        <v>11251</v>
      </c>
      <c r="C6913" s="349" t="s">
        <v>90</v>
      </c>
      <c r="D6913" s="483">
        <v>4.4000000000000004</v>
      </c>
      <c r="E6913" s="483">
        <v>4.4000000000000004</v>
      </c>
    </row>
    <row r="6914" spans="1:5">
      <c r="A6914" s="484">
        <v>1337</v>
      </c>
      <c r="B6914" s="485" t="s">
        <v>3471</v>
      </c>
      <c r="C6914" s="484" t="s">
        <v>90</v>
      </c>
      <c r="D6914" s="486">
        <v>6.23</v>
      </c>
      <c r="E6914" s="486">
        <v>6.23</v>
      </c>
    </row>
    <row r="6915" spans="1:5">
      <c r="A6915" s="349">
        <v>11122</v>
      </c>
      <c r="B6915" s="348" t="s">
        <v>3472</v>
      </c>
      <c r="C6915" s="349" t="s">
        <v>90</v>
      </c>
      <c r="D6915" s="483">
        <v>20.079999999999998</v>
      </c>
      <c r="E6915" s="483">
        <v>20.079999999999998</v>
      </c>
    </row>
    <row r="6916" spans="1:5">
      <c r="A6916" s="484">
        <v>11123</v>
      </c>
      <c r="B6916" s="485" t="s">
        <v>3473</v>
      </c>
      <c r="C6916" s="484" t="s">
        <v>90</v>
      </c>
      <c r="D6916" s="486">
        <v>20.079999999999998</v>
      </c>
      <c r="E6916" s="486">
        <v>20.079999999999998</v>
      </c>
    </row>
    <row r="6917" spans="1:5">
      <c r="A6917" s="349">
        <v>11125</v>
      </c>
      <c r="B6917" s="348" t="s">
        <v>3474</v>
      </c>
      <c r="C6917" s="349" t="s">
        <v>90</v>
      </c>
      <c r="D6917" s="483">
        <v>20.079999999999998</v>
      </c>
      <c r="E6917" s="483">
        <v>20.079999999999998</v>
      </c>
    </row>
    <row r="6918" spans="1:5" ht="30">
      <c r="A6918" s="484">
        <v>39416</v>
      </c>
      <c r="B6918" s="485" t="s">
        <v>3475</v>
      </c>
      <c r="C6918" s="484" t="s">
        <v>256</v>
      </c>
      <c r="D6918" s="486">
        <v>21.11</v>
      </c>
      <c r="E6918" s="486">
        <v>21.11</v>
      </c>
    </row>
    <row r="6919" spans="1:5" ht="30">
      <c r="A6919" s="349">
        <v>39417</v>
      </c>
      <c r="B6919" s="348" t="s">
        <v>3476</v>
      </c>
      <c r="C6919" s="349" t="s">
        <v>256</v>
      </c>
      <c r="D6919" s="483">
        <v>22.13</v>
      </c>
      <c r="E6919" s="483">
        <v>22.13</v>
      </c>
    </row>
    <row r="6920" spans="1:5" ht="30">
      <c r="A6920" s="484">
        <v>39414</v>
      </c>
      <c r="B6920" s="485" t="s">
        <v>3477</v>
      </c>
      <c r="C6920" s="484" t="s">
        <v>256</v>
      </c>
      <c r="D6920" s="486">
        <v>19.829999999999998</v>
      </c>
      <c r="E6920" s="486">
        <v>19.829999999999998</v>
      </c>
    </row>
    <row r="6921" spans="1:5" ht="30">
      <c r="A6921" s="349">
        <v>39415</v>
      </c>
      <c r="B6921" s="348" t="s">
        <v>3478</v>
      </c>
      <c r="C6921" s="349" t="s">
        <v>256</v>
      </c>
      <c r="D6921" s="483">
        <v>21.01</v>
      </c>
      <c r="E6921" s="483">
        <v>21.01</v>
      </c>
    </row>
    <row r="6922" spans="1:5" ht="30">
      <c r="A6922" s="484">
        <v>39412</v>
      </c>
      <c r="B6922" s="485" t="s">
        <v>3479</v>
      </c>
      <c r="C6922" s="484" t="s">
        <v>256</v>
      </c>
      <c r="D6922" s="486">
        <v>14.93</v>
      </c>
      <c r="E6922" s="486">
        <v>14.93</v>
      </c>
    </row>
    <row r="6923" spans="1:5" ht="30">
      <c r="A6923" s="349">
        <v>39413</v>
      </c>
      <c r="B6923" s="348" t="s">
        <v>3480</v>
      </c>
      <c r="C6923" s="349" t="s">
        <v>256</v>
      </c>
      <c r="D6923" s="483">
        <v>14.79</v>
      </c>
      <c r="E6923" s="483">
        <v>14.79</v>
      </c>
    </row>
    <row r="6924" spans="1:5">
      <c r="A6924" s="484">
        <v>1338</v>
      </c>
      <c r="B6924" s="485" t="s">
        <v>3481</v>
      </c>
      <c r="C6924" s="484" t="s">
        <v>256</v>
      </c>
      <c r="D6924" s="486">
        <v>20.079999999999998</v>
      </c>
      <c r="E6924" s="486">
        <v>20.079999999999998</v>
      </c>
    </row>
    <row r="6925" spans="1:5" ht="57.75" customHeight="1">
      <c r="A6925" s="349">
        <v>1340</v>
      </c>
      <c r="B6925" s="348" t="s">
        <v>3482</v>
      </c>
      <c r="C6925" s="349" t="s">
        <v>256</v>
      </c>
      <c r="D6925" s="483">
        <v>23.21</v>
      </c>
      <c r="E6925" s="483">
        <v>23.21</v>
      </c>
    </row>
    <row r="6926" spans="1:5">
      <c r="A6926" s="484">
        <v>1341</v>
      </c>
      <c r="B6926" s="485" t="s">
        <v>3483</v>
      </c>
      <c r="C6926" s="484" t="s">
        <v>256</v>
      </c>
      <c r="D6926" s="486">
        <v>22.36</v>
      </c>
      <c r="E6926" s="486">
        <v>22.36</v>
      </c>
    </row>
    <row r="6927" spans="1:5" ht="30">
      <c r="A6927" s="349">
        <v>1364</v>
      </c>
      <c r="B6927" s="348" t="s">
        <v>3484</v>
      </c>
      <c r="C6927" s="349" t="s">
        <v>256</v>
      </c>
      <c r="D6927" s="483">
        <v>25.86</v>
      </c>
      <c r="E6927" s="483">
        <v>25.86</v>
      </c>
    </row>
    <row r="6928" spans="1:5" ht="30">
      <c r="A6928" s="484">
        <v>1361</v>
      </c>
      <c r="B6928" s="485" t="s">
        <v>3485</v>
      </c>
      <c r="C6928" s="484" t="s">
        <v>65</v>
      </c>
      <c r="D6928" s="486">
        <v>107.87</v>
      </c>
      <c r="E6928" s="486">
        <v>107.87</v>
      </c>
    </row>
    <row r="6929" spans="1:5" ht="30">
      <c r="A6929" s="349">
        <v>1362</v>
      </c>
      <c r="B6929" s="348" t="s">
        <v>3486</v>
      </c>
      <c r="C6929" s="349" t="s">
        <v>256</v>
      </c>
      <c r="D6929" s="483">
        <v>36</v>
      </c>
      <c r="E6929" s="483">
        <v>36</v>
      </c>
    </row>
    <row r="6930" spans="1:5" ht="30">
      <c r="A6930" s="484">
        <v>11131</v>
      </c>
      <c r="B6930" s="485" t="s">
        <v>3487</v>
      </c>
      <c r="C6930" s="484" t="s">
        <v>256</v>
      </c>
      <c r="D6930" s="486">
        <v>46.08</v>
      </c>
      <c r="E6930" s="486">
        <v>46.08</v>
      </c>
    </row>
    <row r="6931" spans="1:5" ht="30">
      <c r="A6931" s="349">
        <v>11132</v>
      </c>
      <c r="B6931" s="348" t="s">
        <v>3488</v>
      </c>
      <c r="C6931" s="349" t="s">
        <v>256</v>
      </c>
      <c r="D6931" s="483">
        <v>54.48</v>
      </c>
      <c r="E6931" s="483">
        <v>54.48</v>
      </c>
    </row>
    <row r="6932" spans="1:5" ht="30">
      <c r="A6932" s="484">
        <v>1363</v>
      </c>
      <c r="B6932" s="485" t="s">
        <v>3489</v>
      </c>
      <c r="C6932" s="484" t="s">
        <v>256</v>
      </c>
      <c r="D6932" s="486">
        <v>18.32</v>
      </c>
      <c r="E6932" s="486">
        <v>18.32</v>
      </c>
    </row>
    <row r="6933" spans="1:5" ht="30">
      <c r="A6933" s="349">
        <v>11130</v>
      </c>
      <c r="B6933" s="348" t="s">
        <v>3490</v>
      </c>
      <c r="C6933" s="349" t="s">
        <v>256</v>
      </c>
      <c r="D6933" s="483">
        <v>23.2</v>
      </c>
      <c r="E6933" s="483">
        <v>23.2</v>
      </c>
    </row>
    <row r="6934" spans="1:5" ht="30">
      <c r="A6934" s="484">
        <v>11134</v>
      </c>
      <c r="B6934" s="485" t="s">
        <v>3491</v>
      </c>
      <c r="C6934" s="484" t="s">
        <v>256</v>
      </c>
      <c r="D6934" s="486">
        <v>25.26</v>
      </c>
      <c r="E6934" s="486">
        <v>25.26</v>
      </c>
    </row>
    <row r="6935" spans="1:5" ht="30">
      <c r="A6935" s="349">
        <v>11135</v>
      </c>
      <c r="B6935" s="348" t="s">
        <v>3492</v>
      </c>
      <c r="C6935" s="349" t="s">
        <v>256</v>
      </c>
      <c r="D6935" s="483">
        <v>30.79</v>
      </c>
      <c r="E6935" s="483">
        <v>30.79</v>
      </c>
    </row>
    <row r="6936" spans="1:5" ht="30">
      <c r="A6936" s="484">
        <v>11136</v>
      </c>
      <c r="B6936" s="485" t="s">
        <v>3493</v>
      </c>
      <c r="C6936" s="484" t="s">
        <v>256</v>
      </c>
      <c r="D6936" s="486">
        <v>33.299999999999997</v>
      </c>
      <c r="E6936" s="486">
        <v>33.299999999999997</v>
      </c>
    </row>
    <row r="6937" spans="1:5" ht="30">
      <c r="A6937" s="349">
        <v>34743</v>
      </c>
      <c r="B6937" s="348" t="s">
        <v>3494</v>
      </c>
      <c r="C6937" s="349" t="s">
        <v>256</v>
      </c>
      <c r="D6937" s="483">
        <v>42.4</v>
      </c>
      <c r="E6937" s="483">
        <v>42.4</v>
      </c>
    </row>
    <row r="6938" spans="1:5" ht="30">
      <c r="A6938" s="484">
        <v>11137</v>
      </c>
      <c r="B6938" s="485" t="s">
        <v>3495</v>
      </c>
      <c r="C6938" s="484" t="s">
        <v>256</v>
      </c>
      <c r="D6938" s="486">
        <v>47.28</v>
      </c>
      <c r="E6938" s="486">
        <v>47.28</v>
      </c>
    </row>
    <row r="6939" spans="1:5" ht="30">
      <c r="A6939" s="349">
        <v>34745</v>
      </c>
      <c r="B6939" s="348" t="s">
        <v>3496</v>
      </c>
      <c r="C6939" s="349" t="s">
        <v>256</v>
      </c>
      <c r="D6939" s="483">
        <v>53.88</v>
      </c>
      <c r="E6939" s="483">
        <v>53.88</v>
      </c>
    </row>
    <row r="6940" spans="1:5">
      <c r="A6940" s="484">
        <v>34746</v>
      </c>
      <c r="B6940" s="485" t="s">
        <v>3497</v>
      </c>
      <c r="C6940" s="484" t="s">
        <v>256</v>
      </c>
      <c r="D6940" s="486">
        <v>13.87</v>
      </c>
      <c r="E6940" s="486">
        <v>13.87</v>
      </c>
    </row>
    <row r="6941" spans="1:5">
      <c r="A6941" s="349">
        <v>1360</v>
      </c>
      <c r="B6941" s="348" t="s">
        <v>3498</v>
      </c>
      <c r="C6941" s="349" t="s">
        <v>256</v>
      </c>
      <c r="D6941" s="483">
        <v>17.14</v>
      </c>
      <c r="E6941" s="483">
        <v>17.14</v>
      </c>
    </row>
    <row r="6942" spans="1:5" ht="30">
      <c r="A6942" s="484">
        <v>1346</v>
      </c>
      <c r="B6942" s="485" t="s">
        <v>11252</v>
      </c>
      <c r="C6942" s="484" t="s">
        <v>256</v>
      </c>
      <c r="D6942" s="486">
        <v>18.84</v>
      </c>
      <c r="E6942" s="486">
        <v>18.84</v>
      </c>
    </row>
    <row r="6943" spans="1:5" ht="30">
      <c r="A6943" s="349">
        <v>1345</v>
      </c>
      <c r="B6943" s="348" t="s">
        <v>11253</v>
      </c>
      <c r="C6943" s="349" t="s">
        <v>256</v>
      </c>
      <c r="D6943" s="483">
        <v>30.53</v>
      </c>
      <c r="E6943" s="483">
        <v>30.53</v>
      </c>
    </row>
    <row r="6944" spans="1:5" ht="30">
      <c r="A6944" s="484">
        <v>1344</v>
      </c>
      <c r="B6944" s="485" t="s">
        <v>11254</v>
      </c>
      <c r="C6944" s="484" t="s">
        <v>65</v>
      </c>
      <c r="D6944" s="486">
        <v>32.840000000000003</v>
      </c>
      <c r="E6944" s="486">
        <v>32.840000000000003</v>
      </c>
    </row>
    <row r="6945" spans="1:5" ht="30">
      <c r="A6945" s="349">
        <v>1342</v>
      </c>
      <c r="B6945" s="348" t="s">
        <v>3500</v>
      </c>
      <c r="C6945" s="349" t="s">
        <v>65</v>
      </c>
      <c r="D6945" s="483">
        <v>58.05</v>
      </c>
      <c r="E6945" s="483">
        <v>58.05</v>
      </c>
    </row>
    <row r="6946" spans="1:5" ht="30">
      <c r="A6946" s="484">
        <v>1347</v>
      </c>
      <c r="B6946" s="485" t="s">
        <v>3499</v>
      </c>
      <c r="C6946" s="484" t="s">
        <v>256</v>
      </c>
      <c r="D6946" s="486">
        <v>22.52</v>
      </c>
      <c r="E6946" s="486">
        <v>22.52</v>
      </c>
    </row>
    <row r="6947" spans="1:5" ht="30">
      <c r="A6947" s="349">
        <v>1349</v>
      </c>
      <c r="B6947" s="348" t="s">
        <v>3501</v>
      </c>
      <c r="C6947" s="349" t="s">
        <v>65</v>
      </c>
      <c r="D6947" s="483">
        <v>82.78</v>
      </c>
      <c r="E6947" s="483">
        <v>82.78</v>
      </c>
    </row>
    <row r="6948" spans="1:5" ht="30">
      <c r="A6948" s="484">
        <v>1350</v>
      </c>
      <c r="B6948" s="485" t="s">
        <v>3502</v>
      </c>
      <c r="C6948" s="484" t="s">
        <v>65</v>
      </c>
      <c r="D6948" s="486">
        <v>25.01</v>
      </c>
      <c r="E6948" s="486">
        <v>25.01</v>
      </c>
    </row>
    <row r="6949" spans="1:5" ht="30">
      <c r="A6949" s="349">
        <v>1357</v>
      </c>
      <c r="B6949" s="348" t="s">
        <v>3503</v>
      </c>
      <c r="C6949" s="349" t="s">
        <v>65</v>
      </c>
      <c r="D6949" s="483">
        <v>31.86</v>
      </c>
      <c r="E6949" s="483">
        <v>31.86</v>
      </c>
    </row>
    <row r="6950" spans="1:5" ht="30">
      <c r="A6950" s="484">
        <v>1355</v>
      </c>
      <c r="B6950" s="485" t="s">
        <v>3504</v>
      </c>
      <c r="C6950" s="484" t="s">
        <v>256</v>
      </c>
      <c r="D6950" s="486">
        <v>14.66</v>
      </c>
      <c r="E6950" s="486">
        <v>14.66</v>
      </c>
    </row>
    <row r="6951" spans="1:5" ht="30">
      <c r="A6951" s="349">
        <v>1358</v>
      </c>
      <c r="B6951" s="348" t="s">
        <v>3505</v>
      </c>
      <c r="C6951" s="349" t="s">
        <v>256</v>
      </c>
      <c r="D6951" s="483">
        <v>16.98</v>
      </c>
      <c r="E6951" s="483">
        <v>16.98</v>
      </c>
    </row>
    <row r="6952" spans="1:5" ht="30">
      <c r="A6952" s="484">
        <v>1359</v>
      </c>
      <c r="B6952" s="485" t="s">
        <v>3506</v>
      </c>
      <c r="C6952" s="484" t="s">
        <v>65</v>
      </c>
      <c r="D6952" s="486">
        <v>49.22</v>
      </c>
      <c r="E6952" s="486">
        <v>49.22</v>
      </c>
    </row>
    <row r="6953" spans="1:5" ht="30">
      <c r="A6953" s="349">
        <v>1351</v>
      </c>
      <c r="B6953" s="348" t="s">
        <v>3507</v>
      </c>
      <c r="C6953" s="349" t="s">
        <v>65</v>
      </c>
      <c r="D6953" s="483">
        <v>15.86</v>
      </c>
      <c r="E6953" s="483">
        <v>15.86</v>
      </c>
    </row>
    <row r="6954" spans="1:5">
      <c r="A6954" s="484">
        <v>34659</v>
      </c>
      <c r="B6954" s="485" t="s">
        <v>3508</v>
      </c>
      <c r="C6954" s="484" t="s">
        <v>256</v>
      </c>
      <c r="D6954" s="486">
        <v>23.06</v>
      </c>
      <c r="E6954" s="486">
        <v>23.06</v>
      </c>
    </row>
    <row r="6955" spans="1:5">
      <c r="A6955" s="349">
        <v>34514</v>
      </c>
      <c r="B6955" s="348" t="s">
        <v>3509</v>
      </c>
      <c r="C6955" s="349" t="s">
        <v>256</v>
      </c>
      <c r="D6955" s="483">
        <v>25.55</v>
      </c>
      <c r="E6955" s="483">
        <v>25.55</v>
      </c>
    </row>
    <row r="6956" spans="1:5">
      <c r="A6956" s="484">
        <v>34660</v>
      </c>
      <c r="B6956" s="485" t="s">
        <v>3510</v>
      </c>
      <c r="C6956" s="484" t="s">
        <v>256</v>
      </c>
      <c r="D6956" s="486">
        <v>32.42</v>
      </c>
      <c r="E6956" s="486">
        <v>32.42</v>
      </c>
    </row>
    <row r="6957" spans="1:5">
      <c r="A6957" s="349">
        <v>34661</v>
      </c>
      <c r="B6957" s="348" t="s">
        <v>3511</v>
      </c>
      <c r="C6957" s="349" t="s">
        <v>256</v>
      </c>
      <c r="D6957" s="483">
        <v>46.57</v>
      </c>
      <c r="E6957" s="483">
        <v>46.57</v>
      </c>
    </row>
    <row r="6958" spans="1:5">
      <c r="A6958" s="484">
        <v>34667</v>
      </c>
      <c r="B6958" s="485" t="s">
        <v>3512</v>
      </c>
      <c r="C6958" s="484" t="s">
        <v>256</v>
      </c>
      <c r="D6958" s="486">
        <v>16.86</v>
      </c>
      <c r="E6958" s="486">
        <v>16.86</v>
      </c>
    </row>
    <row r="6959" spans="1:5">
      <c r="A6959" s="349">
        <v>34668</v>
      </c>
      <c r="B6959" s="348" t="s">
        <v>3513</v>
      </c>
      <c r="C6959" s="349" t="s">
        <v>256</v>
      </c>
      <c r="D6959" s="483">
        <v>22.04</v>
      </c>
      <c r="E6959" s="483">
        <v>22.04</v>
      </c>
    </row>
    <row r="6960" spans="1:5" ht="29.25" customHeight="1">
      <c r="A6960" s="484">
        <v>34741</v>
      </c>
      <c r="B6960" s="485" t="s">
        <v>3514</v>
      </c>
      <c r="C6960" s="484" t="s">
        <v>256</v>
      </c>
      <c r="D6960" s="486">
        <v>24.25</v>
      </c>
      <c r="E6960" s="486">
        <v>24.25</v>
      </c>
    </row>
    <row r="6961" spans="1:5" ht="29.25" customHeight="1">
      <c r="A6961" s="349">
        <v>34664</v>
      </c>
      <c r="B6961" s="348" t="s">
        <v>3515</v>
      </c>
      <c r="C6961" s="349" t="s">
        <v>256</v>
      </c>
      <c r="D6961" s="483">
        <v>26.46</v>
      </c>
      <c r="E6961" s="483">
        <v>26.46</v>
      </c>
    </row>
    <row r="6962" spans="1:5" ht="29.25" customHeight="1">
      <c r="A6962" s="484">
        <v>34665</v>
      </c>
      <c r="B6962" s="485" t="s">
        <v>3516</v>
      </c>
      <c r="C6962" s="484" t="s">
        <v>256</v>
      </c>
      <c r="D6962" s="486">
        <v>32.85</v>
      </c>
      <c r="E6962" s="486">
        <v>32.85</v>
      </c>
    </row>
    <row r="6963" spans="1:5">
      <c r="A6963" s="349">
        <v>34666</v>
      </c>
      <c r="B6963" s="348" t="s">
        <v>3517</v>
      </c>
      <c r="C6963" s="349" t="s">
        <v>256</v>
      </c>
      <c r="D6963" s="483">
        <v>49.62</v>
      </c>
      <c r="E6963" s="483">
        <v>49.62</v>
      </c>
    </row>
    <row r="6964" spans="1:5">
      <c r="A6964" s="484">
        <v>34669</v>
      </c>
      <c r="B6964" s="485" t="s">
        <v>3518</v>
      </c>
      <c r="C6964" s="484" t="s">
        <v>256</v>
      </c>
      <c r="D6964" s="486">
        <v>18.190000000000001</v>
      </c>
      <c r="E6964" s="486">
        <v>18.190000000000001</v>
      </c>
    </row>
    <row r="6965" spans="1:5">
      <c r="A6965" s="349">
        <v>34670</v>
      </c>
      <c r="B6965" s="348" t="s">
        <v>3519</v>
      </c>
      <c r="C6965" s="349" t="s">
        <v>256</v>
      </c>
      <c r="D6965" s="483">
        <v>22.25</v>
      </c>
      <c r="E6965" s="483">
        <v>22.25</v>
      </c>
    </row>
    <row r="6966" spans="1:5">
      <c r="A6966" s="484">
        <v>34671</v>
      </c>
      <c r="B6966" s="485" t="s">
        <v>3520</v>
      </c>
      <c r="C6966" s="484" t="s">
        <v>256</v>
      </c>
      <c r="D6966" s="486">
        <v>18.57</v>
      </c>
      <c r="E6966" s="486">
        <v>18.57</v>
      </c>
    </row>
    <row r="6967" spans="1:5">
      <c r="A6967" s="349">
        <v>34672</v>
      </c>
      <c r="B6967" s="348" t="s">
        <v>3521</v>
      </c>
      <c r="C6967" s="349" t="s">
        <v>256</v>
      </c>
      <c r="D6967" s="483">
        <v>19.579999999999998</v>
      </c>
      <c r="E6967" s="483">
        <v>19.579999999999998</v>
      </c>
    </row>
    <row r="6968" spans="1:5">
      <c r="A6968" s="484">
        <v>34673</v>
      </c>
      <c r="B6968" s="485" t="s">
        <v>3522</v>
      </c>
      <c r="C6968" s="484" t="s">
        <v>256</v>
      </c>
      <c r="D6968" s="486">
        <v>23.9</v>
      </c>
      <c r="E6968" s="486">
        <v>23.9</v>
      </c>
    </row>
    <row r="6969" spans="1:5">
      <c r="A6969" s="349">
        <v>34674</v>
      </c>
      <c r="B6969" s="348" t="s">
        <v>3523</v>
      </c>
      <c r="C6969" s="349" t="s">
        <v>256</v>
      </c>
      <c r="D6969" s="483">
        <v>31.77</v>
      </c>
      <c r="E6969" s="483">
        <v>31.77</v>
      </c>
    </row>
    <row r="6970" spans="1:5">
      <c r="A6970" s="484">
        <v>34675</v>
      </c>
      <c r="B6970" s="485" t="s">
        <v>3524</v>
      </c>
      <c r="C6970" s="484" t="s">
        <v>256</v>
      </c>
      <c r="D6970" s="486">
        <v>38.729999999999997</v>
      </c>
      <c r="E6970" s="486">
        <v>38.729999999999997</v>
      </c>
    </row>
    <row r="6971" spans="1:5">
      <c r="A6971" s="349">
        <v>34676</v>
      </c>
      <c r="B6971" s="348" t="s">
        <v>3525</v>
      </c>
      <c r="C6971" s="349" t="s">
        <v>256</v>
      </c>
      <c r="D6971" s="483">
        <v>11.15</v>
      </c>
      <c r="E6971" s="483">
        <v>11.15</v>
      </c>
    </row>
    <row r="6972" spans="1:5">
      <c r="A6972" s="484">
        <v>34677</v>
      </c>
      <c r="B6972" s="485" t="s">
        <v>3526</v>
      </c>
      <c r="C6972" s="484" t="s">
        <v>256</v>
      </c>
      <c r="D6972" s="486">
        <v>14.99</v>
      </c>
      <c r="E6972" s="486">
        <v>14.99</v>
      </c>
    </row>
    <row r="6973" spans="1:5" ht="30">
      <c r="A6973" s="349">
        <v>40623</v>
      </c>
      <c r="B6973" s="348" t="s">
        <v>19488</v>
      </c>
      <c r="C6973" s="349" t="s">
        <v>131</v>
      </c>
      <c r="D6973" s="483">
        <v>27.77</v>
      </c>
      <c r="E6973" s="483">
        <v>27.77</v>
      </c>
    </row>
    <row r="6974" spans="1:5" ht="30">
      <c r="A6974" s="484">
        <v>11584</v>
      </c>
      <c r="B6974" s="485" t="s">
        <v>11256</v>
      </c>
      <c r="C6974" s="484" t="s">
        <v>65</v>
      </c>
      <c r="D6974" s="486">
        <v>51.56</v>
      </c>
      <c r="E6974" s="486">
        <v>51.56</v>
      </c>
    </row>
    <row r="6975" spans="1:5">
      <c r="A6975" s="349">
        <v>11112</v>
      </c>
      <c r="B6975" s="348" t="s">
        <v>3529</v>
      </c>
      <c r="C6975" s="349" t="s">
        <v>90</v>
      </c>
      <c r="D6975" s="483">
        <v>20.079999999999998</v>
      </c>
      <c r="E6975" s="483">
        <v>20.079999999999998</v>
      </c>
    </row>
    <row r="6976" spans="1:5">
      <c r="A6976" s="484">
        <v>11115</v>
      </c>
      <c r="B6976" s="485" t="s">
        <v>3530</v>
      </c>
      <c r="C6976" s="484" t="s">
        <v>71</v>
      </c>
      <c r="D6976" s="486">
        <v>9.2899999999999991</v>
      </c>
      <c r="E6976" s="486">
        <v>9.2899999999999991</v>
      </c>
    </row>
    <row r="6977" spans="1:5">
      <c r="A6977" s="349">
        <v>11113</v>
      </c>
      <c r="B6977" s="348" t="s">
        <v>3531</v>
      </c>
      <c r="C6977" s="349" t="s">
        <v>90</v>
      </c>
      <c r="D6977" s="483">
        <v>20.079999999999998</v>
      </c>
      <c r="E6977" s="483">
        <v>20.079999999999998</v>
      </c>
    </row>
    <row r="6978" spans="1:5">
      <c r="A6978" s="484">
        <v>11114</v>
      </c>
      <c r="B6978" s="485" t="s">
        <v>3532</v>
      </c>
      <c r="C6978" s="484" t="s">
        <v>71</v>
      </c>
      <c r="D6978" s="486">
        <v>15.44</v>
      </c>
      <c r="E6978" s="486">
        <v>15.44</v>
      </c>
    </row>
    <row r="6979" spans="1:5" ht="30">
      <c r="A6979" s="349">
        <v>20971</v>
      </c>
      <c r="B6979" s="348" t="s">
        <v>3570</v>
      </c>
      <c r="C6979" s="349" t="s">
        <v>65</v>
      </c>
      <c r="D6979" s="483">
        <v>12.86</v>
      </c>
      <c r="E6979" s="483">
        <v>12.86</v>
      </c>
    </row>
    <row r="6980" spans="1:5">
      <c r="A6980" s="484">
        <v>12081</v>
      </c>
      <c r="B6980" s="485" t="s">
        <v>3571</v>
      </c>
      <c r="C6980" s="484" t="s">
        <v>65</v>
      </c>
      <c r="D6980" s="486">
        <v>183</v>
      </c>
      <c r="E6980" s="486">
        <v>183</v>
      </c>
    </row>
    <row r="6981" spans="1:5" ht="30">
      <c r="A6981" s="349">
        <v>12083</v>
      </c>
      <c r="B6981" s="348" t="s">
        <v>3573</v>
      </c>
      <c r="C6981" s="349" t="s">
        <v>65</v>
      </c>
      <c r="D6981" s="483">
        <v>686.25</v>
      </c>
      <c r="E6981" s="483">
        <v>686.25</v>
      </c>
    </row>
    <row r="6982" spans="1:5" ht="30">
      <c r="A6982" s="484">
        <v>12082</v>
      </c>
      <c r="B6982" s="485" t="s">
        <v>3575</v>
      </c>
      <c r="C6982" s="484" t="s">
        <v>65</v>
      </c>
      <c r="D6982" s="486">
        <v>298.51</v>
      </c>
      <c r="E6982" s="486">
        <v>298.51</v>
      </c>
    </row>
    <row r="6983" spans="1:5">
      <c r="A6983" s="349">
        <v>5047</v>
      </c>
      <c r="B6983" s="348" t="s">
        <v>3576</v>
      </c>
      <c r="C6983" s="349" t="s">
        <v>65</v>
      </c>
      <c r="D6983" s="483">
        <v>280.52</v>
      </c>
      <c r="E6983" s="483">
        <v>280.52</v>
      </c>
    </row>
    <row r="6984" spans="1:5" ht="30">
      <c r="A6984" s="484">
        <v>13354</v>
      </c>
      <c r="B6984" s="485" t="s">
        <v>3582</v>
      </c>
      <c r="C6984" s="484" t="s">
        <v>65</v>
      </c>
      <c r="D6984" s="486">
        <v>556.62</v>
      </c>
      <c r="E6984" s="486">
        <v>556.62</v>
      </c>
    </row>
    <row r="6985" spans="1:5">
      <c r="A6985" s="349">
        <v>14058</v>
      </c>
      <c r="B6985" s="348" t="s">
        <v>3583</v>
      </c>
      <c r="C6985" s="349" t="s">
        <v>65</v>
      </c>
      <c r="D6985" s="483">
        <v>705.65</v>
      </c>
      <c r="E6985" s="483">
        <v>705.65</v>
      </c>
    </row>
    <row r="6986" spans="1:5">
      <c r="A6986" s="484">
        <v>14057</v>
      </c>
      <c r="B6986" s="485" t="s">
        <v>3585</v>
      </c>
      <c r="C6986" s="484" t="s">
        <v>65</v>
      </c>
      <c r="D6986" s="486">
        <v>727.15</v>
      </c>
      <c r="E6986" s="486">
        <v>727.15</v>
      </c>
    </row>
    <row r="6987" spans="1:5" ht="30">
      <c r="A6987" s="349">
        <v>13369</v>
      </c>
      <c r="B6987" s="348" t="s">
        <v>3587</v>
      </c>
      <c r="C6987" s="349" t="s">
        <v>65</v>
      </c>
      <c r="D6987" s="483">
        <v>258.83</v>
      </c>
      <c r="E6987" s="483">
        <v>258.83</v>
      </c>
    </row>
    <row r="6988" spans="1:5" ht="30">
      <c r="A6988" s="484">
        <v>13370</v>
      </c>
      <c r="B6988" s="485" t="s">
        <v>3588</v>
      </c>
      <c r="C6988" s="484" t="s">
        <v>65</v>
      </c>
      <c r="D6988" s="486">
        <v>317.92</v>
      </c>
      <c r="E6988" s="486">
        <v>317.92</v>
      </c>
    </row>
    <row r="6989" spans="1:5">
      <c r="A6989" s="349">
        <v>13279</v>
      </c>
      <c r="B6989" s="348" t="s">
        <v>19489</v>
      </c>
      <c r="C6989" s="349" t="s">
        <v>90</v>
      </c>
      <c r="D6989" s="483">
        <v>8.89</v>
      </c>
      <c r="E6989" s="483">
        <v>8.89</v>
      </c>
    </row>
    <row r="6990" spans="1:5">
      <c r="A6990" s="484">
        <v>11977</v>
      </c>
      <c r="B6990" s="485" t="s">
        <v>3598</v>
      </c>
      <c r="C6990" s="484" t="s">
        <v>65</v>
      </c>
      <c r="D6990" s="486">
        <v>4.5999999999999996</v>
      </c>
      <c r="E6990" s="486">
        <v>4.5999999999999996</v>
      </c>
    </row>
    <row r="6991" spans="1:5">
      <c r="A6991" s="349">
        <v>11975</v>
      </c>
      <c r="B6991" s="348" t="s">
        <v>3599</v>
      </c>
      <c r="C6991" s="349" t="s">
        <v>65</v>
      </c>
      <c r="D6991" s="483">
        <v>10.1</v>
      </c>
      <c r="E6991" s="483">
        <v>10.1</v>
      </c>
    </row>
    <row r="6992" spans="1:5" ht="30">
      <c r="A6992" s="484">
        <v>39746</v>
      </c>
      <c r="B6992" s="485" t="s">
        <v>3597</v>
      </c>
      <c r="C6992" s="484" t="s">
        <v>65</v>
      </c>
      <c r="D6992" s="486">
        <v>112.38</v>
      </c>
      <c r="E6992" s="486">
        <v>112.38</v>
      </c>
    </row>
    <row r="6993" spans="1:5">
      <c r="A6993" s="349">
        <v>11976</v>
      </c>
      <c r="B6993" s="348" t="s">
        <v>3600</v>
      </c>
      <c r="C6993" s="349" t="s">
        <v>65</v>
      </c>
      <c r="D6993" s="483">
        <v>3.39</v>
      </c>
      <c r="E6993" s="483">
        <v>3.39</v>
      </c>
    </row>
    <row r="6994" spans="1:5">
      <c r="A6994" s="484">
        <v>1368</v>
      </c>
      <c r="B6994" s="485" t="s">
        <v>3611</v>
      </c>
      <c r="C6994" s="484" t="s">
        <v>65</v>
      </c>
      <c r="D6994" s="486">
        <v>46.49</v>
      </c>
      <c r="E6994" s="486">
        <v>46.49</v>
      </c>
    </row>
    <row r="6995" spans="1:5">
      <c r="A6995" s="349">
        <v>1367</v>
      </c>
      <c r="B6995" s="348" t="s">
        <v>3612</v>
      </c>
      <c r="C6995" s="349" t="s">
        <v>65</v>
      </c>
      <c r="D6995" s="483">
        <v>150.38</v>
      </c>
      <c r="E6995" s="483">
        <v>150.38</v>
      </c>
    </row>
    <row r="6996" spans="1:5">
      <c r="A6996" s="484">
        <v>7608</v>
      </c>
      <c r="B6996" s="485" t="s">
        <v>3614</v>
      </c>
      <c r="C6996" s="484" t="s">
        <v>65</v>
      </c>
      <c r="D6996" s="486">
        <v>3.41</v>
      </c>
      <c r="E6996" s="486">
        <v>3.41</v>
      </c>
    </row>
    <row r="6997" spans="1:5">
      <c r="A6997" s="349">
        <v>1380</v>
      </c>
      <c r="B6997" s="348" t="s">
        <v>153</v>
      </c>
      <c r="C6997" s="349" t="s">
        <v>90</v>
      </c>
      <c r="D6997" s="483">
        <v>2.5099999999999998</v>
      </c>
      <c r="E6997" s="483">
        <v>2.5099999999999998</v>
      </c>
    </row>
    <row r="6998" spans="1:5">
      <c r="A6998" s="484">
        <v>1375</v>
      </c>
      <c r="B6998" s="485" t="s">
        <v>3617</v>
      </c>
      <c r="C6998" s="484" t="s">
        <v>90</v>
      </c>
      <c r="D6998" s="486">
        <v>10.54</v>
      </c>
      <c r="E6998" s="486">
        <v>10.54</v>
      </c>
    </row>
    <row r="6999" spans="1:5">
      <c r="A6999" s="349">
        <v>1379</v>
      </c>
      <c r="B6999" s="348" t="s">
        <v>3618</v>
      </c>
      <c r="C6999" s="349" t="s">
        <v>90</v>
      </c>
      <c r="D6999" s="483">
        <v>0.42</v>
      </c>
      <c r="E6999" s="483">
        <v>0.42</v>
      </c>
    </row>
    <row r="7000" spans="1:5">
      <c r="A7000" s="484">
        <v>10511</v>
      </c>
      <c r="B7000" s="485" t="s">
        <v>3619</v>
      </c>
      <c r="C7000" s="484" t="s">
        <v>154</v>
      </c>
      <c r="D7000" s="486">
        <v>21.45</v>
      </c>
      <c r="E7000" s="486">
        <v>21.45</v>
      </c>
    </row>
    <row r="7001" spans="1:5">
      <c r="A7001" s="349">
        <v>13284</v>
      </c>
      <c r="B7001" s="348" t="s">
        <v>3620</v>
      </c>
      <c r="C7001" s="349" t="s">
        <v>90</v>
      </c>
      <c r="D7001" s="483">
        <v>0.36</v>
      </c>
      <c r="E7001" s="483">
        <v>0.36</v>
      </c>
    </row>
    <row r="7002" spans="1:5">
      <c r="A7002" s="484">
        <v>25974</v>
      </c>
      <c r="B7002" s="485" t="s">
        <v>3621</v>
      </c>
      <c r="C7002" s="484" t="s">
        <v>90</v>
      </c>
      <c r="D7002" s="486">
        <v>1.43</v>
      </c>
      <c r="E7002" s="486">
        <v>1.43</v>
      </c>
    </row>
    <row r="7003" spans="1:5">
      <c r="A7003" s="349">
        <v>1382</v>
      </c>
      <c r="B7003" s="348" t="s">
        <v>3622</v>
      </c>
      <c r="C7003" s="349" t="s">
        <v>154</v>
      </c>
      <c r="D7003" s="483">
        <v>20.67</v>
      </c>
      <c r="E7003" s="483">
        <v>20.67</v>
      </c>
    </row>
    <row r="7004" spans="1:5">
      <c r="A7004" s="484">
        <v>34753</v>
      </c>
      <c r="B7004" s="485" t="s">
        <v>3623</v>
      </c>
      <c r="C7004" s="484" t="s">
        <v>90</v>
      </c>
      <c r="D7004" s="486">
        <v>0.41</v>
      </c>
      <c r="E7004" s="486">
        <v>0.41</v>
      </c>
    </row>
    <row r="7005" spans="1:5" ht="30">
      <c r="A7005" s="349">
        <v>420</v>
      </c>
      <c r="B7005" s="348" t="s">
        <v>3624</v>
      </c>
      <c r="C7005" s="349" t="s">
        <v>65</v>
      </c>
      <c r="D7005" s="483">
        <v>16.5</v>
      </c>
      <c r="E7005" s="483">
        <v>16.5</v>
      </c>
    </row>
    <row r="7006" spans="1:5" ht="30">
      <c r="A7006" s="484">
        <v>12327</v>
      </c>
      <c r="B7006" s="485" t="s">
        <v>3625</v>
      </c>
      <c r="C7006" s="484" t="s">
        <v>65</v>
      </c>
      <c r="D7006" s="486">
        <v>19.66</v>
      </c>
      <c r="E7006" s="486">
        <v>19.66</v>
      </c>
    </row>
    <row r="7007" spans="1:5" ht="30">
      <c r="A7007" s="349">
        <v>36148</v>
      </c>
      <c r="B7007" s="348" t="s">
        <v>3628</v>
      </c>
      <c r="C7007" s="349" t="s">
        <v>65</v>
      </c>
      <c r="D7007" s="483">
        <v>45.6</v>
      </c>
      <c r="E7007" s="483">
        <v>45.6</v>
      </c>
    </row>
    <row r="7008" spans="1:5">
      <c r="A7008" s="484">
        <v>12329</v>
      </c>
      <c r="B7008" s="485" t="s">
        <v>3633</v>
      </c>
      <c r="C7008" s="484" t="s">
        <v>90</v>
      </c>
      <c r="D7008" s="486">
        <v>61.36</v>
      </c>
      <c r="E7008" s="486">
        <v>61.36</v>
      </c>
    </row>
    <row r="7009" spans="1:5">
      <c r="A7009" s="349">
        <v>1339</v>
      </c>
      <c r="B7009" s="348" t="s">
        <v>3634</v>
      </c>
      <c r="C7009" s="349" t="s">
        <v>90</v>
      </c>
      <c r="D7009" s="483">
        <v>20.13</v>
      </c>
      <c r="E7009" s="483">
        <v>20.13</v>
      </c>
    </row>
    <row r="7010" spans="1:5">
      <c r="A7010" s="484">
        <v>11849</v>
      </c>
      <c r="B7010" s="485" t="s">
        <v>3635</v>
      </c>
      <c r="C7010" s="484" t="s">
        <v>91</v>
      </c>
      <c r="D7010" s="486">
        <v>12.12</v>
      </c>
      <c r="E7010" s="486">
        <v>12.12</v>
      </c>
    </row>
    <row r="7011" spans="1:5" ht="30">
      <c r="A7011" s="349">
        <v>37418</v>
      </c>
      <c r="B7011" s="348" t="s">
        <v>3636</v>
      </c>
      <c r="C7011" s="349" t="s">
        <v>65</v>
      </c>
      <c r="D7011" s="483">
        <v>8.27</v>
      </c>
      <c r="E7011" s="483">
        <v>8.27</v>
      </c>
    </row>
    <row r="7012" spans="1:5" ht="30">
      <c r="A7012" s="484">
        <v>37419</v>
      </c>
      <c r="B7012" s="485" t="s">
        <v>3637</v>
      </c>
      <c r="C7012" s="484" t="s">
        <v>65</v>
      </c>
      <c r="D7012" s="486">
        <v>8.5</v>
      </c>
      <c r="E7012" s="486">
        <v>8.5</v>
      </c>
    </row>
    <row r="7013" spans="1:5" ht="30">
      <c r="A7013" s="349">
        <v>1427</v>
      </c>
      <c r="B7013" s="348" t="s">
        <v>11257</v>
      </c>
      <c r="C7013" s="349" t="s">
        <v>65</v>
      </c>
      <c r="D7013" s="483">
        <v>18.55</v>
      </c>
      <c r="E7013" s="483">
        <v>18.55</v>
      </c>
    </row>
    <row r="7014" spans="1:5" ht="30">
      <c r="A7014" s="484">
        <v>1402</v>
      </c>
      <c r="B7014" s="485" t="s">
        <v>11258</v>
      </c>
      <c r="C7014" s="484" t="s">
        <v>65</v>
      </c>
      <c r="D7014" s="486">
        <v>9.7899999999999991</v>
      </c>
      <c r="E7014" s="486">
        <v>9.7899999999999991</v>
      </c>
    </row>
    <row r="7015" spans="1:5" ht="30">
      <c r="A7015" s="349">
        <v>1420</v>
      </c>
      <c r="B7015" s="348" t="s">
        <v>11259</v>
      </c>
      <c r="C7015" s="349" t="s">
        <v>65</v>
      </c>
      <c r="D7015" s="483">
        <v>10.16</v>
      </c>
      <c r="E7015" s="483">
        <v>10.16</v>
      </c>
    </row>
    <row r="7016" spans="1:5" ht="30">
      <c r="A7016" s="484">
        <v>1419</v>
      </c>
      <c r="B7016" s="485" t="s">
        <v>11260</v>
      </c>
      <c r="C7016" s="484" t="s">
        <v>65</v>
      </c>
      <c r="D7016" s="486">
        <v>11</v>
      </c>
      <c r="E7016" s="486">
        <v>11</v>
      </c>
    </row>
    <row r="7017" spans="1:5" ht="30">
      <c r="A7017" s="349">
        <v>1414</v>
      </c>
      <c r="B7017" s="348" t="s">
        <v>11261</v>
      </c>
      <c r="C7017" s="349" t="s">
        <v>65</v>
      </c>
      <c r="D7017" s="483">
        <v>12.35</v>
      </c>
      <c r="E7017" s="483">
        <v>12.35</v>
      </c>
    </row>
    <row r="7018" spans="1:5" ht="30">
      <c r="A7018" s="484">
        <v>1413</v>
      </c>
      <c r="B7018" s="485" t="s">
        <v>11262</v>
      </c>
      <c r="C7018" s="484" t="s">
        <v>65</v>
      </c>
      <c r="D7018" s="486">
        <v>14.95</v>
      </c>
      <c r="E7018" s="486">
        <v>14.95</v>
      </c>
    </row>
    <row r="7019" spans="1:5" ht="30">
      <c r="A7019" s="349">
        <v>1412</v>
      </c>
      <c r="B7019" s="348" t="s">
        <v>11263</v>
      </c>
      <c r="C7019" s="349" t="s">
        <v>65</v>
      </c>
      <c r="D7019" s="483">
        <v>15.5</v>
      </c>
      <c r="E7019" s="483">
        <v>15.5</v>
      </c>
    </row>
    <row r="7020" spans="1:5" ht="30">
      <c r="A7020" s="484">
        <v>1411</v>
      </c>
      <c r="B7020" s="485" t="s">
        <v>11264</v>
      </c>
      <c r="C7020" s="484" t="s">
        <v>65</v>
      </c>
      <c r="D7020" s="486">
        <v>28.18</v>
      </c>
      <c r="E7020" s="486">
        <v>28.18</v>
      </c>
    </row>
    <row r="7021" spans="1:5" ht="30">
      <c r="A7021" s="349">
        <v>1406</v>
      </c>
      <c r="B7021" s="348" t="s">
        <v>11265</v>
      </c>
      <c r="C7021" s="349" t="s">
        <v>65</v>
      </c>
      <c r="D7021" s="483">
        <v>18.73</v>
      </c>
      <c r="E7021" s="483">
        <v>18.73</v>
      </c>
    </row>
    <row r="7022" spans="1:5" ht="30">
      <c r="A7022" s="484">
        <v>1407</v>
      </c>
      <c r="B7022" s="485" t="s">
        <v>11266</v>
      </c>
      <c r="C7022" s="484" t="s">
        <v>65</v>
      </c>
      <c r="D7022" s="486">
        <v>23.34</v>
      </c>
      <c r="E7022" s="486">
        <v>23.34</v>
      </c>
    </row>
    <row r="7023" spans="1:5" ht="30">
      <c r="A7023" s="349">
        <v>1404</v>
      </c>
      <c r="B7023" s="348" t="s">
        <v>11267</v>
      </c>
      <c r="C7023" s="349" t="s">
        <v>65</v>
      </c>
      <c r="D7023" s="483">
        <v>24.74</v>
      </c>
      <c r="E7023" s="483">
        <v>24.74</v>
      </c>
    </row>
    <row r="7024" spans="1:5" ht="60">
      <c r="A7024" s="484">
        <v>1442</v>
      </c>
      <c r="B7024" s="485" t="s">
        <v>3663</v>
      </c>
      <c r="C7024" s="484" t="s">
        <v>65</v>
      </c>
      <c r="D7024" s="486">
        <v>9155.92</v>
      </c>
      <c r="E7024" s="486">
        <v>9155.92</v>
      </c>
    </row>
    <row r="7025" spans="1:5" ht="30">
      <c r="A7025" s="349">
        <v>11281</v>
      </c>
      <c r="B7025" s="348" t="s">
        <v>3664</v>
      </c>
      <c r="C7025" s="349" t="s">
        <v>65</v>
      </c>
      <c r="D7025" s="483">
        <v>10906.5</v>
      </c>
      <c r="E7025" s="483">
        <v>10906.5</v>
      </c>
    </row>
    <row r="7026" spans="1:5" ht="30">
      <c r="A7026" s="484">
        <v>13458</v>
      </c>
      <c r="B7026" s="485" t="s">
        <v>3665</v>
      </c>
      <c r="C7026" s="484" t="s">
        <v>65</v>
      </c>
      <c r="D7026" s="486">
        <v>13514.57</v>
      </c>
      <c r="E7026" s="486">
        <v>13514.57</v>
      </c>
    </row>
    <row r="7027" spans="1:5" ht="30">
      <c r="A7027" s="349">
        <v>36524</v>
      </c>
      <c r="B7027" s="348" t="s">
        <v>3679</v>
      </c>
      <c r="C7027" s="349" t="s">
        <v>65</v>
      </c>
      <c r="D7027" s="483">
        <v>64419.24</v>
      </c>
      <c r="E7027" s="483">
        <v>64419.24</v>
      </c>
    </row>
    <row r="7028" spans="1:5" ht="43.5" customHeight="1">
      <c r="A7028" s="484">
        <v>36526</v>
      </c>
      <c r="B7028" s="485" t="s">
        <v>3680</v>
      </c>
      <c r="C7028" s="484" t="s">
        <v>65</v>
      </c>
      <c r="D7028" s="486">
        <v>51911.64</v>
      </c>
      <c r="E7028" s="486">
        <v>51911.64</v>
      </c>
    </row>
    <row r="7029" spans="1:5" ht="43.5" customHeight="1">
      <c r="A7029" s="349">
        <v>36523</v>
      </c>
      <c r="B7029" s="348" t="s">
        <v>3681</v>
      </c>
      <c r="C7029" s="349" t="s">
        <v>65</v>
      </c>
      <c r="D7029" s="483">
        <v>111135.83</v>
      </c>
      <c r="E7029" s="483">
        <v>111135.83</v>
      </c>
    </row>
    <row r="7030" spans="1:5" ht="43.5" customHeight="1">
      <c r="A7030" s="484">
        <v>36527</v>
      </c>
      <c r="B7030" s="485" t="s">
        <v>3682</v>
      </c>
      <c r="C7030" s="484" t="s">
        <v>65</v>
      </c>
      <c r="D7030" s="486">
        <v>120716.4</v>
      </c>
      <c r="E7030" s="486">
        <v>120716.4</v>
      </c>
    </row>
    <row r="7031" spans="1:5" ht="43.5" customHeight="1">
      <c r="A7031" s="349">
        <v>13803</v>
      </c>
      <c r="B7031" s="348" t="s">
        <v>3683</v>
      </c>
      <c r="C7031" s="349" t="s">
        <v>65</v>
      </c>
      <c r="D7031" s="483">
        <v>43650</v>
      </c>
      <c r="E7031" s="483">
        <v>43650</v>
      </c>
    </row>
    <row r="7032" spans="1:5" ht="30">
      <c r="A7032" s="484">
        <v>38642</v>
      </c>
      <c r="B7032" s="485" t="s">
        <v>3684</v>
      </c>
      <c r="C7032" s="484" t="s">
        <v>65</v>
      </c>
      <c r="D7032" s="486">
        <v>28105.87</v>
      </c>
      <c r="E7032" s="486">
        <v>28105.87</v>
      </c>
    </row>
    <row r="7033" spans="1:5" ht="30">
      <c r="A7033" s="349">
        <v>36522</v>
      </c>
      <c r="B7033" s="348" t="s">
        <v>3685</v>
      </c>
      <c r="C7033" s="349" t="s">
        <v>65</v>
      </c>
      <c r="D7033" s="483">
        <v>32686.799999999999</v>
      </c>
      <c r="E7033" s="483">
        <v>32686.799999999999</v>
      </c>
    </row>
    <row r="7034" spans="1:5" ht="30">
      <c r="A7034" s="484">
        <v>36525</v>
      </c>
      <c r="B7034" s="485" t="s">
        <v>3698</v>
      </c>
      <c r="C7034" s="484" t="s">
        <v>65</v>
      </c>
      <c r="D7034" s="486">
        <v>43775.25</v>
      </c>
      <c r="E7034" s="486">
        <v>43775.25</v>
      </c>
    </row>
    <row r="7035" spans="1:5" ht="30">
      <c r="A7035" s="349">
        <v>34348</v>
      </c>
      <c r="B7035" s="348" t="s">
        <v>3717</v>
      </c>
      <c r="C7035" s="349" t="s">
        <v>71</v>
      </c>
      <c r="D7035" s="483">
        <v>22.77</v>
      </c>
      <c r="E7035" s="483">
        <v>22.77</v>
      </c>
    </row>
    <row r="7036" spans="1:5" ht="30">
      <c r="A7036" s="484">
        <v>34347</v>
      </c>
      <c r="B7036" s="485" t="s">
        <v>3718</v>
      </c>
      <c r="C7036" s="484" t="s">
        <v>71</v>
      </c>
      <c r="D7036" s="486">
        <v>11.76</v>
      </c>
      <c r="E7036" s="486">
        <v>11.76</v>
      </c>
    </row>
    <row r="7037" spans="1:5" ht="30">
      <c r="A7037" s="349">
        <v>11146</v>
      </c>
      <c r="B7037" s="348" t="s">
        <v>3752</v>
      </c>
      <c r="C7037" s="349" t="s">
        <v>255</v>
      </c>
      <c r="D7037" s="483">
        <v>253.42</v>
      </c>
      <c r="E7037" s="483">
        <v>253.42</v>
      </c>
    </row>
    <row r="7038" spans="1:5" ht="30">
      <c r="A7038" s="484">
        <v>11147</v>
      </c>
      <c r="B7038" s="485" t="s">
        <v>3753</v>
      </c>
      <c r="C7038" s="484" t="s">
        <v>255</v>
      </c>
      <c r="D7038" s="486">
        <v>262.8</v>
      </c>
      <c r="E7038" s="486">
        <v>262.8</v>
      </c>
    </row>
    <row r="7039" spans="1:5" ht="30">
      <c r="A7039" s="349">
        <v>34872</v>
      </c>
      <c r="B7039" s="348" t="s">
        <v>3754</v>
      </c>
      <c r="C7039" s="349" t="s">
        <v>255</v>
      </c>
      <c r="D7039" s="483">
        <v>272.19</v>
      </c>
      <c r="E7039" s="483">
        <v>272.19</v>
      </c>
    </row>
    <row r="7040" spans="1:5" ht="30">
      <c r="A7040" s="484">
        <v>34491</v>
      </c>
      <c r="B7040" s="485" t="s">
        <v>3755</v>
      </c>
      <c r="C7040" s="484" t="s">
        <v>255</v>
      </c>
      <c r="D7040" s="486">
        <v>277.7</v>
      </c>
      <c r="E7040" s="486">
        <v>277.7</v>
      </c>
    </row>
    <row r="7041" spans="1:5" ht="30">
      <c r="A7041" s="349">
        <v>34770</v>
      </c>
      <c r="B7041" s="348" t="s">
        <v>3756</v>
      </c>
      <c r="C7041" s="349" t="s">
        <v>152</v>
      </c>
      <c r="D7041" s="483">
        <v>235.91</v>
      </c>
      <c r="E7041" s="483">
        <v>235.91</v>
      </c>
    </row>
    <row r="7042" spans="1:5" ht="30">
      <c r="A7042" s="484">
        <v>34759</v>
      </c>
      <c r="B7042" s="485" t="s">
        <v>3757</v>
      </c>
      <c r="C7042" s="484" t="s">
        <v>255</v>
      </c>
      <c r="D7042" s="486">
        <v>589.15</v>
      </c>
      <c r="E7042" s="486">
        <v>589.15</v>
      </c>
    </row>
    <row r="7043" spans="1:5" ht="30">
      <c r="A7043" s="349">
        <v>1518</v>
      </c>
      <c r="B7043" s="348" t="s">
        <v>3758</v>
      </c>
      <c r="C7043" s="349" t="s">
        <v>152</v>
      </c>
      <c r="D7043" s="483">
        <v>265</v>
      </c>
      <c r="E7043" s="483">
        <v>265</v>
      </c>
    </row>
    <row r="7044" spans="1:5" ht="30">
      <c r="A7044" s="484">
        <v>1520</v>
      </c>
      <c r="B7044" s="485" t="s">
        <v>3759</v>
      </c>
      <c r="C7044" s="484" t="s">
        <v>255</v>
      </c>
      <c r="D7044" s="486">
        <v>660.38</v>
      </c>
      <c r="E7044" s="486">
        <v>660.38</v>
      </c>
    </row>
    <row r="7045" spans="1:5" ht="30">
      <c r="A7045" s="349">
        <v>34492</v>
      </c>
      <c r="B7045" s="348" t="s">
        <v>3776</v>
      </c>
      <c r="C7045" s="349" t="s">
        <v>255</v>
      </c>
      <c r="D7045" s="483">
        <v>229.95</v>
      </c>
      <c r="E7045" s="483">
        <v>229.95</v>
      </c>
    </row>
    <row r="7046" spans="1:5" ht="30">
      <c r="A7046" s="484">
        <v>1524</v>
      </c>
      <c r="B7046" s="485" t="s">
        <v>3777</v>
      </c>
      <c r="C7046" s="484" t="s">
        <v>255</v>
      </c>
      <c r="D7046" s="486">
        <v>267.5</v>
      </c>
      <c r="E7046" s="486">
        <v>267.5</v>
      </c>
    </row>
    <row r="7047" spans="1:5" ht="30">
      <c r="A7047" s="349">
        <v>38404</v>
      </c>
      <c r="B7047" s="348" t="s">
        <v>3778</v>
      </c>
      <c r="C7047" s="349" t="s">
        <v>255</v>
      </c>
      <c r="D7047" s="483">
        <v>282.33</v>
      </c>
      <c r="E7047" s="483">
        <v>282.33</v>
      </c>
    </row>
    <row r="7048" spans="1:5" ht="30">
      <c r="A7048" s="484">
        <v>39849</v>
      </c>
      <c r="B7048" s="485" t="s">
        <v>3779</v>
      </c>
      <c r="C7048" s="484" t="s">
        <v>255</v>
      </c>
      <c r="D7048" s="486">
        <v>281.73</v>
      </c>
      <c r="E7048" s="486">
        <v>281.73</v>
      </c>
    </row>
    <row r="7049" spans="1:5" ht="30">
      <c r="A7049" s="349">
        <v>38464</v>
      </c>
      <c r="B7049" s="348" t="s">
        <v>3780</v>
      </c>
      <c r="C7049" s="349" t="s">
        <v>255</v>
      </c>
      <c r="D7049" s="483">
        <v>341.06</v>
      </c>
      <c r="E7049" s="483">
        <v>341.06</v>
      </c>
    </row>
    <row r="7050" spans="1:5" ht="30">
      <c r="A7050" s="484">
        <v>34493</v>
      </c>
      <c r="B7050" s="485" t="s">
        <v>3781</v>
      </c>
      <c r="C7050" s="484" t="s">
        <v>255</v>
      </c>
      <c r="D7050" s="486">
        <v>238.87</v>
      </c>
      <c r="E7050" s="486">
        <v>238.87</v>
      </c>
    </row>
    <row r="7051" spans="1:5" ht="30">
      <c r="A7051" s="349">
        <v>1527</v>
      </c>
      <c r="B7051" s="348" t="s">
        <v>3782</v>
      </c>
      <c r="C7051" s="349" t="s">
        <v>255</v>
      </c>
      <c r="D7051" s="483">
        <v>278.76</v>
      </c>
      <c r="E7051" s="483">
        <v>278.76</v>
      </c>
    </row>
    <row r="7052" spans="1:5" ht="30">
      <c r="A7052" s="484">
        <v>38405</v>
      </c>
      <c r="B7052" s="485" t="s">
        <v>3783</v>
      </c>
      <c r="C7052" s="484" t="s">
        <v>255</v>
      </c>
      <c r="D7052" s="486">
        <v>299.27999999999997</v>
      </c>
      <c r="E7052" s="486">
        <v>299.27999999999997</v>
      </c>
    </row>
    <row r="7053" spans="1:5" ht="30">
      <c r="A7053" s="349">
        <v>38408</v>
      </c>
      <c r="B7053" s="348" t="s">
        <v>3784</v>
      </c>
      <c r="C7053" s="349" t="s">
        <v>255</v>
      </c>
      <c r="D7053" s="483">
        <v>311.2</v>
      </c>
      <c r="E7053" s="483">
        <v>311.2</v>
      </c>
    </row>
    <row r="7054" spans="1:5" ht="30">
      <c r="A7054" s="484">
        <v>34494</v>
      </c>
      <c r="B7054" s="485" t="s">
        <v>3785</v>
      </c>
      <c r="C7054" s="484" t="s">
        <v>255</v>
      </c>
      <c r="D7054" s="486">
        <v>249.47</v>
      </c>
      <c r="E7054" s="486">
        <v>249.47</v>
      </c>
    </row>
    <row r="7055" spans="1:5" s="25" customFormat="1" ht="30">
      <c r="A7055" s="606" t="s">
        <v>20634</v>
      </c>
      <c r="B7055" s="605" t="s">
        <v>3785</v>
      </c>
      <c r="C7055" s="606" t="s">
        <v>255</v>
      </c>
      <c r="D7055" s="607">
        <v>249.47</v>
      </c>
      <c r="E7055" s="486"/>
    </row>
    <row r="7056" spans="1:5" ht="30">
      <c r="A7056" s="349">
        <v>1525</v>
      </c>
      <c r="B7056" s="348" t="s">
        <v>3786</v>
      </c>
      <c r="C7056" s="349" t="s">
        <v>255</v>
      </c>
      <c r="D7056" s="483">
        <v>288.14</v>
      </c>
      <c r="E7056" s="483">
        <v>288.14</v>
      </c>
    </row>
    <row r="7057" spans="1:5" ht="30">
      <c r="A7057" s="484">
        <v>38406</v>
      </c>
      <c r="B7057" s="485" t="s">
        <v>3787</v>
      </c>
      <c r="C7057" s="484" t="s">
        <v>255</v>
      </c>
      <c r="D7057" s="486">
        <v>314.44</v>
      </c>
      <c r="E7057" s="486">
        <v>314.44</v>
      </c>
    </row>
    <row r="7058" spans="1:5" ht="30">
      <c r="A7058" s="349">
        <v>38409</v>
      </c>
      <c r="B7058" s="348" t="s">
        <v>3788</v>
      </c>
      <c r="C7058" s="349" t="s">
        <v>255</v>
      </c>
      <c r="D7058" s="483">
        <v>335.45</v>
      </c>
      <c r="E7058" s="483">
        <v>335.45</v>
      </c>
    </row>
    <row r="7059" spans="1:5" ht="30">
      <c r="A7059" s="484">
        <v>34495</v>
      </c>
      <c r="B7059" s="485" t="s">
        <v>3789</v>
      </c>
      <c r="C7059" s="484" t="s">
        <v>255</v>
      </c>
      <c r="D7059" s="486">
        <v>260.13</v>
      </c>
      <c r="E7059" s="486">
        <v>260.13</v>
      </c>
    </row>
    <row r="7060" spans="1:5" ht="30">
      <c r="A7060" s="349">
        <v>11145</v>
      </c>
      <c r="B7060" s="348" t="s">
        <v>3790</v>
      </c>
      <c r="C7060" s="349" t="s">
        <v>255</v>
      </c>
      <c r="D7060" s="483">
        <v>298.47000000000003</v>
      </c>
      <c r="E7060" s="483">
        <v>298.47000000000003</v>
      </c>
    </row>
    <row r="7061" spans="1:5" ht="30">
      <c r="A7061" s="484">
        <v>34496</v>
      </c>
      <c r="B7061" s="485" t="s">
        <v>3791</v>
      </c>
      <c r="C7061" s="484" t="s">
        <v>255</v>
      </c>
      <c r="D7061" s="486">
        <v>271.72000000000003</v>
      </c>
      <c r="E7061" s="486">
        <v>271.72000000000003</v>
      </c>
    </row>
    <row r="7062" spans="1:5" ht="30">
      <c r="A7062" s="349">
        <v>34479</v>
      </c>
      <c r="B7062" s="348" t="s">
        <v>3792</v>
      </c>
      <c r="C7062" s="349" t="s">
        <v>255</v>
      </c>
      <c r="D7062" s="483">
        <v>309.73</v>
      </c>
      <c r="E7062" s="483">
        <v>309.73</v>
      </c>
    </row>
    <row r="7063" spans="1:5" ht="30">
      <c r="A7063" s="484">
        <v>34481</v>
      </c>
      <c r="B7063" s="485" t="s">
        <v>3793</v>
      </c>
      <c r="C7063" s="484" t="s">
        <v>255</v>
      </c>
      <c r="D7063" s="486">
        <v>348.21</v>
      </c>
      <c r="E7063" s="486">
        <v>348.21</v>
      </c>
    </row>
    <row r="7064" spans="1:5" ht="30">
      <c r="A7064" s="349">
        <v>34483</v>
      </c>
      <c r="B7064" s="348" t="s">
        <v>3794</v>
      </c>
      <c r="C7064" s="349" t="s">
        <v>255</v>
      </c>
      <c r="D7064" s="483">
        <v>412.98</v>
      </c>
      <c r="E7064" s="483">
        <v>412.98</v>
      </c>
    </row>
    <row r="7065" spans="1:5" ht="30">
      <c r="A7065" s="484">
        <v>34485</v>
      </c>
      <c r="B7065" s="485" t="s">
        <v>3795</v>
      </c>
      <c r="C7065" s="484" t="s">
        <v>255</v>
      </c>
      <c r="D7065" s="486">
        <v>530.29999999999995</v>
      </c>
      <c r="E7065" s="486">
        <v>530.29999999999995</v>
      </c>
    </row>
    <row r="7066" spans="1:5" ht="30">
      <c r="A7066" s="349">
        <v>34497</v>
      </c>
      <c r="B7066" s="348" t="s">
        <v>3796</v>
      </c>
      <c r="C7066" s="349" t="s">
        <v>255</v>
      </c>
      <c r="D7066" s="483">
        <v>732.1</v>
      </c>
      <c r="E7066" s="483">
        <v>732.1</v>
      </c>
    </row>
    <row r="7067" spans="1:5" ht="30">
      <c r="A7067" s="484">
        <v>14041</v>
      </c>
      <c r="B7067" s="485" t="s">
        <v>3797</v>
      </c>
      <c r="C7067" s="484" t="s">
        <v>255</v>
      </c>
      <c r="D7067" s="486">
        <v>229.44</v>
      </c>
      <c r="E7067" s="486">
        <v>229.44</v>
      </c>
    </row>
    <row r="7068" spans="1:5" ht="30">
      <c r="A7068" s="349">
        <v>1523</v>
      </c>
      <c r="B7068" s="348" t="s">
        <v>3798</v>
      </c>
      <c r="C7068" s="349" t="s">
        <v>255</v>
      </c>
      <c r="D7068" s="483">
        <v>231.64</v>
      </c>
      <c r="E7068" s="483">
        <v>231.64</v>
      </c>
    </row>
    <row r="7069" spans="1:5">
      <c r="A7069" s="484">
        <v>14052</v>
      </c>
      <c r="B7069" s="485" t="s">
        <v>3800</v>
      </c>
      <c r="C7069" s="484" t="s">
        <v>65</v>
      </c>
      <c r="D7069" s="486">
        <v>6.02</v>
      </c>
      <c r="E7069" s="486">
        <v>6.02</v>
      </c>
    </row>
    <row r="7070" spans="1:5">
      <c r="A7070" s="349">
        <v>14054</v>
      </c>
      <c r="B7070" s="348" t="s">
        <v>3799</v>
      </c>
      <c r="C7070" s="349" t="s">
        <v>65</v>
      </c>
      <c r="D7070" s="483">
        <v>7.83</v>
      </c>
      <c r="E7070" s="483">
        <v>7.83</v>
      </c>
    </row>
    <row r="7071" spans="1:5">
      <c r="A7071" s="484">
        <v>14053</v>
      </c>
      <c r="B7071" s="485" t="s">
        <v>3801</v>
      </c>
      <c r="C7071" s="484" t="s">
        <v>65</v>
      </c>
      <c r="D7071" s="486">
        <v>6.11</v>
      </c>
      <c r="E7071" s="486">
        <v>6.11</v>
      </c>
    </row>
    <row r="7072" spans="1:5">
      <c r="A7072" s="349">
        <v>2558</v>
      </c>
      <c r="B7072" s="348" t="s">
        <v>3803</v>
      </c>
      <c r="C7072" s="349" t="s">
        <v>65</v>
      </c>
      <c r="D7072" s="483">
        <v>4.5999999999999996</v>
      </c>
      <c r="E7072" s="483">
        <v>4.5999999999999996</v>
      </c>
    </row>
    <row r="7073" spans="1:5">
      <c r="A7073" s="484">
        <v>2560</v>
      </c>
      <c r="B7073" s="485" t="s">
        <v>3802</v>
      </c>
      <c r="C7073" s="484" t="s">
        <v>65</v>
      </c>
      <c r="D7073" s="486">
        <v>8.1</v>
      </c>
      <c r="E7073" s="486">
        <v>8.1</v>
      </c>
    </row>
    <row r="7074" spans="1:5">
      <c r="A7074" s="349">
        <v>2559</v>
      </c>
      <c r="B7074" s="348" t="s">
        <v>3804</v>
      </c>
      <c r="C7074" s="349" t="s">
        <v>65</v>
      </c>
      <c r="D7074" s="483">
        <v>6.48</v>
      </c>
      <c r="E7074" s="483">
        <v>6.48</v>
      </c>
    </row>
    <row r="7075" spans="1:5">
      <c r="A7075" s="484">
        <v>2592</v>
      </c>
      <c r="B7075" s="485" t="s">
        <v>3805</v>
      </c>
      <c r="C7075" s="484" t="s">
        <v>65</v>
      </c>
      <c r="D7075" s="486">
        <v>107.42</v>
      </c>
      <c r="E7075" s="486">
        <v>107.42</v>
      </c>
    </row>
    <row r="7076" spans="1:5">
      <c r="A7076" s="349">
        <v>2566</v>
      </c>
      <c r="B7076" s="348" t="s">
        <v>3806</v>
      </c>
      <c r="C7076" s="349" t="s">
        <v>65</v>
      </c>
      <c r="D7076" s="483">
        <v>10.81</v>
      </c>
      <c r="E7076" s="483">
        <v>10.81</v>
      </c>
    </row>
    <row r="7077" spans="1:5">
      <c r="A7077" s="484">
        <v>2589</v>
      </c>
      <c r="B7077" s="485" t="s">
        <v>3807</v>
      </c>
      <c r="C7077" s="484" t="s">
        <v>65</v>
      </c>
      <c r="D7077" s="486">
        <v>14.37</v>
      </c>
      <c r="E7077" s="486">
        <v>14.37</v>
      </c>
    </row>
    <row r="7078" spans="1:5">
      <c r="A7078" s="349">
        <v>2591</v>
      </c>
      <c r="B7078" s="348" t="s">
        <v>3809</v>
      </c>
      <c r="C7078" s="349" t="s">
        <v>65</v>
      </c>
      <c r="D7078" s="483">
        <v>5.24</v>
      </c>
      <c r="E7078" s="483">
        <v>5.24</v>
      </c>
    </row>
    <row r="7079" spans="1:5">
      <c r="A7079" s="484">
        <v>2590</v>
      </c>
      <c r="B7079" s="485" t="s">
        <v>3808</v>
      </c>
      <c r="C7079" s="484" t="s">
        <v>65</v>
      </c>
      <c r="D7079" s="486">
        <v>8.81</v>
      </c>
      <c r="E7079" s="486">
        <v>8.81</v>
      </c>
    </row>
    <row r="7080" spans="1:5">
      <c r="A7080" s="349">
        <v>2567</v>
      </c>
      <c r="B7080" s="348" t="s">
        <v>3810</v>
      </c>
      <c r="C7080" s="349" t="s">
        <v>65</v>
      </c>
      <c r="D7080" s="483">
        <v>21.07</v>
      </c>
      <c r="E7080" s="483">
        <v>21.07</v>
      </c>
    </row>
    <row r="7081" spans="1:5">
      <c r="A7081" s="484">
        <v>2565</v>
      </c>
      <c r="B7081" s="485" t="s">
        <v>3812</v>
      </c>
      <c r="C7081" s="484" t="s">
        <v>65</v>
      </c>
      <c r="D7081" s="486">
        <v>5.25</v>
      </c>
      <c r="E7081" s="486">
        <v>5.25</v>
      </c>
    </row>
    <row r="7082" spans="1:5">
      <c r="A7082" s="349">
        <v>2568</v>
      </c>
      <c r="B7082" s="348" t="s">
        <v>3811</v>
      </c>
      <c r="C7082" s="349" t="s">
        <v>65</v>
      </c>
      <c r="D7082" s="483">
        <v>58.52</v>
      </c>
      <c r="E7082" s="483">
        <v>58.52</v>
      </c>
    </row>
    <row r="7083" spans="1:5">
      <c r="A7083" s="484">
        <v>2594</v>
      </c>
      <c r="B7083" s="485" t="s">
        <v>3813</v>
      </c>
      <c r="C7083" s="484" t="s">
        <v>65</v>
      </c>
      <c r="D7083" s="486">
        <v>97.5</v>
      </c>
      <c r="E7083" s="486">
        <v>97.5</v>
      </c>
    </row>
    <row r="7084" spans="1:5">
      <c r="A7084" s="349">
        <v>2587</v>
      </c>
      <c r="B7084" s="348" t="s">
        <v>3814</v>
      </c>
      <c r="C7084" s="349" t="s">
        <v>65</v>
      </c>
      <c r="D7084" s="483">
        <v>16.61</v>
      </c>
      <c r="E7084" s="483">
        <v>16.61</v>
      </c>
    </row>
    <row r="7085" spans="1:5">
      <c r="A7085" s="484">
        <v>2588</v>
      </c>
      <c r="B7085" s="485" t="s">
        <v>3815</v>
      </c>
      <c r="C7085" s="484" t="s">
        <v>65</v>
      </c>
      <c r="D7085" s="486">
        <v>13.2</v>
      </c>
      <c r="E7085" s="486">
        <v>13.2</v>
      </c>
    </row>
    <row r="7086" spans="1:5">
      <c r="A7086" s="349">
        <v>2569</v>
      </c>
      <c r="B7086" s="348" t="s">
        <v>3817</v>
      </c>
      <c r="C7086" s="349" t="s">
        <v>65</v>
      </c>
      <c r="D7086" s="483">
        <v>5.08</v>
      </c>
      <c r="E7086" s="483">
        <v>5.08</v>
      </c>
    </row>
    <row r="7087" spans="1:5">
      <c r="A7087" s="484">
        <v>2570</v>
      </c>
      <c r="B7087" s="485" t="s">
        <v>3816</v>
      </c>
      <c r="C7087" s="484" t="s">
        <v>65</v>
      </c>
      <c r="D7087" s="486">
        <v>8.52</v>
      </c>
      <c r="E7087" s="486">
        <v>8.52</v>
      </c>
    </row>
    <row r="7088" spans="1:5">
      <c r="A7088" s="349">
        <v>2571</v>
      </c>
      <c r="B7088" s="348" t="s">
        <v>3818</v>
      </c>
      <c r="C7088" s="349" t="s">
        <v>65</v>
      </c>
      <c r="D7088" s="483">
        <v>25.31</v>
      </c>
      <c r="E7088" s="483">
        <v>25.31</v>
      </c>
    </row>
    <row r="7089" spans="1:5">
      <c r="A7089" s="484">
        <v>2593</v>
      </c>
      <c r="B7089" s="485" t="s">
        <v>3820</v>
      </c>
      <c r="C7089" s="484" t="s">
        <v>65</v>
      </c>
      <c r="D7089" s="486">
        <v>5.42</v>
      </c>
      <c r="E7089" s="486">
        <v>5.42</v>
      </c>
    </row>
    <row r="7090" spans="1:5">
      <c r="A7090" s="349">
        <v>2572</v>
      </c>
      <c r="B7090" s="348" t="s">
        <v>3819</v>
      </c>
      <c r="C7090" s="349" t="s">
        <v>65</v>
      </c>
      <c r="D7090" s="483">
        <v>74.84</v>
      </c>
      <c r="E7090" s="483">
        <v>74.84</v>
      </c>
    </row>
    <row r="7091" spans="1:5">
      <c r="A7091" s="484">
        <v>2595</v>
      </c>
      <c r="B7091" s="485" t="s">
        <v>3821</v>
      </c>
      <c r="C7091" s="484" t="s">
        <v>65</v>
      </c>
      <c r="D7091" s="486">
        <v>116.77</v>
      </c>
      <c r="E7091" s="486">
        <v>116.77</v>
      </c>
    </row>
    <row r="7092" spans="1:5">
      <c r="A7092" s="349">
        <v>2576</v>
      </c>
      <c r="B7092" s="348" t="s">
        <v>3822</v>
      </c>
      <c r="C7092" s="349" t="s">
        <v>65</v>
      </c>
      <c r="D7092" s="483">
        <v>19.899999999999999</v>
      </c>
      <c r="E7092" s="483">
        <v>19.899999999999999</v>
      </c>
    </row>
    <row r="7093" spans="1:5" ht="43.5" customHeight="1">
      <c r="A7093" s="484">
        <v>2575</v>
      </c>
      <c r="B7093" s="485" t="s">
        <v>3823</v>
      </c>
      <c r="C7093" s="484" t="s">
        <v>65</v>
      </c>
      <c r="D7093" s="486">
        <v>14.96</v>
      </c>
      <c r="E7093" s="486">
        <v>14.96</v>
      </c>
    </row>
    <row r="7094" spans="1:5">
      <c r="A7094" s="349">
        <v>2573</v>
      </c>
      <c r="B7094" s="348" t="s">
        <v>3825</v>
      </c>
      <c r="C7094" s="349" t="s">
        <v>65</v>
      </c>
      <c r="D7094" s="483">
        <v>6.21</v>
      </c>
      <c r="E7094" s="483">
        <v>6.21</v>
      </c>
    </row>
    <row r="7095" spans="1:5">
      <c r="A7095" s="484">
        <v>2586</v>
      </c>
      <c r="B7095" s="485" t="s">
        <v>3824</v>
      </c>
      <c r="C7095" s="484" t="s">
        <v>65</v>
      </c>
      <c r="D7095" s="486">
        <v>10.07</v>
      </c>
      <c r="E7095" s="486">
        <v>10.07</v>
      </c>
    </row>
    <row r="7096" spans="1:5">
      <c r="A7096" s="349">
        <v>2577</v>
      </c>
      <c r="B7096" s="348" t="s">
        <v>3826</v>
      </c>
      <c r="C7096" s="349" t="s">
        <v>65</v>
      </c>
      <c r="D7096" s="483">
        <v>26.97</v>
      </c>
      <c r="E7096" s="483">
        <v>26.97</v>
      </c>
    </row>
    <row r="7097" spans="1:5">
      <c r="A7097" s="484">
        <v>2574</v>
      </c>
      <c r="B7097" s="485" t="s">
        <v>3828</v>
      </c>
      <c r="C7097" s="484" t="s">
        <v>65</v>
      </c>
      <c r="D7097" s="486">
        <v>6.25</v>
      </c>
      <c r="E7097" s="486">
        <v>6.25</v>
      </c>
    </row>
    <row r="7098" spans="1:5">
      <c r="A7098" s="349">
        <v>2578</v>
      </c>
      <c r="B7098" s="348" t="s">
        <v>3827</v>
      </c>
      <c r="C7098" s="349" t="s">
        <v>65</v>
      </c>
      <c r="D7098" s="483">
        <v>84.21</v>
      </c>
      <c r="E7098" s="483">
        <v>84.21</v>
      </c>
    </row>
    <row r="7099" spans="1:5">
      <c r="A7099" s="484">
        <v>2585</v>
      </c>
      <c r="B7099" s="485" t="s">
        <v>3829</v>
      </c>
      <c r="C7099" s="484" t="s">
        <v>65</v>
      </c>
      <c r="D7099" s="486">
        <v>115.56</v>
      </c>
      <c r="E7099" s="486">
        <v>115.56</v>
      </c>
    </row>
    <row r="7100" spans="1:5">
      <c r="A7100" s="349">
        <v>12008</v>
      </c>
      <c r="B7100" s="348" t="s">
        <v>3830</v>
      </c>
      <c r="C7100" s="349" t="s">
        <v>65</v>
      </c>
      <c r="D7100" s="483">
        <v>62</v>
      </c>
      <c r="E7100" s="483">
        <v>62</v>
      </c>
    </row>
    <row r="7101" spans="1:5">
      <c r="A7101" s="484">
        <v>2582</v>
      </c>
      <c r="B7101" s="485" t="s">
        <v>3831</v>
      </c>
      <c r="C7101" s="484" t="s">
        <v>65</v>
      </c>
      <c r="D7101" s="486">
        <v>18.46</v>
      </c>
      <c r="E7101" s="486">
        <v>18.46</v>
      </c>
    </row>
    <row r="7102" spans="1:5">
      <c r="A7102" s="349">
        <v>2597</v>
      </c>
      <c r="B7102" s="348" t="s">
        <v>3832</v>
      </c>
      <c r="C7102" s="349" t="s">
        <v>65</v>
      </c>
      <c r="D7102" s="483">
        <v>15.82</v>
      </c>
      <c r="E7102" s="483">
        <v>15.82</v>
      </c>
    </row>
    <row r="7103" spans="1:5">
      <c r="A7103" s="484">
        <v>2579</v>
      </c>
      <c r="B7103" s="485" t="s">
        <v>3834</v>
      </c>
      <c r="C7103" s="484" t="s">
        <v>65</v>
      </c>
      <c r="D7103" s="486">
        <v>7.53</v>
      </c>
      <c r="E7103" s="486">
        <v>7.53</v>
      </c>
    </row>
    <row r="7104" spans="1:5">
      <c r="A7104" s="349">
        <v>2581</v>
      </c>
      <c r="B7104" s="348" t="s">
        <v>3833</v>
      </c>
      <c r="C7104" s="349" t="s">
        <v>65</v>
      </c>
      <c r="D7104" s="483">
        <v>9.64</v>
      </c>
      <c r="E7104" s="483">
        <v>9.64</v>
      </c>
    </row>
    <row r="7105" spans="1:5">
      <c r="A7105" s="484">
        <v>2596</v>
      </c>
      <c r="B7105" s="485" t="s">
        <v>3835</v>
      </c>
      <c r="C7105" s="484" t="s">
        <v>65</v>
      </c>
      <c r="D7105" s="486">
        <v>28.51</v>
      </c>
      <c r="E7105" s="486">
        <v>28.51</v>
      </c>
    </row>
    <row r="7106" spans="1:5">
      <c r="A7106" s="349">
        <v>2580</v>
      </c>
      <c r="B7106" s="348" t="s">
        <v>3837</v>
      </c>
      <c r="C7106" s="349" t="s">
        <v>65</v>
      </c>
      <c r="D7106" s="483">
        <v>8.25</v>
      </c>
      <c r="E7106" s="483">
        <v>8.25</v>
      </c>
    </row>
    <row r="7107" spans="1:5">
      <c r="A7107" s="484">
        <v>2583</v>
      </c>
      <c r="B7107" s="485" t="s">
        <v>3836</v>
      </c>
      <c r="C7107" s="484" t="s">
        <v>65</v>
      </c>
      <c r="D7107" s="486">
        <v>69.349999999999994</v>
      </c>
      <c r="E7107" s="486">
        <v>69.349999999999994</v>
      </c>
    </row>
    <row r="7108" spans="1:5">
      <c r="A7108" s="349">
        <v>2584</v>
      </c>
      <c r="B7108" s="348" t="s">
        <v>3838</v>
      </c>
      <c r="C7108" s="349" t="s">
        <v>65</v>
      </c>
      <c r="D7108" s="483">
        <v>115.44</v>
      </c>
      <c r="E7108" s="483">
        <v>115.44</v>
      </c>
    </row>
    <row r="7109" spans="1:5">
      <c r="A7109" s="484">
        <v>12010</v>
      </c>
      <c r="B7109" s="485" t="s">
        <v>3840</v>
      </c>
      <c r="C7109" s="484" t="s">
        <v>65</v>
      </c>
      <c r="D7109" s="486">
        <v>4.7699999999999996</v>
      </c>
      <c r="E7109" s="486">
        <v>4.7699999999999996</v>
      </c>
    </row>
    <row r="7110" spans="1:5">
      <c r="A7110" s="349">
        <v>39329</v>
      </c>
      <c r="B7110" s="348" t="s">
        <v>3839</v>
      </c>
      <c r="C7110" s="349" t="s">
        <v>65</v>
      </c>
      <c r="D7110" s="483">
        <v>4.99</v>
      </c>
      <c r="E7110" s="483">
        <v>4.99</v>
      </c>
    </row>
    <row r="7111" spans="1:5">
      <c r="A7111" s="484">
        <v>39330</v>
      </c>
      <c r="B7111" s="485" t="s">
        <v>3842</v>
      </c>
      <c r="C7111" s="484" t="s">
        <v>65</v>
      </c>
      <c r="D7111" s="486">
        <v>5.25</v>
      </c>
      <c r="E7111" s="486">
        <v>5.25</v>
      </c>
    </row>
    <row r="7112" spans="1:5">
      <c r="A7112" s="349">
        <v>39332</v>
      </c>
      <c r="B7112" s="348" t="s">
        <v>3841</v>
      </c>
      <c r="C7112" s="349" t="s">
        <v>65</v>
      </c>
      <c r="D7112" s="483">
        <v>5.87</v>
      </c>
      <c r="E7112" s="483">
        <v>5.87</v>
      </c>
    </row>
    <row r="7113" spans="1:5">
      <c r="A7113" s="484">
        <v>39331</v>
      </c>
      <c r="B7113" s="485" t="s">
        <v>3843</v>
      </c>
      <c r="C7113" s="484" t="s">
        <v>65</v>
      </c>
      <c r="D7113" s="486">
        <v>4.67</v>
      </c>
      <c r="E7113" s="486">
        <v>4.67</v>
      </c>
    </row>
    <row r="7114" spans="1:5">
      <c r="A7114" s="349">
        <v>39333</v>
      </c>
      <c r="B7114" s="348" t="s">
        <v>3845</v>
      </c>
      <c r="C7114" s="349" t="s">
        <v>65</v>
      </c>
      <c r="D7114" s="483">
        <v>4.55</v>
      </c>
      <c r="E7114" s="483">
        <v>4.55</v>
      </c>
    </row>
    <row r="7115" spans="1:5">
      <c r="A7115" s="484">
        <v>39335</v>
      </c>
      <c r="B7115" s="485" t="s">
        <v>3844</v>
      </c>
      <c r="C7115" s="484" t="s">
        <v>65</v>
      </c>
      <c r="D7115" s="486">
        <v>5.27</v>
      </c>
      <c r="E7115" s="486">
        <v>5.27</v>
      </c>
    </row>
    <row r="7116" spans="1:5">
      <c r="A7116" s="349">
        <v>39334</v>
      </c>
      <c r="B7116" s="348" t="s">
        <v>3846</v>
      </c>
      <c r="C7116" s="349" t="s">
        <v>65</v>
      </c>
      <c r="D7116" s="483">
        <v>4.1900000000000004</v>
      </c>
      <c r="E7116" s="483">
        <v>4.1900000000000004</v>
      </c>
    </row>
    <row r="7117" spans="1:5">
      <c r="A7117" s="484">
        <v>12016</v>
      </c>
      <c r="B7117" s="485" t="s">
        <v>3848</v>
      </c>
      <c r="C7117" s="484" t="s">
        <v>65</v>
      </c>
      <c r="D7117" s="486">
        <v>5.26</v>
      </c>
      <c r="E7117" s="486">
        <v>5.26</v>
      </c>
    </row>
    <row r="7118" spans="1:5">
      <c r="A7118" s="349">
        <v>12015</v>
      </c>
      <c r="B7118" s="348" t="s">
        <v>3847</v>
      </c>
      <c r="C7118" s="349" t="s">
        <v>65</v>
      </c>
      <c r="D7118" s="483">
        <v>6.12</v>
      </c>
      <c r="E7118" s="483">
        <v>6.12</v>
      </c>
    </row>
    <row r="7119" spans="1:5">
      <c r="A7119" s="484">
        <v>12020</v>
      </c>
      <c r="B7119" s="485" t="s">
        <v>3850</v>
      </c>
      <c r="C7119" s="484" t="s">
        <v>65</v>
      </c>
      <c r="D7119" s="486">
        <v>5.26</v>
      </c>
      <c r="E7119" s="486">
        <v>5.26</v>
      </c>
    </row>
    <row r="7120" spans="1:5">
      <c r="A7120" s="349">
        <v>12019</v>
      </c>
      <c r="B7120" s="348" t="s">
        <v>3849</v>
      </c>
      <c r="C7120" s="349" t="s">
        <v>65</v>
      </c>
      <c r="D7120" s="483">
        <v>6.12</v>
      </c>
      <c r="E7120" s="483">
        <v>6.12</v>
      </c>
    </row>
    <row r="7121" spans="1:5">
      <c r="A7121" s="484">
        <v>39336</v>
      </c>
      <c r="B7121" s="485" t="s">
        <v>3852</v>
      </c>
      <c r="C7121" s="484" t="s">
        <v>65</v>
      </c>
      <c r="D7121" s="486">
        <v>5.25</v>
      </c>
      <c r="E7121" s="486">
        <v>5.25</v>
      </c>
    </row>
    <row r="7122" spans="1:5">
      <c r="A7122" s="349">
        <v>39338</v>
      </c>
      <c r="B7122" s="348" t="s">
        <v>3851</v>
      </c>
      <c r="C7122" s="349" t="s">
        <v>65</v>
      </c>
      <c r="D7122" s="483">
        <v>5.87</v>
      </c>
      <c r="E7122" s="483">
        <v>5.87</v>
      </c>
    </row>
    <row r="7123" spans="1:5">
      <c r="A7123" s="484">
        <v>39337</v>
      </c>
      <c r="B7123" s="485" t="s">
        <v>3853</v>
      </c>
      <c r="C7123" s="484" t="s">
        <v>65</v>
      </c>
      <c r="D7123" s="486">
        <v>4.67</v>
      </c>
      <c r="E7123" s="486">
        <v>4.67</v>
      </c>
    </row>
    <row r="7124" spans="1:5">
      <c r="A7124" s="349">
        <v>39341</v>
      </c>
      <c r="B7124" s="348" t="s">
        <v>3854</v>
      </c>
      <c r="C7124" s="349" t="s">
        <v>65</v>
      </c>
      <c r="D7124" s="483">
        <v>7.65</v>
      </c>
      <c r="E7124" s="483">
        <v>7.65</v>
      </c>
    </row>
    <row r="7125" spans="1:5">
      <c r="A7125" s="484">
        <v>39340</v>
      </c>
      <c r="B7125" s="485" t="s">
        <v>3855</v>
      </c>
      <c r="C7125" s="484" t="s">
        <v>65</v>
      </c>
      <c r="D7125" s="486">
        <v>5.62</v>
      </c>
      <c r="E7125" s="486">
        <v>5.62</v>
      </c>
    </row>
    <row r="7126" spans="1:5">
      <c r="A7126" s="349">
        <v>12025</v>
      </c>
      <c r="B7126" s="348" t="s">
        <v>3857</v>
      </c>
      <c r="C7126" s="349" t="s">
        <v>65</v>
      </c>
      <c r="D7126" s="483">
        <v>5.8</v>
      </c>
      <c r="E7126" s="483">
        <v>5.8</v>
      </c>
    </row>
    <row r="7127" spans="1:5">
      <c r="A7127" s="484">
        <v>39342</v>
      </c>
      <c r="B7127" s="485" t="s">
        <v>3856</v>
      </c>
      <c r="C7127" s="484" t="s">
        <v>65</v>
      </c>
      <c r="D7127" s="486">
        <v>7.65</v>
      </c>
      <c r="E7127" s="486">
        <v>7.65</v>
      </c>
    </row>
    <row r="7128" spans="1:5">
      <c r="A7128" s="349">
        <v>39343</v>
      </c>
      <c r="B7128" s="348" t="s">
        <v>3859</v>
      </c>
      <c r="C7128" s="349" t="s">
        <v>65</v>
      </c>
      <c r="D7128" s="483">
        <v>6.46</v>
      </c>
      <c r="E7128" s="483">
        <v>6.46</v>
      </c>
    </row>
    <row r="7129" spans="1:5">
      <c r="A7129" s="484">
        <v>39345</v>
      </c>
      <c r="B7129" s="485" t="s">
        <v>3858</v>
      </c>
      <c r="C7129" s="484" t="s">
        <v>65</v>
      </c>
      <c r="D7129" s="486">
        <v>8.74</v>
      </c>
      <c r="E7129" s="486">
        <v>8.74</v>
      </c>
    </row>
    <row r="7130" spans="1:5">
      <c r="A7130" s="349">
        <v>39344</v>
      </c>
      <c r="B7130" s="348" t="s">
        <v>3860</v>
      </c>
      <c r="C7130" s="349" t="s">
        <v>65</v>
      </c>
      <c r="D7130" s="483">
        <v>6.25</v>
      </c>
      <c r="E7130" s="483">
        <v>6.25</v>
      </c>
    </row>
    <row r="7131" spans="1:5">
      <c r="A7131" s="484">
        <v>12623</v>
      </c>
      <c r="B7131" s="485" t="s">
        <v>3861</v>
      </c>
      <c r="C7131" s="484" t="s">
        <v>71</v>
      </c>
      <c r="D7131" s="486">
        <v>8.43</v>
      </c>
      <c r="E7131" s="486">
        <v>8.43</v>
      </c>
    </row>
    <row r="7132" spans="1:5">
      <c r="A7132" s="349">
        <v>34498</v>
      </c>
      <c r="B7132" s="348" t="s">
        <v>3862</v>
      </c>
      <c r="C7132" s="349" t="s">
        <v>65</v>
      </c>
      <c r="D7132" s="483">
        <v>55.23</v>
      </c>
      <c r="E7132" s="483">
        <v>55.23</v>
      </c>
    </row>
    <row r="7133" spans="1:5">
      <c r="A7133" s="484">
        <v>13244</v>
      </c>
      <c r="B7133" s="485" t="s">
        <v>3863</v>
      </c>
      <c r="C7133" s="484" t="s">
        <v>65</v>
      </c>
      <c r="D7133" s="486">
        <v>23.25</v>
      </c>
      <c r="E7133" s="486">
        <v>23.25</v>
      </c>
    </row>
    <row r="7134" spans="1:5" s="25" customFormat="1">
      <c r="A7134" s="606" t="s">
        <v>20553</v>
      </c>
      <c r="B7134" s="605" t="s">
        <v>3863</v>
      </c>
      <c r="C7134" s="606" t="s">
        <v>65</v>
      </c>
      <c r="D7134" s="607">
        <v>23.25</v>
      </c>
      <c r="E7134" s="486"/>
    </row>
    <row r="7135" spans="1:5">
      <c r="A7135" s="349">
        <v>39862</v>
      </c>
      <c r="B7135" s="348" t="s">
        <v>3864</v>
      </c>
      <c r="C7135" s="349" t="s">
        <v>65</v>
      </c>
      <c r="D7135" s="483">
        <v>6.54</v>
      </c>
      <c r="E7135" s="483">
        <v>6.54</v>
      </c>
    </row>
    <row r="7136" spans="1:5">
      <c r="A7136" s="484">
        <v>39863</v>
      </c>
      <c r="B7136" s="485" t="s">
        <v>3865</v>
      </c>
      <c r="C7136" s="484" t="s">
        <v>65</v>
      </c>
      <c r="D7136" s="486">
        <v>6.63</v>
      </c>
      <c r="E7136" s="486">
        <v>6.63</v>
      </c>
    </row>
    <row r="7137" spans="1:5">
      <c r="A7137" s="349">
        <v>39864</v>
      </c>
      <c r="B7137" s="348" t="s">
        <v>3866</v>
      </c>
      <c r="C7137" s="349" t="s">
        <v>65</v>
      </c>
      <c r="D7137" s="483">
        <v>8.2200000000000006</v>
      </c>
      <c r="E7137" s="483">
        <v>8.2200000000000006</v>
      </c>
    </row>
    <row r="7138" spans="1:5">
      <c r="A7138" s="484">
        <v>39865</v>
      </c>
      <c r="B7138" s="485" t="s">
        <v>3867</v>
      </c>
      <c r="C7138" s="484" t="s">
        <v>65</v>
      </c>
      <c r="D7138" s="486">
        <v>11.59</v>
      </c>
      <c r="E7138" s="486">
        <v>11.59</v>
      </c>
    </row>
    <row r="7139" spans="1:5" ht="30">
      <c r="A7139" s="349">
        <v>2517</v>
      </c>
      <c r="B7139" s="348" t="s">
        <v>3868</v>
      </c>
      <c r="C7139" s="349" t="s">
        <v>65</v>
      </c>
      <c r="D7139" s="483">
        <v>11.5</v>
      </c>
      <c r="E7139" s="483">
        <v>11.5</v>
      </c>
    </row>
    <row r="7140" spans="1:5" ht="30">
      <c r="A7140" s="484">
        <v>2522</v>
      </c>
      <c r="B7140" s="485" t="s">
        <v>3869</v>
      </c>
      <c r="C7140" s="484" t="s">
        <v>65</v>
      </c>
      <c r="D7140" s="486">
        <v>7.43</v>
      </c>
      <c r="E7140" s="486">
        <v>7.43</v>
      </c>
    </row>
    <row r="7141" spans="1:5" ht="30">
      <c r="A7141" s="349">
        <v>2548</v>
      </c>
      <c r="B7141" s="348" t="s">
        <v>3871</v>
      </c>
      <c r="C7141" s="349" t="s">
        <v>65</v>
      </c>
      <c r="D7141" s="483">
        <v>4.57</v>
      </c>
      <c r="E7141" s="483">
        <v>4.57</v>
      </c>
    </row>
    <row r="7142" spans="1:5" ht="30">
      <c r="A7142" s="484">
        <v>2516</v>
      </c>
      <c r="B7142" s="485" t="s">
        <v>3870</v>
      </c>
      <c r="C7142" s="484" t="s">
        <v>65</v>
      </c>
      <c r="D7142" s="486">
        <v>5.97</v>
      </c>
      <c r="E7142" s="486">
        <v>5.97</v>
      </c>
    </row>
    <row r="7143" spans="1:5" ht="30">
      <c r="A7143" s="349">
        <v>2518</v>
      </c>
      <c r="B7143" s="348" t="s">
        <v>3872</v>
      </c>
      <c r="C7143" s="349" t="s">
        <v>65</v>
      </c>
      <c r="D7143" s="483">
        <v>54.75</v>
      </c>
      <c r="E7143" s="483">
        <v>54.75</v>
      </c>
    </row>
    <row r="7144" spans="1:5" ht="30">
      <c r="A7144" s="484">
        <v>2521</v>
      </c>
      <c r="B7144" s="485" t="s">
        <v>3873</v>
      </c>
      <c r="C7144" s="484" t="s">
        <v>65</v>
      </c>
      <c r="D7144" s="486">
        <v>23.3</v>
      </c>
      <c r="E7144" s="486">
        <v>23.3</v>
      </c>
    </row>
    <row r="7145" spans="1:5" ht="30">
      <c r="A7145" s="349">
        <v>2515</v>
      </c>
      <c r="B7145" s="348" t="s">
        <v>3875</v>
      </c>
      <c r="C7145" s="349" t="s">
        <v>65</v>
      </c>
      <c r="D7145" s="483">
        <v>4.96</v>
      </c>
      <c r="E7145" s="483">
        <v>4.96</v>
      </c>
    </row>
    <row r="7146" spans="1:5" ht="30">
      <c r="A7146" s="484">
        <v>2519</v>
      </c>
      <c r="B7146" s="485" t="s">
        <v>3874</v>
      </c>
      <c r="C7146" s="484" t="s">
        <v>65</v>
      </c>
      <c r="D7146" s="486">
        <v>66.010000000000005</v>
      </c>
      <c r="E7146" s="486">
        <v>66.010000000000005</v>
      </c>
    </row>
    <row r="7147" spans="1:5" ht="30">
      <c r="A7147" s="349">
        <v>2520</v>
      </c>
      <c r="B7147" s="348" t="s">
        <v>3876</v>
      </c>
      <c r="C7147" s="349" t="s">
        <v>65</v>
      </c>
      <c r="D7147" s="483">
        <v>121.5</v>
      </c>
      <c r="E7147" s="483">
        <v>121.5</v>
      </c>
    </row>
    <row r="7148" spans="1:5" ht="30">
      <c r="A7148" s="484">
        <v>1602</v>
      </c>
      <c r="B7148" s="485" t="s">
        <v>3877</v>
      </c>
      <c r="C7148" s="484" t="s">
        <v>65</v>
      </c>
      <c r="D7148" s="486">
        <v>20.98</v>
      </c>
      <c r="E7148" s="486">
        <v>20.98</v>
      </c>
    </row>
    <row r="7149" spans="1:5" ht="30">
      <c r="A7149" s="349">
        <v>1601</v>
      </c>
      <c r="B7149" s="348" t="s">
        <v>3878</v>
      </c>
      <c r="C7149" s="349" t="s">
        <v>65</v>
      </c>
      <c r="D7149" s="483">
        <v>18.7</v>
      </c>
      <c r="E7149" s="483">
        <v>18.7</v>
      </c>
    </row>
    <row r="7150" spans="1:5" ht="30">
      <c r="A7150" s="484">
        <v>1598</v>
      </c>
      <c r="B7150" s="485" t="s">
        <v>3879</v>
      </c>
      <c r="C7150" s="484" t="s">
        <v>65</v>
      </c>
      <c r="D7150" s="486">
        <v>5.53</v>
      </c>
      <c r="E7150" s="486">
        <v>5.53</v>
      </c>
    </row>
    <row r="7151" spans="1:5" ht="30">
      <c r="A7151" s="349">
        <v>1600</v>
      </c>
      <c r="B7151" s="348" t="s">
        <v>19490</v>
      </c>
      <c r="C7151" s="349" t="s">
        <v>65</v>
      </c>
      <c r="D7151" s="483">
        <v>8.17</v>
      </c>
      <c r="E7151" s="483">
        <v>8.17</v>
      </c>
    </row>
    <row r="7152" spans="1:5" ht="30">
      <c r="A7152" s="484">
        <v>1603</v>
      </c>
      <c r="B7152" s="485" t="s">
        <v>3880</v>
      </c>
      <c r="C7152" s="484" t="s">
        <v>65</v>
      </c>
      <c r="D7152" s="486">
        <v>31.68</v>
      </c>
      <c r="E7152" s="486">
        <v>31.68</v>
      </c>
    </row>
    <row r="7153" spans="1:5" ht="30">
      <c r="A7153" s="349">
        <v>1599</v>
      </c>
      <c r="B7153" s="348" t="s">
        <v>3881</v>
      </c>
      <c r="C7153" s="349" t="s">
        <v>65</v>
      </c>
      <c r="D7153" s="483">
        <v>6.42</v>
      </c>
      <c r="E7153" s="483">
        <v>6.42</v>
      </c>
    </row>
    <row r="7154" spans="1:5" ht="30">
      <c r="A7154" s="484">
        <v>1597</v>
      </c>
      <c r="B7154" s="485" t="s">
        <v>3882</v>
      </c>
      <c r="C7154" s="484" t="s">
        <v>65</v>
      </c>
      <c r="D7154" s="486">
        <v>5.2</v>
      </c>
      <c r="E7154" s="486">
        <v>5.2</v>
      </c>
    </row>
    <row r="7155" spans="1:5" ht="30">
      <c r="A7155" s="349">
        <v>11821</v>
      </c>
      <c r="B7155" s="348" t="s">
        <v>3894</v>
      </c>
      <c r="C7155" s="349" t="s">
        <v>65</v>
      </c>
      <c r="D7155" s="483">
        <v>4.2699999999999996</v>
      </c>
      <c r="E7155" s="483">
        <v>4.2699999999999996</v>
      </c>
    </row>
    <row r="7156" spans="1:5" ht="43.5" customHeight="1">
      <c r="A7156" s="484">
        <v>1562</v>
      </c>
      <c r="B7156" s="485" t="s">
        <v>3895</v>
      </c>
      <c r="C7156" s="484" t="s">
        <v>65</v>
      </c>
      <c r="D7156" s="486">
        <v>7</v>
      </c>
      <c r="E7156" s="486">
        <v>7</v>
      </c>
    </row>
    <row r="7157" spans="1:5" ht="30">
      <c r="A7157" s="349">
        <v>1563</v>
      </c>
      <c r="B7157" s="348" t="s">
        <v>3896</v>
      </c>
      <c r="C7157" s="349" t="s">
        <v>65</v>
      </c>
      <c r="D7157" s="483">
        <v>9.39</v>
      </c>
      <c r="E7157" s="483">
        <v>9.39</v>
      </c>
    </row>
    <row r="7158" spans="1:5">
      <c r="A7158" s="484">
        <v>11856</v>
      </c>
      <c r="B7158" s="485" t="s">
        <v>3897</v>
      </c>
      <c r="C7158" s="484" t="s">
        <v>65</v>
      </c>
      <c r="D7158" s="486">
        <v>2.8</v>
      </c>
      <c r="E7158" s="486">
        <v>2.8</v>
      </c>
    </row>
    <row r="7159" spans="1:5">
      <c r="A7159" s="349">
        <v>11857</v>
      </c>
      <c r="B7159" s="348" t="s">
        <v>3898</v>
      </c>
      <c r="C7159" s="349" t="s">
        <v>65</v>
      </c>
      <c r="D7159" s="483">
        <v>14.73</v>
      </c>
      <c r="E7159" s="483">
        <v>14.73</v>
      </c>
    </row>
    <row r="7160" spans="1:5" ht="57.75" customHeight="1">
      <c r="A7160" s="484">
        <v>11858</v>
      </c>
      <c r="B7160" s="485" t="s">
        <v>3899</v>
      </c>
      <c r="C7160" s="484" t="s">
        <v>65</v>
      </c>
      <c r="D7160" s="486">
        <v>18.29</v>
      </c>
      <c r="E7160" s="486">
        <v>18.29</v>
      </c>
    </row>
    <row r="7161" spans="1:5">
      <c r="A7161" s="349">
        <v>1539</v>
      </c>
      <c r="B7161" s="348" t="s">
        <v>3900</v>
      </c>
      <c r="C7161" s="349" t="s">
        <v>65</v>
      </c>
      <c r="D7161" s="483">
        <v>3.29</v>
      </c>
      <c r="E7161" s="483">
        <v>3.29</v>
      </c>
    </row>
    <row r="7162" spans="1:5">
      <c r="A7162" s="484">
        <v>11859</v>
      </c>
      <c r="B7162" s="485" t="s">
        <v>3901</v>
      </c>
      <c r="C7162" s="484" t="s">
        <v>65</v>
      </c>
      <c r="D7162" s="486">
        <v>24.88</v>
      </c>
      <c r="E7162" s="486">
        <v>24.88</v>
      </c>
    </row>
    <row r="7163" spans="1:5">
      <c r="A7163" s="349">
        <v>1550</v>
      </c>
      <c r="B7163" s="348" t="s">
        <v>3902</v>
      </c>
      <c r="C7163" s="349" t="s">
        <v>65</v>
      </c>
      <c r="D7163" s="483">
        <v>3.47</v>
      </c>
      <c r="E7163" s="483">
        <v>3.47</v>
      </c>
    </row>
    <row r="7164" spans="1:5">
      <c r="A7164" s="484">
        <v>11854</v>
      </c>
      <c r="B7164" s="485" t="s">
        <v>3903</v>
      </c>
      <c r="C7164" s="484" t="s">
        <v>65</v>
      </c>
      <c r="D7164" s="486">
        <v>4.33</v>
      </c>
      <c r="E7164" s="486">
        <v>4.33</v>
      </c>
    </row>
    <row r="7165" spans="1:5">
      <c r="A7165" s="349">
        <v>11862</v>
      </c>
      <c r="B7165" s="348" t="s">
        <v>3904</v>
      </c>
      <c r="C7165" s="349" t="s">
        <v>65</v>
      </c>
      <c r="D7165" s="483">
        <v>6.08</v>
      </c>
      <c r="E7165" s="483">
        <v>6.08</v>
      </c>
    </row>
    <row r="7166" spans="1:5">
      <c r="A7166" s="484">
        <v>11863</v>
      </c>
      <c r="B7166" s="485" t="s">
        <v>3905</v>
      </c>
      <c r="C7166" s="484" t="s">
        <v>65</v>
      </c>
      <c r="D7166" s="486">
        <v>2.4500000000000002</v>
      </c>
      <c r="E7166" s="486">
        <v>2.4500000000000002</v>
      </c>
    </row>
    <row r="7167" spans="1:5">
      <c r="A7167" s="349">
        <v>11855</v>
      </c>
      <c r="B7167" s="348" t="s">
        <v>3906</v>
      </c>
      <c r="C7167" s="349" t="s">
        <v>65</v>
      </c>
      <c r="D7167" s="483">
        <v>9.08</v>
      </c>
      <c r="E7167" s="483">
        <v>9.08</v>
      </c>
    </row>
    <row r="7168" spans="1:5">
      <c r="A7168" s="484">
        <v>11864</v>
      </c>
      <c r="B7168" s="485" t="s">
        <v>3907</v>
      </c>
      <c r="C7168" s="484" t="s">
        <v>65</v>
      </c>
      <c r="D7168" s="486">
        <v>13.73</v>
      </c>
      <c r="E7168" s="486">
        <v>13.73</v>
      </c>
    </row>
    <row r="7169" spans="1:5" ht="30">
      <c r="A7169" s="349">
        <v>2527</v>
      </c>
      <c r="B7169" s="348" t="s">
        <v>3910</v>
      </c>
      <c r="C7169" s="349" t="s">
        <v>65</v>
      </c>
      <c r="D7169" s="483">
        <v>4.1100000000000003</v>
      </c>
      <c r="E7169" s="483">
        <v>4.1100000000000003</v>
      </c>
    </row>
    <row r="7170" spans="1:5" ht="30">
      <c r="A7170" s="484">
        <v>2526</v>
      </c>
      <c r="B7170" s="485" t="s">
        <v>3911</v>
      </c>
      <c r="C7170" s="484" t="s">
        <v>65</v>
      </c>
      <c r="D7170" s="486">
        <v>2.63</v>
      </c>
      <c r="E7170" s="486">
        <v>2.63</v>
      </c>
    </row>
    <row r="7171" spans="1:5" ht="30">
      <c r="A7171" s="349">
        <v>2487</v>
      </c>
      <c r="B7171" s="348" t="s">
        <v>3913</v>
      </c>
      <c r="C7171" s="349" t="s">
        <v>65</v>
      </c>
      <c r="D7171" s="483">
        <v>0.9</v>
      </c>
      <c r="E7171" s="483">
        <v>0.9</v>
      </c>
    </row>
    <row r="7172" spans="1:5" ht="30">
      <c r="A7172" s="484">
        <v>2483</v>
      </c>
      <c r="B7172" s="485" t="s">
        <v>3912</v>
      </c>
      <c r="C7172" s="484" t="s">
        <v>65</v>
      </c>
      <c r="D7172" s="486">
        <v>1.87</v>
      </c>
      <c r="E7172" s="486">
        <v>1.87</v>
      </c>
    </row>
    <row r="7173" spans="1:5" ht="30">
      <c r="A7173" s="349">
        <v>2528</v>
      </c>
      <c r="B7173" s="348" t="s">
        <v>3914</v>
      </c>
      <c r="C7173" s="349" t="s">
        <v>65</v>
      </c>
      <c r="D7173" s="483">
        <v>10.36</v>
      </c>
      <c r="E7173" s="483">
        <v>10.36</v>
      </c>
    </row>
    <row r="7174" spans="1:5" ht="30">
      <c r="A7174" s="484">
        <v>2489</v>
      </c>
      <c r="B7174" s="485" t="s">
        <v>3915</v>
      </c>
      <c r="C7174" s="484" t="s">
        <v>65</v>
      </c>
      <c r="D7174" s="486">
        <v>4.5599999999999996</v>
      </c>
      <c r="E7174" s="486">
        <v>4.5599999999999996</v>
      </c>
    </row>
    <row r="7175" spans="1:5" ht="30">
      <c r="A7175" s="349">
        <v>2488</v>
      </c>
      <c r="B7175" s="348" t="s">
        <v>3917</v>
      </c>
      <c r="C7175" s="349" t="s">
        <v>65</v>
      </c>
      <c r="D7175" s="483">
        <v>1.05</v>
      </c>
      <c r="E7175" s="483">
        <v>1.05</v>
      </c>
    </row>
    <row r="7176" spans="1:5" ht="30">
      <c r="A7176" s="484">
        <v>2484</v>
      </c>
      <c r="B7176" s="485" t="s">
        <v>3916</v>
      </c>
      <c r="C7176" s="484" t="s">
        <v>65</v>
      </c>
      <c r="D7176" s="486">
        <v>15.04</v>
      </c>
      <c r="E7176" s="486">
        <v>15.04</v>
      </c>
    </row>
    <row r="7177" spans="1:5" ht="30">
      <c r="A7177" s="349">
        <v>2485</v>
      </c>
      <c r="B7177" s="348" t="s">
        <v>3918</v>
      </c>
      <c r="C7177" s="349" t="s">
        <v>65</v>
      </c>
      <c r="D7177" s="483">
        <v>23.58</v>
      </c>
      <c r="E7177" s="483">
        <v>23.58</v>
      </c>
    </row>
    <row r="7178" spans="1:5">
      <c r="A7178" s="484">
        <v>38005</v>
      </c>
      <c r="B7178" s="485" t="s">
        <v>3919</v>
      </c>
      <c r="C7178" s="484" t="s">
        <v>65</v>
      </c>
      <c r="D7178" s="486">
        <v>15.36</v>
      </c>
      <c r="E7178" s="486">
        <v>15.36</v>
      </c>
    </row>
    <row r="7179" spans="1:5">
      <c r="A7179" s="349">
        <v>38006</v>
      </c>
      <c r="B7179" s="348" t="s">
        <v>3920</v>
      </c>
      <c r="C7179" s="349" t="s">
        <v>65</v>
      </c>
      <c r="D7179" s="483">
        <v>18.850000000000001</v>
      </c>
      <c r="E7179" s="483">
        <v>18.850000000000001</v>
      </c>
    </row>
    <row r="7180" spans="1:5">
      <c r="A7180" s="484">
        <v>38428</v>
      </c>
      <c r="B7180" s="485" t="s">
        <v>3921</v>
      </c>
      <c r="C7180" s="484" t="s">
        <v>65</v>
      </c>
      <c r="D7180" s="486">
        <v>17.66</v>
      </c>
      <c r="E7180" s="486">
        <v>17.66</v>
      </c>
    </row>
    <row r="7181" spans="1:5">
      <c r="A7181" s="349">
        <v>38007</v>
      </c>
      <c r="B7181" s="348" t="s">
        <v>3922</v>
      </c>
      <c r="C7181" s="349" t="s">
        <v>65</v>
      </c>
      <c r="D7181" s="483">
        <v>28.85</v>
      </c>
      <c r="E7181" s="483">
        <v>28.85</v>
      </c>
    </row>
    <row r="7182" spans="1:5">
      <c r="A7182" s="484">
        <v>38008</v>
      </c>
      <c r="B7182" s="485" t="s">
        <v>3923</v>
      </c>
      <c r="C7182" s="484" t="s">
        <v>65</v>
      </c>
      <c r="D7182" s="486">
        <v>116.21</v>
      </c>
      <c r="E7182" s="486">
        <v>116.21</v>
      </c>
    </row>
    <row r="7183" spans="1:5">
      <c r="A7183" s="349">
        <v>38009</v>
      </c>
      <c r="B7183" s="348" t="s">
        <v>3924</v>
      </c>
      <c r="C7183" s="349" t="s">
        <v>65</v>
      </c>
      <c r="D7183" s="483">
        <v>142.03</v>
      </c>
      <c r="E7183" s="483">
        <v>142.03</v>
      </c>
    </row>
    <row r="7184" spans="1:5" ht="30">
      <c r="A7184" s="484">
        <v>1607</v>
      </c>
      <c r="B7184" s="485" t="s">
        <v>3940</v>
      </c>
      <c r="C7184" s="484" t="s">
        <v>105</v>
      </c>
      <c r="D7184" s="486">
        <v>0.13</v>
      </c>
      <c r="E7184" s="486">
        <v>0.13</v>
      </c>
    </row>
    <row r="7185" spans="1:5" ht="30">
      <c r="A7185" s="349">
        <v>11467</v>
      </c>
      <c r="B7185" s="348" t="s">
        <v>3941</v>
      </c>
      <c r="C7185" s="349" t="s">
        <v>65</v>
      </c>
      <c r="D7185" s="483">
        <v>15.78</v>
      </c>
      <c r="E7185" s="483">
        <v>15.78</v>
      </c>
    </row>
    <row r="7186" spans="1:5" ht="30">
      <c r="A7186" s="484">
        <v>38169</v>
      </c>
      <c r="B7186" s="485" t="s">
        <v>3942</v>
      </c>
      <c r="C7186" s="484" t="s">
        <v>105</v>
      </c>
      <c r="D7186" s="486">
        <v>54.89</v>
      </c>
      <c r="E7186" s="486">
        <v>54.89</v>
      </c>
    </row>
    <row r="7187" spans="1:5" ht="30">
      <c r="A7187" s="349">
        <v>12612</v>
      </c>
      <c r="B7187" s="348" t="s">
        <v>3943</v>
      </c>
      <c r="C7187" s="349" t="s">
        <v>65</v>
      </c>
      <c r="D7187" s="483">
        <v>4.5</v>
      </c>
      <c r="E7187" s="483">
        <v>4.5</v>
      </c>
    </row>
    <row r="7188" spans="1:5" ht="30">
      <c r="A7188" s="484">
        <v>6142</v>
      </c>
      <c r="B7188" s="485" t="s">
        <v>3944</v>
      </c>
      <c r="C7188" s="484" t="s">
        <v>65</v>
      </c>
      <c r="D7188" s="486">
        <v>5.07</v>
      </c>
      <c r="E7188" s="486">
        <v>5.07</v>
      </c>
    </row>
    <row r="7189" spans="1:5" ht="30">
      <c r="A7189" s="349">
        <v>11686</v>
      </c>
      <c r="B7189" s="348" t="s">
        <v>3945</v>
      </c>
      <c r="C7189" s="349" t="s">
        <v>65</v>
      </c>
      <c r="D7189" s="483">
        <v>7.03</v>
      </c>
      <c r="E7189" s="483">
        <v>7.03</v>
      </c>
    </row>
    <row r="7190" spans="1:5" ht="30">
      <c r="A7190" s="484">
        <v>37598</v>
      </c>
      <c r="B7190" s="485" t="s">
        <v>3951</v>
      </c>
      <c r="C7190" s="484" t="s">
        <v>65</v>
      </c>
      <c r="D7190" s="486">
        <v>18.899999999999999</v>
      </c>
      <c r="E7190" s="486">
        <v>18.899999999999999</v>
      </c>
    </row>
    <row r="7191" spans="1:5" ht="45">
      <c r="A7191" s="349">
        <v>25398</v>
      </c>
      <c r="B7191" s="348" t="s">
        <v>3952</v>
      </c>
      <c r="C7191" s="349" t="s">
        <v>65</v>
      </c>
      <c r="D7191" s="483">
        <v>2617.77</v>
      </c>
      <c r="E7191" s="483">
        <v>2617.77</v>
      </c>
    </row>
    <row r="7192" spans="1:5" ht="45">
      <c r="A7192" s="484">
        <v>25399</v>
      </c>
      <c r="B7192" s="485" t="s">
        <v>3953</v>
      </c>
      <c r="C7192" s="484" t="s">
        <v>65</v>
      </c>
      <c r="D7192" s="486">
        <v>1589.21</v>
      </c>
      <c r="E7192" s="486">
        <v>1589.21</v>
      </c>
    </row>
    <row r="7193" spans="1:5" ht="30">
      <c r="A7193" s="349">
        <v>10667</v>
      </c>
      <c r="B7193" s="348" t="s">
        <v>11269</v>
      </c>
      <c r="C7193" s="349" t="s">
        <v>65</v>
      </c>
      <c r="D7193" s="483">
        <v>9510</v>
      </c>
      <c r="E7193" s="483">
        <v>9510</v>
      </c>
    </row>
    <row r="7194" spans="1:5" ht="30">
      <c r="A7194" s="484">
        <v>1613</v>
      </c>
      <c r="B7194" s="485" t="s">
        <v>19491</v>
      </c>
      <c r="C7194" s="484" t="s">
        <v>65</v>
      </c>
      <c r="D7194" s="486">
        <v>775.02</v>
      </c>
      <c r="E7194" s="486">
        <v>775.02</v>
      </c>
    </row>
    <row r="7195" spans="1:5" ht="30">
      <c r="A7195" s="349">
        <v>1626</v>
      </c>
      <c r="B7195" s="348" t="s">
        <v>19492</v>
      </c>
      <c r="C7195" s="349" t="s">
        <v>65</v>
      </c>
      <c r="D7195" s="483">
        <v>1159.1400000000001</v>
      </c>
      <c r="E7195" s="483">
        <v>1159.1400000000001</v>
      </c>
    </row>
    <row r="7196" spans="1:5" ht="30">
      <c r="A7196" s="484">
        <v>1625</v>
      </c>
      <c r="B7196" s="485" t="s">
        <v>3966</v>
      </c>
      <c r="C7196" s="484" t="s">
        <v>65</v>
      </c>
      <c r="D7196" s="486">
        <v>80.959999999999994</v>
      </c>
      <c r="E7196" s="486">
        <v>80.959999999999994</v>
      </c>
    </row>
    <row r="7197" spans="1:5" ht="30">
      <c r="A7197" s="349">
        <v>1622</v>
      </c>
      <c r="B7197" s="348" t="s">
        <v>19493</v>
      </c>
      <c r="C7197" s="349" t="s">
        <v>65</v>
      </c>
      <c r="D7197" s="483">
        <v>2615.7199999999998</v>
      </c>
      <c r="E7197" s="483">
        <v>2615.7199999999998</v>
      </c>
    </row>
    <row r="7198" spans="1:5" ht="30">
      <c r="A7198" s="484">
        <v>1620</v>
      </c>
      <c r="B7198" s="485" t="s">
        <v>3968</v>
      </c>
      <c r="C7198" s="484" t="s">
        <v>65</v>
      </c>
      <c r="D7198" s="486">
        <v>170.55</v>
      </c>
      <c r="E7198" s="486">
        <v>170.55</v>
      </c>
    </row>
    <row r="7199" spans="1:5" ht="30">
      <c r="A7199" s="349">
        <v>1629</v>
      </c>
      <c r="B7199" s="348" t="s">
        <v>19494</v>
      </c>
      <c r="C7199" s="349" t="s">
        <v>65</v>
      </c>
      <c r="D7199" s="483">
        <v>6366.04</v>
      </c>
      <c r="E7199" s="483">
        <v>6366.04</v>
      </c>
    </row>
    <row r="7200" spans="1:5" ht="30">
      <c r="A7200" s="484">
        <v>1627</v>
      </c>
      <c r="B7200" s="485" t="s">
        <v>3970</v>
      </c>
      <c r="C7200" s="484" t="s">
        <v>65</v>
      </c>
      <c r="D7200" s="486">
        <v>326</v>
      </c>
      <c r="E7200" s="486">
        <v>326</v>
      </c>
    </row>
    <row r="7201" spans="1:5" ht="30">
      <c r="A7201" s="349">
        <v>1623</v>
      </c>
      <c r="B7201" s="348" t="s">
        <v>3971</v>
      </c>
      <c r="C7201" s="349" t="s">
        <v>65</v>
      </c>
      <c r="D7201" s="483">
        <v>66.02</v>
      </c>
      <c r="E7201" s="483">
        <v>66.02</v>
      </c>
    </row>
    <row r="7202" spans="1:5" ht="30">
      <c r="A7202" s="484">
        <v>1619</v>
      </c>
      <c r="B7202" s="485" t="s">
        <v>3972</v>
      </c>
      <c r="C7202" s="484" t="s">
        <v>65</v>
      </c>
      <c r="D7202" s="486">
        <v>90.82</v>
      </c>
      <c r="E7202" s="486">
        <v>90.82</v>
      </c>
    </row>
    <row r="7203" spans="1:5" ht="30">
      <c r="A7203" s="349">
        <v>1630</v>
      </c>
      <c r="B7203" s="348" t="s">
        <v>3973</v>
      </c>
      <c r="C7203" s="349" t="s">
        <v>65</v>
      </c>
      <c r="D7203" s="483">
        <v>1999.77</v>
      </c>
      <c r="E7203" s="483">
        <v>1999.77</v>
      </c>
    </row>
    <row r="7204" spans="1:5" ht="30">
      <c r="A7204" s="484">
        <v>1616</v>
      </c>
      <c r="B7204" s="485" t="s">
        <v>3974</v>
      </c>
      <c r="C7204" s="484" t="s">
        <v>65</v>
      </c>
      <c r="D7204" s="486">
        <v>3075.68</v>
      </c>
      <c r="E7204" s="486">
        <v>3075.68</v>
      </c>
    </row>
    <row r="7205" spans="1:5" ht="30">
      <c r="A7205" s="349">
        <v>1614</v>
      </c>
      <c r="B7205" s="348" t="s">
        <v>3975</v>
      </c>
      <c r="C7205" s="349" t="s">
        <v>65</v>
      </c>
      <c r="D7205" s="483">
        <v>140.57</v>
      </c>
      <c r="E7205" s="483">
        <v>140.57</v>
      </c>
    </row>
    <row r="7206" spans="1:5" ht="30">
      <c r="A7206" s="484">
        <v>1617</v>
      </c>
      <c r="B7206" s="485" t="s">
        <v>3976</v>
      </c>
      <c r="C7206" s="484" t="s">
        <v>65</v>
      </c>
      <c r="D7206" s="486">
        <v>3671.7</v>
      </c>
      <c r="E7206" s="486">
        <v>3671.7</v>
      </c>
    </row>
    <row r="7207" spans="1:5" ht="30">
      <c r="A7207" s="349">
        <v>1621</v>
      </c>
      <c r="B7207" s="348" t="s">
        <v>3977</v>
      </c>
      <c r="C7207" s="349" t="s">
        <v>65</v>
      </c>
      <c r="D7207" s="483">
        <v>251.4</v>
      </c>
      <c r="E7207" s="483">
        <v>251.4</v>
      </c>
    </row>
    <row r="7208" spans="1:5" ht="30">
      <c r="A7208" s="484">
        <v>1624</v>
      </c>
      <c r="B7208" s="485" t="s">
        <v>3978</v>
      </c>
      <c r="C7208" s="484" t="s">
        <v>65</v>
      </c>
      <c r="D7208" s="486">
        <v>9025.23</v>
      </c>
      <c r="E7208" s="486">
        <v>9025.23</v>
      </c>
    </row>
    <row r="7209" spans="1:5" ht="30">
      <c r="A7209" s="349">
        <v>1615</v>
      </c>
      <c r="B7209" s="348" t="s">
        <v>3979</v>
      </c>
      <c r="C7209" s="349" t="s">
        <v>65</v>
      </c>
      <c r="D7209" s="483">
        <v>472.1</v>
      </c>
      <c r="E7209" s="483">
        <v>472.1</v>
      </c>
    </row>
    <row r="7210" spans="1:5">
      <c r="A7210" s="484">
        <v>1612</v>
      </c>
      <c r="B7210" s="485" t="s">
        <v>3980</v>
      </c>
      <c r="C7210" s="484" t="s">
        <v>65</v>
      </c>
      <c r="D7210" s="486">
        <v>62.18</v>
      </c>
      <c r="E7210" s="486">
        <v>62.18</v>
      </c>
    </row>
    <row r="7211" spans="1:5" ht="30">
      <c r="A7211" s="349">
        <v>1618</v>
      </c>
      <c r="B7211" s="348" t="s">
        <v>3981</v>
      </c>
      <c r="C7211" s="349" t="s">
        <v>65</v>
      </c>
      <c r="D7211" s="483">
        <v>648.73</v>
      </c>
      <c r="E7211" s="483">
        <v>648.73</v>
      </c>
    </row>
    <row r="7212" spans="1:5">
      <c r="A7212" s="484">
        <v>14211</v>
      </c>
      <c r="B7212" s="485" t="s">
        <v>19495</v>
      </c>
      <c r="C7212" s="484" t="s">
        <v>65</v>
      </c>
      <c r="D7212" s="486">
        <v>19.239999999999998</v>
      </c>
      <c r="E7212" s="486">
        <v>19.239999999999998</v>
      </c>
    </row>
    <row r="7213" spans="1:5">
      <c r="A7213" s="349">
        <v>40934</v>
      </c>
      <c r="B7213" s="348" t="s">
        <v>4060</v>
      </c>
      <c r="C7213" s="349" t="s">
        <v>1643</v>
      </c>
      <c r="D7213" s="483">
        <v>30008.85</v>
      </c>
      <c r="E7213" s="483">
        <v>30008.85</v>
      </c>
    </row>
    <row r="7214" spans="1:5" ht="29.25" customHeight="1">
      <c r="A7214" s="484">
        <v>34500</v>
      </c>
      <c r="B7214" s="485" t="s">
        <v>4061</v>
      </c>
      <c r="C7214" s="484" t="s">
        <v>57</v>
      </c>
      <c r="D7214" s="486">
        <v>170.32</v>
      </c>
      <c r="E7214" s="486">
        <v>170.32</v>
      </c>
    </row>
    <row r="7215" spans="1:5">
      <c r="A7215" s="349">
        <v>5328</v>
      </c>
      <c r="B7215" s="348" t="s">
        <v>4062</v>
      </c>
      <c r="C7215" s="349" t="s">
        <v>65</v>
      </c>
      <c r="D7215" s="483">
        <v>3.25</v>
      </c>
      <c r="E7215" s="483">
        <v>3.25</v>
      </c>
    </row>
    <row r="7216" spans="1:5">
      <c r="A7216" s="484">
        <v>38200</v>
      </c>
      <c r="B7216" s="485" t="s">
        <v>4063</v>
      </c>
      <c r="C7216" s="484" t="s">
        <v>155</v>
      </c>
      <c r="D7216" s="486">
        <v>405.48</v>
      </c>
      <c r="E7216" s="486">
        <v>405.48</v>
      </c>
    </row>
    <row r="7217" spans="1:5" ht="30">
      <c r="A7217" s="349">
        <v>39269</v>
      </c>
      <c r="B7217" s="348" t="s">
        <v>4064</v>
      </c>
      <c r="C7217" s="349" t="s">
        <v>71</v>
      </c>
      <c r="D7217" s="483">
        <v>0.72</v>
      </c>
      <c r="E7217" s="483">
        <v>0.72</v>
      </c>
    </row>
    <row r="7218" spans="1:5" ht="30">
      <c r="A7218" s="484">
        <v>11889</v>
      </c>
      <c r="B7218" s="485" t="s">
        <v>4065</v>
      </c>
      <c r="C7218" s="484" t="s">
        <v>71</v>
      </c>
      <c r="D7218" s="486">
        <v>1</v>
      </c>
      <c r="E7218" s="486">
        <v>1</v>
      </c>
    </row>
    <row r="7219" spans="1:5" ht="30">
      <c r="A7219" s="349">
        <v>39270</v>
      </c>
      <c r="B7219" s="348" t="s">
        <v>4066</v>
      </c>
      <c r="C7219" s="349" t="s">
        <v>71</v>
      </c>
      <c r="D7219" s="483">
        <v>1.2</v>
      </c>
      <c r="E7219" s="483">
        <v>1.2</v>
      </c>
    </row>
    <row r="7220" spans="1:5" ht="30">
      <c r="A7220" s="484">
        <v>11890</v>
      </c>
      <c r="B7220" s="485" t="s">
        <v>4067</v>
      </c>
      <c r="C7220" s="484" t="s">
        <v>71</v>
      </c>
      <c r="D7220" s="486">
        <v>1.56</v>
      </c>
      <c r="E7220" s="486">
        <v>1.56</v>
      </c>
    </row>
    <row r="7221" spans="1:5" ht="29.25" customHeight="1">
      <c r="A7221" s="349">
        <v>11891</v>
      </c>
      <c r="B7221" s="348" t="s">
        <v>4068</v>
      </c>
      <c r="C7221" s="349" t="s">
        <v>71</v>
      </c>
      <c r="D7221" s="483">
        <v>2.57</v>
      </c>
      <c r="E7221" s="483">
        <v>2.57</v>
      </c>
    </row>
    <row r="7222" spans="1:5" ht="30">
      <c r="A7222" s="484">
        <v>11892</v>
      </c>
      <c r="B7222" s="485" t="s">
        <v>4069</v>
      </c>
      <c r="C7222" s="484" t="s">
        <v>71</v>
      </c>
      <c r="D7222" s="486">
        <v>3.96</v>
      </c>
      <c r="E7222" s="486">
        <v>3.96</v>
      </c>
    </row>
    <row r="7223" spans="1:5">
      <c r="A7223" s="349">
        <v>37601</v>
      </c>
      <c r="B7223" s="348" t="s">
        <v>4070</v>
      </c>
      <c r="C7223" s="349" t="s">
        <v>71</v>
      </c>
      <c r="D7223" s="483">
        <v>4.2</v>
      </c>
      <c r="E7223" s="483">
        <v>4.2</v>
      </c>
    </row>
    <row r="7224" spans="1:5">
      <c r="A7224" s="484">
        <v>1634</v>
      </c>
      <c r="B7224" s="485" t="s">
        <v>4071</v>
      </c>
      <c r="C7224" s="484" t="s">
        <v>71</v>
      </c>
      <c r="D7224" s="486">
        <v>4.33</v>
      </c>
      <c r="E7224" s="486">
        <v>4.33</v>
      </c>
    </row>
    <row r="7225" spans="1:5" ht="30">
      <c r="A7225" s="349">
        <v>5086</v>
      </c>
      <c r="B7225" s="348" t="s">
        <v>4078</v>
      </c>
      <c r="C7225" s="349" t="s">
        <v>90</v>
      </c>
      <c r="D7225" s="483">
        <v>22.72</v>
      </c>
      <c r="E7225" s="483">
        <v>22.72</v>
      </c>
    </row>
    <row r="7226" spans="1:5" ht="30">
      <c r="A7226" s="484">
        <v>11280</v>
      </c>
      <c r="B7226" s="485" t="s">
        <v>4084</v>
      </c>
      <c r="C7226" s="484" t="s">
        <v>65</v>
      </c>
      <c r="D7226" s="486">
        <v>7742.51</v>
      </c>
      <c r="E7226" s="486">
        <v>7742.51</v>
      </c>
    </row>
    <row r="7227" spans="1:5" ht="30">
      <c r="A7227" s="349">
        <v>40519</v>
      </c>
      <c r="B7227" s="348" t="s">
        <v>4085</v>
      </c>
      <c r="C7227" s="349" t="s">
        <v>65</v>
      </c>
      <c r="D7227" s="483">
        <v>63826.65</v>
      </c>
      <c r="E7227" s="483">
        <v>63826.65</v>
      </c>
    </row>
    <row r="7228" spans="1:5">
      <c r="A7228" s="484">
        <v>39869</v>
      </c>
      <c r="B7228" s="485" t="s">
        <v>4161</v>
      </c>
      <c r="C7228" s="484" t="s">
        <v>65</v>
      </c>
      <c r="D7228" s="486">
        <v>6.49</v>
      </c>
      <c r="E7228" s="486">
        <v>6.49</v>
      </c>
    </row>
    <row r="7229" spans="1:5">
      <c r="A7229" s="349">
        <v>39870</v>
      </c>
      <c r="B7229" s="348" t="s">
        <v>4162</v>
      </c>
      <c r="C7229" s="349" t="s">
        <v>65</v>
      </c>
      <c r="D7229" s="483">
        <v>9.93</v>
      </c>
      <c r="E7229" s="483">
        <v>9.93</v>
      </c>
    </row>
    <row r="7230" spans="1:5">
      <c r="A7230" s="484">
        <v>39871</v>
      </c>
      <c r="B7230" s="485" t="s">
        <v>4163</v>
      </c>
      <c r="C7230" s="484" t="s">
        <v>65</v>
      </c>
      <c r="D7230" s="486">
        <v>11.13</v>
      </c>
      <c r="E7230" s="486">
        <v>11.13</v>
      </c>
    </row>
    <row r="7231" spans="1:5">
      <c r="A7231" s="349">
        <v>12722</v>
      </c>
      <c r="B7231" s="348" t="s">
        <v>4164</v>
      </c>
      <c r="C7231" s="349" t="s">
        <v>65</v>
      </c>
      <c r="D7231" s="483">
        <v>372.54</v>
      </c>
      <c r="E7231" s="483">
        <v>372.54</v>
      </c>
    </row>
    <row r="7232" spans="1:5" ht="29.25" customHeight="1">
      <c r="A7232" s="484">
        <v>12714</v>
      </c>
      <c r="B7232" s="485" t="s">
        <v>4165</v>
      </c>
      <c r="C7232" s="484" t="s">
        <v>65</v>
      </c>
      <c r="D7232" s="486">
        <v>2.4300000000000002</v>
      </c>
      <c r="E7232" s="486">
        <v>2.4300000000000002</v>
      </c>
    </row>
    <row r="7233" spans="1:5">
      <c r="A7233" s="349">
        <v>12715</v>
      </c>
      <c r="B7233" s="348" t="s">
        <v>4166</v>
      </c>
      <c r="C7233" s="349" t="s">
        <v>65</v>
      </c>
      <c r="D7233" s="483">
        <v>5.49</v>
      </c>
      <c r="E7233" s="483">
        <v>5.49</v>
      </c>
    </row>
    <row r="7234" spans="1:5">
      <c r="A7234" s="484">
        <v>12716</v>
      </c>
      <c r="B7234" s="485" t="s">
        <v>4167</v>
      </c>
      <c r="C7234" s="484" t="s">
        <v>65</v>
      </c>
      <c r="D7234" s="486">
        <v>9.43</v>
      </c>
      <c r="E7234" s="486">
        <v>9.43</v>
      </c>
    </row>
    <row r="7235" spans="1:5">
      <c r="A7235" s="349">
        <v>12717</v>
      </c>
      <c r="B7235" s="348" t="s">
        <v>4168</v>
      </c>
      <c r="C7235" s="349" t="s">
        <v>65</v>
      </c>
      <c r="D7235" s="483">
        <v>18.53</v>
      </c>
      <c r="E7235" s="483">
        <v>18.53</v>
      </c>
    </row>
    <row r="7236" spans="1:5">
      <c r="A7236" s="484">
        <v>12718</v>
      </c>
      <c r="B7236" s="485" t="s">
        <v>4169</v>
      </c>
      <c r="C7236" s="484" t="s">
        <v>65</v>
      </c>
      <c r="D7236" s="486">
        <v>28.44</v>
      </c>
      <c r="E7236" s="486">
        <v>28.44</v>
      </c>
    </row>
    <row r="7237" spans="1:5">
      <c r="A7237" s="349">
        <v>12719</v>
      </c>
      <c r="B7237" s="348" t="s">
        <v>4170</v>
      </c>
      <c r="C7237" s="349" t="s">
        <v>65</v>
      </c>
      <c r="D7237" s="483">
        <v>45.15</v>
      </c>
      <c r="E7237" s="483">
        <v>45.15</v>
      </c>
    </row>
    <row r="7238" spans="1:5">
      <c r="A7238" s="484">
        <v>12720</v>
      </c>
      <c r="B7238" s="485" t="s">
        <v>4171</v>
      </c>
      <c r="C7238" s="484" t="s">
        <v>65</v>
      </c>
      <c r="D7238" s="486">
        <v>157.22</v>
      </c>
      <c r="E7238" s="486">
        <v>157.22</v>
      </c>
    </row>
    <row r="7239" spans="1:5">
      <c r="A7239" s="349">
        <v>12721</v>
      </c>
      <c r="B7239" s="348" t="s">
        <v>4172</v>
      </c>
      <c r="C7239" s="349" t="s">
        <v>65</v>
      </c>
      <c r="D7239" s="483">
        <v>150.77000000000001</v>
      </c>
      <c r="E7239" s="483">
        <v>150.77000000000001</v>
      </c>
    </row>
    <row r="7240" spans="1:5">
      <c r="A7240" s="484">
        <v>3468</v>
      </c>
      <c r="B7240" s="485" t="s">
        <v>11270</v>
      </c>
      <c r="C7240" s="484" t="s">
        <v>65</v>
      </c>
      <c r="D7240" s="486">
        <v>20.95</v>
      </c>
      <c r="E7240" s="486">
        <v>20.95</v>
      </c>
    </row>
    <row r="7241" spans="1:5">
      <c r="A7241" s="349">
        <v>3465</v>
      </c>
      <c r="B7241" s="348" t="s">
        <v>11271</v>
      </c>
      <c r="C7241" s="349" t="s">
        <v>65</v>
      </c>
      <c r="D7241" s="483">
        <v>20.95</v>
      </c>
      <c r="E7241" s="483">
        <v>20.95</v>
      </c>
    </row>
    <row r="7242" spans="1:5">
      <c r="A7242" s="484">
        <v>12403</v>
      </c>
      <c r="B7242" s="485" t="s">
        <v>11272</v>
      </c>
      <c r="C7242" s="484" t="s">
        <v>65</v>
      </c>
      <c r="D7242" s="486">
        <v>14.93</v>
      </c>
      <c r="E7242" s="486">
        <v>14.93</v>
      </c>
    </row>
    <row r="7243" spans="1:5">
      <c r="A7243" s="349">
        <v>3463</v>
      </c>
      <c r="B7243" s="348" t="s">
        <v>11273</v>
      </c>
      <c r="C7243" s="349" t="s">
        <v>65</v>
      </c>
      <c r="D7243" s="483">
        <v>8.7200000000000006</v>
      </c>
      <c r="E7243" s="483">
        <v>8.7200000000000006</v>
      </c>
    </row>
    <row r="7244" spans="1:5">
      <c r="A7244" s="484">
        <v>3464</v>
      </c>
      <c r="B7244" s="485" t="s">
        <v>11274</v>
      </c>
      <c r="C7244" s="484" t="s">
        <v>65</v>
      </c>
      <c r="D7244" s="486">
        <v>8.7200000000000006</v>
      </c>
      <c r="E7244" s="486">
        <v>8.7200000000000006</v>
      </c>
    </row>
    <row r="7245" spans="1:5">
      <c r="A7245" s="349">
        <v>3466</v>
      </c>
      <c r="B7245" s="348" t="s">
        <v>11275</v>
      </c>
      <c r="C7245" s="349" t="s">
        <v>65</v>
      </c>
      <c r="D7245" s="483">
        <v>53.21</v>
      </c>
      <c r="E7245" s="483">
        <v>53.21</v>
      </c>
    </row>
    <row r="7246" spans="1:5">
      <c r="A7246" s="484">
        <v>3467</v>
      </c>
      <c r="B7246" s="485" t="s">
        <v>11276</v>
      </c>
      <c r="C7246" s="484" t="s">
        <v>65</v>
      </c>
      <c r="D7246" s="486">
        <v>30.05</v>
      </c>
      <c r="E7246" s="486">
        <v>30.05</v>
      </c>
    </row>
    <row r="7247" spans="1:5">
      <c r="A7247" s="349">
        <v>3462</v>
      </c>
      <c r="B7247" s="348" t="s">
        <v>11277</v>
      </c>
      <c r="C7247" s="349" t="s">
        <v>65</v>
      </c>
      <c r="D7247" s="483">
        <v>5.75</v>
      </c>
      <c r="E7247" s="483">
        <v>5.75</v>
      </c>
    </row>
    <row r="7248" spans="1:5">
      <c r="A7248" s="484">
        <v>3446</v>
      </c>
      <c r="B7248" s="485" t="s">
        <v>4117</v>
      </c>
      <c r="C7248" s="484" t="s">
        <v>65</v>
      </c>
      <c r="D7248" s="486">
        <v>17.71</v>
      </c>
      <c r="E7248" s="486">
        <v>17.71</v>
      </c>
    </row>
    <row r="7249" spans="1:5">
      <c r="A7249" s="349">
        <v>3445</v>
      </c>
      <c r="B7249" s="348" t="s">
        <v>4118</v>
      </c>
      <c r="C7249" s="349" t="s">
        <v>65</v>
      </c>
      <c r="D7249" s="483">
        <v>14.46</v>
      </c>
      <c r="E7249" s="483">
        <v>14.46</v>
      </c>
    </row>
    <row r="7250" spans="1:5">
      <c r="A7250" s="484">
        <v>3441</v>
      </c>
      <c r="B7250" s="485" t="s">
        <v>4120</v>
      </c>
      <c r="C7250" s="484" t="s">
        <v>65</v>
      </c>
      <c r="D7250" s="486">
        <v>4.08</v>
      </c>
      <c r="E7250" s="486">
        <v>4.08</v>
      </c>
    </row>
    <row r="7251" spans="1:5">
      <c r="A7251" s="349">
        <v>3444</v>
      </c>
      <c r="B7251" s="348" t="s">
        <v>4119</v>
      </c>
      <c r="C7251" s="349" t="s">
        <v>65</v>
      </c>
      <c r="D7251" s="483">
        <v>8.9</v>
      </c>
      <c r="E7251" s="483">
        <v>8.9</v>
      </c>
    </row>
    <row r="7252" spans="1:5">
      <c r="A7252" s="484">
        <v>12402</v>
      </c>
      <c r="B7252" s="485" t="s">
        <v>4121</v>
      </c>
      <c r="C7252" s="484" t="s">
        <v>65</v>
      </c>
      <c r="D7252" s="486">
        <v>49.79</v>
      </c>
      <c r="E7252" s="486">
        <v>49.79</v>
      </c>
    </row>
    <row r="7253" spans="1:5">
      <c r="A7253" s="349">
        <v>3447</v>
      </c>
      <c r="B7253" s="348" t="s">
        <v>4122</v>
      </c>
      <c r="C7253" s="349" t="s">
        <v>65</v>
      </c>
      <c r="D7253" s="483">
        <v>25.76</v>
      </c>
      <c r="E7253" s="483">
        <v>25.76</v>
      </c>
    </row>
    <row r="7254" spans="1:5">
      <c r="A7254" s="484">
        <v>3442</v>
      </c>
      <c r="B7254" s="485" t="s">
        <v>4124</v>
      </c>
      <c r="C7254" s="484" t="s">
        <v>65</v>
      </c>
      <c r="D7254" s="486">
        <v>6.1</v>
      </c>
      <c r="E7254" s="486">
        <v>6.1</v>
      </c>
    </row>
    <row r="7255" spans="1:5">
      <c r="A7255" s="349">
        <v>3448</v>
      </c>
      <c r="B7255" s="348" t="s">
        <v>4123</v>
      </c>
      <c r="C7255" s="349" t="s">
        <v>65</v>
      </c>
      <c r="D7255" s="483">
        <v>72.8</v>
      </c>
      <c r="E7255" s="483">
        <v>72.8</v>
      </c>
    </row>
    <row r="7256" spans="1:5">
      <c r="A7256" s="484">
        <v>3449</v>
      </c>
      <c r="B7256" s="485" t="s">
        <v>4125</v>
      </c>
      <c r="C7256" s="484" t="s">
        <v>65</v>
      </c>
      <c r="D7256" s="486">
        <v>127.57</v>
      </c>
      <c r="E7256" s="486">
        <v>127.57</v>
      </c>
    </row>
    <row r="7257" spans="1:5">
      <c r="A7257" s="349">
        <v>37438</v>
      </c>
      <c r="B7257" s="348" t="s">
        <v>4129</v>
      </c>
      <c r="C7257" s="349" t="s">
        <v>65</v>
      </c>
      <c r="D7257" s="483">
        <v>134.87</v>
      </c>
      <c r="E7257" s="483">
        <v>134.87</v>
      </c>
    </row>
    <row r="7258" spans="1:5">
      <c r="A7258" s="484">
        <v>37439</v>
      </c>
      <c r="B7258" s="485" t="s">
        <v>4130</v>
      </c>
      <c r="C7258" s="484" t="s">
        <v>65</v>
      </c>
      <c r="D7258" s="486">
        <v>881.79</v>
      </c>
      <c r="E7258" s="486">
        <v>881.79</v>
      </c>
    </row>
    <row r="7259" spans="1:5">
      <c r="A7259" s="349">
        <v>37435</v>
      </c>
      <c r="B7259" s="348" t="s">
        <v>4131</v>
      </c>
      <c r="C7259" s="349" t="s">
        <v>65</v>
      </c>
      <c r="D7259" s="483">
        <v>15.85</v>
      </c>
      <c r="E7259" s="483">
        <v>15.85</v>
      </c>
    </row>
    <row r="7260" spans="1:5">
      <c r="A7260" s="484">
        <v>37436</v>
      </c>
      <c r="B7260" s="485" t="s">
        <v>4132</v>
      </c>
      <c r="C7260" s="484" t="s">
        <v>65</v>
      </c>
      <c r="D7260" s="486">
        <v>18.7</v>
      </c>
      <c r="E7260" s="486">
        <v>18.7</v>
      </c>
    </row>
    <row r="7261" spans="1:5">
      <c r="A7261" s="349">
        <v>37437</v>
      </c>
      <c r="B7261" s="348" t="s">
        <v>4133</v>
      </c>
      <c r="C7261" s="349" t="s">
        <v>65</v>
      </c>
      <c r="D7261" s="483">
        <v>27.05</v>
      </c>
      <c r="E7261" s="483">
        <v>27.05</v>
      </c>
    </row>
    <row r="7262" spans="1:5">
      <c r="A7262" s="484">
        <v>3473</v>
      </c>
      <c r="B7262" s="485" t="s">
        <v>4134</v>
      </c>
      <c r="C7262" s="484" t="s">
        <v>65</v>
      </c>
      <c r="D7262" s="486">
        <v>20.03</v>
      </c>
      <c r="E7262" s="486">
        <v>20.03</v>
      </c>
    </row>
    <row r="7263" spans="1:5">
      <c r="A7263" s="349">
        <v>3474</v>
      </c>
      <c r="B7263" s="348" t="s">
        <v>4135</v>
      </c>
      <c r="C7263" s="349" t="s">
        <v>65</v>
      </c>
      <c r="D7263" s="483">
        <v>16.510000000000002</v>
      </c>
      <c r="E7263" s="483">
        <v>16.510000000000002</v>
      </c>
    </row>
    <row r="7264" spans="1:5">
      <c r="A7264" s="484">
        <v>3450</v>
      </c>
      <c r="B7264" s="485" t="s">
        <v>4137</v>
      </c>
      <c r="C7264" s="484" t="s">
        <v>65</v>
      </c>
      <c r="D7264" s="486">
        <v>4.78</v>
      </c>
      <c r="E7264" s="486">
        <v>4.78</v>
      </c>
    </row>
    <row r="7265" spans="1:5">
      <c r="A7265" s="349">
        <v>3443</v>
      </c>
      <c r="B7265" s="348" t="s">
        <v>4136</v>
      </c>
      <c r="C7265" s="349" t="s">
        <v>65</v>
      </c>
      <c r="D7265" s="483">
        <v>10.27</v>
      </c>
      <c r="E7265" s="483">
        <v>10.27</v>
      </c>
    </row>
    <row r="7266" spans="1:5">
      <c r="A7266" s="484">
        <v>3453</v>
      </c>
      <c r="B7266" s="485" t="s">
        <v>4138</v>
      </c>
      <c r="C7266" s="484" t="s">
        <v>65</v>
      </c>
      <c r="D7266" s="486">
        <v>58.46</v>
      </c>
      <c r="E7266" s="486">
        <v>58.46</v>
      </c>
    </row>
    <row r="7267" spans="1:5">
      <c r="A7267" s="349">
        <v>3452</v>
      </c>
      <c r="B7267" s="348" t="s">
        <v>4139</v>
      </c>
      <c r="C7267" s="349" t="s">
        <v>65</v>
      </c>
      <c r="D7267" s="483">
        <v>28.86</v>
      </c>
      <c r="E7267" s="483">
        <v>28.86</v>
      </c>
    </row>
    <row r="7268" spans="1:5">
      <c r="A7268" s="484">
        <v>3451</v>
      </c>
      <c r="B7268" s="485" t="s">
        <v>4141</v>
      </c>
      <c r="C7268" s="484" t="s">
        <v>65</v>
      </c>
      <c r="D7268" s="486">
        <v>5.72</v>
      </c>
      <c r="E7268" s="486">
        <v>5.72</v>
      </c>
    </row>
    <row r="7269" spans="1:5">
      <c r="A7269" s="349">
        <v>3454</v>
      </c>
      <c r="B7269" s="348" t="s">
        <v>4140</v>
      </c>
      <c r="C7269" s="349" t="s">
        <v>65</v>
      </c>
      <c r="D7269" s="483">
        <v>88.92</v>
      </c>
      <c r="E7269" s="483">
        <v>88.92</v>
      </c>
    </row>
    <row r="7270" spans="1:5">
      <c r="A7270" s="484">
        <v>3458</v>
      </c>
      <c r="B7270" s="485" t="s">
        <v>4142</v>
      </c>
      <c r="C7270" s="484" t="s">
        <v>65</v>
      </c>
      <c r="D7270" s="486">
        <v>16.05</v>
      </c>
      <c r="E7270" s="486">
        <v>16.05</v>
      </c>
    </row>
    <row r="7271" spans="1:5">
      <c r="A7271" s="349">
        <v>3457</v>
      </c>
      <c r="B7271" s="348" t="s">
        <v>4143</v>
      </c>
      <c r="C7271" s="349" t="s">
        <v>65</v>
      </c>
      <c r="D7271" s="483">
        <v>12.05</v>
      </c>
      <c r="E7271" s="483">
        <v>12.05</v>
      </c>
    </row>
    <row r="7272" spans="1:5">
      <c r="A7272" s="484">
        <v>3455</v>
      </c>
      <c r="B7272" s="485" t="s">
        <v>4145</v>
      </c>
      <c r="C7272" s="484" t="s">
        <v>65</v>
      </c>
      <c r="D7272" s="486">
        <v>3.42</v>
      </c>
      <c r="E7272" s="486">
        <v>3.42</v>
      </c>
    </row>
    <row r="7273" spans="1:5">
      <c r="A7273" s="349">
        <v>3472</v>
      </c>
      <c r="B7273" s="348" t="s">
        <v>4144</v>
      </c>
      <c r="C7273" s="349" t="s">
        <v>65</v>
      </c>
      <c r="D7273" s="483">
        <v>7.69</v>
      </c>
      <c r="E7273" s="483">
        <v>7.69</v>
      </c>
    </row>
    <row r="7274" spans="1:5">
      <c r="A7274" s="484">
        <v>3470</v>
      </c>
      <c r="B7274" s="485" t="s">
        <v>4146</v>
      </c>
      <c r="C7274" s="484" t="s">
        <v>65</v>
      </c>
      <c r="D7274" s="486">
        <v>44.83</v>
      </c>
      <c r="E7274" s="486">
        <v>44.83</v>
      </c>
    </row>
    <row r="7275" spans="1:5">
      <c r="A7275" s="349">
        <v>3471</v>
      </c>
      <c r="B7275" s="348" t="s">
        <v>4147</v>
      </c>
      <c r="C7275" s="349" t="s">
        <v>65</v>
      </c>
      <c r="D7275" s="483">
        <v>24.63</v>
      </c>
      <c r="E7275" s="483">
        <v>24.63</v>
      </c>
    </row>
    <row r="7276" spans="1:5">
      <c r="A7276" s="484">
        <v>3456</v>
      </c>
      <c r="B7276" s="485" t="s">
        <v>4149</v>
      </c>
      <c r="C7276" s="484" t="s">
        <v>65</v>
      </c>
      <c r="D7276" s="486">
        <v>5.12</v>
      </c>
      <c r="E7276" s="486">
        <v>5.12</v>
      </c>
    </row>
    <row r="7277" spans="1:5">
      <c r="A7277" s="349">
        <v>3459</v>
      </c>
      <c r="B7277" s="348" t="s">
        <v>4148</v>
      </c>
      <c r="C7277" s="349" t="s">
        <v>65</v>
      </c>
      <c r="D7277" s="483">
        <v>63.23</v>
      </c>
      <c r="E7277" s="483">
        <v>63.23</v>
      </c>
    </row>
    <row r="7278" spans="1:5">
      <c r="A7278" s="484">
        <v>3469</v>
      </c>
      <c r="B7278" s="485" t="s">
        <v>4150</v>
      </c>
      <c r="C7278" s="484" t="s">
        <v>65</v>
      </c>
      <c r="D7278" s="486">
        <v>120.25</v>
      </c>
      <c r="E7278" s="486">
        <v>120.25</v>
      </c>
    </row>
    <row r="7279" spans="1:5">
      <c r="A7279" s="349">
        <v>3460</v>
      </c>
      <c r="B7279" s="348" t="s">
        <v>4151</v>
      </c>
      <c r="C7279" s="349" t="s">
        <v>65</v>
      </c>
      <c r="D7279" s="483">
        <v>175.47</v>
      </c>
      <c r="E7279" s="483">
        <v>175.47</v>
      </c>
    </row>
    <row r="7280" spans="1:5">
      <c r="A7280" s="484">
        <v>3461</v>
      </c>
      <c r="B7280" s="485" t="s">
        <v>4152</v>
      </c>
      <c r="C7280" s="484" t="s">
        <v>65</v>
      </c>
      <c r="D7280" s="486">
        <v>448.5</v>
      </c>
      <c r="E7280" s="486">
        <v>448.5</v>
      </c>
    </row>
    <row r="7281" spans="1:5">
      <c r="A7281" s="349">
        <v>37433</v>
      </c>
      <c r="B7281" s="348" t="s">
        <v>4156</v>
      </c>
      <c r="C7281" s="349" t="s">
        <v>65</v>
      </c>
      <c r="D7281" s="483">
        <v>134.87</v>
      </c>
      <c r="E7281" s="483">
        <v>134.87</v>
      </c>
    </row>
    <row r="7282" spans="1:5">
      <c r="A7282" s="484">
        <v>37430</v>
      </c>
      <c r="B7282" s="485" t="s">
        <v>4157</v>
      </c>
      <c r="C7282" s="484" t="s">
        <v>65</v>
      </c>
      <c r="D7282" s="486">
        <v>16.899999999999999</v>
      </c>
      <c r="E7282" s="486">
        <v>16.899999999999999</v>
      </c>
    </row>
    <row r="7283" spans="1:5">
      <c r="A7283" s="349">
        <v>37434</v>
      </c>
      <c r="B7283" s="348" t="s">
        <v>4158</v>
      </c>
      <c r="C7283" s="349" t="s">
        <v>65</v>
      </c>
      <c r="D7283" s="483">
        <v>1257.56</v>
      </c>
      <c r="E7283" s="483">
        <v>1257.56</v>
      </c>
    </row>
    <row r="7284" spans="1:5">
      <c r="A7284" s="484">
        <v>37431</v>
      </c>
      <c r="B7284" s="485" t="s">
        <v>4159</v>
      </c>
      <c r="C7284" s="484" t="s">
        <v>65</v>
      </c>
      <c r="D7284" s="486">
        <v>22.93</v>
      </c>
      <c r="E7284" s="486">
        <v>22.93</v>
      </c>
    </row>
    <row r="7285" spans="1:5">
      <c r="A7285" s="349">
        <v>37432</v>
      </c>
      <c r="B7285" s="348" t="s">
        <v>4160</v>
      </c>
      <c r="C7285" s="349" t="s">
        <v>65</v>
      </c>
      <c r="D7285" s="483">
        <v>42.29</v>
      </c>
      <c r="E7285" s="483">
        <v>42.29</v>
      </c>
    </row>
    <row r="7286" spans="1:5" ht="30">
      <c r="A7286" s="484">
        <v>37413</v>
      </c>
      <c r="B7286" s="485" t="s">
        <v>4199</v>
      </c>
      <c r="C7286" s="484" t="s">
        <v>65</v>
      </c>
      <c r="D7286" s="486">
        <v>1.89</v>
      </c>
      <c r="E7286" s="486">
        <v>1.89</v>
      </c>
    </row>
    <row r="7287" spans="1:5" ht="30">
      <c r="A7287" s="349">
        <v>37414</v>
      </c>
      <c r="B7287" s="348" t="s">
        <v>4200</v>
      </c>
      <c r="C7287" s="349" t="s">
        <v>65</v>
      </c>
      <c r="D7287" s="483">
        <v>2.15</v>
      </c>
      <c r="E7287" s="483">
        <v>2.15</v>
      </c>
    </row>
    <row r="7288" spans="1:5" ht="30">
      <c r="A7288" s="484">
        <v>37415</v>
      </c>
      <c r="B7288" s="485" t="s">
        <v>4201</v>
      </c>
      <c r="C7288" s="484" t="s">
        <v>65</v>
      </c>
      <c r="D7288" s="486">
        <v>3.91</v>
      </c>
      <c r="E7288" s="486">
        <v>3.91</v>
      </c>
    </row>
    <row r="7289" spans="1:5" ht="30">
      <c r="A7289" s="349">
        <v>37416</v>
      </c>
      <c r="B7289" s="348" t="s">
        <v>4197</v>
      </c>
      <c r="C7289" s="349" t="s">
        <v>65</v>
      </c>
      <c r="D7289" s="483">
        <v>1.77</v>
      </c>
      <c r="E7289" s="483">
        <v>1.77</v>
      </c>
    </row>
    <row r="7290" spans="1:5" ht="30">
      <c r="A7290" s="484">
        <v>37417</v>
      </c>
      <c r="B7290" s="485" t="s">
        <v>4198</v>
      </c>
      <c r="C7290" s="484" t="s">
        <v>65</v>
      </c>
      <c r="D7290" s="486">
        <v>2.5499999999999998</v>
      </c>
      <c r="E7290" s="486">
        <v>2.5499999999999998</v>
      </c>
    </row>
    <row r="7291" spans="1:5" ht="30">
      <c r="A7291" s="349">
        <v>3112</v>
      </c>
      <c r="B7291" s="348" t="s">
        <v>4202</v>
      </c>
      <c r="C7291" s="349" t="s">
        <v>105</v>
      </c>
      <c r="D7291" s="483">
        <v>45.91</v>
      </c>
      <c r="E7291" s="483">
        <v>45.91</v>
      </c>
    </row>
    <row r="7292" spans="1:5" ht="30">
      <c r="A7292" s="484">
        <v>3113</v>
      </c>
      <c r="B7292" s="485" t="s">
        <v>4203</v>
      </c>
      <c r="C7292" s="484" t="s">
        <v>105</v>
      </c>
      <c r="D7292" s="486">
        <v>52.9</v>
      </c>
      <c r="E7292" s="486">
        <v>52.9</v>
      </c>
    </row>
    <row r="7293" spans="1:5" ht="30">
      <c r="A7293" s="349">
        <v>3114</v>
      </c>
      <c r="B7293" s="348" t="s">
        <v>4205</v>
      </c>
      <c r="C7293" s="349" t="s">
        <v>65</v>
      </c>
      <c r="D7293" s="483">
        <v>23.9</v>
      </c>
      <c r="E7293" s="483">
        <v>23.9</v>
      </c>
    </row>
    <row r="7294" spans="1:5">
      <c r="A7294" s="484">
        <v>34519</v>
      </c>
      <c r="B7294" s="485" t="s">
        <v>4206</v>
      </c>
      <c r="C7294" s="484" t="s">
        <v>65</v>
      </c>
      <c r="D7294" s="486">
        <v>57.92</v>
      </c>
      <c r="E7294" s="486">
        <v>57.92</v>
      </c>
    </row>
    <row r="7295" spans="1:5">
      <c r="A7295" s="349">
        <v>10510</v>
      </c>
      <c r="B7295" s="348" t="s">
        <v>4207</v>
      </c>
      <c r="C7295" s="349" t="s">
        <v>65</v>
      </c>
      <c r="D7295" s="483">
        <v>81.510000000000005</v>
      </c>
      <c r="E7295" s="483">
        <v>81.510000000000005</v>
      </c>
    </row>
    <row r="7296" spans="1:5">
      <c r="A7296" s="484">
        <v>1649</v>
      </c>
      <c r="B7296" s="485" t="s">
        <v>4208</v>
      </c>
      <c r="C7296" s="484" t="s">
        <v>65</v>
      </c>
      <c r="D7296" s="486">
        <v>37.86</v>
      </c>
      <c r="E7296" s="486">
        <v>37.86</v>
      </c>
    </row>
    <row r="7297" spans="1:5">
      <c r="A7297" s="349">
        <v>1653</v>
      </c>
      <c r="B7297" s="348" t="s">
        <v>4209</v>
      </c>
      <c r="C7297" s="349" t="s">
        <v>65</v>
      </c>
      <c r="D7297" s="483">
        <v>29.65</v>
      </c>
      <c r="E7297" s="483">
        <v>29.65</v>
      </c>
    </row>
    <row r="7298" spans="1:5">
      <c r="A7298" s="484">
        <v>1647</v>
      </c>
      <c r="B7298" s="485" t="s">
        <v>4211</v>
      </c>
      <c r="C7298" s="484" t="s">
        <v>65</v>
      </c>
      <c r="D7298" s="486">
        <v>10.62</v>
      </c>
      <c r="E7298" s="486">
        <v>10.62</v>
      </c>
    </row>
    <row r="7299" spans="1:5">
      <c r="A7299" s="349">
        <v>1648</v>
      </c>
      <c r="B7299" s="348" t="s">
        <v>4210</v>
      </c>
      <c r="C7299" s="349" t="s">
        <v>65</v>
      </c>
      <c r="D7299" s="483">
        <v>20.39</v>
      </c>
      <c r="E7299" s="483">
        <v>20.39</v>
      </c>
    </row>
    <row r="7300" spans="1:5">
      <c r="A7300" s="484">
        <v>1651</v>
      </c>
      <c r="B7300" s="485" t="s">
        <v>4212</v>
      </c>
      <c r="C7300" s="484" t="s">
        <v>65</v>
      </c>
      <c r="D7300" s="486">
        <v>94.6</v>
      </c>
      <c r="E7300" s="486">
        <v>94.6</v>
      </c>
    </row>
    <row r="7301" spans="1:5">
      <c r="A7301" s="349">
        <v>1650</v>
      </c>
      <c r="B7301" s="348" t="s">
        <v>4213</v>
      </c>
      <c r="C7301" s="349" t="s">
        <v>65</v>
      </c>
      <c r="D7301" s="483">
        <v>52.29</v>
      </c>
      <c r="E7301" s="483">
        <v>52.29</v>
      </c>
    </row>
    <row r="7302" spans="1:5">
      <c r="A7302" s="484">
        <v>1654</v>
      </c>
      <c r="B7302" s="485" t="s">
        <v>4215</v>
      </c>
      <c r="C7302" s="484" t="s">
        <v>65</v>
      </c>
      <c r="D7302" s="486">
        <v>14.57</v>
      </c>
      <c r="E7302" s="486">
        <v>14.57</v>
      </c>
    </row>
    <row r="7303" spans="1:5">
      <c r="A7303" s="349">
        <v>1652</v>
      </c>
      <c r="B7303" s="348" t="s">
        <v>4214</v>
      </c>
      <c r="C7303" s="349" t="s">
        <v>65</v>
      </c>
      <c r="D7303" s="483">
        <v>135.77000000000001</v>
      </c>
      <c r="E7303" s="483">
        <v>135.77000000000001</v>
      </c>
    </row>
    <row r="7304" spans="1:5">
      <c r="A7304" s="484">
        <v>1727</v>
      </c>
      <c r="B7304" s="485" t="s">
        <v>4216</v>
      </c>
      <c r="C7304" s="484" t="s">
        <v>65</v>
      </c>
      <c r="D7304" s="486">
        <v>63.75</v>
      </c>
      <c r="E7304" s="486">
        <v>63.75</v>
      </c>
    </row>
    <row r="7305" spans="1:5">
      <c r="A7305" s="349">
        <v>12920</v>
      </c>
      <c r="B7305" s="348" t="s">
        <v>4218</v>
      </c>
      <c r="C7305" s="349" t="s">
        <v>65</v>
      </c>
      <c r="D7305" s="483">
        <v>84.25</v>
      </c>
      <c r="E7305" s="483">
        <v>84.25</v>
      </c>
    </row>
    <row r="7306" spans="1:5">
      <c r="A7306" s="484">
        <v>1725</v>
      </c>
      <c r="B7306" s="485" t="s">
        <v>4219</v>
      </c>
      <c r="C7306" s="484" t="s">
        <v>65</v>
      </c>
      <c r="D7306" s="486">
        <v>18.39</v>
      </c>
      <c r="E7306" s="486">
        <v>18.39</v>
      </c>
    </row>
    <row r="7307" spans="1:5">
      <c r="A7307" s="349">
        <v>12943</v>
      </c>
      <c r="B7307" s="348" t="s">
        <v>4220</v>
      </c>
      <c r="C7307" s="349" t="s">
        <v>65</v>
      </c>
      <c r="D7307" s="483">
        <v>45.39</v>
      </c>
      <c r="E7307" s="483">
        <v>45.39</v>
      </c>
    </row>
    <row r="7308" spans="1:5">
      <c r="A7308" s="484">
        <v>1747</v>
      </c>
      <c r="B7308" s="485" t="s">
        <v>4223</v>
      </c>
      <c r="C7308" s="484" t="s">
        <v>65</v>
      </c>
      <c r="D7308" s="486">
        <v>118.99</v>
      </c>
      <c r="E7308" s="486">
        <v>118.99</v>
      </c>
    </row>
    <row r="7309" spans="1:5">
      <c r="A7309" s="349">
        <v>1744</v>
      </c>
      <c r="B7309" s="348" t="s">
        <v>4221</v>
      </c>
      <c r="C7309" s="349" t="s">
        <v>65</v>
      </c>
      <c r="D7309" s="483">
        <v>82.42</v>
      </c>
      <c r="E7309" s="483">
        <v>82.42</v>
      </c>
    </row>
    <row r="7310" spans="1:5">
      <c r="A7310" s="484">
        <v>1743</v>
      </c>
      <c r="B7310" s="485" t="s">
        <v>4222</v>
      </c>
      <c r="C7310" s="484" t="s">
        <v>65</v>
      </c>
      <c r="D7310" s="486">
        <v>108.23</v>
      </c>
      <c r="E7310" s="486">
        <v>108.23</v>
      </c>
    </row>
    <row r="7311" spans="1:5">
      <c r="A7311" s="349">
        <v>7241</v>
      </c>
      <c r="B7311" s="348" t="s">
        <v>4230</v>
      </c>
      <c r="C7311" s="349" t="s">
        <v>256</v>
      </c>
      <c r="D7311" s="483">
        <v>46.73</v>
      </c>
      <c r="E7311" s="483">
        <v>46.73</v>
      </c>
    </row>
    <row r="7312" spans="1:5" ht="30">
      <c r="A7312" s="484">
        <v>39640</v>
      </c>
      <c r="B7312" s="485" t="s">
        <v>4232</v>
      </c>
      <c r="C7312" s="484" t="s">
        <v>65</v>
      </c>
      <c r="D7312" s="486">
        <v>5.01</v>
      </c>
      <c r="E7312" s="486">
        <v>5.01</v>
      </c>
    </row>
    <row r="7313" spans="1:5" ht="30">
      <c r="A7313" s="349">
        <v>11013</v>
      </c>
      <c r="B7313" s="348" t="s">
        <v>11278</v>
      </c>
      <c r="C7313" s="349" t="s">
        <v>65</v>
      </c>
      <c r="D7313" s="483">
        <v>10.31</v>
      </c>
      <c r="E7313" s="483">
        <v>10.31</v>
      </c>
    </row>
    <row r="7314" spans="1:5" ht="30">
      <c r="A7314" s="484">
        <v>11017</v>
      </c>
      <c r="B7314" s="485" t="s">
        <v>4233</v>
      </c>
      <c r="C7314" s="484" t="s">
        <v>65</v>
      </c>
      <c r="D7314" s="486">
        <v>4.4000000000000004</v>
      </c>
      <c r="E7314" s="486">
        <v>4.4000000000000004</v>
      </c>
    </row>
    <row r="7315" spans="1:5" ht="30">
      <c r="A7315" s="349">
        <v>20236</v>
      </c>
      <c r="B7315" s="348" t="s">
        <v>4234</v>
      </c>
      <c r="C7315" s="349" t="s">
        <v>65</v>
      </c>
      <c r="D7315" s="483">
        <v>19.37</v>
      </c>
      <c r="E7315" s="483">
        <v>19.37</v>
      </c>
    </row>
    <row r="7316" spans="1:5" ht="30">
      <c r="A7316" s="484">
        <v>7215</v>
      </c>
      <c r="B7316" s="485" t="s">
        <v>4237</v>
      </c>
      <c r="C7316" s="484" t="s">
        <v>65</v>
      </c>
      <c r="D7316" s="486">
        <v>16.579999999999998</v>
      </c>
      <c r="E7316" s="486">
        <v>16.579999999999998</v>
      </c>
    </row>
    <row r="7317" spans="1:5" ht="29.25" customHeight="1">
      <c r="A7317" s="349">
        <v>7216</v>
      </c>
      <c r="B7317" s="348" t="s">
        <v>4238</v>
      </c>
      <c r="C7317" s="349" t="s">
        <v>65</v>
      </c>
      <c r="D7317" s="483">
        <v>69.33</v>
      </c>
      <c r="E7317" s="483">
        <v>69.33</v>
      </c>
    </row>
    <row r="7318" spans="1:5" ht="30">
      <c r="A7318" s="484">
        <v>20235</v>
      </c>
      <c r="B7318" s="485" t="s">
        <v>4239</v>
      </c>
      <c r="C7318" s="484" t="s">
        <v>65</v>
      </c>
      <c r="D7318" s="486">
        <v>35.049999999999997</v>
      </c>
      <c r="E7318" s="486">
        <v>35.049999999999997</v>
      </c>
    </row>
    <row r="7319" spans="1:5" ht="57.75" customHeight="1">
      <c r="A7319" s="349">
        <v>7181</v>
      </c>
      <c r="B7319" s="348" t="s">
        <v>4241</v>
      </c>
      <c r="C7319" s="349" t="s">
        <v>65</v>
      </c>
      <c r="D7319" s="483">
        <v>4.66</v>
      </c>
      <c r="E7319" s="483">
        <v>4.66</v>
      </c>
    </row>
    <row r="7320" spans="1:5" ht="30">
      <c r="A7320" s="484">
        <v>7214</v>
      </c>
      <c r="B7320" s="485" t="s">
        <v>4246</v>
      </c>
      <c r="C7320" s="484" t="s">
        <v>65</v>
      </c>
      <c r="D7320" s="486">
        <v>23.75</v>
      </c>
      <c r="E7320" s="486">
        <v>23.75</v>
      </c>
    </row>
    <row r="7321" spans="1:5" ht="30">
      <c r="A7321" s="349">
        <v>7219</v>
      </c>
      <c r="B7321" s="348" t="s">
        <v>4248</v>
      </c>
      <c r="C7321" s="349" t="s">
        <v>65</v>
      </c>
      <c r="D7321" s="483">
        <v>24.58</v>
      </c>
      <c r="E7321" s="483">
        <v>24.58</v>
      </c>
    </row>
    <row r="7322" spans="1:5">
      <c r="A7322" s="484">
        <v>37972</v>
      </c>
      <c r="B7322" s="485" t="s">
        <v>4512</v>
      </c>
      <c r="C7322" s="484" t="s">
        <v>65</v>
      </c>
      <c r="D7322" s="486">
        <v>5.5</v>
      </c>
      <c r="E7322" s="486">
        <v>5.5</v>
      </c>
    </row>
    <row r="7323" spans="1:5">
      <c r="A7323" s="349">
        <v>37973</v>
      </c>
      <c r="B7323" s="348" t="s">
        <v>4513</v>
      </c>
      <c r="C7323" s="349" t="s">
        <v>65</v>
      </c>
      <c r="D7323" s="483">
        <v>8.81</v>
      </c>
      <c r="E7323" s="483">
        <v>8.81</v>
      </c>
    </row>
    <row r="7324" spans="1:5">
      <c r="A7324" s="484">
        <v>37971</v>
      </c>
      <c r="B7324" s="485" t="s">
        <v>4514</v>
      </c>
      <c r="C7324" s="484" t="s">
        <v>65</v>
      </c>
      <c r="D7324" s="486">
        <v>3.3</v>
      </c>
      <c r="E7324" s="486">
        <v>3.3</v>
      </c>
    </row>
    <row r="7325" spans="1:5">
      <c r="A7325" s="349">
        <v>20094</v>
      </c>
      <c r="B7325" s="348" t="s">
        <v>4523</v>
      </c>
      <c r="C7325" s="349" t="s">
        <v>65</v>
      </c>
      <c r="D7325" s="483">
        <v>8.68</v>
      </c>
      <c r="E7325" s="483">
        <v>8.68</v>
      </c>
    </row>
    <row r="7326" spans="1:5">
      <c r="A7326" s="484">
        <v>20095</v>
      </c>
      <c r="B7326" s="485" t="s">
        <v>4524</v>
      </c>
      <c r="C7326" s="484" t="s">
        <v>65</v>
      </c>
      <c r="D7326" s="486">
        <v>14.7</v>
      </c>
      <c r="E7326" s="486">
        <v>14.7</v>
      </c>
    </row>
    <row r="7327" spans="1:5">
      <c r="A7327" s="349">
        <v>1954</v>
      </c>
      <c r="B7327" s="348" t="s">
        <v>4525</v>
      </c>
      <c r="C7327" s="349" t="s">
        <v>65</v>
      </c>
      <c r="D7327" s="483">
        <v>81.180000000000007</v>
      </c>
      <c r="E7327" s="483">
        <v>81.180000000000007</v>
      </c>
    </row>
    <row r="7328" spans="1:5">
      <c r="A7328" s="484">
        <v>1926</v>
      </c>
      <c r="B7328" s="485" t="s">
        <v>4526</v>
      </c>
      <c r="C7328" s="484" t="s">
        <v>65</v>
      </c>
      <c r="D7328" s="486">
        <v>1.43</v>
      </c>
      <c r="E7328" s="486">
        <v>1.43</v>
      </c>
    </row>
    <row r="7329" spans="1:5">
      <c r="A7329" s="349">
        <v>1927</v>
      </c>
      <c r="B7329" s="348" t="s">
        <v>4527</v>
      </c>
      <c r="C7329" s="349" t="s">
        <v>65</v>
      </c>
      <c r="D7329" s="483">
        <v>1.73</v>
      </c>
      <c r="E7329" s="483">
        <v>1.73</v>
      </c>
    </row>
    <row r="7330" spans="1:5">
      <c r="A7330" s="484">
        <v>1923</v>
      </c>
      <c r="B7330" s="485" t="s">
        <v>4528</v>
      </c>
      <c r="C7330" s="484" t="s">
        <v>65</v>
      </c>
      <c r="D7330" s="486">
        <v>2.82</v>
      </c>
      <c r="E7330" s="486">
        <v>2.82</v>
      </c>
    </row>
    <row r="7331" spans="1:5">
      <c r="A7331" s="349">
        <v>1929</v>
      </c>
      <c r="B7331" s="348" t="s">
        <v>4529</v>
      </c>
      <c r="C7331" s="349" t="s">
        <v>65</v>
      </c>
      <c r="D7331" s="483">
        <v>3.57</v>
      </c>
      <c r="E7331" s="483">
        <v>3.57</v>
      </c>
    </row>
    <row r="7332" spans="1:5">
      <c r="A7332" s="484">
        <v>1930</v>
      </c>
      <c r="B7332" s="485" t="s">
        <v>4530</v>
      </c>
      <c r="C7332" s="484" t="s">
        <v>65</v>
      </c>
      <c r="D7332" s="486">
        <v>7.41</v>
      </c>
      <c r="E7332" s="486">
        <v>7.41</v>
      </c>
    </row>
    <row r="7333" spans="1:5">
      <c r="A7333" s="349">
        <v>1924</v>
      </c>
      <c r="B7333" s="348" t="s">
        <v>4531</v>
      </c>
      <c r="C7333" s="349" t="s">
        <v>65</v>
      </c>
      <c r="D7333" s="483">
        <v>12.56</v>
      </c>
      <c r="E7333" s="483">
        <v>12.56</v>
      </c>
    </row>
    <row r="7334" spans="1:5">
      <c r="A7334" s="484">
        <v>1922</v>
      </c>
      <c r="B7334" s="485" t="s">
        <v>4532</v>
      </c>
      <c r="C7334" s="484" t="s">
        <v>65</v>
      </c>
      <c r="D7334" s="486">
        <v>25.47</v>
      </c>
      <c r="E7334" s="486">
        <v>25.47</v>
      </c>
    </row>
    <row r="7335" spans="1:5">
      <c r="A7335" s="349">
        <v>1953</v>
      </c>
      <c r="B7335" s="348" t="s">
        <v>4533</v>
      </c>
      <c r="C7335" s="349" t="s">
        <v>65</v>
      </c>
      <c r="D7335" s="483">
        <v>30.43</v>
      </c>
      <c r="E7335" s="483">
        <v>30.43</v>
      </c>
    </row>
    <row r="7336" spans="1:5">
      <c r="A7336" s="484">
        <v>1962</v>
      </c>
      <c r="B7336" s="485" t="s">
        <v>4534</v>
      </c>
      <c r="C7336" s="484" t="s">
        <v>65</v>
      </c>
      <c r="D7336" s="486">
        <v>88.61</v>
      </c>
      <c r="E7336" s="486">
        <v>88.61</v>
      </c>
    </row>
    <row r="7337" spans="1:5">
      <c r="A7337" s="349">
        <v>1955</v>
      </c>
      <c r="B7337" s="348" t="s">
        <v>4535</v>
      </c>
      <c r="C7337" s="349" t="s">
        <v>65</v>
      </c>
      <c r="D7337" s="483">
        <v>1.5</v>
      </c>
      <c r="E7337" s="483">
        <v>1.5</v>
      </c>
    </row>
    <row r="7338" spans="1:5">
      <c r="A7338" s="484">
        <v>1956</v>
      </c>
      <c r="B7338" s="485" t="s">
        <v>4536</v>
      </c>
      <c r="C7338" s="484" t="s">
        <v>65</v>
      </c>
      <c r="D7338" s="486">
        <v>2.17</v>
      </c>
      <c r="E7338" s="486">
        <v>2.17</v>
      </c>
    </row>
    <row r="7339" spans="1:5">
      <c r="A7339" s="349">
        <v>1957</v>
      </c>
      <c r="B7339" s="348" t="s">
        <v>4537</v>
      </c>
      <c r="C7339" s="349" t="s">
        <v>65</v>
      </c>
      <c r="D7339" s="483">
        <v>4.3899999999999997</v>
      </c>
      <c r="E7339" s="483">
        <v>4.3899999999999997</v>
      </c>
    </row>
    <row r="7340" spans="1:5">
      <c r="A7340" s="484">
        <v>1958</v>
      </c>
      <c r="B7340" s="485" t="s">
        <v>4538</v>
      </c>
      <c r="C7340" s="484" t="s">
        <v>65</v>
      </c>
      <c r="D7340" s="486">
        <v>7.96</v>
      </c>
      <c r="E7340" s="486">
        <v>7.96</v>
      </c>
    </row>
    <row r="7341" spans="1:5">
      <c r="A7341" s="349">
        <v>1959</v>
      </c>
      <c r="B7341" s="348" t="s">
        <v>4539</v>
      </c>
      <c r="C7341" s="349" t="s">
        <v>65</v>
      </c>
      <c r="D7341" s="483">
        <v>8.7799999999999994</v>
      </c>
      <c r="E7341" s="483">
        <v>8.7799999999999994</v>
      </c>
    </row>
    <row r="7342" spans="1:5">
      <c r="A7342" s="484">
        <v>1925</v>
      </c>
      <c r="B7342" s="485" t="s">
        <v>4540</v>
      </c>
      <c r="C7342" s="484" t="s">
        <v>65</v>
      </c>
      <c r="D7342" s="486">
        <v>20.28</v>
      </c>
      <c r="E7342" s="486">
        <v>20.28</v>
      </c>
    </row>
    <row r="7343" spans="1:5">
      <c r="A7343" s="349">
        <v>1960</v>
      </c>
      <c r="B7343" s="348" t="s">
        <v>4541</v>
      </c>
      <c r="C7343" s="349" t="s">
        <v>65</v>
      </c>
      <c r="D7343" s="483">
        <v>35.01</v>
      </c>
      <c r="E7343" s="483">
        <v>35.01</v>
      </c>
    </row>
    <row r="7344" spans="1:5">
      <c r="A7344" s="484">
        <v>1961</v>
      </c>
      <c r="B7344" s="485" t="s">
        <v>4542</v>
      </c>
      <c r="C7344" s="484" t="s">
        <v>65</v>
      </c>
      <c r="D7344" s="486">
        <v>42.03</v>
      </c>
      <c r="E7344" s="486">
        <v>42.03</v>
      </c>
    </row>
    <row r="7345" spans="1:5">
      <c r="A7345" s="349">
        <v>38426</v>
      </c>
      <c r="B7345" s="348" t="s">
        <v>4543</v>
      </c>
      <c r="C7345" s="349" t="s">
        <v>65</v>
      </c>
      <c r="D7345" s="483">
        <v>22.9</v>
      </c>
      <c r="E7345" s="483">
        <v>22.9</v>
      </c>
    </row>
    <row r="7346" spans="1:5">
      <c r="A7346" s="484">
        <v>38427</v>
      </c>
      <c r="B7346" s="485" t="s">
        <v>4544</v>
      </c>
      <c r="C7346" s="484" t="s">
        <v>65</v>
      </c>
      <c r="D7346" s="486">
        <v>47.01</v>
      </c>
      <c r="E7346" s="486">
        <v>47.01</v>
      </c>
    </row>
    <row r="7347" spans="1:5">
      <c r="A7347" s="349">
        <v>38425</v>
      </c>
      <c r="B7347" s="348" t="s">
        <v>4545</v>
      </c>
      <c r="C7347" s="349" t="s">
        <v>65</v>
      </c>
      <c r="D7347" s="483">
        <v>11.93</v>
      </c>
      <c r="E7347" s="483">
        <v>11.93</v>
      </c>
    </row>
    <row r="7348" spans="1:5">
      <c r="A7348" s="484">
        <v>38423</v>
      </c>
      <c r="B7348" s="485" t="s">
        <v>4546</v>
      </c>
      <c r="C7348" s="484" t="s">
        <v>65</v>
      </c>
      <c r="D7348" s="486">
        <v>39.22</v>
      </c>
      <c r="E7348" s="486">
        <v>39.22</v>
      </c>
    </row>
    <row r="7349" spans="1:5">
      <c r="A7349" s="349">
        <v>38424</v>
      </c>
      <c r="B7349" s="348" t="s">
        <v>4547</v>
      </c>
      <c r="C7349" s="349" t="s">
        <v>65</v>
      </c>
      <c r="D7349" s="483">
        <v>58.76</v>
      </c>
      <c r="E7349" s="483">
        <v>58.76</v>
      </c>
    </row>
    <row r="7350" spans="1:5">
      <c r="A7350" s="484">
        <v>38421</v>
      </c>
      <c r="B7350" s="485" t="s">
        <v>4548</v>
      </c>
      <c r="C7350" s="484" t="s">
        <v>65</v>
      </c>
      <c r="D7350" s="486">
        <v>22.27</v>
      </c>
      <c r="E7350" s="486">
        <v>22.27</v>
      </c>
    </row>
    <row r="7351" spans="1:5">
      <c r="A7351" s="349">
        <v>38422</v>
      </c>
      <c r="B7351" s="348" t="s">
        <v>4549</v>
      </c>
      <c r="C7351" s="349" t="s">
        <v>65</v>
      </c>
      <c r="D7351" s="483">
        <v>25.08</v>
      </c>
      <c r="E7351" s="483">
        <v>25.08</v>
      </c>
    </row>
    <row r="7352" spans="1:5" ht="30">
      <c r="A7352" s="484">
        <v>39866</v>
      </c>
      <c r="B7352" s="485" t="s">
        <v>4550</v>
      </c>
      <c r="C7352" s="484" t="s">
        <v>65</v>
      </c>
      <c r="D7352" s="486">
        <v>8.6</v>
      </c>
      <c r="E7352" s="486">
        <v>8.6</v>
      </c>
    </row>
    <row r="7353" spans="1:5" ht="30">
      <c r="A7353" s="349">
        <v>39867</v>
      </c>
      <c r="B7353" s="348" t="s">
        <v>4551</v>
      </c>
      <c r="C7353" s="349" t="s">
        <v>65</v>
      </c>
      <c r="D7353" s="483">
        <v>19.12</v>
      </c>
      <c r="E7353" s="483">
        <v>19.12</v>
      </c>
    </row>
    <row r="7354" spans="1:5" ht="30">
      <c r="A7354" s="484">
        <v>39868</v>
      </c>
      <c r="B7354" s="485" t="s">
        <v>4552</v>
      </c>
      <c r="C7354" s="484" t="s">
        <v>65</v>
      </c>
      <c r="D7354" s="486">
        <v>34.44</v>
      </c>
      <c r="E7354" s="486">
        <v>34.44</v>
      </c>
    </row>
    <row r="7355" spans="1:5">
      <c r="A7355" s="349">
        <v>37999</v>
      </c>
      <c r="B7355" s="348" t="s">
        <v>4561</v>
      </c>
      <c r="C7355" s="349" t="s">
        <v>65</v>
      </c>
      <c r="D7355" s="483">
        <v>5.27</v>
      </c>
      <c r="E7355" s="483">
        <v>5.27</v>
      </c>
    </row>
    <row r="7356" spans="1:5">
      <c r="A7356" s="484">
        <v>38000</v>
      </c>
      <c r="B7356" s="485" t="s">
        <v>4562</v>
      </c>
      <c r="C7356" s="484" t="s">
        <v>65</v>
      </c>
      <c r="D7356" s="486">
        <v>6.98</v>
      </c>
      <c r="E7356" s="486">
        <v>6.98</v>
      </c>
    </row>
    <row r="7357" spans="1:5">
      <c r="A7357" s="349">
        <v>38129</v>
      </c>
      <c r="B7357" s="348" t="s">
        <v>4566</v>
      </c>
      <c r="C7357" s="349" t="s">
        <v>65</v>
      </c>
      <c r="D7357" s="483">
        <v>2.81</v>
      </c>
      <c r="E7357" s="483">
        <v>2.81</v>
      </c>
    </row>
    <row r="7358" spans="1:5">
      <c r="A7358" s="484">
        <v>38025</v>
      </c>
      <c r="B7358" s="485" t="s">
        <v>4567</v>
      </c>
      <c r="C7358" s="484" t="s">
        <v>65</v>
      </c>
      <c r="D7358" s="486">
        <v>4.59</v>
      </c>
      <c r="E7358" s="486">
        <v>4.59</v>
      </c>
    </row>
    <row r="7359" spans="1:5">
      <c r="A7359" s="349">
        <v>38026</v>
      </c>
      <c r="B7359" s="348" t="s">
        <v>4568</v>
      </c>
      <c r="C7359" s="349" t="s">
        <v>65</v>
      </c>
      <c r="D7359" s="483">
        <v>11.87</v>
      </c>
      <c r="E7359" s="483">
        <v>11.87</v>
      </c>
    </row>
    <row r="7360" spans="1:5">
      <c r="A7360" s="484">
        <v>1932</v>
      </c>
      <c r="B7360" s="485" t="s">
        <v>4606</v>
      </c>
      <c r="C7360" s="484" t="s">
        <v>65</v>
      </c>
      <c r="D7360" s="486">
        <v>6.93</v>
      </c>
      <c r="E7360" s="486">
        <v>6.93</v>
      </c>
    </row>
    <row r="7361" spans="1:5">
      <c r="A7361" s="349">
        <v>1933</v>
      </c>
      <c r="B7361" s="348" t="s">
        <v>4608</v>
      </c>
      <c r="C7361" s="349" t="s">
        <v>65</v>
      </c>
      <c r="D7361" s="483">
        <v>3.05</v>
      </c>
      <c r="E7361" s="483">
        <v>3.05</v>
      </c>
    </row>
    <row r="7362" spans="1:5">
      <c r="A7362" s="484">
        <v>1951</v>
      </c>
      <c r="B7362" s="485" t="s">
        <v>4609</v>
      </c>
      <c r="C7362" s="484" t="s">
        <v>65</v>
      </c>
      <c r="D7362" s="486">
        <v>13.99</v>
      </c>
      <c r="E7362" s="486">
        <v>13.99</v>
      </c>
    </row>
    <row r="7363" spans="1:5">
      <c r="A7363" s="349">
        <v>1966</v>
      </c>
      <c r="B7363" s="348" t="s">
        <v>4607</v>
      </c>
      <c r="C7363" s="349" t="s">
        <v>65</v>
      </c>
      <c r="D7363" s="483">
        <v>14.84</v>
      </c>
      <c r="E7363" s="483">
        <v>14.84</v>
      </c>
    </row>
    <row r="7364" spans="1:5">
      <c r="A7364" s="484">
        <v>1952</v>
      </c>
      <c r="B7364" s="485" t="s">
        <v>4610</v>
      </c>
      <c r="C7364" s="484" t="s">
        <v>65</v>
      </c>
      <c r="D7364" s="486">
        <v>91.22</v>
      </c>
      <c r="E7364" s="486">
        <v>91.22</v>
      </c>
    </row>
    <row r="7365" spans="1:5">
      <c r="A7365" s="349">
        <v>20104</v>
      </c>
      <c r="B7365" s="348" t="s">
        <v>4611</v>
      </c>
      <c r="C7365" s="349" t="s">
        <v>65</v>
      </c>
      <c r="D7365" s="483">
        <v>346.7</v>
      </c>
      <c r="E7365" s="483">
        <v>346.7</v>
      </c>
    </row>
    <row r="7366" spans="1:5">
      <c r="A7366" s="484">
        <v>20105</v>
      </c>
      <c r="B7366" s="485" t="s">
        <v>4612</v>
      </c>
      <c r="C7366" s="484" t="s">
        <v>65</v>
      </c>
      <c r="D7366" s="486">
        <v>540.04</v>
      </c>
      <c r="E7366" s="486">
        <v>540.04</v>
      </c>
    </row>
    <row r="7367" spans="1:5">
      <c r="A7367" s="349">
        <v>1965</v>
      </c>
      <c r="B7367" s="348" t="s">
        <v>4613</v>
      </c>
      <c r="C7367" s="349" t="s">
        <v>65</v>
      </c>
      <c r="D7367" s="483">
        <v>27.23</v>
      </c>
      <c r="E7367" s="483">
        <v>27.23</v>
      </c>
    </row>
    <row r="7368" spans="1:5">
      <c r="A7368" s="484">
        <v>10765</v>
      </c>
      <c r="B7368" s="485" t="s">
        <v>4614</v>
      </c>
      <c r="C7368" s="484" t="s">
        <v>65</v>
      </c>
      <c r="D7368" s="486">
        <v>6.89</v>
      </c>
      <c r="E7368" s="486">
        <v>6.89</v>
      </c>
    </row>
    <row r="7369" spans="1:5">
      <c r="A7369" s="349">
        <v>10767</v>
      </c>
      <c r="B7369" s="348" t="s">
        <v>4615</v>
      </c>
      <c r="C7369" s="349" t="s">
        <v>65</v>
      </c>
      <c r="D7369" s="483">
        <v>18.96</v>
      </c>
      <c r="E7369" s="483">
        <v>18.96</v>
      </c>
    </row>
    <row r="7370" spans="1:5">
      <c r="A7370" s="484">
        <v>1970</v>
      </c>
      <c r="B7370" s="485" t="s">
        <v>4616</v>
      </c>
      <c r="C7370" s="484" t="s">
        <v>65</v>
      </c>
      <c r="D7370" s="486">
        <v>34.1</v>
      </c>
      <c r="E7370" s="486">
        <v>34.1</v>
      </c>
    </row>
    <row r="7371" spans="1:5">
      <c r="A7371" s="349">
        <v>1967</v>
      </c>
      <c r="B7371" s="348" t="s">
        <v>4617</v>
      </c>
      <c r="C7371" s="349" t="s">
        <v>65</v>
      </c>
      <c r="D7371" s="483">
        <v>3.15</v>
      </c>
      <c r="E7371" s="483">
        <v>3.15</v>
      </c>
    </row>
    <row r="7372" spans="1:5">
      <c r="A7372" s="484">
        <v>1968</v>
      </c>
      <c r="B7372" s="485" t="s">
        <v>4618</v>
      </c>
      <c r="C7372" s="484" t="s">
        <v>65</v>
      </c>
      <c r="D7372" s="486">
        <v>6.83</v>
      </c>
      <c r="E7372" s="486">
        <v>6.83</v>
      </c>
    </row>
    <row r="7373" spans="1:5">
      <c r="A7373" s="349">
        <v>1969</v>
      </c>
      <c r="B7373" s="348" t="s">
        <v>4619</v>
      </c>
      <c r="C7373" s="349" t="s">
        <v>65</v>
      </c>
      <c r="D7373" s="483">
        <v>21.33</v>
      </c>
      <c r="E7373" s="483">
        <v>21.33</v>
      </c>
    </row>
    <row r="7374" spans="1:5">
      <c r="A7374" s="484">
        <v>1839</v>
      </c>
      <c r="B7374" s="485" t="s">
        <v>4621</v>
      </c>
      <c r="C7374" s="484" t="s">
        <v>65</v>
      </c>
      <c r="D7374" s="486">
        <v>40.799999999999997</v>
      </c>
      <c r="E7374" s="486">
        <v>40.799999999999997</v>
      </c>
    </row>
    <row r="7375" spans="1:5">
      <c r="A7375" s="349">
        <v>1835</v>
      </c>
      <c r="B7375" s="348" t="s">
        <v>4622</v>
      </c>
      <c r="C7375" s="349" t="s">
        <v>65</v>
      </c>
      <c r="D7375" s="483">
        <v>9.99</v>
      </c>
      <c r="E7375" s="483">
        <v>9.99</v>
      </c>
    </row>
    <row r="7376" spans="1:5">
      <c r="A7376" s="484">
        <v>1823</v>
      </c>
      <c r="B7376" s="485" t="s">
        <v>4623</v>
      </c>
      <c r="C7376" s="484" t="s">
        <v>65</v>
      </c>
      <c r="D7376" s="486">
        <v>23.33</v>
      </c>
      <c r="E7376" s="486">
        <v>23.33</v>
      </c>
    </row>
    <row r="7377" spans="1:5">
      <c r="A7377" s="349">
        <v>1827</v>
      </c>
      <c r="B7377" s="348" t="s">
        <v>4624</v>
      </c>
      <c r="C7377" s="349" t="s">
        <v>65</v>
      </c>
      <c r="D7377" s="483">
        <v>41.97</v>
      </c>
      <c r="E7377" s="483">
        <v>41.97</v>
      </c>
    </row>
    <row r="7378" spans="1:5">
      <c r="A7378" s="484">
        <v>1831</v>
      </c>
      <c r="B7378" s="485" t="s">
        <v>4625</v>
      </c>
      <c r="C7378" s="484" t="s">
        <v>65</v>
      </c>
      <c r="D7378" s="486">
        <v>10.38</v>
      </c>
      <c r="E7378" s="486">
        <v>10.38</v>
      </c>
    </row>
    <row r="7379" spans="1:5">
      <c r="A7379" s="349">
        <v>1825</v>
      </c>
      <c r="B7379" s="348" t="s">
        <v>4626</v>
      </c>
      <c r="C7379" s="349" t="s">
        <v>65</v>
      </c>
      <c r="D7379" s="483">
        <v>23.29</v>
      </c>
      <c r="E7379" s="483">
        <v>23.29</v>
      </c>
    </row>
    <row r="7380" spans="1:5">
      <c r="A7380" s="484">
        <v>1828</v>
      </c>
      <c r="B7380" s="485" t="s">
        <v>4627</v>
      </c>
      <c r="C7380" s="484" t="s">
        <v>65</v>
      </c>
      <c r="D7380" s="486">
        <v>47.55</v>
      </c>
      <c r="E7380" s="486">
        <v>47.55</v>
      </c>
    </row>
    <row r="7381" spans="1:5">
      <c r="A7381" s="349">
        <v>1845</v>
      </c>
      <c r="B7381" s="348" t="s">
        <v>4628</v>
      </c>
      <c r="C7381" s="349" t="s">
        <v>65</v>
      </c>
      <c r="D7381" s="483">
        <v>11.37</v>
      </c>
      <c r="E7381" s="483">
        <v>11.37</v>
      </c>
    </row>
    <row r="7382" spans="1:5">
      <c r="A7382" s="484">
        <v>1824</v>
      </c>
      <c r="B7382" s="485" t="s">
        <v>4629</v>
      </c>
      <c r="C7382" s="484" t="s">
        <v>65</v>
      </c>
      <c r="D7382" s="486">
        <v>26.54</v>
      </c>
      <c r="E7382" s="486">
        <v>26.54</v>
      </c>
    </row>
    <row r="7383" spans="1:5">
      <c r="A7383" s="349">
        <v>1941</v>
      </c>
      <c r="B7383" s="348" t="s">
        <v>4600</v>
      </c>
      <c r="C7383" s="349" t="s">
        <v>65</v>
      </c>
      <c r="D7383" s="483">
        <v>12.15</v>
      </c>
      <c r="E7383" s="483">
        <v>12.15</v>
      </c>
    </row>
    <row r="7384" spans="1:5">
      <c r="A7384" s="484">
        <v>1940</v>
      </c>
      <c r="B7384" s="485" t="s">
        <v>4601</v>
      </c>
      <c r="C7384" s="484" t="s">
        <v>65</v>
      </c>
      <c r="D7384" s="486">
        <v>12.11</v>
      </c>
      <c r="E7384" s="486">
        <v>12.11</v>
      </c>
    </row>
    <row r="7385" spans="1:5">
      <c r="A7385" s="349">
        <v>1937</v>
      </c>
      <c r="B7385" s="348" t="s">
        <v>4603</v>
      </c>
      <c r="C7385" s="349" t="s">
        <v>65</v>
      </c>
      <c r="D7385" s="483">
        <v>2.08</v>
      </c>
      <c r="E7385" s="483">
        <v>2.08</v>
      </c>
    </row>
    <row r="7386" spans="1:5">
      <c r="A7386" s="484">
        <v>1939</v>
      </c>
      <c r="B7386" s="485" t="s">
        <v>4602</v>
      </c>
      <c r="C7386" s="484" t="s">
        <v>65</v>
      </c>
      <c r="D7386" s="486">
        <v>4.7699999999999996</v>
      </c>
      <c r="E7386" s="486">
        <v>4.7699999999999996</v>
      </c>
    </row>
    <row r="7387" spans="1:5">
      <c r="A7387" s="349">
        <v>1942</v>
      </c>
      <c r="B7387" s="348" t="s">
        <v>4604</v>
      </c>
      <c r="C7387" s="349" t="s">
        <v>65</v>
      </c>
      <c r="D7387" s="483">
        <v>23</v>
      </c>
      <c r="E7387" s="483">
        <v>23</v>
      </c>
    </row>
    <row r="7388" spans="1:5">
      <c r="A7388" s="484">
        <v>1938</v>
      </c>
      <c r="B7388" s="485" t="s">
        <v>4605</v>
      </c>
      <c r="C7388" s="484" t="s">
        <v>65</v>
      </c>
      <c r="D7388" s="486">
        <v>2.62</v>
      </c>
      <c r="E7388" s="486">
        <v>2.62</v>
      </c>
    </row>
    <row r="7389" spans="1:5">
      <c r="A7389" s="349">
        <v>1858</v>
      </c>
      <c r="B7389" s="348" t="s">
        <v>4631</v>
      </c>
      <c r="C7389" s="349" t="s">
        <v>65</v>
      </c>
      <c r="D7389" s="483">
        <v>16.600000000000001</v>
      </c>
      <c r="E7389" s="483">
        <v>16.600000000000001</v>
      </c>
    </row>
    <row r="7390" spans="1:5">
      <c r="A7390" s="484">
        <v>1857</v>
      </c>
      <c r="B7390" s="485" t="s">
        <v>4632</v>
      </c>
      <c r="C7390" s="484" t="s">
        <v>65</v>
      </c>
      <c r="D7390" s="486">
        <v>40.61</v>
      </c>
      <c r="E7390" s="486">
        <v>40.61</v>
      </c>
    </row>
    <row r="7391" spans="1:5">
      <c r="A7391" s="349">
        <v>1844</v>
      </c>
      <c r="B7391" s="348" t="s">
        <v>4633</v>
      </c>
      <c r="C7391" s="349" t="s">
        <v>65</v>
      </c>
      <c r="D7391" s="483">
        <v>71.2</v>
      </c>
      <c r="E7391" s="483">
        <v>71.2</v>
      </c>
    </row>
    <row r="7392" spans="1:5">
      <c r="A7392" s="484">
        <v>1836</v>
      </c>
      <c r="B7392" s="485" t="s">
        <v>4634</v>
      </c>
      <c r="C7392" s="484" t="s">
        <v>65</v>
      </c>
      <c r="D7392" s="486">
        <v>156.85</v>
      </c>
      <c r="E7392" s="486">
        <v>156.85</v>
      </c>
    </row>
    <row r="7393" spans="1:5">
      <c r="A7393" s="349">
        <v>1837</v>
      </c>
      <c r="B7393" s="348" t="s">
        <v>4635</v>
      </c>
      <c r="C7393" s="349" t="s">
        <v>65</v>
      </c>
      <c r="D7393" s="483">
        <v>258</v>
      </c>
      <c r="E7393" s="483">
        <v>258</v>
      </c>
    </row>
    <row r="7394" spans="1:5">
      <c r="A7394" s="484">
        <v>1860</v>
      </c>
      <c r="B7394" s="485" t="s">
        <v>4636</v>
      </c>
      <c r="C7394" s="484" t="s">
        <v>65</v>
      </c>
      <c r="D7394" s="486">
        <v>508.09</v>
      </c>
      <c r="E7394" s="486">
        <v>508.09</v>
      </c>
    </row>
    <row r="7395" spans="1:5">
      <c r="A7395" s="349">
        <v>1862</v>
      </c>
      <c r="B7395" s="348" t="s">
        <v>4637</v>
      </c>
      <c r="C7395" s="349" t="s">
        <v>65</v>
      </c>
      <c r="D7395" s="483">
        <v>816.33</v>
      </c>
      <c r="E7395" s="483">
        <v>816.33</v>
      </c>
    </row>
    <row r="7396" spans="1:5">
      <c r="A7396" s="484">
        <v>1863</v>
      </c>
      <c r="B7396" s="485" t="s">
        <v>4638</v>
      </c>
      <c r="C7396" s="484" t="s">
        <v>65</v>
      </c>
      <c r="D7396" s="486">
        <v>15.96</v>
      </c>
      <c r="E7396" s="486">
        <v>15.96</v>
      </c>
    </row>
    <row r="7397" spans="1:5">
      <c r="A7397" s="349">
        <v>1864</v>
      </c>
      <c r="B7397" s="348" t="s">
        <v>4639</v>
      </c>
      <c r="C7397" s="349" t="s">
        <v>65</v>
      </c>
      <c r="D7397" s="483">
        <v>41.8</v>
      </c>
      <c r="E7397" s="483">
        <v>41.8</v>
      </c>
    </row>
    <row r="7398" spans="1:5" ht="57.75" customHeight="1">
      <c r="A7398" s="484">
        <v>1865</v>
      </c>
      <c r="B7398" s="485" t="s">
        <v>4640</v>
      </c>
      <c r="C7398" s="484" t="s">
        <v>65</v>
      </c>
      <c r="D7398" s="486">
        <v>71.7</v>
      </c>
      <c r="E7398" s="486">
        <v>71.7</v>
      </c>
    </row>
    <row r="7399" spans="1:5" ht="57.75" customHeight="1">
      <c r="A7399" s="349">
        <v>1866</v>
      </c>
      <c r="B7399" s="348" t="s">
        <v>4641</v>
      </c>
      <c r="C7399" s="349" t="s">
        <v>65</v>
      </c>
      <c r="D7399" s="483">
        <v>196.16</v>
      </c>
      <c r="E7399" s="483">
        <v>196.16</v>
      </c>
    </row>
    <row r="7400" spans="1:5" ht="57.75" customHeight="1">
      <c r="A7400" s="484">
        <v>1853</v>
      </c>
      <c r="B7400" s="485" t="s">
        <v>4642</v>
      </c>
      <c r="C7400" s="484" t="s">
        <v>65</v>
      </c>
      <c r="D7400" s="486">
        <v>290</v>
      </c>
      <c r="E7400" s="486">
        <v>290</v>
      </c>
    </row>
    <row r="7401" spans="1:5" ht="57.75" customHeight="1">
      <c r="A7401" s="349">
        <v>1867</v>
      </c>
      <c r="B7401" s="348" t="s">
        <v>4643</v>
      </c>
      <c r="C7401" s="349" t="s">
        <v>65</v>
      </c>
      <c r="D7401" s="483">
        <v>642</v>
      </c>
      <c r="E7401" s="483">
        <v>642</v>
      </c>
    </row>
    <row r="7402" spans="1:5" ht="57.75" customHeight="1">
      <c r="A7402" s="484">
        <v>1868</v>
      </c>
      <c r="B7402" s="485" t="s">
        <v>4644</v>
      </c>
      <c r="C7402" s="484" t="s">
        <v>65</v>
      </c>
      <c r="D7402" s="486">
        <v>926.41</v>
      </c>
      <c r="E7402" s="486">
        <v>926.41</v>
      </c>
    </row>
    <row r="7403" spans="1:5" ht="57.75" customHeight="1">
      <c r="A7403" s="349">
        <v>1859</v>
      </c>
      <c r="B7403" s="348" t="s">
        <v>4645</v>
      </c>
      <c r="C7403" s="349" t="s">
        <v>65</v>
      </c>
      <c r="D7403" s="483">
        <v>1212.47</v>
      </c>
      <c r="E7403" s="483">
        <v>1212.47</v>
      </c>
    </row>
    <row r="7404" spans="1:5" ht="57.75" customHeight="1">
      <c r="A7404" s="484">
        <v>20097</v>
      </c>
      <c r="B7404" s="485" t="s">
        <v>19496</v>
      </c>
      <c r="C7404" s="484" t="s">
        <v>65</v>
      </c>
      <c r="D7404" s="486">
        <v>28.22</v>
      </c>
      <c r="E7404" s="486">
        <v>28.22</v>
      </c>
    </row>
    <row r="7405" spans="1:5" ht="57.75" customHeight="1">
      <c r="A7405" s="349">
        <v>20098</v>
      </c>
      <c r="B7405" s="348" t="s">
        <v>19497</v>
      </c>
      <c r="C7405" s="349" t="s">
        <v>65</v>
      </c>
      <c r="D7405" s="483">
        <v>203.47</v>
      </c>
      <c r="E7405" s="483">
        <v>203.47</v>
      </c>
    </row>
    <row r="7406" spans="1:5" ht="57.75" customHeight="1">
      <c r="A7406" s="484">
        <v>20096</v>
      </c>
      <c r="B7406" s="485" t="s">
        <v>19498</v>
      </c>
      <c r="C7406" s="484" t="s">
        <v>65</v>
      </c>
      <c r="D7406" s="486">
        <v>16.27</v>
      </c>
      <c r="E7406" s="486">
        <v>16.27</v>
      </c>
    </row>
    <row r="7407" spans="1:5" ht="57.75" customHeight="1">
      <c r="A7407" s="349">
        <v>1964</v>
      </c>
      <c r="B7407" s="348" t="s">
        <v>4630</v>
      </c>
      <c r="C7407" s="349" t="s">
        <v>65</v>
      </c>
      <c r="D7407" s="483">
        <v>20.75</v>
      </c>
      <c r="E7407" s="483">
        <v>20.75</v>
      </c>
    </row>
    <row r="7408" spans="1:5" ht="57.75" customHeight="1">
      <c r="A7408" s="484">
        <v>1880</v>
      </c>
      <c r="B7408" s="485" t="s">
        <v>19499</v>
      </c>
      <c r="C7408" s="484" t="s">
        <v>65</v>
      </c>
      <c r="D7408" s="486">
        <v>1.56</v>
      </c>
      <c r="E7408" s="486">
        <v>1.56</v>
      </c>
    </row>
    <row r="7409" spans="1:5" ht="57.75" customHeight="1">
      <c r="A7409" s="349">
        <v>39274</v>
      </c>
      <c r="B7409" s="348" t="s">
        <v>19500</v>
      </c>
      <c r="C7409" s="349" t="s">
        <v>65</v>
      </c>
      <c r="D7409" s="483">
        <v>1.21</v>
      </c>
      <c r="E7409" s="483">
        <v>1.21</v>
      </c>
    </row>
    <row r="7410" spans="1:5" ht="57.75" customHeight="1">
      <c r="A7410" s="484">
        <v>2628</v>
      </c>
      <c r="B7410" s="485" t="s">
        <v>19501</v>
      </c>
      <c r="C7410" s="484" t="s">
        <v>65</v>
      </c>
      <c r="D7410" s="486">
        <v>111.91</v>
      </c>
      <c r="E7410" s="486">
        <v>111.91</v>
      </c>
    </row>
    <row r="7411" spans="1:5" ht="57.75" customHeight="1">
      <c r="A7411" s="349">
        <v>2622</v>
      </c>
      <c r="B7411" s="348" t="s">
        <v>19502</v>
      </c>
      <c r="C7411" s="349" t="s">
        <v>65</v>
      </c>
      <c r="D7411" s="483">
        <v>2.65</v>
      </c>
      <c r="E7411" s="483">
        <v>2.65</v>
      </c>
    </row>
    <row r="7412" spans="1:5" ht="57.75" customHeight="1">
      <c r="A7412" s="484">
        <v>2623</v>
      </c>
      <c r="B7412" s="485" t="s">
        <v>19503</v>
      </c>
      <c r="C7412" s="484" t="s">
        <v>65</v>
      </c>
      <c r="D7412" s="486">
        <v>3.2</v>
      </c>
      <c r="E7412" s="486">
        <v>3.2</v>
      </c>
    </row>
    <row r="7413" spans="1:5" ht="57.75" customHeight="1">
      <c r="A7413" s="349">
        <v>2624</v>
      </c>
      <c r="B7413" s="348" t="s">
        <v>19504</v>
      </c>
      <c r="C7413" s="349" t="s">
        <v>65</v>
      </c>
      <c r="D7413" s="483">
        <v>5.08</v>
      </c>
      <c r="E7413" s="483">
        <v>5.08</v>
      </c>
    </row>
    <row r="7414" spans="1:5" ht="57.75" customHeight="1">
      <c r="A7414" s="484">
        <v>2625</v>
      </c>
      <c r="B7414" s="485" t="s">
        <v>19505</v>
      </c>
      <c r="C7414" s="484" t="s">
        <v>65</v>
      </c>
      <c r="D7414" s="486">
        <v>10.73</v>
      </c>
      <c r="E7414" s="486">
        <v>10.73</v>
      </c>
    </row>
    <row r="7415" spans="1:5" ht="57.75" customHeight="1">
      <c r="A7415" s="349">
        <v>2626</v>
      </c>
      <c r="B7415" s="348" t="s">
        <v>19506</v>
      </c>
      <c r="C7415" s="349" t="s">
        <v>65</v>
      </c>
      <c r="D7415" s="483">
        <v>15.73</v>
      </c>
      <c r="E7415" s="483">
        <v>15.73</v>
      </c>
    </row>
    <row r="7416" spans="1:5" ht="57.75" customHeight="1">
      <c r="A7416" s="484">
        <v>2630</v>
      </c>
      <c r="B7416" s="485" t="s">
        <v>19507</v>
      </c>
      <c r="C7416" s="484" t="s">
        <v>65</v>
      </c>
      <c r="D7416" s="486">
        <v>23.93</v>
      </c>
      <c r="E7416" s="486">
        <v>23.93</v>
      </c>
    </row>
    <row r="7417" spans="1:5" ht="57.75" customHeight="1">
      <c r="A7417" s="349">
        <v>2627</v>
      </c>
      <c r="B7417" s="348" t="s">
        <v>19508</v>
      </c>
      <c r="C7417" s="349" t="s">
        <v>65</v>
      </c>
      <c r="D7417" s="483">
        <v>42.15</v>
      </c>
      <c r="E7417" s="483">
        <v>42.15</v>
      </c>
    </row>
    <row r="7418" spans="1:5" ht="30">
      <c r="A7418" s="484">
        <v>2629</v>
      </c>
      <c r="B7418" s="485" t="s">
        <v>19509</v>
      </c>
      <c r="C7418" s="484" t="s">
        <v>65</v>
      </c>
      <c r="D7418" s="486">
        <v>57.01</v>
      </c>
      <c r="E7418" s="486">
        <v>57.01</v>
      </c>
    </row>
    <row r="7419" spans="1:5">
      <c r="A7419" s="349">
        <v>12033</v>
      </c>
      <c r="B7419" s="348" t="s">
        <v>4384</v>
      </c>
      <c r="C7419" s="349" t="s">
        <v>65</v>
      </c>
      <c r="D7419" s="483">
        <v>4.9800000000000004</v>
      </c>
      <c r="E7419" s="483">
        <v>4.9800000000000004</v>
      </c>
    </row>
    <row r="7420" spans="1:5">
      <c r="A7420" s="484">
        <v>40408</v>
      </c>
      <c r="B7420" s="485" t="s">
        <v>4385</v>
      </c>
      <c r="C7420" s="484" t="s">
        <v>65</v>
      </c>
      <c r="D7420" s="486">
        <v>3.27</v>
      </c>
      <c r="E7420" s="486">
        <v>3.27</v>
      </c>
    </row>
    <row r="7421" spans="1:5">
      <c r="A7421" s="349">
        <v>40409</v>
      </c>
      <c r="B7421" s="348" t="s">
        <v>4387</v>
      </c>
      <c r="C7421" s="349" t="s">
        <v>65</v>
      </c>
      <c r="D7421" s="483">
        <v>1.1599999999999999</v>
      </c>
      <c r="E7421" s="483">
        <v>1.1599999999999999</v>
      </c>
    </row>
    <row r="7422" spans="1:5">
      <c r="A7422" s="484">
        <v>39276</v>
      </c>
      <c r="B7422" s="485" t="s">
        <v>4386</v>
      </c>
      <c r="C7422" s="484" t="s">
        <v>65</v>
      </c>
      <c r="D7422" s="486">
        <v>2.95</v>
      </c>
      <c r="E7422" s="486">
        <v>2.95</v>
      </c>
    </row>
    <row r="7423" spans="1:5">
      <c r="A7423" s="349">
        <v>39277</v>
      </c>
      <c r="B7423" s="348" t="s">
        <v>4388</v>
      </c>
      <c r="C7423" s="349" t="s">
        <v>65</v>
      </c>
      <c r="D7423" s="483">
        <v>7.97</v>
      </c>
      <c r="E7423" s="483">
        <v>7.97</v>
      </c>
    </row>
    <row r="7424" spans="1:5">
      <c r="A7424" s="484">
        <v>12034</v>
      </c>
      <c r="B7424" s="485" t="s">
        <v>4389</v>
      </c>
      <c r="C7424" s="484" t="s">
        <v>65</v>
      </c>
      <c r="D7424" s="486">
        <v>2.2599999999999998</v>
      </c>
      <c r="E7424" s="486">
        <v>2.2599999999999998</v>
      </c>
    </row>
    <row r="7425" spans="1:5">
      <c r="A7425" s="349">
        <v>39879</v>
      </c>
      <c r="B7425" s="348" t="s">
        <v>4390</v>
      </c>
      <c r="C7425" s="349" t="s">
        <v>65</v>
      </c>
      <c r="D7425" s="483">
        <v>2.41</v>
      </c>
      <c r="E7425" s="483">
        <v>2.41</v>
      </c>
    </row>
    <row r="7426" spans="1:5">
      <c r="A7426" s="484">
        <v>39880</v>
      </c>
      <c r="B7426" s="485" t="s">
        <v>4391</v>
      </c>
      <c r="C7426" s="484" t="s">
        <v>65</v>
      </c>
      <c r="D7426" s="486">
        <v>5.35</v>
      </c>
      <c r="E7426" s="486">
        <v>5.35</v>
      </c>
    </row>
    <row r="7427" spans="1:5">
      <c r="A7427" s="349">
        <v>39881</v>
      </c>
      <c r="B7427" s="348" t="s">
        <v>4392</v>
      </c>
      <c r="C7427" s="349" t="s">
        <v>65</v>
      </c>
      <c r="D7427" s="483">
        <v>8.59</v>
      </c>
      <c r="E7427" s="483">
        <v>8.59</v>
      </c>
    </row>
    <row r="7428" spans="1:5">
      <c r="A7428" s="484">
        <v>39882</v>
      </c>
      <c r="B7428" s="485" t="s">
        <v>4393</v>
      </c>
      <c r="C7428" s="484" t="s">
        <v>65</v>
      </c>
      <c r="D7428" s="486">
        <v>22.63</v>
      </c>
      <c r="E7428" s="486">
        <v>22.63</v>
      </c>
    </row>
    <row r="7429" spans="1:5">
      <c r="A7429" s="349">
        <v>39883</v>
      </c>
      <c r="B7429" s="348" t="s">
        <v>4394</v>
      </c>
      <c r="C7429" s="349" t="s">
        <v>65</v>
      </c>
      <c r="D7429" s="483">
        <v>36.14</v>
      </c>
      <c r="E7429" s="483">
        <v>36.14</v>
      </c>
    </row>
    <row r="7430" spans="1:5">
      <c r="A7430" s="484">
        <v>39884</v>
      </c>
      <c r="B7430" s="485" t="s">
        <v>4395</v>
      </c>
      <c r="C7430" s="484" t="s">
        <v>65</v>
      </c>
      <c r="D7430" s="486">
        <v>53.68</v>
      </c>
      <c r="E7430" s="486">
        <v>53.68</v>
      </c>
    </row>
    <row r="7431" spans="1:5">
      <c r="A7431" s="349">
        <v>39885</v>
      </c>
      <c r="B7431" s="348" t="s">
        <v>4396</v>
      </c>
      <c r="C7431" s="349" t="s">
        <v>65</v>
      </c>
      <c r="D7431" s="483">
        <v>127.58</v>
      </c>
      <c r="E7431" s="483">
        <v>127.58</v>
      </c>
    </row>
    <row r="7432" spans="1:5">
      <c r="A7432" s="484">
        <v>1777</v>
      </c>
      <c r="B7432" s="485" t="s">
        <v>4397</v>
      </c>
      <c r="C7432" s="484" t="s">
        <v>65</v>
      </c>
      <c r="D7432" s="486">
        <v>40.82</v>
      </c>
      <c r="E7432" s="486">
        <v>40.82</v>
      </c>
    </row>
    <row r="7433" spans="1:5">
      <c r="A7433" s="349">
        <v>1819</v>
      </c>
      <c r="B7433" s="348" t="s">
        <v>4398</v>
      </c>
      <c r="C7433" s="349" t="s">
        <v>65</v>
      </c>
      <c r="D7433" s="483">
        <v>29.7</v>
      </c>
      <c r="E7433" s="483">
        <v>29.7</v>
      </c>
    </row>
    <row r="7434" spans="1:5">
      <c r="A7434" s="484">
        <v>1775</v>
      </c>
      <c r="B7434" s="485" t="s">
        <v>4400</v>
      </c>
      <c r="C7434" s="484" t="s">
        <v>65</v>
      </c>
      <c r="D7434" s="486">
        <v>8.8800000000000008</v>
      </c>
      <c r="E7434" s="486">
        <v>8.8800000000000008</v>
      </c>
    </row>
    <row r="7435" spans="1:5">
      <c r="A7435" s="349">
        <v>1776</v>
      </c>
      <c r="B7435" s="348" t="s">
        <v>4399</v>
      </c>
      <c r="C7435" s="349" t="s">
        <v>65</v>
      </c>
      <c r="D7435" s="483">
        <v>24.16</v>
      </c>
      <c r="E7435" s="483">
        <v>24.16</v>
      </c>
    </row>
    <row r="7436" spans="1:5">
      <c r="A7436" s="484">
        <v>1778</v>
      </c>
      <c r="B7436" s="485" t="s">
        <v>4401</v>
      </c>
      <c r="C7436" s="484" t="s">
        <v>65</v>
      </c>
      <c r="D7436" s="486">
        <v>98.81</v>
      </c>
      <c r="E7436" s="486">
        <v>98.81</v>
      </c>
    </row>
    <row r="7437" spans="1:5">
      <c r="A7437" s="349">
        <v>1818</v>
      </c>
      <c r="B7437" s="348" t="s">
        <v>4402</v>
      </c>
      <c r="C7437" s="349" t="s">
        <v>65</v>
      </c>
      <c r="D7437" s="483">
        <v>65.59</v>
      </c>
      <c r="E7437" s="483">
        <v>65.59</v>
      </c>
    </row>
    <row r="7438" spans="1:5">
      <c r="A7438" s="484">
        <v>1820</v>
      </c>
      <c r="B7438" s="485" t="s">
        <v>4404</v>
      </c>
      <c r="C7438" s="484" t="s">
        <v>65</v>
      </c>
      <c r="D7438" s="486">
        <v>12.82</v>
      </c>
      <c r="E7438" s="486">
        <v>12.82</v>
      </c>
    </row>
    <row r="7439" spans="1:5">
      <c r="A7439" s="349">
        <v>1779</v>
      </c>
      <c r="B7439" s="348" t="s">
        <v>4403</v>
      </c>
      <c r="C7439" s="349" t="s">
        <v>65</v>
      </c>
      <c r="D7439" s="483">
        <v>143.71</v>
      </c>
      <c r="E7439" s="483">
        <v>143.71</v>
      </c>
    </row>
    <row r="7440" spans="1:5">
      <c r="A7440" s="484">
        <v>1780</v>
      </c>
      <c r="B7440" s="485" t="s">
        <v>4405</v>
      </c>
      <c r="C7440" s="484" t="s">
        <v>65</v>
      </c>
      <c r="D7440" s="486">
        <v>296.27</v>
      </c>
      <c r="E7440" s="486">
        <v>296.27</v>
      </c>
    </row>
    <row r="7441" spans="1:5">
      <c r="A7441" s="349">
        <v>1783</v>
      </c>
      <c r="B7441" s="348" t="s">
        <v>4406</v>
      </c>
      <c r="C7441" s="349" t="s">
        <v>65</v>
      </c>
      <c r="D7441" s="483">
        <v>31.32</v>
      </c>
      <c r="E7441" s="483">
        <v>31.32</v>
      </c>
    </row>
    <row r="7442" spans="1:5">
      <c r="A7442" s="484">
        <v>1782</v>
      </c>
      <c r="B7442" s="485" t="s">
        <v>4407</v>
      </c>
      <c r="C7442" s="484" t="s">
        <v>65</v>
      </c>
      <c r="D7442" s="486">
        <v>24.76</v>
      </c>
      <c r="E7442" s="486">
        <v>24.76</v>
      </c>
    </row>
    <row r="7443" spans="1:5">
      <c r="A7443" s="349">
        <v>1817</v>
      </c>
      <c r="B7443" s="348" t="s">
        <v>4409</v>
      </c>
      <c r="C7443" s="349" t="s">
        <v>65</v>
      </c>
      <c r="D7443" s="483">
        <v>7.38</v>
      </c>
      <c r="E7443" s="483">
        <v>7.38</v>
      </c>
    </row>
    <row r="7444" spans="1:5">
      <c r="A7444" s="484">
        <v>1781</v>
      </c>
      <c r="B7444" s="485" t="s">
        <v>4408</v>
      </c>
      <c r="C7444" s="484" t="s">
        <v>65</v>
      </c>
      <c r="D7444" s="486">
        <v>16.13</v>
      </c>
      <c r="E7444" s="486">
        <v>16.13</v>
      </c>
    </row>
    <row r="7445" spans="1:5">
      <c r="A7445" s="349">
        <v>1784</v>
      </c>
      <c r="B7445" s="348" t="s">
        <v>4410</v>
      </c>
      <c r="C7445" s="349" t="s">
        <v>65</v>
      </c>
      <c r="D7445" s="483">
        <v>88.45</v>
      </c>
      <c r="E7445" s="483">
        <v>88.45</v>
      </c>
    </row>
    <row r="7446" spans="1:5">
      <c r="A7446" s="484">
        <v>1810</v>
      </c>
      <c r="B7446" s="485" t="s">
        <v>4411</v>
      </c>
      <c r="C7446" s="484" t="s">
        <v>65</v>
      </c>
      <c r="D7446" s="486">
        <v>49.06</v>
      </c>
      <c r="E7446" s="486">
        <v>49.06</v>
      </c>
    </row>
    <row r="7447" spans="1:5">
      <c r="A7447" s="349">
        <v>1811</v>
      </c>
      <c r="B7447" s="348" t="s">
        <v>4413</v>
      </c>
      <c r="C7447" s="349" t="s">
        <v>65</v>
      </c>
      <c r="D7447" s="483">
        <v>10.61</v>
      </c>
      <c r="E7447" s="483">
        <v>10.61</v>
      </c>
    </row>
    <row r="7448" spans="1:5">
      <c r="A7448" s="484">
        <v>1812</v>
      </c>
      <c r="B7448" s="485" t="s">
        <v>4412</v>
      </c>
      <c r="C7448" s="484" t="s">
        <v>65</v>
      </c>
      <c r="D7448" s="486">
        <v>123.85</v>
      </c>
      <c r="E7448" s="486">
        <v>123.85</v>
      </c>
    </row>
    <row r="7449" spans="1:5" ht="30">
      <c r="A7449" s="349">
        <v>2615</v>
      </c>
      <c r="B7449" s="348" t="s">
        <v>19510</v>
      </c>
      <c r="C7449" s="349" t="s">
        <v>65</v>
      </c>
      <c r="D7449" s="483">
        <v>74.33</v>
      </c>
      <c r="E7449" s="483">
        <v>74.33</v>
      </c>
    </row>
    <row r="7450" spans="1:5" ht="30">
      <c r="A7450" s="484">
        <v>2635</v>
      </c>
      <c r="B7450" s="485" t="s">
        <v>19511</v>
      </c>
      <c r="C7450" s="484" t="s">
        <v>65</v>
      </c>
      <c r="D7450" s="486">
        <v>2.2200000000000002</v>
      </c>
      <c r="E7450" s="486">
        <v>2.2200000000000002</v>
      </c>
    </row>
    <row r="7451" spans="1:5" ht="30">
      <c r="A7451" s="349">
        <v>2609</v>
      </c>
      <c r="B7451" s="348" t="s">
        <v>19512</v>
      </c>
      <c r="C7451" s="349" t="s">
        <v>65</v>
      </c>
      <c r="D7451" s="483">
        <v>2.4900000000000002</v>
      </c>
      <c r="E7451" s="483">
        <v>2.4900000000000002</v>
      </c>
    </row>
    <row r="7452" spans="1:5" ht="30">
      <c r="A7452" s="484">
        <v>2634</v>
      </c>
      <c r="B7452" s="485" t="s">
        <v>19513</v>
      </c>
      <c r="C7452" s="484" t="s">
        <v>65</v>
      </c>
      <c r="D7452" s="486">
        <v>3.28</v>
      </c>
      <c r="E7452" s="486">
        <v>3.28</v>
      </c>
    </row>
    <row r="7453" spans="1:5" ht="30">
      <c r="A7453" s="349">
        <v>2611</v>
      </c>
      <c r="B7453" s="348" t="s">
        <v>19514</v>
      </c>
      <c r="C7453" s="349" t="s">
        <v>65</v>
      </c>
      <c r="D7453" s="483">
        <v>9.24</v>
      </c>
      <c r="E7453" s="483">
        <v>9.24</v>
      </c>
    </row>
    <row r="7454" spans="1:5" ht="30">
      <c r="A7454" s="484">
        <v>2612</v>
      </c>
      <c r="B7454" s="485" t="s">
        <v>19515</v>
      </c>
      <c r="C7454" s="484" t="s">
        <v>65</v>
      </c>
      <c r="D7454" s="486">
        <v>13.44</v>
      </c>
      <c r="E7454" s="486">
        <v>13.44</v>
      </c>
    </row>
    <row r="7455" spans="1:5" ht="30">
      <c r="A7455" s="349">
        <v>2613</v>
      </c>
      <c r="B7455" s="348" t="s">
        <v>19516</v>
      </c>
      <c r="C7455" s="349" t="s">
        <v>65</v>
      </c>
      <c r="D7455" s="483">
        <v>32.450000000000003</v>
      </c>
      <c r="E7455" s="483">
        <v>32.450000000000003</v>
      </c>
    </row>
    <row r="7456" spans="1:5" ht="30">
      <c r="A7456" s="484">
        <v>2614</v>
      </c>
      <c r="B7456" s="485" t="s">
        <v>19517</v>
      </c>
      <c r="C7456" s="484" t="s">
        <v>65</v>
      </c>
      <c r="D7456" s="486">
        <v>45.12</v>
      </c>
      <c r="E7456" s="486">
        <v>45.12</v>
      </c>
    </row>
    <row r="7457" spans="1:5">
      <c r="A7457" s="349">
        <v>34359</v>
      </c>
      <c r="B7457" s="348" t="s">
        <v>4427</v>
      </c>
      <c r="C7457" s="349" t="s">
        <v>65</v>
      </c>
      <c r="D7457" s="483">
        <v>8.6</v>
      </c>
      <c r="E7457" s="483">
        <v>8.6</v>
      </c>
    </row>
    <row r="7458" spans="1:5">
      <c r="A7458" s="484">
        <v>1789</v>
      </c>
      <c r="B7458" s="485" t="s">
        <v>11305</v>
      </c>
      <c r="C7458" s="484" t="s">
        <v>65</v>
      </c>
      <c r="D7458" s="486">
        <v>39.18</v>
      </c>
      <c r="E7458" s="486">
        <v>39.18</v>
      </c>
    </row>
    <row r="7459" spans="1:5">
      <c r="A7459" s="349">
        <v>1788</v>
      </c>
      <c r="B7459" s="348" t="s">
        <v>4428</v>
      </c>
      <c r="C7459" s="349" t="s">
        <v>65</v>
      </c>
      <c r="D7459" s="483">
        <v>31.4</v>
      </c>
      <c r="E7459" s="483">
        <v>31.4</v>
      </c>
    </row>
    <row r="7460" spans="1:5">
      <c r="A7460" s="484">
        <v>1786</v>
      </c>
      <c r="B7460" s="485" t="s">
        <v>4430</v>
      </c>
      <c r="C7460" s="484" t="s">
        <v>65</v>
      </c>
      <c r="D7460" s="486">
        <v>7.8</v>
      </c>
      <c r="E7460" s="486">
        <v>7.8</v>
      </c>
    </row>
    <row r="7461" spans="1:5">
      <c r="A7461" s="349">
        <v>1787</v>
      </c>
      <c r="B7461" s="348" t="s">
        <v>4429</v>
      </c>
      <c r="C7461" s="349" t="s">
        <v>65</v>
      </c>
      <c r="D7461" s="483">
        <v>18.670000000000002</v>
      </c>
      <c r="E7461" s="483">
        <v>18.670000000000002</v>
      </c>
    </row>
    <row r="7462" spans="1:5">
      <c r="A7462" s="484">
        <v>1791</v>
      </c>
      <c r="B7462" s="485" t="s">
        <v>4431</v>
      </c>
      <c r="C7462" s="484" t="s">
        <v>65</v>
      </c>
      <c r="D7462" s="486">
        <v>113.23</v>
      </c>
      <c r="E7462" s="486">
        <v>113.23</v>
      </c>
    </row>
    <row r="7463" spans="1:5">
      <c r="A7463" s="349">
        <v>1790</v>
      </c>
      <c r="B7463" s="348" t="s">
        <v>4432</v>
      </c>
      <c r="C7463" s="349" t="s">
        <v>65</v>
      </c>
      <c r="D7463" s="483">
        <v>65.25</v>
      </c>
      <c r="E7463" s="483">
        <v>65.25</v>
      </c>
    </row>
    <row r="7464" spans="1:5">
      <c r="A7464" s="484">
        <v>1813</v>
      </c>
      <c r="B7464" s="485" t="s">
        <v>4434</v>
      </c>
      <c r="C7464" s="484" t="s">
        <v>65</v>
      </c>
      <c r="D7464" s="486">
        <v>12.37</v>
      </c>
      <c r="E7464" s="486">
        <v>12.37</v>
      </c>
    </row>
    <row r="7465" spans="1:5">
      <c r="A7465" s="349">
        <v>1792</v>
      </c>
      <c r="B7465" s="348" t="s">
        <v>4433</v>
      </c>
      <c r="C7465" s="349" t="s">
        <v>65</v>
      </c>
      <c r="D7465" s="483">
        <v>152.85</v>
      </c>
      <c r="E7465" s="483">
        <v>152.85</v>
      </c>
    </row>
    <row r="7466" spans="1:5">
      <c r="A7466" s="484">
        <v>1793</v>
      </c>
      <c r="B7466" s="485" t="s">
        <v>4435</v>
      </c>
      <c r="C7466" s="484" t="s">
        <v>65</v>
      </c>
      <c r="D7466" s="486">
        <v>308.86</v>
      </c>
      <c r="E7466" s="486">
        <v>308.86</v>
      </c>
    </row>
    <row r="7467" spans="1:5">
      <c r="A7467" s="349">
        <v>1809</v>
      </c>
      <c r="B7467" s="348" t="s">
        <v>4446</v>
      </c>
      <c r="C7467" s="349" t="s">
        <v>65</v>
      </c>
      <c r="D7467" s="483">
        <v>36.729999999999997</v>
      </c>
      <c r="E7467" s="483">
        <v>36.729999999999997</v>
      </c>
    </row>
    <row r="7468" spans="1:5">
      <c r="A7468" s="484">
        <v>1814</v>
      </c>
      <c r="B7468" s="485" t="s">
        <v>4447</v>
      </c>
      <c r="C7468" s="484" t="s">
        <v>65</v>
      </c>
      <c r="D7468" s="486">
        <v>30.17</v>
      </c>
      <c r="E7468" s="486">
        <v>30.17</v>
      </c>
    </row>
    <row r="7469" spans="1:5">
      <c r="A7469" s="349">
        <v>1803</v>
      </c>
      <c r="B7469" s="348" t="s">
        <v>4449</v>
      </c>
      <c r="C7469" s="349" t="s">
        <v>65</v>
      </c>
      <c r="D7469" s="483">
        <v>7.62</v>
      </c>
      <c r="E7469" s="483">
        <v>7.62</v>
      </c>
    </row>
    <row r="7470" spans="1:5">
      <c r="A7470" s="484">
        <v>1805</v>
      </c>
      <c r="B7470" s="485" t="s">
        <v>4448</v>
      </c>
      <c r="C7470" s="484" t="s">
        <v>65</v>
      </c>
      <c r="D7470" s="486">
        <v>17.510000000000002</v>
      </c>
      <c r="E7470" s="486">
        <v>17.510000000000002</v>
      </c>
    </row>
    <row r="7471" spans="1:5">
      <c r="A7471" s="349">
        <v>1821</v>
      </c>
      <c r="B7471" s="348" t="s">
        <v>4450</v>
      </c>
      <c r="C7471" s="349" t="s">
        <v>65</v>
      </c>
      <c r="D7471" s="483">
        <v>103.46</v>
      </c>
      <c r="E7471" s="483">
        <v>103.46</v>
      </c>
    </row>
    <row r="7472" spans="1:5">
      <c r="A7472" s="484">
        <v>1806</v>
      </c>
      <c r="B7472" s="485" t="s">
        <v>4451</v>
      </c>
      <c r="C7472" s="484" t="s">
        <v>65</v>
      </c>
      <c r="D7472" s="486">
        <v>61.58</v>
      </c>
      <c r="E7472" s="486">
        <v>61.58</v>
      </c>
    </row>
    <row r="7473" spans="1:5">
      <c r="A7473" s="349">
        <v>1804</v>
      </c>
      <c r="B7473" s="348" t="s">
        <v>4453</v>
      </c>
      <c r="C7473" s="349" t="s">
        <v>65</v>
      </c>
      <c r="D7473" s="483">
        <v>10.85</v>
      </c>
      <c r="E7473" s="483">
        <v>10.85</v>
      </c>
    </row>
    <row r="7474" spans="1:5">
      <c r="A7474" s="484">
        <v>1807</v>
      </c>
      <c r="B7474" s="485" t="s">
        <v>4452</v>
      </c>
      <c r="C7474" s="484" t="s">
        <v>65</v>
      </c>
      <c r="D7474" s="486">
        <v>147.96</v>
      </c>
      <c r="E7474" s="486">
        <v>147.96</v>
      </c>
    </row>
    <row r="7475" spans="1:5">
      <c r="A7475" s="349">
        <v>1808</v>
      </c>
      <c r="B7475" s="348" t="s">
        <v>4454</v>
      </c>
      <c r="C7475" s="349" t="s">
        <v>65</v>
      </c>
      <c r="D7475" s="483">
        <v>296.64</v>
      </c>
      <c r="E7475" s="483">
        <v>296.64</v>
      </c>
    </row>
    <row r="7476" spans="1:5">
      <c r="A7476" s="484">
        <v>1797</v>
      </c>
      <c r="B7476" s="485" t="s">
        <v>4436</v>
      </c>
      <c r="C7476" s="484" t="s">
        <v>65</v>
      </c>
      <c r="D7476" s="486">
        <v>44.49</v>
      </c>
      <c r="E7476" s="486">
        <v>44.49</v>
      </c>
    </row>
    <row r="7477" spans="1:5">
      <c r="A7477" s="349">
        <v>1796</v>
      </c>
      <c r="B7477" s="348" t="s">
        <v>4437</v>
      </c>
      <c r="C7477" s="349" t="s">
        <v>65</v>
      </c>
      <c r="D7477" s="483">
        <v>34.119999999999997</v>
      </c>
      <c r="E7477" s="483">
        <v>34.119999999999997</v>
      </c>
    </row>
    <row r="7478" spans="1:5">
      <c r="A7478" s="484">
        <v>1794</v>
      </c>
      <c r="B7478" s="485" t="s">
        <v>4439</v>
      </c>
      <c r="C7478" s="484" t="s">
        <v>65</v>
      </c>
      <c r="D7478" s="486">
        <v>8.14</v>
      </c>
      <c r="E7478" s="486">
        <v>8.14</v>
      </c>
    </row>
    <row r="7479" spans="1:5">
      <c r="A7479" s="349">
        <v>1816</v>
      </c>
      <c r="B7479" s="348" t="s">
        <v>4438</v>
      </c>
      <c r="C7479" s="349" t="s">
        <v>65</v>
      </c>
      <c r="D7479" s="483">
        <v>18.37</v>
      </c>
      <c r="E7479" s="483">
        <v>18.37</v>
      </c>
    </row>
    <row r="7480" spans="1:5">
      <c r="A7480" s="484">
        <v>1815</v>
      </c>
      <c r="B7480" s="485" t="s">
        <v>4440</v>
      </c>
      <c r="C7480" s="484" t="s">
        <v>65</v>
      </c>
      <c r="D7480" s="486">
        <v>141.06</v>
      </c>
      <c r="E7480" s="486">
        <v>141.06</v>
      </c>
    </row>
    <row r="7481" spans="1:5">
      <c r="A7481" s="349">
        <v>1798</v>
      </c>
      <c r="B7481" s="348" t="s">
        <v>4441</v>
      </c>
      <c r="C7481" s="349" t="s">
        <v>65</v>
      </c>
      <c r="D7481" s="483">
        <v>63.12</v>
      </c>
      <c r="E7481" s="483">
        <v>63.12</v>
      </c>
    </row>
    <row r="7482" spans="1:5">
      <c r="A7482" s="484">
        <v>1795</v>
      </c>
      <c r="B7482" s="485" t="s">
        <v>4443</v>
      </c>
      <c r="C7482" s="484" t="s">
        <v>65</v>
      </c>
      <c r="D7482" s="486">
        <v>11.28</v>
      </c>
      <c r="E7482" s="486">
        <v>11.28</v>
      </c>
    </row>
    <row r="7483" spans="1:5">
      <c r="A7483" s="349">
        <v>1799</v>
      </c>
      <c r="B7483" s="348" t="s">
        <v>4442</v>
      </c>
      <c r="C7483" s="349" t="s">
        <v>65</v>
      </c>
      <c r="D7483" s="483">
        <v>183.72</v>
      </c>
      <c r="E7483" s="483">
        <v>183.72</v>
      </c>
    </row>
    <row r="7484" spans="1:5" ht="43.5" customHeight="1">
      <c r="A7484" s="484">
        <v>1800</v>
      </c>
      <c r="B7484" s="485" t="s">
        <v>4444</v>
      </c>
      <c r="C7484" s="484" t="s">
        <v>65</v>
      </c>
      <c r="D7484" s="486">
        <v>350.75</v>
      </c>
      <c r="E7484" s="486">
        <v>350.75</v>
      </c>
    </row>
    <row r="7485" spans="1:5" ht="43.5" customHeight="1">
      <c r="A7485" s="349">
        <v>1802</v>
      </c>
      <c r="B7485" s="348" t="s">
        <v>4445</v>
      </c>
      <c r="C7485" s="349" t="s">
        <v>65</v>
      </c>
      <c r="D7485" s="483">
        <v>877.38</v>
      </c>
      <c r="E7485" s="483">
        <v>877.38</v>
      </c>
    </row>
    <row r="7486" spans="1:5">
      <c r="A7486" s="484">
        <v>39271</v>
      </c>
      <c r="B7486" s="485" t="s">
        <v>4480</v>
      </c>
      <c r="C7486" s="484" t="s">
        <v>65</v>
      </c>
      <c r="D7486" s="486">
        <v>1</v>
      </c>
      <c r="E7486" s="486">
        <v>1</v>
      </c>
    </row>
    <row r="7487" spans="1:5">
      <c r="A7487" s="349">
        <v>39273</v>
      </c>
      <c r="B7487" s="348" t="s">
        <v>4479</v>
      </c>
      <c r="C7487" s="349" t="s">
        <v>65</v>
      </c>
      <c r="D7487" s="483">
        <v>1.7</v>
      </c>
      <c r="E7487" s="483">
        <v>1.7</v>
      </c>
    </row>
    <row r="7488" spans="1:5">
      <c r="A7488" s="484">
        <v>39272</v>
      </c>
      <c r="B7488" s="485" t="s">
        <v>4481</v>
      </c>
      <c r="C7488" s="484" t="s">
        <v>65</v>
      </c>
      <c r="D7488" s="486">
        <v>1.23</v>
      </c>
      <c r="E7488" s="486">
        <v>1.23</v>
      </c>
    </row>
    <row r="7489" spans="1:5">
      <c r="A7489" s="349">
        <v>1875</v>
      </c>
      <c r="B7489" s="348" t="s">
        <v>4482</v>
      </c>
      <c r="C7489" s="349" t="s">
        <v>65</v>
      </c>
      <c r="D7489" s="483">
        <v>2.72</v>
      </c>
      <c r="E7489" s="483">
        <v>2.72</v>
      </c>
    </row>
    <row r="7490" spans="1:5">
      <c r="A7490" s="484">
        <v>1874</v>
      </c>
      <c r="B7490" s="485" t="s">
        <v>4483</v>
      </c>
      <c r="C7490" s="484" t="s">
        <v>65</v>
      </c>
      <c r="D7490" s="486">
        <v>2.25</v>
      </c>
      <c r="E7490" s="486">
        <v>2.25</v>
      </c>
    </row>
    <row r="7491" spans="1:5">
      <c r="A7491" s="349">
        <v>1870</v>
      </c>
      <c r="B7491" s="348" t="s">
        <v>4485</v>
      </c>
      <c r="C7491" s="349" t="s">
        <v>65</v>
      </c>
      <c r="D7491" s="483">
        <v>1.3</v>
      </c>
      <c r="E7491" s="483">
        <v>1.3</v>
      </c>
    </row>
    <row r="7492" spans="1:5">
      <c r="A7492" s="484">
        <v>1884</v>
      </c>
      <c r="B7492" s="485" t="s">
        <v>4484</v>
      </c>
      <c r="C7492" s="484" t="s">
        <v>65</v>
      </c>
      <c r="D7492" s="486">
        <v>1.99</v>
      </c>
      <c r="E7492" s="486">
        <v>1.99</v>
      </c>
    </row>
    <row r="7493" spans="1:5">
      <c r="A7493" s="349">
        <v>1887</v>
      </c>
      <c r="B7493" s="348" t="s">
        <v>4486</v>
      </c>
      <c r="C7493" s="349" t="s">
        <v>65</v>
      </c>
      <c r="D7493" s="483">
        <v>11.3</v>
      </c>
      <c r="E7493" s="483">
        <v>11.3</v>
      </c>
    </row>
    <row r="7494" spans="1:5">
      <c r="A7494" s="484">
        <v>1876</v>
      </c>
      <c r="B7494" s="485" t="s">
        <v>4487</v>
      </c>
      <c r="C7494" s="484" t="s">
        <v>65</v>
      </c>
      <c r="D7494" s="486">
        <v>4.43</v>
      </c>
      <c r="E7494" s="486">
        <v>4.43</v>
      </c>
    </row>
    <row r="7495" spans="1:5">
      <c r="A7495" s="349">
        <v>1879</v>
      </c>
      <c r="B7495" s="348" t="s">
        <v>4489</v>
      </c>
      <c r="C7495" s="349" t="s">
        <v>65</v>
      </c>
      <c r="D7495" s="483">
        <v>1.31</v>
      </c>
      <c r="E7495" s="483">
        <v>1.31</v>
      </c>
    </row>
    <row r="7496" spans="1:5">
      <c r="A7496" s="484">
        <v>1877</v>
      </c>
      <c r="B7496" s="485" t="s">
        <v>4488</v>
      </c>
      <c r="C7496" s="484" t="s">
        <v>65</v>
      </c>
      <c r="D7496" s="486">
        <v>11.31</v>
      </c>
      <c r="E7496" s="486">
        <v>11.31</v>
      </c>
    </row>
    <row r="7497" spans="1:5">
      <c r="A7497" s="349">
        <v>1878</v>
      </c>
      <c r="B7497" s="348" t="s">
        <v>4490</v>
      </c>
      <c r="C7497" s="349" t="s">
        <v>65</v>
      </c>
      <c r="D7497" s="483">
        <v>22.74</v>
      </c>
      <c r="E7497" s="483">
        <v>22.74</v>
      </c>
    </row>
    <row r="7498" spans="1:5" ht="30">
      <c r="A7498" s="484">
        <v>2621</v>
      </c>
      <c r="B7498" s="485" t="s">
        <v>19518</v>
      </c>
      <c r="C7498" s="484" t="s">
        <v>65</v>
      </c>
      <c r="D7498" s="486">
        <v>79.069999999999993</v>
      </c>
      <c r="E7498" s="486">
        <v>79.069999999999993</v>
      </c>
    </row>
    <row r="7499" spans="1:5" ht="30">
      <c r="A7499" s="349">
        <v>2616</v>
      </c>
      <c r="B7499" s="348" t="s">
        <v>19519</v>
      </c>
      <c r="C7499" s="349" t="s">
        <v>65</v>
      </c>
      <c r="D7499" s="483">
        <v>2.23</v>
      </c>
      <c r="E7499" s="483">
        <v>2.23</v>
      </c>
    </row>
    <row r="7500" spans="1:5" ht="30">
      <c r="A7500" s="484">
        <v>2633</v>
      </c>
      <c r="B7500" s="485" t="s">
        <v>19520</v>
      </c>
      <c r="C7500" s="484" t="s">
        <v>65</v>
      </c>
      <c r="D7500" s="486">
        <v>2.5299999999999998</v>
      </c>
      <c r="E7500" s="486">
        <v>2.5299999999999998</v>
      </c>
    </row>
    <row r="7501" spans="1:5" ht="30">
      <c r="A7501" s="349">
        <v>2617</v>
      </c>
      <c r="B7501" s="348" t="s">
        <v>19521</v>
      </c>
      <c r="C7501" s="349" t="s">
        <v>65</v>
      </c>
      <c r="D7501" s="483">
        <v>3.44</v>
      </c>
      <c r="E7501" s="483">
        <v>3.44</v>
      </c>
    </row>
    <row r="7502" spans="1:5" ht="30">
      <c r="A7502" s="484">
        <v>2618</v>
      </c>
      <c r="B7502" s="485" t="s">
        <v>19522</v>
      </c>
      <c r="C7502" s="484" t="s">
        <v>65</v>
      </c>
      <c r="D7502" s="486">
        <v>7.83</v>
      </c>
      <c r="E7502" s="486">
        <v>7.83</v>
      </c>
    </row>
    <row r="7503" spans="1:5" ht="30">
      <c r="A7503" s="349">
        <v>2632</v>
      </c>
      <c r="B7503" s="348" t="s">
        <v>19523</v>
      </c>
      <c r="C7503" s="349" t="s">
        <v>65</v>
      </c>
      <c r="D7503" s="483">
        <v>9.5500000000000007</v>
      </c>
      <c r="E7503" s="483">
        <v>9.5500000000000007</v>
      </c>
    </row>
    <row r="7504" spans="1:5" ht="30">
      <c r="A7504" s="484">
        <v>2631</v>
      </c>
      <c r="B7504" s="485" t="s">
        <v>19524</v>
      </c>
      <c r="C7504" s="484" t="s">
        <v>65</v>
      </c>
      <c r="D7504" s="486">
        <v>14.02</v>
      </c>
      <c r="E7504" s="486">
        <v>14.02</v>
      </c>
    </row>
    <row r="7505" spans="1:5" ht="30">
      <c r="A7505" s="349">
        <v>2619</v>
      </c>
      <c r="B7505" s="348" t="s">
        <v>19525</v>
      </c>
      <c r="C7505" s="349" t="s">
        <v>65</v>
      </c>
      <c r="D7505" s="483">
        <v>35.51</v>
      </c>
      <c r="E7505" s="483">
        <v>35.51</v>
      </c>
    </row>
    <row r="7506" spans="1:5" ht="30">
      <c r="A7506" s="484">
        <v>2620</v>
      </c>
      <c r="B7506" s="485" t="s">
        <v>19526</v>
      </c>
      <c r="C7506" s="484" t="s">
        <v>65</v>
      </c>
      <c r="D7506" s="486">
        <v>46.62</v>
      </c>
      <c r="E7506" s="486">
        <v>46.62</v>
      </c>
    </row>
    <row r="7507" spans="1:5">
      <c r="A7507" s="349">
        <v>25968</v>
      </c>
      <c r="B7507" s="348" t="s">
        <v>156</v>
      </c>
      <c r="C7507" s="349" t="s">
        <v>65</v>
      </c>
      <c r="D7507" s="483">
        <v>22.46</v>
      </c>
      <c r="E7507" s="483">
        <v>22.46</v>
      </c>
    </row>
    <row r="7508" spans="1:5" ht="30">
      <c r="A7508" s="484">
        <v>38369</v>
      </c>
      <c r="B7508" s="485" t="s">
        <v>4667</v>
      </c>
      <c r="C7508" s="484" t="s">
        <v>65</v>
      </c>
      <c r="D7508" s="486">
        <v>10.11</v>
      </c>
      <c r="E7508" s="486">
        <v>10.11</v>
      </c>
    </row>
    <row r="7509" spans="1:5">
      <c r="A7509" s="349">
        <v>38370</v>
      </c>
      <c r="B7509" s="348" t="s">
        <v>4668</v>
      </c>
      <c r="C7509" s="349" t="s">
        <v>65</v>
      </c>
      <c r="D7509" s="483">
        <v>10.11</v>
      </c>
      <c r="E7509" s="483">
        <v>10.11</v>
      </c>
    </row>
    <row r="7510" spans="1:5">
      <c r="A7510" s="484">
        <v>38372</v>
      </c>
      <c r="B7510" s="485" t="s">
        <v>4675</v>
      </c>
      <c r="C7510" s="484" t="s">
        <v>65</v>
      </c>
      <c r="D7510" s="486">
        <v>13.31</v>
      </c>
      <c r="E7510" s="486">
        <v>13.31</v>
      </c>
    </row>
    <row r="7511" spans="1:5">
      <c r="A7511" s="349">
        <v>2357</v>
      </c>
      <c r="B7511" s="348" t="s">
        <v>157</v>
      </c>
      <c r="C7511" s="349" t="s">
        <v>57</v>
      </c>
      <c r="D7511" s="483">
        <v>20.440000000000001</v>
      </c>
      <c r="E7511" s="483">
        <v>20.440000000000001</v>
      </c>
    </row>
    <row r="7512" spans="1:5">
      <c r="A7512" s="484">
        <v>40806</v>
      </c>
      <c r="B7512" s="485" t="s">
        <v>158</v>
      </c>
      <c r="C7512" s="484" t="s">
        <v>1643</v>
      </c>
      <c r="D7512" s="486">
        <v>3603.67</v>
      </c>
      <c r="E7512" s="486">
        <v>3603.67</v>
      </c>
    </row>
    <row r="7513" spans="1:5">
      <c r="A7513" s="349">
        <v>2355</v>
      </c>
      <c r="B7513" s="348" t="s">
        <v>159</v>
      </c>
      <c r="C7513" s="349" t="s">
        <v>57</v>
      </c>
      <c r="D7513" s="483">
        <v>24.87</v>
      </c>
      <c r="E7513" s="483">
        <v>24.87</v>
      </c>
    </row>
    <row r="7514" spans="1:5">
      <c r="A7514" s="484">
        <v>40805</v>
      </c>
      <c r="B7514" s="485" t="s">
        <v>160</v>
      </c>
      <c r="C7514" s="484" t="s">
        <v>1643</v>
      </c>
      <c r="D7514" s="486">
        <v>4382.8900000000003</v>
      </c>
      <c r="E7514" s="486">
        <v>4382.8900000000003</v>
      </c>
    </row>
    <row r="7515" spans="1:5">
      <c r="A7515" s="349">
        <v>2358</v>
      </c>
      <c r="B7515" s="348" t="s">
        <v>161</v>
      </c>
      <c r="C7515" s="349" t="s">
        <v>57</v>
      </c>
      <c r="D7515" s="483">
        <v>37.17</v>
      </c>
      <c r="E7515" s="483">
        <v>37.17</v>
      </c>
    </row>
    <row r="7516" spans="1:5">
      <c r="A7516" s="484">
        <v>40807</v>
      </c>
      <c r="B7516" s="485" t="s">
        <v>162</v>
      </c>
      <c r="C7516" s="484" t="s">
        <v>1643</v>
      </c>
      <c r="D7516" s="486">
        <v>6551.55</v>
      </c>
      <c r="E7516" s="486">
        <v>6551.55</v>
      </c>
    </row>
    <row r="7517" spans="1:5">
      <c r="A7517" s="349">
        <v>40808</v>
      </c>
      <c r="B7517" s="348" t="s">
        <v>4676</v>
      </c>
      <c r="C7517" s="349" t="s">
        <v>1643</v>
      </c>
      <c r="D7517" s="483">
        <v>3559.05</v>
      </c>
      <c r="E7517" s="483">
        <v>3559.05</v>
      </c>
    </row>
    <row r="7518" spans="1:5">
      <c r="A7518" s="484">
        <v>39397</v>
      </c>
      <c r="B7518" s="485" t="s">
        <v>4679</v>
      </c>
      <c r="C7518" s="484" t="s">
        <v>91</v>
      </c>
      <c r="D7518" s="486">
        <v>13.15</v>
      </c>
      <c r="E7518" s="486">
        <v>13.15</v>
      </c>
    </row>
    <row r="7519" spans="1:5" ht="30">
      <c r="A7519" s="349">
        <v>2692</v>
      </c>
      <c r="B7519" s="348" t="s">
        <v>4680</v>
      </c>
      <c r="C7519" s="349" t="s">
        <v>91</v>
      </c>
      <c r="D7519" s="483">
        <v>6.23</v>
      </c>
      <c r="E7519" s="483">
        <v>6.23</v>
      </c>
    </row>
    <row r="7520" spans="1:5">
      <c r="A7520" s="484">
        <v>6</v>
      </c>
      <c r="B7520" s="485" t="s">
        <v>4682</v>
      </c>
      <c r="C7520" s="484" t="s">
        <v>91</v>
      </c>
      <c r="D7520" s="486">
        <v>2.41</v>
      </c>
      <c r="E7520" s="486">
        <v>2.41</v>
      </c>
    </row>
    <row r="7521" spans="1:5">
      <c r="A7521" s="349">
        <v>5330</v>
      </c>
      <c r="B7521" s="348" t="s">
        <v>4683</v>
      </c>
      <c r="C7521" s="349" t="s">
        <v>91</v>
      </c>
      <c r="D7521" s="483">
        <v>27.56</v>
      </c>
      <c r="E7521" s="483">
        <v>27.56</v>
      </c>
    </row>
    <row r="7522" spans="1:5">
      <c r="A7522" s="484">
        <v>26017</v>
      </c>
      <c r="B7522" s="485" t="s">
        <v>4684</v>
      </c>
      <c r="C7522" s="484" t="s">
        <v>65</v>
      </c>
      <c r="D7522" s="486">
        <v>30.1</v>
      </c>
      <c r="E7522" s="486">
        <v>30.1</v>
      </c>
    </row>
    <row r="7523" spans="1:5">
      <c r="A7523" s="349">
        <v>25931</v>
      </c>
      <c r="B7523" s="348" t="s">
        <v>4685</v>
      </c>
      <c r="C7523" s="349" t="s">
        <v>65</v>
      </c>
      <c r="D7523" s="483">
        <v>95.67</v>
      </c>
      <c r="E7523" s="483">
        <v>95.67</v>
      </c>
    </row>
    <row r="7524" spans="1:5" ht="30">
      <c r="A7524" s="484">
        <v>38140</v>
      </c>
      <c r="B7524" s="485" t="s">
        <v>4686</v>
      </c>
      <c r="C7524" s="484" t="s">
        <v>65</v>
      </c>
      <c r="D7524" s="486">
        <v>23.2</v>
      </c>
      <c r="E7524" s="486">
        <v>23.2</v>
      </c>
    </row>
    <row r="7525" spans="1:5" ht="30">
      <c r="A7525" s="349">
        <v>13887</v>
      </c>
      <c r="B7525" s="348" t="s">
        <v>4687</v>
      </c>
      <c r="C7525" s="349" t="s">
        <v>65</v>
      </c>
      <c r="D7525" s="483">
        <v>549.27</v>
      </c>
      <c r="E7525" s="483">
        <v>549.27</v>
      </c>
    </row>
    <row r="7526" spans="1:5">
      <c r="A7526" s="484">
        <v>26018</v>
      </c>
      <c r="B7526" s="485" t="s">
        <v>4688</v>
      </c>
      <c r="C7526" s="484" t="s">
        <v>65</v>
      </c>
      <c r="D7526" s="486">
        <v>24.45</v>
      </c>
      <c r="E7526" s="486">
        <v>24.45</v>
      </c>
    </row>
    <row r="7527" spans="1:5" ht="30">
      <c r="A7527" s="349">
        <v>26019</v>
      </c>
      <c r="B7527" s="348" t="s">
        <v>4689</v>
      </c>
      <c r="C7527" s="349" t="s">
        <v>65</v>
      </c>
      <c r="D7527" s="483">
        <v>23.09</v>
      </c>
      <c r="E7527" s="483">
        <v>23.09</v>
      </c>
    </row>
    <row r="7528" spans="1:5">
      <c r="A7528" s="484">
        <v>26020</v>
      </c>
      <c r="B7528" s="485" t="s">
        <v>4690</v>
      </c>
      <c r="C7528" s="484" t="s">
        <v>65</v>
      </c>
      <c r="D7528" s="486">
        <v>6.02</v>
      </c>
      <c r="E7528" s="486">
        <v>6.02</v>
      </c>
    </row>
    <row r="7529" spans="1:5">
      <c r="A7529" s="349">
        <v>34544</v>
      </c>
      <c r="B7529" s="348" t="s">
        <v>4691</v>
      </c>
      <c r="C7529" s="349" t="s">
        <v>65</v>
      </c>
      <c r="D7529" s="483">
        <v>1290.75</v>
      </c>
      <c r="E7529" s="483">
        <v>1290.75</v>
      </c>
    </row>
    <row r="7530" spans="1:5" ht="30">
      <c r="A7530" s="484">
        <v>34729</v>
      </c>
      <c r="B7530" s="485" t="s">
        <v>4707</v>
      </c>
      <c r="C7530" s="484" t="s">
        <v>65</v>
      </c>
      <c r="D7530" s="486">
        <v>1015.37</v>
      </c>
      <c r="E7530" s="486">
        <v>1015.37</v>
      </c>
    </row>
    <row r="7531" spans="1:5" ht="30">
      <c r="A7531" s="349">
        <v>34734</v>
      </c>
      <c r="B7531" s="348" t="s">
        <v>4708</v>
      </c>
      <c r="C7531" s="349" t="s">
        <v>65</v>
      </c>
      <c r="D7531" s="483">
        <v>1572.13</v>
      </c>
      <c r="E7531" s="483">
        <v>1572.13</v>
      </c>
    </row>
    <row r="7532" spans="1:5" ht="30">
      <c r="A7532" s="484">
        <v>34738</v>
      </c>
      <c r="B7532" s="485" t="s">
        <v>4709</v>
      </c>
      <c r="C7532" s="484" t="s">
        <v>65</v>
      </c>
      <c r="D7532" s="486">
        <v>3672.98</v>
      </c>
      <c r="E7532" s="486">
        <v>3672.98</v>
      </c>
    </row>
    <row r="7533" spans="1:5">
      <c r="A7533" s="349">
        <v>2391</v>
      </c>
      <c r="B7533" s="348" t="s">
        <v>4713</v>
      </c>
      <c r="C7533" s="349" t="s">
        <v>65</v>
      </c>
      <c r="D7533" s="483">
        <v>298.73</v>
      </c>
      <c r="E7533" s="483">
        <v>298.73</v>
      </c>
    </row>
    <row r="7534" spans="1:5">
      <c r="A7534" s="484">
        <v>2374</v>
      </c>
      <c r="B7534" s="485" t="s">
        <v>4714</v>
      </c>
      <c r="C7534" s="484" t="s">
        <v>65</v>
      </c>
      <c r="D7534" s="486">
        <v>338.9</v>
      </c>
      <c r="E7534" s="486">
        <v>338.9</v>
      </c>
    </row>
    <row r="7535" spans="1:5">
      <c r="A7535" s="349">
        <v>2377</v>
      </c>
      <c r="B7535" s="348" t="s">
        <v>4715</v>
      </c>
      <c r="C7535" s="349" t="s">
        <v>65</v>
      </c>
      <c r="D7535" s="483">
        <v>475.62</v>
      </c>
      <c r="E7535" s="483">
        <v>475.62</v>
      </c>
    </row>
    <row r="7536" spans="1:5">
      <c r="A7536" s="484">
        <v>2393</v>
      </c>
      <c r="B7536" s="485" t="s">
        <v>4716</v>
      </c>
      <c r="C7536" s="484" t="s">
        <v>65</v>
      </c>
      <c r="D7536" s="486">
        <v>796.48</v>
      </c>
      <c r="E7536" s="486">
        <v>796.48</v>
      </c>
    </row>
    <row r="7537" spans="1:5">
      <c r="A7537" s="349">
        <v>34705</v>
      </c>
      <c r="B7537" s="348" t="s">
        <v>4717</v>
      </c>
      <c r="C7537" s="349" t="s">
        <v>65</v>
      </c>
      <c r="D7537" s="483">
        <v>696.64</v>
      </c>
      <c r="E7537" s="483">
        <v>696.64</v>
      </c>
    </row>
    <row r="7538" spans="1:5">
      <c r="A7538" s="484">
        <v>34707</v>
      </c>
      <c r="B7538" s="485" t="s">
        <v>4718</v>
      </c>
      <c r="C7538" s="484" t="s">
        <v>65</v>
      </c>
      <c r="D7538" s="486">
        <v>1290.8900000000001</v>
      </c>
      <c r="E7538" s="486">
        <v>1290.8900000000001</v>
      </c>
    </row>
    <row r="7539" spans="1:5">
      <c r="A7539" s="349">
        <v>2378</v>
      </c>
      <c r="B7539" s="348" t="s">
        <v>4719</v>
      </c>
      <c r="C7539" s="349" t="s">
        <v>65</v>
      </c>
      <c r="D7539" s="483">
        <v>1094.08</v>
      </c>
      <c r="E7539" s="483">
        <v>1094.08</v>
      </c>
    </row>
    <row r="7540" spans="1:5">
      <c r="A7540" s="484">
        <v>2379</v>
      </c>
      <c r="B7540" s="485" t="s">
        <v>4720</v>
      </c>
      <c r="C7540" s="484" t="s">
        <v>65</v>
      </c>
      <c r="D7540" s="486">
        <v>1094.08</v>
      </c>
      <c r="E7540" s="486">
        <v>1094.08</v>
      </c>
    </row>
    <row r="7541" spans="1:5">
      <c r="A7541" s="349">
        <v>2376</v>
      </c>
      <c r="B7541" s="348" t="s">
        <v>4721</v>
      </c>
      <c r="C7541" s="349" t="s">
        <v>65</v>
      </c>
      <c r="D7541" s="483">
        <v>1801.94</v>
      </c>
      <c r="E7541" s="483">
        <v>1801.94</v>
      </c>
    </row>
    <row r="7542" spans="1:5">
      <c r="A7542" s="484">
        <v>2394</v>
      </c>
      <c r="B7542" s="485" t="s">
        <v>4722</v>
      </c>
      <c r="C7542" s="484" t="s">
        <v>65</v>
      </c>
      <c r="D7542" s="486">
        <v>3852.22</v>
      </c>
      <c r="E7542" s="486">
        <v>3852.22</v>
      </c>
    </row>
    <row r="7543" spans="1:5">
      <c r="A7543" s="349">
        <v>34686</v>
      </c>
      <c r="B7543" s="348" t="s">
        <v>4731</v>
      </c>
      <c r="C7543" s="349" t="s">
        <v>65</v>
      </c>
      <c r="D7543" s="483">
        <v>11.56</v>
      </c>
      <c r="E7543" s="483">
        <v>11.56</v>
      </c>
    </row>
    <row r="7544" spans="1:5">
      <c r="A7544" s="484">
        <v>34616</v>
      </c>
      <c r="B7544" s="485" t="s">
        <v>4734</v>
      </c>
      <c r="C7544" s="484" t="s">
        <v>65</v>
      </c>
      <c r="D7544" s="486">
        <v>44.7</v>
      </c>
      <c r="E7544" s="486">
        <v>44.7</v>
      </c>
    </row>
    <row r="7545" spans="1:5">
      <c r="A7545" s="349">
        <v>34623</v>
      </c>
      <c r="B7545" s="348" t="s">
        <v>4732</v>
      </c>
      <c r="C7545" s="349" t="s">
        <v>65</v>
      </c>
      <c r="D7545" s="483">
        <v>44.01</v>
      </c>
      <c r="E7545" s="483">
        <v>44.01</v>
      </c>
    </row>
    <row r="7546" spans="1:5">
      <c r="A7546" s="484">
        <v>34628</v>
      </c>
      <c r="B7546" s="485" t="s">
        <v>4733</v>
      </c>
      <c r="C7546" s="484" t="s">
        <v>65</v>
      </c>
      <c r="D7546" s="486">
        <v>63.04</v>
      </c>
      <c r="E7546" s="486">
        <v>63.04</v>
      </c>
    </row>
    <row r="7547" spans="1:5">
      <c r="A7547" s="349">
        <v>34653</v>
      </c>
      <c r="B7547" s="348" t="s">
        <v>4735</v>
      </c>
      <c r="C7547" s="349" t="s">
        <v>65</v>
      </c>
      <c r="D7547" s="483">
        <v>7.8</v>
      </c>
      <c r="E7547" s="483">
        <v>7.8</v>
      </c>
    </row>
    <row r="7548" spans="1:5">
      <c r="A7548" s="484">
        <v>34688</v>
      </c>
      <c r="B7548" s="485" t="s">
        <v>4736</v>
      </c>
      <c r="C7548" s="484" t="s">
        <v>65</v>
      </c>
      <c r="D7548" s="486">
        <v>14.13</v>
      </c>
      <c r="E7548" s="486">
        <v>14.13</v>
      </c>
    </row>
    <row r="7549" spans="1:5">
      <c r="A7549" s="349">
        <v>34709</v>
      </c>
      <c r="B7549" s="348" t="s">
        <v>4738</v>
      </c>
      <c r="C7549" s="349" t="s">
        <v>65</v>
      </c>
      <c r="D7549" s="483">
        <v>54.76</v>
      </c>
      <c r="E7549" s="483">
        <v>54.76</v>
      </c>
    </row>
    <row r="7550" spans="1:5">
      <c r="A7550" s="484">
        <v>34714</v>
      </c>
      <c r="B7550" s="485" t="s">
        <v>4737</v>
      </c>
      <c r="C7550" s="484" t="s">
        <v>65</v>
      </c>
      <c r="D7550" s="486">
        <v>65.41</v>
      </c>
      <c r="E7550" s="486">
        <v>65.41</v>
      </c>
    </row>
    <row r="7551" spans="1:5">
      <c r="A7551" s="349">
        <v>2388</v>
      </c>
      <c r="B7551" s="348" t="s">
        <v>4739</v>
      </c>
      <c r="C7551" s="349" t="s">
        <v>65</v>
      </c>
      <c r="D7551" s="483">
        <v>54.35</v>
      </c>
      <c r="E7551" s="483">
        <v>54.35</v>
      </c>
    </row>
    <row r="7552" spans="1:5">
      <c r="A7552" s="484">
        <v>34606</v>
      </c>
      <c r="B7552" s="485" t="s">
        <v>19527</v>
      </c>
      <c r="C7552" s="484" t="s">
        <v>65</v>
      </c>
      <c r="D7552" s="486">
        <v>83.38</v>
      </c>
      <c r="E7552" s="486">
        <v>83.38</v>
      </c>
    </row>
    <row r="7553" spans="1:5">
      <c r="A7553" s="349">
        <v>34689</v>
      </c>
      <c r="B7553" s="348" t="s">
        <v>19528</v>
      </c>
      <c r="C7553" s="349" t="s">
        <v>65</v>
      </c>
      <c r="D7553" s="483">
        <v>26.54</v>
      </c>
      <c r="E7553" s="483">
        <v>26.54</v>
      </c>
    </row>
    <row r="7554" spans="1:5">
      <c r="A7554" s="484">
        <v>2370</v>
      </c>
      <c r="B7554" s="485" t="s">
        <v>4741</v>
      </c>
      <c r="C7554" s="484" t="s">
        <v>65</v>
      </c>
      <c r="D7554" s="486">
        <v>10.1</v>
      </c>
      <c r="E7554" s="486">
        <v>10.1</v>
      </c>
    </row>
    <row r="7555" spans="1:5">
      <c r="A7555" s="349">
        <v>2386</v>
      </c>
      <c r="B7555" s="348" t="s">
        <v>4742</v>
      </c>
      <c r="C7555" s="349" t="s">
        <v>65</v>
      </c>
      <c r="D7555" s="483">
        <v>16.940000000000001</v>
      </c>
      <c r="E7555" s="483">
        <v>16.940000000000001</v>
      </c>
    </row>
    <row r="7556" spans="1:5">
      <c r="A7556" s="484">
        <v>2392</v>
      </c>
      <c r="B7556" s="485" t="s">
        <v>4744</v>
      </c>
      <c r="C7556" s="484" t="s">
        <v>65</v>
      </c>
      <c r="D7556" s="486">
        <v>67.8</v>
      </c>
      <c r="E7556" s="486">
        <v>67.8</v>
      </c>
    </row>
    <row r="7557" spans="1:5">
      <c r="A7557" s="349">
        <v>2373</v>
      </c>
      <c r="B7557" s="348" t="s">
        <v>4745</v>
      </c>
      <c r="C7557" s="349" t="s">
        <v>65</v>
      </c>
      <c r="D7557" s="483">
        <v>95.52</v>
      </c>
      <c r="E7557" s="483">
        <v>95.52</v>
      </c>
    </row>
    <row r="7558" spans="1:5" ht="30">
      <c r="A7558" s="484">
        <v>39465</v>
      </c>
      <c r="B7558" s="485" t="s">
        <v>4753</v>
      </c>
      <c r="C7558" s="484" t="s">
        <v>65</v>
      </c>
      <c r="D7558" s="486">
        <v>58.35</v>
      </c>
      <c r="E7558" s="486">
        <v>58.35</v>
      </c>
    </row>
    <row r="7559" spans="1:5" ht="30">
      <c r="A7559" s="349">
        <v>39466</v>
      </c>
      <c r="B7559" s="348" t="s">
        <v>4754</v>
      </c>
      <c r="C7559" s="349" t="s">
        <v>65</v>
      </c>
      <c r="D7559" s="483">
        <v>65.650000000000006</v>
      </c>
      <c r="E7559" s="483">
        <v>65.650000000000006</v>
      </c>
    </row>
    <row r="7560" spans="1:5" ht="30">
      <c r="A7560" s="484">
        <v>39467</v>
      </c>
      <c r="B7560" s="485" t="s">
        <v>4755</v>
      </c>
      <c r="C7560" s="484" t="s">
        <v>65</v>
      </c>
      <c r="D7560" s="486">
        <v>83.97</v>
      </c>
      <c r="E7560" s="486">
        <v>83.97</v>
      </c>
    </row>
    <row r="7561" spans="1:5" ht="30">
      <c r="A7561" s="349">
        <v>39468</v>
      </c>
      <c r="B7561" s="348" t="s">
        <v>4756</v>
      </c>
      <c r="C7561" s="349" t="s">
        <v>65</v>
      </c>
      <c r="D7561" s="483">
        <v>149.26</v>
      </c>
      <c r="E7561" s="483">
        <v>149.26</v>
      </c>
    </row>
    <row r="7562" spans="1:5" ht="30">
      <c r="A7562" s="484">
        <v>39469</v>
      </c>
      <c r="B7562" s="485" t="s">
        <v>4757</v>
      </c>
      <c r="C7562" s="484" t="s">
        <v>65</v>
      </c>
      <c r="D7562" s="486">
        <v>60.8</v>
      </c>
      <c r="E7562" s="486">
        <v>60.8</v>
      </c>
    </row>
    <row r="7563" spans="1:5" ht="30">
      <c r="A7563" s="349">
        <v>39470</v>
      </c>
      <c r="B7563" s="348" t="s">
        <v>4758</v>
      </c>
      <c r="C7563" s="349" t="s">
        <v>65</v>
      </c>
      <c r="D7563" s="483">
        <v>74.7</v>
      </c>
      <c r="E7563" s="483">
        <v>74.7</v>
      </c>
    </row>
    <row r="7564" spans="1:5" ht="30">
      <c r="A7564" s="484">
        <v>39471</v>
      </c>
      <c r="B7564" s="485" t="s">
        <v>4759</v>
      </c>
      <c r="C7564" s="484" t="s">
        <v>65</v>
      </c>
      <c r="D7564" s="486">
        <v>89.77</v>
      </c>
      <c r="E7564" s="486">
        <v>89.77</v>
      </c>
    </row>
    <row r="7565" spans="1:5" ht="30">
      <c r="A7565" s="349">
        <v>39472</v>
      </c>
      <c r="B7565" s="348" t="s">
        <v>4760</v>
      </c>
      <c r="C7565" s="349" t="s">
        <v>65</v>
      </c>
      <c r="D7565" s="483">
        <v>155.97999999999999</v>
      </c>
      <c r="E7565" s="483">
        <v>155.97999999999999</v>
      </c>
    </row>
    <row r="7566" spans="1:5" ht="30">
      <c r="A7566" s="484">
        <v>39473</v>
      </c>
      <c r="B7566" s="485" t="s">
        <v>11306</v>
      </c>
      <c r="C7566" s="484" t="s">
        <v>65</v>
      </c>
      <c r="D7566" s="486">
        <v>100.76</v>
      </c>
      <c r="E7566" s="486">
        <v>100.76</v>
      </c>
    </row>
    <row r="7567" spans="1:5" ht="30">
      <c r="A7567" s="349">
        <v>39474</v>
      </c>
      <c r="B7567" s="348" t="s">
        <v>4761</v>
      </c>
      <c r="C7567" s="349" t="s">
        <v>65</v>
      </c>
      <c r="D7567" s="483">
        <v>107.42</v>
      </c>
      <c r="E7567" s="483">
        <v>107.42</v>
      </c>
    </row>
    <row r="7568" spans="1:5" ht="30">
      <c r="A7568" s="484">
        <v>39475</v>
      </c>
      <c r="B7568" s="485" t="s">
        <v>4762</v>
      </c>
      <c r="C7568" s="484" t="s">
        <v>65</v>
      </c>
      <c r="D7568" s="486">
        <v>121.88</v>
      </c>
      <c r="E7568" s="486">
        <v>121.88</v>
      </c>
    </row>
    <row r="7569" spans="1:5" ht="30">
      <c r="A7569" s="349">
        <v>39476</v>
      </c>
      <c r="B7569" s="348" t="s">
        <v>4763</v>
      </c>
      <c r="C7569" s="349" t="s">
        <v>65</v>
      </c>
      <c r="D7569" s="483">
        <v>229.43</v>
      </c>
      <c r="E7569" s="483">
        <v>229.43</v>
      </c>
    </row>
    <row r="7570" spans="1:5" ht="30">
      <c r="A7570" s="484">
        <v>39477</v>
      </c>
      <c r="B7570" s="485" t="s">
        <v>4764</v>
      </c>
      <c r="C7570" s="484" t="s">
        <v>65</v>
      </c>
      <c r="D7570" s="486">
        <v>112.41</v>
      </c>
      <c r="E7570" s="486">
        <v>112.41</v>
      </c>
    </row>
    <row r="7571" spans="1:5" ht="30">
      <c r="A7571" s="349">
        <v>39478</v>
      </c>
      <c r="B7571" s="348" t="s">
        <v>4765</v>
      </c>
      <c r="C7571" s="349" t="s">
        <v>65</v>
      </c>
      <c r="D7571" s="483">
        <v>115.89</v>
      </c>
      <c r="E7571" s="483">
        <v>115.89</v>
      </c>
    </row>
    <row r="7572" spans="1:5" ht="30">
      <c r="A7572" s="484">
        <v>39479</v>
      </c>
      <c r="B7572" s="485" t="s">
        <v>4766</v>
      </c>
      <c r="C7572" s="484" t="s">
        <v>65</v>
      </c>
      <c r="D7572" s="486">
        <v>136.55000000000001</v>
      </c>
      <c r="E7572" s="486">
        <v>136.55000000000001</v>
      </c>
    </row>
    <row r="7573" spans="1:5" ht="30">
      <c r="A7573" s="349">
        <v>39480</v>
      </c>
      <c r="B7573" s="348" t="s">
        <v>4767</v>
      </c>
      <c r="C7573" s="349" t="s">
        <v>65</v>
      </c>
      <c r="D7573" s="483">
        <v>281.76</v>
      </c>
      <c r="E7573" s="483">
        <v>281.76</v>
      </c>
    </row>
    <row r="7574" spans="1:5">
      <c r="A7574" s="484">
        <v>39459</v>
      </c>
      <c r="B7574" s="485" t="s">
        <v>4768</v>
      </c>
      <c r="C7574" s="484" t="s">
        <v>65</v>
      </c>
      <c r="D7574" s="486">
        <v>239.15</v>
      </c>
      <c r="E7574" s="486">
        <v>239.15</v>
      </c>
    </row>
    <row r="7575" spans="1:5">
      <c r="A7575" s="349">
        <v>39445</v>
      </c>
      <c r="B7575" s="348" t="s">
        <v>4769</v>
      </c>
      <c r="C7575" s="349" t="s">
        <v>65</v>
      </c>
      <c r="D7575" s="483">
        <v>120.07</v>
      </c>
      <c r="E7575" s="483">
        <v>120.07</v>
      </c>
    </row>
    <row r="7576" spans="1:5">
      <c r="A7576" s="484">
        <v>39446</v>
      </c>
      <c r="B7576" s="485" t="s">
        <v>4770</v>
      </c>
      <c r="C7576" s="484" t="s">
        <v>65</v>
      </c>
      <c r="D7576" s="486">
        <v>122.21</v>
      </c>
      <c r="E7576" s="486">
        <v>122.21</v>
      </c>
    </row>
    <row r="7577" spans="1:5">
      <c r="A7577" s="349">
        <v>39447</v>
      </c>
      <c r="B7577" s="348" t="s">
        <v>4771</v>
      </c>
      <c r="C7577" s="349" t="s">
        <v>65</v>
      </c>
      <c r="D7577" s="483">
        <v>130.69</v>
      </c>
      <c r="E7577" s="483">
        <v>130.69</v>
      </c>
    </row>
    <row r="7578" spans="1:5">
      <c r="A7578" s="484">
        <v>39448</v>
      </c>
      <c r="B7578" s="485" t="s">
        <v>4772</v>
      </c>
      <c r="C7578" s="484" t="s">
        <v>65</v>
      </c>
      <c r="D7578" s="486">
        <v>222.85</v>
      </c>
      <c r="E7578" s="486">
        <v>222.85</v>
      </c>
    </row>
    <row r="7579" spans="1:5">
      <c r="A7579" s="349">
        <v>39450</v>
      </c>
      <c r="B7579" s="348" t="s">
        <v>4773</v>
      </c>
      <c r="C7579" s="349" t="s">
        <v>65</v>
      </c>
      <c r="D7579" s="483">
        <v>135.96</v>
      </c>
      <c r="E7579" s="483">
        <v>135.96</v>
      </c>
    </row>
    <row r="7580" spans="1:5">
      <c r="A7580" s="484">
        <v>39451</v>
      </c>
      <c r="B7580" s="485" t="s">
        <v>4774</v>
      </c>
      <c r="C7580" s="484" t="s">
        <v>65</v>
      </c>
      <c r="D7580" s="486">
        <v>148.30000000000001</v>
      </c>
      <c r="E7580" s="486">
        <v>148.30000000000001</v>
      </c>
    </row>
    <row r="7581" spans="1:5">
      <c r="A7581" s="349">
        <v>39452</v>
      </c>
      <c r="B7581" s="348" t="s">
        <v>4775</v>
      </c>
      <c r="C7581" s="349" t="s">
        <v>65</v>
      </c>
      <c r="D7581" s="483">
        <v>149.18</v>
      </c>
      <c r="E7581" s="483">
        <v>149.18</v>
      </c>
    </row>
    <row r="7582" spans="1:5">
      <c r="A7582" s="484">
        <v>39523</v>
      </c>
      <c r="B7582" s="485" t="s">
        <v>4776</v>
      </c>
      <c r="C7582" s="484" t="s">
        <v>65</v>
      </c>
      <c r="D7582" s="486">
        <v>249.66</v>
      </c>
      <c r="E7582" s="486">
        <v>249.66</v>
      </c>
    </row>
    <row r="7583" spans="1:5">
      <c r="A7583" s="349">
        <v>39449</v>
      </c>
      <c r="B7583" s="348" t="s">
        <v>4777</v>
      </c>
      <c r="C7583" s="349" t="s">
        <v>65</v>
      </c>
      <c r="D7583" s="483">
        <v>276.48</v>
      </c>
      <c r="E7583" s="483">
        <v>276.48</v>
      </c>
    </row>
    <row r="7584" spans="1:5">
      <c r="A7584" s="484">
        <v>39455</v>
      </c>
      <c r="B7584" s="485" t="s">
        <v>4778</v>
      </c>
      <c r="C7584" s="484" t="s">
        <v>65</v>
      </c>
      <c r="D7584" s="486">
        <v>136.81</v>
      </c>
      <c r="E7584" s="486">
        <v>136.81</v>
      </c>
    </row>
    <row r="7585" spans="1:5">
      <c r="A7585" s="349">
        <v>39456</v>
      </c>
      <c r="B7585" s="348" t="s">
        <v>4779</v>
      </c>
      <c r="C7585" s="349" t="s">
        <v>65</v>
      </c>
      <c r="D7585" s="483">
        <v>136.91</v>
      </c>
      <c r="E7585" s="483">
        <v>136.91</v>
      </c>
    </row>
    <row r="7586" spans="1:5">
      <c r="A7586" s="484">
        <v>39457</v>
      </c>
      <c r="B7586" s="485" t="s">
        <v>4780</v>
      </c>
      <c r="C7586" s="484" t="s">
        <v>65</v>
      </c>
      <c r="D7586" s="486">
        <v>149.25</v>
      </c>
      <c r="E7586" s="486">
        <v>149.25</v>
      </c>
    </row>
    <row r="7587" spans="1:5">
      <c r="A7587" s="349">
        <v>39458</v>
      </c>
      <c r="B7587" s="348" t="s">
        <v>4781</v>
      </c>
      <c r="C7587" s="349" t="s">
        <v>65</v>
      </c>
      <c r="D7587" s="483">
        <v>278.51</v>
      </c>
      <c r="E7587" s="483">
        <v>278.51</v>
      </c>
    </row>
    <row r="7588" spans="1:5">
      <c r="A7588" s="484">
        <v>39464</v>
      </c>
      <c r="B7588" s="485" t="s">
        <v>4782</v>
      </c>
      <c r="C7588" s="484" t="s">
        <v>65</v>
      </c>
      <c r="D7588" s="486">
        <v>447.87</v>
      </c>
      <c r="E7588" s="486">
        <v>447.87</v>
      </c>
    </row>
    <row r="7589" spans="1:5">
      <c r="A7589" s="349">
        <v>39460</v>
      </c>
      <c r="B7589" s="348" t="s">
        <v>4783</v>
      </c>
      <c r="C7589" s="349" t="s">
        <v>65</v>
      </c>
      <c r="D7589" s="483">
        <v>169.87</v>
      </c>
      <c r="E7589" s="483">
        <v>169.87</v>
      </c>
    </row>
    <row r="7590" spans="1:5">
      <c r="A7590" s="484">
        <v>39461</v>
      </c>
      <c r="B7590" s="485" t="s">
        <v>4784</v>
      </c>
      <c r="C7590" s="484" t="s">
        <v>65</v>
      </c>
      <c r="D7590" s="486">
        <v>199.04</v>
      </c>
      <c r="E7590" s="486">
        <v>199.04</v>
      </c>
    </row>
    <row r="7591" spans="1:5">
      <c r="A7591" s="349">
        <v>39462</v>
      </c>
      <c r="B7591" s="348" t="s">
        <v>4785</v>
      </c>
      <c r="C7591" s="349" t="s">
        <v>65</v>
      </c>
      <c r="D7591" s="483">
        <v>191.83</v>
      </c>
      <c r="E7591" s="483">
        <v>191.83</v>
      </c>
    </row>
    <row r="7592" spans="1:5">
      <c r="A7592" s="484">
        <v>39463</v>
      </c>
      <c r="B7592" s="485" t="s">
        <v>4786</v>
      </c>
      <c r="C7592" s="484" t="s">
        <v>65</v>
      </c>
      <c r="D7592" s="486">
        <v>444.4</v>
      </c>
      <c r="E7592" s="486">
        <v>444.4</v>
      </c>
    </row>
    <row r="7593" spans="1:5">
      <c r="A7593" s="349">
        <v>26039</v>
      </c>
      <c r="B7593" s="348" t="s">
        <v>4789</v>
      </c>
      <c r="C7593" s="349" t="s">
        <v>65</v>
      </c>
      <c r="D7593" s="483">
        <v>219233.16</v>
      </c>
      <c r="E7593" s="483">
        <v>219233.16</v>
      </c>
    </row>
    <row r="7594" spans="1:5">
      <c r="A7594" s="484">
        <v>2401</v>
      </c>
      <c r="B7594" s="485" t="s">
        <v>4800</v>
      </c>
      <c r="C7594" s="484" t="s">
        <v>65</v>
      </c>
      <c r="D7594" s="486">
        <v>50426.05</v>
      </c>
      <c r="E7594" s="486">
        <v>50426.05</v>
      </c>
    </row>
    <row r="7595" spans="1:5" ht="30">
      <c r="A7595" s="349">
        <v>2414</v>
      </c>
      <c r="B7595" s="348" t="s">
        <v>4801</v>
      </c>
      <c r="C7595" s="349" t="s">
        <v>256</v>
      </c>
      <c r="D7595" s="483">
        <v>73.349999999999994</v>
      </c>
      <c r="E7595" s="483">
        <v>73.349999999999994</v>
      </c>
    </row>
    <row r="7596" spans="1:5" ht="30">
      <c r="A7596" s="484">
        <v>2413</v>
      </c>
      <c r="B7596" s="485" t="s">
        <v>4802</v>
      </c>
      <c r="C7596" s="484" t="s">
        <v>256</v>
      </c>
      <c r="D7596" s="486">
        <v>70.569999999999993</v>
      </c>
      <c r="E7596" s="486">
        <v>70.569999999999993</v>
      </c>
    </row>
    <row r="7597" spans="1:5" ht="30">
      <c r="A7597" s="349">
        <v>2405</v>
      </c>
      <c r="B7597" s="348" t="s">
        <v>4803</v>
      </c>
      <c r="C7597" s="349" t="s">
        <v>256</v>
      </c>
      <c r="D7597" s="483">
        <v>82.14</v>
      </c>
      <c r="E7597" s="483">
        <v>82.14</v>
      </c>
    </row>
    <row r="7598" spans="1:5" ht="30">
      <c r="A7598" s="484">
        <v>13361</v>
      </c>
      <c r="B7598" s="485" t="s">
        <v>4804</v>
      </c>
      <c r="C7598" s="484" t="s">
        <v>256</v>
      </c>
      <c r="D7598" s="486">
        <v>68.709999999999994</v>
      </c>
      <c r="E7598" s="486">
        <v>68.709999999999994</v>
      </c>
    </row>
    <row r="7599" spans="1:5" ht="30">
      <c r="A7599" s="349">
        <v>11987</v>
      </c>
      <c r="B7599" s="348" t="s">
        <v>4805</v>
      </c>
      <c r="C7599" s="349" t="s">
        <v>256</v>
      </c>
      <c r="D7599" s="483">
        <v>183.85</v>
      </c>
      <c r="E7599" s="483">
        <v>183.85</v>
      </c>
    </row>
    <row r="7600" spans="1:5" ht="30">
      <c r="A7600" s="484">
        <v>2416</v>
      </c>
      <c r="B7600" s="485" t="s">
        <v>4806</v>
      </c>
      <c r="C7600" s="484" t="s">
        <v>256</v>
      </c>
      <c r="D7600" s="486">
        <v>81.34</v>
      </c>
      <c r="E7600" s="486">
        <v>81.34</v>
      </c>
    </row>
    <row r="7601" spans="1:5" ht="57.75" customHeight="1">
      <c r="A7601" s="349">
        <v>2412</v>
      </c>
      <c r="B7601" s="348" t="s">
        <v>4807</v>
      </c>
      <c r="C7601" s="349" t="s">
        <v>256</v>
      </c>
      <c r="D7601" s="483">
        <v>78.55</v>
      </c>
      <c r="E7601" s="483">
        <v>78.55</v>
      </c>
    </row>
    <row r="7602" spans="1:5" ht="57.75" customHeight="1">
      <c r="A7602" s="484">
        <v>2411</v>
      </c>
      <c r="B7602" s="485" t="s">
        <v>4808</v>
      </c>
      <c r="C7602" s="484" t="s">
        <v>256</v>
      </c>
      <c r="D7602" s="486">
        <v>68.709999999999994</v>
      </c>
      <c r="E7602" s="486">
        <v>68.709999999999994</v>
      </c>
    </row>
    <row r="7603" spans="1:5" ht="30">
      <c r="A7603" s="349">
        <v>2406</v>
      </c>
      <c r="B7603" s="348" t="s">
        <v>4809</v>
      </c>
      <c r="C7603" s="349" t="s">
        <v>256</v>
      </c>
      <c r="D7603" s="483">
        <v>66.849999999999994</v>
      </c>
      <c r="E7603" s="483">
        <v>66.849999999999994</v>
      </c>
    </row>
    <row r="7604" spans="1:5" ht="30">
      <c r="A7604" s="484">
        <v>10571</v>
      </c>
      <c r="B7604" s="485" t="s">
        <v>4810</v>
      </c>
      <c r="C7604" s="484" t="s">
        <v>256</v>
      </c>
      <c r="D7604" s="486">
        <v>163.41999999999999</v>
      </c>
      <c r="E7604" s="486">
        <v>163.41999999999999</v>
      </c>
    </row>
    <row r="7605" spans="1:5" ht="30">
      <c r="A7605" s="349">
        <v>11985</v>
      </c>
      <c r="B7605" s="348" t="s">
        <v>4811</v>
      </c>
      <c r="C7605" s="349" t="s">
        <v>256</v>
      </c>
      <c r="D7605" s="483">
        <v>157.85</v>
      </c>
      <c r="E7605" s="483">
        <v>157.85</v>
      </c>
    </row>
    <row r="7606" spans="1:5" ht="30">
      <c r="A7606" s="484">
        <v>2410</v>
      </c>
      <c r="B7606" s="485" t="s">
        <v>4812</v>
      </c>
      <c r="C7606" s="484" t="s">
        <v>256</v>
      </c>
      <c r="D7606" s="486">
        <v>69.64</v>
      </c>
      <c r="E7606" s="486">
        <v>69.64</v>
      </c>
    </row>
    <row r="7607" spans="1:5" ht="30">
      <c r="A7607" s="349">
        <v>2417</v>
      </c>
      <c r="B7607" s="348" t="s">
        <v>4813</v>
      </c>
      <c r="C7607" s="349" t="s">
        <v>256</v>
      </c>
      <c r="D7607" s="483">
        <v>74.28</v>
      </c>
      <c r="E7607" s="483">
        <v>74.28</v>
      </c>
    </row>
    <row r="7608" spans="1:5" ht="30">
      <c r="A7608" s="484">
        <v>2415</v>
      </c>
      <c r="B7608" s="485" t="s">
        <v>19529</v>
      </c>
      <c r="C7608" s="484" t="s">
        <v>256</v>
      </c>
      <c r="D7608" s="486">
        <v>59.42</v>
      </c>
      <c r="E7608" s="486">
        <v>59.42</v>
      </c>
    </row>
    <row r="7609" spans="1:5" ht="30">
      <c r="A7609" s="349">
        <v>13360</v>
      </c>
      <c r="B7609" s="348" t="s">
        <v>4815</v>
      </c>
      <c r="C7609" s="349" t="s">
        <v>256</v>
      </c>
      <c r="D7609" s="483">
        <v>59.42</v>
      </c>
      <c r="E7609" s="483">
        <v>59.42</v>
      </c>
    </row>
    <row r="7610" spans="1:5" ht="30">
      <c r="A7610" s="484">
        <v>11983</v>
      </c>
      <c r="B7610" s="485" t="s">
        <v>4816</v>
      </c>
      <c r="C7610" s="484" t="s">
        <v>256</v>
      </c>
      <c r="D7610" s="486">
        <v>144.85</v>
      </c>
      <c r="E7610" s="486">
        <v>144.85</v>
      </c>
    </row>
    <row r="7611" spans="1:5" ht="30">
      <c r="A7611" s="349">
        <v>11986</v>
      </c>
      <c r="B7611" s="348" t="s">
        <v>4817</v>
      </c>
      <c r="C7611" s="349" t="s">
        <v>256</v>
      </c>
      <c r="D7611" s="483">
        <v>176.42</v>
      </c>
      <c r="E7611" s="483">
        <v>176.42</v>
      </c>
    </row>
    <row r="7612" spans="1:5" ht="30">
      <c r="A7612" s="484">
        <v>25976</v>
      </c>
      <c r="B7612" s="485" t="s">
        <v>19530</v>
      </c>
      <c r="C7612" s="484" t="s">
        <v>256</v>
      </c>
      <c r="D7612" s="486">
        <v>267.67</v>
      </c>
      <c r="E7612" s="486">
        <v>267.67</v>
      </c>
    </row>
    <row r="7613" spans="1:5">
      <c r="A7613" s="349">
        <v>10629</v>
      </c>
      <c r="B7613" s="348" t="s">
        <v>4822</v>
      </c>
      <c r="C7613" s="349" t="s">
        <v>256</v>
      </c>
      <c r="D7613" s="483">
        <v>259.13</v>
      </c>
      <c r="E7613" s="483">
        <v>259.13</v>
      </c>
    </row>
    <row r="7614" spans="1:5">
      <c r="A7614" s="484">
        <v>10698</v>
      </c>
      <c r="B7614" s="485" t="s">
        <v>4824</v>
      </c>
      <c r="C7614" s="484" t="s">
        <v>256</v>
      </c>
      <c r="D7614" s="486">
        <v>62.17</v>
      </c>
      <c r="E7614" s="486">
        <v>62.17</v>
      </c>
    </row>
    <row r="7615" spans="1:5" ht="30">
      <c r="A7615" s="349">
        <v>40521</v>
      </c>
      <c r="B7615" s="348" t="s">
        <v>19531</v>
      </c>
      <c r="C7615" s="349" t="s">
        <v>65</v>
      </c>
      <c r="D7615" s="483">
        <v>67645.990000000005</v>
      </c>
      <c r="E7615" s="483">
        <v>67645.990000000005</v>
      </c>
    </row>
    <row r="7616" spans="1:5" ht="30">
      <c r="A7616" s="484">
        <v>2432</v>
      </c>
      <c r="B7616" s="485" t="s">
        <v>4825</v>
      </c>
      <c r="C7616" s="484" t="s">
        <v>65</v>
      </c>
      <c r="D7616" s="486">
        <v>21.12</v>
      </c>
      <c r="E7616" s="486">
        <v>21.12</v>
      </c>
    </row>
    <row r="7617" spans="1:5" ht="30">
      <c r="A7617" s="349">
        <v>2418</v>
      </c>
      <c r="B7617" s="348" t="s">
        <v>4826</v>
      </c>
      <c r="C7617" s="349" t="s">
        <v>65</v>
      </c>
      <c r="D7617" s="483">
        <v>9.8000000000000007</v>
      </c>
      <c r="E7617" s="483">
        <v>9.8000000000000007</v>
      </c>
    </row>
    <row r="7618" spans="1:5" ht="30">
      <c r="A7618" s="484">
        <v>2433</v>
      </c>
      <c r="B7618" s="485" t="s">
        <v>4827</v>
      </c>
      <c r="C7618" s="484" t="s">
        <v>65</v>
      </c>
      <c r="D7618" s="486">
        <v>7.15</v>
      </c>
      <c r="E7618" s="486">
        <v>7.15</v>
      </c>
    </row>
    <row r="7619" spans="1:5" ht="30">
      <c r="A7619" s="349">
        <v>2420</v>
      </c>
      <c r="B7619" s="348" t="s">
        <v>4828</v>
      </c>
      <c r="C7619" s="349" t="s">
        <v>65</v>
      </c>
      <c r="D7619" s="483">
        <v>12.29</v>
      </c>
      <c r="E7619" s="483">
        <v>12.29</v>
      </c>
    </row>
    <row r="7620" spans="1:5" ht="30">
      <c r="A7620" s="484">
        <v>2421</v>
      </c>
      <c r="B7620" s="485" t="s">
        <v>4830</v>
      </c>
      <c r="C7620" s="484" t="s">
        <v>65</v>
      </c>
      <c r="D7620" s="486">
        <v>26.82</v>
      </c>
      <c r="E7620" s="486">
        <v>26.82</v>
      </c>
    </row>
    <row r="7621" spans="1:5" ht="30">
      <c r="A7621" s="349">
        <v>11447</v>
      </c>
      <c r="B7621" s="348" t="s">
        <v>4831</v>
      </c>
      <c r="C7621" s="349" t="s">
        <v>65</v>
      </c>
      <c r="D7621" s="483">
        <v>24.29</v>
      </c>
      <c r="E7621" s="483">
        <v>24.29</v>
      </c>
    </row>
    <row r="7622" spans="1:5">
      <c r="A7622" s="484">
        <v>2429</v>
      </c>
      <c r="B7622" s="485" t="s">
        <v>4832</v>
      </c>
      <c r="C7622" s="484" t="s">
        <v>65</v>
      </c>
      <c r="D7622" s="486">
        <v>61.48</v>
      </c>
      <c r="E7622" s="486">
        <v>61.48</v>
      </c>
    </row>
    <row r="7623" spans="1:5">
      <c r="A7623" s="349">
        <v>11449</v>
      </c>
      <c r="B7623" s="348" t="s">
        <v>4833</v>
      </c>
      <c r="C7623" s="349" t="s">
        <v>65</v>
      </c>
      <c r="D7623" s="483">
        <v>66.23</v>
      </c>
      <c r="E7623" s="483">
        <v>66.23</v>
      </c>
    </row>
    <row r="7624" spans="1:5">
      <c r="A7624" s="484">
        <v>11451</v>
      </c>
      <c r="B7624" s="485" t="s">
        <v>4835</v>
      </c>
      <c r="C7624" s="484" t="s">
        <v>65</v>
      </c>
      <c r="D7624" s="486">
        <v>65.12</v>
      </c>
      <c r="E7624" s="486">
        <v>65.12</v>
      </c>
    </row>
    <row r="7625" spans="1:5">
      <c r="A7625" s="349">
        <v>11116</v>
      </c>
      <c r="B7625" s="348" t="s">
        <v>4836</v>
      </c>
      <c r="C7625" s="349" t="s">
        <v>65</v>
      </c>
      <c r="D7625" s="483">
        <v>263.85000000000002</v>
      </c>
      <c r="E7625" s="483">
        <v>263.85000000000002</v>
      </c>
    </row>
    <row r="7626" spans="1:5">
      <c r="A7626" s="484">
        <v>38411</v>
      </c>
      <c r="B7626" s="485" t="s">
        <v>4837</v>
      </c>
      <c r="C7626" s="484" t="s">
        <v>65</v>
      </c>
      <c r="D7626" s="486">
        <v>1034.24</v>
      </c>
      <c r="E7626" s="486">
        <v>1034.24</v>
      </c>
    </row>
    <row r="7627" spans="1:5">
      <c r="A7627" s="349">
        <v>1370</v>
      </c>
      <c r="B7627" s="348" t="s">
        <v>4839</v>
      </c>
      <c r="C7627" s="349" t="s">
        <v>65</v>
      </c>
      <c r="D7627" s="483">
        <v>63.3</v>
      </c>
      <c r="E7627" s="483">
        <v>63.3</v>
      </c>
    </row>
    <row r="7628" spans="1:5">
      <c r="A7628" s="484">
        <v>38189</v>
      </c>
      <c r="B7628" s="485" t="s">
        <v>4840</v>
      </c>
      <c r="C7628" s="484" t="s">
        <v>65</v>
      </c>
      <c r="D7628" s="486">
        <v>163</v>
      </c>
      <c r="E7628" s="486">
        <v>163</v>
      </c>
    </row>
    <row r="7629" spans="1:5">
      <c r="A7629" s="349">
        <v>38190</v>
      </c>
      <c r="B7629" s="348" t="s">
        <v>4841</v>
      </c>
      <c r="C7629" s="349" t="s">
        <v>65</v>
      </c>
      <c r="D7629" s="483">
        <v>366.54</v>
      </c>
      <c r="E7629" s="483">
        <v>366.54</v>
      </c>
    </row>
    <row r="7630" spans="1:5" ht="30">
      <c r="A7630" s="484">
        <v>36516</v>
      </c>
      <c r="B7630" s="485" t="s">
        <v>4842</v>
      </c>
      <c r="C7630" s="484" t="s">
        <v>65</v>
      </c>
      <c r="D7630" s="486">
        <v>66004.66</v>
      </c>
      <c r="E7630" s="486">
        <v>66004.66</v>
      </c>
    </row>
    <row r="7631" spans="1:5">
      <c r="A7631" s="349">
        <v>34777</v>
      </c>
      <c r="B7631" s="348" t="s">
        <v>4847</v>
      </c>
      <c r="C7631" s="349" t="s">
        <v>65</v>
      </c>
      <c r="D7631" s="483">
        <v>1.31</v>
      </c>
      <c r="E7631" s="483">
        <v>1.31</v>
      </c>
    </row>
    <row r="7632" spans="1:5">
      <c r="A7632" s="484">
        <v>7273</v>
      </c>
      <c r="B7632" s="485" t="s">
        <v>4848</v>
      </c>
      <c r="C7632" s="484" t="s">
        <v>65</v>
      </c>
      <c r="D7632" s="486">
        <v>2.15</v>
      </c>
      <c r="E7632" s="486">
        <v>2.15</v>
      </c>
    </row>
    <row r="7633" spans="1:5">
      <c r="A7633" s="349">
        <v>7272</v>
      </c>
      <c r="B7633" s="348" t="s">
        <v>4849</v>
      </c>
      <c r="C7633" s="349" t="s">
        <v>65</v>
      </c>
      <c r="D7633" s="483">
        <v>3</v>
      </c>
      <c r="E7633" s="483">
        <v>3</v>
      </c>
    </row>
    <row r="7634" spans="1:5">
      <c r="A7634" s="484">
        <v>10605</v>
      </c>
      <c r="B7634" s="485" t="s">
        <v>4850</v>
      </c>
      <c r="C7634" s="484" t="s">
        <v>65</v>
      </c>
      <c r="D7634" s="486">
        <v>1.99</v>
      </c>
      <c r="E7634" s="486">
        <v>1.99</v>
      </c>
    </row>
    <row r="7635" spans="1:5">
      <c r="A7635" s="349">
        <v>10604</v>
      </c>
      <c r="B7635" s="348" t="s">
        <v>4851</v>
      </c>
      <c r="C7635" s="349" t="s">
        <v>65</v>
      </c>
      <c r="D7635" s="483">
        <v>3.98</v>
      </c>
      <c r="E7635" s="483">
        <v>3.98</v>
      </c>
    </row>
    <row r="7636" spans="1:5">
      <c r="A7636" s="484">
        <v>672</v>
      </c>
      <c r="B7636" s="485" t="s">
        <v>4852</v>
      </c>
      <c r="C7636" s="484" t="s">
        <v>65</v>
      </c>
      <c r="D7636" s="486">
        <v>4.01</v>
      </c>
      <c r="E7636" s="486">
        <v>4.01</v>
      </c>
    </row>
    <row r="7637" spans="1:5">
      <c r="A7637" s="349">
        <v>668</v>
      </c>
      <c r="B7637" s="348" t="s">
        <v>4853</v>
      </c>
      <c r="C7637" s="349" t="s">
        <v>65</v>
      </c>
      <c r="D7637" s="483">
        <v>6.33</v>
      </c>
      <c r="E7637" s="483">
        <v>6.33</v>
      </c>
    </row>
    <row r="7638" spans="1:5">
      <c r="A7638" s="484">
        <v>10578</v>
      </c>
      <c r="B7638" s="485" t="s">
        <v>4854</v>
      </c>
      <c r="C7638" s="484" t="s">
        <v>65</v>
      </c>
      <c r="D7638" s="486">
        <v>11.03</v>
      </c>
      <c r="E7638" s="486">
        <v>11.03</v>
      </c>
    </row>
    <row r="7639" spans="1:5">
      <c r="A7639" s="349">
        <v>666</v>
      </c>
      <c r="B7639" s="348" t="s">
        <v>4855</v>
      </c>
      <c r="C7639" s="349" t="s">
        <v>65</v>
      </c>
      <c r="D7639" s="483">
        <v>10.95</v>
      </c>
      <c r="E7639" s="483">
        <v>10.95</v>
      </c>
    </row>
    <row r="7640" spans="1:5">
      <c r="A7640" s="484">
        <v>665</v>
      </c>
      <c r="B7640" s="485" t="s">
        <v>4856</v>
      </c>
      <c r="C7640" s="484" t="s">
        <v>65</v>
      </c>
      <c r="D7640" s="486">
        <v>20.52</v>
      </c>
      <c r="E7640" s="486">
        <v>20.52</v>
      </c>
    </row>
    <row r="7641" spans="1:5">
      <c r="A7641" s="349">
        <v>10577</v>
      </c>
      <c r="B7641" s="348" t="s">
        <v>4857</v>
      </c>
      <c r="C7641" s="349" t="s">
        <v>65</v>
      </c>
      <c r="D7641" s="483">
        <v>16.059999999999999</v>
      </c>
      <c r="E7641" s="483">
        <v>16.059999999999999</v>
      </c>
    </row>
    <row r="7642" spans="1:5">
      <c r="A7642" s="484">
        <v>10583</v>
      </c>
      <c r="B7642" s="485" t="s">
        <v>4858</v>
      </c>
      <c r="C7642" s="484" t="s">
        <v>65</v>
      </c>
      <c r="D7642" s="486">
        <v>9</v>
      </c>
      <c r="E7642" s="486">
        <v>9</v>
      </c>
    </row>
    <row r="7643" spans="1:5">
      <c r="A7643" s="349">
        <v>10579</v>
      </c>
      <c r="B7643" s="348" t="s">
        <v>4859</v>
      </c>
      <c r="C7643" s="349" t="s">
        <v>65</v>
      </c>
      <c r="D7643" s="483">
        <v>14.69</v>
      </c>
      <c r="E7643" s="483">
        <v>14.69</v>
      </c>
    </row>
    <row r="7644" spans="1:5">
      <c r="A7644" s="484">
        <v>10582</v>
      </c>
      <c r="B7644" s="485" t="s">
        <v>4860</v>
      </c>
      <c r="C7644" s="484" t="s">
        <v>65</v>
      </c>
      <c r="D7644" s="486">
        <v>5.14</v>
      </c>
      <c r="E7644" s="486">
        <v>5.14</v>
      </c>
    </row>
    <row r="7645" spans="1:5">
      <c r="A7645" s="349">
        <v>2436</v>
      </c>
      <c r="B7645" s="348" t="s">
        <v>163</v>
      </c>
      <c r="C7645" s="349" t="s">
        <v>57</v>
      </c>
      <c r="D7645" s="483">
        <v>14.74</v>
      </c>
      <c r="E7645" s="483">
        <v>14.74</v>
      </c>
    </row>
    <row r="7646" spans="1:5">
      <c r="A7646" s="484">
        <v>40918</v>
      </c>
      <c r="B7646" s="485" t="s">
        <v>4861</v>
      </c>
      <c r="C7646" s="484" t="s">
        <v>1643</v>
      </c>
      <c r="D7646" s="486">
        <v>2597.41</v>
      </c>
      <c r="E7646" s="486">
        <v>2597.41</v>
      </c>
    </row>
    <row r="7647" spans="1:5">
      <c r="A7647" s="349">
        <v>40923</v>
      </c>
      <c r="B7647" s="348" t="s">
        <v>4862</v>
      </c>
      <c r="C7647" s="349" t="s">
        <v>1643</v>
      </c>
      <c r="D7647" s="483">
        <v>3346.37</v>
      </c>
      <c r="E7647" s="483">
        <v>3346.37</v>
      </c>
    </row>
    <row r="7648" spans="1:5">
      <c r="A7648" s="484">
        <v>2439</v>
      </c>
      <c r="B7648" s="485" t="s">
        <v>164</v>
      </c>
      <c r="C7648" s="484" t="s">
        <v>57</v>
      </c>
      <c r="D7648" s="486">
        <v>18.98</v>
      </c>
      <c r="E7648" s="486">
        <v>18.98</v>
      </c>
    </row>
    <row r="7649" spans="1:5">
      <c r="A7649" s="349">
        <v>10998</v>
      </c>
      <c r="B7649" s="348" t="s">
        <v>11308</v>
      </c>
      <c r="C7649" s="349" t="s">
        <v>90</v>
      </c>
      <c r="D7649" s="483">
        <v>22.5</v>
      </c>
      <c r="E7649" s="483">
        <v>22.5</v>
      </c>
    </row>
    <row r="7650" spans="1:5">
      <c r="A7650" s="484">
        <v>11002</v>
      </c>
      <c r="B7650" s="485" t="s">
        <v>11309</v>
      </c>
      <c r="C7650" s="484" t="s">
        <v>90</v>
      </c>
      <c r="D7650" s="486">
        <v>20.61</v>
      </c>
      <c r="E7650" s="486">
        <v>20.61</v>
      </c>
    </row>
    <row r="7651" spans="1:5">
      <c r="A7651" s="349">
        <v>10999</v>
      </c>
      <c r="B7651" s="348" t="s">
        <v>11310</v>
      </c>
      <c r="C7651" s="349" t="s">
        <v>90</v>
      </c>
      <c r="D7651" s="483">
        <v>19.809999999999999</v>
      </c>
      <c r="E7651" s="483">
        <v>19.809999999999999</v>
      </c>
    </row>
    <row r="7652" spans="1:5">
      <c r="A7652" s="484">
        <v>10997</v>
      </c>
      <c r="B7652" s="485" t="s">
        <v>11311</v>
      </c>
      <c r="C7652" s="484" t="s">
        <v>90</v>
      </c>
      <c r="D7652" s="486">
        <v>21.47</v>
      </c>
      <c r="E7652" s="486">
        <v>21.47</v>
      </c>
    </row>
    <row r="7653" spans="1:5">
      <c r="A7653" s="349">
        <v>2685</v>
      </c>
      <c r="B7653" s="348" t="s">
        <v>4863</v>
      </c>
      <c r="C7653" s="349" t="s">
        <v>71</v>
      </c>
      <c r="D7653" s="483">
        <v>2.93</v>
      </c>
      <c r="E7653" s="483">
        <v>2.93</v>
      </c>
    </row>
    <row r="7654" spans="1:5">
      <c r="A7654" s="484">
        <v>2680</v>
      </c>
      <c r="B7654" s="485" t="s">
        <v>4864</v>
      </c>
      <c r="C7654" s="484" t="s">
        <v>71</v>
      </c>
      <c r="D7654" s="486">
        <v>4.3</v>
      </c>
      <c r="E7654" s="486">
        <v>4.3</v>
      </c>
    </row>
    <row r="7655" spans="1:5">
      <c r="A7655" s="349">
        <v>2684</v>
      </c>
      <c r="B7655" s="348" t="s">
        <v>4865</v>
      </c>
      <c r="C7655" s="349" t="s">
        <v>71</v>
      </c>
      <c r="D7655" s="483">
        <v>3.91</v>
      </c>
      <c r="E7655" s="483">
        <v>3.91</v>
      </c>
    </row>
    <row r="7656" spans="1:5">
      <c r="A7656" s="484">
        <v>2673</v>
      </c>
      <c r="B7656" s="485" t="s">
        <v>4866</v>
      </c>
      <c r="C7656" s="484" t="s">
        <v>71</v>
      </c>
      <c r="D7656" s="486">
        <v>1.51</v>
      </c>
      <c r="E7656" s="486">
        <v>1.51</v>
      </c>
    </row>
    <row r="7657" spans="1:5">
      <c r="A7657" s="349">
        <v>2681</v>
      </c>
      <c r="B7657" s="348" t="s">
        <v>4867</v>
      </c>
      <c r="C7657" s="349" t="s">
        <v>71</v>
      </c>
      <c r="D7657" s="483">
        <v>7.02</v>
      </c>
      <c r="E7657" s="483">
        <v>7.02</v>
      </c>
    </row>
    <row r="7658" spans="1:5">
      <c r="A7658" s="484">
        <v>2682</v>
      </c>
      <c r="B7658" s="485" t="s">
        <v>4868</v>
      </c>
      <c r="C7658" s="484" t="s">
        <v>71</v>
      </c>
      <c r="D7658" s="486">
        <v>10.25</v>
      </c>
      <c r="E7658" s="486">
        <v>10.25</v>
      </c>
    </row>
    <row r="7659" spans="1:5">
      <c r="A7659" s="349">
        <v>2686</v>
      </c>
      <c r="B7659" s="348" t="s">
        <v>4869</v>
      </c>
      <c r="C7659" s="349" t="s">
        <v>71</v>
      </c>
      <c r="D7659" s="483">
        <v>12.85</v>
      </c>
      <c r="E7659" s="483">
        <v>12.85</v>
      </c>
    </row>
    <row r="7660" spans="1:5">
      <c r="A7660" s="484">
        <v>2674</v>
      </c>
      <c r="B7660" s="485" t="s">
        <v>4870</v>
      </c>
      <c r="C7660" s="484" t="s">
        <v>71</v>
      </c>
      <c r="D7660" s="486">
        <v>1.88</v>
      </c>
      <c r="E7660" s="486">
        <v>1.88</v>
      </c>
    </row>
    <row r="7661" spans="1:5">
      <c r="A7661" s="349">
        <v>2683</v>
      </c>
      <c r="B7661" s="348" t="s">
        <v>4871</v>
      </c>
      <c r="C7661" s="349" t="s">
        <v>71</v>
      </c>
      <c r="D7661" s="483">
        <v>20.25</v>
      </c>
      <c r="E7661" s="483">
        <v>20.25</v>
      </c>
    </row>
    <row r="7662" spans="1:5">
      <c r="A7662" s="484">
        <v>2676</v>
      </c>
      <c r="B7662" s="485" t="s">
        <v>4872</v>
      </c>
      <c r="C7662" s="484" t="s">
        <v>71</v>
      </c>
      <c r="D7662" s="486">
        <v>0.87</v>
      </c>
      <c r="E7662" s="486">
        <v>0.87</v>
      </c>
    </row>
    <row r="7663" spans="1:5">
      <c r="A7663" s="349">
        <v>2678</v>
      </c>
      <c r="B7663" s="348" t="s">
        <v>4873</v>
      </c>
      <c r="C7663" s="349" t="s">
        <v>71</v>
      </c>
      <c r="D7663" s="483">
        <v>1.1000000000000001</v>
      </c>
      <c r="E7663" s="483">
        <v>1.1000000000000001</v>
      </c>
    </row>
    <row r="7664" spans="1:5">
      <c r="A7664" s="484">
        <v>2679</v>
      </c>
      <c r="B7664" s="485" t="s">
        <v>4874</v>
      </c>
      <c r="C7664" s="484" t="s">
        <v>71</v>
      </c>
      <c r="D7664" s="486">
        <v>1.69</v>
      </c>
      <c r="E7664" s="486">
        <v>1.69</v>
      </c>
    </row>
    <row r="7665" spans="1:5">
      <c r="A7665" s="349">
        <v>12070</v>
      </c>
      <c r="B7665" s="348" t="s">
        <v>4875</v>
      </c>
      <c r="C7665" s="349" t="s">
        <v>71</v>
      </c>
      <c r="D7665" s="483">
        <v>2.36</v>
      </c>
      <c r="E7665" s="483">
        <v>2.36</v>
      </c>
    </row>
    <row r="7666" spans="1:5">
      <c r="A7666" s="484">
        <v>2675</v>
      </c>
      <c r="B7666" s="485" t="s">
        <v>4876</v>
      </c>
      <c r="C7666" s="484" t="s">
        <v>71</v>
      </c>
      <c r="D7666" s="486">
        <v>3.06</v>
      </c>
      <c r="E7666" s="486">
        <v>3.06</v>
      </c>
    </row>
    <row r="7667" spans="1:5">
      <c r="A7667" s="349">
        <v>12067</v>
      </c>
      <c r="B7667" s="348" t="s">
        <v>4877</v>
      </c>
      <c r="C7667" s="349" t="s">
        <v>71</v>
      </c>
      <c r="D7667" s="483">
        <v>4.16</v>
      </c>
      <c r="E7667" s="483">
        <v>4.16</v>
      </c>
    </row>
    <row r="7668" spans="1:5">
      <c r="A7668" s="484">
        <v>21129</v>
      </c>
      <c r="B7668" s="485" t="s">
        <v>19532</v>
      </c>
      <c r="C7668" s="484" t="s">
        <v>71</v>
      </c>
      <c r="D7668" s="486">
        <v>4.3600000000000003</v>
      </c>
      <c r="E7668" s="486">
        <v>4.3600000000000003</v>
      </c>
    </row>
    <row r="7669" spans="1:5">
      <c r="A7669" s="349">
        <v>21136</v>
      </c>
      <c r="B7669" s="348" t="s">
        <v>19533</v>
      </c>
      <c r="C7669" s="349" t="s">
        <v>71</v>
      </c>
      <c r="D7669" s="483">
        <v>6.69</v>
      </c>
      <c r="E7669" s="483">
        <v>6.69</v>
      </c>
    </row>
    <row r="7670" spans="1:5">
      <c r="A7670" s="484">
        <v>21128</v>
      </c>
      <c r="B7670" s="485" t="s">
        <v>19534</v>
      </c>
      <c r="C7670" s="484" t="s">
        <v>71</v>
      </c>
      <c r="D7670" s="486">
        <v>5.18</v>
      </c>
      <c r="E7670" s="486">
        <v>5.18</v>
      </c>
    </row>
    <row r="7671" spans="1:5">
      <c r="A7671" s="349">
        <v>21132</v>
      </c>
      <c r="B7671" s="348" t="s">
        <v>19535</v>
      </c>
      <c r="C7671" s="349" t="s">
        <v>71</v>
      </c>
      <c r="D7671" s="483">
        <v>56.26</v>
      </c>
      <c r="E7671" s="483">
        <v>56.26</v>
      </c>
    </row>
    <row r="7672" spans="1:5" ht="30">
      <c r="A7672" s="484">
        <v>21130</v>
      </c>
      <c r="B7672" s="485" t="s">
        <v>19536</v>
      </c>
      <c r="C7672" s="484" t="s">
        <v>71</v>
      </c>
      <c r="D7672" s="486">
        <v>13.08</v>
      </c>
      <c r="E7672" s="486">
        <v>13.08</v>
      </c>
    </row>
    <row r="7673" spans="1:5" ht="30">
      <c r="A7673" s="349">
        <v>21135</v>
      </c>
      <c r="B7673" s="348" t="s">
        <v>19537</v>
      </c>
      <c r="C7673" s="349" t="s">
        <v>71</v>
      </c>
      <c r="D7673" s="483">
        <v>12.88</v>
      </c>
      <c r="E7673" s="483">
        <v>12.88</v>
      </c>
    </row>
    <row r="7674" spans="1:5" ht="30">
      <c r="A7674" s="484">
        <v>21131</v>
      </c>
      <c r="B7674" s="485" t="s">
        <v>19538</v>
      </c>
      <c r="C7674" s="484" t="s">
        <v>71</v>
      </c>
      <c r="D7674" s="486">
        <v>32.020000000000003</v>
      </c>
      <c r="E7674" s="486">
        <v>32.020000000000003</v>
      </c>
    </row>
    <row r="7675" spans="1:5" ht="30">
      <c r="A7675" s="349">
        <v>21134</v>
      </c>
      <c r="B7675" s="348" t="s">
        <v>19539</v>
      </c>
      <c r="C7675" s="349" t="s">
        <v>71</v>
      </c>
      <c r="D7675" s="483">
        <v>18.8</v>
      </c>
      <c r="E7675" s="483">
        <v>18.8</v>
      </c>
    </row>
    <row r="7676" spans="1:5" ht="30">
      <c r="A7676" s="484">
        <v>21133</v>
      </c>
      <c r="B7676" s="485" t="s">
        <v>19540</v>
      </c>
      <c r="C7676" s="484" t="s">
        <v>71</v>
      </c>
      <c r="D7676" s="486">
        <v>37.590000000000003</v>
      </c>
      <c r="E7676" s="486">
        <v>37.590000000000003</v>
      </c>
    </row>
    <row r="7677" spans="1:5" ht="30">
      <c r="A7677" s="349">
        <v>2504</v>
      </c>
      <c r="B7677" s="348" t="s">
        <v>19541</v>
      </c>
      <c r="C7677" s="349" t="s">
        <v>71</v>
      </c>
      <c r="D7677" s="483">
        <v>5.74</v>
      </c>
      <c r="E7677" s="483">
        <v>5.74</v>
      </c>
    </row>
    <row r="7678" spans="1:5" ht="30">
      <c r="A7678" s="484">
        <v>2501</v>
      </c>
      <c r="B7678" s="485" t="s">
        <v>19542</v>
      </c>
      <c r="C7678" s="484" t="s">
        <v>71</v>
      </c>
      <c r="D7678" s="486">
        <v>7.53</v>
      </c>
      <c r="E7678" s="486">
        <v>7.53</v>
      </c>
    </row>
    <row r="7679" spans="1:5" ht="30">
      <c r="A7679" s="349">
        <v>2502</v>
      </c>
      <c r="B7679" s="348" t="s">
        <v>19543</v>
      </c>
      <c r="C7679" s="349" t="s">
        <v>71</v>
      </c>
      <c r="D7679" s="483">
        <v>11.37</v>
      </c>
      <c r="E7679" s="483">
        <v>11.37</v>
      </c>
    </row>
    <row r="7680" spans="1:5" ht="30">
      <c r="A7680" s="484">
        <v>2503</v>
      </c>
      <c r="B7680" s="485" t="s">
        <v>19544</v>
      </c>
      <c r="C7680" s="484" t="s">
        <v>71</v>
      </c>
      <c r="D7680" s="486">
        <v>14.63</v>
      </c>
      <c r="E7680" s="486">
        <v>14.63</v>
      </c>
    </row>
    <row r="7681" spans="1:5" ht="30">
      <c r="A7681" s="349">
        <v>2500</v>
      </c>
      <c r="B7681" s="348" t="s">
        <v>19545</v>
      </c>
      <c r="C7681" s="349" t="s">
        <v>71</v>
      </c>
      <c r="D7681" s="483">
        <v>19.489999999999998</v>
      </c>
      <c r="E7681" s="483">
        <v>19.489999999999998</v>
      </c>
    </row>
    <row r="7682" spans="1:5" ht="30">
      <c r="A7682" s="484">
        <v>2505</v>
      </c>
      <c r="B7682" s="485" t="s">
        <v>19546</v>
      </c>
      <c r="C7682" s="484" t="s">
        <v>71</v>
      </c>
      <c r="D7682" s="486">
        <v>30.38</v>
      </c>
      <c r="E7682" s="486">
        <v>30.38</v>
      </c>
    </row>
    <row r="7683" spans="1:5">
      <c r="A7683" s="349">
        <v>12056</v>
      </c>
      <c r="B7683" s="348" t="s">
        <v>19547</v>
      </c>
      <c r="C7683" s="349" t="s">
        <v>71</v>
      </c>
      <c r="D7683" s="483">
        <v>12.27</v>
      </c>
      <c r="E7683" s="483">
        <v>12.27</v>
      </c>
    </row>
    <row r="7684" spans="1:5">
      <c r="A7684" s="484">
        <v>12057</v>
      </c>
      <c r="B7684" s="485" t="s">
        <v>19548</v>
      </c>
      <c r="C7684" s="484" t="s">
        <v>71</v>
      </c>
      <c r="D7684" s="486">
        <v>10.43</v>
      </c>
      <c r="E7684" s="486">
        <v>10.43</v>
      </c>
    </row>
    <row r="7685" spans="1:5">
      <c r="A7685" s="349">
        <v>12059</v>
      </c>
      <c r="B7685" s="348" t="s">
        <v>19549</v>
      </c>
      <c r="C7685" s="349" t="s">
        <v>71</v>
      </c>
      <c r="D7685" s="483">
        <v>3.66</v>
      </c>
      <c r="E7685" s="483">
        <v>3.66</v>
      </c>
    </row>
    <row r="7686" spans="1:5">
      <c r="A7686" s="484">
        <v>12058</v>
      </c>
      <c r="B7686" s="485" t="s">
        <v>19550</v>
      </c>
      <c r="C7686" s="484" t="s">
        <v>71</v>
      </c>
      <c r="D7686" s="486">
        <v>6.5</v>
      </c>
      <c r="E7686" s="486">
        <v>6.5</v>
      </c>
    </row>
    <row r="7687" spans="1:5">
      <c r="A7687" s="349">
        <v>12060</v>
      </c>
      <c r="B7687" s="348" t="s">
        <v>19551</v>
      </c>
      <c r="C7687" s="349" t="s">
        <v>71</v>
      </c>
      <c r="D7687" s="483">
        <v>27.09</v>
      </c>
      <c r="E7687" s="483">
        <v>27.09</v>
      </c>
    </row>
    <row r="7688" spans="1:5">
      <c r="A7688" s="484">
        <v>12061</v>
      </c>
      <c r="B7688" s="485" t="s">
        <v>19552</v>
      </c>
      <c r="C7688" s="484" t="s">
        <v>71</v>
      </c>
      <c r="D7688" s="486">
        <v>16.54</v>
      </c>
      <c r="E7688" s="486">
        <v>16.54</v>
      </c>
    </row>
    <row r="7689" spans="1:5">
      <c r="A7689" s="349">
        <v>12062</v>
      </c>
      <c r="B7689" s="348" t="s">
        <v>19553</v>
      </c>
      <c r="C7689" s="349" t="s">
        <v>71</v>
      </c>
      <c r="D7689" s="483">
        <v>30.51</v>
      </c>
      <c r="E7689" s="483">
        <v>30.51</v>
      </c>
    </row>
    <row r="7690" spans="1:5" ht="30">
      <c r="A7690" s="484">
        <v>21137</v>
      </c>
      <c r="B7690" s="485" t="s">
        <v>11312</v>
      </c>
      <c r="C7690" s="484" t="s">
        <v>71</v>
      </c>
      <c r="D7690" s="486">
        <v>5.3</v>
      </c>
      <c r="E7690" s="486">
        <v>5.3</v>
      </c>
    </row>
    <row r="7691" spans="1:5">
      <c r="A7691" s="349">
        <v>2687</v>
      </c>
      <c r="B7691" s="348" t="s">
        <v>4887</v>
      </c>
      <c r="C7691" s="349" t="s">
        <v>71</v>
      </c>
      <c r="D7691" s="483">
        <v>0.76</v>
      </c>
      <c r="E7691" s="483">
        <v>0.76</v>
      </c>
    </row>
    <row r="7692" spans="1:5">
      <c r="A7692" s="484">
        <v>2689</v>
      </c>
      <c r="B7692" s="485" t="s">
        <v>4888</v>
      </c>
      <c r="C7692" s="484" t="s">
        <v>71</v>
      </c>
      <c r="D7692" s="486">
        <v>0.91</v>
      </c>
      <c r="E7692" s="486">
        <v>0.91</v>
      </c>
    </row>
    <row r="7693" spans="1:5">
      <c r="A7693" s="349">
        <v>2688</v>
      </c>
      <c r="B7693" s="348" t="s">
        <v>4889</v>
      </c>
      <c r="C7693" s="349" t="s">
        <v>71</v>
      </c>
      <c r="D7693" s="483">
        <v>0.98</v>
      </c>
      <c r="E7693" s="483">
        <v>0.98</v>
      </c>
    </row>
    <row r="7694" spans="1:5">
      <c r="A7694" s="484">
        <v>2690</v>
      </c>
      <c r="B7694" s="485" t="s">
        <v>4890</v>
      </c>
      <c r="C7694" s="484" t="s">
        <v>71</v>
      </c>
      <c r="D7694" s="486">
        <v>1.69</v>
      </c>
      <c r="E7694" s="486">
        <v>1.69</v>
      </c>
    </row>
    <row r="7695" spans="1:5" ht="30">
      <c r="A7695" s="349">
        <v>39243</v>
      </c>
      <c r="B7695" s="348" t="s">
        <v>4891</v>
      </c>
      <c r="C7695" s="349" t="s">
        <v>71</v>
      </c>
      <c r="D7695" s="483">
        <v>1.1100000000000001</v>
      </c>
      <c r="E7695" s="483">
        <v>1.1100000000000001</v>
      </c>
    </row>
    <row r="7696" spans="1:5" ht="30">
      <c r="A7696" s="484">
        <v>39244</v>
      </c>
      <c r="B7696" s="485" t="s">
        <v>4892</v>
      </c>
      <c r="C7696" s="484" t="s">
        <v>71</v>
      </c>
      <c r="D7696" s="486">
        <v>1.5</v>
      </c>
      <c r="E7696" s="486">
        <v>1.5</v>
      </c>
    </row>
    <row r="7697" spans="1:5" ht="30">
      <c r="A7697" s="349">
        <v>39245</v>
      </c>
      <c r="B7697" s="348" t="s">
        <v>4893</v>
      </c>
      <c r="C7697" s="349" t="s">
        <v>71</v>
      </c>
      <c r="D7697" s="483">
        <v>2.9</v>
      </c>
      <c r="E7697" s="483">
        <v>2.9</v>
      </c>
    </row>
    <row r="7698" spans="1:5">
      <c r="A7698" s="484">
        <v>2446</v>
      </c>
      <c r="B7698" s="485" t="s">
        <v>165</v>
      </c>
      <c r="C7698" s="484" t="s">
        <v>71</v>
      </c>
      <c r="D7698" s="486">
        <v>7.5</v>
      </c>
      <c r="E7698" s="486">
        <v>7.5</v>
      </c>
    </row>
    <row r="7699" spans="1:5">
      <c r="A7699" s="349">
        <v>2442</v>
      </c>
      <c r="B7699" s="348" t="s">
        <v>166</v>
      </c>
      <c r="C7699" s="349" t="s">
        <v>71</v>
      </c>
      <c r="D7699" s="483">
        <v>12.13</v>
      </c>
      <c r="E7699" s="483">
        <v>12.13</v>
      </c>
    </row>
    <row r="7700" spans="1:5" ht="30">
      <c r="A7700" s="484">
        <v>39254</v>
      </c>
      <c r="B7700" s="485" t="s">
        <v>4912</v>
      </c>
      <c r="C7700" s="484" t="s">
        <v>71</v>
      </c>
      <c r="D7700" s="486">
        <v>4.33</v>
      </c>
      <c r="E7700" s="486">
        <v>4.33</v>
      </c>
    </row>
    <row r="7701" spans="1:5" ht="30">
      <c r="A7701" s="349">
        <v>39255</v>
      </c>
      <c r="B7701" s="348" t="s">
        <v>4911</v>
      </c>
      <c r="C7701" s="349" t="s">
        <v>71</v>
      </c>
      <c r="D7701" s="483">
        <v>8.02</v>
      </c>
      <c r="E7701" s="483">
        <v>8.02</v>
      </c>
    </row>
    <row r="7702" spans="1:5" ht="30">
      <c r="A7702" s="484">
        <v>39253</v>
      </c>
      <c r="B7702" s="485" t="s">
        <v>4913</v>
      </c>
      <c r="C7702" s="484" t="s">
        <v>71</v>
      </c>
      <c r="D7702" s="486">
        <v>5.52</v>
      </c>
      <c r="E7702" s="486">
        <v>5.52</v>
      </c>
    </row>
    <row r="7703" spans="1:5">
      <c r="A7703" s="349">
        <v>2438</v>
      </c>
      <c r="B7703" s="348" t="s">
        <v>4914</v>
      </c>
      <c r="C7703" s="349" t="s">
        <v>57</v>
      </c>
      <c r="D7703" s="483">
        <v>22.6</v>
      </c>
      <c r="E7703" s="483">
        <v>22.6</v>
      </c>
    </row>
    <row r="7704" spans="1:5">
      <c r="A7704" s="484">
        <v>40922</v>
      </c>
      <c r="B7704" s="485" t="s">
        <v>4915</v>
      </c>
      <c r="C7704" s="484" t="s">
        <v>1643</v>
      </c>
      <c r="D7704" s="486">
        <v>3984.69</v>
      </c>
      <c r="E7704" s="486">
        <v>3984.69</v>
      </c>
    </row>
    <row r="7705" spans="1:5" ht="45">
      <c r="A7705" s="349">
        <v>36486</v>
      </c>
      <c r="B7705" s="348" t="s">
        <v>4917</v>
      </c>
      <c r="C7705" s="349" t="s">
        <v>65</v>
      </c>
      <c r="D7705" s="483">
        <v>32646.5</v>
      </c>
      <c r="E7705" s="483">
        <v>32646.5</v>
      </c>
    </row>
    <row r="7706" spans="1:5" ht="45">
      <c r="A7706" s="484">
        <v>37777</v>
      </c>
      <c r="B7706" s="485" t="s">
        <v>4918</v>
      </c>
      <c r="C7706" s="484" t="s">
        <v>65</v>
      </c>
      <c r="D7706" s="486">
        <v>153699.1</v>
      </c>
      <c r="E7706" s="486">
        <v>153699.1</v>
      </c>
    </row>
    <row r="7707" spans="1:5" ht="30">
      <c r="A7707" s="349">
        <v>12624</v>
      </c>
      <c r="B7707" s="348" t="s">
        <v>4987</v>
      </c>
      <c r="C7707" s="349" t="s">
        <v>65</v>
      </c>
      <c r="D7707" s="483">
        <v>8.1</v>
      </c>
      <c r="E7707" s="483">
        <v>8.1</v>
      </c>
    </row>
    <row r="7708" spans="1:5" ht="30">
      <c r="A7708" s="484">
        <v>10638</v>
      </c>
      <c r="B7708" s="485" t="s">
        <v>4988</v>
      </c>
      <c r="C7708" s="484" t="s">
        <v>65</v>
      </c>
      <c r="D7708" s="486">
        <v>319274.99</v>
      </c>
      <c r="E7708" s="486">
        <v>319274.99</v>
      </c>
    </row>
    <row r="7709" spans="1:5" ht="30">
      <c r="A7709" s="349">
        <v>10635</v>
      </c>
      <c r="B7709" s="348" t="s">
        <v>4989</v>
      </c>
      <c r="C7709" s="349" t="s">
        <v>65</v>
      </c>
      <c r="D7709" s="483">
        <v>110357.67</v>
      </c>
      <c r="E7709" s="483">
        <v>110357.67</v>
      </c>
    </row>
    <row r="7710" spans="1:5" ht="45">
      <c r="A7710" s="484">
        <v>10634</v>
      </c>
      <c r="B7710" s="485" t="s">
        <v>4990</v>
      </c>
      <c r="C7710" s="484" t="s">
        <v>65</v>
      </c>
      <c r="D7710" s="486">
        <v>94500</v>
      </c>
      <c r="E7710" s="486">
        <v>94500</v>
      </c>
    </row>
    <row r="7711" spans="1:5" ht="30">
      <c r="A7711" s="349">
        <v>10636</v>
      </c>
      <c r="B7711" s="348" t="s">
        <v>4991</v>
      </c>
      <c r="C7711" s="349" t="s">
        <v>65</v>
      </c>
      <c r="D7711" s="483">
        <v>208112.14</v>
      </c>
      <c r="E7711" s="483">
        <v>208112.14</v>
      </c>
    </row>
    <row r="7712" spans="1:5" ht="30">
      <c r="A7712" s="484">
        <v>10637</v>
      </c>
      <c r="B7712" s="485" t="s">
        <v>19554</v>
      </c>
      <c r="C7712" s="484" t="s">
        <v>65</v>
      </c>
      <c r="D7712" s="486">
        <v>217687.49</v>
      </c>
      <c r="E7712" s="486">
        <v>217687.49</v>
      </c>
    </row>
    <row r="7713" spans="1:5">
      <c r="A7713" s="349">
        <v>517</v>
      </c>
      <c r="B7713" s="348" t="s">
        <v>4993</v>
      </c>
      <c r="C7713" s="349" t="s">
        <v>91</v>
      </c>
      <c r="D7713" s="483">
        <v>5.9</v>
      </c>
      <c r="E7713" s="483">
        <v>5.9</v>
      </c>
    </row>
    <row r="7714" spans="1:5" ht="30">
      <c r="A7714" s="484">
        <v>37534</v>
      </c>
      <c r="B7714" s="485" t="s">
        <v>4998</v>
      </c>
      <c r="C7714" s="484" t="s">
        <v>90</v>
      </c>
      <c r="D7714" s="486">
        <v>13.48</v>
      </c>
      <c r="E7714" s="486">
        <v>13.48</v>
      </c>
    </row>
    <row r="7715" spans="1:5" ht="30">
      <c r="A7715" s="349">
        <v>37535</v>
      </c>
      <c r="B7715" s="348" t="s">
        <v>4999</v>
      </c>
      <c r="C7715" s="349" t="s">
        <v>90</v>
      </c>
      <c r="D7715" s="483">
        <v>13.48</v>
      </c>
      <c r="E7715" s="483">
        <v>13.48</v>
      </c>
    </row>
    <row r="7716" spans="1:5" ht="30">
      <c r="A7716" s="484">
        <v>37533</v>
      </c>
      <c r="B7716" s="485" t="s">
        <v>5000</v>
      </c>
      <c r="C7716" s="484" t="s">
        <v>90</v>
      </c>
      <c r="D7716" s="486">
        <v>13.48</v>
      </c>
      <c r="E7716" s="486">
        <v>13.48</v>
      </c>
    </row>
    <row r="7717" spans="1:5" ht="30">
      <c r="A7717" s="349">
        <v>37537</v>
      </c>
      <c r="B7717" s="348" t="s">
        <v>5001</v>
      </c>
      <c r="C7717" s="349" t="s">
        <v>90</v>
      </c>
      <c r="D7717" s="483">
        <v>10.199999999999999</v>
      </c>
      <c r="E7717" s="483">
        <v>10.199999999999999</v>
      </c>
    </row>
    <row r="7718" spans="1:5" ht="30">
      <c r="A7718" s="484">
        <v>37536</v>
      </c>
      <c r="B7718" s="485" t="s">
        <v>5002</v>
      </c>
      <c r="C7718" s="484" t="s">
        <v>90</v>
      </c>
      <c r="D7718" s="486">
        <v>10.199999999999999</v>
      </c>
      <c r="E7718" s="486">
        <v>10.199999999999999</v>
      </c>
    </row>
    <row r="7719" spans="1:5" ht="30">
      <c r="A7719" s="349">
        <v>37532</v>
      </c>
      <c r="B7719" s="348" t="s">
        <v>5003</v>
      </c>
      <c r="C7719" s="349" t="s">
        <v>90</v>
      </c>
      <c r="D7719" s="483">
        <v>10.199999999999999</v>
      </c>
      <c r="E7719" s="483">
        <v>10.199999999999999</v>
      </c>
    </row>
    <row r="7720" spans="1:5">
      <c r="A7720" s="484">
        <v>2696</v>
      </c>
      <c r="B7720" s="485" t="s">
        <v>5004</v>
      </c>
      <c r="C7720" s="484" t="s">
        <v>57</v>
      </c>
      <c r="D7720" s="486">
        <v>14.74</v>
      </c>
      <c r="E7720" s="486">
        <v>14.74</v>
      </c>
    </row>
    <row r="7721" spans="1:5">
      <c r="A7721" s="349">
        <v>40928</v>
      </c>
      <c r="B7721" s="348" t="s">
        <v>5005</v>
      </c>
      <c r="C7721" s="349" t="s">
        <v>1643</v>
      </c>
      <c r="D7721" s="483">
        <v>2597.41</v>
      </c>
      <c r="E7721" s="483">
        <v>2597.41</v>
      </c>
    </row>
    <row r="7722" spans="1:5">
      <c r="A7722" s="484">
        <v>4083</v>
      </c>
      <c r="B7722" s="485" t="s">
        <v>167</v>
      </c>
      <c r="C7722" s="484" t="s">
        <v>57</v>
      </c>
      <c r="D7722" s="486">
        <v>34.51</v>
      </c>
      <c r="E7722" s="486">
        <v>34.51</v>
      </c>
    </row>
    <row r="7723" spans="1:5">
      <c r="A7723" s="349">
        <v>40818</v>
      </c>
      <c r="B7723" s="348" t="s">
        <v>168</v>
      </c>
      <c r="C7723" s="349" t="s">
        <v>1643</v>
      </c>
      <c r="D7723" s="483">
        <v>6079.87</v>
      </c>
      <c r="E7723" s="483">
        <v>6079.87</v>
      </c>
    </row>
    <row r="7724" spans="1:5">
      <c r="A7724" s="484">
        <v>2705</v>
      </c>
      <c r="B7724" s="485" t="s">
        <v>5008</v>
      </c>
      <c r="C7724" s="484" t="s">
        <v>169</v>
      </c>
      <c r="D7724" s="486">
        <v>0.52</v>
      </c>
      <c r="E7724" s="486">
        <v>0.52</v>
      </c>
    </row>
    <row r="7725" spans="1:5">
      <c r="A7725" s="349">
        <v>11683</v>
      </c>
      <c r="B7725" s="348" t="s">
        <v>5009</v>
      </c>
      <c r="C7725" s="349" t="s">
        <v>65</v>
      </c>
      <c r="D7725" s="483">
        <v>23.71</v>
      </c>
      <c r="E7725" s="483">
        <v>23.71</v>
      </c>
    </row>
    <row r="7726" spans="1:5">
      <c r="A7726" s="484">
        <v>11684</v>
      </c>
      <c r="B7726" s="485" t="s">
        <v>5010</v>
      </c>
      <c r="C7726" s="484" t="s">
        <v>65</v>
      </c>
      <c r="D7726" s="486">
        <v>25.95</v>
      </c>
      <c r="E7726" s="486">
        <v>25.95</v>
      </c>
    </row>
    <row r="7727" spans="1:5">
      <c r="A7727" s="349">
        <v>6141</v>
      </c>
      <c r="B7727" s="348" t="s">
        <v>5015</v>
      </c>
      <c r="C7727" s="349" t="s">
        <v>65</v>
      </c>
      <c r="D7727" s="483">
        <v>2.72</v>
      </c>
      <c r="E7727" s="483">
        <v>2.72</v>
      </c>
    </row>
    <row r="7728" spans="1:5">
      <c r="A7728" s="484">
        <v>11681</v>
      </c>
      <c r="B7728" s="485" t="s">
        <v>5016</v>
      </c>
      <c r="C7728" s="484" t="s">
        <v>65</v>
      </c>
      <c r="D7728" s="486">
        <v>4.21</v>
      </c>
      <c r="E7728" s="486">
        <v>4.21</v>
      </c>
    </row>
    <row r="7729" spans="1:5">
      <c r="A7729" s="349">
        <v>2706</v>
      </c>
      <c r="B7729" s="348" t="s">
        <v>5017</v>
      </c>
      <c r="C7729" s="349" t="s">
        <v>57</v>
      </c>
      <c r="D7729" s="483">
        <v>79.06</v>
      </c>
      <c r="E7729" s="483">
        <v>79.06</v>
      </c>
    </row>
    <row r="7730" spans="1:5">
      <c r="A7730" s="484">
        <v>40811</v>
      </c>
      <c r="B7730" s="485" t="s">
        <v>5018</v>
      </c>
      <c r="C7730" s="484" t="s">
        <v>1643</v>
      </c>
      <c r="D7730" s="486">
        <v>13929.83</v>
      </c>
      <c r="E7730" s="486">
        <v>13929.83</v>
      </c>
    </row>
    <row r="7731" spans="1:5">
      <c r="A7731" s="349">
        <v>2707</v>
      </c>
      <c r="B7731" s="348" t="s">
        <v>170</v>
      </c>
      <c r="C7731" s="349" t="s">
        <v>57</v>
      </c>
      <c r="D7731" s="483">
        <v>99.57</v>
      </c>
      <c r="E7731" s="483">
        <v>99.57</v>
      </c>
    </row>
    <row r="7732" spans="1:5">
      <c r="A7732" s="484">
        <v>40813</v>
      </c>
      <c r="B7732" s="485" t="s">
        <v>171</v>
      </c>
      <c r="C7732" s="484" t="s">
        <v>1643</v>
      </c>
      <c r="D7732" s="486">
        <v>17543.96</v>
      </c>
      <c r="E7732" s="486">
        <v>17543.96</v>
      </c>
    </row>
    <row r="7733" spans="1:5">
      <c r="A7733" s="349">
        <v>2708</v>
      </c>
      <c r="B7733" s="348" t="s">
        <v>5020</v>
      </c>
      <c r="C7733" s="349" t="s">
        <v>57</v>
      </c>
      <c r="D7733" s="483">
        <v>130.81</v>
      </c>
      <c r="E7733" s="483">
        <v>130.81</v>
      </c>
    </row>
    <row r="7734" spans="1:5">
      <c r="A7734" s="484">
        <v>40814</v>
      </c>
      <c r="B7734" s="485" t="s">
        <v>5021</v>
      </c>
      <c r="C7734" s="484" t="s">
        <v>1643</v>
      </c>
      <c r="D7734" s="486">
        <v>23046.29</v>
      </c>
      <c r="E7734" s="486">
        <v>23046.29</v>
      </c>
    </row>
    <row r="7735" spans="1:5">
      <c r="A7735" s="349">
        <v>34779</v>
      </c>
      <c r="B7735" s="348" t="s">
        <v>5023</v>
      </c>
      <c r="C7735" s="349" t="s">
        <v>57</v>
      </c>
      <c r="D7735" s="483">
        <v>79.06</v>
      </c>
      <c r="E7735" s="483">
        <v>79.06</v>
      </c>
    </row>
    <row r="7736" spans="1:5">
      <c r="A7736" s="484">
        <v>40936</v>
      </c>
      <c r="B7736" s="485" t="s">
        <v>5024</v>
      </c>
      <c r="C7736" s="484" t="s">
        <v>1643</v>
      </c>
      <c r="D7736" s="486">
        <v>13929.83</v>
      </c>
      <c r="E7736" s="486">
        <v>13929.83</v>
      </c>
    </row>
    <row r="7737" spans="1:5">
      <c r="A7737" s="349">
        <v>34780</v>
      </c>
      <c r="B7737" s="348" t="s">
        <v>172</v>
      </c>
      <c r="C7737" s="349" t="s">
        <v>57</v>
      </c>
      <c r="D7737" s="483">
        <v>99.9</v>
      </c>
      <c r="E7737" s="483">
        <v>99.9</v>
      </c>
    </row>
    <row r="7738" spans="1:5">
      <c r="A7738" s="484">
        <v>40937</v>
      </c>
      <c r="B7738" s="485" t="s">
        <v>5025</v>
      </c>
      <c r="C7738" s="484" t="s">
        <v>1643</v>
      </c>
      <c r="D7738" s="486">
        <v>17602.740000000002</v>
      </c>
      <c r="E7738" s="486">
        <v>17602.740000000002</v>
      </c>
    </row>
    <row r="7739" spans="1:5">
      <c r="A7739" s="349">
        <v>34782</v>
      </c>
      <c r="B7739" s="348" t="s">
        <v>5026</v>
      </c>
      <c r="C7739" s="349" t="s">
        <v>57</v>
      </c>
      <c r="D7739" s="483">
        <v>130.81</v>
      </c>
      <c r="E7739" s="483">
        <v>130.81</v>
      </c>
    </row>
    <row r="7740" spans="1:5">
      <c r="A7740" s="484">
        <v>40938</v>
      </c>
      <c r="B7740" s="485" t="s">
        <v>5027</v>
      </c>
      <c r="C7740" s="484" t="s">
        <v>1643</v>
      </c>
      <c r="D7740" s="486">
        <v>23046.29</v>
      </c>
      <c r="E7740" s="486">
        <v>23046.29</v>
      </c>
    </row>
    <row r="7741" spans="1:5">
      <c r="A7741" s="349">
        <v>34783</v>
      </c>
      <c r="B7741" s="348" t="s">
        <v>173</v>
      </c>
      <c r="C7741" s="349" t="s">
        <v>57</v>
      </c>
      <c r="D7741" s="483">
        <v>91.29</v>
      </c>
      <c r="E7741" s="483">
        <v>91.29</v>
      </c>
    </row>
    <row r="7742" spans="1:5">
      <c r="A7742" s="484">
        <v>40939</v>
      </c>
      <c r="B7742" s="485" t="s">
        <v>5028</v>
      </c>
      <c r="C7742" s="484" t="s">
        <v>1643</v>
      </c>
      <c r="D7742" s="486">
        <v>16086.08</v>
      </c>
      <c r="E7742" s="486">
        <v>16086.08</v>
      </c>
    </row>
    <row r="7743" spans="1:5">
      <c r="A7743" s="349">
        <v>34785</v>
      </c>
      <c r="B7743" s="348" t="s">
        <v>174</v>
      </c>
      <c r="C7743" s="349" t="s">
        <v>57</v>
      </c>
      <c r="D7743" s="483">
        <v>79.040000000000006</v>
      </c>
      <c r="E7743" s="483">
        <v>79.040000000000006</v>
      </c>
    </row>
    <row r="7744" spans="1:5">
      <c r="A7744" s="484">
        <v>40940</v>
      </c>
      <c r="B7744" s="485" t="s">
        <v>5029</v>
      </c>
      <c r="C7744" s="484" t="s">
        <v>1643</v>
      </c>
      <c r="D7744" s="486">
        <v>13927.47</v>
      </c>
      <c r="E7744" s="486">
        <v>13927.47</v>
      </c>
    </row>
    <row r="7745" spans="1:5">
      <c r="A7745" s="349">
        <v>38403</v>
      </c>
      <c r="B7745" s="348" t="s">
        <v>5093</v>
      </c>
      <c r="C7745" s="349" t="s">
        <v>65</v>
      </c>
      <c r="D7745" s="483">
        <v>25.02</v>
      </c>
      <c r="E7745" s="483">
        <v>25.02</v>
      </c>
    </row>
    <row r="7746" spans="1:5" ht="45">
      <c r="A7746" s="484">
        <v>37774</v>
      </c>
      <c r="B7746" s="485" t="s">
        <v>5096</v>
      </c>
      <c r="C7746" s="484" t="s">
        <v>65</v>
      </c>
      <c r="D7746" s="486">
        <v>134097.39000000001</v>
      </c>
      <c r="E7746" s="486">
        <v>134097.39000000001</v>
      </c>
    </row>
    <row r="7747" spans="1:5" ht="45">
      <c r="A7747" s="349">
        <v>38630</v>
      </c>
      <c r="B7747" s="348" t="s">
        <v>5097</v>
      </c>
      <c r="C7747" s="349" t="s">
        <v>65</v>
      </c>
      <c r="D7747" s="483">
        <v>869921.87</v>
      </c>
      <c r="E7747" s="483">
        <v>869921.87</v>
      </c>
    </row>
    <row r="7748" spans="1:5" ht="60">
      <c r="A7748" s="484">
        <v>38629</v>
      </c>
      <c r="B7748" s="485" t="s">
        <v>5098</v>
      </c>
      <c r="C7748" s="484" t="s">
        <v>65</v>
      </c>
      <c r="D7748" s="486">
        <v>1294921.8700000001</v>
      </c>
      <c r="E7748" s="486">
        <v>1294921.8700000001</v>
      </c>
    </row>
    <row r="7749" spans="1:5">
      <c r="A7749" s="349">
        <v>38476</v>
      </c>
      <c r="B7749" s="348" t="s">
        <v>5099</v>
      </c>
      <c r="C7749" s="349" t="s">
        <v>65</v>
      </c>
      <c r="D7749" s="483">
        <v>188.1</v>
      </c>
      <c r="E7749" s="483">
        <v>188.1</v>
      </c>
    </row>
    <row r="7750" spans="1:5">
      <c r="A7750" s="484">
        <v>38477</v>
      </c>
      <c r="B7750" s="485" t="s">
        <v>5101</v>
      </c>
      <c r="C7750" s="484" t="s">
        <v>65</v>
      </c>
      <c r="D7750" s="486">
        <v>532.70000000000005</v>
      </c>
      <c r="E7750" s="486">
        <v>532.70000000000005</v>
      </c>
    </row>
    <row r="7751" spans="1:5" ht="30">
      <c r="A7751" s="349">
        <v>40635</v>
      </c>
      <c r="B7751" s="348" t="s">
        <v>5187</v>
      </c>
      <c r="C7751" s="349" t="s">
        <v>65</v>
      </c>
      <c r="D7751" s="483">
        <v>456114.17</v>
      </c>
      <c r="E7751" s="483">
        <v>456114.17</v>
      </c>
    </row>
    <row r="7752" spans="1:5" ht="30">
      <c r="A7752" s="484">
        <v>36483</v>
      </c>
      <c r="B7752" s="485" t="s">
        <v>5188</v>
      </c>
      <c r="C7752" s="484" t="s">
        <v>65</v>
      </c>
      <c r="D7752" s="486">
        <v>413312.5</v>
      </c>
      <c r="E7752" s="486">
        <v>413312.5</v>
      </c>
    </row>
    <row r="7753" spans="1:5" ht="30">
      <c r="A7753" s="349">
        <v>14525</v>
      </c>
      <c r="B7753" s="348" t="s">
        <v>5189</v>
      </c>
      <c r="C7753" s="349" t="s">
        <v>65</v>
      </c>
      <c r="D7753" s="483">
        <v>432762.5</v>
      </c>
      <c r="E7753" s="483">
        <v>432762.5</v>
      </c>
    </row>
    <row r="7754" spans="1:5" ht="30">
      <c r="A7754" s="484">
        <v>36482</v>
      </c>
      <c r="B7754" s="485" t="s">
        <v>5190</v>
      </c>
      <c r="C7754" s="484" t="s">
        <v>65</v>
      </c>
      <c r="D7754" s="486">
        <v>371154.11</v>
      </c>
      <c r="E7754" s="486">
        <v>371154.11</v>
      </c>
    </row>
    <row r="7755" spans="1:5" ht="30">
      <c r="A7755" s="349">
        <v>36408</v>
      </c>
      <c r="B7755" s="348" t="s">
        <v>5191</v>
      </c>
      <c r="C7755" s="349" t="s">
        <v>65</v>
      </c>
      <c r="D7755" s="483">
        <v>443460</v>
      </c>
      <c r="E7755" s="483">
        <v>443460</v>
      </c>
    </row>
    <row r="7756" spans="1:5" ht="30">
      <c r="A7756" s="484">
        <v>2723</v>
      </c>
      <c r="B7756" s="485" t="s">
        <v>5192</v>
      </c>
      <c r="C7756" s="484" t="s">
        <v>65</v>
      </c>
      <c r="D7756" s="486">
        <v>340375</v>
      </c>
      <c r="E7756" s="486">
        <v>340375</v>
      </c>
    </row>
    <row r="7757" spans="1:5" ht="30">
      <c r="A7757" s="349">
        <v>36481</v>
      </c>
      <c r="B7757" s="348" t="s">
        <v>5193</v>
      </c>
      <c r="C7757" s="349" t="s">
        <v>65</v>
      </c>
      <c r="D7757" s="483">
        <v>406018.75</v>
      </c>
      <c r="E7757" s="483">
        <v>406018.75</v>
      </c>
    </row>
    <row r="7758" spans="1:5" ht="30">
      <c r="A7758" s="484">
        <v>10685</v>
      </c>
      <c r="B7758" s="485" t="s">
        <v>5206</v>
      </c>
      <c r="C7758" s="484" t="s">
        <v>65</v>
      </c>
      <c r="D7758" s="486">
        <v>389000</v>
      </c>
      <c r="E7758" s="486">
        <v>389000</v>
      </c>
    </row>
    <row r="7759" spans="1:5" ht="45">
      <c r="A7759" s="349">
        <v>40636</v>
      </c>
      <c r="B7759" s="348" t="s">
        <v>11336</v>
      </c>
      <c r="C7759" s="349" t="s">
        <v>65</v>
      </c>
      <c r="D7759" s="483">
        <v>439095.42</v>
      </c>
      <c r="E7759" s="483">
        <v>439095.42</v>
      </c>
    </row>
    <row r="7760" spans="1:5">
      <c r="A7760" s="484">
        <v>4111</v>
      </c>
      <c r="B7760" s="485" t="s">
        <v>5214</v>
      </c>
      <c r="C7760" s="484" t="s">
        <v>65</v>
      </c>
      <c r="D7760" s="486">
        <v>28.33</v>
      </c>
      <c r="E7760" s="486">
        <v>28.33</v>
      </c>
    </row>
    <row r="7761" spans="1:5" ht="30">
      <c r="A7761" s="349">
        <v>26021</v>
      </c>
      <c r="B7761" s="348" t="s">
        <v>5244</v>
      </c>
      <c r="C7761" s="349" t="s">
        <v>65</v>
      </c>
      <c r="D7761" s="483">
        <v>55.58</v>
      </c>
      <c r="E7761" s="483">
        <v>55.58</v>
      </c>
    </row>
    <row r="7762" spans="1:5">
      <c r="A7762" s="484">
        <v>12</v>
      </c>
      <c r="B7762" s="485" t="s">
        <v>5245</v>
      </c>
      <c r="C7762" s="484" t="s">
        <v>65</v>
      </c>
      <c r="D7762" s="486">
        <v>6.6</v>
      </c>
      <c r="E7762" s="486">
        <v>6.6</v>
      </c>
    </row>
    <row r="7763" spans="1:5" ht="30">
      <c r="A7763" s="349">
        <v>37554</v>
      </c>
      <c r="B7763" s="348" t="s">
        <v>5246</v>
      </c>
      <c r="C7763" s="349" t="s">
        <v>65</v>
      </c>
      <c r="D7763" s="483">
        <v>158.69</v>
      </c>
      <c r="E7763" s="483">
        <v>158.69</v>
      </c>
    </row>
    <row r="7764" spans="1:5" ht="30">
      <c r="A7764" s="484">
        <v>37555</v>
      </c>
      <c r="B7764" s="485" t="s">
        <v>5247</v>
      </c>
      <c r="C7764" s="484" t="s">
        <v>65</v>
      </c>
      <c r="D7764" s="486">
        <v>193.04</v>
      </c>
      <c r="E7764" s="486">
        <v>193.04</v>
      </c>
    </row>
    <row r="7765" spans="1:5" ht="30">
      <c r="A7765" s="349">
        <v>10902</v>
      </c>
      <c r="B7765" s="348" t="s">
        <v>5248</v>
      </c>
      <c r="C7765" s="349" t="s">
        <v>65</v>
      </c>
      <c r="D7765" s="483">
        <v>48.44</v>
      </c>
      <c r="E7765" s="483">
        <v>48.44</v>
      </c>
    </row>
    <row r="7766" spans="1:5" ht="30">
      <c r="A7766" s="484">
        <v>20965</v>
      </c>
      <c r="B7766" s="485" t="s">
        <v>5249</v>
      </c>
      <c r="C7766" s="484" t="s">
        <v>65</v>
      </c>
      <c r="D7766" s="486">
        <v>48.89</v>
      </c>
      <c r="E7766" s="486">
        <v>48.89</v>
      </c>
    </row>
    <row r="7767" spans="1:5" ht="30">
      <c r="A7767" s="349">
        <v>20966</v>
      </c>
      <c r="B7767" s="348" t="s">
        <v>5250</v>
      </c>
      <c r="C7767" s="349" t="s">
        <v>65</v>
      </c>
      <c r="D7767" s="483">
        <v>52.64</v>
      </c>
      <c r="E7767" s="483">
        <v>52.64</v>
      </c>
    </row>
    <row r="7768" spans="1:5" ht="30">
      <c r="A7768" s="484">
        <v>10903</v>
      </c>
      <c r="B7768" s="485" t="s">
        <v>5251</v>
      </c>
      <c r="C7768" s="484" t="s">
        <v>65</v>
      </c>
      <c r="D7768" s="486">
        <v>79.790000000000006</v>
      </c>
      <c r="E7768" s="486">
        <v>79.790000000000006</v>
      </c>
    </row>
    <row r="7769" spans="1:5" ht="30">
      <c r="A7769" s="349">
        <v>20967</v>
      </c>
      <c r="B7769" s="348" t="s">
        <v>5252</v>
      </c>
      <c r="C7769" s="349" t="s">
        <v>65</v>
      </c>
      <c r="D7769" s="483">
        <v>79.790000000000006</v>
      </c>
      <c r="E7769" s="483">
        <v>79.790000000000006</v>
      </c>
    </row>
    <row r="7770" spans="1:5" ht="30">
      <c r="A7770" s="484">
        <v>20968</v>
      </c>
      <c r="B7770" s="485" t="s">
        <v>5253</v>
      </c>
      <c r="C7770" s="484" t="s">
        <v>65</v>
      </c>
      <c r="D7770" s="486">
        <v>87.51</v>
      </c>
      <c r="E7770" s="486">
        <v>87.51</v>
      </c>
    </row>
    <row r="7771" spans="1:5" ht="30">
      <c r="A7771" s="349">
        <v>11359</v>
      </c>
      <c r="B7771" s="348" t="s">
        <v>11337</v>
      </c>
      <c r="C7771" s="349" t="s">
        <v>65</v>
      </c>
      <c r="D7771" s="483">
        <v>560.41999999999996</v>
      </c>
      <c r="E7771" s="483">
        <v>560.41999999999996</v>
      </c>
    </row>
    <row r="7772" spans="1:5" ht="30">
      <c r="A7772" s="484">
        <v>39017</v>
      </c>
      <c r="B7772" s="485" t="s">
        <v>19555</v>
      </c>
      <c r="C7772" s="484" t="s">
        <v>65</v>
      </c>
      <c r="D7772" s="486">
        <v>0.08</v>
      </c>
      <c r="E7772" s="486">
        <v>0.08</v>
      </c>
    </row>
    <row r="7773" spans="1:5" ht="30">
      <c r="A7773" s="349">
        <v>39315</v>
      </c>
      <c r="B7773" s="348" t="s">
        <v>19556</v>
      </c>
      <c r="C7773" s="349" t="s">
        <v>65</v>
      </c>
      <c r="D7773" s="483">
        <v>0.14000000000000001</v>
      </c>
      <c r="E7773" s="483">
        <v>0.14000000000000001</v>
      </c>
    </row>
    <row r="7774" spans="1:5" ht="30">
      <c r="A7774" s="484">
        <v>39016</v>
      </c>
      <c r="B7774" s="485" t="s">
        <v>19557</v>
      </c>
      <c r="C7774" s="484" t="s">
        <v>65</v>
      </c>
      <c r="D7774" s="486">
        <v>0.14000000000000001</v>
      </c>
      <c r="E7774" s="486">
        <v>0.14000000000000001</v>
      </c>
    </row>
    <row r="7775" spans="1:5" ht="30">
      <c r="A7775" s="349">
        <v>40432</v>
      </c>
      <c r="B7775" s="348" t="s">
        <v>19558</v>
      </c>
      <c r="C7775" s="349" t="s">
        <v>65</v>
      </c>
      <c r="D7775" s="483">
        <v>1.08</v>
      </c>
      <c r="E7775" s="483">
        <v>1.08</v>
      </c>
    </row>
    <row r="7776" spans="1:5" ht="30">
      <c r="A7776" s="484">
        <v>39481</v>
      </c>
      <c r="B7776" s="485" t="s">
        <v>19559</v>
      </c>
      <c r="C7776" s="484" t="s">
        <v>65</v>
      </c>
      <c r="D7776" s="486">
        <v>0.68</v>
      </c>
      <c r="E7776" s="486">
        <v>0.68</v>
      </c>
    </row>
    <row r="7777" spans="1:5">
      <c r="A7777" s="349">
        <v>40433</v>
      </c>
      <c r="B7777" s="348" t="s">
        <v>19560</v>
      </c>
      <c r="C7777" s="349" t="s">
        <v>65</v>
      </c>
      <c r="D7777" s="483">
        <v>0.6</v>
      </c>
      <c r="E7777" s="483">
        <v>0.6</v>
      </c>
    </row>
    <row r="7778" spans="1:5" ht="30">
      <c r="A7778" s="484">
        <v>20219</v>
      </c>
      <c r="B7778" s="485" t="s">
        <v>19561</v>
      </c>
      <c r="C7778" s="484" t="s">
        <v>65</v>
      </c>
      <c r="D7778" s="486">
        <v>65000</v>
      </c>
      <c r="E7778" s="486">
        <v>65000</v>
      </c>
    </row>
    <row r="7779" spans="1:5" ht="30">
      <c r="A7779" s="349">
        <v>36484</v>
      </c>
      <c r="B7779" s="348" t="s">
        <v>5265</v>
      </c>
      <c r="C7779" s="349" t="s">
        <v>65</v>
      </c>
      <c r="D7779" s="483">
        <v>137983.16</v>
      </c>
      <c r="E7779" s="483">
        <v>137983.16</v>
      </c>
    </row>
    <row r="7780" spans="1:5">
      <c r="A7780" s="484">
        <v>38367</v>
      </c>
      <c r="B7780" s="485" t="s">
        <v>5273</v>
      </c>
      <c r="C7780" s="484" t="s">
        <v>65</v>
      </c>
      <c r="D7780" s="486">
        <v>10.1</v>
      </c>
      <c r="E7780" s="486">
        <v>10.1</v>
      </c>
    </row>
    <row r="7781" spans="1:5">
      <c r="A7781" s="349">
        <v>38368</v>
      </c>
      <c r="B7781" s="348" t="s">
        <v>5274</v>
      </c>
      <c r="C7781" s="349" t="s">
        <v>65</v>
      </c>
      <c r="D7781" s="483">
        <v>5.18</v>
      </c>
      <c r="E7781" s="483">
        <v>5.18</v>
      </c>
    </row>
    <row r="7782" spans="1:5">
      <c r="A7782" s="484">
        <v>38091</v>
      </c>
      <c r="B7782" s="485" t="s">
        <v>11338</v>
      </c>
      <c r="C7782" s="484" t="s">
        <v>65</v>
      </c>
      <c r="D7782" s="486">
        <v>1.85</v>
      </c>
      <c r="E7782" s="486">
        <v>1.85</v>
      </c>
    </row>
    <row r="7783" spans="1:5">
      <c r="A7783" s="349">
        <v>38095</v>
      </c>
      <c r="B7783" s="348" t="s">
        <v>11339</v>
      </c>
      <c r="C7783" s="349" t="s">
        <v>65</v>
      </c>
      <c r="D7783" s="483">
        <v>3.92</v>
      </c>
      <c r="E7783" s="483">
        <v>3.92</v>
      </c>
    </row>
    <row r="7784" spans="1:5">
      <c r="A7784" s="484">
        <v>38092</v>
      </c>
      <c r="B7784" s="485" t="s">
        <v>11340</v>
      </c>
      <c r="C7784" s="484" t="s">
        <v>65</v>
      </c>
      <c r="D7784" s="486">
        <v>1.76</v>
      </c>
      <c r="E7784" s="486">
        <v>1.76</v>
      </c>
    </row>
    <row r="7785" spans="1:5">
      <c r="A7785" s="349">
        <v>38093</v>
      </c>
      <c r="B7785" s="348" t="s">
        <v>11341</v>
      </c>
      <c r="C7785" s="349" t="s">
        <v>65</v>
      </c>
      <c r="D7785" s="483">
        <v>1.82</v>
      </c>
      <c r="E7785" s="483">
        <v>1.82</v>
      </c>
    </row>
    <row r="7786" spans="1:5">
      <c r="A7786" s="484">
        <v>38096</v>
      </c>
      <c r="B7786" s="485" t="s">
        <v>11342</v>
      </c>
      <c r="C7786" s="484" t="s">
        <v>65</v>
      </c>
      <c r="D7786" s="486">
        <v>4.22</v>
      </c>
      <c r="E7786" s="486">
        <v>4.22</v>
      </c>
    </row>
    <row r="7787" spans="1:5">
      <c r="A7787" s="349">
        <v>38094</v>
      </c>
      <c r="B7787" s="348" t="s">
        <v>11343</v>
      </c>
      <c r="C7787" s="349" t="s">
        <v>65</v>
      </c>
      <c r="D7787" s="483">
        <v>2.23</v>
      </c>
      <c r="E7787" s="483">
        <v>2.23</v>
      </c>
    </row>
    <row r="7788" spans="1:5">
      <c r="A7788" s="484">
        <v>38097</v>
      </c>
      <c r="B7788" s="485" t="s">
        <v>11344</v>
      </c>
      <c r="C7788" s="484" t="s">
        <v>65</v>
      </c>
      <c r="D7788" s="486">
        <v>4.5199999999999996</v>
      </c>
      <c r="E7788" s="486">
        <v>4.5199999999999996</v>
      </c>
    </row>
    <row r="7789" spans="1:5">
      <c r="A7789" s="349">
        <v>38098</v>
      </c>
      <c r="B7789" s="348" t="s">
        <v>11345</v>
      </c>
      <c r="C7789" s="349" t="s">
        <v>65</v>
      </c>
      <c r="D7789" s="483">
        <v>4.5199999999999996</v>
      </c>
      <c r="E7789" s="483">
        <v>4.5199999999999996</v>
      </c>
    </row>
    <row r="7790" spans="1:5">
      <c r="A7790" s="484">
        <v>11186</v>
      </c>
      <c r="B7790" s="485" t="s">
        <v>5275</v>
      </c>
      <c r="C7790" s="484" t="s">
        <v>256</v>
      </c>
      <c r="D7790" s="486">
        <v>200.55</v>
      </c>
      <c r="E7790" s="486">
        <v>200.55</v>
      </c>
    </row>
    <row r="7791" spans="1:5" ht="30">
      <c r="A7791" s="349">
        <v>11558</v>
      </c>
      <c r="B7791" s="348" t="s">
        <v>5278</v>
      </c>
      <c r="C7791" s="349" t="s">
        <v>131</v>
      </c>
      <c r="D7791" s="483">
        <v>9.9499999999999993</v>
      </c>
      <c r="E7791" s="483">
        <v>9.9499999999999993</v>
      </c>
    </row>
    <row r="7792" spans="1:5" ht="30">
      <c r="A7792" s="484">
        <v>11557</v>
      </c>
      <c r="B7792" s="485" t="s">
        <v>5279</v>
      </c>
      <c r="C7792" s="484" t="s">
        <v>131</v>
      </c>
      <c r="D7792" s="486">
        <v>25.2</v>
      </c>
      <c r="E7792" s="486">
        <v>25.2</v>
      </c>
    </row>
    <row r="7793" spans="1:5">
      <c r="A7793" s="349">
        <v>2759</v>
      </c>
      <c r="B7793" s="348" t="s">
        <v>5280</v>
      </c>
      <c r="C7793" s="349" t="s">
        <v>65</v>
      </c>
      <c r="D7793" s="483">
        <v>4.8</v>
      </c>
      <c r="E7793" s="483">
        <v>4.8</v>
      </c>
    </row>
    <row r="7794" spans="1:5">
      <c r="A7794" s="484">
        <v>38124</v>
      </c>
      <c r="B7794" s="485" t="s">
        <v>5281</v>
      </c>
      <c r="C7794" s="484" t="s">
        <v>65</v>
      </c>
      <c r="D7794" s="486">
        <v>25.19</v>
      </c>
      <c r="E7794" s="486">
        <v>25.19</v>
      </c>
    </row>
    <row r="7795" spans="1:5">
      <c r="A7795" s="349">
        <v>38380</v>
      </c>
      <c r="B7795" s="348" t="s">
        <v>5282</v>
      </c>
      <c r="C7795" s="349" t="s">
        <v>65</v>
      </c>
      <c r="D7795" s="483">
        <v>16.05</v>
      </c>
      <c r="E7795" s="483">
        <v>16.05</v>
      </c>
    </row>
    <row r="7796" spans="1:5" ht="30">
      <c r="A7796" s="484">
        <v>20059</v>
      </c>
      <c r="B7796" s="485" t="s">
        <v>11346</v>
      </c>
      <c r="C7796" s="484" t="s">
        <v>65</v>
      </c>
      <c r="D7796" s="486">
        <v>11.49</v>
      </c>
      <c r="E7796" s="486">
        <v>11.49</v>
      </c>
    </row>
    <row r="7797" spans="1:5" ht="45">
      <c r="A7797" s="349">
        <v>38538</v>
      </c>
      <c r="B7797" s="348" t="s">
        <v>11347</v>
      </c>
      <c r="C7797" s="349" t="s">
        <v>71</v>
      </c>
      <c r="D7797" s="483">
        <v>30</v>
      </c>
      <c r="E7797" s="483">
        <v>30</v>
      </c>
    </row>
    <row r="7798" spans="1:5" ht="30">
      <c r="A7798" s="484">
        <v>38539</v>
      </c>
      <c r="B7798" s="485" t="s">
        <v>5287</v>
      </c>
      <c r="C7798" s="484" t="s">
        <v>71</v>
      </c>
      <c r="D7798" s="486">
        <v>40.79</v>
      </c>
      <c r="E7798" s="486">
        <v>40.79</v>
      </c>
    </row>
    <row r="7799" spans="1:5" ht="30">
      <c r="A7799" s="349">
        <v>38540</v>
      </c>
      <c r="B7799" s="348" t="s">
        <v>5289</v>
      </c>
      <c r="C7799" s="349" t="s">
        <v>71</v>
      </c>
      <c r="D7799" s="483">
        <v>104.55</v>
      </c>
      <c r="E7799" s="483">
        <v>104.55</v>
      </c>
    </row>
    <row r="7800" spans="1:5">
      <c r="A7800" s="484">
        <v>38384</v>
      </c>
      <c r="B7800" s="485" t="s">
        <v>5290</v>
      </c>
      <c r="C7800" s="484" t="s">
        <v>65</v>
      </c>
      <c r="D7800" s="486">
        <v>13.42</v>
      </c>
      <c r="E7800" s="486">
        <v>13.42</v>
      </c>
    </row>
    <row r="7801" spans="1:5">
      <c r="A7801" s="349">
        <v>13</v>
      </c>
      <c r="B7801" s="348" t="s">
        <v>175</v>
      </c>
      <c r="C7801" s="349" t="s">
        <v>90</v>
      </c>
      <c r="D7801" s="483">
        <v>10.16</v>
      </c>
      <c r="E7801" s="483">
        <v>10.16</v>
      </c>
    </row>
    <row r="7802" spans="1:5">
      <c r="A7802" s="484">
        <v>2762</v>
      </c>
      <c r="B7802" s="485" t="s">
        <v>176</v>
      </c>
      <c r="C7802" s="484" t="s">
        <v>71</v>
      </c>
      <c r="D7802" s="486">
        <v>6</v>
      </c>
      <c r="E7802" s="486">
        <v>6</v>
      </c>
    </row>
    <row r="7803" spans="1:5" ht="30">
      <c r="A7803" s="349">
        <v>21142</v>
      </c>
      <c r="B7803" s="348" t="s">
        <v>5291</v>
      </c>
      <c r="C7803" s="349" t="s">
        <v>65</v>
      </c>
      <c r="D7803" s="483">
        <v>16.73</v>
      </c>
      <c r="E7803" s="483">
        <v>16.73</v>
      </c>
    </row>
    <row r="7804" spans="1:5">
      <c r="A7804" s="484">
        <v>12865</v>
      </c>
      <c r="B7804" s="485" t="s">
        <v>177</v>
      </c>
      <c r="C7804" s="484" t="s">
        <v>57</v>
      </c>
      <c r="D7804" s="486">
        <v>12.99</v>
      </c>
      <c r="E7804" s="486">
        <v>12.99</v>
      </c>
    </row>
    <row r="7805" spans="1:5">
      <c r="A7805" s="349">
        <v>41074</v>
      </c>
      <c r="B7805" s="348" t="s">
        <v>5309</v>
      </c>
      <c r="C7805" s="349" t="s">
        <v>1643</v>
      </c>
      <c r="D7805" s="483">
        <v>2291.42</v>
      </c>
      <c r="E7805" s="483">
        <v>2291.42</v>
      </c>
    </row>
    <row r="7806" spans="1:5">
      <c r="A7806" s="484">
        <v>4223</v>
      </c>
      <c r="B7806" s="485" t="s">
        <v>178</v>
      </c>
      <c r="C7806" s="484" t="s">
        <v>91</v>
      </c>
      <c r="D7806" s="486">
        <v>2.81</v>
      </c>
      <c r="E7806" s="486">
        <v>2.81</v>
      </c>
    </row>
    <row r="7807" spans="1:5">
      <c r="A7807" s="349">
        <v>38475</v>
      </c>
      <c r="B7807" s="348" t="s">
        <v>5435</v>
      </c>
      <c r="C7807" s="349" t="s">
        <v>65</v>
      </c>
      <c r="D7807" s="483">
        <v>19.239999999999998</v>
      </c>
      <c r="E7807" s="483">
        <v>19.239999999999998</v>
      </c>
    </row>
    <row r="7808" spans="1:5">
      <c r="A7808" s="484">
        <v>38474</v>
      </c>
      <c r="B7808" s="485" t="s">
        <v>5436</v>
      </c>
      <c r="C7808" s="484" t="s">
        <v>65</v>
      </c>
      <c r="D7808" s="486">
        <v>23.79</v>
      </c>
      <c r="E7808" s="486">
        <v>23.79</v>
      </c>
    </row>
    <row r="7809" spans="1:5">
      <c r="A7809" s="349">
        <v>10886</v>
      </c>
      <c r="B7809" s="348" t="s">
        <v>5438</v>
      </c>
      <c r="C7809" s="349" t="s">
        <v>65</v>
      </c>
      <c r="D7809" s="483">
        <v>140</v>
      </c>
      <c r="E7809" s="483">
        <v>140</v>
      </c>
    </row>
    <row r="7810" spans="1:5">
      <c r="A7810" s="484">
        <v>10888</v>
      </c>
      <c r="B7810" s="485" t="s">
        <v>5439</v>
      </c>
      <c r="C7810" s="484" t="s">
        <v>65</v>
      </c>
      <c r="D7810" s="486">
        <v>443.07</v>
      </c>
      <c r="E7810" s="486">
        <v>443.07</v>
      </c>
    </row>
    <row r="7811" spans="1:5">
      <c r="A7811" s="349">
        <v>10889</v>
      </c>
      <c r="B7811" s="348" t="s">
        <v>5440</v>
      </c>
      <c r="C7811" s="349" t="s">
        <v>65</v>
      </c>
      <c r="D7811" s="483">
        <v>480</v>
      </c>
      <c r="E7811" s="483">
        <v>480</v>
      </c>
    </row>
    <row r="7812" spans="1:5">
      <c r="A7812" s="484">
        <v>10890</v>
      </c>
      <c r="B7812" s="485" t="s">
        <v>5441</v>
      </c>
      <c r="C7812" s="484" t="s">
        <v>65</v>
      </c>
      <c r="D7812" s="486">
        <v>221.53</v>
      </c>
      <c r="E7812" s="486">
        <v>221.53</v>
      </c>
    </row>
    <row r="7813" spans="1:5">
      <c r="A7813" s="349">
        <v>10891</v>
      </c>
      <c r="B7813" s="348" t="s">
        <v>5442</v>
      </c>
      <c r="C7813" s="349" t="s">
        <v>65</v>
      </c>
      <c r="D7813" s="483">
        <v>135.38</v>
      </c>
      <c r="E7813" s="483">
        <v>135.38</v>
      </c>
    </row>
    <row r="7814" spans="1:5">
      <c r="A7814" s="484">
        <v>10892</v>
      </c>
      <c r="B7814" s="485" t="s">
        <v>5443</v>
      </c>
      <c r="C7814" s="484" t="s">
        <v>65</v>
      </c>
      <c r="D7814" s="486">
        <v>160</v>
      </c>
      <c r="E7814" s="486">
        <v>160</v>
      </c>
    </row>
    <row r="7815" spans="1:5">
      <c r="A7815" s="349">
        <v>20977</v>
      </c>
      <c r="B7815" s="348" t="s">
        <v>5444</v>
      </c>
      <c r="C7815" s="349" t="s">
        <v>65</v>
      </c>
      <c r="D7815" s="483">
        <v>190.76</v>
      </c>
      <c r="E7815" s="483">
        <v>190.76</v>
      </c>
    </row>
    <row r="7816" spans="1:5">
      <c r="A7816" s="484">
        <v>3073</v>
      </c>
      <c r="B7816" s="485" t="s">
        <v>5452</v>
      </c>
      <c r="C7816" s="484" t="s">
        <v>65</v>
      </c>
      <c r="D7816" s="486">
        <v>98.14</v>
      </c>
      <c r="E7816" s="486">
        <v>98.14</v>
      </c>
    </row>
    <row r="7817" spans="1:5">
      <c r="A7817" s="349">
        <v>3068</v>
      </c>
      <c r="B7817" s="348" t="s">
        <v>5453</v>
      </c>
      <c r="C7817" s="349" t="s">
        <v>65</v>
      </c>
      <c r="D7817" s="483">
        <v>46.2</v>
      </c>
      <c r="E7817" s="483">
        <v>46.2</v>
      </c>
    </row>
    <row r="7818" spans="1:5">
      <c r="A7818" s="484">
        <v>3074</v>
      </c>
      <c r="B7818" s="485" t="s">
        <v>5454</v>
      </c>
      <c r="C7818" s="484" t="s">
        <v>65</v>
      </c>
      <c r="D7818" s="486">
        <v>78.11</v>
      </c>
      <c r="E7818" s="486">
        <v>78.11</v>
      </c>
    </row>
    <row r="7819" spans="1:5">
      <c r="A7819" s="349">
        <v>3076</v>
      </c>
      <c r="B7819" s="348" t="s">
        <v>5455</v>
      </c>
      <c r="C7819" s="349" t="s">
        <v>65</v>
      </c>
      <c r="D7819" s="483">
        <v>87.97</v>
      </c>
      <c r="E7819" s="483">
        <v>87.97</v>
      </c>
    </row>
    <row r="7820" spans="1:5">
      <c r="A7820" s="484">
        <v>3072</v>
      </c>
      <c r="B7820" s="485" t="s">
        <v>5456</v>
      </c>
      <c r="C7820" s="484" t="s">
        <v>65</v>
      </c>
      <c r="D7820" s="486">
        <v>39.04</v>
      </c>
      <c r="E7820" s="486">
        <v>39.04</v>
      </c>
    </row>
    <row r="7821" spans="1:5">
      <c r="A7821" s="349">
        <v>3075</v>
      </c>
      <c r="B7821" s="348" t="s">
        <v>5457</v>
      </c>
      <c r="C7821" s="349" t="s">
        <v>65</v>
      </c>
      <c r="D7821" s="483">
        <v>70.41</v>
      </c>
      <c r="E7821" s="483">
        <v>70.41</v>
      </c>
    </row>
    <row r="7822" spans="1:5" ht="43.5" customHeight="1">
      <c r="A7822" s="484">
        <v>10780</v>
      </c>
      <c r="B7822" s="485" t="s">
        <v>5458</v>
      </c>
      <c r="C7822" s="484" t="s">
        <v>65</v>
      </c>
      <c r="D7822" s="486">
        <v>4.24</v>
      </c>
      <c r="E7822" s="486">
        <v>4.24</v>
      </c>
    </row>
    <row r="7823" spans="1:5">
      <c r="A7823" s="349">
        <v>10781</v>
      </c>
      <c r="B7823" s="348" t="s">
        <v>5459</v>
      </c>
      <c r="C7823" s="349" t="s">
        <v>65</v>
      </c>
      <c r="D7823" s="483">
        <v>5.27</v>
      </c>
      <c r="E7823" s="483">
        <v>5.27</v>
      </c>
    </row>
    <row r="7824" spans="1:5">
      <c r="A7824" s="484">
        <v>20106</v>
      </c>
      <c r="B7824" s="485" t="s">
        <v>5460</v>
      </c>
      <c r="C7824" s="484" t="s">
        <v>65</v>
      </c>
      <c r="D7824" s="486">
        <v>2.5</v>
      </c>
      <c r="E7824" s="486">
        <v>2.5</v>
      </c>
    </row>
    <row r="7825" spans="1:5">
      <c r="A7825" s="349">
        <v>20107</v>
      </c>
      <c r="B7825" s="348" t="s">
        <v>5461</v>
      </c>
      <c r="C7825" s="349" t="s">
        <v>65</v>
      </c>
      <c r="D7825" s="483">
        <v>2.68</v>
      </c>
      <c r="E7825" s="483">
        <v>2.68</v>
      </c>
    </row>
    <row r="7826" spans="1:5">
      <c r="A7826" s="484">
        <v>20108</v>
      </c>
      <c r="B7826" s="485" t="s">
        <v>5462</v>
      </c>
      <c r="C7826" s="484" t="s">
        <v>65</v>
      </c>
      <c r="D7826" s="486">
        <v>2.39</v>
      </c>
      <c r="E7826" s="486">
        <v>2.39</v>
      </c>
    </row>
    <row r="7827" spans="1:5">
      <c r="A7827" s="349">
        <v>20109</v>
      </c>
      <c r="B7827" s="348" t="s">
        <v>5463</v>
      </c>
      <c r="C7827" s="349" t="s">
        <v>65</v>
      </c>
      <c r="D7827" s="483">
        <v>3.77</v>
      </c>
      <c r="E7827" s="483">
        <v>3.77</v>
      </c>
    </row>
    <row r="7828" spans="1:5">
      <c r="A7828" s="484">
        <v>34795</v>
      </c>
      <c r="B7828" s="485" t="s">
        <v>5517</v>
      </c>
      <c r="C7828" s="484" t="s">
        <v>256</v>
      </c>
      <c r="D7828" s="486">
        <v>180.23</v>
      </c>
      <c r="E7828" s="486">
        <v>180.23</v>
      </c>
    </row>
    <row r="7829" spans="1:5">
      <c r="A7829" s="349">
        <v>34796</v>
      </c>
      <c r="B7829" s="348" t="s">
        <v>5518</v>
      </c>
      <c r="C7829" s="349" t="s">
        <v>71</v>
      </c>
      <c r="D7829" s="483">
        <v>7.91</v>
      </c>
      <c r="E7829" s="483">
        <v>7.91</v>
      </c>
    </row>
    <row r="7830" spans="1:5" ht="30">
      <c r="A7830" s="484">
        <v>11474</v>
      </c>
      <c r="B7830" s="485" t="s">
        <v>5519</v>
      </c>
      <c r="C7830" s="484" t="s">
        <v>65</v>
      </c>
      <c r="D7830" s="486">
        <v>34.229999999999997</v>
      </c>
      <c r="E7830" s="486">
        <v>34.229999999999997</v>
      </c>
    </row>
    <row r="7831" spans="1:5" ht="30">
      <c r="A7831" s="349">
        <v>11470</v>
      </c>
      <c r="B7831" s="348" t="s">
        <v>5520</v>
      </c>
      <c r="C7831" s="349" t="s">
        <v>65</v>
      </c>
      <c r="D7831" s="483">
        <v>22.42</v>
      </c>
      <c r="E7831" s="483">
        <v>22.42</v>
      </c>
    </row>
    <row r="7832" spans="1:5" ht="30">
      <c r="A7832" s="484">
        <v>11480</v>
      </c>
      <c r="B7832" s="485" t="s">
        <v>5521</v>
      </c>
      <c r="C7832" s="484" t="s">
        <v>105</v>
      </c>
      <c r="D7832" s="486">
        <v>55.99</v>
      </c>
      <c r="E7832" s="486">
        <v>55.99</v>
      </c>
    </row>
    <row r="7833" spans="1:5" ht="30">
      <c r="A7833" s="349">
        <v>38154</v>
      </c>
      <c r="B7833" s="348" t="s">
        <v>5522</v>
      </c>
      <c r="C7833" s="349" t="s">
        <v>105</v>
      </c>
      <c r="D7833" s="483">
        <v>35.049999999999997</v>
      </c>
      <c r="E7833" s="483">
        <v>35.049999999999997</v>
      </c>
    </row>
    <row r="7834" spans="1:5" ht="30">
      <c r="A7834" s="484">
        <v>11482</v>
      </c>
      <c r="B7834" s="485" t="s">
        <v>5523</v>
      </c>
      <c r="C7834" s="484" t="s">
        <v>105</v>
      </c>
      <c r="D7834" s="486">
        <v>50.85</v>
      </c>
      <c r="E7834" s="486">
        <v>50.85</v>
      </c>
    </row>
    <row r="7835" spans="1:5" ht="30">
      <c r="A7835" s="349">
        <v>3084</v>
      </c>
      <c r="B7835" s="348" t="s">
        <v>5524</v>
      </c>
      <c r="C7835" s="349" t="s">
        <v>105</v>
      </c>
      <c r="D7835" s="483">
        <v>65.38</v>
      </c>
      <c r="E7835" s="483">
        <v>65.38</v>
      </c>
    </row>
    <row r="7836" spans="1:5">
      <c r="A7836" s="484">
        <v>3103</v>
      </c>
      <c r="B7836" s="485" t="s">
        <v>5525</v>
      </c>
      <c r="C7836" s="484" t="s">
        <v>65</v>
      </c>
      <c r="D7836" s="486">
        <v>58.44</v>
      </c>
      <c r="E7836" s="486">
        <v>58.44</v>
      </c>
    </row>
    <row r="7837" spans="1:5" ht="30">
      <c r="A7837" s="349">
        <v>11481</v>
      </c>
      <c r="B7837" s="348" t="s">
        <v>5528</v>
      </c>
      <c r="C7837" s="349" t="s">
        <v>65</v>
      </c>
      <c r="D7837" s="483">
        <v>17.63</v>
      </c>
      <c r="E7837" s="483">
        <v>17.63</v>
      </c>
    </row>
    <row r="7838" spans="1:5" ht="45">
      <c r="A7838" s="484">
        <v>3097</v>
      </c>
      <c r="B7838" s="485" t="s">
        <v>5531</v>
      </c>
      <c r="C7838" s="484" t="s">
        <v>105</v>
      </c>
      <c r="D7838" s="486">
        <v>36.21</v>
      </c>
      <c r="E7838" s="486">
        <v>36.21</v>
      </c>
    </row>
    <row r="7839" spans="1:5" ht="45">
      <c r="A7839" s="349">
        <v>38153</v>
      </c>
      <c r="B7839" s="348" t="s">
        <v>5532</v>
      </c>
      <c r="C7839" s="349" t="s">
        <v>105</v>
      </c>
      <c r="D7839" s="483">
        <v>33.21</v>
      </c>
      <c r="E7839" s="483">
        <v>33.21</v>
      </c>
    </row>
    <row r="7840" spans="1:5" ht="45">
      <c r="A7840" s="484">
        <v>3099</v>
      </c>
      <c r="B7840" s="485" t="s">
        <v>5533</v>
      </c>
      <c r="C7840" s="484" t="s">
        <v>105</v>
      </c>
      <c r="D7840" s="486">
        <v>57.93</v>
      </c>
      <c r="E7840" s="486">
        <v>57.93</v>
      </c>
    </row>
    <row r="7841" spans="1:5" ht="45">
      <c r="A7841" s="349">
        <v>3080</v>
      </c>
      <c r="B7841" s="348" t="s">
        <v>5534</v>
      </c>
      <c r="C7841" s="349" t="s">
        <v>105</v>
      </c>
      <c r="D7841" s="483">
        <v>48.4</v>
      </c>
      <c r="E7841" s="483">
        <v>48.4</v>
      </c>
    </row>
    <row r="7842" spans="1:5" ht="45">
      <c r="A7842" s="484">
        <v>3081</v>
      </c>
      <c r="B7842" s="485" t="s">
        <v>5535</v>
      </c>
      <c r="C7842" s="484" t="s">
        <v>105</v>
      </c>
      <c r="D7842" s="486">
        <v>73.25</v>
      </c>
      <c r="E7842" s="486">
        <v>73.25</v>
      </c>
    </row>
    <row r="7843" spans="1:5" ht="45">
      <c r="A7843" s="349">
        <v>38151</v>
      </c>
      <c r="B7843" s="348" t="s">
        <v>5536</v>
      </c>
      <c r="C7843" s="349" t="s">
        <v>105</v>
      </c>
      <c r="D7843" s="483">
        <v>45.86</v>
      </c>
      <c r="E7843" s="483">
        <v>45.86</v>
      </c>
    </row>
    <row r="7844" spans="1:5" ht="30">
      <c r="A7844" s="484">
        <v>11479</v>
      </c>
      <c r="B7844" s="485" t="s">
        <v>5537</v>
      </c>
      <c r="C7844" s="484" t="s">
        <v>65</v>
      </c>
      <c r="D7844" s="486">
        <v>26.66</v>
      </c>
      <c r="E7844" s="486">
        <v>26.66</v>
      </c>
    </row>
    <row r="7845" spans="1:5" ht="45">
      <c r="A7845" s="349">
        <v>38152</v>
      </c>
      <c r="B7845" s="348" t="s">
        <v>5538</v>
      </c>
      <c r="C7845" s="349" t="s">
        <v>105</v>
      </c>
      <c r="D7845" s="483">
        <v>66.37</v>
      </c>
      <c r="E7845" s="483">
        <v>66.37</v>
      </c>
    </row>
    <row r="7846" spans="1:5" ht="30">
      <c r="A7846" s="484">
        <v>11478</v>
      </c>
      <c r="B7846" s="485" t="s">
        <v>5539</v>
      </c>
      <c r="C7846" s="484" t="s">
        <v>65</v>
      </c>
      <c r="D7846" s="486">
        <v>46.78</v>
      </c>
      <c r="E7846" s="486">
        <v>46.78</v>
      </c>
    </row>
    <row r="7847" spans="1:5" ht="45">
      <c r="A7847" s="349">
        <v>3090</v>
      </c>
      <c r="B7847" s="348" t="s">
        <v>5540</v>
      </c>
      <c r="C7847" s="349" t="s">
        <v>105</v>
      </c>
      <c r="D7847" s="483">
        <v>39.130000000000003</v>
      </c>
      <c r="E7847" s="483">
        <v>39.130000000000003</v>
      </c>
    </row>
    <row r="7848" spans="1:5" ht="45">
      <c r="A7848" s="484">
        <v>3093</v>
      </c>
      <c r="B7848" s="485" t="s">
        <v>5541</v>
      </c>
      <c r="C7848" s="484" t="s">
        <v>105</v>
      </c>
      <c r="D7848" s="486">
        <v>65.03</v>
      </c>
      <c r="E7848" s="486">
        <v>65.03</v>
      </c>
    </row>
    <row r="7849" spans="1:5" ht="30">
      <c r="A7849" s="349">
        <v>11476</v>
      </c>
      <c r="B7849" s="348" t="s">
        <v>5542</v>
      </c>
      <c r="C7849" s="349" t="s">
        <v>65</v>
      </c>
      <c r="D7849" s="483">
        <v>28.03</v>
      </c>
      <c r="E7849" s="483">
        <v>28.03</v>
      </c>
    </row>
    <row r="7850" spans="1:5" ht="30">
      <c r="A7850" s="484">
        <v>3082</v>
      </c>
      <c r="B7850" s="485" t="s">
        <v>5543</v>
      </c>
      <c r="C7850" s="484" t="s">
        <v>105</v>
      </c>
      <c r="D7850" s="486">
        <v>45.27</v>
      </c>
      <c r="E7850" s="486">
        <v>45.27</v>
      </c>
    </row>
    <row r="7851" spans="1:5" ht="45">
      <c r="A7851" s="349">
        <v>11484</v>
      </c>
      <c r="B7851" s="348" t="s">
        <v>5544</v>
      </c>
      <c r="C7851" s="349" t="s">
        <v>65</v>
      </c>
      <c r="D7851" s="483">
        <v>32.29</v>
      </c>
      <c r="E7851" s="483">
        <v>32.29</v>
      </c>
    </row>
    <row r="7852" spans="1:5" ht="30">
      <c r="A7852" s="484">
        <v>38155</v>
      </c>
      <c r="B7852" s="485" t="s">
        <v>5545</v>
      </c>
      <c r="C7852" s="484" t="s">
        <v>65</v>
      </c>
      <c r="D7852" s="486">
        <v>44.03</v>
      </c>
      <c r="E7852" s="486">
        <v>44.03</v>
      </c>
    </row>
    <row r="7853" spans="1:5" ht="30">
      <c r="A7853" s="349">
        <v>11468</v>
      </c>
      <c r="B7853" s="348" t="s">
        <v>5546</v>
      </c>
      <c r="C7853" s="349" t="s">
        <v>65</v>
      </c>
      <c r="D7853" s="483">
        <v>9.8800000000000008</v>
      </c>
      <c r="E7853" s="483">
        <v>9.8800000000000008</v>
      </c>
    </row>
    <row r="7854" spans="1:5" ht="30">
      <c r="A7854" s="484">
        <v>11469</v>
      </c>
      <c r="B7854" s="485" t="s">
        <v>5547</v>
      </c>
      <c r="C7854" s="484" t="s">
        <v>65</v>
      </c>
      <c r="D7854" s="486">
        <v>11.8</v>
      </c>
      <c r="E7854" s="486">
        <v>11.8</v>
      </c>
    </row>
    <row r="7855" spans="1:5" ht="30">
      <c r="A7855" s="349">
        <v>11477</v>
      </c>
      <c r="B7855" s="348" t="s">
        <v>5548</v>
      </c>
      <c r="C7855" s="349" t="s">
        <v>105</v>
      </c>
      <c r="D7855" s="483">
        <v>53.63</v>
      </c>
      <c r="E7855" s="483">
        <v>53.63</v>
      </c>
    </row>
    <row r="7856" spans="1:5" ht="45">
      <c r="A7856" s="484">
        <v>40311</v>
      </c>
      <c r="B7856" s="485" t="s">
        <v>5549</v>
      </c>
      <c r="C7856" s="484" t="s">
        <v>105</v>
      </c>
      <c r="D7856" s="486">
        <v>51.79</v>
      </c>
      <c r="E7856" s="486">
        <v>51.79</v>
      </c>
    </row>
    <row r="7857" spans="1:5" ht="30">
      <c r="A7857" s="349">
        <v>38165</v>
      </c>
      <c r="B7857" s="348" t="s">
        <v>5552</v>
      </c>
      <c r="C7857" s="349" t="s">
        <v>105</v>
      </c>
      <c r="D7857" s="483">
        <v>47.9</v>
      </c>
      <c r="E7857" s="483">
        <v>47.9</v>
      </c>
    </row>
    <row r="7858" spans="1:5" ht="30">
      <c r="A7858" s="484">
        <v>3096</v>
      </c>
      <c r="B7858" s="485" t="s">
        <v>5553</v>
      </c>
      <c r="C7858" s="484" t="s">
        <v>105</v>
      </c>
      <c r="D7858" s="486">
        <v>29.77</v>
      </c>
      <c r="E7858" s="486">
        <v>29.77</v>
      </c>
    </row>
    <row r="7859" spans="1:5" ht="30">
      <c r="A7859" s="349">
        <v>11456</v>
      </c>
      <c r="B7859" s="348" t="s">
        <v>11348</v>
      </c>
      <c r="C7859" s="349" t="s">
        <v>65</v>
      </c>
      <c r="D7859" s="483">
        <v>10.61</v>
      </c>
      <c r="E7859" s="483">
        <v>10.61</v>
      </c>
    </row>
    <row r="7860" spans="1:5" ht="30">
      <c r="A7860" s="484">
        <v>3119</v>
      </c>
      <c r="B7860" s="485" t="s">
        <v>11349</v>
      </c>
      <c r="C7860" s="484" t="s">
        <v>65</v>
      </c>
      <c r="D7860" s="486">
        <v>1.57</v>
      </c>
      <c r="E7860" s="486">
        <v>1.57</v>
      </c>
    </row>
    <row r="7861" spans="1:5" ht="30">
      <c r="A7861" s="349">
        <v>3122</v>
      </c>
      <c r="B7861" s="348" t="s">
        <v>11350</v>
      </c>
      <c r="C7861" s="349" t="s">
        <v>65</v>
      </c>
      <c r="D7861" s="483">
        <v>2.21</v>
      </c>
      <c r="E7861" s="483">
        <v>2.21</v>
      </c>
    </row>
    <row r="7862" spans="1:5" ht="30">
      <c r="A7862" s="484">
        <v>3121</v>
      </c>
      <c r="B7862" s="485" t="s">
        <v>11351</v>
      </c>
      <c r="C7862" s="484" t="s">
        <v>65</v>
      </c>
      <c r="D7862" s="486">
        <v>3.44</v>
      </c>
      <c r="E7862" s="486">
        <v>3.44</v>
      </c>
    </row>
    <row r="7863" spans="1:5" ht="30">
      <c r="A7863" s="349">
        <v>3120</v>
      </c>
      <c r="B7863" s="348" t="s">
        <v>11352</v>
      </c>
      <c r="C7863" s="349" t="s">
        <v>65</v>
      </c>
      <c r="D7863" s="483">
        <v>5.42</v>
      </c>
      <c r="E7863" s="483">
        <v>5.42</v>
      </c>
    </row>
    <row r="7864" spans="1:5" ht="30">
      <c r="A7864" s="484">
        <v>11455</v>
      </c>
      <c r="B7864" s="485" t="s">
        <v>11353</v>
      </c>
      <c r="C7864" s="484" t="s">
        <v>65</v>
      </c>
      <c r="D7864" s="486">
        <v>7.6</v>
      </c>
      <c r="E7864" s="486">
        <v>7.6</v>
      </c>
    </row>
    <row r="7865" spans="1:5" ht="30">
      <c r="A7865" s="349">
        <v>3111</v>
      </c>
      <c r="B7865" s="348" t="s">
        <v>5554</v>
      </c>
      <c r="C7865" s="349" t="s">
        <v>65</v>
      </c>
      <c r="D7865" s="483">
        <v>18.2</v>
      </c>
      <c r="E7865" s="483">
        <v>18.2</v>
      </c>
    </row>
    <row r="7866" spans="1:5" ht="30">
      <c r="A7866" s="484">
        <v>3108</v>
      </c>
      <c r="B7866" s="485" t="s">
        <v>5555</v>
      </c>
      <c r="C7866" s="484" t="s">
        <v>65</v>
      </c>
      <c r="D7866" s="486">
        <v>19.100000000000001</v>
      </c>
      <c r="E7866" s="486">
        <v>19.100000000000001</v>
      </c>
    </row>
    <row r="7867" spans="1:5" ht="30">
      <c r="A7867" s="349">
        <v>3105</v>
      </c>
      <c r="B7867" s="348" t="s">
        <v>11354</v>
      </c>
      <c r="C7867" s="349" t="s">
        <v>65</v>
      </c>
      <c r="D7867" s="483">
        <v>29.67</v>
      </c>
      <c r="E7867" s="483">
        <v>29.67</v>
      </c>
    </row>
    <row r="7868" spans="1:5" ht="30">
      <c r="A7868" s="484">
        <v>38178</v>
      </c>
      <c r="B7868" s="485" t="s">
        <v>5556</v>
      </c>
      <c r="C7868" s="484" t="s">
        <v>65</v>
      </c>
      <c r="D7868" s="486">
        <v>19.39</v>
      </c>
      <c r="E7868" s="486">
        <v>19.39</v>
      </c>
    </row>
    <row r="7869" spans="1:5" ht="30">
      <c r="A7869" s="349">
        <v>11458</v>
      </c>
      <c r="B7869" s="348" t="s">
        <v>5557</v>
      </c>
      <c r="C7869" s="349" t="s">
        <v>65</v>
      </c>
      <c r="D7869" s="483">
        <v>16.989999999999998</v>
      </c>
      <c r="E7869" s="483">
        <v>16.989999999999998</v>
      </c>
    </row>
    <row r="7870" spans="1:5" ht="30">
      <c r="A7870" s="484">
        <v>11461</v>
      </c>
      <c r="B7870" s="485" t="s">
        <v>11355</v>
      </c>
      <c r="C7870" s="484" t="s">
        <v>65</v>
      </c>
      <c r="D7870" s="486">
        <v>4.3099999999999996</v>
      </c>
      <c r="E7870" s="486">
        <v>4.3099999999999996</v>
      </c>
    </row>
    <row r="7871" spans="1:5" ht="30">
      <c r="A7871" s="349">
        <v>3106</v>
      </c>
      <c r="B7871" s="348" t="s">
        <v>11356</v>
      </c>
      <c r="C7871" s="349" t="s">
        <v>65</v>
      </c>
      <c r="D7871" s="483">
        <v>3.27</v>
      </c>
      <c r="E7871" s="483">
        <v>3.27</v>
      </c>
    </row>
    <row r="7872" spans="1:5" ht="30">
      <c r="A7872" s="484">
        <v>3107</v>
      </c>
      <c r="B7872" s="485" t="s">
        <v>5563</v>
      </c>
      <c r="C7872" s="484" t="s">
        <v>65</v>
      </c>
      <c r="D7872" s="486">
        <v>2.75</v>
      </c>
      <c r="E7872" s="486">
        <v>2.75</v>
      </c>
    </row>
    <row r="7873" spans="1:5">
      <c r="A7873" s="349">
        <v>25951</v>
      </c>
      <c r="B7873" s="348" t="s">
        <v>179</v>
      </c>
      <c r="C7873" s="349" t="s">
        <v>90</v>
      </c>
      <c r="D7873" s="483">
        <v>2.5</v>
      </c>
      <c r="E7873" s="483">
        <v>2.5</v>
      </c>
    </row>
    <row r="7874" spans="1:5">
      <c r="A7874" s="484">
        <v>3123</v>
      </c>
      <c r="B7874" s="485" t="s">
        <v>5564</v>
      </c>
      <c r="C7874" s="484" t="s">
        <v>90</v>
      </c>
      <c r="D7874" s="486">
        <v>2.33</v>
      </c>
      <c r="E7874" s="486">
        <v>2.33</v>
      </c>
    </row>
    <row r="7875" spans="1:5">
      <c r="A7875" s="349">
        <v>38125</v>
      </c>
      <c r="B7875" s="348" t="s">
        <v>5565</v>
      </c>
      <c r="C7875" s="349" t="s">
        <v>90</v>
      </c>
      <c r="D7875" s="483">
        <v>0.95</v>
      </c>
      <c r="E7875" s="483">
        <v>0.95</v>
      </c>
    </row>
    <row r="7876" spans="1:5" ht="30">
      <c r="A7876" s="484">
        <v>39014</v>
      </c>
      <c r="B7876" s="485" t="s">
        <v>5566</v>
      </c>
      <c r="C7876" s="484" t="s">
        <v>90</v>
      </c>
      <c r="D7876" s="486">
        <v>8.76</v>
      </c>
      <c r="E7876" s="486">
        <v>8.76</v>
      </c>
    </row>
    <row r="7877" spans="1:5" ht="30">
      <c r="A7877" s="349">
        <v>11894</v>
      </c>
      <c r="B7877" s="348" t="s">
        <v>5567</v>
      </c>
      <c r="C7877" s="349" t="s">
        <v>65</v>
      </c>
      <c r="D7877" s="483">
        <v>602.64</v>
      </c>
      <c r="E7877" s="483">
        <v>602.64</v>
      </c>
    </row>
    <row r="7878" spans="1:5" ht="30">
      <c r="A7878" s="484">
        <v>39365</v>
      </c>
      <c r="B7878" s="485" t="s">
        <v>5568</v>
      </c>
      <c r="C7878" s="484" t="s">
        <v>65</v>
      </c>
      <c r="D7878" s="486">
        <v>915.77</v>
      </c>
      <c r="E7878" s="486">
        <v>915.77</v>
      </c>
    </row>
    <row r="7879" spans="1:5" ht="30">
      <c r="A7879" s="349">
        <v>39366</v>
      </c>
      <c r="B7879" s="348" t="s">
        <v>5569</v>
      </c>
      <c r="C7879" s="349" t="s">
        <v>65</v>
      </c>
      <c r="D7879" s="483">
        <v>2344.75</v>
      </c>
      <c r="E7879" s="483">
        <v>2344.75</v>
      </c>
    </row>
    <row r="7880" spans="1:5" ht="30">
      <c r="A7880" s="484">
        <v>39367</v>
      </c>
      <c r="B7880" s="485" t="s">
        <v>5570</v>
      </c>
      <c r="C7880" s="484" t="s">
        <v>65</v>
      </c>
      <c r="D7880" s="486">
        <v>3204.85</v>
      </c>
      <c r="E7880" s="486">
        <v>3204.85</v>
      </c>
    </row>
    <row r="7881" spans="1:5">
      <c r="A7881" s="349">
        <v>37394</v>
      </c>
      <c r="B7881" s="348" t="s">
        <v>5571</v>
      </c>
      <c r="C7881" s="349" t="s">
        <v>180</v>
      </c>
      <c r="D7881" s="483">
        <v>48.5</v>
      </c>
      <c r="E7881" s="483">
        <v>48.5</v>
      </c>
    </row>
    <row r="7882" spans="1:5">
      <c r="A7882" s="484">
        <v>14146</v>
      </c>
      <c r="B7882" s="485" t="s">
        <v>5572</v>
      </c>
      <c r="C7882" s="484" t="s">
        <v>180</v>
      </c>
      <c r="D7882" s="486">
        <v>78</v>
      </c>
      <c r="E7882" s="486">
        <v>78</v>
      </c>
    </row>
    <row r="7883" spans="1:5">
      <c r="A7883" s="349">
        <v>38134</v>
      </c>
      <c r="B7883" s="348" t="s">
        <v>5573</v>
      </c>
      <c r="C7883" s="349" t="s">
        <v>90</v>
      </c>
      <c r="D7883" s="483">
        <v>43.47</v>
      </c>
      <c r="E7883" s="483">
        <v>43.47</v>
      </c>
    </row>
    <row r="7884" spans="1:5">
      <c r="A7884" s="484">
        <v>38132</v>
      </c>
      <c r="B7884" s="485" t="s">
        <v>5574</v>
      </c>
      <c r="C7884" s="484" t="s">
        <v>90</v>
      </c>
      <c r="D7884" s="486">
        <v>44.34</v>
      </c>
      <c r="E7884" s="486">
        <v>44.34</v>
      </c>
    </row>
    <row r="7885" spans="1:5">
      <c r="A7885" s="349">
        <v>38133</v>
      </c>
      <c r="B7885" s="348" t="s">
        <v>5575</v>
      </c>
      <c r="C7885" s="349" t="s">
        <v>90</v>
      </c>
      <c r="D7885" s="483">
        <v>42.89</v>
      </c>
      <c r="E7885" s="483">
        <v>42.89</v>
      </c>
    </row>
    <row r="7886" spans="1:5" ht="30">
      <c r="A7886" s="484">
        <v>938</v>
      </c>
      <c r="B7886" s="485" t="s">
        <v>11357</v>
      </c>
      <c r="C7886" s="484" t="s">
        <v>71</v>
      </c>
      <c r="D7886" s="486">
        <v>0.77</v>
      </c>
      <c r="E7886" s="486">
        <v>0.77</v>
      </c>
    </row>
    <row r="7887" spans="1:5" ht="30">
      <c r="A7887" s="349">
        <v>937</v>
      </c>
      <c r="B7887" s="348" t="s">
        <v>11358</v>
      </c>
      <c r="C7887" s="349" t="s">
        <v>71</v>
      </c>
      <c r="D7887" s="483">
        <v>4.76</v>
      </c>
      <c r="E7887" s="483">
        <v>4.76</v>
      </c>
    </row>
    <row r="7888" spans="1:5" ht="30">
      <c r="A7888" s="484">
        <v>939</v>
      </c>
      <c r="B7888" s="485" t="s">
        <v>5576</v>
      </c>
      <c r="C7888" s="484" t="s">
        <v>71</v>
      </c>
      <c r="D7888" s="486">
        <v>1.23</v>
      </c>
      <c r="E7888" s="486">
        <v>1.23</v>
      </c>
    </row>
    <row r="7889" spans="1:5" ht="30">
      <c r="A7889" s="349">
        <v>944</v>
      </c>
      <c r="B7889" s="348" t="s">
        <v>5577</v>
      </c>
      <c r="C7889" s="349" t="s">
        <v>71</v>
      </c>
      <c r="D7889" s="483">
        <v>2.1</v>
      </c>
      <c r="E7889" s="483">
        <v>2.1</v>
      </c>
    </row>
    <row r="7890" spans="1:5" ht="30">
      <c r="A7890" s="484">
        <v>940</v>
      </c>
      <c r="B7890" s="485" t="s">
        <v>5578</v>
      </c>
      <c r="C7890" s="484" t="s">
        <v>71</v>
      </c>
      <c r="D7890" s="486">
        <v>2.91</v>
      </c>
      <c r="E7890" s="486">
        <v>2.91</v>
      </c>
    </row>
    <row r="7891" spans="1:5" ht="30">
      <c r="A7891" s="349">
        <v>936</v>
      </c>
      <c r="B7891" s="348" t="s">
        <v>19562</v>
      </c>
      <c r="C7891" s="349" t="s">
        <v>71</v>
      </c>
      <c r="D7891" s="483">
        <v>0.75</v>
      </c>
      <c r="E7891" s="483">
        <v>0.75</v>
      </c>
    </row>
    <row r="7892" spans="1:5" ht="30">
      <c r="A7892" s="484">
        <v>935</v>
      </c>
      <c r="B7892" s="485" t="s">
        <v>11360</v>
      </c>
      <c r="C7892" s="484" t="s">
        <v>71</v>
      </c>
      <c r="D7892" s="486">
        <v>0.56999999999999995</v>
      </c>
      <c r="E7892" s="486">
        <v>0.56999999999999995</v>
      </c>
    </row>
    <row r="7893" spans="1:5">
      <c r="A7893" s="349">
        <v>406</v>
      </c>
      <c r="B7893" s="348" t="s">
        <v>5580</v>
      </c>
      <c r="C7893" s="349" t="s">
        <v>65</v>
      </c>
      <c r="D7893" s="483">
        <v>51.42</v>
      </c>
      <c r="E7893" s="483">
        <v>51.42</v>
      </c>
    </row>
    <row r="7894" spans="1:5" ht="30">
      <c r="A7894" s="484">
        <v>39634</v>
      </c>
      <c r="B7894" s="485" t="s">
        <v>5582</v>
      </c>
      <c r="C7894" s="484" t="s">
        <v>71</v>
      </c>
      <c r="D7894" s="486">
        <v>5.63</v>
      </c>
      <c r="E7894" s="486">
        <v>5.63</v>
      </c>
    </row>
    <row r="7895" spans="1:5">
      <c r="A7895" s="349">
        <v>39701</v>
      </c>
      <c r="B7895" s="348" t="s">
        <v>19563</v>
      </c>
      <c r="C7895" s="349" t="s">
        <v>65</v>
      </c>
      <c r="D7895" s="483">
        <v>45.72</v>
      </c>
      <c r="E7895" s="483">
        <v>45.72</v>
      </c>
    </row>
    <row r="7896" spans="1:5">
      <c r="A7896" s="484">
        <v>12815</v>
      </c>
      <c r="B7896" s="485" t="s">
        <v>5583</v>
      </c>
      <c r="C7896" s="484" t="s">
        <v>65</v>
      </c>
      <c r="D7896" s="486">
        <v>5.9</v>
      </c>
      <c r="E7896" s="486">
        <v>5.9</v>
      </c>
    </row>
    <row r="7897" spans="1:5">
      <c r="A7897" s="349">
        <v>407</v>
      </c>
      <c r="B7897" s="348" t="s">
        <v>5584</v>
      </c>
      <c r="C7897" s="349" t="s">
        <v>90</v>
      </c>
      <c r="D7897" s="483">
        <v>46.41</v>
      </c>
      <c r="E7897" s="483">
        <v>46.41</v>
      </c>
    </row>
    <row r="7898" spans="1:5" ht="18.75" customHeight="1">
      <c r="A7898" s="484">
        <v>39431</v>
      </c>
      <c r="B7898" s="485" t="s">
        <v>5585</v>
      </c>
      <c r="C7898" s="484" t="s">
        <v>71</v>
      </c>
      <c r="D7898" s="486">
        <v>0.17</v>
      </c>
      <c r="E7898" s="486">
        <v>0.17</v>
      </c>
    </row>
    <row r="7899" spans="1:5" ht="30">
      <c r="A7899" s="349">
        <v>39432</v>
      </c>
      <c r="B7899" s="348" t="s">
        <v>5586</v>
      </c>
      <c r="C7899" s="349" t="s">
        <v>71</v>
      </c>
      <c r="D7899" s="483">
        <v>2.19</v>
      </c>
      <c r="E7899" s="483">
        <v>2.19</v>
      </c>
    </row>
    <row r="7900" spans="1:5">
      <c r="A7900" s="484">
        <v>20111</v>
      </c>
      <c r="B7900" s="485" t="s">
        <v>5587</v>
      </c>
      <c r="C7900" s="484" t="s">
        <v>65</v>
      </c>
      <c r="D7900" s="486">
        <v>7.58</v>
      </c>
      <c r="E7900" s="486">
        <v>7.58</v>
      </c>
    </row>
    <row r="7901" spans="1:5">
      <c r="A7901" s="349">
        <v>21127</v>
      </c>
      <c r="B7901" s="348" t="s">
        <v>5588</v>
      </c>
      <c r="C7901" s="349" t="s">
        <v>65</v>
      </c>
      <c r="D7901" s="483">
        <v>2.86</v>
      </c>
      <c r="E7901" s="483">
        <v>2.86</v>
      </c>
    </row>
    <row r="7902" spans="1:5">
      <c r="A7902" s="484">
        <v>404</v>
      </c>
      <c r="B7902" s="485" t="s">
        <v>5589</v>
      </c>
      <c r="C7902" s="484" t="s">
        <v>71</v>
      </c>
      <c r="D7902" s="486">
        <v>1.03</v>
      </c>
      <c r="E7902" s="486">
        <v>1.03</v>
      </c>
    </row>
    <row r="7903" spans="1:5">
      <c r="A7903" s="349">
        <v>14151</v>
      </c>
      <c r="B7903" s="348" t="s">
        <v>5590</v>
      </c>
      <c r="C7903" s="349" t="s">
        <v>65</v>
      </c>
      <c r="D7903" s="483">
        <v>56.06</v>
      </c>
      <c r="E7903" s="483">
        <v>56.06</v>
      </c>
    </row>
    <row r="7904" spans="1:5">
      <c r="A7904" s="484">
        <v>14153</v>
      </c>
      <c r="B7904" s="485" t="s">
        <v>5591</v>
      </c>
      <c r="C7904" s="484" t="s">
        <v>65</v>
      </c>
      <c r="D7904" s="486">
        <v>63.37</v>
      </c>
      <c r="E7904" s="486">
        <v>63.37</v>
      </c>
    </row>
    <row r="7905" spans="1:5">
      <c r="A7905" s="349">
        <v>14152</v>
      </c>
      <c r="B7905" s="348" t="s">
        <v>5592</v>
      </c>
      <c r="C7905" s="349" t="s">
        <v>65</v>
      </c>
      <c r="D7905" s="483">
        <v>48.65</v>
      </c>
      <c r="E7905" s="483">
        <v>48.65</v>
      </c>
    </row>
    <row r="7906" spans="1:5">
      <c r="A7906" s="484">
        <v>14154</v>
      </c>
      <c r="B7906" s="485" t="s">
        <v>5593</v>
      </c>
      <c r="C7906" s="484" t="s">
        <v>65</v>
      </c>
      <c r="D7906" s="486">
        <v>170.28</v>
      </c>
      <c r="E7906" s="486">
        <v>170.28</v>
      </c>
    </row>
    <row r="7907" spans="1:5">
      <c r="A7907" s="349">
        <v>3146</v>
      </c>
      <c r="B7907" s="348" t="s">
        <v>5594</v>
      </c>
      <c r="C7907" s="349" t="s">
        <v>65</v>
      </c>
      <c r="D7907" s="483">
        <v>2.89</v>
      </c>
      <c r="E7907" s="483">
        <v>2.89</v>
      </c>
    </row>
    <row r="7908" spans="1:5">
      <c r="A7908" s="484">
        <v>3143</v>
      </c>
      <c r="B7908" s="485" t="s">
        <v>5595</v>
      </c>
      <c r="C7908" s="484" t="s">
        <v>65</v>
      </c>
      <c r="D7908" s="486">
        <v>6.57</v>
      </c>
      <c r="E7908" s="486">
        <v>6.57</v>
      </c>
    </row>
    <row r="7909" spans="1:5">
      <c r="A7909" s="349">
        <v>3148</v>
      </c>
      <c r="B7909" s="348" t="s">
        <v>5596</v>
      </c>
      <c r="C7909" s="349" t="s">
        <v>65</v>
      </c>
      <c r="D7909" s="483">
        <v>10.65</v>
      </c>
      <c r="E7909" s="483">
        <v>10.65</v>
      </c>
    </row>
    <row r="7910" spans="1:5" ht="30">
      <c r="A7910" s="484">
        <v>4310</v>
      </c>
      <c r="B7910" s="485" t="s">
        <v>5614</v>
      </c>
      <c r="C7910" s="484" t="s">
        <v>65</v>
      </c>
      <c r="D7910" s="486">
        <v>1.6</v>
      </c>
      <c r="E7910" s="486">
        <v>1.6</v>
      </c>
    </row>
    <row r="7911" spans="1:5">
      <c r="A7911" s="349">
        <v>4311</v>
      </c>
      <c r="B7911" s="348" t="s">
        <v>181</v>
      </c>
      <c r="C7911" s="349" t="s">
        <v>65</v>
      </c>
      <c r="D7911" s="483">
        <v>1.1200000000000001</v>
      </c>
      <c r="E7911" s="483">
        <v>1.1200000000000001</v>
      </c>
    </row>
    <row r="7912" spans="1:5">
      <c r="A7912" s="484">
        <v>4312</v>
      </c>
      <c r="B7912" s="485" t="s">
        <v>5615</v>
      </c>
      <c r="C7912" s="484" t="s">
        <v>65</v>
      </c>
      <c r="D7912" s="486">
        <v>1.57</v>
      </c>
      <c r="E7912" s="486">
        <v>1.57</v>
      </c>
    </row>
    <row r="7913" spans="1:5">
      <c r="A7913" s="349">
        <v>11162</v>
      </c>
      <c r="B7913" s="348" t="s">
        <v>5616</v>
      </c>
      <c r="C7913" s="349" t="s">
        <v>65</v>
      </c>
      <c r="D7913" s="483">
        <v>1.25</v>
      </c>
      <c r="E7913" s="483">
        <v>1.25</v>
      </c>
    </row>
    <row r="7914" spans="1:5">
      <c r="A7914" s="484">
        <v>13261</v>
      </c>
      <c r="B7914" s="485" t="s">
        <v>5617</v>
      </c>
      <c r="C7914" s="484" t="s">
        <v>65</v>
      </c>
      <c r="D7914" s="486">
        <v>1.56</v>
      </c>
      <c r="E7914" s="486">
        <v>1.56</v>
      </c>
    </row>
    <row r="7915" spans="1:5">
      <c r="A7915" s="349">
        <v>3255</v>
      </c>
      <c r="B7915" s="348" t="s">
        <v>5618</v>
      </c>
      <c r="C7915" s="349" t="s">
        <v>65</v>
      </c>
      <c r="D7915" s="483">
        <v>4.1900000000000004</v>
      </c>
      <c r="E7915" s="483">
        <v>4.1900000000000004</v>
      </c>
    </row>
    <row r="7916" spans="1:5">
      <c r="A7916" s="484">
        <v>3254</v>
      </c>
      <c r="B7916" s="485" t="s">
        <v>5619</v>
      </c>
      <c r="C7916" s="484" t="s">
        <v>65</v>
      </c>
      <c r="D7916" s="486">
        <v>74.75</v>
      </c>
      <c r="E7916" s="486">
        <v>74.75</v>
      </c>
    </row>
    <row r="7917" spans="1:5">
      <c r="A7917" s="349">
        <v>3253</v>
      </c>
      <c r="B7917" s="348" t="s">
        <v>5620</v>
      </c>
      <c r="C7917" s="349" t="s">
        <v>65</v>
      </c>
      <c r="D7917" s="483">
        <v>93.24</v>
      </c>
      <c r="E7917" s="483">
        <v>93.24</v>
      </c>
    </row>
    <row r="7918" spans="1:5">
      <c r="A7918" s="484">
        <v>3259</v>
      </c>
      <c r="B7918" s="485" t="s">
        <v>5621</v>
      </c>
      <c r="C7918" s="484" t="s">
        <v>65</v>
      </c>
      <c r="D7918" s="486">
        <v>7.8</v>
      </c>
      <c r="E7918" s="486">
        <v>7.8</v>
      </c>
    </row>
    <row r="7919" spans="1:5">
      <c r="A7919" s="349">
        <v>3258</v>
      </c>
      <c r="B7919" s="348" t="s">
        <v>5622</v>
      </c>
      <c r="C7919" s="349" t="s">
        <v>65</v>
      </c>
      <c r="D7919" s="483">
        <v>5.92</v>
      </c>
      <c r="E7919" s="483">
        <v>5.92</v>
      </c>
    </row>
    <row r="7920" spans="1:5">
      <c r="A7920" s="484">
        <v>3251</v>
      </c>
      <c r="B7920" s="485" t="s">
        <v>5624</v>
      </c>
      <c r="C7920" s="484" t="s">
        <v>65</v>
      </c>
      <c r="D7920" s="486">
        <v>3.15</v>
      </c>
      <c r="E7920" s="486">
        <v>3.15</v>
      </c>
    </row>
    <row r="7921" spans="1:5">
      <c r="A7921" s="349">
        <v>3256</v>
      </c>
      <c r="B7921" s="348" t="s">
        <v>5623</v>
      </c>
      <c r="C7921" s="349" t="s">
        <v>65</v>
      </c>
      <c r="D7921" s="483">
        <v>5.41</v>
      </c>
      <c r="E7921" s="483">
        <v>5.41</v>
      </c>
    </row>
    <row r="7922" spans="1:5">
      <c r="A7922" s="484">
        <v>3261</v>
      </c>
      <c r="B7922" s="485" t="s">
        <v>5625</v>
      </c>
      <c r="C7922" s="484" t="s">
        <v>65</v>
      </c>
      <c r="D7922" s="486">
        <v>64.540000000000006</v>
      </c>
      <c r="E7922" s="486">
        <v>64.540000000000006</v>
      </c>
    </row>
    <row r="7923" spans="1:5">
      <c r="A7923" s="349">
        <v>3260</v>
      </c>
      <c r="B7923" s="348" t="s">
        <v>5626</v>
      </c>
      <c r="C7923" s="349" t="s">
        <v>65</v>
      </c>
      <c r="D7923" s="483">
        <v>10.41</v>
      </c>
      <c r="E7923" s="483">
        <v>10.41</v>
      </c>
    </row>
    <row r="7924" spans="1:5">
      <c r="A7924" s="484">
        <v>3272</v>
      </c>
      <c r="B7924" s="485" t="s">
        <v>5627</v>
      </c>
      <c r="C7924" s="484" t="s">
        <v>65</v>
      </c>
      <c r="D7924" s="486">
        <v>26.1</v>
      </c>
      <c r="E7924" s="486">
        <v>26.1</v>
      </c>
    </row>
    <row r="7925" spans="1:5">
      <c r="A7925" s="349">
        <v>3265</v>
      </c>
      <c r="B7925" s="348" t="s">
        <v>5628</v>
      </c>
      <c r="C7925" s="349" t="s">
        <v>65</v>
      </c>
      <c r="D7925" s="483">
        <v>20.74</v>
      </c>
      <c r="E7925" s="483">
        <v>20.74</v>
      </c>
    </row>
    <row r="7926" spans="1:5">
      <c r="A7926" s="484">
        <v>3262</v>
      </c>
      <c r="B7926" s="485" t="s">
        <v>5630</v>
      </c>
      <c r="C7926" s="484" t="s">
        <v>65</v>
      </c>
      <c r="D7926" s="486">
        <v>9.08</v>
      </c>
      <c r="E7926" s="486">
        <v>9.08</v>
      </c>
    </row>
    <row r="7927" spans="1:5">
      <c r="A7927" s="349">
        <v>3264</v>
      </c>
      <c r="B7927" s="348" t="s">
        <v>5629</v>
      </c>
      <c r="C7927" s="349" t="s">
        <v>65</v>
      </c>
      <c r="D7927" s="483">
        <v>14.91</v>
      </c>
      <c r="E7927" s="483">
        <v>14.91</v>
      </c>
    </row>
    <row r="7928" spans="1:5">
      <c r="A7928" s="484">
        <v>3267</v>
      </c>
      <c r="B7928" s="485" t="s">
        <v>5631</v>
      </c>
      <c r="C7928" s="484" t="s">
        <v>65</v>
      </c>
      <c r="D7928" s="486">
        <v>48.7</v>
      </c>
      <c r="E7928" s="486">
        <v>48.7</v>
      </c>
    </row>
    <row r="7929" spans="1:5">
      <c r="A7929" s="349">
        <v>3266</v>
      </c>
      <c r="B7929" s="348" t="s">
        <v>5632</v>
      </c>
      <c r="C7929" s="349" t="s">
        <v>65</v>
      </c>
      <c r="D7929" s="483">
        <v>30.99</v>
      </c>
      <c r="E7929" s="483">
        <v>30.99</v>
      </c>
    </row>
    <row r="7930" spans="1:5">
      <c r="A7930" s="484">
        <v>3263</v>
      </c>
      <c r="B7930" s="485" t="s">
        <v>5634</v>
      </c>
      <c r="C7930" s="484" t="s">
        <v>65</v>
      </c>
      <c r="D7930" s="486">
        <v>12.4</v>
      </c>
      <c r="E7930" s="486">
        <v>12.4</v>
      </c>
    </row>
    <row r="7931" spans="1:5">
      <c r="A7931" s="349">
        <v>3268</v>
      </c>
      <c r="B7931" s="348" t="s">
        <v>5633</v>
      </c>
      <c r="C7931" s="349" t="s">
        <v>65</v>
      </c>
      <c r="D7931" s="483">
        <v>65.849999999999994</v>
      </c>
      <c r="E7931" s="483">
        <v>65.849999999999994</v>
      </c>
    </row>
    <row r="7932" spans="1:5">
      <c r="A7932" s="484">
        <v>3271</v>
      </c>
      <c r="B7932" s="485" t="s">
        <v>5635</v>
      </c>
      <c r="C7932" s="484" t="s">
        <v>65</v>
      </c>
      <c r="D7932" s="486">
        <v>97.36</v>
      </c>
      <c r="E7932" s="486">
        <v>97.36</v>
      </c>
    </row>
    <row r="7933" spans="1:5">
      <c r="A7933" s="349">
        <v>3270</v>
      </c>
      <c r="B7933" s="348" t="s">
        <v>5636</v>
      </c>
      <c r="C7933" s="349" t="s">
        <v>65</v>
      </c>
      <c r="D7933" s="483">
        <v>163.57</v>
      </c>
      <c r="E7933" s="483">
        <v>163.57</v>
      </c>
    </row>
    <row r="7934" spans="1:5" ht="30">
      <c r="A7934" s="484">
        <v>3275</v>
      </c>
      <c r="B7934" s="485" t="s">
        <v>5666</v>
      </c>
      <c r="C7934" s="484" t="s">
        <v>256</v>
      </c>
      <c r="D7934" s="486">
        <v>51.3</v>
      </c>
      <c r="E7934" s="486">
        <v>51.3</v>
      </c>
    </row>
    <row r="7935" spans="1:5" ht="30">
      <c r="A7935" s="349">
        <v>3286</v>
      </c>
      <c r="B7935" s="348" t="s">
        <v>5668</v>
      </c>
      <c r="C7935" s="349" t="s">
        <v>256</v>
      </c>
      <c r="D7935" s="483">
        <v>52.94</v>
      </c>
      <c r="E7935" s="483">
        <v>52.94</v>
      </c>
    </row>
    <row r="7936" spans="1:5" ht="30">
      <c r="A7936" s="484">
        <v>3287</v>
      </c>
      <c r="B7936" s="485" t="s">
        <v>5670</v>
      </c>
      <c r="C7936" s="484" t="s">
        <v>256</v>
      </c>
      <c r="D7936" s="486">
        <v>80</v>
      </c>
      <c r="E7936" s="486">
        <v>80</v>
      </c>
    </row>
    <row r="7937" spans="1:5" ht="30">
      <c r="A7937" s="349">
        <v>3283</v>
      </c>
      <c r="B7937" s="348" t="s">
        <v>5672</v>
      </c>
      <c r="C7937" s="349" t="s">
        <v>256</v>
      </c>
      <c r="D7937" s="483">
        <v>16.8</v>
      </c>
      <c r="E7937" s="483">
        <v>16.8</v>
      </c>
    </row>
    <row r="7938" spans="1:5" ht="30">
      <c r="A7938" s="484">
        <v>11587</v>
      </c>
      <c r="B7938" s="485" t="s">
        <v>5674</v>
      </c>
      <c r="C7938" s="484" t="s">
        <v>256</v>
      </c>
      <c r="D7938" s="486">
        <v>35.18</v>
      </c>
      <c r="E7938" s="486">
        <v>35.18</v>
      </c>
    </row>
    <row r="7939" spans="1:5" ht="30">
      <c r="A7939" s="349">
        <v>36225</v>
      </c>
      <c r="B7939" s="348" t="s">
        <v>5675</v>
      </c>
      <c r="C7939" s="349" t="s">
        <v>256</v>
      </c>
      <c r="D7939" s="483">
        <v>14.29</v>
      </c>
      <c r="E7939" s="483">
        <v>14.29</v>
      </c>
    </row>
    <row r="7940" spans="1:5" ht="30">
      <c r="A7940" s="484">
        <v>36230</v>
      </c>
      <c r="B7940" s="485" t="s">
        <v>5676</v>
      </c>
      <c r="C7940" s="484" t="s">
        <v>256</v>
      </c>
      <c r="D7940" s="486">
        <v>10.5</v>
      </c>
      <c r="E7940" s="486">
        <v>10.5</v>
      </c>
    </row>
    <row r="7941" spans="1:5" ht="30">
      <c r="A7941" s="349">
        <v>36238</v>
      </c>
      <c r="B7941" s="348" t="s">
        <v>5677</v>
      </c>
      <c r="C7941" s="349" t="s">
        <v>256</v>
      </c>
      <c r="D7941" s="483">
        <v>10.26</v>
      </c>
      <c r="E7941" s="483">
        <v>10.26</v>
      </c>
    </row>
    <row r="7942" spans="1:5">
      <c r="A7942" s="484">
        <v>11887</v>
      </c>
      <c r="B7942" s="485" t="s">
        <v>5679</v>
      </c>
      <c r="C7942" s="484" t="s">
        <v>65</v>
      </c>
      <c r="D7942" s="486">
        <v>2838.9</v>
      </c>
      <c r="E7942" s="486">
        <v>2838.9</v>
      </c>
    </row>
    <row r="7943" spans="1:5">
      <c r="A7943" s="349">
        <v>11883</v>
      </c>
      <c r="B7943" s="348" t="s">
        <v>5680</v>
      </c>
      <c r="C7943" s="349" t="s">
        <v>65</v>
      </c>
      <c r="D7943" s="483">
        <v>4173.68</v>
      </c>
      <c r="E7943" s="483">
        <v>4173.68</v>
      </c>
    </row>
    <row r="7944" spans="1:5">
      <c r="A7944" s="484">
        <v>11884</v>
      </c>
      <c r="B7944" s="485" t="s">
        <v>5681</v>
      </c>
      <c r="C7944" s="484" t="s">
        <v>65</v>
      </c>
      <c r="D7944" s="486">
        <v>4477.99</v>
      </c>
      <c r="E7944" s="486">
        <v>4477.99</v>
      </c>
    </row>
    <row r="7945" spans="1:5">
      <c r="A7945" s="349">
        <v>11885</v>
      </c>
      <c r="B7945" s="348" t="s">
        <v>5682</v>
      </c>
      <c r="C7945" s="349" t="s">
        <v>65</v>
      </c>
      <c r="D7945" s="483">
        <v>4158.7299999999996</v>
      </c>
      <c r="E7945" s="483">
        <v>4158.7299999999996</v>
      </c>
    </row>
    <row r="7946" spans="1:5" ht="29.25" customHeight="1">
      <c r="A7946" s="484">
        <v>11886</v>
      </c>
      <c r="B7946" s="485" t="s">
        <v>5683</v>
      </c>
      <c r="C7946" s="484" t="s">
        <v>65</v>
      </c>
      <c r="D7946" s="486">
        <v>1609.7</v>
      </c>
      <c r="E7946" s="486">
        <v>1609.7</v>
      </c>
    </row>
    <row r="7947" spans="1:5">
      <c r="A7947" s="349">
        <v>11888</v>
      </c>
      <c r="B7947" s="348" t="s">
        <v>5684</v>
      </c>
      <c r="C7947" s="349" t="s">
        <v>65</v>
      </c>
      <c r="D7947" s="483">
        <v>3780.21</v>
      </c>
      <c r="E7947" s="483">
        <v>3780.21</v>
      </c>
    </row>
    <row r="7948" spans="1:5">
      <c r="A7948" s="484">
        <v>3277</v>
      </c>
      <c r="B7948" s="485" t="s">
        <v>5685</v>
      </c>
      <c r="C7948" s="484" t="s">
        <v>65</v>
      </c>
      <c r="D7948" s="486">
        <v>637.5</v>
      </c>
      <c r="E7948" s="486">
        <v>637.5</v>
      </c>
    </row>
    <row r="7949" spans="1:5">
      <c r="A7949" s="349">
        <v>3281</v>
      </c>
      <c r="B7949" s="348" t="s">
        <v>5686</v>
      </c>
      <c r="C7949" s="349" t="s">
        <v>65</v>
      </c>
      <c r="D7949" s="483">
        <v>527.92999999999995</v>
      </c>
      <c r="E7949" s="483">
        <v>527.92999999999995</v>
      </c>
    </row>
    <row r="7950" spans="1:5" ht="45">
      <c r="A7950" s="484">
        <v>39363</v>
      </c>
      <c r="B7950" s="485" t="s">
        <v>5687</v>
      </c>
      <c r="C7950" s="484" t="s">
        <v>65</v>
      </c>
      <c r="D7950" s="486">
        <v>3730.29</v>
      </c>
      <c r="E7950" s="486">
        <v>3730.29</v>
      </c>
    </row>
    <row r="7951" spans="1:5" ht="45">
      <c r="A7951" s="349">
        <v>39361</v>
      </c>
      <c r="B7951" s="348" t="s">
        <v>5688</v>
      </c>
      <c r="C7951" s="349" t="s">
        <v>65</v>
      </c>
      <c r="D7951" s="483">
        <v>959.21</v>
      </c>
      <c r="E7951" s="483">
        <v>959.21</v>
      </c>
    </row>
    <row r="7952" spans="1:5" ht="45">
      <c r="A7952" s="484">
        <v>39362</v>
      </c>
      <c r="B7952" s="485" t="s">
        <v>5689</v>
      </c>
      <c r="C7952" s="484" t="s">
        <v>65</v>
      </c>
      <c r="D7952" s="486">
        <v>2951.76</v>
      </c>
      <c r="E7952" s="486">
        <v>2951.76</v>
      </c>
    </row>
    <row r="7953" spans="1:5" ht="45">
      <c r="A7953" s="349">
        <v>39364</v>
      </c>
      <c r="B7953" s="348" t="s">
        <v>5690</v>
      </c>
      <c r="C7953" s="349" t="s">
        <v>65</v>
      </c>
      <c r="D7953" s="483">
        <v>8526.39</v>
      </c>
      <c r="E7953" s="483">
        <v>8526.39</v>
      </c>
    </row>
    <row r="7954" spans="1:5" ht="29.25" customHeight="1">
      <c r="A7954" s="484">
        <v>14576</v>
      </c>
      <c r="B7954" s="485" t="s">
        <v>5691</v>
      </c>
      <c r="C7954" s="484" t="s">
        <v>65</v>
      </c>
      <c r="D7954" s="486">
        <v>2458289.81</v>
      </c>
      <c r="E7954" s="486">
        <v>2458289.81</v>
      </c>
    </row>
    <row r="7955" spans="1:5" ht="29.25" customHeight="1">
      <c r="A7955" s="349">
        <v>13877</v>
      </c>
      <c r="B7955" s="348" t="s">
        <v>5692</v>
      </c>
      <c r="C7955" s="349" t="s">
        <v>65</v>
      </c>
      <c r="D7955" s="483">
        <v>1052357.2</v>
      </c>
      <c r="E7955" s="483">
        <v>1052357.2</v>
      </c>
    </row>
    <row r="7956" spans="1:5">
      <c r="A7956" s="484">
        <v>7307</v>
      </c>
      <c r="B7956" s="485" t="s">
        <v>5707</v>
      </c>
      <c r="C7956" s="484" t="s">
        <v>91</v>
      </c>
      <c r="D7956" s="486">
        <v>18.100000000000001</v>
      </c>
      <c r="E7956" s="486">
        <v>18.100000000000001</v>
      </c>
    </row>
    <row r="7957" spans="1:5">
      <c r="A7957" s="349">
        <v>38122</v>
      </c>
      <c r="B7957" s="348" t="s">
        <v>5708</v>
      </c>
      <c r="C7957" s="349" t="s">
        <v>91</v>
      </c>
      <c r="D7957" s="483">
        <v>9.1999999999999993</v>
      </c>
      <c r="E7957" s="483">
        <v>9.1999999999999993</v>
      </c>
    </row>
    <row r="7958" spans="1:5">
      <c r="A7958" s="484">
        <v>6086</v>
      </c>
      <c r="B7958" s="485" t="s">
        <v>5712</v>
      </c>
      <c r="C7958" s="484" t="s">
        <v>182</v>
      </c>
      <c r="D7958" s="486">
        <v>68.45</v>
      </c>
      <c r="E7958" s="486">
        <v>68.45</v>
      </c>
    </row>
    <row r="7959" spans="1:5" ht="30">
      <c r="A7959" s="349">
        <v>38633</v>
      </c>
      <c r="B7959" s="348" t="s">
        <v>5719</v>
      </c>
      <c r="C7959" s="349" t="s">
        <v>65</v>
      </c>
      <c r="D7959" s="483">
        <v>9.06</v>
      </c>
      <c r="E7959" s="483">
        <v>9.06</v>
      </c>
    </row>
    <row r="7960" spans="1:5" ht="30">
      <c r="A7960" s="484">
        <v>12344</v>
      </c>
      <c r="B7960" s="485" t="s">
        <v>5720</v>
      </c>
      <c r="C7960" s="484" t="s">
        <v>65</v>
      </c>
      <c r="D7960" s="486">
        <v>2.0699999999999998</v>
      </c>
      <c r="E7960" s="486">
        <v>2.0699999999999998</v>
      </c>
    </row>
    <row r="7961" spans="1:5" ht="30">
      <c r="A7961" s="349">
        <v>12343</v>
      </c>
      <c r="B7961" s="348" t="s">
        <v>5721</v>
      </c>
      <c r="C7961" s="349" t="s">
        <v>65</v>
      </c>
      <c r="D7961" s="483">
        <v>3.22</v>
      </c>
      <c r="E7961" s="483">
        <v>3.22</v>
      </c>
    </row>
    <row r="7962" spans="1:5" ht="30">
      <c r="A7962" s="484">
        <v>3295</v>
      </c>
      <c r="B7962" s="485" t="s">
        <v>11361</v>
      </c>
      <c r="C7962" s="484" t="s">
        <v>65</v>
      </c>
      <c r="D7962" s="486">
        <v>11.24</v>
      </c>
      <c r="E7962" s="486">
        <v>11.24</v>
      </c>
    </row>
    <row r="7963" spans="1:5" ht="30">
      <c r="A7963" s="349">
        <v>3302</v>
      </c>
      <c r="B7963" s="348" t="s">
        <v>5723</v>
      </c>
      <c r="C7963" s="349" t="s">
        <v>65</v>
      </c>
      <c r="D7963" s="483">
        <v>11.75</v>
      </c>
      <c r="E7963" s="483">
        <v>11.75</v>
      </c>
    </row>
    <row r="7964" spans="1:5" ht="30">
      <c r="A7964" s="484">
        <v>3297</v>
      </c>
      <c r="B7964" s="485" t="s">
        <v>5724</v>
      </c>
      <c r="C7964" s="484" t="s">
        <v>65</v>
      </c>
      <c r="D7964" s="486">
        <v>12.55</v>
      </c>
      <c r="E7964" s="486">
        <v>12.55</v>
      </c>
    </row>
    <row r="7965" spans="1:5" ht="30">
      <c r="A7965" s="349">
        <v>3294</v>
      </c>
      <c r="B7965" s="348" t="s">
        <v>5725</v>
      </c>
      <c r="C7965" s="349" t="s">
        <v>65</v>
      </c>
      <c r="D7965" s="483">
        <v>12.74</v>
      </c>
      <c r="E7965" s="483">
        <v>12.74</v>
      </c>
    </row>
    <row r="7966" spans="1:5" ht="30">
      <c r="A7966" s="484">
        <v>3292</v>
      </c>
      <c r="B7966" s="485" t="s">
        <v>5726</v>
      </c>
      <c r="C7966" s="484" t="s">
        <v>65</v>
      </c>
      <c r="D7966" s="486">
        <v>11.97</v>
      </c>
      <c r="E7966" s="486">
        <v>11.97</v>
      </c>
    </row>
    <row r="7967" spans="1:5" ht="30">
      <c r="A7967" s="349">
        <v>3298</v>
      </c>
      <c r="B7967" s="348" t="s">
        <v>11362</v>
      </c>
      <c r="C7967" s="349" t="s">
        <v>65</v>
      </c>
      <c r="D7967" s="483">
        <v>28.05</v>
      </c>
      <c r="E7967" s="483">
        <v>28.05</v>
      </c>
    </row>
    <row r="7968" spans="1:5" ht="30">
      <c r="A7968" s="484">
        <v>11596</v>
      </c>
      <c r="B7968" s="485" t="s">
        <v>5735</v>
      </c>
      <c r="C7968" s="484" t="s">
        <v>65</v>
      </c>
      <c r="D7968" s="486">
        <v>261.83</v>
      </c>
      <c r="E7968" s="486">
        <v>261.83</v>
      </c>
    </row>
    <row r="7969" spans="1:5" ht="30">
      <c r="A7969" s="349">
        <v>34802</v>
      </c>
      <c r="B7969" s="348" t="s">
        <v>5736</v>
      </c>
      <c r="C7969" s="349" t="s">
        <v>65</v>
      </c>
      <c r="D7969" s="483">
        <v>719.07</v>
      </c>
      <c r="E7969" s="483">
        <v>719.07</v>
      </c>
    </row>
    <row r="7970" spans="1:5" ht="30">
      <c r="A7970" s="484">
        <v>11588</v>
      </c>
      <c r="B7970" s="485" t="s">
        <v>5737</v>
      </c>
      <c r="C7970" s="484" t="s">
        <v>65</v>
      </c>
      <c r="D7970" s="486">
        <v>775.76</v>
      </c>
      <c r="E7970" s="486">
        <v>775.76</v>
      </c>
    </row>
    <row r="7971" spans="1:5" ht="30">
      <c r="A7971" s="349">
        <v>34383</v>
      </c>
      <c r="B7971" s="348" t="s">
        <v>5738</v>
      </c>
      <c r="C7971" s="349" t="s">
        <v>65</v>
      </c>
      <c r="D7971" s="483">
        <v>853.39</v>
      </c>
      <c r="E7971" s="483">
        <v>853.39</v>
      </c>
    </row>
    <row r="7972" spans="1:5" ht="30">
      <c r="A7972" s="484">
        <v>40451</v>
      </c>
      <c r="B7972" s="485" t="s">
        <v>11363</v>
      </c>
      <c r="C7972" s="484" t="s">
        <v>256</v>
      </c>
      <c r="D7972" s="486">
        <v>68.98</v>
      </c>
      <c r="E7972" s="486">
        <v>68.98</v>
      </c>
    </row>
    <row r="7973" spans="1:5" ht="30">
      <c r="A7973" s="349">
        <v>40453</v>
      </c>
      <c r="B7973" s="348" t="s">
        <v>11364</v>
      </c>
      <c r="C7973" s="349" t="s">
        <v>256</v>
      </c>
      <c r="D7973" s="483">
        <v>74.64</v>
      </c>
      <c r="E7973" s="483">
        <v>74.64</v>
      </c>
    </row>
    <row r="7974" spans="1:5" ht="30">
      <c r="A7974" s="484">
        <v>40452</v>
      </c>
      <c r="B7974" s="485" t="s">
        <v>11365</v>
      </c>
      <c r="C7974" s="484" t="s">
        <v>256</v>
      </c>
      <c r="D7974" s="486">
        <v>81.87</v>
      </c>
      <c r="E7974" s="486">
        <v>81.87</v>
      </c>
    </row>
    <row r="7975" spans="1:5" ht="30">
      <c r="A7975" s="349">
        <v>11591</v>
      </c>
      <c r="B7975" s="348" t="s">
        <v>5739</v>
      </c>
      <c r="C7975" s="349" t="s">
        <v>65</v>
      </c>
      <c r="D7975" s="483">
        <v>755.9</v>
      </c>
      <c r="E7975" s="483">
        <v>755.9</v>
      </c>
    </row>
    <row r="7976" spans="1:5" ht="30">
      <c r="A7976" s="484">
        <v>11590</v>
      </c>
      <c r="B7976" s="485" t="s">
        <v>5740</v>
      </c>
      <c r="C7976" s="484" t="s">
        <v>65</v>
      </c>
      <c r="D7976" s="486">
        <v>787.74</v>
      </c>
      <c r="E7976" s="486">
        <v>787.74</v>
      </c>
    </row>
    <row r="7977" spans="1:5" ht="30">
      <c r="A7977" s="349">
        <v>3310</v>
      </c>
      <c r="B7977" s="348" t="s">
        <v>5741</v>
      </c>
      <c r="C7977" s="349" t="s">
        <v>255</v>
      </c>
      <c r="D7977" s="483">
        <v>328.22</v>
      </c>
      <c r="E7977" s="483">
        <v>328.22</v>
      </c>
    </row>
    <row r="7978" spans="1:5" ht="30">
      <c r="A7978" s="484">
        <v>11594</v>
      </c>
      <c r="B7978" s="485" t="s">
        <v>5742</v>
      </c>
      <c r="C7978" s="484" t="s">
        <v>65</v>
      </c>
      <c r="D7978" s="486">
        <v>247.25</v>
      </c>
      <c r="E7978" s="486">
        <v>247.25</v>
      </c>
    </row>
    <row r="7979" spans="1:5">
      <c r="A7979" s="349">
        <v>3311</v>
      </c>
      <c r="B7979" s="348" t="s">
        <v>5743</v>
      </c>
      <c r="C7979" s="349" t="s">
        <v>255</v>
      </c>
      <c r="D7979" s="483">
        <v>247.25</v>
      </c>
      <c r="E7979" s="483">
        <v>247.25</v>
      </c>
    </row>
    <row r="7980" spans="1:5">
      <c r="A7980" s="484">
        <v>11599</v>
      </c>
      <c r="B7980" s="485" t="s">
        <v>5744</v>
      </c>
      <c r="C7980" s="484" t="s">
        <v>65</v>
      </c>
      <c r="D7980" s="486">
        <v>328.82</v>
      </c>
      <c r="E7980" s="486">
        <v>328.82</v>
      </c>
    </row>
    <row r="7981" spans="1:5" ht="30">
      <c r="A7981" s="349">
        <v>11593</v>
      </c>
      <c r="B7981" s="348" t="s">
        <v>5745</v>
      </c>
      <c r="C7981" s="349" t="s">
        <v>65</v>
      </c>
      <c r="D7981" s="483">
        <v>460.99</v>
      </c>
      <c r="E7981" s="483">
        <v>460.99</v>
      </c>
    </row>
    <row r="7982" spans="1:5">
      <c r="A7982" s="484">
        <v>3314</v>
      </c>
      <c r="B7982" s="485" t="s">
        <v>5746</v>
      </c>
      <c r="C7982" s="484" t="s">
        <v>255</v>
      </c>
      <c r="D7982" s="486">
        <v>329.7</v>
      </c>
      <c r="E7982" s="486">
        <v>329.7</v>
      </c>
    </row>
    <row r="7983" spans="1:5" ht="30">
      <c r="A7983" s="349">
        <v>11597</v>
      </c>
      <c r="B7983" s="348" t="s">
        <v>5747</v>
      </c>
      <c r="C7983" s="349" t="s">
        <v>65</v>
      </c>
      <c r="D7983" s="483">
        <v>383.4</v>
      </c>
      <c r="E7983" s="483">
        <v>383.4</v>
      </c>
    </row>
    <row r="7984" spans="1:5">
      <c r="A7984" s="484">
        <v>3309</v>
      </c>
      <c r="B7984" s="485" t="s">
        <v>5748</v>
      </c>
      <c r="C7984" s="484" t="s">
        <v>255</v>
      </c>
      <c r="D7984" s="486">
        <v>261.83</v>
      </c>
      <c r="E7984" s="486">
        <v>261.83</v>
      </c>
    </row>
    <row r="7985" spans="1:5" ht="30">
      <c r="A7985" s="349">
        <v>34612</v>
      </c>
      <c r="B7985" s="348" t="s">
        <v>5751</v>
      </c>
      <c r="C7985" s="349" t="s">
        <v>65</v>
      </c>
      <c r="D7985" s="483">
        <v>474.2</v>
      </c>
      <c r="E7985" s="483">
        <v>474.2</v>
      </c>
    </row>
    <row r="7986" spans="1:5" ht="30">
      <c r="A7986" s="484">
        <v>34635</v>
      </c>
      <c r="B7986" s="485" t="s">
        <v>5752</v>
      </c>
      <c r="C7986" s="484" t="s">
        <v>65</v>
      </c>
      <c r="D7986" s="486">
        <v>609.79999999999995</v>
      </c>
      <c r="E7986" s="486">
        <v>609.79999999999995</v>
      </c>
    </row>
    <row r="7987" spans="1:5" ht="30">
      <c r="A7987" s="349">
        <v>34633</v>
      </c>
      <c r="B7987" s="348" t="s">
        <v>5753</v>
      </c>
      <c r="C7987" s="349" t="s">
        <v>65</v>
      </c>
      <c r="D7987" s="483">
        <v>672.16</v>
      </c>
      <c r="E7987" s="483">
        <v>672.16</v>
      </c>
    </row>
    <row r="7988" spans="1:5" ht="30">
      <c r="A7988" s="484">
        <v>40440</v>
      </c>
      <c r="B7988" s="485" t="s">
        <v>5749</v>
      </c>
      <c r="C7988" s="484" t="s">
        <v>255</v>
      </c>
      <c r="D7988" s="486">
        <v>343.41</v>
      </c>
      <c r="E7988" s="486">
        <v>343.41</v>
      </c>
    </row>
    <row r="7989" spans="1:5" ht="30">
      <c r="A7989" s="349">
        <v>40441</v>
      </c>
      <c r="B7989" s="348" t="s">
        <v>5750</v>
      </c>
      <c r="C7989" s="349" t="s">
        <v>255</v>
      </c>
      <c r="D7989" s="483">
        <v>219.25</v>
      </c>
      <c r="E7989" s="483">
        <v>219.25</v>
      </c>
    </row>
    <row r="7990" spans="1:5" ht="45">
      <c r="A7990" s="484">
        <v>34630</v>
      </c>
      <c r="B7990" s="485" t="s">
        <v>5754</v>
      </c>
      <c r="C7990" s="484" t="s">
        <v>65</v>
      </c>
      <c r="D7990" s="486">
        <v>612.30999999999995</v>
      </c>
      <c r="E7990" s="486">
        <v>612.30999999999995</v>
      </c>
    </row>
    <row r="7991" spans="1:5" ht="30">
      <c r="A7991" s="349">
        <v>40449</v>
      </c>
      <c r="B7991" s="348" t="s">
        <v>11366</v>
      </c>
      <c r="C7991" s="349" t="s">
        <v>255</v>
      </c>
      <c r="D7991" s="483">
        <v>184.32</v>
      </c>
      <c r="E7991" s="483">
        <v>184.32</v>
      </c>
    </row>
    <row r="7992" spans="1:5" ht="30">
      <c r="A7992" s="484">
        <v>34800</v>
      </c>
      <c r="B7992" s="485" t="s">
        <v>11367</v>
      </c>
      <c r="C7992" s="484" t="s">
        <v>255</v>
      </c>
      <c r="D7992" s="486">
        <v>230.49</v>
      </c>
      <c r="E7992" s="486">
        <v>230.49</v>
      </c>
    </row>
    <row r="7993" spans="1:5" ht="30">
      <c r="A7993" s="349">
        <v>11592</v>
      </c>
      <c r="B7993" s="348" t="s">
        <v>5755</v>
      </c>
      <c r="C7993" s="349" t="s">
        <v>65</v>
      </c>
      <c r="D7993" s="483">
        <v>329.7</v>
      </c>
      <c r="E7993" s="483">
        <v>329.7</v>
      </c>
    </row>
    <row r="7994" spans="1:5" ht="30">
      <c r="A7994" s="484">
        <v>40438</v>
      </c>
      <c r="B7994" s="485" t="s">
        <v>11368</v>
      </c>
      <c r="C7994" s="484" t="s">
        <v>255</v>
      </c>
      <c r="D7994" s="486">
        <v>153.56</v>
      </c>
      <c r="E7994" s="486">
        <v>153.56</v>
      </c>
    </row>
    <row r="7995" spans="1:5" ht="30">
      <c r="A7995" s="349">
        <v>40439</v>
      </c>
      <c r="B7995" s="348" t="s">
        <v>11369</v>
      </c>
      <c r="C7995" s="349" t="s">
        <v>255</v>
      </c>
      <c r="D7995" s="483">
        <v>261.82</v>
      </c>
      <c r="E7995" s="483">
        <v>261.82</v>
      </c>
    </row>
    <row r="7996" spans="1:5" ht="30">
      <c r="A7996" s="484">
        <v>40436</v>
      </c>
      <c r="B7996" s="485" t="s">
        <v>11370</v>
      </c>
      <c r="C7996" s="484" t="s">
        <v>255</v>
      </c>
      <c r="D7996" s="486">
        <v>191.47</v>
      </c>
      <c r="E7996" s="486">
        <v>191.47</v>
      </c>
    </row>
    <row r="7997" spans="1:5" ht="30">
      <c r="A7997" s="349">
        <v>4315</v>
      </c>
      <c r="B7997" s="348" t="s">
        <v>5756</v>
      </c>
      <c r="C7997" s="349" t="s">
        <v>65</v>
      </c>
      <c r="D7997" s="483">
        <v>1.1599999999999999</v>
      </c>
      <c r="E7997" s="483">
        <v>1.1599999999999999</v>
      </c>
    </row>
    <row r="7998" spans="1:5">
      <c r="A7998" s="484">
        <v>402</v>
      </c>
      <c r="B7998" s="485" t="s">
        <v>5758</v>
      </c>
      <c r="C7998" s="484" t="s">
        <v>65</v>
      </c>
      <c r="D7998" s="486">
        <v>7.35</v>
      </c>
      <c r="E7998" s="486">
        <v>7.35</v>
      </c>
    </row>
    <row r="7999" spans="1:5">
      <c r="A7999" s="349">
        <v>4226</v>
      </c>
      <c r="B7999" s="348" t="s">
        <v>5759</v>
      </c>
      <c r="C7999" s="349" t="s">
        <v>90</v>
      </c>
      <c r="D7999" s="483">
        <v>4.42</v>
      </c>
      <c r="E7999" s="483">
        <v>4.42</v>
      </c>
    </row>
    <row r="8000" spans="1:5">
      <c r="A8000" s="484">
        <v>4222</v>
      </c>
      <c r="B8000" s="485" t="s">
        <v>183</v>
      </c>
      <c r="C8000" s="484" t="s">
        <v>91</v>
      </c>
      <c r="D8000" s="486">
        <v>3.77</v>
      </c>
      <c r="E8000" s="486">
        <v>3.77</v>
      </c>
    </row>
    <row r="8001" spans="1:5" ht="45">
      <c r="A8001" s="349">
        <v>34804</v>
      </c>
      <c r="B8001" s="348" t="s">
        <v>5760</v>
      </c>
      <c r="C8001" s="349" t="s">
        <v>256</v>
      </c>
      <c r="D8001" s="483">
        <v>27.83</v>
      </c>
      <c r="E8001" s="483">
        <v>27.83</v>
      </c>
    </row>
    <row r="8002" spans="1:5" ht="30">
      <c r="A8002" s="484">
        <v>4013</v>
      </c>
      <c r="B8002" s="485" t="s">
        <v>19564</v>
      </c>
      <c r="C8002" s="484" t="s">
        <v>256</v>
      </c>
      <c r="D8002" s="486">
        <v>3.22</v>
      </c>
      <c r="E8002" s="486">
        <v>3.22</v>
      </c>
    </row>
    <row r="8003" spans="1:5" ht="30">
      <c r="A8003" s="349">
        <v>4011</v>
      </c>
      <c r="B8003" s="348" t="s">
        <v>19565</v>
      </c>
      <c r="C8003" s="349" t="s">
        <v>256</v>
      </c>
      <c r="D8003" s="483">
        <v>3.6</v>
      </c>
      <c r="E8003" s="483">
        <v>3.6</v>
      </c>
    </row>
    <row r="8004" spans="1:5" ht="30">
      <c r="A8004" s="484">
        <v>4021</v>
      </c>
      <c r="B8004" s="485" t="s">
        <v>19566</v>
      </c>
      <c r="C8004" s="484" t="s">
        <v>256</v>
      </c>
      <c r="D8004" s="486">
        <v>4.49</v>
      </c>
      <c r="E8004" s="486">
        <v>4.49</v>
      </c>
    </row>
    <row r="8005" spans="1:5" ht="30">
      <c r="A8005" s="349">
        <v>4019</v>
      </c>
      <c r="B8005" s="348" t="s">
        <v>19567</v>
      </c>
      <c r="C8005" s="349" t="s">
        <v>256</v>
      </c>
      <c r="D8005" s="483">
        <v>5.39</v>
      </c>
      <c r="E8005" s="483">
        <v>5.39</v>
      </c>
    </row>
    <row r="8006" spans="1:5" ht="29.25" customHeight="1">
      <c r="A8006" s="484">
        <v>4012</v>
      </c>
      <c r="B8006" s="485" t="s">
        <v>19568</v>
      </c>
      <c r="C8006" s="484" t="s">
        <v>256</v>
      </c>
      <c r="D8006" s="486">
        <v>7.22</v>
      </c>
      <c r="E8006" s="486">
        <v>7.22</v>
      </c>
    </row>
    <row r="8007" spans="1:5" ht="30">
      <c r="A8007" s="349">
        <v>4020</v>
      </c>
      <c r="B8007" s="348" t="s">
        <v>19569</v>
      </c>
      <c r="C8007" s="349" t="s">
        <v>256</v>
      </c>
      <c r="D8007" s="483">
        <v>9.0500000000000007</v>
      </c>
      <c r="E8007" s="483">
        <v>9.0500000000000007</v>
      </c>
    </row>
    <row r="8008" spans="1:5" ht="30">
      <c r="A8008" s="484">
        <v>4018</v>
      </c>
      <c r="B8008" s="485" t="s">
        <v>19570</v>
      </c>
      <c r="C8008" s="484" t="s">
        <v>256</v>
      </c>
      <c r="D8008" s="486">
        <v>10.84</v>
      </c>
      <c r="E8008" s="486">
        <v>10.84</v>
      </c>
    </row>
    <row r="8009" spans="1:5" ht="30">
      <c r="A8009" s="349">
        <v>36498</v>
      </c>
      <c r="B8009" s="348" t="s">
        <v>5774</v>
      </c>
      <c r="C8009" s="349" t="s">
        <v>65</v>
      </c>
      <c r="D8009" s="483">
        <v>3989.71</v>
      </c>
      <c r="E8009" s="483">
        <v>3989.71</v>
      </c>
    </row>
    <row r="8010" spans="1:5">
      <c r="A8010" s="484">
        <v>12872</v>
      </c>
      <c r="B8010" s="485" t="s">
        <v>184</v>
      </c>
      <c r="C8010" s="484" t="s">
        <v>57</v>
      </c>
      <c r="D8010" s="486">
        <v>12.99</v>
      </c>
      <c r="E8010" s="486">
        <v>12.99</v>
      </c>
    </row>
    <row r="8011" spans="1:5">
      <c r="A8011" s="349">
        <v>41075</v>
      </c>
      <c r="B8011" s="348" t="s">
        <v>5775</v>
      </c>
      <c r="C8011" s="349" t="s">
        <v>1643</v>
      </c>
      <c r="D8011" s="483">
        <v>2291.42</v>
      </c>
      <c r="E8011" s="483">
        <v>2291.42</v>
      </c>
    </row>
    <row r="8012" spans="1:5">
      <c r="A8012" s="484">
        <v>3315</v>
      </c>
      <c r="B8012" s="485" t="s">
        <v>11371</v>
      </c>
      <c r="C8012" s="484" t="s">
        <v>90</v>
      </c>
      <c r="D8012" s="486">
        <v>0.42</v>
      </c>
      <c r="E8012" s="486">
        <v>0.42</v>
      </c>
    </row>
    <row r="8013" spans="1:5">
      <c r="A8013" s="349">
        <v>36870</v>
      </c>
      <c r="B8013" s="348" t="s">
        <v>185</v>
      </c>
      <c r="C8013" s="349" t="s">
        <v>90</v>
      </c>
      <c r="D8013" s="483">
        <v>0.42</v>
      </c>
      <c r="E8013" s="483">
        <v>0.42</v>
      </c>
    </row>
    <row r="8014" spans="1:5" ht="30">
      <c r="A8014" s="484">
        <v>5092</v>
      </c>
      <c r="B8014" s="485" t="s">
        <v>5776</v>
      </c>
      <c r="C8014" s="484" t="s">
        <v>131</v>
      </c>
      <c r="D8014" s="486">
        <v>12.18</v>
      </c>
      <c r="E8014" s="486">
        <v>12.18</v>
      </c>
    </row>
    <row r="8015" spans="1:5">
      <c r="A8015" s="349">
        <v>11462</v>
      </c>
      <c r="B8015" s="348" t="s">
        <v>5777</v>
      </c>
      <c r="C8015" s="349" t="s">
        <v>131</v>
      </c>
      <c r="D8015" s="483">
        <v>12.46</v>
      </c>
      <c r="E8015" s="483">
        <v>12.46</v>
      </c>
    </row>
    <row r="8016" spans="1:5" ht="30">
      <c r="A8016" s="484">
        <v>36529</v>
      </c>
      <c r="B8016" s="485" t="s">
        <v>5788</v>
      </c>
      <c r="C8016" s="484" t="s">
        <v>65</v>
      </c>
      <c r="D8016" s="486">
        <v>28698.97</v>
      </c>
      <c r="E8016" s="486">
        <v>28698.97</v>
      </c>
    </row>
    <row r="8017" spans="1:5">
      <c r="A8017" s="349">
        <v>36528</v>
      </c>
      <c r="B8017" s="348" t="s">
        <v>5789</v>
      </c>
      <c r="C8017" s="349" t="s">
        <v>65</v>
      </c>
      <c r="D8017" s="483">
        <v>16301.01</v>
      </c>
      <c r="E8017" s="483">
        <v>16301.01</v>
      </c>
    </row>
    <row r="8018" spans="1:5" ht="30">
      <c r="A8018" s="484">
        <v>3318</v>
      </c>
      <c r="B8018" s="485" t="s">
        <v>5790</v>
      </c>
      <c r="C8018" s="484" t="s">
        <v>65</v>
      </c>
      <c r="D8018" s="486">
        <v>22500</v>
      </c>
      <c r="E8018" s="486">
        <v>22500</v>
      </c>
    </row>
    <row r="8019" spans="1:5" ht="45">
      <c r="A8019" s="349">
        <v>38968</v>
      </c>
      <c r="B8019" s="348" t="s">
        <v>5792</v>
      </c>
      <c r="C8019" s="349" t="s">
        <v>256</v>
      </c>
      <c r="D8019" s="483">
        <v>239.47</v>
      </c>
      <c r="E8019" s="483">
        <v>239.47</v>
      </c>
    </row>
    <row r="8020" spans="1:5">
      <c r="A8020" s="484">
        <v>3324</v>
      </c>
      <c r="B8020" s="485" t="s">
        <v>186</v>
      </c>
      <c r="C8020" s="484" t="s">
        <v>256</v>
      </c>
      <c r="D8020" s="486">
        <v>3.99</v>
      </c>
      <c r="E8020" s="486">
        <v>3.99</v>
      </c>
    </row>
    <row r="8021" spans="1:5">
      <c r="A8021" s="349">
        <v>3322</v>
      </c>
      <c r="B8021" s="348" t="s">
        <v>11372</v>
      </c>
      <c r="C8021" s="349" t="s">
        <v>256</v>
      </c>
      <c r="D8021" s="483">
        <v>5.6</v>
      </c>
      <c r="E8021" s="483">
        <v>5.6</v>
      </c>
    </row>
    <row r="8022" spans="1:5">
      <c r="A8022" s="484">
        <v>5076</v>
      </c>
      <c r="B8022" s="485" t="s">
        <v>5799</v>
      </c>
      <c r="C8022" s="484" t="s">
        <v>90</v>
      </c>
      <c r="D8022" s="486">
        <v>8.7100000000000009</v>
      </c>
      <c r="E8022" s="486">
        <v>8.7100000000000009</v>
      </c>
    </row>
    <row r="8023" spans="1:5">
      <c r="A8023" s="349">
        <v>5077</v>
      </c>
      <c r="B8023" s="348" t="s">
        <v>5800</v>
      </c>
      <c r="C8023" s="349" t="s">
        <v>90</v>
      </c>
      <c r="D8023" s="483">
        <v>9.6300000000000008</v>
      </c>
      <c r="E8023" s="483">
        <v>9.6300000000000008</v>
      </c>
    </row>
    <row r="8024" spans="1:5" ht="30">
      <c r="A8024" s="484">
        <v>11837</v>
      </c>
      <c r="B8024" s="485" t="s">
        <v>5802</v>
      </c>
      <c r="C8024" s="484" t="s">
        <v>65</v>
      </c>
      <c r="D8024" s="486">
        <v>28.54</v>
      </c>
      <c r="E8024" s="486">
        <v>28.54</v>
      </c>
    </row>
    <row r="8025" spans="1:5" ht="30">
      <c r="A8025" s="349">
        <v>38055</v>
      </c>
      <c r="B8025" s="348" t="s">
        <v>5804</v>
      </c>
      <c r="C8025" s="349" t="s">
        <v>65</v>
      </c>
      <c r="D8025" s="483">
        <v>2.59</v>
      </c>
      <c r="E8025" s="483">
        <v>2.59</v>
      </c>
    </row>
    <row r="8026" spans="1:5" ht="30">
      <c r="A8026" s="484">
        <v>415</v>
      </c>
      <c r="B8026" s="485" t="s">
        <v>5803</v>
      </c>
      <c r="C8026" s="484" t="s">
        <v>65</v>
      </c>
      <c r="D8026" s="486">
        <v>11.7</v>
      </c>
      <c r="E8026" s="486">
        <v>11.7</v>
      </c>
    </row>
    <row r="8027" spans="1:5" ht="30">
      <c r="A8027" s="349">
        <v>416</v>
      </c>
      <c r="B8027" s="348" t="s">
        <v>5805</v>
      </c>
      <c r="C8027" s="349" t="s">
        <v>65</v>
      </c>
      <c r="D8027" s="483">
        <v>4.28</v>
      </c>
      <c r="E8027" s="483">
        <v>4.28</v>
      </c>
    </row>
    <row r="8028" spans="1:5" ht="30">
      <c r="A8028" s="484">
        <v>425</v>
      </c>
      <c r="B8028" s="485" t="s">
        <v>5806</v>
      </c>
      <c r="C8028" s="484" t="s">
        <v>65</v>
      </c>
      <c r="D8028" s="486">
        <v>2.65</v>
      </c>
      <c r="E8028" s="486">
        <v>2.65</v>
      </c>
    </row>
    <row r="8029" spans="1:5" ht="30">
      <c r="A8029" s="349">
        <v>426</v>
      </c>
      <c r="B8029" s="348" t="s">
        <v>5807</v>
      </c>
      <c r="C8029" s="349" t="s">
        <v>65</v>
      </c>
      <c r="D8029" s="483">
        <v>14.62</v>
      </c>
      <c r="E8029" s="483">
        <v>14.62</v>
      </c>
    </row>
    <row r="8030" spans="1:5" ht="30">
      <c r="A8030" s="484">
        <v>38056</v>
      </c>
      <c r="B8030" s="485" t="s">
        <v>5808</v>
      </c>
      <c r="C8030" s="484" t="s">
        <v>65</v>
      </c>
      <c r="D8030" s="486">
        <v>14.28</v>
      </c>
      <c r="E8030" s="486">
        <v>14.28</v>
      </c>
    </row>
    <row r="8031" spans="1:5">
      <c r="A8031" s="349">
        <v>1564</v>
      </c>
      <c r="B8031" s="348" t="s">
        <v>5810</v>
      </c>
      <c r="C8031" s="349" t="s">
        <v>65</v>
      </c>
      <c r="D8031" s="483">
        <v>5.45</v>
      </c>
      <c r="E8031" s="483">
        <v>5.45</v>
      </c>
    </row>
    <row r="8032" spans="1:5">
      <c r="A8032" s="484">
        <v>11032</v>
      </c>
      <c r="B8032" s="485" t="s">
        <v>5811</v>
      </c>
      <c r="C8032" s="484" t="s">
        <v>65</v>
      </c>
      <c r="D8032" s="486">
        <v>6.53</v>
      </c>
      <c r="E8032" s="486">
        <v>6.53</v>
      </c>
    </row>
    <row r="8033" spans="1:5" ht="30">
      <c r="A8033" s="349">
        <v>36786</v>
      </c>
      <c r="B8033" s="348" t="s">
        <v>19571</v>
      </c>
      <c r="C8033" s="349" t="s">
        <v>187</v>
      </c>
      <c r="D8033" s="483">
        <v>84.52</v>
      </c>
      <c r="E8033" s="483">
        <v>84.52</v>
      </c>
    </row>
    <row r="8034" spans="1:5">
      <c r="A8034" s="484">
        <v>36785</v>
      </c>
      <c r="B8034" s="485" t="s">
        <v>5813</v>
      </c>
      <c r="C8034" s="484" t="s">
        <v>187</v>
      </c>
      <c r="D8034" s="486">
        <v>73.45</v>
      </c>
      <c r="E8034" s="486">
        <v>73.45</v>
      </c>
    </row>
    <row r="8035" spans="1:5" ht="30">
      <c r="A8035" s="349">
        <v>36782</v>
      </c>
      <c r="B8035" s="348" t="s">
        <v>19572</v>
      </c>
      <c r="C8035" s="349" t="s">
        <v>187</v>
      </c>
      <c r="D8035" s="483">
        <v>87.67</v>
      </c>
      <c r="E8035" s="483">
        <v>87.67</v>
      </c>
    </row>
    <row r="8036" spans="1:5">
      <c r="A8036" s="484">
        <v>25930</v>
      </c>
      <c r="B8036" s="485" t="s">
        <v>5815</v>
      </c>
      <c r="C8036" s="484" t="s">
        <v>187</v>
      </c>
      <c r="D8036" s="486">
        <v>98.75</v>
      </c>
      <c r="E8036" s="486">
        <v>98.75</v>
      </c>
    </row>
    <row r="8037" spans="1:5" ht="30">
      <c r="A8037" s="349">
        <v>4824</v>
      </c>
      <c r="B8037" s="348" t="s">
        <v>5816</v>
      </c>
      <c r="C8037" s="349" t="s">
        <v>90</v>
      </c>
      <c r="D8037" s="483">
        <v>0.24</v>
      </c>
      <c r="E8037" s="483">
        <v>0.24</v>
      </c>
    </row>
    <row r="8038" spans="1:5" ht="30">
      <c r="A8038" s="484">
        <v>11795</v>
      </c>
      <c r="B8038" s="485" t="s">
        <v>19573</v>
      </c>
      <c r="C8038" s="484" t="s">
        <v>256</v>
      </c>
      <c r="D8038" s="486">
        <v>241.5</v>
      </c>
      <c r="E8038" s="486">
        <v>241.5</v>
      </c>
    </row>
    <row r="8039" spans="1:5">
      <c r="A8039" s="349">
        <v>134</v>
      </c>
      <c r="B8039" s="348" t="s">
        <v>5820</v>
      </c>
      <c r="C8039" s="349" t="s">
        <v>90</v>
      </c>
      <c r="D8039" s="483">
        <v>1.6</v>
      </c>
      <c r="E8039" s="483">
        <v>1.6</v>
      </c>
    </row>
    <row r="8040" spans="1:5">
      <c r="A8040" s="484">
        <v>4229</v>
      </c>
      <c r="B8040" s="485" t="s">
        <v>189</v>
      </c>
      <c r="C8040" s="484" t="s">
        <v>90</v>
      </c>
      <c r="D8040" s="486">
        <v>16.14</v>
      </c>
      <c r="E8040" s="486">
        <v>16.14</v>
      </c>
    </row>
    <row r="8041" spans="1:5">
      <c r="A8041" s="349">
        <v>37402</v>
      </c>
      <c r="B8041" s="348" t="s">
        <v>5831</v>
      </c>
      <c r="C8041" s="349" t="s">
        <v>65</v>
      </c>
      <c r="D8041" s="483">
        <v>39.35</v>
      </c>
      <c r="E8041" s="483">
        <v>39.35</v>
      </c>
    </row>
    <row r="8042" spans="1:5">
      <c r="A8042" s="484">
        <v>11244</v>
      </c>
      <c r="B8042" s="485" t="s">
        <v>5837</v>
      </c>
      <c r="C8042" s="484" t="s">
        <v>65</v>
      </c>
      <c r="D8042" s="486">
        <v>148.71</v>
      </c>
      <c r="E8042" s="486">
        <v>148.71</v>
      </c>
    </row>
    <row r="8043" spans="1:5" ht="30">
      <c r="A8043" s="349">
        <v>11245</v>
      </c>
      <c r="B8043" s="348" t="s">
        <v>5838</v>
      </c>
      <c r="C8043" s="349" t="s">
        <v>65</v>
      </c>
      <c r="D8043" s="483">
        <v>205.69</v>
      </c>
      <c r="E8043" s="483">
        <v>205.69</v>
      </c>
    </row>
    <row r="8044" spans="1:5">
      <c r="A8044" s="484">
        <v>11235</v>
      </c>
      <c r="B8044" s="485" t="s">
        <v>5839</v>
      </c>
      <c r="C8044" s="484" t="s">
        <v>65</v>
      </c>
      <c r="D8044" s="486">
        <v>113.48</v>
      </c>
      <c r="E8044" s="486">
        <v>113.48</v>
      </c>
    </row>
    <row r="8045" spans="1:5">
      <c r="A8045" s="349">
        <v>11236</v>
      </c>
      <c r="B8045" s="348" t="s">
        <v>5840</v>
      </c>
      <c r="C8045" s="349" t="s">
        <v>65</v>
      </c>
      <c r="D8045" s="483">
        <v>144.22</v>
      </c>
      <c r="E8045" s="483">
        <v>144.22</v>
      </c>
    </row>
    <row r="8046" spans="1:5">
      <c r="A8046" s="484">
        <v>11731</v>
      </c>
      <c r="B8046" s="485" t="s">
        <v>5841</v>
      </c>
      <c r="C8046" s="484" t="s">
        <v>65</v>
      </c>
      <c r="D8046" s="486">
        <v>3.2</v>
      </c>
      <c r="E8046" s="486">
        <v>3.2</v>
      </c>
    </row>
    <row r="8047" spans="1:5">
      <c r="A8047" s="349">
        <v>11732</v>
      </c>
      <c r="B8047" s="348" t="s">
        <v>5842</v>
      </c>
      <c r="C8047" s="349" t="s">
        <v>65</v>
      </c>
      <c r="D8047" s="483">
        <v>16.27</v>
      </c>
      <c r="E8047" s="483">
        <v>16.27</v>
      </c>
    </row>
    <row r="8048" spans="1:5">
      <c r="A8048" s="484">
        <v>36494</v>
      </c>
      <c r="B8048" s="485" t="s">
        <v>5847</v>
      </c>
      <c r="C8048" s="484" t="s">
        <v>65</v>
      </c>
      <c r="D8048" s="486">
        <v>334953.12</v>
      </c>
      <c r="E8048" s="486">
        <v>334953.12</v>
      </c>
    </row>
    <row r="8049" spans="1:5">
      <c r="A8049" s="349">
        <v>36493</v>
      </c>
      <c r="B8049" s="348" t="s">
        <v>5854</v>
      </c>
      <c r="C8049" s="349" t="s">
        <v>65</v>
      </c>
      <c r="D8049" s="483">
        <v>379488.28</v>
      </c>
      <c r="E8049" s="483">
        <v>379488.28</v>
      </c>
    </row>
    <row r="8050" spans="1:5">
      <c r="A8050" s="484">
        <v>36492</v>
      </c>
      <c r="B8050" s="485" t="s">
        <v>5855</v>
      </c>
      <c r="C8050" s="484" t="s">
        <v>65</v>
      </c>
      <c r="D8050" s="486">
        <v>704945.31</v>
      </c>
      <c r="E8050" s="486">
        <v>704945.31</v>
      </c>
    </row>
    <row r="8051" spans="1:5" ht="30">
      <c r="A8051" s="349">
        <v>13333</v>
      </c>
      <c r="B8051" s="348" t="s">
        <v>5858</v>
      </c>
      <c r="C8051" s="349" t="s">
        <v>65</v>
      </c>
      <c r="D8051" s="483">
        <v>110484.32</v>
      </c>
      <c r="E8051" s="483">
        <v>110484.32</v>
      </c>
    </row>
    <row r="8052" spans="1:5" ht="30">
      <c r="A8052" s="484">
        <v>13533</v>
      </c>
      <c r="B8052" s="485" t="s">
        <v>5859</v>
      </c>
      <c r="C8052" s="484" t="s">
        <v>65</v>
      </c>
      <c r="D8052" s="486">
        <v>98760.7</v>
      </c>
      <c r="E8052" s="486">
        <v>98760.7</v>
      </c>
    </row>
    <row r="8053" spans="1:5" ht="30">
      <c r="A8053" s="349">
        <v>36499</v>
      </c>
      <c r="B8053" s="348" t="s">
        <v>5867</v>
      </c>
      <c r="C8053" s="349" t="s">
        <v>65</v>
      </c>
      <c r="D8053" s="483">
        <v>2154.44</v>
      </c>
      <c r="E8053" s="483">
        <v>2154.44</v>
      </c>
    </row>
    <row r="8054" spans="1:5" ht="30">
      <c r="A8054" s="484">
        <v>39585</v>
      </c>
      <c r="B8054" s="485" t="s">
        <v>5873</v>
      </c>
      <c r="C8054" s="484" t="s">
        <v>65</v>
      </c>
      <c r="D8054" s="486">
        <v>71339.72</v>
      </c>
      <c r="E8054" s="486">
        <v>71339.72</v>
      </c>
    </row>
    <row r="8055" spans="1:5" ht="30">
      <c r="A8055" s="349">
        <v>39586</v>
      </c>
      <c r="B8055" s="348" t="s">
        <v>5874</v>
      </c>
      <c r="C8055" s="349" t="s">
        <v>65</v>
      </c>
      <c r="D8055" s="483">
        <v>83676.66</v>
      </c>
      <c r="E8055" s="483">
        <v>83676.66</v>
      </c>
    </row>
    <row r="8056" spans="1:5" ht="30">
      <c r="A8056" s="484">
        <v>39587</v>
      </c>
      <c r="B8056" s="485" t="s">
        <v>5875</v>
      </c>
      <c r="C8056" s="484" t="s">
        <v>65</v>
      </c>
      <c r="D8056" s="486">
        <v>101913.89</v>
      </c>
      <c r="E8056" s="486">
        <v>101913.89</v>
      </c>
    </row>
    <row r="8057" spans="1:5" ht="30">
      <c r="A8057" s="349">
        <v>39588</v>
      </c>
      <c r="B8057" s="348" t="s">
        <v>5876</v>
      </c>
      <c r="C8057" s="349" t="s">
        <v>65</v>
      </c>
      <c r="D8057" s="483">
        <v>118005.55</v>
      </c>
      <c r="E8057" s="483">
        <v>118005.55</v>
      </c>
    </row>
    <row r="8058" spans="1:5" ht="30">
      <c r="A8058" s="484">
        <v>39584</v>
      </c>
      <c r="B8058" s="485" t="s">
        <v>5877</v>
      </c>
      <c r="C8058" s="484" t="s">
        <v>65</v>
      </c>
      <c r="D8058" s="486">
        <v>63529.9</v>
      </c>
      <c r="E8058" s="486">
        <v>63529.9</v>
      </c>
    </row>
    <row r="8059" spans="1:5" ht="30">
      <c r="A8059" s="349">
        <v>39590</v>
      </c>
      <c r="B8059" s="348" t="s">
        <v>5878</v>
      </c>
      <c r="C8059" s="349" t="s">
        <v>65</v>
      </c>
      <c r="D8059" s="483">
        <v>62006.55</v>
      </c>
      <c r="E8059" s="483">
        <v>62006.55</v>
      </c>
    </row>
    <row r="8060" spans="1:5" ht="30">
      <c r="A8060" s="484">
        <v>39592</v>
      </c>
      <c r="B8060" s="485" t="s">
        <v>5879</v>
      </c>
      <c r="C8060" s="484" t="s">
        <v>65</v>
      </c>
      <c r="D8060" s="486">
        <v>89104.91</v>
      </c>
      <c r="E8060" s="486">
        <v>89104.91</v>
      </c>
    </row>
    <row r="8061" spans="1:5" ht="30">
      <c r="A8061" s="349">
        <v>39593</v>
      </c>
      <c r="B8061" s="348" t="s">
        <v>5880</v>
      </c>
      <c r="C8061" s="349" t="s">
        <v>65</v>
      </c>
      <c r="D8061" s="483">
        <v>101913.89</v>
      </c>
      <c r="E8061" s="483">
        <v>101913.89</v>
      </c>
    </row>
    <row r="8062" spans="1:5" ht="30">
      <c r="A8062" s="484">
        <v>14254</v>
      </c>
      <c r="B8062" s="485" t="s">
        <v>5881</v>
      </c>
      <c r="C8062" s="484" t="s">
        <v>65</v>
      </c>
      <c r="D8062" s="486">
        <v>57930</v>
      </c>
      <c r="E8062" s="486">
        <v>57930</v>
      </c>
    </row>
    <row r="8063" spans="1:5">
      <c r="A8063" s="349">
        <v>25987</v>
      </c>
      <c r="B8063" s="348" t="s">
        <v>5882</v>
      </c>
      <c r="C8063" s="349" t="s">
        <v>65</v>
      </c>
      <c r="D8063" s="483">
        <v>48376.17</v>
      </c>
      <c r="E8063" s="483">
        <v>48376.17</v>
      </c>
    </row>
    <row r="8064" spans="1:5">
      <c r="A8064" s="484">
        <v>25019</v>
      </c>
      <c r="B8064" s="485" t="s">
        <v>5883</v>
      </c>
      <c r="C8064" s="484" t="s">
        <v>65</v>
      </c>
      <c r="D8064" s="486">
        <v>82922.16</v>
      </c>
      <c r="E8064" s="486">
        <v>82922.16</v>
      </c>
    </row>
    <row r="8065" spans="1:5">
      <c r="A8065" s="349">
        <v>36501</v>
      </c>
      <c r="B8065" s="348" t="s">
        <v>5896</v>
      </c>
      <c r="C8065" s="349" t="s">
        <v>65</v>
      </c>
      <c r="D8065" s="483">
        <v>73829.3</v>
      </c>
      <c r="E8065" s="483">
        <v>73829.3</v>
      </c>
    </row>
    <row r="8066" spans="1:5">
      <c r="A8066" s="484">
        <v>25986</v>
      </c>
      <c r="B8066" s="485" t="s">
        <v>5897</v>
      </c>
      <c r="C8066" s="484" t="s">
        <v>65</v>
      </c>
      <c r="D8066" s="486">
        <v>88756.96</v>
      </c>
      <c r="E8066" s="486">
        <v>88756.96</v>
      </c>
    </row>
    <row r="8067" spans="1:5">
      <c r="A8067" s="349">
        <v>36500</v>
      </c>
      <c r="B8067" s="348" t="s">
        <v>5898</v>
      </c>
      <c r="C8067" s="349" t="s">
        <v>65</v>
      </c>
      <c r="D8067" s="483">
        <v>52173.15</v>
      </c>
      <c r="E8067" s="483">
        <v>52173.15</v>
      </c>
    </row>
    <row r="8068" spans="1:5" ht="30">
      <c r="A8068" s="484">
        <v>20017</v>
      </c>
      <c r="B8068" s="485" t="s">
        <v>5909</v>
      </c>
      <c r="C8068" s="484" t="s">
        <v>71</v>
      </c>
      <c r="D8068" s="486">
        <v>2.99</v>
      </c>
      <c r="E8068" s="486">
        <v>2.99</v>
      </c>
    </row>
    <row r="8069" spans="1:5" ht="30">
      <c r="A8069" s="349">
        <v>20007</v>
      </c>
      <c r="B8069" s="348" t="s">
        <v>5910</v>
      </c>
      <c r="C8069" s="349" t="s">
        <v>71</v>
      </c>
      <c r="D8069" s="483">
        <v>2.29</v>
      </c>
      <c r="E8069" s="483">
        <v>2.29</v>
      </c>
    </row>
    <row r="8070" spans="1:5" ht="30">
      <c r="A8070" s="484">
        <v>39836</v>
      </c>
      <c r="B8070" s="485" t="s">
        <v>19574</v>
      </c>
      <c r="C8070" s="484" t="s">
        <v>133</v>
      </c>
      <c r="D8070" s="486">
        <v>93.99</v>
      </c>
      <c r="E8070" s="486">
        <v>93.99</v>
      </c>
    </row>
    <row r="8071" spans="1:5">
      <c r="A8071" s="349">
        <v>39830</v>
      </c>
      <c r="B8071" s="348" t="s">
        <v>19575</v>
      </c>
      <c r="C8071" s="349" t="s">
        <v>133</v>
      </c>
      <c r="D8071" s="483">
        <v>107.19</v>
      </c>
      <c r="E8071" s="483">
        <v>107.19</v>
      </c>
    </row>
    <row r="8072" spans="1:5">
      <c r="A8072" s="484">
        <v>39831</v>
      </c>
      <c r="B8072" s="485" t="s">
        <v>19576</v>
      </c>
      <c r="C8072" s="484" t="s">
        <v>133</v>
      </c>
      <c r="D8072" s="486">
        <v>106.96</v>
      </c>
      <c r="E8072" s="486">
        <v>106.96</v>
      </c>
    </row>
    <row r="8073" spans="1:5" ht="30">
      <c r="A8073" s="349">
        <v>40527</v>
      </c>
      <c r="B8073" s="348" t="s">
        <v>5923</v>
      </c>
      <c r="C8073" s="349" t="s">
        <v>65</v>
      </c>
      <c r="D8073" s="483">
        <v>1922.67</v>
      </c>
      <c r="E8073" s="483">
        <v>1922.67</v>
      </c>
    </row>
    <row r="8074" spans="1:5" ht="30">
      <c r="A8074" s="484">
        <v>36497</v>
      </c>
      <c r="B8074" s="485" t="s">
        <v>5922</v>
      </c>
      <c r="C8074" s="484" t="s">
        <v>65</v>
      </c>
      <c r="D8074" s="486">
        <v>2194.94</v>
      </c>
      <c r="E8074" s="486">
        <v>2194.94</v>
      </c>
    </row>
    <row r="8075" spans="1:5" ht="30">
      <c r="A8075" s="349">
        <v>36487</v>
      </c>
      <c r="B8075" s="348" t="s">
        <v>5930</v>
      </c>
      <c r="C8075" s="349" t="s">
        <v>65</v>
      </c>
      <c r="D8075" s="483">
        <v>3821.73</v>
      </c>
      <c r="E8075" s="483">
        <v>3821.73</v>
      </c>
    </row>
    <row r="8076" spans="1:5" ht="30">
      <c r="A8076" s="484">
        <v>25952</v>
      </c>
      <c r="B8076" s="485" t="s">
        <v>5938</v>
      </c>
      <c r="C8076" s="484" t="s">
        <v>65</v>
      </c>
      <c r="D8076" s="486">
        <v>585717.03</v>
      </c>
      <c r="E8076" s="486">
        <v>585717.03</v>
      </c>
    </row>
    <row r="8077" spans="1:5" ht="43.5" customHeight="1">
      <c r="A8077" s="349">
        <v>25954</v>
      </c>
      <c r="B8077" s="348" t="s">
        <v>5946</v>
      </c>
      <c r="C8077" s="349" t="s">
        <v>65</v>
      </c>
      <c r="D8077" s="483">
        <v>1126378.8999999999</v>
      </c>
      <c r="E8077" s="483">
        <v>1126378.8999999999</v>
      </c>
    </row>
    <row r="8078" spans="1:5" ht="43.5" customHeight="1">
      <c r="A8078" s="484">
        <v>25953</v>
      </c>
      <c r="B8078" s="485" t="s">
        <v>5947</v>
      </c>
      <c r="C8078" s="484" t="s">
        <v>65</v>
      </c>
      <c r="D8078" s="486">
        <v>1914844.13</v>
      </c>
      <c r="E8078" s="486">
        <v>1914844.13</v>
      </c>
    </row>
    <row r="8079" spans="1:5" ht="43.5" customHeight="1">
      <c r="A8079" s="349">
        <v>37776</v>
      </c>
      <c r="B8079" s="348" t="s">
        <v>5948</v>
      </c>
      <c r="C8079" s="349" t="s">
        <v>65</v>
      </c>
      <c r="D8079" s="483">
        <v>117355.47</v>
      </c>
      <c r="E8079" s="483">
        <v>117355.47</v>
      </c>
    </row>
    <row r="8080" spans="1:5" ht="45">
      <c r="A8080" s="484">
        <v>37775</v>
      </c>
      <c r="B8080" s="485" t="s">
        <v>5949</v>
      </c>
      <c r="C8080" s="484" t="s">
        <v>65</v>
      </c>
      <c r="D8080" s="486">
        <v>184843.75</v>
      </c>
      <c r="E8080" s="486">
        <v>184843.75</v>
      </c>
    </row>
    <row r="8081" spans="1:5" ht="43.5" customHeight="1">
      <c r="A8081" s="349">
        <v>36491</v>
      </c>
      <c r="B8081" s="348" t="s">
        <v>5950</v>
      </c>
      <c r="C8081" s="349" t="s">
        <v>65</v>
      </c>
      <c r="D8081" s="483">
        <v>684531.25</v>
      </c>
      <c r="E8081" s="483">
        <v>684531.25</v>
      </c>
    </row>
    <row r="8082" spans="1:5" ht="45">
      <c r="A8082" s="484">
        <v>10712</v>
      </c>
      <c r="B8082" s="485" t="s">
        <v>5958</v>
      </c>
      <c r="C8082" s="484" t="s">
        <v>65</v>
      </c>
      <c r="D8082" s="486">
        <v>46210.93</v>
      </c>
      <c r="E8082" s="486">
        <v>46210.93</v>
      </c>
    </row>
    <row r="8083" spans="1:5" ht="45">
      <c r="A8083" s="349">
        <v>3363</v>
      </c>
      <c r="B8083" s="348" t="s">
        <v>5966</v>
      </c>
      <c r="C8083" s="349" t="s">
        <v>65</v>
      </c>
      <c r="D8083" s="483">
        <v>65000</v>
      </c>
      <c r="E8083" s="483">
        <v>65000</v>
      </c>
    </row>
    <row r="8084" spans="1:5" ht="45">
      <c r="A8084" s="484">
        <v>3365</v>
      </c>
      <c r="B8084" s="485" t="s">
        <v>5974</v>
      </c>
      <c r="C8084" s="484" t="s">
        <v>65</v>
      </c>
      <c r="D8084" s="486">
        <v>151937.5</v>
      </c>
      <c r="E8084" s="486">
        <v>151937.5</v>
      </c>
    </row>
    <row r="8085" spans="1:5">
      <c r="A8085" s="349">
        <v>7569</v>
      </c>
      <c r="B8085" s="348" t="s">
        <v>5975</v>
      </c>
      <c r="C8085" s="349" t="s">
        <v>65</v>
      </c>
      <c r="D8085" s="483">
        <v>34.32</v>
      </c>
      <c r="E8085" s="483">
        <v>34.32</v>
      </c>
    </row>
    <row r="8086" spans="1:5">
      <c r="A8086" s="484">
        <v>34349</v>
      </c>
      <c r="B8086" s="485" t="s">
        <v>5977</v>
      </c>
      <c r="C8086" s="484" t="s">
        <v>65</v>
      </c>
      <c r="D8086" s="486">
        <v>9.1</v>
      </c>
      <c r="E8086" s="486">
        <v>9.1</v>
      </c>
    </row>
    <row r="8087" spans="1:5" ht="30">
      <c r="A8087" s="349">
        <v>3383</v>
      </c>
      <c r="B8087" s="348" t="s">
        <v>5978</v>
      </c>
      <c r="C8087" s="349" t="s">
        <v>65</v>
      </c>
      <c r="D8087" s="483">
        <v>21.52</v>
      </c>
      <c r="E8087" s="483">
        <v>21.52</v>
      </c>
    </row>
    <row r="8088" spans="1:5" ht="30">
      <c r="A8088" s="484">
        <v>38057</v>
      </c>
      <c r="B8088" s="485" t="s">
        <v>5981</v>
      </c>
      <c r="C8088" s="484" t="s">
        <v>65</v>
      </c>
      <c r="D8088" s="486">
        <v>30.95</v>
      </c>
      <c r="E8088" s="486">
        <v>30.95</v>
      </c>
    </row>
    <row r="8089" spans="1:5" ht="43.5" customHeight="1">
      <c r="A8089" s="349">
        <v>3373</v>
      </c>
      <c r="B8089" s="348" t="s">
        <v>5982</v>
      </c>
      <c r="C8089" s="349" t="s">
        <v>65</v>
      </c>
      <c r="D8089" s="483">
        <v>24.56</v>
      </c>
      <c r="E8089" s="483">
        <v>24.56</v>
      </c>
    </row>
    <row r="8090" spans="1:5" ht="43.5" customHeight="1">
      <c r="A8090" s="484">
        <v>38059</v>
      </c>
      <c r="B8090" s="485" t="s">
        <v>5979</v>
      </c>
      <c r="C8090" s="484" t="s">
        <v>65</v>
      </c>
      <c r="D8090" s="486">
        <v>153.52000000000001</v>
      </c>
      <c r="E8090" s="486">
        <v>153.52000000000001</v>
      </c>
    </row>
    <row r="8091" spans="1:5" ht="43.5" customHeight="1">
      <c r="A8091" s="349">
        <v>38058</v>
      </c>
      <c r="B8091" s="348" t="s">
        <v>5980</v>
      </c>
      <c r="C8091" s="349" t="s">
        <v>65</v>
      </c>
      <c r="D8091" s="483">
        <v>133.33000000000001</v>
      </c>
      <c r="E8091" s="483">
        <v>133.33000000000001</v>
      </c>
    </row>
    <row r="8092" spans="1:5" ht="43.5" customHeight="1">
      <c r="A8092" s="484">
        <v>3376</v>
      </c>
      <c r="B8092" s="485" t="s">
        <v>5983</v>
      </c>
      <c r="C8092" s="484" t="s">
        <v>65</v>
      </c>
      <c r="D8092" s="486">
        <v>41.9</v>
      </c>
      <c r="E8092" s="486">
        <v>41.9</v>
      </c>
    </row>
    <row r="8093" spans="1:5" ht="43.5" customHeight="1">
      <c r="A8093" s="349">
        <v>3378</v>
      </c>
      <c r="B8093" s="348" t="s">
        <v>5984</v>
      </c>
      <c r="C8093" s="349" t="s">
        <v>65</v>
      </c>
      <c r="D8093" s="483">
        <v>41.42</v>
      </c>
      <c r="E8093" s="483">
        <v>41.42</v>
      </c>
    </row>
    <row r="8094" spans="1:5" ht="43.5" customHeight="1">
      <c r="A8094" s="484">
        <v>3380</v>
      </c>
      <c r="B8094" s="485" t="s">
        <v>5986</v>
      </c>
      <c r="C8094" s="484" t="s">
        <v>65</v>
      </c>
      <c r="D8094" s="486">
        <v>29</v>
      </c>
      <c r="E8094" s="486">
        <v>29</v>
      </c>
    </row>
    <row r="8095" spans="1:5" ht="43.5" customHeight="1">
      <c r="A8095" s="349">
        <v>3379</v>
      </c>
      <c r="B8095" s="348" t="s">
        <v>5987</v>
      </c>
      <c r="C8095" s="349" t="s">
        <v>65</v>
      </c>
      <c r="D8095" s="483">
        <v>27.99</v>
      </c>
      <c r="E8095" s="483">
        <v>27.99</v>
      </c>
    </row>
    <row r="8096" spans="1:5" ht="43.5" customHeight="1">
      <c r="A8096" s="484">
        <v>11991</v>
      </c>
      <c r="B8096" s="485" t="s">
        <v>5988</v>
      </c>
      <c r="C8096" s="484" t="s">
        <v>65</v>
      </c>
      <c r="D8096" s="486">
        <v>32.5</v>
      </c>
      <c r="E8096" s="486">
        <v>32.5</v>
      </c>
    </row>
    <row r="8097" spans="1:5">
      <c r="A8097" s="349">
        <v>20062</v>
      </c>
      <c r="B8097" s="348" t="s">
        <v>5990</v>
      </c>
      <c r="C8097" s="349" t="s">
        <v>65</v>
      </c>
      <c r="D8097" s="483">
        <v>10.06</v>
      </c>
      <c r="E8097" s="483">
        <v>10.06</v>
      </c>
    </row>
    <row r="8098" spans="1:5" ht="30">
      <c r="A8098" s="484">
        <v>11029</v>
      </c>
      <c r="B8098" s="485" t="s">
        <v>5991</v>
      </c>
      <c r="C8098" s="484" t="s">
        <v>105</v>
      </c>
      <c r="D8098" s="486">
        <v>1</v>
      </c>
      <c r="E8098" s="486">
        <v>1</v>
      </c>
    </row>
    <row r="8099" spans="1:5" ht="30">
      <c r="A8099" s="349">
        <v>4316</v>
      </c>
      <c r="B8099" s="348" t="s">
        <v>5992</v>
      </c>
      <c r="C8099" s="349" t="s">
        <v>65</v>
      </c>
      <c r="D8099" s="483">
        <v>1.01</v>
      </c>
      <c r="E8099" s="483">
        <v>1.01</v>
      </c>
    </row>
    <row r="8100" spans="1:5" ht="30">
      <c r="A8100" s="484">
        <v>4313</v>
      </c>
      <c r="B8100" s="485" t="s">
        <v>5993</v>
      </c>
      <c r="C8100" s="484" t="s">
        <v>105</v>
      </c>
      <c r="D8100" s="486">
        <v>1.45</v>
      </c>
      <c r="E8100" s="486">
        <v>1.45</v>
      </c>
    </row>
    <row r="8101" spans="1:5" ht="30">
      <c r="A8101" s="349">
        <v>4317</v>
      </c>
      <c r="B8101" s="348" t="s">
        <v>5994</v>
      </c>
      <c r="C8101" s="349" t="s">
        <v>65</v>
      </c>
      <c r="D8101" s="483">
        <v>1.65</v>
      </c>
      <c r="E8101" s="483">
        <v>1.65</v>
      </c>
    </row>
    <row r="8102" spans="1:5" ht="30">
      <c r="A8102" s="484">
        <v>4314</v>
      </c>
      <c r="B8102" s="485" t="s">
        <v>5995</v>
      </c>
      <c r="C8102" s="484" t="s">
        <v>105</v>
      </c>
      <c r="D8102" s="486">
        <v>1.93</v>
      </c>
      <c r="E8102" s="486">
        <v>1.93</v>
      </c>
    </row>
    <row r="8103" spans="1:5">
      <c r="A8103" s="349">
        <v>10815</v>
      </c>
      <c r="B8103" s="348" t="s">
        <v>5996</v>
      </c>
      <c r="C8103" s="349" t="s">
        <v>91</v>
      </c>
      <c r="D8103" s="483">
        <v>32.4</v>
      </c>
      <c r="E8103" s="483">
        <v>32.4</v>
      </c>
    </row>
    <row r="8104" spans="1:5">
      <c r="A8104" s="484">
        <v>10561</v>
      </c>
      <c r="B8104" s="485" t="s">
        <v>5997</v>
      </c>
      <c r="C8104" s="484" t="s">
        <v>90</v>
      </c>
      <c r="D8104" s="486">
        <v>0.33</v>
      </c>
      <c r="E8104" s="486">
        <v>0.33</v>
      </c>
    </row>
    <row r="8105" spans="1:5" ht="30">
      <c r="A8105" s="349">
        <v>10921</v>
      </c>
      <c r="B8105" s="348" t="s">
        <v>5998</v>
      </c>
      <c r="C8105" s="349" t="s">
        <v>65</v>
      </c>
      <c r="D8105" s="483">
        <v>2990</v>
      </c>
      <c r="E8105" s="483">
        <v>2990</v>
      </c>
    </row>
    <row r="8106" spans="1:5" ht="30">
      <c r="A8106" s="484">
        <v>10922</v>
      </c>
      <c r="B8106" s="485" t="s">
        <v>5999</v>
      </c>
      <c r="C8106" s="484" t="s">
        <v>65</v>
      </c>
      <c r="D8106" s="486">
        <v>2708.26</v>
      </c>
      <c r="E8106" s="486">
        <v>2708.26</v>
      </c>
    </row>
    <row r="8107" spans="1:5">
      <c r="A8107" s="349">
        <v>10923</v>
      </c>
      <c r="B8107" s="348" t="s">
        <v>6001</v>
      </c>
      <c r="C8107" s="349" t="s">
        <v>65</v>
      </c>
      <c r="D8107" s="483">
        <v>1600.7</v>
      </c>
      <c r="E8107" s="483">
        <v>1600.7</v>
      </c>
    </row>
    <row r="8108" spans="1:5">
      <c r="A8108" s="484">
        <v>10924</v>
      </c>
      <c r="B8108" s="485" t="s">
        <v>6002</v>
      </c>
      <c r="C8108" s="484" t="s">
        <v>65</v>
      </c>
      <c r="D8108" s="486">
        <v>1685.85</v>
      </c>
      <c r="E8108" s="486">
        <v>1685.85</v>
      </c>
    </row>
    <row r="8109" spans="1:5" ht="30">
      <c r="A8109" s="349">
        <v>37772</v>
      </c>
      <c r="B8109" s="348" t="s">
        <v>6003</v>
      </c>
      <c r="C8109" s="349" t="s">
        <v>65</v>
      </c>
      <c r="D8109" s="483">
        <v>81389.539999999994</v>
      </c>
      <c r="E8109" s="483">
        <v>81389.539999999994</v>
      </c>
    </row>
    <row r="8110" spans="1:5" ht="45">
      <c r="A8110" s="484">
        <v>37771</v>
      </c>
      <c r="B8110" s="485" t="s">
        <v>6004</v>
      </c>
      <c r="C8110" s="484" t="s">
        <v>65</v>
      </c>
      <c r="D8110" s="486">
        <v>86585.51</v>
      </c>
      <c r="E8110" s="486">
        <v>86585.51</v>
      </c>
    </row>
    <row r="8111" spans="1:5">
      <c r="A8111" s="349">
        <v>12770</v>
      </c>
      <c r="B8111" s="348" t="s">
        <v>6005</v>
      </c>
      <c r="C8111" s="349" t="s">
        <v>65</v>
      </c>
      <c r="D8111" s="483">
        <v>500.49</v>
      </c>
      <c r="E8111" s="483">
        <v>500.49</v>
      </c>
    </row>
    <row r="8112" spans="1:5">
      <c r="A8112" s="484">
        <v>12772</v>
      </c>
      <c r="B8112" s="485" t="s">
        <v>6006</v>
      </c>
      <c r="C8112" s="484" t="s">
        <v>65</v>
      </c>
      <c r="D8112" s="486">
        <v>831.81</v>
      </c>
      <c r="E8112" s="486">
        <v>831.81</v>
      </c>
    </row>
    <row r="8113" spans="1:5">
      <c r="A8113" s="349">
        <v>12768</v>
      </c>
      <c r="B8113" s="348" t="s">
        <v>6007</v>
      </c>
      <c r="C8113" s="349" t="s">
        <v>65</v>
      </c>
      <c r="D8113" s="483">
        <v>1170.17</v>
      </c>
      <c r="E8113" s="483">
        <v>1170.17</v>
      </c>
    </row>
    <row r="8114" spans="1:5">
      <c r="A8114" s="484">
        <v>12775</v>
      </c>
      <c r="B8114" s="485" t="s">
        <v>6008</v>
      </c>
      <c r="C8114" s="484" t="s">
        <v>65</v>
      </c>
      <c r="D8114" s="486">
        <v>366.56</v>
      </c>
      <c r="E8114" s="486">
        <v>366.56</v>
      </c>
    </row>
    <row r="8115" spans="1:5">
      <c r="A8115" s="349">
        <v>12769</v>
      </c>
      <c r="B8115" s="348" t="s">
        <v>6009</v>
      </c>
      <c r="C8115" s="349" t="s">
        <v>65</v>
      </c>
      <c r="D8115" s="483">
        <v>95.87</v>
      </c>
      <c r="E8115" s="483">
        <v>95.87</v>
      </c>
    </row>
    <row r="8116" spans="1:5">
      <c r="A8116" s="484">
        <v>12773</v>
      </c>
      <c r="B8116" s="485" t="s">
        <v>6010</v>
      </c>
      <c r="C8116" s="484" t="s">
        <v>65</v>
      </c>
      <c r="D8116" s="486">
        <v>102.91</v>
      </c>
      <c r="E8116" s="486">
        <v>102.91</v>
      </c>
    </row>
    <row r="8117" spans="1:5">
      <c r="A8117" s="349">
        <v>12774</v>
      </c>
      <c r="B8117" s="348" t="s">
        <v>6011</v>
      </c>
      <c r="C8117" s="349" t="s">
        <v>65</v>
      </c>
      <c r="D8117" s="483">
        <v>126.88</v>
      </c>
      <c r="E8117" s="483">
        <v>126.88</v>
      </c>
    </row>
    <row r="8118" spans="1:5">
      <c r="A8118" s="484">
        <v>12776</v>
      </c>
      <c r="B8118" s="485" t="s">
        <v>6012</v>
      </c>
      <c r="C8118" s="484" t="s">
        <v>65</v>
      </c>
      <c r="D8118" s="486">
        <v>1889.2</v>
      </c>
      <c r="E8118" s="486">
        <v>1889.2</v>
      </c>
    </row>
    <row r="8119" spans="1:5">
      <c r="A8119" s="349">
        <v>12777</v>
      </c>
      <c r="B8119" s="348" t="s">
        <v>6013</v>
      </c>
      <c r="C8119" s="349" t="s">
        <v>65</v>
      </c>
      <c r="D8119" s="483">
        <v>2467.2399999999998</v>
      </c>
      <c r="E8119" s="483">
        <v>2467.2399999999998</v>
      </c>
    </row>
    <row r="8120" spans="1:5" ht="30">
      <c r="A8120" s="484">
        <v>3391</v>
      </c>
      <c r="B8120" s="485" t="s">
        <v>6014</v>
      </c>
      <c r="C8120" s="484" t="s">
        <v>65</v>
      </c>
      <c r="D8120" s="486">
        <v>34.69</v>
      </c>
      <c r="E8120" s="486">
        <v>34.69</v>
      </c>
    </row>
    <row r="8121" spans="1:5" ht="30">
      <c r="A8121" s="349">
        <v>3389</v>
      </c>
      <c r="B8121" s="348" t="s">
        <v>6015</v>
      </c>
      <c r="C8121" s="349" t="s">
        <v>65</v>
      </c>
      <c r="D8121" s="483">
        <v>18</v>
      </c>
      <c r="E8121" s="483">
        <v>18</v>
      </c>
    </row>
    <row r="8122" spans="1:5" ht="30">
      <c r="A8122" s="484">
        <v>3390</v>
      </c>
      <c r="B8122" s="485" t="s">
        <v>6016</v>
      </c>
      <c r="C8122" s="484" t="s">
        <v>65</v>
      </c>
      <c r="D8122" s="486">
        <v>20.25</v>
      </c>
      <c r="E8122" s="486">
        <v>20.25</v>
      </c>
    </row>
    <row r="8123" spans="1:5">
      <c r="A8123" s="349">
        <v>12873</v>
      </c>
      <c r="B8123" s="348" t="s">
        <v>190</v>
      </c>
      <c r="C8123" s="349" t="s">
        <v>57</v>
      </c>
      <c r="D8123" s="483">
        <v>15.48</v>
      </c>
      <c r="E8123" s="483">
        <v>15.48</v>
      </c>
    </row>
    <row r="8124" spans="1:5">
      <c r="A8124" s="484">
        <v>41076</v>
      </c>
      <c r="B8124" s="485" t="s">
        <v>6042</v>
      </c>
      <c r="C8124" s="484" t="s">
        <v>1643</v>
      </c>
      <c r="D8124" s="486">
        <v>2731.51</v>
      </c>
      <c r="E8124" s="486">
        <v>2731.51</v>
      </c>
    </row>
    <row r="8125" spans="1:5">
      <c r="A8125" s="349">
        <v>1371</v>
      </c>
      <c r="B8125" s="348" t="s">
        <v>6043</v>
      </c>
      <c r="C8125" s="349" t="s">
        <v>90</v>
      </c>
      <c r="D8125" s="483">
        <v>5.27</v>
      </c>
      <c r="E8125" s="483">
        <v>5.27</v>
      </c>
    </row>
    <row r="8126" spans="1:5">
      <c r="A8126" s="484">
        <v>140</v>
      </c>
      <c r="B8126" s="485" t="s">
        <v>6044</v>
      </c>
      <c r="C8126" s="484" t="s">
        <v>90</v>
      </c>
      <c r="D8126" s="486">
        <v>15.91</v>
      </c>
      <c r="E8126" s="486">
        <v>15.91</v>
      </c>
    </row>
    <row r="8127" spans="1:5">
      <c r="A8127" s="349">
        <v>151</v>
      </c>
      <c r="B8127" s="348" t="s">
        <v>191</v>
      </c>
      <c r="C8127" s="349" t="s">
        <v>91</v>
      </c>
      <c r="D8127" s="483">
        <v>20.010000000000002</v>
      </c>
      <c r="E8127" s="483">
        <v>20.010000000000002</v>
      </c>
    </row>
    <row r="8128" spans="1:5">
      <c r="A8128" s="484">
        <v>7340</v>
      </c>
      <c r="B8128" s="485" t="s">
        <v>6047</v>
      </c>
      <c r="C8128" s="484" t="s">
        <v>91</v>
      </c>
      <c r="D8128" s="486">
        <v>15.63</v>
      </c>
      <c r="E8128" s="486">
        <v>15.63</v>
      </c>
    </row>
    <row r="8129" spans="1:5">
      <c r="A8129" s="349">
        <v>2701</v>
      </c>
      <c r="B8129" s="348" t="s">
        <v>6107</v>
      </c>
      <c r="C8129" s="349" t="s">
        <v>57</v>
      </c>
      <c r="D8129" s="483">
        <v>21.36</v>
      </c>
      <c r="E8129" s="483">
        <v>21.36</v>
      </c>
    </row>
    <row r="8130" spans="1:5">
      <c r="A8130" s="484">
        <v>40929</v>
      </c>
      <c r="B8130" s="485" t="s">
        <v>6108</v>
      </c>
      <c r="C8130" s="484" t="s">
        <v>1643</v>
      </c>
      <c r="D8130" s="486">
        <v>3769.71</v>
      </c>
      <c r="E8130" s="486">
        <v>3769.71</v>
      </c>
    </row>
    <row r="8131" spans="1:5">
      <c r="A8131" s="349">
        <v>38114</v>
      </c>
      <c r="B8131" s="348" t="s">
        <v>11375</v>
      </c>
      <c r="C8131" s="349" t="s">
        <v>65</v>
      </c>
      <c r="D8131" s="483">
        <v>13.62</v>
      </c>
      <c r="E8131" s="483">
        <v>13.62</v>
      </c>
    </row>
    <row r="8132" spans="1:5" ht="30">
      <c r="A8132" s="484">
        <v>38064</v>
      </c>
      <c r="B8132" s="485" t="s">
        <v>11376</v>
      </c>
      <c r="C8132" s="484" t="s">
        <v>65</v>
      </c>
      <c r="D8132" s="486">
        <v>15.23</v>
      </c>
      <c r="E8132" s="486">
        <v>15.23</v>
      </c>
    </row>
    <row r="8133" spans="1:5">
      <c r="A8133" s="349">
        <v>38115</v>
      </c>
      <c r="B8133" s="348" t="s">
        <v>11377</v>
      </c>
      <c r="C8133" s="349" t="s">
        <v>65</v>
      </c>
      <c r="D8133" s="483">
        <v>14.54</v>
      </c>
      <c r="E8133" s="483">
        <v>14.54</v>
      </c>
    </row>
    <row r="8134" spans="1:5" ht="30">
      <c r="A8134" s="484">
        <v>38065</v>
      </c>
      <c r="B8134" s="485" t="s">
        <v>11378</v>
      </c>
      <c r="C8134" s="484" t="s">
        <v>65</v>
      </c>
      <c r="D8134" s="486">
        <v>21.6</v>
      </c>
      <c r="E8134" s="486">
        <v>21.6</v>
      </c>
    </row>
    <row r="8135" spans="1:5" ht="30">
      <c r="A8135" s="349">
        <v>38078</v>
      </c>
      <c r="B8135" s="348" t="s">
        <v>11379</v>
      </c>
      <c r="C8135" s="349" t="s">
        <v>65</v>
      </c>
      <c r="D8135" s="483">
        <v>12.6</v>
      </c>
      <c r="E8135" s="483">
        <v>12.6</v>
      </c>
    </row>
    <row r="8136" spans="1:5">
      <c r="A8136" s="484">
        <v>38113</v>
      </c>
      <c r="B8136" s="485" t="s">
        <v>11380</v>
      </c>
      <c r="C8136" s="484" t="s">
        <v>65</v>
      </c>
      <c r="D8136" s="486">
        <v>6.85</v>
      </c>
      <c r="E8136" s="486">
        <v>6.85</v>
      </c>
    </row>
    <row r="8137" spans="1:5" ht="30">
      <c r="A8137" s="349">
        <v>38063</v>
      </c>
      <c r="B8137" s="348" t="s">
        <v>11381</v>
      </c>
      <c r="C8137" s="349" t="s">
        <v>65</v>
      </c>
      <c r="D8137" s="483">
        <v>7.34</v>
      </c>
      <c r="E8137" s="483">
        <v>7.34</v>
      </c>
    </row>
    <row r="8138" spans="1:5" ht="30">
      <c r="A8138" s="484">
        <v>38080</v>
      </c>
      <c r="B8138" s="485" t="s">
        <v>6149</v>
      </c>
      <c r="C8138" s="484" t="s">
        <v>65</v>
      </c>
      <c r="D8138" s="486">
        <v>21.89</v>
      </c>
      <c r="E8138" s="486">
        <v>21.89</v>
      </c>
    </row>
    <row r="8139" spans="1:5" ht="30">
      <c r="A8139" s="349">
        <v>38069</v>
      </c>
      <c r="B8139" s="348" t="s">
        <v>11382</v>
      </c>
      <c r="C8139" s="349" t="s">
        <v>65</v>
      </c>
      <c r="D8139" s="483">
        <v>11.97</v>
      </c>
      <c r="E8139" s="483">
        <v>11.97</v>
      </c>
    </row>
    <row r="8140" spans="1:5" ht="30">
      <c r="A8140" s="484">
        <v>38077</v>
      </c>
      <c r="B8140" s="485" t="s">
        <v>11383</v>
      </c>
      <c r="C8140" s="484" t="s">
        <v>65</v>
      </c>
      <c r="D8140" s="486">
        <v>11.7</v>
      </c>
      <c r="E8140" s="486">
        <v>11.7</v>
      </c>
    </row>
    <row r="8141" spans="1:5" ht="30">
      <c r="A8141" s="349">
        <v>38073</v>
      </c>
      <c r="B8141" s="348" t="s">
        <v>11384</v>
      </c>
      <c r="C8141" s="349" t="s">
        <v>65</v>
      </c>
      <c r="D8141" s="483">
        <v>17.82</v>
      </c>
      <c r="E8141" s="483">
        <v>17.82</v>
      </c>
    </row>
    <row r="8142" spans="1:5">
      <c r="A8142" s="484">
        <v>38112</v>
      </c>
      <c r="B8142" s="485" t="s">
        <v>11385</v>
      </c>
      <c r="C8142" s="484" t="s">
        <v>65</v>
      </c>
      <c r="D8142" s="486">
        <v>5.25</v>
      </c>
      <c r="E8142" s="486">
        <v>5.25</v>
      </c>
    </row>
    <row r="8143" spans="1:5" ht="30">
      <c r="A8143" s="349">
        <v>38062</v>
      </c>
      <c r="B8143" s="348" t="s">
        <v>11386</v>
      </c>
      <c r="C8143" s="349" t="s">
        <v>65</v>
      </c>
      <c r="D8143" s="483">
        <v>5.39</v>
      </c>
      <c r="E8143" s="483">
        <v>5.39</v>
      </c>
    </row>
    <row r="8144" spans="1:5" ht="30">
      <c r="A8144" s="484">
        <v>12128</v>
      </c>
      <c r="B8144" s="485" t="s">
        <v>11387</v>
      </c>
      <c r="C8144" s="484" t="s">
        <v>65</v>
      </c>
      <c r="D8144" s="486">
        <v>7.21</v>
      </c>
      <c r="E8144" s="486">
        <v>7.21</v>
      </c>
    </row>
    <row r="8145" spans="1:5" ht="30">
      <c r="A8145" s="349">
        <v>12129</v>
      </c>
      <c r="B8145" s="348" t="s">
        <v>11388</v>
      </c>
      <c r="C8145" s="349" t="s">
        <v>65</v>
      </c>
      <c r="D8145" s="483">
        <v>9.5299999999999994</v>
      </c>
      <c r="E8145" s="483">
        <v>9.5299999999999994</v>
      </c>
    </row>
    <row r="8146" spans="1:5" ht="30">
      <c r="A8146" s="484">
        <v>38412</v>
      </c>
      <c r="B8146" s="485" t="s">
        <v>6150</v>
      </c>
      <c r="C8146" s="484" t="s">
        <v>65</v>
      </c>
      <c r="D8146" s="486">
        <v>927.31</v>
      </c>
      <c r="E8146" s="486">
        <v>927.31</v>
      </c>
    </row>
    <row r="8147" spans="1:5">
      <c r="A8147" s="349">
        <v>10814</v>
      </c>
      <c r="B8147" s="348" t="s">
        <v>6151</v>
      </c>
      <c r="C8147" s="349" t="s">
        <v>90</v>
      </c>
      <c r="D8147" s="483">
        <v>15</v>
      </c>
      <c r="E8147" s="483">
        <v>15</v>
      </c>
    </row>
    <row r="8148" spans="1:5" ht="30">
      <c r="A8148" s="484">
        <v>3405</v>
      </c>
      <c r="B8148" s="485" t="s">
        <v>6153</v>
      </c>
      <c r="C8148" s="484" t="s">
        <v>65</v>
      </c>
      <c r="D8148" s="486">
        <v>73.209999999999994</v>
      </c>
      <c r="E8148" s="486">
        <v>73.209999999999994</v>
      </c>
    </row>
    <row r="8149" spans="1:5">
      <c r="A8149" s="349">
        <v>3394</v>
      </c>
      <c r="B8149" s="348" t="s">
        <v>6154</v>
      </c>
      <c r="C8149" s="349" t="s">
        <v>65</v>
      </c>
      <c r="D8149" s="483">
        <v>386.47</v>
      </c>
      <c r="E8149" s="483">
        <v>386.47</v>
      </c>
    </row>
    <row r="8150" spans="1:5" ht="43.5" customHeight="1">
      <c r="A8150" s="484">
        <v>3393</v>
      </c>
      <c r="B8150" s="485" t="s">
        <v>6155</v>
      </c>
      <c r="C8150" s="484" t="s">
        <v>65</v>
      </c>
      <c r="D8150" s="486">
        <v>658</v>
      </c>
      <c r="E8150" s="486">
        <v>658</v>
      </c>
    </row>
    <row r="8151" spans="1:5">
      <c r="A8151" s="349">
        <v>3406</v>
      </c>
      <c r="B8151" s="348" t="s">
        <v>6156</v>
      </c>
      <c r="C8151" s="349" t="s">
        <v>65</v>
      </c>
      <c r="D8151" s="483">
        <v>22.41</v>
      </c>
      <c r="E8151" s="483">
        <v>22.41</v>
      </c>
    </row>
    <row r="8152" spans="1:5">
      <c r="A8152" s="484">
        <v>3395</v>
      </c>
      <c r="B8152" s="485" t="s">
        <v>6157</v>
      </c>
      <c r="C8152" s="484" t="s">
        <v>65</v>
      </c>
      <c r="D8152" s="486">
        <v>94.53</v>
      </c>
      <c r="E8152" s="486">
        <v>94.53</v>
      </c>
    </row>
    <row r="8153" spans="1:5" ht="30">
      <c r="A8153" s="349">
        <v>3398</v>
      </c>
      <c r="B8153" s="348" t="s">
        <v>6158</v>
      </c>
      <c r="C8153" s="349" t="s">
        <v>65</v>
      </c>
      <c r="D8153" s="483">
        <v>4.49</v>
      </c>
      <c r="E8153" s="483">
        <v>4.49</v>
      </c>
    </row>
    <row r="8154" spans="1:5" ht="30">
      <c r="A8154" s="484">
        <v>34364</v>
      </c>
      <c r="B8154" s="485" t="s">
        <v>6167</v>
      </c>
      <c r="C8154" s="484" t="s">
        <v>65</v>
      </c>
      <c r="D8154" s="486">
        <v>678.95</v>
      </c>
      <c r="E8154" s="486">
        <v>678.95</v>
      </c>
    </row>
    <row r="8155" spans="1:5">
      <c r="A8155" s="349">
        <v>34379</v>
      </c>
      <c r="B8155" s="348" t="s">
        <v>6168</v>
      </c>
      <c r="C8155" s="349" t="s">
        <v>65</v>
      </c>
      <c r="D8155" s="483">
        <v>381.29</v>
      </c>
      <c r="E8155" s="483">
        <v>381.29</v>
      </c>
    </row>
    <row r="8156" spans="1:5">
      <c r="A8156" s="484">
        <v>34378</v>
      </c>
      <c r="B8156" s="485" t="s">
        <v>6169</v>
      </c>
      <c r="C8156" s="484" t="s">
        <v>65</v>
      </c>
      <c r="D8156" s="486">
        <v>321.77999999999997</v>
      </c>
      <c r="E8156" s="486">
        <v>321.77999999999997</v>
      </c>
    </row>
    <row r="8157" spans="1:5">
      <c r="A8157" s="349">
        <v>34377</v>
      </c>
      <c r="B8157" s="348" t="s">
        <v>6170</v>
      </c>
      <c r="C8157" s="349" t="s">
        <v>65</v>
      </c>
      <c r="D8157" s="483">
        <v>219.78</v>
      </c>
      <c r="E8157" s="483">
        <v>219.78</v>
      </c>
    </row>
    <row r="8158" spans="1:5" ht="30">
      <c r="A8158" s="484">
        <v>34367</v>
      </c>
      <c r="B8158" s="485" t="s">
        <v>6171</v>
      </c>
      <c r="C8158" s="484" t="s">
        <v>65</v>
      </c>
      <c r="D8158" s="486">
        <v>569.27</v>
      </c>
      <c r="E8158" s="486">
        <v>569.27</v>
      </c>
    </row>
    <row r="8159" spans="1:5" ht="30">
      <c r="A8159" s="349">
        <v>34369</v>
      </c>
      <c r="B8159" s="348" t="s">
        <v>6172</v>
      </c>
      <c r="C8159" s="349" t="s">
        <v>65</v>
      </c>
      <c r="D8159" s="483">
        <v>731.18</v>
      </c>
      <c r="E8159" s="483">
        <v>731.18</v>
      </c>
    </row>
    <row r="8160" spans="1:5" ht="30">
      <c r="A8160" s="484">
        <v>34370</v>
      </c>
      <c r="B8160" s="485" t="s">
        <v>6173</v>
      </c>
      <c r="C8160" s="484" t="s">
        <v>65</v>
      </c>
      <c r="D8160" s="486">
        <v>861.75</v>
      </c>
      <c r="E8160" s="486">
        <v>861.75</v>
      </c>
    </row>
    <row r="8161" spans="1:5" ht="30">
      <c r="A8161" s="349">
        <v>34362</v>
      </c>
      <c r="B8161" s="348" t="s">
        <v>6174</v>
      </c>
      <c r="C8161" s="349" t="s">
        <v>65</v>
      </c>
      <c r="D8161" s="483">
        <v>574.5</v>
      </c>
      <c r="E8161" s="483">
        <v>574.5</v>
      </c>
    </row>
    <row r="8162" spans="1:5" ht="30">
      <c r="A8162" s="484">
        <v>34371</v>
      </c>
      <c r="B8162" s="485" t="s">
        <v>6175</v>
      </c>
      <c r="C8162" s="484" t="s">
        <v>65</v>
      </c>
      <c r="D8162" s="486">
        <v>979.24</v>
      </c>
      <c r="E8162" s="486">
        <v>979.24</v>
      </c>
    </row>
    <row r="8163" spans="1:5" ht="30">
      <c r="A8163" s="349">
        <v>34372</v>
      </c>
      <c r="B8163" s="348" t="s">
        <v>6176</v>
      </c>
      <c r="C8163" s="349" t="s">
        <v>65</v>
      </c>
      <c r="D8163" s="483">
        <v>1051.24</v>
      </c>
      <c r="E8163" s="483">
        <v>1051.24</v>
      </c>
    </row>
    <row r="8164" spans="1:5" ht="30">
      <c r="A8164" s="484">
        <v>34363</v>
      </c>
      <c r="B8164" s="485" t="s">
        <v>6177</v>
      </c>
      <c r="C8164" s="484" t="s">
        <v>65</v>
      </c>
      <c r="D8164" s="486">
        <v>678.95</v>
      </c>
      <c r="E8164" s="486">
        <v>678.95</v>
      </c>
    </row>
    <row r="8165" spans="1:5" ht="30">
      <c r="A8165" s="349">
        <v>34373</v>
      </c>
      <c r="B8165" s="348" t="s">
        <v>6178</v>
      </c>
      <c r="C8165" s="349" t="s">
        <v>65</v>
      </c>
      <c r="D8165" s="483">
        <v>1251.04</v>
      </c>
      <c r="E8165" s="483">
        <v>1251.04</v>
      </c>
    </row>
    <row r="8166" spans="1:5" ht="29.25" customHeight="1">
      <c r="A8166" s="484">
        <v>34365</v>
      </c>
      <c r="B8166" s="485" t="s">
        <v>6179</v>
      </c>
      <c r="C8166" s="484" t="s">
        <v>65</v>
      </c>
      <c r="D8166" s="486">
        <v>802.31</v>
      </c>
      <c r="E8166" s="486">
        <v>802.31</v>
      </c>
    </row>
    <row r="8167" spans="1:5" ht="29.25" customHeight="1">
      <c r="A8167" s="349">
        <v>34381</v>
      </c>
      <c r="B8167" s="348" t="s">
        <v>6180</v>
      </c>
      <c r="C8167" s="349" t="s">
        <v>65</v>
      </c>
      <c r="D8167" s="483">
        <v>275.76</v>
      </c>
      <c r="E8167" s="483">
        <v>275.76</v>
      </c>
    </row>
    <row r="8168" spans="1:5">
      <c r="A8168" s="484">
        <v>601</v>
      </c>
      <c r="B8168" s="485" t="s">
        <v>6181</v>
      </c>
      <c r="C8168" s="484" t="s">
        <v>256</v>
      </c>
      <c r="D8168" s="486">
        <v>400.91</v>
      </c>
      <c r="E8168" s="486">
        <v>400.91</v>
      </c>
    </row>
    <row r="8169" spans="1:5" ht="45">
      <c r="A8169" s="349">
        <v>40662</v>
      </c>
      <c r="B8169" s="348" t="s">
        <v>11389</v>
      </c>
      <c r="C8169" s="349" t="s">
        <v>65</v>
      </c>
      <c r="D8169" s="483">
        <v>104.04</v>
      </c>
      <c r="E8169" s="483">
        <v>104.04</v>
      </c>
    </row>
    <row r="8170" spans="1:5" ht="45">
      <c r="A8170" s="484">
        <v>3437</v>
      </c>
      <c r="B8170" s="485" t="s">
        <v>11390</v>
      </c>
      <c r="C8170" s="484" t="s">
        <v>256</v>
      </c>
      <c r="D8170" s="486">
        <v>289.02</v>
      </c>
      <c r="E8170" s="486">
        <v>289.02</v>
      </c>
    </row>
    <row r="8171" spans="1:5">
      <c r="A8171" s="349">
        <v>11183</v>
      </c>
      <c r="B8171" s="348" t="s">
        <v>6182</v>
      </c>
      <c r="C8171" s="349" t="s">
        <v>65</v>
      </c>
      <c r="D8171" s="483">
        <v>249.11</v>
      </c>
      <c r="E8171" s="483">
        <v>249.11</v>
      </c>
    </row>
    <row r="8172" spans="1:5">
      <c r="A8172" s="484">
        <v>11190</v>
      </c>
      <c r="B8172" s="485" t="s">
        <v>6183</v>
      </c>
      <c r="C8172" s="484" t="s">
        <v>65</v>
      </c>
      <c r="D8172" s="486">
        <v>115.56</v>
      </c>
      <c r="E8172" s="486">
        <v>115.56</v>
      </c>
    </row>
    <row r="8173" spans="1:5">
      <c r="A8173" s="349">
        <v>616</v>
      </c>
      <c r="B8173" s="348" t="s">
        <v>6184</v>
      </c>
      <c r="C8173" s="349" t="s">
        <v>65</v>
      </c>
      <c r="D8173" s="483">
        <v>135.9</v>
      </c>
      <c r="E8173" s="483">
        <v>135.9</v>
      </c>
    </row>
    <row r="8174" spans="1:5">
      <c r="A8174" s="484">
        <v>615</v>
      </c>
      <c r="B8174" s="485" t="s">
        <v>6184</v>
      </c>
      <c r="C8174" s="484" t="s">
        <v>256</v>
      </c>
      <c r="D8174" s="486">
        <v>283.14</v>
      </c>
      <c r="E8174" s="486">
        <v>283.14</v>
      </c>
    </row>
    <row r="8175" spans="1:5">
      <c r="A8175" s="349">
        <v>11192</v>
      </c>
      <c r="B8175" s="348" t="s">
        <v>6185</v>
      </c>
      <c r="C8175" s="349" t="s">
        <v>65</v>
      </c>
      <c r="D8175" s="483">
        <v>212.62</v>
      </c>
      <c r="E8175" s="483">
        <v>212.62</v>
      </c>
    </row>
    <row r="8176" spans="1:5">
      <c r="A8176" s="484">
        <v>11231</v>
      </c>
      <c r="B8176" s="485" t="s">
        <v>6185</v>
      </c>
      <c r="C8176" s="484" t="s">
        <v>256</v>
      </c>
      <c r="D8176" s="486">
        <v>332.22</v>
      </c>
      <c r="E8176" s="486">
        <v>332.22</v>
      </c>
    </row>
    <row r="8177" spans="1:5" ht="60">
      <c r="A8177" s="349">
        <v>3428</v>
      </c>
      <c r="B8177" s="348" t="s">
        <v>6190</v>
      </c>
      <c r="C8177" s="349" t="s">
        <v>256</v>
      </c>
      <c r="D8177" s="483">
        <v>428.71</v>
      </c>
      <c r="E8177" s="483">
        <v>428.71</v>
      </c>
    </row>
    <row r="8178" spans="1:5" ht="60">
      <c r="A8178" s="484">
        <v>3429</v>
      </c>
      <c r="B8178" s="485" t="s">
        <v>6191</v>
      </c>
      <c r="C8178" s="484" t="s">
        <v>256</v>
      </c>
      <c r="D8178" s="486">
        <v>244.94</v>
      </c>
      <c r="E8178" s="486">
        <v>244.94</v>
      </c>
    </row>
    <row r="8179" spans="1:5" ht="30">
      <c r="A8179" s="349">
        <v>597</v>
      </c>
      <c r="B8179" s="348" t="s">
        <v>6215</v>
      </c>
      <c r="C8179" s="349" t="s">
        <v>256</v>
      </c>
      <c r="D8179" s="483">
        <v>397.64</v>
      </c>
      <c r="E8179" s="483">
        <v>397.64</v>
      </c>
    </row>
    <row r="8180" spans="1:5" ht="30">
      <c r="A8180" s="484">
        <v>11199</v>
      </c>
      <c r="B8180" s="485" t="s">
        <v>6216</v>
      </c>
      <c r="C8180" s="484" t="s">
        <v>65</v>
      </c>
      <c r="D8180" s="486">
        <v>638.21</v>
      </c>
      <c r="E8180" s="486">
        <v>638.21</v>
      </c>
    </row>
    <row r="8181" spans="1:5" ht="30">
      <c r="A8181" s="349">
        <v>34801</v>
      </c>
      <c r="B8181" s="348" t="s">
        <v>6217</v>
      </c>
      <c r="C8181" s="349" t="s">
        <v>65</v>
      </c>
      <c r="D8181" s="483">
        <v>800.6</v>
      </c>
      <c r="E8181" s="483">
        <v>800.6</v>
      </c>
    </row>
    <row r="8182" spans="1:5" ht="30">
      <c r="A8182" s="484">
        <v>34799</v>
      </c>
      <c r="B8182" s="485" t="s">
        <v>6218</v>
      </c>
      <c r="C8182" s="484" t="s">
        <v>65</v>
      </c>
      <c r="D8182" s="486">
        <v>987.3</v>
      </c>
      <c r="E8182" s="486">
        <v>987.3</v>
      </c>
    </row>
    <row r="8183" spans="1:5" ht="30">
      <c r="A8183" s="349">
        <v>622</v>
      </c>
      <c r="B8183" s="348" t="s">
        <v>6219</v>
      </c>
      <c r="C8183" s="349" t="s">
        <v>65</v>
      </c>
      <c r="D8183" s="483">
        <v>444.48</v>
      </c>
      <c r="E8183" s="483">
        <v>444.48</v>
      </c>
    </row>
    <row r="8184" spans="1:5" ht="30">
      <c r="A8184" s="484">
        <v>34805</v>
      </c>
      <c r="B8184" s="485" t="s">
        <v>6220</v>
      </c>
      <c r="C8184" s="484" t="s">
        <v>256</v>
      </c>
      <c r="D8184" s="486">
        <v>332.66</v>
      </c>
      <c r="E8184" s="486">
        <v>332.66</v>
      </c>
    </row>
    <row r="8185" spans="1:5" ht="30">
      <c r="A8185" s="349">
        <v>34803</v>
      </c>
      <c r="B8185" s="348" t="s">
        <v>6221</v>
      </c>
      <c r="C8185" s="349" t="s">
        <v>65</v>
      </c>
      <c r="D8185" s="483">
        <v>402.26</v>
      </c>
      <c r="E8185" s="483">
        <v>402.26</v>
      </c>
    </row>
    <row r="8186" spans="1:5" ht="30">
      <c r="A8186" s="484">
        <v>606</v>
      </c>
      <c r="B8186" s="485" t="s">
        <v>6222</v>
      </c>
      <c r="C8186" s="484" t="s">
        <v>256</v>
      </c>
      <c r="D8186" s="486">
        <v>444.77</v>
      </c>
      <c r="E8186" s="486">
        <v>444.77</v>
      </c>
    </row>
    <row r="8187" spans="1:5" ht="30">
      <c r="A8187" s="349">
        <v>11227</v>
      </c>
      <c r="B8187" s="348" t="s">
        <v>6223</v>
      </c>
      <c r="C8187" s="349" t="s">
        <v>65</v>
      </c>
      <c r="D8187" s="483">
        <v>471.08</v>
      </c>
      <c r="E8187" s="483">
        <v>471.08</v>
      </c>
    </row>
    <row r="8188" spans="1:5" ht="30">
      <c r="A8188" s="484">
        <v>41927</v>
      </c>
      <c r="B8188" s="485" t="s">
        <v>19577</v>
      </c>
      <c r="C8188" s="484" t="s">
        <v>256</v>
      </c>
      <c r="D8188" s="486">
        <v>358.56</v>
      </c>
      <c r="E8188" s="486">
        <v>358.56</v>
      </c>
    </row>
    <row r="8189" spans="1:5" ht="30">
      <c r="A8189" s="349">
        <v>11193</v>
      </c>
      <c r="B8189" s="348" t="s">
        <v>6224</v>
      </c>
      <c r="C8189" s="349" t="s">
        <v>256</v>
      </c>
      <c r="D8189" s="483">
        <v>450.96</v>
      </c>
      <c r="E8189" s="483">
        <v>450.96</v>
      </c>
    </row>
    <row r="8190" spans="1:5" ht="30">
      <c r="A8190" s="484">
        <v>11194</v>
      </c>
      <c r="B8190" s="485" t="s">
        <v>6225</v>
      </c>
      <c r="C8190" s="484" t="s">
        <v>256</v>
      </c>
      <c r="D8190" s="486">
        <v>406.03</v>
      </c>
      <c r="E8190" s="486">
        <v>406.03</v>
      </c>
    </row>
    <row r="8191" spans="1:5" ht="45">
      <c r="A8191" s="349">
        <v>605</v>
      </c>
      <c r="B8191" s="348" t="s">
        <v>19578</v>
      </c>
      <c r="C8191" s="349" t="s">
        <v>256</v>
      </c>
      <c r="D8191" s="483">
        <v>509.94</v>
      </c>
      <c r="E8191" s="483">
        <v>509.94</v>
      </c>
    </row>
    <row r="8192" spans="1:5" ht="30">
      <c r="A8192" s="484">
        <v>11197</v>
      </c>
      <c r="B8192" s="485" t="s">
        <v>6226</v>
      </c>
      <c r="C8192" s="484" t="s">
        <v>65</v>
      </c>
      <c r="D8192" s="486">
        <v>617.59</v>
      </c>
      <c r="E8192" s="486">
        <v>617.59</v>
      </c>
    </row>
    <row r="8193" spans="1:5" ht="60">
      <c r="A8193" s="349">
        <v>40659</v>
      </c>
      <c r="B8193" s="348" t="s">
        <v>6187</v>
      </c>
      <c r="C8193" s="349" t="s">
        <v>256</v>
      </c>
      <c r="D8193" s="483">
        <v>408.92</v>
      </c>
      <c r="E8193" s="483">
        <v>408.92</v>
      </c>
    </row>
    <row r="8194" spans="1:5" ht="60">
      <c r="A8194" s="484">
        <v>40660</v>
      </c>
      <c r="B8194" s="485" t="s">
        <v>6188</v>
      </c>
      <c r="C8194" s="484" t="s">
        <v>256</v>
      </c>
      <c r="D8194" s="486">
        <v>518.25</v>
      </c>
      <c r="E8194" s="486">
        <v>518.25</v>
      </c>
    </row>
    <row r="8195" spans="1:5" ht="60">
      <c r="A8195" s="349">
        <v>40661</v>
      </c>
      <c r="B8195" s="348" t="s">
        <v>19579</v>
      </c>
      <c r="C8195" s="349" t="s">
        <v>256</v>
      </c>
      <c r="D8195" s="483">
        <v>318.64</v>
      </c>
      <c r="E8195" s="483">
        <v>318.64</v>
      </c>
    </row>
    <row r="8196" spans="1:5" ht="60">
      <c r="A8196" s="484">
        <v>3421</v>
      </c>
      <c r="B8196" s="485" t="s">
        <v>6233</v>
      </c>
      <c r="C8196" s="484" t="s">
        <v>256</v>
      </c>
      <c r="D8196" s="486">
        <v>321.07</v>
      </c>
      <c r="E8196" s="486">
        <v>321.07</v>
      </c>
    </row>
    <row r="8197" spans="1:5" ht="45">
      <c r="A8197" s="349">
        <v>3423</v>
      </c>
      <c r="B8197" s="348" t="s">
        <v>11391</v>
      </c>
      <c r="C8197" s="349" t="s">
        <v>256</v>
      </c>
      <c r="D8197" s="483">
        <v>452.79</v>
      </c>
      <c r="E8197" s="483">
        <v>452.79</v>
      </c>
    </row>
    <row r="8198" spans="1:5" ht="30">
      <c r="A8198" s="484">
        <v>34797</v>
      </c>
      <c r="B8198" s="485" t="s">
        <v>6234</v>
      </c>
      <c r="C8198" s="484" t="s">
        <v>65</v>
      </c>
      <c r="D8198" s="486">
        <v>251.71</v>
      </c>
      <c r="E8198" s="486">
        <v>251.71</v>
      </c>
    </row>
    <row r="8199" spans="1:5" ht="30">
      <c r="A8199" s="349">
        <v>624</v>
      </c>
      <c r="B8199" s="348" t="s">
        <v>6235</v>
      </c>
      <c r="C8199" s="349" t="s">
        <v>256</v>
      </c>
      <c r="D8199" s="483">
        <v>524.39</v>
      </c>
      <c r="E8199" s="483">
        <v>524.39</v>
      </c>
    </row>
    <row r="8200" spans="1:5" ht="30">
      <c r="A8200" s="484">
        <v>623</v>
      </c>
      <c r="B8200" s="485" t="s">
        <v>6236</v>
      </c>
      <c r="C8200" s="484" t="s">
        <v>256</v>
      </c>
      <c r="D8200" s="486">
        <v>196.91</v>
      </c>
      <c r="E8200" s="486">
        <v>196.91</v>
      </c>
    </row>
    <row r="8201" spans="1:5">
      <c r="A8201" s="349">
        <v>25964</v>
      </c>
      <c r="B8201" s="348" t="s">
        <v>192</v>
      </c>
      <c r="C8201" s="349" t="s">
        <v>57</v>
      </c>
      <c r="D8201" s="483">
        <v>11.16</v>
      </c>
      <c r="E8201" s="483">
        <v>11.16</v>
      </c>
    </row>
    <row r="8202" spans="1:5">
      <c r="A8202" s="484">
        <v>41077</v>
      </c>
      <c r="B8202" s="485" t="s">
        <v>6237</v>
      </c>
      <c r="C8202" s="484" t="s">
        <v>1643</v>
      </c>
      <c r="D8202" s="486">
        <v>1968.62</v>
      </c>
      <c r="E8202" s="486">
        <v>1968.62</v>
      </c>
    </row>
    <row r="8203" spans="1:5">
      <c r="A8203" s="349">
        <v>20159</v>
      </c>
      <c r="B8203" s="348" t="s">
        <v>6372</v>
      </c>
      <c r="C8203" s="349" t="s">
        <v>65</v>
      </c>
      <c r="D8203" s="483">
        <v>25.97</v>
      </c>
      <c r="E8203" s="483">
        <v>25.97</v>
      </c>
    </row>
    <row r="8204" spans="1:5">
      <c r="A8204" s="484">
        <v>37963</v>
      </c>
      <c r="B8204" s="485" t="s">
        <v>6373</v>
      </c>
      <c r="C8204" s="484" t="s">
        <v>65</v>
      </c>
      <c r="D8204" s="486">
        <v>3.01</v>
      </c>
      <c r="E8204" s="486">
        <v>3.01</v>
      </c>
    </row>
    <row r="8205" spans="1:5" ht="57.75" customHeight="1">
      <c r="A8205" s="349">
        <v>37964</v>
      </c>
      <c r="B8205" s="348" t="s">
        <v>6374</v>
      </c>
      <c r="C8205" s="349" t="s">
        <v>65</v>
      </c>
      <c r="D8205" s="483">
        <v>5.03</v>
      </c>
      <c r="E8205" s="483">
        <v>5.03</v>
      </c>
    </row>
    <row r="8206" spans="1:5">
      <c r="A8206" s="484">
        <v>37965</v>
      </c>
      <c r="B8206" s="485" t="s">
        <v>6375</v>
      </c>
      <c r="C8206" s="484" t="s">
        <v>65</v>
      </c>
      <c r="D8206" s="486">
        <v>7.29</v>
      </c>
      <c r="E8206" s="486">
        <v>7.29</v>
      </c>
    </row>
    <row r="8207" spans="1:5">
      <c r="A8207" s="349">
        <v>37966</v>
      </c>
      <c r="B8207" s="348" t="s">
        <v>6376</v>
      </c>
      <c r="C8207" s="349" t="s">
        <v>65</v>
      </c>
      <c r="D8207" s="483">
        <v>13.2</v>
      </c>
      <c r="E8207" s="483">
        <v>13.2</v>
      </c>
    </row>
    <row r="8208" spans="1:5">
      <c r="A8208" s="484">
        <v>37967</v>
      </c>
      <c r="B8208" s="485" t="s">
        <v>6377</v>
      </c>
      <c r="C8208" s="484" t="s">
        <v>65</v>
      </c>
      <c r="D8208" s="486">
        <v>21.17</v>
      </c>
      <c r="E8208" s="486">
        <v>21.17</v>
      </c>
    </row>
    <row r="8209" spans="1:5">
      <c r="A8209" s="349">
        <v>37968</v>
      </c>
      <c r="B8209" s="348" t="s">
        <v>6378</v>
      </c>
      <c r="C8209" s="349" t="s">
        <v>65</v>
      </c>
      <c r="D8209" s="483">
        <v>46.44</v>
      </c>
      <c r="E8209" s="483">
        <v>46.44</v>
      </c>
    </row>
    <row r="8210" spans="1:5" ht="57.75" customHeight="1">
      <c r="A8210" s="484">
        <v>37969</v>
      </c>
      <c r="B8210" s="485" t="s">
        <v>6379</v>
      </c>
      <c r="C8210" s="484" t="s">
        <v>65</v>
      </c>
      <c r="D8210" s="486">
        <v>124.06</v>
      </c>
      <c r="E8210" s="486">
        <v>124.06</v>
      </c>
    </row>
    <row r="8211" spans="1:5">
      <c r="A8211" s="349">
        <v>37970</v>
      </c>
      <c r="B8211" s="348" t="s">
        <v>6380</v>
      </c>
      <c r="C8211" s="349" t="s">
        <v>65</v>
      </c>
      <c r="D8211" s="483">
        <v>144.72</v>
      </c>
      <c r="E8211" s="483">
        <v>144.72</v>
      </c>
    </row>
    <row r="8212" spans="1:5">
      <c r="A8212" s="484">
        <v>21118</v>
      </c>
      <c r="B8212" s="485" t="s">
        <v>6381</v>
      </c>
      <c r="C8212" s="484" t="s">
        <v>65</v>
      </c>
      <c r="D8212" s="486">
        <v>2.2799999999999998</v>
      </c>
      <c r="E8212" s="486">
        <v>2.2799999999999998</v>
      </c>
    </row>
    <row r="8213" spans="1:5">
      <c r="A8213" s="349">
        <v>37956</v>
      </c>
      <c r="B8213" s="348" t="s">
        <v>6382</v>
      </c>
      <c r="C8213" s="349" t="s">
        <v>65</v>
      </c>
      <c r="D8213" s="483">
        <v>3.61</v>
      </c>
      <c r="E8213" s="483">
        <v>3.61</v>
      </c>
    </row>
    <row r="8214" spans="1:5">
      <c r="A8214" s="484">
        <v>37957</v>
      </c>
      <c r="B8214" s="485" t="s">
        <v>6383</v>
      </c>
      <c r="C8214" s="484" t="s">
        <v>65</v>
      </c>
      <c r="D8214" s="486">
        <v>7.62</v>
      </c>
      <c r="E8214" s="486">
        <v>7.62</v>
      </c>
    </row>
    <row r="8215" spans="1:5">
      <c r="A8215" s="349">
        <v>37958</v>
      </c>
      <c r="B8215" s="348" t="s">
        <v>6384</v>
      </c>
      <c r="C8215" s="349" t="s">
        <v>65</v>
      </c>
      <c r="D8215" s="483">
        <v>13.2</v>
      </c>
      <c r="E8215" s="483">
        <v>13.2</v>
      </c>
    </row>
    <row r="8216" spans="1:5">
      <c r="A8216" s="484">
        <v>37959</v>
      </c>
      <c r="B8216" s="485" t="s">
        <v>6385</v>
      </c>
      <c r="C8216" s="484" t="s">
        <v>65</v>
      </c>
      <c r="D8216" s="486">
        <v>21.17</v>
      </c>
      <c r="E8216" s="486">
        <v>21.17</v>
      </c>
    </row>
    <row r="8217" spans="1:5">
      <c r="A8217" s="349">
        <v>37960</v>
      </c>
      <c r="B8217" s="348" t="s">
        <v>6386</v>
      </c>
      <c r="C8217" s="349" t="s">
        <v>65</v>
      </c>
      <c r="D8217" s="483">
        <v>45.6</v>
      </c>
      <c r="E8217" s="483">
        <v>45.6</v>
      </c>
    </row>
    <row r="8218" spans="1:5">
      <c r="A8218" s="484">
        <v>37961</v>
      </c>
      <c r="B8218" s="485" t="s">
        <v>6387</v>
      </c>
      <c r="C8218" s="484" t="s">
        <v>65</v>
      </c>
      <c r="D8218" s="486">
        <v>120.98</v>
      </c>
      <c r="E8218" s="486">
        <v>120.98</v>
      </c>
    </row>
    <row r="8219" spans="1:5">
      <c r="A8219" s="349">
        <v>37962</v>
      </c>
      <c r="B8219" s="348" t="s">
        <v>6388</v>
      </c>
      <c r="C8219" s="349" t="s">
        <v>65</v>
      </c>
      <c r="D8219" s="483">
        <v>140.57</v>
      </c>
      <c r="E8219" s="483">
        <v>140.57</v>
      </c>
    </row>
    <row r="8220" spans="1:5">
      <c r="A8220" s="484">
        <v>3533</v>
      </c>
      <c r="B8220" s="485" t="s">
        <v>6389</v>
      </c>
      <c r="C8220" s="484" t="s">
        <v>65</v>
      </c>
      <c r="D8220" s="486">
        <v>1.88</v>
      </c>
      <c r="E8220" s="486">
        <v>1.88</v>
      </c>
    </row>
    <row r="8221" spans="1:5">
      <c r="A8221" s="349">
        <v>3538</v>
      </c>
      <c r="B8221" s="348" t="s">
        <v>6390</v>
      </c>
      <c r="C8221" s="349" t="s">
        <v>65</v>
      </c>
      <c r="D8221" s="483">
        <v>2.59</v>
      </c>
      <c r="E8221" s="483">
        <v>2.59</v>
      </c>
    </row>
    <row r="8222" spans="1:5" ht="30">
      <c r="A8222" s="484">
        <v>3497</v>
      </c>
      <c r="B8222" s="485" t="s">
        <v>6391</v>
      </c>
      <c r="C8222" s="484" t="s">
        <v>65</v>
      </c>
      <c r="D8222" s="486">
        <v>11.41</v>
      </c>
      <c r="E8222" s="486">
        <v>11.41</v>
      </c>
    </row>
    <row r="8223" spans="1:5">
      <c r="A8223" s="349">
        <v>3498</v>
      </c>
      <c r="B8223" s="348" t="s">
        <v>6392</v>
      </c>
      <c r="C8223" s="349" t="s">
        <v>65</v>
      </c>
      <c r="D8223" s="483">
        <v>3.62</v>
      </c>
      <c r="E8223" s="483">
        <v>3.62</v>
      </c>
    </row>
    <row r="8224" spans="1:5">
      <c r="A8224" s="484">
        <v>3496</v>
      </c>
      <c r="B8224" s="485" t="s">
        <v>6393</v>
      </c>
      <c r="C8224" s="484" t="s">
        <v>65</v>
      </c>
      <c r="D8224" s="486">
        <v>2.25</v>
      </c>
      <c r="E8224" s="486">
        <v>2.25</v>
      </c>
    </row>
    <row r="8225" spans="1:5">
      <c r="A8225" s="349">
        <v>38429</v>
      </c>
      <c r="B8225" s="348" t="s">
        <v>19580</v>
      </c>
      <c r="C8225" s="349" t="s">
        <v>65</v>
      </c>
      <c r="D8225" s="483">
        <v>7.7</v>
      </c>
      <c r="E8225" s="483">
        <v>7.7</v>
      </c>
    </row>
    <row r="8226" spans="1:5">
      <c r="A8226" s="484">
        <v>38431</v>
      </c>
      <c r="B8226" s="485" t="s">
        <v>19581</v>
      </c>
      <c r="C8226" s="484" t="s">
        <v>65</v>
      </c>
      <c r="D8226" s="486">
        <v>12.2</v>
      </c>
      <c r="E8226" s="486">
        <v>12.2</v>
      </c>
    </row>
    <row r="8227" spans="1:5">
      <c r="A8227" s="349">
        <v>38430</v>
      </c>
      <c r="B8227" s="348" t="s">
        <v>6395</v>
      </c>
      <c r="C8227" s="349" t="s">
        <v>65</v>
      </c>
      <c r="D8227" s="483">
        <v>15.59</v>
      </c>
      <c r="E8227" s="483">
        <v>15.59</v>
      </c>
    </row>
    <row r="8228" spans="1:5">
      <c r="A8228" s="484">
        <v>38449</v>
      </c>
      <c r="B8228" s="485" t="s">
        <v>6396</v>
      </c>
      <c r="C8228" s="484" t="s">
        <v>65</v>
      </c>
      <c r="D8228" s="486">
        <v>25.57</v>
      </c>
      <c r="E8228" s="486">
        <v>25.57</v>
      </c>
    </row>
    <row r="8229" spans="1:5">
      <c r="A8229" s="349">
        <v>10836</v>
      </c>
      <c r="B8229" s="348" t="s">
        <v>6397</v>
      </c>
      <c r="C8229" s="349" t="s">
        <v>65</v>
      </c>
      <c r="D8229" s="483">
        <v>14.41</v>
      </c>
      <c r="E8229" s="483">
        <v>14.41</v>
      </c>
    </row>
    <row r="8230" spans="1:5">
      <c r="A8230" s="484">
        <v>20128</v>
      </c>
      <c r="B8230" s="485" t="s">
        <v>6398</v>
      </c>
      <c r="C8230" s="484" t="s">
        <v>65</v>
      </c>
      <c r="D8230" s="486">
        <v>35.869999999999997</v>
      </c>
      <c r="E8230" s="486">
        <v>35.869999999999997</v>
      </c>
    </row>
    <row r="8231" spans="1:5">
      <c r="A8231" s="349">
        <v>20131</v>
      </c>
      <c r="B8231" s="348" t="s">
        <v>6399</v>
      </c>
      <c r="C8231" s="349" t="s">
        <v>65</v>
      </c>
      <c r="D8231" s="483">
        <v>32.31</v>
      </c>
      <c r="E8231" s="483">
        <v>32.31</v>
      </c>
    </row>
    <row r="8232" spans="1:5">
      <c r="A8232" s="484">
        <v>3521</v>
      </c>
      <c r="B8232" s="485" t="s">
        <v>6400</v>
      </c>
      <c r="C8232" s="484" t="s">
        <v>65</v>
      </c>
      <c r="D8232" s="486">
        <v>1.37</v>
      </c>
      <c r="E8232" s="486">
        <v>1.37</v>
      </c>
    </row>
    <row r="8233" spans="1:5">
      <c r="A8233" s="349">
        <v>3531</v>
      </c>
      <c r="B8233" s="348" t="s">
        <v>6401</v>
      </c>
      <c r="C8233" s="349" t="s">
        <v>65</v>
      </c>
      <c r="D8233" s="483">
        <v>1.49</v>
      </c>
      <c r="E8233" s="483">
        <v>1.49</v>
      </c>
    </row>
    <row r="8234" spans="1:5">
      <c r="A8234" s="484">
        <v>3522</v>
      </c>
      <c r="B8234" s="485" t="s">
        <v>6402</v>
      </c>
      <c r="C8234" s="484" t="s">
        <v>65</v>
      </c>
      <c r="D8234" s="486">
        <v>2.42</v>
      </c>
      <c r="E8234" s="486">
        <v>2.42</v>
      </c>
    </row>
    <row r="8235" spans="1:5">
      <c r="A8235" s="349">
        <v>3527</v>
      </c>
      <c r="B8235" s="348" t="s">
        <v>6403</v>
      </c>
      <c r="C8235" s="349" t="s">
        <v>65</v>
      </c>
      <c r="D8235" s="483">
        <v>7.63</v>
      </c>
      <c r="E8235" s="483">
        <v>7.63</v>
      </c>
    </row>
    <row r="8236" spans="1:5" ht="30">
      <c r="A8236" s="484">
        <v>10835</v>
      </c>
      <c r="B8236" s="485" t="s">
        <v>6412</v>
      </c>
      <c r="C8236" s="484" t="s">
        <v>65</v>
      </c>
      <c r="D8236" s="486">
        <v>3.21</v>
      </c>
      <c r="E8236" s="486">
        <v>3.21</v>
      </c>
    </row>
    <row r="8237" spans="1:5">
      <c r="A8237" s="349">
        <v>3475</v>
      </c>
      <c r="B8237" s="348" t="s">
        <v>6414</v>
      </c>
      <c r="C8237" s="349" t="s">
        <v>65</v>
      </c>
      <c r="D8237" s="483">
        <v>2.4</v>
      </c>
      <c r="E8237" s="483">
        <v>2.4</v>
      </c>
    </row>
    <row r="8238" spans="1:5">
      <c r="A8238" s="484">
        <v>3485</v>
      </c>
      <c r="B8238" s="485" t="s">
        <v>6413</v>
      </c>
      <c r="C8238" s="484" t="s">
        <v>65</v>
      </c>
      <c r="D8238" s="486">
        <v>7.33</v>
      </c>
      <c r="E8238" s="486">
        <v>7.33</v>
      </c>
    </row>
    <row r="8239" spans="1:5">
      <c r="A8239" s="349">
        <v>3534</v>
      </c>
      <c r="B8239" s="348" t="s">
        <v>6415</v>
      </c>
      <c r="C8239" s="349" t="s">
        <v>65</v>
      </c>
      <c r="D8239" s="483">
        <v>3.11</v>
      </c>
      <c r="E8239" s="483">
        <v>3.11</v>
      </c>
    </row>
    <row r="8240" spans="1:5">
      <c r="A8240" s="484">
        <v>3543</v>
      </c>
      <c r="B8240" s="485" t="s">
        <v>6417</v>
      </c>
      <c r="C8240" s="484" t="s">
        <v>65</v>
      </c>
      <c r="D8240" s="486">
        <v>1.55</v>
      </c>
      <c r="E8240" s="486">
        <v>1.55</v>
      </c>
    </row>
    <row r="8241" spans="1:5">
      <c r="A8241" s="349">
        <v>3482</v>
      </c>
      <c r="B8241" s="348" t="s">
        <v>6416</v>
      </c>
      <c r="C8241" s="349" t="s">
        <v>65</v>
      </c>
      <c r="D8241" s="483">
        <v>3.74</v>
      </c>
      <c r="E8241" s="483">
        <v>3.74</v>
      </c>
    </row>
    <row r="8242" spans="1:5">
      <c r="A8242" s="484">
        <v>3505</v>
      </c>
      <c r="B8242" s="485" t="s">
        <v>6418</v>
      </c>
      <c r="C8242" s="484" t="s">
        <v>65</v>
      </c>
      <c r="D8242" s="486">
        <v>2.23</v>
      </c>
      <c r="E8242" s="486">
        <v>2.23</v>
      </c>
    </row>
    <row r="8243" spans="1:5">
      <c r="A8243" s="349">
        <v>3516</v>
      </c>
      <c r="B8243" s="348" t="s">
        <v>6427</v>
      </c>
      <c r="C8243" s="349" t="s">
        <v>65</v>
      </c>
      <c r="D8243" s="483">
        <v>2.06</v>
      </c>
      <c r="E8243" s="483">
        <v>2.06</v>
      </c>
    </row>
    <row r="8244" spans="1:5">
      <c r="A8244" s="484">
        <v>3517</v>
      </c>
      <c r="B8244" s="485" t="s">
        <v>6428</v>
      </c>
      <c r="C8244" s="484" t="s">
        <v>65</v>
      </c>
      <c r="D8244" s="486">
        <v>1.25</v>
      </c>
      <c r="E8244" s="486">
        <v>1.25</v>
      </c>
    </row>
    <row r="8245" spans="1:5" ht="30">
      <c r="A8245" s="349">
        <v>3515</v>
      </c>
      <c r="B8245" s="348" t="s">
        <v>6429</v>
      </c>
      <c r="C8245" s="349" t="s">
        <v>65</v>
      </c>
      <c r="D8245" s="483">
        <v>4.67</v>
      </c>
      <c r="E8245" s="483">
        <v>4.67</v>
      </c>
    </row>
    <row r="8246" spans="1:5" ht="30">
      <c r="A8246" s="484">
        <v>20147</v>
      </c>
      <c r="B8246" s="485" t="s">
        <v>6430</v>
      </c>
      <c r="C8246" s="484" t="s">
        <v>65</v>
      </c>
      <c r="D8246" s="486">
        <v>4.79</v>
      </c>
      <c r="E8246" s="486">
        <v>4.79</v>
      </c>
    </row>
    <row r="8247" spans="1:5" ht="30">
      <c r="A8247" s="349">
        <v>3524</v>
      </c>
      <c r="B8247" s="348" t="s">
        <v>6431</v>
      </c>
      <c r="C8247" s="349" t="s">
        <v>65</v>
      </c>
      <c r="D8247" s="483">
        <v>5.7</v>
      </c>
      <c r="E8247" s="483">
        <v>5.7</v>
      </c>
    </row>
    <row r="8248" spans="1:5" ht="30">
      <c r="A8248" s="484">
        <v>3532</v>
      </c>
      <c r="B8248" s="485" t="s">
        <v>6432</v>
      </c>
      <c r="C8248" s="484" t="s">
        <v>65</v>
      </c>
      <c r="D8248" s="486">
        <v>10.63</v>
      </c>
      <c r="E8248" s="486">
        <v>10.63</v>
      </c>
    </row>
    <row r="8249" spans="1:5">
      <c r="A8249" s="349">
        <v>3528</v>
      </c>
      <c r="B8249" s="348" t="s">
        <v>6433</v>
      </c>
      <c r="C8249" s="349" t="s">
        <v>65</v>
      </c>
      <c r="D8249" s="483">
        <v>6.52</v>
      </c>
      <c r="E8249" s="483">
        <v>6.52</v>
      </c>
    </row>
    <row r="8250" spans="1:5">
      <c r="A8250" s="484">
        <v>37952</v>
      </c>
      <c r="B8250" s="485" t="s">
        <v>6434</v>
      </c>
      <c r="C8250" s="484" t="s">
        <v>65</v>
      </c>
      <c r="D8250" s="486">
        <v>40.200000000000003</v>
      </c>
      <c r="E8250" s="486">
        <v>40.200000000000003</v>
      </c>
    </row>
    <row r="8251" spans="1:5">
      <c r="A8251" s="349">
        <v>37951</v>
      </c>
      <c r="B8251" s="348" t="s">
        <v>6435</v>
      </c>
      <c r="C8251" s="349" t="s">
        <v>65</v>
      </c>
      <c r="D8251" s="483">
        <v>1.74</v>
      </c>
      <c r="E8251" s="483">
        <v>1.74</v>
      </c>
    </row>
    <row r="8252" spans="1:5">
      <c r="A8252" s="484">
        <v>3518</v>
      </c>
      <c r="B8252" s="485" t="s">
        <v>6436</v>
      </c>
      <c r="C8252" s="484" t="s">
        <v>65</v>
      </c>
      <c r="D8252" s="486">
        <v>2.5</v>
      </c>
      <c r="E8252" s="486">
        <v>2.5</v>
      </c>
    </row>
    <row r="8253" spans="1:5">
      <c r="A8253" s="349">
        <v>3519</v>
      </c>
      <c r="B8253" s="348" t="s">
        <v>6437</v>
      </c>
      <c r="C8253" s="349" t="s">
        <v>65</v>
      </c>
      <c r="D8253" s="483">
        <v>5.75</v>
      </c>
      <c r="E8253" s="483">
        <v>5.75</v>
      </c>
    </row>
    <row r="8254" spans="1:5">
      <c r="A8254" s="484">
        <v>3520</v>
      </c>
      <c r="B8254" s="485" t="s">
        <v>6438</v>
      </c>
      <c r="C8254" s="484" t="s">
        <v>65</v>
      </c>
      <c r="D8254" s="486">
        <v>6.45</v>
      </c>
      <c r="E8254" s="486">
        <v>6.45</v>
      </c>
    </row>
    <row r="8255" spans="1:5">
      <c r="A8255" s="349">
        <v>37950</v>
      </c>
      <c r="B8255" s="348" t="s">
        <v>6439</v>
      </c>
      <c r="C8255" s="349" t="s">
        <v>65</v>
      </c>
      <c r="D8255" s="483">
        <v>38.78</v>
      </c>
      <c r="E8255" s="483">
        <v>38.78</v>
      </c>
    </row>
    <row r="8256" spans="1:5">
      <c r="A8256" s="484">
        <v>37949</v>
      </c>
      <c r="B8256" s="485" t="s">
        <v>6440</v>
      </c>
      <c r="C8256" s="484" t="s">
        <v>65</v>
      </c>
      <c r="D8256" s="486">
        <v>1.42</v>
      </c>
      <c r="E8256" s="486">
        <v>1.42</v>
      </c>
    </row>
    <row r="8257" spans="1:5">
      <c r="A8257" s="349">
        <v>3526</v>
      </c>
      <c r="B8257" s="348" t="s">
        <v>6441</v>
      </c>
      <c r="C8257" s="349" t="s">
        <v>65</v>
      </c>
      <c r="D8257" s="483">
        <v>1.93</v>
      </c>
      <c r="E8257" s="483">
        <v>1.93</v>
      </c>
    </row>
    <row r="8258" spans="1:5">
      <c r="A8258" s="484">
        <v>3509</v>
      </c>
      <c r="B8258" s="485" t="s">
        <v>6442</v>
      </c>
      <c r="C8258" s="484" t="s">
        <v>65</v>
      </c>
      <c r="D8258" s="486">
        <v>4.91</v>
      </c>
      <c r="E8258" s="486">
        <v>4.91</v>
      </c>
    </row>
    <row r="8259" spans="1:5">
      <c r="A8259" s="349">
        <v>3530</v>
      </c>
      <c r="B8259" s="348" t="s">
        <v>6419</v>
      </c>
      <c r="C8259" s="349" t="s">
        <v>65</v>
      </c>
      <c r="D8259" s="483">
        <v>167.12</v>
      </c>
      <c r="E8259" s="483">
        <v>167.12</v>
      </c>
    </row>
    <row r="8260" spans="1:5">
      <c r="A8260" s="484">
        <v>3542</v>
      </c>
      <c r="B8260" s="485" t="s">
        <v>6420</v>
      </c>
      <c r="C8260" s="484" t="s">
        <v>65</v>
      </c>
      <c r="D8260" s="486">
        <v>0.42</v>
      </c>
      <c r="E8260" s="486">
        <v>0.42</v>
      </c>
    </row>
    <row r="8261" spans="1:5">
      <c r="A8261" s="349">
        <v>3529</v>
      </c>
      <c r="B8261" s="348" t="s">
        <v>6421</v>
      </c>
      <c r="C8261" s="349" t="s">
        <v>65</v>
      </c>
      <c r="D8261" s="483">
        <v>0.62</v>
      </c>
      <c r="E8261" s="483">
        <v>0.62</v>
      </c>
    </row>
    <row r="8262" spans="1:5">
      <c r="A8262" s="484">
        <v>3536</v>
      </c>
      <c r="B8262" s="485" t="s">
        <v>6422</v>
      </c>
      <c r="C8262" s="484" t="s">
        <v>65</v>
      </c>
      <c r="D8262" s="486">
        <v>1.62</v>
      </c>
      <c r="E8262" s="486">
        <v>1.62</v>
      </c>
    </row>
    <row r="8263" spans="1:5">
      <c r="A8263" s="349">
        <v>3535</v>
      </c>
      <c r="B8263" s="348" t="s">
        <v>6423</v>
      </c>
      <c r="C8263" s="349" t="s">
        <v>65</v>
      </c>
      <c r="D8263" s="483">
        <v>3.96</v>
      </c>
      <c r="E8263" s="483">
        <v>3.96</v>
      </c>
    </row>
    <row r="8264" spans="1:5">
      <c r="A8264" s="484">
        <v>3540</v>
      </c>
      <c r="B8264" s="485" t="s">
        <v>6424</v>
      </c>
      <c r="C8264" s="484" t="s">
        <v>65</v>
      </c>
      <c r="D8264" s="486">
        <v>4.4000000000000004</v>
      </c>
      <c r="E8264" s="486">
        <v>4.4000000000000004</v>
      </c>
    </row>
    <row r="8265" spans="1:5">
      <c r="A8265" s="349">
        <v>3539</v>
      </c>
      <c r="B8265" s="348" t="s">
        <v>6425</v>
      </c>
      <c r="C8265" s="349" t="s">
        <v>65</v>
      </c>
      <c r="D8265" s="483">
        <v>20.12</v>
      </c>
      <c r="E8265" s="483">
        <v>20.12</v>
      </c>
    </row>
    <row r="8266" spans="1:5">
      <c r="A8266" s="484">
        <v>3513</v>
      </c>
      <c r="B8266" s="485" t="s">
        <v>6426</v>
      </c>
      <c r="C8266" s="484" t="s">
        <v>65</v>
      </c>
      <c r="D8266" s="486">
        <v>71.83</v>
      </c>
      <c r="E8266" s="486">
        <v>71.83</v>
      </c>
    </row>
    <row r="8267" spans="1:5">
      <c r="A8267" s="349">
        <v>3492</v>
      </c>
      <c r="B8267" s="348" t="s">
        <v>6404</v>
      </c>
      <c r="C8267" s="349" t="s">
        <v>65</v>
      </c>
      <c r="D8267" s="483">
        <v>8.6999999999999993</v>
      </c>
      <c r="E8267" s="483">
        <v>8.6999999999999993</v>
      </c>
    </row>
    <row r="8268" spans="1:5">
      <c r="A8268" s="484">
        <v>3491</v>
      </c>
      <c r="B8268" s="485" t="s">
        <v>6405</v>
      </c>
      <c r="C8268" s="484" t="s">
        <v>65</v>
      </c>
      <c r="D8268" s="486">
        <v>7.23</v>
      </c>
      <c r="E8268" s="486">
        <v>7.23</v>
      </c>
    </row>
    <row r="8269" spans="1:5">
      <c r="A8269" s="349">
        <v>3493</v>
      </c>
      <c r="B8269" s="348" t="s">
        <v>6406</v>
      </c>
      <c r="C8269" s="349" t="s">
        <v>65</v>
      </c>
      <c r="D8269" s="483">
        <v>16.89</v>
      </c>
      <c r="E8269" s="483">
        <v>16.89</v>
      </c>
    </row>
    <row r="8270" spans="1:5">
      <c r="A8270" s="484">
        <v>12628</v>
      </c>
      <c r="B8270" s="485" t="s">
        <v>6407</v>
      </c>
      <c r="C8270" s="484" t="s">
        <v>65</v>
      </c>
      <c r="D8270" s="486">
        <v>5.0999999999999996</v>
      </c>
      <c r="E8270" s="486">
        <v>5.0999999999999996</v>
      </c>
    </row>
    <row r="8271" spans="1:5">
      <c r="A8271" s="349">
        <v>12629</v>
      </c>
      <c r="B8271" s="348" t="s">
        <v>6408</v>
      </c>
      <c r="C8271" s="349" t="s">
        <v>65</v>
      </c>
      <c r="D8271" s="483">
        <v>5.53</v>
      </c>
      <c r="E8271" s="483">
        <v>5.53</v>
      </c>
    </row>
    <row r="8272" spans="1:5">
      <c r="A8272" s="484">
        <v>3481</v>
      </c>
      <c r="B8272" s="485" t="s">
        <v>6409</v>
      </c>
      <c r="C8272" s="484" t="s">
        <v>65</v>
      </c>
      <c r="D8272" s="486">
        <v>8.81</v>
      </c>
      <c r="E8272" s="486">
        <v>8.81</v>
      </c>
    </row>
    <row r="8273" spans="1:5">
      <c r="A8273" s="349">
        <v>3510</v>
      </c>
      <c r="B8273" s="348" t="s">
        <v>6410</v>
      </c>
      <c r="C8273" s="349" t="s">
        <v>65</v>
      </c>
      <c r="D8273" s="483">
        <v>7.73</v>
      </c>
      <c r="E8273" s="483">
        <v>7.73</v>
      </c>
    </row>
    <row r="8274" spans="1:5">
      <c r="A8274" s="484">
        <v>3508</v>
      </c>
      <c r="B8274" s="485" t="s">
        <v>6411</v>
      </c>
      <c r="C8274" s="484" t="s">
        <v>65</v>
      </c>
      <c r="D8274" s="486">
        <v>17.600000000000001</v>
      </c>
      <c r="E8274" s="486">
        <v>17.600000000000001</v>
      </c>
    </row>
    <row r="8275" spans="1:5">
      <c r="A8275" s="349">
        <v>3489</v>
      </c>
      <c r="B8275" s="348" t="s">
        <v>6443</v>
      </c>
      <c r="C8275" s="349" t="s">
        <v>65</v>
      </c>
      <c r="D8275" s="483">
        <v>10.43</v>
      </c>
      <c r="E8275" s="483">
        <v>10.43</v>
      </c>
    </row>
    <row r="8276" spans="1:5">
      <c r="A8276" s="484">
        <v>20151</v>
      </c>
      <c r="B8276" s="485" t="s">
        <v>6444</v>
      </c>
      <c r="C8276" s="484" t="s">
        <v>65</v>
      </c>
      <c r="D8276" s="486">
        <v>18.260000000000002</v>
      </c>
      <c r="E8276" s="486">
        <v>18.260000000000002</v>
      </c>
    </row>
    <row r="8277" spans="1:5">
      <c r="A8277" s="349">
        <v>20152</v>
      </c>
      <c r="B8277" s="348" t="s">
        <v>6445</v>
      </c>
      <c r="C8277" s="349" t="s">
        <v>65</v>
      </c>
      <c r="D8277" s="483">
        <v>57.9</v>
      </c>
      <c r="E8277" s="483">
        <v>57.9</v>
      </c>
    </row>
    <row r="8278" spans="1:5">
      <c r="A8278" s="484">
        <v>20148</v>
      </c>
      <c r="B8278" s="485" t="s">
        <v>6446</v>
      </c>
      <c r="C8278" s="484" t="s">
        <v>65</v>
      </c>
      <c r="D8278" s="486">
        <v>3.36</v>
      </c>
      <c r="E8278" s="486">
        <v>3.36</v>
      </c>
    </row>
    <row r="8279" spans="1:5">
      <c r="A8279" s="349">
        <v>20149</v>
      </c>
      <c r="B8279" s="348" t="s">
        <v>6447</v>
      </c>
      <c r="C8279" s="349" t="s">
        <v>65</v>
      </c>
      <c r="D8279" s="483">
        <v>5.05</v>
      </c>
      <c r="E8279" s="483">
        <v>5.05</v>
      </c>
    </row>
    <row r="8280" spans="1:5">
      <c r="A8280" s="484">
        <v>20150</v>
      </c>
      <c r="B8280" s="485" t="s">
        <v>6448</v>
      </c>
      <c r="C8280" s="484" t="s">
        <v>65</v>
      </c>
      <c r="D8280" s="486">
        <v>13.28</v>
      </c>
      <c r="E8280" s="486">
        <v>13.28</v>
      </c>
    </row>
    <row r="8281" spans="1:5">
      <c r="A8281" s="349">
        <v>20157</v>
      </c>
      <c r="B8281" s="348" t="s">
        <v>6449</v>
      </c>
      <c r="C8281" s="349" t="s">
        <v>65</v>
      </c>
      <c r="D8281" s="483">
        <v>22.7</v>
      </c>
      <c r="E8281" s="483">
        <v>22.7</v>
      </c>
    </row>
    <row r="8282" spans="1:5">
      <c r="A8282" s="484">
        <v>20158</v>
      </c>
      <c r="B8282" s="485" t="s">
        <v>6450</v>
      </c>
      <c r="C8282" s="484" t="s">
        <v>65</v>
      </c>
      <c r="D8282" s="486">
        <v>74.47</v>
      </c>
      <c r="E8282" s="486">
        <v>74.47</v>
      </c>
    </row>
    <row r="8283" spans="1:5">
      <c r="A8283" s="349">
        <v>20154</v>
      </c>
      <c r="B8283" s="348" t="s">
        <v>6451</v>
      </c>
      <c r="C8283" s="349" t="s">
        <v>65</v>
      </c>
      <c r="D8283" s="483">
        <v>3.7</v>
      </c>
      <c r="E8283" s="483">
        <v>3.7</v>
      </c>
    </row>
    <row r="8284" spans="1:5">
      <c r="A8284" s="484">
        <v>20155</v>
      </c>
      <c r="B8284" s="485" t="s">
        <v>6452</v>
      </c>
      <c r="C8284" s="484" t="s">
        <v>65</v>
      </c>
      <c r="D8284" s="486">
        <v>5.79</v>
      </c>
      <c r="E8284" s="486">
        <v>5.79</v>
      </c>
    </row>
    <row r="8285" spans="1:5">
      <c r="A8285" s="349">
        <v>20156</v>
      </c>
      <c r="B8285" s="348" t="s">
        <v>6453</v>
      </c>
      <c r="C8285" s="349" t="s">
        <v>65</v>
      </c>
      <c r="D8285" s="483">
        <v>13.76</v>
      </c>
      <c r="E8285" s="483">
        <v>13.76</v>
      </c>
    </row>
    <row r="8286" spans="1:5">
      <c r="A8286" s="484">
        <v>3512</v>
      </c>
      <c r="B8286" s="485" t="s">
        <v>6454</v>
      </c>
      <c r="C8286" s="484" t="s">
        <v>65</v>
      </c>
      <c r="D8286" s="486">
        <v>152.79</v>
      </c>
      <c r="E8286" s="486">
        <v>152.79</v>
      </c>
    </row>
    <row r="8287" spans="1:5">
      <c r="A8287" s="349">
        <v>3499</v>
      </c>
      <c r="B8287" s="348" t="s">
        <v>6455</v>
      </c>
      <c r="C8287" s="349" t="s">
        <v>65</v>
      </c>
      <c r="D8287" s="483">
        <v>0.64</v>
      </c>
      <c r="E8287" s="483">
        <v>0.64</v>
      </c>
    </row>
    <row r="8288" spans="1:5">
      <c r="A8288" s="484">
        <v>3500</v>
      </c>
      <c r="B8288" s="485" t="s">
        <v>6456</v>
      </c>
      <c r="C8288" s="484" t="s">
        <v>65</v>
      </c>
      <c r="D8288" s="486">
        <v>1.1100000000000001</v>
      </c>
      <c r="E8288" s="486">
        <v>1.1100000000000001</v>
      </c>
    </row>
    <row r="8289" spans="1:5">
      <c r="A8289" s="349">
        <v>3501</v>
      </c>
      <c r="B8289" s="348" t="s">
        <v>6457</v>
      </c>
      <c r="C8289" s="349" t="s">
        <v>65</v>
      </c>
      <c r="D8289" s="483">
        <v>2.98</v>
      </c>
      <c r="E8289" s="483">
        <v>2.98</v>
      </c>
    </row>
    <row r="8290" spans="1:5">
      <c r="A8290" s="484">
        <v>3502</v>
      </c>
      <c r="B8290" s="485" t="s">
        <v>6458</v>
      </c>
      <c r="C8290" s="484" t="s">
        <v>65</v>
      </c>
      <c r="D8290" s="486">
        <v>4.33</v>
      </c>
      <c r="E8290" s="486">
        <v>4.33</v>
      </c>
    </row>
    <row r="8291" spans="1:5">
      <c r="A8291" s="349">
        <v>3503</v>
      </c>
      <c r="B8291" s="348" t="s">
        <v>6459</v>
      </c>
      <c r="C8291" s="349" t="s">
        <v>65</v>
      </c>
      <c r="D8291" s="483">
        <v>5.4</v>
      </c>
      <c r="E8291" s="483">
        <v>5.4</v>
      </c>
    </row>
    <row r="8292" spans="1:5">
      <c r="A8292" s="484">
        <v>3477</v>
      </c>
      <c r="B8292" s="485" t="s">
        <v>6460</v>
      </c>
      <c r="C8292" s="484" t="s">
        <v>65</v>
      </c>
      <c r="D8292" s="486">
        <v>19.41</v>
      </c>
      <c r="E8292" s="486">
        <v>19.41</v>
      </c>
    </row>
    <row r="8293" spans="1:5">
      <c r="A8293" s="349">
        <v>3478</v>
      </c>
      <c r="B8293" s="348" t="s">
        <v>6461</v>
      </c>
      <c r="C8293" s="349" t="s">
        <v>65</v>
      </c>
      <c r="D8293" s="483">
        <v>47.03</v>
      </c>
      <c r="E8293" s="483">
        <v>47.03</v>
      </c>
    </row>
    <row r="8294" spans="1:5">
      <c r="A8294" s="484">
        <v>3525</v>
      </c>
      <c r="B8294" s="485" t="s">
        <v>6462</v>
      </c>
      <c r="C8294" s="484" t="s">
        <v>65</v>
      </c>
      <c r="D8294" s="486">
        <v>53.26</v>
      </c>
      <c r="E8294" s="486">
        <v>53.26</v>
      </c>
    </row>
    <row r="8295" spans="1:5">
      <c r="A8295" s="349">
        <v>3511</v>
      </c>
      <c r="B8295" s="348" t="s">
        <v>6463</v>
      </c>
      <c r="C8295" s="349" t="s">
        <v>65</v>
      </c>
      <c r="D8295" s="483">
        <v>63.71</v>
      </c>
      <c r="E8295" s="483">
        <v>63.71</v>
      </c>
    </row>
    <row r="8296" spans="1:5" ht="45">
      <c r="A8296" s="484">
        <v>3104</v>
      </c>
      <c r="B8296" s="485" t="s">
        <v>6464</v>
      </c>
      <c r="C8296" s="484" t="s">
        <v>105</v>
      </c>
      <c r="D8296" s="486">
        <v>409.11</v>
      </c>
      <c r="E8296" s="486">
        <v>409.11</v>
      </c>
    </row>
    <row r="8297" spans="1:5" ht="30">
      <c r="A8297" s="349">
        <v>12032</v>
      </c>
      <c r="B8297" s="348" t="s">
        <v>6466</v>
      </c>
      <c r="C8297" s="349" t="s">
        <v>133</v>
      </c>
      <c r="D8297" s="483">
        <v>37.93</v>
      </c>
      <c r="E8297" s="483">
        <v>37.93</v>
      </c>
    </row>
    <row r="8298" spans="1:5" ht="30">
      <c r="A8298" s="484">
        <v>12030</v>
      </c>
      <c r="B8298" s="485" t="s">
        <v>6467</v>
      </c>
      <c r="C8298" s="484" t="s">
        <v>133</v>
      </c>
      <c r="D8298" s="486">
        <v>35.64</v>
      </c>
      <c r="E8298" s="486">
        <v>35.64</v>
      </c>
    </row>
    <row r="8299" spans="1:5" ht="30">
      <c r="A8299" s="349">
        <v>10908</v>
      </c>
      <c r="B8299" s="348" t="s">
        <v>6469</v>
      </c>
      <c r="C8299" s="349" t="s">
        <v>65</v>
      </c>
      <c r="D8299" s="483">
        <v>11.99</v>
      </c>
      <c r="E8299" s="483">
        <v>11.99</v>
      </c>
    </row>
    <row r="8300" spans="1:5" ht="30">
      <c r="A8300" s="484">
        <v>10909</v>
      </c>
      <c r="B8300" s="485" t="s">
        <v>6470</v>
      </c>
      <c r="C8300" s="484" t="s">
        <v>65</v>
      </c>
      <c r="D8300" s="486">
        <v>14.56</v>
      </c>
      <c r="E8300" s="486">
        <v>14.56</v>
      </c>
    </row>
    <row r="8301" spans="1:5" ht="30">
      <c r="A8301" s="349">
        <v>3669</v>
      </c>
      <c r="B8301" s="348" t="s">
        <v>6471</v>
      </c>
      <c r="C8301" s="349" t="s">
        <v>65</v>
      </c>
      <c r="D8301" s="483">
        <v>8.77</v>
      </c>
      <c r="E8301" s="483">
        <v>8.77</v>
      </c>
    </row>
    <row r="8302" spans="1:5" ht="30">
      <c r="A8302" s="484">
        <v>20138</v>
      </c>
      <c r="B8302" s="485" t="s">
        <v>6472</v>
      </c>
      <c r="C8302" s="484" t="s">
        <v>65</v>
      </c>
      <c r="D8302" s="486">
        <v>71.83</v>
      </c>
      <c r="E8302" s="486">
        <v>71.83</v>
      </c>
    </row>
    <row r="8303" spans="1:5">
      <c r="A8303" s="349">
        <v>20139</v>
      </c>
      <c r="B8303" s="348" t="s">
        <v>6473</v>
      </c>
      <c r="C8303" s="349" t="s">
        <v>65</v>
      </c>
      <c r="D8303" s="483">
        <v>51.75</v>
      </c>
      <c r="E8303" s="483">
        <v>51.75</v>
      </c>
    </row>
    <row r="8304" spans="1:5">
      <c r="A8304" s="484">
        <v>3668</v>
      </c>
      <c r="B8304" s="485" t="s">
        <v>6474</v>
      </c>
      <c r="C8304" s="484" t="s">
        <v>65</v>
      </c>
      <c r="D8304" s="486">
        <v>28.86</v>
      </c>
      <c r="E8304" s="486">
        <v>28.86</v>
      </c>
    </row>
    <row r="8305" spans="1:5">
      <c r="A8305" s="349">
        <v>3656</v>
      </c>
      <c r="B8305" s="348" t="s">
        <v>19582</v>
      </c>
      <c r="C8305" s="349" t="s">
        <v>65</v>
      </c>
      <c r="D8305" s="483">
        <v>14.56</v>
      </c>
      <c r="E8305" s="483">
        <v>14.56</v>
      </c>
    </row>
    <row r="8306" spans="1:5">
      <c r="A8306" s="484">
        <v>10911</v>
      </c>
      <c r="B8306" s="485" t="s">
        <v>6476</v>
      </c>
      <c r="C8306" s="484" t="s">
        <v>65</v>
      </c>
      <c r="D8306" s="486">
        <v>13.8</v>
      </c>
      <c r="E8306" s="486">
        <v>13.8</v>
      </c>
    </row>
    <row r="8307" spans="1:5">
      <c r="A8307" s="349">
        <v>3654</v>
      </c>
      <c r="B8307" s="348" t="s">
        <v>6478</v>
      </c>
      <c r="C8307" s="349" t="s">
        <v>65</v>
      </c>
      <c r="D8307" s="483">
        <v>9.06</v>
      </c>
      <c r="E8307" s="483">
        <v>9.06</v>
      </c>
    </row>
    <row r="8308" spans="1:5">
      <c r="A8308" s="484">
        <v>3663</v>
      </c>
      <c r="B8308" s="485" t="s">
        <v>6477</v>
      </c>
      <c r="C8308" s="484" t="s">
        <v>65</v>
      </c>
      <c r="D8308" s="486">
        <v>18.25</v>
      </c>
      <c r="E8308" s="486">
        <v>18.25</v>
      </c>
    </row>
    <row r="8309" spans="1:5">
      <c r="A8309" s="349">
        <v>3664</v>
      </c>
      <c r="B8309" s="348" t="s">
        <v>6479</v>
      </c>
      <c r="C8309" s="349" t="s">
        <v>65</v>
      </c>
      <c r="D8309" s="483">
        <v>10.45</v>
      </c>
      <c r="E8309" s="483">
        <v>10.45</v>
      </c>
    </row>
    <row r="8310" spans="1:5">
      <c r="A8310" s="484">
        <v>3655</v>
      </c>
      <c r="B8310" s="485" t="s">
        <v>6480</v>
      </c>
      <c r="C8310" s="484" t="s">
        <v>65</v>
      </c>
      <c r="D8310" s="486">
        <v>26.99</v>
      </c>
      <c r="E8310" s="486">
        <v>26.99</v>
      </c>
    </row>
    <row r="8311" spans="1:5">
      <c r="A8311" s="349">
        <v>3657</v>
      </c>
      <c r="B8311" s="348" t="s">
        <v>6481</v>
      </c>
      <c r="C8311" s="349" t="s">
        <v>65</v>
      </c>
      <c r="D8311" s="483">
        <v>19.87</v>
      </c>
      <c r="E8311" s="483">
        <v>19.87</v>
      </c>
    </row>
    <row r="8312" spans="1:5">
      <c r="A8312" s="484">
        <v>3665</v>
      </c>
      <c r="B8312" s="485" t="s">
        <v>6482</v>
      </c>
      <c r="C8312" s="484" t="s">
        <v>65</v>
      </c>
      <c r="D8312" s="486">
        <v>40.61</v>
      </c>
      <c r="E8312" s="486">
        <v>40.61</v>
      </c>
    </row>
    <row r="8313" spans="1:5" ht="30">
      <c r="A8313" s="349">
        <v>12625</v>
      </c>
      <c r="B8313" s="348" t="s">
        <v>6483</v>
      </c>
      <c r="C8313" s="349" t="s">
        <v>65</v>
      </c>
      <c r="D8313" s="483">
        <v>6.99</v>
      </c>
      <c r="E8313" s="483">
        <v>6.99</v>
      </c>
    </row>
    <row r="8314" spans="1:5">
      <c r="A8314" s="484">
        <v>20136</v>
      </c>
      <c r="B8314" s="485" t="s">
        <v>6484</v>
      </c>
      <c r="C8314" s="484" t="s">
        <v>65</v>
      </c>
      <c r="D8314" s="486">
        <v>107.19</v>
      </c>
      <c r="E8314" s="486">
        <v>107.19</v>
      </c>
    </row>
    <row r="8315" spans="1:5">
      <c r="A8315" s="349">
        <v>20144</v>
      </c>
      <c r="B8315" s="348" t="s">
        <v>6485</v>
      </c>
      <c r="C8315" s="349" t="s">
        <v>65</v>
      </c>
      <c r="D8315" s="483">
        <v>41.71</v>
      </c>
      <c r="E8315" s="483">
        <v>41.71</v>
      </c>
    </row>
    <row r="8316" spans="1:5">
      <c r="A8316" s="484">
        <v>20143</v>
      </c>
      <c r="B8316" s="485" t="s">
        <v>6486</v>
      </c>
      <c r="C8316" s="484" t="s">
        <v>65</v>
      </c>
      <c r="D8316" s="486">
        <v>40.14</v>
      </c>
      <c r="E8316" s="486">
        <v>40.14</v>
      </c>
    </row>
    <row r="8317" spans="1:5">
      <c r="A8317" s="349">
        <v>20145</v>
      </c>
      <c r="B8317" s="348" t="s">
        <v>6487</v>
      </c>
      <c r="C8317" s="349" t="s">
        <v>65</v>
      </c>
      <c r="D8317" s="483">
        <v>96.18</v>
      </c>
      <c r="E8317" s="483">
        <v>96.18</v>
      </c>
    </row>
    <row r="8318" spans="1:5">
      <c r="A8318" s="484">
        <v>20146</v>
      </c>
      <c r="B8318" s="485" t="s">
        <v>6488</v>
      </c>
      <c r="C8318" s="484" t="s">
        <v>65</v>
      </c>
      <c r="D8318" s="486">
        <v>116.97</v>
      </c>
      <c r="E8318" s="486">
        <v>116.97</v>
      </c>
    </row>
    <row r="8319" spans="1:5">
      <c r="A8319" s="349">
        <v>20140</v>
      </c>
      <c r="B8319" s="348" t="s">
        <v>6489</v>
      </c>
      <c r="C8319" s="349" t="s">
        <v>65</v>
      </c>
      <c r="D8319" s="483">
        <v>6.92</v>
      </c>
      <c r="E8319" s="483">
        <v>6.92</v>
      </c>
    </row>
    <row r="8320" spans="1:5">
      <c r="A8320" s="484">
        <v>20141</v>
      </c>
      <c r="B8320" s="485" t="s">
        <v>6490</v>
      </c>
      <c r="C8320" s="484" t="s">
        <v>65</v>
      </c>
      <c r="D8320" s="486">
        <v>10.41</v>
      </c>
      <c r="E8320" s="486">
        <v>10.41</v>
      </c>
    </row>
    <row r="8321" spans="1:5">
      <c r="A8321" s="349">
        <v>20142</v>
      </c>
      <c r="B8321" s="348" t="s">
        <v>6491</v>
      </c>
      <c r="C8321" s="349" t="s">
        <v>65</v>
      </c>
      <c r="D8321" s="483">
        <v>26.45</v>
      </c>
      <c r="E8321" s="483">
        <v>26.45</v>
      </c>
    </row>
    <row r="8322" spans="1:5">
      <c r="A8322" s="484">
        <v>3659</v>
      </c>
      <c r="B8322" s="485" t="s">
        <v>6494</v>
      </c>
      <c r="C8322" s="484" t="s">
        <v>65</v>
      </c>
      <c r="D8322" s="486">
        <v>12.24</v>
      </c>
      <c r="E8322" s="486">
        <v>12.24</v>
      </c>
    </row>
    <row r="8323" spans="1:5">
      <c r="A8323" s="349">
        <v>3660</v>
      </c>
      <c r="B8323" s="348" t="s">
        <v>6495</v>
      </c>
      <c r="C8323" s="349" t="s">
        <v>65</v>
      </c>
      <c r="D8323" s="483">
        <v>16.71</v>
      </c>
      <c r="E8323" s="483">
        <v>16.71</v>
      </c>
    </row>
    <row r="8324" spans="1:5">
      <c r="A8324" s="484">
        <v>3662</v>
      </c>
      <c r="B8324" s="485" t="s">
        <v>6496</v>
      </c>
      <c r="C8324" s="484" t="s">
        <v>65</v>
      </c>
      <c r="D8324" s="486">
        <v>6.33</v>
      </c>
      <c r="E8324" s="486">
        <v>6.33</v>
      </c>
    </row>
    <row r="8325" spans="1:5">
      <c r="A8325" s="349">
        <v>3661</v>
      </c>
      <c r="B8325" s="348" t="s">
        <v>6497</v>
      </c>
      <c r="C8325" s="349" t="s">
        <v>65</v>
      </c>
      <c r="D8325" s="483">
        <v>9.4</v>
      </c>
      <c r="E8325" s="483">
        <v>9.4</v>
      </c>
    </row>
    <row r="8326" spans="1:5">
      <c r="A8326" s="484">
        <v>3658</v>
      </c>
      <c r="B8326" s="485" t="s">
        <v>6498</v>
      </c>
      <c r="C8326" s="484" t="s">
        <v>65</v>
      </c>
      <c r="D8326" s="486">
        <v>11.99</v>
      </c>
      <c r="E8326" s="486">
        <v>11.99</v>
      </c>
    </row>
    <row r="8327" spans="1:5">
      <c r="A8327" s="349">
        <v>3670</v>
      </c>
      <c r="B8327" s="348" t="s">
        <v>6492</v>
      </c>
      <c r="C8327" s="349" t="s">
        <v>65</v>
      </c>
      <c r="D8327" s="483">
        <v>16.95</v>
      </c>
      <c r="E8327" s="483">
        <v>16.95</v>
      </c>
    </row>
    <row r="8328" spans="1:5">
      <c r="A8328" s="484">
        <v>3666</v>
      </c>
      <c r="B8328" s="485" t="s">
        <v>6493</v>
      </c>
      <c r="C8328" s="484" t="s">
        <v>65</v>
      </c>
      <c r="D8328" s="486">
        <v>2.65</v>
      </c>
      <c r="E8328" s="486">
        <v>2.65</v>
      </c>
    </row>
    <row r="8329" spans="1:5">
      <c r="A8329" s="349">
        <v>14157</v>
      </c>
      <c r="B8329" s="348" t="s">
        <v>6468</v>
      </c>
      <c r="C8329" s="349" t="s">
        <v>65</v>
      </c>
      <c r="D8329" s="483">
        <v>1.45</v>
      </c>
      <c r="E8329" s="483">
        <v>1.45</v>
      </c>
    </row>
    <row r="8330" spans="1:5">
      <c r="A8330" s="484">
        <v>10865</v>
      </c>
      <c r="B8330" s="485" t="s">
        <v>6518</v>
      </c>
      <c r="C8330" s="484" t="s">
        <v>65</v>
      </c>
      <c r="D8330" s="486">
        <v>11.49</v>
      </c>
      <c r="E8330" s="486">
        <v>11.49</v>
      </c>
    </row>
    <row r="8331" spans="1:5">
      <c r="A8331" s="349">
        <v>3653</v>
      </c>
      <c r="B8331" s="348" t="s">
        <v>6519</v>
      </c>
      <c r="C8331" s="349" t="s">
        <v>65</v>
      </c>
      <c r="D8331" s="483">
        <v>23.2</v>
      </c>
      <c r="E8331" s="483">
        <v>23.2</v>
      </c>
    </row>
    <row r="8332" spans="1:5">
      <c r="A8332" s="484">
        <v>3649</v>
      </c>
      <c r="B8332" s="485" t="s">
        <v>6520</v>
      </c>
      <c r="C8332" s="484" t="s">
        <v>65</v>
      </c>
      <c r="D8332" s="486">
        <v>59.41</v>
      </c>
      <c r="E8332" s="486">
        <v>59.41</v>
      </c>
    </row>
    <row r="8333" spans="1:5">
      <c r="A8333" s="349">
        <v>3651</v>
      </c>
      <c r="B8333" s="348" t="s">
        <v>6521</v>
      </c>
      <c r="C8333" s="349" t="s">
        <v>65</v>
      </c>
      <c r="D8333" s="483">
        <v>89.46</v>
      </c>
      <c r="E8333" s="483">
        <v>89.46</v>
      </c>
    </row>
    <row r="8334" spans="1:5">
      <c r="A8334" s="484">
        <v>3650</v>
      </c>
      <c r="B8334" s="485" t="s">
        <v>6522</v>
      </c>
      <c r="C8334" s="484" t="s">
        <v>65</v>
      </c>
      <c r="D8334" s="486">
        <v>124.62</v>
      </c>
      <c r="E8334" s="486">
        <v>124.62</v>
      </c>
    </row>
    <row r="8335" spans="1:5">
      <c r="A8335" s="349">
        <v>3645</v>
      </c>
      <c r="B8335" s="348" t="s">
        <v>11393</v>
      </c>
      <c r="C8335" s="349" t="s">
        <v>65</v>
      </c>
      <c r="D8335" s="483">
        <v>271.86</v>
      </c>
      <c r="E8335" s="483">
        <v>271.86</v>
      </c>
    </row>
    <row r="8336" spans="1:5">
      <c r="A8336" s="484">
        <v>3646</v>
      </c>
      <c r="B8336" s="485" t="s">
        <v>6523</v>
      </c>
      <c r="C8336" s="484" t="s">
        <v>65</v>
      </c>
      <c r="D8336" s="486">
        <v>442.62</v>
      </c>
      <c r="E8336" s="486">
        <v>442.62</v>
      </c>
    </row>
    <row r="8337" spans="1:5">
      <c r="A8337" s="349">
        <v>3647</v>
      </c>
      <c r="B8337" s="348" t="s">
        <v>6524</v>
      </c>
      <c r="C8337" s="349" t="s">
        <v>65</v>
      </c>
      <c r="D8337" s="483">
        <v>508.25</v>
      </c>
      <c r="E8337" s="483">
        <v>508.25</v>
      </c>
    </row>
    <row r="8338" spans="1:5">
      <c r="A8338" s="484">
        <v>39875</v>
      </c>
      <c r="B8338" s="485" t="s">
        <v>6539</v>
      </c>
      <c r="C8338" s="484" t="s">
        <v>65</v>
      </c>
      <c r="D8338" s="486">
        <v>305.8</v>
      </c>
      <c r="E8338" s="486">
        <v>305.8</v>
      </c>
    </row>
    <row r="8339" spans="1:5">
      <c r="A8339" s="349">
        <v>39876</v>
      </c>
      <c r="B8339" s="348" t="s">
        <v>6540</v>
      </c>
      <c r="C8339" s="349" t="s">
        <v>65</v>
      </c>
      <c r="D8339" s="483">
        <v>382.87</v>
      </c>
      <c r="E8339" s="483">
        <v>382.87</v>
      </c>
    </row>
    <row r="8340" spans="1:5">
      <c r="A8340" s="484">
        <v>39877</v>
      </c>
      <c r="B8340" s="485" t="s">
        <v>6541</v>
      </c>
      <c r="C8340" s="484" t="s">
        <v>65</v>
      </c>
      <c r="D8340" s="486">
        <v>531.02</v>
      </c>
      <c r="E8340" s="486">
        <v>531.02</v>
      </c>
    </row>
    <row r="8341" spans="1:5">
      <c r="A8341" s="349">
        <v>39878</v>
      </c>
      <c r="B8341" s="348" t="s">
        <v>6542</v>
      </c>
      <c r="C8341" s="349" t="s">
        <v>65</v>
      </c>
      <c r="D8341" s="483">
        <v>701.39</v>
      </c>
      <c r="E8341" s="483">
        <v>701.39</v>
      </c>
    </row>
    <row r="8342" spans="1:5">
      <c r="A8342" s="484">
        <v>39872</v>
      </c>
      <c r="B8342" s="485" t="s">
        <v>6543</v>
      </c>
      <c r="C8342" s="484" t="s">
        <v>65</v>
      </c>
      <c r="D8342" s="486">
        <v>209.71</v>
      </c>
      <c r="E8342" s="486">
        <v>209.71</v>
      </c>
    </row>
    <row r="8343" spans="1:5">
      <c r="A8343" s="349">
        <v>39873</v>
      </c>
      <c r="B8343" s="348" t="s">
        <v>6544</v>
      </c>
      <c r="C8343" s="349" t="s">
        <v>65</v>
      </c>
      <c r="D8343" s="483">
        <v>243.25</v>
      </c>
      <c r="E8343" s="483">
        <v>243.25</v>
      </c>
    </row>
    <row r="8344" spans="1:5">
      <c r="A8344" s="484">
        <v>39874</v>
      </c>
      <c r="B8344" s="485" t="s">
        <v>6545</v>
      </c>
      <c r="C8344" s="484" t="s">
        <v>65</v>
      </c>
      <c r="D8344" s="486">
        <v>267.18</v>
      </c>
      <c r="E8344" s="486">
        <v>267.18</v>
      </c>
    </row>
    <row r="8345" spans="1:5">
      <c r="A8345" s="349">
        <v>3674</v>
      </c>
      <c r="B8345" s="348" t="s">
        <v>6558</v>
      </c>
      <c r="C8345" s="349" t="s">
        <v>71</v>
      </c>
      <c r="D8345" s="483">
        <v>83.87</v>
      </c>
      <c r="E8345" s="483">
        <v>83.87</v>
      </c>
    </row>
    <row r="8346" spans="1:5">
      <c r="A8346" s="484">
        <v>3681</v>
      </c>
      <c r="B8346" s="485" t="s">
        <v>6559</v>
      </c>
      <c r="C8346" s="484" t="s">
        <v>71</v>
      </c>
      <c r="D8346" s="486">
        <v>124.79</v>
      </c>
      <c r="E8346" s="486">
        <v>124.79</v>
      </c>
    </row>
    <row r="8347" spans="1:5">
      <c r="A8347" s="349">
        <v>3676</v>
      </c>
      <c r="B8347" s="348" t="s">
        <v>6560</v>
      </c>
      <c r="C8347" s="349" t="s">
        <v>71</v>
      </c>
      <c r="D8347" s="483">
        <v>469.64</v>
      </c>
      <c r="E8347" s="483">
        <v>469.64</v>
      </c>
    </row>
    <row r="8348" spans="1:5">
      <c r="A8348" s="484">
        <v>3679</v>
      </c>
      <c r="B8348" s="485" t="s">
        <v>6561</v>
      </c>
      <c r="C8348" s="484" t="s">
        <v>71</v>
      </c>
      <c r="D8348" s="486">
        <v>388.54</v>
      </c>
      <c r="E8348" s="486">
        <v>388.54</v>
      </c>
    </row>
    <row r="8349" spans="1:5">
      <c r="A8349" s="349">
        <v>3672</v>
      </c>
      <c r="B8349" s="348" t="s">
        <v>6562</v>
      </c>
      <c r="C8349" s="349" t="s">
        <v>71</v>
      </c>
      <c r="D8349" s="483">
        <v>1.32</v>
      </c>
      <c r="E8349" s="483">
        <v>1.32</v>
      </c>
    </row>
    <row r="8350" spans="1:5">
      <c r="A8350" s="484">
        <v>3671</v>
      </c>
      <c r="B8350" s="485" t="s">
        <v>6563</v>
      </c>
      <c r="C8350" s="484" t="s">
        <v>71</v>
      </c>
      <c r="D8350" s="486">
        <v>1.25</v>
      </c>
      <c r="E8350" s="486">
        <v>1.25</v>
      </c>
    </row>
    <row r="8351" spans="1:5">
      <c r="A8351" s="349">
        <v>3673</v>
      </c>
      <c r="B8351" s="348" t="s">
        <v>6564</v>
      </c>
      <c r="C8351" s="349" t="s">
        <v>71</v>
      </c>
      <c r="D8351" s="483">
        <v>1.96</v>
      </c>
      <c r="E8351" s="483">
        <v>1.96</v>
      </c>
    </row>
    <row r="8352" spans="1:5" ht="30">
      <c r="A8352" s="484">
        <v>38394</v>
      </c>
      <c r="B8352" s="485" t="s">
        <v>6565</v>
      </c>
      <c r="C8352" s="484" t="s">
        <v>65</v>
      </c>
      <c r="D8352" s="486">
        <v>211.75</v>
      </c>
      <c r="E8352" s="486">
        <v>211.75</v>
      </c>
    </row>
    <row r="8353" spans="1:5">
      <c r="A8353" s="349">
        <v>3729</v>
      </c>
      <c r="B8353" s="348" t="s">
        <v>6566</v>
      </c>
      <c r="C8353" s="349" t="s">
        <v>65</v>
      </c>
      <c r="D8353" s="483">
        <v>52.74</v>
      </c>
      <c r="E8353" s="483">
        <v>52.74</v>
      </c>
    </row>
    <row r="8354" spans="1:5">
      <c r="A8354" s="484">
        <v>63</v>
      </c>
      <c r="B8354" s="485" t="s">
        <v>193</v>
      </c>
      <c r="C8354" s="484" t="s">
        <v>65</v>
      </c>
      <c r="D8354" s="486">
        <v>49.95</v>
      </c>
      <c r="E8354" s="486">
        <v>49.95</v>
      </c>
    </row>
    <row r="8355" spans="1:5">
      <c r="A8355" s="349">
        <v>39398</v>
      </c>
      <c r="B8355" s="348" t="s">
        <v>6568</v>
      </c>
      <c r="C8355" s="349" t="s">
        <v>65</v>
      </c>
      <c r="D8355" s="483">
        <v>41.04</v>
      </c>
      <c r="E8355" s="483">
        <v>41.04</v>
      </c>
    </row>
    <row r="8356" spans="1:5" ht="30">
      <c r="A8356" s="484">
        <v>13343</v>
      </c>
      <c r="B8356" s="485" t="s">
        <v>6569</v>
      </c>
      <c r="C8356" s="484" t="s">
        <v>65</v>
      </c>
      <c r="D8356" s="486">
        <v>19.16</v>
      </c>
      <c r="E8356" s="486">
        <v>19.16</v>
      </c>
    </row>
    <row r="8357" spans="1:5" ht="30">
      <c r="A8357" s="349">
        <v>12118</v>
      </c>
      <c r="B8357" s="348" t="s">
        <v>11394</v>
      </c>
      <c r="C8357" s="349" t="s">
        <v>65</v>
      </c>
      <c r="D8357" s="483">
        <v>17.3</v>
      </c>
      <c r="E8357" s="483">
        <v>17.3</v>
      </c>
    </row>
    <row r="8358" spans="1:5" ht="45">
      <c r="A8358" s="484">
        <v>39482</v>
      </c>
      <c r="B8358" s="485" t="s">
        <v>11395</v>
      </c>
      <c r="C8358" s="484" t="s">
        <v>65</v>
      </c>
      <c r="D8358" s="486">
        <v>312.5</v>
      </c>
      <c r="E8358" s="486">
        <v>312.5</v>
      </c>
    </row>
    <row r="8359" spans="1:5" ht="45">
      <c r="A8359" s="349">
        <v>39486</v>
      </c>
      <c r="B8359" s="348" t="s">
        <v>11396</v>
      </c>
      <c r="C8359" s="349" t="s">
        <v>65</v>
      </c>
      <c r="D8359" s="483">
        <v>275.32</v>
      </c>
      <c r="E8359" s="483">
        <v>275.32</v>
      </c>
    </row>
    <row r="8360" spans="1:5" ht="45">
      <c r="A8360" s="484">
        <v>39483</v>
      </c>
      <c r="B8360" s="485" t="s">
        <v>11397</v>
      </c>
      <c r="C8360" s="484" t="s">
        <v>65</v>
      </c>
      <c r="D8360" s="486">
        <v>298.05</v>
      </c>
      <c r="E8360" s="486">
        <v>298.05</v>
      </c>
    </row>
    <row r="8361" spans="1:5" ht="45">
      <c r="A8361" s="349">
        <v>39487</v>
      </c>
      <c r="B8361" s="348" t="s">
        <v>11398</v>
      </c>
      <c r="C8361" s="349" t="s">
        <v>65</v>
      </c>
      <c r="D8361" s="483">
        <v>278.16000000000003</v>
      </c>
      <c r="E8361" s="483">
        <v>278.16000000000003</v>
      </c>
    </row>
    <row r="8362" spans="1:5" ht="45">
      <c r="A8362" s="484">
        <v>39484</v>
      </c>
      <c r="B8362" s="485" t="s">
        <v>11399</v>
      </c>
      <c r="C8362" s="484" t="s">
        <v>65</v>
      </c>
      <c r="D8362" s="486">
        <v>300.89</v>
      </c>
      <c r="E8362" s="486">
        <v>300.89</v>
      </c>
    </row>
    <row r="8363" spans="1:5" ht="45">
      <c r="A8363" s="349">
        <v>39488</v>
      </c>
      <c r="B8363" s="348" t="s">
        <v>11400</v>
      </c>
      <c r="C8363" s="349" t="s">
        <v>65</v>
      </c>
      <c r="D8363" s="483">
        <v>281</v>
      </c>
      <c r="E8363" s="483">
        <v>281</v>
      </c>
    </row>
    <row r="8364" spans="1:5" ht="45">
      <c r="A8364" s="484">
        <v>39485</v>
      </c>
      <c r="B8364" s="485" t="s">
        <v>11401</v>
      </c>
      <c r="C8364" s="484" t="s">
        <v>65</v>
      </c>
      <c r="D8364" s="486">
        <v>315.11</v>
      </c>
      <c r="E8364" s="486">
        <v>315.11</v>
      </c>
    </row>
    <row r="8365" spans="1:5" ht="45">
      <c r="A8365" s="349">
        <v>39489</v>
      </c>
      <c r="B8365" s="348" t="s">
        <v>11402</v>
      </c>
      <c r="C8365" s="349" t="s">
        <v>65</v>
      </c>
      <c r="D8365" s="483">
        <v>295.22000000000003</v>
      </c>
      <c r="E8365" s="483">
        <v>295.22000000000003</v>
      </c>
    </row>
    <row r="8366" spans="1:5" ht="45">
      <c r="A8366" s="484">
        <v>39494</v>
      </c>
      <c r="B8366" s="485" t="s">
        <v>11403</v>
      </c>
      <c r="C8366" s="484" t="s">
        <v>65</v>
      </c>
      <c r="D8366" s="486">
        <v>301.13</v>
      </c>
      <c r="E8366" s="486">
        <v>301.13</v>
      </c>
    </row>
    <row r="8367" spans="1:5" ht="45">
      <c r="A8367" s="349">
        <v>39490</v>
      </c>
      <c r="B8367" s="348" t="s">
        <v>11404</v>
      </c>
      <c r="C8367" s="349" t="s">
        <v>65</v>
      </c>
      <c r="D8367" s="483">
        <v>341.36</v>
      </c>
      <c r="E8367" s="483">
        <v>341.36</v>
      </c>
    </row>
    <row r="8368" spans="1:5" ht="45">
      <c r="A8368" s="484">
        <v>39495</v>
      </c>
      <c r="B8368" s="485" t="s">
        <v>11405</v>
      </c>
      <c r="C8368" s="484" t="s">
        <v>65</v>
      </c>
      <c r="D8368" s="486">
        <v>312.5</v>
      </c>
      <c r="E8368" s="486">
        <v>312.5</v>
      </c>
    </row>
    <row r="8369" spans="1:5" ht="45">
      <c r="A8369" s="349">
        <v>39491</v>
      </c>
      <c r="B8369" s="348" t="s">
        <v>11406</v>
      </c>
      <c r="C8369" s="349" t="s">
        <v>65</v>
      </c>
      <c r="D8369" s="483">
        <v>352.27</v>
      </c>
      <c r="E8369" s="483">
        <v>352.27</v>
      </c>
    </row>
    <row r="8370" spans="1:5" ht="45">
      <c r="A8370" s="484">
        <v>39496</v>
      </c>
      <c r="B8370" s="485" t="s">
        <v>11407</v>
      </c>
      <c r="C8370" s="484" t="s">
        <v>65</v>
      </c>
      <c r="D8370" s="486">
        <v>323.75</v>
      </c>
      <c r="E8370" s="486">
        <v>323.75</v>
      </c>
    </row>
    <row r="8371" spans="1:5" ht="45">
      <c r="A8371" s="349">
        <v>39492</v>
      </c>
      <c r="B8371" s="348" t="s">
        <v>11408</v>
      </c>
      <c r="C8371" s="349" t="s">
        <v>65</v>
      </c>
      <c r="D8371" s="483">
        <v>354.43</v>
      </c>
      <c r="E8371" s="483">
        <v>354.43</v>
      </c>
    </row>
    <row r="8372" spans="1:5" ht="45">
      <c r="A8372" s="484">
        <v>39497</v>
      </c>
      <c r="B8372" s="485" t="s">
        <v>19583</v>
      </c>
      <c r="C8372" s="484" t="s">
        <v>65</v>
      </c>
      <c r="D8372" s="486">
        <v>335.11</v>
      </c>
      <c r="E8372" s="486">
        <v>335.11</v>
      </c>
    </row>
    <row r="8373" spans="1:5" ht="45">
      <c r="A8373" s="349">
        <v>39493</v>
      </c>
      <c r="B8373" s="348" t="s">
        <v>11410</v>
      </c>
      <c r="C8373" s="349" t="s">
        <v>65</v>
      </c>
      <c r="D8373" s="483">
        <v>374.99</v>
      </c>
      <c r="E8373" s="483">
        <v>374.99</v>
      </c>
    </row>
    <row r="8374" spans="1:5" ht="45">
      <c r="A8374" s="484">
        <v>39500</v>
      </c>
      <c r="B8374" s="485" t="s">
        <v>11411</v>
      </c>
      <c r="C8374" s="484" t="s">
        <v>65</v>
      </c>
      <c r="D8374" s="486">
        <v>376.22</v>
      </c>
      <c r="E8374" s="486">
        <v>376.22</v>
      </c>
    </row>
    <row r="8375" spans="1:5" ht="45">
      <c r="A8375" s="349">
        <v>39498</v>
      </c>
      <c r="B8375" s="348" t="s">
        <v>11412</v>
      </c>
      <c r="C8375" s="349" t="s">
        <v>65</v>
      </c>
      <c r="D8375" s="483">
        <v>418.35</v>
      </c>
      <c r="E8375" s="483">
        <v>418.35</v>
      </c>
    </row>
    <row r="8376" spans="1:5" ht="45">
      <c r="A8376" s="484">
        <v>39501</v>
      </c>
      <c r="B8376" s="485" t="s">
        <v>11413</v>
      </c>
      <c r="C8376" s="484" t="s">
        <v>65</v>
      </c>
      <c r="D8376" s="486">
        <v>386.02</v>
      </c>
      <c r="E8376" s="486">
        <v>386.02</v>
      </c>
    </row>
    <row r="8377" spans="1:5" ht="45">
      <c r="A8377" s="349">
        <v>39499</v>
      </c>
      <c r="B8377" s="348" t="s">
        <v>11414</v>
      </c>
      <c r="C8377" s="349" t="s">
        <v>65</v>
      </c>
      <c r="D8377" s="483">
        <v>453.83</v>
      </c>
      <c r="E8377" s="483">
        <v>453.83</v>
      </c>
    </row>
    <row r="8378" spans="1:5">
      <c r="A8378" s="484">
        <v>3731</v>
      </c>
      <c r="B8378" s="485" t="s">
        <v>6611</v>
      </c>
      <c r="C8378" s="484" t="s">
        <v>256</v>
      </c>
      <c r="D8378" s="486">
        <v>46.5</v>
      </c>
      <c r="E8378" s="486">
        <v>46.5</v>
      </c>
    </row>
    <row r="8379" spans="1:5" ht="30">
      <c r="A8379" s="349">
        <v>3733</v>
      </c>
      <c r="B8379" s="348" t="s">
        <v>6612</v>
      </c>
      <c r="C8379" s="349" t="s">
        <v>256</v>
      </c>
      <c r="D8379" s="483">
        <v>50.09</v>
      </c>
      <c r="E8379" s="483">
        <v>50.09</v>
      </c>
    </row>
    <row r="8380" spans="1:5">
      <c r="A8380" s="484">
        <v>38137</v>
      </c>
      <c r="B8380" s="485" t="s">
        <v>6613</v>
      </c>
      <c r="C8380" s="484" t="s">
        <v>256</v>
      </c>
      <c r="D8380" s="486">
        <v>46.77</v>
      </c>
      <c r="E8380" s="486">
        <v>46.77</v>
      </c>
    </row>
    <row r="8381" spans="1:5">
      <c r="A8381" s="349">
        <v>38135</v>
      </c>
      <c r="B8381" s="348" t="s">
        <v>11415</v>
      </c>
      <c r="C8381" s="349" t="s">
        <v>256</v>
      </c>
      <c r="D8381" s="483">
        <v>59.29</v>
      </c>
      <c r="E8381" s="483">
        <v>59.29</v>
      </c>
    </row>
    <row r="8382" spans="1:5">
      <c r="A8382" s="484">
        <v>38138</v>
      </c>
      <c r="B8382" s="485" t="s">
        <v>6615</v>
      </c>
      <c r="C8382" s="484" t="s">
        <v>256</v>
      </c>
      <c r="D8382" s="486">
        <v>45.93</v>
      </c>
      <c r="E8382" s="486">
        <v>45.93</v>
      </c>
    </row>
    <row r="8383" spans="1:5" ht="30">
      <c r="A8383" s="349">
        <v>3736</v>
      </c>
      <c r="B8383" s="348" t="s">
        <v>6621</v>
      </c>
      <c r="C8383" s="349" t="s">
        <v>256</v>
      </c>
      <c r="D8383" s="483">
        <v>23</v>
      </c>
      <c r="E8383" s="483">
        <v>23</v>
      </c>
    </row>
    <row r="8384" spans="1:5" ht="30">
      <c r="A8384" s="484">
        <v>3741</v>
      </c>
      <c r="B8384" s="485" t="s">
        <v>6622</v>
      </c>
      <c r="C8384" s="484" t="s">
        <v>256</v>
      </c>
      <c r="D8384" s="486">
        <v>23.97</v>
      </c>
      <c r="E8384" s="486">
        <v>23.97</v>
      </c>
    </row>
    <row r="8385" spans="1:5" ht="30">
      <c r="A8385" s="349">
        <v>3745</v>
      </c>
      <c r="B8385" s="348" t="s">
        <v>6620</v>
      </c>
      <c r="C8385" s="349" t="s">
        <v>256</v>
      </c>
      <c r="D8385" s="483">
        <v>25.85</v>
      </c>
      <c r="E8385" s="483">
        <v>25.85</v>
      </c>
    </row>
    <row r="8386" spans="1:5" ht="30">
      <c r="A8386" s="484">
        <v>3743</v>
      </c>
      <c r="B8386" s="485" t="s">
        <v>6624</v>
      </c>
      <c r="C8386" s="484" t="s">
        <v>256</v>
      </c>
      <c r="D8386" s="486">
        <v>23.89</v>
      </c>
      <c r="E8386" s="486">
        <v>23.89</v>
      </c>
    </row>
    <row r="8387" spans="1:5" ht="30">
      <c r="A8387" s="349">
        <v>3744</v>
      </c>
      <c r="B8387" s="348" t="s">
        <v>6625</v>
      </c>
      <c r="C8387" s="349" t="s">
        <v>256</v>
      </c>
      <c r="D8387" s="483">
        <v>26.29</v>
      </c>
      <c r="E8387" s="483">
        <v>26.29</v>
      </c>
    </row>
    <row r="8388" spans="1:5" ht="30">
      <c r="A8388" s="484">
        <v>3739</v>
      </c>
      <c r="B8388" s="485" t="s">
        <v>6626</v>
      </c>
      <c r="C8388" s="484" t="s">
        <v>256</v>
      </c>
      <c r="D8388" s="486">
        <v>27.63</v>
      </c>
      <c r="E8388" s="486">
        <v>27.63</v>
      </c>
    </row>
    <row r="8389" spans="1:5" ht="30">
      <c r="A8389" s="349">
        <v>3737</v>
      </c>
      <c r="B8389" s="348" t="s">
        <v>6627</v>
      </c>
      <c r="C8389" s="349" t="s">
        <v>256</v>
      </c>
      <c r="D8389" s="483">
        <v>28.97</v>
      </c>
      <c r="E8389" s="483">
        <v>28.97</v>
      </c>
    </row>
    <row r="8390" spans="1:5" ht="30">
      <c r="A8390" s="484">
        <v>3738</v>
      </c>
      <c r="B8390" s="485" t="s">
        <v>6628</v>
      </c>
      <c r="C8390" s="484" t="s">
        <v>256</v>
      </c>
      <c r="D8390" s="486">
        <v>33.43</v>
      </c>
      <c r="E8390" s="486">
        <v>33.43</v>
      </c>
    </row>
    <row r="8391" spans="1:5" ht="30">
      <c r="A8391" s="349">
        <v>3747</v>
      </c>
      <c r="B8391" s="348" t="s">
        <v>6623</v>
      </c>
      <c r="C8391" s="349" t="s">
        <v>256</v>
      </c>
      <c r="D8391" s="483">
        <v>26.29</v>
      </c>
      <c r="E8391" s="483">
        <v>26.29</v>
      </c>
    </row>
    <row r="8392" spans="1:5" ht="30">
      <c r="A8392" s="484">
        <v>11649</v>
      </c>
      <c r="B8392" s="485" t="s">
        <v>6629</v>
      </c>
      <c r="C8392" s="484" t="s">
        <v>65</v>
      </c>
      <c r="D8392" s="486">
        <v>190.77</v>
      </c>
      <c r="E8392" s="486">
        <v>190.77</v>
      </c>
    </row>
    <row r="8393" spans="1:5" ht="30">
      <c r="A8393" s="349">
        <v>11650</v>
      </c>
      <c r="B8393" s="348" t="s">
        <v>6630</v>
      </c>
      <c r="C8393" s="349" t="s">
        <v>65</v>
      </c>
      <c r="D8393" s="483">
        <v>325.16000000000003</v>
      </c>
      <c r="E8393" s="483">
        <v>325.16000000000003</v>
      </c>
    </row>
    <row r="8394" spans="1:5" ht="30">
      <c r="A8394" s="484">
        <v>3742</v>
      </c>
      <c r="B8394" s="485" t="s">
        <v>6633</v>
      </c>
      <c r="C8394" s="484" t="s">
        <v>256</v>
      </c>
      <c r="D8394" s="486">
        <v>34.67</v>
      </c>
      <c r="E8394" s="486">
        <v>34.67</v>
      </c>
    </row>
    <row r="8395" spans="1:5" ht="30">
      <c r="A8395" s="349">
        <v>3746</v>
      </c>
      <c r="B8395" s="348" t="s">
        <v>6634</v>
      </c>
      <c r="C8395" s="349" t="s">
        <v>256</v>
      </c>
      <c r="D8395" s="483">
        <v>40.49</v>
      </c>
      <c r="E8395" s="483">
        <v>40.49</v>
      </c>
    </row>
    <row r="8396" spans="1:5">
      <c r="A8396" s="484">
        <v>13250</v>
      </c>
      <c r="B8396" s="485" t="s">
        <v>6635</v>
      </c>
      <c r="C8396" s="484" t="s">
        <v>65</v>
      </c>
      <c r="D8396" s="486">
        <v>0.52</v>
      </c>
      <c r="E8396" s="486">
        <v>0.52</v>
      </c>
    </row>
    <row r="8397" spans="1:5">
      <c r="A8397" s="349">
        <v>11641</v>
      </c>
      <c r="B8397" s="348" t="s">
        <v>6636</v>
      </c>
      <c r="C8397" s="349" t="s">
        <v>256</v>
      </c>
      <c r="D8397" s="483">
        <v>8.7100000000000009</v>
      </c>
      <c r="E8397" s="483">
        <v>8.7100000000000009</v>
      </c>
    </row>
    <row r="8398" spans="1:5">
      <c r="A8398" s="484">
        <v>21106</v>
      </c>
      <c r="B8398" s="485" t="s">
        <v>6637</v>
      </c>
      <c r="C8398" s="484" t="s">
        <v>90</v>
      </c>
      <c r="D8398" s="486">
        <v>24.37</v>
      </c>
      <c r="E8398" s="486">
        <v>24.37</v>
      </c>
    </row>
    <row r="8399" spans="1:5">
      <c r="A8399" s="349">
        <v>3755</v>
      </c>
      <c r="B8399" s="348" t="s">
        <v>6638</v>
      </c>
      <c r="C8399" s="349" t="s">
        <v>65</v>
      </c>
      <c r="D8399" s="483">
        <v>18.29</v>
      </c>
      <c r="E8399" s="483">
        <v>18.29</v>
      </c>
    </row>
    <row r="8400" spans="1:5">
      <c r="A8400" s="484">
        <v>3750</v>
      </c>
      <c r="B8400" s="485" t="s">
        <v>6639</v>
      </c>
      <c r="C8400" s="484" t="s">
        <v>65</v>
      </c>
      <c r="D8400" s="486">
        <v>24.59</v>
      </c>
      <c r="E8400" s="486">
        <v>24.59</v>
      </c>
    </row>
    <row r="8401" spans="1:5">
      <c r="A8401" s="349">
        <v>3756</v>
      </c>
      <c r="B8401" s="348" t="s">
        <v>6640</v>
      </c>
      <c r="C8401" s="349" t="s">
        <v>65</v>
      </c>
      <c r="D8401" s="483">
        <v>45.95</v>
      </c>
      <c r="E8401" s="483">
        <v>45.95</v>
      </c>
    </row>
    <row r="8402" spans="1:5">
      <c r="A8402" s="484">
        <v>39377</v>
      </c>
      <c r="B8402" s="485" t="s">
        <v>6654</v>
      </c>
      <c r="C8402" s="484" t="s">
        <v>65</v>
      </c>
      <c r="D8402" s="486">
        <v>136.12</v>
      </c>
      <c r="E8402" s="486">
        <v>136.12</v>
      </c>
    </row>
    <row r="8403" spans="1:5">
      <c r="A8403" s="349">
        <v>38191</v>
      </c>
      <c r="B8403" s="348" t="s">
        <v>6650</v>
      </c>
      <c r="C8403" s="349" t="s">
        <v>65</v>
      </c>
      <c r="D8403" s="483">
        <v>10.130000000000001</v>
      </c>
      <c r="E8403" s="483">
        <v>10.130000000000001</v>
      </c>
    </row>
    <row r="8404" spans="1:5">
      <c r="A8404" s="484">
        <v>39381</v>
      </c>
      <c r="B8404" s="485" t="s">
        <v>6651</v>
      </c>
      <c r="C8404" s="484" t="s">
        <v>65</v>
      </c>
      <c r="D8404" s="486">
        <v>9.4499999999999993</v>
      </c>
      <c r="E8404" s="486">
        <v>9.4499999999999993</v>
      </c>
    </row>
    <row r="8405" spans="1:5">
      <c r="A8405" s="349">
        <v>38780</v>
      </c>
      <c r="B8405" s="348" t="s">
        <v>6653</v>
      </c>
      <c r="C8405" s="349" t="s">
        <v>65</v>
      </c>
      <c r="D8405" s="483">
        <v>11.56</v>
      </c>
      <c r="E8405" s="483">
        <v>11.56</v>
      </c>
    </row>
    <row r="8406" spans="1:5">
      <c r="A8406" s="484">
        <v>38781</v>
      </c>
      <c r="B8406" s="485" t="s">
        <v>6656</v>
      </c>
      <c r="C8406" s="484" t="s">
        <v>65</v>
      </c>
      <c r="D8406" s="486">
        <v>39.04</v>
      </c>
      <c r="E8406" s="486">
        <v>39.04</v>
      </c>
    </row>
    <row r="8407" spans="1:5">
      <c r="A8407" s="349">
        <v>38192</v>
      </c>
      <c r="B8407" s="348" t="s">
        <v>6658</v>
      </c>
      <c r="C8407" s="349" t="s">
        <v>65</v>
      </c>
      <c r="D8407" s="483">
        <v>70.64</v>
      </c>
      <c r="E8407" s="483">
        <v>70.64</v>
      </c>
    </row>
    <row r="8408" spans="1:5">
      <c r="A8408" s="484">
        <v>3753</v>
      </c>
      <c r="B8408" s="485" t="s">
        <v>11416</v>
      </c>
      <c r="C8408" s="484" t="s">
        <v>65</v>
      </c>
      <c r="D8408" s="486">
        <v>6.18</v>
      </c>
      <c r="E8408" s="486">
        <v>6.18</v>
      </c>
    </row>
    <row r="8409" spans="1:5">
      <c r="A8409" s="349">
        <v>38782</v>
      </c>
      <c r="B8409" s="348" t="s">
        <v>6661</v>
      </c>
      <c r="C8409" s="349" t="s">
        <v>65</v>
      </c>
      <c r="D8409" s="483">
        <v>8.0500000000000007</v>
      </c>
      <c r="E8409" s="483">
        <v>8.0500000000000007</v>
      </c>
    </row>
    <row r="8410" spans="1:5">
      <c r="A8410" s="484">
        <v>38778</v>
      </c>
      <c r="B8410" s="485" t="s">
        <v>6662</v>
      </c>
      <c r="C8410" s="484" t="s">
        <v>65</v>
      </c>
      <c r="D8410" s="486">
        <v>6.04</v>
      </c>
      <c r="E8410" s="486">
        <v>6.04</v>
      </c>
    </row>
    <row r="8411" spans="1:5">
      <c r="A8411" s="349">
        <v>38779</v>
      </c>
      <c r="B8411" s="348" t="s">
        <v>6663</v>
      </c>
      <c r="C8411" s="349" t="s">
        <v>65</v>
      </c>
      <c r="D8411" s="483">
        <v>6.4</v>
      </c>
      <c r="E8411" s="483">
        <v>6.4</v>
      </c>
    </row>
    <row r="8412" spans="1:5">
      <c r="A8412" s="484">
        <v>39388</v>
      </c>
      <c r="B8412" s="485" t="s">
        <v>6668</v>
      </c>
      <c r="C8412" s="484" t="s">
        <v>65</v>
      </c>
      <c r="D8412" s="486">
        <v>31.21</v>
      </c>
      <c r="E8412" s="486">
        <v>31.21</v>
      </c>
    </row>
    <row r="8413" spans="1:5">
      <c r="A8413" s="349">
        <v>39387</v>
      </c>
      <c r="B8413" s="348" t="s">
        <v>6669</v>
      </c>
      <c r="C8413" s="349" t="s">
        <v>65</v>
      </c>
      <c r="D8413" s="483">
        <v>52.64</v>
      </c>
      <c r="E8413" s="483">
        <v>52.64</v>
      </c>
    </row>
    <row r="8414" spans="1:5">
      <c r="A8414" s="484">
        <v>39386</v>
      </c>
      <c r="B8414" s="485" t="s">
        <v>6670</v>
      </c>
      <c r="C8414" s="484" t="s">
        <v>65</v>
      </c>
      <c r="D8414" s="486">
        <v>34.81</v>
      </c>
      <c r="E8414" s="486">
        <v>34.81</v>
      </c>
    </row>
    <row r="8415" spans="1:5">
      <c r="A8415" s="349">
        <v>38194</v>
      </c>
      <c r="B8415" s="348" t="s">
        <v>6664</v>
      </c>
      <c r="C8415" s="349" t="s">
        <v>65</v>
      </c>
      <c r="D8415" s="483">
        <v>29.68</v>
      </c>
      <c r="E8415" s="483">
        <v>29.68</v>
      </c>
    </row>
    <row r="8416" spans="1:5">
      <c r="A8416" s="484">
        <v>38193</v>
      </c>
      <c r="B8416" s="485" t="s">
        <v>6666</v>
      </c>
      <c r="C8416" s="484" t="s">
        <v>65</v>
      </c>
      <c r="D8416" s="486">
        <v>21.95</v>
      </c>
      <c r="E8416" s="486">
        <v>21.95</v>
      </c>
    </row>
    <row r="8417" spans="1:5">
      <c r="A8417" s="349">
        <v>12216</v>
      </c>
      <c r="B8417" s="348" t="s">
        <v>6674</v>
      </c>
      <c r="C8417" s="349" t="s">
        <v>65</v>
      </c>
      <c r="D8417" s="483">
        <v>35.33</v>
      </c>
      <c r="E8417" s="483">
        <v>35.33</v>
      </c>
    </row>
    <row r="8418" spans="1:5">
      <c r="A8418" s="484">
        <v>3757</v>
      </c>
      <c r="B8418" s="485" t="s">
        <v>6675</v>
      </c>
      <c r="C8418" s="484" t="s">
        <v>65</v>
      </c>
      <c r="D8418" s="486">
        <v>40.85</v>
      </c>
      <c r="E8418" s="486">
        <v>40.85</v>
      </c>
    </row>
    <row r="8419" spans="1:5">
      <c r="A8419" s="349">
        <v>3758</v>
      </c>
      <c r="B8419" s="348" t="s">
        <v>6676</v>
      </c>
      <c r="C8419" s="349" t="s">
        <v>65</v>
      </c>
      <c r="D8419" s="483">
        <v>47.63</v>
      </c>
      <c r="E8419" s="483">
        <v>47.63</v>
      </c>
    </row>
    <row r="8420" spans="1:5">
      <c r="A8420" s="484">
        <v>12214</v>
      </c>
      <c r="B8420" s="485" t="s">
        <v>6677</v>
      </c>
      <c r="C8420" s="484" t="s">
        <v>65</v>
      </c>
      <c r="D8420" s="486">
        <v>16.309999999999999</v>
      </c>
      <c r="E8420" s="486">
        <v>16.309999999999999</v>
      </c>
    </row>
    <row r="8421" spans="1:5">
      <c r="A8421" s="349">
        <v>3749</v>
      </c>
      <c r="B8421" s="348" t="s">
        <v>6678</v>
      </c>
      <c r="C8421" s="349" t="s">
        <v>65</v>
      </c>
      <c r="D8421" s="483">
        <v>29.07</v>
      </c>
      <c r="E8421" s="483">
        <v>29.07</v>
      </c>
    </row>
    <row r="8422" spans="1:5">
      <c r="A8422" s="484">
        <v>3751</v>
      </c>
      <c r="B8422" s="485" t="s">
        <v>6679</v>
      </c>
      <c r="C8422" s="484" t="s">
        <v>65</v>
      </c>
      <c r="D8422" s="486">
        <v>39.67</v>
      </c>
      <c r="E8422" s="486">
        <v>39.67</v>
      </c>
    </row>
    <row r="8423" spans="1:5">
      <c r="A8423" s="349">
        <v>39376</v>
      </c>
      <c r="B8423" s="348" t="s">
        <v>6681</v>
      </c>
      <c r="C8423" s="349" t="s">
        <v>65</v>
      </c>
      <c r="D8423" s="483">
        <v>33.44</v>
      </c>
      <c r="E8423" s="483">
        <v>33.44</v>
      </c>
    </row>
    <row r="8424" spans="1:5">
      <c r="A8424" s="484">
        <v>3752</v>
      </c>
      <c r="B8424" s="485" t="s">
        <v>6682</v>
      </c>
      <c r="C8424" s="484" t="s">
        <v>65</v>
      </c>
      <c r="D8424" s="486">
        <v>65.44</v>
      </c>
      <c r="E8424" s="486">
        <v>65.44</v>
      </c>
    </row>
    <row r="8425" spans="1:5" ht="30">
      <c r="A8425" s="349">
        <v>746</v>
      </c>
      <c r="B8425" s="348" t="s">
        <v>11417</v>
      </c>
      <c r="C8425" s="349" t="s">
        <v>65</v>
      </c>
      <c r="D8425" s="483">
        <v>1785</v>
      </c>
      <c r="E8425" s="483">
        <v>1785</v>
      </c>
    </row>
    <row r="8426" spans="1:5">
      <c r="A8426" s="484">
        <v>36521</v>
      </c>
      <c r="B8426" s="485" t="s">
        <v>6704</v>
      </c>
      <c r="C8426" s="484" t="s">
        <v>65</v>
      </c>
      <c r="D8426" s="486">
        <v>110.86</v>
      </c>
      <c r="E8426" s="486">
        <v>110.86</v>
      </c>
    </row>
    <row r="8427" spans="1:5">
      <c r="A8427" s="349">
        <v>36794</v>
      </c>
      <c r="B8427" s="348" t="s">
        <v>6705</v>
      </c>
      <c r="C8427" s="349" t="s">
        <v>65</v>
      </c>
      <c r="D8427" s="483">
        <v>113.01</v>
      </c>
      <c r="E8427" s="483">
        <v>113.01</v>
      </c>
    </row>
    <row r="8428" spans="1:5">
      <c r="A8428" s="484">
        <v>10426</v>
      </c>
      <c r="B8428" s="485" t="s">
        <v>6706</v>
      </c>
      <c r="C8428" s="484" t="s">
        <v>65</v>
      </c>
      <c r="D8428" s="486">
        <v>162.77000000000001</v>
      </c>
      <c r="E8428" s="486">
        <v>162.77000000000001</v>
      </c>
    </row>
    <row r="8429" spans="1:5">
      <c r="A8429" s="349">
        <v>10425</v>
      </c>
      <c r="B8429" s="348" t="s">
        <v>6712</v>
      </c>
      <c r="C8429" s="349" t="s">
        <v>65</v>
      </c>
      <c r="D8429" s="483">
        <v>71.78</v>
      </c>
      <c r="E8429" s="483">
        <v>71.78</v>
      </c>
    </row>
    <row r="8430" spans="1:5">
      <c r="A8430" s="484">
        <v>10431</v>
      </c>
      <c r="B8430" s="485" t="s">
        <v>6716</v>
      </c>
      <c r="C8430" s="484" t="s">
        <v>65</v>
      </c>
      <c r="D8430" s="486">
        <v>178.56</v>
      </c>
      <c r="E8430" s="486">
        <v>178.56</v>
      </c>
    </row>
    <row r="8431" spans="1:5">
      <c r="A8431" s="349">
        <v>10429</v>
      </c>
      <c r="B8431" s="348" t="s">
        <v>6717</v>
      </c>
      <c r="C8431" s="349" t="s">
        <v>65</v>
      </c>
      <c r="D8431" s="483">
        <v>85.6</v>
      </c>
      <c r="E8431" s="483">
        <v>85.6</v>
      </c>
    </row>
    <row r="8432" spans="1:5">
      <c r="A8432" s="484">
        <v>20269</v>
      </c>
      <c r="B8432" s="485" t="s">
        <v>6718</v>
      </c>
      <c r="C8432" s="484" t="s">
        <v>65</v>
      </c>
      <c r="D8432" s="486">
        <v>70.55</v>
      </c>
      <c r="E8432" s="486">
        <v>70.55</v>
      </c>
    </row>
    <row r="8433" spans="1:5">
      <c r="A8433" s="349">
        <v>20270</v>
      </c>
      <c r="B8433" s="348" t="s">
        <v>6719</v>
      </c>
      <c r="C8433" s="349" t="s">
        <v>65</v>
      </c>
      <c r="D8433" s="483">
        <v>76.83</v>
      </c>
      <c r="E8433" s="483">
        <v>76.83</v>
      </c>
    </row>
    <row r="8434" spans="1:5">
      <c r="A8434" s="484">
        <v>11696</v>
      </c>
      <c r="B8434" s="485" t="s">
        <v>6720</v>
      </c>
      <c r="C8434" s="484" t="s">
        <v>65</v>
      </c>
      <c r="D8434" s="486">
        <v>112.24</v>
      </c>
      <c r="E8434" s="486">
        <v>112.24</v>
      </c>
    </row>
    <row r="8435" spans="1:5">
      <c r="A8435" s="349">
        <v>10427</v>
      </c>
      <c r="B8435" s="348" t="s">
        <v>6721</v>
      </c>
      <c r="C8435" s="349" t="s">
        <v>65</v>
      </c>
      <c r="D8435" s="483">
        <v>201.25</v>
      </c>
      <c r="E8435" s="483">
        <v>201.25</v>
      </c>
    </row>
    <row r="8436" spans="1:5">
      <c r="A8436" s="484">
        <v>10428</v>
      </c>
      <c r="B8436" s="485" t="s">
        <v>6722</v>
      </c>
      <c r="C8436" s="484" t="s">
        <v>65</v>
      </c>
      <c r="D8436" s="486">
        <v>204.25</v>
      </c>
      <c r="E8436" s="486">
        <v>204.25</v>
      </c>
    </row>
    <row r="8437" spans="1:5">
      <c r="A8437" s="349">
        <v>40932</v>
      </c>
      <c r="B8437" s="348" t="s">
        <v>6729</v>
      </c>
      <c r="C8437" s="349" t="s">
        <v>1643</v>
      </c>
      <c r="D8437" s="483">
        <v>5580.78</v>
      </c>
      <c r="E8437" s="483">
        <v>5580.78</v>
      </c>
    </row>
    <row r="8438" spans="1:5">
      <c r="A8438" s="484">
        <v>10853</v>
      </c>
      <c r="B8438" s="485" t="s">
        <v>6730</v>
      </c>
      <c r="C8438" s="484" t="s">
        <v>65</v>
      </c>
      <c r="D8438" s="486">
        <v>60.76</v>
      </c>
      <c r="E8438" s="486">
        <v>60.76</v>
      </c>
    </row>
    <row r="8439" spans="1:5" ht="29.25" customHeight="1">
      <c r="A8439" s="349">
        <v>5093</v>
      </c>
      <c r="B8439" s="348" t="s">
        <v>6731</v>
      </c>
      <c r="C8439" s="349" t="s">
        <v>131</v>
      </c>
      <c r="D8439" s="483">
        <v>12.05</v>
      </c>
      <c r="E8439" s="483">
        <v>12.05</v>
      </c>
    </row>
    <row r="8440" spans="1:5" ht="30">
      <c r="A8440" s="484">
        <v>37768</v>
      </c>
      <c r="B8440" s="485" t="s">
        <v>6736</v>
      </c>
      <c r="C8440" s="484" t="s">
        <v>65</v>
      </c>
      <c r="D8440" s="486">
        <v>70000</v>
      </c>
      <c r="E8440" s="486">
        <v>70000</v>
      </c>
    </row>
    <row r="8441" spans="1:5" ht="30">
      <c r="A8441" s="349">
        <v>37773</v>
      </c>
      <c r="B8441" s="348" t="s">
        <v>6737</v>
      </c>
      <c r="C8441" s="349" t="s">
        <v>65</v>
      </c>
      <c r="D8441" s="483">
        <v>59441.8</v>
      </c>
      <c r="E8441" s="483">
        <v>59441.8</v>
      </c>
    </row>
    <row r="8442" spans="1:5" ht="30">
      <c r="A8442" s="484">
        <v>37769</v>
      </c>
      <c r="B8442" s="485" t="s">
        <v>6738</v>
      </c>
      <c r="C8442" s="484" t="s">
        <v>65</v>
      </c>
      <c r="D8442" s="486">
        <v>99513.06</v>
      </c>
      <c r="E8442" s="486">
        <v>99513.06</v>
      </c>
    </row>
    <row r="8443" spans="1:5" ht="30">
      <c r="A8443" s="349">
        <v>37770</v>
      </c>
      <c r="B8443" s="348" t="s">
        <v>6739</v>
      </c>
      <c r="C8443" s="349" t="s">
        <v>65</v>
      </c>
      <c r="D8443" s="483">
        <v>168889.54</v>
      </c>
      <c r="E8443" s="483">
        <v>168889.54</v>
      </c>
    </row>
    <row r="8444" spans="1:5">
      <c r="A8444" s="484">
        <v>38382</v>
      </c>
      <c r="B8444" s="485" t="s">
        <v>6746</v>
      </c>
      <c r="C8444" s="484" t="s">
        <v>65</v>
      </c>
      <c r="D8444" s="486">
        <v>7.7</v>
      </c>
      <c r="E8444" s="486">
        <v>7.7</v>
      </c>
    </row>
    <row r="8445" spans="1:5">
      <c r="A8445" s="349">
        <v>6091</v>
      </c>
      <c r="B8445" s="348" t="s">
        <v>6747</v>
      </c>
      <c r="C8445" s="349" t="s">
        <v>91</v>
      </c>
      <c r="D8445" s="483">
        <v>14.78</v>
      </c>
      <c r="E8445" s="483">
        <v>14.78</v>
      </c>
    </row>
    <row r="8446" spans="1:5">
      <c r="A8446" s="484">
        <v>38383</v>
      </c>
      <c r="B8446" s="485" t="s">
        <v>6748</v>
      </c>
      <c r="C8446" s="484" t="s">
        <v>65</v>
      </c>
      <c r="D8446" s="486">
        <v>1.44</v>
      </c>
      <c r="E8446" s="486">
        <v>1.44</v>
      </c>
    </row>
    <row r="8447" spans="1:5">
      <c r="A8447" s="349">
        <v>3768</v>
      </c>
      <c r="B8447" s="348" t="s">
        <v>6749</v>
      </c>
      <c r="C8447" s="349" t="s">
        <v>65</v>
      </c>
      <c r="D8447" s="483">
        <v>2.54</v>
      </c>
      <c r="E8447" s="483">
        <v>2.54</v>
      </c>
    </row>
    <row r="8448" spans="1:5">
      <c r="A8448" s="484">
        <v>3767</v>
      </c>
      <c r="B8448" s="485" t="s">
        <v>6750</v>
      </c>
      <c r="C8448" s="484" t="s">
        <v>65</v>
      </c>
      <c r="D8448" s="486">
        <v>0.6</v>
      </c>
      <c r="E8448" s="486">
        <v>0.6</v>
      </c>
    </row>
    <row r="8449" spans="1:5" ht="30">
      <c r="A8449" s="349">
        <v>13192</v>
      </c>
      <c r="B8449" s="348" t="s">
        <v>6751</v>
      </c>
      <c r="C8449" s="349" t="s">
        <v>65</v>
      </c>
      <c r="D8449" s="483">
        <v>3493.58</v>
      </c>
      <c r="E8449" s="483">
        <v>3493.58</v>
      </c>
    </row>
    <row r="8450" spans="1:5" ht="30">
      <c r="A8450" s="484">
        <v>38413</v>
      </c>
      <c r="B8450" s="485" t="s">
        <v>6752</v>
      </c>
      <c r="C8450" s="484" t="s">
        <v>65</v>
      </c>
      <c r="D8450" s="486">
        <v>577.79</v>
      </c>
      <c r="E8450" s="486">
        <v>577.79</v>
      </c>
    </row>
    <row r="8451" spans="1:5" ht="30">
      <c r="A8451" s="349">
        <v>20193</v>
      </c>
      <c r="B8451" s="348" t="s">
        <v>19584</v>
      </c>
      <c r="C8451" s="349" t="s">
        <v>1818</v>
      </c>
      <c r="D8451" s="483">
        <v>3.33</v>
      </c>
      <c r="E8451" s="483">
        <v>3.33</v>
      </c>
    </row>
    <row r="8452" spans="1:5" ht="30">
      <c r="A8452" s="484">
        <v>10527</v>
      </c>
      <c r="B8452" s="485" t="s">
        <v>19585</v>
      </c>
      <c r="C8452" s="484" t="s">
        <v>1820</v>
      </c>
      <c r="D8452" s="486">
        <v>10</v>
      </c>
      <c r="E8452" s="486">
        <v>10</v>
      </c>
    </row>
    <row r="8453" spans="1:5" ht="30">
      <c r="A8453" s="349">
        <v>41805</v>
      </c>
      <c r="B8453" s="348" t="s">
        <v>19586</v>
      </c>
      <c r="C8453" s="349" t="s">
        <v>1643</v>
      </c>
      <c r="D8453" s="483">
        <v>500</v>
      </c>
      <c r="E8453" s="483">
        <v>500</v>
      </c>
    </row>
    <row r="8454" spans="1:5" ht="30">
      <c r="A8454" s="484">
        <v>40271</v>
      </c>
      <c r="B8454" s="485" t="s">
        <v>19587</v>
      </c>
      <c r="C8454" s="484" t="s">
        <v>1643</v>
      </c>
      <c r="D8454" s="486">
        <v>6.5</v>
      </c>
      <c r="E8454" s="486">
        <v>6.5</v>
      </c>
    </row>
    <row r="8455" spans="1:5" ht="30">
      <c r="A8455" s="349">
        <v>40287</v>
      </c>
      <c r="B8455" s="348" t="s">
        <v>11418</v>
      </c>
      <c r="C8455" s="349" t="s">
        <v>1643</v>
      </c>
      <c r="D8455" s="483">
        <v>2.5</v>
      </c>
      <c r="E8455" s="483">
        <v>2.5</v>
      </c>
    </row>
    <row r="8456" spans="1:5">
      <c r="A8456" s="484">
        <v>40295</v>
      </c>
      <c r="B8456" s="485" t="s">
        <v>19588</v>
      </c>
      <c r="C8456" s="484" t="s">
        <v>57</v>
      </c>
      <c r="D8456" s="486">
        <v>2.4500000000000002</v>
      </c>
      <c r="E8456" s="486">
        <v>2.4500000000000002</v>
      </c>
    </row>
    <row r="8457" spans="1:5">
      <c r="A8457" s="349">
        <v>745</v>
      </c>
      <c r="B8457" s="348" t="s">
        <v>19589</v>
      </c>
      <c r="C8457" s="349" t="s">
        <v>57</v>
      </c>
      <c r="D8457" s="483">
        <v>2.59</v>
      </c>
      <c r="E8457" s="483">
        <v>2.59</v>
      </c>
    </row>
    <row r="8458" spans="1:5" ht="45">
      <c r="A8458" s="484">
        <v>4084</v>
      </c>
      <c r="B8458" s="485" t="s">
        <v>19590</v>
      </c>
      <c r="C8458" s="484" t="s">
        <v>57</v>
      </c>
      <c r="D8458" s="486">
        <v>2.25</v>
      </c>
      <c r="E8458" s="486">
        <v>2.25</v>
      </c>
    </row>
    <row r="8459" spans="1:5" ht="45">
      <c r="A8459" s="349">
        <v>743</v>
      </c>
      <c r="B8459" s="348" t="s">
        <v>19591</v>
      </c>
      <c r="C8459" s="349" t="s">
        <v>57</v>
      </c>
      <c r="D8459" s="483">
        <v>2.25</v>
      </c>
      <c r="E8459" s="483">
        <v>2.25</v>
      </c>
    </row>
    <row r="8460" spans="1:5" ht="45">
      <c r="A8460" s="484">
        <v>40293</v>
      </c>
      <c r="B8460" s="485" t="s">
        <v>19592</v>
      </c>
      <c r="C8460" s="484" t="s">
        <v>57</v>
      </c>
      <c r="D8460" s="486">
        <v>2.7</v>
      </c>
      <c r="E8460" s="486">
        <v>2.7</v>
      </c>
    </row>
    <row r="8461" spans="1:5" ht="45">
      <c r="A8461" s="349">
        <v>40294</v>
      </c>
      <c r="B8461" s="348" t="s">
        <v>19593</v>
      </c>
      <c r="C8461" s="349" t="s">
        <v>57</v>
      </c>
      <c r="D8461" s="483">
        <v>2.25</v>
      </c>
      <c r="E8461" s="483">
        <v>2.25</v>
      </c>
    </row>
    <row r="8462" spans="1:5" ht="45">
      <c r="A8462" s="484">
        <v>4085</v>
      </c>
      <c r="B8462" s="485" t="s">
        <v>19594</v>
      </c>
      <c r="C8462" s="484" t="s">
        <v>57</v>
      </c>
      <c r="D8462" s="486">
        <v>3.15</v>
      </c>
      <c r="E8462" s="486">
        <v>3.15</v>
      </c>
    </row>
    <row r="8463" spans="1:5" ht="60">
      <c r="A8463" s="349">
        <v>1383</v>
      </c>
      <c r="B8463" s="348" t="s">
        <v>19595</v>
      </c>
      <c r="C8463" s="349" t="s">
        <v>57</v>
      </c>
      <c r="D8463" s="483">
        <v>2.7</v>
      </c>
      <c r="E8463" s="483">
        <v>2.7</v>
      </c>
    </row>
    <row r="8464" spans="1:5" ht="30">
      <c r="A8464" s="484">
        <v>10775</v>
      </c>
      <c r="B8464" s="485" t="s">
        <v>19596</v>
      </c>
      <c r="C8464" s="484" t="s">
        <v>1643</v>
      </c>
      <c r="D8464" s="486">
        <v>515</v>
      </c>
      <c r="E8464" s="486">
        <v>515</v>
      </c>
    </row>
    <row r="8465" spans="1:5" ht="30">
      <c r="A8465" s="349">
        <v>10776</v>
      </c>
      <c r="B8465" s="348" t="s">
        <v>19597</v>
      </c>
      <c r="C8465" s="349" t="s">
        <v>1643</v>
      </c>
      <c r="D8465" s="483">
        <v>402.34</v>
      </c>
      <c r="E8465" s="483">
        <v>402.34</v>
      </c>
    </row>
    <row r="8466" spans="1:5" ht="30">
      <c r="A8466" s="484">
        <v>10779</v>
      </c>
      <c r="B8466" s="485" t="s">
        <v>19598</v>
      </c>
      <c r="C8466" s="484" t="s">
        <v>1643</v>
      </c>
      <c r="D8466" s="486">
        <v>643.75</v>
      </c>
      <c r="E8466" s="486">
        <v>643.75</v>
      </c>
    </row>
    <row r="8467" spans="1:5" ht="30">
      <c r="A8467" s="349">
        <v>10777</v>
      </c>
      <c r="B8467" s="348" t="s">
        <v>19599</v>
      </c>
      <c r="C8467" s="349" t="s">
        <v>1643</v>
      </c>
      <c r="D8467" s="483">
        <v>584.73</v>
      </c>
      <c r="E8467" s="483">
        <v>584.73</v>
      </c>
    </row>
    <row r="8468" spans="1:5" ht="30">
      <c r="A8468" s="484">
        <v>10778</v>
      </c>
      <c r="B8468" s="485" t="s">
        <v>19600</v>
      </c>
      <c r="C8468" s="484" t="s">
        <v>1643</v>
      </c>
      <c r="D8468" s="486">
        <v>643.75</v>
      </c>
      <c r="E8468" s="486">
        <v>643.75</v>
      </c>
    </row>
    <row r="8469" spans="1:5">
      <c r="A8469" s="349">
        <v>40339</v>
      </c>
      <c r="B8469" s="348" t="s">
        <v>19601</v>
      </c>
      <c r="C8469" s="349" t="s">
        <v>1643</v>
      </c>
      <c r="D8469" s="483">
        <v>2.5</v>
      </c>
      <c r="E8469" s="483">
        <v>2.5</v>
      </c>
    </row>
    <row r="8470" spans="1:5" ht="45">
      <c r="A8470" s="484">
        <v>3355</v>
      </c>
      <c r="B8470" s="485" t="s">
        <v>19602</v>
      </c>
      <c r="C8470" s="484" t="s">
        <v>57</v>
      </c>
      <c r="D8470" s="486">
        <v>30.6</v>
      </c>
      <c r="E8470" s="486">
        <v>30.6</v>
      </c>
    </row>
    <row r="8471" spans="1:5" ht="45">
      <c r="A8471" s="349">
        <v>39814</v>
      </c>
      <c r="B8471" s="348" t="s">
        <v>19603</v>
      </c>
      <c r="C8471" s="349" t="s">
        <v>57</v>
      </c>
      <c r="D8471" s="483">
        <v>57.37</v>
      </c>
      <c r="E8471" s="483">
        <v>57.37</v>
      </c>
    </row>
    <row r="8472" spans="1:5" ht="30">
      <c r="A8472" s="484">
        <v>10749</v>
      </c>
      <c r="B8472" s="485" t="s">
        <v>19604</v>
      </c>
      <c r="C8472" s="484" t="s">
        <v>1643</v>
      </c>
      <c r="D8472" s="486">
        <v>4.58</v>
      </c>
      <c r="E8472" s="486">
        <v>4.58</v>
      </c>
    </row>
    <row r="8473" spans="1:5">
      <c r="A8473" s="349">
        <v>40290</v>
      </c>
      <c r="B8473" s="348" t="s">
        <v>19605</v>
      </c>
      <c r="C8473" s="349" t="s">
        <v>1643</v>
      </c>
      <c r="D8473" s="483">
        <v>6.6</v>
      </c>
      <c r="E8473" s="483">
        <v>6.6</v>
      </c>
    </row>
    <row r="8474" spans="1:5" ht="30">
      <c r="A8474" s="484">
        <v>3346</v>
      </c>
      <c r="B8474" s="485" t="s">
        <v>19606</v>
      </c>
      <c r="C8474" s="484" t="s">
        <v>57</v>
      </c>
      <c r="D8474" s="486">
        <v>13.5</v>
      </c>
      <c r="E8474" s="486">
        <v>13.5</v>
      </c>
    </row>
    <row r="8475" spans="1:5" ht="30">
      <c r="A8475" s="349">
        <v>3348</v>
      </c>
      <c r="B8475" s="348" t="s">
        <v>19607</v>
      </c>
      <c r="C8475" s="349" t="s">
        <v>57</v>
      </c>
      <c r="D8475" s="483">
        <v>16.149999999999999</v>
      </c>
      <c r="E8475" s="483">
        <v>16.149999999999999</v>
      </c>
    </row>
    <row r="8476" spans="1:5" ht="30">
      <c r="A8476" s="484">
        <v>3345</v>
      </c>
      <c r="B8476" s="485" t="s">
        <v>19608</v>
      </c>
      <c r="C8476" s="484" t="s">
        <v>57</v>
      </c>
      <c r="D8476" s="486">
        <v>10.43</v>
      </c>
      <c r="E8476" s="486">
        <v>10.43</v>
      </c>
    </row>
    <row r="8477" spans="1:5">
      <c r="A8477" s="349">
        <v>39833</v>
      </c>
      <c r="B8477" s="348" t="s">
        <v>19609</v>
      </c>
      <c r="C8477" s="349" t="s">
        <v>57</v>
      </c>
      <c r="D8477" s="483">
        <v>22.12</v>
      </c>
      <c r="E8477" s="483">
        <v>22.12</v>
      </c>
    </row>
    <row r="8478" spans="1:5">
      <c r="A8478" s="484">
        <v>39834</v>
      </c>
      <c r="B8478" s="485" t="s">
        <v>19610</v>
      </c>
      <c r="C8478" s="484" t="s">
        <v>57</v>
      </c>
      <c r="D8478" s="486">
        <v>37.96</v>
      </c>
      <c r="E8478" s="486">
        <v>37.96</v>
      </c>
    </row>
    <row r="8479" spans="1:5">
      <c r="A8479" s="349">
        <v>39835</v>
      </c>
      <c r="B8479" s="348" t="s">
        <v>19611</v>
      </c>
      <c r="C8479" s="349" t="s">
        <v>57</v>
      </c>
      <c r="D8479" s="483">
        <v>46.28</v>
      </c>
      <c r="E8479" s="483">
        <v>46.28</v>
      </c>
    </row>
    <row r="8480" spans="1:5">
      <c r="A8480" s="484">
        <v>7252</v>
      </c>
      <c r="B8480" s="485" t="s">
        <v>19612</v>
      </c>
      <c r="C8480" s="484" t="s">
        <v>57</v>
      </c>
      <c r="D8480" s="486">
        <v>1.58</v>
      </c>
      <c r="E8480" s="486">
        <v>1.58</v>
      </c>
    </row>
    <row r="8481" spans="1:5">
      <c r="A8481" s="349">
        <v>4778</v>
      </c>
      <c r="B8481" s="348" t="s">
        <v>19613</v>
      </c>
      <c r="C8481" s="349" t="s">
        <v>57</v>
      </c>
      <c r="D8481" s="483">
        <v>5.53</v>
      </c>
      <c r="E8481" s="483">
        <v>5.53</v>
      </c>
    </row>
    <row r="8482" spans="1:5">
      <c r="A8482" s="484">
        <v>4780</v>
      </c>
      <c r="B8482" s="485" t="s">
        <v>19614</v>
      </c>
      <c r="C8482" s="484" t="s">
        <v>57</v>
      </c>
      <c r="D8482" s="486">
        <v>5.99</v>
      </c>
      <c r="E8482" s="486">
        <v>5.99</v>
      </c>
    </row>
    <row r="8483" spans="1:5">
      <c r="A8483" s="349">
        <v>10809</v>
      </c>
      <c r="B8483" s="348" t="s">
        <v>19615</v>
      </c>
      <c r="C8483" s="349" t="s">
        <v>57</v>
      </c>
      <c r="D8483" s="483">
        <v>0.94</v>
      </c>
      <c r="E8483" s="483">
        <v>0.94</v>
      </c>
    </row>
    <row r="8484" spans="1:5">
      <c r="A8484" s="484">
        <v>10811</v>
      </c>
      <c r="B8484" s="485" t="s">
        <v>19616</v>
      </c>
      <c r="C8484" s="484" t="s">
        <v>57</v>
      </c>
      <c r="D8484" s="486">
        <v>0.81</v>
      </c>
      <c r="E8484" s="486">
        <v>0.81</v>
      </c>
    </row>
    <row r="8485" spans="1:5" ht="30">
      <c r="A8485" s="349">
        <v>7247</v>
      </c>
      <c r="B8485" s="348" t="s">
        <v>19617</v>
      </c>
      <c r="C8485" s="349" t="s">
        <v>57</v>
      </c>
      <c r="D8485" s="483">
        <v>1.58</v>
      </c>
      <c r="E8485" s="483">
        <v>1.58</v>
      </c>
    </row>
    <row r="8486" spans="1:5" ht="43.5" customHeight="1">
      <c r="A8486" s="484">
        <v>40275</v>
      </c>
      <c r="B8486" s="485" t="s">
        <v>19618</v>
      </c>
      <c r="C8486" s="484" t="s">
        <v>1643</v>
      </c>
      <c r="D8486" s="486">
        <v>10</v>
      </c>
      <c r="E8486" s="486">
        <v>10</v>
      </c>
    </row>
    <row r="8487" spans="1:5" ht="43.5" customHeight="1">
      <c r="A8487" s="349">
        <v>3777</v>
      </c>
      <c r="B8487" s="348" t="s">
        <v>6764</v>
      </c>
      <c r="C8487" s="349" t="s">
        <v>256</v>
      </c>
      <c r="D8487" s="483">
        <v>0.88</v>
      </c>
      <c r="E8487" s="483">
        <v>0.88</v>
      </c>
    </row>
    <row r="8488" spans="1:5">
      <c r="A8488" s="484">
        <v>3779</v>
      </c>
      <c r="B8488" s="485" t="s">
        <v>6765</v>
      </c>
      <c r="C8488" s="484" t="s">
        <v>71</v>
      </c>
      <c r="D8488" s="486">
        <v>7.33</v>
      </c>
      <c r="E8488" s="486">
        <v>7.33</v>
      </c>
    </row>
    <row r="8489" spans="1:5">
      <c r="A8489" s="349">
        <v>3798</v>
      </c>
      <c r="B8489" s="348" t="s">
        <v>6766</v>
      </c>
      <c r="C8489" s="349" t="s">
        <v>65</v>
      </c>
      <c r="D8489" s="483">
        <v>32.299999999999997</v>
      </c>
      <c r="E8489" s="483">
        <v>32.299999999999997</v>
      </c>
    </row>
    <row r="8490" spans="1:5" ht="30">
      <c r="A8490" s="484">
        <v>38769</v>
      </c>
      <c r="B8490" s="485" t="s">
        <v>19619</v>
      </c>
      <c r="C8490" s="484" t="s">
        <v>65</v>
      </c>
      <c r="D8490" s="486">
        <v>25.22</v>
      </c>
      <c r="E8490" s="486">
        <v>25.22</v>
      </c>
    </row>
    <row r="8491" spans="1:5" ht="30">
      <c r="A8491" s="349">
        <v>39510</v>
      </c>
      <c r="B8491" s="348" t="s">
        <v>19620</v>
      </c>
      <c r="C8491" s="349" t="s">
        <v>65</v>
      </c>
      <c r="D8491" s="483">
        <v>102.09</v>
      </c>
      <c r="E8491" s="483">
        <v>102.09</v>
      </c>
    </row>
    <row r="8492" spans="1:5" ht="43.5" customHeight="1">
      <c r="A8492" s="484">
        <v>38776</v>
      </c>
      <c r="B8492" s="485" t="s">
        <v>19621</v>
      </c>
      <c r="C8492" s="484" t="s">
        <v>65</v>
      </c>
      <c r="D8492" s="486">
        <v>108.34</v>
      </c>
      <c r="E8492" s="486">
        <v>108.34</v>
      </c>
    </row>
    <row r="8493" spans="1:5" ht="43.5" customHeight="1">
      <c r="A8493" s="349">
        <v>38774</v>
      </c>
      <c r="B8493" s="348" t="s">
        <v>19622</v>
      </c>
      <c r="C8493" s="349" t="s">
        <v>65</v>
      </c>
      <c r="D8493" s="483">
        <v>25.57</v>
      </c>
      <c r="E8493" s="483">
        <v>25.57</v>
      </c>
    </row>
    <row r="8494" spans="1:5" ht="30">
      <c r="A8494" s="484">
        <v>38889</v>
      </c>
      <c r="B8494" s="485" t="s">
        <v>19623</v>
      </c>
      <c r="C8494" s="484" t="s">
        <v>65</v>
      </c>
      <c r="D8494" s="486">
        <v>19.329999999999998</v>
      </c>
      <c r="E8494" s="486">
        <v>19.329999999999998</v>
      </c>
    </row>
    <row r="8495" spans="1:5" ht="30">
      <c r="A8495" s="349">
        <v>38784</v>
      </c>
      <c r="B8495" s="348" t="s">
        <v>19624</v>
      </c>
      <c r="C8495" s="349" t="s">
        <v>65</v>
      </c>
      <c r="D8495" s="483">
        <v>25.86</v>
      </c>
      <c r="E8495" s="483">
        <v>25.86</v>
      </c>
    </row>
    <row r="8496" spans="1:5" ht="30">
      <c r="A8496" s="484">
        <v>3788</v>
      </c>
      <c r="B8496" s="485" t="s">
        <v>19625</v>
      </c>
      <c r="C8496" s="484" t="s">
        <v>65</v>
      </c>
      <c r="D8496" s="486">
        <v>26.95</v>
      </c>
      <c r="E8496" s="486">
        <v>26.95</v>
      </c>
    </row>
    <row r="8497" spans="1:5" ht="30">
      <c r="A8497" s="349">
        <v>12230</v>
      </c>
      <c r="B8497" s="348" t="s">
        <v>19626</v>
      </c>
      <c r="C8497" s="349" t="s">
        <v>65</v>
      </c>
      <c r="D8497" s="483">
        <v>6.93</v>
      </c>
      <c r="E8497" s="483">
        <v>6.93</v>
      </c>
    </row>
    <row r="8498" spans="1:5" ht="43.5" customHeight="1">
      <c r="A8498" s="484">
        <v>3780</v>
      </c>
      <c r="B8498" s="485" t="s">
        <v>19627</v>
      </c>
      <c r="C8498" s="484" t="s">
        <v>65</v>
      </c>
      <c r="D8498" s="486">
        <v>39.770000000000003</v>
      </c>
      <c r="E8498" s="486">
        <v>39.770000000000003</v>
      </c>
    </row>
    <row r="8499" spans="1:5" ht="43.5" customHeight="1">
      <c r="A8499" s="349">
        <v>12231</v>
      </c>
      <c r="B8499" s="348" t="s">
        <v>19628</v>
      </c>
      <c r="C8499" s="349" t="s">
        <v>65</v>
      </c>
      <c r="D8499" s="483">
        <v>11.53</v>
      </c>
      <c r="E8499" s="483">
        <v>11.53</v>
      </c>
    </row>
    <row r="8500" spans="1:5" ht="30">
      <c r="A8500" s="484">
        <v>3811</v>
      </c>
      <c r="B8500" s="485" t="s">
        <v>19629</v>
      </c>
      <c r="C8500" s="484" t="s">
        <v>65</v>
      </c>
      <c r="D8500" s="486">
        <v>37.35</v>
      </c>
      <c r="E8500" s="486">
        <v>37.35</v>
      </c>
    </row>
    <row r="8501" spans="1:5" ht="30">
      <c r="A8501" s="349">
        <v>12232</v>
      </c>
      <c r="B8501" s="348" t="s">
        <v>19630</v>
      </c>
      <c r="C8501" s="349" t="s">
        <v>65</v>
      </c>
      <c r="D8501" s="483">
        <v>12.08</v>
      </c>
      <c r="E8501" s="483">
        <v>12.08</v>
      </c>
    </row>
    <row r="8502" spans="1:5" ht="30">
      <c r="A8502" s="484">
        <v>3799</v>
      </c>
      <c r="B8502" s="485" t="s">
        <v>19631</v>
      </c>
      <c r="C8502" s="484" t="s">
        <v>65</v>
      </c>
      <c r="D8502" s="486">
        <v>52.83</v>
      </c>
      <c r="E8502" s="486">
        <v>52.83</v>
      </c>
    </row>
    <row r="8503" spans="1:5" ht="30">
      <c r="A8503" s="349">
        <v>12239</v>
      </c>
      <c r="B8503" s="348" t="s">
        <v>19632</v>
      </c>
      <c r="C8503" s="349" t="s">
        <v>65</v>
      </c>
      <c r="D8503" s="483">
        <v>15.81</v>
      </c>
      <c r="E8503" s="483">
        <v>15.81</v>
      </c>
    </row>
    <row r="8504" spans="1:5" ht="30">
      <c r="A8504" s="484">
        <v>38773</v>
      </c>
      <c r="B8504" s="485" t="s">
        <v>19633</v>
      </c>
      <c r="C8504" s="484" t="s">
        <v>65</v>
      </c>
      <c r="D8504" s="486">
        <v>2.5299999999999998</v>
      </c>
      <c r="E8504" s="486">
        <v>2.5299999999999998</v>
      </c>
    </row>
    <row r="8505" spans="1:5">
      <c r="A8505" s="349">
        <v>12271</v>
      </c>
      <c r="B8505" s="348" t="s">
        <v>6775</v>
      </c>
      <c r="C8505" s="349" t="s">
        <v>65</v>
      </c>
      <c r="D8505" s="483">
        <v>141.44999999999999</v>
      </c>
      <c r="E8505" s="483">
        <v>141.44999999999999</v>
      </c>
    </row>
    <row r="8506" spans="1:5">
      <c r="A8506" s="484">
        <v>12245</v>
      </c>
      <c r="B8506" s="485" t="s">
        <v>6776</v>
      </c>
      <c r="C8506" s="484" t="s">
        <v>65</v>
      </c>
      <c r="D8506" s="486">
        <v>61.35</v>
      </c>
      <c r="E8506" s="486">
        <v>61.35</v>
      </c>
    </row>
    <row r="8507" spans="1:5" ht="30">
      <c r="A8507" s="349">
        <v>38785</v>
      </c>
      <c r="B8507" s="348" t="s">
        <v>19634</v>
      </c>
      <c r="C8507" s="349" t="s">
        <v>65</v>
      </c>
      <c r="D8507" s="483">
        <v>66.97</v>
      </c>
      <c r="E8507" s="483">
        <v>66.97</v>
      </c>
    </row>
    <row r="8508" spans="1:5" ht="30">
      <c r="A8508" s="484">
        <v>38786</v>
      </c>
      <c r="B8508" s="485" t="s">
        <v>19635</v>
      </c>
      <c r="C8508" s="484" t="s">
        <v>65</v>
      </c>
      <c r="D8508" s="486">
        <v>82.49</v>
      </c>
      <c r="E8508" s="486">
        <v>82.49</v>
      </c>
    </row>
    <row r="8509" spans="1:5">
      <c r="A8509" s="349">
        <v>39385</v>
      </c>
      <c r="B8509" s="348" t="s">
        <v>19636</v>
      </c>
      <c r="C8509" s="349" t="s">
        <v>65</v>
      </c>
      <c r="D8509" s="483">
        <v>62.4</v>
      </c>
      <c r="E8509" s="483">
        <v>62.4</v>
      </c>
    </row>
    <row r="8510" spans="1:5">
      <c r="A8510" s="484">
        <v>39389</v>
      </c>
      <c r="B8510" s="485" t="s">
        <v>19637</v>
      </c>
      <c r="C8510" s="484" t="s">
        <v>65</v>
      </c>
      <c r="D8510" s="486">
        <v>51.75</v>
      </c>
      <c r="E8510" s="486">
        <v>51.75</v>
      </c>
    </row>
    <row r="8511" spans="1:5">
      <c r="A8511" s="349">
        <v>39390</v>
      </c>
      <c r="B8511" s="348" t="s">
        <v>19638</v>
      </c>
      <c r="C8511" s="349" t="s">
        <v>65</v>
      </c>
      <c r="D8511" s="483">
        <v>100.24</v>
      </c>
      <c r="E8511" s="483">
        <v>100.24</v>
      </c>
    </row>
    <row r="8512" spans="1:5">
      <c r="A8512" s="484">
        <v>39391</v>
      </c>
      <c r="B8512" s="485" t="s">
        <v>19639</v>
      </c>
      <c r="C8512" s="484" t="s">
        <v>65</v>
      </c>
      <c r="D8512" s="486">
        <v>185.52</v>
      </c>
      <c r="E8512" s="486">
        <v>185.52</v>
      </c>
    </row>
    <row r="8513" spans="1:5" ht="30">
      <c r="A8513" s="349">
        <v>3803</v>
      </c>
      <c r="B8513" s="348" t="s">
        <v>19640</v>
      </c>
      <c r="C8513" s="349" t="s">
        <v>65</v>
      </c>
      <c r="D8513" s="483">
        <v>23.92</v>
      </c>
      <c r="E8513" s="483">
        <v>23.92</v>
      </c>
    </row>
    <row r="8514" spans="1:5" ht="30">
      <c r="A8514" s="484">
        <v>38770</v>
      </c>
      <c r="B8514" s="485" t="s">
        <v>19641</v>
      </c>
      <c r="C8514" s="484" t="s">
        <v>65</v>
      </c>
      <c r="D8514" s="486">
        <v>27.69</v>
      </c>
      <c r="E8514" s="486">
        <v>27.69</v>
      </c>
    </row>
    <row r="8515" spans="1:5">
      <c r="A8515" s="349">
        <v>12267</v>
      </c>
      <c r="B8515" s="348" t="s">
        <v>6785</v>
      </c>
      <c r="C8515" s="349" t="s">
        <v>65</v>
      </c>
      <c r="D8515" s="483">
        <v>81.16</v>
      </c>
      <c r="E8515" s="483">
        <v>81.16</v>
      </c>
    </row>
    <row r="8516" spans="1:5" ht="30">
      <c r="A8516" s="484">
        <v>12266</v>
      </c>
      <c r="B8516" s="485" t="s">
        <v>19642</v>
      </c>
      <c r="C8516" s="484" t="s">
        <v>65</v>
      </c>
      <c r="D8516" s="486">
        <v>41.54</v>
      </c>
      <c r="E8516" s="486">
        <v>41.54</v>
      </c>
    </row>
    <row r="8517" spans="1:5" ht="30">
      <c r="A8517" s="349">
        <v>39378</v>
      </c>
      <c r="B8517" s="348" t="s">
        <v>19643</v>
      </c>
      <c r="C8517" s="349" t="s">
        <v>65</v>
      </c>
      <c r="D8517" s="483">
        <v>29.45</v>
      </c>
      <c r="E8517" s="483">
        <v>29.45</v>
      </c>
    </row>
    <row r="8518" spans="1:5" ht="30">
      <c r="A8518" s="484">
        <v>38775</v>
      </c>
      <c r="B8518" s="485" t="s">
        <v>19644</v>
      </c>
      <c r="C8518" s="484" t="s">
        <v>65</v>
      </c>
      <c r="D8518" s="486">
        <v>31.22</v>
      </c>
      <c r="E8518" s="486">
        <v>31.22</v>
      </c>
    </row>
    <row r="8519" spans="1:5">
      <c r="A8519" s="349">
        <v>21119</v>
      </c>
      <c r="B8519" s="348" t="s">
        <v>6803</v>
      </c>
      <c r="C8519" s="349" t="s">
        <v>65</v>
      </c>
      <c r="D8519" s="483">
        <v>1.35</v>
      </c>
      <c r="E8519" s="483">
        <v>1.35</v>
      </c>
    </row>
    <row r="8520" spans="1:5">
      <c r="A8520" s="484">
        <v>37974</v>
      </c>
      <c r="B8520" s="485" t="s">
        <v>6804</v>
      </c>
      <c r="C8520" s="484" t="s">
        <v>65</v>
      </c>
      <c r="D8520" s="486">
        <v>2.0099999999999998</v>
      </c>
      <c r="E8520" s="486">
        <v>2.0099999999999998</v>
      </c>
    </row>
    <row r="8521" spans="1:5">
      <c r="A8521" s="349">
        <v>37975</v>
      </c>
      <c r="B8521" s="348" t="s">
        <v>6805</v>
      </c>
      <c r="C8521" s="349" t="s">
        <v>65</v>
      </c>
      <c r="D8521" s="483">
        <v>4.08</v>
      </c>
      <c r="E8521" s="483">
        <v>4.08</v>
      </c>
    </row>
    <row r="8522" spans="1:5">
      <c r="A8522" s="484">
        <v>37976</v>
      </c>
      <c r="B8522" s="485" t="s">
        <v>6806</v>
      </c>
      <c r="C8522" s="484" t="s">
        <v>65</v>
      </c>
      <c r="D8522" s="486">
        <v>8.3800000000000008</v>
      </c>
      <c r="E8522" s="486">
        <v>8.3800000000000008</v>
      </c>
    </row>
    <row r="8523" spans="1:5">
      <c r="A8523" s="349">
        <v>37977</v>
      </c>
      <c r="B8523" s="348" t="s">
        <v>6807</v>
      </c>
      <c r="C8523" s="349" t="s">
        <v>65</v>
      </c>
      <c r="D8523" s="483">
        <v>11.52</v>
      </c>
      <c r="E8523" s="483">
        <v>11.52</v>
      </c>
    </row>
    <row r="8524" spans="1:5">
      <c r="A8524" s="484">
        <v>37978</v>
      </c>
      <c r="B8524" s="485" t="s">
        <v>6808</v>
      </c>
      <c r="C8524" s="484" t="s">
        <v>65</v>
      </c>
      <c r="D8524" s="486">
        <v>23.35</v>
      </c>
      <c r="E8524" s="486">
        <v>23.35</v>
      </c>
    </row>
    <row r="8525" spans="1:5" ht="43.5" customHeight="1">
      <c r="A8525" s="349">
        <v>37979</v>
      </c>
      <c r="B8525" s="348" t="s">
        <v>6809</v>
      </c>
      <c r="C8525" s="349" t="s">
        <v>65</v>
      </c>
      <c r="D8525" s="483">
        <v>100.32</v>
      </c>
      <c r="E8525" s="483">
        <v>100.32</v>
      </c>
    </row>
    <row r="8526" spans="1:5">
      <c r="A8526" s="484">
        <v>37980</v>
      </c>
      <c r="B8526" s="485" t="s">
        <v>6810</v>
      </c>
      <c r="C8526" s="484" t="s">
        <v>65</v>
      </c>
      <c r="D8526" s="486">
        <v>112.74</v>
      </c>
      <c r="E8526" s="486">
        <v>112.74</v>
      </c>
    </row>
    <row r="8527" spans="1:5" ht="30">
      <c r="A8527" s="349">
        <v>36147</v>
      </c>
      <c r="B8527" s="348" t="s">
        <v>6814</v>
      </c>
      <c r="C8527" s="349" t="s">
        <v>131</v>
      </c>
      <c r="D8527" s="483">
        <v>245.82</v>
      </c>
      <c r="E8527" s="483">
        <v>245.82</v>
      </c>
    </row>
    <row r="8528" spans="1:5">
      <c r="A8528" s="484">
        <v>12731</v>
      </c>
      <c r="B8528" s="485" t="s">
        <v>6815</v>
      </c>
      <c r="C8528" s="484" t="s">
        <v>65</v>
      </c>
      <c r="D8528" s="486">
        <v>174.52</v>
      </c>
      <c r="E8528" s="486">
        <v>174.52</v>
      </c>
    </row>
    <row r="8529" spans="1:5">
      <c r="A8529" s="349">
        <v>12723</v>
      </c>
      <c r="B8529" s="348" t="s">
        <v>6816</v>
      </c>
      <c r="C8529" s="349" t="s">
        <v>65</v>
      </c>
      <c r="D8529" s="483">
        <v>1.35</v>
      </c>
      <c r="E8529" s="483">
        <v>1.35</v>
      </c>
    </row>
    <row r="8530" spans="1:5">
      <c r="A8530" s="484">
        <v>12724</v>
      </c>
      <c r="B8530" s="485" t="s">
        <v>6817</v>
      </c>
      <c r="C8530" s="484" t="s">
        <v>65</v>
      </c>
      <c r="D8530" s="486">
        <v>2.6</v>
      </c>
      <c r="E8530" s="486">
        <v>2.6</v>
      </c>
    </row>
    <row r="8531" spans="1:5" ht="43.5" customHeight="1">
      <c r="A8531" s="349">
        <v>12725</v>
      </c>
      <c r="B8531" s="348" t="s">
        <v>6818</v>
      </c>
      <c r="C8531" s="349" t="s">
        <v>65</v>
      </c>
      <c r="D8531" s="483">
        <v>5.21</v>
      </c>
      <c r="E8531" s="483">
        <v>5.21</v>
      </c>
    </row>
    <row r="8532" spans="1:5">
      <c r="A8532" s="484">
        <v>12726</v>
      </c>
      <c r="B8532" s="485" t="s">
        <v>6819</v>
      </c>
      <c r="C8532" s="484" t="s">
        <v>65</v>
      </c>
      <c r="D8532" s="486">
        <v>11.51</v>
      </c>
      <c r="E8532" s="486">
        <v>11.51</v>
      </c>
    </row>
    <row r="8533" spans="1:5">
      <c r="A8533" s="349">
        <v>12727</v>
      </c>
      <c r="B8533" s="348" t="s">
        <v>6820</v>
      </c>
      <c r="C8533" s="349" t="s">
        <v>65</v>
      </c>
      <c r="D8533" s="483">
        <v>14.6</v>
      </c>
      <c r="E8533" s="483">
        <v>14.6</v>
      </c>
    </row>
    <row r="8534" spans="1:5">
      <c r="A8534" s="484">
        <v>12728</v>
      </c>
      <c r="B8534" s="485" t="s">
        <v>6821</v>
      </c>
      <c r="C8534" s="484" t="s">
        <v>65</v>
      </c>
      <c r="D8534" s="486">
        <v>23.85</v>
      </c>
      <c r="E8534" s="486">
        <v>23.85</v>
      </c>
    </row>
    <row r="8535" spans="1:5">
      <c r="A8535" s="349">
        <v>12729</v>
      </c>
      <c r="B8535" s="348" t="s">
        <v>6822</v>
      </c>
      <c r="C8535" s="349" t="s">
        <v>65</v>
      </c>
      <c r="D8535" s="483">
        <v>78.17</v>
      </c>
      <c r="E8535" s="483">
        <v>78.17</v>
      </c>
    </row>
    <row r="8536" spans="1:5" ht="43.5" customHeight="1">
      <c r="A8536" s="484">
        <v>12730</v>
      </c>
      <c r="B8536" s="485" t="s">
        <v>6823</v>
      </c>
      <c r="C8536" s="484" t="s">
        <v>65</v>
      </c>
      <c r="D8536" s="486">
        <v>119.68</v>
      </c>
      <c r="E8536" s="486">
        <v>119.68</v>
      </c>
    </row>
    <row r="8537" spans="1:5">
      <c r="A8537" s="349">
        <v>3840</v>
      </c>
      <c r="B8537" s="348" t="s">
        <v>6840</v>
      </c>
      <c r="C8537" s="349" t="s">
        <v>65</v>
      </c>
      <c r="D8537" s="483">
        <v>21.56</v>
      </c>
      <c r="E8537" s="483">
        <v>21.56</v>
      </c>
    </row>
    <row r="8538" spans="1:5">
      <c r="A8538" s="484">
        <v>3838</v>
      </c>
      <c r="B8538" s="485" t="s">
        <v>6841</v>
      </c>
      <c r="C8538" s="484" t="s">
        <v>65</v>
      </c>
      <c r="D8538" s="486">
        <v>51.39</v>
      </c>
      <c r="E8538" s="486">
        <v>51.39</v>
      </c>
    </row>
    <row r="8539" spans="1:5">
      <c r="A8539" s="349">
        <v>3844</v>
      </c>
      <c r="B8539" s="348" t="s">
        <v>6842</v>
      </c>
      <c r="C8539" s="349" t="s">
        <v>65</v>
      </c>
      <c r="D8539" s="483">
        <v>145.33000000000001</v>
      </c>
      <c r="E8539" s="483">
        <v>145.33000000000001</v>
      </c>
    </row>
    <row r="8540" spans="1:5">
      <c r="A8540" s="484">
        <v>3839</v>
      </c>
      <c r="B8540" s="485" t="s">
        <v>6843</v>
      </c>
      <c r="C8540" s="484" t="s">
        <v>65</v>
      </c>
      <c r="D8540" s="486">
        <v>178.44</v>
      </c>
      <c r="E8540" s="486">
        <v>178.44</v>
      </c>
    </row>
    <row r="8541" spans="1:5">
      <c r="A8541" s="349">
        <v>3843</v>
      </c>
      <c r="B8541" s="348" t="s">
        <v>6844</v>
      </c>
      <c r="C8541" s="349" t="s">
        <v>65</v>
      </c>
      <c r="D8541" s="483">
        <v>304.32</v>
      </c>
      <c r="E8541" s="483">
        <v>304.32</v>
      </c>
    </row>
    <row r="8542" spans="1:5">
      <c r="A8542" s="484">
        <v>3900</v>
      </c>
      <c r="B8542" s="485" t="s">
        <v>6845</v>
      </c>
      <c r="C8542" s="484" t="s">
        <v>65</v>
      </c>
      <c r="D8542" s="486">
        <v>26.65</v>
      </c>
      <c r="E8542" s="486">
        <v>26.65</v>
      </c>
    </row>
    <row r="8543" spans="1:5">
      <c r="A8543" s="349">
        <v>3846</v>
      </c>
      <c r="B8543" s="348" t="s">
        <v>6846</v>
      </c>
      <c r="C8543" s="349" t="s">
        <v>65</v>
      </c>
      <c r="D8543" s="483">
        <v>8.3000000000000007</v>
      </c>
      <c r="E8543" s="483">
        <v>8.3000000000000007</v>
      </c>
    </row>
    <row r="8544" spans="1:5">
      <c r="A8544" s="484">
        <v>3886</v>
      </c>
      <c r="B8544" s="485" t="s">
        <v>6847</v>
      </c>
      <c r="C8544" s="484" t="s">
        <v>65</v>
      </c>
      <c r="D8544" s="486">
        <v>11.68</v>
      </c>
      <c r="E8544" s="486">
        <v>11.68</v>
      </c>
    </row>
    <row r="8545" spans="1:5">
      <c r="A8545" s="349">
        <v>3854</v>
      </c>
      <c r="B8545" s="348" t="s">
        <v>6848</v>
      </c>
      <c r="C8545" s="349" t="s">
        <v>65</v>
      </c>
      <c r="D8545" s="483">
        <v>7.12</v>
      </c>
      <c r="E8545" s="483">
        <v>7.12</v>
      </c>
    </row>
    <row r="8546" spans="1:5">
      <c r="A8546" s="484">
        <v>3873</v>
      </c>
      <c r="B8546" s="485" t="s">
        <v>6849</v>
      </c>
      <c r="C8546" s="484" t="s">
        <v>65</v>
      </c>
      <c r="D8546" s="486">
        <v>10.050000000000001</v>
      </c>
      <c r="E8546" s="486">
        <v>10.050000000000001</v>
      </c>
    </row>
    <row r="8547" spans="1:5">
      <c r="A8547" s="349">
        <v>38021</v>
      </c>
      <c r="B8547" s="348" t="s">
        <v>6850</v>
      </c>
      <c r="C8547" s="349" t="s">
        <v>65</v>
      </c>
      <c r="D8547" s="483">
        <v>17.05</v>
      </c>
      <c r="E8547" s="483">
        <v>17.05</v>
      </c>
    </row>
    <row r="8548" spans="1:5">
      <c r="A8548" s="484">
        <v>3847</v>
      </c>
      <c r="B8548" s="485" t="s">
        <v>6851</v>
      </c>
      <c r="C8548" s="484" t="s">
        <v>65</v>
      </c>
      <c r="D8548" s="486">
        <v>22.92</v>
      </c>
      <c r="E8548" s="486">
        <v>22.92</v>
      </c>
    </row>
    <row r="8549" spans="1:5">
      <c r="A8549" s="349">
        <v>38022</v>
      </c>
      <c r="B8549" s="348" t="s">
        <v>6852</v>
      </c>
      <c r="C8549" s="349" t="s">
        <v>65</v>
      </c>
      <c r="D8549" s="483">
        <v>30.54</v>
      </c>
      <c r="E8549" s="483">
        <v>30.54</v>
      </c>
    </row>
    <row r="8550" spans="1:5">
      <c r="A8550" s="484">
        <v>3833</v>
      </c>
      <c r="B8550" s="485" t="s">
        <v>6853</v>
      </c>
      <c r="C8550" s="484" t="s">
        <v>65</v>
      </c>
      <c r="D8550" s="486">
        <v>9.75</v>
      </c>
      <c r="E8550" s="486">
        <v>9.75</v>
      </c>
    </row>
    <row r="8551" spans="1:5">
      <c r="A8551" s="349">
        <v>3834</v>
      </c>
      <c r="B8551" s="348" t="s">
        <v>6854</v>
      </c>
      <c r="C8551" s="349" t="s">
        <v>65</v>
      </c>
      <c r="D8551" s="483">
        <v>15.76</v>
      </c>
      <c r="E8551" s="483">
        <v>15.76</v>
      </c>
    </row>
    <row r="8552" spans="1:5">
      <c r="A8552" s="484">
        <v>3835</v>
      </c>
      <c r="B8552" s="485" t="s">
        <v>6855</v>
      </c>
      <c r="C8552" s="484" t="s">
        <v>65</v>
      </c>
      <c r="D8552" s="486">
        <v>21.88</v>
      </c>
      <c r="E8552" s="486">
        <v>21.88</v>
      </c>
    </row>
    <row r="8553" spans="1:5">
      <c r="A8553" s="349">
        <v>3836</v>
      </c>
      <c r="B8553" s="348" t="s">
        <v>6856</v>
      </c>
      <c r="C8553" s="349" t="s">
        <v>65</v>
      </c>
      <c r="D8553" s="483">
        <v>56.57</v>
      </c>
      <c r="E8553" s="483">
        <v>56.57</v>
      </c>
    </row>
    <row r="8554" spans="1:5">
      <c r="A8554" s="484">
        <v>3830</v>
      </c>
      <c r="B8554" s="485" t="s">
        <v>6857</v>
      </c>
      <c r="C8554" s="484" t="s">
        <v>65</v>
      </c>
      <c r="D8554" s="486">
        <v>93.14</v>
      </c>
      <c r="E8554" s="486">
        <v>93.14</v>
      </c>
    </row>
    <row r="8555" spans="1:5">
      <c r="A8555" s="349">
        <v>3831</v>
      </c>
      <c r="B8555" s="348" t="s">
        <v>6858</v>
      </c>
      <c r="C8555" s="349" t="s">
        <v>65</v>
      </c>
      <c r="D8555" s="483">
        <v>144.29</v>
      </c>
      <c r="E8555" s="483">
        <v>144.29</v>
      </c>
    </row>
    <row r="8556" spans="1:5">
      <c r="A8556" s="484">
        <v>3841</v>
      </c>
      <c r="B8556" s="485" t="s">
        <v>6859</v>
      </c>
      <c r="C8556" s="484" t="s">
        <v>65</v>
      </c>
      <c r="D8556" s="486">
        <v>281.94</v>
      </c>
      <c r="E8556" s="486">
        <v>281.94</v>
      </c>
    </row>
    <row r="8557" spans="1:5">
      <c r="A8557" s="349">
        <v>3842</v>
      </c>
      <c r="B8557" s="348" t="s">
        <v>6860</v>
      </c>
      <c r="C8557" s="349" t="s">
        <v>65</v>
      </c>
      <c r="D8557" s="483">
        <v>381.28</v>
      </c>
      <c r="E8557" s="483">
        <v>381.28</v>
      </c>
    </row>
    <row r="8558" spans="1:5">
      <c r="A8558" s="484">
        <v>37981</v>
      </c>
      <c r="B8558" s="485" t="s">
        <v>6861</v>
      </c>
      <c r="C8558" s="484" t="s">
        <v>65</v>
      </c>
      <c r="D8558" s="486">
        <v>4.5999999999999996</v>
      </c>
      <c r="E8558" s="486">
        <v>4.5999999999999996</v>
      </c>
    </row>
    <row r="8559" spans="1:5">
      <c r="A8559" s="349">
        <v>37982</v>
      </c>
      <c r="B8559" s="348" t="s">
        <v>6862</v>
      </c>
      <c r="C8559" s="349" t="s">
        <v>65</v>
      </c>
      <c r="D8559" s="483">
        <v>6.98</v>
      </c>
      <c r="E8559" s="483">
        <v>6.98</v>
      </c>
    </row>
    <row r="8560" spans="1:5">
      <c r="A8560" s="484">
        <v>37983</v>
      </c>
      <c r="B8560" s="485" t="s">
        <v>6863</v>
      </c>
      <c r="C8560" s="484" t="s">
        <v>65</v>
      </c>
      <c r="D8560" s="486">
        <v>9.77</v>
      </c>
      <c r="E8560" s="486">
        <v>9.77</v>
      </c>
    </row>
    <row r="8561" spans="1:5">
      <c r="A8561" s="349">
        <v>37984</v>
      </c>
      <c r="B8561" s="348" t="s">
        <v>6864</v>
      </c>
      <c r="C8561" s="349" t="s">
        <v>65</v>
      </c>
      <c r="D8561" s="483">
        <v>16.88</v>
      </c>
      <c r="E8561" s="483">
        <v>16.88</v>
      </c>
    </row>
    <row r="8562" spans="1:5">
      <c r="A8562" s="484">
        <v>37985</v>
      </c>
      <c r="B8562" s="485" t="s">
        <v>6865</v>
      </c>
      <c r="C8562" s="484" t="s">
        <v>65</v>
      </c>
      <c r="D8562" s="486">
        <v>23.64</v>
      </c>
      <c r="E8562" s="486">
        <v>23.64</v>
      </c>
    </row>
    <row r="8563" spans="1:5">
      <c r="A8563" s="349">
        <v>3826</v>
      </c>
      <c r="B8563" s="348" t="s">
        <v>6875</v>
      </c>
      <c r="C8563" s="349" t="s">
        <v>65</v>
      </c>
      <c r="D8563" s="483">
        <v>32.24</v>
      </c>
      <c r="E8563" s="483">
        <v>32.24</v>
      </c>
    </row>
    <row r="8564" spans="1:5">
      <c r="A8564" s="484">
        <v>3825</v>
      </c>
      <c r="B8564" s="485" t="s">
        <v>6876</v>
      </c>
      <c r="C8564" s="484" t="s">
        <v>65</v>
      </c>
      <c r="D8564" s="486">
        <v>8.4</v>
      </c>
      <c r="E8564" s="486">
        <v>8.4</v>
      </c>
    </row>
    <row r="8565" spans="1:5">
      <c r="A8565" s="349">
        <v>3827</v>
      </c>
      <c r="B8565" s="348" t="s">
        <v>6877</v>
      </c>
      <c r="C8565" s="349" t="s">
        <v>65</v>
      </c>
      <c r="D8565" s="483">
        <v>17.78</v>
      </c>
      <c r="E8565" s="483">
        <v>17.78</v>
      </c>
    </row>
    <row r="8566" spans="1:5">
      <c r="A8566" s="484">
        <v>20165</v>
      </c>
      <c r="B8566" s="485" t="s">
        <v>6878</v>
      </c>
      <c r="C8566" s="484" t="s">
        <v>65</v>
      </c>
      <c r="D8566" s="486">
        <v>17.079999999999998</v>
      </c>
      <c r="E8566" s="486">
        <v>17.079999999999998</v>
      </c>
    </row>
    <row r="8567" spans="1:5">
      <c r="A8567" s="349">
        <v>20166</v>
      </c>
      <c r="B8567" s="348" t="s">
        <v>6879</v>
      </c>
      <c r="C8567" s="349" t="s">
        <v>65</v>
      </c>
      <c r="D8567" s="483">
        <v>59.59</v>
      </c>
      <c r="E8567" s="483">
        <v>59.59</v>
      </c>
    </row>
    <row r="8568" spans="1:5">
      <c r="A8568" s="484">
        <v>20164</v>
      </c>
      <c r="B8568" s="485" t="s">
        <v>6880</v>
      </c>
      <c r="C8568" s="484" t="s">
        <v>65</v>
      </c>
      <c r="D8568" s="486">
        <v>9.64</v>
      </c>
      <c r="E8568" s="486">
        <v>9.64</v>
      </c>
    </row>
    <row r="8569" spans="1:5" ht="43.5" customHeight="1">
      <c r="A8569" s="349">
        <v>3893</v>
      </c>
      <c r="B8569" s="348" t="s">
        <v>6881</v>
      </c>
      <c r="C8569" s="349" t="s">
        <v>65</v>
      </c>
      <c r="D8569" s="483">
        <v>12.81</v>
      </c>
      <c r="E8569" s="483">
        <v>12.81</v>
      </c>
    </row>
    <row r="8570" spans="1:5">
      <c r="A8570" s="484">
        <v>3848</v>
      </c>
      <c r="B8570" s="485" t="s">
        <v>6882</v>
      </c>
      <c r="C8570" s="484" t="s">
        <v>65</v>
      </c>
      <c r="D8570" s="486">
        <v>7.78</v>
      </c>
      <c r="E8570" s="486">
        <v>7.78</v>
      </c>
    </row>
    <row r="8571" spans="1:5" ht="43.5" customHeight="1">
      <c r="A8571" s="349">
        <v>3895</v>
      </c>
      <c r="B8571" s="348" t="s">
        <v>6883</v>
      </c>
      <c r="C8571" s="349" t="s">
        <v>65</v>
      </c>
      <c r="D8571" s="483">
        <v>8.33</v>
      </c>
      <c r="E8571" s="483">
        <v>8.33</v>
      </c>
    </row>
    <row r="8572" spans="1:5">
      <c r="A8572" s="484">
        <v>12404</v>
      </c>
      <c r="B8572" s="485" t="s">
        <v>6907</v>
      </c>
      <c r="C8572" s="484" t="s">
        <v>65</v>
      </c>
      <c r="D8572" s="486">
        <v>5.49</v>
      </c>
      <c r="E8572" s="486">
        <v>5.49</v>
      </c>
    </row>
    <row r="8573" spans="1:5">
      <c r="A8573" s="349">
        <v>3939</v>
      </c>
      <c r="B8573" s="348" t="s">
        <v>6908</v>
      </c>
      <c r="C8573" s="349" t="s">
        <v>65</v>
      </c>
      <c r="D8573" s="483">
        <v>11.32</v>
      </c>
      <c r="E8573" s="483">
        <v>11.32</v>
      </c>
    </row>
    <row r="8574" spans="1:5">
      <c r="A8574" s="484">
        <v>3911</v>
      </c>
      <c r="B8574" s="485" t="s">
        <v>6909</v>
      </c>
      <c r="C8574" s="484" t="s">
        <v>65</v>
      </c>
      <c r="D8574" s="486">
        <v>9.25</v>
      </c>
      <c r="E8574" s="486">
        <v>9.25</v>
      </c>
    </row>
    <row r="8575" spans="1:5">
      <c r="A8575" s="349">
        <v>3908</v>
      </c>
      <c r="B8575" s="348" t="s">
        <v>6911</v>
      </c>
      <c r="C8575" s="349" t="s">
        <v>65</v>
      </c>
      <c r="D8575" s="483">
        <v>2.99</v>
      </c>
      <c r="E8575" s="483">
        <v>2.99</v>
      </c>
    </row>
    <row r="8576" spans="1:5">
      <c r="A8576" s="484">
        <v>3910</v>
      </c>
      <c r="B8576" s="485" t="s">
        <v>6910</v>
      </c>
      <c r="C8576" s="484" t="s">
        <v>65</v>
      </c>
      <c r="D8576" s="486">
        <v>6.62</v>
      </c>
      <c r="E8576" s="486">
        <v>6.62</v>
      </c>
    </row>
    <row r="8577" spans="1:5">
      <c r="A8577" s="349">
        <v>3913</v>
      </c>
      <c r="B8577" s="348" t="s">
        <v>6912</v>
      </c>
      <c r="C8577" s="349" t="s">
        <v>65</v>
      </c>
      <c r="D8577" s="483">
        <v>31.63</v>
      </c>
      <c r="E8577" s="483">
        <v>31.63</v>
      </c>
    </row>
    <row r="8578" spans="1:5">
      <c r="A8578" s="484">
        <v>3912</v>
      </c>
      <c r="B8578" s="485" t="s">
        <v>6913</v>
      </c>
      <c r="C8578" s="484" t="s">
        <v>65</v>
      </c>
      <c r="D8578" s="486">
        <v>17.34</v>
      </c>
      <c r="E8578" s="486">
        <v>17.34</v>
      </c>
    </row>
    <row r="8579" spans="1:5">
      <c r="A8579" s="349">
        <v>3909</v>
      </c>
      <c r="B8579" s="348" t="s">
        <v>6915</v>
      </c>
      <c r="C8579" s="349" t="s">
        <v>65</v>
      </c>
      <c r="D8579" s="483">
        <v>4.07</v>
      </c>
      <c r="E8579" s="483">
        <v>4.07</v>
      </c>
    </row>
    <row r="8580" spans="1:5">
      <c r="A8580" s="484">
        <v>3914</v>
      </c>
      <c r="B8580" s="485" t="s">
        <v>6914</v>
      </c>
      <c r="C8580" s="484" t="s">
        <v>65</v>
      </c>
      <c r="D8580" s="486">
        <v>47.72</v>
      </c>
      <c r="E8580" s="486">
        <v>47.72</v>
      </c>
    </row>
    <row r="8581" spans="1:5">
      <c r="A8581" s="349">
        <v>3915</v>
      </c>
      <c r="B8581" s="348" t="s">
        <v>6916</v>
      </c>
      <c r="C8581" s="349" t="s">
        <v>65</v>
      </c>
      <c r="D8581" s="483">
        <v>75.260000000000005</v>
      </c>
      <c r="E8581" s="483">
        <v>75.260000000000005</v>
      </c>
    </row>
    <row r="8582" spans="1:5">
      <c r="A8582" s="484">
        <v>3916</v>
      </c>
      <c r="B8582" s="485" t="s">
        <v>6917</v>
      </c>
      <c r="C8582" s="484" t="s">
        <v>65</v>
      </c>
      <c r="D8582" s="486">
        <v>137.1</v>
      </c>
      <c r="E8582" s="486">
        <v>137.1</v>
      </c>
    </row>
    <row r="8583" spans="1:5" ht="43.5" customHeight="1">
      <c r="A8583" s="349">
        <v>3917</v>
      </c>
      <c r="B8583" s="348" t="s">
        <v>6918</v>
      </c>
      <c r="C8583" s="349" t="s">
        <v>65</v>
      </c>
      <c r="D8583" s="483">
        <v>226.14</v>
      </c>
      <c r="E8583" s="483">
        <v>226.14</v>
      </c>
    </row>
    <row r="8584" spans="1:5">
      <c r="A8584" s="484">
        <v>1904</v>
      </c>
      <c r="B8584" s="485" t="s">
        <v>6919</v>
      </c>
      <c r="C8584" s="484" t="s">
        <v>65</v>
      </c>
      <c r="D8584" s="486">
        <v>0.45</v>
      </c>
      <c r="E8584" s="486">
        <v>0.45</v>
      </c>
    </row>
    <row r="8585" spans="1:5" ht="43.5" customHeight="1">
      <c r="A8585" s="349">
        <v>1899</v>
      </c>
      <c r="B8585" s="348" t="s">
        <v>6920</v>
      </c>
      <c r="C8585" s="349" t="s">
        <v>65</v>
      </c>
      <c r="D8585" s="483">
        <v>0.51</v>
      </c>
      <c r="E8585" s="483">
        <v>0.51</v>
      </c>
    </row>
    <row r="8586" spans="1:5">
      <c r="A8586" s="484">
        <v>1900</v>
      </c>
      <c r="B8586" s="485" t="s">
        <v>6921</v>
      </c>
      <c r="C8586" s="484" t="s">
        <v>65</v>
      </c>
      <c r="D8586" s="486">
        <v>0.82</v>
      </c>
      <c r="E8586" s="486">
        <v>0.82</v>
      </c>
    </row>
    <row r="8587" spans="1:5">
      <c r="A8587" s="349">
        <v>12407</v>
      </c>
      <c r="B8587" s="348" t="s">
        <v>6922</v>
      </c>
      <c r="C8587" s="349" t="s">
        <v>65</v>
      </c>
      <c r="D8587" s="483">
        <v>17.12</v>
      </c>
      <c r="E8587" s="483">
        <v>17.12</v>
      </c>
    </row>
    <row r="8588" spans="1:5">
      <c r="A8588" s="484">
        <v>12408</v>
      </c>
      <c r="B8588" s="485" t="s">
        <v>6923</v>
      </c>
      <c r="C8588" s="484" t="s">
        <v>65</v>
      </c>
      <c r="D8588" s="486">
        <v>9.66</v>
      </c>
      <c r="E8588" s="486">
        <v>9.66</v>
      </c>
    </row>
    <row r="8589" spans="1:5">
      <c r="A8589" s="349">
        <v>12409</v>
      </c>
      <c r="B8589" s="348" t="s">
        <v>11419</v>
      </c>
      <c r="C8589" s="349" t="s">
        <v>65</v>
      </c>
      <c r="D8589" s="483">
        <v>9.66</v>
      </c>
      <c r="E8589" s="483">
        <v>9.66</v>
      </c>
    </row>
    <row r="8590" spans="1:5">
      <c r="A8590" s="484">
        <v>12410</v>
      </c>
      <c r="B8590" s="485" t="s">
        <v>6924</v>
      </c>
      <c r="C8590" s="484" t="s">
        <v>65</v>
      </c>
      <c r="D8590" s="486">
        <v>6.65</v>
      </c>
      <c r="E8590" s="486">
        <v>6.65</v>
      </c>
    </row>
    <row r="8591" spans="1:5">
      <c r="A8591" s="349">
        <v>3936</v>
      </c>
      <c r="B8591" s="348" t="s">
        <v>6925</v>
      </c>
      <c r="C8591" s="349" t="s">
        <v>65</v>
      </c>
      <c r="D8591" s="483">
        <v>12.02</v>
      </c>
      <c r="E8591" s="483">
        <v>12.02</v>
      </c>
    </row>
    <row r="8592" spans="1:5">
      <c r="A8592" s="484">
        <v>3922</v>
      </c>
      <c r="B8592" s="485" t="s">
        <v>6927</v>
      </c>
      <c r="C8592" s="484" t="s">
        <v>65</v>
      </c>
      <c r="D8592" s="486">
        <v>11.06</v>
      </c>
      <c r="E8592" s="486">
        <v>11.06</v>
      </c>
    </row>
    <row r="8593" spans="1:5">
      <c r="A8593" s="349">
        <v>3924</v>
      </c>
      <c r="B8593" s="348" t="s">
        <v>6926</v>
      </c>
      <c r="C8593" s="349" t="s">
        <v>65</v>
      </c>
      <c r="D8593" s="483">
        <v>12.02</v>
      </c>
      <c r="E8593" s="483">
        <v>12.02</v>
      </c>
    </row>
    <row r="8594" spans="1:5">
      <c r="A8594" s="484">
        <v>3923</v>
      </c>
      <c r="B8594" s="485" t="s">
        <v>6928</v>
      </c>
      <c r="C8594" s="484" t="s">
        <v>65</v>
      </c>
      <c r="D8594" s="486">
        <v>12.02</v>
      </c>
      <c r="E8594" s="486">
        <v>12.02</v>
      </c>
    </row>
    <row r="8595" spans="1:5">
      <c r="A8595" s="349">
        <v>3937</v>
      </c>
      <c r="B8595" s="348" t="s">
        <v>6930</v>
      </c>
      <c r="C8595" s="349" t="s">
        <v>65</v>
      </c>
      <c r="D8595" s="483">
        <v>9.92</v>
      </c>
      <c r="E8595" s="483">
        <v>9.92</v>
      </c>
    </row>
    <row r="8596" spans="1:5">
      <c r="A8596" s="484">
        <v>3921</v>
      </c>
      <c r="B8596" s="485" t="s">
        <v>6929</v>
      </c>
      <c r="C8596" s="484" t="s">
        <v>65</v>
      </c>
      <c r="D8596" s="486">
        <v>9.93</v>
      </c>
      <c r="E8596" s="486">
        <v>9.93</v>
      </c>
    </row>
    <row r="8597" spans="1:5">
      <c r="A8597" s="349">
        <v>3920</v>
      </c>
      <c r="B8597" s="348" t="s">
        <v>6931</v>
      </c>
      <c r="C8597" s="349" t="s">
        <v>65</v>
      </c>
      <c r="D8597" s="483">
        <v>9.92</v>
      </c>
      <c r="E8597" s="483">
        <v>9.92</v>
      </c>
    </row>
    <row r="8598" spans="1:5">
      <c r="A8598" s="484">
        <v>3938</v>
      </c>
      <c r="B8598" s="485" t="s">
        <v>6932</v>
      </c>
      <c r="C8598" s="484" t="s">
        <v>65</v>
      </c>
      <c r="D8598" s="486">
        <v>6.54</v>
      </c>
      <c r="E8598" s="486">
        <v>6.54</v>
      </c>
    </row>
    <row r="8599" spans="1:5">
      <c r="A8599" s="349">
        <v>3919</v>
      </c>
      <c r="B8599" s="348" t="s">
        <v>6933</v>
      </c>
      <c r="C8599" s="349" t="s">
        <v>65</v>
      </c>
      <c r="D8599" s="483">
        <v>6.67</v>
      </c>
      <c r="E8599" s="483">
        <v>6.67</v>
      </c>
    </row>
    <row r="8600" spans="1:5">
      <c r="A8600" s="484">
        <v>3927</v>
      </c>
      <c r="B8600" s="485" t="s">
        <v>6934</v>
      </c>
      <c r="C8600" s="484" t="s">
        <v>65</v>
      </c>
      <c r="D8600" s="486">
        <v>33.78</v>
      </c>
      <c r="E8600" s="486">
        <v>33.78</v>
      </c>
    </row>
    <row r="8601" spans="1:5">
      <c r="A8601" s="349">
        <v>3928</v>
      </c>
      <c r="B8601" s="348" t="s">
        <v>6935</v>
      </c>
      <c r="C8601" s="349" t="s">
        <v>65</v>
      </c>
      <c r="D8601" s="483">
        <v>33.78</v>
      </c>
      <c r="E8601" s="483">
        <v>33.78</v>
      </c>
    </row>
    <row r="8602" spans="1:5">
      <c r="A8602" s="484">
        <v>3926</v>
      </c>
      <c r="B8602" s="485" t="s">
        <v>6936</v>
      </c>
      <c r="C8602" s="484" t="s">
        <v>65</v>
      </c>
      <c r="D8602" s="486">
        <v>19.25</v>
      </c>
      <c r="E8602" s="486">
        <v>19.25</v>
      </c>
    </row>
    <row r="8603" spans="1:5">
      <c r="A8603" s="349">
        <v>3935</v>
      </c>
      <c r="B8603" s="348" t="s">
        <v>6937</v>
      </c>
      <c r="C8603" s="349" t="s">
        <v>65</v>
      </c>
      <c r="D8603" s="483">
        <v>19.25</v>
      </c>
      <c r="E8603" s="483">
        <v>19.25</v>
      </c>
    </row>
    <row r="8604" spans="1:5">
      <c r="A8604" s="484">
        <v>3925</v>
      </c>
      <c r="B8604" s="485" t="s">
        <v>6938</v>
      </c>
      <c r="C8604" s="484" t="s">
        <v>65</v>
      </c>
      <c r="D8604" s="486">
        <v>19.25</v>
      </c>
      <c r="E8604" s="486">
        <v>19.25</v>
      </c>
    </row>
    <row r="8605" spans="1:5">
      <c r="A8605" s="349">
        <v>12406</v>
      </c>
      <c r="B8605" s="348" t="s">
        <v>6942</v>
      </c>
      <c r="C8605" s="349" t="s">
        <v>65</v>
      </c>
      <c r="D8605" s="483">
        <v>4.7300000000000004</v>
      </c>
      <c r="E8605" s="483">
        <v>4.7300000000000004</v>
      </c>
    </row>
    <row r="8606" spans="1:5">
      <c r="A8606" s="484">
        <v>3929</v>
      </c>
      <c r="B8606" s="485" t="s">
        <v>6939</v>
      </c>
      <c r="C8606" s="484" t="s">
        <v>65</v>
      </c>
      <c r="D8606" s="486">
        <v>51.46</v>
      </c>
      <c r="E8606" s="486">
        <v>51.46</v>
      </c>
    </row>
    <row r="8607" spans="1:5">
      <c r="A8607" s="349">
        <v>3931</v>
      </c>
      <c r="B8607" s="348" t="s">
        <v>6940</v>
      </c>
      <c r="C8607" s="349" t="s">
        <v>65</v>
      </c>
      <c r="D8607" s="483">
        <v>51.46</v>
      </c>
      <c r="E8607" s="483">
        <v>51.46</v>
      </c>
    </row>
    <row r="8608" spans="1:5">
      <c r="A8608" s="484">
        <v>3930</v>
      </c>
      <c r="B8608" s="485" t="s">
        <v>6941</v>
      </c>
      <c r="C8608" s="484" t="s">
        <v>65</v>
      </c>
      <c r="D8608" s="486">
        <v>51.46</v>
      </c>
      <c r="E8608" s="486">
        <v>51.46</v>
      </c>
    </row>
    <row r="8609" spans="1:5">
      <c r="A8609" s="349">
        <v>3932</v>
      </c>
      <c r="B8609" s="348" t="s">
        <v>6943</v>
      </c>
      <c r="C8609" s="349" t="s">
        <v>65</v>
      </c>
      <c r="D8609" s="483">
        <v>88.86</v>
      </c>
      <c r="E8609" s="483">
        <v>88.86</v>
      </c>
    </row>
    <row r="8610" spans="1:5">
      <c r="A8610" s="484">
        <v>3933</v>
      </c>
      <c r="B8610" s="485" t="s">
        <v>6944</v>
      </c>
      <c r="C8610" s="484" t="s">
        <v>65</v>
      </c>
      <c r="D8610" s="486">
        <v>88.86</v>
      </c>
      <c r="E8610" s="486">
        <v>88.86</v>
      </c>
    </row>
    <row r="8611" spans="1:5">
      <c r="A8611" s="349">
        <v>3934</v>
      </c>
      <c r="B8611" s="348" t="s">
        <v>6945</v>
      </c>
      <c r="C8611" s="349" t="s">
        <v>65</v>
      </c>
      <c r="D8611" s="483">
        <v>88.86</v>
      </c>
      <c r="E8611" s="483">
        <v>88.86</v>
      </c>
    </row>
    <row r="8612" spans="1:5">
      <c r="A8612" s="484">
        <v>3907</v>
      </c>
      <c r="B8612" s="485" t="s">
        <v>6946</v>
      </c>
      <c r="C8612" s="484" t="s">
        <v>65</v>
      </c>
      <c r="D8612" s="486">
        <v>2.99</v>
      </c>
      <c r="E8612" s="486">
        <v>2.99</v>
      </c>
    </row>
    <row r="8613" spans="1:5">
      <c r="A8613" s="349">
        <v>3889</v>
      </c>
      <c r="B8613" s="348" t="s">
        <v>6947</v>
      </c>
      <c r="C8613" s="349" t="s">
        <v>65</v>
      </c>
      <c r="D8613" s="483">
        <v>2.15</v>
      </c>
      <c r="E8613" s="483">
        <v>2.15</v>
      </c>
    </row>
    <row r="8614" spans="1:5">
      <c r="A8614" s="484">
        <v>3868</v>
      </c>
      <c r="B8614" s="485" t="s">
        <v>6948</v>
      </c>
      <c r="C8614" s="484" t="s">
        <v>65</v>
      </c>
      <c r="D8614" s="486">
        <v>1.06</v>
      </c>
      <c r="E8614" s="486">
        <v>1.06</v>
      </c>
    </row>
    <row r="8615" spans="1:5">
      <c r="A8615" s="349">
        <v>3869</v>
      </c>
      <c r="B8615" s="348" t="s">
        <v>6949</v>
      </c>
      <c r="C8615" s="349" t="s">
        <v>65</v>
      </c>
      <c r="D8615" s="483">
        <v>2.5499999999999998</v>
      </c>
      <c r="E8615" s="483">
        <v>2.5499999999999998</v>
      </c>
    </row>
    <row r="8616" spans="1:5">
      <c r="A8616" s="484">
        <v>3872</v>
      </c>
      <c r="B8616" s="485" t="s">
        <v>6950</v>
      </c>
      <c r="C8616" s="484" t="s">
        <v>65</v>
      </c>
      <c r="D8616" s="486">
        <v>3.14</v>
      </c>
      <c r="E8616" s="486">
        <v>3.14</v>
      </c>
    </row>
    <row r="8617" spans="1:5">
      <c r="A8617" s="349">
        <v>3850</v>
      </c>
      <c r="B8617" s="348" t="s">
        <v>6951</v>
      </c>
      <c r="C8617" s="349" t="s">
        <v>65</v>
      </c>
      <c r="D8617" s="483">
        <v>8.57</v>
      </c>
      <c r="E8617" s="483">
        <v>8.57</v>
      </c>
    </row>
    <row r="8618" spans="1:5">
      <c r="A8618" s="484">
        <v>38023</v>
      </c>
      <c r="B8618" s="485" t="s">
        <v>6985</v>
      </c>
      <c r="C8618" s="484" t="s">
        <v>65</v>
      </c>
      <c r="D8618" s="486">
        <v>3.6</v>
      </c>
      <c r="E8618" s="486">
        <v>3.6</v>
      </c>
    </row>
    <row r="8619" spans="1:5">
      <c r="A8619" s="349">
        <v>37986</v>
      </c>
      <c r="B8619" s="348" t="s">
        <v>6996</v>
      </c>
      <c r="C8619" s="349" t="s">
        <v>65</v>
      </c>
      <c r="D8619" s="483">
        <v>1.58</v>
      </c>
      <c r="E8619" s="483">
        <v>1.58</v>
      </c>
    </row>
    <row r="8620" spans="1:5">
      <c r="A8620" s="484">
        <v>37987</v>
      </c>
      <c r="B8620" s="485" t="s">
        <v>6999</v>
      </c>
      <c r="C8620" s="484" t="s">
        <v>65</v>
      </c>
      <c r="D8620" s="486">
        <v>117.98</v>
      </c>
      <c r="E8620" s="486">
        <v>117.98</v>
      </c>
    </row>
    <row r="8621" spans="1:5">
      <c r="A8621" s="349">
        <v>37988</v>
      </c>
      <c r="B8621" s="348" t="s">
        <v>7000</v>
      </c>
      <c r="C8621" s="349" t="s">
        <v>65</v>
      </c>
      <c r="D8621" s="483">
        <v>192.44</v>
      </c>
      <c r="E8621" s="483">
        <v>192.44</v>
      </c>
    </row>
    <row r="8622" spans="1:5">
      <c r="A8622" s="484">
        <v>21120</v>
      </c>
      <c r="B8622" s="485" t="s">
        <v>6997</v>
      </c>
      <c r="C8622" s="484" t="s">
        <v>65</v>
      </c>
      <c r="D8622" s="486">
        <v>9.59</v>
      </c>
      <c r="E8622" s="486">
        <v>9.59</v>
      </c>
    </row>
    <row r="8623" spans="1:5">
      <c r="A8623" s="349">
        <v>39318</v>
      </c>
      <c r="B8623" s="348" t="s">
        <v>6998</v>
      </c>
      <c r="C8623" s="349" t="s">
        <v>65</v>
      </c>
      <c r="D8623" s="483">
        <v>7.91</v>
      </c>
      <c r="E8623" s="483">
        <v>7.91</v>
      </c>
    </row>
    <row r="8624" spans="1:5">
      <c r="A8624" s="484">
        <v>20162</v>
      </c>
      <c r="B8624" s="485" t="s">
        <v>7006</v>
      </c>
      <c r="C8624" s="484" t="s">
        <v>65</v>
      </c>
      <c r="D8624" s="486">
        <v>14.82</v>
      </c>
      <c r="E8624" s="486">
        <v>14.82</v>
      </c>
    </row>
    <row r="8625" spans="1:5">
      <c r="A8625" s="349">
        <v>1893</v>
      </c>
      <c r="B8625" s="348" t="s">
        <v>7007</v>
      </c>
      <c r="C8625" s="349" t="s">
        <v>65</v>
      </c>
      <c r="D8625" s="483">
        <v>1.7</v>
      </c>
      <c r="E8625" s="483">
        <v>1.7</v>
      </c>
    </row>
    <row r="8626" spans="1:5">
      <c r="A8626" s="484">
        <v>1902</v>
      </c>
      <c r="B8626" s="485" t="s">
        <v>7008</v>
      </c>
      <c r="C8626" s="484" t="s">
        <v>65</v>
      </c>
      <c r="D8626" s="486">
        <v>1.23</v>
      </c>
      <c r="E8626" s="486">
        <v>1.23</v>
      </c>
    </row>
    <row r="8627" spans="1:5">
      <c r="A8627" s="349">
        <v>1901</v>
      </c>
      <c r="B8627" s="348" t="s">
        <v>7010</v>
      </c>
      <c r="C8627" s="349" t="s">
        <v>65</v>
      </c>
      <c r="D8627" s="483">
        <v>0.38</v>
      </c>
      <c r="E8627" s="483">
        <v>0.38</v>
      </c>
    </row>
    <row r="8628" spans="1:5">
      <c r="A8628" s="484">
        <v>1892</v>
      </c>
      <c r="B8628" s="485" t="s">
        <v>7009</v>
      </c>
      <c r="C8628" s="484" t="s">
        <v>65</v>
      </c>
      <c r="D8628" s="486">
        <v>0.79</v>
      </c>
      <c r="E8628" s="486">
        <v>0.79</v>
      </c>
    </row>
    <row r="8629" spans="1:5">
      <c r="A8629" s="349">
        <v>1907</v>
      </c>
      <c r="B8629" s="348" t="s">
        <v>7011</v>
      </c>
      <c r="C8629" s="349" t="s">
        <v>65</v>
      </c>
      <c r="D8629" s="483">
        <v>5.47</v>
      </c>
      <c r="E8629" s="483">
        <v>5.47</v>
      </c>
    </row>
    <row r="8630" spans="1:5">
      <c r="A8630" s="484">
        <v>1894</v>
      </c>
      <c r="B8630" s="485" t="s">
        <v>7012</v>
      </c>
      <c r="C8630" s="484" t="s">
        <v>65</v>
      </c>
      <c r="D8630" s="486">
        <v>2.46</v>
      </c>
      <c r="E8630" s="486">
        <v>2.46</v>
      </c>
    </row>
    <row r="8631" spans="1:5">
      <c r="A8631" s="349">
        <v>1891</v>
      </c>
      <c r="B8631" s="348" t="s">
        <v>7014</v>
      </c>
      <c r="C8631" s="349" t="s">
        <v>65</v>
      </c>
      <c r="D8631" s="483">
        <v>0.56999999999999995</v>
      </c>
      <c r="E8631" s="483">
        <v>0.56999999999999995</v>
      </c>
    </row>
    <row r="8632" spans="1:5">
      <c r="A8632" s="484">
        <v>1896</v>
      </c>
      <c r="B8632" s="485" t="s">
        <v>7013</v>
      </c>
      <c r="C8632" s="484" t="s">
        <v>65</v>
      </c>
      <c r="D8632" s="486">
        <v>7.35</v>
      </c>
      <c r="E8632" s="486">
        <v>7.35</v>
      </c>
    </row>
    <row r="8633" spans="1:5">
      <c r="A8633" s="349">
        <v>1895</v>
      </c>
      <c r="B8633" s="348" t="s">
        <v>7015</v>
      </c>
      <c r="C8633" s="349" t="s">
        <v>65</v>
      </c>
      <c r="D8633" s="483">
        <v>12.92</v>
      </c>
      <c r="E8633" s="483">
        <v>12.92</v>
      </c>
    </row>
    <row r="8634" spans="1:5">
      <c r="A8634" s="484">
        <v>2641</v>
      </c>
      <c r="B8634" s="485" t="s">
        <v>19645</v>
      </c>
      <c r="C8634" s="484" t="s">
        <v>65</v>
      </c>
      <c r="D8634" s="486">
        <v>13.92</v>
      </c>
      <c r="E8634" s="486">
        <v>13.92</v>
      </c>
    </row>
    <row r="8635" spans="1:5">
      <c r="A8635" s="349">
        <v>2636</v>
      </c>
      <c r="B8635" s="348" t="s">
        <v>19646</v>
      </c>
      <c r="C8635" s="349" t="s">
        <v>65</v>
      </c>
      <c r="D8635" s="483">
        <v>0.89</v>
      </c>
      <c r="E8635" s="483">
        <v>0.89</v>
      </c>
    </row>
    <row r="8636" spans="1:5">
      <c r="A8636" s="484">
        <v>2637</v>
      </c>
      <c r="B8636" s="485" t="s">
        <v>19647</v>
      </c>
      <c r="C8636" s="484" t="s">
        <v>65</v>
      </c>
      <c r="D8636" s="486">
        <v>0.95</v>
      </c>
      <c r="E8636" s="486">
        <v>0.95</v>
      </c>
    </row>
    <row r="8637" spans="1:5">
      <c r="A8637" s="349">
        <v>2638</v>
      </c>
      <c r="B8637" s="348" t="s">
        <v>19648</v>
      </c>
      <c r="C8637" s="349" t="s">
        <v>65</v>
      </c>
      <c r="D8637" s="483">
        <v>1.1100000000000001</v>
      </c>
      <c r="E8637" s="483">
        <v>1.1100000000000001</v>
      </c>
    </row>
    <row r="8638" spans="1:5">
      <c r="A8638" s="484">
        <v>2639</v>
      </c>
      <c r="B8638" s="485" t="s">
        <v>19649</v>
      </c>
      <c r="C8638" s="484" t="s">
        <v>65</v>
      </c>
      <c r="D8638" s="486">
        <v>1.96</v>
      </c>
      <c r="E8638" s="486">
        <v>1.96</v>
      </c>
    </row>
    <row r="8639" spans="1:5">
      <c r="A8639" s="349">
        <v>2644</v>
      </c>
      <c r="B8639" s="348" t="s">
        <v>19650</v>
      </c>
      <c r="C8639" s="349" t="s">
        <v>65</v>
      </c>
      <c r="D8639" s="483">
        <v>2.84</v>
      </c>
      <c r="E8639" s="483">
        <v>2.84</v>
      </c>
    </row>
    <row r="8640" spans="1:5">
      <c r="A8640" s="484">
        <v>2643</v>
      </c>
      <c r="B8640" s="485" t="s">
        <v>19651</v>
      </c>
      <c r="C8640" s="484" t="s">
        <v>65</v>
      </c>
      <c r="D8640" s="486">
        <v>3.97</v>
      </c>
      <c r="E8640" s="486">
        <v>3.97</v>
      </c>
    </row>
    <row r="8641" spans="1:5">
      <c r="A8641" s="349">
        <v>2640</v>
      </c>
      <c r="B8641" s="348" t="s">
        <v>19652</v>
      </c>
      <c r="C8641" s="349" t="s">
        <v>65</v>
      </c>
      <c r="D8641" s="483">
        <v>5.79</v>
      </c>
      <c r="E8641" s="483">
        <v>5.79</v>
      </c>
    </row>
    <row r="8642" spans="1:5">
      <c r="A8642" s="484">
        <v>2642</v>
      </c>
      <c r="B8642" s="485" t="s">
        <v>19653</v>
      </c>
      <c r="C8642" s="484" t="s">
        <v>65</v>
      </c>
      <c r="D8642" s="486">
        <v>8.82</v>
      </c>
      <c r="E8642" s="486">
        <v>8.82</v>
      </c>
    </row>
    <row r="8643" spans="1:5">
      <c r="A8643" s="349">
        <v>39855</v>
      </c>
      <c r="B8643" s="348" t="s">
        <v>7033</v>
      </c>
      <c r="C8643" s="349" t="s">
        <v>65</v>
      </c>
      <c r="D8643" s="483">
        <v>1.36</v>
      </c>
      <c r="E8643" s="483">
        <v>1.36</v>
      </c>
    </row>
    <row r="8644" spans="1:5">
      <c r="A8644" s="484">
        <v>39856</v>
      </c>
      <c r="B8644" s="485" t="s">
        <v>7034</v>
      </c>
      <c r="C8644" s="484" t="s">
        <v>65</v>
      </c>
      <c r="D8644" s="486">
        <v>3.22</v>
      </c>
      <c r="E8644" s="486">
        <v>3.22</v>
      </c>
    </row>
    <row r="8645" spans="1:5">
      <c r="A8645" s="349">
        <v>39857</v>
      </c>
      <c r="B8645" s="348" t="s">
        <v>7035</v>
      </c>
      <c r="C8645" s="349" t="s">
        <v>65</v>
      </c>
      <c r="D8645" s="483">
        <v>5.21</v>
      </c>
      <c r="E8645" s="483">
        <v>5.21</v>
      </c>
    </row>
    <row r="8646" spans="1:5">
      <c r="A8646" s="484">
        <v>39858</v>
      </c>
      <c r="B8646" s="485" t="s">
        <v>7036</v>
      </c>
      <c r="C8646" s="484" t="s">
        <v>65</v>
      </c>
      <c r="D8646" s="486">
        <v>11.57</v>
      </c>
      <c r="E8646" s="486">
        <v>11.57</v>
      </c>
    </row>
    <row r="8647" spans="1:5">
      <c r="A8647" s="349">
        <v>39859</v>
      </c>
      <c r="B8647" s="348" t="s">
        <v>7037</v>
      </c>
      <c r="C8647" s="349" t="s">
        <v>65</v>
      </c>
      <c r="D8647" s="483">
        <v>17.84</v>
      </c>
      <c r="E8647" s="483">
        <v>17.84</v>
      </c>
    </row>
    <row r="8648" spans="1:5">
      <c r="A8648" s="484">
        <v>39860</v>
      </c>
      <c r="B8648" s="485" t="s">
        <v>7038</v>
      </c>
      <c r="C8648" s="484" t="s">
        <v>65</v>
      </c>
      <c r="D8648" s="486">
        <v>27.38</v>
      </c>
      <c r="E8648" s="486">
        <v>27.38</v>
      </c>
    </row>
    <row r="8649" spans="1:5">
      <c r="A8649" s="349">
        <v>39861</v>
      </c>
      <c r="B8649" s="348" t="s">
        <v>7039</v>
      </c>
      <c r="C8649" s="349" t="s">
        <v>65</v>
      </c>
      <c r="D8649" s="483">
        <v>78.17</v>
      </c>
      <c r="E8649" s="483">
        <v>78.17</v>
      </c>
    </row>
    <row r="8650" spans="1:5">
      <c r="A8650" s="484">
        <v>3867</v>
      </c>
      <c r="B8650" s="485" t="s">
        <v>7052</v>
      </c>
      <c r="C8650" s="484" t="s">
        <v>65</v>
      </c>
      <c r="D8650" s="486">
        <v>58.83</v>
      </c>
      <c r="E8650" s="486">
        <v>58.83</v>
      </c>
    </row>
    <row r="8651" spans="1:5">
      <c r="A8651" s="349">
        <v>3861</v>
      </c>
      <c r="B8651" s="348" t="s">
        <v>7053</v>
      </c>
      <c r="C8651" s="349" t="s">
        <v>65</v>
      </c>
      <c r="D8651" s="483">
        <v>0.6</v>
      </c>
      <c r="E8651" s="483">
        <v>0.6</v>
      </c>
    </row>
    <row r="8652" spans="1:5">
      <c r="A8652" s="484">
        <v>3904</v>
      </c>
      <c r="B8652" s="485" t="s">
        <v>7054</v>
      </c>
      <c r="C8652" s="484" t="s">
        <v>65</v>
      </c>
      <c r="D8652" s="486">
        <v>0.67</v>
      </c>
      <c r="E8652" s="486">
        <v>0.67</v>
      </c>
    </row>
    <row r="8653" spans="1:5">
      <c r="A8653" s="349">
        <v>3903</v>
      </c>
      <c r="B8653" s="348" t="s">
        <v>7055</v>
      </c>
      <c r="C8653" s="349" t="s">
        <v>65</v>
      </c>
      <c r="D8653" s="483">
        <v>1.42</v>
      </c>
      <c r="E8653" s="483">
        <v>1.42</v>
      </c>
    </row>
    <row r="8654" spans="1:5">
      <c r="A8654" s="484">
        <v>3862</v>
      </c>
      <c r="B8654" s="485" t="s">
        <v>7056</v>
      </c>
      <c r="C8654" s="484" t="s">
        <v>65</v>
      </c>
      <c r="D8654" s="486">
        <v>3.16</v>
      </c>
      <c r="E8654" s="486">
        <v>3.16</v>
      </c>
    </row>
    <row r="8655" spans="1:5">
      <c r="A8655" s="349">
        <v>3863</v>
      </c>
      <c r="B8655" s="348" t="s">
        <v>7057</v>
      </c>
      <c r="C8655" s="349" t="s">
        <v>65</v>
      </c>
      <c r="D8655" s="483">
        <v>3.71</v>
      </c>
      <c r="E8655" s="483">
        <v>3.71</v>
      </c>
    </row>
    <row r="8656" spans="1:5">
      <c r="A8656" s="484">
        <v>3864</v>
      </c>
      <c r="B8656" s="485" t="s">
        <v>7058</v>
      </c>
      <c r="C8656" s="484" t="s">
        <v>65</v>
      </c>
      <c r="D8656" s="486">
        <v>10.14</v>
      </c>
      <c r="E8656" s="486">
        <v>10.14</v>
      </c>
    </row>
    <row r="8657" spans="1:5">
      <c r="A8657" s="349">
        <v>3865</v>
      </c>
      <c r="B8657" s="348" t="s">
        <v>7059</v>
      </c>
      <c r="C8657" s="349" t="s">
        <v>65</v>
      </c>
      <c r="D8657" s="483">
        <v>15.17</v>
      </c>
      <c r="E8657" s="483">
        <v>15.17</v>
      </c>
    </row>
    <row r="8658" spans="1:5">
      <c r="A8658" s="484">
        <v>3866</v>
      </c>
      <c r="B8658" s="485" t="s">
        <v>7060</v>
      </c>
      <c r="C8658" s="484" t="s">
        <v>65</v>
      </c>
      <c r="D8658" s="486">
        <v>34.57</v>
      </c>
      <c r="E8658" s="486">
        <v>34.57</v>
      </c>
    </row>
    <row r="8659" spans="1:5">
      <c r="A8659" s="349">
        <v>3902</v>
      </c>
      <c r="B8659" s="348" t="s">
        <v>7061</v>
      </c>
      <c r="C8659" s="349" t="s">
        <v>65</v>
      </c>
      <c r="D8659" s="483">
        <v>19.5</v>
      </c>
      <c r="E8659" s="483">
        <v>19.5</v>
      </c>
    </row>
    <row r="8660" spans="1:5">
      <c r="A8660" s="484">
        <v>3878</v>
      </c>
      <c r="B8660" s="485" t="s">
        <v>7062</v>
      </c>
      <c r="C8660" s="484" t="s">
        <v>65</v>
      </c>
      <c r="D8660" s="486">
        <v>6.16</v>
      </c>
      <c r="E8660" s="486">
        <v>6.16</v>
      </c>
    </row>
    <row r="8661" spans="1:5">
      <c r="A8661" s="349">
        <v>3877</v>
      </c>
      <c r="B8661" s="348" t="s">
        <v>7063</v>
      </c>
      <c r="C8661" s="349" t="s">
        <v>65</v>
      </c>
      <c r="D8661" s="483">
        <v>5.61</v>
      </c>
      <c r="E8661" s="483">
        <v>5.61</v>
      </c>
    </row>
    <row r="8662" spans="1:5">
      <c r="A8662" s="484">
        <v>3879</v>
      </c>
      <c r="B8662" s="485" t="s">
        <v>7064</v>
      </c>
      <c r="C8662" s="484" t="s">
        <v>65</v>
      </c>
      <c r="D8662" s="486">
        <v>12.41</v>
      </c>
      <c r="E8662" s="486">
        <v>12.41</v>
      </c>
    </row>
    <row r="8663" spans="1:5">
      <c r="A8663" s="349">
        <v>3880</v>
      </c>
      <c r="B8663" s="348" t="s">
        <v>7065</v>
      </c>
      <c r="C8663" s="349" t="s">
        <v>65</v>
      </c>
      <c r="D8663" s="483">
        <v>28.04</v>
      </c>
      <c r="E8663" s="483">
        <v>28.04</v>
      </c>
    </row>
    <row r="8664" spans="1:5">
      <c r="A8664" s="484">
        <v>3901</v>
      </c>
      <c r="B8664" s="485" t="s">
        <v>7066</v>
      </c>
      <c r="C8664" s="484" t="s">
        <v>65</v>
      </c>
      <c r="D8664" s="486">
        <v>35.81</v>
      </c>
      <c r="E8664" s="486">
        <v>35.81</v>
      </c>
    </row>
    <row r="8665" spans="1:5">
      <c r="A8665" s="349">
        <v>12892</v>
      </c>
      <c r="B8665" s="348" t="s">
        <v>7069</v>
      </c>
      <c r="C8665" s="349" t="s">
        <v>131</v>
      </c>
      <c r="D8665" s="483">
        <v>8.5500000000000007</v>
      </c>
      <c r="E8665" s="483">
        <v>8.5500000000000007</v>
      </c>
    </row>
    <row r="8666" spans="1:5">
      <c r="A8666" s="484">
        <v>3883</v>
      </c>
      <c r="B8666" s="485" t="s">
        <v>7074</v>
      </c>
      <c r="C8666" s="484" t="s">
        <v>65</v>
      </c>
      <c r="D8666" s="486">
        <v>1.07</v>
      </c>
      <c r="E8666" s="486">
        <v>1.07</v>
      </c>
    </row>
    <row r="8667" spans="1:5">
      <c r="A8667" s="349">
        <v>3876</v>
      </c>
      <c r="B8667" s="348" t="s">
        <v>7073</v>
      </c>
      <c r="C8667" s="349" t="s">
        <v>65</v>
      </c>
      <c r="D8667" s="483">
        <v>2.79</v>
      </c>
      <c r="E8667" s="483">
        <v>2.79</v>
      </c>
    </row>
    <row r="8668" spans="1:5">
      <c r="A8668" s="484">
        <v>3884</v>
      </c>
      <c r="B8668" s="485" t="s">
        <v>7075</v>
      </c>
      <c r="C8668" s="484" t="s">
        <v>65</v>
      </c>
      <c r="D8668" s="486">
        <v>1.6</v>
      </c>
      <c r="E8668" s="486">
        <v>1.6</v>
      </c>
    </row>
    <row r="8669" spans="1:5">
      <c r="A8669" s="349">
        <v>3837</v>
      </c>
      <c r="B8669" s="348" t="s">
        <v>7076</v>
      </c>
      <c r="C8669" s="349" t="s">
        <v>65</v>
      </c>
      <c r="D8669" s="483">
        <v>34.729999999999997</v>
      </c>
      <c r="E8669" s="483">
        <v>34.729999999999997</v>
      </c>
    </row>
    <row r="8670" spans="1:5">
      <c r="A8670" s="484">
        <v>3845</v>
      </c>
      <c r="B8670" s="485" t="s">
        <v>7077</v>
      </c>
      <c r="C8670" s="484" t="s">
        <v>65</v>
      </c>
      <c r="D8670" s="486">
        <v>10.11</v>
      </c>
      <c r="E8670" s="486">
        <v>10.11</v>
      </c>
    </row>
    <row r="8671" spans="1:5">
      <c r="A8671" s="349">
        <v>11045</v>
      </c>
      <c r="B8671" s="348" t="s">
        <v>7078</v>
      </c>
      <c r="C8671" s="349" t="s">
        <v>65</v>
      </c>
      <c r="D8671" s="483">
        <v>21.07</v>
      </c>
      <c r="E8671" s="483">
        <v>21.07</v>
      </c>
    </row>
    <row r="8672" spans="1:5">
      <c r="A8672" s="484">
        <v>20170</v>
      </c>
      <c r="B8672" s="485" t="s">
        <v>7079</v>
      </c>
      <c r="C8672" s="484" t="s">
        <v>65</v>
      </c>
      <c r="D8672" s="486">
        <v>9.9</v>
      </c>
      <c r="E8672" s="486">
        <v>9.9</v>
      </c>
    </row>
    <row r="8673" spans="1:5">
      <c r="A8673" s="349">
        <v>20171</v>
      </c>
      <c r="B8673" s="348" t="s">
        <v>7080</v>
      </c>
      <c r="C8673" s="349" t="s">
        <v>65</v>
      </c>
      <c r="D8673" s="483">
        <v>31.04</v>
      </c>
      <c r="E8673" s="483">
        <v>31.04</v>
      </c>
    </row>
    <row r="8674" spans="1:5">
      <c r="A8674" s="484">
        <v>20167</v>
      </c>
      <c r="B8674" s="485" t="s">
        <v>7081</v>
      </c>
      <c r="C8674" s="484" t="s">
        <v>65</v>
      </c>
      <c r="D8674" s="486">
        <v>3.9</v>
      </c>
      <c r="E8674" s="486">
        <v>3.9</v>
      </c>
    </row>
    <row r="8675" spans="1:5">
      <c r="A8675" s="349">
        <v>20168</v>
      </c>
      <c r="B8675" s="348" t="s">
        <v>7082</v>
      </c>
      <c r="C8675" s="349" t="s">
        <v>65</v>
      </c>
      <c r="D8675" s="483">
        <v>5.82</v>
      </c>
      <c r="E8675" s="483">
        <v>5.82</v>
      </c>
    </row>
    <row r="8676" spans="1:5">
      <c r="A8676" s="484">
        <v>20169</v>
      </c>
      <c r="B8676" s="485" t="s">
        <v>7083</v>
      </c>
      <c r="C8676" s="484" t="s">
        <v>65</v>
      </c>
      <c r="D8676" s="486">
        <v>8.17</v>
      </c>
      <c r="E8676" s="486">
        <v>8.17</v>
      </c>
    </row>
    <row r="8677" spans="1:5">
      <c r="A8677" s="349">
        <v>3899</v>
      </c>
      <c r="B8677" s="348" t="s">
        <v>7099</v>
      </c>
      <c r="C8677" s="349" t="s">
        <v>65</v>
      </c>
      <c r="D8677" s="483">
        <v>5.35</v>
      </c>
      <c r="E8677" s="483">
        <v>5.35</v>
      </c>
    </row>
    <row r="8678" spans="1:5">
      <c r="A8678" s="484">
        <v>38676</v>
      </c>
      <c r="B8678" s="485" t="s">
        <v>7100</v>
      </c>
      <c r="C8678" s="484" t="s">
        <v>65</v>
      </c>
      <c r="D8678" s="486">
        <v>23.47</v>
      </c>
      <c r="E8678" s="486">
        <v>23.47</v>
      </c>
    </row>
    <row r="8679" spans="1:5">
      <c r="A8679" s="349">
        <v>3897</v>
      </c>
      <c r="B8679" s="348" t="s">
        <v>7102</v>
      </c>
      <c r="C8679" s="349" t="s">
        <v>65</v>
      </c>
      <c r="D8679" s="483">
        <v>1.0900000000000001</v>
      </c>
      <c r="E8679" s="483">
        <v>1.0900000000000001</v>
      </c>
    </row>
    <row r="8680" spans="1:5">
      <c r="A8680" s="484">
        <v>3875</v>
      </c>
      <c r="B8680" s="485" t="s">
        <v>7103</v>
      </c>
      <c r="C8680" s="484" t="s">
        <v>65</v>
      </c>
      <c r="D8680" s="486">
        <v>2.48</v>
      </c>
      <c r="E8680" s="486">
        <v>2.48</v>
      </c>
    </row>
    <row r="8681" spans="1:5">
      <c r="A8681" s="349">
        <v>3898</v>
      </c>
      <c r="B8681" s="348" t="s">
        <v>7104</v>
      </c>
      <c r="C8681" s="349" t="s">
        <v>65</v>
      </c>
      <c r="D8681" s="483">
        <v>4.5999999999999996</v>
      </c>
      <c r="E8681" s="483">
        <v>4.5999999999999996</v>
      </c>
    </row>
    <row r="8682" spans="1:5">
      <c r="A8682" s="484">
        <v>3855</v>
      </c>
      <c r="B8682" s="485" t="s">
        <v>7105</v>
      </c>
      <c r="C8682" s="484" t="s">
        <v>65</v>
      </c>
      <c r="D8682" s="486">
        <v>4.3499999999999996</v>
      </c>
      <c r="E8682" s="486">
        <v>4.3499999999999996</v>
      </c>
    </row>
    <row r="8683" spans="1:5">
      <c r="A8683" s="349">
        <v>3874</v>
      </c>
      <c r="B8683" s="348" t="s">
        <v>7106</v>
      </c>
      <c r="C8683" s="349" t="s">
        <v>65</v>
      </c>
      <c r="D8683" s="483">
        <v>4.6399999999999997</v>
      </c>
      <c r="E8683" s="483">
        <v>4.6399999999999997</v>
      </c>
    </row>
    <row r="8684" spans="1:5">
      <c r="A8684" s="484">
        <v>3870</v>
      </c>
      <c r="B8684" s="485" t="s">
        <v>7107</v>
      </c>
      <c r="C8684" s="484" t="s">
        <v>65</v>
      </c>
      <c r="D8684" s="486">
        <v>5.81</v>
      </c>
      <c r="E8684" s="486">
        <v>5.81</v>
      </c>
    </row>
    <row r="8685" spans="1:5">
      <c r="A8685" s="349">
        <v>38678</v>
      </c>
      <c r="B8685" s="348" t="s">
        <v>7108</v>
      </c>
      <c r="C8685" s="349" t="s">
        <v>65</v>
      </c>
      <c r="D8685" s="483">
        <v>13.4</v>
      </c>
      <c r="E8685" s="483">
        <v>13.4</v>
      </c>
    </row>
    <row r="8686" spans="1:5">
      <c r="A8686" s="484">
        <v>3859</v>
      </c>
      <c r="B8686" s="485" t="s">
        <v>7109</v>
      </c>
      <c r="C8686" s="484" t="s">
        <v>65</v>
      </c>
      <c r="D8686" s="486">
        <v>1.06</v>
      </c>
      <c r="E8686" s="486">
        <v>1.06</v>
      </c>
    </row>
    <row r="8687" spans="1:5">
      <c r="A8687" s="349">
        <v>3856</v>
      </c>
      <c r="B8687" s="348" t="s">
        <v>7110</v>
      </c>
      <c r="C8687" s="349" t="s">
        <v>65</v>
      </c>
      <c r="D8687" s="483">
        <v>1.6</v>
      </c>
      <c r="E8687" s="483">
        <v>1.6</v>
      </c>
    </row>
    <row r="8688" spans="1:5">
      <c r="A8688" s="484">
        <v>3906</v>
      </c>
      <c r="B8688" s="485" t="s">
        <v>7111</v>
      </c>
      <c r="C8688" s="484" t="s">
        <v>65</v>
      </c>
      <c r="D8688" s="486">
        <v>1.22</v>
      </c>
      <c r="E8688" s="486">
        <v>1.22</v>
      </c>
    </row>
    <row r="8689" spans="1:5">
      <c r="A8689" s="349">
        <v>3860</v>
      </c>
      <c r="B8689" s="348" t="s">
        <v>7112</v>
      </c>
      <c r="C8689" s="349" t="s">
        <v>65</v>
      </c>
      <c r="D8689" s="483">
        <v>3.89</v>
      </c>
      <c r="E8689" s="483">
        <v>3.89</v>
      </c>
    </row>
    <row r="8690" spans="1:5">
      <c r="A8690" s="484">
        <v>3905</v>
      </c>
      <c r="B8690" s="485" t="s">
        <v>7113</v>
      </c>
      <c r="C8690" s="484" t="s">
        <v>65</v>
      </c>
      <c r="D8690" s="486">
        <v>8.3699999999999992</v>
      </c>
      <c r="E8690" s="486">
        <v>8.3699999999999992</v>
      </c>
    </row>
    <row r="8691" spans="1:5">
      <c r="A8691" s="349">
        <v>3871</v>
      </c>
      <c r="B8691" s="348" t="s">
        <v>7114</v>
      </c>
      <c r="C8691" s="349" t="s">
        <v>65</v>
      </c>
      <c r="D8691" s="483">
        <v>14.75</v>
      </c>
      <c r="E8691" s="483">
        <v>14.75</v>
      </c>
    </row>
    <row r="8692" spans="1:5">
      <c r="A8692" s="484">
        <v>37429</v>
      </c>
      <c r="B8692" s="485" t="s">
        <v>7159</v>
      </c>
      <c r="C8692" s="484" t="s">
        <v>65</v>
      </c>
      <c r="D8692" s="486">
        <v>1548.31</v>
      </c>
      <c r="E8692" s="486">
        <v>1548.31</v>
      </c>
    </row>
    <row r="8693" spans="1:5">
      <c r="A8693" s="349">
        <v>37426</v>
      </c>
      <c r="B8693" s="348" t="s">
        <v>7160</v>
      </c>
      <c r="C8693" s="349" t="s">
        <v>65</v>
      </c>
      <c r="D8693" s="483">
        <v>14.89</v>
      </c>
      <c r="E8693" s="483">
        <v>14.89</v>
      </c>
    </row>
    <row r="8694" spans="1:5">
      <c r="A8694" s="484">
        <v>37427</v>
      </c>
      <c r="B8694" s="485" t="s">
        <v>7161</v>
      </c>
      <c r="C8694" s="484" t="s">
        <v>65</v>
      </c>
      <c r="D8694" s="486">
        <v>35.520000000000003</v>
      </c>
      <c r="E8694" s="486">
        <v>35.520000000000003</v>
      </c>
    </row>
    <row r="8695" spans="1:5">
      <c r="A8695" s="349">
        <v>37424</v>
      </c>
      <c r="B8695" s="348" t="s">
        <v>7162</v>
      </c>
      <c r="C8695" s="349" t="s">
        <v>65</v>
      </c>
      <c r="D8695" s="483">
        <v>6.84</v>
      </c>
      <c r="E8695" s="483">
        <v>6.84</v>
      </c>
    </row>
    <row r="8696" spans="1:5">
      <c r="A8696" s="484">
        <v>37428</v>
      </c>
      <c r="B8696" s="485" t="s">
        <v>7163</v>
      </c>
      <c r="C8696" s="484" t="s">
        <v>65</v>
      </c>
      <c r="D8696" s="486">
        <v>122.43</v>
      </c>
      <c r="E8696" s="486">
        <v>122.43</v>
      </c>
    </row>
    <row r="8697" spans="1:5">
      <c r="A8697" s="349">
        <v>37425</v>
      </c>
      <c r="B8697" s="348" t="s">
        <v>7164</v>
      </c>
      <c r="C8697" s="349" t="s">
        <v>65</v>
      </c>
      <c r="D8697" s="483">
        <v>7.37</v>
      </c>
      <c r="E8697" s="483">
        <v>7.37</v>
      </c>
    </row>
    <row r="8698" spans="1:5" ht="30">
      <c r="A8698" s="484">
        <v>11519</v>
      </c>
      <c r="B8698" s="485" t="s">
        <v>7185</v>
      </c>
      <c r="C8698" s="484" t="s">
        <v>131</v>
      </c>
      <c r="D8698" s="486">
        <v>30.69</v>
      </c>
      <c r="E8698" s="486">
        <v>30.69</v>
      </c>
    </row>
    <row r="8699" spans="1:5" ht="30">
      <c r="A8699" s="349">
        <v>11520</v>
      </c>
      <c r="B8699" s="348" t="s">
        <v>7186</v>
      </c>
      <c r="C8699" s="349" t="s">
        <v>131</v>
      </c>
      <c r="D8699" s="483">
        <v>12.17</v>
      </c>
      <c r="E8699" s="483">
        <v>12.17</v>
      </c>
    </row>
    <row r="8700" spans="1:5" ht="30">
      <c r="A8700" s="484">
        <v>11518</v>
      </c>
      <c r="B8700" s="485" t="s">
        <v>7187</v>
      </c>
      <c r="C8700" s="484" t="s">
        <v>131</v>
      </c>
      <c r="D8700" s="486">
        <v>35.409999999999997</v>
      </c>
      <c r="E8700" s="486">
        <v>35.409999999999997</v>
      </c>
    </row>
    <row r="8701" spans="1:5">
      <c r="A8701" s="349">
        <v>38473</v>
      </c>
      <c r="B8701" s="348" t="s">
        <v>7188</v>
      </c>
      <c r="C8701" s="349" t="s">
        <v>65</v>
      </c>
      <c r="D8701" s="483">
        <v>80.08</v>
      </c>
      <c r="E8701" s="483">
        <v>80.08</v>
      </c>
    </row>
    <row r="8702" spans="1:5">
      <c r="A8702" s="484">
        <v>4244</v>
      </c>
      <c r="B8702" s="485" t="s">
        <v>7189</v>
      </c>
      <c r="C8702" s="484" t="s">
        <v>57</v>
      </c>
      <c r="D8702" s="486">
        <v>37.130000000000003</v>
      </c>
      <c r="E8702" s="486">
        <v>37.130000000000003</v>
      </c>
    </row>
    <row r="8703" spans="1:5">
      <c r="A8703" s="349">
        <v>40977</v>
      </c>
      <c r="B8703" s="348" t="s">
        <v>7190</v>
      </c>
      <c r="C8703" s="349" t="s">
        <v>1643</v>
      </c>
      <c r="D8703" s="483">
        <v>6541.63</v>
      </c>
      <c r="E8703" s="483">
        <v>6541.63</v>
      </c>
    </row>
    <row r="8704" spans="1:5">
      <c r="A8704" s="484">
        <v>4006</v>
      </c>
      <c r="B8704" s="485" t="s">
        <v>7193</v>
      </c>
      <c r="C8704" s="484" t="s">
        <v>255</v>
      </c>
      <c r="D8704" s="486">
        <v>389.28</v>
      </c>
      <c r="E8704" s="486">
        <v>389.28</v>
      </c>
    </row>
    <row r="8705" spans="1:5" ht="30">
      <c r="A8705" s="349">
        <v>2742</v>
      </c>
      <c r="B8705" s="348" t="s">
        <v>7194</v>
      </c>
      <c r="C8705" s="349" t="s">
        <v>71</v>
      </c>
      <c r="D8705" s="483">
        <v>1.67</v>
      </c>
      <c r="E8705" s="483">
        <v>1.67</v>
      </c>
    </row>
    <row r="8706" spans="1:5" ht="30">
      <c r="A8706" s="484">
        <v>2748</v>
      </c>
      <c r="B8706" s="485" t="s">
        <v>7195</v>
      </c>
      <c r="C8706" s="484" t="s">
        <v>71</v>
      </c>
      <c r="D8706" s="486">
        <v>4.9000000000000004</v>
      </c>
      <c r="E8706" s="486">
        <v>4.9000000000000004</v>
      </c>
    </row>
    <row r="8707" spans="1:5" ht="30">
      <c r="A8707" s="349">
        <v>2736</v>
      </c>
      <c r="B8707" s="348" t="s">
        <v>7196</v>
      </c>
      <c r="C8707" s="349" t="s">
        <v>71</v>
      </c>
      <c r="D8707" s="483">
        <v>6.84</v>
      </c>
      <c r="E8707" s="483">
        <v>6.84</v>
      </c>
    </row>
    <row r="8708" spans="1:5" ht="30">
      <c r="A8708" s="484">
        <v>2745</v>
      </c>
      <c r="B8708" s="485" t="s">
        <v>7197</v>
      </c>
      <c r="C8708" s="484" t="s">
        <v>71</v>
      </c>
      <c r="D8708" s="486">
        <v>1.38</v>
      </c>
      <c r="E8708" s="486">
        <v>1.38</v>
      </c>
    </row>
    <row r="8709" spans="1:5" ht="30">
      <c r="A8709" s="349">
        <v>2751</v>
      </c>
      <c r="B8709" s="348" t="s">
        <v>7198</v>
      </c>
      <c r="C8709" s="349" t="s">
        <v>71</v>
      </c>
      <c r="D8709" s="483">
        <v>1.76</v>
      </c>
      <c r="E8709" s="483">
        <v>1.76</v>
      </c>
    </row>
    <row r="8710" spans="1:5" ht="30">
      <c r="A8710" s="484">
        <v>14439</v>
      </c>
      <c r="B8710" s="485" t="s">
        <v>7199</v>
      </c>
      <c r="C8710" s="484" t="s">
        <v>71</v>
      </c>
      <c r="D8710" s="486">
        <v>1.56</v>
      </c>
      <c r="E8710" s="486">
        <v>1.56</v>
      </c>
    </row>
    <row r="8711" spans="1:5" ht="30">
      <c r="A8711" s="349">
        <v>2731</v>
      </c>
      <c r="B8711" s="348" t="s">
        <v>7200</v>
      </c>
      <c r="C8711" s="349" t="s">
        <v>71</v>
      </c>
      <c r="D8711" s="483">
        <v>62.39</v>
      </c>
      <c r="E8711" s="483">
        <v>62.39</v>
      </c>
    </row>
    <row r="8712" spans="1:5" ht="30">
      <c r="A8712" s="484">
        <v>21138</v>
      </c>
      <c r="B8712" s="485" t="s">
        <v>7201</v>
      </c>
      <c r="C8712" s="484" t="s">
        <v>71</v>
      </c>
      <c r="D8712" s="486">
        <v>6.77</v>
      </c>
      <c r="E8712" s="486">
        <v>6.77</v>
      </c>
    </row>
    <row r="8713" spans="1:5" ht="30">
      <c r="A8713" s="349">
        <v>2747</v>
      </c>
      <c r="B8713" s="348" t="s">
        <v>7202</v>
      </c>
      <c r="C8713" s="349" t="s">
        <v>71</v>
      </c>
      <c r="D8713" s="483">
        <v>16.73</v>
      </c>
      <c r="E8713" s="483">
        <v>16.73</v>
      </c>
    </row>
    <row r="8714" spans="1:5">
      <c r="A8714" s="484">
        <v>4115</v>
      </c>
      <c r="B8714" s="485" t="s">
        <v>7203</v>
      </c>
      <c r="C8714" s="484" t="s">
        <v>71</v>
      </c>
      <c r="D8714" s="486">
        <v>13.1</v>
      </c>
      <c r="E8714" s="486">
        <v>13.1</v>
      </c>
    </row>
    <row r="8715" spans="1:5" ht="30">
      <c r="A8715" s="349">
        <v>2729</v>
      </c>
      <c r="B8715" s="348" t="s">
        <v>7204</v>
      </c>
      <c r="C8715" s="349" t="s">
        <v>65</v>
      </c>
      <c r="D8715" s="483">
        <v>15.77</v>
      </c>
      <c r="E8715" s="483">
        <v>15.77</v>
      </c>
    </row>
    <row r="8716" spans="1:5">
      <c r="A8716" s="484">
        <v>4119</v>
      </c>
      <c r="B8716" s="485" t="s">
        <v>7205</v>
      </c>
      <c r="C8716" s="484" t="s">
        <v>71</v>
      </c>
      <c r="D8716" s="486">
        <v>26.35</v>
      </c>
      <c r="E8716" s="486">
        <v>26.35</v>
      </c>
    </row>
    <row r="8717" spans="1:5">
      <c r="A8717" s="349">
        <v>2794</v>
      </c>
      <c r="B8717" s="348" t="s">
        <v>7206</v>
      </c>
      <c r="C8717" s="349" t="s">
        <v>71</v>
      </c>
      <c r="D8717" s="483">
        <v>65.069999999999993</v>
      </c>
      <c r="E8717" s="483">
        <v>65.069999999999993</v>
      </c>
    </row>
    <row r="8718" spans="1:5">
      <c r="A8718" s="484">
        <v>2788</v>
      </c>
      <c r="B8718" s="485" t="s">
        <v>7207</v>
      </c>
      <c r="C8718" s="484" t="s">
        <v>71</v>
      </c>
      <c r="D8718" s="486">
        <v>131.55000000000001</v>
      </c>
      <c r="E8718" s="486">
        <v>131.55000000000001</v>
      </c>
    </row>
    <row r="8719" spans="1:5">
      <c r="A8719" s="349">
        <v>3989</v>
      </c>
      <c r="B8719" s="348" t="s">
        <v>7208</v>
      </c>
      <c r="C8719" s="349" t="s">
        <v>255</v>
      </c>
      <c r="D8719" s="483">
        <v>1439.54</v>
      </c>
      <c r="E8719" s="483">
        <v>1439.54</v>
      </c>
    </row>
    <row r="8720" spans="1:5" ht="30">
      <c r="A8720" s="484">
        <v>3997</v>
      </c>
      <c r="B8720" s="485" t="s">
        <v>7209</v>
      </c>
      <c r="C8720" s="484" t="s">
        <v>255</v>
      </c>
      <c r="D8720" s="486">
        <v>1701.12</v>
      </c>
      <c r="E8720" s="486">
        <v>1701.12</v>
      </c>
    </row>
    <row r="8721" spans="1:5">
      <c r="A8721" s="349">
        <v>4004</v>
      </c>
      <c r="B8721" s="348" t="s">
        <v>7191</v>
      </c>
      <c r="C8721" s="349" t="s">
        <v>255</v>
      </c>
      <c r="D8721" s="483">
        <v>1150</v>
      </c>
      <c r="E8721" s="483">
        <v>1150</v>
      </c>
    </row>
    <row r="8722" spans="1:5">
      <c r="A8722" s="484">
        <v>11836</v>
      </c>
      <c r="B8722" s="485" t="s">
        <v>7192</v>
      </c>
      <c r="C8722" s="484" t="s">
        <v>255</v>
      </c>
      <c r="D8722" s="486">
        <v>1361.84</v>
      </c>
      <c r="E8722" s="486">
        <v>1361.84</v>
      </c>
    </row>
    <row r="8723" spans="1:5">
      <c r="A8723" s="349">
        <v>36151</v>
      </c>
      <c r="B8723" s="348" t="s">
        <v>7210</v>
      </c>
      <c r="C8723" s="349" t="s">
        <v>65</v>
      </c>
      <c r="D8723" s="483">
        <v>19</v>
      </c>
      <c r="E8723" s="483">
        <v>19</v>
      </c>
    </row>
    <row r="8724" spans="1:5">
      <c r="A8724" s="484">
        <v>37457</v>
      </c>
      <c r="B8724" s="485" t="s">
        <v>7211</v>
      </c>
      <c r="C8724" s="484" t="s">
        <v>71</v>
      </c>
      <c r="D8724" s="486">
        <v>1.1599999999999999</v>
      </c>
      <c r="E8724" s="486">
        <v>1.1599999999999999</v>
      </c>
    </row>
    <row r="8725" spans="1:5">
      <c r="A8725" s="349">
        <v>37456</v>
      </c>
      <c r="B8725" s="348" t="s">
        <v>7212</v>
      </c>
      <c r="C8725" s="349" t="s">
        <v>71</v>
      </c>
      <c r="D8725" s="483">
        <v>0.61</v>
      </c>
      <c r="E8725" s="483">
        <v>0.61</v>
      </c>
    </row>
    <row r="8726" spans="1:5" ht="30">
      <c r="A8726" s="484">
        <v>37461</v>
      </c>
      <c r="B8726" s="485" t="s">
        <v>19654</v>
      </c>
      <c r="C8726" s="484" t="s">
        <v>71</v>
      </c>
      <c r="D8726" s="486">
        <v>4.3</v>
      </c>
      <c r="E8726" s="486">
        <v>4.3</v>
      </c>
    </row>
    <row r="8727" spans="1:5" ht="30">
      <c r="A8727" s="349">
        <v>37460</v>
      </c>
      <c r="B8727" s="348" t="s">
        <v>11429</v>
      </c>
      <c r="C8727" s="349" t="s">
        <v>71</v>
      </c>
      <c r="D8727" s="483">
        <v>5.88</v>
      </c>
      <c r="E8727" s="483">
        <v>5.88</v>
      </c>
    </row>
    <row r="8728" spans="1:5">
      <c r="A8728" s="484">
        <v>37458</v>
      </c>
      <c r="B8728" s="485" t="s">
        <v>7214</v>
      </c>
      <c r="C8728" s="484" t="s">
        <v>71</v>
      </c>
      <c r="D8728" s="486">
        <v>1.72</v>
      </c>
      <c r="E8728" s="486">
        <v>1.72</v>
      </c>
    </row>
    <row r="8729" spans="1:5">
      <c r="A8729" s="349">
        <v>37454</v>
      </c>
      <c r="B8729" s="348" t="s">
        <v>7215</v>
      </c>
      <c r="C8729" s="349" t="s">
        <v>71</v>
      </c>
      <c r="D8729" s="483">
        <v>0.45</v>
      </c>
      <c r="E8729" s="483">
        <v>0.45</v>
      </c>
    </row>
    <row r="8730" spans="1:5">
      <c r="A8730" s="484">
        <v>37455</v>
      </c>
      <c r="B8730" s="485" t="s">
        <v>7216</v>
      </c>
      <c r="C8730" s="484" t="s">
        <v>71</v>
      </c>
      <c r="D8730" s="486">
        <v>0.76</v>
      </c>
      <c r="E8730" s="486">
        <v>0.76</v>
      </c>
    </row>
    <row r="8731" spans="1:5">
      <c r="A8731" s="349">
        <v>37459</v>
      </c>
      <c r="B8731" s="348" t="s">
        <v>7217</v>
      </c>
      <c r="C8731" s="349" t="s">
        <v>71</v>
      </c>
      <c r="D8731" s="483">
        <v>2.42</v>
      </c>
      <c r="E8731" s="483">
        <v>2.42</v>
      </c>
    </row>
    <row r="8732" spans="1:5" ht="30">
      <c r="A8732" s="484">
        <v>21029</v>
      </c>
      <c r="B8732" s="485" t="s">
        <v>7218</v>
      </c>
      <c r="C8732" s="484" t="s">
        <v>65</v>
      </c>
      <c r="D8732" s="486">
        <v>290.19</v>
      </c>
      <c r="E8732" s="486">
        <v>290.19</v>
      </c>
    </row>
    <row r="8733" spans="1:5" ht="30">
      <c r="A8733" s="349">
        <v>21030</v>
      </c>
      <c r="B8733" s="348" t="s">
        <v>7219</v>
      </c>
      <c r="C8733" s="349" t="s">
        <v>65</v>
      </c>
      <c r="D8733" s="483">
        <v>357.7</v>
      </c>
      <c r="E8733" s="483">
        <v>357.7</v>
      </c>
    </row>
    <row r="8734" spans="1:5" ht="30">
      <c r="A8734" s="484">
        <v>21031</v>
      </c>
      <c r="B8734" s="485" t="s">
        <v>7220</v>
      </c>
      <c r="C8734" s="484" t="s">
        <v>65</v>
      </c>
      <c r="D8734" s="486">
        <v>445.34</v>
      </c>
      <c r="E8734" s="486">
        <v>445.34</v>
      </c>
    </row>
    <row r="8735" spans="1:5" ht="30">
      <c r="A8735" s="349">
        <v>21032</v>
      </c>
      <c r="B8735" s="348" t="s">
        <v>7221</v>
      </c>
      <c r="C8735" s="349" t="s">
        <v>65</v>
      </c>
      <c r="D8735" s="483">
        <v>475.5</v>
      </c>
      <c r="E8735" s="483">
        <v>475.5</v>
      </c>
    </row>
    <row r="8736" spans="1:5" ht="30">
      <c r="A8736" s="484">
        <v>37527</v>
      </c>
      <c r="B8736" s="485" t="s">
        <v>7222</v>
      </c>
      <c r="C8736" s="484" t="s">
        <v>65</v>
      </c>
      <c r="D8736" s="486">
        <v>429.53</v>
      </c>
      <c r="E8736" s="486">
        <v>429.53</v>
      </c>
    </row>
    <row r="8737" spans="1:5" ht="30">
      <c r="A8737" s="349">
        <v>37528</v>
      </c>
      <c r="B8737" s="348" t="s">
        <v>7223</v>
      </c>
      <c r="C8737" s="349" t="s">
        <v>65</v>
      </c>
      <c r="D8737" s="483">
        <v>512.14</v>
      </c>
      <c r="E8737" s="483">
        <v>512.14</v>
      </c>
    </row>
    <row r="8738" spans="1:5" ht="30">
      <c r="A8738" s="484">
        <v>37529</v>
      </c>
      <c r="B8738" s="485" t="s">
        <v>7224</v>
      </c>
      <c r="C8738" s="484" t="s">
        <v>65</v>
      </c>
      <c r="D8738" s="486">
        <v>517.16999999999996</v>
      </c>
      <c r="E8738" s="486">
        <v>517.16999999999996</v>
      </c>
    </row>
    <row r="8739" spans="1:5" ht="30">
      <c r="A8739" s="349">
        <v>37530</v>
      </c>
      <c r="B8739" s="348" t="s">
        <v>7225</v>
      </c>
      <c r="C8739" s="349" t="s">
        <v>65</v>
      </c>
      <c r="D8739" s="483">
        <v>675.19</v>
      </c>
      <c r="E8739" s="483">
        <v>675.19</v>
      </c>
    </row>
    <row r="8740" spans="1:5" ht="30">
      <c r="A8740" s="484">
        <v>21034</v>
      </c>
      <c r="B8740" s="485" t="s">
        <v>7226</v>
      </c>
      <c r="C8740" s="484" t="s">
        <v>65</v>
      </c>
      <c r="D8740" s="486">
        <v>576.07000000000005</v>
      </c>
      <c r="E8740" s="486">
        <v>576.07000000000005</v>
      </c>
    </row>
    <row r="8741" spans="1:5" ht="30">
      <c r="A8741" s="349">
        <v>37531</v>
      </c>
      <c r="B8741" s="348" t="s">
        <v>7227</v>
      </c>
      <c r="C8741" s="349" t="s">
        <v>65</v>
      </c>
      <c r="D8741" s="483">
        <v>725.47</v>
      </c>
      <c r="E8741" s="483">
        <v>725.47</v>
      </c>
    </row>
    <row r="8742" spans="1:5" ht="30">
      <c r="A8742" s="484">
        <v>21036</v>
      </c>
      <c r="B8742" s="485" t="s">
        <v>7228</v>
      </c>
      <c r="C8742" s="484" t="s">
        <v>65</v>
      </c>
      <c r="D8742" s="486">
        <v>882.06</v>
      </c>
      <c r="E8742" s="486">
        <v>882.06</v>
      </c>
    </row>
    <row r="8743" spans="1:5" ht="30">
      <c r="A8743" s="349">
        <v>21037</v>
      </c>
      <c r="B8743" s="348" t="s">
        <v>7229</v>
      </c>
      <c r="C8743" s="349" t="s">
        <v>65</v>
      </c>
      <c r="D8743" s="483">
        <v>1005.6</v>
      </c>
      <c r="E8743" s="483">
        <v>1005.6</v>
      </c>
    </row>
    <row r="8744" spans="1:5" ht="30">
      <c r="A8744" s="484">
        <v>20185</v>
      </c>
      <c r="B8744" s="485" t="s">
        <v>7230</v>
      </c>
      <c r="C8744" s="484" t="s">
        <v>71</v>
      </c>
      <c r="D8744" s="486">
        <v>7</v>
      </c>
      <c r="E8744" s="486">
        <v>7</v>
      </c>
    </row>
    <row r="8745" spans="1:5">
      <c r="A8745" s="349">
        <v>20260</v>
      </c>
      <c r="B8745" s="348" t="s">
        <v>7231</v>
      </c>
      <c r="C8745" s="349" t="s">
        <v>65</v>
      </c>
      <c r="D8745" s="483">
        <v>8.16</v>
      </c>
      <c r="E8745" s="483">
        <v>8.16</v>
      </c>
    </row>
    <row r="8746" spans="1:5" ht="30">
      <c r="A8746" s="484">
        <v>37523</v>
      </c>
      <c r="B8746" s="485" t="s">
        <v>7232</v>
      </c>
      <c r="C8746" s="484" t="s">
        <v>65</v>
      </c>
      <c r="D8746" s="486">
        <v>427421.98</v>
      </c>
      <c r="E8746" s="486">
        <v>427421.98</v>
      </c>
    </row>
    <row r="8747" spans="1:5" ht="30">
      <c r="A8747" s="349">
        <v>37515</v>
      </c>
      <c r="B8747" s="348" t="s">
        <v>7239</v>
      </c>
      <c r="C8747" s="349" t="s">
        <v>65</v>
      </c>
      <c r="D8747" s="483">
        <v>380000</v>
      </c>
      <c r="E8747" s="483">
        <v>380000</v>
      </c>
    </row>
    <row r="8748" spans="1:5" ht="30">
      <c r="A8748" s="484">
        <v>12899</v>
      </c>
      <c r="B8748" s="485" t="s">
        <v>7241</v>
      </c>
      <c r="C8748" s="484" t="s">
        <v>65</v>
      </c>
      <c r="D8748" s="486">
        <v>34.39</v>
      </c>
      <c r="E8748" s="486">
        <v>34.39</v>
      </c>
    </row>
    <row r="8749" spans="1:5">
      <c r="A8749" s="349">
        <v>39700</v>
      </c>
      <c r="B8749" s="348" t="s">
        <v>19655</v>
      </c>
      <c r="C8749" s="349" t="s">
        <v>256</v>
      </c>
      <c r="D8749" s="483">
        <v>12.39</v>
      </c>
      <c r="E8749" s="483">
        <v>12.39</v>
      </c>
    </row>
    <row r="8750" spans="1:5" ht="30">
      <c r="A8750" s="484">
        <v>11621</v>
      </c>
      <c r="B8750" s="485" t="s">
        <v>19656</v>
      </c>
      <c r="C8750" s="484" t="s">
        <v>256</v>
      </c>
      <c r="D8750" s="486">
        <v>24.65</v>
      </c>
      <c r="E8750" s="486">
        <v>24.65</v>
      </c>
    </row>
    <row r="8751" spans="1:5" ht="30">
      <c r="A8751" s="349">
        <v>4014</v>
      </c>
      <c r="B8751" s="348" t="s">
        <v>19657</v>
      </c>
      <c r="C8751" s="349" t="s">
        <v>256</v>
      </c>
      <c r="D8751" s="483">
        <v>25.5</v>
      </c>
      <c r="E8751" s="483">
        <v>25.5</v>
      </c>
    </row>
    <row r="8752" spans="1:5" ht="30">
      <c r="A8752" s="484">
        <v>4015</v>
      </c>
      <c r="B8752" s="485" t="s">
        <v>19658</v>
      </c>
      <c r="C8752" s="484" t="s">
        <v>256</v>
      </c>
      <c r="D8752" s="486">
        <v>31.32</v>
      </c>
      <c r="E8752" s="486">
        <v>31.32</v>
      </c>
    </row>
    <row r="8753" spans="1:5" ht="30">
      <c r="A8753" s="349">
        <v>4017</v>
      </c>
      <c r="B8753" s="348" t="s">
        <v>19659</v>
      </c>
      <c r="C8753" s="349" t="s">
        <v>256</v>
      </c>
      <c r="D8753" s="483">
        <v>45.57</v>
      </c>
      <c r="E8753" s="483">
        <v>45.57</v>
      </c>
    </row>
    <row r="8754" spans="1:5" ht="30">
      <c r="A8754" s="484">
        <v>4016</v>
      </c>
      <c r="B8754" s="485" t="s">
        <v>19660</v>
      </c>
      <c r="C8754" s="484" t="s">
        <v>256</v>
      </c>
      <c r="D8754" s="486">
        <v>18</v>
      </c>
      <c r="E8754" s="486">
        <v>18</v>
      </c>
    </row>
    <row r="8755" spans="1:5">
      <c r="A8755" s="349">
        <v>39699</v>
      </c>
      <c r="B8755" s="348" t="s">
        <v>7244</v>
      </c>
      <c r="C8755" s="349" t="s">
        <v>256</v>
      </c>
      <c r="D8755" s="483">
        <v>8.9700000000000006</v>
      </c>
      <c r="E8755" s="483">
        <v>8.9700000000000006</v>
      </c>
    </row>
    <row r="8756" spans="1:5">
      <c r="A8756" s="484">
        <v>38544</v>
      </c>
      <c r="B8756" s="485" t="s">
        <v>19661</v>
      </c>
      <c r="C8756" s="484" t="s">
        <v>256</v>
      </c>
      <c r="D8756" s="486">
        <v>4.6100000000000003</v>
      </c>
      <c r="E8756" s="486">
        <v>4.6100000000000003</v>
      </c>
    </row>
    <row r="8757" spans="1:5">
      <c r="A8757" s="349">
        <v>38545</v>
      </c>
      <c r="B8757" s="348" t="s">
        <v>19662</v>
      </c>
      <c r="C8757" s="349" t="s">
        <v>256</v>
      </c>
      <c r="D8757" s="483">
        <v>2.96</v>
      </c>
      <c r="E8757" s="483">
        <v>2.96</v>
      </c>
    </row>
    <row r="8758" spans="1:5" ht="30">
      <c r="A8758" s="484">
        <v>39323</v>
      </c>
      <c r="B8758" s="485" t="s">
        <v>19663</v>
      </c>
      <c r="C8758" s="484" t="s">
        <v>256</v>
      </c>
      <c r="D8758" s="486">
        <v>11.32</v>
      </c>
      <c r="E8758" s="486">
        <v>11.32</v>
      </c>
    </row>
    <row r="8759" spans="1:5" ht="30">
      <c r="A8759" s="349">
        <v>626</v>
      </c>
      <c r="B8759" s="348" t="s">
        <v>7252</v>
      </c>
      <c r="C8759" s="349" t="s">
        <v>90</v>
      </c>
      <c r="D8759" s="483">
        <v>10.34</v>
      </c>
      <c r="E8759" s="483">
        <v>10.34</v>
      </c>
    </row>
    <row r="8760" spans="1:5">
      <c r="A8760" s="484">
        <v>25860</v>
      </c>
      <c r="B8760" s="485" t="s">
        <v>7253</v>
      </c>
      <c r="C8760" s="484" t="s">
        <v>256</v>
      </c>
      <c r="D8760" s="486">
        <v>7.81</v>
      </c>
      <c r="E8760" s="486">
        <v>7.81</v>
      </c>
    </row>
    <row r="8761" spans="1:5">
      <c r="A8761" s="349">
        <v>25861</v>
      </c>
      <c r="B8761" s="348" t="s">
        <v>7254</v>
      </c>
      <c r="C8761" s="349" t="s">
        <v>256</v>
      </c>
      <c r="D8761" s="483">
        <v>11.79</v>
      </c>
      <c r="E8761" s="483">
        <v>11.79</v>
      </c>
    </row>
    <row r="8762" spans="1:5">
      <c r="A8762" s="484">
        <v>25862</v>
      </c>
      <c r="B8762" s="485" t="s">
        <v>7255</v>
      </c>
      <c r="C8762" s="484" t="s">
        <v>256</v>
      </c>
      <c r="D8762" s="486">
        <v>12.51</v>
      </c>
      <c r="E8762" s="486">
        <v>12.51</v>
      </c>
    </row>
    <row r="8763" spans="1:5" ht="43.5" customHeight="1">
      <c r="A8763" s="349">
        <v>25863</v>
      </c>
      <c r="B8763" s="348" t="s">
        <v>7256</v>
      </c>
      <c r="C8763" s="349" t="s">
        <v>256</v>
      </c>
      <c r="D8763" s="483">
        <v>15.64</v>
      </c>
      <c r="E8763" s="483">
        <v>15.64</v>
      </c>
    </row>
    <row r="8764" spans="1:5">
      <c r="A8764" s="484">
        <v>25864</v>
      </c>
      <c r="B8764" s="485" t="s">
        <v>7257</v>
      </c>
      <c r="C8764" s="484" t="s">
        <v>256</v>
      </c>
      <c r="D8764" s="486">
        <v>23.46</v>
      </c>
      <c r="E8764" s="486">
        <v>23.46</v>
      </c>
    </row>
    <row r="8765" spans="1:5">
      <c r="A8765" s="349">
        <v>25865</v>
      </c>
      <c r="B8765" s="348" t="s">
        <v>7258</v>
      </c>
      <c r="C8765" s="349" t="s">
        <v>256</v>
      </c>
      <c r="D8765" s="483">
        <v>31.42</v>
      </c>
      <c r="E8765" s="483">
        <v>31.42</v>
      </c>
    </row>
    <row r="8766" spans="1:5">
      <c r="A8766" s="484">
        <v>25866</v>
      </c>
      <c r="B8766" s="485" t="s">
        <v>7259</v>
      </c>
      <c r="C8766" s="484" t="s">
        <v>256</v>
      </c>
      <c r="D8766" s="486">
        <v>39.020000000000003</v>
      </c>
      <c r="E8766" s="486">
        <v>39.020000000000003</v>
      </c>
    </row>
    <row r="8767" spans="1:5" ht="30">
      <c r="A8767" s="349">
        <v>25868</v>
      </c>
      <c r="B8767" s="348" t="s">
        <v>7260</v>
      </c>
      <c r="C8767" s="349" t="s">
        <v>256</v>
      </c>
      <c r="D8767" s="483">
        <v>8.7100000000000009</v>
      </c>
      <c r="E8767" s="483">
        <v>8.7100000000000009</v>
      </c>
    </row>
    <row r="8768" spans="1:5" ht="30">
      <c r="A8768" s="484">
        <v>25869</v>
      </c>
      <c r="B8768" s="485" t="s">
        <v>7261</v>
      </c>
      <c r="C8768" s="484" t="s">
        <v>256</v>
      </c>
      <c r="D8768" s="486">
        <v>12.29</v>
      </c>
      <c r="E8768" s="486">
        <v>12.29</v>
      </c>
    </row>
    <row r="8769" spans="1:5" ht="30">
      <c r="A8769" s="349">
        <v>25870</v>
      </c>
      <c r="B8769" s="348" t="s">
        <v>7262</v>
      </c>
      <c r="C8769" s="349" t="s">
        <v>256</v>
      </c>
      <c r="D8769" s="483">
        <v>13.93</v>
      </c>
      <c r="E8769" s="483">
        <v>13.93</v>
      </c>
    </row>
    <row r="8770" spans="1:5" ht="30">
      <c r="A8770" s="484">
        <v>25871</v>
      </c>
      <c r="B8770" s="485" t="s">
        <v>7263</v>
      </c>
      <c r="C8770" s="484" t="s">
        <v>256</v>
      </c>
      <c r="D8770" s="486">
        <v>17.11</v>
      </c>
      <c r="E8770" s="486">
        <v>17.11</v>
      </c>
    </row>
    <row r="8771" spans="1:5" ht="30">
      <c r="A8771" s="349">
        <v>25867</v>
      </c>
      <c r="B8771" s="348" t="s">
        <v>7264</v>
      </c>
      <c r="C8771" s="349" t="s">
        <v>256</v>
      </c>
      <c r="D8771" s="483">
        <v>25.33</v>
      </c>
      <c r="E8771" s="483">
        <v>25.33</v>
      </c>
    </row>
    <row r="8772" spans="1:5" ht="30">
      <c r="A8772" s="484">
        <v>25872</v>
      </c>
      <c r="B8772" s="485" t="s">
        <v>7265</v>
      </c>
      <c r="C8772" s="484" t="s">
        <v>256</v>
      </c>
      <c r="D8772" s="486">
        <v>34.229999999999997</v>
      </c>
      <c r="E8772" s="486">
        <v>34.229999999999997</v>
      </c>
    </row>
    <row r="8773" spans="1:5" ht="30">
      <c r="A8773" s="349">
        <v>25873</v>
      </c>
      <c r="B8773" s="348" t="s">
        <v>7266</v>
      </c>
      <c r="C8773" s="349" t="s">
        <v>256</v>
      </c>
      <c r="D8773" s="483">
        <v>42.7</v>
      </c>
      <c r="E8773" s="483">
        <v>42.7</v>
      </c>
    </row>
    <row r="8774" spans="1:5" ht="30">
      <c r="A8774" s="484">
        <v>12898</v>
      </c>
      <c r="B8774" s="485" t="s">
        <v>7242</v>
      </c>
      <c r="C8774" s="484" t="s">
        <v>65</v>
      </c>
      <c r="D8774" s="486">
        <v>80.5</v>
      </c>
      <c r="E8774" s="486">
        <v>80.5</v>
      </c>
    </row>
    <row r="8775" spans="1:5" ht="30">
      <c r="A8775" s="349">
        <v>14535</v>
      </c>
      <c r="B8775" s="348" t="s">
        <v>7269</v>
      </c>
      <c r="C8775" s="349" t="s">
        <v>65</v>
      </c>
      <c r="D8775" s="483">
        <v>74081.279999999999</v>
      </c>
      <c r="E8775" s="483">
        <v>74081.279999999999</v>
      </c>
    </row>
    <row r="8776" spans="1:5" ht="30">
      <c r="A8776" s="484">
        <v>40637</v>
      </c>
      <c r="B8776" s="485" t="s">
        <v>7270</v>
      </c>
      <c r="C8776" s="484" t="s">
        <v>65</v>
      </c>
      <c r="D8776" s="486">
        <v>444393.8</v>
      </c>
      <c r="E8776" s="486">
        <v>444393.8</v>
      </c>
    </row>
    <row r="8777" spans="1:5">
      <c r="A8777" s="349">
        <v>13836</v>
      </c>
      <c r="B8777" s="348" t="s">
        <v>7278</v>
      </c>
      <c r="C8777" s="349" t="s">
        <v>65</v>
      </c>
      <c r="D8777" s="483">
        <v>57553.9</v>
      </c>
      <c r="E8777" s="483">
        <v>57553.9</v>
      </c>
    </row>
    <row r="8778" spans="1:5" ht="30">
      <c r="A8778" s="484">
        <v>14534</v>
      </c>
      <c r="B8778" s="485" t="s">
        <v>7291</v>
      </c>
      <c r="C8778" s="484" t="s">
        <v>65</v>
      </c>
      <c r="D8778" s="486">
        <v>24093.58</v>
      </c>
      <c r="E8778" s="486">
        <v>24093.58</v>
      </c>
    </row>
    <row r="8779" spans="1:5" ht="30">
      <c r="A8779" s="349">
        <v>14619</v>
      </c>
      <c r="B8779" s="348" t="s">
        <v>7292</v>
      </c>
      <c r="C8779" s="349" t="s">
        <v>65</v>
      </c>
      <c r="D8779" s="483">
        <v>2097.6799999999998</v>
      </c>
      <c r="E8779" s="483">
        <v>2097.6799999999998</v>
      </c>
    </row>
    <row r="8780" spans="1:5" ht="60">
      <c r="A8780" s="484">
        <v>39813</v>
      </c>
      <c r="B8780" s="485" t="s">
        <v>19664</v>
      </c>
      <c r="C8780" s="484" t="s">
        <v>65</v>
      </c>
      <c r="D8780" s="486">
        <v>12910.56</v>
      </c>
      <c r="E8780" s="486">
        <v>12910.56</v>
      </c>
    </row>
    <row r="8781" spans="1:5">
      <c r="A8781" s="349">
        <v>12868</v>
      </c>
      <c r="B8781" s="348" t="s">
        <v>194</v>
      </c>
      <c r="C8781" s="349" t="s">
        <v>57</v>
      </c>
      <c r="D8781" s="483">
        <v>13.23</v>
      </c>
      <c r="E8781" s="483">
        <v>13.23</v>
      </c>
    </row>
    <row r="8782" spans="1:5" ht="43.5" customHeight="1">
      <c r="A8782" s="484">
        <v>40916</v>
      </c>
      <c r="B8782" s="485" t="s">
        <v>7294</v>
      </c>
      <c r="C8782" s="484" t="s">
        <v>1643</v>
      </c>
      <c r="D8782" s="486">
        <v>2333.8200000000002</v>
      </c>
      <c r="E8782" s="486">
        <v>2333.8200000000002</v>
      </c>
    </row>
    <row r="8783" spans="1:5" ht="43.5" customHeight="1">
      <c r="A8783" s="349">
        <v>4755</v>
      </c>
      <c r="B8783" s="348" t="s">
        <v>7295</v>
      </c>
      <c r="C8783" s="349" t="s">
        <v>57</v>
      </c>
      <c r="D8783" s="483">
        <v>13.86</v>
      </c>
      <c r="E8783" s="483">
        <v>13.86</v>
      </c>
    </row>
    <row r="8784" spans="1:5" ht="43.5" customHeight="1">
      <c r="A8784" s="484">
        <v>41067</v>
      </c>
      <c r="B8784" s="485" t="s">
        <v>7296</v>
      </c>
      <c r="C8784" s="484" t="s">
        <v>1643</v>
      </c>
      <c r="D8784" s="486">
        <v>2446.6</v>
      </c>
      <c r="E8784" s="486">
        <v>2446.6</v>
      </c>
    </row>
    <row r="8785" spans="1:5">
      <c r="A8785" s="349">
        <v>38463</v>
      </c>
      <c r="B8785" s="348" t="s">
        <v>7304</v>
      </c>
      <c r="C8785" s="349" t="s">
        <v>65</v>
      </c>
      <c r="D8785" s="483">
        <v>19.45</v>
      </c>
      <c r="E8785" s="483">
        <v>19.45</v>
      </c>
    </row>
    <row r="8786" spans="1:5" ht="30">
      <c r="A8786" s="484">
        <v>40703</v>
      </c>
      <c r="B8786" s="485" t="s">
        <v>11431</v>
      </c>
      <c r="C8786" s="484" t="s">
        <v>65</v>
      </c>
      <c r="D8786" s="486">
        <v>7185</v>
      </c>
      <c r="E8786" s="486">
        <v>7185</v>
      </c>
    </row>
    <row r="8787" spans="1:5">
      <c r="A8787" s="349">
        <v>14531</v>
      </c>
      <c r="B8787" s="348" t="s">
        <v>7310</v>
      </c>
      <c r="C8787" s="349" t="s">
        <v>65</v>
      </c>
      <c r="D8787" s="483">
        <v>13395.54</v>
      </c>
      <c r="E8787" s="483">
        <v>13395.54</v>
      </c>
    </row>
    <row r="8788" spans="1:5">
      <c r="A8788" s="484">
        <v>36533</v>
      </c>
      <c r="B8788" s="485" t="s">
        <v>7311</v>
      </c>
      <c r="C8788" s="484" t="s">
        <v>65</v>
      </c>
      <c r="D8788" s="486">
        <v>15414.85</v>
      </c>
      <c r="E8788" s="486">
        <v>15414.85</v>
      </c>
    </row>
    <row r="8789" spans="1:5">
      <c r="A8789" s="349">
        <v>11616</v>
      </c>
      <c r="B8789" s="348" t="s">
        <v>7312</v>
      </c>
      <c r="C8789" s="349" t="s">
        <v>65</v>
      </c>
      <c r="D8789" s="483">
        <v>14559.09</v>
      </c>
      <c r="E8789" s="483">
        <v>14559.09</v>
      </c>
    </row>
    <row r="8790" spans="1:5">
      <c r="A8790" s="484">
        <v>41898</v>
      </c>
      <c r="B8790" s="485" t="s">
        <v>11432</v>
      </c>
      <c r="C8790" s="484" t="s">
        <v>65</v>
      </c>
      <c r="D8790" s="486">
        <v>16380.96</v>
      </c>
      <c r="E8790" s="486">
        <v>16380.96</v>
      </c>
    </row>
    <row r="8791" spans="1:5" ht="43.5" customHeight="1">
      <c r="A8791" s="349">
        <v>13447</v>
      </c>
      <c r="B8791" s="348" t="s">
        <v>7313</v>
      </c>
      <c r="C8791" s="349" t="s">
        <v>65</v>
      </c>
      <c r="D8791" s="483">
        <v>30142.1</v>
      </c>
      <c r="E8791" s="483">
        <v>30142.1</v>
      </c>
    </row>
    <row r="8792" spans="1:5" ht="43.5" customHeight="1">
      <c r="A8792" s="484">
        <v>14529</v>
      </c>
      <c r="B8792" s="485" t="s">
        <v>7314</v>
      </c>
      <c r="C8792" s="484" t="s">
        <v>65</v>
      </c>
      <c r="D8792" s="486">
        <v>16857.71</v>
      </c>
      <c r="E8792" s="486">
        <v>16857.71</v>
      </c>
    </row>
    <row r="8793" spans="1:5" ht="43.5" customHeight="1">
      <c r="A8793" s="349">
        <v>10747</v>
      </c>
      <c r="B8793" s="348" t="s">
        <v>7320</v>
      </c>
      <c r="C8793" s="349" t="s">
        <v>65</v>
      </c>
      <c r="D8793" s="483">
        <v>16539.990000000002</v>
      </c>
      <c r="E8793" s="483">
        <v>16539.990000000002</v>
      </c>
    </row>
    <row r="8794" spans="1:5" ht="30">
      <c r="A8794" s="484">
        <v>36141</v>
      </c>
      <c r="B8794" s="485" t="s">
        <v>7321</v>
      </c>
      <c r="C8794" s="484" t="s">
        <v>65</v>
      </c>
      <c r="D8794" s="486">
        <v>25.65</v>
      </c>
      <c r="E8794" s="486">
        <v>25.65</v>
      </c>
    </row>
    <row r="8795" spans="1:5">
      <c r="A8795" s="349">
        <v>4053</v>
      </c>
      <c r="B8795" s="348" t="s">
        <v>7322</v>
      </c>
      <c r="C8795" s="349" t="s">
        <v>182</v>
      </c>
      <c r="D8795" s="483">
        <v>52.76</v>
      </c>
      <c r="E8795" s="483">
        <v>52.76</v>
      </c>
    </row>
    <row r="8796" spans="1:5">
      <c r="A8796" s="484">
        <v>4052</v>
      </c>
      <c r="B8796" s="485" t="s">
        <v>7323</v>
      </c>
      <c r="C8796" s="484" t="s">
        <v>96</v>
      </c>
      <c r="D8796" s="486">
        <v>107.6</v>
      </c>
      <c r="E8796" s="486">
        <v>107.6</v>
      </c>
    </row>
    <row r="8797" spans="1:5">
      <c r="A8797" s="349">
        <v>4056</v>
      </c>
      <c r="B8797" s="348" t="s">
        <v>7324</v>
      </c>
      <c r="C8797" s="349" t="s">
        <v>182</v>
      </c>
      <c r="D8797" s="483">
        <v>27.74</v>
      </c>
      <c r="E8797" s="483">
        <v>27.74</v>
      </c>
    </row>
    <row r="8798" spans="1:5">
      <c r="A8798" s="484">
        <v>4051</v>
      </c>
      <c r="B8798" s="485" t="s">
        <v>195</v>
      </c>
      <c r="C8798" s="484" t="s">
        <v>96</v>
      </c>
      <c r="D8798" s="486">
        <v>69.25</v>
      </c>
      <c r="E8798" s="486">
        <v>69.25</v>
      </c>
    </row>
    <row r="8799" spans="1:5">
      <c r="A8799" s="349">
        <v>4048</v>
      </c>
      <c r="B8799" s="348" t="s">
        <v>195</v>
      </c>
      <c r="C8799" s="349" t="s">
        <v>91</v>
      </c>
      <c r="D8799" s="483">
        <v>3.84</v>
      </c>
      <c r="E8799" s="483">
        <v>3.84</v>
      </c>
    </row>
    <row r="8800" spans="1:5">
      <c r="A8800" s="484">
        <v>4047</v>
      </c>
      <c r="B8800" s="485" t="s">
        <v>195</v>
      </c>
      <c r="C8800" s="484" t="s">
        <v>182</v>
      </c>
      <c r="D8800" s="486">
        <v>13.85</v>
      </c>
      <c r="E8800" s="486">
        <v>13.85</v>
      </c>
    </row>
    <row r="8801" spans="1:5" ht="30">
      <c r="A8801" s="349">
        <v>39434</v>
      </c>
      <c r="B8801" s="348" t="s">
        <v>7325</v>
      </c>
      <c r="C8801" s="349" t="s">
        <v>90</v>
      </c>
      <c r="D8801" s="483">
        <v>2.94</v>
      </c>
      <c r="E8801" s="483">
        <v>2.94</v>
      </c>
    </row>
    <row r="8802" spans="1:5" ht="30">
      <c r="A8802" s="484">
        <v>39433</v>
      </c>
      <c r="B8802" s="485" t="s">
        <v>7326</v>
      </c>
      <c r="C8802" s="484" t="s">
        <v>90</v>
      </c>
      <c r="D8802" s="486">
        <v>2.11</v>
      </c>
      <c r="E8802" s="486">
        <v>2.11</v>
      </c>
    </row>
    <row r="8803" spans="1:5">
      <c r="A8803" s="349">
        <v>4049</v>
      </c>
      <c r="B8803" s="348" t="s">
        <v>7327</v>
      </c>
      <c r="C8803" s="349" t="s">
        <v>91</v>
      </c>
      <c r="D8803" s="483">
        <v>43.38</v>
      </c>
      <c r="E8803" s="483">
        <v>43.38</v>
      </c>
    </row>
    <row r="8804" spans="1:5">
      <c r="A8804" s="484">
        <v>38120</v>
      </c>
      <c r="B8804" s="485" t="s">
        <v>7328</v>
      </c>
      <c r="C8804" s="484" t="s">
        <v>90</v>
      </c>
      <c r="D8804" s="486">
        <v>73.58</v>
      </c>
      <c r="E8804" s="486">
        <v>73.58</v>
      </c>
    </row>
    <row r="8805" spans="1:5">
      <c r="A8805" s="349">
        <v>38877</v>
      </c>
      <c r="B8805" s="348" t="s">
        <v>7329</v>
      </c>
      <c r="C8805" s="349" t="s">
        <v>90</v>
      </c>
      <c r="D8805" s="483">
        <v>5.17</v>
      </c>
      <c r="E8805" s="483">
        <v>5.17</v>
      </c>
    </row>
    <row r="8806" spans="1:5">
      <c r="A8806" s="484">
        <v>10498</v>
      </c>
      <c r="B8806" s="485" t="s">
        <v>196</v>
      </c>
      <c r="C8806" s="484" t="s">
        <v>90</v>
      </c>
      <c r="D8806" s="486">
        <v>4.4400000000000004</v>
      </c>
      <c r="E8806" s="486">
        <v>4.4400000000000004</v>
      </c>
    </row>
    <row r="8807" spans="1:5">
      <c r="A8807" s="349">
        <v>4823</v>
      </c>
      <c r="B8807" s="348" t="s">
        <v>7330</v>
      </c>
      <c r="C8807" s="349" t="s">
        <v>90</v>
      </c>
      <c r="D8807" s="483">
        <v>32.17</v>
      </c>
      <c r="E8807" s="483">
        <v>32.17</v>
      </c>
    </row>
    <row r="8808" spans="1:5">
      <c r="A8808" s="484">
        <v>12357</v>
      </c>
      <c r="B8808" s="485" t="s">
        <v>7344</v>
      </c>
      <c r="C8808" s="484" t="s">
        <v>65</v>
      </c>
      <c r="D8808" s="486">
        <v>124.67</v>
      </c>
      <c r="E8808" s="486">
        <v>124.67</v>
      </c>
    </row>
    <row r="8809" spans="1:5">
      <c r="A8809" s="349">
        <v>12358</v>
      </c>
      <c r="B8809" s="348" t="s">
        <v>7345</v>
      </c>
      <c r="C8809" s="349" t="s">
        <v>65</v>
      </c>
      <c r="D8809" s="483">
        <v>140.22999999999999</v>
      </c>
      <c r="E8809" s="483">
        <v>140.22999999999999</v>
      </c>
    </row>
    <row r="8810" spans="1:5" ht="30">
      <c r="A8810" s="484">
        <v>11079</v>
      </c>
      <c r="B8810" s="485" t="s">
        <v>11433</v>
      </c>
      <c r="C8810" s="484" t="s">
        <v>255</v>
      </c>
      <c r="D8810" s="486">
        <v>566.9</v>
      </c>
      <c r="E8810" s="486">
        <v>566.9</v>
      </c>
    </row>
    <row r="8811" spans="1:5" ht="30">
      <c r="A8811" s="349">
        <v>11082</v>
      </c>
      <c r="B8811" s="348" t="s">
        <v>7348</v>
      </c>
      <c r="C8811" s="349" t="s">
        <v>255</v>
      </c>
      <c r="D8811" s="483">
        <v>578.38</v>
      </c>
      <c r="E8811" s="483">
        <v>578.38</v>
      </c>
    </row>
    <row r="8812" spans="1:5">
      <c r="A8812" s="484">
        <v>4058</v>
      </c>
      <c r="B8812" s="485" t="s">
        <v>7351</v>
      </c>
      <c r="C8812" s="484" t="s">
        <v>57</v>
      </c>
      <c r="D8812" s="486">
        <v>37.130000000000003</v>
      </c>
      <c r="E8812" s="486">
        <v>37.130000000000003</v>
      </c>
    </row>
    <row r="8813" spans="1:5">
      <c r="A8813" s="349">
        <v>40974</v>
      </c>
      <c r="B8813" s="348" t="s">
        <v>7352</v>
      </c>
      <c r="C8813" s="349" t="s">
        <v>1643</v>
      </c>
      <c r="D8813" s="483">
        <v>6541.63</v>
      </c>
      <c r="E8813" s="483">
        <v>6541.63</v>
      </c>
    </row>
    <row r="8814" spans="1:5">
      <c r="A8814" s="484">
        <v>34794</v>
      </c>
      <c r="B8814" s="485" t="s">
        <v>7354</v>
      </c>
      <c r="C8814" s="484" t="s">
        <v>57</v>
      </c>
      <c r="D8814" s="486">
        <v>14.24</v>
      </c>
      <c r="E8814" s="486">
        <v>14.24</v>
      </c>
    </row>
    <row r="8815" spans="1:5">
      <c r="A8815" s="349">
        <v>40925</v>
      </c>
      <c r="B8815" s="348" t="s">
        <v>7355</v>
      </c>
      <c r="C8815" s="349" t="s">
        <v>1643</v>
      </c>
      <c r="D8815" s="483">
        <v>2510.9899999999998</v>
      </c>
      <c r="E8815" s="483">
        <v>2510.9899999999998</v>
      </c>
    </row>
    <row r="8816" spans="1:5">
      <c r="A8816" s="484">
        <v>13741</v>
      </c>
      <c r="B8816" s="485" t="s">
        <v>7356</v>
      </c>
      <c r="C8816" s="484" t="s">
        <v>65</v>
      </c>
      <c r="D8816" s="486">
        <v>1896.24</v>
      </c>
      <c r="E8816" s="486">
        <v>1896.24</v>
      </c>
    </row>
    <row r="8817" spans="1:5" ht="30">
      <c r="A8817" s="349">
        <v>3288</v>
      </c>
      <c r="B8817" s="348" t="s">
        <v>7357</v>
      </c>
      <c r="C8817" s="349" t="s">
        <v>71</v>
      </c>
      <c r="D8817" s="483">
        <v>4</v>
      </c>
      <c r="E8817" s="483">
        <v>4</v>
      </c>
    </row>
    <row r="8818" spans="1:5" ht="30">
      <c r="A8818" s="484">
        <v>13587</v>
      </c>
      <c r="B8818" s="485" t="s">
        <v>7358</v>
      </c>
      <c r="C8818" s="484" t="s">
        <v>71</v>
      </c>
      <c r="D8818" s="486">
        <v>2.41</v>
      </c>
      <c r="E8818" s="486">
        <v>2.41</v>
      </c>
    </row>
    <row r="8819" spans="1:5">
      <c r="A8819" s="349">
        <v>38598</v>
      </c>
      <c r="B8819" s="348" t="s">
        <v>7359</v>
      </c>
      <c r="C8819" s="349" t="s">
        <v>65</v>
      </c>
      <c r="D8819" s="483">
        <v>2.2599999999999998</v>
      </c>
      <c r="E8819" s="483">
        <v>2.2599999999999998</v>
      </c>
    </row>
    <row r="8820" spans="1:5">
      <c r="A8820" s="484">
        <v>38595</v>
      </c>
      <c r="B8820" s="485" t="s">
        <v>7360</v>
      </c>
      <c r="C8820" s="484" t="s">
        <v>65</v>
      </c>
      <c r="D8820" s="486">
        <v>1.56</v>
      </c>
      <c r="E8820" s="486">
        <v>1.56</v>
      </c>
    </row>
    <row r="8821" spans="1:5">
      <c r="A8821" s="349">
        <v>38592</v>
      </c>
      <c r="B8821" s="348" t="s">
        <v>7361</v>
      </c>
      <c r="C8821" s="349" t="s">
        <v>65</v>
      </c>
      <c r="D8821" s="483">
        <v>2.04</v>
      </c>
      <c r="E8821" s="483">
        <v>2.04</v>
      </c>
    </row>
    <row r="8822" spans="1:5">
      <c r="A8822" s="484">
        <v>38588</v>
      </c>
      <c r="B8822" s="485" t="s">
        <v>7362</v>
      </c>
      <c r="C8822" s="484" t="s">
        <v>65</v>
      </c>
      <c r="D8822" s="486">
        <v>1.29</v>
      </c>
      <c r="E8822" s="486">
        <v>1.29</v>
      </c>
    </row>
    <row r="8823" spans="1:5">
      <c r="A8823" s="349">
        <v>38593</v>
      </c>
      <c r="B8823" s="348" t="s">
        <v>7363</v>
      </c>
      <c r="C8823" s="349" t="s">
        <v>65</v>
      </c>
      <c r="D8823" s="483">
        <v>2.19</v>
      </c>
      <c r="E8823" s="483">
        <v>2.19</v>
      </c>
    </row>
    <row r="8824" spans="1:5">
      <c r="A8824" s="484">
        <v>38589</v>
      </c>
      <c r="B8824" s="485" t="s">
        <v>7364</v>
      </c>
      <c r="C8824" s="484" t="s">
        <v>65</v>
      </c>
      <c r="D8824" s="486">
        <v>1.57</v>
      </c>
      <c r="E8824" s="486">
        <v>1.57</v>
      </c>
    </row>
    <row r="8825" spans="1:5">
      <c r="A8825" s="349">
        <v>38594</v>
      </c>
      <c r="B8825" s="348" t="s">
        <v>7365</v>
      </c>
      <c r="C8825" s="349" t="s">
        <v>65</v>
      </c>
      <c r="D8825" s="483">
        <v>3.25</v>
      </c>
      <c r="E8825" s="483">
        <v>3.25</v>
      </c>
    </row>
    <row r="8826" spans="1:5">
      <c r="A8826" s="484">
        <v>34787</v>
      </c>
      <c r="B8826" s="485" t="s">
        <v>7366</v>
      </c>
      <c r="C8826" s="484" t="s">
        <v>65</v>
      </c>
      <c r="D8826" s="486">
        <v>0.75</v>
      </c>
      <c r="E8826" s="486">
        <v>0.75</v>
      </c>
    </row>
    <row r="8827" spans="1:5">
      <c r="A8827" s="349">
        <v>34788</v>
      </c>
      <c r="B8827" s="348" t="s">
        <v>7367</v>
      </c>
      <c r="C8827" s="349" t="s">
        <v>65</v>
      </c>
      <c r="D8827" s="483">
        <v>0.76</v>
      </c>
      <c r="E8827" s="483">
        <v>0.76</v>
      </c>
    </row>
    <row r="8828" spans="1:5">
      <c r="A8828" s="484">
        <v>34784</v>
      </c>
      <c r="B8828" s="485" t="s">
        <v>7368</v>
      </c>
      <c r="C8828" s="484" t="s">
        <v>65</v>
      </c>
      <c r="D8828" s="486">
        <v>0.83</v>
      </c>
      <c r="E8828" s="486">
        <v>0.83</v>
      </c>
    </row>
    <row r="8829" spans="1:5">
      <c r="A8829" s="349">
        <v>34781</v>
      </c>
      <c r="B8829" s="348" t="s">
        <v>7369</v>
      </c>
      <c r="C8829" s="349" t="s">
        <v>65</v>
      </c>
      <c r="D8829" s="483">
        <v>0.94</v>
      </c>
      <c r="E8829" s="483">
        <v>0.94</v>
      </c>
    </row>
    <row r="8830" spans="1:5">
      <c r="A8830" s="484">
        <v>34773</v>
      </c>
      <c r="B8830" s="485" t="s">
        <v>7373</v>
      </c>
      <c r="C8830" s="484" t="s">
        <v>65</v>
      </c>
      <c r="D8830" s="486">
        <v>1.63</v>
      </c>
      <c r="E8830" s="486">
        <v>1.63</v>
      </c>
    </row>
    <row r="8831" spans="1:5">
      <c r="A8831" s="349">
        <v>34769</v>
      </c>
      <c r="B8831" s="348" t="s">
        <v>7374</v>
      </c>
      <c r="C8831" s="349" t="s">
        <v>65</v>
      </c>
      <c r="D8831" s="483">
        <v>1.88</v>
      </c>
      <c r="E8831" s="483">
        <v>1.88</v>
      </c>
    </row>
    <row r="8832" spans="1:5">
      <c r="A8832" s="484">
        <v>34763</v>
      </c>
      <c r="B8832" s="485" t="s">
        <v>7375</v>
      </c>
      <c r="C8832" s="484" t="s">
        <v>65</v>
      </c>
      <c r="D8832" s="486">
        <v>1.0900000000000001</v>
      </c>
      <c r="E8832" s="486">
        <v>1.0900000000000001</v>
      </c>
    </row>
    <row r="8833" spans="1:5">
      <c r="A8833" s="349">
        <v>34774</v>
      </c>
      <c r="B8833" s="348" t="s">
        <v>7370</v>
      </c>
      <c r="C8833" s="349" t="s">
        <v>65</v>
      </c>
      <c r="D8833" s="483">
        <v>1.46</v>
      </c>
      <c r="E8833" s="483">
        <v>1.46</v>
      </c>
    </row>
    <row r="8834" spans="1:5">
      <c r="A8834" s="484">
        <v>34771</v>
      </c>
      <c r="B8834" s="485" t="s">
        <v>7371</v>
      </c>
      <c r="C8834" s="484" t="s">
        <v>65</v>
      </c>
      <c r="D8834" s="486">
        <v>1.67</v>
      </c>
      <c r="E8834" s="486">
        <v>1.67</v>
      </c>
    </row>
    <row r="8835" spans="1:5">
      <c r="A8835" s="349">
        <v>34764</v>
      </c>
      <c r="B8835" s="348" t="s">
        <v>7372</v>
      </c>
      <c r="C8835" s="349" t="s">
        <v>65</v>
      </c>
      <c r="D8835" s="483">
        <v>1.02</v>
      </c>
      <c r="E8835" s="483">
        <v>1.02</v>
      </c>
    </row>
    <row r="8836" spans="1:5">
      <c r="A8836" s="484">
        <v>4062</v>
      </c>
      <c r="B8836" s="485" t="s">
        <v>7376</v>
      </c>
      <c r="C8836" s="484" t="s">
        <v>65</v>
      </c>
      <c r="D8836" s="486">
        <v>17.73</v>
      </c>
      <c r="E8836" s="486">
        <v>17.73</v>
      </c>
    </row>
    <row r="8837" spans="1:5">
      <c r="A8837" s="349">
        <v>4059</v>
      </c>
      <c r="B8837" s="348" t="s">
        <v>7377</v>
      </c>
      <c r="C8837" s="349" t="s">
        <v>71</v>
      </c>
      <c r="D8837" s="483">
        <v>21.5</v>
      </c>
      <c r="E8837" s="483">
        <v>21.5</v>
      </c>
    </row>
    <row r="8838" spans="1:5">
      <c r="A8838" s="484">
        <v>4061</v>
      </c>
      <c r="B8838" s="485" t="s">
        <v>7378</v>
      </c>
      <c r="C8838" s="484" t="s">
        <v>65</v>
      </c>
      <c r="D8838" s="486">
        <v>17.2</v>
      </c>
      <c r="E8838" s="486">
        <v>17.2</v>
      </c>
    </row>
    <row r="8839" spans="1:5" ht="30">
      <c r="A8839" s="349">
        <v>10608</v>
      </c>
      <c r="B8839" s="348" t="s">
        <v>7379</v>
      </c>
      <c r="C8839" s="349" t="s">
        <v>65</v>
      </c>
      <c r="D8839" s="483">
        <v>8233.33</v>
      </c>
      <c r="E8839" s="483">
        <v>8233.33</v>
      </c>
    </row>
    <row r="8840" spans="1:5">
      <c r="A8840" s="484">
        <v>4069</v>
      </c>
      <c r="B8840" s="485" t="s">
        <v>197</v>
      </c>
      <c r="C8840" s="484" t="s">
        <v>57</v>
      </c>
      <c r="D8840" s="486">
        <v>57.5</v>
      </c>
      <c r="E8840" s="486">
        <v>57.5</v>
      </c>
    </row>
    <row r="8841" spans="1:5">
      <c r="A8841" s="349">
        <v>40819</v>
      </c>
      <c r="B8841" s="348" t="s">
        <v>198</v>
      </c>
      <c r="C8841" s="349" t="s">
        <v>1643</v>
      </c>
      <c r="D8841" s="483">
        <v>10133.11</v>
      </c>
      <c r="E8841" s="483">
        <v>10133.11</v>
      </c>
    </row>
    <row r="8842" spans="1:5">
      <c r="A8842" s="484">
        <v>34361</v>
      </c>
      <c r="B8842" s="485" t="s">
        <v>199</v>
      </c>
      <c r="C8842" s="484" t="s">
        <v>90</v>
      </c>
      <c r="D8842" s="486">
        <v>1.87</v>
      </c>
      <c r="E8842" s="486">
        <v>1.87</v>
      </c>
    </row>
    <row r="8843" spans="1:5" ht="30">
      <c r="A8843" s="349">
        <v>36512</v>
      </c>
      <c r="B8843" s="348" t="s">
        <v>7382</v>
      </c>
      <c r="C8843" s="349" t="s">
        <v>65</v>
      </c>
      <c r="D8843" s="483">
        <v>9754.66</v>
      </c>
      <c r="E8843" s="483">
        <v>9754.66</v>
      </c>
    </row>
    <row r="8844" spans="1:5" ht="30">
      <c r="A8844" s="484">
        <v>25972</v>
      </c>
      <c r="B8844" s="485" t="s">
        <v>7380</v>
      </c>
      <c r="C8844" s="484" t="s">
        <v>90</v>
      </c>
      <c r="D8844" s="486">
        <v>5.82</v>
      </c>
      <c r="E8844" s="486">
        <v>5.82</v>
      </c>
    </row>
    <row r="8845" spans="1:5" ht="30">
      <c r="A8845" s="349">
        <v>25973</v>
      </c>
      <c r="B8845" s="348" t="s">
        <v>7381</v>
      </c>
      <c r="C8845" s="349" t="s">
        <v>90</v>
      </c>
      <c r="D8845" s="483">
        <v>5.82</v>
      </c>
      <c r="E8845" s="483">
        <v>5.82</v>
      </c>
    </row>
    <row r="8846" spans="1:5">
      <c r="A8846" s="484">
        <v>11697</v>
      </c>
      <c r="B8846" s="485" t="s">
        <v>7383</v>
      </c>
      <c r="C8846" s="484" t="s">
        <v>65</v>
      </c>
      <c r="D8846" s="486">
        <v>415.75</v>
      </c>
      <c r="E8846" s="486">
        <v>415.75</v>
      </c>
    </row>
    <row r="8847" spans="1:5">
      <c r="A8847" s="349">
        <v>11698</v>
      </c>
      <c r="B8847" s="348" t="s">
        <v>7384</v>
      </c>
      <c r="C8847" s="349" t="s">
        <v>65</v>
      </c>
      <c r="D8847" s="483">
        <v>495.96</v>
      </c>
      <c r="E8847" s="483">
        <v>495.96</v>
      </c>
    </row>
    <row r="8848" spans="1:5">
      <c r="A8848" s="484">
        <v>11699</v>
      </c>
      <c r="B8848" s="485" t="s">
        <v>7385</v>
      </c>
      <c r="C8848" s="484" t="s">
        <v>65</v>
      </c>
      <c r="D8848" s="486">
        <v>548.15</v>
      </c>
      <c r="E8848" s="486">
        <v>548.15</v>
      </c>
    </row>
    <row r="8849" spans="1:5">
      <c r="A8849" s="349">
        <v>10432</v>
      </c>
      <c r="B8849" s="348" t="s">
        <v>7387</v>
      </c>
      <c r="C8849" s="349" t="s">
        <v>65</v>
      </c>
      <c r="D8849" s="483">
        <v>250.05</v>
      </c>
      <c r="E8849" s="483">
        <v>250.05</v>
      </c>
    </row>
    <row r="8850" spans="1:5">
      <c r="A8850" s="484">
        <v>10430</v>
      </c>
      <c r="B8850" s="485" t="s">
        <v>7388</v>
      </c>
      <c r="C8850" s="484" t="s">
        <v>65</v>
      </c>
      <c r="D8850" s="486">
        <v>269.29000000000002</v>
      </c>
      <c r="E8850" s="486">
        <v>269.29000000000002</v>
      </c>
    </row>
    <row r="8851" spans="1:5" ht="30">
      <c r="A8851" s="349">
        <v>37514</v>
      </c>
      <c r="B8851" s="348" t="s">
        <v>7389</v>
      </c>
      <c r="C8851" s="349" t="s">
        <v>65</v>
      </c>
      <c r="D8851" s="483">
        <v>135897.42000000001</v>
      </c>
      <c r="E8851" s="483">
        <v>135897.42000000001</v>
      </c>
    </row>
    <row r="8852" spans="1:5" ht="30">
      <c r="A8852" s="484">
        <v>37519</v>
      </c>
      <c r="B8852" s="485" t="s">
        <v>7390</v>
      </c>
      <c r="C8852" s="484" t="s">
        <v>65</v>
      </c>
      <c r="D8852" s="486">
        <v>209729.59</v>
      </c>
      <c r="E8852" s="486">
        <v>209729.59</v>
      </c>
    </row>
    <row r="8853" spans="1:5" ht="30">
      <c r="A8853" s="349">
        <v>37520</v>
      </c>
      <c r="B8853" s="348" t="s">
        <v>7397</v>
      </c>
      <c r="C8853" s="349" t="s">
        <v>65</v>
      </c>
      <c r="D8853" s="483">
        <v>206291.4</v>
      </c>
      <c r="E8853" s="483">
        <v>206291.4</v>
      </c>
    </row>
    <row r="8854" spans="1:5" ht="30">
      <c r="A8854" s="484">
        <v>37521</v>
      </c>
      <c r="B8854" s="485" t="s">
        <v>7398</v>
      </c>
      <c r="C8854" s="484" t="s">
        <v>65</v>
      </c>
      <c r="D8854" s="486">
        <v>251675.51</v>
      </c>
      <c r="E8854" s="486">
        <v>251675.51</v>
      </c>
    </row>
    <row r="8855" spans="1:5" ht="30">
      <c r="A8855" s="349">
        <v>37522</v>
      </c>
      <c r="B8855" s="348" t="s">
        <v>7399</v>
      </c>
      <c r="C8855" s="349" t="s">
        <v>65</v>
      </c>
      <c r="D8855" s="483">
        <v>259247.35999999999</v>
      </c>
      <c r="E8855" s="483">
        <v>259247.35999999999</v>
      </c>
    </row>
    <row r="8856" spans="1:5" ht="30">
      <c r="A8856" s="484">
        <v>21109</v>
      </c>
      <c r="B8856" s="485" t="s">
        <v>7400</v>
      </c>
      <c r="C8856" s="484" t="s">
        <v>65</v>
      </c>
      <c r="D8856" s="486">
        <v>46.78</v>
      </c>
      <c r="E8856" s="486">
        <v>46.78</v>
      </c>
    </row>
    <row r="8857" spans="1:5">
      <c r="A8857" s="349">
        <v>36800</v>
      </c>
      <c r="B8857" s="348" t="s">
        <v>7401</v>
      </c>
      <c r="C8857" s="349" t="s">
        <v>65</v>
      </c>
      <c r="D8857" s="483">
        <v>73</v>
      </c>
      <c r="E8857" s="483">
        <v>73</v>
      </c>
    </row>
    <row r="8858" spans="1:5">
      <c r="A8858" s="484">
        <v>11769</v>
      </c>
      <c r="B8858" s="485" t="s">
        <v>7402</v>
      </c>
      <c r="C8858" s="484" t="s">
        <v>65</v>
      </c>
      <c r="D8858" s="486">
        <v>178.89</v>
      </c>
      <c r="E8858" s="486">
        <v>178.89</v>
      </c>
    </row>
    <row r="8859" spans="1:5">
      <c r="A8859" s="349">
        <v>36793</v>
      </c>
      <c r="B8859" s="348" t="s">
        <v>7403</v>
      </c>
      <c r="C8859" s="349" t="s">
        <v>65</v>
      </c>
      <c r="D8859" s="483">
        <v>289.64</v>
      </c>
      <c r="E8859" s="483">
        <v>289.64</v>
      </c>
    </row>
    <row r="8860" spans="1:5" ht="30">
      <c r="A8860" s="484">
        <v>37546</v>
      </c>
      <c r="B8860" s="485" t="s">
        <v>7410</v>
      </c>
      <c r="C8860" s="484" t="s">
        <v>65</v>
      </c>
      <c r="D8860" s="486">
        <v>7822.86</v>
      </c>
      <c r="E8860" s="486">
        <v>7822.86</v>
      </c>
    </row>
    <row r="8861" spans="1:5" ht="30">
      <c r="A8861" s="349">
        <v>37544</v>
      </c>
      <c r="B8861" s="348" t="s">
        <v>7417</v>
      </c>
      <c r="C8861" s="349" t="s">
        <v>65</v>
      </c>
      <c r="D8861" s="483">
        <v>8273.99</v>
      </c>
      <c r="E8861" s="483">
        <v>8273.99</v>
      </c>
    </row>
    <row r="8862" spans="1:5" ht="30">
      <c r="A8862" s="484">
        <v>37545</v>
      </c>
      <c r="B8862" s="485" t="s">
        <v>7424</v>
      </c>
      <c r="C8862" s="484" t="s">
        <v>65</v>
      </c>
      <c r="D8862" s="486">
        <v>9844.94</v>
      </c>
      <c r="E8862" s="486">
        <v>9844.94</v>
      </c>
    </row>
    <row r="8863" spans="1:5">
      <c r="A8863" s="349">
        <v>11771</v>
      </c>
      <c r="B8863" s="348" t="s">
        <v>7425</v>
      </c>
      <c r="C8863" s="349" t="s">
        <v>65</v>
      </c>
      <c r="D8863" s="483">
        <v>221.9</v>
      </c>
      <c r="E8863" s="483">
        <v>221.9</v>
      </c>
    </row>
    <row r="8864" spans="1:5" ht="45">
      <c r="A8864" s="484">
        <v>39919</v>
      </c>
      <c r="B8864" s="485" t="s">
        <v>7426</v>
      </c>
      <c r="C8864" s="484" t="s">
        <v>65</v>
      </c>
      <c r="D8864" s="486">
        <v>39157.75</v>
      </c>
      <c r="E8864" s="486">
        <v>39157.75</v>
      </c>
    </row>
    <row r="8865" spans="1:5" ht="30">
      <c r="A8865" s="349">
        <v>38385</v>
      </c>
      <c r="B8865" s="348" t="s">
        <v>19665</v>
      </c>
      <c r="C8865" s="349" t="s">
        <v>65</v>
      </c>
      <c r="D8865" s="483">
        <v>31.58</v>
      </c>
      <c r="E8865" s="483">
        <v>31.58</v>
      </c>
    </row>
    <row r="8866" spans="1:5">
      <c r="A8866" s="484">
        <v>37587</v>
      </c>
      <c r="B8866" s="485" t="s">
        <v>200</v>
      </c>
      <c r="C8866" s="484" t="s">
        <v>65</v>
      </c>
      <c r="D8866" s="486">
        <v>201.82</v>
      </c>
      <c r="E8866" s="486">
        <v>201.82</v>
      </c>
    </row>
    <row r="8867" spans="1:5">
      <c r="A8867" s="349">
        <v>11571</v>
      </c>
      <c r="B8867" s="348" t="s">
        <v>7437</v>
      </c>
      <c r="C8867" s="349" t="s">
        <v>65</v>
      </c>
      <c r="D8867" s="483">
        <v>162.41999999999999</v>
      </c>
      <c r="E8867" s="483">
        <v>162.41999999999999</v>
      </c>
    </row>
    <row r="8868" spans="1:5">
      <c r="A8868" s="484">
        <v>11561</v>
      </c>
      <c r="B8868" s="485" t="s">
        <v>7438</v>
      </c>
      <c r="C8868" s="484" t="s">
        <v>65</v>
      </c>
      <c r="D8868" s="486">
        <v>125.62</v>
      </c>
      <c r="E8868" s="486">
        <v>125.62</v>
      </c>
    </row>
    <row r="8869" spans="1:5">
      <c r="A8869" s="349">
        <v>11560</v>
      </c>
      <c r="B8869" s="348" t="s">
        <v>7439</v>
      </c>
      <c r="C8869" s="349" t="s">
        <v>65</v>
      </c>
      <c r="D8869" s="483">
        <v>106.92</v>
      </c>
      <c r="E8869" s="483">
        <v>106.92</v>
      </c>
    </row>
    <row r="8870" spans="1:5">
      <c r="A8870" s="484">
        <v>11499</v>
      </c>
      <c r="B8870" s="485" t="s">
        <v>7440</v>
      </c>
      <c r="C8870" s="484" t="s">
        <v>65</v>
      </c>
      <c r="D8870" s="486">
        <v>1220.8399999999999</v>
      </c>
      <c r="E8870" s="486">
        <v>1220.8399999999999</v>
      </c>
    </row>
    <row r="8871" spans="1:5">
      <c r="A8871" s="349">
        <v>40924</v>
      </c>
      <c r="B8871" s="348" t="s">
        <v>7443</v>
      </c>
      <c r="C8871" s="349" t="s">
        <v>1643</v>
      </c>
      <c r="D8871" s="483">
        <v>2262.96</v>
      </c>
      <c r="E8871" s="483">
        <v>2262.96</v>
      </c>
    </row>
    <row r="8872" spans="1:5">
      <c r="A8872" s="484">
        <v>25957</v>
      </c>
      <c r="B8872" s="485" t="s">
        <v>7444</v>
      </c>
      <c r="C8872" s="484" t="s">
        <v>57</v>
      </c>
      <c r="D8872" s="486">
        <v>19.87</v>
      </c>
      <c r="E8872" s="486">
        <v>19.87</v>
      </c>
    </row>
    <row r="8873" spans="1:5">
      <c r="A8873" s="349">
        <v>40983</v>
      </c>
      <c r="B8873" s="348" t="s">
        <v>7445</v>
      </c>
      <c r="C8873" s="349" t="s">
        <v>1643</v>
      </c>
      <c r="D8873" s="483">
        <v>3505.21</v>
      </c>
      <c r="E8873" s="483">
        <v>3505.21</v>
      </c>
    </row>
    <row r="8874" spans="1:5">
      <c r="A8874" s="484">
        <v>40921</v>
      </c>
      <c r="B8874" s="485" t="s">
        <v>7446</v>
      </c>
      <c r="C8874" s="484" t="s">
        <v>1643</v>
      </c>
      <c r="D8874" s="486">
        <v>3543.57</v>
      </c>
      <c r="E8874" s="486">
        <v>3543.57</v>
      </c>
    </row>
    <row r="8875" spans="1:5">
      <c r="A8875" s="349">
        <v>34761</v>
      </c>
      <c r="B8875" s="348" t="s">
        <v>201</v>
      </c>
      <c r="C8875" s="349" t="s">
        <v>57</v>
      </c>
      <c r="D8875" s="483">
        <v>12.84</v>
      </c>
      <c r="E8875" s="483">
        <v>12.84</v>
      </c>
    </row>
    <row r="8876" spans="1:5">
      <c r="A8876" s="484">
        <v>2437</v>
      </c>
      <c r="B8876" s="485" t="s">
        <v>11434</v>
      </c>
      <c r="C8876" s="484" t="s">
        <v>57</v>
      </c>
      <c r="D8876" s="486">
        <v>20.09</v>
      </c>
      <c r="E8876" s="486">
        <v>20.09</v>
      </c>
    </row>
    <row r="8877" spans="1:5" ht="30">
      <c r="A8877" s="349">
        <v>40534</v>
      </c>
      <c r="B8877" s="348" t="s">
        <v>7579</v>
      </c>
      <c r="C8877" s="349" t="s">
        <v>65</v>
      </c>
      <c r="D8877" s="483">
        <v>159.02000000000001</v>
      </c>
      <c r="E8877" s="483">
        <v>159.02000000000001</v>
      </c>
    </row>
    <row r="8878" spans="1:5" ht="30">
      <c r="A8878" s="484">
        <v>14252</v>
      </c>
      <c r="B8878" s="485" t="s">
        <v>7580</v>
      </c>
      <c r="C8878" s="484" t="s">
        <v>65</v>
      </c>
      <c r="D8878" s="486">
        <v>1828.43</v>
      </c>
      <c r="E8878" s="486">
        <v>1828.43</v>
      </c>
    </row>
    <row r="8879" spans="1:5" ht="30">
      <c r="A8879" s="349">
        <v>730</v>
      </c>
      <c r="B8879" s="348" t="s">
        <v>7581</v>
      </c>
      <c r="C8879" s="349" t="s">
        <v>65</v>
      </c>
      <c r="D8879" s="483">
        <v>4885.22</v>
      </c>
      <c r="E8879" s="483">
        <v>4885.22</v>
      </c>
    </row>
    <row r="8880" spans="1:5" ht="30">
      <c r="A8880" s="484">
        <v>723</v>
      </c>
      <c r="B8880" s="485" t="s">
        <v>7582</v>
      </c>
      <c r="C8880" s="484" t="s">
        <v>65</v>
      </c>
      <c r="D8880" s="486">
        <v>2428.12</v>
      </c>
      <c r="E8880" s="486">
        <v>2428.12</v>
      </c>
    </row>
    <row r="8881" spans="1:5" ht="30">
      <c r="A8881" s="349">
        <v>36502</v>
      </c>
      <c r="B8881" s="348" t="s">
        <v>7589</v>
      </c>
      <c r="C8881" s="349" t="s">
        <v>65</v>
      </c>
      <c r="D8881" s="483">
        <v>2282.15</v>
      </c>
      <c r="E8881" s="483">
        <v>2282.15</v>
      </c>
    </row>
    <row r="8882" spans="1:5" ht="30">
      <c r="A8882" s="484">
        <v>36503</v>
      </c>
      <c r="B8882" s="485" t="s">
        <v>7596</v>
      </c>
      <c r="C8882" s="484" t="s">
        <v>65</v>
      </c>
      <c r="D8882" s="486">
        <v>2814.16</v>
      </c>
      <c r="E8882" s="486">
        <v>2814.16</v>
      </c>
    </row>
    <row r="8883" spans="1:5" ht="30">
      <c r="A8883" s="349">
        <v>4087</v>
      </c>
      <c r="B8883" s="348" t="s">
        <v>7597</v>
      </c>
      <c r="C8883" s="349" t="s">
        <v>65</v>
      </c>
      <c r="D8883" s="483">
        <v>10000</v>
      </c>
      <c r="E8883" s="483">
        <v>10000</v>
      </c>
    </row>
    <row r="8884" spans="1:5">
      <c r="A8884" s="484">
        <v>13227</v>
      </c>
      <c r="B8884" s="485" t="s">
        <v>7598</v>
      </c>
      <c r="C8884" s="484" t="s">
        <v>65</v>
      </c>
      <c r="D8884" s="486">
        <v>609795.81999999995</v>
      </c>
      <c r="E8884" s="486">
        <v>609795.81999999995</v>
      </c>
    </row>
    <row r="8885" spans="1:5">
      <c r="A8885" s="349">
        <v>10597</v>
      </c>
      <c r="B8885" s="348" t="s">
        <v>7599</v>
      </c>
      <c r="C8885" s="349" t="s">
        <v>65</v>
      </c>
      <c r="D8885" s="483">
        <v>820552.24</v>
      </c>
      <c r="E8885" s="483">
        <v>820552.24</v>
      </c>
    </row>
    <row r="8886" spans="1:5" ht="30">
      <c r="A8886" s="484">
        <v>4090</v>
      </c>
      <c r="B8886" s="485" t="s">
        <v>11435</v>
      </c>
      <c r="C8886" s="484" t="s">
        <v>65</v>
      </c>
      <c r="D8886" s="486">
        <v>583877.5</v>
      </c>
      <c r="E8886" s="486">
        <v>583877.5</v>
      </c>
    </row>
    <row r="8887" spans="1:5">
      <c r="A8887" s="349">
        <v>39628</v>
      </c>
      <c r="B8887" s="348" t="s">
        <v>7606</v>
      </c>
      <c r="C8887" s="349" t="s">
        <v>65</v>
      </c>
      <c r="D8887" s="483">
        <v>2023.9</v>
      </c>
      <c r="E8887" s="483">
        <v>2023.9</v>
      </c>
    </row>
    <row r="8888" spans="1:5">
      <c r="A8888" s="484">
        <v>39404</v>
      </c>
      <c r="B8888" s="485" t="s">
        <v>7607</v>
      </c>
      <c r="C8888" s="484" t="s">
        <v>65</v>
      </c>
      <c r="D8888" s="486">
        <v>1003.59</v>
      </c>
      <c r="E8888" s="486">
        <v>1003.59</v>
      </c>
    </row>
    <row r="8889" spans="1:5">
      <c r="A8889" s="349">
        <v>39402</v>
      </c>
      <c r="B8889" s="348" t="s">
        <v>7608</v>
      </c>
      <c r="C8889" s="349" t="s">
        <v>65</v>
      </c>
      <c r="D8889" s="483">
        <v>826.76</v>
      </c>
      <c r="E8889" s="483">
        <v>826.76</v>
      </c>
    </row>
    <row r="8890" spans="1:5">
      <c r="A8890" s="484">
        <v>39403</v>
      </c>
      <c r="B8890" s="485" t="s">
        <v>7609</v>
      </c>
      <c r="C8890" s="484" t="s">
        <v>65</v>
      </c>
      <c r="D8890" s="486">
        <v>808.78</v>
      </c>
      <c r="E8890" s="486">
        <v>808.78</v>
      </c>
    </row>
    <row r="8891" spans="1:5">
      <c r="A8891" s="349">
        <v>4093</v>
      </c>
      <c r="B8891" s="348" t="s">
        <v>7610</v>
      </c>
      <c r="C8891" s="349" t="s">
        <v>57</v>
      </c>
      <c r="D8891" s="483">
        <v>29.39</v>
      </c>
      <c r="E8891" s="483">
        <v>29.39</v>
      </c>
    </row>
    <row r="8892" spans="1:5">
      <c r="A8892" s="484">
        <v>10512</v>
      </c>
      <c r="B8892" s="485" t="s">
        <v>7611</v>
      </c>
      <c r="C8892" s="484" t="s">
        <v>1643</v>
      </c>
      <c r="D8892" s="486">
        <v>5185.04</v>
      </c>
      <c r="E8892" s="486">
        <v>5185.04</v>
      </c>
    </row>
    <row r="8893" spans="1:5">
      <c r="A8893" s="349">
        <v>20020</v>
      </c>
      <c r="B8893" s="348" t="s">
        <v>11436</v>
      </c>
      <c r="C8893" s="349" t="s">
        <v>57</v>
      </c>
      <c r="D8893" s="483">
        <v>29.39</v>
      </c>
      <c r="E8893" s="483">
        <v>29.39</v>
      </c>
    </row>
    <row r="8894" spans="1:5">
      <c r="A8894" s="484">
        <v>4094</v>
      </c>
      <c r="B8894" s="485" t="s">
        <v>11437</v>
      </c>
      <c r="C8894" s="484" t="s">
        <v>57</v>
      </c>
      <c r="D8894" s="486">
        <v>29.42</v>
      </c>
      <c r="E8894" s="486">
        <v>29.42</v>
      </c>
    </row>
    <row r="8895" spans="1:5">
      <c r="A8895" s="349">
        <v>41038</v>
      </c>
      <c r="B8895" s="348" t="s">
        <v>7613</v>
      </c>
      <c r="C8895" s="349" t="s">
        <v>1643</v>
      </c>
      <c r="D8895" s="483">
        <v>5181.55</v>
      </c>
      <c r="E8895" s="483">
        <v>5181.55</v>
      </c>
    </row>
    <row r="8896" spans="1:5">
      <c r="A8896" s="484">
        <v>40988</v>
      </c>
      <c r="B8896" s="485" t="s">
        <v>7614</v>
      </c>
      <c r="C8896" s="484" t="s">
        <v>1643</v>
      </c>
      <c r="D8896" s="486">
        <v>5184.54</v>
      </c>
      <c r="E8896" s="486">
        <v>5184.54</v>
      </c>
    </row>
    <row r="8897" spans="1:5">
      <c r="A8897" s="349">
        <v>40990</v>
      </c>
      <c r="B8897" s="348" t="s">
        <v>7615</v>
      </c>
      <c r="C8897" s="349" t="s">
        <v>1643</v>
      </c>
      <c r="D8897" s="483">
        <v>4787.93</v>
      </c>
      <c r="E8897" s="483">
        <v>4787.93</v>
      </c>
    </row>
    <row r="8898" spans="1:5">
      <c r="A8898" s="484">
        <v>40994</v>
      </c>
      <c r="B8898" s="485" t="s">
        <v>7616</v>
      </c>
      <c r="C8898" s="484" t="s">
        <v>1643</v>
      </c>
      <c r="D8898" s="486">
        <v>5184.54</v>
      </c>
      <c r="E8898" s="486">
        <v>5184.54</v>
      </c>
    </row>
    <row r="8899" spans="1:5">
      <c r="A8899" s="349">
        <v>4095</v>
      </c>
      <c r="B8899" s="348" t="s">
        <v>202</v>
      </c>
      <c r="C8899" s="349" t="s">
        <v>57</v>
      </c>
      <c r="D8899" s="483">
        <v>27.17</v>
      </c>
      <c r="E8899" s="483">
        <v>27.17</v>
      </c>
    </row>
    <row r="8900" spans="1:5">
      <c r="A8900" s="484">
        <v>4097</v>
      </c>
      <c r="B8900" s="485" t="s">
        <v>203</v>
      </c>
      <c r="C8900" s="484" t="s">
        <v>57</v>
      </c>
      <c r="D8900" s="486">
        <v>29.42</v>
      </c>
      <c r="E8900" s="486">
        <v>29.42</v>
      </c>
    </row>
    <row r="8901" spans="1:5">
      <c r="A8901" s="349">
        <v>40992</v>
      </c>
      <c r="B8901" s="348" t="s">
        <v>7618</v>
      </c>
      <c r="C8901" s="349" t="s">
        <v>1643</v>
      </c>
      <c r="D8901" s="483">
        <v>5675.44</v>
      </c>
      <c r="E8901" s="483">
        <v>5675.44</v>
      </c>
    </row>
    <row r="8902" spans="1:5">
      <c r="A8902" s="484">
        <v>4096</v>
      </c>
      <c r="B8902" s="485" t="s">
        <v>7619</v>
      </c>
      <c r="C8902" s="484" t="s">
        <v>57</v>
      </c>
      <c r="D8902" s="486">
        <v>32.19</v>
      </c>
      <c r="E8902" s="486">
        <v>32.19</v>
      </c>
    </row>
    <row r="8903" spans="1:5">
      <c r="A8903" s="349">
        <v>13955</v>
      </c>
      <c r="B8903" s="348" t="s">
        <v>7620</v>
      </c>
      <c r="C8903" s="349" t="s">
        <v>65</v>
      </c>
      <c r="D8903" s="483">
        <v>2125.31</v>
      </c>
      <c r="E8903" s="483">
        <v>2125.31</v>
      </c>
    </row>
    <row r="8904" spans="1:5" ht="30">
      <c r="A8904" s="484">
        <v>4114</v>
      </c>
      <c r="B8904" s="485" t="s">
        <v>7621</v>
      </c>
      <c r="C8904" s="484" t="s">
        <v>65</v>
      </c>
      <c r="D8904" s="486">
        <v>35.74</v>
      </c>
      <c r="E8904" s="486">
        <v>35.74</v>
      </c>
    </row>
    <row r="8905" spans="1:5">
      <c r="A8905" s="349">
        <v>36797</v>
      </c>
      <c r="B8905" s="348" t="s">
        <v>7622</v>
      </c>
      <c r="C8905" s="349" t="s">
        <v>65</v>
      </c>
      <c r="D8905" s="483">
        <v>31.26</v>
      </c>
      <c r="E8905" s="483">
        <v>31.26</v>
      </c>
    </row>
    <row r="8906" spans="1:5">
      <c r="A8906" s="484">
        <v>4107</v>
      </c>
      <c r="B8906" s="485" t="s">
        <v>7623</v>
      </c>
      <c r="C8906" s="484" t="s">
        <v>65</v>
      </c>
      <c r="D8906" s="486">
        <v>30.1</v>
      </c>
      <c r="E8906" s="486">
        <v>30.1</v>
      </c>
    </row>
    <row r="8907" spans="1:5">
      <c r="A8907" s="349">
        <v>36799</v>
      </c>
      <c r="B8907" s="348" t="s">
        <v>7626</v>
      </c>
      <c r="C8907" s="349" t="s">
        <v>65</v>
      </c>
      <c r="D8907" s="483">
        <v>28.73</v>
      </c>
      <c r="E8907" s="483">
        <v>28.73</v>
      </c>
    </row>
    <row r="8908" spans="1:5">
      <c r="A8908" s="484">
        <v>4108</v>
      </c>
      <c r="B8908" s="485" t="s">
        <v>7624</v>
      </c>
      <c r="C8908" s="484" t="s">
        <v>65</v>
      </c>
      <c r="D8908" s="486">
        <v>24.2</v>
      </c>
      <c r="E8908" s="486">
        <v>24.2</v>
      </c>
    </row>
    <row r="8909" spans="1:5">
      <c r="A8909" s="349">
        <v>4102</v>
      </c>
      <c r="B8909" s="348" t="s">
        <v>7625</v>
      </c>
      <c r="C8909" s="349" t="s">
        <v>65</v>
      </c>
      <c r="D8909" s="483">
        <v>36</v>
      </c>
      <c r="E8909" s="483">
        <v>36</v>
      </c>
    </row>
    <row r="8910" spans="1:5" ht="43.5" customHeight="1">
      <c r="A8910" s="484">
        <v>10826</v>
      </c>
      <c r="B8910" s="485" t="s">
        <v>7627</v>
      </c>
      <c r="C8910" s="484" t="s">
        <v>65</v>
      </c>
      <c r="D8910" s="486">
        <v>28.73</v>
      </c>
      <c r="E8910" s="486">
        <v>28.73</v>
      </c>
    </row>
    <row r="8911" spans="1:5" ht="30">
      <c r="A8911" s="349">
        <v>365</v>
      </c>
      <c r="B8911" s="348" t="s">
        <v>7628</v>
      </c>
      <c r="C8911" s="349" t="s">
        <v>65</v>
      </c>
      <c r="D8911" s="483">
        <v>17.809999999999999</v>
      </c>
      <c r="E8911" s="483">
        <v>17.809999999999999</v>
      </c>
    </row>
    <row r="8912" spans="1:5">
      <c r="A8912" s="484">
        <v>38639</v>
      </c>
      <c r="B8912" s="485" t="s">
        <v>7629</v>
      </c>
      <c r="C8912" s="484" t="s">
        <v>65</v>
      </c>
      <c r="D8912" s="486">
        <v>68.959999999999994</v>
      </c>
      <c r="E8912" s="486">
        <v>68.959999999999994</v>
      </c>
    </row>
    <row r="8913" spans="1:5">
      <c r="A8913" s="349">
        <v>38640</v>
      </c>
      <c r="B8913" s="348" t="s">
        <v>7630</v>
      </c>
      <c r="C8913" s="349" t="s">
        <v>65</v>
      </c>
      <c r="D8913" s="483">
        <v>1.03</v>
      </c>
      <c r="E8913" s="483">
        <v>1.03</v>
      </c>
    </row>
    <row r="8914" spans="1:5" ht="30">
      <c r="A8914" s="484">
        <v>358</v>
      </c>
      <c r="B8914" s="485" t="s">
        <v>7631</v>
      </c>
      <c r="C8914" s="484" t="s">
        <v>65</v>
      </c>
      <c r="D8914" s="486">
        <v>21.26</v>
      </c>
      <c r="E8914" s="486">
        <v>21.26</v>
      </c>
    </row>
    <row r="8915" spans="1:5" ht="43.5" customHeight="1">
      <c r="A8915" s="349">
        <v>359</v>
      </c>
      <c r="B8915" s="348" t="s">
        <v>7632</v>
      </c>
      <c r="C8915" s="349" t="s">
        <v>65</v>
      </c>
      <c r="D8915" s="483">
        <v>43.67</v>
      </c>
      <c r="E8915" s="483">
        <v>43.67</v>
      </c>
    </row>
    <row r="8916" spans="1:5">
      <c r="A8916" s="484">
        <v>38641</v>
      </c>
      <c r="B8916" s="485" t="s">
        <v>7633</v>
      </c>
      <c r="C8916" s="484" t="s">
        <v>65</v>
      </c>
      <c r="D8916" s="486">
        <v>43.1</v>
      </c>
      <c r="E8916" s="486">
        <v>43.1</v>
      </c>
    </row>
    <row r="8917" spans="1:5" ht="30">
      <c r="A8917" s="349">
        <v>360</v>
      </c>
      <c r="B8917" s="348" t="s">
        <v>7634</v>
      </c>
      <c r="C8917" s="349" t="s">
        <v>65</v>
      </c>
      <c r="D8917" s="483">
        <v>1</v>
      </c>
      <c r="E8917" s="483">
        <v>1</v>
      </c>
    </row>
    <row r="8918" spans="1:5" ht="30">
      <c r="A8918" s="484">
        <v>4127</v>
      </c>
      <c r="B8918" s="485" t="s">
        <v>7635</v>
      </c>
      <c r="C8918" s="484" t="s">
        <v>65</v>
      </c>
      <c r="D8918" s="486">
        <v>167.78</v>
      </c>
      <c r="E8918" s="486">
        <v>167.78</v>
      </c>
    </row>
    <row r="8919" spans="1:5" ht="30">
      <c r="A8919" s="349">
        <v>4154</v>
      </c>
      <c r="B8919" s="348" t="s">
        <v>7638</v>
      </c>
      <c r="C8919" s="349" t="s">
        <v>65</v>
      </c>
      <c r="D8919" s="483">
        <v>204.99</v>
      </c>
      <c r="E8919" s="483">
        <v>204.99</v>
      </c>
    </row>
    <row r="8920" spans="1:5" ht="30">
      <c r="A8920" s="484">
        <v>4168</v>
      </c>
      <c r="B8920" s="485" t="s">
        <v>7639</v>
      </c>
      <c r="C8920" s="484" t="s">
        <v>65</v>
      </c>
      <c r="D8920" s="486">
        <v>216.49</v>
      </c>
      <c r="E8920" s="486">
        <v>216.49</v>
      </c>
    </row>
    <row r="8921" spans="1:5" ht="30">
      <c r="A8921" s="349">
        <v>4161</v>
      </c>
      <c r="B8921" s="348" t="s">
        <v>7641</v>
      </c>
      <c r="C8921" s="349" t="s">
        <v>65</v>
      </c>
      <c r="D8921" s="483">
        <v>208.37</v>
      </c>
      <c r="E8921" s="483">
        <v>208.37</v>
      </c>
    </row>
    <row r="8922" spans="1:5">
      <c r="A8922" s="484">
        <v>4214</v>
      </c>
      <c r="B8922" s="485" t="s">
        <v>7651</v>
      </c>
      <c r="C8922" s="484" t="s">
        <v>65</v>
      </c>
      <c r="D8922" s="486">
        <v>4.32</v>
      </c>
      <c r="E8922" s="486">
        <v>4.32</v>
      </c>
    </row>
    <row r="8923" spans="1:5">
      <c r="A8923" s="349">
        <v>4215</v>
      </c>
      <c r="B8923" s="348" t="s">
        <v>7652</v>
      </c>
      <c r="C8923" s="349" t="s">
        <v>65</v>
      </c>
      <c r="D8923" s="483">
        <v>3.58</v>
      </c>
      <c r="E8923" s="483">
        <v>3.58</v>
      </c>
    </row>
    <row r="8924" spans="1:5">
      <c r="A8924" s="484">
        <v>4210</v>
      </c>
      <c r="B8924" s="485" t="s">
        <v>7654</v>
      </c>
      <c r="C8924" s="484" t="s">
        <v>65</v>
      </c>
      <c r="D8924" s="486">
        <v>0.55000000000000004</v>
      </c>
      <c r="E8924" s="486">
        <v>0.55000000000000004</v>
      </c>
    </row>
    <row r="8925" spans="1:5">
      <c r="A8925" s="349">
        <v>4212</v>
      </c>
      <c r="B8925" s="348" t="s">
        <v>7653</v>
      </c>
      <c r="C8925" s="349" t="s">
        <v>65</v>
      </c>
      <c r="D8925" s="483">
        <v>1.44</v>
      </c>
      <c r="E8925" s="483">
        <v>1.44</v>
      </c>
    </row>
    <row r="8926" spans="1:5">
      <c r="A8926" s="484">
        <v>4213</v>
      </c>
      <c r="B8926" s="485" t="s">
        <v>7655</v>
      </c>
      <c r="C8926" s="484" t="s">
        <v>65</v>
      </c>
      <c r="D8926" s="486">
        <v>7.8</v>
      </c>
      <c r="E8926" s="486">
        <v>7.8</v>
      </c>
    </row>
    <row r="8927" spans="1:5">
      <c r="A8927" s="349">
        <v>4211</v>
      </c>
      <c r="B8927" s="348" t="s">
        <v>7656</v>
      </c>
      <c r="C8927" s="349" t="s">
        <v>65</v>
      </c>
      <c r="D8927" s="483">
        <v>0.81</v>
      </c>
      <c r="E8927" s="483">
        <v>0.81</v>
      </c>
    </row>
    <row r="8928" spans="1:5">
      <c r="A8928" s="484">
        <v>4209</v>
      </c>
      <c r="B8928" s="485" t="s">
        <v>7660</v>
      </c>
      <c r="C8928" s="484" t="s">
        <v>65</v>
      </c>
      <c r="D8928" s="486">
        <v>11.16</v>
      </c>
      <c r="E8928" s="486">
        <v>11.16</v>
      </c>
    </row>
    <row r="8929" spans="1:5">
      <c r="A8929" s="349">
        <v>4180</v>
      </c>
      <c r="B8929" s="348" t="s">
        <v>7661</v>
      </c>
      <c r="C8929" s="349" t="s">
        <v>65</v>
      </c>
      <c r="D8929" s="483">
        <v>8.4</v>
      </c>
      <c r="E8929" s="483">
        <v>8.4</v>
      </c>
    </row>
    <row r="8930" spans="1:5">
      <c r="A8930" s="484">
        <v>4177</v>
      </c>
      <c r="B8930" s="485" t="s">
        <v>7663</v>
      </c>
      <c r="C8930" s="484" t="s">
        <v>65</v>
      </c>
      <c r="D8930" s="486">
        <v>2.79</v>
      </c>
      <c r="E8930" s="486">
        <v>2.79</v>
      </c>
    </row>
    <row r="8931" spans="1:5">
      <c r="A8931" s="349">
        <v>4179</v>
      </c>
      <c r="B8931" s="348" t="s">
        <v>7662</v>
      </c>
      <c r="C8931" s="349" t="s">
        <v>65</v>
      </c>
      <c r="D8931" s="483">
        <v>5.7</v>
      </c>
      <c r="E8931" s="483">
        <v>5.7</v>
      </c>
    </row>
    <row r="8932" spans="1:5">
      <c r="A8932" s="484">
        <v>4208</v>
      </c>
      <c r="B8932" s="485" t="s">
        <v>7664</v>
      </c>
      <c r="C8932" s="484" t="s">
        <v>65</v>
      </c>
      <c r="D8932" s="486">
        <v>26.56</v>
      </c>
      <c r="E8932" s="486">
        <v>26.56</v>
      </c>
    </row>
    <row r="8933" spans="1:5">
      <c r="A8933" s="349">
        <v>4181</v>
      </c>
      <c r="B8933" s="348" t="s">
        <v>7665</v>
      </c>
      <c r="C8933" s="349" t="s">
        <v>65</v>
      </c>
      <c r="D8933" s="483">
        <v>17.350000000000001</v>
      </c>
      <c r="E8933" s="483">
        <v>17.350000000000001</v>
      </c>
    </row>
    <row r="8934" spans="1:5">
      <c r="A8934" s="484">
        <v>4178</v>
      </c>
      <c r="B8934" s="485" t="s">
        <v>7667</v>
      </c>
      <c r="C8934" s="484" t="s">
        <v>65</v>
      </c>
      <c r="D8934" s="486">
        <v>3.86</v>
      </c>
      <c r="E8934" s="486">
        <v>3.86</v>
      </c>
    </row>
    <row r="8935" spans="1:5">
      <c r="A8935" s="349">
        <v>4182</v>
      </c>
      <c r="B8935" s="348" t="s">
        <v>7666</v>
      </c>
      <c r="C8935" s="349" t="s">
        <v>65</v>
      </c>
      <c r="D8935" s="483">
        <v>43.21</v>
      </c>
      <c r="E8935" s="483">
        <v>43.21</v>
      </c>
    </row>
    <row r="8936" spans="1:5">
      <c r="A8936" s="484">
        <v>4183</v>
      </c>
      <c r="B8936" s="485" t="s">
        <v>7668</v>
      </c>
      <c r="C8936" s="484" t="s">
        <v>65</v>
      </c>
      <c r="D8936" s="486">
        <v>69.56</v>
      </c>
      <c r="E8936" s="486">
        <v>69.56</v>
      </c>
    </row>
    <row r="8937" spans="1:5">
      <c r="A8937" s="349">
        <v>4184</v>
      </c>
      <c r="B8937" s="348" t="s">
        <v>7669</v>
      </c>
      <c r="C8937" s="349" t="s">
        <v>65</v>
      </c>
      <c r="D8937" s="483">
        <v>153.55000000000001</v>
      </c>
      <c r="E8937" s="483">
        <v>153.55000000000001</v>
      </c>
    </row>
    <row r="8938" spans="1:5">
      <c r="A8938" s="484">
        <v>4185</v>
      </c>
      <c r="B8938" s="485" t="s">
        <v>7670</v>
      </c>
      <c r="C8938" s="484" t="s">
        <v>65</v>
      </c>
      <c r="D8938" s="486">
        <v>255.14</v>
      </c>
      <c r="E8938" s="486">
        <v>255.14</v>
      </c>
    </row>
    <row r="8939" spans="1:5">
      <c r="A8939" s="349">
        <v>4205</v>
      </c>
      <c r="B8939" s="348" t="s">
        <v>7671</v>
      </c>
      <c r="C8939" s="349" t="s">
        <v>65</v>
      </c>
      <c r="D8939" s="483">
        <v>14.73</v>
      </c>
      <c r="E8939" s="483">
        <v>14.73</v>
      </c>
    </row>
    <row r="8940" spans="1:5">
      <c r="A8940" s="484">
        <v>4192</v>
      </c>
      <c r="B8940" s="485" t="s">
        <v>7672</v>
      </c>
      <c r="C8940" s="484" t="s">
        <v>65</v>
      </c>
      <c r="D8940" s="486">
        <v>14.73</v>
      </c>
      <c r="E8940" s="486">
        <v>14.73</v>
      </c>
    </row>
    <row r="8941" spans="1:5">
      <c r="A8941" s="349">
        <v>4191</v>
      </c>
      <c r="B8941" s="348" t="s">
        <v>7673</v>
      </c>
      <c r="C8941" s="349" t="s">
        <v>65</v>
      </c>
      <c r="D8941" s="483">
        <v>14.73</v>
      </c>
      <c r="E8941" s="483">
        <v>14.73</v>
      </c>
    </row>
    <row r="8942" spans="1:5">
      <c r="A8942" s="484">
        <v>4207</v>
      </c>
      <c r="B8942" s="485" t="s">
        <v>7675</v>
      </c>
      <c r="C8942" s="484" t="s">
        <v>65</v>
      </c>
      <c r="D8942" s="486">
        <v>11.85</v>
      </c>
      <c r="E8942" s="486">
        <v>11.85</v>
      </c>
    </row>
    <row r="8943" spans="1:5">
      <c r="A8943" s="349">
        <v>4206</v>
      </c>
      <c r="B8943" s="348" t="s">
        <v>7674</v>
      </c>
      <c r="C8943" s="349" t="s">
        <v>65</v>
      </c>
      <c r="D8943" s="483">
        <v>11.51</v>
      </c>
      <c r="E8943" s="483">
        <v>11.51</v>
      </c>
    </row>
    <row r="8944" spans="1:5">
      <c r="A8944" s="484">
        <v>4190</v>
      </c>
      <c r="B8944" s="485" t="s">
        <v>7676</v>
      </c>
      <c r="C8944" s="484" t="s">
        <v>65</v>
      </c>
      <c r="D8944" s="486">
        <v>11.51</v>
      </c>
      <c r="E8944" s="486">
        <v>11.51</v>
      </c>
    </row>
    <row r="8945" spans="1:5">
      <c r="A8945" s="349">
        <v>4186</v>
      </c>
      <c r="B8945" s="348" t="s">
        <v>7679</v>
      </c>
      <c r="C8945" s="349" t="s">
        <v>65</v>
      </c>
      <c r="D8945" s="483">
        <v>3.4</v>
      </c>
      <c r="E8945" s="483">
        <v>3.4</v>
      </c>
    </row>
    <row r="8946" spans="1:5">
      <c r="A8946" s="484">
        <v>4188</v>
      </c>
      <c r="B8946" s="485" t="s">
        <v>7677</v>
      </c>
      <c r="C8946" s="484" t="s">
        <v>65</v>
      </c>
      <c r="D8946" s="486">
        <v>6.95</v>
      </c>
      <c r="E8946" s="486">
        <v>6.95</v>
      </c>
    </row>
    <row r="8947" spans="1:5">
      <c r="A8947" s="349">
        <v>4189</v>
      </c>
      <c r="B8947" s="348" t="s">
        <v>7678</v>
      </c>
      <c r="C8947" s="349" t="s">
        <v>65</v>
      </c>
      <c r="D8947" s="483">
        <v>6.95</v>
      </c>
      <c r="E8947" s="483">
        <v>6.95</v>
      </c>
    </row>
    <row r="8948" spans="1:5">
      <c r="A8948" s="484">
        <v>4197</v>
      </c>
      <c r="B8948" s="485" t="s">
        <v>7680</v>
      </c>
      <c r="C8948" s="484" t="s">
        <v>65</v>
      </c>
      <c r="D8948" s="486">
        <v>36.79</v>
      </c>
      <c r="E8948" s="486">
        <v>36.79</v>
      </c>
    </row>
    <row r="8949" spans="1:5">
      <c r="A8949" s="349">
        <v>4194</v>
      </c>
      <c r="B8949" s="348" t="s">
        <v>7681</v>
      </c>
      <c r="C8949" s="349" t="s">
        <v>65</v>
      </c>
      <c r="D8949" s="483">
        <v>22.23</v>
      </c>
      <c r="E8949" s="483">
        <v>22.23</v>
      </c>
    </row>
    <row r="8950" spans="1:5">
      <c r="A8950" s="484">
        <v>4193</v>
      </c>
      <c r="B8950" s="485" t="s">
        <v>7682</v>
      </c>
      <c r="C8950" s="484" t="s">
        <v>65</v>
      </c>
      <c r="D8950" s="486">
        <v>22.23</v>
      </c>
      <c r="E8950" s="486">
        <v>22.23</v>
      </c>
    </row>
    <row r="8951" spans="1:5">
      <c r="A8951" s="349">
        <v>4204</v>
      </c>
      <c r="B8951" s="348" t="s">
        <v>7683</v>
      </c>
      <c r="C8951" s="349" t="s">
        <v>65</v>
      </c>
      <c r="D8951" s="483">
        <v>22.23</v>
      </c>
      <c r="E8951" s="483">
        <v>22.23</v>
      </c>
    </row>
    <row r="8952" spans="1:5">
      <c r="A8952" s="484">
        <v>4187</v>
      </c>
      <c r="B8952" s="485" t="s">
        <v>7686</v>
      </c>
      <c r="C8952" s="484" t="s">
        <v>65</v>
      </c>
      <c r="D8952" s="486">
        <v>4.43</v>
      </c>
      <c r="E8952" s="486">
        <v>4.43</v>
      </c>
    </row>
    <row r="8953" spans="1:5">
      <c r="A8953" s="349">
        <v>4202</v>
      </c>
      <c r="B8953" s="348" t="s">
        <v>7684</v>
      </c>
      <c r="C8953" s="349" t="s">
        <v>65</v>
      </c>
      <c r="D8953" s="483">
        <v>67.19</v>
      </c>
      <c r="E8953" s="483">
        <v>67.19</v>
      </c>
    </row>
    <row r="8954" spans="1:5">
      <c r="A8954" s="484">
        <v>4203</v>
      </c>
      <c r="B8954" s="485" t="s">
        <v>7685</v>
      </c>
      <c r="C8954" s="484" t="s">
        <v>65</v>
      </c>
      <c r="D8954" s="486">
        <v>59.34</v>
      </c>
      <c r="E8954" s="486">
        <v>59.34</v>
      </c>
    </row>
    <row r="8955" spans="1:5">
      <c r="A8955" s="349">
        <v>7595</v>
      </c>
      <c r="B8955" s="348" t="s">
        <v>204</v>
      </c>
      <c r="C8955" s="349" t="s">
        <v>57</v>
      </c>
      <c r="D8955" s="483">
        <v>11.96</v>
      </c>
      <c r="E8955" s="483">
        <v>11.96</v>
      </c>
    </row>
    <row r="8956" spans="1:5">
      <c r="A8956" s="484">
        <v>41094</v>
      </c>
      <c r="B8956" s="485" t="s">
        <v>7706</v>
      </c>
      <c r="C8956" s="484" t="s">
        <v>1643</v>
      </c>
      <c r="D8956" s="486">
        <v>2109.3200000000002</v>
      </c>
      <c r="E8956" s="486">
        <v>2109.3200000000002</v>
      </c>
    </row>
    <row r="8957" spans="1:5" ht="30">
      <c r="A8957" s="349">
        <v>38175</v>
      </c>
      <c r="B8957" s="348" t="s">
        <v>7707</v>
      </c>
      <c r="C8957" s="349" t="s">
        <v>65</v>
      </c>
      <c r="D8957" s="483">
        <v>2.16</v>
      </c>
      <c r="E8957" s="483">
        <v>2.16</v>
      </c>
    </row>
    <row r="8958" spans="1:5" ht="30">
      <c r="A8958" s="484">
        <v>38176</v>
      </c>
      <c r="B8958" s="485" t="s">
        <v>7708</v>
      </c>
      <c r="C8958" s="484" t="s">
        <v>65</v>
      </c>
      <c r="D8958" s="486">
        <v>5.87</v>
      </c>
      <c r="E8958" s="486">
        <v>5.87</v>
      </c>
    </row>
    <row r="8959" spans="1:5" ht="30">
      <c r="A8959" s="349">
        <v>36152</v>
      </c>
      <c r="B8959" s="348" t="s">
        <v>7709</v>
      </c>
      <c r="C8959" s="349" t="s">
        <v>65</v>
      </c>
      <c r="D8959" s="483">
        <v>3.7</v>
      </c>
      <c r="E8959" s="483">
        <v>3.7</v>
      </c>
    </row>
    <row r="8960" spans="1:5">
      <c r="A8960" s="484">
        <v>11138</v>
      </c>
      <c r="B8960" s="485" t="s">
        <v>7710</v>
      </c>
      <c r="C8960" s="484" t="s">
        <v>91</v>
      </c>
      <c r="D8960" s="486">
        <v>2.04</v>
      </c>
      <c r="E8960" s="486">
        <v>2.04</v>
      </c>
    </row>
    <row r="8961" spans="1:5">
      <c r="A8961" s="349">
        <v>5333</v>
      </c>
      <c r="B8961" s="348" t="s">
        <v>7711</v>
      </c>
      <c r="C8961" s="349" t="s">
        <v>91</v>
      </c>
      <c r="D8961" s="483">
        <v>14.16</v>
      </c>
      <c r="E8961" s="483">
        <v>14.16</v>
      </c>
    </row>
    <row r="8962" spans="1:5">
      <c r="A8962" s="484">
        <v>4221</v>
      </c>
      <c r="B8962" s="485" t="s">
        <v>7712</v>
      </c>
      <c r="C8962" s="484" t="s">
        <v>91</v>
      </c>
      <c r="D8962" s="486">
        <v>3.17</v>
      </c>
      <c r="E8962" s="486">
        <v>3.17</v>
      </c>
    </row>
    <row r="8963" spans="1:5" ht="30">
      <c r="A8963" s="349">
        <v>4227</v>
      </c>
      <c r="B8963" s="348" t="s">
        <v>7713</v>
      </c>
      <c r="C8963" s="349" t="s">
        <v>91</v>
      </c>
      <c r="D8963" s="483">
        <v>11</v>
      </c>
      <c r="E8963" s="483">
        <v>11</v>
      </c>
    </row>
    <row r="8964" spans="1:5" ht="30">
      <c r="A8964" s="484">
        <v>38170</v>
      </c>
      <c r="B8964" s="485" t="s">
        <v>7714</v>
      </c>
      <c r="C8964" s="484" t="s">
        <v>65</v>
      </c>
      <c r="D8964" s="486">
        <v>9.89</v>
      </c>
      <c r="E8964" s="486">
        <v>9.89</v>
      </c>
    </row>
    <row r="8965" spans="1:5">
      <c r="A8965" s="349">
        <v>4242</v>
      </c>
      <c r="B8965" s="348" t="s">
        <v>205</v>
      </c>
      <c r="C8965" s="349" t="s">
        <v>57</v>
      </c>
      <c r="D8965" s="483">
        <v>29.39</v>
      </c>
      <c r="E8965" s="483">
        <v>29.39</v>
      </c>
    </row>
    <row r="8966" spans="1:5">
      <c r="A8966" s="484">
        <v>40980</v>
      </c>
      <c r="B8966" s="485" t="s">
        <v>7715</v>
      </c>
      <c r="C8966" s="484" t="s">
        <v>1643</v>
      </c>
      <c r="D8966" s="486">
        <v>4172.72</v>
      </c>
      <c r="E8966" s="486">
        <v>4172.72</v>
      </c>
    </row>
    <row r="8967" spans="1:5">
      <c r="A8967" s="349">
        <v>4243</v>
      </c>
      <c r="B8967" s="348" t="s">
        <v>7716</v>
      </c>
      <c r="C8967" s="349" t="s">
        <v>57</v>
      </c>
      <c r="D8967" s="483">
        <v>31.1</v>
      </c>
      <c r="E8967" s="483">
        <v>31.1</v>
      </c>
    </row>
    <row r="8968" spans="1:5">
      <c r="A8968" s="484">
        <v>41031</v>
      </c>
      <c r="B8968" s="485" t="s">
        <v>7717</v>
      </c>
      <c r="C8968" s="484" t="s">
        <v>1643</v>
      </c>
      <c r="D8968" s="486">
        <v>5480.07</v>
      </c>
      <c r="E8968" s="486">
        <v>5480.07</v>
      </c>
    </row>
    <row r="8969" spans="1:5">
      <c r="A8969" s="349">
        <v>4250</v>
      </c>
      <c r="B8969" s="348" t="s">
        <v>7720</v>
      </c>
      <c r="C8969" s="349" t="s">
        <v>57</v>
      </c>
      <c r="D8969" s="483">
        <v>20.2</v>
      </c>
      <c r="E8969" s="483">
        <v>20.2</v>
      </c>
    </row>
    <row r="8970" spans="1:5">
      <c r="A8970" s="484">
        <v>40978</v>
      </c>
      <c r="B8970" s="485" t="s">
        <v>7721</v>
      </c>
      <c r="C8970" s="484" t="s">
        <v>1643</v>
      </c>
      <c r="D8970" s="486">
        <v>3562.18</v>
      </c>
      <c r="E8970" s="486">
        <v>3562.18</v>
      </c>
    </row>
    <row r="8971" spans="1:5">
      <c r="A8971" s="349">
        <v>25960</v>
      </c>
      <c r="B8971" s="348" t="s">
        <v>7722</v>
      </c>
      <c r="C8971" s="349" t="s">
        <v>57</v>
      </c>
      <c r="D8971" s="483">
        <v>32.229999999999997</v>
      </c>
      <c r="E8971" s="483">
        <v>32.229999999999997</v>
      </c>
    </row>
    <row r="8972" spans="1:5">
      <c r="A8972" s="484">
        <v>41043</v>
      </c>
      <c r="B8972" s="485" t="s">
        <v>7723</v>
      </c>
      <c r="C8972" s="484" t="s">
        <v>1643</v>
      </c>
      <c r="D8972" s="486">
        <v>5681.91</v>
      </c>
      <c r="E8972" s="486">
        <v>5681.91</v>
      </c>
    </row>
    <row r="8973" spans="1:5">
      <c r="A8973" s="349">
        <v>4234</v>
      </c>
      <c r="B8973" s="348" t="s">
        <v>206</v>
      </c>
      <c r="C8973" s="349" t="s">
        <v>57</v>
      </c>
      <c r="D8973" s="483">
        <v>34.72</v>
      </c>
      <c r="E8973" s="483">
        <v>34.72</v>
      </c>
    </row>
    <row r="8974" spans="1:5">
      <c r="A8974" s="484">
        <v>40987</v>
      </c>
      <c r="B8974" s="485" t="s">
        <v>7724</v>
      </c>
      <c r="C8974" s="484" t="s">
        <v>1643</v>
      </c>
      <c r="D8974" s="486">
        <v>6118.35</v>
      </c>
      <c r="E8974" s="486">
        <v>6118.35</v>
      </c>
    </row>
    <row r="8975" spans="1:5">
      <c r="A8975" s="349">
        <v>4253</v>
      </c>
      <c r="B8975" s="348" t="s">
        <v>207</v>
      </c>
      <c r="C8975" s="349" t="s">
        <v>57</v>
      </c>
      <c r="D8975" s="483">
        <v>18.649999999999999</v>
      </c>
      <c r="E8975" s="483">
        <v>18.649999999999999</v>
      </c>
    </row>
    <row r="8976" spans="1:5">
      <c r="A8976" s="484">
        <v>40981</v>
      </c>
      <c r="B8976" s="485" t="s">
        <v>7725</v>
      </c>
      <c r="C8976" s="484" t="s">
        <v>1643</v>
      </c>
      <c r="D8976" s="486">
        <v>3289.86</v>
      </c>
      <c r="E8976" s="486">
        <v>3289.86</v>
      </c>
    </row>
    <row r="8977" spans="1:5">
      <c r="A8977" s="349">
        <v>4254</v>
      </c>
      <c r="B8977" s="348" t="s">
        <v>208</v>
      </c>
      <c r="C8977" s="349" t="s">
        <v>57</v>
      </c>
      <c r="D8977" s="483">
        <v>40.229999999999997</v>
      </c>
      <c r="E8977" s="483">
        <v>40.229999999999997</v>
      </c>
    </row>
    <row r="8978" spans="1:5">
      <c r="A8978" s="484">
        <v>41036</v>
      </c>
      <c r="B8978" s="485" t="s">
        <v>7726</v>
      </c>
      <c r="C8978" s="484" t="s">
        <v>1643</v>
      </c>
      <c r="D8978" s="486">
        <v>7089.66</v>
      </c>
      <c r="E8978" s="486">
        <v>7089.66</v>
      </c>
    </row>
    <row r="8979" spans="1:5">
      <c r="A8979" s="349">
        <v>4251</v>
      </c>
      <c r="B8979" s="348" t="s">
        <v>7727</v>
      </c>
      <c r="C8979" s="349" t="s">
        <v>57</v>
      </c>
      <c r="D8979" s="483">
        <v>20.02</v>
      </c>
      <c r="E8979" s="483">
        <v>20.02</v>
      </c>
    </row>
    <row r="8980" spans="1:5">
      <c r="A8980" s="484">
        <v>40979</v>
      </c>
      <c r="B8980" s="485" t="s">
        <v>7728</v>
      </c>
      <c r="C8980" s="484" t="s">
        <v>1643</v>
      </c>
      <c r="D8980" s="486">
        <v>3530.54</v>
      </c>
      <c r="E8980" s="486">
        <v>3530.54</v>
      </c>
    </row>
    <row r="8981" spans="1:5">
      <c r="A8981" s="349">
        <v>4230</v>
      </c>
      <c r="B8981" s="348" t="s">
        <v>11438</v>
      </c>
      <c r="C8981" s="349" t="s">
        <v>57</v>
      </c>
      <c r="D8981" s="483">
        <v>29.11</v>
      </c>
      <c r="E8981" s="483">
        <v>29.11</v>
      </c>
    </row>
    <row r="8982" spans="1:5">
      <c r="A8982" s="484">
        <v>40998</v>
      </c>
      <c r="B8982" s="485" t="s">
        <v>7729</v>
      </c>
      <c r="C8982" s="484" t="s">
        <v>1643</v>
      </c>
      <c r="D8982" s="486">
        <v>5130.42</v>
      </c>
      <c r="E8982" s="486">
        <v>5130.42</v>
      </c>
    </row>
    <row r="8983" spans="1:5">
      <c r="A8983" s="349">
        <v>4257</v>
      </c>
      <c r="B8983" s="348" t="s">
        <v>209</v>
      </c>
      <c r="C8983" s="349" t="s">
        <v>57</v>
      </c>
      <c r="D8983" s="483">
        <v>18.760000000000002</v>
      </c>
      <c r="E8983" s="483">
        <v>18.760000000000002</v>
      </c>
    </row>
    <row r="8984" spans="1:5">
      <c r="A8984" s="484">
        <v>40982</v>
      </c>
      <c r="B8984" s="485" t="s">
        <v>7730</v>
      </c>
      <c r="C8984" s="484" t="s">
        <v>1643</v>
      </c>
      <c r="D8984" s="486">
        <v>3307.68</v>
      </c>
      <c r="E8984" s="486">
        <v>3307.68</v>
      </c>
    </row>
    <row r="8985" spans="1:5">
      <c r="A8985" s="349">
        <v>41029</v>
      </c>
      <c r="B8985" s="348" t="s">
        <v>7731</v>
      </c>
      <c r="C8985" s="349" t="s">
        <v>1643</v>
      </c>
      <c r="D8985" s="483">
        <v>5181.55</v>
      </c>
      <c r="E8985" s="483">
        <v>5181.55</v>
      </c>
    </row>
    <row r="8986" spans="1:5">
      <c r="A8986" s="484">
        <v>41026</v>
      </c>
      <c r="B8986" s="485" t="s">
        <v>7732</v>
      </c>
      <c r="C8986" s="484" t="s">
        <v>1643</v>
      </c>
      <c r="D8986" s="486">
        <v>8033.31</v>
      </c>
      <c r="E8986" s="486">
        <v>8033.31</v>
      </c>
    </row>
    <row r="8987" spans="1:5">
      <c r="A8987" s="349">
        <v>4240</v>
      </c>
      <c r="B8987" s="348" t="s">
        <v>11439</v>
      </c>
      <c r="C8987" s="349" t="s">
        <v>57</v>
      </c>
      <c r="D8987" s="483">
        <v>45.58</v>
      </c>
      <c r="E8987" s="483">
        <v>45.58</v>
      </c>
    </row>
    <row r="8988" spans="1:5">
      <c r="A8988" s="484">
        <v>4239</v>
      </c>
      <c r="B8988" s="485" t="s">
        <v>210</v>
      </c>
      <c r="C8988" s="484" t="s">
        <v>57</v>
      </c>
      <c r="D8988" s="486">
        <v>45.58</v>
      </c>
      <c r="E8988" s="486">
        <v>45.58</v>
      </c>
    </row>
    <row r="8989" spans="1:5">
      <c r="A8989" s="349">
        <v>41024</v>
      </c>
      <c r="B8989" s="348" t="s">
        <v>7734</v>
      </c>
      <c r="C8989" s="349" t="s">
        <v>1643</v>
      </c>
      <c r="D8989" s="483">
        <v>8033.31</v>
      </c>
      <c r="E8989" s="483">
        <v>8033.31</v>
      </c>
    </row>
    <row r="8990" spans="1:5">
      <c r="A8990" s="484">
        <v>4248</v>
      </c>
      <c r="B8990" s="485" t="s">
        <v>7735</v>
      </c>
      <c r="C8990" s="484" t="s">
        <v>57</v>
      </c>
      <c r="D8990" s="486">
        <v>32.630000000000003</v>
      </c>
      <c r="E8990" s="486">
        <v>32.630000000000003</v>
      </c>
    </row>
    <row r="8991" spans="1:5">
      <c r="A8991" s="349">
        <v>41033</v>
      </c>
      <c r="B8991" s="348" t="s">
        <v>7736</v>
      </c>
      <c r="C8991" s="349" t="s">
        <v>1643</v>
      </c>
      <c r="D8991" s="483">
        <v>5748.95</v>
      </c>
      <c r="E8991" s="483">
        <v>5748.95</v>
      </c>
    </row>
    <row r="8992" spans="1:5">
      <c r="A8992" s="484">
        <v>25959</v>
      </c>
      <c r="B8992" s="485" t="s">
        <v>211</v>
      </c>
      <c r="C8992" s="484" t="s">
        <v>57</v>
      </c>
      <c r="D8992" s="486">
        <v>32.229999999999997</v>
      </c>
      <c r="E8992" s="486">
        <v>32.229999999999997</v>
      </c>
    </row>
    <row r="8993" spans="1:5">
      <c r="A8993" s="349">
        <v>41040</v>
      </c>
      <c r="B8993" s="348" t="s">
        <v>7737</v>
      </c>
      <c r="C8993" s="349" t="s">
        <v>1643</v>
      </c>
      <c r="D8993" s="483">
        <v>5681.91</v>
      </c>
      <c r="E8993" s="483">
        <v>5681.91</v>
      </c>
    </row>
    <row r="8994" spans="1:5">
      <c r="A8994" s="484">
        <v>4238</v>
      </c>
      <c r="B8994" s="485" t="s">
        <v>212</v>
      </c>
      <c r="C8994" s="484" t="s">
        <v>57</v>
      </c>
      <c r="D8994" s="486">
        <v>28.11</v>
      </c>
      <c r="E8994" s="486">
        <v>28.11</v>
      </c>
    </row>
    <row r="8995" spans="1:5">
      <c r="A8995" s="349">
        <v>41012</v>
      </c>
      <c r="B8995" s="348" t="s">
        <v>7738</v>
      </c>
      <c r="C8995" s="349" t="s">
        <v>1643</v>
      </c>
      <c r="D8995" s="483">
        <v>4952.97</v>
      </c>
      <c r="E8995" s="483">
        <v>4952.97</v>
      </c>
    </row>
    <row r="8996" spans="1:5">
      <c r="A8996" s="484">
        <v>4237</v>
      </c>
      <c r="B8996" s="485" t="s">
        <v>11440</v>
      </c>
      <c r="C8996" s="484" t="s">
        <v>57</v>
      </c>
      <c r="D8996" s="486">
        <v>30.7</v>
      </c>
      <c r="E8996" s="486">
        <v>30.7</v>
      </c>
    </row>
    <row r="8997" spans="1:5">
      <c r="A8997" s="349">
        <v>41002</v>
      </c>
      <c r="B8997" s="348" t="s">
        <v>7739</v>
      </c>
      <c r="C8997" s="349" t="s">
        <v>1643</v>
      </c>
      <c r="D8997" s="483">
        <v>5413.46</v>
      </c>
      <c r="E8997" s="483">
        <v>5413.46</v>
      </c>
    </row>
    <row r="8998" spans="1:5">
      <c r="A8998" s="484">
        <v>4233</v>
      </c>
      <c r="B8998" s="485" t="s">
        <v>213</v>
      </c>
      <c r="C8998" s="484" t="s">
        <v>57</v>
      </c>
      <c r="D8998" s="486">
        <v>29.39</v>
      </c>
      <c r="E8998" s="486">
        <v>29.39</v>
      </c>
    </row>
    <row r="8999" spans="1:5">
      <c r="A8999" s="349">
        <v>41001</v>
      </c>
      <c r="B8999" s="348" t="s">
        <v>7740</v>
      </c>
      <c r="C8999" s="349" t="s">
        <v>1643</v>
      </c>
      <c r="D8999" s="483">
        <v>5181.58</v>
      </c>
      <c r="E8999" s="483">
        <v>5181.58</v>
      </c>
    </row>
    <row r="9000" spans="1:5">
      <c r="A9000" s="484">
        <v>4252</v>
      </c>
      <c r="B9000" s="485" t="s">
        <v>214</v>
      </c>
      <c r="C9000" s="484" t="s">
        <v>57</v>
      </c>
      <c r="D9000" s="486">
        <v>23.67</v>
      </c>
      <c r="E9000" s="486">
        <v>23.67</v>
      </c>
    </row>
    <row r="9001" spans="1:5">
      <c r="A9001" s="349">
        <v>2</v>
      </c>
      <c r="B9001" s="348" t="s">
        <v>7742</v>
      </c>
      <c r="C9001" s="349" t="s">
        <v>255</v>
      </c>
      <c r="D9001" s="483">
        <v>7.23</v>
      </c>
      <c r="E9001" s="483">
        <v>7.23</v>
      </c>
    </row>
    <row r="9002" spans="1:5" ht="30">
      <c r="A9002" s="484">
        <v>36517</v>
      </c>
      <c r="B9002" s="485" t="s">
        <v>19666</v>
      </c>
      <c r="C9002" s="484" t="s">
        <v>65</v>
      </c>
      <c r="D9002" s="486">
        <v>329427.65000000002</v>
      </c>
      <c r="E9002" s="486">
        <v>329427.65000000002</v>
      </c>
    </row>
    <row r="9003" spans="1:5" ht="30">
      <c r="A9003" s="349">
        <v>4262</v>
      </c>
      <c r="B9003" s="348" t="s">
        <v>7756</v>
      </c>
      <c r="C9003" s="349" t="s">
        <v>65</v>
      </c>
      <c r="D9003" s="483">
        <v>370977.09</v>
      </c>
      <c r="E9003" s="483">
        <v>370977.09</v>
      </c>
    </row>
    <row r="9004" spans="1:5" ht="30">
      <c r="A9004" s="484">
        <v>4263</v>
      </c>
      <c r="B9004" s="485" t="s">
        <v>7757</v>
      </c>
      <c r="C9004" s="484" t="s">
        <v>65</v>
      </c>
      <c r="D9004" s="486">
        <v>514421.54</v>
      </c>
      <c r="E9004" s="486">
        <v>514421.54</v>
      </c>
    </row>
    <row r="9005" spans="1:5" ht="30">
      <c r="A9005" s="349">
        <v>36518</v>
      </c>
      <c r="B9005" s="348" t="s">
        <v>7758</v>
      </c>
      <c r="C9005" s="349" t="s">
        <v>65</v>
      </c>
      <c r="D9005" s="483">
        <v>585649.14</v>
      </c>
      <c r="E9005" s="483">
        <v>585649.14</v>
      </c>
    </row>
    <row r="9006" spans="1:5" ht="30">
      <c r="A9006" s="484">
        <v>14221</v>
      </c>
      <c r="B9006" s="485" t="s">
        <v>7743</v>
      </c>
      <c r="C9006" s="484" t="s">
        <v>65</v>
      </c>
      <c r="D9006" s="486">
        <v>341793.54</v>
      </c>
      <c r="E9006" s="486">
        <v>341793.54</v>
      </c>
    </row>
    <row r="9007" spans="1:5">
      <c r="A9007" s="349">
        <v>38402</v>
      </c>
      <c r="B9007" s="348" t="s">
        <v>7759</v>
      </c>
      <c r="C9007" s="349" t="s">
        <v>65</v>
      </c>
      <c r="D9007" s="483">
        <v>6.39</v>
      </c>
      <c r="E9007" s="483">
        <v>6.39</v>
      </c>
    </row>
    <row r="9008" spans="1:5">
      <c r="A9008" s="484">
        <v>3412</v>
      </c>
      <c r="B9008" s="485" t="s">
        <v>7760</v>
      </c>
      <c r="C9008" s="484" t="s">
        <v>256</v>
      </c>
      <c r="D9008" s="486">
        <v>13.11</v>
      </c>
      <c r="E9008" s="486">
        <v>13.11</v>
      </c>
    </row>
    <row r="9009" spans="1:5">
      <c r="A9009" s="349">
        <v>3413</v>
      </c>
      <c r="B9009" s="348" t="s">
        <v>7761</v>
      </c>
      <c r="C9009" s="349" t="s">
        <v>256</v>
      </c>
      <c r="D9009" s="483">
        <v>29.52</v>
      </c>
      <c r="E9009" s="483">
        <v>29.52</v>
      </c>
    </row>
    <row r="9010" spans="1:5">
      <c r="A9010" s="484">
        <v>39744</v>
      </c>
      <c r="B9010" s="485" t="s">
        <v>7762</v>
      </c>
      <c r="C9010" s="484" t="s">
        <v>256</v>
      </c>
      <c r="D9010" s="486">
        <v>22.92</v>
      </c>
      <c r="E9010" s="486">
        <v>22.92</v>
      </c>
    </row>
    <row r="9011" spans="1:5">
      <c r="A9011" s="349">
        <v>39745</v>
      </c>
      <c r="B9011" s="348" t="s">
        <v>7763</v>
      </c>
      <c r="C9011" s="349" t="s">
        <v>256</v>
      </c>
      <c r="D9011" s="483">
        <v>48.38</v>
      </c>
      <c r="E9011" s="483">
        <v>48.38</v>
      </c>
    </row>
    <row r="9012" spans="1:5" ht="30">
      <c r="A9012" s="484">
        <v>39637</v>
      </c>
      <c r="B9012" s="485" t="s">
        <v>7764</v>
      </c>
      <c r="C9012" s="484" t="s">
        <v>256</v>
      </c>
      <c r="D9012" s="486">
        <v>55.98</v>
      </c>
      <c r="E9012" s="486">
        <v>55.98</v>
      </c>
    </row>
    <row r="9013" spans="1:5" ht="30">
      <c r="A9013" s="349">
        <v>39638</v>
      </c>
      <c r="B9013" s="348" t="s">
        <v>7765</v>
      </c>
      <c r="C9013" s="349" t="s">
        <v>256</v>
      </c>
      <c r="D9013" s="483">
        <v>104.24</v>
      </c>
      <c r="E9013" s="483">
        <v>104.24</v>
      </c>
    </row>
    <row r="9014" spans="1:5" ht="30">
      <c r="A9014" s="484">
        <v>39639</v>
      </c>
      <c r="B9014" s="485" t="s">
        <v>7766</v>
      </c>
      <c r="C9014" s="484" t="s">
        <v>256</v>
      </c>
      <c r="D9014" s="486">
        <v>137.44</v>
      </c>
      <c r="E9014" s="486">
        <v>137.44</v>
      </c>
    </row>
    <row r="9015" spans="1:5" ht="43.5" customHeight="1">
      <c r="A9015" s="349">
        <v>39517</v>
      </c>
      <c r="B9015" s="348" t="s">
        <v>7767</v>
      </c>
      <c r="C9015" s="349" t="s">
        <v>256</v>
      </c>
      <c r="D9015" s="483">
        <v>115.45</v>
      </c>
      <c r="E9015" s="483">
        <v>115.45</v>
      </c>
    </row>
    <row r="9016" spans="1:5" ht="45">
      <c r="A9016" s="484">
        <v>39518</v>
      </c>
      <c r="B9016" s="485" t="s">
        <v>7768</v>
      </c>
      <c r="C9016" s="484" t="s">
        <v>256</v>
      </c>
      <c r="D9016" s="486">
        <v>136.56</v>
      </c>
      <c r="E9016" s="486">
        <v>136.56</v>
      </c>
    </row>
    <row r="9017" spans="1:5">
      <c r="A9017" s="349">
        <v>38366</v>
      </c>
      <c r="B9017" s="348" t="s">
        <v>19667</v>
      </c>
      <c r="C9017" s="349" t="s">
        <v>256</v>
      </c>
      <c r="D9017" s="483">
        <v>2.61</v>
      </c>
      <c r="E9017" s="483">
        <v>2.61</v>
      </c>
    </row>
    <row r="9018" spans="1:5" ht="43.5" customHeight="1">
      <c r="A9018" s="484">
        <v>11851</v>
      </c>
      <c r="B9018" s="485" t="s">
        <v>7769</v>
      </c>
      <c r="C9018" s="484" t="s">
        <v>215</v>
      </c>
      <c r="D9018" s="486">
        <v>0.04</v>
      </c>
      <c r="E9018" s="486">
        <v>0.04</v>
      </c>
    </row>
    <row r="9019" spans="1:5" ht="43.5" customHeight="1">
      <c r="A9019" s="349">
        <v>40571</v>
      </c>
      <c r="B9019" s="348" t="s">
        <v>7770</v>
      </c>
      <c r="C9019" s="349" t="s">
        <v>215</v>
      </c>
      <c r="D9019" s="483">
        <v>0.4</v>
      </c>
      <c r="E9019" s="483">
        <v>0.4</v>
      </c>
    </row>
    <row r="9020" spans="1:5">
      <c r="A9020" s="484">
        <v>11703</v>
      </c>
      <c r="B9020" s="485" t="s">
        <v>216</v>
      </c>
      <c r="C9020" s="484" t="s">
        <v>65</v>
      </c>
      <c r="D9020" s="486">
        <v>15.97</v>
      </c>
      <c r="E9020" s="486">
        <v>15.97</v>
      </c>
    </row>
    <row r="9021" spans="1:5" ht="43.5" customHeight="1">
      <c r="A9021" s="349">
        <v>37400</v>
      </c>
      <c r="B9021" s="348" t="s">
        <v>7771</v>
      </c>
      <c r="C9021" s="349" t="s">
        <v>65</v>
      </c>
      <c r="D9021" s="483">
        <v>43.19</v>
      </c>
      <c r="E9021" s="483">
        <v>43.19</v>
      </c>
    </row>
    <row r="9022" spans="1:5" ht="43.5" customHeight="1">
      <c r="A9022" s="484">
        <v>25400</v>
      </c>
      <c r="B9022" s="485" t="s">
        <v>7772</v>
      </c>
      <c r="C9022" s="484" t="s">
        <v>65</v>
      </c>
      <c r="D9022" s="486">
        <v>1018.22</v>
      </c>
      <c r="E9022" s="486">
        <v>1018.22</v>
      </c>
    </row>
    <row r="9023" spans="1:5">
      <c r="A9023" s="349">
        <v>4272</v>
      </c>
      <c r="B9023" s="348" t="s">
        <v>7840</v>
      </c>
      <c r="C9023" s="349" t="s">
        <v>65</v>
      </c>
      <c r="D9023" s="483">
        <v>71.58</v>
      </c>
      <c r="E9023" s="483">
        <v>71.58</v>
      </c>
    </row>
    <row r="9024" spans="1:5" ht="30">
      <c r="A9024" s="484">
        <v>4276</v>
      </c>
      <c r="B9024" s="485" t="s">
        <v>7841</v>
      </c>
      <c r="C9024" s="484" t="s">
        <v>65</v>
      </c>
      <c r="D9024" s="486">
        <v>211.26</v>
      </c>
      <c r="E9024" s="486">
        <v>211.26</v>
      </c>
    </row>
    <row r="9025" spans="1:5" ht="30">
      <c r="A9025" s="349">
        <v>4273</v>
      </c>
      <c r="B9025" s="348" t="s">
        <v>7842</v>
      </c>
      <c r="C9025" s="349" t="s">
        <v>65</v>
      </c>
      <c r="D9025" s="483">
        <v>350.95</v>
      </c>
      <c r="E9025" s="483">
        <v>350.95</v>
      </c>
    </row>
    <row r="9026" spans="1:5" ht="30">
      <c r="A9026" s="484">
        <v>4274</v>
      </c>
      <c r="B9026" s="485" t="s">
        <v>7843</v>
      </c>
      <c r="C9026" s="484" t="s">
        <v>65</v>
      </c>
      <c r="D9026" s="486">
        <v>81.38</v>
      </c>
      <c r="E9026" s="486">
        <v>81.38</v>
      </c>
    </row>
    <row r="9027" spans="1:5" ht="30">
      <c r="A9027" s="349">
        <v>39438</v>
      </c>
      <c r="B9027" s="348" t="s">
        <v>7773</v>
      </c>
      <c r="C9027" s="349" t="s">
        <v>65</v>
      </c>
      <c r="D9027" s="483">
        <v>0.11</v>
      </c>
      <c r="E9027" s="483">
        <v>0.11</v>
      </c>
    </row>
    <row r="9028" spans="1:5">
      <c r="A9028" s="484">
        <v>11963</v>
      </c>
      <c r="B9028" s="485" t="s">
        <v>7774</v>
      </c>
      <c r="C9028" s="484" t="s">
        <v>65</v>
      </c>
      <c r="D9028" s="486">
        <v>4.0599999999999996</v>
      </c>
      <c r="E9028" s="486">
        <v>4.0599999999999996</v>
      </c>
    </row>
    <row r="9029" spans="1:5">
      <c r="A9029" s="349">
        <v>11964</v>
      </c>
      <c r="B9029" s="348" t="s">
        <v>7775</v>
      </c>
      <c r="C9029" s="349" t="s">
        <v>65</v>
      </c>
      <c r="D9029" s="483">
        <v>1.02</v>
      </c>
      <c r="E9029" s="483">
        <v>1.02</v>
      </c>
    </row>
    <row r="9030" spans="1:5" ht="30">
      <c r="A9030" s="484">
        <v>4379</v>
      </c>
      <c r="B9030" s="485" t="s">
        <v>7776</v>
      </c>
      <c r="C9030" s="484" t="s">
        <v>65</v>
      </c>
      <c r="D9030" s="486">
        <v>0.02</v>
      </c>
      <c r="E9030" s="486">
        <v>0.02</v>
      </c>
    </row>
    <row r="9031" spans="1:5" ht="30">
      <c r="A9031" s="349">
        <v>4377</v>
      </c>
      <c r="B9031" s="348" t="s">
        <v>7777</v>
      </c>
      <c r="C9031" s="349" t="s">
        <v>65</v>
      </c>
      <c r="D9031" s="483">
        <v>0.08</v>
      </c>
      <c r="E9031" s="483">
        <v>0.08</v>
      </c>
    </row>
    <row r="9032" spans="1:5" ht="30">
      <c r="A9032" s="484">
        <v>4356</v>
      </c>
      <c r="B9032" s="485" t="s">
        <v>7778</v>
      </c>
      <c r="C9032" s="484" t="s">
        <v>65</v>
      </c>
      <c r="D9032" s="486">
        <v>0.11</v>
      </c>
      <c r="E9032" s="486">
        <v>0.11</v>
      </c>
    </row>
    <row r="9033" spans="1:5" ht="30">
      <c r="A9033" s="349">
        <v>13246</v>
      </c>
      <c r="B9033" s="348" t="s">
        <v>7779</v>
      </c>
      <c r="C9033" s="349" t="s">
        <v>65</v>
      </c>
      <c r="D9033" s="483">
        <v>0.19</v>
      </c>
      <c r="E9033" s="483">
        <v>0.19</v>
      </c>
    </row>
    <row r="9034" spans="1:5" ht="30">
      <c r="A9034" s="484">
        <v>4346</v>
      </c>
      <c r="B9034" s="485" t="s">
        <v>7780</v>
      </c>
      <c r="C9034" s="484" t="s">
        <v>65</v>
      </c>
      <c r="D9034" s="486">
        <v>4.3499999999999996</v>
      </c>
      <c r="E9034" s="486">
        <v>4.3499999999999996</v>
      </c>
    </row>
    <row r="9035" spans="1:5" ht="30">
      <c r="A9035" s="349">
        <v>11955</v>
      </c>
      <c r="B9035" s="348" t="s">
        <v>7781</v>
      </c>
      <c r="C9035" s="349" t="s">
        <v>65</v>
      </c>
      <c r="D9035" s="483">
        <v>1.9</v>
      </c>
      <c r="E9035" s="483">
        <v>1.9</v>
      </c>
    </row>
    <row r="9036" spans="1:5" ht="30">
      <c r="A9036" s="484">
        <v>11960</v>
      </c>
      <c r="B9036" s="485" t="s">
        <v>7782</v>
      </c>
      <c r="C9036" s="484" t="s">
        <v>65</v>
      </c>
      <c r="D9036" s="486">
        <v>0.06</v>
      </c>
      <c r="E9036" s="486">
        <v>0.06</v>
      </c>
    </row>
    <row r="9037" spans="1:5" ht="30">
      <c r="A9037" s="349">
        <v>4333</v>
      </c>
      <c r="B9037" s="348" t="s">
        <v>7783</v>
      </c>
      <c r="C9037" s="349" t="s">
        <v>65</v>
      </c>
      <c r="D9037" s="483">
        <v>0.11</v>
      </c>
      <c r="E9037" s="483">
        <v>0.11</v>
      </c>
    </row>
    <row r="9038" spans="1:5" ht="30">
      <c r="A9038" s="484">
        <v>4358</v>
      </c>
      <c r="B9038" s="485" t="s">
        <v>7784</v>
      </c>
      <c r="C9038" s="484" t="s">
        <v>65</v>
      </c>
      <c r="D9038" s="486">
        <v>0.87</v>
      </c>
      <c r="E9038" s="486">
        <v>0.87</v>
      </c>
    </row>
    <row r="9039" spans="1:5" ht="30">
      <c r="A9039" s="349">
        <v>39435</v>
      </c>
      <c r="B9039" s="348" t="s">
        <v>7785</v>
      </c>
      <c r="C9039" s="349" t="s">
        <v>65</v>
      </c>
      <c r="D9039" s="483">
        <v>0.04</v>
      </c>
      <c r="E9039" s="483">
        <v>0.04</v>
      </c>
    </row>
    <row r="9040" spans="1:5" ht="30">
      <c r="A9040" s="484">
        <v>39436</v>
      </c>
      <c r="B9040" s="485" t="s">
        <v>7786</v>
      </c>
      <c r="C9040" s="484" t="s">
        <v>65</v>
      </c>
      <c r="D9040" s="486">
        <v>7.0000000000000007E-2</v>
      </c>
      <c r="E9040" s="486">
        <v>7.0000000000000007E-2</v>
      </c>
    </row>
    <row r="9041" spans="1:5" ht="30">
      <c r="A9041" s="349">
        <v>39437</v>
      </c>
      <c r="B9041" s="348" t="s">
        <v>7787</v>
      </c>
      <c r="C9041" s="349" t="s">
        <v>65</v>
      </c>
      <c r="D9041" s="483">
        <v>0.09</v>
      </c>
      <c r="E9041" s="483">
        <v>0.09</v>
      </c>
    </row>
    <row r="9042" spans="1:5" ht="30">
      <c r="A9042" s="484">
        <v>39439</v>
      </c>
      <c r="B9042" s="485" t="s">
        <v>7788</v>
      </c>
      <c r="C9042" s="484" t="s">
        <v>65</v>
      </c>
      <c r="D9042" s="486">
        <v>0.06</v>
      </c>
      <c r="E9042" s="486">
        <v>0.06</v>
      </c>
    </row>
    <row r="9043" spans="1:5" ht="30">
      <c r="A9043" s="349">
        <v>39440</v>
      </c>
      <c r="B9043" s="348" t="s">
        <v>7789</v>
      </c>
      <c r="C9043" s="349" t="s">
        <v>65</v>
      </c>
      <c r="D9043" s="483">
        <v>0.08</v>
      </c>
      <c r="E9043" s="483">
        <v>0.08</v>
      </c>
    </row>
    <row r="9044" spans="1:5" ht="30">
      <c r="A9044" s="484">
        <v>39441</v>
      </c>
      <c r="B9044" s="485" t="s">
        <v>7790</v>
      </c>
      <c r="C9044" s="484" t="s">
        <v>65</v>
      </c>
      <c r="D9044" s="486">
        <v>0.11</v>
      </c>
      <c r="E9044" s="486">
        <v>0.11</v>
      </c>
    </row>
    <row r="9045" spans="1:5" ht="30">
      <c r="A9045" s="349">
        <v>39442</v>
      </c>
      <c r="B9045" s="348" t="s">
        <v>7791</v>
      </c>
      <c r="C9045" s="349" t="s">
        <v>65</v>
      </c>
      <c r="D9045" s="483">
        <v>0.08</v>
      </c>
      <c r="E9045" s="483">
        <v>0.08</v>
      </c>
    </row>
    <row r="9046" spans="1:5" ht="30">
      <c r="A9046" s="484">
        <v>39443</v>
      </c>
      <c r="B9046" s="485" t="s">
        <v>7792</v>
      </c>
      <c r="C9046" s="484" t="s">
        <v>65</v>
      </c>
      <c r="D9046" s="486">
        <v>0.1</v>
      </c>
      <c r="E9046" s="486">
        <v>0.1</v>
      </c>
    </row>
    <row r="9047" spans="1:5" ht="30">
      <c r="A9047" s="349">
        <v>4329</v>
      </c>
      <c r="B9047" s="348" t="s">
        <v>7793</v>
      </c>
      <c r="C9047" s="349" t="s">
        <v>65</v>
      </c>
      <c r="D9047" s="483">
        <v>0.93</v>
      </c>
      <c r="E9047" s="483">
        <v>0.93</v>
      </c>
    </row>
    <row r="9048" spans="1:5" ht="43.5" customHeight="1">
      <c r="A9048" s="484">
        <v>4383</v>
      </c>
      <c r="B9048" s="485" t="s">
        <v>7796</v>
      </c>
      <c r="C9048" s="484" t="s">
        <v>65</v>
      </c>
      <c r="D9048" s="486">
        <v>2</v>
      </c>
      <c r="E9048" s="486">
        <v>2</v>
      </c>
    </row>
    <row r="9049" spans="1:5" ht="30">
      <c r="A9049" s="349">
        <v>4344</v>
      </c>
      <c r="B9049" s="348" t="s">
        <v>11442</v>
      </c>
      <c r="C9049" s="349" t="s">
        <v>65</v>
      </c>
      <c r="D9049" s="483">
        <v>1.86</v>
      </c>
      <c r="E9049" s="483">
        <v>1.86</v>
      </c>
    </row>
    <row r="9050" spans="1:5" ht="30">
      <c r="A9050" s="484">
        <v>436</v>
      </c>
      <c r="B9050" s="485" t="s">
        <v>7794</v>
      </c>
      <c r="C9050" s="484" t="s">
        <v>65</v>
      </c>
      <c r="D9050" s="486">
        <v>4.68</v>
      </c>
      <c r="E9050" s="486">
        <v>4.68</v>
      </c>
    </row>
    <row r="9051" spans="1:5" ht="30">
      <c r="A9051" s="349">
        <v>442</v>
      </c>
      <c r="B9051" s="348" t="s">
        <v>7795</v>
      </c>
      <c r="C9051" s="349" t="s">
        <v>65</v>
      </c>
      <c r="D9051" s="483">
        <v>2.77</v>
      </c>
      <c r="E9051" s="483">
        <v>2.77</v>
      </c>
    </row>
    <row r="9052" spans="1:5" ht="43.5" customHeight="1">
      <c r="A9052" s="484">
        <v>11953</v>
      </c>
      <c r="B9052" s="485" t="s">
        <v>7800</v>
      </c>
      <c r="C9052" s="484" t="s">
        <v>65</v>
      </c>
      <c r="D9052" s="486">
        <v>1.39</v>
      </c>
      <c r="E9052" s="486">
        <v>1.39</v>
      </c>
    </row>
    <row r="9053" spans="1:5" ht="30">
      <c r="A9053" s="349">
        <v>4335</v>
      </c>
      <c r="B9053" s="348" t="s">
        <v>7797</v>
      </c>
      <c r="C9053" s="349" t="s">
        <v>65</v>
      </c>
      <c r="D9053" s="483">
        <v>5.91</v>
      </c>
      <c r="E9053" s="483">
        <v>5.91</v>
      </c>
    </row>
    <row r="9054" spans="1:5" ht="30">
      <c r="A9054" s="484">
        <v>4334</v>
      </c>
      <c r="B9054" s="485" t="s">
        <v>7798</v>
      </c>
      <c r="C9054" s="484" t="s">
        <v>65</v>
      </c>
      <c r="D9054" s="486">
        <v>8.11</v>
      </c>
      <c r="E9054" s="486">
        <v>8.11</v>
      </c>
    </row>
    <row r="9055" spans="1:5">
      <c r="A9055" s="349">
        <v>4343</v>
      </c>
      <c r="B9055" s="348" t="s">
        <v>7799</v>
      </c>
      <c r="C9055" s="349" t="s">
        <v>65</v>
      </c>
      <c r="D9055" s="483">
        <v>1.99</v>
      </c>
      <c r="E9055" s="483">
        <v>1.99</v>
      </c>
    </row>
    <row r="9056" spans="1:5" ht="30">
      <c r="A9056" s="484">
        <v>430</v>
      </c>
      <c r="B9056" s="485" t="s">
        <v>7801</v>
      </c>
      <c r="C9056" s="484" t="s">
        <v>65</v>
      </c>
      <c r="D9056" s="486">
        <v>4.1900000000000004</v>
      </c>
      <c r="E9056" s="486">
        <v>4.1900000000000004</v>
      </c>
    </row>
    <row r="9057" spans="1:5" ht="30">
      <c r="A9057" s="349">
        <v>441</v>
      </c>
      <c r="B9057" s="348" t="s">
        <v>7802</v>
      </c>
      <c r="C9057" s="349" t="s">
        <v>65</v>
      </c>
      <c r="D9057" s="483">
        <v>4.6100000000000003</v>
      </c>
      <c r="E9057" s="483">
        <v>4.6100000000000003</v>
      </c>
    </row>
    <row r="9058" spans="1:5" ht="30">
      <c r="A9058" s="484">
        <v>431</v>
      </c>
      <c r="B9058" s="485" t="s">
        <v>7803</v>
      </c>
      <c r="C9058" s="484" t="s">
        <v>65</v>
      </c>
      <c r="D9058" s="486">
        <v>5.56</v>
      </c>
      <c r="E9058" s="486">
        <v>5.56</v>
      </c>
    </row>
    <row r="9059" spans="1:5" ht="30">
      <c r="A9059" s="349">
        <v>432</v>
      </c>
      <c r="B9059" s="348" t="s">
        <v>7804</v>
      </c>
      <c r="C9059" s="349" t="s">
        <v>65</v>
      </c>
      <c r="D9059" s="483">
        <v>6.14</v>
      </c>
      <c r="E9059" s="483">
        <v>6.14</v>
      </c>
    </row>
    <row r="9060" spans="1:5" ht="30">
      <c r="A9060" s="484">
        <v>429</v>
      </c>
      <c r="B9060" s="485" t="s">
        <v>7805</v>
      </c>
      <c r="C9060" s="484" t="s">
        <v>65</v>
      </c>
      <c r="D9060" s="486">
        <v>8.2799999999999994</v>
      </c>
      <c r="E9060" s="486">
        <v>8.2799999999999994</v>
      </c>
    </row>
    <row r="9061" spans="1:5" ht="30">
      <c r="A9061" s="349">
        <v>439</v>
      </c>
      <c r="B9061" s="348" t="s">
        <v>7806</v>
      </c>
      <c r="C9061" s="349" t="s">
        <v>65</v>
      </c>
      <c r="D9061" s="483">
        <v>7.05</v>
      </c>
      <c r="E9061" s="483">
        <v>7.05</v>
      </c>
    </row>
    <row r="9062" spans="1:5" ht="30">
      <c r="A9062" s="484">
        <v>433</v>
      </c>
      <c r="B9062" s="485" t="s">
        <v>7807</v>
      </c>
      <c r="C9062" s="484" t="s">
        <v>65</v>
      </c>
      <c r="D9062" s="486">
        <v>8.24</v>
      </c>
      <c r="E9062" s="486">
        <v>8.24</v>
      </c>
    </row>
    <row r="9063" spans="1:5" ht="30">
      <c r="A9063" s="349">
        <v>437</v>
      </c>
      <c r="B9063" s="348" t="s">
        <v>7808</v>
      </c>
      <c r="C9063" s="349" t="s">
        <v>65</v>
      </c>
      <c r="D9063" s="483">
        <v>10.94</v>
      </c>
      <c r="E9063" s="483">
        <v>10.94</v>
      </c>
    </row>
    <row r="9064" spans="1:5" ht="30">
      <c r="A9064" s="484">
        <v>11790</v>
      </c>
      <c r="B9064" s="485" t="s">
        <v>7809</v>
      </c>
      <c r="C9064" s="484" t="s">
        <v>65</v>
      </c>
      <c r="D9064" s="486">
        <v>12.41</v>
      </c>
      <c r="E9064" s="486">
        <v>12.41</v>
      </c>
    </row>
    <row r="9065" spans="1:5" ht="30">
      <c r="A9065" s="349">
        <v>428</v>
      </c>
      <c r="B9065" s="348" t="s">
        <v>7810</v>
      </c>
      <c r="C9065" s="349" t="s">
        <v>65</v>
      </c>
      <c r="D9065" s="483">
        <v>13.5</v>
      </c>
      <c r="E9065" s="483">
        <v>13.5</v>
      </c>
    </row>
    <row r="9066" spans="1:5" ht="30">
      <c r="A9066" s="484">
        <v>4384</v>
      </c>
      <c r="B9066" s="485" t="s">
        <v>7811</v>
      </c>
      <c r="C9066" s="484" t="s">
        <v>65</v>
      </c>
      <c r="D9066" s="486">
        <v>9.66</v>
      </c>
      <c r="E9066" s="486">
        <v>9.66</v>
      </c>
    </row>
    <row r="9067" spans="1:5" ht="30">
      <c r="A9067" s="349">
        <v>4351</v>
      </c>
      <c r="B9067" s="348" t="s">
        <v>19668</v>
      </c>
      <c r="C9067" s="349" t="s">
        <v>65</v>
      </c>
      <c r="D9067" s="483">
        <v>7.16</v>
      </c>
      <c r="E9067" s="483">
        <v>7.16</v>
      </c>
    </row>
    <row r="9068" spans="1:5">
      <c r="A9068" s="484">
        <v>11054</v>
      </c>
      <c r="B9068" s="485" t="s">
        <v>7813</v>
      </c>
      <c r="C9068" s="484" t="s">
        <v>65</v>
      </c>
      <c r="D9068" s="486">
        <v>0.02</v>
      </c>
      <c r="E9068" s="486">
        <v>0.02</v>
      </c>
    </row>
    <row r="9069" spans="1:5">
      <c r="A9069" s="349">
        <v>11055</v>
      </c>
      <c r="B9069" s="348" t="s">
        <v>7814</v>
      </c>
      <c r="C9069" s="349" t="s">
        <v>65</v>
      </c>
      <c r="D9069" s="483">
        <v>0.04</v>
      </c>
      <c r="E9069" s="483">
        <v>0.04</v>
      </c>
    </row>
    <row r="9070" spans="1:5">
      <c r="A9070" s="484">
        <v>11056</v>
      </c>
      <c r="B9070" s="485" t="s">
        <v>7815</v>
      </c>
      <c r="C9070" s="484" t="s">
        <v>65</v>
      </c>
      <c r="D9070" s="486">
        <v>0.04</v>
      </c>
      <c r="E9070" s="486">
        <v>0.04</v>
      </c>
    </row>
    <row r="9071" spans="1:5">
      <c r="A9071" s="349">
        <v>11057</v>
      </c>
      <c r="B9071" s="348" t="s">
        <v>7816</v>
      </c>
      <c r="C9071" s="349" t="s">
        <v>65</v>
      </c>
      <c r="D9071" s="483">
        <v>0.09</v>
      </c>
      <c r="E9071" s="483">
        <v>0.09</v>
      </c>
    </row>
    <row r="9072" spans="1:5">
      <c r="A9072" s="484">
        <v>11059</v>
      </c>
      <c r="B9072" s="485" t="s">
        <v>7817</v>
      </c>
      <c r="C9072" s="484" t="s">
        <v>65</v>
      </c>
      <c r="D9072" s="486">
        <v>0.17</v>
      </c>
      <c r="E9072" s="486">
        <v>0.17</v>
      </c>
    </row>
    <row r="9073" spans="1:5">
      <c r="A9073" s="349">
        <v>11058</v>
      </c>
      <c r="B9073" s="348" t="s">
        <v>7818</v>
      </c>
      <c r="C9073" s="349" t="s">
        <v>65</v>
      </c>
      <c r="D9073" s="483">
        <v>0.22</v>
      </c>
      <c r="E9073" s="483">
        <v>0.22</v>
      </c>
    </row>
    <row r="9074" spans="1:5">
      <c r="A9074" s="484">
        <v>4380</v>
      </c>
      <c r="B9074" s="485" t="s">
        <v>7822</v>
      </c>
      <c r="C9074" s="484" t="s">
        <v>65</v>
      </c>
      <c r="D9074" s="486">
        <v>0.75</v>
      </c>
      <c r="E9074" s="486">
        <v>0.75</v>
      </c>
    </row>
    <row r="9075" spans="1:5" ht="30">
      <c r="A9075" s="349">
        <v>4299</v>
      </c>
      <c r="B9075" s="348" t="s">
        <v>7823</v>
      </c>
      <c r="C9075" s="349" t="s">
        <v>65</v>
      </c>
      <c r="D9075" s="483">
        <v>0.71</v>
      </c>
      <c r="E9075" s="483">
        <v>0.71</v>
      </c>
    </row>
    <row r="9076" spans="1:5" ht="30">
      <c r="A9076" s="484">
        <v>4304</v>
      </c>
      <c r="B9076" s="485" t="s">
        <v>7824</v>
      </c>
      <c r="C9076" s="484" t="s">
        <v>65</v>
      </c>
      <c r="D9076" s="486">
        <v>0.96</v>
      </c>
      <c r="E9076" s="486">
        <v>0.96</v>
      </c>
    </row>
    <row r="9077" spans="1:5" ht="30">
      <c r="A9077" s="349">
        <v>4305</v>
      </c>
      <c r="B9077" s="348" t="s">
        <v>7825</v>
      </c>
      <c r="C9077" s="349" t="s">
        <v>65</v>
      </c>
      <c r="D9077" s="483">
        <v>1.1200000000000001</v>
      </c>
      <c r="E9077" s="483">
        <v>1.1200000000000001</v>
      </c>
    </row>
    <row r="9078" spans="1:5" ht="30">
      <c r="A9078" s="484">
        <v>4306</v>
      </c>
      <c r="B9078" s="485" t="s">
        <v>7826</v>
      </c>
      <c r="C9078" s="484" t="s">
        <v>65</v>
      </c>
      <c r="D9078" s="486">
        <v>1.3</v>
      </c>
      <c r="E9078" s="486">
        <v>1.3</v>
      </c>
    </row>
    <row r="9079" spans="1:5" ht="30">
      <c r="A9079" s="349">
        <v>4308</v>
      </c>
      <c r="B9079" s="348" t="s">
        <v>7827</v>
      </c>
      <c r="C9079" s="349" t="s">
        <v>65</v>
      </c>
      <c r="D9079" s="483">
        <v>2.7</v>
      </c>
      <c r="E9079" s="483">
        <v>2.7</v>
      </c>
    </row>
    <row r="9080" spans="1:5" ht="30">
      <c r="A9080" s="484">
        <v>4302</v>
      </c>
      <c r="B9080" s="485" t="s">
        <v>7828</v>
      </c>
      <c r="C9080" s="484" t="s">
        <v>65</v>
      </c>
      <c r="D9080" s="486">
        <v>2.02</v>
      </c>
      <c r="E9080" s="486">
        <v>2.02</v>
      </c>
    </row>
    <row r="9081" spans="1:5" ht="30">
      <c r="A9081" s="349">
        <v>4300</v>
      </c>
      <c r="B9081" s="348" t="s">
        <v>7829</v>
      </c>
      <c r="C9081" s="349" t="s">
        <v>65</v>
      </c>
      <c r="D9081" s="483">
        <v>0.48</v>
      </c>
      <c r="E9081" s="483">
        <v>0.48</v>
      </c>
    </row>
    <row r="9082" spans="1:5" ht="30">
      <c r="A9082" s="484">
        <v>4301</v>
      </c>
      <c r="B9082" s="485" t="s">
        <v>7830</v>
      </c>
      <c r="C9082" s="484" t="s">
        <v>65</v>
      </c>
      <c r="D9082" s="486">
        <v>0.59</v>
      </c>
      <c r="E9082" s="486">
        <v>0.59</v>
      </c>
    </row>
    <row r="9083" spans="1:5" ht="30">
      <c r="A9083" s="349">
        <v>4320</v>
      </c>
      <c r="B9083" s="348" t="s">
        <v>7820</v>
      </c>
      <c r="C9083" s="349" t="s">
        <v>65</v>
      </c>
      <c r="D9083" s="483">
        <v>1.79</v>
      </c>
      <c r="E9083" s="483">
        <v>1.79</v>
      </c>
    </row>
    <row r="9084" spans="1:5" ht="30">
      <c r="A9084" s="484">
        <v>4318</v>
      </c>
      <c r="B9084" s="485" t="s">
        <v>7821</v>
      </c>
      <c r="C9084" s="484" t="s">
        <v>65</v>
      </c>
      <c r="D9084" s="486">
        <v>0.87</v>
      </c>
      <c r="E9084" s="486">
        <v>0.87</v>
      </c>
    </row>
    <row r="9085" spans="1:5">
      <c r="A9085" s="349">
        <v>40547</v>
      </c>
      <c r="B9085" s="348" t="s">
        <v>11443</v>
      </c>
      <c r="C9085" s="349" t="s">
        <v>180</v>
      </c>
      <c r="D9085" s="483">
        <v>11.74</v>
      </c>
      <c r="E9085" s="483">
        <v>11.74</v>
      </c>
    </row>
    <row r="9086" spans="1:5">
      <c r="A9086" s="484">
        <v>11962</v>
      </c>
      <c r="B9086" s="485" t="s">
        <v>7831</v>
      </c>
      <c r="C9086" s="484" t="s">
        <v>65</v>
      </c>
      <c r="D9086" s="486">
        <v>0.09</v>
      </c>
      <c r="E9086" s="486">
        <v>0.09</v>
      </c>
    </row>
    <row r="9087" spans="1:5">
      <c r="A9087" s="349">
        <v>4332</v>
      </c>
      <c r="B9087" s="348" t="s">
        <v>7832</v>
      </c>
      <c r="C9087" s="349" t="s">
        <v>65</v>
      </c>
      <c r="D9087" s="483">
        <v>0.46</v>
      </c>
      <c r="E9087" s="483">
        <v>0.46</v>
      </c>
    </row>
    <row r="9088" spans="1:5">
      <c r="A9088" s="484">
        <v>4331</v>
      </c>
      <c r="B9088" s="485" t="s">
        <v>7833</v>
      </c>
      <c r="C9088" s="484" t="s">
        <v>65</v>
      </c>
      <c r="D9088" s="486">
        <v>1.76</v>
      </c>
      <c r="E9088" s="486">
        <v>1.76</v>
      </c>
    </row>
    <row r="9089" spans="1:5" ht="30">
      <c r="A9089" s="349">
        <v>4336</v>
      </c>
      <c r="B9089" s="348" t="s">
        <v>7834</v>
      </c>
      <c r="C9089" s="349" t="s">
        <v>65</v>
      </c>
      <c r="D9089" s="483">
        <v>2.25</v>
      </c>
      <c r="E9089" s="483">
        <v>2.25</v>
      </c>
    </row>
    <row r="9090" spans="1:5" ht="30">
      <c r="A9090" s="484">
        <v>13294</v>
      </c>
      <c r="B9090" s="485" t="s">
        <v>7835</v>
      </c>
      <c r="C9090" s="484" t="s">
        <v>65</v>
      </c>
      <c r="D9090" s="486">
        <v>0.64</v>
      </c>
      <c r="E9090" s="486">
        <v>0.64</v>
      </c>
    </row>
    <row r="9091" spans="1:5" ht="30">
      <c r="A9091" s="349">
        <v>11948</v>
      </c>
      <c r="B9091" s="348" t="s">
        <v>7836</v>
      </c>
      <c r="C9091" s="349" t="s">
        <v>65</v>
      </c>
      <c r="D9091" s="483">
        <v>0.28999999999999998</v>
      </c>
      <c r="E9091" s="483">
        <v>0.28999999999999998</v>
      </c>
    </row>
    <row r="9092" spans="1:5" ht="30">
      <c r="A9092" s="484">
        <v>4382</v>
      </c>
      <c r="B9092" s="485" t="s">
        <v>7837</v>
      </c>
      <c r="C9092" s="484" t="s">
        <v>65</v>
      </c>
      <c r="D9092" s="486">
        <v>0.48</v>
      </c>
      <c r="E9092" s="486">
        <v>0.48</v>
      </c>
    </row>
    <row r="9093" spans="1:5" ht="30">
      <c r="A9093" s="349">
        <v>4354</v>
      </c>
      <c r="B9093" s="348" t="s">
        <v>19669</v>
      </c>
      <c r="C9093" s="349" t="s">
        <v>65</v>
      </c>
      <c r="D9093" s="483">
        <v>20.21</v>
      </c>
      <c r="E9093" s="483">
        <v>20.21</v>
      </c>
    </row>
    <row r="9094" spans="1:5" ht="30">
      <c r="A9094" s="484">
        <v>40839</v>
      </c>
      <c r="B9094" s="485" t="s">
        <v>19670</v>
      </c>
      <c r="C9094" s="484" t="s">
        <v>180</v>
      </c>
      <c r="D9094" s="486">
        <v>48.64</v>
      </c>
      <c r="E9094" s="486">
        <v>48.64</v>
      </c>
    </row>
    <row r="9095" spans="1:5">
      <c r="A9095" s="349">
        <v>40552</v>
      </c>
      <c r="B9095" s="348" t="s">
        <v>19671</v>
      </c>
      <c r="C9095" s="349" t="s">
        <v>180</v>
      </c>
      <c r="D9095" s="483">
        <v>20.12</v>
      </c>
      <c r="E9095" s="483">
        <v>20.12</v>
      </c>
    </row>
    <row r="9096" spans="1:5" ht="57.75" customHeight="1">
      <c r="A9096" s="484">
        <v>40549</v>
      </c>
      <c r="B9096" s="485" t="s">
        <v>19672</v>
      </c>
      <c r="C9096" s="484" t="s">
        <v>180</v>
      </c>
      <c r="D9096" s="486">
        <v>79.680000000000007</v>
      </c>
      <c r="E9096" s="486">
        <v>79.680000000000007</v>
      </c>
    </row>
    <row r="9097" spans="1:5" ht="30">
      <c r="A9097" s="349">
        <v>4385</v>
      </c>
      <c r="B9097" s="348" t="s">
        <v>7838</v>
      </c>
      <c r="C9097" s="349" t="s">
        <v>135</v>
      </c>
      <c r="D9097" s="483">
        <v>3000</v>
      </c>
      <c r="E9097" s="483">
        <v>3000</v>
      </c>
    </row>
    <row r="9098" spans="1:5" ht="30">
      <c r="A9098" s="484">
        <v>4386</v>
      </c>
      <c r="B9098" s="485" t="s">
        <v>7838</v>
      </c>
      <c r="C9098" s="484" t="s">
        <v>256</v>
      </c>
      <c r="D9098" s="486">
        <v>126.84</v>
      </c>
      <c r="E9098" s="486">
        <v>126.84</v>
      </c>
    </row>
    <row r="9099" spans="1:5" ht="57.75" customHeight="1">
      <c r="A9099" s="349">
        <v>38397</v>
      </c>
      <c r="B9099" s="348" t="s">
        <v>7849</v>
      </c>
      <c r="C9099" s="349" t="s">
        <v>90</v>
      </c>
      <c r="D9099" s="483">
        <v>3.48</v>
      </c>
      <c r="E9099" s="483">
        <v>3.48</v>
      </c>
    </row>
    <row r="9100" spans="1:5" ht="30">
      <c r="A9100" s="484">
        <v>20078</v>
      </c>
      <c r="B9100" s="485" t="s">
        <v>7850</v>
      </c>
      <c r="C9100" s="484" t="s">
        <v>65</v>
      </c>
      <c r="D9100" s="486">
        <v>16.5</v>
      </c>
      <c r="E9100" s="486">
        <v>16.5</v>
      </c>
    </row>
    <row r="9101" spans="1:5" ht="30">
      <c r="A9101" s="349">
        <v>20079</v>
      </c>
      <c r="B9101" s="348" t="s">
        <v>7851</v>
      </c>
      <c r="C9101" s="349" t="s">
        <v>65</v>
      </c>
      <c r="D9101" s="483">
        <v>102.93</v>
      </c>
      <c r="E9101" s="483">
        <v>102.93</v>
      </c>
    </row>
    <row r="9102" spans="1:5">
      <c r="A9102" s="484">
        <v>39897</v>
      </c>
      <c r="B9102" s="485" t="s">
        <v>7852</v>
      </c>
      <c r="C9102" s="484" t="s">
        <v>217</v>
      </c>
      <c r="D9102" s="486">
        <v>25.09</v>
      </c>
      <c r="E9102" s="486">
        <v>25.09</v>
      </c>
    </row>
    <row r="9103" spans="1:5" ht="57.75" customHeight="1">
      <c r="A9103" s="349">
        <v>118</v>
      </c>
      <c r="B9103" s="348" t="s">
        <v>7853</v>
      </c>
      <c r="C9103" s="349" t="s">
        <v>65</v>
      </c>
      <c r="D9103" s="483">
        <v>62.39</v>
      </c>
      <c r="E9103" s="483">
        <v>62.39</v>
      </c>
    </row>
    <row r="9104" spans="1:5" ht="30">
      <c r="A9104" s="484">
        <v>4396</v>
      </c>
      <c r="B9104" s="485" t="s">
        <v>7854</v>
      </c>
      <c r="C9104" s="484" t="s">
        <v>256</v>
      </c>
      <c r="D9104" s="486">
        <v>107.91</v>
      </c>
      <c r="E9104" s="486">
        <v>107.91</v>
      </c>
    </row>
    <row r="9105" spans="1:5" ht="57.75" customHeight="1">
      <c r="A9105" s="349">
        <v>36881</v>
      </c>
      <c r="B9105" s="348" t="s">
        <v>7855</v>
      </c>
      <c r="C9105" s="349" t="s">
        <v>256</v>
      </c>
      <c r="D9105" s="483">
        <v>96.43</v>
      </c>
      <c r="E9105" s="483">
        <v>96.43</v>
      </c>
    </row>
    <row r="9106" spans="1:5">
      <c r="A9106" s="484">
        <v>36882</v>
      </c>
      <c r="B9106" s="485" t="s">
        <v>7856</v>
      </c>
      <c r="C9106" s="484" t="s">
        <v>256</v>
      </c>
      <c r="D9106" s="486">
        <v>112.5</v>
      </c>
      <c r="E9106" s="486">
        <v>112.5</v>
      </c>
    </row>
    <row r="9107" spans="1:5">
      <c r="A9107" s="349">
        <v>4397</v>
      </c>
      <c r="B9107" s="348" t="s">
        <v>7857</v>
      </c>
      <c r="C9107" s="349" t="s">
        <v>256</v>
      </c>
      <c r="D9107" s="483">
        <v>174.98</v>
      </c>
      <c r="E9107" s="483">
        <v>174.98</v>
      </c>
    </row>
    <row r="9108" spans="1:5" ht="30">
      <c r="A9108" s="484">
        <v>34754</v>
      </c>
      <c r="B9108" s="485" t="s">
        <v>7858</v>
      </c>
      <c r="C9108" s="484" t="s">
        <v>256</v>
      </c>
      <c r="D9108" s="486">
        <v>324.02</v>
      </c>
      <c r="E9108" s="486">
        <v>324.02</v>
      </c>
    </row>
    <row r="9109" spans="1:5" ht="30">
      <c r="A9109" s="349">
        <v>25962</v>
      </c>
      <c r="B9109" s="348" t="s">
        <v>7859</v>
      </c>
      <c r="C9109" s="349" t="s">
        <v>256</v>
      </c>
      <c r="D9109" s="483">
        <v>205.22</v>
      </c>
      <c r="E9109" s="483">
        <v>205.22</v>
      </c>
    </row>
    <row r="9110" spans="1:5" ht="30">
      <c r="A9110" s="484">
        <v>34752</v>
      </c>
      <c r="B9110" s="485" t="s">
        <v>7860</v>
      </c>
      <c r="C9110" s="484" t="s">
        <v>256</v>
      </c>
      <c r="D9110" s="486">
        <v>361.39</v>
      </c>
      <c r="E9110" s="486">
        <v>361.39</v>
      </c>
    </row>
    <row r="9111" spans="1:5">
      <c r="A9111" s="349">
        <v>4751</v>
      </c>
      <c r="B9111" s="348" t="s">
        <v>218</v>
      </c>
      <c r="C9111" s="349" t="s">
        <v>57</v>
      </c>
      <c r="D9111" s="483">
        <v>17.77</v>
      </c>
      <c r="E9111" s="483">
        <v>17.77</v>
      </c>
    </row>
    <row r="9112" spans="1:5">
      <c r="A9112" s="484">
        <v>41066</v>
      </c>
      <c r="B9112" s="485" t="s">
        <v>7861</v>
      </c>
      <c r="C9112" s="484" t="s">
        <v>1643</v>
      </c>
      <c r="D9112" s="486">
        <v>3135.45</v>
      </c>
      <c r="E9112" s="486">
        <v>3135.45</v>
      </c>
    </row>
    <row r="9113" spans="1:5" ht="30">
      <c r="A9113" s="349">
        <v>20209</v>
      </c>
      <c r="B9113" s="348" t="s">
        <v>7868</v>
      </c>
      <c r="C9113" s="349" t="s">
        <v>71</v>
      </c>
      <c r="D9113" s="483">
        <v>6.85</v>
      </c>
      <c r="E9113" s="483">
        <v>6.85</v>
      </c>
    </row>
    <row r="9114" spans="1:5" ht="30">
      <c r="A9114" s="484">
        <v>4433</v>
      </c>
      <c r="B9114" s="485" t="s">
        <v>7869</v>
      </c>
      <c r="C9114" s="484" t="s">
        <v>71</v>
      </c>
      <c r="D9114" s="486">
        <v>6.87</v>
      </c>
      <c r="E9114" s="486">
        <v>6.87</v>
      </c>
    </row>
    <row r="9115" spans="1:5">
      <c r="A9115" s="349">
        <v>4491</v>
      </c>
      <c r="B9115" s="348" t="s">
        <v>7870</v>
      </c>
      <c r="C9115" s="349" t="s">
        <v>71</v>
      </c>
      <c r="D9115" s="483">
        <v>4.78</v>
      </c>
      <c r="E9115" s="483">
        <v>4.78</v>
      </c>
    </row>
    <row r="9116" spans="1:5">
      <c r="A9116" s="484">
        <v>4505</v>
      </c>
      <c r="B9116" s="485" t="s">
        <v>7871</v>
      </c>
      <c r="C9116" s="484" t="s">
        <v>71</v>
      </c>
      <c r="D9116" s="486">
        <v>1.89</v>
      </c>
      <c r="E9116" s="486">
        <v>1.89</v>
      </c>
    </row>
    <row r="9117" spans="1:5">
      <c r="A9117" s="349">
        <v>4517</v>
      </c>
      <c r="B9117" s="348" t="s">
        <v>7872</v>
      </c>
      <c r="C9117" s="349" t="s">
        <v>71</v>
      </c>
      <c r="D9117" s="483">
        <v>0.67</v>
      </c>
      <c r="E9117" s="483">
        <v>0.67</v>
      </c>
    </row>
    <row r="9118" spans="1:5">
      <c r="A9118" s="484">
        <v>4448</v>
      </c>
      <c r="B9118" s="485" t="s">
        <v>7873</v>
      </c>
      <c r="C9118" s="484" t="s">
        <v>71</v>
      </c>
      <c r="D9118" s="486">
        <v>8.73</v>
      </c>
      <c r="E9118" s="486">
        <v>8.73</v>
      </c>
    </row>
    <row r="9119" spans="1:5">
      <c r="A9119" s="349">
        <v>6194</v>
      </c>
      <c r="B9119" s="348" t="s">
        <v>7863</v>
      </c>
      <c r="C9119" s="349" t="s">
        <v>71</v>
      </c>
      <c r="D9119" s="483">
        <v>6.4</v>
      </c>
      <c r="E9119" s="483">
        <v>6.4</v>
      </c>
    </row>
    <row r="9120" spans="1:5">
      <c r="A9120" s="484">
        <v>4509</v>
      </c>
      <c r="B9120" s="485" t="s">
        <v>7864</v>
      </c>
      <c r="C9120" s="484" t="s">
        <v>71</v>
      </c>
      <c r="D9120" s="486">
        <v>2.4500000000000002</v>
      </c>
      <c r="E9120" s="486">
        <v>2.4500000000000002</v>
      </c>
    </row>
    <row r="9121" spans="1:5">
      <c r="A9121" s="349">
        <v>4513</v>
      </c>
      <c r="B9121" s="348" t="s">
        <v>7865</v>
      </c>
      <c r="C9121" s="349" t="s">
        <v>71</v>
      </c>
      <c r="D9121" s="483">
        <v>0.97</v>
      </c>
      <c r="E9121" s="483">
        <v>0.97</v>
      </c>
    </row>
    <row r="9122" spans="1:5">
      <c r="A9122" s="484">
        <v>4512</v>
      </c>
      <c r="B9122" s="485" t="s">
        <v>7866</v>
      </c>
      <c r="C9122" s="484" t="s">
        <v>71</v>
      </c>
      <c r="D9122" s="486">
        <v>1.51</v>
      </c>
      <c r="E9122" s="486">
        <v>1.51</v>
      </c>
    </row>
    <row r="9123" spans="1:5">
      <c r="A9123" s="349">
        <v>4500</v>
      </c>
      <c r="B9123" s="348" t="s">
        <v>7867</v>
      </c>
      <c r="C9123" s="349" t="s">
        <v>71</v>
      </c>
      <c r="D9123" s="483">
        <v>7.41</v>
      </c>
      <c r="E9123" s="483">
        <v>7.41</v>
      </c>
    </row>
    <row r="9124" spans="1:5">
      <c r="A9124" s="484">
        <v>10731</v>
      </c>
      <c r="B9124" s="485" t="s">
        <v>7874</v>
      </c>
      <c r="C9124" s="484" t="s">
        <v>256</v>
      </c>
      <c r="D9124" s="486">
        <v>20</v>
      </c>
      <c r="E9124" s="486">
        <v>20</v>
      </c>
    </row>
    <row r="9125" spans="1:5">
      <c r="A9125" s="349">
        <v>4704</v>
      </c>
      <c r="B9125" s="348" t="s">
        <v>7875</v>
      </c>
      <c r="C9125" s="349" t="s">
        <v>256</v>
      </c>
      <c r="D9125" s="483">
        <v>18.04</v>
      </c>
      <c r="E9125" s="483">
        <v>18.04</v>
      </c>
    </row>
    <row r="9126" spans="1:5" ht="29.25" customHeight="1">
      <c r="A9126" s="484">
        <v>10730</v>
      </c>
      <c r="B9126" s="485" t="s">
        <v>7876</v>
      </c>
      <c r="C9126" s="484" t="s">
        <v>256</v>
      </c>
      <c r="D9126" s="486">
        <v>19.329999999999998</v>
      </c>
      <c r="E9126" s="486">
        <v>19.329999999999998</v>
      </c>
    </row>
    <row r="9127" spans="1:5">
      <c r="A9127" s="349">
        <v>4729</v>
      </c>
      <c r="B9127" s="348" t="s">
        <v>7877</v>
      </c>
      <c r="C9127" s="349" t="s">
        <v>255</v>
      </c>
      <c r="D9127" s="483">
        <v>53.06</v>
      </c>
      <c r="E9127" s="483">
        <v>53.06</v>
      </c>
    </row>
    <row r="9128" spans="1:5">
      <c r="A9128" s="484">
        <v>4720</v>
      </c>
      <c r="B9128" s="485" t="s">
        <v>7878</v>
      </c>
      <c r="C9128" s="484" t="s">
        <v>255</v>
      </c>
      <c r="D9128" s="486">
        <v>58.02</v>
      </c>
      <c r="E9128" s="486">
        <v>58.02</v>
      </c>
    </row>
    <row r="9129" spans="1:5">
      <c r="A9129" s="349">
        <v>4721</v>
      </c>
      <c r="B9129" s="348" t="s">
        <v>7879</v>
      </c>
      <c r="C9129" s="349" t="s">
        <v>255</v>
      </c>
      <c r="D9129" s="483">
        <v>45.44</v>
      </c>
      <c r="E9129" s="483">
        <v>45.44</v>
      </c>
    </row>
    <row r="9130" spans="1:5">
      <c r="A9130" s="484">
        <v>4718</v>
      </c>
      <c r="B9130" s="485" t="s">
        <v>7880</v>
      </c>
      <c r="C9130" s="484" t="s">
        <v>255</v>
      </c>
      <c r="D9130" s="486">
        <v>45.44</v>
      </c>
      <c r="E9130" s="486">
        <v>45.44</v>
      </c>
    </row>
    <row r="9131" spans="1:5">
      <c r="A9131" s="349">
        <v>4722</v>
      </c>
      <c r="B9131" s="348" t="s">
        <v>7881</v>
      </c>
      <c r="C9131" s="349" t="s">
        <v>255</v>
      </c>
      <c r="D9131" s="483">
        <v>45.44</v>
      </c>
      <c r="E9131" s="483">
        <v>45.44</v>
      </c>
    </row>
    <row r="9132" spans="1:5">
      <c r="A9132" s="484">
        <v>4723</v>
      </c>
      <c r="B9132" s="485" t="s">
        <v>7882</v>
      </c>
      <c r="C9132" s="484" t="s">
        <v>255</v>
      </c>
      <c r="D9132" s="486">
        <v>49.57</v>
      </c>
      <c r="E9132" s="486">
        <v>49.57</v>
      </c>
    </row>
    <row r="9133" spans="1:5">
      <c r="A9133" s="349">
        <v>4727</v>
      </c>
      <c r="B9133" s="348" t="s">
        <v>7883</v>
      </c>
      <c r="C9133" s="349" t="s">
        <v>255</v>
      </c>
      <c r="D9133" s="483">
        <v>50.95</v>
      </c>
      <c r="E9133" s="483">
        <v>50.95</v>
      </c>
    </row>
    <row r="9134" spans="1:5" ht="30">
      <c r="A9134" s="484">
        <v>4748</v>
      </c>
      <c r="B9134" s="485" t="s">
        <v>7884</v>
      </c>
      <c r="C9134" s="484" t="s">
        <v>255</v>
      </c>
      <c r="D9134" s="486">
        <v>49.16</v>
      </c>
      <c r="E9134" s="486">
        <v>49.16</v>
      </c>
    </row>
    <row r="9135" spans="1:5" ht="30">
      <c r="A9135" s="349">
        <v>4730</v>
      </c>
      <c r="B9135" s="348" t="s">
        <v>7885</v>
      </c>
      <c r="C9135" s="349" t="s">
        <v>255</v>
      </c>
      <c r="D9135" s="483">
        <v>47.51</v>
      </c>
      <c r="E9135" s="483">
        <v>47.51</v>
      </c>
    </row>
    <row r="9136" spans="1:5" ht="30">
      <c r="A9136" s="484">
        <v>13186</v>
      </c>
      <c r="B9136" s="485" t="s">
        <v>7886</v>
      </c>
      <c r="C9136" s="484" t="s">
        <v>255</v>
      </c>
      <c r="D9136" s="486">
        <v>178.42</v>
      </c>
      <c r="E9136" s="486">
        <v>178.42</v>
      </c>
    </row>
    <row r="9137" spans="1:5" ht="30">
      <c r="A9137" s="349">
        <v>10737</v>
      </c>
      <c r="B9137" s="348" t="s">
        <v>7887</v>
      </c>
      <c r="C9137" s="349" t="s">
        <v>256</v>
      </c>
      <c r="D9137" s="483">
        <v>62.85</v>
      </c>
      <c r="E9137" s="483">
        <v>62.85</v>
      </c>
    </row>
    <row r="9138" spans="1:5" ht="30">
      <c r="A9138" s="484">
        <v>10734</v>
      </c>
      <c r="B9138" s="485" t="s">
        <v>7888</v>
      </c>
      <c r="C9138" s="484" t="s">
        <v>256</v>
      </c>
      <c r="D9138" s="486">
        <v>37.380000000000003</v>
      </c>
      <c r="E9138" s="486">
        <v>37.380000000000003</v>
      </c>
    </row>
    <row r="9139" spans="1:5">
      <c r="A9139" s="349">
        <v>4708</v>
      </c>
      <c r="B9139" s="348" t="s">
        <v>11447</v>
      </c>
      <c r="C9139" s="349" t="s">
        <v>256</v>
      </c>
      <c r="D9139" s="483">
        <v>72.52</v>
      </c>
      <c r="E9139" s="483">
        <v>72.52</v>
      </c>
    </row>
    <row r="9140" spans="1:5" ht="30">
      <c r="A9140" s="484">
        <v>4712</v>
      </c>
      <c r="B9140" s="485" t="s">
        <v>7890</v>
      </c>
      <c r="C9140" s="484" t="s">
        <v>256</v>
      </c>
      <c r="D9140" s="486">
        <v>35.450000000000003</v>
      </c>
      <c r="E9140" s="486">
        <v>35.450000000000003</v>
      </c>
    </row>
    <row r="9141" spans="1:5" ht="45">
      <c r="A9141" s="349">
        <v>4710</v>
      </c>
      <c r="B9141" s="348" t="s">
        <v>7891</v>
      </c>
      <c r="C9141" s="349" t="s">
        <v>256</v>
      </c>
      <c r="D9141" s="483">
        <v>113.69</v>
      </c>
      <c r="E9141" s="483">
        <v>113.69</v>
      </c>
    </row>
    <row r="9142" spans="1:5" ht="30">
      <c r="A9142" s="484">
        <v>4746</v>
      </c>
      <c r="B9142" s="485" t="s">
        <v>7892</v>
      </c>
      <c r="C9142" s="484" t="s">
        <v>255</v>
      </c>
      <c r="D9142" s="486">
        <v>44.06</v>
      </c>
      <c r="E9142" s="486">
        <v>44.06</v>
      </c>
    </row>
    <row r="9143" spans="1:5">
      <c r="A9143" s="349">
        <v>4750</v>
      </c>
      <c r="B9143" s="348" t="s">
        <v>219</v>
      </c>
      <c r="C9143" s="349" t="s">
        <v>57</v>
      </c>
      <c r="D9143" s="483">
        <v>14.74</v>
      </c>
      <c r="E9143" s="483">
        <v>14.74</v>
      </c>
    </row>
    <row r="9144" spans="1:5">
      <c r="A9144" s="484">
        <v>41065</v>
      </c>
      <c r="B9144" s="485" t="s">
        <v>7893</v>
      </c>
      <c r="C9144" s="484" t="s">
        <v>1643</v>
      </c>
      <c r="D9144" s="486">
        <v>2597.41</v>
      </c>
      <c r="E9144" s="486">
        <v>2597.41</v>
      </c>
    </row>
    <row r="9145" spans="1:5">
      <c r="A9145" s="349">
        <v>34747</v>
      </c>
      <c r="B9145" s="348" t="s">
        <v>7896</v>
      </c>
      <c r="C9145" s="349" t="s">
        <v>71</v>
      </c>
      <c r="D9145" s="483">
        <v>40.14</v>
      </c>
      <c r="E9145" s="483">
        <v>40.14</v>
      </c>
    </row>
    <row r="9146" spans="1:5">
      <c r="A9146" s="484">
        <v>4826</v>
      </c>
      <c r="B9146" s="485" t="s">
        <v>7897</v>
      </c>
      <c r="C9146" s="484" t="s">
        <v>71</v>
      </c>
      <c r="D9146" s="486">
        <v>43.16</v>
      </c>
      <c r="E9146" s="486">
        <v>43.16</v>
      </c>
    </row>
    <row r="9147" spans="1:5" ht="30">
      <c r="A9147" s="349">
        <v>4825</v>
      </c>
      <c r="B9147" s="348" t="s">
        <v>7899</v>
      </c>
      <c r="C9147" s="349" t="s">
        <v>71</v>
      </c>
      <c r="D9147" s="483">
        <v>59.75</v>
      </c>
      <c r="E9147" s="483">
        <v>59.75</v>
      </c>
    </row>
    <row r="9148" spans="1:5">
      <c r="A9148" s="484">
        <v>34744</v>
      </c>
      <c r="B9148" s="485" t="s">
        <v>7900</v>
      </c>
      <c r="C9148" s="484" t="s">
        <v>256</v>
      </c>
      <c r="D9148" s="486">
        <v>22.08</v>
      </c>
      <c r="E9148" s="486">
        <v>22.08</v>
      </c>
    </row>
    <row r="9149" spans="1:5" ht="30">
      <c r="A9149" s="349">
        <v>39430</v>
      </c>
      <c r="B9149" s="348" t="s">
        <v>11448</v>
      </c>
      <c r="C9149" s="349" t="s">
        <v>65</v>
      </c>
      <c r="D9149" s="483">
        <v>0.96</v>
      </c>
      <c r="E9149" s="483">
        <v>0.96</v>
      </c>
    </row>
    <row r="9150" spans="1:5" ht="30">
      <c r="A9150" s="484">
        <v>39573</v>
      </c>
      <c r="B9150" s="485" t="s">
        <v>11449</v>
      </c>
      <c r="C9150" s="484" t="s">
        <v>65</v>
      </c>
      <c r="D9150" s="486">
        <v>0.94</v>
      </c>
      <c r="E9150" s="486">
        <v>0.94</v>
      </c>
    </row>
    <row r="9151" spans="1:5" ht="30">
      <c r="A9151" s="349">
        <v>38410</v>
      </c>
      <c r="B9151" s="348" t="s">
        <v>7901</v>
      </c>
      <c r="C9151" s="349" t="s">
        <v>65</v>
      </c>
      <c r="D9151" s="483">
        <v>9160.4599999999991</v>
      </c>
      <c r="E9151" s="483">
        <v>9160.4599999999991</v>
      </c>
    </row>
    <row r="9152" spans="1:5">
      <c r="A9152" s="484">
        <v>4765</v>
      </c>
      <c r="B9152" s="485" t="s">
        <v>7908</v>
      </c>
      <c r="C9152" s="484" t="s">
        <v>71</v>
      </c>
      <c r="D9152" s="486">
        <v>51.49</v>
      </c>
      <c r="E9152" s="486">
        <v>51.49</v>
      </c>
    </row>
    <row r="9153" spans="1:5">
      <c r="A9153" s="349">
        <v>4766</v>
      </c>
      <c r="B9153" s="348" t="s">
        <v>7909</v>
      </c>
      <c r="C9153" s="349" t="s">
        <v>90</v>
      </c>
      <c r="D9153" s="483">
        <v>4.0999999999999996</v>
      </c>
      <c r="E9153" s="483">
        <v>4.0999999999999996</v>
      </c>
    </row>
    <row r="9154" spans="1:5">
      <c r="A9154" s="484">
        <v>4767</v>
      </c>
      <c r="B9154" s="485" t="s">
        <v>7909</v>
      </c>
      <c r="C9154" s="484" t="s">
        <v>71</v>
      </c>
      <c r="D9154" s="486">
        <v>88.72</v>
      </c>
      <c r="E9154" s="486">
        <v>88.72</v>
      </c>
    </row>
    <row r="9155" spans="1:5">
      <c r="A9155" s="349">
        <v>10963</v>
      </c>
      <c r="B9155" s="348" t="s">
        <v>19673</v>
      </c>
      <c r="C9155" s="349" t="s">
        <v>71</v>
      </c>
      <c r="D9155" s="483">
        <v>140.61000000000001</v>
      </c>
      <c r="E9155" s="483">
        <v>140.61000000000001</v>
      </c>
    </row>
    <row r="9156" spans="1:5">
      <c r="A9156" s="484">
        <v>10962</v>
      </c>
      <c r="B9156" s="485" t="s">
        <v>7911</v>
      </c>
      <c r="C9156" s="484" t="s">
        <v>90</v>
      </c>
      <c r="D9156" s="486">
        <v>4.3600000000000003</v>
      </c>
      <c r="E9156" s="486">
        <v>4.3600000000000003</v>
      </c>
    </row>
    <row r="9157" spans="1:5">
      <c r="A9157" s="349">
        <v>34742</v>
      </c>
      <c r="B9157" s="348" t="s">
        <v>7912</v>
      </c>
      <c r="C9157" s="349" t="s">
        <v>90</v>
      </c>
      <c r="D9157" s="483">
        <v>4.09</v>
      </c>
      <c r="E9157" s="483">
        <v>4.09</v>
      </c>
    </row>
    <row r="9158" spans="1:5">
      <c r="A9158" s="484">
        <v>4773</v>
      </c>
      <c r="B9158" s="485" t="s">
        <v>7913</v>
      </c>
      <c r="C9158" s="484" t="s">
        <v>71</v>
      </c>
      <c r="D9158" s="486">
        <v>177.49</v>
      </c>
      <c r="E9158" s="486">
        <v>177.49</v>
      </c>
    </row>
    <row r="9159" spans="1:5">
      <c r="A9159" s="349">
        <v>34740</v>
      </c>
      <c r="B9159" s="348" t="s">
        <v>7914</v>
      </c>
      <c r="C9159" s="349" t="s">
        <v>90</v>
      </c>
      <c r="D9159" s="483">
        <v>4.09</v>
      </c>
      <c r="E9159" s="483">
        <v>4.09</v>
      </c>
    </row>
    <row r="9160" spans="1:5">
      <c r="A9160" s="484">
        <v>4776</v>
      </c>
      <c r="B9160" s="485" t="s">
        <v>7915</v>
      </c>
      <c r="C9160" s="484" t="s">
        <v>71</v>
      </c>
      <c r="D9160" s="486">
        <v>275.18</v>
      </c>
      <c r="E9160" s="486">
        <v>275.18</v>
      </c>
    </row>
    <row r="9161" spans="1:5">
      <c r="A9161" s="349">
        <v>4774</v>
      </c>
      <c r="B9161" s="348" t="s">
        <v>7915</v>
      </c>
      <c r="C9161" s="349" t="s">
        <v>90</v>
      </c>
      <c r="D9161" s="483">
        <v>4.0999999999999996</v>
      </c>
      <c r="E9161" s="483">
        <v>4.0999999999999996</v>
      </c>
    </row>
    <row r="9162" spans="1:5">
      <c r="A9162" s="484">
        <v>40313</v>
      </c>
      <c r="B9162" s="485" t="s">
        <v>7916</v>
      </c>
      <c r="C9162" s="484" t="s">
        <v>90</v>
      </c>
      <c r="D9162" s="486">
        <v>4.09</v>
      </c>
      <c r="E9162" s="486">
        <v>4.09</v>
      </c>
    </row>
    <row r="9163" spans="1:5">
      <c r="A9163" s="349">
        <v>13340</v>
      </c>
      <c r="B9163" s="348" t="s">
        <v>7917</v>
      </c>
      <c r="C9163" s="349" t="s">
        <v>71</v>
      </c>
      <c r="D9163" s="483">
        <v>17.350000000000001</v>
      </c>
      <c r="E9163" s="483">
        <v>17.350000000000001</v>
      </c>
    </row>
    <row r="9164" spans="1:5">
      <c r="A9164" s="484">
        <v>10965</v>
      </c>
      <c r="B9164" s="485" t="s">
        <v>7918</v>
      </c>
      <c r="C9164" s="484" t="s">
        <v>71</v>
      </c>
      <c r="D9164" s="486">
        <v>37.01</v>
      </c>
      <c r="E9164" s="486">
        <v>37.01</v>
      </c>
    </row>
    <row r="9165" spans="1:5">
      <c r="A9165" s="349">
        <v>10966</v>
      </c>
      <c r="B9165" s="348" t="s">
        <v>7919</v>
      </c>
      <c r="C9165" s="349" t="s">
        <v>90</v>
      </c>
      <c r="D9165" s="483">
        <v>4.13</v>
      </c>
      <c r="E9165" s="483">
        <v>4.13</v>
      </c>
    </row>
    <row r="9166" spans="1:5">
      <c r="A9166" s="484">
        <v>40537</v>
      </c>
      <c r="B9166" s="485" t="s">
        <v>7920</v>
      </c>
      <c r="C9166" s="484" t="s">
        <v>90</v>
      </c>
      <c r="D9166" s="486">
        <v>4.5199999999999996</v>
      </c>
      <c r="E9166" s="486">
        <v>4.5199999999999996</v>
      </c>
    </row>
    <row r="9167" spans="1:5">
      <c r="A9167" s="349">
        <v>40536</v>
      </c>
      <c r="B9167" s="348" t="s">
        <v>7921</v>
      </c>
      <c r="C9167" s="349" t="s">
        <v>90</v>
      </c>
      <c r="D9167" s="483">
        <v>4.5199999999999996</v>
      </c>
      <c r="E9167" s="483">
        <v>4.5199999999999996</v>
      </c>
    </row>
    <row r="9168" spans="1:5">
      <c r="A9168" s="484">
        <v>40535</v>
      </c>
      <c r="B9168" s="485" t="s">
        <v>7922</v>
      </c>
      <c r="C9168" s="484" t="s">
        <v>90</v>
      </c>
      <c r="D9168" s="486">
        <v>4.5199999999999996</v>
      </c>
      <c r="E9168" s="486">
        <v>4.5199999999999996</v>
      </c>
    </row>
    <row r="9169" spans="1:5" ht="30">
      <c r="A9169" s="349">
        <v>39427</v>
      </c>
      <c r="B9169" s="348" t="s">
        <v>11450</v>
      </c>
      <c r="C9169" s="349" t="s">
        <v>71</v>
      </c>
      <c r="D9169" s="483">
        <v>2.5499999999999998</v>
      </c>
      <c r="E9169" s="483">
        <v>2.5499999999999998</v>
      </c>
    </row>
    <row r="9170" spans="1:5">
      <c r="A9170" s="484">
        <v>39424</v>
      </c>
      <c r="B9170" s="485" t="s">
        <v>11451</v>
      </c>
      <c r="C9170" s="484" t="s">
        <v>71</v>
      </c>
      <c r="D9170" s="486">
        <v>1.51</v>
      </c>
      <c r="E9170" s="486">
        <v>1.51</v>
      </c>
    </row>
    <row r="9171" spans="1:5" ht="30">
      <c r="A9171" s="349">
        <v>39425</v>
      </c>
      <c r="B9171" s="348" t="s">
        <v>11452</v>
      </c>
      <c r="C9171" s="349" t="s">
        <v>71</v>
      </c>
      <c r="D9171" s="483">
        <v>1.49</v>
      </c>
      <c r="E9171" s="483">
        <v>1.49</v>
      </c>
    </row>
    <row r="9172" spans="1:5">
      <c r="A9172" s="484">
        <v>40664</v>
      </c>
      <c r="B9172" s="485" t="s">
        <v>7923</v>
      </c>
      <c r="C9172" s="484" t="s">
        <v>90</v>
      </c>
      <c r="D9172" s="486">
        <v>3.87</v>
      </c>
      <c r="E9172" s="486">
        <v>3.87</v>
      </c>
    </row>
    <row r="9173" spans="1:5">
      <c r="A9173" s="349">
        <v>34360</v>
      </c>
      <c r="B9173" s="348" t="s">
        <v>7924</v>
      </c>
      <c r="C9173" s="349" t="s">
        <v>90</v>
      </c>
      <c r="D9173" s="483">
        <v>33.840000000000003</v>
      </c>
      <c r="E9173" s="483">
        <v>33.840000000000003</v>
      </c>
    </row>
    <row r="9174" spans="1:5">
      <c r="A9174" s="484">
        <v>20259</v>
      </c>
      <c r="B9174" s="485" t="s">
        <v>7925</v>
      </c>
      <c r="C9174" s="484" t="s">
        <v>71</v>
      </c>
      <c r="D9174" s="486">
        <v>12.5</v>
      </c>
      <c r="E9174" s="486">
        <v>12.5</v>
      </c>
    </row>
    <row r="9175" spans="1:5" ht="30">
      <c r="A9175" s="349">
        <v>14077</v>
      </c>
      <c r="B9175" s="348" t="s">
        <v>7926</v>
      </c>
      <c r="C9175" s="349" t="s">
        <v>71</v>
      </c>
      <c r="D9175" s="483">
        <v>191.32</v>
      </c>
      <c r="E9175" s="483">
        <v>191.32</v>
      </c>
    </row>
    <row r="9176" spans="1:5" ht="30">
      <c r="A9176" s="484">
        <v>3678</v>
      </c>
      <c r="B9176" s="485" t="s">
        <v>7927</v>
      </c>
      <c r="C9176" s="484" t="s">
        <v>71</v>
      </c>
      <c r="D9176" s="486">
        <v>86.47</v>
      </c>
      <c r="E9176" s="486">
        <v>86.47</v>
      </c>
    </row>
    <row r="9177" spans="1:5" ht="30">
      <c r="A9177" s="349">
        <v>39418</v>
      </c>
      <c r="B9177" s="348" t="s">
        <v>11453</v>
      </c>
      <c r="C9177" s="349" t="s">
        <v>71</v>
      </c>
      <c r="D9177" s="483">
        <v>2.84</v>
      </c>
      <c r="E9177" s="483">
        <v>2.84</v>
      </c>
    </row>
    <row r="9178" spans="1:5" ht="30">
      <c r="A9178" s="484">
        <v>39419</v>
      </c>
      <c r="B9178" s="485" t="s">
        <v>11454</v>
      </c>
      <c r="C9178" s="484" t="s">
        <v>71</v>
      </c>
      <c r="D9178" s="486">
        <v>3.46</v>
      </c>
      <c r="E9178" s="486">
        <v>3.46</v>
      </c>
    </row>
    <row r="9179" spans="1:5" ht="30">
      <c r="A9179" s="349">
        <v>39420</v>
      </c>
      <c r="B9179" s="348" t="s">
        <v>11455</v>
      </c>
      <c r="C9179" s="349" t="s">
        <v>71</v>
      </c>
      <c r="D9179" s="483">
        <v>3.82</v>
      </c>
      <c r="E9179" s="483">
        <v>3.82</v>
      </c>
    </row>
    <row r="9180" spans="1:5" ht="30">
      <c r="A9180" s="484">
        <v>39571</v>
      </c>
      <c r="B9180" s="485" t="s">
        <v>11456</v>
      </c>
      <c r="C9180" s="484" t="s">
        <v>71</v>
      </c>
      <c r="D9180" s="486">
        <v>2.31</v>
      </c>
      <c r="E9180" s="486">
        <v>2.31</v>
      </c>
    </row>
    <row r="9181" spans="1:5" ht="30">
      <c r="A9181" s="349">
        <v>39421</v>
      </c>
      <c r="B9181" s="348" t="s">
        <v>11457</v>
      </c>
      <c r="C9181" s="349" t="s">
        <v>71</v>
      </c>
      <c r="D9181" s="483">
        <v>3.36</v>
      </c>
      <c r="E9181" s="483">
        <v>3.36</v>
      </c>
    </row>
    <row r="9182" spans="1:5" ht="30">
      <c r="A9182" s="484">
        <v>39422</v>
      </c>
      <c r="B9182" s="485" t="s">
        <v>11458</v>
      </c>
      <c r="C9182" s="484" t="s">
        <v>71</v>
      </c>
      <c r="D9182" s="486">
        <v>3.93</v>
      </c>
      <c r="E9182" s="486">
        <v>3.93</v>
      </c>
    </row>
    <row r="9183" spans="1:5" ht="30">
      <c r="A9183" s="349">
        <v>39423</v>
      </c>
      <c r="B9183" s="348" t="s">
        <v>11459</v>
      </c>
      <c r="C9183" s="349" t="s">
        <v>71</v>
      </c>
      <c r="D9183" s="483">
        <v>4.5599999999999996</v>
      </c>
      <c r="E9183" s="483">
        <v>4.5599999999999996</v>
      </c>
    </row>
    <row r="9184" spans="1:5" ht="30">
      <c r="A9184" s="484">
        <v>39426</v>
      </c>
      <c r="B9184" s="485" t="s">
        <v>19674</v>
      </c>
      <c r="C9184" s="484" t="s">
        <v>71</v>
      </c>
      <c r="D9184" s="486">
        <v>10.25</v>
      </c>
      <c r="E9184" s="486">
        <v>10.25</v>
      </c>
    </row>
    <row r="9185" spans="1:5" ht="30">
      <c r="A9185" s="349">
        <v>39429</v>
      </c>
      <c r="B9185" s="348" t="s">
        <v>11460</v>
      </c>
      <c r="C9185" s="349" t="s">
        <v>71</v>
      </c>
      <c r="D9185" s="483">
        <v>3.23</v>
      </c>
      <c r="E9185" s="483">
        <v>3.23</v>
      </c>
    </row>
    <row r="9186" spans="1:5" ht="30">
      <c r="A9186" s="484">
        <v>39428</v>
      </c>
      <c r="B9186" s="485" t="s">
        <v>11461</v>
      </c>
      <c r="C9186" s="484" t="s">
        <v>71</v>
      </c>
      <c r="D9186" s="486">
        <v>2.4700000000000002</v>
      </c>
      <c r="E9186" s="486">
        <v>2.4700000000000002</v>
      </c>
    </row>
    <row r="9187" spans="1:5" ht="30">
      <c r="A9187" s="349">
        <v>39572</v>
      </c>
      <c r="B9187" s="348" t="s">
        <v>11462</v>
      </c>
      <c r="C9187" s="349" t="s">
        <v>71</v>
      </c>
      <c r="D9187" s="483">
        <v>2.14</v>
      </c>
      <c r="E9187" s="483">
        <v>2.14</v>
      </c>
    </row>
    <row r="9188" spans="1:5" ht="30">
      <c r="A9188" s="484">
        <v>39570</v>
      </c>
      <c r="B9188" s="485" t="s">
        <v>11463</v>
      </c>
      <c r="C9188" s="484" t="s">
        <v>71</v>
      </c>
      <c r="D9188" s="486">
        <v>2.27</v>
      </c>
      <c r="E9188" s="486">
        <v>2.27</v>
      </c>
    </row>
    <row r="9189" spans="1:5" ht="30">
      <c r="A9189" s="349">
        <v>39569</v>
      </c>
      <c r="B9189" s="348" t="s">
        <v>11464</v>
      </c>
      <c r="C9189" s="349" t="s">
        <v>71</v>
      </c>
      <c r="D9189" s="483">
        <v>2.2400000000000002</v>
      </c>
      <c r="E9189" s="483">
        <v>2.2400000000000002</v>
      </c>
    </row>
    <row r="9190" spans="1:5" ht="30">
      <c r="A9190" s="484">
        <v>11552</v>
      </c>
      <c r="B9190" s="485" t="s">
        <v>7928</v>
      </c>
      <c r="C9190" s="484" t="s">
        <v>71</v>
      </c>
      <c r="D9190" s="486">
        <v>7.47</v>
      </c>
      <c r="E9190" s="486">
        <v>7.47</v>
      </c>
    </row>
    <row r="9191" spans="1:5" ht="30">
      <c r="A9191" s="349">
        <v>40598</v>
      </c>
      <c r="B9191" s="348" t="s">
        <v>7929</v>
      </c>
      <c r="C9191" s="349" t="s">
        <v>90</v>
      </c>
      <c r="D9191" s="483">
        <v>4.5199999999999996</v>
      </c>
      <c r="E9191" s="483">
        <v>4.5199999999999996</v>
      </c>
    </row>
    <row r="9192" spans="1:5">
      <c r="A9192" s="484">
        <v>39029</v>
      </c>
      <c r="B9192" s="485" t="s">
        <v>11465</v>
      </c>
      <c r="C9192" s="484" t="s">
        <v>71</v>
      </c>
      <c r="D9192" s="486">
        <v>7.24</v>
      </c>
      <c r="E9192" s="486">
        <v>7.24</v>
      </c>
    </row>
    <row r="9193" spans="1:5">
      <c r="A9193" s="349">
        <v>39028</v>
      </c>
      <c r="B9193" s="348" t="s">
        <v>11466</v>
      </c>
      <c r="C9193" s="349" t="s">
        <v>71</v>
      </c>
      <c r="D9193" s="483">
        <v>4.21</v>
      </c>
      <c r="E9193" s="483">
        <v>4.21</v>
      </c>
    </row>
    <row r="9194" spans="1:5">
      <c r="A9194" s="484">
        <v>39328</v>
      </c>
      <c r="B9194" s="485" t="s">
        <v>11467</v>
      </c>
      <c r="C9194" s="484" t="s">
        <v>71</v>
      </c>
      <c r="D9194" s="486">
        <v>2.31</v>
      </c>
      <c r="E9194" s="486">
        <v>2.31</v>
      </c>
    </row>
    <row r="9195" spans="1:5" ht="45">
      <c r="A9195" s="349">
        <v>38541</v>
      </c>
      <c r="B9195" s="348" t="s">
        <v>7946</v>
      </c>
      <c r="C9195" s="349" t="s">
        <v>65</v>
      </c>
      <c r="D9195" s="483">
        <v>1909171.03</v>
      </c>
      <c r="E9195" s="483">
        <v>1909171.03</v>
      </c>
    </row>
    <row r="9196" spans="1:5" ht="45">
      <c r="A9196" s="484">
        <v>38542</v>
      </c>
      <c r="B9196" s="485" t="s">
        <v>7947</v>
      </c>
      <c r="C9196" s="484" t="s">
        <v>65</v>
      </c>
      <c r="D9196" s="486">
        <v>2968684.19</v>
      </c>
      <c r="E9196" s="486">
        <v>2968684.19</v>
      </c>
    </row>
    <row r="9197" spans="1:5" ht="45">
      <c r="A9197" s="349">
        <v>38543</v>
      </c>
      <c r="B9197" s="348" t="s">
        <v>7948</v>
      </c>
      <c r="C9197" s="349" t="s">
        <v>65</v>
      </c>
      <c r="D9197" s="483">
        <v>726815.8</v>
      </c>
      <c r="E9197" s="483">
        <v>726815.8</v>
      </c>
    </row>
    <row r="9198" spans="1:5" ht="30">
      <c r="A9198" s="484">
        <v>40406</v>
      </c>
      <c r="B9198" s="485" t="s">
        <v>7956</v>
      </c>
      <c r="C9198" s="484" t="s">
        <v>65</v>
      </c>
      <c r="D9198" s="486">
        <v>48385.47</v>
      </c>
      <c r="E9198" s="486">
        <v>48385.47</v>
      </c>
    </row>
    <row r="9199" spans="1:5" ht="30">
      <c r="A9199" s="349">
        <v>40789</v>
      </c>
      <c r="B9199" s="348" t="s">
        <v>7963</v>
      </c>
      <c r="C9199" s="349" t="s">
        <v>65</v>
      </c>
      <c r="D9199" s="483">
        <v>6972.84</v>
      </c>
      <c r="E9199" s="483">
        <v>6972.84</v>
      </c>
    </row>
    <row r="9200" spans="1:5" ht="43.5" customHeight="1">
      <c r="A9200" s="484">
        <v>40791</v>
      </c>
      <c r="B9200" s="485" t="s">
        <v>11468</v>
      </c>
      <c r="C9200" s="484" t="s">
        <v>65</v>
      </c>
      <c r="D9200" s="486">
        <v>21828.03</v>
      </c>
      <c r="E9200" s="486">
        <v>21828.03</v>
      </c>
    </row>
    <row r="9201" spans="1:5" ht="30">
      <c r="A9201" s="349">
        <v>11651</v>
      </c>
      <c r="B9201" s="348" t="s">
        <v>7967</v>
      </c>
      <c r="C9201" s="349" t="s">
        <v>65</v>
      </c>
      <c r="D9201" s="483">
        <v>11938.06</v>
      </c>
      <c r="E9201" s="483">
        <v>11938.06</v>
      </c>
    </row>
    <row r="9202" spans="1:5" ht="30">
      <c r="A9202" s="484">
        <v>40435</v>
      </c>
      <c r="B9202" s="485" t="s">
        <v>7975</v>
      </c>
      <c r="C9202" s="484" t="s">
        <v>65</v>
      </c>
      <c r="D9202" s="486">
        <v>398725</v>
      </c>
      <c r="E9202" s="486">
        <v>398725</v>
      </c>
    </row>
    <row r="9203" spans="1:5" ht="30">
      <c r="A9203" s="349">
        <v>39012</v>
      </c>
      <c r="B9203" s="348" t="s">
        <v>7968</v>
      </c>
      <c r="C9203" s="349" t="s">
        <v>65</v>
      </c>
      <c r="D9203" s="483">
        <v>416014.41</v>
      </c>
      <c r="E9203" s="483">
        <v>416014.41</v>
      </c>
    </row>
    <row r="9204" spans="1:5">
      <c r="A9204" s="484">
        <v>5327</v>
      </c>
      <c r="B9204" s="485" t="s">
        <v>7976</v>
      </c>
      <c r="C9204" s="484" t="s">
        <v>90</v>
      </c>
      <c r="D9204" s="486">
        <v>22.46</v>
      </c>
      <c r="E9204" s="486">
        <v>22.46</v>
      </c>
    </row>
    <row r="9205" spans="1:5" ht="30">
      <c r="A9205" s="349">
        <v>35274</v>
      </c>
      <c r="B9205" s="348" t="s">
        <v>7977</v>
      </c>
      <c r="C9205" s="349" t="s">
        <v>71</v>
      </c>
      <c r="D9205" s="483">
        <v>21.13</v>
      </c>
      <c r="E9205" s="483">
        <v>21.13</v>
      </c>
    </row>
    <row r="9206" spans="1:5" ht="30">
      <c r="A9206" s="484">
        <v>35275</v>
      </c>
      <c r="B9206" s="485" t="s">
        <v>7978</v>
      </c>
      <c r="C9206" s="484" t="s">
        <v>71</v>
      </c>
      <c r="D9206" s="486">
        <v>45.13</v>
      </c>
      <c r="E9206" s="486">
        <v>45.13</v>
      </c>
    </row>
    <row r="9207" spans="1:5" ht="30">
      <c r="A9207" s="349">
        <v>35276</v>
      </c>
      <c r="B9207" s="348" t="s">
        <v>7979</v>
      </c>
      <c r="C9207" s="349" t="s">
        <v>71</v>
      </c>
      <c r="D9207" s="483">
        <v>73.8</v>
      </c>
      <c r="E9207" s="483">
        <v>73.8</v>
      </c>
    </row>
    <row r="9208" spans="1:5">
      <c r="A9208" s="484">
        <v>38386</v>
      </c>
      <c r="B9208" s="485" t="s">
        <v>7980</v>
      </c>
      <c r="C9208" s="484" t="s">
        <v>65</v>
      </c>
      <c r="D9208" s="486">
        <v>3.39</v>
      </c>
      <c r="E9208" s="486">
        <v>3.39</v>
      </c>
    </row>
    <row r="9209" spans="1:5" ht="30">
      <c r="A9209" s="349">
        <v>11091</v>
      </c>
      <c r="B9209" s="348" t="s">
        <v>11469</v>
      </c>
      <c r="C9209" s="349" t="s">
        <v>65</v>
      </c>
      <c r="D9209" s="483">
        <v>0.86</v>
      </c>
      <c r="E9209" s="483">
        <v>0.86</v>
      </c>
    </row>
    <row r="9210" spans="1:5" ht="30">
      <c r="A9210" s="484">
        <v>37586</v>
      </c>
      <c r="B9210" s="485" t="s">
        <v>7984</v>
      </c>
      <c r="C9210" s="484" t="s">
        <v>180</v>
      </c>
      <c r="D9210" s="486">
        <v>53.57</v>
      </c>
      <c r="E9210" s="486">
        <v>53.57</v>
      </c>
    </row>
    <row r="9211" spans="1:5">
      <c r="A9211" s="349">
        <v>37395</v>
      </c>
      <c r="B9211" s="348" t="s">
        <v>7985</v>
      </c>
      <c r="C9211" s="349" t="s">
        <v>180</v>
      </c>
      <c r="D9211" s="483">
        <v>46.06</v>
      </c>
      <c r="E9211" s="483">
        <v>46.06</v>
      </c>
    </row>
    <row r="9212" spans="1:5" ht="30">
      <c r="A9212" s="484">
        <v>14147</v>
      </c>
      <c r="B9212" s="485" t="s">
        <v>7986</v>
      </c>
      <c r="C9212" s="484" t="s">
        <v>180</v>
      </c>
      <c r="D9212" s="486">
        <v>61.1</v>
      </c>
      <c r="E9212" s="486">
        <v>61.1</v>
      </c>
    </row>
    <row r="9213" spans="1:5">
      <c r="A9213" s="349">
        <v>37396</v>
      </c>
      <c r="B9213" s="348" t="s">
        <v>7987</v>
      </c>
      <c r="C9213" s="349" t="s">
        <v>180</v>
      </c>
      <c r="D9213" s="483">
        <v>37.69</v>
      </c>
      <c r="E9213" s="483">
        <v>37.69</v>
      </c>
    </row>
    <row r="9214" spans="1:5">
      <c r="A9214" s="484">
        <v>37397</v>
      </c>
      <c r="B9214" s="485" t="s">
        <v>7988</v>
      </c>
      <c r="C9214" s="484" t="s">
        <v>180</v>
      </c>
      <c r="D9214" s="486">
        <v>39.479999999999997</v>
      </c>
      <c r="E9214" s="486">
        <v>39.479999999999997</v>
      </c>
    </row>
    <row r="9215" spans="1:5">
      <c r="A9215" s="349">
        <v>11559</v>
      </c>
      <c r="B9215" s="348" t="s">
        <v>7989</v>
      </c>
      <c r="C9215" s="349" t="s">
        <v>65</v>
      </c>
      <c r="D9215" s="483">
        <v>3.44</v>
      </c>
      <c r="E9215" s="483">
        <v>3.44</v>
      </c>
    </row>
    <row r="9216" spans="1:5" ht="30">
      <c r="A9216" s="484">
        <v>444</v>
      </c>
      <c r="B9216" s="485" t="s">
        <v>7990</v>
      </c>
      <c r="C9216" s="484" t="s">
        <v>65</v>
      </c>
      <c r="D9216" s="486">
        <v>14.56</v>
      </c>
      <c r="E9216" s="486">
        <v>14.56</v>
      </c>
    </row>
    <row r="9217" spans="1:5" ht="30">
      <c r="A9217" s="349">
        <v>445</v>
      </c>
      <c r="B9217" s="348" t="s">
        <v>7991</v>
      </c>
      <c r="C9217" s="349" t="s">
        <v>65</v>
      </c>
      <c r="D9217" s="483">
        <v>19.93</v>
      </c>
      <c r="E9217" s="483">
        <v>19.93</v>
      </c>
    </row>
    <row r="9218" spans="1:5">
      <c r="A9218" s="484">
        <v>4783</v>
      </c>
      <c r="B9218" s="485" t="s">
        <v>220</v>
      </c>
      <c r="C9218" s="484" t="s">
        <v>57</v>
      </c>
      <c r="D9218" s="486">
        <v>14.74</v>
      </c>
      <c r="E9218" s="486">
        <v>14.74</v>
      </c>
    </row>
    <row r="9219" spans="1:5">
      <c r="A9219" s="349">
        <v>41079</v>
      </c>
      <c r="B9219" s="348" t="s">
        <v>7992</v>
      </c>
      <c r="C9219" s="349" t="s">
        <v>1643</v>
      </c>
      <c r="D9219" s="483">
        <v>2597.41</v>
      </c>
      <c r="E9219" s="483">
        <v>2597.41</v>
      </c>
    </row>
    <row r="9220" spans="1:5">
      <c r="A9220" s="484">
        <v>12874</v>
      </c>
      <c r="B9220" s="485" t="s">
        <v>221</v>
      </c>
      <c r="C9220" s="484" t="s">
        <v>57</v>
      </c>
      <c r="D9220" s="486">
        <v>15.57</v>
      </c>
      <c r="E9220" s="486">
        <v>15.57</v>
      </c>
    </row>
    <row r="9221" spans="1:5">
      <c r="A9221" s="349">
        <v>41082</v>
      </c>
      <c r="B9221" s="348" t="s">
        <v>7993</v>
      </c>
      <c r="C9221" s="349" t="s">
        <v>1643</v>
      </c>
      <c r="D9221" s="483">
        <v>2745.43</v>
      </c>
      <c r="E9221" s="483">
        <v>2745.43</v>
      </c>
    </row>
    <row r="9222" spans="1:5">
      <c r="A9222" s="484">
        <v>4785</v>
      </c>
      <c r="B9222" s="485" t="s">
        <v>7994</v>
      </c>
      <c r="C9222" s="484" t="s">
        <v>57</v>
      </c>
      <c r="D9222" s="486">
        <v>17.53</v>
      </c>
      <c r="E9222" s="486">
        <v>17.53</v>
      </c>
    </row>
    <row r="9223" spans="1:5">
      <c r="A9223" s="349">
        <v>41081</v>
      </c>
      <c r="B9223" s="348" t="s">
        <v>7995</v>
      </c>
      <c r="C9223" s="349" t="s">
        <v>1643</v>
      </c>
      <c r="D9223" s="483">
        <v>3093.09</v>
      </c>
      <c r="E9223" s="483">
        <v>3093.09</v>
      </c>
    </row>
    <row r="9224" spans="1:5">
      <c r="A9224" s="484">
        <v>4801</v>
      </c>
      <c r="B9224" s="485" t="s">
        <v>8061</v>
      </c>
      <c r="C9224" s="484" t="s">
        <v>256</v>
      </c>
      <c r="D9224" s="486">
        <v>42.78</v>
      </c>
      <c r="E9224" s="486">
        <v>42.78</v>
      </c>
    </row>
    <row r="9225" spans="1:5">
      <c r="A9225" s="349">
        <v>4794</v>
      </c>
      <c r="B9225" s="348" t="s">
        <v>8062</v>
      </c>
      <c r="C9225" s="349" t="s">
        <v>256</v>
      </c>
      <c r="D9225" s="483">
        <v>194.86</v>
      </c>
      <c r="E9225" s="483">
        <v>194.86</v>
      </c>
    </row>
    <row r="9226" spans="1:5" ht="30">
      <c r="A9226" s="484">
        <v>4796</v>
      </c>
      <c r="B9226" s="485" t="s">
        <v>11470</v>
      </c>
      <c r="C9226" s="484" t="s">
        <v>256</v>
      </c>
      <c r="D9226" s="486">
        <v>118.36</v>
      </c>
      <c r="E9226" s="486">
        <v>118.36</v>
      </c>
    </row>
    <row r="9227" spans="1:5">
      <c r="A9227" s="349">
        <v>4800</v>
      </c>
      <c r="B9227" s="348" t="s">
        <v>8063</v>
      </c>
      <c r="C9227" s="349" t="s">
        <v>256</v>
      </c>
      <c r="D9227" s="483">
        <v>32.549999999999997</v>
      </c>
      <c r="E9227" s="483">
        <v>32.549999999999997</v>
      </c>
    </row>
    <row r="9228" spans="1:5">
      <c r="A9228" s="484">
        <v>4795</v>
      </c>
      <c r="B9228" s="485" t="s">
        <v>8064</v>
      </c>
      <c r="C9228" s="484" t="s">
        <v>256</v>
      </c>
      <c r="D9228" s="486">
        <v>189.69</v>
      </c>
      <c r="E9228" s="486">
        <v>189.69</v>
      </c>
    </row>
    <row r="9229" spans="1:5" ht="45">
      <c r="A9229" s="349">
        <v>39694</v>
      </c>
      <c r="B9229" s="348" t="s">
        <v>8069</v>
      </c>
      <c r="C9229" s="349" t="s">
        <v>256</v>
      </c>
      <c r="D9229" s="483">
        <v>164.92</v>
      </c>
      <c r="E9229" s="483">
        <v>164.92</v>
      </c>
    </row>
    <row r="9230" spans="1:5" ht="30">
      <c r="A9230" s="484">
        <v>1292</v>
      </c>
      <c r="B9230" s="485" t="s">
        <v>8070</v>
      </c>
      <c r="C9230" s="484" t="s">
        <v>256</v>
      </c>
      <c r="D9230" s="486">
        <v>34.450000000000003</v>
      </c>
      <c r="E9230" s="486">
        <v>34.450000000000003</v>
      </c>
    </row>
    <row r="9231" spans="1:5" ht="30">
      <c r="A9231" s="349">
        <v>1287</v>
      </c>
      <c r="B9231" s="348" t="s">
        <v>8071</v>
      </c>
      <c r="C9231" s="349" t="s">
        <v>256</v>
      </c>
      <c r="D9231" s="483">
        <v>16.899999999999999</v>
      </c>
      <c r="E9231" s="483">
        <v>16.899999999999999</v>
      </c>
    </row>
    <row r="9232" spans="1:5" ht="30">
      <c r="A9232" s="484">
        <v>1297</v>
      </c>
      <c r="B9232" s="485" t="s">
        <v>8072</v>
      </c>
      <c r="C9232" s="484" t="s">
        <v>256</v>
      </c>
      <c r="D9232" s="486">
        <v>14.01</v>
      </c>
      <c r="E9232" s="486">
        <v>14.01</v>
      </c>
    </row>
    <row r="9233" spans="1:5" ht="30">
      <c r="A9233" s="349">
        <v>4786</v>
      </c>
      <c r="B9233" s="348" t="s">
        <v>8077</v>
      </c>
      <c r="C9233" s="349" t="s">
        <v>256</v>
      </c>
      <c r="D9233" s="483">
        <v>32.5</v>
      </c>
      <c r="E9233" s="483">
        <v>32.5</v>
      </c>
    </row>
    <row r="9234" spans="1:5" ht="30">
      <c r="A9234" s="484">
        <v>10840</v>
      </c>
      <c r="B9234" s="485" t="s">
        <v>19675</v>
      </c>
      <c r="C9234" s="484" t="s">
        <v>256</v>
      </c>
      <c r="D9234" s="486">
        <v>160</v>
      </c>
      <c r="E9234" s="486">
        <v>160</v>
      </c>
    </row>
    <row r="9235" spans="1:5" ht="30">
      <c r="A9235" s="349">
        <v>10841</v>
      </c>
      <c r="B9235" s="348" t="s">
        <v>19676</v>
      </c>
      <c r="C9235" s="349" t="s">
        <v>256</v>
      </c>
      <c r="D9235" s="483">
        <v>120.75</v>
      </c>
      <c r="E9235" s="483">
        <v>120.75</v>
      </c>
    </row>
    <row r="9236" spans="1:5" ht="30">
      <c r="A9236" s="484">
        <v>25980</v>
      </c>
      <c r="B9236" s="485" t="s">
        <v>19677</v>
      </c>
      <c r="C9236" s="484" t="s">
        <v>256</v>
      </c>
      <c r="D9236" s="486">
        <v>154.29</v>
      </c>
      <c r="E9236" s="486">
        <v>154.29</v>
      </c>
    </row>
    <row r="9237" spans="1:5" ht="30">
      <c r="A9237" s="349">
        <v>10842</v>
      </c>
      <c r="B9237" s="348" t="s">
        <v>19678</v>
      </c>
      <c r="C9237" s="349" t="s">
        <v>256</v>
      </c>
      <c r="D9237" s="483">
        <v>174.42</v>
      </c>
      <c r="E9237" s="483">
        <v>174.42</v>
      </c>
    </row>
    <row r="9238" spans="1:5" ht="43.5" customHeight="1">
      <c r="A9238" s="484">
        <v>21108</v>
      </c>
      <c r="B9238" s="485" t="s">
        <v>8081</v>
      </c>
      <c r="C9238" s="484" t="s">
        <v>256</v>
      </c>
      <c r="D9238" s="486">
        <v>45.91</v>
      </c>
      <c r="E9238" s="486">
        <v>45.91</v>
      </c>
    </row>
    <row r="9239" spans="1:5">
      <c r="A9239" s="349">
        <v>38180</v>
      </c>
      <c r="B9239" s="348" t="s">
        <v>8082</v>
      </c>
      <c r="C9239" s="349" t="s">
        <v>256</v>
      </c>
      <c r="D9239" s="483">
        <v>95.29</v>
      </c>
      <c r="E9239" s="483">
        <v>95.29</v>
      </c>
    </row>
    <row r="9240" spans="1:5">
      <c r="A9240" s="484">
        <v>40648</v>
      </c>
      <c r="B9240" s="485" t="s">
        <v>19679</v>
      </c>
      <c r="C9240" s="484" t="s">
        <v>256</v>
      </c>
      <c r="D9240" s="486">
        <v>62.4</v>
      </c>
      <c r="E9240" s="486">
        <v>62.4</v>
      </c>
    </row>
    <row r="9241" spans="1:5">
      <c r="A9241" s="349">
        <v>40649</v>
      </c>
      <c r="B9241" s="348" t="s">
        <v>19680</v>
      </c>
      <c r="C9241" s="349" t="s">
        <v>256</v>
      </c>
      <c r="D9241" s="483">
        <v>36.340000000000003</v>
      </c>
      <c r="E9241" s="483">
        <v>36.340000000000003</v>
      </c>
    </row>
    <row r="9242" spans="1:5">
      <c r="A9242" s="484">
        <v>40650</v>
      </c>
      <c r="B9242" s="485" t="s">
        <v>19681</v>
      </c>
      <c r="C9242" s="484" t="s">
        <v>256</v>
      </c>
      <c r="D9242" s="486">
        <v>46.8</v>
      </c>
      <c r="E9242" s="486">
        <v>46.8</v>
      </c>
    </row>
    <row r="9243" spans="1:5">
      <c r="A9243" s="349">
        <v>40651</v>
      </c>
      <c r="B9243" s="348" t="s">
        <v>19682</v>
      </c>
      <c r="C9243" s="349" t="s">
        <v>256</v>
      </c>
      <c r="D9243" s="483">
        <v>86.32</v>
      </c>
      <c r="E9243" s="483">
        <v>86.32</v>
      </c>
    </row>
    <row r="9244" spans="1:5">
      <c r="A9244" s="484">
        <v>40652</v>
      </c>
      <c r="B9244" s="485" t="s">
        <v>19683</v>
      </c>
      <c r="C9244" s="484" t="s">
        <v>256</v>
      </c>
      <c r="D9244" s="486">
        <v>46.28</v>
      </c>
      <c r="E9244" s="486">
        <v>46.28</v>
      </c>
    </row>
    <row r="9245" spans="1:5" ht="30">
      <c r="A9245" s="349">
        <v>40647</v>
      </c>
      <c r="B9245" s="348" t="s">
        <v>19684</v>
      </c>
      <c r="C9245" s="349" t="s">
        <v>256</v>
      </c>
      <c r="D9245" s="483">
        <v>50.96</v>
      </c>
      <c r="E9245" s="483">
        <v>50.96</v>
      </c>
    </row>
    <row r="9246" spans="1:5">
      <c r="A9246" s="484">
        <v>40653</v>
      </c>
      <c r="B9246" s="485" t="s">
        <v>19685</v>
      </c>
      <c r="C9246" s="484" t="s">
        <v>256</v>
      </c>
      <c r="D9246" s="486">
        <v>39</v>
      </c>
      <c r="E9246" s="486">
        <v>39</v>
      </c>
    </row>
    <row r="9247" spans="1:5">
      <c r="A9247" s="349">
        <v>36178</v>
      </c>
      <c r="B9247" s="348" t="s">
        <v>19686</v>
      </c>
      <c r="C9247" s="349" t="s">
        <v>65</v>
      </c>
      <c r="D9247" s="483">
        <v>7.56</v>
      </c>
      <c r="E9247" s="483">
        <v>7.56</v>
      </c>
    </row>
    <row r="9248" spans="1:5">
      <c r="A9248" s="484">
        <v>38195</v>
      </c>
      <c r="B9248" s="485" t="s">
        <v>8092</v>
      </c>
      <c r="C9248" s="484" t="s">
        <v>256</v>
      </c>
      <c r="D9248" s="486">
        <v>54.23</v>
      </c>
      <c r="E9248" s="486">
        <v>54.23</v>
      </c>
    </row>
    <row r="9249" spans="1:5" ht="30">
      <c r="A9249" s="349">
        <v>38181</v>
      </c>
      <c r="B9249" s="348" t="s">
        <v>11471</v>
      </c>
      <c r="C9249" s="349" t="s">
        <v>256</v>
      </c>
      <c r="D9249" s="483">
        <v>130.09</v>
      </c>
      <c r="E9249" s="483">
        <v>130.09</v>
      </c>
    </row>
    <row r="9250" spans="1:5">
      <c r="A9250" s="484">
        <v>38182</v>
      </c>
      <c r="B9250" s="485" t="s">
        <v>11472</v>
      </c>
      <c r="C9250" s="484" t="s">
        <v>256</v>
      </c>
      <c r="D9250" s="486">
        <v>123.91</v>
      </c>
      <c r="E9250" s="486">
        <v>123.91</v>
      </c>
    </row>
    <row r="9251" spans="1:5" ht="30">
      <c r="A9251" s="349">
        <v>38186</v>
      </c>
      <c r="B9251" s="348" t="s">
        <v>11473</v>
      </c>
      <c r="C9251" s="349" t="s">
        <v>256</v>
      </c>
      <c r="D9251" s="483">
        <v>322.10000000000002</v>
      </c>
      <c r="E9251" s="483">
        <v>322.10000000000002</v>
      </c>
    </row>
    <row r="9252" spans="1:5" ht="30">
      <c r="A9252" s="484">
        <v>38185</v>
      </c>
      <c r="B9252" s="485" t="s">
        <v>11474</v>
      </c>
      <c r="C9252" s="484" t="s">
        <v>256</v>
      </c>
      <c r="D9252" s="486">
        <v>286.77999999999997</v>
      </c>
      <c r="E9252" s="486">
        <v>286.77999999999997</v>
      </c>
    </row>
    <row r="9253" spans="1:5" ht="30">
      <c r="A9253" s="349">
        <v>40654</v>
      </c>
      <c r="B9253" s="348" t="s">
        <v>19687</v>
      </c>
      <c r="C9253" s="349" t="s">
        <v>256</v>
      </c>
      <c r="D9253" s="483">
        <v>60.58</v>
      </c>
      <c r="E9253" s="483">
        <v>60.58</v>
      </c>
    </row>
    <row r="9254" spans="1:5" ht="30">
      <c r="A9254" s="484">
        <v>25981</v>
      </c>
      <c r="B9254" s="485" t="s">
        <v>19688</v>
      </c>
      <c r="C9254" s="484" t="s">
        <v>256</v>
      </c>
      <c r="D9254" s="486">
        <v>127.46</v>
      </c>
      <c r="E9254" s="486">
        <v>127.46</v>
      </c>
    </row>
    <row r="9255" spans="1:5" ht="30">
      <c r="A9255" s="349">
        <v>4822</v>
      </c>
      <c r="B9255" s="348" t="s">
        <v>8099</v>
      </c>
      <c r="C9255" s="349" t="s">
        <v>256</v>
      </c>
      <c r="D9255" s="483">
        <v>165.39</v>
      </c>
      <c r="E9255" s="483">
        <v>165.39</v>
      </c>
    </row>
    <row r="9256" spans="1:5" ht="30">
      <c r="A9256" s="484">
        <v>4818</v>
      </c>
      <c r="B9256" s="485" t="s">
        <v>8100</v>
      </c>
      <c r="C9256" s="484" t="s">
        <v>256</v>
      </c>
      <c r="D9256" s="486">
        <v>170</v>
      </c>
      <c r="E9256" s="486">
        <v>170</v>
      </c>
    </row>
    <row r="9257" spans="1:5" ht="30">
      <c r="A9257" s="349">
        <v>39567</v>
      </c>
      <c r="B9257" s="348" t="s">
        <v>8101</v>
      </c>
      <c r="C9257" s="349" t="s">
        <v>256</v>
      </c>
      <c r="D9257" s="483">
        <v>35</v>
      </c>
      <c r="E9257" s="483">
        <v>35</v>
      </c>
    </row>
    <row r="9258" spans="1:5" ht="30">
      <c r="A9258" s="484">
        <v>39566</v>
      </c>
      <c r="B9258" s="485" t="s">
        <v>8102</v>
      </c>
      <c r="C9258" s="484" t="s">
        <v>256</v>
      </c>
      <c r="D9258" s="486">
        <v>40.42</v>
      </c>
      <c r="E9258" s="486">
        <v>40.42</v>
      </c>
    </row>
    <row r="9259" spans="1:5">
      <c r="A9259" s="349">
        <v>11062</v>
      </c>
      <c r="B9259" s="348" t="s">
        <v>8103</v>
      </c>
      <c r="C9259" s="349" t="s">
        <v>256</v>
      </c>
      <c r="D9259" s="483">
        <v>40.03</v>
      </c>
      <c r="E9259" s="483">
        <v>40.03</v>
      </c>
    </row>
    <row r="9260" spans="1:5">
      <c r="A9260" s="484">
        <v>11063</v>
      </c>
      <c r="B9260" s="485" t="s">
        <v>8104</v>
      </c>
      <c r="C9260" s="484" t="s">
        <v>256</v>
      </c>
      <c r="D9260" s="486">
        <v>38.76</v>
      </c>
      <c r="E9260" s="486">
        <v>38.76</v>
      </c>
    </row>
    <row r="9261" spans="1:5">
      <c r="A9261" s="349">
        <v>13521</v>
      </c>
      <c r="B9261" s="348" t="s">
        <v>8105</v>
      </c>
      <c r="C9261" s="349" t="s">
        <v>65</v>
      </c>
      <c r="D9261" s="483">
        <v>78.37</v>
      </c>
      <c r="E9261" s="483">
        <v>78.37</v>
      </c>
    </row>
    <row r="9262" spans="1:5" ht="30">
      <c r="A9262" s="484">
        <v>10851</v>
      </c>
      <c r="B9262" s="485" t="s">
        <v>8106</v>
      </c>
      <c r="C9262" s="484" t="s">
        <v>65</v>
      </c>
      <c r="D9262" s="486">
        <v>25.99</v>
      </c>
      <c r="E9262" s="486">
        <v>25.99</v>
      </c>
    </row>
    <row r="9263" spans="1:5" ht="30">
      <c r="A9263" s="349">
        <v>4812</v>
      </c>
      <c r="B9263" s="348" t="s">
        <v>8107</v>
      </c>
      <c r="C9263" s="349" t="s">
        <v>256</v>
      </c>
      <c r="D9263" s="483">
        <v>9.67</v>
      </c>
      <c r="E9263" s="483">
        <v>9.67</v>
      </c>
    </row>
    <row r="9264" spans="1:5">
      <c r="A9264" s="484">
        <v>10849</v>
      </c>
      <c r="B9264" s="485" t="s">
        <v>8108</v>
      </c>
      <c r="C9264" s="484" t="s">
        <v>65</v>
      </c>
      <c r="D9264" s="486">
        <v>1140.01</v>
      </c>
      <c r="E9264" s="486">
        <v>1140.01</v>
      </c>
    </row>
    <row r="9265" spans="1:5">
      <c r="A9265" s="349">
        <v>10848</v>
      </c>
      <c r="B9265" s="348" t="s">
        <v>8109</v>
      </c>
      <c r="C9265" s="349" t="s">
        <v>65</v>
      </c>
      <c r="D9265" s="483">
        <v>716.06</v>
      </c>
      <c r="E9265" s="483">
        <v>716.06</v>
      </c>
    </row>
    <row r="9266" spans="1:5" ht="30">
      <c r="A9266" s="484">
        <v>4813</v>
      </c>
      <c r="B9266" s="485" t="s">
        <v>8110</v>
      </c>
      <c r="C9266" s="484" t="s">
        <v>256</v>
      </c>
      <c r="D9266" s="486">
        <v>237.5</v>
      </c>
      <c r="E9266" s="486">
        <v>237.5</v>
      </c>
    </row>
    <row r="9267" spans="1:5" ht="45">
      <c r="A9267" s="349">
        <v>37560</v>
      </c>
      <c r="B9267" s="348" t="s">
        <v>8112</v>
      </c>
      <c r="C9267" s="349" t="s">
        <v>65</v>
      </c>
      <c r="D9267" s="483">
        <v>39.369999999999997</v>
      </c>
      <c r="E9267" s="483">
        <v>39.369999999999997</v>
      </c>
    </row>
    <row r="9268" spans="1:5" ht="45">
      <c r="A9268" s="484">
        <v>37557</v>
      </c>
      <c r="B9268" s="485" t="s">
        <v>8113</v>
      </c>
      <c r="C9268" s="484" t="s">
        <v>65</v>
      </c>
      <c r="D9268" s="486">
        <v>11.95</v>
      </c>
      <c r="E9268" s="486">
        <v>11.95</v>
      </c>
    </row>
    <row r="9269" spans="1:5" ht="45">
      <c r="A9269" s="349">
        <v>37556</v>
      </c>
      <c r="B9269" s="348" t="s">
        <v>8114</v>
      </c>
      <c r="C9269" s="349" t="s">
        <v>65</v>
      </c>
      <c r="D9269" s="483">
        <v>23.13</v>
      </c>
      <c r="E9269" s="483">
        <v>23.13</v>
      </c>
    </row>
    <row r="9270" spans="1:5" ht="45">
      <c r="A9270" s="484">
        <v>37559</v>
      </c>
      <c r="B9270" s="485" t="s">
        <v>8115</v>
      </c>
      <c r="C9270" s="484" t="s">
        <v>65</v>
      </c>
      <c r="D9270" s="486">
        <v>28.37</v>
      </c>
      <c r="E9270" s="486">
        <v>28.37</v>
      </c>
    </row>
    <row r="9271" spans="1:5" ht="45">
      <c r="A9271" s="349">
        <v>37539</v>
      </c>
      <c r="B9271" s="348" t="s">
        <v>8116</v>
      </c>
      <c r="C9271" s="349" t="s">
        <v>65</v>
      </c>
      <c r="D9271" s="483">
        <v>20</v>
      </c>
      <c r="E9271" s="483">
        <v>20</v>
      </c>
    </row>
    <row r="9272" spans="1:5" ht="45">
      <c r="A9272" s="484">
        <v>37558</v>
      </c>
      <c r="B9272" s="485" t="s">
        <v>8117</v>
      </c>
      <c r="C9272" s="484" t="s">
        <v>65</v>
      </c>
      <c r="D9272" s="486">
        <v>37.29</v>
      </c>
      <c r="E9272" s="486">
        <v>37.29</v>
      </c>
    </row>
    <row r="9273" spans="1:5">
      <c r="A9273" s="349">
        <v>34723</v>
      </c>
      <c r="B9273" s="348" t="s">
        <v>8118</v>
      </c>
      <c r="C9273" s="349" t="s">
        <v>256</v>
      </c>
      <c r="D9273" s="483">
        <v>548.63</v>
      </c>
      <c r="E9273" s="483">
        <v>548.63</v>
      </c>
    </row>
    <row r="9274" spans="1:5">
      <c r="A9274" s="484">
        <v>34721</v>
      </c>
      <c r="B9274" s="485" t="s">
        <v>8119</v>
      </c>
      <c r="C9274" s="484" t="s">
        <v>256</v>
      </c>
      <c r="D9274" s="486">
        <v>684</v>
      </c>
      <c r="E9274" s="486">
        <v>684</v>
      </c>
    </row>
    <row r="9275" spans="1:5">
      <c r="A9275" s="349">
        <v>4309</v>
      </c>
      <c r="B9275" s="348" t="s">
        <v>8120</v>
      </c>
      <c r="C9275" s="349" t="s">
        <v>65</v>
      </c>
      <c r="D9275" s="483">
        <v>3.88</v>
      </c>
      <c r="E9275" s="483">
        <v>3.88</v>
      </c>
    </row>
    <row r="9276" spans="1:5">
      <c r="A9276" s="484">
        <v>4307</v>
      </c>
      <c r="B9276" s="485" t="s">
        <v>8121</v>
      </c>
      <c r="C9276" s="484" t="s">
        <v>65</v>
      </c>
      <c r="D9276" s="486">
        <v>6.64</v>
      </c>
      <c r="E9276" s="486">
        <v>6.64</v>
      </c>
    </row>
    <row r="9277" spans="1:5">
      <c r="A9277" s="349">
        <v>10850</v>
      </c>
      <c r="B9277" s="348" t="s">
        <v>8123</v>
      </c>
      <c r="C9277" s="349" t="s">
        <v>65</v>
      </c>
      <c r="D9277" s="483">
        <v>35.619999999999997</v>
      </c>
      <c r="E9277" s="483">
        <v>35.619999999999997</v>
      </c>
    </row>
    <row r="9278" spans="1:5" ht="30">
      <c r="A9278" s="484">
        <v>13457</v>
      </c>
      <c r="B9278" s="485" t="s">
        <v>8130</v>
      </c>
      <c r="C9278" s="484" t="s">
        <v>65</v>
      </c>
      <c r="D9278" s="486">
        <v>7903.25</v>
      </c>
      <c r="E9278" s="486">
        <v>7903.25</v>
      </c>
    </row>
    <row r="9279" spans="1:5">
      <c r="A9279" s="349">
        <v>4792</v>
      </c>
      <c r="B9279" s="348" t="s">
        <v>8131</v>
      </c>
      <c r="C9279" s="349" t="s">
        <v>256</v>
      </c>
      <c r="D9279" s="483">
        <v>91.47</v>
      </c>
      <c r="E9279" s="483">
        <v>91.47</v>
      </c>
    </row>
    <row r="9280" spans="1:5" ht="30">
      <c r="A9280" s="484">
        <v>4790</v>
      </c>
      <c r="B9280" s="485" t="s">
        <v>8132</v>
      </c>
      <c r="C9280" s="484" t="s">
        <v>256</v>
      </c>
      <c r="D9280" s="486">
        <v>55</v>
      </c>
      <c r="E9280" s="486">
        <v>55</v>
      </c>
    </row>
    <row r="9281" spans="1:5" ht="30">
      <c r="A9281" s="349">
        <v>40671</v>
      </c>
      <c r="B9281" s="348" t="s">
        <v>19689</v>
      </c>
      <c r="C9281" s="349" t="s">
        <v>256</v>
      </c>
      <c r="D9281" s="483">
        <v>43.13</v>
      </c>
      <c r="E9281" s="483">
        <v>43.13</v>
      </c>
    </row>
    <row r="9282" spans="1:5">
      <c r="A9282" s="484">
        <v>7552</v>
      </c>
      <c r="B9282" s="485" t="s">
        <v>11475</v>
      </c>
      <c r="C9282" s="484" t="s">
        <v>65</v>
      </c>
      <c r="D9282" s="486">
        <v>12.95</v>
      </c>
      <c r="E9282" s="486">
        <v>12.95</v>
      </c>
    </row>
    <row r="9283" spans="1:5">
      <c r="A9283" s="349">
        <v>4893</v>
      </c>
      <c r="B9283" s="348" t="s">
        <v>11476</v>
      </c>
      <c r="C9283" s="349" t="s">
        <v>65</v>
      </c>
      <c r="D9283" s="483">
        <v>6.96</v>
      </c>
      <c r="E9283" s="483">
        <v>6.96</v>
      </c>
    </row>
    <row r="9284" spans="1:5">
      <c r="A9284" s="484">
        <v>4894</v>
      </c>
      <c r="B9284" s="485" t="s">
        <v>11477</v>
      </c>
      <c r="C9284" s="484" t="s">
        <v>65</v>
      </c>
      <c r="D9284" s="486">
        <v>5.97</v>
      </c>
      <c r="E9284" s="486">
        <v>5.97</v>
      </c>
    </row>
    <row r="9285" spans="1:5">
      <c r="A9285" s="349">
        <v>4888</v>
      </c>
      <c r="B9285" s="348" t="s">
        <v>11478</v>
      </c>
      <c r="C9285" s="349" t="s">
        <v>65</v>
      </c>
      <c r="D9285" s="483">
        <v>2.0299999999999998</v>
      </c>
      <c r="E9285" s="483">
        <v>2.0299999999999998</v>
      </c>
    </row>
    <row r="9286" spans="1:5" ht="29.25" customHeight="1">
      <c r="A9286" s="484">
        <v>4890</v>
      </c>
      <c r="B9286" s="485" t="s">
        <v>11479</v>
      </c>
      <c r="C9286" s="484" t="s">
        <v>65</v>
      </c>
      <c r="D9286" s="486">
        <v>3.82</v>
      </c>
      <c r="E9286" s="486">
        <v>3.82</v>
      </c>
    </row>
    <row r="9287" spans="1:5">
      <c r="A9287" s="349">
        <v>12411</v>
      </c>
      <c r="B9287" s="348" t="s">
        <v>11480</v>
      </c>
      <c r="C9287" s="349" t="s">
        <v>65</v>
      </c>
      <c r="D9287" s="483">
        <v>20.58</v>
      </c>
      <c r="E9287" s="483">
        <v>20.58</v>
      </c>
    </row>
    <row r="9288" spans="1:5">
      <c r="A9288" s="484">
        <v>4891</v>
      </c>
      <c r="B9288" s="485" t="s">
        <v>11481</v>
      </c>
      <c r="C9288" s="484" t="s">
        <v>65</v>
      </c>
      <c r="D9288" s="486">
        <v>10.29</v>
      </c>
      <c r="E9288" s="486">
        <v>10.29</v>
      </c>
    </row>
    <row r="9289" spans="1:5">
      <c r="A9289" s="349">
        <v>4889</v>
      </c>
      <c r="B9289" s="348" t="s">
        <v>11482</v>
      </c>
      <c r="C9289" s="349" t="s">
        <v>65</v>
      </c>
      <c r="D9289" s="483">
        <v>2.75</v>
      </c>
      <c r="E9289" s="483">
        <v>2.75</v>
      </c>
    </row>
    <row r="9290" spans="1:5">
      <c r="A9290" s="484">
        <v>4892</v>
      </c>
      <c r="B9290" s="485" t="s">
        <v>11483</v>
      </c>
      <c r="C9290" s="484" t="s">
        <v>65</v>
      </c>
      <c r="D9290" s="486">
        <v>28.82</v>
      </c>
      <c r="E9290" s="486">
        <v>28.82</v>
      </c>
    </row>
    <row r="9291" spans="1:5">
      <c r="A9291" s="349">
        <v>12412</v>
      </c>
      <c r="B9291" s="348" t="s">
        <v>11484</v>
      </c>
      <c r="C9291" s="349" t="s">
        <v>65</v>
      </c>
      <c r="D9291" s="483">
        <v>53.56</v>
      </c>
      <c r="E9291" s="483">
        <v>53.56</v>
      </c>
    </row>
    <row r="9292" spans="1:5">
      <c r="A9292" s="484">
        <v>11073</v>
      </c>
      <c r="B9292" s="485" t="s">
        <v>8136</v>
      </c>
      <c r="C9292" s="484" t="s">
        <v>65</v>
      </c>
      <c r="D9292" s="486">
        <v>7.01</v>
      </c>
      <c r="E9292" s="486">
        <v>7.01</v>
      </c>
    </row>
    <row r="9293" spans="1:5">
      <c r="A9293" s="349">
        <v>11071</v>
      </c>
      <c r="B9293" s="348" t="s">
        <v>223</v>
      </c>
      <c r="C9293" s="349" t="s">
        <v>65</v>
      </c>
      <c r="D9293" s="483">
        <v>8.36</v>
      </c>
      <c r="E9293" s="483">
        <v>8.36</v>
      </c>
    </row>
    <row r="9294" spans="1:5">
      <c r="A9294" s="484">
        <v>11072</v>
      </c>
      <c r="B9294" s="485" t="s">
        <v>224</v>
      </c>
      <c r="C9294" s="484" t="s">
        <v>65</v>
      </c>
      <c r="D9294" s="486">
        <v>3.06</v>
      </c>
      <c r="E9294" s="486">
        <v>3.06</v>
      </c>
    </row>
    <row r="9295" spans="1:5">
      <c r="A9295" s="349">
        <v>4895</v>
      </c>
      <c r="B9295" s="348" t="s">
        <v>8137</v>
      </c>
      <c r="C9295" s="349" t="s">
        <v>65</v>
      </c>
      <c r="D9295" s="483">
        <v>0.51</v>
      </c>
      <c r="E9295" s="483">
        <v>0.51</v>
      </c>
    </row>
    <row r="9296" spans="1:5">
      <c r="A9296" s="484">
        <v>4907</v>
      </c>
      <c r="B9296" s="485" t="s">
        <v>8138</v>
      </c>
      <c r="C9296" s="484" t="s">
        <v>65</v>
      </c>
      <c r="D9296" s="486">
        <v>10.46</v>
      </c>
      <c r="E9296" s="486">
        <v>10.46</v>
      </c>
    </row>
    <row r="9297" spans="1:5">
      <c r="A9297" s="349">
        <v>4904</v>
      </c>
      <c r="B9297" s="348" t="s">
        <v>8139</v>
      </c>
      <c r="C9297" s="349" t="s">
        <v>65</v>
      </c>
      <c r="D9297" s="483">
        <v>84.5</v>
      </c>
      <c r="E9297" s="483">
        <v>84.5</v>
      </c>
    </row>
    <row r="9298" spans="1:5">
      <c r="A9298" s="484">
        <v>4905</v>
      </c>
      <c r="B9298" s="485" t="s">
        <v>8140</v>
      </c>
      <c r="C9298" s="484" t="s">
        <v>65</v>
      </c>
      <c r="D9298" s="486">
        <v>137.82</v>
      </c>
      <c r="E9298" s="486">
        <v>137.82</v>
      </c>
    </row>
    <row r="9299" spans="1:5">
      <c r="A9299" s="349">
        <v>4902</v>
      </c>
      <c r="B9299" s="348" t="s">
        <v>8141</v>
      </c>
      <c r="C9299" s="349" t="s">
        <v>65</v>
      </c>
      <c r="D9299" s="483">
        <v>23.7</v>
      </c>
      <c r="E9299" s="483">
        <v>23.7</v>
      </c>
    </row>
    <row r="9300" spans="1:5">
      <c r="A9300" s="484">
        <v>4908</v>
      </c>
      <c r="B9300" s="485" t="s">
        <v>8142</v>
      </c>
      <c r="C9300" s="484" t="s">
        <v>65</v>
      </c>
      <c r="D9300" s="486">
        <v>34.11</v>
      </c>
      <c r="E9300" s="486">
        <v>34.11</v>
      </c>
    </row>
    <row r="9301" spans="1:5">
      <c r="A9301" s="349">
        <v>4909</v>
      </c>
      <c r="B9301" s="348" t="s">
        <v>8143</v>
      </c>
      <c r="C9301" s="349" t="s">
        <v>65</v>
      </c>
      <c r="D9301" s="483">
        <v>62.53</v>
      </c>
      <c r="E9301" s="483">
        <v>62.53</v>
      </c>
    </row>
    <row r="9302" spans="1:5">
      <c r="A9302" s="484">
        <v>4903</v>
      </c>
      <c r="B9302" s="485" t="s">
        <v>8144</v>
      </c>
      <c r="C9302" s="484" t="s">
        <v>65</v>
      </c>
      <c r="D9302" s="486">
        <v>122.98</v>
      </c>
      <c r="E9302" s="486">
        <v>122.98</v>
      </c>
    </row>
    <row r="9303" spans="1:5">
      <c r="A9303" s="349">
        <v>4897</v>
      </c>
      <c r="B9303" s="348" t="s">
        <v>8145</v>
      </c>
      <c r="C9303" s="349" t="s">
        <v>65</v>
      </c>
      <c r="D9303" s="483">
        <v>1.2</v>
      </c>
      <c r="E9303" s="483">
        <v>1.2</v>
      </c>
    </row>
    <row r="9304" spans="1:5">
      <c r="A9304" s="484">
        <v>4896</v>
      </c>
      <c r="B9304" s="485" t="s">
        <v>8146</v>
      </c>
      <c r="C9304" s="484" t="s">
        <v>65</v>
      </c>
      <c r="D9304" s="486">
        <v>0.51</v>
      </c>
      <c r="E9304" s="486">
        <v>0.51</v>
      </c>
    </row>
    <row r="9305" spans="1:5">
      <c r="A9305" s="349">
        <v>4900</v>
      </c>
      <c r="B9305" s="348" t="s">
        <v>8147</v>
      </c>
      <c r="C9305" s="349" t="s">
        <v>65</v>
      </c>
      <c r="D9305" s="483">
        <v>3.47</v>
      </c>
      <c r="E9305" s="483">
        <v>3.47</v>
      </c>
    </row>
    <row r="9306" spans="1:5">
      <c r="A9306" s="484">
        <v>4898</v>
      </c>
      <c r="B9306" s="485" t="s">
        <v>8148</v>
      </c>
      <c r="C9306" s="484" t="s">
        <v>65</v>
      </c>
      <c r="D9306" s="486">
        <v>1.51</v>
      </c>
      <c r="E9306" s="486">
        <v>1.51</v>
      </c>
    </row>
    <row r="9307" spans="1:5">
      <c r="A9307" s="349">
        <v>4899</v>
      </c>
      <c r="B9307" s="348" t="s">
        <v>8149</v>
      </c>
      <c r="C9307" s="349" t="s">
        <v>65</v>
      </c>
      <c r="D9307" s="483">
        <v>4.7300000000000004</v>
      </c>
      <c r="E9307" s="483">
        <v>4.7300000000000004</v>
      </c>
    </row>
    <row r="9308" spans="1:5">
      <c r="A9308" s="484">
        <v>13946</v>
      </c>
      <c r="B9308" s="485" t="s">
        <v>8153</v>
      </c>
      <c r="C9308" s="484" t="s">
        <v>65</v>
      </c>
      <c r="D9308" s="486">
        <v>314.44</v>
      </c>
      <c r="E9308" s="486">
        <v>314.44</v>
      </c>
    </row>
    <row r="9309" spans="1:5">
      <c r="A9309" s="349">
        <v>13942</v>
      </c>
      <c r="B9309" s="348" t="s">
        <v>8154</v>
      </c>
      <c r="C9309" s="349" t="s">
        <v>65</v>
      </c>
      <c r="D9309" s="483">
        <v>359.17</v>
      </c>
      <c r="E9309" s="483">
        <v>359.17</v>
      </c>
    </row>
    <row r="9310" spans="1:5">
      <c r="A9310" s="484">
        <v>36505</v>
      </c>
      <c r="B9310" s="485" t="s">
        <v>8155</v>
      </c>
      <c r="C9310" s="484" t="s">
        <v>65</v>
      </c>
      <c r="D9310" s="486">
        <v>1257.5999999999999</v>
      </c>
      <c r="E9310" s="486">
        <v>1257.5999999999999</v>
      </c>
    </row>
    <row r="9311" spans="1:5">
      <c r="A9311" s="349">
        <v>36507</v>
      </c>
      <c r="B9311" s="348" t="s">
        <v>8156</v>
      </c>
      <c r="C9311" s="349" t="s">
        <v>65</v>
      </c>
      <c r="D9311" s="483">
        <v>1711.22</v>
      </c>
      <c r="E9311" s="483">
        <v>1711.22</v>
      </c>
    </row>
    <row r="9312" spans="1:5">
      <c r="A9312" s="484">
        <v>36506</v>
      </c>
      <c r="B9312" s="485" t="s">
        <v>8157</v>
      </c>
      <c r="C9312" s="484" t="s">
        <v>65</v>
      </c>
      <c r="D9312" s="486">
        <v>1923.76</v>
      </c>
      <c r="E9312" s="486">
        <v>1923.76</v>
      </c>
    </row>
    <row r="9313" spans="1:5">
      <c r="A9313" s="349">
        <v>13940</v>
      </c>
      <c r="B9313" s="348" t="s">
        <v>8150</v>
      </c>
      <c r="C9313" s="349" t="s">
        <v>65</v>
      </c>
      <c r="D9313" s="483">
        <v>2181.64</v>
      </c>
      <c r="E9313" s="483">
        <v>2181.64</v>
      </c>
    </row>
    <row r="9314" spans="1:5">
      <c r="A9314" s="484">
        <v>13950</v>
      </c>
      <c r="B9314" s="485" t="s">
        <v>8151</v>
      </c>
      <c r="C9314" s="484" t="s">
        <v>65</v>
      </c>
      <c r="D9314" s="486">
        <v>766.47</v>
      </c>
      <c r="E9314" s="486">
        <v>766.47</v>
      </c>
    </row>
    <row r="9315" spans="1:5">
      <c r="A9315" s="349">
        <v>36504</v>
      </c>
      <c r="B9315" s="348" t="s">
        <v>8152</v>
      </c>
      <c r="C9315" s="349" t="s">
        <v>65</v>
      </c>
      <c r="D9315" s="483">
        <v>1382.95</v>
      </c>
      <c r="E9315" s="483">
        <v>1382.95</v>
      </c>
    </row>
    <row r="9316" spans="1:5">
      <c r="A9316" s="484">
        <v>11096</v>
      </c>
      <c r="B9316" s="485" t="s">
        <v>8158</v>
      </c>
      <c r="C9316" s="484" t="s">
        <v>90</v>
      </c>
      <c r="D9316" s="486">
        <v>0.23</v>
      </c>
      <c r="E9316" s="486">
        <v>0.23</v>
      </c>
    </row>
    <row r="9317" spans="1:5">
      <c r="A9317" s="349">
        <v>4741</v>
      </c>
      <c r="B9317" s="348" t="s">
        <v>8159</v>
      </c>
      <c r="C9317" s="349" t="s">
        <v>255</v>
      </c>
      <c r="D9317" s="483">
        <v>43.37</v>
      </c>
      <c r="E9317" s="483">
        <v>43.37</v>
      </c>
    </row>
    <row r="9318" spans="1:5">
      <c r="A9318" s="484">
        <v>4752</v>
      </c>
      <c r="B9318" s="485" t="s">
        <v>8160</v>
      </c>
      <c r="C9318" s="484" t="s">
        <v>57</v>
      </c>
      <c r="D9318" s="486">
        <v>38.72</v>
      </c>
      <c r="E9318" s="486">
        <v>38.72</v>
      </c>
    </row>
    <row r="9319" spans="1:5">
      <c r="A9319" s="349">
        <v>41091</v>
      </c>
      <c r="B9319" s="348" t="s">
        <v>8161</v>
      </c>
      <c r="C9319" s="349" t="s">
        <v>1643</v>
      </c>
      <c r="D9319" s="483">
        <v>6826.17</v>
      </c>
      <c r="E9319" s="483">
        <v>6826.17</v>
      </c>
    </row>
    <row r="9320" spans="1:5" ht="30">
      <c r="A9320" s="484">
        <v>13954</v>
      </c>
      <c r="B9320" s="485" t="s">
        <v>8228</v>
      </c>
      <c r="C9320" s="484" t="s">
        <v>65</v>
      </c>
      <c r="D9320" s="486">
        <v>12462.07</v>
      </c>
      <c r="E9320" s="486">
        <v>12462.07</v>
      </c>
    </row>
    <row r="9321" spans="1:5">
      <c r="A9321" s="349">
        <v>3411</v>
      </c>
      <c r="B9321" s="348" t="s">
        <v>8235</v>
      </c>
      <c r="C9321" s="349" t="s">
        <v>90</v>
      </c>
      <c r="D9321" s="483">
        <v>36.81</v>
      </c>
      <c r="E9321" s="483">
        <v>36.81</v>
      </c>
    </row>
    <row r="9322" spans="1:5">
      <c r="A9322" s="484">
        <v>39995</v>
      </c>
      <c r="B9322" s="485" t="s">
        <v>225</v>
      </c>
      <c r="C9322" s="484" t="s">
        <v>255</v>
      </c>
      <c r="D9322" s="486">
        <v>283.22000000000003</v>
      </c>
      <c r="E9322" s="486">
        <v>283.22000000000003</v>
      </c>
    </row>
    <row r="9323" spans="1:5" ht="30">
      <c r="A9323" s="349">
        <v>11615</v>
      </c>
      <c r="B9323" s="348" t="s">
        <v>8236</v>
      </c>
      <c r="C9323" s="349" t="s">
        <v>256</v>
      </c>
      <c r="D9323" s="483">
        <v>2.4</v>
      </c>
      <c r="E9323" s="483">
        <v>2.4</v>
      </c>
    </row>
    <row r="9324" spans="1:5" ht="30">
      <c r="A9324" s="484">
        <v>3408</v>
      </c>
      <c r="B9324" s="485" t="s">
        <v>8237</v>
      </c>
      <c r="C9324" s="484" t="s">
        <v>256</v>
      </c>
      <c r="D9324" s="486">
        <v>6.38</v>
      </c>
      <c r="E9324" s="486">
        <v>6.38</v>
      </c>
    </row>
    <row r="9325" spans="1:5" ht="30">
      <c r="A9325" s="349">
        <v>3409</v>
      </c>
      <c r="B9325" s="348" t="s">
        <v>8238</v>
      </c>
      <c r="C9325" s="349" t="s">
        <v>256</v>
      </c>
      <c r="D9325" s="483">
        <v>15.95</v>
      </c>
      <c r="E9325" s="483">
        <v>15.95</v>
      </c>
    </row>
    <row r="9326" spans="1:5">
      <c r="A9326" s="484">
        <v>11427</v>
      </c>
      <c r="B9326" s="485" t="s">
        <v>8239</v>
      </c>
      <c r="C9326" s="484" t="s">
        <v>90</v>
      </c>
      <c r="D9326" s="486">
        <v>67.989999999999995</v>
      </c>
      <c r="E9326" s="486">
        <v>67.989999999999995</v>
      </c>
    </row>
    <row r="9327" spans="1:5" ht="30">
      <c r="A9327" s="349">
        <v>26022</v>
      </c>
      <c r="B9327" s="348" t="s">
        <v>8240</v>
      </c>
      <c r="C9327" s="349" t="s">
        <v>65</v>
      </c>
      <c r="D9327" s="483">
        <v>154.36000000000001</v>
      </c>
      <c r="E9327" s="483">
        <v>154.36000000000001</v>
      </c>
    </row>
    <row r="9328" spans="1:5">
      <c r="A9328" s="484">
        <v>421</v>
      </c>
      <c r="B9328" s="485" t="s">
        <v>8253</v>
      </c>
      <c r="C9328" s="484" t="s">
        <v>65</v>
      </c>
      <c r="D9328" s="486">
        <v>8.15</v>
      </c>
      <c r="E9328" s="486">
        <v>8.15</v>
      </c>
    </row>
    <row r="9329" spans="1:5">
      <c r="A9329" s="349">
        <v>12362</v>
      </c>
      <c r="B9329" s="348" t="s">
        <v>8254</v>
      </c>
      <c r="C9329" s="349" t="s">
        <v>65</v>
      </c>
      <c r="D9329" s="483">
        <v>7.91</v>
      </c>
      <c r="E9329" s="483">
        <v>7.91</v>
      </c>
    </row>
    <row r="9330" spans="1:5">
      <c r="A9330" s="484">
        <v>14148</v>
      </c>
      <c r="B9330" s="485" t="s">
        <v>8255</v>
      </c>
      <c r="C9330" s="484" t="s">
        <v>65</v>
      </c>
      <c r="D9330" s="486">
        <v>1.04</v>
      </c>
      <c r="E9330" s="486">
        <v>1.04</v>
      </c>
    </row>
    <row r="9331" spans="1:5">
      <c r="A9331" s="349">
        <v>4341</v>
      </c>
      <c r="B9331" s="348" t="s">
        <v>8256</v>
      </c>
      <c r="C9331" s="349" t="s">
        <v>65</v>
      </c>
      <c r="D9331" s="483">
        <v>0.43</v>
      </c>
      <c r="E9331" s="483">
        <v>0.43</v>
      </c>
    </row>
    <row r="9332" spans="1:5">
      <c r="A9332" s="484">
        <v>4337</v>
      </c>
      <c r="B9332" s="485" t="s">
        <v>8257</v>
      </c>
      <c r="C9332" s="484" t="s">
        <v>65</v>
      </c>
      <c r="D9332" s="486">
        <v>1.0900000000000001</v>
      </c>
      <c r="E9332" s="486">
        <v>1.0900000000000001</v>
      </c>
    </row>
    <row r="9333" spans="1:5">
      <c r="A9333" s="349">
        <v>4339</v>
      </c>
      <c r="B9333" s="348" t="s">
        <v>8259</v>
      </c>
      <c r="C9333" s="349" t="s">
        <v>65</v>
      </c>
      <c r="D9333" s="483">
        <v>0.23</v>
      </c>
      <c r="E9333" s="483">
        <v>0.23</v>
      </c>
    </row>
    <row r="9334" spans="1:5">
      <c r="A9334" s="484">
        <v>39997</v>
      </c>
      <c r="B9334" s="485" t="s">
        <v>8260</v>
      </c>
      <c r="C9334" s="484" t="s">
        <v>65</v>
      </c>
      <c r="D9334" s="486">
        <v>0.13</v>
      </c>
      <c r="E9334" s="486">
        <v>0.13</v>
      </c>
    </row>
    <row r="9335" spans="1:5">
      <c r="A9335" s="349">
        <v>11971</v>
      </c>
      <c r="B9335" s="348" t="s">
        <v>8258</v>
      </c>
      <c r="C9335" s="349" t="s">
        <v>65</v>
      </c>
      <c r="D9335" s="483">
        <v>1.81</v>
      </c>
      <c r="E9335" s="483">
        <v>1.81</v>
      </c>
    </row>
    <row r="9336" spans="1:5">
      <c r="A9336" s="484">
        <v>4342</v>
      </c>
      <c r="B9336" s="485" t="s">
        <v>8261</v>
      </c>
      <c r="C9336" s="484" t="s">
        <v>65</v>
      </c>
      <c r="D9336" s="486">
        <v>0.09</v>
      </c>
      <c r="E9336" s="486">
        <v>0.09</v>
      </c>
    </row>
    <row r="9337" spans="1:5">
      <c r="A9337" s="349">
        <v>4330</v>
      </c>
      <c r="B9337" s="348" t="s">
        <v>8262</v>
      </c>
      <c r="C9337" s="349" t="s">
        <v>65</v>
      </c>
      <c r="D9337" s="483">
        <v>0.06</v>
      </c>
      <c r="E9337" s="483">
        <v>0.06</v>
      </c>
    </row>
    <row r="9338" spans="1:5">
      <c r="A9338" s="484">
        <v>4340</v>
      </c>
      <c r="B9338" s="485" t="s">
        <v>8263</v>
      </c>
      <c r="C9338" s="484" t="s">
        <v>65</v>
      </c>
      <c r="D9338" s="486">
        <v>0.5</v>
      </c>
      <c r="E9338" s="486">
        <v>0.5</v>
      </c>
    </row>
    <row r="9339" spans="1:5">
      <c r="A9339" s="349">
        <v>5088</v>
      </c>
      <c r="B9339" s="348" t="s">
        <v>11485</v>
      </c>
      <c r="C9339" s="349" t="s">
        <v>65</v>
      </c>
      <c r="D9339" s="483">
        <v>2.19</v>
      </c>
      <c r="E9339" s="483">
        <v>2.19</v>
      </c>
    </row>
    <row r="9340" spans="1:5" ht="30">
      <c r="A9340" s="484">
        <v>11154</v>
      </c>
      <c r="B9340" s="485" t="s">
        <v>8265</v>
      </c>
      <c r="C9340" s="484" t="s">
        <v>65</v>
      </c>
      <c r="D9340" s="486">
        <v>746.9</v>
      </c>
      <c r="E9340" s="486">
        <v>746.9</v>
      </c>
    </row>
    <row r="9341" spans="1:5" ht="45">
      <c r="A9341" s="349">
        <v>39021</v>
      </c>
      <c r="B9341" s="348" t="s">
        <v>8266</v>
      </c>
      <c r="C9341" s="349" t="s">
        <v>65</v>
      </c>
      <c r="D9341" s="483">
        <v>293.44</v>
      </c>
      <c r="E9341" s="483">
        <v>293.44</v>
      </c>
    </row>
    <row r="9342" spans="1:5" ht="30">
      <c r="A9342" s="484">
        <v>39022</v>
      </c>
      <c r="B9342" s="485" t="s">
        <v>8267</v>
      </c>
      <c r="C9342" s="484" t="s">
        <v>65</v>
      </c>
      <c r="D9342" s="486">
        <v>362.9</v>
      </c>
      <c r="E9342" s="486">
        <v>362.9</v>
      </c>
    </row>
    <row r="9343" spans="1:5" ht="30">
      <c r="A9343" s="349">
        <v>39024</v>
      </c>
      <c r="B9343" s="348" t="s">
        <v>8268</v>
      </c>
      <c r="C9343" s="349" t="s">
        <v>65</v>
      </c>
      <c r="D9343" s="483">
        <v>872.24</v>
      </c>
      <c r="E9343" s="483">
        <v>872.24</v>
      </c>
    </row>
    <row r="9344" spans="1:5" ht="30">
      <c r="A9344" s="484">
        <v>4914</v>
      </c>
      <c r="B9344" s="485" t="s">
        <v>8269</v>
      </c>
      <c r="C9344" s="484" t="s">
        <v>256</v>
      </c>
      <c r="D9344" s="486">
        <v>707.23</v>
      </c>
      <c r="E9344" s="486">
        <v>707.23</v>
      </c>
    </row>
    <row r="9345" spans="1:5" ht="30">
      <c r="A9345" s="349">
        <v>4917</v>
      </c>
      <c r="B9345" s="348" t="s">
        <v>8270</v>
      </c>
      <c r="C9345" s="349" t="s">
        <v>256</v>
      </c>
      <c r="D9345" s="483">
        <v>488.42</v>
      </c>
      <c r="E9345" s="483">
        <v>488.42</v>
      </c>
    </row>
    <row r="9346" spans="1:5" ht="30">
      <c r="A9346" s="484">
        <v>39025</v>
      </c>
      <c r="B9346" s="485" t="s">
        <v>8271</v>
      </c>
      <c r="C9346" s="484" t="s">
        <v>65</v>
      </c>
      <c r="D9346" s="486">
        <v>894.39</v>
      </c>
      <c r="E9346" s="486">
        <v>894.39</v>
      </c>
    </row>
    <row r="9347" spans="1:5" ht="30">
      <c r="A9347" s="349">
        <v>4930</v>
      </c>
      <c r="B9347" s="348" t="s">
        <v>8272</v>
      </c>
      <c r="C9347" s="349" t="s">
        <v>256</v>
      </c>
      <c r="D9347" s="483">
        <v>351.75</v>
      </c>
      <c r="E9347" s="483">
        <v>351.75</v>
      </c>
    </row>
    <row r="9348" spans="1:5" ht="30">
      <c r="A9348" s="484">
        <v>4922</v>
      </c>
      <c r="B9348" s="485" t="s">
        <v>8277</v>
      </c>
      <c r="C9348" s="484" t="s">
        <v>256</v>
      </c>
      <c r="D9348" s="486">
        <v>453.05</v>
      </c>
      <c r="E9348" s="486">
        <v>453.05</v>
      </c>
    </row>
    <row r="9349" spans="1:5" ht="30">
      <c r="A9349" s="349">
        <v>4911</v>
      </c>
      <c r="B9349" s="348" t="s">
        <v>8278</v>
      </c>
      <c r="C9349" s="349" t="s">
        <v>256</v>
      </c>
      <c r="D9349" s="483">
        <v>235.4</v>
      </c>
      <c r="E9349" s="483">
        <v>235.4</v>
      </c>
    </row>
    <row r="9350" spans="1:5" ht="30">
      <c r="A9350" s="484">
        <v>37518</v>
      </c>
      <c r="B9350" s="485" t="s">
        <v>8279</v>
      </c>
      <c r="C9350" s="484" t="s">
        <v>256</v>
      </c>
      <c r="D9350" s="486">
        <v>300.51</v>
      </c>
      <c r="E9350" s="486">
        <v>300.51</v>
      </c>
    </row>
    <row r="9351" spans="1:5" ht="30">
      <c r="A9351" s="349">
        <v>4910</v>
      </c>
      <c r="B9351" s="348" t="s">
        <v>8280</v>
      </c>
      <c r="C9351" s="349" t="s">
        <v>256</v>
      </c>
      <c r="D9351" s="483">
        <v>235.4</v>
      </c>
      <c r="E9351" s="483">
        <v>235.4</v>
      </c>
    </row>
    <row r="9352" spans="1:5" ht="30">
      <c r="A9352" s="484">
        <v>4943</v>
      </c>
      <c r="B9352" s="485" t="s">
        <v>8281</v>
      </c>
      <c r="C9352" s="484" t="s">
        <v>256</v>
      </c>
      <c r="D9352" s="486">
        <v>373.63</v>
      </c>
      <c r="E9352" s="486">
        <v>373.63</v>
      </c>
    </row>
    <row r="9353" spans="1:5">
      <c r="A9353" s="349">
        <v>4977</v>
      </c>
      <c r="B9353" s="348" t="s">
        <v>8299</v>
      </c>
      <c r="C9353" s="349" t="s">
        <v>256</v>
      </c>
      <c r="D9353" s="483">
        <v>213.37</v>
      </c>
      <c r="E9353" s="483">
        <v>213.37</v>
      </c>
    </row>
    <row r="9354" spans="1:5" ht="30">
      <c r="A9354" s="484">
        <v>11364</v>
      </c>
      <c r="B9354" s="485" t="s">
        <v>11486</v>
      </c>
      <c r="C9354" s="484" t="s">
        <v>65</v>
      </c>
      <c r="D9354" s="486">
        <v>84.74</v>
      </c>
      <c r="E9354" s="486">
        <v>84.74</v>
      </c>
    </row>
    <row r="9355" spans="1:5" ht="30">
      <c r="A9355" s="349">
        <v>11365</v>
      </c>
      <c r="B9355" s="348" t="s">
        <v>11487</v>
      </c>
      <c r="C9355" s="349" t="s">
        <v>65</v>
      </c>
      <c r="D9355" s="483">
        <v>91.27</v>
      </c>
      <c r="E9355" s="483">
        <v>91.27</v>
      </c>
    </row>
    <row r="9356" spans="1:5" ht="30">
      <c r="A9356" s="484">
        <v>11366</v>
      </c>
      <c r="B9356" s="485" t="s">
        <v>11488</v>
      </c>
      <c r="C9356" s="484" t="s">
        <v>65</v>
      </c>
      <c r="D9356" s="486">
        <v>96.59</v>
      </c>
      <c r="E9356" s="486">
        <v>96.59</v>
      </c>
    </row>
    <row r="9357" spans="1:5" ht="30">
      <c r="A9357" s="349">
        <v>11367</v>
      </c>
      <c r="B9357" s="348" t="s">
        <v>11489</v>
      </c>
      <c r="C9357" s="349" t="s">
        <v>256</v>
      </c>
      <c r="D9357" s="483">
        <v>74.400000000000006</v>
      </c>
      <c r="E9357" s="483">
        <v>74.400000000000006</v>
      </c>
    </row>
    <row r="9358" spans="1:5" ht="30">
      <c r="A9358" s="484">
        <v>4989</v>
      </c>
      <c r="B9358" s="485" t="s">
        <v>11490</v>
      </c>
      <c r="C9358" s="484" t="s">
        <v>65</v>
      </c>
      <c r="D9358" s="486">
        <v>193.06</v>
      </c>
      <c r="E9358" s="486">
        <v>193.06</v>
      </c>
    </row>
    <row r="9359" spans="1:5" ht="30">
      <c r="A9359" s="349">
        <v>4982</v>
      </c>
      <c r="B9359" s="348" t="s">
        <v>11491</v>
      </c>
      <c r="C9359" s="349" t="s">
        <v>65</v>
      </c>
      <c r="D9359" s="483">
        <v>167.61</v>
      </c>
      <c r="E9359" s="483">
        <v>167.61</v>
      </c>
    </row>
    <row r="9360" spans="1:5" ht="30">
      <c r="A9360" s="484">
        <v>20322</v>
      </c>
      <c r="B9360" s="485" t="s">
        <v>11492</v>
      </c>
      <c r="C9360" s="484" t="s">
        <v>65</v>
      </c>
      <c r="D9360" s="486">
        <v>147.72</v>
      </c>
      <c r="E9360" s="486">
        <v>147.72</v>
      </c>
    </row>
    <row r="9361" spans="1:5" ht="30">
      <c r="A9361" s="349">
        <v>10553</v>
      </c>
      <c r="B9361" s="348" t="s">
        <v>11493</v>
      </c>
      <c r="C9361" s="349" t="s">
        <v>65</v>
      </c>
      <c r="D9361" s="483">
        <v>157.5</v>
      </c>
      <c r="E9361" s="483">
        <v>157.5</v>
      </c>
    </row>
    <row r="9362" spans="1:5" ht="30">
      <c r="A9362" s="484">
        <v>5020</v>
      </c>
      <c r="B9362" s="485" t="s">
        <v>11494</v>
      </c>
      <c r="C9362" s="484" t="s">
        <v>65</v>
      </c>
      <c r="D9362" s="486">
        <v>163.29</v>
      </c>
      <c r="E9362" s="486">
        <v>163.29</v>
      </c>
    </row>
    <row r="9363" spans="1:5" ht="30">
      <c r="A9363" s="349">
        <v>4962</v>
      </c>
      <c r="B9363" s="348" t="s">
        <v>11495</v>
      </c>
      <c r="C9363" s="349" t="s">
        <v>65</v>
      </c>
      <c r="D9363" s="483">
        <v>159.09</v>
      </c>
      <c r="E9363" s="483">
        <v>159.09</v>
      </c>
    </row>
    <row r="9364" spans="1:5" ht="30">
      <c r="A9364" s="484">
        <v>4981</v>
      </c>
      <c r="B9364" s="485" t="s">
        <v>11496</v>
      </c>
      <c r="C9364" s="484" t="s">
        <v>65</v>
      </c>
      <c r="D9364" s="486">
        <v>112.5</v>
      </c>
      <c r="E9364" s="486">
        <v>112.5</v>
      </c>
    </row>
    <row r="9365" spans="1:5" ht="30">
      <c r="A9365" s="349">
        <v>10554</v>
      </c>
      <c r="B9365" s="348" t="s">
        <v>11497</v>
      </c>
      <c r="C9365" s="349" t="s">
        <v>65</v>
      </c>
      <c r="D9365" s="483">
        <v>176.02</v>
      </c>
      <c r="E9365" s="483">
        <v>176.02</v>
      </c>
    </row>
    <row r="9366" spans="1:5" ht="30">
      <c r="A9366" s="484">
        <v>4964</v>
      </c>
      <c r="B9366" s="485" t="s">
        <v>11498</v>
      </c>
      <c r="C9366" s="484" t="s">
        <v>65</v>
      </c>
      <c r="D9366" s="486">
        <v>193.18</v>
      </c>
      <c r="E9366" s="486">
        <v>193.18</v>
      </c>
    </row>
    <row r="9367" spans="1:5" ht="30">
      <c r="A9367" s="349">
        <v>4992</v>
      </c>
      <c r="B9367" s="348" t="s">
        <v>11499</v>
      </c>
      <c r="C9367" s="349" t="s">
        <v>65</v>
      </c>
      <c r="D9367" s="483">
        <v>191.59</v>
      </c>
      <c r="E9367" s="483">
        <v>191.59</v>
      </c>
    </row>
    <row r="9368" spans="1:5" ht="30">
      <c r="A9368" s="484">
        <v>10555</v>
      </c>
      <c r="B9368" s="485" t="s">
        <v>11500</v>
      </c>
      <c r="C9368" s="484" t="s">
        <v>65</v>
      </c>
      <c r="D9368" s="486">
        <v>169.88</v>
      </c>
      <c r="E9368" s="486">
        <v>169.88</v>
      </c>
    </row>
    <row r="9369" spans="1:5" ht="30">
      <c r="A9369" s="349">
        <v>4987</v>
      </c>
      <c r="B9369" s="348" t="s">
        <v>11501</v>
      </c>
      <c r="C9369" s="349" t="s">
        <v>65</v>
      </c>
      <c r="D9369" s="483">
        <v>176.02</v>
      </c>
      <c r="E9369" s="483">
        <v>176.02</v>
      </c>
    </row>
    <row r="9370" spans="1:5" ht="30">
      <c r="A9370" s="484">
        <v>10556</v>
      </c>
      <c r="B9370" s="485" t="s">
        <v>11502</v>
      </c>
      <c r="C9370" s="484" t="s">
        <v>65</v>
      </c>
      <c r="D9370" s="486">
        <v>180.48</v>
      </c>
      <c r="E9370" s="486">
        <v>180.48</v>
      </c>
    </row>
    <row r="9371" spans="1:5" ht="30">
      <c r="A9371" s="349">
        <v>4958</v>
      </c>
      <c r="B9371" s="348" t="s">
        <v>11503</v>
      </c>
      <c r="C9371" s="349" t="s">
        <v>256</v>
      </c>
      <c r="D9371" s="483">
        <v>103.15</v>
      </c>
      <c r="E9371" s="483">
        <v>103.15</v>
      </c>
    </row>
    <row r="9372" spans="1:5" ht="30">
      <c r="A9372" s="484">
        <v>39502</v>
      </c>
      <c r="B9372" s="485" t="s">
        <v>11504</v>
      </c>
      <c r="C9372" s="484" t="s">
        <v>65</v>
      </c>
      <c r="D9372" s="486">
        <v>249.99</v>
      </c>
      <c r="E9372" s="486">
        <v>249.99</v>
      </c>
    </row>
    <row r="9373" spans="1:5" ht="30">
      <c r="A9373" s="349">
        <v>39504</v>
      </c>
      <c r="B9373" s="348" t="s">
        <v>11505</v>
      </c>
      <c r="C9373" s="349" t="s">
        <v>65</v>
      </c>
      <c r="D9373" s="483">
        <v>177.27</v>
      </c>
      <c r="E9373" s="483">
        <v>177.27</v>
      </c>
    </row>
    <row r="9374" spans="1:5" ht="30">
      <c r="A9374" s="484">
        <v>39503</v>
      </c>
      <c r="B9374" s="485" t="s">
        <v>11506</v>
      </c>
      <c r="C9374" s="484" t="s">
        <v>65</v>
      </c>
      <c r="D9374" s="486">
        <v>271.58999999999997</v>
      </c>
      <c r="E9374" s="486">
        <v>271.58999999999997</v>
      </c>
    </row>
    <row r="9375" spans="1:5" ht="30">
      <c r="A9375" s="349">
        <v>39505</v>
      </c>
      <c r="B9375" s="348" t="s">
        <v>11507</v>
      </c>
      <c r="C9375" s="349" t="s">
        <v>65</v>
      </c>
      <c r="D9375" s="483">
        <v>193.18</v>
      </c>
      <c r="E9375" s="483">
        <v>193.18</v>
      </c>
    </row>
    <row r="9376" spans="1:5">
      <c r="A9376" s="484">
        <v>25969</v>
      </c>
      <c r="B9376" s="485" t="s">
        <v>226</v>
      </c>
      <c r="C9376" s="484" t="s">
        <v>65</v>
      </c>
      <c r="D9376" s="486">
        <v>211.48</v>
      </c>
      <c r="E9376" s="486">
        <v>211.48</v>
      </c>
    </row>
    <row r="9377" spans="1:5" ht="30">
      <c r="A9377" s="349">
        <v>4944</v>
      </c>
      <c r="B9377" s="348" t="s">
        <v>8309</v>
      </c>
      <c r="C9377" s="349" t="s">
        <v>256</v>
      </c>
      <c r="D9377" s="483">
        <v>458.21</v>
      </c>
      <c r="E9377" s="483">
        <v>458.21</v>
      </c>
    </row>
    <row r="9378" spans="1:5">
      <c r="A9378" s="484">
        <v>4969</v>
      </c>
      <c r="B9378" s="485" t="s">
        <v>8311</v>
      </c>
      <c r="C9378" s="484" t="s">
        <v>256</v>
      </c>
      <c r="D9378" s="486">
        <v>253.24</v>
      </c>
      <c r="E9378" s="486">
        <v>253.24</v>
      </c>
    </row>
    <row r="9379" spans="1:5">
      <c r="A9379" s="349">
        <v>5002</v>
      </c>
      <c r="B9379" s="348" t="s">
        <v>8312</v>
      </c>
      <c r="C9379" s="349" t="s">
        <v>256</v>
      </c>
      <c r="D9379" s="483">
        <v>256.17</v>
      </c>
      <c r="E9379" s="483">
        <v>256.17</v>
      </c>
    </row>
    <row r="9380" spans="1:5" ht="30">
      <c r="A9380" s="484">
        <v>5028</v>
      </c>
      <c r="B9380" s="485" t="s">
        <v>19690</v>
      </c>
      <c r="C9380" s="484" t="s">
        <v>256</v>
      </c>
      <c r="D9380" s="486">
        <v>326.97000000000003</v>
      </c>
      <c r="E9380" s="486">
        <v>326.97000000000003</v>
      </c>
    </row>
    <row r="9381" spans="1:5">
      <c r="A9381" s="349">
        <v>4998</v>
      </c>
      <c r="B9381" s="348" t="s">
        <v>8313</v>
      </c>
      <c r="C9381" s="349" t="s">
        <v>256</v>
      </c>
      <c r="D9381" s="483">
        <v>260.52</v>
      </c>
      <c r="E9381" s="483">
        <v>260.52</v>
      </c>
    </row>
    <row r="9382" spans="1:5">
      <c r="A9382" s="484">
        <v>21102</v>
      </c>
      <c r="B9382" s="485" t="s">
        <v>227</v>
      </c>
      <c r="C9382" s="484" t="s">
        <v>65</v>
      </c>
      <c r="D9382" s="486">
        <v>19</v>
      </c>
      <c r="E9382" s="486">
        <v>19</v>
      </c>
    </row>
    <row r="9383" spans="1:5">
      <c r="A9383" s="349">
        <v>21101</v>
      </c>
      <c r="B9383" s="348" t="s">
        <v>228</v>
      </c>
      <c r="C9383" s="349" t="s">
        <v>65</v>
      </c>
      <c r="D9383" s="483">
        <v>12.2</v>
      </c>
      <c r="E9383" s="483">
        <v>12.2</v>
      </c>
    </row>
    <row r="9384" spans="1:5" ht="30">
      <c r="A9384" s="484">
        <v>34713</v>
      </c>
      <c r="B9384" s="485" t="s">
        <v>8314</v>
      </c>
      <c r="C9384" s="484" t="s">
        <v>256</v>
      </c>
      <c r="D9384" s="486">
        <v>137.28</v>
      </c>
      <c r="E9384" s="486">
        <v>137.28</v>
      </c>
    </row>
    <row r="9385" spans="1:5" ht="30">
      <c r="A9385" s="349">
        <v>4947</v>
      </c>
      <c r="B9385" s="348" t="s">
        <v>11509</v>
      </c>
      <c r="C9385" s="349" t="s">
        <v>256</v>
      </c>
      <c r="D9385" s="483">
        <v>329.22</v>
      </c>
      <c r="E9385" s="483">
        <v>329.22</v>
      </c>
    </row>
    <row r="9386" spans="1:5" ht="30">
      <c r="A9386" s="484">
        <v>37563</v>
      </c>
      <c r="B9386" s="485" t="s">
        <v>8315</v>
      </c>
      <c r="C9386" s="484" t="s">
        <v>256</v>
      </c>
      <c r="D9386" s="486">
        <v>347.09</v>
      </c>
      <c r="E9386" s="486">
        <v>347.09</v>
      </c>
    </row>
    <row r="9387" spans="1:5" ht="30">
      <c r="A9387" s="349">
        <v>4948</v>
      </c>
      <c r="B9387" s="348" t="s">
        <v>8317</v>
      </c>
      <c r="C9387" s="349" t="s">
        <v>256</v>
      </c>
      <c r="D9387" s="483">
        <v>315</v>
      </c>
      <c r="E9387" s="483">
        <v>315</v>
      </c>
    </row>
    <row r="9388" spans="1:5" ht="30">
      <c r="A9388" s="484">
        <v>37561</v>
      </c>
      <c r="B9388" s="485" t="s">
        <v>8318</v>
      </c>
      <c r="C9388" s="484" t="s">
        <v>256</v>
      </c>
      <c r="D9388" s="486">
        <v>504.22</v>
      </c>
      <c r="E9388" s="486">
        <v>504.22</v>
      </c>
    </row>
    <row r="9389" spans="1:5" ht="30">
      <c r="A9389" s="349">
        <v>37562</v>
      </c>
      <c r="B9389" s="348" t="s">
        <v>8319</v>
      </c>
      <c r="C9389" s="349" t="s">
        <v>256</v>
      </c>
      <c r="D9389" s="483">
        <v>323.39999999999998</v>
      </c>
      <c r="E9389" s="483">
        <v>323.39999999999998</v>
      </c>
    </row>
    <row r="9390" spans="1:5" ht="30">
      <c r="A9390" s="484">
        <v>37585</v>
      </c>
      <c r="B9390" s="485" t="s">
        <v>8325</v>
      </c>
      <c r="C9390" s="484" t="s">
        <v>65</v>
      </c>
      <c r="D9390" s="486">
        <v>243.53</v>
      </c>
      <c r="E9390" s="486">
        <v>243.53</v>
      </c>
    </row>
    <row r="9391" spans="1:5" ht="30">
      <c r="A9391" s="349">
        <v>14164</v>
      </c>
      <c r="B9391" s="348" t="s">
        <v>8340</v>
      </c>
      <c r="C9391" s="349" t="s">
        <v>65</v>
      </c>
      <c r="D9391" s="483">
        <v>1181.6199999999999</v>
      </c>
      <c r="E9391" s="483">
        <v>1181.6199999999999</v>
      </c>
    </row>
    <row r="9392" spans="1:5" ht="30">
      <c r="A9392" s="484">
        <v>14163</v>
      </c>
      <c r="B9392" s="485" t="s">
        <v>8341</v>
      </c>
      <c r="C9392" s="484" t="s">
        <v>65</v>
      </c>
      <c r="D9392" s="486">
        <v>1342.99</v>
      </c>
      <c r="E9392" s="486">
        <v>1342.99</v>
      </c>
    </row>
    <row r="9393" spans="1:5" ht="30">
      <c r="A9393" s="349">
        <v>5051</v>
      </c>
      <c r="B9393" s="348" t="s">
        <v>19691</v>
      </c>
      <c r="C9393" s="349" t="s">
        <v>65</v>
      </c>
      <c r="D9393" s="483">
        <v>1142.19</v>
      </c>
      <c r="E9393" s="483">
        <v>1142.19</v>
      </c>
    </row>
    <row r="9394" spans="1:5" ht="30">
      <c r="A9394" s="484">
        <v>14162</v>
      </c>
      <c r="B9394" s="485" t="s">
        <v>19692</v>
      </c>
      <c r="C9394" s="484" t="s">
        <v>65</v>
      </c>
      <c r="D9394" s="486">
        <v>1140.53</v>
      </c>
      <c r="E9394" s="486">
        <v>1140.53</v>
      </c>
    </row>
    <row r="9395" spans="1:5" ht="30">
      <c r="A9395" s="349">
        <v>5052</v>
      </c>
      <c r="B9395" s="348" t="s">
        <v>8343</v>
      </c>
      <c r="C9395" s="349" t="s">
        <v>65</v>
      </c>
      <c r="D9395" s="483">
        <v>851</v>
      </c>
      <c r="E9395" s="483">
        <v>851</v>
      </c>
    </row>
    <row r="9396" spans="1:5" ht="30">
      <c r="A9396" s="484">
        <v>14166</v>
      </c>
      <c r="B9396" s="485" t="s">
        <v>8345</v>
      </c>
      <c r="C9396" s="484" t="s">
        <v>65</v>
      </c>
      <c r="D9396" s="486">
        <v>861.8</v>
      </c>
      <c r="E9396" s="486">
        <v>861.8</v>
      </c>
    </row>
    <row r="9397" spans="1:5" ht="30">
      <c r="A9397" s="349">
        <v>14165</v>
      </c>
      <c r="B9397" s="348" t="s">
        <v>8346</v>
      </c>
      <c r="C9397" s="349" t="s">
        <v>65</v>
      </c>
      <c r="D9397" s="483">
        <v>1193.9100000000001</v>
      </c>
      <c r="E9397" s="483">
        <v>1193.9100000000001</v>
      </c>
    </row>
    <row r="9398" spans="1:5" ht="30">
      <c r="A9398" s="484">
        <v>5050</v>
      </c>
      <c r="B9398" s="485" t="s">
        <v>8347</v>
      </c>
      <c r="C9398" s="484" t="s">
        <v>65</v>
      </c>
      <c r="D9398" s="486">
        <v>293.85000000000002</v>
      </c>
      <c r="E9398" s="486">
        <v>293.85000000000002</v>
      </c>
    </row>
    <row r="9399" spans="1:5" ht="30">
      <c r="A9399" s="349">
        <v>12378</v>
      </c>
      <c r="B9399" s="348" t="s">
        <v>8348</v>
      </c>
      <c r="C9399" s="349" t="s">
        <v>65</v>
      </c>
      <c r="D9399" s="483">
        <v>698.46</v>
      </c>
      <c r="E9399" s="483">
        <v>698.46</v>
      </c>
    </row>
    <row r="9400" spans="1:5">
      <c r="A9400" s="484">
        <v>5040</v>
      </c>
      <c r="B9400" s="485" t="s">
        <v>8352</v>
      </c>
      <c r="C9400" s="484" t="s">
        <v>65</v>
      </c>
      <c r="D9400" s="486">
        <v>167.73</v>
      </c>
      <c r="E9400" s="486">
        <v>167.73</v>
      </c>
    </row>
    <row r="9401" spans="1:5">
      <c r="A9401" s="349">
        <v>5054</v>
      </c>
      <c r="B9401" s="348" t="s">
        <v>8353</v>
      </c>
      <c r="C9401" s="349" t="s">
        <v>65</v>
      </c>
      <c r="D9401" s="483">
        <v>244.68</v>
      </c>
      <c r="E9401" s="483">
        <v>244.68</v>
      </c>
    </row>
    <row r="9402" spans="1:5">
      <c r="A9402" s="484">
        <v>12366</v>
      </c>
      <c r="B9402" s="485" t="s">
        <v>8354</v>
      </c>
      <c r="C9402" s="484" t="s">
        <v>65</v>
      </c>
      <c r="D9402" s="486">
        <v>435.62</v>
      </c>
      <c r="E9402" s="486">
        <v>435.62</v>
      </c>
    </row>
    <row r="9403" spans="1:5">
      <c r="A9403" s="349">
        <v>5045</v>
      </c>
      <c r="B9403" s="348" t="s">
        <v>8355</v>
      </c>
      <c r="C9403" s="349" t="s">
        <v>65</v>
      </c>
      <c r="D9403" s="483">
        <v>606.62</v>
      </c>
      <c r="E9403" s="483">
        <v>606.62</v>
      </c>
    </row>
    <row r="9404" spans="1:5">
      <c r="A9404" s="484">
        <v>12367</v>
      </c>
      <c r="B9404" s="485" t="s">
        <v>8356</v>
      </c>
      <c r="C9404" s="484" t="s">
        <v>65</v>
      </c>
      <c r="D9404" s="486">
        <v>1857.16</v>
      </c>
      <c r="E9404" s="486">
        <v>1857.16</v>
      </c>
    </row>
    <row r="9405" spans="1:5">
      <c r="A9405" s="349">
        <v>12368</v>
      </c>
      <c r="B9405" s="348" t="s">
        <v>8357</v>
      </c>
      <c r="C9405" s="349" t="s">
        <v>65</v>
      </c>
      <c r="D9405" s="483">
        <v>3674.55</v>
      </c>
      <c r="E9405" s="483">
        <v>3674.55</v>
      </c>
    </row>
    <row r="9406" spans="1:5">
      <c r="A9406" s="484">
        <v>5042</v>
      </c>
      <c r="B9406" s="485" t="s">
        <v>8358</v>
      </c>
      <c r="C9406" s="484" t="s">
        <v>65</v>
      </c>
      <c r="D9406" s="486">
        <v>316.44</v>
      </c>
      <c r="E9406" s="486">
        <v>316.44</v>
      </c>
    </row>
    <row r="9407" spans="1:5">
      <c r="A9407" s="349">
        <v>5044</v>
      </c>
      <c r="B9407" s="348" t="s">
        <v>8359</v>
      </c>
      <c r="C9407" s="349" t="s">
        <v>65</v>
      </c>
      <c r="D9407" s="483">
        <v>427.97</v>
      </c>
      <c r="E9407" s="483">
        <v>427.97</v>
      </c>
    </row>
    <row r="9408" spans="1:5">
      <c r="A9408" s="484">
        <v>5055</v>
      </c>
      <c r="B9408" s="485" t="s">
        <v>8360</v>
      </c>
      <c r="C9408" s="484" t="s">
        <v>65</v>
      </c>
      <c r="D9408" s="486">
        <v>608.47</v>
      </c>
      <c r="E9408" s="486">
        <v>608.47</v>
      </c>
    </row>
    <row r="9409" spans="1:5">
      <c r="A9409" s="349">
        <v>5041</v>
      </c>
      <c r="B9409" s="348" t="s">
        <v>8361</v>
      </c>
      <c r="C9409" s="349" t="s">
        <v>65</v>
      </c>
      <c r="D9409" s="483">
        <v>224.79</v>
      </c>
      <c r="E9409" s="483">
        <v>224.79</v>
      </c>
    </row>
    <row r="9410" spans="1:5">
      <c r="A9410" s="484">
        <v>5043</v>
      </c>
      <c r="B9410" s="485" t="s">
        <v>8362</v>
      </c>
      <c r="C9410" s="484" t="s">
        <v>65</v>
      </c>
      <c r="D9410" s="486">
        <v>388.2</v>
      </c>
      <c r="E9410" s="486">
        <v>388.2</v>
      </c>
    </row>
    <row r="9411" spans="1:5">
      <c r="A9411" s="349">
        <v>5053</v>
      </c>
      <c r="B9411" s="348" t="s">
        <v>8363</v>
      </c>
      <c r="C9411" s="349" t="s">
        <v>65</v>
      </c>
      <c r="D9411" s="483">
        <v>473.59</v>
      </c>
      <c r="E9411" s="483">
        <v>473.59</v>
      </c>
    </row>
    <row r="9412" spans="1:5">
      <c r="A9412" s="484">
        <v>5035</v>
      </c>
      <c r="B9412" s="485" t="s">
        <v>8364</v>
      </c>
      <c r="C9412" s="484" t="s">
        <v>65</v>
      </c>
      <c r="D9412" s="486">
        <v>774.3</v>
      </c>
      <c r="E9412" s="486">
        <v>774.3</v>
      </c>
    </row>
    <row r="9413" spans="1:5">
      <c r="A9413" s="349">
        <v>5036</v>
      </c>
      <c r="B9413" s="348" t="s">
        <v>8365</v>
      </c>
      <c r="C9413" s="349" t="s">
        <v>65</v>
      </c>
      <c r="D9413" s="483">
        <v>1292.57</v>
      </c>
      <c r="E9413" s="483">
        <v>1292.57</v>
      </c>
    </row>
    <row r="9414" spans="1:5">
      <c r="A9414" s="484">
        <v>5059</v>
      </c>
      <c r="B9414" s="485" t="s">
        <v>8366</v>
      </c>
      <c r="C9414" s="484" t="s">
        <v>65</v>
      </c>
      <c r="D9414" s="486">
        <v>605.58000000000004</v>
      </c>
      <c r="E9414" s="486">
        <v>605.58000000000004</v>
      </c>
    </row>
    <row r="9415" spans="1:5">
      <c r="A9415" s="349">
        <v>5034</v>
      </c>
      <c r="B9415" s="348" t="s">
        <v>8367</v>
      </c>
      <c r="C9415" s="349" t="s">
        <v>65</v>
      </c>
      <c r="D9415" s="483">
        <v>835.64</v>
      </c>
      <c r="E9415" s="483">
        <v>835.64</v>
      </c>
    </row>
    <row r="9416" spans="1:5">
      <c r="A9416" s="484">
        <v>5056</v>
      </c>
      <c r="B9416" s="485" t="s">
        <v>8368</v>
      </c>
      <c r="C9416" s="484" t="s">
        <v>65</v>
      </c>
      <c r="D9416" s="486">
        <v>649.30999999999995</v>
      </c>
      <c r="E9416" s="486">
        <v>649.30999999999995</v>
      </c>
    </row>
    <row r="9417" spans="1:5">
      <c r="A9417" s="349">
        <v>5057</v>
      </c>
      <c r="B9417" s="348" t="s">
        <v>8378</v>
      </c>
      <c r="C9417" s="349" t="s">
        <v>65</v>
      </c>
      <c r="D9417" s="483">
        <v>520.74</v>
      </c>
      <c r="E9417" s="483">
        <v>520.74</v>
      </c>
    </row>
    <row r="9418" spans="1:5">
      <c r="A9418" s="484">
        <v>5033</v>
      </c>
      <c r="B9418" s="485" t="s">
        <v>8379</v>
      </c>
      <c r="C9418" s="484" t="s">
        <v>65</v>
      </c>
      <c r="D9418" s="486">
        <v>432.3</v>
      </c>
      <c r="E9418" s="486">
        <v>432.3</v>
      </c>
    </row>
    <row r="9419" spans="1:5">
      <c r="A9419" s="349">
        <v>5037</v>
      </c>
      <c r="B9419" s="348" t="s">
        <v>8380</v>
      </c>
      <c r="C9419" s="349" t="s">
        <v>65</v>
      </c>
      <c r="D9419" s="483">
        <v>219.32</v>
      </c>
      <c r="E9419" s="483">
        <v>219.32</v>
      </c>
    </row>
    <row r="9420" spans="1:5">
      <c r="A9420" s="484">
        <v>5038</v>
      </c>
      <c r="B9420" s="485" t="s">
        <v>8381</v>
      </c>
      <c r="C9420" s="484" t="s">
        <v>65</v>
      </c>
      <c r="D9420" s="486">
        <v>352.32</v>
      </c>
      <c r="E9420" s="486">
        <v>352.32</v>
      </c>
    </row>
    <row r="9421" spans="1:5">
      <c r="A9421" s="349">
        <v>12374</v>
      </c>
      <c r="B9421" s="348" t="s">
        <v>8373</v>
      </c>
      <c r="C9421" s="349" t="s">
        <v>65</v>
      </c>
      <c r="D9421" s="483">
        <v>216.15</v>
      </c>
      <c r="E9421" s="483">
        <v>216.15</v>
      </c>
    </row>
    <row r="9422" spans="1:5">
      <c r="A9422" s="484">
        <v>12372</v>
      </c>
      <c r="B9422" s="485" t="s">
        <v>8374</v>
      </c>
      <c r="C9422" s="484" t="s">
        <v>65</v>
      </c>
      <c r="D9422" s="486">
        <v>464.29</v>
      </c>
      <c r="E9422" s="486">
        <v>464.29</v>
      </c>
    </row>
    <row r="9423" spans="1:5">
      <c r="A9423" s="349">
        <v>13335</v>
      </c>
      <c r="B9423" s="348" t="s">
        <v>8375</v>
      </c>
      <c r="C9423" s="349" t="s">
        <v>65</v>
      </c>
      <c r="D9423" s="483">
        <v>279.60000000000002</v>
      </c>
      <c r="E9423" s="483">
        <v>279.60000000000002</v>
      </c>
    </row>
    <row r="9424" spans="1:5">
      <c r="A9424" s="484">
        <v>13339</v>
      </c>
      <c r="B9424" s="485" t="s">
        <v>8376</v>
      </c>
      <c r="C9424" s="484" t="s">
        <v>65</v>
      </c>
      <c r="D9424" s="486">
        <v>690.21</v>
      </c>
      <c r="E9424" s="486">
        <v>690.21</v>
      </c>
    </row>
    <row r="9425" spans="1:5">
      <c r="A9425" s="349">
        <v>12373</v>
      </c>
      <c r="B9425" s="348" t="s">
        <v>8377</v>
      </c>
      <c r="C9425" s="349" t="s">
        <v>65</v>
      </c>
      <c r="D9425" s="483">
        <v>722.8</v>
      </c>
      <c r="E9425" s="483">
        <v>722.8</v>
      </c>
    </row>
    <row r="9426" spans="1:5">
      <c r="A9426" s="484">
        <v>34712</v>
      </c>
      <c r="B9426" s="485" t="s">
        <v>8382</v>
      </c>
      <c r="C9426" s="484" t="s">
        <v>65</v>
      </c>
      <c r="D9426" s="486">
        <v>527.4</v>
      </c>
      <c r="E9426" s="486">
        <v>527.4</v>
      </c>
    </row>
    <row r="9427" spans="1:5">
      <c r="A9427" s="349">
        <v>34711</v>
      </c>
      <c r="B9427" s="348" t="s">
        <v>8383</v>
      </c>
      <c r="C9427" s="349" t="s">
        <v>65</v>
      </c>
      <c r="D9427" s="483">
        <v>691.68</v>
      </c>
      <c r="E9427" s="483">
        <v>691.68</v>
      </c>
    </row>
    <row r="9428" spans="1:5">
      <c r="A9428" s="484">
        <v>34706</v>
      </c>
      <c r="B9428" s="485" t="s">
        <v>8384</v>
      </c>
      <c r="C9428" s="484" t="s">
        <v>65</v>
      </c>
      <c r="D9428" s="486">
        <v>1185.3599999999999</v>
      </c>
      <c r="E9428" s="486">
        <v>1185.3599999999999</v>
      </c>
    </row>
    <row r="9429" spans="1:5">
      <c r="A9429" s="349">
        <v>34703</v>
      </c>
      <c r="B9429" s="348" t="s">
        <v>8385</v>
      </c>
      <c r="C9429" s="349" t="s">
        <v>65</v>
      </c>
      <c r="D9429" s="483">
        <v>1988.58</v>
      </c>
      <c r="E9429" s="483">
        <v>1988.58</v>
      </c>
    </row>
    <row r="9430" spans="1:5">
      <c r="A9430" s="484">
        <v>12388</v>
      </c>
      <c r="B9430" s="485" t="s">
        <v>8386</v>
      </c>
      <c r="C9430" s="484" t="s">
        <v>65</v>
      </c>
      <c r="D9430" s="486">
        <v>173.93</v>
      </c>
      <c r="E9430" s="486">
        <v>173.93</v>
      </c>
    </row>
    <row r="9431" spans="1:5">
      <c r="A9431" s="349">
        <v>34695</v>
      </c>
      <c r="B9431" s="348" t="s">
        <v>8387</v>
      </c>
      <c r="C9431" s="349" t="s">
        <v>65</v>
      </c>
      <c r="D9431" s="483">
        <v>497.14</v>
      </c>
      <c r="E9431" s="483">
        <v>497.14</v>
      </c>
    </row>
    <row r="9432" spans="1:5">
      <c r="A9432" s="484">
        <v>34692</v>
      </c>
      <c r="B9432" s="485" t="s">
        <v>8388</v>
      </c>
      <c r="C9432" s="484" t="s">
        <v>65</v>
      </c>
      <c r="D9432" s="486">
        <v>1193.1400000000001</v>
      </c>
      <c r="E9432" s="486">
        <v>1193.1400000000001</v>
      </c>
    </row>
    <row r="9433" spans="1:5">
      <c r="A9433" s="349">
        <v>26028</v>
      </c>
      <c r="B9433" s="348" t="s">
        <v>229</v>
      </c>
      <c r="C9433" s="349" t="s">
        <v>152</v>
      </c>
      <c r="D9433" s="483">
        <v>274.87</v>
      </c>
      <c r="E9433" s="483">
        <v>274.87</v>
      </c>
    </row>
    <row r="9434" spans="1:5" ht="30">
      <c r="A9434" s="484">
        <v>11844</v>
      </c>
      <c r="B9434" s="485" t="s">
        <v>8389</v>
      </c>
      <c r="C9434" s="484" t="s">
        <v>71</v>
      </c>
      <c r="D9434" s="486">
        <v>20.83</v>
      </c>
      <c r="E9434" s="486">
        <v>20.83</v>
      </c>
    </row>
    <row r="9435" spans="1:5" ht="30">
      <c r="A9435" s="349">
        <v>4465</v>
      </c>
      <c r="B9435" s="348" t="s">
        <v>8390</v>
      </c>
      <c r="C9435" s="349" t="s">
        <v>71</v>
      </c>
      <c r="D9435" s="483">
        <v>27.5</v>
      </c>
      <c r="E9435" s="483">
        <v>27.5</v>
      </c>
    </row>
    <row r="9436" spans="1:5" ht="30">
      <c r="A9436" s="484">
        <v>35273</v>
      </c>
      <c r="B9436" s="485" t="s">
        <v>8391</v>
      </c>
      <c r="C9436" s="484" t="s">
        <v>71</v>
      </c>
      <c r="D9436" s="486">
        <v>30.38</v>
      </c>
      <c r="E9436" s="486">
        <v>30.38</v>
      </c>
    </row>
    <row r="9437" spans="1:5" ht="30">
      <c r="A9437" s="349">
        <v>4470</v>
      </c>
      <c r="B9437" s="348" t="s">
        <v>8392</v>
      </c>
      <c r="C9437" s="349" t="s">
        <v>71</v>
      </c>
      <c r="D9437" s="483">
        <v>45.4</v>
      </c>
      <c r="E9437" s="483">
        <v>45.4</v>
      </c>
    </row>
    <row r="9438" spans="1:5" ht="30">
      <c r="A9438" s="484">
        <v>20204</v>
      </c>
      <c r="B9438" s="485" t="s">
        <v>8393</v>
      </c>
      <c r="C9438" s="484" t="s">
        <v>71</v>
      </c>
      <c r="D9438" s="486">
        <v>29.42</v>
      </c>
      <c r="E9438" s="486">
        <v>29.42</v>
      </c>
    </row>
    <row r="9439" spans="1:5" ht="30">
      <c r="A9439" s="349">
        <v>20208</v>
      </c>
      <c r="B9439" s="348" t="s">
        <v>8394</v>
      </c>
      <c r="C9439" s="349" t="s">
        <v>71</v>
      </c>
      <c r="D9439" s="483">
        <v>34.54</v>
      </c>
      <c r="E9439" s="483">
        <v>34.54</v>
      </c>
    </row>
    <row r="9440" spans="1:5" ht="30">
      <c r="A9440" s="484">
        <v>4437</v>
      </c>
      <c r="B9440" s="485" t="s">
        <v>8395</v>
      </c>
      <c r="C9440" s="484" t="s">
        <v>71</v>
      </c>
      <c r="D9440" s="486">
        <v>32.880000000000003</v>
      </c>
      <c r="E9440" s="486">
        <v>32.880000000000003</v>
      </c>
    </row>
    <row r="9441" spans="1:5" ht="30">
      <c r="A9441" s="349">
        <v>14580</v>
      </c>
      <c r="B9441" s="348" t="s">
        <v>8396</v>
      </c>
      <c r="C9441" s="349" t="s">
        <v>71</v>
      </c>
      <c r="D9441" s="483">
        <v>35.799999999999997</v>
      </c>
      <c r="E9441" s="483">
        <v>35.799999999999997</v>
      </c>
    </row>
    <row r="9442" spans="1:5">
      <c r="A9442" s="484">
        <v>40304</v>
      </c>
      <c r="B9442" s="485" t="s">
        <v>8415</v>
      </c>
      <c r="C9442" s="484" t="s">
        <v>90</v>
      </c>
      <c r="D9442" s="486">
        <v>10.64</v>
      </c>
      <c r="E9442" s="486">
        <v>10.64</v>
      </c>
    </row>
    <row r="9443" spans="1:5">
      <c r="A9443" s="349">
        <v>5065</v>
      </c>
      <c r="B9443" s="348" t="s">
        <v>8397</v>
      </c>
      <c r="C9443" s="349" t="s">
        <v>90</v>
      </c>
      <c r="D9443" s="483">
        <v>16.41</v>
      </c>
      <c r="E9443" s="483">
        <v>16.41</v>
      </c>
    </row>
    <row r="9444" spans="1:5">
      <c r="A9444" s="484">
        <v>5072</v>
      </c>
      <c r="B9444" s="485" t="s">
        <v>8398</v>
      </c>
      <c r="C9444" s="484" t="s">
        <v>90</v>
      </c>
      <c r="D9444" s="486">
        <v>15.18</v>
      </c>
      <c r="E9444" s="486">
        <v>15.18</v>
      </c>
    </row>
    <row r="9445" spans="1:5">
      <c r="A9445" s="349">
        <v>5066</v>
      </c>
      <c r="B9445" s="348" t="s">
        <v>8399</v>
      </c>
      <c r="C9445" s="349" t="s">
        <v>90</v>
      </c>
      <c r="D9445" s="483">
        <v>11.36</v>
      </c>
      <c r="E9445" s="483">
        <v>11.36</v>
      </c>
    </row>
    <row r="9446" spans="1:5">
      <c r="A9446" s="484">
        <v>5063</v>
      </c>
      <c r="B9446" s="485" t="s">
        <v>8400</v>
      </c>
      <c r="C9446" s="484" t="s">
        <v>90</v>
      </c>
      <c r="D9446" s="486">
        <v>10.29</v>
      </c>
      <c r="E9446" s="486">
        <v>10.29</v>
      </c>
    </row>
    <row r="9447" spans="1:5">
      <c r="A9447" s="349">
        <v>20247</v>
      </c>
      <c r="B9447" s="348" t="s">
        <v>8401</v>
      </c>
      <c r="C9447" s="349" t="s">
        <v>90</v>
      </c>
      <c r="D9447" s="483">
        <v>9.5500000000000007</v>
      </c>
      <c r="E9447" s="483">
        <v>9.5500000000000007</v>
      </c>
    </row>
    <row r="9448" spans="1:5">
      <c r="A9448" s="484">
        <v>5074</v>
      </c>
      <c r="B9448" s="485" t="s">
        <v>8402</v>
      </c>
      <c r="C9448" s="484" t="s">
        <v>90</v>
      </c>
      <c r="D9448" s="486">
        <v>9.66</v>
      </c>
      <c r="E9448" s="486">
        <v>9.66</v>
      </c>
    </row>
    <row r="9449" spans="1:5">
      <c r="A9449" s="349">
        <v>5067</v>
      </c>
      <c r="B9449" s="348" t="s">
        <v>8403</v>
      </c>
      <c r="C9449" s="349" t="s">
        <v>90</v>
      </c>
      <c r="D9449" s="483">
        <v>9.19</v>
      </c>
      <c r="E9449" s="483">
        <v>9.19</v>
      </c>
    </row>
    <row r="9450" spans="1:5">
      <c r="A9450" s="484">
        <v>5078</v>
      </c>
      <c r="B9450" s="485" t="s">
        <v>8404</v>
      </c>
      <c r="C9450" s="484" t="s">
        <v>90</v>
      </c>
      <c r="D9450" s="486">
        <v>9.09</v>
      </c>
      <c r="E9450" s="486">
        <v>9.09</v>
      </c>
    </row>
    <row r="9451" spans="1:5">
      <c r="A9451" s="349">
        <v>5068</v>
      </c>
      <c r="B9451" s="348" t="s">
        <v>8405</v>
      </c>
      <c r="C9451" s="349" t="s">
        <v>90</v>
      </c>
      <c r="D9451" s="483">
        <v>8.6199999999999992</v>
      </c>
      <c r="E9451" s="483">
        <v>8.6199999999999992</v>
      </c>
    </row>
    <row r="9452" spans="1:5">
      <c r="A9452" s="484">
        <v>5073</v>
      </c>
      <c r="B9452" s="485" t="s">
        <v>8406</v>
      </c>
      <c r="C9452" s="484" t="s">
        <v>90</v>
      </c>
      <c r="D9452" s="486">
        <v>8.7899999999999991</v>
      </c>
      <c r="E9452" s="486">
        <v>8.7899999999999991</v>
      </c>
    </row>
    <row r="9453" spans="1:5">
      <c r="A9453" s="349">
        <v>5069</v>
      </c>
      <c r="B9453" s="348" t="s">
        <v>8407</v>
      </c>
      <c r="C9453" s="349" t="s">
        <v>90</v>
      </c>
      <c r="D9453" s="483">
        <v>8.7899999999999991</v>
      </c>
      <c r="E9453" s="483">
        <v>8.7899999999999991</v>
      </c>
    </row>
    <row r="9454" spans="1:5">
      <c r="A9454" s="484">
        <v>5070</v>
      </c>
      <c r="B9454" s="485" t="s">
        <v>8408</v>
      </c>
      <c r="C9454" s="484" t="s">
        <v>90</v>
      </c>
      <c r="D9454" s="486">
        <v>8.89</v>
      </c>
      <c r="E9454" s="486">
        <v>8.89</v>
      </c>
    </row>
    <row r="9455" spans="1:5">
      <c r="A9455" s="349">
        <v>5071</v>
      </c>
      <c r="B9455" s="348" t="s">
        <v>8409</v>
      </c>
      <c r="C9455" s="349" t="s">
        <v>90</v>
      </c>
      <c r="D9455" s="483">
        <v>8.6199999999999992</v>
      </c>
      <c r="E9455" s="483">
        <v>8.6199999999999992</v>
      </c>
    </row>
    <row r="9456" spans="1:5">
      <c r="A9456" s="484">
        <v>5061</v>
      </c>
      <c r="B9456" s="485" t="s">
        <v>8410</v>
      </c>
      <c r="C9456" s="484" t="s">
        <v>90</v>
      </c>
      <c r="D9456" s="486">
        <v>8.48</v>
      </c>
      <c r="E9456" s="486">
        <v>8.48</v>
      </c>
    </row>
    <row r="9457" spans="1:5">
      <c r="A9457" s="349">
        <v>5075</v>
      </c>
      <c r="B9457" s="348" t="s">
        <v>8411</v>
      </c>
      <c r="C9457" s="349" t="s">
        <v>90</v>
      </c>
      <c r="D9457" s="483">
        <v>8.6199999999999992</v>
      </c>
      <c r="E9457" s="483">
        <v>8.6199999999999992</v>
      </c>
    </row>
    <row r="9458" spans="1:5">
      <c r="A9458" s="484">
        <v>39027</v>
      </c>
      <c r="B9458" s="485" t="s">
        <v>8412</v>
      </c>
      <c r="C9458" s="484" t="s">
        <v>90</v>
      </c>
      <c r="D9458" s="486">
        <v>8.61</v>
      </c>
      <c r="E9458" s="486">
        <v>8.61</v>
      </c>
    </row>
    <row r="9459" spans="1:5">
      <c r="A9459" s="349">
        <v>5062</v>
      </c>
      <c r="B9459" s="348" t="s">
        <v>8413</v>
      </c>
      <c r="C9459" s="349" t="s">
        <v>90</v>
      </c>
      <c r="D9459" s="483">
        <v>8.74</v>
      </c>
      <c r="E9459" s="483">
        <v>8.74</v>
      </c>
    </row>
    <row r="9460" spans="1:5">
      <c r="A9460" s="484">
        <v>40568</v>
      </c>
      <c r="B9460" s="485" t="s">
        <v>8414</v>
      </c>
      <c r="C9460" s="484" t="s">
        <v>90</v>
      </c>
      <c r="D9460" s="486">
        <v>8.69</v>
      </c>
      <c r="E9460" s="486">
        <v>8.69</v>
      </c>
    </row>
    <row r="9461" spans="1:5">
      <c r="A9461" s="349">
        <v>39026</v>
      </c>
      <c r="B9461" s="348" t="s">
        <v>8416</v>
      </c>
      <c r="C9461" s="349" t="s">
        <v>90</v>
      </c>
      <c r="D9461" s="483">
        <v>9.6999999999999993</v>
      </c>
      <c r="E9461" s="483">
        <v>9.6999999999999993</v>
      </c>
    </row>
    <row r="9462" spans="1:5">
      <c r="A9462" s="484">
        <v>11572</v>
      </c>
      <c r="B9462" s="485" t="s">
        <v>8418</v>
      </c>
      <c r="C9462" s="484" t="s">
        <v>65</v>
      </c>
      <c r="D9462" s="486">
        <v>13.78</v>
      </c>
      <c r="E9462" s="486">
        <v>13.78</v>
      </c>
    </row>
    <row r="9463" spans="1:5">
      <c r="A9463" s="349">
        <v>38959</v>
      </c>
      <c r="B9463" s="348" t="s">
        <v>8419</v>
      </c>
      <c r="C9463" s="349" t="s">
        <v>65</v>
      </c>
      <c r="D9463" s="483">
        <v>438.02</v>
      </c>
      <c r="E9463" s="483">
        <v>438.02</v>
      </c>
    </row>
    <row r="9464" spans="1:5">
      <c r="A9464" s="484">
        <v>11149</v>
      </c>
      <c r="B9464" s="485" t="s">
        <v>8425</v>
      </c>
      <c r="C9464" s="484" t="s">
        <v>182</v>
      </c>
      <c r="D9464" s="486">
        <v>131.85</v>
      </c>
      <c r="E9464" s="486">
        <v>131.85</v>
      </c>
    </row>
    <row r="9465" spans="1:5" ht="30">
      <c r="A9465" s="349">
        <v>511</v>
      </c>
      <c r="B9465" s="348" t="s">
        <v>8426</v>
      </c>
      <c r="C9465" s="349" t="s">
        <v>91</v>
      </c>
      <c r="D9465" s="483">
        <v>11.29</v>
      </c>
      <c r="E9465" s="483">
        <v>11.29</v>
      </c>
    </row>
    <row r="9466" spans="1:5">
      <c r="A9466" s="484">
        <v>11174</v>
      </c>
      <c r="B9466" s="485" t="s">
        <v>8427</v>
      </c>
      <c r="C9466" s="484" t="s">
        <v>96</v>
      </c>
      <c r="D9466" s="486">
        <v>374.35</v>
      </c>
      <c r="E9466" s="486">
        <v>374.35</v>
      </c>
    </row>
    <row r="9467" spans="1:5" ht="30">
      <c r="A9467" s="349">
        <v>37540</v>
      </c>
      <c r="B9467" s="348" t="s">
        <v>8428</v>
      </c>
      <c r="C9467" s="349" t="s">
        <v>65</v>
      </c>
      <c r="D9467" s="483">
        <v>50900.21</v>
      </c>
      <c r="E9467" s="483">
        <v>50900.21</v>
      </c>
    </row>
    <row r="9468" spans="1:5" ht="30">
      <c r="A9468" s="484">
        <v>37548</v>
      </c>
      <c r="B9468" s="485" t="s">
        <v>8441</v>
      </c>
      <c r="C9468" s="484" t="s">
        <v>65</v>
      </c>
      <c r="D9468" s="486">
        <v>67467.97</v>
      </c>
      <c r="E9468" s="486">
        <v>67467.97</v>
      </c>
    </row>
    <row r="9469" spans="1:5" ht="30">
      <c r="A9469" s="349">
        <v>39828</v>
      </c>
      <c r="B9469" s="348" t="s">
        <v>8448</v>
      </c>
      <c r="C9469" s="349" t="s">
        <v>65</v>
      </c>
      <c r="D9469" s="483">
        <v>404.74</v>
      </c>
      <c r="E9469" s="483">
        <v>404.74</v>
      </c>
    </row>
    <row r="9470" spans="1:5" ht="45">
      <c r="A9470" s="484">
        <v>12273</v>
      </c>
      <c r="B9470" s="485" t="s">
        <v>8449</v>
      </c>
      <c r="C9470" s="484" t="s">
        <v>65</v>
      </c>
      <c r="D9470" s="486">
        <v>41.74</v>
      </c>
      <c r="E9470" s="486">
        <v>41.74</v>
      </c>
    </row>
    <row r="9471" spans="1:5">
      <c r="A9471" s="349">
        <v>38392</v>
      </c>
      <c r="B9471" s="348" t="s">
        <v>8450</v>
      </c>
      <c r="C9471" s="349" t="s">
        <v>65</v>
      </c>
      <c r="D9471" s="483">
        <v>37.380000000000003</v>
      </c>
      <c r="E9471" s="483">
        <v>37.380000000000003</v>
      </c>
    </row>
    <row r="9472" spans="1:5">
      <c r="A9472" s="484">
        <v>11735</v>
      </c>
      <c r="B9472" s="485" t="s">
        <v>8451</v>
      </c>
      <c r="C9472" s="484" t="s">
        <v>65</v>
      </c>
      <c r="D9472" s="486">
        <v>2.93</v>
      </c>
      <c r="E9472" s="486">
        <v>2.93</v>
      </c>
    </row>
    <row r="9473" spans="1:5">
      <c r="A9473" s="349">
        <v>11733</v>
      </c>
      <c r="B9473" s="348" t="s">
        <v>8452</v>
      </c>
      <c r="C9473" s="349" t="s">
        <v>65</v>
      </c>
      <c r="D9473" s="483">
        <v>1.43</v>
      </c>
      <c r="E9473" s="483">
        <v>1.43</v>
      </c>
    </row>
    <row r="9474" spans="1:5">
      <c r="A9474" s="484">
        <v>11734</v>
      </c>
      <c r="B9474" s="485" t="s">
        <v>8453</v>
      </c>
      <c r="C9474" s="484" t="s">
        <v>65</v>
      </c>
      <c r="D9474" s="486">
        <v>2.21</v>
      </c>
      <c r="E9474" s="486">
        <v>2.21</v>
      </c>
    </row>
    <row r="9475" spans="1:5" ht="43.5" customHeight="1">
      <c r="A9475" s="349">
        <v>11737</v>
      </c>
      <c r="B9475" s="348" t="s">
        <v>8454</v>
      </c>
      <c r="C9475" s="349" t="s">
        <v>65</v>
      </c>
      <c r="D9475" s="483">
        <v>3.91</v>
      </c>
      <c r="E9475" s="483">
        <v>3.91</v>
      </c>
    </row>
    <row r="9476" spans="1:5">
      <c r="A9476" s="484">
        <v>11738</v>
      </c>
      <c r="B9476" s="485" t="s">
        <v>8455</v>
      </c>
      <c r="C9476" s="484" t="s">
        <v>65</v>
      </c>
      <c r="D9476" s="486">
        <v>6.36</v>
      </c>
      <c r="E9476" s="486">
        <v>6.36</v>
      </c>
    </row>
    <row r="9477" spans="1:5">
      <c r="A9477" s="349">
        <v>36143</v>
      </c>
      <c r="B9477" s="348" t="s">
        <v>8462</v>
      </c>
      <c r="C9477" s="349" t="s">
        <v>65</v>
      </c>
      <c r="D9477" s="483">
        <v>19.47</v>
      </c>
      <c r="E9477" s="483">
        <v>19.47</v>
      </c>
    </row>
    <row r="9478" spans="1:5">
      <c r="A9478" s="484">
        <v>36142</v>
      </c>
      <c r="B9478" s="485" t="s">
        <v>8463</v>
      </c>
      <c r="C9478" s="484" t="s">
        <v>65</v>
      </c>
      <c r="D9478" s="486">
        <v>1.42</v>
      </c>
      <c r="E9478" s="486">
        <v>1.42</v>
      </c>
    </row>
    <row r="9479" spans="1:5">
      <c r="A9479" s="349">
        <v>36146</v>
      </c>
      <c r="B9479" s="348" t="s">
        <v>230</v>
      </c>
      <c r="C9479" s="349" t="s">
        <v>65</v>
      </c>
      <c r="D9479" s="483">
        <v>161.5</v>
      </c>
      <c r="E9479" s="483">
        <v>161.5</v>
      </c>
    </row>
    <row r="9480" spans="1:5" ht="30">
      <c r="A9480" s="484">
        <v>39015</v>
      </c>
      <c r="B9480" s="485" t="s">
        <v>19693</v>
      </c>
      <c r="C9480" s="484" t="s">
        <v>65</v>
      </c>
      <c r="D9480" s="486">
        <v>0.38</v>
      </c>
      <c r="E9480" s="486">
        <v>0.38</v>
      </c>
    </row>
    <row r="9481" spans="1:5">
      <c r="A9481" s="349">
        <v>38377</v>
      </c>
      <c r="B9481" s="348" t="s">
        <v>8464</v>
      </c>
      <c r="C9481" s="349" t="s">
        <v>65</v>
      </c>
      <c r="D9481" s="483">
        <v>20.309999999999999</v>
      </c>
      <c r="E9481" s="483">
        <v>20.309999999999999</v>
      </c>
    </row>
    <row r="9482" spans="1:5" ht="29.25" customHeight="1">
      <c r="A9482" s="484">
        <v>38376</v>
      </c>
      <c r="B9482" s="485" t="s">
        <v>8465</v>
      </c>
      <c r="C9482" s="484" t="s">
        <v>65</v>
      </c>
      <c r="D9482" s="486">
        <v>23.15</v>
      </c>
      <c r="E9482" s="486">
        <v>23.15</v>
      </c>
    </row>
    <row r="9483" spans="1:5">
      <c r="A9483" s="349">
        <v>38116</v>
      </c>
      <c r="B9483" s="348" t="s">
        <v>11510</v>
      </c>
      <c r="C9483" s="349" t="s">
        <v>65</v>
      </c>
      <c r="D9483" s="483">
        <v>4.4000000000000004</v>
      </c>
      <c r="E9483" s="483">
        <v>4.4000000000000004</v>
      </c>
    </row>
    <row r="9484" spans="1:5" ht="30">
      <c r="A9484" s="484">
        <v>38066</v>
      </c>
      <c r="B9484" s="485" t="s">
        <v>11511</v>
      </c>
      <c r="C9484" s="484" t="s">
        <v>65</v>
      </c>
      <c r="D9484" s="486">
        <v>7.27</v>
      </c>
      <c r="E9484" s="486">
        <v>7.27</v>
      </c>
    </row>
    <row r="9485" spans="1:5">
      <c r="A9485" s="349">
        <v>38117</v>
      </c>
      <c r="B9485" s="348" t="s">
        <v>11512</v>
      </c>
      <c r="C9485" s="349" t="s">
        <v>65</v>
      </c>
      <c r="D9485" s="483">
        <v>7.5</v>
      </c>
      <c r="E9485" s="483">
        <v>7.5</v>
      </c>
    </row>
    <row r="9486" spans="1:5" ht="30">
      <c r="A9486" s="484">
        <v>38067</v>
      </c>
      <c r="B9486" s="485" t="s">
        <v>11513</v>
      </c>
      <c r="C9486" s="484" t="s">
        <v>65</v>
      </c>
      <c r="D9486" s="486">
        <v>10.23</v>
      </c>
      <c r="E9486" s="486">
        <v>10.23</v>
      </c>
    </row>
    <row r="9487" spans="1:5" ht="30">
      <c r="A9487" s="349">
        <v>5080</v>
      </c>
      <c r="B9487" s="348" t="s">
        <v>8473</v>
      </c>
      <c r="C9487" s="349" t="s">
        <v>65</v>
      </c>
      <c r="D9487" s="483">
        <v>9.77</v>
      </c>
      <c r="E9487" s="483">
        <v>9.77</v>
      </c>
    </row>
    <row r="9488" spans="1:5" ht="45">
      <c r="A9488" s="484">
        <v>11522</v>
      </c>
      <c r="B9488" s="485" t="s">
        <v>8474</v>
      </c>
      <c r="C9488" s="484" t="s">
        <v>65</v>
      </c>
      <c r="D9488" s="486">
        <v>12.21</v>
      </c>
      <c r="E9488" s="486">
        <v>12.21</v>
      </c>
    </row>
    <row r="9489" spans="1:5" ht="45">
      <c r="A9489" s="349">
        <v>11523</v>
      </c>
      <c r="B9489" s="348" t="s">
        <v>8475</v>
      </c>
      <c r="C9489" s="349" t="s">
        <v>65</v>
      </c>
      <c r="D9489" s="483">
        <v>11.43</v>
      </c>
      <c r="E9489" s="483">
        <v>11.43</v>
      </c>
    </row>
    <row r="9490" spans="1:5" ht="30">
      <c r="A9490" s="484">
        <v>11524</v>
      </c>
      <c r="B9490" s="485" t="s">
        <v>8476</v>
      </c>
      <c r="C9490" s="484" t="s">
        <v>65</v>
      </c>
      <c r="D9490" s="486">
        <v>23.54</v>
      </c>
      <c r="E9490" s="486">
        <v>23.54</v>
      </c>
    </row>
    <row r="9491" spans="1:5" ht="30">
      <c r="A9491" s="349">
        <v>38168</v>
      </c>
      <c r="B9491" s="348" t="s">
        <v>8477</v>
      </c>
      <c r="C9491" s="349" t="s">
        <v>65</v>
      </c>
      <c r="D9491" s="483">
        <v>113.61</v>
      </c>
      <c r="E9491" s="483">
        <v>113.61</v>
      </c>
    </row>
    <row r="9492" spans="1:5" ht="30">
      <c r="A9492" s="484">
        <v>13393</v>
      </c>
      <c r="B9492" s="485" t="s">
        <v>8478</v>
      </c>
      <c r="C9492" s="484" t="s">
        <v>65</v>
      </c>
      <c r="D9492" s="486">
        <v>165.49</v>
      </c>
      <c r="E9492" s="486">
        <v>165.49</v>
      </c>
    </row>
    <row r="9493" spans="1:5" ht="30">
      <c r="A9493" s="349">
        <v>13395</v>
      </c>
      <c r="B9493" s="348" t="s">
        <v>8479</v>
      </c>
      <c r="C9493" s="349" t="s">
        <v>65</v>
      </c>
      <c r="D9493" s="483">
        <v>198.44</v>
      </c>
      <c r="E9493" s="483">
        <v>198.44</v>
      </c>
    </row>
    <row r="9494" spans="1:5" ht="30">
      <c r="A9494" s="484">
        <v>12039</v>
      </c>
      <c r="B9494" s="485" t="s">
        <v>8480</v>
      </c>
      <c r="C9494" s="484" t="s">
        <v>65</v>
      </c>
      <c r="D9494" s="486">
        <v>265.52999999999997</v>
      </c>
      <c r="E9494" s="486">
        <v>265.52999999999997</v>
      </c>
    </row>
    <row r="9495" spans="1:5" ht="30">
      <c r="A9495" s="349">
        <v>13396</v>
      </c>
      <c r="B9495" s="348" t="s">
        <v>8481</v>
      </c>
      <c r="C9495" s="349" t="s">
        <v>65</v>
      </c>
      <c r="D9495" s="483">
        <v>424.7</v>
      </c>
      <c r="E9495" s="483">
        <v>424.7</v>
      </c>
    </row>
    <row r="9496" spans="1:5" ht="30">
      <c r="A9496" s="484">
        <v>13397</v>
      </c>
      <c r="B9496" s="485" t="s">
        <v>8482</v>
      </c>
      <c r="C9496" s="484" t="s">
        <v>65</v>
      </c>
      <c r="D9496" s="486">
        <v>429.26</v>
      </c>
      <c r="E9496" s="486">
        <v>429.26</v>
      </c>
    </row>
    <row r="9497" spans="1:5" ht="30">
      <c r="A9497" s="349">
        <v>12041</v>
      </c>
      <c r="B9497" s="348" t="s">
        <v>8483</v>
      </c>
      <c r="C9497" s="349" t="s">
        <v>65</v>
      </c>
      <c r="D9497" s="483">
        <v>580.91999999999996</v>
      </c>
      <c r="E9497" s="483">
        <v>580.91999999999996</v>
      </c>
    </row>
    <row r="9498" spans="1:5" ht="30">
      <c r="A9498" s="484">
        <v>12043</v>
      </c>
      <c r="B9498" s="485" t="s">
        <v>8484</v>
      </c>
      <c r="C9498" s="484" t="s">
        <v>65</v>
      </c>
      <c r="D9498" s="486">
        <v>669.85</v>
      </c>
      <c r="E9498" s="486">
        <v>669.85</v>
      </c>
    </row>
    <row r="9499" spans="1:5" ht="30">
      <c r="A9499" s="349">
        <v>39762</v>
      </c>
      <c r="B9499" s="348" t="s">
        <v>8485</v>
      </c>
      <c r="C9499" s="349" t="s">
        <v>65</v>
      </c>
      <c r="D9499" s="483">
        <v>452.56</v>
      </c>
      <c r="E9499" s="483">
        <v>452.56</v>
      </c>
    </row>
    <row r="9500" spans="1:5" ht="30">
      <c r="A9500" s="484">
        <v>12042</v>
      </c>
      <c r="B9500" s="485" t="s">
        <v>8486</v>
      </c>
      <c r="C9500" s="484" t="s">
        <v>65</v>
      </c>
      <c r="D9500" s="486">
        <v>452.67</v>
      </c>
      <c r="E9500" s="486">
        <v>452.67</v>
      </c>
    </row>
    <row r="9501" spans="1:5" ht="30">
      <c r="A9501" s="349">
        <v>39763</v>
      </c>
      <c r="B9501" s="348" t="s">
        <v>8487</v>
      </c>
      <c r="C9501" s="349" t="s">
        <v>65</v>
      </c>
      <c r="D9501" s="483">
        <v>683</v>
      </c>
      <c r="E9501" s="483">
        <v>683</v>
      </c>
    </row>
    <row r="9502" spans="1:5" ht="30">
      <c r="A9502" s="484">
        <v>39756</v>
      </c>
      <c r="B9502" s="485" t="s">
        <v>8488</v>
      </c>
      <c r="C9502" s="484" t="s">
        <v>65</v>
      </c>
      <c r="D9502" s="486">
        <v>207.07</v>
      </c>
      <c r="E9502" s="486">
        <v>207.07</v>
      </c>
    </row>
    <row r="9503" spans="1:5" ht="30">
      <c r="A9503" s="349">
        <v>12038</v>
      </c>
      <c r="B9503" s="348" t="s">
        <v>8489</v>
      </c>
      <c r="C9503" s="349" t="s">
        <v>65</v>
      </c>
      <c r="D9503" s="483">
        <v>231.18</v>
      </c>
      <c r="E9503" s="483">
        <v>231.18</v>
      </c>
    </row>
    <row r="9504" spans="1:5" ht="30">
      <c r="A9504" s="484">
        <v>12040</v>
      </c>
      <c r="B9504" s="485" t="s">
        <v>8490</v>
      </c>
      <c r="C9504" s="484" t="s">
        <v>65</v>
      </c>
      <c r="D9504" s="486">
        <v>295.38</v>
      </c>
      <c r="E9504" s="486">
        <v>295.38</v>
      </c>
    </row>
    <row r="9505" spans="1:5" ht="30">
      <c r="A9505" s="349">
        <v>39757</v>
      </c>
      <c r="B9505" s="348" t="s">
        <v>8491</v>
      </c>
      <c r="C9505" s="349" t="s">
        <v>65</v>
      </c>
      <c r="D9505" s="483">
        <v>315.85000000000002</v>
      </c>
      <c r="E9505" s="483">
        <v>315.85000000000002</v>
      </c>
    </row>
    <row r="9506" spans="1:5" ht="30">
      <c r="A9506" s="484">
        <v>39758</v>
      </c>
      <c r="B9506" s="485" t="s">
        <v>8492</v>
      </c>
      <c r="C9506" s="484" t="s">
        <v>65</v>
      </c>
      <c r="D9506" s="486">
        <v>409.98</v>
      </c>
      <c r="E9506" s="486">
        <v>409.98</v>
      </c>
    </row>
    <row r="9507" spans="1:5" ht="30">
      <c r="A9507" s="349">
        <v>39759</v>
      </c>
      <c r="B9507" s="348" t="s">
        <v>8493</v>
      </c>
      <c r="C9507" s="349" t="s">
        <v>65</v>
      </c>
      <c r="D9507" s="483">
        <v>560.16</v>
      </c>
      <c r="E9507" s="483">
        <v>560.16</v>
      </c>
    </row>
    <row r="9508" spans="1:5" ht="30">
      <c r="A9508" s="484">
        <v>39760</v>
      </c>
      <c r="B9508" s="485" t="s">
        <v>8494</v>
      </c>
      <c r="C9508" s="484" t="s">
        <v>65</v>
      </c>
      <c r="D9508" s="486">
        <v>562.73</v>
      </c>
      <c r="E9508" s="486">
        <v>562.73</v>
      </c>
    </row>
    <row r="9509" spans="1:5" ht="30">
      <c r="A9509" s="349">
        <v>39761</v>
      </c>
      <c r="B9509" s="348" t="s">
        <v>8495</v>
      </c>
      <c r="C9509" s="349" t="s">
        <v>65</v>
      </c>
      <c r="D9509" s="483">
        <v>720.21</v>
      </c>
      <c r="E9509" s="483">
        <v>720.21</v>
      </c>
    </row>
    <row r="9510" spans="1:5" ht="30">
      <c r="A9510" s="484">
        <v>39765</v>
      </c>
      <c r="B9510" s="485" t="s">
        <v>8508</v>
      </c>
      <c r="C9510" s="484" t="s">
        <v>65</v>
      </c>
      <c r="D9510" s="486">
        <v>31.97</v>
      </c>
      <c r="E9510" s="486">
        <v>31.97</v>
      </c>
    </row>
    <row r="9511" spans="1:5" ht="30">
      <c r="A9511" s="349">
        <v>13399</v>
      </c>
      <c r="B9511" s="348" t="s">
        <v>8509</v>
      </c>
      <c r="C9511" s="349" t="s">
        <v>65</v>
      </c>
      <c r="D9511" s="483">
        <v>18.18</v>
      </c>
      <c r="E9511" s="483">
        <v>18.18</v>
      </c>
    </row>
    <row r="9512" spans="1:5" ht="30">
      <c r="A9512" s="484">
        <v>39764</v>
      </c>
      <c r="B9512" s="485" t="s">
        <v>8510</v>
      </c>
      <c r="C9512" s="484" t="s">
        <v>65</v>
      </c>
      <c r="D9512" s="486">
        <v>25.01</v>
      </c>
      <c r="E9512" s="486">
        <v>25.01</v>
      </c>
    </row>
    <row r="9513" spans="1:5" ht="30">
      <c r="A9513" s="349">
        <v>39805</v>
      </c>
      <c r="B9513" s="348" t="s">
        <v>19694</v>
      </c>
      <c r="C9513" s="349" t="s">
        <v>65</v>
      </c>
      <c r="D9513" s="483">
        <v>108.8</v>
      </c>
      <c r="E9513" s="483">
        <v>108.8</v>
      </c>
    </row>
    <row r="9514" spans="1:5" ht="30">
      <c r="A9514" s="484">
        <v>39806</v>
      </c>
      <c r="B9514" s="485" t="s">
        <v>19695</v>
      </c>
      <c r="C9514" s="484" t="s">
        <v>65</v>
      </c>
      <c r="D9514" s="486">
        <v>205.47</v>
      </c>
      <c r="E9514" s="486">
        <v>205.47</v>
      </c>
    </row>
    <row r="9515" spans="1:5" ht="30">
      <c r="A9515" s="349">
        <v>39807</v>
      </c>
      <c r="B9515" s="348" t="s">
        <v>19696</v>
      </c>
      <c r="C9515" s="349" t="s">
        <v>65</v>
      </c>
      <c r="D9515" s="483">
        <v>289.66000000000003</v>
      </c>
      <c r="E9515" s="483">
        <v>289.66000000000003</v>
      </c>
    </row>
    <row r="9516" spans="1:5" ht="30">
      <c r="A9516" s="484">
        <v>39804</v>
      </c>
      <c r="B9516" s="485" t="s">
        <v>19697</v>
      </c>
      <c r="C9516" s="484" t="s">
        <v>65</v>
      </c>
      <c r="D9516" s="486">
        <v>61.09</v>
      </c>
      <c r="E9516" s="486">
        <v>61.09</v>
      </c>
    </row>
    <row r="9517" spans="1:5" ht="30">
      <c r="A9517" s="349">
        <v>39796</v>
      </c>
      <c r="B9517" s="348" t="s">
        <v>19698</v>
      </c>
      <c r="C9517" s="349" t="s">
        <v>65</v>
      </c>
      <c r="D9517" s="483">
        <v>62.26</v>
      </c>
      <c r="E9517" s="483">
        <v>62.26</v>
      </c>
    </row>
    <row r="9518" spans="1:5" ht="30">
      <c r="A9518" s="484">
        <v>39797</v>
      </c>
      <c r="B9518" s="485" t="s">
        <v>19699</v>
      </c>
      <c r="C9518" s="484" t="s">
        <v>65</v>
      </c>
      <c r="D9518" s="486">
        <v>82.67</v>
      </c>
      <c r="E9518" s="486">
        <v>82.67</v>
      </c>
    </row>
    <row r="9519" spans="1:5" ht="30">
      <c r="A9519" s="349">
        <v>39798</v>
      </c>
      <c r="B9519" s="348" t="s">
        <v>19700</v>
      </c>
      <c r="C9519" s="349" t="s">
        <v>65</v>
      </c>
      <c r="D9519" s="483">
        <v>137.82</v>
      </c>
      <c r="E9519" s="483">
        <v>137.82</v>
      </c>
    </row>
    <row r="9520" spans="1:5">
      <c r="A9520" s="484">
        <v>39794</v>
      </c>
      <c r="B9520" s="485" t="s">
        <v>19701</v>
      </c>
      <c r="C9520" s="484" t="s">
        <v>65</v>
      </c>
      <c r="D9520" s="486">
        <v>19.59</v>
      </c>
      <c r="E9520" s="486">
        <v>19.59</v>
      </c>
    </row>
    <row r="9521" spans="1:5">
      <c r="A9521" s="349">
        <v>39795</v>
      </c>
      <c r="B9521" s="348" t="s">
        <v>19702</v>
      </c>
      <c r="C9521" s="349" t="s">
        <v>65</v>
      </c>
      <c r="D9521" s="483">
        <v>27.43</v>
      </c>
      <c r="E9521" s="483">
        <v>27.43</v>
      </c>
    </row>
    <row r="9522" spans="1:5" ht="30">
      <c r="A9522" s="484">
        <v>39801</v>
      </c>
      <c r="B9522" s="485" t="s">
        <v>19703</v>
      </c>
      <c r="C9522" s="484" t="s">
        <v>65</v>
      </c>
      <c r="D9522" s="486">
        <v>70.180000000000007</v>
      </c>
      <c r="E9522" s="486">
        <v>70.180000000000007</v>
      </c>
    </row>
    <row r="9523" spans="1:5" ht="30">
      <c r="A9523" s="349">
        <v>39802</v>
      </c>
      <c r="B9523" s="348" t="s">
        <v>19704</v>
      </c>
      <c r="C9523" s="349" t="s">
        <v>65</v>
      </c>
      <c r="D9523" s="483">
        <v>116.56</v>
      </c>
      <c r="E9523" s="483">
        <v>116.56</v>
      </c>
    </row>
    <row r="9524" spans="1:5" ht="30">
      <c r="A9524" s="484">
        <v>39803</v>
      </c>
      <c r="B9524" s="485" t="s">
        <v>19705</v>
      </c>
      <c r="C9524" s="484" t="s">
        <v>65</v>
      </c>
      <c r="D9524" s="486">
        <v>161.51</v>
      </c>
      <c r="E9524" s="486">
        <v>161.51</v>
      </c>
    </row>
    <row r="9525" spans="1:5" ht="30">
      <c r="A9525" s="349">
        <v>39799</v>
      </c>
      <c r="B9525" s="348" t="s">
        <v>19706</v>
      </c>
      <c r="C9525" s="349" t="s">
        <v>65</v>
      </c>
      <c r="D9525" s="483">
        <v>26.53</v>
      </c>
      <c r="E9525" s="483">
        <v>26.53</v>
      </c>
    </row>
    <row r="9526" spans="1:5" ht="30">
      <c r="A9526" s="484">
        <v>39800</v>
      </c>
      <c r="B9526" s="485" t="s">
        <v>19707</v>
      </c>
      <c r="C9526" s="484" t="s">
        <v>65</v>
      </c>
      <c r="D9526" s="486">
        <v>44.65</v>
      </c>
      <c r="E9526" s="486">
        <v>44.65</v>
      </c>
    </row>
    <row r="9527" spans="1:5">
      <c r="A9527" s="349">
        <v>4224</v>
      </c>
      <c r="B9527" s="348" t="s">
        <v>231</v>
      </c>
      <c r="C9527" s="349" t="s">
        <v>91</v>
      </c>
      <c r="D9527" s="483">
        <v>9.8000000000000007</v>
      </c>
      <c r="E9527" s="483">
        <v>9.8000000000000007</v>
      </c>
    </row>
    <row r="9528" spans="1:5">
      <c r="A9528" s="484">
        <v>21059</v>
      </c>
      <c r="B9528" s="485" t="s">
        <v>8516</v>
      </c>
      <c r="C9528" s="484" t="s">
        <v>65</v>
      </c>
      <c r="D9528" s="486">
        <v>32.619999999999997</v>
      </c>
      <c r="E9528" s="486">
        <v>32.619999999999997</v>
      </c>
    </row>
    <row r="9529" spans="1:5">
      <c r="A9529" s="349">
        <v>11234</v>
      </c>
      <c r="B9529" s="348" t="s">
        <v>8517</v>
      </c>
      <c r="C9529" s="349" t="s">
        <v>65</v>
      </c>
      <c r="D9529" s="483">
        <v>49.17</v>
      </c>
      <c r="E9529" s="483">
        <v>49.17</v>
      </c>
    </row>
    <row r="9530" spans="1:5">
      <c r="A9530" s="484">
        <v>21060</v>
      </c>
      <c r="B9530" s="485" t="s">
        <v>8518</v>
      </c>
      <c r="C9530" s="484" t="s">
        <v>65</v>
      </c>
      <c r="D9530" s="486">
        <v>60.52</v>
      </c>
      <c r="E9530" s="486">
        <v>60.52</v>
      </c>
    </row>
    <row r="9531" spans="1:5">
      <c r="A9531" s="349">
        <v>21061</v>
      </c>
      <c r="B9531" s="348" t="s">
        <v>8519</v>
      </c>
      <c r="C9531" s="349" t="s">
        <v>65</v>
      </c>
      <c r="D9531" s="483">
        <v>75.650000000000006</v>
      </c>
      <c r="E9531" s="483">
        <v>75.650000000000006</v>
      </c>
    </row>
    <row r="9532" spans="1:5">
      <c r="A9532" s="484">
        <v>21062</v>
      </c>
      <c r="B9532" s="485" t="s">
        <v>8520</v>
      </c>
      <c r="C9532" s="484" t="s">
        <v>65</v>
      </c>
      <c r="D9532" s="486">
        <v>119.16</v>
      </c>
      <c r="E9532" s="486">
        <v>119.16</v>
      </c>
    </row>
    <row r="9533" spans="1:5">
      <c r="A9533" s="349">
        <v>11708</v>
      </c>
      <c r="B9533" s="348" t="s">
        <v>8521</v>
      </c>
      <c r="C9533" s="349" t="s">
        <v>65</v>
      </c>
      <c r="D9533" s="483">
        <v>13</v>
      </c>
      <c r="E9533" s="483">
        <v>13</v>
      </c>
    </row>
    <row r="9534" spans="1:5">
      <c r="A9534" s="484">
        <v>11709</v>
      </c>
      <c r="B9534" s="485" t="s">
        <v>8522</v>
      </c>
      <c r="C9534" s="484" t="s">
        <v>65</v>
      </c>
      <c r="D9534" s="486">
        <v>30.54</v>
      </c>
      <c r="E9534" s="486">
        <v>30.54</v>
      </c>
    </row>
    <row r="9535" spans="1:5">
      <c r="A9535" s="349">
        <v>11710</v>
      </c>
      <c r="B9535" s="348" t="s">
        <v>8523</v>
      </c>
      <c r="C9535" s="349" t="s">
        <v>65</v>
      </c>
      <c r="D9535" s="483">
        <v>70.22</v>
      </c>
      <c r="E9535" s="483">
        <v>70.22</v>
      </c>
    </row>
    <row r="9536" spans="1:5">
      <c r="A9536" s="484">
        <v>11707</v>
      </c>
      <c r="B9536" s="485" t="s">
        <v>8524</v>
      </c>
      <c r="C9536" s="484" t="s">
        <v>65</v>
      </c>
      <c r="D9536" s="486">
        <v>9.74</v>
      </c>
      <c r="E9536" s="486">
        <v>9.74</v>
      </c>
    </row>
    <row r="9537" spans="1:5">
      <c r="A9537" s="349">
        <v>11739</v>
      </c>
      <c r="B9537" s="348" t="s">
        <v>8525</v>
      </c>
      <c r="C9537" s="349" t="s">
        <v>65</v>
      </c>
      <c r="D9537" s="483">
        <v>4.26</v>
      </c>
      <c r="E9537" s="483">
        <v>4.26</v>
      </c>
    </row>
    <row r="9538" spans="1:5">
      <c r="A9538" s="484">
        <v>11711</v>
      </c>
      <c r="B9538" s="485" t="s">
        <v>8526</v>
      </c>
      <c r="C9538" s="484" t="s">
        <v>65</v>
      </c>
      <c r="D9538" s="486">
        <v>6.25</v>
      </c>
      <c r="E9538" s="486">
        <v>6.25</v>
      </c>
    </row>
    <row r="9539" spans="1:5">
      <c r="A9539" s="349">
        <v>5102</v>
      </c>
      <c r="B9539" s="348" t="s">
        <v>8527</v>
      </c>
      <c r="C9539" s="349" t="s">
        <v>65</v>
      </c>
      <c r="D9539" s="483">
        <v>6.04</v>
      </c>
      <c r="E9539" s="483">
        <v>6.04</v>
      </c>
    </row>
    <row r="9540" spans="1:5">
      <c r="A9540" s="484">
        <v>11741</v>
      </c>
      <c r="B9540" s="485" t="s">
        <v>8529</v>
      </c>
      <c r="C9540" s="484" t="s">
        <v>65</v>
      </c>
      <c r="D9540" s="486">
        <v>4.4000000000000004</v>
      </c>
      <c r="E9540" s="486">
        <v>4.4000000000000004</v>
      </c>
    </row>
    <row r="9541" spans="1:5">
      <c r="A9541" s="349">
        <v>11743</v>
      </c>
      <c r="B9541" s="348" t="s">
        <v>8530</v>
      </c>
      <c r="C9541" s="349" t="s">
        <v>65</v>
      </c>
      <c r="D9541" s="483">
        <v>3.99</v>
      </c>
      <c r="E9541" s="483">
        <v>3.99</v>
      </c>
    </row>
    <row r="9542" spans="1:5">
      <c r="A9542" s="484">
        <v>11745</v>
      </c>
      <c r="B9542" s="485" t="s">
        <v>8531</v>
      </c>
      <c r="C9542" s="484" t="s">
        <v>65</v>
      </c>
      <c r="D9542" s="486">
        <v>5.67</v>
      </c>
      <c r="E9542" s="486">
        <v>5.67</v>
      </c>
    </row>
    <row r="9543" spans="1:5">
      <c r="A9543" s="349">
        <v>25961</v>
      </c>
      <c r="B9543" s="348" t="s">
        <v>232</v>
      </c>
      <c r="C9543" s="349" t="s">
        <v>57</v>
      </c>
      <c r="D9543" s="483">
        <v>13.43</v>
      </c>
      <c r="E9543" s="483">
        <v>13.43</v>
      </c>
    </row>
    <row r="9544" spans="1:5">
      <c r="A9544" s="484">
        <v>40985</v>
      </c>
      <c r="B9544" s="485" t="s">
        <v>8541</v>
      </c>
      <c r="C9544" s="484" t="s">
        <v>1643</v>
      </c>
      <c r="D9544" s="486">
        <v>2367.58</v>
      </c>
      <c r="E9544" s="486">
        <v>2367.58</v>
      </c>
    </row>
    <row r="9545" spans="1:5">
      <c r="A9545" s="349">
        <v>1088</v>
      </c>
      <c r="B9545" s="348" t="s">
        <v>19708</v>
      </c>
      <c r="C9545" s="349" t="s">
        <v>65</v>
      </c>
      <c r="D9545" s="483">
        <v>11.09</v>
      </c>
      <c r="E9545" s="483">
        <v>11.09</v>
      </c>
    </row>
    <row r="9546" spans="1:5">
      <c r="A9546" s="484">
        <v>1087</v>
      </c>
      <c r="B9546" s="485" t="s">
        <v>19709</v>
      </c>
      <c r="C9546" s="484" t="s">
        <v>65</v>
      </c>
      <c r="D9546" s="486">
        <v>13.85</v>
      </c>
      <c r="E9546" s="486">
        <v>13.85</v>
      </c>
    </row>
    <row r="9547" spans="1:5">
      <c r="A9547" s="349">
        <v>38777</v>
      </c>
      <c r="B9547" s="348" t="s">
        <v>19710</v>
      </c>
      <c r="C9547" s="349" t="s">
        <v>65</v>
      </c>
      <c r="D9547" s="483">
        <v>27.58</v>
      </c>
      <c r="E9547" s="483">
        <v>27.58</v>
      </c>
    </row>
    <row r="9548" spans="1:5">
      <c r="A9548" s="484">
        <v>1086</v>
      </c>
      <c r="B9548" s="485" t="s">
        <v>19711</v>
      </c>
      <c r="C9548" s="484" t="s">
        <v>65</v>
      </c>
      <c r="D9548" s="486">
        <v>14.56</v>
      </c>
      <c r="E9548" s="486">
        <v>14.56</v>
      </c>
    </row>
    <row r="9549" spans="1:5">
      <c r="A9549" s="349">
        <v>1079</v>
      </c>
      <c r="B9549" s="348" t="s">
        <v>19712</v>
      </c>
      <c r="C9549" s="349" t="s">
        <v>65</v>
      </c>
      <c r="D9549" s="483">
        <v>15.05</v>
      </c>
      <c r="E9549" s="483">
        <v>15.05</v>
      </c>
    </row>
    <row r="9550" spans="1:5">
      <c r="A9550" s="484">
        <v>1082</v>
      </c>
      <c r="B9550" s="485" t="s">
        <v>8571</v>
      </c>
      <c r="C9550" s="484" t="s">
        <v>65</v>
      </c>
      <c r="D9550" s="486">
        <v>94.61</v>
      </c>
      <c r="E9550" s="486">
        <v>94.61</v>
      </c>
    </row>
    <row r="9551" spans="1:5">
      <c r="A9551" s="349">
        <v>12316</v>
      </c>
      <c r="B9551" s="348" t="s">
        <v>8568</v>
      </c>
      <c r="C9551" s="349" t="s">
        <v>65</v>
      </c>
      <c r="D9551" s="483">
        <v>43.36</v>
      </c>
      <c r="E9551" s="483">
        <v>43.36</v>
      </c>
    </row>
    <row r="9552" spans="1:5">
      <c r="A9552" s="484">
        <v>12317</v>
      </c>
      <c r="B9552" s="485" t="s">
        <v>8569</v>
      </c>
      <c r="C9552" s="484" t="s">
        <v>65</v>
      </c>
      <c r="D9552" s="486">
        <v>51.71</v>
      </c>
      <c r="E9552" s="486">
        <v>51.71</v>
      </c>
    </row>
    <row r="9553" spans="1:5">
      <c r="A9553" s="349">
        <v>12318</v>
      </c>
      <c r="B9553" s="348" t="s">
        <v>8570</v>
      </c>
      <c r="C9553" s="349" t="s">
        <v>65</v>
      </c>
      <c r="D9553" s="483">
        <v>59.57</v>
      </c>
      <c r="E9553" s="483">
        <v>59.57</v>
      </c>
    </row>
    <row r="9554" spans="1:5">
      <c r="A9554" s="484">
        <v>5104</v>
      </c>
      <c r="B9554" s="485" t="s">
        <v>8583</v>
      </c>
      <c r="C9554" s="484" t="s">
        <v>90</v>
      </c>
      <c r="D9554" s="486">
        <v>55.17</v>
      </c>
      <c r="E9554" s="486">
        <v>55.17</v>
      </c>
    </row>
    <row r="9555" spans="1:5">
      <c r="A9555" s="349">
        <v>26023</v>
      </c>
      <c r="B9555" s="348" t="s">
        <v>8584</v>
      </c>
      <c r="C9555" s="349" t="s">
        <v>65</v>
      </c>
      <c r="D9555" s="483">
        <v>54.83</v>
      </c>
      <c r="E9555" s="483">
        <v>54.83</v>
      </c>
    </row>
    <row r="9556" spans="1:5">
      <c r="A9556" s="484">
        <v>2710</v>
      </c>
      <c r="B9556" s="485" t="s">
        <v>8585</v>
      </c>
      <c r="C9556" s="484" t="s">
        <v>65</v>
      </c>
      <c r="D9556" s="486">
        <v>43.79</v>
      </c>
      <c r="E9556" s="486">
        <v>43.79</v>
      </c>
    </row>
    <row r="9557" spans="1:5">
      <c r="A9557" s="349">
        <v>14575</v>
      </c>
      <c r="B9557" s="348" t="s">
        <v>8586</v>
      </c>
      <c r="C9557" s="349" t="s">
        <v>65</v>
      </c>
      <c r="D9557" s="483">
        <v>2136096.87</v>
      </c>
      <c r="E9557" s="483">
        <v>2136096.87</v>
      </c>
    </row>
    <row r="9558" spans="1:5">
      <c r="A9558" s="484">
        <v>20033</v>
      </c>
      <c r="B9558" s="485" t="s">
        <v>8608</v>
      </c>
      <c r="C9558" s="484" t="s">
        <v>65</v>
      </c>
      <c r="D9558" s="486">
        <v>19.010000000000002</v>
      </c>
      <c r="E9558" s="486">
        <v>19.010000000000002</v>
      </c>
    </row>
    <row r="9559" spans="1:5">
      <c r="A9559" s="349">
        <v>20034</v>
      </c>
      <c r="B9559" s="348" t="s">
        <v>8609</v>
      </c>
      <c r="C9559" s="349" t="s">
        <v>65</v>
      </c>
      <c r="D9559" s="483">
        <v>31.15</v>
      </c>
      <c r="E9559" s="483">
        <v>31.15</v>
      </c>
    </row>
    <row r="9560" spans="1:5">
      <c r="A9560" s="484">
        <v>20035</v>
      </c>
      <c r="B9560" s="485" t="s">
        <v>8610</v>
      </c>
      <c r="C9560" s="484" t="s">
        <v>65</v>
      </c>
      <c r="D9560" s="486">
        <v>34.68</v>
      </c>
      <c r="E9560" s="486">
        <v>34.68</v>
      </c>
    </row>
    <row r="9561" spans="1:5">
      <c r="A9561" s="349">
        <v>20036</v>
      </c>
      <c r="B9561" s="348" t="s">
        <v>8611</v>
      </c>
      <c r="C9561" s="349" t="s">
        <v>65</v>
      </c>
      <c r="D9561" s="483">
        <v>50.15</v>
      </c>
      <c r="E9561" s="483">
        <v>50.15</v>
      </c>
    </row>
    <row r="9562" spans="1:5">
      <c r="A9562" s="484">
        <v>20037</v>
      </c>
      <c r="B9562" s="485" t="s">
        <v>8612</v>
      </c>
      <c r="C9562" s="484" t="s">
        <v>65</v>
      </c>
      <c r="D9562" s="486">
        <v>102.31</v>
      </c>
      <c r="E9562" s="486">
        <v>102.31</v>
      </c>
    </row>
    <row r="9563" spans="1:5">
      <c r="A9563" s="349">
        <v>20038</v>
      </c>
      <c r="B9563" s="348" t="s">
        <v>8613</v>
      </c>
      <c r="C9563" s="349" t="s">
        <v>65</v>
      </c>
      <c r="D9563" s="483">
        <v>188.78</v>
      </c>
      <c r="E9563" s="483">
        <v>188.78</v>
      </c>
    </row>
    <row r="9564" spans="1:5">
      <c r="A9564" s="484">
        <v>20039</v>
      </c>
      <c r="B9564" s="485" t="s">
        <v>8614</v>
      </c>
      <c r="C9564" s="484" t="s">
        <v>65</v>
      </c>
      <c r="D9564" s="486">
        <v>266.66000000000003</v>
      </c>
      <c r="E9564" s="486">
        <v>266.66000000000003</v>
      </c>
    </row>
    <row r="9565" spans="1:5">
      <c r="A9565" s="349">
        <v>20040</v>
      </c>
      <c r="B9565" s="348" t="s">
        <v>8615</v>
      </c>
      <c r="C9565" s="349" t="s">
        <v>65</v>
      </c>
      <c r="D9565" s="483">
        <v>340.09</v>
      </c>
      <c r="E9565" s="483">
        <v>340.09</v>
      </c>
    </row>
    <row r="9566" spans="1:5">
      <c r="A9566" s="484">
        <v>20041</v>
      </c>
      <c r="B9566" s="485" t="s">
        <v>8616</v>
      </c>
      <c r="C9566" s="484" t="s">
        <v>65</v>
      </c>
      <c r="D9566" s="486">
        <v>343.26</v>
      </c>
      <c r="E9566" s="486">
        <v>343.26</v>
      </c>
    </row>
    <row r="9567" spans="1:5">
      <c r="A9567" s="349">
        <v>20043</v>
      </c>
      <c r="B9567" s="348" t="s">
        <v>8617</v>
      </c>
      <c r="C9567" s="349" t="s">
        <v>65</v>
      </c>
      <c r="D9567" s="483">
        <v>1.88</v>
      </c>
      <c r="E9567" s="483">
        <v>1.88</v>
      </c>
    </row>
    <row r="9568" spans="1:5">
      <c r="A9568" s="484">
        <v>20044</v>
      </c>
      <c r="B9568" s="485" t="s">
        <v>8618</v>
      </c>
      <c r="C9568" s="484" t="s">
        <v>65</v>
      </c>
      <c r="D9568" s="486">
        <v>2.29</v>
      </c>
      <c r="E9568" s="486">
        <v>2.29</v>
      </c>
    </row>
    <row r="9569" spans="1:5">
      <c r="A9569" s="349">
        <v>20042</v>
      </c>
      <c r="B9569" s="348" t="s">
        <v>8619</v>
      </c>
      <c r="C9569" s="349" t="s">
        <v>65</v>
      </c>
      <c r="D9569" s="483">
        <v>1.72</v>
      </c>
      <c r="E9569" s="483">
        <v>1.72</v>
      </c>
    </row>
    <row r="9570" spans="1:5">
      <c r="A9570" s="484">
        <v>20046</v>
      </c>
      <c r="B9570" s="485" t="s">
        <v>8620</v>
      </c>
      <c r="C9570" s="484" t="s">
        <v>65</v>
      </c>
      <c r="D9570" s="486">
        <v>12.44</v>
      </c>
      <c r="E9570" s="486">
        <v>12.44</v>
      </c>
    </row>
    <row r="9571" spans="1:5">
      <c r="A9571" s="349">
        <v>20047</v>
      </c>
      <c r="B9571" s="348" t="s">
        <v>8621</v>
      </c>
      <c r="C9571" s="349" t="s">
        <v>65</v>
      </c>
      <c r="D9571" s="483">
        <v>36.020000000000003</v>
      </c>
      <c r="E9571" s="483">
        <v>36.020000000000003</v>
      </c>
    </row>
    <row r="9572" spans="1:5">
      <c r="A9572" s="484">
        <v>20045</v>
      </c>
      <c r="B9572" s="485" t="s">
        <v>8622</v>
      </c>
      <c r="C9572" s="484" t="s">
        <v>65</v>
      </c>
      <c r="D9572" s="486">
        <v>5.89</v>
      </c>
      <c r="E9572" s="486">
        <v>5.89</v>
      </c>
    </row>
    <row r="9573" spans="1:5" ht="30">
      <c r="A9573" s="349">
        <v>20972</v>
      </c>
      <c r="B9573" s="348" t="s">
        <v>8628</v>
      </c>
      <c r="C9573" s="349" t="s">
        <v>65</v>
      </c>
      <c r="D9573" s="483">
        <v>96.52</v>
      </c>
      <c r="E9573" s="483">
        <v>96.52</v>
      </c>
    </row>
    <row r="9574" spans="1:5">
      <c r="A9574" s="484">
        <v>20032</v>
      </c>
      <c r="B9574" s="485" t="s">
        <v>8629</v>
      </c>
      <c r="C9574" s="484" t="s">
        <v>65</v>
      </c>
      <c r="D9574" s="486">
        <v>21.29</v>
      </c>
      <c r="E9574" s="486">
        <v>21.29</v>
      </c>
    </row>
    <row r="9575" spans="1:5">
      <c r="A9575" s="349">
        <v>11321</v>
      </c>
      <c r="B9575" s="348" t="s">
        <v>8630</v>
      </c>
      <c r="C9575" s="349" t="s">
        <v>65</v>
      </c>
      <c r="D9575" s="483">
        <v>19.010000000000002</v>
      </c>
      <c r="E9575" s="483">
        <v>19.010000000000002</v>
      </c>
    </row>
    <row r="9576" spans="1:5">
      <c r="A9576" s="484">
        <v>11323</v>
      </c>
      <c r="B9576" s="485" t="s">
        <v>8631</v>
      </c>
      <c r="C9576" s="484" t="s">
        <v>65</v>
      </c>
      <c r="D9576" s="486">
        <v>22.72</v>
      </c>
      <c r="E9576" s="486">
        <v>22.72</v>
      </c>
    </row>
    <row r="9577" spans="1:5">
      <c r="A9577" s="349">
        <v>20327</v>
      </c>
      <c r="B9577" s="348" t="s">
        <v>8632</v>
      </c>
      <c r="C9577" s="349" t="s">
        <v>65</v>
      </c>
      <c r="D9577" s="483">
        <v>13.44</v>
      </c>
      <c r="E9577" s="483">
        <v>13.44</v>
      </c>
    </row>
    <row r="9578" spans="1:5">
      <c r="A9578" s="484">
        <v>25966</v>
      </c>
      <c r="B9578" s="485" t="s">
        <v>233</v>
      </c>
      <c r="C9578" s="484" t="s">
        <v>91</v>
      </c>
      <c r="D9578" s="486">
        <v>12.53</v>
      </c>
      <c r="E9578" s="486">
        <v>12.53</v>
      </c>
    </row>
    <row r="9579" spans="1:5" ht="45">
      <c r="A9579" s="349">
        <v>13390</v>
      </c>
      <c r="B9579" s="348" t="s">
        <v>8633</v>
      </c>
      <c r="C9579" s="349" t="s">
        <v>65</v>
      </c>
      <c r="D9579" s="483">
        <v>54.72</v>
      </c>
      <c r="E9579" s="483">
        <v>54.72</v>
      </c>
    </row>
    <row r="9580" spans="1:5">
      <c r="A9580" s="484">
        <v>6034</v>
      </c>
      <c r="B9580" s="485" t="s">
        <v>8636</v>
      </c>
      <c r="C9580" s="484" t="s">
        <v>65</v>
      </c>
      <c r="D9580" s="486">
        <v>6.98</v>
      </c>
      <c r="E9580" s="486">
        <v>6.98</v>
      </c>
    </row>
    <row r="9581" spans="1:5">
      <c r="A9581" s="349">
        <v>6036</v>
      </c>
      <c r="B9581" s="348" t="s">
        <v>8638</v>
      </c>
      <c r="C9581" s="349" t="s">
        <v>65</v>
      </c>
      <c r="D9581" s="483">
        <v>9.51</v>
      </c>
      <c r="E9581" s="483">
        <v>9.51</v>
      </c>
    </row>
    <row r="9582" spans="1:5">
      <c r="A9582" s="484">
        <v>6031</v>
      </c>
      <c r="B9582" s="485" t="s">
        <v>8639</v>
      </c>
      <c r="C9582" s="484" t="s">
        <v>65</v>
      </c>
      <c r="D9582" s="486">
        <v>11.18</v>
      </c>
      <c r="E9582" s="486">
        <v>11.18</v>
      </c>
    </row>
    <row r="9583" spans="1:5">
      <c r="A9583" s="349">
        <v>6029</v>
      </c>
      <c r="B9583" s="348" t="s">
        <v>11514</v>
      </c>
      <c r="C9583" s="349" t="s">
        <v>65</v>
      </c>
      <c r="D9583" s="483">
        <v>11.3</v>
      </c>
      <c r="E9583" s="483">
        <v>11.3</v>
      </c>
    </row>
    <row r="9584" spans="1:5">
      <c r="A9584" s="484">
        <v>6033</v>
      </c>
      <c r="B9584" s="485" t="s">
        <v>11515</v>
      </c>
      <c r="C9584" s="484" t="s">
        <v>65</v>
      </c>
      <c r="D9584" s="486">
        <v>14.89</v>
      </c>
      <c r="E9584" s="486">
        <v>14.89</v>
      </c>
    </row>
    <row r="9585" spans="1:5">
      <c r="A9585" s="349">
        <v>11672</v>
      </c>
      <c r="B9585" s="348" t="s">
        <v>8640</v>
      </c>
      <c r="C9585" s="349" t="s">
        <v>65</v>
      </c>
      <c r="D9585" s="483">
        <v>32.39</v>
      </c>
      <c r="E9585" s="483">
        <v>32.39</v>
      </c>
    </row>
    <row r="9586" spans="1:5">
      <c r="A9586" s="484">
        <v>11669</v>
      </c>
      <c r="B9586" s="485" t="s">
        <v>8641</v>
      </c>
      <c r="C9586" s="484" t="s">
        <v>65</v>
      </c>
      <c r="D9586" s="486">
        <v>30.85</v>
      </c>
      <c r="E9586" s="486">
        <v>30.85</v>
      </c>
    </row>
    <row r="9587" spans="1:5">
      <c r="A9587" s="349">
        <v>11670</v>
      </c>
      <c r="B9587" s="348" t="s">
        <v>8643</v>
      </c>
      <c r="C9587" s="349" t="s">
        <v>65</v>
      </c>
      <c r="D9587" s="483">
        <v>11.81</v>
      </c>
      <c r="E9587" s="483">
        <v>11.81</v>
      </c>
    </row>
    <row r="9588" spans="1:5">
      <c r="A9588" s="484">
        <v>20055</v>
      </c>
      <c r="B9588" s="485" t="s">
        <v>8642</v>
      </c>
      <c r="C9588" s="484" t="s">
        <v>65</v>
      </c>
      <c r="D9588" s="486">
        <v>23.1</v>
      </c>
      <c r="E9588" s="486">
        <v>23.1</v>
      </c>
    </row>
    <row r="9589" spans="1:5">
      <c r="A9589" s="349">
        <v>11671</v>
      </c>
      <c r="B9589" s="348" t="s">
        <v>8644</v>
      </c>
      <c r="C9589" s="349" t="s">
        <v>65</v>
      </c>
      <c r="D9589" s="483">
        <v>49.57</v>
      </c>
      <c r="E9589" s="483">
        <v>49.57</v>
      </c>
    </row>
    <row r="9590" spans="1:5">
      <c r="A9590" s="484">
        <v>6032</v>
      </c>
      <c r="B9590" s="485" t="s">
        <v>8645</v>
      </c>
      <c r="C9590" s="484" t="s">
        <v>65</v>
      </c>
      <c r="D9590" s="486">
        <v>14.16</v>
      </c>
      <c r="E9590" s="486">
        <v>14.16</v>
      </c>
    </row>
    <row r="9591" spans="1:5">
      <c r="A9591" s="349">
        <v>11673</v>
      </c>
      <c r="B9591" s="348" t="s">
        <v>8646</v>
      </c>
      <c r="C9591" s="349" t="s">
        <v>65</v>
      </c>
      <c r="D9591" s="483">
        <v>11.15</v>
      </c>
      <c r="E9591" s="483">
        <v>11.15</v>
      </c>
    </row>
    <row r="9592" spans="1:5">
      <c r="A9592" s="484">
        <v>11674</v>
      </c>
      <c r="B9592" s="485" t="s">
        <v>8647</v>
      </c>
      <c r="C9592" s="484" t="s">
        <v>65</v>
      </c>
      <c r="D9592" s="486">
        <v>14.36</v>
      </c>
      <c r="E9592" s="486">
        <v>14.36</v>
      </c>
    </row>
    <row r="9593" spans="1:5">
      <c r="A9593" s="349">
        <v>11675</v>
      </c>
      <c r="B9593" s="348" t="s">
        <v>8648</v>
      </c>
      <c r="C9593" s="349" t="s">
        <v>65</v>
      </c>
      <c r="D9593" s="483">
        <v>22.79</v>
      </c>
      <c r="E9593" s="483">
        <v>22.79</v>
      </c>
    </row>
    <row r="9594" spans="1:5">
      <c r="A9594" s="484">
        <v>11676</v>
      </c>
      <c r="B9594" s="485" t="s">
        <v>8649</v>
      </c>
      <c r="C9594" s="484" t="s">
        <v>65</v>
      </c>
      <c r="D9594" s="486">
        <v>30.49</v>
      </c>
      <c r="E9594" s="486">
        <v>30.49</v>
      </c>
    </row>
    <row r="9595" spans="1:5">
      <c r="A9595" s="349">
        <v>11677</v>
      </c>
      <c r="B9595" s="348" t="s">
        <v>8650</v>
      </c>
      <c r="C9595" s="349" t="s">
        <v>65</v>
      </c>
      <c r="D9595" s="483">
        <v>31.49</v>
      </c>
      <c r="E9595" s="483">
        <v>31.49</v>
      </c>
    </row>
    <row r="9596" spans="1:5">
      <c r="A9596" s="484">
        <v>11678</v>
      </c>
      <c r="B9596" s="485" t="s">
        <v>8651</v>
      </c>
      <c r="C9596" s="484" t="s">
        <v>65</v>
      </c>
      <c r="D9596" s="486">
        <v>57.67</v>
      </c>
      <c r="E9596" s="486">
        <v>57.67</v>
      </c>
    </row>
    <row r="9597" spans="1:5">
      <c r="A9597" s="349">
        <v>6038</v>
      </c>
      <c r="B9597" s="348" t="s">
        <v>8675</v>
      </c>
      <c r="C9597" s="349" t="s">
        <v>65</v>
      </c>
      <c r="D9597" s="483">
        <v>3.66</v>
      </c>
      <c r="E9597" s="483">
        <v>3.66</v>
      </c>
    </row>
    <row r="9598" spans="1:5">
      <c r="A9598" s="484">
        <v>11718</v>
      </c>
      <c r="B9598" s="485" t="s">
        <v>8676</v>
      </c>
      <c r="C9598" s="484" t="s">
        <v>65</v>
      </c>
      <c r="D9598" s="486">
        <v>10.43</v>
      </c>
      <c r="E9598" s="486">
        <v>10.43</v>
      </c>
    </row>
    <row r="9599" spans="1:5">
      <c r="A9599" s="349">
        <v>6037</v>
      </c>
      <c r="B9599" s="348" t="s">
        <v>8677</v>
      </c>
      <c r="C9599" s="349" t="s">
        <v>65</v>
      </c>
      <c r="D9599" s="483">
        <v>7.61</v>
      </c>
      <c r="E9599" s="483">
        <v>7.61</v>
      </c>
    </row>
    <row r="9600" spans="1:5">
      <c r="A9600" s="484">
        <v>11719</v>
      </c>
      <c r="B9600" s="485" t="s">
        <v>8678</v>
      </c>
      <c r="C9600" s="484" t="s">
        <v>65</v>
      </c>
      <c r="D9600" s="486">
        <v>8.4600000000000009</v>
      </c>
      <c r="E9600" s="486">
        <v>8.4600000000000009</v>
      </c>
    </row>
    <row r="9601" spans="1:5">
      <c r="A9601" s="349">
        <v>6019</v>
      </c>
      <c r="B9601" s="348" t="s">
        <v>8679</v>
      </c>
      <c r="C9601" s="349" t="s">
        <v>65</v>
      </c>
      <c r="D9601" s="483">
        <v>35.520000000000003</v>
      </c>
      <c r="E9601" s="483">
        <v>35.520000000000003</v>
      </c>
    </row>
    <row r="9602" spans="1:5">
      <c r="A9602" s="484">
        <v>6010</v>
      </c>
      <c r="B9602" s="485" t="s">
        <v>8680</v>
      </c>
      <c r="C9602" s="484" t="s">
        <v>65</v>
      </c>
      <c r="D9602" s="486">
        <v>61.12</v>
      </c>
      <c r="E9602" s="486">
        <v>61.12</v>
      </c>
    </row>
    <row r="9603" spans="1:5">
      <c r="A9603" s="349">
        <v>6017</v>
      </c>
      <c r="B9603" s="348" t="s">
        <v>8681</v>
      </c>
      <c r="C9603" s="349" t="s">
        <v>65</v>
      </c>
      <c r="D9603" s="483">
        <v>48.41</v>
      </c>
      <c r="E9603" s="483">
        <v>48.41</v>
      </c>
    </row>
    <row r="9604" spans="1:5">
      <c r="A9604" s="484">
        <v>6020</v>
      </c>
      <c r="B9604" s="485" t="s">
        <v>8682</v>
      </c>
      <c r="C9604" s="484" t="s">
        <v>65</v>
      </c>
      <c r="D9604" s="486">
        <v>21.33</v>
      </c>
      <c r="E9604" s="486">
        <v>21.33</v>
      </c>
    </row>
    <row r="9605" spans="1:5">
      <c r="A9605" s="349">
        <v>6028</v>
      </c>
      <c r="B9605" s="348" t="s">
        <v>8683</v>
      </c>
      <c r="C9605" s="349" t="s">
        <v>65</v>
      </c>
      <c r="D9605" s="483">
        <v>85.13</v>
      </c>
      <c r="E9605" s="483">
        <v>85.13</v>
      </c>
    </row>
    <row r="9606" spans="1:5">
      <c r="A9606" s="484">
        <v>6011</v>
      </c>
      <c r="B9606" s="485" t="s">
        <v>8684</v>
      </c>
      <c r="C9606" s="484" t="s">
        <v>65</v>
      </c>
      <c r="D9606" s="486">
        <v>176.55</v>
      </c>
      <c r="E9606" s="486">
        <v>176.55</v>
      </c>
    </row>
    <row r="9607" spans="1:5">
      <c r="A9607" s="349">
        <v>6012</v>
      </c>
      <c r="B9607" s="348" t="s">
        <v>8685</v>
      </c>
      <c r="C9607" s="349" t="s">
        <v>65</v>
      </c>
      <c r="D9607" s="483">
        <v>326.45</v>
      </c>
      <c r="E9607" s="483">
        <v>326.45</v>
      </c>
    </row>
    <row r="9608" spans="1:5">
      <c r="A9608" s="484">
        <v>6016</v>
      </c>
      <c r="B9608" s="485" t="s">
        <v>8686</v>
      </c>
      <c r="C9608" s="484" t="s">
        <v>65</v>
      </c>
      <c r="D9608" s="486">
        <v>22.5</v>
      </c>
      <c r="E9608" s="486">
        <v>22.5</v>
      </c>
    </row>
    <row r="9609" spans="1:5">
      <c r="A9609" s="349">
        <v>6027</v>
      </c>
      <c r="B9609" s="348" t="s">
        <v>8687</v>
      </c>
      <c r="C9609" s="349" t="s">
        <v>65</v>
      </c>
      <c r="D9609" s="483">
        <v>556.30999999999995</v>
      </c>
      <c r="E9609" s="483">
        <v>556.30999999999995</v>
      </c>
    </row>
    <row r="9610" spans="1:5">
      <c r="A9610" s="484">
        <v>6013</v>
      </c>
      <c r="B9610" s="485" t="s">
        <v>8688</v>
      </c>
      <c r="C9610" s="484" t="s">
        <v>65</v>
      </c>
      <c r="D9610" s="486">
        <v>67.2</v>
      </c>
      <c r="E9610" s="486">
        <v>67.2</v>
      </c>
    </row>
    <row r="9611" spans="1:5" ht="30">
      <c r="A9611" s="349">
        <v>6015</v>
      </c>
      <c r="B9611" s="348" t="s">
        <v>8689</v>
      </c>
      <c r="C9611" s="349" t="s">
        <v>65</v>
      </c>
      <c r="D9611" s="483">
        <v>97.73</v>
      </c>
      <c r="E9611" s="483">
        <v>97.73</v>
      </c>
    </row>
    <row r="9612" spans="1:5" ht="30">
      <c r="A9612" s="484">
        <v>6014</v>
      </c>
      <c r="B9612" s="485" t="s">
        <v>8690</v>
      </c>
      <c r="C9612" s="484" t="s">
        <v>65</v>
      </c>
      <c r="D9612" s="486">
        <v>93.43</v>
      </c>
      <c r="E9612" s="486">
        <v>93.43</v>
      </c>
    </row>
    <row r="9613" spans="1:5" ht="30">
      <c r="A9613" s="349">
        <v>6006</v>
      </c>
      <c r="B9613" s="348" t="s">
        <v>8691</v>
      </c>
      <c r="C9613" s="349" t="s">
        <v>65</v>
      </c>
      <c r="D9613" s="483">
        <v>48.66</v>
      </c>
      <c r="E9613" s="483">
        <v>48.66</v>
      </c>
    </row>
    <row r="9614" spans="1:5" ht="30">
      <c r="A9614" s="484">
        <v>6005</v>
      </c>
      <c r="B9614" s="485" t="s">
        <v>8692</v>
      </c>
      <c r="C9614" s="484" t="s">
        <v>65</v>
      </c>
      <c r="D9614" s="486">
        <v>54.9</v>
      </c>
      <c r="E9614" s="486">
        <v>54.9</v>
      </c>
    </row>
    <row r="9615" spans="1:5">
      <c r="A9615" s="349">
        <v>11756</v>
      </c>
      <c r="B9615" s="348" t="s">
        <v>8693</v>
      </c>
      <c r="C9615" s="349" t="s">
        <v>65</v>
      </c>
      <c r="D9615" s="483">
        <v>26.22</v>
      </c>
      <c r="E9615" s="483">
        <v>26.22</v>
      </c>
    </row>
    <row r="9616" spans="1:5" ht="45">
      <c r="A9616" s="484">
        <v>10904</v>
      </c>
      <c r="B9616" s="485" t="s">
        <v>19713</v>
      </c>
      <c r="C9616" s="484" t="s">
        <v>65</v>
      </c>
      <c r="D9616" s="486">
        <v>135.13</v>
      </c>
      <c r="E9616" s="486">
        <v>135.13</v>
      </c>
    </row>
    <row r="9617" spans="1:5">
      <c r="A9617" s="349">
        <v>11752</v>
      </c>
      <c r="B9617" s="348" t="s">
        <v>8695</v>
      </c>
      <c r="C9617" s="349" t="s">
        <v>65</v>
      </c>
      <c r="D9617" s="483">
        <v>15.12</v>
      </c>
      <c r="E9617" s="483">
        <v>15.12</v>
      </c>
    </row>
    <row r="9618" spans="1:5">
      <c r="A9618" s="484">
        <v>11753</v>
      </c>
      <c r="B9618" s="485" t="s">
        <v>8696</v>
      </c>
      <c r="C9618" s="484" t="s">
        <v>65</v>
      </c>
      <c r="D9618" s="486">
        <v>18.05</v>
      </c>
      <c r="E9618" s="486">
        <v>18.05</v>
      </c>
    </row>
    <row r="9619" spans="1:5" ht="30">
      <c r="A9619" s="349">
        <v>6021</v>
      </c>
      <c r="B9619" s="348" t="s">
        <v>8697</v>
      </c>
      <c r="C9619" s="349" t="s">
        <v>65</v>
      </c>
      <c r="D9619" s="483">
        <v>50.09</v>
      </c>
      <c r="E9619" s="483">
        <v>50.09</v>
      </c>
    </row>
    <row r="9620" spans="1:5" ht="30">
      <c r="A9620" s="484">
        <v>6024</v>
      </c>
      <c r="B9620" s="485" t="s">
        <v>8698</v>
      </c>
      <c r="C9620" s="484" t="s">
        <v>65</v>
      </c>
      <c r="D9620" s="486">
        <v>51.78</v>
      </c>
      <c r="E9620" s="486">
        <v>51.78</v>
      </c>
    </row>
    <row r="9621" spans="1:5">
      <c r="A9621" s="349">
        <v>38379</v>
      </c>
      <c r="B9621" s="348" t="s">
        <v>8700</v>
      </c>
      <c r="C9621" s="349" t="s">
        <v>71</v>
      </c>
      <c r="D9621" s="483">
        <v>27.17</v>
      </c>
      <c r="E9621" s="483">
        <v>27.17</v>
      </c>
    </row>
    <row r="9622" spans="1:5" ht="30">
      <c r="A9622" s="484">
        <v>13897</v>
      </c>
      <c r="B9622" s="485" t="s">
        <v>8701</v>
      </c>
      <c r="C9622" s="484" t="s">
        <v>65</v>
      </c>
      <c r="D9622" s="486">
        <v>11365.41</v>
      </c>
      <c r="E9622" s="486">
        <v>11365.41</v>
      </c>
    </row>
    <row r="9623" spans="1:5">
      <c r="A9623" s="349">
        <v>10640</v>
      </c>
      <c r="B9623" s="348" t="s">
        <v>8702</v>
      </c>
      <c r="C9623" s="349" t="s">
        <v>65</v>
      </c>
      <c r="D9623" s="483">
        <v>24615.09</v>
      </c>
      <c r="E9623" s="483">
        <v>24615.09</v>
      </c>
    </row>
    <row r="9624" spans="1:5" ht="30">
      <c r="A9624" s="484">
        <v>11086</v>
      </c>
      <c r="B9624" s="485" t="s">
        <v>8712</v>
      </c>
      <c r="C9624" s="484" t="s">
        <v>255</v>
      </c>
      <c r="D9624" s="486">
        <v>40.85</v>
      </c>
      <c r="E9624" s="486">
        <v>40.85</v>
      </c>
    </row>
    <row r="9625" spans="1:5" ht="43.5" customHeight="1">
      <c r="A9625" s="349">
        <v>34356</v>
      </c>
      <c r="B9625" s="348" t="s">
        <v>8714</v>
      </c>
      <c r="C9625" s="349" t="s">
        <v>90</v>
      </c>
      <c r="D9625" s="483">
        <v>2.61</v>
      </c>
      <c r="E9625" s="483">
        <v>2.61</v>
      </c>
    </row>
    <row r="9626" spans="1:5">
      <c r="A9626" s="484">
        <v>34357</v>
      </c>
      <c r="B9626" s="485" t="s">
        <v>8715</v>
      </c>
      <c r="C9626" s="484" t="s">
        <v>90</v>
      </c>
      <c r="D9626" s="486">
        <v>2.9</v>
      </c>
      <c r="E9626" s="486">
        <v>2.9</v>
      </c>
    </row>
    <row r="9627" spans="1:5">
      <c r="A9627" s="349">
        <v>37329</v>
      </c>
      <c r="B9627" s="348" t="s">
        <v>8716</v>
      </c>
      <c r="C9627" s="349" t="s">
        <v>90</v>
      </c>
      <c r="D9627" s="483">
        <v>39.979999999999997</v>
      </c>
      <c r="E9627" s="483">
        <v>39.979999999999997</v>
      </c>
    </row>
    <row r="9628" spans="1:5">
      <c r="A9628" s="484">
        <v>37398</v>
      </c>
      <c r="B9628" s="485" t="s">
        <v>8717</v>
      </c>
      <c r="C9628" s="484" t="s">
        <v>90</v>
      </c>
      <c r="D9628" s="486">
        <v>51.17</v>
      </c>
      <c r="E9628" s="486">
        <v>51.17</v>
      </c>
    </row>
    <row r="9629" spans="1:5">
      <c r="A9629" s="349">
        <v>2510</v>
      </c>
      <c r="B9629" s="348" t="s">
        <v>19714</v>
      </c>
      <c r="C9629" s="349" t="s">
        <v>65</v>
      </c>
      <c r="D9629" s="483">
        <v>13.7</v>
      </c>
      <c r="E9629" s="483">
        <v>13.7</v>
      </c>
    </row>
    <row r="9630" spans="1:5" ht="30">
      <c r="A9630" s="484">
        <v>12359</v>
      </c>
      <c r="B9630" s="485" t="s">
        <v>8720</v>
      </c>
      <c r="C9630" s="484" t="s">
        <v>65</v>
      </c>
      <c r="D9630" s="486">
        <v>65.27</v>
      </c>
      <c r="E9630" s="486">
        <v>67.209999999999994</v>
      </c>
    </row>
    <row r="9631" spans="1:5">
      <c r="A9631" s="349">
        <v>5320</v>
      </c>
      <c r="B9631" s="348" t="s">
        <v>8738</v>
      </c>
      <c r="C9631" s="349" t="s">
        <v>91</v>
      </c>
      <c r="D9631" s="483">
        <v>25.06</v>
      </c>
      <c r="E9631" s="483">
        <v>25.06</v>
      </c>
    </row>
    <row r="9632" spans="1:5">
      <c r="A9632" s="484">
        <v>7353</v>
      </c>
      <c r="B9632" s="485" t="s">
        <v>8741</v>
      </c>
      <c r="C9632" s="484" t="s">
        <v>91</v>
      </c>
      <c r="D9632" s="486">
        <v>19.46</v>
      </c>
      <c r="E9632" s="486">
        <v>19.46</v>
      </c>
    </row>
    <row r="9633" spans="1:5">
      <c r="A9633" s="349">
        <v>36144</v>
      </c>
      <c r="B9633" s="348" t="s">
        <v>8742</v>
      </c>
      <c r="C9633" s="349" t="s">
        <v>65</v>
      </c>
      <c r="D9633" s="483">
        <v>1.06</v>
      </c>
      <c r="E9633" s="483">
        <v>1.06</v>
      </c>
    </row>
    <row r="9634" spans="1:5">
      <c r="A9634" s="484">
        <v>10518</v>
      </c>
      <c r="B9634" s="485" t="s">
        <v>234</v>
      </c>
      <c r="C9634" s="484" t="s">
        <v>65</v>
      </c>
      <c r="D9634" s="486">
        <v>57.99</v>
      </c>
      <c r="E9634" s="486">
        <v>57.99</v>
      </c>
    </row>
    <row r="9635" spans="1:5" ht="45">
      <c r="A9635" s="349">
        <v>36530</v>
      </c>
      <c r="B9635" s="348" t="s">
        <v>8757</v>
      </c>
      <c r="C9635" s="349" t="s">
        <v>65</v>
      </c>
      <c r="D9635" s="483">
        <v>194982.91</v>
      </c>
      <c r="E9635" s="483">
        <v>194982.91</v>
      </c>
    </row>
    <row r="9636" spans="1:5" ht="60">
      <c r="A9636" s="484">
        <v>6046</v>
      </c>
      <c r="B9636" s="485" t="s">
        <v>8758</v>
      </c>
      <c r="C9636" s="484" t="s">
        <v>65</v>
      </c>
      <c r="D9636" s="486">
        <v>211489.41</v>
      </c>
      <c r="E9636" s="486">
        <v>211489.41</v>
      </c>
    </row>
    <row r="9637" spans="1:5" ht="45">
      <c r="A9637" s="349">
        <v>36531</v>
      </c>
      <c r="B9637" s="348" t="s">
        <v>8759</v>
      </c>
      <c r="C9637" s="349" t="s">
        <v>65</v>
      </c>
      <c r="D9637" s="483">
        <v>219226.81</v>
      </c>
      <c r="E9637" s="483">
        <v>219226.81</v>
      </c>
    </row>
    <row r="9638" spans="1:5">
      <c r="A9638" s="484">
        <v>34684</v>
      </c>
      <c r="B9638" s="485" t="s">
        <v>8820</v>
      </c>
      <c r="C9638" s="484" t="s">
        <v>256</v>
      </c>
      <c r="D9638" s="486">
        <v>76.86</v>
      </c>
      <c r="E9638" s="486">
        <v>76.86</v>
      </c>
    </row>
    <row r="9639" spans="1:5">
      <c r="A9639" s="349">
        <v>34683</v>
      </c>
      <c r="B9639" s="348" t="s">
        <v>8821</v>
      </c>
      <c r="C9639" s="349" t="s">
        <v>256</v>
      </c>
      <c r="D9639" s="483">
        <v>48.04</v>
      </c>
      <c r="E9639" s="483">
        <v>48.04</v>
      </c>
    </row>
    <row r="9640" spans="1:5" ht="30">
      <c r="A9640" s="484">
        <v>533</v>
      </c>
      <c r="B9640" s="485" t="s">
        <v>8849</v>
      </c>
      <c r="C9640" s="484" t="s">
        <v>256</v>
      </c>
      <c r="D9640" s="486">
        <v>12.79</v>
      </c>
      <c r="E9640" s="486">
        <v>12.79</v>
      </c>
    </row>
    <row r="9641" spans="1:5" ht="30">
      <c r="A9641" s="349">
        <v>10515</v>
      </c>
      <c r="B9641" s="348" t="s">
        <v>8850</v>
      </c>
      <c r="C9641" s="349" t="s">
        <v>256</v>
      </c>
      <c r="D9641" s="483">
        <v>32.979999999999997</v>
      </c>
      <c r="E9641" s="483">
        <v>32.979999999999997</v>
      </c>
    </row>
    <row r="9642" spans="1:5" ht="30">
      <c r="A9642" s="484">
        <v>536</v>
      </c>
      <c r="B9642" s="485" t="s">
        <v>8851</v>
      </c>
      <c r="C9642" s="484" t="s">
        <v>256</v>
      </c>
      <c r="D9642" s="486">
        <v>21.67</v>
      </c>
      <c r="E9642" s="486">
        <v>21.67</v>
      </c>
    </row>
    <row r="9643" spans="1:5">
      <c r="A9643" s="349">
        <v>153</v>
      </c>
      <c r="B9643" s="348" t="s">
        <v>8853</v>
      </c>
      <c r="C9643" s="349" t="s">
        <v>91</v>
      </c>
      <c r="D9643" s="483">
        <v>93.23</v>
      </c>
      <c r="E9643" s="483">
        <v>93.23</v>
      </c>
    </row>
    <row r="9644" spans="1:5">
      <c r="A9644" s="484">
        <v>34682</v>
      </c>
      <c r="B9644" s="485" t="s">
        <v>8854</v>
      </c>
      <c r="C9644" s="484" t="s">
        <v>256</v>
      </c>
      <c r="D9644" s="486">
        <v>36.729999999999997</v>
      </c>
      <c r="E9644" s="486">
        <v>36.729999999999997</v>
      </c>
    </row>
    <row r="9645" spans="1:5" ht="30">
      <c r="A9645" s="349">
        <v>20205</v>
      </c>
      <c r="B9645" s="348" t="s">
        <v>8856</v>
      </c>
      <c r="C9645" s="349" t="s">
        <v>71</v>
      </c>
      <c r="D9645" s="483">
        <v>1.06</v>
      </c>
      <c r="E9645" s="483">
        <v>1.06</v>
      </c>
    </row>
    <row r="9646" spans="1:5" ht="30">
      <c r="A9646" s="484">
        <v>4408</v>
      </c>
      <c r="B9646" s="485" t="s">
        <v>8857</v>
      </c>
      <c r="C9646" s="484" t="s">
        <v>71</v>
      </c>
      <c r="D9646" s="486">
        <v>1.25</v>
      </c>
      <c r="E9646" s="486">
        <v>1.25</v>
      </c>
    </row>
    <row r="9647" spans="1:5" ht="30">
      <c r="A9647" s="349">
        <v>4412</v>
      </c>
      <c r="B9647" s="348" t="s">
        <v>8858</v>
      </c>
      <c r="C9647" s="349" t="s">
        <v>71</v>
      </c>
      <c r="D9647" s="483">
        <v>0.92</v>
      </c>
      <c r="E9647" s="483">
        <v>0.92</v>
      </c>
    </row>
    <row r="9648" spans="1:5">
      <c r="A9648" s="484">
        <v>10559</v>
      </c>
      <c r="B9648" s="485" t="s">
        <v>8859</v>
      </c>
      <c r="C9648" s="484" t="s">
        <v>65</v>
      </c>
      <c r="D9648" s="486">
        <v>2169</v>
      </c>
      <c r="E9648" s="486">
        <v>2169</v>
      </c>
    </row>
    <row r="9649" spans="1:5">
      <c r="A9649" s="349">
        <v>10664</v>
      </c>
      <c r="B9649" s="348" t="s">
        <v>8860</v>
      </c>
      <c r="C9649" s="349" t="s">
        <v>65</v>
      </c>
      <c r="D9649" s="483">
        <v>5894.87</v>
      </c>
      <c r="E9649" s="483">
        <v>5894.87</v>
      </c>
    </row>
    <row r="9650" spans="1:5">
      <c r="A9650" s="484">
        <v>36250</v>
      </c>
      <c r="B9650" s="485" t="s">
        <v>8861</v>
      </c>
      <c r="C9650" s="484" t="s">
        <v>71</v>
      </c>
      <c r="D9650" s="486">
        <v>1.95</v>
      </c>
      <c r="E9650" s="486">
        <v>1.95</v>
      </c>
    </row>
    <row r="9651" spans="1:5">
      <c r="A9651" s="349">
        <v>10857</v>
      </c>
      <c r="B9651" s="348" t="s">
        <v>8862</v>
      </c>
      <c r="C9651" s="349" t="s">
        <v>71</v>
      </c>
      <c r="D9651" s="483">
        <v>7.79</v>
      </c>
      <c r="E9651" s="483">
        <v>7.79</v>
      </c>
    </row>
    <row r="9652" spans="1:5">
      <c r="A9652" s="484">
        <v>4803</v>
      </c>
      <c r="B9652" s="485" t="s">
        <v>8867</v>
      </c>
      <c r="C9652" s="484" t="s">
        <v>71</v>
      </c>
      <c r="D9652" s="486">
        <v>17.39</v>
      </c>
      <c r="E9652" s="486">
        <v>17.39</v>
      </c>
    </row>
    <row r="9653" spans="1:5" ht="30">
      <c r="A9653" s="349">
        <v>6186</v>
      </c>
      <c r="B9653" s="348" t="s">
        <v>8868</v>
      </c>
      <c r="C9653" s="349" t="s">
        <v>71</v>
      </c>
      <c r="D9653" s="483">
        <v>10.55</v>
      </c>
      <c r="E9653" s="483">
        <v>10.55</v>
      </c>
    </row>
    <row r="9654" spans="1:5">
      <c r="A9654" s="484">
        <v>4829</v>
      </c>
      <c r="B9654" s="485" t="s">
        <v>8873</v>
      </c>
      <c r="C9654" s="484" t="s">
        <v>71</v>
      </c>
      <c r="D9654" s="486">
        <v>20.23</v>
      </c>
      <c r="E9654" s="486">
        <v>20.23</v>
      </c>
    </row>
    <row r="9655" spans="1:5">
      <c r="A9655" s="349">
        <v>39829</v>
      </c>
      <c r="B9655" s="348" t="s">
        <v>19715</v>
      </c>
      <c r="C9655" s="349" t="s">
        <v>71</v>
      </c>
      <c r="D9655" s="483">
        <v>13.15</v>
      </c>
      <c r="E9655" s="483">
        <v>13.15</v>
      </c>
    </row>
    <row r="9656" spans="1:5" ht="30">
      <c r="A9656" s="484">
        <v>20231</v>
      </c>
      <c r="B9656" s="485" t="s">
        <v>19716</v>
      </c>
      <c r="C9656" s="484" t="s">
        <v>71</v>
      </c>
      <c r="D9656" s="486">
        <v>23.81</v>
      </c>
      <c r="E9656" s="486">
        <v>23.81</v>
      </c>
    </row>
    <row r="9657" spans="1:5">
      <c r="A9657" s="349">
        <v>4804</v>
      </c>
      <c r="B9657" s="348" t="s">
        <v>8876</v>
      </c>
      <c r="C9657" s="349" t="s">
        <v>71</v>
      </c>
      <c r="D9657" s="483">
        <v>13.35</v>
      </c>
      <c r="E9657" s="483">
        <v>13.35</v>
      </c>
    </row>
    <row r="9658" spans="1:5">
      <c r="A9658" s="484">
        <v>34680</v>
      </c>
      <c r="B9658" s="485" t="s">
        <v>8877</v>
      </c>
      <c r="C9658" s="484" t="s">
        <v>71</v>
      </c>
      <c r="D9658" s="486">
        <v>11.3</v>
      </c>
      <c r="E9658" s="486">
        <v>11.3</v>
      </c>
    </row>
    <row r="9659" spans="1:5" ht="30">
      <c r="A9659" s="349">
        <v>11573</v>
      </c>
      <c r="B9659" s="348" t="s">
        <v>8880</v>
      </c>
      <c r="C9659" s="349" t="s">
        <v>65</v>
      </c>
      <c r="D9659" s="483">
        <v>5.52</v>
      </c>
      <c r="E9659" s="483">
        <v>5.52</v>
      </c>
    </row>
    <row r="9660" spans="1:5">
      <c r="A9660" s="484">
        <v>38401</v>
      </c>
      <c r="B9660" s="485" t="s">
        <v>8881</v>
      </c>
      <c r="C9660" s="484" t="s">
        <v>65</v>
      </c>
      <c r="D9660" s="486">
        <v>7.6</v>
      </c>
      <c r="E9660" s="486">
        <v>7.6</v>
      </c>
    </row>
    <row r="9661" spans="1:5" ht="30">
      <c r="A9661" s="349">
        <v>38179</v>
      </c>
      <c r="B9661" s="348" t="s">
        <v>8882</v>
      </c>
      <c r="C9661" s="349" t="s">
        <v>65</v>
      </c>
      <c r="D9661" s="483">
        <v>24.23</v>
      </c>
      <c r="E9661" s="483">
        <v>24.23</v>
      </c>
    </row>
    <row r="9662" spans="1:5" ht="30">
      <c r="A9662" s="484">
        <v>11575</v>
      </c>
      <c r="B9662" s="485" t="s">
        <v>8883</v>
      </c>
      <c r="C9662" s="484" t="s">
        <v>65</v>
      </c>
      <c r="D9662" s="486">
        <v>26.15</v>
      </c>
      <c r="E9662" s="486">
        <v>26.15</v>
      </c>
    </row>
    <row r="9663" spans="1:5" ht="30">
      <c r="A9663" s="349">
        <v>20256</v>
      </c>
      <c r="B9663" s="348" t="s">
        <v>8884</v>
      </c>
      <c r="C9663" s="349" t="s">
        <v>65</v>
      </c>
      <c r="D9663" s="483">
        <v>0.23</v>
      </c>
      <c r="E9663" s="483">
        <v>0.23</v>
      </c>
    </row>
    <row r="9664" spans="1:5" ht="30">
      <c r="A9664" s="484">
        <v>13470</v>
      </c>
      <c r="B9664" s="485" t="s">
        <v>8885</v>
      </c>
      <c r="C9664" s="484" t="s">
        <v>65</v>
      </c>
      <c r="D9664" s="486">
        <v>357711.01</v>
      </c>
      <c r="E9664" s="486">
        <v>357711.01</v>
      </c>
    </row>
    <row r="9665" spans="1:5" ht="30">
      <c r="A9665" s="349">
        <v>14511</v>
      </c>
      <c r="B9665" s="348" t="s">
        <v>8898</v>
      </c>
      <c r="C9665" s="349" t="s">
        <v>65</v>
      </c>
      <c r="D9665" s="483">
        <v>352954.2</v>
      </c>
      <c r="E9665" s="483">
        <v>352954.2</v>
      </c>
    </row>
    <row r="9666" spans="1:5" ht="30">
      <c r="A9666" s="484">
        <v>10642</v>
      </c>
      <c r="B9666" s="485" t="s">
        <v>8899</v>
      </c>
      <c r="C9666" s="484" t="s">
        <v>65</v>
      </c>
      <c r="D9666" s="486">
        <v>332500</v>
      </c>
      <c r="E9666" s="486">
        <v>332500</v>
      </c>
    </row>
    <row r="9667" spans="1:5" ht="30">
      <c r="A9667" s="349">
        <v>6066</v>
      </c>
      <c r="B9667" s="348" t="s">
        <v>8900</v>
      </c>
      <c r="C9667" s="349" t="s">
        <v>65</v>
      </c>
      <c r="D9667" s="483">
        <v>321575.01</v>
      </c>
      <c r="E9667" s="483">
        <v>321575.01</v>
      </c>
    </row>
    <row r="9668" spans="1:5" ht="30">
      <c r="A9668" s="484">
        <v>13469</v>
      </c>
      <c r="B9668" s="485" t="s">
        <v>8901</v>
      </c>
      <c r="C9668" s="484" t="s">
        <v>65</v>
      </c>
      <c r="D9668" s="486">
        <v>311570.08</v>
      </c>
      <c r="E9668" s="486">
        <v>311570.08</v>
      </c>
    </row>
    <row r="9669" spans="1:5" ht="45">
      <c r="A9669" s="349">
        <v>14489</v>
      </c>
      <c r="B9669" s="348" t="s">
        <v>8908</v>
      </c>
      <c r="C9669" s="349" t="s">
        <v>65</v>
      </c>
      <c r="D9669" s="483">
        <v>294921.31</v>
      </c>
      <c r="E9669" s="483">
        <v>294921.31</v>
      </c>
    </row>
    <row r="9670" spans="1:5" ht="30">
      <c r="A9670" s="484">
        <v>14513</v>
      </c>
      <c r="B9670" s="485" t="s">
        <v>8909</v>
      </c>
      <c r="C9670" s="484" t="s">
        <v>65</v>
      </c>
      <c r="D9670" s="486">
        <v>221197.98</v>
      </c>
      <c r="E9670" s="486">
        <v>221197.98</v>
      </c>
    </row>
    <row r="9671" spans="1:5" ht="30">
      <c r="A9671" s="349">
        <v>6068</v>
      </c>
      <c r="B9671" s="348" t="s">
        <v>8916</v>
      </c>
      <c r="C9671" s="349" t="s">
        <v>65</v>
      </c>
      <c r="D9671" s="483">
        <v>221160.01</v>
      </c>
      <c r="E9671" s="483">
        <v>221160.01</v>
      </c>
    </row>
    <row r="9672" spans="1:5" ht="30">
      <c r="A9672" s="484">
        <v>13467</v>
      </c>
      <c r="B9672" s="485" t="s">
        <v>8917</v>
      </c>
      <c r="C9672" s="484" t="s">
        <v>65</v>
      </c>
      <c r="D9672" s="486">
        <v>304434.90000000002</v>
      </c>
      <c r="E9672" s="486">
        <v>304434.90000000002</v>
      </c>
    </row>
    <row r="9673" spans="1:5" ht="30">
      <c r="A9673" s="349">
        <v>13600</v>
      </c>
      <c r="B9673" s="348" t="s">
        <v>8918</v>
      </c>
      <c r="C9673" s="349" t="s">
        <v>65</v>
      </c>
      <c r="D9673" s="483">
        <v>285407.69</v>
      </c>
      <c r="E9673" s="483">
        <v>285407.69</v>
      </c>
    </row>
    <row r="9674" spans="1:5" ht="30">
      <c r="A9674" s="484">
        <v>36541</v>
      </c>
      <c r="B9674" s="485" t="s">
        <v>8925</v>
      </c>
      <c r="C9674" s="484" t="s">
        <v>65</v>
      </c>
      <c r="D9674" s="486">
        <v>222142.31</v>
      </c>
      <c r="E9674" s="486">
        <v>222142.31</v>
      </c>
    </row>
    <row r="9675" spans="1:5" ht="30">
      <c r="A9675" s="349">
        <v>10646</v>
      </c>
      <c r="B9675" s="348" t="s">
        <v>8926</v>
      </c>
      <c r="C9675" s="349" t="s">
        <v>65</v>
      </c>
      <c r="D9675" s="483">
        <v>212752.41</v>
      </c>
      <c r="E9675" s="483">
        <v>212752.41</v>
      </c>
    </row>
    <row r="9676" spans="1:5" ht="30">
      <c r="A9676" s="484">
        <v>6070</v>
      </c>
      <c r="B9676" s="485" t="s">
        <v>8933</v>
      </c>
      <c r="C9676" s="484" t="s">
        <v>65</v>
      </c>
      <c r="D9676" s="486">
        <v>290699.99</v>
      </c>
      <c r="E9676" s="486">
        <v>290699.99</v>
      </c>
    </row>
    <row r="9677" spans="1:5" ht="30">
      <c r="A9677" s="349">
        <v>6069</v>
      </c>
      <c r="B9677" s="348" t="s">
        <v>8945</v>
      </c>
      <c r="C9677" s="349" t="s">
        <v>65</v>
      </c>
      <c r="D9677" s="483">
        <v>64220.01</v>
      </c>
      <c r="E9677" s="483">
        <v>64220.01</v>
      </c>
    </row>
    <row r="9678" spans="1:5" ht="30">
      <c r="A9678" s="484">
        <v>14626</v>
      </c>
      <c r="B9678" s="485" t="s">
        <v>8952</v>
      </c>
      <c r="C9678" s="484" t="s">
        <v>65</v>
      </c>
      <c r="D9678" s="486">
        <v>318250.01</v>
      </c>
      <c r="E9678" s="486">
        <v>318250.01</v>
      </c>
    </row>
    <row r="9679" spans="1:5" ht="30">
      <c r="A9679" s="349">
        <v>13881</v>
      </c>
      <c r="B9679" s="348" t="s">
        <v>8953</v>
      </c>
      <c r="C9679" s="349" t="s">
        <v>65</v>
      </c>
      <c r="D9679" s="483">
        <v>114163.07</v>
      </c>
      <c r="E9679" s="483">
        <v>114163.07</v>
      </c>
    </row>
    <row r="9680" spans="1:5" ht="30">
      <c r="A9680" s="484">
        <v>13468</v>
      </c>
      <c r="B9680" s="485" t="s">
        <v>8954</v>
      </c>
      <c r="C9680" s="484" t="s">
        <v>65</v>
      </c>
      <c r="D9680" s="486">
        <v>159162.59</v>
      </c>
      <c r="E9680" s="486">
        <v>159162.59</v>
      </c>
    </row>
    <row r="9681" spans="1:5" ht="30">
      <c r="A9681" s="349">
        <v>13365</v>
      </c>
      <c r="B9681" s="348" t="s">
        <v>8955</v>
      </c>
      <c r="C9681" s="349" t="s">
        <v>65</v>
      </c>
      <c r="D9681" s="483">
        <v>179829.69</v>
      </c>
      <c r="E9681" s="483">
        <v>179829.69</v>
      </c>
    </row>
    <row r="9682" spans="1:5" ht="30">
      <c r="A9682" s="484">
        <v>6067</v>
      </c>
      <c r="B9682" s="485" t="s">
        <v>8956</v>
      </c>
      <c r="C9682" s="484" t="s">
        <v>65</v>
      </c>
      <c r="D9682" s="486">
        <v>261250</v>
      </c>
      <c r="E9682" s="486">
        <v>261250</v>
      </c>
    </row>
    <row r="9683" spans="1:5" ht="30">
      <c r="A9683" s="349">
        <v>11282</v>
      </c>
      <c r="B9683" s="348" t="s">
        <v>8957</v>
      </c>
      <c r="C9683" s="349" t="s">
        <v>65</v>
      </c>
      <c r="D9683" s="483">
        <v>118919.85</v>
      </c>
      <c r="E9683" s="483">
        <v>118919.85</v>
      </c>
    </row>
    <row r="9684" spans="1:5">
      <c r="A9684" s="484">
        <v>38393</v>
      </c>
      <c r="B9684" s="485" t="s">
        <v>8964</v>
      </c>
      <c r="C9684" s="484" t="s">
        <v>65</v>
      </c>
      <c r="D9684" s="486">
        <v>10.47</v>
      </c>
      <c r="E9684" s="486">
        <v>10.47</v>
      </c>
    </row>
    <row r="9685" spans="1:5">
      <c r="A9685" s="349">
        <v>38390</v>
      </c>
      <c r="B9685" s="348" t="s">
        <v>8965</v>
      </c>
      <c r="C9685" s="349" t="s">
        <v>65</v>
      </c>
      <c r="D9685" s="483">
        <v>23.22</v>
      </c>
      <c r="E9685" s="483">
        <v>23.22</v>
      </c>
    </row>
    <row r="9686" spans="1:5">
      <c r="A9686" s="484">
        <v>36532</v>
      </c>
      <c r="B9686" s="485" t="s">
        <v>8966</v>
      </c>
      <c r="C9686" s="484" t="s">
        <v>65</v>
      </c>
      <c r="D9686" s="486">
        <v>18669.25</v>
      </c>
      <c r="E9686" s="486">
        <v>18669.25</v>
      </c>
    </row>
    <row r="9687" spans="1:5" ht="30">
      <c r="A9687" s="349">
        <v>11578</v>
      </c>
      <c r="B9687" s="348" t="s">
        <v>8967</v>
      </c>
      <c r="C9687" s="349" t="s">
        <v>65</v>
      </c>
      <c r="D9687" s="483">
        <v>8.4</v>
      </c>
      <c r="E9687" s="483">
        <v>8.4</v>
      </c>
    </row>
    <row r="9688" spans="1:5" ht="30">
      <c r="A9688" s="484">
        <v>11577</v>
      </c>
      <c r="B9688" s="485" t="s">
        <v>8968</v>
      </c>
      <c r="C9688" s="484" t="s">
        <v>65</v>
      </c>
      <c r="D9688" s="486">
        <v>8.01</v>
      </c>
      <c r="E9688" s="486">
        <v>8.01</v>
      </c>
    </row>
    <row r="9689" spans="1:5">
      <c r="A9689" s="349">
        <v>1116</v>
      </c>
      <c r="B9689" s="348" t="s">
        <v>8971</v>
      </c>
      <c r="C9689" s="349" t="s">
        <v>71</v>
      </c>
      <c r="D9689" s="483">
        <v>13.61</v>
      </c>
      <c r="E9689" s="483">
        <v>13.61</v>
      </c>
    </row>
    <row r="9690" spans="1:5">
      <c r="A9690" s="484">
        <v>1115</v>
      </c>
      <c r="B9690" s="485" t="s">
        <v>8972</v>
      </c>
      <c r="C9690" s="484" t="s">
        <v>71</v>
      </c>
      <c r="D9690" s="486">
        <v>16.55</v>
      </c>
      <c r="E9690" s="486">
        <v>16.55</v>
      </c>
    </row>
    <row r="9691" spans="1:5">
      <c r="A9691" s="349">
        <v>1113</v>
      </c>
      <c r="B9691" s="348" t="s">
        <v>11516</v>
      </c>
      <c r="C9691" s="349" t="s">
        <v>71</v>
      </c>
      <c r="D9691" s="483">
        <v>18.149999999999999</v>
      </c>
      <c r="E9691" s="483">
        <v>18.149999999999999</v>
      </c>
    </row>
    <row r="9692" spans="1:5">
      <c r="A9692" s="484">
        <v>1114</v>
      </c>
      <c r="B9692" s="485" t="s">
        <v>8973</v>
      </c>
      <c r="C9692" s="484" t="s">
        <v>71</v>
      </c>
      <c r="D9692" s="486">
        <v>27.23</v>
      </c>
      <c r="E9692" s="486">
        <v>27.23</v>
      </c>
    </row>
    <row r="9693" spans="1:5">
      <c r="A9693" s="349">
        <v>20214</v>
      </c>
      <c r="B9693" s="348" t="s">
        <v>8975</v>
      </c>
      <c r="C9693" s="349" t="s">
        <v>65</v>
      </c>
      <c r="D9693" s="483">
        <v>26.31</v>
      </c>
      <c r="E9693" s="483">
        <v>26.31</v>
      </c>
    </row>
    <row r="9694" spans="1:5" ht="30">
      <c r="A9694" s="484">
        <v>11064</v>
      </c>
      <c r="B9694" s="485" t="s">
        <v>8976</v>
      </c>
      <c r="C9694" s="484" t="s">
        <v>65</v>
      </c>
      <c r="D9694" s="486">
        <v>11.15</v>
      </c>
      <c r="E9694" s="486">
        <v>11.15</v>
      </c>
    </row>
    <row r="9695" spans="1:5" ht="30">
      <c r="A9695" s="349">
        <v>7237</v>
      </c>
      <c r="B9695" s="348" t="s">
        <v>8977</v>
      </c>
      <c r="C9695" s="349" t="s">
        <v>65</v>
      </c>
      <c r="D9695" s="483">
        <v>15.22</v>
      </c>
      <c r="E9695" s="483">
        <v>15.22</v>
      </c>
    </row>
    <row r="9696" spans="1:5">
      <c r="A9696" s="484">
        <v>16</v>
      </c>
      <c r="B9696" s="485" t="s">
        <v>8978</v>
      </c>
      <c r="C9696" s="484" t="s">
        <v>90</v>
      </c>
      <c r="D9696" s="486">
        <v>4.79</v>
      </c>
      <c r="E9696" s="486">
        <v>4.79</v>
      </c>
    </row>
    <row r="9697" spans="1:5">
      <c r="A9697" s="349">
        <v>11757</v>
      </c>
      <c r="B9697" s="348" t="s">
        <v>235</v>
      </c>
      <c r="C9697" s="349" t="s">
        <v>65</v>
      </c>
      <c r="D9697" s="483">
        <v>15.57</v>
      </c>
      <c r="E9697" s="483">
        <v>15.57</v>
      </c>
    </row>
    <row r="9698" spans="1:5" ht="30">
      <c r="A9698" s="484">
        <v>11758</v>
      </c>
      <c r="B9698" s="485" t="s">
        <v>8980</v>
      </c>
      <c r="C9698" s="484" t="s">
        <v>65</v>
      </c>
      <c r="D9698" s="486">
        <v>41.49</v>
      </c>
      <c r="E9698" s="486">
        <v>41.49</v>
      </c>
    </row>
    <row r="9699" spans="1:5">
      <c r="A9699" s="349">
        <v>37526</v>
      </c>
      <c r="B9699" s="348" t="s">
        <v>8981</v>
      </c>
      <c r="C9699" s="349" t="s">
        <v>65</v>
      </c>
      <c r="D9699" s="483">
        <v>1.55</v>
      </c>
      <c r="E9699" s="483">
        <v>1.55</v>
      </c>
    </row>
    <row r="9700" spans="1:5">
      <c r="A9700" s="484">
        <v>6076</v>
      </c>
      <c r="B9700" s="485" t="s">
        <v>236</v>
      </c>
      <c r="C9700" s="484" t="s">
        <v>255</v>
      </c>
      <c r="D9700" s="486">
        <v>51.6</v>
      </c>
      <c r="E9700" s="486">
        <v>51.6</v>
      </c>
    </row>
    <row r="9701" spans="1:5">
      <c r="A9701" s="349">
        <v>13109</v>
      </c>
      <c r="B9701" s="348" t="s">
        <v>8982</v>
      </c>
      <c r="C9701" s="349" t="s">
        <v>65</v>
      </c>
      <c r="D9701" s="483">
        <v>192.54</v>
      </c>
      <c r="E9701" s="483">
        <v>192.54</v>
      </c>
    </row>
    <row r="9702" spans="1:5">
      <c r="A9702" s="484">
        <v>13110</v>
      </c>
      <c r="B9702" s="485" t="s">
        <v>8983</v>
      </c>
      <c r="C9702" s="484" t="s">
        <v>65</v>
      </c>
      <c r="D9702" s="486">
        <v>253.39</v>
      </c>
      <c r="E9702" s="486">
        <v>253.39</v>
      </c>
    </row>
    <row r="9703" spans="1:5">
      <c r="A9703" s="349">
        <v>7581</v>
      </c>
      <c r="B9703" s="348" t="s">
        <v>8984</v>
      </c>
      <c r="C9703" s="349" t="s">
        <v>65</v>
      </c>
      <c r="D9703" s="483">
        <v>2.08</v>
      </c>
      <c r="E9703" s="483">
        <v>2.08</v>
      </c>
    </row>
    <row r="9704" spans="1:5" ht="30">
      <c r="A9704" s="484">
        <v>20206</v>
      </c>
      <c r="B9704" s="485" t="s">
        <v>8985</v>
      </c>
      <c r="C9704" s="484" t="s">
        <v>71</v>
      </c>
      <c r="D9704" s="486">
        <v>3.14</v>
      </c>
      <c r="E9704" s="486">
        <v>3.14</v>
      </c>
    </row>
    <row r="9705" spans="1:5" ht="30">
      <c r="A9705" s="349">
        <v>4460</v>
      </c>
      <c r="B9705" s="348" t="s">
        <v>8986</v>
      </c>
      <c r="C9705" s="349" t="s">
        <v>71</v>
      </c>
      <c r="D9705" s="483">
        <v>5.2</v>
      </c>
      <c r="E9705" s="483">
        <v>5.2</v>
      </c>
    </row>
    <row r="9706" spans="1:5" ht="30">
      <c r="A9706" s="484">
        <v>6204</v>
      </c>
      <c r="B9706" s="485" t="s">
        <v>11517</v>
      </c>
      <c r="C9706" s="484" t="s">
        <v>71</v>
      </c>
      <c r="D9706" s="486">
        <v>10.25</v>
      </c>
      <c r="E9706" s="486">
        <v>10.25</v>
      </c>
    </row>
    <row r="9707" spans="1:5" ht="30">
      <c r="A9707" s="349">
        <v>4417</v>
      </c>
      <c r="B9707" s="348" t="s">
        <v>8987</v>
      </c>
      <c r="C9707" s="349" t="s">
        <v>71</v>
      </c>
      <c r="D9707" s="483">
        <v>2.98</v>
      </c>
      <c r="E9707" s="483">
        <v>2.98</v>
      </c>
    </row>
    <row r="9708" spans="1:5" ht="30">
      <c r="A9708" s="484">
        <v>4415</v>
      </c>
      <c r="B9708" s="485" t="s">
        <v>8988</v>
      </c>
      <c r="C9708" s="484" t="s">
        <v>71</v>
      </c>
      <c r="D9708" s="486">
        <v>2.5099999999999998</v>
      </c>
      <c r="E9708" s="486">
        <v>2.5099999999999998</v>
      </c>
    </row>
    <row r="9709" spans="1:5">
      <c r="A9709" s="349">
        <v>4734</v>
      </c>
      <c r="B9709" s="348" t="s">
        <v>8993</v>
      </c>
      <c r="C9709" s="349" t="s">
        <v>255</v>
      </c>
      <c r="D9709" s="483">
        <v>58.14</v>
      </c>
      <c r="E9709" s="483">
        <v>58.14</v>
      </c>
    </row>
    <row r="9710" spans="1:5">
      <c r="A9710" s="484">
        <v>6085</v>
      </c>
      <c r="B9710" s="485" t="s">
        <v>8994</v>
      </c>
      <c r="C9710" s="484" t="s">
        <v>91</v>
      </c>
      <c r="D9710" s="486">
        <v>5.48</v>
      </c>
      <c r="E9710" s="486">
        <v>5.48</v>
      </c>
    </row>
    <row r="9711" spans="1:5">
      <c r="A9711" s="349">
        <v>38396</v>
      </c>
      <c r="B9711" s="348" t="s">
        <v>8995</v>
      </c>
      <c r="C9711" s="349" t="s">
        <v>65</v>
      </c>
      <c r="D9711" s="483">
        <v>328.5</v>
      </c>
      <c r="E9711" s="483">
        <v>328.5</v>
      </c>
    </row>
    <row r="9712" spans="1:5">
      <c r="A9712" s="484">
        <v>6090</v>
      </c>
      <c r="B9712" s="485" t="s">
        <v>8996</v>
      </c>
      <c r="C9712" s="484" t="s">
        <v>91</v>
      </c>
      <c r="D9712" s="486">
        <v>10.41</v>
      </c>
      <c r="E9712" s="486">
        <v>10.41</v>
      </c>
    </row>
    <row r="9713" spans="1:5">
      <c r="A9713" s="349">
        <v>11622</v>
      </c>
      <c r="B9713" s="348" t="s">
        <v>8997</v>
      </c>
      <c r="C9713" s="349" t="s">
        <v>90</v>
      </c>
      <c r="D9713" s="483">
        <v>60.3</v>
      </c>
      <c r="E9713" s="483">
        <v>60.3</v>
      </c>
    </row>
    <row r="9714" spans="1:5">
      <c r="A9714" s="484">
        <v>6094</v>
      </c>
      <c r="B9714" s="485" t="s">
        <v>8998</v>
      </c>
      <c r="C9714" s="484" t="s">
        <v>90</v>
      </c>
      <c r="D9714" s="486">
        <v>17.600000000000001</v>
      </c>
      <c r="E9714" s="486">
        <v>17.600000000000001</v>
      </c>
    </row>
    <row r="9715" spans="1:5">
      <c r="A9715" s="349">
        <v>7317</v>
      </c>
      <c r="B9715" s="348" t="s">
        <v>8999</v>
      </c>
      <c r="C9715" s="349" t="s">
        <v>90</v>
      </c>
      <c r="D9715" s="483">
        <v>21.79</v>
      </c>
      <c r="E9715" s="483">
        <v>21.79</v>
      </c>
    </row>
    <row r="9716" spans="1:5">
      <c r="A9716" s="484">
        <v>142</v>
      </c>
      <c r="B9716" s="485" t="s">
        <v>9000</v>
      </c>
      <c r="C9716" s="484" t="s">
        <v>237</v>
      </c>
      <c r="D9716" s="486">
        <v>31.66</v>
      </c>
      <c r="E9716" s="486">
        <v>31.66</v>
      </c>
    </row>
    <row r="9717" spans="1:5">
      <c r="A9717" s="349">
        <v>38123</v>
      </c>
      <c r="B9717" s="348" t="s">
        <v>238</v>
      </c>
      <c r="C9717" s="349" t="s">
        <v>90</v>
      </c>
      <c r="D9717" s="483">
        <v>49.64</v>
      </c>
      <c r="E9717" s="483">
        <v>49.64</v>
      </c>
    </row>
    <row r="9718" spans="1:5" ht="30">
      <c r="A9718" s="484">
        <v>37953</v>
      </c>
      <c r="B9718" s="485" t="s">
        <v>9001</v>
      </c>
      <c r="C9718" s="484" t="s">
        <v>65</v>
      </c>
      <c r="D9718" s="486">
        <v>3.9</v>
      </c>
      <c r="E9718" s="486">
        <v>3.9</v>
      </c>
    </row>
    <row r="9719" spans="1:5" ht="30">
      <c r="A9719" s="349">
        <v>37954</v>
      </c>
      <c r="B9719" s="348" t="s">
        <v>9002</v>
      </c>
      <c r="C9719" s="349" t="s">
        <v>65</v>
      </c>
      <c r="D9719" s="483">
        <v>6.94</v>
      </c>
      <c r="E9719" s="483">
        <v>6.94</v>
      </c>
    </row>
    <row r="9720" spans="1:5" ht="30">
      <c r="A9720" s="484">
        <v>37955</v>
      </c>
      <c r="B9720" s="485" t="s">
        <v>9003</v>
      </c>
      <c r="C9720" s="484" t="s">
        <v>65</v>
      </c>
      <c r="D9720" s="486">
        <v>9</v>
      </c>
      <c r="E9720" s="486">
        <v>9</v>
      </c>
    </row>
    <row r="9721" spans="1:5" ht="30">
      <c r="A9721" s="349">
        <v>6105</v>
      </c>
      <c r="B9721" s="348" t="s">
        <v>9004</v>
      </c>
      <c r="C9721" s="349" t="s">
        <v>65</v>
      </c>
      <c r="D9721" s="483">
        <v>2.93</v>
      </c>
      <c r="E9721" s="483">
        <v>2.93</v>
      </c>
    </row>
    <row r="9722" spans="1:5" ht="30">
      <c r="A9722" s="484">
        <v>6106</v>
      </c>
      <c r="B9722" s="485" t="s">
        <v>9005</v>
      </c>
      <c r="C9722" s="484" t="s">
        <v>65</v>
      </c>
      <c r="D9722" s="486">
        <v>2.94</v>
      </c>
      <c r="E9722" s="486">
        <v>2.94</v>
      </c>
    </row>
    <row r="9723" spans="1:5" ht="30">
      <c r="A9723" s="349">
        <v>6107</v>
      </c>
      <c r="B9723" s="348" t="s">
        <v>9006</v>
      </c>
      <c r="C9723" s="349" t="s">
        <v>65</v>
      </c>
      <c r="D9723" s="483">
        <v>8.52</v>
      </c>
      <c r="E9723" s="483">
        <v>8.52</v>
      </c>
    </row>
    <row r="9724" spans="1:5" ht="30">
      <c r="A9724" s="484">
        <v>6108</v>
      </c>
      <c r="B9724" s="485" t="s">
        <v>9007</v>
      </c>
      <c r="C9724" s="484" t="s">
        <v>65</v>
      </c>
      <c r="D9724" s="486">
        <v>10.87</v>
      </c>
      <c r="E9724" s="486">
        <v>10.87</v>
      </c>
    </row>
    <row r="9725" spans="1:5" ht="30">
      <c r="A9725" s="349">
        <v>6109</v>
      </c>
      <c r="B9725" s="348" t="s">
        <v>9008</v>
      </c>
      <c r="C9725" s="349" t="s">
        <v>65</v>
      </c>
      <c r="D9725" s="483">
        <v>15.44</v>
      </c>
      <c r="E9725" s="483">
        <v>15.44</v>
      </c>
    </row>
    <row r="9726" spans="1:5" ht="57.75" customHeight="1">
      <c r="A9726" s="484">
        <v>37743</v>
      </c>
      <c r="B9726" s="485" t="s">
        <v>9009</v>
      </c>
      <c r="C9726" s="484" t="s">
        <v>65</v>
      </c>
      <c r="D9726" s="486">
        <v>106160.83</v>
      </c>
      <c r="E9726" s="486">
        <v>106160.83</v>
      </c>
    </row>
    <row r="9727" spans="1:5" ht="30">
      <c r="A9727" s="349">
        <v>37744</v>
      </c>
      <c r="B9727" s="348" t="s">
        <v>9010</v>
      </c>
      <c r="C9727" s="349" t="s">
        <v>65</v>
      </c>
      <c r="D9727" s="483">
        <v>124825.17</v>
      </c>
      <c r="E9727" s="483">
        <v>124825.17</v>
      </c>
    </row>
    <row r="9728" spans="1:5" ht="30">
      <c r="A9728" s="484">
        <v>37741</v>
      </c>
      <c r="B9728" s="485" t="s">
        <v>9011</v>
      </c>
      <c r="C9728" s="484" t="s">
        <v>65</v>
      </c>
      <c r="D9728" s="486">
        <v>96531.46</v>
      </c>
      <c r="E9728" s="486">
        <v>96531.46</v>
      </c>
    </row>
    <row r="9729" spans="1:5" ht="30">
      <c r="A9729" s="349">
        <v>39396</v>
      </c>
      <c r="B9729" s="348" t="s">
        <v>19717</v>
      </c>
      <c r="C9729" s="349" t="s">
        <v>65</v>
      </c>
      <c r="D9729" s="483">
        <v>26.84</v>
      </c>
      <c r="E9729" s="483">
        <v>26.84</v>
      </c>
    </row>
    <row r="9730" spans="1:5" ht="30">
      <c r="A9730" s="484">
        <v>39392</v>
      </c>
      <c r="B9730" s="485" t="s">
        <v>19718</v>
      </c>
      <c r="C9730" s="484" t="s">
        <v>65</v>
      </c>
      <c r="D9730" s="486">
        <v>30.27</v>
      </c>
      <c r="E9730" s="486">
        <v>30.27</v>
      </c>
    </row>
    <row r="9731" spans="1:5" ht="30">
      <c r="A9731" s="349">
        <v>39393</v>
      </c>
      <c r="B9731" s="348" t="s">
        <v>19719</v>
      </c>
      <c r="C9731" s="349" t="s">
        <v>65</v>
      </c>
      <c r="D9731" s="483">
        <v>18.72</v>
      </c>
      <c r="E9731" s="483">
        <v>18.72</v>
      </c>
    </row>
    <row r="9732" spans="1:5" ht="30">
      <c r="A9732" s="484">
        <v>39394</v>
      </c>
      <c r="B9732" s="485" t="s">
        <v>19720</v>
      </c>
      <c r="C9732" s="484" t="s">
        <v>65</v>
      </c>
      <c r="D9732" s="486">
        <v>21.07</v>
      </c>
      <c r="E9732" s="486">
        <v>21.07</v>
      </c>
    </row>
    <row r="9733" spans="1:5" ht="30">
      <c r="A9733" s="349">
        <v>39395</v>
      </c>
      <c r="B9733" s="348" t="s">
        <v>19721</v>
      </c>
      <c r="C9733" s="349" t="s">
        <v>65</v>
      </c>
      <c r="D9733" s="483">
        <v>19.59</v>
      </c>
      <c r="E9733" s="483">
        <v>19.59</v>
      </c>
    </row>
    <row r="9734" spans="1:5" ht="30">
      <c r="A9734" s="484">
        <v>14618</v>
      </c>
      <c r="B9734" s="485" t="s">
        <v>9018</v>
      </c>
      <c r="C9734" s="484" t="s">
        <v>65</v>
      </c>
      <c r="D9734" s="486">
        <v>843.28</v>
      </c>
      <c r="E9734" s="486">
        <v>843.28</v>
      </c>
    </row>
    <row r="9735" spans="1:5" ht="30">
      <c r="A9735" s="349">
        <v>40269</v>
      </c>
      <c r="B9735" s="348" t="s">
        <v>9019</v>
      </c>
      <c r="C9735" s="349" t="s">
        <v>65</v>
      </c>
      <c r="D9735" s="483">
        <v>3397.51</v>
      </c>
      <c r="E9735" s="483">
        <v>3397.51</v>
      </c>
    </row>
    <row r="9736" spans="1:5">
      <c r="A9736" s="484">
        <v>6110</v>
      </c>
      <c r="B9736" s="485" t="s">
        <v>239</v>
      </c>
      <c r="C9736" s="484" t="s">
        <v>57</v>
      </c>
      <c r="D9736" s="486">
        <v>13.91</v>
      </c>
      <c r="E9736" s="486">
        <v>13.91</v>
      </c>
    </row>
    <row r="9737" spans="1:5">
      <c r="A9737" s="349">
        <v>40910</v>
      </c>
      <c r="B9737" s="348" t="s">
        <v>9020</v>
      </c>
      <c r="C9737" s="349" t="s">
        <v>1643</v>
      </c>
      <c r="D9737" s="483">
        <v>2454.3000000000002</v>
      </c>
      <c r="E9737" s="483">
        <v>2454.3000000000002</v>
      </c>
    </row>
    <row r="9738" spans="1:5" ht="57.75" customHeight="1">
      <c r="A9738" s="484">
        <v>6111</v>
      </c>
      <c r="B9738" s="485" t="s">
        <v>240</v>
      </c>
      <c r="C9738" s="484" t="s">
        <v>57</v>
      </c>
      <c r="D9738" s="486">
        <v>9.3000000000000007</v>
      </c>
      <c r="E9738" s="486">
        <v>9.3000000000000007</v>
      </c>
    </row>
    <row r="9739" spans="1:5">
      <c r="A9739" s="349">
        <v>41084</v>
      </c>
      <c r="B9739" s="348" t="s">
        <v>9021</v>
      </c>
      <c r="C9739" s="349" t="s">
        <v>1643</v>
      </c>
      <c r="D9739" s="483">
        <v>1639.25</v>
      </c>
      <c r="E9739" s="483">
        <v>1639.25</v>
      </c>
    </row>
    <row r="9740" spans="1:5">
      <c r="A9740" s="484">
        <v>25950</v>
      </c>
      <c r="B9740" s="485" t="s">
        <v>9022</v>
      </c>
      <c r="C9740" s="484" t="s">
        <v>255</v>
      </c>
      <c r="D9740" s="486">
        <v>28.15</v>
      </c>
      <c r="E9740" s="486">
        <v>28.15</v>
      </c>
    </row>
    <row r="9741" spans="1:5">
      <c r="A9741" s="349">
        <v>38637</v>
      </c>
      <c r="B9741" s="348" t="s">
        <v>9027</v>
      </c>
      <c r="C9741" s="349" t="s">
        <v>65</v>
      </c>
      <c r="D9741" s="483">
        <v>129.96</v>
      </c>
      <c r="E9741" s="483">
        <v>129.96</v>
      </c>
    </row>
    <row r="9742" spans="1:5">
      <c r="A9742" s="484">
        <v>6150</v>
      </c>
      <c r="B9742" s="485" t="s">
        <v>9028</v>
      </c>
      <c r="C9742" s="484" t="s">
        <v>65</v>
      </c>
      <c r="D9742" s="486">
        <v>131.55000000000001</v>
      </c>
      <c r="E9742" s="486">
        <v>131.55000000000001</v>
      </c>
    </row>
    <row r="9743" spans="1:5">
      <c r="A9743" s="349">
        <v>6136</v>
      </c>
      <c r="B9743" s="348" t="s">
        <v>9029</v>
      </c>
      <c r="C9743" s="349" t="s">
        <v>65</v>
      </c>
      <c r="D9743" s="483">
        <v>103.41</v>
      </c>
      <c r="E9743" s="483">
        <v>103.41</v>
      </c>
    </row>
    <row r="9744" spans="1:5">
      <c r="A9744" s="484">
        <v>38638</v>
      </c>
      <c r="B9744" s="485" t="s">
        <v>9030</v>
      </c>
      <c r="C9744" s="484" t="s">
        <v>65</v>
      </c>
      <c r="D9744" s="486">
        <v>109.51</v>
      </c>
      <c r="E9744" s="486">
        <v>109.51</v>
      </c>
    </row>
    <row r="9745" spans="1:5">
      <c r="A9745" s="349">
        <v>20262</v>
      </c>
      <c r="B9745" s="348" t="s">
        <v>9032</v>
      </c>
      <c r="C9745" s="349" t="s">
        <v>65</v>
      </c>
      <c r="D9745" s="483">
        <v>9.0399999999999991</v>
      </c>
      <c r="E9745" s="483">
        <v>9.0399999999999991</v>
      </c>
    </row>
    <row r="9746" spans="1:5">
      <c r="A9746" s="484">
        <v>6148</v>
      </c>
      <c r="B9746" s="485" t="s">
        <v>9033</v>
      </c>
      <c r="C9746" s="484" t="s">
        <v>65</v>
      </c>
      <c r="D9746" s="486">
        <v>6.05</v>
      </c>
      <c r="E9746" s="486">
        <v>6.05</v>
      </c>
    </row>
    <row r="9747" spans="1:5">
      <c r="A9747" s="349">
        <v>6145</v>
      </c>
      <c r="B9747" s="348" t="s">
        <v>9034</v>
      </c>
      <c r="C9747" s="349" t="s">
        <v>65</v>
      </c>
      <c r="D9747" s="483">
        <v>10.85</v>
      </c>
      <c r="E9747" s="483">
        <v>10.85</v>
      </c>
    </row>
    <row r="9748" spans="1:5">
      <c r="A9748" s="484">
        <v>6149</v>
      </c>
      <c r="B9748" s="485" t="s">
        <v>9035</v>
      </c>
      <c r="C9748" s="484" t="s">
        <v>65</v>
      </c>
      <c r="D9748" s="486">
        <v>10.24</v>
      </c>
      <c r="E9748" s="486">
        <v>10.24</v>
      </c>
    </row>
    <row r="9749" spans="1:5">
      <c r="A9749" s="349">
        <v>6146</v>
      </c>
      <c r="B9749" s="348" t="s">
        <v>9036</v>
      </c>
      <c r="C9749" s="349" t="s">
        <v>65</v>
      </c>
      <c r="D9749" s="483">
        <v>10.86</v>
      </c>
      <c r="E9749" s="483">
        <v>10.86</v>
      </c>
    </row>
    <row r="9750" spans="1:5">
      <c r="A9750" s="484">
        <v>26026</v>
      </c>
      <c r="B9750" s="485" t="s">
        <v>9037</v>
      </c>
      <c r="C9750" s="484" t="s">
        <v>90</v>
      </c>
      <c r="D9750" s="486">
        <v>2.58</v>
      </c>
      <c r="E9750" s="486">
        <v>2.58</v>
      </c>
    </row>
    <row r="9751" spans="1:5">
      <c r="A9751" s="349">
        <v>39961</v>
      </c>
      <c r="B9751" s="348" t="s">
        <v>9038</v>
      </c>
      <c r="C9751" s="349" t="s">
        <v>65</v>
      </c>
      <c r="D9751" s="483">
        <v>11.33</v>
      </c>
      <c r="E9751" s="483">
        <v>11.33</v>
      </c>
    </row>
    <row r="9752" spans="1:5">
      <c r="A9752" s="484">
        <v>38061</v>
      </c>
      <c r="B9752" s="485" t="s">
        <v>9041</v>
      </c>
      <c r="C9752" s="484" t="s">
        <v>65</v>
      </c>
      <c r="D9752" s="486">
        <v>43.97</v>
      </c>
      <c r="E9752" s="486">
        <v>43.97</v>
      </c>
    </row>
    <row r="9753" spans="1:5">
      <c r="A9753" s="349">
        <v>20250</v>
      </c>
      <c r="B9753" s="348" t="s">
        <v>241</v>
      </c>
      <c r="C9753" s="349" t="s">
        <v>90</v>
      </c>
      <c r="D9753" s="483">
        <v>6.99</v>
      </c>
      <c r="E9753" s="483">
        <v>6.99</v>
      </c>
    </row>
    <row r="9754" spans="1:5">
      <c r="A9754" s="484">
        <v>7</v>
      </c>
      <c r="B9754" s="485" t="s">
        <v>9044</v>
      </c>
      <c r="C9754" s="484" t="s">
        <v>90</v>
      </c>
      <c r="D9754" s="486">
        <v>7.96</v>
      </c>
      <c r="E9754" s="486">
        <v>7.96</v>
      </c>
    </row>
    <row r="9755" spans="1:5">
      <c r="A9755" s="349">
        <v>13388</v>
      </c>
      <c r="B9755" s="348" t="s">
        <v>11518</v>
      </c>
      <c r="C9755" s="349" t="s">
        <v>90</v>
      </c>
      <c r="D9755" s="483">
        <v>104.48</v>
      </c>
      <c r="E9755" s="483">
        <v>104.48</v>
      </c>
    </row>
    <row r="9756" spans="1:5">
      <c r="A9756" s="484">
        <v>39914</v>
      </c>
      <c r="B9756" s="485" t="s">
        <v>9047</v>
      </c>
      <c r="C9756" s="484" t="s">
        <v>90</v>
      </c>
      <c r="D9756" s="486">
        <v>118.65</v>
      </c>
      <c r="E9756" s="486">
        <v>118.65</v>
      </c>
    </row>
    <row r="9757" spans="1:5" ht="30">
      <c r="A9757" s="349">
        <v>12732</v>
      </c>
      <c r="B9757" s="348" t="s">
        <v>19722</v>
      </c>
      <c r="C9757" s="349" t="s">
        <v>65</v>
      </c>
      <c r="D9757" s="483">
        <v>136.9</v>
      </c>
      <c r="E9757" s="483">
        <v>136.9</v>
      </c>
    </row>
    <row r="9758" spans="1:5">
      <c r="A9758" s="484">
        <v>6160</v>
      </c>
      <c r="B9758" s="485" t="s">
        <v>242</v>
      </c>
      <c r="C9758" s="484" t="s">
        <v>57</v>
      </c>
      <c r="D9758" s="486">
        <v>14.74</v>
      </c>
      <c r="E9758" s="486">
        <v>14.74</v>
      </c>
    </row>
    <row r="9759" spans="1:5">
      <c r="A9759" s="349">
        <v>41087</v>
      </c>
      <c r="B9759" s="348" t="s">
        <v>9049</v>
      </c>
      <c r="C9759" s="349" t="s">
        <v>1643</v>
      </c>
      <c r="D9759" s="483">
        <v>2597.41</v>
      </c>
      <c r="E9759" s="483">
        <v>2597.41</v>
      </c>
    </row>
    <row r="9760" spans="1:5">
      <c r="A9760" s="484">
        <v>6166</v>
      </c>
      <c r="B9760" s="485" t="s">
        <v>243</v>
      </c>
      <c r="C9760" s="484" t="s">
        <v>57</v>
      </c>
      <c r="D9760" s="486">
        <v>16.09</v>
      </c>
      <c r="E9760" s="486">
        <v>16.09</v>
      </c>
    </row>
    <row r="9761" spans="1:5">
      <c r="A9761" s="349">
        <v>41088</v>
      </c>
      <c r="B9761" s="348" t="s">
        <v>9051</v>
      </c>
      <c r="C9761" s="349" t="s">
        <v>1643</v>
      </c>
      <c r="D9761" s="483">
        <v>2836.72</v>
      </c>
      <c r="E9761" s="483">
        <v>2836.72</v>
      </c>
    </row>
    <row r="9762" spans="1:5" ht="30">
      <c r="A9762" s="484">
        <v>20232</v>
      </c>
      <c r="B9762" s="485" t="s">
        <v>19723</v>
      </c>
      <c r="C9762" s="484" t="s">
        <v>71</v>
      </c>
      <c r="D9762" s="486">
        <v>33.71</v>
      </c>
      <c r="E9762" s="486">
        <v>33.71</v>
      </c>
    </row>
    <row r="9763" spans="1:5">
      <c r="A9763" s="349">
        <v>10856</v>
      </c>
      <c r="B9763" s="348" t="s">
        <v>9055</v>
      </c>
      <c r="C9763" s="349" t="s">
        <v>71</v>
      </c>
      <c r="D9763" s="483">
        <v>31.08</v>
      </c>
      <c r="E9763" s="483">
        <v>31.08</v>
      </c>
    </row>
    <row r="9764" spans="1:5" ht="30">
      <c r="A9764" s="484">
        <v>4828</v>
      </c>
      <c r="B9764" s="485" t="s">
        <v>19724</v>
      </c>
      <c r="C9764" s="484" t="s">
        <v>71</v>
      </c>
      <c r="D9764" s="486">
        <v>30.2</v>
      </c>
      <c r="E9764" s="486">
        <v>30.2</v>
      </c>
    </row>
    <row r="9765" spans="1:5">
      <c r="A9765" s="349">
        <v>20249</v>
      </c>
      <c r="B9765" s="348" t="s">
        <v>9056</v>
      </c>
      <c r="C9765" s="349" t="s">
        <v>71</v>
      </c>
      <c r="D9765" s="483">
        <v>16.54</v>
      </c>
      <c r="E9765" s="483">
        <v>16.54</v>
      </c>
    </row>
    <row r="9766" spans="1:5">
      <c r="A9766" s="484">
        <v>11609</v>
      </c>
      <c r="B9766" s="485" t="s">
        <v>9057</v>
      </c>
      <c r="C9766" s="484" t="s">
        <v>91</v>
      </c>
      <c r="D9766" s="486">
        <v>10.45</v>
      </c>
      <c r="E9766" s="486">
        <v>10.45</v>
      </c>
    </row>
    <row r="9767" spans="1:5">
      <c r="A9767" s="349">
        <v>20083</v>
      </c>
      <c r="B9767" s="348" t="s">
        <v>9058</v>
      </c>
      <c r="C9767" s="349" t="s">
        <v>65</v>
      </c>
      <c r="D9767" s="483">
        <v>39.14</v>
      </c>
      <c r="E9767" s="483">
        <v>39.14</v>
      </c>
    </row>
    <row r="9768" spans="1:5">
      <c r="A9768" s="484">
        <v>20082</v>
      </c>
      <c r="B9768" s="485" t="s">
        <v>9059</v>
      </c>
      <c r="C9768" s="484" t="s">
        <v>65</v>
      </c>
      <c r="D9768" s="486">
        <v>15.25</v>
      </c>
      <c r="E9768" s="486">
        <v>15.25</v>
      </c>
    </row>
    <row r="9769" spans="1:5">
      <c r="A9769" s="349">
        <v>5318</v>
      </c>
      <c r="B9769" s="348" t="s">
        <v>9060</v>
      </c>
      <c r="C9769" s="349" t="s">
        <v>91</v>
      </c>
      <c r="D9769" s="483">
        <v>9.32</v>
      </c>
      <c r="E9769" s="483">
        <v>9.32</v>
      </c>
    </row>
    <row r="9770" spans="1:5">
      <c r="A9770" s="484">
        <v>10691</v>
      </c>
      <c r="B9770" s="485" t="s">
        <v>9061</v>
      </c>
      <c r="C9770" s="484" t="s">
        <v>91</v>
      </c>
      <c r="D9770" s="486">
        <v>26.89</v>
      </c>
      <c r="E9770" s="486">
        <v>26.89</v>
      </c>
    </row>
    <row r="9771" spans="1:5">
      <c r="A9771" s="349">
        <v>12295</v>
      </c>
      <c r="B9771" s="348" t="s">
        <v>9062</v>
      </c>
      <c r="C9771" s="349" t="s">
        <v>65</v>
      </c>
      <c r="D9771" s="483">
        <v>1.97</v>
      </c>
      <c r="E9771" s="483">
        <v>1.97</v>
      </c>
    </row>
    <row r="9772" spans="1:5">
      <c r="A9772" s="484">
        <v>12296</v>
      </c>
      <c r="B9772" s="485" t="s">
        <v>9063</v>
      </c>
      <c r="C9772" s="484" t="s">
        <v>65</v>
      </c>
      <c r="D9772" s="486">
        <v>2.5499999999999998</v>
      </c>
      <c r="E9772" s="486">
        <v>2.5499999999999998</v>
      </c>
    </row>
    <row r="9773" spans="1:5">
      <c r="A9773" s="349">
        <v>12294</v>
      </c>
      <c r="B9773" s="348" t="s">
        <v>9064</v>
      </c>
      <c r="C9773" s="349" t="s">
        <v>65</v>
      </c>
      <c r="D9773" s="483">
        <v>6.13</v>
      </c>
      <c r="E9773" s="483">
        <v>6.13</v>
      </c>
    </row>
    <row r="9774" spans="1:5">
      <c r="A9774" s="484">
        <v>14543</v>
      </c>
      <c r="B9774" s="485" t="s">
        <v>9065</v>
      </c>
      <c r="C9774" s="484" t="s">
        <v>65</v>
      </c>
      <c r="D9774" s="486">
        <v>4.38</v>
      </c>
      <c r="E9774" s="486">
        <v>4.38</v>
      </c>
    </row>
    <row r="9775" spans="1:5">
      <c r="A9775" s="349">
        <v>13329</v>
      </c>
      <c r="B9775" s="348" t="s">
        <v>9066</v>
      </c>
      <c r="C9775" s="349" t="s">
        <v>65</v>
      </c>
      <c r="D9775" s="483">
        <v>2.57</v>
      </c>
      <c r="E9775" s="483">
        <v>2.57</v>
      </c>
    </row>
    <row r="9776" spans="1:5" ht="30">
      <c r="A9776" s="484">
        <v>21044</v>
      </c>
      <c r="B9776" s="485" t="s">
        <v>9067</v>
      </c>
      <c r="C9776" s="484" t="s">
        <v>65</v>
      </c>
      <c r="D9776" s="486">
        <v>20.98</v>
      </c>
      <c r="E9776" s="486">
        <v>20.98</v>
      </c>
    </row>
    <row r="9777" spans="1:5" ht="30">
      <c r="A9777" s="349">
        <v>21045</v>
      </c>
      <c r="B9777" s="348" t="s">
        <v>9068</v>
      </c>
      <c r="C9777" s="349" t="s">
        <v>65</v>
      </c>
      <c r="D9777" s="483">
        <v>28.73</v>
      </c>
      <c r="E9777" s="483">
        <v>28.73</v>
      </c>
    </row>
    <row r="9778" spans="1:5" ht="30">
      <c r="A9778" s="484">
        <v>21040</v>
      </c>
      <c r="B9778" s="485" t="s">
        <v>9069</v>
      </c>
      <c r="C9778" s="484" t="s">
        <v>65</v>
      </c>
      <c r="D9778" s="486">
        <v>20.53</v>
      </c>
      <c r="E9778" s="486">
        <v>20.53</v>
      </c>
    </row>
    <row r="9779" spans="1:5" ht="57.75" customHeight="1">
      <c r="A9779" s="349">
        <v>21041</v>
      </c>
      <c r="B9779" s="348" t="s">
        <v>9070</v>
      </c>
      <c r="C9779" s="349" t="s">
        <v>65</v>
      </c>
      <c r="D9779" s="483">
        <v>24.78</v>
      </c>
      <c r="E9779" s="483">
        <v>24.78</v>
      </c>
    </row>
    <row r="9780" spans="1:5" ht="57.75" customHeight="1">
      <c r="A9780" s="484">
        <v>21047</v>
      </c>
      <c r="B9780" s="485" t="s">
        <v>9071</v>
      </c>
      <c r="C9780" s="484" t="s">
        <v>65</v>
      </c>
      <c r="D9780" s="486">
        <v>30.93</v>
      </c>
      <c r="E9780" s="486">
        <v>30.93</v>
      </c>
    </row>
    <row r="9781" spans="1:5" ht="30">
      <c r="A9781" s="349">
        <v>21043</v>
      </c>
      <c r="B9781" s="348" t="s">
        <v>9072</v>
      </c>
      <c r="C9781" s="349" t="s">
        <v>65</v>
      </c>
      <c r="D9781" s="483">
        <v>30.11</v>
      </c>
      <c r="E9781" s="483">
        <v>30.11</v>
      </c>
    </row>
    <row r="9782" spans="1:5" ht="57.75" customHeight="1">
      <c r="A9782" s="484">
        <v>21042</v>
      </c>
      <c r="B9782" s="485" t="s">
        <v>11520</v>
      </c>
      <c r="C9782" s="484" t="s">
        <v>65</v>
      </c>
      <c r="D9782" s="486">
        <v>23.84</v>
      </c>
      <c r="E9782" s="486">
        <v>23.84</v>
      </c>
    </row>
    <row r="9783" spans="1:5" ht="57.75" customHeight="1">
      <c r="A9783" s="349">
        <v>11895</v>
      </c>
      <c r="B9783" s="348" t="s">
        <v>9075</v>
      </c>
      <c r="C9783" s="349" t="s">
        <v>65</v>
      </c>
      <c r="D9783" s="483">
        <v>866.61</v>
      </c>
      <c r="E9783" s="483">
        <v>866.61</v>
      </c>
    </row>
    <row r="9784" spans="1:5">
      <c r="A9784" s="484">
        <v>11896</v>
      </c>
      <c r="B9784" s="485" t="s">
        <v>9076</v>
      </c>
      <c r="C9784" s="484" t="s">
        <v>65</v>
      </c>
      <c r="D9784" s="486">
        <v>4542.24</v>
      </c>
      <c r="E9784" s="486">
        <v>4542.24</v>
      </c>
    </row>
    <row r="9785" spans="1:5">
      <c r="A9785" s="349">
        <v>11897</v>
      </c>
      <c r="B9785" s="348" t="s">
        <v>9077</v>
      </c>
      <c r="C9785" s="349" t="s">
        <v>65</v>
      </c>
      <c r="D9785" s="483">
        <v>5926.82</v>
      </c>
      <c r="E9785" s="483">
        <v>5926.82</v>
      </c>
    </row>
    <row r="9786" spans="1:5">
      <c r="A9786" s="484">
        <v>11898</v>
      </c>
      <c r="B9786" s="485" t="s">
        <v>9078</v>
      </c>
      <c r="C9786" s="484" t="s">
        <v>65</v>
      </c>
      <c r="D9786" s="486">
        <v>6225.65</v>
      </c>
      <c r="E9786" s="486">
        <v>6225.65</v>
      </c>
    </row>
    <row r="9787" spans="1:5" ht="57.75" customHeight="1">
      <c r="A9787" s="349">
        <v>3282</v>
      </c>
      <c r="B9787" s="348" t="s">
        <v>9079</v>
      </c>
      <c r="C9787" s="349" t="s">
        <v>65</v>
      </c>
      <c r="D9787" s="483">
        <v>630.03</v>
      </c>
      <c r="E9787" s="483">
        <v>630.03</v>
      </c>
    </row>
    <row r="9788" spans="1:5" ht="57.75" customHeight="1">
      <c r="A9788" s="484">
        <v>11899</v>
      </c>
      <c r="B9788" s="485" t="s">
        <v>9080</v>
      </c>
      <c r="C9788" s="484" t="s">
        <v>65</v>
      </c>
      <c r="D9788" s="486">
        <v>3072.98</v>
      </c>
      <c r="E9788" s="486">
        <v>3072.98</v>
      </c>
    </row>
    <row r="9789" spans="1:5">
      <c r="A9789" s="349">
        <v>11900</v>
      </c>
      <c r="B9789" s="348" t="s">
        <v>9081</v>
      </c>
      <c r="C9789" s="349" t="s">
        <v>65</v>
      </c>
      <c r="D9789" s="483">
        <v>4213.5200000000004</v>
      </c>
      <c r="E9789" s="483">
        <v>4213.5200000000004</v>
      </c>
    </row>
    <row r="9790" spans="1:5" ht="57.75" customHeight="1">
      <c r="A9790" s="484">
        <v>14149</v>
      </c>
      <c r="B9790" s="485" t="s">
        <v>244</v>
      </c>
      <c r="C9790" s="484" t="s">
        <v>180</v>
      </c>
      <c r="D9790" s="486">
        <v>217.44</v>
      </c>
      <c r="E9790" s="486">
        <v>217.44</v>
      </c>
    </row>
    <row r="9791" spans="1:5" ht="57.75" customHeight="1">
      <c r="A9791" s="349">
        <v>38099</v>
      </c>
      <c r="B9791" s="348" t="s">
        <v>11521</v>
      </c>
      <c r="C9791" s="349" t="s">
        <v>65</v>
      </c>
      <c r="D9791" s="483">
        <v>1.1499999999999999</v>
      </c>
      <c r="E9791" s="483">
        <v>1.1499999999999999</v>
      </c>
    </row>
    <row r="9792" spans="1:5" ht="30">
      <c r="A9792" s="484">
        <v>38100</v>
      </c>
      <c r="B9792" s="485" t="s">
        <v>11522</v>
      </c>
      <c r="C9792" s="484" t="s">
        <v>65</v>
      </c>
      <c r="D9792" s="486">
        <v>1.89</v>
      </c>
      <c r="E9792" s="486">
        <v>1.89</v>
      </c>
    </row>
    <row r="9793" spans="1:5" ht="30">
      <c r="A9793" s="349">
        <v>20061</v>
      </c>
      <c r="B9793" s="348" t="s">
        <v>9085</v>
      </c>
      <c r="C9793" s="349" t="s">
        <v>65</v>
      </c>
      <c r="D9793" s="483">
        <v>2.3199999999999998</v>
      </c>
      <c r="E9793" s="483">
        <v>2.3199999999999998</v>
      </c>
    </row>
    <row r="9794" spans="1:5" ht="30">
      <c r="A9794" s="484">
        <v>7576</v>
      </c>
      <c r="B9794" s="485" t="s">
        <v>9086</v>
      </c>
      <c r="C9794" s="484" t="s">
        <v>65</v>
      </c>
      <c r="D9794" s="486">
        <v>85.72</v>
      </c>
      <c r="E9794" s="486">
        <v>85.72</v>
      </c>
    </row>
    <row r="9795" spans="1:5">
      <c r="A9795" s="349">
        <v>3384</v>
      </c>
      <c r="B9795" s="348" t="s">
        <v>9087</v>
      </c>
      <c r="C9795" s="349" t="s">
        <v>65</v>
      </c>
      <c r="D9795" s="483">
        <v>3.32</v>
      </c>
      <c r="E9795" s="483">
        <v>3.32</v>
      </c>
    </row>
    <row r="9796" spans="1:5">
      <c r="A9796" s="484">
        <v>7572</v>
      </c>
      <c r="B9796" s="485" t="s">
        <v>9088</v>
      </c>
      <c r="C9796" s="484" t="s">
        <v>65</v>
      </c>
      <c r="D9796" s="486">
        <v>7.03</v>
      </c>
      <c r="E9796" s="486">
        <v>7.03</v>
      </c>
    </row>
    <row r="9797" spans="1:5">
      <c r="A9797" s="349">
        <v>3396</v>
      </c>
      <c r="B9797" s="348" t="s">
        <v>9089</v>
      </c>
      <c r="C9797" s="349" t="s">
        <v>65</v>
      </c>
      <c r="D9797" s="483">
        <v>4.9800000000000004</v>
      </c>
      <c r="E9797" s="483">
        <v>4.9800000000000004</v>
      </c>
    </row>
    <row r="9798" spans="1:5">
      <c r="A9798" s="484">
        <v>37590</v>
      </c>
      <c r="B9798" s="485" t="s">
        <v>9090</v>
      </c>
      <c r="C9798" s="484" t="s">
        <v>65</v>
      </c>
      <c r="D9798" s="486">
        <v>19.489999999999998</v>
      </c>
      <c r="E9798" s="486">
        <v>19.489999999999998</v>
      </c>
    </row>
    <row r="9799" spans="1:5">
      <c r="A9799" s="349">
        <v>37591</v>
      </c>
      <c r="B9799" s="348" t="s">
        <v>9091</v>
      </c>
      <c r="C9799" s="349" t="s">
        <v>65</v>
      </c>
      <c r="D9799" s="483">
        <v>27.13</v>
      </c>
      <c r="E9799" s="483">
        <v>27.13</v>
      </c>
    </row>
    <row r="9800" spans="1:5" ht="30">
      <c r="A9800" s="484">
        <v>12626</v>
      </c>
      <c r="B9800" s="485" t="s">
        <v>9092</v>
      </c>
      <c r="C9800" s="484" t="s">
        <v>65</v>
      </c>
      <c r="D9800" s="486">
        <v>11.13</v>
      </c>
      <c r="E9800" s="486">
        <v>11.13</v>
      </c>
    </row>
    <row r="9801" spans="1:5">
      <c r="A9801" s="349">
        <v>11033</v>
      </c>
      <c r="B9801" s="348" t="s">
        <v>9093</v>
      </c>
      <c r="C9801" s="349" t="s">
        <v>65</v>
      </c>
      <c r="D9801" s="483">
        <v>3.71</v>
      </c>
      <c r="E9801" s="483">
        <v>3.71</v>
      </c>
    </row>
    <row r="9802" spans="1:5">
      <c r="A9802" s="484">
        <v>390</v>
      </c>
      <c r="B9802" s="485" t="s">
        <v>9094</v>
      </c>
      <c r="C9802" s="484" t="s">
        <v>65</v>
      </c>
      <c r="D9802" s="486">
        <v>10</v>
      </c>
      <c r="E9802" s="486">
        <v>10</v>
      </c>
    </row>
    <row r="9803" spans="1:5" ht="30">
      <c r="A9803" s="349">
        <v>6178</v>
      </c>
      <c r="B9803" s="348" t="s">
        <v>9102</v>
      </c>
      <c r="C9803" s="349" t="s">
        <v>256</v>
      </c>
      <c r="D9803" s="483">
        <v>176.04</v>
      </c>
      <c r="E9803" s="483">
        <v>176.04</v>
      </c>
    </row>
    <row r="9804" spans="1:5" ht="30">
      <c r="A9804" s="484">
        <v>6180</v>
      </c>
      <c r="B9804" s="485" t="s">
        <v>9103</v>
      </c>
      <c r="C9804" s="484" t="s">
        <v>256</v>
      </c>
      <c r="D9804" s="486">
        <v>190</v>
      </c>
      <c r="E9804" s="486">
        <v>190</v>
      </c>
    </row>
    <row r="9805" spans="1:5" ht="30">
      <c r="A9805" s="349">
        <v>6182</v>
      </c>
      <c r="B9805" s="348" t="s">
        <v>9104</v>
      </c>
      <c r="C9805" s="349" t="s">
        <v>256</v>
      </c>
      <c r="D9805" s="483">
        <v>235.83</v>
      </c>
      <c r="E9805" s="483">
        <v>235.83</v>
      </c>
    </row>
    <row r="9806" spans="1:5" ht="30">
      <c r="A9806" s="484">
        <v>3993</v>
      </c>
      <c r="B9806" s="485" t="s">
        <v>9105</v>
      </c>
      <c r="C9806" s="484" t="s">
        <v>256</v>
      </c>
      <c r="D9806" s="486">
        <v>40.79</v>
      </c>
      <c r="E9806" s="486">
        <v>40.79</v>
      </c>
    </row>
    <row r="9807" spans="1:5" ht="30">
      <c r="A9807" s="349">
        <v>3990</v>
      </c>
      <c r="B9807" s="348" t="s">
        <v>9106</v>
      </c>
      <c r="C9807" s="349" t="s">
        <v>71</v>
      </c>
      <c r="D9807" s="483">
        <v>9.01</v>
      </c>
      <c r="E9807" s="483">
        <v>9.01</v>
      </c>
    </row>
    <row r="9808" spans="1:5" ht="30">
      <c r="A9808" s="484">
        <v>3992</v>
      </c>
      <c r="B9808" s="485" t="s">
        <v>9107</v>
      </c>
      <c r="C9808" s="484" t="s">
        <v>71</v>
      </c>
      <c r="D9808" s="486">
        <v>11.06</v>
      </c>
      <c r="E9808" s="486">
        <v>11.06</v>
      </c>
    </row>
    <row r="9809" spans="1:5">
      <c r="A9809" s="349">
        <v>6193</v>
      </c>
      <c r="B9809" s="348" t="s">
        <v>9108</v>
      </c>
      <c r="C9809" s="349" t="s">
        <v>71</v>
      </c>
      <c r="D9809" s="483">
        <v>9.19</v>
      </c>
      <c r="E9809" s="483">
        <v>9.19</v>
      </c>
    </row>
    <row r="9810" spans="1:5">
      <c r="A9810" s="484">
        <v>6189</v>
      </c>
      <c r="B9810" s="485" t="s">
        <v>9109</v>
      </c>
      <c r="C9810" s="484" t="s">
        <v>71</v>
      </c>
      <c r="D9810" s="486">
        <v>13.78</v>
      </c>
      <c r="E9810" s="486">
        <v>13.78</v>
      </c>
    </row>
    <row r="9811" spans="1:5">
      <c r="A9811" s="349">
        <v>10567</v>
      </c>
      <c r="B9811" s="348" t="s">
        <v>9110</v>
      </c>
      <c r="C9811" s="349" t="s">
        <v>71</v>
      </c>
      <c r="D9811" s="483">
        <v>9.35</v>
      </c>
      <c r="E9811" s="483">
        <v>9.35</v>
      </c>
    </row>
    <row r="9812" spans="1:5" ht="43.5" customHeight="1">
      <c r="A9812" s="484">
        <v>6212</v>
      </c>
      <c r="B9812" s="485" t="s">
        <v>9111</v>
      </c>
      <c r="C9812" s="484" t="s">
        <v>71</v>
      </c>
      <c r="D9812" s="486">
        <v>13.09</v>
      </c>
      <c r="E9812" s="486">
        <v>13.09</v>
      </c>
    </row>
    <row r="9813" spans="1:5">
      <c r="A9813" s="349">
        <v>6188</v>
      </c>
      <c r="B9813" s="348" t="s">
        <v>9112</v>
      </c>
      <c r="C9813" s="349" t="s">
        <v>256</v>
      </c>
      <c r="D9813" s="483">
        <v>43.63</v>
      </c>
      <c r="E9813" s="483">
        <v>43.63</v>
      </c>
    </row>
    <row r="9814" spans="1:5">
      <c r="A9814" s="484">
        <v>6214</v>
      </c>
      <c r="B9814" s="485" t="s">
        <v>9113</v>
      </c>
      <c r="C9814" s="484" t="s">
        <v>256</v>
      </c>
      <c r="D9814" s="486">
        <v>110.27</v>
      </c>
      <c r="E9814" s="486">
        <v>110.27</v>
      </c>
    </row>
    <row r="9815" spans="1:5" ht="30">
      <c r="A9815" s="349">
        <v>36153</v>
      </c>
      <c r="B9815" s="348" t="s">
        <v>9114</v>
      </c>
      <c r="C9815" s="349" t="s">
        <v>65</v>
      </c>
      <c r="D9815" s="483">
        <v>127.06</v>
      </c>
      <c r="E9815" s="483">
        <v>127.06</v>
      </c>
    </row>
    <row r="9816" spans="1:5">
      <c r="A9816" s="484">
        <v>10740</v>
      </c>
      <c r="B9816" s="485" t="s">
        <v>9115</v>
      </c>
      <c r="C9816" s="484" t="s">
        <v>65</v>
      </c>
      <c r="D9816" s="486">
        <v>8521.5400000000009</v>
      </c>
      <c r="E9816" s="486">
        <v>8521.5400000000009</v>
      </c>
    </row>
    <row r="9817" spans="1:5">
      <c r="A9817" s="349">
        <v>13914</v>
      </c>
      <c r="B9817" s="348" t="s">
        <v>9117</v>
      </c>
      <c r="C9817" s="349" t="s">
        <v>65</v>
      </c>
      <c r="D9817" s="483">
        <v>616.55999999999995</v>
      </c>
      <c r="E9817" s="483">
        <v>616.55999999999995</v>
      </c>
    </row>
    <row r="9818" spans="1:5">
      <c r="A9818" s="484">
        <v>10742</v>
      </c>
      <c r="B9818" s="485" t="s">
        <v>9118</v>
      </c>
      <c r="C9818" s="484" t="s">
        <v>65</v>
      </c>
      <c r="D9818" s="486">
        <v>899.27</v>
      </c>
      <c r="E9818" s="486">
        <v>899.27</v>
      </c>
    </row>
    <row r="9819" spans="1:5">
      <c r="A9819" s="349">
        <v>38465</v>
      </c>
      <c r="B9819" s="348" t="s">
        <v>9125</v>
      </c>
      <c r="C9819" s="349" t="s">
        <v>65</v>
      </c>
      <c r="D9819" s="483">
        <v>19.829999999999998</v>
      </c>
      <c r="E9819" s="483">
        <v>19.829999999999998</v>
      </c>
    </row>
    <row r="9820" spans="1:5">
      <c r="A9820" s="484">
        <v>7543</v>
      </c>
      <c r="B9820" s="485" t="s">
        <v>9126</v>
      </c>
      <c r="C9820" s="484" t="s">
        <v>65</v>
      </c>
      <c r="D9820" s="486">
        <v>2.56</v>
      </c>
      <c r="E9820" s="486">
        <v>2.56</v>
      </c>
    </row>
    <row r="9821" spans="1:5">
      <c r="A9821" s="349">
        <v>13255</v>
      </c>
      <c r="B9821" s="348" t="s">
        <v>9127</v>
      </c>
      <c r="C9821" s="349" t="s">
        <v>65</v>
      </c>
      <c r="D9821" s="483">
        <v>31.2</v>
      </c>
      <c r="E9821" s="483">
        <v>31.2</v>
      </c>
    </row>
    <row r="9822" spans="1:5">
      <c r="A9822" s="484">
        <v>39352</v>
      </c>
      <c r="B9822" s="485" t="s">
        <v>9132</v>
      </c>
      <c r="C9822" s="484" t="s">
        <v>65</v>
      </c>
      <c r="D9822" s="486">
        <v>1.58</v>
      </c>
      <c r="E9822" s="486">
        <v>1.58</v>
      </c>
    </row>
    <row r="9823" spans="1:5">
      <c r="A9823" s="349">
        <v>39350</v>
      </c>
      <c r="B9823" s="348" t="s">
        <v>9129</v>
      </c>
      <c r="C9823" s="349" t="s">
        <v>65</v>
      </c>
      <c r="D9823" s="483">
        <v>1.7</v>
      </c>
      <c r="E9823" s="483">
        <v>1.7</v>
      </c>
    </row>
    <row r="9824" spans="1:5">
      <c r="A9824" s="484">
        <v>39346</v>
      </c>
      <c r="B9824" s="485" t="s">
        <v>9130</v>
      </c>
      <c r="C9824" s="484" t="s">
        <v>65</v>
      </c>
      <c r="D9824" s="486">
        <v>1.58</v>
      </c>
      <c r="E9824" s="486">
        <v>1.58</v>
      </c>
    </row>
    <row r="9825" spans="1:5">
      <c r="A9825" s="349">
        <v>39351</v>
      </c>
      <c r="B9825" s="348" t="s">
        <v>9131</v>
      </c>
      <c r="C9825" s="349" t="s">
        <v>65</v>
      </c>
      <c r="D9825" s="483">
        <v>1.97</v>
      </c>
      <c r="E9825" s="483">
        <v>1.97</v>
      </c>
    </row>
    <row r="9826" spans="1:5" ht="57.75" customHeight="1">
      <c r="A9826" s="484">
        <v>20964</v>
      </c>
      <c r="B9826" s="485" t="s">
        <v>9133</v>
      </c>
      <c r="C9826" s="484" t="s">
        <v>65</v>
      </c>
      <c r="D9826" s="486">
        <v>52.76</v>
      </c>
      <c r="E9826" s="486">
        <v>52.76</v>
      </c>
    </row>
    <row r="9827" spans="1:5" ht="30">
      <c r="A9827" s="349">
        <v>10905</v>
      </c>
      <c r="B9827" s="348" t="s">
        <v>9134</v>
      </c>
      <c r="C9827" s="349" t="s">
        <v>65</v>
      </c>
      <c r="D9827" s="483">
        <v>70.78</v>
      </c>
      <c r="E9827" s="483">
        <v>70.78</v>
      </c>
    </row>
    <row r="9828" spans="1:5">
      <c r="A9828" s="484">
        <v>6249</v>
      </c>
      <c r="B9828" s="485" t="s">
        <v>9135</v>
      </c>
      <c r="C9828" s="484" t="s">
        <v>65</v>
      </c>
      <c r="D9828" s="486">
        <v>58.02</v>
      </c>
      <c r="E9828" s="486">
        <v>58.02</v>
      </c>
    </row>
    <row r="9829" spans="1:5">
      <c r="A9829" s="349">
        <v>6251</v>
      </c>
      <c r="B9829" s="348" t="s">
        <v>9136</v>
      </c>
      <c r="C9829" s="349" t="s">
        <v>65</v>
      </c>
      <c r="D9829" s="483">
        <v>89.02</v>
      </c>
      <c r="E9829" s="483">
        <v>89.02</v>
      </c>
    </row>
    <row r="9830" spans="1:5">
      <c r="A9830" s="484">
        <v>6252</v>
      </c>
      <c r="B9830" s="485" t="s">
        <v>9137</v>
      </c>
      <c r="C9830" s="484" t="s">
        <v>65</v>
      </c>
      <c r="D9830" s="486">
        <v>113.62</v>
      </c>
      <c r="E9830" s="486">
        <v>113.62</v>
      </c>
    </row>
    <row r="9831" spans="1:5">
      <c r="A9831" s="349">
        <v>6250</v>
      </c>
      <c r="B9831" s="348" t="s">
        <v>9138</v>
      </c>
      <c r="C9831" s="349" t="s">
        <v>65</v>
      </c>
      <c r="D9831" s="483">
        <v>140.69</v>
      </c>
      <c r="E9831" s="483">
        <v>140.69</v>
      </c>
    </row>
    <row r="9832" spans="1:5">
      <c r="A9832" s="484">
        <v>11289</v>
      </c>
      <c r="B9832" s="485" t="s">
        <v>9139</v>
      </c>
      <c r="C9832" s="484" t="s">
        <v>65</v>
      </c>
      <c r="D9832" s="486">
        <v>52.96</v>
      </c>
      <c r="E9832" s="486">
        <v>52.96</v>
      </c>
    </row>
    <row r="9833" spans="1:5">
      <c r="A9833" s="349">
        <v>11241</v>
      </c>
      <c r="B9833" s="348" t="s">
        <v>9140</v>
      </c>
      <c r="C9833" s="349" t="s">
        <v>65</v>
      </c>
      <c r="D9833" s="483">
        <v>132.4</v>
      </c>
      <c r="E9833" s="483">
        <v>132.4</v>
      </c>
    </row>
    <row r="9834" spans="1:5" ht="30">
      <c r="A9834" s="484">
        <v>11301</v>
      </c>
      <c r="B9834" s="485" t="s">
        <v>9142</v>
      </c>
      <c r="C9834" s="484" t="s">
        <v>65</v>
      </c>
      <c r="D9834" s="486">
        <v>335.73</v>
      </c>
      <c r="E9834" s="486">
        <v>335.73</v>
      </c>
    </row>
    <row r="9835" spans="1:5" ht="29.25" customHeight="1">
      <c r="A9835" s="349">
        <v>21090</v>
      </c>
      <c r="B9835" s="348" t="s">
        <v>9143</v>
      </c>
      <c r="C9835" s="349" t="s">
        <v>65</v>
      </c>
      <c r="D9835" s="483">
        <v>411.39</v>
      </c>
      <c r="E9835" s="483">
        <v>411.39</v>
      </c>
    </row>
    <row r="9836" spans="1:5" ht="30">
      <c r="A9836" s="484">
        <v>14112</v>
      </c>
      <c r="B9836" s="485" t="s">
        <v>19725</v>
      </c>
      <c r="C9836" s="484" t="s">
        <v>65</v>
      </c>
      <c r="D9836" s="486">
        <v>171.65</v>
      </c>
      <c r="E9836" s="486">
        <v>171.65</v>
      </c>
    </row>
    <row r="9837" spans="1:5" ht="30">
      <c r="A9837" s="349">
        <v>11315</v>
      </c>
      <c r="B9837" s="348" t="s">
        <v>9146</v>
      </c>
      <c r="C9837" s="349" t="s">
        <v>65</v>
      </c>
      <c r="D9837" s="483">
        <v>80.38</v>
      </c>
      <c r="E9837" s="483">
        <v>80.38</v>
      </c>
    </row>
    <row r="9838" spans="1:5">
      <c r="A9838" s="484">
        <v>11292</v>
      </c>
      <c r="B9838" s="485" t="s">
        <v>9147</v>
      </c>
      <c r="C9838" s="484" t="s">
        <v>65</v>
      </c>
      <c r="D9838" s="486">
        <v>188.2</v>
      </c>
      <c r="E9838" s="486">
        <v>188.2</v>
      </c>
    </row>
    <row r="9839" spans="1:5" ht="30">
      <c r="A9839" s="349">
        <v>21071</v>
      </c>
      <c r="B9839" s="348" t="s">
        <v>9148</v>
      </c>
      <c r="C9839" s="349" t="s">
        <v>65</v>
      </c>
      <c r="D9839" s="483">
        <v>122.94</v>
      </c>
      <c r="E9839" s="483">
        <v>122.94</v>
      </c>
    </row>
    <row r="9840" spans="1:5" ht="30">
      <c r="A9840" s="484">
        <v>11293</v>
      </c>
      <c r="B9840" s="485" t="s">
        <v>9149</v>
      </c>
      <c r="C9840" s="484" t="s">
        <v>65</v>
      </c>
      <c r="D9840" s="486">
        <v>208.06</v>
      </c>
      <c r="E9840" s="486">
        <v>208.06</v>
      </c>
    </row>
    <row r="9841" spans="1:5" ht="30">
      <c r="A9841" s="349">
        <v>11316</v>
      </c>
      <c r="B9841" s="348" t="s">
        <v>9150</v>
      </c>
      <c r="C9841" s="349" t="s">
        <v>65</v>
      </c>
      <c r="D9841" s="483">
        <v>264.8</v>
      </c>
      <c r="E9841" s="483">
        <v>264.8</v>
      </c>
    </row>
    <row r="9842" spans="1:5" ht="30">
      <c r="A9842" s="484">
        <v>6243</v>
      </c>
      <c r="B9842" s="485" t="s">
        <v>9151</v>
      </c>
      <c r="C9842" s="484" t="s">
        <v>65</v>
      </c>
      <c r="D9842" s="486">
        <v>305</v>
      </c>
      <c r="E9842" s="486">
        <v>305</v>
      </c>
    </row>
    <row r="9843" spans="1:5" ht="30">
      <c r="A9843" s="349">
        <v>21079</v>
      </c>
      <c r="B9843" s="348" t="s">
        <v>9152</v>
      </c>
      <c r="C9843" s="349" t="s">
        <v>65</v>
      </c>
      <c r="D9843" s="483">
        <v>363.63</v>
      </c>
      <c r="E9843" s="483">
        <v>363.63</v>
      </c>
    </row>
    <row r="9844" spans="1:5" ht="30">
      <c r="A9844" s="484">
        <v>6240</v>
      </c>
      <c r="B9844" s="485" t="s">
        <v>9153</v>
      </c>
      <c r="C9844" s="484" t="s">
        <v>65</v>
      </c>
      <c r="D9844" s="486">
        <v>403.82</v>
      </c>
      <c r="E9844" s="486">
        <v>403.82</v>
      </c>
    </row>
    <row r="9845" spans="1:5" ht="30">
      <c r="A9845" s="349">
        <v>11296</v>
      </c>
      <c r="B9845" s="348" t="s">
        <v>9154</v>
      </c>
      <c r="C9845" s="349" t="s">
        <v>65</v>
      </c>
      <c r="D9845" s="483">
        <v>1286.67</v>
      </c>
      <c r="E9845" s="483">
        <v>1286.67</v>
      </c>
    </row>
    <row r="9846" spans="1:5" ht="29.25" customHeight="1">
      <c r="A9846" s="484">
        <v>11299</v>
      </c>
      <c r="B9846" s="485" t="s">
        <v>9155</v>
      </c>
      <c r="C9846" s="484" t="s">
        <v>65</v>
      </c>
      <c r="D9846" s="486">
        <v>435.51</v>
      </c>
      <c r="E9846" s="486">
        <v>435.51</v>
      </c>
    </row>
    <row r="9847" spans="1:5" ht="29.25" customHeight="1">
      <c r="A9847" s="349">
        <v>11066</v>
      </c>
      <c r="B9847" s="348" t="s">
        <v>9156</v>
      </c>
      <c r="C9847" s="349" t="s">
        <v>65</v>
      </c>
      <c r="D9847" s="483">
        <v>9.26</v>
      </c>
      <c r="E9847" s="483">
        <v>9.26</v>
      </c>
    </row>
    <row r="9848" spans="1:5" ht="30">
      <c r="A9848" s="484">
        <v>11065</v>
      </c>
      <c r="B9848" s="485" t="s">
        <v>9157</v>
      </c>
      <c r="C9848" s="484" t="s">
        <v>65</v>
      </c>
      <c r="D9848" s="486">
        <v>10.61</v>
      </c>
      <c r="E9848" s="486">
        <v>10.61</v>
      </c>
    </row>
    <row r="9849" spans="1:5">
      <c r="A9849" s="349">
        <v>2666</v>
      </c>
      <c r="B9849" s="348" t="s">
        <v>9158</v>
      </c>
      <c r="C9849" s="349" t="s">
        <v>65</v>
      </c>
      <c r="D9849" s="483">
        <v>2.31</v>
      </c>
      <c r="E9849" s="483">
        <v>2.31</v>
      </c>
    </row>
    <row r="9850" spans="1:5">
      <c r="A9850" s="484">
        <v>2668</v>
      </c>
      <c r="B9850" s="485" t="s">
        <v>9159</v>
      </c>
      <c r="C9850" s="484" t="s">
        <v>65</v>
      </c>
      <c r="D9850" s="486">
        <v>3.2</v>
      </c>
      <c r="E9850" s="486">
        <v>3.2</v>
      </c>
    </row>
    <row r="9851" spans="1:5">
      <c r="A9851" s="349">
        <v>2664</v>
      </c>
      <c r="B9851" s="348" t="s">
        <v>9160</v>
      </c>
      <c r="C9851" s="349" t="s">
        <v>65</v>
      </c>
      <c r="D9851" s="483">
        <v>4.46</v>
      </c>
      <c r="E9851" s="483">
        <v>4.46</v>
      </c>
    </row>
    <row r="9852" spans="1:5">
      <c r="A9852" s="484">
        <v>2662</v>
      </c>
      <c r="B9852" s="485" t="s">
        <v>9161</v>
      </c>
      <c r="C9852" s="484" t="s">
        <v>65</v>
      </c>
      <c r="D9852" s="486">
        <v>8.86</v>
      </c>
      <c r="E9852" s="486">
        <v>8.86</v>
      </c>
    </row>
    <row r="9853" spans="1:5">
      <c r="A9853" s="349">
        <v>11688</v>
      </c>
      <c r="B9853" s="348" t="s">
        <v>9164</v>
      </c>
      <c r="C9853" s="349" t="s">
        <v>65</v>
      </c>
      <c r="D9853" s="483">
        <v>297.67</v>
      </c>
      <c r="E9853" s="483">
        <v>297.67</v>
      </c>
    </row>
    <row r="9854" spans="1:5" ht="45">
      <c r="A9854" s="484">
        <v>37736</v>
      </c>
      <c r="B9854" s="485" t="s">
        <v>9165</v>
      </c>
      <c r="C9854" s="484" t="s">
        <v>65</v>
      </c>
      <c r="D9854" s="486">
        <v>23250</v>
      </c>
      <c r="E9854" s="486">
        <v>23250</v>
      </c>
    </row>
    <row r="9855" spans="1:5" ht="30">
      <c r="A9855" s="349">
        <v>37739</v>
      </c>
      <c r="B9855" s="348" t="s">
        <v>9166</v>
      </c>
      <c r="C9855" s="349" t="s">
        <v>65</v>
      </c>
      <c r="D9855" s="483">
        <v>28615.38</v>
      </c>
      <c r="E9855" s="483">
        <v>28615.38</v>
      </c>
    </row>
    <row r="9856" spans="1:5" ht="30">
      <c r="A9856" s="484">
        <v>37740</v>
      </c>
      <c r="B9856" s="485" t="s">
        <v>9167</v>
      </c>
      <c r="C9856" s="484" t="s">
        <v>65</v>
      </c>
      <c r="D9856" s="486">
        <v>16329.43</v>
      </c>
      <c r="E9856" s="486">
        <v>16329.43</v>
      </c>
    </row>
    <row r="9857" spans="1:5" ht="30">
      <c r="A9857" s="349">
        <v>37738</v>
      </c>
      <c r="B9857" s="348" t="s">
        <v>9168</v>
      </c>
      <c r="C9857" s="349" t="s">
        <v>65</v>
      </c>
      <c r="D9857" s="483">
        <v>19400.919999999998</v>
      </c>
      <c r="E9857" s="483">
        <v>19400.919999999998</v>
      </c>
    </row>
    <row r="9858" spans="1:5" ht="30">
      <c r="A9858" s="484">
        <v>37737</v>
      </c>
      <c r="B9858" s="485" t="s">
        <v>9169</v>
      </c>
      <c r="C9858" s="484" t="s">
        <v>65</v>
      </c>
      <c r="D9858" s="486">
        <v>15435.2</v>
      </c>
      <c r="E9858" s="486">
        <v>15435.2</v>
      </c>
    </row>
    <row r="9859" spans="1:5">
      <c r="A9859" s="349">
        <v>25014</v>
      </c>
      <c r="B9859" s="348" t="s">
        <v>9170</v>
      </c>
      <c r="C9859" s="349" t="s">
        <v>65</v>
      </c>
      <c r="D9859" s="483">
        <v>32328.38</v>
      </c>
      <c r="E9859" s="483">
        <v>32328.38</v>
      </c>
    </row>
    <row r="9860" spans="1:5">
      <c r="A9860" s="484">
        <v>25013</v>
      </c>
      <c r="B9860" s="485" t="s">
        <v>9177</v>
      </c>
      <c r="C9860" s="484" t="s">
        <v>65</v>
      </c>
      <c r="D9860" s="486">
        <v>33883.57</v>
      </c>
      <c r="E9860" s="486">
        <v>33883.57</v>
      </c>
    </row>
    <row r="9861" spans="1:5">
      <c r="A9861" s="349">
        <v>14405</v>
      </c>
      <c r="B9861" s="348" t="s">
        <v>9178</v>
      </c>
      <c r="C9861" s="349" t="s">
        <v>65</v>
      </c>
      <c r="D9861" s="483">
        <v>39773.82</v>
      </c>
      <c r="E9861" s="483">
        <v>39773.82</v>
      </c>
    </row>
    <row r="9862" spans="1:5" ht="30">
      <c r="A9862" s="484">
        <v>6253</v>
      </c>
      <c r="B9862" s="485" t="s">
        <v>9185</v>
      </c>
      <c r="C9862" s="484" t="s">
        <v>65</v>
      </c>
      <c r="D9862" s="486">
        <v>61.61</v>
      </c>
      <c r="E9862" s="486">
        <v>61.61</v>
      </c>
    </row>
    <row r="9863" spans="1:5">
      <c r="A9863" s="349">
        <v>36790</v>
      </c>
      <c r="B9863" s="348" t="s">
        <v>9202</v>
      </c>
      <c r="C9863" s="349" t="s">
        <v>65</v>
      </c>
      <c r="D9863" s="483">
        <v>215.23</v>
      </c>
      <c r="E9863" s="483">
        <v>215.23</v>
      </c>
    </row>
    <row r="9864" spans="1:5">
      <c r="A9864" s="484">
        <v>20271</v>
      </c>
      <c r="B9864" s="485" t="s">
        <v>9203</v>
      </c>
      <c r="C9864" s="484" t="s">
        <v>65</v>
      </c>
      <c r="D9864" s="486">
        <v>480.23</v>
      </c>
      <c r="E9864" s="486">
        <v>480.23</v>
      </c>
    </row>
    <row r="9865" spans="1:5">
      <c r="A9865" s="349">
        <v>10423</v>
      </c>
      <c r="B9865" s="348" t="s">
        <v>9204</v>
      </c>
      <c r="C9865" s="349" t="s">
        <v>65</v>
      </c>
      <c r="D9865" s="483">
        <v>297.85000000000002</v>
      </c>
      <c r="E9865" s="483">
        <v>297.85000000000002</v>
      </c>
    </row>
    <row r="9866" spans="1:5">
      <c r="A9866" s="484">
        <v>37589</v>
      </c>
      <c r="B9866" s="485" t="s">
        <v>9205</v>
      </c>
      <c r="C9866" s="484" t="s">
        <v>65</v>
      </c>
      <c r="D9866" s="486">
        <v>263.70999999999998</v>
      </c>
      <c r="E9866" s="486">
        <v>263.70999999999998</v>
      </c>
    </row>
    <row r="9867" spans="1:5" ht="30">
      <c r="A9867" s="349">
        <v>11690</v>
      </c>
      <c r="B9867" s="348" t="s">
        <v>9206</v>
      </c>
      <c r="C9867" s="349" t="s">
        <v>65</v>
      </c>
      <c r="D9867" s="483">
        <v>140.09</v>
      </c>
      <c r="E9867" s="483">
        <v>140.09</v>
      </c>
    </row>
    <row r="9868" spans="1:5">
      <c r="A9868" s="484">
        <v>20234</v>
      </c>
      <c r="B9868" s="485" t="s">
        <v>9207</v>
      </c>
      <c r="C9868" s="484" t="s">
        <v>65</v>
      </c>
      <c r="D9868" s="486">
        <v>177.28</v>
      </c>
      <c r="E9868" s="486">
        <v>177.28</v>
      </c>
    </row>
    <row r="9869" spans="1:5">
      <c r="A9869" s="349">
        <v>4763</v>
      </c>
      <c r="B9869" s="348" t="s">
        <v>245</v>
      </c>
      <c r="C9869" s="349" t="s">
        <v>57</v>
      </c>
      <c r="D9869" s="483">
        <v>12.1</v>
      </c>
      <c r="E9869" s="483">
        <v>12.1</v>
      </c>
    </row>
    <row r="9870" spans="1:5">
      <c r="A9870" s="484">
        <v>41070</v>
      </c>
      <c r="B9870" s="485" t="s">
        <v>9209</v>
      </c>
      <c r="C9870" s="484" t="s">
        <v>1643</v>
      </c>
      <c r="D9870" s="486">
        <v>2132.4299999999998</v>
      </c>
      <c r="E9870" s="486">
        <v>2132.4299999999998</v>
      </c>
    </row>
    <row r="9871" spans="1:5">
      <c r="A9871" s="349">
        <v>14583</v>
      </c>
      <c r="B9871" s="348" t="s">
        <v>9210</v>
      </c>
      <c r="C9871" s="349" t="s">
        <v>255</v>
      </c>
      <c r="D9871" s="483">
        <v>12.29</v>
      </c>
      <c r="E9871" s="483">
        <v>12.29</v>
      </c>
    </row>
    <row r="9872" spans="1:5" ht="30">
      <c r="A9872" s="484">
        <v>14250</v>
      </c>
      <c r="B9872" s="485" t="s">
        <v>9211</v>
      </c>
      <c r="C9872" s="484" t="s">
        <v>169</v>
      </c>
      <c r="D9872" s="486">
        <v>0.65</v>
      </c>
      <c r="E9872" s="486">
        <v>0.65</v>
      </c>
    </row>
    <row r="9873" spans="1:5">
      <c r="A9873" s="349">
        <v>11457</v>
      </c>
      <c r="B9873" s="348" t="s">
        <v>9212</v>
      </c>
      <c r="C9873" s="349" t="s">
        <v>65</v>
      </c>
      <c r="D9873" s="483">
        <v>22.34</v>
      </c>
      <c r="E9873" s="483">
        <v>22.34</v>
      </c>
    </row>
    <row r="9874" spans="1:5">
      <c r="A9874" s="484">
        <v>21121</v>
      </c>
      <c r="B9874" s="485" t="s">
        <v>9222</v>
      </c>
      <c r="C9874" s="484" t="s">
        <v>65</v>
      </c>
      <c r="D9874" s="486">
        <v>2.58</v>
      </c>
      <c r="E9874" s="486">
        <v>2.58</v>
      </c>
    </row>
    <row r="9875" spans="1:5">
      <c r="A9875" s="349">
        <v>38010</v>
      </c>
      <c r="B9875" s="348" t="s">
        <v>9223</v>
      </c>
      <c r="C9875" s="349" t="s">
        <v>65</v>
      </c>
      <c r="D9875" s="483">
        <v>4.2300000000000004</v>
      </c>
      <c r="E9875" s="483">
        <v>4.2300000000000004</v>
      </c>
    </row>
    <row r="9876" spans="1:5">
      <c r="A9876" s="484">
        <v>38011</v>
      </c>
      <c r="B9876" s="485" t="s">
        <v>9224</v>
      </c>
      <c r="C9876" s="484" t="s">
        <v>65</v>
      </c>
      <c r="D9876" s="486">
        <v>7.8</v>
      </c>
      <c r="E9876" s="486">
        <v>7.8</v>
      </c>
    </row>
    <row r="9877" spans="1:5">
      <c r="A9877" s="349">
        <v>38012</v>
      </c>
      <c r="B9877" s="348" t="s">
        <v>9225</v>
      </c>
      <c r="C9877" s="349" t="s">
        <v>65</v>
      </c>
      <c r="D9877" s="483">
        <v>26.66</v>
      </c>
      <c r="E9877" s="483">
        <v>26.66</v>
      </c>
    </row>
    <row r="9878" spans="1:5">
      <c r="A9878" s="484">
        <v>38013</v>
      </c>
      <c r="B9878" s="485" t="s">
        <v>9226</v>
      </c>
      <c r="C9878" s="484" t="s">
        <v>65</v>
      </c>
      <c r="D9878" s="486">
        <v>34.61</v>
      </c>
      <c r="E9878" s="486">
        <v>34.61</v>
      </c>
    </row>
    <row r="9879" spans="1:5">
      <c r="A9879" s="349">
        <v>38014</v>
      </c>
      <c r="B9879" s="348" t="s">
        <v>9227</v>
      </c>
      <c r="C9879" s="349" t="s">
        <v>65</v>
      </c>
      <c r="D9879" s="483">
        <v>56.32</v>
      </c>
      <c r="E9879" s="483">
        <v>56.32</v>
      </c>
    </row>
    <row r="9880" spans="1:5">
      <c r="A9880" s="484">
        <v>38015</v>
      </c>
      <c r="B9880" s="485" t="s">
        <v>9228</v>
      </c>
      <c r="C9880" s="484" t="s">
        <v>65</v>
      </c>
      <c r="D9880" s="486">
        <v>135.99</v>
      </c>
      <c r="E9880" s="486">
        <v>135.99</v>
      </c>
    </row>
    <row r="9881" spans="1:5">
      <c r="A9881" s="349">
        <v>38016</v>
      </c>
      <c r="B9881" s="348" t="s">
        <v>9229</v>
      </c>
      <c r="C9881" s="349" t="s">
        <v>65</v>
      </c>
      <c r="D9881" s="483">
        <v>165.47</v>
      </c>
      <c r="E9881" s="483">
        <v>165.47</v>
      </c>
    </row>
    <row r="9882" spans="1:5">
      <c r="A9882" s="484">
        <v>12741</v>
      </c>
      <c r="B9882" s="485" t="s">
        <v>9233</v>
      </c>
      <c r="C9882" s="484" t="s">
        <v>65</v>
      </c>
      <c r="D9882" s="486">
        <v>657.37</v>
      </c>
      <c r="E9882" s="486">
        <v>657.37</v>
      </c>
    </row>
    <row r="9883" spans="1:5">
      <c r="A9883" s="349">
        <v>12733</v>
      </c>
      <c r="B9883" s="348" t="s">
        <v>9234</v>
      </c>
      <c r="C9883" s="349" t="s">
        <v>65</v>
      </c>
      <c r="D9883" s="483">
        <v>3.3</v>
      </c>
      <c r="E9883" s="483">
        <v>3.3</v>
      </c>
    </row>
    <row r="9884" spans="1:5">
      <c r="A9884" s="484">
        <v>12734</v>
      </c>
      <c r="B9884" s="485" t="s">
        <v>9235</v>
      </c>
      <c r="C9884" s="484" t="s">
        <v>65</v>
      </c>
      <c r="D9884" s="486">
        <v>7.05</v>
      </c>
      <c r="E9884" s="486">
        <v>7.05</v>
      </c>
    </row>
    <row r="9885" spans="1:5">
      <c r="A9885" s="349">
        <v>12735</v>
      </c>
      <c r="B9885" s="348" t="s">
        <v>9236</v>
      </c>
      <c r="C9885" s="349" t="s">
        <v>65</v>
      </c>
      <c r="D9885" s="483">
        <v>11.59</v>
      </c>
      <c r="E9885" s="483">
        <v>11.59</v>
      </c>
    </row>
    <row r="9886" spans="1:5">
      <c r="A9886" s="484">
        <v>12736</v>
      </c>
      <c r="B9886" s="485" t="s">
        <v>9237</v>
      </c>
      <c r="C9886" s="484" t="s">
        <v>65</v>
      </c>
      <c r="D9886" s="486">
        <v>26.51</v>
      </c>
      <c r="E9886" s="486">
        <v>26.51</v>
      </c>
    </row>
    <row r="9887" spans="1:5">
      <c r="A9887" s="349">
        <v>12737</v>
      </c>
      <c r="B9887" s="348" t="s">
        <v>9238</v>
      </c>
      <c r="C9887" s="349" t="s">
        <v>65</v>
      </c>
      <c r="D9887" s="483">
        <v>34.15</v>
      </c>
      <c r="E9887" s="483">
        <v>34.15</v>
      </c>
    </row>
    <row r="9888" spans="1:5">
      <c r="A9888" s="484">
        <v>12738</v>
      </c>
      <c r="B9888" s="485" t="s">
        <v>9239</v>
      </c>
      <c r="C9888" s="484" t="s">
        <v>65</v>
      </c>
      <c r="D9888" s="486">
        <v>67.5</v>
      </c>
      <c r="E9888" s="486">
        <v>67.5</v>
      </c>
    </row>
    <row r="9889" spans="1:5">
      <c r="A9889" s="349">
        <v>12739</v>
      </c>
      <c r="B9889" s="348" t="s">
        <v>9240</v>
      </c>
      <c r="C9889" s="349" t="s">
        <v>65</v>
      </c>
      <c r="D9889" s="483">
        <v>192.16</v>
      </c>
      <c r="E9889" s="483">
        <v>192.16</v>
      </c>
    </row>
    <row r="9890" spans="1:5">
      <c r="A9890" s="484">
        <v>12740</v>
      </c>
      <c r="B9890" s="485" t="s">
        <v>9241</v>
      </c>
      <c r="C9890" s="484" t="s">
        <v>65</v>
      </c>
      <c r="D9890" s="486">
        <v>300.64999999999998</v>
      </c>
      <c r="E9890" s="486">
        <v>300.64999999999998</v>
      </c>
    </row>
    <row r="9891" spans="1:5">
      <c r="A9891" s="349">
        <v>6297</v>
      </c>
      <c r="B9891" s="348" t="s">
        <v>11524</v>
      </c>
      <c r="C9891" s="349" t="s">
        <v>65</v>
      </c>
      <c r="D9891" s="483">
        <v>20.67</v>
      </c>
      <c r="E9891" s="483">
        <v>20.67</v>
      </c>
    </row>
    <row r="9892" spans="1:5">
      <c r="A9892" s="484">
        <v>6296</v>
      </c>
      <c r="B9892" s="485" t="s">
        <v>11525</v>
      </c>
      <c r="C9892" s="484" t="s">
        <v>65</v>
      </c>
      <c r="D9892" s="486">
        <v>16.32</v>
      </c>
      <c r="E9892" s="486">
        <v>16.32</v>
      </c>
    </row>
    <row r="9893" spans="1:5">
      <c r="A9893" s="349">
        <v>6294</v>
      </c>
      <c r="B9893" s="348" t="s">
        <v>11526</v>
      </c>
      <c r="C9893" s="349" t="s">
        <v>65</v>
      </c>
      <c r="D9893" s="483">
        <v>4.6500000000000004</v>
      </c>
      <c r="E9893" s="483">
        <v>4.6500000000000004</v>
      </c>
    </row>
    <row r="9894" spans="1:5">
      <c r="A9894" s="484">
        <v>6323</v>
      </c>
      <c r="B9894" s="485" t="s">
        <v>11527</v>
      </c>
      <c r="C9894" s="484" t="s">
        <v>65</v>
      </c>
      <c r="D9894" s="486">
        <v>10.66</v>
      </c>
      <c r="E9894" s="486">
        <v>10.66</v>
      </c>
    </row>
    <row r="9895" spans="1:5">
      <c r="A9895" s="349">
        <v>6299</v>
      </c>
      <c r="B9895" s="348" t="s">
        <v>11528</v>
      </c>
      <c r="C9895" s="349" t="s">
        <v>65</v>
      </c>
      <c r="D9895" s="483">
        <v>62.19</v>
      </c>
      <c r="E9895" s="483">
        <v>62.19</v>
      </c>
    </row>
    <row r="9896" spans="1:5">
      <c r="A9896" s="484">
        <v>6298</v>
      </c>
      <c r="B9896" s="485" t="s">
        <v>11529</v>
      </c>
      <c r="C9896" s="484" t="s">
        <v>65</v>
      </c>
      <c r="D9896" s="486">
        <v>32.75</v>
      </c>
      <c r="E9896" s="486">
        <v>32.75</v>
      </c>
    </row>
    <row r="9897" spans="1:5">
      <c r="A9897" s="349">
        <v>6295</v>
      </c>
      <c r="B9897" s="348" t="s">
        <v>11530</v>
      </c>
      <c r="C9897" s="349" t="s">
        <v>65</v>
      </c>
      <c r="D9897" s="483">
        <v>6.62</v>
      </c>
      <c r="E9897" s="483">
        <v>6.62</v>
      </c>
    </row>
    <row r="9898" spans="1:5">
      <c r="A9898" s="484">
        <v>6322</v>
      </c>
      <c r="B9898" s="485" t="s">
        <v>11531</v>
      </c>
      <c r="C9898" s="484" t="s">
        <v>65</v>
      </c>
      <c r="D9898" s="486">
        <v>83.29</v>
      </c>
      <c r="E9898" s="486">
        <v>83.29</v>
      </c>
    </row>
    <row r="9899" spans="1:5" ht="29.25" customHeight="1">
      <c r="A9899" s="349">
        <v>6300</v>
      </c>
      <c r="B9899" s="348" t="s">
        <v>11532</v>
      </c>
      <c r="C9899" s="349" t="s">
        <v>65</v>
      </c>
      <c r="D9899" s="483">
        <v>153.56</v>
      </c>
      <c r="E9899" s="483">
        <v>153.56</v>
      </c>
    </row>
    <row r="9900" spans="1:5">
      <c r="A9900" s="484">
        <v>6321</v>
      </c>
      <c r="B9900" s="485" t="s">
        <v>11533</v>
      </c>
      <c r="C9900" s="484" t="s">
        <v>65</v>
      </c>
      <c r="D9900" s="486">
        <v>219.35</v>
      </c>
      <c r="E9900" s="486">
        <v>219.35</v>
      </c>
    </row>
    <row r="9901" spans="1:5">
      <c r="A9901" s="349">
        <v>6301</v>
      </c>
      <c r="B9901" s="348" t="s">
        <v>11534</v>
      </c>
      <c r="C9901" s="349" t="s">
        <v>65</v>
      </c>
      <c r="D9901" s="483">
        <v>514.14</v>
      </c>
      <c r="E9901" s="483">
        <v>514.14</v>
      </c>
    </row>
    <row r="9902" spans="1:5">
      <c r="A9902" s="484">
        <v>7105</v>
      </c>
      <c r="B9902" s="485" t="s">
        <v>9254</v>
      </c>
      <c r="C9902" s="484" t="s">
        <v>65</v>
      </c>
      <c r="D9902" s="486">
        <v>30.31</v>
      </c>
      <c r="E9902" s="486">
        <v>30.31</v>
      </c>
    </row>
    <row r="9903" spans="1:5">
      <c r="A9903" s="349">
        <v>20183</v>
      </c>
      <c r="B9903" s="348" t="s">
        <v>9255</v>
      </c>
      <c r="C9903" s="349" t="s">
        <v>65</v>
      </c>
      <c r="D9903" s="483">
        <v>33.93</v>
      </c>
      <c r="E9903" s="483">
        <v>33.93</v>
      </c>
    </row>
    <row r="9904" spans="1:5">
      <c r="A9904" s="484">
        <v>38448</v>
      </c>
      <c r="B9904" s="485" t="s">
        <v>9256</v>
      </c>
      <c r="C9904" s="484" t="s">
        <v>65</v>
      </c>
      <c r="D9904" s="486">
        <v>180.05</v>
      </c>
      <c r="E9904" s="486">
        <v>180.05</v>
      </c>
    </row>
    <row r="9905" spans="1:5">
      <c r="A9905" s="349">
        <v>20182</v>
      </c>
      <c r="B9905" s="348" t="s">
        <v>9257</v>
      </c>
      <c r="C9905" s="349" t="s">
        <v>65</v>
      </c>
      <c r="D9905" s="483">
        <v>25.02</v>
      </c>
      <c r="E9905" s="483">
        <v>25.02</v>
      </c>
    </row>
    <row r="9906" spans="1:5">
      <c r="A9906" s="484">
        <v>7119</v>
      </c>
      <c r="B9906" s="485" t="s">
        <v>9262</v>
      </c>
      <c r="C9906" s="484" t="s">
        <v>65</v>
      </c>
      <c r="D9906" s="486">
        <v>6.69</v>
      </c>
      <c r="E9906" s="486">
        <v>6.69</v>
      </c>
    </row>
    <row r="9907" spans="1:5">
      <c r="A9907" s="349">
        <v>7120</v>
      </c>
      <c r="B9907" s="348" t="s">
        <v>9263</v>
      </c>
      <c r="C9907" s="349" t="s">
        <v>65</v>
      </c>
      <c r="D9907" s="483">
        <v>3.96</v>
      </c>
      <c r="E9907" s="483">
        <v>3.96</v>
      </c>
    </row>
    <row r="9908" spans="1:5">
      <c r="A9908" s="484">
        <v>6319</v>
      </c>
      <c r="B9908" s="485" t="s">
        <v>9264</v>
      </c>
      <c r="C9908" s="484" t="s">
        <v>65</v>
      </c>
      <c r="D9908" s="486">
        <v>24.29</v>
      </c>
      <c r="E9908" s="486">
        <v>24.29</v>
      </c>
    </row>
    <row r="9909" spans="1:5">
      <c r="A9909" s="349">
        <v>6304</v>
      </c>
      <c r="B9909" s="348" t="s">
        <v>9265</v>
      </c>
      <c r="C9909" s="349" t="s">
        <v>65</v>
      </c>
      <c r="D9909" s="483">
        <v>24.29</v>
      </c>
      <c r="E9909" s="483">
        <v>24.29</v>
      </c>
    </row>
    <row r="9910" spans="1:5">
      <c r="A9910" s="484">
        <v>21116</v>
      </c>
      <c r="B9910" s="485" t="s">
        <v>9266</v>
      </c>
      <c r="C9910" s="484" t="s">
        <v>65</v>
      </c>
      <c r="D9910" s="486">
        <v>18.39</v>
      </c>
      <c r="E9910" s="486">
        <v>18.39</v>
      </c>
    </row>
    <row r="9911" spans="1:5">
      <c r="A9911" s="349">
        <v>6320</v>
      </c>
      <c r="B9911" s="348" t="s">
        <v>9267</v>
      </c>
      <c r="C9911" s="349" t="s">
        <v>65</v>
      </c>
      <c r="D9911" s="483">
        <v>12.51</v>
      </c>
      <c r="E9911" s="483">
        <v>12.51</v>
      </c>
    </row>
    <row r="9912" spans="1:5">
      <c r="A9912" s="484">
        <v>6303</v>
      </c>
      <c r="B9912" s="485" t="s">
        <v>9268</v>
      </c>
      <c r="C9912" s="484" t="s">
        <v>65</v>
      </c>
      <c r="D9912" s="486">
        <v>12.51</v>
      </c>
      <c r="E9912" s="486">
        <v>12.51</v>
      </c>
    </row>
    <row r="9913" spans="1:5">
      <c r="A9913" s="349">
        <v>6308</v>
      </c>
      <c r="B9913" s="348" t="s">
        <v>9269</v>
      </c>
      <c r="C9913" s="349" t="s">
        <v>65</v>
      </c>
      <c r="D9913" s="483">
        <v>67.209999999999994</v>
      </c>
      <c r="E9913" s="483">
        <v>67.209999999999994</v>
      </c>
    </row>
    <row r="9914" spans="1:5">
      <c r="A9914" s="484">
        <v>6317</v>
      </c>
      <c r="B9914" s="485" t="s">
        <v>9270</v>
      </c>
      <c r="C9914" s="484" t="s">
        <v>65</v>
      </c>
      <c r="D9914" s="486">
        <v>67.209999999999994</v>
      </c>
      <c r="E9914" s="486">
        <v>67.209999999999994</v>
      </c>
    </row>
    <row r="9915" spans="1:5">
      <c r="A9915" s="349">
        <v>6307</v>
      </c>
      <c r="B9915" s="348" t="s">
        <v>9271</v>
      </c>
      <c r="C9915" s="349" t="s">
        <v>65</v>
      </c>
      <c r="D9915" s="483">
        <v>67.209999999999994</v>
      </c>
      <c r="E9915" s="483">
        <v>67.209999999999994</v>
      </c>
    </row>
    <row r="9916" spans="1:5">
      <c r="A9916" s="484">
        <v>6309</v>
      </c>
      <c r="B9916" s="485" t="s">
        <v>9272</v>
      </c>
      <c r="C9916" s="484" t="s">
        <v>65</v>
      </c>
      <c r="D9916" s="486">
        <v>69.17</v>
      </c>
      <c r="E9916" s="486">
        <v>69.17</v>
      </c>
    </row>
    <row r="9917" spans="1:5">
      <c r="A9917" s="349">
        <v>6318</v>
      </c>
      <c r="B9917" s="348" t="s">
        <v>9273</v>
      </c>
      <c r="C9917" s="349" t="s">
        <v>65</v>
      </c>
      <c r="D9917" s="483">
        <v>36.26</v>
      </c>
      <c r="E9917" s="483">
        <v>36.26</v>
      </c>
    </row>
    <row r="9918" spans="1:5">
      <c r="A9918" s="484">
        <v>6306</v>
      </c>
      <c r="B9918" s="485" t="s">
        <v>9274</v>
      </c>
      <c r="C9918" s="484" t="s">
        <v>65</v>
      </c>
      <c r="D9918" s="486">
        <v>36.26</v>
      </c>
      <c r="E9918" s="486">
        <v>36.26</v>
      </c>
    </row>
    <row r="9919" spans="1:5">
      <c r="A9919" s="349">
        <v>6305</v>
      </c>
      <c r="B9919" s="348" t="s">
        <v>9275</v>
      </c>
      <c r="C9919" s="349" t="s">
        <v>65</v>
      </c>
      <c r="D9919" s="483">
        <v>36.26</v>
      </c>
      <c r="E9919" s="483">
        <v>36.26</v>
      </c>
    </row>
    <row r="9920" spans="1:5">
      <c r="A9920" s="484">
        <v>6302</v>
      </c>
      <c r="B9920" s="485" t="s">
        <v>9281</v>
      </c>
      <c r="C9920" s="484" t="s">
        <v>65</v>
      </c>
      <c r="D9920" s="486">
        <v>7.69</v>
      </c>
      <c r="E9920" s="486">
        <v>7.69</v>
      </c>
    </row>
    <row r="9921" spans="1:5">
      <c r="A9921" s="349">
        <v>6312</v>
      </c>
      <c r="B9921" s="348" t="s">
        <v>9276</v>
      </c>
      <c r="C9921" s="349" t="s">
        <v>65</v>
      </c>
      <c r="D9921" s="483">
        <v>96.68</v>
      </c>
      <c r="E9921" s="483">
        <v>96.68</v>
      </c>
    </row>
    <row r="9922" spans="1:5">
      <c r="A9922" s="484">
        <v>6311</v>
      </c>
      <c r="B9922" s="485" t="s">
        <v>9277</v>
      </c>
      <c r="C9922" s="484" t="s">
        <v>65</v>
      </c>
      <c r="D9922" s="486">
        <v>96.68</v>
      </c>
      <c r="E9922" s="486">
        <v>96.68</v>
      </c>
    </row>
    <row r="9923" spans="1:5">
      <c r="A9923" s="349">
        <v>6310</v>
      </c>
      <c r="B9923" s="348" t="s">
        <v>9278</v>
      </c>
      <c r="C9923" s="349" t="s">
        <v>65</v>
      </c>
      <c r="D9923" s="483">
        <v>96.68</v>
      </c>
      <c r="E9923" s="483">
        <v>96.68</v>
      </c>
    </row>
    <row r="9924" spans="1:5">
      <c r="A9924" s="484">
        <v>6314</v>
      </c>
      <c r="B9924" s="485" t="s">
        <v>9279</v>
      </c>
      <c r="C9924" s="484" t="s">
        <v>65</v>
      </c>
      <c r="D9924" s="486">
        <v>96.68</v>
      </c>
      <c r="E9924" s="486">
        <v>96.68</v>
      </c>
    </row>
    <row r="9925" spans="1:5">
      <c r="A9925" s="349">
        <v>6313</v>
      </c>
      <c r="B9925" s="348" t="s">
        <v>9280</v>
      </c>
      <c r="C9925" s="349" t="s">
        <v>65</v>
      </c>
      <c r="D9925" s="483">
        <v>96.68</v>
      </c>
      <c r="E9925" s="483">
        <v>96.68</v>
      </c>
    </row>
    <row r="9926" spans="1:5">
      <c r="A9926" s="484">
        <v>6315</v>
      </c>
      <c r="B9926" s="485" t="s">
        <v>9282</v>
      </c>
      <c r="C9926" s="484" t="s">
        <v>65</v>
      </c>
      <c r="D9926" s="486">
        <v>183.07</v>
      </c>
      <c r="E9926" s="486">
        <v>183.07</v>
      </c>
    </row>
    <row r="9927" spans="1:5">
      <c r="A9927" s="349">
        <v>6316</v>
      </c>
      <c r="B9927" s="348" t="s">
        <v>9283</v>
      </c>
      <c r="C9927" s="349" t="s">
        <v>65</v>
      </c>
      <c r="D9927" s="483">
        <v>183.07</v>
      </c>
      <c r="E9927" s="483">
        <v>183.07</v>
      </c>
    </row>
    <row r="9928" spans="1:5">
      <c r="A9928" s="484">
        <v>39324</v>
      </c>
      <c r="B9928" s="485" t="s">
        <v>9284</v>
      </c>
      <c r="C9928" s="484" t="s">
        <v>65</v>
      </c>
      <c r="D9928" s="486">
        <v>5.73</v>
      </c>
      <c r="E9928" s="486">
        <v>5.73</v>
      </c>
    </row>
    <row r="9929" spans="1:5">
      <c r="A9929" s="349">
        <v>39325</v>
      </c>
      <c r="B9929" s="348" t="s">
        <v>9285</v>
      </c>
      <c r="C9929" s="349" t="s">
        <v>65</v>
      </c>
      <c r="D9929" s="483">
        <v>8.67</v>
      </c>
      <c r="E9929" s="483">
        <v>8.67</v>
      </c>
    </row>
    <row r="9930" spans="1:5">
      <c r="A9930" s="484">
        <v>39326</v>
      </c>
      <c r="B9930" s="485" t="s">
        <v>9286</v>
      </c>
      <c r="C9930" s="484" t="s">
        <v>65</v>
      </c>
      <c r="D9930" s="486">
        <v>22.34</v>
      </c>
      <c r="E9930" s="486">
        <v>22.34</v>
      </c>
    </row>
    <row r="9931" spans="1:5">
      <c r="A9931" s="349">
        <v>39327</v>
      </c>
      <c r="B9931" s="348" t="s">
        <v>9287</v>
      </c>
      <c r="C9931" s="349" t="s">
        <v>65</v>
      </c>
      <c r="D9931" s="483">
        <v>33.840000000000003</v>
      </c>
      <c r="E9931" s="483">
        <v>33.840000000000003</v>
      </c>
    </row>
    <row r="9932" spans="1:5" ht="30">
      <c r="A9932" s="484">
        <v>20176</v>
      </c>
      <c r="B9932" s="485" t="s">
        <v>9288</v>
      </c>
      <c r="C9932" s="484" t="s">
        <v>65</v>
      </c>
      <c r="D9932" s="486">
        <v>61.46</v>
      </c>
      <c r="E9932" s="486">
        <v>61.46</v>
      </c>
    </row>
    <row r="9933" spans="1:5">
      <c r="A9933" s="349">
        <v>11378</v>
      </c>
      <c r="B9933" s="348" t="s">
        <v>9289</v>
      </c>
      <c r="C9933" s="349" t="s">
        <v>65</v>
      </c>
      <c r="D9933" s="483">
        <v>70.55</v>
      </c>
      <c r="E9933" s="483">
        <v>70.55</v>
      </c>
    </row>
    <row r="9934" spans="1:5">
      <c r="A9934" s="484">
        <v>11379</v>
      </c>
      <c r="B9934" s="485" t="s">
        <v>9290</v>
      </c>
      <c r="C9934" s="484" t="s">
        <v>65</v>
      </c>
      <c r="D9934" s="486">
        <v>77.05</v>
      </c>
      <c r="E9934" s="486">
        <v>77.05</v>
      </c>
    </row>
    <row r="9935" spans="1:5" ht="43.5" customHeight="1">
      <c r="A9935" s="349">
        <v>11493</v>
      </c>
      <c r="B9935" s="348" t="s">
        <v>9291</v>
      </c>
      <c r="C9935" s="349" t="s">
        <v>65</v>
      </c>
      <c r="D9935" s="483">
        <v>39</v>
      </c>
      <c r="E9935" s="483">
        <v>39</v>
      </c>
    </row>
    <row r="9936" spans="1:5" ht="30">
      <c r="A9936" s="484">
        <v>41896</v>
      </c>
      <c r="B9936" s="485" t="s">
        <v>9292</v>
      </c>
      <c r="C9936" s="484" t="s">
        <v>65</v>
      </c>
      <c r="D9936" s="486">
        <v>214.13</v>
      </c>
      <c r="E9936" s="486">
        <v>214.13</v>
      </c>
    </row>
    <row r="9937" spans="1:5" ht="30">
      <c r="A9937" s="349">
        <v>7068</v>
      </c>
      <c r="B9937" s="348" t="s">
        <v>9293</v>
      </c>
      <c r="C9937" s="349" t="s">
        <v>65</v>
      </c>
      <c r="D9937" s="483">
        <v>378.52</v>
      </c>
      <c r="E9937" s="483">
        <v>378.52</v>
      </c>
    </row>
    <row r="9938" spans="1:5">
      <c r="A9938" s="484">
        <v>7106</v>
      </c>
      <c r="B9938" s="485" t="s">
        <v>9294</v>
      </c>
      <c r="C9938" s="484" t="s">
        <v>65</v>
      </c>
      <c r="D9938" s="486">
        <v>90.51</v>
      </c>
      <c r="E9938" s="486">
        <v>90.51</v>
      </c>
    </row>
    <row r="9939" spans="1:5">
      <c r="A9939" s="349">
        <v>7104</v>
      </c>
      <c r="B9939" s="348" t="s">
        <v>9295</v>
      </c>
      <c r="C9939" s="349" t="s">
        <v>65</v>
      </c>
      <c r="D9939" s="483">
        <v>2.48</v>
      </c>
      <c r="E9939" s="483">
        <v>2.48</v>
      </c>
    </row>
    <row r="9940" spans="1:5">
      <c r="A9940" s="484">
        <v>7136</v>
      </c>
      <c r="B9940" s="485" t="s">
        <v>9296</v>
      </c>
      <c r="C9940" s="484" t="s">
        <v>65</v>
      </c>
      <c r="D9940" s="486">
        <v>4.84</v>
      </c>
      <c r="E9940" s="486">
        <v>4.84</v>
      </c>
    </row>
    <row r="9941" spans="1:5">
      <c r="A9941" s="349">
        <v>7128</v>
      </c>
      <c r="B9941" s="348" t="s">
        <v>9297</v>
      </c>
      <c r="C9941" s="349" t="s">
        <v>65</v>
      </c>
      <c r="D9941" s="483">
        <v>6.6</v>
      </c>
      <c r="E9941" s="483">
        <v>6.6</v>
      </c>
    </row>
    <row r="9942" spans="1:5">
      <c r="A9942" s="484">
        <v>7108</v>
      </c>
      <c r="B9942" s="485" t="s">
        <v>9298</v>
      </c>
      <c r="C9942" s="484" t="s">
        <v>65</v>
      </c>
      <c r="D9942" s="486">
        <v>7.31</v>
      </c>
      <c r="E9942" s="486">
        <v>7.31</v>
      </c>
    </row>
    <row r="9943" spans="1:5">
      <c r="A9943" s="349">
        <v>7129</v>
      </c>
      <c r="B9943" s="348" t="s">
        <v>9299</v>
      </c>
      <c r="C9943" s="349" t="s">
        <v>65</v>
      </c>
      <c r="D9943" s="483">
        <v>7.35</v>
      </c>
      <c r="E9943" s="483">
        <v>7.35</v>
      </c>
    </row>
    <row r="9944" spans="1:5">
      <c r="A9944" s="484">
        <v>7130</v>
      </c>
      <c r="B9944" s="485" t="s">
        <v>9300</v>
      </c>
      <c r="C9944" s="484" t="s">
        <v>65</v>
      </c>
      <c r="D9944" s="486">
        <v>9.9499999999999993</v>
      </c>
      <c r="E9944" s="486">
        <v>9.9499999999999993</v>
      </c>
    </row>
    <row r="9945" spans="1:5">
      <c r="A9945" s="349">
        <v>7131</v>
      </c>
      <c r="B9945" s="348" t="s">
        <v>9301</v>
      </c>
      <c r="C9945" s="349" t="s">
        <v>65</v>
      </c>
      <c r="D9945" s="483">
        <v>11.44</v>
      </c>
      <c r="E9945" s="483">
        <v>11.44</v>
      </c>
    </row>
    <row r="9946" spans="1:5">
      <c r="A9946" s="484">
        <v>7132</v>
      </c>
      <c r="B9946" s="485" t="s">
        <v>9302</v>
      </c>
      <c r="C9946" s="484" t="s">
        <v>65</v>
      </c>
      <c r="D9946" s="486">
        <v>34.11</v>
      </c>
      <c r="E9946" s="486">
        <v>34.11</v>
      </c>
    </row>
    <row r="9947" spans="1:5">
      <c r="A9947" s="349">
        <v>7133</v>
      </c>
      <c r="B9947" s="348" t="s">
        <v>9303</v>
      </c>
      <c r="C9947" s="349" t="s">
        <v>65</v>
      </c>
      <c r="D9947" s="483">
        <v>54.13</v>
      </c>
      <c r="E9947" s="483">
        <v>54.13</v>
      </c>
    </row>
    <row r="9948" spans="1:5" ht="30">
      <c r="A9948" s="484">
        <v>37420</v>
      </c>
      <c r="B9948" s="485" t="s">
        <v>9322</v>
      </c>
      <c r="C9948" s="484" t="s">
        <v>65</v>
      </c>
      <c r="D9948" s="486">
        <v>19.97</v>
      </c>
      <c r="E9948" s="486">
        <v>19.97</v>
      </c>
    </row>
    <row r="9949" spans="1:5" ht="30">
      <c r="A9949" s="349">
        <v>37421</v>
      </c>
      <c r="B9949" s="348" t="s">
        <v>9323</v>
      </c>
      <c r="C9949" s="349" t="s">
        <v>65</v>
      </c>
      <c r="D9949" s="483">
        <v>27.3</v>
      </c>
      <c r="E9949" s="483">
        <v>27.3</v>
      </c>
    </row>
    <row r="9950" spans="1:5" ht="30">
      <c r="A9950" s="484">
        <v>37422</v>
      </c>
      <c r="B9950" s="485" t="s">
        <v>9321</v>
      </c>
      <c r="C9950" s="484" t="s">
        <v>65</v>
      </c>
      <c r="D9950" s="486">
        <v>25.55</v>
      </c>
      <c r="E9950" s="486">
        <v>25.55</v>
      </c>
    </row>
    <row r="9951" spans="1:5" ht="29.25" customHeight="1">
      <c r="A9951" s="349">
        <v>37443</v>
      </c>
      <c r="B9951" s="348" t="s">
        <v>9324</v>
      </c>
      <c r="C9951" s="349" t="s">
        <v>65</v>
      </c>
      <c r="D9951" s="483">
        <v>111.16</v>
      </c>
      <c r="E9951" s="483">
        <v>111.16</v>
      </c>
    </row>
    <row r="9952" spans="1:5">
      <c r="A9952" s="484">
        <v>37444</v>
      </c>
      <c r="B9952" s="485" t="s">
        <v>9325</v>
      </c>
      <c r="C9952" s="484" t="s">
        <v>65</v>
      </c>
      <c r="D9952" s="486">
        <v>113.05</v>
      </c>
      <c r="E9952" s="486">
        <v>113.05</v>
      </c>
    </row>
    <row r="9953" spans="1:5">
      <c r="A9953" s="349">
        <v>37445</v>
      </c>
      <c r="B9953" s="348" t="s">
        <v>9326</v>
      </c>
      <c r="C9953" s="349" t="s">
        <v>65</v>
      </c>
      <c r="D9953" s="483">
        <v>171.35</v>
      </c>
      <c r="E9953" s="483">
        <v>171.35</v>
      </c>
    </row>
    <row r="9954" spans="1:5">
      <c r="A9954" s="484">
        <v>37446</v>
      </c>
      <c r="B9954" s="485" t="s">
        <v>9327</v>
      </c>
      <c r="C9954" s="484" t="s">
        <v>65</v>
      </c>
      <c r="D9954" s="486">
        <v>186.8</v>
      </c>
      <c r="E9954" s="486">
        <v>186.8</v>
      </c>
    </row>
    <row r="9955" spans="1:5">
      <c r="A9955" s="349">
        <v>37447</v>
      </c>
      <c r="B9955" s="348" t="s">
        <v>9328</v>
      </c>
      <c r="C9955" s="349" t="s">
        <v>65</v>
      </c>
      <c r="D9955" s="483">
        <v>189.72</v>
      </c>
      <c r="E9955" s="483">
        <v>189.72</v>
      </c>
    </row>
    <row r="9956" spans="1:5">
      <c r="A9956" s="484">
        <v>37448</v>
      </c>
      <c r="B9956" s="485" t="s">
        <v>9329</v>
      </c>
      <c r="C9956" s="484" t="s">
        <v>65</v>
      </c>
      <c r="D9956" s="486">
        <v>260.23</v>
      </c>
      <c r="E9956" s="486">
        <v>260.23</v>
      </c>
    </row>
    <row r="9957" spans="1:5" ht="29.25" customHeight="1">
      <c r="A9957" s="349">
        <v>37440</v>
      </c>
      <c r="B9957" s="348" t="s">
        <v>9330</v>
      </c>
      <c r="C9957" s="349" t="s">
        <v>65</v>
      </c>
      <c r="D9957" s="483">
        <v>88.23</v>
      </c>
      <c r="E9957" s="483">
        <v>88.23</v>
      </c>
    </row>
    <row r="9958" spans="1:5">
      <c r="A9958" s="484">
        <v>37441</v>
      </c>
      <c r="B9958" s="485" t="s">
        <v>9331</v>
      </c>
      <c r="C9958" s="484" t="s">
        <v>65</v>
      </c>
      <c r="D9958" s="486">
        <v>88.23</v>
      </c>
      <c r="E9958" s="486">
        <v>88.23</v>
      </c>
    </row>
    <row r="9959" spans="1:5">
      <c r="A9959" s="349">
        <v>37442</v>
      </c>
      <c r="B9959" s="348" t="s">
        <v>9332</v>
      </c>
      <c r="C9959" s="349" t="s">
        <v>65</v>
      </c>
      <c r="D9959" s="483">
        <v>106.27</v>
      </c>
      <c r="E9959" s="483">
        <v>106.27</v>
      </c>
    </row>
    <row r="9960" spans="1:5">
      <c r="A9960" s="484">
        <v>38017</v>
      </c>
      <c r="B9960" s="485" t="s">
        <v>9333</v>
      </c>
      <c r="C9960" s="484" t="s">
        <v>65</v>
      </c>
      <c r="D9960" s="486">
        <v>8.15</v>
      </c>
      <c r="E9960" s="486">
        <v>8.15</v>
      </c>
    </row>
    <row r="9961" spans="1:5">
      <c r="A9961" s="349">
        <v>38018</v>
      </c>
      <c r="B9961" s="348" t="s">
        <v>9334</v>
      </c>
      <c r="C9961" s="349" t="s">
        <v>65</v>
      </c>
      <c r="D9961" s="483">
        <v>8.99</v>
      </c>
      <c r="E9961" s="483">
        <v>8.99</v>
      </c>
    </row>
    <row r="9962" spans="1:5" ht="30">
      <c r="A9962" s="484">
        <v>39895</v>
      </c>
      <c r="B9962" s="485" t="s">
        <v>9339</v>
      </c>
      <c r="C9962" s="484" t="s">
        <v>65</v>
      </c>
      <c r="D9962" s="486">
        <v>23.88</v>
      </c>
      <c r="E9962" s="486">
        <v>23.88</v>
      </c>
    </row>
    <row r="9963" spans="1:5" ht="30">
      <c r="A9963" s="349">
        <v>39896</v>
      </c>
      <c r="B9963" s="348" t="s">
        <v>9340</v>
      </c>
      <c r="C9963" s="349" t="s">
        <v>65</v>
      </c>
      <c r="D9963" s="483">
        <v>35</v>
      </c>
      <c r="E9963" s="483">
        <v>35</v>
      </c>
    </row>
    <row r="9964" spans="1:5">
      <c r="A9964" s="484">
        <v>38674</v>
      </c>
      <c r="B9964" s="485" t="s">
        <v>9351</v>
      </c>
      <c r="C9964" s="484" t="s">
        <v>65</v>
      </c>
      <c r="D9964" s="486">
        <v>28.34</v>
      </c>
      <c r="E9964" s="486">
        <v>28.34</v>
      </c>
    </row>
    <row r="9965" spans="1:5">
      <c r="A9965" s="349">
        <v>38019</v>
      </c>
      <c r="B9965" s="348" t="s">
        <v>9353</v>
      </c>
      <c r="C9965" s="349" t="s">
        <v>65</v>
      </c>
      <c r="D9965" s="483">
        <v>7.1</v>
      </c>
      <c r="E9965" s="483">
        <v>7.1</v>
      </c>
    </row>
    <row r="9966" spans="1:5">
      <c r="A9966" s="484">
        <v>38020</v>
      </c>
      <c r="B9966" s="485" t="s">
        <v>9354</v>
      </c>
      <c r="C9966" s="484" t="s">
        <v>65</v>
      </c>
      <c r="D9966" s="486">
        <v>8.99</v>
      </c>
      <c r="E9966" s="486">
        <v>8.99</v>
      </c>
    </row>
    <row r="9967" spans="1:5">
      <c r="A9967" s="349">
        <v>7094</v>
      </c>
      <c r="B9967" s="348" t="s">
        <v>9359</v>
      </c>
      <c r="C9967" s="349" t="s">
        <v>65</v>
      </c>
      <c r="D9967" s="483">
        <v>6.91</v>
      </c>
      <c r="E9967" s="483">
        <v>6.91</v>
      </c>
    </row>
    <row r="9968" spans="1:5">
      <c r="A9968" s="484">
        <v>7116</v>
      </c>
      <c r="B9968" s="485" t="s">
        <v>9360</v>
      </c>
      <c r="C9968" s="484" t="s">
        <v>65</v>
      </c>
      <c r="D9968" s="486">
        <v>2.25</v>
      </c>
      <c r="E9968" s="486">
        <v>2.25</v>
      </c>
    </row>
    <row r="9969" spans="1:5">
      <c r="A9969" s="349">
        <v>7118</v>
      </c>
      <c r="B9969" s="348" t="s">
        <v>9361</v>
      </c>
      <c r="C9969" s="349" t="s">
        <v>65</v>
      </c>
      <c r="D9969" s="483">
        <v>13.4</v>
      </c>
      <c r="E9969" s="483">
        <v>13.4</v>
      </c>
    </row>
    <row r="9970" spans="1:5">
      <c r="A9970" s="484">
        <v>7117</v>
      </c>
      <c r="B9970" s="485" t="s">
        <v>9362</v>
      </c>
      <c r="C9970" s="484" t="s">
        <v>65</v>
      </c>
      <c r="D9970" s="486">
        <v>10.19</v>
      </c>
      <c r="E9970" s="486">
        <v>10.19</v>
      </c>
    </row>
    <row r="9971" spans="1:5" ht="29.25" customHeight="1">
      <c r="A9971" s="349">
        <v>7098</v>
      </c>
      <c r="B9971" s="348" t="s">
        <v>9363</v>
      </c>
      <c r="C9971" s="349" t="s">
        <v>65</v>
      </c>
      <c r="D9971" s="483">
        <v>1.69</v>
      </c>
      <c r="E9971" s="483">
        <v>1.69</v>
      </c>
    </row>
    <row r="9972" spans="1:5">
      <c r="A9972" s="484">
        <v>7110</v>
      </c>
      <c r="B9972" s="485" t="s">
        <v>9364</v>
      </c>
      <c r="C9972" s="484" t="s">
        <v>65</v>
      </c>
      <c r="D9972" s="486">
        <v>24.22</v>
      </c>
      <c r="E9972" s="486">
        <v>24.22</v>
      </c>
    </row>
    <row r="9973" spans="1:5">
      <c r="A9973" s="349">
        <v>7123</v>
      </c>
      <c r="B9973" s="348" t="s">
        <v>9365</v>
      </c>
      <c r="C9973" s="349" t="s">
        <v>65</v>
      </c>
      <c r="D9973" s="483">
        <v>2.23</v>
      </c>
      <c r="E9973" s="483">
        <v>2.23</v>
      </c>
    </row>
    <row r="9974" spans="1:5" ht="30">
      <c r="A9974" s="484">
        <v>7121</v>
      </c>
      <c r="B9974" s="485" t="s">
        <v>9366</v>
      </c>
      <c r="C9974" s="484" t="s">
        <v>65</v>
      </c>
      <c r="D9974" s="486">
        <v>7.21</v>
      </c>
      <c r="E9974" s="486">
        <v>7.21</v>
      </c>
    </row>
    <row r="9975" spans="1:5" ht="30">
      <c r="A9975" s="349">
        <v>7137</v>
      </c>
      <c r="B9975" s="348" t="s">
        <v>9367</v>
      </c>
      <c r="C9975" s="349" t="s">
        <v>65</v>
      </c>
      <c r="D9975" s="483">
        <v>7.89</v>
      </c>
      <c r="E9975" s="483">
        <v>7.89</v>
      </c>
    </row>
    <row r="9976" spans="1:5" ht="30">
      <c r="A9976" s="484">
        <v>7122</v>
      </c>
      <c r="B9976" s="485" t="s">
        <v>9368</v>
      </c>
      <c r="C9976" s="484" t="s">
        <v>65</v>
      </c>
      <c r="D9976" s="486">
        <v>8.1199999999999992</v>
      </c>
      <c r="E9976" s="486">
        <v>8.1199999999999992</v>
      </c>
    </row>
    <row r="9977" spans="1:5" ht="30">
      <c r="A9977" s="349">
        <v>7114</v>
      </c>
      <c r="B9977" s="348" t="s">
        <v>9369</v>
      </c>
      <c r="C9977" s="349" t="s">
        <v>65</v>
      </c>
      <c r="D9977" s="483">
        <v>13.56</v>
      </c>
      <c r="E9977" s="483">
        <v>13.56</v>
      </c>
    </row>
    <row r="9978" spans="1:5" ht="30">
      <c r="A9978" s="484">
        <v>7109</v>
      </c>
      <c r="B9978" s="485" t="s">
        <v>9370</v>
      </c>
      <c r="C9978" s="484" t="s">
        <v>65</v>
      </c>
      <c r="D9978" s="486">
        <v>1.93</v>
      </c>
      <c r="E9978" s="486">
        <v>1.93</v>
      </c>
    </row>
    <row r="9979" spans="1:5" ht="30">
      <c r="A9979" s="349">
        <v>7135</v>
      </c>
      <c r="B9979" s="348" t="s">
        <v>9371</v>
      </c>
      <c r="C9979" s="349" t="s">
        <v>65</v>
      </c>
      <c r="D9979" s="483">
        <v>3.06</v>
      </c>
      <c r="E9979" s="483">
        <v>3.06</v>
      </c>
    </row>
    <row r="9980" spans="1:5" ht="30">
      <c r="A9980" s="484">
        <v>37947</v>
      </c>
      <c r="B9980" s="485" t="s">
        <v>9372</v>
      </c>
      <c r="C9980" s="484" t="s">
        <v>65</v>
      </c>
      <c r="D9980" s="486">
        <v>2.98</v>
      </c>
      <c r="E9980" s="486">
        <v>2.98</v>
      </c>
    </row>
    <row r="9981" spans="1:5" ht="30">
      <c r="A9981" s="349">
        <v>7103</v>
      </c>
      <c r="B9981" s="348" t="s">
        <v>9373</v>
      </c>
      <c r="C9981" s="349" t="s">
        <v>65</v>
      </c>
      <c r="D9981" s="483">
        <v>13.56</v>
      </c>
      <c r="E9981" s="483">
        <v>13.56</v>
      </c>
    </row>
    <row r="9982" spans="1:5">
      <c r="A9982" s="484">
        <v>7126</v>
      </c>
      <c r="B9982" s="485" t="s">
        <v>9374</v>
      </c>
      <c r="C9982" s="484" t="s">
        <v>65</v>
      </c>
      <c r="D9982" s="486">
        <v>10.72</v>
      </c>
      <c r="E9982" s="486">
        <v>10.72</v>
      </c>
    </row>
    <row r="9983" spans="1:5">
      <c r="A9983" s="349">
        <v>7091</v>
      </c>
      <c r="B9983" s="348" t="s">
        <v>9375</v>
      </c>
      <c r="C9983" s="349" t="s">
        <v>65</v>
      </c>
      <c r="D9983" s="483">
        <v>12.22</v>
      </c>
      <c r="E9983" s="483">
        <v>12.22</v>
      </c>
    </row>
    <row r="9984" spans="1:5">
      <c r="A9984" s="484">
        <v>11655</v>
      </c>
      <c r="B9984" s="485" t="s">
        <v>9376</v>
      </c>
      <c r="C9984" s="484" t="s">
        <v>65</v>
      </c>
      <c r="D9984" s="486">
        <v>10.94</v>
      </c>
      <c r="E9984" s="486">
        <v>10.94</v>
      </c>
    </row>
    <row r="9985" spans="1:5">
      <c r="A9985" s="349">
        <v>11656</v>
      </c>
      <c r="B9985" s="348" t="s">
        <v>9377</v>
      </c>
      <c r="C9985" s="349" t="s">
        <v>65</v>
      </c>
      <c r="D9985" s="483">
        <v>11.26</v>
      </c>
      <c r="E9985" s="483">
        <v>11.26</v>
      </c>
    </row>
    <row r="9986" spans="1:5">
      <c r="A9986" s="484">
        <v>37948</v>
      </c>
      <c r="B9986" s="485" t="s">
        <v>9378</v>
      </c>
      <c r="C9986" s="484" t="s">
        <v>65</v>
      </c>
      <c r="D9986" s="486">
        <v>2.4300000000000002</v>
      </c>
      <c r="E9986" s="486">
        <v>2.4300000000000002</v>
      </c>
    </row>
    <row r="9987" spans="1:5">
      <c r="A9987" s="349">
        <v>7097</v>
      </c>
      <c r="B9987" s="348" t="s">
        <v>9379</v>
      </c>
      <c r="C9987" s="349" t="s">
        <v>65</v>
      </c>
      <c r="D9987" s="483">
        <v>5.43</v>
      </c>
      <c r="E9987" s="483">
        <v>5.43</v>
      </c>
    </row>
    <row r="9988" spans="1:5">
      <c r="A9988" s="484">
        <v>11657</v>
      </c>
      <c r="B9988" s="485" t="s">
        <v>9380</v>
      </c>
      <c r="C9988" s="484" t="s">
        <v>65</v>
      </c>
      <c r="D9988" s="486">
        <v>9.5</v>
      </c>
      <c r="E9988" s="486">
        <v>9.5</v>
      </c>
    </row>
    <row r="9989" spans="1:5">
      <c r="A9989" s="349">
        <v>11658</v>
      </c>
      <c r="B9989" s="348" t="s">
        <v>9381</v>
      </c>
      <c r="C9989" s="349" t="s">
        <v>65</v>
      </c>
      <c r="D9989" s="483">
        <v>10.73</v>
      </c>
      <c r="E9989" s="483">
        <v>10.73</v>
      </c>
    </row>
    <row r="9990" spans="1:5">
      <c r="A9990" s="484">
        <v>7146</v>
      </c>
      <c r="B9990" s="485" t="s">
        <v>9383</v>
      </c>
      <c r="C9990" s="484" t="s">
        <v>65</v>
      </c>
      <c r="D9990" s="486">
        <v>122.57</v>
      </c>
      <c r="E9990" s="486">
        <v>122.57</v>
      </c>
    </row>
    <row r="9991" spans="1:5">
      <c r="A9991" s="349">
        <v>7138</v>
      </c>
      <c r="B9991" s="348" t="s">
        <v>9384</v>
      </c>
      <c r="C9991" s="349" t="s">
        <v>65</v>
      </c>
      <c r="D9991" s="483">
        <v>0.76</v>
      </c>
      <c r="E9991" s="483">
        <v>0.76</v>
      </c>
    </row>
    <row r="9992" spans="1:5">
      <c r="A9992" s="484">
        <v>7139</v>
      </c>
      <c r="B9992" s="485" t="s">
        <v>9385</v>
      </c>
      <c r="C9992" s="484" t="s">
        <v>65</v>
      </c>
      <c r="D9992" s="486">
        <v>1.05</v>
      </c>
      <c r="E9992" s="486">
        <v>1.05</v>
      </c>
    </row>
    <row r="9993" spans="1:5">
      <c r="A9993" s="349">
        <v>7140</v>
      </c>
      <c r="B9993" s="348" t="s">
        <v>9386</v>
      </c>
      <c r="C9993" s="349" t="s">
        <v>65</v>
      </c>
      <c r="D9993" s="483">
        <v>2.6</v>
      </c>
      <c r="E9993" s="483">
        <v>2.6</v>
      </c>
    </row>
    <row r="9994" spans="1:5">
      <c r="A9994" s="484">
        <v>7141</v>
      </c>
      <c r="B9994" s="485" t="s">
        <v>9387</v>
      </c>
      <c r="C9994" s="484" t="s">
        <v>65</v>
      </c>
      <c r="D9994" s="486">
        <v>6.72</v>
      </c>
      <c r="E9994" s="486">
        <v>6.72</v>
      </c>
    </row>
    <row r="9995" spans="1:5">
      <c r="A9995" s="349">
        <v>7143</v>
      </c>
      <c r="B9995" s="348" t="s">
        <v>9388</v>
      </c>
      <c r="C9995" s="349" t="s">
        <v>65</v>
      </c>
      <c r="D9995" s="483">
        <v>21.79</v>
      </c>
      <c r="E9995" s="483">
        <v>21.79</v>
      </c>
    </row>
    <row r="9996" spans="1:5">
      <c r="A9996" s="484">
        <v>7144</v>
      </c>
      <c r="B9996" s="485" t="s">
        <v>9389</v>
      </c>
      <c r="C9996" s="484" t="s">
        <v>65</v>
      </c>
      <c r="D9996" s="486">
        <v>41.78</v>
      </c>
      <c r="E9996" s="486">
        <v>41.78</v>
      </c>
    </row>
    <row r="9997" spans="1:5">
      <c r="A9997" s="349">
        <v>7145</v>
      </c>
      <c r="B9997" s="348" t="s">
        <v>9390</v>
      </c>
      <c r="C9997" s="349" t="s">
        <v>65</v>
      </c>
      <c r="D9997" s="483">
        <v>65.53</v>
      </c>
      <c r="E9997" s="483">
        <v>65.53</v>
      </c>
    </row>
    <row r="9998" spans="1:5">
      <c r="A9998" s="484">
        <v>7142</v>
      </c>
      <c r="B9998" s="485" t="s">
        <v>9391</v>
      </c>
      <c r="C9998" s="484" t="s">
        <v>65</v>
      </c>
      <c r="D9998" s="486">
        <v>7.6</v>
      </c>
      <c r="E9998" s="486">
        <v>7.6</v>
      </c>
    </row>
    <row r="9999" spans="1:5">
      <c r="A9999" s="349">
        <v>3593</v>
      </c>
      <c r="B9999" s="348" t="s">
        <v>11535</v>
      </c>
      <c r="C9999" s="349" t="s">
        <v>65</v>
      </c>
      <c r="D9999" s="483">
        <v>44.87</v>
      </c>
      <c r="E9999" s="483">
        <v>44.87</v>
      </c>
    </row>
    <row r="10000" spans="1:5">
      <c r="A10000" s="484">
        <v>3588</v>
      </c>
      <c r="B10000" s="485" t="s">
        <v>11536</v>
      </c>
      <c r="C10000" s="484" t="s">
        <v>65</v>
      </c>
      <c r="D10000" s="486">
        <v>34.590000000000003</v>
      </c>
      <c r="E10000" s="486">
        <v>34.590000000000003</v>
      </c>
    </row>
    <row r="10001" spans="1:5">
      <c r="A10001" s="349">
        <v>3585</v>
      </c>
      <c r="B10001" s="348" t="s">
        <v>11537</v>
      </c>
      <c r="C10001" s="349" t="s">
        <v>65</v>
      </c>
      <c r="D10001" s="483">
        <v>10.68</v>
      </c>
      <c r="E10001" s="483">
        <v>10.68</v>
      </c>
    </row>
    <row r="10002" spans="1:5" ht="29.25" customHeight="1">
      <c r="A10002" s="484">
        <v>3587</v>
      </c>
      <c r="B10002" s="485" t="s">
        <v>11538</v>
      </c>
      <c r="C10002" s="484" t="s">
        <v>65</v>
      </c>
      <c r="D10002" s="486">
        <v>21.46</v>
      </c>
      <c r="E10002" s="486">
        <v>21.46</v>
      </c>
    </row>
    <row r="10003" spans="1:5">
      <c r="A10003" s="349">
        <v>3590</v>
      </c>
      <c r="B10003" s="348" t="s">
        <v>11539</v>
      </c>
      <c r="C10003" s="349" t="s">
        <v>65</v>
      </c>
      <c r="D10003" s="483">
        <v>127.41</v>
      </c>
      <c r="E10003" s="483">
        <v>127.41</v>
      </c>
    </row>
    <row r="10004" spans="1:5">
      <c r="A10004" s="484">
        <v>3589</v>
      </c>
      <c r="B10004" s="485" t="s">
        <v>11540</v>
      </c>
      <c r="C10004" s="484" t="s">
        <v>65</v>
      </c>
      <c r="D10004" s="486">
        <v>68.39</v>
      </c>
      <c r="E10004" s="486">
        <v>68.39</v>
      </c>
    </row>
    <row r="10005" spans="1:5">
      <c r="A10005" s="349">
        <v>3586</v>
      </c>
      <c r="B10005" s="348" t="s">
        <v>11541</v>
      </c>
      <c r="C10005" s="349" t="s">
        <v>65</v>
      </c>
      <c r="D10005" s="483">
        <v>13.99</v>
      </c>
      <c r="E10005" s="483">
        <v>13.99</v>
      </c>
    </row>
    <row r="10006" spans="1:5" ht="29.25" customHeight="1">
      <c r="A10006" s="484">
        <v>3592</v>
      </c>
      <c r="B10006" s="485" t="s">
        <v>11542</v>
      </c>
      <c r="C10006" s="484" t="s">
        <v>65</v>
      </c>
      <c r="D10006" s="486">
        <v>201.41</v>
      </c>
      <c r="E10006" s="486">
        <v>201.41</v>
      </c>
    </row>
    <row r="10007" spans="1:5">
      <c r="A10007" s="349">
        <v>3591</v>
      </c>
      <c r="B10007" s="348" t="s">
        <v>11543</v>
      </c>
      <c r="C10007" s="349" t="s">
        <v>65</v>
      </c>
      <c r="D10007" s="483">
        <v>322.86</v>
      </c>
      <c r="E10007" s="483">
        <v>322.86</v>
      </c>
    </row>
    <row r="10008" spans="1:5">
      <c r="A10008" s="484">
        <v>20174</v>
      </c>
      <c r="B10008" s="485" t="s">
        <v>9428</v>
      </c>
      <c r="C10008" s="484" t="s">
        <v>65</v>
      </c>
      <c r="D10008" s="486">
        <v>52.72</v>
      </c>
      <c r="E10008" s="486">
        <v>52.72</v>
      </c>
    </row>
    <row r="10009" spans="1:5">
      <c r="A10009" s="349">
        <v>41892</v>
      </c>
      <c r="B10009" s="348" t="s">
        <v>9429</v>
      </c>
      <c r="C10009" s="349" t="s">
        <v>65</v>
      </c>
      <c r="D10009" s="483">
        <v>87.08</v>
      </c>
      <c r="E10009" s="483">
        <v>87.08</v>
      </c>
    </row>
    <row r="10010" spans="1:5">
      <c r="A10010" s="484">
        <v>7048</v>
      </c>
      <c r="B10010" s="485" t="s">
        <v>9430</v>
      </c>
      <c r="C10010" s="484" t="s">
        <v>65</v>
      </c>
      <c r="D10010" s="486">
        <v>18.71</v>
      </c>
      <c r="E10010" s="486">
        <v>18.71</v>
      </c>
    </row>
    <row r="10011" spans="1:5">
      <c r="A10011" s="349">
        <v>7088</v>
      </c>
      <c r="B10011" s="348" t="s">
        <v>9431</v>
      </c>
      <c r="C10011" s="349" t="s">
        <v>65</v>
      </c>
      <c r="D10011" s="483">
        <v>46.89</v>
      </c>
      <c r="E10011" s="483">
        <v>46.89</v>
      </c>
    </row>
    <row r="10012" spans="1:5" ht="43.5" customHeight="1">
      <c r="A10012" s="484">
        <v>20179</v>
      </c>
      <c r="B10012" s="485" t="s">
        <v>9448</v>
      </c>
      <c r="C10012" s="484" t="s">
        <v>65</v>
      </c>
      <c r="D10012" s="486">
        <v>35.78</v>
      </c>
      <c r="E10012" s="486">
        <v>35.78</v>
      </c>
    </row>
    <row r="10013" spans="1:5">
      <c r="A10013" s="349">
        <v>20178</v>
      </c>
      <c r="B10013" s="348" t="s">
        <v>9449</v>
      </c>
      <c r="C10013" s="349" t="s">
        <v>65</v>
      </c>
      <c r="D10013" s="483">
        <v>25.99</v>
      </c>
      <c r="E10013" s="483">
        <v>25.99</v>
      </c>
    </row>
    <row r="10014" spans="1:5">
      <c r="A10014" s="484">
        <v>20180</v>
      </c>
      <c r="B10014" s="485" t="s">
        <v>9450</v>
      </c>
      <c r="C10014" s="484" t="s">
        <v>65</v>
      </c>
      <c r="D10014" s="486">
        <v>61.09</v>
      </c>
      <c r="E10014" s="486">
        <v>61.09</v>
      </c>
    </row>
    <row r="10015" spans="1:5">
      <c r="A10015" s="349">
        <v>20181</v>
      </c>
      <c r="B10015" s="348" t="s">
        <v>9451</v>
      </c>
      <c r="C10015" s="349" t="s">
        <v>65</v>
      </c>
      <c r="D10015" s="483">
        <v>90.04</v>
      </c>
      <c r="E10015" s="483">
        <v>90.04</v>
      </c>
    </row>
    <row r="10016" spans="1:5">
      <c r="A10016" s="484">
        <v>20177</v>
      </c>
      <c r="B10016" s="485" t="s">
        <v>9454</v>
      </c>
      <c r="C10016" s="484" t="s">
        <v>65</v>
      </c>
      <c r="D10016" s="486">
        <v>20.57</v>
      </c>
      <c r="E10016" s="486">
        <v>20.57</v>
      </c>
    </row>
    <row r="10017" spans="1:5">
      <c r="A10017" s="349">
        <v>7082</v>
      </c>
      <c r="B10017" s="348" t="s">
        <v>9432</v>
      </c>
      <c r="C10017" s="349" t="s">
        <v>65</v>
      </c>
      <c r="D10017" s="483">
        <v>65.2</v>
      </c>
      <c r="E10017" s="483">
        <v>65.2</v>
      </c>
    </row>
    <row r="10018" spans="1:5">
      <c r="A10018" s="484">
        <v>7069</v>
      </c>
      <c r="B10018" s="485" t="s">
        <v>9433</v>
      </c>
      <c r="C10018" s="484" t="s">
        <v>65</v>
      </c>
      <c r="D10018" s="486">
        <v>107.46</v>
      </c>
      <c r="E10018" s="486">
        <v>107.46</v>
      </c>
    </row>
    <row r="10019" spans="1:5">
      <c r="A10019" s="349">
        <v>7070</v>
      </c>
      <c r="B10019" s="348" t="s">
        <v>9434</v>
      </c>
      <c r="C10019" s="349" t="s">
        <v>65</v>
      </c>
      <c r="D10019" s="483">
        <v>182.69</v>
      </c>
      <c r="E10019" s="483">
        <v>182.69</v>
      </c>
    </row>
    <row r="10020" spans="1:5">
      <c r="A10020" s="484">
        <v>41893</v>
      </c>
      <c r="B10020" s="485" t="s">
        <v>9435</v>
      </c>
      <c r="C10020" s="484" t="s">
        <v>65</v>
      </c>
      <c r="D10020" s="486">
        <v>697.14</v>
      </c>
      <c r="E10020" s="486">
        <v>697.14</v>
      </c>
    </row>
    <row r="10021" spans="1:5">
      <c r="A10021" s="349">
        <v>41894</v>
      </c>
      <c r="B10021" s="348" t="s">
        <v>9436</v>
      </c>
      <c r="C10021" s="349" t="s">
        <v>65</v>
      </c>
      <c r="D10021" s="483">
        <v>1069.79</v>
      </c>
      <c r="E10021" s="483">
        <v>1069.79</v>
      </c>
    </row>
    <row r="10022" spans="1:5">
      <c r="A10022" s="484">
        <v>41895</v>
      </c>
      <c r="B10022" s="485" t="s">
        <v>9437</v>
      </c>
      <c r="C10022" s="484" t="s">
        <v>65</v>
      </c>
      <c r="D10022" s="486">
        <v>1182.93</v>
      </c>
      <c r="E10022" s="486">
        <v>1182.93</v>
      </c>
    </row>
    <row r="10023" spans="1:5">
      <c r="A10023" s="349">
        <v>20172</v>
      </c>
      <c r="B10023" s="348" t="s">
        <v>9438</v>
      </c>
      <c r="C10023" s="349" t="s">
        <v>65</v>
      </c>
      <c r="D10023" s="483">
        <v>26.08</v>
      </c>
      <c r="E10023" s="483">
        <v>26.08</v>
      </c>
    </row>
    <row r="10024" spans="1:5">
      <c r="A10024" s="484">
        <v>7153</v>
      </c>
      <c r="B10024" s="485" t="s">
        <v>9485</v>
      </c>
      <c r="C10024" s="484" t="s">
        <v>57</v>
      </c>
      <c r="D10024" s="486">
        <v>59.75</v>
      </c>
      <c r="E10024" s="486">
        <v>59.75</v>
      </c>
    </row>
    <row r="10025" spans="1:5">
      <c r="A10025" s="349">
        <v>41089</v>
      </c>
      <c r="B10025" s="348" t="s">
        <v>9486</v>
      </c>
      <c r="C10025" s="349" t="s">
        <v>1643</v>
      </c>
      <c r="D10025" s="483">
        <v>10528.2</v>
      </c>
      <c r="E10025" s="483">
        <v>10528.2</v>
      </c>
    </row>
    <row r="10026" spans="1:5">
      <c r="A10026" s="484">
        <v>6175</v>
      </c>
      <c r="B10026" s="485" t="s">
        <v>9487</v>
      </c>
      <c r="C10026" s="484" t="s">
        <v>57</v>
      </c>
      <c r="D10026" s="486">
        <v>71.77</v>
      </c>
      <c r="E10026" s="486">
        <v>71.77</v>
      </c>
    </row>
    <row r="10027" spans="1:5">
      <c r="A10027" s="349">
        <v>41092</v>
      </c>
      <c r="B10027" s="348" t="s">
        <v>9488</v>
      </c>
      <c r="C10027" s="349" t="s">
        <v>1643</v>
      </c>
      <c r="D10027" s="483">
        <v>12647.11</v>
      </c>
      <c r="E10027" s="483">
        <v>12647.11</v>
      </c>
    </row>
    <row r="10028" spans="1:5" ht="30">
      <c r="A10028" s="484">
        <v>37712</v>
      </c>
      <c r="B10028" s="485" t="s">
        <v>9490</v>
      </c>
      <c r="C10028" s="484" t="s">
        <v>256</v>
      </c>
      <c r="D10028" s="486">
        <v>37.67</v>
      </c>
      <c r="E10028" s="486">
        <v>37.67</v>
      </c>
    </row>
    <row r="10029" spans="1:5" ht="30">
      <c r="A10029" s="349">
        <v>34547</v>
      </c>
      <c r="B10029" s="348" t="s">
        <v>9491</v>
      </c>
      <c r="C10029" s="349" t="s">
        <v>71</v>
      </c>
      <c r="D10029" s="483">
        <v>1.71</v>
      </c>
      <c r="E10029" s="483">
        <v>1.71</v>
      </c>
    </row>
    <row r="10030" spans="1:5" ht="30">
      <c r="A10030" s="484">
        <v>34548</v>
      </c>
      <c r="B10030" s="485" t="s">
        <v>9492</v>
      </c>
      <c r="C10030" s="484" t="s">
        <v>71</v>
      </c>
      <c r="D10030" s="486">
        <v>1.67</v>
      </c>
      <c r="E10030" s="486">
        <v>1.67</v>
      </c>
    </row>
    <row r="10031" spans="1:5" ht="30">
      <c r="A10031" s="349">
        <v>37411</v>
      </c>
      <c r="B10031" s="348" t="s">
        <v>9493</v>
      </c>
      <c r="C10031" s="349" t="s">
        <v>256</v>
      </c>
      <c r="D10031" s="483">
        <v>8.3800000000000008</v>
      </c>
      <c r="E10031" s="483">
        <v>8.3800000000000008</v>
      </c>
    </row>
    <row r="10032" spans="1:5" ht="30">
      <c r="A10032" s="484">
        <v>34558</v>
      </c>
      <c r="B10032" s="485" t="s">
        <v>9494</v>
      </c>
      <c r="C10032" s="484" t="s">
        <v>71</v>
      </c>
      <c r="D10032" s="486">
        <v>1.1200000000000001</v>
      </c>
      <c r="E10032" s="486">
        <v>1.1200000000000001</v>
      </c>
    </row>
    <row r="10033" spans="1:5" ht="30">
      <c r="A10033" s="349">
        <v>34550</v>
      </c>
      <c r="B10033" s="348" t="s">
        <v>9495</v>
      </c>
      <c r="C10033" s="349" t="s">
        <v>71</v>
      </c>
      <c r="D10033" s="483">
        <v>0.59</v>
      </c>
      <c r="E10033" s="483">
        <v>0.59</v>
      </c>
    </row>
    <row r="10034" spans="1:5" ht="30">
      <c r="A10034" s="484">
        <v>34557</v>
      </c>
      <c r="B10034" s="485" t="s">
        <v>9496</v>
      </c>
      <c r="C10034" s="484" t="s">
        <v>71</v>
      </c>
      <c r="D10034" s="486">
        <v>1.05</v>
      </c>
      <c r="E10034" s="486">
        <v>1.05</v>
      </c>
    </row>
    <row r="10035" spans="1:5" ht="30">
      <c r="A10035" s="349">
        <v>7155</v>
      </c>
      <c r="B10035" s="348" t="s">
        <v>9497</v>
      </c>
      <c r="C10035" s="349" t="s">
        <v>256</v>
      </c>
      <c r="D10035" s="483">
        <v>9.65</v>
      </c>
      <c r="E10035" s="483">
        <v>9.65</v>
      </c>
    </row>
    <row r="10036" spans="1:5" ht="30">
      <c r="A10036" s="484">
        <v>7154</v>
      </c>
      <c r="B10036" s="485" t="s">
        <v>9498</v>
      </c>
      <c r="C10036" s="484" t="s">
        <v>90</v>
      </c>
      <c r="D10036" s="486">
        <v>4.34</v>
      </c>
      <c r="E10036" s="486">
        <v>4.34</v>
      </c>
    </row>
    <row r="10037" spans="1:5" ht="30">
      <c r="A10037" s="349">
        <v>10915</v>
      </c>
      <c r="B10037" s="348" t="s">
        <v>9499</v>
      </c>
      <c r="C10037" s="349" t="s">
        <v>90</v>
      </c>
      <c r="D10037" s="483">
        <v>4.51</v>
      </c>
      <c r="E10037" s="483">
        <v>4.51</v>
      </c>
    </row>
    <row r="10038" spans="1:5" ht="30">
      <c r="A10038" s="484">
        <v>10917</v>
      </c>
      <c r="B10038" s="485" t="s">
        <v>9500</v>
      </c>
      <c r="C10038" s="484" t="s">
        <v>256</v>
      </c>
      <c r="D10038" s="486">
        <v>4.38</v>
      </c>
      <c r="E10038" s="486">
        <v>4.38</v>
      </c>
    </row>
    <row r="10039" spans="1:5" ht="30">
      <c r="A10039" s="349">
        <v>21141</v>
      </c>
      <c r="B10039" s="348" t="s">
        <v>9501</v>
      </c>
      <c r="C10039" s="349" t="s">
        <v>256</v>
      </c>
      <c r="D10039" s="483">
        <v>6.49</v>
      </c>
      <c r="E10039" s="483">
        <v>6.49</v>
      </c>
    </row>
    <row r="10040" spans="1:5" ht="30">
      <c r="A10040" s="484">
        <v>10916</v>
      </c>
      <c r="B10040" s="485" t="s">
        <v>9502</v>
      </c>
      <c r="C10040" s="484" t="s">
        <v>90</v>
      </c>
      <c r="D10040" s="486">
        <v>4.38</v>
      </c>
      <c r="E10040" s="486">
        <v>4.38</v>
      </c>
    </row>
    <row r="10041" spans="1:5" ht="30">
      <c r="A10041" s="349">
        <v>39508</v>
      </c>
      <c r="B10041" s="348" t="s">
        <v>9503</v>
      </c>
      <c r="C10041" s="349" t="s">
        <v>256</v>
      </c>
      <c r="D10041" s="483">
        <v>7.71</v>
      </c>
      <c r="E10041" s="483">
        <v>7.71</v>
      </c>
    </row>
    <row r="10042" spans="1:5" ht="30">
      <c r="A10042" s="484">
        <v>39507</v>
      </c>
      <c r="B10042" s="485" t="s">
        <v>9504</v>
      </c>
      <c r="C10042" s="484" t="s">
        <v>256</v>
      </c>
      <c r="D10042" s="486">
        <v>7.55</v>
      </c>
      <c r="E10042" s="486">
        <v>7.55</v>
      </c>
    </row>
    <row r="10043" spans="1:5" ht="30">
      <c r="A10043" s="349">
        <v>7156</v>
      </c>
      <c r="B10043" s="348" t="s">
        <v>9505</v>
      </c>
      <c r="C10043" s="349" t="s">
        <v>256</v>
      </c>
      <c r="D10043" s="483">
        <v>13.05</v>
      </c>
      <c r="E10043" s="483">
        <v>13.05</v>
      </c>
    </row>
    <row r="10044" spans="1:5" ht="30">
      <c r="A10044" s="484">
        <v>39509</v>
      </c>
      <c r="B10044" s="485" t="s">
        <v>9506</v>
      </c>
      <c r="C10044" s="484" t="s">
        <v>256</v>
      </c>
      <c r="D10044" s="486">
        <v>6.07</v>
      </c>
      <c r="E10044" s="486">
        <v>6.07</v>
      </c>
    </row>
    <row r="10045" spans="1:5">
      <c r="A10045" s="349">
        <v>25988</v>
      </c>
      <c r="B10045" s="348" t="s">
        <v>246</v>
      </c>
      <c r="C10045" s="349" t="s">
        <v>256</v>
      </c>
      <c r="D10045" s="483">
        <v>6.27</v>
      </c>
      <c r="E10045" s="483">
        <v>6.27</v>
      </c>
    </row>
    <row r="10046" spans="1:5" ht="30">
      <c r="A10046" s="484">
        <v>10928</v>
      </c>
      <c r="B10046" s="485" t="s">
        <v>9507</v>
      </c>
      <c r="C10046" s="484" t="s">
        <v>256</v>
      </c>
      <c r="D10046" s="486">
        <v>7.65</v>
      </c>
      <c r="E10046" s="486">
        <v>7.65</v>
      </c>
    </row>
    <row r="10047" spans="1:5" ht="30">
      <c r="A10047" s="349">
        <v>7167</v>
      </c>
      <c r="B10047" s="348" t="s">
        <v>9508</v>
      </c>
      <c r="C10047" s="349" t="s">
        <v>256</v>
      </c>
      <c r="D10047" s="483">
        <v>10.46</v>
      </c>
      <c r="E10047" s="483">
        <v>10.46</v>
      </c>
    </row>
    <row r="10048" spans="1:5" ht="30">
      <c r="A10048" s="484">
        <v>10933</v>
      </c>
      <c r="B10048" s="485" t="s">
        <v>9509</v>
      </c>
      <c r="C10048" s="484" t="s">
        <v>256</v>
      </c>
      <c r="D10048" s="486">
        <v>9.35</v>
      </c>
      <c r="E10048" s="486">
        <v>9.35</v>
      </c>
    </row>
    <row r="10049" spans="1:5" ht="30">
      <c r="A10049" s="349">
        <v>10927</v>
      </c>
      <c r="B10049" s="348" t="s">
        <v>9510</v>
      </c>
      <c r="C10049" s="349" t="s">
        <v>256</v>
      </c>
      <c r="D10049" s="483">
        <v>11.29</v>
      </c>
      <c r="E10049" s="483">
        <v>11.29</v>
      </c>
    </row>
    <row r="10050" spans="1:5" ht="30">
      <c r="A10050" s="484">
        <v>7158</v>
      </c>
      <c r="B10050" s="485" t="s">
        <v>9511</v>
      </c>
      <c r="C10050" s="484" t="s">
        <v>256</v>
      </c>
      <c r="D10050" s="486">
        <v>15.76</v>
      </c>
      <c r="E10050" s="486">
        <v>15.76</v>
      </c>
    </row>
    <row r="10051" spans="1:5" ht="30">
      <c r="A10051" s="349">
        <v>7162</v>
      </c>
      <c r="B10051" s="348" t="s">
        <v>9512</v>
      </c>
      <c r="C10051" s="349" t="s">
        <v>256</v>
      </c>
      <c r="D10051" s="483">
        <v>23.69</v>
      </c>
      <c r="E10051" s="483">
        <v>23.69</v>
      </c>
    </row>
    <row r="10052" spans="1:5" ht="30">
      <c r="A10052" s="484">
        <v>10932</v>
      </c>
      <c r="B10052" s="485" t="s">
        <v>9513</v>
      </c>
      <c r="C10052" s="484" t="s">
        <v>256</v>
      </c>
      <c r="D10052" s="486">
        <v>41.96</v>
      </c>
      <c r="E10052" s="486">
        <v>41.96</v>
      </c>
    </row>
    <row r="10053" spans="1:5" ht="30">
      <c r="A10053" s="349">
        <v>40706</v>
      </c>
      <c r="B10053" s="348" t="s">
        <v>9514</v>
      </c>
      <c r="C10053" s="349" t="s">
        <v>256</v>
      </c>
      <c r="D10053" s="483">
        <v>25.16</v>
      </c>
      <c r="E10053" s="483">
        <v>25.16</v>
      </c>
    </row>
    <row r="10054" spans="1:5" ht="30">
      <c r="A10054" s="484">
        <v>10937</v>
      </c>
      <c r="B10054" s="485" t="s">
        <v>9515</v>
      </c>
      <c r="C10054" s="484" t="s">
        <v>256</v>
      </c>
      <c r="D10054" s="486">
        <v>16.489999999999998</v>
      </c>
      <c r="E10054" s="486">
        <v>16.489999999999998</v>
      </c>
    </row>
    <row r="10055" spans="1:5" ht="30">
      <c r="A10055" s="349">
        <v>10935</v>
      </c>
      <c r="B10055" s="348" t="s">
        <v>9516</v>
      </c>
      <c r="C10055" s="349" t="s">
        <v>256</v>
      </c>
      <c r="D10055" s="483">
        <v>21.72</v>
      </c>
      <c r="E10055" s="483">
        <v>21.72</v>
      </c>
    </row>
    <row r="10056" spans="1:5" ht="30">
      <c r="A10056" s="484">
        <v>40707</v>
      </c>
      <c r="B10056" s="485" t="s">
        <v>11544</v>
      </c>
      <c r="C10056" s="484" t="s">
        <v>256</v>
      </c>
      <c r="D10056" s="486">
        <v>50</v>
      </c>
      <c r="E10056" s="486">
        <v>50</v>
      </c>
    </row>
    <row r="10057" spans="1:5">
      <c r="A10057" s="349">
        <v>10931</v>
      </c>
      <c r="B10057" s="348" t="s">
        <v>9517</v>
      </c>
      <c r="C10057" s="349" t="s">
        <v>256</v>
      </c>
      <c r="D10057" s="483">
        <v>6.99</v>
      </c>
      <c r="E10057" s="483">
        <v>6.99</v>
      </c>
    </row>
    <row r="10058" spans="1:5">
      <c r="A10058" s="484">
        <v>7164</v>
      </c>
      <c r="B10058" s="485" t="s">
        <v>9518</v>
      </c>
      <c r="C10058" s="484" t="s">
        <v>256</v>
      </c>
      <c r="D10058" s="486">
        <v>19.579999999999998</v>
      </c>
      <c r="E10058" s="486">
        <v>19.579999999999998</v>
      </c>
    </row>
    <row r="10059" spans="1:5">
      <c r="A10059" s="349">
        <v>36887</v>
      </c>
      <c r="B10059" s="348" t="s">
        <v>9519</v>
      </c>
      <c r="C10059" s="349" t="s">
        <v>256</v>
      </c>
      <c r="D10059" s="483">
        <v>20.399999999999999</v>
      </c>
      <c r="E10059" s="483">
        <v>20.399999999999999</v>
      </c>
    </row>
    <row r="10060" spans="1:5" ht="30">
      <c r="A10060" s="484">
        <v>34614</v>
      </c>
      <c r="B10060" s="485" t="s">
        <v>9520</v>
      </c>
      <c r="C10060" s="484" t="s">
        <v>65</v>
      </c>
      <c r="D10060" s="486">
        <v>557.05999999999995</v>
      </c>
      <c r="E10060" s="486">
        <v>557.05999999999995</v>
      </c>
    </row>
    <row r="10061" spans="1:5">
      <c r="A10061" s="349">
        <v>7161</v>
      </c>
      <c r="B10061" s="348" t="s">
        <v>9521</v>
      </c>
      <c r="C10061" s="349" t="s">
        <v>256</v>
      </c>
      <c r="D10061" s="483">
        <v>2.97</v>
      </c>
      <c r="E10061" s="483">
        <v>2.97</v>
      </c>
    </row>
    <row r="10062" spans="1:5" ht="30">
      <c r="A10062" s="484">
        <v>7170</v>
      </c>
      <c r="B10062" s="485" t="s">
        <v>9522</v>
      </c>
      <c r="C10062" s="484" t="s">
        <v>256</v>
      </c>
      <c r="D10062" s="486">
        <v>2.9</v>
      </c>
      <c r="E10062" s="486">
        <v>2.9</v>
      </c>
    </row>
    <row r="10063" spans="1:5" ht="30">
      <c r="A10063" s="349">
        <v>37524</v>
      </c>
      <c r="B10063" s="348" t="s">
        <v>9523</v>
      </c>
      <c r="C10063" s="349" t="s">
        <v>71</v>
      </c>
      <c r="D10063" s="483">
        <v>2.77</v>
      </c>
      <c r="E10063" s="483">
        <v>2.77</v>
      </c>
    </row>
    <row r="10064" spans="1:5" ht="30">
      <c r="A10064" s="484">
        <v>37525</v>
      </c>
      <c r="B10064" s="485" t="s">
        <v>9524</v>
      </c>
      <c r="C10064" s="484" t="s">
        <v>71</v>
      </c>
      <c r="D10064" s="486">
        <v>3.31</v>
      </c>
      <c r="E10064" s="486">
        <v>3.31</v>
      </c>
    </row>
    <row r="10065" spans="1:5">
      <c r="A10065" s="349">
        <v>10920</v>
      </c>
      <c r="B10065" s="348" t="s">
        <v>9525</v>
      </c>
      <c r="C10065" s="349" t="s">
        <v>256</v>
      </c>
      <c r="D10065" s="483">
        <v>8.6999999999999993</v>
      </c>
      <c r="E10065" s="483">
        <v>8.6999999999999993</v>
      </c>
    </row>
    <row r="10066" spans="1:5">
      <c r="A10066" s="484">
        <v>7238</v>
      </c>
      <c r="B10066" s="485" t="s">
        <v>9526</v>
      </c>
      <c r="C10066" s="484" t="s">
        <v>256</v>
      </c>
      <c r="D10066" s="486">
        <v>32.39</v>
      </c>
      <c r="E10066" s="486">
        <v>32.39</v>
      </c>
    </row>
    <row r="10067" spans="1:5">
      <c r="A10067" s="349">
        <v>7239</v>
      </c>
      <c r="B10067" s="348" t="s">
        <v>9527</v>
      </c>
      <c r="C10067" s="349" t="s">
        <v>256</v>
      </c>
      <c r="D10067" s="483">
        <v>40.270000000000003</v>
      </c>
      <c r="E10067" s="483">
        <v>40.270000000000003</v>
      </c>
    </row>
    <row r="10068" spans="1:5">
      <c r="A10068" s="484">
        <v>7240</v>
      </c>
      <c r="B10068" s="485" t="s">
        <v>9528</v>
      </c>
      <c r="C10068" s="484" t="s">
        <v>256</v>
      </c>
      <c r="D10068" s="486">
        <v>46.24</v>
      </c>
      <c r="E10068" s="486">
        <v>46.24</v>
      </c>
    </row>
    <row r="10069" spans="1:5" ht="30">
      <c r="A10069" s="349">
        <v>36789</v>
      </c>
      <c r="B10069" s="348" t="s">
        <v>9529</v>
      </c>
      <c r="C10069" s="349" t="s">
        <v>65</v>
      </c>
      <c r="D10069" s="483">
        <v>2.78</v>
      </c>
      <c r="E10069" s="483">
        <v>2.78</v>
      </c>
    </row>
    <row r="10070" spans="1:5" ht="30">
      <c r="A10070" s="484">
        <v>7173</v>
      </c>
      <c r="B10070" s="485" t="s">
        <v>9530</v>
      </c>
      <c r="C10070" s="484" t="s">
        <v>135</v>
      </c>
      <c r="D10070" s="486">
        <v>1800</v>
      </c>
      <c r="E10070" s="486">
        <v>1800</v>
      </c>
    </row>
    <row r="10071" spans="1:5" ht="30">
      <c r="A10071" s="349">
        <v>7176</v>
      </c>
      <c r="B10071" s="348" t="s">
        <v>9530</v>
      </c>
      <c r="C10071" s="349" t="s">
        <v>65</v>
      </c>
      <c r="D10071" s="483">
        <v>1.8</v>
      </c>
      <c r="E10071" s="483">
        <v>1.8</v>
      </c>
    </row>
    <row r="10072" spans="1:5" ht="30">
      <c r="A10072" s="484">
        <v>7183</v>
      </c>
      <c r="B10072" s="485" t="s">
        <v>9531</v>
      </c>
      <c r="C10072" s="484" t="s">
        <v>65</v>
      </c>
      <c r="D10072" s="486">
        <v>2.89</v>
      </c>
      <c r="E10072" s="486">
        <v>2.89</v>
      </c>
    </row>
    <row r="10073" spans="1:5" ht="30">
      <c r="A10073" s="349">
        <v>7180</v>
      </c>
      <c r="B10073" s="348" t="s">
        <v>9532</v>
      </c>
      <c r="C10073" s="349" t="s">
        <v>65</v>
      </c>
      <c r="D10073" s="483">
        <v>1.71</v>
      </c>
      <c r="E10073" s="483">
        <v>1.71</v>
      </c>
    </row>
    <row r="10074" spans="1:5">
      <c r="A10074" s="484">
        <v>11088</v>
      </c>
      <c r="B10074" s="485" t="s">
        <v>9533</v>
      </c>
      <c r="C10074" s="484" t="s">
        <v>65</v>
      </c>
      <c r="D10074" s="486">
        <v>1.62</v>
      </c>
      <c r="E10074" s="486">
        <v>1.62</v>
      </c>
    </row>
    <row r="10075" spans="1:5" ht="30">
      <c r="A10075" s="349">
        <v>36788</v>
      </c>
      <c r="B10075" s="348" t="s">
        <v>9534</v>
      </c>
      <c r="C10075" s="349" t="s">
        <v>65</v>
      </c>
      <c r="D10075" s="483">
        <v>1.85</v>
      </c>
      <c r="E10075" s="483">
        <v>1.85</v>
      </c>
    </row>
    <row r="10076" spans="1:5" ht="30">
      <c r="A10076" s="484">
        <v>7175</v>
      </c>
      <c r="B10076" s="485" t="s">
        <v>9535</v>
      </c>
      <c r="C10076" s="484" t="s">
        <v>65</v>
      </c>
      <c r="D10076" s="486">
        <v>2.0299999999999998</v>
      </c>
      <c r="E10076" s="486">
        <v>2.0299999999999998</v>
      </c>
    </row>
    <row r="10077" spans="1:5">
      <c r="A10077" s="349">
        <v>25007</v>
      </c>
      <c r="B10077" s="348" t="s">
        <v>9536</v>
      </c>
      <c r="C10077" s="349" t="s">
        <v>256</v>
      </c>
      <c r="D10077" s="483">
        <v>22.79</v>
      </c>
      <c r="E10077" s="483">
        <v>22.79</v>
      </c>
    </row>
    <row r="10078" spans="1:5" ht="30">
      <c r="A10078" s="484">
        <v>14171</v>
      </c>
      <c r="B10078" s="485" t="s">
        <v>9537</v>
      </c>
      <c r="C10078" s="484" t="s">
        <v>256</v>
      </c>
      <c r="D10078" s="486">
        <v>60.93</v>
      </c>
      <c r="E10078" s="486">
        <v>60.93</v>
      </c>
    </row>
    <row r="10079" spans="1:5">
      <c r="A10079" s="349">
        <v>14170</v>
      </c>
      <c r="B10079" s="348" t="s">
        <v>9538</v>
      </c>
      <c r="C10079" s="349" t="s">
        <v>256</v>
      </c>
      <c r="D10079" s="483">
        <v>53.84</v>
      </c>
      <c r="E10079" s="483">
        <v>53.84</v>
      </c>
    </row>
    <row r="10080" spans="1:5" ht="30">
      <c r="A10080" s="484">
        <v>14173</v>
      </c>
      <c r="B10080" s="485" t="s">
        <v>9539</v>
      </c>
      <c r="C10080" s="484" t="s">
        <v>256</v>
      </c>
      <c r="D10080" s="486">
        <v>70.989999999999995</v>
      </c>
      <c r="E10080" s="486">
        <v>70.989999999999995</v>
      </c>
    </row>
    <row r="10081" spans="1:5">
      <c r="A10081" s="349">
        <v>14172</v>
      </c>
      <c r="B10081" s="348" t="s">
        <v>9540</v>
      </c>
      <c r="C10081" s="349" t="s">
        <v>256</v>
      </c>
      <c r="D10081" s="483">
        <v>57.46</v>
      </c>
      <c r="E10081" s="483">
        <v>57.46</v>
      </c>
    </row>
    <row r="10082" spans="1:5">
      <c r="A10082" s="484">
        <v>7243</v>
      </c>
      <c r="B10082" s="485" t="s">
        <v>9541</v>
      </c>
      <c r="C10082" s="484" t="s">
        <v>256</v>
      </c>
      <c r="D10082" s="486">
        <v>22.54</v>
      </c>
      <c r="E10082" s="486">
        <v>22.54</v>
      </c>
    </row>
    <row r="10083" spans="1:5" ht="30">
      <c r="A10083" s="349">
        <v>11067</v>
      </c>
      <c r="B10083" s="348" t="s">
        <v>9543</v>
      </c>
      <c r="C10083" s="349" t="s">
        <v>65</v>
      </c>
      <c r="D10083" s="483">
        <v>161.1</v>
      </c>
      <c r="E10083" s="483">
        <v>161.1</v>
      </c>
    </row>
    <row r="10084" spans="1:5" ht="30">
      <c r="A10084" s="484">
        <v>11068</v>
      </c>
      <c r="B10084" s="485" t="s">
        <v>9544</v>
      </c>
      <c r="C10084" s="484" t="s">
        <v>65</v>
      </c>
      <c r="D10084" s="486">
        <v>227.53</v>
      </c>
      <c r="E10084" s="486">
        <v>227.53</v>
      </c>
    </row>
    <row r="10085" spans="1:5">
      <c r="A10085" s="349">
        <v>7184</v>
      </c>
      <c r="B10085" s="348" t="s">
        <v>9546</v>
      </c>
      <c r="C10085" s="349" t="s">
        <v>256</v>
      </c>
      <c r="D10085" s="483">
        <v>16.54</v>
      </c>
      <c r="E10085" s="483">
        <v>16.54</v>
      </c>
    </row>
    <row r="10086" spans="1:5">
      <c r="A10086" s="484">
        <v>34458</v>
      </c>
      <c r="B10086" s="485" t="s">
        <v>9547</v>
      </c>
      <c r="C10086" s="484" t="s">
        <v>65</v>
      </c>
      <c r="D10086" s="486">
        <v>89.38</v>
      </c>
      <c r="E10086" s="486">
        <v>89.38</v>
      </c>
    </row>
    <row r="10087" spans="1:5">
      <c r="A10087" s="349">
        <v>34464</v>
      </c>
      <c r="B10087" s="348" t="s">
        <v>9548</v>
      </c>
      <c r="C10087" s="349" t="s">
        <v>65</v>
      </c>
      <c r="D10087" s="483">
        <v>119.92</v>
      </c>
      <c r="E10087" s="483">
        <v>119.92</v>
      </c>
    </row>
    <row r="10088" spans="1:5">
      <c r="A10088" s="484">
        <v>34468</v>
      </c>
      <c r="B10088" s="485" t="s">
        <v>9549</v>
      </c>
      <c r="C10088" s="484" t="s">
        <v>65</v>
      </c>
      <c r="D10088" s="486">
        <v>138.4</v>
      </c>
      <c r="E10088" s="486">
        <v>138.4</v>
      </c>
    </row>
    <row r="10089" spans="1:5">
      <c r="A10089" s="349">
        <v>34473</v>
      </c>
      <c r="B10089" s="348" t="s">
        <v>9550</v>
      </c>
      <c r="C10089" s="349" t="s">
        <v>65</v>
      </c>
      <c r="D10089" s="483">
        <v>113.19</v>
      </c>
      <c r="E10089" s="483">
        <v>113.19</v>
      </c>
    </row>
    <row r="10090" spans="1:5">
      <c r="A10090" s="484">
        <v>34480</v>
      </c>
      <c r="B10090" s="485" t="s">
        <v>9551</v>
      </c>
      <c r="C10090" s="484" t="s">
        <v>65</v>
      </c>
      <c r="D10090" s="486">
        <v>154.35</v>
      </c>
      <c r="E10090" s="486">
        <v>154.35</v>
      </c>
    </row>
    <row r="10091" spans="1:5">
      <c r="A10091" s="349">
        <v>34486</v>
      </c>
      <c r="B10091" s="348" t="s">
        <v>9552</v>
      </c>
      <c r="C10091" s="349" t="s">
        <v>65</v>
      </c>
      <c r="D10091" s="483">
        <v>172.87</v>
      </c>
      <c r="E10091" s="483">
        <v>172.87</v>
      </c>
    </row>
    <row r="10092" spans="1:5">
      <c r="A10092" s="484">
        <v>7202</v>
      </c>
      <c r="B10092" s="485" t="s">
        <v>9553</v>
      </c>
      <c r="C10092" s="484" t="s">
        <v>256</v>
      </c>
      <c r="D10092" s="486">
        <v>35.42</v>
      </c>
      <c r="E10092" s="486">
        <v>35.42</v>
      </c>
    </row>
    <row r="10093" spans="1:5">
      <c r="A10093" s="349">
        <v>7190</v>
      </c>
      <c r="B10093" s="348" t="s">
        <v>9554</v>
      </c>
      <c r="C10093" s="349" t="s">
        <v>65</v>
      </c>
      <c r="D10093" s="483">
        <v>6.07</v>
      </c>
      <c r="E10093" s="483">
        <v>6.07</v>
      </c>
    </row>
    <row r="10094" spans="1:5">
      <c r="A10094" s="484">
        <v>34417</v>
      </c>
      <c r="B10094" s="485" t="s">
        <v>9555</v>
      </c>
      <c r="C10094" s="484" t="s">
        <v>65</v>
      </c>
      <c r="D10094" s="486">
        <v>10.56</v>
      </c>
      <c r="E10094" s="486">
        <v>10.56</v>
      </c>
    </row>
    <row r="10095" spans="1:5">
      <c r="A10095" s="349">
        <v>7191</v>
      </c>
      <c r="B10095" s="348" t="s">
        <v>9556</v>
      </c>
      <c r="C10095" s="349" t="s">
        <v>65</v>
      </c>
      <c r="D10095" s="483">
        <v>12.24</v>
      </c>
      <c r="E10095" s="483">
        <v>12.24</v>
      </c>
    </row>
    <row r="10096" spans="1:5">
      <c r="A10096" s="484">
        <v>7213</v>
      </c>
      <c r="B10096" s="485" t="s">
        <v>9556</v>
      </c>
      <c r="C10096" s="484" t="s">
        <v>256</v>
      </c>
      <c r="D10096" s="486">
        <v>10.029999999999999</v>
      </c>
      <c r="E10096" s="486">
        <v>10.029999999999999</v>
      </c>
    </row>
    <row r="10097" spans="1:5">
      <c r="A10097" s="349">
        <v>7195</v>
      </c>
      <c r="B10097" s="348" t="s">
        <v>9557</v>
      </c>
      <c r="C10097" s="349" t="s">
        <v>65</v>
      </c>
      <c r="D10097" s="483">
        <v>29.17</v>
      </c>
      <c r="E10097" s="483">
        <v>29.17</v>
      </c>
    </row>
    <row r="10098" spans="1:5">
      <c r="A10098" s="484">
        <v>7186</v>
      </c>
      <c r="B10098" s="485" t="s">
        <v>9558</v>
      </c>
      <c r="C10098" s="484" t="s">
        <v>65</v>
      </c>
      <c r="D10098" s="486">
        <v>34.9</v>
      </c>
      <c r="E10098" s="486">
        <v>34.9</v>
      </c>
    </row>
    <row r="10099" spans="1:5">
      <c r="A10099" s="349">
        <v>7194</v>
      </c>
      <c r="B10099" s="348" t="s">
        <v>9559</v>
      </c>
      <c r="C10099" s="349" t="s">
        <v>256</v>
      </c>
      <c r="D10099" s="483">
        <v>17.3</v>
      </c>
      <c r="E10099" s="483">
        <v>17.3</v>
      </c>
    </row>
    <row r="10100" spans="1:5">
      <c r="A10100" s="484">
        <v>7207</v>
      </c>
      <c r="B10100" s="485" t="s">
        <v>9559</v>
      </c>
      <c r="C10100" s="484" t="s">
        <v>65</v>
      </c>
      <c r="D10100" s="486">
        <v>46.45</v>
      </c>
      <c r="E10100" s="486">
        <v>46.45</v>
      </c>
    </row>
    <row r="10101" spans="1:5">
      <c r="A10101" s="349">
        <v>7197</v>
      </c>
      <c r="B10101" s="348" t="s">
        <v>9560</v>
      </c>
      <c r="C10101" s="349" t="s">
        <v>65</v>
      </c>
      <c r="D10101" s="483">
        <v>69.78</v>
      </c>
      <c r="E10101" s="483">
        <v>69.78</v>
      </c>
    </row>
    <row r="10102" spans="1:5">
      <c r="A10102" s="484">
        <v>7192</v>
      </c>
      <c r="B10102" s="485" t="s">
        <v>9561</v>
      </c>
      <c r="C10102" s="484" t="s">
        <v>65</v>
      </c>
      <c r="D10102" s="486">
        <v>38.380000000000003</v>
      </c>
      <c r="E10102" s="486">
        <v>38.380000000000003</v>
      </c>
    </row>
    <row r="10103" spans="1:5">
      <c r="A10103" s="349">
        <v>7193</v>
      </c>
      <c r="B10103" s="348" t="s">
        <v>9562</v>
      </c>
      <c r="C10103" s="349" t="s">
        <v>65</v>
      </c>
      <c r="D10103" s="483">
        <v>45.81</v>
      </c>
      <c r="E10103" s="483">
        <v>45.81</v>
      </c>
    </row>
    <row r="10104" spans="1:5">
      <c r="A10104" s="484">
        <v>7189</v>
      </c>
      <c r="B10104" s="485" t="s">
        <v>9563</v>
      </c>
      <c r="C10104" s="484" t="s">
        <v>65</v>
      </c>
      <c r="D10104" s="486">
        <v>64.349999999999994</v>
      </c>
      <c r="E10104" s="486">
        <v>64.349999999999994</v>
      </c>
    </row>
    <row r="10105" spans="1:5">
      <c r="A10105" s="349">
        <v>7198</v>
      </c>
      <c r="B10105" s="348" t="s">
        <v>9564</v>
      </c>
      <c r="C10105" s="349" t="s">
        <v>256</v>
      </c>
      <c r="D10105" s="483">
        <v>23.95</v>
      </c>
      <c r="E10105" s="483">
        <v>23.95</v>
      </c>
    </row>
    <row r="10106" spans="1:5">
      <c r="A10106" s="484">
        <v>34402</v>
      </c>
      <c r="B10106" s="485" t="s">
        <v>9564</v>
      </c>
      <c r="C10106" s="484" t="s">
        <v>65</v>
      </c>
      <c r="D10106" s="486">
        <v>96.46</v>
      </c>
      <c r="E10106" s="486">
        <v>96.46</v>
      </c>
    </row>
    <row r="10107" spans="1:5">
      <c r="A10107" s="349">
        <v>7245</v>
      </c>
      <c r="B10107" s="348" t="s">
        <v>9565</v>
      </c>
      <c r="C10107" s="349" t="s">
        <v>65</v>
      </c>
      <c r="D10107" s="483">
        <v>33.04</v>
      </c>
      <c r="E10107" s="483">
        <v>33.04</v>
      </c>
    </row>
    <row r="10108" spans="1:5">
      <c r="A10108" s="484">
        <v>34425</v>
      </c>
      <c r="B10108" s="485" t="s">
        <v>9566</v>
      </c>
      <c r="C10108" s="484" t="s">
        <v>65</v>
      </c>
      <c r="D10108" s="486">
        <v>59.65</v>
      </c>
      <c r="E10108" s="486">
        <v>59.65</v>
      </c>
    </row>
    <row r="10109" spans="1:5">
      <c r="A10109" s="349">
        <v>7223</v>
      </c>
      <c r="B10109" s="348" t="s">
        <v>9567</v>
      </c>
      <c r="C10109" s="349" t="s">
        <v>65</v>
      </c>
      <c r="D10109" s="483">
        <v>69.510000000000005</v>
      </c>
      <c r="E10109" s="483">
        <v>69.510000000000005</v>
      </c>
    </row>
    <row r="10110" spans="1:5">
      <c r="A10110" s="484">
        <v>7234</v>
      </c>
      <c r="B10110" s="485" t="s">
        <v>9568</v>
      </c>
      <c r="C10110" s="484" t="s">
        <v>65</v>
      </c>
      <c r="D10110" s="486">
        <v>100.27</v>
      </c>
      <c r="E10110" s="486">
        <v>100.27</v>
      </c>
    </row>
    <row r="10111" spans="1:5">
      <c r="A10111" s="349">
        <v>7224</v>
      </c>
      <c r="B10111" s="348" t="s">
        <v>9569</v>
      </c>
      <c r="C10111" s="349" t="s">
        <v>65</v>
      </c>
      <c r="D10111" s="483">
        <v>110.75</v>
      </c>
      <c r="E10111" s="483">
        <v>110.75</v>
      </c>
    </row>
    <row r="10112" spans="1:5">
      <c r="A10112" s="484">
        <v>7221</v>
      </c>
      <c r="B10112" s="485" t="s">
        <v>9570</v>
      </c>
      <c r="C10112" s="484" t="s">
        <v>256</v>
      </c>
      <c r="D10112" s="486">
        <v>53.85</v>
      </c>
      <c r="E10112" s="486">
        <v>53.85</v>
      </c>
    </row>
    <row r="10113" spans="1:5">
      <c r="A10113" s="349">
        <v>7210</v>
      </c>
      <c r="B10113" s="348" t="s">
        <v>9570</v>
      </c>
      <c r="C10113" s="349" t="s">
        <v>65</v>
      </c>
      <c r="D10113" s="483">
        <v>126.01</v>
      </c>
      <c r="E10113" s="483">
        <v>126.01</v>
      </c>
    </row>
    <row r="10114" spans="1:5">
      <c r="A10114" s="484">
        <v>7225</v>
      </c>
      <c r="B10114" s="485" t="s">
        <v>9571</v>
      </c>
      <c r="C10114" s="484" t="s">
        <v>65</v>
      </c>
      <c r="D10114" s="486">
        <v>140.02000000000001</v>
      </c>
      <c r="E10114" s="486">
        <v>140.02000000000001</v>
      </c>
    </row>
    <row r="10115" spans="1:5">
      <c r="A10115" s="349">
        <v>7226</v>
      </c>
      <c r="B10115" s="348" t="s">
        <v>9572</v>
      </c>
      <c r="C10115" s="349" t="s">
        <v>65</v>
      </c>
      <c r="D10115" s="483">
        <v>154.08000000000001</v>
      </c>
      <c r="E10115" s="483">
        <v>154.08000000000001</v>
      </c>
    </row>
    <row r="10116" spans="1:5">
      <c r="A10116" s="484">
        <v>7236</v>
      </c>
      <c r="B10116" s="485" t="s">
        <v>9573</v>
      </c>
      <c r="C10116" s="484" t="s">
        <v>65</v>
      </c>
      <c r="D10116" s="486">
        <v>168.05</v>
      </c>
      <c r="E10116" s="486">
        <v>168.05</v>
      </c>
    </row>
    <row r="10117" spans="1:5">
      <c r="A10117" s="349">
        <v>7227</v>
      </c>
      <c r="B10117" s="348" t="s">
        <v>9574</v>
      </c>
      <c r="C10117" s="349" t="s">
        <v>65</v>
      </c>
      <c r="D10117" s="483">
        <v>182.06</v>
      </c>
      <c r="E10117" s="483">
        <v>182.06</v>
      </c>
    </row>
    <row r="10118" spans="1:5">
      <c r="A10118" s="484">
        <v>7212</v>
      </c>
      <c r="B10118" s="485" t="s">
        <v>9575</v>
      </c>
      <c r="C10118" s="484" t="s">
        <v>65</v>
      </c>
      <c r="D10118" s="486">
        <v>201.58</v>
      </c>
      <c r="E10118" s="486">
        <v>201.58</v>
      </c>
    </row>
    <row r="10119" spans="1:5">
      <c r="A10119" s="349">
        <v>7229</v>
      </c>
      <c r="B10119" s="348" t="s">
        <v>9576</v>
      </c>
      <c r="C10119" s="349" t="s">
        <v>65</v>
      </c>
      <c r="D10119" s="483">
        <v>133.30000000000001</v>
      </c>
      <c r="E10119" s="483">
        <v>133.30000000000001</v>
      </c>
    </row>
    <row r="10120" spans="1:5">
      <c r="A10120" s="484">
        <v>7230</v>
      </c>
      <c r="B10120" s="485" t="s">
        <v>9577</v>
      </c>
      <c r="C10120" s="484" t="s">
        <v>65</v>
      </c>
      <c r="D10120" s="486">
        <v>212.43</v>
      </c>
      <c r="E10120" s="486">
        <v>212.43</v>
      </c>
    </row>
    <row r="10121" spans="1:5">
      <c r="A10121" s="349">
        <v>7231</v>
      </c>
      <c r="B10121" s="348" t="s">
        <v>9578</v>
      </c>
      <c r="C10121" s="349" t="s">
        <v>65</v>
      </c>
      <c r="D10121" s="483">
        <v>278.98</v>
      </c>
      <c r="E10121" s="483">
        <v>278.98</v>
      </c>
    </row>
    <row r="10122" spans="1:5">
      <c r="A10122" s="484">
        <v>7220</v>
      </c>
      <c r="B10122" s="485" t="s">
        <v>9579</v>
      </c>
      <c r="C10122" s="484" t="s">
        <v>65</v>
      </c>
      <c r="D10122" s="486">
        <v>342.99</v>
      </c>
      <c r="E10122" s="486">
        <v>342.99</v>
      </c>
    </row>
    <row r="10123" spans="1:5">
      <c r="A10123" s="349">
        <v>34447</v>
      </c>
      <c r="B10123" s="348" t="s">
        <v>9580</v>
      </c>
      <c r="C10123" s="349" t="s">
        <v>65</v>
      </c>
      <c r="D10123" s="483">
        <v>381.75</v>
      </c>
      <c r="E10123" s="483">
        <v>381.75</v>
      </c>
    </row>
    <row r="10124" spans="1:5">
      <c r="A10124" s="484">
        <v>7233</v>
      </c>
      <c r="B10124" s="485" t="s">
        <v>9581</v>
      </c>
      <c r="C10124" s="484" t="s">
        <v>65</v>
      </c>
      <c r="D10124" s="486">
        <v>427.39</v>
      </c>
      <c r="E10124" s="486">
        <v>427.39</v>
      </c>
    </row>
    <row r="10125" spans="1:5" ht="45">
      <c r="A10125" s="349">
        <v>39520</v>
      </c>
      <c r="B10125" s="348" t="s">
        <v>9582</v>
      </c>
      <c r="C10125" s="349" t="s">
        <v>256</v>
      </c>
      <c r="D10125" s="483">
        <v>90.98</v>
      </c>
      <c r="E10125" s="483">
        <v>90.98</v>
      </c>
    </row>
    <row r="10126" spans="1:5" ht="45">
      <c r="A10126" s="484">
        <v>39521</v>
      </c>
      <c r="B10126" s="485" t="s">
        <v>9583</v>
      </c>
      <c r="C10126" s="484" t="s">
        <v>256</v>
      </c>
      <c r="D10126" s="486">
        <v>97.45</v>
      </c>
      <c r="E10126" s="486">
        <v>97.45</v>
      </c>
    </row>
    <row r="10127" spans="1:5" ht="45">
      <c r="A10127" s="349">
        <v>39522</v>
      </c>
      <c r="B10127" s="348" t="s">
        <v>9584</v>
      </c>
      <c r="C10127" s="349" t="s">
        <v>256</v>
      </c>
      <c r="D10127" s="483">
        <v>77.91</v>
      </c>
      <c r="E10127" s="483">
        <v>77.91</v>
      </c>
    </row>
    <row r="10128" spans="1:5">
      <c r="A10128" s="484">
        <v>7246</v>
      </c>
      <c r="B10128" s="485" t="s">
        <v>9585</v>
      </c>
      <c r="C10128" s="484" t="s">
        <v>65</v>
      </c>
      <c r="D10128" s="486">
        <v>30.75</v>
      </c>
      <c r="E10128" s="486">
        <v>30.75</v>
      </c>
    </row>
    <row r="10129" spans="1:5">
      <c r="A10129" s="349">
        <v>12869</v>
      </c>
      <c r="B10129" s="348" t="s">
        <v>247</v>
      </c>
      <c r="C10129" s="349" t="s">
        <v>57</v>
      </c>
      <c r="D10129" s="483">
        <v>12.73</v>
      </c>
      <c r="E10129" s="483">
        <v>12.73</v>
      </c>
    </row>
    <row r="10130" spans="1:5">
      <c r="A10130" s="484">
        <v>41097</v>
      </c>
      <c r="B10130" s="485" t="s">
        <v>9586</v>
      </c>
      <c r="C10130" s="484" t="s">
        <v>1643</v>
      </c>
      <c r="D10130" s="486">
        <v>2245.77</v>
      </c>
      <c r="E10130" s="486">
        <v>2245.77</v>
      </c>
    </row>
    <row r="10131" spans="1:5" ht="30">
      <c r="A10131" s="349">
        <v>1574</v>
      </c>
      <c r="B10131" s="348" t="s">
        <v>9609</v>
      </c>
      <c r="C10131" s="349" t="s">
        <v>65</v>
      </c>
      <c r="D10131" s="483">
        <v>0.71</v>
      </c>
      <c r="E10131" s="483">
        <v>0.71</v>
      </c>
    </row>
    <row r="10132" spans="1:5" ht="30">
      <c r="A10132" s="484">
        <v>1581</v>
      </c>
      <c r="B10132" s="485" t="s">
        <v>9610</v>
      </c>
      <c r="C10132" s="484" t="s">
        <v>65</v>
      </c>
      <c r="D10132" s="486">
        <v>4.95</v>
      </c>
      <c r="E10132" s="486">
        <v>4.95</v>
      </c>
    </row>
    <row r="10133" spans="1:5" ht="30">
      <c r="A10133" s="349">
        <v>1575</v>
      </c>
      <c r="B10133" s="348" t="s">
        <v>9611</v>
      </c>
      <c r="C10133" s="349" t="s">
        <v>65</v>
      </c>
      <c r="D10133" s="483">
        <v>0.84</v>
      </c>
      <c r="E10133" s="483">
        <v>0.84</v>
      </c>
    </row>
    <row r="10134" spans="1:5" ht="30">
      <c r="A10134" s="484">
        <v>1570</v>
      </c>
      <c r="B10134" s="485" t="s">
        <v>9612</v>
      </c>
      <c r="C10134" s="484" t="s">
        <v>65</v>
      </c>
      <c r="D10134" s="486">
        <v>0.42</v>
      </c>
      <c r="E10134" s="486">
        <v>0.42</v>
      </c>
    </row>
    <row r="10135" spans="1:5" ht="30">
      <c r="A10135" s="349">
        <v>1576</v>
      </c>
      <c r="B10135" s="348" t="s">
        <v>9613</v>
      </c>
      <c r="C10135" s="349" t="s">
        <v>65</v>
      </c>
      <c r="D10135" s="483">
        <v>1.17</v>
      </c>
      <c r="E10135" s="483">
        <v>1.17</v>
      </c>
    </row>
    <row r="10136" spans="1:5" ht="30">
      <c r="A10136" s="484">
        <v>1577</v>
      </c>
      <c r="B10136" s="485" t="s">
        <v>9614</v>
      </c>
      <c r="C10136" s="484" t="s">
        <v>65</v>
      </c>
      <c r="D10136" s="486">
        <v>1.32</v>
      </c>
      <c r="E10136" s="486">
        <v>1.32</v>
      </c>
    </row>
    <row r="10137" spans="1:5" ht="30">
      <c r="A10137" s="349">
        <v>1571</v>
      </c>
      <c r="B10137" s="348" t="s">
        <v>9615</v>
      </c>
      <c r="C10137" s="349" t="s">
        <v>65</v>
      </c>
      <c r="D10137" s="483">
        <v>0.55000000000000004</v>
      </c>
      <c r="E10137" s="483">
        <v>0.55000000000000004</v>
      </c>
    </row>
    <row r="10138" spans="1:5" ht="30">
      <c r="A10138" s="484">
        <v>1578</v>
      </c>
      <c r="B10138" s="485" t="s">
        <v>9616</v>
      </c>
      <c r="C10138" s="484" t="s">
        <v>65</v>
      </c>
      <c r="D10138" s="486">
        <v>2.29</v>
      </c>
      <c r="E10138" s="486">
        <v>2.29</v>
      </c>
    </row>
    <row r="10139" spans="1:5" ht="30">
      <c r="A10139" s="349">
        <v>1573</v>
      </c>
      <c r="B10139" s="348" t="s">
        <v>9617</v>
      </c>
      <c r="C10139" s="349" t="s">
        <v>65</v>
      </c>
      <c r="D10139" s="483">
        <v>0.66</v>
      </c>
      <c r="E10139" s="483">
        <v>0.66</v>
      </c>
    </row>
    <row r="10140" spans="1:5" ht="30">
      <c r="A10140" s="484">
        <v>1579</v>
      </c>
      <c r="B10140" s="485" t="s">
        <v>9618</v>
      </c>
      <c r="C10140" s="484" t="s">
        <v>65</v>
      </c>
      <c r="D10140" s="486">
        <v>2.86</v>
      </c>
      <c r="E10140" s="486">
        <v>2.86</v>
      </c>
    </row>
    <row r="10141" spans="1:5" ht="30">
      <c r="A10141" s="349">
        <v>1580</v>
      </c>
      <c r="B10141" s="348" t="s">
        <v>9619</v>
      </c>
      <c r="C10141" s="349" t="s">
        <v>65</v>
      </c>
      <c r="D10141" s="483">
        <v>3.52</v>
      </c>
      <c r="E10141" s="483">
        <v>3.52</v>
      </c>
    </row>
    <row r="10142" spans="1:5" ht="30">
      <c r="A10142" s="484">
        <v>7571</v>
      </c>
      <c r="B10142" s="485" t="s">
        <v>9622</v>
      </c>
      <c r="C10142" s="484" t="s">
        <v>65</v>
      </c>
      <c r="D10142" s="486">
        <v>8.57</v>
      </c>
      <c r="E10142" s="486">
        <v>8.57</v>
      </c>
    </row>
    <row r="10143" spans="1:5">
      <c r="A10143" s="349">
        <v>39321</v>
      </c>
      <c r="B10143" s="348" t="s">
        <v>9623</v>
      </c>
      <c r="C10143" s="349" t="s">
        <v>65</v>
      </c>
      <c r="D10143" s="483">
        <v>7.41</v>
      </c>
      <c r="E10143" s="483">
        <v>7.41</v>
      </c>
    </row>
    <row r="10144" spans="1:5">
      <c r="A10144" s="484">
        <v>39319</v>
      </c>
      <c r="B10144" s="485" t="s">
        <v>9624</v>
      </c>
      <c r="C10144" s="484" t="s">
        <v>65</v>
      </c>
      <c r="D10144" s="486">
        <v>4.53</v>
      </c>
      <c r="E10144" s="486">
        <v>4.53</v>
      </c>
    </row>
    <row r="10145" spans="1:5">
      <c r="A10145" s="349">
        <v>39320</v>
      </c>
      <c r="B10145" s="348" t="s">
        <v>9625</v>
      </c>
      <c r="C10145" s="349" t="s">
        <v>65</v>
      </c>
      <c r="D10145" s="483">
        <v>5.41</v>
      </c>
      <c r="E10145" s="483">
        <v>5.41</v>
      </c>
    </row>
    <row r="10146" spans="1:5">
      <c r="A10146" s="484">
        <v>1591</v>
      </c>
      <c r="B10146" s="485" t="s">
        <v>9628</v>
      </c>
      <c r="C10146" s="484" t="s">
        <v>65</v>
      </c>
      <c r="D10146" s="486">
        <v>10.93</v>
      </c>
      <c r="E10146" s="486">
        <v>10.93</v>
      </c>
    </row>
    <row r="10147" spans="1:5">
      <c r="A10147" s="349">
        <v>1547</v>
      </c>
      <c r="B10147" s="348" t="s">
        <v>9629</v>
      </c>
      <c r="C10147" s="349" t="s">
        <v>65</v>
      </c>
      <c r="D10147" s="483">
        <v>57.28</v>
      </c>
      <c r="E10147" s="483">
        <v>57.28</v>
      </c>
    </row>
    <row r="10148" spans="1:5">
      <c r="A10148" s="484">
        <v>38196</v>
      </c>
      <c r="B10148" s="485" t="s">
        <v>9630</v>
      </c>
      <c r="C10148" s="484" t="s">
        <v>65</v>
      </c>
      <c r="D10148" s="486">
        <v>11.15</v>
      </c>
      <c r="E10148" s="486">
        <v>11.15</v>
      </c>
    </row>
    <row r="10149" spans="1:5">
      <c r="A10149" s="349">
        <v>1543</v>
      </c>
      <c r="B10149" s="348" t="s">
        <v>9631</v>
      </c>
      <c r="C10149" s="349" t="s">
        <v>65</v>
      </c>
      <c r="D10149" s="483">
        <v>11.85</v>
      </c>
      <c r="E10149" s="483">
        <v>11.85</v>
      </c>
    </row>
    <row r="10150" spans="1:5">
      <c r="A10150" s="484">
        <v>1585</v>
      </c>
      <c r="B10150" s="485" t="s">
        <v>9632</v>
      </c>
      <c r="C10150" s="484" t="s">
        <v>65</v>
      </c>
      <c r="D10150" s="486">
        <v>2.29</v>
      </c>
      <c r="E10150" s="486">
        <v>2.29</v>
      </c>
    </row>
    <row r="10151" spans="1:5">
      <c r="A10151" s="349">
        <v>1593</v>
      </c>
      <c r="B10151" s="348" t="s">
        <v>9633</v>
      </c>
      <c r="C10151" s="349" t="s">
        <v>65</v>
      </c>
      <c r="D10151" s="483">
        <v>12.19</v>
      </c>
      <c r="E10151" s="483">
        <v>12.19</v>
      </c>
    </row>
    <row r="10152" spans="1:5">
      <c r="A10152" s="484">
        <v>11838</v>
      </c>
      <c r="B10152" s="485" t="s">
        <v>9634</v>
      </c>
      <c r="C10152" s="484" t="s">
        <v>65</v>
      </c>
      <c r="D10152" s="486">
        <v>16.079999999999998</v>
      </c>
      <c r="E10152" s="486">
        <v>16.079999999999998</v>
      </c>
    </row>
    <row r="10153" spans="1:5">
      <c r="A10153" s="349">
        <v>1594</v>
      </c>
      <c r="B10153" s="348" t="s">
        <v>9635</v>
      </c>
      <c r="C10153" s="349" t="s">
        <v>65</v>
      </c>
      <c r="D10153" s="483">
        <v>16.260000000000002</v>
      </c>
      <c r="E10153" s="483">
        <v>16.260000000000002</v>
      </c>
    </row>
    <row r="10154" spans="1:5">
      <c r="A10154" s="484">
        <v>1586</v>
      </c>
      <c r="B10154" s="485" t="s">
        <v>9636</v>
      </c>
      <c r="C10154" s="484" t="s">
        <v>65</v>
      </c>
      <c r="D10154" s="486">
        <v>2.9</v>
      </c>
      <c r="E10154" s="486">
        <v>2.9</v>
      </c>
    </row>
    <row r="10155" spans="1:5">
      <c r="A10155" s="349">
        <v>11839</v>
      </c>
      <c r="B10155" s="348" t="s">
        <v>9637</v>
      </c>
      <c r="C10155" s="349" t="s">
        <v>65</v>
      </c>
      <c r="D10155" s="483">
        <v>23.4</v>
      </c>
      <c r="E10155" s="483">
        <v>23.4</v>
      </c>
    </row>
    <row r="10156" spans="1:5">
      <c r="A10156" s="484">
        <v>1587</v>
      </c>
      <c r="B10156" s="485" t="s">
        <v>9638</v>
      </c>
      <c r="C10156" s="484" t="s">
        <v>65</v>
      </c>
      <c r="D10156" s="486">
        <v>2.96</v>
      </c>
      <c r="E10156" s="486">
        <v>2.96</v>
      </c>
    </row>
    <row r="10157" spans="1:5">
      <c r="A10157" s="349">
        <v>1545</v>
      </c>
      <c r="B10157" s="348" t="s">
        <v>9639</v>
      </c>
      <c r="C10157" s="349" t="s">
        <v>65</v>
      </c>
      <c r="D10157" s="483">
        <v>28.09</v>
      </c>
      <c r="E10157" s="483">
        <v>28.09</v>
      </c>
    </row>
    <row r="10158" spans="1:5">
      <c r="A10158" s="484">
        <v>1588</v>
      </c>
      <c r="B10158" s="485" t="s">
        <v>9641</v>
      </c>
      <c r="C10158" s="484" t="s">
        <v>65</v>
      </c>
      <c r="D10158" s="486">
        <v>4.0599999999999996</v>
      </c>
      <c r="E10158" s="486">
        <v>4.0599999999999996</v>
      </c>
    </row>
    <row r="10159" spans="1:5">
      <c r="A10159" s="349">
        <v>1535</v>
      </c>
      <c r="B10159" s="348" t="s">
        <v>9642</v>
      </c>
      <c r="C10159" s="349" t="s">
        <v>65</v>
      </c>
      <c r="D10159" s="483">
        <v>2.34</v>
      </c>
      <c r="E10159" s="483">
        <v>2.34</v>
      </c>
    </row>
    <row r="10160" spans="1:5">
      <c r="A10160" s="484">
        <v>1589</v>
      </c>
      <c r="B10160" s="485" t="s">
        <v>9643</v>
      </c>
      <c r="C10160" s="484" t="s">
        <v>65</v>
      </c>
      <c r="D10160" s="486">
        <v>4.18</v>
      </c>
      <c r="E10160" s="486">
        <v>4.18</v>
      </c>
    </row>
    <row r="10161" spans="1:5">
      <c r="A10161" s="349">
        <v>1546</v>
      </c>
      <c r="B10161" s="348" t="s">
        <v>9644</v>
      </c>
      <c r="C10161" s="349" t="s">
        <v>65</v>
      </c>
      <c r="D10161" s="483">
        <v>47.4</v>
      </c>
      <c r="E10161" s="483">
        <v>47.4</v>
      </c>
    </row>
    <row r="10162" spans="1:5">
      <c r="A10162" s="484">
        <v>1590</v>
      </c>
      <c r="B10162" s="485" t="s">
        <v>9646</v>
      </c>
      <c r="C10162" s="484" t="s">
        <v>65</v>
      </c>
      <c r="D10162" s="486">
        <v>7.37</v>
      </c>
      <c r="E10162" s="486">
        <v>7.37</v>
      </c>
    </row>
    <row r="10163" spans="1:5" ht="30">
      <c r="A10163" s="349">
        <v>1542</v>
      </c>
      <c r="B10163" s="348" t="s">
        <v>9626</v>
      </c>
      <c r="C10163" s="349" t="s">
        <v>65</v>
      </c>
      <c r="D10163" s="483">
        <v>9.76</v>
      </c>
      <c r="E10163" s="483">
        <v>9.76</v>
      </c>
    </row>
    <row r="10164" spans="1:5" ht="30">
      <c r="A10164" s="484">
        <v>38415</v>
      </c>
      <c r="B10164" s="485" t="s">
        <v>9659</v>
      </c>
      <c r="C10164" s="484" t="s">
        <v>65</v>
      </c>
      <c r="D10164" s="486">
        <v>625.32000000000005</v>
      </c>
      <c r="E10164" s="486">
        <v>625.32000000000005</v>
      </c>
    </row>
    <row r="10165" spans="1:5" ht="30">
      <c r="A10165" s="349">
        <v>38414</v>
      </c>
      <c r="B10165" s="348" t="s">
        <v>9660</v>
      </c>
      <c r="C10165" s="349" t="s">
        <v>65</v>
      </c>
      <c r="D10165" s="483">
        <v>877.65</v>
      </c>
      <c r="E10165" s="483">
        <v>877.65</v>
      </c>
    </row>
    <row r="10166" spans="1:5">
      <c r="A10166" s="484">
        <v>38128</v>
      </c>
      <c r="B10166" s="485" t="s">
        <v>248</v>
      </c>
      <c r="C10166" s="484" t="s">
        <v>90</v>
      </c>
      <c r="D10166" s="486">
        <v>0.56000000000000005</v>
      </c>
      <c r="E10166" s="486">
        <v>0.56000000000000005</v>
      </c>
    </row>
    <row r="10167" spans="1:5">
      <c r="A10167" s="349">
        <v>7253</v>
      </c>
      <c r="B10167" s="348" t="s">
        <v>9661</v>
      </c>
      <c r="C10167" s="349" t="s">
        <v>255</v>
      </c>
      <c r="D10167" s="483">
        <v>120</v>
      </c>
      <c r="E10167" s="483">
        <v>120</v>
      </c>
    </row>
    <row r="10168" spans="1:5">
      <c r="A10168" s="484">
        <v>38955</v>
      </c>
      <c r="B10168" s="485" t="s">
        <v>9662</v>
      </c>
      <c r="C10168" s="484" t="s">
        <v>65</v>
      </c>
      <c r="D10168" s="486">
        <v>29.59</v>
      </c>
      <c r="E10168" s="486">
        <v>29.59</v>
      </c>
    </row>
    <row r="10169" spans="1:5">
      <c r="A10169" s="349">
        <v>4806</v>
      </c>
      <c r="B10169" s="348" t="s">
        <v>9663</v>
      </c>
      <c r="C10169" s="349" t="s">
        <v>71</v>
      </c>
      <c r="D10169" s="483">
        <v>10.1</v>
      </c>
      <c r="E10169" s="483">
        <v>10.1</v>
      </c>
    </row>
    <row r="10170" spans="1:5">
      <c r="A10170" s="484">
        <v>34401</v>
      </c>
      <c r="B10170" s="485" t="s">
        <v>9667</v>
      </c>
      <c r="C10170" s="484" t="s">
        <v>65</v>
      </c>
      <c r="D10170" s="486">
        <v>0.88</v>
      </c>
      <c r="E10170" s="486">
        <v>0.88</v>
      </c>
    </row>
    <row r="10171" spans="1:5">
      <c r="A10171" s="349">
        <v>7258</v>
      </c>
      <c r="B10171" s="348" t="s">
        <v>9668</v>
      </c>
      <c r="C10171" s="349" t="s">
        <v>65</v>
      </c>
      <c r="D10171" s="483">
        <v>0.28000000000000003</v>
      </c>
      <c r="E10171" s="483">
        <v>0.28000000000000003</v>
      </c>
    </row>
    <row r="10172" spans="1:5">
      <c r="A10172" s="484">
        <v>7260</v>
      </c>
      <c r="B10172" s="485" t="s">
        <v>9669</v>
      </c>
      <c r="C10172" s="484" t="s">
        <v>65</v>
      </c>
      <c r="D10172" s="486">
        <v>0.86</v>
      </c>
      <c r="E10172" s="486">
        <v>0.86</v>
      </c>
    </row>
    <row r="10173" spans="1:5">
      <c r="A10173" s="349">
        <v>7256</v>
      </c>
      <c r="B10173" s="348" t="s">
        <v>9670</v>
      </c>
      <c r="C10173" s="349" t="s">
        <v>65</v>
      </c>
      <c r="D10173" s="483">
        <v>0.5</v>
      </c>
      <c r="E10173" s="483">
        <v>0.5</v>
      </c>
    </row>
    <row r="10174" spans="1:5">
      <c r="A10174" s="484">
        <v>34400</v>
      </c>
      <c r="B10174" s="485" t="s">
        <v>9671</v>
      </c>
      <c r="C10174" s="484" t="s">
        <v>65</v>
      </c>
      <c r="D10174" s="486">
        <v>2.17</v>
      </c>
      <c r="E10174" s="486">
        <v>2.17</v>
      </c>
    </row>
    <row r="10175" spans="1:5">
      <c r="A10175" s="349">
        <v>10617</v>
      </c>
      <c r="B10175" s="348" t="s">
        <v>9672</v>
      </c>
      <c r="C10175" s="349" t="s">
        <v>65</v>
      </c>
      <c r="D10175" s="483">
        <v>3.03</v>
      </c>
      <c r="E10175" s="483">
        <v>3.03</v>
      </c>
    </row>
    <row r="10176" spans="1:5" ht="30">
      <c r="A10176" s="484">
        <v>7280</v>
      </c>
      <c r="B10176" s="485" t="s">
        <v>9673</v>
      </c>
      <c r="C10176" s="484" t="s">
        <v>65</v>
      </c>
      <c r="D10176" s="486">
        <v>393.48</v>
      </c>
      <c r="E10176" s="486">
        <v>393.48</v>
      </c>
    </row>
    <row r="10177" spans="1:5" ht="30">
      <c r="A10177" s="349">
        <v>7282</v>
      </c>
      <c r="B10177" s="348" t="s">
        <v>19726</v>
      </c>
      <c r="C10177" s="349" t="s">
        <v>65</v>
      </c>
      <c r="D10177" s="483">
        <v>740.67</v>
      </c>
      <c r="E10177" s="483">
        <v>740.67</v>
      </c>
    </row>
    <row r="10178" spans="1:5" ht="30">
      <c r="A10178" s="484">
        <v>7276</v>
      </c>
      <c r="B10178" s="485" t="s">
        <v>9674</v>
      </c>
      <c r="C10178" s="484" t="s">
        <v>65</v>
      </c>
      <c r="D10178" s="486">
        <v>801.93</v>
      </c>
      <c r="E10178" s="486">
        <v>801.93</v>
      </c>
    </row>
    <row r="10179" spans="1:5" ht="30">
      <c r="A10179" s="349">
        <v>7277</v>
      </c>
      <c r="B10179" s="348" t="s">
        <v>9675</v>
      </c>
      <c r="C10179" s="349" t="s">
        <v>65</v>
      </c>
      <c r="D10179" s="483">
        <v>1035.32</v>
      </c>
      <c r="E10179" s="483">
        <v>1035.32</v>
      </c>
    </row>
    <row r="10180" spans="1:5" ht="30">
      <c r="A10180" s="484">
        <v>7278</v>
      </c>
      <c r="B10180" s="485" t="s">
        <v>9676</v>
      </c>
      <c r="C10180" s="484" t="s">
        <v>65</v>
      </c>
      <c r="D10180" s="486">
        <v>1327.04</v>
      </c>
      <c r="E10180" s="486">
        <v>1327.04</v>
      </c>
    </row>
    <row r="10181" spans="1:5" ht="30">
      <c r="A10181" s="349">
        <v>7274</v>
      </c>
      <c r="B10181" s="348" t="s">
        <v>9677</v>
      </c>
      <c r="C10181" s="349" t="s">
        <v>65</v>
      </c>
      <c r="D10181" s="483">
        <v>27.58</v>
      </c>
      <c r="E10181" s="483">
        <v>27.58</v>
      </c>
    </row>
    <row r="10182" spans="1:5">
      <c r="A10182" s="484">
        <v>7275</v>
      </c>
      <c r="B10182" s="485" t="s">
        <v>9678</v>
      </c>
      <c r="C10182" s="484" t="s">
        <v>65</v>
      </c>
      <c r="D10182" s="486">
        <v>725.71</v>
      </c>
      <c r="E10182" s="486">
        <v>725.71</v>
      </c>
    </row>
    <row r="10183" spans="1:5">
      <c r="A10183" s="349">
        <v>7284</v>
      </c>
      <c r="B10183" s="348" t="s">
        <v>9679</v>
      </c>
      <c r="C10183" s="349" t="s">
        <v>65</v>
      </c>
      <c r="D10183" s="483">
        <v>2235.17</v>
      </c>
      <c r="E10183" s="483">
        <v>2235.17</v>
      </c>
    </row>
    <row r="10184" spans="1:5" ht="30">
      <c r="A10184" s="484">
        <v>11663</v>
      </c>
      <c r="B10184" s="485" t="s">
        <v>9680</v>
      </c>
      <c r="C10184" s="484" t="s">
        <v>65</v>
      </c>
      <c r="D10184" s="486">
        <v>270.10000000000002</v>
      </c>
      <c r="E10184" s="486">
        <v>270.10000000000002</v>
      </c>
    </row>
    <row r="10185" spans="1:5" ht="30">
      <c r="A10185" s="349">
        <v>11665</v>
      </c>
      <c r="B10185" s="348" t="s">
        <v>9681</v>
      </c>
      <c r="C10185" s="349" t="s">
        <v>65</v>
      </c>
      <c r="D10185" s="483">
        <v>1194.3</v>
      </c>
      <c r="E10185" s="483">
        <v>1194.3</v>
      </c>
    </row>
    <row r="10186" spans="1:5" ht="30">
      <c r="A10186" s="484">
        <v>11666</v>
      </c>
      <c r="B10186" s="485" t="s">
        <v>9682</v>
      </c>
      <c r="C10186" s="484" t="s">
        <v>65</v>
      </c>
      <c r="D10186" s="486">
        <v>1203.79</v>
      </c>
      <c r="E10186" s="486">
        <v>1203.79</v>
      </c>
    </row>
    <row r="10187" spans="1:5" ht="30">
      <c r="A10187" s="349">
        <v>11667</v>
      </c>
      <c r="B10187" s="348" t="s">
        <v>9683</v>
      </c>
      <c r="C10187" s="349" t="s">
        <v>65</v>
      </c>
      <c r="D10187" s="483">
        <v>1373.74</v>
      </c>
      <c r="E10187" s="483">
        <v>1373.74</v>
      </c>
    </row>
    <row r="10188" spans="1:5" ht="30">
      <c r="A10188" s="484">
        <v>11668</v>
      </c>
      <c r="B10188" s="485" t="s">
        <v>9684</v>
      </c>
      <c r="C10188" s="484" t="s">
        <v>65</v>
      </c>
      <c r="D10188" s="486">
        <v>1479.38</v>
      </c>
      <c r="E10188" s="486">
        <v>1479.38</v>
      </c>
    </row>
    <row r="10189" spans="1:5" ht="30">
      <c r="A10189" s="349">
        <v>38121</v>
      </c>
      <c r="B10189" s="348" t="s">
        <v>9685</v>
      </c>
      <c r="C10189" s="349" t="s">
        <v>91</v>
      </c>
      <c r="D10189" s="483">
        <v>9.9</v>
      </c>
      <c r="E10189" s="483">
        <v>9.9</v>
      </c>
    </row>
    <row r="10190" spans="1:5">
      <c r="A10190" s="484">
        <v>7343</v>
      </c>
      <c r="B10190" s="485" t="s">
        <v>9686</v>
      </c>
      <c r="C10190" s="484" t="s">
        <v>91</v>
      </c>
      <c r="D10190" s="486">
        <v>10.02</v>
      </c>
      <c r="E10190" s="486">
        <v>10.02</v>
      </c>
    </row>
    <row r="10191" spans="1:5">
      <c r="A10191" s="349">
        <v>7287</v>
      </c>
      <c r="B10191" s="348" t="s">
        <v>9687</v>
      </c>
      <c r="C10191" s="349" t="s">
        <v>182</v>
      </c>
      <c r="D10191" s="483">
        <v>55.47</v>
      </c>
      <c r="E10191" s="483">
        <v>55.47</v>
      </c>
    </row>
    <row r="10192" spans="1:5">
      <c r="A10192" s="484">
        <v>7350</v>
      </c>
      <c r="B10192" s="485" t="s">
        <v>9688</v>
      </c>
      <c r="C10192" s="484" t="s">
        <v>91</v>
      </c>
      <c r="D10192" s="486">
        <v>19.989999999999998</v>
      </c>
      <c r="E10192" s="486">
        <v>19.989999999999998</v>
      </c>
    </row>
    <row r="10193" spans="1:5">
      <c r="A10193" s="349">
        <v>7348</v>
      </c>
      <c r="B10193" s="348" t="s">
        <v>9689</v>
      </c>
      <c r="C10193" s="349" t="s">
        <v>91</v>
      </c>
      <c r="D10193" s="483">
        <v>11.21</v>
      </c>
      <c r="E10193" s="483">
        <v>11.21</v>
      </c>
    </row>
    <row r="10194" spans="1:5">
      <c r="A10194" s="484">
        <v>7347</v>
      </c>
      <c r="B10194" s="485" t="s">
        <v>9689</v>
      </c>
      <c r="C10194" s="484" t="s">
        <v>182</v>
      </c>
      <c r="D10194" s="486">
        <v>40.36</v>
      </c>
      <c r="E10194" s="486">
        <v>40.36</v>
      </c>
    </row>
    <row r="10195" spans="1:5" ht="57.75" customHeight="1">
      <c r="A10195" s="349">
        <v>7355</v>
      </c>
      <c r="B10195" s="348" t="s">
        <v>9690</v>
      </c>
      <c r="C10195" s="349" t="s">
        <v>182</v>
      </c>
      <c r="D10195" s="483">
        <v>60.49</v>
      </c>
      <c r="E10195" s="483">
        <v>60.49</v>
      </c>
    </row>
    <row r="10196" spans="1:5">
      <c r="A10196" s="484">
        <v>7356</v>
      </c>
      <c r="B10196" s="485" t="s">
        <v>9691</v>
      </c>
      <c r="C10196" s="484" t="s">
        <v>91</v>
      </c>
      <c r="D10196" s="486">
        <v>16.8</v>
      </c>
      <c r="E10196" s="486">
        <v>16.8</v>
      </c>
    </row>
    <row r="10197" spans="1:5" ht="30">
      <c r="A10197" s="349">
        <v>7313</v>
      </c>
      <c r="B10197" s="348" t="s">
        <v>9692</v>
      </c>
      <c r="C10197" s="349" t="s">
        <v>91</v>
      </c>
      <c r="D10197" s="483">
        <v>11.51</v>
      </c>
      <c r="E10197" s="483">
        <v>11.51</v>
      </c>
    </row>
    <row r="10198" spans="1:5">
      <c r="A10198" s="484">
        <v>7319</v>
      </c>
      <c r="B10198" s="485" t="s">
        <v>9693</v>
      </c>
      <c r="C10198" s="484" t="s">
        <v>91</v>
      </c>
      <c r="D10198" s="486">
        <v>6.58</v>
      </c>
      <c r="E10198" s="486">
        <v>6.58</v>
      </c>
    </row>
    <row r="10199" spans="1:5" ht="57.75" customHeight="1">
      <c r="A10199" s="349">
        <v>38119</v>
      </c>
      <c r="B10199" s="348" t="s">
        <v>249</v>
      </c>
      <c r="C10199" s="349" t="s">
        <v>91</v>
      </c>
      <c r="D10199" s="483">
        <v>72.040000000000006</v>
      </c>
      <c r="E10199" s="483">
        <v>72.040000000000006</v>
      </c>
    </row>
    <row r="10200" spans="1:5">
      <c r="A10200" s="484">
        <v>7314</v>
      </c>
      <c r="B10200" s="485" t="s">
        <v>9694</v>
      </c>
      <c r="C10200" s="484" t="s">
        <v>91</v>
      </c>
      <c r="D10200" s="486">
        <v>77.64</v>
      </c>
      <c r="E10200" s="486">
        <v>77.64</v>
      </c>
    </row>
    <row r="10201" spans="1:5">
      <c r="A10201" s="349">
        <v>38131</v>
      </c>
      <c r="B10201" s="348" t="s">
        <v>250</v>
      </c>
      <c r="C10201" s="349" t="s">
        <v>91</v>
      </c>
      <c r="D10201" s="483">
        <v>72.69</v>
      </c>
      <c r="E10201" s="483">
        <v>72.69</v>
      </c>
    </row>
    <row r="10202" spans="1:5">
      <c r="A10202" s="484">
        <v>7304</v>
      </c>
      <c r="B10202" s="485" t="s">
        <v>19727</v>
      </c>
      <c r="C10202" s="484" t="s">
        <v>91</v>
      </c>
      <c r="D10202" s="486">
        <v>41.4</v>
      </c>
      <c r="E10202" s="486">
        <v>41.4</v>
      </c>
    </row>
    <row r="10203" spans="1:5" ht="57.75" customHeight="1">
      <c r="A10203" s="349">
        <v>7293</v>
      </c>
      <c r="B10203" s="348" t="s">
        <v>9696</v>
      </c>
      <c r="C10203" s="349" t="s">
        <v>91</v>
      </c>
      <c r="D10203" s="483">
        <v>18.559999999999999</v>
      </c>
      <c r="E10203" s="483">
        <v>18.559999999999999</v>
      </c>
    </row>
    <row r="10204" spans="1:5">
      <c r="A10204" s="484">
        <v>7311</v>
      </c>
      <c r="B10204" s="485" t="s">
        <v>9697</v>
      </c>
      <c r="C10204" s="484" t="s">
        <v>91</v>
      </c>
      <c r="D10204" s="486">
        <v>17.95</v>
      </c>
      <c r="E10204" s="486">
        <v>17.95</v>
      </c>
    </row>
    <row r="10205" spans="1:5">
      <c r="A10205" s="349">
        <v>7292</v>
      </c>
      <c r="B10205" s="348" t="s">
        <v>9698</v>
      </c>
      <c r="C10205" s="349" t="s">
        <v>91</v>
      </c>
      <c r="D10205" s="483">
        <v>17.43</v>
      </c>
      <c r="E10205" s="483">
        <v>17.43</v>
      </c>
    </row>
    <row r="10206" spans="1:5">
      <c r="A10206" s="484">
        <v>7288</v>
      </c>
      <c r="B10206" s="485" t="s">
        <v>9699</v>
      </c>
      <c r="C10206" s="484" t="s">
        <v>91</v>
      </c>
      <c r="D10206" s="486">
        <v>19.75</v>
      </c>
      <c r="E10206" s="486">
        <v>19.75</v>
      </c>
    </row>
    <row r="10207" spans="1:5">
      <c r="A10207" s="349">
        <v>35693</v>
      </c>
      <c r="B10207" s="348" t="s">
        <v>9700</v>
      </c>
      <c r="C10207" s="349" t="s">
        <v>91</v>
      </c>
      <c r="D10207" s="483">
        <v>7.71</v>
      </c>
      <c r="E10207" s="483">
        <v>7.71</v>
      </c>
    </row>
    <row r="10208" spans="1:5">
      <c r="A10208" s="484">
        <v>35692</v>
      </c>
      <c r="B10208" s="485" t="s">
        <v>9701</v>
      </c>
      <c r="C10208" s="484" t="s">
        <v>91</v>
      </c>
      <c r="D10208" s="486">
        <v>41.32</v>
      </c>
      <c r="E10208" s="486">
        <v>41.32</v>
      </c>
    </row>
    <row r="10209" spans="1:5">
      <c r="A10209" s="349">
        <v>7344</v>
      </c>
      <c r="B10209" s="348" t="s">
        <v>9702</v>
      </c>
      <c r="C10209" s="349" t="s">
        <v>182</v>
      </c>
      <c r="D10209" s="483">
        <v>52.29</v>
      </c>
      <c r="E10209" s="483">
        <v>52.29</v>
      </c>
    </row>
    <row r="10210" spans="1:5">
      <c r="A10210" s="484">
        <v>7345</v>
      </c>
      <c r="B10210" s="485" t="s">
        <v>9703</v>
      </c>
      <c r="C10210" s="484" t="s">
        <v>91</v>
      </c>
      <c r="D10210" s="486">
        <v>14.52</v>
      </c>
      <c r="E10210" s="486">
        <v>14.52</v>
      </c>
    </row>
    <row r="10211" spans="1:5">
      <c r="A10211" s="349">
        <v>35691</v>
      </c>
      <c r="B10211" s="348" t="s">
        <v>9704</v>
      </c>
      <c r="C10211" s="349" t="s">
        <v>91</v>
      </c>
      <c r="D10211" s="483">
        <v>11.48</v>
      </c>
      <c r="E10211" s="483">
        <v>11.48</v>
      </c>
    </row>
    <row r="10212" spans="1:5">
      <c r="A10212" s="484">
        <v>7342</v>
      </c>
      <c r="B10212" s="485" t="s">
        <v>9705</v>
      </c>
      <c r="C10212" s="484" t="s">
        <v>90</v>
      </c>
      <c r="D10212" s="486">
        <v>1.26</v>
      </c>
      <c r="E10212" s="486">
        <v>1.26</v>
      </c>
    </row>
    <row r="10213" spans="1:5">
      <c r="A10213" s="349">
        <v>7306</v>
      </c>
      <c r="B10213" s="348" t="s">
        <v>9706</v>
      </c>
      <c r="C10213" s="349" t="s">
        <v>91</v>
      </c>
      <c r="D10213" s="483">
        <v>21.28</v>
      </c>
      <c r="E10213" s="483">
        <v>21.28</v>
      </c>
    </row>
    <row r="10214" spans="1:5">
      <c r="A10214" s="484">
        <v>154</v>
      </c>
      <c r="B10214" s="485" t="s">
        <v>9707</v>
      </c>
      <c r="C10214" s="484" t="s">
        <v>91</v>
      </c>
      <c r="D10214" s="486">
        <v>42.64</v>
      </c>
      <c r="E10214" s="486">
        <v>42.64</v>
      </c>
    </row>
    <row r="10215" spans="1:5">
      <c r="A10215" s="349">
        <v>7338</v>
      </c>
      <c r="B10215" s="348" t="s">
        <v>9708</v>
      </c>
      <c r="C10215" s="349" t="s">
        <v>90</v>
      </c>
      <c r="D10215" s="483">
        <v>28.43</v>
      </c>
      <c r="E10215" s="483">
        <v>28.43</v>
      </c>
    </row>
    <row r="10216" spans="1:5" ht="30">
      <c r="A10216" s="484">
        <v>39574</v>
      </c>
      <c r="B10216" s="485" t="s">
        <v>11546</v>
      </c>
      <c r="C10216" s="484" t="s">
        <v>65</v>
      </c>
      <c r="D10216" s="486">
        <v>2.15</v>
      </c>
      <c r="E10216" s="486">
        <v>2.15</v>
      </c>
    </row>
    <row r="10217" spans="1:5" ht="30">
      <c r="A10217" s="349">
        <v>11060</v>
      </c>
      <c r="B10217" s="348" t="s">
        <v>9709</v>
      </c>
      <c r="C10217" s="349" t="s">
        <v>65</v>
      </c>
      <c r="D10217" s="483">
        <v>22.03</v>
      </c>
      <c r="E10217" s="483">
        <v>22.03</v>
      </c>
    </row>
    <row r="10218" spans="1:5">
      <c r="A10218" s="484">
        <v>37401</v>
      </c>
      <c r="B10218" s="485" t="s">
        <v>9722</v>
      </c>
      <c r="C10218" s="484" t="s">
        <v>65</v>
      </c>
      <c r="D10218" s="486">
        <v>43.19</v>
      </c>
      <c r="E10218" s="486">
        <v>43.19</v>
      </c>
    </row>
    <row r="10219" spans="1:5">
      <c r="A10219" s="349">
        <v>7525</v>
      </c>
      <c r="B10219" s="348" t="s">
        <v>11547</v>
      </c>
      <c r="C10219" s="349" t="s">
        <v>65</v>
      </c>
      <c r="D10219" s="483">
        <v>34.61</v>
      </c>
      <c r="E10219" s="483">
        <v>34.61</v>
      </c>
    </row>
    <row r="10220" spans="1:5">
      <c r="A10220" s="484">
        <v>7524</v>
      </c>
      <c r="B10220" s="485" t="s">
        <v>11548</v>
      </c>
      <c r="C10220" s="484" t="s">
        <v>65</v>
      </c>
      <c r="D10220" s="486">
        <v>32.619999999999997</v>
      </c>
      <c r="E10220" s="486">
        <v>32.619999999999997</v>
      </c>
    </row>
    <row r="10221" spans="1:5">
      <c r="A10221" s="349">
        <v>38105</v>
      </c>
      <c r="B10221" s="348" t="s">
        <v>11549</v>
      </c>
      <c r="C10221" s="349" t="s">
        <v>65</v>
      </c>
      <c r="D10221" s="483">
        <v>8.3800000000000008</v>
      </c>
      <c r="E10221" s="483">
        <v>8.3800000000000008</v>
      </c>
    </row>
    <row r="10222" spans="1:5" ht="30">
      <c r="A10222" s="484">
        <v>38084</v>
      </c>
      <c r="B10222" s="485" t="s">
        <v>11550</v>
      </c>
      <c r="C10222" s="484" t="s">
        <v>65</v>
      </c>
      <c r="D10222" s="486">
        <v>11.9</v>
      </c>
      <c r="E10222" s="486">
        <v>11.9</v>
      </c>
    </row>
    <row r="10223" spans="1:5">
      <c r="A10223" s="349">
        <v>38103</v>
      </c>
      <c r="B10223" s="348" t="s">
        <v>11551</v>
      </c>
      <c r="C10223" s="349" t="s">
        <v>65</v>
      </c>
      <c r="D10223" s="483">
        <v>12.58</v>
      </c>
      <c r="E10223" s="483">
        <v>12.58</v>
      </c>
    </row>
    <row r="10224" spans="1:5" ht="30">
      <c r="A10224" s="484">
        <v>38082</v>
      </c>
      <c r="B10224" s="485" t="s">
        <v>11552</v>
      </c>
      <c r="C10224" s="484" t="s">
        <v>65</v>
      </c>
      <c r="D10224" s="486">
        <v>15.49</v>
      </c>
      <c r="E10224" s="486">
        <v>15.49</v>
      </c>
    </row>
    <row r="10225" spans="1:5">
      <c r="A10225" s="349">
        <v>38104</v>
      </c>
      <c r="B10225" s="348" t="s">
        <v>11553</v>
      </c>
      <c r="C10225" s="349" t="s">
        <v>65</v>
      </c>
      <c r="D10225" s="483">
        <v>24.63</v>
      </c>
      <c r="E10225" s="483">
        <v>24.63</v>
      </c>
    </row>
    <row r="10226" spans="1:5" ht="30">
      <c r="A10226" s="484">
        <v>38083</v>
      </c>
      <c r="B10226" s="485" t="s">
        <v>11554</v>
      </c>
      <c r="C10226" s="484" t="s">
        <v>65</v>
      </c>
      <c r="D10226" s="486">
        <v>27.34</v>
      </c>
      <c r="E10226" s="486">
        <v>27.34</v>
      </c>
    </row>
    <row r="10227" spans="1:5">
      <c r="A10227" s="349">
        <v>38101</v>
      </c>
      <c r="B10227" s="348" t="s">
        <v>11555</v>
      </c>
      <c r="C10227" s="349" t="s">
        <v>65</v>
      </c>
      <c r="D10227" s="483">
        <v>5.98</v>
      </c>
      <c r="E10227" s="483">
        <v>5.98</v>
      </c>
    </row>
    <row r="10228" spans="1:5" ht="30">
      <c r="A10228" s="484">
        <v>7528</v>
      </c>
      <c r="B10228" s="485" t="s">
        <v>11556</v>
      </c>
      <c r="C10228" s="484" t="s">
        <v>65</v>
      </c>
      <c r="D10228" s="486">
        <v>7.03</v>
      </c>
      <c r="E10228" s="486">
        <v>7.03</v>
      </c>
    </row>
    <row r="10229" spans="1:5">
      <c r="A10229" s="349">
        <v>12147</v>
      </c>
      <c r="B10229" s="348" t="s">
        <v>11557</v>
      </c>
      <c r="C10229" s="349" t="s">
        <v>65</v>
      </c>
      <c r="D10229" s="483">
        <v>10.72</v>
      </c>
      <c r="E10229" s="483">
        <v>10.72</v>
      </c>
    </row>
    <row r="10230" spans="1:5" ht="30">
      <c r="A10230" s="484">
        <v>38075</v>
      </c>
      <c r="B10230" s="485" t="s">
        <v>9723</v>
      </c>
      <c r="C10230" s="484" t="s">
        <v>65</v>
      </c>
      <c r="D10230" s="486">
        <v>12.17</v>
      </c>
      <c r="E10230" s="486">
        <v>12.17</v>
      </c>
    </row>
    <row r="10231" spans="1:5">
      <c r="A10231" s="349">
        <v>38102</v>
      </c>
      <c r="B10231" s="348" t="s">
        <v>11558</v>
      </c>
      <c r="C10231" s="349" t="s">
        <v>65</v>
      </c>
      <c r="D10231" s="483">
        <v>7.65</v>
      </c>
      <c r="E10231" s="483">
        <v>7.65</v>
      </c>
    </row>
    <row r="10232" spans="1:5">
      <c r="A10232" s="484">
        <v>7592</v>
      </c>
      <c r="B10232" s="485" t="s">
        <v>9758</v>
      </c>
      <c r="C10232" s="484" t="s">
        <v>57</v>
      </c>
      <c r="D10232" s="486">
        <v>14.74</v>
      </c>
      <c r="E10232" s="486">
        <v>14.74</v>
      </c>
    </row>
    <row r="10233" spans="1:5">
      <c r="A10233" s="349">
        <v>40820</v>
      </c>
      <c r="B10233" s="348" t="s">
        <v>251</v>
      </c>
      <c r="C10233" s="349" t="s">
        <v>1643</v>
      </c>
      <c r="D10233" s="483">
        <v>2597.41</v>
      </c>
      <c r="E10233" s="483">
        <v>2597.41</v>
      </c>
    </row>
    <row r="10234" spans="1:5">
      <c r="A10234" s="484">
        <v>11762</v>
      </c>
      <c r="B10234" s="485" t="s">
        <v>9761</v>
      </c>
      <c r="C10234" s="484" t="s">
        <v>65</v>
      </c>
      <c r="D10234" s="486">
        <v>49.9</v>
      </c>
      <c r="E10234" s="486">
        <v>49.9</v>
      </c>
    </row>
    <row r="10235" spans="1:5" ht="30">
      <c r="A10235" s="349">
        <v>13418</v>
      </c>
      <c r="B10235" s="348" t="s">
        <v>9762</v>
      </c>
      <c r="C10235" s="349" t="s">
        <v>65</v>
      </c>
      <c r="D10235" s="483">
        <v>13.94</v>
      </c>
      <c r="E10235" s="483">
        <v>13.94</v>
      </c>
    </row>
    <row r="10236" spans="1:5">
      <c r="A10236" s="484">
        <v>13984</v>
      </c>
      <c r="B10236" s="485" t="s">
        <v>9763</v>
      </c>
      <c r="C10236" s="484" t="s">
        <v>65</v>
      </c>
      <c r="D10236" s="486">
        <v>34.869999999999997</v>
      </c>
      <c r="E10236" s="486">
        <v>34.869999999999997</v>
      </c>
    </row>
    <row r="10237" spans="1:5" ht="30">
      <c r="A10237" s="349">
        <v>11772</v>
      </c>
      <c r="B10237" s="348" t="s">
        <v>9764</v>
      </c>
      <c r="C10237" s="349" t="s">
        <v>65</v>
      </c>
      <c r="D10237" s="483">
        <v>84.68</v>
      </c>
      <c r="E10237" s="483">
        <v>84.68</v>
      </c>
    </row>
    <row r="10238" spans="1:5">
      <c r="A10238" s="484">
        <v>36795</v>
      </c>
      <c r="B10238" s="485" t="s">
        <v>9765</v>
      </c>
      <c r="C10238" s="484" t="s">
        <v>65</v>
      </c>
      <c r="D10238" s="486">
        <v>544.66999999999996</v>
      </c>
      <c r="E10238" s="486">
        <v>544.66999999999996</v>
      </c>
    </row>
    <row r="10239" spans="1:5">
      <c r="A10239" s="349">
        <v>36796</v>
      </c>
      <c r="B10239" s="348" t="s">
        <v>9766</v>
      </c>
      <c r="C10239" s="349" t="s">
        <v>65</v>
      </c>
      <c r="D10239" s="483">
        <v>140.24</v>
      </c>
      <c r="E10239" s="483">
        <v>140.24</v>
      </c>
    </row>
    <row r="10240" spans="1:5">
      <c r="A10240" s="484">
        <v>36791</v>
      </c>
      <c r="B10240" s="485" t="s">
        <v>9767</v>
      </c>
      <c r="C10240" s="484" t="s">
        <v>65</v>
      </c>
      <c r="D10240" s="486">
        <v>72.25</v>
      </c>
      <c r="E10240" s="486">
        <v>72.25</v>
      </c>
    </row>
    <row r="10241" spans="1:5">
      <c r="A10241" s="349">
        <v>13415</v>
      </c>
      <c r="B10241" s="348" t="s">
        <v>9768</v>
      </c>
      <c r="C10241" s="349" t="s">
        <v>65</v>
      </c>
      <c r="D10241" s="483">
        <v>42</v>
      </c>
      <c r="E10241" s="483">
        <v>42</v>
      </c>
    </row>
    <row r="10242" spans="1:5">
      <c r="A10242" s="484">
        <v>36792</v>
      </c>
      <c r="B10242" s="485" t="s">
        <v>9771</v>
      </c>
      <c r="C10242" s="484" t="s">
        <v>65</v>
      </c>
      <c r="D10242" s="486">
        <v>138.12</v>
      </c>
      <c r="E10242" s="486">
        <v>138.12</v>
      </c>
    </row>
    <row r="10243" spans="1:5" ht="30">
      <c r="A10243" s="349">
        <v>11773</v>
      </c>
      <c r="B10243" s="348" t="s">
        <v>9772</v>
      </c>
      <c r="C10243" s="349" t="s">
        <v>65</v>
      </c>
      <c r="D10243" s="483">
        <v>80.849999999999994</v>
      </c>
      <c r="E10243" s="483">
        <v>80.849999999999994</v>
      </c>
    </row>
    <row r="10244" spans="1:5">
      <c r="A10244" s="484">
        <v>11775</v>
      </c>
      <c r="B10244" s="485" t="s">
        <v>9773</v>
      </c>
      <c r="C10244" s="484" t="s">
        <v>65</v>
      </c>
      <c r="D10244" s="486">
        <v>84.42</v>
      </c>
      <c r="E10244" s="486">
        <v>84.42</v>
      </c>
    </row>
    <row r="10245" spans="1:5" ht="30">
      <c r="A10245" s="349">
        <v>13983</v>
      </c>
      <c r="B10245" s="348" t="s">
        <v>9774</v>
      </c>
      <c r="C10245" s="349" t="s">
        <v>65</v>
      </c>
      <c r="D10245" s="483">
        <v>43.13</v>
      </c>
      <c r="E10245" s="483">
        <v>43.13</v>
      </c>
    </row>
    <row r="10246" spans="1:5" ht="30">
      <c r="A10246" s="484">
        <v>13416</v>
      </c>
      <c r="B10246" s="485" t="s">
        <v>9775</v>
      </c>
      <c r="C10246" s="484" t="s">
        <v>65</v>
      </c>
      <c r="D10246" s="486">
        <v>34.78</v>
      </c>
      <c r="E10246" s="486">
        <v>34.78</v>
      </c>
    </row>
    <row r="10247" spans="1:5">
      <c r="A10247" s="349">
        <v>13417</v>
      </c>
      <c r="B10247" s="348" t="s">
        <v>9777</v>
      </c>
      <c r="C10247" s="349" t="s">
        <v>65</v>
      </c>
      <c r="D10247" s="483">
        <v>30.68</v>
      </c>
      <c r="E10247" s="483">
        <v>30.68</v>
      </c>
    </row>
    <row r="10248" spans="1:5">
      <c r="A10248" s="484">
        <v>7604</v>
      </c>
      <c r="B10248" s="485" t="s">
        <v>9778</v>
      </c>
      <c r="C10248" s="484" t="s">
        <v>65</v>
      </c>
      <c r="D10248" s="486">
        <v>13.28</v>
      </c>
      <c r="E10248" s="486">
        <v>13.28</v>
      </c>
    </row>
    <row r="10249" spans="1:5">
      <c r="A10249" s="349">
        <v>11777</v>
      </c>
      <c r="B10249" s="348" t="s">
        <v>9797</v>
      </c>
      <c r="C10249" s="349" t="s">
        <v>65</v>
      </c>
      <c r="D10249" s="483">
        <v>100.8</v>
      </c>
      <c r="E10249" s="483">
        <v>100.8</v>
      </c>
    </row>
    <row r="10250" spans="1:5" ht="30">
      <c r="A10250" s="484">
        <v>7602</v>
      </c>
      <c r="B10250" s="485" t="s">
        <v>9798</v>
      </c>
      <c r="C10250" s="484" t="s">
        <v>65</v>
      </c>
      <c r="D10250" s="486">
        <v>13.17</v>
      </c>
      <c r="E10250" s="486">
        <v>13.17</v>
      </c>
    </row>
    <row r="10251" spans="1:5" ht="30">
      <c r="A10251" s="349">
        <v>7603</v>
      </c>
      <c r="B10251" s="348" t="s">
        <v>9799</v>
      </c>
      <c r="C10251" s="349" t="s">
        <v>65</v>
      </c>
      <c r="D10251" s="483">
        <v>12.77</v>
      </c>
      <c r="E10251" s="483">
        <v>12.77</v>
      </c>
    </row>
    <row r="10252" spans="1:5" ht="30">
      <c r="A10252" s="484">
        <v>11763</v>
      </c>
      <c r="B10252" s="485" t="s">
        <v>19728</v>
      </c>
      <c r="C10252" s="484" t="s">
        <v>65</v>
      </c>
      <c r="D10252" s="486">
        <v>51.24</v>
      </c>
      <c r="E10252" s="486">
        <v>51.24</v>
      </c>
    </row>
    <row r="10253" spans="1:5" ht="30">
      <c r="A10253" s="349">
        <v>11764</v>
      </c>
      <c r="B10253" s="348" t="s">
        <v>9800</v>
      </c>
      <c r="C10253" s="349" t="s">
        <v>65</v>
      </c>
      <c r="D10253" s="483">
        <v>54.73</v>
      </c>
      <c r="E10253" s="483">
        <v>54.73</v>
      </c>
    </row>
    <row r="10254" spans="1:5" ht="30">
      <c r="A10254" s="484">
        <v>11826</v>
      </c>
      <c r="B10254" s="485" t="s">
        <v>19729</v>
      </c>
      <c r="C10254" s="484" t="s">
        <v>65</v>
      </c>
      <c r="D10254" s="486">
        <v>21.82</v>
      </c>
      <c r="E10254" s="486">
        <v>21.82</v>
      </c>
    </row>
    <row r="10255" spans="1:5" ht="30">
      <c r="A10255" s="349">
        <v>11829</v>
      </c>
      <c r="B10255" s="348" t="s">
        <v>19730</v>
      </c>
      <c r="C10255" s="349" t="s">
        <v>65</v>
      </c>
      <c r="D10255" s="483">
        <v>13.11</v>
      </c>
      <c r="E10255" s="483">
        <v>13.11</v>
      </c>
    </row>
    <row r="10256" spans="1:5" ht="30">
      <c r="A10256" s="484">
        <v>11825</v>
      </c>
      <c r="B10256" s="485" t="s">
        <v>19731</v>
      </c>
      <c r="C10256" s="484" t="s">
        <v>65</v>
      </c>
      <c r="D10256" s="486">
        <v>22.49</v>
      </c>
      <c r="E10256" s="486">
        <v>22.49</v>
      </c>
    </row>
    <row r="10257" spans="1:5" ht="30">
      <c r="A10257" s="349">
        <v>11767</v>
      </c>
      <c r="B10257" s="348" t="s">
        <v>19732</v>
      </c>
      <c r="C10257" s="349" t="s">
        <v>65</v>
      </c>
      <c r="D10257" s="483">
        <v>90.84</v>
      </c>
      <c r="E10257" s="483">
        <v>90.84</v>
      </c>
    </row>
    <row r="10258" spans="1:5" ht="30">
      <c r="A10258" s="484">
        <v>7606</v>
      </c>
      <c r="B10258" s="485" t="s">
        <v>19733</v>
      </c>
      <c r="C10258" s="484" t="s">
        <v>65</v>
      </c>
      <c r="D10258" s="486">
        <v>22.74</v>
      </c>
      <c r="E10258" s="486">
        <v>22.74</v>
      </c>
    </row>
    <row r="10259" spans="1:5" ht="30">
      <c r="A10259" s="349">
        <v>11830</v>
      </c>
      <c r="B10259" s="348" t="s">
        <v>19734</v>
      </c>
      <c r="C10259" s="349" t="s">
        <v>65</v>
      </c>
      <c r="D10259" s="483">
        <v>14.17</v>
      </c>
      <c r="E10259" s="483">
        <v>14.17</v>
      </c>
    </row>
    <row r="10260" spans="1:5" ht="30">
      <c r="A10260" s="484">
        <v>11766</v>
      </c>
      <c r="B10260" s="485" t="s">
        <v>19735</v>
      </c>
      <c r="C10260" s="484" t="s">
        <v>65</v>
      </c>
      <c r="D10260" s="486">
        <v>25.19</v>
      </c>
      <c r="E10260" s="486">
        <v>25.19</v>
      </c>
    </row>
    <row r="10261" spans="1:5" ht="30">
      <c r="A10261" s="349">
        <v>11765</v>
      </c>
      <c r="B10261" s="348" t="s">
        <v>19736</v>
      </c>
      <c r="C10261" s="349" t="s">
        <v>65</v>
      </c>
      <c r="D10261" s="483">
        <v>34.31</v>
      </c>
      <c r="E10261" s="483">
        <v>34.31</v>
      </c>
    </row>
    <row r="10262" spans="1:5" ht="29.25" customHeight="1">
      <c r="A10262" s="484">
        <v>11824</v>
      </c>
      <c r="B10262" s="485" t="s">
        <v>19737</v>
      </c>
      <c r="C10262" s="484" t="s">
        <v>65</v>
      </c>
      <c r="D10262" s="486">
        <v>25.99</v>
      </c>
      <c r="E10262" s="486">
        <v>25.99</v>
      </c>
    </row>
    <row r="10263" spans="1:5" ht="30">
      <c r="A10263" s="349">
        <v>40329</v>
      </c>
      <c r="B10263" s="348" t="s">
        <v>9802</v>
      </c>
      <c r="C10263" s="349" t="s">
        <v>65</v>
      </c>
      <c r="D10263" s="483">
        <v>11</v>
      </c>
      <c r="E10263" s="483">
        <v>11</v>
      </c>
    </row>
    <row r="10264" spans="1:5" ht="30">
      <c r="A10264" s="484">
        <v>11823</v>
      </c>
      <c r="B10264" s="485" t="s">
        <v>9803</v>
      </c>
      <c r="C10264" s="484" t="s">
        <v>65</v>
      </c>
      <c r="D10264" s="486">
        <v>4.75</v>
      </c>
      <c r="E10264" s="486">
        <v>4.75</v>
      </c>
    </row>
    <row r="10265" spans="1:5">
      <c r="A10265" s="349">
        <v>11832</v>
      </c>
      <c r="B10265" s="348" t="s">
        <v>9804</v>
      </c>
      <c r="C10265" s="349" t="s">
        <v>65</v>
      </c>
      <c r="D10265" s="483">
        <v>9</v>
      </c>
      <c r="E10265" s="483">
        <v>9</v>
      </c>
    </row>
    <row r="10266" spans="1:5">
      <c r="A10266" s="484">
        <v>11822</v>
      </c>
      <c r="B10266" s="485" t="s">
        <v>9805</v>
      </c>
      <c r="C10266" s="484" t="s">
        <v>65</v>
      </c>
      <c r="D10266" s="486">
        <v>24.52</v>
      </c>
      <c r="E10266" s="486">
        <v>24.52</v>
      </c>
    </row>
    <row r="10267" spans="1:5">
      <c r="A10267" s="349">
        <v>11831</v>
      </c>
      <c r="B10267" s="348" t="s">
        <v>9806</v>
      </c>
      <c r="C10267" s="349" t="s">
        <v>65</v>
      </c>
      <c r="D10267" s="483">
        <v>18.62</v>
      </c>
      <c r="E10267" s="483">
        <v>18.62</v>
      </c>
    </row>
    <row r="10268" spans="1:5" ht="30">
      <c r="A10268" s="484">
        <v>7613</v>
      </c>
      <c r="B10268" s="485" t="s">
        <v>9838</v>
      </c>
      <c r="C10268" s="484" t="s">
        <v>65</v>
      </c>
      <c r="D10268" s="486">
        <v>58352.71</v>
      </c>
      <c r="E10268" s="486">
        <v>58352.71</v>
      </c>
    </row>
    <row r="10269" spans="1:5" ht="30">
      <c r="A10269" s="349">
        <v>7619</v>
      </c>
      <c r="B10269" s="348" t="s">
        <v>9839</v>
      </c>
      <c r="C10269" s="349" t="s">
        <v>65</v>
      </c>
      <c r="D10269" s="483">
        <v>9020.08</v>
      </c>
      <c r="E10269" s="483">
        <v>9020.08</v>
      </c>
    </row>
    <row r="10270" spans="1:5" ht="30">
      <c r="A10270" s="484">
        <v>12076</v>
      </c>
      <c r="B10270" s="485" t="s">
        <v>9840</v>
      </c>
      <c r="C10270" s="484" t="s">
        <v>65</v>
      </c>
      <c r="D10270" s="486">
        <v>4137.6499999999996</v>
      </c>
      <c r="E10270" s="486">
        <v>4137.6499999999996</v>
      </c>
    </row>
    <row r="10271" spans="1:5" ht="30">
      <c r="A10271" s="349">
        <v>7614</v>
      </c>
      <c r="B10271" s="348" t="s">
        <v>9841</v>
      </c>
      <c r="C10271" s="349" t="s">
        <v>65</v>
      </c>
      <c r="D10271" s="483">
        <v>11376.47</v>
      </c>
      <c r="E10271" s="483">
        <v>11376.47</v>
      </c>
    </row>
    <row r="10272" spans="1:5" ht="30">
      <c r="A10272" s="484">
        <v>7618</v>
      </c>
      <c r="B10272" s="485" t="s">
        <v>9842</v>
      </c>
      <c r="C10272" s="484" t="s">
        <v>65</v>
      </c>
      <c r="D10272" s="486">
        <v>73784.97</v>
      </c>
      <c r="E10272" s="486">
        <v>73784.97</v>
      </c>
    </row>
    <row r="10273" spans="1:5" ht="30">
      <c r="A10273" s="349">
        <v>7620</v>
      </c>
      <c r="B10273" s="348" t="s">
        <v>9843</v>
      </c>
      <c r="C10273" s="349" t="s">
        <v>65</v>
      </c>
      <c r="D10273" s="483">
        <v>15959.51</v>
      </c>
      <c r="E10273" s="483">
        <v>15959.51</v>
      </c>
    </row>
    <row r="10274" spans="1:5" ht="30">
      <c r="A10274" s="484">
        <v>7610</v>
      </c>
      <c r="B10274" s="485" t="s">
        <v>9844</v>
      </c>
      <c r="C10274" s="484" t="s">
        <v>65</v>
      </c>
      <c r="D10274" s="486">
        <v>5053.84</v>
      </c>
      <c r="E10274" s="486">
        <v>5053.84</v>
      </c>
    </row>
    <row r="10275" spans="1:5" ht="30">
      <c r="A10275" s="349">
        <v>7615</v>
      </c>
      <c r="B10275" s="348" t="s">
        <v>9845</v>
      </c>
      <c r="C10275" s="349" t="s">
        <v>65</v>
      </c>
      <c r="D10275" s="483">
        <v>18619.43</v>
      </c>
      <c r="E10275" s="483">
        <v>18619.43</v>
      </c>
    </row>
    <row r="10276" spans="1:5" ht="30">
      <c r="A10276" s="484">
        <v>7617</v>
      </c>
      <c r="B10276" s="485" t="s">
        <v>9846</v>
      </c>
      <c r="C10276" s="484" t="s">
        <v>65</v>
      </c>
      <c r="D10276" s="486">
        <v>5644.93</v>
      </c>
      <c r="E10276" s="486">
        <v>5644.93</v>
      </c>
    </row>
    <row r="10277" spans="1:5" ht="30">
      <c r="A10277" s="349">
        <v>7616</v>
      </c>
      <c r="B10277" s="348" t="s">
        <v>9847</v>
      </c>
      <c r="C10277" s="349" t="s">
        <v>65</v>
      </c>
      <c r="D10277" s="483">
        <v>30383.95</v>
      </c>
      <c r="E10277" s="483">
        <v>30383.95</v>
      </c>
    </row>
    <row r="10278" spans="1:5" ht="30">
      <c r="A10278" s="484">
        <v>7611</v>
      </c>
      <c r="B10278" s="485" t="s">
        <v>9848</v>
      </c>
      <c r="C10278" s="484" t="s">
        <v>65</v>
      </c>
      <c r="D10278" s="486">
        <v>7300</v>
      </c>
      <c r="E10278" s="486">
        <v>7300</v>
      </c>
    </row>
    <row r="10279" spans="1:5" ht="30">
      <c r="A10279" s="349">
        <v>7612</v>
      </c>
      <c r="B10279" s="348" t="s">
        <v>9849</v>
      </c>
      <c r="C10279" s="349" t="s">
        <v>65</v>
      </c>
      <c r="D10279" s="483">
        <v>41676.79</v>
      </c>
      <c r="E10279" s="483">
        <v>41676.79</v>
      </c>
    </row>
    <row r="10280" spans="1:5" ht="30">
      <c r="A10280" s="484">
        <v>36510</v>
      </c>
      <c r="B10280" s="485" t="s">
        <v>10096</v>
      </c>
      <c r="C10280" s="484" t="s">
        <v>65</v>
      </c>
      <c r="D10280" s="486">
        <v>520795.08</v>
      </c>
      <c r="E10280" s="486">
        <v>520795.08</v>
      </c>
    </row>
    <row r="10281" spans="1:5" ht="30">
      <c r="A10281" s="349">
        <v>25020</v>
      </c>
      <c r="B10281" s="348" t="s">
        <v>10097</v>
      </c>
      <c r="C10281" s="349" t="s">
        <v>65</v>
      </c>
      <c r="D10281" s="483">
        <v>2145492.52</v>
      </c>
      <c r="E10281" s="483">
        <v>2145492.52</v>
      </c>
    </row>
    <row r="10282" spans="1:5" ht="30">
      <c r="A10282" s="484">
        <v>7622</v>
      </c>
      <c r="B10282" s="485" t="s">
        <v>10098</v>
      </c>
      <c r="C10282" s="484" t="s">
        <v>65</v>
      </c>
      <c r="D10282" s="486">
        <v>505247.35</v>
      </c>
      <c r="E10282" s="486">
        <v>505247.35</v>
      </c>
    </row>
    <row r="10283" spans="1:5" ht="30">
      <c r="A10283" s="349">
        <v>7624</v>
      </c>
      <c r="B10283" s="348" t="s">
        <v>10099</v>
      </c>
      <c r="C10283" s="349" t="s">
        <v>65</v>
      </c>
      <c r="D10283" s="483">
        <v>655000</v>
      </c>
      <c r="E10283" s="483">
        <v>655000</v>
      </c>
    </row>
    <row r="10284" spans="1:5" ht="30">
      <c r="A10284" s="484">
        <v>7625</v>
      </c>
      <c r="B10284" s="485" t="s">
        <v>10100</v>
      </c>
      <c r="C10284" s="484" t="s">
        <v>65</v>
      </c>
      <c r="D10284" s="486">
        <v>650993.81999999995</v>
      </c>
      <c r="E10284" s="486">
        <v>650993.81999999995</v>
      </c>
    </row>
    <row r="10285" spans="1:5" ht="30">
      <c r="A10285" s="349">
        <v>7623</v>
      </c>
      <c r="B10285" s="348" t="s">
        <v>10101</v>
      </c>
      <c r="C10285" s="349" t="s">
        <v>65</v>
      </c>
      <c r="D10285" s="483">
        <v>2145492.52</v>
      </c>
      <c r="E10285" s="483">
        <v>2145492.52</v>
      </c>
    </row>
    <row r="10286" spans="1:5" ht="30">
      <c r="A10286" s="484">
        <v>36508</v>
      </c>
      <c r="B10286" s="485" t="s">
        <v>10102</v>
      </c>
      <c r="C10286" s="484" t="s">
        <v>65</v>
      </c>
      <c r="D10286" s="486">
        <v>964913.11</v>
      </c>
      <c r="E10286" s="486">
        <v>964913.11</v>
      </c>
    </row>
    <row r="10287" spans="1:5" ht="30">
      <c r="A10287" s="349">
        <v>36509</v>
      </c>
      <c r="B10287" s="348" t="s">
        <v>10077</v>
      </c>
      <c r="C10287" s="349" t="s">
        <v>65</v>
      </c>
      <c r="D10287" s="483">
        <v>528807.30000000005</v>
      </c>
      <c r="E10287" s="483">
        <v>528807.30000000005</v>
      </c>
    </row>
    <row r="10288" spans="1:5">
      <c r="A10288" s="484">
        <v>13238</v>
      </c>
      <c r="B10288" s="485" t="s">
        <v>10103</v>
      </c>
      <c r="C10288" s="484" t="s">
        <v>65</v>
      </c>
      <c r="D10288" s="486">
        <v>147196.25</v>
      </c>
      <c r="E10288" s="486">
        <v>147196.25</v>
      </c>
    </row>
    <row r="10289" spans="1:5" ht="57.75" customHeight="1">
      <c r="A10289" s="349">
        <v>36511</v>
      </c>
      <c r="B10289" s="348" t="s">
        <v>10104</v>
      </c>
      <c r="C10289" s="349" t="s">
        <v>65</v>
      </c>
      <c r="D10289" s="483">
        <v>170560.73</v>
      </c>
      <c r="E10289" s="483">
        <v>170560.73</v>
      </c>
    </row>
    <row r="10290" spans="1:5">
      <c r="A10290" s="484">
        <v>36515</v>
      </c>
      <c r="B10290" s="485" t="s">
        <v>10105</v>
      </c>
      <c r="C10290" s="484" t="s">
        <v>65</v>
      </c>
      <c r="D10290" s="486">
        <v>50233.63</v>
      </c>
      <c r="E10290" s="486">
        <v>50233.63</v>
      </c>
    </row>
    <row r="10291" spans="1:5">
      <c r="A10291" s="349">
        <v>10598</v>
      </c>
      <c r="B10291" s="348" t="s">
        <v>10106</v>
      </c>
      <c r="C10291" s="349" t="s">
        <v>65</v>
      </c>
      <c r="D10291" s="483">
        <v>81461.429999999993</v>
      </c>
      <c r="E10291" s="483">
        <v>81461.429999999993</v>
      </c>
    </row>
    <row r="10292" spans="1:5">
      <c r="A10292" s="484">
        <v>7640</v>
      </c>
      <c r="B10292" s="485" t="s">
        <v>10107</v>
      </c>
      <c r="C10292" s="484" t="s">
        <v>65</v>
      </c>
      <c r="D10292" s="486">
        <v>125000</v>
      </c>
      <c r="E10292" s="486">
        <v>125000</v>
      </c>
    </row>
    <row r="10293" spans="1:5">
      <c r="A10293" s="349">
        <v>36513</v>
      </c>
      <c r="B10293" s="348" t="s">
        <v>10108</v>
      </c>
      <c r="C10293" s="349" t="s">
        <v>65</v>
      </c>
      <c r="D10293" s="483">
        <v>120414.71</v>
      </c>
      <c r="E10293" s="483">
        <v>120414.71</v>
      </c>
    </row>
    <row r="10294" spans="1:5">
      <c r="A10294" s="484">
        <v>36514</v>
      </c>
      <c r="B10294" s="485" t="s">
        <v>10109</v>
      </c>
      <c r="C10294" s="484" t="s">
        <v>65</v>
      </c>
      <c r="D10294" s="486">
        <v>134345.78</v>
      </c>
      <c r="E10294" s="486">
        <v>134345.78</v>
      </c>
    </row>
    <row r="10295" spans="1:5" ht="30">
      <c r="A10295" s="349">
        <v>36149</v>
      </c>
      <c r="B10295" s="348" t="s">
        <v>10122</v>
      </c>
      <c r="C10295" s="349" t="s">
        <v>65</v>
      </c>
      <c r="D10295" s="483">
        <v>111.62</v>
      </c>
      <c r="E10295" s="483">
        <v>111.62</v>
      </c>
    </row>
    <row r="10296" spans="1:5" ht="30">
      <c r="A10296" s="484">
        <v>11581</v>
      </c>
      <c r="B10296" s="485" t="s">
        <v>10123</v>
      </c>
      <c r="C10296" s="484" t="s">
        <v>71</v>
      </c>
      <c r="D10296" s="486">
        <v>21.38</v>
      </c>
      <c r="E10296" s="486">
        <v>21.38</v>
      </c>
    </row>
    <row r="10297" spans="1:5">
      <c r="A10297" s="349">
        <v>11580</v>
      </c>
      <c r="B10297" s="348" t="s">
        <v>10124</v>
      </c>
      <c r="C10297" s="349" t="s">
        <v>71</v>
      </c>
      <c r="D10297" s="483">
        <v>9.74</v>
      </c>
      <c r="E10297" s="483">
        <v>9.74</v>
      </c>
    </row>
    <row r="10298" spans="1:5" ht="30">
      <c r="A10298" s="484">
        <v>38177</v>
      </c>
      <c r="B10298" s="485" t="s">
        <v>10125</v>
      </c>
      <c r="C10298" s="484" t="s">
        <v>65</v>
      </c>
      <c r="D10298" s="486">
        <v>6.6</v>
      </c>
      <c r="E10298" s="486">
        <v>6.6</v>
      </c>
    </row>
    <row r="10299" spans="1:5">
      <c r="A10299" s="349">
        <v>10743</v>
      </c>
      <c r="B10299" s="348" t="s">
        <v>10126</v>
      </c>
      <c r="C10299" s="349" t="s">
        <v>65</v>
      </c>
      <c r="D10299" s="483">
        <v>497.84</v>
      </c>
      <c r="E10299" s="483">
        <v>497.84</v>
      </c>
    </row>
    <row r="10300" spans="1:5" ht="30">
      <c r="A10300" s="484">
        <v>39848</v>
      </c>
      <c r="B10300" s="485" t="s">
        <v>10127</v>
      </c>
      <c r="C10300" s="484" t="s">
        <v>71</v>
      </c>
      <c r="D10300" s="486">
        <v>1.05</v>
      </c>
      <c r="E10300" s="486">
        <v>1.05</v>
      </c>
    </row>
    <row r="10301" spans="1:5" ht="30">
      <c r="A10301" s="349">
        <v>21016</v>
      </c>
      <c r="B10301" s="348" t="s">
        <v>19738</v>
      </c>
      <c r="C10301" s="349" t="s">
        <v>71</v>
      </c>
      <c r="D10301" s="483">
        <v>72.760000000000005</v>
      </c>
      <c r="E10301" s="483">
        <v>72.760000000000005</v>
      </c>
    </row>
    <row r="10302" spans="1:5" ht="30">
      <c r="A10302" s="484">
        <v>21008</v>
      </c>
      <c r="B10302" s="485" t="s">
        <v>10129</v>
      </c>
      <c r="C10302" s="484" t="s">
        <v>71</v>
      </c>
      <c r="D10302" s="486">
        <v>8.5</v>
      </c>
      <c r="E10302" s="486">
        <v>8.5</v>
      </c>
    </row>
    <row r="10303" spans="1:5" ht="30">
      <c r="A10303" s="349">
        <v>21009</v>
      </c>
      <c r="B10303" s="348" t="s">
        <v>10130</v>
      </c>
      <c r="C10303" s="349" t="s">
        <v>71</v>
      </c>
      <c r="D10303" s="483">
        <v>11.06</v>
      </c>
      <c r="E10303" s="483">
        <v>11.06</v>
      </c>
    </row>
    <row r="10304" spans="1:5" ht="30">
      <c r="A10304" s="484">
        <v>21010</v>
      </c>
      <c r="B10304" s="485" t="s">
        <v>10131</v>
      </c>
      <c r="C10304" s="484" t="s">
        <v>71</v>
      </c>
      <c r="D10304" s="486">
        <v>14.86</v>
      </c>
      <c r="E10304" s="486">
        <v>14.86</v>
      </c>
    </row>
    <row r="10305" spans="1:5" ht="30">
      <c r="A10305" s="349">
        <v>21011</v>
      </c>
      <c r="B10305" s="348" t="s">
        <v>19739</v>
      </c>
      <c r="C10305" s="349" t="s">
        <v>71</v>
      </c>
      <c r="D10305" s="483">
        <v>21.65</v>
      </c>
      <c r="E10305" s="483">
        <v>21.65</v>
      </c>
    </row>
    <row r="10306" spans="1:5" ht="30">
      <c r="A10306" s="484">
        <v>21012</v>
      </c>
      <c r="B10306" s="485" t="s">
        <v>19740</v>
      </c>
      <c r="C10306" s="484" t="s">
        <v>71</v>
      </c>
      <c r="D10306" s="486">
        <v>23.93</v>
      </c>
      <c r="E10306" s="486">
        <v>23.93</v>
      </c>
    </row>
    <row r="10307" spans="1:5" ht="30">
      <c r="A10307" s="349">
        <v>21013</v>
      </c>
      <c r="B10307" s="348" t="s">
        <v>10134</v>
      </c>
      <c r="C10307" s="349" t="s">
        <v>71</v>
      </c>
      <c r="D10307" s="483">
        <v>31.23</v>
      </c>
      <c r="E10307" s="483">
        <v>31.23</v>
      </c>
    </row>
    <row r="10308" spans="1:5" ht="30">
      <c r="A10308" s="484">
        <v>21014</v>
      </c>
      <c r="B10308" s="485" t="s">
        <v>10135</v>
      </c>
      <c r="C10308" s="484" t="s">
        <v>71</v>
      </c>
      <c r="D10308" s="486">
        <v>43.7</v>
      </c>
      <c r="E10308" s="486">
        <v>43.7</v>
      </c>
    </row>
    <row r="10309" spans="1:5" ht="30">
      <c r="A10309" s="349">
        <v>21015</v>
      </c>
      <c r="B10309" s="348" t="s">
        <v>10136</v>
      </c>
      <c r="C10309" s="349" t="s">
        <v>71</v>
      </c>
      <c r="D10309" s="483">
        <v>50.2</v>
      </c>
      <c r="E10309" s="483">
        <v>50.2</v>
      </c>
    </row>
    <row r="10310" spans="1:5" ht="30">
      <c r="A10310" s="484">
        <v>7697</v>
      </c>
      <c r="B10310" s="485" t="s">
        <v>11559</v>
      </c>
      <c r="C10310" s="484" t="s">
        <v>71</v>
      </c>
      <c r="D10310" s="486">
        <v>22.91</v>
      </c>
      <c r="E10310" s="486">
        <v>22.91</v>
      </c>
    </row>
    <row r="10311" spans="1:5" ht="30">
      <c r="A10311" s="349">
        <v>7698</v>
      </c>
      <c r="B10311" s="348" t="s">
        <v>11560</v>
      </c>
      <c r="C10311" s="349" t="s">
        <v>71</v>
      </c>
      <c r="D10311" s="483">
        <v>19.72</v>
      </c>
      <c r="E10311" s="483">
        <v>19.72</v>
      </c>
    </row>
    <row r="10312" spans="1:5" ht="30">
      <c r="A10312" s="484">
        <v>7691</v>
      </c>
      <c r="B10312" s="485" t="s">
        <v>11561</v>
      </c>
      <c r="C10312" s="484" t="s">
        <v>71</v>
      </c>
      <c r="D10312" s="486">
        <v>8.33</v>
      </c>
      <c r="E10312" s="486">
        <v>8.33</v>
      </c>
    </row>
    <row r="10313" spans="1:5" ht="30">
      <c r="A10313" s="349">
        <v>40626</v>
      </c>
      <c r="B10313" s="348" t="s">
        <v>11562</v>
      </c>
      <c r="C10313" s="349" t="s">
        <v>71</v>
      </c>
      <c r="D10313" s="483">
        <v>15.46</v>
      </c>
      <c r="E10313" s="483">
        <v>15.46</v>
      </c>
    </row>
    <row r="10314" spans="1:5" ht="30">
      <c r="A10314" s="484">
        <v>7701</v>
      </c>
      <c r="B10314" s="485" t="s">
        <v>11563</v>
      </c>
      <c r="C10314" s="484" t="s">
        <v>71</v>
      </c>
      <c r="D10314" s="486">
        <v>41</v>
      </c>
      <c r="E10314" s="486">
        <v>41</v>
      </c>
    </row>
    <row r="10315" spans="1:5" ht="43.5" customHeight="1">
      <c r="A10315" s="349">
        <v>7696</v>
      </c>
      <c r="B10315" s="348" t="s">
        <v>11564</v>
      </c>
      <c r="C10315" s="349" t="s">
        <v>71</v>
      </c>
      <c r="D10315" s="483">
        <v>33.04</v>
      </c>
      <c r="E10315" s="483">
        <v>33.04</v>
      </c>
    </row>
    <row r="10316" spans="1:5" ht="30">
      <c r="A10316" s="484">
        <v>7700</v>
      </c>
      <c r="B10316" s="485" t="s">
        <v>11565</v>
      </c>
      <c r="C10316" s="484" t="s">
        <v>71</v>
      </c>
      <c r="D10316" s="486">
        <v>10.54</v>
      </c>
      <c r="E10316" s="486">
        <v>10.54</v>
      </c>
    </row>
    <row r="10317" spans="1:5" ht="30">
      <c r="A10317" s="349">
        <v>7694</v>
      </c>
      <c r="B10317" s="348" t="s">
        <v>11566</v>
      </c>
      <c r="C10317" s="349" t="s">
        <v>71</v>
      </c>
      <c r="D10317" s="483">
        <v>55.17</v>
      </c>
      <c r="E10317" s="483">
        <v>55.17</v>
      </c>
    </row>
    <row r="10318" spans="1:5" ht="43.5" customHeight="1">
      <c r="A10318" s="484">
        <v>7693</v>
      </c>
      <c r="B10318" s="485" t="s">
        <v>11567</v>
      </c>
      <c r="C10318" s="484" t="s">
        <v>71</v>
      </c>
      <c r="D10318" s="486">
        <v>75.989999999999995</v>
      </c>
      <c r="E10318" s="486">
        <v>75.989999999999995</v>
      </c>
    </row>
    <row r="10319" spans="1:5" ht="30">
      <c r="A10319" s="349">
        <v>7692</v>
      </c>
      <c r="B10319" s="348" t="s">
        <v>11568</v>
      </c>
      <c r="C10319" s="349" t="s">
        <v>71</v>
      </c>
      <c r="D10319" s="483">
        <v>113.77</v>
      </c>
      <c r="E10319" s="483">
        <v>113.77</v>
      </c>
    </row>
    <row r="10320" spans="1:5" ht="43.5" customHeight="1">
      <c r="A10320" s="484">
        <v>7695</v>
      </c>
      <c r="B10320" s="485" t="s">
        <v>11569</v>
      </c>
      <c r="C10320" s="484" t="s">
        <v>71</v>
      </c>
      <c r="D10320" s="486">
        <v>123.38</v>
      </c>
      <c r="E10320" s="486">
        <v>123.38</v>
      </c>
    </row>
    <row r="10321" spans="1:5" ht="43.5" customHeight="1">
      <c r="A10321" s="349">
        <v>13356</v>
      </c>
      <c r="B10321" s="348" t="s">
        <v>10137</v>
      </c>
      <c r="C10321" s="349" t="s">
        <v>71</v>
      </c>
      <c r="D10321" s="483">
        <v>56.19</v>
      </c>
      <c r="E10321" s="483">
        <v>56.19</v>
      </c>
    </row>
    <row r="10322" spans="1:5" ht="43.5" customHeight="1">
      <c r="A10322" s="484">
        <v>20999</v>
      </c>
      <c r="B10322" s="485" t="s">
        <v>10138</v>
      </c>
      <c r="C10322" s="484" t="s">
        <v>71</v>
      </c>
      <c r="D10322" s="486">
        <v>5.58</v>
      </c>
      <c r="E10322" s="486">
        <v>5.58</v>
      </c>
    </row>
    <row r="10323" spans="1:5" ht="43.5" customHeight="1">
      <c r="A10323" s="349">
        <v>21001</v>
      </c>
      <c r="B10323" s="348" t="s">
        <v>10139</v>
      </c>
      <c r="C10323" s="349" t="s">
        <v>71</v>
      </c>
      <c r="D10323" s="483">
        <v>10.41</v>
      </c>
      <c r="E10323" s="483">
        <v>10.41</v>
      </c>
    </row>
    <row r="10324" spans="1:5" ht="43.5" customHeight="1">
      <c r="A10324" s="484">
        <v>21003</v>
      </c>
      <c r="B10324" s="485" t="s">
        <v>10140</v>
      </c>
      <c r="C10324" s="484" t="s">
        <v>71</v>
      </c>
      <c r="D10324" s="486">
        <v>17.100000000000001</v>
      </c>
      <c r="E10324" s="486">
        <v>17.100000000000001</v>
      </c>
    </row>
    <row r="10325" spans="1:5" ht="43.5" customHeight="1">
      <c r="A10325" s="349">
        <v>21006</v>
      </c>
      <c r="B10325" s="348" t="s">
        <v>10141</v>
      </c>
      <c r="C10325" s="349" t="s">
        <v>71</v>
      </c>
      <c r="D10325" s="483">
        <v>36.299999999999997</v>
      </c>
      <c r="E10325" s="483">
        <v>36.299999999999997</v>
      </c>
    </row>
    <row r="10326" spans="1:5">
      <c r="A10326" s="484">
        <v>21019</v>
      </c>
      <c r="B10326" s="485" t="s">
        <v>10142</v>
      </c>
      <c r="C10326" s="484" t="s">
        <v>71</v>
      </c>
      <c r="D10326" s="486">
        <v>12.88</v>
      </c>
      <c r="E10326" s="486">
        <v>12.88</v>
      </c>
    </row>
    <row r="10327" spans="1:5" ht="43.5" customHeight="1">
      <c r="A10327" s="349">
        <v>21021</v>
      </c>
      <c r="B10327" s="348" t="s">
        <v>10143</v>
      </c>
      <c r="C10327" s="349" t="s">
        <v>71</v>
      </c>
      <c r="D10327" s="483">
        <v>20.36</v>
      </c>
      <c r="E10327" s="483">
        <v>20.36</v>
      </c>
    </row>
    <row r="10328" spans="1:5">
      <c r="A10328" s="484">
        <v>21024</v>
      </c>
      <c r="B10328" s="485" t="s">
        <v>10144</v>
      </c>
      <c r="C10328" s="484" t="s">
        <v>71</v>
      </c>
      <c r="D10328" s="486">
        <v>43.62</v>
      </c>
      <c r="E10328" s="486">
        <v>43.62</v>
      </c>
    </row>
    <row r="10329" spans="1:5">
      <c r="A10329" s="349">
        <v>40624</v>
      </c>
      <c r="B10329" s="348" t="s">
        <v>10145</v>
      </c>
      <c r="C10329" s="349" t="s">
        <v>71</v>
      </c>
      <c r="D10329" s="483">
        <v>31.99</v>
      </c>
      <c r="E10329" s="483">
        <v>31.99</v>
      </c>
    </row>
    <row r="10330" spans="1:5" ht="43.5" customHeight="1">
      <c r="A10330" s="484">
        <v>13127</v>
      </c>
      <c r="B10330" s="485" t="s">
        <v>10146</v>
      </c>
      <c r="C10330" s="484" t="s">
        <v>71</v>
      </c>
      <c r="D10330" s="486">
        <v>14.27</v>
      </c>
      <c r="E10330" s="486">
        <v>14.27</v>
      </c>
    </row>
    <row r="10331" spans="1:5">
      <c r="A10331" s="349">
        <v>13137</v>
      </c>
      <c r="B10331" s="348" t="s">
        <v>10147</v>
      </c>
      <c r="C10331" s="349" t="s">
        <v>71</v>
      </c>
      <c r="D10331" s="483">
        <v>18.93</v>
      </c>
      <c r="E10331" s="483">
        <v>18.93</v>
      </c>
    </row>
    <row r="10332" spans="1:5">
      <c r="A10332" s="484">
        <v>20989</v>
      </c>
      <c r="B10332" s="485" t="s">
        <v>10148</v>
      </c>
      <c r="C10332" s="484" t="s">
        <v>71</v>
      </c>
      <c r="D10332" s="486">
        <v>678.42</v>
      </c>
      <c r="E10332" s="486">
        <v>678.42</v>
      </c>
    </row>
    <row r="10333" spans="1:5">
      <c r="A10333" s="349">
        <v>21147</v>
      </c>
      <c r="B10333" s="348" t="s">
        <v>10149</v>
      </c>
      <c r="C10333" s="349" t="s">
        <v>71</v>
      </c>
      <c r="D10333" s="483">
        <v>63.61</v>
      </c>
      <c r="E10333" s="483">
        <v>63.61</v>
      </c>
    </row>
    <row r="10334" spans="1:5">
      <c r="A10334" s="484">
        <v>21148</v>
      </c>
      <c r="B10334" s="485" t="s">
        <v>10150</v>
      </c>
      <c r="C10334" s="484" t="s">
        <v>71</v>
      </c>
      <c r="D10334" s="486">
        <v>39.26</v>
      </c>
      <c r="E10334" s="486">
        <v>39.26</v>
      </c>
    </row>
    <row r="10335" spans="1:5">
      <c r="A10335" s="349">
        <v>20984</v>
      </c>
      <c r="B10335" s="348" t="s">
        <v>10151</v>
      </c>
      <c r="C10335" s="349" t="s">
        <v>71</v>
      </c>
      <c r="D10335" s="483">
        <v>1301.76</v>
      </c>
      <c r="E10335" s="483">
        <v>1301.76</v>
      </c>
    </row>
    <row r="10336" spans="1:5">
      <c r="A10336" s="484">
        <v>13042</v>
      </c>
      <c r="B10336" s="485" t="s">
        <v>10152</v>
      </c>
      <c r="C10336" s="484" t="s">
        <v>71</v>
      </c>
      <c r="D10336" s="486">
        <v>721.36</v>
      </c>
      <c r="E10336" s="486">
        <v>721.36</v>
      </c>
    </row>
    <row r="10337" spans="1:5">
      <c r="A10337" s="349">
        <v>21150</v>
      </c>
      <c r="B10337" s="348" t="s">
        <v>10153</v>
      </c>
      <c r="C10337" s="349" t="s">
        <v>71</v>
      </c>
      <c r="D10337" s="483">
        <v>19.46</v>
      </c>
      <c r="E10337" s="483">
        <v>19.46</v>
      </c>
    </row>
    <row r="10338" spans="1:5">
      <c r="A10338" s="484">
        <v>13141</v>
      </c>
      <c r="B10338" s="485" t="s">
        <v>10154</v>
      </c>
      <c r="C10338" s="484" t="s">
        <v>71</v>
      </c>
      <c r="D10338" s="486">
        <v>24.52</v>
      </c>
      <c r="E10338" s="486">
        <v>24.52</v>
      </c>
    </row>
    <row r="10339" spans="1:5">
      <c r="A10339" s="349">
        <v>21151</v>
      </c>
      <c r="B10339" s="348" t="s">
        <v>10155</v>
      </c>
      <c r="C10339" s="349" t="s">
        <v>71</v>
      </c>
      <c r="D10339" s="483">
        <v>116.52</v>
      </c>
      <c r="E10339" s="483">
        <v>116.52</v>
      </c>
    </row>
    <row r="10340" spans="1:5">
      <c r="A10340" s="484">
        <v>13142</v>
      </c>
      <c r="B10340" s="485" t="s">
        <v>10156</v>
      </c>
      <c r="C10340" s="484" t="s">
        <v>71</v>
      </c>
      <c r="D10340" s="486">
        <v>166.58</v>
      </c>
      <c r="E10340" s="486">
        <v>166.58</v>
      </c>
    </row>
    <row r="10341" spans="1:5">
      <c r="A10341" s="349">
        <v>20994</v>
      </c>
      <c r="B10341" s="348" t="s">
        <v>10157</v>
      </c>
      <c r="C10341" s="349" t="s">
        <v>71</v>
      </c>
      <c r="D10341" s="483">
        <v>314.07</v>
      </c>
      <c r="E10341" s="483">
        <v>314.07</v>
      </c>
    </row>
    <row r="10342" spans="1:5">
      <c r="A10342" s="484">
        <v>7672</v>
      </c>
      <c r="B10342" s="485" t="s">
        <v>10158</v>
      </c>
      <c r="C10342" s="484" t="s">
        <v>71</v>
      </c>
      <c r="D10342" s="486">
        <v>205.75</v>
      </c>
      <c r="E10342" s="486">
        <v>205.75</v>
      </c>
    </row>
    <row r="10343" spans="1:5">
      <c r="A10343" s="349">
        <v>20995</v>
      </c>
      <c r="B10343" s="348" t="s">
        <v>10159</v>
      </c>
      <c r="C10343" s="349" t="s">
        <v>71</v>
      </c>
      <c r="D10343" s="483">
        <v>412.75</v>
      </c>
      <c r="E10343" s="483">
        <v>412.75</v>
      </c>
    </row>
    <row r="10344" spans="1:5">
      <c r="A10344" s="484">
        <v>7690</v>
      </c>
      <c r="B10344" s="485" t="s">
        <v>10160</v>
      </c>
      <c r="C10344" s="484" t="s">
        <v>71</v>
      </c>
      <c r="D10344" s="486">
        <v>238.72</v>
      </c>
      <c r="E10344" s="486">
        <v>238.72</v>
      </c>
    </row>
    <row r="10345" spans="1:5">
      <c r="A10345" s="349">
        <v>20980</v>
      </c>
      <c r="B10345" s="348" t="s">
        <v>10161</v>
      </c>
      <c r="C10345" s="349" t="s">
        <v>71</v>
      </c>
      <c r="D10345" s="483">
        <v>260.42</v>
      </c>
      <c r="E10345" s="483">
        <v>260.42</v>
      </c>
    </row>
    <row r="10346" spans="1:5">
      <c r="A10346" s="484">
        <v>7661</v>
      </c>
      <c r="B10346" s="485" t="s">
        <v>10162</v>
      </c>
      <c r="C10346" s="484" t="s">
        <v>71</v>
      </c>
      <c r="D10346" s="486">
        <v>309.79000000000002</v>
      </c>
      <c r="E10346" s="486">
        <v>309.79000000000002</v>
      </c>
    </row>
    <row r="10347" spans="1:5">
      <c r="A10347" s="349">
        <v>7660</v>
      </c>
      <c r="B10347" s="348" t="s">
        <v>10163</v>
      </c>
      <c r="C10347" s="349" t="s">
        <v>71</v>
      </c>
      <c r="D10347" s="483">
        <v>887.91</v>
      </c>
      <c r="E10347" s="483">
        <v>887.91</v>
      </c>
    </row>
    <row r="10348" spans="1:5">
      <c r="A10348" s="484">
        <v>7667</v>
      </c>
      <c r="B10348" s="485" t="s">
        <v>10164</v>
      </c>
      <c r="C10348" s="484" t="s">
        <v>71</v>
      </c>
      <c r="D10348" s="486">
        <v>745.85</v>
      </c>
      <c r="E10348" s="486">
        <v>745.85</v>
      </c>
    </row>
    <row r="10349" spans="1:5">
      <c r="A10349" s="349">
        <v>7676</v>
      </c>
      <c r="B10349" s="348" t="s">
        <v>10165</v>
      </c>
      <c r="C10349" s="349" t="s">
        <v>71</v>
      </c>
      <c r="D10349" s="483">
        <v>898.06</v>
      </c>
      <c r="E10349" s="483">
        <v>898.06</v>
      </c>
    </row>
    <row r="10350" spans="1:5">
      <c r="A10350" s="484">
        <v>36365</v>
      </c>
      <c r="B10350" s="485" t="s">
        <v>19741</v>
      </c>
      <c r="C10350" s="484" t="s">
        <v>71</v>
      </c>
      <c r="D10350" s="486">
        <v>14.8</v>
      </c>
      <c r="E10350" s="486">
        <v>14.8</v>
      </c>
    </row>
    <row r="10351" spans="1:5" s="25" customFormat="1">
      <c r="A10351" s="606" t="s">
        <v>20544</v>
      </c>
      <c r="B10351" s="605" t="s">
        <v>19741</v>
      </c>
      <c r="C10351" s="606" t="s">
        <v>71</v>
      </c>
      <c r="D10351" s="607">
        <v>14.8</v>
      </c>
      <c r="E10351" s="486"/>
    </row>
    <row r="10352" spans="1:5">
      <c r="A10352" s="349">
        <v>41930</v>
      </c>
      <c r="B10352" s="348" t="s">
        <v>19742</v>
      </c>
      <c r="C10352" s="349" t="s">
        <v>71</v>
      </c>
      <c r="D10352" s="483">
        <v>49.71</v>
      </c>
      <c r="E10352" s="483">
        <v>49.71</v>
      </c>
    </row>
    <row r="10353" spans="1:5" s="25" customFormat="1">
      <c r="A10353" s="606" t="s">
        <v>20545</v>
      </c>
      <c r="B10353" s="605" t="s">
        <v>19742</v>
      </c>
      <c r="C10353" s="606" t="s">
        <v>71</v>
      </c>
      <c r="D10353" s="607">
        <v>49.71</v>
      </c>
      <c r="E10353" s="483"/>
    </row>
    <row r="10354" spans="1:5">
      <c r="A10354" s="484">
        <v>41931</v>
      </c>
      <c r="B10354" s="485" t="s">
        <v>19743</v>
      </c>
      <c r="C10354" s="484" t="s">
        <v>71</v>
      </c>
      <c r="D10354" s="486">
        <v>84.26</v>
      </c>
      <c r="E10354" s="486">
        <v>84.26</v>
      </c>
    </row>
    <row r="10355" spans="1:5">
      <c r="A10355" s="349">
        <v>41932</v>
      </c>
      <c r="B10355" s="348" t="s">
        <v>19744</v>
      </c>
      <c r="C10355" s="349" t="s">
        <v>71</v>
      </c>
      <c r="D10355" s="483">
        <v>136.54</v>
      </c>
      <c r="E10355" s="483">
        <v>136.54</v>
      </c>
    </row>
    <row r="10356" spans="1:5">
      <c r="A10356" s="484">
        <v>41933</v>
      </c>
      <c r="B10356" s="485" t="s">
        <v>19745</v>
      </c>
      <c r="C10356" s="484" t="s">
        <v>71</v>
      </c>
      <c r="D10356" s="486">
        <v>169.31</v>
      </c>
      <c r="E10356" s="486">
        <v>169.31</v>
      </c>
    </row>
    <row r="10357" spans="1:5">
      <c r="A10357" s="349">
        <v>41934</v>
      </c>
      <c r="B10357" s="348" t="s">
        <v>19746</v>
      </c>
      <c r="C10357" s="349" t="s">
        <v>71</v>
      </c>
      <c r="D10357" s="483">
        <v>220.35</v>
      </c>
      <c r="E10357" s="483">
        <v>220.35</v>
      </c>
    </row>
    <row r="10358" spans="1:5">
      <c r="A10358" s="484">
        <v>41936</v>
      </c>
      <c r="B10358" s="485" t="s">
        <v>19747</v>
      </c>
      <c r="C10358" s="484" t="s">
        <v>71</v>
      </c>
      <c r="D10358" s="486">
        <v>31.84</v>
      </c>
      <c r="E10358" s="486">
        <v>31.84</v>
      </c>
    </row>
    <row r="10359" spans="1:5" s="25" customFormat="1">
      <c r="A10359" s="606" t="s">
        <v>20547</v>
      </c>
      <c r="B10359" s="605" t="s">
        <v>19747</v>
      </c>
      <c r="C10359" s="606" t="s">
        <v>71</v>
      </c>
      <c r="D10359" s="607">
        <v>31.84</v>
      </c>
      <c r="E10359" s="486"/>
    </row>
    <row r="10360" spans="1:5" ht="30">
      <c r="A10360" s="349">
        <v>7720</v>
      </c>
      <c r="B10360" s="348" t="s">
        <v>10172</v>
      </c>
      <c r="C10360" s="349" t="s">
        <v>71</v>
      </c>
      <c r="D10360" s="483">
        <v>336.54</v>
      </c>
      <c r="E10360" s="483">
        <v>336.54</v>
      </c>
    </row>
    <row r="10361" spans="1:5" ht="30">
      <c r="A10361" s="484">
        <v>40335</v>
      </c>
      <c r="B10361" s="485" t="s">
        <v>10173</v>
      </c>
      <c r="C10361" s="484" t="s">
        <v>71</v>
      </c>
      <c r="D10361" s="486">
        <v>68.540000000000006</v>
      </c>
      <c r="E10361" s="486">
        <v>68.540000000000006</v>
      </c>
    </row>
    <row r="10362" spans="1:5" ht="30">
      <c r="A10362" s="349">
        <v>7740</v>
      </c>
      <c r="B10362" s="348" t="s">
        <v>10174</v>
      </c>
      <c r="C10362" s="349" t="s">
        <v>71</v>
      </c>
      <c r="D10362" s="483">
        <v>93.52</v>
      </c>
      <c r="E10362" s="483">
        <v>93.52</v>
      </c>
    </row>
    <row r="10363" spans="1:5" ht="30">
      <c r="A10363" s="484">
        <v>7741</v>
      </c>
      <c r="B10363" s="485" t="s">
        <v>10175</v>
      </c>
      <c r="C10363" s="484" t="s">
        <v>71</v>
      </c>
      <c r="D10363" s="486">
        <v>118.02</v>
      </c>
      <c r="E10363" s="486">
        <v>118.02</v>
      </c>
    </row>
    <row r="10364" spans="1:5" ht="30">
      <c r="A10364" s="349">
        <v>7774</v>
      </c>
      <c r="B10364" s="348" t="s">
        <v>10176</v>
      </c>
      <c r="C10364" s="349" t="s">
        <v>71</v>
      </c>
      <c r="D10364" s="483">
        <v>158.88</v>
      </c>
      <c r="E10364" s="483">
        <v>158.88</v>
      </c>
    </row>
    <row r="10365" spans="1:5" ht="30">
      <c r="A10365" s="484">
        <v>7744</v>
      </c>
      <c r="B10365" s="485" t="s">
        <v>10177</v>
      </c>
      <c r="C10365" s="484" t="s">
        <v>71</v>
      </c>
      <c r="D10365" s="486">
        <v>183.15</v>
      </c>
      <c r="E10365" s="486">
        <v>183.15</v>
      </c>
    </row>
    <row r="10366" spans="1:5" ht="30">
      <c r="A10366" s="349">
        <v>7773</v>
      </c>
      <c r="B10366" s="348" t="s">
        <v>10178</v>
      </c>
      <c r="C10366" s="349" t="s">
        <v>71</v>
      </c>
      <c r="D10366" s="483">
        <v>228.09</v>
      </c>
      <c r="E10366" s="483">
        <v>228.09</v>
      </c>
    </row>
    <row r="10367" spans="1:5" ht="30">
      <c r="A10367" s="484">
        <v>7754</v>
      </c>
      <c r="B10367" s="485" t="s">
        <v>10179</v>
      </c>
      <c r="C10367" s="484" t="s">
        <v>71</v>
      </c>
      <c r="D10367" s="486">
        <v>309.95999999999998</v>
      </c>
      <c r="E10367" s="486">
        <v>309.95999999999998</v>
      </c>
    </row>
    <row r="10368" spans="1:5" ht="30">
      <c r="A10368" s="349">
        <v>7735</v>
      </c>
      <c r="B10368" s="348" t="s">
        <v>10180</v>
      </c>
      <c r="C10368" s="349" t="s">
        <v>71</v>
      </c>
      <c r="D10368" s="483">
        <v>424.84</v>
      </c>
      <c r="E10368" s="483">
        <v>424.84</v>
      </c>
    </row>
    <row r="10369" spans="1:5" ht="30">
      <c r="A10369" s="484">
        <v>7755</v>
      </c>
      <c r="B10369" s="485" t="s">
        <v>10181</v>
      </c>
      <c r="C10369" s="484" t="s">
        <v>71</v>
      </c>
      <c r="D10369" s="486">
        <v>113.93</v>
      </c>
      <c r="E10369" s="486">
        <v>113.93</v>
      </c>
    </row>
    <row r="10370" spans="1:5" ht="30">
      <c r="A10370" s="349">
        <v>7776</v>
      </c>
      <c r="B10370" s="348" t="s">
        <v>10182</v>
      </c>
      <c r="C10370" s="349" t="s">
        <v>71</v>
      </c>
      <c r="D10370" s="483">
        <v>148.28</v>
      </c>
      <c r="E10370" s="483">
        <v>148.28</v>
      </c>
    </row>
    <row r="10371" spans="1:5" ht="30">
      <c r="A10371" s="484">
        <v>7743</v>
      </c>
      <c r="B10371" s="485" t="s">
        <v>10183</v>
      </c>
      <c r="C10371" s="484" t="s">
        <v>71</v>
      </c>
      <c r="D10371" s="486">
        <v>195.82</v>
      </c>
      <c r="E10371" s="486">
        <v>195.82</v>
      </c>
    </row>
    <row r="10372" spans="1:5" ht="30">
      <c r="A10372" s="349">
        <v>7733</v>
      </c>
      <c r="B10372" s="348" t="s">
        <v>10184</v>
      </c>
      <c r="C10372" s="349" t="s">
        <v>71</v>
      </c>
      <c r="D10372" s="483">
        <v>218.36</v>
      </c>
      <c r="E10372" s="483">
        <v>218.36</v>
      </c>
    </row>
    <row r="10373" spans="1:5" ht="30">
      <c r="A10373" s="484">
        <v>7775</v>
      </c>
      <c r="B10373" s="485" t="s">
        <v>10185</v>
      </c>
      <c r="C10373" s="484" t="s">
        <v>71</v>
      </c>
      <c r="D10373" s="486">
        <v>268.64999999999998</v>
      </c>
      <c r="E10373" s="486">
        <v>268.64999999999998</v>
      </c>
    </row>
    <row r="10374" spans="1:5" ht="30">
      <c r="A10374" s="349">
        <v>7734</v>
      </c>
      <c r="B10374" s="348" t="s">
        <v>10186</v>
      </c>
      <c r="C10374" s="349" t="s">
        <v>71</v>
      </c>
      <c r="D10374" s="483">
        <v>388.39</v>
      </c>
      <c r="E10374" s="483">
        <v>388.39</v>
      </c>
    </row>
    <row r="10375" spans="1:5">
      <c r="A10375" s="484">
        <v>7753</v>
      </c>
      <c r="B10375" s="485" t="s">
        <v>10187</v>
      </c>
      <c r="C10375" s="484" t="s">
        <v>71</v>
      </c>
      <c r="D10375" s="486">
        <v>196.92</v>
      </c>
      <c r="E10375" s="486">
        <v>196.92</v>
      </c>
    </row>
    <row r="10376" spans="1:5">
      <c r="A10376" s="349">
        <v>13256</v>
      </c>
      <c r="B10376" s="348" t="s">
        <v>10188</v>
      </c>
      <c r="C10376" s="349" t="s">
        <v>71</v>
      </c>
      <c r="D10376" s="483">
        <v>229.87</v>
      </c>
      <c r="E10376" s="483">
        <v>229.87</v>
      </c>
    </row>
    <row r="10377" spans="1:5">
      <c r="A10377" s="484">
        <v>7757</v>
      </c>
      <c r="B10377" s="485" t="s">
        <v>10189</v>
      </c>
      <c r="C10377" s="484" t="s">
        <v>71</v>
      </c>
      <c r="D10377" s="486">
        <v>279.07</v>
      </c>
      <c r="E10377" s="486">
        <v>279.07</v>
      </c>
    </row>
    <row r="10378" spans="1:5">
      <c r="A10378" s="349">
        <v>7758</v>
      </c>
      <c r="B10378" s="348" t="s">
        <v>10190</v>
      </c>
      <c r="C10378" s="349" t="s">
        <v>71</v>
      </c>
      <c r="D10378" s="483">
        <v>415.09</v>
      </c>
      <c r="E10378" s="483">
        <v>415.09</v>
      </c>
    </row>
    <row r="10379" spans="1:5">
      <c r="A10379" s="484">
        <v>7759</v>
      </c>
      <c r="B10379" s="485" t="s">
        <v>10191</v>
      </c>
      <c r="C10379" s="484" t="s">
        <v>71</v>
      </c>
      <c r="D10379" s="486">
        <v>904.33</v>
      </c>
      <c r="E10379" s="486">
        <v>904.33</v>
      </c>
    </row>
    <row r="10380" spans="1:5">
      <c r="A10380" s="349">
        <v>40334</v>
      </c>
      <c r="B10380" s="348" t="s">
        <v>10192</v>
      </c>
      <c r="C10380" s="349" t="s">
        <v>71</v>
      </c>
      <c r="D10380" s="483">
        <v>48.82</v>
      </c>
      <c r="E10380" s="483">
        <v>48.82</v>
      </c>
    </row>
    <row r="10381" spans="1:5">
      <c r="A10381" s="484">
        <v>7745</v>
      </c>
      <c r="B10381" s="485" t="s">
        <v>10193</v>
      </c>
      <c r="C10381" s="484" t="s">
        <v>71</v>
      </c>
      <c r="D10381" s="486">
        <v>51.59</v>
      </c>
      <c r="E10381" s="486">
        <v>51.59</v>
      </c>
    </row>
    <row r="10382" spans="1:5">
      <c r="A10382" s="349">
        <v>7714</v>
      </c>
      <c r="B10382" s="348" t="s">
        <v>10194</v>
      </c>
      <c r="C10382" s="349" t="s">
        <v>71</v>
      </c>
      <c r="D10382" s="483">
        <v>68.13</v>
      </c>
      <c r="E10382" s="483">
        <v>68.13</v>
      </c>
    </row>
    <row r="10383" spans="1:5">
      <c r="A10383" s="484">
        <v>7725</v>
      </c>
      <c r="B10383" s="485" t="s">
        <v>10195</v>
      </c>
      <c r="C10383" s="484" t="s">
        <v>71</v>
      </c>
      <c r="D10383" s="486">
        <v>90.13</v>
      </c>
      <c r="E10383" s="486">
        <v>90.13</v>
      </c>
    </row>
    <row r="10384" spans="1:5">
      <c r="A10384" s="349">
        <v>7742</v>
      </c>
      <c r="B10384" s="348" t="s">
        <v>10196</v>
      </c>
      <c r="C10384" s="349" t="s">
        <v>71</v>
      </c>
      <c r="D10384" s="483">
        <v>134.53</v>
      </c>
      <c r="E10384" s="483">
        <v>134.53</v>
      </c>
    </row>
    <row r="10385" spans="1:5">
      <c r="A10385" s="484">
        <v>7750</v>
      </c>
      <c r="B10385" s="485" t="s">
        <v>10197</v>
      </c>
      <c r="C10385" s="484" t="s">
        <v>71</v>
      </c>
      <c r="D10385" s="486">
        <v>143.46</v>
      </c>
      <c r="E10385" s="486">
        <v>143.46</v>
      </c>
    </row>
    <row r="10386" spans="1:5">
      <c r="A10386" s="349">
        <v>7756</v>
      </c>
      <c r="B10386" s="348" t="s">
        <v>10198</v>
      </c>
      <c r="C10386" s="349" t="s">
        <v>71</v>
      </c>
      <c r="D10386" s="483">
        <v>177.11</v>
      </c>
      <c r="E10386" s="483">
        <v>177.11</v>
      </c>
    </row>
    <row r="10387" spans="1:5">
      <c r="A10387" s="484">
        <v>7765</v>
      </c>
      <c r="B10387" s="485" t="s">
        <v>10199</v>
      </c>
      <c r="C10387" s="484" t="s">
        <v>71</v>
      </c>
      <c r="D10387" s="486">
        <v>217.46</v>
      </c>
      <c r="E10387" s="486">
        <v>217.46</v>
      </c>
    </row>
    <row r="10388" spans="1:5">
      <c r="A10388" s="349">
        <v>12569</v>
      </c>
      <c r="B10388" s="348" t="s">
        <v>10200</v>
      </c>
      <c r="C10388" s="349" t="s">
        <v>71</v>
      </c>
      <c r="D10388" s="483">
        <v>234</v>
      </c>
      <c r="E10388" s="483">
        <v>234</v>
      </c>
    </row>
    <row r="10389" spans="1:5">
      <c r="A10389" s="484">
        <v>7766</v>
      </c>
      <c r="B10389" s="485" t="s">
        <v>10201</v>
      </c>
      <c r="C10389" s="484" t="s">
        <v>71</v>
      </c>
      <c r="D10389" s="486">
        <v>316.27999999999997</v>
      </c>
      <c r="E10389" s="486">
        <v>316.27999999999997</v>
      </c>
    </row>
    <row r="10390" spans="1:5">
      <c r="A10390" s="349">
        <v>7767</v>
      </c>
      <c r="B10390" s="348" t="s">
        <v>10202</v>
      </c>
      <c r="C10390" s="349" t="s">
        <v>71</v>
      </c>
      <c r="D10390" s="483">
        <v>487.37</v>
      </c>
      <c r="E10390" s="483">
        <v>487.37</v>
      </c>
    </row>
    <row r="10391" spans="1:5">
      <c r="A10391" s="484">
        <v>7727</v>
      </c>
      <c r="B10391" s="485" t="s">
        <v>19748</v>
      </c>
      <c r="C10391" s="484" t="s">
        <v>71</v>
      </c>
      <c r="D10391" s="486">
        <v>1058.4000000000001</v>
      </c>
      <c r="E10391" s="486">
        <v>1058.4000000000001</v>
      </c>
    </row>
    <row r="10392" spans="1:5" ht="57.75" customHeight="1">
      <c r="A10392" s="349">
        <v>7760</v>
      </c>
      <c r="B10392" s="348" t="s">
        <v>10203</v>
      </c>
      <c r="C10392" s="349" t="s">
        <v>71</v>
      </c>
      <c r="D10392" s="483">
        <v>51.34</v>
      </c>
      <c r="E10392" s="483">
        <v>51.34</v>
      </c>
    </row>
    <row r="10393" spans="1:5">
      <c r="A10393" s="484">
        <v>7761</v>
      </c>
      <c r="B10393" s="485" t="s">
        <v>10204</v>
      </c>
      <c r="C10393" s="484" t="s">
        <v>71</v>
      </c>
      <c r="D10393" s="486">
        <v>54.57</v>
      </c>
      <c r="E10393" s="486">
        <v>54.57</v>
      </c>
    </row>
    <row r="10394" spans="1:5">
      <c r="A10394" s="349">
        <v>7752</v>
      </c>
      <c r="B10394" s="348" t="s">
        <v>10205</v>
      </c>
      <c r="C10394" s="349" t="s">
        <v>71</v>
      </c>
      <c r="D10394" s="483">
        <v>66.099999999999994</v>
      </c>
      <c r="E10394" s="483">
        <v>66.099999999999994</v>
      </c>
    </row>
    <row r="10395" spans="1:5" ht="57.75" customHeight="1">
      <c r="A10395" s="484">
        <v>7762</v>
      </c>
      <c r="B10395" s="485" t="s">
        <v>10206</v>
      </c>
      <c r="C10395" s="484" t="s">
        <v>71</v>
      </c>
      <c r="D10395" s="486">
        <v>86.49</v>
      </c>
      <c r="E10395" s="486">
        <v>86.49</v>
      </c>
    </row>
    <row r="10396" spans="1:5">
      <c r="A10396" s="349">
        <v>7722</v>
      </c>
      <c r="B10396" s="348" t="s">
        <v>10207</v>
      </c>
      <c r="C10396" s="349" t="s">
        <v>71</v>
      </c>
      <c r="D10396" s="483">
        <v>133.37</v>
      </c>
      <c r="E10396" s="483">
        <v>133.37</v>
      </c>
    </row>
    <row r="10397" spans="1:5">
      <c r="A10397" s="484">
        <v>7763</v>
      </c>
      <c r="B10397" s="485" t="s">
        <v>10208</v>
      </c>
      <c r="C10397" s="484" t="s">
        <v>71</v>
      </c>
      <c r="D10397" s="486">
        <v>148.63</v>
      </c>
      <c r="E10397" s="486">
        <v>148.63</v>
      </c>
    </row>
    <row r="10398" spans="1:5" ht="57.75" customHeight="1">
      <c r="A10398" s="349">
        <v>7764</v>
      </c>
      <c r="B10398" s="348" t="s">
        <v>10209</v>
      </c>
      <c r="C10398" s="349" t="s">
        <v>71</v>
      </c>
      <c r="D10398" s="483">
        <v>223.25</v>
      </c>
      <c r="E10398" s="483">
        <v>223.25</v>
      </c>
    </row>
    <row r="10399" spans="1:5">
      <c r="A10399" s="484">
        <v>12572</v>
      </c>
      <c r="B10399" s="485" t="s">
        <v>10210</v>
      </c>
      <c r="C10399" s="484" t="s">
        <v>71</v>
      </c>
      <c r="D10399" s="486">
        <v>311.27</v>
      </c>
      <c r="E10399" s="486">
        <v>311.27</v>
      </c>
    </row>
    <row r="10400" spans="1:5">
      <c r="A10400" s="349">
        <v>12573</v>
      </c>
      <c r="B10400" s="348" t="s">
        <v>10211</v>
      </c>
      <c r="C10400" s="349" t="s">
        <v>71</v>
      </c>
      <c r="D10400" s="483">
        <v>419.89</v>
      </c>
      <c r="E10400" s="483">
        <v>419.89</v>
      </c>
    </row>
    <row r="10401" spans="1:5" ht="57.75" customHeight="1">
      <c r="A10401" s="484">
        <v>12574</v>
      </c>
      <c r="B10401" s="485" t="s">
        <v>10212</v>
      </c>
      <c r="C10401" s="484" t="s">
        <v>71</v>
      </c>
      <c r="D10401" s="486">
        <v>399.69</v>
      </c>
      <c r="E10401" s="486">
        <v>399.69</v>
      </c>
    </row>
    <row r="10402" spans="1:5" s="25" customFormat="1" ht="57.75" customHeight="1">
      <c r="A10402" s="606" t="s">
        <v>20548</v>
      </c>
      <c r="B10402" s="605" t="s">
        <v>10212</v>
      </c>
      <c r="C10402" s="606" t="s">
        <v>71</v>
      </c>
      <c r="D10402" s="607">
        <v>399.69</v>
      </c>
      <c r="E10402" s="486"/>
    </row>
    <row r="10403" spans="1:5">
      <c r="A10403" s="349">
        <v>12575</v>
      </c>
      <c r="B10403" s="348" t="s">
        <v>10213</v>
      </c>
      <c r="C10403" s="349" t="s">
        <v>71</v>
      </c>
      <c r="D10403" s="483">
        <v>586.66999999999996</v>
      </c>
      <c r="E10403" s="483">
        <v>586.66999999999996</v>
      </c>
    </row>
    <row r="10404" spans="1:5">
      <c r="A10404" s="484">
        <v>12576</v>
      </c>
      <c r="B10404" s="485" t="s">
        <v>10214</v>
      </c>
      <c r="C10404" s="484" t="s">
        <v>71</v>
      </c>
      <c r="D10404" s="486">
        <v>62.01</v>
      </c>
      <c r="E10404" s="486">
        <v>62.01</v>
      </c>
    </row>
    <row r="10405" spans="1:5">
      <c r="A10405" s="349">
        <v>12577</v>
      </c>
      <c r="B10405" s="348" t="s">
        <v>10215</v>
      </c>
      <c r="C10405" s="349" t="s">
        <v>71</v>
      </c>
      <c r="D10405" s="483">
        <v>80.2</v>
      </c>
      <c r="E10405" s="483">
        <v>80.2</v>
      </c>
    </row>
    <row r="10406" spans="1:5">
      <c r="A10406" s="484">
        <v>12578</v>
      </c>
      <c r="B10406" s="485" t="s">
        <v>10216</v>
      </c>
      <c r="C10406" s="484" t="s">
        <v>71</v>
      </c>
      <c r="D10406" s="486">
        <v>107.57</v>
      </c>
      <c r="E10406" s="486">
        <v>107.57</v>
      </c>
    </row>
    <row r="10407" spans="1:5">
      <c r="A10407" s="349">
        <v>12579</v>
      </c>
      <c r="B10407" s="348" t="s">
        <v>10217</v>
      </c>
      <c r="C10407" s="349" t="s">
        <v>71</v>
      </c>
      <c r="D10407" s="483">
        <v>157.52000000000001</v>
      </c>
      <c r="E10407" s="483">
        <v>157.52000000000001</v>
      </c>
    </row>
    <row r="10408" spans="1:5">
      <c r="A10408" s="484">
        <v>12580</v>
      </c>
      <c r="B10408" s="485" t="s">
        <v>10218</v>
      </c>
      <c r="C10408" s="484" t="s">
        <v>71</v>
      </c>
      <c r="D10408" s="486">
        <v>203.35</v>
      </c>
      <c r="E10408" s="486">
        <v>203.35</v>
      </c>
    </row>
    <row r="10409" spans="1:5">
      <c r="A10409" s="349">
        <v>12581</v>
      </c>
      <c r="B10409" s="348" t="s">
        <v>10219</v>
      </c>
      <c r="C10409" s="349" t="s">
        <v>71</v>
      </c>
      <c r="D10409" s="483">
        <v>278.24</v>
      </c>
      <c r="E10409" s="483">
        <v>278.24</v>
      </c>
    </row>
    <row r="10410" spans="1:5">
      <c r="A10410" s="484">
        <v>12584</v>
      </c>
      <c r="B10410" s="485" t="s">
        <v>10224</v>
      </c>
      <c r="C10410" s="484" t="s">
        <v>71</v>
      </c>
      <c r="D10410" s="486">
        <v>22.75</v>
      </c>
      <c r="E10410" s="486">
        <v>22.75</v>
      </c>
    </row>
    <row r="10411" spans="1:5" ht="30">
      <c r="A10411" s="349">
        <v>41785</v>
      </c>
      <c r="B10411" s="348" t="s">
        <v>10225</v>
      </c>
      <c r="C10411" s="349" t="s">
        <v>71</v>
      </c>
      <c r="D10411" s="483">
        <v>997.31</v>
      </c>
      <c r="E10411" s="483">
        <v>997.31</v>
      </c>
    </row>
    <row r="10412" spans="1:5" ht="30">
      <c r="A10412" s="484">
        <v>41781</v>
      </c>
      <c r="B10412" s="485" t="s">
        <v>10226</v>
      </c>
      <c r="C10412" s="484" t="s">
        <v>71</v>
      </c>
      <c r="D10412" s="486">
        <v>227.01</v>
      </c>
      <c r="E10412" s="486">
        <v>227.01</v>
      </c>
    </row>
    <row r="10413" spans="1:5" ht="30">
      <c r="A10413" s="349">
        <v>41783</v>
      </c>
      <c r="B10413" s="348" t="s">
        <v>11577</v>
      </c>
      <c r="C10413" s="349" t="s">
        <v>71</v>
      </c>
      <c r="D10413" s="483">
        <v>658.14</v>
      </c>
      <c r="E10413" s="483">
        <v>658.14</v>
      </c>
    </row>
    <row r="10414" spans="1:5" ht="30">
      <c r="A10414" s="484">
        <v>41786</v>
      </c>
      <c r="B10414" s="485" t="s">
        <v>10227</v>
      </c>
      <c r="C10414" s="484" t="s">
        <v>71</v>
      </c>
      <c r="D10414" s="486">
        <v>1428.21</v>
      </c>
      <c r="E10414" s="486">
        <v>1428.21</v>
      </c>
    </row>
    <row r="10415" spans="1:5" ht="30">
      <c r="A10415" s="349">
        <v>41787</v>
      </c>
      <c r="B10415" s="348" t="s">
        <v>10228</v>
      </c>
      <c r="C10415" s="349" t="s">
        <v>71</v>
      </c>
      <c r="D10415" s="483">
        <v>1734.45</v>
      </c>
      <c r="E10415" s="483">
        <v>1734.45</v>
      </c>
    </row>
    <row r="10416" spans="1:5" ht="30">
      <c r="A10416" s="484">
        <v>41779</v>
      </c>
      <c r="B10416" s="485" t="s">
        <v>10229</v>
      </c>
      <c r="C10416" s="484" t="s">
        <v>71</v>
      </c>
      <c r="D10416" s="486">
        <v>77.040000000000006</v>
      </c>
      <c r="E10416" s="486">
        <v>77.040000000000006</v>
      </c>
    </row>
    <row r="10417" spans="1:5" ht="72" customHeight="1">
      <c r="A10417" s="349">
        <v>41780</v>
      </c>
      <c r="B10417" s="348" t="s">
        <v>10230</v>
      </c>
      <c r="C10417" s="349" t="s">
        <v>71</v>
      </c>
      <c r="D10417" s="483">
        <v>114.01</v>
      </c>
      <c r="E10417" s="483">
        <v>114.01</v>
      </c>
    </row>
    <row r="10418" spans="1:5" ht="30">
      <c r="A10418" s="484">
        <v>41782</v>
      </c>
      <c r="B10418" s="485" t="s">
        <v>10231</v>
      </c>
      <c r="C10418" s="484" t="s">
        <v>71</v>
      </c>
      <c r="D10418" s="486">
        <v>443.76</v>
      </c>
      <c r="E10418" s="486">
        <v>443.76</v>
      </c>
    </row>
    <row r="10419" spans="1:5" ht="30">
      <c r="A10419" s="349">
        <v>41784</v>
      </c>
      <c r="B10419" s="348" t="s">
        <v>10232</v>
      </c>
      <c r="C10419" s="349" t="s">
        <v>71</v>
      </c>
      <c r="D10419" s="483">
        <v>717.27</v>
      </c>
      <c r="E10419" s="483">
        <v>717.27</v>
      </c>
    </row>
    <row r="10420" spans="1:5">
      <c r="A10420" s="484">
        <v>38130</v>
      </c>
      <c r="B10420" s="485" t="s">
        <v>10233</v>
      </c>
      <c r="C10420" s="484" t="s">
        <v>71</v>
      </c>
      <c r="D10420" s="486">
        <v>27.66</v>
      </c>
      <c r="E10420" s="486">
        <v>27.66</v>
      </c>
    </row>
    <row r="10421" spans="1:5">
      <c r="A10421" s="349">
        <v>21123</v>
      </c>
      <c r="B10421" s="348" t="s">
        <v>10234</v>
      </c>
      <c r="C10421" s="349" t="s">
        <v>71</v>
      </c>
      <c r="D10421" s="483">
        <v>7.85</v>
      </c>
      <c r="E10421" s="483">
        <v>7.85</v>
      </c>
    </row>
    <row r="10422" spans="1:5">
      <c r="A10422" s="484">
        <v>21124</v>
      </c>
      <c r="B10422" s="485" t="s">
        <v>10235</v>
      </c>
      <c r="C10422" s="484" t="s">
        <v>71</v>
      </c>
      <c r="D10422" s="486">
        <v>13.92</v>
      </c>
      <c r="E10422" s="486">
        <v>13.92</v>
      </c>
    </row>
    <row r="10423" spans="1:5">
      <c r="A10423" s="349">
        <v>21125</v>
      </c>
      <c r="B10423" s="348" t="s">
        <v>10236</v>
      </c>
      <c r="C10423" s="349" t="s">
        <v>71</v>
      </c>
      <c r="D10423" s="483">
        <v>22.34</v>
      </c>
      <c r="E10423" s="483">
        <v>22.34</v>
      </c>
    </row>
    <row r="10424" spans="1:5">
      <c r="A10424" s="484">
        <v>38028</v>
      </c>
      <c r="B10424" s="485" t="s">
        <v>10237</v>
      </c>
      <c r="C10424" s="484" t="s">
        <v>71</v>
      </c>
      <c r="D10424" s="486">
        <v>37.909999999999997</v>
      </c>
      <c r="E10424" s="486">
        <v>37.909999999999997</v>
      </c>
    </row>
    <row r="10425" spans="1:5">
      <c r="A10425" s="349">
        <v>38029</v>
      </c>
      <c r="B10425" s="348" t="s">
        <v>10238</v>
      </c>
      <c r="C10425" s="349" t="s">
        <v>71</v>
      </c>
      <c r="D10425" s="483">
        <v>57.79</v>
      </c>
      <c r="E10425" s="483">
        <v>57.79</v>
      </c>
    </row>
    <row r="10426" spans="1:5">
      <c r="A10426" s="484">
        <v>38030</v>
      </c>
      <c r="B10426" s="485" t="s">
        <v>10239</v>
      </c>
      <c r="C10426" s="484" t="s">
        <v>71</v>
      </c>
      <c r="D10426" s="486">
        <v>88.76</v>
      </c>
      <c r="E10426" s="486">
        <v>88.76</v>
      </c>
    </row>
    <row r="10427" spans="1:5">
      <c r="A10427" s="349">
        <v>38031</v>
      </c>
      <c r="B10427" s="348" t="s">
        <v>10240</v>
      </c>
      <c r="C10427" s="349" t="s">
        <v>71</v>
      </c>
      <c r="D10427" s="483">
        <v>140.65</v>
      </c>
      <c r="E10427" s="483">
        <v>140.65</v>
      </c>
    </row>
    <row r="10428" spans="1:5" ht="30">
      <c r="A10428" s="484">
        <v>39749</v>
      </c>
      <c r="B10428" s="485" t="s">
        <v>10274</v>
      </c>
      <c r="C10428" s="484" t="s">
        <v>71</v>
      </c>
      <c r="D10428" s="486">
        <v>46.14</v>
      </c>
      <c r="E10428" s="486">
        <v>46.14</v>
      </c>
    </row>
    <row r="10429" spans="1:5" ht="30">
      <c r="A10429" s="349">
        <v>39751</v>
      </c>
      <c r="B10429" s="348" t="s">
        <v>10275</v>
      </c>
      <c r="C10429" s="349" t="s">
        <v>71</v>
      </c>
      <c r="D10429" s="483">
        <v>83.85</v>
      </c>
      <c r="E10429" s="483">
        <v>83.85</v>
      </c>
    </row>
    <row r="10430" spans="1:5" ht="30">
      <c r="A10430" s="484">
        <v>39750</v>
      </c>
      <c r="B10430" s="485" t="s">
        <v>10276</v>
      </c>
      <c r="C10430" s="484" t="s">
        <v>71</v>
      </c>
      <c r="D10430" s="486">
        <v>69.69</v>
      </c>
      <c r="E10430" s="486">
        <v>69.69</v>
      </c>
    </row>
    <row r="10431" spans="1:5" ht="30">
      <c r="A10431" s="349">
        <v>39747</v>
      </c>
      <c r="B10431" s="348" t="s">
        <v>10277</v>
      </c>
      <c r="C10431" s="349" t="s">
        <v>71</v>
      </c>
      <c r="D10431" s="483">
        <v>22.42</v>
      </c>
      <c r="E10431" s="483">
        <v>22.42</v>
      </c>
    </row>
    <row r="10432" spans="1:5" ht="30">
      <c r="A10432" s="484">
        <v>39753</v>
      </c>
      <c r="B10432" s="485" t="s">
        <v>10278</v>
      </c>
      <c r="C10432" s="484" t="s">
        <v>71</v>
      </c>
      <c r="D10432" s="486">
        <v>154.35</v>
      </c>
      <c r="E10432" s="486">
        <v>154.35</v>
      </c>
    </row>
    <row r="10433" spans="1:5" ht="30">
      <c r="A10433" s="349">
        <v>39754</v>
      </c>
      <c r="B10433" s="348" t="s">
        <v>10279</v>
      </c>
      <c r="C10433" s="349" t="s">
        <v>71</v>
      </c>
      <c r="D10433" s="483">
        <v>227.4</v>
      </c>
      <c r="E10433" s="483">
        <v>227.4</v>
      </c>
    </row>
    <row r="10434" spans="1:5" ht="30">
      <c r="A10434" s="484">
        <v>39748</v>
      </c>
      <c r="B10434" s="485" t="s">
        <v>10280</v>
      </c>
      <c r="C10434" s="484" t="s">
        <v>71</v>
      </c>
      <c r="D10434" s="486">
        <v>36.270000000000003</v>
      </c>
      <c r="E10434" s="486">
        <v>36.270000000000003</v>
      </c>
    </row>
    <row r="10435" spans="1:5" ht="30">
      <c r="A10435" s="349">
        <v>39755</v>
      </c>
      <c r="B10435" s="348" t="s">
        <v>10281</v>
      </c>
      <c r="C10435" s="349" t="s">
        <v>71</v>
      </c>
      <c r="D10435" s="483">
        <v>344.8</v>
      </c>
      <c r="E10435" s="483">
        <v>344.8</v>
      </c>
    </row>
    <row r="10436" spans="1:5">
      <c r="A10436" s="484">
        <v>12742</v>
      </c>
      <c r="B10436" s="485" t="s">
        <v>10282</v>
      </c>
      <c r="C10436" s="484" t="s">
        <v>71</v>
      </c>
      <c r="D10436" s="486">
        <v>273.02</v>
      </c>
      <c r="E10436" s="486">
        <v>273.02</v>
      </c>
    </row>
    <row r="10437" spans="1:5">
      <c r="A10437" s="349">
        <v>12713</v>
      </c>
      <c r="B10437" s="348" t="s">
        <v>10283</v>
      </c>
      <c r="C10437" s="349" t="s">
        <v>71</v>
      </c>
      <c r="D10437" s="483">
        <v>14.48</v>
      </c>
      <c r="E10437" s="483">
        <v>14.48</v>
      </c>
    </row>
    <row r="10438" spans="1:5">
      <c r="A10438" s="484">
        <v>12743</v>
      </c>
      <c r="B10438" s="485" t="s">
        <v>10284</v>
      </c>
      <c r="C10438" s="484" t="s">
        <v>71</v>
      </c>
      <c r="D10438" s="486">
        <v>24.91</v>
      </c>
      <c r="E10438" s="486">
        <v>24.91</v>
      </c>
    </row>
    <row r="10439" spans="1:5">
      <c r="A10439" s="349">
        <v>12744</v>
      </c>
      <c r="B10439" s="348" t="s">
        <v>10285</v>
      </c>
      <c r="C10439" s="349" t="s">
        <v>71</v>
      </c>
      <c r="D10439" s="483">
        <v>31.61</v>
      </c>
      <c r="E10439" s="483">
        <v>31.61</v>
      </c>
    </row>
    <row r="10440" spans="1:5" ht="57.75" customHeight="1">
      <c r="A10440" s="484">
        <v>12745</v>
      </c>
      <c r="B10440" s="485" t="s">
        <v>10286</v>
      </c>
      <c r="C10440" s="484" t="s">
        <v>71</v>
      </c>
      <c r="D10440" s="486">
        <v>45.91</v>
      </c>
      <c r="E10440" s="486">
        <v>45.91</v>
      </c>
    </row>
    <row r="10441" spans="1:5">
      <c r="A10441" s="349">
        <v>12746</v>
      </c>
      <c r="B10441" s="348" t="s">
        <v>10287</v>
      </c>
      <c r="C10441" s="349" t="s">
        <v>71</v>
      </c>
      <c r="D10441" s="483">
        <v>61.99</v>
      </c>
      <c r="E10441" s="483">
        <v>61.99</v>
      </c>
    </row>
    <row r="10442" spans="1:5">
      <c r="A10442" s="484">
        <v>12747</v>
      </c>
      <c r="B10442" s="485" t="s">
        <v>10288</v>
      </c>
      <c r="C10442" s="484" t="s">
        <v>71</v>
      </c>
      <c r="D10442" s="486">
        <v>89.9</v>
      </c>
      <c r="E10442" s="486">
        <v>89.9</v>
      </c>
    </row>
    <row r="10443" spans="1:5">
      <c r="A10443" s="349">
        <v>12748</v>
      </c>
      <c r="B10443" s="348" t="s">
        <v>10289</v>
      </c>
      <c r="C10443" s="349" t="s">
        <v>71</v>
      </c>
      <c r="D10443" s="483">
        <v>126.66</v>
      </c>
      <c r="E10443" s="483">
        <v>126.66</v>
      </c>
    </row>
    <row r="10444" spans="1:5">
      <c r="A10444" s="484">
        <v>12749</v>
      </c>
      <c r="B10444" s="485" t="s">
        <v>10290</v>
      </c>
      <c r="C10444" s="484" t="s">
        <v>71</v>
      </c>
      <c r="D10444" s="486">
        <v>185.15</v>
      </c>
      <c r="E10444" s="486">
        <v>185.15</v>
      </c>
    </row>
    <row r="10445" spans="1:5" ht="30">
      <c r="A10445" s="349">
        <v>39726</v>
      </c>
      <c r="B10445" s="348" t="s">
        <v>10291</v>
      </c>
      <c r="C10445" s="349" t="s">
        <v>71</v>
      </c>
      <c r="D10445" s="483">
        <v>60.81</v>
      </c>
      <c r="E10445" s="483">
        <v>60.81</v>
      </c>
    </row>
    <row r="10446" spans="1:5" ht="30">
      <c r="A10446" s="484">
        <v>39728</v>
      </c>
      <c r="B10446" s="485" t="s">
        <v>10292</v>
      </c>
      <c r="C10446" s="484" t="s">
        <v>71</v>
      </c>
      <c r="D10446" s="486">
        <v>106.88</v>
      </c>
      <c r="E10446" s="486">
        <v>106.88</v>
      </c>
    </row>
    <row r="10447" spans="1:5" ht="30">
      <c r="A10447" s="349">
        <v>39727</v>
      </c>
      <c r="B10447" s="348" t="s">
        <v>10293</v>
      </c>
      <c r="C10447" s="349" t="s">
        <v>71</v>
      </c>
      <c r="D10447" s="483">
        <v>87.96</v>
      </c>
      <c r="E10447" s="483">
        <v>87.96</v>
      </c>
    </row>
    <row r="10448" spans="1:5" ht="30">
      <c r="A10448" s="484">
        <v>39724</v>
      </c>
      <c r="B10448" s="485" t="s">
        <v>10294</v>
      </c>
      <c r="C10448" s="484" t="s">
        <v>71</v>
      </c>
      <c r="D10448" s="486">
        <v>26.93</v>
      </c>
      <c r="E10448" s="486">
        <v>26.93</v>
      </c>
    </row>
    <row r="10449" spans="1:5" ht="30">
      <c r="A10449" s="349">
        <v>39729</v>
      </c>
      <c r="B10449" s="348" t="s">
        <v>10295</v>
      </c>
      <c r="C10449" s="349" t="s">
        <v>71</v>
      </c>
      <c r="D10449" s="483">
        <v>148.01</v>
      </c>
      <c r="E10449" s="483">
        <v>148.01</v>
      </c>
    </row>
    <row r="10450" spans="1:5" ht="43.5" customHeight="1">
      <c r="A10450" s="484">
        <v>39730</v>
      </c>
      <c r="B10450" s="485" t="s">
        <v>10296</v>
      </c>
      <c r="C10450" s="484" t="s">
        <v>71</v>
      </c>
      <c r="D10450" s="486">
        <v>192.04</v>
      </c>
      <c r="E10450" s="486">
        <v>192.04</v>
      </c>
    </row>
    <row r="10451" spans="1:5" ht="30">
      <c r="A10451" s="349">
        <v>39731</v>
      </c>
      <c r="B10451" s="348" t="s">
        <v>10297</v>
      </c>
      <c r="C10451" s="349" t="s">
        <v>71</v>
      </c>
      <c r="D10451" s="483">
        <v>284.43</v>
      </c>
      <c r="E10451" s="483">
        <v>284.43</v>
      </c>
    </row>
    <row r="10452" spans="1:5" ht="30">
      <c r="A10452" s="484">
        <v>39725</v>
      </c>
      <c r="B10452" s="485" t="s">
        <v>10298</v>
      </c>
      <c r="C10452" s="484" t="s">
        <v>71</v>
      </c>
      <c r="D10452" s="486">
        <v>43.89</v>
      </c>
      <c r="E10452" s="486">
        <v>43.89</v>
      </c>
    </row>
    <row r="10453" spans="1:5" ht="30">
      <c r="A10453" s="349">
        <v>39732</v>
      </c>
      <c r="B10453" s="348" t="s">
        <v>10299</v>
      </c>
      <c r="C10453" s="349" t="s">
        <v>71</v>
      </c>
      <c r="D10453" s="483">
        <v>418.66</v>
      </c>
      <c r="E10453" s="483">
        <v>418.66</v>
      </c>
    </row>
    <row r="10454" spans="1:5" ht="30">
      <c r="A10454" s="484">
        <v>39660</v>
      </c>
      <c r="B10454" s="485" t="s">
        <v>10300</v>
      </c>
      <c r="C10454" s="484" t="s">
        <v>71</v>
      </c>
      <c r="D10454" s="486">
        <v>19.07</v>
      </c>
      <c r="E10454" s="486">
        <v>19.07</v>
      </c>
    </row>
    <row r="10455" spans="1:5" ht="30">
      <c r="A10455" s="349">
        <v>39662</v>
      </c>
      <c r="B10455" s="348" t="s">
        <v>10301</v>
      </c>
      <c r="C10455" s="349" t="s">
        <v>71</v>
      </c>
      <c r="D10455" s="483">
        <v>9.14</v>
      </c>
      <c r="E10455" s="483">
        <v>9.14</v>
      </c>
    </row>
    <row r="10456" spans="1:5" ht="30">
      <c r="A10456" s="484">
        <v>39661</v>
      </c>
      <c r="B10456" s="485" t="s">
        <v>10302</v>
      </c>
      <c r="C10456" s="484" t="s">
        <v>71</v>
      </c>
      <c r="D10456" s="486">
        <v>6.23</v>
      </c>
      <c r="E10456" s="486">
        <v>6.23</v>
      </c>
    </row>
    <row r="10457" spans="1:5" ht="30">
      <c r="A10457" s="349">
        <v>39664</v>
      </c>
      <c r="B10457" s="348" t="s">
        <v>10303</v>
      </c>
      <c r="C10457" s="349" t="s">
        <v>71</v>
      </c>
      <c r="D10457" s="483">
        <v>14.06</v>
      </c>
      <c r="E10457" s="483">
        <v>14.06</v>
      </c>
    </row>
    <row r="10458" spans="1:5" ht="30">
      <c r="A10458" s="484">
        <v>39663</v>
      </c>
      <c r="B10458" s="485" t="s">
        <v>10304</v>
      </c>
      <c r="C10458" s="484" t="s">
        <v>71</v>
      </c>
      <c r="D10458" s="486">
        <v>11.24</v>
      </c>
      <c r="E10458" s="486">
        <v>11.24</v>
      </c>
    </row>
    <row r="10459" spans="1:5" ht="30">
      <c r="A10459" s="349">
        <v>39752</v>
      </c>
      <c r="B10459" s="348" t="s">
        <v>10305</v>
      </c>
      <c r="C10459" s="349" t="s">
        <v>71</v>
      </c>
      <c r="D10459" s="483">
        <v>119.31</v>
      </c>
      <c r="E10459" s="483">
        <v>119.31</v>
      </c>
    </row>
    <row r="10460" spans="1:5">
      <c r="A10460" s="484">
        <v>12583</v>
      </c>
      <c r="B10460" s="485" t="s">
        <v>10326</v>
      </c>
      <c r="C10460" s="484" t="s">
        <v>71</v>
      </c>
      <c r="D10460" s="486">
        <v>18.12</v>
      </c>
      <c r="E10460" s="486">
        <v>18.12</v>
      </c>
    </row>
    <row r="10461" spans="1:5" ht="30">
      <c r="A10461" s="349">
        <v>13159</v>
      </c>
      <c r="B10461" s="348" t="s">
        <v>10327</v>
      </c>
      <c r="C10461" s="349" t="s">
        <v>71</v>
      </c>
      <c r="D10461" s="483">
        <v>52.82</v>
      </c>
      <c r="E10461" s="483">
        <v>52.82</v>
      </c>
    </row>
    <row r="10462" spans="1:5" ht="30">
      <c r="A10462" s="484">
        <v>13168</v>
      </c>
      <c r="B10462" s="485" t="s">
        <v>10328</v>
      </c>
      <c r="C10462" s="484" t="s">
        <v>71</v>
      </c>
      <c r="D10462" s="486">
        <v>79.430000000000007</v>
      </c>
      <c r="E10462" s="486">
        <v>79.430000000000007</v>
      </c>
    </row>
    <row r="10463" spans="1:5" ht="30">
      <c r="A10463" s="349">
        <v>13173</v>
      </c>
      <c r="B10463" s="348" t="s">
        <v>10329</v>
      </c>
      <c r="C10463" s="349" t="s">
        <v>71</v>
      </c>
      <c r="D10463" s="483">
        <v>97.94</v>
      </c>
      <c r="E10463" s="483">
        <v>97.94</v>
      </c>
    </row>
    <row r="10464" spans="1:5" ht="30">
      <c r="A10464" s="484">
        <v>37449</v>
      </c>
      <c r="B10464" s="485" t="s">
        <v>10330</v>
      </c>
      <c r="C10464" s="484" t="s">
        <v>71</v>
      </c>
      <c r="D10464" s="486">
        <v>16.190000000000001</v>
      </c>
      <c r="E10464" s="486">
        <v>16.190000000000001</v>
      </c>
    </row>
    <row r="10465" spans="1:5" ht="30">
      <c r="A10465" s="349">
        <v>37450</v>
      </c>
      <c r="B10465" s="348" t="s">
        <v>10331</v>
      </c>
      <c r="C10465" s="349" t="s">
        <v>71</v>
      </c>
      <c r="D10465" s="483">
        <v>19.739999999999998</v>
      </c>
      <c r="E10465" s="483">
        <v>19.739999999999998</v>
      </c>
    </row>
    <row r="10466" spans="1:5" ht="30">
      <c r="A10466" s="484">
        <v>37451</v>
      </c>
      <c r="B10466" s="485" t="s">
        <v>10332</v>
      </c>
      <c r="C10466" s="484" t="s">
        <v>71</v>
      </c>
      <c r="D10466" s="486">
        <v>30.23</v>
      </c>
      <c r="E10466" s="486">
        <v>30.23</v>
      </c>
    </row>
    <row r="10467" spans="1:5" ht="30">
      <c r="A10467" s="349">
        <v>37452</v>
      </c>
      <c r="B10467" s="348" t="s">
        <v>10333</v>
      </c>
      <c r="C10467" s="349" t="s">
        <v>71</v>
      </c>
      <c r="D10467" s="483">
        <v>40.1</v>
      </c>
      <c r="E10467" s="483">
        <v>40.1</v>
      </c>
    </row>
    <row r="10468" spans="1:5" ht="30">
      <c r="A10468" s="484">
        <v>37453</v>
      </c>
      <c r="B10468" s="485" t="s">
        <v>10334</v>
      </c>
      <c r="C10468" s="484" t="s">
        <v>71</v>
      </c>
      <c r="D10468" s="486">
        <v>50.31</v>
      </c>
      <c r="E10468" s="486">
        <v>50.31</v>
      </c>
    </row>
    <row r="10469" spans="1:5">
      <c r="A10469" s="349">
        <v>7778</v>
      </c>
      <c r="B10469" s="348" t="s">
        <v>10335</v>
      </c>
      <c r="C10469" s="349" t="s">
        <v>71</v>
      </c>
      <c r="D10469" s="483">
        <v>18.89</v>
      </c>
      <c r="E10469" s="483">
        <v>18.89</v>
      </c>
    </row>
    <row r="10470" spans="1:5">
      <c r="A10470" s="484">
        <v>7796</v>
      </c>
      <c r="B10470" s="485" t="s">
        <v>10336</v>
      </c>
      <c r="C10470" s="484" t="s">
        <v>71</v>
      </c>
      <c r="D10470" s="486">
        <v>22.75</v>
      </c>
      <c r="E10470" s="486">
        <v>22.75</v>
      </c>
    </row>
    <row r="10471" spans="1:5">
      <c r="A10471" s="349">
        <v>7781</v>
      </c>
      <c r="B10471" s="348" t="s">
        <v>10337</v>
      </c>
      <c r="C10471" s="349" t="s">
        <v>71</v>
      </c>
      <c r="D10471" s="483">
        <v>30.07</v>
      </c>
      <c r="E10471" s="483">
        <v>30.07</v>
      </c>
    </row>
    <row r="10472" spans="1:5">
      <c r="A10472" s="484">
        <v>7795</v>
      </c>
      <c r="B10472" s="485" t="s">
        <v>10338</v>
      </c>
      <c r="C10472" s="484" t="s">
        <v>71</v>
      </c>
      <c r="D10472" s="486">
        <v>43.57</v>
      </c>
      <c r="E10472" s="486">
        <v>43.57</v>
      </c>
    </row>
    <row r="10473" spans="1:5">
      <c r="A10473" s="349">
        <v>7791</v>
      </c>
      <c r="B10473" s="348" t="s">
        <v>10339</v>
      </c>
      <c r="C10473" s="349" t="s">
        <v>71</v>
      </c>
      <c r="D10473" s="483">
        <v>55.52</v>
      </c>
      <c r="E10473" s="483">
        <v>55.52</v>
      </c>
    </row>
    <row r="10474" spans="1:5">
      <c r="A10474" s="484">
        <v>7783</v>
      </c>
      <c r="B10474" s="485" t="s">
        <v>10340</v>
      </c>
      <c r="C10474" s="484" t="s">
        <v>71</v>
      </c>
      <c r="D10474" s="486">
        <v>21.2</v>
      </c>
      <c r="E10474" s="486">
        <v>21.2</v>
      </c>
    </row>
    <row r="10475" spans="1:5">
      <c r="A10475" s="349">
        <v>7790</v>
      </c>
      <c r="B10475" s="348" t="s">
        <v>10341</v>
      </c>
      <c r="C10475" s="349" t="s">
        <v>71</v>
      </c>
      <c r="D10475" s="483">
        <v>24.67</v>
      </c>
      <c r="E10475" s="483">
        <v>24.67</v>
      </c>
    </row>
    <row r="10476" spans="1:5">
      <c r="A10476" s="484">
        <v>7785</v>
      </c>
      <c r="B10476" s="485" t="s">
        <v>10342</v>
      </c>
      <c r="C10476" s="484" t="s">
        <v>71</v>
      </c>
      <c r="D10476" s="486">
        <v>32.380000000000003</v>
      </c>
      <c r="E10476" s="486">
        <v>32.380000000000003</v>
      </c>
    </row>
    <row r="10477" spans="1:5">
      <c r="A10477" s="349">
        <v>7792</v>
      </c>
      <c r="B10477" s="348" t="s">
        <v>10343</v>
      </c>
      <c r="C10477" s="349" t="s">
        <v>71</v>
      </c>
      <c r="D10477" s="483">
        <v>47.04</v>
      </c>
      <c r="E10477" s="483">
        <v>47.04</v>
      </c>
    </row>
    <row r="10478" spans="1:5">
      <c r="A10478" s="484">
        <v>7793</v>
      </c>
      <c r="B10478" s="485" t="s">
        <v>10344</v>
      </c>
      <c r="C10478" s="484" t="s">
        <v>71</v>
      </c>
      <c r="D10478" s="486">
        <v>60.71</v>
      </c>
      <c r="E10478" s="486">
        <v>60.71</v>
      </c>
    </row>
    <row r="10479" spans="1:5">
      <c r="A10479" s="349">
        <v>12613</v>
      </c>
      <c r="B10479" s="348" t="s">
        <v>10345</v>
      </c>
      <c r="C10479" s="349" t="s">
        <v>65</v>
      </c>
      <c r="D10479" s="483">
        <v>10.85</v>
      </c>
      <c r="E10479" s="483">
        <v>10.85</v>
      </c>
    </row>
    <row r="10480" spans="1:5">
      <c r="A10480" s="484">
        <v>1031</v>
      </c>
      <c r="B10480" s="485" t="s">
        <v>10346</v>
      </c>
      <c r="C10480" s="484" t="s">
        <v>65</v>
      </c>
      <c r="D10480" s="486">
        <v>8.1199999999999992</v>
      </c>
      <c r="E10480" s="486">
        <v>8.1199999999999992</v>
      </c>
    </row>
    <row r="10481" spans="1:5" ht="30">
      <c r="A10481" s="349">
        <v>9813</v>
      </c>
      <c r="B10481" s="348" t="s">
        <v>11578</v>
      </c>
      <c r="C10481" s="349" t="s">
        <v>71</v>
      </c>
      <c r="D10481" s="483">
        <v>3.02</v>
      </c>
      <c r="E10481" s="483">
        <v>3.02</v>
      </c>
    </row>
    <row r="10482" spans="1:5" ht="30">
      <c r="A10482" s="484">
        <v>9815</v>
      </c>
      <c r="B10482" s="485" t="s">
        <v>11579</v>
      </c>
      <c r="C10482" s="484" t="s">
        <v>71</v>
      </c>
      <c r="D10482" s="486">
        <v>5.96</v>
      </c>
      <c r="E10482" s="486">
        <v>5.96</v>
      </c>
    </row>
    <row r="10483" spans="1:5" ht="30">
      <c r="A10483" s="349">
        <v>25876</v>
      </c>
      <c r="B10483" s="348" t="s">
        <v>11580</v>
      </c>
      <c r="C10483" s="349" t="s">
        <v>71</v>
      </c>
      <c r="D10483" s="483">
        <v>3069.19</v>
      </c>
      <c r="E10483" s="483">
        <v>3069.19</v>
      </c>
    </row>
    <row r="10484" spans="1:5" ht="30">
      <c r="A10484" s="484">
        <v>25888</v>
      </c>
      <c r="B10484" s="485" t="s">
        <v>11581</v>
      </c>
      <c r="C10484" s="484" t="s">
        <v>71</v>
      </c>
      <c r="D10484" s="486">
        <v>72.73</v>
      </c>
      <c r="E10484" s="486">
        <v>72.73</v>
      </c>
    </row>
    <row r="10485" spans="1:5" ht="30">
      <c r="A10485" s="349">
        <v>25874</v>
      </c>
      <c r="B10485" s="348" t="s">
        <v>11582</v>
      </c>
      <c r="C10485" s="349" t="s">
        <v>71</v>
      </c>
      <c r="D10485" s="483">
        <v>3595.81</v>
      </c>
      <c r="E10485" s="483">
        <v>3595.81</v>
      </c>
    </row>
    <row r="10486" spans="1:5" ht="30">
      <c r="A10486" s="484">
        <v>25877</v>
      </c>
      <c r="B10486" s="485" t="s">
        <v>11583</v>
      </c>
      <c r="C10486" s="484" t="s">
        <v>71</v>
      </c>
      <c r="D10486" s="486">
        <v>4841.2700000000004</v>
      </c>
      <c r="E10486" s="486">
        <v>4841.2700000000004</v>
      </c>
    </row>
    <row r="10487" spans="1:5" ht="30">
      <c r="A10487" s="349">
        <v>25878</v>
      </c>
      <c r="B10487" s="348" t="s">
        <v>11584</v>
      </c>
      <c r="C10487" s="349" t="s">
        <v>71</v>
      </c>
      <c r="D10487" s="483">
        <v>156.12</v>
      </c>
      <c r="E10487" s="483">
        <v>156.12</v>
      </c>
    </row>
    <row r="10488" spans="1:5" ht="30">
      <c r="A10488" s="484">
        <v>25879</v>
      </c>
      <c r="B10488" s="485" t="s">
        <v>11585</v>
      </c>
      <c r="C10488" s="484" t="s">
        <v>71</v>
      </c>
      <c r="D10488" s="486">
        <v>6315.59</v>
      </c>
      <c r="E10488" s="486">
        <v>6315.59</v>
      </c>
    </row>
    <row r="10489" spans="1:5" ht="30">
      <c r="A10489" s="349">
        <v>25887</v>
      </c>
      <c r="B10489" s="348" t="s">
        <v>11586</v>
      </c>
      <c r="C10489" s="349" t="s">
        <v>71</v>
      </c>
      <c r="D10489" s="483">
        <v>2691.64</v>
      </c>
      <c r="E10489" s="483">
        <v>2691.64</v>
      </c>
    </row>
    <row r="10490" spans="1:5" ht="30">
      <c r="A10490" s="484">
        <v>25880</v>
      </c>
      <c r="B10490" s="485" t="s">
        <v>11587</v>
      </c>
      <c r="C10490" s="484" t="s">
        <v>71</v>
      </c>
      <c r="D10490" s="486">
        <v>243.37</v>
      </c>
      <c r="E10490" s="486">
        <v>243.37</v>
      </c>
    </row>
    <row r="10491" spans="1:5" ht="30">
      <c r="A10491" s="349">
        <v>25881</v>
      </c>
      <c r="B10491" s="348" t="s">
        <v>11588</v>
      </c>
      <c r="C10491" s="349" t="s">
        <v>71</v>
      </c>
      <c r="D10491" s="483">
        <v>596.33000000000004</v>
      </c>
      <c r="E10491" s="483">
        <v>596.33000000000004</v>
      </c>
    </row>
    <row r="10492" spans="1:5" ht="30">
      <c r="A10492" s="484">
        <v>25882</v>
      </c>
      <c r="B10492" s="485" t="s">
        <v>11589</v>
      </c>
      <c r="C10492" s="484" t="s">
        <v>71</v>
      </c>
      <c r="D10492" s="486">
        <v>960.47</v>
      </c>
      <c r="E10492" s="486">
        <v>960.47</v>
      </c>
    </row>
    <row r="10493" spans="1:5" ht="30">
      <c r="A10493" s="349">
        <v>25883</v>
      </c>
      <c r="B10493" s="348" t="s">
        <v>11590</v>
      </c>
      <c r="C10493" s="349" t="s">
        <v>71</v>
      </c>
      <c r="D10493" s="483">
        <v>15.49</v>
      </c>
      <c r="E10493" s="483">
        <v>15.49</v>
      </c>
    </row>
    <row r="10494" spans="1:5" ht="30">
      <c r="A10494" s="484">
        <v>25884</v>
      </c>
      <c r="B10494" s="485" t="s">
        <v>11591</v>
      </c>
      <c r="C10494" s="484" t="s">
        <v>71</v>
      </c>
      <c r="D10494" s="486">
        <v>1686.24</v>
      </c>
      <c r="E10494" s="486">
        <v>1686.24</v>
      </c>
    </row>
    <row r="10495" spans="1:5" ht="72" customHeight="1">
      <c r="A10495" s="349">
        <v>25885</v>
      </c>
      <c r="B10495" s="348" t="s">
        <v>11592</v>
      </c>
      <c r="C10495" s="349" t="s">
        <v>71</v>
      </c>
      <c r="D10495" s="483">
        <v>1835.38</v>
      </c>
      <c r="E10495" s="483">
        <v>1835.38</v>
      </c>
    </row>
    <row r="10496" spans="1:5" ht="72" customHeight="1">
      <c r="A10496" s="484">
        <v>25889</v>
      </c>
      <c r="B10496" s="485" t="s">
        <v>11593</v>
      </c>
      <c r="C10496" s="484" t="s">
        <v>71</v>
      </c>
      <c r="D10496" s="486">
        <v>1257.6500000000001</v>
      </c>
      <c r="E10496" s="486">
        <v>1257.6500000000001</v>
      </c>
    </row>
    <row r="10497" spans="1:5" ht="30">
      <c r="A10497" s="349">
        <v>25886</v>
      </c>
      <c r="B10497" s="348" t="s">
        <v>11594</v>
      </c>
      <c r="C10497" s="349" t="s">
        <v>71</v>
      </c>
      <c r="D10497" s="483">
        <v>34.65</v>
      </c>
      <c r="E10497" s="483">
        <v>34.65</v>
      </c>
    </row>
    <row r="10498" spans="1:5" ht="30">
      <c r="A10498" s="484">
        <v>25875</v>
      </c>
      <c r="B10498" s="485" t="s">
        <v>11595</v>
      </c>
      <c r="C10498" s="484" t="s">
        <v>71</v>
      </c>
      <c r="D10498" s="486">
        <v>1640.81</v>
      </c>
      <c r="E10498" s="486">
        <v>1640.81</v>
      </c>
    </row>
    <row r="10499" spans="1:5">
      <c r="A10499" s="349">
        <v>9876</v>
      </c>
      <c r="B10499" s="348" t="s">
        <v>10389</v>
      </c>
      <c r="C10499" s="349" t="s">
        <v>71</v>
      </c>
      <c r="D10499" s="483">
        <v>11.41</v>
      </c>
      <c r="E10499" s="483">
        <v>11.41</v>
      </c>
    </row>
    <row r="10500" spans="1:5">
      <c r="A10500" s="484">
        <v>9877</v>
      </c>
      <c r="B10500" s="485" t="s">
        <v>10390</v>
      </c>
      <c r="C10500" s="484" t="s">
        <v>71</v>
      </c>
      <c r="D10500" s="486">
        <v>41.24</v>
      </c>
      <c r="E10500" s="486">
        <v>41.24</v>
      </c>
    </row>
    <row r="10501" spans="1:5">
      <c r="A10501" s="349">
        <v>9878</v>
      </c>
      <c r="B10501" s="348" t="s">
        <v>10391</v>
      </c>
      <c r="C10501" s="349" t="s">
        <v>71</v>
      </c>
      <c r="D10501" s="483">
        <v>57.25</v>
      </c>
      <c r="E10501" s="483">
        <v>57.25</v>
      </c>
    </row>
    <row r="10502" spans="1:5" ht="43.5" customHeight="1">
      <c r="A10502" s="484">
        <v>9879</v>
      </c>
      <c r="B10502" s="485" t="s">
        <v>10392</v>
      </c>
      <c r="C10502" s="484" t="s">
        <v>71</v>
      </c>
      <c r="D10502" s="486">
        <v>135.12</v>
      </c>
      <c r="E10502" s="486">
        <v>135.12</v>
      </c>
    </row>
    <row r="10503" spans="1:5" ht="45">
      <c r="A10503" s="349">
        <v>38053</v>
      </c>
      <c r="B10503" s="348" t="s">
        <v>10393</v>
      </c>
      <c r="C10503" s="349" t="s">
        <v>71</v>
      </c>
      <c r="D10503" s="483">
        <v>8.67</v>
      </c>
      <c r="E10503" s="483">
        <v>8.67</v>
      </c>
    </row>
    <row r="10504" spans="1:5" ht="45">
      <c r="A10504" s="484">
        <v>38054</v>
      </c>
      <c r="B10504" s="485" t="s">
        <v>10394</v>
      </c>
      <c r="C10504" s="484" t="s">
        <v>71</v>
      </c>
      <c r="D10504" s="486">
        <v>14.91</v>
      </c>
      <c r="E10504" s="486">
        <v>14.91</v>
      </c>
    </row>
    <row r="10505" spans="1:5" ht="45">
      <c r="A10505" s="349">
        <v>38052</v>
      </c>
      <c r="B10505" s="348" t="s">
        <v>10395</v>
      </c>
      <c r="C10505" s="349" t="s">
        <v>71</v>
      </c>
      <c r="D10505" s="483">
        <v>4.2</v>
      </c>
      <c r="E10505" s="483">
        <v>4.2</v>
      </c>
    </row>
    <row r="10506" spans="1:5" ht="45">
      <c r="A10506" s="484">
        <v>38051</v>
      </c>
      <c r="B10506" s="485" t="s">
        <v>10396</v>
      </c>
      <c r="C10506" s="484" t="s">
        <v>71</v>
      </c>
      <c r="D10506" s="486">
        <v>2.62</v>
      </c>
      <c r="E10506" s="486">
        <v>2.62</v>
      </c>
    </row>
    <row r="10507" spans="1:5">
      <c r="A10507" s="349">
        <v>9836</v>
      </c>
      <c r="B10507" s="348" t="s">
        <v>10413</v>
      </c>
      <c r="C10507" s="349" t="s">
        <v>71</v>
      </c>
      <c r="D10507" s="483">
        <v>9.0500000000000007</v>
      </c>
      <c r="E10507" s="483">
        <v>9.0500000000000007</v>
      </c>
    </row>
    <row r="10508" spans="1:5">
      <c r="A10508" s="484">
        <v>20065</v>
      </c>
      <c r="B10508" s="485" t="s">
        <v>10414</v>
      </c>
      <c r="C10508" s="484" t="s">
        <v>71</v>
      </c>
      <c r="D10508" s="486">
        <v>21.46</v>
      </c>
      <c r="E10508" s="486">
        <v>21.46</v>
      </c>
    </row>
    <row r="10509" spans="1:5">
      <c r="A10509" s="349">
        <v>9835</v>
      </c>
      <c r="B10509" s="348" t="s">
        <v>10415</v>
      </c>
      <c r="C10509" s="349" t="s">
        <v>71</v>
      </c>
      <c r="D10509" s="483">
        <v>3.43</v>
      </c>
      <c r="E10509" s="483">
        <v>3.43</v>
      </c>
    </row>
    <row r="10510" spans="1:5">
      <c r="A10510" s="484">
        <v>38032</v>
      </c>
      <c r="B10510" s="485" t="s">
        <v>10418</v>
      </c>
      <c r="C10510" s="484" t="s">
        <v>71</v>
      </c>
      <c r="D10510" s="486">
        <v>35.14</v>
      </c>
      <c r="E10510" s="486">
        <v>35.14</v>
      </c>
    </row>
    <row r="10511" spans="1:5">
      <c r="A10511" s="349">
        <v>38033</v>
      </c>
      <c r="B10511" s="348" t="s">
        <v>10419</v>
      </c>
      <c r="C10511" s="349" t="s">
        <v>71</v>
      </c>
      <c r="D10511" s="483">
        <v>55.32</v>
      </c>
      <c r="E10511" s="483">
        <v>55.32</v>
      </c>
    </row>
    <row r="10512" spans="1:5">
      <c r="A10512" s="484">
        <v>38034</v>
      </c>
      <c r="B10512" s="485" t="s">
        <v>10420</v>
      </c>
      <c r="C10512" s="484" t="s">
        <v>71</v>
      </c>
      <c r="D10512" s="486">
        <v>93.47</v>
      </c>
      <c r="E10512" s="486">
        <v>93.47</v>
      </c>
    </row>
    <row r="10513" spans="1:5">
      <c r="A10513" s="349">
        <v>38035</v>
      </c>
      <c r="B10513" s="348" t="s">
        <v>10421</v>
      </c>
      <c r="C10513" s="349" t="s">
        <v>71</v>
      </c>
      <c r="D10513" s="483">
        <v>149.57</v>
      </c>
      <c r="E10513" s="483">
        <v>149.57</v>
      </c>
    </row>
    <row r="10514" spans="1:5">
      <c r="A10514" s="484">
        <v>38036</v>
      </c>
      <c r="B10514" s="485" t="s">
        <v>10422</v>
      </c>
      <c r="C10514" s="484" t="s">
        <v>71</v>
      </c>
      <c r="D10514" s="486">
        <v>221.26</v>
      </c>
      <c r="E10514" s="486">
        <v>221.26</v>
      </c>
    </row>
    <row r="10515" spans="1:5">
      <c r="A10515" s="349">
        <v>38037</v>
      </c>
      <c r="B10515" s="348" t="s">
        <v>10423</v>
      </c>
      <c r="C10515" s="349" t="s">
        <v>71</v>
      </c>
      <c r="D10515" s="483">
        <v>261.57</v>
      </c>
      <c r="E10515" s="483">
        <v>261.57</v>
      </c>
    </row>
    <row r="10516" spans="1:5" ht="30">
      <c r="A10516" s="484">
        <v>9850</v>
      </c>
      <c r="B10516" s="485" t="s">
        <v>10427</v>
      </c>
      <c r="C10516" s="484" t="s">
        <v>71</v>
      </c>
      <c r="D10516" s="486">
        <v>105</v>
      </c>
      <c r="E10516" s="486">
        <v>105</v>
      </c>
    </row>
    <row r="10517" spans="1:5" ht="30">
      <c r="A10517" s="349">
        <v>9853</v>
      </c>
      <c r="B10517" s="348" t="s">
        <v>10428</v>
      </c>
      <c r="C10517" s="349" t="s">
        <v>71</v>
      </c>
      <c r="D10517" s="483">
        <v>186.72</v>
      </c>
      <c r="E10517" s="483">
        <v>186.72</v>
      </c>
    </row>
    <row r="10518" spans="1:5" ht="30">
      <c r="A10518" s="484">
        <v>9854</v>
      </c>
      <c r="B10518" s="485" t="s">
        <v>10429</v>
      </c>
      <c r="C10518" s="484" t="s">
        <v>71</v>
      </c>
      <c r="D10518" s="486">
        <v>81.81</v>
      </c>
      <c r="E10518" s="486">
        <v>81.81</v>
      </c>
    </row>
    <row r="10519" spans="1:5" ht="30">
      <c r="A10519" s="349">
        <v>9851</v>
      </c>
      <c r="B10519" s="348" t="s">
        <v>10430</v>
      </c>
      <c r="C10519" s="349" t="s">
        <v>71</v>
      </c>
      <c r="D10519" s="483">
        <v>141.86000000000001</v>
      </c>
      <c r="E10519" s="483">
        <v>141.86000000000001</v>
      </c>
    </row>
    <row r="10520" spans="1:5" ht="30">
      <c r="A10520" s="484">
        <v>9855</v>
      </c>
      <c r="B10520" s="485" t="s">
        <v>10431</v>
      </c>
      <c r="C10520" s="484" t="s">
        <v>71</v>
      </c>
      <c r="D10520" s="486">
        <v>237.28</v>
      </c>
      <c r="E10520" s="486">
        <v>237.28</v>
      </c>
    </row>
    <row r="10521" spans="1:5">
      <c r="A10521" s="349">
        <v>9825</v>
      </c>
      <c r="B10521" s="348" t="s">
        <v>10432</v>
      </c>
      <c r="C10521" s="349" t="s">
        <v>71</v>
      </c>
      <c r="D10521" s="483">
        <v>31.8</v>
      </c>
      <c r="E10521" s="483">
        <v>31.8</v>
      </c>
    </row>
    <row r="10522" spans="1:5">
      <c r="A10522" s="484">
        <v>9828</v>
      </c>
      <c r="B10522" s="485" t="s">
        <v>10433</v>
      </c>
      <c r="C10522" s="484" t="s">
        <v>71</v>
      </c>
      <c r="D10522" s="486">
        <v>62</v>
      </c>
      <c r="E10522" s="486">
        <v>62</v>
      </c>
    </row>
    <row r="10523" spans="1:5">
      <c r="A10523" s="349">
        <v>9829</v>
      </c>
      <c r="B10523" s="348" t="s">
        <v>10434</v>
      </c>
      <c r="C10523" s="349" t="s">
        <v>71</v>
      </c>
      <c r="D10523" s="483">
        <v>110.37</v>
      </c>
      <c r="E10523" s="483">
        <v>110.37</v>
      </c>
    </row>
    <row r="10524" spans="1:5">
      <c r="A10524" s="484">
        <v>9826</v>
      </c>
      <c r="B10524" s="485" t="s">
        <v>10435</v>
      </c>
      <c r="C10524" s="484" t="s">
        <v>71</v>
      </c>
      <c r="D10524" s="486">
        <v>163.74</v>
      </c>
      <c r="E10524" s="486">
        <v>163.74</v>
      </c>
    </row>
    <row r="10525" spans="1:5">
      <c r="A10525" s="349">
        <v>9827</v>
      </c>
      <c r="B10525" s="348" t="s">
        <v>10436</v>
      </c>
      <c r="C10525" s="349" t="s">
        <v>71</v>
      </c>
      <c r="D10525" s="483">
        <v>237.98</v>
      </c>
      <c r="E10525" s="483">
        <v>237.98</v>
      </c>
    </row>
    <row r="10526" spans="1:5">
      <c r="A10526" s="484">
        <v>36374</v>
      </c>
      <c r="B10526" s="485" t="s">
        <v>10439</v>
      </c>
      <c r="C10526" s="484" t="s">
        <v>71</v>
      </c>
      <c r="D10526" s="486">
        <v>33.44</v>
      </c>
      <c r="E10526" s="486">
        <v>33.44</v>
      </c>
    </row>
    <row r="10527" spans="1:5">
      <c r="A10527" s="349">
        <v>36084</v>
      </c>
      <c r="B10527" s="348" t="s">
        <v>10440</v>
      </c>
      <c r="C10527" s="349" t="s">
        <v>71</v>
      </c>
      <c r="D10527" s="483">
        <v>10.08</v>
      </c>
      <c r="E10527" s="483">
        <v>10.08</v>
      </c>
    </row>
    <row r="10528" spans="1:5">
      <c r="A10528" s="484">
        <v>36373</v>
      </c>
      <c r="B10528" s="485" t="s">
        <v>10441</v>
      </c>
      <c r="C10528" s="484" t="s">
        <v>71</v>
      </c>
      <c r="D10528" s="486">
        <v>20.46</v>
      </c>
      <c r="E10528" s="486">
        <v>20.46</v>
      </c>
    </row>
    <row r="10529" spans="1:5">
      <c r="A10529" s="349">
        <v>36377</v>
      </c>
      <c r="B10529" s="348" t="s">
        <v>10442</v>
      </c>
      <c r="C10529" s="349" t="s">
        <v>71</v>
      </c>
      <c r="D10529" s="483">
        <v>38.97</v>
      </c>
      <c r="E10529" s="483">
        <v>38.97</v>
      </c>
    </row>
    <row r="10530" spans="1:5">
      <c r="A10530" s="484">
        <v>36375</v>
      </c>
      <c r="B10530" s="485" t="s">
        <v>10443</v>
      </c>
      <c r="C10530" s="484" t="s">
        <v>71</v>
      </c>
      <c r="D10530" s="486">
        <v>11.57</v>
      </c>
      <c r="E10530" s="486">
        <v>11.57</v>
      </c>
    </row>
    <row r="10531" spans="1:5">
      <c r="A10531" s="349">
        <v>36376</v>
      </c>
      <c r="B10531" s="348" t="s">
        <v>10444</v>
      </c>
      <c r="C10531" s="349" t="s">
        <v>71</v>
      </c>
      <c r="D10531" s="483">
        <v>23.15</v>
      </c>
      <c r="E10531" s="483">
        <v>23.15</v>
      </c>
    </row>
    <row r="10532" spans="1:5">
      <c r="A10532" s="484">
        <v>36380</v>
      </c>
      <c r="B10532" s="485" t="s">
        <v>10445</v>
      </c>
      <c r="C10532" s="484" t="s">
        <v>71</v>
      </c>
      <c r="D10532" s="486">
        <v>50.91</v>
      </c>
      <c r="E10532" s="486">
        <v>50.91</v>
      </c>
    </row>
    <row r="10533" spans="1:5">
      <c r="A10533" s="349">
        <v>36378</v>
      </c>
      <c r="B10533" s="348" t="s">
        <v>10446</v>
      </c>
      <c r="C10533" s="349" t="s">
        <v>71</v>
      </c>
      <c r="D10533" s="483">
        <v>15.31</v>
      </c>
      <c r="E10533" s="483">
        <v>15.31</v>
      </c>
    </row>
    <row r="10534" spans="1:5">
      <c r="A10534" s="484">
        <v>36379</v>
      </c>
      <c r="B10534" s="485" t="s">
        <v>10447</v>
      </c>
      <c r="C10534" s="484" t="s">
        <v>71</v>
      </c>
      <c r="D10534" s="486">
        <v>30.82</v>
      </c>
      <c r="E10534" s="486">
        <v>30.82</v>
      </c>
    </row>
    <row r="10535" spans="1:5">
      <c r="A10535" s="349">
        <v>9847</v>
      </c>
      <c r="B10535" s="348" t="s">
        <v>10448</v>
      </c>
      <c r="C10535" s="349" t="s">
        <v>71</v>
      </c>
      <c r="D10535" s="483">
        <v>33.78</v>
      </c>
      <c r="E10535" s="483">
        <v>33.78</v>
      </c>
    </row>
    <row r="10536" spans="1:5">
      <c r="A10536" s="484">
        <v>9844</v>
      </c>
      <c r="B10536" s="485" t="s">
        <v>10449</v>
      </c>
      <c r="C10536" s="484" t="s">
        <v>71</v>
      </c>
      <c r="D10536" s="486">
        <v>10.08</v>
      </c>
      <c r="E10536" s="486">
        <v>10.08</v>
      </c>
    </row>
    <row r="10537" spans="1:5">
      <c r="A10537" s="349">
        <v>9846</v>
      </c>
      <c r="B10537" s="348" t="s">
        <v>10450</v>
      </c>
      <c r="C10537" s="349" t="s">
        <v>71</v>
      </c>
      <c r="D10537" s="483">
        <v>20.61</v>
      </c>
      <c r="E10537" s="483">
        <v>20.61</v>
      </c>
    </row>
    <row r="10538" spans="1:5">
      <c r="A10538" s="484">
        <v>12592</v>
      </c>
      <c r="B10538" s="485" t="s">
        <v>10451</v>
      </c>
      <c r="C10538" s="484" t="s">
        <v>71</v>
      </c>
      <c r="D10538" s="486">
        <v>40.619999999999997</v>
      </c>
      <c r="E10538" s="486">
        <v>40.619999999999997</v>
      </c>
    </row>
    <row r="10539" spans="1:5">
      <c r="A10539" s="349">
        <v>12599</v>
      </c>
      <c r="B10539" s="348" t="s">
        <v>10452</v>
      </c>
      <c r="C10539" s="349" t="s">
        <v>71</v>
      </c>
      <c r="D10539" s="483">
        <v>12.03</v>
      </c>
      <c r="E10539" s="483">
        <v>12.03</v>
      </c>
    </row>
    <row r="10540" spans="1:5">
      <c r="A10540" s="484">
        <v>12601</v>
      </c>
      <c r="B10540" s="485" t="s">
        <v>10453</v>
      </c>
      <c r="C10540" s="484" t="s">
        <v>71</v>
      </c>
      <c r="D10540" s="486">
        <v>22.61</v>
      </c>
      <c r="E10540" s="486">
        <v>22.61</v>
      </c>
    </row>
    <row r="10541" spans="1:5">
      <c r="A10541" s="349">
        <v>12602</v>
      </c>
      <c r="B10541" s="348" t="s">
        <v>10454</v>
      </c>
      <c r="C10541" s="349" t="s">
        <v>71</v>
      </c>
      <c r="D10541" s="483">
        <v>51.3</v>
      </c>
      <c r="E10541" s="483">
        <v>51.3</v>
      </c>
    </row>
    <row r="10542" spans="1:5">
      <c r="A10542" s="484">
        <v>12609</v>
      </c>
      <c r="B10542" s="485" t="s">
        <v>10455</v>
      </c>
      <c r="C10542" s="484" t="s">
        <v>71</v>
      </c>
      <c r="D10542" s="486">
        <v>15.24</v>
      </c>
      <c r="E10542" s="486">
        <v>15.24</v>
      </c>
    </row>
    <row r="10543" spans="1:5">
      <c r="A10543" s="349">
        <v>12611</v>
      </c>
      <c r="B10543" s="348" t="s">
        <v>10456</v>
      </c>
      <c r="C10543" s="349" t="s">
        <v>71</v>
      </c>
      <c r="D10543" s="483">
        <v>30.68</v>
      </c>
      <c r="E10543" s="483">
        <v>30.68</v>
      </c>
    </row>
    <row r="10544" spans="1:5">
      <c r="A10544" s="484">
        <v>9859</v>
      </c>
      <c r="B10544" s="485" t="s">
        <v>10457</v>
      </c>
      <c r="C10544" s="484" t="s">
        <v>71</v>
      </c>
      <c r="D10544" s="486">
        <v>6.25</v>
      </c>
      <c r="E10544" s="486">
        <v>6.25</v>
      </c>
    </row>
    <row r="10545" spans="1:5" ht="43.5" customHeight="1">
      <c r="A10545" s="349">
        <v>9838</v>
      </c>
      <c r="B10545" s="348" t="s">
        <v>10458</v>
      </c>
      <c r="C10545" s="349" t="s">
        <v>71</v>
      </c>
      <c r="D10545" s="483">
        <v>5.89</v>
      </c>
      <c r="E10545" s="483">
        <v>5.89</v>
      </c>
    </row>
    <row r="10546" spans="1:5" ht="43.5" customHeight="1">
      <c r="A10546" s="484">
        <v>9837</v>
      </c>
      <c r="B10546" s="485" t="s">
        <v>10459</v>
      </c>
      <c r="C10546" s="484" t="s">
        <v>71</v>
      </c>
      <c r="D10546" s="486">
        <v>7.97</v>
      </c>
      <c r="E10546" s="486">
        <v>7.97</v>
      </c>
    </row>
    <row r="10547" spans="1:5" ht="30">
      <c r="A10547" s="349">
        <v>9833</v>
      </c>
      <c r="B10547" s="348" t="s">
        <v>10460</v>
      </c>
      <c r="C10547" s="349" t="s">
        <v>71</v>
      </c>
      <c r="D10547" s="483">
        <v>7.85</v>
      </c>
      <c r="E10547" s="483">
        <v>7.85</v>
      </c>
    </row>
    <row r="10548" spans="1:5" ht="43.5" customHeight="1">
      <c r="A10548" s="484">
        <v>9830</v>
      </c>
      <c r="B10548" s="485" t="s">
        <v>10461</v>
      </c>
      <c r="C10548" s="484" t="s">
        <v>71</v>
      </c>
      <c r="D10548" s="486">
        <v>4.2</v>
      </c>
      <c r="E10548" s="486">
        <v>4.2</v>
      </c>
    </row>
    <row r="10549" spans="1:5" ht="43.5" customHeight="1">
      <c r="A10549" s="349">
        <v>9841</v>
      </c>
      <c r="B10549" s="348" t="s">
        <v>10463</v>
      </c>
      <c r="C10549" s="349" t="s">
        <v>71</v>
      </c>
      <c r="D10549" s="483">
        <v>17.37</v>
      </c>
      <c r="E10549" s="483">
        <v>17.37</v>
      </c>
    </row>
    <row r="10550" spans="1:5" s="25" customFormat="1" ht="43.5" customHeight="1">
      <c r="A10550" s="606" t="s">
        <v>20546</v>
      </c>
      <c r="B10550" s="605" t="s">
        <v>10463</v>
      </c>
      <c r="C10550" s="606" t="s">
        <v>71</v>
      </c>
      <c r="D10550" s="607">
        <v>17.37</v>
      </c>
      <c r="E10550" s="483"/>
    </row>
    <row r="10551" spans="1:5">
      <c r="A10551" s="484">
        <v>9840</v>
      </c>
      <c r="B10551" s="485" t="s">
        <v>10464</v>
      </c>
      <c r="C10551" s="484" t="s">
        <v>71</v>
      </c>
      <c r="D10551" s="486">
        <v>36.130000000000003</v>
      </c>
      <c r="E10551" s="486">
        <v>36.130000000000003</v>
      </c>
    </row>
    <row r="10552" spans="1:5">
      <c r="A10552" s="349">
        <v>20067</v>
      </c>
      <c r="B10552" s="348" t="s">
        <v>10465</v>
      </c>
      <c r="C10552" s="349" t="s">
        <v>71</v>
      </c>
      <c r="D10552" s="483">
        <v>6.23</v>
      </c>
      <c r="E10552" s="483">
        <v>6.23</v>
      </c>
    </row>
    <row r="10553" spans="1:5">
      <c r="A10553" s="484">
        <v>20068</v>
      </c>
      <c r="B10553" s="485" t="s">
        <v>10466</v>
      </c>
      <c r="C10553" s="484" t="s">
        <v>71</v>
      </c>
      <c r="D10553" s="486">
        <v>8.2899999999999991</v>
      </c>
      <c r="E10553" s="486">
        <v>8.2899999999999991</v>
      </c>
    </row>
    <row r="10554" spans="1:5">
      <c r="A10554" s="349">
        <v>9839</v>
      </c>
      <c r="B10554" s="348" t="s">
        <v>10467</v>
      </c>
      <c r="C10554" s="349" t="s">
        <v>71</v>
      </c>
      <c r="D10554" s="483">
        <v>10.55</v>
      </c>
      <c r="E10554" s="483">
        <v>10.55</v>
      </c>
    </row>
    <row r="10555" spans="1:5">
      <c r="A10555" s="484">
        <v>20072</v>
      </c>
      <c r="B10555" s="485" t="s">
        <v>10468</v>
      </c>
      <c r="C10555" s="484" t="s">
        <v>71</v>
      </c>
      <c r="D10555" s="486">
        <v>18.100000000000001</v>
      </c>
      <c r="E10555" s="486">
        <v>18.100000000000001</v>
      </c>
    </row>
    <row r="10556" spans="1:5">
      <c r="A10556" s="349">
        <v>20073</v>
      </c>
      <c r="B10556" s="348" t="s">
        <v>10469</v>
      </c>
      <c r="C10556" s="349" t="s">
        <v>71</v>
      </c>
      <c r="D10556" s="483">
        <v>37.450000000000003</v>
      </c>
      <c r="E10556" s="483">
        <v>37.450000000000003</v>
      </c>
    </row>
    <row r="10557" spans="1:5">
      <c r="A10557" s="484">
        <v>20069</v>
      </c>
      <c r="B10557" s="485" t="s">
        <v>10470</v>
      </c>
      <c r="C10557" s="484" t="s">
        <v>71</v>
      </c>
      <c r="D10557" s="486">
        <v>6.66</v>
      </c>
      <c r="E10557" s="486">
        <v>6.66</v>
      </c>
    </row>
    <row r="10558" spans="1:5">
      <c r="A10558" s="349">
        <v>20070</v>
      </c>
      <c r="B10558" s="348" t="s">
        <v>10471</v>
      </c>
      <c r="C10558" s="349" t="s">
        <v>71</v>
      </c>
      <c r="D10558" s="483">
        <v>8.44</v>
      </c>
      <c r="E10558" s="483">
        <v>8.44</v>
      </c>
    </row>
    <row r="10559" spans="1:5">
      <c r="A10559" s="484">
        <v>20071</v>
      </c>
      <c r="B10559" s="485" t="s">
        <v>10472</v>
      </c>
      <c r="C10559" s="484" t="s">
        <v>71</v>
      </c>
      <c r="D10559" s="486">
        <v>10.77</v>
      </c>
      <c r="E10559" s="486">
        <v>10.77</v>
      </c>
    </row>
    <row r="10560" spans="1:5" ht="30">
      <c r="A10560" s="349">
        <v>9834</v>
      </c>
      <c r="B10560" s="348" t="s">
        <v>10473</v>
      </c>
      <c r="C10560" s="349" t="s">
        <v>71</v>
      </c>
      <c r="D10560" s="483">
        <v>21.84</v>
      </c>
      <c r="E10560" s="483">
        <v>21.84</v>
      </c>
    </row>
    <row r="10561" spans="1:5">
      <c r="A10561" s="484">
        <v>9863</v>
      </c>
      <c r="B10561" s="485" t="s">
        <v>10474</v>
      </c>
      <c r="C10561" s="484" t="s">
        <v>71</v>
      </c>
      <c r="D10561" s="486">
        <v>48.09</v>
      </c>
      <c r="E10561" s="486">
        <v>48.09</v>
      </c>
    </row>
    <row r="10562" spans="1:5">
      <c r="A10562" s="349">
        <v>9860</v>
      </c>
      <c r="B10562" s="348" t="s">
        <v>10475</v>
      </c>
      <c r="C10562" s="349" t="s">
        <v>71</v>
      </c>
      <c r="D10562" s="483">
        <v>28.92</v>
      </c>
      <c r="E10562" s="483">
        <v>28.92</v>
      </c>
    </row>
    <row r="10563" spans="1:5">
      <c r="A10563" s="484">
        <v>9862</v>
      </c>
      <c r="B10563" s="485" t="s">
        <v>10476</v>
      </c>
      <c r="C10563" s="484" t="s">
        <v>71</v>
      </c>
      <c r="D10563" s="486">
        <v>20.21</v>
      </c>
      <c r="E10563" s="486">
        <v>20.21</v>
      </c>
    </row>
    <row r="10564" spans="1:5">
      <c r="A10564" s="349">
        <v>9861</v>
      </c>
      <c r="B10564" s="348" t="s">
        <v>10477</v>
      </c>
      <c r="C10564" s="349" t="s">
        <v>71</v>
      </c>
      <c r="D10564" s="483">
        <v>16.25</v>
      </c>
      <c r="E10564" s="483">
        <v>16.25</v>
      </c>
    </row>
    <row r="10565" spans="1:5">
      <c r="A10565" s="484">
        <v>9856</v>
      </c>
      <c r="B10565" s="485" t="s">
        <v>10479</v>
      </c>
      <c r="C10565" s="484" t="s">
        <v>71</v>
      </c>
      <c r="D10565" s="486">
        <v>4.6100000000000003</v>
      </c>
      <c r="E10565" s="486">
        <v>4.6100000000000003</v>
      </c>
    </row>
    <row r="10566" spans="1:5">
      <c r="A10566" s="349">
        <v>9866</v>
      </c>
      <c r="B10566" s="348" t="s">
        <v>10478</v>
      </c>
      <c r="C10566" s="349" t="s">
        <v>71</v>
      </c>
      <c r="D10566" s="483">
        <v>12.21</v>
      </c>
      <c r="E10566" s="483">
        <v>12.21</v>
      </c>
    </row>
    <row r="10567" spans="1:5">
      <c r="A10567" s="484">
        <v>9857</v>
      </c>
      <c r="B10567" s="485" t="s">
        <v>10480</v>
      </c>
      <c r="C10567" s="484" t="s">
        <v>71</v>
      </c>
      <c r="D10567" s="486">
        <v>62.34</v>
      </c>
      <c r="E10567" s="486">
        <v>62.34</v>
      </c>
    </row>
    <row r="10568" spans="1:5">
      <c r="A10568" s="349">
        <v>9864</v>
      </c>
      <c r="B10568" s="348" t="s">
        <v>10481</v>
      </c>
      <c r="C10568" s="349" t="s">
        <v>71</v>
      </c>
      <c r="D10568" s="483">
        <v>73.62</v>
      </c>
      <c r="E10568" s="483">
        <v>73.62</v>
      </c>
    </row>
    <row r="10569" spans="1:5">
      <c r="A10569" s="484">
        <v>9865</v>
      </c>
      <c r="B10569" s="485" t="s">
        <v>10482</v>
      </c>
      <c r="C10569" s="484" t="s">
        <v>71</v>
      </c>
      <c r="D10569" s="486">
        <v>104.89</v>
      </c>
      <c r="E10569" s="486">
        <v>104.89</v>
      </c>
    </row>
    <row r="10570" spans="1:5">
      <c r="A10570" s="349">
        <v>9858</v>
      </c>
      <c r="B10570" s="348" t="s">
        <v>10483</v>
      </c>
      <c r="C10570" s="349" t="s">
        <v>71</v>
      </c>
      <c r="D10570" s="483">
        <v>121.27</v>
      </c>
      <c r="E10570" s="483">
        <v>121.27</v>
      </c>
    </row>
    <row r="10571" spans="1:5">
      <c r="A10571" s="484">
        <v>9870</v>
      </c>
      <c r="B10571" s="485" t="s">
        <v>10500</v>
      </c>
      <c r="C10571" s="484" t="s">
        <v>71</v>
      </c>
      <c r="D10571" s="486">
        <v>56.73</v>
      </c>
      <c r="E10571" s="486">
        <v>56.73</v>
      </c>
    </row>
    <row r="10572" spans="1:5">
      <c r="A10572" s="349">
        <v>9867</v>
      </c>
      <c r="B10572" s="348" t="s">
        <v>10501</v>
      </c>
      <c r="C10572" s="349" t="s">
        <v>71</v>
      </c>
      <c r="D10572" s="483">
        <v>2.37</v>
      </c>
      <c r="E10572" s="483">
        <v>2.37</v>
      </c>
    </row>
    <row r="10573" spans="1:5">
      <c r="A10573" s="484">
        <v>9868</v>
      </c>
      <c r="B10573" s="485" t="s">
        <v>10502</v>
      </c>
      <c r="C10573" s="484" t="s">
        <v>71</v>
      </c>
      <c r="D10573" s="486">
        <v>3.15</v>
      </c>
      <c r="E10573" s="486">
        <v>3.15</v>
      </c>
    </row>
    <row r="10574" spans="1:5">
      <c r="A10574" s="349">
        <v>9869</v>
      </c>
      <c r="B10574" s="348" t="s">
        <v>10503</v>
      </c>
      <c r="C10574" s="349" t="s">
        <v>71</v>
      </c>
      <c r="D10574" s="483">
        <v>6.75</v>
      </c>
      <c r="E10574" s="483">
        <v>6.75</v>
      </c>
    </row>
    <row r="10575" spans="1:5">
      <c r="A10575" s="484">
        <v>9874</v>
      </c>
      <c r="B10575" s="485" t="s">
        <v>10504</v>
      </c>
      <c r="C10575" s="484" t="s">
        <v>71</v>
      </c>
      <c r="D10575" s="486">
        <v>9.85</v>
      </c>
      <c r="E10575" s="486">
        <v>9.85</v>
      </c>
    </row>
    <row r="10576" spans="1:5">
      <c r="A10576" s="349">
        <v>9875</v>
      </c>
      <c r="B10576" s="348" t="s">
        <v>10505</v>
      </c>
      <c r="C10576" s="349" t="s">
        <v>71</v>
      </c>
      <c r="D10576" s="483">
        <v>12.21</v>
      </c>
      <c r="E10576" s="483">
        <v>12.21</v>
      </c>
    </row>
    <row r="10577" spans="1:5">
      <c r="A10577" s="484">
        <v>9873</v>
      </c>
      <c r="B10577" s="485" t="s">
        <v>10506</v>
      </c>
      <c r="C10577" s="484" t="s">
        <v>71</v>
      </c>
      <c r="D10577" s="486">
        <v>19.03</v>
      </c>
      <c r="E10577" s="486">
        <v>19.03</v>
      </c>
    </row>
    <row r="10578" spans="1:5">
      <c r="A10578" s="349">
        <v>9871</v>
      </c>
      <c r="B10578" s="348" t="s">
        <v>10507</v>
      </c>
      <c r="C10578" s="349" t="s">
        <v>71</v>
      </c>
      <c r="D10578" s="483">
        <v>26.69</v>
      </c>
      <c r="E10578" s="483">
        <v>26.69</v>
      </c>
    </row>
    <row r="10579" spans="1:5">
      <c r="A10579" s="484">
        <v>9872</v>
      </c>
      <c r="B10579" s="485" t="s">
        <v>10508</v>
      </c>
      <c r="C10579" s="484" t="s">
        <v>71</v>
      </c>
      <c r="D10579" s="486">
        <v>33.64</v>
      </c>
      <c r="E10579" s="486">
        <v>33.64</v>
      </c>
    </row>
    <row r="10580" spans="1:5">
      <c r="A10580" s="349">
        <v>12426</v>
      </c>
      <c r="B10580" s="348" t="s">
        <v>11597</v>
      </c>
      <c r="C10580" s="349" t="s">
        <v>65</v>
      </c>
      <c r="D10580" s="483">
        <v>22.42</v>
      </c>
      <c r="E10580" s="483">
        <v>22.42</v>
      </c>
    </row>
    <row r="10581" spans="1:5">
      <c r="A10581" s="484">
        <v>12425</v>
      </c>
      <c r="B10581" s="485" t="s">
        <v>11598</v>
      </c>
      <c r="C10581" s="484" t="s">
        <v>65</v>
      </c>
      <c r="D10581" s="486">
        <v>30.8</v>
      </c>
      <c r="E10581" s="486">
        <v>30.8</v>
      </c>
    </row>
    <row r="10582" spans="1:5">
      <c r="A10582" s="349">
        <v>12427</v>
      </c>
      <c r="B10582" s="348" t="s">
        <v>11599</v>
      </c>
      <c r="C10582" s="349" t="s">
        <v>65</v>
      </c>
      <c r="D10582" s="483">
        <v>127.86</v>
      </c>
      <c r="E10582" s="483">
        <v>127.86</v>
      </c>
    </row>
    <row r="10583" spans="1:5">
      <c r="A10583" s="484">
        <v>12428</v>
      </c>
      <c r="B10583" s="485" t="s">
        <v>11600</v>
      </c>
      <c r="C10583" s="484" t="s">
        <v>65</v>
      </c>
      <c r="D10583" s="486">
        <v>82.07</v>
      </c>
      <c r="E10583" s="486">
        <v>82.07</v>
      </c>
    </row>
    <row r="10584" spans="1:5">
      <c r="A10584" s="349">
        <v>12430</v>
      </c>
      <c r="B10584" s="348" t="s">
        <v>11601</v>
      </c>
      <c r="C10584" s="349" t="s">
        <v>65</v>
      </c>
      <c r="D10584" s="483">
        <v>27.49</v>
      </c>
      <c r="E10584" s="483">
        <v>27.49</v>
      </c>
    </row>
    <row r="10585" spans="1:5">
      <c r="A10585" s="484">
        <v>12429</v>
      </c>
      <c r="B10585" s="485" t="s">
        <v>11602</v>
      </c>
      <c r="C10585" s="484" t="s">
        <v>65</v>
      </c>
      <c r="D10585" s="486">
        <v>206.75</v>
      </c>
      <c r="E10585" s="486">
        <v>206.75</v>
      </c>
    </row>
    <row r="10586" spans="1:5">
      <c r="A10586" s="349">
        <v>12431</v>
      </c>
      <c r="B10586" s="348" t="s">
        <v>11603</v>
      </c>
      <c r="C10586" s="349" t="s">
        <v>65</v>
      </c>
      <c r="D10586" s="483">
        <v>351.86</v>
      </c>
      <c r="E10586" s="483">
        <v>351.86</v>
      </c>
    </row>
    <row r="10587" spans="1:5">
      <c r="A10587" s="484">
        <v>12432</v>
      </c>
      <c r="B10587" s="485" t="s">
        <v>11604</v>
      </c>
      <c r="C10587" s="484" t="s">
        <v>65</v>
      </c>
      <c r="D10587" s="486">
        <v>72.36</v>
      </c>
      <c r="E10587" s="486">
        <v>72.36</v>
      </c>
    </row>
    <row r="10588" spans="1:5">
      <c r="A10588" s="349">
        <v>12434</v>
      </c>
      <c r="B10588" s="348" t="s">
        <v>11605</v>
      </c>
      <c r="C10588" s="349" t="s">
        <v>65</v>
      </c>
      <c r="D10588" s="483">
        <v>23.58</v>
      </c>
      <c r="E10588" s="483">
        <v>23.58</v>
      </c>
    </row>
    <row r="10589" spans="1:5">
      <c r="A10589" s="484">
        <v>12433</v>
      </c>
      <c r="B10589" s="485" t="s">
        <v>11606</v>
      </c>
      <c r="C10589" s="484" t="s">
        <v>65</v>
      </c>
      <c r="D10589" s="486">
        <v>46.07</v>
      </c>
      <c r="E10589" s="486">
        <v>46.07</v>
      </c>
    </row>
    <row r="10590" spans="1:5">
      <c r="A10590" s="349">
        <v>12435</v>
      </c>
      <c r="B10590" s="348" t="s">
        <v>11607</v>
      </c>
      <c r="C10590" s="349" t="s">
        <v>65</v>
      </c>
      <c r="D10590" s="483">
        <v>142.57</v>
      </c>
      <c r="E10590" s="483">
        <v>142.57</v>
      </c>
    </row>
    <row r="10591" spans="1:5">
      <c r="A10591" s="484">
        <v>12437</v>
      </c>
      <c r="B10591" s="485" t="s">
        <v>11608</v>
      </c>
      <c r="C10591" s="484" t="s">
        <v>65</v>
      </c>
      <c r="D10591" s="486">
        <v>115.14</v>
      </c>
      <c r="E10591" s="486">
        <v>115.14</v>
      </c>
    </row>
    <row r="10592" spans="1:5">
      <c r="A10592" s="349">
        <v>12439</v>
      </c>
      <c r="B10592" s="348" t="s">
        <v>11609</v>
      </c>
      <c r="C10592" s="349" t="s">
        <v>65</v>
      </c>
      <c r="D10592" s="483">
        <v>36.950000000000003</v>
      </c>
      <c r="E10592" s="483">
        <v>36.950000000000003</v>
      </c>
    </row>
    <row r="10593" spans="1:5">
      <c r="A10593" s="484">
        <v>12438</v>
      </c>
      <c r="B10593" s="485" t="s">
        <v>11610</v>
      </c>
      <c r="C10593" s="484" t="s">
        <v>65</v>
      </c>
      <c r="D10593" s="486">
        <v>208.38</v>
      </c>
      <c r="E10593" s="486">
        <v>208.38</v>
      </c>
    </row>
    <row r="10594" spans="1:5">
      <c r="A10594" s="349">
        <v>12436</v>
      </c>
      <c r="B10594" s="348" t="s">
        <v>11611</v>
      </c>
      <c r="C10594" s="349" t="s">
        <v>65</v>
      </c>
      <c r="D10594" s="483">
        <v>263.22000000000003</v>
      </c>
      <c r="E10594" s="483">
        <v>263.22000000000003</v>
      </c>
    </row>
    <row r="10595" spans="1:5">
      <c r="A10595" s="484">
        <v>12424</v>
      </c>
      <c r="B10595" s="485" t="s">
        <v>11612</v>
      </c>
      <c r="C10595" s="484" t="s">
        <v>65</v>
      </c>
      <c r="D10595" s="486">
        <v>47.43</v>
      </c>
      <c r="E10595" s="486">
        <v>47.43</v>
      </c>
    </row>
    <row r="10596" spans="1:5">
      <c r="A10596" s="349">
        <v>12440</v>
      </c>
      <c r="B10596" s="348" t="s">
        <v>11613</v>
      </c>
      <c r="C10596" s="349" t="s">
        <v>65</v>
      </c>
      <c r="D10596" s="483">
        <v>45.84</v>
      </c>
      <c r="E10596" s="483">
        <v>45.84</v>
      </c>
    </row>
    <row r="10597" spans="1:5">
      <c r="A10597" s="484">
        <v>9884</v>
      </c>
      <c r="B10597" s="485" t="s">
        <v>10552</v>
      </c>
      <c r="C10597" s="484" t="s">
        <v>65</v>
      </c>
      <c r="D10597" s="486">
        <v>34.19</v>
      </c>
      <c r="E10597" s="486">
        <v>34.19</v>
      </c>
    </row>
    <row r="10598" spans="1:5">
      <c r="A10598" s="349">
        <v>9888</v>
      </c>
      <c r="B10598" s="348" t="s">
        <v>10553</v>
      </c>
      <c r="C10598" s="349" t="s">
        <v>65</v>
      </c>
      <c r="D10598" s="483">
        <v>27.47</v>
      </c>
      <c r="E10598" s="483">
        <v>27.47</v>
      </c>
    </row>
    <row r="10599" spans="1:5">
      <c r="A10599" s="484">
        <v>9883</v>
      </c>
      <c r="B10599" s="485" t="s">
        <v>10555</v>
      </c>
      <c r="C10599" s="484" t="s">
        <v>65</v>
      </c>
      <c r="D10599" s="486">
        <v>11.99</v>
      </c>
      <c r="E10599" s="486">
        <v>11.99</v>
      </c>
    </row>
    <row r="10600" spans="1:5">
      <c r="A10600" s="349">
        <v>9886</v>
      </c>
      <c r="B10600" s="348" t="s">
        <v>10554</v>
      </c>
      <c r="C10600" s="349" t="s">
        <v>65</v>
      </c>
      <c r="D10600" s="483">
        <v>16.420000000000002</v>
      </c>
      <c r="E10600" s="483">
        <v>16.420000000000002</v>
      </c>
    </row>
    <row r="10601" spans="1:5">
      <c r="A10601" s="484">
        <v>9889</v>
      </c>
      <c r="B10601" s="485" t="s">
        <v>10556</v>
      </c>
      <c r="C10601" s="484" t="s">
        <v>65</v>
      </c>
      <c r="D10601" s="486">
        <v>83.2</v>
      </c>
      <c r="E10601" s="486">
        <v>83.2</v>
      </c>
    </row>
    <row r="10602" spans="1:5">
      <c r="A10602" s="349">
        <v>9887</v>
      </c>
      <c r="B10602" s="348" t="s">
        <v>10557</v>
      </c>
      <c r="C10602" s="349" t="s">
        <v>65</v>
      </c>
      <c r="D10602" s="483">
        <v>50.28</v>
      </c>
      <c r="E10602" s="483">
        <v>50.28</v>
      </c>
    </row>
    <row r="10603" spans="1:5">
      <c r="A10603" s="484">
        <v>9885</v>
      </c>
      <c r="B10603" s="485" t="s">
        <v>10559</v>
      </c>
      <c r="C10603" s="484" t="s">
        <v>65</v>
      </c>
      <c r="D10603" s="486">
        <v>15.87</v>
      </c>
      <c r="E10603" s="486">
        <v>15.87</v>
      </c>
    </row>
    <row r="10604" spans="1:5">
      <c r="A10604" s="349">
        <v>9890</v>
      </c>
      <c r="B10604" s="348" t="s">
        <v>10558</v>
      </c>
      <c r="C10604" s="349" t="s">
        <v>65</v>
      </c>
      <c r="D10604" s="483">
        <v>128.88999999999999</v>
      </c>
      <c r="E10604" s="483">
        <v>128.88999999999999</v>
      </c>
    </row>
    <row r="10605" spans="1:5">
      <c r="A10605" s="484">
        <v>9891</v>
      </c>
      <c r="B10605" s="485" t="s">
        <v>10560</v>
      </c>
      <c r="C10605" s="484" t="s">
        <v>65</v>
      </c>
      <c r="D10605" s="486">
        <v>180.94</v>
      </c>
      <c r="E10605" s="486">
        <v>180.94</v>
      </c>
    </row>
    <row r="10606" spans="1:5">
      <c r="A10606" s="349">
        <v>64</v>
      </c>
      <c r="B10606" s="348" t="s">
        <v>10561</v>
      </c>
      <c r="C10606" s="349" t="s">
        <v>65</v>
      </c>
      <c r="D10606" s="483">
        <v>2.37</v>
      </c>
      <c r="E10606" s="483">
        <v>2.37</v>
      </c>
    </row>
    <row r="10607" spans="1:5">
      <c r="A10607" s="484">
        <v>37423</v>
      </c>
      <c r="B10607" s="485" t="s">
        <v>10562</v>
      </c>
      <c r="C10607" s="484" t="s">
        <v>65</v>
      </c>
      <c r="D10607" s="486">
        <v>5.86</v>
      </c>
      <c r="E10607" s="486">
        <v>5.86</v>
      </c>
    </row>
    <row r="10608" spans="1:5">
      <c r="A10608" s="349">
        <v>9892</v>
      </c>
      <c r="B10608" s="348" t="s">
        <v>10563</v>
      </c>
      <c r="C10608" s="349" t="s">
        <v>65</v>
      </c>
      <c r="D10608" s="483">
        <v>5.47</v>
      </c>
      <c r="E10608" s="483">
        <v>5.47</v>
      </c>
    </row>
    <row r="10609" spans="1:5">
      <c r="A10609" s="484">
        <v>9893</v>
      </c>
      <c r="B10609" s="485" t="s">
        <v>10564</v>
      </c>
      <c r="C10609" s="484" t="s">
        <v>65</v>
      </c>
      <c r="D10609" s="486">
        <v>59.94</v>
      </c>
      <c r="E10609" s="486">
        <v>59.94</v>
      </c>
    </row>
    <row r="10610" spans="1:5">
      <c r="A10610" s="349">
        <v>9901</v>
      </c>
      <c r="B10610" s="348" t="s">
        <v>10565</v>
      </c>
      <c r="C10610" s="349" t="s">
        <v>65</v>
      </c>
      <c r="D10610" s="483">
        <v>26.37</v>
      </c>
      <c r="E10610" s="483">
        <v>26.37</v>
      </c>
    </row>
    <row r="10611" spans="1:5">
      <c r="A10611" s="484">
        <v>9896</v>
      </c>
      <c r="B10611" s="485" t="s">
        <v>10566</v>
      </c>
      <c r="C10611" s="484" t="s">
        <v>65</v>
      </c>
      <c r="D10611" s="486">
        <v>22.7</v>
      </c>
      <c r="E10611" s="486">
        <v>22.7</v>
      </c>
    </row>
    <row r="10612" spans="1:5">
      <c r="A10612" s="349">
        <v>9900</v>
      </c>
      <c r="B10612" s="348" t="s">
        <v>10567</v>
      </c>
      <c r="C10612" s="349" t="s">
        <v>65</v>
      </c>
      <c r="D10612" s="483">
        <v>14.06</v>
      </c>
      <c r="E10612" s="483">
        <v>14.06</v>
      </c>
    </row>
    <row r="10613" spans="1:5">
      <c r="A10613" s="484">
        <v>9898</v>
      </c>
      <c r="B10613" s="485" t="s">
        <v>10568</v>
      </c>
      <c r="C10613" s="484" t="s">
        <v>65</v>
      </c>
      <c r="D10613" s="486">
        <v>123.21</v>
      </c>
      <c r="E10613" s="486">
        <v>123.21</v>
      </c>
    </row>
    <row r="10614" spans="1:5">
      <c r="A10614" s="349">
        <v>9899</v>
      </c>
      <c r="B10614" s="348" t="s">
        <v>10570</v>
      </c>
      <c r="C10614" s="349" t="s">
        <v>65</v>
      </c>
      <c r="D10614" s="483">
        <v>7.53</v>
      </c>
      <c r="E10614" s="483">
        <v>7.53</v>
      </c>
    </row>
    <row r="10615" spans="1:5">
      <c r="A10615" s="484">
        <v>9902</v>
      </c>
      <c r="B10615" s="485" t="s">
        <v>10569</v>
      </c>
      <c r="C10615" s="484" t="s">
        <v>65</v>
      </c>
      <c r="D10615" s="486">
        <v>156.11000000000001</v>
      </c>
      <c r="E10615" s="486">
        <v>156.11000000000001</v>
      </c>
    </row>
    <row r="10616" spans="1:5">
      <c r="A10616" s="349">
        <v>9911</v>
      </c>
      <c r="B10616" s="348" t="s">
        <v>10571</v>
      </c>
      <c r="C10616" s="349" t="s">
        <v>65</v>
      </c>
      <c r="D10616" s="483">
        <v>271.58</v>
      </c>
      <c r="E10616" s="483">
        <v>271.58</v>
      </c>
    </row>
    <row r="10617" spans="1:5">
      <c r="A10617" s="484">
        <v>9908</v>
      </c>
      <c r="B10617" s="485" t="s">
        <v>10572</v>
      </c>
      <c r="C10617" s="484" t="s">
        <v>65</v>
      </c>
      <c r="D10617" s="486">
        <v>395.34</v>
      </c>
      <c r="E10617" s="486">
        <v>395.34</v>
      </c>
    </row>
    <row r="10618" spans="1:5">
      <c r="A10618" s="349">
        <v>9905</v>
      </c>
      <c r="B10618" s="348" t="s">
        <v>10573</v>
      </c>
      <c r="C10618" s="349" t="s">
        <v>65</v>
      </c>
      <c r="D10618" s="483">
        <v>5.31</v>
      </c>
      <c r="E10618" s="483">
        <v>5.31</v>
      </c>
    </row>
    <row r="10619" spans="1:5">
      <c r="A10619" s="484">
        <v>9906</v>
      </c>
      <c r="B10619" s="485" t="s">
        <v>10574</v>
      </c>
      <c r="C10619" s="484" t="s">
        <v>65</v>
      </c>
      <c r="D10619" s="486">
        <v>6.27</v>
      </c>
      <c r="E10619" s="486">
        <v>6.27</v>
      </c>
    </row>
    <row r="10620" spans="1:5">
      <c r="A10620" s="349">
        <v>9895</v>
      </c>
      <c r="B10620" s="348" t="s">
        <v>10575</v>
      </c>
      <c r="C10620" s="349" t="s">
        <v>65</v>
      </c>
      <c r="D10620" s="483">
        <v>10.6</v>
      </c>
      <c r="E10620" s="483">
        <v>10.6</v>
      </c>
    </row>
    <row r="10621" spans="1:5">
      <c r="A10621" s="484">
        <v>9894</v>
      </c>
      <c r="B10621" s="485" t="s">
        <v>10576</v>
      </c>
      <c r="C10621" s="484" t="s">
        <v>65</v>
      </c>
      <c r="D10621" s="486">
        <v>20.71</v>
      </c>
      <c r="E10621" s="486">
        <v>20.71</v>
      </c>
    </row>
    <row r="10622" spans="1:5">
      <c r="A10622" s="349">
        <v>9897</v>
      </c>
      <c r="B10622" s="348" t="s">
        <v>10577</v>
      </c>
      <c r="C10622" s="349" t="s">
        <v>65</v>
      </c>
      <c r="D10622" s="483">
        <v>24.36</v>
      </c>
      <c r="E10622" s="483">
        <v>24.36</v>
      </c>
    </row>
    <row r="10623" spans="1:5">
      <c r="A10623" s="484">
        <v>9910</v>
      </c>
      <c r="B10623" s="485" t="s">
        <v>10578</v>
      </c>
      <c r="C10623" s="484" t="s">
        <v>65</v>
      </c>
      <c r="D10623" s="486">
        <v>56.35</v>
      </c>
      <c r="E10623" s="486">
        <v>56.35</v>
      </c>
    </row>
    <row r="10624" spans="1:5">
      <c r="A10624" s="349">
        <v>9909</v>
      </c>
      <c r="B10624" s="348" t="s">
        <v>10579</v>
      </c>
      <c r="C10624" s="349" t="s">
        <v>65</v>
      </c>
      <c r="D10624" s="483">
        <v>117.1</v>
      </c>
      <c r="E10624" s="483">
        <v>117.1</v>
      </c>
    </row>
    <row r="10625" spans="1:5">
      <c r="A10625" s="484">
        <v>9907</v>
      </c>
      <c r="B10625" s="485" t="s">
        <v>10580</v>
      </c>
      <c r="C10625" s="484" t="s">
        <v>65</v>
      </c>
      <c r="D10625" s="486">
        <v>173.83</v>
      </c>
      <c r="E10625" s="486">
        <v>173.83</v>
      </c>
    </row>
    <row r="10626" spans="1:5" ht="30">
      <c r="A10626" s="349">
        <v>20973</v>
      </c>
      <c r="B10626" s="348" t="s">
        <v>10581</v>
      </c>
      <c r="C10626" s="349" t="s">
        <v>65</v>
      </c>
      <c r="D10626" s="483">
        <v>82.75</v>
      </c>
      <c r="E10626" s="483">
        <v>82.75</v>
      </c>
    </row>
    <row r="10627" spans="1:5" ht="30">
      <c r="A10627" s="484">
        <v>20974</v>
      </c>
      <c r="B10627" s="485" t="s">
        <v>10582</v>
      </c>
      <c r="C10627" s="484" t="s">
        <v>65</v>
      </c>
      <c r="D10627" s="486">
        <v>118.39</v>
      </c>
      <c r="E10627" s="486">
        <v>118.39</v>
      </c>
    </row>
    <row r="10628" spans="1:5">
      <c r="A10628" s="349">
        <v>37989</v>
      </c>
      <c r="B10628" s="348" t="s">
        <v>10583</v>
      </c>
      <c r="C10628" s="349" t="s">
        <v>65</v>
      </c>
      <c r="D10628" s="483">
        <v>9.26</v>
      </c>
      <c r="E10628" s="483">
        <v>9.26</v>
      </c>
    </row>
    <row r="10629" spans="1:5">
      <c r="A10629" s="484">
        <v>37990</v>
      </c>
      <c r="B10629" s="485" t="s">
        <v>10584</v>
      </c>
      <c r="C10629" s="484" t="s">
        <v>65</v>
      </c>
      <c r="D10629" s="486">
        <v>10.76</v>
      </c>
      <c r="E10629" s="486">
        <v>10.76</v>
      </c>
    </row>
    <row r="10630" spans="1:5">
      <c r="A10630" s="349">
        <v>37991</v>
      </c>
      <c r="B10630" s="348" t="s">
        <v>10585</v>
      </c>
      <c r="C10630" s="349" t="s">
        <v>65</v>
      </c>
      <c r="D10630" s="483">
        <v>17.02</v>
      </c>
      <c r="E10630" s="483">
        <v>17.02</v>
      </c>
    </row>
    <row r="10631" spans="1:5">
      <c r="A10631" s="484">
        <v>37992</v>
      </c>
      <c r="B10631" s="485" t="s">
        <v>10586</v>
      </c>
      <c r="C10631" s="484" t="s">
        <v>65</v>
      </c>
      <c r="D10631" s="486">
        <v>26</v>
      </c>
      <c r="E10631" s="486">
        <v>26</v>
      </c>
    </row>
    <row r="10632" spans="1:5">
      <c r="A10632" s="349">
        <v>37993</v>
      </c>
      <c r="B10632" s="348" t="s">
        <v>10587</v>
      </c>
      <c r="C10632" s="349" t="s">
        <v>65</v>
      </c>
      <c r="D10632" s="483">
        <v>38.590000000000003</v>
      </c>
      <c r="E10632" s="483">
        <v>38.590000000000003</v>
      </c>
    </row>
    <row r="10633" spans="1:5">
      <c r="A10633" s="484">
        <v>37994</v>
      </c>
      <c r="B10633" s="485" t="s">
        <v>10588</v>
      </c>
      <c r="C10633" s="484" t="s">
        <v>65</v>
      </c>
      <c r="D10633" s="486">
        <v>92.74</v>
      </c>
      <c r="E10633" s="486">
        <v>92.74</v>
      </c>
    </row>
    <row r="10634" spans="1:5">
      <c r="A10634" s="349">
        <v>37995</v>
      </c>
      <c r="B10634" s="348" t="s">
        <v>10589</v>
      </c>
      <c r="C10634" s="349" t="s">
        <v>65</v>
      </c>
      <c r="D10634" s="483">
        <v>134.6</v>
      </c>
      <c r="E10634" s="483">
        <v>134.6</v>
      </c>
    </row>
    <row r="10635" spans="1:5">
      <c r="A10635" s="484">
        <v>37996</v>
      </c>
      <c r="B10635" s="485" t="s">
        <v>10590</v>
      </c>
      <c r="C10635" s="484" t="s">
        <v>65</v>
      </c>
      <c r="D10635" s="486">
        <v>198.46</v>
      </c>
      <c r="E10635" s="486">
        <v>198.46</v>
      </c>
    </row>
    <row r="10636" spans="1:5">
      <c r="A10636" s="349">
        <v>13883</v>
      </c>
      <c r="B10636" s="348" t="s">
        <v>10631</v>
      </c>
      <c r="C10636" s="349" t="s">
        <v>65</v>
      </c>
      <c r="D10636" s="483">
        <v>92401.66</v>
      </c>
      <c r="E10636" s="483">
        <v>92401.66</v>
      </c>
    </row>
    <row r="10637" spans="1:5">
      <c r="A10637" s="484">
        <v>38604</v>
      </c>
      <c r="B10637" s="485" t="s">
        <v>10632</v>
      </c>
      <c r="C10637" s="484" t="s">
        <v>65</v>
      </c>
      <c r="D10637" s="486">
        <v>115085.04</v>
      </c>
      <c r="E10637" s="486">
        <v>115085.04</v>
      </c>
    </row>
    <row r="10638" spans="1:5" ht="30">
      <c r="A10638" s="349">
        <v>10601</v>
      </c>
      <c r="B10638" s="348" t="s">
        <v>10639</v>
      </c>
      <c r="C10638" s="349" t="s">
        <v>65</v>
      </c>
      <c r="D10638" s="483">
        <v>2238633.61</v>
      </c>
      <c r="E10638" s="483">
        <v>2238633.61</v>
      </c>
    </row>
    <row r="10639" spans="1:5">
      <c r="A10639" s="484">
        <v>26034</v>
      </c>
      <c r="B10639" s="485" t="s">
        <v>10640</v>
      </c>
      <c r="C10639" s="484" t="s">
        <v>65</v>
      </c>
      <c r="D10639" s="486">
        <v>5894243.29</v>
      </c>
      <c r="E10639" s="486">
        <v>5894243.29</v>
      </c>
    </row>
    <row r="10640" spans="1:5">
      <c r="A10640" s="349">
        <v>13894</v>
      </c>
      <c r="B10640" s="348" t="s">
        <v>10641</v>
      </c>
      <c r="C10640" s="349" t="s">
        <v>65</v>
      </c>
      <c r="D10640" s="483">
        <v>396575.74</v>
      </c>
      <c r="E10640" s="483">
        <v>396575.74</v>
      </c>
    </row>
    <row r="10641" spans="1:5">
      <c r="A10641" s="484">
        <v>13895</v>
      </c>
      <c r="B10641" s="485" t="s">
        <v>10642</v>
      </c>
      <c r="C10641" s="484" t="s">
        <v>65</v>
      </c>
      <c r="D10641" s="486">
        <v>533262.17000000004</v>
      </c>
      <c r="E10641" s="486">
        <v>533262.17000000004</v>
      </c>
    </row>
    <row r="10642" spans="1:5">
      <c r="A10642" s="349">
        <v>13892</v>
      </c>
      <c r="B10642" s="348" t="s">
        <v>10643</v>
      </c>
      <c r="C10642" s="349" t="s">
        <v>65</v>
      </c>
      <c r="D10642" s="483">
        <v>653499.75</v>
      </c>
      <c r="E10642" s="483">
        <v>653499.75</v>
      </c>
    </row>
    <row r="10643" spans="1:5">
      <c r="A10643" s="484">
        <v>9914</v>
      </c>
      <c r="B10643" s="485" t="s">
        <v>10644</v>
      </c>
      <c r="C10643" s="484" t="s">
        <v>65</v>
      </c>
      <c r="D10643" s="486">
        <v>707000</v>
      </c>
      <c r="E10643" s="486">
        <v>707000</v>
      </c>
    </row>
    <row r="10644" spans="1:5" ht="45">
      <c r="A10644" s="349">
        <v>36485</v>
      </c>
      <c r="B10644" s="348" t="s">
        <v>10657</v>
      </c>
      <c r="C10644" s="349" t="s">
        <v>65</v>
      </c>
      <c r="D10644" s="483">
        <v>372817.95</v>
      </c>
      <c r="E10644" s="483">
        <v>372817.95</v>
      </c>
    </row>
    <row r="10645" spans="1:5" ht="30">
      <c r="A10645" s="484">
        <v>9912</v>
      </c>
      <c r="B10645" s="485" t="s">
        <v>10664</v>
      </c>
      <c r="C10645" s="484" t="s">
        <v>65</v>
      </c>
      <c r="D10645" s="486">
        <v>1822500</v>
      </c>
      <c r="E10645" s="486">
        <v>1822500</v>
      </c>
    </row>
    <row r="10646" spans="1:5" ht="30">
      <c r="A10646" s="349">
        <v>9921</v>
      </c>
      <c r="B10646" s="348" t="s">
        <v>10665</v>
      </c>
      <c r="C10646" s="349" t="s">
        <v>65</v>
      </c>
      <c r="D10646" s="483">
        <v>940131.7</v>
      </c>
      <c r="E10646" s="483">
        <v>940131.7</v>
      </c>
    </row>
    <row r="10647" spans="1:5" ht="30">
      <c r="A10647" s="484">
        <v>21112</v>
      </c>
      <c r="B10647" s="485" t="s">
        <v>10672</v>
      </c>
      <c r="C10647" s="484" t="s">
        <v>65</v>
      </c>
      <c r="D10647" s="486">
        <v>127.69</v>
      </c>
      <c r="E10647" s="486">
        <v>127.69</v>
      </c>
    </row>
    <row r="10648" spans="1:5">
      <c r="A10648" s="349">
        <v>10228</v>
      </c>
      <c r="B10648" s="348" t="s">
        <v>10673</v>
      </c>
      <c r="C10648" s="349" t="s">
        <v>65</v>
      </c>
      <c r="D10648" s="483">
        <v>148.34</v>
      </c>
      <c r="E10648" s="483">
        <v>148.34</v>
      </c>
    </row>
    <row r="10649" spans="1:5">
      <c r="A10649" s="484">
        <v>11781</v>
      </c>
      <c r="B10649" s="485" t="s">
        <v>10674</v>
      </c>
      <c r="C10649" s="484" t="s">
        <v>65</v>
      </c>
      <c r="D10649" s="486">
        <v>120.17</v>
      </c>
      <c r="E10649" s="486">
        <v>120.17</v>
      </c>
    </row>
    <row r="10650" spans="1:5">
      <c r="A10650" s="349">
        <v>11746</v>
      </c>
      <c r="B10650" s="348" t="s">
        <v>10675</v>
      </c>
      <c r="C10650" s="349" t="s">
        <v>65</v>
      </c>
      <c r="D10650" s="483">
        <v>49.83</v>
      </c>
      <c r="E10650" s="483">
        <v>49.83</v>
      </c>
    </row>
    <row r="10651" spans="1:5">
      <c r="A10651" s="484">
        <v>11751</v>
      </c>
      <c r="B10651" s="485" t="s">
        <v>10676</v>
      </c>
      <c r="C10651" s="484" t="s">
        <v>65</v>
      </c>
      <c r="D10651" s="486">
        <v>89.51</v>
      </c>
      <c r="E10651" s="486">
        <v>89.51</v>
      </c>
    </row>
    <row r="10652" spans="1:5">
      <c r="A10652" s="349">
        <v>11750</v>
      </c>
      <c r="B10652" s="348" t="s">
        <v>10677</v>
      </c>
      <c r="C10652" s="349" t="s">
        <v>65</v>
      </c>
      <c r="D10652" s="483">
        <v>74.28</v>
      </c>
      <c r="E10652" s="483">
        <v>74.28</v>
      </c>
    </row>
    <row r="10653" spans="1:5">
      <c r="A10653" s="484">
        <v>11748</v>
      </c>
      <c r="B10653" s="485" t="s">
        <v>10678</v>
      </c>
      <c r="C10653" s="484" t="s">
        <v>65</v>
      </c>
      <c r="D10653" s="486">
        <v>31.98</v>
      </c>
      <c r="E10653" s="486">
        <v>31.98</v>
      </c>
    </row>
    <row r="10654" spans="1:5">
      <c r="A10654" s="349">
        <v>11747</v>
      </c>
      <c r="B10654" s="348" t="s">
        <v>10679</v>
      </c>
      <c r="C10654" s="349" t="s">
        <v>65</v>
      </c>
      <c r="D10654" s="483">
        <v>138.02000000000001</v>
      </c>
      <c r="E10654" s="483">
        <v>138.02000000000001</v>
      </c>
    </row>
    <row r="10655" spans="1:5">
      <c r="A10655" s="484">
        <v>11749</v>
      </c>
      <c r="B10655" s="485" t="s">
        <v>10680</v>
      </c>
      <c r="C10655" s="484" t="s">
        <v>65</v>
      </c>
      <c r="D10655" s="486">
        <v>36.909999999999997</v>
      </c>
      <c r="E10655" s="486">
        <v>36.909999999999997</v>
      </c>
    </row>
    <row r="10656" spans="1:5" ht="30">
      <c r="A10656" s="349">
        <v>10236</v>
      </c>
      <c r="B10656" s="348" t="s">
        <v>10687</v>
      </c>
      <c r="C10656" s="349" t="s">
        <v>65</v>
      </c>
      <c r="D10656" s="483">
        <v>39.28</v>
      </c>
      <c r="E10656" s="483">
        <v>39.28</v>
      </c>
    </row>
    <row r="10657" spans="1:5" ht="30">
      <c r="A10657" s="484">
        <v>10233</v>
      </c>
      <c r="B10657" s="485" t="s">
        <v>10688</v>
      </c>
      <c r="C10657" s="484" t="s">
        <v>65</v>
      </c>
      <c r="D10657" s="486">
        <v>36.81</v>
      </c>
      <c r="E10657" s="486">
        <v>36.81</v>
      </c>
    </row>
    <row r="10658" spans="1:5" ht="30">
      <c r="A10658" s="349">
        <v>10234</v>
      </c>
      <c r="B10658" s="348" t="s">
        <v>10689</v>
      </c>
      <c r="C10658" s="349" t="s">
        <v>65</v>
      </c>
      <c r="D10658" s="483">
        <v>23.18</v>
      </c>
      <c r="E10658" s="483">
        <v>23.18</v>
      </c>
    </row>
    <row r="10659" spans="1:5" ht="30">
      <c r="A10659" s="484">
        <v>10231</v>
      </c>
      <c r="B10659" s="485" t="s">
        <v>10690</v>
      </c>
      <c r="C10659" s="484" t="s">
        <v>65</v>
      </c>
      <c r="D10659" s="486">
        <v>106.33</v>
      </c>
      <c r="E10659" s="486">
        <v>106.33</v>
      </c>
    </row>
    <row r="10660" spans="1:5" ht="30">
      <c r="A10660" s="349">
        <v>10232</v>
      </c>
      <c r="B10660" s="348" t="s">
        <v>10691</v>
      </c>
      <c r="C10660" s="349" t="s">
        <v>65</v>
      </c>
      <c r="D10660" s="483">
        <v>59.5</v>
      </c>
      <c r="E10660" s="483">
        <v>59.5</v>
      </c>
    </row>
    <row r="10661" spans="1:5" ht="30">
      <c r="A10661" s="484">
        <v>10229</v>
      </c>
      <c r="B10661" s="485" t="s">
        <v>10693</v>
      </c>
      <c r="C10661" s="484" t="s">
        <v>65</v>
      </c>
      <c r="D10661" s="486">
        <v>20.97</v>
      </c>
      <c r="E10661" s="486">
        <v>20.97</v>
      </c>
    </row>
    <row r="10662" spans="1:5" ht="30">
      <c r="A10662" s="349">
        <v>10235</v>
      </c>
      <c r="B10662" s="348" t="s">
        <v>10692</v>
      </c>
      <c r="C10662" s="349" t="s">
        <v>65</v>
      </c>
      <c r="D10662" s="483">
        <v>145.76</v>
      </c>
      <c r="E10662" s="483">
        <v>145.76</v>
      </c>
    </row>
    <row r="10663" spans="1:5" ht="30">
      <c r="A10663" s="484">
        <v>10230</v>
      </c>
      <c r="B10663" s="485" t="s">
        <v>10694</v>
      </c>
      <c r="C10663" s="484" t="s">
        <v>65</v>
      </c>
      <c r="D10663" s="486">
        <v>256.52999999999997</v>
      </c>
      <c r="E10663" s="486">
        <v>256.52999999999997</v>
      </c>
    </row>
    <row r="10664" spans="1:5" ht="43.5" customHeight="1">
      <c r="A10664" s="349">
        <v>10409</v>
      </c>
      <c r="B10664" s="348" t="s">
        <v>10701</v>
      </c>
      <c r="C10664" s="349" t="s">
        <v>65</v>
      </c>
      <c r="D10664" s="483">
        <v>76.209999999999994</v>
      </c>
      <c r="E10664" s="483">
        <v>76.209999999999994</v>
      </c>
    </row>
    <row r="10665" spans="1:5" ht="43.5" customHeight="1">
      <c r="A10665" s="484">
        <v>10411</v>
      </c>
      <c r="B10665" s="485" t="s">
        <v>10702</v>
      </c>
      <c r="C10665" s="484" t="s">
        <v>65</v>
      </c>
      <c r="D10665" s="486">
        <v>68.19</v>
      </c>
      <c r="E10665" s="486">
        <v>68.19</v>
      </c>
    </row>
    <row r="10666" spans="1:5" ht="43.5" customHeight="1">
      <c r="A10666" s="349">
        <v>10404</v>
      </c>
      <c r="B10666" s="348" t="s">
        <v>10704</v>
      </c>
      <c r="C10666" s="349" t="s">
        <v>65</v>
      </c>
      <c r="D10666" s="483">
        <v>27.65</v>
      </c>
      <c r="E10666" s="483">
        <v>27.65</v>
      </c>
    </row>
    <row r="10667" spans="1:5" ht="30">
      <c r="A10667" s="484">
        <v>10410</v>
      </c>
      <c r="B10667" s="485" t="s">
        <v>10703</v>
      </c>
      <c r="C10667" s="484" t="s">
        <v>65</v>
      </c>
      <c r="D10667" s="486">
        <v>45.55</v>
      </c>
      <c r="E10667" s="486">
        <v>45.55</v>
      </c>
    </row>
    <row r="10668" spans="1:5" ht="30">
      <c r="A10668" s="349">
        <v>10405</v>
      </c>
      <c r="B10668" s="348" t="s">
        <v>10705</v>
      </c>
      <c r="C10668" s="349" t="s">
        <v>65</v>
      </c>
      <c r="D10668" s="483">
        <v>152.69</v>
      </c>
      <c r="E10668" s="483">
        <v>152.69</v>
      </c>
    </row>
    <row r="10669" spans="1:5" ht="30">
      <c r="A10669" s="484">
        <v>10408</v>
      </c>
      <c r="B10669" s="485" t="s">
        <v>10706</v>
      </c>
      <c r="C10669" s="484" t="s">
        <v>65</v>
      </c>
      <c r="D10669" s="486">
        <v>106.77</v>
      </c>
      <c r="E10669" s="486">
        <v>106.77</v>
      </c>
    </row>
    <row r="10670" spans="1:5" ht="30">
      <c r="A10670" s="349">
        <v>10412</v>
      </c>
      <c r="B10670" s="348" t="s">
        <v>10708</v>
      </c>
      <c r="C10670" s="349" t="s">
        <v>65</v>
      </c>
      <c r="D10670" s="483">
        <v>33.51</v>
      </c>
      <c r="E10670" s="483">
        <v>33.51</v>
      </c>
    </row>
    <row r="10671" spans="1:5" ht="30">
      <c r="A10671" s="484">
        <v>10406</v>
      </c>
      <c r="B10671" s="485" t="s">
        <v>10707</v>
      </c>
      <c r="C10671" s="484" t="s">
        <v>65</v>
      </c>
      <c r="D10671" s="486">
        <v>210.9</v>
      </c>
      <c r="E10671" s="486">
        <v>210.9</v>
      </c>
    </row>
    <row r="10672" spans="1:5" ht="30">
      <c r="A10672" s="349">
        <v>10407</v>
      </c>
      <c r="B10672" s="348" t="s">
        <v>10709</v>
      </c>
      <c r="C10672" s="349" t="s">
        <v>65</v>
      </c>
      <c r="D10672" s="483">
        <v>327.11</v>
      </c>
      <c r="E10672" s="483">
        <v>327.11</v>
      </c>
    </row>
    <row r="10673" spans="1:5" ht="30">
      <c r="A10673" s="484">
        <v>10416</v>
      </c>
      <c r="B10673" s="485" t="s">
        <v>10713</v>
      </c>
      <c r="C10673" s="484" t="s">
        <v>65</v>
      </c>
      <c r="D10673" s="486">
        <v>40.57</v>
      </c>
      <c r="E10673" s="486">
        <v>40.57</v>
      </c>
    </row>
    <row r="10674" spans="1:5" ht="30">
      <c r="A10674" s="349">
        <v>10419</v>
      </c>
      <c r="B10674" s="348" t="s">
        <v>10714</v>
      </c>
      <c r="C10674" s="349" t="s">
        <v>65</v>
      </c>
      <c r="D10674" s="483">
        <v>35.21</v>
      </c>
      <c r="E10674" s="483">
        <v>35.21</v>
      </c>
    </row>
    <row r="10675" spans="1:5" ht="30">
      <c r="A10675" s="484">
        <v>21092</v>
      </c>
      <c r="B10675" s="485" t="s">
        <v>10716</v>
      </c>
      <c r="C10675" s="484" t="s">
        <v>65</v>
      </c>
      <c r="D10675" s="486">
        <v>20.13</v>
      </c>
      <c r="E10675" s="486">
        <v>20.13</v>
      </c>
    </row>
    <row r="10676" spans="1:5">
      <c r="A10676" s="349">
        <v>10418</v>
      </c>
      <c r="B10676" s="348" t="s">
        <v>10715</v>
      </c>
      <c r="C10676" s="349" t="s">
        <v>65</v>
      </c>
      <c r="D10676" s="483">
        <v>23.47</v>
      </c>
      <c r="E10676" s="483">
        <v>23.47</v>
      </c>
    </row>
    <row r="10677" spans="1:5" ht="30">
      <c r="A10677" s="484">
        <v>12657</v>
      </c>
      <c r="B10677" s="485" t="s">
        <v>10717</v>
      </c>
      <c r="C10677" s="484" t="s">
        <v>65</v>
      </c>
      <c r="D10677" s="486">
        <v>94.73</v>
      </c>
      <c r="E10677" s="486">
        <v>94.73</v>
      </c>
    </row>
    <row r="10678" spans="1:5">
      <c r="A10678" s="349">
        <v>10417</v>
      </c>
      <c r="B10678" s="348" t="s">
        <v>10718</v>
      </c>
      <c r="C10678" s="349" t="s">
        <v>65</v>
      </c>
      <c r="D10678" s="483">
        <v>59.11</v>
      </c>
      <c r="E10678" s="483">
        <v>59.11</v>
      </c>
    </row>
    <row r="10679" spans="1:5" ht="30">
      <c r="A10679" s="484">
        <v>10413</v>
      </c>
      <c r="B10679" s="485" t="s">
        <v>10720</v>
      </c>
      <c r="C10679" s="484" t="s">
        <v>65</v>
      </c>
      <c r="D10679" s="486">
        <v>21.48</v>
      </c>
      <c r="E10679" s="486">
        <v>21.48</v>
      </c>
    </row>
    <row r="10680" spans="1:5">
      <c r="A10680" s="349">
        <v>10414</v>
      </c>
      <c r="B10680" s="348" t="s">
        <v>10719</v>
      </c>
      <c r="C10680" s="349" t="s">
        <v>65</v>
      </c>
      <c r="D10680" s="483">
        <v>129.36000000000001</v>
      </c>
      <c r="E10680" s="483">
        <v>129.36000000000001</v>
      </c>
    </row>
    <row r="10681" spans="1:5">
      <c r="A10681" s="484">
        <v>10415</v>
      </c>
      <c r="B10681" s="485" t="s">
        <v>10721</v>
      </c>
      <c r="C10681" s="484" t="s">
        <v>65</v>
      </c>
      <c r="D10681" s="486">
        <v>224.51</v>
      </c>
      <c r="E10681" s="486">
        <v>224.51</v>
      </c>
    </row>
    <row r="10682" spans="1:5">
      <c r="A10682" s="349">
        <v>38643</v>
      </c>
      <c r="B10682" s="348" t="s">
        <v>10724</v>
      </c>
      <c r="C10682" s="349" t="s">
        <v>65</v>
      </c>
      <c r="D10682" s="483">
        <v>25.85</v>
      </c>
      <c r="E10682" s="483">
        <v>25.85</v>
      </c>
    </row>
    <row r="10683" spans="1:5">
      <c r="A10683" s="484">
        <v>6157</v>
      </c>
      <c r="B10683" s="485" t="s">
        <v>10725</v>
      </c>
      <c r="C10683" s="484" t="s">
        <v>65</v>
      </c>
      <c r="D10683" s="486">
        <v>35.31</v>
      </c>
      <c r="E10683" s="486">
        <v>35.31</v>
      </c>
    </row>
    <row r="10684" spans="1:5">
      <c r="A10684" s="349">
        <v>37588</v>
      </c>
      <c r="B10684" s="348" t="s">
        <v>10726</v>
      </c>
      <c r="C10684" s="349" t="s">
        <v>65</v>
      </c>
      <c r="D10684" s="483">
        <v>18.98</v>
      </c>
      <c r="E10684" s="483">
        <v>18.98</v>
      </c>
    </row>
    <row r="10685" spans="1:5">
      <c r="A10685" s="484">
        <v>6152</v>
      </c>
      <c r="B10685" s="485" t="s">
        <v>10729</v>
      </c>
      <c r="C10685" s="484" t="s">
        <v>65</v>
      </c>
      <c r="D10685" s="486">
        <v>2.3199999999999998</v>
      </c>
      <c r="E10685" s="486">
        <v>2.3199999999999998</v>
      </c>
    </row>
    <row r="10686" spans="1:5">
      <c r="A10686" s="349">
        <v>6158</v>
      </c>
      <c r="B10686" s="348" t="s">
        <v>10730</v>
      </c>
      <c r="C10686" s="349" t="s">
        <v>65</v>
      </c>
      <c r="D10686" s="483">
        <v>2.8</v>
      </c>
      <c r="E10686" s="483">
        <v>2.8</v>
      </c>
    </row>
    <row r="10687" spans="1:5">
      <c r="A10687" s="484">
        <v>6153</v>
      </c>
      <c r="B10687" s="485" t="s">
        <v>10732</v>
      </c>
      <c r="C10687" s="484" t="s">
        <v>65</v>
      </c>
      <c r="D10687" s="486">
        <v>2.1800000000000002</v>
      </c>
      <c r="E10687" s="486">
        <v>2.1800000000000002</v>
      </c>
    </row>
    <row r="10688" spans="1:5">
      <c r="A10688" s="349">
        <v>6156</v>
      </c>
      <c r="B10688" s="348" t="s">
        <v>10731</v>
      </c>
      <c r="C10688" s="349" t="s">
        <v>65</v>
      </c>
      <c r="D10688" s="483">
        <v>2.76</v>
      </c>
      <c r="E10688" s="483">
        <v>2.76</v>
      </c>
    </row>
    <row r="10689" spans="1:5">
      <c r="A10689" s="484">
        <v>6154</v>
      </c>
      <c r="B10689" s="485" t="s">
        <v>10733</v>
      </c>
      <c r="C10689" s="484" t="s">
        <v>65</v>
      </c>
      <c r="D10689" s="486">
        <v>5.2</v>
      </c>
      <c r="E10689" s="486">
        <v>5.2</v>
      </c>
    </row>
    <row r="10690" spans="1:5" ht="30">
      <c r="A10690" s="349">
        <v>6155</v>
      </c>
      <c r="B10690" s="348" t="s">
        <v>10735</v>
      </c>
      <c r="C10690" s="349" t="s">
        <v>65</v>
      </c>
      <c r="D10690" s="483">
        <v>10.76</v>
      </c>
      <c r="E10690" s="483">
        <v>10.76</v>
      </c>
    </row>
    <row r="10691" spans="1:5">
      <c r="A10691" s="484">
        <v>3115</v>
      </c>
      <c r="B10691" s="485" t="s">
        <v>10738</v>
      </c>
      <c r="C10691" s="484" t="s">
        <v>65</v>
      </c>
      <c r="D10691" s="486">
        <v>14.41</v>
      </c>
      <c r="E10691" s="486">
        <v>14.41</v>
      </c>
    </row>
    <row r="10692" spans="1:5">
      <c r="A10692" s="349">
        <v>3116</v>
      </c>
      <c r="B10692" s="348" t="s">
        <v>10739</v>
      </c>
      <c r="C10692" s="349" t="s">
        <v>65</v>
      </c>
      <c r="D10692" s="483">
        <v>14.86</v>
      </c>
      <c r="E10692" s="483">
        <v>14.86</v>
      </c>
    </row>
    <row r="10693" spans="1:5">
      <c r="A10693" s="484">
        <v>38166</v>
      </c>
      <c r="B10693" s="485" t="s">
        <v>10740</v>
      </c>
      <c r="C10693" s="484" t="s">
        <v>65</v>
      </c>
      <c r="D10693" s="486">
        <v>30.41</v>
      </c>
      <c r="E10693" s="486">
        <v>30.41</v>
      </c>
    </row>
    <row r="10694" spans="1:5">
      <c r="A10694" s="349">
        <v>38108</v>
      </c>
      <c r="B10694" s="348" t="s">
        <v>11614</v>
      </c>
      <c r="C10694" s="349" t="s">
        <v>65</v>
      </c>
      <c r="D10694" s="483">
        <v>36.61</v>
      </c>
      <c r="E10694" s="483">
        <v>36.61</v>
      </c>
    </row>
    <row r="10695" spans="1:5" ht="30">
      <c r="A10695" s="484">
        <v>38087</v>
      </c>
      <c r="B10695" s="485" t="s">
        <v>11615</v>
      </c>
      <c r="C10695" s="484" t="s">
        <v>65</v>
      </c>
      <c r="D10695" s="486">
        <v>47.09</v>
      </c>
      <c r="E10695" s="486">
        <v>47.09</v>
      </c>
    </row>
    <row r="10696" spans="1:5">
      <c r="A10696" s="349">
        <v>38109</v>
      </c>
      <c r="B10696" s="348" t="s">
        <v>11616</v>
      </c>
      <c r="C10696" s="349" t="s">
        <v>65</v>
      </c>
      <c r="D10696" s="483">
        <v>58.51</v>
      </c>
      <c r="E10696" s="483">
        <v>58.51</v>
      </c>
    </row>
    <row r="10697" spans="1:5" ht="30">
      <c r="A10697" s="484">
        <v>38088</v>
      </c>
      <c r="B10697" s="485" t="s">
        <v>11617</v>
      </c>
      <c r="C10697" s="484" t="s">
        <v>65</v>
      </c>
      <c r="D10697" s="486">
        <v>61.52</v>
      </c>
      <c r="E10697" s="486">
        <v>61.52</v>
      </c>
    </row>
    <row r="10698" spans="1:5">
      <c r="A10698" s="349">
        <v>38110</v>
      </c>
      <c r="B10698" s="348" t="s">
        <v>11618</v>
      </c>
      <c r="C10698" s="349" t="s">
        <v>65</v>
      </c>
      <c r="D10698" s="483">
        <v>22.51</v>
      </c>
      <c r="E10698" s="483">
        <v>22.51</v>
      </c>
    </row>
    <row r="10699" spans="1:5" ht="45">
      <c r="A10699" s="484">
        <v>38089</v>
      </c>
      <c r="B10699" s="485" t="s">
        <v>11619</v>
      </c>
      <c r="C10699" s="484" t="s">
        <v>65</v>
      </c>
      <c r="D10699" s="486">
        <v>39.22</v>
      </c>
      <c r="E10699" s="486">
        <v>39.22</v>
      </c>
    </row>
    <row r="10700" spans="1:5">
      <c r="A10700" s="349">
        <v>38111</v>
      </c>
      <c r="B10700" s="348" t="s">
        <v>11620</v>
      </c>
      <c r="C10700" s="349" t="s">
        <v>65</v>
      </c>
      <c r="D10700" s="483">
        <v>25.17</v>
      </c>
      <c r="E10700" s="483">
        <v>25.17</v>
      </c>
    </row>
    <row r="10701" spans="1:5" ht="45">
      <c r="A10701" s="484">
        <v>38090</v>
      </c>
      <c r="B10701" s="485" t="s">
        <v>11621</v>
      </c>
      <c r="C10701" s="484" t="s">
        <v>65</v>
      </c>
      <c r="D10701" s="486">
        <v>40.54</v>
      </c>
      <c r="E10701" s="486">
        <v>40.54</v>
      </c>
    </row>
    <row r="10702" spans="1:5">
      <c r="A10702" s="349">
        <v>11786</v>
      </c>
      <c r="B10702" s="348" t="s">
        <v>10743</v>
      </c>
      <c r="C10702" s="349" t="s">
        <v>65</v>
      </c>
      <c r="D10702" s="483">
        <v>247.74</v>
      </c>
      <c r="E10702" s="483">
        <v>247.74</v>
      </c>
    </row>
    <row r="10703" spans="1:5" ht="30">
      <c r="A10703" s="484">
        <v>13726</v>
      </c>
      <c r="B10703" s="485" t="s">
        <v>10745</v>
      </c>
      <c r="C10703" s="484" t="s">
        <v>65</v>
      </c>
      <c r="D10703" s="486">
        <v>30420.91</v>
      </c>
      <c r="E10703" s="486">
        <v>30420.91</v>
      </c>
    </row>
    <row r="10704" spans="1:5">
      <c r="A10704" s="349">
        <v>38400</v>
      </c>
      <c r="B10704" s="348" t="s">
        <v>10744</v>
      </c>
      <c r="C10704" s="349" t="s">
        <v>65</v>
      </c>
      <c r="D10704" s="483">
        <v>10.64</v>
      </c>
      <c r="E10704" s="483">
        <v>10.64</v>
      </c>
    </row>
    <row r="10705" spans="1:5" ht="30">
      <c r="A10705" s="484">
        <v>12627</v>
      </c>
      <c r="B10705" s="485" t="s">
        <v>10751</v>
      </c>
      <c r="C10705" s="484" t="s">
        <v>65</v>
      </c>
      <c r="D10705" s="486">
        <v>0.32</v>
      </c>
      <c r="E10705" s="486">
        <v>0.32</v>
      </c>
    </row>
    <row r="10706" spans="1:5">
      <c r="A10706" s="349">
        <v>6138</v>
      </c>
      <c r="B10706" s="348" t="s">
        <v>10752</v>
      </c>
      <c r="C10706" s="349" t="s">
        <v>65</v>
      </c>
      <c r="D10706" s="483">
        <v>1.34</v>
      </c>
      <c r="E10706" s="483">
        <v>1.34</v>
      </c>
    </row>
    <row r="10707" spans="1:5">
      <c r="A10707" s="484">
        <v>10615</v>
      </c>
      <c r="B10707" s="485" t="s">
        <v>10753</v>
      </c>
      <c r="C10707" s="484" t="s">
        <v>65</v>
      </c>
      <c r="D10707" s="486">
        <v>40321.39</v>
      </c>
      <c r="E10707" s="486">
        <v>40321.39</v>
      </c>
    </row>
    <row r="10708" spans="1:5">
      <c r="A10708" s="349">
        <v>13860</v>
      </c>
      <c r="B10708" s="348" t="s">
        <v>10754</v>
      </c>
      <c r="C10708" s="349" t="s">
        <v>65</v>
      </c>
      <c r="D10708" s="483">
        <v>43654.7</v>
      </c>
      <c r="E10708" s="483">
        <v>43654.7</v>
      </c>
    </row>
    <row r="10709" spans="1:5">
      <c r="A10709" s="484">
        <v>13532</v>
      </c>
      <c r="B10709" s="485" t="s">
        <v>10755</v>
      </c>
      <c r="C10709" s="484" t="s">
        <v>65</v>
      </c>
      <c r="D10709" s="486">
        <v>47477.06</v>
      </c>
      <c r="E10709" s="486">
        <v>47477.06</v>
      </c>
    </row>
    <row r="10710" spans="1:5">
      <c r="A10710" s="349">
        <v>39996</v>
      </c>
      <c r="B10710" s="348" t="s">
        <v>11622</v>
      </c>
      <c r="C10710" s="349" t="s">
        <v>71</v>
      </c>
      <c r="D10710" s="483">
        <v>1.62</v>
      </c>
      <c r="E10710" s="483">
        <v>1.62</v>
      </c>
    </row>
    <row r="10711" spans="1:5" ht="30">
      <c r="A10711" s="484">
        <v>10478</v>
      </c>
      <c r="B10711" s="485" t="s">
        <v>10770</v>
      </c>
      <c r="C10711" s="484" t="s">
        <v>91</v>
      </c>
      <c r="D10711" s="486">
        <v>20.55</v>
      </c>
      <c r="E10711" s="486">
        <v>20.55</v>
      </c>
    </row>
    <row r="10712" spans="1:5">
      <c r="A10712" s="349">
        <v>40514</v>
      </c>
      <c r="B10712" s="348" t="s">
        <v>252</v>
      </c>
      <c r="C10712" s="349" t="s">
        <v>91</v>
      </c>
      <c r="D10712" s="483">
        <v>18.2</v>
      </c>
      <c r="E10712" s="483">
        <v>18.2</v>
      </c>
    </row>
    <row r="10713" spans="1:5">
      <c r="A10713" s="484">
        <v>10475</v>
      </c>
      <c r="B10713" s="485" t="s">
        <v>10772</v>
      </c>
      <c r="C10713" s="484" t="s">
        <v>91</v>
      </c>
      <c r="D10713" s="486">
        <v>18.07</v>
      </c>
      <c r="E10713" s="486">
        <v>18.07</v>
      </c>
    </row>
    <row r="10714" spans="1:5" ht="30">
      <c r="A10714" s="349">
        <v>10481</v>
      </c>
      <c r="B10714" s="348" t="s">
        <v>10773</v>
      </c>
      <c r="C10714" s="349" t="s">
        <v>91</v>
      </c>
      <c r="D10714" s="483">
        <v>19.71</v>
      </c>
      <c r="E10714" s="483">
        <v>19.71</v>
      </c>
    </row>
    <row r="10715" spans="1:5">
      <c r="A10715" s="484">
        <v>4031</v>
      </c>
      <c r="B10715" s="485" t="s">
        <v>19749</v>
      </c>
      <c r="C10715" s="484" t="s">
        <v>256</v>
      </c>
      <c r="D10715" s="486">
        <v>15.71</v>
      </c>
      <c r="E10715" s="486">
        <v>15.71</v>
      </c>
    </row>
    <row r="10716" spans="1:5">
      <c r="A10716" s="349">
        <v>4030</v>
      </c>
      <c r="B10716" s="348" t="s">
        <v>10778</v>
      </c>
      <c r="C10716" s="349" t="s">
        <v>256</v>
      </c>
      <c r="D10716" s="483">
        <v>3.34</v>
      </c>
      <c r="E10716" s="483">
        <v>3.34</v>
      </c>
    </row>
    <row r="10717" spans="1:5">
      <c r="A10717" s="484">
        <v>39399</v>
      </c>
      <c r="B10717" s="485" t="s">
        <v>10780</v>
      </c>
      <c r="C10717" s="484" t="s">
        <v>65</v>
      </c>
      <c r="D10717" s="486">
        <v>659.5</v>
      </c>
      <c r="E10717" s="486">
        <v>659.5</v>
      </c>
    </row>
    <row r="10718" spans="1:5">
      <c r="A10718" s="349">
        <v>39400</v>
      </c>
      <c r="B10718" s="348" t="s">
        <v>10781</v>
      </c>
      <c r="C10718" s="349" t="s">
        <v>65</v>
      </c>
      <c r="D10718" s="483">
        <v>716.85</v>
      </c>
      <c r="E10718" s="483">
        <v>716.85</v>
      </c>
    </row>
    <row r="10719" spans="1:5">
      <c r="A10719" s="484">
        <v>39401</v>
      </c>
      <c r="B10719" s="485" t="s">
        <v>10782</v>
      </c>
      <c r="C10719" s="484" t="s">
        <v>65</v>
      </c>
      <c r="D10719" s="486">
        <v>804.13</v>
      </c>
      <c r="E10719" s="486">
        <v>804.13</v>
      </c>
    </row>
    <row r="10720" spans="1:5" ht="30">
      <c r="A10720" s="349">
        <v>11652</v>
      </c>
      <c r="B10720" s="348" t="s">
        <v>10783</v>
      </c>
      <c r="C10720" s="349" t="s">
        <v>65</v>
      </c>
      <c r="D10720" s="483">
        <v>1730</v>
      </c>
      <c r="E10720" s="483">
        <v>1730</v>
      </c>
    </row>
    <row r="10721" spans="1:5" ht="30">
      <c r="A10721" s="484">
        <v>13896</v>
      </c>
      <c r="B10721" s="485" t="s">
        <v>10785</v>
      </c>
      <c r="C10721" s="484" t="s">
        <v>65</v>
      </c>
      <c r="D10721" s="486">
        <v>1551.96</v>
      </c>
      <c r="E10721" s="486">
        <v>1551.96</v>
      </c>
    </row>
    <row r="10722" spans="1:5" ht="30">
      <c r="A10722" s="349">
        <v>13475</v>
      </c>
      <c r="B10722" s="348" t="s">
        <v>10784</v>
      </c>
      <c r="C10722" s="349" t="s">
        <v>65</v>
      </c>
      <c r="D10722" s="483">
        <v>1890.47</v>
      </c>
      <c r="E10722" s="483">
        <v>1890.47</v>
      </c>
    </row>
    <row r="10723" spans="1:5" ht="30">
      <c r="A10723" s="484">
        <v>25971</v>
      </c>
      <c r="B10723" s="485" t="s">
        <v>10794</v>
      </c>
      <c r="C10723" s="484" t="s">
        <v>65</v>
      </c>
      <c r="D10723" s="486">
        <v>1714526.34</v>
      </c>
      <c r="E10723" s="486">
        <v>1714526.34</v>
      </c>
    </row>
    <row r="10724" spans="1:5" ht="30">
      <c r="A10724" s="349">
        <v>25970</v>
      </c>
      <c r="B10724" s="348" t="s">
        <v>10792</v>
      </c>
      <c r="C10724" s="349" t="s">
        <v>65</v>
      </c>
      <c r="D10724" s="483">
        <v>721795.69</v>
      </c>
      <c r="E10724" s="483">
        <v>721795.69</v>
      </c>
    </row>
    <row r="10725" spans="1:5" ht="30">
      <c r="A10725" s="484">
        <v>13476</v>
      </c>
      <c r="B10725" s="485" t="s">
        <v>10793</v>
      </c>
      <c r="C10725" s="484" t="s">
        <v>65</v>
      </c>
      <c r="D10725" s="486">
        <v>727026.14</v>
      </c>
      <c r="E10725" s="486">
        <v>727026.14</v>
      </c>
    </row>
    <row r="10726" spans="1:5" ht="30">
      <c r="A10726" s="349">
        <v>10488</v>
      </c>
      <c r="B10726" s="348" t="s">
        <v>10795</v>
      </c>
      <c r="C10726" s="349" t="s">
        <v>65</v>
      </c>
      <c r="D10726" s="483">
        <v>880800</v>
      </c>
      <c r="E10726" s="483">
        <v>880800</v>
      </c>
    </row>
    <row r="10727" spans="1:5" ht="30">
      <c r="A10727" s="484">
        <v>13606</v>
      </c>
      <c r="B10727" s="485" t="s">
        <v>10808</v>
      </c>
      <c r="C10727" s="484" t="s">
        <v>65</v>
      </c>
      <c r="D10727" s="486">
        <v>780376.2</v>
      </c>
      <c r="E10727" s="486">
        <v>780376.2</v>
      </c>
    </row>
    <row r="10728" spans="1:5">
      <c r="A10728" s="349">
        <v>10489</v>
      </c>
      <c r="B10728" s="348" t="s">
        <v>253</v>
      </c>
      <c r="C10728" s="349" t="s">
        <v>57</v>
      </c>
      <c r="D10728" s="483">
        <v>12.71</v>
      </c>
      <c r="E10728" s="483">
        <v>12.71</v>
      </c>
    </row>
    <row r="10729" spans="1:5">
      <c r="A10729" s="484">
        <v>41073</v>
      </c>
      <c r="B10729" s="485" t="s">
        <v>10809</v>
      </c>
      <c r="C10729" s="484" t="s">
        <v>1643</v>
      </c>
      <c r="D10729" s="486">
        <v>2317.87</v>
      </c>
      <c r="E10729" s="486">
        <v>2317.87</v>
      </c>
    </row>
    <row r="10730" spans="1:5" ht="30">
      <c r="A10730" s="349">
        <v>34391</v>
      </c>
      <c r="B10730" s="348" t="s">
        <v>10811</v>
      </c>
      <c r="C10730" s="349" t="s">
        <v>256</v>
      </c>
      <c r="D10730" s="483">
        <v>334.86</v>
      </c>
      <c r="E10730" s="483">
        <v>334.86</v>
      </c>
    </row>
    <row r="10731" spans="1:5" ht="30">
      <c r="A10731" s="484">
        <v>10496</v>
      </c>
      <c r="B10731" s="485" t="s">
        <v>10812</v>
      </c>
      <c r="C10731" s="484" t="s">
        <v>256</v>
      </c>
      <c r="D10731" s="486">
        <v>291.5</v>
      </c>
      <c r="E10731" s="486">
        <v>291.5</v>
      </c>
    </row>
    <row r="10732" spans="1:5" ht="30">
      <c r="A10732" s="349">
        <v>10497</v>
      </c>
      <c r="B10732" s="348" t="s">
        <v>10813</v>
      </c>
      <c r="C10732" s="349" t="s">
        <v>256</v>
      </c>
      <c r="D10732" s="483">
        <v>757.89</v>
      </c>
      <c r="E10732" s="483">
        <v>757.89</v>
      </c>
    </row>
    <row r="10733" spans="1:5" ht="30">
      <c r="A10733" s="484">
        <v>10504</v>
      </c>
      <c r="B10733" s="485" t="s">
        <v>10814</v>
      </c>
      <c r="C10733" s="484" t="s">
        <v>256</v>
      </c>
      <c r="D10733" s="486">
        <v>886.16</v>
      </c>
      <c r="E10733" s="486">
        <v>886.16</v>
      </c>
    </row>
    <row r="10734" spans="1:5">
      <c r="A10734" s="349">
        <v>34390</v>
      </c>
      <c r="B10734" s="348" t="s">
        <v>10815</v>
      </c>
      <c r="C10734" s="349" t="s">
        <v>256</v>
      </c>
      <c r="D10734" s="483">
        <v>261.18</v>
      </c>
      <c r="E10734" s="483">
        <v>261.18</v>
      </c>
    </row>
    <row r="10735" spans="1:5">
      <c r="A10735" s="484">
        <v>34389</v>
      </c>
      <c r="B10735" s="485" t="s">
        <v>10816</v>
      </c>
      <c r="C10735" s="484" t="s">
        <v>256</v>
      </c>
      <c r="D10735" s="486">
        <v>81.62</v>
      </c>
      <c r="E10735" s="486">
        <v>81.62</v>
      </c>
    </row>
    <row r="10736" spans="1:5">
      <c r="A10736" s="349">
        <v>34388</v>
      </c>
      <c r="B10736" s="348" t="s">
        <v>10817</v>
      </c>
      <c r="C10736" s="349" t="s">
        <v>256</v>
      </c>
      <c r="D10736" s="483">
        <v>115.99</v>
      </c>
      <c r="E10736" s="483">
        <v>115.99</v>
      </c>
    </row>
    <row r="10737" spans="1:5">
      <c r="A10737" s="484">
        <v>34387</v>
      </c>
      <c r="B10737" s="485" t="s">
        <v>10818</v>
      </c>
      <c r="C10737" s="484" t="s">
        <v>256</v>
      </c>
      <c r="D10737" s="486">
        <v>188.3</v>
      </c>
      <c r="E10737" s="486">
        <v>188.3</v>
      </c>
    </row>
    <row r="10738" spans="1:5">
      <c r="A10738" s="349">
        <v>11188</v>
      </c>
      <c r="B10738" s="348" t="s">
        <v>10819</v>
      </c>
      <c r="C10738" s="349" t="s">
        <v>256</v>
      </c>
      <c r="D10738" s="483">
        <v>93.28</v>
      </c>
      <c r="E10738" s="483">
        <v>93.28</v>
      </c>
    </row>
    <row r="10739" spans="1:5">
      <c r="A10739" s="484">
        <v>11189</v>
      </c>
      <c r="B10739" s="485" t="s">
        <v>10820</v>
      </c>
      <c r="C10739" s="484" t="s">
        <v>256</v>
      </c>
      <c r="D10739" s="486">
        <v>139.91999999999999</v>
      </c>
      <c r="E10739" s="486">
        <v>139.91999999999999</v>
      </c>
    </row>
    <row r="10740" spans="1:5">
      <c r="A10740" s="349">
        <v>21107</v>
      </c>
      <c r="B10740" s="348" t="s">
        <v>10821</v>
      </c>
      <c r="C10740" s="349" t="s">
        <v>256</v>
      </c>
      <c r="D10740" s="483">
        <v>100.68</v>
      </c>
      <c r="E10740" s="483">
        <v>100.68</v>
      </c>
    </row>
    <row r="10741" spans="1:5">
      <c r="A10741" s="484">
        <v>34386</v>
      </c>
      <c r="B10741" s="485" t="s">
        <v>10822</v>
      </c>
      <c r="C10741" s="484" t="s">
        <v>256</v>
      </c>
      <c r="D10741" s="486">
        <v>174.89</v>
      </c>
      <c r="E10741" s="486">
        <v>174.89</v>
      </c>
    </row>
    <row r="10742" spans="1:5">
      <c r="A10742" s="349">
        <v>10490</v>
      </c>
      <c r="B10742" s="348" t="s">
        <v>11623</v>
      </c>
      <c r="C10742" s="349" t="s">
        <v>256</v>
      </c>
      <c r="D10742" s="483">
        <v>52.47</v>
      </c>
      <c r="E10742" s="483">
        <v>52.47</v>
      </c>
    </row>
    <row r="10743" spans="1:5">
      <c r="A10743" s="484">
        <v>10492</v>
      </c>
      <c r="B10743" s="485" t="s">
        <v>10824</v>
      </c>
      <c r="C10743" s="484" t="s">
        <v>256</v>
      </c>
      <c r="D10743" s="486">
        <v>69.95</v>
      </c>
      <c r="E10743" s="486">
        <v>69.95</v>
      </c>
    </row>
    <row r="10744" spans="1:5">
      <c r="A10744" s="349">
        <v>10493</v>
      </c>
      <c r="B10744" s="348" t="s">
        <v>10825</v>
      </c>
      <c r="C10744" s="349" t="s">
        <v>256</v>
      </c>
      <c r="D10744" s="483">
        <v>81.62</v>
      </c>
      <c r="E10744" s="483">
        <v>81.62</v>
      </c>
    </row>
    <row r="10745" spans="1:5">
      <c r="A10745" s="484">
        <v>10491</v>
      </c>
      <c r="B10745" s="485" t="s">
        <v>10826</v>
      </c>
      <c r="C10745" s="484" t="s">
        <v>256</v>
      </c>
      <c r="D10745" s="486">
        <v>99.11</v>
      </c>
      <c r="E10745" s="486">
        <v>99.11</v>
      </c>
    </row>
    <row r="10746" spans="1:5">
      <c r="A10746" s="349">
        <v>34385</v>
      </c>
      <c r="B10746" s="348" t="s">
        <v>10827</v>
      </c>
      <c r="C10746" s="349" t="s">
        <v>256</v>
      </c>
      <c r="D10746" s="483">
        <v>144.58000000000001</v>
      </c>
      <c r="E10746" s="483">
        <v>144.58000000000001</v>
      </c>
    </row>
    <row r="10747" spans="1:5">
      <c r="A10747" s="484">
        <v>10499</v>
      </c>
      <c r="B10747" s="485" t="s">
        <v>11624</v>
      </c>
      <c r="C10747" s="484" t="s">
        <v>256</v>
      </c>
      <c r="D10747" s="486">
        <v>58.29</v>
      </c>
      <c r="E10747" s="486">
        <v>58.29</v>
      </c>
    </row>
    <row r="10748" spans="1:5">
      <c r="A10748" s="349">
        <v>34384</v>
      </c>
      <c r="B10748" s="348" t="s">
        <v>10828</v>
      </c>
      <c r="C10748" s="349" t="s">
        <v>256</v>
      </c>
      <c r="D10748" s="483">
        <v>174.89</v>
      </c>
      <c r="E10748" s="483">
        <v>174.89</v>
      </c>
    </row>
    <row r="10749" spans="1:5">
      <c r="A10749" s="484">
        <v>11185</v>
      </c>
      <c r="B10749" s="485" t="s">
        <v>10829</v>
      </c>
      <c r="C10749" s="484" t="s">
        <v>256</v>
      </c>
      <c r="D10749" s="486">
        <v>180.72</v>
      </c>
      <c r="E10749" s="486">
        <v>180.72</v>
      </c>
    </row>
    <row r="10750" spans="1:5">
      <c r="A10750" s="349">
        <v>10507</v>
      </c>
      <c r="B10750" s="348" t="s">
        <v>10830</v>
      </c>
      <c r="C10750" s="349" t="s">
        <v>256</v>
      </c>
      <c r="D10750" s="483">
        <v>133.88999999999999</v>
      </c>
      <c r="E10750" s="483">
        <v>133.88999999999999</v>
      </c>
    </row>
    <row r="10751" spans="1:5">
      <c r="A10751" s="484">
        <v>10505</v>
      </c>
      <c r="B10751" s="485" t="s">
        <v>10831</v>
      </c>
      <c r="C10751" s="484" t="s">
        <v>256</v>
      </c>
      <c r="D10751" s="486">
        <v>79</v>
      </c>
      <c r="E10751" s="486">
        <v>79</v>
      </c>
    </row>
    <row r="10752" spans="1:5">
      <c r="A10752" s="349">
        <v>10506</v>
      </c>
      <c r="B10752" s="348" t="s">
        <v>10832</v>
      </c>
      <c r="C10752" s="349" t="s">
        <v>256</v>
      </c>
      <c r="D10752" s="483">
        <v>103.13</v>
      </c>
      <c r="E10752" s="483">
        <v>103.13</v>
      </c>
    </row>
    <row r="10753" spans="1:5" ht="30">
      <c r="A10753" s="484">
        <v>5031</v>
      </c>
      <c r="B10753" s="485" t="s">
        <v>10833</v>
      </c>
      <c r="C10753" s="484" t="s">
        <v>256</v>
      </c>
      <c r="D10753" s="486">
        <v>144.82</v>
      </c>
      <c r="E10753" s="486">
        <v>144.82</v>
      </c>
    </row>
    <row r="10754" spans="1:5">
      <c r="A10754" s="349">
        <v>10502</v>
      </c>
      <c r="B10754" s="348" t="s">
        <v>10837</v>
      </c>
      <c r="C10754" s="349" t="s">
        <v>256</v>
      </c>
      <c r="D10754" s="483">
        <v>168.75</v>
      </c>
      <c r="E10754" s="483">
        <v>168.75</v>
      </c>
    </row>
    <row r="10755" spans="1:5">
      <c r="A10755" s="484">
        <v>10501</v>
      </c>
      <c r="B10755" s="485" t="s">
        <v>10838</v>
      </c>
      <c r="C10755" s="484" t="s">
        <v>256</v>
      </c>
      <c r="D10755" s="486">
        <v>95.33</v>
      </c>
      <c r="E10755" s="486">
        <v>95.33</v>
      </c>
    </row>
    <row r="10756" spans="1:5">
      <c r="A10756" s="349">
        <v>10503</v>
      </c>
      <c r="B10756" s="348" t="s">
        <v>10839</v>
      </c>
      <c r="C10756" s="349" t="s">
        <v>256</v>
      </c>
      <c r="D10756" s="483">
        <v>128.80000000000001</v>
      </c>
      <c r="E10756" s="483">
        <v>128.80000000000001</v>
      </c>
    </row>
    <row r="10757" spans="1:5" ht="30">
      <c r="A10757" s="484">
        <v>20213</v>
      </c>
      <c r="B10757" s="485" t="s">
        <v>10841</v>
      </c>
      <c r="C10757" s="484" t="s">
        <v>71</v>
      </c>
      <c r="D10757" s="486">
        <v>8.42</v>
      </c>
      <c r="E10757" s="486">
        <v>8.42</v>
      </c>
    </row>
    <row r="10758" spans="1:5" ht="30">
      <c r="A10758" s="349">
        <v>20211</v>
      </c>
      <c r="B10758" s="348" t="s">
        <v>10842</v>
      </c>
      <c r="C10758" s="349" t="s">
        <v>71</v>
      </c>
      <c r="D10758" s="483">
        <v>12.43</v>
      </c>
      <c r="E10758" s="483">
        <v>12.43</v>
      </c>
    </row>
    <row r="10759" spans="1:5" ht="30">
      <c r="A10759" s="484">
        <v>4472</v>
      </c>
      <c r="B10759" s="485" t="s">
        <v>10843</v>
      </c>
      <c r="C10759" s="484" t="s">
        <v>71</v>
      </c>
      <c r="D10759" s="486">
        <v>14.97</v>
      </c>
      <c r="E10759" s="486">
        <v>14.97</v>
      </c>
    </row>
    <row r="10760" spans="1:5" ht="30">
      <c r="A10760" s="349">
        <v>35272</v>
      </c>
      <c r="B10760" s="348" t="s">
        <v>10844</v>
      </c>
      <c r="C10760" s="349" t="s">
        <v>71</v>
      </c>
      <c r="D10760" s="483">
        <v>19.66</v>
      </c>
      <c r="E10760" s="483">
        <v>19.66</v>
      </c>
    </row>
    <row r="10761" spans="1:5" ht="30">
      <c r="A10761" s="484">
        <v>4425</v>
      </c>
      <c r="B10761" s="485" t="s">
        <v>10845</v>
      </c>
      <c r="C10761" s="484" t="s">
        <v>71</v>
      </c>
      <c r="D10761" s="486">
        <v>11</v>
      </c>
      <c r="E10761" s="486">
        <v>11</v>
      </c>
    </row>
    <row r="10762" spans="1:5" ht="30">
      <c r="A10762" s="349">
        <v>4481</v>
      </c>
      <c r="B10762" s="348" t="s">
        <v>10846</v>
      </c>
      <c r="C10762" s="349" t="s">
        <v>71</v>
      </c>
      <c r="D10762" s="483">
        <v>20.260000000000002</v>
      </c>
      <c r="E10762" s="483">
        <v>20.260000000000002</v>
      </c>
    </row>
    <row r="10763" spans="1:5">
      <c r="A10763" s="484">
        <v>34345</v>
      </c>
      <c r="B10763" s="485" t="s">
        <v>10848</v>
      </c>
      <c r="C10763" s="484" t="s">
        <v>57</v>
      </c>
      <c r="D10763" s="486">
        <v>16.489999999999998</v>
      </c>
      <c r="E10763" s="486">
        <v>16.489999999999998</v>
      </c>
    </row>
    <row r="10764" spans="1:5">
      <c r="A10764" s="349">
        <v>41096</v>
      </c>
      <c r="B10764" s="348" t="s">
        <v>10849</v>
      </c>
      <c r="C10764" s="349" t="s">
        <v>1643</v>
      </c>
      <c r="D10764" s="483">
        <v>2909.08</v>
      </c>
      <c r="E10764" s="483">
        <v>2909.08</v>
      </c>
    </row>
    <row r="10765" spans="1:5" ht="30">
      <c r="A10765" s="484">
        <v>41776</v>
      </c>
      <c r="B10765" s="485" t="s">
        <v>10850</v>
      </c>
      <c r="C10765" s="484" t="s">
        <v>57</v>
      </c>
      <c r="D10765" s="486">
        <v>22.62</v>
      </c>
      <c r="E10765" s="486">
        <v>22.62</v>
      </c>
    </row>
    <row r="10766" spans="1:5" ht="30">
      <c r="A10766" s="349">
        <v>4487</v>
      </c>
      <c r="B10766" s="348" t="s">
        <v>10851</v>
      </c>
      <c r="C10766" s="349" t="s">
        <v>71</v>
      </c>
      <c r="D10766" s="483">
        <v>9.83</v>
      </c>
      <c r="E10766" s="483">
        <v>9.83</v>
      </c>
    </row>
    <row r="10767" spans="1:5">
      <c r="A10767" s="484">
        <v>11157</v>
      </c>
      <c r="B10767" s="485" t="s">
        <v>254</v>
      </c>
      <c r="C10767" s="484" t="s">
        <v>182</v>
      </c>
      <c r="D10767" s="486">
        <v>106.78</v>
      </c>
      <c r="E10767" s="486">
        <v>106.78</v>
      </c>
    </row>
    <row r="10768" spans="1:5" ht="30">
      <c r="A10768" s="349">
        <v>38081</v>
      </c>
      <c r="B10768" s="348" t="s">
        <v>1377</v>
      </c>
      <c r="C10768" s="349" t="s">
        <v>65</v>
      </c>
      <c r="D10768" s="483">
        <v>18.57</v>
      </c>
      <c r="E10768" s="483">
        <v>18.57</v>
      </c>
    </row>
    <row r="10769" spans="1:5" ht="30">
      <c r="A10769" s="484">
        <v>38070</v>
      </c>
      <c r="B10769" s="485" t="s">
        <v>11625</v>
      </c>
      <c r="C10769" s="484" t="s">
        <v>65</v>
      </c>
      <c r="D10769" s="486">
        <v>12.79</v>
      </c>
      <c r="E10769" s="486">
        <v>12.79</v>
      </c>
    </row>
    <row r="10770" spans="1:5" ht="30">
      <c r="A10770" s="349">
        <v>38072</v>
      </c>
      <c r="B10770" s="348" t="s">
        <v>11626</v>
      </c>
      <c r="C10770" s="349" t="s">
        <v>65</v>
      </c>
      <c r="D10770" s="483">
        <v>16.05</v>
      </c>
      <c r="E10770" s="483">
        <v>16.05</v>
      </c>
    </row>
    <row r="10771" spans="1:5" ht="30">
      <c r="A10771" s="484">
        <v>38079</v>
      </c>
      <c r="B10771" s="485" t="s">
        <v>11627</v>
      </c>
      <c r="C10771" s="484" t="s">
        <v>65</v>
      </c>
      <c r="D10771" s="486">
        <v>16.7</v>
      </c>
      <c r="E10771" s="486">
        <v>16.7</v>
      </c>
    </row>
    <row r="10772" spans="1:5" ht="30">
      <c r="A10772" s="349">
        <v>38068</v>
      </c>
      <c r="B10772" s="348" t="s">
        <v>11628</v>
      </c>
      <c r="C10772" s="349" t="s">
        <v>65</v>
      </c>
      <c r="D10772" s="483">
        <v>11.08</v>
      </c>
      <c r="E10772" s="483">
        <v>11.08</v>
      </c>
    </row>
    <row r="10773" spans="1:5" ht="30">
      <c r="A10773" s="484">
        <v>38076</v>
      </c>
      <c r="B10773" s="485" t="s">
        <v>11629</v>
      </c>
      <c r="C10773" s="484" t="s">
        <v>65</v>
      </c>
      <c r="D10773" s="486">
        <v>13.65</v>
      </c>
      <c r="E10773" s="486">
        <v>13.65</v>
      </c>
    </row>
    <row r="10774" spans="1:5" ht="30">
      <c r="A10774" s="349">
        <v>38074</v>
      </c>
      <c r="B10774" s="348" t="s">
        <v>11630</v>
      </c>
      <c r="C10774" s="349" t="s">
        <v>65</v>
      </c>
      <c r="D10774" s="483">
        <v>19.45</v>
      </c>
      <c r="E10774" s="483">
        <v>19.45</v>
      </c>
    </row>
    <row r="10775" spans="1:5" ht="30">
      <c r="A10775" s="484">
        <v>38071</v>
      </c>
      <c r="B10775" s="485" t="s">
        <v>11631</v>
      </c>
      <c r="C10775" s="484" t="s">
        <v>65</v>
      </c>
      <c r="D10775" s="486">
        <v>13.24</v>
      </c>
      <c r="E10775" s="486">
        <v>13.24</v>
      </c>
    </row>
    <row r="10776" spans="1:5">
      <c r="A10776" s="349">
        <v>41901</v>
      </c>
      <c r="B10776" s="348" t="s">
        <v>2199</v>
      </c>
      <c r="C10776" s="349" t="s">
        <v>90</v>
      </c>
      <c r="D10776" s="483">
        <v>3.18</v>
      </c>
      <c r="E10776" s="483">
        <v>3.18</v>
      </c>
    </row>
    <row r="10777" spans="1:5" ht="43.5" customHeight="1">
      <c r="A10777" s="484">
        <v>40871</v>
      </c>
      <c r="B10777" s="485" t="s">
        <v>3162</v>
      </c>
      <c r="C10777" s="484" t="s">
        <v>71</v>
      </c>
      <c r="D10777" s="486">
        <v>53.27</v>
      </c>
      <c r="E10777" s="486">
        <v>53.27</v>
      </c>
    </row>
    <row r="10778" spans="1:5" ht="43.5" customHeight="1">
      <c r="A10778" s="349">
        <v>40869</v>
      </c>
      <c r="B10778" s="348" t="s">
        <v>3163</v>
      </c>
      <c r="C10778" s="349" t="s">
        <v>71</v>
      </c>
      <c r="D10778" s="483">
        <v>18.989999999999998</v>
      </c>
      <c r="E10778" s="483">
        <v>18.989999999999998</v>
      </c>
    </row>
    <row r="10779" spans="1:5">
      <c r="A10779" s="484">
        <v>40870</v>
      </c>
      <c r="B10779" s="485" t="s">
        <v>3164</v>
      </c>
      <c r="C10779" s="484" t="s">
        <v>71</v>
      </c>
      <c r="D10779" s="486">
        <v>27.86</v>
      </c>
      <c r="E10779" s="486">
        <v>27.86</v>
      </c>
    </row>
    <row r="10780" spans="1:5" ht="30">
      <c r="A10780" s="349">
        <v>41900</v>
      </c>
      <c r="B10780" s="348" t="s">
        <v>3615</v>
      </c>
      <c r="C10780" s="349" t="s">
        <v>90</v>
      </c>
      <c r="D10780" s="483">
        <v>2.27</v>
      </c>
      <c r="E10780" s="483">
        <v>2.27</v>
      </c>
    </row>
    <row r="10781" spans="1:5" ht="30">
      <c r="A10781" s="484">
        <v>41899</v>
      </c>
      <c r="B10781" s="485" t="s">
        <v>3616</v>
      </c>
      <c r="C10781" s="484" t="s">
        <v>152</v>
      </c>
      <c r="D10781" s="486">
        <v>2057.0700000000002</v>
      </c>
      <c r="E10781" s="486">
        <v>2057.0700000000002</v>
      </c>
    </row>
    <row r="10782" spans="1:5" ht="30">
      <c r="A10782" s="349">
        <v>41964</v>
      </c>
      <c r="B10782" s="348" t="s">
        <v>19750</v>
      </c>
      <c r="C10782" s="349" t="s">
        <v>152</v>
      </c>
      <c r="D10782" s="483">
        <v>250</v>
      </c>
      <c r="E10782" s="483">
        <v>250</v>
      </c>
    </row>
    <row r="10783" spans="1:5" ht="30">
      <c r="A10783" s="484">
        <v>40866</v>
      </c>
      <c r="B10783" s="485" t="s">
        <v>4243</v>
      </c>
      <c r="C10783" s="484" t="s">
        <v>65</v>
      </c>
      <c r="D10783" s="486">
        <v>7.06</v>
      </c>
      <c r="E10783" s="486">
        <v>7.06</v>
      </c>
    </row>
    <row r="10784" spans="1:5" ht="30">
      <c r="A10784" s="349">
        <v>41904</v>
      </c>
      <c r="B10784" s="348" t="s">
        <v>4994</v>
      </c>
      <c r="C10784" s="349" t="s">
        <v>152</v>
      </c>
      <c r="D10784" s="483">
        <v>1634.51</v>
      </c>
      <c r="E10784" s="483">
        <v>1634.51</v>
      </c>
    </row>
    <row r="10785" spans="1:5" ht="30">
      <c r="A10785" s="484">
        <v>41902</v>
      </c>
      <c r="B10785" s="485" t="s">
        <v>4995</v>
      </c>
      <c r="C10785" s="484" t="s">
        <v>90</v>
      </c>
      <c r="D10785" s="486">
        <v>1.68</v>
      </c>
      <c r="E10785" s="486">
        <v>1.68</v>
      </c>
    </row>
    <row r="10786" spans="1:5" ht="30">
      <c r="A10786" s="349">
        <v>41905</v>
      </c>
      <c r="B10786" s="348" t="s">
        <v>4996</v>
      </c>
      <c r="C10786" s="349" t="s">
        <v>152</v>
      </c>
      <c r="D10786" s="483">
        <v>1.6</v>
      </c>
      <c r="E10786" s="483">
        <v>1.6</v>
      </c>
    </row>
    <row r="10787" spans="1:5" ht="30">
      <c r="A10787" s="484">
        <v>41903</v>
      </c>
      <c r="B10787" s="485" t="s">
        <v>4997</v>
      </c>
      <c r="C10787" s="484" t="s">
        <v>90</v>
      </c>
      <c r="D10787" s="486">
        <v>2.0299999999999998</v>
      </c>
      <c r="E10787" s="486">
        <v>2.0299999999999998</v>
      </c>
    </row>
    <row r="10788" spans="1:5" ht="30">
      <c r="A10788" s="349">
        <v>40868</v>
      </c>
      <c r="B10788" s="348" t="s">
        <v>5560</v>
      </c>
      <c r="C10788" s="349" t="s">
        <v>256</v>
      </c>
      <c r="D10788" s="483">
        <v>198.98</v>
      </c>
      <c r="E10788" s="483">
        <v>198.98</v>
      </c>
    </row>
    <row r="10789" spans="1:5" ht="30">
      <c r="A10789" s="484">
        <v>40878</v>
      </c>
      <c r="B10789" s="485" t="s">
        <v>5581</v>
      </c>
      <c r="C10789" s="484" t="s">
        <v>71</v>
      </c>
      <c r="D10789" s="486">
        <v>0.18</v>
      </c>
      <c r="E10789" s="486">
        <v>0.18</v>
      </c>
    </row>
    <row r="10790" spans="1:5">
      <c r="A10790" s="349">
        <v>40874</v>
      </c>
      <c r="B10790" s="348" t="s">
        <v>5757</v>
      </c>
      <c r="C10790" s="349" t="s">
        <v>65</v>
      </c>
      <c r="D10790" s="483">
        <v>1.83</v>
      </c>
      <c r="E10790" s="483">
        <v>1.83</v>
      </c>
    </row>
    <row r="10791" spans="1:5">
      <c r="A10791" s="484">
        <v>40875</v>
      </c>
      <c r="B10791" s="485" t="s">
        <v>5798</v>
      </c>
      <c r="C10791" s="484" t="s">
        <v>135</v>
      </c>
      <c r="D10791" s="486">
        <v>2.59</v>
      </c>
      <c r="E10791" s="486">
        <v>2.59</v>
      </c>
    </row>
    <row r="10792" spans="1:5" ht="30">
      <c r="A10792" s="349">
        <v>40555</v>
      </c>
      <c r="B10792" s="348" t="s">
        <v>5911</v>
      </c>
      <c r="C10792" s="349" t="s">
        <v>71</v>
      </c>
      <c r="D10792" s="483">
        <v>19.82</v>
      </c>
      <c r="E10792" s="483">
        <v>19.82</v>
      </c>
    </row>
    <row r="10793" spans="1:5">
      <c r="A10793" s="484">
        <v>40877</v>
      </c>
      <c r="B10793" s="485" t="s">
        <v>7243</v>
      </c>
      <c r="C10793" s="484" t="s">
        <v>256</v>
      </c>
      <c r="D10793" s="486">
        <v>4.29</v>
      </c>
      <c r="E10793" s="486">
        <v>4.29</v>
      </c>
    </row>
    <row r="10794" spans="1:5">
      <c r="A10794" s="349">
        <v>37623</v>
      </c>
      <c r="B10794" s="348" t="s">
        <v>7718</v>
      </c>
      <c r="C10794" s="349" t="s">
        <v>57</v>
      </c>
      <c r="D10794" s="483">
        <v>10.220000000000001</v>
      </c>
      <c r="E10794" s="483">
        <v>10.220000000000001</v>
      </c>
    </row>
    <row r="10795" spans="1:5" ht="30">
      <c r="A10795" s="484">
        <v>41757</v>
      </c>
      <c r="B10795" s="485" t="s">
        <v>8466</v>
      </c>
      <c r="C10795" s="484" t="s">
        <v>65</v>
      </c>
      <c r="D10795" s="486">
        <v>8940.93</v>
      </c>
      <c r="E10795" s="486">
        <v>8940.93</v>
      </c>
    </row>
    <row r="10796" spans="1:5" ht="30">
      <c r="A10796" s="349">
        <v>40872</v>
      </c>
      <c r="B10796" s="348" t="s">
        <v>8974</v>
      </c>
      <c r="C10796" s="349" t="s">
        <v>71</v>
      </c>
      <c r="D10796" s="483">
        <v>12.68</v>
      </c>
      <c r="E10796" s="483">
        <v>12.68</v>
      </c>
    </row>
    <row r="10797" spans="1:5" ht="60">
      <c r="A10797" s="484">
        <v>39965</v>
      </c>
      <c r="B10797" s="485" t="s">
        <v>9042</v>
      </c>
      <c r="C10797" s="484" t="s">
        <v>256</v>
      </c>
      <c r="D10797" s="486">
        <v>1201.92</v>
      </c>
      <c r="E10797" s="486">
        <v>1201.92</v>
      </c>
    </row>
    <row r="10798" spans="1:5" ht="75">
      <c r="A10798" s="349">
        <v>39964</v>
      </c>
      <c r="B10798" s="348" t="s">
        <v>9043</v>
      </c>
      <c r="C10798" s="349" t="s">
        <v>256</v>
      </c>
      <c r="D10798" s="483">
        <v>988.95</v>
      </c>
      <c r="E10798" s="483">
        <v>988.95</v>
      </c>
    </row>
    <row r="10799" spans="1:5" ht="45">
      <c r="A10799" s="484">
        <v>40867</v>
      </c>
      <c r="B10799" s="485" t="s">
        <v>9542</v>
      </c>
      <c r="C10799" s="484" t="s">
        <v>256</v>
      </c>
      <c r="D10799" s="486">
        <v>74.58</v>
      </c>
      <c r="E10799" s="486">
        <v>74.58</v>
      </c>
    </row>
    <row r="10800" spans="1:5" ht="30">
      <c r="A10800" s="349">
        <v>40865</v>
      </c>
      <c r="B10800" s="348" t="s">
        <v>9545</v>
      </c>
      <c r="C10800" s="349" t="s">
        <v>65</v>
      </c>
      <c r="D10800" s="483">
        <v>2.4500000000000002</v>
      </c>
      <c r="E10800" s="483">
        <v>2.4500000000000002</v>
      </c>
    </row>
    <row r="10801" spans="1:5" ht="30">
      <c r="A10801" s="484">
        <v>40609</v>
      </c>
      <c r="B10801" s="485" t="s">
        <v>9807</v>
      </c>
      <c r="C10801" s="484" t="s">
        <v>1643</v>
      </c>
      <c r="D10801" s="486">
        <v>101.29</v>
      </c>
      <c r="E10801" s="486">
        <v>101.29</v>
      </c>
    </row>
    <row r="10802" spans="1:5" ht="30">
      <c r="A10802" s="349">
        <v>40610</v>
      </c>
      <c r="B10802" s="348" t="s">
        <v>10840</v>
      </c>
      <c r="C10802" s="349" t="s">
        <v>71</v>
      </c>
      <c r="D10802" s="483">
        <v>34.58</v>
      </c>
      <c r="E10802" s="483">
        <v>34.58</v>
      </c>
    </row>
    <row r="10803" spans="1:5">
      <c r="A10803" s="484">
        <v>37370</v>
      </c>
      <c r="B10803" s="485" t="s">
        <v>1676</v>
      </c>
      <c r="C10803" s="484" t="s">
        <v>57</v>
      </c>
      <c r="D10803" s="486">
        <v>1.43</v>
      </c>
      <c r="E10803" s="486">
        <v>1.43</v>
      </c>
    </row>
    <row r="10804" spans="1:5">
      <c r="A10804" s="349">
        <v>40862</v>
      </c>
      <c r="B10804" s="348" t="s">
        <v>1677</v>
      </c>
      <c r="C10804" s="349" t="s">
        <v>1643</v>
      </c>
      <c r="D10804" s="483">
        <v>269.12</v>
      </c>
      <c r="E10804" s="483">
        <v>269.12</v>
      </c>
    </row>
    <row r="10805" spans="1:5">
      <c r="A10805" s="484">
        <v>37372</v>
      </c>
      <c r="B10805" s="485" t="s">
        <v>5317</v>
      </c>
      <c r="C10805" s="484" t="s">
        <v>57</v>
      </c>
      <c r="D10805" s="486">
        <v>0.34</v>
      </c>
      <c r="E10805" s="486">
        <v>0.34</v>
      </c>
    </row>
    <row r="10806" spans="1:5">
      <c r="A10806" s="349">
        <v>40863</v>
      </c>
      <c r="B10806" s="348" t="s">
        <v>5318</v>
      </c>
      <c r="C10806" s="349" t="s">
        <v>1643</v>
      </c>
      <c r="D10806" s="483">
        <v>63.93</v>
      </c>
      <c r="E10806" s="483">
        <v>63.93</v>
      </c>
    </row>
    <row r="10807" spans="1:5">
      <c r="A10807" s="484">
        <v>37373</v>
      </c>
      <c r="B10807" s="485" t="s">
        <v>8991</v>
      </c>
      <c r="C10807" s="484" t="s">
        <v>57</v>
      </c>
      <c r="D10807" s="486">
        <v>7.0000000000000007E-2</v>
      </c>
      <c r="E10807" s="486">
        <v>7.0000000000000007E-2</v>
      </c>
    </row>
    <row r="10808" spans="1:5">
      <c r="A10808" s="349">
        <v>40864</v>
      </c>
      <c r="B10808" s="348" t="s">
        <v>8992</v>
      </c>
      <c r="C10808" s="349" t="s">
        <v>1643</v>
      </c>
      <c r="D10808" s="483">
        <v>12.97</v>
      </c>
      <c r="E10808" s="483">
        <v>12.97</v>
      </c>
    </row>
    <row r="10809" spans="1:5">
      <c r="A10809" s="484">
        <v>37371</v>
      </c>
      <c r="B10809" s="485" t="s">
        <v>9850</v>
      </c>
      <c r="C10809" s="484" t="s">
        <v>57</v>
      </c>
      <c r="D10809" s="486">
        <v>0.65</v>
      </c>
      <c r="E10809" s="486">
        <v>0.65</v>
      </c>
    </row>
    <row r="10810" spans="1:5">
      <c r="A10810" s="349">
        <v>40861</v>
      </c>
      <c r="B10810" s="348" t="s">
        <v>9851</v>
      </c>
      <c r="C10810" s="349" t="s">
        <v>1643</v>
      </c>
      <c r="D10810" s="483">
        <v>122.96</v>
      </c>
      <c r="E10810" s="483">
        <v>122.96</v>
      </c>
    </row>
    <row r="10811" spans="1:5" ht="30">
      <c r="A10811" s="484">
        <v>10410</v>
      </c>
      <c r="B10811" s="485" t="s">
        <v>10703</v>
      </c>
      <c r="C10811" s="484" t="s">
        <v>65</v>
      </c>
      <c r="D10811" s="486">
        <v>45.55</v>
      </c>
      <c r="E10811" s="486">
        <v>45.55</v>
      </c>
    </row>
    <row r="10812" spans="1:5" ht="30">
      <c r="A10812" s="349">
        <v>10405</v>
      </c>
      <c r="B10812" s="348" t="s">
        <v>10705</v>
      </c>
      <c r="C10812" s="349" t="s">
        <v>65</v>
      </c>
      <c r="D10812" s="483">
        <v>152.69</v>
      </c>
      <c r="E10812" s="483">
        <v>152.69</v>
      </c>
    </row>
    <row r="10813" spans="1:5" ht="30">
      <c r="A10813" s="484">
        <v>10408</v>
      </c>
      <c r="B10813" s="485" t="s">
        <v>10706</v>
      </c>
      <c r="C10813" s="484" t="s">
        <v>65</v>
      </c>
      <c r="D10813" s="486">
        <v>106.77</v>
      </c>
      <c r="E10813" s="486">
        <v>106.77</v>
      </c>
    </row>
    <row r="10814" spans="1:5" ht="30">
      <c r="A10814" s="349">
        <v>10412</v>
      </c>
      <c r="B10814" s="348" t="s">
        <v>10708</v>
      </c>
      <c r="C10814" s="349" t="s">
        <v>65</v>
      </c>
      <c r="D10814" s="483">
        <v>33.51</v>
      </c>
      <c r="E10814" s="483">
        <v>33.51</v>
      </c>
    </row>
    <row r="10815" spans="1:5" ht="30">
      <c r="A10815" s="484">
        <v>10406</v>
      </c>
      <c r="B10815" s="485" t="s">
        <v>10707</v>
      </c>
      <c r="C10815" s="484" t="s">
        <v>65</v>
      </c>
      <c r="D10815" s="486">
        <v>210.9</v>
      </c>
      <c r="E10815" s="486">
        <v>210.9</v>
      </c>
    </row>
    <row r="10816" spans="1:5" ht="30">
      <c r="A10816" s="349">
        <v>10407</v>
      </c>
      <c r="B10816" s="348" t="s">
        <v>10709</v>
      </c>
      <c r="C10816" s="349" t="s">
        <v>65</v>
      </c>
      <c r="D10816" s="483">
        <v>327.11</v>
      </c>
      <c r="E10816" s="483">
        <v>327.11</v>
      </c>
    </row>
    <row r="10817" spans="1:5" ht="30">
      <c r="A10817" s="484">
        <v>10416</v>
      </c>
      <c r="B10817" s="485" t="s">
        <v>10713</v>
      </c>
      <c r="C10817" s="484" t="s">
        <v>65</v>
      </c>
      <c r="D10817" s="486">
        <v>40.57</v>
      </c>
      <c r="E10817" s="486">
        <v>40.57</v>
      </c>
    </row>
    <row r="10818" spans="1:5" ht="30">
      <c r="A10818" s="349">
        <v>10419</v>
      </c>
      <c r="B10818" s="348" t="s">
        <v>10714</v>
      </c>
      <c r="C10818" s="349" t="s">
        <v>65</v>
      </c>
      <c r="D10818" s="483">
        <v>35.21</v>
      </c>
      <c r="E10818" s="483">
        <v>35.21</v>
      </c>
    </row>
    <row r="10819" spans="1:5" ht="30">
      <c r="A10819" s="484">
        <v>21092</v>
      </c>
      <c r="B10819" s="485" t="s">
        <v>10716</v>
      </c>
      <c r="C10819" s="484" t="s">
        <v>65</v>
      </c>
      <c r="D10819" s="486">
        <v>20.13</v>
      </c>
      <c r="E10819" s="486">
        <v>20.13</v>
      </c>
    </row>
    <row r="10820" spans="1:5">
      <c r="A10820" s="349">
        <v>10418</v>
      </c>
      <c r="B10820" s="348" t="s">
        <v>10715</v>
      </c>
      <c r="C10820" s="349" t="s">
        <v>65</v>
      </c>
      <c r="D10820" s="483">
        <v>23.47</v>
      </c>
      <c r="E10820" s="483">
        <v>23.47</v>
      </c>
    </row>
    <row r="10821" spans="1:5" ht="30">
      <c r="A10821" s="484">
        <v>12657</v>
      </c>
      <c r="B10821" s="485" t="s">
        <v>10717</v>
      </c>
      <c r="C10821" s="484" t="s">
        <v>65</v>
      </c>
      <c r="D10821" s="486">
        <v>94.73</v>
      </c>
      <c r="E10821" s="486">
        <v>94.73</v>
      </c>
    </row>
    <row r="10822" spans="1:5">
      <c r="A10822" s="349">
        <v>10417</v>
      </c>
      <c r="B10822" s="348" t="s">
        <v>10718</v>
      </c>
      <c r="C10822" s="349" t="s">
        <v>65</v>
      </c>
      <c r="D10822" s="483">
        <v>59.11</v>
      </c>
      <c r="E10822" s="483">
        <v>59.11</v>
      </c>
    </row>
    <row r="10823" spans="1:5" ht="30">
      <c r="A10823" s="484">
        <v>10413</v>
      </c>
      <c r="B10823" s="485" t="s">
        <v>10720</v>
      </c>
      <c r="C10823" s="484" t="s">
        <v>65</v>
      </c>
      <c r="D10823" s="486">
        <v>21.48</v>
      </c>
      <c r="E10823" s="486">
        <v>21.48</v>
      </c>
    </row>
    <row r="10824" spans="1:5">
      <c r="A10824" s="349">
        <v>10414</v>
      </c>
      <c r="B10824" s="348" t="s">
        <v>10719</v>
      </c>
      <c r="C10824" s="349" t="s">
        <v>65</v>
      </c>
      <c r="D10824" s="483">
        <v>129.36000000000001</v>
      </c>
      <c r="E10824" s="483">
        <v>129.36000000000001</v>
      </c>
    </row>
    <row r="10825" spans="1:5">
      <c r="A10825" s="484">
        <v>10415</v>
      </c>
      <c r="B10825" s="485" t="s">
        <v>10721</v>
      </c>
      <c r="C10825" s="484" t="s">
        <v>65</v>
      </c>
      <c r="D10825" s="486">
        <v>224.51</v>
      </c>
      <c r="E10825" s="486">
        <v>224.51</v>
      </c>
    </row>
    <row r="10826" spans="1:5">
      <c r="A10826" s="349">
        <v>38643</v>
      </c>
      <c r="B10826" s="348" t="s">
        <v>10724</v>
      </c>
      <c r="C10826" s="349" t="s">
        <v>65</v>
      </c>
      <c r="D10826" s="483">
        <v>26.81</v>
      </c>
      <c r="E10826" s="483">
        <v>26.81</v>
      </c>
    </row>
    <row r="10827" spans="1:5">
      <c r="A10827" s="484">
        <v>6157</v>
      </c>
      <c r="B10827" s="485" t="s">
        <v>10725</v>
      </c>
      <c r="C10827" s="484" t="s">
        <v>65</v>
      </c>
      <c r="D10827" s="486">
        <v>36.630000000000003</v>
      </c>
      <c r="E10827" s="486">
        <v>36.630000000000003</v>
      </c>
    </row>
    <row r="10828" spans="1:5">
      <c r="A10828" s="349">
        <v>37588</v>
      </c>
      <c r="B10828" s="348" t="s">
        <v>10726</v>
      </c>
      <c r="C10828" s="349" t="s">
        <v>65</v>
      </c>
      <c r="D10828" s="483">
        <v>18.53</v>
      </c>
      <c r="E10828" s="483">
        <v>18.53</v>
      </c>
    </row>
    <row r="10829" spans="1:5">
      <c r="A10829" s="484">
        <v>6152</v>
      </c>
      <c r="B10829" s="485" t="s">
        <v>10729</v>
      </c>
      <c r="C10829" s="484" t="s">
        <v>65</v>
      </c>
      <c r="D10829" s="486">
        <v>2.2400000000000002</v>
      </c>
      <c r="E10829" s="486">
        <v>2.2400000000000002</v>
      </c>
    </row>
    <row r="10830" spans="1:5">
      <c r="A10830" s="349">
        <v>6158</v>
      </c>
      <c r="B10830" s="348" t="s">
        <v>10730</v>
      </c>
      <c r="C10830" s="349" t="s">
        <v>65</v>
      </c>
      <c r="D10830" s="483">
        <v>2.71</v>
      </c>
      <c r="E10830" s="483">
        <v>2.71</v>
      </c>
    </row>
    <row r="10831" spans="1:5">
      <c r="A10831" s="484">
        <v>6153</v>
      </c>
      <c r="B10831" s="485" t="s">
        <v>10732</v>
      </c>
      <c r="C10831" s="484" t="s">
        <v>65</v>
      </c>
      <c r="D10831" s="486">
        <v>2.11</v>
      </c>
      <c r="E10831" s="486">
        <v>2.11</v>
      </c>
    </row>
    <row r="10832" spans="1:5">
      <c r="A10832" s="349">
        <v>6156</v>
      </c>
      <c r="B10832" s="348" t="s">
        <v>10731</v>
      </c>
      <c r="C10832" s="349" t="s">
        <v>65</v>
      </c>
      <c r="D10832" s="483">
        <v>2.67</v>
      </c>
      <c r="E10832" s="483">
        <v>2.67</v>
      </c>
    </row>
    <row r="10833" spans="1:5">
      <c r="A10833" s="484">
        <v>6154</v>
      </c>
      <c r="B10833" s="485" t="s">
        <v>10733</v>
      </c>
      <c r="C10833" s="484" t="s">
        <v>65</v>
      </c>
      <c r="D10833" s="486">
        <v>5.03</v>
      </c>
      <c r="E10833" s="486">
        <v>5.03</v>
      </c>
    </row>
    <row r="10834" spans="1:5" ht="30">
      <c r="A10834" s="349">
        <v>6155</v>
      </c>
      <c r="B10834" s="348" t="s">
        <v>10735</v>
      </c>
      <c r="C10834" s="349" t="s">
        <v>65</v>
      </c>
      <c r="D10834" s="483">
        <v>10.4</v>
      </c>
      <c r="E10834" s="483">
        <v>10.4</v>
      </c>
    </row>
    <row r="10835" spans="1:5">
      <c r="A10835" s="484">
        <v>3115</v>
      </c>
      <c r="B10835" s="485" t="s">
        <v>10738</v>
      </c>
      <c r="C10835" s="484" t="s">
        <v>65</v>
      </c>
      <c r="D10835" s="486">
        <v>13.39</v>
      </c>
      <c r="E10835" s="486">
        <v>13.39</v>
      </c>
    </row>
    <row r="10836" spans="1:5">
      <c r="A10836" s="349">
        <v>3116</v>
      </c>
      <c r="B10836" s="348" t="s">
        <v>10739</v>
      </c>
      <c r="C10836" s="349" t="s">
        <v>65</v>
      </c>
      <c r="D10836" s="483">
        <v>13.8</v>
      </c>
      <c r="E10836" s="483">
        <v>13.8</v>
      </c>
    </row>
    <row r="10837" spans="1:5">
      <c r="A10837" s="484">
        <v>38166</v>
      </c>
      <c r="B10837" s="485" t="s">
        <v>10740</v>
      </c>
      <c r="C10837" s="484" t="s">
        <v>65</v>
      </c>
      <c r="D10837" s="486">
        <v>28.24</v>
      </c>
      <c r="E10837" s="486">
        <v>28.24</v>
      </c>
    </row>
    <row r="10838" spans="1:5">
      <c r="A10838" s="349">
        <v>38108</v>
      </c>
      <c r="B10838" s="348" t="s">
        <v>11614</v>
      </c>
      <c r="C10838" s="349" t="s">
        <v>65</v>
      </c>
      <c r="D10838" s="483">
        <v>39.06</v>
      </c>
      <c r="E10838" s="483">
        <v>39.06</v>
      </c>
    </row>
    <row r="10839" spans="1:5" ht="30">
      <c r="A10839" s="484">
        <v>38087</v>
      </c>
      <c r="B10839" s="485" t="s">
        <v>11615</v>
      </c>
      <c r="C10839" s="484" t="s">
        <v>65</v>
      </c>
      <c r="D10839" s="486">
        <v>50.24</v>
      </c>
      <c r="E10839" s="486">
        <v>50.24</v>
      </c>
    </row>
    <row r="10840" spans="1:5">
      <c r="A10840" s="349">
        <v>38109</v>
      </c>
      <c r="B10840" s="348" t="s">
        <v>11616</v>
      </c>
      <c r="C10840" s="349" t="s">
        <v>65</v>
      </c>
      <c r="D10840" s="483">
        <v>62.42</v>
      </c>
      <c r="E10840" s="483">
        <v>62.42</v>
      </c>
    </row>
    <row r="10841" spans="1:5" ht="30">
      <c r="A10841" s="484">
        <v>38088</v>
      </c>
      <c r="B10841" s="485" t="s">
        <v>11617</v>
      </c>
      <c r="C10841" s="484" t="s">
        <v>65</v>
      </c>
      <c r="D10841" s="486">
        <v>65.64</v>
      </c>
      <c r="E10841" s="486">
        <v>65.64</v>
      </c>
    </row>
    <row r="10842" spans="1:5">
      <c r="A10842" s="349">
        <v>38110</v>
      </c>
      <c r="B10842" s="348" t="s">
        <v>11618</v>
      </c>
      <c r="C10842" s="349" t="s">
        <v>65</v>
      </c>
      <c r="D10842" s="483">
        <v>24.01</v>
      </c>
      <c r="E10842" s="483">
        <v>24.01</v>
      </c>
    </row>
    <row r="10843" spans="1:5" ht="45">
      <c r="A10843" s="484">
        <v>38089</v>
      </c>
      <c r="B10843" s="485" t="s">
        <v>11619</v>
      </c>
      <c r="C10843" s="484" t="s">
        <v>65</v>
      </c>
      <c r="D10843" s="486">
        <v>41.84</v>
      </c>
      <c r="E10843" s="486">
        <v>41.84</v>
      </c>
    </row>
    <row r="10844" spans="1:5">
      <c r="A10844" s="349">
        <v>38111</v>
      </c>
      <c r="B10844" s="348" t="s">
        <v>11620</v>
      </c>
      <c r="C10844" s="349" t="s">
        <v>65</v>
      </c>
      <c r="D10844" s="483">
        <v>26.85</v>
      </c>
      <c r="E10844" s="483">
        <v>26.85</v>
      </c>
    </row>
    <row r="10845" spans="1:5" ht="45">
      <c r="A10845" s="484">
        <v>38090</v>
      </c>
      <c r="B10845" s="485" t="s">
        <v>11621</v>
      </c>
      <c r="C10845" s="484" t="s">
        <v>65</v>
      </c>
      <c r="D10845" s="486">
        <v>43.25</v>
      </c>
      <c r="E10845" s="486">
        <v>43.25</v>
      </c>
    </row>
    <row r="10846" spans="1:5" ht="29.25" customHeight="1">
      <c r="A10846" s="349">
        <v>11786</v>
      </c>
      <c r="B10846" s="348" t="s">
        <v>10743</v>
      </c>
      <c r="C10846" s="349" t="s">
        <v>65</v>
      </c>
      <c r="D10846" s="483">
        <v>227.6</v>
      </c>
      <c r="E10846" s="483">
        <v>227.6</v>
      </c>
    </row>
    <row r="10847" spans="1:5" ht="30">
      <c r="A10847" s="484">
        <v>13726</v>
      </c>
      <c r="B10847" s="485" t="s">
        <v>10745</v>
      </c>
      <c r="C10847" s="484" t="s">
        <v>65</v>
      </c>
      <c r="D10847" s="486">
        <v>30312.75</v>
      </c>
      <c r="E10847" s="486">
        <v>30312.75</v>
      </c>
    </row>
    <row r="10848" spans="1:5">
      <c r="A10848" s="349">
        <v>38400</v>
      </c>
      <c r="B10848" s="348" t="s">
        <v>10744</v>
      </c>
      <c r="C10848" s="349" t="s">
        <v>65</v>
      </c>
      <c r="D10848" s="483">
        <v>9.99</v>
      </c>
      <c r="E10848" s="483">
        <v>9.99</v>
      </c>
    </row>
    <row r="10849" spans="1:5" ht="30">
      <c r="A10849" s="484">
        <v>12627</v>
      </c>
      <c r="B10849" s="485" t="s">
        <v>10751</v>
      </c>
      <c r="C10849" s="484" t="s">
        <v>65</v>
      </c>
      <c r="D10849" s="486">
        <v>0.38</v>
      </c>
      <c r="E10849" s="486">
        <v>0.38</v>
      </c>
    </row>
    <row r="10850" spans="1:5">
      <c r="A10850" s="349">
        <v>6138</v>
      </c>
      <c r="B10850" s="348" t="s">
        <v>10752</v>
      </c>
      <c r="C10850" s="349" t="s">
        <v>65</v>
      </c>
      <c r="D10850" s="483">
        <v>1.42</v>
      </c>
      <c r="E10850" s="483">
        <v>1.42</v>
      </c>
    </row>
    <row r="10851" spans="1:5">
      <c r="A10851" s="484">
        <v>10615</v>
      </c>
      <c r="B10851" s="485" t="s">
        <v>10753</v>
      </c>
      <c r="C10851" s="484" t="s">
        <v>65</v>
      </c>
      <c r="D10851" s="486">
        <v>42011.26</v>
      </c>
      <c r="E10851" s="486">
        <v>42011.26</v>
      </c>
    </row>
    <row r="10852" spans="1:5">
      <c r="A10852" s="349">
        <v>13860</v>
      </c>
      <c r="B10852" s="348" t="s">
        <v>10754</v>
      </c>
      <c r="C10852" s="349" t="s">
        <v>65</v>
      </c>
      <c r="D10852" s="483">
        <v>45484.26</v>
      </c>
      <c r="E10852" s="483">
        <v>45484.26</v>
      </c>
    </row>
    <row r="10853" spans="1:5">
      <c r="A10853" s="484">
        <v>13532</v>
      </c>
      <c r="B10853" s="485" t="s">
        <v>10755</v>
      </c>
      <c r="C10853" s="484" t="s">
        <v>65</v>
      </c>
      <c r="D10853" s="486">
        <v>49466.81</v>
      </c>
      <c r="E10853" s="486">
        <v>49466.81</v>
      </c>
    </row>
    <row r="10854" spans="1:5" ht="30">
      <c r="A10854" s="349">
        <v>40824</v>
      </c>
      <c r="B10854" s="348" t="s">
        <v>10756</v>
      </c>
      <c r="C10854" s="349" t="s">
        <v>65</v>
      </c>
      <c r="D10854" s="483">
        <v>63605.55</v>
      </c>
      <c r="E10854" s="483">
        <v>63605.55</v>
      </c>
    </row>
    <row r="10855" spans="1:5">
      <c r="A10855" s="484">
        <v>39996</v>
      </c>
      <c r="B10855" s="485" t="s">
        <v>11622</v>
      </c>
      <c r="C10855" s="484" t="s">
        <v>71</v>
      </c>
      <c r="D10855" s="486">
        <v>0.51</v>
      </c>
      <c r="E10855" s="486">
        <v>0.51</v>
      </c>
    </row>
    <row r="10856" spans="1:5" ht="30">
      <c r="A10856" s="349">
        <v>10478</v>
      </c>
      <c r="B10856" s="348" t="s">
        <v>10770</v>
      </c>
      <c r="C10856" s="349" t="s">
        <v>91</v>
      </c>
      <c r="D10856" s="483">
        <v>22.68</v>
      </c>
      <c r="E10856" s="483">
        <v>22.68</v>
      </c>
    </row>
    <row r="10857" spans="1:5">
      <c r="A10857" s="484">
        <v>40514</v>
      </c>
      <c r="B10857" s="485" t="s">
        <v>252</v>
      </c>
      <c r="C10857" s="484" t="s">
        <v>91</v>
      </c>
      <c r="D10857" s="486">
        <v>20.09</v>
      </c>
      <c r="E10857" s="486">
        <v>20.09</v>
      </c>
    </row>
    <row r="10858" spans="1:5">
      <c r="A10858" s="349">
        <v>10475</v>
      </c>
      <c r="B10858" s="348" t="s">
        <v>10772</v>
      </c>
      <c r="C10858" s="349" t="s">
        <v>91</v>
      </c>
      <c r="D10858" s="483">
        <v>19.95</v>
      </c>
      <c r="E10858" s="483">
        <v>19.95</v>
      </c>
    </row>
    <row r="10859" spans="1:5" ht="30">
      <c r="A10859" s="484">
        <v>10481</v>
      </c>
      <c r="B10859" s="485" t="s">
        <v>10773</v>
      </c>
      <c r="C10859" s="484" t="s">
        <v>91</v>
      </c>
      <c r="D10859" s="486">
        <v>21.76</v>
      </c>
      <c r="E10859" s="486">
        <v>21.76</v>
      </c>
    </row>
    <row r="10860" spans="1:5">
      <c r="A10860" s="349">
        <v>4031</v>
      </c>
      <c r="B10860" s="348" t="s">
        <v>10777</v>
      </c>
      <c r="C10860" s="349" t="s">
        <v>256</v>
      </c>
      <c r="D10860" s="483">
        <v>3.22</v>
      </c>
      <c r="E10860" s="483">
        <v>3.22</v>
      </c>
    </row>
    <row r="10861" spans="1:5">
      <c r="A10861" s="484">
        <v>4030</v>
      </c>
      <c r="B10861" s="485" t="s">
        <v>10778</v>
      </c>
      <c r="C10861" s="484" t="s">
        <v>256</v>
      </c>
      <c r="D10861" s="486">
        <v>8.2799999999999994</v>
      </c>
      <c r="E10861" s="486">
        <v>8.2799999999999994</v>
      </c>
    </row>
    <row r="10862" spans="1:5">
      <c r="A10862" s="349">
        <v>39399</v>
      </c>
      <c r="B10862" s="348" t="s">
        <v>10780</v>
      </c>
      <c r="C10862" s="349" t="s">
        <v>65</v>
      </c>
      <c r="D10862" s="483">
        <v>800.55</v>
      </c>
      <c r="E10862" s="483">
        <v>800.55</v>
      </c>
    </row>
    <row r="10863" spans="1:5">
      <c r="A10863" s="484">
        <v>39400</v>
      </c>
      <c r="B10863" s="485" t="s">
        <v>10781</v>
      </c>
      <c r="C10863" s="484" t="s">
        <v>65</v>
      </c>
      <c r="D10863" s="486">
        <v>870.16</v>
      </c>
      <c r="E10863" s="486">
        <v>870.16</v>
      </c>
    </row>
    <row r="10864" spans="1:5">
      <c r="A10864" s="349">
        <v>39401</v>
      </c>
      <c r="B10864" s="348" t="s">
        <v>10782</v>
      </c>
      <c r="C10864" s="349" t="s">
        <v>65</v>
      </c>
      <c r="D10864" s="483">
        <v>976.11</v>
      </c>
      <c r="E10864" s="483">
        <v>976.11</v>
      </c>
    </row>
    <row r="10865" spans="1:5" ht="30">
      <c r="A10865" s="484">
        <v>11652</v>
      </c>
      <c r="B10865" s="485" t="s">
        <v>10783</v>
      </c>
      <c r="C10865" s="484" t="s">
        <v>65</v>
      </c>
      <c r="D10865" s="486">
        <v>2100</v>
      </c>
      <c r="E10865" s="486">
        <v>2100</v>
      </c>
    </row>
    <row r="10866" spans="1:5" ht="30">
      <c r="A10866" s="349">
        <v>13896</v>
      </c>
      <c r="B10866" s="348" t="s">
        <v>10785</v>
      </c>
      <c r="C10866" s="349" t="s">
        <v>65</v>
      </c>
      <c r="D10866" s="483">
        <v>1883.88</v>
      </c>
      <c r="E10866" s="483">
        <v>1883.88</v>
      </c>
    </row>
    <row r="10867" spans="1:5" ht="30">
      <c r="A10867" s="484">
        <v>13475</v>
      </c>
      <c r="B10867" s="485" t="s">
        <v>10784</v>
      </c>
      <c r="C10867" s="484" t="s">
        <v>65</v>
      </c>
      <c r="D10867" s="486">
        <v>2294.79</v>
      </c>
      <c r="E10867" s="486">
        <v>2294.79</v>
      </c>
    </row>
    <row r="10868" spans="1:5" ht="30">
      <c r="A10868" s="349">
        <v>25971</v>
      </c>
      <c r="B10868" s="348" t="s">
        <v>10794</v>
      </c>
      <c r="C10868" s="349" t="s">
        <v>65</v>
      </c>
      <c r="D10868" s="483">
        <v>1714526.34</v>
      </c>
      <c r="E10868" s="483">
        <v>1714526.34</v>
      </c>
    </row>
    <row r="10869" spans="1:5" ht="30">
      <c r="A10869" s="484">
        <v>25970</v>
      </c>
      <c r="B10869" s="485" t="s">
        <v>10792</v>
      </c>
      <c r="C10869" s="484" t="s">
        <v>65</v>
      </c>
      <c r="D10869" s="486">
        <v>721795.69</v>
      </c>
      <c r="E10869" s="486">
        <v>721795.69</v>
      </c>
    </row>
    <row r="10870" spans="1:5" ht="30">
      <c r="A10870" s="349">
        <v>13476</v>
      </c>
      <c r="B10870" s="348" t="s">
        <v>10793</v>
      </c>
      <c r="C10870" s="349" t="s">
        <v>65</v>
      </c>
      <c r="D10870" s="483">
        <v>727026.14</v>
      </c>
      <c r="E10870" s="483">
        <v>727026.14</v>
      </c>
    </row>
    <row r="10871" spans="1:5" ht="30">
      <c r="A10871" s="484">
        <v>10488</v>
      </c>
      <c r="B10871" s="485" t="s">
        <v>10795</v>
      </c>
      <c r="C10871" s="484" t="s">
        <v>65</v>
      </c>
      <c r="D10871" s="486">
        <v>880800</v>
      </c>
      <c r="E10871" s="486">
        <v>880800</v>
      </c>
    </row>
    <row r="10872" spans="1:5" ht="30">
      <c r="A10872" s="349">
        <v>13606</v>
      </c>
      <c r="B10872" s="348" t="s">
        <v>10808</v>
      </c>
      <c r="C10872" s="349" t="s">
        <v>65</v>
      </c>
      <c r="D10872" s="483">
        <v>780376.2</v>
      </c>
      <c r="E10872" s="483">
        <v>780376.2</v>
      </c>
    </row>
    <row r="10873" spans="1:5">
      <c r="A10873" s="484">
        <v>10489</v>
      </c>
      <c r="B10873" s="485" t="s">
        <v>253</v>
      </c>
      <c r="C10873" s="484" t="s">
        <v>57</v>
      </c>
      <c r="D10873" s="486">
        <v>10.99</v>
      </c>
      <c r="E10873" s="486">
        <v>10.99</v>
      </c>
    </row>
    <row r="10874" spans="1:5">
      <c r="A10874" s="349">
        <v>41073</v>
      </c>
      <c r="B10874" s="348" t="s">
        <v>10809</v>
      </c>
      <c r="C10874" s="349" t="s">
        <v>1643</v>
      </c>
      <c r="D10874" s="483">
        <v>2003.53</v>
      </c>
      <c r="E10874" s="483">
        <v>2003.53</v>
      </c>
    </row>
    <row r="10875" spans="1:5">
      <c r="A10875" s="484">
        <v>10500</v>
      </c>
      <c r="B10875" s="485" t="s">
        <v>10810</v>
      </c>
      <c r="C10875" s="484" t="s">
        <v>256</v>
      </c>
      <c r="D10875" s="486">
        <v>58.29</v>
      </c>
      <c r="E10875" s="486">
        <v>58.29</v>
      </c>
    </row>
    <row r="10876" spans="1:5" ht="30">
      <c r="A10876" s="349">
        <v>34391</v>
      </c>
      <c r="B10876" s="348" t="s">
        <v>10811</v>
      </c>
      <c r="C10876" s="349" t="s">
        <v>256</v>
      </c>
      <c r="D10876" s="483">
        <v>334.86</v>
      </c>
      <c r="E10876" s="483">
        <v>334.86</v>
      </c>
    </row>
    <row r="10877" spans="1:5" ht="30">
      <c r="A10877" s="484">
        <v>10496</v>
      </c>
      <c r="B10877" s="485" t="s">
        <v>10812</v>
      </c>
      <c r="C10877" s="484" t="s">
        <v>256</v>
      </c>
      <c r="D10877" s="486">
        <v>291.5</v>
      </c>
      <c r="E10877" s="486">
        <v>291.5</v>
      </c>
    </row>
    <row r="10878" spans="1:5" ht="30">
      <c r="A10878" s="349">
        <v>10497</v>
      </c>
      <c r="B10878" s="348" t="s">
        <v>10813</v>
      </c>
      <c r="C10878" s="349" t="s">
        <v>256</v>
      </c>
      <c r="D10878" s="483">
        <v>757.89</v>
      </c>
      <c r="E10878" s="483">
        <v>757.89</v>
      </c>
    </row>
    <row r="10879" spans="1:5" ht="30">
      <c r="A10879" s="484">
        <v>10504</v>
      </c>
      <c r="B10879" s="485" t="s">
        <v>10814</v>
      </c>
      <c r="C10879" s="484" t="s">
        <v>256</v>
      </c>
      <c r="D10879" s="486">
        <v>886.16</v>
      </c>
      <c r="E10879" s="486">
        <v>886.16</v>
      </c>
    </row>
    <row r="10880" spans="1:5">
      <c r="A10880" s="349">
        <v>34390</v>
      </c>
      <c r="B10880" s="348" t="s">
        <v>10815</v>
      </c>
      <c r="C10880" s="349" t="s">
        <v>256</v>
      </c>
      <c r="D10880" s="483">
        <v>261.18</v>
      </c>
      <c r="E10880" s="483">
        <v>261.18</v>
      </c>
    </row>
    <row r="10881" spans="1:5">
      <c r="A10881" s="484">
        <v>34389</v>
      </c>
      <c r="B10881" s="485" t="s">
        <v>10816</v>
      </c>
      <c r="C10881" s="484" t="s">
        <v>256</v>
      </c>
      <c r="D10881" s="486">
        <v>81.62</v>
      </c>
      <c r="E10881" s="486">
        <v>81.62</v>
      </c>
    </row>
    <row r="10882" spans="1:5">
      <c r="A10882" s="349">
        <v>34388</v>
      </c>
      <c r="B10882" s="348" t="s">
        <v>10817</v>
      </c>
      <c r="C10882" s="349" t="s">
        <v>256</v>
      </c>
      <c r="D10882" s="483">
        <v>115.99</v>
      </c>
      <c r="E10882" s="483">
        <v>115.99</v>
      </c>
    </row>
    <row r="10883" spans="1:5">
      <c r="A10883" s="484">
        <v>34387</v>
      </c>
      <c r="B10883" s="485" t="s">
        <v>10818</v>
      </c>
      <c r="C10883" s="484" t="s">
        <v>256</v>
      </c>
      <c r="D10883" s="486">
        <v>188.3</v>
      </c>
      <c r="E10883" s="486">
        <v>188.3</v>
      </c>
    </row>
    <row r="10884" spans="1:5">
      <c r="A10884" s="349">
        <v>11188</v>
      </c>
      <c r="B10884" s="348" t="s">
        <v>10819</v>
      </c>
      <c r="C10884" s="349" t="s">
        <v>256</v>
      </c>
      <c r="D10884" s="483">
        <v>93.28</v>
      </c>
      <c r="E10884" s="483">
        <v>93.28</v>
      </c>
    </row>
    <row r="10885" spans="1:5">
      <c r="A10885" s="484">
        <v>11189</v>
      </c>
      <c r="B10885" s="485" t="s">
        <v>10820</v>
      </c>
      <c r="C10885" s="484" t="s">
        <v>256</v>
      </c>
      <c r="D10885" s="486">
        <v>139.91999999999999</v>
      </c>
      <c r="E10885" s="486">
        <v>139.91999999999999</v>
      </c>
    </row>
    <row r="10886" spans="1:5">
      <c r="A10886" s="349">
        <v>21107</v>
      </c>
      <c r="B10886" s="348" t="s">
        <v>10821</v>
      </c>
      <c r="C10886" s="349" t="s">
        <v>256</v>
      </c>
      <c r="D10886" s="483">
        <v>100.68</v>
      </c>
      <c r="E10886" s="483">
        <v>100.68</v>
      </c>
    </row>
    <row r="10887" spans="1:5">
      <c r="A10887" s="484">
        <v>34386</v>
      </c>
      <c r="B10887" s="485" t="s">
        <v>10822</v>
      </c>
      <c r="C10887" s="484" t="s">
        <v>256</v>
      </c>
      <c r="D10887" s="486">
        <v>174.89</v>
      </c>
      <c r="E10887" s="486">
        <v>174.89</v>
      </c>
    </row>
    <row r="10888" spans="1:5">
      <c r="A10888" s="349">
        <v>10490</v>
      </c>
      <c r="B10888" s="348" t="s">
        <v>11623</v>
      </c>
      <c r="C10888" s="349" t="s">
        <v>256</v>
      </c>
      <c r="D10888" s="483">
        <v>52.47</v>
      </c>
      <c r="E10888" s="483">
        <v>52.47</v>
      </c>
    </row>
    <row r="10889" spans="1:5">
      <c r="A10889" s="484">
        <v>10494</v>
      </c>
      <c r="B10889" s="485" t="s">
        <v>10823</v>
      </c>
      <c r="C10889" s="484" t="s">
        <v>256</v>
      </c>
      <c r="D10889" s="486">
        <v>52.47</v>
      </c>
      <c r="E10889" s="486">
        <v>52.47</v>
      </c>
    </row>
    <row r="10890" spans="1:5">
      <c r="A10890" s="349">
        <v>10492</v>
      </c>
      <c r="B10890" s="348" t="s">
        <v>10824</v>
      </c>
      <c r="C10890" s="349" t="s">
        <v>256</v>
      </c>
      <c r="D10890" s="483">
        <v>69.95</v>
      </c>
      <c r="E10890" s="483">
        <v>69.95</v>
      </c>
    </row>
    <row r="10891" spans="1:5">
      <c r="A10891" s="484">
        <v>10493</v>
      </c>
      <c r="B10891" s="485" t="s">
        <v>10825</v>
      </c>
      <c r="C10891" s="484" t="s">
        <v>256</v>
      </c>
      <c r="D10891" s="486">
        <v>81.62</v>
      </c>
      <c r="E10891" s="486">
        <v>81.62</v>
      </c>
    </row>
    <row r="10892" spans="1:5">
      <c r="A10892" s="349">
        <v>10491</v>
      </c>
      <c r="B10892" s="348" t="s">
        <v>10826</v>
      </c>
      <c r="C10892" s="349" t="s">
        <v>256</v>
      </c>
      <c r="D10892" s="483">
        <v>99.11</v>
      </c>
      <c r="E10892" s="483">
        <v>99.11</v>
      </c>
    </row>
    <row r="10893" spans="1:5">
      <c r="A10893" s="484">
        <v>34385</v>
      </c>
      <c r="B10893" s="485" t="s">
        <v>10827</v>
      </c>
      <c r="C10893" s="484" t="s">
        <v>256</v>
      </c>
      <c r="D10893" s="486">
        <v>144.58000000000001</v>
      </c>
      <c r="E10893" s="486">
        <v>144.58000000000001</v>
      </c>
    </row>
    <row r="10894" spans="1:5">
      <c r="A10894" s="349">
        <v>10499</v>
      </c>
      <c r="B10894" s="348" t="s">
        <v>11624</v>
      </c>
      <c r="C10894" s="349" t="s">
        <v>256</v>
      </c>
      <c r="D10894" s="483">
        <v>58.29</v>
      </c>
      <c r="E10894" s="483">
        <v>58.29</v>
      </c>
    </row>
    <row r="10895" spans="1:5">
      <c r="A10895" s="484">
        <v>34384</v>
      </c>
      <c r="B10895" s="485" t="s">
        <v>10828</v>
      </c>
      <c r="C10895" s="484" t="s">
        <v>256</v>
      </c>
      <c r="D10895" s="486">
        <v>174.89</v>
      </c>
      <c r="E10895" s="486">
        <v>174.89</v>
      </c>
    </row>
    <row r="10896" spans="1:5">
      <c r="A10896" s="349">
        <v>11185</v>
      </c>
      <c r="B10896" s="348" t="s">
        <v>10829</v>
      </c>
      <c r="C10896" s="349" t="s">
        <v>256</v>
      </c>
      <c r="D10896" s="483">
        <v>180.72</v>
      </c>
      <c r="E10896" s="483">
        <v>180.72</v>
      </c>
    </row>
    <row r="10897" spans="1:5">
      <c r="A10897" s="484">
        <v>10507</v>
      </c>
      <c r="B10897" s="485" t="s">
        <v>10830</v>
      </c>
      <c r="C10897" s="484" t="s">
        <v>256</v>
      </c>
      <c r="D10897" s="486">
        <v>123.42</v>
      </c>
      <c r="E10897" s="486">
        <v>123.42</v>
      </c>
    </row>
    <row r="10898" spans="1:5">
      <c r="A10898" s="349">
        <v>10505</v>
      </c>
      <c r="B10898" s="348" t="s">
        <v>10831</v>
      </c>
      <c r="C10898" s="349" t="s">
        <v>256</v>
      </c>
      <c r="D10898" s="483">
        <v>72.83</v>
      </c>
      <c r="E10898" s="483">
        <v>72.83</v>
      </c>
    </row>
    <row r="10899" spans="1:5">
      <c r="A10899" s="484">
        <v>10506</v>
      </c>
      <c r="B10899" s="485" t="s">
        <v>10832</v>
      </c>
      <c r="C10899" s="484" t="s">
        <v>256</v>
      </c>
      <c r="D10899" s="486">
        <v>95.07</v>
      </c>
      <c r="E10899" s="486">
        <v>95.07</v>
      </c>
    </row>
    <row r="10900" spans="1:5" ht="30">
      <c r="A10900" s="349">
        <v>5031</v>
      </c>
      <c r="B10900" s="348" t="s">
        <v>10833</v>
      </c>
      <c r="C10900" s="349" t="s">
        <v>256</v>
      </c>
      <c r="D10900" s="483">
        <v>133.5</v>
      </c>
      <c r="E10900" s="483">
        <v>133.5</v>
      </c>
    </row>
    <row r="10901" spans="1:5">
      <c r="A10901" s="484">
        <v>10502</v>
      </c>
      <c r="B10901" s="485" t="s">
        <v>10837</v>
      </c>
      <c r="C10901" s="484" t="s">
        <v>256</v>
      </c>
      <c r="D10901" s="486">
        <v>155.55000000000001</v>
      </c>
      <c r="E10901" s="486">
        <v>155.55000000000001</v>
      </c>
    </row>
    <row r="10902" spans="1:5">
      <c r="A10902" s="349">
        <v>10501</v>
      </c>
      <c r="B10902" s="348" t="s">
        <v>10838</v>
      </c>
      <c r="C10902" s="349" t="s">
        <v>256</v>
      </c>
      <c r="D10902" s="483">
        <v>87.88</v>
      </c>
      <c r="E10902" s="483">
        <v>87.88</v>
      </c>
    </row>
    <row r="10903" spans="1:5">
      <c r="A10903" s="484">
        <v>10503</v>
      </c>
      <c r="B10903" s="485" t="s">
        <v>10839</v>
      </c>
      <c r="C10903" s="484" t="s">
        <v>256</v>
      </c>
      <c r="D10903" s="486">
        <v>118.73</v>
      </c>
      <c r="E10903" s="486">
        <v>118.73</v>
      </c>
    </row>
    <row r="10904" spans="1:5" ht="30">
      <c r="A10904" s="349">
        <v>40610</v>
      </c>
      <c r="B10904" s="348" t="s">
        <v>10840</v>
      </c>
      <c r="C10904" s="349" t="s">
        <v>71</v>
      </c>
      <c r="D10904" s="483">
        <v>32</v>
      </c>
      <c r="E10904" s="483">
        <v>32</v>
      </c>
    </row>
    <row r="10905" spans="1:5" ht="30">
      <c r="A10905" s="484">
        <v>20213</v>
      </c>
      <c r="B10905" s="485" t="s">
        <v>10841</v>
      </c>
      <c r="C10905" s="484" t="s">
        <v>71</v>
      </c>
      <c r="D10905" s="486">
        <v>8.42</v>
      </c>
      <c r="E10905" s="486">
        <v>8.42</v>
      </c>
    </row>
    <row r="10906" spans="1:5" ht="30">
      <c r="A10906" s="349">
        <v>20211</v>
      </c>
      <c r="B10906" s="348" t="s">
        <v>10842</v>
      </c>
      <c r="C10906" s="349" t="s">
        <v>71</v>
      </c>
      <c r="D10906" s="483">
        <v>12.43</v>
      </c>
      <c r="E10906" s="483">
        <v>12.43</v>
      </c>
    </row>
    <row r="10907" spans="1:5" ht="30">
      <c r="A10907" s="484">
        <v>4472</v>
      </c>
      <c r="B10907" s="485" t="s">
        <v>10843</v>
      </c>
      <c r="C10907" s="484" t="s">
        <v>71</v>
      </c>
      <c r="D10907" s="486">
        <v>14.83</v>
      </c>
      <c r="E10907" s="486">
        <v>14.83</v>
      </c>
    </row>
    <row r="10908" spans="1:5" ht="30">
      <c r="A10908" s="349">
        <v>35272</v>
      </c>
      <c r="B10908" s="348" t="s">
        <v>10844</v>
      </c>
      <c r="C10908" s="349" t="s">
        <v>71</v>
      </c>
      <c r="D10908" s="483">
        <v>19.48</v>
      </c>
      <c r="E10908" s="483">
        <v>19.48</v>
      </c>
    </row>
    <row r="10909" spans="1:5" ht="30">
      <c r="A10909" s="484">
        <v>4425</v>
      </c>
      <c r="B10909" s="485" t="s">
        <v>10845</v>
      </c>
      <c r="C10909" s="484" t="s">
        <v>71</v>
      </c>
      <c r="D10909" s="486">
        <v>10.9</v>
      </c>
      <c r="E10909" s="486">
        <v>10.9</v>
      </c>
    </row>
    <row r="10910" spans="1:5" ht="30">
      <c r="A10910" s="349">
        <v>4481</v>
      </c>
      <c r="B10910" s="348" t="s">
        <v>10846</v>
      </c>
      <c r="C10910" s="349" t="s">
        <v>71</v>
      </c>
      <c r="D10910" s="483">
        <v>20.079999999999998</v>
      </c>
      <c r="E10910" s="483">
        <v>20.079999999999998</v>
      </c>
    </row>
    <row r="10911" spans="1:5" ht="30">
      <c r="A10911" s="484">
        <v>40275</v>
      </c>
      <c r="B10911" s="485" t="s">
        <v>10847</v>
      </c>
      <c r="C10911" s="484" t="s">
        <v>1643</v>
      </c>
      <c r="D10911" s="486">
        <v>10</v>
      </c>
      <c r="E10911" s="486">
        <v>10</v>
      </c>
    </row>
    <row r="10912" spans="1:5">
      <c r="A10912" s="349">
        <v>34345</v>
      </c>
      <c r="B10912" s="348" t="s">
        <v>10848</v>
      </c>
      <c r="C10912" s="349" t="s">
        <v>57</v>
      </c>
      <c r="D10912" s="483">
        <v>14.28</v>
      </c>
      <c r="E10912" s="483">
        <v>14.28</v>
      </c>
    </row>
    <row r="10913" spans="1:5">
      <c r="A10913" s="484">
        <v>41096</v>
      </c>
      <c r="B10913" s="485" t="s">
        <v>10849</v>
      </c>
      <c r="C10913" s="484" t="s">
        <v>1643</v>
      </c>
      <c r="D10913" s="486">
        <v>2514.5700000000002</v>
      </c>
      <c r="E10913" s="486">
        <v>2514.5700000000002</v>
      </c>
    </row>
    <row r="10914" spans="1:5" ht="30">
      <c r="A10914" s="349">
        <v>41776</v>
      </c>
      <c r="B10914" s="348" t="s">
        <v>10850</v>
      </c>
      <c r="C10914" s="349" t="s">
        <v>57</v>
      </c>
      <c r="D10914" s="483">
        <v>19.579999999999998</v>
      </c>
      <c r="E10914" s="483">
        <v>19.579999999999998</v>
      </c>
    </row>
    <row r="10915" spans="1:5" ht="30">
      <c r="A10915" s="484">
        <v>4487</v>
      </c>
      <c r="B10915" s="485" t="s">
        <v>10851</v>
      </c>
      <c r="C10915" s="484" t="s">
        <v>71</v>
      </c>
      <c r="D10915" s="486">
        <v>9.74</v>
      </c>
      <c r="E10915" s="486">
        <v>9.74</v>
      </c>
    </row>
    <row r="10916" spans="1:5">
      <c r="A10916" s="349">
        <v>11157</v>
      </c>
      <c r="B10916" s="348" t="s">
        <v>254</v>
      </c>
      <c r="C10916" s="349" t="s">
        <v>182</v>
      </c>
      <c r="D10916" s="483">
        <v>108.27</v>
      </c>
      <c r="E10916" s="483">
        <v>108.27</v>
      </c>
    </row>
    <row r="10917" spans="1:5" ht="30">
      <c r="A10917" s="484">
        <v>38081</v>
      </c>
      <c r="B10917" s="485" t="s">
        <v>1377</v>
      </c>
      <c r="C10917" s="484" t="s">
        <v>65</v>
      </c>
      <c r="D10917" s="486">
        <v>19.809999999999999</v>
      </c>
      <c r="E10917" s="486">
        <v>19.809999999999999</v>
      </c>
    </row>
    <row r="10918" spans="1:5" ht="30">
      <c r="A10918" s="349">
        <v>38070</v>
      </c>
      <c r="B10918" s="348" t="s">
        <v>11625</v>
      </c>
      <c r="C10918" s="349" t="s">
        <v>65</v>
      </c>
      <c r="D10918" s="483">
        <v>13.65</v>
      </c>
      <c r="E10918" s="483">
        <v>13.65</v>
      </c>
    </row>
    <row r="10919" spans="1:5" ht="30">
      <c r="A10919" s="484">
        <v>38072</v>
      </c>
      <c r="B10919" s="485" t="s">
        <v>11626</v>
      </c>
      <c r="C10919" s="484" t="s">
        <v>65</v>
      </c>
      <c r="D10919" s="486">
        <v>17.12</v>
      </c>
      <c r="E10919" s="486">
        <v>17.12</v>
      </c>
    </row>
    <row r="10920" spans="1:5" ht="30">
      <c r="A10920" s="349">
        <v>38079</v>
      </c>
      <c r="B10920" s="348" t="s">
        <v>11627</v>
      </c>
      <c r="C10920" s="349" t="s">
        <v>65</v>
      </c>
      <c r="D10920" s="483">
        <v>17.809999999999999</v>
      </c>
      <c r="E10920" s="483">
        <v>17.809999999999999</v>
      </c>
    </row>
    <row r="10921" spans="1:5" ht="30">
      <c r="A10921" s="484">
        <v>38068</v>
      </c>
      <c r="B10921" s="485" t="s">
        <v>11628</v>
      </c>
      <c r="C10921" s="484" t="s">
        <v>65</v>
      </c>
      <c r="D10921" s="486">
        <v>11.82</v>
      </c>
      <c r="E10921" s="486">
        <v>11.82</v>
      </c>
    </row>
    <row r="10922" spans="1:5" ht="30">
      <c r="A10922" s="349">
        <v>38076</v>
      </c>
      <c r="B10922" s="348" t="s">
        <v>11629</v>
      </c>
      <c r="C10922" s="349" t="s">
        <v>65</v>
      </c>
      <c r="D10922" s="483">
        <v>14.56</v>
      </c>
      <c r="E10922" s="483">
        <v>14.56</v>
      </c>
    </row>
    <row r="10923" spans="1:5" ht="30">
      <c r="A10923" s="484">
        <v>38074</v>
      </c>
      <c r="B10923" s="485" t="s">
        <v>11630</v>
      </c>
      <c r="C10923" s="484" t="s">
        <v>65</v>
      </c>
      <c r="D10923" s="486">
        <v>20.75</v>
      </c>
      <c r="E10923" s="486">
        <v>20.75</v>
      </c>
    </row>
    <row r="10924" spans="1:5" ht="30">
      <c r="A10924" s="349">
        <v>38071</v>
      </c>
      <c r="B10924" s="348" t="s">
        <v>11631</v>
      </c>
      <c r="C10924" s="349" t="s">
        <v>65</v>
      </c>
      <c r="D10924" s="483">
        <v>14.13</v>
      </c>
      <c r="E10924" s="483">
        <v>14.13</v>
      </c>
    </row>
    <row r="10925" spans="1:5" ht="30.75" customHeight="1">
      <c r="A10925" s="484">
        <v>11421</v>
      </c>
      <c r="B10925" s="485" t="s">
        <v>11143</v>
      </c>
      <c r="C10925" s="484" t="s">
        <v>90</v>
      </c>
      <c r="D10925" s="486">
        <v>4.8</v>
      </c>
      <c r="E10925" s="486">
        <v>4.8</v>
      </c>
    </row>
  </sheetData>
  <pageMargins left="0.511811024" right="0.511811024" top="0.78740157499999996" bottom="0.78740157499999996" header="0.31496062000000002" footer="0.31496062000000002"/>
  <pageSetup paperSize="9" scale="71" orientation="portrait" horizontalDpi="1200" verticalDpi="1200" r:id="rId1"/>
  <rowBreaks count="1" manualBreakCount="1">
    <brk id="10351" max="16383"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B1:O66"/>
  <sheetViews>
    <sheetView zoomScale="85" zoomScaleNormal="85" zoomScaleSheetLayoutView="85" workbookViewId="0">
      <selection activeCell="C16" sqref="C16"/>
    </sheetView>
  </sheetViews>
  <sheetFormatPr defaultRowHeight="12.75"/>
  <cols>
    <col min="1" max="1" width="9.140625" style="36"/>
    <col min="2" max="2" width="9.85546875" style="444" customWidth="1"/>
    <col min="3" max="3" width="50" style="445" customWidth="1"/>
    <col min="4" max="4" width="9.5703125" style="445" customWidth="1"/>
    <col min="5" max="5" width="13" style="445" customWidth="1"/>
    <col min="6" max="6" width="14.140625" style="445" customWidth="1"/>
    <col min="7" max="7" width="13.28515625" style="444" customWidth="1"/>
    <col min="8" max="8" width="13.7109375" style="225" customWidth="1"/>
    <col min="9" max="9" width="13.28515625" style="444" customWidth="1"/>
    <col min="10" max="10" width="15.85546875" style="225" customWidth="1"/>
    <col min="11" max="11" width="16.7109375" style="445" customWidth="1"/>
    <col min="12" max="12" width="15.7109375" style="356" customWidth="1"/>
    <col min="13" max="13" width="12.7109375" style="36" customWidth="1"/>
    <col min="14" max="14" width="15.140625" style="356" customWidth="1"/>
    <col min="15" max="15" width="14.28515625" style="36" bestFit="1" customWidth="1"/>
    <col min="16" max="16" width="11.5703125" style="36" bestFit="1" customWidth="1"/>
    <col min="17" max="17" width="10.28515625" style="36" customWidth="1"/>
    <col min="18" max="16384" width="9.140625" style="36"/>
  </cols>
  <sheetData>
    <row r="1" spans="2:14" ht="30" customHeight="1">
      <c r="B1" s="1598" t="s">
        <v>14531</v>
      </c>
      <c r="C1" s="1599"/>
      <c r="D1" s="1599"/>
      <c r="E1" s="1599"/>
      <c r="F1" s="1599"/>
      <c r="G1" s="1599"/>
      <c r="H1" s="1599"/>
      <c r="I1" s="1599"/>
      <c r="J1" s="1600"/>
      <c r="K1" s="423"/>
    </row>
    <row r="2" spans="2:14">
      <c r="B2" s="424"/>
      <c r="C2" s="425"/>
      <c r="D2" s="425"/>
      <c r="E2" s="425"/>
      <c r="F2" s="425"/>
      <c r="G2" s="426"/>
      <c r="H2" s="427"/>
      <c r="I2" s="426"/>
      <c r="J2" s="428"/>
      <c r="K2" s="423"/>
    </row>
    <row r="3" spans="2:14">
      <c r="B3" s="351" t="s">
        <v>14532</v>
      </c>
      <c r="C3" s="429"/>
      <c r="D3" s="423"/>
      <c r="E3" s="423"/>
      <c r="F3" s="423"/>
      <c r="G3" s="352"/>
      <c r="H3" s="230"/>
      <c r="I3" s="352"/>
      <c r="J3" s="430"/>
      <c r="K3" s="423"/>
    </row>
    <row r="4" spans="2:14">
      <c r="B4" s="351" t="s">
        <v>14533</v>
      </c>
      <c r="C4" s="429"/>
      <c r="D4" s="423"/>
      <c r="E4" s="423"/>
      <c r="F4" s="423"/>
      <c r="G4" s="352"/>
      <c r="H4" s="230"/>
      <c r="I4" s="352"/>
      <c r="J4" s="430"/>
      <c r="K4" s="423"/>
    </row>
    <row r="5" spans="2:14">
      <c r="B5" s="351" t="s">
        <v>14534</v>
      </c>
      <c r="C5" s="429"/>
      <c r="D5" s="423"/>
      <c r="E5" s="423"/>
      <c r="F5" s="423"/>
      <c r="G5" s="352"/>
      <c r="H5" s="230"/>
      <c r="I5" s="352"/>
      <c r="J5" s="430"/>
      <c r="K5" s="423"/>
    </row>
    <row r="6" spans="2:14">
      <c r="B6" s="351" t="s">
        <v>14535</v>
      </c>
      <c r="C6" s="429"/>
      <c r="D6" s="423"/>
      <c r="E6" s="423"/>
      <c r="F6" s="423"/>
      <c r="G6" s="352"/>
      <c r="H6" s="230"/>
      <c r="I6" s="352"/>
      <c r="J6" s="430"/>
      <c r="K6" s="423"/>
    </row>
    <row r="7" spans="2:14">
      <c r="B7" s="351" t="s">
        <v>14536</v>
      </c>
      <c r="C7" s="429"/>
      <c r="D7" s="423"/>
      <c r="E7" s="423"/>
      <c r="F7" s="423"/>
      <c r="G7" s="352"/>
      <c r="H7" s="230"/>
      <c r="I7" s="352"/>
      <c r="J7" s="430"/>
      <c r="K7" s="423"/>
    </row>
    <row r="8" spans="2:14">
      <c r="B8" s="1605" t="s">
        <v>14537</v>
      </c>
      <c r="C8" s="1606"/>
      <c r="D8" s="1606"/>
      <c r="E8" s="1606"/>
      <c r="F8" s="1606"/>
      <c r="G8" s="1606"/>
      <c r="H8" s="1606"/>
      <c r="I8" s="431"/>
      <c r="J8" s="432"/>
      <c r="K8" s="431"/>
    </row>
    <row r="9" spans="2:14">
      <c r="B9" s="1605"/>
      <c r="C9" s="1606"/>
      <c r="D9" s="1606"/>
      <c r="E9" s="1606"/>
      <c r="F9" s="1606"/>
      <c r="G9" s="1606"/>
      <c r="H9" s="1606"/>
      <c r="I9" s="431"/>
      <c r="J9" s="432"/>
      <c r="K9" s="431"/>
    </row>
    <row r="10" spans="2:14">
      <c r="B10" s="1607"/>
      <c r="C10" s="1608"/>
      <c r="D10" s="1608"/>
      <c r="E10" s="1608"/>
      <c r="F10" s="1608"/>
      <c r="G10" s="1608"/>
      <c r="H10" s="1608"/>
      <c r="I10" s="433"/>
      <c r="J10" s="434"/>
      <c r="K10" s="431"/>
    </row>
    <row r="11" spans="2:14" ht="29.25" customHeight="1">
      <c r="B11" s="1596" t="s">
        <v>14538</v>
      </c>
      <c r="C11" s="1602" t="s">
        <v>14539</v>
      </c>
      <c r="D11" s="1597" t="s">
        <v>14540</v>
      </c>
      <c r="E11" s="1609" t="s">
        <v>14635</v>
      </c>
      <c r="F11" s="1610"/>
      <c r="G11" s="1596" t="s">
        <v>14645</v>
      </c>
      <c r="H11" s="1597"/>
      <c r="I11" s="1596" t="s">
        <v>14664</v>
      </c>
      <c r="J11" s="1597"/>
      <c r="K11" s="352"/>
    </row>
    <row r="12" spans="2:14" s="295" customFormat="1" ht="16.5" customHeight="1">
      <c r="B12" s="1601"/>
      <c r="C12" s="1603"/>
      <c r="D12" s="1604"/>
      <c r="E12" s="417" t="s">
        <v>14541</v>
      </c>
      <c r="F12" s="419" t="s">
        <v>14542</v>
      </c>
      <c r="G12" s="417" t="s">
        <v>14541</v>
      </c>
      <c r="H12" s="419" t="s">
        <v>14542</v>
      </c>
      <c r="I12" s="417" t="s">
        <v>14541</v>
      </c>
      <c r="J12" s="419" t="s">
        <v>14542</v>
      </c>
      <c r="K12" s="403"/>
      <c r="L12" s="356"/>
      <c r="N12" s="357"/>
    </row>
    <row r="13" spans="2:14" s="295" customFormat="1" ht="16.5" customHeight="1">
      <c r="B13" s="457" t="s">
        <v>14666</v>
      </c>
      <c r="C13" s="464" t="s">
        <v>14660</v>
      </c>
      <c r="D13" s="457" t="s">
        <v>14486</v>
      </c>
      <c r="E13" s="465">
        <v>0</v>
      </c>
      <c r="F13" s="462">
        <f>SUM(F14:F15)</f>
        <v>2174903.9</v>
      </c>
      <c r="G13" s="465">
        <v>0</v>
      </c>
      <c r="H13" s="462">
        <f>SUM(H14:H15)</f>
        <v>6352244.0599999996</v>
      </c>
      <c r="I13" s="461">
        <v>0</v>
      </c>
      <c r="J13" s="462">
        <f>F13+H13</f>
        <v>8527147.959999999</v>
      </c>
      <c r="N13" s="357"/>
    </row>
    <row r="14" spans="2:14" s="295" customFormat="1" ht="15.75" customHeight="1">
      <c r="B14" s="466"/>
      <c r="C14" s="459" t="s">
        <v>14668</v>
      </c>
      <c r="D14" s="466"/>
      <c r="E14" s="467"/>
      <c r="F14" s="408">
        <v>2174903.9</v>
      </c>
      <c r="G14" s="467"/>
      <c r="H14" s="408">
        <f>6352244.06-H15</f>
        <v>6161686.5599999996</v>
      </c>
      <c r="I14" s="468"/>
      <c r="J14" s="408">
        <f>F14+H14</f>
        <v>8336590.459999999</v>
      </c>
      <c r="N14" s="357"/>
    </row>
    <row r="15" spans="2:14" s="295" customFormat="1" ht="15.75" customHeight="1">
      <c r="B15" s="469"/>
      <c r="C15" s="460" t="s">
        <v>14669</v>
      </c>
      <c r="D15" s="469"/>
      <c r="E15" s="470"/>
      <c r="F15" s="471"/>
      <c r="G15" s="470"/>
      <c r="H15" s="471">
        <v>190557.5</v>
      </c>
      <c r="I15" s="472"/>
      <c r="J15" s="471">
        <f>F15+H15</f>
        <v>190557.5</v>
      </c>
      <c r="N15" s="357"/>
    </row>
    <row r="16" spans="2:14" s="295" customFormat="1" ht="15.75" customHeight="1">
      <c r="B16" s="422"/>
      <c r="C16" s="459"/>
      <c r="D16" s="481"/>
      <c r="E16" s="467"/>
      <c r="F16" s="408"/>
      <c r="G16" s="468"/>
      <c r="H16" s="408"/>
      <c r="I16" s="468"/>
      <c r="J16" s="408"/>
      <c r="N16" s="357"/>
    </row>
    <row r="17" spans="2:15" s="354" customFormat="1">
      <c r="B17" s="417" t="s">
        <v>11633</v>
      </c>
      <c r="C17" s="477" t="s">
        <v>14672</v>
      </c>
      <c r="D17" s="463" t="s">
        <v>14486</v>
      </c>
      <c r="E17" s="435"/>
      <c r="F17" s="360">
        <f>SUM(F45,F38,F34,F30,F26,F22,F19)</f>
        <v>464825.42</v>
      </c>
      <c r="G17" s="435"/>
      <c r="H17" s="360">
        <f>SUM(H45,H38,H34,H30,H26,H22,H19)</f>
        <v>-464825.42</v>
      </c>
      <c r="I17" s="435"/>
      <c r="J17" s="360">
        <f>SUM(J45,J38,J34,J30,J26,J22,J19)</f>
        <v>0</v>
      </c>
      <c r="K17" s="473">
        <f>RESUMO!J13</f>
        <v>0</v>
      </c>
      <c r="L17" s="353"/>
      <c r="N17" s="474"/>
      <c r="O17" s="355"/>
    </row>
    <row r="18" spans="2:15" s="295" customFormat="1">
      <c r="B18" s="407"/>
      <c r="C18" s="478"/>
      <c r="D18" s="406"/>
      <c r="E18" s="407"/>
      <c r="F18" s="420"/>
      <c r="G18" s="352"/>
      <c r="H18" s="420"/>
      <c r="I18" s="352"/>
      <c r="J18" s="420"/>
      <c r="N18" s="357"/>
    </row>
    <row r="19" spans="2:15" s="295" customFormat="1">
      <c r="B19" s="422">
        <v>1</v>
      </c>
      <c r="C19" s="458" t="s">
        <v>14661</v>
      </c>
      <c r="D19" s="466" t="s">
        <v>10854</v>
      </c>
      <c r="E19" s="236">
        <v>1</v>
      </c>
      <c r="F19" s="408">
        <f>F20</f>
        <v>0</v>
      </c>
      <c r="G19" s="236"/>
      <c r="H19" s="408">
        <f>H20</f>
        <v>0</v>
      </c>
      <c r="I19" s="437">
        <f>G19+E19</f>
        <v>1</v>
      </c>
      <c r="J19" s="408">
        <f>F19+H19</f>
        <v>0</v>
      </c>
      <c r="N19" s="357"/>
    </row>
    <row r="20" spans="2:15" s="295" customFormat="1">
      <c r="B20" s="422" t="s">
        <v>14543</v>
      </c>
      <c r="C20" s="479" t="s">
        <v>14558</v>
      </c>
      <c r="D20" s="466"/>
      <c r="E20" s="422"/>
      <c r="F20" s="418">
        <f>RESUMO!J15</f>
        <v>0</v>
      </c>
      <c r="G20" s="236"/>
      <c r="H20" s="418">
        <v>0</v>
      </c>
      <c r="I20" s="236"/>
      <c r="J20" s="418">
        <f>F20+H20</f>
        <v>0</v>
      </c>
      <c r="K20" s="436"/>
      <c r="L20" s="603"/>
      <c r="N20" s="357"/>
    </row>
    <row r="21" spans="2:15" s="295" customFormat="1">
      <c r="B21" s="422"/>
      <c r="C21" s="479"/>
      <c r="D21" s="421"/>
      <c r="E21" s="422"/>
      <c r="F21" s="430"/>
      <c r="G21" s="236"/>
      <c r="H21" s="430"/>
      <c r="I21" s="236"/>
      <c r="J21" s="430"/>
      <c r="K21" s="423"/>
      <c r="L21" s="356"/>
      <c r="N21" s="357"/>
    </row>
    <row r="22" spans="2:15">
      <c r="B22" s="422">
        <v>2</v>
      </c>
      <c r="C22" s="479" t="s">
        <v>14545</v>
      </c>
      <c r="D22" s="466" t="s">
        <v>18</v>
      </c>
      <c r="E22" s="437" t="s">
        <v>30</v>
      </c>
      <c r="F22" s="475">
        <f>SUM(F23:F24)</f>
        <v>0</v>
      </c>
      <c r="G22" s="476"/>
      <c r="H22" s="475">
        <f>SUM(H23:H24)</f>
        <v>0</v>
      </c>
      <c r="I22" s="437"/>
      <c r="J22" s="408">
        <f>H22+F22</f>
        <v>0</v>
      </c>
      <c r="K22" s="404"/>
    </row>
    <row r="23" spans="2:15">
      <c r="B23" s="422" t="s">
        <v>14556</v>
      </c>
      <c r="C23" s="479" t="s">
        <v>14558</v>
      </c>
      <c r="D23" s="466"/>
      <c r="E23" s="437"/>
      <c r="F23" s="418">
        <v>0</v>
      </c>
      <c r="G23" s="236"/>
      <c r="H23" s="418"/>
      <c r="I23" s="236"/>
      <c r="J23" s="418">
        <f>F23+H23</f>
        <v>0</v>
      </c>
      <c r="K23" s="405"/>
      <c r="M23" s="438"/>
    </row>
    <row r="24" spans="2:15">
      <c r="B24" s="422" t="s">
        <v>14544</v>
      </c>
      <c r="C24" s="479" t="s">
        <v>14644</v>
      </c>
      <c r="D24" s="466"/>
      <c r="E24" s="437"/>
      <c r="F24" s="418">
        <v>0</v>
      </c>
      <c r="G24" s="302"/>
      <c r="H24" s="418"/>
      <c r="I24" s="236"/>
      <c r="J24" s="418">
        <f>F24+H24</f>
        <v>0</v>
      </c>
      <c r="K24" s="405"/>
      <c r="M24" s="438"/>
    </row>
    <row r="25" spans="2:15">
      <c r="B25" s="422"/>
      <c r="C25" s="479"/>
      <c r="D25" s="466"/>
      <c r="E25" s="422"/>
      <c r="F25" s="430"/>
      <c r="G25" s="236"/>
      <c r="H25" s="430"/>
      <c r="I25" s="236"/>
      <c r="J25" s="430"/>
      <c r="K25" s="404"/>
      <c r="L25" s="603"/>
      <c r="M25" s="438"/>
    </row>
    <row r="26" spans="2:15">
      <c r="B26" s="422">
        <v>3</v>
      </c>
      <c r="C26" s="479" t="s">
        <v>14549</v>
      </c>
      <c r="D26" s="466" t="s">
        <v>10854</v>
      </c>
      <c r="E26" s="437" t="s">
        <v>30</v>
      </c>
      <c r="F26" s="475">
        <f>SUM(F27:F28)</f>
        <v>0</v>
      </c>
      <c r="G26" s="476"/>
      <c r="H26" s="475">
        <f>SUM(H27:H28)</f>
        <v>0</v>
      </c>
      <c r="I26" s="437"/>
      <c r="J26" s="408">
        <f>H26+F26</f>
        <v>0</v>
      </c>
      <c r="K26" s="404"/>
      <c r="M26" s="609"/>
    </row>
    <row r="27" spans="2:15">
      <c r="B27" s="422" t="s">
        <v>14546</v>
      </c>
      <c r="C27" s="479" t="s">
        <v>14558</v>
      </c>
      <c r="D27" s="421"/>
      <c r="E27" s="437"/>
      <c r="F27" s="418">
        <v>0</v>
      </c>
      <c r="G27" s="236"/>
      <c r="H27" s="418"/>
      <c r="I27" s="236"/>
      <c r="J27" s="418"/>
      <c r="K27" s="405"/>
    </row>
    <row r="28" spans="2:15">
      <c r="B28" s="422" t="s">
        <v>14547</v>
      </c>
      <c r="C28" s="479" t="s">
        <v>14644</v>
      </c>
      <c r="D28" s="421"/>
      <c r="E28" s="437"/>
      <c r="F28" s="418">
        <v>0</v>
      </c>
      <c r="G28" s="302"/>
      <c r="H28" s="418"/>
      <c r="I28" s="236"/>
      <c r="J28" s="418"/>
      <c r="K28" s="405"/>
    </row>
    <row r="29" spans="2:15">
      <c r="B29" s="422"/>
      <c r="C29" s="479"/>
      <c r="D29" s="421"/>
      <c r="E29" s="422"/>
      <c r="F29" s="418"/>
      <c r="G29" s="422"/>
      <c r="H29" s="418"/>
      <c r="I29" s="236"/>
      <c r="J29" s="418"/>
      <c r="K29" s="405"/>
    </row>
    <row r="30" spans="2:15">
      <c r="B30" s="422">
        <v>4</v>
      </c>
      <c r="C30" s="479" t="s">
        <v>20992</v>
      </c>
      <c r="D30" s="466" t="s">
        <v>18</v>
      </c>
      <c r="E30" s="467">
        <v>0</v>
      </c>
      <c r="F30" s="408">
        <v>0</v>
      </c>
      <c r="G30" s="437">
        <f>RESUMO!D17</f>
        <v>0</v>
      </c>
      <c r="H30" s="475">
        <f>SUM(H31:H32)</f>
        <v>0</v>
      </c>
      <c r="I30" s="437">
        <f>E30+G30</f>
        <v>0</v>
      </c>
      <c r="J30" s="408">
        <f>F30+H30</f>
        <v>0</v>
      </c>
      <c r="K30" s="404"/>
    </row>
    <row r="31" spans="2:15">
      <c r="B31" s="422" t="s">
        <v>14550</v>
      </c>
      <c r="C31" s="479" t="s">
        <v>14558</v>
      </c>
      <c r="D31" s="421"/>
      <c r="E31" s="422"/>
      <c r="F31" s="418"/>
      <c r="G31" s="236"/>
      <c r="H31" s="418">
        <f>RESUMO!F17</f>
        <v>0</v>
      </c>
      <c r="I31" s="236"/>
      <c r="J31" s="418">
        <f>F31+H31</f>
        <v>0</v>
      </c>
      <c r="K31" s="405"/>
    </row>
    <row r="32" spans="2:15">
      <c r="B32" s="422" t="s">
        <v>14551</v>
      </c>
      <c r="C32" s="479" t="s">
        <v>14644</v>
      </c>
      <c r="D32" s="466"/>
      <c r="E32" s="422"/>
      <c r="F32" s="418"/>
      <c r="G32" s="236"/>
      <c r="H32" s="418">
        <f>RESUMO!G17</f>
        <v>0</v>
      </c>
      <c r="I32" s="236"/>
      <c r="J32" s="418">
        <f>F32+H32</f>
        <v>0</v>
      </c>
      <c r="K32" s="405"/>
    </row>
    <row r="33" spans="2:15">
      <c r="B33" s="422"/>
      <c r="C33" s="479"/>
      <c r="D33" s="466"/>
      <c r="E33" s="422"/>
      <c r="F33" s="430"/>
      <c r="G33" s="236"/>
      <c r="H33" s="430"/>
      <c r="I33" s="236"/>
      <c r="J33" s="430"/>
      <c r="K33" s="423"/>
    </row>
    <row r="34" spans="2:15">
      <c r="B34" s="422">
        <v>5</v>
      </c>
      <c r="C34" s="479" t="s">
        <v>14662</v>
      </c>
      <c r="D34" s="466" t="s">
        <v>18</v>
      </c>
      <c r="E34" s="467">
        <v>0</v>
      </c>
      <c r="F34" s="408">
        <v>0</v>
      </c>
      <c r="G34" s="437">
        <f>RESUMO!D19</f>
        <v>1474</v>
      </c>
      <c r="H34" s="475">
        <f>SUM(H35:H36)</f>
        <v>0</v>
      </c>
      <c r="I34" s="437">
        <f>E34+G34</f>
        <v>1474</v>
      </c>
      <c r="J34" s="408">
        <f>F34+H34</f>
        <v>0</v>
      </c>
      <c r="K34" s="404"/>
    </row>
    <row r="35" spans="2:15">
      <c r="B35" s="422" t="s">
        <v>14552</v>
      </c>
      <c r="C35" s="479" t="s">
        <v>14558</v>
      </c>
      <c r="D35" s="421"/>
      <c r="E35" s="422"/>
      <c r="F35" s="418"/>
      <c r="G35" s="236"/>
      <c r="H35" s="418">
        <f>RESUMO!F19</f>
        <v>0</v>
      </c>
      <c r="I35" s="236"/>
      <c r="J35" s="418">
        <f>F35+H35</f>
        <v>0</v>
      </c>
      <c r="K35" s="405"/>
    </row>
    <row r="36" spans="2:15">
      <c r="B36" s="422" t="s">
        <v>14553</v>
      </c>
      <c r="C36" s="479" t="s">
        <v>14644</v>
      </c>
      <c r="D36" s="466"/>
      <c r="E36" s="422"/>
      <c r="F36" s="418"/>
      <c r="G36" s="236"/>
      <c r="H36" s="418">
        <f>RESUMO!G19</f>
        <v>0</v>
      </c>
      <c r="I36" s="236"/>
      <c r="J36" s="418">
        <f>F36+H36</f>
        <v>0</v>
      </c>
      <c r="K36" s="405"/>
    </row>
    <row r="37" spans="2:15">
      <c r="B37" s="422"/>
      <c r="C37" s="479"/>
      <c r="D37" s="466"/>
      <c r="E37" s="422"/>
      <c r="F37" s="430"/>
      <c r="G37" s="236"/>
      <c r="H37" s="430"/>
      <c r="I37" s="236"/>
      <c r="J37" s="430"/>
      <c r="K37" s="423"/>
    </row>
    <row r="38" spans="2:15">
      <c r="B38" s="422">
        <v>6</v>
      </c>
      <c r="C38" s="479" t="s">
        <v>14663</v>
      </c>
      <c r="D38" s="466" t="s">
        <v>10854</v>
      </c>
      <c r="E38" s="467">
        <v>0</v>
      </c>
      <c r="F38" s="408">
        <v>464825.42</v>
      </c>
      <c r="G38" s="236">
        <v>1</v>
      </c>
      <c r="H38" s="475">
        <f>SUM(H39:H43)</f>
        <v>-464825.42</v>
      </c>
      <c r="I38" s="437">
        <f>E38+G38</f>
        <v>1</v>
      </c>
      <c r="J38" s="408">
        <f>F38+H38</f>
        <v>0</v>
      </c>
      <c r="K38" s="404"/>
      <c r="M38" s="356"/>
    </row>
    <row r="39" spans="2:15">
      <c r="B39" s="422" t="s">
        <v>14636</v>
      </c>
      <c r="C39" s="479" t="s">
        <v>14558</v>
      </c>
      <c r="D39" s="466"/>
      <c r="E39" s="422"/>
      <c r="F39" s="418"/>
      <c r="G39" s="236"/>
      <c r="H39" s="418">
        <f>RESUMO!F21-F40</f>
        <v>-464825.42</v>
      </c>
      <c r="I39" s="236"/>
      <c r="J39" s="418">
        <f>F39+H39</f>
        <v>-464825.42</v>
      </c>
      <c r="K39" s="405"/>
    </row>
    <row r="40" spans="2:15">
      <c r="B40" s="422" t="s">
        <v>21119</v>
      </c>
      <c r="C40" s="479" t="s">
        <v>21120</v>
      </c>
      <c r="D40" s="466"/>
      <c r="E40" s="422"/>
      <c r="F40" s="418">
        <v>464825.42</v>
      </c>
      <c r="G40" s="236"/>
      <c r="H40" s="418">
        <v>0</v>
      </c>
      <c r="I40" s="236"/>
      <c r="J40" s="418">
        <v>464825.42</v>
      </c>
      <c r="K40" s="405"/>
    </row>
    <row r="41" spans="2:15">
      <c r="B41" s="422" t="s">
        <v>14637</v>
      </c>
      <c r="C41" s="479" t="s">
        <v>14644</v>
      </c>
      <c r="D41" s="466"/>
      <c r="E41" s="422"/>
      <c r="F41" s="418"/>
      <c r="G41" s="236"/>
      <c r="H41" s="418">
        <f>RESUMO!G21</f>
        <v>0</v>
      </c>
      <c r="I41" s="236"/>
      <c r="J41" s="418">
        <f>F41+H41</f>
        <v>0</v>
      </c>
      <c r="K41" s="405"/>
    </row>
    <row r="42" spans="2:15">
      <c r="B42" s="422" t="s">
        <v>12633</v>
      </c>
      <c r="C42" s="479" t="s">
        <v>14548</v>
      </c>
      <c r="D42" s="466"/>
      <c r="E42" s="422"/>
      <c r="F42" s="418"/>
      <c r="G42" s="236"/>
      <c r="H42" s="418">
        <f>RESUMO!H21</f>
        <v>0</v>
      </c>
      <c r="I42" s="236"/>
      <c r="J42" s="418">
        <f>F42+H42</f>
        <v>0</v>
      </c>
      <c r="K42" s="405"/>
    </row>
    <row r="43" spans="2:15">
      <c r="B43" s="422" t="s">
        <v>14638</v>
      </c>
      <c r="C43" s="479" t="s">
        <v>14557</v>
      </c>
      <c r="D43" s="466"/>
      <c r="E43" s="422"/>
      <c r="F43" s="418"/>
      <c r="G43" s="236"/>
      <c r="H43" s="418">
        <f>RESUMO!I21</f>
        <v>0</v>
      </c>
      <c r="I43" s="236"/>
      <c r="J43" s="418">
        <f>F43+H43</f>
        <v>0</v>
      </c>
      <c r="K43" s="405"/>
    </row>
    <row r="44" spans="2:15">
      <c r="B44" s="422"/>
      <c r="C44" s="479"/>
      <c r="D44" s="466"/>
      <c r="E44" s="422"/>
      <c r="F44" s="418"/>
      <c r="G44" s="236"/>
      <c r="H44" s="418"/>
      <c r="I44" s="236"/>
      <c r="J44" s="418"/>
      <c r="K44" s="405"/>
    </row>
    <row r="45" spans="2:15">
      <c r="B45" s="422">
        <v>7</v>
      </c>
      <c r="C45" s="458" t="s">
        <v>14639</v>
      </c>
      <c r="D45" s="466" t="s">
        <v>14486</v>
      </c>
      <c r="E45" s="422">
        <v>1</v>
      </c>
      <c r="F45" s="418">
        <f>RESUMO!F35+RESUMO!F36</f>
        <v>0</v>
      </c>
      <c r="G45" s="467">
        <v>0</v>
      </c>
      <c r="H45" s="408">
        <v>0</v>
      </c>
      <c r="I45" s="437">
        <f>E45+G45</f>
        <v>1</v>
      </c>
      <c r="J45" s="408">
        <f>H45+F45</f>
        <v>0</v>
      </c>
      <c r="K45" s="405"/>
      <c r="O45" s="358"/>
    </row>
    <row r="46" spans="2:15">
      <c r="B46" s="422"/>
      <c r="C46" s="479"/>
      <c r="D46" s="466"/>
      <c r="E46" s="422"/>
      <c r="F46" s="430"/>
      <c r="G46" s="236"/>
      <c r="H46" s="430"/>
      <c r="I46" s="236"/>
      <c r="J46" s="430"/>
      <c r="K46" s="423"/>
      <c r="O46" s="358"/>
    </row>
    <row r="47" spans="2:15" s="354" customFormat="1">
      <c r="B47" s="417" t="s">
        <v>14554</v>
      </c>
      <c r="C47" s="477" t="s">
        <v>14665</v>
      </c>
      <c r="D47" s="463" t="s">
        <v>14486</v>
      </c>
      <c r="E47" s="435"/>
      <c r="F47" s="360">
        <v>0</v>
      </c>
      <c r="G47" s="435"/>
      <c r="H47" s="360">
        <v>0</v>
      </c>
      <c r="I47" s="435"/>
      <c r="J47" s="359">
        <f>F47+H47</f>
        <v>0</v>
      </c>
      <c r="K47" s="473"/>
      <c r="L47" s="353"/>
      <c r="N47" s="353"/>
      <c r="O47" s="355"/>
    </row>
    <row r="48" spans="2:15">
      <c r="B48" s="422"/>
      <c r="C48" s="479"/>
      <c r="D48" s="466"/>
      <c r="E48" s="422"/>
      <c r="F48" s="418"/>
      <c r="G48" s="236"/>
      <c r="H48" s="418"/>
      <c r="I48" s="236"/>
      <c r="J48" s="418"/>
      <c r="K48" s="405"/>
      <c r="N48" s="439"/>
      <c r="O48" s="358"/>
    </row>
    <row r="49" spans="2:15" s="354" customFormat="1">
      <c r="B49" s="417" t="s">
        <v>14555</v>
      </c>
      <c r="C49" s="477" t="s">
        <v>14671</v>
      </c>
      <c r="D49" s="463" t="s">
        <v>14486</v>
      </c>
      <c r="E49" s="435"/>
      <c r="F49" s="360">
        <f>F17+F47</f>
        <v>464825.42</v>
      </c>
      <c r="G49" s="435"/>
      <c r="H49" s="360">
        <f>H17+H47</f>
        <v>-464825.42</v>
      </c>
      <c r="I49" s="435"/>
      <c r="J49" s="359">
        <f>F49+H49</f>
        <v>0</v>
      </c>
      <c r="K49" s="473"/>
      <c r="L49" s="353"/>
      <c r="N49" s="474"/>
      <c r="O49" s="355"/>
    </row>
    <row r="50" spans="2:15">
      <c r="B50" s="422"/>
      <c r="C50" s="479"/>
      <c r="D50" s="466"/>
      <c r="E50" s="435"/>
      <c r="F50" s="418"/>
      <c r="G50" s="440"/>
      <c r="H50" s="418"/>
      <c r="I50" s="440"/>
      <c r="J50" s="408"/>
      <c r="K50" s="405"/>
      <c r="N50" s="439"/>
      <c r="O50" s="358"/>
    </row>
    <row r="51" spans="2:15" s="354" customFormat="1">
      <c r="B51" s="417" t="s">
        <v>14667</v>
      </c>
      <c r="C51" s="477" t="s">
        <v>14670</v>
      </c>
      <c r="D51" s="463" t="s">
        <v>14486</v>
      </c>
      <c r="E51" s="435"/>
      <c r="F51" s="360">
        <f>F13+F49</f>
        <v>2639729.3199999998</v>
      </c>
      <c r="G51" s="435"/>
      <c r="H51" s="360">
        <f>H13+H49</f>
        <v>5887418.6399999997</v>
      </c>
      <c r="I51" s="435"/>
      <c r="J51" s="359">
        <f>F51+H51</f>
        <v>8527147.959999999</v>
      </c>
      <c r="K51" s="473"/>
      <c r="L51" s="353"/>
      <c r="N51" s="474"/>
      <c r="O51" s="355"/>
    </row>
    <row r="52" spans="2:15">
      <c r="B52" s="441"/>
      <c r="C52" s="480"/>
      <c r="D52" s="469"/>
      <c r="E52" s="441"/>
      <c r="F52" s="442"/>
      <c r="G52" s="443"/>
      <c r="H52" s="442"/>
      <c r="I52" s="443"/>
      <c r="J52" s="442"/>
      <c r="K52" s="423"/>
      <c r="O52" s="358"/>
    </row>
    <row r="53" spans="2:15">
      <c r="B53" s="236"/>
      <c r="C53" s="230"/>
      <c r="D53" s="236"/>
      <c r="E53" s="236"/>
      <c r="F53" s="230"/>
      <c r="G53" s="236"/>
      <c r="H53" s="230"/>
      <c r="I53" s="236"/>
      <c r="J53" s="230"/>
      <c r="K53" s="423"/>
      <c r="O53" s="358"/>
    </row>
    <row r="54" spans="2:15">
      <c r="B54" s="236"/>
      <c r="C54" s="230"/>
      <c r="D54" s="236"/>
      <c r="E54" s="236"/>
      <c r="F54" s="230"/>
      <c r="G54" s="236"/>
      <c r="H54" s="482">
        <v>25157180.32</v>
      </c>
      <c r="I54" s="236"/>
      <c r="J54" s="230"/>
      <c r="K54" s="423"/>
      <c r="O54" s="358"/>
    </row>
    <row r="55" spans="2:15">
      <c r="H55" s="232">
        <f>H54-H51</f>
        <v>19269761.68</v>
      </c>
    </row>
    <row r="56" spans="2:15" hidden="1">
      <c r="G56" s="445"/>
      <c r="H56" s="455">
        <v>25157180.329999998</v>
      </c>
      <c r="I56" s="445"/>
    </row>
    <row r="57" spans="2:15" hidden="1">
      <c r="G57" s="445"/>
      <c r="H57" s="445"/>
      <c r="I57" s="445"/>
    </row>
    <row r="58" spans="2:15" hidden="1">
      <c r="G58" s="446"/>
      <c r="H58" s="447" t="s">
        <v>14640</v>
      </c>
      <c r="I58" s="448" t="s">
        <v>14643</v>
      </c>
      <c r="J58" s="447" t="s">
        <v>14641</v>
      </c>
    </row>
    <row r="59" spans="2:15" hidden="1">
      <c r="G59" s="446" t="s">
        <v>14228</v>
      </c>
      <c r="H59" s="449">
        <v>39766</v>
      </c>
      <c r="I59" s="450" t="e">
        <f>SUM(I60:I61)</f>
        <v>#REF!</v>
      </c>
      <c r="J59" s="286" t="e">
        <f>SUM(J60:J61)</f>
        <v>#REF!</v>
      </c>
    </row>
    <row r="60" spans="2:15" hidden="1">
      <c r="G60" s="451" t="s">
        <v>11708</v>
      </c>
      <c r="H60" s="452">
        <v>39766</v>
      </c>
      <c r="I60" s="453" t="e">
        <f>J60/H60</f>
        <v>#REF!</v>
      </c>
      <c r="J60" s="454" t="e">
        <f>RESUMO!#REF!</f>
        <v>#REF!</v>
      </c>
    </row>
    <row r="61" spans="2:15" hidden="1">
      <c r="G61" s="451" t="s">
        <v>14642</v>
      </c>
      <c r="H61" s="452">
        <v>39766</v>
      </c>
      <c r="I61" s="453" t="e">
        <f>J61/H61</f>
        <v>#REF!</v>
      </c>
      <c r="J61" s="454" t="e">
        <f>RESUMO!#REF!</f>
        <v>#REF!</v>
      </c>
    </row>
    <row r="62" spans="2:15" hidden="1">
      <c r="G62" s="446" t="s">
        <v>14229</v>
      </c>
      <c r="H62" s="449">
        <v>2861</v>
      </c>
      <c r="I62" s="450" t="e">
        <f>SUM(I63:I64)</f>
        <v>#REF!</v>
      </c>
      <c r="J62" s="286" t="e">
        <f>SUM(J63:J64)</f>
        <v>#REF!</v>
      </c>
    </row>
    <row r="63" spans="2:15" hidden="1">
      <c r="G63" s="451" t="s">
        <v>11708</v>
      </c>
      <c r="H63" s="452">
        <v>2861</v>
      </c>
      <c r="I63" s="453" t="e">
        <f>J63/H63</f>
        <v>#REF!</v>
      </c>
      <c r="J63" s="454" t="e">
        <f>RESUMO!#REF!</f>
        <v>#REF!</v>
      </c>
    </row>
    <row r="64" spans="2:15" hidden="1">
      <c r="G64" s="451" t="s">
        <v>14642</v>
      </c>
      <c r="H64" s="452">
        <v>2861</v>
      </c>
      <c r="I64" s="453" t="e">
        <f>J64/H64</f>
        <v>#REF!</v>
      </c>
      <c r="J64" s="454" t="e">
        <f>RESUMO!#REF!</f>
        <v>#REF!</v>
      </c>
    </row>
    <row r="65" spans="8:8" hidden="1">
      <c r="H65" s="456">
        <f>H51-H56</f>
        <v>-19269761.689999998</v>
      </c>
    </row>
    <row r="66" spans="8:8" hidden="1"/>
  </sheetData>
  <sheetProtection algorithmName="SHA-512" hashValue="nHDKz71sBfIwq8SvyjJ4iKq8faSb+KJkmRRULuA8EVGLBIJByow21sRXidgLLhLlXGXp7aXG01ygth3WNpbvgQ==" saltValue="uwTYtB6e+8sy7YkGNzqkdg==" spinCount="100000" sheet="1" objects="1" scenarios="1"/>
  <mergeCells count="8">
    <mergeCell ref="I11:J11"/>
    <mergeCell ref="B1:J1"/>
    <mergeCell ref="B11:B12"/>
    <mergeCell ref="C11:C12"/>
    <mergeCell ref="D11:D12"/>
    <mergeCell ref="B8:H10"/>
    <mergeCell ref="G11:H11"/>
    <mergeCell ref="E11:F11"/>
  </mergeCells>
  <pageMargins left="0.51181102362204722" right="0.51181102362204722" top="0.78740157480314965" bottom="0.78740157480314965" header="0.31496062992125984" footer="0.31496062992125984"/>
  <pageSetup paperSize="9" scale="6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31</vt:i4>
      </vt:variant>
      <vt:variant>
        <vt:lpstr>Intervalos nomeados</vt:lpstr>
      </vt:variant>
      <vt:variant>
        <vt:i4>44</vt:i4>
      </vt:variant>
    </vt:vector>
  </HeadingPairs>
  <TitlesOfParts>
    <vt:vector size="75" baseType="lpstr">
      <vt:lpstr>JAZIDA-BF</vt:lpstr>
      <vt:lpstr>ORÇAMENTO</vt:lpstr>
      <vt:lpstr>RESUMO</vt:lpstr>
      <vt:lpstr>COTAÇÃO</vt:lpstr>
      <vt:lpstr>SINAPI-OUT.2016</vt:lpstr>
      <vt:lpstr>COMPOSIÇÃO</vt:lpstr>
      <vt:lpstr>SANEAGO-FEV.2016</vt:lpstr>
      <vt:lpstr>SINAPI-FEV.2017</vt:lpstr>
      <vt:lpstr>QCI</vt:lpstr>
      <vt:lpstr>CURVA ABC</vt:lpstr>
      <vt:lpstr>ORC.AUXILIAR</vt:lpstr>
      <vt:lpstr>MC_TRAVESSIA_COLETOR</vt:lpstr>
      <vt:lpstr>MC_INTERCEPTORES</vt:lpstr>
      <vt:lpstr>MC_TRAVESSIA.AEREA</vt:lpstr>
      <vt:lpstr>MC_COLETOR CB</vt:lpstr>
      <vt:lpstr>TRAT.PRELIMINAR</vt:lpstr>
      <vt:lpstr>REATOR (x2)</vt:lpstr>
      <vt:lpstr>REATOR (X1)</vt:lpstr>
      <vt:lpstr>Quant.AÇO-Concreto_REator</vt:lpstr>
      <vt:lpstr>LEITOS_SECAGEM</vt:lpstr>
      <vt:lpstr>TUBULAÇÕES</vt:lpstr>
      <vt:lpstr>SERVIÇOS_TUBULAÇÕES</vt:lpstr>
      <vt:lpstr>CAIXAS</vt:lpstr>
      <vt:lpstr>BIOGAS</vt:lpstr>
      <vt:lpstr>HIPOCLORITO</vt:lpstr>
      <vt:lpstr>SALA ELÉTRICA</vt:lpstr>
      <vt:lpstr>CASA DE CONTROLE</vt:lpstr>
      <vt:lpstr>LÇTO FINAL</vt:lpstr>
      <vt:lpstr>URBANIZAÇÃO</vt:lpstr>
      <vt:lpstr>REATOR (x3)</vt:lpstr>
      <vt:lpstr>PARAMETROS MC</vt:lpstr>
      <vt:lpstr>BIOGAS!Area_de_impressao</vt:lpstr>
      <vt:lpstr>CAIXAS!Area_de_impressao</vt:lpstr>
      <vt:lpstr>'CASA DE CONTROLE'!Area_de_impressao</vt:lpstr>
      <vt:lpstr>COMPOSIÇÃO!Area_de_impressao</vt:lpstr>
      <vt:lpstr>COTAÇÃO!Area_de_impressao</vt:lpstr>
      <vt:lpstr>'CURVA ABC'!Area_de_impressao</vt:lpstr>
      <vt:lpstr>HIPOCLORITO!Area_de_impressao</vt:lpstr>
      <vt:lpstr>'LÇTO FINAL'!Area_de_impressao</vt:lpstr>
      <vt:lpstr>LEITOS_SECAGEM!Area_de_impressao</vt:lpstr>
      <vt:lpstr>'MC_COLETOR CB'!Area_de_impressao</vt:lpstr>
      <vt:lpstr>MC_INTERCEPTORES!Area_de_impressao</vt:lpstr>
      <vt:lpstr>MC_TRAVESSIA.AEREA!Area_de_impressao</vt:lpstr>
      <vt:lpstr>MC_TRAVESSIA_COLETOR!Area_de_impressao</vt:lpstr>
      <vt:lpstr>ORÇAMENTO!Area_de_impressao</vt:lpstr>
      <vt:lpstr>QCI!Area_de_impressao</vt:lpstr>
      <vt:lpstr>'Quant.AÇO-Concreto_REator'!Area_de_impressao</vt:lpstr>
      <vt:lpstr>'REATOR (X1)'!Area_de_impressao</vt:lpstr>
      <vt:lpstr>'REATOR (x2)'!Area_de_impressao</vt:lpstr>
      <vt:lpstr>'REATOR (x3)'!Area_de_impressao</vt:lpstr>
      <vt:lpstr>RESUMO!Area_de_impressao</vt:lpstr>
      <vt:lpstr>'SALA ELÉTRICA'!Area_de_impressao</vt:lpstr>
      <vt:lpstr>'SANEAGO-FEV.2016'!Area_de_impressao</vt:lpstr>
      <vt:lpstr>SERVIÇOS_TUBULAÇÕES!Area_de_impressao</vt:lpstr>
      <vt:lpstr>'SINAPI-FEV.2017'!Area_de_impressao</vt:lpstr>
      <vt:lpstr>TRAT.PRELIMINAR!Area_de_impressao</vt:lpstr>
      <vt:lpstr>TUBULAÇÕES!Area_de_impressao</vt:lpstr>
      <vt:lpstr>URBANIZAÇÃO!Area_de_impressao</vt:lpstr>
      <vt:lpstr>BIOGAS!Titulos_de_impressao</vt:lpstr>
      <vt:lpstr>CAIXAS!Titulos_de_impressao</vt:lpstr>
      <vt:lpstr>'CASA DE CONTROLE'!Titulos_de_impressao</vt:lpstr>
      <vt:lpstr>COTAÇÃO!Titulos_de_impressao</vt:lpstr>
      <vt:lpstr>'CURVA ABC'!Titulos_de_impressao</vt:lpstr>
      <vt:lpstr>HIPOCLORITO!Titulos_de_impressao</vt:lpstr>
      <vt:lpstr>'LÇTO FINAL'!Titulos_de_impressao</vt:lpstr>
      <vt:lpstr>LEITOS_SECAGEM!Titulos_de_impressao</vt:lpstr>
      <vt:lpstr>'MC_COLETOR CB'!Titulos_de_impressao</vt:lpstr>
      <vt:lpstr>MC_INTERCEPTORES!Titulos_de_impressao</vt:lpstr>
      <vt:lpstr>MC_TRAVESSIA.AEREA!Titulos_de_impressao</vt:lpstr>
      <vt:lpstr>MC_TRAVESSIA_COLETOR!Titulos_de_impressao</vt:lpstr>
      <vt:lpstr>ORÇAMENTO!Titulos_de_impressao</vt:lpstr>
      <vt:lpstr>'REATOR (x2)'!Titulos_de_impressao</vt:lpstr>
      <vt:lpstr>'SALA ELÉTRICA'!Titulos_de_impressao</vt:lpstr>
      <vt:lpstr>TRAT.PRELIMINAR!Titulos_de_impressao</vt:lpstr>
      <vt:lpstr>TUBULAÇÕES!Titulos_de_impressao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FELIPE GOMES TEIXEIRA</dc:creator>
  <cp:lastModifiedBy>Philipjohn Ribeiro</cp:lastModifiedBy>
  <cp:lastPrinted>2018-01-09T11:15:46Z</cp:lastPrinted>
  <dcterms:created xsi:type="dcterms:W3CDTF">2016-04-25T20:10:57Z</dcterms:created>
  <dcterms:modified xsi:type="dcterms:W3CDTF">2018-01-25T18:34:00Z</dcterms:modified>
</cp:coreProperties>
</file>